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 sheetId="1" r:id="rId4"/>
    <sheet state="visible" name="Contents" sheetId="2" r:id="rId5"/>
    <sheet state="visible" name="Notes" sheetId="3" r:id="rId6"/>
    <sheet state="visible" name="1" sheetId="4" r:id="rId7"/>
    <sheet state="visible" name="2" sheetId="5" r:id="rId8"/>
    <sheet state="visible" name="3" sheetId="6" r:id="rId9"/>
    <sheet state="visible" name="4" sheetId="7" r:id="rId10"/>
  </sheets>
  <definedNames>
    <definedName hidden="1" localSheetId="4" name="_xlnm._FilterDatabase">'2'!$A$1:$V$8700</definedName>
    <definedName hidden="1" localSheetId="4" name="Z_2BF397B4_6C29_4D6E_BEFF_603EF2F5A4EF_.wvu.FilterData">'2'!$A$1:$V$8700</definedName>
  </definedNames>
  <calcPr/>
  <customWorkbookViews>
    <customWorkbookView activeSheetId="0" maximized="1" windowHeight="0" windowWidth="0" guid="{2BF397B4-6C29-4D6E-BEFF-603EF2F5A4EF}" name="Filter 1"/>
  </customWorkbookViews>
</workbook>
</file>

<file path=xl/sharedStrings.xml><?xml version="1.0" encoding="utf-8"?>
<sst xmlns="http://schemas.openxmlformats.org/spreadsheetml/2006/main" count="135605" uniqueCount="40411">
  <si>
    <r>
      <rPr>
        <rFont val="Arial"/>
        <b/>
        <color theme="1"/>
        <sz val="10.0"/>
      </rPr>
      <t xml:space="preserve">About this spreadsheet: </t>
    </r>
    <r>
      <rPr>
        <rFont val="Arial"/>
        <color theme="1"/>
        <sz val="10.0"/>
      </rPr>
      <t>This spreadsheet contains data from Pakistan's Commission of Inquiry on Enforced Disappearances list of missing persons. 
The Commission, which has been operational since 2011, records entries as it receives applications of missing persons cases across Pakistan, 
including those reported to have disappeared before the Commission was formed.</t>
    </r>
  </si>
  <si>
    <r>
      <rPr>
        <rFont val="Arial"/>
        <color rgb="FF000000"/>
        <sz val="10.0"/>
      </rPr>
      <t>The dataset has been cleaned and contents of the status of cases have been disaggregated into subcategories. 
The analysis and conclusions derived from this dataset have informed reporting on the article:</t>
    </r>
    <r>
      <rPr>
        <rFont val="Arial"/>
        <color rgb="FF1155CC"/>
        <sz val="10.0"/>
        <u/>
      </rPr>
      <t xml:space="preserve">
Acts of omission: How Pakistan fails to address impunity for enforced disappearances</t>
    </r>
    <r>
      <rPr>
        <rFont val="Arial"/>
        <color rgb="FF000000"/>
        <sz val="10.0"/>
      </rPr>
      <t xml:space="preserve"> published b</t>
    </r>
    <r>
      <rPr>
        <rFont val="Arial"/>
        <color rgb="FF000000"/>
        <sz val="10.0"/>
      </rPr>
      <t>y Gaw</t>
    </r>
    <r>
      <rPr>
        <rFont val="Arial"/>
        <color rgb="FF000000"/>
        <sz val="10.0"/>
      </rPr>
      <t>ah in October 2022.</t>
    </r>
  </si>
  <si>
    <r>
      <rPr>
        <b/>
        <sz val="10.0"/>
      </rPr>
      <t xml:space="preserve">About Gawah: </t>
    </r>
    <r>
      <rPr>
        <color rgb="FF1155CC"/>
        <sz val="10.0"/>
        <u/>
      </rPr>
      <t>Gawah</t>
    </r>
    <r>
      <rPr>
        <sz val="10.0"/>
      </rPr>
      <t xml:space="preserve"> is an initiative by a collective of concerned citizens, including journalists, lawyers and human rights defenders, who aim to:
-Bring focus to the plight of missing persons and their families.
-Amplify and provide solidarity to the work of groups on the ground in organising to end enforced disappearances at great personal risk.
-Promote a Pakistan in which the civil liberties of all people are secure, and the sanctity of dissent by political activists and minority voices is always upheld.</t>
    </r>
  </si>
  <si>
    <r>
      <rPr>
        <rFont val="Arial"/>
        <b/>
        <color theme="1"/>
        <sz val="10.0"/>
      </rPr>
      <t>Source:</t>
    </r>
    <r>
      <rPr>
        <rFont val="Arial"/>
        <color theme="1"/>
        <sz val="10.0"/>
      </rPr>
      <t xml:space="preserve"> http://coioed.pk/missing-persons/</t>
    </r>
  </si>
  <si>
    <r>
      <rPr>
        <rFont val="Arial"/>
        <b/>
        <color theme="1"/>
        <sz val="10.0"/>
      </rPr>
      <t xml:space="preserve">Accessed: </t>
    </r>
    <r>
      <rPr>
        <rFont val="Arial"/>
        <color theme="1"/>
        <sz val="10.0"/>
      </rPr>
      <t>June 20,2022</t>
    </r>
  </si>
  <si>
    <r>
      <rPr>
        <b/>
        <sz val="10.0"/>
      </rPr>
      <t xml:space="preserve">Disclaimer: </t>
    </r>
    <r>
      <rPr>
        <sz val="10.0"/>
      </rPr>
      <t xml:space="preserve">A reasonable effort was made to ensure the accuracy of the data cleaning and analysis in this dataset.
If ommissions or inaccuracies are found please contact the author at </t>
    </r>
    <r>
      <rPr>
        <color rgb="FF1155CC"/>
        <sz val="10.0"/>
        <u/>
      </rPr>
      <t>reem.khurshid@gmail.com</t>
    </r>
  </si>
  <si>
    <r>
      <rPr>
        <rFont val="Arial"/>
        <b/>
        <color theme="1"/>
        <sz val="10.0"/>
      </rPr>
      <t xml:space="preserve">Usage Rights: </t>
    </r>
    <r>
      <rPr>
        <rFont val="Arial"/>
        <color theme="1"/>
        <sz val="10.0"/>
      </rPr>
      <t>This dataset is free to use in any format or medium.</t>
    </r>
  </si>
  <si>
    <t>Worksheet Title</t>
  </si>
  <si>
    <t>Content of worksheet</t>
  </si>
  <si>
    <t>Cover sheet</t>
  </si>
  <si>
    <t>Information on Pakistan's missing persons list</t>
  </si>
  <si>
    <t>Notes</t>
  </si>
  <si>
    <t>Notes on disaggregating data and data quality</t>
  </si>
  <si>
    <t>Original dataset</t>
  </si>
  <si>
    <t>Cleaned dataset</t>
  </si>
  <si>
    <t>Number of cases by Sub-status &amp; Location</t>
  </si>
  <si>
    <t>Number of cases by Year Missing &amp; Location, with a non-exhaustive summary of related events that took place in those years</t>
  </si>
  <si>
    <t>CLEANED DATA KEY</t>
  </si>
  <si>
    <t>Year Missing (cleaned)</t>
  </si>
  <si>
    <r>
      <rPr>
        <sz val="10.0"/>
      </rPr>
      <t xml:space="preserve">'Year Missing' was extracted from 'Missing Data' column in Sheet </t>
    </r>
    <r>
      <rPr>
        <color rgb="FF1155CC"/>
        <sz val="10.0"/>
        <u/>
      </rPr>
      <t>1</t>
    </r>
    <r>
      <rPr>
        <sz val="10.0"/>
      </rPr>
      <t xml:space="preserve">. </t>
    </r>
    <r>
      <rPr>
        <color rgb="FF000000"/>
        <sz val="10.0"/>
      </rPr>
      <t>T</t>
    </r>
    <r>
      <rPr>
        <sz val="10.0"/>
      </rPr>
      <t xml:space="preserve">he data in this column was very inconsistent; in some cases only YYYY was provided, in others MM/YY, and MM/DD/YY and DD/MM/YY were used interchangeably. In some cases, no date was provided, or the date was unclear; these have been marked as 'NA'. 
</t>
    </r>
    <r>
      <rPr>
        <i/>
        <sz val="10.0"/>
      </rPr>
      <t>NB: 'Year Missing' column may not be highly reliable as there is a likelihood that some dates may have been inputted incorrectly in the original dataset.</t>
    </r>
  </si>
  <si>
    <r>
      <rPr>
        <sz val="10.0"/>
      </rPr>
      <t xml:space="preserve">Locations disaggregated from 'COIOED No' column in Sheet </t>
    </r>
    <r>
      <rPr>
        <color rgb="FF1155CC"/>
        <sz val="10.0"/>
        <u/>
      </rPr>
      <t>1</t>
    </r>
    <r>
      <rPr>
        <sz val="10.0"/>
      </rPr>
      <t xml:space="preserve">. In a number of cases, no location data was included in 'COIOED No.'. Location data was obtained from other columns, such as 'District', 'FIR', etc . In a handful of cases, only the location of the complainant's address was available. It is uncertain whether this would correspond with the location of the disappearance. Therefore minor discrepancies may exist.  </t>
    </r>
  </si>
  <si>
    <t>Location (cleaned)</t>
  </si>
  <si>
    <t>Location in full</t>
  </si>
  <si>
    <t>AJK</t>
  </si>
  <si>
    <t>Azad Jammu &amp; Kashmir (Pakistan-administered Kashmir)</t>
  </si>
  <si>
    <t>Administrative territory</t>
  </si>
  <si>
    <t>B</t>
  </si>
  <si>
    <t>Balochistan</t>
  </si>
  <si>
    <t>Province</t>
  </si>
  <si>
    <t>GB</t>
  </si>
  <si>
    <t>Gilgit-Baltistan</t>
  </si>
  <si>
    <t>ICT</t>
  </si>
  <si>
    <t>Islamabad Capital Territory</t>
  </si>
  <si>
    <t>Federal territory</t>
  </si>
  <si>
    <t>KP</t>
  </si>
  <si>
    <t>Khyber Pakhtunkhwa</t>
  </si>
  <si>
    <t>Province
While some cases were marked as 'F' for Federally Administered Tribal Areas, it is unclear how the COIOED was categorising cases following FATA's merger with Khyber Pakhtunkhwa in 2018 – by missing date or received date? Since there was a considerable amount of missing data for both dates, it seemed more appropriate to include all merged areas in KP.</t>
  </si>
  <si>
    <t>P</t>
  </si>
  <si>
    <t>Punjab</t>
  </si>
  <si>
    <t>S</t>
  </si>
  <si>
    <t>Sindh</t>
  </si>
  <si>
    <t>UAE</t>
  </si>
  <si>
    <t>United Arab Emirates</t>
  </si>
  <si>
    <t>One case: Under investigation. 
COIOED case number filed under UAE, despite lack of mandate/jurisdiction. Location kept as in original dataset</t>
  </si>
  <si>
    <t>UK</t>
  </si>
  <si>
    <t>United Kingdom</t>
  </si>
  <si>
    <t>One case: Deleted&gt;Not a case of enforced disappearance. 
No further information besides complainant's home address in the UK. Location added by author</t>
  </si>
  <si>
    <t>Status (cleaned)</t>
  </si>
  <si>
    <t>Sub-status (cleaned)</t>
  </si>
  <si>
    <t>Deleted</t>
  </si>
  <si>
    <t>'Closed' category had less than 10 entries and had no apparent distinction, so it was combined under 'Deleted'.</t>
  </si>
  <si>
    <t>Not a case of enforced disappearance</t>
  </si>
  <si>
    <t>Includes those stated to have left home on their own, OR where explanation does not correspond with definition of enforced disappearance (eg kidnapping for ransom, personal disputes, etc)</t>
  </si>
  <si>
    <t>Not a case of enforced disappearance; At large</t>
  </si>
  <si>
    <t>Absconders OR proclaimed offenders</t>
  </si>
  <si>
    <t>Not a case of enforced disappearance; Deserter</t>
  </si>
  <si>
    <t>Deserted their posts; rank/institution not always provided</t>
  </si>
  <si>
    <t>Not a case of enforced disappearance; Left country</t>
  </si>
  <si>
    <t>Cases where subject was confirmed to have left the country; EITHER for migration OR business OR to join a militant group</t>
  </si>
  <si>
    <t>Not a case of enforced disappearance; Presumed dead</t>
  </si>
  <si>
    <t>Confirmation of death is uncertain</t>
  </si>
  <si>
    <t>Not a case of enforced disappearance; Deceased</t>
  </si>
  <si>
    <t>ONLY cases explicitly stated to not be enforced disappearances AND body recovered/found OR confirmed dead</t>
  </si>
  <si>
    <t>Killed in LEA encounter; Deceased</t>
  </si>
  <si>
    <t>Killed by a law enforcement agency</t>
  </si>
  <si>
    <t>Internment centre; Deceased</t>
  </si>
  <si>
    <t>Only one case of this in 'Deleted' Status.</t>
  </si>
  <si>
    <t>Incomplete/false address</t>
  </si>
  <si>
    <t>Also includes those stated to have "incomplete particulars"</t>
  </si>
  <si>
    <t>Withdrawn by complainant</t>
  </si>
  <si>
    <t>Non-prosecution, non-cooperation</t>
  </si>
  <si>
    <t>Includes those where complainant(s) have not explicitly withdrawn the case but have not followed through, failed to attend hearings, etc</t>
  </si>
  <si>
    <t>Family/legal heirs received payment of compensation</t>
  </si>
  <si>
    <t>Prison</t>
  </si>
  <si>
    <t>Includes any form of detention (whether prison, jail, judicial/police or other law enforcement agency custody, such as FIA or CTD, except those explicitly stated to be in the military's custody OR a paramilitary force's custody OR in an internment centre</t>
  </si>
  <si>
    <t>Returned home</t>
  </si>
  <si>
    <t>Includes cases that state the person was confirmed to have returned home OR the person appeared before the COIOED</t>
  </si>
  <si>
    <t>Other</t>
  </si>
  <si>
    <t>Includes cases where 'other reasons' are stated OR where the explanation is unclear/vague</t>
  </si>
  <si>
    <t>NA</t>
  </si>
  <si>
    <t>Not applicable; cell left blank</t>
  </si>
  <si>
    <t>Traced person</t>
  </si>
  <si>
    <t>There is significant overlap in 'Sub-status' categories in both 'Deleted' and 'Traced' columns. No changes have been made to first-order Status category as provided in the original dataset.</t>
  </si>
  <si>
    <t>Recovered</t>
  </si>
  <si>
    <t>Includes those stated to have been 'recovered' but no mention of returning home or appearing before the COIOED</t>
  </si>
  <si>
    <t>Internment centre</t>
  </si>
  <si>
    <t>Internment centre, Frontier Corps, political lock-up</t>
  </si>
  <si>
    <t>Internment Centre; Deceased</t>
  </si>
  <si>
    <t>Internment Centre; Released</t>
  </si>
  <si>
    <t>Prison; Deceased</t>
  </si>
  <si>
    <t>Prison; Released</t>
  </si>
  <si>
    <t>Prison; Released on bail</t>
  </si>
  <si>
    <t>Miltary Custody</t>
  </si>
  <si>
    <t>Miltary Custody; Sentenced to death</t>
  </si>
  <si>
    <t>Paramilitary Custody</t>
  </si>
  <si>
    <t>Paramilitary Custody; Released</t>
  </si>
  <si>
    <t>Held by unknown persons; Released</t>
  </si>
  <si>
    <t>Includes abuctions by unknown persons AND allegations of abduction by agencies not confirmed by COIOED</t>
  </si>
  <si>
    <t>Deceased</t>
  </si>
  <si>
    <t>Deceased = changed from 'Dead body found/recovered'</t>
  </si>
  <si>
    <t>Under investigation</t>
  </si>
  <si>
    <t>No further explanation provided in this category</t>
  </si>
  <si>
    <t>Re-opened</t>
  </si>
  <si>
    <t>Cases where no information on status has been provided</t>
  </si>
  <si>
    <t>FRESH CASES OF ALLEGED ENFORCED DISAPPEARANCES</t>
  </si>
  <si>
    <t>All Pakistan</t>
  </si>
  <si>
    <t>S. #</t>
  </si>
  <si>
    <t>NCMC ID No.</t>
  </si>
  <si>
    <t>CoIoED No.</t>
  </si>
  <si>
    <t>Petition No</t>
  </si>
  <si>
    <t>Name/ Perantage</t>
  </si>
  <si>
    <t>Missing Date</t>
  </si>
  <si>
    <t>Address</t>
  </si>
  <si>
    <t>CNIC</t>
  </si>
  <si>
    <t>FIR</t>
  </si>
  <si>
    <t>Status</t>
  </si>
  <si>
    <t>Date of Receiving</t>
  </si>
  <si>
    <t>Refering Agency</t>
  </si>
  <si>
    <t>District</t>
  </si>
  <si>
    <t>0001-K</t>
  </si>
  <si>
    <t>CP 5/2007</t>
  </si>
  <si>
    <t>Abdul Rehman Tawami</t>
  </si>
  <si>
    <t>Village Sufaid Dheri, P.O. University Town, Peshawar</t>
  </si>
  <si>
    <t>FIR No. 83, dt. 09 Feb 10, PS Pishtakhara</t>
  </si>
  <si>
    <t>Traced Person</t>
  </si>
  <si>
    <t>Peshawar</t>
  </si>
  <si>
    <t>0002-B</t>
  </si>
  <si>
    <t>CMA 76/2010, CP 55/2007, HRC 527/2007</t>
  </si>
  <si>
    <t>Ali Asghar Bangulzai S/o Ghulam Nabi</t>
  </si>
  <si>
    <t>Chakki Shawani Road, C/O Decent Tailors, Sariab Road, Quetta (Cell # 0300-3832416)</t>
  </si>
  <si>
    <t>FIR No. 21/2010 u/s 365-PPC, dt. 30 Jan 10, PS Sariab</t>
  </si>
  <si>
    <t>Re-Open on the request of Complainant</t>
  </si>
  <si>
    <t>0003-K</t>
  </si>
  <si>
    <t>Attique-ur-Rehman Abbasi S/o Siddique-ur-Rehman</t>
  </si>
  <si>
    <t>Lower Mughal Pura , Qazi Mohallah, Tehsil &amp; District Abbottabad.
 CNIC: 13101-0955711-3</t>
  </si>
  <si>
    <t>FIR No. 11, dt. 17 Apr 04 u/s 365-PPC, PS Crime Branch, Peshawar</t>
  </si>
  <si>
    <t>Under Investigation</t>
  </si>
  <si>
    <t>Order Reserved</t>
  </si>
  <si>
    <t>0004-P</t>
  </si>
  <si>
    <t>CMA 76/2010</t>
  </si>
  <si>
    <t>Dr. Abid Sharif S/o Muhammad Sherif</t>
  </si>
  <si>
    <t>301- R.A Bazar Rawalpindi, Punjab (Mobile No. 0322-5073148)</t>
  </si>
  <si>
    <t>FIR No. 47 u/s 365-PPC, dt. 21 Jan 10, P.S. R.A Bazar, Rawalpindi.</t>
  </si>
  <si>
    <t>Rawalpindi</t>
  </si>
  <si>
    <t>0005-P</t>
  </si>
  <si>
    <t>Faisal Faraz S/o Muhammad Gul Faraz</t>
  </si>
  <si>
    <t>H.No: 165/EE, Phase-IV, DHA, Lahore, CNIC: 35201-1478495-1</t>
  </si>
  <si>
    <t>FIR No. 23 dt.14 Sep 05, PS Defence, Lahore.</t>
  </si>
  <si>
    <t>Deleted. Not a case of Enforced Disappearance.</t>
  </si>
  <si>
    <t>Lahore</t>
  </si>
  <si>
    <t>0006-K</t>
  </si>
  <si>
    <t>CP 5/2007, HRC No. 5707/2006,HRC No. 16339-N/2009</t>
  </si>
  <si>
    <t>Farrokh Bomassy S/o Behram Bomassy</t>
  </si>
  <si>
    <t>J.C. B112/25, Hassan Town, Kakool Road, Abbotabad. (Mobile No. 0334-8961092)</t>
  </si>
  <si>
    <t>FIR No. 262, dt. 05 Oct 06 u/s 365-PPC, PS Cantt, Abbottabad</t>
  </si>
  <si>
    <t>Deleted. The case has been categorized as “Missing Person has gone on his own” by PTF on 04.03.2020, 03.05.2021 and 22.10.2021. Misaq Bomassy s/o Farrokh Bomassy appeared before the Commission whose statement recorded on oath in which he deposed that he submitted Proforma for Missing Person whereby he wrote that his father was coming from shop to home after closing shop in his own pick-up. They found the pick-up but since then his father was missing. That in the complaint no allegation was levelled against any LEAs/ Intelligence Agency. Moreover, no clue could be found by any LEAs/ Intelligence Agency. Hence not a case of enforced disappearance. The case is closed.</t>
  </si>
  <si>
    <t>Abbotabad</t>
  </si>
  <si>
    <t>0007-B</t>
  </si>
  <si>
    <t>Hafiz Saeed-ur-Rehman S/o Allah Bakhsh Managalzai</t>
  </si>
  <si>
    <t>Saryab Road, Barma Hotel, Killi Garibabad, Farooq Tee Store, Quetta</t>
  </si>
  <si>
    <t>Deleted. Due to Payment of compensation on the Orders of Supreme Court of Pakistan</t>
  </si>
  <si>
    <t>0008-S</t>
  </si>
  <si>
    <t>Hafiz Khan Muhammad Chang S/o Haji Jan Muhammad Chang (Late)</t>
  </si>
  <si>
    <t>Village Haji Muhammad Hassan Chang at Pacca Chang Taluka Faiz Ganj, Distt: Mir Pur Khas CNIC: 45201-5107779-3</t>
  </si>
  <si>
    <t>FIR No. 14/2010, dt.02 Feb 10 PS Faiz Ganj</t>
  </si>
  <si>
    <t>Deleted. A number of meetings of JIT have been held in this case , the last one on 29.2.2020 JIT after through probe, examination of witness, interrogation of alleged accused perusal of record details discussions and exchanging of views reached the conclusion that allegation leveled against the Police Officers i.e the then DPO Khairpur , Imran Yaqoob Minhas the then DPO, Sukkur Aftab Ahmed Halepoto and former SHO PS Rohri Inspector Jahangir Mahar, who appeared before the JIT did not stand substantiated. Similarly, for the officers of MI and ISI, the Ministry of Defence, Government of Pakistan, vide letter No. 1/101/Dir Legal/10 dated 4th December, 2010 had clarified that no such officers by the name of Mahor Iftikhar, Major Muhammad Zaman and Major Mushtaque have ever served in the setups of Military Intelligence and Inter Service Intelligence. Hence the case is closed as the Missing Person has apparently gone on his own.</t>
  </si>
  <si>
    <t>Karachi</t>
  </si>
  <si>
    <t>0009-P</t>
  </si>
  <si>
    <t>CMA 76/2010, CP 5/2007</t>
  </si>
  <si>
    <t>Mansoor Mehdi S/o Muhammad Idrees</t>
  </si>
  <si>
    <t>278-R.A.Bazar Rawalpindi, Punjab (Mobile No. 0321-5229057 &amp; 0333-2441169)</t>
  </si>
  <si>
    <t>FIR No. 56 dated 27 Jan 10 u/s 365-PPC, P.S. R.A Bazar, Rawalpindi.</t>
  </si>
  <si>
    <t>0010-P</t>
  </si>
  <si>
    <t>HRC 965/2005, HRC 4941/206, CP 5/2007</t>
  </si>
  <si>
    <t>Masood Ahmed Janjua S/o Lt. Col Ali Muhammad, Raja Ali Muhammad</t>
  </si>
  <si>
    <t>278-R.A.Bazar Rawalpindi, Punjab CNIC: 37405-3323109-3</t>
  </si>
  <si>
    <t>FIR No. 45, dt. 21 Jan 10, PS Westridge, Rawalpindi.</t>
  </si>
  <si>
    <t>0011-P</t>
  </si>
  <si>
    <t>HRC 292/2007, CP 5/2007, HRC 76/2010</t>
  </si>
  <si>
    <t>Hafiz Muhammad Idrees Abbasi S/o Muhammad Arif Abbasi</t>
  </si>
  <si>
    <t>Village &amp; PO. Danah Police station Lorah, Ghora Gali, Dist. Abottabad, CNIC No. 61101-5836365-5</t>
  </si>
  <si>
    <t>FIR No. 12, dt. 12 Sep 09, PS Ghora Galli</t>
  </si>
  <si>
    <t>Deleted. Disposed of on account of order for registration of case u/s 365 PPC.</t>
  </si>
  <si>
    <t>0012-K</t>
  </si>
  <si>
    <t>Muhammad Rafique Ahmed S/o Maulana Feroz Shah</t>
  </si>
  <si>
    <t>C/o Haji Said Jamal, Nawaz Market, Main Bazar, Darra Adam Khel, F.R Kohat</t>
  </si>
  <si>
    <t>FIR No. 83, u/s 344/346-PPC dt. 09 Feb 10, P.S Badaber.</t>
  </si>
  <si>
    <t>0013-B</t>
  </si>
  <si>
    <t>Muhammad Iqbal Baloch s/o Abdul Rehman</t>
  </si>
  <si>
    <t>Muhammad Anwar, Village Dazan, P.O. Mand, Tehsil Tump District Kech (Mobile No. 0322-3420083)</t>
  </si>
  <si>
    <t>FIR No. 08/2010, dt. 09 Aug 09, PS: Tump, Kech</t>
  </si>
  <si>
    <t>0014-F</t>
  </si>
  <si>
    <t>Sher Afzal</t>
  </si>
  <si>
    <t>Shamshad Market, Bar Market, Jamrood, Khyber Agnecy</t>
  </si>
  <si>
    <t>Deleted. Due to Incomplete Particulars</t>
  </si>
  <si>
    <t>FATA</t>
  </si>
  <si>
    <t>0015-K</t>
  </si>
  <si>
    <t>CP 41/2007, CP 5/2007</t>
  </si>
  <si>
    <t>Kahyaal Jamal S/o Gul Rehman</t>
  </si>
  <si>
    <t>Village Zargoon Khel, P.O Sardar Khel, Dara Bazar, Tehsil &amp; Distt Tribal Area Malhiqa Kohat, NWFP</t>
  </si>
  <si>
    <t>Traced Person APA, F.R Kohat Produced statement that Khayal Jamal has returned to Home.</t>
  </si>
  <si>
    <t>Kohat</t>
  </si>
  <si>
    <t>0016-S</t>
  </si>
  <si>
    <t>HRC No.5102-B/2010</t>
  </si>
  <si>
    <t>Abdul Ghaffar Langovo S/o Saleh Muhammad</t>
  </si>
  <si>
    <t>Decent Tailors, Satahwani Road Sariab, Quetta</t>
  </si>
  <si>
    <t>FIR No. 75
 dt. 14/04/2010
 u/s 365/34 PPC PS Nabi Bux, Karachi</t>
  </si>
  <si>
    <t>Traced Person. Dead Body recovered</t>
  </si>
  <si>
    <t>0017-B</t>
  </si>
  <si>
    <t>Saifullah S/o Haji Abdul Bari Ababki</t>
  </si>
  <si>
    <t>Killi Mustafaabad, Behind WAPDA Grid Station, Sariab Road, Quetta CNIC: 54400-0528969-1</t>
  </si>
  <si>
    <t>FIR No. 29/2010 u/s 365-PPC , dt. 08 Feb 10, PS Sariab</t>
  </si>
  <si>
    <t>Deleted. As the Case was deleted by Hon"able Supreme Court of Pakistan</t>
  </si>
  <si>
    <t>0018-B</t>
  </si>
  <si>
    <t>Jalil Raki Baloch S/o Abdul Qadeer</t>
  </si>
  <si>
    <t>Killi Ghulam Jan, Near Girls High School, Kechi Beg, Sariab Road, Quetta</t>
  </si>
  <si>
    <t>FIR No. 19/2010 u/s 365/34-PPC, PS Shalkot.</t>
  </si>
  <si>
    <t>Traced Person. Dead Body recovered.</t>
  </si>
  <si>
    <t>0019-S</t>
  </si>
  <si>
    <t>Abdul Karim Mehmood S/o Abdul Mosab Aroochi</t>
  </si>
  <si>
    <t>C/O: Muhammad Hussain Boluch, H.NO: 323/3 Sayyeal Abad near Bismillah Masjid Darya khan road, Layari Karachi.</t>
  </si>
  <si>
    <t>135/2010 u/s 365 PPC PS Jouharabad, Karachi</t>
  </si>
  <si>
    <t>Traced Person. Returned to Home and available at (H.NO: 323/3 Sayyeal Abad near Bismillah Masjid Darya khan road, Layari Karachi.)</t>
  </si>
  <si>
    <t>0020-B</t>
  </si>
  <si>
    <t>Din Muhammad Baloch S/o Qadir Bakhsh</t>
  </si>
  <si>
    <t>Mashkay Distt. Awaran, Khuzdar</t>
  </si>
  <si>
    <t>FIR No.5/09 U/S 365 147,148 and 149 PPC, PS Oranch, Distt Khuzdar</t>
  </si>
  <si>
    <t>0021-B</t>
  </si>
  <si>
    <t>Abdul Kabeer S/o Ghous Bux (Brother Abdul Latif's Cell # 0333-7977632)</t>
  </si>
  <si>
    <t>Darmini Khattan, Khuzdar, CNIC:51401-7286784-7</t>
  </si>
  <si>
    <t>FIR No. 47/09 u/s 365-PPC, dt.27 Mar 09, PS city Khuzdar</t>
  </si>
  <si>
    <t>Deleted. As per report submitted by Police that he was granted bail in criminal case but there after he was declared absconder.</t>
  </si>
  <si>
    <t>masood janjua</t>
  </si>
  <si>
    <t>0022-B</t>
  </si>
  <si>
    <t>Zakir Majeed s/o Abdul Jameed</t>
  </si>
  <si>
    <t>Gazgi Mohallah Khuzdar</t>
  </si>
  <si>
    <t>FIR No. 06/10, dt. 29 Jan 10, PS: Saddar, Mastung</t>
  </si>
  <si>
    <t>R-Open on the request of cvomplainant</t>
  </si>
  <si>
    <t>0023-B</t>
  </si>
  <si>
    <t>Niaz Muhammad s/o
 Rahim Bakhsh</t>
  </si>
  <si>
    <t>Killi Muslimabad near killi Birave Sariab Road Quetta</t>
  </si>
  <si>
    <t>FIR No. 74/2010 u/s 365, 34 PPC, dt. 19 Jun 10, PS: Sariab, Quetta</t>
  </si>
  <si>
    <t>0024-I</t>
  </si>
  <si>
    <t>H.R.C.531-G/2010</t>
  </si>
  <si>
    <t>Haroon Muhammad S/o Ghulam Muhammad</t>
  </si>
  <si>
    <t>C/o Amir Memhmood Afridi, Assistant Accounts Officer of Controller General of Accounts G-5/2, Islamabad, CNIC: 21202-9543908-5</t>
  </si>
  <si>
    <t>Dleted. with th direction to secretary Interio/Defence to register case against officer/official responsible for abduction of Haroon Muhammad.</t>
  </si>
  <si>
    <t>0025-B</t>
  </si>
  <si>
    <t>CMA 4419/2007, CP 5/2007</t>
  </si>
  <si>
    <t>Muhammad Siddique alias Saadullah Baloch S/o Haji abdul Rahim</t>
  </si>
  <si>
    <t>Gali Mohallah Chandni Chowk, Nizam Abad, Khuzdar CNIC:51401-2289206-5</t>
  </si>
  <si>
    <t>FIR No. 22/2010 U/S 365-PPC, dt.08-02-2009, PS Khuzdar</t>
  </si>
  <si>
    <t>Deleted. Not a Case of Enforced Disappearance.</t>
  </si>
  <si>
    <t>0026-B</t>
  </si>
  <si>
    <t>Saeed Mengal S/o Nasir Mengal</t>
  </si>
  <si>
    <t>Killi Malik Shah Hussain, Goth Qasim, Dalbandin Distt: Chaghi</t>
  </si>
  <si>
    <t>FIR No. 03/10, u/s 365, 34-PPC, PS: Dalbandin, Chaghi</t>
  </si>
  <si>
    <t>Traced Person. Return to Home on 05/01/2011 as per affidavit on file.</t>
  </si>
  <si>
    <t>0027-B</t>
  </si>
  <si>
    <t>HRC 6606-P/2009, CMA 4419/2007</t>
  </si>
  <si>
    <t>Ehsan Arjemandi S/oAbdul Rehman</t>
  </si>
  <si>
    <t>C/O Abdul Ghaffar, House No. 13, Dawal Maha, Karachi C/o Human Rights Commission of Pakistan CNIC No. 52205-7707655-3</t>
  </si>
  <si>
    <t>FIR No. 42/09 u/s 365/34-PPC at PS Uthal</t>
  </si>
  <si>
    <t>Traced Person. It has been reported at the hearing on 24.3.2022 by SSP, Lasbella that as per information shared by FIA Ehsan Arjumandi left for Norway vide Passport NO. 17363381 from Karachi through Flight No. QR605 on 31st August, 2021 shown in the record of the FIA, Integrated Border Management System, Jinnah International Airport, Karachi. No further action is required. The case is closed.</t>
  </si>
  <si>
    <t>0028-B</t>
  </si>
  <si>
    <t>Mushtaq Ali S/o Muhammad Ali</t>
  </si>
  <si>
    <t>Rodiani House, Balina Khattan, Khuzadr (Mobile No. 0333-7973063)</t>
  </si>
  <si>
    <t>FIR No. 47/2009, u/s 364,34,337-H(II) PPC, dt: 27 Mar 09, PS: Khuzdar</t>
  </si>
  <si>
    <t>0029-S</t>
  </si>
  <si>
    <t>Naseeb Ullah S/o Naimat Gul</t>
  </si>
  <si>
    <t>L-1136-37, Shireen Jinnah Colony, Karachi. CNIC: 21203-9931929-9</t>
  </si>
  <si>
    <t>FIR No. 68/2010, dt.29 Jan 10, PS Boat Basin, Karachi.</t>
  </si>
  <si>
    <t>0030-P</t>
  </si>
  <si>
    <t>HRC 1397-P/2010</t>
  </si>
  <si>
    <t>Muhammad Zubair S/o Muhammad Izram</t>
  </si>
  <si>
    <t>H.No. CB-365/Q-1/945, Dhok Chaudrian, Qasim Road, Tehsil &amp; Distt Rawalpindi CNIC:37405-5230585-5</t>
  </si>
  <si>
    <t>FIR No. 111/2010, dt.27 Jun 09 PS R.A Bazar</t>
  </si>
  <si>
    <t>0031-K</t>
  </si>
  <si>
    <t>Muhibullah S/o Muhammad Ahmed</t>
  </si>
  <si>
    <t>Mukhtiar Ahmed H No. 15 Sector, 2 Momin town Dalazak road,Peshawar.</t>
  </si>
  <si>
    <t>FIR No. 422, dt. 20 Oct 10, PS: Doaba</t>
  </si>
  <si>
    <t>Traced Person. It was informed at the hearing on 06/08/2018 that Mohibullah was confined in the Internment Center Lakki Marwat family members had already met with him in the aforementioned Internment Center.</t>
  </si>
  <si>
    <t>Hangu</t>
  </si>
  <si>
    <t>0032-S</t>
  </si>
  <si>
    <t>Sikandar alias Akash Mallah</t>
  </si>
  <si>
    <t>House # 03, Marvi Garden, US-3, Qasim Abad, Hyderabad, Sindh CNIC: 41306-8216106-1997</t>
  </si>
  <si>
    <t>FIR No. 18/2010, dt 05 Feb 10, PS Bhittai Nagar</t>
  </si>
  <si>
    <t>0033-S</t>
  </si>
  <si>
    <t>Noor Muhammad</t>
  </si>
  <si>
    <t>Nasim Nagar, Qasimanbad, Hyderabad CNIC: 41306-4388850-3</t>
  </si>
  <si>
    <t>FIRNo. 18/2010
 dt: 05/02/2010
 u/s 365/34 PPC
 PS Bhittai Nagar, Hyderabad</t>
  </si>
  <si>
    <t>Traced Person. Returned to Home The case of Nooer Muhammad clubbed with Sikander Akash.</t>
  </si>
  <si>
    <t>0190-B</t>
  </si>
  <si>
    <t>Habeebullah S/o Ghulam Qadir Kambrani (Brother Noorullah Qambrani's Cell # 0300-9388831)</t>
  </si>
  <si>
    <t>Qambrani Road Mohallah Kali Qambrani, Quetta., CNIC No. 54400-1602583-3</t>
  </si>
  <si>
    <t>FIR No. 31 dt 08/02/2010 u/s 365/34 PPC PS Sariab, Quetta</t>
  </si>
  <si>
    <t>Traced Person. Returned to Home</t>
  </si>
  <si>
    <t>0034-B</t>
  </si>
  <si>
    <t>Attaullah Hussain S/o Niaz Ahmed Mosiyani</t>
  </si>
  <si>
    <t>Zarina Khattan near Engineering University Gate Khuzdar</t>
  </si>
  <si>
    <t>FIR No. 45/09 69, 34,337-H PPC, PS city Khuzdar</t>
  </si>
  <si>
    <t>Deleted. Missing Person Abdullah Hussain declared absconder in Crime No. 29/19 u/s 392 PPC ADF 34 QD at Police Station City Khuzdar.</t>
  </si>
  <si>
    <t>0173-B</t>
  </si>
  <si>
    <t>Chakar Khan Marri S/o Jamil Ahmed</t>
  </si>
  <si>
    <t>Shahzaman Town, Raisani Road near mobilink Tower, Quetta</t>
  </si>
  <si>
    <t>FIR No. 4
 dt 31/07/2010
 u/s 365 PPC
 PS CPC Quetta</t>
  </si>
  <si>
    <t>Traced Person. He returned to home on 19/01/2011 statement of his brother recorded.</t>
  </si>
  <si>
    <t>0035-</t>
  </si>
  <si>
    <t>Imran Qureshi S/o Dr. Muhammad Bashir Ali Qureshi</t>
  </si>
  <si>
    <t>House # 19, Street # 13, Sector F-7/2, Islamabad, Village/P.O Hussainabad, Bannu CNIC: 11101-1454464-7</t>
  </si>
  <si>
    <t>FIR No. 260, u/s 365 TP, dt. 26 Jul 10, PS: Kohsar</t>
  </si>
  <si>
    <t>Traced Person. Detained in lock-up of PA, Khyber Agency.</t>
  </si>
  <si>
    <t>0174-K</t>
  </si>
  <si>
    <t>Akbar Jan S/o Arsala Khan</t>
  </si>
  <si>
    <t>Mohallah Aliabad, Tehsil&amp; district: Hangu CNIC: 21604-3666619-5</t>
  </si>
  <si>
    <t>FIR No. 54
 dt: 09/02/2010
 u/s 365 PPC
 PS Hangu</t>
  </si>
  <si>
    <t>Traced Person. He returned to home on 30/11/2010.</t>
  </si>
  <si>
    <t>0036-S</t>
  </si>
  <si>
    <t>Haji Saifal Khan S/o Mureed Khan</t>
  </si>
  <si>
    <t>Muhammad Azeem R/o House # 01, Sector-8, Surjani Town, Saifal Khan Marri Goth, North Karachi</t>
  </si>
  <si>
    <t>FIR No. 299/2008, dt.29 Jun 08, PS Surjani Town, Karachi.</t>
  </si>
  <si>
    <t>Traced Person. Returned to Home Commission recorded his statement on 27/02/2012.</t>
  </si>
  <si>
    <t>0037-B</t>
  </si>
  <si>
    <t>HRC No. 23161-B/2010</t>
  </si>
  <si>
    <t>Abdul Ghaffar S/o Haji Abdul Ghafoor</t>
  </si>
  <si>
    <t>Kalli Esa Zai, Khund, Khuzdar (Mobile No. 0333-7982811)</t>
  </si>
  <si>
    <t>FIR No. 228/09 u/s 365, 147, 149, 337/H2, dt: 20-Dec-09, Ps: Khuzdar</t>
  </si>
  <si>
    <t>0038-B</t>
  </si>
  <si>
    <t>Jawari Lal S/o Aseerdas</t>
  </si>
  <si>
    <t>Hindu Mohallah, Bazar Nal, Tehsil, Nal, District, Khuzdar, CNIC:51402-0184863-1</t>
  </si>
  <si>
    <t>FIR No. 24/09, u/s 365, 34-PPC, dt:20-Apr-09, PS: Nal</t>
  </si>
  <si>
    <t>Deleted. Not a Case of Enforced Disappearance as the kidnapping is for ransom.</t>
  </si>
  <si>
    <t>0191-B</t>
  </si>
  <si>
    <t>Mir Suhrab Khan S/o Malik Shah Mir Khan</t>
  </si>
  <si>
    <t>Tehsil Buleda (Turbat), District Turbat (Kech), Makran CNIC:55202-9246168-7</t>
  </si>
  <si>
    <t>FIR No. 64
 dt: 26/03/2010
 u/s 365/34 PPC
 PS City Quetta</t>
  </si>
  <si>
    <t>0039-B</t>
  </si>
  <si>
    <t>CP No. 716/09 Balochistan High Court</t>
  </si>
  <si>
    <t>Sami Ullah S/o Mir Hazar</t>
  </si>
  <si>
    <t>Village Sardar Badini, Union Council Badini, District Noshki.</t>
  </si>
  <si>
    <t>FIR No. 309/09, u/s 365, 34-PPC, dt: 22-Dec-09, PS: Civil Lines, Quetta</t>
  </si>
  <si>
    <t>Deleted. The alleged Missing Person has been declared abscounder by competent court of jurisdiction.</t>
  </si>
  <si>
    <t>0040-K</t>
  </si>
  <si>
    <t>Sher Zada S/o Sardar Gul</t>
  </si>
  <si>
    <t>Beroon Yaka Toot, Zargarabad Mohallah,Sadiqabad, Peshawar. CNIC: 17301-3264465-9</t>
  </si>
  <si>
    <t>FIR No. 566 dt. 18 Aug 10, u/s 365 PPC, PS: Cantt East, Peshawar</t>
  </si>
  <si>
    <t>Traced Person. Returned to home on 02/03/2012. Affidavit submitted on his behalf.</t>
  </si>
  <si>
    <t>0041-K</t>
  </si>
  <si>
    <t>Shams-ul-Hassnat S/o Syed Shakir Ullah</t>
  </si>
  <si>
    <t>Mohallah Syedan Shabaqdar Tehsil Shabaqdar District Charasadda. CNIC: 17101-8872454-7 (Mobile No. 0300-5877901, 091-6281023)</t>
  </si>
  <si>
    <t>FIR No. 572, dt. 21 Jul 10, PS: Badhbher, Peshawar</t>
  </si>
  <si>
    <t>0042-P</t>
  </si>
  <si>
    <t>Hafiz Muhammad Ibrahim Khalil S/o Muhammad Zahid Azizi</t>
  </si>
  <si>
    <t>88/89 P-Block, Gulistan Colony, Jhang Road, Faisalabad CNIC:33100-076029-9</t>
  </si>
  <si>
    <t>FIR No. 62, dt.21 Jan 10, PS Jhang Bazar.</t>
  </si>
  <si>
    <t>Traced Person. Returned to Home appeeared before the Commission.</t>
  </si>
  <si>
    <t>Fasilabad</t>
  </si>
  <si>
    <t>0043-K</t>
  </si>
  <si>
    <t>HRC No. 43867-K/2011</t>
  </si>
  <si>
    <t>Riaz Muhammad Khan S/o Taj Muhammad Khan</t>
  </si>
  <si>
    <t>Ehsan Ali, Mohallah Teliabad Post Office Kanju Kabal Swat. (Mobile No.0333-9481097 &amp; 0313-9481097)</t>
  </si>
  <si>
    <t>FIR No. 1343, dt. 12 Oct 10, PS: Mirjani Shah</t>
  </si>
  <si>
    <t>0044-K</t>
  </si>
  <si>
    <t>Shams-ur-Rehman S/o Shams-ul-Umer</t>
  </si>
  <si>
    <t>0045-K</t>
  </si>
  <si>
    <t>Wahid Ullah S/o Fida Muhammad</t>
  </si>
  <si>
    <t>Wekh Marozi Kandy, Post office Wekh, Tehsil Shabqadar, Distt. Charsadda</t>
  </si>
  <si>
    <t>FIR No. 698, dt. 21 Jul 10, u/s 365 PPC, PS: Akhora Khattak</t>
  </si>
  <si>
    <t>Charsadda</t>
  </si>
  <si>
    <t>0046-k</t>
  </si>
  <si>
    <t>HRC No. 31308-K/2012</t>
  </si>
  <si>
    <t>Iqbal Hussain S/o Naseer Khan</t>
  </si>
  <si>
    <t>Village, Aligrama, Mohallah, Muslimabad, P.O. Kabal, Tehsil &amp; Distt, Swat.</t>
  </si>
  <si>
    <t>FIR No. 971, dt. 06 Oct 10, u/s 365 PPC, PS: Chamkani, Peshawar</t>
  </si>
  <si>
    <t>0047-K</t>
  </si>
  <si>
    <t>Shah Zarin S/o Ameer Zarin</t>
  </si>
  <si>
    <t>Village, Aligrama, Mohallah, Muslimabad, P.O. Kabal, Tehsil &amp; Distt, Swat. CNIC: 15602-8326876-9</t>
  </si>
  <si>
    <t>Deleted. Not a Case of Enforced Disappearances.</t>
  </si>
  <si>
    <t>0048-K</t>
  </si>
  <si>
    <t>Hazrat Hussain S/o Naseer Khan</t>
  </si>
  <si>
    <t>Village, Aligrama, Mohallah, Muslimabad, P.O. Kabal, Tehsil &amp; Distt, Swat. CNIC: 15602-3766293-5</t>
  </si>
  <si>
    <t>FIR No. 971,
 dt. 06/10/2010, u/s 365 PPC, PS: Chamkani, Peshawar</t>
  </si>
  <si>
    <t>Deleted. Not a Case of Enforced Disappearances</t>
  </si>
  <si>
    <t>0049-K</t>
  </si>
  <si>
    <t>Jahanzaib Khan S/o Ranry Zai</t>
  </si>
  <si>
    <t>Village, Aligrama, Mohallah, Muslimabad, P.O. Kabal, Tehsil &amp; Distt, Swat. CNIC: 15602-0318759-9</t>
  </si>
  <si>
    <t>0050-K</t>
  </si>
  <si>
    <t>Sardar Khan S/o Ranry Zai</t>
  </si>
  <si>
    <t>0051-B</t>
  </si>
  <si>
    <t>Safar Khan S/o Sher Khan</t>
  </si>
  <si>
    <t>Sariab road, Killi Muslimabad, PO, Hazar Ghanji, Quetta.</t>
  </si>
  <si>
    <t>FIR No. 37/2010, dt. 26 Oct 09, PS, Sariyab, Quetta.</t>
  </si>
  <si>
    <t>Deleted. Report submitted at the hearing on 22.5.2018 indicates that the complainant is not cooperating in the investigation and has not attended meetings of JIT and PTF. The case is, therefore, closed due to non-prosecution.</t>
  </si>
  <si>
    <t>Haji Atta Ullah S/o Ameer Nawaz Khan</t>
  </si>
  <si>
    <t>Alamgir Khan, House # 456-D, Street No. 105, G-6/1-4, Islamabad.</t>
  </si>
  <si>
    <t>FIR No. 705/2010 dt. 22 Jul 10 u/s 365 PPC</t>
  </si>
  <si>
    <t>Traced Person. Returned to home on 30/03/2011. Commission recorded his statement.</t>
  </si>
  <si>
    <t>0053-A</t>
  </si>
  <si>
    <t>HRC 11662-A/2010, HRC No. 31163-A/2012</t>
  </si>
  <si>
    <t>Abdul Raheem Butt S/o Qadir Butt</t>
  </si>
  <si>
    <t>Sarwa Begum W/o missing person r/o Muhajir Colony, Hadabari, Tehsil &amp; Distt: Bagh, AJ&amp;K</t>
  </si>
  <si>
    <t>FIR No.152,
 dt: 4/8/2011, u/s 365 PPC, PS Bagh, AJ&amp;K</t>
  </si>
  <si>
    <t>Deleted. The case was received from Human Right Cell, Supreme Court of Pakistan on 20.9.2021. Investigation into the case revealed that incident of disappearance, which took place on 27.2.2003 was reported to the Police on 6.4.2010. The case has been probing thoroughly under the supervision of DIG (HQ) AJK Police. As many as 21 hearings were held in this case by the Commission. It has been concluded that it is not a case of enforced disappearance. The case is closed.</t>
  </si>
  <si>
    <t>AJ&amp;K</t>
  </si>
  <si>
    <t>0054-K</t>
  </si>
  <si>
    <t>HRC 6742-N/2010</t>
  </si>
  <si>
    <t>Zubair Alam S/o Sher Alam</t>
  </si>
  <si>
    <t>00/00/0000</t>
  </si>
  <si>
    <t>Akhorowal, Peer Khel, Dara Adam Khel, FR Kohat</t>
  </si>
  <si>
    <t>Traced Person. Dead body was found in mountains.</t>
  </si>
  <si>
    <t>0055-K</t>
  </si>
  <si>
    <t>Zubair S/o Ameen Shah</t>
  </si>
  <si>
    <t>0056-B</t>
  </si>
  <si>
    <t>Sangat Sana Baloch S/o Haji Muhammad</t>
  </si>
  <si>
    <t>Khad Kucha, Khalil Ahmed, Mastaung</t>
  </si>
  <si>
    <t>FIR No. 05/2010, u/s 365, 34-PPC, dt. 15-Mar-10, PS: Kolpur, Kachi Dhadar</t>
  </si>
  <si>
    <t>Traced Person. Dead body recovered from the mountains of Turbat. Buried in Mastung. Father confirmed.</t>
  </si>
  <si>
    <t>0057-B</t>
  </si>
  <si>
    <t>Mazar Khan S/o Umeed Khan</t>
  </si>
  <si>
    <t>Killi Bulghani, Kishangagi Dosay, Distt: Noshki</t>
  </si>
  <si>
    <t>FIR No. 17/10, u/s 365-PPC, dt. 21-Feb-10, PS Noshki</t>
  </si>
  <si>
    <t>Deleted. Not a Case of Enforced Disappearances. Case was also dropped by High Court of Balochistan.</t>
  </si>
  <si>
    <t>0058-K</t>
  </si>
  <si>
    <t>Saif-u-Rehman S/o Raziq Noor</t>
  </si>
  <si>
    <t>House # 1604 Qazi Street D.I. Khan</t>
  </si>
  <si>
    <t>FIR No.799
 dt:16/11/2010
 u/s 365 PPC
 PS City, D I Khan</t>
  </si>
  <si>
    <t>Traced Person. He was kept in alleged detention by Police and released on 30/06/2011.</t>
  </si>
  <si>
    <t>0059-K</t>
  </si>
  <si>
    <t>Haji Rehman S/o Haji Juma Raz Khan</t>
  </si>
  <si>
    <t>Kachkot Asad Khan Mohallah alias Kase Qilla, PO. Toork Surani, Bannu</t>
  </si>
  <si>
    <t>FIR No. 78, dt. 07 Jun 10, PS: Bannu</t>
  </si>
  <si>
    <t>Traced Person. Returned to home on 30/08/2011 as confirmed by DPO, Bannu.</t>
  </si>
  <si>
    <t>0060-P</t>
  </si>
  <si>
    <t>Faizan Farooq s/o Muhammad Farooq</t>
  </si>
  <si>
    <t>Muhammad Farooq, r/o Defence Road, Khawaj Cooperation Chowk, Adyala Road, Rawalpindi. (Mobile No. 0322-5792050)</t>
  </si>
  <si>
    <t>Traced Person. Faizan Farooq has to returned home and appeared before the Commission on 28/12/2018. His statement has been recorded. In his statement he has stated on oath that he went for Tableegh on 09th October, 2018 and back after 45 days.</t>
  </si>
  <si>
    <t>0061-K</t>
  </si>
  <si>
    <t>Matti Ullah s/o Ramzan Khan</t>
  </si>
  <si>
    <t>Mst. Noor Jamala, r/o Warsata, tehsil &amp; District hangu. (Mobile No. 0332-0502201 &amp; 0332-0502301)</t>
  </si>
  <si>
    <t>Nill</t>
  </si>
  <si>
    <t>FIR No. 1051/18 dated 18/12/2018 u/s 365 PPC, PS City, District Hangu</t>
  </si>
  <si>
    <t>0062-B</t>
  </si>
  <si>
    <t>Muhammad Shah Zarkoon S/o Dur Muhammad</t>
  </si>
  <si>
    <t>Kalli Malik Zai Tehsil District Kohlu</t>
  </si>
  <si>
    <t>FIR No. 84/2010, dt. 3. Mar 10, PS: Quetta</t>
  </si>
  <si>
    <t>Traced Person. Returned to home on 14/02/2011 as confirmed at the hearing held on 04/04/2011.</t>
  </si>
  <si>
    <t>0063-B</t>
  </si>
  <si>
    <t>Lachhi s/o Sultan</t>
  </si>
  <si>
    <t>Village Goth Meir, PS Wandar, Tehsil &amp; District Lasbela.</t>
  </si>
  <si>
    <t>FIR No. 10/2010, dt. 09 Feb 10, PS: Industrial Area, Lasbella</t>
  </si>
  <si>
    <t>Deleted as the family of Missing Person Lachhi the alleged Missing Person is not traceable.</t>
  </si>
  <si>
    <t>0064-B</t>
  </si>
  <si>
    <t>Syed RaJai Shah S/o Syed Peral Shah</t>
  </si>
  <si>
    <t>Tehsil Chathar, Post Office Chathar District Nasirabad</t>
  </si>
  <si>
    <t>FIR No. 8/2010, dt. 22 Mar 10, PS: Chatta, Naseerabad</t>
  </si>
  <si>
    <t>Traced Person. Dead body of Rajai Shah was found and burried by his relatives in the area of Chatar.</t>
  </si>
  <si>
    <t>0065-B</t>
  </si>
  <si>
    <t>Niaz Muhammad S/o Shah Muhammad</t>
  </si>
  <si>
    <t>Killi Nughtain, The Karezat District Pishin</t>
  </si>
  <si>
    <t>FIR No.13
 dt 16/3/2011
 u/s 365/34 PPC
 PS: Levies Thana, Bostan.</t>
  </si>
  <si>
    <t>Deleted. Not a case of Enforced Disappearance as complainant could not produced any witness in support of his alegation that Niaz Muhammad was abducted dby some ageincey. No further action is required. The Case is closed.</t>
  </si>
  <si>
    <t>0066-B</t>
  </si>
  <si>
    <t>Abdul Nasir Marri S/o Abdul Ghafoor Marri</t>
  </si>
  <si>
    <t>House No. 69287, Haji Ali Bhadur road Quetta</t>
  </si>
  <si>
    <t>FIR No. 35/2010, dt. 14 Oct 09, PS: City , Quetta</t>
  </si>
  <si>
    <t>Deleted. He returned to home on 21/04/2011 as confirmed by his brother at the hearing on 09/05/2011.</t>
  </si>
  <si>
    <t>0192-B</t>
  </si>
  <si>
    <t>Faizullah S/o Laka</t>
  </si>
  <si>
    <t>Hazar Ganji Vegetable market Sariab Road Quetta</t>
  </si>
  <si>
    <t>FIR No. 89
 dt: 19/5/2010
 u/s 365/147/149 PPC
 PS Shalkot, Quetta</t>
  </si>
  <si>
    <t>Traced Person. He returned to home on 06/01/2011 as statement recorded by his brother Din Muhammad who appeared before to Commission.</t>
  </si>
  <si>
    <t>Hassan Khan S/o Sikandar Ali Shah</t>
  </si>
  <si>
    <t>Lower Karez, Sattellite Town, Quetta.</t>
  </si>
  <si>
    <t>FIR No. 128
 dt: 16/6/2010
 u/s 365/34 PPC
 PS Satellite Town, Quetta</t>
  </si>
  <si>
    <t>Traced Person. He appeared before the Commission and stated that he returned to home on 03/01/2011.</t>
  </si>
  <si>
    <t>0067-B</t>
  </si>
  <si>
    <t>Syed Muhammad Azeem Agha S/o Syed Muhammad Ibrahim Agha</t>
  </si>
  <si>
    <t>Kalat Street, Jail Road, Hudda, Quetta</t>
  </si>
  <si>
    <t>FIR No. 309/2010, dt. 09 Dec 09, PS: Saddar, Quetta</t>
  </si>
  <si>
    <t>Deleted. Not a case of Enforced Disappearance as confirmed by his mother and his wife..</t>
  </si>
  <si>
    <t>0194- B</t>
  </si>
  <si>
    <t>Shah Nawaz S/o Nazar Muhammad</t>
  </si>
  <si>
    <t>Hazar Gunji, Quetta</t>
  </si>
  <si>
    <t>FIR No. 49
 dt: 05/04/2010
 u/s 365/34
 PPC, PS Shalkot, Quetta</t>
  </si>
  <si>
    <t>Traced Person. Shadi Khan uncle of Shah Nawaz recorded his statement that Shah Nawaz returned to home on 04/02/2011.</t>
  </si>
  <si>
    <t>0068-B</t>
  </si>
  <si>
    <t>Ziaullah S/o Karim Gul</t>
  </si>
  <si>
    <t>Habibullah Company Sorange, Quetta</t>
  </si>
  <si>
    <t>DD No. 6, dt. 26 Feb 07, PS: Hanna, Quetta</t>
  </si>
  <si>
    <t>0069-B</t>
  </si>
  <si>
    <t>Abdul Ghani S/o Haji Khair Muhammad</t>
  </si>
  <si>
    <t>Village Talli, District Sibi</t>
  </si>
  <si>
    <t>FIR No. 04/10 u/s 365 PPC</t>
  </si>
  <si>
    <t>Deleted on the request of his mother of Missing Person.</t>
  </si>
  <si>
    <t>0070-B</t>
  </si>
  <si>
    <t>Mir Abdul Wadood Raisani S/o Mir Ahmed Nawaz Raisani</t>
  </si>
  <si>
    <t>House # 42541A, Abdullah Lines, Prince Road, near Rahat Cinema, Quetta</t>
  </si>
  <si>
    <t>FIR No. 147/09, dt. 22 Jun 09, PS: Civil Lines, Quetta</t>
  </si>
  <si>
    <t>Traced Person as confirmed by Deputy Chief of Protocol MoFAs, Quetta that Missing Person was formed residing at Kabul.</t>
  </si>
  <si>
    <t>0071-B</t>
  </si>
  <si>
    <t>Abdul Rehman S/o Abdul Raheem</t>
  </si>
  <si>
    <t>Umer Kot, Hafiz Gul Muhammad Gabul, Matiyal Ghar, Bahadurpur Taluka Thul, Tehsil &amp; Distt: Jacobabad, Mandal Goshani, Tehsil &amp; Distt: Dera Murad Jamali</t>
  </si>
  <si>
    <t>FIR No. 89/2010 u/s 147, 149, 365 PPC, PS: Shalkot, Quetta</t>
  </si>
  <si>
    <t>Traced Person. Dead Body recovered and identification confirmed in Civil Hospital.</t>
  </si>
  <si>
    <t>HRC No. 23246-B/2010</t>
  </si>
  <si>
    <t>Mir Sami Husain Anqa S/o Mir Nusrat Husain Anqa</t>
  </si>
  <si>
    <t>House # 2, Yousaf Zai Street, Shahzaman Road, Tehsil: Mach, Distt: Bolan</t>
  </si>
  <si>
    <t>Deleted. On the desire of Compainant that he does not want like to pursue the case further.</t>
  </si>
  <si>
    <t>0073-B</t>
  </si>
  <si>
    <t>Zulfiqar Ali S/o Sikandar Khan</t>
  </si>
  <si>
    <t>Goth Sikandar Khan Khosa, PS Saddar Thana, Tehsil: Dera Murad Jamali, Distt: Dera Murad Jamali</t>
  </si>
  <si>
    <t>FIR No. 50/10, dt. 22 Mar 10, PS: Dera Murad Jamali</t>
  </si>
  <si>
    <t>0074-K</t>
  </si>
  <si>
    <t>Noor -ul-Ameen S/o Hayat Khan</t>
  </si>
  <si>
    <t>Shabqadar Bazar, Mohallah Gul Bahar Colony, P.O Shabqadar Bazar, Charsadda</t>
  </si>
  <si>
    <t>FIR No. 74 
 dt: 10/4/2011
 u/s 365 PPC
 PS Kulachi, District D.I. Khan</t>
  </si>
  <si>
    <t>Traced Person. Confined in Internment Center Lakki Marwat.</t>
  </si>
  <si>
    <t>0075-K</t>
  </si>
  <si>
    <t>Hafiz ShakirUllah Khan S/oAsfar Khan</t>
  </si>
  <si>
    <t>Village Dheri Wazir Abad, P.O Al-Markaz Al-Islami, PS: Anwri Wala, Tehsil &amp; Distt: Bannu (Mobile No. 0301-8081690, 0301-8081034)</t>
  </si>
  <si>
    <t>FIR No. 111
 dt: 24/04/2011
 u/s 365 PPC
 PS Ghauri Wala, District Bannu</t>
  </si>
  <si>
    <t>0076-K</t>
  </si>
  <si>
    <t>HRCNo. 22872-K/2010</t>
  </si>
  <si>
    <t>Maulana Burhan-u-Din</t>
  </si>
  <si>
    <t>Gaghzai Tehsil &amp; District Kohat</t>
  </si>
  <si>
    <t>FIR No. 427
 dt 23/4/2011
 u/s 365 PPC
 PS City Kohat</t>
  </si>
  <si>
    <t>0077-K</t>
  </si>
  <si>
    <t>Nadir Khan S/o Minhaj</t>
  </si>
  <si>
    <t>Mouza Qamber, Golden Colony, Qambar, Swat
 (Mobile No. 0300-8965273)</t>
  </si>
  <si>
    <t>FIR No. 169 dt: 4/4/2011 u/s 365/34 PPC, PS Rahimabad, Swat</t>
  </si>
  <si>
    <t>Swat</t>
  </si>
  <si>
    <t>0078-K</t>
  </si>
  <si>
    <t>Ghulam Khan S/o Mir Qadam Khan</t>
  </si>
  <si>
    <t>Kotka Mir Badshah Tajori, Tehsil &amp; District Lakki Marwat. (Mobile No. 0346-9516392)</t>
  </si>
  <si>
    <t>FIR No. 454
 dt 28/11/2010
 u/s 365 PPC
 PS Tajori, District Lakki Marwat</t>
  </si>
  <si>
    <t>0175-K</t>
  </si>
  <si>
    <t>Gul Qadam Khan S/o Qadam Khan</t>
  </si>
  <si>
    <t>FIR No.454
 dt 28/11/2010
 u/s 365 PPC
 PS Tajori, District Lakki Marwat</t>
  </si>
  <si>
    <t>0079-K</t>
  </si>
  <si>
    <t>Arif Ullah S/o Sakhi Zaman</t>
  </si>
  <si>
    <t>Village Khudal Bhart, Akra, PS: Mandan, Tehsil &amp; District Bannu 
 (Mobile No. 0333-9741093,03326568910)</t>
  </si>
  <si>
    <t>FIR No.25,
 dt: 25/4/2011, u/s 365 PPC, PS Township, Bannu</t>
  </si>
  <si>
    <t>Bannu</t>
  </si>
  <si>
    <t>0080-A</t>
  </si>
  <si>
    <t>Muhammad Iqbal S/o Ghulam Mustafa</t>
  </si>
  <si>
    <t>Village Kaloch, P.O Ghari Dopatta, Tehsil &amp; Distt: Muzaffarabad, AJ&amp;K</t>
  </si>
  <si>
    <t>FIR No.69,
 dt: 6/8/2011, u/s 364 PPC, PS Garhi Dopatta, AJ&amp;K</t>
  </si>
  <si>
    <t>0081-K</t>
  </si>
  <si>
    <t>HRC No. 5713-N/2010</t>
  </si>
  <si>
    <t>Hazrat Bilal S/o Mian Gul Jan</t>
  </si>
  <si>
    <t>Village Piochar, PO Gat, Tehsil Matta, District Swat</t>
  </si>
  <si>
    <t>FIR No. 70, dt. 19 Jan 11, u/s 365, PS: West Cantt, Peshawar</t>
  </si>
  <si>
    <t>0185-K</t>
  </si>
  <si>
    <t>Izzat Khan S/o Zaman Khan</t>
  </si>
  <si>
    <t>Mohallah Bar Palo Khazana, P.O. Garhi, Tehril &amp; District Swat. (Mobile No. 0336-9440737)</t>
  </si>
  <si>
    <t>Traced Person. Returned to Home as confirmed by District Police Officer, Swat.</t>
  </si>
  <si>
    <t>0186-K</t>
  </si>
  <si>
    <t>Nawaz Khan S/o Said Khan</t>
  </si>
  <si>
    <t>0187-K</t>
  </si>
  <si>
    <t>Muhammad Iraq S/o Saltanat Khan</t>
  </si>
  <si>
    <t>0188-K</t>
  </si>
  <si>
    <t>Shah Anwar S/o Talemand</t>
  </si>
  <si>
    <t>Bakht Zada S/o Abdul Raziq</t>
  </si>
  <si>
    <t>0082-I</t>
  </si>
  <si>
    <t>HRC No. 23225-S/2010</t>
  </si>
  <si>
    <t>Ashraf S/o Haji Ali Muhammad</t>
  </si>
  <si>
    <t>Village &amp; PO. Mir Muhammad Jono, Tehsil Qazi Ahmed, Distt:. Shaheed Benazir Abad. (Mobile No.0307-3227390)</t>
  </si>
  <si>
    <t>FIR No.235
 dt: 22/5/2011
 u/s 3/4 ESA
 PS Sabzi Mandi, Islamabad</t>
  </si>
  <si>
    <t>Traced Person. Confined in Adyala Jail, Rawalpindi in case FIR No. 235/2011 of Police Station Sabzi Mandi, ICT.</t>
  </si>
  <si>
    <t>0184-P</t>
  </si>
  <si>
    <t>Qaisar Iftikhar (Faisal Iftikhar) S/o Muhammad Iftikhar</t>
  </si>
  <si>
    <t>Chak No. 226 RB Malkhanwala, Tehsil &amp; District Faisalabad.(Mobile No. 0305-5211223)</t>
  </si>
  <si>
    <t>FIR No. 584
 dt: 8/8/2010
 u/s 365 PPC
 PS Khurrianwala, District: Faisalabad</t>
  </si>
  <si>
    <t>Confined in Kot Lakhpat Jail, Lahore.</t>
  </si>
  <si>
    <t>0083-K</t>
  </si>
  <si>
    <t>HRC No. 23218-K/2010</t>
  </si>
  <si>
    <t>Umar Khan S/o Khaista Lal</t>
  </si>
  <si>
    <t>Village &amp; P.O Hazara, Tehsila Qabal, Distt: Swat</t>
  </si>
  <si>
    <t>FIR No.108
 dt: 26/4/2011
 u/s 365 PPC
 PS Kabal, District: Swat.</t>
  </si>
  <si>
    <t>0176-K</t>
  </si>
  <si>
    <t>Zahir Shah S/o Ali Zar Khan</t>
  </si>
  <si>
    <t>Dari Khel Pang, P.O Malazai, Tehsil &amp; Distt: Tank.(MobileNo.0302-8160948)</t>
  </si>
  <si>
    <t>FIR No. 116
 dt: 19/09/2009
 u/s 13 AO
 PS Mullazai, D.I.Khan</t>
  </si>
  <si>
    <t>Traced Person. He returned to home as per statement of Muhammad Idrees, DIG, KP Police.</t>
  </si>
  <si>
    <t>0084-K</t>
  </si>
  <si>
    <t>HRC No. 23165-S/2010, HRC No. 25012-S/2013</t>
  </si>
  <si>
    <t>Mufti Ishfaq Hussain Shah S/o Siraj Hussain Shah</t>
  </si>
  <si>
    <t>A.1049, Gulshan-e-Hadeed, Phase-II, Bin Qasim, Karachi (Mobile No. 0307-2097073)</t>
  </si>
  <si>
    <t>DD entry No.27
 dt: 4/1/2011
 u/s 156 (3)CrPC
 PS Saddar, Bannu</t>
  </si>
  <si>
    <t>0177-P</t>
  </si>
  <si>
    <t>Naveed-u-Rehman S/o Muhammad Saleem</t>
  </si>
  <si>
    <t>Ram Killi, Bahwalpur Chowk, Tehsil &amp; Distt: Multan</t>
  </si>
  <si>
    <t>FIR No. 486
 dt: 11/11/2010
 u/s 365 PPC
 PS Saddar Pasrur District: Sialkot</t>
  </si>
  <si>
    <t>0085-S</t>
  </si>
  <si>
    <t>HRC No. 23169-S/2010</t>
  </si>
  <si>
    <t>Abdul Aziz S/o Saifal Khan</t>
  </si>
  <si>
    <t>Saifal Khan B/o Missing Person r/o Munshiwala, Chah Bhanjranwala, P.O Karam Aliwala, Tehsil Jalalpur, Distt. Multan (Mobile No. 0300-2081137)</t>
  </si>
  <si>
    <t>FIR No. 103/2010, dt. 23 Jul10, PS: City Court, Karachi</t>
  </si>
  <si>
    <t>0086-S</t>
  </si>
  <si>
    <t>HRC No. 23102-S/2010</t>
  </si>
  <si>
    <t>Mehboob Ali Wadela S/o Baig Muhammad</t>
  </si>
  <si>
    <t>R-9/10, Gulshan-e-Munir, Malir, Karachi 43</t>
  </si>
  <si>
    <t>FIR No. 33, dt. 02 Apr 10, PS: Mauri Pur, Karachi</t>
  </si>
  <si>
    <t>Traced Person. On 23/02/2011 dead body of Mehbood Ali Wadela found within the limits of PS, Urmara.</t>
  </si>
  <si>
    <t>0087-B</t>
  </si>
  <si>
    <t>HRC NO. 23100-S/2010</t>
  </si>
  <si>
    <t>Qari Abdul Samad S/o Haji Rasool Bakhsh</t>
  </si>
  <si>
    <t>Faqir Ji Khohi Post office, Nawabshah, Sindh</t>
  </si>
  <si>
    <t>FIR No.17
 dt: 24/1/2011
 u/s 365 PPC
 PS Gwalmandi, Quetta.</t>
  </si>
  <si>
    <t>HRC No. 23099-P/2010</t>
  </si>
  <si>
    <t>Amjad Khan S/o Yaqoob Khan</t>
  </si>
  <si>
    <t>P/O Kamonki Loot, Tehsil Ogi, Dist. Malakand. (Mobile No. 0301-8184850)</t>
  </si>
  <si>
    <t>Traced Person. Appeared before the Commission on 31/03/2011.</t>
  </si>
  <si>
    <t>089-K 2737 Same</t>
  </si>
  <si>
    <t>HRC NO. 23338-K/2010</t>
  </si>
  <si>
    <t>Fazal Subhan S/o Abdul Jabbar</t>
  </si>
  <si>
    <t>Mst. Shar Bano, R/o Daraimi, P.O: Rahat Kot, Tehsil Matta, Distt: Swat. (Mobile No. 0333-9374195)</t>
  </si>
  <si>
    <t>FIR No.904,
 dt: 20/12/2010, u/s 365 PPC, PS East Cantt. Peshawar</t>
  </si>
  <si>
    <t>2822, 3173, 338, 089, 591 &amp; 2893 to be fixed together</t>
  </si>
  <si>
    <t>0090-B</t>
  </si>
  <si>
    <t>Dr. Akbar Marri S/o Bakhtiar Khan</t>
  </si>
  <si>
    <t>Obaid Ullah S/o Bakhtiar Khan, R/o Chiltan Clinic, Gahi Khan Chowk, Sariab, Quetta (Mobile No. 0332-7930132)</t>
  </si>
  <si>
    <t>Deleted.</t>
  </si>
  <si>
    <t>0091-B</t>
  </si>
  <si>
    <t>Manzoor Ahmed Mengal S/o Nazir Ahmed</t>
  </si>
  <si>
    <t>Mst. Sharf Bibi, R/o Killi Dildar, Kaarez Sardar, Quetta. 
 (Mobile No. 0336-8145415)</t>
  </si>
  <si>
    <t>Daily Diary Entry dated 28/3/2010
 PS Shalkot, Quetta.</t>
  </si>
  <si>
    <t>Deleted. Withdrawn by the complainanat, mother of missing person.</t>
  </si>
  <si>
    <t>0092-B</t>
  </si>
  <si>
    <t>Shams-ul-Din S/o Haji Muhammad Usman</t>
  </si>
  <si>
    <t>Sikandar Baloch S/o Haji Muhammad Usman, R/o Podgali Chowk, Dad Muhammad Street, Sabzal Road, Quetta. (Mobile No. 0333-7821803)</t>
  </si>
  <si>
    <t>FIR No.84,
 dt: 6/7/2010, u/s 365/34 PPC,
 PS New Sariab, Quetta</t>
  </si>
  <si>
    <t>0093-K</t>
  </si>
  <si>
    <t>Shabir Rehman S/o Malik Alaf Khan</t>
  </si>
  <si>
    <t>Saramela, Bostikhel, Darra Adam Khel FR Kohat.</t>
  </si>
  <si>
    <t>FIR NIL</t>
  </si>
  <si>
    <t>Traced Person. SP (Inv), Kohat submitted report that Missing Person has return to home.</t>
  </si>
  <si>
    <t>0094-F</t>
  </si>
  <si>
    <t>HRC No. 22554-K/2010</t>
  </si>
  <si>
    <t>Imran Khan S/o Muhammad Siddique</t>
  </si>
  <si>
    <t>Muhammad Iqbal Afridi, Afridi Ply Wood Agency, Main Road, Bara Kahu, Islamabad (0300-5161792, 0312-9124281)</t>
  </si>
  <si>
    <t>0095-P</t>
  </si>
  <si>
    <t>Omer Arshad S/o Muhammad Arshad</t>
  </si>
  <si>
    <t>House No. 253-A, Street No. 6, Industrial area Sector I-9/2, Islamabad (Mobile No. 0323-5219089)</t>
  </si>
  <si>
    <t>FIR No. 159/10
 u/s 365 PPC
 PS Sarwar Road, Lahore</t>
  </si>
  <si>
    <t>0096-K</t>
  </si>
  <si>
    <t>Hafiz Haseeb-u-Rehman S/o Shams-u-Rehman</t>
  </si>
  <si>
    <t>Noghari, Mameshkhel, Kotka Muhammad Ayan, District Bannu</t>
  </si>
  <si>
    <t>Traced Person. He was lifted by Police and handed over to ISI. Later he returned to home.</t>
  </si>
  <si>
    <t>0097-P</t>
  </si>
  <si>
    <t>HRC No. 23605-P/2010</t>
  </si>
  <si>
    <t>Muhammad Yaqoob Faiz S/o Hafiz Faiz Faiz Bakhsh</t>
  </si>
  <si>
    <t>Jamia Siddiqia Jama Masjid Al-Rafique Gali No.27, Gulistan Colony Dahrampura Lahore.</t>
  </si>
  <si>
    <t>Traced Person. Returned to home submitted affidavit on dated 21/12/2011.</t>
  </si>
  <si>
    <t>0098-K</t>
  </si>
  <si>
    <t>Tikka Khan S/o Kptan Khan</t>
  </si>
  <si>
    <t>Mazid Khel, Sheraki, Darra Adam Khel</t>
  </si>
  <si>
    <t>FIR No.182 dt.23/04/2011 u/s 342/365 PPC PS Jarma District Kohat</t>
  </si>
  <si>
    <t>0099-K</t>
  </si>
  <si>
    <t>HRC No. 42441-K/2010, HRC No. 54170-K/2010</t>
  </si>
  <si>
    <t>Zakir Ullah S/o Haji Muqarab Khan</t>
  </si>
  <si>
    <t>Sakna Jhangi Gala, Police Station Domail, Tehsil &amp; District Bannu</t>
  </si>
  <si>
    <t>FIR No. 98
 dt: 24/4/2011
 u/s 365 PPC
 PS Domel, District: Bannu</t>
  </si>
  <si>
    <t>Traced Person. Confimed in Rehabilation/ Internment Center, Kohat.</t>
  </si>
  <si>
    <t>0100-K</t>
  </si>
  <si>
    <t>Afreen Khan S/o Masam Khan</t>
  </si>
  <si>
    <t>Cheena Malook Abad, Police Satation Mengora</t>
  </si>
  <si>
    <t>FIR No. 355, dt. 29 Apr 11 u/s 365 PPC, PS: Khazan, Peshawar</t>
  </si>
  <si>
    <t>Traced Person. Confimed in Internment Center Fizaghat, District Swat.</t>
  </si>
  <si>
    <t>0195-B</t>
  </si>
  <si>
    <t>Muhammad Farooq S/o Ghulam Nabi</t>
  </si>
  <si>
    <t>Flat # 240, Mano Jan Road, Quetta</t>
  </si>
  <si>
    <t>Case u/s 295/2009 u/s 324 QD/34 PPC,PS/Saddar,Quetta.</t>
  </si>
  <si>
    <t>0178-F</t>
  </si>
  <si>
    <t>Jalla Habib s/o Kabba Khan</t>
  </si>
  <si>
    <t>Shaheed Banda, P.O Jarma, Distt: Kohat</t>
  </si>
  <si>
    <t>Case u/s 365/400/401 PPC r/w 11 &amp; 40 FCR booked by APA (U) Orakzai Agency</t>
  </si>
  <si>
    <t>Traced Person. Confined in Kohat Jail.</t>
  </si>
  <si>
    <t>0101-I</t>
  </si>
  <si>
    <t>Rana Masha Allah S/o Abdul Razzaque</t>
  </si>
  <si>
    <t>Adbullah Town, Main Street Barha Kaho, Islamabad</t>
  </si>
  <si>
    <t>FIR No. 228, dt. 21 Aug 10, PS: Bara Kaho, Isld.</t>
  </si>
  <si>
    <t>Traced Person. He appeared before the Commission and stated that he returned to home on 17/03/2011.</t>
  </si>
  <si>
    <t>0102-K</t>
  </si>
  <si>
    <t>HRC No. 11676-P/2010</t>
  </si>
  <si>
    <t>Zafar Ullah S/o Mohabbat Ullah</t>
  </si>
  <si>
    <t>6 FF Regiment (SEP No. 3368603), Alpha Company, Lahore Cantt. (Mobile No. 0343-4578526)</t>
  </si>
  <si>
    <t>FIR No.213,
 dt: 23/4/2011, u/s 365/342 PPC,
 PS Bilitang, Kohat</t>
  </si>
  <si>
    <t>0179-K</t>
  </si>
  <si>
    <t>Inayat Ullah S/o Gammo Khan</t>
  </si>
  <si>
    <t>Chak Jalhore, Choti Zairien, Tehsil &amp; Distt: Dera Ghazi Khan</t>
  </si>
  <si>
    <t>FIR No.271
 dt 25/09/2009
 u/s 11-F(1)/21-C/11(v) ATA
 PS:Choti District D.G.Khan</t>
  </si>
  <si>
    <t>Traced Person. He was arrested by Police in case FIR No. 271/09 on 05/01/2011.</t>
  </si>
  <si>
    <t>0103-B</t>
  </si>
  <si>
    <t>Abdul Wahab S/o Noor Muhammad</t>
  </si>
  <si>
    <t>Govt. Girls High School, Tump, Distt: Kech</t>
  </si>
  <si>
    <t>FIR No. 12/10, dt. 12 Mar 10, PS: Tump, Kech</t>
  </si>
  <si>
    <t>0104-B</t>
  </si>
  <si>
    <t>Abid Ali Shah S/o Said Muhammad</t>
  </si>
  <si>
    <t>Basid Medical Store Civil Hospital Chitka Panjgur</t>
  </si>
  <si>
    <t>FIR No. 126/10, dt. 18 Aug 10, PS: Panjgur</t>
  </si>
  <si>
    <t>Traced Person Dead body recovered received by legal heirs.</t>
  </si>
  <si>
    <t>0105-B</t>
  </si>
  <si>
    <t>Safeer Ahmed S/o Ghous Bakhsh</t>
  </si>
  <si>
    <t>Village Sardo, Mohallah Ghous Bakhsh, Panjgur</t>
  </si>
  <si>
    <t>0106-B</t>
  </si>
  <si>
    <t>Abdul Sattar S/o Haji Dad Muhammad</t>
  </si>
  <si>
    <t>Zaheer Medical Store College Road, Panjgur</t>
  </si>
  <si>
    <t>0180-S</t>
  </si>
  <si>
    <t>Faiz Ullah S/o Shamim Ahmed</t>
  </si>
  <si>
    <t>House # 575, Block G, Warsiya Colony, Sector 11-1/2, Oragi Town, Karachi</t>
  </si>
  <si>
    <t>FIR No.615
 dt: 15/10/2010
 u/s 365/34 PPC
 PS Pakistan Bazaar Town, Orangi Zone, West Karachi</t>
  </si>
  <si>
    <t>Traced Person. He appeared before the Commission on 12/04/2011 and his statement was recorded.</t>
  </si>
  <si>
    <t>0181-S</t>
  </si>
  <si>
    <t>Dr. Kashif Iqbal S/o Fazal Karim</t>
  </si>
  <si>
    <t>Mohallah: Ravi Town, Tehsil: Kamalia, Distt: Toba Tek Singh</t>
  </si>
  <si>
    <t>FIR No. 521
 dt: 25/10/2010
 u/s 365 PPC,
 PS Harappa</t>
  </si>
  <si>
    <t>Deleted. The family has accepted compensation as the case has come to a dead end as it pretains to the period of Insurgency .</t>
  </si>
  <si>
    <t>0107-K</t>
  </si>
  <si>
    <t>H.R.C No. 10864-N/2010</t>
  </si>
  <si>
    <t>Abdul Laiq S/o Muhammad Zamin</t>
  </si>
  <si>
    <t>Village Matta Shomai, Tehsil: Matta, Distt: Swat, CNIC No. 15601-1037048-7</t>
  </si>
  <si>
    <t>15601-1037048-7</t>
  </si>
  <si>
    <t>0108-K</t>
  </si>
  <si>
    <t>Muhammad Laiq S/o Muhammad Zamin</t>
  </si>
  <si>
    <t>Village Matta Shomai, Tehsil: Matta, Distt: Swat, CNIC No. 15601-4809566-5</t>
  </si>
  <si>
    <t>15601-4809566-5</t>
  </si>
  <si>
    <t>0109-K</t>
  </si>
  <si>
    <t>Moazmeen Khan S/o Dilber</t>
  </si>
  <si>
    <t>Village Matta Shomai, Tehsil: Matta, Distt: Swat</t>
  </si>
  <si>
    <t>15601-2607593-9</t>
  </si>
  <si>
    <t>0110-K</t>
  </si>
  <si>
    <t>Pervaiz Khan S/o Sadbar Khan</t>
  </si>
  <si>
    <t>15601-1036968-9</t>
  </si>
  <si>
    <t>0111-K</t>
  </si>
  <si>
    <t>Zor Talab Khan, S/o Sheray</t>
  </si>
  <si>
    <t>Village Matta Shomai, Tehsil: Matta, Distt: Swat, CNIC No. 15601-1003336-9</t>
  </si>
  <si>
    <t>15601-1003336-9</t>
  </si>
  <si>
    <t>0112-K</t>
  </si>
  <si>
    <t>Lahore Khan S/o Sheray</t>
  </si>
  <si>
    <t>0182-K</t>
  </si>
  <si>
    <t>Muhammad Zahid s/o Haji Jannat</t>
  </si>
  <si>
    <t>R/o House # 483, Mohallah: Yaqoob Abad, near Minhaj Al-Shariah Madrassa, Orangi Town, Karachi</t>
  </si>
  <si>
    <t>FIR No. 150
 dt: 7/12/2010
 u/s 365 PPC
 PS City Court, Karachi</t>
  </si>
  <si>
    <t>Traced Person. He appeared befor the Commission and his statement was recorded on 12/04/2011.</t>
  </si>
  <si>
    <t>Imtiaz Khan S/o Saghir Alam</t>
  </si>
  <si>
    <t>Vill: Garhi Sar, P/O Govt. High School, Akhorwal, F.R Kohat</t>
  </si>
  <si>
    <t>Traced Person. He appeared before the Commission on 25/01/2012.</t>
  </si>
  <si>
    <t>Fahad Masood S/o Muhammad Masood</t>
  </si>
  <si>
    <t>Lohar Bazar, Qureshi Mohallah near Govt. Girls Middle School, Qureshi Hotel, Tehsil: Murree, Distt: Rawalpindi</t>
  </si>
  <si>
    <t>Muhammad Sajid S/o Ghulam Hussain</t>
  </si>
  <si>
    <t>House No. 5-F, PMC Colony, Faisalabad</t>
  </si>
  <si>
    <t>0115-P</t>
  </si>
  <si>
    <t>Ejaz Hussain S/o Muhammad Tufail</t>
  </si>
  <si>
    <t>House No. 1081-A, St. No. 85, Kharas Mohallah, Saddar Bazar, Lahore Cantt.(Mobile No. 0333-4129420)</t>
  </si>
  <si>
    <t>FIR No.165,
 dt: 7/2/2011, u/s 365 PPC,
 PS Kot Lakhpat, Lahore</t>
  </si>
  <si>
    <t>Traced Person. Wife of Missing Person confirmed before the Commission on 16/09/2013 that Ejaz Hussain returned to home on 05/07/2013.</t>
  </si>
  <si>
    <t>0116-K</t>
  </si>
  <si>
    <t>Muhammad Idrees S/o Shams-ul-Haq</t>
  </si>
  <si>
    <t>House No. C-843, Lane No. 16, Lala Rukh Colony, Wah Cantt</t>
  </si>
  <si>
    <t>FIR No. 393, dt. 10 May 11, u/s 365 PPC, PS: Shaheed Gulfat Hussain, Peshawar</t>
  </si>
  <si>
    <t>Deleted. Not a case of enforced disappearance.</t>
  </si>
  <si>
    <t>0117-K</t>
  </si>
  <si>
    <t>Zubair Muhammad S/o Sakhi Muhammad</t>
  </si>
  <si>
    <t>Mohallah Rahimabad, Village: Badrasti, Tehsil &amp; Distt: Nowshehra</t>
  </si>
  <si>
    <t>FIR No.344
 dt: 07/04/2011
 u/s 365/34 PPC
 PS Nowshera Cantt, District:
 Nowshera</t>
  </si>
  <si>
    <t>Traced Person. Confined in Internment Center Kohat.</t>
  </si>
  <si>
    <t>Fazal Maula S/o Haji Amanullah</t>
  </si>
  <si>
    <t>Muslimabad, P.O: Sunni Kot, Tehsil: Dargai, Distt: Malakand</t>
  </si>
  <si>
    <t>Traced Person. Rep of IB submitted that Fazal Maula has returned to home on 10/03/2011.</t>
  </si>
  <si>
    <t>0119-B</t>
  </si>
  <si>
    <t>Ali Ahmed S/o Muhammad Ibrahim</t>
  </si>
  <si>
    <t>Basima, Distt: Washuk</t>
  </si>
  <si>
    <t>FIR No.17
 dt: 24/01/2011
 u/s 365 PPC
 PS Gwalmandi, Quetta</t>
  </si>
  <si>
    <t>0120-P</t>
  </si>
  <si>
    <t>Muhammad Ibrahim S/o Maj. Fateh Muhammad</t>
  </si>
  <si>
    <t>House # 133-A, Street No. 2, Gulbahar No. 1, Peshawar</t>
  </si>
  <si>
    <t>FIR No. 620-5B-GT dt. 16 Dec 10, PS: Garden Town, Lahore</t>
  </si>
  <si>
    <t>Traced Person. Father of Missing Person Muhammad Ibrahim submitted that his son has returned to home.</t>
  </si>
  <si>
    <t>0121-P</t>
  </si>
  <si>
    <t>CMA No. 1792/H/10 (Lahore High Court)</t>
  </si>
  <si>
    <t>Zubair Ahmed S/o Sardar Israr Qayum</t>
  </si>
  <si>
    <t>Mohallah Dharia Abbaspur Road, Ponch</t>
  </si>
  <si>
    <t>FIR No.323
 dt: 11/04/2011
 u/s 365 PPC
 PS City Raiwind,
 Lahore</t>
  </si>
  <si>
    <t>Traced Person. Father of Missing Person Zubair Ahmed submitted that his son has returned to home.</t>
  </si>
  <si>
    <t>0122-P</t>
  </si>
  <si>
    <t>W.P No. 21495/10 (Lahore HighCourt)</t>
  </si>
  <si>
    <t>Sarfaraz Ahmed S/o Hafiz Mehr Deen</t>
  </si>
  <si>
    <t>Village Kot Pindi Das, Tehsil: Ferozwala, Distt: Sheikhupura</t>
  </si>
  <si>
    <t>Traced Person. He made appearance before the Commission on 10/03/2011.</t>
  </si>
  <si>
    <t>0123-K</t>
  </si>
  <si>
    <t>Wali Khan S/o Mamrez Khan</t>
  </si>
  <si>
    <t>Daulat Khel Post Office Esak Khel, Tehsil &amp; District Lakki Marwat</t>
  </si>
  <si>
    <t>FIR No.220
 dt: 18/04/2011
 u/s 365 PPC
 PS Lakki Marwat
 District: Lakki Marwat</t>
  </si>
  <si>
    <t>Traced Person. He made appearance before the Commission on 04/08/2011 and his statement was recorded.</t>
  </si>
  <si>
    <t>0124-B</t>
  </si>
  <si>
    <t>CMA No. 157/2011 in C.P No. CP 5/2007</t>
  </si>
  <si>
    <t>Sameer Rind S/o Mir Abdul Qayum</t>
  </si>
  <si>
    <t>Gulshan-e-Iqbal, near Allama Iqbal University, Turbat</t>
  </si>
  <si>
    <t>FIR No.167
 dt: 14/10/2010
 u/s 365 PPC
 PS Turbat, District
 Kech</t>
  </si>
  <si>
    <t>Traced Person. Dead body recovered from the area Bela Rakla, Tehsil Pashin District Turbat.</t>
  </si>
  <si>
    <t>0125-B</t>
  </si>
  <si>
    <t>Siddique Eido S/o Eido</t>
  </si>
  <si>
    <t>Lward # 6, Ghulam Sarwar Mohalla, Pasni, District Gawadar</t>
  </si>
  <si>
    <t>FIR No.18
 dt: 22/12/2010
 u/s 365/342/34 PPC
 Levies Thana
 Pasni, District:
 Gwadar</t>
  </si>
  <si>
    <t>Traced Person. Dead body recovered on 28/04/2011 in area of Ormara.</t>
  </si>
  <si>
    <t>0126-B</t>
  </si>
  <si>
    <t>HRC No. 56377-S/2010</t>
  </si>
  <si>
    <t>Abdul Samad S/o Haji Rasool Bux</t>
  </si>
  <si>
    <t>Chiel Shughi, Saidu Sharif, District Swat</t>
  </si>
  <si>
    <t>FIR No. 17/2011 u/s 365 PPC, PS Gawal Mandi District Quetta</t>
  </si>
  <si>
    <t>0127-K</t>
  </si>
  <si>
    <t>HRC No. 56198-K/2010</t>
  </si>
  <si>
    <t>Usman Gul S/o Hamesh Gul</t>
  </si>
  <si>
    <t>D.D Report No. 44 dt. 16/3/2011, PS Saidu Sharif, District Swat</t>
  </si>
  <si>
    <t>Traced Person. He appeared before the Commission on 26/03/2011.He returned to home on 16/03/2011.</t>
  </si>
  <si>
    <t>0128-K</t>
  </si>
  <si>
    <t>CMA No. 725/2010 in CP No. 5/2007</t>
  </si>
  <si>
    <t>Khalid Khan S/o Ahsan Ali</t>
  </si>
  <si>
    <t>Mohallah Lanagarkhel, Dakhana Bari Kot, Parrai, Distt: Swat</t>
  </si>
  <si>
    <t>FIR No. 89/2010 u/s 365-34, PIB Colony, dt. 10 Mar 10</t>
  </si>
  <si>
    <t>Traced Person. Killed in encounter on 13/02/2011 as stated by SHO concerned.</t>
  </si>
  <si>
    <t>0129-K</t>
  </si>
  <si>
    <t>Ahsan Ali S/o Muhammad Shareef</t>
  </si>
  <si>
    <t>0130-P</t>
  </si>
  <si>
    <t>Ilyas Nazar S/o Nazar Muhammad</t>
  </si>
  <si>
    <t>Shahrak, Tehsil Turbat presently Doctor Colony Turbat, District Kech</t>
  </si>
  <si>
    <t>FIR No. 17/2010, dt. 22 Dec 10, PS: Kala</t>
  </si>
  <si>
    <t>Traced Person. Dead body recovered in District Kech and burried by his family.</t>
  </si>
  <si>
    <t>0131-P</t>
  </si>
  <si>
    <t>Abdul Majeed S/o Lal Khan</t>
  </si>
  <si>
    <t>Basti Mosa Wali, Shadan Lund Chak Dhanda, Post Office Shahdan Lund, Dera Ghazi Khan</t>
  </si>
  <si>
    <t>FIR No.168
 dt: 11/07/2009
 u/s 324/353/186 PPC
 r/w 7 ATA
 PS Kala, District:
 D. G. Khan</t>
  </si>
  <si>
    <t>0132-P</t>
  </si>
  <si>
    <t>Abdul Rauf S/in Law Muhamamd Gulzar</t>
  </si>
  <si>
    <t>Milad Chowk, Mohammadi colony, Sadiqabad, Rawalpindi</t>
  </si>
  <si>
    <t>DD Entry No.51
 dt: 12/12/2010
 PS Sadiqabad
 Rawalpindi</t>
  </si>
  <si>
    <t>Traced Person. Muhammad Gulzar stated that he met Abdul Rauf in Maragala, PS Islamabad on 06/01/2011.</t>
  </si>
  <si>
    <t>Yousaf Gul S/o Abdul Rehman</t>
  </si>
  <si>
    <t>P.O Shahu Khel, Tehsil &amp; Distt: Hangu, Orakzai Agency</t>
  </si>
  <si>
    <t>FIR No.234,
 dt: 27/4/2011,
 u/s 365 PPC,
 PS Hangu, District Hangu</t>
  </si>
  <si>
    <t>Deleted. Due to other Reasons.</t>
  </si>
  <si>
    <t>0134-K</t>
  </si>
  <si>
    <t>Akbar Khan S/o Khameen Khan</t>
  </si>
  <si>
    <t>Haal Kach Banda Tehsil &amp; District Hangu. (Mobile No. 0336-9400177)</t>
  </si>
  <si>
    <t>FIR No.224,
 dt: 21/4/2011,
 u/s 365 PPC,
 PS Hangu, Distric Hangu</t>
  </si>
  <si>
    <t>0135-P</t>
  </si>
  <si>
    <t>Kochay Khan S/o Sakhi Jan</t>
  </si>
  <si>
    <t>Pindiali Mohmand Agency(Mobile No. 0345-9149135, 0300-5874411)</t>
  </si>
  <si>
    <t>FIR No.2418,
 dt: 16/12/2011,
 u/s 365 PPC,
 PS Shafiqabad, District Lahore</t>
  </si>
  <si>
    <t>Under Inve</t>
  </si>
  <si>
    <t>0136-P</t>
  </si>
  <si>
    <t>Dr. Ali Abdullah S/o Dr. Sarfaraz Ahmed</t>
  </si>
  <si>
    <t>107-Sikandar Block Allama Iqbal Town, Lahore (Mobile No. 0334-7476751)</t>
  </si>
  <si>
    <t>FIR No. 484
 dt: 11/07/2010
 u/s 365 PPC
 PS Garden Town, District Lahore</t>
  </si>
  <si>
    <t>0137-K</t>
  </si>
  <si>
    <t>Zahirullah S/o Abdul Qayum</t>
  </si>
  <si>
    <t>Kot Ismail zai, Mohallah: Boki, P.O: Ghari Kapoora, Tehsil &amp; Distt: Mardan</t>
  </si>
  <si>
    <t>FIR No. 214, dt 22 Apr 11 u/s 365 PPC, PS: Tehkal</t>
  </si>
  <si>
    <t>0138-K</t>
  </si>
  <si>
    <t>Habibullah Khattak S/o Kala Khan</t>
  </si>
  <si>
    <t>Village/P.O: Rustam, Mohallah: Paindo Koty, Tehsil &amp; Distt: Mardan (Mobile No. 0302-8295215)</t>
  </si>
  <si>
    <t>DD Entry No.15
 dt: 02/09/2007
 PS Rustam, District:
 Mardan</t>
  </si>
  <si>
    <t>Muhammad Arif S/o Abdul Aziz</t>
  </si>
  <si>
    <t>Kotii, Pakistan Administered Kashmir</t>
  </si>
  <si>
    <t>Deleted . Due to incomplete Particulars.</t>
  </si>
  <si>
    <t>0140-K</t>
  </si>
  <si>
    <t>Muhammad Younas S/o Waris Khan</t>
  </si>
  <si>
    <t>Wana, South Waziristan. (Mobile No. 0336-9370787).</t>
  </si>
  <si>
    <t>21708-5872795-1</t>
  </si>
  <si>
    <t>FIR No.271,
 dt: 29/4/2011,
 u/s 365 PPC,
 PS Cantt. D.I. Khan</t>
  </si>
  <si>
    <t>Deleted. During the course of investigation, no clue could be found that any LEA/ Intelligence Agency was involved in disappearance of Muhammad Younas. The case has been categorized as missing person has gone on his own by JIT as well as PTF. Waris Khan f/o Muhammad Younas entered appearance and submitted affidavit in which there is no allegation against any LEA/ Intelligence Agency. All stake holders also denied arrest/ custody of Sher Shah. Hence the case does not fall within the ambit of enforced disappearance. Hence closed.</t>
  </si>
  <si>
    <t>D.I.Khan</t>
  </si>
  <si>
    <t>0141-K</t>
  </si>
  <si>
    <t>Mohammad Sher Ali Khan S/o Inzar</t>
  </si>
  <si>
    <t>Kanju, Kabal, Swat</t>
  </si>
  <si>
    <t>Traced Person. Returned to home on 25/17/2010</t>
  </si>
  <si>
    <t>Sherzada S/o Aziz-ur-Rehman</t>
  </si>
  <si>
    <t>Shabqadar, Mohmand Agency</t>
  </si>
  <si>
    <t>Traced Person. Returned to home and living with his family.</t>
  </si>
  <si>
    <t>0143-K</t>
  </si>
  <si>
    <t>Omar Mohammad Mandizo S/o Muharan Khan Mandizo</t>
  </si>
  <si>
    <t>Sambeg, Munda</t>
  </si>
  <si>
    <t>FIR No.235
 dt: 9/4/2011
 u/s 346/365 PPC
 PS Munda, District: Dir Lower</t>
  </si>
  <si>
    <t>Lowe Dir</t>
  </si>
  <si>
    <t>0144-K</t>
  </si>
  <si>
    <t>Ghulam Ishaq Miagan S/o Rehmat Khan Miagan</t>
  </si>
  <si>
    <t>Niak Banda, Mamund, Bajaur Agency</t>
  </si>
  <si>
    <t>Inquiry u/s 156(3) CrPC, PS Pubbi,
 District: Nowshera</t>
  </si>
  <si>
    <t>Traced Person. Returned to home and proceeded for Tableegh.</t>
  </si>
  <si>
    <t>0145-K</t>
  </si>
  <si>
    <t>Nawab Khan Sarkani Khel S/o Munseeb Khan Sarkani</t>
  </si>
  <si>
    <t>Shpankay, Lalqila, Lower Dir</t>
  </si>
  <si>
    <t>FIR No. 163
 dt: 23/04/2011
 u/s 365/148/149 PPC
 PS Lal Qilla
 District: Lower Dir</t>
  </si>
  <si>
    <t>Traced Person. Confined in District Jail, Trimegrah FIR No. 411 dated 30/12/2010 u/s 13 A.</t>
  </si>
  <si>
    <t>0146-K</t>
  </si>
  <si>
    <t>Sultan Zarin Sarkani Khel S/o Ghaz uddin</t>
  </si>
  <si>
    <t>FIR No.407
 dt: 29/12/2010
 u/s 13 AO
 PS Lal Qilla
 District: Lower Dir</t>
  </si>
  <si>
    <t>Traced Person. He was arrested in case FIR No. 407 dated 29/12/ u/s 13 A on 29/12/2010 as reported by DPO, Lower Dir.</t>
  </si>
  <si>
    <t>Akbar Hussain S/o Khaista Khan</t>
  </si>
  <si>
    <t>Babu, Khwaza Khela, Swat</t>
  </si>
  <si>
    <t>Traced Person. DPO, Swat confirmed in his report that Akbar Hussain has returned to home.</t>
  </si>
  <si>
    <t>0148-K</t>
  </si>
  <si>
    <t>Muhammad Ismail S/o Khwastay</t>
  </si>
  <si>
    <t>Dewlay, Kabal, Swat</t>
  </si>
  <si>
    <t>FIR No.109
 dt: 26/04/2011
 u/s 365 PPC
 PS Kabal,
 District Swat</t>
  </si>
  <si>
    <t>Haider Ali S/o Famjan</t>
  </si>
  <si>
    <t>Sarsanai, Kabal, Swat</t>
  </si>
  <si>
    <t>Traced Person. SHO Kabal, appeared before the Commission and confirmed that Haider Ali has returned to home.</t>
  </si>
  <si>
    <t>0150-S</t>
  </si>
  <si>
    <t>Muhammad Usman</t>
  </si>
  <si>
    <t>Mst. Shahdia Tabussam, r/o House No. 1340, Street No. 66/A, Gulshan-e-Abad, Sector No. 02, Adyala Road, Rawalpindi. (Mobile No. 0300-9773134)</t>
  </si>
  <si>
    <t>Deleted. This case is closed for want of Jurisdiction as there is no allegation against the law enforcement agencies.</t>
  </si>
  <si>
    <t>0151-K</t>
  </si>
  <si>
    <t>Khalid Mehmood Qureshi S/o Haji Mir Ahmed Qureshi</t>
  </si>
  <si>
    <t>Muslimabad, Tehsil &amp; Distt: Hangu (Mobile No. 0333-9671363)</t>
  </si>
  <si>
    <t>FIR No. 223 dt. 21/4/2011 u/s 365 PPC, PS Hangu, District Hangu</t>
  </si>
  <si>
    <t>Deleted. Disposed of on account of order for registration of case u/s 365 PPC against persons respoinsible for abduction.</t>
  </si>
  <si>
    <t>0152-P</t>
  </si>
  <si>
    <t>Muhammad Usman S/o Muhammad Tufail</t>
  </si>
  <si>
    <t>St# 3 Heera Colony Toba Tek Singh</t>
  </si>
  <si>
    <t>FIR No. 232
 dt: 12/03/2011
 u/s 365 PPC
 PS City Toba
 Tek Singh</t>
  </si>
  <si>
    <t>Traced Person. Returned to home on 07/07/2011 as confirmed by Muhammad Usman in his statement.</t>
  </si>
  <si>
    <t>0153-I</t>
  </si>
  <si>
    <t>Mamreez Khan</t>
  </si>
  <si>
    <t>P.O: Manga, Mohallah: Fazli Abad, Tehsil &amp; Dstt: Mardan (Mobile No. 0344-9572132)</t>
  </si>
  <si>
    <t>FIR No.296
 dt: 02/10/2007
 u/s 365 PPC
 PS Aabpara,Islamabad</t>
  </si>
  <si>
    <t>0154-K</t>
  </si>
  <si>
    <t>Abdul Rauf S/o Abdul Mateen</t>
  </si>
  <si>
    <t>Kachi Kamar Tehsil &amp; District Lakki Marwat</t>
  </si>
  <si>
    <t>FIR No. 174 dt. 23 Feb 11 u/s 365 PPC, PS: Akora Khatak, Distt: Nowshehra</t>
  </si>
  <si>
    <t>Traced Person. Confined in Central Jail Kabal as confirmed by his brother Hadyatullah.</t>
  </si>
  <si>
    <t>0155-P</t>
  </si>
  <si>
    <t>Mehmood-ul-Hassan S/o Ahmed Saeed</t>
  </si>
  <si>
    <t>Chak No. 26/MB, P.O Khass, Tehsil Qaid Abad, Distt: Khushab</t>
  </si>
  <si>
    <t>FIR No. 69, dt. 13 Mar10, PS: Eisa Khel, Mianwali</t>
  </si>
  <si>
    <t>Traced Person. Appeared before the Commission on 23.7.2011. Stated that he was arrested in the check post on Eisa Khel side. Under section 365 PPC against persons responsible for abduction.</t>
  </si>
  <si>
    <t>0156-K</t>
  </si>
  <si>
    <t>Imam Saeed Mian S/o Miuhammad Saeed Mian</t>
  </si>
  <si>
    <t>Pir Khel Tehsil Batkhela, District Malakand (Mobile No. 0342-9787687)</t>
  </si>
  <si>
    <t>Traced Person. He appeared before the Commission on 03/02/2011.</t>
  </si>
  <si>
    <t>Malakand</t>
  </si>
  <si>
    <t>0157-I</t>
  </si>
  <si>
    <t>Anas Akbar S/o Sultan Mehmood</t>
  </si>
  <si>
    <t>H. No. 237 Sector No. 6 KDA, Kohat</t>
  </si>
  <si>
    <t>DD Entry No.53
 dt: 04/09/2010
 PS Golra, District:
 Islamabad</t>
  </si>
  <si>
    <t>0158-K</t>
  </si>
  <si>
    <t>Imdad Hussain S/o Mr. Ghulam Jaffar</t>
  </si>
  <si>
    <t>Jaffar Misstri, Madina Colony, Nasim Shopkeeper, Dera Ismail Khan</t>
  </si>
  <si>
    <t>FIR No.197
 dt: 28/03/2011
 u/s 365 PPC
 PS Cantt. District D. I. Khan</t>
  </si>
  <si>
    <t>Traced Person. Confined in Internment Center as reported by MI.</t>
  </si>
  <si>
    <t>0159-K</t>
  </si>
  <si>
    <t>Naseeb Ali S/o Kaptan Ali</t>
  </si>
  <si>
    <t>Mohallah Lado Village &amp; P.O. Usterzai Payan Teshil &amp; District Kohat</t>
  </si>
  <si>
    <t>DD Entry No.3
 dt: 30/11/2007
 PS Usterzai, District:
 Kohat</t>
  </si>
  <si>
    <t>0160-P</t>
  </si>
  <si>
    <t>Ehtaram-ul-Haq S/o Hafiz Shah Deen</t>
  </si>
  <si>
    <t>H. No. 2841, St. Kapooran, Mohallah Ghara, Chiniot City (Mobile No. 0322-7821401, 0300-7701179)</t>
  </si>
  <si>
    <t>FIR No.283
 dt: 24/03/2011
 u/s 365 PPC
 PS City Raiwind, District Lahore</t>
  </si>
  <si>
    <t>0161-P</t>
  </si>
  <si>
    <t>Hafiz Muhammad Tayyab S/o Qasim-ul-Oloom</t>
  </si>
  <si>
    <t>Qasim-ul-Aloom Faqirwali Tehsil Haroon Abad District Bahawalnagar</t>
  </si>
  <si>
    <t>FIR No. 23, dt. 08 Aug 10, PS: Arifwala</t>
  </si>
  <si>
    <t>Traced Person. He returned to home on 21/09/2010. Affidavit submitted by her mother.</t>
  </si>
  <si>
    <t>0162-B</t>
  </si>
  <si>
    <t>Munir Ahmed Sassoli S/o Qazi Hassan Ali Sassoli</t>
  </si>
  <si>
    <t>Tooran LAN Chamber Rabia, Khuzdar Road, Distt: Khuzdar</t>
  </si>
  <si>
    <t>FIR No. 245/10 dt. 27 Oct 10, PS: City, Khuzdar</t>
  </si>
  <si>
    <t>Traced Person. Returned to Home as confirmed by his father.</t>
  </si>
  <si>
    <t>0163-P</t>
  </si>
  <si>
    <t>Muhammad Anwar Nawaz S/o Muhammad Nawaz</t>
  </si>
  <si>
    <t>Chak No. 196/RB East, Tehsil &amp; Distt: Faisalabad</t>
  </si>
  <si>
    <t>FIR No. 173, dt. 15 Feb 11, PS: Millat Town, Faisalabad</t>
  </si>
  <si>
    <t>Traced Person. Returned to home as informed by JIT.</t>
  </si>
  <si>
    <t>0164-P</t>
  </si>
  <si>
    <t>Baber Shabbir S/o Muhammad Shabbir</t>
  </si>
  <si>
    <t>FIR No. ___ Book No. 076733, dt. 21 Feb 11, PS: Millat Town, Faisalabad</t>
  </si>
  <si>
    <t>0165-K</t>
  </si>
  <si>
    <t>Abdul Salam S/o Khayal Ajab Khan</t>
  </si>
  <si>
    <t>Mohallah Umar Abad Tehsil &amp; District Hangu</t>
  </si>
  <si>
    <t>FIR No. 311, PS: Hangu</t>
  </si>
  <si>
    <t>0166-S</t>
  </si>
  <si>
    <t>Saeed Ahmed S/o Ghulam Farid</t>
  </si>
  <si>
    <t>Basti Paran Khan Wali, Mozah Bait Kaisat, Tehsil &amp; PO Jalalpur Pirwala, Distt: Multan</t>
  </si>
  <si>
    <t>FIR No.173
 dt: 13/3/2011
 u/s 364/34 PPC
 PO Sachal, East Zone, Karachi</t>
  </si>
  <si>
    <t>Under Investigation Karachi</t>
  </si>
  <si>
    <t>0167-P</t>
  </si>
  <si>
    <t>Babar Ishaq S/o Haji Muhammad Ishaq</t>
  </si>
  <si>
    <t>Chak No. 226/ R.B. Malkhan Wala, District Faisalabad</t>
  </si>
  <si>
    <t>FIR No. 252
 dt. 15/3/2011
 u/s 365 PPC, PS: Saddar, Faisalabad</t>
  </si>
  <si>
    <t>Traced Person. Confined in Internment Center Lakki Marwat as reported by MI.</t>
  </si>
  <si>
    <t>0168-S</t>
  </si>
  <si>
    <t>Muhammad Arif S/o Noor Muhammad</t>
  </si>
  <si>
    <t>79/1/5 Jaffar Aziz Aprtment, Flat No. D-7, Garden East, Nishtar Road, Karachi</t>
  </si>
  <si>
    <t>FIR No. 377/2010, dt. 31 Oct 10, PS: Soldier Bazar, Karachi</t>
  </si>
  <si>
    <t>Traced Person. Dead body was found from winder which was received by the family.</t>
  </si>
  <si>
    <t>0169-P</t>
  </si>
  <si>
    <t>Hafiz Muhammad Waqas S/o Zia-us-Salam</t>
  </si>
  <si>
    <t>176/B Block No. 4 Karim park Kacha Ravi Road, Lahore (Mobile No. 0336-4476227)</t>
  </si>
  <si>
    <t>FIR No. 353/11, dt. 23 Feb 11, PS: Shahdara, Lahore</t>
  </si>
  <si>
    <t>Abdul Ghafoor S/o Abdul Aziz</t>
  </si>
  <si>
    <t>Girl High School No. 1, Rawlakot, District Ponch</t>
  </si>
  <si>
    <t>Traced Person was interrogated and released as 01/04/2011.</t>
  </si>
  <si>
    <t>0171-K</t>
  </si>
  <si>
    <t>Muhammad Tufail S/o Aziz-ur-Raheem</t>
  </si>
  <si>
    <t>Mohallah: Astagh Sar, Village Ziarat Kaka Sahib, Tehsil &amp; Distt: Nowshehra</t>
  </si>
  <si>
    <t>FIR No.415,
 dt: 9/4/2011,
 u/s 365 PPC,
 PS Nowshera Kalan, District Nowshera</t>
  </si>
  <si>
    <t>0172-P</t>
  </si>
  <si>
    <t>Muhammad Hussain S/o Qadir Bakhsh</t>
  </si>
  <si>
    <t>Dakhana Moombajni Mohajar Camp, Tehsil: Deerkot, Distt: Bagh</t>
  </si>
  <si>
    <t>FIR No.416/2009
 u/s 4/55/52 FA
 PS Cantt. Sialkot</t>
  </si>
  <si>
    <t>Traced Person. Detained in Central Jail Lahore.</t>
  </si>
  <si>
    <t>0193-K</t>
  </si>
  <si>
    <t>Muhammad Asif s/o Inayat Rehman</t>
  </si>
  <si>
    <t>Mst. Robina Bibi, r/o Sarway Kilay, Tehsil Shabaqadar, District Charsadda. (Mobile No. 0310-9493496 &amp; 0302-9261328)</t>
  </si>
  <si>
    <t>Traced Person. According to reports received from Rep of MI, Muhammad Asif is confined in District Jail Kohat. It is also mentioned in the letter dated 24/12/2018 that Muhammad Asif has been awarded death sentence on 11/06/2018 by Military Court.</t>
  </si>
  <si>
    <t>0196-P</t>
  </si>
  <si>
    <t>Salman Butt S/o Zulqarnain Butt</t>
  </si>
  <si>
    <t>9-B, Hospital Road, New Anarkali, Lahore (Mobile No. 0343-4333303)</t>
  </si>
  <si>
    <t>0197-S</t>
  </si>
  <si>
    <t>Muhammad Shahid Alam S/o Mehboob Alam</t>
  </si>
  <si>
    <t>Rahimshah Colony, House # 81, Islam Nagar, Sector 11, Orangi Town, Karachi</t>
  </si>
  <si>
    <t>Traced Person. Returned to home. He appeared before the Commission on 12/04/2011 and his statement was recorded.</t>
  </si>
  <si>
    <t>0198-K</t>
  </si>
  <si>
    <t>HRC No. 15463-N-2009</t>
  </si>
  <si>
    <t>Ayub Khan S/o Abdullah Jan</t>
  </si>
  <si>
    <t>Wanda Syed Khayal, Post Office &amp; Tehsil &amp; District Lakki Marwat</t>
  </si>
  <si>
    <t>0199-P</t>
  </si>
  <si>
    <t>Usman Ali Ashraf Malik S/o Malik Muhammad Ashraf</t>
  </si>
  <si>
    <t>H. NO. 844/22A-J, Shalimar Street, Mughal Abad Rawalpindi</t>
  </si>
  <si>
    <t>FIR No.273
 dt: 06/04/2011
 u/s 365 PPC
 PS R.A. Bazaar,
 Rawalpindi</t>
  </si>
  <si>
    <t>Traced Person. He returned to home and present with his family, Brother of the traced person appeared before the Commission.</t>
  </si>
  <si>
    <t>0200-S</t>
  </si>
  <si>
    <t>Muzaffar Bhutto</t>
  </si>
  <si>
    <t>Hyderabad, Sindh</t>
  </si>
  <si>
    <t>FIR No.43,
 dt: 30/4/2011,
 u/s 365/34 PPC,
 PS Saeedabad, District Matiari</t>
  </si>
  <si>
    <t>Traced Person. Dead body Recovered</t>
  </si>
  <si>
    <t>0201-I</t>
  </si>
  <si>
    <t>Muhamamd Ghori S/o Javed Iqbal Ghori</t>
  </si>
  <si>
    <t>House No. 222, St. # 52, G-10/3, Islamabad</t>
  </si>
  <si>
    <t>FIR No. 107 u/s 365/342 TP, dt. 16 Feb 11, PS: Shalimar, Islamabad</t>
  </si>
  <si>
    <t>0202-K</t>
  </si>
  <si>
    <t>Manzoor Shah S/o Mian Farooq Shah</t>
  </si>
  <si>
    <t>Mohallah Garhi Mian Gan, Moosa Zai, Peshawar</t>
  </si>
  <si>
    <t>FIR No.566,
 dt: 18/8/2010,
 u/s 365 PPC,
 PS East Cantt. Peshawar</t>
  </si>
  <si>
    <t>0203-K</t>
  </si>
  <si>
    <t>HRC No. 21951-N/2009</t>
  </si>
  <si>
    <t>Abdul Rehman S/o Hanifullah</t>
  </si>
  <si>
    <t>Rahim Abad, Tehsil: Saidu Sharif, Distt: Swat</t>
  </si>
  <si>
    <t>FIR No.214
 dt: 28/4/2011
 u/s 365/34 PPC
 PS Rahimabad, District Swat</t>
  </si>
  <si>
    <t>0204-K</t>
  </si>
  <si>
    <t>HRC No. 27975-K/2010</t>
  </si>
  <si>
    <t>Daood Khan S/o Hameed Khan</t>
  </si>
  <si>
    <t>Darra Adam Khel, FR Kohat</t>
  </si>
  <si>
    <t>FIR No.967
 dt: 21/09/2011
 u/s 342 PPC
 PS City, Kohat</t>
  </si>
  <si>
    <t>Traced Person. Confined in Internment Center Kohat as reported by MI.</t>
  </si>
  <si>
    <t>0205-P</t>
  </si>
  <si>
    <t>Raziq Hussain S/o Sher Ali Khan</t>
  </si>
  <si>
    <t>House # 30, Street # 5, Distt: Khanewal, Kacha Kho, Chak No. 26 (Mobile No. 0333-4892827) (family is not called for hearing)</t>
  </si>
  <si>
    <t>FIR No.721,
 dt: 12/4/2012
 u/s 365 PPC,
 PS ShahDarra, Lahore</t>
  </si>
  <si>
    <t>0206-S</t>
  </si>
  <si>
    <t>Muhammad Ramzan S/o Muhammad Hussain</t>
  </si>
  <si>
    <t>Gulistan-e-Johar, Block A-4, Sassi Homes No. R-44 Near Shaheen Public School Karachi (Mobile No. 0303-2235757)</t>
  </si>
  <si>
    <t>FIR No.167,
 dt: 9/3/2011,
 u/s 365/34 PPC
 PS Gulshan-e-Jauhar, District East Karachi</t>
  </si>
  <si>
    <t>Traced Person. It was informed at the hearing held in this Commission on 1.10.2019 that Muhammad Ramzan is confined in Internment Center at Lakki Marwat. Family members have been allowed to meet him subject to prescribed procedure and all legal exceptions.</t>
  </si>
  <si>
    <t>Naseem Ullah S/o Malik Abbas Khan</t>
  </si>
  <si>
    <t>Dawood Baro Khel Tehsil Mirali, North Waziristan Agency (Mobile No. 0314-5811110)</t>
  </si>
  <si>
    <t>Traced Person Confined in Internment Center Kohat as informed by MI.</t>
  </si>
  <si>
    <t>0208-P</t>
  </si>
  <si>
    <t>Muhammad Jamil S/o Jalal Khan</t>
  </si>
  <si>
    <t>House No. 5013, St. No. 8, Naizi Town, Misryal Road, Rawalpindi (Mobile No. 0345-5106937)</t>
  </si>
  <si>
    <t>FIR No.280,
 dt: 10/4/2011
 u/s 365 PPC,
 PS R.A.Bazaar, Rawalpindi</t>
  </si>
  <si>
    <t>0209-P</t>
  </si>
  <si>
    <t>Riaz Ahmed S/o Fazal-ur-Rehman</t>
  </si>
  <si>
    <t>House. No. A-2, Rahim road, Jamil Street No. 27, Misri Shah, Lahore (Mobile No. 0323-4157749)</t>
  </si>
  <si>
    <t>FIR No.161
 dt: 22/04/2011
 u/s 365 PPC
 PS Pir Mahal,
 District: Toba Tek
 Singh</t>
  </si>
  <si>
    <t>Traced Person. Returned to home. Appeared before the Commission on 23/12/2011 and stated that he did not want any further action.</t>
  </si>
  <si>
    <t>Ibn-e-Ameen S/o Fazal Muhammad</t>
  </si>
  <si>
    <t>Tehsil Shabqadar, Post Office Shabqadar, PS Shabqadar, Rehmat ullah korona, District Charssada (Mobile No. 0305-5001720)</t>
  </si>
  <si>
    <t>Traced Perosn. Returned to home. Appeared before the Commission on 26/04/2012 after returning to home.</t>
  </si>
  <si>
    <t>0211-P</t>
  </si>
  <si>
    <t>Asfand Yar Khan S/o Abdul Waheed</t>
  </si>
  <si>
    <t>House No. 1622, St. 3, Dhoke Kala Khan, Shamis Abad, Rawalpindi (Mobile No. 0345-5522090)</t>
  </si>
  <si>
    <t>FIR No.308
 dt: 12/04/2011
 u/s 365 PPC
 PS Sadiqabad
 District: Rawalpindi</t>
  </si>
  <si>
    <t>Traced Person. Returned to home. Appeared before the Commission on 15/05/2011 and recorded his statement.</t>
  </si>
  <si>
    <t>0212-P</t>
  </si>
  <si>
    <t>Shakeel Ahmed S/o Abdul Rasheed</t>
  </si>
  <si>
    <t>Dewan Wala, P.O Manwala, Tehsil &amp; Distt: Sheikhupura (Mobile No. 0300-7286192)</t>
  </si>
  <si>
    <t>FIR No.161
 dt: 14/04/2011
 u/s 365 PPC
 PS Basti Maluk
 District: Multan</t>
  </si>
  <si>
    <t>Traced Person. Returned to home. Appeared before the Commission on 21/05/2011 and recorded his detailed statement.</t>
  </si>
  <si>
    <t>0213-P</t>
  </si>
  <si>
    <t>Zia-ur-Rehman S/o Muhammad Rauf</t>
  </si>
  <si>
    <t>House No. 57, Street No. 1, Mohallah Huwapura, Ward No. 2, Talagang, District Chakwal (Mobile No. 0301-5771413)</t>
  </si>
  <si>
    <t>FIR No.176 dt. 22/4/2011, u/s 365 PPC, S Saddar. District Attock</t>
  </si>
  <si>
    <t>Deleted. Disposed of vide findings dated 21/10/2017 being not a case of enforced disappearance.</t>
  </si>
  <si>
    <t>0214-P</t>
  </si>
  <si>
    <t>Hafiz Jameel Ahmed S/o Hafiz Noor Ahmed</t>
  </si>
  <si>
    <t>House # 2,Scheme No 02, St No. 02 Altafabad, Shersha Road, New Shadbagh, Lahore. (Mobile No. 0322-4833260)</t>
  </si>
  <si>
    <t>FIR No.340
 dt: 16/04/2011
 u/s 365 PPC
 PS Shadbagh,
 District: Lahore</t>
  </si>
  <si>
    <t>Deleted. Not a case of enforced disappearance. Rather it is a case of Kidnapping for ransom.</t>
  </si>
  <si>
    <t>0215-K</t>
  </si>
  <si>
    <t>Wahdat Khan S/o Daulat Khan</t>
  </si>
  <si>
    <t>Village Shabqadar Haleem Zai, P.O Shabqadar, Tehsil &amp; Dist: Charsadda (Mobile No. 0301-3034507)</t>
  </si>
  <si>
    <t>FIR No. 235 dt. 16/4/2011 u/s 365/34 PPC PS: Charsadda</t>
  </si>
  <si>
    <t>Traced Person. confined in Ghalani Jail, Mohmand Agency.</t>
  </si>
  <si>
    <t>0216-P</t>
  </si>
  <si>
    <t>Dr. Muhammad Usman S/o Dr. Shahjahan</t>
  </si>
  <si>
    <t>R/o House # 79, Street # 7, Sector C1, Phase-V, Hayatabad, Peshawar</t>
  </si>
  <si>
    <t>FIR No.235
 dt: 17/04/2011
 u/s 365 PPC
 PS Saddar Baironi,
 Rawalpindi</t>
  </si>
  <si>
    <t>Traced Person. Returned to home. He appeared before the Commission on 19/11/2011 and his statement was recorded.</t>
  </si>
  <si>
    <t>0217-P</t>
  </si>
  <si>
    <t>Taheeq Ullah Jan S/o Kifayat Ullah Jan</t>
  </si>
  <si>
    <t>House # A-3, Strett # 14, Phase-VI, Hayatabad, Peshawar</t>
  </si>
  <si>
    <t>FIR No. 236
 dt: 17/04/2011
 u/s 365 PPC
 PS Saddar Bairooni,
 Rawalpindi</t>
  </si>
  <si>
    <t>0218-P</t>
  </si>
  <si>
    <t>Faisal Shabbir Abbasi S/o Shabbir Ahmed Abbasi</t>
  </si>
  <si>
    <t>H.# 28-B, Proffessor Colony, New Shakrial Near Zia Masjid, Rawalpindi. (Mobile No. 0321-5141338)</t>
  </si>
  <si>
    <t>DD Entry No.27
 dt: 02/10/2010
 PS Margalla,
 Islamabad</t>
  </si>
  <si>
    <t>0219-P</t>
  </si>
  <si>
    <t>Qari Muhammad Sanaullah S/o Muhamamd Abdullah</t>
  </si>
  <si>
    <t>Mohallah Maulvi Mola Bakhsh, Jhawarian, Tehsil Shah Pur, Distt Sargodha.</t>
  </si>
  <si>
    <t>FIR No.121,
 dt: 19/5/2010,
 u/s 365 PPC,
 PS: Jhawarian, District Sargodha</t>
  </si>
  <si>
    <t>0220-P</t>
  </si>
  <si>
    <t>Abdul Qayum S/o Ameer Muhammad</t>
  </si>
  <si>
    <t>Street No. 4 Mohallah Muhammad Ali Town, Faisalabad (Mobile No. 0346-3170195)</t>
  </si>
  <si>
    <t>FIR No.301
 dt: 09/04/2011
 u/s 365 PPC
 PS 'D' Type Colony, Faisalabad</t>
  </si>
  <si>
    <t>Traced Person. Confined in Internment Center Lakki Marwat as confirmed by MI.</t>
  </si>
  <si>
    <t>0221-P</t>
  </si>
  <si>
    <t>Hassan Waheed Gillani S/o Waheed Alam Gillani</t>
  </si>
  <si>
    <t>E-12/225-227, Saidpur Road, Scheme No. 2, Rawalpindi. (Mobile No. 0321-5076949)</t>
  </si>
  <si>
    <t>FIR No.55
 dt: 18/01/2011
 u/s 365 PPC
 PS New Town,
 Rawalpindi</t>
  </si>
  <si>
    <t>Traced Person, convicated u/s 121-121 (A) PPC/11-FCR for one year R.I</t>
  </si>
  <si>
    <t>0222-P</t>
  </si>
  <si>
    <t>Abu Bakar Sohail S/o Muhammad Rafiq (Late)</t>
  </si>
  <si>
    <t>Street No. 1, Mohallah New Abbadi, Govt. Degree College Kalorkot, District Bhakkar (Mobile No. 0300-5288787)</t>
  </si>
  <si>
    <t>FIR No.129 
 dt: 18/04/2011
 u/s 365 PPC
 PS Kallour Kot,
 District: Bhakkar</t>
  </si>
  <si>
    <t>Traced Person. Admitted in CMH Miranshah due to illness.</t>
  </si>
  <si>
    <t>0223-B</t>
  </si>
  <si>
    <t>C.M.A No. 891/2011</t>
  </si>
  <si>
    <t>Bajjar Khan S/o Reham Dil Khan</t>
  </si>
  <si>
    <t>C/o Muhammad Ikram Ch. House # 20/B, North Star Plaza, Rawalpindi (Mobile No. 0300-8569475)</t>
  </si>
  <si>
    <t>FIR No.70
 dt: 30/04/2011
 u/s 365 PPC
 PS Shalkot
 District: Quetta</t>
  </si>
  <si>
    <t>0224-B</t>
  </si>
  <si>
    <t>Muhammad Mosam Khan S/o Ali Bakhsh</t>
  </si>
  <si>
    <t>0225-B</t>
  </si>
  <si>
    <t>Sher Gul S/o Faujia</t>
  </si>
  <si>
    <t>0226-P</t>
  </si>
  <si>
    <t>Muhammad Ramzan S/o Habib Ahmed</t>
  </si>
  <si>
    <t>Basti Kumhar Wala, Mauza Manha, Tehsil: Kot Addu, Muzaffargarh</t>
  </si>
  <si>
    <t>FIR No.244
 dt: 19/04/2011
 u/s 365 PPC
 PS Kot Addu,
 District: Muzaffargarh</t>
  </si>
  <si>
    <t>Traced Person. He returned to home and he had gone to Karachi without informing inmates.</t>
  </si>
  <si>
    <t>0227-K</t>
  </si>
  <si>
    <t>Abdul Hameed Khan S/o Nowsher Wan</t>
  </si>
  <si>
    <t>Village Marchaki Tehsil Kabal District Swat</t>
  </si>
  <si>
    <t>FIR No.116
 dt: 28/04/2011
 u/s 365/34 PPC
 PS Kabal, District: Swat</t>
  </si>
  <si>
    <t>0228-K</t>
  </si>
  <si>
    <t>Azeem Bhatti S/o Rattan Bhatti</t>
  </si>
  <si>
    <t>House # 70, New Gulberg Town, Gulberg No. II, Saddar, Peshawar (Mobile No. 0307-5927990)</t>
  </si>
  <si>
    <t>FIR No. 205, dt. 29/4/2011 u/s 365 PPC,, PS: Gulberg, Peshawar</t>
  </si>
  <si>
    <t>0229-P</t>
  </si>
  <si>
    <t>Muhammad Abid Hussain S/o Rana Maqbool Hussain</t>
  </si>
  <si>
    <t>Basti Lar, P/O Lar, Bahawalpur Road, Tehsil &amp; Distt: Multan (Mobile No. 0301-7498582)</t>
  </si>
  <si>
    <t>FIR No.161,
 dt: 14/4/2011,
 u/s 365 PPC
 PS Basti Malook, District Multan</t>
  </si>
  <si>
    <t>Traced Person. Confined in the Internment Center Lakki Marwat as reported by MI.</t>
  </si>
  <si>
    <t>0230-K</t>
  </si>
  <si>
    <t>Muhammad Wali Shah S/o Mir Ali Shah</t>
  </si>
  <si>
    <t>Dr. Abdul Qadeer Hostel, Room No. 4, University of Peshawar (Mobile No. 0332-9093735)</t>
  </si>
  <si>
    <t>FIR No. 197
 dt. 29/04/2011
 u/s 365 PPC
 PS: University Town, Peshawar</t>
  </si>
  <si>
    <t>Traced Person. He was being shifted to Internment Center in couple of days as informed at hearing on 02/12/2011.</t>
  </si>
  <si>
    <t>0231-B</t>
  </si>
  <si>
    <t>Hassan Khan S/o Abdul Rehman</t>
  </si>
  <si>
    <t>FIR No. 89/2010 u/s 365/34-PPC, PS: Shalkot</t>
  </si>
  <si>
    <t>Traced Person. His mother appeared before the Commission on 05/04/2011 and confirmed that her son has returned to home.</t>
  </si>
  <si>
    <t>0232-S</t>
  </si>
  <si>
    <t>Abdul Rehman S/o Saif-ur-Rehman</t>
  </si>
  <si>
    <t>C/o H. No. E-104, Natha Khan Goth, Shah Faisal Colony, Shah Faisal Town, Karachi</t>
  </si>
  <si>
    <t>FIR No.130,
 dt: 29/4/2011,
 u/s 365/34 PPC,
 PS Saddar, South Zone, Karachi</t>
  </si>
  <si>
    <t>Traced Person. It was informed at the hearing held in this Commission on 1.10.2019 that dead body of missing person Abdul Rehman was recovered on 8.10.2012 which was handed over to legal heirs for burial. As per report dated 1.10.2019 by DSP Sadar Division, Karachi that dead body was received by family members.</t>
  </si>
  <si>
    <t>0233-P</t>
  </si>
  <si>
    <t>Habib-ur-Rehman S/o Khalil-ur-Rehman</t>
  </si>
  <si>
    <t>M. Saad-ur-Rehman R/o House # 9-B, Aryana Nagar, Punch Road, 
 Samanabad, Lahore (Mobile No. 0321-9402810)</t>
  </si>
  <si>
    <t>FIR No. 321/10, dt. 18 May 10, PS: City Sialkot</t>
  </si>
  <si>
    <t>Sialkot</t>
  </si>
  <si>
    <t>0234-P</t>
  </si>
  <si>
    <t>Qari Hafiz Ghulam Muhammad S/o Hakim Ali</t>
  </si>
  <si>
    <t>Madrissa Jamia Hasnain, Qasim Wala, Distt: Lodhran</t>
  </si>
  <si>
    <t>FIR No. 321/10, dt. 18 May 10, PS: City Lodhran</t>
  </si>
  <si>
    <t>Traced Person. He was arrested by Lahore Police in case FIR 252/2011 u/s 13/65 PPC.</t>
  </si>
  <si>
    <t>0235-S</t>
  </si>
  <si>
    <t>Azib Imtiaz Qudwai S/o Nafees Ahmed</t>
  </si>
  <si>
    <t>B/65, Phase , 
 Gulshan-e-Hadeed, PS: Steel Mills, Karachi 
 (Mobile No. 0313-3014489)</t>
  </si>
  <si>
    <t>FIR No. 29/11, dt. 02 Apr 10, PS: Satellite Town, Karachi</t>
  </si>
  <si>
    <t>0236-K</t>
  </si>
  <si>
    <t>Ahmed Ullah S/o Abdul Rasheed</t>
  </si>
  <si>
    <t>Daanish Jewlers, 
 Galli: Gan Bano, Main Bazar, Hangu 
 (Mobile No. 0345-9170020)</t>
  </si>
  <si>
    <t>FIR No.129 
 dt: 27/04/2011
 u/s 342 PPC
 PS Usterzai
 District: Kohat</t>
  </si>
  <si>
    <t>Traced Person. Confined in the Internment CenterSabaoon, Malakand.</t>
  </si>
  <si>
    <t>0237-P</t>
  </si>
  <si>
    <t>Muhammad Tariq S/o Muhammad Latif</t>
  </si>
  <si>
    <t>House No. P3, Satellite Town, Safina Road, Faisalabad
  Mobile No. 0301-6612122)</t>
  </si>
  <si>
    <t>FIR No.422
 dt: 22/04/2011
 u/s 365 PPC
 PS Saddar,
 Faisalabad</t>
  </si>
  <si>
    <t>Deleted. Not a case of Enforced Disappearance rather it is a case of kidnapping for ransom.</t>
  </si>
  <si>
    <t>Muhammad Amin alias Lal Amin</t>
  </si>
  <si>
    <t>Goth Adam Khan Rind, Deh No. 241, 
 P.O. 78, Mori, Tehsil &amp; Distt: Mirpur Khas
 (Mobile No. 0321-3358274)</t>
  </si>
  <si>
    <t>FIR No. 336/10, dt. 01 Apr 10, PS: New Town</t>
  </si>
  <si>
    <t>Traced Person. Returned to Home and available at (P.O. 78, Mori, Tehsil &amp; Distt: Mirpur Karachi)</t>
  </si>
  <si>
    <t>0239-S</t>
  </si>
  <si>
    <t>Ikhtiar Hussain Chandio S/o Mehram Ali Chandio</t>
  </si>
  <si>
    <t>C-276, Gali No. 1, Gulshan-e-Latif, Murtaza Chowk, 
 Landhi Town, Korangi Industries, Karachi 
 (Mobile No. 0315-3501399)</t>
  </si>
  <si>
    <t>FIR No.64
 dt: 03/05/2011
 u/s 365 PPC
 PS Ranipur
 District: Khairpur</t>
  </si>
  <si>
    <t>Traced Person. Returned to home. He appeared before the Commission and his statement was recorded.</t>
  </si>
  <si>
    <t>0240-B</t>
  </si>
  <si>
    <t>Fareed Baloch S/o Haleem Ahmed Baloch</t>
  </si>
  <si>
    <t>C/o Mr. Danilo Reyes, ASIAN Human Rights Commission,
 19th Flour, Go-Up Commission Building, 998 Canton Road, 
 KLN, Hong Kong</t>
  </si>
  <si>
    <t>FIR No.91
 dt: 18/05/2011
 u/s 365 PPC
 PS Civil Lines,
 District: Quetta</t>
  </si>
  <si>
    <t>Traced Person. Dead body recovered on 27/04/2011. Section 302 has been added in the FIR.</t>
  </si>
  <si>
    <t>Zafar Ali S/o Muhammad Hussain</t>
  </si>
  <si>
    <t>Wanda Dost Ali Shah, Kathgar, Tehsil Paharpur, Distt: Dera Islamail Khan</t>
  </si>
  <si>
    <t>Deleted. Not a case of Enforced Disappearance as he left at his own for pilgrimage.</t>
  </si>
  <si>
    <t>0242-P</t>
  </si>
  <si>
    <t>Naveed Ali S/o Imdad Hussain</t>
  </si>
  <si>
    <t>Basti Astrana, Janubi, House No. 363/44, GPO Polytechnique, Tehsil &amp; Distt: Dera Ismail Khan</t>
  </si>
  <si>
    <t>FIR No.53
 dt: 28/05/2011
 u/s 365 PPC
 PS Sarai Muhajir,
 District: Bhakkar</t>
  </si>
  <si>
    <t>Traced Person. Dead body of Naveed Ali recovered from the area of Police Station Kundian on 11/04/2012 District Mianwali.</t>
  </si>
  <si>
    <t>Muhammad Iqbal S/o Khuda Bakhsh</t>
  </si>
  <si>
    <t>Shahjahan Shaheed Town, Tehsil &amp; Distt: Dera Ismail Khan</t>
  </si>
  <si>
    <t>Traced Person. He returned to home as confirmed by I.O of the case.</t>
  </si>
  <si>
    <t>0244-S</t>
  </si>
  <si>
    <t>HRC No. 5015-S/2012</t>
  </si>
  <si>
    <t>Maj. Osaid Zahidi S/o Muhammad Bashir Zahidi</t>
  </si>
  <si>
    <t>House No. A-83, Block # 10, Gulshan-e-Iqbal, Karachi</t>
  </si>
  <si>
    <t>FIR No. 846/2010, dt. 10 Oct 10, PS: Gulshan Town, Karachi</t>
  </si>
  <si>
    <t>Traced Person. Returned to Home and available at House No. A-83, Block # 10, Gulshan-e-Iqbal, Karachi.</t>
  </si>
  <si>
    <t>0245-B</t>
  </si>
  <si>
    <t>Tariq Ali S/o Muhammad Essa</t>
  </si>
  <si>
    <t>Tazang, Turbat, Distt Kech</t>
  </si>
  <si>
    <t>Traced Person. Dead body recovered as per report of DC/DPO, Kech.</t>
  </si>
  <si>
    <t>0246-K</t>
  </si>
  <si>
    <t>HRC No. 41092-K/2012, HRC No. 16604-K/2013</t>
  </si>
  <si>
    <t>Shahid Khan S/o Sar Buland Khan</t>
  </si>
  <si>
    <t>Noor Bazar, Daood Shah, PO: People Bazar, Tehsil &amp; Distt: Bannu (Mobile No. 0928-613029 &amp; 0330-6329563)</t>
  </si>
  <si>
    <t>FIR No.143
 dt: 29/04/2011
 u/s 365 PPC
 PS Cantt. Bannu</t>
  </si>
  <si>
    <t>Traced Person. Confined in the Internment Center Lakki Marwat as confirmed by MI.</t>
  </si>
  <si>
    <t>0247-K</t>
  </si>
  <si>
    <t>Amjad Ali S/o Mian Said Jan</t>
  </si>
  <si>
    <t>Pappu Char, PO: Gutt, Tehsil: Matta, Distt: Swat (Mobile No. 0347-9419074)</t>
  </si>
  <si>
    <t>FIR No. 70 dt. 19/1/2011, u/s 365 PPC, PS: West Cantt. Peshawar</t>
  </si>
  <si>
    <t>0248-K</t>
  </si>
  <si>
    <t>Javed Ali S/o Mian Nazar Jan</t>
  </si>
  <si>
    <t>FIR No. 70 u/s 365 PPC, dt. 19 Jan 11, PS: Gharbi, Peshawar</t>
  </si>
  <si>
    <t>0249-K</t>
  </si>
  <si>
    <t>Muhammad Qayum S/o Ghanif Shah</t>
  </si>
  <si>
    <t>Showan, PS Hangu, Tehsil &amp; Distt: Hangu (Mobile No. 0347-9347408/0347-9447408)</t>
  </si>
  <si>
    <t>FIR No.349,
 dt: 13/6/2011,
 u/s 365 PPC
 PS Hangu, District Hangu</t>
  </si>
  <si>
    <t>Traced Person. Dead body recovered and Compensation of Rs. 300,000/- paid to family.</t>
  </si>
  <si>
    <t>0250-P</t>
  </si>
  <si>
    <t>Khalid Mehmood S/o Abdul Jabbar</t>
  </si>
  <si>
    <t>House No. P-363, Street No. 3, Goband Pura, Faislabad (Mobile No. 0321-4256297)</t>
  </si>
  <si>
    <t>FIR No.477
 dt: 27/04/2011
 u/s 365 PPC
 PS Gulberg,
 District: Faisalabad</t>
  </si>
  <si>
    <t>Hameed Ullah Jamal S/o Muhammad Anwar</t>
  </si>
  <si>
    <t>Village: Khuda Bakhsh, Mohallah Rasool Bakhsh, PO: Panjgur, Tehsil &amp; Distt:Washuk (Mobile No. 0332-704664)</t>
  </si>
  <si>
    <t>FIR No. 4/2010, dt. 14 Dec 10, PS: Nag, Washuk</t>
  </si>
  <si>
    <t>Traced Person. Dead body recovered on 26/07/2010 statement of SHO, PS Sariab taken on.</t>
  </si>
  <si>
    <t>Inayat-ur-Rehman S/o Sakhawat Khan</t>
  </si>
  <si>
    <t>Street No. 12, Shams Colony, Capital Homes, Islamabad (Mobile No. 0332-5388235)</t>
  </si>
  <si>
    <t>FIR No.198
 dt: 06/05/2011
 u/s 365 PPC
 PS Sabzi Mandi
 Islamabad</t>
  </si>
  <si>
    <t>Deleted. Disposed of under Terms of Reference 2(b) vide detained dindings dated 26/08/2013.</t>
  </si>
  <si>
    <t>Saifullah S/o Allah Bakhsh</t>
  </si>
  <si>
    <t>Mouchi Bazar Mohallah Winjar Pura, Jala Jeem, Tehsil Melsi, Distt: Vihari</t>
  </si>
  <si>
    <t>FIR No.74
 dt: 03/05/2011
 u/s 365 PPC
 PS Saddar,
 Mailsi, District
 Vehari</t>
  </si>
  <si>
    <t>Traced Person. Returned to home. As per statement of his brother Missing Person living with his family.</t>
  </si>
  <si>
    <t>Akhtar Javed</t>
  </si>
  <si>
    <t>Village Mamdal P.O Mamdal, Tehsil Kabirwala District Khanewal</t>
  </si>
  <si>
    <t>FIR No.9
 dt: 11/01/2012
 u/s 365 PPC
 PS Mustafa Abad
 Lahore</t>
  </si>
  <si>
    <t>Traced Person. Returned to home. Appeared before the Commission and his statement was recorded on 28/05/2011.</t>
  </si>
  <si>
    <t>0255-S</t>
  </si>
  <si>
    <t>CP 37/2007</t>
  </si>
  <si>
    <t>Syed Gohar Anis S/o Syed Anis-ur-Rehman, Muhammad Anis</t>
  </si>
  <si>
    <t>Flat No. A-2, Abbas SQ. Block No. 7, F.B Area, Karachi</t>
  </si>
  <si>
    <t>FIR No. 81/2010, PS: Jamshed Quarters</t>
  </si>
  <si>
    <t>Deleted. The case has been withdrawn by the complainant/family on payment of compensation amounting vide cheque Rs. 500,000/- dated 19/2/2019 by the Government of Sindh.</t>
  </si>
  <si>
    <t>0256-S</t>
  </si>
  <si>
    <t>Mirza Samiullah Baig S/o Mirza Ahsanullah Baig</t>
  </si>
  <si>
    <t>Flat No. A-1, K.D.A Officers, Adjacent D.C Office, Sakhi Hassan, Karachi</t>
  </si>
  <si>
    <t>FIR No. 79/2010 PS: Jamshed Quarters</t>
  </si>
  <si>
    <t>Deleted. The case has been deleted as withdrawn. Application to this effect from Mst. Aisha Tabassum , sister of the Missing Person is placed on record.</t>
  </si>
  <si>
    <t>0257-S</t>
  </si>
  <si>
    <t>Asif Jamil</t>
  </si>
  <si>
    <t>H. NO. 9/10, Area 3-B, Landhi No. 3, Karachi</t>
  </si>
  <si>
    <t>FIR No. 80/2010, PS: Jamshed Quarters</t>
  </si>
  <si>
    <t>0258-S</t>
  </si>
  <si>
    <t>Ashfaque Ahmad</t>
  </si>
  <si>
    <t>Flat No. A-9, Fire Brigade, Block No. 22, Sohrab Goth, F.B. Area, Karachi</t>
  </si>
  <si>
    <t>FIR No. 91/2010 PS: Jamshed Quarters</t>
  </si>
  <si>
    <t>Sheikh Noor Alam</t>
  </si>
  <si>
    <t>H. No. 239, Sector 12-C, Ittefaq Colony, Orangi Town, Karachi</t>
  </si>
  <si>
    <t>FIR No. 167/2010 PS: North Nazimabad</t>
  </si>
  <si>
    <t>0260-S</t>
  </si>
  <si>
    <t>Mirza Tauseef Alam Baig s/o Mirza Ali Hassan Baig</t>
  </si>
  <si>
    <t>House No. FN. 14/5, Malir Extension Colony, Karachi</t>
  </si>
  <si>
    <t>FIR No. 78/2010 PS: Jamshed Quarters</t>
  </si>
  <si>
    <t>0261-S</t>
  </si>
  <si>
    <t>Zafeer Khan s/o Safeer Muhammad Khan</t>
  </si>
  <si>
    <t>H. No. 115, Area - 3, Landhi No. 3, Karachi</t>
  </si>
  <si>
    <t>FIR No. 246/1996 PS: Mithadar</t>
  </si>
  <si>
    <t>0262-S</t>
  </si>
  <si>
    <t>Zafar Ahmad s/o Sageer Ahmed</t>
  </si>
  <si>
    <t>House No. 48/6, Sector 5-G, New Karachi</t>
  </si>
  <si>
    <t>FIR No. 100/2010, PS: Gulshan-e-Iqbal</t>
  </si>
  <si>
    <t>0263-S</t>
  </si>
  <si>
    <t>Anwar Ansari s/o Khalil-ur-Rehman</t>
  </si>
  <si>
    <t>House No. 144/2, Sector 5-D, New Karachi</t>
  </si>
  <si>
    <t>FIR No. 10/2010, PS: Gulberg</t>
  </si>
  <si>
    <t>Deleted. The date of Missing in this case is 6.10.1995 and case pertains to old cases of 1992-96. Government of Sindh decided payment of compensation Rs/ 500,000/- but the family did not accept. They are not co-operating with the Investigation Officer in these circumstance the case is deleted.</t>
  </si>
  <si>
    <t>0264-S</t>
  </si>
  <si>
    <t>Muhammad Jawed</t>
  </si>
  <si>
    <t>House No. N-1331, Sector 5-J, New Karachi</t>
  </si>
  <si>
    <t>FIR No. 99/2010, PS: Surjani Town</t>
  </si>
  <si>
    <t>Deleted. The case has been withdrawn by the complainant/family on payment of compensation amounting to Rs. 500,000/- by the Government of Sindh.</t>
  </si>
  <si>
    <t>0265-S</t>
  </si>
  <si>
    <t>Faqeer Muhammad</t>
  </si>
  <si>
    <t>House No. 2001, Sector L-1, Surjani Town, North Karachi</t>
  </si>
  <si>
    <t>FIR No. 134/2010, PS: Khwaja Ajmer Nagri</t>
  </si>
  <si>
    <t>Deleted. The case has been withdrawn by the complainant/family on payment of compensation amounting to Rs. 500,000/- vide cheque dated 19/2/2019 by the Government of Sindh.</t>
  </si>
  <si>
    <t>0266-S</t>
  </si>
  <si>
    <t>Abdul Aleem</t>
  </si>
  <si>
    <t>Quarter No. 60, Gali No. 3, Area 37-A, Landhi, Karachi</t>
  </si>
  <si>
    <t>FIR No. 111/2010, PS: Gulberg</t>
  </si>
  <si>
    <t>0267-S</t>
  </si>
  <si>
    <t>Abdul Khaliq</t>
  </si>
  <si>
    <t>House No. 40, Street No. 10, Data Nagar, Sector-8, Orangi Town Karachi</t>
  </si>
  <si>
    <t>FIR No. 111/2010, PS: Orangi Town</t>
  </si>
  <si>
    <t>0268-S</t>
  </si>
  <si>
    <t>Aqeeq Khan s/o habib Khan</t>
  </si>
  <si>
    <t>House No. 11/14, Sikandarabad, Liaqatabad, Karachi</t>
  </si>
  <si>
    <t>FIR No. 119/2010, PS: Liaqatabad</t>
  </si>
  <si>
    <t>0269-S</t>
  </si>
  <si>
    <t>Muzammil Hussain s/o Ghulam Ahmed Taj</t>
  </si>
  <si>
    <t>House # 159/7, Orangabad, Nazimabad, Karachi</t>
  </si>
  <si>
    <t>FIR No. 181/2010, PS: Preedy</t>
  </si>
  <si>
    <t>0270-S</t>
  </si>
  <si>
    <t>Saleem Raza</t>
  </si>
  <si>
    <t>House No. L-160, Sector-5A-4, Naeabadi, 2 Minutes Bus Stop, North Karachi</t>
  </si>
  <si>
    <t>FIR No. 135/2010, PS: Kh. Ajmer Nagri</t>
  </si>
  <si>
    <t>0271-S</t>
  </si>
  <si>
    <t>Muhammad Imran s/o Shamas-ud-Din</t>
  </si>
  <si>
    <t>Flat No. 21, Nadeem Arcade, Shadman No. 3, Sector 14-B, North Karacahi</t>
  </si>
  <si>
    <t>FIR No. 143/2010, PS: Nazimabad</t>
  </si>
  <si>
    <t>0272-S</t>
  </si>
  <si>
    <t>Abdul Rehman s/o Ramzan Ali</t>
  </si>
  <si>
    <t>House No. 1119, Lane No. 24, Block J, Sector 11-1/2, Orangi Town, Karachi</t>
  </si>
  <si>
    <t>FIR No. 88/2010, PS: Iqbal Market Orangi Town</t>
  </si>
  <si>
    <t>0273-S</t>
  </si>
  <si>
    <t>Asif Ahmed s/o Abdul Salam</t>
  </si>
  <si>
    <t>House No. 484, Area 32-B, Korangi 1-1/2, Karachi</t>
  </si>
  <si>
    <t>FIR No. 29/2010, PS: Korangi</t>
  </si>
  <si>
    <t>0274-S</t>
  </si>
  <si>
    <t>Muhammad s/o Muhammad Hussain</t>
  </si>
  <si>
    <t>House No. 71/11, Sector 5-E, New Karachi</t>
  </si>
  <si>
    <t>FIR No. 154/2010, PS: Jackson</t>
  </si>
  <si>
    <t>0275-S</t>
  </si>
  <si>
    <t>Abid Rasheed s/o Abdul Wahab</t>
  </si>
  <si>
    <t>House No. 5-E-27, Paposh Nagar, Nazimabad, Karachi</t>
  </si>
  <si>
    <t>FIR No. 336/94, PS: Nazimabad</t>
  </si>
  <si>
    <t>0276-S</t>
  </si>
  <si>
    <t>Muhammad Shafi Khan s/o Muhammad Faisal</t>
  </si>
  <si>
    <t>Flat No. F-6, Minhas Palaza (Islam Plaza), Civil Hospital Road, Karachi</t>
  </si>
  <si>
    <t>FIR No. 40/2010, PS: Risala</t>
  </si>
  <si>
    <t>Deleted. The case has been withdrawn by the complainant/family on payment of compensation amounting to Rs. 500,000/- vide cheque dated 2/9/2019 by the Government of Sindh.</t>
  </si>
  <si>
    <t>0277-S</t>
  </si>
  <si>
    <t>Riasat Ali s/o Abdul Raheem</t>
  </si>
  <si>
    <t>House No. 493, Sector - 11, Orangi Town, Karachi</t>
  </si>
  <si>
    <t>FIR No. 331/2010, PS: Mominabad</t>
  </si>
  <si>
    <t>0278-S</t>
  </si>
  <si>
    <t>Ghulam Rasool s/o Abdul Majeed</t>
  </si>
  <si>
    <t>House No. C-23/A, Khanzada Mohallah, Kot Radhan Station, Tehsil Mehar, Dadu</t>
  </si>
  <si>
    <t>FIR No. 20/2010, PS: Sakhi Peer</t>
  </si>
  <si>
    <t>0279-S</t>
  </si>
  <si>
    <t>Iqbal Muslim s/o Muhammad Muslim</t>
  </si>
  <si>
    <t>Flat No. A-2, 4th Floor, Abbas Square, Block-7, F.B Area, Karachi</t>
  </si>
  <si>
    <t>FIR No.190/1996
 u/s 364/34 PPC
 PS Jamshed Quarters, District: Karachi</t>
  </si>
  <si>
    <t>Muhammad Ibrahim S/o Abdul Qudoos</t>
  </si>
  <si>
    <t>House No. A-I, 220 KV Grid Station, New Kot Lakhpat Colony, Lahore (Mobile No. 0347-4447737)</t>
  </si>
  <si>
    <t>FIR No.197
 dt: 05/05/2010
 u/s 365 PPC
 PS Subzimandi,
 Islamabad</t>
  </si>
  <si>
    <t>Traced Person. Case was closed on the statement of Maj Mobeen Iqbal that Muhammad Ibrahim was sent to Internment Center.</t>
  </si>
  <si>
    <t>Abdul Qadir S/o Mehmood Jan</t>
  </si>
  <si>
    <t>Near High School Kaghzai, PO: Kohat, Tehsil &amp; Distt: Kohat</t>
  </si>
  <si>
    <t>Traced Person. Returned to home. Appeared before the Commission on 04/08/2011 and his statement was recorded.</t>
  </si>
  <si>
    <t>0282-K</t>
  </si>
  <si>
    <t>Ghufran S/o Ghulam Qadir</t>
  </si>
  <si>
    <t>Village Shangrai, PO: Katiari, Tehsil: Adan zai, Distt: Lower Dir (Mobile No. 0345-9381481)</t>
  </si>
  <si>
    <t>FIR No. 184
 dt 10/5/2011
 u/s 365 PPC
 PS Ouch, District Dir Lower</t>
  </si>
  <si>
    <t>Deleted. The case is closed on the request of the complainant for withdrawal of his case from this Commission, as the complainant has got a legal right to withdraw his case whenever he so desires.</t>
  </si>
  <si>
    <t>Dir Lower</t>
  </si>
  <si>
    <t>0283-F</t>
  </si>
  <si>
    <t>Nizam-ud-Din s/o Karam Khan</t>
  </si>
  <si>
    <t>Ali Muhammad , r/o Tangi Zai, Ladha, District South Waziristan Agency. (Mobile No. 0304-0664942)</t>
  </si>
  <si>
    <t>Traced Person. It has been intimated by Rep of MI that Nizam-ud-Din is presently confined in the Internment Center Lakki Marwat. Family members of Nizam-ud-Din shall be facilitated to see him in the Internment Center as per rules and procedures.</t>
  </si>
  <si>
    <t>Shabbir Ahmed S/o Abdul Rasheed</t>
  </si>
  <si>
    <t>Shah Zaman Road, Killi Chakar Khan, Quetta</t>
  </si>
  <si>
    <t>Deleted. It was informed at the hearing held in this Commission on 4.11.2019 by Reps of ISI, MI, FC (North), CTD and Special Branch that the Missing Person is not in custody. Keeping in view of circumstances of the case it hardly falls within the ambit of enforced disappearance, therefore further proceedings by the Commission would be a futile exercise. The name of Shabbir Ahmed be deleted from the list of enforced disappearance person.</t>
  </si>
  <si>
    <t>Mir Hassan S/o Mir Khan Bugti</t>
  </si>
  <si>
    <t>Room No. 7, Al-Syed Building, Jinnah Road, Quetta (Mobile No. 0300-3101155)</t>
  </si>
  <si>
    <t>Traced Person. Returned to home as confirmed by Aman Ullah Kawrani, Advocate.</t>
  </si>
  <si>
    <t>Hafiz Abdul Rehman S/o Abdul Shakoor</t>
  </si>
  <si>
    <t>House No. 9, Street No. 1, Jamil Town, Ghulam Muhammad Abad, Faislabad (Mobile No. 0333-8370673)</t>
  </si>
  <si>
    <t>Traced Person. CPO, Faislabad and father of Missing Person both submitted that Hafiz Abdul Rehman is detained in PS, Ghulam Muhammad, Faisalabad.</t>
  </si>
  <si>
    <t>0287-K</t>
  </si>
  <si>
    <t>Hussain Ahmed s/o Aziz-ur-Rehman</t>
  </si>
  <si>
    <t>Mst. Bahrawa, r/o Galoch, Tehsil Kabal, District Swat. (Mobile No0343-9446146)</t>
  </si>
  <si>
    <t>Traced Person. According to report received from Rep of MI, Hussain Ahmed has been awarded punishment by Military Court and presently he is confined in District Jail Kohat. Masih-ur-Rehman brother of Hussain Ahmed has been apprised of the status of the case.</t>
  </si>
  <si>
    <t>Mujahid-ur-Rehman S/o Mir Alam Jan</t>
  </si>
  <si>
    <t>Village Haider Khel Dawar, North Waziristan Agency (Mobile No. 0334-9024137)</t>
  </si>
  <si>
    <t>Sajid Ali Shah S/o Muhammad Ali Shah</t>
  </si>
  <si>
    <t>Mohallah Scheme Kanay, 
 Village: Ziarat Kaka Sahib, Nowshehra 
 (Mobile No. 0302-5775337)</t>
  </si>
  <si>
    <t>FIR No. 43, dt. 28 Apr 11, PS: Nowshehra Kalan</t>
  </si>
  <si>
    <t>Traced Person. Dead body recovered and case registered u/s 302 PPC. Family Pension was under process.</t>
  </si>
  <si>
    <t>0290-P</t>
  </si>
  <si>
    <t>Hassan Arsalan s/o Sajad Ashaf Malik</t>
  </si>
  <si>
    <t>Muhallah Tahirabad, Dr. Muzafar Street, Shirkpur Sharif, Sheikupura</t>
  </si>
  <si>
    <t>FIR No. 1038/10, dt. 6 Aug 10, PS:Lower Mall Lahore</t>
  </si>
  <si>
    <t>Under Investigation Lahore</t>
  </si>
  <si>
    <t>0291-P</t>
  </si>
  <si>
    <t>Muhammad Farooq s/o Wali Muhammad</t>
  </si>
  <si>
    <t>Muhallah Tahirabad, Shahid Street, Shirkpur Sharif, Sheikupura</t>
  </si>
  <si>
    <t>FIR No. 248/11, dt. 3 May 11, PS:Shirkpur, Sheikupura</t>
  </si>
  <si>
    <t>Under Investigation Sheikhpura</t>
  </si>
  <si>
    <t>0293-K</t>
  </si>
  <si>
    <t>Rasool Kalam s/o Hakeem Jan</t>
  </si>
  <si>
    <t>Zahid Ullah, P.O Datta Khel, Manzoor Khel, North Waziristan Agency. (Mobile No. 0331-81541680</t>
  </si>
  <si>
    <t>0292-P</t>
  </si>
  <si>
    <t>Muhammad Ansar Iqbal s/o Mansab Khan</t>
  </si>
  <si>
    <t>Muhammad Zakir Hussain, r/o P.O Khas Khora, Tehsil &amp; District Khushab. (Mobile No. 0333-8956509)</t>
  </si>
  <si>
    <t>FIR No. 166/18 dated 18/12/2018 u/s 365 PPC, PS Naushera, District Khushab</t>
  </si>
  <si>
    <t>Deleted. The case has thoroughly been investigated hearing held but there is no evidence to suggest that it to be a case of enforced disappearance. JIT has also concluded that Missing Person has gone on his own. In these circumstances the case hardly falls within the ambit of enforced disappearance. Hence the case is closed</t>
  </si>
  <si>
    <t>Khushab</t>
  </si>
  <si>
    <t>0294-K</t>
  </si>
  <si>
    <t>Abdul Jaleel s/o Kemya Gul</t>
  </si>
  <si>
    <t>Kemya Gul, r/o Village Shah Kas, Jamrood, District Khyber Agency. (Mobile No. 0332-9176218 &amp; 0300-9343302)</t>
  </si>
  <si>
    <t>Traced Person. Abdul Jaleel has been traced. According to reports dated 06.07.2020 and 24.07.2020, received from Rep of MI, Abdul Jaleel is presently confined in Internment Centre Lakki Marwat. Complainant may avail remedy if any accordance with law. Family members of Abdul Jaleel will be facilitated to see him in the Internment Centre as per rules and procedures.</t>
  </si>
  <si>
    <t>Muhammad Salman S/o Haji Payo Gul</t>
  </si>
  <si>
    <t>Mohallah Qazi Sahib, Village: Ziarat Kaka Sahib, 
 Nowshehra (Mobile No. 0302-5775337</t>
  </si>
  <si>
    <t>FIR No. 36, dt. 28 Apr 11, PS: PS: Nowshehra Kalan</t>
  </si>
  <si>
    <t>Munir Zada S/o Mian Sharif Zada</t>
  </si>
  <si>
    <t>Mohallah Kaji Khel, Village Ziarat Kaka Sahib,
 Nowshehra (Mobile No. 0302-5775337)</t>
  </si>
  <si>
    <t>FIR No. 23, dt.09 Mar 11, PS: Nowshehra Kalan</t>
  </si>
  <si>
    <t>Waheed Ahmed S/o Abdul Hameed</t>
  </si>
  <si>
    <t>Purani Abadi, Baldia LA-3, C/o Govt. Boys Middle School, Thothal, Mirpur, AJ&amp;K (Mobile No. 0333-5295333)</t>
  </si>
  <si>
    <t>FIR No. 6, dt. 01 Jan 11, PS: City, Mirpur</t>
  </si>
  <si>
    <t>Traced Person. He was arrested verified and communicated by APA Khyber Agency a confirmed by his father.</t>
  </si>
  <si>
    <t>Taimoor Ali S/o Ch. Muhammad Ismail</t>
  </si>
  <si>
    <t>House # 176, Sangot Main Road, Mirpur, AJ&amp;K (Mobile No. 0303-5014669).</t>
  </si>
  <si>
    <t>FIR No. 6, dt. 15 Dec 10, PS: City, Mirpur</t>
  </si>
  <si>
    <t>Abdul Zakir S/o Abdul Hakeem</t>
  </si>
  <si>
    <t>Killi Azizabad, Mastaung (Phone No. 0848550272)</t>
  </si>
  <si>
    <t>FIR No. 75/2010, PS: Wali Khan, Mastung</t>
  </si>
  <si>
    <t>Traced Person. Returned to home as confirmed by his father at the hearing on 06/06/2012.</t>
  </si>
  <si>
    <t>Muhammad Nazim S/o Khusheed Ahmed</t>
  </si>
  <si>
    <t>Harappa Station, Kachi Abadi, Jinnah Town, Sahiwal (Mobile No. 0304-6123136)</t>
  </si>
  <si>
    <t>FIR No.728
 dt: 16/05/2011
 u/s 365 PPC
 PS Shafiqabad
 District: Lahore</t>
  </si>
  <si>
    <t>0301-P</t>
  </si>
  <si>
    <t>Muhammad Qasim S/o Khursheed Ahmed</t>
  </si>
  <si>
    <t>FIR No.728,
 dt.16/5/2011,
 u/s 365 PPC
 PS Shafiqabad, District Lahore</t>
  </si>
  <si>
    <t>Syed Muhammad Younas Kazmi S/o Kifayat Hussain Shah (Shaheed)</t>
  </si>
  <si>
    <t>Village Rakhiyanwala, Saray Muhajir, Distt: Bhakkar (Mobile No. 0344-9383740)</t>
  </si>
  <si>
    <t>Deleted. Not a case of Enforced Disappearance. Complainant submitted affidavit that he does not want to pursue the case.</t>
  </si>
  <si>
    <t>0303-K</t>
  </si>
  <si>
    <t>Syed Nasir Hussain Shah S/o Syed Bashir Hussain (Shaheed0</t>
  </si>
  <si>
    <t>FIR No.318
 dt: 02/06/2011
 u/s 365 PPC
 PS Pirwadhai, District Rawalpindi</t>
  </si>
  <si>
    <t>Under Investigation D.I.Khan</t>
  </si>
  <si>
    <t>Johar alias Baba Bohair S/o Faqir Muhammad</t>
  </si>
  <si>
    <t>Ward No. 3, Pasni, Distt: Gawadar (Mobile No. 0321-2318270)</t>
  </si>
  <si>
    <t>FIR No. 3/2011, PS: Levies Station Pasni, Gawadar</t>
  </si>
  <si>
    <t>Traced Person. DC Gawader confirmed that Johar Baba recovered.</t>
  </si>
  <si>
    <t>Mehrab S/o Muhammad Umar</t>
  </si>
  <si>
    <t>Nok Band, Parom, Distt: Panjgur (Mobile No. 0300-3810074/0313-8480974)</t>
  </si>
  <si>
    <t>FIR No.20
 dt: 23/01/2011
 u/s 342/365 PPC
 PS District: Panjgur</t>
  </si>
  <si>
    <t>Traced Person. Dead body was recovered from the area of PS Turbat.</t>
  </si>
  <si>
    <t>Tariq Karim S/o Muhammad Karim</t>
  </si>
  <si>
    <t>Villag: Siahozai, Teshil: Basima, Distt: Washuk (Mobile No. 0336-2227776)</t>
  </si>
  <si>
    <t>FIR No.623
 dt: 21/10/2011
 u/s 365/34 PPC
 PS Gulistan-e-Jauhar, District: East Karachi</t>
  </si>
  <si>
    <t>Traced Person.</t>
  </si>
  <si>
    <t>Abid Saleem S/o Muhammad Saleem</t>
  </si>
  <si>
    <t>C/o Imam Din (J.E.T) Govt. Girls High School, Garmakan, Khudabandan, Tehsil &amp; Distt: Panjgur (Mobile No. 0333-4713835)</t>
  </si>
  <si>
    <t>FIR No. 20/2011, dt. 26 Jan 11, PS: Panjgur</t>
  </si>
  <si>
    <t>Traced Person. Dead body recovered from the area of PS, Turbat.</t>
  </si>
  <si>
    <t>0308-B</t>
  </si>
  <si>
    <t>Zafarullah S/o Fazal Muhammad</t>
  </si>
  <si>
    <t>Sakozai Dasht, Tehsilht, Distt: Mastung (Mobile No. 0345-8346454)</t>
  </si>
  <si>
    <t>FIR No. 23/2011 dt. 04 May 2011, PS: Dasht, Mastung</t>
  </si>
  <si>
    <t>Under Investigation Bal</t>
  </si>
  <si>
    <t>0309-K</t>
  </si>
  <si>
    <t>Syed Qasim Ali Shah S/o Syed Mansoor Ali Shah</t>
  </si>
  <si>
    <t>Kocha Maroof Shah, Mohallah Mian Khel, Kohat (Mobile No. 0301-8010210)</t>
  </si>
  <si>
    <t>FIR No.664,
 dt: 10/8/2011
 u/s 342 PPC,
 PS Cantt. Kohat</t>
  </si>
  <si>
    <t>Under Investigation Kohat</t>
  </si>
  <si>
    <t>UNWG MoFA</t>
  </si>
  <si>
    <t>0310-F</t>
  </si>
  <si>
    <t>Abad Gul s/o Jandool Khan</t>
  </si>
  <si>
    <t>Jandool Khan, r/o Koki Khel, Ali Masjid, Tehsil Jamrood, District Khyber Agency. (Mobile No. 0302-8882597 &amp; 0341-9144728)</t>
  </si>
  <si>
    <t>21202-3469138-5</t>
  </si>
  <si>
    <t>0311-F</t>
  </si>
  <si>
    <t>Shakir Khan s/o Yaar Akbar</t>
  </si>
  <si>
    <t>Yaar Akbar, r/o Koki Khel, Zia Masjid, Tehsil jamrood, District Khyber Agency, (Mobile No. 0306-4870122 &amp; 0345-4870122)</t>
  </si>
  <si>
    <t>Deleted. In view of the fact that there is no eye witness of the incident of abduction no allegation levelled by the complainant in his application against LEAs/Intelligence Agency, JIT and PTF concluded that the Missing Person gone on his own. All stakeholders have denied the arrest/ detention of Shakir Khan. No further action is required. The case is closed.</t>
  </si>
  <si>
    <t>0312-K</t>
  </si>
  <si>
    <t>Muhammad Iqbal s/o Rehmat Hussain</t>
  </si>
  <si>
    <t>Muhammad Muzamil Farooq, r/o College Chowk, Manshera. (Mobile No. 0316-5517836)</t>
  </si>
  <si>
    <t>Deleted. According to the statement of SP (Inv) Abbottabad as well as the complainant, it is not a case of Enforced Disappearance, hence the case is disposed of accordingly.</t>
  </si>
  <si>
    <t>Abbottabad</t>
  </si>
  <si>
    <t>0313-F</t>
  </si>
  <si>
    <t>Abid Rehman s/o Ahmed Jan</t>
  </si>
  <si>
    <t>Syed Rehman, r/o P.O Yak Ghund, Tehsil Pandeyali, District Mohmand Agency. (Mobile No. 0307-0091824 &amp; 0308-9078183)</t>
  </si>
  <si>
    <t>0314-K</t>
  </si>
  <si>
    <t>Abid Ullah s/o Fazal Ghaffor</t>
  </si>
  <si>
    <t>Naqeeb Ullah, r/o Village Mir, Tehsil Dir, District Upper Dir. (Mobile No. 0307-8538195)</t>
  </si>
  <si>
    <t>Upper Dir</t>
  </si>
  <si>
    <t>Tuaha Zubair S/o Muhammad Zubair Ahmed</t>
  </si>
  <si>
    <t>House No. 463-A, Street No. 2, Makhdoom Shah Colony, Orangi Town, Sector 11-1/2, Karachi (Mobile No. 0344-8476424)</t>
  </si>
  <si>
    <t>FIR No. 150/2010, u/s 365-PPC</t>
  </si>
  <si>
    <t>Traced Person. Returned to home and appeared before the Commission on 12/04/2011.</t>
  </si>
  <si>
    <t>0316-K</t>
  </si>
  <si>
    <t>Saddam Khan s/o Nawab Khan</t>
  </si>
  <si>
    <t>Nawab Khan, r/o Mama Kor, Arzyana, P.o Yousaf Khumel, Tehsil Upper Mohmand, District Mohmand Agency. (Mobile No. 0345-9896985)</t>
  </si>
  <si>
    <t>0317-K</t>
  </si>
  <si>
    <t>Nawaz Ali Khan s/o Khan Bahadur</t>
  </si>
  <si>
    <t>Shah Ullah, r/o South Waziristan Agency. (Mobile No. 03137/656896)</t>
  </si>
  <si>
    <t>Traced Person. A hearing was held in this Case on 6.8.2019 in this Commission at which reports from DSP HQ, Kark and Dte, Gen, ISI confirmed that Nawaz Ali Khan was present at home. His brother Shair Ullah also confirmed on cell No. 0344-4509103</t>
  </si>
  <si>
    <t>Kark</t>
  </si>
  <si>
    <t>Moulana Iqbal Farooqi S/o Zahoor Ahmed</t>
  </si>
  <si>
    <t>PO: Pir Hazrat Abdur Rehman, PS: Ahmed Pur Sial, Distt: Jhang</t>
  </si>
  <si>
    <t>FIR No.66
 dt: 09/02/2011
 u/s 365 PPC
 PS Mustafaabad, Tehsil &amp;
 District: Kasur</t>
  </si>
  <si>
    <t>Traced Person. Confined in the Internment Center Kohat as informed by MI.</t>
  </si>
  <si>
    <t>Haji Ali Hassan</t>
  </si>
  <si>
    <t>C.M.A No. 1709/2011</t>
  </si>
  <si>
    <t>Muhammad Saleem S/o Ahmed Jan</t>
  </si>
  <si>
    <t>Basar, PO: Sardakai, South Waziristan Agency</t>
  </si>
  <si>
    <t>Inquiry u/s 156(3) CrPC, PS Tank,
 District: Tank</t>
  </si>
  <si>
    <t>Traced Person. Imran Khan, nephew of Muhammad Saleem confirmed that Missing Person was not abducted by anyone rather he went to Raiwand on his own.</t>
  </si>
  <si>
    <t>Abdul Karim S/o Khuda Bakhsh</t>
  </si>
  <si>
    <t>Village: Tang, PO: Tarzai, South Waziristan Agency</t>
  </si>
  <si>
    <t>0322-S</t>
  </si>
  <si>
    <t>C.M.A No. __/2011 in HRC 965/2005</t>
  </si>
  <si>
    <t>Imran Jokhio S/o Ghulam Nabi Jokhio</t>
  </si>
  <si>
    <t>Village: Phul, PO: Phull via Taluka, Distt: Nowshehro Feroze</t>
  </si>
  <si>
    <t>FIR No.133
 dt: 04/06/2010
 u/s 364/392/506(2)
 /149/504 PPC
 PS Phull, Noshero Feroze</t>
  </si>
  <si>
    <t>Deleted. The investigation indicates that four persons including Imran Jokhio were robbed by some Police Officials Phull Bridge NausheroForoze. After investigation the Police Official were punished by the Court and department. The investigation was conducted by M/S Sanaullah Abbasi, Dr. Amir Ahmed Sheikh, Farhat Ali Junejo and Zafar Abbas Bukhari, all Deputy Inspector General of Police Hyderabad range. Their findings are consistent that this case does not fall in the category of enforced disappearances. Accordingly no further action is required and the case is closed.</t>
  </si>
  <si>
    <t>Shaukat Ali S/o Ghulam Muhammad</t>
  </si>
  <si>
    <t>Chak No. 321 GB near Pir Mehal, Tehsil &amp; Distt: Toba Tek Singh (Mobile No. 0332-7591776)</t>
  </si>
  <si>
    <t>FIR No. 27, dt. 24 Jan 11, PS: Pir Mehal, Toba Tek Singh</t>
  </si>
  <si>
    <t>Traced Person. Returned to home. Shaukat Ali appeared before the Commission on 22/07/2011 and his statement was recorded.</t>
  </si>
  <si>
    <t>0324-K</t>
  </si>
  <si>
    <t>Latif-ur-Rehman S/o Abdul Manan</t>
  </si>
  <si>
    <t>Village &amp; PO: Tazagram, Tehsil: Adanzai, Distt: Dir (Lower) (Mobile No. 0342-9671560)</t>
  </si>
  <si>
    <t>FIR No.193 dt.30/05/2011 u/s 365 PPC PS Ouch District Dir Lower</t>
  </si>
  <si>
    <t>Under Investigation Dir Lower</t>
  </si>
  <si>
    <t>Zafar S/o Haji Nabi Bakhsh</t>
  </si>
  <si>
    <t>R-303, Phase-II near Old NADRA Office, Ghazi Town, Malir, Karachi (Mobile No. 0300-3462598)</t>
  </si>
  <si>
    <t>FIR No. 402/11, dt. 19 May 11, PS: Airport, Rawalpindi</t>
  </si>
  <si>
    <t>Traced Person. He returned to home as confirmed by I.O of the case at the time of hearing on 20/12/2011.</t>
  </si>
  <si>
    <t>Waheed Ahmed S/o Saeed Ahmed</t>
  </si>
  <si>
    <t>House No. 4, Street No. 58, G-6/4, Islamabad (Mobile No. 0345-5120237)</t>
  </si>
  <si>
    <t>FIR No. 55, dt. 08 Feb 11, PS: Abpara, Islamabad</t>
  </si>
  <si>
    <t>Traced Person. Returned to home. He appeared before the Commission on 13/06/2011 and stated that he left for Karachi at his own.</t>
  </si>
  <si>
    <t>Shaukat Ali S/o Sultan Ameer</t>
  </si>
  <si>
    <t>House No. 606, St No. 26, Area Old Muzaffarbad Cly,
 Landhi, Karachi</t>
  </si>
  <si>
    <t>FIR No. 253dt. 30/5/2011. u/s 365/34 PPC, PS Saidu Sharif District Swat</t>
  </si>
  <si>
    <t>Traced Person as he was injured and shiffited to Saidu Sharif Hospital.</t>
  </si>
  <si>
    <t>Zubair Ahmed S/o Muhammad Noor</t>
  </si>
  <si>
    <t>Village Hozai, PO: Mand, Tehsil: Mand, Distt: Kech (Mobile No. 0322-8113139)</t>
  </si>
  <si>
    <t>FIR No. 11/2011, dt. 06 May 11, PS: Levis, Mand, Distt: Kech</t>
  </si>
  <si>
    <t>Traced Person. Dead body Recovered. DC and DPO, Kech confirmed before the Commission.</t>
  </si>
  <si>
    <t>Abdullah S/o Muhammad Abdul Raheem</t>
  </si>
  <si>
    <t>Darulsalaam Colony, behind baref Khana Attock City</t>
  </si>
  <si>
    <t>FIR No. 305, dt. 27 May 11, PS: Margalla, Islamabad</t>
  </si>
  <si>
    <t>Traced Person. Lodged in Adiyala Jail, Rawalpindi on criminal Charges.</t>
  </si>
  <si>
    <t>Ibrahim S/o Muhammad Abdul Raheem</t>
  </si>
  <si>
    <t>FIR No. 290, dt. 29 May 11, PS: Attock City, Attock</t>
  </si>
  <si>
    <t>Traced Person. He is in Judicial custody and lodged in Adiyala Jail, Rawalpindi.</t>
  </si>
  <si>
    <t>Hafiz Saqib Ghafoor S/o Ch. Abdul Ghafoor</t>
  </si>
  <si>
    <t>House No. Y-III, Scheme-3, Farid Town, Sahiwal (Mobile No. 0300-6924462)</t>
  </si>
  <si>
    <t>FIR No. 428/2010, dt. 11 Jun 10, PS: Farid Town, Sahiwal</t>
  </si>
  <si>
    <t>Deleted. Not a case of Enforced Disappearance as the Missing Person has gone on his own.</t>
  </si>
  <si>
    <t>Ghazi Khan S/o Muhammad Yaqoob Khan</t>
  </si>
  <si>
    <t>Street No. 12, Mianwali Colony, Mewa Shah Road, Kausar Masjid, Karachi (Mobile No. 0300-9245986)</t>
  </si>
  <si>
    <t>FIR No. 336/2010, dt. 01 Apr 10, PS: New Town, Karachi</t>
  </si>
  <si>
    <t>Sher Afzal S/o Azeem Khan</t>
  </si>
  <si>
    <t>Street No. 20, Mianwali Colony, Mewa Shah Road, Kausar Masjid, Karachi (Mobile No. 0321-6063511)</t>
  </si>
  <si>
    <t>Sheraz S/o Azeem Khan</t>
  </si>
  <si>
    <t>Sardar Daroo Khan Ababki S/o Muhammad Anwar Ababki</t>
  </si>
  <si>
    <t>House No. 133, Ababki Street (I), Sariab Mills Colony, New Sariab, Quetta (Mobile No. 0304-7805952)</t>
  </si>
  <si>
    <t>FIR No.46
 dt: 08/01/2010
 u/s 365/34 PPC
 PS Sariab, Quetta</t>
  </si>
  <si>
    <t>Deleted. Being a Proclaimed Offender.</t>
  </si>
  <si>
    <t>Muhammad Tahir Khan Ababki S/o Muhammad Anwar Ababki</t>
  </si>
  <si>
    <t>Deleted. Being Proclaimed offender. The case has also been dropped by Ho"nable Supreme Court of Pakistan on the same grounds.</t>
  </si>
  <si>
    <t>0337-S</t>
  </si>
  <si>
    <t>HRC No. 30361-S/ 2013</t>
  </si>
  <si>
    <t>Muhammad Farukh s/o Muhammad Aslam</t>
  </si>
  <si>
    <t>Muhammad Aslam f/o Missing Person r/o House No. 69/8, Sector 5/D, New Karachi (Mobile No. 0345-3153450)</t>
  </si>
  <si>
    <t>FIR No. 231
 dt: 4-5-2010
 u/s 364/34 PPc
 PS. Airport, Shah Faisal Town, Karachi</t>
  </si>
  <si>
    <t>0338-K</t>
  </si>
  <si>
    <t>Zakir Shah S/o Rustam Khan</t>
  </si>
  <si>
    <t>Village Rustam Khan Klay, PO: Zaim, Tehsil: Tangi, Distt: Charsadda (Mobile No. 0314-9637139</t>
  </si>
  <si>
    <t>17102-2573571-2</t>
  </si>
  <si>
    <t>FIR No.200
 dt: 1/6/2012
 u/s 365 PPC
 PS East Cantt. Peshawar</t>
  </si>
  <si>
    <t>Under Investigation Peshawar</t>
  </si>
  <si>
    <t>UNWG MoFA 2822, 3173, 338, 089, 591 &amp; 2893 to be fixed together</t>
  </si>
  <si>
    <t>0339-K</t>
  </si>
  <si>
    <t>Muhammad Ameer Khan s/o Muhammad Noor Ali Jan</t>
  </si>
  <si>
    <t>Mst. Sana Bibi, r/o P.O Pepal Bazar, Dawood Shah, Tehsil &amp; District Bannu. (Mobile No. 0333-9732463)</t>
  </si>
  <si>
    <t>Supreme Court of Pakistan</t>
  </si>
  <si>
    <t>Jam Qarar Din Bhutto S/o Muzaffar Ali bhutto</t>
  </si>
  <si>
    <t>Village Allah Rakhio Bhutto, Talka Q. Ahmed, Benazir Abad, Nawabshah (Mobile No. 0308-8228955)</t>
  </si>
  <si>
    <t>FIR No.210
 dt: 21/07/2011
 u/s 365/34 PPC
 PS Brigade Jamshed Town,
 Karachi</t>
  </si>
  <si>
    <t>Traced Person. Returned to home as informed by SSP East Karachi at the hearing on 29/12/2012.</t>
  </si>
  <si>
    <t>Riaz Ali S/o Ghulam Muhammad Kakepoto</t>
  </si>
  <si>
    <t>Village Ali Abad, Talka 
 Q. Ahmed, Benazir Abad, Nawabshah (Mobile No. 0307-2532195)</t>
  </si>
  <si>
    <t>Ali Nawab Mehar S/o Moula Bakhsh Mehar</t>
  </si>
  <si>
    <t>Village Sawi Mehar, Talka 
 Q. Ahmed, Benazir Abad, Nawabshah (Mobile No. 0302-3244816)</t>
  </si>
  <si>
    <t>Shah Nawaz Bhutto S/o Mehboob Ali Bhutto</t>
  </si>
  <si>
    <t>Village Bagh Manik, Daulatpur, Talka Q. Ahmed, Benazir Abad</t>
  </si>
  <si>
    <t>Hafiz Kashif Nadeem S/o Ch. Manzoor Ahmed</t>
  </si>
  <si>
    <t>Street # 39, People’s Colony, Feroz Wala Scheme # 3, P.O Imamia Colony, District: Sheikhupura.(Mobile No.0301-8878006)</t>
  </si>
  <si>
    <t>FIR No. 558/2010, dt. 14 June 10, PS: Shafiqabad, Lahore</t>
  </si>
  <si>
    <t>Traced Person. He returned to home on 27/08/2011 as informed by I.O PS, Shafiqabad , Lahore.</t>
  </si>
  <si>
    <t>Munir Ahmed Mirwani S/o Ghulam Rasool</t>
  </si>
  <si>
    <t>Gazgi Mohalla Khuzdar City, Tehsil Mashkay, District Awaran (Mobile No. 0333-7774372)</t>
  </si>
  <si>
    <t>FIR No.116
 dt: 17/06/2010
 u/s 365/147/149 PPC
 PS City Khuzdar</t>
  </si>
  <si>
    <t>Deleted. Being a purely criminal case.</t>
  </si>
  <si>
    <t>Farman Ullah S/o Zafar Ullah Khan</t>
  </si>
  <si>
    <t>Western By Pass Zafar Abad Shahdin Zai Saryab, Quetta (Mobile No. 0333-7833435)</t>
  </si>
  <si>
    <t>FIR No. 124
 dt: 05/07/2011
 u/s 365 PPC
 PS Shalkot, Quetta</t>
  </si>
  <si>
    <t>Muhammad Afzal S/o Muhammad Siddique</t>
  </si>
  <si>
    <t>H.No. 98 CP Brar Society, Doharaje Colony Karachi (Mobile No. 03321-2448548)</t>
  </si>
  <si>
    <t>FIR No. 116/2011, dt. 30 Apr 11, PS: Mithadar, Karachi</t>
  </si>
  <si>
    <t>Traced Person. Returned to home and available at H.No. 98 CP Brar Society, Doharaje Colony Karachi.</t>
  </si>
  <si>
    <t>Muhammad Ramzan S/o Ghulam Jilani</t>
  </si>
  <si>
    <t>Weigh Bridge, Mullan Mansoor, Attock (Mobile No. 0306-5569645)</t>
  </si>
  <si>
    <t>FIR No. 4/2010, dt. 07 Jan 10, PS: Attock Khurd, Attock</t>
  </si>
  <si>
    <t>0349-S</t>
  </si>
  <si>
    <t>Azhar Iqbal S/o Iqbal Ahmed</t>
  </si>
  <si>
    <t>House No. 18-B, Gulshan-e-Kaneez Fatima, Phase-I, Gulzar-e-Hydri, Karachi (Mobile No. 0300-9315763)</t>
  </si>
  <si>
    <t>FIR No.607
 dt:16/9/2011
 u/s 365/34 PPC
 PS Sachal, District Malir Karachi</t>
  </si>
  <si>
    <t>Deleted. After thorough investigation of JIT arrival at the conclusion that it is not a case of enforced disappearance. The Commission endorses the conclusion and accordingly the case is closed.</t>
  </si>
  <si>
    <t>HRC No. 22342-K/2011</t>
  </si>
  <si>
    <t>Muhammad Tahir S/o Muhammad Rafique</t>
  </si>
  <si>
    <t>Zafarabad Colony, near Liaquat Masjid, Dera Ismail Khan.</t>
  </si>
  <si>
    <t>FIR 404
 dt: 08/07/2011
 u/s 365 PPC
 PS City, D.I. Khan</t>
  </si>
  <si>
    <t>Traced Person. Appeared before the Commission on 16/09/2011 and his statement was recorded.</t>
  </si>
  <si>
    <t>Mohsin Rasheed S/o Abdul Rasheed</t>
  </si>
  <si>
    <t>Street No. 6, Mohallah Jinnah Park, The: Mureed.K, Distt: Sheikhupura (Mobile No. 0333-4296147)</t>
  </si>
  <si>
    <t>FIR No. 227/11, dt. 29 Jun 11, PS: Mustafabad, Lahore</t>
  </si>
  <si>
    <t>Traced Person. He returned to home but refused to appear before the Commission.</t>
  </si>
  <si>
    <t>0353-K</t>
  </si>
  <si>
    <t>Hafiz Abdul Nasir S/o Resham Din</t>
  </si>
  <si>
    <t>Saeed-ud-Din, r/o Village Jungle Khel, Mohallah Charbagh, Kohat (Mobile No. 0332-3385137, 0334-8373966)</t>
  </si>
  <si>
    <t>FIR No. 572,
 dt: 11/7/2009
 u/s 342 PPC
 PS Jungle Khel, Kohat</t>
  </si>
  <si>
    <t>Qasim Khan S/o Aqil Khan</t>
  </si>
  <si>
    <t>Islamabad Building, Kohat Road, near Postal Colony, Peshawar City (Mobile No. 0334-6161619)</t>
  </si>
  <si>
    <t>Deleted on application from Aqil Khan, complainant that he does not want to pursue the matter.</t>
  </si>
  <si>
    <t>HRC No. 43872-P/2010</t>
  </si>
  <si>
    <t>Rizwan Yousaf S/o Haji Muhammad Yousaf Naseem</t>
  </si>
  <si>
    <t>Naseem Manzil, Jamil Colony, Kabirwala, Khanewal (Mobile No. 0300-6347943)</t>
  </si>
  <si>
    <t>FIR No.16,
 dt: 23/1/2010
 u/s 365 PPC
 PS City, Kabirwala, District Khanewal</t>
  </si>
  <si>
    <t>Khanewal</t>
  </si>
  <si>
    <t>Amjad Islam S/o Abdul Salam</t>
  </si>
  <si>
    <t>H.No.14, St # No.19 Walait Abad No.3, Bhuta Colony, Multan</t>
  </si>
  <si>
    <t>FIR No. 548/06, dated 17 Nov 06 u/s 364 PPC, PS City Muzaffargarh</t>
  </si>
  <si>
    <t>Deleted as the case has been categorised as that of Personal enmity.</t>
  </si>
  <si>
    <t>Nabil S/o Haji Sahib Khan</t>
  </si>
  <si>
    <t>Village: Mand Gayab, Mohallah: Mand, PO: Mand, Tehsil: Tump, Distt: Kech (Mobile No. 0321-3358405)</t>
  </si>
  <si>
    <t>FIR No. 128/2010, dt. Oct 10, PS: Gawadar</t>
  </si>
  <si>
    <t>Traced Person. Reported he has been traced as informed at the hearing on 08/06/2012.</t>
  </si>
  <si>
    <t>Waleed Afzal S/o Muhammad Afzal</t>
  </si>
  <si>
    <t>Village: Mand Gayab, Mohallah: Mand, PO: Mand, Tehsil: Tupm, Distt: Kech (Mobile No. 0321-3358405)</t>
  </si>
  <si>
    <t>Muhammad Zeeshan S/o Ch. Muhammad Siddique</t>
  </si>
  <si>
    <t>New Abadi, House No. NE 476, Mohallah Ariya, College Road, Rawalpindi (Mobile No. 0300-5104247, 0321-5338886)</t>
  </si>
  <si>
    <t>FIR No. 293, dt. 17 May 11, PS: Ganjmandi, Rwp.</t>
  </si>
  <si>
    <t>Traced Person. Muhammad Rizwan brother of Zeeshan appeared before the Commission on 12/09/2012 and confirmed that Missing Person has returned to home.</t>
  </si>
  <si>
    <t>HRC No. 42025-K/2012</t>
  </si>
  <si>
    <t>Jaseen Ullah Khan alia Jaseem S/o Gul Hanif</t>
  </si>
  <si>
    <t>Village: Zabta Khan, Bhart, Tehsil &amp; Distt: Bannu (Mobile No. 0323-9853821)</t>
  </si>
  <si>
    <t>FIR No.427,
 dt: 17/8/2011,
 u/s 365 PPC
 PS Mandan, District Bannu</t>
  </si>
  <si>
    <t>Deleted vide detailed findings dated 24/04/2013 with the direction to register a case.</t>
  </si>
  <si>
    <t>0361-P</t>
  </si>
  <si>
    <t>Fazal Sattar S/o Aurangzeb</t>
  </si>
  <si>
    <t>Village: Dosra, near Nehr Kinara, PS: Sar Dheri, Tehsil &amp; Distt: Charsadda (Mobile No. 0343-9028432)</t>
  </si>
  <si>
    <t>FIR No.340,
 dt: 18/7/2011,
 u/s 365 PPC
 PS Cantt. Sialkot</t>
  </si>
  <si>
    <t>Hafiz Gulshan S/o Gul Muhammad (Late)</t>
  </si>
  <si>
    <t>Mohallah Ghalikhel, Village &amp; Post Office Koza Bandi, Tehsil Kabal Swat.</t>
  </si>
  <si>
    <t>Closed. As the Missing Person has been declared absconder by the Court.</t>
  </si>
  <si>
    <t>Muhammad Mustafa S/o Muhammad Yousuf</t>
  </si>
  <si>
    <t>Mohallah Masjid: Gharibabad Berani, PO: Berani C/o Jam Nawaz Ali, Distt: Sangarh (Mobile No. 0344-8355191, 03412870392)</t>
  </si>
  <si>
    <t>FIR No.1083
 dt: 13/08/2011
 u/s 365 PPC
 PS Civil Lines
 Distt: Faisalabad</t>
  </si>
  <si>
    <t>Deleted. Not a Case of Enforced Disappearance being a Deserter.</t>
  </si>
  <si>
    <t>0364-K</t>
  </si>
  <si>
    <t>Reham Zeb S/o Dost Muhammad</t>
  </si>
  <si>
    <t>Village Taran, PO: Deolai, Tehsil : Kabal, Distt: Swat (Mobile No. 0344-96602796)</t>
  </si>
  <si>
    <t>FIR No. 208, dt. 21/7/11,u/s 365 PPC, PS: Kabal, Swat</t>
  </si>
  <si>
    <t>0365-K</t>
  </si>
  <si>
    <t>HRC No. 45788-K/2010</t>
  </si>
  <si>
    <t>Fazal Hussain S/o Fazal Akbar</t>
  </si>
  <si>
    <t>FIR No. 208, dt. 21 Jul 11, PS: Kabal, Swat</t>
  </si>
  <si>
    <t>Abdul Wahab S/o Hanifullah</t>
  </si>
  <si>
    <t>Village Kirri Haider, Tehsil &amp; Distt: Tank (Mobile No. 0344-9852059)</t>
  </si>
  <si>
    <t>FIR No.212
 dt: 13/08/2011
 u/s 365 PPC
 PS Tajori, District:
 Lakki Marwat</t>
  </si>
  <si>
    <t>Traced Person. Father of Abdul Waheed confirmed meeting with him 02/03 times in Degree College, Tank.</t>
  </si>
  <si>
    <t>Shabir Ahmed Qambrani s/o Haji Shah Nawaz Qambrani</t>
  </si>
  <si>
    <t>Mst. Sidra r/o Ghariabad Mohalla Near Main Primary School, Ubayro, District Ghotki , Sindh.(Mobile No. 0301-2171471).</t>
  </si>
  <si>
    <t>FIR No. 307/11 dated 15/08/2011, P.S Saddar Ali Pur.</t>
  </si>
  <si>
    <t>Deleted. Not a case of Enforced Disappearance as the Missing Person is a P.O and reportdely gone abroad Belgium.</t>
  </si>
  <si>
    <t>Muzaffargarh</t>
  </si>
  <si>
    <t>Koka S/o Jamroze</t>
  </si>
  <si>
    <t>Village Swatai, P.O: Beha, PS Gwalari, Tehsil Matta, District Swat. (Mobile No. 0342-9195112</t>
  </si>
  <si>
    <t>FIR No.120
 dt: 24/5/2008
 u/s 302/324/34 PPC
 District Swat</t>
  </si>
  <si>
    <t>Lal Muhammad S/o Koka</t>
  </si>
  <si>
    <t>Abdul Kabeer Khan S/o Sareer Ahmed</t>
  </si>
  <si>
    <t>Village &amp; PO Shahi Bala, Tehsil &amp; District, Peshawar. (Mobile No. 0345-9123263)</t>
  </si>
  <si>
    <t>He was charged u/s 121/121-A/122 PPC r/w 11 FCR</t>
  </si>
  <si>
    <t>Traced Person. Political Agent Khyber Agency confirmed taking over suspect on 12/12/2011 from Khyber Rifles.</t>
  </si>
  <si>
    <t>Yaqoob Shah S/o Daulat Khan</t>
  </si>
  <si>
    <t>Village Nagotal, PO Zamindara, Tehsil Lal Qila, District Loar Dir (Mobile No. 0306-5672489).</t>
  </si>
  <si>
    <t>FIR No.685
 dt: 06/08/2011
 u/s 365 PPC
 PS Timargarha
 District: Dir Lower</t>
  </si>
  <si>
    <t>Traced Person. He was Killed and his father Daulat Khan received compenction Rs- 03 Lacs.</t>
  </si>
  <si>
    <t>Rizwan Tayyab S/o Abdul Rehman</t>
  </si>
  <si>
    <t>House No. B-120, Block # 15, Gulshan-e-Iqbal, Karachi (Mobile No. 0321-3426925/ 0345-2942595)</t>
  </si>
  <si>
    <t>FIR No. 241/11, dt. 12 Apr 11, PS: Gulshan Town, Karachi</t>
  </si>
  <si>
    <t>Muhammad Zubair S/o Muhammad Ajmal</t>
  </si>
  <si>
    <t>Jalla Jeem, PO &amp; Tehsil: Melsi, Distt: Vehari</t>
  </si>
  <si>
    <t>FIR No. 144
 dt: 19/07/2011
 u/s 365 PPC
 PS Saddar Mailsi,
 District: Vehari</t>
  </si>
  <si>
    <t>Traced Person. appeared before the Commission and his statement was recorded.</t>
  </si>
  <si>
    <t>1210,374,2602,2048,615,616,&amp; 2013 to be fixed together at next date of Hearing</t>
  </si>
  <si>
    <t>Hazrat Khan S/o Murad Khan</t>
  </si>
  <si>
    <t>Ghari Abdul Samad, Nagumman, Peshawar. (Mobile No. 0307-7109798)</t>
  </si>
  <si>
    <t>FIR No. 527, dt. 20 Aug 09, PS: Budh Peer, Peshawar</t>
  </si>
  <si>
    <t>Zahid Khan S/o Muqarab Khan</t>
  </si>
  <si>
    <t>Ghari Abdul Samad, Nagumman, Peshawar</t>
  </si>
  <si>
    <t>Ilahi Bukhsh S/o Bahar Khan</t>
  </si>
  <si>
    <t>Murad Gujjar Goth, Hub, Distt: Lasbella (Mobile No. 0302-2799129).</t>
  </si>
  <si>
    <t>Shah Murad S/o Jhanda Khan</t>
  </si>
  <si>
    <t>Traced Person. Returned to home. Appeared before the Commission on 09/06/2012 and recorded his statement.</t>
  </si>
  <si>
    <t>0378-S</t>
  </si>
  <si>
    <t>HRC No. 12791-S/2010</t>
  </si>
  <si>
    <t>Asif Khan S/o Habib-ur-Rehman</t>
  </si>
  <si>
    <t>Mohallah KESC-4780, Qadri Islam Nagar, Saeed Abad, Karachi (Mobile No. 0344-9763170)</t>
  </si>
  <si>
    <t>Deleted. The case has been closed due to non-prosecution. The complainant remained absent at the hea4ring held in this Commission on 24.12.2018, 1.1.2020 and 3.2.2020. He has not been co-operation with the investigation in case FIR No. 188/2011 u/s 365 PPC PS Baber Kot, District Khairpur as submitted by SHO in his report dated 2.2.2020.</t>
  </si>
  <si>
    <t>Shahzad Ashraf S/o Muhammad Ashraf Shahid</t>
  </si>
  <si>
    <t>House No. 115/A, St No. 79, G-6/11-1, Islamabad</t>
  </si>
  <si>
    <t>Traced Person. SP City, ICT confirmed that Shahzad Ashraf has been recovered and he returned to home.</t>
  </si>
  <si>
    <t>Sohail Ahmed Shah S/o Haji Shams-ul-Haq</t>
  </si>
  <si>
    <t>Rahim &amp; Co. Dhamial Road, Kalima Chowk, Rawalpindi (Mobile No. 0336-5415422).</t>
  </si>
  <si>
    <t>Traced Person. He returned to home as confirmed by his brother at the hearing on 04/01/2013.</t>
  </si>
  <si>
    <t>HRC No. 29606-K/2011</t>
  </si>
  <si>
    <t>Tahir Abbas S/o Manzoor Hussain Baloch</t>
  </si>
  <si>
    <t>C/o Baloch Autos near P.O Paharpur, Distt: Dera Ismail Khan</t>
  </si>
  <si>
    <t>Traced Person apperared before the Commission but not ready to disclose anything details of the episode.</t>
  </si>
  <si>
    <t>Fazl-e-Rab Peerzada</t>
  </si>
  <si>
    <t>House No. 5-A, Street No. 61, F-7/4, Islamabad</t>
  </si>
  <si>
    <t>FIR No. 249, dt. 19 May 11, PS: Kohsar, Isld.</t>
  </si>
  <si>
    <t>Sabz Ali Khan S/o Umar Ali Khan</t>
  </si>
  <si>
    <t>Nirmali Dakhana Jhandu Kel, PS: Township, Tehsil &amp; Distt: Bannu (Mobile No. 0332-9286201/0336-9764400</t>
  </si>
  <si>
    <t>FIR No.137,
 dt: 20/10/2011
 u/s 365 PPC
 PS Township, District Bannu</t>
  </si>
  <si>
    <t>Under Investigation (KP) Bannu</t>
  </si>
  <si>
    <t>Zain Ullah Khan S/o Umar Ali Khan</t>
  </si>
  <si>
    <t>Saeed Rehman S/o Muhammad Sanjan</t>
  </si>
  <si>
    <t>Hassan Khel Kheraki, Dakhana Ismail Muhammad Khel, PS: Hawed, Teshil &amp; Distt: Bannu (Mobile No. 0334-8397267</t>
  </si>
  <si>
    <t>FIR No.534
 dt: 20/10/2011
 u/s 365 PPC
 PS Mandan,
 District: Bannu</t>
  </si>
  <si>
    <t>Traced Person. Confiined in Internment Center Lakki Marwat as reported by MI.</t>
  </si>
  <si>
    <t>Abdul Maroof S/o Muhammad Usman</t>
  </si>
  <si>
    <t>House No. AA-1152, Gulshan Abad, Rawalpindi</t>
  </si>
  <si>
    <t>HRC No. 10821-N/2010</t>
  </si>
  <si>
    <t>Zarmin Khan S/o Akram Khan</t>
  </si>
  <si>
    <t>Vill: Tore Khel Kalakhel, Tehsil &amp; Distt: Kohat, FR Kohat</t>
  </si>
  <si>
    <t>Traced Person. APA FR Kohat confirmed at the hearing on 13/03/2012 that Zarmin Khan has returned to home.</t>
  </si>
  <si>
    <t>Osama Hanif Qureshi S/o Muhammad Hanif Qureshi</t>
  </si>
  <si>
    <t>House No. 639, Sector G-11/1, West service Road, Islamabad (Mobile No. 0342-5454505)</t>
  </si>
  <si>
    <t>FIR No. 539, dt. 21 Jul 11, PS: Shalimar, Isld.</t>
  </si>
  <si>
    <t>Traced Person. SP (Saddar) ICT confirmed return of Osama on 07/10/2015.</t>
  </si>
  <si>
    <t>Dr. Abdul Qayyum</t>
  </si>
  <si>
    <t>Businessman Colony 4, Club Road, Rahim Yar Khan/ 43 Ladies Park Road, Lala Park Gujjar, Distt: Toba Tek Singh (Mobile No. 0300-6559259)</t>
  </si>
  <si>
    <t>FIR No. 658/11, dt. 30 Jul 11, PS: City "A" Division, Rahim yar Khan</t>
  </si>
  <si>
    <t>Traced Person. I.O Abdul Karim of PS Adil, Rahim Yar Khan confirmed that Dr,. Abdul Qayyum returned to home on 27/04/2012.</t>
  </si>
  <si>
    <t>Hayyan Dawar Khan</t>
  </si>
  <si>
    <t>House No. 227, St No. 14, Block B, P.W.D Colony, Islamabad (Mobile No. 0302-7285285)</t>
  </si>
  <si>
    <t>FIR No. 280, dt. 19 Jul 11, PS: Koral, Islad.</t>
  </si>
  <si>
    <t>Traced Person. Father of Hayyan Dawar Khan confirmed that his son has come back to home. JIT also confirmed on 22-09-2017.</t>
  </si>
  <si>
    <t>Muhammad Imran Fawad</t>
  </si>
  <si>
    <t>House No. 1420, G-11/2, Islamabad (Mobile No. 0313-9612039)</t>
  </si>
  <si>
    <t>FIR No.224
 dt: 19/07/2011
 u/s 365 PPC
 PS Margalla, Islamabad</t>
  </si>
  <si>
    <t>Traced Person. SP Sajid Kayani confirmed that he has returned back to home.</t>
  </si>
  <si>
    <t>0392-K</t>
  </si>
  <si>
    <t>Yousaf Jahanzeb Khan</t>
  </si>
  <si>
    <t>House No. B-32/4, Lala Rukh, Wah Cantt (Mobile No. 0313-5177814)</t>
  </si>
  <si>
    <t>FIR No. 271, dt. 29 May 10, PS: Tatara Peshawar</t>
  </si>
  <si>
    <t>Muhammad Yousaf Khan S/o Muhammad Ayub Khan</t>
  </si>
  <si>
    <t>Akhund Khel, Miryan Road, PO: Akhund Khel, Tehsil &amp; Distt: Bannu (Mobile No. 0336-9602566)</t>
  </si>
  <si>
    <t>FIR No. 34, dt. 09 Feb 09, PS: Miryan, Bannu</t>
  </si>
  <si>
    <t>Traced Person. Case was disposed of on assurance that Muhammad Yousaf was being interned in some internment Center.</t>
  </si>
  <si>
    <t>HRC No. 26959-K/2013</t>
  </si>
  <si>
    <t>Aurangzaib S/o Dr. Abdul Manan</t>
  </si>
  <si>
    <t>Mr. Muhammad Saleem Khan, Reporter INP News Agency, Islamabad (Mobile No. 0300-5996744)</t>
  </si>
  <si>
    <t>FIR No. 34, dt. 30 Jul 11, PS: Pishtakhara, Peshawar</t>
  </si>
  <si>
    <t>Syed Azhar Hussain Shah s/o Syed Sultan Ali Shah</t>
  </si>
  <si>
    <t>Wanda Khaliq Shah, Tehsil: Paharapur, Distt: Dera Ismail Khan (Mobile No. 0345-9831682</t>
  </si>
  <si>
    <t>FIR No.120
 dt: 10/10/2011
 u/s 365 PPC
 PS Band Korai
 D.I. Khan</t>
  </si>
  <si>
    <t>Traced Person. He returned to home on 11/04/2012 and appeared before the Commission.</t>
  </si>
  <si>
    <t>Munir Ahmed S/o Bashir Ahmed</t>
  </si>
  <si>
    <t>H. No. 94, D-1, Mirpur, AJ&amp;K</t>
  </si>
  <si>
    <t>FIR No.52
 dt: 17/2/2012
 u/s 364/365 APC
 PS City Mirpur, District Muzaffarabad</t>
  </si>
  <si>
    <t>Zamir Hassan Ansari S/o Majeed Hassan</t>
  </si>
  <si>
    <t>H. No. 345 Street No. 28 Sector I-8/2, Islamabad</t>
  </si>
  <si>
    <t>FIR No. 145 dt. 07-Jun-96, PS: Industrial area</t>
  </si>
  <si>
    <t>Riffat Anjum Ansari S/o Zamir Hassan Ansari</t>
  </si>
  <si>
    <t>Anjum Kamal Ansari S/o Zamir Hassan Ansari</t>
  </si>
  <si>
    <t>Feeroz Khanam Ansari W/o Zamir Hassan Ansari</t>
  </si>
  <si>
    <t>HRC No. 12776-K/2011</t>
  </si>
  <si>
    <t>Muhammad Ameen S/o Momin Khan</t>
  </si>
  <si>
    <t>Marghazai Killi Tank.</t>
  </si>
  <si>
    <t>FIR No.464
 dt: 15/07/2010
 u/s 365-A PPC
 PS Tank, District:
 Tank</t>
  </si>
  <si>
    <t>Traced Person. DPO, Tank confirmed that Muhammad Ameen has returned to home.</t>
  </si>
  <si>
    <t>0402-K</t>
  </si>
  <si>
    <t>Wali Zaman S/o Jandud Khan</t>
  </si>
  <si>
    <t>157-75-135233</t>
  </si>
  <si>
    <t>FIR No.311,
 dt: 21/4/2009
 u/s 365/368/109/34 PPC
 PS Hangu, District Hangu</t>
  </si>
  <si>
    <t>Under Investigation Hangu</t>
  </si>
  <si>
    <t>Shakir Ullah S/o Abdul Hadi</t>
  </si>
  <si>
    <t>Chara Galli, Patin, P.O. B.Bior, Tehsil Dir, District Upper Dir (Mobile No. 0321-6223061)</t>
  </si>
  <si>
    <t>15701-0603514-9</t>
  </si>
  <si>
    <t>Traced Person. DPO, Upper Dir confirmed that the traced person was in Judicial Lockup.</t>
  </si>
  <si>
    <t>Zakir Ullah S/o Abdul Hadi</t>
  </si>
  <si>
    <t>15701-1210322-5</t>
  </si>
  <si>
    <t>FIR No.467
 dt: 25/11/2011
 u/s 365/34 PPC
 PS Gandigar, District:
 Dir Upper</t>
  </si>
  <si>
    <t>Traced Person. Returned to home. Appeared before the Commission.</t>
  </si>
  <si>
    <t>Ikram Ullah S/o Muhammad Razaq</t>
  </si>
  <si>
    <t>Chara Galli, Patin, P.O. B.Bior, Tehsil Dir, District Upper Dir. (Mobile No. 0323-9531646)</t>
  </si>
  <si>
    <t>Deleted. Not a Case of Enforced Disappearance being a P.O in four cases.</t>
  </si>
  <si>
    <t>0406-K</t>
  </si>
  <si>
    <t>Naveed-ur-Rehman S/o Fazal Manan</t>
  </si>
  <si>
    <t>Village Mehmood Khel P.O. Dagar Nari, Tehsil Banda Daud Shah, District Karak. (Mobile No. 03345346940/ 0312-5025901)</t>
  </si>
  <si>
    <t>FIR No.173
 dt: 2/12/2011
 u/s 365 PPC
 PS Khurram, District Karak</t>
  </si>
  <si>
    <t>Qari Zia-ur-Rehman S/o Malik Mahlah Khan</t>
  </si>
  <si>
    <t>Basti Thaheeman Wali, Sala Rorhan, Multan (Mobile No. 0304-2012730/ 0303-663834</t>
  </si>
  <si>
    <t>FIR No.422,
 dt. 14/4/2010
 u/s 365 PPC
 PS Gulgusht, Multan</t>
  </si>
  <si>
    <t>Traced Person. Confined in the Internment Center Lakki Marwat a informed by MI.</t>
  </si>
  <si>
    <t>Fazal Rabi S/o Khan Zada</t>
  </si>
  <si>
    <t>Village Dandani, P.O. Chuprial, Distt: Swat (Mobile No. 0346-9405572).</t>
  </si>
  <si>
    <t>FIR No. 415
 dt. 23/11/2011 u/s 365 PPC,
 PS: Asbanr, District Dir Lower</t>
  </si>
  <si>
    <t>Under Inv</t>
  </si>
  <si>
    <t>Tassaduq Hussain S/o Bashir Ahmed</t>
  </si>
  <si>
    <t>52-F, Askari II, Chaklala Scheme III, Rawalpindi (Mobile No. 0300-5806977</t>
  </si>
  <si>
    <t>FIR No. 1048
 dt. 03/11/2011 u/s 365 PPC,
 PS: Civil Lines, Rawalpindi</t>
  </si>
  <si>
    <t>Traced Person. He returned to home but does not want to appear before the Commission as informed by I.O.</t>
  </si>
  <si>
    <t>Mazar Khan S/o Daraz Khan</t>
  </si>
  <si>
    <t>Band Khel, P.O Chalerai Makeen, Tehsil: Makeen, Distt: South Waziristan Agency (Mobile No. 0322-5491348)</t>
  </si>
  <si>
    <t>Traced Person. Tehsildar SWA submitted report that the case has been moved for payment of compencation.</t>
  </si>
  <si>
    <t>Amr-e-Rabi S/o Tariq Bashir</t>
  </si>
  <si>
    <t>House No. 88, Block-A, Street # 2, PWD Colony, ISlamabad (Mobile No. 0336-5408066</t>
  </si>
  <si>
    <t>FIR No. 413
 dt. 25/10/2011
 u/s 365 PPC
 PS: Koral, Islamabad</t>
  </si>
  <si>
    <t>Traced Person. Wife of Amr-e-Rabi confirmed that her husband has returned to home.</t>
  </si>
  <si>
    <t>0412-K</t>
  </si>
  <si>
    <t>C.P 2204/2008</t>
  </si>
  <si>
    <t>Zohaib Rasool S/o Atiq Rasool</t>
  </si>
  <si>
    <t>Ms. Bakhtiar Begum W/o Ateeq Rasool C/o Office # 502, Fifth Floor, Asad Chamber near Passport Office, Saddar, Karachi (Mobile No. 0341-1378692)</t>
  </si>
  <si>
    <t>FIR No. 903
 dt: 13/09/2012
 u/s 365 PPC
 PS Agha Mir Jani Shah, District
 Peshawar</t>
  </si>
  <si>
    <t>Rana Muhammad Ameer S/o Farzand Ali</t>
  </si>
  <si>
    <t>Rana Muhammad Shafi C/o Muhammad Sharif Shop, Lateefabad near Sui Gas, Rahim Yar Khan (Mobile No. 0300-6748801)</t>
  </si>
  <si>
    <t>FIR No.572
 dt: 19/11/2011
 u/s 365 PPC
 PS Saddar,
 Rahim Yar Khan</t>
  </si>
  <si>
    <t>0414-K</t>
  </si>
  <si>
    <t>Mian Syed Sher Muhammad Shah S/o Mian Gul Jan</t>
  </si>
  <si>
    <t>Gul Jabba, P. O Kabal, Tehsil &amp; Distt: Swat (Mobile No. 0345-9457746</t>
  </si>
  <si>
    <t>15602-6773307-1</t>
  </si>
  <si>
    <t>FIR No.32,
 dt: 23/2/2008
 u/s 365 PPC
 PS Kabal, District Swat</t>
  </si>
  <si>
    <t>Under Investigation (KP) Swat</t>
  </si>
  <si>
    <t>Amir Iqbal S/o Muhammad Iqbal</t>
  </si>
  <si>
    <t>Mohallah Babu Khan opposite Shell Petrol Pump Manga Road Raiwand, Lahore (Mobile No. 0300-9444139/ 0333-4798410)</t>
  </si>
  <si>
    <t>FIR No. 113
 dt. 17/3/2010,
 u/s 365 PPC
 PS: Gwalmandi, Lahore</t>
  </si>
  <si>
    <t>Traced Person. Returned to home. Appeared before the Commission and his statement was recorded.</t>
  </si>
  <si>
    <t>Mirza Saleem Baig S/o Mirza Abdul Khaliq Baig</t>
  </si>
  <si>
    <t>Dhoke Lakhan Sair Syed Colony Dhamiyal Camp Rawalpindi (Mobile No. 0323-5219445/ 0345-5222180).</t>
  </si>
  <si>
    <t>FIR No. 305, dt. 09 May 11, PS: Saddar Beroni, Rawalpindi</t>
  </si>
  <si>
    <t>Traced Person. I.O of the case submitted statement of b/o Missing Person that his brother has returned to home.</t>
  </si>
  <si>
    <t>Baber Ali S/o Raja Muhammad Munir</t>
  </si>
  <si>
    <t>House No. 33/1 Street No. 2, Mohallah Kausar Colony Marir Hassan Dhoke Charagh Din Rawalpindi (Mobile No. 0300-5355515)</t>
  </si>
  <si>
    <t>Traced Person. Returned to home as confirmed by his brother.</t>
  </si>
  <si>
    <t>Javaid Iqbal S/o Muhammad Yousaf</t>
  </si>
  <si>
    <t>Sheikhan Wali Masjid, Chuneji, Dakhana Khas, Tehsil: Talagang, Distt: Chakwal (Mobile No. 0343-5855493</t>
  </si>
  <si>
    <t>FIR No.59
 dt: 29/01/2011
 u/s 365 PPC
 PS Ramna, Islamabad</t>
  </si>
  <si>
    <t>Hakeem Muhammad Tayyab S/o Abdul Hafeez</t>
  </si>
  <si>
    <t>Al-Hafeez Dawakhan, Main Bazar, Jia Musa, Shahdara, Lahore (Mobile No. 0334-4204010/ 0331-4195282</t>
  </si>
  <si>
    <t>FIR No.2588 dt 27/11/2011 u/s365 PPC PS ShahDarra,Lahore</t>
  </si>
  <si>
    <t>Qari Ishfaq-ur-Rehman S/o Muhammad Shafi</t>
  </si>
  <si>
    <t>Chak No. 117/JB, Dhanola, Faislabad (Mobile No. 0303-6708971).</t>
  </si>
  <si>
    <t>FIR No. 771
 dt. 24/09/2011
 PS: Nishatabad, Faisalabad</t>
  </si>
  <si>
    <t>Traced Person. Returned to home on 19/01/2012 as confirmed by his son.</t>
  </si>
  <si>
    <t>Shahid Shehzad Tahir S/o Muhammad Saeed Khawar</t>
  </si>
  <si>
    <t>Chak No. 463 GB, Tehsil Samundri District Faisalabad (Mobile No. 0336-6658391 &amp; 0333-6692822))</t>
  </si>
  <si>
    <t>FIR No. 360/11, dt. 20 Jul 11, PS: Gajja Pura, Lahore</t>
  </si>
  <si>
    <t>Sajjad-ul-Hassan S/o Noor Hassan</t>
  </si>
  <si>
    <t>Chak No.01, Tehsil Jalal Pur Pir Wala, District Multan (Mobile No. 0305-7796867)</t>
  </si>
  <si>
    <t>FIR No. 280, dt. 26 Jul 11, PS: Kabeerwala, Khanewal</t>
  </si>
  <si>
    <t>Traced Person. DPO, Khanewal confirmed at the hearing on 06/03/2014 that Sajjad-ul Hassan has returned to home on 25/02/2014.</t>
  </si>
  <si>
    <t>Abu Bakkar S/o Ghulam Asghar</t>
  </si>
  <si>
    <t>Ghulam Asghar F/o Missing Person r/o Kotla Shaikhan, Och Sharif, Tehsil: Ahmedpur Sharqia, Distt. Bahawalpur (Mobile No. 0302-7778391, 03066312331)</t>
  </si>
  <si>
    <t>FIR No. 822/11, dt. 27 Nov 11, PS: Och Sharif, Bahawalpur</t>
  </si>
  <si>
    <t>Traced Person. Appeared before the Commission on 22/09/2013 and stated that he went to Karachi and came back.</t>
  </si>
  <si>
    <t>0424-P</t>
  </si>
  <si>
    <t>Rana Hafeez-ur-Rehman S/o Shah Muhammad</t>
  </si>
  <si>
    <t>House No. 197-F, Rana Colony, Gojra Road, Jhang Saddar, Jhang (Mobile No. 0334-6308476/ 0312-2484448)</t>
  </si>
  <si>
    <t>FIR No.41,
 dt: 21/1/2009,
 u/s 365 PPC
 PS Kotwali, District Jhang</t>
  </si>
  <si>
    <t>Deleted. Mr. Muzammil Hussain, SP (Inv), Jhang appeared before the Commission on 18.12.2019 and his statement recorded in oath. According to him, in the case 32 meetings of JIT have so far been conducted and in all the JIT reports the case has been categorized as “Missing Person” has gone on his own. He also stated that the complainant of the case could not produce any evidence to indicate that it was a case of enforced disappearance. Hence, the case is closed.</t>
  </si>
  <si>
    <t>Jhang</t>
  </si>
  <si>
    <t>Shahid Mehmood S/o Asad Mehmood</t>
  </si>
  <si>
    <t>Vill: Domail, Moh: Bibi Ziarat, Tehsil: Jand, Distt: Attock (Mobile No. 0315-5730039).</t>
  </si>
  <si>
    <t>FIR No. 135, dt. 18/9/2011, PS: Basal, Attock</t>
  </si>
  <si>
    <t>Traced Person. Dead body was recovered as confiirmed by DPO, Attock.</t>
  </si>
  <si>
    <t>0426-P</t>
  </si>
  <si>
    <t>Zaheer Muzaffar S/o Muhammad Muzaffar Khan Kiani</t>
  </si>
  <si>
    <t>House No. 660, St. No. 1, Mohallah: Adrra, Rawalpindi Cantt. (Mobile No. 0333-5730849)</t>
  </si>
  <si>
    <t>FIR No. 328,
 dt.27/4/2011,
 u/s 365 PPC
 PS: Airport, Rawalpindi</t>
  </si>
  <si>
    <t>Under Investigation Punjab (Rawalpindi)</t>
  </si>
  <si>
    <t>0427-K</t>
  </si>
  <si>
    <t>Muhammad Naseem Iqbal S/o Rab Nawaz Khan</t>
  </si>
  <si>
    <t>Mrs. Robina Akhtar W/o Naseem Iqbal R/o Vill/PO: Dagarnari, Tehsil: Banda Daood Shah, Distt: Karak (Mobile No. 0312-5340247).</t>
  </si>
  <si>
    <t>Muneer Farooq S/o Farooq Ahmed</t>
  </si>
  <si>
    <t>Mst. Sadia Noreen W/o Muneer Farooq R/o Qalandarwala, PO: Basaira, Tehsil &amp; Distt: Muzaffargarh (Mobile No. 0322-8839019, 0321-6179281)</t>
  </si>
  <si>
    <t>FIR No. 989, dt. 04/11/2011, PS: City Muzaffargarh</t>
  </si>
  <si>
    <t>Traced Person. Appeared before the Commission on 17/05/2012 and his statement was recorded which is placed on file.</t>
  </si>
  <si>
    <t>HRC No. 44341-K/2011</t>
  </si>
  <si>
    <t>Jamshed S/o Muhammad Akbar</t>
  </si>
  <si>
    <t>Mst. Hichrana W/o Muhammad Akbar R/o Sheraki, Dara Adam Khel, F.R Kohat (Phone No. 0922-573106).</t>
  </si>
  <si>
    <t>Traced Person. Muhammad Ashfaq brother of Jamshed submitted statement that the latter was handed over to him on 31.1.2012.</t>
  </si>
  <si>
    <t>Wadera Jalamb S/o Wadera Mian Khan</t>
  </si>
  <si>
    <t>Killi Wadera Mian Khan, Chief Of Loharani Marri, Tehsil &amp; Distt: Kholu (Phone No. 0336-6393881</t>
  </si>
  <si>
    <t>FIR No. 328, dt. 26 Feb 11, PS: Airport, Rawalpindi</t>
  </si>
  <si>
    <t>Traced Person. Political Agent BMP, D.H Khan confirmed that Wadera Jalamb was murdered in the area of District Zhob.</t>
  </si>
  <si>
    <t>Aurangzaib S/o Said Afzal</t>
  </si>
  <si>
    <t>Mr. Arshad Ilyas, Village Kampbulpur Musa, Distt: Attock (E-mail: arshadilyas@hotmail.com)</t>
  </si>
  <si>
    <t>Deleted. Due to not availability of complete particulars.</t>
  </si>
  <si>
    <t>Muhammad Khursheed S/o Muhammad Bakhsh</t>
  </si>
  <si>
    <t>Haleem Pur, PO: Och Sharif, Tehsil: Ahmed Pur, Distt: Bahawalpur (Mobile No. 0307-2492511</t>
  </si>
  <si>
    <t>FIR No.499
 dt: 12/12/2011
 u/s 365 PPC
 PS Mustafa Abad
 Lahore</t>
  </si>
  <si>
    <t>Traced Person. Confined in one of the Internment Centers, KP.</t>
  </si>
  <si>
    <t>Bashir Arisar</t>
  </si>
  <si>
    <t>UCI Itafaque Colony, Hyderabad Road, Badin</t>
  </si>
  <si>
    <t>FIR No.479/2011
 u/s 365/147/148 /149 PPC
 PS Kotli, District:
 Jamshoro</t>
  </si>
  <si>
    <t>Traced Person. Returned to home on 22/02/2012 as confirmed by SDPO, Kotri, Sindh.</t>
  </si>
  <si>
    <t>HRC No. 4435-B/2011</t>
  </si>
  <si>
    <t>Sumair Nawaz S/o Sayal Khan</t>
  </si>
  <si>
    <t>Vill: Mashto Banda, PO: Hangu, Tehsil &amp; Distt: Hangu</t>
  </si>
  <si>
    <t>FIR No.783
 dt: 13/12/2011
 u/s 365 PPC
 PS Hangu, 
 District Hangu</t>
  </si>
  <si>
    <t>Traced Person. Case of Internment as reported by MI.</t>
  </si>
  <si>
    <t>HRC No. 44352-B/2011</t>
  </si>
  <si>
    <t>Sohail Mehmood S/o Walayat Shah</t>
  </si>
  <si>
    <t>Vill: Bagtu, PO: Hangu, Tehsil &amp; Distt: Hangu</t>
  </si>
  <si>
    <t>W.P No. 2392/2011</t>
  </si>
  <si>
    <t>Dr. Muhammad Waheed S/o Muhammad Mukhtar</t>
  </si>
  <si>
    <t>Mr. Naveed Mukhtar S/o Muhammad Mukhtar R/o House No. 71, Abu Dhabi Colony No.1, Rahim Yar Khan</t>
  </si>
  <si>
    <t>FIR No.429
 dt: 22/08/2011
 u/s 365 PPC
 PS Saddar,
 Rahim Yar Khan</t>
  </si>
  <si>
    <t>Traced Person. Returned to home on 27/04/2012.</t>
  </si>
  <si>
    <t>HRC No. 4465-S/2011</t>
  </si>
  <si>
    <t>Ghulam Murtaza Abro</t>
  </si>
  <si>
    <t>Mst. Gulzar Begum Abro, Rtd Head Mistresst Govt. Girls High School, Munawarabad, Larkana, R/o Muhallah Dari Larkana</t>
  </si>
  <si>
    <t>Traced Person. Returned to home as confirmed by SDPO, Haldari.</t>
  </si>
  <si>
    <t>Syed Qamar Hussain Shah S/o Syed Munawar Hussain Shah</t>
  </si>
  <si>
    <t>St. # 1, Mohallah: Roaza Park, Mansoor Abad, Faisalabad (Mobile No. 0300-7617298)</t>
  </si>
  <si>
    <t>FIR No. 128
 dt: 24/12/2011
 u/s 365 PPC
 PS Model Town,
 Gujranwala</t>
  </si>
  <si>
    <t>0440-K</t>
  </si>
  <si>
    <t>HRC No. 28911-K/2011</t>
  </si>
  <si>
    <t>Bahadur S/o Jumma Gul</t>
  </si>
  <si>
    <t>Gharib Abad, Kanju, Tehsil &amp; Distt: Swat (Mobile No. 0334-9344379)</t>
  </si>
  <si>
    <t>FIR No.99 dt.24/01/2012 u/s 365 PPC PS Kanju District Swat</t>
  </si>
  <si>
    <t>Under Investigation Swat</t>
  </si>
  <si>
    <t>Nasir S/o Jumma Gul</t>
  </si>
  <si>
    <t>Traced Person. Confined in the Internment Center, Lakki Marwat as reported by MI.</t>
  </si>
  <si>
    <t>0442-P</t>
  </si>
  <si>
    <t>Bashir Ahmed S/o Ghulam Mohaiudin</t>
  </si>
  <si>
    <t>Mst. Sabiha Kahan W/o Raja Bashir Ahmed R/o Sarak Chanari, PO: Chanari, Tehsil &amp; Distt: Hattian Bala, AJ&amp;K</t>
  </si>
  <si>
    <t>FIR No.4,
 dt: 24/1/2012
 u/s 364 APC
 PS Chanari, AJ&amp;K</t>
  </si>
  <si>
    <t>Muhammad Ayaz S/o Muhammad Yousaf</t>
  </si>
  <si>
    <t>House No. CB-153, Rehman Street, P.M.A Link Road, Jinnah Abad, Mandian Abbottabad (Mobile No. 0334-5044480)</t>
  </si>
  <si>
    <t>FIR No.924
 dt: 21/10/2011
 u/s 365 PPC
 PS Waris Khan
 District Rawalpindi</t>
  </si>
  <si>
    <t>Traced Person. JIT report dated 31/12/2011 confirmed that Muhammad Ayaz has returned to home safely.</t>
  </si>
  <si>
    <t>444, 1344 &amp; 2593 to be fixed at next hearing</t>
  </si>
  <si>
    <t>Muhammad Nasir Khan S/o Muqarab Khan</t>
  </si>
  <si>
    <t>Mr. Muqarab Khan s/o Mehrab Khan, resident of Bannu, presently residing at Sharifabad, Gali No. 2, Kohat Road(Doora Road), Peshawar (Mobile No. 0345-2230920)</t>
  </si>
  <si>
    <t>FIR No.378,
 dt: 27/4/2011
 u/s 365 PPC
 PS Bhanamari, Peshawar</t>
  </si>
  <si>
    <t>Muhammad Akhtar Javaid S/o Manzoor Hussain</t>
  </si>
  <si>
    <t>Village Mamdal, Tehsil Kabirwala, District Khaniwal (Mobile No. 0302-7424913)</t>
  </si>
  <si>
    <t>Traced Person. Confined in one of the Internment Center in KP as reported by MI.</t>
  </si>
  <si>
    <t>Mufti Iftikhar Ahmed S/o Muhammad Akram</t>
  </si>
  <si>
    <t>Shadab Colony, Masjid Quba, University Road, Bahawalpur (Mobile No. 0305-9061686)</t>
  </si>
  <si>
    <t>FIR No.833
 dt: 02/12/2011
 u/s 365 PPC
 PS Baghdad-ul-
 Jadeed, District:
 Bahawalpur</t>
  </si>
  <si>
    <t>Traced Person. He returned to home on 16/02/2012 as stated by his brother in his statement before the Comnmission.</t>
  </si>
  <si>
    <t>Muhammad Shahzad S/o Muhammad Lal</t>
  </si>
  <si>
    <t>House No. A-18, C-3 Fazil Chowk, Mirpur Azad Kashmir (Mobile No. 0301-6619504, 0331-8545269)</t>
  </si>
  <si>
    <t>FIR No10
 dt: 15/1/2012
 u/s 364/365 APC
 PS Thothal, Mirpur(AJK)</t>
  </si>
  <si>
    <t>Traced Person. Confined in Kohat Jail and being shifted to AJ&amp;K.</t>
  </si>
  <si>
    <t>Hakim Ali S/o Pinhal Koori</t>
  </si>
  <si>
    <t>Muslim Colony, Chak Shahbaz Pour, Peer Ghout, Ubauro District Ghotki, Sindh (Mobile No. 0300-369956)</t>
  </si>
  <si>
    <t>FIR No.307
 dt: 15/8/2011
 u/s 365 PPC
 PS Saddar, Alipur, District Muzaffargarh</t>
  </si>
  <si>
    <t>Sajjad Hassan S/o Muhammad Amin Abro</t>
  </si>
  <si>
    <t>Mr. Ashiq Hussain S/o Gfhulam Umer Jeho R/o Naudero Town, Taluka Ratodero, Distt: Larkana.</t>
  </si>
  <si>
    <t>Traced Person. Returned to home. Appeared before the Commission and stated that he was released on 06/02/2012.</t>
  </si>
  <si>
    <t>Zahoor Karim S/o Abdul Karim</t>
  </si>
  <si>
    <t>Mr. Riaz Karim R/o Chakuli, Tehsil: Karak, Distt: Khuzdar</t>
  </si>
  <si>
    <t>FIR No.74/2011
 u/s 365/149/147/
 34 PPC
 PS Khuzdar,
 District: Khuzdar</t>
  </si>
  <si>
    <t>Traced Person. As informed at the hearing on 07/06/2012 Zhoor Karim has been recovered.</t>
  </si>
  <si>
    <t>0451-P</t>
  </si>
  <si>
    <t>Amir Raza Bhatti S/o Ch. Muhammad Latif</t>
  </si>
  <si>
    <t>Muhammad Irfan Bhatti R/o Street No. 6, Mohallah: Jinnah Park, Mureed Kay, Sheikhupura (Mobile No. 0300-4434628</t>
  </si>
  <si>
    <t>FIR No. 254/11, dt. 17 May 11, PS: City Mureed Kay, Sheikhupura</t>
  </si>
  <si>
    <t>Deleted. Concluded by JIT &amp; PTF it is not a case of Enforced Disappearance.</t>
  </si>
  <si>
    <t>0452-K</t>
  </si>
  <si>
    <t>Waseem Ullah Khan S/o Dr. Habib Ullah Khan</t>
  </si>
  <si>
    <t>Rafiya Bibi w/o Dr. Habib Ullah Khan, R/o village Sir Mast Mira Khel, Tehsil and District Bannu (CNIC No. 11101-1418122-4)</t>
  </si>
  <si>
    <t>FIR No. 429, dt. 30 Nov 11, PS: Gori Wala, District Bannu</t>
  </si>
  <si>
    <t>Traced Person. SP (Inv), Bannu appeared before the Commission whose statement has been recorded on oath in which he deposed that Waseem Ullah Khan had returned home. In this regard he submitted copies of various statements including that of confirmed his return to home. He further deposed that due to conflict with family he went to Karachi without informing his family and nobody abducted him.</t>
  </si>
  <si>
    <t>HRC No. 15089-P/2013</t>
  </si>
  <si>
    <t>Khuram Ilyas S/o Ilyas Hussain</t>
  </si>
  <si>
    <t>Iqbal Bibi d/o Ghulam Hussain Rana, House No.28-A/GOC Model Town B, Bahawalpur (Telephone No.0622882395)</t>
  </si>
  <si>
    <t>FIR No.352,
 dt: 23/7/1998
 u/s 364 PPC
 PS Civil Lines, Bahawalpur</t>
  </si>
  <si>
    <t>Deleted. Not a Case of Enforced Disapperance.</t>
  </si>
  <si>
    <t>0454-K</t>
  </si>
  <si>
    <t>HRC No. 38253-K/2012</t>
  </si>
  <si>
    <t>Fazal Muhammad S/o Said Muahmmad</t>
  </si>
  <si>
    <t>Mr. Said Muhammad S/o Kamran R/o Mohallah Chowk, Vill: Kanju, Tehsil Kabal, Distt: Swat (Mobile No. 0347-9307239)</t>
  </si>
  <si>
    <t>FIR No. 100 dt. 24/1/2012 u/s 365 PPC, PS Kanju, District Swat.</t>
  </si>
  <si>
    <t>0455-K</t>
  </si>
  <si>
    <t>Muhammad Zahir Khan S/o Said Muhammad</t>
  </si>
  <si>
    <t>Shakeel Khan S/o Sarwar Khan</t>
  </si>
  <si>
    <t>Mst. Salima Bibi W/o Sarwar Khan R/o Zarghun Khel, Shaplakiwal, PO: Darra Bazar, Tehsil &amp; DistT: Swat (Mobile No. 0334-8036731)</t>
  </si>
  <si>
    <t>Traced Person. Confimed in the Internment Center, Kohat as reported by MI.</t>
  </si>
  <si>
    <t>Qari Faiz Ahmed Saleemi</t>
  </si>
  <si>
    <t>Mst. Mariyam Zulfiqar W/o Maulana Qari Faiz Ahmed Saleemi R/o Mohallah Tibba Kamangarran, Tehsil &amp; Distt: Chiniot</t>
  </si>
  <si>
    <t>FIR No.12
 dt: 05/01/2012
 u/s 365 PPC
 PS City Chiniot</t>
  </si>
  <si>
    <t>Traced Person. Appeared before the Commission and stated that he was picked up on 24/12/2011 and released on 18/02/2012.</t>
  </si>
  <si>
    <t>Imtiaz Ali s/o Safdar Ali Shah</t>
  </si>
  <si>
    <t>Mrs. Syed Saeeda Javaid, Resedient of Chak No. 118/ J-B Faisalabad</t>
  </si>
  <si>
    <t>FIR No. 290, dt. 24 Jul 2008, PS: Sainanwala, District Faisalabad</t>
  </si>
  <si>
    <t>Deleted. Not a case of Enforced Disappearance as it revolves around the family enmity.</t>
  </si>
  <si>
    <t>0459- ICT</t>
  </si>
  <si>
    <t>Hafeez-Ur-Rehman s/o Abdul Razzaq</t>
  </si>
  <si>
    <t>Mr. Khali-ur-Rehman s/o Abdul Razaq C/o Molana Aziz-ur-Rehman, Jamia Banoria Alamia near Police Station Cite, Karachi No. 16</t>
  </si>
  <si>
    <t>FIR No.91
 dt: 8/2/2012
 u/s 365 PPC
 PS Sadiqabad, Rawalpindi</t>
  </si>
  <si>
    <t>Deleted. After investigation and report of PTF, it is concluded to be a case of voluntary and not enforced disappearances.</t>
  </si>
  <si>
    <t>Mirza Muhkam Din s/o Ghulam Rasool</t>
  </si>
  <si>
    <t>Mst. Shahida Parveen w/o Mirza Muhkam Din, resident of Siddho Wal, District Pind Dadin Khan, Jehlum</t>
  </si>
  <si>
    <t>FIR No.138
 dt: 03/05/2012
 u/s 365 PPC
 PS P.D.Khan
 District: Jhelum</t>
  </si>
  <si>
    <t>Traced Person. Appeared before the Commission and stated that he was apprehended by unknown persons on 13/11/2011 and released on 27/08/2012.</t>
  </si>
  <si>
    <t>Muhammad Yasir s/o Muhammad Yousaf</t>
  </si>
  <si>
    <t>Jogan Muhallah Shoaib Zai, Nawanshahr, Abbottabad (Mobile No.0331-5755924)</t>
  </si>
  <si>
    <t>FIR No. 419, dt. 09 May 2011, PS: Mirpur, District, Abbottabad</t>
  </si>
  <si>
    <t>Deleted. Disposed of under Terms of Reference 2(b) vide detailed findings dated 23/10/2013.</t>
  </si>
  <si>
    <t>Muhammad Farasat s/o Abdul Qayyum</t>
  </si>
  <si>
    <t>Zulfiqar Ahmed, 4-B, Khayban-e-Sir Syed Jamia Masjid Mujaddiya Rizwai, near Muhammadi Chowk, Rawalpindi (Mobile No.0306-5495627)</t>
  </si>
  <si>
    <t>FIR No. 47, dt. 05 Jan 2012, PS: Bani, Rawalpindi</t>
  </si>
  <si>
    <t>Deleted through detailed findings dated 24/07/2015 as it was proved that he has gone on his own for Jehad.</t>
  </si>
  <si>
    <t>Muhammad Nizakat s/o Shaikh Muhammad Rashid</t>
  </si>
  <si>
    <t>Shaikh Muhammad Ramzan, Islam Purah Jaber Tehsil, Gujar Khan, District Rawalpindi(Mobile No.0345-5589536)</t>
  </si>
  <si>
    <t>FIR No. 751, dt. 14 Dec 2007, PS: Gujar Khan, Rawalpindi</t>
  </si>
  <si>
    <t>HRC No. 4261-P/2013</t>
  </si>
  <si>
    <t>Jamshed Raza s/o Allah Dita</t>
  </si>
  <si>
    <t>Shamraiz Akhtar Gujar, Village Chechian, P.O. Gulyana, Tehsil Kharian, District Gujrat (Mobile No.0333-8451780)</t>
  </si>
  <si>
    <t>FIR No.79
 dt: 06/02/2012
 u/s 365 PPC
 PS Civil Lines
 District: Bahawalpur</t>
  </si>
  <si>
    <t>Traced Person. Shifted to Internment Center Lakki Marwat as informed by MI Dte, GHQ, Rawalpindi.</t>
  </si>
  <si>
    <t>Zubair S/o Abdul Salam</t>
  </si>
  <si>
    <t>Muslim Abad, Airport Road, Quetta</t>
  </si>
  <si>
    <t>Traced Person. Returned to home and confirmed by his father.</t>
  </si>
  <si>
    <t>Waqas Haider S/o Ilyas Haider</t>
  </si>
  <si>
    <t>C/o Tariq Mahmood Sahi (Ex-M.P.A) Dhock Kasib, Mandi Bahauddin (Mobile No. 0334-4901943)</t>
  </si>
  <si>
    <t>Traced Person. Appeared before the Commission on 06/05/2012 and got his statement recorded.</t>
  </si>
  <si>
    <t>0467-B</t>
  </si>
  <si>
    <t>Waseem -ur-Rehman s/o Sardar Ali Muhammad</t>
  </si>
  <si>
    <t>Sardari Shahar Tootak, PO Tootak, Tehsil &amp; District Khuzdar Balochistan (Mobile No. 0333-7666690, 0313-8300990)</t>
  </si>
  <si>
    <t>FIR No.29
 dt: 02/09/2012
 u/s 365 PPC
 PS Levies Thana Baghbana, District
 Khuzdar</t>
  </si>
  <si>
    <t>0468-B</t>
  </si>
  <si>
    <t>Khalil -ur-Rehman s/o Sardar Ali Muhammad</t>
  </si>
  <si>
    <t>0469-B</t>
  </si>
  <si>
    <t>Attique-ur-Rehman s/o Sardar Ali Muhammad</t>
  </si>
  <si>
    <t>Hafiz Syed Muhammad Tayyab Jilani s/o Syed Munawar Hussain Jilani</t>
  </si>
  <si>
    <t>Chowk Auth Kasi, Old Mudrassa Abi Bakar Bin Ali, Tehsil Kabirwala, District Khanewal (Mobile No. 0301-7826342, 0302-7903107)</t>
  </si>
  <si>
    <t>FIR No. 168/11, dt. 30 March 2011, PS: City Khanewal, Dist. Khanewal</t>
  </si>
  <si>
    <t>Traced Person. He appeared before the Commission on 11/02/2013 which confirmed that he has returned to home safely.</t>
  </si>
  <si>
    <t>0471-S</t>
  </si>
  <si>
    <t>C.P. No. 3202/11</t>
  </si>
  <si>
    <t>Sohbat Ali Khoso</t>
  </si>
  <si>
    <t>House No. 270-C, Gali No. 4, Main Bazar Gulshan Latif, Bilal Colony near Shaheed Murtaza Bhutto Chowk, Landhi Town, Korangi Industrial Area Karachi, C/O Maria Medical Store.(Mobile No. 0307-3023269)</t>
  </si>
  <si>
    <t>FIR No.64,
 dt: 3/5/2011
 u/s 365 PPC,
 PS Ranipur, District Khairpur</t>
  </si>
  <si>
    <t>Muhammad Hanif s/o Muhammad Usman</t>
  </si>
  <si>
    <t>Hafiz Muhammad Suleman s/o Muhammad Usman r/o Village Chahridwala Parhar Gharbi P.O Chaudary, Tehsil Kot Addu, district Muzaffargarh(Mobile No. 0331-4371968)</t>
  </si>
  <si>
    <t>FIR No.48
 dt: 09/02/2012
 u/s 365 PPC
 PS Saddar,
 District: Bhakkar</t>
  </si>
  <si>
    <t>Traced Person. He returned to home as confirmed by his brother Hafiz Muhammad Suleman.</t>
  </si>
  <si>
    <t>0473-K</t>
  </si>
  <si>
    <t>Muhammad Mustafa Haider S/o Sultan Mehmood Sawal</t>
  </si>
  <si>
    <t>Ms. Tania Shaheen W/o Muhammad Mustafa Haider (Missing Person) R/o House No. 67, Street No. 2, Sector L3, Phase 3, Hayatabad, Peshawar (Mobile No. 0313-9722298)</t>
  </si>
  <si>
    <t>FIR No. 198, dt. 18 May 09, PS: Pir Baba, Buner</t>
  </si>
  <si>
    <t>Deleted. After through investigation the Police conclusion drawn by JITs and PTF reports submitted by the agencies it is concluded that it is a case of kidnapping by militants and does not fall within the domain of enforced disappearance. Hence the case is closed.</t>
  </si>
  <si>
    <t>Bonair</t>
  </si>
  <si>
    <t>Hafiz Muhammad Tayyab S/o Muhammad Ashfaq</t>
  </si>
  <si>
    <t>Muhammad Ashfaq, House No. Fc-5, near Tahir Karyana Store, Muslim Street, Ahmed Nagar, Wah Cantt, Punjab(Mobile No. 0332-5520371)</t>
  </si>
  <si>
    <t>FIR No.286
 dt: 24/03/2012
 u/s 365 PPC
 PS Paharipura,
 Peshawar</t>
  </si>
  <si>
    <t>Traced Person. Confined in the Internment Center Fort Salop, Khyber Agency.</t>
  </si>
  <si>
    <t>Aamir Sharif S/o Muhammad Sharif</t>
  </si>
  <si>
    <t>Ms. Qamar-un-Nisa w/o Missing Person, r/o F-99, Phase II, Defense New Karachi, Sindh (Mobile No. 0332-8264537)</t>
  </si>
  <si>
    <t>FIR No. 11/2012, dt.09 Jan 2012, PS: Baloch Colony, Dist. South, Karachi</t>
  </si>
  <si>
    <t>Traced Person. It was informed at the hearing held in this Commission on 15/05/2018 that Amir Sharif has returned to home. The report submitted by the Police Officer SDPO Mehmoodabad is place on record.</t>
  </si>
  <si>
    <t>Rafaq Khan S/o Muhammad Roze Khan</t>
  </si>
  <si>
    <t>Muhammd Roze Khan r/o Mohmand Agency Sood Shaikhan Koz Khiyary, Tehsil Lkry, District Mohmand Agency, KPK(Mobile No. 0344-4368172)</t>
  </si>
  <si>
    <t>Traced Person. Returned to home as confirmed by his father.</t>
  </si>
  <si>
    <t>Anwar Syed S/o Niaz Bin Syed</t>
  </si>
  <si>
    <t>Rehman Syed, r/o Pandyali District Mohmand Agency, P.O Yake Kund Tehsil Pandyali, KPK (Mobile No. 0343-9127706, Tel. No. 091-5512970)</t>
  </si>
  <si>
    <t>FIR No.160,
 dt: 2/6/2012
 u/s 365 PPC
 PS Khawjawas, DistrictCharsadda</t>
  </si>
  <si>
    <t>Deleted. Disposed of vide detailed findings dated 04/01/2016 Not a case of enforced disappearance.</t>
  </si>
  <si>
    <t>Muhammad Akbar s/o Ghulam Muhammad</t>
  </si>
  <si>
    <t>Shabbir Ahmed, Cousion of Missing Person, Moza Obara South, Tehsil &amp; P.O. Jalalpur, Peerwala, District Multan, Punjab(Mobile No. 0346-2458047)</t>
  </si>
  <si>
    <t>FIR No.67,
 dt: 27/2/2012
 u/s 365 PPC
 PS City Jalalpur Pirwala, District Multan</t>
  </si>
  <si>
    <t>Traced Person. He appeared before the Commission and stated that he was kept in custody for 31 months and released on 24/12/2014 by unknown persons.</t>
  </si>
  <si>
    <t>Rizwan Ali s/o Muhammad Yameen</t>
  </si>
  <si>
    <t>Muhammad Irfan s/o Muhammad Yameen, r/o Basti Rehman, Qalbi, near Baipass Bahawalpur road, Multan, Punjab(Mobile No. 0300-6378956)</t>
  </si>
  <si>
    <t>FIR No. 109
 dt: 24/02/2012
 u/s 365 PPC
 PS Mumtazabad
 Multan</t>
  </si>
  <si>
    <t>Traced Person. RPO, Multan has stated that Rizwan Ali has been recovered and living with his family.</t>
  </si>
  <si>
    <t>Imran Khan S/o Abdul Qadeer</t>
  </si>
  <si>
    <t>Mst. Taj Bibi M/o Missing Person, r/o House No. 546-B, Gali No. 58, Sector G-6-1/2, Islamabad (Mobile No. 0322-5106680, 0344-5009007)</t>
  </si>
  <si>
    <t>FIR No.51
 dt: 15/02/2012
 u/s 365 PPC
 PS Aabpara
 Islamabad</t>
  </si>
  <si>
    <t>Traced Person. He appeared before the Commission on 17/04/2012 and his statement has been recorded.</t>
  </si>
  <si>
    <t>Obaid Ullah S/o Muhammad Azam</t>
  </si>
  <si>
    <t>Muhammad Azam, Tiba Khachunan Wala Daryar Khan Tehsil &amp; District Bhakkar, Punjab (Mobile No. 0347-5536563)</t>
  </si>
  <si>
    <t>FIR No.38
 dt: 22/02/2010
 u/s 365 PPC
 PS Darya Khan, District Bhakkar</t>
  </si>
  <si>
    <t>Traced Person. He appeared before the Commission and got his statement recorded.</t>
  </si>
  <si>
    <t>Qamar-ul-Haq s/o Lajabar Khan</t>
  </si>
  <si>
    <t>Village Kandro Khal, Post office &amp; Tehsil Khal, District Dir, KPK(Mobile No. 0303-8787582)</t>
  </si>
  <si>
    <t>FIR No.98
 dt: 1/3/2012
 u/s 365 PPC
 PS Khal, District Dir Lower</t>
  </si>
  <si>
    <t>Traced Person. He appeared before the Commission on 11/09/2013 and got his statement recorded.</t>
  </si>
  <si>
    <t>Saif-ur-Rehman s/o Ghulam Nabi</t>
  </si>
  <si>
    <t>Habib-ur-Rehman, Nephew of Missing Person, r/o Mohallah Machan Khail, P.O. Machan Khail, Tehsil &amp; District Lakki Marwat, KPK(Mobile No. 0313-9838573)</t>
  </si>
  <si>
    <t>FIR No.92
 dt: 23/02/2012
 u/s 365 PPC
 PS Lakki Marwat
 District: Lakki Marwat</t>
  </si>
  <si>
    <t>Traced Person Confined in Internment Center D. I. Khan as reported by MI.</t>
  </si>
  <si>
    <t>0484-S</t>
  </si>
  <si>
    <t>Noor Muhammad S/o Naseer Ahmed</t>
  </si>
  <si>
    <t>Wakeel Ahmed, Brother of Missing Person r/o Near Safa Grammer School, Sherpao Colony, Sector-B Area, Landhi, Karachi (Mobile No. 0331-2051811)</t>
  </si>
  <si>
    <t>FIR No. 362/2011 u/s 365/34 TP, dt. 15 Aug 11, PS: Qaid Abad, Karachi</t>
  </si>
  <si>
    <t>Deleted. The case has been deleted due to non-prosecution as the complainant neither extended co-operation to the Investigation Officer nor attend hearings held in 11/12/2018 vide his statement 11/11/2018 despite notices. His is not pursue the matter.</t>
  </si>
  <si>
    <t>Nadeem Akhtar s/o Bashir-ul-Haq</t>
  </si>
  <si>
    <t>Fahmeed Arshad Sangi B/o Missing Person, House No. 05, Ward No. 1, Opposite Old Lohari Gate Police Station, Multan (Mobile No. 0321-6365640, 0333-2496835)</t>
  </si>
  <si>
    <t>FIR No. 47/12 u/s 365/458, dt. 07 Feb 12, PS: Lohari Gate, Multan</t>
  </si>
  <si>
    <t>Traced Person. He appeared before the Commission on 18/05/2012 and got his statement recorded.</t>
  </si>
  <si>
    <t>0486-K</t>
  </si>
  <si>
    <t>Imran Khan S/o Sher Do Allah</t>
  </si>
  <si>
    <t>Farman Ali S/o Sher Do Allah, b/o Missing Person, r/o Gali /Mohallah Mian Mohib Shah Nehar Par Thakat Bhai Tehsil &amp; District Mardan (Mobile No. 0345-9617706, 0300-5627116)</t>
  </si>
  <si>
    <t>16102-2252662-3</t>
  </si>
  <si>
    <t>FIR No.251,
 dt: 5/3/2012,
 u/s 365 PPC
 PS City Mardan</t>
  </si>
  <si>
    <t>Deleted . The complainant regarding disappearance of Imran Khan s/o Shjer-ud-Daullah was registered and process issued on 21.2.2020. Investigation into the case revealed that it was a case of Kidnapping due to personal enmity, as concluded by JIT and agreed by PTF after recording of statement of 26 witness stake holders have denied apprehension/ arrest of the Missing Person, whose brother has also mentioned on his statement recorded on oath by the Commission that there is no allegation against any of the LEAs. Hence not a case if enforced disappearance and stands closed.</t>
  </si>
  <si>
    <t>Mardan</t>
  </si>
  <si>
    <t>C.P.No.D - 1986/2011</t>
  </si>
  <si>
    <t>Baber Hussain S/o Ghulam Hussain</t>
  </si>
  <si>
    <t>Ghulam Hussain F/o Missing Person, r/o ward No. 4, Badin, Taluka &amp; District Badin</t>
  </si>
  <si>
    <t>FIR No. 54
 dt: 6/3/2012
 u/s 365/506(2)/337-A1 &amp; F1 PPC r/w 17(3) Haraba
 PS Hatri, District Hyderabad</t>
  </si>
  <si>
    <t>Traced Person. A criminal case has been registered against Baber Hussain, which is under trial in competent court of jurisdiction. Later, Ghulam Hussain confirmed before Honourable, Sindh High Court that Baber Hussain has returned to home.</t>
  </si>
  <si>
    <t>Muhammad Mehmood S/o Muhammad Aslam</t>
  </si>
  <si>
    <t>Mst. Ulfat Bibi w/o Missing Person, r/o Hamza Mobile Center Hasilpur, Baldiya Chowk, District Bahawalpur (Mobile No. 0300-7853578)</t>
  </si>
  <si>
    <t>FIR No.145
 dt: 02/03/2012
 u/s 365 PPC
 PS City Khanewal</t>
  </si>
  <si>
    <t>Traced Person. DPO, Khanewal confirmed that Muhammad Mehmood has been recovered and living with his family.</t>
  </si>
  <si>
    <t>HRC No. 31095-K/2012</t>
  </si>
  <si>
    <t>Muhammad Ibrahim S/o Muhammad Ismail</t>
  </si>
  <si>
    <t>Muhammad Umer B/o Missing Person, r/o Tehsil But Khaila, Mohallah Ittehad Colony, District Malakand (Mobile No. 0345-9345955, 0342-3052281)</t>
  </si>
  <si>
    <t>FIR No. 482
 dt: 07/05/2012
 u/s 365 PPC
 PS City Mansehra</t>
  </si>
  <si>
    <t>Traced Person. Confined in the Internment Center, Malakand as reported by MI.</t>
  </si>
  <si>
    <t>Saleem Ullah S/o Atta Ullah Saddique</t>
  </si>
  <si>
    <t>Atta Ullah Saddique F/o Missing Person, r/o Khair Deen Chowk near Masjid Saddiqiya, Mohallah Saman Abad, Faisalabad (Mobile No. 0333-6543664)</t>
  </si>
  <si>
    <t>FIR No. 25, dt. 6 Jan 12, PS: Ghulam Muhamad Abad, District : Faisalabad</t>
  </si>
  <si>
    <t>Traced Person. He appeared before the Commission on 17/09/2012 and got his statement recorded.</t>
  </si>
  <si>
    <t>0491-K</t>
  </si>
  <si>
    <t>Ubaid-ur-Rehman S/o Muhammad Tahir</t>
  </si>
  <si>
    <t>Mst. Memona Bibi, w/o Missing Person, r/o Village: Airport Dheri, Moh: Khorcham, near Madrassa Darsaat, Swat</t>
  </si>
  <si>
    <t>FIR No. 500, dt. 19/9/2012 ,u/s 365 PPC, PS Kanju District Swat</t>
  </si>
  <si>
    <t>Deleted. The case has been closed as the complainant has withdrawn his complaint on his free will to avail some other remedy for redressal of his grievance.</t>
  </si>
  <si>
    <t>Anees-ur-Rehman S/o Syed Zakir-ur-Rehman</t>
  </si>
  <si>
    <t>Syed Ikhlaq Ali, R/o Flat No. 2, 2nd Floor, Baddami Masjid Masha Allah Building, Ranchore Line, Karachi, Sindh (Mobile No. 0324-2029211)</t>
  </si>
  <si>
    <t>FIR No. 228/2011, dt. 13 Nov 2011, PS: Super Market Karachi</t>
  </si>
  <si>
    <t>Saad Ullah Khan S/o Haji Abdul Baqi</t>
  </si>
  <si>
    <t>Abdul Bari b/o Missing Person, r/o killi Geo Jahlum Karaze Kirani Road Quetta, Balochistan (Mobile No. 0301-3712977, 0313-8294365)</t>
  </si>
  <si>
    <t>Traced Person. Returned to home, as has been confirmed by his father.</t>
  </si>
  <si>
    <t>Inam-ul-Haq S/o Shafqat Ullah</t>
  </si>
  <si>
    <t>Shafqat Ullah F/o Missing person, r/o Asperka Sedrawan Wazir, PS Town University, C/o Madina Medical Store Bearun Laki Gate Bannu, KPK.</t>
  </si>
  <si>
    <t>Traced Person. Confined in Central Jail Bannu facing trial u/s 40 FCR.</t>
  </si>
  <si>
    <t>Waqas Ahmed S/o Muhammad Anar</t>
  </si>
  <si>
    <t>Muhammad Anar F/o Missing Person, r/o Village Kadher, PO: Khas, Tehsil &amp; District Mandi Bahauddin, Punjab (Mobile No. 0322-6627142)</t>
  </si>
  <si>
    <t>FIR No.115
 dt: 30/03/2012
 u/s 365 PPC
 PS Kuthiala Sheikhan
 District: Mandi
 Bahauddin</t>
  </si>
  <si>
    <t>Traced Person. Appeared before the Commission on 12/07/2012 and got his statement recorded.</t>
  </si>
  <si>
    <t>Irfan Ahmed S/o Muhammad Akram</t>
  </si>
  <si>
    <t>Muhammad Anar Uncle of Missing Person, r/o Village Kadher, PO: Khas, Tehsil &amp; District Mandi Bahauddin, Punjab (Mobile No. 0322-6627142)</t>
  </si>
  <si>
    <t>Mehboob-ur-Rehman s/o Fazal-ur-Rehman</t>
  </si>
  <si>
    <t>Nazia Nooren w/o Missing Person, r/o House No. DD-508, Street No. 3, Jhanda Cheche, Rawalpindi, Punjab (Mobile No.0331-5407015)</t>
  </si>
  <si>
    <t>Traced Person. Mehboob-ur-Rehman is involved in Case FIR No. 114/2011 dated 26/12/2011 u/s 365-A/342 and lodged in Jail.</t>
  </si>
  <si>
    <t>Ali Sher S/o Jongal Khan</t>
  </si>
  <si>
    <t>Muhammad Khan b/o Missing Person, r/o Goth Ali Sher, Chaizal Abad, Taluka Dor, Distt: Benazirabad (Mobile No. 0301-2655399, 0313-3395477)</t>
  </si>
  <si>
    <t>Traced Person. The concerned quarters, confirmed at the hearing on 17.9.2014 that Ali Sher has been recovered and available at his home.</t>
  </si>
  <si>
    <t>0499-P</t>
  </si>
  <si>
    <t>Farhan Younis S/o Sheikh Muhammad Younis</t>
  </si>
  <si>
    <t>Sheikh Muhammad Younis F/o Missing Person, House No. 11, Gali No. 1, Muhallah Kabliyan, Shirkpur Sharif, Tehsil Ferozwala, District Sheikupura, Punjab (Mobile No. 0321-4810971)</t>
  </si>
  <si>
    <t>FIR No. 247/11, dt. 3 May 11, PS: Shirkpur, District: Sheikupura</t>
  </si>
  <si>
    <t>Sheikupura</t>
  </si>
  <si>
    <t>C.P.No. D-2702/2011</t>
  </si>
  <si>
    <t>Ajmal Waheed s/o Hafiz Waheed Ullah</t>
  </si>
  <si>
    <t>Mst. Ameena Batool w/o Missing Person, r/o T-271, Korangi No.2, Karachi, Sindh (Mobile No. 0334-3664436)</t>
  </si>
  <si>
    <t>FIR No. 239/11, dt. 20 Sep 11, PS: Airport, District: Karachi, Sindh</t>
  </si>
  <si>
    <t>Traced Person. At the hearing held in the case by the Commission it was informed that Ajmal Waheed is confined somewhere in KPK. The same report was submitted before the High Court. The case is closed.</t>
  </si>
  <si>
    <t>Usama Bin Waheed S/o Hafiz Waheed Ullah</t>
  </si>
  <si>
    <t>Mst. Ameena Batool, sister-in-law of Missing Person, r/o T-271, Korangi No.2, Karachi, Sindh (Mobile No. 0334-3664436)</t>
  </si>
  <si>
    <t>Traced Person. Returned to Home as confirmed by Rep of Police.</t>
  </si>
  <si>
    <t>Gulzar Hussain S/o Muhammad Aarab</t>
  </si>
  <si>
    <t>Muhammad Essa B/o Missing Person, r/o Village Tardos, Taluka Chachro, District Tharparkar at Mithi, Post Office Chachro, Sindh (Mobile No. 0342-3091015)</t>
  </si>
  <si>
    <t>Traced Person. Cognizance of issue was taken by this Commission and certain directions were issued to PPO Sindh and others. It has been informed that Gulzar Hussain was serving as Naik in Armed Forces and due to his suspected involvement in espionage he is being tried by Field General Court Martial. In view of above, the name of Gulzar Hussain is deleted from the list of enforced disappeared persons.</t>
  </si>
  <si>
    <t>Muhammad Waris S/o Abdul</t>
  </si>
  <si>
    <t>Asif Ali s/o Missing Person, r/o Village Tardos, Taluka Chachro, District Tharparkar at Mithi, Post Office Chachro, Sindh (Mobile No. 0341-3338714)</t>
  </si>
  <si>
    <t>Traced Person. Cognizance of issue was taken by this Commission and certain directions were issued to PPO Sindh and others. It has been informed that Muhammad Waris was serving as Naik in Armed Forces and due to his suspected involvement in espionage he is being tried by Field General Court Martial. In view of above, the name of Muhammad Waris is deleted from the list of enforced disappeared persons.</t>
  </si>
  <si>
    <t>Muhammad Riaz S/o Maqbool Hussain</t>
  </si>
  <si>
    <t>Maqbool Hussain F/o Missing Person, r/o House No.1, Block No. 12/H, Wafaqi Colony, New Campus Lahore (Mobile No. 0343-4465670)</t>
  </si>
  <si>
    <t>FIR No.315
 dt: 27/03/2012
 u/s 365 PPC
 PS Garden Town
 District: Lahore</t>
  </si>
  <si>
    <t>Shafiq-ur-Rehman S/o Aziz-ur-Rehman</t>
  </si>
  <si>
    <t>Aziz-ur-Rehman F/o Missing Person, r/o Mohalla Dehri, Khait Sarash, P/O &amp; Tehsil Balakot, District Mansehra, C/o Mansoor Jillani shopkeeper, Kaghan Road Balakot, KPK (Mobile No. 0346-5637277)</t>
  </si>
  <si>
    <t>FIR No.249
 dt: 24/3/2012
 u/s 347 PPC
 PS City Kohat</t>
  </si>
  <si>
    <t>Khalid Shamim S/o Rehmat Shamim(Late)</t>
  </si>
  <si>
    <t>Mst. Bina Khalid w/o Missing Person, r/o 142-Bostan-e-Raza, Model Colony, Karachi</t>
  </si>
  <si>
    <t>FIR No. 23/291, dt. 11 May 11, PS: Model Colony, District: Malir Town, East Karachi</t>
  </si>
  <si>
    <t>Traced Person. DSP Mehmood of PS Saudabad, Karachi appeared before the Commission. He has submitted progress report which shows that he alleged missing person is in custody of FIA and presently he is being interrogated. In view of this statement, it is no more a case of missing person.</t>
  </si>
  <si>
    <t>0507-K</t>
  </si>
  <si>
    <t>Masood Khan S/o Atlas Khan</t>
  </si>
  <si>
    <t>Atlas Khan S/o Noor Ullah (Late), r/o Villag: Ali Baig, PO: Tarojia, Tehsil: Pabbi, Nowshehra (Mobile No. 0313-9098400 &amp; 0343-5648727)</t>
  </si>
  <si>
    <t>FIR No. 696, dt. 15 Jul 10, PS: Hawailiyan, Abbottabad</t>
  </si>
  <si>
    <t>Under Investigation Abbottabad</t>
  </si>
  <si>
    <t>Khaliq Niaz S/o Gul Nawaz Shah</t>
  </si>
  <si>
    <t>Gul Nawaz Khan S/o Gul Ahmed Shah, r/o Ismaili Mama Khel, PS: Haved, Distt: Bannu</t>
  </si>
  <si>
    <t>Traced Person. Being interned in one of the Internment Centers.</t>
  </si>
  <si>
    <t>Maula Bakhsh S/o Noor Muhammad</t>
  </si>
  <si>
    <t>Mushtaq Ahmed, r/o Vill: Jalujo Choinra PO: Chor, PS: Khokharapar, Distt: Umer Kor (Mobile No. 0331-5761211)</t>
  </si>
  <si>
    <t>Traced Person. Confined in Central Jail Hyderabad after conviction by FGCM.</t>
  </si>
  <si>
    <t>Muhammad Bakhsh S/o Razaq alias Rajab Ali</t>
  </si>
  <si>
    <t>Jayan Khan, r/o Vill: Jalujo Choinra PO: Chor, PS: Khokharapar, Distt: Umer Kor (Mobile No. 0332-2828737)</t>
  </si>
  <si>
    <t>Traced Person. Mr. Imtiaz Ali, DSP/Patharo appeared before the Commission and stated that the Missing Persons have been recovered. It is also informed that various criminal cases have been registered against all the above named persons and they at the movement are confined in District Jail Hyderabad and two at Matir Jail, Karachi. In view of what has been mentioned hereinabove and besides that authenticity of the information confirmed by the complainants who are present, accorgingly no action is required to be taken by this Commission.</t>
  </si>
  <si>
    <t>Wasayo S/o Jalal</t>
  </si>
  <si>
    <t>Jalal, r/o Vill: Jalujo Choinra PO: Chor, PS: Khokharapar, Distt: Umer Kor (Mobile No. 0336-3922875)</t>
  </si>
  <si>
    <t>Abdul Wahid S/o Abdul Latif</t>
  </si>
  <si>
    <t>Abdul Jabbar, r/o Vill: Jalujo Choinra PO: Chor, PS: Khokharapar, Distt: Umer Kor (Mobile No. 0331-3261824)</t>
  </si>
  <si>
    <t>Roshan Din S/o Inayat</t>
  </si>
  <si>
    <t>Haji Muhammad, r/o Vill: Bandhio PO: Chor, PS: Khokharapar, Distt: Umer Kor (Mobile No. 0331-2682956)</t>
  </si>
  <si>
    <t>FIR No.343 dt. 06/04/2012 u/s 365 PPC PS South Cantt. Lahore</t>
  </si>
  <si>
    <t>Traced Person Convicted by FGCM at Panno Aqil Cantt.</t>
  </si>
  <si>
    <t>Wali Muhammad S/o Sher Muhammad</t>
  </si>
  <si>
    <t>Muhammad Malook, r/o Vill: Bandhio PO: Chor, PS: Khokharapar, Distt: Umer Kor (Mobile No. 0331-2939720)</t>
  </si>
  <si>
    <t>Habibullah S/o Soomar</t>
  </si>
  <si>
    <t>Mehr Ali r/o Vill: Jalujo Choinra PO: Chor, PS: Khokharapar, Distt: Umer Kor (Mobile No. 0331-3880197)</t>
  </si>
  <si>
    <t>Khan Muhammad S/o Saindad</t>
  </si>
  <si>
    <t>Muhammad Sajjan S/o Saindad, r/o Goth Saindad, Moh: Soomro, PS: Khokhrapar, Distt: Umer kot (Mobile No. 0333-2501931)</t>
  </si>
  <si>
    <t>Muhammad Saleem S/o Abdul Ghaffar Khan</t>
  </si>
  <si>
    <t>Dr. Fawad Ali B/o Missing Person, House No. 682, Sector-3, Gali No. 91, Gulshan Abad, Adiyala Road, Rawalpindi (Mobile No. 0300-8637963, 0300-5700936), CNIC NO. 15602-3518906-7</t>
  </si>
  <si>
    <t>FIR No. 110/12, dt. 25 Feb 12, PS: Saddar Beruni, District: Rawalpindi</t>
  </si>
  <si>
    <t>Traced Person. Confined in one of the Internment Center in Swat reported by rep of MI.</t>
  </si>
  <si>
    <t>0518-P</t>
  </si>
  <si>
    <t>Ali Rehmat S/o Muhammad Khalid</t>
  </si>
  <si>
    <t>Muhammad Sultan Tipu B/o Missing Person, r/o Mehmo Wali, P.O. Khas, P.S. Bhakhi, Tehsil &amp; District Sheikhupura, Punjab (Mobile No. 0300-4794036)</t>
  </si>
  <si>
    <t>FIR No. 183/12, dt. 07March 12, PS: Bhakhi, District: Sheikhupura</t>
  </si>
  <si>
    <t>Under Investigation (Punjab) Jehlum</t>
  </si>
  <si>
    <t>Jehlum</t>
  </si>
  <si>
    <t>Ghulam Nabi S/o Ali Bakhsh</t>
  </si>
  <si>
    <t>Ali Bakhsh F/o Missing Person, r/o Killi Geo, Mustafa Abad, Kirani Road, Quetta, Balochistan (Mobile No. 0301-3723467)</t>
  </si>
  <si>
    <t>FIR No. 34/12, dt. 29 Feb 12, PS: Sariab, District: Quetta</t>
  </si>
  <si>
    <t>Sardar Khurshid Ahmed S/o Sardar Muhammad Aslam</t>
  </si>
  <si>
    <t>Sardar Muhammad Aslam F/o Missing Person, r/o Ward No. 23, Gojra, near Jamia Masjid Gojra, Tehsil &amp; District Muzaffarabad, Azad Kashmir</t>
  </si>
  <si>
    <t>FIR No. 45, dt. 27 Aug 05, PS: Muzafarabad, District: Muzafarabad</t>
  </si>
  <si>
    <t>0521-P</t>
  </si>
  <si>
    <t>Hafiz Faheem Shakir S/o Allah Bakhsh Shakir</t>
  </si>
  <si>
    <t>Sardar Allah Bakhsh Shakir F/o Missing Person, r/o House No. 363, Al-Hamd Colony, Allama Iqbal Colony, Abu Bakkar Gali, Lahore, Punjab (Mobile No. 0301-6774577)</t>
  </si>
  <si>
    <t>FIR No.216
 dt: 16/4/2012
 u/s 365 PPC
 PS Wahdat Colony, District Lahore</t>
  </si>
  <si>
    <t>0522-K</t>
  </si>
  <si>
    <t>Arshad Ullah Khan S/o Gul Sahab Khan</t>
  </si>
  <si>
    <t>Mst. Khan Hozada Bibi W/o Gul Sahab Khan, r/o Kotka Raqeeb Bhrat, Tehsil &amp; District Bannu, KPK (Mobile No. 0322-9810691)</t>
  </si>
  <si>
    <t>FIR No.168
 dt: 10/7/2012
 u/s 347 PPC
 PS Domel, District Bannu</t>
  </si>
  <si>
    <t>0523-K</t>
  </si>
  <si>
    <t>Inayat Ullah Khan S/o Abdul Rasheed</t>
  </si>
  <si>
    <t>Hafeez Ullah B/o Missing Person, r/o Monna Khail, District Karak, KPK (Mobile No. 0346-8721582)</t>
  </si>
  <si>
    <t>HRC No. 12159-P/2013</t>
  </si>
  <si>
    <t>Qaiser Ikram S/o Ayub Khan</t>
  </si>
  <si>
    <t>Mst. Mumtaz Begum M/o Missing Person, r/o 126-D, Satellite Town, Mohallah Itifaq Colony, Gujranwala, Punjab, (Mobile No. 0300-6411900, 0305-6523163)</t>
  </si>
  <si>
    <t>FIR No. 133/11, dt. 9 Feb 11, PS: Satellite Town, District: Gujranwala</t>
  </si>
  <si>
    <t>Deleted. Not a Case of Enforced Dispperances as a few accused person have been nominated in FIR.</t>
  </si>
  <si>
    <t>0525-P</t>
  </si>
  <si>
    <t>Muhammad Waseem S/o Binyamin</t>
  </si>
  <si>
    <t>Ibrahim S/o Binyamin B/o Missing Person, r/o Mohallah Dak Khana Haji Shah, P.O. Khas Tehsil &amp; District Attock, Punjab (Mobile No. 0315-9089755)</t>
  </si>
  <si>
    <t>FIR No. 31/11, dt. 27 Feb 12, PS:Rangu, District: Attock</t>
  </si>
  <si>
    <t>Deleted. Not a Case of Enforced Disappearance</t>
  </si>
  <si>
    <t>Attock</t>
  </si>
  <si>
    <t>HRC No. 14768-P/2013</t>
  </si>
  <si>
    <t>Mehboob Elahi F/o Missing Person, r/o Mohallah Pari Taxila, near Railway Station Taxila, Punjab (Mobile No. 0300-8325206)</t>
  </si>
  <si>
    <t>FIR No. 367, dt. 08 June 11, PS:Taxila, District: Rawalpindi</t>
  </si>
  <si>
    <t>Traced Person. Returned to home as confirmed by his father at the hearing on 23/07/2013.</t>
  </si>
  <si>
    <t>0527-K</t>
  </si>
  <si>
    <t>HRC No. 6332-K/ 2012</t>
  </si>
  <si>
    <t>Nawab Ali Khan</t>
  </si>
  <si>
    <t>Mst. Shahzia w/o Nawab Ali Khan, r/o Dheeri, Tehsil Kabal, District Swat, KPK</t>
  </si>
  <si>
    <t>FIR No. 495
 dt: 19/09/2012
 u/s 365 PPC
 PS Kanju, District Swat</t>
  </si>
  <si>
    <t>0528-K</t>
  </si>
  <si>
    <t>Aftab Ali Khan</t>
  </si>
  <si>
    <t>Mst. Shahzia , r/o Dheeri, Tehsil Kabal, District Swat, KPK</t>
  </si>
  <si>
    <t>0529-K</t>
  </si>
  <si>
    <t>Hayat Muhammad Khan</t>
  </si>
  <si>
    <t>0530-P</t>
  </si>
  <si>
    <t>Muhammad Bilal S/o Ghulam Hussain</t>
  </si>
  <si>
    <t>Muhammad Jamal B/o Missing Person, r/o District Muzaffargarh, Tehsil Jattoi, P.S. Bait Meer Hazar (Mobile No. 0304-7224155, 0304-8274701)</t>
  </si>
  <si>
    <t>FIR No. 86, dt. 06 April 02, PS:Bait Meer Hazar, District: Muzaffargarh</t>
  </si>
  <si>
    <t>Under Investigation Muzaffargarh</t>
  </si>
  <si>
    <t>Ali Muhammad S/o Dost Muhammad</t>
  </si>
  <si>
    <t>-</t>
  </si>
  <si>
    <t>FIR No.821
 dt:17/7/2012
 u/s 365 PPC
 PS City Mardan</t>
  </si>
  <si>
    <t>Petition No. U/S 22-A &amp; 22-B CR.P.C</t>
  </si>
  <si>
    <t>Muhammad Ejaz s/o Abdul Ghafoor</t>
  </si>
  <si>
    <t>Mst. Tayyaba Ejaz W/o Missing Person, H. No. 29-B-IV-, Galli Peerzadgan, Mohallah School, Mandi Bahauddin (Mobile No. 0323-6912673, 0321-7741637)</t>
  </si>
  <si>
    <t>FIR No243 dt.21/04/2012 u/s 365 PPC PS Cyvil Lines District Mandi Baha-ud-Din</t>
  </si>
  <si>
    <t>Mandi Bahauddin</t>
  </si>
  <si>
    <t>Ikram Iqbal S/o Ali Muhammad</t>
  </si>
  <si>
    <t>Ali Muhammad S/o Muhammad Din F/o Missing Person, r/o Mauoza Bosal Shkha, Tehsil Malikwal, District Mandi Bahauddin (Mobile No. 0304-4250613)</t>
  </si>
  <si>
    <t>FIR No.198
 dt: 20/04/2012
 u/s 365 PPC
 PS Malakwal, Distt:
 Mandi Bahauddin</t>
  </si>
  <si>
    <t>Habib Ullah S/o Toor Khan</t>
  </si>
  <si>
    <t>Jamil-ur-Rehman S/o Toor Khan B/o Missing Person, r/o Mohallah Banjari Baba, Mauaza Kundray, Risalpur, District Nowshera, KPK (Mobile No. 0344-4829751)</t>
  </si>
  <si>
    <t>FIR No. 607, dt. 14 July 10, PS:Nowshera Klaan, District: Nowshera</t>
  </si>
  <si>
    <t>HRC No. 10853-/2012</t>
  </si>
  <si>
    <t>Wajid Bashir</t>
  </si>
  <si>
    <t>Mst. Nadia Wajid W/o Missing Person, r/o Flat 1/2, 99 Bowman Street, Glasgow, G42 8LE, United Kingdom (Phone No. 004414142383721)</t>
  </si>
  <si>
    <t>Deleted. Not a Case of Enforced Disappearance vide detailed findings dated 02/02/2017.</t>
  </si>
  <si>
    <t>Surat-ur-Rehman S/o Ali Muhammad</t>
  </si>
  <si>
    <t>Aziz-ur- Rehman B/o Missing Person, r/o Karam Agency , Tehsil/P.O. Para Chinar, village Jabba, Daradar, KPK, Peshawar (Mobile No. 0346-5970805, 0344-5300780)</t>
  </si>
  <si>
    <t>FIR No.279
 dt: 29/04/2012
 u/s 347 PPC
 PS Cantt. Kohat</t>
  </si>
  <si>
    <t>Traced Person. Confined in Internment Center Lakki Marwat as reported by rep of MI.</t>
  </si>
  <si>
    <t>Umer Ayaz S/o Sher Ali Jan</t>
  </si>
  <si>
    <t>Muhammad Sultan B/oMissing Person, C/o New Waziristan Medical Store oppositeFemale Hospital, Bannu City, KPK, Peshawar</t>
  </si>
  <si>
    <t>Traced Person. Interned in one of the Internment Center in KP/FATA.</t>
  </si>
  <si>
    <t>Ghulam Husnain S/o Gul Sher(Late)</t>
  </si>
  <si>
    <t>Mst. Fatima Bibi M/o Missing Person, r/o Imamia Colony, Kotli Imam Hussain, Dera Ismail Khan, KPK, Peshawar (Mobile No. 0333-9981417)</t>
  </si>
  <si>
    <t>FIR No.313,
 dt: 26/4/2012
 u.s 365 PPC
 PS Green Town, Lahore</t>
  </si>
  <si>
    <t>Deleted. JIT and PTF concluded in their reports that Ghulam Hussain has gone on his own. All stakeholders denied his arrest or apprehension. Neither any allegation levelled against any LEAs/ Intelligence Agencies nor any evidence came on record to infer to enforced disappearance. Hence, the case is closed.</t>
  </si>
  <si>
    <t>Haji Ameer Hamza S/o Munir Ahmed</t>
  </si>
  <si>
    <t>Jameel Ahmed, r/o Chakul Mian Khan Kechi Baig, Sariab Road, Quetta, Balochistan (Mobile No. 0333-7965559)</t>
  </si>
  <si>
    <t>FIR No. 52/2012, dt. 14 March 12, PS:Sariab Town, District: Quetta</t>
  </si>
  <si>
    <t>Said Muhammad Khan @Umer Baig S/o Shah Wali</t>
  </si>
  <si>
    <t>Said Nawar Khan B/o Missing Person, r/o Bijli Ghar Tal, District Hangu, KPK, Peshawar(CN13213457281)</t>
  </si>
  <si>
    <t>FIR No.203
 dt: 23/04/2012
 u/s 365 PPC
 PS Tall, Dist: Hangu</t>
  </si>
  <si>
    <t>HRC No. 9435-K /2012</t>
  </si>
  <si>
    <t>Muhammad Qasim Jans/o Haiz Ahmed Din</t>
  </si>
  <si>
    <t>Mst. Qudsia Bibi W.o Missing Person, r/o Noor Street Zaryab Colony # 2, KPK, Peshawar, CNIC No. 17301-1225518-6 (Tel No. 091-2041066)</t>
  </si>
  <si>
    <t>FIR No.346,
 dt: 25/4/2012,
 u/s 365/342 PPC
 PS Faqirabad, Peshawar</t>
  </si>
  <si>
    <t>0542-K</t>
  </si>
  <si>
    <t>HRC No.10335-K /2012</t>
  </si>
  <si>
    <t>Bakht Zarin S/o Taj Muhammad</t>
  </si>
  <si>
    <t>Fazal Rehman S/o Missing Person, r/o Asoghay, Kabal, Tehsil &amp; District Swat, KPK, CNIC No. 15602-3471247-3 (Mobile No. 0344-5962741)</t>
  </si>
  <si>
    <t>FIR No.109
 dt: 26/4/2011
 u/s 365 PPC
 PS Kabal, District Swat</t>
  </si>
  <si>
    <t>Closed (Due to other Reasons)</t>
  </si>
  <si>
    <t>HRC No.8364-A/ 2012</t>
  </si>
  <si>
    <t>Muhammad Hassan Shah S/o Nizam-ud-Din Shah</t>
  </si>
  <si>
    <t>Nizam-ud-Din Shah F/o Missing Person, r/o Jamia Islamia Barkatia, Bank Road, Muzafarabad, Azad Jammu Kashmir, CNIC No. 82203-8852284-9</t>
  </si>
  <si>
    <t>FIR No.660
 dt: 21/12/2012
 u/s 365 PPC
 PS Shahzad Town, Islamabad</t>
  </si>
  <si>
    <t>Deleted as observed by the Commission in detailed findings dated 25/08/2015 that Muhammad Hassan Shah has gone on his own.</t>
  </si>
  <si>
    <t>HRC No.8338-K/ 2012</t>
  </si>
  <si>
    <t>Muhammad Asif S/o Noor Wali</t>
  </si>
  <si>
    <t>Noor Wali F/o Missing Person, r/o Algarikarak, Tehsil &amp; District karak</t>
  </si>
  <si>
    <t>FIR No. 123, dt. 22 Apr 09, PS: KDA, Kohat</t>
  </si>
  <si>
    <t>HRC No.9043-K/ 2012</t>
  </si>
  <si>
    <t>Qaiser Khan S/o Sherzada</t>
  </si>
  <si>
    <t>Mst. Malika Bibi W/o Qaiser Khan, Village &amp; P.O Mattani, District Peshawar, KPK</t>
  </si>
  <si>
    <t>Traced Person. Assistant Commissioner, Pasni appeared before the Commission on behalf of Deputy Commissioner Gwadar, whose statement was recorded on oath, in which he deposed that Siraj Khan who went Missing on 28.07.2011 returned home. He further stated that both of them were working in Islamabad as a Taxi Driver respectively. Confirmation also obtained from Malik Asif Khan Numberdar of the Village. The case accordingly stands disposed of.</t>
  </si>
  <si>
    <t>Siraj Khan S/o Nishan Khan</t>
  </si>
  <si>
    <t>Mst. Malika Bibi W/o Qaiser Khan, r/o Village &amp; P.O Mattani, District Peshawar, KPK</t>
  </si>
  <si>
    <t>HRC No.8575-K/ 2012</t>
  </si>
  <si>
    <t>Arif Ullah S/o Meer Gul</t>
  </si>
  <si>
    <t>Meer Gul S/o Meer Ali F/o Missing Person, r/o village Norar, P.O. Meharban, Tehsil &amp; District Bannu, KPK (Mobile No. 0302-8848506, 0346-9493192)</t>
  </si>
  <si>
    <t>Traced Person. SP (Inv), Bannu confirmed at the hearing on 20/06/2012 that Missing Person has been traced.</t>
  </si>
  <si>
    <t>Rafay Riaz S/o Umer Khan</t>
  </si>
  <si>
    <t>Meer Gul S/o Meer Ali , r/o village Norar, P.O. Meharban, Tehsil &amp; District Bannu, KPK (Mobile No. 0302-8848506, 0346-9493192)</t>
  </si>
  <si>
    <t>Zahoor Khan S/o Jaan Sardar</t>
  </si>
  <si>
    <t>Jaan Sardar F/o Missing Person r/o Khair Abad, Tehsil &amp; P.O. Bajor, District Bajor Agency, FATA (Mobile No. 0341-5232924)</t>
  </si>
  <si>
    <t>21103-5555435-7</t>
  </si>
  <si>
    <t>FIR No. 853/PT(K),
 dt: 14/5/2012
 Tehsil Khar, Bajaur, FATA</t>
  </si>
  <si>
    <t>Under Investigation FATA</t>
  </si>
  <si>
    <t>Zohaib S/o Alao-al-Din</t>
  </si>
  <si>
    <t>Adnan Cousion of Missing Person, r/o Village Faqeerabad, Saari Kalay Jundola, P.O. Jundola, District Nothren Areas Adjacent to Tank.</t>
  </si>
  <si>
    <t>Mohib Ullah S/o Yarbet Khan</t>
  </si>
  <si>
    <t>Yarbet Khan F/o Missing Person r/o Doslli, District North Waziristan Agency, FATA (Tel No. 0982-624885, Mobile No. 0301-2216283)</t>
  </si>
  <si>
    <t>FIR No.296
 dt: 06/08/2012
 u/s 365 PPC
 PS Sarai Naurang
 District: Lakki Marwat</t>
  </si>
  <si>
    <t>Traced Person Returned to home as informed at the hearing on 10/09/2012 before the Commission.</t>
  </si>
  <si>
    <t>Adeel Afzal Pasha s/o Saifullah Khan Pasha</t>
  </si>
  <si>
    <t>FIR No.226,
 dt: 14/4/2011
 u/s 365 PPC
 PS Batapur, Lahore</t>
  </si>
  <si>
    <t>Traced Person shifted to Adiyala Jail on 28/08/2013. It was not a case of enforced disappearances.</t>
  </si>
  <si>
    <t>Walayat Khan S/o Sunaab Gul</t>
  </si>
  <si>
    <t>Bakht Ameen B/o Missing Person r/o Mira Mashugagar, Shin Drang, Matani, Peshawar</t>
  </si>
  <si>
    <t>FIR No76 dt.25/02/2015 u/s 365 PPC PS Matanni District Peshawar</t>
  </si>
  <si>
    <t>Deleted. An account of non- pursuance byComplainant party vide detailed findings dated 28/09/2015.</t>
  </si>
  <si>
    <t>Nadeem Ahmed Bangalzai S/o Muhamad Hussain Bangalzai (Late)</t>
  </si>
  <si>
    <t>Ms. Bibi Parveen M/o Missing Person r/o House No. 12-1/74, Pood Gali, Arbab Karam Khan Road, Quetta</t>
  </si>
  <si>
    <t>FIR No. 63/2012, dt. 22 Mar 12, PS: Sariyab, Quetta</t>
  </si>
  <si>
    <t>Traced Person. Dead body recovered and case registered u/s 302 PPC.</t>
  </si>
  <si>
    <t>Azeem Ullah @ Abdul Rahim S/o Muhammad Ashraf</t>
  </si>
  <si>
    <t>Muhammad Ashraf S/o Meeran Bakhsh F/o Missing Person, r/o Tehsil Gujar Khan, P.O. Darkali Khurd, Kotha Molvi Dadan Khan, District Rawalpindi (Mobile No. 0343-5122842, 0334-5885393)</t>
  </si>
  <si>
    <t>Traced Person. Confined in Internment Center Miran Shah, NWA as reported by MI.</t>
  </si>
  <si>
    <t>Bakht Raffique S/o Abid Ghaffar</t>
  </si>
  <si>
    <t>Kamran S/o Missing Person, r/o Khwaja’abad Panter Mangorah, District, Swat, KPK (Mobile No. 0347-8170352)</t>
  </si>
  <si>
    <t>FIR No.288/2011
 u/s 365/34 PPC
 PS Mittha Dar, Karachi</t>
  </si>
  <si>
    <t>Traced Person. The cognizance of issue was taken by this Commission. Mr. Naveed Khawaja SSP (Inv) East-II, Karachi appeared for the hearing and submitted report that Bakht Rafiq s/o Abid Ghaffar has returned home. In view of above, no further action is required to be taken. The name of Bakhat Rafiq is hereby deleted from the list of enforced disappeared persons.</t>
  </si>
  <si>
    <t>Muhammad Tayyab S/o Molvi Abdul Ghaffar</t>
  </si>
  <si>
    <t>Abdul Ghaffar F/o Missing Person, r/o Mozua Patijang Tehsil Ahmedpur, Sharqia District Bahawalpur, Punjab (Mobile No. 0306-8213242)</t>
  </si>
  <si>
    <t>FIR No,68
 dt: 27/04/2012
 u/s 365 PPC
 PS Dhoor Kot
 District: Bahawalpur</t>
  </si>
  <si>
    <t>Traced Person. Returned to home and appeared before the Commission on 18/07/2012.</t>
  </si>
  <si>
    <t>Nisar Ahmed S/o Faramosh</t>
  </si>
  <si>
    <t>Riaz Ahmed S/oBashir Ahmed Cousin of Missing Person, r/o Bilal Masjid, Qasba Colony, Karachi, Gharbi-Sindh (Mobile No. 0346-9796257)</t>
  </si>
  <si>
    <t>Traced Person. It is a fresh case as it has been fixed for hearing 1st time. Inspector Sagheer Hussain, SHO Peerabad appeared before the Commission and produced progress report which indicates that the alleged missing person was traced and in view of this report no further action is required. The name of Nisar Ahmed is deleted from the list of disappeared persons.</t>
  </si>
  <si>
    <t>Rafiullah S/o Qasim Jaan</t>
  </si>
  <si>
    <t>Mst. Jahan Zeba M/o Missing Person, r/o GulKada No. 2, P.O Saddo Sharif, Tehsil District Swat, KPK (Mobile No. 0313-9798940)</t>
  </si>
  <si>
    <t>FIR No.511
 dt: 20/09/2011
 u/s 365 PPC
 PS Tor Gul Shaheed, District Swat</t>
  </si>
  <si>
    <t>Zahid Bakht S/o Badshah Bakht</t>
  </si>
  <si>
    <t>Raham Pari M/o Missing Perso, Bamboli Bala P.O. Asbanr Tehsil Adan Zai, District Lower Dir, KPK (Mobile No. 0341-8488351)</t>
  </si>
  <si>
    <t>FIR No. 511,
 dt 20/9/2011
 u/s 365 PPC
 PS Tor Gul Shaheed, District Dir Lower</t>
  </si>
  <si>
    <t>Deleted. The case is closed on the request of the complainant for withdrawal of his case from this Commission.</t>
  </si>
  <si>
    <t>Qawi Ghaffar S/o Abid Ghaffar</t>
  </si>
  <si>
    <t>Badshah Zada S/oAmeer Zada, Father-in-Law of Missing Person, r/o Khwaja’abad Panter Mingora, District, Swat, KPK (Mobile No. 0345-9514875)</t>
  </si>
  <si>
    <t>Traced Person. Returned to Home and available at (Khwaja’abad Panter Mingora, District, Swat)</t>
  </si>
  <si>
    <t>Mudassir Shah S/o Merhamat Shah</t>
  </si>
  <si>
    <t>Merhamat Shah F/o Missing Person, r/o Aasori Payan P.O. Akora Khatak, Tehsil/District, Nowshera, KPK (Mobile No. 0306-8786164)</t>
  </si>
  <si>
    <t>FIR No.306
 dt: 28/4/2012
 u/s 365 PPC
 PS Akora Khattak, District Nowshera</t>
  </si>
  <si>
    <t>Deleted. Disposed of under Terms of Reference 2(b) vide detailed findings dated 22/08/2013.</t>
  </si>
  <si>
    <t>Rasheed Ahmed S/o Karim Jaan</t>
  </si>
  <si>
    <t>Ghulam Muhammad B/o Missing Person, r/o Matrah Bera, Bandi Tehsil &amp; District Swat, KPK (Mobile No. 0342-9496600)</t>
  </si>
  <si>
    <t>Traced Person. Ghulam Muhammad s/o Rasheed Ahmed confirmed at the hearing on 04/10/2012 that his father has returned to home.</t>
  </si>
  <si>
    <t>Ahmed S/o Mushtaq Ahmed</t>
  </si>
  <si>
    <t>Mushtaq Ahmed F/o Missing Person, r/o Mouza Ismailpur Tehsil Ahmedpur, Shariqa District Bahawalpur, Punjab (Mobile No. 0305-6893869)</t>
  </si>
  <si>
    <t>FIR No.153
 dt: 24/04/2012
 u/s 365 PPC
 PS Nowshera
 Jadeed, District:
 Bahawalpur</t>
  </si>
  <si>
    <t>Khair-ur-Rehman S/o Abdul Rehman</t>
  </si>
  <si>
    <t>Abdul Rehman F/o Missing Person, r/o Malangy P.O Anayat Kalay Tehsil Mamond, District Bajor Agency, FATA (Mobile No. 0306-8005057 &amp; 0301-5781566).</t>
  </si>
  <si>
    <t>FIR No.857
 dt: 25/9/2012
 u/s 365 PPC
 PS Pishtakhara, Peshawar</t>
  </si>
  <si>
    <t>Muhammad Ismail S/o Muhammad Billu</t>
  </si>
  <si>
    <t>Gulshan Ismail D/o Missing Person, r/o Kumhabar Waar, Singo Line Liyari, Hari Masjid Karachi, Sindh (Mobile No. 0321-3282960)</t>
  </si>
  <si>
    <t>FIR N0.44 dt.1/3/2012 u/s 365/34/PPC,PS/Chakiwara,District South, Karachi.</t>
  </si>
  <si>
    <t>Deleted. Case closed on the request of wife of disappeared person namely Najma submitted her statement depicts that Muhammad Ismail has gone on his own. She does not blame anyone for his abduction.</t>
  </si>
  <si>
    <t>Abdul Qayyum Ogahi S/o Muhammad Aarbi</t>
  </si>
  <si>
    <t>Abdul Waheed B/o Missing Person, r/o Village Mithan Ogahi, P.O Sarhad, near Ghotki, Sindh (Mobile No.0301-2348754)</t>
  </si>
  <si>
    <t>FIR No. 94/2011, dt. 25 June 11, PS: Ghotki, Sindh</t>
  </si>
  <si>
    <t>Traced Person. Dead body Recovered. Police directed to take further investigation.</t>
  </si>
  <si>
    <t>Muhammad Anwer S/o Muhammad Sharif</t>
  </si>
  <si>
    <t>Muhammad Yaqoob Cousin of Missing Person, Model Colony Karachi, near Khatam-ul-Naneain Masjid, Sindh (Mobile No. 0332-2887633)</t>
  </si>
  <si>
    <t>Traced Person. Syed Ehsan SHO PS, Model Town has submitted his statement to the effect that he contacted Muhammad Sharif who is father of the alleged missing person via cell No. 0304-3043816. Muhammad Sharif informed him that his son was living with him in Punjab. From the record it also appears that he was involved in criminal case and was declared absconder on 8.9.2013. In view of the statement submitted by the SHO no further action is required.</t>
  </si>
  <si>
    <t>Yardar Khan S/o Bahadur Khan</t>
  </si>
  <si>
    <t>Naqeeb Ullah Cousin of Missing Person, r/o Tehsil Bara Khyber Agency, FATA (Mobile No. 0334-9178147)</t>
  </si>
  <si>
    <t>Syed Najeeb Ullah S/o Haji Niamat Ullah</t>
  </si>
  <si>
    <t>Syed Mohabat Ullah B/o Missing Person, r/o Ward No. 5, Mohallah Hafizabad, Gujar Khan, District Rawalpindi (Mobile No. 0344-5084498)</t>
  </si>
  <si>
    <t>FIR No.261
 dt: 28/04/2012
 u/s 365 PPC
 PS Gujar Khan,
 District: Rawalpindi</t>
  </si>
  <si>
    <t>Traced Person. Detained in Adiyala Jail, Rawalpindi in a Criminal case registered against him.</t>
  </si>
  <si>
    <t>Bahadur Shah S/o Muhammad Ramazan</t>
  </si>
  <si>
    <t>Syed Hukam Shah B/o Missing Person, r/o Mohallah Azad Shah, Deena, Tehsil &amp; District Jehlum (Mobile No. 0300-5412362)</t>
  </si>
  <si>
    <t>FIR No.299
 dt: 29/08/2012
 u/s 4/5 ESA r/w
 7-ATA
 PS Kallar Kahar,
 District: Chakwal</t>
  </si>
  <si>
    <t>Muhammad Shair S/o Mir Syed</t>
  </si>
  <si>
    <t>Muhammad Hayat Cousin of Missing Person, r/o Akbarabad near KTM Mills, District Kohat, KPK (Mobile No. 0345-9657029)</t>
  </si>
  <si>
    <t>FIR No.130,
 dt: 26/4/2012
 u/s 347 PPC
 PS Jarma, District Kohat</t>
  </si>
  <si>
    <t>Muhammad Adil Losh S/o Habib-ur-Rehman</t>
  </si>
  <si>
    <t>Ehsan Ullah Brother-in-Law of Missing Person, Village Kuza Bamakheyla, Tehsil Matta, District, Swat (Mobile No. 0333-9476704)</t>
  </si>
  <si>
    <t>FIR No.169,
 dt: 8/5/2012
 u/s 365 PPC
 PS: East Cantt. Peshawar</t>
  </si>
  <si>
    <t>Deleted. Disposed of vide detailed Findings dated 15/08/2013. Not a case of enforced disappearance.</t>
  </si>
  <si>
    <t>Liaqat Ali Khan S/o Bakhtamo Deen</t>
  </si>
  <si>
    <t>Sajjad Ali B/o Missing Person, r/o Village Deer Maidan, Kach Bazar, Lower Dir, KPK (Mobile No. 0345-4866956, Tel No. 0945-844506)</t>
  </si>
  <si>
    <t>FIR No. 51
 dt 26/4/2012,
 u/s 365 PPC,
 PS ZaimDarra, District Dir Lower</t>
  </si>
  <si>
    <t>Lower Dir</t>
  </si>
  <si>
    <t>Clubbed With Case No. 5369</t>
  </si>
  <si>
    <t>Naseer-ud-Din S/o Abdul Sattar</t>
  </si>
  <si>
    <t>Mst. Zulikha Bibi W/o Missing Person, Dipty Ameer Singh, Wazirabad, Gujranwala, Punjab (Tel No. 055-6771799)</t>
  </si>
  <si>
    <t>Traced Person. Grand maternal Father confirmed on 12/11/2012 that Naseer-ud-Din has returned to home.</t>
  </si>
  <si>
    <t>Badshah Hussain S/o Gul wazir</t>
  </si>
  <si>
    <t>Aarab Gul B/o Missing Person, P.O. Nawari Sadah, Tehsil F.R Karam Agency, KPK (Mobile No. 0302-4190398)</t>
  </si>
  <si>
    <t>Traced Person. Dead Body Recovered reportdely he was murdered by some mischief mongers.</t>
  </si>
  <si>
    <t>Hassan Moavia S/o Nazar Hussain</t>
  </si>
  <si>
    <t>Muhammad Moavia, Cousin of Missing Person, r/o Khairpur Road, Masjid Khan Wali, Tehsil Shuja’abad, District Multan (Mobile No. 0346-7212467)</t>
  </si>
  <si>
    <t>FIR No.1183,
 dt: 19/10/2012
 u/s 365 PPC
 PS Nawab Town, Lahore</t>
  </si>
  <si>
    <t>Deleted. JIt and PTF concluded in their reports that Hassan Moavia has gone on his own. All stakeholders denied his arrest or apprehension. Neither any allegation levelled against any LEAs/ Intelligence Agencies nor any evidence came on record to infer to enforced disappearance. Hence, the case is closed.</t>
  </si>
  <si>
    <t>Sufiyan Moavia S/o Abdul Hameed Rehmani</t>
  </si>
  <si>
    <t>Muhammad Moavia, B/o Missing Person, r/o Khairpur Road, Masjid Khan Wali, Tehsil Shuja’abad, District Multan (Mobile No. 0346-7212467)</t>
  </si>
  <si>
    <t>Deleted. JIt and PTF concluded in their reports that Sufiyan Moavia has gone on his own. All stakeholders denied his arrest or apprehension. Neither any allegation levelled against any LEAs/ Intelligence Agencies nor any evidence came on record to infer to enforced disappearance. Hence, the case is closed.</t>
  </si>
  <si>
    <t>Gul Zar Jaan S/o Khyal Jaan</t>
  </si>
  <si>
    <t>Sahib Jaan B/o Missing Person, r/o Village Dradar, Harky Zanghi, District Kohat, P.O/Tehsil Para Chinar, Karam Agency, FATA (Mobile No. 0345-8119829)</t>
  </si>
  <si>
    <t>Traced Person. Interned in Internment Center and family members met him.</t>
  </si>
  <si>
    <t>Muhammad Gul S/o Naseeb Gul</t>
  </si>
  <si>
    <t>Hazrat Wali Cousin of Missing Person, r/o Village Dradar, Harky Zanghi, District Kohat, P.O/Tehsil Para Chinar, Karam Agency, FATA (Mobile No. 0341-5066694))</t>
  </si>
  <si>
    <t>Nisar Ahmed S/o Rasul Muhammad</t>
  </si>
  <si>
    <t>Mst. Sjida M/o Missing Person, r/o Mohallah Theliaabad Kabal Kanjo, Tehsil/District Swat (Mobile No. 0313-9548249)</t>
  </si>
  <si>
    <t>FIR No.494
 dt: 19/09/2012
 u/s 365 PPC
 PS Kanju, District Swat</t>
  </si>
  <si>
    <t>Rasul Muhammad S/o Abdul Akbar</t>
  </si>
  <si>
    <t>Mst. Sjida W/o Missing Person, r/o Mohallah Theliaabad Kabal Kanjo, Tehsil/District Swat (Mobile No. 0313-9548249)</t>
  </si>
  <si>
    <t>Anwer Khan S/o Ahmed Ullah</t>
  </si>
  <si>
    <t>Murad Khan B/o Missing Person, r/o Mohallah Hayat Khail So-Jhand, Tehsil &amp; District, Attock (Mobile No. 0300-2852454)</t>
  </si>
  <si>
    <t>FIR No.176,
 dt: 21/4/2012
 u/s 365 PPC
 PS City Attock</t>
  </si>
  <si>
    <t>Deleted. Vide detailed Findings dated 06/08/2015 as observed that Missing Person have gone his own.</t>
  </si>
  <si>
    <t>HRC No. 30770-K/2012</t>
  </si>
  <si>
    <t>Muhammad Kashif Sohail S/o Abdul Hameed Sohail</t>
  </si>
  <si>
    <t>Abdul hameed Sohail F/o Missing Person, r/o Araam Bagh, Link Road near Zaar C.N.G Filling Station, Abbottabad, PS: Cantt, Abbottabad (Mobile No. 0346-9520030)</t>
  </si>
  <si>
    <t>Traced Person. I.O. of the case submitted statement that father of Muhammad Kashif Sohail has confirmed his arrival back to home.</t>
  </si>
  <si>
    <t>Inayat Ullah S/o Allah Ditta</t>
  </si>
  <si>
    <t>Haq Nawaz B/o Missing Person r/o Basti Haji Pur, P.O. Bannd Bosan, Tehsil/District Multan, Punjab (Mobile No. 0305-4026996)</t>
  </si>
  <si>
    <t>FIR No. 160
 dt. 03/05/2012 
 u/s 365 PPC
 PS:Mustafa Abad 
 Lahore</t>
  </si>
  <si>
    <t>Dr. Rajesh Kumar S/o Dr. Nand Lal</t>
  </si>
  <si>
    <t>Dr. Nanad Lal F/o Missing Person, r/o House No. 84/2, N-oddin Street, near Junnah Road, Quetta (Mobile No. 0336-8126765)</t>
  </si>
  <si>
    <t>FIR No. 21/2012, dt. 14 Feb 12, PS: Civil Lines, Quetta</t>
  </si>
  <si>
    <t>Khan Niaz S/o Rooh Niaz</t>
  </si>
  <si>
    <t>Rooh Niaz Khan F/o Missing Person, R/o Kotkah Peeran, Daowod Shah, P.O. Dawood Shah, Tehsil &amp; District Bannu (Mobile No. 0331-9232273)</t>
  </si>
  <si>
    <t>FIR No.150
 dt: 12/05/2012
 u/s 365 PPC
 PS Ghoriwala
 District: Bannu</t>
  </si>
  <si>
    <t>Traced Person. Father of Khan Niaz confirmed at the hearing on 10/12/2012 that his son returned to home.</t>
  </si>
  <si>
    <t>Abdul Qadir S/o Muhammad Siddique Bangulzai</t>
  </si>
  <si>
    <t>Muhammad Siddique Bangulzai F/o Missing Person r/o Killi Badha, District Kachhi, Quetta Balochistan</t>
  </si>
  <si>
    <t>FIR No. 60/2012
 u/s 365 PPC
 PS City Dera Murad Jamali</t>
  </si>
  <si>
    <t>Muneeb Khan s/o Zaman Khan</t>
  </si>
  <si>
    <t>Rehman Khan S/o Nawaz Khan Grandfather of Missing Person, r/o Smandi Mela, Dara Adam Khel, FR Kohat, KPK (Tel No. 0922-573932)</t>
  </si>
  <si>
    <t>FIR No.461
 dt: 8/5/2012
 u/s 347 PPC
 PS MRS, District Kohat</t>
  </si>
  <si>
    <t>1636, 589, 3284, 3506,3579,3634, 2642, 2026, 1982, 1806, 1833, 1968, 1646, 2933, 1645 &amp; 1918 to be fixed together</t>
  </si>
  <si>
    <t>Khizar Hayat S/o Abdul Shakoor</t>
  </si>
  <si>
    <t>Sikandar B/o Missing Person, r/o Danna Alyot P.O. Kashmiri Bazar, Tehsil Murree, District Rawalpindi (Mobile No. 0300-8356052)</t>
  </si>
  <si>
    <t>FIR No. 132
 dt. 23/07/1990
 PS: Secretariat, Islamabad</t>
  </si>
  <si>
    <t>Deleted. Vide detailed Findings fated 26/08/2013 as not a case of enforced disappearance.</t>
  </si>
  <si>
    <t>Muhammad Saud S/o Muhammad Sadiq</t>
  </si>
  <si>
    <t>Muhammad Saud B/o Missing Person, r/o Dhoda Road, Dheeri Banda, District Kohat, KPK (Mobile No. 0333-9615474)</t>
  </si>
  <si>
    <t>FIR No.253,
 dt: 29/4/2011
 u/s 365 PPC
 PS East Cantt. Peshawar</t>
  </si>
  <si>
    <t>Sanaulllah S/o Muhammad Ishaq</t>
  </si>
  <si>
    <t>Muhammad Ishaq F/o Missing Person, r/o Ismailpur, Tehsil Ahmedpur Sharqia, District Bahawalpur, Punjab (Mobile No. 0302-6501460)</t>
  </si>
  <si>
    <t>FIR No.159 dt.01/05/2012 u/s 365 PPC PS Samma Satta District Bahawalpur.</t>
  </si>
  <si>
    <t>Under Investigation (Punjab) Bahawalpur</t>
  </si>
  <si>
    <t>Bahawalpur</t>
  </si>
  <si>
    <t>Muhammad Ajaib S/o Manzoor Hussain</t>
  </si>
  <si>
    <t>Muhammad Idrees Cousin of Missing Person, r/o Choki Dhamal, P.O./Tehsil Charhoti, District Kotli, Azad Kashmir (Mobile No. 0302-6501460)</t>
  </si>
  <si>
    <t>FIR No. 166
 dt: 10/11/2001
 u/s 364 APC
 PS Thothal, Mirpur, AJ&amp;K</t>
  </si>
  <si>
    <t>Deleted. As not a case of enforced disappearacnce. DIGP AJ&amp;K confimed that challan submitted to court of competent jurisdiction.</t>
  </si>
  <si>
    <t>Muhammad ashraf B/o Missing Person, r/o Mohallah Dhana Massah Kotha, Tehsil Kharor Paka, District Lodrahan, Punjab (Mobile No. 0301-7739380)</t>
  </si>
  <si>
    <t>FIR No. 318
 dt. 14/5/2012,
 u/s 365 PPC
 PS: City Lodhran</t>
  </si>
  <si>
    <t>Traced Person. Confined in the Internment Centre, Lakki Marwat as informed by MoD.</t>
  </si>
  <si>
    <t>Aurangzeb S/o Abdul Wahid</t>
  </si>
  <si>
    <t>Mst. Shams-ul-Islam W/o Missing Person, r/o Halkari, P.O. Chapriyal, Tehsil Matta, District Swat (Mobile No. 0348-2298342 &amp; 0347-2226539)</t>
  </si>
  <si>
    <t>FIR No.187
 dt: 14/04/2013
 u/s 365 PPC
 PS Naseerabad, District Rawalpindi</t>
  </si>
  <si>
    <t>Deleted. PTF report has been received which is available on record perusal whereof shows that it is a case of personal enmity and not a case of enforced disappearance. IB report is also available on record according to this report apparently Aurangzeb disappeared on his own.</t>
  </si>
  <si>
    <t>Muneem Raja S/o Muhammad Yousaf</t>
  </si>
  <si>
    <t>Muhammad Naeem S/o Muhammad Yousaf, r/o Pandori, P.O Bandala, Tehsil Smahani, District Bhimber, Azad Kashmir (Mobile No. 0343-5730686)</t>
  </si>
  <si>
    <t>FIR No.49
 dt: 09/05/12
 u/s 365 APC
 PS Bhimber,
 District: Muzaffarabad, AJ&amp;K</t>
  </si>
  <si>
    <t>Traced. Person Muneem Raja is confimed in District Jail Bhakkar as informed at the hearing dated 25.4.2013</t>
  </si>
  <si>
    <t>Muhammad Itefaq S/o Muhammad Yousaf</t>
  </si>
  <si>
    <t>Traced Person. Returned to Home after three months of kidnapping as confirmed at the hearing on 26.7.2012.</t>
  </si>
  <si>
    <t>Fazal Haq S/o Ameer Hamza</t>
  </si>
  <si>
    <t>Attaullah s/o Missing Person r/o P.O Saddo Sharif, Village Gullqada Tehsil District Swat (Mobile No. 0346-4208175)</t>
  </si>
  <si>
    <t>15602-8006291-1</t>
  </si>
  <si>
    <t>FIR No. 508,
 dt: 19/9/2012
 u/s 365 PPC
 PS Tor Gul Shaheed, Saidu Sharif, District Swat</t>
  </si>
  <si>
    <t>Kamran S/o Niamatullah Jan</t>
  </si>
  <si>
    <t>Salman B/o Missing Persons r/o Singolai Paine P.O Singoi Tehsil Blambit District Lower Dir (Mobile No. 0303-8389475, 0303-2728609)</t>
  </si>
  <si>
    <t>FIR No.118
 dt: 3/5/2012
 u/s 365 PPC
 PS Hayaseri, District Dir Lower</t>
  </si>
  <si>
    <t>HRC No. 21354-K/2013</t>
  </si>
  <si>
    <t>Aksar Zaman S/o Sheraz Wali</t>
  </si>
  <si>
    <t>Sheraz Wali F/o Missing Person r/o Kundi Shair Awal, P.O Kandi, Tehsil Ghazi, District Haripur (Mobile No. 0300-9881218, 0346-954424)</t>
  </si>
  <si>
    <t>FIR No.448
 dt: 09/12/2011
 u/s 365 PPC
 PS Ghazi, District:
 Haripur</t>
  </si>
  <si>
    <t>Traced Person. He appeared before the Commission on 11.12.2012, however, reluctant to highlight the factual aspects of the episode.</t>
  </si>
  <si>
    <t>Qari Muhammad Riaz S/o Akhwandzada Umer Shah</t>
  </si>
  <si>
    <t>Mst. Afsheen W/o Missing Persons r/o Near Hockey Ground, Scheme No. 1, KDA Kohat (Mobile No. 0332-9365635)</t>
  </si>
  <si>
    <t>FIR No.140
 dt: 8/5/2012
 u/s 347 PPC
 PS Jerma, District Kohat</t>
  </si>
  <si>
    <t>Malik Zada S/o Gul Zada</t>
  </si>
  <si>
    <t>Sherzada neighbour of Missing Person r/o Mohallah: Mian Gaanocham, Koza Bandi, PO: Koza Bandi, Tehsil, Kabal, Distt, Swat (Mobile No. 0342-9572367)</t>
  </si>
  <si>
    <t>FIR No. 502, dt. 19/9/2012, u/s 365 PPC, PS Kanju, District Swat</t>
  </si>
  <si>
    <t>Shabad Mehboob S/o Muhammad Rehman</t>
  </si>
  <si>
    <t>Mehrab Khan S/o Baloor Khan r/o Village Kanchari P.O Tehsil Mang, District Sadhnoti, Plandri, AJ&amp;K (Mobile No. 0334-5336483)</t>
  </si>
  <si>
    <t>FIR No.28
 dt: 09/05/2012
 u/s 365 APC
 PS Mang, Sidhnoti
 AJ&amp;K</t>
  </si>
  <si>
    <t>Traced Person. Rep of AJ&amp;K Police informed that Shabad Mehboob has returned to home. Now appeared on his behalf.</t>
  </si>
  <si>
    <t>Naik Zada S/o Shair Zada</t>
  </si>
  <si>
    <t>Sherzada F/o Missing Person r/o Mohallah: Mian Gaanocham, Koza Bandi, PO: Koza Bandi, Tehsil, Kabal, Distt, Swat (Mobile No. 0342-9572367)</t>
  </si>
  <si>
    <t>FIR No. 501 dt. 19/9/2012 u/s 365 PPC, PS Kanju, District Swat</t>
  </si>
  <si>
    <t>Abbas Khan S/o Abdul Jabbar</t>
  </si>
  <si>
    <t>Abdul Jabbar S/o Missing Person r/o Village: Marshakhail, P.O Sakha Koat, Tehsil Dargai, Distt. Malakand (Mobile No. 0341-4782187 &amp; 0305-7915741)</t>
  </si>
  <si>
    <t>xc</t>
  </si>
  <si>
    <t>FIR No.13,
 dt: 28/1/2010
 u/s 365/34 PPC
 PS Levy Post, Sakhakot,Malakand Agency</t>
  </si>
  <si>
    <t>Deleted. Not a Case of Enforced Disapperances. Case disposed of vide detailed findings dated 28.10.2015.</t>
  </si>
  <si>
    <t>Fazal Raheem S/o Fazal Ahmed</t>
  </si>
  <si>
    <t>Bibi AliaW/o Missing Person r/o Deenis Tower, University Abdarah Road, Flat No. FF6, Peshawar (Mobile No. 0321-9112842, 0312-5846042)</t>
  </si>
  <si>
    <t>FIR No.320,
 dt: 29/5/2012
 u/s 365/382/149 PPC
 PS: Tehkal, District Peshawar</t>
  </si>
  <si>
    <t>Deleted (Due to Other Reasons)</t>
  </si>
  <si>
    <t>Barkatullah S/o Syed Fazal Mansoor</t>
  </si>
  <si>
    <t>Hidayat Ullah S/o Fazal Hameed r/o Halkai Chirmang, P.O Kohisim, Tehsil Nowagai, Distt. Bajor Agency (Mobile No. 0342-9010275, 0302-5673971)</t>
  </si>
  <si>
    <t>FIR No.352
 dt: 26/05/2012
 PS Nawagai,
 Bajaur Agency</t>
  </si>
  <si>
    <t>Traced Person. Mr. Imran Sheikh APA Bajour Agency stated at the hearing in this Commission on 12.2.2013 that Barkatullah has returned to home.</t>
  </si>
  <si>
    <t>Arshad Ali S/o Gul Sherin</t>
  </si>
  <si>
    <t>Liaqat Ali r/o Mohallah Dherakai, Village &amp; P.O Kuza Bandi, Tehsil &amp; Distt. Swat (Mobile No. 0314-2511605, 0346-9410218)</t>
  </si>
  <si>
    <t>FIR No.496 dt. 19/9/2012 u/s 365 PPC, PS Kanju, District Swat</t>
  </si>
  <si>
    <t>Masoom Jan S/o Muhammad Rehman</t>
  </si>
  <si>
    <t>Mst. Ameer Zadgai W/o Missing Person r/o Gullqada No. 2, PO: Saddo Sharif, Tehsil &amp; Distt, Swat (Mobile No. 0336-9834516)</t>
  </si>
  <si>
    <t>FIR No.1064
 dt: 19/9/2012
 u/s 365 PPC
 PS Mingora, District Swat</t>
  </si>
  <si>
    <t>Syed Hazrat Ullah S/o Syed Fazal Hameed</t>
  </si>
  <si>
    <t>FIR No.351
 dt: 26/05/2012
 PS Nawagai,
 Bajaur Agency</t>
  </si>
  <si>
    <t>Traced Person. Mr Imran Sheikh APA Bajour Agency stated before the Commission on 12.2.2013 that Syed Hazrat Ullah has returned to home.</t>
  </si>
  <si>
    <t>Muhammad Arif S/o Hassan Gul</t>
  </si>
  <si>
    <t>Saqib Ali B/o Missing Person r/o Peoples Colony, near 7/11 Store, District Attock (Mobile No. 0343-9286494)</t>
  </si>
  <si>
    <t>FIR No.351
 dt: 11/5/2012
 u/s 365 PPC
 PS Akora Khattak, District Nowshera</t>
  </si>
  <si>
    <t>Deleted. Not a case of enforced disappearance. Rather that of personal enimity.</t>
  </si>
  <si>
    <t>Dost Muhammad S/oAbdul Mateen</t>
  </si>
  <si>
    <t>Khayal Muhammad B/o Missing Person r/o Shahbaz Kor Perdais Kor, P.O Yakaghund Tehsil Pandeyali, Distt. Mohmand Agency (Mobile No. 0344-5248037)</t>
  </si>
  <si>
    <t>FIR No.267
 dt: 24/05/2012
 u/s 365 PPC
 PS Margalla,
 Islamabad</t>
  </si>
  <si>
    <t>Traced Person. Confined in the Internement Centre, Lakki Marwat.</t>
  </si>
  <si>
    <t>Noor Saeed S/o Muhammad Saeed</t>
  </si>
  <si>
    <t>Iqbal Saeed B/o Missing Person r/o Street/Mohallah, Qome Dawodzai, Tappa Quresh, P.O Sadha nirtati, Tehsil Farkaran Distt. Karam Agency (Mobile No. 0302-8874779, 0336-9611852)</t>
  </si>
  <si>
    <t>FIR No.248
 dt: 15/5/2012
 u/s 365 PPC
 PS Hangu, District Hangu</t>
  </si>
  <si>
    <t>Traced Person. Confined in the Internment Centre, Lakki Marwat as informed by Rep of MI on 23.01.2014.</t>
  </si>
  <si>
    <t>Hazrat Ali S/o Shahzada</t>
  </si>
  <si>
    <t>Shehzada F/o Missing Person r/o Dhairi Tehsil, Kabal, Distt. Swatt (Mobile No. 0333-9466126, 0344-9629598)</t>
  </si>
  <si>
    <t>Zar Wali S/o Abdul wahid</t>
  </si>
  <si>
    <t>Muhammad Ismail B/o Missing Person r/o Kohat Road, scheme Chowk, Ahmed Khail Garhi Shahidan, Peshawar (Mobile No. 0346-9241677, 0304-9420814)</t>
  </si>
  <si>
    <t>FIR No.473
 dt: 16/5/2012
 u/s 365 PPC
 PS Badaber, District Peshawar</t>
  </si>
  <si>
    <t>Said Wali S/o Abdul Wahid</t>
  </si>
  <si>
    <t>HRC No. 8362-G/2012</t>
  </si>
  <si>
    <t>Habib Khan S/o Muhammad Hanif Khan</t>
  </si>
  <si>
    <t>Abdul Kabir Khan B/o Missing Person r/o Village/P.O Sharqi Uch, Tehsil Adinzi, Distt. Lower Dir, Malakand (Mobile No. 0344-5904057)</t>
  </si>
  <si>
    <t>FIR No.194 dt 09/05/2012 u/s 365 PPC PS Ouch District Lower</t>
  </si>
  <si>
    <t>Shair Bahadur S/o Qalandar Khan</t>
  </si>
  <si>
    <t>Kalandar Khan F/o Missing Person r/o Growra, PS: Matta, Tehsil &amp; Distt: Swat (Mobile No. 0301-8063417)</t>
  </si>
  <si>
    <t>FIR No. 851
 dt 19/9/2012
 u/s 365 PPC,
 PS Matta, District Swat</t>
  </si>
  <si>
    <t>Muhammad Saeed S/o Shair Dil Khan</t>
  </si>
  <si>
    <t>Azhar Saeed S/o Missing Person r/o Shgai, Sangtu, P.O Remdar Tehsil Lal Qilha, Lower Dir (Mobile No. 0303-8997689)</t>
  </si>
  <si>
    <t>FIR No.318
 dt: 13/5/2012
 u/s 365 PPC
 PS Dir, District Dir Upper</t>
  </si>
  <si>
    <t>Deleted. Not a Case of Enforced Disapperances. Disposed of vide detailed Findings dated 9.11.2015 Missing Person a Proclaimed Offender.</t>
  </si>
  <si>
    <t>Hafiz Muhammad Imran S/o Muhammad Yousaf</t>
  </si>
  <si>
    <t>Traced Person. Confined in Kot Lakhpat Jail, Lahore on charges in a Criminal case.</t>
  </si>
  <si>
    <t>0621-K</t>
  </si>
  <si>
    <t>Nasirullah S/o Muhammad Khalil</t>
  </si>
  <si>
    <t>Mst. Jahan Saba M/o Missing Person r/o Barkanjo, Kanjo, Tehsil &amp; Distt, Swat (Mobile No. 0307-8520285)</t>
  </si>
  <si>
    <t>FIR No.497
 dt. 19/9/2012
 u/s 365 PPC
 PS Kanju, District Swat</t>
  </si>
  <si>
    <t>0622-K</t>
  </si>
  <si>
    <t>Muhammad Khalil s/o Faqi Kachkol</t>
  </si>
  <si>
    <t>Mst. Jahan Saba W/o Missing Person r/o Barkanjo, Kanjo, Tehsil &amp; Distt, Swat (Mobile No. 0307-8520285)</t>
  </si>
  <si>
    <t>15602-5978490-5</t>
  </si>
  <si>
    <t>Mukhtar Ahmed S/o Sheikh Abdul Ghani</t>
  </si>
  <si>
    <t>Muhammad Idrees B/o Missing Person r/o Sudhair Sharif, P.O &amp; Tehsil Charhoti, District Kotli, Azad Kashmir (Mobile No. 0342-5387829)</t>
  </si>
  <si>
    <t>FIR No. 166, dt. 10/11/2009, PS: Thothali, Mirpur, AJ&amp;K</t>
  </si>
  <si>
    <t>Shah Jahan khan S/o Din Muhammad</t>
  </si>
  <si>
    <t>Matti Ullah r/o House No. B-156, Sector ½, G-6, Street No,46, Islamabad (Mobile No. 0333-5113936)</t>
  </si>
  <si>
    <t>Traced Person. The cognizance of issue was taken by this commission and certain directions were issued. Muhammad Khalid, SHO Airport Karachi appeared before the Commission and stated that Shah Jahan Khan has been recovered and returned home which aspect of the matter has further been confirmed by Abdul Rahim cousin of Shah Jahan Khan. In view of what has been stated hereinabove, the name of Shah Jahan Khan is deleted from the list of enforced disappeared persons.</t>
  </si>
  <si>
    <t>Muhammad Aslam S/o Muhammad Ashraf</t>
  </si>
  <si>
    <t>Mst. Umm-e-Kalsoom W/o Missing Person r/o House No. 4-1(N-I-H), Colony, Chak Shehzad, Islamabad (Mobile No. 0327-7640290)</t>
  </si>
  <si>
    <t>FIR No. 298
 dt 02/10/2007,
 u/s 365 PPC
 PS: Aabpara, Islamabad</t>
  </si>
  <si>
    <t>Deleted. Not a Case of Enforced Disapperance. Case disposed of vide detailed Findings dated 4.8.2015.</t>
  </si>
  <si>
    <t>Aftab Ahmed S/o Muhammad Ali</t>
  </si>
  <si>
    <t>Mst. Noor Aftab W/o Missing Person r/o House No. 15, Block No. 77/B, Street No. 51, Sector G-10/3, Islamabad (Mobile No. 0307-6105724)</t>
  </si>
  <si>
    <t>FIR No. 47,
 dt. 25/08/2010,
 u/s 365 PPC
 PS: Aabpara, Islamabad</t>
  </si>
  <si>
    <t>Traced Person. Aftab Ahmed died on 22.12.2012 and his dead body was brought to Rawalpindi.</t>
  </si>
  <si>
    <t>HRC No. 23060-K/2010</t>
  </si>
  <si>
    <t>Bakht Wali Khan S/o Minhaj</t>
  </si>
  <si>
    <t>Mr. Bakhtaj U/o Missing Person r/o P.O Nagri Amazi, Tehsil: Dagar, Distt. Bunner (Mobile No. 0344-4713967)</t>
  </si>
  <si>
    <t>FIR No. 77, dt.17/1/2010,u/s 365/34 PPC PS: Pareedi, Saddar Town, Karachi</t>
  </si>
  <si>
    <t>Deleted. Not a Case of Enforced Disappearance as no allegation has been leveled against any of the LEAs for his abduction.</t>
  </si>
  <si>
    <t>Qurban Ali S/o Abdul Kareem</t>
  </si>
  <si>
    <t>Mr. Abdul Karim Laghari F/o Missing Person r/o Mohallah Kamora Lain Quetta Road, P.O Jacobabad Distt. Jacobabad (Mobile No. 0333-7351936)</t>
  </si>
  <si>
    <t>FIR No.63 dt.11/4/2014 u/s 365/34 PPC PS &amp; District Jamshoro</t>
  </si>
  <si>
    <t>Deleted. The occurrence of disappearance of Qarban Ali to be place on 24.9.2001 and the incident was reported to the Commission on 24.9.2011. JIT was constituted several hearings were held in the Commission, PTF also considered the case. The complainant/ family however remained absent at all proceedings. The case is therefore, closed due to non-prosecution.</t>
  </si>
  <si>
    <t>Khalid Bilal Mengal S/o Muhammad Bilal</t>
  </si>
  <si>
    <t>Muhammad Bilal F/o Missing Person r/o Hindo Mohallah Noshki Distt. Chaghi, Noshki Balochistan (Mobile No. 0347-3580055 &amp; 0344-8014088)</t>
  </si>
  <si>
    <t>FIR No.37
 dt: 17/05/2011
 u/s 365/147/148 PPC
 PS/District: Nowshki</t>
  </si>
  <si>
    <t>Samiullah Mangel S/o Mir Hazar Mangel</t>
  </si>
  <si>
    <t>Abdul Rehman B/o Missing Person r/o Killi Sardar Badeni, Noshki, Balochistan (Mobile No. 0345-8372259)</t>
  </si>
  <si>
    <t>FIR No.309
 dt: 22/12/2009
 PS Civil Lines,
 Quetta</t>
  </si>
  <si>
    <t>Deleted. Not a case of Enforced Disappearance as the Missing Person remained involved in a number of high profile terrorist incident.</t>
  </si>
  <si>
    <t>Shair Muhammad S/o Atta Muhammad</t>
  </si>
  <si>
    <t>Sardar Taj Muhammad Cusion of Missing Person r/o Street Sardar Taj, Muhammad Kashingi Tehsil Noshki, Distt. Chagi (Mobile No. 0342-2870003)</t>
  </si>
  <si>
    <t>HRC No. 26027-P/2013</t>
  </si>
  <si>
    <t>Pervez Abbas S/o Mukhtar Ahmed</t>
  </si>
  <si>
    <t>Mukhtar Ahmed F/o Missing Person r/o Mouza Kot Islam, PO: &amp; Tehsil: Kabirwala, Distt: Khanewal (Mobile No. 0332-6342708)</t>
  </si>
  <si>
    <t>FIR No.109
 dt: 06/05/2012
 u/s 365 PPC
 PS Haveli Koranga, District Khanewal</t>
  </si>
  <si>
    <t>Traced Person. Returned to Home as confirmed by SP (Inv) Khanewal at the hearing on 15.3.2016.</t>
  </si>
  <si>
    <t>Muhammad Ramzan S/o Nawab Khan</t>
  </si>
  <si>
    <t>Muhammad Aslam Cousin of Missing Person r/o Baghar Saganah Khas, PO: &amp; Tehsil: Kabirwala, Distt: Khanewal (Mobile No. 0334-4407251)</t>
  </si>
  <si>
    <t>FIR No.129
 dt: 6/5/2012
 u/s 365 PPC
 PS Abdul Hakim District Khanewal</t>
  </si>
  <si>
    <t>Traced (Returned Home) as confirmed by SP (Inv) Khanewal at the hearing on 15.3.2016.</t>
  </si>
  <si>
    <t>Abid Rehman S/o Nawab Khan</t>
  </si>
  <si>
    <t>Mst. Nasreen Bibi Sister of Missing Person r/o Baghar Saganah Khas, PO: &amp; Tehsil: Kabirwala, Distt: Khanewal (Mobile No. 0334-4407251)</t>
  </si>
  <si>
    <t>FIR No.179/2012
 u/s 365 PPC
 PS Mangamandi
 Lahore</t>
  </si>
  <si>
    <t>Deleted (Not a Case of Enforced Disappearances)</t>
  </si>
  <si>
    <t>Ghulam Shabbir S/o Ghulam Muhammad</t>
  </si>
  <si>
    <t>FIR No.128, 
 dt: 6/5/2012
 u/s 365 PPC
 PS Abdul Hakim District Khanewal</t>
  </si>
  <si>
    <t>Traced Person. According to JIT report dated 04/05/2018 Ghulam Shabbir has been traced and he has returned to home. Ghulam Shabbir entered appearance before the Commission on 10/05/2018. He has submitted that he was abducted by anybody rather he went to Karachi on his own and returned after seven years.</t>
  </si>
  <si>
    <t>Muneer Hussain S/oMuhammad Hanif</t>
  </si>
  <si>
    <t>Mst. Mukhtaran Bibi W/o Missing Person r/o Chak No. 575 GB, PO: Mandi War Bartan, Tehsil: Nankana Sahib, Distt: Sheikhupura (Mobile No. 0300-4329918)</t>
  </si>
  <si>
    <t>FIR No. 304, dt. 11/03/2007, PS: Iqbal Town, Lahore</t>
  </si>
  <si>
    <t>Deleted. Not the case of Enforced Disappearance. Kidnapping due to personal enimity and incomplete challan submitted to court of jurisdiction.</t>
  </si>
  <si>
    <t>Gull Faqeer S/o Muhammad Essa khan</t>
  </si>
  <si>
    <t>Malang Khan B/o Missing Person r/o Kamil Purah, P.O Kumail Pur Aqeel, Tehsil: Fateh Jang, District: Attock (Mobile No. 0342-5827759)</t>
  </si>
  <si>
    <t>FIR NO.179
 dt: 3/5/2012
 u/s 365 PPC
 PS Saddar, District Attock</t>
  </si>
  <si>
    <t>Traced Person. Confined in the Internment Centre Kohat. Family members facilitated to meet him.</t>
  </si>
  <si>
    <t>0638-P</t>
  </si>
  <si>
    <t>Khalil Ahmed S/o Abdul Jabbar</t>
  </si>
  <si>
    <t>Mst. Sakina Bibi W/o Missing Person r/o Haweli Lakha, Street No. 6, Mohallah Shakorabad, Depalpur, Okara (Mobile No. 0333-4055628)</t>
  </si>
  <si>
    <t>FIR No.278
 dt: 23/4/2012
 u/s 365 PPC
 PS Haweli Lakkha, District Okara</t>
  </si>
  <si>
    <t>Under Investigation Okara</t>
  </si>
  <si>
    <t>Okara</t>
  </si>
  <si>
    <t>HRC No. 29962-P/2012, W.P No. 2996/2011 (Lahore High Court)</t>
  </si>
  <si>
    <t>Qari Ziaullah S/o Ahmed Yar</t>
  </si>
  <si>
    <t>Mst. Noor Bibi M/o Missing Person r/o Chak No. 1, K.M.R, PO: Koat Melaram, Tehsil &amp; District Multan (Mobile No. 0322-6914901)</t>
  </si>
  <si>
    <t>FIR No.274
 dt: 05/05/2012
 u/s 365 PPC
 PS New Multan
 District Multan</t>
  </si>
  <si>
    <t>Traced Person. He appeared before the Commission on 24.01.2013 but reluctance to decribe the episode.</t>
  </si>
  <si>
    <t>Umer Adnan S/o Zulfiqar Ali</t>
  </si>
  <si>
    <t>Rana Zulfiqar Ali r/o Basti Rehman Killi, near Bahawalpur Baipass, PO: Mumtazabad, Tehsil/Distt. Multan (Mobile No. 0302-7137825)</t>
  </si>
  <si>
    <t>FIR No.208 dt.05/05/2012 u/s 365 PPC PS Mumtazabad District Multan</t>
  </si>
  <si>
    <t>Traced Person. Confined in the Internment Centre, Lakki Marwat as informed by Rep of ISI.</t>
  </si>
  <si>
    <t>Abdul Rehman S/o Muhammad Muneer</t>
  </si>
  <si>
    <t>Muhammad Inam-ul-Haq B/o Missing Person r/o House No. 6-S-42, Mohallah Main Bazar Kharak, Multan Road, Lahore (Mobile No. 0333-4088122)</t>
  </si>
  <si>
    <t>FIR No. 74, dt. 06/09/2011, PS: Tibi City,, Lahore</t>
  </si>
  <si>
    <t>Traced Person. He appeared before the Commission on 21.5.2014 and stated that he reached home safely.</t>
  </si>
  <si>
    <t>Muhammad Farooq S/o Muhammad Sadiq</t>
  </si>
  <si>
    <t>Mst. Shamim Akhtar M/o Missing Person r/o Saila Qasba Kemer 120/9.L, Mohallah Sadiqabad, Tehsil/Distt. Sahiwal (Mobile No. 0307-2429289)</t>
  </si>
  <si>
    <t>FIR No.59
 dt: 25/02/2011
 u/s 365 PPC
 PS Kamir, Distt. Sahiwal</t>
  </si>
  <si>
    <t>Traced Person. Mother of Hafiz Ahmed Yar and Muhammad Farooq appeared before the Commission on 21.11.2014 and confirmed their return to home.</t>
  </si>
  <si>
    <t>Muhammad Sajid S/o Abdul Rasheed</t>
  </si>
  <si>
    <t>Rashid Rasheed B/o Missing Person r/o Chak No. 102/10.R, P.O Chak No. 99/10.R, Cattle Farm, Tehsil Jahaniyan, Distt. Khanewal (Mobile No. 0303-6119602)</t>
  </si>
  <si>
    <t>FIR No.137
 dt: 07/05/2012
 u/s 365 PPC
 PS Bhagtanwala
 Distt: Sargodha</t>
  </si>
  <si>
    <t>Traced Person. DPO, Sargodha informed at the hearing on 13.11.12 that Muhammad Sajid is behind the bars.</t>
  </si>
  <si>
    <t>Ghulam Sajjad Amjad S/o Basara</t>
  </si>
  <si>
    <t>Ghulam Abbas Farooqi r/o Koat Islam, PO: Khas, Tehsil, Kabeerwala, Distt. Khanewal (Mobile No. 0333-3945995)</t>
  </si>
  <si>
    <t>FIR No.167 dt.06/05/2012 u/s 365 PPC PS Serai Sidhu Diistrict Khanewal</t>
  </si>
  <si>
    <t>Qari Inayatullah S/o Muhammad Abdullah</t>
  </si>
  <si>
    <t>Hafiz Muhammad Yahya r/o Madrassa Taleem-ul-Quran, Feroz Watwan, Tehsil/Distt. Sheikupura (Mobile No. 0300-4584610)</t>
  </si>
  <si>
    <t>FIR No. 30
 dt: 18/1/2013
 u/s 365 PPC
 PS City Shah Kot
 District Nankana Sahib</t>
  </si>
  <si>
    <t>Muhammad Ibrahim S/o Muhammad Hanif</t>
  </si>
  <si>
    <t>Mst. Majida Khatoon W/o Missing Person r/o P.O Khas Pur, Tehsil/Distt. Jehlum (Mobile No. 0344-8971418)</t>
  </si>
  <si>
    <t>FIR No.113
 dt: 05/07/2010
 u/s 365 PPC
 PS Chotala, District
 Jhelum</t>
  </si>
  <si>
    <t>Traced Person. Appeared before the Commission on 1.2.2013. However, reluctant to narrate details of his abduction.</t>
  </si>
  <si>
    <t>Zahid Mehmood Zaidi S/o Muhammad Sharif</t>
  </si>
  <si>
    <t>Aftab Ahmed B/o Missing Person r/o Mohallah Mustafaabad, Vneke TarP.O Khaas Tehsil &amp; District Hafizabad (Mobile No. 0303-4585442)</t>
  </si>
  <si>
    <t>FIR No.271
 dt: 02/05/2012
 u/s 365 PPC
 PS Cantt. Distt:
 Gujranwala</t>
  </si>
  <si>
    <t>Traced Person. Appeared before the Commission on 12.11.2012 but remained mum and did not respond to any question.</t>
  </si>
  <si>
    <t>Muhammad Irfan S.o Abdul Manan</t>
  </si>
  <si>
    <t>Abdul Manan F/o Missing Person r/o Village Kokar, Chashma Road, PS: Saddar, District D.I. Khan (Mobile No. 0334-7899775)</t>
  </si>
  <si>
    <t>FIR No.236,
 dt: 8/5/2012
 u/s 365 PPC
 PS Saddar Distt. D.I. Khan</t>
  </si>
  <si>
    <t>Traced Person. Confined in the Internment Centre , Lakki Marwat.</t>
  </si>
  <si>
    <t>Abdul Aziz S/o Muhammad Ali</t>
  </si>
  <si>
    <t>Muhammad Tayyab r/o House No. 5-B, Street No. 1, Khyaban Faisal Colony, Near Property Dealer, Airport Bank Road Caklala, Rawalpindi (Mobile No. 0301-4770301, 0333-8113027)</t>
  </si>
  <si>
    <t>FIR No. 08
 dt. 10/01/2012
 PS: Gulzar-e-Qaid, Near Airport, Rawalpindi</t>
  </si>
  <si>
    <t>Traced Person. Appeared before the Commission on 24.10.2012. Did not mention any details about his abduction and returns.</t>
  </si>
  <si>
    <t>Qamar-uz-Zaman S/o Abdul Jalil</t>
  </si>
  <si>
    <t>Asif Qamar S/o Missing Person r/o House No. 35, Street No. 1, Badar Colony, Khokhar Road, Badami Bagh, Lahore (Mobile No. 0333-4782876)</t>
  </si>
  <si>
    <t>FIR No.311,
 dt: 7/5/2012
 u/s 365 PPC
 PS Badami Bagh, Lahore</t>
  </si>
  <si>
    <t>Deleted (Not a Case of Enforced Disappearances) as Qamaz-Uz-Zaman has got a Criminal back ground, as well.</t>
  </si>
  <si>
    <t>HRC No. 36480-P/2012</t>
  </si>
  <si>
    <t>Qari Nasarullah Tariq S/o Muhammad Ismail Tariq</t>
  </si>
  <si>
    <t>FIR No. 1400 dt. 15/12/2011 u/s 365 PPC PS: Gujjarpura, Lahore</t>
  </si>
  <si>
    <t>Direct</t>
  </si>
  <si>
    <t>Muhammad Faheem S/o Azeem Bakhsh</t>
  </si>
  <si>
    <t>Azim Bakhsh F/o Missing Person r/o Chah Pary Walid, Hinjari, P.O. Mustaqil Sharqi, Ehsanpur, Tehsil Koat Addu, Distt. Muzafargarh (Mobile No. 0301-6969212)</t>
  </si>
  <si>
    <t>FIR No.13,
 dt: 3/2/2013
 u/s 365 PPC
 PS Kallar Kahar
 Distt. Rawalpindi</t>
  </si>
  <si>
    <t>Under Investigation (Punjab) Fasilabad</t>
  </si>
  <si>
    <t>Faisalabad</t>
  </si>
  <si>
    <t>Asghar Ali S/o Dost Muhammad Chandio</t>
  </si>
  <si>
    <t>Dost Muhammad Chandio F/o Missing Person, r/o R-B-B Colony, Jamshoro Kotri, Muhallah Chandio Para, District Jamshoro, Sindh (Mobile No. 0304-6277210)</t>
  </si>
  <si>
    <t>Traced Person. It was informed by SI/IO, Roshan Ali at the hearing held in this Commission that Asghar Ali has been traced. Accordingly the information collected they were doing business at Dubai. This position was confirmed by mother and elder brother of Asghar Ali.</t>
  </si>
  <si>
    <t>Khalilullah S/o Haji Saifullah</t>
  </si>
  <si>
    <t>Mst. Naseem Zehra W/o Missing Person r/o Basti Baloch Colony, Ghanipur Road, Goth Bajan, Tehsil/Distt Bahawalpur (Mobile No. 0305-9867628)</t>
  </si>
  <si>
    <t>FIR No. 585,
 dt. 23/8/2011,
 u/s 365 PPC
 PS: Civil Lines, Bahawalpur</t>
  </si>
  <si>
    <t>Traced Person. Wife of Khalilullah confirmed at the hearing on 27.9.13 that her husband in confined in Internment Centre, Lakki Marwat.</t>
  </si>
  <si>
    <t>Hafiz Ahmed Yar Hanfi S/o Muhammad Sadiq</t>
  </si>
  <si>
    <t>Mst. Salma Bibi W/o Missing Person r/o Street No. 1, Kumer Chak No. 120/9.L, P.O Khass, Tehsil/Distt Sahiwal (Mobile No. 0306-4542490)</t>
  </si>
  <si>
    <t>FIR No.257
 dt: 20/5/2012
 u/s 365 PPC
 PS City Arifwala</t>
  </si>
  <si>
    <t>Lal Umer S/o Muhammad Umer</t>
  </si>
  <si>
    <t>Mst. Dilshad Bibi W/o Missing Person r/o Ghazi Baba, PO: Kahoti Barmol, Tehsil &amp; District Mardan (Mobile No. 0341-8208301)</t>
  </si>
  <si>
    <t>FIR No.4 dt.08/02/2013 u/s 365/148/149 PPC PS Palai ,Malakand Agency</t>
  </si>
  <si>
    <t>Under Investigation Malakand</t>
  </si>
  <si>
    <t>Malik Muhammad Irfan S/o Malik Muhammad Aslam</t>
  </si>
  <si>
    <t>Mst. Rehana Kausar Sister of Missing Person r/o West Colony, Jhelum Cantt near C.M.H (Mobile no. 0300-5276811)</t>
  </si>
  <si>
    <t>FIR No. 75,
 dt. 15/3/2007,
 u/s 365 PPC
 PS: Saddar, Jhelum</t>
  </si>
  <si>
    <t>Deleted. Not a Case of Enforced Disappearance case disposed of vide detailed Findings dated 11.04.2016.</t>
  </si>
  <si>
    <t>Muhammad Mansha S/o Haji Muhammad Shareef</t>
  </si>
  <si>
    <t>Muhammad Aslam B/o Missing Person r/o Sakna zila Tex 2/D, PO: Hujra Shah Muqeem, Okara (Mobile No. 0301-4430997, 0345-6802408)</t>
  </si>
  <si>
    <t>FIR No. 665
 dt. 03/11/2010,
 u/s 365 PPC
 PS: Hujra Shah Muqeem, Okara</t>
  </si>
  <si>
    <t>Deleted. Not a case of enforced disappearnce rather that of personal enmity.</t>
  </si>
  <si>
    <t>Arsalan Masood Khan S/o Masood Khan</t>
  </si>
  <si>
    <t>Farhan Masood B/o Missing Person, House No. L-724, Sector 4-B, Sarjani Town, Karachi, Sindh (Mobile No. 0345-2452184)</t>
  </si>
  <si>
    <t>FIR No. 508
 dt.17/9/2011,
 u/s 365/34 PPC
 PS: Surjani Town, Distt.: West Karachi</t>
  </si>
  <si>
    <t>Deleted (Not a case of Enforced Disappearances)</t>
  </si>
  <si>
    <t>Sharib Arsalan Farooqi S/o Shamim Ahmed Farooqi</t>
  </si>
  <si>
    <t>Shamim ahmed Farooqi F/o Missing Person, Flat No. J-2, KDA Scheme 41, Phase No. II, Sarjani Town, Karachi, Sindh (Mobile No. 0333-3575064)</t>
  </si>
  <si>
    <t>FIR No. 507 dt.17/92011 PS: Surjani Town, District: West Karachi</t>
  </si>
  <si>
    <t>Deleted Not a Case of Enforced Disappearances ( As per report of JIT shows that Missing Person had gone on his own)</t>
  </si>
  <si>
    <t>Sheraz Ahmed S/o Arshad Mehmood</t>
  </si>
  <si>
    <t>Raja Zahoor Ahmed Uncle of Missing Person, r/o 2-F/95, Wah Cantt, Permanent Address, Village Shadi Dhamiyal Bearwaliyan, P.O. Molrah Darogha, Tehsil/District Rawalpindi (Mobile No. 0312-5169965, 0333-5169965, Tel No. 051-4610150)</t>
  </si>
  <si>
    <t>FIR No. 811,
 dt. 5/12 2011,
 u/s 365 PPC
 PS: Wah Cantt, Distt.: Rawalpindi</t>
  </si>
  <si>
    <t>HRC No. 14030-P/2012</t>
  </si>
  <si>
    <t>Farooq Ahmad Khan S/o Ahmad Din Khan</t>
  </si>
  <si>
    <t>Mansoor Ahmad Khan B/o Missing Person r/o Mohallah: Tehsil Colony, Tehsil &amp; Post Office: Essa Khel, Distt: Mianwali (Mobile No. 0302-3958329)</t>
  </si>
  <si>
    <t>FIR No.261
 dt: 07/05/2012
 u/s 365 PPC
 PS Lakki Marwat
 Distt: Lakki Marwat</t>
  </si>
  <si>
    <t>Traced Person. Appeared before the Commission on 3.7.12. However, he showed complete ignorance as to who picked him etc.</t>
  </si>
  <si>
    <t>Zahid Akram S/o Allah Bakhsh</t>
  </si>
  <si>
    <t>Muhammad Anwer B/o Missing Person, r/o Mohallah Mehmoodabad, Jila-Jeem, Tehsil Meelsi, district Wehari, Punjab (Mobile No. 0302-4303027)</t>
  </si>
  <si>
    <t>FIR No.106, 
 dt: 4/5/2012
 u/s 365 PPC
 PS Saddar Mailsi
 Distt. Vehari</t>
  </si>
  <si>
    <t>Traced Person. Appeared before the Commission on 28.3.2013. Submitted a statement that he was picked up by one Abdul Sabbar, an employee of ISI.</t>
  </si>
  <si>
    <t>Abdul Rehman S/o Malik Bashir Ahmed</t>
  </si>
  <si>
    <t>Malik Bashir Ahmed F/o Missing Person, r/o Al-Mustafa Town, near Bahawalpur Chowk, Muzafargarh Road Multan, Punjab (Mobile No. 0303-6643027)</t>
  </si>
  <si>
    <t>FIR No. 170
 dt. 27/10/2011, 
 u/s 365 PPC
 PS: Shah Shams, Distt.: Multan</t>
  </si>
  <si>
    <t>Traced Person. Father of picked person confirmed that he has returned to home.</t>
  </si>
  <si>
    <t>Qari Abdul Rehman S/o Hafiz Jamsheed Ahmed</t>
  </si>
  <si>
    <t>Hafiz Jamsheed Ahmed F/o Missing Person, House No. 336, Basti Islampur, near Bahawalpur Chowk, Multan (Mobile No. 0303-6643027)</t>
  </si>
  <si>
    <t>Traced Person. Appeared before the Commission on 21.2.2013. Reluctant to share the episode of his abduction and return.</t>
  </si>
  <si>
    <t>Muhammad Tariq S/o Khadim Hussain</t>
  </si>
  <si>
    <t>Umer Hayat B/o Missing Person, r/o Basti Hajipur, Din-Lub Dariya, P.O. Baand Bosan, Tehsil Multan Saddar, District Multan (Mobile No. 0332-6095195)</t>
  </si>
  <si>
    <t>Traced Person. Confined in the Internment Centre Miran Shah as confirmed by Rep of MI.</t>
  </si>
  <si>
    <t>Abdul Aziz S/o Ghulam Rasool</t>
  </si>
  <si>
    <t>Muhammad Asif S/o Missing Person, r/o Kokar Badhani Paharpur, District Dera Ismail Khan (Mobile No. 0342-9246862)</t>
  </si>
  <si>
    <t>FIR No.237
 dt: 08/05/2012
 u/s 365 PPC
 PS Saddar,
 D. I. Khan</t>
  </si>
  <si>
    <t>Traced Person. SP (Inv) D.I.Khan submitted that Abdul Aziz returned to home and his statement recorded u/s 164 CrPC.</t>
  </si>
  <si>
    <t>Muhammad Irfan S/o Abdul Aziz</t>
  </si>
  <si>
    <t>Muhammad Asif B/o Missing Person, r/o Kokar Badhani Paharpur, District Dera Ismail Khan (Mobile No. 0342-9246862)</t>
  </si>
  <si>
    <t>Traced Person. SP (Inv) D.I.Khan submitted that Muhammad Irfan has returned to home and his statement recorded u/s 164 CrPC.</t>
  </si>
  <si>
    <t>Sultan S/o Nabi Khan</t>
  </si>
  <si>
    <t>Haji Nabi Khan F/o Missing Person, r/o Mangla Road Mir Street Deena, Tehsil &amp; District Jehlum (Mobile No. 0300-5488737)</t>
  </si>
  <si>
    <t>Traced Person. Confined in Adyala Jail, Rawalpindi in case FIR No. 299 dated 29.8.2012 u/s 4/5 ESA, A-ATA PS Kalar Kahar.</t>
  </si>
  <si>
    <t>Asad Hamayoun S/o Hamayoun Khan</t>
  </si>
  <si>
    <t>Mst. Yasmeen Hamayoun Mother of Missing Person, House No. 426-427, Block No. 6, Sector A-II, Town Ship, Lahore (Mobile No. 0321-8977343)</t>
  </si>
  <si>
    <t>FIR No.105
 dt: 03/5/2012
 u/s 365 PPC,PS/Quaid-e-Azam Industrial Estate,Lahore.</t>
  </si>
  <si>
    <t>Deleted. Not the case of Enforced Disappearance. Supreme Court of Pakistan also deleted this case as not a enforced disapperance.</t>
  </si>
  <si>
    <t>Muhammad Aslam S/o Rehmat Deen</t>
  </si>
  <si>
    <t>Mst. Kousar Perveen W/o Missing Person, Village Ikhilas, Tehsil Pindi Ghaip, District Attock (Mobile No. 0300-9100752, 0301-5540450)</t>
  </si>
  <si>
    <t>FIR No.148
 dt: 30/04/2012
 u/s 365 PPC
 PS Pindi Gheb
 Distt: Attock</t>
  </si>
  <si>
    <t>Traced Person. Appeared before the Commission on 6.11.2012 and submitted that he could not reach his notice place as he could not proceed abroad.</t>
  </si>
  <si>
    <t>0673-K</t>
  </si>
  <si>
    <t>Muhammad Adeel s/o Ghulam Sarwar</t>
  </si>
  <si>
    <t>Abdul Wahid B/o Missing Person, r/o Village Dhangri Bala, District &amp; Tehsil Mansehra, KPK (Mobile No. 0322-6223296)</t>
  </si>
  <si>
    <t>FIR No.482
 dt: 7/5/2012
 u/s 365 PPC
 PS City Mansehra</t>
  </si>
  <si>
    <t>Traced Person. He appeared before the Commission on 3.6.2014. However, reluctant to give details of his abduction etc.</t>
  </si>
  <si>
    <t>Fazal Akbar S/o Sub ® Mehmood</t>
  </si>
  <si>
    <t>Mst. Jahan Saba Cousin of Missing Person r/o Barkanjo, Kanjo, Tehsil &amp; Distt, Swat (Mobile No. 0347-9675835)</t>
  </si>
  <si>
    <t>FIR No.89
 dt: 6/10/2012
 u/s 365 PPC
 PS University Campus, Distt. Peshawar</t>
  </si>
  <si>
    <t>Deleted. Due to Other Reasons. Case disposed of vide detailed Findings dated 31.12.2016, not a cse of enforced disappearance.</t>
  </si>
  <si>
    <t>Abrar Ahmed S/o Ibrahim</t>
  </si>
  <si>
    <t>Ibrahim F/o Missing Person, r/o Essa Khail P.O. Mingorah Noklay, Tehsil/ District Swat (Mobile No. 0347-9533069)</t>
  </si>
  <si>
    <t>FIR No.106
 dt: 19/9/2012
 u/s 365 PPC
 PS Bunr, District Swat</t>
  </si>
  <si>
    <t>Under Investigation KP) Swat</t>
  </si>
  <si>
    <t>Danishmand S/o Dolatmand</t>
  </si>
  <si>
    <t>Dolatmand F/o Missing Person, r/o Mohallah ToheedabadKabal, Tehsil &amp; District Swat (Mobile No. 03449653392)</t>
  </si>
  <si>
    <t>15602-0381035-7</t>
  </si>
  <si>
    <t>FIR No.333
 dt: 10/5/2012
 u/s 365 PPC
 PS Takhtbai, District. Mardan</t>
  </si>
  <si>
    <t>Under Investigation Mardan</t>
  </si>
  <si>
    <t>Aziz-ur-Rehman S/o Hayat Gul</t>
  </si>
  <si>
    <t>Mst. Shahzadgi W/o Missing Person, r/o Gulqada No. 2, P.O. Saddo Sharif, Tehsil &amp; District Swat (Mobile No. 0946-710836)</t>
  </si>
  <si>
    <t>FIR No. 1063/2012
 u/s 365 PPC
 PS Mingora, District Swat</t>
  </si>
  <si>
    <t>Imtiaz S/o Ajab Gul</t>
  </si>
  <si>
    <t>Mst. Gul Parwarah S/o Missing Person, r/o Chambu Khail Matni, Tehsil &amp; District Peshawar (Mobile No. 0346-4182946)</t>
  </si>
  <si>
    <t>FIR No.21
 dt: 29/1/2013
 u/s 365 PPC
 PS Laksian District. Sargodha</t>
  </si>
  <si>
    <t>Syed Mukhtar Hussain S/o Syed Abdullah Khan</t>
  </si>
  <si>
    <t>Syed Taimoor Shah B/o Missing Person, House No. 183, Gali No. 1, Sector No. 1, KDA Kohat (Mobile No. 0333-9655299)</t>
  </si>
  <si>
    <t>FIR No.194,
 dt: 09/5/2012
 u/s 365-A PPC
 PS/Matanni, District Peshawar</t>
  </si>
  <si>
    <t>Traced Person. Not a case of enforced disappearance as he was abducted by group of Taliban and remained in their captivily.</t>
  </si>
  <si>
    <t>Muhammad Ali S/o Sheeren</t>
  </si>
  <si>
    <t>Shah Khalid Nephew of Missing Person, r/o Mohallah Malikabad Nangoi, Tehsil Kabal, District Swat (Mobile No. 0333-9480978)</t>
  </si>
  <si>
    <t>FIR No.499,
 dt: 19/9/2012
 u/s 365 PPC
 PS Kanju, District Swat</t>
  </si>
  <si>
    <t>Akbar Khan S/o Shair Zaman Khan</t>
  </si>
  <si>
    <t>Bashir Khan B/o Missing Person, r/o Village Kohi Khan Zadgan, Musa Khail, Mehmand Agency P.O. Lakro, FATA (Mobile No. 0302-7159801, Tel No. 092-4399374)</t>
  </si>
  <si>
    <t>Deleted (Not a Case of Enforced Disappearances) as compensation amounting to Rs. 300,000/- has been pid to father of Akber Khan.</t>
  </si>
  <si>
    <t>Mulana Fazal Mubeen S/o Haji Ahmed</t>
  </si>
  <si>
    <t>Iqbal Saeed Uncle of Missing Person r/o Street/ Mohallah, Qome Dawodzai, Tappa Quresh, P.O Sadha nirtati, Tehsil Farkaran Distt. Kuram Agency (Mobile No. 0302-8874779)</t>
  </si>
  <si>
    <t>Traced Person. Iqbal Saeed s/o Muhammad Saeed submitted that according to his information Maulana Fazal Mobeen was killed by Taliban and buried in Adoya Shum Khey.</t>
  </si>
  <si>
    <t>Waqar Ahmed S/o Shair Muhammad</t>
  </si>
  <si>
    <t>Inam Ullah Khan B/o Missing Person, r/o Mohallah Attaullah, Shami Road Hassan Garhi, P.O. Wapda House, District &amp; tehsil Peshawar (Mobile No. 0342-2118884)</t>
  </si>
  <si>
    <t>FIR No. 401
 dt: 11/05/2012
 u/s 365 PPC
 PS Shaheed Gulfat Hussain, Distt.
 Peshawar</t>
  </si>
  <si>
    <t>Deleted. All stakeholders have denied arrest/custody of Sadaam Hussain. No further action is required. Hence the case is closed.</t>
  </si>
  <si>
    <t>Rehmdad Khan S/o Bash Khan</t>
  </si>
  <si>
    <t>Mst. Bash Khawaja W/o Missing Person, r/o Khona Cham, Chapriyal, Garhi Matta Swat (Mobile No. 0303-5582057)</t>
  </si>
  <si>
    <t>FIR No. 855
 dt: 20/09/2012
 u/s 365 PPC
 PS Matta, District Swat</t>
  </si>
  <si>
    <t>Muhammad Umer S/o Maqsar Khan</t>
  </si>
  <si>
    <t>Farhad Ali B/o Missing Person, Gali/Mohallah Awan, P.O. Nowshera Badarshi, Tehsil &amp; District Nowshera (Mobile No. 0333-9101470)</t>
  </si>
  <si>
    <t>FIR NIL (Place of Occurrence is in Nowshera District)</t>
  </si>
  <si>
    <t>Deleted. Not a case of enforced disapperance as Muhammad Imer was declared absconder by ATC Detailed Findings dated 15.8.13 refer.</t>
  </si>
  <si>
    <t>Zeenat Ullah S/o Ajab Khan</t>
  </si>
  <si>
    <t>Bibi Sara M/o Missing Person, r/o Madina Town, near Industry Area Bannu, KPK (Mobile No. 0332-9331186)</t>
  </si>
  <si>
    <t>FIR No.148
 dt: 11/5/2012
 u/s 365 PPC
 PS Ghauriwala, District. Bannu</t>
  </si>
  <si>
    <t>Ghulam Dastghir S/o Muhammad Ayub</t>
  </si>
  <si>
    <t>Muhammad Ayub F/o Missing Person, r/o Magal Hotel, Nika Pani, Qadirabad Colony, Ajuwalah, P.O. Khas, Tehsil Fateh Jang, District Attock (Mobile No. 0315-9784749, 0345-5515399)</t>
  </si>
  <si>
    <t>Under Investigation (KP) Peshawar</t>
  </si>
  <si>
    <t>Khizar Khan S/o Khanay</t>
  </si>
  <si>
    <t>Jalat Khan B/o Missing Person, r/o Bara'baro Beha, P.O. Beha, Tehsil Matta, District Swat (Mobile No. 0344-9481582)</t>
  </si>
  <si>
    <t>FIR No.174,
 dt: 11/5/2012
 u/s 365 PPC
 PS Omerzai, District. Charsadda</t>
  </si>
  <si>
    <t>Under Investigation Charsadda</t>
  </si>
  <si>
    <t>Haji Murad Khan S/o Haji Sarfraz Khan</t>
  </si>
  <si>
    <t>Haji Sarfraz Khan F/o Missing Person, r/o Village Shakh Kali Khan, P.O. Sara'ay Norang, Tehsil &amp; District Laki Marwat (Mobile No. 0300-9095255, 0344-8989426)</t>
  </si>
  <si>
    <t>FIR No.261
 dt: 19/04/2012
 u/s 347 PPC
 PS Asmat Ullah Shaheed Sarai Naurang, Distt:
 Lakki Marwat</t>
  </si>
  <si>
    <t>Traced Person. Maj. Moeen of MI confirmed that Haji Murad Khan was being shifted to Internment Centre.</t>
  </si>
  <si>
    <t>HRC No.7571-K/ 2012</t>
  </si>
  <si>
    <t>Rahim Ullah S/o Habib Ullah Khan</t>
  </si>
  <si>
    <t>Habib Ullah Khan F/o Missing Person, r/o Sar Sadda, Chakdara, Distt: Dir Lower</t>
  </si>
  <si>
    <t>Traced Person. Maj. Sohail of MI confirmed that Rahim Ullah was being shifted to some Internment Centre.</t>
  </si>
  <si>
    <t>Zahid Ullah S/o Yaqoob Shah</t>
  </si>
  <si>
    <t>Mst. Noor Sanjaan Bibi M/o Missing Person, r/o Orkazai Agency(Hal) Dhal Behzadi, Tehsil &amp; District Kohat (Mobile No. 0336-9528852)</t>
  </si>
  <si>
    <t>FIR No.195
 dt: 08/05/2012
 u/s 347 PPC
 PS Bilitang, Distt:
 Kohat</t>
  </si>
  <si>
    <t>Traced Person statement recorded in which he stated that he had gone to Afghanistan for six months.</t>
  </si>
  <si>
    <t>Umer Deen S/o Alao Deen</t>
  </si>
  <si>
    <t>Siraj Deen B/o Missing Person, r/o Jungle Khail, Mohallah Char Bagh near Spain Masjid, c/o Osama General Store, Tehsil &amp; District Kohat (Mobile No. 0334-8373966)</t>
  </si>
  <si>
    <t>FIR No.367
 dt: 15/05/2012
 u/s 347 PPC
 PS Jungle Khel, 
 Distt: Kohat</t>
  </si>
  <si>
    <t>Traced Person. Confined in the Internment Centre, Lakki Maarwat.</t>
  </si>
  <si>
    <t>Muhammad Rahman S/o Gul Khanan (Late)</t>
  </si>
  <si>
    <t>Mst. Khudeja Bibi M/o Missing Person, r/o Dalazak Road, Momin Town Phase-III, Peshawar (Mobile No. 0300-5669191)</t>
  </si>
  <si>
    <t>Traced Person. Rep of MOD informed that Muhammad Rehman was being interned.</t>
  </si>
  <si>
    <t>Said Wazir S/o Said Amin</t>
  </si>
  <si>
    <t>Mst. Lal Mat Khela M/o Missing Person, r/o Dalazak Road, Momin Town Phase-III, Peshawar (Mobile No. 0315-9777906)</t>
  </si>
  <si>
    <t>Traced Person. Appeared before the Commission on 1.8.2012. Reluctant to furnish details of his abduction.</t>
  </si>
  <si>
    <t>Islam Hussain S/o Syed Shah</t>
  </si>
  <si>
    <t>Syed Shah F/o Missing Person, C/o Lt. Col. (R) Inam-ul-Rahiem TI (Mil) Counsel of Missing Persons, H/No. 427, Sector A, Askari-14, Adiala Road, Rawalpindi (Mobile No. 0322-2998691 &amp; 0316-8818733)</t>
  </si>
  <si>
    <t>FIR No.310
 dt: 16/5/2012
 u/s 365 PPC
 PS Saddar Baironi, District. Rawalpindi</t>
  </si>
  <si>
    <t>Under Investigation Rawalpindi</t>
  </si>
  <si>
    <t>Muhammad Noor S/o Ghaffar Khan</t>
  </si>
  <si>
    <t>Noor Rehman Cousin of Missing Person r/o Ashker Koat, Lali Khel, P.O./Tehsil Makeen, District South Waziristan Agency, FATA (Mobile No. 0345-7750537)</t>
  </si>
  <si>
    <t>FIR No.296
 dt: 06/02/2012
 u/s 365 PPC
 PS Asmat Ullah Shaheed, Sarai Naurang
 Distt: Lakki
 Marwat</t>
  </si>
  <si>
    <t>Traced Person. Returned to home as confirmed by DSP Inayatullah, Lakki Marwat.</t>
  </si>
  <si>
    <t>HRC No. 13992-K/2012</t>
  </si>
  <si>
    <t>Syed Muhammad Azeem S/o Syed Abdul Hadi</t>
  </si>
  <si>
    <t>Syed Abul Hadi F/o Missing Person r/o Village Takhta Band, Saidu Sharif, PO: Angrur Hiray, PS: Rahim Abad, Tehsil: Babuzai, Malakand Division, Distt: Swat (Mobile No. 0312-2047736)</t>
  </si>
  <si>
    <t>Traced Person (Confined in Internment Center, Fizaghat)</t>
  </si>
  <si>
    <t>Muhammad Ibrahim S/o Muhammad Israr</t>
  </si>
  <si>
    <t>Muhammad Ibrahim F/o Missing Person, r/o Chotta Lahore, Tehsil swabi, Peshawar</t>
  </si>
  <si>
    <t>DD Report No.25
 dt: 28/04/2012
 PS Sihala, Distt:
 Islamabad</t>
  </si>
  <si>
    <t>Traced Person. Returned to home and appeared before the Commission on 24.07.2012.</t>
  </si>
  <si>
    <t>Fazal Subhan S/o Muhammad Zar Khan</t>
  </si>
  <si>
    <t>Mst. Gul Saya M/o Missing Person, r/o Village Ambar Banda, Tehsil &amp; District Kohat, KPK (Mobile No. 0332-9161657, 0333-9649365)</t>
  </si>
  <si>
    <t>FIR No.545
 dt: 12/06/2012
 u/s 365 PPC
 PS City, Kohat</t>
  </si>
  <si>
    <t>Traced Person. DPO, Kohat submitted report that Fazal Subhan as proceeded to Dubai. No one appeared on behalf of the complainant.</t>
  </si>
  <si>
    <t>HRC No. 4346-K/2013</t>
  </si>
  <si>
    <t>Rasool Niaz Khan s/o Meer Sahib Khan</t>
  </si>
  <si>
    <t>Roh Niaz Khan S/o Missing Person, r/o Sakhi Peer Killa, Hamesh Khel, Sorangi Adda, Bannu, KPK (Mobile No. 0332-9009793)</t>
  </si>
  <si>
    <t>FIR No. 275
 dt: 23/05/2012
 u/s 365 PPC
 PS Saddar
 Distt: Bannu</t>
  </si>
  <si>
    <t>Traced Person.Confined in the Internemnt Centre, Lakki Maarwat.</t>
  </si>
  <si>
    <t>Muhammad Zaman Afridi s/o Zar Badshaha</t>
  </si>
  <si>
    <t>Syed Jamal Afridi B/o Missing Person, r/o Zargam Khel, Darra Bazar, Darra Adam khel, Tehsil &amp; District Kohat (Mobile No. 0334-9062260)</t>
  </si>
  <si>
    <t>FIR No.256
 dt: 16/03/2005
 u/s 365-A PPC
 PS Badaber,
 Peshawar</t>
  </si>
  <si>
    <t>Deleted. Not a case of Enforced Disappearance as it is a case of kidnapping for ransom.</t>
  </si>
  <si>
    <t>Fareed Khan</t>
  </si>
  <si>
    <t>Muhammad Javed Iqbal Son-in-Law of Missing Person, r/o Office No. 10, Iqbal Plaza, I-9 Markaz, Islamabad (Mobile No. 0300-9562810)</t>
  </si>
  <si>
    <t>DD Entry No.55
 dt: 26/03/2012
 Industrial Area,
 Islamabad</t>
  </si>
  <si>
    <t>Deleted. Not a case of enforced disappearnce. Rather it is a properly dispute and outside the mandate of this Commission.</t>
  </si>
  <si>
    <t>Tahira Fareed</t>
  </si>
  <si>
    <t>Muhammad Javed Iqbal Son-in-Law of Missing Lady, r/o Office No. 10, Iqbal Plaza, I-9 Markaz, Islamabad (Mobile No. 0300-9562810)</t>
  </si>
  <si>
    <t>Farishta Bibi</t>
  </si>
  <si>
    <t>Muhammad Javed Iqbal Husband of Missing Lady, r/o Office No. 10, Iqbal Plaza, I-9 Markaz, Islamabad (Mobile No. 0300-9562810)</t>
  </si>
  <si>
    <t>HRC No. 14598-S/2012</t>
  </si>
  <si>
    <t>Saba Haider Malik</t>
  </si>
  <si>
    <t>Mst. Ajwat Benish W/o Missing Person r/o H # C-104, Block No. 14, Gulistan-e-Johar, Karachi (Mobile No. 0315-7407776)</t>
  </si>
  <si>
    <t>42101-0133907-5</t>
  </si>
  <si>
    <t>Traced Person. The case has been received from Hon’ble Supreme Court of Pakistan (Human Right Cell). The cognizance of issue was taken by this Commission by means of order dated 175.2012 and certain directions were issued to the quarters concerned. Today it has been affirmed that Saba Haider Malik has been recovered against whom a case has been registered by means of FIR bearing No. 213/2012 u/s 13/D Arms Ordnance is PS SIU, Karachi and presently the matter is pending adjudication before the Court of component Jurisdiction.</t>
  </si>
  <si>
    <t>HRC No. 15861-B/2012</t>
  </si>
  <si>
    <t>Mufti Abdul Wahab S/o Molvi Bari Dad</t>
  </si>
  <si>
    <t>Abdul Sattar S/o M. Siddique C/o Abdul Salam Badeni, Chairman Markazai Anjuman Tajiran, Old Customs, Saryab, Quetta (Mobile No. 0300-3821747, 0312-809335)</t>
  </si>
  <si>
    <t>FIR No.55
 dt: 15/05/2012
 u/s 365/147/148/ 149/452 PPC
 PS Shalkot
 Distt: Quetta</t>
  </si>
  <si>
    <t>Traced Person. Returned to home as reported at hearing on 22-06-15 along with statement of his wife Fatima Bibi.</t>
  </si>
  <si>
    <t>HRC No. 15877-B/2012, HRC No. 16087-B/2012</t>
  </si>
  <si>
    <t>Wazir Ahmed S/o Shafi Muhammad</t>
  </si>
  <si>
    <t>Shafi Muhammad F/o Missing Person r/o Maghrabi Zawag, Tehsil: Mashkel Ladgasht, Distt: Washak, Balochistan (Mobile No. 0321-8169192)</t>
  </si>
  <si>
    <t>FIR No.8/2012
 u/s 365/34 PPC
 PS Mashkal,
 Distt: Washuk</t>
  </si>
  <si>
    <t>Traced Person. ADIG (Inv) submitted report at the hearing on 12-04-2013 that Wazir Ahmed has returned to home as confirmed in the affidavit.</t>
  </si>
  <si>
    <t>HRC No. 15684-K/2012</t>
  </si>
  <si>
    <t>Umer Zada S/o Gul Rehman</t>
  </si>
  <si>
    <t>Mst. Rokhana M/o Missing Person r/o Wardag, Tehsil: Matta, Distt: Swat (Mobile No. 0343-9132761)</t>
  </si>
  <si>
    <t>FIR No.262
 dt: 19/9/2012
 u/s 365 PPC
 PS Chuprial
 Distt. Swat</t>
  </si>
  <si>
    <t>Traced Person. Confined in the Internment Centre, Lakki Marwat.</t>
  </si>
  <si>
    <t>Muhammad Yaqoob Khan S/o Abdul Ghani</t>
  </si>
  <si>
    <t>Mr. Younis Khan b/o Missing Person r/o Village: Chashna via Bali Tang Ghanda, Tehsil &amp; Distt: Kohat (Mobile No. 0343-4257865, 03005910533)</t>
  </si>
  <si>
    <t>FIR No.533
 dt: 06/06/2012
 u/s 347 PPC
 PS City, Distt:
 Kohat</t>
  </si>
  <si>
    <t>Traced Person. Appeared before the Commission on 22-10-12. He stated that he had gone to Lasbella for tableegh.</t>
  </si>
  <si>
    <t>HRC No. 15673-K/2012</t>
  </si>
  <si>
    <t>Sahib Zada</t>
  </si>
  <si>
    <t>Mst. Zahida w/o Missing Person r/o Biakand, Tehsil: Matta, Distt: Swat</t>
  </si>
  <si>
    <t>Traced Person. Confined in the Internment Centre Paitham, District Swat.</t>
  </si>
  <si>
    <t>HRC No. 16304-P/2012</t>
  </si>
  <si>
    <t>Amjad Hussain Gohar S/o Barkat Hussain</t>
  </si>
  <si>
    <t>Mst. Naziran Begum W/o Barkat r/o House No. CB-2874, Street No. 2-A, Ghaziabad, Kamalabad, Rawalpindi (Mobile No. 0312-5085197)</t>
  </si>
  <si>
    <t>FIR No.223,
 dt: 1/6/2012,
 u/s 365 PPC
 PS R A Bazaar, Rawalpindi</t>
  </si>
  <si>
    <t>Deleted, Not being a case of enforced disappearance disposed of wide detailed findings dated 26-06-2014.</t>
  </si>
  <si>
    <t>Zar Wali S/o Sher Muhammad</t>
  </si>
  <si>
    <t>Syed Hukam Shah Friend of Missing Person, r/o Mohallah Azad Shah, Deena, Tehsil &amp; District Jehlum (Mobile No. 0300-5412362)</t>
  </si>
  <si>
    <t>FIR No.430
 dt: 30/08/2012
 u/s 4/5 ESA r/w
 7ATA
 PS Wah Cantt.
 Distt: Rawalpindi</t>
  </si>
  <si>
    <t>Traced Person. Linked with case 571. Detained in Adyala Jail, Rawalpindi.</t>
  </si>
  <si>
    <t>Ahmed Bux S/o Ali Nawaz</t>
  </si>
  <si>
    <t>Ali Dino B/o Missing Person, Present Address: CDA Site office, Street No. 99, Sector G-13/I, Islamabad (Mobile No. 0346-5239178), Permanent Address: P.O &amp; Village Mahota Taluka &amp; District Larkano</t>
  </si>
  <si>
    <t>DD Report No. 33,
 dt. 16/2/1999
 PS: Marripur, Karachi</t>
  </si>
  <si>
    <t>Deleted. Ahmed Bux who was a Police Constable disappeared on 17.12.1998 and since then his whereabouts are not known despite best efforts by all concerned. JIT is of the considered opinion that he has gone on his own. The Commission also agrees to this conclusion arrived at all the case is closed.</t>
  </si>
  <si>
    <t>Asadullah s/o Dur Muhammad</t>
  </si>
  <si>
    <t>Syed Ali cousin of Missing Person, r/o Gohus Abad, Muhallah Haji Ghafoor Town, Quetta (Mobile No. 0302-2002454)</t>
  </si>
  <si>
    <t>FIR No. 96/2012
 u/s 365/34 PPC
 PS Satellite Town, Quetta</t>
  </si>
  <si>
    <t>Deleted. As identical case of Asadullah was also deleted by Hon'able Supreme Court of Pakistan.</t>
  </si>
  <si>
    <t>HRC No. 17548-K/2013</t>
  </si>
  <si>
    <t>Fasih Ullah S/o Obaid Ullah</t>
  </si>
  <si>
    <t>Zia Ullah B/o Missing Person, House No. 373/A, Alam Sher, Dera Ismail Khan (Mobile No. 0345-9821713, 0333-9981842)</t>
  </si>
  <si>
    <t>FIR No.394
 dt: 23/6/2012
 u/s 365 PPC
 PS Saddar Barooni Distt. Rawalpindi</t>
  </si>
  <si>
    <t>HRC No. 17253-K/2012</t>
  </si>
  <si>
    <t>Zahid Hussain S/o Zahid Khan</t>
  </si>
  <si>
    <t>Zahid Khan S/o Zarnosh Khan, F/o Missing Person, r/o Mohallah Rekay, Village Badarsti, District Nowshera, KPK</t>
  </si>
  <si>
    <t>FIR No. 412 dt 19/6/2012 u/s 365 PPC, PS Nowshera Cantt. District Nowshera</t>
  </si>
  <si>
    <t>Nowshera</t>
  </si>
  <si>
    <t>Junaid Khan S/o Zahid Khan</t>
  </si>
  <si>
    <t>FIR No. 413 dt 19/6/2012 u/s 365 PPC, PS Nowshera Cantt. District Nowshera</t>
  </si>
  <si>
    <t>HRC No. 17291-S/2012</t>
  </si>
  <si>
    <t>Abdul Ghani S/o Sulleman Soomro</t>
  </si>
  <si>
    <t>Mst. Laila M/o Missing Person, r/o Village Amarnu Taluka Diplo, District Mithi, Sindh (Mobile No. 0342-3057671, Tel No. 0297-723497)</t>
  </si>
  <si>
    <t>FIR No.46
 dt: 14/6/2012
 u/s 365/34 PPC
 PS Tharparkar</t>
  </si>
  <si>
    <t>Traced Person. Addl. IG of Police submitted report that Abdul Ghani is confined in District Jail, Sukkur.</t>
  </si>
  <si>
    <t>Muhammad Asghar S/o Bashir Ahmed</t>
  </si>
  <si>
    <t>Bashir Ahmed F/o Missing Person, R/o Village Munawri Wala, PS Kangan Pur, Tehsil Chownian, District Kasur (Mobile # 0300-5100307, 0306-5257941)</t>
  </si>
  <si>
    <t>FIR No.212
 dt: 05/6/2012
 u/s 365 PPC
 PS/Kanganpur,District Kasur.</t>
  </si>
  <si>
    <t>Traced Person. Convicted through FGCM. Confined in Central Jail, Sahiwal.</t>
  </si>
  <si>
    <t>HRC No. 8941-K/2012</t>
  </si>
  <si>
    <t>Dr. Mir Alam Muree</t>
  </si>
  <si>
    <t>Mr. Shahid Ullah Jan Provincial Coordinator, Human Rights Commission of Pakistan, House No. 188-B/2C, Park Road, University Town, Peshawar (Ph: 091-5853318, 5844253)</t>
  </si>
  <si>
    <t>FIR No.365
 dt: 25/9/2013
 u/s 365/34 PPC
 PS/Bhatai Nagar,District Hyderabad.</t>
  </si>
  <si>
    <t>Traced Person. Dr. Mir Alam Muree and Umer Tiwanu have been recovered as informed by CPO, Sindh Karachi at the hearing on 20.9.2014.</t>
  </si>
  <si>
    <t>Umer Teewano alias Raja Dahar</t>
  </si>
  <si>
    <t>HRC No. 17128-P/2012</t>
  </si>
  <si>
    <t>Muhammad Ashiq S/o Noor Muhammad</t>
  </si>
  <si>
    <t>Mst. Hafeezan Bibi W/o Muhammad Ashiq Caste Khokhar Machi, r/o Village: Hafiz Abad, Mauza Rojhanwali, Distt: Bahawalnagar</t>
  </si>
  <si>
    <t>FIR No.158
 dt: 12/06/2012
 u/s 365 PPC
 PS Ghumandpur, District. Bahawalnagar</t>
  </si>
  <si>
    <t>Under Investigation Bahawalnagar</t>
  </si>
  <si>
    <t>Bahawalnagar</t>
  </si>
  <si>
    <t>Zafar Iqbal S/o Fateh Khan</t>
  </si>
  <si>
    <t>Tauseef Hassan s/o Missing Person r/o 27 F-541, POF, Gadwal, Wah Cantt, Rawalpindi (Mobile No. 0314-5569960)</t>
  </si>
  <si>
    <t>FIR No.228
 dt: 16/05/2012
 u/s 365 PPC
 PS Wah Cantt.
 District: Rawalpindi</t>
  </si>
  <si>
    <t>Traced Person. Rep of MI informed at the hearing on 20-09-12 that a case has been registered under Arms Act against him.</t>
  </si>
  <si>
    <t>Hafiz Abdul Qayyum S/o Allah Bakhsh</t>
  </si>
  <si>
    <t>yed</t>
  </si>
  <si>
    <t>FIR No.1131,
 dt: 27/11/2011
 u/s 365 PPC
 PS Sabzazar, District. Lahore</t>
  </si>
  <si>
    <t>Traced Person. Dead body recovered. Murder case registered vide FIR No: 1131/2011 dated 27.11.11 u/s 365/3025 PPC at PS Sabzazar, Lahore.</t>
  </si>
  <si>
    <t>Ashiq Hussain S/o Altaf Hussain</t>
  </si>
  <si>
    <t>Bilal Hussain B/o Missing Person, r/o Beron Dehli Gate, House No. 829/6, Muhallah Jandy Shah Mazar, Multan (Mobile No. 0300-6334611)</t>
  </si>
  <si>
    <t>FIR No.158
 dt: 12/06/2012
 u/s 365 PPC
 PS Ghumandpur
 Distt: Bahawalnagar</t>
  </si>
  <si>
    <t>Traced Person. Appeared before the Commission on 24.09.2012 and his statement was recored on oath.</t>
  </si>
  <si>
    <t>Khawaja Ejaz Mehmood S/o Khawaja Ghulam Mohi-ud-Din</t>
  </si>
  <si>
    <t>Khawaja Sultan Mehmood B/o Missing Person, House No. 1773-D, Gali/Muhallah Hosharpuri Dildar Chowk, Ghulam Muhammadabad, Faisalabad (Mobile No. 0300-9191147)</t>
  </si>
  <si>
    <t>FIR No. 59, dt. 12 May, 2012 PS: Ghulam Muhammadabad, Faisalabad</t>
  </si>
  <si>
    <t>Traced Person. Confined in the Internment Center Lakki Marwat.</t>
  </si>
  <si>
    <t>Ehsan Ullah S/o Taous Khan(Late)</t>
  </si>
  <si>
    <t>Ibrahim Cousin of Missing Person Ehsan Ullah, r/o Village Thanda Mira, Police Line, Tehsil/District Abbotabad (Mobile No. 0300-5612663)</t>
  </si>
  <si>
    <t>FIR No.300
 dt: 26/6/2012
 u/s 365 PPC
 PS City, District. Abbottabad</t>
  </si>
  <si>
    <t>Traced Person. Confined in Internment Centre, Paitham District Swat.</t>
  </si>
  <si>
    <t>Usman S/o Mir Azam Khan</t>
  </si>
  <si>
    <t>Niaz Ameen Khan B/o Missing Person, r/o Village Chira Galli, PO B-Bior, Tehsil/District Upper Dir (Mobile No. 0321-9393819, 0322-9066451)</t>
  </si>
  <si>
    <t>FIR No.207
 dt: 26/06/2012
 u/s 365 PPC
 PS Gandigar
 District: Dir Upper</t>
  </si>
  <si>
    <t>Fazal Rehman S/o Hamza Khan</t>
  </si>
  <si>
    <t>Anwar Badshah neighbour of Missing Person, r/o Village Kharkanai, PO Zeemdarah, Tehsil Lal Qilah, District Dir, KPK (Mobile No. 0945-609736, 0302-3518891)</t>
  </si>
  <si>
    <t>FIR No.81
 dt: 22/6/2012
 u/s 365 PPC
 PS Zaim Darrah
 District. Dir Lower</t>
  </si>
  <si>
    <t>Aziz Ullah s/o Gull Rehman</t>
  </si>
  <si>
    <t>Abdul Rehman b/o Missing Person, r/o Village Thanda Mira, Police Line, Tehsil/ District Abbotabad (Mobile No. 0343-9832562)</t>
  </si>
  <si>
    <t>FIR No.323
 dt: 26/6/2012
 u/s 365 PPC
 PS City Abbottabad</t>
  </si>
  <si>
    <t>Zahid Ullah S/o Munawar Khan</t>
  </si>
  <si>
    <t>Mujahid Shah Cousin of Missing Person, r/o Village Woch Bazar, PO Hangu, Tehsil/District Hangu (Mobile No. 0345-9642443, 0333-9655409)</t>
  </si>
  <si>
    <t>Traced Person. Confined in the Internment Centre, Paitham, District Swat.</t>
  </si>
  <si>
    <t>Zakir Ullah S/o Abdul Rehman</t>
  </si>
  <si>
    <t>Irfan Ullah B/o Missing Person, r/o Mohallah Shawil Khail, PO Pahari Kai Khail, Tehsil/District Nowshera (Mobile No. 0332- 5865218, Tel No. 0923-219694)</t>
  </si>
  <si>
    <t>FIR No.365 dt.25/9/2013 u/s 365/34 PPC, PS/Bhatainagar,District Hyderabad.</t>
  </si>
  <si>
    <t>Nauroz Khan S/o Muhammad Roz Khan</t>
  </si>
  <si>
    <t>Muhammad Roz Khan f/o Missing Person, r/o Kambar, PO Kambar, Tehsil Lal Qilah, District Lower Dir (Mobile No. 0305-9522994, 0306-8522319)</t>
  </si>
  <si>
    <t>FIR No.313
 dt: 22/6/2012
 u/s 365 PPC
 PS Lal Qilah, District. Dir Lower</t>
  </si>
  <si>
    <t>Masood Bacha S/o Jahan Badshah</t>
  </si>
  <si>
    <t>Anwar Badshah B/o Missing Person, r/o Village Dedan Purah, PO Zeemdarah, Tehsil Lal Qilah, District Lower Dir (Mobile No. 0302-3518891 &amp; 0306-8536291 &amp; 0344-9595510 , Tel No. 0945-609736)</t>
  </si>
  <si>
    <t>15302-0894810-5</t>
  </si>
  <si>
    <t>FIR No.80
 dt: 22/6/2012
 u/s 365 PPC
 PS ZaimDarra, District. Dir Lower</t>
  </si>
  <si>
    <t>Muhammad Waqas S/o Muhammad Younus</t>
  </si>
  <si>
    <t>Muhammad Farooq B/o Missing Person, r/o 16-E, 734 Aslam Market, New Muslimabad, near Sui Mor Post Office Askari Cement Factory, Wah Cantt, Rawapindi (Mobile No. 0334-5021520)</t>
  </si>
  <si>
    <t>FIR No. 446
 dt. 29/06/2010
 PS: Wah Cantt, Rawalpindi</t>
  </si>
  <si>
    <t>Traced Person. He appeared before the Commission and stated that he had some on his own.</t>
  </si>
  <si>
    <t>Shahid Akbar S/o Abdul Qayyum</t>
  </si>
  <si>
    <t>Abdul Qayyum F/o Missing Person, r/o Bara Agency, Khyber Agency (Mobile No. 0333-9198018 &amp; 0307-5991987).</t>
  </si>
  <si>
    <t>FIR No.826
 dt: 13/09/2012
 u/s 365 PPC
 PS Pishtakhara, Peshawar</t>
  </si>
  <si>
    <t>Gideen S/o Baaz Muhammad</t>
  </si>
  <si>
    <t>Baaz Muhammad F/o Missing Person, r/o House No. 626, Milt Town, Mleer Balt Survey 208 Karachi, PO Rafa-e-Aam,Tehsil/District Karachi Sharqi (Mobile No. 0342-2462521, 0322-5084163)</t>
  </si>
  <si>
    <t>FIR No.219
 dt: 18/6/2012
 u/s 365 PPC
 PS/Karor Lal Eisan,District Layyah</t>
  </si>
  <si>
    <t>Traced Person. Confined in Central Jail, D.I.Khan. Reported from SSP, Layyah is on record.</t>
  </si>
  <si>
    <t>Shoukat Ali S/o Ali Rehman</t>
  </si>
  <si>
    <t>Naimat Ali B/o Missing Person, r/o Mohallah Ghalikhail, Kozah Bandai, Tehsil/District Swat (Mobile No. 0333-9498943)</t>
  </si>
  <si>
    <t>FIR No.622
 dt: 23/06/2012
 u/s 365 PPC
 PS Harbanspura
 District Lahore</t>
  </si>
  <si>
    <t>Traced Person. Dead Body recovered from the limits of PS Pabbi District Nowshara on 4.4.2012. A case u/s 302 PPC has been registered.</t>
  </si>
  <si>
    <t>Muhammad Arif Khan S/o Sain Chan</t>
  </si>
  <si>
    <t>Sian Chan F/o Missing Person, r/o Muslim Colony 38-D, Noorpur Shah, PO Khaas, Tehsil/District Islamabad. (MObile No. 0322-5821753 &amp; 0321-5773878)</t>
  </si>
  <si>
    <t>FIR No;.387
 dt: 18/9/2012
 u/s 365 PPC
 PS City Attock</t>
  </si>
  <si>
    <t>Under Investigation Attock</t>
  </si>
  <si>
    <t>Muhammad Ajmal S/o Ashiq Ali</t>
  </si>
  <si>
    <t>Ashiq Ali F/o Missing Person, r/o Bahawalpur Road near Bipass Chowk, Ramkali PO/District Multan (Mobile No. 0303-6913936)</t>
  </si>
  <si>
    <t>FIR No.334
 dt: 24/6/2012
 u/s 365 PPC
 PS Mumtazabad, District. Multan</t>
  </si>
  <si>
    <t>Traced Person. Father of Muhammad Ajmal confirmed at the hearing on 21.02.13 that the latter has returned to home.</t>
  </si>
  <si>
    <t>Kaleem Ullah S/o Rana Muhammad Ayub</t>
  </si>
  <si>
    <t>Rana Muhammad Ayub F/o Missing Person, r/o Ramkali PO Khaas, Tehsil Multan Saddar, District Multan (Mobile No. 0341-6963415)</t>
  </si>
  <si>
    <t>FIR No.333
 dt: 24/6/2012
 u/s 365 PPC
 PS Mumtazabad
 Distt. Multan</t>
  </si>
  <si>
    <t>Traced Person. Returned to home and confirmed by Rana Muhammad Ayub F/o Kaleem Ullah.</t>
  </si>
  <si>
    <t>Abdul Haleem S/o Muhammad Umer</t>
  </si>
  <si>
    <t>Mst. Bibi Zohra Grand Mother of Missing Person, r/o Muhallah Gull Qadda No. 2, PO Saddo Shareef Mingora, Tehsil/District Swat (Tel No. 0946-71836)</t>
  </si>
  <si>
    <t>FIR No.509
 dt: 19/09/2012
 u/s 365/34 PPC
 PS Tor Gul Saidu Sharif, Swat</t>
  </si>
  <si>
    <t>Riaz Ahmed S/o Muhammad Sultan</t>
  </si>
  <si>
    <t>Mst. Riffat Sultana w/o Missing Person, r/o Jamia Khadija-tul-Kubra, Moza Koat Jhlar, PO Koat Islam, Tehsil Kabir Wala, District Khanewal (Mobile No. 0334-7749621)</t>
  </si>
  <si>
    <t>FIR No.510 dt.17/06/2012 u/s 365 PPC PS Kotwali District Jhang</t>
  </si>
  <si>
    <t>Traced Person. Confined in the Internment Centre, Kohat.</t>
  </si>
  <si>
    <t>Tariq Mehmood S/o Jafar Ali</t>
  </si>
  <si>
    <t>Awais Tariq S/o Tariq Mehmood r/o Gali No. 5, Muhallah Dhok Gujran, Misriyal Road, Officer Colony, Rawalpindi Cantt, Tehsil/District Rawalpindi (Mobile No. 0300-5202240, 0345-5931913, 0344-6024226)</t>
  </si>
  <si>
    <t>FIR No.298
 dt: 1/7/2012
 u/s 365 PPC
 PS Westridge
 Distt. Rawalpindi</t>
  </si>
  <si>
    <t>Deleted. Not a case of Enforced Disappearance. No evidence to report that it is a case of enforced disappearence. JIT and PTF also affirmed at the same conclusion.</t>
  </si>
  <si>
    <t>Muhammad Umer Khan S/o Amin Khan</t>
  </si>
  <si>
    <t>Yousaf Khan b/o Missing Person, r/o Shober Qamber Khel, Windkry, Nogzi Baba, PO/Tehsil Bara, District Khyber Agency (Mobile No. 0344-9859454)</t>
  </si>
  <si>
    <t>FIR No.413
 dt: 10/7/2012
 u/s 365 PPC
 PS Tehkal, District Peshawar</t>
  </si>
  <si>
    <t>Abdul Salam S/o Khyal Ajab Khan</t>
  </si>
  <si>
    <t>Khyal Ajab Khan f/o Missing Person, r/o Muhallah Umerabad, Tehsil/District Hangu (Mobile No. 0333-5017353)</t>
  </si>
  <si>
    <t>14101-3735546-9</t>
  </si>
  <si>
    <t>FIR No. 311, dt. 14/4/202009, u/s 365/368/109/34 PPC, PS: Hangu, District: Hangu</t>
  </si>
  <si>
    <t>Haq Nawaz S/o Abdul Sattar</t>
  </si>
  <si>
    <t>Dawood Khan B/o Missing Person, r/o Muhallah Afridi, Garhi GT Road, Gul Bahar No. 5, Peshawar (Mobile No. 0313-9924911)</t>
  </si>
  <si>
    <t>FIR No.474
 dt: 10/7/2012
 u/s 365 PPC
 PS Gulbahar, Distt. Peshawar</t>
  </si>
  <si>
    <t>Deleted not being case of enforced disappearence. Detailed findings dated 02.06.2015 refer.</t>
  </si>
  <si>
    <t>Rehmda Khan S/o Ahmed Khan</t>
  </si>
  <si>
    <t>Imran B/o Missing Person, r/o Muhallah Gulshanabad, Batkhaila, Tehsil Batkhaila, District Malakand (Mobile No. 0346-9719725, 0346-9451695)</t>
  </si>
  <si>
    <t>FIR No.7,
 dt: 26/6/2012
 u/s 365/148/149 PPC
 PS Levy Post Malakand.</t>
  </si>
  <si>
    <t>Abdul Kabeer S/o Allah Rakha</t>
  </si>
  <si>
    <t>Ahmed Ali b/o Missing Person, r/o Gali No. 3, Muhallah Zafarabad, Kehror Paka, District Lodhran (Mobile No. 0302-6851991, 0303-6463165)</t>
  </si>
  <si>
    <t>FIR No.292
 dt: 19/6/2012
 u/s 365 PPC
 PS Saddar, District Bahawalpur</t>
  </si>
  <si>
    <t>Traced Person. Abdul Kabeer is confined in Internment Centre, Lakki Marwat.</t>
  </si>
  <si>
    <t>Azmat Hussain S/o Muhammad Altaf</t>
  </si>
  <si>
    <t>Abdul Rauf B/o Missing Person, r/o Village Misiari, Muhallah Pangaan, PO Murree, Tehsil Murree, District Rawalpindi (Mobile No. 0322-5177146)</t>
  </si>
  <si>
    <t>FIR No.141 dt.08/06/2010 u/s 365 PPC PS Latifabad Airport,Hyderabad</t>
  </si>
  <si>
    <t>Deleted. Inspector Asad Channa from Hyderabad appeared before the Commission. He has submitted report. The complainant was supposed to send letter for withdrawal of the case as it seems they have compromised the matter. Accordingly this is not a case of enforced disappearance and matter is filed.</t>
  </si>
  <si>
    <t>HRC No. 18065-K/2012</t>
  </si>
  <si>
    <t>Bismillah Jan S/o Muhammad Deen</t>
  </si>
  <si>
    <t>Muhammad Deen S/o Muhammad Azam F/o Missing Person r/o Kharmato Dhoda Road, Dheri Banda, Kohat (Mobile No. 0334-8270115, 0333-9619143)</t>
  </si>
  <si>
    <t>FIR No.246
 dt: 15/6/2012
 u/s 365 PPC
 PS Bilitang, Distt. Kohat</t>
  </si>
  <si>
    <t>HRC No. 18462-K/2012</t>
  </si>
  <si>
    <t>Shaukat Hayat S/o Amir Hassan Khan</t>
  </si>
  <si>
    <t>Mst. Sadaqat Bibi W/o Shaukat Hayat r/o Canal Town, Street No. 6, Flat No. 64, Peshawar (Mobile No. 0332-5658907)</t>
  </si>
  <si>
    <t>FIR No.706
 dt: 10/07/2012
 u/s 365 PPC
 PS Paharipura,
 Peshawar</t>
  </si>
  <si>
    <t>Traced Person. Rep of FC KP confirmed that a case has registered against Shaukat Hayat who is confined in Jail Salop.</t>
  </si>
  <si>
    <t>0753-P</t>
  </si>
  <si>
    <t>Rizwan Kafeel S/o Kafeel Ahmed</t>
  </si>
  <si>
    <t>Kafeel Ahmed F/o Missing Person, r/o CB-2386, Bahadur Khan Road, Itfaq Town, Rawalpindi Cantt. (Mobile No. 0300-9880961)</t>
  </si>
  <si>
    <t>FIR No.320
 dt: 23/5/2012
 u/s 365 PPC
 PS Saddar, Distt. Sialkot</t>
  </si>
  <si>
    <t>Under Investigation Sialkot</t>
  </si>
  <si>
    <t>Waqas Ahmed S/o Abdul Sattar</t>
  </si>
  <si>
    <t>Abdul Sattar F/o Missing Person, r/o Chak No. 104 Shumali, Tehsil/District Sargodha (Mobile No. 0342-7575104, Tel No. 0483-783136)</t>
  </si>
  <si>
    <t>FIR No.168
 dt: 20/07/2012
 u/s 302 PPC
 PS Kundian
 Dist: Mianwali</t>
  </si>
  <si>
    <t>Traced Person. Dead Body Waqas Ahmed was recovered on 20.7.2012 in the limits of PS Kundian at a case vide FIR 168 dt 20.7.12 registered u.s 302 PPC, PS Kundian, District Mianwali.</t>
  </si>
  <si>
    <t>Pervaiz Khan S/o Zahoor Rehman</t>
  </si>
  <si>
    <t>Zahoor Rehman f/o Missing Person, r/o Sanjlian Dhamnor, Tehsil/District Abbotabad (Mobile No. 0344-9581950)</t>
  </si>
  <si>
    <t>FIR No.338
 dt: 8/2/2012
 u/s 365 PPC
 PS Nawan Shehar Distt. Abbottabad</t>
  </si>
  <si>
    <t>Uzair Ahmed S/o Zahid Hussain</t>
  </si>
  <si>
    <t>Riasat Mehmood Uncle of Missing Person, r/o Dhok Khan, New Murree, PO Galdara Gali, Tehsil Murree, District Rawalpindi (Mobile No. 0321-5846690)</t>
  </si>
  <si>
    <t>FIR No.176
 dt: 09/05/2012
 u/s 365 PPC
 PS Murree,
 Distt: Rawalpindi</t>
  </si>
  <si>
    <t>Traced Person. Appeared before the Commission on 20.9.12 could not furnish details about his abduction for obvious reaons.</t>
  </si>
  <si>
    <t>Raidullah S/o Laiq Shah</t>
  </si>
  <si>
    <t>Rehman Ullah Khan b/o Missing Person, r/o Basti Bark Zai, PO Nord, Tehsil/District Bannu (Mobile No. 0345-9795292)</t>
  </si>
  <si>
    <t>FIR No.218
 dt: 10/07/2012
 u/s 365 PPC
 PS Tarnab
 Distt: Charsadda</t>
  </si>
  <si>
    <t>Traced Person. Returned to home as verified by his brother Rehmanullah by means of mobile No.0332-9747102.</t>
  </si>
  <si>
    <t>Hameed Ullah S/o Azeem Khan</t>
  </si>
  <si>
    <t>Azeem Khan f/o Missing Person, r/o Shahqis Chowk, F-7, Peshawar (Mobile No. 0300-9348251)</t>
  </si>
  <si>
    <t>FIR No.592
 dt: 10/7/2012
 u/s 365 PPC
 PS Shaheed Gulfat Hussain, Distt. Peshawar</t>
  </si>
  <si>
    <t>Deleted on receipt of information from DHR. The case has already been disposed of vide I.O dated 29.06.15.</t>
  </si>
  <si>
    <t>Muhammad Khan S/o Gulab Syed</t>
  </si>
  <si>
    <t>Gulab Syed f/o Missing Person, r/o Jahangeerabad PO Jhandi, Tehsil Takht Bai, District Mardan (Mobile No. 0313-9952612)</t>
  </si>
  <si>
    <t>FIR No717
 dt: 30/10/2012
 u/s 365 PPC
 PS Takhtbai, Distt. Mardan</t>
  </si>
  <si>
    <t>Traced Person. Confined in the Internment Centre, Lakki Marwat/Kohat.</t>
  </si>
  <si>
    <t>Rashid Muhstaq S/o Muhammad Mushtaq</t>
  </si>
  <si>
    <t>Muhammad Mushtaq f/o Missing Person, r/o Dhamial Camp, Chakri Road near Zafar Plaza, Rawalpindi (Mobile No. 0342-5626745)</t>
  </si>
  <si>
    <t>FIR No.472
 dt: 10/11/2007
 u/s 365 PPC
 PS Saddar Baironi, Distt. Rawalpindi</t>
  </si>
  <si>
    <t>Deleted. Not a case of Enforced Disappearance, rather some provided person have been accused in the FIR.</t>
  </si>
  <si>
    <t>Fazal Subhan S/o Sodagar</t>
  </si>
  <si>
    <t>Syed Razaq B/o Missing Person, Roniyal, PO Senchar, Tehsil: Matta, Distt: Swat (Mobile No. 0301-8575210)</t>
  </si>
  <si>
    <t>FIR No.387
 dt: 10/7/2012
 u/s 365 PPC
 PS Sardheri, District Charsadda</t>
  </si>
  <si>
    <t>Under Investigation Charssada</t>
  </si>
  <si>
    <t>Muhammad Mubashir S/o Muhammad Khursheed</t>
  </si>
  <si>
    <t>Muhammad Khursheed f/o Missing Person, r/o Khaas Roper Kalan, Tehsil/District Rawalpindi (Mobile No. 0322-7197578)</t>
  </si>
  <si>
    <t>FIR No.485,
 dt: 19/10/2012
 u/s 365 PPC
 PS Ratta Amral, Distt. Rawalpindi</t>
  </si>
  <si>
    <t>Traced Person. CPO Rawalpindi submitted a report that Muhammad Mubashir has gone to Karachi.</t>
  </si>
  <si>
    <t>HRC No. 9880-P/2013</t>
  </si>
  <si>
    <t>Muhammad Farhaj Waheed Butt S/o Muhammad Waheed Butt</t>
  </si>
  <si>
    <t>Ehsan Siddique b/o Missing Person, r/o House No. A-24, Muhallah Hassan Town, Multan Road, Lahore (Mobile No. 0332-4388071)</t>
  </si>
  <si>
    <t>Traced Person. Arrested in case FIR No 687/2008 u/s 365-A, PPC, 7ATA PS. Faizal Town, Lahore as reported by DIG (Inv) Lahore.</t>
  </si>
  <si>
    <t>Ghayoor Iqbal S/o Muhammad Abdullah</t>
  </si>
  <si>
    <t>Muhammad Abdullah f/o Missing Person, r/o Civil Hospital Colony Sargodha, Opposite to Madni Masjid Tablighi Markaz, Sargodha (mobile No. 0300-9540309)</t>
  </si>
  <si>
    <t>FIR No. 89, dt. 16/04/2012 PS: Factory Area, District: Sargodha</t>
  </si>
  <si>
    <t>Traced Person. Returned to home as confirmed by his relative.</t>
  </si>
  <si>
    <t>Abdul Basit s/o Allah Bakhsh</t>
  </si>
  <si>
    <t>Muhammad Hussain b/o Missing Person, Basti Sialkot, PO Garhi Mharaja, Tehsil Ahmed Pur Sial, District Jhang (Mobile No. 0342-7492816)</t>
  </si>
  <si>
    <t>FIR No.284
 dt: 19/06/2012
 u/s 365 PPC
 PS Garh Maharaja
 Distt: Jhang</t>
  </si>
  <si>
    <t>Traced Person. Appeared before the Commission himself, however could not share Details.</t>
  </si>
  <si>
    <t>Allah Ditta s/o Ghulam Haider</t>
  </si>
  <si>
    <t>Traced Person. Returned to home but could not give details about his abduction.</t>
  </si>
  <si>
    <t>Iraq Khattak S/o Rehman Gul</t>
  </si>
  <si>
    <t>Mst. Shazia Khattak w/o Missing Person, r/o Muhallah Pathan Khaiabad, Tehsil/ District Nowshera (Mobile No. 0313-6103049).</t>
  </si>
  <si>
    <t>FIR No. 431 dt. 27/6/2012 u/s 365 PPC, PS Nowshera Cantt. District Nowshera</t>
  </si>
  <si>
    <t>Habibullah S/o Fateh Gul</t>
  </si>
  <si>
    <t>Atta Ullah B/o Missing Person, r/o Zarristan Colony, Mardan (Mobile No. 0301-5662562, 0303-8955730)</t>
  </si>
  <si>
    <t>16101-1281884-1</t>
  </si>
  <si>
    <t>Fir No. 738, Dated 26.6.12, u/s 365PPC, P.S City Mardan, Mardan</t>
  </si>
  <si>
    <t>Ikramullah S/o Muhammad Ajmal Khan (Late)</t>
  </si>
  <si>
    <t>Irfan Ullah B/o Missing Person Ikram Ullah, r/o Village Adamzai PO Tajori, District/Tehsil Lakki Marwat, KPK (Mobile No. 0313-9150999)</t>
  </si>
  <si>
    <t>Traced Person. Brother of Ikramullah confirmed that he has met him in Tank.</t>
  </si>
  <si>
    <t>0770-K</t>
  </si>
  <si>
    <t>Muhammad Irshad S/o Muhammad Ishaq</t>
  </si>
  <si>
    <t>Muhammad Yaqoob b/o Missing Person, r/o Village Aamangarh, Muhallah Gujran, PO Paper Mill, Tehsil/District Nowshera (Mobile No. 0346-5667855, 0313-9288081).</t>
  </si>
  <si>
    <t>Fir No. 234, dated 21.8.19, u/s 365 PPC, P.S City, Mardan</t>
  </si>
  <si>
    <t>0771/0481</t>
  </si>
  <si>
    <t>Mulazim Hussain S/o Muhammad Azam</t>
  </si>
  <si>
    <t>Muhammad Azam f/o Missing Person, r/o Tehsil Darya Khan, PO Darya Khan, District Bhakkar (Mobile No. 0347-5536536)</t>
  </si>
  <si>
    <t>FIR No.247
 dt: 18/7/2012
 u/s 365 PPC
 PS: Proa, Distt. D.I. Khan</t>
  </si>
  <si>
    <t>Traced Person. Rep of MI reported that he is confined in Internment Centre, Lakki Marwat.</t>
  </si>
  <si>
    <t>Ch. Nizakat Ali S/o Abdul Rasheed</t>
  </si>
  <si>
    <t>Meer Afsar Uncle of Missing Person, r/o Chand Harah, PO Domail, Tehsil/District Muzaffarabad (Mobile No. 0346-5340038)</t>
  </si>
  <si>
    <t>FIR No.55,
 dt: 21/6/2012
 u/s 364 APC
 PS Civil Secretariat Muzaffarabad, AJ&amp;K</t>
  </si>
  <si>
    <t>Deleted not being a case of enforced disappearence. Detailed findings dated 26.05.16 refer.</t>
  </si>
  <si>
    <t>Sajid Hussain S/o Muhammad Mustafa</t>
  </si>
  <si>
    <t>Mst. Fahmeeda Bibi M/o Missing Person, r/o Hawaldar Wali Rajput near Hafia Chowk, Tibba Baddar Sher, Bahawalpur (Mobile No. 0303-6630014)</t>
  </si>
  <si>
    <t>FIR No.518
 dt: 19/06/2012
 u/s 365 PPC
 PS Baghdad-ul-
 Jadeed, Distt:
 Bahawalpur</t>
  </si>
  <si>
    <t>Majid Hussain S/o Muhammad Mustafa</t>
  </si>
  <si>
    <t>Hafiz Abid Hussain S/o Muhammad Mustafa</t>
  </si>
  <si>
    <t>FIR NIL (Place of Occurrence is Karachi</t>
  </si>
  <si>
    <t>Traced Person. Confined in Central Jail, Karachi and has been court of jurisdiction.</t>
  </si>
  <si>
    <t>Umer Hayat S/o Umer Zada</t>
  </si>
  <si>
    <t>Umer Zada f/o Missing Person, r/o Baro Ganay, Taro Gay, PO Kwahza Khilah, District Swat (Mobile No. 0346-9414881)</t>
  </si>
  <si>
    <t>FIR No.116
 dt: 16/06/2012
 u/s 365 PPC
 PS Choha Saidan Shah, Distt. Chakwal</t>
  </si>
  <si>
    <t>Under Investigation Chakwal</t>
  </si>
  <si>
    <t>Umer Bakht S/o Umer Zada</t>
  </si>
  <si>
    <t>Muhammad Raheem S/o Muhammad Rehman</t>
  </si>
  <si>
    <t>Fazal Hakeem Uncle of Missing Person, r/o Bara Batta Til, Village Mullan, Khyber Agency (Mobile No. 0313-55364050)</t>
  </si>
  <si>
    <t>FIR No.225
 dt: 27/6/2012
 u/s 365 PPC
 PS East Cantt. Peshawar</t>
  </si>
  <si>
    <t>Bazeer S/o Abdul Baseer</t>
  </si>
  <si>
    <t>Muhammad Nazir b/o Missing Person, r/o Mashwano, PO Bagh, Tehsil LalQilah, District Lower Dir (Mobile No. 0301-8183954)</t>
  </si>
  <si>
    <t>FIR No.310
 dt: 20/6/2012
 u/s 365 PPC
 PS Lal Qillah, District Dir Lower</t>
  </si>
  <si>
    <t>Muhammad Nawaz S/o Khuda Bakhsh</t>
  </si>
  <si>
    <t>Khuda Bakhsh f/o Missing Person, r/o Chahtan Warianwala, PO Goharwala, Tehsil Mankeera, district Bhakkar (Mobile No. 0343-8708685, 0346-7779134)</t>
  </si>
  <si>
    <t>Traced Person. Muhammad Nawaz drowned in river, while taking bath. Father of Muhammad Nawaz showed satisfied.</t>
  </si>
  <si>
    <t>Nadeem S/o Siraj</t>
  </si>
  <si>
    <t>FIR No.100
 dt: 24/1/2012
 u/s 365 PPC
 PS Kanju, Swat</t>
  </si>
  <si>
    <t>Qari Ishaq S/o Akhtar Gul</t>
  </si>
  <si>
    <t>Qad Ayaz S/o Shah Fiyaz, r/o Kotka Meera Mast, PO Ismail Khani, Tehsil &amp; District Bannu (Mobile No. 0332-9732686)</t>
  </si>
  <si>
    <t>FIR No.307
 dt: 20/07/2012
 u/s 365 PPC
 PS Cantt. Distt.
 Bannu</t>
  </si>
  <si>
    <t>Traced Person. Statement of Qari Ishaq recorded u/s 164 CrPC. He categorically, stated that he was neither abducted nor kept in custody.</t>
  </si>
  <si>
    <t>Baseem Ullah Jan S/o Gul Jan</t>
  </si>
  <si>
    <t>Kheva Jan S/o Gul Jan, r/o Toot Dhand, Khyber Agency, District Peshawar, KPK (Mobile No. 0302-5996047, 0303-8434683)</t>
  </si>
  <si>
    <t>Traced Person. Cognizance of the issue was taken by this Commission. It has been affirmed that Baseem Ullah Jan has been recovered. It has been confirmed by Mr. Ejaz Ali Khawaja, SHO PS Sher Shah. No further action is required to be taken. The name of Baseem Ullah Jan be deleted from the list of enforced disappeared persons.</t>
  </si>
  <si>
    <t>Arshad Khan s/o Dost Muhammad</t>
  </si>
  <si>
    <t>Dost Muhammad f/o Missing Person, r/o Qamber Khel, Bara Khyber Agency (Mobile No. 0300-5897519)</t>
  </si>
  <si>
    <t>FIR No.273
 dt: 10/7/2012
 u/s 365 PPC PS City,Attock</t>
  </si>
  <si>
    <t>Abdul Khaliq S/o Abdul Razaq</t>
  </si>
  <si>
    <t>Abdul Razaq f/o Missing Person, r/o Noor Baar Dawood Shah, PO Peepal Bazar, Tehsil &amp; District Bannu (Mobile No. 0336-9605297)</t>
  </si>
  <si>
    <t>FIR No. 308
 dt: 20/7/2012
 u/s 365 PPC
 PS Cantt. Distt. Bannu</t>
  </si>
  <si>
    <t>Deleted (Not a case of Enforced Disappearance)</t>
  </si>
  <si>
    <t>HRC No. 20014-K/2012</t>
  </si>
  <si>
    <t>Muhammad Ayaz S/o Muhammad Sher Khan</t>
  </si>
  <si>
    <t>Ghulam Dawood Khan S/o Muhammad Sher Khan r/o Gareera Bahar, Fazal Shah Meta Khel, PO Meta Khel, Tehsil/District Bannu (Mobile No. 0334-8805232)</t>
  </si>
  <si>
    <t>DD Report No.22
 dt: 31/05/2012
 PS City, Distt:
 Bannu</t>
  </si>
  <si>
    <t>Traced Person. Appeared before the Commission on 29.8.2012 could not furnish details of his abduction etc.</t>
  </si>
  <si>
    <t>Khadim Hussain f/o Missing Person, r/o Basti Haji Pur, Mouza Raan Lab Dariya, Tehsil/District Multan, Halqa NA-151</t>
  </si>
  <si>
    <t>Traced Person. APA NWA confirmed at the hearing on 18.10.12 that Muhammad Tariq being kept is an Internment Centre.</t>
  </si>
  <si>
    <t>HRC No. 19465-K/2013</t>
  </si>
  <si>
    <t>Nauroze Ali Jan S/o Akhtar Jan</t>
  </si>
  <si>
    <t>Akhtar Jaan S/o Sher Jaan r/o Khairo Khel Pakka, PO Khairo Khel Pakka, Tehsil/District Lakki Marwat. (Mobile No. 0347-8931106)</t>
  </si>
  <si>
    <t>FIR No. 515
 dt: 25/5/2013
 u/s 365 PPC
 PS Gulberg, Lahore</t>
  </si>
  <si>
    <t>Under Investigation (Lahore)</t>
  </si>
  <si>
    <t>Ghulam Yasin s/o Ghulam Nabi Raheja Bugti</t>
  </si>
  <si>
    <t>Ghulam Rasool Bugti b/o Missing Person, r/o Rahim Colony, Zamindar Road, Sariab, Quetta (Mobile No. 0313-33883944)</t>
  </si>
  <si>
    <t>FIR No. 112 dt. 11/06/2012 PS: Sariab, District: Quetta</t>
  </si>
  <si>
    <t>Deleted. Not a case of Enforced Disappearance as two case are registered against him and he remained in Judicial Custody.</t>
  </si>
  <si>
    <t>HRC No. 24254-G/2012, HRC No. 20163-G/2012</t>
  </si>
  <si>
    <t>Muhammad Shafiq S/o Awal Sher</t>
  </si>
  <si>
    <t>Awal Sher F/o Missing Person r/o Dadar Khel, Kala Khel, Adma Khel, Tehsil: Bara, Khyber Agency (Mobile No. 0314-9194750, 091-5977029)</t>
  </si>
  <si>
    <t>Abdul Jabbar S/o Umer Ilahi</t>
  </si>
  <si>
    <t>Iftikhar Ahmed b/o Missing Person, r/o Muhallah Shah Abad, Attock City, Fari PCO, near Ehsan Bakery (Mobile No. 0321-9070456)</t>
  </si>
  <si>
    <t>FIR No.479
 dt: 12/7/2012
 u/s 365 PPC
 PS Gulbahar, Distt. Peshawar</t>
  </si>
  <si>
    <t>Gulfam Haider Syed</t>
  </si>
  <si>
    <t>Village Ferozwala, Lahore</t>
  </si>
  <si>
    <t>FIR No.381
 dt: 13/4/2012
 u/s 223/224 PPC
 r/w 155-C Police Order 2002
 PS Ferozewala
 Distt. Sheikhupura</t>
  </si>
  <si>
    <t>Traced Person. His uncle informed at the hearing on 20.2.13 that Gulfam Haider has returned to home.</t>
  </si>
  <si>
    <t>Sabir Hussain S/o Muhammad Shaffique</t>
  </si>
  <si>
    <t>Muhammad Hussain Cousin of Missing Person, r/o Computer Science College, Gali No. 73, Wing Sachal Rangers, Muhallah North Nazim Abad, Block-K, Karachi, Tehsil/District Central Karachi (Mobile No. 0333-8254277)</t>
  </si>
  <si>
    <t>FIR No.505
 dt: 18/8/2012
 u/s 365 PPC
 PS Naulakkha, Distt. Lahore</t>
  </si>
  <si>
    <t>Deleted. Not a case of Enforced Disappearances as the Missing Person was presumed dead and his family is getting pension being an ex-employees of Pak Rangers, Sindh Karachi.</t>
  </si>
  <si>
    <t>Wajid Hussain S/o Zafar Iqbal</t>
  </si>
  <si>
    <t>Zafar Iqbal f/o Missing Person, r/o Chohar Pur, P.O Kotla Arab Ali Khan, Tehsil Khariyan, District Gujrat (Mobile No. 0304-3043816)</t>
  </si>
  <si>
    <t>FIR No.40 dt.4/2/2013 u/s 365/34/PPC,PS/Sukhan, District East,Karachi.</t>
  </si>
  <si>
    <t>Ashiq-ud-Din S/o Umer Hayat Khan (Late)</t>
  </si>
  <si>
    <t>Minhaj-ud-Din b/o Missing Person, r/o Ashkr Koat, Shamak Khel, Tehsil/P.O Makeen, District South Waziristan Agency (Mobile No. 0332-6841942, 0303-5329028)</t>
  </si>
  <si>
    <t>FIR No.228
 dt: 18/07/2012
 u/s 365 PPC
 PS University,
 Distt: D.I. Khan</t>
  </si>
  <si>
    <t>Traced Person. Confined in the Internment Centre, Lakki Marwat as reported by Rep of MI.</t>
  </si>
  <si>
    <t>HRC No. 21334-K/2012</t>
  </si>
  <si>
    <t>Shah Faisal s/o Raza Khan</t>
  </si>
  <si>
    <t>Javed-ur-Rehman Cousin of Missing Person, r/o Darra Adam Khel, Village Mazeed Khel, FR Kohat (Mobile No. 0347-9846642)</t>
  </si>
  <si>
    <t>FIR No.735
 dt: 17/7/2012
 u/s 365 PPC
 PS Muhammad Riaz Shaheed, Distt. Kohat</t>
  </si>
  <si>
    <t>Traced Person. Dead Body of Shah Faisal was handed over to his legal heirs as reported by APA, Khyber Agency.</t>
  </si>
  <si>
    <t>Muhammad Azam s/o Haji Rehmat Khan</t>
  </si>
  <si>
    <t>Haji Rehmat Khan f/o Missing Person, r/o Al-Maroof Bakhi Wala, Muhallah Basti Siddique Akbar, Bahawalgarh, P.O. Khas, Tehsil Karor Pakka, District Lodhran (Mobile No. 0300-9694171, 0303-6144471)</t>
  </si>
  <si>
    <t>FIR No.312
 dt: 10/7/2012
 u/s 365 PPC
 PS Yousaf Wala
 Distt: Sahiwal</t>
  </si>
  <si>
    <t>Traced Person. Appeared before the Commission on 22.02.2013 reluctant to mension the details of his abduction.</t>
  </si>
  <si>
    <t>Hamad Amir S/o Amir Bin Mehmood</t>
  </si>
  <si>
    <t>Asir Bin Mehmood f/o Missing Person, r/o House No. 430-B-3, Bahadur Khan Street, Siyam Road, Rawalpindi Cantt (Mobile No. 0333-5492841, 0333-5227974, Tel No. 051-5492841)</t>
  </si>
  <si>
    <t>FIR No.549
 dt: 14/07/2012
 u/s 365 PPC
 PS Westridge, Distt. Rawalpindi</t>
  </si>
  <si>
    <t>Traced Person. Confined in the Internment Centre, Lakki Marwat as reported by Rep of MI at the hearing on 22.01.2014.</t>
  </si>
  <si>
    <t>Shah Hussain s/o Haji Sohbat Khan</t>
  </si>
  <si>
    <t>FIR No.489 dt.13/9/2013 u/s 365 PPC PS University Town,Peshawar</t>
  </si>
  <si>
    <t>Sharif Ullah S/o Muhammad Sultan</t>
  </si>
  <si>
    <t>Hameed-ur-Rehman b/o Missing Person, r/o Wazir Jani Khel Mameetan Khel, P.O. Jani Khel, Tehsil &amp; District Tribal Area, Bannu (Mobile No. 0322-7540224, 0314-5811110)</t>
  </si>
  <si>
    <t>Traced Person. Interned in Political Lock-up, Miran Shah, NWA vide Letter No: 1/10CM/Dir(legal)/12 dated 20.3.2015.</t>
  </si>
  <si>
    <t>HRC No. 18010-S/2012</t>
  </si>
  <si>
    <t>Sher Moin Ullah Khan s/o Hakim Zar</t>
  </si>
  <si>
    <t>Saleem Ullah Khan cousin of Missing Person, r/o Norang Khel, P.O. Jani Khel, Tehsil &amp; District Bannu (Mobile No. 0322-9037028, 0314-5811110)</t>
  </si>
  <si>
    <t>Traced Person. Interned in Political Lock-up, Miran Shah, NWA vide Letter No:1/10CM/Dir(legal)/12 dated 20.3.2015.</t>
  </si>
  <si>
    <t>Khalid Muhammad S/o Peer Muhammad</t>
  </si>
  <si>
    <t>Peer Muhammad f/o Missing Person, r/o Village Meero-Kas, P.O./Tehsil Sadda Kurram Agency (Mobile No. 0333-9299341, 0345-9067729, 0300-5662012)</t>
  </si>
  <si>
    <t>FIR NIL (Place of Occurrence is in Kurram Agency)</t>
  </si>
  <si>
    <t>0803-K</t>
  </si>
  <si>
    <t>Bahadur Zaib S/o Umer Said Khan</t>
  </si>
  <si>
    <t>Hayat Khan Uncle of Missing Person, r/o Darra Mazai, Police Station Lal Qilah, Bagh Medani, District Lower Dir (Mobile No. 0300-9078320)</t>
  </si>
  <si>
    <t>FIR No.370
 dt: 12/07/2012
 u/s 365 PPC
 PS Lal Qila, Distt. Lower Dir</t>
  </si>
  <si>
    <t>Abdul Wahab S/o Masoom Jan</t>
  </si>
  <si>
    <t>Mst Ameer Zad Gai m/o Missing Person, r/o Gul Qadda No. 2, P.O. Saddo Sharif, Tehsil &amp; District Swat (Mobile No. 0336-9834516)</t>
  </si>
  <si>
    <t>FIR No.1063
 dt: 19/09/2012
 u/s 365 PPC
 PS Mingora, District: Swat</t>
  </si>
  <si>
    <t>Abdul Haq S/o Masoom Jan</t>
  </si>
  <si>
    <t>Mst Ameer Zad Gai m/o Missing Person, r/o Gul Qadda No. 2, P.O. Saddu Sharif, Tehsil &amp; District Swat (Mobile No. 0336-9834516)</t>
  </si>
  <si>
    <t>FIR No. 507
 dt: 19/09/2012
 u/s 365/34 PPC,
 PS Tor Gul Shaheed
 Saidu Sharif, District: Swat</t>
  </si>
  <si>
    <t>swat</t>
  </si>
  <si>
    <t>Salahuddin S/o Haji Qasim Khan, CNIC No. 11201-5299730-3</t>
  </si>
  <si>
    <t>Ala-u-Din S/o Haji Qasim Khan r/o Mohallah Qalandar Khel (Lillah Khel), Village: Aba Khel, PO: Aba Khel, Lakki Marwat (Mobile No. 0321-9572549, 0313-5283948)</t>
  </si>
  <si>
    <t>FIR No. 9, dt. 30/03/2012, PS: Lakki Marwat District Lakki Marwat</t>
  </si>
  <si>
    <t>Traced Person. Confined in District Jail, Bannu as confirmed by Pir Syed Allauddin b/o Salahuddin at the hearing on 29.8.2012</t>
  </si>
  <si>
    <t>Qari Ahsan Raza S/o Ghulam Mujtaba</t>
  </si>
  <si>
    <t>Hafiz Ghulam Mujtaba F/o Missing Person, r/o Mouza Kotli Njabat, Cha Umer Wala, Tehsil Shuja Abad, District Multan (Mobile No. 0345-8792485)</t>
  </si>
  <si>
    <t>FIR No.234,
 dt:17/7/2012,
 u/s 365 PPC,
 PS Raja Ram, District Multan</t>
  </si>
  <si>
    <t>Traced Person. Appeared before the Commission on 23.09.2014 and his statement was recorded.</t>
  </si>
  <si>
    <t>HRC No. 22418-P/2012, HRC No. 7523-P/2013, HRC No. 7624-P/2013</t>
  </si>
  <si>
    <t>Afzaal Ahmed S/o Sher Muhammad</t>
  </si>
  <si>
    <t>Mst. Safia Bibi Sister of Missing Person r/o Sohawa Dilwana, Tehsil/ Distt: Mandi Baha-ud-Din</t>
  </si>
  <si>
    <t>FIR No.442 dt.23/7/2012 u/s 365 PPC PS Tehkal,Peshawar</t>
  </si>
  <si>
    <t>Traced Person. Confined in the Internment Center Kohat as informed at the hearing on 19.05.2015.</t>
  </si>
  <si>
    <t>Mazhar Iqbal S/o Sher Muhammad</t>
  </si>
  <si>
    <t>Mst. Safia Bibi Sister of Missing Person r/o Sohawa Dilwana, Tehsil/ Distt: Mandi Baha-ud-Din (Mobille No. 0344-6285424)</t>
  </si>
  <si>
    <t>Under Investigation Mandi Bahauddin</t>
  </si>
  <si>
    <t>Mandi</t>
  </si>
  <si>
    <t>Mufti Muhammad Azam S/o Rehmat Khan</t>
  </si>
  <si>
    <t>Mr. Rehmat Khan F/o Missing Person r/o Village: Boki Wala, Mouza Bahwal Garh, PO: Khas, Tehsil : Kehror Pakka, Distt: Lodhran</t>
  </si>
  <si>
    <t>Traced Person. Appeared before the Commission on 19.9.2013. He got his statement recorded before JIT.</t>
  </si>
  <si>
    <t>Muhammad Karam s/o Ghulam Haider</t>
  </si>
  <si>
    <t>Khurshid Ahmed r/o Kohay Shamozi, P.O. Zerah Khela, Tehsil Brekoat, District Swat (Mobile No. 0313-9538950 &amp; 0313-9549551 &amp; 0345-3931191)</t>
  </si>
  <si>
    <t>FIR No.243
 dt: 20/09/2012
 u/s 365 PPC
 PS Shamozai, Distt: Swat</t>
  </si>
  <si>
    <t>Bakht Badshah s/o Bakht Munir</t>
  </si>
  <si>
    <t>Asif S/o Taj Muhammad Baloch</t>
  </si>
  <si>
    <t>Mst. Dar Gul W/o Taj Muhammad Baloch M/o Missing Person r/o Street No. 3, Usman Brohi Road near Gharib Shah Mazar Lane, Liyari, Karachi</t>
  </si>
  <si>
    <t>FIR No. 415/2010 dt.19/7/2010 u/s 365/34 PPC PS: Aziz Bhatti, District East,Karachi</t>
  </si>
  <si>
    <t>HRC No. 18387-K/2012</t>
  </si>
  <si>
    <t>Sherien Zada S/o Alam Zada</t>
  </si>
  <si>
    <t>Mst. Muhammad Zamina W/o Alam Zada M/o Missing Person r/o Bhadur Banda, Chaparyal, Tehsil &amp; Distt: Swat (Mobile No. 0346-2075142)</t>
  </si>
  <si>
    <t>FIR No.260
 dt: 19/09/2012
 u/s 365 PPC
 PS Chuprial, Distt: Swat</t>
  </si>
  <si>
    <t>Faryad Hussain S/o Mian Zamir</t>
  </si>
  <si>
    <t>Murad Ali B/o Missing Person, r/o Khuga Khel Shinwari, Fatmi Khel, P.O. Landi Kotal, District Khyber Agency (Mobile No. 0345-8746808)</t>
  </si>
  <si>
    <t>FIR NIL (Place of Occurrence is Landi Kotal,Khyber Agency)</t>
  </si>
  <si>
    <t>Traced Person. Returned to home as informed at the hearing on 16.10.2012.</t>
  </si>
  <si>
    <t>Mansoor Ahmed S/o Ahmed Hassan</t>
  </si>
  <si>
    <t>Mufti Abdul Wahid B/o Missing Person r/o Tahir Market near Usmania Mosque, Iqbal Nagar, Checha Watni, District Sahiwal ( Mobile No. 0321-2053031)</t>
  </si>
  <si>
    <t>FIR No.395
 dt: 20/12/2012
 u/s 365 PPC
 PS Kasowal, Distt. Sahiwal</t>
  </si>
  <si>
    <t>Traced Person. Mehmood-ul-Hasan b/o Mansoor Ahmed confirmed at the hearing on 13.2.2013 that the later has returned to home.</t>
  </si>
  <si>
    <t>Umer Ali S/o Shereen Zada</t>
  </si>
  <si>
    <t>Shereen Zada F/o Missing Person, r/o Tehsil Matta, Mian Kallay, P.O. Shangwai, District Swat (Mobile No. 0344-5062773)</t>
  </si>
  <si>
    <t>FIR No.850
 dt: 19/09/2012
 u/s 365 PPC
 PS Matta, Distt. Swat</t>
  </si>
  <si>
    <t>Muhammad Zaib S/o Shereen Gull</t>
  </si>
  <si>
    <t>Shereen Zada uncle of Missing Person, r/o Tehsil Matta, Mian Kallay, P.O. Shangwai, District Swat (Mobile No. 0344-5062773)</t>
  </si>
  <si>
    <t>Muhammad Sajid Mushtaq s/o Muhammad Mushtaq</t>
  </si>
  <si>
    <t>Muhammad Mushtaq f/o Missing Person, r/o Baloch Chowk, House No. 427-A, Muhallah Sarhi Faqeer, D.I.Khan (Mobile No. 0332-7230659)</t>
  </si>
  <si>
    <t>FIR No.270
 dt: 13/8/2012
 u/s 365 PPC
 PS University, Distt. D.I. Khan</t>
  </si>
  <si>
    <t>Traced Person. Muhammad Sajid Mushtaq has been traced. He is present before the Commission. His statement has been recorded. He was taken into custody about 08 years back and returned home to about 20 days ago. However he could not give further details about the persons involved and the place where he was kept in detention.</t>
  </si>
  <si>
    <t>Hayat Bacha s/o Lal Badshah</t>
  </si>
  <si>
    <t>Lal Badshah f/o Missing Person, r/o Muhallah Sarwar Khel, Ziarat Kaka Sahib, Tehsil &amp; District Nowshera (CNIC NO. 17201-5490851-5)</t>
  </si>
  <si>
    <t>FIR No.690
 dt: 7/8/2012
 u/s 365 PPC
 PS Nowshera Kalan, District Nowshera</t>
  </si>
  <si>
    <t>Under Investigation Nowshera</t>
  </si>
  <si>
    <t>Rehan Latif S/o Latif Alam</t>
  </si>
  <si>
    <t>Ijaz Latif B/o Missing Person, r/o House No.153/D, Block No. 7 Chak No. 62 Fateh, Chona Wala Road, Satellite Town, P.O/Tehsil Hasil Pur, District Bahawalpur (Mobile No. 0308-6530538, 0333-60790445)</t>
  </si>
  <si>
    <t>FIR No.636
 dt: 09/08/2012
 u/s 365 PPC
 PS City Raiwind, Distt: Lahore</t>
  </si>
  <si>
    <t>Traced Person. According to report submitted by Incharge (Inv) Raiwind has later has returned to home.</t>
  </si>
  <si>
    <t>Ali Sher S/o Muhammad Ishaq</t>
  </si>
  <si>
    <t>Mst Khurshid Bibi M/o Missing Person, r/o Qilah Sonda Singh, Sadaqat Town, Tehsil Dipalpur, District Okara (Mobile No. 0301-4644820)</t>
  </si>
  <si>
    <t>FIR No. 168 dt.04/03/2012, PS: Hujra Shah Maqeem, Okara</t>
  </si>
  <si>
    <t>Deleted not being a case of enforced disappearence as informed by mother of Ali Sher who stated that Muhammad Asghar is a culprit.</t>
  </si>
  <si>
    <t>Muhammad Ismail Khan S/o Haji Ghulam Khan</t>
  </si>
  <si>
    <t>Muhammad Jan B/o Missing Person, r/o Shaheen Muslim Town, P.O. Gul Bahar, Muhallah Toheed Colony No. 2, Peshawar (Mobile No. 0300-5865163)</t>
  </si>
  <si>
    <t>FIR No.505
 dt: 9/8/2012
 u/s 365 PPC
 PS Nowshera Cantt., District Nowshera</t>
  </si>
  <si>
    <t>Deleted. In the JIT reports the case been categorized as a case of Missing Person has gone on his own. The case was also taken up by PTF on 12.2.2020 and the same was categorized gone on his own. Hence not a case of enforced disappearance. The case is closed.</t>
  </si>
  <si>
    <t>Syed Naveed Hussain Shah S/o Syed Ijaz Hussain Shah</t>
  </si>
  <si>
    <t>Mst. Syeda Bukharan Begum M/o Missimg Person, r/o Dairy Syedan, Tehsil Choa Syedan Shah, District Chakwal (Mobile No. 0301-5998224)</t>
  </si>
  <si>
    <t>FIR No.135
 dt: 11/04/2002
 u/s 364/34 PPC
 PS Margalla, Islamabad</t>
  </si>
  <si>
    <t>Deleted. Not a case of Enforced Disappearance Disposed of vide detailed findings dated 25.4.16</t>
  </si>
  <si>
    <t>HRC No. 17329-G/2012 &amp; HRC No. 173297-G/2012,</t>
  </si>
  <si>
    <t>Fazal-ur-Rehman S/o Mir Gul</t>
  </si>
  <si>
    <t>Nasrullah r/o Kohi Kalay Khajori, Bara Khyber Agency</t>
  </si>
  <si>
    <t>Deleted (Not a Case of Enforced Disapperances) as recorded in the proceedings after the hearing on 2.11.2015 (Lack of evidence)</t>
  </si>
  <si>
    <t>Muhammad Asif S/o Ghulam Yaseen</t>
  </si>
  <si>
    <t>Muhammad Ramzan b/o Missing Person, r/o Gondal Colony, Ratou Kala, Tehsil Bhalwal, District Sargodha (Mobile No. 0300-8147600)</t>
  </si>
  <si>
    <t>FIR No. 222 dt. 12/07/2012,u/s 365 PPC PS: Phularwan, District: Sargodha</t>
  </si>
  <si>
    <t>Traced Person. Dead body recovered as confirmed by the family, as well.</t>
  </si>
  <si>
    <t>Abdul Latif S/o Muhammad Bakhsh</t>
  </si>
  <si>
    <t>Mst. Aeysha Mai W/o Malik Muhammad Bakhsh r/o Shah Pur Phal, Tehsil: Kahror Pakka, Distt: Lodhran</t>
  </si>
  <si>
    <t>FIR No.430 dt.30/08/2012 u/s 365 PPC PS Kehror Pacca District Lohdran</t>
  </si>
  <si>
    <t>Under Investigation (Punjab) Lodhran</t>
  </si>
  <si>
    <t>Lodhran</t>
  </si>
  <si>
    <t>Muhammad Usman Basra S/o Ch. Zafarullah Basra</t>
  </si>
  <si>
    <t>Ch. Zafarullah Basra f/o Missing Person, r/o 542-XX, DHA Phase-III, Lahore (Mobile No. 0300-4145135)</t>
  </si>
  <si>
    <t>Traced Person. Confined in jail.</t>
  </si>
  <si>
    <t>HRC No. 23361-K/2012</t>
  </si>
  <si>
    <t>Adil-ur-Rehman S/o Gul Rehman</t>
  </si>
  <si>
    <t>Mst. Zubaia w/o Gul Rehman r/o Mohallah: Thaikedaran, Tehsil &amp; Distt: Nowshehra</t>
  </si>
  <si>
    <t>FIR No.655
 dt: 13/08/2012
 u/s 365 PPC
 PS Akora Khattak
 Distt: Nowshera</t>
  </si>
  <si>
    <t>Traced Person. Appeared before the Commission on 29.11.2012 details of incident.</t>
  </si>
  <si>
    <t>Karamat Ullah S/o Molvi Habib-ur Rehman</t>
  </si>
  <si>
    <t>Mst.Izzat Bibi M/o Missing Person Karamat Ullah C/o Ozair Pco Chungi Stop Eidgah Road Akora Khatta Tehsil&amp;District Nowshera KpK</t>
  </si>
  <si>
    <t>0831-P</t>
  </si>
  <si>
    <t>Shahid Imran S/o Mansoor Ahmed</t>
  </si>
  <si>
    <t>Mst. Nazeeran Bibi, M/o Missing Person r/o Sohawa Jamlani, Dera Jat, District Mandi Bahuddin (Mobile No. 0342-4645581)</t>
  </si>
  <si>
    <t>FIR No.265
 dt: 27/8/2012
 u/s 365 PPC
 PS Midh Ranjha, Distt: Sargodha</t>
  </si>
  <si>
    <t>Under Investigation Sargodha</t>
  </si>
  <si>
    <t>Sargodha</t>
  </si>
  <si>
    <t>HRC No. 22392-S/2012</t>
  </si>
  <si>
    <t>Mujeeb-ur-Rehman Baloch S/o Mulla Idrees Baloch</t>
  </si>
  <si>
    <t>Mullah Idrees Baloch F/o Missing Person r/o Muhammad Ishaque Karyana Store, Goth Gharibabad, Malir City, Karachi (Mob No. 0333-2313045)</t>
  </si>
  <si>
    <t>FIR No. 212.
 dt: 23/8/2012
 u/s 365/34 PPC
 PS Malir City, Distt. Karachi</t>
  </si>
  <si>
    <t>Deleted. Due to In Complete Address.</t>
  </si>
  <si>
    <t>Muhammad Madni S/o Malik Ahmed Deen</t>
  </si>
  <si>
    <t>Malik Ahmed Deen f/o Missing Person, r/o Basti Jamalia, Bqa Pur P.O Hatheeji, Tehsil Ahmed Pur, District Bahawalpur (Mobile No. 0302-2013155)</t>
  </si>
  <si>
    <t>FIR No.321
 dt: 05/9/2012
 u/s 365 PPC
 PS Nowshera Jadeed, Distt. Bahawalpur</t>
  </si>
  <si>
    <t>Traced Person. Confined in Internment Center Kohat, as reported by MI at the hearing on 15.3.2016.</t>
  </si>
  <si>
    <t>Muhammad Akram S/o Muhammad Ameen</t>
  </si>
  <si>
    <t>Mst. Allah Wasai M/o Missing Person, r/o Mouza Patti Chang, P.O. Tehsil Ahmed Pur, District Bahawalpur (Mobile No. 0306-3139972)</t>
  </si>
  <si>
    <t>Traced Person. Appeared before the Commission at the hearing on 19.2.2013 Reluctant to mention details of the incident.</t>
  </si>
  <si>
    <t>0835-K</t>
  </si>
  <si>
    <t>Hazrat Hussain S/o Mian Gul Zameen</t>
  </si>
  <si>
    <t>Mst. Parveen sister of Missing Person, r/o Nasrat P.O. Dave Lai, Tehsil &amp; District Swat (Mobile No. 0347-9363273)</t>
  </si>
  <si>
    <t>15602-0510372-5</t>
  </si>
  <si>
    <t>FIR No.876
 dt: 10/09/2012
 u/s 365 PPC
 PS Mirpur, District Abbottabad</t>
  </si>
  <si>
    <t>Zakir Hussain Bozdar s/o Muhammad Hashim Bozdar</t>
  </si>
  <si>
    <t>Riaz Hussain Bozdar b/o Missing Person, r/o District Ghotaki, P.O. Branch Post, Momal-ji-Mari, Village Kambeer Khan Bozdar, Sindh (Mobile No. 0301-3988312)</t>
  </si>
  <si>
    <t>FIR No. 135 dt. 27/5/2012, u/s 365/34 PPC,PS: Ghotaki, District: Ghotaki</t>
  </si>
  <si>
    <t>Traced Person. It was informed at the hearing held in this Commission on 1.1.2020 that Zahir Hussain Bozdar has returned home. Riaz Hussain, elder brother confirmed the said position. The case is closed.</t>
  </si>
  <si>
    <t>Kaleem Ullah S/o Muslim Shah</t>
  </si>
  <si>
    <t>Rameez b/o Missing Person, r/o Koki Khel, Sher Khan Khel, Teyde Bazar, P.O. Tehsil Jamrud, District Khyber Agency (Mobile No. 0345-3242233, Tel No. 091-5814918)</t>
  </si>
  <si>
    <t>Traced Person. Confined in the Internment Centre, Lakki Marwat as informed by report of MI at the hearing on 25.06.2014.</t>
  </si>
  <si>
    <t>Kaleem Ullah Zia s/o Abdul Majeed</t>
  </si>
  <si>
    <t>Abdul Majeed f/o Missing Person, r/o Chak No. 3/10-R, Tehsil &amp; District Khanewal (Mobile No. 0301-7596270)</t>
  </si>
  <si>
    <t>FIR No.581
 dt: 20/12/2012
 u/s 365 PPC
 PS Seetal Mari District Multan</t>
  </si>
  <si>
    <t>Traced Person. IB, Lahore informed at the hearing on 3.3.2015 that Kaleemullah Zia, has returned to home.</t>
  </si>
  <si>
    <t>Syed Ahtisham Ali s/o Syed Iftikhar Hussain (Late)</t>
  </si>
  <si>
    <t>Mst. Syeda Chamman Bibi M/o Missing Person, C/o Mustafa Shopkeeper, Bank Road, Old Tanga Stand, Muzaffarabad, AJK (Mobile No. 0345-4000266, Tel No. 05822-447838)</t>
  </si>
  <si>
    <t>FIR No. 139 dt. 20/08/2011 PS: City Muzaffarabad</t>
  </si>
  <si>
    <t>Deleted. Not a case of enforced disappearance as a case has been sent to court of jurisdiction against private individuals.</t>
  </si>
  <si>
    <t>Muhammad Bakhsh Baloch</t>
  </si>
  <si>
    <t>Kallag Sami, Tehsil Turbat, District Kech, Balochistan</t>
  </si>
  <si>
    <t>FIR No.58/12 dt. 20 June 12, PS City Turbat</t>
  </si>
  <si>
    <t>Traced Person. Returned to Home as confirmed by Home Department in the report submitted at the hearing on 19.4.2013.</t>
  </si>
  <si>
    <t>0841-K</t>
  </si>
  <si>
    <t>Muhammad Wali S/o Akbar Khan</t>
  </si>
  <si>
    <t>Mst. Abida Bibi w/o Missing Person, r/o Muhallah Ser Buland Pura, P.O. Haji Camp, Peshawar (Mobile No. 0343-9132567)</t>
  </si>
  <si>
    <t>FIR No.533 dt. 29/8/2012, u/s 365 PPC. PS Nowshera Cantt. District Nowshera</t>
  </si>
  <si>
    <t>0842-K</t>
  </si>
  <si>
    <t>Kamran Khan s/o Akbar Shah</t>
  </si>
  <si>
    <t>Mst. Gulnaz M/o Missing Person, r/o Muhallah Najeem Abad, Raygay Badrashi, Nowshera (Mobile No. 0300-5480044, 0300-9177968)</t>
  </si>
  <si>
    <t>FIR No.428
 dt: 28/4/2011
 u/s 365 PPC
 PS Nowshera Cantt, District Nowshera</t>
  </si>
  <si>
    <t>Nouman Ahmed S/o Sardar Ahmed</t>
  </si>
  <si>
    <t>Sardar Ahmed f/o Missing Person, r/o Muhallah Islamabad No. 1, House No. 885, Nishtarabad Chowk, Peshawar (Mobile No. 0303-8302478)</t>
  </si>
  <si>
    <t>FIR No.565
 dt: 18/09/2012
 u/s 365 PPC
 PS Nowshera Cantt., Distt:
 Nowshera</t>
  </si>
  <si>
    <t>Traced Person. Father of Nouman Ahmed confirmed at the hearing 29.11.2012 that the later has returned to home.</t>
  </si>
  <si>
    <t>Ameer Ullah s/o Shoru-ur-Rehman</t>
  </si>
  <si>
    <t>Shoru-ur-Rehman f/o Missing Person r/o Multan Road, Chota Darban Khor Taraf Shala, D.I.Khan (Mobile No. 0300-9098185)</t>
  </si>
  <si>
    <t>FIR No.316 dt.20/09/2012 u/s 365 PPC PS University District D.I.Khan</t>
  </si>
  <si>
    <t>Traced Person. Confined in the Internment Centre, Lakki Marwat as reported by MI at the hearing on 1.04.2013.</t>
  </si>
  <si>
    <t>Asad Ullah s/o Sultan Muhammad Khan</t>
  </si>
  <si>
    <t>Rehmat Ullah b/o Missing person r/o Haji Ghaibi Kili Durani Shahdara, Quetta (Mobile No. 0333-7866301)</t>
  </si>
  <si>
    <t>FIR No.60, dt. 15/03/ 2012 u/s 365 PPC PS: Gawalmandi, Quetta</t>
  </si>
  <si>
    <t>At the Hearing on 09/04/2015 DSP/CID, Quetta submitted report that Asad Ullah has been traced and submitted affidavit filled by Asad Ullah.</t>
  </si>
  <si>
    <t>HRC No. 30337-K/2012</t>
  </si>
  <si>
    <t>Sultan S/o Talib Jan</t>
  </si>
  <si>
    <t>Mst. Talameena M/o Missing person r/o Polanar Pir Baba, Tehsil: Dagar, Distt: Buner (Mobile No. 0344-9176423)</t>
  </si>
  <si>
    <t>FIR NIL (Place of Occurrence is in Bunir District)</t>
  </si>
  <si>
    <t>Traced Person. DPO Bunair confirmed at the hearing on 11.1.2013 that Sultan has been traced.</t>
  </si>
  <si>
    <t>HRC No. 30525-G/2012</t>
  </si>
  <si>
    <t>Taj Muhammad S/o Moulana Sher Muhammad</t>
  </si>
  <si>
    <t>Mr. Hussain Ahmed b/o Missing Person r/o Mohallah: Masozai, Tapa Ashkhail, Tehsil: Lower Kurram, Distt: Kurram Agrency (Mobile No. 0302--8840301)</t>
  </si>
  <si>
    <t>Traced Person. Confined in the Internment Centre, Lakki Maarwat as reported by Rep of MI at the hearing on 1.10.2013.</t>
  </si>
  <si>
    <t>HRC No. 30980-K/2012</t>
  </si>
  <si>
    <t>Shawkat Ali S/o Gul Roz</t>
  </si>
  <si>
    <t>Mr. Safdar Ali Advocate, Member of Mardan Bar Association, KPK, r/o Village: Mata Shewa Banda, Tehsil: Katlang, Distt: Mardan (Mobile No. 0346-9351984)</t>
  </si>
  <si>
    <t>FIR No.779
 dt: 02/10/2012
 u/s 365 PPC
 PS Katlang,
 Distt: Mardan</t>
  </si>
  <si>
    <t>Traced Person. Confined in Internment Centre, Malakand where his family has met him.</t>
  </si>
  <si>
    <t>HRC No. 29883-S/2012</t>
  </si>
  <si>
    <t>Dost Maal S/o Khan Gul</t>
  </si>
  <si>
    <t>Mr. Khan Gul F/o Missing Person, r/o House No. B-809, St. # 28, B-Area, Old Muzaffarabad Colony, Landhi, Karachi No. 22 (Mobile No. 0333-2346505)</t>
  </si>
  <si>
    <t>HRC No. 29928-G/2012</t>
  </si>
  <si>
    <t>Naveed Butt s/o Muhammad Hussain Butt</t>
  </si>
  <si>
    <t>Mst. Sadia Rahat W/o Missing Person, r/o House No. 1028, 10th Avenue, G-10/4, West Service Road, Islamabad (Mobile No. 0333-5221418)</t>
  </si>
  <si>
    <t>FIR No. 566, dt. 26/6/2012 PS: Liaquat Abad, Lahore</t>
  </si>
  <si>
    <t>HRC No. 29234-/2012</t>
  </si>
  <si>
    <t>Ayaz Ahmed S/o Riaz Ahmed</t>
  </si>
  <si>
    <t>Mst. Nasreen Riaz Bhatti M/o Missing Person, r/o Not Available (Mobile No. 0332-4743760)</t>
  </si>
  <si>
    <t>FIR No.862 dt.11/10/2012 u/s 365 PPC PS New Town, Rawalpindi</t>
  </si>
  <si>
    <t>0862-B</t>
  </si>
  <si>
    <t>HRC No. 30781-B/2012</t>
  </si>
  <si>
    <t>Ghulam Mustafa</t>
  </si>
  <si>
    <t>Mst. Mariyam Bibi W/o Missing Person, r/o Khursheed Laboure Hall, Kaikabad Road, Quetta (Mobile No. 0305-2764963, 0332-9877293)</t>
  </si>
  <si>
    <t>FIR No. 54, dt. 29/05/2012, PS: City, Mastung</t>
  </si>
  <si>
    <t>Deleted. Not a case of enforced disappearance as he was shffring from some mental ailment.</t>
  </si>
  <si>
    <t>HRC No. 30278-K/2012</t>
  </si>
  <si>
    <t>Dilber Khan S/o Ghulam Khan</t>
  </si>
  <si>
    <t>Mr. Ghulam Khan F/o Missing Person, r/o Pai, PO: Pai, Tehsil &amp; Distt: Tank</t>
  </si>
  <si>
    <t>FIR No.229
 dt: 21/11/2012
 u/s 365 PPC
 PS Mullazai, Distt. Tank</t>
  </si>
  <si>
    <t>Traced Person. Internment Centre Lakki Marwat, as reported by rep of MI at the hearing on 11.3.2015.</t>
  </si>
  <si>
    <t>HRC No. 30369-K/2012, HRC No. 31151-K/2012</t>
  </si>
  <si>
    <t>Sultan Mehmood S/o Abdul Rasheed</t>
  </si>
  <si>
    <t>Mst. Shamim Ara, r/o Village Dehlay, Post Office: Barabandi, Tehsil Kabl, Distt: Swat. (Mobile No. 0345-0571964&amp; 0344-9758746).</t>
  </si>
  <si>
    <t>15602-7792168-3</t>
  </si>
  <si>
    <t>FIR No.522
 dt: 26/9/2012
 u/s 365 PPC
 PS Kanju, Distt. Swat</t>
  </si>
  <si>
    <t>Habib-ur-Rehman S/o Sultan Muhammad</t>
  </si>
  <si>
    <t>Mst. Shamim Ara, r/o Village Dehlay, Post Office: Barabandi, Tehsil Kabl, Distt: Swat (0344-9758746 &amp; 0345-0571964)</t>
  </si>
  <si>
    <t>15602-0317283-5</t>
  </si>
  <si>
    <t>Mehmood S/o Abdul Rasheed</t>
  </si>
  <si>
    <t>15602-1600146-9</t>
  </si>
  <si>
    <t>Idrees S/o Mehmood</t>
  </si>
  <si>
    <t>15602-5728066-3</t>
  </si>
  <si>
    <t>Younas S/o Mehmood</t>
  </si>
  <si>
    <t>HRC No. 30369-K/2012, HRC No. 31151-K/2012,</t>
  </si>
  <si>
    <t>Aziz-ur-Rehman S/o Abdul Shaheed</t>
  </si>
  <si>
    <t>Nisar Ahmed S/o Abdul Sattar</t>
  </si>
  <si>
    <t>FIR No.522
 dt: 26/9/2012
 u/s 365 PPC
 PS Kanju, District. Swat</t>
  </si>
  <si>
    <t>Mir Ali Hassan Mengal S/o Khan Muhammad</t>
  </si>
  <si>
    <t>C/o Nawabzada Haji Mir Lashkari Raisani (PPP) r/o Sawaran House, Shahra-e-Nawab Raisani Road, Quetta (Mobile No. 0334-2214331))</t>
  </si>
  <si>
    <t>FIR No.5
 dt: 02/05/2012
 u/s 365/147/148/ 149 PPC
 PS Wadh, District Khuzdar</t>
  </si>
  <si>
    <t>HRC No. 24601-P/2012</t>
  </si>
  <si>
    <t>Muhammad Waris S/o Muhammad Iqbal</t>
  </si>
  <si>
    <t>Mst. Mumtaz Begum M/o Missing Person, r/o House No. 653, St. # 26, Millat Society-I, Sector Manzoor Colony, Karachi (Mobile No. 0301-2829206)</t>
  </si>
  <si>
    <t>FIR No.538
 dt: 5/10/2012
 u/s 365 PPC
 PS Civil Lines, District. Bahawalpur</t>
  </si>
  <si>
    <t>Traced Person. Mother of Muhammad Waris confirmed that he has returned to home.</t>
  </si>
  <si>
    <t>Mehkoom Ullah S/o Malook</t>
  </si>
  <si>
    <t>Mr. Abdul Hadi U/o Missing Person r/o Village: Thak, Tehsil: Chilaas, Distt: Diyamir, Gilgit Baltistan (Mobile No. 0321-5330070, 0341-8873443, 0355-5202553)</t>
  </si>
  <si>
    <t>FIR No.16
 dt:22.12.2012
 u/s 365/34 PPC
 PS Jall Distt. Diamar</t>
  </si>
  <si>
    <t>Gilgit Baltistan</t>
  </si>
  <si>
    <t>HRC No. 31242-K/2012</t>
  </si>
  <si>
    <t>Khadim Hussain S/o Karam Dad</t>
  </si>
  <si>
    <t>Karam Dad F/o Missing person r/o Floor Colony Kakol Road PMA Tehsil &amp; District Abbottabad. (Mobile No. 0334-1553774, 0334-9440874)</t>
  </si>
  <si>
    <t>FIR No.953 dt14/09/2012 u/s 365 PPC PS Mirpur District Abbottabad</t>
  </si>
  <si>
    <t>Deleted. Not a case of Enforced Disappearance. Convicted by FGCM as confined in Landhi Jail, Karachi.</t>
  </si>
  <si>
    <t>HRC No. 31341-P/2012</t>
  </si>
  <si>
    <t>Hafiz Muhammad Zakria S/o Khushi Muhammad</t>
  </si>
  <si>
    <t>Khushi Muhammad F/o Missing person r/o Mohalla Rehan Mouza Akwal Tehsil Tala Gang District Chakwal.</t>
  </si>
  <si>
    <t>Daily Diary Report No.18
 dt. 13/08/2012
 PS: Tala Gang, Chakwal.</t>
  </si>
  <si>
    <t>Traced Person. Returned to home stated that he was abducted on 12.8.2012 by unknown persons.</t>
  </si>
  <si>
    <t>0876-K</t>
  </si>
  <si>
    <t>HRC No. 31110-K/2012</t>
  </si>
  <si>
    <t>Hakeem Khan S/o Hakeem Muhammad Maskeen</t>
  </si>
  <si>
    <t>Mst. Irfana Bibi W/o missing person r/o Village Taligram Tehsil Charbagh District Swat.</t>
  </si>
  <si>
    <t>FIR No. 1292
 dt: 29/12/2012
 u/s 365 PPC
 PS Mingora, Distt. Swat</t>
  </si>
  <si>
    <t>Hafiz Muhammad Misbah-ud-Din S/o Mian Muhammad Safeer (Late)</t>
  </si>
  <si>
    <t>Muhammad Sallah-ud-Din b/o Missing Person r/o Jamia Masjid Qartaba Town, Adjacent to Upper Floor Masjid Quarter, Sargodha (Mobile No. 0321-6033882, Telephone No. 048-3226012)</t>
  </si>
  <si>
    <t>FIR No. 354
 dt: 18/08/2012
 u/s 365 PPC
 PS Urban Area, Distt. Sargodha</t>
  </si>
  <si>
    <t>Traced Person. Appeared before the Commission on 18.3.2013. Nothing stated about their abduction etc.</t>
  </si>
  <si>
    <t>Hafiz Muhammad Naeem-ud-Din S/o Mian Muhammad Safeer (Late)</t>
  </si>
  <si>
    <t>0880-K</t>
  </si>
  <si>
    <t>HRC No. 31574-K/2012</t>
  </si>
  <si>
    <t>Khan Zada S/o Muqaddar</t>
  </si>
  <si>
    <t>Wazir Zada S/o Missing Person r/o Village: Dailay Bara, Bandi, Swat (Mobile No. 0345-9528414)</t>
  </si>
  <si>
    <t>FIR No. 698
 dt: 28/12/2012
 u/s 365 PPC
 PS Kanju, Distt. Swat</t>
  </si>
  <si>
    <t>Nadeem Shahzad s/o Muhammad Shafi</t>
  </si>
  <si>
    <t>Usman Nasir Nephew of Missing Person, r/o House No. 94, Mehra Buliding, Saddar Bazar Risalpur, Tehsil &amp; District Nowshera (Mobile No. 0331-9142259)</t>
  </si>
  <si>
    <t>FIR No. 398, dt. 11/7/2005, u/s 347 PPC, PS: Risalpur, District Nowshera</t>
  </si>
  <si>
    <t>Qari Anwar-ul-Haq s/o Gul Khan</t>
  </si>
  <si>
    <t>Mst. Abida Bibi w/o Missing Person, r/o House No. 278, I-Block, Sumandari Road, Allama Iqbal Colony, Tehsil/District Faisalabad(Mobile No. 0321-5471983, 0321-8178592)</t>
  </si>
  <si>
    <t>FIR No. 718
 dt: 18/10/2012
 u/s 365 PPC
 PS D-Type Colony, Distt. 
 Faisalabad</t>
  </si>
  <si>
    <t>Traced Person. Appeared before the Commission on 18.3.2013. However, told nothing about abduction etc.</t>
  </si>
  <si>
    <t>HRC No. 19630-P/2012</t>
  </si>
  <si>
    <t>Pervaiz Hussain</t>
  </si>
  <si>
    <t>Shoukat Ali s/o Lal Deen, cousin of Missing Person, r/o Koshan Garh, P.O Kot Nakah, Tehsil Pindi Bhattian, District Hafizabad (Mobile No. 0301-6733744)</t>
  </si>
  <si>
    <t>Traced Person. Returned to home. He is involved in henious crimes and currently on bail.</t>
  </si>
  <si>
    <t>Asim Amin S/o Muhammad Amin</t>
  </si>
  <si>
    <t>Mst. Faheema Asim W/o Missing Person, r/o House No. C-34, Dhoraji Colony, Karachi (Mobile No. 0322-3846452) Email: fahima_amin@hotmail.com</t>
  </si>
  <si>
    <t>FIR No.432
 dt. 11/9/2012,
 u/s 365 PPC
 PS: New Town, East Karachi</t>
  </si>
  <si>
    <t>Father of Missing Person submitted that Asim Amin has returned home)</t>
  </si>
  <si>
    <t>Shukar Ullah s/o Muhammad Rehan</t>
  </si>
  <si>
    <t>Muhammad Younis B/o Missing Person, r/o Pashtoonabad Mittah Chowk, Moulana Masjid Imam, Sher Agha, Quetta Balochistan (Mobile No. 0332-2041504)</t>
  </si>
  <si>
    <t>Deleted not being a case of enforced disappearance. Basically on Afghan National the complainant did not co-operate.</t>
  </si>
  <si>
    <t>Muhammad Saiyab S/o Kameen Khan</t>
  </si>
  <si>
    <t>Muhammad Faheem Khan b/o Missing Person, r/o Muhallah Fazalabad Dhand, Tehsil Butt Khela, District Malakand (Mobile No. 0344-8378503)</t>
  </si>
  <si>
    <t>FIR No.331
 dt: 12/10/2012
 u/s 365 PPC
 PS Kharki, Distt: Mardan</t>
  </si>
  <si>
    <t>Under Investigation (KP) Mardan</t>
  </si>
  <si>
    <t>HRC No. 34185-P/2012</t>
  </si>
  <si>
    <t>Muhammad Imtiaz Khan s/o Muhammad Ijaz</t>
  </si>
  <si>
    <t>Muhammad Ijaz F/o Missing Person, r/o Village Pindi Sarhal, P.O. Pindi Sarhal, Tehsil Jand, District Attock (Mobile No. 0333-5281933)</t>
  </si>
  <si>
    <t>FIR No.175
 dt: 14/10/2012
 u/s 365 PPC
 PS Basal, Distt: Attock</t>
  </si>
  <si>
    <t>Traced Person. Confined in the Internment Centre, Lakki Marwat and reported by MI.</t>
  </si>
  <si>
    <t>Muhammad Kamran s/o Ashiq Hussain</t>
  </si>
  <si>
    <t>Liaqat Hussain b/o Missing Person, r/o Tench Bhatah Last Stop, C/o Pasha Color Lab, Rawalpindi (Mobile No. 0300-5097484, 0332-5560249)</t>
  </si>
  <si>
    <t>FIR No.765
 dt: 14/09/2012
 u/s 9 ATA/11(W) ATA
 PS New Town,
 Distt. Rawalpindi</t>
  </si>
  <si>
    <t>Traced Person. Appeared before the Commission on 2.11.2012. Could not explain the kidnappers.</t>
  </si>
  <si>
    <t>Farooq Shafique S/o Muhammad Shafique</t>
  </si>
  <si>
    <t>Azhar Shafique b/o Missing Person, r/o Chand Fort near Regal China, P.O Jaleel Town, Gujranwala (Mobile No. 0333-8182884, 0333-8137724)</t>
  </si>
  <si>
    <t>FIR No.731 dt. 27/08/2012, u/s 365 PPC PS: Saddar Gujranwala, District Gujranwala</t>
  </si>
  <si>
    <t>Traced Person. CPO, Gujranwala confirmed that Farooq Shafique returned to home. However, did not appear due to certain apprehension.</t>
  </si>
  <si>
    <t>Muhammad Zakria S/o Dr. Khushi Muhammad</t>
  </si>
  <si>
    <t>Doctor Khushi Muhammad F/o Missing Person, r/o Muhallag Rehan, Village/P.O. Akwal, Tehsil Talagang, District Chakwal (Mobile No. 0333-5921622, Tel No. 0543-410446)</t>
  </si>
  <si>
    <t>FIR No.195
 dt. 04/10/2012 u/s 365 PPC
 PS: Saddar Talagang,Chakwal</t>
  </si>
  <si>
    <t>Traced Person. Appeared before the Commission on 2.11.2012 could not mention details of his abduction etc.</t>
  </si>
  <si>
    <t>0891-K</t>
  </si>
  <si>
    <t>Sultan Hussain S/o Fakhar-ul-Hassan</t>
  </si>
  <si>
    <t>Bacha Hussain b/o Missing Person, r/o Charkhai, P.O. Kotah, Tehsil/District Swat (Mobile No. 0302-5863045, 0346-9393247)</t>
  </si>
  <si>
    <t>FIR No.950
 dt: 29/12/2012
 u/s 365 PPC
 PS Ghaligai, Distt: Swat</t>
  </si>
  <si>
    <t>Mian Azhar Hussain S/o Muhammad Sadiq</t>
  </si>
  <si>
    <t>Muhammad Sadiq F/o Missing Person, r/o Mouza Bdwarta, Tehsil Nowshera Wirkan, District Gujranwala (Mobile No. 0321-8429752, 0301-4647680)</t>
  </si>
  <si>
    <t>FIR No.496, dt. 25/08/2012, PS:Nowshera Virkan, Gujranwala</t>
  </si>
  <si>
    <t>Traced Person. Appeared before the Commission on 20.2.13 factual episode for obvious ransom.</t>
  </si>
  <si>
    <t>0893-I</t>
  </si>
  <si>
    <t>Mushtaq Muhammad S/o Sultan Muhammad</t>
  </si>
  <si>
    <t>Sultan Muhammad F/o Missing Person, r/o Village Garib Abad, Bakhshali, District Mardan, KPK</t>
  </si>
  <si>
    <t>FIR No.289 dt.25/06/2013 u/s 365 PPC PS Turnol,Islamabad</t>
  </si>
  <si>
    <t>Under Investigation ICT</t>
  </si>
  <si>
    <t>Ali Hussain s/o Mansab Ali</t>
  </si>
  <si>
    <t>Abdul Shakoor Father-in-Law of Missing Person, r/o Mouza Umer Fatania, Tehsil khair Pur, District Bahawalpur (Mobile No. 0301-6852852)</t>
  </si>
  <si>
    <t>Traced Person. Confined in the Internment Centre, Miran Shah and intimated by APA, NWA.</t>
  </si>
  <si>
    <t>Asad Ullah Mengal</t>
  </si>
  <si>
    <t>Sardar Akhtar Mengal B/o Missing Person, r/o Balochistan C/o Provincial Police Officer, Quetta</t>
  </si>
  <si>
    <t>HRC No. 31998-K/2012</t>
  </si>
  <si>
    <t>Muhammad Bashar s/o Kaki Jan</t>
  </si>
  <si>
    <t>Mst. Naseeb Ranra w/o Missing Person r/o Mohallah Syeda Bibi, Cham Barabandi, Tehsil: Kabal, Distt: Swat (Mobile No. 0336-9455343)</t>
  </si>
  <si>
    <t>FIR No. 697
 dt: 28/12/2012
 u/s 365 PPC
 PS Kanju, Distt. Swat</t>
  </si>
  <si>
    <t>Muhammad S/o Muhammad Bashar</t>
  </si>
  <si>
    <t>Mst. Naseeb Ranra M/o Missing Person r/o Mohallah Syeda Bibi, Cham Barabandi, Tehsil: Kabal, Distt: Swat (Mobile No. 0336-9455343)</t>
  </si>
  <si>
    <t>FIR No. 697
 dt: 28/12/2012
 u/s 365 PPC
 PS Kanju, District Swat</t>
  </si>
  <si>
    <t>Raja Muzzam Ali S/o Raja Ahmed Mukhtar</t>
  </si>
  <si>
    <t>Malik Tasneem Khanum M/o Missing person r/o Abdullah House # 905, Hafiz Jamal Road, Chowk Manzooraabad, Multan (Mobile No. 0300-9630772)</t>
  </si>
  <si>
    <t>FIR No 93 dt.23/6/2/2005 u/s 364 PPC PS Delhi Gate Multan</t>
  </si>
  <si>
    <t>HRC No.32255-K/2012</t>
  </si>
  <si>
    <t>Rehman Ali S/o Sultan Mehmud</t>
  </si>
  <si>
    <t>Abdullah S/o Sultan Mehmud B/o Missing Person r/o Dada Gul Village, Bara Bandi, District Swat. (mobile No.0341-5003655)</t>
  </si>
  <si>
    <t>FIR No. 699
 dt: 28/12/2012
 u/s 365 PPC
 PS Kanju, District Swat</t>
  </si>
  <si>
    <t>Emdad Ullah S/o Sultan Mehmud</t>
  </si>
  <si>
    <t>HRC No. 32249-P/2012</t>
  </si>
  <si>
    <t>Muhammad Tahir S/o Muhammad Ishaq</t>
  </si>
  <si>
    <t>Mst. Shahjahan M/o Missing Person r/o House No. CB/500, Mohallah: Afhsan Colony, Dhok Chaudhrian, Tehsil &amp; Distt: Rawalpindi (Mobile No. 0331-8850652, 0314-5270171)</t>
  </si>
  <si>
    <t>Traced Person. Cognizance of the issue was taken by this Commission on receipt of case from the Supreme Court of Pakistan (Human Rights Cell). Malik Mumtaz DSP, CID Karachi appeared before the Commission and submitted that Muhammad Tahir was under detention at Sukkar Jail. In view of above, the name of Muhammad Tahir be deleted from the list of enforced disappeared persons.</t>
  </si>
  <si>
    <t>HRC No. 32092-K/2012</t>
  </si>
  <si>
    <t>Khaista Rehman S/o Muzaffar Khan</t>
  </si>
  <si>
    <t>Nisar Ali Khan B/o Missing Person r/o Village: Barabandi, Tehsil: Kabal, Distt: Swat (Mobile No. 0332-9883178)</t>
  </si>
  <si>
    <t>FIR No.701 dt.29/12/2012 u/s365 PPC PS Kanju District Swat</t>
  </si>
  <si>
    <t>Traced Person. SP (Inv) Swat informed at the hearing on 19.7.13 that Khaista Rehman is confined in the Internment Centre, Paitham.</t>
  </si>
  <si>
    <t>0904-K</t>
  </si>
  <si>
    <t>HRC No. 32094-K/2012</t>
  </si>
  <si>
    <t>Abdul Rehman S/o Shah Bahadur</t>
  </si>
  <si>
    <t>Abdul Bari S/o Missing Person r/o Village: Dhelay, Tehsil: Kabal, Distt: Swat (Mobile No. 0346-9838543)</t>
  </si>
  <si>
    <t>FIR No.703
 dt: 29/12/2012
 u/s 365 PPC
 PS Kanju, District Swat</t>
  </si>
  <si>
    <t>0905-K</t>
  </si>
  <si>
    <t>HRC No. 32095-K/2012, HRC No. 31283-K/2012</t>
  </si>
  <si>
    <t>Muhammad Anwar S/o Muhammad Darwaish</t>
  </si>
  <si>
    <t>Muhammad Khan b/o Missing Person r/o Village: Barabandi, Tehsil: Kabal, Distt: Swat (Mobile No. 0347-5129328)</t>
  </si>
  <si>
    <t>FIR No.702,
 dt: 29/12/2012
 u/s 365 PPC
 PS Kanju, Distt. Swat</t>
  </si>
  <si>
    <t>0906-K</t>
  </si>
  <si>
    <t>Abdul Ghafoor S/o Muhammad Darwaish</t>
  </si>
  <si>
    <t>0907-K</t>
  </si>
  <si>
    <t>Muhammad Nazir S/o Muhammad Darwaish</t>
  </si>
  <si>
    <t>0908-K</t>
  </si>
  <si>
    <t>Muhammad Naseem S/o Muhammad Darwaish</t>
  </si>
  <si>
    <t>0909-K</t>
  </si>
  <si>
    <t>HRC No.32034-K/2012</t>
  </si>
  <si>
    <t>Muhammad Yaqoob</t>
  </si>
  <si>
    <t>Muhammad Arif B/o Missing Person r/o Mohalla Katiar Village Shah Dherai, Tehsil Kohat, District Swat (Mobile No. 0342 9620076)</t>
  </si>
  <si>
    <t>FIR No.321 dt.28/12/2012 u/s 365 PPC PS Shah Dheri District Swat</t>
  </si>
  <si>
    <t>Traced Person confirmed in the Internemnt Centre, Fizagat, Swat.</t>
  </si>
  <si>
    <t>0910-K</t>
  </si>
  <si>
    <t>Masood</t>
  </si>
  <si>
    <t>0911-K</t>
  </si>
  <si>
    <t>HRC No.31575-K/2012</t>
  </si>
  <si>
    <t>Akhtar Muneer S/o Ahmed Jan</t>
  </si>
  <si>
    <t>Maroof Khan s/o Ahmed Jan b/o Missing Person, r/o Village Dela, Tehsil Kabal, District Swat (Cell No. 0343-9387840 &amp; 0342-9574019)</t>
  </si>
  <si>
    <t>FIR No.700
 dt: 29/12/2012
 u/s 365 PPC
 PS Kanju, Distt. Swat</t>
  </si>
  <si>
    <t>0912-K</t>
  </si>
  <si>
    <t>Naik Muhammad S/o Ahmed Jan</t>
  </si>
  <si>
    <t>Maroof Khan s/o Ahmed Jan b/o Missing Person, r/o Village Dela, Tehsil Kabal, District Swat (Cell No. 0342-9574019)</t>
  </si>
  <si>
    <t>0913-P</t>
  </si>
  <si>
    <t>Usama Raza-ul-Hafeez S/o Qari Abdul Hafeez</t>
  </si>
  <si>
    <t>Qari Abdul Hafeez f/o Missing Person, r/o House No. 140-A, Sheikh Colony, Jhang Road, Faisalabad (Cell No. 0300-6616874)</t>
  </si>
  <si>
    <t>FIR No. 799 dt.30/07/2012 u/s 365 PPC PS: Jhang Bazaar, District Faisalabad</t>
  </si>
  <si>
    <t>Riaz Khan Khalil S/o Haya Khan</t>
  </si>
  <si>
    <t>Haya Khan f/o Missing Person, r/o Village Abdrah Ghari Taj Muhammad, District &amp; Tehsil Peshawar (Cell No. 0322-9093921 &amp; 0323-5509385)</t>
  </si>
  <si>
    <t>FIR No.1046 dt.21/11/2012 u/s 365 PPC PS Pishtakhara District Peshawar</t>
  </si>
  <si>
    <t>Traced Person. Appeared before the Commission on 15.11.16 and affirmed the position taken by SP (Inv) Peshawar.</t>
  </si>
  <si>
    <t>0915-K</t>
  </si>
  <si>
    <t>Mairaj Muhammad S/o Muhammad Shah Khan</t>
  </si>
  <si>
    <t>Aziz Ullah S/o Missing Person, r/o Muhallah Noorabad, Maidan Bandi, Tehsil Lal Qilah, District Lower Dir (Tel No. 0945-885071)</t>
  </si>
  <si>
    <t>FIR No.640 dt.01/11/2012 u/s 365 PPC PS Lalquila District Dir Lower</t>
  </si>
  <si>
    <t>Clubbed File with case 2008-K</t>
  </si>
  <si>
    <t>0916-K</t>
  </si>
  <si>
    <t>Ahmed Shah S/o Muhammad Haroon</t>
  </si>
  <si>
    <t>Abdul Samad b/o Missing Person, r/o Maidan Bandi, P.O Maidan Bandi, Tehsil Lal Qilah, District Lower Dir (Tel No. 0305-9522097)</t>
  </si>
  <si>
    <t>FIR No.639 dt.01/11/2012 u/s 365 PPC PS Lalquila District DIR Lower</t>
  </si>
  <si>
    <t>0917-P</t>
  </si>
  <si>
    <t>HRC No. 32248-P/2012, HRC No. 35182-P/2012</t>
  </si>
  <si>
    <t>Hafiz Ejaz Ahmed S/o Mirza Khan</t>
  </si>
  <si>
    <t>Mirza Khan F/o Missing Person r/o Mohallah Hussain Pura, Jalalpur Road near Jamia Masjid Makki, Distt: Hafiz Abad (Mobile No. 0324-6423922, 0300-6526148)</t>
  </si>
  <si>
    <t>FIR No.842 dt.11/01/2012 u/s 365 PPC PS City,Hafizabad</t>
  </si>
  <si>
    <t>Under Investigation (Punjab) Hafizabad</t>
  </si>
  <si>
    <t>Hafizabad</t>
  </si>
  <si>
    <t>Munawar Hussain Abbasi S/o Ali Haider</t>
  </si>
  <si>
    <t>Muhammad Shoaib Abbasi s/o Missing Person, r/o Bilal Town Khanah, P.O. Khas, Tehsil &amp; District Islamabad (Mobile No. 0333-3004897)</t>
  </si>
  <si>
    <t>DD Entry No.7
 dt: 28/09/2012
 PP Airport, Distt:
 Rawalpindi</t>
  </si>
  <si>
    <t>Traced Person. Brother and wife of the Traced Person affirmed this position before the Commission on 18.12.2012.</t>
  </si>
  <si>
    <t>Muhammad Usman S/o Sheikh Abdul Rasheed</t>
  </si>
  <si>
    <t>Sheikh Abdul Rasheed, Assistant Controller Finance, PTV Head Office, Finance Department, Constitution Avenue, Islamabad (Mobile No. 0300-9773134)</t>
  </si>
  <si>
    <t>FIR No.26/2013 u/s 365/34 PPC PS Section-A District Hyderabad</t>
  </si>
  <si>
    <t>HRC No.19104-K/2012</t>
  </si>
  <si>
    <t>Fazul ur Rehman S/o Bakhta Jan</t>
  </si>
  <si>
    <t>Saifullah khan B/o Missin Person, r/o Nasri Khel, P.o Jani Khel, Tehsil &amp; District Bannu</t>
  </si>
  <si>
    <t>Traced Person. Returned to home as intimated by DPO, Bannu alongwith statements from returnes.</t>
  </si>
  <si>
    <t>Abdushireen S/o Peer Mald Khan</t>
  </si>
  <si>
    <t>Saifullah Khan r/o Nasri Khel, P.o Jani Khel, Tehsil &amp; District Bannu</t>
  </si>
  <si>
    <t>Muhammad Haleem S/o Mir Qasim Khan</t>
  </si>
  <si>
    <t>HRC No. 32352-K/2012</t>
  </si>
  <si>
    <t>Muhammad Afzal S/o Ranezay</t>
  </si>
  <si>
    <t>Ranezay F/o Missing Persons r/o Banda Jalal Khan, Ilyas Khel, Koryad Dakhana, Nawagai Hall, Distt: Abbottabad (Mobile No. 0346-6137098)</t>
  </si>
  <si>
    <t>Traced Person. Confined in the Internment Centre, Alizai.</t>
  </si>
  <si>
    <t>0925-K</t>
  </si>
  <si>
    <t>Abid Hussain Shah S/o Siraj Hussain Shah</t>
  </si>
  <si>
    <t>Siraj Hussain Shah F/o Missing Person r/o House No. A-1049, Gulshan-e-Hadeed, Phase-II, Bin Qasim, Karachi (Mobile No. 0331-5875703)</t>
  </si>
  <si>
    <t>FIR No.316
 dt: 07/11/2012
 u/s 365 PPC
 PS Battal, Mansehra</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</si>
  <si>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Abid Hussain Shah s/o Siraj Hussain Shah. Hence, not a case of enforced disappearance. The case is closed.</t>
  </si>
  <si>
    <t>Manshera</t>
  </si>
  <si>
    <t>0926-K</t>
  </si>
  <si>
    <t>Sher Islam S/o Shah Jahan</t>
  </si>
  <si>
    <t>Mr. Shah Jahan F/o Missing Person r/o Mohallah Killa Sadi near Cadet College Kohat, Togh Bala, Distt: Kohat</t>
  </si>
  <si>
    <t>FIR No.1145 dt.08/11/2012 u/s 365PPC PS City,District Kohat</t>
  </si>
  <si>
    <t>HRC No. 13643-K/2012, HRC No. 9585-K/2012</t>
  </si>
  <si>
    <t>Khairullah S/o Hameedullah</t>
  </si>
  <si>
    <t>Hameedullah F/o Missing Person r/o Ehsanullah Tyre House, Khairullah Market near Qureshi Mor, Distt: Dera Ismail Khan (Mobile No. 0343-9363164)</t>
  </si>
  <si>
    <t>FIR No.308 dt.14/09/2012 u/s 365 PPC PS University ,D.I.Khan</t>
  </si>
  <si>
    <t>Traced Person. Confined in the Internment Centre Lakki Marwat as informed by MI</t>
  </si>
  <si>
    <t>Gul Muhammad S/o Alaf Khan</t>
  </si>
  <si>
    <t>Mah Rukh &amp; Muhammad Hassan nephews of Missing Person r/o Khana Pul, Ilyas Town, Sanam Chowk, Gali No. 5, Islamabad (Mobile No. 0342-2441236, 0343-9570992)</t>
  </si>
  <si>
    <t>FIRNo.596 dt.20/11/2012 u/s 365 PPC PPC PS Shahzad Town District Islamabad</t>
  </si>
  <si>
    <t>Traced Person. Confined in Adyala Jail, Rawalpindi in case registered u/s 4/5 EPA.</t>
  </si>
  <si>
    <t>Gul Ghani Khan S/o Ghameen Khan</t>
  </si>
  <si>
    <t>Usama Akbar S/o Muhammad Akbar</t>
  </si>
  <si>
    <t>Ali Zeeshan Haider cousin of Missing Person r/o House No. 274, Rehmat Park, University Road, Sargodha &amp; House No. 13, St # 11, I-8/1, Islamabad (Mobile No. 0321-5301326, 0344-7472288)</t>
  </si>
  <si>
    <t>FIR No.631 dt.08/11/2012 u/s 365 PPC PS Cantt. Sargodha</t>
  </si>
  <si>
    <t>Traced Person. Appeared nefore the Commission on 20.12.2012.</t>
  </si>
  <si>
    <t>Raheem Bakhsh S/o Ghulam Hussain</t>
  </si>
  <si>
    <t>Ghulam Shabbir cousin of Missing Person r/o Mouza Jahan Poor, P.O. Uooch Sharif, Tehsil Ahmed Pur Sharqia, District Bahawalpur (Mobile No. 0306-2097041)</t>
  </si>
  <si>
    <t>FIR No. 661 
 dt: 24-11-2012 
 u/s 365 PPC 
 P.S. Uch Sharif Distt Bahawalpur</t>
  </si>
  <si>
    <t>Traced Person. DPO, Bahwalpur submitted that dead body of Raheem Bakhsh has been recovered and burial taken place. He was directed to investigate specific.</t>
  </si>
  <si>
    <t>Hassan Abdullah S/o Shuja Ullah</t>
  </si>
  <si>
    <t>Shuja Ullah f/o Missing Person, r/o 2-Tariq Colony, Sodiwal Quarters, Multan Road, Lahore (Mobile No. 0333-4301111, Tel No. 042-35420352)</t>
  </si>
  <si>
    <t>FIR No. 778 
 dt: 6-11-2012 
 u/s 365 PPC 
 P.S. Hanjarwal Distt: Lahore</t>
  </si>
  <si>
    <t>Traced Person. Returned to Home as informed at the hearing on 18.02.2016.</t>
  </si>
  <si>
    <t>Hamza Saeed S/o Muhammad Saeed Nadeem</t>
  </si>
  <si>
    <t>Muhammad Saeed Nadeem r/o Satellite Town, 118/L, Sargodha (Mobile No. 0321-3098330)</t>
  </si>
  <si>
    <t>FIR No.574 dt.28/11/2012 u/s365 PPC PS Sajid Shaheed District Sargodha</t>
  </si>
  <si>
    <t>Traced Person. Appeared before the Commission on 18.3.2013 alongwith his father.</t>
  </si>
  <si>
    <t>Shakeeb Saeed S/o Muhammad Saeed Nadeem</t>
  </si>
  <si>
    <t>Sohaib Saeed S/o Muhammad Saeed Nadeem</t>
  </si>
  <si>
    <t>HRC No. 23750-K/2012</t>
  </si>
  <si>
    <t>Yaseenullah S/o Haider Khan</t>
  </si>
  <si>
    <t>Mst. Sanam Bibi M/o Missing Person r/o Sarki Khel, P.O Kotka Muhammad Khan, Tehsil &amp; Distt: Bannu (Mobile No. 0301-8072157, 0342-9499673)</t>
  </si>
  <si>
    <t>FIR NIL (Place of Occurrence is Lahore)</t>
  </si>
  <si>
    <t>Traced Person. SP (Inv) Bannu submitted a report on 3.1.2013 Yaseenullah has returned to home on 7.12.2012.</t>
  </si>
  <si>
    <t>HRC No. 35542-P/2012</t>
  </si>
  <si>
    <t>Yasir Mustufa S/o Ghulam Mustufa</t>
  </si>
  <si>
    <t>Ghulam Mustufa F/o Missing Person r/o Mohallah: Pari Kashmir Colony, Street No. 6 near Railway Station, Texila, Distt: Rawalpindi</t>
  </si>
  <si>
    <t>FIR No.591 dt.22/11/2012 u/s 365 PPC PS Taxila District Rawalpindi</t>
  </si>
  <si>
    <t>Traced Person. Appeared before the Commission 25.3.2013. However, excused to mentioned details of abduction etc for obvious reasons.</t>
  </si>
  <si>
    <t>HRC No. 35176-K/2012</t>
  </si>
  <si>
    <t>Azizullah s/o Sultan</t>
  </si>
  <si>
    <t>Mst. Nasri Jan m/o Missing Person, r/o Golono Shah Kanjo, Township, Distt: Swat (Mobile No. 0347-9676413, 0333-9480932)</t>
  </si>
  <si>
    <t>FIR No. 398 
 dt: 26-7-2013 
 u/s 365 PPC 
 P.S. Kanju, District Swat</t>
  </si>
  <si>
    <t>Traced Person. Confined in Internment Center Fizaghat, as informed by Rep of MI.</t>
  </si>
  <si>
    <t>Syed Iqbal Ahmed S/o Ahmed Ali</t>
  </si>
  <si>
    <t>Mr. Ahmed Ali F/o Missing Person r/o Mingloor Salanda, Swat (Mobile No. 0312-2689697, 0346-9141558)</t>
  </si>
  <si>
    <t>FIR No.1046/2012 u/s 36534 PPC PS Shahrah-e-Faisal,East Zone,Karachi</t>
  </si>
  <si>
    <t>Deleted. Closed due to non-Prosecution as the complainant neither extended co-operation with the I.O nor attended hearing held in this Commission including that on 28.5.2019.</t>
  </si>
  <si>
    <t>HRC No. 28369-K/2012, HRC No. 22910-K/2013</t>
  </si>
  <si>
    <t>Muhammad Inaam S/o Muhammad Ikram</t>
  </si>
  <si>
    <t>Mr. Muhammad Ikram F/o Missing Person r/o Mohallah Noori Khel Hoti, Tehsil &amp; Distt: Mardan (Mobile No. 0314-9008656)</t>
  </si>
  <si>
    <t>FIR No.994 dt.05/12/2012 u/s 346/365 PPC PS Hoti District Mardan</t>
  </si>
  <si>
    <t>Traced Person. Confined in the Internment Centre, Lakki Marwat. Family facilitated to see him.</t>
  </si>
  <si>
    <t>Abdul Salam Ashraf Afridi S/o Javed Afridi</t>
  </si>
  <si>
    <t>Dr. Javed Afridi F/o Missing Person, r/o Peshawar C/o Dr. Mughal Baaz Afridi, Clinic Opp. G.H School Noudeh Payan, Bara Road, Peshawar (Cell No. 0333-9157375)</t>
  </si>
  <si>
    <t>FIR No.20 dt.11/6/2013 u/s 365 PPC
 P.S. Jalkot, Dassu
 District: Kohistan</t>
  </si>
  <si>
    <t>Deleted. After investigation, JIT and PTF have concluded that the Missing Person has gone on his own as there is no eye witness of the occurrence. All stakeholders have denied arrest/custody of Abdul Salam Ashraf Afridi father of the Missing Person was provided several opportunities of hearing but no clue could be found to Infor that the case is that of enforced disappearance. No further action is required. The case is closed.</t>
  </si>
  <si>
    <t>Kohistan</t>
  </si>
  <si>
    <t>0942-K</t>
  </si>
  <si>
    <t>HRC No. 33434-K/2012</t>
  </si>
  <si>
    <t>Arshed Khan S/o Khan Hassan</t>
  </si>
  <si>
    <t>Mst. Khatama Bibi W/o Missing Person, r/o Laas Garhi, Bostti Khel, Darra Adam Khel, P.O. Darra Bazar, Tehsil &amp; Distt: FR Kohat (Tel No. 0922223041, Mobile No. 0334-3179652)</t>
  </si>
  <si>
    <t>FIR No. 299 
 dt: 17-7-2013
 u/s 347 PPC 
 P.S. KDA, Kohat</t>
  </si>
  <si>
    <t>HRC No. 37815-K/2012</t>
  </si>
  <si>
    <t>Abdul Hameed S/o Nawab Khan</t>
  </si>
  <si>
    <t>Mst. Amna Bibi W/o Missing Person r/o Ram Baig Khel, Jalai, Tehsil: Chota Lahore, Distt: Swabi</t>
  </si>
  <si>
    <t>FIR No.1565 dt.18/12/2012 u/s 365 PPC PS Lahore District Swabi</t>
  </si>
  <si>
    <t>Traced Person. Confined in the Internment Centre, Kohat, as reported by Rep of MI at the hearing on 14.5.2014.</t>
  </si>
  <si>
    <t>HRC No. 38084-P/2012</t>
  </si>
  <si>
    <t>Muhammad Moeen-u-Din S/o Muhammad Saqib-u-Din</t>
  </si>
  <si>
    <t>Mst. Jamil-un-Nissa M/o Missing Person r/o House No. 93, New Satellite Town, Bahwalpur (Mobile No. 0300-6824636, 0300-3800676, 062-2281293)</t>
  </si>
  <si>
    <t>FIR No. 372 
 dt: 2-7-2012 
 u/s 365 PPC 
 P.S. Civil Lines, Bahawalpur</t>
  </si>
  <si>
    <t>Traced Person. Brother of Muhammad Moeen-ud-Din submitted afidavit that the later was abducted on 3.6.2012 and released on 11.5.2015 by unknown persons.</t>
  </si>
  <si>
    <t>Muhammad Musaab S/o Muhammad Ramzan</t>
  </si>
  <si>
    <t>Mr. Abdul Rahman B/o Missing Person r/o Saad Abad, Near Zakria Mosque, Darban Road, D.I.Khan. (Mobile No. 0341-7525118)</t>
  </si>
  <si>
    <t>FIR No. 1104
 dt: 13-12-2012
 u/s 365 PPC
 P.S. Cantt, District: D.I. Khan</t>
  </si>
  <si>
    <t>Traced Person. Dead Body recovered. Missing Person was Killed during an encounter with CTD.</t>
  </si>
  <si>
    <t>Muzaffagrah</t>
  </si>
  <si>
    <t>Garan Muhammad S/o Raza Khan</t>
  </si>
  <si>
    <t>Wazir Muhammad B/o Missing Person r/o Village Wadalah Cheema, Tehsil Wazirabad, District Gujranwala (Mobile No. 0301-6617543)</t>
  </si>
  <si>
    <t>FIR No. 645 
 dt: 18-12-2012 
 u/s 365 PPC 
 P.S. Saddar Wazirabad, Gujranwala</t>
  </si>
  <si>
    <t>Deleted. Not a case of enforced disappearance. Rather that of "gone in his own". Deyailed Findings dated 16.9.2016 refer.</t>
  </si>
  <si>
    <t>HRC No. 23167-G/2012</t>
  </si>
  <si>
    <t>Moizullah Baig S/o Moidullah Baig</t>
  </si>
  <si>
    <t>Masaidullah Baig B/o Missing Person r/o Flat No. B-16, Jamani Arcade, Gulshan-e-Iqbal, Block No. 14, Old Sabzi Mandi, Karachi</t>
  </si>
  <si>
    <t>FIR No. 32 dt. 28/05/2012 u/s 365 PPC, PS: Karachi Cantt.,South Karachi</t>
  </si>
  <si>
    <t>Nisar Khan S/o Aurangzaib Khan</t>
  </si>
  <si>
    <t>Muhammad Javaid b/o Missing Person r/o Village: Mangal Chai, Illaqa Garon, Distt: Swabi</t>
  </si>
  <si>
    <t>Traced Person. Appeared before the Commission on 23.2.2013. Reluctant to share the details for abvious reasons.</t>
  </si>
  <si>
    <t>Hamdullah S/o Muhammad Ilyas</t>
  </si>
  <si>
    <t>HRC No. 36949-K/2012</t>
  </si>
  <si>
    <t>Riaz S/o Shah Jehan</t>
  </si>
  <si>
    <t>Mst. Mehir Sultana M/o Missing Person r/o Islampur, Tehsil: Babozi, Distt: Swat (Tel: 0946-865335)</t>
  </si>
  <si>
    <t>Traced Person. SP (Inv) Swat submitted at the hearing on 4.12.2013 that Riaz, a Contable in Police returned to home.</t>
  </si>
  <si>
    <t>Alam Gir S/o Rasham Khan</t>
  </si>
  <si>
    <t>Nizam-ud-Din b/o Missing Person, r/o village Naiwala, Tehsil &amp; P.O. Parowa, District Dera Ismail Khan, KPK (Cell No. 0341-9284353)</t>
  </si>
  <si>
    <t>FIR No. 447
 dt: 26-12-2012
 P.S. Prova,
 District: D.I.Khan</t>
  </si>
  <si>
    <t>Under Investigation D.I Khan</t>
  </si>
  <si>
    <t>0952-K</t>
  </si>
  <si>
    <t>HRC No.35336-K/2012</t>
  </si>
  <si>
    <t>Khaista Bacha s/o Shalyar Khan</t>
  </si>
  <si>
    <t>Ali Bacha s/o Khaista Bacha Village Barah Bandi District Swat (Tel: 0345-2714348 / 0301-2801005)</t>
  </si>
  <si>
    <t>FIR No. 407
 dt: 30-07-2013 u/s 365 PPC, P.S. Kanju
 District: Swat</t>
  </si>
  <si>
    <t>Ali Anwar s/o Khaista Bacha</t>
  </si>
  <si>
    <t>HRC No. 26813-S/2012</t>
  </si>
  <si>
    <t>Fazal Muhammad S/o Abdul Ahad</t>
  </si>
  <si>
    <t>Mst. Gul Rezi W/o Abdul Ahad r/o Faqira Goth, Scheme No. 33, Super Highway, Karachi</t>
  </si>
  <si>
    <t>FIR No.5
 dt: 4/01/2013 
 u/s 365/34 PPC 
 P.S. Sohrab Goth, Karachi</t>
  </si>
  <si>
    <t>Deleted. The case has been deleted due to incomplete /fake address as the Police could not locate the complainant/family in the absence of which no further proceedings could be initiated. The address given in the complaint is Faqair Goth, Scheme No. 33, Super highway, Karachi.</t>
  </si>
  <si>
    <t>HRC No. 40068-K/2012, HRC No. 41096-K/2012</t>
  </si>
  <si>
    <t>Muhammad Asif S/o Muhammad Sher</t>
  </si>
  <si>
    <t>Muhammad Sher F/o Missing Person r/o Muhammad Sher (Teacher) Governbment Girls Higher Secondary School Jamrud, Tahsil &amp; PO: Jamrud, Distt: Peshawar</t>
  </si>
  <si>
    <t>FIR NIL (Place of Occurrence is Jamrud,Khyber Agency)</t>
  </si>
  <si>
    <t>Traced Person. Confined in the Internment Centre Fort Slop as informed by Rep of MI at the hearing on 16.4.2013.</t>
  </si>
  <si>
    <t>HRC No. 39648-G/2012</t>
  </si>
  <si>
    <t>Noor Jahan S/o Mir Jab Khan</t>
  </si>
  <si>
    <t>Mst. Meena Gul M/o Missing Person r/o Haider Khel, Tagha Sam, Tehsil: Centeral, Distt: Orakzai Agency (Mobile No. 0336-9611967)</t>
  </si>
  <si>
    <t>Traced Person. Confined in the Internment Centre, Kohat as informed by Rep of MI at the hearing on 29.1.2014.</t>
  </si>
  <si>
    <t>Altaf Ali Shah S/o Syed Qamar Ali Shah</t>
  </si>
  <si>
    <t>Aftab Ali Shah s/o Syed Qamar Ali Shah, r/o Village Sirsinai, Mohallah Syed Abad, Tehsil Kabal, District Swat (Mobile No. 0344-5127773, Tel No. 051-8463266)</t>
  </si>
  <si>
    <t>FIR No. 337, dated 21/10/2008, PS Kabal, District Swat</t>
  </si>
  <si>
    <t>Saleem Shah s/o Rooh-ul-Ameen</t>
  </si>
  <si>
    <t>Kaleem Shah B/o Missing Person, r/o Village/P.O. Sirsinai Muhallah Mian Ganon Cham Kaly, Tehsil Kabal, District: Swat (Mobile No. 0345-9239850)</t>
  </si>
  <si>
    <t>Traced Person. Confined in the Internment Center, Paitham District Swat. Family met him as informed by his brother at the hearing on 9.2.2015.</t>
  </si>
  <si>
    <t>Maaz Ahmed s/o Alam Shah</t>
  </si>
  <si>
    <t>Alam Shah F/o Missing Person r/o Village Gul Jabba, Tehsil Kabal, District: Swat (Mobile No. 0343-2198341)</t>
  </si>
  <si>
    <t>FIR No. 322 dt.25/7/2013, u/s 365 PPC PS Kabal, District Swat</t>
  </si>
  <si>
    <t>Hussain Ahmed s/o Muhammad Hummaiyon</t>
  </si>
  <si>
    <t>Sardar Ali B/o Missing Person, r/o Village Gul Jabba, Tehsil Kabal, District: Swat (Mobile No. 0342-9667176)</t>
  </si>
  <si>
    <t>FIR No. 321 dt.25/7/2013, u/s 365 PPC PS Kabal, District Swat</t>
  </si>
  <si>
    <t>Abdul Rehman Nadeem s/o Elahi Bakhsh</t>
  </si>
  <si>
    <t>Abdul Rehman Father-in-Law of Missing Person, r/o Muhallah Rana Town, Multan Chungi, Near Usman Masjid, Tehsil Lahore City, District Lahore (Mobile No. 0322-4337477)</t>
  </si>
  <si>
    <t>FIR No. 415/12 dt. 20 June 12 u/s 365 PPC/RPS, PS: Hanjerwal, District: Lahore</t>
  </si>
  <si>
    <t>Traced Person. Father-in-Law of Abdul Rehman Nadeem submitted affidavit on 21.5.2014 that the latter has returned to home.</t>
  </si>
  <si>
    <t>Molvi Ashiq Ali Jeho S/o Ameer Bux</t>
  </si>
  <si>
    <t>Zulfiqar Ali Nephew of Missing Person, r/o Goth Ameer Bux Jeho, Taluka Garhi, Yaseen Post Office Dakhan, District Shikarpur, Sindh (Mobile No. 0305-3734410)</t>
  </si>
  <si>
    <t>FIR No.50 dt. 27/6/2010 u/s 365 PPC, PS: Naudero, District: Larkana</t>
  </si>
  <si>
    <t>Deleted. At the hearing held in this case on 27.11.2019, SHO PS Naudero. Report dated 1.11.2019 and JIT meeting report dated 24.1.2016, 16.7.2016 and also 20.7.2017 were submitted with conclusion that the Missing Person has gone on his own. None appeared for the hearing to contradict the reports. Hence the case is deleted as it does not fall within the ambit of enforced disappearance.</t>
  </si>
  <si>
    <t>HRC No. 40822-K/2012</t>
  </si>
  <si>
    <t>Muhammad Ali S/o Turab</t>
  </si>
  <si>
    <t>Mst. Abida W/o Missing Person r/o Kotka Zabta Khan, Kot Beli, Bannu, C/o Afzal Advocate, Township, Bannu</t>
  </si>
  <si>
    <t>FIR No. 20
 dt: 10-1-2013
 u/s 365 PPC
 P.S, Saddar, District: Bannu</t>
  </si>
  <si>
    <t>HRC No. 41316-S/2012</t>
  </si>
  <si>
    <t>Shah Muhammad S/o Allah Dino</t>
  </si>
  <si>
    <t>Mr. Ali Dino F/o Missing Person r/o Mango Peer, Basti Yaqoob Shah Marri Goth, New Karachi (Mobile No. 0341-5098500)</t>
  </si>
  <si>
    <t>FIR N0.477 dt.16/10/2008 u/s 365 PPC,PS/Surjani Town,Karachi.</t>
  </si>
  <si>
    <t>Deleted. Due to incomplete Address.</t>
  </si>
  <si>
    <t>HRC No. 32059-P/2012</t>
  </si>
  <si>
    <t>Abuzar Ghaffari S/o Qari Muhammad Ismail</t>
  </si>
  <si>
    <t>Qari Muhammad Ismail F/o Missing Person r/o Ward No. 01, Chobara City, District Layyah (Mobile No. 0315-7536095)</t>
  </si>
  <si>
    <t>FIR No.23 dt.17/01/2013 u/s 365 PS Choubara District Layyah</t>
  </si>
  <si>
    <t>Traced Person. Appeared before the Commission on 25.2.2013. He submitted affidavit giving some details of kidnappers.</t>
  </si>
  <si>
    <t>HRC No. 36676-P/2012</t>
  </si>
  <si>
    <t>Ibrahim S/o Sardar Khan</t>
  </si>
  <si>
    <t>Mst. Haya Kha M/o Missing Person r/o House No. KN-3855, Street No. 4, Mohallah Gulistan, Fatima Fauji Colony, Rawalpindi (Mobile No. 0300-5599041)</t>
  </si>
  <si>
    <t>FIR No.51 dt.23/12/2012 u/s 365 PPC PS Naseerabad District Rawalpindi</t>
  </si>
  <si>
    <t>Traced Person. He appeared before the Commission on 28.01.2013 Reluctant to share details of incident.</t>
  </si>
  <si>
    <t>HRC No. 21738-K/2012</t>
  </si>
  <si>
    <t>Shakirullah S/o Naimatullah Khan</t>
  </si>
  <si>
    <t>Mst. Sadaqat Begum W/o Shakirullah r/o Handak Bala, Tehsil: Balambat, Distt: Lower Dir (Mobile No. 0306-8066961)</t>
  </si>
  <si>
    <t>FIR No. 1085 u/s 365 PPC, dt. 07 Nov 12, PS: Paharipura, Peshawar</t>
  </si>
  <si>
    <t>Traced Person. Confined in the Internment Centre, Malakand as confirmed by his brother at the hearing on 27.11.2014.</t>
  </si>
  <si>
    <t>HRC No. 32635-S/2012</t>
  </si>
  <si>
    <t>Syed Saim Ali Naqvi S/o Syed Qaim Ali Naqvi</t>
  </si>
  <si>
    <t>Syed Qaim Ali Naqvi F/o Missing Person r/o Flat No. A/11, Gulshan-e-Ameen Plaza, Sohrab Goth, Karachi</t>
  </si>
  <si>
    <t>Traced Person. Mr. Amin-un-Rehman, DSP, F.B, Area appeared before the Commission and confirmed that Syed Saim Ali Naqvi was present at home. The aforesaid position confirmed by his father.</t>
  </si>
  <si>
    <t>0969-B</t>
  </si>
  <si>
    <t>HRC No. 35144-B/2012</t>
  </si>
  <si>
    <t>Khalid S/o Peerak</t>
  </si>
  <si>
    <t>Mst. Raja Bibi M/o Missing Person r/o Village Nokjo Mashkay, Distt: Awaran (Mobile No. 0315-8855426)</t>
  </si>
  <si>
    <t>FIR No. 168
  dt: 31-8-2010 
 u/s 365/147/148/149 PPC 
 P.S. Hub City District: Lasbella</t>
  </si>
  <si>
    <t>Deleted. DSP, CTD, Quetta submitted Missing Person involved in Criminal Case and declared absconder.</t>
  </si>
  <si>
    <t>0970-B</t>
  </si>
  <si>
    <t>Nasarullah S/o Muhammad Akbar</t>
  </si>
  <si>
    <t>Mst. Raja Bibi r/o Village Nokjo Mashkay, Distt: Awaran (Mobile No. 0315-8855426)</t>
  </si>
  <si>
    <t>Ali Asjad S/o Dost Muhammad</t>
  </si>
  <si>
    <t>Mst. Mumtaz Bibi M/o Missing Person r/o Koat Nihal Singh Bachiki, Tehsil &amp; District Nankana Sahib. Present address: Jamal Colony, Hinjarwal Multan Road, Lahore (Mobile No. 0300-4866530)</t>
  </si>
  <si>
    <t>FIR No. 862 dt.23/9/2010 u/s 365 PPC, PS: Hanjarwal, Lahore</t>
  </si>
  <si>
    <t>Deleted. Not a case of enforced disappearance rather that of personal enmity.</t>
  </si>
  <si>
    <t>HRC No. 39839-S/2012</t>
  </si>
  <si>
    <t>Syed Abdul Jabbar S/o Syed Abdul Wali</t>
  </si>
  <si>
    <t>Syed Abdul Wali F/o Missing Person r/o House No. R-110, Daood Banglows, Super Highway, Sohrab Goth, Karachi (Mobile No. 0315-8301029)</t>
  </si>
  <si>
    <t>FIR No.304 dt.3/12/2012 u/s 365 PPC,PS/Malir City,District Malir East,Karachi.</t>
  </si>
  <si>
    <t>HRC No. 40140-P/2012</t>
  </si>
  <si>
    <t>Saad Ali Masoori Bugti</t>
  </si>
  <si>
    <t>Ali Nawaz Masoori Bugti B/o Missing Person r/o Mouza Thatta Gabolan Kho Nawan Tehsil &amp; Distt: Dera Ghazi Khan (Mobile No. 0332-8786596)</t>
  </si>
  <si>
    <t>FIR No. 22 
 dt: 13-11-2012 
 u/s 365/395/147/148/149 
 PPC P.S. Sariab District: Quetta</t>
  </si>
  <si>
    <t>Traced Person. Returned to Home and his statement was recorded under 161 CrPC.</t>
  </si>
  <si>
    <t>HRC No. 27287-P/2012, HRC No. 26591-P/2012</t>
  </si>
  <si>
    <t>Asif S/o Ghayoor</t>
  </si>
  <si>
    <t>Mst. Misbah Batool W/o Muhammad Asif r/o Ward No. 5, Mohallah Haideri, Jhang (Mobile No. 0346-7273053)</t>
  </si>
  <si>
    <t>FIR NIL--Place of Occurrence is Zhob,Balochistan</t>
  </si>
  <si>
    <t>Traced Person. Returned to Home and informed by Intelligence Bureau, Islamabad.</t>
  </si>
  <si>
    <t>HRC No. 26774-G/2012</t>
  </si>
  <si>
    <t>Khan Akbar S/o Khan Badshah</t>
  </si>
  <si>
    <t>Mr. Tahir Khan Badshah r/o Toda Cheena, PO Bara, Tehsil: Bara, Distt: Khyber Agency (Mobile No. 0331-9030006)</t>
  </si>
  <si>
    <t>Traced Person. Confined in the Internment Centre Fort Slop as Communicated vide letter No. 173/Missing/4.5.7/GS(Int) dated 01.03.2013.</t>
  </si>
  <si>
    <t>HRC No. 26206-K/2012</t>
  </si>
  <si>
    <t>Saleem S/o Jumma Khan</t>
  </si>
  <si>
    <t>Mst. Bakht Sardara M/o Missing Person r/o Halkarai Chaprial, Tehsil: Matta, Distt: Swat (Mobile No. 0344-9666390)</t>
  </si>
  <si>
    <t>FIR No. 192 dated 3/07/2013, PS Chuprial, District Swat</t>
  </si>
  <si>
    <t>HRC No. 26442-K/2012</t>
  </si>
  <si>
    <t>Bakht Karam S/o Sahibzada Ibrahim</t>
  </si>
  <si>
    <t>Sahibzada Ibrahim F/o Missing Person r/o Kabal Mohallah: Baba Jee Cham Keel, Distt Swat (Mobile No. 0346-3402369)</t>
  </si>
  <si>
    <t>Traced Person. Appeared bfore the Commission on 27.12.2013. Father of Bakht Karam also confirmed.</t>
  </si>
  <si>
    <t>0978-K</t>
  </si>
  <si>
    <t>HRC No. 1084-G/2013</t>
  </si>
  <si>
    <t>Sadaam Hussain S/o Ghulam Raza</t>
  </si>
  <si>
    <t>Jamaal-u-Din S/o Ghulam Raza r/o Kambar Khel, Aka Khel, Mera Sheen, Darang Bara, Khyber Agency (Mobile No. 0333-9335262)</t>
  </si>
  <si>
    <t>FIR No.218 dt.19/3/2014
  u/s 365 PPC
  PS Paharipura, Peshawar</t>
  </si>
  <si>
    <t>HRC No. 37053-/2012</t>
  </si>
  <si>
    <t>Dr. Saeed Khan</t>
  </si>
  <si>
    <t>Quetta Christian Hospital, Sariab Road, Quetta</t>
  </si>
  <si>
    <t>Traced Person. Returned to home as confirmed at the hearing on 23.9.13. However, it was a case of kidnapping for ransom.</t>
  </si>
  <si>
    <t>0980-K</t>
  </si>
  <si>
    <t>2034, 1023 &amp; 980 to fixed together at next hearig</t>
  </si>
  <si>
    <t>Abdullah Jan S/o Romal Khan</t>
  </si>
  <si>
    <t>Mst. Beebkah M/o Missing Person r/o Dogar Umer-Zai, P.O Matki Bezen Khel, P.S. Town Ship, Bannu, CNIC No. 155-46-037584)</t>
  </si>
  <si>
    <t>FIR No.1289 dt.02/11/2014 u/s 365 PPC PS Hayatabad,Peshawar.</t>
  </si>
  <si>
    <t>Under Investigation 
 Peshawar</t>
  </si>
  <si>
    <t>Hafiz Khair-ul-Zaman @ Farooqi S/o Dr. Wali Sardar Khan</t>
  </si>
  <si>
    <t>Dr. Wali Sardar Khan f/o Missing Person r/o Bhrat Khas, Tehsil &amp; District Bannu, KPK (Cell No. 0324-9904161, 0303-8372523)</t>
  </si>
  <si>
    <t>FIR No.48 dt.15/2/2013 u/s 365 PPC PS Mandan District Bannu</t>
  </si>
  <si>
    <t>Traced Person. Father of Hafiz Khair-ul-Zaman appeared on 5.4.2013 at the hearing in this Commission and confirmed that his son has returned to home.</t>
  </si>
  <si>
    <t>Yasir S/o Bubakar</t>
  </si>
  <si>
    <t>Mst. Summiya M/o Missing Person, r/o House No. 49, G-13/2, Gali No. 64, Islamabad (Cell No. 0308-8529707)</t>
  </si>
  <si>
    <t>FIR No76 dt.13/02/2013 u/s365 PPC PS Sadar Gujranwala</t>
  </si>
  <si>
    <t>Traced Person. Mother of Yasir confirmed at the hearing on 10.11.2014 that yasin has returned.</t>
  </si>
  <si>
    <t>Muhammad Haroon s/o Gul Noroze</t>
  </si>
  <si>
    <t>Rehman Ullah Khan Son-in-Law of Missing Person, r/o Gut-Koto, P.O. Jalala, Tehsil Batkhaila, District Malakand (Mobile No. 0343-9996346)</t>
  </si>
  <si>
    <t>FIR No.44 dt 09/02/2013 u/s 365/148/149 PPC PS Gandigar DistrictDir Lower</t>
  </si>
  <si>
    <t>Traced Person. (SP (Inv) Dir Lower submitted report that Muhammad Haroon expired and funeral taken place. Family confirmed.</t>
  </si>
  <si>
    <t>0985-K</t>
  </si>
  <si>
    <t>Muhammad Ishaq s/o Fazal Razaq</t>
  </si>
  <si>
    <t>Mst. Jahan Wala M/o Missing Person r/o Muhallah Bercham, Dheerai, P.O. Dheerai Baba, Tehsil &amp; District Swat (Mobile No. 0302-8523468)</t>
  </si>
  <si>
    <t>FIR No. 423
 dt: 3-8-2013
  u/s 365 PPC 
 P.S. Kanju, District Swat</t>
  </si>
  <si>
    <t>Mihad Ullah Khan S/o Habib Ullah Khan</t>
  </si>
  <si>
    <t>Tasleem Ullah B/o Missing Person r/o Moskih Dawr Shakhi Khel, P.O. Meer Ali, Tehsil Meer Ali, District North Waziristan Agency (Mobile No. 0333-9201697)</t>
  </si>
  <si>
    <t>FIR No. 138 
 dt: 17-2-2013
 u/s 365 PPC 
 P.S. Airport Distt: Rawalpindi</t>
  </si>
  <si>
    <t>Traced Person. As per report of I.O. he is residing in North Waziristan. Also confirmed by Tasleem Khan cousin of Mihad Ullah Khan.</t>
  </si>
  <si>
    <t>0987-K</t>
  </si>
  <si>
    <t>Muhammad Ayaz S/o Shamsheer Khan</t>
  </si>
  <si>
    <t>Shamsheer Khan F/o Missing Person, r/o Muhallah Hafiz Baba, Bara Bandi, P.O. Bara Bandi, Tehsil &amp; District Swat (Mobile No. 0324-5126018)</t>
  </si>
  <si>
    <t>FIR No.416
 dt: 1-8-2013
  u/s 365 PPC 
 P.S. Kabal District Swat</t>
  </si>
  <si>
    <t>0988-K</t>
  </si>
  <si>
    <t>Muhammad Riaz S/o Shamsheer Khan</t>
  </si>
  <si>
    <t>0989-K</t>
  </si>
  <si>
    <t>Syed Karim S/o Karwan</t>
  </si>
  <si>
    <t>Fazal Kareem s/o Missing Person r/o Aliabad Kanjo, Tehsil &amp; District Swat (Mobile No. 0345-9458780)</t>
  </si>
  <si>
    <t>FIR No. 424 dt.03/8/2013 u/s 365 PPC PS Kanju District Swat</t>
  </si>
  <si>
    <t>Umer Ali S/o Syed Karim</t>
  </si>
  <si>
    <t>Fazal Kareem b/o Missing Person r/o Aliabad Kanjo, Tehsil &amp; District Swat (Mobile No. 0345-9458780)</t>
  </si>
  <si>
    <t>Orignal Compainat is Late Mst. Taj Meena. She was expire on 01-04-2020. Application recive from Fazal Kareem s/o M.P for change complainat name in our Office for futher legal actions.</t>
  </si>
  <si>
    <t>FIR No424 dt.03/8/2013 u/s 365 PPC PS Kanju District Swat</t>
  </si>
  <si>
    <t>Farman S/o Syed Karim</t>
  </si>
  <si>
    <t>Orignal Compainat is Late Mst. Taj Meena. She was expire on 01-04-2020. Application recive from Fazal Kareem b/o M.P for change complainat name in our Office for futher legal actions.</t>
  </si>
  <si>
    <t>Farhad Khan S/o Syed Karim</t>
  </si>
  <si>
    <t>Sana Ullah S/o Syed Karim</t>
  </si>
  <si>
    <t>Ghulam Qadir s/o Abdul Ghulam</t>
  </si>
  <si>
    <t>Mst. Fazeelat Bibi D/o Missing Person, r/o Muhallah Bostan Khel, Engro Dherai, Tehsil &amp; District Swat (Mobile No. 0342-8976133)</t>
  </si>
  <si>
    <t>FIR No.127 dt.10/02/2014 u/s 365 PPC PS Khazana,Peshawar</t>
  </si>
  <si>
    <t>Traced Person. Confined in Internment Center Fizagat, as informed by Rep of MI at the hearing on 22.12.2014.</t>
  </si>
  <si>
    <t>0995-K</t>
  </si>
  <si>
    <t>Raheem Ghaffar S/o Fazal Ghaffar</t>
  </si>
  <si>
    <t>Mst. Dilshad Bibi M/o Missing Person, r/o Gali/Muhallah-18, Bara Bandi, P.O. Khas, Tehsil &amp; District Swat (Mobile No. 0333-9491436, 0334-9301341)</t>
  </si>
  <si>
    <t>15602-0251274-1</t>
  </si>
  <si>
    <t>FIR No. 396 
 dt: 26/7/2013
 u/s 365 PPC
 PS: Kanju, District
 Swat</t>
  </si>
  <si>
    <t>Khawar Abbas S/o Muhammad Latif</t>
  </si>
  <si>
    <t>Basharat Ali B/o Missing Person, r/o Muhallah Usman Park, Gali Khalid Street, Fareed Town, Pasroor Road, Chicher Wali, Tehsil &amp; District Gujranwala (Mobile No. 0345-6623427)</t>
  </si>
  <si>
    <t>FIR No. 432 dt.01/11/2012 u/s 365 PPC, PS: Kasooki, DistrictHafizabad</t>
  </si>
  <si>
    <t>Traced Person. Khawar Abbas appeared before the Commission on 3.9.2013 and stated that he left home due to some dispute and no one abducted him.</t>
  </si>
  <si>
    <t>Muhammad Tanveer Khan S/o Muhammad Naeem Khan</t>
  </si>
  <si>
    <t>Muhammad Muneer Khan B/o Missing Person, r/o Ward No. 3, Kabeer Street. House No. 69, Kabeerwala, District Khanewal (Mobile No. 0333-6235850, 0308-7658876)</t>
  </si>
  <si>
    <t>FIR No.54 dt.11/02/2013 u/s 365 PPC PS Waryam District Jhang</t>
  </si>
  <si>
    <t>Traced Person. CPO, Gujranwala informed at the hearing on 10.11.2014 that dead body of Faheem was recovered and a case u/s 302 PPC has been registered.</t>
  </si>
  <si>
    <t>HRC No. 23472-P/2013</t>
  </si>
  <si>
    <t>Faheem Ijaz Umer S/o Abdul Aziz</t>
  </si>
  <si>
    <t>Abdul Manan B/o Missing Person, r/o House No. 34, Gali No. 6, Y-Block, Peoples Colony, Gujranwala (Mobile No. 0300-7430997, 0333-8135718, 0301-6460188)</t>
  </si>
  <si>
    <t>FIR No.78 dt.06/02/2013 u/s 365 PPC PS Peoples Colony, Gujranwala</t>
  </si>
  <si>
    <t>0999-P</t>
  </si>
  <si>
    <t>Muhammad Abdullah Anwer S/o Muhammad Jameel</t>
  </si>
  <si>
    <t>Abdul Rehman B/o Missing Person r/o Chohan Colony, Muhallah Bhagat Pura, Tehsil &amp; District Lahore (Mobile No. 0312-6927746)</t>
  </si>
  <si>
    <t>FIR No.64 dt.03/03/2013 u/s365 PPC PS City Sarai Aalamgir District Gujrat</t>
  </si>
  <si>
    <t>Gujrat</t>
  </si>
  <si>
    <t>HRC No. 26309-K/2012</t>
  </si>
  <si>
    <t>Arif Shah Khan alias Areef Shah S/o Murad Khan</t>
  </si>
  <si>
    <t>Naib Khan b/o Missing Person r/o Village Syed Alyan, PS: Paharpur, Distt: Dera Ismail Khan</t>
  </si>
  <si>
    <t>FIR No.51 dt.04/02/13 u/s365/342 PPC PS Paharpur District D.I.Khan</t>
  </si>
  <si>
    <t>Syed Muhammad Zafar-ul-Haq Bukhari S/o Syed Ahmed Hussain Sajjad</t>
  </si>
  <si>
    <t>Syed Muhammad Usama Bukhari S/o Missing Person, r/o Street No. 3, Muhallah Garhi Awan, Hafizabad (Mobile No. 0321-5987791)</t>
  </si>
  <si>
    <t>Traced Person. Returned to home as informed by SP (Inv) Cantt Lahore. Son of the traced person also confirmed.</t>
  </si>
  <si>
    <t>Raheel Raza S/o Muhammad Aslam</t>
  </si>
  <si>
    <t>Muhammad Naveed B/o Missing Person r/o House No. 47, Gali No. 2, Sanjoli Estate, Adiyal Road, Rawalpindi (Mobile No. 0307-8892609, 0303-3863667)</t>
  </si>
  <si>
    <t>FIR No. 402, dt.08/11/2012 u/s 365 PPC, P.S. R.A Bazaar, Rawalpindi</t>
  </si>
  <si>
    <t>Traced Person. Returned to home as informed at the hearing on 23.7.2013 when the traced person was in Quetta.</t>
  </si>
  <si>
    <t>Muhammad Jamil S/o Muhammad Munir</t>
  </si>
  <si>
    <t>Muhammad Munir F/o Missing Person, r/o Village Sajjad Colony, Sohdara Tehsil Wazirabad, District Gujranwala (Mobile No. 0307-6802991)</t>
  </si>
  <si>
    <t>FIR No.54 dt.15/02/2013 u/s365 PPC PS Tatley Aali District Gujranwala</t>
  </si>
  <si>
    <t>Traced Person. Dead body recovered, as informed by CPO, Gujranwasla case closed with the direction for further investigation.</t>
  </si>
  <si>
    <t>Dilawar Hussain S/o Muhammad Feroz</t>
  </si>
  <si>
    <t>Khalid Pervaiz B/o Missing Person, r/o Muhallah Mughal Pura, Gali No. 5, Jalal Pura Road, Hafizabad (Mobile No. 0333-8270848)</t>
  </si>
  <si>
    <t>FIR No.19 dt.08/01/2013 u/s365 PPC PS City,Hafizabad</t>
  </si>
  <si>
    <t>Traced Person. Dilawar Hussain has been traced as he has returned to home. Affidavit is place on record.</t>
  </si>
  <si>
    <t>HRC No. 1945-P/2013</t>
  </si>
  <si>
    <t>Muhammad Asim S/o Khalil Ahmed</t>
  </si>
  <si>
    <t>Mst. Shamim Bibi M/o Missing Person r/o Och Gillani, Och Sharif, The: Ahmed Pur East, Distt: Bahawalpur (Mobile No. 0301-5107778)</t>
  </si>
  <si>
    <t>FIR No. 688 dt: 13/12/ 2012 u/s 365 PPC PS: Och Sharif District Bahawalpur</t>
  </si>
  <si>
    <t>Traced Person. Confined in the Internment Centre, Lakki Marwat as informed by Rep of MI.</t>
  </si>
  <si>
    <t>HRC No. 2110-K/2013</t>
  </si>
  <si>
    <t>Hafiz Muhammad Karim S/o Noor Rahim</t>
  </si>
  <si>
    <t>Muhammad Rahim b/o Missing Person r/o Village: Mohib Banda, Mohallah Miskeen Abad, Tehsil &amp; Distt: Mardan (Mobile No. 0313-9282319)</t>
  </si>
  <si>
    <t>FIR No.77 dt.08/02/2013 u/s 365 PPC Garhi Kapura District Mardan</t>
  </si>
  <si>
    <t>Traced Person. Hafiz Muhammad Karim has been traced. According to the report received from Rep of MI, Hafiz Muhammad Karim is presently confined in Internment Center Paithom. DSP (Inv), Mardan is present. He has been apprised of status of the case.</t>
  </si>
  <si>
    <t>Khalid Usman S/o Piaw Khan</t>
  </si>
  <si>
    <t>Khial Muhammad B/o Missing Person r/o Qume Sheraki, Bash Khel, Gorji Khel, Zohr Kalay, P.O. Dara Bazar Darra Adam Khel, FR Kohat (Mobile No. 0332-9373575)</t>
  </si>
  <si>
    <t>FIR No.218 dt.14/06/2013 u/s 347 PPC PS Bilitang District Kohat</t>
  </si>
  <si>
    <t>Traced Person. Confined in the Internment Center Kohat.</t>
  </si>
  <si>
    <t>Hafiz Zulfiqar Ali S/o Bashir Ahmed</t>
  </si>
  <si>
    <t>Khalid Mehmood B/o Missing Person, r/o House No. 206-L, Sector No. 16-B, Shafique Colony, North Karachi (Mobile No. 0301-3178701)</t>
  </si>
  <si>
    <t>Traced Person. Malik Mumtaz DSP/CTD, Karachi appeared before the Commission and stated that a case was registered against Haifz Zulfiqar Ali and he is no more a missing person. I is also pointed out that Hafiz Zulfiqar Ali has been enlarged on bail by the court of competent jurisdiction. In view of this categoric statement the name of Hafiz Zulfiqar Ali be deleted from the list of enforced disappeared persons.</t>
  </si>
  <si>
    <t>Shair Bahadur S/o Khan Jan</t>
  </si>
  <si>
    <t>Usman Ali Nephew of Missing Person, r/o Gali/Muhallah Jalalabad, P.O. Tando Daag, Tehsil &amp; District Swat (Mobile No. 0342-9828132)</t>
  </si>
  <si>
    <t>15602-0361961-1</t>
  </si>
  <si>
    <t>FIR No. 247 dated 30/12/2008 u/s 436-PPC PS Rahimabad District Swat</t>
  </si>
  <si>
    <t>Hazrat Yaqoob S/o Sarkar Haji</t>
  </si>
  <si>
    <t>Mst. Qamar Zameer w/o Hazrat Yaqoob, r/o Muhallah Ring Muhallah, Mingora Tehsil &amp; District Swat (0345-09833949, 0341-5677665)</t>
  </si>
  <si>
    <t>FIR No.427 dt.25/07/2013 u/s PPC PS Mingora District Swat</t>
  </si>
  <si>
    <t>Dead Body Recovered</t>
  </si>
  <si>
    <t>Fazal Ullah S/o Hazrat Yaqoob</t>
  </si>
  <si>
    <t>Mst. Qamar Zameer w/o Hazrat Yaqoob, r/o Muhallah Ring Muhallah, Mingora Tehsil &amp; District Swat (0345-0983949, 0341-5677665)</t>
  </si>
  <si>
    <t>FIR No.427 dt.25/07/2013 u/s 365 PPC PPC PS Mingora District Swat</t>
  </si>
  <si>
    <t>Muhammad Adnan S/o Abdul Hakeem</t>
  </si>
  <si>
    <t>Abdul Hakeem F/o Missing Person r/o Yousaf Gillani Town, Chah Mughal Wala, P.O. Meryali, Tehsil &amp; District D.I. Khan (Mobile No. 0334-7229894, Tel No. 0966-730289)</t>
  </si>
  <si>
    <t>FIR No.85 dt.23/02/2013 u/s 365 PPC,PS City,District D.I.Khan</t>
  </si>
  <si>
    <t>Under Investigation (KP) D.I. Khan</t>
  </si>
  <si>
    <t>Muhammad Jamil s/o Abdul Rehman</t>
  </si>
  <si>
    <t>Muhammad Munir b/o Missing Person, r/o Alaqa Gdeezi, Malik Pur, P.O. Peer Baba, Tehsil Degger, District Bunair (Mobile No. 0346-9418327)</t>
  </si>
  <si>
    <t>15101-8718762-9</t>
  </si>
  <si>
    <t>FIR No.100 dt.22/02/2013 u/ s 365 PPC,PS Jowar,District Buner</t>
  </si>
  <si>
    <t>Deleted. JIT as well as PTF categorized the case as that of kidnapping by Militants. There is nothing on record to infer that the case falls within the domain of enforced disappearance. Hence, the case is closed.</t>
  </si>
  <si>
    <t>Shehzad Murtaza Alvi S/o Ghulam Mustafa Alvi</t>
  </si>
  <si>
    <t>Sohail Murtaza B/o Missing Person r/o House No/ 3, Gali No. 3, near Madina Masjid, Raza Abad Colony, Police Line No. 2, Suraj Miyani Road, Multan (Mobile No. 0346-7633576, 0303-6638665)</t>
  </si>
  <si>
    <t>FIR No.07 dt.27/02/2013 u/s 365/344 PPC PS Airport, Jackobabad</t>
  </si>
  <si>
    <t>Deleted. The case is closed as there is evidence to suggest it to be a case of enforced disappearance. The Missing Person Shehzad Murtaza Alvi , an employee of PAF, Base Jacobabad was declared deserter and also penalized for use of liquor in the FIR, seven persons were nominated but nothing was proved against them.</t>
  </si>
  <si>
    <t>HRC No.1234-P/2013</t>
  </si>
  <si>
    <t>Attique-ur-Rehman S/o Mushtaq Ahmed</t>
  </si>
  <si>
    <t>Mushtaq Ahmed F/o Missing Person, r/o House No. 40-D St.No.3 Main Bazar Rachna Town G.T. Road Tehsil Ferozwala District Sheikhupura</t>
  </si>
  <si>
    <t>FIR No.111 dt.07/02/2013 u/s 365 PPC PS Ferozwala District Sheikhupura</t>
  </si>
  <si>
    <t>Traced Person. Returned to Home as confirmed by DPO, Sheikhupura at the hearing held on 7.3.2014.</t>
  </si>
  <si>
    <t>HRC No. 1322-B/2013</t>
  </si>
  <si>
    <t>Naimat Ullah Qazi S/o Qazi Mehr Ullah</t>
  </si>
  <si>
    <t>Sahib Khatoon r/o Jail Road, Hada Mohalla, Kali Allahabad, Quetta, Balochistan</t>
  </si>
  <si>
    <t>FIR No. 264/12 u/s 365 PPC, dt. 16 Oct 12, PS: City, Quetta</t>
  </si>
  <si>
    <t>Traced Person. The abductee brother Jumma Khan confirmed that Naimat Ullah Qazi has come back to home safely.</t>
  </si>
  <si>
    <t>HRC No. 3443-K/2013</t>
  </si>
  <si>
    <t>Fateh Zer khan S/o Akram Khan</t>
  </si>
  <si>
    <t>Mst. Ajmina r/o Village Shot Kas U/C Dogadra District Dir Upper (Mobile No.0320-3209966 &amp; 0321-5785166)</t>
  </si>
  <si>
    <t>FIR No.8
 dt: 21/06/2009
 u/s 302/324 PPC
 PS Kalkot, Upper Dir</t>
  </si>
  <si>
    <t>Dilaram Khan S/o Fateh Zer Khan</t>
  </si>
  <si>
    <t>Abdul-ur -Rehman S/o Fateh Zer Khan</t>
  </si>
  <si>
    <t>Hafeez-ul-Hamd S/o Dilaram Khan</t>
  </si>
  <si>
    <t>Mohammad Idrees S/o Gul Rehman</t>
  </si>
  <si>
    <t>Ehsan Ullah S/o Mir Ahmed Khan</t>
  </si>
  <si>
    <t>1023-K</t>
  </si>
  <si>
    <t>HRC No. 
 1555-G/2013</t>
  </si>
  <si>
    <t>Gul Zaman Khan S/o Jalandar Khan</t>
  </si>
  <si>
    <t>Hussan Pari W/o Gul Zaman r/o Village Khar Tehsil Khar District Bajor. (Mobile No. 0346-5525633 &amp; 0307-5525633).</t>
  </si>
  <si>
    <t>21103-4629606-2</t>
  </si>
  <si>
    <t>FIR No.1660 dt.30/7/2015 u/s 365 PPC PS Hayatabad,Peshawar</t>
  </si>
  <si>
    <t>HRC No. 1006-K/2013</t>
  </si>
  <si>
    <t>Abdul Rasheed S/o Mir Afzal</t>
  </si>
  <si>
    <t>Mst. Musarrat Bibi W/o Missing Person r/o Village: Chanderian, PO: Khas, Tehsil: Oagi, Distt: Mansehra (Mobile No. 0300-2323987, 0301-2230841)</t>
  </si>
  <si>
    <t>FIR No.56
 dt: 22/02/2013
 u/s 365 PPC
 PS Ogi, Distt: Masehra</t>
  </si>
  <si>
    <t>Deleted. Not a case of Enforced Disappearance. Rep of FC Balochistan confirmed that Abdul Rasheed declared deserter after completion of codal formalities.</t>
  </si>
  <si>
    <t>Sharif Ahmed Baloch S/o Muhammad Wahid Bakhsh Baloch</t>
  </si>
  <si>
    <t>Gehbun, Kech C/o United Nations Human Rights Office of the High Commissioner, PLAISDES Nations, 1211 Geneva 10, Switzerland</t>
  </si>
  <si>
    <t>Traced Person. Naib Tehsildar, Muhammad Amin informed at the hearing on 14/12/2018 that Sharif Ahmed Baloch s/o Muhammad Wahid Baloch has returned to home as confirmed by father and maternal uncle, when they appeared at Police Station Levies Turbat on 21/08/2018.</t>
  </si>
  <si>
    <t>Safdar Moavia S/o Muhammad Nasarullah</t>
  </si>
  <si>
    <t>Muhammad Nasarullah F/o Missing Person, r/o Koat Shakir, Tehsil/P.O. Khas, 18 Hazari, District Jhang (Mobile No. 0301-7229302)</t>
  </si>
  <si>
    <t>33202-6088133-9</t>
  </si>
  <si>
    <t>FIR No.21 dt.27/02/2013 u/s 365 PPC PS Kot Shakir District Jhang</t>
  </si>
  <si>
    <t>Traced Person. Appeared before the Commission on 17.4.2013 and stated that he had gone for tableegh.</t>
  </si>
  <si>
    <t>Muhammad Idrees S/o Abuzar</t>
  </si>
  <si>
    <t>Baqir Ali B/o Missing Person, r/o Panj Peer, Muhallah Ghali Khel, District Swabi (Mobile No. 0314-9850414)</t>
  </si>
  <si>
    <t>FIR NIL (Place of Occurrence is in Swabi District)</t>
  </si>
  <si>
    <t>Traced Person. Appeared before the Commission and confirmed that he was taken into custody by unknown persons.</t>
  </si>
  <si>
    <t>Khalil Akbar S/o Gul Akbar (Late)</t>
  </si>
  <si>
    <t>Mst. Gul Jummah M/o Missing Person, r/o Chambai Kohat</t>
  </si>
  <si>
    <t>FIR No.89 dt.25/02/2013 u/s 365 PPC PS Fateh Jang,District Attock</t>
  </si>
  <si>
    <t>Traced Person. Appeared before the Commission on 28.3.2013 and stated that he had gone on his own for employeement.</t>
  </si>
  <si>
    <t>Muhammad Mudassir S/o Sabir Ali Shad</t>
  </si>
  <si>
    <t>Sabir Ali Shad f/o Missing Person, r/o Chak No. 73/JB, Tehsil &amp; District Faisalabad, P.O. Jappal (Mobile No. 0300-8077072, 0300-6615581)</t>
  </si>
  <si>
    <t>FIR No. 89, dated: 23/2/2006, u/s 365 PPC, PS Garden Town, District Lahore</t>
  </si>
  <si>
    <t>Deleted. Not a Case of Enforced Disappearances. Rather, Missing Person has gone on his own.</t>
  </si>
  <si>
    <t>HRC No. 3213-K/2013</t>
  </si>
  <si>
    <t>Saeed Ahmed S/o Fazal Illahi</t>
  </si>
  <si>
    <t>Mrs. Saeed Ahmed W/o Missing Person r/o Village &amp; PO: Saraey Saleh, Moh: Raliway Station, Tehsil &amp; Distt: Haripur, Hazara</t>
  </si>
  <si>
    <t>FIR No. 152 
 dt: 25-3-2010 
 u/s 365 PPC 
 P.S. Saddar District: Haripur</t>
  </si>
  <si>
    <t>Traced Person. Confined in the Fort Salop. Family facilitated to see him.</t>
  </si>
  <si>
    <t>HRC No. 4299-S/2013</t>
  </si>
  <si>
    <t>Muhammad Yousuf S/o Muhammad Afzal Khan</t>
  </si>
  <si>
    <t>Mr. Muhammad Torab Khan Uncle of Missing Person r/o House No. 54, Goth Ali Muhammad Brohi, Malir Landhi, Karachi</t>
  </si>
  <si>
    <t>FIR No. 145
 dt: 6-3-2013
 u/s 365 PPC 
 P.S. Cantt, District: D.I.Khan</t>
  </si>
  <si>
    <t>Traced Person. According to report submitted by Inspector (Inv), DI.Khan, Muhammad Yousaf has returned to home. Muhammad Younas who is brother of Muhammad Yousaf traced person telephonically confirmed the reported position.</t>
  </si>
  <si>
    <t>HRC No. 4370-S/2013</t>
  </si>
  <si>
    <t>Shoaib Ghufran S/o Muhammad Ghufran</t>
  </si>
  <si>
    <t>Javed Ghufran b/o Missing Person r/o House No. MC-824, Mujahid Colony, Nazimabad, Karachi (Mobile No. 0321-3483826)</t>
  </si>
  <si>
    <t>FIR No.5 dt.07/01/2013 u/s 365 PPC PS: Nazimabad, Karachi</t>
  </si>
  <si>
    <t>Traced Person. Returned to Home and available at (House No. MC-824, Mujahid Colony, Nazimabad, Karachi)</t>
  </si>
  <si>
    <t>HRC No. 41897-K/2012</t>
  </si>
  <si>
    <t>Fahad Mehmood Mughal S/o Aurangzeb</t>
  </si>
  <si>
    <t>Mst. Tameem Akhtar M/o Missing Person r/o Azizibang, PS: Bagnotar, PO: Aziz Abad, Tehsil &amp; Distt: Abbottabad (Mobile No. 0313-5816132)</t>
  </si>
  <si>
    <t>13101-1180236-3</t>
  </si>
  <si>
    <t>FIR No.24 dt,24/01/2013 u/s 365 PPC PS Attock Khurd District Attock</t>
  </si>
  <si>
    <t>Traced Person. Returned to home and residing at Abbotabad statement recorded u/s 164 CrPC.</t>
  </si>
  <si>
    <t>HRC No. 19224-K/2012</t>
  </si>
  <si>
    <t>Salman Khan S/o Abid Ullah Khan</t>
  </si>
  <si>
    <t>Mr. Rashid Ullah Kundi, Advocate, District Bar, Tank, Tehsil &amp; Distt: Tank</t>
  </si>
  <si>
    <t>Traced Person. DSP (Inv) Tank submitted statement confirming return of Salman Khan to home.</t>
  </si>
  <si>
    <t>HRC No. 1121-K/2013</t>
  </si>
  <si>
    <t>Ghazanfar</t>
  </si>
  <si>
    <t>Mst. Dilsha Begum W/o Missing Person r/o Village: Palotal Sakha Kot, Distt: Malakand</t>
  </si>
  <si>
    <t>Traced Person. Dead body recovered in District Attock and burial performed after identification by family members.</t>
  </si>
  <si>
    <t>HRC No. 441-K/2013</t>
  </si>
  <si>
    <t>Sardar Ali S/o Yar Ali Khan</t>
  </si>
  <si>
    <t>Yar Ali Khan F/o Missing Person r/o Muhammad Zai Qutab Khel, Malikabad Gadoon, Tehsil &amp; Distt: Swabi (Mobile No.0346-2831207)</t>
  </si>
  <si>
    <t>FIR No. 55 
 dt: 1-2-2013
  u/s 365/34 PPC 
 P.S Tarnol, Islamabad</t>
  </si>
  <si>
    <t>HRC No. 5388-P/2013</t>
  </si>
  <si>
    <t>Muhammad Ashiq S/o Muhammad Deen</t>
  </si>
  <si>
    <t>Mst. Safia Bibi Sister of Missing Person r/o Burj Kalan, Tehsil &amp; Distt: Kasur</t>
  </si>
  <si>
    <t>Traced Person. Appeared before the Commission on 20.9.2013.</t>
  </si>
  <si>
    <t>HRC No. 4618-K/2013</t>
  </si>
  <si>
    <t>Hafeezullah S/o Malik Meer</t>
  </si>
  <si>
    <t>Farmanullah b/o Missing Perons r/o Village: Nar Faqeer Masoon, PO: Saraey Nourang, Distt: Lakki Marwat (Mobile No. 0301-8079057)</t>
  </si>
  <si>
    <t>FIR No.120 dt.02/04/2014 u/s365 PPC PS West Cantt.,Peshawar</t>
  </si>
  <si>
    <t>Under Investigation KP Peshawar</t>
  </si>
  <si>
    <t>HRC No. 3337-G/2013</t>
  </si>
  <si>
    <t>Habib-ur-Rehman S/o Islam Gul</t>
  </si>
  <si>
    <t>Mst. Bilquees Bibi W/o Missing Person r/o Charmang Hashim Kaley, Bajaur Agency, FATA</t>
  </si>
  <si>
    <t>HRC No. 7757-K/2013</t>
  </si>
  <si>
    <t>Naveed Hussain S/o Piyao Shah</t>
  </si>
  <si>
    <t>Piyo Shah F/o Missing Person r/o Soriyan, Darra Adam Khel, District Kohat.(Mobile No. 0345-3618751, 0313-8810419)</t>
  </si>
  <si>
    <t>Traced Person. Confined in Internment Centre, Lakki Marwat.</t>
  </si>
  <si>
    <t>HRC No. 6997-G/2013</t>
  </si>
  <si>
    <t>Rashid ud Din Malik</t>
  </si>
  <si>
    <t>Abdul Rehma &amp; others r/o Managing Committee of Masjid Rabbania, F-8/4, Islamabad</t>
  </si>
  <si>
    <t>FIR No.47 dt.29/01/2013 u/s 365 PPC PS Margalla, Islamabad</t>
  </si>
  <si>
    <t>Traced Person. SP Saddar ICT stated at the hearing on 19.4.2013 that Rashid ud Din has been recovered.</t>
  </si>
  <si>
    <t>HRC No. 8257-G/2013</t>
  </si>
  <si>
    <t>Dam Saz s/o Jamaat Khan</t>
  </si>
  <si>
    <t>Muhammad Amin B/o Missing person r/o Aka Khel Bara District Khyber Agency (Mobile No. 0321-8655326, 0323-9849544)</t>
  </si>
  <si>
    <t>Traced Person. Dead body recovered as confirmed by his father.</t>
  </si>
  <si>
    <t>HRC No.6552-B/2013</t>
  </si>
  <si>
    <t>Pir Ameer Faisal s/o Pir Kamal Hussain</t>
  </si>
  <si>
    <t>HRC No. 31276-K/2012</t>
  </si>
  <si>
    <t>Asghar Khan s/o Qareeb-ur-Rehman</t>
  </si>
  <si>
    <t>Qareeb-ur-Rehman F/o Missing Person r/o Village Bara Banda Tehsil Kabal District Swat (Mobile No. 0344-9603423)</t>
  </si>
  <si>
    <t>FIR No. 348 dated 18/06/2013, u/s 365 PPC. PS Kanju, District Swat</t>
  </si>
  <si>
    <t>HRC No. 8026-/2013</t>
  </si>
  <si>
    <t>Mohammad Alam S/o Mohammed</t>
  </si>
  <si>
    <t>Said Alam Mohammad Azzem b/o Missing Person r/o Village: Halki Gandhab, Tehsil: Ghalanai, Distt: Mohamand Agency, FATA (Mobile No. 00966-599101271)</t>
  </si>
  <si>
    <t>Deleted. Not a Case of Enforced Disapperances, as there is a strong posibility that he might have been killed by Taliban. Detaled Findings dated 6.10.16 refer.</t>
  </si>
  <si>
    <t>HRC No. 39533-G/2012</t>
  </si>
  <si>
    <t>Mattiullah S/o Muhammad Ali Jan</t>
  </si>
  <si>
    <t>Mst. Rukhsana Begum W/o Mattiullah r/o Village: Buland Khel, Tehsil &amp; Distt: Orakzai Agency (Mobile No. 0302-5953407, 0301-8039756)</t>
  </si>
  <si>
    <t>Traced Person. Confined in the Internment Centre, Kohat as informed by Rep of MI.</t>
  </si>
  <si>
    <t>Moulvi Aziz-ud-Din s/o Haji Muhammad Momin</t>
  </si>
  <si>
    <t>Imam-ud-Din b/o Missing Person, r/o Zakoom Masjid, Abdul Qadoos Road, Kakar Colony, Pashtoon Abad, Quetta (Cell No. 0300-3801114)</t>
  </si>
  <si>
    <t>FIR NO. 09, dated: 18-2-2013, P.S. Pashtoon Abad, District: Quetta</t>
  </si>
  <si>
    <t>Traced Person. Statement of recorded u/s 161 CrPC indicating that Moulvi Aziz-ud-Din was released by kidnappers on 3.6.2014.</t>
  </si>
  <si>
    <t>1048-K</t>
  </si>
  <si>
    <t>Muhammad Saleem s/o Muhammad Khalil</t>
  </si>
  <si>
    <t>Mst. Jahan Saba M/o Missing Person r/o Barkanjo, Kanjo, Tehsil &amp; Distt, Swat (Mobile No. 0341-5781968, 0342-8927477)</t>
  </si>
  <si>
    <t>FIR No.409
 dt.30/7/2013
 u/s 365 PPC
 PS Kanju, District Swat</t>
  </si>
  <si>
    <t>Abdullah S/o Muhammad Bux</t>
  </si>
  <si>
    <t>Muhammad Bux F/o Missing Person, r/o Mouza Haleem Pur Adda, P.S. Ouch Sharif, Tehsil Ahmed Pur Sharqiya, District Bahawalpur (Cell No. 0307-2492511)</t>
  </si>
  <si>
    <t>FIR No. 152 dt.: 01-04-2013, P.S, Uch Sharif, District: Bahawalpur</t>
  </si>
  <si>
    <t>Traced Person. Returned to Home as confirmed in the statement of his father. He left the home his own.</t>
  </si>
  <si>
    <t>Muhammad Ameer s/o Yar Muhammad</t>
  </si>
  <si>
    <t>Muhammad Aqil b/o Missing Person, r/o Tehsil &amp; District Mianwali, P.O Khas, Dhabah Karsyal, Mianwali (Cell No. 0315-8325665, 0302-5159302)</t>
  </si>
  <si>
    <t>FIR No. 437 dt.: 27/09/2014 u/s 365 PPC, P.S, Satellite Townt, District: Sargodha</t>
  </si>
  <si>
    <t>Deleted. The occurrence is stated to have taken place on 16.10.2009 and the place of occurrence has been indicated Babu Sabu interchange, Lahore complaint was submitted on 28.2.2013 and the cognizance was taken by the Commission on 1.3.2013. In the instant case 23 JIT meetings have been conducted and the case was categorized as Missing Person has gone on his own. According to ISI, MI and CTD aforementioned person is not in their custody. Hence, not a case of enforced disappearance. The case is closed</t>
  </si>
  <si>
    <t>Hafiz Umer Farooq Hashmi s/o Sahibzada Moulvi Abdul Saboor Hashmi</t>
  </si>
  <si>
    <t>Sahibzada Abdul Hakeem Hashmi b/o Missing Person, r/o Tandali, Tehsil &amp; district Muzafarabad (Cell No. 0345-9591941)</t>
  </si>
  <si>
    <t>FIR No.113, dt. 11/10/-2012, P.S. Garhi Dopata, District: Muzafarabad</t>
  </si>
  <si>
    <t>Deleted. Sahibzada Muhammad Asif Hashmi has entered appearance on behalf of missing person, whose statement has been recorded on oath. He has deposed that the only person who was suspected to be involved in the disappearance of Hafiz Umer Farooq Hashmi is on Ch. Abdul Latif. The accused Ch. Abdul Latif was arrested by the Police and after interrogation he was sent to Jail wherefrom he was released on bail granted by Court. He further submitted that he did not suspect anybody else to be involved in the disappearance. Hence, the case does not fall within the ambit of enforced disappearance.</t>
  </si>
  <si>
    <t>Arshad Mehmood s/o Ahmed Bux</t>
  </si>
  <si>
    <t>Mst. Shaistha Perveen w/o Missing Person r/o Muhallah Manzorabad, Mandi Bahauddin (Cell No. 0341-9448765)</t>
  </si>
  <si>
    <t>Deleted. Not a case of enforced disappearance as Arshad Mehmood was involved in henious crimes. No evidence to suggest his enforced disappearnce</t>
  </si>
  <si>
    <t>Arfan Qadeer Bhatti</t>
  </si>
  <si>
    <t>C/o Royal Norwegian Embassy, Islamabad</t>
  </si>
  <si>
    <t>Deleted. Not a Case of Enforced Disappearances, as Arfan Qadeer Bhatti remained in Jail Custody.</t>
  </si>
  <si>
    <t>Maqsood Akhtar s/o Mast Ali</t>
  </si>
  <si>
    <t>Shoaib Ali b/o Missing Person, r/o Jhewranwali, P.O. Khas, Tehsil &amp; District Gujrat (Cell No. 0336-2199500, 0331-4743079) C/o Muhammad Siddique, Advocate High Court, Chamber No. 35(Bait-ul-Barkat Law Associates), Muslim Block, F-8 Markaz, Islamabad (Cell No. 0333-5588907)</t>
  </si>
  <si>
    <t>FIR NO. 730, dt: 25-12-2012, u/s 365 PPC PS Kunjah, District: Gujrat</t>
  </si>
  <si>
    <t>Under Investigation (Punjab) Gujrat</t>
  </si>
  <si>
    <t>Mushtaq Ahmed s/o Muhammad Miraj</t>
  </si>
  <si>
    <t>Ameer Hassan Zeb uncle of Missing Person, r/o village Dherai, Tehsil Kabal, District Swat (Mobile No. 0336-9457507)</t>
  </si>
  <si>
    <t>FIR No.207 dt.20/12/2013 u/s 365/34 PPC,PS Mominabad,District West,Karachi.</t>
  </si>
  <si>
    <t>Traced Person. Mr. Javed Ahmed SDPO Pakistan Bazar Karachi is present. According to him complainant Ameer Hussain Zaib informed him on telephone that the alleged missing person Mushtaq Ahmed s/o Muhammad Miraj is confined in Internment Center at Fiza Ghat Mangora, Swat. Representative of the MI has also confirmed this fact which is based on his information supplied by relevant Authority. In view of this position, it is no more a case of missing person.</t>
  </si>
  <si>
    <t>Muhammad Shafi Asi s/o Abdul Qadir</t>
  </si>
  <si>
    <t>Muhammad Kashif Naveed s/o Missing Person, r/o Al-noor Colony, Ward No. 8, Fateh Pur, Tehsil Karor Lal Essen, District Layyah (Mobile No. 0300-8762635)</t>
  </si>
  <si>
    <t>FIR NO. 26, dated: 6-2-2013, P.S, Sarwar Road, District Lahore</t>
  </si>
  <si>
    <t>Deleted. Not the case of Enforced Disappearance. Red warrant of Muhammad Shafi Asi issued through Interpol.</t>
  </si>
  <si>
    <t>HRC No. 9600-S/2013</t>
  </si>
  <si>
    <t>Muhammad Naeem S/o Muhammad Nawaz</t>
  </si>
  <si>
    <t>Ghulam Sarwar Awan U/o Missing Person r/o H # F-149, Mohallah F. Area, Future Colony, Landhi Malir, Karachi (Mobile No. 0333-3665483)</t>
  </si>
  <si>
    <t>Traced Person. The complainant Ghulam Sarwar Awan was contacted on Mobile Phone No. 0333-3665483. He has confirmed that his nephew Muhammad Naeem s/o Muhammad Nawaz has returned home. He further stated that he has also given this statement in Police Station Sharqi Goth, Karachi. In view of categoric statement, the name of Muhammad Naeem is hereby deleted from the list of enforced disappeared persons.</t>
  </si>
  <si>
    <t>1058-P</t>
  </si>
  <si>
    <t>Case No. 10003446</t>
  </si>
  <si>
    <t>Mudassar Iqbal s/o Muhammad Iqbal</t>
  </si>
  <si>
    <t>House No. 23, Street No. 40, near Shahbaz Bakery, New Shad Bagh Chowk, Lahore (Mobile No. 0312-2342525)</t>
  </si>
  <si>
    <t>FIR No.426
 dt: 12/05/2011
 u/s 365 PPC
 PS Shad Bagh, District: Lahore</t>
  </si>
  <si>
    <t>HRC No. 10279-S/2013</t>
  </si>
  <si>
    <t>Qari Attaullah S/o Hazoor Bakhsh</t>
  </si>
  <si>
    <t>Mr. Shaban b/o Missing Person r/o Madrissa Ashab-e-Suffa, Neepa Chorangi, Majeed Para, Karacahi (Mobile No. 0300-3486213)</t>
  </si>
  <si>
    <t>FIR No.174 dt.11/4/2013 u/s 365/34 PPC,PS/Aziz Bhatti,District East,Karachi.</t>
  </si>
  <si>
    <t>Traced Person. Qari Attaullah appeared before the Commission as he has been traced and returned home. He is no more a Missing Person. Accordingly the case is closed.</t>
  </si>
  <si>
    <t>HRC No. 33419-S/2012</t>
  </si>
  <si>
    <t>Taj Gul S/o Ajab Khan</t>
  </si>
  <si>
    <t>Mst. Shereen r/o House No. 1726/2548 Afridi Colony, Baldia, Township, Karachi West (Mobile No. 0333-3232148)</t>
  </si>
  <si>
    <t>D.D Entry No.18
 dt: 24/11/2012
 PS Baldia Town, Karachi</t>
  </si>
  <si>
    <t>Under Investigation Sindh</t>
  </si>
  <si>
    <t>Waris Khan S/o Hayatullah Khan</t>
  </si>
  <si>
    <t>FIR No.43
 dt: 30/4/2013 u/s 365/34 PPC,
 PS Madina Colony,District West, Karachi.</t>
  </si>
  <si>
    <t>HRC No. 9019-S/2012</t>
  </si>
  <si>
    <t>Muhammad Ali S/o Muhammad Rahim</t>
  </si>
  <si>
    <t>Muhammad Rehman b/o Missing Person r/o House No. 1725/5604, Guldad Shah Road near Firdous Masjid, Madina Colony, Baldia Town No. 5, Karachi</t>
  </si>
  <si>
    <t>FIR No.244 dt.15/6/2012 u/s 365/34 PPC,PS/Saeedabad,District New Town,Karachi.</t>
  </si>
  <si>
    <t>Traced Person. It was informed at the hearing held in this Commission on 16/05/2018 that Muhammad Ali has returned to home. He appeared before the Commission and confirmed the reported position. The report submitted by Ghulam Ali, I.O is place on record.</t>
  </si>
  <si>
    <t>HRC No. 5951-B/2013, HRC No. 17068-B/2013</t>
  </si>
  <si>
    <t>Abdul Rauf Kurd alias Raja S/o Ghazi Khan</t>
  </si>
  <si>
    <t>Ghazi Khan F/o Missing Person r/o Sabzal Road, Quetta (Mobile No. 0313-2871282)</t>
  </si>
  <si>
    <t>FIR No. 136
 dt: 12/9/2013
 u/s 365 PPC
 P.S. Sariab,Quetta.</t>
  </si>
  <si>
    <t>HRC No. 24198-K/2012</t>
  </si>
  <si>
    <t>Muhammad Mushtaq S/o Rehman Shah</t>
  </si>
  <si>
    <t>Mst. Shamim Begum M/o Missing Person r/o Miangan Colony near Janan Millas, Kohat (Mobile No. 0332-7091599)</t>
  </si>
  <si>
    <t>FIR No.838 dt.25/02/2015 u/s 365 PPC PS Mattani,Peshawar.</t>
  </si>
  <si>
    <t>HRC No. 11086-K/2013</t>
  </si>
  <si>
    <t>Muhammad Shereen S/o Ahmed Khan</t>
  </si>
  <si>
    <t>Laal Shereen S/o Missing Person r/o Village Gamkot Shamozai, Tehsil: Barikot, Distt: Swat</t>
  </si>
  <si>
    <t>FIR No. 174
 dt: 25/07/2013
 u/s 365 PPC
 P.S. Shamozai, District Swat</t>
  </si>
  <si>
    <t>HRC No. 17141-K/2010</t>
  </si>
  <si>
    <t>Hazrat Shah s/o Syed Mashal</t>
  </si>
  <si>
    <t>Mst. Noor Hadia W/o Missing Person r/o Chapryal, Tehsil &amp; Distt: Swat (Mobile No. 0346-9392989)</t>
  </si>
  <si>
    <t>Traced Person. Mst. Noor Hadia, wife of Hazrat Shah entered appearance before the Commission on 7.2.2020, who statement was recorded on oath. She stated that her husband was murdered by a Talih Hameed Ullah s/o Mian Bakht Zada during operation for apprehension of a terrorist at Karachi. JIT also confirms the aforesaid report in its meeting held on 21.10.2019. The case is closed.</t>
  </si>
  <si>
    <t>1067-P</t>
  </si>
  <si>
    <t>Syed Muhammad Farhed Ali Shah S/o Muzaffar Ali Shah</t>
  </si>
  <si>
    <t>Muzaffar Ali Shah F/o Missing Person, r/o 28/B, Satellite Town, Murre Road, Rawalpindi (Mobile No. 0333-5123438)</t>
  </si>
  <si>
    <t>FIR No. 5, dt.05/01/2007, u/s 365 PPC P.S. New Town, District Rawalpindi</t>
  </si>
  <si>
    <t>Deleted. The cases has thoroughly been investigated, assistance of MoFAs also sought to ascertain information about deletion of Syed Farhad Ali Shah in Bagram Jail, Afghanistan but the outcome was -------- as intimated by US Embassy. The other aspect of the case is that there is no allegation against LEAs/Intelligence Agencies from the family/Complainant and all stakeholders have denied arrest / detention of the Missing Person. Hence not a case of enforced disappearance. The case is closed.</t>
  </si>
  <si>
    <t>Muhammad Abid S/o Muhammad Ramzan</t>
  </si>
  <si>
    <t>Muhammad Ramzan f/o Missing Person r/o Basti Kher Muhammad, Mouza Chelay Wahin, Tehsil Khror Paka, Lodhran (Mobile No. 0306-2156516)</t>
  </si>
  <si>
    <t>FIR No.209 
 dt: 23-4-2013 
 u/s 365 PPC
 P.S. Shah Shamas District: Multan</t>
  </si>
  <si>
    <t>Traced Person. Rep of MI, Submitted that as a result of trial conducted by Military Court, Muhammad Abid was sentenced to death.</t>
  </si>
  <si>
    <t>Multan</t>
  </si>
  <si>
    <t>HRC No. 11608-K/2013</t>
  </si>
  <si>
    <t>Khushaal Khan s/o Feroz Shah</t>
  </si>
  <si>
    <t>Raees Khan C/ Haji Zar Muhammad, New Garhi, Bakhshi Pul, Charsadda Road, Tehsil &amp; Distt: Peshawar</t>
  </si>
  <si>
    <t>17301-2552469-9</t>
  </si>
  <si>
    <t>HRC No. 21293-K/2012</t>
  </si>
  <si>
    <t>Imtiaz Ahmed S/o Zulfiqar Ahmed</t>
  </si>
  <si>
    <t>Mst. Farzana Bibi W/o Imtiaz Ahmed C/o Pakistan General Store, Shalian Road, NBP, Mansehra (Mobile No. 0347-8942360)</t>
  </si>
  <si>
    <t>Ghulam Haider s/o Dewa Khan Bughti</t>
  </si>
  <si>
    <t>Dewa Khan Bughti f/o Missing Person r/o Dera Murad Jamali (Mobile No. 0341-3086001)</t>
  </si>
  <si>
    <t>DD Entry No.21
 dt: 08/09/2012
 PS Levies, Dasht</t>
  </si>
  <si>
    <t>Traced Person. Judicial custody in case FIR No. 46/2013 u/s 4/5 ESA 7-ATA, 13-D, PS New Sariab, Quetta.</t>
  </si>
  <si>
    <t>Abdul Aziz Kakar s/o Haji Raz Muhammad</t>
  </si>
  <si>
    <t>Nasrullah s/o Missing Person, r/o House No. 8-20/50, Tareen Road, near Police Station Gawalmandi, Quetta (Mobile No. 0300-3825580)</t>
  </si>
  <si>
    <t>FIR No. 10, dated: 18-1-2013, P.S. Gawalmandi, District: Quetta</t>
  </si>
  <si>
    <t>Traced Person. Returned to home. However, it was not a case of enforced disappearance by the kidnappers.</t>
  </si>
  <si>
    <t>HRC No. 7885-B/2013</t>
  </si>
  <si>
    <t>Nasarullah Muhammadi Yousafzai s/o Massar</t>
  </si>
  <si>
    <t>Moulvi Abdullah b/o Missing Person, r/o Habibullah Coal Mines Company, Central Tunnel, Sorange, Quetta, Halqa-65 (Mobile No. 0346-8322676)</t>
  </si>
  <si>
    <t>FIR No. 22, dated: 31/7/2013 u/s 365/34 PPC, P.S. Levies Hanna, District: Quetta</t>
  </si>
  <si>
    <t>Traced Person. Nasrullah Muhammadi Yousafzai (Traced Person) entered appearance before the Commission and stated that after confinement of more than five years e has been released. He was asked as to how many times he remained under investigation to which he replied that he was called by the investigating authorities twice in five years.</t>
  </si>
  <si>
    <t>Abdul wahid s/o Ghulam Qadir(Late)</t>
  </si>
  <si>
    <t>Mst. Bibi Ayesha widow of Haji Ghulam Qadir r/o Kali Habib-abad, Tehsil Dasht, District Mastung (Mobile No. 0300-3887595)</t>
  </si>
  <si>
    <t>FIR No. 37, dt.3-8-2010, u/s 365/392/457/148/149 PPC P.S. Levis Thana,Dasht, Distrct: Mastung</t>
  </si>
  <si>
    <t>Deleted. Not a case of Enforced Disappearances, rather purely a criminal case as accused have been nominated in the FIR.</t>
  </si>
  <si>
    <t>Dad Muhammad s/o Ghulam Qadir(Late)</t>
  </si>
  <si>
    <t>Muhammad Ramzan s/o Muhammad Murad</t>
  </si>
  <si>
    <t>Tufail Ahmed b/o Missing Person r/o Ghajjar Town, District Awaran, Tehsil Mashkay (Mobile No. 0313-8507061, 0333-7973204)</t>
  </si>
  <si>
    <t>FIR No. 41, dated: 24-7-2010, P.S. Othal, District: Lasbela</t>
  </si>
  <si>
    <t>HRC No. 13530-B/2013</t>
  </si>
  <si>
    <t>Riaz Shahid S/o Ch. Ghulam Muhammad Shahid</t>
  </si>
  <si>
    <t>Mst. Samina Noureen w/o Missing Person, r/o H.No. C-7, Street No. 2, Qambrani Road Bank Colony, Quetta (Mobile No. 03144624074, Tel No. 041-8780443)</t>
  </si>
  <si>
    <t>FIR No. 84, dated: 15-5-2010, P.S. Shalkot, District: Quetta</t>
  </si>
  <si>
    <t>Zahoor Islam s/o Muhammad Gul</t>
  </si>
  <si>
    <t>Muhammad Usman b/o Missing Person r/o Chakmalai, Tehsil/P.O. Srwaikai, District South Waziristan Agency C/o Akram Khan s/o Abaseen Khan uncle of Missing Person, r/o Koat Abaseen, Gomal Bazar, Tank (Mobile No. 0300-3573848)</t>
  </si>
  <si>
    <t>Traced Person. Farooq Raza, Rep of IB reported that Zaheer Islam has been traced and he is living in Karachi.</t>
  </si>
  <si>
    <t>Hafiz Muhammad Umer Farooq s/o Abdul Ghaffar</t>
  </si>
  <si>
    <t>Hafiz Muhammad Abid b/o Missing Person r/o P.O. Khas, Koray Koat, Tehsil Koat Momin, District Sargodha (Mobile No. 0300-6001023, 0304-6001023)</t>
  </si>
  <si>
    <t>FIR No.526 
 dt:26/11/2013 
 u/s 365 PPC 
 P.S.Urban Area District Sargodha</t>
  </si>
  <si>
    <t>Deleted. JIT meeting was convened on 3.10.2019 and the case has been categorized as of missing person has gone on his own. Case was also taken up by PTF in its meeting dated 1.10.2019 and the case was categorized as of wilful Disappearance. Rep of ISI and MI are present and submitted that ground check was carried out which revealed that Hafiz Muhammad Umar Farooq was neither arrested nor held in custody. A similar report has been furnished by Rep of CTD. Keeping in view of aforesaid circumstances, it is not a case of Enforced Disappearance, hence the case is closed.</t>
  </si>
  <si>
    <t>Muhammad Tariq s/o Hazrat Nabi</t>
  </si>
  <si>
    <t>Syed Nabi b/o Missing Person r/o Muhallah Peoples Colony, Par Hoti, Mardan (Mobile No. 0333-9880433)</t>
  </si>
  <si>
    <t>FIR No.512 dt.27/7/2013 u/s 365 PPC PS Par Hoti,Mardan</t>
  </si>
  <si>
    <t>Mrawat Khan s/o Yaqoob Khan</t>
  </si>
  <si>
    <t>Bhadur Khan b/o Missing Person r/o Hazara Kabal, Tehsil &amp; District Swat, KPK (Mobile No. 0345-9524120)</t>
  </si>
  <si>
    <t>FIR No.425 dt.03/08/2013 u/s 365 PPC PS Kanju District Swat</t>
  </si>
  <si>
    <t>Traced Person. Confined in the Internment Centre, Fizaghat, District Swat.</t>
  </si>
  <si>
    <t>H.R.C. 13816-K/ 2013</t>
  </si>
  <si>
    <t>Fazal Muhammad s/o Khachan</t>
  </si>
  <si>
    <t>Umer Muhammad s/o Fazal Muhammad r/o Sangota Cham, District Swat (Mobile No. 0344-975576)</t>
  </si>
  <si>
    <t>FIR No. 197
 dt: 25/07/2013
 u/s 365 PPC
 P.S. Manglawar, District Swat</t>
  </si>
  <si>
    <t>1083-K</t>
  </si>
  <si>
    <t>Yar Muhammad s/o Fazal Muhammad</t>
  </si>
  <si>
    <t>Umer Muhammad b/o Yar Muhammad r/o Sangota Cham, Mingorah, Tehsil Babu Zai, District Swat (Mobile No. 0344-975576)</t>
  </si>
  <si>
    <t>15602-7565132-9</t>
  </si>
  <si>
    <t>H.R.C. 11803-/ 2013</t>
  </si>
  <si>
    <t>Shah Deen Khan</t>
  </si>
  <si>
    <t>Muhammad Qadir s/o Din Shah r/o Village Mamozai, Tappa Abdul Rahim Khel, P.O Khaljo, Tehsil Upper District Orakzai Agency (Mobile No. 0333-9640127)</t>
  </si>
  <si>
    <t>Traced Person. PA Orakzai Agency submitted report that Shah Deen was convicted under Section 121/121-A, 122 PPC and fined RS. 100,000/- and six year R-I.</t>
  </si>
  <si>
    <t>1085-K</t>
  </si>
  <si>
    <t>H.R.C. 34922-K/ 2012</t>
  </si>
  <si>
    <t>Abdul Rasheed s/o Muhammad Khan</t>
  </si>
  <si>
    <t>Abdul Jamil s/o Abdul Rasheed r/o Village Delay Bara Bandi, District Swat (Mobile No. 0342-9627587)</t>
  </si>
  <si>
    <t>15602-8842099-3</t>
  </si>
  <si>
    <t>FIR No. 415, dated 01/08/2013, u/s 365 PPC. PS Kanju, District Swat</t>
  </si>
  <si>
    <t>H.R.C. 12352-K/ 2013</t>
  </si>
  <si>
    <t>Muhammad Rehman s/o Pir Muhammad</t>
  </si>
  <si>
    <t>Mst. Sher Zameena w/o Muhammad Rehman r/o Rasha Gahta Mingora, Swat (Mobile No. 0346-9550624)</t>
  </si>
  <si>
    <t>FIR No. 193
 dt: 24/07/2013
 u/s 365 PPC
 P.S. Kokarai, District Swat</t>
  </si>
  <si>
    <t>H.R.C. 12154-K/ 2013</t>
  </si>
  <si>
    <t>Nawab Ali s/o Iqbal Hussain</t>
  </si>
  <si>
    <t>Iqbal Hussain f/o Missing Person r/o Muhallah Katyar, Village Shah Dehri, Tehsil Kabal, District Swat (Mobile No. 0344-9670834)</t>
  </si>
  <si>
    <t>FIR No.133
 dt: 25/07/2013 u/s 365 PPC PS Shahdheri District Swat</t>
  </si>
  <si>
    <t>Traced Person. Confined in Interment Centre, Lakki Marwat.</t>
  </si>
  <si>
    <t>H.R.C. 12514-K/ 2013</t>
  </si>
  <si>
    <t>Bilal s/o Mehboob khan (Late)</t>
  </si>
  <si>
    <t>Mst. Sirtaj Bibi w/o Mehboob Khan (Late), r/o Tehsil Matta, Swat (Mobile No. 0344-6918357)</t>
  </si>
  <si>
    <t>FIR No.195 dt.30/07/2013 u/s 365 PPC PS Chuprial District Swat</t>
  </si>
  <si>
    <t>Sher Dil s/o Purdil Khan</t>
  </si>
  <si>
    <t>Muhallah Afridi, Village Kagawala, PO Badaber, The: and District Peshawar(mobile no. 0345-7999111)</t>
  </si>
  <si>
    <t>FIR No 571 dt 14-12-2011 u/s 342 PPC PS East Cantt. Peshawar</t>
  </si>
  <si>
    <t>HRC No. 8212-S/2013</t>
  </si>
  <si>
    <t>Syed Muhammad Abbas Rizvi S/o Syed Waris Hussain Rizvi</t>
  </si>
  <si>
    <t>Muhammad Abbas r/o House No. 01/129 Behind Imambargah Jafria, Karachi</t>
  </si>
  <si>
    <t>Amir Raza S/o Baqir Ali</t>
  </si>
  <si>
    <t>Traced Person. Addl IG of Police Sindh, Karachi has informed vide letter No. Addl/IGO/CB/Sindh/HRC/7300-01/Karachi dated 21.4.2014 that Syed Muhammad Abbas Rizvi s/o Tariq Haider was arrested by Pak Rangers Sindh, Karachi and released after a few days after necessary. Hence the case is closed.</t>
  </si>
  <si>
    <t>Syed Azhar Hussain Rizvi S/o Shabbir Hussain Rizvi</t>
  </si>
  <si>
    <t>Traced Person. Addl IG of Police Sindh, Karachi has informed vide letter No. Addl/IGO/CB/Sindh/HRC/7300-01/Karachi dated 21.4.2014 that Syed Azhar Hussain Rizvi s/o Shabbir Hussain Rizvi was arrested by Pak Rangers Sindh, Karachi and released after a few days after necessary. Hence the case is closed.</t>
  </si>
  <si>
    <t>Syed Imran Hussain S/o Syed Muhammad Ahmed</t>
  </si>
  <si>
    <t>Traced Person. Addl IG of Police Sindh, Karachi has informed vide letter No. Addl/IGO/CB/Sindh/HRC/7300-01/Karachi dated 21.4.2014 that Syed Imran Hussain Rizvi s/o Syed Muhamamd Ahmed was arrested by Pak Rangers Sindh, Karachi and released after a few days after necessary. Hence the case is closed.</t>
  </si>
  <si>
    <t>Muhammad Hader S/o Raees Haider</t>
  </si>
  <si>
    <t>Traced Person. Addl IG of Police Sindh, Karachi has informed vide letter No. Addl/IGO/CB/Sindh/HRC/7300-01/Karachi dated 21.4.2014 that Muhammad Haider s/o Raees Haider was arrested by Pak Rangers Sindh, Karachi and released after a few days after necessary. Hence the case is closed.</t>
  </si>
  <si>
    <t>Muhammad Sadiq S/o Mumtaz Hussain</t>
  </si>
  <si>
    <t>Traced Person. Addl IG of Police Sindh, Karachi has informed vide letter No. Addl/IGO/CB/Sindh/HRC/7300-01/Karachi dated 21.4.2014 that Muhammad Sadiq s/o Mumtaz Hussain was arrested by Pak Rangers Sindh, Karachi and released after a few days after necessary. Hence the case is closed.</t>
  </si>
  <si>
    <t>Muhammad Yahya S/o Mumtaz Hussain</t>
  </si>
  <si>
    <t>Traced Person. Addl IG of Police Sindh, Karachi has informed vide letter No. Addl/IGO/CB/Sindh/HRC/7300-01/Karachi dated 21.4.2014 that Muhamamd Yahya s/o Mumtaz Hussain was arrested by Pak Rangers Sindh, Karachi and released after a few days after necessary. Hence the case is closed.</t>
  </si>
  <si>
    <t>Ummi Jafri S/o Muqaddas Husssain</t>
  </si>
  <si>
    <t>Traced Person. Addl IG of Police Sindh, Karachi has informed vide letter No. Addl/IGO/CB/Sindh/HRC/7300-01/Karachi dated 21.4.2014 thatUmmi Jafri s/o Muqaddas Hussain was arrested by Pak Rangers Sindh, Karachi and released after a few days after necessary. Hence the case is closed.</t>
  </si>
  <si>
    <t>Rizwan Guman S/o Hussain</t>
  </si>
  <si>
    <t>Traced Person. Addl IG of Police Sindh, Karachi has informed vide letter No. Addl/IGO/CB/Sindh/HRC/7300-01/Karachi dated 21.4.2014 that Rizwan Guman s/o Hussain was arrested by Pak Rangers Sindh, Karachi and released after a few days after necessary. Hence the case is closed.</t>
  </si>
  <si>
    <t>Syed Muhammad Kazim Rizvi S/o Syed Muhammad Abbas</t>
  </si>
  <si>
    <t>Traced Person. Addl IG of Police Sindh, Karachi has informed vide letter No. Addl/IGO/CB/Sindh/HRC/7300-01/Karachi dated 21.4.2014 that Syed Muhammad Kazmi Rizvi s/o Syed Muhammad Abbas was arrested by Pak Rangers Sindh, Karachi and released after a few days after necessary. Hence the case is closed.</t>
  </si>
  <si>
    <t>Syed Asif Ummi Rizvi S/o Syed Hassan Abbas</t>
  </si>
  <si>
    <t>Traced Person. Addl IG of Police Sindh, Karachi has informed vide letter No. Addl/IGO/CB/Sindh/HRC/7300-01/Karachi dated 21.4.2014 that Syed Asif Ummi Rizvi s/o Syed Hassan Abbas was arrested by Pak Rangers Sindh, Karachi and released after a few days after necessary. Hence the case is closed.</t>
  </si>
  <si>
    <t>Syed Naseem Haider S/o Najaf Hussain Jaffri</t>
  </si>
  <si>
    <t>Traced Person. None appeared for hearing from compainant side. SDPO Nazimabad was present. He has submitted progress report which shows that the alleged missing person was arrested in FIR No. 128/2019 registered on 18.5.2019 at P.S Gulshan Maymar District Malir. According SDPO Nazimabad. The alleged missing person was released on bail in this matter by the trail court and currently he is available at Lahore.</t>
  </si>
  <si>
    <t>Rizwan Ali S/o Naseeb Ali</t>
  </si>
  <si>
    <t>Traced Person. Addl IG of Police Sindh, Karachi has informed vide letter No. Addl/IGO/CB/Sindh/HRC/7300-01/Karachi dated 21.4.2014 that Rizwan Ali s/o Naseeb Ali was arrested by Pak Rangers Sindh, Karachi and released after a few days after necessary. Hence the case is closed.</t>
  </si>
  <si>
    <t>Raees Ahmed Jaffri S/o Tufail Ahmed Jaffri</t>
  </si>
  <si>
    <t>Traced Person. Addl IG of Police Sindh, Karachi has informed vide letter No. Addl/IGO/CB/Sindh/HRC/7300-01/Karachi dated 21.4.2014 that Raees Ahmed Jaffri s/o Tufail Ahmed Jaffri was arrested by Pak Rangers Sindh, Karachi and released after a few days after necessary. Hence the case is closed.</t>
  </si>
  <si>
    <t>Hussain Ahmed S/o Syed Raees Ahmed Jaffri</t>
  </si>
  <si>
    <t>Traced Person. It was informed at the hearing held in this Commission Hussain Ahmed was arrested by Pak Rangers but released thereafter.</t>
  </si>
  <si>
    <t>Syed Ahmed Abbas Jaffri S/o Hussain Arif</t>
  </si>
  <si>
    <t>Traced Person. It was informed at the hearing held in this Commission Syed Ahmed Abbas Jaffari was arrested by Pak Rangers but released thereafter.</t>
  </si>
  <si>
    <t>Syed Qambar Abbas Jaffri S/o Hussain Arif</t>
  </si>
  <si>
    <t>Traced Person. It was informed at the hearing held in this Commission by SHO Bilal Colony Police Station that the alleged missing person was residing at his residence. In view of this report submitted by SHO Bilal Colony the matter is closed as it is a no more a case of enforced disappearance.</t>
  </si>
  <si>
    <t>Taqi Haider S/o Sultan Haider</t>
  </si>
  <si>
    <t>Traced (Returned Home)</t>
  </si>
  <si>
    <t>Ghulam Rasool s/o Ghulam Ali</t>
  </si>
  <si>
    <t>Ghulam Ali f/o Missing Person r/o Killi Muhammad Shahi, Pood Gali Chowk, Quetta (Mobile No. 0306-3870314, 0301-3770970)</t>
  </si>
  <si>
    <t>FIR No. 181, dt.26/7/2012 u/s 365 PPC, P.S, Baroori, District: Quetta</t>
  </si>
  <si>
    <t>Deleted. The alleged Missing Person (Head Constable) was performing duty of Security Guard and he disappeared on 7.7.2012. In the FIR it was alleged that some unknown person might have abducted him. Accordingly, it is not a case of enforced disappearance as there is no allegation that the alleged Missing Person was taken away by any of the LEAs. Therefore, this case is closed.</t>
  </si>
  <si>
    <t>Abdul Jabbar s/o Muhammad Ali</t>
  </si>
  <si>
    <t>Muhammad Ali f/o Missing Person, r/o Basti Khair Muhammad Wala, Mouzoa &amp; P.O. Chalay Wahin, Tehsil Kehror Pacca, District Lodhran (Mobile No. 0335-6263033)</t>
  </si>
  <si>
    <t>FIR No.295 dt.27/05/2013 u/s 365 PS Saddar,Kehror Pacca District Lohdran</t>
  </si>
  <si>
    <t>HRC NO. 9680-S/2013</t>
  </si>
  <si>
    <t>Amir Rizwan s/o Nawab Ali</t>
  </si>
  <si>
    <t>Shakil Ahmed b/o Missing Person, r/o A/180, Block-8, Karachi Administrative Society, Karachi (Mobile No. 0333-2465449, 0346-2177118)</t>
  </si>
  <si>
    <t>FIR No. 53, dated: 27-2-2013, P.S. Tipu Sultan, District: Karachi</t>
  </si>
  <si>
    <t>Deleted. Sindh High Court, Karachi observed in the order dated 15.5.2013 that accused persons are on bail and avoiding appearance before Investigation Officer. Therefore cannot be treated as Missing Person. The case is therefore deleted from the list of enforced disappeared persons.</t>
  </si>
  <si>
    <t>Abdul Wahid Tabassum s/o Muhammad Hanif</t>
  </si>
  <si>
    <t>Muhammad Hanif f/o Missing Person, r/o Gali No. 19, Main Bazar Rachna Town, near double story Mosque Ferozewala (Mobile No. 0336-4819468)</t>
  </si>
  <si>
    <t>HRC No. 32902-K/ 2012</t>
  </si>
  <si>
    <t>Akbar Zada s/o Said Nabi</t>
  </si>
  <si>
    <t>Mst . Mariam Bibi w/o Missing Person, r/o Kouza Bandi, Swat (Mobile No. 0303-8225839 &amp; 0340-0914158 &amp; 0346-9398753).</t>
  </si>
  <si>
    <t>FIR No.405
 dt: 20/07/2013
 u/s 365 PPC
 P.S. Kanju, District Swat</t>
  </si>
  <si>
    <t>HRC No. 13509-K/ 2013</t>
  </si>
  <si>
    <t>Hizbullah s/o Ghulam Muhammad</t>
  </si>
  <si>
    <t>Mst Noor Bibi m/o Missing Person, r/o Muhallah Bara Khel, Kolachi, District Dera Ismail Khan (Mobile No. 0347-6893684)</t>
  </si>
  <si>
    <t>Traced Person. Confined in Internment Centre, Lakki Marwat as informaed by Rep of MI.</t>
  </si>
  <si>
    <t>HRC No. 13094-S/ 2013</t>
  </si>
  <si>
    <t>Noor Hassan s/o Kandeer Khan</t>
  </si>
  <si>
    <t>Muhammad Yousaf b/o Missing Person, r/o Awan Colony, Mangho Peer Road, near Madina Masjid, Karachi (Mobile No. 0300-7007748)</t>
  </si>
  <si>
    <t>Traced Person. Noor Hassan submitted an affidavit that he has returned to home safely.</t>
  </si>
  <si>
    <t>HRC No. 4471-S/ 2013</t>
  </si>
  <si>
    <t>Kashif Khan s/o Sher Khan</t>
  </si>
  <si>
    <t>Zahida Beghum w/o Missing Person, r/o House No. 854, Gali No. 4, Sector I-D, Gulfamabad, Orangi Town, Karachi</t>
  </si>
  <si>
    <t>Traced Person. The cognizance of the case was taken by the Commission and certain directions were communicated vide letter of even number dated 9.5.2013 to PPO Sidh. Inspector/IO appeared before the Commission and stated that Kashif Khan s/o Sher Khan was arrested in a case adn after completion of investigation he was released. In view of statement of IO no further action is required to be taken. The name of Kashif Khan is hereby deteted from the list of enforced disappeared person.</t>
  </si>
  <si>
    <t>HRC No. 10061-S/ 2013</t>
  </si>
  <si>
    <t>Shahid Ali s/o Muhammad Jumman</t>
  </si>
  <si>
    <t>Ghulam Mustafa s/o Muhammad Umer Baloch, r/o House No. H-994, Muhammad Umer Baloch, Muhallah Faqeer Colony Oran, Orangi Town, Karachi Mobile No.0311-2275518)</t>
  </si>
  <si>
    <t>FIR No.100
 dt: 3/4/2013
 u/s 365/34 PPC
 P.S/Mominabad, District West,Karachi.</t>
  </si>
  <si>
    <t>Traced Person. SHO PS, Mominabad, District West, Karachi submitted report along with statement of Brother of Shahid Ali to the effect that the latter has returned home on 20.10.2014. Accordingly the case stands disposed of.</t>
  </si>
  <si>
    <t>1117-K</t>
  </si>
  <si>
    <t>HRC No. 14887-K/ 2012</t>
  </si>
  <si>
    <t>Khalid Khan s/o Feroze Khan</t>
  </si>
  <si>
    <t>Haq Nawaz B/o Missing Person r/o Meri Khel, Shah Nawaz Kalay(Sheni Kalay), Dara Adam Khel, F.R. Kohat (Mobile No. 0346-5572917)</t>
  </si>
  <si>
    <t>Deleted. Joined Investigation Team (JIT) and Provincial Task Force (PTF) concluded that the Missing Person had gone on his own. All stakeholders denied his arrest/custody. Accordingly, the case is closed being not a case of enforced disappearance.</t>
  </si>
  <si>
    <t>HRC No. 31283-K/ 2012, HRC No. 31579-K/2013</t>
  </si>
  <si>
    <t>Ismail s/o Muhammad Derwaish</t>
  </si>
  <si>
    <t>Muhammad Khan s/o Muhammad Derwaish r/o Village Banda, Tehsil Kabal, District Swat (Mobile No. 0347-5770223)</t>
  </si>
  <si>
    <t>FIR No.408
 dt: 30/07/2013
 u/s 365 PPC
 P.S. Kanju, District Swat</t>
  </si>
  <si>
    <t>Bakht Khalil</t>
  </si>
  <si>
    <t>Abdul Qadeer Mengal s/o Abdul Ghani</t>
  </si>
  <si>
    <t>Abdul Ghani f/o Missing Person, r/o Killi Khoshk, Khuzdar Town, Balochistan</t>
  </si>
  <si>
    <t>Traced Person. Returned to home. However it was a case of kidnapping for ransom.</t>
  </si>
  <si>
    <t>Muhammad Rahim Mengal s/o Ghulam Muhammad</t>
  </si>
  <si>
    <t>Ghulam Muhammad f/o Missing Person, r/o Killi Khoshk, Khuzdar Town, Balochistan</t>
  </si>
  <si>
    <t>Abdul Ghafoor Mengal s/o Muhammad Yaqoob</t>
  </si>
  <si>
    <t>Muhammad Yaqoob f/o Missing Person, r/o Killi Khoshk, Khuzdar Town, Balochistan</t>
  </si>
  <si>
    <t>HRC No. 31070-K/ 2012</t>
  </si>
  <si>
    <t>Jumma Gul s/o Fazal Rahim</t>
  </si>
  <si>
    <t>Ibrahim r/o Village Maskipur, P.O. &amp; Tehsil Dogar, District Bunair (Mobile No. 0314-9809734)</t>
  </si>
  <si>
    <t>FIR No.737 dt,11/12/2013 u/s 365 PPC PS Nawagai District Buner.</t>
  </si>
  <si>
    <t>Under Investigation Bonair Swat</t>
  </si>
  <si>
    <t>Said-al-Hadi s/o Jumma Gul</t>
  </si>
  <si>
    <t>Hakim-ul-Din s/o Noor Muhammad</t>
  </si>
  <si>
    <t>Mst. Rehmat Jan w/o Missing Person, r/o Village Kerni, P.O. Kahota, Tehsil Haweli, District Bagh, AJ&amp;K (Mobile No. 0355-7136325)</t>
  </si>
  <si>
    <t>FIR No.32 dt.17/07/2005 u/s 365 APC PS Kahuta District Bagh,AJ&amp;K</t>
  </si>
  <si>
    <t>Deleted of with the direction for registeration of FIR vide detailed findings dated 14.05.2016</t>
  </si>
  <si>
    <t>Waqas Ahmed s/o Sheikh Muhammad Shafique(Late)</t>
  </si>
  <si>
    <t>Wahab Ahmed b/o Missing Person, r/o Muhallah Bhbhrana, Gali Hakeem Afzal Wali, H. No. 1131, Tehsil &amp; Disrict Jhang (Mobile No. 0301-6994889)</t>
  </si>
  <si>
    <t>FIR No.436 dt.28/05/2013 u/s 365 PPC PS Kotwali District Jhang</t>
  </si>
  <si>
    <t>Traced Person. Appeared before the Commission on 24.6.2013 and stated that he went to Raiwind with Tableeghi Jama'at.</t>
  </si>
  <si>
    <t>Azhar Haroon s/o Muhammad Safdar</t>
  </si>
  <si>
    <t>Muhammad Safdar f/o Missing Person, r/o House No. 482/D, Muhallah Abkari, Bannu City (Mobile No. 0331-9147590, Tel No. 0928-660486)</t>
  </si>
  <si>
    <t>FIR NIL (Place of Occurrence is Bannu)</t>
  </si>
  <si>
    <t>Traced Person. Rep of IB and I.O, Confirmed that Azhar Haroon has returned to home. Nothing beneficial could be extracted from him.</t>
  </si>
  <si>
    <t>Lal Rehman s/o Saif-ur-Rehman</t>
  </si>
  <si>
    <t>Gul Rehman uncle of Missing Person, r/o Loui Jor, Tehsil Khar, P.O. Louisim, Bajor Agency (Mobile No. 0343-9190621, 0302-8000541)</t>
  </si>
  <si>
    <t>FIR No. 390
 dt: 4/6/2013
 u/s 365 PPC
 PS. Pabbi
 District: Nowshera</t>
  </si>
  <si>
    <t>Under Investigation (Nowshera)</t>
  </si>
  <si>
    <t>Muhammad Safdar s/o Habib Khan</t>
  </si>
  <si>
    <t>Mst. Badshah Bibi w/o Missing Person, r/o Dhok Terbeathi, P.O. Sanjewal, Tehsil &amp; District Attock (Mobile No. 0332-9705454)</t>
  </si>
  <si>
    <t>Report No. 16, dated: 3-10-12, P.S. Saddar Attock, District: Attock</t>
  </si>
  <si>
    <t>Deleted. Not a case of Enforced Disappearances as the whole story revolves around personal enmity.</t>
  </si>
  <si>
    <t>HRC No. 24599-S/2013</t>
  </si>
  <si>
    <t>Umer Siddique s/o Munir-ul-Islam</t>
  </si>
  <si>
    <t>Munir-ul-Islam f/o Missing Person, r/o Smaal Merah, P.O. Bandigo, Tehsil &amp; District Batgram (Mobile No. 0308-2892043)</t>
  </si>
  <si>
    <t>FIR No.91 dt.04/06/2013 u/s 365 PPC,PS Kuzabanda District Battagram</t>
  </si>
  <si>
    <t>Traced Person. Confined in the Internment Centre, Lakki Marwat as infomed by Rep of MI.</t>
  </si>
  <si>
    <t>Muhammad Yaqoob s/o Muhammad Ibrahim</t>
  </si>
  <si>
    <t>Muhammad Yousaf b/o Missing Person, r/o Bagwani South, P.O. Raknu, Tehsil &amp; district Dera Ismail Khan (Mobile No. 0341-9299617)</t>
  </si>
  <si>
    <t>FIR No.218 dt.05/06/2013 u/s 365 PPC PS Dera Town Town District D.I.Khan</t>
  </si>
  <si>
    <t>Traced Person. Confined in the internment Centre, Lakki Marwat as confirmed by Rep of MI.</t>
  </si>
  <si>
    <t>Shoaib Ahmed s/o Shamshad Wazir</t>
  </si>
  <si>
    <t>Tanveer Ahmed cousin of Missing Person, r/o Alsaddat Hotel Mandiyan, Abbottabad (Mobile No. 0311-5822460)</t>
  </si>
  <si>
    <t>FIR No.461 dt.06/06/2013 u/s 365 PPC PS Mirpur District Abbottabad</t>
  </si>
  <si>
    <t>Traced Person. Dead Body recovered SP (Inv) Abbottabad submitted that a case u/s 302 PPC has been registered.</t>
  </si>
  <si>
    <t>1133-K</t>
  </si>
  <si>
    <t>Muhammad Farooq s/o Abdul Ghaffar</t>
  </si>
  <si>
    <t>Mst. Hameeda Bibi w/o Muhammad Mehboob, r/o Soudheyanwala, Gali Nimwali, Dera Ismail Khan (Mobile No. 0332-7231579, Tel No. 0966-710848)</t>
  </si>
  <si>
    <t>FIR No.266 dt.04/6/2013 u/s 365 PPC PS/Shaheed Mureed Akbar District Tank</t>
  </si>
  <si>
    <t>Under Investigation 
 Tank</t>
  </si>
  <si>
    <t>Tank</t>
  </si>
  <si>
    <t>1134-K</t>
  </si>
  <si>
    <t>Muhammad Ghani s/o Abdul Qasim</t>
  </si>
  <si>
    <t>Mst. Mohsinah Bibi w/o Missing Person, r/o Gali/Muhallah Bara Bandi, P.O. Barah Bandi, Tehsil &amp; Disrict Swat (Mobile No. 0346-94075207)</t>
  </si>
  <si>
    <t>15602-0249714-7</t>
  </si>
  <si>
    <t>FIR No.426
 dt: 03/08/2013
 u/s 365 PPC
 P.S. Kanju, District Swat</t>
  </si>
  <si>
    <t>Israel s/o Hakeem Jan</t>
  </si>
  <si>
    <t>Mst. Zahida m/o Missing Person, r/o Kotkay Gali No. 1, Barah Bandi, Tehsil &amp; District Swat (Mobile No. 0343-9394857)</t>
  </si>
  <si>
    <t>FIR No.427
 dt: 03/08/2013
 u/s 365 PPC
 P.S. Kanju, District Swat</t>
  </si>
  <si>
    <t>Traced Person. Confined in Internment Centre, Paitham District Swat as infomed by Rep of MI.</t>
  </si>
  <si>
    <t>Saleem Khan s/o Nasir Khan</t>
  </si>
  <si>
    <t>Nisar Ali b/o Missing Person, r/o Gharib Abad, Kanju, Tehsil &amp; Distt: Swat (Mobile No. 0344-9602271)</t>
  </si>
  <si>
    <t>FIR NIL (Place of Occurrence is in Swat district)</t>
  </si>
  <si>
    <t>Traced Person. Confined in the Internment Centre Malakand as infomed by Rep of MI.</t>
  </si>
  <si>
    <t>Abdul Hafeez s/o Abdul Sattar</t>
  </si>
  <si>
    <t>Muhammad Imran b/o Missing Person, r/o Shamkoatno, Tehsil Chownian, District Kasur (Mobile No. 0332-8401364)</t>
  </si>
  <si>
    <t>FIR No.550 dt.25/05/2013 u/s 365 PPC PS Chung District Lahore.</t>
  </si>
  <si>
    <t>Confined in Central Jail, Kot Lakhpat as confirmed by his brother. Case FIR 590 dated 12.7.2012</t>
  </si>
  <si>
    <t>Muhammad Junaid Khan s/o Kamal Khan</t>
  </si>
  <si>
    <t>Kamal Khan f/o Missing Person, r/o B-219, Block-N, North Nazimabad, Karachi (Mobile No. 0321-8971890)</t>
  </si>
  <si>
    <t>FIR No.254, dt.26/5/2012 u/s 365/34 PPC P.S/Taimoria, District: Central Karachi</t>
  </si>
  <si>
    <t>Traced Person. Cognizance of the issue was taken by this Commission by means of letter of even number dated 11.5.2013. It has been informed that Muhammad Junaid Khan has returned home as affirmed by his father namely Kamel Khan s/o Shamsher Khan. The authenticity of this information has further been confirmed by SSP (Inv) West-II, Karachi.</t>
  </si>
  <si>
    <t>HRC No. 17543-P/2013</t>
  </si>
  <si>
    <t>Ehsan Ullah s/o Saif Ullah</t>
  </si>
  <si>
    <t>Saif Ullah f/o Missing Person, r/o Chak No. 121/TDA, Adda Musawala, Tehsil &amp; District Layyah (Mobile No. 0346-6994028, 0347-2487410)</t>
  </si>
  <si>
    <t>FIR No. 89, dated: 2-11-12, P.S, Gabool Town, District: Central Karachi</t>
  </si>
  <si>
    <t>Muhammad Amir s/o Muhammad</t>
  </si>
  <si>
    <t>Muhammad f/o Missing Person, r/o Chak No. 50/TDA, P.O. Chak No. 47/TDA, Tehsil &amp; District Bhakkar (Mobile No. 0333-8053157)</t>
  </si>
  <si>
    <t>FIR No. 46, dt.23/03/2013,u/s 365 PPC P.S. Serai Muhajar, District: Bhakkar</t>
  </si>
  <si>
    <t>Traced Person. Appeared before the Commission on 24.5.2014 and stated that he went to Karachi as his own.</t>
  </si>
  <si>
    <t>Saghir Ahmed Shah s/o Feroze Shah</t>
  </si>
  <si>
    <t>Mst. Asma Jaffri Advocate w/o Missing Person, r/o Gali No. 19, Milat-abad, Dhok Banaras opposite Masjid-al-Bashir, Rawalpindi (Mobile No. 03005216062)</t>
  </si>
  <si>
    <t>FIR No.644, dt.17/10/2012,u/s 365 PPC PS Naulakha, District: Lahore</t>
  </si>
  <si>
    <t>Traced Person. I.O. Produced affidavit from wife of Saghir Ahmed confirmed that the Latter has returned to home.</t>
  </si>
  <si>
    <t>Muhammad Yasir s/o Muhammad Jaffar</t>
  </si>
  <si>
    <t>Muhallah Shwalah, Gali No.2, Murree, District Rawalpindi, c/o Muhammad Latif uncle of Missing Person, r/o New Chawni, Westridge Bazar, H.No. 36, Gali No. 5, near P.S. Westridge Rawalpindi (Mobile No. 0332-5519698)</t>
  </si>
  <si>
    <t>FIR No. 911, dated:05/03/2013 u/s 365 PPC P.S. Murree, District: Rawalpindi</t>
  </si>
  <si>
    <t>Deleted. Not the case of Enforced Disappearance</t>
  </si>
  <si>
    <t>Abdullah s/o Muhammad Ramzan</t>
  </si>
  <si>
    <t>Mst. Fatimah m/o Missing Person, r/o Flat No. J-14, Islamic Arcade, Gulshan-e-Iqbal, Karachi (Mobile No. 0332-2247835)</t>
  </si>
  <si>
    <t>Traced Person. Mr. Afzal Ali SI/IO, AVCC, Karachi appeared before the Commission and submitted that Abdullah has already returned home is no more a Missing Person. Accordingly the case is closed.</t>
  </si>
  <si>
    <t>Asghar Ali s/o Niyal-ud-Din</t>
  </si>
  <si>
    <t>Mst. Noor Bibi M/o Missing Person r/o Khuda ki Basti No. 3, Block-D/3, Kotri, District Jamshooro, Sindh (Mobile No. 0313-4929512)</t>
  </si>
  <si>
    <t>FIR No. 127 dt.10/4/2014 u/s 365/34 PPC P.S/Kotri, District: Jamshoro</t>
  </si>
  <si>
    <t>Traced Person. The cognizance of issue was taken and certain direction by means of letter of even number dated 29.5.2012 issued to PPO Sindh SI/I.O Roshan Ali made appearance before the Commission and submitted that Asghar Ali and Inayat Ali have been traced and presently doing some business in Dubai. The above mentioned information has further been confirmed by mother and elder brother of Asghar Ali who were present at the hearings.</t>
  </si>
  <si>
    <t>Inayat Ali s/o Niyal-ud-Din</t>
  </si>
  <si>
    <t>Najam-ud-Din @ Najam Shair S/o Malik Muhammad</t>
  </si>
  <si>
    <t>Gulbadeen b/o Missing Person, r/o Kali Malik Haji Rasool Bux Samalani Dalbandeen, District Chagi (Mobile No. 0333-3206756, 0334-2474069)</t>
  </si>
  <si>
    <t>FIR No. 13, dated 3-5-2012,u/s 365/34 PPC P.S/Levies Thana, Dasht, District: Mastung</t>
  </si>
  <si>
    <t>Deleted. Not a case of Enforced Disappearances and purely a criminal case.</t>
  </si>
  <si>
    <t>HRC No. 30606-B/2013</t>
  </si>
  <si>
    <t>Beburg Hafeez Siah Yad S/o Hafeez Ullah</t>
  </si>
  <si>
    <t>Hafeez Ullah f/o Missing Person r/o Maki Haq-abad, Burma Hotel, Sariab Road, Quetta (Mobile No. 0331-8329219)</t>
  </si>
  <si>
    <t>Deleted (Not a Case of Enforced Disapperances)</t>
  </si>
  <si>
    <t>Wilayat Ali S/o Niaz Ahmed</t>
  </si>
  <si>
    <t>Mst. Naseema Bibi w/o Niaz Ahmad, r/o Gali-3, Mohallah Faisal Park, Islampura, Tehsil Jaranwala, District Faisalabad.</t>
  </si>
  <si>
    <t>DD Entry No.16,
 dt: 30/08/2013
 PS: City Jaranwala
 District: Faisalabad</t>
  </si>
  <si>
    <t>Deleted. Not a case of enforced disappearance. He want on his own due to domestic dispute.</t>
  </si>
  <si>
    <t>Tariq Aziz s/o Brig® Ishtiaq Aziz(Late)</t>
  </si>
  <si>
    <t>Khalid Aziz b/o Missing Person, r/o House No. 31, Street No. 33, F-8/1, Islamabad (Mobile No. 0300-8548788)</t>
  </si>
  <si>
    <t>FIR No. 244, 
 dt: 10-5-2013 u/s 365/34 PPC P.S. Margalla, F-8/1 
 District: Islamabad</t>
  </si>
  <si>
    <t>Traced Person. SP Saddar ICTconfirmed that Tariq Aziz has been traced and recovered.</t>
  </si>
  <si>
    <t>1150-I</t>
  </si>
  <si>
    <t>Umer Javed s/o Malik Javed Anwer</t>
  </si>
  <si>
    <t>Malik Javed Anwer f/o Missing Person, r/o H. 565, Gali No. 78-A, G-8/1, Islamabad (Mobile No. 0300-5595895, Tel No. 051-2284099)</t>
  </si>
  <si>
    <t>FIR No. 303
 dt: 30/05/2013
 u/s 365 PPC
 P.S. Margalla, District Islamabad</t>
  </si>
  <si>
    <t>Deleted. Not a case of enforced disappearance, Gone on his own. Detailed findinds dated 8.4.2016 refer.</t>
  </si>
  <si>
    <t>Muhammad Ayub Khan s/o Babu Jan</t>
  </si>
  <si>
    <t>Momin Khan b/o Missing Person, r/o Village Shedala, P.O. Sher Palam, Tehsil Matta, District Swat (Mobile No. 0344-4348548)</t>
  </si>
  <si>
    <t>FIR No. 839
 dt: 26/07/2013
 u/s 365 PPC
 P.S. Matta, District Swat</t>
  </si>
  <si>
    <t>Traced Person. Confined in Internment Centre, Lakki Marwar.</t>
  </si>
  <si>
    <t>HRC No. 19409-P/2013, HRC No. 25669-K/2013</t>
  </si>
  <si>
    <t>Muhammad Umair Khan s/o Muhammad Rafique Khan</t>
  </si>
  <si>
    <t>Muhammad Rafique Khan f/o Missing Person, r/o Daal Mor, Tehsil Athara Hazari, Distrct Jhang (Mobile No. 0300-7507415)</t>
  </si>
  <si>
    <t>FIR No.156 dt.04/05/2013 u/s 365 PPC PS Hazari District Jhang</t>
  </si>
  <si>
    <t>Traced Person. Returned to home as confirmed by his father and reported by I.O</t>
  </si>
  <si>
    <t>Ghulam Qadir s/o Ali Muhammad</t>
  </si>
  <si>
    <t>Muhammad Arif Mehmood s/o Missing Person, r/o House No.33, Block-G/4, Wapda Town, Lahore (Mobile No. 0321-4807030)</t>
  </si>
  <si>
    <t>Deleted due to other reasons that is the incident occured at Mureat. Report from MoFA is on record.</t>
  </si>
  <si>
    <t>Roh-ul-Ameen s/o Mian Said Jahan</t>
  </si>
  <si>
    <t>Mst. Zarori w/o Missing Person, r/o Mian Gano Cham, Serseenai, Kabal, Tehsil &amp; District Swat (Mobile No. 0345-9239850).</t>
  </si>
  <si>
    <t>FIR No.394 dt.20/10/2014 u/s 365/34 PPC PS/Mochiko District West,Karachi.</t>
  </si>
  <si>
    <t>Gul Zada s/o Qamar</t>
  </si>
  <si>
    <t>Qamar f/o Missing Person r/o Muhallah Gareebabad, Serseenai, Kabal, Tehsil &amp; District Swat (CNIC NO. 15602-8990364-7)</t>
  </si>
  <si>
    <t>FIR No.329 dt.26/07/2013 u/s 365 PPC PS Kabal District Swat</t>
  </si>
  <si>
    <t>Traced Person. Confined in Internment Centre, Paitham, District swat.</t>
  </si>
  <si>
    <t>Fazal Wahab s/o Abdul Jaleel</t>
  </si>
  <si>
    <t>Mst. Minhajea w/o Missing Person r/o Muhallah Tanchkai, Kabal, Tehsil &amp; District Swat (Mobile No. 0307-5919360).</t>
  </si>
  <si>
    <t>FIR No.565 dt.01/05/2007 u/s 365 PPC PS Kabal District Swat.</t>
  </si>
  <si>
    <t>Traced Person. Confined in Internment Center, Pathiam, District Swat. Meeting Arranged.</t>
  </si>
  <si>
    <t>Abdul Wahab s/o Abdul Jaleel</t>
  </si>
  <si>
    <t>Mst. Bakht Haram w/o Abdul Wahab, r/o Muhallah Tanchkai, Kabal, Tehsil &amp; District Swat (Mobile No. 0347-9094270).</t>
  </si>
  <si>
    <t>FIR No.336 dt.26/07/2013 u/s 365 PPC PS Kabal District Swat.</t>
  </si>
  <si>
    <t>Abdul Rehman s/o Abdul Wahab</t>
  </si>
  <si>
    <t>Abdullah s/o Syed Anwar Bacha</t>
  </si>
  <si>
    <t>Haider Ali b/o Missing Person, r/o Ghakhi Banda, P.O. Totano Bandi, Tehsil &amp; District Swat (Mobile No. 0345-2586513, 0346-8980046).</t>
  </si>
  <si>
    <t>FIR No.334 dt.26/07/2013 u/s 365 PPC PS Kabal District Swat</t>
  </si>
  <si>
    <t>Imtiaz s/o Abdul Ghaffar</t>
  </si>
  <si>
    <t>Abdul Ghaffor f/o Missing Person, r/o, Serseenai, Kabal, District Swat(Mobile No. 0342-9204557).</t>
  </si>
  <si>
    <t>15602-9949773-1</t>
  </si>
  <si>
    <t>FIR No.392 dt.22/08/2013 u/s 365 PPC PS Kabal District Swat.</t>
  </si>
  <si>
    <t>Traced Person. Confined in Internment Centre, Paitham, District swat as reported by MI at the hearing on 21.4.14</t>
  </si>
  <si>
    <t>Amjad Ali s/o Muhammad Jan</t>
  </si>
  <si>
    <t>Muhammad Jan f/o Missing Person, r/o Muhallah Nazimabad Joga Baba, Tehsil Kabal, P.O. Serseenai, District Swat(CNIC NO. 15602-3765472-3)</t>
  </si>
  <si>
    <t>FIR NIL (Place of Occurrence is Swat)</t>
  </si>
  <si>
    <t>Traced Person. Confined in Internment Centre, Fizagat, Swat as informed by MI.</t>
  </si>
  <si>
    <t>Rehman Ali s/o Fazal Azeem</t>
  </si>
  <si>
    <t>Hussain Ali b/o Missing Person, r/o Muhallah Nazimabad Joga Baba, Tehsil Kabal, P.O. Serseenai, District Swat(Mobile No. 0345-5906729)</t>
  </si>
  <si>
    <t>FIR No.333 dt.26/07/2013 u/s 365 PPC PS Kabal District Swat</t>
  </si>
  <si>
    <t>Traced Person. Confined in Internment Centre, Paitham, Swat.</t>
  </si>
  <si>
    <t>Ajab Khan s/o Khalid Khan</t>
  </si>
  <si>
    <t>Nadir Khan b/o Missing Person, r/o Gali/Muhallah Mian Gano Cham Serseenai, Tehsil &amp; District Swat(Mobile No. 0342-9126570)</t>
  </si>
  <si>
    <t>15602-0305101-8</t>
  </si>
  <si>
    <t>FIR No.330 dt.26/07/2013 u/s 365 PPC PS Kabal District Swat</t>
  </si>
  <si>
    <t>Traced Person. Confined in Internment Centre, Paitham, District Swat.</t>
  </si>
  <si>
    <t>Fazal Hakeem s/o Fazal-e-Ahad</t>
  </si>
  <si>
    <t>Fazal-e-Ahad f/o Missing Person, r/o Kouza Mulla Nocham, Village Serseenai, District Swat (Mobile No. 0343-9399034).</t>
  </si>
  <si>
    <t>FIR No.391 dt.28/08/2013 u/s 365 PPC PS Kabal District Swat</t>
  </si>
  <si>
    <t>Abdul Sattar</t>
  </si>
  <si>
    <t>Akhtar Ali s/o Missing Person, r/o Muhallah Hajiabad, Joga Baba, Serseenai, Tehsil &amp; District Swat (Mobile No. 0341-9134943).</t>
  </si>
  <si>
    <t>FIR NIL (Place of Occurrence is Swat District)</t>
  </si>
  <si>
    <t>Traced Person. Returned to home. Family Members have confirmed.</t>
  </si>
  <si>
    <t>Sardar Ali s/o Fazal Mabood</t>
  </si>
  <si>
    <t>Abdul Qayyum b/o Missing Person, r/o Muhallah Baroz Khan, village Sirseeni, Tehsil &amp; District Swat (Mobile No. 0345-9455857)</t>
  </si>
  <si>
    <t>FIR No. 519 dated 25/7/2013 u/s 365-PPC PS Rahimabad District Swat</t>
  </si>
  <si>
    <t>Fazal Qayyum s/o Fazal Mabood</t>
  </si>
  <si>
    <t>Traced Person. Dead Body of Fazal Qayyum was found by legal heirs from internmentc center kohat on 07/05/204</t>
  </si>
  <si>
    <t>Tariq Aziz s/o Habib-ur-Rehman</t>
  </si>
  <si>
    <t>Mst. Jahanmber m/o Missing Person, r/o Haji Baba, Totano Bandi, Tehsil &amp; District Swat (Mobile No. 0346-5603913</t>
  </si>
  <si>
    <t>FIR No.332 dt.26/07/2013 u/s 365 PPc PS Kabal District Swat</t>
  </si>
  <si>
    <t>Traced Person. Confined in the Internment Centre, Lakki Marwat as infomed by Rep of MI. Meeting with family facilitated.</t>
  </si>
  <si>
    <t>Israr Ahmed s/o Nisar Ahmed</t>
  </si>
  <si>
    <t>Matloob Ahmed b/o Missing Person, r/o Muhallah Mulano Cham, Serseenai, Tehsil &amp; District Swat (Mobile No. 0342-2086966)</t>
  </si>
  <si>
    <t>15602-8963388-5</t>
  </si>
  <si>
    <t>FIR NIL (Place of Occurrence is Swat District,KP)</t>
  </si>
  <si>
    <t>Fazal Wadood s/o Abdul Shaheed</t>
  </si>
  <si>
    <t>Abdul Sattar b/o Missing Person, r/o Village Dehlay, Post Office: Barabandi, Tehsil Kabal, Tehsil &amp; Distt: Swat (Mobile No. 0313-3820808)</t>
  </si>
  <si>
    <t>15602-9259129-1</t>
  </si>
  <si>
    <t>FIR No. 522 dated 26/9/2012 u/s 365-PPC PS Kanju District Swat</t>
  </si>
  <si>
    <t>Traced Person. Dead body recovered.</t>
  </si>
  <si>
    <t>Re-Open</t>
  </si>
  <si>
    <t>Combine with 4141-K &amp; 864 to 870 and 6418-K</t>
  </si>
  <si>
    <t>1171-K</t>
  </si>
  <si>
    <t>Shah Nazar Khan s/o Khyber</t>
  </si>
  <si>
    <t>Sher Muhammad Khan b/o Missing Person, r/o Tanchkai, Kabal, Tehsil &amp; District: Swat (Mobile No. 0346-8981037)</t>
  </si>
  <si>
    <t>FIR No.331
 dt: 26/07/2013
 u/s 365 PPC
 PS Kabal District: Swat</t>
  </si>
  <si>
    <t>HRC No. 16778-P/2013</t>
  </si>
  <si>
    <t>Mamoon-u-Rasheed S/o Abdul Rasheed</t>
  </si>
  <si>
    <t>Mr. Haroon-u-Rasheed S/o Abdul Rasheed r/o Village Samun, Tehsil: Taxila, Rawalpindi</t>
  </si>
  <si>
    <t>FIR No.157 dt.20/05/2013 u/s 365 PPC PS City ,Attock</t>
  </si>
  <si>
    <t>Traced Person. Appeared before the Commission on 26.6.2013 stated nothing about his abduction.</t>
  </si>
  <si>
    <t>HRC No. 16114-A/2013</t>
  </si>
  <si>
    <t>Muhammad Sadiq S/o Haji Abdul Raheem</t>
  </si>
  <si>
    <t>Haji Abdul Raheem F/o Missing Person r/o Gasla, Tehsil: Layyah, Distt: Hattiyan Balan, AJ&amp;K</t>
  </si>
  <si>
    <t>FIR No,184 dt.19/04/2013 u/s 365/34 PPC PS Aziz Bhatti District Karachi</t>
  </si>
  <si>
    <t>Traced Person. It was informed at the shearing held in this Commission on 15/05/2018 that Muhammad Sadiq has returned to home. The report submitted by the Police Officer Hussain Ahmed Nasir is placed on record.</t>
  </si>
  <si>
    <t>HRC No. 10961-K/2013</t>
  </si>
  <si>
    <t>Naseeb Zada S/o Gul Muhammad</t>
  </si>
  <si>
    <t>Mst. Bacha Bibi M/o Missing Person r/o Gul Dakhana, Akhgram, Tehsil: Wari, Distt: Upper Dir, (Mobile No. 03436382639)</t>
  </si>
  <si>
    <t>FIR No.132 dt.25/07/2013 u/s 365 PPC PS Shahdheri District Swat</t>
  </si>
  <si>
    <t>Traced Person. Confined in the Internment Centre, Lakki Marwat as reported by Rep of MI at the hearing on 4.9.2013.</t>
  </si>
  <si>
    <t>HRC No. 11355-K/2013, HRC No. 27641-K/2013</t>
  </si>
  <si>
    <t>Said Rahim S/o Swali Rahim</t>
  </si>
  <si>
    <t>Mst. Nasib Rana M/o Missing Person r/o Faizabad, Saidu Sharif, Distt: Swat</t>
  </si>
  <si>
    <t>FIR No.477 dt.25/07/2013 u/s 365 PPC PS Saidu Sharif District Swat</t>
  </si>
  <si>
    <t>HRC No. 11355-K/2013, HRC No. 11355-K/2013, HRC No. 27641-K/2013</t>
  </si>
  <si>
    <t>Fazal Rahim S/o Swali Rahim</t>
  </si>
  <si>
    <t>HRC No. 6301-K/2013</t>
  </si>
  <si>
    <t>Faizullah Jan S/o Peer Zad Khan</t>
  </si>
  <si>
    <t>Mr. Peer Zad Khan F/o Missing Person r/o Basti Darkhan wala, Majeed Town near Taj Public School, Mouza Lachra, Tehsil &amp; Distt: Dera Ismail Khan (0333-4448365, 0345-4448365)</t>
  </si>
  <si>
    <t>Traced Person. Confined in the Internment Centre, Lakki Marwat family meeting arranged as confirmed at the hearing on 20.10.2014</t>
  </si>
  <si>
    <t>Rehmat Shah</t>
  </si>
  <si>
    <t>Mst. Farman Bibi w/o Missing Person r/o Quarter No. 37-E, WAPDA Colony, Peeran Ghaib Multan</t>
  </si>
  <si>
    <t>FIR No.336 dt.01/06/2013 u/s 365 PPc PS Seetal Marri District Multan</t>
  </si>
  <si>
    <t>Traced Person. Appeared before the Commission on 18.9.2013. Statement of Traced Person recorded by JIT.</t>
  </si>
  <si>
    <t>Shahbaz Anwer s/o Malik Muhammad Anwer</t>
  </si>
  <si>
    <t>Malik Muhammad Anwer f/o Missing Person, r/o Kot Mehmood, P.O. Khas, Tehsil Sharaqpur Sharif, District Sheikupura(Mobile No. 0343-6603004)</t>
  </si>
  <si>
    <t>Report No. 27, dt: 14-2-2013, P.S. Sharaqpur Sharif, District Sheikupura</t>
  </si>
  <si>
    <t>Traced Person. As per report submitted by MoFAs, presence of Shahbaz Anwer and consulor visit at Pul Charkhi Jail Afghanistan has been confirmed.</t>
  </si>
  <si>
    <t>HRC No. 17622-B/ 2012</t>
  </si>
  <si>
    <t>Abdul wajid s/o Abdul Samad</t>
  </si>
  <si>
    <t>Abdul Samad f/o Missing Person, r/o Tehsil Soromand, District Kech, Balochistan</t>
  </si>
  <si>
    <t>Deleted. Case closed due to non-prosecution as complainals neither appeared for JIT nor for hearing.</t>
  </si>
  <si>
    <t>HRC No. 14651-S/ 2013</t>
  </si>
  <si>
    <t>Bachal s/o Rajan Thahemore</t>
  </si>
  <si>
    <t>Ali Muhammad Thahemore b/o Missing Person, r/o Village Aloo Thahemore, P.O. Choohar Jamali, Taluka, shah Bandar, District Thatta (Mobile No. 0312-3842911)</t>
  </si>
  <si>
    <t>Traced Person. The Cognizance of the issue was taken by the Commission by means of order dated 25.5.2013 and certain instructions were issued. Today Muhammad Sharif Abbasi DSP/ Sajwal Mirpur Mathelo has personally appeared before the Commission along with for certain obvious reasons nothing beneficial could be disclosed by Mr. Bachal.</t>
  </si>
  <si>
    <t>HRC No. 13694-S/ 2013, HRC No. 21836-S/2013</t>
  </si>
  <si>
    <t>Abdul Razzaq Baloch s/o Rasool Bux</t>
  </si>
  <si>
    <t>Mst. Roz Khatoon m/o Missing Person, r/o H. No. 160-A, Syedabad, Chakewara Road, Layari, Karachi</t>
  </si>
  <si>
    <t>FIR No.29, dt: 24-3-2013 u/s 365/34 PPC, PS/Chakewara, South Karachi</t>
  </si>
  <si>
    <t>Traced Person. It was informed at the hearing held in this Commission of which sister of Abdul Razzaq Baloch was also present that dead body of the Missing Person was recovered. Hence no further proceedings of the Commission. Hence case is closed.</t>
  </si>
  <si>
    <t>HRC No. 33607-K/ 2012</t>
  </si>
  <si>
    <t>Usman Ali s/o Bildar</t>
  </si>
  <si>
    <t>Mst. Rehmat Ali m/o Missing Person, r/o Muhallah Abdul Majeed, Village &amp; P.O. Kanju, tehsil Kabal, District Swat (Mobile No. 0344-9600158)</t>
  </si>
  <si>
    <t>FIR No. 401, dated 27/07/2013,u/s 365 PPC PS Kanju, District. Swat</t>
  </si>
  <si>
    <t>HRC No. 14215-K/ 2013</t>
  </si>
  <si>
    <t>Khalid s/o Talamand</t>
  </si>
  <si>
    <t>Talamand f/o Missing Person, r/o Gul Jabba, Hal Hazara Kabal, District Swat (Mobile No. 0341-9223029)</t>
  </si>
  <si>
    <t>FIR No.337 dt.26/07/2013 u/s 365 PPC PS Kabal District Swat.</t>
  </si>
  <si>
    <t>Sher Ali s/o Talamand</t>
  </si>
  <si>
    <t>Sufi Jan s/o Muhammad Rahim Jan</t>
  </si>
  <si>
    <t>Barkanjo, Kanjo, Tehsil &amp; Distt, Swat (Mobile No. 0307-8520285)</t>
  </si>
  <si>
    <t>FIR No.399 dt.27/07/2013 u/s 365 PPC PS Kanju District Swat</t>
  </si>
  <si>
    <t>Qadir Shah s/o Mian Said Naeem Shah</t>
  </si>
  <si>
    <t>Nargis m/o Missing Person r/o Damgar Tehsil Kabal, District Swat (Cell No. 0347-9457319)</t>
  </si>
  <si>
    <t>FIR No.400 dt.27/07/2013 u/s 365 PPC PS Kanju District Swat</t>
  </si>
  <si>
    <t>Traced Person. Confinted in the Internment Centre, Lakki Marwat. Family net the interned person.</t>
  </si>
  <si>
    <t>Asghar Shah s/o Mian Said Naeem Shah</t>
  </si>
  <si>
    <t>Aminullah s/o Muhammad Jamsheed</t>
  </si>
  <si>
    <t>Shamim Akhter w/o Missing Person r/o Ronial, P.O. Seejban, Tehsil Matta, District Swat (Cell No. 0348- 9415744 &amp; 0341-9259926)</t>
  </si>
  <si>
    <t>FIR No.419
 dt: 02/08/2013
 u/s 365 PPC
 P.S. Kanju, District Swat</t>
  </si>
  <si>
    <t>Behroze s/o Babo Jan</t>
  </si>
  <si>
    <t>Faiq Jahan w/o Missing Person r/o Balakhti, Koza Bandi, P.O. Koza Bandi, Tehsil Kabal, District Swat</t>
  </si>
  <si>
    <t>FIR No.417
 dt: 02/08/2013
 u/s 365 PPC
 P.S. Kanju, District Swat</t>
  </si>
  <si>
    <t>Muhammad Wahid s/o Fazal-e-Wahid</t>
  </si>
  <si>
    <t>Mst Jahan Zeba m/o Missing Person, r/o Damgar Tehsil Kabal, District Swat (Cell No. 0342-7350732)</t>
  </si>
  <si>
    <t>FIR No.413 dt. 31/7/2013 u/s 365 PPC, PS Kanju, Distt. Swat</t>
  </si>
  <si>
    <t>Traced Person. Expired due to natural death, which fact also confirmed by father of Muhammad Wali.</t>
  </si>
  <si>
    <t>Nasir Khan s/o Dawa Khan</t>
  </si>
  <si>
    <t>Mst. Musbaha m/o Missing Person r/o Dheri, Tehsil Kabal, District Swat</t>
  </si>
  <si>
    <t>Closed</t>
  </si>
  <si>
    <t>Hadi Khan s/o Dawa Khan</t>
  </si>
  <si>
    <t>Imran Khan s/o Peer Muhammad Khan</t>
  </si>
  <si>
    <t>Mst. Raham Saba m/o Missing Person, r/o Village Sandheri, P.O. Bara bandi, Tehsil Kabal, District Swat</t>
  </si>
  <si>
    <t>FIR No.411 dt.31/07/2013 u/s 365 PPC PS Kanju District Swat</t>
  </si>
  <si>
    <t>Traced Person. Confined in the Internment Centre, Paitham, as confirmed at the hearing on 18.12.2013.</t>
  </si>
  <si>
    <t>1195-K</t>
  </si>
  <si>
    <t>Ubaid-ur-Rehman s/o Muhammad Moin-ud-Din</t>
  </si>
  <si>
    <t>`</t>
  </si>
  <si>
    <t>FIR No.07 dt. 15/01/2015 u/s 365 PPC PS Kharki District Mardan</t>
  </si>
  <si>
    <t>Deleted. After thorough investigation of case, reports of JIT and PTF in which it has been concluded that the Missing Person has gone on his own denial reports from all stakeholders about apprehension and custody of the Missing Person the Commission has arrived at the conclusion that the case does not fall within the ambit of enforced disappearance. Hence, closed</t>
  </si>
  <si>
    <t>Rehman Ullah s/o Abdul Qahar</t>
  </si>
  <si>
    <t>Kouza Bandi, Muhallah Shaheedan, Tehsil Kabal, District Swat (Mobile No. 0342-8782790)</t>
  </si>
  <si>
    <t>FIR No.402 dt.27/07/2013 u/s 365 PPC PS Kanju District Swat</t>
  </si>
  <si>
    <t>Islam-ud-Din s/o Najam-ud-Din</t>
  </si>
  <si>
    <t>Fazal-e-Huda m/o Missing Person, r/o Muhallah Balakhti, Nangoli, Tehsil &amp; District Swat (Mobile No. 0343-9606973 &amp; 0344-9168741 &amp; 0345-2829795, 0342-9816271)</t>
  </si>
  <si>
    <t>FIR No.418 dt.02/08/2013 u/s 365 PPC PS Kanju District Swat</t>
  </si>
  <si>
    <t>Wali-ur-Rehman s/o Ziarat Gul</t>
  </si>
  <si>
    <t>Mst. Mahal Rangeeza m/o Missing Person, r/o Imam Dherai, Kouza Bandi Swat (Mobile No. 0342-9425737)</t>
  </si>
  <si>
    <t>FIR No.430
 dt: 06/08/2013
 u/s 365 PPC
 P.S. Kanju, District Swat</t>
  </si>
  <si>
    <t>HC No. 15745-S/2013</t>
  </si>
  <si>
    <t>Sheikh Muhammad Arifullah S/o Sheikh Muhammad Ataullah</t>
  </si>
  <si>
    <t>Mst. Tanveer Arif W/o Missing Person r/o House No. A66/1 Area, Liaqatabad, Karachi (Mobile No. 0300-2147888)</t>
  </si>
  <si>
    <t>Traced Person. SI/I.O Mazhar is present and submitted that dead body of Sheikh Muhammad Arifullah has been recovered, necessary formalities as envisaged u/s 174 CrPC have been completed and case u/s 302 PPC has been registered which is under investigation. No further action is required to be taken by this Commission. The name of Sheikh Muhammad Arifullah be deleted from the list of enforced disappeared persons.</t>
  </si>
  <si>
    <t>HRC No. 16977-S/2013</t>
  </si>
  <si>
    <t>Karam Ali S/o Hashim Khan</t>
  </si>
  <si>
    <t>Mr. Deen Muhammad b/o Missing Person r/o House No. D-68, Mohallah: Bilal Masjid, New Haji Camp, Sultanabad, Karachi (0344-2029332)</t>
  </si>
  <si>
    <t>FIR No.392 dt.15/9/2014 u/s 365/34 PPC PS/Docks, District Kemari,Karachi.</t>
  </si>
  <si>
    <t>Traced Person. Dead Body Recovered</t>
  </si>
  <si>
    <t>Qari Muhammad Dawood Farooqi S/o Zakria</t>
  </si>
  <si>
    <t>Mst. Nasreen W/o Missing Person r/o Qaddafi Colony No. 02 near Ghaffari Masjid, Tehsil &amp; Distt: Rahim Yar Khan (Mobile No. 0300-2963481)</t>
  </si>
  <si>
    <t>Traced Person. The cognizance of issue was taken by this Commission means of letter of No. 4398-K dated 4.6.2013 and certain directions were issued to PPO Sindh. Mr. Noor Alam SI/IO is present and stated that Muhammad Dawood Farooqi has been traced and presently residing at his residence. In view of what has been stated hereinabove, the name of Qari Muhammad Dawood Farooqi is hereby deleted form the list of enforced disappearance persons.</t>
  </si>
  <si>
    <t>HRC No. 11059-G/2013</t>
  </si>
  <si>
    <t>Noor Muhammad Khan S/o Samandar Khan</t>
  </si>
  <si>
    <t>Mst. Mahrat Bibi W/o Noor Muhammad r/o Sahil Brothers Hayat &amp; Dost Muhammad Thatta Khalil Road, Taxila, Islamabad (Mobile No. 0346-7990042)</t>
  </si>
  <si>
    <t>Traced Person. Confined in Internment Center Kohat, as informed at the hearing on 28.9.2016 by MI.</t>
  </si>
  <si>
    <t>HRC No. 22468-K/2012</t>
  </si>
  <si>
    <t>Syed Kamal Shah S/o Shah Jabbar</t>
  </si>
  <si>
    <t>Shah Jabbar S/o Qazi Shah r/o Malikabad, Tehsil: Topi, Distt: Swabi</t>
  </si>
  <si>
    <t>FIR No.179
 dt: 21/06/2013
 u/s 365 PPC
 PS Chota Lahore, District Swabi</t>
  </si>
  <si>
    <t>Under Investigation Swabi</t>
  </si>
  <si>
    <t>Swabi</t>
  </si>
  <si>
    <t>HRC No. 19576-K/2013</t>
  </si>
  <si>
    <t>Asmatullah Khan S/o Moin Khan</t>
  </si>
  <si>
    <t>Momin Khan F/o Missing Person r/o Zarwar, F.R Bannu, Tehsil &amp; Distt: Bannu</t>
  </si>
  <si>
    <t>FIR No.462
 dt: 20-6-2013
 u/s 365 PPC
 P.S. City
 District: Bannu</t>
  </si>
  <si>
    <t>Traced Person. SP (Inv) submitted at the hearing on 9.3.2015 that Asmatullah has returned to home.</t>
  </si>
  <si>
    <t>HRC No. 17718-S/2013</t>
  </si>
  <si>
    <t>Dilber Jan S/o Fazal Janan</t>
  </si>
  <si>
    <t>Janan Khan F/o Missing Person r/o H # A-22, Muhammandi Cololony , Al- Falah Chowk, Maipur Road, Karachi.</t>
  </si>
  <si>
    <t>HRC No. 16452-S/2013</t>
  </si>
  <si>
    <t>Yasir Mehmood S/o Khalid Mehmood</t>
  </si>
  <si>
    <t>Khalid Mehmood F/o Missing Person r/o House # 44, Al Sayed Center, Block 21, Qaidabad, Landhi Karachi.</t>
  </si>
  <si>
    <t>FIR No.197 dt.15/06/2013 u/s 365/34 PPC PS Zaman Town,Karachi East.</t>
  </si>
  <si>
    <t>Traced Person. It was informed at the hearing held in this Commission on 15/05/2018 that Yasir Mehmood has returned to home. Family member father of the traced person appeared before the Commission and confirmed the reported position. The report submitted by the Police is place on the record.</t>
  </si>
  <si>
    <t>HRC No. 42116-P/2012</t>
  </si>
  <si>
    <t>Zafar Iqbal S/o Khursheed Ahmad</t>
  </si>
  <si>
    <t>Rasoolan Bibi W/o Missing Person r/o H# 304, Ware No 05, Shahpur Saddar Tehsil &amp; District Sargodha.</t>
  </si>
  <si>
    <t>FIR No. 54 dt. 10/04/2013, PS: Nabi Bakhsh, South Karachi</t>
  </si>
  <si>
    <t>Deleted. This case is closed for want of jurisdiction as there is no allegation against the law enforcement agencies, as per contents of the FIR.</t>
  </si>
  <si>
    <t>Nisar Ahmed Khan s/o Akbar Khan</t>
  </si>
  <si>
    <t>Mst Dilshad s/o Missing Person, r/o Dheri, Tehsil Kabal, District Swat (Mobile No. 0347-2206770)</t>
  </si>
  <si>
    <t>Under Investigation Sukkar</t>
  </si>
  <si>
    <t>karachi</t>
  </si>
  <si>
    <t>Fazal-ur-Rehman S/o Afreen Khan</t>
  </si>
  <si>
    <t>Afreen Khan f/o Missing Person, r/o Totkay, Tehsil/P.O. Matta, District Swat (Mobile No. 0301-8574338)</t>
  </si>
  <si>
    <t>FIR No.838 dt.26/07/2013 u/s 365 PPC PS Matta,Swat</t>
  </si>
  <si>
    <t>Rafaqat Ullah s/o Faqeer Khan</t>
  </si>
  <si>
    <t>Faqeer Khan f/o Missing Person r/o Mohallah Arbab Khel, Village Bazeed Khel PS/P.O. Badahber, Peshawar (Mobile No. 0308-5310753)</t>
  </si>
  <si>
    <t>FIR No.583 dt.28/6/2013 u/s 365 PPC PS Badaber District Peshawar</t>
  </si>
  <si>
    <t>Izzat Khan s/o Muhammad Jan</t>
  </si>
  <si>
    <t>Hazrat Khan b/o Missing Person, r/o Shah Dehrai, Mohallah Denor, District Swat (Mobile No. 0345-7626800, 0347-9235612)</t>
  </si>
  <si>
    <t>FIR No.139 dt.28/7/2013 u/s 365 PPC PS/Shah Dheri District Swat.</t>
  </si>
  <si>
    <t>Traced Person. Confined in the (Internment Centre Pathiom, District Swat, as informed by the SP (Inv) Swat at the hearing on 19.8.2015.</t>
  </si>
  <si>
    <t>Mumtaz Khan s/o Hukamzad</t>
  </si>
  <si>
    <t>Hukamzad f/o Missing Person, r/o Dilokhel, Tehsil &amp; District Lakki Marwat (Mobile No. 0332-29831669, 0346-9200669, 0300-5525213)</t>
  </si>
  <si>
    <t>FIR No.396 dt.09/2/2013 u/s 365 PPC,PS/Lakki Marwat,District Lakki Marwat.</t>
  </si>
  <si>
    <t>Traced Person. Returned to home. SP (Inv) submitted statements of Traced Person and his father confirming the above stated position.</t>
  </si>
  <si>
    <t>Nazir Ahmed s/o Shah Muhammad</t>
  </si>
  <si>
    <t>Qari Abdul Shakoor s/o Shah Muhammad r/o Village Peero, Chak Joiawala, P.O. Kot Azam, Tehsil Kherpur, Tamewali, District Bahawalpur (Mobile No. 0341-7257224, 0303-7838533)</t>
  </si>
  <si>
    <t>FIR No.75 dt. 4/7/2013 u/s 365 PPC PS/Jand,District Attock</t>
  </si>
  <si>
    <t>Traced Person. DPO, Bahawalpur submited report that Nazir Ahmad has returned to home. He submitted affidavit of Nazir Ahmad.</t>
  </si>
  <si>
    <t>Abdul Rauf</t>
  </si>
  <si>
    <t>r/o City Kot Addu c/o Qari Abdul Shakoor s/o Shah Muhammad r/o Village Peero, Chak Joiawala, P.O. Kot Azam, Tehsil Kherpur, Tamewali, District Bahawalpur (Mobile No. 0341-7257224, 0303-7838533)</t>
  </si>
  <si>
    <t>Traced Person. DPO, Bahawalpur submited report that Abdul Rauf has returned to home. He submitted affidavit of Abdul Rauf.</t>
  </si>
  <si>
    <t>Naveed Ahmed s/o Nazir Ahmed</t>
  </si>
  <si>
    <t>Waheed Ahmed b/o Missing Person, r/o Gali No. 4/A, Mohallah Qasimabad, Peshawar Road, Gali: Qasim Shah, Rawalpindi (Mobile No. 0313-5124504)</t>
  </si>
  <si>
    <t>FIR No.217 dt. 10/6/2013 u/s 365 PPC PS/Westridge,District Rawalpindi.</t>
  </si>
  <si>
    <t>Traced Person. Naveed Ahmad appeared before the Commission on 6.9.2013 and submitted to close his case.</t>
  </si>
  <si>
    <t>Zia-ur-Rehman s/o Ahmed Bakhsh</t>
  </si>
  <si>
    <t>Muhammad Zeeshan b/o Missing Person, r/o House No. BIX-78, Burji Wala, Tehsil &amp; District Jhang (Mobile No. 0333-6746119, 0323-6780338)</t>
  </si>
  <si>
    <t>33202-6155152-1</t>
  </si>
  <si>
    <t>FIR No.17 dt.10/01/2014 u/s365 PPC PS Lorry Adda,Lahore</t>
  </si>
  <si>
    <t>Under Investigation (Punjab) Lahore</t>
  </si>
  <si>
    <t>Sohail Ahmed Khan s/o Ahmed Wali Khan</t>
  </si>
  <si>
    <t>Mst. Zeeton Sohail w/o Missing Person, r/o 68 Ali Town, Riwand Road, Thokar Niaz Baig, Lahore (Mobile No. 0336-4503151)</t>
  </si>
  <si>
    <t>35202-2974262-7</t>
  </si>
  <si>
    <t>FIR No. 64
 Dated: 20-1-13
 P.S. Chung
 District: Lahore</t>
  </si>
  <si>
    <t>Traced Person. Returned to Home. No one appeared on behalf of Sohail Ahmed Khan. In view of categoric statement by SP (Inv) Model Town, Lahore, the case is closed.</t>
  </si>
  <si>
    <t>Abdul Majid Abbasi S/o Imran Hussain</t>
  </si>
  <si>
    <t>Imran Hussain F/o Missing Person r/o Bairot Dak khana Khas Tehsil and District Abbottabad</t>
  </si>
  <si>
    <t>FIR No 195 dt. 12/06/2013 u/s 365 PPC PS Bara Kahu, Islamabad.</t>
  </si>
  <si>
    <t>Traced Person. Basit Imran brother of Abdul Majeed Abbasi was recorded his statement according to which Abdul Majid Abbasi had returned to home. He further stated that due to aliment he was unable to make appearance before the Commission.</t>
  </si>
  <si>
    <t>Mursaleen s/o Haji Muhammad Naseer Khan</t>
  </si>
  <si>
    <t>Haji Saleem Ullah b/o Missing Person, r/o Village Boner Das, P.O. Goner Farm, Tehsil Challas, District Diamir (Mobile No. 0311-9289975, 0311-9389977)</t>
  </si>
  <si>
    <t>FIR No. 394
 dt: 18/7/2013
 us 365 PPC
 PS/Khursid Khan Shaheed,Swat.</t>
  </si>
  <si>
    <t>Traced Person. Mursaleen appeared before the Commission and stated that he had left at his own due to some problems.</t>
  </si>
  <si>
    <t>HRC No. 21931-K/2013</t>
  </si>
  <si>
    <t>Khalid Nawaz s/o Haq Nawaz Khan</t>
  </si>
  <si>
    <t>Haq Nawaz Khan f/o Missing Person r/o Matni, Tehsil &amp; District Peshawar (Mobile No. 0311-1959592)</t>
  </si>
  <si>
    <t>FIR No. 219
 dt: 13/8/2013
 us 365 PPC
 PS. Mattani, Peshawar</t>
  </si>
  <si>
    <t>Hazoor Muhammad s/o Noor Muhammad</t>
  </si>
  <si>
    <t>Ijaz Hussain B/o Missing Person, r/o Mohallah Muqeem Colony, Sultan Kheil, P.O. Khas, Tehsil Essa Khel, District Mianwali (Mobile No. 0301-2588318, 0315-3993462)</t>
  </si>
  <si>
    <t>FIR No. 101
 dt: 16/9/2006
 us 364 PPC
 PS. Makarwal,District Mianwali.</t>
  </si>
  <si>
    <t>Traced Person. Dead body recovered, case disposed of vide detailed Findings dated 19.8.2015 concluding that Hazoor Muhammad died due to an accident.</t>
  </si>
  <si>
    <t>Hafiz Hamid Farooq s/o Syed Muhammad Farooq</t>
  </si>
  <si>
    <t>Hafiz Mehmood Farooq b/o Missing Person, r/o House No. 1, Gali No. 25, Canal Park, Main Market, Gulberg-II, Lahore (Contact No. 0321-4242771)</t>
  </si>
  <si>
    <t>FIR No. 107
 dt: 9-2-2013
 u/s PPC 365
 PS. Galib Market, Lahore</t>
  </si>
  <si>
    <t>Traced Person. Appeared before the Commission on 20.11.2014. Could not furnish details for obvious reasons.</t>
  </si>
  <si>
    <t>Aaeen Zada s/o Shama Khan</t>
  </si>
  <si>
    <t>Faqeera Goth, New Sabzi Mandi, Sohrab Goth, Gadab Town, Karachi c/o Sobedar Malkoot r/o House No. 557, Sector-3, Sultanabad, Mangopir, Karachi (Cell No. 0342-8984219)</t>
  </si>
  <si>
    <t>Shahab-ud-Din s/o Shafiullah</t>
  </si>
  <si>
    <t>Mehmood Khan s/o Khwaza Khan</t>
  </si>
  <si>
    <t>Meenabt Khan s/o Haider Khan</t>
  </si>
  <si>
    <t>Mst. Bibi Gulla, r/o Narai Rajab Khel, Jehangire Banda, P.O. Khojki Kalla, Tehsil Takhat Nusrati, District Karak</t>
  </si>
  <si>
    <t>D.D Entry No.16
 dt: 09/11/2012
 Policelines,Karak.</t>
  </si>
  <si>
    <t>Traced Person. Appeared before the Commission on 18.2.2014. Could not furnish details about his disappearanc for obvious reasons.</t>
  </si>
  <si>
    <t>Amina Bibi d/o Mirza</t>
  </si>
  <si>
    <t>Mst. Zar Bano M/o Missing Person r/o Mohallah Gharibabad, Sibi (Mobile No. 0302-5566131)</t>
  </si>
  <si>
    <t>FIR No. 27 dt.28/4/2010 u/s 365-B PPC , PS Women City,District South, Karachi</t>
  </si>
  <si>
    <t>Raja Muhammad Akhtar s/o Raja Muhammad Fazil</t>
  </si>
  <si>
    <t>Azhar Iqbal b/o Missing Person, r/o Bhimber Rjani, Tehsil &amp; District Bhimber, AJ&amp;K (Mobile No. 0346-4201550)</t>
  </si>
  <si>
    <t>FIR No. 27
 dt: 23-3-2011
 u/s 302 Apc
 PS. Bhimber AJ&amp;K</t>
  </si>
  <si>
    <t>Traced Person. He was convicted for one year by concerned authorities. Released on completion of sentence.</t>
  </si>
  <si>
    <t>HRC No. 34333-K/2012</t>
  </si>
  <si>
    <t>Luqmani Khan S/o Fazal Rahim</t>
  </si>
  <si>
    <t>Sharif Ullah S/o Missing Person, r/o Village Sanra Mangloor Tehsil Babozai District Swat (Mobile No. 0343-9632663)</t>
  </si>
  <si>
    <t>FIR No.395 dt.24/07/2013 u/s 365 PPC PS Char Bagh District Swat</t>
  </si>
  <si>
    <t>Dawood Shah s/o Mian Gul Zada</t>
  </si>
  <si>
    <t>Imran Shah b/o Missing Person, r/o Mohallah Mian Gulan Chaman, Galoch, Tehsil Kabal, Distt: Swat (Mobile No. 0343-3183176)</t>
  </si>
  <si>
    <t>Traced Person. Confined in the Internment Centre at Lakki Marwat. Family faciliated to meet him.</t>
  </si>
  <si>
    <t>Ziaullah s/o Hazrat Hussain</t>
  </si>
  <si>
    <t>Hazrat Hussain f/o Missing Person, r/o Mohallah Toheedabad, Qambar, P.O. Rahimabad, Tehsil &amp; Distt: Swat (Mobile No. 0345-2952119)</t>
  </si>
  <si>
    <t>FIR No.524 dt.27/07/2013 u/s 365 PPC PS Rahimabad,Swat</t>
  </si>
  <si>
    <t>Bahadur Ali s/o Roz Akbar</t>
  </si>
  <si>
    <t>Roz Akbar f/o Missing Person, r/o Mohallah Shahi Bagh, Sirsenai, Tehsil &amp; Distt: Swat (Mobile No. 0341-9751936)</t>
  </si>
  <si>
    <t>Traced Person. SP (Inv) Swat confirmed that Bahadur Ali is in the Rehabilitation Centre Sabewan, Malakand. Father meet him.</t>
  </si>
  <si>
    <t>Razaullah s/o Ikramullah</t>
  </si>
  <si>
    <t>Ikramullah f/o Missing Person, r/o Mohallah Joga Baba, Sirsinai, Tehsil &amp; District Swat (Mobile No. 0345-9515628)</t>
  </si>
  <si>
    <t>FIR No.335 dt.26/7/2013 u/s 365 PPC PS/Kabal District Swat.</t>
  </si>
  <si>
    <t>Traced Person. Confined in the Internment Center Fizagat, as confirmed at the hearing held on 4.9.2013.</t>
  </si>
  <si>
    <t>1234-K</t>
  </si>
  <si>
    <t>Hafiz Saqib Ali Khan s/o Abdul Qayyum Khan</t>
  </si>
  <si>
    <t>Salman Khan uncle of Missing Person, r/o Mohallah Sanjalian, P.O. Dhamtoor, Tehsil &amp; Distt: Abbottabad (Mobile No. 0346-5692214, 0321-9802412)</t>
  </si>
  <si>
    <t>FIR NO. 210
 dt: 20/05/2013
 u/s 365 PPC
 PS: Nawan Shehr,
 District: Abbottabad</t>
  </si>
  <si>
    <t>1235-P</t>
  </si>
  <si>
    <t>Muhammad Munir s/o Muhammad Rafique</t>
  </si>
  <si>
    <t>Abdul Shakoor uncle of Missing Person, r/o Tibba Badar Sher, Mohallah Islam Nagar, Tehsil &amp; District Bahawalpur (Mobile No. 0300-7293161)</t>
  </si>
  <si>
    <t>FIR No.449 dt.06/8/2013 u/s 365 PPC PS Baghdad-ul-Jadeed District Bahawalpur</t>
  </si>
  <si>
    <t>Molana Shabbir Ahmed Usmani s/o Allah Wasaya</t>
  </si>
  <si>
    <t>Mst. Khadija Shabbir w/o Missing Person, r/o Chak No. 12/F, Basti Malook, Tehsil &amp; Distt: Multan (Mobile No. 0331-7812663)</t>
  </si>
  <si>
    <t>FIR No.604 dt.02/11/2012 u/s 365 PPC PS Basti Malook District Multan</t>
  </si>
  <si>
    <t>Traced Person. I.O. of the case submitted statements of Traced Person and his wife confirming the above stated position.</t>
  </si>
  <si>
    <t>Usman Saleem s/o Saleem Akhtar</t>
  </si>
  <si>
    <t>Muhammad Tahir Saleem b/o Missing Person, r/o House No. 31, Hari Singh Building, Multan Road, Nawan Kot, Tehsil Lahore City, Distt:Lahore (Mobile No. 0300-4550968)</t>
  </si>
  <si>
    <t>FIR No.156 dt.13/02/2013 u/s 365 PPC PS Gulshan-e-Ravi District Lahore</t>
  </si>
  <si>
    <t>Traced Person as confirmed by Muhammad Saleem, elder brother that Usman Saleem has returned to home.</t>
  </si>
  <si>
    <t>Yasir Saleem s/o Saleem Akhtar</t>
  </si>
  <si>
    <t>Traced Person as confirmed by Muhammad Saleem, elder brother that Yasir Saleem has returned to home.</t>
  </si>
  <si>
    <t>Abdullah s/o Abdul Majeed</t>
  </si>
  <si>
    <t>Abdul Majeed f/o Missing Person, r/o Gali No. 4, Mohallah Ameerabad, Bait-ul-Karim, Khan Colony, LMQ Road, Near Chungi No. 7, Multan (Mobile No. 0305-7824007)</t>
  </si>
  <si>
    <t>FIR NO. 383
 dt: 28-5-13
 u/s 365 PPC
 PS: Gul Gasht
 District: Multan</t>
  </si>
  <si>
    <t>Traced Person. Father confirmed his return to home and available to appear due to ailment. Also substautiated contents of affidavit on file.</t>
  </si>
  <si>
    <t>Syed Sohail Akhtar s/o Syed Jamil Akhtar</t>
  </si>
  <si>
    <t>Mst. Noshaba Sohail w/o Missing Person, r/o House No. 36, Gali No. 9, Sector No. 1, Naval Colony, Near Qabba Masjid, Hab River Road, Karachi</t>
  </si>
  <si>
    <t>FIR No.690 dt.21/11/2011 u/s 365/34 PPC,PS/Saeedabad,District West,Karachi.</t>
  </si>
  <si>
    <t>Deleted. Not a case of enforced disappearance as Syed Bilal Akhtar has declared absconder by the competent court of Jurisdiction.</t>
  </si>
  <si>
    <t>1241-S</t>
  </si>
  <si>
    <t>Muhammad Khizar Jamal s/o Muhammad Tahir Jamal</t>
  </si>
  <si>
    <t>Mst. Uzma Jamal w/o Missing Person, r/o House No. 11-H-1/1, Nazimabad No. 2, Karachi</t>
  </si>
  <si>
    <t>FIR No.. 310
 dt: 6-7-11
 u/s 365/344/ 149 PPC
 PS: Nazimabad District Liaqatabad, Karachi</t>
  </si>
  <si>
    <t>MoFAs No. 10008629</t>
  </si>
  <si>
    <t>Manzoor Ahmed s/o Abdul Qayyum</t>
  </si>
  <si>
    <t>Fazal-ur-Rahim b/o Missing Person, r/o Street 159, jamia masjid Farooq-e-Azam G,13/3 PS Golara Sharif (Mobile No. 0313-5009042, 0334-5284392)</t>
  </si>
  <si>
    <t>FIR No. 367 dt. 18/08/2013 u/s 365 PPC , PS: Tarnol, Islamabad</t>
  </si>
  <si>
    <t>Deleted. Not a case of enforced disappearance. SP (Inv), Islamabad submitted report that Missing Person has gone on his own.</t>
  </si>
  <si>
    <t>Abdul Wadood s/o Abdul Sattar Nadvi</t>
  </si>
  <si>
    <t>Muhammad Zubair Wadood s/o Missing Person, House No. 157-A, Ward No. 2, Circular Road, Mohallah Islampura, Muzaffargarh (Mobile No. 0301-7878929, 0300-6865100)</t>
  </si>
  <si>
    <t>FIR No. 424 dt. 13/08/2013 u/s 365 PPC , PS: City Muzaffargarh</t>
  </si>
  <si>
    <t>Deleted. Not a case of enforced disappearance. DPO, Muzaffargarh highlighted various aspects qua investigation and submitted it is a case of car snatching.</t>
  </si>
  <si>
    <t>Saud-ur-Rehman s/o Abdul Razzaq</t>
  </si>
  <si>
    <t>Mst. Zeeton Begum, r/o Chah Doder Wala, Ruken Hatti, P.O. Agrkhawani, Tehsil Shujaabad, Distt: Multan (Mobile No. 0312-4946198, 0308-7399522)</t>
  </si>
  <si>
    <t>FIR No. 429 dt. 24/8/2013 u/s 365 PPC , PS:Saddar Muzaffargarh</t>
  </si>
  <si>
    <t>Traced Person. DPO, Muzaffargarh submitted at the hearing on 19.2.2016 Saud-ur-Rehman has returned to home.</t>
  </si>
  <si>
    <t>HRC No. 20535-K/2013</t>
  </si>
  <si>
    <t>Muhammad Ismail S/o Gul Ahmad</t>
  </si>
  <si>
    <t>Mr. Gul Ahmad F/o Missing Person r/o Khonedand, PO: Oach Adezai, Distt: Lower Dir</t>
  </si>
  <si>
    <t>Traced Person. Confined in the Internment Centre, Paitham as reported by MI at the hearing on 22.10.2014.</t>
  </si>
  <si>
    <t>HRC No. 21643-K/2013</t>
  </si>
  <si>
    <t>Zahid Khan S/o Jahanzaib</t>
  </si>
  <si>
    <t>Mr. Jahanzaib F/o Missing Person r/o House No. K-240/18, Kanj Kadeem, Abbottabad (Mobile No.0313-1587373 &amp; 0331-4499099)</t>
  </si>
  <si>
    <t>FIR No.256
 dt: 12/07/2013
 u/s 365- PPC
 PS Saddar District Abbottabad</t>
  </si>
  <si>
    <t>HRC No. 15661-S/2013</t>
  </si>
  <si>
    <t>Muhammad Nasir Khan S/o Ghulam Khan</t>
  </si>
  <si>
    <t>Muhammad Nawaz Khan b/o Missing Person r/o House No. B-65, Block B, Wahiad Colony, North Nazimabad, Karachi (Mobile No. 0300-2238769)</t>
  </si>
  <si>
    <t>FIR No.118 dt.02/05/2013 u/s 365 PPC PS North Nazimabad,Karachi</t>
  </si>
  <si>
    <t>Traced Person. It was informed at the heaing held in this Commission on 16/05/2018 that Nasir Khan has returned to home. Family member Muhammad Nawaz brother of the traced person appeared before the Commission and confirmed the reported position. The report submitted by the Police Officer SDPO North Nazimabad, Karachi is place on the record.</t>
  </si>
  <si>
    <t>HRC No. 13290-S/2013</t>
  </si>
  <si>
    <t>Bilal Khan S/o Syed Kamal</t>
  </si>
  <si>
    <t>Qari Lal Jamal b/o Missing Person r/o House No. 197, Gali No. 11, Bilal Colony, Mills Area, Sector 08/A, Korangi-I, Karachi.(Mobile No. 0336-9684883 &amp; 0334-8326114)</t>
  </si>
  <si>
    <t>42401-5114089-5</t>
  </si>
  <si>
    <t>Sanaullah s/o Molvi Marhamullah</t>
  </si>
  <si>
    <t>Molvi Marhamullah f/o Missing Person, r/o Village Changlai, Safaid Masjid, Tehsil Dagar, District Bunair (Mobile No. 0333-9092023)</t>
  </si>
  <si>
    <t>Muhammad Afraz Abbasi s/o Muhammad Iqbal Abbasi</t>
  </si>
  <si>
    <t>Muhammad Mushtaq Abbasi b/o Missing Person, r/o Murree Kashmir Goods, Himalton Roadn Ganjmandi Rawalpindi (Mobile No. 0301-5037360)</t>
  </si>
  <si>
    <t>FIR No.114/2014 u/s 365 APC PS Civil Secretariat,Muzaffarabad, AJ&amp;K</t>
  </si>
  <si>
    <t>Abdul Majeed s/o Sawab Khan</t>
  </si>
  <si>
    <t>Asadullah b/o Missing Person, r/o Khawasti Khel, Kala Khel, Tehsil Bara, Distt: Khyber Agency (Mobile No. 0300-9324398)</t>
  </si>
  <si>
    <t>FIR No.78 dt.25/2/2015 u/s 365 APC PS Mattani District Peshawar.</t>
  </si>
  <si>
    <t>Deleted. Not a Case of Enforced Disappearance. Case disposed of vide detailed Findings dated 3.9.2016 confirming that it is a Criminal case.</t>
  </si>
  <si>
    <t>Noor Muhammad Khan s/o Haji Sardar Khan</t>
  </si>
  <si>
    <t>Liaqat Khan s/o Doltala, Pehli Phuli, Tehsil Gujar Khan, Distt: Rawalpindi (Mobile No. 0307-5013985, 0311-5040956)</t>
  </si>
  <si>
    <t>FIR No.215 dt.28/7/2013 u/s 365 PPC PS/Jatli District Rawalpindi.</t>
  </si>
  <si>
    <t>Traced Person. Confined in the Internment Centre, Kohat as reported by MI at the hearing on 17.2.2014.</t>
  </si>
  <si>
    <t>HRC No. 11499-S/2012</t>
  </si>
  <si>
    <t>Muhammad Amir s/o Ghulam Hussain</t>
  </si>
  <si>
    <t>Muhammad Aslam F/o Missing Person r/o House no. 71, Block No. 42, Cement Line, Kemari, Karachi (0346-2315001)</t>
  </si>
  <si>
    <t>FIR No.820 dt.23/10/2012 u/s 365/34 PPC PS/Jackson.District Kemari,West,Karachi</t>
  </si>
  <si>
    <t>HRC No. 21231-G/2013</t>
  </si>
  <si>
    <t>Khalid Khan S/o Sher Dad Khan</t>
  </si>
  <si>
    <t>Mr. Nouroz Khan b/o Missing Person r/o Nazimabad No. 4, Mujahid Colony, Street No. 2 near Fire Brigade Railway Line No. 7, House No. 579, Karachi (Mobile No. 0345-2992041, 0333-3345635)</t>
  </si>
  <si>
    <t>FIR No.295 dt.26/3/2014 u/s 365 PPC PS/Raiwind City,District Lahore</t>
  </si>
  <si>
    <t>W.P No. 1065/2013</t>
  </si>
  <si>
    <t>Mumtaz Khan</t>
  </si>
  <si>
    <t>Mir Hatim S/o Mumtaz Khan r/o Mere Colony, Tehsil &amp; Distt: Kohat</t>
  </si>
  <si>
    <t>FIR No.212 dt.12/8/2013 u/s 365 PPC PS/Usterzai District Kohat.</t>
  </si>
  <si>
    <t>Traced Person. Confined in the Internment Centre after trial under FCR u/s 11, 121-A, 122-PPC/11.</t>
  </si>
  <si>
    <t>Sameeullah Hafeez S/o Abdul Hafeez</t>
  </si>
  <si>
    <t>Mr. Attiq Hafeez b/o Missing Person r/o Near Ehl-e-Hadees Masjid, Rail Bazar, Abdul Hakeem, Distt: Khanewal (Mobile No. 0313-6229330)</t>
  </si>
  <si>
    <t>FIR No.200 dt.19/7/2013 u/s 365 PPC PS/Abdul Hakim District Khanewal.</t>
  </si>
  <si>
    <t>Traced Person. Appeared before the Commission on a9.12.2013. Reluctant to mention details of his abdction.</t>
  </si>
  <si>
    <t>HRC No. 20151-P/2013</t>
  </si>
  <si>
    <t>Afzal Kashif S/o Muhammad Ishaq</t>
  </si>
  <si>
    <t>Subedar (R) Muhammad Ishaq r/o Mohallah Mujahid Abad, Faisalabad Road, Abdul Hakeem, Tehsil: Kabirwala, Distt: Khanewal (Mobile No. 0313-6888996)</t>
  </si>
  <si>
    <t>FIR No.527 dt.16/7/2013 u/s 365 PPC PS/Chehlyak District Multan</t>
  </si>
  <si>
    <t>Traced Person. Appeared before the Commission on 19.09.2013. Does not want any further action.</t>
  </si>
  <si>
    <t>Hshaam Masood</t>
  </si>
  <si>
    <t>1259-P</t>
  </si>
  <si>
    <t>HRC No. 24078-P/2013</t>
  </si>
  <si>
    <t>Khuda Yar alias Allah Yar S/o Muhammad Yar</t>
  </si>
  <si>
    <t>Muhammad Yar F/o Missing Person r/o House No. 06, Street No. 18, Tehsil: Distt: Sargodha (Mobile no. 0300-4664816)</t>
  </si>
  <si>
    <t>FIR No. 243/13 dt. 26 Jul 13, PS: Lower Mall, Lahore</t>
  </si>
  <si>
    <t>Traced Person. Appeared before the Commission and stated that he returned to home on 20.12.2013.</t>
  </si>
  <si>
    <t>HRC No. 31653-K/2012</t>
  </si>
  <si>
    <t>Falak Naz S/o Fazal Rehman</t>
  </si>
  <si>
    <t>Fazal Rehman F/o Missing Peron r/o Village: Bari Banda, Tehsil: Kabal, Distt: Swat (Mobile No. 0336-9708019
 0341-3785008)</t>
  </si>
  <si>
    <t>15602-1755907-7</t>
  </si>
  <si>
    <t>FIR No. 410 dt 30/7/2013 u/s 365 PPC, PS Kanju, Distt. Swat</t>
  </si>
  <si>
    <t>Hafiz Abdul Akbar s/o Fazal Akbar</t>
  </si>
  <si>
    <t>Ameen-ul-Haq, uncle of Missing Person, r/o Mohallah Booki Kot Ismailzai, Garhi Kapura, Tehsil &amp; Distt: Mardan (Mobile No. 0343-9594108)</t>
  </si>
  <si>
    <t>FIR No.473 dt.20/08/2013 u/s 365 PPC PS Toru District Mardan.</t>
  </si>
  <si>
    <t>Traced Person. Confined in Internment Center Kohat, as reported by rep of MI at the hearing on 27.5.2016.</t>
  </si>
  <si>
    <t>1262-S 2583-S</t>
  </si>
  <si>
    <t>MQM Case</t>
  </si>
  <si>
    <t>Arshad
 s/o Fakhar-ud-Din</t>
  </si>
  <si>
    <t>Fakhar-ud-Din f/o Missing Person, r/o Ayub Khan Compound, Gali No. 4, Hashmi Masjid, Usmanabad, Distt: South Karachi (Mobile No. 0323-3171704)</t>
  </si>
  <si>
    <t>FIR No.121 dt.24/6/2013 u/s 365/34 PPC PS/Garden,District South Karachi.</t>
  </si>
  <si>
    <t>1263-S</t>
  </si>
  <si>
    <t>Muhammad Saeed s/o Muhammad Hanif</t>
  </si>
  <si>
    <t>Muhammad Rameez b/o Missing Person, r/o House No. 27, Gali No. 1, Sector 35-B, 'K' Area, Korangi-4, Distt: East Karachi (Mobile No. 0313-8960485, 0345-3219446)</t>
  </si>
  <si>
    <t>FIR No.103 dt.04/06/2013 u/s 365/34 PPC PS Landhi,Karachi</t>
  </si>
  <si>
    <t>MoFAs No. 10004144</t>
  </si>
  <si>
    <t>Farooq Ahmed
 s/o Zahoor Ahmed</t>
  </si>
  <si>
    <t>Nazia Farooq w/o Missing Person, r/o House No. R-618, Sector 8-C, Gulshan-e-Zahoor, AB Sinia Line, Distt: East Karachi (Mobile No. 0313-2817603, 0345-2231119)</t>
  </si>
  <si>
    <t>FIR No.142 dt.18/4/2013 u/s 365/34 PPC PS Preedy,District Saddar,Karachi</t>
  </si>
  <si>
    <t>Deleted. After thorough investigation and the examination of relevant record, it was found that there is no allegation against any LEAs for abduction of Farooq Ahmed. The case does not fall under the domain of enforced disappearance, hence closed.</t>
  </si>
  <si>
    <t>1265-S</t>
  </si>
  <si>
    <t>Zeeshan Gul
 s/o Muneer Gul</t>
  </si>
  <si>
    <t>Gul Muneer Baloch f/o Missing Person, r/o House No. R-329, Sector 8-B, Gulshan-e-Zahoor, AB Sinia Line, Distt: East Karachi (Mobile No. 0331-3230488)</t>
  </si>
  <si>
    <t>FIR No.80 dt.20/5/2013 u/s 365/34 PPC PS/ Brigade,Karachi East</t>
  </si>
  <si>
    <t>MoFAs No.10004142</t>
  </si>
  <si>
    <t>1266-S 4994-S</t>
  </si>
  <si>
    <t>Usman Ali
 s/o Ahmed Ali</t>
  </si>
  <si>
    <t>Ahmed Ali f/o Missing Person, r/o House No. L-942, Sector 41-B, Korangi 2-1/2, Distt: East Karachi (Mobile No. 0312-4801627)</t>
  </si>
  <si>
    <t>MoFAs No.10004140</t>
  </si>
  <si>
    <t>HRC No. 2264-S/2013</t>
  </si>
  <si>
    <t>Samiullah S/o Sardar Khan</t>
  </si>
  <si>
    <t>Jaanbaz Khan s/o Saday Khan r/o Katchi Abadi Goth near Rice Godam, New Sabzi Mandi, Karachi (Mobile No. 0333-3662072)</t>
  </si>
  <si>
    <t>(Dead Body Recovered)</t>
  </si>
  <si>
    <t>HRC No. 21979-S/2013</t>
  </si>
  <si>
    <t>Muhammad Aslam S/o Abdul Rehman Azeem</t>
  </si>
  <si>
    <t>Mr. Muhammad Ashraf b/o Missing Person r/o Flat No. 10, Ground Floor, Qadri Manzil, Plot No. LR-20/9, Imlli Street, Islam Pura, Nishtar Road, Usman Abad, Karachi (Mobile No. 0300-2351529)</t>
  </si>
  <si>
    <t>HRC No. 21976-S/2013</t>
  </si>
  <si>
    <t>Muhammad Suleman S/o Musafir Khan</t>
  </si>
  <si>
    <t>Mr. Musafir Khan f/o Missing Person r/o House No. A-127, Block B, Wahid Colony, North Nazimabad, Karachi (Mobile No. 0333-2243115)</t>
  </si>
  <si>
    <t>Traced Person. Home Department, Sindh reported that he was arrested in case FIR No. 264 dated 18.6.2013 u/s 353/324/34 PPC at PS Maripur, Karachi.</t>
  </si>
  <si>
    <t>HRC No. 13627-K/2013</t>
  </si>
  <si>
    <t>Anwar Ali S/o Aitabar Khan</t>
  </si>
  <si>
    <t>Mst. Jouhas W/o Missing Person r/o Village: Sadbar Abad, Balogram, Tehsil: Babuzai, Distt: swat (Mobile No. 0346-9434983)</t>
  </si>
  <si>
    <t>FIR No.526 dt.29/7/2013 u/s 365 PPC PS Rahimabad,District Swat.</t>
  </si>
  <si>
    <t>Traced Person. Presentaly confined in the Internment Centre at Fizaghat but now released as informed by SP (Inv) Swat.</t>
  </si>
  <si>
    <t>HRC No. 21924-K/2013</t>
  </si>
  <si>
    <t>Siraj Khan S/o Khanpur Rehman</t>
  </si>
  <si>
    <t>Mr. Khanpur Rehman F/o Missing Person r/o Village: Daman near Mardan Medical Complex, Nowshehra Road, Mardan (Mobile No. 0344-9195918)</t>
  </si>
  <si>
    <t>FIR No.469 dt.04/09/2013 u/s 365 PPC PS Sheikh Maltoon,Mardan</t>
  </si>
  <si>
    <t>Traced Person. Confined in the Internment Centre, Lakki Marwat as informed by rep of MI on 6.1.2015.</t>
  </si>
  <si>
    <t>HRC No. 12523-K/2013</t>
  </si>
  <si>
    <t>Basharatullah S/o Sahibzada</t>
  </si>
  <si>
    <t>Mst. Zaryanga M/o Missing Person r/o Baha, Tehsil: Matta, Distt: Swat (Mobile No. 0346-3534687)</t>
  </si>
  <si>
    <t>FIR No.194 dt.30/07/2013 u/s 365 PPC PS Chuprial District Swat</t>
  </si>
  <si>
    <t>HRC No. 19797-B/2013</t>
  </si>
  <si>
    <t>Haji Nadir Khan</t>
  </si>
  <si>
    <t>Mr. Abdul Salam S/o Missing Person r/o College Road, Chaman</t>
  </si>
  <si>
    <t>Traced Person. DSP submitted report at the hearing on 28.2.15 that Haji Nadir Khan has returned to home.</t>
  </si>
  <si>
    <t>1274 1537</t>
  </si>
  <si>
    <t>Allauddin Ahmed Khan Niazi s/o Nasrullah Khan Niazi</t>
  </si>
  <si>
    <t>Dr. Fawad Ahmed Khan Niazi cousin of Missing Person r/o H # 215 Doctor's Town, Lohi Bher, Islamabad (Mobile No. 0321-5861057)</t>
  </si>
  <si>
    <t>FIR No. 74
 dt: 12-6-13
 u/s 365 PPC
 PS/ Lohi Bher, Islamabad</t>
  </si>
  <si>
    <t>Deleted. None entered appearance before the Commission on behalf of Missing Person. Ejaz Ahmed SI/IO of the case appeared and submitted that he informed the complainant telephonically but he was not willing to pursue the case further. It has also been intimated that the family of the Missing Person has offered Ghaibana Namaz Janaza of Allauddin Ahmed Khan Niazi. In view of the foregoing further proceedings will be a futile exercise. According the case is closed.</t>
  </si>
  <si>
    <t>Muhammad Abbas s/o Altaf Hussain</t>
  </si>
  <si>
    <t>Altaf Hussain f/o Missing Person r/o Mian Jee Town, Gali No. 5, Muhallah Dogar Colony, Nowshera Road, Gujranwala (Mobile No. 0347-4397197)</t>
  </si>
  <si>
    <t>FIR No.682 dt.29/8/2013 u/s 365 PPC PS/Saddar,Gujranwala.</t>
  </si>
  <si>
    <t>Traced Person. Dead body recovered as informed by CPO, Gujranwala. A case u/s 302 PPC registered.</t>
  </si>
  <si>
    <t>1276-P</t>
  </si>
  <si>
    <t>Hafiz Muhammad Sajjad s/o Maqbool Hussain</t>
  </si>
  <si>
    <t>Traced Person. Returned to home as confirmed by his brother Muhammad Saleem at the hearing held on 12.01.2015.</t>
  </si>
  <si>
    <t>Naqash Pervaiz
 s/o Muhammad Pervaiz</t>
  </si>
  <si>
    <t>Babar Shehzad b/o Missing Person, r/o Bhallakhar, P.O. Khas, Tehsil Kalar Saidan, Distt: Rawalpindi (Mobile No. 0323-5230549)</t>
  </si>
  <si>
    <t>FIR No. 173
 dt: 4-5-12
 u/s 365 PPC
 P.S Kalar Saidan,
 District: Rawalpindi</t>
  </si>
  <si>
    <t>Deleted. Not a case of enforced disappearance rather Challan has been submitted before court of jurisdiction.</t>
  </si>
  <si>
    <t>Abdul Rehman
 s/o Noor Muhammad</t>
  </si>
  <si>
    <t>Mst. Habiba Bibi w/o Missing Person, r/o Mohallah Salamat Pur, near Tableeghi Markaz, Raiwand, Distt: Lahore (Mobile No. 0336-4181086)</t>
  </si>
  <si>
    <t>FIR No.708 dt.13/08/2013 u/s 365 PPC PS City Raiwind District Lahore</t>
  </si>
  <si>
    <t>Traced Person. Returned to home as informed by SP (Inv) Saddar, Lahore at the hearing on 12.01.2015.</t>
  </si>
  <si>
    <t>Fazal Aziz 
 s/o Aziz Gul</t>
  </si>
  <si>
    <t>Mst. Hameeda Bibi w/o Fazal Aziz, r/o H. No. 1725/1462, Mohallah Swat Colony, Baldia Town Karachi, Tehsil &amp; Distt: West Karachi (Mobile No. 0314-2201335)</t>
  </si>
  <si>
    <t>FIR No.290 dt.18/7/2013 u/s 365/34 PPC,PS/Saeedabad,District West Karachi.</t>
  </si>
  <si>
    <t>Traced Person. Fazal Aziz s/o Aziz-ur-Rehman has been traced. He appeared before the Commission and his statement has recorded. Accordingly the case stand disposed of.</t>
  </si>
  <si>
    <t>Muhammad Abid
 s/o Munir Khan</t>
  </si>
  <si>
    <t>Tappi, Tehsil &amp; District Kohat c/o Muhammad Fahad r/o Al-Shafa Laboratory, Saeed Ullah Shah Market, Kechari Chowk, Kohat (Mobile No. 0334-8259005)</t>
  </si>
  <si>
    <t>FIR No.886 dt.22/8/2013 u/s 365 PPC PS/MRS District Kohat</t>
  </si>
  <si>
    <t>Traced Person. Confined in the Internment Centre, Lakki Marwat as reported by MI at the hearing on 02.01.2014.</t>
  </si>
  <si>
    <t>Muhammad Adnan
 s/o Haji Muhammad Ramzan</t>
  </si>
  <si>
    <t>Mst. Dilshad Bibi m/o Missing Person, r/o Darkhanwali, Tehsil &amp; Distt: D.I.Khan (Mobile No. 0346-7269080)</t>
  </si>
  <si>
    <t>Traced Person. Rep of IB stated at the hearing on 30.8.2013 that Muhammad Adnan has traced.</t>
  </si>
  <si>
    <t>Abdul Mateen
 s/o Shaheen Ullah Khan</t>
  </si>
  <si>
    <t>Shaheen Ullah Khan f/o Missing Person, r/o Lalabad Ali Gout near Khan Cold drink Shop keeper Ghulam Rasool Landhi, Karachi (Mobile No. 0303-3656598)</t>
  </si>
  <si>
    <t>FIR No.75 dt. 27/8/2013 u/s 365 PPC PS/Zhob</t>
  </si>
  <si>
    <t>Deleted. Missing Person Abdul Mateen and the entire family seems to be involved in Criminal activities. He was also convicted in case FIR No. 11/16.</t>
  </si>
  <si>
    <t>HRC No. 22004-P/2013</t>
  </si>
  <si>
    <t>Karamat Ali S/o Muhammad Sabir</t>
  </si>
  <si>
    <t>Mr. Muhammad Sabir F/o Missing Person r/o Village: Baqapur EastPO: Gahlan Hithar, Tehsil: Chunian, Distt: Kasur (Mobile No. 0304-5776534)</t>
  </si>
  <si>
    <t>FIR No.333 dt.15/07/2013 u/s 365 PPC PS/Gulshan Iqbal,Lahore.</t>
  </si>
  <si>
    <t>Traced Person. I.O. reported that Karamat Ali is involved in case FIR No. 590 dated 12.7.12 u/s 302,324 etc.</t>
  </si>
  <si>
    <t>HRC No. 7277-K/2013</t>
  </si>
  <si>
    <t>Ayub Khan S/o Toota</t>
  </si>
  <si>
    <t>Mr. Sultani Roum b/o Missing Person r/o Mohallah Haroonabad, Oadigram, Distt: Swat (Mobile No. 0344-9619761)</t>
  </si>
  <si>
    <t>FIR No.521 dt.26/7/2013 u/s 365 PPC,PS/Rahimabad,Swat.</t>
  </si>
  <si>
    <t>Traced Person. Detained in Internment Centre Tank but later st free and returned to home.</t>
  </si>
  <si>
    <t>HRC No. 171-K/2013</t>
  </si>
  <si>
    <t>Saif Ullah
 s/o Atta Ullah</t>
  </si>
  <si>
    <t>Jumma Khan b/o Missing Person, r/o Sheikh Uttar, Tehsil &amp; District Tank</t>
  </si>
  <si>
    <t>Traced Person. Accordingly to report by SHO PS Gomal Saifullah is abailableat home and he is not a Missing Person.</t>
  </si>
  <si>
    <t>Majid Khan
 s/o Aftab Gul</t>
  </si>
  <si>
    <t>Mst. Seemi Bibi w/o Missing Person, r/o Mohallah Muslim Colony, Dila Zak Road, P.S. Pahari Pur, Peshawar</t>
  </si>
  <si>
    <t>D.D Report No. 34
 dt: 17-3-2013 
 P.S. Pahari Pura,
 Peshawar</t>
  </si>
  <si>
    <t>Traced Person. Appeared before the Commission on 10.10.2013. Did not furnish details of the incident.</t>
  </si>
  <si>
    <t>Rehmat Ullah
 s/o Tooray</t>
  </si>
  <si>
    <t>Sami Ullah s/o Missing Person, r/o Ghond, Nangoli, P.O. Nangolai, Tehsil &amp; District Swat (Mobile No. 0345-0385542)</t>
  </si>
  <si>
    <t>FIR No.482
 dt: 05/9/2013 u/s 365 PPC
 P.S/Kanju District Swat</t>
  </si>
  <si>
    <t>Bakht-e-Biadar
 s/o Amer Baz Khan</t>
  </si>
  <si>
    <t>Mst. Izat Begum w/o Missing Person, r/o Mohallah Balakhti, Kuza Bandi, Swat</t>
  </si>
  <si>
    <t>FIR No.481 dt.04/9/2013 u/s 365 PPC PS/Kanju District Swat.</t>
  </si>
  <si>
    <t>Traced Person. Returned to Home statement recorded u/s 164 CrPC.</t>
  </si>
  <si>
    <t>Ajmal Khan
 s/o Shehroz khan</t>
  </si>
  <si>
    <t>Mst. Haseena Bibi m/o Missing Person, r/o Kuza Bandi, Tehsil Kabal, District Swat</t>
  </si>
  <si>
    <t>FIR No.480 dt.04/9/2013 u/s 365 PPC PS/Kanju District Swat.</t>
  </si>
  <si>
    <t>Mohsin Sher
 s/o Sher Khan</t>
  </si>
  <si>
    <t>Sher Khan f/o Missing Person, r/o Lakhnay wala, P.O. Khan, tehsil &amp; District Mandi Bahauddin (mobile No. 0345-6791123)</t>
  </si>
  <si>
    <t>FIR No.448 dt.17/08/2013 u/s 365 PPC PS Civil Lines District Mandi Baha-ud-Din</t>
  </si>
  <si>
    <t>Traced Person. Returned to home as confirmed by I.O. of the case at the hearing on 29.9.2014.</t>
  </si>
  <si>
    <t>Azhar Mehmood s/o Muhammad Bashir</t>
  </si>
  <si>
    <t>Muhammad Bashir f/o Missing Person, r/o Dhrek Mohri, Golra Railway Station, P.O. Golra Sharif, Tehsil &amp; District Islamabad (Mobile No. 0300-9842228)</t>
  </si>
  <si>
    <t>FIR No. 597
 dt: 20-12-2010
 u/s 365-A
 P.S. Tarnol Islamabad</t>
  </si>
  <si>
    <t>Deleted. Not a case of Enforced Disappearance rather that of kidnapping for ransom as clasified in the proceedings dated 24.2.2014.</t>
  </si>
  <si>
    <t>HRC No.28572-K/2013</t>
  </si>
  <si>
    <t>Attique-ur-Rehman S/o Nazir Ahmad</t>
  </si>
  <si>
    <t>Jannat Bibi M/o Missing Person r/o Masjid Albasia Zafar Abad Colony Dera Ismail Khan</t>
  </si>
  <si>
    <t>FIR No.327 dt.20/08/2013 u/s 365 PPC PS Dera Town,D.I.Khan</t>
  </si>
  <si>
    <t>Traced Person. Confined in Internment Center Lakki Marwat, as informed by rep of MI.</t>
  </si>
  <si>
    <t>HRC No. 
 26961-P/2013</t>
  </si>
  <si>
    <t>Chaudhry Muhammad Azam S/o Chaudhry Muhammad Aslam</t>
  </si>
  <si>
    <t>Asia Qamar s/o Missing person r/o Ch. Muhammad Aslam Faazalan wali street, Inayat Park, Jiya Mosa, Shahdira Lahore</t>
  </si>
  <si>
    <t>FIR No.1190 dt.30/8/2013 u/s 365 PPC PS/Shahdara,Lahore.</t>
  </si>
  <si>
    <t>Traced Person. Appeared before the Commission on 4.3.2013. Stated that he was kidnapped by unknown persons.</t>
  </si>
  <si>
    <t>HRC No.28278-P/2013</t>
  </si>
  <si>
    <t>Mohsin Sher S/o Sardar Khan</t>
  </si>
  <si>
    <t>Sher Khan F/o Missing Person r/o Village Lakhnawala Tehsil &amp; District Mandi Bahauddin (Mobile No.0345-6791123)</t>
  </si>
  <si>
    <t>HRC No.1809-K/2013</t>
  </si>
  <si>
    <t>Haider Ali S/o Zahir Shah</t>
  </si>
  <si>
    <t>Zahir Shah F/o Missing Person r/o Devlai, Tehsil Kabul, District Swat.</t>
  </si>
  <si>
    <t>HRC No. 32841-K/2012</t>
  </si>
  <si>
    <t>Khalil-u-Rehman s/o Muhammad Iqbal</t>
  </si>
  <si>
    <t>Mr. Iqbal Mehmood S/o Fazal Khaliq r/o Koza Banda, Swat (Mobile No. 0346-9428804)</t>
  </si>
  <si>
    <t>FIR No.397 dt.26/07/2013 u/s 365 PPC PS Kanju,Swat</t>
  </si>
  <si>
    <t>HRC No. 9895-P/2013</t>
  </si>
  <si>
    <t>Qurban Ali Khan</t>
  </si>
  <si>
    <t>Mst. Asia Qurban w/o Missing Person r/o Betian, Tehsil &amp; Distt: Mianwali (Mobile No. 0343-6896768)</t>
  </si>
  <si>
    <t>Traced Person. He was detained by Pak Army for an enquiry being an empoyee of Armed Forces.</t>
  </si>
  <si>
    <t>Bijjar Ahmed @ Marri</t>
  </si>
  <si>
    <t>F-M/10 Street Muslim Abad, Fakir Colony, Orangi Town, Karachi (Complain received by MoFAs)</t>
  </si>
  <si>
    <t>Deleted as the compainent have neither came, forwared nor he is available of given address which is occurred vague.</t>
  </si>
  <si>
    <t>HRC No. 34637-K/2012</t>
  </si>
  <si>
    <t>Amanullah Khan s/o Shah Zaman Khan</t>
  </si>
  <si>
    <t>Mst. Bakht Mehal r/o Kouza Bandi, Swat (Mobile No. 0346-9693158)</t>
  </si>
  <si>
    <t>FIR No.479
 dt: 04/09/2013
 u/s 365 PPC
 PS Kanju, District Swat</t>
  </si>
  <si>
    <t>HRC No. 3659-K/2013</t>
  </si>
  <si>
    <t>Muhammad Rasheed</t>
  </si>
  <si>
    <t>Mst. Bushra r/o Gedrocham, Bara Bandi, Tehsil: Kabal, Disst: Swat (Mobile No. 0341-9421462)</t>
  </si>
  <si>
    <t>FIR No.414
 dt: 31/07/2013
 u/s 365 PPC
 P.S. Kanju, District Swat</t>
  </si>
  <si>
    <t>Amjad Ali S/o Muhammad Rasheed</t>
  </si>
  <si>
    <t>Muhammad Nasir
 s/o Muhammad Hashim</t>
  </si>
  <si>
    <t>Muhammad Hashim f/o Missing Person, r/o FGS Colony, Gallery-4, Block No. 1, Sariab Custom, Quetta (Mobile No. 0302-3410913)</t>
  </si>
  <si>
    <t>FIR No. 6,
 dt: 4-02-2013
 u/s 365 PPC
 PS: Shalkot, Quetta</t>
  </si>
  <si>
    <t>Muhammad Aslam @ Muhammad Islam
 s/o Umer Bakhsh</t>
  </si>
  <si>
    <t>Muhammad Shareef b/o Missing Person, r/o Mumtaz Town, Killi Geo, Quetta (Mobile No. 0312-3264855)</t>
  </si>
  <si>
    <t>Traced Person. DSP (CID) informed at the hearing on 28.2.15 that Muhammad Aslam has been released by the kidnappers. Statement recorded u/s 161 CrPC.</t>
  </si>
  <si>
    <t>Ameer Bakhsh Qambrani
 s/o Behram Khan</t>
  </si>
  <si>
    <t>Mohallah Killi Qambrani, Sariab Road, Quetta</t>
  </si>
  <si>
    <t>FIR No. 164
 dt: 30/9/2013
 u/s 365 PPC
 PS/Kechi Baig,Quetta.</t>
  </si>
  <si>
    <t>Traced Person. His father appeared before the Commission on 25.10.16. Stated that Ameer Bakhsh has returned to home.</t>
  </si>
  <si>
    <t>Muhammad Ilyas
 s/o Toor Zada</t>
  </si>
  <si>
    <t>Karam Khan b/o Missing Person, r/o Mohallah Peoples Colony Parhotti, Mardan (Mobile No. 0311-5152053)</t>
  </si>
  <si>
    <t>FIR No.1056 dt.15/10/2013 u/s 365 PPC PS/City District Mardan.</t>
  </si>
  <si>
    <t>Traced Person. Confined in the Internment Centre, Fizaghat, as informed by rep of MI at the hearing on 24.9.2014.</t>
  </si>
  <si>
    <t>Sadaqat Khan s/o Muhammad Fazal Khan</t>
  </si>
  <si>
    <t>Muhammad Liaqat Khan b/o Missing Person, r/o House No. 1, Madina Town, Khana, P.O Islamabad(Mobile No. 0321-5072320)</t>
  </si>
  <si>
    <t>FIR No.472
 dt: 17/9/2013
 u/s 365 PPC
 PS Shahzad Town,Islamabad.</t>
  </si>
  <si>
    <t>Traced Person. He is confined in jail in various henious Crimes. Meeting with family facilitated.</t>
  </si>
  <si>
    <t>1309-K</t>
  </si>
  <si>
    <t>Fateh Ullah s/o Gul Sabir</t>
  </si>
  <si>
    <t>Obaid Ullah b/o Missing Person, r/o Boltanabad, Tehsil &amp; District Tank (Mobile No. 0333-3363460, 0332-4366816)</t>
  </si>
  <si>
    <t>FIR No. 931
 dt: 9-12-2013
 u/s 365 PPC
 PS. Akora Khattak
 District: Nowshera</t>
  </si>
  <si>
    <t>HRC No. 30211-B/2013</t>
  </si>
  <si>
    <t>Sanaullah s/o Muhammad Azeem</t>
  </si>
  <si>
    <t>Mst. Ganj Bibi M/o Missing Person r/o Darakzai, Manochar, Distt: Kalat (Mobile No. 0334-8855577)</t>
  </si>
  <si>
    <t>FIR No. 119/2013 PS Industrial Area, Quetta u/s 365 PPC.</t>
  </si>
  <si>
    <t>Traced Person. Returned to home as informed at the hearing on 26.2.2015 by DSP/CID Quetta.</t>
  </si>
  <si>
    <t>Abdul Waheed Khan s/o Meer Ajab Khan</t>
  </si>
  <si>
    <t>Meer Ajab Khan f/o Missing Person, r/o Dolat Khel, P.O Essak Khel, Distt: Lakki Marwat (Mobile No. 0306-8708813)</t>
  </si>
  <si>
    <t>FIR No.747 dt.23/12/2013 u/s 365 PPC PS/Lakki Marwat.</t>
  </si>
  <si>
    <t>Traced Person. Returned to Home. Appeared before the Commission on 1.11.2014. Could not mention details of his abduction/return.</t>
  </si>
  <si>
    <t>HRC No. 30040-K/2013</t>
  </si>
  <si>
    <t>Iqbal Hussain S/o Wazir Zada</t>
  </si>
  <si>
    <t>Mr. Shah Hussain B/o Missing Person r/o Gul Kada No. 3, Saidu Sharif, Swat (Mobile No. 0333-9074985)</t>
  </si>
  <si>
    <t>15602-0463472-1</t>
  </si>
  <si>
    <t>FIR No.546 dt.12/09/2013 u/s 365 PPC PS Saidu Sharif,Swat</t>
  </si>
  <si>
    <t>Qazi Muhammad Ibrahim s/o Qazi Muhammad Riaz</t>
  </si>
  <si>
    <t>Mst. Amira Riaz Qazi m/o Missing Person, r/o House No. 1085, Gali No. 110, G-9/4, Islamabad (Mobile No. 0334-5320207)</t>
  </si>
  <si>
    <t>FIR No. 407
 dt: 11-7-2013
 u/s 365 PPC
 PS Margalla, Islamabad</t>
  </si>
  <si>
    <t>Deleted. After thorough examination of JIT and PTF reports, non-availability of the complainant any eye witness. The statement of the Missing Person at the hearing held on 10.2.2021 in which no allegation has been levelled against any of the LEAs. It is concluded that the case does not fall within the domain of enforced disappearance. Hence the case is closed.</t>
  </si>
  <si>
    <t>Ghulam Mustafa s/o Khuda Bakhsh</t>
  </si>
  <si>
    <t>Khuda Bakhsh f/o Missing Person, r/o Mouza Raan Laab Darya, P.O. Khas, Adda Banbosan, Tehsil &amp; District Multan (Mobile No. 0306-2539132)</t>
  </si>
  <si>
    <t>FIR No.564 dt.09/09/2013 u/s 365 PPC PS Alpa District Multan</t>
  </si>
  <si>
    <t>Traced Person. Returned to home as admitted by his father at the hearing on 23.9.2014.</t>
  </si>
  <si>
    <t>Abdul Rauf s/o Allah Bakhsk</t>
  </si>
  <si>
    <t>Altaf Hussain b/o Missing Person r/o Baddar Ranjha Khas, P.O Badh Ranjha, Tehsil Kot Momin, District Sargodha (Mobile No. 0341-4624047)</t>
  </si>
  <si>
    <t>FIR No.526 dt.26/11/2013 u/s 365 PPC PS Urban Area,Sargodha</t>
  </si>
  <si>
    <t>Deleted. Not a case of enforced disappearance as he was killed in a dispute illicit relations.</t>
  </si>
  <si>
    <t>Abdul Qayyum s/o Gul Hazrat</t>
  </si>
  <si>
    <t>Abdul Majeed b/o Missing Person, r/o Kam Sarobi Bora Khel, Tehsil Miran Shah, North Waziristan Agency (Mobile No. 0314-5811110, 0300-3742776)</t>
  </si>
  <si>
    <t>FIR N0.284 dt.29/4/2015 u/s 365 PPC PS/Pirwadhai District Rawalpindi.</t>
  </si>
  <si>
    <t>Traced Person. Returned to home as confirmed by his brother Abdul Majid who further disclosed that Abdul Qayyum had gone to Karachi.</t>
  </si>
  <si>
    <t>1317-P</t>
  </si>
  <si>
    <t>Khawar Mehmood s/o Khalid Mehmood</t>
  </si>
  <si>
    <t>Mst. Sadia Perveen w/o Missing Person, r/o Chak No. 314/9R, Tehsil Fort Abbas, District Bahwalnagar (Mobile No. 0306-7885683, 0302-4105714)</t>
  </si>
  <si>
    <t>FIR No. 2540
 dt: 13-7-13
 u/s 365 PPC
 P.S. Fort Abbas
 District Bahawalnagar</t>
  </si>
  <si>
    <t>Traced Peson. Returned to home as confirmed by JIT in its report dated 18.2.2014.</t>
  </si>
  <si>
    <t>Saeed Dil s/o Abdul Momin</t>
  </si>
  <si>
    <t>C/o Amjad Ali Advocate, Office No. 9, Five Star Centre, Ground Floor, Gulshan-e-Iqbal, Block-11, University Road, Karachi (Mobile No. 0320-0258930, 0300-2643782)</t>
  </si>
  <si>
    <t>Traced Person. The Cognizance of issue was taken by the Commission by means of letter of even number dated 5.9.2013. Muhammad Ismail, SHQ PS Sohrab Goth, Karachi submitted report at this hearing that Saeed Dil has been traced and presently available at his home. In this regard a certificate has been produced indicating that Saeed Dil has returned to his home locate at Al-Asif Square, Karachi. In view of above no further action is required to be taken. The name of Saeed Dil be deleted form the list of enforced disappearance persons.</t>
  </si>
  <si>
    <t>Abdul Sattar s/o Ghulam Haider</t>
  </si>
  <si>
    <t>Abdul Ghaffar b/o Missing Person, r/o Ramak, Tehsil &amp; District D.I.Khan (Mobile No. 0343-4689587)</t>
  </si>
  <si>
    <t>FIR No.445 dt.04/12/2013 u/s 365 PPC PS Kuthiala Sheikhan District Mandi Baha-ud-Din</t>
  </si>
  <si>
    <t>Traced Person. He is confined in the Internment Centre at Kohat as comfirmed by Rep of ISI.</t>
  </si>
  <si>
    <t>Ata Tahir s/o Muhammad Tahir</t>
  </si>
  <si>
    <t>C/o Uzair Ahmed cousin of Missing Person, H-9 Secretariat, Training Institute, Islamabad (Mobile No. 0324-2092407)</t>
  </si>
  <si>
    <t>Traced Person. Director Stat Home Deptt submitted report from DC Gawadar that Ata Tahir has been traced on 15.6.14.</t>
  </si>
  <si>
    <t>Tabish Raza Khan s/o Rashid Mian</t>
  </si>
  <si>
    <t>Mst.Asifa Rashid m/o Missing Person, r/o F-304, Modren Complex Sector I-11, North Karachi (Mobile No. 0331-2462053)</t>
  </si>
  <si>
    <t>FIR No.155 dt.20/10/2014 u/s 365/34/PPC,PS/Airport,District Malir,East Karachi</t>
  </si>
  <si>
    <t>Traced Person. Dead body recovered</t>
  </si>
  <si>
    <t>Kaleem Ullah s/o Muhammad Younis Farooq</t>
  </si>
  <si>
    <t>Muhammad Younis Farooq f/o Missing Person, r/o Gangothi, P.O. Chinam, Tehsil Kalar Saidan, Distt: Rawalpindi (Mobile No. 0344-5039476)</t>
  </si>
  <si>
    <t>FIR No. 168
 dt: 10-7-2013 u/s 365 PPC
 P.S. Kallar Syedan
 District Rawalpindi</t>
  </si>
  <si>
    <t>Traced Person. Dead body recovered and handed over to legal heirs as informed at the hearing on 17.2.14</t>
  </si>
  <si>
    <t>Zakir Hussain Shamsi s/o Safer Muhammad Shamsi</t>
  </si>
  <si>
    <t>Fida Hussain b/o Missing Person, r/o B-1/29, Rabia Flower, Abu Al Hassan Isfahani Road, Karachi (Mobile No. 0345-3033937)</t>
  </si>
  <si>
    <t>FIR No. 152
 dt: 21-3-2013
 u/s 365/34 PPC
 PS Sachal, District East Karachi.</t>
  </si>
  <si>
    <t>Traced Person. It was informed at the hearing held in this Commission on 15/05/2018 that Zakir Hussain Shamsi has returned to home on 15/05/2018. The report submitted by the Police Officer SSP, East Zone, Karachi is placed on record.</t>
  </si>
  <si>
    <t>Yaseen Shah s/o Qabil Shah</t>
  </si>
  <si>
    <t>Muhabat Shah Bacha b/o Missing Person, r/o village Ghalah, Tehsil Katlang, District Mardan (Mobile No. 0336, 5486433, 0331-9199019)</t>
  </si>
  <si>
    <t>Deleted being under process in the Supreme Court of Pakistan</t>
  </si>
  <si>
    <t>Miad Ali s/o Sheraz Khan</t>
  </si>
  <si>
    <t>Sheraz Khan f/o Missing Person, r/o Muhallah Mian Gaan, Sard Cheena, Tehsil Lahore, District Swabi (Mobile No. 0343-5902371)</t>
  </si>
  <si>
    <t>Deleted. Father of Miad Ali confirmed at the hearing on 27.01.2014 that the later expired is an encounter.</t>
  </si>
  <si>
    <t>Muhammad Waseem s/o Muhammad Saleem</t>
  </si>
  <si>
    <t>Muhammad Nadeem b/o Missing Person, r/o Nathoki, PO Barki, Tehsil &amp; Distt: Lahore (Mobile No. 0324-4926298)</t>
  </si>
  <si>
    <t>FIR No.239 dt.10/09/2012 u/s 365 PPC PS Madrissa District Bahawalnagar</t>
  </si>
  <si>
    <t>Traced Person. Muhammad Nadeem b/o Muhammad Waseem confirmed at the hearing on 27.9.14 that he met his brother, who is facing trial in military Court.</t>
  </si>
  <si>
    <t>HRC No. 26875-S/2013</t>
  </si>
  <si>
    <t>Zohaib S/o Muhammad Essa Raees</t>
  </si>
  <si>
    <t>Mr. Shoaib Ahmed Raees b/o Missing Person r/o House No. AK-13B-33S, Mohallah: Phool Patti Lane, Haji Jumma Road, Lyari, Karachi (Mobile No. 0336-2001545)</t>
  </si>
  <si>
    <t>FIR No.114 dt.21/8/2013 u/s 365/34 PPC PS/Chakewara, District South,Karachi.</t>
  </si>
  <si>
    <t>Traced Person. Returned to Home and available at (House No. AK-13B-33S, Mohallah: Phool Patti Lane, Haji Jumma Road, Lyari, Karachi)</t>
  </si>
  <si>
    <t>HRC No. 32457-B/2013</t>
  </si>
  <si>
    <t>Abdul Zahir S/o Shadi Khan</t>
  </si>
  <si>
    <t>Mr. Khair Bakhsh b/o Missing Person r/o Senior Clerk, Deputy District Office Education (Female), Zarghun Town, Mission Road, Quetta</t>
  </si>
  <si>
    <t>FIR No. 51 dt.29/7/2013 u/s 365 PPC, PS/City,Mastung.</t>
  </si>
  <si>
    <t>Deleted. The entire circumstances of the case indicate that it is a criminal case in which the Police showed continues its efforts.</t>
  </si>
  <si>
    <t>HRC No. 24506-P/2013</t>
  </si>
  <si>
    <t>Abdul Sattar S/o Ghulam Rasool</t>
  </si>
  <si>
    <t>Mst. Jaffran Bibi w/o Missing Person r/o Mohallah Jattanwala Garh Mahraja, Tehsil: Ahmedpur, Distt: Jhang (Mobile No. 0305-7668382)</t>
  </si>
  <si>
    <t>FIR No. 286 dt:13/8/2013 u/s 365 PPC, PS Garh Maharaja, Distt. Jhang</t>
  </si>
  <si>
    <t>Under Investigation Jhang</t>
  </si>
  <si>
    <t>Saleem Ullah Aziz s/o Muhammad Naseer Khan</t>
  </si>
  <si>
    <t>Haji Muhammad Naseer Khan f/o Missing Person, r/o Village Boner Das, P.O. Goner Farm, Tehsil Challas, District Diamir (Mobile No. 0311-9289975, 0311-9389977)</t>
  </si>
  <si>
    <t>D.D Report No.19 dt.30/11/2013 PS/Westridge,Rawalpindi</t>
  </si>
  <si>
    <t>Traced Person. Available at his home as satated by SSP (OPS) Rawalpindi at the hearing on 30.1.2014.</t>
  </si>
  <si>
    <t>Muhammad Nouman Arif
 s/o Muhammad Arif</t>
  </si>
  <si>
    <t>Muhammad Salman Arif b/o Missing Person, r/o 55-A, New Muslim Town, Lahore (Mobile No. 0333-3044446)</t>
  </si>
  <si>
    <t>FIR No. 367
 dt: 1-8-2013
 u/s 365 PPC
 PS Muslim Town Lahore</t>
  </si>
  <si>
    <t>Traced Person. Returned to home as confirmed by DSP (Legal) Lahore at the hearing on 20.11.2014.</t>
  </si>
  <si>
    <t>Munir Khan s/o Asghar Khan</t>
  </si>
  <si>
    <t>Aman Ullah, b/o Missing Person, r/o Darban Road, Gulshan Harris Road Colony, D.I.Khan (0301-8799950)</t>
  </si>
  <si>
    <t>FIR No.369 dt.27/9/2013 u/s 365 PPC PS/Dera Town District D.I.Khan</t>
  </si>
  <si>
    <t>Traced Person. Confined in the Internment Centre, Lakki Marwat as informed by MI at the hearing on 25.3.14.</t>
  </si>
  <si>
    <t>Abdul Bari s/o Ameer Bahadur</t>
  </si>
  <si>
    <t>Ghulam Bahadur r/o Kot Nawaz Sirangzona, P.O Kot Nawaz, Tehsil &amp; District Tank (Mobile No. 0300-9098796, 0305-9001195)</t>
  </si>
  <si>
    <t>Traced Person. Confined in the Internment Centre, Lakki Marwat as informed by MI. Family members met him.</t>
  </si>
  <si>
    <t>Abdullah s/o Ameer Bahadur</t>
  </si>
  <si>
    <t>FIR NIL (Place of Occurrence is Sehwan Sharif,Hyderabad district)</t>
  </si>
  <si>
    <t>HRC No. 28791-K/2013</t>
  </si>
  <si>
    <t>Qamar Zaman S/o Shah Zaman</t>
  </si>
  <si>
    <t>Mst. Mehwish Bibi w/o Qamar Zaman r/o Kahirabad Colony, Distt: Dera Ismail Khan</t>
  </si>
  <si>
    <t>FIR No.558 dt.19/09/2013 u/s 365 PPC PS City ,D.I.Khan</t>
  </si>
  <si>
    <t>Traced Person. Father confirmed receipt of dead body at the hearing held on 01.01.2015.</t>
  </si>
  <si>
    <t>HRC No. 25263-K/2013</t>
  </si>
  <si>
    <t>Nazirullah Khan S/o Kastoor Khan</t>
  </si>
  <si>
    <t>Mr. Kastoor Khan F/o Missing Person r/o Post Office Peel Bazar, Distt: Bannu</t>
  </si>
  <si>
    <t>Traced Person. Currently lodged in the Inernment Centre, Lakki Marwat.</t>
  </si>
  <si>
    <t>HRC No. 24955-/2013</t>
  </si>
  <si>
    <t>Rehmatullah Khan s/o Baitullah Khan</t>
  </si>
  <si>
    <t>Mr. Baitullah Khan F/o Missing Person r/o Village Shalamzai, Post Office, Sara Rogha, Distt: South Waziristan Agency (Mobile No. 0301-3215175, 0300-2446872)</t>
  </si>
  <si>
    <t>FIR No. 914 dt.23/10/2012 u/s 365 PPC, PS: Jackson, District West Karachi.</t>
  </si>
  <si>
    <t>Traced Person. Returned to Home and available at (Village Shalamzai, Post Office, Sara Rogha, Distt: South Waziristan Agency)</t>
  </si>
  <si>
    <t>Abdul Manan s/o Bahadur Khan</t>
  </si>
  <si>
    <t>Bahadur Khan f/o Missing Person, r/o House No. P-596, Rana Colony, Gojra Road, Jhang.
 Present Address: Syed Mododi Block Mansora, Multan Road, Lahore (Contact No. 0334-6338973, 0477610074)</t>
  </si>
  <si>
    <t>FIR No.746 dt.18/09/2013 u/s 365 PPC PS Sattokatla District Lahore</t>
  </si>
  <si>
    <t>Traced Person. Appeared before the Commission on 22.9.14. He stated that he could not identify any person who had taken him away.</t>
  </si>
  <si>
    <t>Mahesh Kumar @ Mesha s/o Raja Bahadur</t>
  </si>
  <si>
    <t>Dr. Sateesh Kumar b/o Missing Person, r/o Shaheen Bunglows, Sariab Road, Quetta (Mobile No. 0333-7787909)</t>
  </si>
  <si>
    <t>FIR No. 93
 dt: 26/6/2013
 u/s 365/395 PPC 
 PS Sariab, Quetta</t>
  </si>
  <si>
    <t>Deleted. Case closed due to non-prosecution as per report of I.O. of the case, placed on record.</t>
  </si>
  <si>
    <t>HRC No.3665-K/2013</t>
  </si>
  <si>
    <t>Gohar Ali S/o Abdul Ali</t>
  </si>
  <si>
    <t>Mst. Khan Khela M/o Missing Person r/o Village: Ganajeer, Tehsil: Charbagh, Distt: Swat (Mobile No. 0343-9182897, 0346-2523476)</t>
  </si>
  <si>
    <t>FIR No.583 dt.02/10/2013 u/s 365 PPC PS Saidu Sharif,Swat</t>
  </si>
  <si>
    <t>Nadeem Ahmed S/o Muhammad Shamim</t>
  </si>
  <si>
    <t>Mr. Muhammad Shamim Ahmed F/o Missing Person r/o House No. 3/3-C, Street 41, G-7/2, Islamabad (Mobile No. 0332-2190921)</t>
  </si>
  <si>
    <t>FIR No. 567, dt. 11/09/2013,u/s 365 PPC PS: Margalla, Islamabad</t>
  </si>
  <si>
    <t>HRC No. 29938-K/2013</t>
  </si>
  <si>
    <t>Zain Khan S/o Izzat Khan</t>
  </si>
  <si>
    <t>Mst. Jamsheda Bibi M/o Missing Person r/o Warsak Road, Peer Bala, PS: Mathra, Tehsil &amp; Distt: Peshawar (Mobile No. 0301-8993705)</t>
  </si>
  <si>
    <t>Traced Person. He was confined in jail but returned to home as confirmed by I.O of the case at the hearing on 26.11.14.</t>
  </si>
  <si>
    <t>HRC No. 29848-P/2013</t>
  </si>
  <si>
    <t>Muhammad Zubair S/o Abdul Karim</t>
  </si>
  <si>
    <t>Mst. Samia Rehman W/o Missing Person r/o Masood-ur-Rehman, House No. 48, Block F, Zafar Colony, Sargodha</t>
  </si>
  <si>
    <t>FIR No.249 dt.25/2/2015 u/s 365 PPC PS/Gulbahar District Peshawar</t>
  </si>
  <si>
    <t>Traced Person. Confined in Internment Centre Fort Slope, Khyber Agency, where his wifi met him.</t>
  </si>
  <si>
    <t>Imtiaz Khan s/o Abdul Sattar</t>
  </si>
  <si>
    <t>Najeeb Ullah r/o Qasim Khel, Sher Alamkalay, Caste Zarghunkhel, Darra Adam Khel, FR Kohat (Mobile No. 0333-9196464, 0333-9330846)</t>
  </si>
  <si>
    <t>FIR No.325 dt.25/2/2015 u/s 365 PPC PS Bhanamari District Peshawar</t>
  </si>
  <si>
    <t>W.P No. 1122/2013</t>
  </si>
  <si>
    <t>liaqat Ali s/o Perwant Khan</t>
  </si>
  <si>
    <t>House No. 275-A, Gali No.6, Liaqat Road, Lalazar Colony, Wah Cantt, Rawalpindi (Mobile No. 0332-0030100)</t>
  </si>
  <si>
    <t>FIR No. 139, dt. 08 May 13, PS: Wah Cantt, Rawalpindi</t>
  </si>
  <si>
    <t>Traced Person. Confined in the Internment Centre, Lakki Marwat as informed at the hearing on 12.5.14</t>
  </si>
  <si>
    <t>Noor Rehman s/o Akbar Khan</t>
  </si>
  <si>
    <t>Muhammad Ilyas s/o Missing Person, r/o Hattian Hazro Road, Ilyas Block Factory, District Attock (Mobile No. 0345-5253238)</t>
  </si>
  <si>
    <t>FIR No.672 dt.09/11/2013 u/s 365 PPC PS Saddar Berooni District Rawalpindi.</t>
  </si>
  <si>
    <t>Traced Person. Returned to home on 26.9.2014. No further details shared.</t>
  </si>
  <si>
    <t>Hafiz Tariq Mehmood s/o Haji Abdul Hameed</t>
  </si>
  <si>
    <t>Mst. Faizan Mai m/o Missing Person r/o Village Jhok Jhanoor, Mouza Bhanda Dakhli Bandra, P.S. Saddar, Tehsil &amp; District Bahawalpur (Mobile No. 0300-7386346)</t>
  </si>
  <si>
    <t>FIR No.487 dt.19/11/2013 u/s 365 PPC PS Saddar District Bahawalpur.</t>
  </si>
  <si>
    <t>Traced Person. DPO Bahawalpur submitted an affidavit that Hafiz Tariq Mehmood has returned to home.</t>
  </si>
  <si>
    <t>Inam Ullah s/o Mehar Daad</t>
  </si>
  <si>
    <t>Mst. Noor Bibi, w/o Missing Person, r/o Kot Zafar Baladasti, Kot Kundhan, Tehsil Kalachi, Distt. D.I.Khan (Mobile No. 0344-8994231, 0963-702895)</t>
  </si>
  <si>
    <t>Under Investigation 
 SW Agency</t>
  </si>
  <si>
    <t>Dilqayaz Khan s/o Iqbaliyaz Khan</t>
  </si>
  <si>
    <t>Iqbaliyaz Khan f/o Missing Person, r/o Jadeed Abadi, Rasool Khan, P.O. Bannu, Tehsil &amp; Distt. Bannu (Mobile No. 0333-9725879)</t>
  </si>
  <si>
    <t>FIR No.505 dt.28/11/2013 u/s 365 PPC PS/Cantt.,Bannu</t>
  </si>
  <si>
    <t>Traced Person. Confined in the Internment Centre, Lakki Marwat as informed by his father at the hearing on 18.3.14.</t>
  </si>
  <si>
    <t>Shahazada s/o Gul Zada</t>
  </si>
  <si>
    <t>Sher Afghan cousin of Missing Person, r/o Lounda Sharif, Gomal University Road, D.I.Khan (Mobile No. 0304-9396908, 0301-3025712)</t>
  </si>
  <si>
    <t>Traced Person. Confined in the Internment Centre, Lakki Marwat as infomed by ISI at the hearing on 9.1.2014.</t>
  </si>
  <si>
    <t>1351-K</t>
  </si>
  <si>
    <t>Noor Zada s/o Gul Zada</t>
  </si>
  <si>
    <t>Younis s/o Ali Raza</t>
  </si>
  <si>
    <t>Muhammad Sohaib s/o Sher Muhammad</t>
  </si>
  <si>
    <t>Mobeen-ul-Haq uncle of Missing Person, r/o Mouza Kamal Khel, Tehsil &amp; Distt: Kohat (Mobile No. 0345-5145870, 0335-8022470)</t>
  </si>
  <si>
    <t>Traced Person. Rep of MI reported at the hearing on 16/06/2014 that Muhammad Sohaib is confined in Internment Center Lakki Marwat.</t>
  </si>
  <si>
    <t>Khalil-ur-Rehman s/o Mobeen-ul-Haq</t>
  </si>
  <si>
    <t>Mobeen-ul-Haq f/o Missing Person, r/o Mouza Kamal Khel, Tehsil &amp; Distt: Kohat (Mobile No. 0345-5145870, 0335-8022470)</t>
  </si>
  <si>
    <t>Traced Person Dead body recovered from Internment Center Kohat and handed over to legal heirs family confirmed.</t>
  </si>
  <si>
    <t>Muhammad Hamid s/o Najam-ul-Haq</t>
  </si>
  <si>
    <t>Traced Person. Rep of MI reported at the hearing on 16/06/2014 that Muhammad Hamid is confined in Internment Center Lakki Marwat.</t>
  </si>
  <si>
    <t>Fida-ur-Rehman s/o Najam-ul-Haq</t>
  </si>
  <si>
    <t>FIR No.509
 dt:04/11/2013
 u/s 365 PPC
 PS Bilitang District Kohat</t>
  </si>
  <si>
    <t>Noorz Ali s/o Nawal Khan</t>
  </si>
  <si>
    <t>Meerz Ali b/o Missing Person, r/o Village Dhandlah, P.O/Tehsil Paroa, Distt: D.I.Khan (Mobile No. 0343-7759455)</t>
  </si>
  <si>
    <t>Traced Person. Confined in the Internment Centre, Lakki Marwat as reported at the hearing on 21.10.14.</t>
  </si>
  <si>
    <t>Attique-ur-Rehman s/o Muhammad Ramzan</t>
  </si>
  <si>
    <t>Muhammad Ramzan f/o Missing Person r/o Village Kacha Malana, P.O. Pakka Malana, Tehsil Paroa, Distt: D.I.Khan (Mobile No. 0301-8799015)</t>
  </si>
  <si>
    <t>FIR No.438 dt.03/11/2013 u/s 365 PPC PS Gomal University,D.I.Khan</t>
  </si>
  <si>
    <t>Traced Person. Rep of MI reported on 21.10.14 that Attique-ur- Rehman is confined in the Internment Centre at Kohat.</t>
  </si>
  <si>
    <t>Asim Khan s/o Khurshid Ali</t>
  </si>
  <si>
    <t>Khurshid Ali f/o Missing Person, Village &amp; P.O. Gogdara, Mohallah Ibrahim Khel, Distt: Swat (Mobile No. 0344-9671375)</t>
  </si>
  <si>
    <t>FIR No.676 dt.07/11/2013 u/s 365 PPC PS Rahimabad District Swat</t>
  </si>
  <si>
    <t>Saqib Shahzad s/o Sher Khan</t>
  </si>
  <si>
    <t>Sher Khan f/o Missing Person, r/o Pind Sultani, P.O. Khas, Tehsil Jand, Distt: Attock (Mobile No. 0301-5075837)</t>
  </si>
  <si>
    <t>Report No. 305
 dt: 29-7-2013
 P.S. Basal
 District: Attock</t>
  </si>
  <si>
    <t>Traced Person. Father of Saqib Shahzad has confirmed that his son has returned to home.</t>
  </si>
  <si>
    <t>Hafeez-ur-Rehman s/o Abdul Rahim</t>
  </si>
  <si>
    <t>Faqeer Muhammad b/o Missing Person, r/o Mohallah Bhatti, Village Sheen Bagh Khurd, Tehsil &amp; Distt: Attock (Mobile No. 0321-5726560)</t>
  </si>
  <si>
    <t>FIR No.305 dt.10/11/2013 u/s 365 PPC,PS/Saddar,Attock.</t>
  </si>
  <si>
    <t>Muhammad Idress s/o Muhammad Rafique</t>
  </si>
  <si>
    <t>Muhammad Shafique b/o Missing Person, r/o Village &amp; P.O. Glotian Khurd, Mohallah Butranwali, Daska, Distt: Sialkot (Mobile No. 0305-4264314, 0300-6477898)</t>
  </si>
  <si>
    <t>FIR No.426 dt.21/11/2013 u/s365 PPC PS Saddar Daska District Sialkot</t>
  </si>
  <si>
    <t>Babar Ali s/o Rai Nijabat Ali</t>
  </si>
  <si>
    <t>Basharat Ali B/o Missing Person, r/o Street No.7, Ghang Road, Tehsil &amp; Distt: Sheikhupura (Mobile No. 0300-9094544, 0343-6600480)</t>
  </si>
  <si>
    <t>Report No. 13
 dt: 9-4-2008
 P.S. Saddar Daska
 District: Sialkot</t>
  </si>
  <si>
    <t>Traced Person. Returned to Home as confirmed by SP Saddar) Lahore.</t>
  </si>
  <si>
    <t>Shah Zaman s/o Rahim Khan</t>
  </si>
  <si>
    <t>Wali Muhammad s/o Rahim Khan, r/o Tehsil Machh, Distt: Kachhi, Quetta</t>
  </si>
  <si>
    <t>FIR No. 60
 dt: 30/11/2015 u/s 365/452/34 PPC
 PS/Mach, District: Kachhi</t>
  </si>
  <si>
    <t>Deleted. Not a case of enforced disappearnce, rather criminal proceedings are registered by the Police.</t>
  </si>
  <si>
    <t>Maqbool Ahmed s/o Bahawal Khan</t>
  </si>
  <si>
    <t>Muhammad Anwar s/o Bahawal Khan, r/o Tehsil Machh, Distt: Kachhi, Quetta</t>
  </si>
  <si>
    <t>Amanullah Khan @ Babul s/o Muhammad Afzal</t>
  </si>
  <si>
    <t>Muhammad Afzal f/o Missing Person, r/o Village Kali Baran Zai, Manujan Road Budh, Quetta (Mobile No. 0345-89188888, 0347-2702926)</t>
  </si>
  <si>
    <t>FIR No. 93
 dt: 31-8-2012
 u/s 365/452/34 PPC
 PS. Saddar, District: Quetta</t>
  </si>
  <si>
    <t>Traced Person. Returned to Home and available at Village Kali Baran Zai, Manujan Road Budh, Quetta.</t>
  </si>
  <si>
    <t>Haji Mehmood s/o Altaf Hussain</t>
  </si>
  <si>
    <t>Mst. Naseem Akhtar m/o Missing Person, r/o Qamar, P.O. Haran Pur, Tehsil Pind Dadan Khan, Distt: Jehlum (Mobile No. 0342-5297826)</t>
  </si>
  <si>
    <t>FIR No.267 dt.19/7/2011 u/s 365 PPC PS/Pind Dadan Khan District Jhelum.</t>
  </si>
  <si>
    <t>Deleted. Not a case of enforced disappearance as pointed out in detailed findings dated 1.6.2015.</t>
  </si>
  <si>
    <t>Request of I.O Case of 2335 and 1368 and 1369 fixed together at next date of Hearing</t>
  </si>
  <si>
    <t>Suleman s/o Muhammad Akbar</t>
  </si>
  <si>
    <t>Muhammad Akbar f/o Missing Person, r/o Nang Abad Palo Dehri, Tehsil &amp; District Mardan</t>
  </si>
  <si>
    <t>FIR No.264 dt.19/6/2014 u/s 365 PPC PS Choora District Mardan</t>
  </si>
  <si>
    <t>Deleted. After thorough investigation of case, reports of JIT and PTF in which it has been concluded that the Missing Person has gone on his own denial reports from all stakeholders about apprehension and custody of the Missing Person the Commission has arrived at the conclusion that the case does not fall within the ambit of enforced disappearance. Hence, closed.</t>
  </si>
  <si>
    <t>Muhammad Zubair s/o Muhammad Sher</t>
  </si>
  <si>
    <t>Muhammad Sher f/o Missing Person, r/o Nang Abad Palo Dehri, Tehsil &amp; District Mardan (Mobile No. 0307-8565394)</t>
  </si>
  <si>
    <t>16101-0174113-5</t>
  </si>
  <si>
    <t>HRC No. 30678-B/2013</t>
  </si>
  <si>
    <t>Mujahideen s/o Shahmeer Jan</t>
  </si>
  <si>
    <t>Aslam Khan c/o Attique Medicos Whole Sale, Tehsil Tal, Distt: Hango(Mobile No. 0343-9309037-0333-9725971)</t>
  </si>
  <si>
    <t>FIR No.349 dt.25/2/2015 u/s 365 PPC PSKhan Raziq Shaheed(Kabuli) District Peshawar</t>
  </si>
  <si>
    <t>Traced Person. JIT meeting was convinced on 04/12/2018. In the JIT report it has been concluded that Mujahideen disappeared voluntarily. SP (Inv), Peshawar has submitted that complainant is not cooperating and is also not coming in contact with the IO. PTF meeting was convened on 27-28/12/2018. PTF has agreed with the conclusion drawn by JIT, meaning thereby that Muhjaideen has disappeared voluntarily. Rep of ISI is available .He is submitted that according to verification carried out Majhadieen has gone to Afghanistan to evade arrest due to the reason that he participated in activities of adverse nature.</t>
  </si>
  <si>
    <t>Asghar Khan s/o Kudai Dost</t>
  </si>
  <si>
    <t>Shah Jahan b/o Missing Person r/o Allah Din Road, Shaldara, Quetta (Mobile No. 0344-8290910)</t>
  </si>
  <si>
    <t>Traced Person. Appeared before the Commission on 24.2.2015. Requested to close the case.</t>
  </si>
  <si>
    <t>Naveed-ur-Rehman S/o Abdul Razzaq</t>
  </si>
  <si>
    <t>Abdul Razzaq f/o Missing Person, r/o A-69 Satelitte Town, Rawalpindi (Mobile No. 0300-8509055)</t>
  </si>
  <si>
    <t>Deleted. Missing Person is an Afghan national inhere family has mignated to Kabul. Complainat could not traced despite best effort.</t>
  </si>
  <si>
    <t>Maroof Shah s/o Ahmed Shah</t>
  </si>
  <si>
    <t>Mst. Shah Zeenat m/o Missing Person, r/o Bismillah Masjid, Tehsil Kabal, District Swat (Mobile No. 0342-8978065)</t>
  </si>
  <si>
    <t>FIR No.49 dt.30/01/2014 u/s 365 PPC PS/ Kabal District Swat.</t>
  </si>
  <si>
    <t>Traced Person. Confined in the Internment Centre, Lakki Marwat as infomed by MI on 18.2.2015.</t>
  </si>
  <si>
    <t>1374-S 4989-S</t>
  </si>
  <si>
    <t>Arif Hussain Nizami s/o Abdul Majid Nizami</t>
  </si>
  <si>
    <t>Mrs. Rubina Arif w/o Missing Person, r/o H. No. 198/702, Gulshan-e-Mehmoodha, Fatima Jinnah Colony, Jamshed Road No.3, Karachi(Mobile No. 0322-2966763, 0313-8365590)</t>
  </si>
  <si>
    <t>FIR No. 402 dt.8/10/2013
 u/s 365/34 PPC
 P.S. Jamsheed Qtrs. (East) Karachi</t>
  </si>
  <si>
    <t>MoFAs 10004120</t>
  </si>
  <si>
    <t>1375-S 4990-S</t>
  </si>
  <si>
    <t>Muhammad Naeem S/o Abdullah</t>
  </si>
  <si>
    <t>Gul Muhammad uncle of Missing Person, r/o H.No. B-42, Ghousia Colony, P.I.B Colony, Karachi (Mobile No. 0313-2510183)</t>
  </si>
  <si>
    <t>FIR No. 402, dt,8/10/2013
 u/s 365/34 PPC
 P.S. Jamsheed Qtrs. (East) Karachi.</t>
  </si>
  <si>
    <t>MoFAs No.10004119</t>
  </si>
  <si>
    <t>1376 4991-S</t>
  </si>
  <si>
    <t>Muhammad Ali s/o Saddat Ullah</t>
  </si>
  <si>
    <t>Riaz Ahmed Siddique, r/o Flat No. 3/1, Plot No. 357, Street No.15, Dehli Colony, Gizri Road, Karachi (South) [Mobile No. 0300-2144801]</t>
  </si>
  <si>
    <t>MoFAs No. 10004118</t>
  </si>
  <si>
    <t>Akhtar Ali s/o Akhmado Jaan</t>
  </si>
  <si>
    <t>Akhmado Jaan f/o Missing Person, r/o Asad Abad, No.2 Colony near Power House, Site Area, Tehsil Kotri, Distt: Jamshoro, Sindh (Mobile No. 0303-3661893)</t>
  </si>
  <si>
    <t>FIR No. 365, dt.25/09/2013
 u/s 365 PPC
 P.S. Kotri, 
 Ditrict: Jamshoro</t>
  </si>
  <si>
    <t>Traced Person. Returned to Home and available at (Asad Abad, No.2 Colony near Power House, Site Area, Tehsil Kotri, Distt: Jamshoro, Sindh)</t>
  </si>
  <si>
    <t>HRC No. 34040-S/2013</t>
  </si>
  <si>
    <t>Hafiz Qari Zia-ul-Haq s/o Ghulam Akbar</t>
  </si>
  <si>
    <t>Mst. Fatimah w/o Missing Person r/o Mohallah Dogar Shagu Baba, Kachha Sarak Par Hoti, Mardan</t>
  </si>
  <si>
    <t>FIR No.728 dt,19/11/2013 u/s 365 PPC PS Par Hoti,Mardan</t>
  </si>
  <si>
    <t>Traced Person. Hafiz Qari Zia-ul-Haq has been traced. According to the report received from Rep of MI, Hafiz Qari Zia-ul-Haq is presently confined in the Internment Center Paithom. Father of traced person is present. He has been apprised of the status of the case.</t>
  </si>
  <si>
    <t>HRC No. 17888-K/2013</t>
  </si>
  <si>
    <t>Fazal Maula s/o Sher Afzal</t>
  </si>
  <si>
    <t>Mst. Rang Mahal Bibi w/o Missing Person r/o Badra Tehsil Matta District Swat</t>
  </si>
  <si>
    <t>FIR No.852 dt.30/07/2013 u/s 365 PPC PS Matta District Swat</t>
  </si>
  <si>
    <t>Traced Person. Appeared before the Commission on 31.3.16 and stated that was detailed for criminal case.</t>
  </si>
  <si>
    <t>Umair Anwar s/o Muhammad Essa Anwar</t>
  </si>
  <si>
    <t>Muhammad Essa Anwar f/o Missing Person, r/o House No. J-30, Gali No. 11, Khada Liyari Karachi.</t>
  </si>
  <si>
    <t>Traced Person. Returned to home as confirmed in the report by CPO, Rawalpindi and statement of Advocate Nasir Mehmood Mughal.</t>
  </si>
  <si>
    <t>Sohail-ud-Din Qadri s/o Syed Maseh-ud-Din Qadri</t>
  </si>
  <si>
    <t>Syed Maseh-ud-Din Qadri f/o Missing Person, C/O Muhammad Essa Anwar, r/o House No. J-30, Gali No. 11, Khada Liyari Karachi.</t>
  </si>
  <si>
    <t>Muhammad Aziz Qureshi s/o Abdul Razzaq Qureshi</t>
  </si>
  <si>
    <t>Abdul Razzaq Qureshi f/o Missing Person, C/O Muhammad Essa Anwar, r/o House No. J-30, Gali No. 11, Khada Liyari Karachi.</t>
  </si>
  <si>
    <t>Muhammad Hashim s/o Muhammad Amin</t>
  </si>
  <si>
    <t>Mazhar-ul-Haq s/o Missing Person, r/o Gali No. 6, D-11 last stop, Itehad Town, Karachi (Mobile No. 0308-2561567, 0342-2977400)</t>
  </si>
  <si>
    <t>FIR No.234 dt.23/12/2013 u/s 365/34 PPC PS/Gulshan-e-Maamar,District West,Karachi.</t>
  </si>
  <si>
    <t>HRC No. 30028-P/2013</t>
  </si>
  <si>
    <t>Munawar Hussain s/o Nazar Hussain</t>
  </si>
  <si>
    <t>Mst. Naseem Akhtar m/o Missing Person, r/o Jalap, Pind Dadan Khan, Distt: Jehlum (Mobile No. 0343-5973519)</t>
  </si>
  <si>
    <t>Traced Person. Confined in the Internment Centre, Kohat as informed at the hearing on 18.3.2014.</t>
  </si>
  <si>
    <t>Anwar-ul-Haq s/o Tariq Abbasi</t>
  </si>
  <si>
    <t>Burhan-ul-Haq b/o Missing Person, r/o Muhallah Dhok Arra, Gali No.6, Ali Town, Bhara Kaho, Islamabad (Mobile No. 0345-5645360, 0346-6265756)</t>
  </si>
  <si>
    <t>FIR No.398 dt.02/12/2013 u/s 365 PPC PS/Bhara Kahu District Islamabad.</t>
  </si>
  <si>
    <t>Traced Person. Confined in Jail on account of various criminal case registered against him. His brother confirmed at the hearing on 21.01.2014.</t>
  </si>
  <si>
    <t>Faraz Khan s/o Movez Khan</t>
  </si>
  <si>
    <t>Mst. Khadija Bibi m/o Missing Person, r/o Masti Orkazai Agency, Akbarabad, New Adda, Kohat (Mobile No. 0333-9684213, 0313-2887911)</t>
  </si>
  <si>
    <t>FIR No.16 dt.07/1/2014 u/s 365 PPC PS/West Cantt.,Peshawar.</t>
  </si>
  <si>
    <t>Traced Person. I.O of the case submitted statement recorded u/s 164 CrPC at the hearing on 16.6.2014.</t>
  </si>
  <si>
    <t>Aziz Ullah s/o Sakhi Marjan</t>
  </si>
  <si>
    <t>Taj Muhammad b/o Missing Person, r/o Tehsil Shwah, South Waziristan Agency, Miranshah (Mobile No. 0341-9209259)</t>
  </si>
  <si>
    <t>FIR No.49 dt.30/01/2016 u/s 365 PPC PS/Cantt.,Bannu</t>
  </si>
  <si>
    <t>Syed Ali s/o Lal Gul</t>
  </si>
  <si>
    <t>Lal Gul f/o Missing Person, r/o Quetta, C/o Meera Jaan s/o Izal Khan, Kali Goharabad, P.O. Sariab Mill, Sariab Road, Quetta (Mobile No. 0300-3851487)</t>
  </si>
  <si>
    <t>Traced Person. DC, Harnai submitted report that Syed Ali and Abdul Ali are confined in Distrcit Jail, quetta in case FIR No. 2/2013, u/s 427/124A/119/302/324, PPC r/w 7-ATA etc.</t>
  </si>
  <si>
    <t>Abdul Ali s/o Lal Gul</t>
  </si>
  <si>
    <t>HRC No. 32832-K/2012</t>
  </si>
  <si>
    <t>Habib-ur-Rehman s/o Aziz-ur-Rehamn</t>
  </si>
  <si>
    <t>Mr. Aziz-ur-Rehman F/o Missing Person r/o Barri Banda, Swat (Mobile No. 0345-4457096)</t>
  </si>
  <si>
    <t>FIR No.406 dt.29/07/2013 u/s 365 PPC PS Kanju District Swat</t>
  </si>
  <si>
    <t>Rehmat Gul s/o Umer Gul</t>
  </si>
  <si>
    <t>Mst. Bakhat Karam m/o Missing Person, r/o Mohallah Shahi Bagh Damghar, P.O. Dheri Baba, Tehsil &amp; District Swat (Mobile No. 0344-9816794)</t>
  </si>
  <si>
    <t>FIR No.588 dt.19/12/2013 u/s 365 PPC PS/Kanju District Swat.</t>
  </si>
  <si>
    <t>Traced Person. Remained confined in Internment Centre, Paitham and subsequently released. Pesent at his home.</t>
  </si>
  <si>
    <t>Liaqat Ali s/o Perwant Khan</t>
  </si>
  <si>
    <t>Mst. Neeka Bibi m/o Missing Person, r/o Mohallah Mian Gano Cham, P.O Koza Bandi, Tehsil &amp; Distt: Swat (Mobile No. 0344-4227490)</t>
  </si>
  <si>
    <t>FIR No.589 dt.19/12/2013 u/s 365 PPC PS Kanju District Swat.</t>
  </si>
  <si>
    <t>HRC No. 1810-K/2013</t>
  </si>
  <si>
    <t>Essa Muhammad s/o Abdullah</t>
  </si>
  <si>
    <t>Mst. Noor Mehal w/o Missing Person, r/o Village Taghma, Tehsil Kabal, Distt: Swat (Mobile No. 0344-9632663)</t>
  </si>
  <si>
    <t>FIR No.138 dt.28/7/2013 u/s 365/34 PPC PS/Shah Dheri District Swat</t>
  </si>
  <si>
    <t>Traced Person. Confined in the Internment Centre, Paitham as informed at the hearing on 18.2.2015.</t>
  </si>
  <si>
    <t>HRC No. 24104-G/2013</t>
  </si>
  <si>
    <t>Irfan Ullah s/o Umer Jan</t>
  </si>
  <si>
    <t>Umer Jan f/o Missing Person, r/o Wazir Palosan, Khojal Khel, Distt: Kurram Agency (Mobile No. 0301-8005047)</t>
  </si>
  <si>
    <t>Traced Person. APA Bara reported at the hearing on 19.11.14 that Irfan Ullah has committed suicide.</t>
  </si>
  <si>
    <t>HRC No. 33106-B/2013</t>
  </si>
  <si>
    <t>Abdul Samad s/o Amanullah</t>
  </si>
  <si>
    <t>Abdul Hameed b/o Missing Person, r/o Kechi Baig, Sariab Roab, Quetta (Mobile No. 0301-3764104)</t>
  </si>
  <si>
    <t>FIR No. 139/13 u/s 365 PPC PS Kachi Beg</t>
  </si>
  <si>
    <t>Traced Person. SSP (Inv) submitted report that Abdul Samad came to Police Station and his ststament recorded u/s 164 CrPC.</t>
  </si>
  <si>
    <t>HRC No. 34214-S/2013</t>
  </si>
  <si>
    <t>Noor Alam s/o Safeer Jan</t>
  </si>
  <si>
    <t>Mst. Ayesha Khatoon w/o Missing Person, House No. 147, Sector 32-E, Nasir Colony Korangi, P.S Korangi Industrial Area, Karachi (Mobile No. 0324-2010704)</t>
  </si>
  <si>
    <t>FIR No. 16 dt.29/6/2013
 u/s 365/34 PPC
 PS/Mobina Town District West,Karachi</t>
  </si>
  <si>
    <t>Traced Person. Inspector Dilawar Hussain appeared for the Hearing on 20.09.2014 and informed that dead body of Noor Alam has been recovered. A case under PPC 302 has been registered which is under investigation.</t>
  </si>
  <si>
    <t>HRC No. 32934-S/2013</t>
  </si>
  <si>
    <t>Shakir Ahmed s/o Ghulam Haider</t>
  </si>
  <si>
    <t>Meer Dost b/o Missing Person, r/o Dawood Goth, Malir City, near Baldiya School Karachi.</t>
  </si>
  <si>
    <t>FIR No. 98
 dt.29-6-2013
 u/s 365/34 PPC
 PS Airport
 Malir, Karachi</t>
  </si>
  <si>
    <t>Traced Person. Returned to Home and available at (Dawood Goth, Malir City, near Baldiya School Karachi)</t>
  </si>
  <si>
    <t>Muhammad Zahid s/o Ghulam Rasool</t>
  </si>
  <si>
    <t>Zakir b/o missing person, r/o Haji Jumma Road, Phool Patti Lane Kalri, Mohallah Liyari, Tehsil &amp; Distt: North Karachi (Mobile No. 0321-2375355)</t>
  </si>
  <si>
    <t>Traced Person. It has been informed that Muhammad Zahid has returned home. This information has been communicated by Ch. Jan Muhammad SI/IO, PS Baghdadi, Karachi was present before the Commission.</t>
  </si>
  <si>
    <t>Muhammad Arif s/o Muhammad Ismail</t>
  </si>
  <si>
    <t>Muhammad Ismail f/o Missing Person r/o Chorat, P.O. Tarshang, Tehsil &amp; Distt: Astoor (Mobile No. 0355-5100067, 0311-4790075)</t>
  </si>
  <si>
    <t>Traced Person. Returned to home as submitted by SSP (Inv) Quetta at the hearing on 13.11.2015</t>
  </si>
  <si>
    <t>Hafiz Shahzad Akram s/o Muhammad Akram</t>
  </si>
  <si>
    <t>Muhammad Akram f/o Missing Person, r/o Quarter No. I-65, New Campus residence colony, Lahore (Mobile No. 0323-8873593)</t>
  </si>
  <si>
    <t>FIR No. 614
 28-11-13
 u/s 365 PPC
 PS Muslim Town
 Lahore</t>
  </si>
  <si>
    <t>Traced Person. Killed in Police Encounter as confirmed by SP (Inv) concerned at the hearing on 24.10.2016.</t>
  </si>
  <si>
    <t>Yaseen s/o Hussain Badshah</t>
  </si>
  <si>
    <t>Khayal Muhammad r/o Muhammad Khawaja, Tehsil &amp; Distt: Hangu (Mobile No. 0346-5583832)</t>
  </si>
  <si>
    <t>FIR No.1487 dt.24/11/2015 u/s 365 PPC,PS/Paharipura, Peshawar</t>
  </si>
  <si>
    <t>Traced Person. He was recovered as informed and confirmed by Reps of Agancies at the hearing on 8.7.2014.</t>
  </si>
  <si>
    <t>Noor Hayat s/o Khayal Muhammad</t>
  </si>
  <si>
    <t>Muhammad Luqman s/o Spain Gul</t>
  </si>
  <si>
    <t>Sahfiullah s/o Aziz Muhammad</t>
  </si>
  <si>
    <t>Tehsin Ullah s/o Aziz Muhammad</t>
  </si>
  <si>
    <t>FIR No. 1487
 dt: 24/11/2015
 u/s 365 PPC
 PS/Paharipura,Peshawar.</t>
  </si>
  <si>
    <t>Traced Person. Confined in Internment Center Kohat as informed at the hearing on 11.5.2016</t>
  </si>
  <si>
    <t>Dr. Mujahid Azeem Tariq s/o Muhammad Munawar Hussain</t>
  </si>
  <si>
    <t>Mst. Naeema Tariq w/o missing person, r/o 30-B Margazar Colony, Bhimber Road, Gujrat (Mobile No. 0300-9517817)</t>
  </si>
  <si>
    <t>FIR No. 608
 dt: 8-9-13
 u/s 365 PPC
 PS Green Town, Lahore</t>
  </si>
  <si>
    <t>Traced Person. Killed in Encounter</t>
  </si>
  <si>
    <t>Ali Tariq s/o Mujahid Azeem Tariq</t>
  </si>
  <si>
    <t>Mst. Naeema Tariq m/o missing person, r/o 30-B Margazar Colony, Bhimber Road, Gujrat (Mobile No. 0300-9517817)</t>
  </si>
  <si>
    <t>Deleted. According to the statement of Mst. Naeema Tariq, Ali Tariq died in Afghanistan in 2016 therefore, she is not interested to pursue the case further.</t>
  </si>
  <si>
    <t>Mian Anwar Ali s/o Mian Ummati</t>
  </si>
  <si>
    <t>Muhammad Tasneem-ul-Haq, r/o Mohallah Saidabad, Chaprial, Matta Swat (Mobile No. 0346-8004739)</t>
  </si>
  <si>
    <t>Traced Person. Confined in the Internment Centre, Lakki Marwat as informed by Rep of MI at the hearing on 20.2.14</t>
  </si>
  <si>
    <t>Mian Akbar Ali</t>
  </si>
  <si>
    <t>Mian Qudrati</t>
  </si>
  <si>
    <t>Ahmed Sher s/o Muhammad Siddique</t>
  </si>
  <si>
    <t>Mst. Syedan Bibi m/o Missing Person, r/o Pind Tikko, P.O. Khas, Tehsil Malakwal, Distt: Mandi Bahauddin (Mobile No. 0341-9448765)</t>
  </si>
  <si>
    <t>FIR No.593 dt.20/12/2013 u/s 365 PPC PS Malikwal District Mandi Baha-ud-Din</t>
  </si>
  <si>
    <t>HRC No. 42184-S/2013</t>
  </si>
  <si>
    <t>Muhammad Tehseen s/o Muhammad Siddique</t>
  </si>
  <si>
    <t>Mst. Razia Sultana m/o Missing Person, r/o Flat No. 7, Block No. C-3, Rabia City, Gulistan Johar, Karachi (Mobile No. 0315-8966021)</t>
  </si>
  <si>
    <t>Traced Person. Returned to Home and available at (Flat No. 7, Block No. C-3, Rabia City, Gulistan Johar, Karachi)</t>
  </si>
  <si>
    <t>Muhammad Awais s/o Muhammad Siddique</t>
  </si>
  <si>
    <t>Traced Person. Returned to Home and available at Flat No. 7, Block No. C-3, Rabia City, Gulistan Johar, Karachi.</t>
  </si>
  <si>
    <t>Gohar Latif Suleri s/o Abdul Latif Suleri</t>
  </si>
  <si>
    <t>Abdul Latif Suleri f/o Missing Person, r/o House No. 398, Gali No. 13, Muhallah Shah Chan Charagh, Rawalpindi (Mobile No. 0312-9060270)</t>
  </si>
  <si>
    <t>FIR No. 555
 dt: 9-9-2013
 u/s 365 PPC
 PS. Margalla
 District: Islamabad</t>
  </si>
  <si>
    <t>Deleted. Not a case of Enforced Disappearances as Gohar Latif is proclaimed offender in various criminal cases.</t>
  </si>
  <si>
    <t>Abdul Waheed s/o Ch. Muhammad Yaqoob</t>
  </si>
  <si>
    <t>Ch. Muhammad Yaqoob f/o Missing Person, r/o House No. 777, Ward No. 5, Mohallah Gulabwala, City Jhang (Mobile No. 0333-6752808)</t>
  </si>
  <si>
    <t>FIR No.567 dt.28/08/2013 u/s 365 PPC PS Shalimar District Lahore</t>
  </si>
  <si>
    <t>Traced Person. Returned to home on 14.1.2014 and got his statement recorded under section 161 CrPC.</t>
  </si>
  <si>
    <t>Nadeem s/o Maqsood Ahmed</t>
  </si>
  <si>
    <t>Maqsood Ahmed f/o Missing Person, r/o House No. 105, Gali No. 7, Mohallah Bakht Colony, Iqbal Town, Lahore (Mobile No. 0305-4220020)</t>
  </si>
  <si>
    <t>FIR No.12 dt.2/1/2014 u/s 365 PPC PS Iqbal Town District Lahore</t>
  </si>
  <si>
    <t>Deleted. There are concurrent findings of JIT &amp; PTF that the Missing Person has gone on his own. Father of the Missing Person has also affirmed that Nadeem Ahmed remained admitted in Mental Hospital and he used to run away from home. In these circumstances, the case does not fall within the domain of enforced disappearance. Hence closed.</t>
  </si>
  <si>
    <t>Kaleem Ullah Khan s/o Haji Attaullah Khan</t>
  </si>
  <si>
    <t>Haji Attaullah Khan f/o missing Person, r/o Mohallah Hashim Shah, Mianwali City (Mobile No. 0300-4042833)</t>
  </si>
  <si>
    <t>FIR No.176 dt.12/7/2014 u/s 365 PPC PS Choubara District Layyah</t>
  </si>
  <si>
    <t>Under Investigation Layyah</t>
  </si>
  <si>
    <t>Layyah</t>
  </si>
  <si>
    <t>HRC No. 10456-S/2013</t>
  </si>
  <si>
    <t>Abdul Waheed s/o Abdul Hakeem</t>
  </si>
  <si>
    <t>Mst. Fareeda w/o Missing Person, c/o Abdul Majeed, Jhugi Survey No. 0176-S, House No. A-511, Block No. 19, Gulshan-e-Iqbal, Karachi (Mobile No. 0344-2611035, 0312-8420124)</t>
  </si>
  <si>
    <t>FIR No.03 dt.04/01/2014 u/s 365PPC PS Kharian Cantt.District Gujrat</t>
  </si>
  <si>
    <t>Deleted. Muhammad Anwar b/o Abdul Waheed appeared before the Commission on 06.08.2021, whose statement was recorded on oath in which he deposed that Mst. Farida the complainant in the case was no more in this world. He further stated that Abdul Waheed (Missing Person) was his real brother, who disappeared, but no evidence came on record to infer that any LEA/ Intelligence Agency was involved on abduction of Abdul Waheed. In view of statement of brother of Abdul Waheed , no further action is required the case is closed.</t>
  </si>
  <si>
    <t>Inam ullah s/o Hadi Khan</t>
  </si>
  <si>
    <t>Mst. Akbar Bibi m/o Missing Person, r/o Hadi Abad Colony Dhagay, P.O. Kabal, Tehsil &amp; Distt: Swat (Mobile No. 0346-5603913)</t>
  </si>
  <si>
    <t>FIR No.27 dt.06/01/2014 u/s 365 PPC,PS Asbanr District Dir Lower</t>
  </si>
  <si>
    <t>Request of I.O Cases of 1932 and 1420 fixed together at next date of Hearing</t>
  </si>
  <si>
    <t>Shoaib Ahmed s/o Malik Muhammad Ali</t>
  </si>
  <si>
    <t>Mst. Ayesha Bibi m/o Missing Person, r/o Samai Delay, P.O. Deolai, Tehsil &amp; Distt; Swat (Mobile No. 0342-5760560)</t>
  </si>
  <si>
    <t>FIR No.1 dt.02/01/2015 u/s 365 PPC PS Kharki District Mardan</t>
  </si>
  <si>
    <t>Under Investigation 
 (Mardan)</t>
  </si>
  <si>
    <t>Mohtram Shah s/o Umer Mateen</t>
  </si>
  <si>
    <t>Mst. Mumtaz Begum sister of Missing Person, r/o Koz Cham, Tootano Bandai, Teshsil &amp; Distt: Swat (Mobile No. 0305-9052249)</t>
  </si>
  <si>
    <t>FIR No.17 dt.11/01/2014 u/s 365 PPC PS Kabal District Swat</t>
  </si>
  <si>
    <t>Traced Person. Confined in the Internment Centre, Lakki Marwat as informed at the hearing on 19.2.2014</t>
  </si>
  <si>
    <t>Muhammad Ilyas s/o Khadim Khan</t>
  </si>
  <si>
    <t>Mst. Bibi Maryam m/o Missing Person, r/o Berplo Tootani Bandai, P.O. Tootani Bandai, Tehsil Kabal, Distt: Swat (Mobile No. 0314-9711499)</t>
  </si>
  <si>
    <t>FIR No.14 dt.10/01/2014 u/s 365/34 PPC PS/Kabal District Swat.</t>
  </si>
  <si>
    <t>Traced Person. Confined in the Internment Centre, Paitham as informed at the hearing on 17.2.15 by SP (Inv) Swat</t>
  </si>
  <si>
    <t>Arshed Bilal s/o Khadim Khan</t>
  </si>
  <si>
    <t>Traced Person. Confined in the Internment Centre, Fizagat, as informed by SP (Inv) Swat.</t>
  </si>
  <si>
    <t>Muhammad Riaz s/o Mewa Khan</t>
  </si>
  <si>
    <t>Muhammad Jaleel s/o Samand Khan, r/o IDPs Camp, Jlozai, Distt: Nowshera (Mobile No. 0333-9006276)</t>
  </si>
  <si>
    <t>FIR No.23 dt.15/01/2014 u/s 365 PPc PS Pabbi District Nowshera</t>
  </si>
  <si>
    <t>Traced Person. Returned to home. In statement, he submitted that he went to Karachi due to some domestic dispute at his own.</t>
  </si>
  <si>
    <t>Khan Bacha s/o Gul Zameen Khan</t>
  </si>
  <si>
    <t>Gul Zameen Khan f/o Missing Person, r/o Bago Mantri, P.O. Shah Dherai, Tehsil Kabal, Distt: Swat (Mobile No. 0344-2049645, 0343-92822476)</t>
  </si>
  <si>
    <t>15602-1167067-3</t>
  </si>
  <si>
    <t>FIR No.21 dt.13/01/2014 u/s 365PPC PS Takhat Bhai,Mardan</t>
  </si>
  <si>
    <t>Under Investigation 
 Mardan</t>
  </si>
  <si>
    <t>Abdul Wali Khan s/o Muhammad Yaar Khan</t>
  </si>
  <si>
    <t>Mst. Naseem Wali, w/o Missing Person, r/o Village Fazil Bandah, P.O. Bha, Tehsil Matta, Distt: Swat (Mobile No. 0347-8319732)</t>
  </si>
  <si>
    <t>FIR No.06 dt 09/01/2014 u/s 365 PPC PS Chuprial District Swat.</t>
  </si>
  <si>
    <t>Traced Person. Confined in the Internment Centre Paitham, as informed at the hearing on 19.2.2014.</t>
  </si>
  <si>
    <t>HRC No. 37229-K/2012</t>
  </si>
  <si>
    <t>Ayaz-ud-Din s/o Abdul Mateen</t>
  </si>
  <si>
    <t>Muhammad Tahir Khan s/o Muhammad Khan, r/o Village Nangolai (Mobile No. 0347-9671154, 0331-9180344)</t>
  </si>
  <si>
    <t>15602-0425971-9</t>
  </si>
  <si>
    <t>FIR No.170 dt.26/04/2011 u/s 365 PPC PS Kanju District Swat.</t>
  </si>
  <si>
    <t>Tala Muhammad s/o Wazir Muhammad</t>
  </si>
  <si>
    <t>Mst. Dilshad Bibi m/o Missing Person, r/o Sheraki Bash Khel, Tandi Kalay, Darra Adam Khel, FR Kohat.</t>
  </si>
  <si>
    <t>Traced Person. Confined in the Internment Centre at Kohat as informed at the hearing on 2.6.14. Father facilitated to see him.</t>
  </si>
  <si>
    <t>Walayat Khan S/o Jamal Khan</t>
  </si>
  <si>
    <t>Mst. Bibi Njana, r/o Galjo Tappa, Dalak Massay, Kallay Nareek, Distt: Orkazai Agency, Shahpur Kohat (Mobile No. 0335-9200426, 0336-9619731)</t>
  </si>
  <si>
    <t>FIR No.114 dt.20/02/2014 u/s 365 PPC PS/MRS District Kohat.</t>
  </si>
  <si>
    <t>Traced Person. Confined in the Internment Centre at Kohat as reported by MI at the hearing on 4.6.2014.</t>
  </si>
  <si>
    <t>Muhammad Raqeem s/o Fazal Janan</t>
  </si>
  <si>
    <t>Mst. Awal Jaan w/o Fazal Janan, r/o Galjo Tappa, Dalak Massay, Kallay Nareek, Distt: Orkazai Agency, Meer Banda Jarma, Kohat (Mobile No. 0333-9839071, 0332-9182282)</t>
  </si>
  <si>
    <t>FIR No.25 dt.28/01/2014 u/s 365 PPC PS Jarma District Kohat</t>
  </si>
  <si>
    <t>Traced Person. Rep of MI, submitted that the Missing Person Muhammad Raqeem is Confined in Internment Center, Kohat under Action (in aid of Civil Power Regulation 2011.</t>
  </si>
  <si>
    <t>Abdul Mateen</t>
  </si>
  <si>
    <t>Traced Person. Dead Body Recovered, expired due to natural death as catified by his father.</t>
  </si>
  <si>
    <t>Farmanullah s/o Khan Zaman</t>
  </si>
  <si>
    <t>Samiullah b/o Missing Person, r/o Village Sheikh Uttar, Tehsil &amp; Distt: Tank (Mobile No. 0303-8495713, 0301-8838682)</t>
  </si>
  <si>
    <t>FIR NIL (Place of Occurrence is Tank,KP)</t>
  </si>
  <si>
    <t>Traced Person. Confined in the Internment Centre, Lakki Marwat as reported by MI at hearing at the hearing on 24.01.2014.</t>
  </si>
  <si>
    <t>Muhammad Asim s/o Abdul Qadoos</t>
  </si>
  <si>
    <t>Inayat Ullah uncle of Missing Person, r/o Tariqabad Colony, University Road, Distt: D.I.Khan (Mobile No. 0312-9964353, 0333-9964353)</t>
  </si>
  <si>
    <t>FIR No.17 dt.09/01/2014 u/s 365 PPC PS Cantt.District D.I.Khan</t>
  </si>
  <si>
    <t>Traced Person. Presentaly confined in the Internment Centre, Lakki Marwat as intimated at the hearing on 26.3.14 by Rep of MI.</t>
  </si>
  <si>
    <t>Namoos Khan s/o Qatlan Khan</t>
  </si>
  <si>
    <t>Mst. Mdara Begum w/o Missing Person, r/o Koean No. 2, Chamkani, Tehsil &amp; Distt: Peshawar (Mobile No. 0308-5320786)</t>
  </si>
  <si>
    <t>Traced Person. Appeared before the Commission on 2.4.2014. Does not mention the details of the incident.</t>
  </si>
  <si>
    <t>Nazeem Shah s/o Qadeem Shah</t>
  </si>
  <si>
    <t>Mst. Raaz Bibi w/o Missing Person, r/o Malikabad, Shahpur, Kohat (Mobile No. 0311-5319372, tel no. 0922-202614)</t>
  </si>
  <si>
    <t>FIR No.62 dt.06/12/2013 u/s 365 PPC PS/MRS District Kohat</t>
  </si>
  <si>
    <t>Traced Person. Confined in the Internment Centre, Kohat as informed at the hearing on 20.3.2014.</t>
  </si>
  <si>
    <t>Ibrahim Ahmed s/o Muhammad Ahmed</t>
  </si>
  <si>
    <t>Tayyab Ahmed b/o Missing Person, r/o House No. 22, Gali No. 4/2, near Jamia Masjid Karmanwali, Transformer Stop Nizamabad, Lahore (Mobile No. 0321-4928528, 0331-4664473)</t>
  </si>
  <si>
    <t>FIR No.460 dt.05/10/2013 u/s 365 PPC PS/Lower Mall,Lahore</t>
  </si>
  <si>
    <t>Traced Person. Returned to home. He submitted in his statement that he does not want any further action.</t>
  </si>
  <si>
    <t>Muhammad Hussain s/o Muhammad Ali</t>
  </si>
  <si>
    <t>Muhammad Ali f/o Missing Person, r/o Mohallah Batawalah, Gurh Mharaja, Tehsil Ahmedpur Seyal, Distt: Jhang</t>
  </si>
  <si>
    <t>FIR No.13 dt.15/01/2014 u/s 365 PPC PS Garh Maharaja District Jhang</t>
  </si>
  <si>
    <t>Under Investigation (Punjab) Jhang/ Fasilabad</t>
  </si>
  <si>
    <t>Jhang/</t>
  </si>
  <si>
    <t>Muhammad Ali Marri s/o Lohaar</t>
  </si>
  <si>
    <t>Bagh Ali s/o Sabaz Ali, r/o Goth Ameen Sheikh, Sakran, Tehsil Hub, Distt: Lasbella (Mobile No. 0301-2065442)</t>
  </si>
  <si>
    <t>FIR No. 29
 dt: 8-5-2013
 u/s 365 PPC
 PS Hub
 District: Lasbella</t>
  </si>
  <si>
    <t>Traced Person. Returned to home. SP (Inv) :Lasbella produced statement from Muhammad Ali Marri confirming his return.</t>
  </si>
  <si>
    <t>Akhtar Ali Jaan s/o Faqeer Muhammad</t>
  </si>
  <si>
    <t>Sakhi Jaan b/o Missing Person, r/o Pir Widhai, Noorani Street, Bokra Road, Rawalpindi (Mobile No. 0346-5059137)</t>
  </si>
  <si>
    <t>FIR No. 103
 dt: 22-3-2008
 u/s 365 PPC
 PS Ganjmandi
 District: Rawalpindi</t>
  </si>
  <si>
    <t>Deleted. Not a case of Enforced Disappearance as explained in the proceeding dated 6.5.2014.</t>
  </si>
  <si>
    <t>Syed Rehman Ali s/o Syed Mohsin Ali</t>
  </si>
  <si>
    <t>Syed Imran Hassan, c/o Dr. Khalid Raoof Malik, House No. 1465, main double road, G-11/2, Islamabad (Mobile No. 0323-5310227, tel no. 051-2317204)</t>
  </si>
  <si>
    <t>FIR No. 518
 dt: 29-12-13
 u/s 365 PPC
 PS Ramna
 District: Islamabad</t>
  </si>
  <si>
    <t>Traced Person. Syed Rehman has been recovered as intimated by ICT, Police at the hearing on 21.01.2014.</t>
  </si>
  <si>
    <t>Zamir Hassan Shah s/o Syed Munawar Hassan Shah</t>
  </si>
  <si>
    <t>Syed Munawar Hassan Shah f/o Missing Person, r/o Dhameyal High School, Joiyan road, near Mohallah Siddique Akbar, Al-murtaza Masjid, Bank Colony, Rawalpindi (Mobile No. 0322-5170752, 0345-9908021)</t>
  </si>
  <si>
    <t>FIR No.196 dt.06/04/2014 u/s 365 PPC PS Saddar Berooni,Rawalpindi</t>
  </si>
  <si>
    <t>Traced Person. Returned to home as informed by JIT during its meeting on 01.01.2014 and reported to the Commission on 6.01.2014.</t>
  </si>
  <si>
    <t>Muhammad Naeem s/o Abdul Ghaffar</t>
  </si>
  <si>
    <t>Mst. Salamat Bibi m/o Missing Person, r/o Chak No. 463, Tehsil Samandri, Distt: Faisalabad (Mobile No. 0305-9708563)</t>
  </si>
  <si>
    <t>Daily Diary Report No.32 dt.02/01/2014 u/s 174 Cr.P.C PS Cantt.Sialkot</t>
  </si>
  <si>
    <t>Deleted due to the report that he is under trial civil suspect as for report of the Commanding Officer, Sialkot Cantt.</t>
  </si>
  <si>
    <t>Bakhat Akbar s/o Fazal Moula</t>
  </si>
  <si>
    <t>Mst. Khursheed Bibi w/o Missing Person, r/o Daddah, Dandah Fazil, P.O. Bha, Tehsil Matta, Distt: Swat (Mobile No. 0346-9729097)</t>
  </si>
  <si>
    <t>FIR No. 06 dated 21/12/2009 u/s 324, 148 PS Chuprial District Swat</t>
  </si>
  <si>
    <t>Sher Muhammad s/o Rafiq-ul-Bari</t>
  </si>
  <si>
    <t>Ghulam Mustafa b/o Missing Person, r/o Village Nimbal, P.O. Sher Garh, Tehsil Ogi, Distt: Manshera (Mobile No. 0344-3964966, 0333-3817648)</t>
  </si>
  <si>
    <t>FIR No.23 dt.23/01/2014 u/s 365 PPC PS Oghi District Mansehra</t>
  </si>
  <si>
    <t>Traced Person. Returned to home as confirmed by his brother at the hearing on 2.4.2014.</t>
  </si>
  <si>
    <t>Ghalib Khan s/o Nawab Khan</t>
  </si>
  <si>
    <t>Min Ajab Khan s/o Ghalib Khan, r/o Bezot Tappa, Distt: Orkazai Agency (Mobile No. 0341-9291462)</t>
  </si>
  <si>
    <t>Traced Person. Confined in the Internment Center Kohat. Meeting with the family facilitated as confirmed at the hearing on 27.5.15.</t>
  </si>
  <si>
    <t>Adnan Ahmed s/o Muhammad Hussain</t>
  </si>
  <si>
    <t>Muhammad Hussain f/o Missing Person, r/o Talagang City, Mohallah Usmanabad near Telephone Exchange, Distt: Chakwal (Mobile No. 0301-5672478)</t>
  </si>
  <si>
    <t>FIR No.166 dt.15/2/2014 u/s 365 PPC PS City Raiwind District Lahore</t>
  </si>
  <si>
    <t>Traced Person. Returned to home as confirmed in the statement submitted by his father at the hearing on 18.2.2016.</t>
  </si>
  <si>
    <t>Shah Hussain s/o Toota Khan</t>
  </si>
  <si>
    <t>Mst. Asmat w/o Missing Person, r/o Sher Khan Abad, Orangi Town, Karachi (Mobile No. 0341-9059335)</t>
  </si>
  <si>
    <t>FIR No.460 dt.30/9/2014 u/s 365/34 PPC PS/Peerabad, District West Karachi.</t>
  </si>
  <si>
    <t>Under Investigation (Sindh)</t>
  </si>
  <si>
    <t>Ali Hussain s/o Toota Khan</t>
  </si>
  <si>
    <t>Mst. Amna w/o Missing Person, r/o Sher Khan Abad, Orangi Town, Karachi</t>
  </si>
  <si>
    <t>Sami-ul-Haq s/o Ghulam Muhammad</t>
  </si>
  <si>
    <t>Zia-ul-Haq b/o Missing Person, r/o House No. 485, Islamnagar, Jaddah Colony, Baldia Town, West Karachi (Mobile No. 0333-3084520)</t>
  </si>
  <si>
    <t>FIR NIL (Place of Occurrence is Karachi)</t>
  </si>
  <si>
    <t>Traced Person .Returned to Home and available at (House No. 485, Islamnagar, Jaddah Colony, Baldia Town, West Karachi)</t>
  </si>
  <si>
    <t>Sabir Khan s/o Masin Zada</t>
  </si>
  <si>
    <t>Rahim Khan b/o Missing Person, r/o Mohallah Bostan Khel, Lora Deolai, P.O. Deolai, Tehsil &amp; Distt: Swat (Mobile No. 0345-6044331)</t>
  </si>
  <si>
    <t>15602-0414444-3</t>
  </si>
  <si>
    <t>FIR No.26 dt.13/02/2014 u/s 365 PPC PS/Shah Dheri District Swat.</t>
  </si>
  <si>
    <t>Traced Person. Confined in Internment Center Fizagat as informed by Rep of MI at the hearing on 17.2.2015.</t>
  </si>
  <si>
    <t>Fazal Ali s/o Muhammad Umer</t>
  </si>
  <si>
    <t>Mst. Bakhat Rahen m/o Missing Person, r/o Mohallah Thana Shah Dehrai, Tehsil Kabal, Distt: Swat (Mobile No. 0344-5187905)</t>
  </si>
  <si>
    <t>FIR No.25 dt.12/02/2014 u/s 365 PPC PS Shahdheri District Swat</t>
  </si>
  <si>
    <t>Traced Person. Confined in the Internment Centre, Lakki Marwat as informed at the hearing on 6.3.14 by Rep of MI.</t>
  </si>
  <si>
    <t>Ali Rehman s/o Habib-ur-Rehman</t>
  </si>
  <si>
    <t>Habib-ur-Rehman f/o Missing Person, r/o Dowd Bannai Kanjo, Tehsil &amp; Distt: Swat (Mobile No. 0333-9498716)</t>
  </si>
  <si>
    <t>FIR No.43 dt 12/02/2014 u/s 365 PPC PS/Kanju District Swat</t>
  </si>
  <si>
    <t>Traced Person . Confined in the Internment Center Paithiam, as informed SP (Inv) Swat at the hearing held on 17.2.2015.</t>
  </si>
  <si>
    <t>Saeed Ullah s/o Nasarullah Khan</t>
  </si>
  <si>
    <t>Nasarullah Khan f/o Missing Person, r/o Saddiqueabad, Distt: Hangu (Mobile No. 0333-4127734)</t>
  </si>
  <si>
    <t>FIR No.108 dt.15/5/2014 u/s 365 PPC PS/Banda Daud Shah District Karak.</t>
  </si>
  <si>
    <t>Traced Person. Returned to home and residing at Karachi as informed by his father at the hearing on 12.3.2015.</t>
  </si>
  <si>
    <t>Najeebullah s/o Abdul Mutalib</t>
  </si>
  <si>
    <t>Hazrat Amin b/o Missing Person, r/o Bara Samai, P.O. Shah Dherai, Tehsil Kabal, Distt: Swat (Mobile No. 0345-9516995, 0345-9457676)</t>
  </si>
  <si>
    <t>Under Investigation (KP)</t>
  </si>
  <si>
    <t>Akseer Ahmed Khan s/o Abdul Razzaq Khan</t>
  </si>
  <si>
    <t>Muhammad Saeed Khan Abbasi uncle of Missing Person, r/o Village Narakot, P.O. Chirala, Tehsil Dhirkot, Distt: Bagh, AJK (Mobile No. 0344-5161887)</t>
  </si>
  <si>
    <t>Report No. 11
 dt: 25-3-2013
 PS Dhirkot,
 District: Bagh</t>
  </si>
  <si>
    <t>Deleted. Not a case of enforced disappearance as Akseer Ahmed Khan has been declared P.O. in case FIR No. 37/13, u/s 10/16 PS Dhirkot, District Bagh.</t>
  </si>
  <si>
    <t>Rasool Nawaz s/o Gul Muhammad</t>
  </si>
  <si>
    <t>Sanar Khan b/o Missing Person, r/o House No. 181, Gali No. 19, Sector-II, Samar Zar Colony, Adyala Road, Rawalpindi (Mobile No. 0312-7795777)</t>
  </si>
  <si>
    <t>21501-7790997-3</t>
  </si>
  <si>
    <t>FIR No.195 dt.06/04/2014 u/s 365 PPC PS Saddar Barooni,Rawalpindi</t>
  </si>
  <si>
    <t>Traced Person. Rasool Nawaz has been traced, who has returned home. None has entered appearance on the behalf of missing person. IO of the case furnished affidavit given by Sonar Khan b/o missing person which has been place on record. Rasool Nawaz had reportedly gone to North Waziristan.</t>
  </si>
  <si>
    <t>Nizam-ud-Din s/o Ahmed Din</t>
  </si>
  <si>
    <t>Islam Din b/o Missing Person, r/o Chak No. 777, T.D.A, P.O. Rafiqueabad, Tehsil Chobara, Distt: Layyah (Mobile No. 0321-7374671)</t>
  </si>
  <si>
    <t>FIR No.433
 dt: 20-8-2013
 u/s 365 PPC
 P.S. Chowk Azam
 District: Layyah</t>
  </si>
  <si>
    <t>Under Investigation (Punjab) Layyah</t>
  </si>
  <si>
    <t>Muhammad Rahat-al-Mubbashir s/o Muhammad Younis</t>
  </si>
  <si>
    <t>Muhammad Zeeshan Ahmed b/o Missing Person, r/o Village Haji Gulab Bhera, Tehsil Bhalwal, Distt: Sargodha (Mobile No. 0301-3926362)</t>
  </si>
  <si>
    <t>FIR No.11
 dt: 19-1-2013
 u/s 365 PPC
 P.S. Bhera
 District: Sargodha</t>
  </si>
  <si>
    <t>Under Investigation (Punjab) Sargodha</t>
  </si>
  <si>
    <t>1459-P</t>
  </si>
  <si>
    <t>Abdul Majid s/o Muhammad Ahmed</t>
  </si>
  <si>
    <t>Muhammad Ahmed f/o Missing Person, r/o Chak No. 157-ML, P.O. 57-58-ML, Tehsil &amp; Distt: Bhakar (Mobile No. 0333-8904279)</t>
  </si>
  <si>
    <t>FIR No.120 dt.04/03/2014 u/s365 PPc PS Saddar Chiniot District Chiniot</t>
  </si>
  <si>
    <t>Under Investigation (Punjab) Chiniot</t>
  </si>
  <si>
    <t>Chiniot</t>
  </si>
  <si>
    <t>Hafiz Muhammad Irfan s/o Haji Muhammad Bakhsh</t>
  </si>
  <si>
    <t>Hafiz Muhammad Umer Farooq b/o Missing Person, r/o 13/6 Church Road, Old Anar Kali, Lahore (Mobile No. 0322-4049745)</t>
  </si>
  <si>
    <t>FIR No.763
 dt: 8-9-2013
 u/s 365 PPC
 P.S. Ferozewala
 District: Sheikupura</t>
  </si>
  <si>
    <t>Traced Person. Returned to home as informed by SSP, Faisalabad at the hearing on 31.5.16.</t>
  </si>
  <si>
    <t>Sheikhupura</t>
  </si>
  <si>
    <t>Hafiz Muhammad Luqman Saqib s/o Muhammad Aslam Abid</t>
  </si>
  <si>
    <t>Asif Hussain b/o Missing Person, r/o Abid Street, Village Muhammad Pura, Qilah Deedar Singh, Municipal Committee, Tehsil &amp; Distt: Gujranwala (Mobile No. 0305-9910299, 0300-964325)</t>
  </si>
  <si>
    <t>FIR No.462
 dt: 24-12-2012
 u/s 365 PPC
 P.S. Qilah Deedar Singh
 District: Gujranwala</t>
  </si>
  <si>
    <t>Under Investigation (Punjab) Gujaranwala</t>
  </si>
  <si>
    <t>Gujaranwala</t>
  </si>
  <si>
    <t>Muhammad Adeel S/o Abdul Hameed</t>
  </si>
  <si>
    <t>Abdul Hameed f/o Missing Person, r/o Al-Falah Town near Al-Falah Mosque, Gate No. 2, New Ghala Mandi Khanpur, Distt: Rahim Yar Khan (Mobile No. 0302-7903170,Tel No. 068-5577423)</t>
  </si>
  <si>
    <t>FIR No.72
 dt: 2-9-2013
 u/s 365, 149 ,364,147,148
 P.S. Saleh Pitt
 District: Sukkur</t>
  </si>
  <si>
    <t>Traced Person. Returned to Home and available at ( Al-Falah Town near Al-Falah Mosque, Gate No. 2, New Ghala Mandi Khanpur, Distt: Rahim Yar Khan)</t>
  </si>
  <si>
    <t>Abdul Ali Khan s/o Madaim Khan</t>
  </si>
  <si>
    <t>Muhammad Sabir s/o Missing Person, r/o Naseerabad Colony Papri, c/o Abdullah Tyre House opposite main gate, Pakistan Steel Hospital, Karachi (mobile No. 0345-1286348)</t>
  </si>
  <si>
    <t>FIR No.366
 dt: 21-9-2013
 u/s 365 PPC
 P.S. Jamsheed Quarterz
 District: East Karachi</t>
  </si>
  <si>
    <t>I.O, P.S, jamshed Quarter , submitted that Missing Person is Returned to Home an available at (Naseerabad Colony Papri, c/o Abdullah Tyre House opposite main gate, Pakistan Steel Hospital, Karachi)</t>
  </si>
  <si>
    <t>Muhammad Amin Khan s/o Bakhat Rawan</t>
  </si>
  <si>
    <t>Mst. Rehmat Bibi w/o Missing Person, r/o Village Shahi Bagh, Sirsenai, Tehsil &amp; Distt: Swat (Mobile No. 0344-9821966)</t>
  </si>
  <si>
    <t>FIR No.157 dt.15/02/2014 u/s 365 PPC PS Matta District Swat</t>
  </si>
  <si>
    <t>Traced Person. Confined in the Internment Centre, Lakki Marwat as informed at the hearing on 3.3.2014. Family facilitated to see him.</t>
  </si>
  <si>
    <t>Minhaj-ud-Din s/o Haji Muhammad Fazal</t>
  </si>
  <si>
    <t>Mujahid Islam s/o Missing Person, r/o Toheedabad, Malikpur, P.O. Gadeezi, Tehsil Daggar, Distt: Buner (Mobile No. 0344-9604120, 0346-9412326)</t>
  </si>
  <si>
    <t>HRC No. 37873-P/2013</t>
  </si>
  <si>
    <t>Muhammad Nasir s/o Muhammad Sarwar</t>
  </si>
  <si>
    <t>Muhammad Sarwar f/o Missing Person, r/o Village Gandhowal, P.O. Khas, Tehsil Mareed-K, Distt: Sheikupura (Mobile No. 0301-6477882)</t>
  </si>
  <si>
    <t>FIR No. 537
 dt: 13-9-2005
 u/s 365 PPC
 PS. Garden Town
 District: Lahore</t>
  </si>
  <si>
    <t>1467-K 4041-K</t>
  </si>
  <si>
    <t>HRC No. 13800-G/2014</t>
  </si>
  <si>
    <t>Ajab Khan s/o Jaan Akbar</t>
  </si>
  <si>
    <t>Shaheen Khan b/o Missing Person, r/o Aliabad Hangu, Tehsil &amp; Distt: Hangu (Mobile No. 0333-9687843)</t>
  </si>
  <si>
    <t>FIR No.684 dt.18/11/2014 u/s 365 PPC PS City District Kohat</t>
  </si>
  <si>
    <t>Deleted.According to the Regulations, 2011, Enforced Disappearance/Missing Person" means such person has been picked up/taken into custody by one of the law enforcement/intelligence agencies, working under civilian or military control, in a manner which is contrary to the provisions of law. Keping in the facts and circumstances of the matter, particulary (i) no allegation by the complainant aganist any LEAs/Intelligence (ii) opnion of PTF that is not a case of Enforced Disappearance and (iii) non-availability of EW of the occurance, the case does not fall within the ambit of Enforced Disappearance.</t>
  </si>
  <si>
    <t>1468-I</t>
  </si>
  <si>
    <t>Raja Muhammad Awais s/o Muhammad Ismail</t>
  </si>
  <si>
    <t>Muhammad Babar b/o Missing Person, r/o Tarlai, P.O. Stop Malik Town near Usman Academy, Islamabad (Mobile No. 0333-5553834)</t>
  </si>
  <si>
    <t>FIR No. 389
 dt: 5-12-2013
 u/s 365 PPC
 PS. Koral
 District: Islamabad</t>
  </si>
  <si>
    <t>Deleted. The case remained under inquiry since 10.1.2014 and during the entire period not a single witness has been produced which could substantiate that the case falls within the ambit of Enforced Disappearance. Reps of ISI, MI and CTD submitted reports which are to be the extent that Raja Muhammad Awais Missing Person was not in their custody. IB report is available on record which is not adverse. Keeping in the view of circumstance and facts of the case, further proceeding by the Commission shall not only be an abuse of process, but also a futile exercise. Since the FIR was registered prior to registration of the case in the Commission, therefore the Investigation Agency may deal with accordance with law. According the case stands disposed of.</t>
  </si>
  <si>
    <t>Sher Ali s/o Momin Khan</t>
  </si>
  <si>
    <t>Nisar Ali b/o Missing Person, r/o Baba Mohallah, Tehsil Kabal, Distt: Swat (Mobile No. 0311-3828585)</t>
  </si>
  <si>
    <t>FIR No.77 dt.13/02/2014 u/s 365 PPC PS Kabal District Swat.</t>
  </si>
  <si>
    <t>Sajjad s/o Habib-ur-Rehman</t>
  </si>
  <si>
    <t>FIR No.51 dt.13/02/2014 u/s 365 PPC PS Kanju District Swat</t>
  </si>
  <si>
    <t>Akhtar Ali s/o Khalid Khan</t>
  </si>
  <si>
    <t>Ahmed Ali, r/o Mohallah Thana, P.O. Bara Bandi, Distt: Swat (Mobile No. 0315-7922525)</t>
  </si>
  <si>
    <t>FIR No.531 dt.05/11/2013 u/s 365 PPC PS Kanju District Swat</t>
  </si>
  <si>
    <t>Muzafar Khan s/o Qasim</t>
  </si>
  <si>
    <t>Bacha Khan b/o Missing Person, r/o Village Delay, P.O. Bara Bandi, Tehsil Kabal, Distt: Swat (Mobile 0347-9351049)</t>
  </si>
  <si>
    <t>FIR No.49 dt.12/02/2014 u/s 365 PPC PS Kanju District Swat</t>
  </si>
  <si>
    <t>Abdullah Shah s/o Shah Jahan</t>
  </si>
  <si>
    <t>Alamgir b/o Missing Person, r/o Dhera, Tehsil Kabal, Distt: Swat (Mobile No. 0313-9319396)</t>
  </si>
  <si>
    <t>Traced Person. Confined in the Internment Centre, Paitham District Swat. Meeting with family facilitated.</t>
  </si>
  <si>
    <t>Ch. Arshed</t>
  </si>
  <si>
    <t>Zahoor Ali s/o Muhammad Bota, r/o Chak No. 134/16-L, P.O. Mamanwala, Tehsil Mianchanu, Distt: Khanewal</t>
  </si>
  <si>
    <t>Deleted. Not a Case of Enforced Disapperances as per investigation report of ICT.</t>
  </si>
  <si>
    <t>Hafiz Moghera Asad s/o Nazir Ahmed Asad</t>
  </si>
  <si>
    <t>Nazir Ahmed Asad f/o Missing Person, r/o Chowk Ahl-e-Hadis, Badho Malhi, Tehsil &amp; Distt: Narowal (Mobile No. 0333-8743617)</t>
  </si>
  <si>
    <t>Traced Person. Returned to home as informed at the hearing on 10.11.14 by CPO, Gujranwala.</t>
  </si>
  <si>
    <t>HRC No. 47716-K/2013</t>
  </si>
  <si>
    <t>Nisar s/o Sahib Zada</t>
  </si>
  <si>
    <t>Sahib Zada f/o Missing Person, r/o Gullo Shah, Tehsil Dargai, Sunni Kot, Distt: Malakand (Mobile No. 0315-9513249)</t>
  </si>
  <si>
    <t>FIR No.90 dt.21/3/2014 u/s 365 PPC,PS Saidu Sharif District Swat</t>
  </si>
  <si>
    <t>Deleted. Not a Case of Enforced Disappearances. Case disposed of vide detailed findings dated 25.3.14. Individuals in 03 criminal cases.</t>
  </si>
  <si>
    <t>1477-K</t>
  </si>
  <si>
    <t>Aslam Khan s/o Yar Hassan Khan</t>
  </si>
  <si>
    <t>Muhammad Haneefa, r/o Village Bocha Khel Gul No. 3, Bara Bandi, Tehsil &amp; Distt: Swat (Mobile No. 0333-3370844)</t>
  </si>
  <si>
    <t>15602-0475196-5</t>
  </si>
  <si>
    <t>FIR No.56 dt.18/02/2014 u/s 365 PPC PS Kanju District Swat</t>
  </si>
  <si>
    <t>Zia-ur-Rehman s/o Muhammad Haneefa</t>
  </si>
  <si>
    <t>15602-7429297-5</t>
  </si>
  <si>
    <t>1479-K</t>
  </si>
  <si>
    <t>Sardar Ahmed s/o Umer Hadi</t>
  </si>
  <si>
    <t>Umer Hadi f/o Missing Person, r/o Gali/ Mohallah Shahi Bagh, Sersenai, Tehsil &amp; Distt: Swat (Mobile No. 0343-9287692)</t>
  </si>
  <si>
    <t>Deleted. Not a case of Enforced Disappearances. Case disposed of vide detailed findings dated 27.7.2017.</t>
  </si>
  <si>
    <t>Rameez Yaseen s/o Muhammad Yaseen</t>
  </si>
  <si>
    <t>Muhammad Yaseen f/o Missing Person, r/o Gali No. 1, House No. 25, Faisal Colony Sharqi, Sadiq Girls College Road, Bahawalpur (Mobile No. 0345-8733912)</t>
  </si>
  <si>
    <t>Traced Person. Confined in Kot Lakhpat Jail, Lahore as reported by DSP (CTD) at hearing on 25.4.2016.</t>
  </si>
  <si>
    <t>Yousaf Khan s/o Fazal Karim</t>
  </si>
  <si>
    <t>Fazal Karim f/o Missing Person, r/o Village Dhera Kai, Mam Dherai, P.O. Kouza Bandai, Swat (Mobile No. 0347-9117675)</t>
  </si>
  <si>
    <t>15602-1307370-5</t>
  </si>
  <si>
    <t>FIR No.41 dt.03/02/2014 u/s 365 PPC PS Kanju District Swat</t>
  </si>
  <si>
    <t>Rasheed Ali s/o Sardar Hussain</t>
  </si>
  <si>
    <t>Sardar Hussain f/o Missing Person, r/o Village Syedain Cham, Dhera Kai, Kouza Bandai, Tehsil &amp; Distt: Swat (Mobile No. 0333-8945682)</t>
  </si>
  <si>
    <t>FIR No.42 dt.03/02/2014 u/s 365 PPC PS Kanju,
 District Swat</t>
  </si>
  <si>
    <t>Gul Said s/o Jahan Khan</t>
  </si>
  <si>
    <t>Aqal Zamin b/o Missing Person, r/o Dagay, Kabal, Swat (Mobile No. 0345-8122142)</t>
  </si>
  <si>
    <t>FIR No.62 dt.20/02/2014 u/s 365 PPC PS Kanju District Swat</t>
  </si>
  <si>
    <t>Traced Person. Confined in the Internment Centre, Lakki Marwat as informed by MI at the hearing on 4.3.14.</t>
  </si>
  <si>
    <t>Bahadur Khan s/o Ameer Bashar</t>
  </si>
  <si>
    <t>Ameer Bashar f/o Missing Person, r/o Village Delay, Tehsil Kabal, Distt: Swat. 0342-9621587 &amp; 0344-9649786</t>
  </si>
  <si>
    <t>15602-9079572-9</t>
  </si>
  <si>
    <t>FIR No.57 dt.18/02/2014 u/s 365 PPC PS Kanju District Swat.</t>
  </si>
  <si>
    <t>Niaz Ali s/o Fazal Habib</t>
  </si>
  <si>
    <t>Shahid Ali s/o Fazal Habib, r/o Gali No. 32, Village Bakhat Doran, Tehsil Kabal, Distt: Swat (Mobile No. 0346-9440602)</t>
  </si>
  <si>
    <t>FIR No.54 dt.03/02/2014 u/s 365/34 PPC PS Kabal District Swat</t>
  </si>
  <si>
    <t>Traced Person. Confined in the Internment Centre, Fizagat, as informed by Rep of MI.</t>
  </si>
  <si>
    <t>HRC No. 15768-K/ 2013</t>
  </si>
  <si>
    <t>Salman Khan S/o Rasool Jan</t>
  </si>
  <si>
    <t>Naimat Gul s/o Sargul Khan, r/o Narpir Mirabad Shah, Saray Norang, Tehsil &amp; Distt: Bannu (Mobile No. 0335-1991334 &amp; 0331-9403411 &amp; 0344-8983885, 0335-6162469)</t>
  </si>
  <si>
    <t>FIR No.68 dt.21/02/2014 u/s 365 PPC PS Ghoriwala District Bannu</t>
  </si>
  <si>
    <t>HRC No. 19234-K/ 2013</t>
  </si>
  <si>
    <t>Bakht Sher s/o Sabra</t>
  </si>
  <si>
    <t>Mst. Raeekh Meena Bibi m/o Missing Person, r/o Village Gujar Band, Tehsil Matta, Distt: Swat (Mobile No. 0346-4233651)</t>
  </si>
  <si>
    <t>FIR No. 841
 dt: 27-7-2013
 u/s 365 PPC
 PS. Matta
 Swat</t>
  </si>
  <si>
    <t>Traced Person. Confined in Internment Center Paithom, District Swat as informed at the hearing on 18.2.2015.</t>
  </si>
  <si>
    <t>HRC No. 38466-K/ 2013</t>
  </si>
  <si>
    <t>Fazal Rehman s/o Afreen Khan</t>
  </si>
  <si>
    <t>Mst. Fazal Haram m/o Missing Person, r/o Tootaki Matta, Tehsil Matta, Distt: Swat (Mobile No. 0301-8574338)</t>
  </si>
  <si>
    <t>1489-P</t>
  </si>
  <si>
    <t>HRC No. 26560-P/ 2013</t>
  </si>
  <si>
    <t>Shakeel Arshed s/o Muhammad Arshed</t>
  </si>
  <si>
    <t>Muhammad Arshed f/o Missing Person, r/o House No. 95-N, 3-D/2, Green Town, Lahore (Mobile No. 0301-4321567)</t>
  </si>
  <si>
    <t>FIR No. 871
 dt: 13-10-12
 u/s 365/363 PPC
 PS. Green Town, Lahore</t>
  </si>
  <si>
    <t>Deleted. The occurrence took place on 8.2.2011. Complaint was submitted in January, 2014 and the cognizance was taken by the Commission on 23.1.2014. In the Instant case as many as 10 JIT meetings have been conducted and the case categorized as Missing Person has gone on his own by the JIT on 23.8.2019. Matter was also taken by PTF on 20.1.2020 and the OTF also categorized the case as that of Missing Person has gone on his own. According to ISI, MI and CTD aforementioned person is not in their custody, moreover no allegation has been levelled against any LEAs / Intelligence Agency. Hence, not a case of enforced disappearance.</t>
  </si>
  <si>
    <t>Ikram Ullah S/o Hameed Ullah</t>
  </si>
  <si>
    <t>Hameed Ullah f/o Missing Person, r/o Village Kacha Malana, P.O. Paka Malana, Tehsil &amp; Distt: D.I. Khan (Mobile No. 0346-7842123)</t>
  </si>
  <si>
    <t>FIR NIL dt.13/02/2014 u/s 365 PPC PS University, D.I.Khan</t>
  </si>
  <si>
    <t>Traced Person. Confined in the Internment Centre Kohat as informed by Rep of MI at the hearing on 26.3.14.</t>
  </si>
  <si>
    <t>Ameer Khan s/o Muhammad Ullah</t>
  </si>
  <si>
    <t>Bacha Khan b/o Missing Person, r/o Village Thal, P.O/Tehsil Kalkot Kohistan, Distt: Upper Dir (Mobile No. 0342-1979736)</t>
  </si>
  <si>
    <t>FIR No.88 dt.20/3/2014 u/s 365 PPC PS/Akora Khattak District Nowshera</t>
  </si>
  <si>
    <t>Traced Person. Confined in the Internment Centre, Paitham District Swat as informed by Home Department, KP.</t>
  </si>
  <si>
    <t>Anwar Sher s/o Gul Sher Ali Khan</t>
  </si>
  <si>
    <t>Gul Bacha b/o Missing Person, r/o Village Garibabad, Shah Dherai, Tehsil &amp; Distt: Swat (Mobile No. 0347-9419845)</t>
  </si>
  <si>
    <t>FIR No.20 dt.04/02/2014 u/s 365 PPC
 P.S/Shah Dheri
 District Swat.</t>
  </si>
  <si>
    <t>Traced Person. Confined in the Internment Center Pathiam, District Swat as informed by SP (Inv) Swat.</t>
  </si>
  <si>
    <t>HRC No. 15249-P/ 2013</t>
  </si>
  <si>
    <t>Razaullah s/o Noor Muhammad</t>
  </si>
  <si>
    <t>Noor Muhammad f/o Missing Person, c/o Sahil Brothers Hayat &amp; Dost Muhammad opposite Nawab Khad Dealers, Thatta Khalil Road, Taxila, Distt: Rawalpindi (Mobile No. 03467990042)</t>
  </si>
  <si>
    <t>FIR NIL (Place of Occurrence is D.I.Khan)</t>
  </si>
  <si>
    <t>Traced Person. Confined in the Internment Centre, Lakki Marwat as intimated by MI at the hearing on 26.3.2014.</t>
  </si>
  <si>
    <t>HRC No. 41737-K/ 2013</t>
  </si>
  <si>
    <t>Asif Khan s/o Ghulam Farid</t>
  </si>
  <si>
    <t>Mst. Rahat Pari M/o Missing Person, r/o Village &amp; P.O Balogram, Village Mula Nodak, Distt: Swat.(Mobile No. 0301-8041696)</t>
  </si>
  <si>
    <t>15602-5658735-9</t>
  </si>
  <si>
    <t>FIR No.1652 dt.19/12/2016 u/s 365 PPC PS/City,Mardan.</t>
  </si>
  <si>
    <t>Muhammad Faisal Mir</t>
  </si>
  <si>
    <t>Mst. Azra Faisal w/o Missing Person, r/o House No. 12/74, Village Chiragh Pura, Gali Mehr Singh, Lala Mousa, Distt: Gujrat (Mobile No. 0314-4425786)</t>
  </si>
  <si>
    <t>Traced Person. The cognizance of issue was taken by this Commission by means of letter of even number dated 24.1.2014 and certain directions were issued. It was informed that Muhammad Faisal Mir has been recovered and presently he is out of country and went to Greece. Inspector Ashraf Rana confirmed that Muhammad Faisal Mir had proceeded, to Greece. This information has further been confirmed by Mr. Nasir Aftab, SSP/AVCC, Karachi. Therefore the name of Muhammad Faisal Mir be deleted form the list of enforced disappearance persons.</t>
  </si>
  <si>
    <t>Abdul Baqi s/o Karim Bakhsh</t>
  </si>
  <si>
    <t>Qambrani Road, Mohallah Kali Nichari near Police Station Kechi Baig (Mobile No. 0332-6752304)</t>
  </si>
  <si>
    <t>FIR No.198 dt.27/12/2013 u/s 365 PPC,PS/Kechi Baig,Quetta</t>
  </si>
  <si>
    <t>HRC No. 35828-B/ 2013</t>
  </si>
  <si>
    <t>Muhammad Asif s/o Abdul Samad</t>
  </si>
  <si>
    <t>Mst. Bibi Zarina m/o Missing Person, r/o Mohallah Kechi Baig near Shah Jahan Masjid, Saryab Road, Quetta (Mobile No. 0313-8847998)</t>
  </si>
  <si>
    <t>FIR No.71/2014 u/s 365 PPC,PS/Kechi Baig,Quetta.</t>
  </si>
  <si>
    <t>Traced Person. SP (Inv) submitted report that Muhammad Asid has returned to home. Statement placed in the file.</t>
  </si>
  <si>
    <t>Muhammad Rizwan s/o Abdul Hanan</t>
  </si>
  <si>
    <t>Muhammad Nauman b/o Missing Person, r/o Village Sheikh Sultan, Tehsil &amp; Distt: Tank (Mobile No. 0301-4223281, 0336-6176664)</t>
  </si>
  <si>
    <t>Traced Person. Confined in the Internment Centre, Lakki Marwat as informed by Rep of MI at the hearing on 26.3.14.</t>
  </si>
  <si>
    <t>Walayat Khaksar s/o Mir Bat Khan</t>
  </si>
  <si>
    <t>Mst. Merkhema Bibi m/o Missing Person, r/o Akhel, Orkazai Agency (Mobile No. 0332-9633360)</t>
  </si>
  <si>
    <t>Traced Person. Dead body received from Kohat Judicial Lock up as informed by SP (Inv) Hangu.</t>
  </si>
  <si>
    <t>Muhammad Hayat s/o Zareef Khan</t>
  </si>
  <si>
    <t>Mst. Anar Bibi m/o Missing Person, r/o Orkazai Chowk, Shaheeda Banda, Tappi, Kohat (Mobile No. 0336-9513159, 0336-9661886)</t>
  </si>
  <si>
    <t>FIR NIL (Place of Occurrence is Kohat)</t>
  </si>
  <si>
    <t>Traced Person. Confined in the Internment Centre, Lakki Marwat as informed by Rep of MI at the hearing on 20.3.14.</t>
  </si>
  <si>
    <t>Abdul Jaleel s/o Yameen-ul-Haq</t>
  </si>
  <si>
    <t>Yameen-ul-Haq f/o Missing Person, r/o Shaheeda Banda, P.O. Tappi, Tehsil &amp; Distt: Kohat (Mobile No. 0333-9645635)</t>
  </si>
  <si>
    <t>FIR No.55 dt.19/2/2014 u/s 365 PPC PS/Jarma District Kohat</t>
  </si>
  <si>
    <t>Traced Person. Confined in the Internment Centre, Kohat as intimated by Rep of MI at the hearing on 2.7.2014</t>
  </si>
  <si>
    <t>Atta-ur-Rehman s/o Said-ur-Rehman</t>
  </si>
  <si>
    <t>Said-ur-Rehman f/o Missing Person, r/o Dhodha Road, Shahzad Jamat, Pir Kalay, Kohat (Mobile No. 0336-9675409)</t>
  </si>
  <si>
    <t>FIR No.51 dt.19/2/2014 u/s 365 PPC PS/Bilitang District Kohat</t>
  </si>
  <si>
    <t>Zahir Shah s/o Shah Jahan</t>
  </si>
  <si>
    <t>Gull Sung w/o Missing Person, C/O Lt. Col ® Inam-ul-Rahiem, TI(M), Advocate High Court Rawalpindi, H-427, Sector-A, Askari-14, Adyala Road, Rawalpindi (Mobile No. 0322-2998691)</t>
  </si>
  <si>
    <t>FIR No. 421
 dt: 11-6-2013
 u/s 365 PPC
 PS Civil Lines
 District: Rawalpindi</t>
  </si>
  <si>
    <t>Deleted. Not a Case of Enforced Disapperances, rather a case of personal enmity.</t>
  </si>
  <si>
    <t>Muhammad Idrees s/o Abdul Rasheed</t>
  </si>
  <si>
    <t>Atta Ullah r/o Mohallah Gareebabad, Shah Dherai, Swat (Mobile No. 0344-2407428, 0347-9124787)</t>
  </si>
  <si>
    <t>15602-0258093-9</t>
  </si>
  <si>
    <t>FIR No.35 dt.19/02/2014 u/s 365 PPC PS Shahdheri District Swat</t>
  </si>
  <si>
    <t>Khan Lali s/o Sham Jan</t>
  </si>
  <si>
    <t>Usman Ali s/o Missing Person, r/o Village Shah Dherai, Habibullah Pattay, Ashaday, P.O. Shah Dehrai, Tehsil &amp; Distt: Swat (Mobile No. 0343-2811976)</t>
  </si>
  <si>
    <t>15602-6471441-5</t>
  </si>
  <si>
    <t>FIR No.48 dt.26/02/2014 u/s 365 PPC PS Shahdheri District Swat.</t>
  </si>
  <si>
    <t>Traced Person.Confined in Internment Center Lakki Marwat as informed by Rep of MI at the hearing on 16.2.2015.</t>
  </si>
  <si>
    <t>Bahram Khan s/o Dawa Khan</t>
  </si>
  <si>
    <t>Mst. Muntazra m/o Missing Person, r/o Village Bostan Khel, Deolai, Tehsil &amp; Distt: Swat (Mobile No. 0343-5668234)</t>
  </si>
  <si>
    <t>FIR No.36 dt.19/02/2014 u/s 365 PPC PS Shahdheri District Swat</t>
  </si>
  <si>
    <t>Traced Peson. Confined in the Internment Centre, Fizagat, Swat as intimated by Rep of MI.</t>
  </si>
  <si>
    <t>Liaqat Ali s/o Bakhat Baidar</t>
  </si>
  <si>
    <t>Muzafar Khan Grand Father of Missing Person, r/o Village Taighak, P.O. Totano Bandi, Tehsil Kabal, Distt: Swat (Mobile No. 0343-9996246)</t>
  </si>
  <si>
    <t>FIR No.96 dt.19/02/2014 u/s 365 PPC PS Kabal District Swat</t>
  </si>
  <si>
    <t>Traced Person. Returned to home confirmed by SP (Inv) Swat.</t>
  </si>
  <si>
    <t>Muhammad Waris S/o Muhammad Ishaq</t>
  </si>
  <si>
    <t>Mst. Ayat Begum m/o Missing Person, r/o Village Sersenai, Tehsil Kabal, Distt: Swat (Mobile No. 0347-9533455)</t>
  </si>
  <si>
    <t>Traced Person. Confined in the Internment Centre, Kohat as informed by Rep of MI at the hearing on 6.3.2014.</t>
  </si>
  <si>
    <t>Shah Anwar Shah s/o Shah Zaman</t>
  </si>
  <si>
    <t>Mst. Bakhat Zeba m/o Missing Person, r/o Village Asharay, P.O. Shah Dherai, Tehsil &amp; Distt: Swat (Mobile No. 0342-5886619)</t>
  </si>
  <si>
    <t>FIR No: 34 dt. 18/02/2014 u/s 365 PPC PS Shahdheri Swat</t>
  </si>
  <si>
    <t>Traced Person. Confined in the Internment Centre, Lakki Marwat as informed by MI at the hearing held on 6.3.2014.</t>
  </si>
  <si>
    <t>Ismail Shah s/o Muhammad Shoaib</t>
  </si>
  <si>
    <t>Muhammad Hussain Shah b/o Missing Person, r/o Village Barcham, P.O. Totano Bandi, Zohran Kabal, Tehsil &amp; Distt: Swat (Mobile No. 0342-9792508)</t>
  </si>
  <si>
    <t>Traced Person. Confined in the Internment Centre, Lakki Marwat as reported by Rep of MI at the hearing on 6.3.2014.</t>
  </si>
  <si>
    <t>Rashid Iqbal s/o Hameed Iqbal</t>
  </si>
  <si>
    <t>Hameed Iqbal f/o Missing Person, r/o Mohallah Shahi Bagh, P.O. Sersenai, Tehsil &amp; Distt: Swat (Mobile No. 0343-8861159, 0345-9527015)</t>
  </si>
  <si>
    <t>15602-4233143-1</t>
  </si>
  <si>
    <t>FIR NIL (Place of Occurrence is Kabal Rest House,Swat.</t>
  </si>
  <si>
    <t>Traced Person. Confined in the Internment Centre, Paitham, Swat as informed by SP (Inv) Swat at the hearing on 16.2.15</t>
  </si>
  <si>
    <t>Afzal Mehmood s/o Muhammad Deen</t>
  </si>
  <si>
    <t>Muhammad Deen f/o Missing Person, r/o Village Babo, Jhangi Saidan. P.O Haji Camp, Tehsil &amp; Distt: Islamabad (Mobile No. 0335-8062846)</t>
  </si>
  <si>
    <t>Traced Person. Confined in Adyala Jail as a few cases have been registered against him report of ICT on recorded.</t>
  </si>
  <si>
    <t>Syed Umer Bin Razzaq s/o Syed Razzaq Hussain Shah</t>
  </si>
  <si>
    <t>Syed Razzaq Hussain Shah f/o Missing Person, r/o Plain Batti, P.O. Bagh, Tehsil &amp; Distt: Bagh, AJ&amp;K (Mobile No. 0342-5163889, 0301-5268773)</t>
  </si>
  <si>
    <t>FIR No.87 dt.07/11/2013 u/s 365 PPC PS Shehzad Town,Islamabad</t>
  </si>
  <si>
    <t>Deleted. Not a Case of Enforced Disapperances as the Missing Person has gone on his own. Detailed findings dated 26.12.15 refer.</t>
  </si>
  <si>
    <t>Muhammad Arfat s/o Muhammad Shoaib</t>
  </si>
  <si>
    <t>Muhammad Shoaib f/o Missing Person, r/o Usman Town, Gali No. 1, House No. 3, Jhangi Saidan, Islamabad (Mobile No. 0335-5805145)</t>
  </si>
  <si>
    <t>FIR No. 175 dt: 6/5/2014 u/s 365 PPC, PS Tarnol, District Islamabad</t>
  </si>
  <si>
    <t>Traced Person. Appeared before the Commission on 13.10.14 and stated that he had gone for tableegh at his his own.</t>
  </si>
  <si>
    <t>1515-P</t>
  </si>
  <si>
    <t>Muhammad Adnan s/o Abdul Jabbar</t>
  </si>
  <si>
    <t>Abdul Jabbar f/o Missing Person, r/o Chak No. 136/9-L, P.O. 133/9-L, Tehsil &amp; Distt: Sahiwal (Mobile No. 0315-2032028, 0345-4654299)</t>
  </si>
  <si>
    <t>FIR No.165 dt.05/02/2014 u/s 365 PPC PS A-Division District Okara</t>
  </si>
  <si>
    <t>Traced Person. Muhammad Adnan appeared before the Commission at the hearing on 28/06/2018 at Lahore. He stated that he left home under compelling circumstances. He did not disclose further details due to obvious hearing.</t>
  </si>
  <si>
    <t>Muhammad Haroon Yousaf s/o Muhammad Zafar</t>
  </si>
  <si>
    <t>Mst. Mehr-un-Nissa m/o Missing Person, r/o House No. A-587/198, Dera Ezzat, P.O. Bahawalpur, Tehsil &amp; Distt: Bahawalpur (Mobile No. 0311-6045200)</t>
  </si>
  <si>
    <t>FIR NIL (Place of Occurrence is in Bahawalpur district.</t>
  </si>
  <si>
    <t>Traced Person. Returned to home as informed by DPO, Bahawalpur at the hearing on 27.9.14.</t>
  </si>
  <si>
    <t>Umer Hayat S/o Yousaf Shah</t>
  </si>
  <si>
    <t>Yousaf Shah f/o Missing Person, r/o Allah Akbar Colony, Changlai, Tehsil Daggar, Distt: Bunair (Mobile No. 0313-8838767)</t>
  </si>
  <si>
    <t>Under Investigation (KP) Bonair</t>
  </si>
  <si>
    <t>Islam Shah s/o Ibrahim Shah</t>
  </si>
  <si>
    <t>Yousaf Shah b/o Missing Person, r/o Allah Akbar Colony, Changlai, Tehsil Daggar, Distt: Bunair (Mobile No. 0313-8838767)</t>
  </si>
  <si>
    <t>Fawad Khan s/o Muhammad Zahid Khan</t>
  </si>
  <si>
    <t>Jawad Ahmed b/o Missing Person, r/o Village Aligrama, Tehsil &amp; Distt: Swat (Mobile No. 0342-8529534)</t>
  </si>
  <si>
    <t>FIR No.118 dt.05/03/2014 u/s 365/34 PPC PS Kabal District Swat.</t>
  </si>
  <si>
    <t>Taj Muhammad Khan s/o Nazar</t>
  </si>
  <si>
    <t>Muzafar Khan b/o of Missing Person, r/o Village Taighak, P.O. Totano Bandi, Tehsil Kabal, Distt: Swat (Mobile No. 0343-9996246)</t>
  </si>
  <si>
    <t>FIR No.127 dt.08/03/2014 u/s 365/34 PPC PS Kabal District Swat.</t>
  </si>
  <si>
    <t>Traced Person. Confined in Internment Center Lakki Marwat</t>
  </si>
  <si>
    <t>Fazal Rehman s/o Ridi Gull</t>
  </si>
  <si>
    <t>Mst. Bakhat Begum r/o Village Nasir Khel, Bara Bandi, Tehsil &amp; Distt: Swat (Mobile No. 0343-9405798)</t>
  </si>
  <si>
    <t>Deleted as Fazal Rehman reported by expired in the Internment Centre, Kohat.</t>
  </si>
  <si>
    <t>Rahim Shah s/o Abdul Ghaffor</t>
  </si>
  <si>
    <t>Abdul Ghaffor f/o Missing Person, r/o Village Taighak, P.O. Totano Bandi, Tehsil Kabal, Distt: Swat (Mobile No. 0341-9005537)</t>
  </si>
  <si>
    <t>Abdul Rehman s/o Nasim Ahmed</t>
  </si>
  <si>
    <t>Mst. Hasnat Bibi m/o Missing Person, r/o Village Haji Baba, Totano Bandi, Tehsil Kabal, Distt: Swat (Mobile No. 0342-8930730)</t>
  </si>
  <si>
    <t>FIR NIL (Place of Occurrence is Swat district)</t>
  </si>
  <si>
    <t>Mujeeb-ur-Rehman s/o Nasim Ahmed</t>
  </si>
  <si>
    <t>FIR No.16 dt.20/1/2016 u/s 365 PPC PS/Ouch District Dir Lower</t>
  </si>
  <si>
    <t>Under Investigation (KP) Lower Dir</t>
  </si>
  <si>
    <t>Ali Muhammad S/o Habib-ur-Rehman</t>
  </si>
  <si>
    <t>Saleh Muhammad b/o Missing Person, r/o Mohallah Masjid Chheena, Shah Dherai, Tehsil &amp; Distt: Swat (Mobile No. 0347-9108769, 0343-9264626)</t>
  </si>
  <si>
    <t>FIR No.53 dt.04/03/2014 u/s 365PPC PS Shahdheri District Swat</t>
  </si>
  <si>
    <t>Traced Person. Confined in the Internment Centre, Fizagat as itimated by Rep of MI at the hearing on 13.3.2014.</t>
  </si>
  <si>
    <t>Suleman s/o Fazal Rehman</t>
  </si>
  <si>
    <t>15602-6292770-7</t>
  </si>
  <si>
    <t>FIR No.82 dt.04/03/2014 u/s 365 PPC PS Kanju District Swat.</t>
  </si>
  <si>
    <t>Deleted. Not a case of enforced disappearance. Detailed findings dated 12.6.17 refer.</t>
  </si>
  <si>
    <t>Muslim Jaan s/o Mudassir Jaan</t>
  </si>
  <si>
    <t>Bilal Muslim s/o Missing Person, r/o Village Ganshal, Dherai, Tehsil &amp; Distt: Swat (Mobile No. 0343-9629933)</t>
  </si>
  <si>
    <t>Deleted as the complaint withdrawn by Bilal Muslim s/o Mudassir Jan vide statement recored u/s 164 CrPC.</t>
  </si>
  <si>
    <t>Sultan Murad s/o Harmoz Khan</t>
  </si>
  <si>
    <t>Muhammad Ayub b/o Missing Person, r/o Sersenai, Koz Mula Nocham, Tehsil Kabak, Distt: Swat (Mobile No. 0346-9442967)</t>
  </si>
  <si>
    <t>Traced Person. Confined in the Internment Centre, Paitham as reported by MI at the hearing on 13.3.2014.</t>
  </si>
  <si>
    <t>Aminullah Shah s/o Mian Syed Mehmood Shah</t>
  </si>
  <si>
    <t>Qasim Shah b/o Missing Person, r/o Gull Jabbah, Kabal, Tehsil &amp; Distt: Swat (Mobile No. 0303-8760760, 0315-9838177)</t>
  </si>
  <si>
    <t>Traced Person. Confined in Internment Center Paithom as reported by SP (Inv) Swat at the hearing on 16.2.2015.</t>
  </si>
  <si>
    <t>Umer Syed s/o Hazrat Syed</t>
  </si>
  <si>
    <t>Anwar Syed b/o Missing Person, r/o Khonagy, Syedabad, Sersenai, Swat (Mobile No. 0331-3512554, 0301-3048926)</t>
  </si>
  <si>
    <t>FIR No. 117 dt. 05/03/2014 u/s 365 PPC PS Kabal, Swat</t>
  </si>
  <si>
    <t>Traced Person. Confined in the Internment Centre, Paitham as informed by Rep of MI at the hearing on 13.3.2014</t>
  </si>
  <si>
    <t>Ghulam Mehmood Shah s/o Mian Gull</t>
  </si>
  <si>
    <t>FIR No.125 dt.07/03/2014 u/s 365/34 PPC PS Kabal District Swat</t>
  </si>
  <si>
    <t>Nadir Khan s/o Ameer Rehman</t>
  </si>
  <si>
    <t>Ajab Khan b/o Missing Person, r/o Village Barcham, Shah Dherai, Tehsil &amp; Distt: Swat (Mobile No. 0346-5603871, 0343-9305829)</t>
  </si>
  <si>
    <t>FIR No.54 dt.04/03/2014 u/s 365 PPC PS Shahdheri District Swat</t>
  </si>
  <si>
    <t>Traced Person. Confined in the Internment Centre, Fizagat as reformed at the hearing on 12.3.2014.</t>
  </si>
  <si>
    <t>Mujeeb-ur-Rehman s/o Sirtaj Khan</t>
  </si>
  <si>
    <t>Sirtaj Khan f/o Missing Person, r/o Village Awan Banda Nabi, P.O. Pabbi, Tehsil &amp; Distt: Nowshera (Mobile No. 0313-9787623)</t>
  </si>
  <si>
    <t>FIR No.130 dt.03/09/2011 u/s 365 PPC PS Pabbi District Nowshera</t>
  </si>
  <si>
    <t>Traced Person. Returned Home</t>
  </si>
  <si>
    <t>Muhammad Jan s/o Ashraf</t>
  </si>
  <si>
    <t>Mst. Malik Naz m/o Missing Person, C/O Mir Dara, r/o Suhrani Kalag, Kech District Turbat, Balochistan</t>
  </si>
  <si>
    <t>Traced Person. Sp Kech submitted that Muhammad Jan has returned to home and met him.</t>
  </si>
  <si>
    <t>Alam Zaib s/o Sheengul Marri</t>
  </si>
  <si>
    <t>Sheengul Marri f/o Missing Person, r/o Gard Ogh Kali Siyalan, Tehsil/P.O. Kohlo, Balochistan (Mobile No. 0333-6043001, 0335-5016009)</t>
  </si>
  <si>
    <t>Saifullah s/o Haji Yar Muhammad</t>
  </si>
  <si>
    <t>Haji Yar Muhammad f/o Missing Person, r/o Gard Ogh Kali Siyalan, Tehsil/P.O. Kohlo, Balochistan (Mobile No. 0335-6656018)</t>
  </si>
  <si>
    <t>Traced Person. SSP (Inv) Quetta submitted report at the hearing on 23.11.15 that Saifullah expired due to injuries he sustained in police encounter.</t>
  </si>
  <si>
    <t>1537-I</t>
  </si>
  <si>
    <t>Abdul Tawab s/o Muhammad Ishaq</t>
  </si>
  <si>
    <t>Mst. Sabiqa Siddique w/o Missing Person, r/o House No. 85-B, St. 8, Pakistan Town, IBECHS, Phase-I, Islamabad (Mobile No. 0300-5239346)</t>
  </si>
  <si>
    <t>FIR No.55 dt. 14/02/2014 u/s 365 PPC PS/ Lohi Bher,Islamabad</t>
  </si>
  <si>
    <t>Islamabad</t>
  </si>
  <si>
    <t>Asif Hameed s/o Abdul Hameed</t>
  </si>
  <si>
    <t>Mst. Kousar Rehman w/o Missing Person, r/o House No. 316, Village Saidan, Chohar Harpal, Rawalpindi (Mobile No. 0311-9762753, 0334-9544296)</t>
  </si>
  <si>
    <t>FIR No.103 dt.22/02/2014 u/s 365 PPC PS Cantt. Rawalpindi</t>
  </si>
  <si>
    <t>Traced Person. Mst. Kousar Rehman w/o Traced Person Asif Hameed confirmed at the hearing on 19/03/2018 that the latter has returned to home.</t>
  </si>
  <si>
    <t>Samiullah s/o Bahadur Said</t>
  </si>
  <si>
    <t>Meer Bahadur b/o Missing Person, r/o Khanah Pul, Chatri Chowk, Kohkr Abad, Tarkol Godam, Rawalpindi (Mobile No. 0344-5257484)</t>
  </si>
  <si>
    <t>FIR No. 104, dt: 23/3/2014, u/s 365 PPC, PS Koral, Islamabad.</t>
  </si>
  <si>
    <t>Traced Person. Returned to home, statement from Ameer b/o Samiullah is on record.</t>
  </si>
  <si>
    <t>1540-P 2193-P</t>
  </si>
  <si>
    <t>Muhammad Asadullah Watto s/o Muhammad Yar Khan Watto</t>
  </si>
  <si>
    <t>Mst. Zahida Shaheen m/o Missing Person, r/o Faisalabad Road, Okara near Ali Trust Eye Hospital, Haider Town, main Chowk, Okara (Mobile No. 0322-6987176)</t>
  </si>
  <si>
    <t>Muhammad Nadeem Zia s/o Muhammad Saleem</t>
  </si>
  <si>
    <t>Muhammad Saleem f/o Missing Person, r/o Village Sohaila Abad, House No. 107, Gali No. 7, Batala Colony, Faisalabad (Mobile No. 0322-6064035)</t>
  </si>
  <si>
    <t>FIR No.1191 dt.29/10/2013 u/s 365 PPC PS Peoples Colony, Faisalabad</t>
  </si>
  <si>
    <t>Traced Person. Returned to home. However did not mention details for obvious reasons.</t>
  </si>
  <si>
    <t>Muhammad Kabir s/o Muhammad Sharif</t>
  </si>
  <si>
    <t>Atta Muhammad brother-in-law of Missing Person, r/o Gali No. 26, House No. 200, Sector-F/6-2, Islamabad (Mobile No. 0343-5126180)</t>
  </si>
  <si>
    <t>FIR No.58 dt.28/2/2014 u/s 365 PPC PS City,Narowal.</t>
  </si>
  <si>
    <t>Deleted. Not a case of enforce disappearance.</t>
  </si>
  <si>
    <t>Norowa</t>
  </si>
  <si>
    <t>Muhammad Hassan s/o Shahmad Ali</t>
  </si>
  <si>
    <t>Muhammad Hussain b/o Missing Person, Chak No. 44-D, P.O. Deepalpur, Tehsil Deepalpur, Distt: Okara (Mobile No. 0345-7507947)</t>
  </si>
  <si>
    <t>FIR No. 1195
 dt: 24-10-2012
 u/s 365 PPC
 P.S. Nawab Town
 District: Lahore</t>
  </si>
  <si>
    <t>Traced Person. He was recovered but subsequently dead of cancer, necessary documents on record.</t>
  </si>
  <si>
    <t>Fakhar Yousaf s/o Muhammad Yousaf</t>
  </si>
  <si>
    <t>Muhammad Yousaf f/o Missing Person, r/o Jaranwala Road, Chak-209 RB. Akal Garh, P.O. Khas, Tehsil &amp; Distt: Faisalabad (Mobile No. 0300-9669276)</t>
  </si>
  <si>
    <t>FIR No.1164 dt.22/10/2013 u/s 365 PPC PS Peoples Colony, Faisalabad</t>
  </si>
  <si>
    <t>Traced Person. Appeared before the Commission on 29.9.2014. Did not mention details of his abduction.</t>
  </si>
  <si>
    <t>Ahmed Alam s/o Mumtaz Khan</t>
  </si>
  <si>
    <t>Israr Alam b/o Missing Person, r/o Village Baro Khel, Deolai, P.O. Deolai, Tehsil Kabal, Distt: Swat (Mobile No. 0345-8111347)</t>
  </si>
  <si>
    <t>FIR No.231 dt.10/03/2014 u/s 365 PPC PS Shafiqabad District Lahore</t>
  </si>
  <si>
    <t>Abdul Karim s/o Iqbal Khan</t>
  </si>
  <si>
    <t>Khayal Dad Khan uncle of Missing Person, r/o Village Phatak Banda, P.O. Muhammad Khawaja, Tehsil &amp; Distt: Hangu (Mobile No. 0333-7755173, 0346-5564179)</t>
  </si>
  <si>
    <t>FIR No.213 dt.15/03/2014 u/s 365 PPC PS Paharipura, Peshawar</t>
  </si>
  <si>
    <t>Traced Person. Confined in the Internment Centre, Kohat at the hearing on 27.6.2014</t>
  </si>
  <si>
    <t>Noor Khaliq s/o Iqbal Khan</t>
  </si>
  <si>
    <t>Traced Person. Returned to home as confirmed by SP (Inv) Abbotabad at the hearing on 14.3.2014.</t>
  </si>
  <si>
    <t>Muhammad Zakria s/o Haji Abdul Hameed Khan</t>
  </si>
  <si>
    <t>Haji Abdul Hameed Khan f/o Missing Person c/o Provincial Police Officer, Balochistan Quetta</t>
  </si>
  <si>
    <t>FIR No. 25
 dt: 10-2-2013
 u/s 365-34 PPC,
 PS City
 District: Khuzdar</t>
  </si>
  <si>
    <t>Traced Person. Returned to home. However, did not share details of abduction.</t>
  </si>
  <si>
    <t>Muhammad Asghar s/o Taj Muhammad</t>
  </si>
  <si>
    <t>C/O Muhammad Akram Village Chah Shamiwala Basti Mithu Sharqi PO Khas, Tehsil Shujabad, District Multan</t>
  </si>
  <si>
    <t>FIR No.66 dt.28/02/2014 u/s 365 PPC PS Sadar, Farooqabad</t>
  </si>
  <si>
    <t>Traced Person. Appeared before the Commission on 3.3.15. Stated that he remained in confinement for three years. No further details.</t>
  </si>
  <si>
    <t>Muhammad Ashfaq s/o Asghar Ali</t>
  </si>
  <si>
    <t>C/O Manzoor Hussain, Jatri Road, Muhallah Faisal Town Mlanwala, Jwd Singh Tehsil Shaikhupura</t>
  </si>
  <si>
    <t>FIR No.229
 dt: 06/3/2014
 u/s 365 PPC
 P.S. City A-Division District Sheikhupura.</t>
  </si>
  <si>
    <t>Traced Person. Returned to Home. Appeared before the Commission on 9.6.15. stated that he went to Karachi.</t>
  </si>
  <si>
    <t>Muhammad Rasheed Ahmed s/o Mansab Khan</t>
  </si>
  <si>
    <t>C/O Mansab Khan Village Khabeki, PO Khas, Tehsil &amp; District Khushab</t>
  </si>
  <si>
    <t>FIR No.176
 dt: 7-4-2010
 u/s 365 PPC
 P.S. Thal Chakian District Sargodha</t>
  </si>
  <si>
    <t>Deleted. Not a case of enforced disappearance, ratther a military deserter.</t>
  </si>
  <si>
    <t>Liaquat Ali s/o Ch. Riaz</t>
  </si>
  <si>
    <t>C/O Shahzad s/o Riaz Hussain Village Cheela, PO Khas, Tehsil &amp; Distrit Jhang(Mob, 0346-0719793)</t>
  </si>
  <si>
    <t>FIR NIL (Place of occurrence is Village Chaila District Jhang</t>
  </si>
  <si>
    <t>Deleted. Not a case of Enforced Disappearances as there has a dispute over a plot which has now been released.</t>
  </si>
  <si>
    <t>Muhammad Ali s/o Munawar Khan</t>
  </si>
  <si>
    <t>C/O Munawar Khan Muhallah Allah Akbar Kabal Tehsil and District Swat(0343-7375032)</t>
  </si>
  <si>
    <t>FIR No.164 dt.21/04/2015 u/s 365 PPC PS Lahor District Swabi</t>
  </si>
  <si>
    <t>Deleted. After investigation and receipt of reports from JIT/PTF concluding that Muhammad Ali s/o Munawar Khan had gone on his own and keeping in view the statement of Asghar Ali (Brother) that no allegation has been leveled against any of the LEAs, the case not found to be a case of enforced disappearance. Hence closed.</t>
  </si>
  <si>
    <t>Muhammad Hasham s/o Muhammad Bashir</t>
  </si>
  <si>
    <t>C/O Shah Kalam Village Bala Samai, Divai, Swat(Mob 0342-9674454)</t>
  </si>
  <si>
    <t>FIR NIL (Place of Occurrence is Dargai check-post in Malakand</t>
  </si>
  <si>
    <t>Under Investigation (KP)
 Swat</t>
  </si>
  <si>
    <t>Ali Rehman s/o Fazal Wahid</t>
  </si>
  <si>
    <t>C/O Zagham Jan Village Bala Samai, Divai, Swat(Mob 0344-2714699)</t>
  </si>
  <si>
    <t>Traced Person. Confined in the Internment, Fizagat as informed by Rep of MI on 12.3.2014</t>
  </si>
  <si>
    <t>Imran-ud-Din s/o Shah Nazar</t>
  </si>
  <si>
    <t>Kamal-ud-din B/o M.P, C/O Hussan Taj, Village Bala Samai, Divai, Swat(Mobile No. 0342-9674454 &amp; 0342-9757912)</t>
  </si>
  <si>
    <t>Under Investigation (KP) Malakand</t>
  </si>
  <si>
    <t>Naeem s/o Muhammad Shareen</t>
  </si>
  <si>
    <t>C/O Nazar Muhammad Village Divai, Swat(Mob 0346-3577498)</t>
  </si>
  <si>
    <t>Rehman Ali s/o Muhammad Aziz</t>
  </si>
  <si>
    <t>C/O Muhammad Aziz Muhallah Gul Burhan Sawainai Swat(Mob 0344-75674630</t>
  </si>
  <si>
    <t>Traced Person. Confined in the Internment Centre, Paitham Swat as informed by Rep of MI on 13.3.2014.</t>
  </si>
  <si>
    <t>Mushtaque Soomro s/o Rustam Ali</t>
  </si>
  <si>
    <t>C/o Wahid Bakhsh Soomro R/o House No. A 59, Agriculture Colony, Tando Jam</t>
  </si>
  <si>
    <t>Traced (Jail Custody)</t>
  </si>
  <si>
    <t>Hussain Gul s/o Rozi Gul</t>
  </si>
  <si>
    <t>C/o Aziz Gul Rehman b/o Missing Person, Muhallah Danda Shah Village Kauza Bandi Tehsil Kabl Distrr Swat (Mob 0347-9759455)</t>
  </si>
  <si>
    <t>FIR No.99 dt.22/03/2014 u/s 365 PPC PS Kanju District Swat</t>
  </si>
  <si>
    <t>Professor Irfan Naseem s/o Naseem Ahmed</t>
  </si>
  <si>
    <t>C/o Muhammad Naseem f/o Missing Person Gulzar Mansoora, House No. 93, near Multan Chungi, Multan Road, Lahore (Mob No. 03225979622)</t>
  </si>
  <si>
    <t>FIR No.214
 dt: 20/02/2014
 u/s 365 PPC
 PS/Hanjarwal, District Lahore</t>
  </si>
  <si>
    <t>Traced Person. Returned to home before the Commission on 22.9.2014. However did not give details of his abduction and return.</t>
  </si>
  <si>
    <t>Gul Ameer s/o Malik Gul Muhammad</t>
  </si>
  <si>
    <t>Gali No. 12, Muhammadi Colony, Sargodha C/o Gul Hassan s/o Malik Gul Muhammad r/o House No. NK-14, Katarian Market, Rawalpindi (Mobile No. 0321-5148672)</t>
  </si>
  <si>
    <t>FIR No.122 dt.09/03/2014 u/s 365 PPC PS Urban Area District Sargodha</t>
  </si>
  <si>
    <t>Traced Person. Returned to home. Necessary directions given of DPO, Sargodha for return of articles etc.</t>
  </si>
  <si>
    <t>1563-K</t>
  </si>
  <si>
    <t>Sardar Alam s/o Sher Bahadur Khan</t>
  </si>
  <si>
    <t>Sher Bahadur Khan f/o Missing Person, r/o Landai Colony, Kabal, Swat (Mobile No. 0343-2782912)</t>
  </si>
  <si>
    <t>FIR No.192 dt.10/5/2016 u/s 365 PPC PS/Kanju, District Swat</t>
  </si>
  <si>
    <t>Rehman Ullah s/o Rosham Gul</t>
  </si>
  <si>
    <t>Mst. Umer Bibi w/o Missing Person, r/o Village Fazil Banda, P.O. Bha, Tehsil Matta, Distt: Swat (Mobile No. 0344-2460564 &amp; 0346-5415281 &amp; 0343-9994498)</t>
  </si>
  <si>
    <t>FIR No. 58
 dt: 28/2/2015
 u/s 365 PPC PS/Chuprial
 District:</t>
  </si>
  <si>
    <t>Abdul Qadoos Khan s/o Muhammad Mustafa Khan</t>
  </si>
  <si>
    <t>Abdul Rauf b/o Missing Person, r/o House No. 65-N, Gali No. 254, Rizwi Street, Village Koucha Hussnain, Ghala Mandi, Reenala Khurd, Distt: Okara (Mobile No. 0300-4249147)</t>
  </si>
  <si>
    <t>FIR No. 440
 dt: 20-10-13
 u/s 365 PPC PS
 City Reenala Khurd
 District: Okara</t>
  </si>
  <si>
    <t>Traced Person. Abdul Qadoos Khan appeared before the Commission at Lahore on 28/06/2018. He was reluctant to share factual and details of the case. However as he returned to home the case is closed.</t>
  </si>
  <si>
    <t>Muhammad Ibrahim s/o Wazir Ahmed</t>
  </si>
  <si>
    <t>Wazir Ahmed f/o Missing Person, r/o Basti Beet Bogha, P.O. Bhal, Tehsil &amp; Distt: Bhakkar (Mobile No. 0343-6659844, 0343-6543599)</t>
  </si>
  <si>
    <t>FIR No.254 dt.10/3/2014 u/s 365 PPC,PS Raiwind City District Lahore.</t>
  </si>
  <si>
    <t>Traced Person. Report submitted by SP (Inv) Saddar, Lahore confirmed that Muhammad Ibrahim has returned to home.</t>
  </si>
  <si>
    <t>Nasir Ali s/o Sabir Ali</t>
  </si>
  <si>
    <t>Sabir Ali f/o Missing Person, r/o Chah Jalwala Rangeelpur, Tehsil &amp; Distt: Multan (Mobile No. 0302-7659179)</t>
  </si>
  <si>
    <t>FIR No. 23
 dt: 14/1/2013
 u/s 365 PPC
 P.S. Shah Shams
 District: Multan</t>
  </si>
  <si>
    <t>Deleted. Not the case of Enforced Disappearance as the allegation is against some privale persons.</t>
  </si>
  <si>
    <t>1568-P</t>
  </si>
  <si>
    <t>Zahid Mehmood S/o Muhammad Shafi</t>
  </si>
  <si>
    <t>Muhammad Raffique Grandfather of Missing Person, r/o Village Malka Hans, Ward No. 4 near Higher Secondary Boys School, Tehsil &amp; Distt: Pakpattan (Mobile No. 0306-6926424)</t>
  </si>
  <si>
    <t>FIR No. 184
 dt: 12/3/2014
 u/s 365 PPC
 P.S. City,Sahiwal.</t>
  </si>
  <si>
    <t>Traced Person. Investigation conducted by DPO, Sahiwal which culminated into the recovery of Zahid Mehmood. This was an old matter which has been resolved due to the hectic efforts made of police.</t>
  </si>
  <si>
    <t>Saihwal</t>
  </si>
  <si>
    <t>Muhammad Arif s/o Muhammad Jan</t>
  </si>
  <si>
    <t>Muhammad Asif b/o Missing Person, r/o Gali No. 1, House No. 1006, Meharabad near Peshawar More, Rawalpindi (Mobile No. 0321-5155360)</t>
  </si>
  <si>
    <t>FIR No. 246
 dt: 19-12-13
 u/s 365 PPC
 P.S. Mittha Tiwana
 District: Khushab</t>
  </si>
  <si>
    <t>Traced Person. Confined in the Internment Center Kohat under (in Aid of Civil) Regulation, 2011</t>
  </si>
  <si>
    <t>Naeem Ullah s/o Fazal Subhan</t>
  </si>
  <si>
    <t>Mst. Rwabia w/o Fazal Subhan, r/o Village Galooch, Tehsil Kabal, Distt: Swat (mobile No. 0346-3537170)</t>
  </si>
  <si>
    <t>FIR No.122 dt.06/03/2014 u/s 365 PPC PS Kabal District Swat</t>
  </si>
  <si>
    <t>Traced Person. Confined in the Internment Centre, Kohat as informed at the hearing on 29.5.2014.</t>
  </si>
  <si>
    <t>Yousaf Shah s/o Khadim</t>
  </si>
  <si>
    <t>Farman Adil Shah b/o Missing Person, r/o Kodari, Totano Bandi, Tehsil Kabal, Distt: Swat</t>
  </si>
  <si>
    <t>FIR No.124 dt.06/03/2014 u/s 365 PPC PS Kabal District Swat</t>
  </si>
  <si>
    <t>Traced Person. Confined in the Internment Centre, Kohat as informed at the hearing on 24.4.2014.</t>
  </si>
  <si>
    <t>Jahan Sher s/o Khaiber</t>
  </si>
  <si>
    <t>Muhammad Shoaib b/o Missing Person, r/o Village Manjah, P.O. Totano Bandi, Tehsil &amp; Distt: Swat (Mobile No. 0342-9482196)</t>
  </si>
  <si>
    <t>FIR Nil</t>
  </si>
  <si>
    <t>Traced Person. Confined in the Internment Center Lakki Marwat as informed at the hearing on 12.2.2015.</t>
  </si>
  <si>
    <t>1573-K</t>
  </si>
  <si>
    <t>Waseem Bhari s/o Bhari Karam</t>
  </si>
  <si>
    <t>Bhari Karam f/o Missing Person, r/o Village Barkalay Baligram, Saidu Sharif, Swat (Mobile No. 0333-9507213)</t>
  </si>
  <si>
    <t>FIR No.62 dt.07/03/2014 u/s 365 PPC PS Saidu Sharif,Swat</t>
  </si>
  <si>
    <t>Traced Person. Returned to home submitted by SP (Inv) Swat. Statement u/s 104 CrPC has also been recored.</t>
  </si>
  <si>
    <t>Javed s/o Said-ur-Rehman</t>
  </si>
  <si>
    <t>Muhammad Ishaq Khan b/o Missing Person, r/o Village Akazi, Village Tehkal Bala, Tehsil &amp; Distt: Peshawar (Mobile No. 0312-9661666)</t>
  </si>
  <si>
    <t>FIR No. 227
 dt: 8/03/2011
 u/s 365 PPC
 P.S. Akora Khattak,
 District: Nowshera</t>
  </si>
  <si>
    <t>Deleted. Not a Case of Enforced Dispperances as Javed (Missing Person) has gone on his own.</t>
  </si>
  <si>
    <t>Sultan Ali s/o Lali Khan</t>
  </si>
  <si>
    <t>Lali Khan f/o Missing Person, r/o Tariqabad, Tandodag, Tehsil Saidu Shareef, Mohallah Jalala, Distt: Swat (Mobile No. 0344-9638417)</t>
  </si>
  <si>
    <t>Traced Person. Confined in the Internment Centre, Paitham as reported by MI at the hearing on 26.5.2014.</t>
  </si>
  <si>
    <t>Muhammad Alam Khan s/o Muhammad Zada</t>
  </si>
  <si>
    <t>Farooq Khan b/o Missing Person, r/o Village Golden, P.O. Deolai, Tehsil Kabal, Distt: Swat (Mobile No. 0347-9535074)</t>
  </si>
  <si>
    <t>FIR NIL (Place of Occurrence is Saidu Sharif District Swat</t>
  </si>
  <si>
    <t>Traced Person. Confined in the Internment Centre, Fizagat as informed by JIT at the hearing on 29.5.14.</t>
  </si>
  <si>
    <t>Sami-ur-Rehman s/o Gul Shahzada</t>
  </si>
  <si>
    <t>Gul Shahzada f/o Missing Person, r/o Dherai, Totano Bandi, Tehsil Kabal, Distt: Swat (Mobile No. 0341-2844298, 0346-9044643)</t>
  </si>
  <si>
    <t>Usman Ali s/o Shah Wazir Khan</t>
  </si>
  <si>
    <t>Mst. Bakhat Sultana m/o Missing Person, r/o Muhallah Barkalay Baligram, Saidu Shareef, Swat (Mobile No. 0313-9331600)</t>
  </si>
  <si>
    <t>FIR No.359 dt.08/07/2014 u/s 365 PPC PS Saidu Sharif,Swat</t>
  </si>
  <si>
    <t>Abdul Rehman s/o Shamshad</t>
  </si>
  <si>
    <t>Shoukat Ali r/o village Golden, P.O. Deolai, Tehsil Kabal, Distt: Swat (Mobile No. 0345-9455001)</t>
  </si>
  <si>
    <t>Traced Person. Confined in the Internment Centre, Lakki Marwat as intimated at the hearing on 29.5.14.</t>
  </si>
  <si>
    <t>Sher Muhammad Khan s/o Gulbar</t>
  </si>
  <si>
    <t>Ahmed Sher b/o Missing Person, r/o P.O. Deolai, Tehsil &amp; Distt: Swat (Mobile No. 0344-96647142)</t>
  </si>
  <si>
    <t>FIR No.147 dt.10/5//2012 u/s 365/34 PS Shahdheri District Swat</t>
  </si>
  <si>
    <t>Anwar Zaib s/o Faramosh</t>
  </si>
  <si>
    <t>Faramosh f/o Missing Person, r/o village Golden, P.O. Deolai, Tehsil Kabal, Distt: Swat.</t>
  </si>
  <si>
    <t>Traced Person. Confined in the Internment Center Paithom as informed at the hearing on 10.2.15 by SP (Inv) Swat.</t>
  </si>
  <si>
    <t>Yousaf Khan s/o Muhammad Ghafoor</t>
  </si>
  <si>
    <t>Muhammad Ghafoor f/o Missing Person, r/o Kanjo, Tehsil Kabal, Distt: Swat (Mobile No. 0345-0571664)</t>
  </si>
  <si>
    <t>Khadim s/o Shereen Mian</t>
  </si>
  <si>
    <t>Farman Adil Shah s/o Missing Person, r/o Kodari, Totano Bandi, Tehsil Kabal, Distt: Swat</t>
  </si>
  <si>
    <t>FIR No.123 dt.06/3/2014 u/s 365 PPC PS/Kabal District Swat</t>
  </si>
  <si>
    <t>Traced Person. SSP (Inv) Swat informed at the hearing on 16.2.2015 that Khadim has returned to home.</t>
  </si>
  <si>
    <t>Bacha Zada s/o Bakhat Jamir</t>
  </si>
  <si>
    <t>Sultan Yousaf b/o Missing Person, r/o Mohallah Kandao, Village Totano Bandi, Tehsil Kabal, Distt: Swat (Mobile No. 0341-8985015)</t>
  </si>
  <si>
    <t>FIR No.351 dt.9/7/2014 u/s 365/34 PPC PS/Kabal District Swat</t>
  </si>
  <si>
    <t>Deleted. Not a Case of Enforced Disappearances. Case disposed of vide detailed findings dated 9.6.2017.</t>
  </si>
  <si>
    <t>Akbar Zada s/o Bakhat Jamir</t>
  </si>
  <si>
    <t>Traced Person. Confined in the Internment Centre, Lakki Marwat as intimated by Rep of MI.</t>
  </si>
  <si>
    <t>Rehmat Ali s/o Shamsher Ali</t>
  </si>
  <si>
    <t>Bala Samai, Deolai, Tehsil &amp; Distt: Swat (Mobile No. 0344-9601783)</t>
  </si>
  <si>
    <t>Traced Person. Confined in the Internment Center Pathiam as informed at the hearing on 9.2.2015.</t>
  </si>
  <si>
    <t>Shah Wali Ullah s/o Abdul Rasheed</t>
  </si>
  <si>
    <t>Mst. Saeeda Bibi w/o Missing Person, r/o Village Bara Bandi, Tehsil Kabal, Distt: Swat (Mobile No. 0341-9880249)</t>
  </si>
  <si>
    <t>FIR No.324 dt.08/07/2014 u/s 365 PPC PS Kanju,Swat</t>
  </si>
  <si>
    <t>Deleted vide findings dated 27.7.2016 being not a case of enforced disappearance.</t>
  </si>
  <si>
    <t>1588-K 6005-K</t>
  </si>
  <si>
    <t>Rahim Ullah s/o Noor Habib</t>
  </si>
  <si>
    <t>Mst. Rabia Bibi w/o Missing Person, r/o Village Allah Akbar, Tehsil Kabal, Distt: Swat (Mobile No. 0342-2844932, 0344-2844932)</t>
  </si>
  <si>
    <t>FIR No.509 dt.25/11/2014 u/s 365 PPC PS/Pirabad,District West Karachi.</t>
  </si>
  <si>
    <t>Deleted. The case is closed due to non-prosecution as the complainant did not attend 10 hearings held in the Commission, five meetings of JIT, and three meetings of PTF which clearly indicate that he is not interested to pursue the case. During investigation, Mst. Rabia w/o Rahimullah was contacted over Mobile No. 0342-2844932, who informed that her husband went missing from Qasba Colony, Karachi 4/5 years ago. Thereafter, she did not co-operate with investiation team. All LEAs have denied his apprehension/custody. Hence, the case is closed.</t>
  </si>
  <si>
    <t>Umer Ali s/o Mian Gul</t>
  </si>
  <si>
    <t>Mst. Bakhat Beena m/o Missing Person, r/o Bacha Kalay, P.O. Deolai, Tehsil &amp; Distt: Swat (Mobile No. 0347-9837689)</t>
  </si>
  <si>
    <t>Traced Person. Confined in the Internment Centre, Fizagat as informed at the hearing on 28.10.2014.</t>
  </si>
  <si>
    <t>Bacha Rawan s/o Derah Wadan</t>
  </si>
  <si>
    <t>Sher Rehman b/o Missing Person, r/o Mohallah Haji Baba, P.O. Totano Bandi, Tehsil Kabal, Distt: Swat (Mobile No. 0345-9067519)</t>
  </si>
  <si>
    <t>Traced Person. Confined in the Internment Centre, Lakki Marwat as informed at the hearing on 28.5.2014.</t>
  </si>
  <si>
    <t>1591-K</t>
  </si>
  <si>
    <t>Miraj-ud-Din s/o Taj Mehmood Khan</t>
  </si>
  <si>
    <t>Zahid Mehmood Khan b/o Missing Person, r/o Choti Daraban Khurd near Gomal University, Tehsil &amp; Distt: D.I. Khan (Mobile No. 0344-9300096, 0321-9606099)</t>
  </si>
  <si>
    <t>21706-4330348-5</t>
  </si>
  <si>
    <t>FIR No.150 dt.04/3/2014 u/s 365 PPC PS/Cantt.,D.I,Khan</t>
  </si>
  <si>
    <t>Deleted. During the course of investigation, no clue could be found that any LEA/ Intelligence Agency was involved in disappearance of Miraj-ud-Din. The case has been categorized as missing person has gone on his own by JIT as well as PTF. Zahid Mehmood b/o Miraj-ud-Din entered appearance and submitted affidavit in which there is no allegation against any LEA/ Intelligence Agency. All stake holders also denied arrest/ custody of Sher Shah. Hence the case does not fall within the ambit of enforced disappearance. Hence closed.</t>
  </si>
  <si>
    <t>Azeem Ullah s/o Noor Muhammad</t>
  </si>
  <si>
    <t>Haji Samandar Khan f/o Missing Person, C/o Sahil Brothers Hayat &amp; Dost Muhammad, Thatta Khalil Road, Taxila, Rawalpindi (Mobile No. 0346-7990042)</t>
  </si>
  <si>
    <t>Muhammad Usman s/o Khair Ali Khan</t>
  </si>
  <si>
    <t>Khair Ali Khan f/o Missing Person, r/o Village Adda, P.O. D.I.Khan, Tehsil &amp; Distt: D.I.Khan (Mobile No. 0300-8889375)</t>
  </si>
  <si>
    <t>FIR No.1 dt.01/1/2015 u/s 365/34 PPC PS/Sohrab Goth,Karachi</t>
  </si>
  <si>
    <t>Traced Person. Confined in the Internment Center Lakki Marwat as informed at the hearing on 01.01.2015 by Rep of MI. Father confirmed.</t>
  </si>
  <si>
    <t>1595-K 3693-K</t>
  </si>
  <si>
    <t>Hazrat Ali s/o Muhammad Rishad</t>
  </si>
  <si>
    <t>Usman b/o Missing Person, r/o Kanjo, P.O. Shahiabad, Tehsil Kabal, Distt: Swat (Mobile No. 0345-8683133)</t>
  </si>
  <si>
    <t>FIR No.142 dt.01/04/2014 u/s 365 PPC PS University,D.I. Khan</t>
  </si>
  <si>
    <t>Abdul Wadood Ahmed s/o Imtiaz Ahmed</t>
  </si>
  <si>
    <t>Shahbaz Ahmed b/o Missing Person, r/o Village Peer Khel, Jungle Khel, Tehsil &amp; Distt: Kohat (Mobile No. 0333-5581128)</t>
  </si>
  <si>
    <t>Traced Person. Rep of MI submitted report at the hearing on 18.5.2020 convicted by the Military Court was confined in District Jail, Kohat and later shifted to District Jail, Mardan. Accordingly, the case is closed.</t>
  </si>
  <si>
    <t>Asghar s/o Aziz-ur-Rehman</t>
  </si>
  <si>
    <t>Bakhat Raja r/o Totano Bandi, Tehsil &amp; Distt: Swat (Mobile No. 0346-9454380)</t>
  </si>
  <si>
    <t>FIR No.100 dt.27/03/2014 u/s 365 PPC PS Bilitang,District Kohat</t>
  </si>
  <si>
    <t>Traced Person. Confined in the Internment Centre, Paitham as informed by Rep of MI at the hearing on 29.5.14.</t>
  </si>
  <si>
    <t>1598-K</t>
  </si>
  <si>
    <t>Naik Zada s/o Mian Rahim Shah</t>
  </si>
  <si>
    <t>Mian Karim Shah uncle of Missing Person, r/o Village Bara Samai, P.O. Deolai, Swat</t>
  </si>
  <si>
    <t>FIR No.90
 dt: 29/01/2015
 u/s 365 PPC
 PS/City,Mardan</t>
  </si>
  <si>
    <t>Tahir Ali s/o Said Nabi</t>
  </si>
  <si>
    <t>Said Nabi f/o Missing Person, r/o Imam Dherai, P.O. Kouza Bandi, Tehsil &amp; Distt: Swat (Mobile No. 0344-9893024)</t>
  </si>
  <si>
    <t>Traced Person. Confined in the Internment Centre, Lakki Marwat as informed at the hearing on 24.4.2014.</t>
  </si>
  <si>
    <t>Rehman Ali s/o Ameer Bahadur</t>
  </si>
  <si>
    <t>Ameer Bahadur f/o Missing Person, r/o Imam Dherai, P.O. Kouza Bandi, Tehsil Kabal, Distt: Swat (Mobile No. 0342-9729533)</t>
  </si>
  <si>
    <t>FIR No.132 dt.20/3/2014 u/s 365 PPC PS Mingora,District Swat</t>
  </si>
  <si>
    <t>1602-K</t>
  </si>
  <si>
    <t>Niaz Muhammad s/o Muqarab Khan</t>
  </si>
  <si>
    <t>Muqarab Khan f/o Missing Person, r/o Madina Colony, Zaidi Wakeel Banglaw, D.I.Khan (Mobile No. 0336-1840421)</t>
  </si>
  <si>
    <t>21704-3562112-5</t>
  </si>
  <si>
    <t>FIR No.216 dt.28/03/2014 u/s 365 PPC PS Cantt. D.I.Khan</t>
  </si>
  <si>
    <t>Under Investigation (KP) D.I Khan</t>
  </si>
  <si>
    <t>Zareef Khan s/o Adam Khan</t>
  </si>
  <si>
    <t>Siraj-ud-Din r/o Dherai Banda, Dhodha Road, Kohat (Mobile No. 0335-9956225)</t>
  </si>
  <si>
    <t>Traced Person. DPO, Kohat submitted report at the hearing on 29.4.14 that Zareef Khan has returned to home statement recorded.</t>
  </si>
  <si>
    <t>Umair Ali s/o Maqsood Ali Abbasi</t>
  </si>
  <si>
    <t>Maqsood Ali Abbasi f/o Missing Person, r/o Lal Patti Roper, Allaqa Lora, Tehsil &amp; Distt: Abbottabad (Mobile No. 0308-5097172)</t>
  </si>
  <si>
    <t>Traced Person. Appeared before the Commission on 25.3.14 submitted that he was confinement by unknown persons for four months.</t>
  </si>
  <si>
    <t>Sharif Zada s/o Bakhat Zada</t>
  </si>
  <si>
    <t>Mst. Nishta Jahan w/o Missing Person, r/o Village Khairabad, Galooch, Tehsil Kabal, Distt: Swat (Mobile No. 0346-9152431)</t>
  </si>
  <si>
    <t>FIR No. 23
 dt: 24-7-2013
 u/s 365/34 PPC
 P.S. Lora
 District: Abbottabad</t>
  </si>
  <si>
    <t>Traced Person. Confined in the Internment Centre, Lakki Marwat as reported by Rep of MI at the hearing on 15.4.2014.</t>
  </si>
  <si>
    <t>Kamal Ahmed s/o Ahmed Khan</t>
  </si>
  <si>
    <t>Iqbal Jahan r/o Village &amp; P.O. Totano Bandi, Tehsil Kabal, Distt: Swat (Mobile No. 0345-8173894)</t>
  </si>
  <si>
    <t>Traced Person. Confined in the Internment Centre, Kohat as informed by Rep of MI at the hearing on 16.4.2014.</t>
  </si>
  <si>
    <t>Sabir Ali s/o Wazir Zada</t>
  </si>
  <si>
    <t>Rasheed b/o Missing Person, r/o Dilbar Dherai, Village &amp; P.O. Deolai (Mobile No. 0346-8176934)</t>
  </si>
  <si>
    <t>Traced Person. Confined in the Internment Centre, Kohat as intimated by Rep of MI at the hearing on 17.4.2014.</t>
  </si>
  <si>
    <t>Barkat Khan s/o Bakhat Zarin</t>
  </si>
  <si>
    <t>Bakhat Zarin f/o Missing Person, r/o Village Haji Baba, Totano Bandi, Tehsil Kabal, Distt: Swat (Mobile No. 0344-2954544)</t>
  </si>
  <si>
    <t>Traced Person. Confined in the Internment Centre, Paitham as intimated by Rep of MI at the hearing on 16.4.14.</t>
  </si>
  <si>
    <t>Javed Khan s/o Hazrat Hussain</t>
  </si>
  <si>
    <t>Village Khairabad, Galooch, Tehsil Kabal, Distt: Swat (Mobile No. 0342-9652752)</t>
  </si>
  <si>
    <t>Traced Person. Confined in the Internment Center Fizagat as intimated by Rep of MI at the hearing on 16.9.14.</t>
  </si>
  <si>
    <t>1610-K</t>
  </si>
  <si>
    <t>Hameedullah s/o Mian Karim Shah</t>
  </si>
  <si>
    <t>Mian Karim Shah uncle of Missing Person, r/o Village Bara Samai, P.O. Deolai, Swat (Mobile No. 0347-91202257)</t>
  </si>
  <si>
    <t>15602-4629857-7</t>
  </si>
  <si>
    <t>FIR No213 dt.22/4/2014 u/s 365 PPC District Swat</t>
  </si>
  <si>
    <t>Rehmat Ali s/o Sher Malik</t>
  </si>
  <si>
    <t>Mst. Bacha Begum m/o Missing Person, r/o Village Khairabad, Tehsil Kabal, Distt: Swat (Mobile No. 0343-9809762)</t>
  </si>
  <si>
    <t>FIR No.170 dt.07/3/2016 u/s 365 PPC PS/Sheikh Maltoon, District Mardan</t>
  </si>
  <si>
    <t>Traced Person. Confined in the Internment Center Paithom as intimated by Rep of MI at the hearing on 17.9.2014.</t>
  </si>
  <si>
    <t>Mrawat Shah s/o Jamraiz Shah</t>
  </si>
  <si>
    <t>Mst. Hassan Rafia Bibi w/o Missing Person, r/o Bandah Ali Khan, P.O. Mandian, Mohallah Usmanabad, Abbottabad (Mobile No. 0303-8046095)</t>
  </si>
  <si>
    <t>FIR No.211 dt.22/4/2014 u/s 365/34 PPC PS Kabal,DistrictSwat</t>
  </si>
  <si>
    <t>Traced Person. Marwat Shah has been traced and statement to that effect u/s 164 CrPC.</t>
  </si>
  <si>
    <t>Sanaullah Shah s/o Ghulam Mehmood Shah</t>
  </si>
  <si>
    <t>FIR No.150 dt.24/7/2012 u/s 365 PPC PS/Doonga Gali,District Abbottabad.</t>
  </si>
  <si>
    <t>Traced Person. Confined in the Internment Center Malakand as reported by the Rep of MI at the hearing on 16.9.2014.</t>
  </si>
  <si>
    <t>Suleman s/o Zaroor Khan</t>
  </si>
  <si>
    <t>Ali Gohar Khan b/o Missing Person, r/o Bala Samai, P.O. Deolai, Tehsil &amp; Distt: Swat (Mobile No. 0341-9422128)</t>
  </si>
  <si>
    <t>FIR No.215 dt.22/4/2014 u/s 365 PPC PS Kabal,DistrictSwat</t>
  </si>
  <si>
    <t>Under Investigation (KP) Charsadda</t>
  </si>
  <si>
    <t>Qadir Khan s/o Zarin</t>
  </si>
  <si>
    <t>Akbar Khan b/o Missing Person, r/o Atiran Berari, Khwaza Khel, Swat (Mobile No. 0346-9475326)</t>
  </si>
  <si>
    <t>FIR No.287 dt.16/6/2015 u/s 365 PPC PS/Mandani District Charsadda</t>
  </si>
  <si>
    <t>Traced Person. SSP (Inv) informed at the hearing on 15.2.2016 that dead body recovered and buried.</t>
  </si>
  <si>
    <t>Shad Muhammad s/o Mehmood</t>
  </si>
  <si>
    <t>Ghulam Muhammad b/o Missing Person, r/o Village Ghoz Bantar, Khwaza Khel, Berari, Swat (Mobile No. 0346-2322446, 0322-5993705)</t>
  </si>
  <si>
    <t>FIR No.259 dt.18/4/2014 u/s 365 PPC PS Khurshid Khan Shaheed District Swat</t>
  </si>
  <si>
    <t>Bacha Zada s/o Sher Zada</t>
  </si>
  <si>
    <t>Mst. Ayesha w/o Missing Person, r/o Village Galooch, Galono Shah, Tehsil Kabal, Distt: Swat (Mobile No. 0346-8332903)</t>
  </si>
  <si>
    <t>Traced Person. Confined in the Internment Centre, Lakki Marwat as reported by JIT at the hearing on 27.5.2014.</t>
  </si>
  <si>
    <t>Mehmood Khan s/o Bakhat Buland Khan</t>
  </si>
  <si>
    <t>Mst. Jan Pari m/o Missing Person, r/o Khaista Abad Hazara, Tehsil Kabal, Distt: Swat (Mobile No. 0341-4342743)</t>
  </si>
  <si>
    <t>FIR No.147 dt.21/3/2014 u/s 365/34 PPC PS/Kabal District Swat</t>
  </si>
  <si>
    <t>Aziz Ullah s/o Saeed Ullah</t>
  </si>
  <si>
    <t>Mst. Bibi Aleema m/o Missing Person, r/o Mohallah Ghalib Khel, Kouza Bandi, Tehsil Kabal, Distt: Swat (Mobile No. 0345-5120958)</t>
  </si>
  <si>
    <t>Traced Person. Dead body recovered and buried, statements of relevant persons recored.</t>
  </si>
  <si>
    <t>Fazal Subhan s/o Muhammad Yousaf</t>
  </si>
  <si>
    <t>Mst. Malooka Bibi m/o Missing Person, r/o Koz Tal, Tal, P.O. Shah Deherai, Tehsil Kabal, Distt: Swat (Mobile No. 0342-965297)</t>
  </si>
  <si>
    <t>FIR No.96
 dt: 20/3/2014
 u/s 365 PPC
 PS Kanju, DistrictSwat</t>
  </si>
  <si>
    <t>Traced Person. Confined in the Internment Centre at Lakki Marwat as informed by Rep of MI at the hearing on 15.4.2014.</t>
  </si>
  <si>
    <t>Khaista Rehman s/o Rasool Muhammad</t>
  </si>
  <si>
    <t>Hussain Ahmed b/o Missing Person, r/o Village Deolai Colony, P.O. Deolai, Tehsil Kabal, Distt: Swat (Mobile No. 0342-9203756)</t>
  </si>
  <si>
    <t>Traced Person. SP (Inv) confirmed at the hearing on 14.4.2014 that Khaista Rehman has returned to home. Statement of inmates also recored.</t>
  </si>
  <si>
    <t>Adam Khan s/o Gul Zarin</t>
  </si>
  <si>
    <t>Shamim Akhter, r/o Totano Bandi, Kabal, District Swat (Cell No. 0341-9259926)</t>
  </si>
  <si>
    <t>FIR No.153
 dt: 27/3/2014
 u/s 365 PPC
 PS Kabal, District:
 Swat</t>
  </si>
  <si>
    <t>Traced Person. Confined in the Internment Center Paithom as informed by Rep of MI at the hearing on 16.9.2014.</t>
  </si>
  <si>
    <t>Attaullah s/o Sultanat Khan</t>
  </si>
  <si>
    <t>Sultanat Khan f/o Missing Person, r/o Khairabad, Galooch, Tehsil Kabal, Distt: Swat (Mobile No. 0343-2532517)</t>
  </si>
  <si>
    <t>FIR No.152
 dt: 27/3/2014
 u/s 365/34 PPC
 PS Kabal, District:
 Swat</t>
  </si>
  <si>
    <t>Traced Person. Confined in the Internment Centre at Paitham as informed by Rep of MI at the hearing on 14.4.2014.</t>
  </si>
  <si>
    <t>Jamal-ud-Din s/o Ghulam Subhani</t>
  </si>
  <si>
    <t>Ghulam Subhani f/o Missing Person, r/o Village Galooch, Tehsil Kabal, Distt: Swat (Mobile No. 0346-9502908)</t>
  </si>
  <si>
    <t>FIR No.209 dt.22/04/2014 u/s 365 PPC PS Kabal,Swat</t>
  </si>
  <si>
    <t>Zahir Shah s/o Ashraf Khan</t>
  </si>
  <si>
    <t>Ashraf Khan f/o Missing Person, r/o Chinari Payan, P.O. Lakray, Tehsil Safi, Distt: Mohmand Agency (0344-9830842)</t>
  </si>
  <si>
    <t>FIR No.174 dt.25/03/2014 u/s 365 PPc PS Sabzi Mandi,Islamabad.</t>
  </si>
  <si>
    <t>Traced Person. A case vide FIR 567 registered against him and competent court of juridiction enclarsed on bail.</t>
  </si>
  <si>
    <t>Muhammad Sher Ali Khan s/o Hazrat Younis</t>
  </si>
  <si>
    <t>Muhammad Iqbal r/o Village Bara Bandi, Saidu Bibi Mosque, Tehsil Kabal, Distt: Swat (Mobile No. 0343-9406213, 0333-9476213)</t>
  </si>
  <si>
    <t>FIR No.105 dt.27/03/2014 u/s 365PPC PS Kanju District Swat</t>
  </si>
  <si>
    <t>Traced Person. Confined in the Internment Centre, Fizagat as intimated to the Commission by MI at the hearing on 3.4.2015.</t>
  </si>
  <si>
    <t>Jahanzaib Khan s/o Ashraf Khan</t>
  </si>
  <si>
    <t>Ashraf Khan f/o Missing Person, r/o Dila Zak Road, Gulabad Colony No. 2, Peshawar (Mobile No. 0321-9699758)</t>
  </si>
  <si>
    <t>FIR No.217 dt.19/03/2014 u/s 365 PPC PS Paharipur Ditrict Peshawar.</t>
  </si>
  <si>
    <t>Aziz-ur-Rehman s/o Baneer Gul</t>
  </si>
  <si>
    <t>Wazir Rehman F/o Missing Person, r/o Mohallah Kamkhwalay, Village Dardial, Tehsil Kabal, Distt: Swat (Mobile No. 0346-4179007)</t>
  </si>
  <si>
    <t>FIR No.70 dt.26/03/2014 u/s 365 PPC PS Shahdheri District Swat</t>
  </si>
  <si>
    <t>Traced Person. Confined in the Internment Center Paithom as intimated by Rep of MI at the hearing on 23.9.2014.</t>
  </si>
  <si>
    <t>Laal Khan s/o Damaan</t>
  </si>
  <si>
    <t>Muhammad Amir cousin of Missing Person, r/o Khoga Khel, Shinwari Fatmi Khel, Tehsil Landi Kotal, Khyber Agency (Mobile No. 0300-9369911)</t>
  </si>
  <si>
    <t>FIR NIL (Place of Occurrence is Torkham,Kurram Agency)</t>
  </si>
  <si>
    <t>Traced Person.Confined in the Internment Center Landi Kotal as reported by Rep of FC, KP at the hearing on 26.5.2014.</t>
  </si>
  <si>
    <t>Rozi Khan s/o Gulshan</t>
  </si>
  <si>
    <t>Tahir Shah r/o Village Tandodag, Distt: Swat (Mobile No. 0342-9617164)</t>
  </si>
  <si>
    <t>FIR No321 dt.27/3/2014 u/s 365 PPC PS Ghaligai, DistrictSwat</t>
  </si>
  <si>
    <t>Noor-ul-Haq s/o Shakirullah</t>
  </si>
  <si>
    <t>Umer Khatab b/o Missing Person, r/o Village Maneri, Distt: Swabi (Mobile No. 0332-5001920)</t>
  </si>
  <si>
    <t>FIR No.312 dt.09/05/2014 u/s 365 PPC PS Swabi District Swabi</t>
  </si>
  <si>
    <t>Under Investigation (KP) Swabi</t>
  </si>
  <si>
    <t>HRC No. 3110-K/2014</t>
  </si>
  <si>
    <t>Amjad Ali s/o Sheeren Khan</t>
  </si>
  <si>
    <t>Sheeren Khan f/o Missing Person, r/o Mohallah Sharifabad, Mingora, Tehsil Babozai, Distt: Swat (Mobile No. 0344-9660703)</t>
  </si>
  <si>
    <t>FIR No.146 dt.28/3/2014 u/s 365 PPC PS Mingora,Swat</t>
  </si>
  <si>
    <t>Zeeshan Ullah s/o Muhammad Saleem</t>
  </si>
  <si>
    <t>Sheeren Khan Grandfather of Missing Person, r/o Mohallah Sharifabad, Mingora, Tehsil Babozai, Distt: Swat (Mobile No. 0344-9660703)</t>
  </si>
  <si>
    <t>Traced Person. Confined in Internment Centre Fizaghat.</t>
  </si>
  <si>
    <t>Muhammad Ibrahim s/o Qadir Bakhsh</t>
  </si>
  <si>
    <t>Sona Khan b/o Missing Person, r/o Basti Makeen Shamali, P.O. Kachi Paind Khan, Tehsil &amp; Distt: D.I.Khan (Mobile No. 0342-8936687)</t>
  </si>
  <si>
    <t>FIR No.230 dt.06/03/2012 u/s 365 PPC PS Cantt.District D.I.Khan</t>
  </si>
  <si>
    <t>Tracd Person. Dead Body Recovered and handed over to family as confirmed by Sona Khan b/o Muhammad Ibrahim.</t>
  </si>
  <si>
    <t>Ehsanullah s/o Muhammad Amin</t>
  </si>
  <si>
    <t>Saddar Bacha b/o Missing Person, r/o Bala Samai, Deolai, Distt: Swat (Mobile No. 0342-9192496)</t>
  </si>
  <si>
    <t>FIR No.335 dt.11/04/2014 u/s 365 PPC PS Timergara District Dir Lower</t>
  </si>
  <si>
    <t>Under Investigation (KP) Dir Lower</t>
  </si>
  <si>
    <t>Syed Hanif s/o Usman Shah</t>
  </si>
  <si>
    <t>Haq Nawaz s/o Muhammad Shereen, r/o Mohallah Toheedabad, P.O. Tappi, Baqizai, Kohat (Mobile No. 0341-6120885)</t>
  </si>
  <si>
    <t>FIR No.206 dt.27/03/2014 u/s 365 PPC PS MRS District Kohat</t>
  </si>
  <si>
    <t>Traced Person. Rep of MI, submitted at the hearing on 16.6.17 that Missing Person, Syed Hanif is Confined at Internment Center, Kohat</t>
  </si>
  <si>
    <t>Muhammad Zameen s/o Muhammad Zareen</t>
  </si>
  <si>
    <t>Ijaz Khan s/o Missing Person, r/o Village Kamiari, P.O. Deolai, Tehsil Kabal, Distt: Swat (Mobile No. 0346-4369705)</t>
  </si>
  <si>
    <t>FIR No.69 dt.26/3/2014 u/s 365/34 PPC PS/Shah Dheril District,Swat</t>
  </si>
  <si>
    <t>Traced Person. Confined in the Internment Centre at Fizagat as intimated by Rep of MI at the hearing on 16.4.14.</t>
  </si>
  <si>
    <t>Hazrat Shah s/o Rahim Shah (Mardan)</t>
  </si>
  <si>
    <t>Shah Faisal s/o Missing Person, r/o Tehsil Kabal, Distt: Swat (Mobile No. 0344-9892853)</t>
  </si>
  <si>
    <t>FIR No.73 dt.12/2/2014 u/s 365 PPC PS Kabal District,Swat</t>
  </si>
  <si>
    <t>Traced Person. Confined in the Internment Centre, Kohat where he died and dead body handed over to legal heirs.</t>
  </si>
  <si>
    <t>Sher Alam Khan s/o Sultan Malik</t>
  </si>
  <si>
    <t>Mst. Khaista Bibi m/o Missing Person, r/o Village Takhta Band Ohgaday, Tehsil Babozai, Distt: Swat (Mobile No. 0344-9017349, 0346-9416357)</t>
  </si>
  <si>
    <t>FIR No.179 dt.27/3/2014 u/s 365 PPC PS Rahimabad,District Swat</t>
  </si>
  <si>
    <t>1640-K</t>
  </si>
  <si>
    <t>Arshad Iqbal s/o Sher Malook</t>
  </si>
  <si>
    <t>Mst. Shaheen Begum m/o Missing Person, r/o Village Baddar, P.O. Char Bagh, Tehsil &amp; Distt: Swat (Mobile No. 0347-9093685)</t>
  </si>
  <si>
    <t>15602-0357047-3</t>
  </si>
  <si>
    <t>FIR No.42 dt.20/3/2014 u/s 365 PPC PS Charbagh,
 District Swat</t>
  </si>
  <si>
    <t>1641-K</t>
  </si>
  <si>
    <t>Haider Ali s/o Sher Malook</t>
  </si>
  <si>
    <t>15602-6258059-7</t>
  </si>
  <si>
    <t>Akbar Ali s/o Muhammad</t>
  </si>
  <si>
    <t>Sardar Ali b/o Missing Person, r/o Village Manglor, Tehsil Babozai, Distt: Swat (Mobile No. 0313-9555825)</t>
  </si>
  <si>
    <t>FIR No.589 dt.28/02/2014 u/s 365 PPC PS City Mansehra.</t>
  </si>
  <si>
    <t>Suleman s/o Khona Gul</t>
  </si>
  <si>
    <t>Imran b/o Missing Person, r/o Shahidrah Chowk, Mingora, Swat (Mobile No. 0333-9500478)</t>
  </si>
  <si>
    <t>FIR No.147
  dt.28/3/2014
  u/s 365 PPC
  PS Mingora
  District Swat</t>
  </si>
  <si>
    <t>Traced Person. Confined in the Internment Centre, Paitham as intimated by Rep of MI at the hearing on 16.2.15.</t>
  </si>
  <si>
    <t>Saeed Ullah s/o Ahmed Zahir Shah</t>
  </si>
  <si>
    <t>10/14/2009</t>
  </si>
  <si>
    <t>Mst. Kalsoom Saeed w/o Missing Person, r/o Mohallah Dardiyal, Tehsil Kabal, Distt: Swat (Mobile No. 0341-9330433)</t>
  </si>
  <si>
    <t>FIR No.73 dt.27/03/2014 u/s 365/34 PPC PS Shahdheri District Swat.</t>
  </si>
  <si>
    <t>Deleted. Not a case of enforced disappearance. ON th ebasis of reports of JIT/PTF and statements of elders, Saeed Ullah has gone on his own.</t>
  </si>
  <si>
    <t>1645-K</t>
  </si>
  <si>
    <t>Ehsan Ullah s/o Rasheed Gul</t>
  </si>
  <si>
    <t>Muhammad Arif r/o Village Kotki Bala, Tehsil &amp; Distt: Hangu (Mobile No. 0333-5019291, 0333-9688523)</t>
  </si>
  <si>
    <t>FIR No205 dt.27/03/2014 u/s 365 PPC PS MRS District Kohat</t>
  </si>
  <si>
    <t>Traced Person. Confined in the Internment Center Kohat as reported by Rep of MI at the hearing on 22.3.17.</t>
  </si>
  <si>
    <t>Muhammad Javed s/o Bahadur Shah</t>
  </si>
  <si>
    <t>Muhammad Umer B/o Missing Person, r/o Afghan Mahajar Camp No. 3, Kohat (Mobile No. 0336-9650094)</t>
  </si>
  <si>
    <t>FIR No.207 dt.27/03/2014 u/s 365 PPC PS MRS District Kohat.</t>
  </si>
  <si>
    <t>Under Investigation (KP) Kohat</t>
  </si>
  <si>
    <t>Noor Hadi s/o Bacha Khan</t>
  </si>
  <si>
    <t>Bacha Khan f/o Missing Person, r/o Michani Banglo Kaley, P.O. Dab Kor, Tehsil Yaka Ghond, Mohmand Agency (Mobile No. 0322-9157563)</t>
  </si>
  <si>
    <t>Traced Person. Confined in the Internment Centre , Lakki Marwat as reported by Rep of MI at the hearing on 7.4.2014.</t>
  </si>
  <si>
    <t>WP No. 314/2014</t>
  </si>
  <si>
    <t>Kareem Khan</t>
  </si>
  <si>
    <t>Dilbar Khan r/o Village Machi Khel, Mir Ali, North Waziristan Agency: Present Address Usmania Colony, Dhok Mustaqeem, Rawalpindi</t>
  </si>
  <si>
    <t>FIR No.78
 dt: 11/02/2014
 u/s 365 PPC
 P.S. Naseerabad, District Rawalpindi</t>
  </si>
  <si>
    <t>Traced Person. SP (Potohar) Rawalpindi informed at the hearing on 10.4.14 that Kareem Khan was traced Person and never taken into custody of LEAs</t>
  </si>
  <si>
    <t>Umer Jan s/o Said-ur-Rehman</t>
  </si>
  <si>
    <t>Inam Ullah s/o Umer Jan r/o Zangli, Wazir Palosan, Khojal Khel, Kurram Agency (Mobile No. 0305-1760706 &amp; 0308-8187888)</t>
  </si>
  <si>
    <t>FIR No. 109, dated 9/11/20 , u/s PPS, P.S Miranshah, District NWA, FAFA</t>
  </si>
  <si>
    <t>Under Investigation (FATA)</t>
  </si>
  <si>
    <t>Orignal Complainat Irfan Ullah Expire and now Inam ullah s/o M.P carry the case</t>
  </si>
  <si>
    <t>FATA/NWA</t>
  </si>
  <si>
    <t>HRC No. 27092-S/ 2012</t>
  </si>
  <si>
    <t>Noshad s/o Saleh Muhammad</t>
  </si>
  <si>
    <t>Mst. Zeenab m/o Missing Person, r/o House No. K-543, Mohallah Haji Mureed Goth Firdous Colony, Gulbahar Karachi (Mobile No. 0323-3224681)</t>
  </si>
  <si>
    <t>FIR No.167 dt.01/10/2012 u/s 365/34 PPC PS Super Market, Diistrict Central Karachi.</t>
  </si>
  <si>
    <t>Khubab Rehman s/o Khial Rehman</t>
  </si>
  <si>
    <t>Khial Rehman f/o Missing Person, r/o Ambar Banda, Muhammad Zai, Tehsil &amp; Distt: Kohat.</t>
  </si>
  <si>
    <t>Traced Person. Returned to home as pointed out by SHO in his written report at the hearing on 29.4.14.</t>
  </si>
  <si>
    <t>Ramzan s/o Saleh Muhammad</t>
  </si>
  <si>
    <t>Saleh Muhammad f/o Missing Person, r/o Dink Kasar Dasht, Distt: Kech, Balochistan (Mobile No. 0324-8232102)</t>
  </si>
  <si>
    <t>FIR No.114/2013 u/s 365/392/148/149 PPC PS Turbat.</t>
  </si>
  <si>
    <t>Traced Person. DPO Turbat submitted report that Ramzan was murdered and his dead body was recovered on 20.8.2013 from Karachi.</t>
  </si>
  <si>
    <t>Abdul Waheed s/o Abdul Khaliq</t>
  </si>
  <si>
    <t>Abdul Khaliq f/o Missing Person, C/o Indus Laboratory, Larri Adda, Kala Bagh, Tehsil Essa Khel, Distt: Mianwali (Mobile No. 0343-4328060)</t>
  </si>
  <si>
    <t>FIR NIL--Occurrence took place in Orakzai Agency .Abdul Waheed is a Sepoy of Frontier Constabulary</t>
  </si>
  <si>
    <t>Deleted. Not a Case of Enforced Disappearances case disposed of vided detailed findings dated 24.5.16 as death compansation up Rs. 500,000/- paid to family.</t>
  </si>
  <si>
    <t>HRC No. 40607-K/ 2013</t>
  </si>
  <si>
    <t>Mian Syed Azim s/o Mian Syed Jaffar</t>
  </si>
  <si>
    <t>Mst. Qavi m/o Missing Person, r/o Kharerai, Chamgay, Tehsil Matta, Distt: Swat (Mobile No. 0344-2065945)</t>
  </si>
  <si>
    <t>FIR No.43 dt.17/01/2014 u/s 365 PPC PS/Matta District Swat.</t>
  </si>
  <si>
    <t>Traced Person. Confined in the Internment Centre, Lakki Marwat as reported by I.O of hearing on 17.4.14.</t>
  </si>
  <si>
    <t>Syed Ashfaq Hussain Shah s/o Syed Khadim Hussain Shah</t>
  </si>
  <si>
    <t>Syed Ali Raza Shah b/o Missing Person, r/o Wapda Colony, Quarter No.E-34, Guddu, Kashmore, Sindh (0306-3668141)</t>
  </si>
  <si>
    <t>43104-0564244-7</t>
  </si>
  <si>
    <t>Danish Aqeel Ansari s/o Aqeel Ahmed Ansari</t>
  </si>
  <si>
    <t>Muhammad Ali Ansari b/o Missing Person, r/o Pink Residency, R-3, Gulistan-e-Johar, Block-8, Karachi (Mobile No. 0333-2442213, 0300-2399939)</t>
  </si>
  <si>
    <t>FIR No.157 dt.22/3/2014 u/s 365 PPC PS Muslim Town,Lahore</t>
  </si>
  <si>
    <t>Qari-Wali-ur-Rehman s/o Saif-ur-Rehman</t>
  </si>
  <si>
    <t>Qari Najeeb-ur-Rehman r/o Chamkan, Post Box No. 173, Peshawar (Mobile No. 0334-8946943)</t>
  </si>
  <si>
    <t>Traced Person. Confined in the Internment Center Lakki Marwat as reported by Rep of MI at the hearing on 22.12.14.</t>
  </si>
  <si>
    <t>Taj Wali s/o Qandaray</t>
  </si>
  <si>
    <t>Qandaray f/o Missing Person, r/o Charsadda Road, Peshawar (Mobile No. 0302-8897963)</t>
  </si>
  <si>
    <t>Sikander Khan s/o Shahbaz Khan</t>
  </si>
  <si>
    <t>Muhammad Riaz Khan b/o Missing Person, r/o Pakhtoon Autos, Sohrab Goth Ali Town, Spare Parts Market, Shop No. C-36, Karachi (Mobile No. 0321-2797057)</t>
  </si>
  <si>
    <t>Traced Person. SWA reported at the hearing on 19.11.14 that Sikandar Khan has returned to home.</t>
  </si>
  <si>
    <t>Usman Ali s/o Sher Bhadur</t>
  </si>
  <si>
    <t>Jamal Shah r/o Datt Pani, Tehsil Matta, Distt: Swat (Mobile No. 0345-4698934)</t>
  </si>
  <si>
    <t>FIR No.310 dt.26/3/2014 u/s 365 PPC PPC PS Matta,District Swat</t>
  </si>
  <si>
    <t>Traced Person. Confined in the Internment Center Fizagat as intimated by Rep of MI at the hearing on 17.9.2014.</t>
  </si>
  <si>
    <t>Irfan s/o Sabaz Ali</t>
  </si>
  <si>
    <t>Sadam Hussain b/o Missing Person, r/o Matni Bazar, Shafat Gul Cosmetic Shop, Peshawar (Mobile No. 0335-9760874, 0345-9391673)</t>
  </si>
  <si>
    <t>FIR No.341 dt.09/04/2014 u/s 365 PPC PS Badaber District Peshawar</t>
  </si>
  <si>
    <t>Traced Person.  Confined in the Internment Center Lakki Marwat intimated by Rep of MI at the hearing on 12.12.2014.</t>
  </si>
  <si>
    <t>Israr Ahmed s/o Mohim Bahadur</t>
  </si>
  <si>
    <t>Farman Ali b/o Missing Person, r/o Mohallah Malikabad, Nangolai, Tehsil Kabal, Distt: Swat (Mobile No. 0344-9655120)</t>
  </si>
  <si>
    <t>Traced Person. Confined in the Internment Centre at Paitham as informed by Rep of MI at the hearing on 20.5.14.</t>
  </si>
  <si>
    <t>Sher Malik s/o Abdur Rehman</t>
  </si>
  <si>
    <t>Fazal-e-Malik s/o Abdur Rauf r/o Jamal Ghari, Gul Bahar Banda, Tehsil Katlang, Distt: Mardan (Mobile No. 0344-4715107)</t>
  </si>
  <si>
    <t>Traced Person. Sher Malik has been recovered by authorities concerned at the hearing on 8.5.2014.</t>
  </si>
  <si>
    <t>Suleman s/o Sher Malik</t>
  </si>
  <si>
    <t>Gul Rehman s/o Said Rehman</t>
  </si>
  <si>
    <t>Noor Rehman b/o Missing Person, r/o Quom Bezot, Tappa Betani, Sater Bezot, P.O. Feroz Khel, Tehsil Lower Orkazai Agency (Mobile No. 0347-2860348, 0334-8875368)</t>
  </si>
  <si>
    <t>Traced Person. Confined in the Internment Centre, at kohat as informed by Rep of MI at the hearing on 25.6.14.</t>
  </si>
  <si>
    <t>Shafiq Ullah s/o Said Rehman</t>
  </si>
  <si>
    <t>FIR NIL Occurrence took place in Orakzai Agency.</t>
  </si>
  <si>
    <t>Haji Gul Markhan s/o Mir Bach Khan</t>
  </si>
  <si>
    <t>Abdul Wahab Masood s/o Missing Person, r/o House No. F-25-B, Al-Asif Square Sohrab Goth, Karachi (Mobile No. 0300-4123878, 0343-1264462)</t>
  </si>
  <si>
    <t>Traced Person. Confined in the Internment Center Lakki Marwat as intimated by the concerned authorities at the hearing on 11.3.15</t>
  </si>
  <si>
    <t>Jafar Sadiq Khan s/o Bhadur Yar Khan Lodhi</t>
  </si>
  <si>
    <t>Fouzia Khan Lodhi sister of Missing Person, r/o House No. A-308, near Faizan Madrassah &amp; Akbar Public School, Shorai Kali, Purana Sakkhar (Mobile No. 0315-3422026)</t>
  </si>
  <si>
    <t>Traced Person. Returned to Home and available at (House No. A-308, near Faizan Madrassah &amp; Akbar Public School, Shorai Kali, Purana Sakkhar)</t>
  </si>
  <si>
    <t>Muhammad Shafiq s/o Ali Asghar</t>
  </si>
  <si>
    <t>Deen Akbar uncle of Missing Person, r/o Dheri Bandah, Dhodah Road, Kohat (Mobile No. 0344-8694279)</t>
  </si>
  <si>
    <t>Traced Person. Returned to home as reported by IB and statement recorded u/s 164 CrPC.</t>
  </si>
  <si>
    <t>Jabbar-ul-Hassan Kaliar s/o Mukhtar Ahmed Kaliar</t>
  </si>
  <si>
    <t>Anwar-ul-Hassan Kaliar b/o Missing Person, r/o Chak No. 13/W-B, P.O. Khas, Tehsil &amp; Distt: Vehari (Mobile No. 0314-3527814)</t>
  </si>
  <si>
    <t>FIR No. 634
 dt: 21-10-13
 u/s 365 PPC
 P.S. Saddar
 Vehari</t>
  </si>
  <si>
    <t>Traced Person. Dead body recovered and family of Jabbar-ul-Hassan recognized the dead body.</t>
  </si>
  <si>
    <t>Shahazada Jhangir Khaliq s/o Allama Abdul Khaliq</t>
  </si>
  <si>
    <t>Mst. Mumtaz Akhtar m/o Missing Person, r/o House No. 1/A Trust Colony, Circular Road near Agha Khan Laboratory, Bhawalpur (Mobile No. 0307-7398292, 0313-0007422)</t>
  </si>
  <si>
    <t>FIR No. 378
 dt: 9-10-04
 u/s 365 PPC
 P.S. Civil Lines
 Bahawalpur</t>
  </si>
  <si>
    <t>Ghulam Rasool s/o Umer Hayat</t>
  </si>
  <si>
    <t>Haji Muhammad Ilyas nephew of Missing Person, r/o Wandha Lalekhel, Muhammad Yarwala, P.O. Khas, Tehsil &amp; Distt: Mianwali (Mobile No. 0345-44099164, 0313-6052046)</t>
  </si>
  <si>
    <t>FIR No. 282
 dt: 18/12/2014
 u/s 365 PPC
 P.S. City,Quetta.</t>
  </si>
  <si>
    <t>Deleted. Not a case of enforced disappearance as Ghulam Rasool was kidnapped by unknown persons due to dispute over buriners.</t>
  </si>
  <si>
    <t>Muhammad Amir Iqbal s/o Abdul Ghaffar Khan</t>
  </si>
  <si>
    <t>Zafar Iqbal b/o Missing Person, r/o House No. TT-5, Askari Cemant Colony, Hassan Abdal, Wah Cantt (Mobile No. 0322-5299369, 0345-5612409)</t>
  </si>
  <si>
    <t>FIR No. 30
 dt: 30-1-14
 u/s 365 PPC
 P.S. Shalimar
 District: Islamabad</t>
  </si>
  <si>
    <t>Traced Person. Returned to home as confirmed by his brother Zafar Iqbal brother of Muhammad Amir Iqbal at the hearing on 9.4.2014.</t>
  </si>
  <si>
    <t>Muhammad Shoaib s/o Muhammad Khalid</t>
  </si>
  <si>
    <t>Aziz Khalid b/o Missing Person, r/o House No. 153, Block-C, Qadria Chowk, Peoples Colony No. 2, Faisalabad (Mobile No. 0300-8984565)</t>
  </si>
  <si>
    <t>FIR No. 1355
 dt: 27-12-13
 u/s 365 PPC
 P.S. Batala Colony
 District: Faisalabad</t>
  </si>
  <si>
    <t>Traced Person. Appeared before the Commission on 28.9.2015 and stated that he remained in confinement for 19 months.</t>
  </si>
  <si>
    <t>Abdul Kabir s/o Ghulam Shabbir</t>
  </si>
  <si>
    <t>Abdul Qadeer b/o Missing Person, r/o Shah Jeewna City, P.O. Khas, Tehsil &amp; Distt: Jhang (Mobile No. 0346-0601707, 0334-6300862)</t>
  </si>
  <si>
    <t>FIR No. 397
 dt: 16-11-12
 u/s 11-EE 
 P.S. Qadirpur
 District: Jhang</t>
  </si>
  <si>
    <t>Traced Person. Returned to home as stated by DSP/HQ Bannu as reported at the hearing on 25.9.2014.</t>
  </si>
  <si>
    <t>Muhammad Sohail s/o Muhammad Abrar</t>
  </si>
  <si>
    <t>Muhammad Abrar f/o Missing Person, r/o House No. 158, Gali No. 4, Bashir Colony, Sargodha (Mobile No. 0321-6029073, 0483217821)</t>
  </si>
  <si>
    <t>FIR No.171 dt.22/03/2014 u/s 365 PPC PS Model Town,Lahore</t>
  </si>
  <si>
    <t>Under Investigation (Punjab)
 Lahore</t>
  </si>
  <si>
    <t>Hafiz Hassan Akbar s/o Muhammad Akbar Shah</t>
  </si>
  <si>
    <t>Syed Adnan Akbar b/o Missing Person, House No. L-974, Gali No. 13, Dhok Khabbah, Rawalpindi (Mobile No. 0313-5384973, 0314-5276286)</t>
  </si>
  <si>
    <t>FIR No.206
 dt: 11/03/2014
 u/s 11 ATA-W-21/C,
  PS Airport
 Rawalpindi</t>
  </si>
  <si>
    <t>1678-K</t>
  </si>
  <si>
    <t>Ehsan Ullah s/o Khawas Khan</t>
  </si>
  <si>
    <t>Bashir Ahmed nephew of Missing Person, r/o Katlang Road, Dooran Abad, P.O. Mardan, Tehsil &amp; Distt: Mardan (Mobile No. 0312-0000030, 0333-9839252)</t>
  </si>
  <si>
    <t>16101-4830733-5</t>
  </si>
  <si>
    <t>FIR No.3 dt.03/01/2015 u/s 365/34 PPC PS Jabbar,Mardan</t>
  </si>
  <si>
    <t>UNWG MoFAs</t>
  </si>
  <si>
    <t>Bakhat Sher s/o Bakhat Buland</t>
  </si>
  <si>
    <t>Raham Zeb b/o Missing Person, r/o Daddhara, Tehsil/P.O. Kabal, Distt: Swat (Mobile No. 0346-5593703)</t>
  </si>
  <si>
    <t>15602-02613169-9</t>
  </si>
  <si>
    <t>Traced Person. Confined in the Internment Center Lakki Marwat as intimated by Rep of MI at the hearing on 17.9.2014.</t>
  </si>
  <si>
    <t>Zafar Ali s/o Muhammad Zubair</t>
  </si>
  <si>
    <t>Rehmat Ali b/o Missing Person, r/o Deolai, Tehsil Kabal, Distt: Swat (Mobile No. 0343-9306733)</t>
  </si>
  <si>
    <t>FIR No.71 dt.26/3/2014 u/s 365 PPC PS/Shah Dheri District Swat</t>
  </si>
  <si>
    <t>Anwar Zeb s/o Tootkay</t>
  </si>
  <si>
    <t>Muhammad Amin father-in-law of Missing Person, r/o Mohallah Sharifabad, Dherai, Mingora, Swat (Mobile No. 0333-3326798)</t>
  </si>
  <si>
    <t>1682-S 4992-S</t>
  </si>
  <si>
    <t>Iftikhar Ali s/o Khaista Bacha</t>
  </si>
  <si>
    <t>Anwar Ali b/o Missing Person, r/o Aligramah, Tehsil Kabal, Distt: Swat (Mobile No. 0345-9511236)</t>
  </si>
  <si>
    <t>FIR No.384 dt.20/11/2014 u/s 365/34 PPC PS/Sohrab Goth, District Malir East Karachi.</t>
  </si>
  <si>
    <t>Nadeem Baloch s/o Nabi Bakhsh</t>
  </si>
  <si>
    <t>31/4/2012</t>
  </si>
  <si>
    <t>Mst. Mehar Nigar Bibi, r/o Salar Compound, Bheempura, , Gulshan Masjid, Karachi (Mobile No. 0322-2492887, 0322-2495525)</t>
  </si>
  <si>
    <t>FIR No.81 dt.8/4/2014 u/s 365/34 PPC PS/Napier, District South Karachi.</t>
  </si>
  <si>
    <t>Traced Person. Returned to Home and available at (Salar Compound, Bheempura, , Gulshan Masjid, Karachi)</t>
  </si>
  <si>
    <t>Nawab Ali s/o Ghamay</t>
  </si>
  <si>
    <t>Khurshid uncle of Missing Person, r/o Village &amp; P.O. Shah Dehrai, Tehsil Kabal, Distt: Swat (Mobile No. 0345-9458281)</t>
  </si>
  <si>
    <t>FIR No.139 dt 09/6/2014 u/s 365PPC PS Shahdheri, District,Swat</t>
  </si>
  <si>
    <t>Traced Person. Confined in the Internment Center Paithom as intimated by Rep of MI at the hearing on 16.9.2014.</t>
  </si>
  <si>
    <t>Syed Muhammad Yawar Abbas Rizvi s/o Syed Ejaz Hussain Rizvi</t>
  </si>
  <si>
    <t>Syed Qamar Abbas Rizvi b/o Missing Person, r/o House No. G-6/6, Press Quarters, Ghousia Colony, Karachi (Mobile No. 0334-3691274)</t>
  </si>
  <si>
    <t>FIR No. 438 dt.18/12/2013
 u/s 365/34 PPC
 P.S. New Town District
 East Karachi</t>
  </si>
  <si>
    <t>Dead body Recovered</t>
  </si>
  <si>
    <t>Zubair Ahmed S/o Muhammad Usman</t>
  </si>
  <si>
    <t>Umair Ahmed b/o Missing Person, r/o House No. A-8/6, Gali No.13, 2nd Floor, Dehli Colony No. 1, Clifton, Karachi (Mobile No. 0300-2833975, 0345-3455787)</t>
  </si>
  <si>
    <t>FIR No. 30/2014
 u/s 365/34 PPC
 P.S. Friere
 South Karachi</t>
  </si>
  <si>
    <t>Deleted. The case has been considered at length at all forums including JIT, PTF and this Commission the facts of the case indicate that Zubair Ahmed was affiliated with MQM-A (London Group) and Unit In-Charge Dehli Colony. There is no occurrence to infer it to be a case of enforced disappearance. Hence, the case is closed.</t>
  </si>
  <si>
    <t>1687-s 4993-S</t>
  </si>
  <si>
    <t>Syed Karim-ud-Din s/o Nadeem Addoo</t>
  </si>
  <si>
    <t>Syed Waseem-ud-Din b/o Missing Person, r/o House No. 92, Sector 36-C, Korangi No. 5, East Karachi (Mobile No. 0302-2089577)</t>
  </si>
  <si>
    <t>FIR No. 45 dt.6/2/2014
 u/s 365/34 PPC
 P.S. Awami Colony,District
 East Karachi</t>
  </si>
  <si>
    <t>Traced Person. Returned to Home and available at (House No. 92, Sector 36-C, Korangi No. 5, East Karachi)</t>
  </si>
  <si>
    <t>1688-s 2223-S</t>
  </si>
  <si>
    <t>Sagheer Mehmood s/o Istaqbal Ahmed Siddque</t>
  </si>
  <si>
    <t>Mrs. Khursheed Jahan m/o Missing Person, r/o N-481, Sector 48/BN, Korangi 21/2, East Karachi (Mobile No. 0312-2973560)</t>
  </si>
  <si>
    <t>FIR No.156 dt.6/4/2014
 u/s 365/34 PPC
 P.S. Zaman Town,District
 East Karachi</t>
  </si>
  <si>
    <t>Muhammad Farhan s/o Muhammad Noman</t>
  </si>
  <si>
    <t>Muhammad Usman b/o Missing Person, r/o House No. A-69, Sector Y-1, Gulshan-e-Maymar, Karachi (Mobile No. 0345-2479591)</t>
  </si>
  <si>
    <t>FIR No.85 dt.4/6/2014
 u/s 365/34 PPC
 P.S/ Gulshan-e-Maamar,District Malir Karachi</t>
  </si>
  <si>
    <t>MoFAs No. 100044112</t>
  </si>
  <si>
    <t>Syed Qasim Ali s/o Syed Ali Shah</t>
  </si>
  <si>
    <t>Syed Qaim Ali Shah b/o Missing Person, r/o House No. A-9/04, Qasba Colony, S.I.T.E Town, West Karachi (Mobile No. 0313-2625517)</t>
  </si>
  <si>
    <t>FIR No.41 dt.19/3/2014
 u/s 365/34 PPC
 P.S/ Airport,District East Karachi</t>
  </si>
  <si>
    <t>Traced Person. Returned to Home and available at (House No. A-9/04, Qasba Colony, S.I.T.E Town, West Karachi)</t>
  </si>
  <si>
    <t>Shamshad Haider s/o Riaz Haider</t>
  </si>
  <si>
    <t>Mst. Najma Khatoon r/o House No. 56, Sector 1-D, Millatabad, Orangi Town, West Karachi (Mobile No. 0313-2630452)</t>
  </si>
  <si>
    <t>Mehboob Munir Hassain s/o Munir Hussain</t>
  </si>
  <si>
    <t>Amin Munir b/o Missing Person, r/o House No. B-9/46 behind Jacob Lines, Lines Area, Karachi (Mobile No. 0313-2219559)</t>
  </si>
  <si>
    <t>FIR No.25 dt.16/2/2014 u/s 365 PPC PS Brigade East Karachi</t>
  </si>
  <si>
    <t>Deleted. The case has been deleted due to non-prosecution as the Complainant neither extended co-operation to the investigation Officer nor attend hearings held on 03/10/2018.</t>
  </si>
  <si>
    <t>Muhammad Jawad Akhtar s/o Fakhur-ud-Din</t>
  </si>
  <si>
    <t>Kamran cousin of Missing Person, r/o House No. E-2/36, behind Jacob Line, Karachi (Mobile No. 0345-2667501)</t>
  </si>
  <si>
    <t>FIR No.222 dt,21/10/2014 u/s 365/34 PPC PS/Brigade East Karachi.</t>
  </si>
  <si>
    <t>Deleted. Due to non-Prosecution as Sindh Hiogh Court has already discharge of name in cp 1387/2014 vide dider dated 18-04-2016.</t>
  </si>
  <si>
    <t>Syed Ameer Ahmad Nizami s/o Syed Muhammad Ahmad Nizami</t>
  </si>
  <si>
    <t>Mst. Lubna Nizami sister of Missing Person, r/o House No. B-3/2, Tunisia Line, Karachi (Mobile No. 0321-2158802)</t>
  </si>
  <si>
    <t>FIR No.77 dt,25/4/2014 u/s 365/34 PPC PS/Brigade East Karachi.</t>
  </si>
  <si>
    <t>MoFAs No. 10004108</t>
  </si>
  <si>
    <t>Abdul Jabbar s/o Israr Ahmed</t>
  </si>
  <si>
    <t>Muhammad Ismail b/o Missing Person, r/o House No. C-19/25 near Barrack No. 24, Dehli Ground, Jutt Line, Karachi (Mobile No. 0323-2127125)</t>
  </si>
  <si>
    <t>Traced (Judicial Custody)</t>
  </si>
  <si>
    <t>1696-S 4988-S</t>
  </si>
  <si>
    <t>Ateeq-ur-Rehman s/o Abdul Rehman</t>
  </si>
  <si>
    <t>Amir Ateeq s/o Missing Person, r/o House No. 4/132, Liaquatabad, Karachi (Mobile No. 0313-2576209)</t>
  </si>
  <si>
    <t>FIR No.550 dt.21/10/2014 u/s 365/34 PPC PS Aziz Bhatti District East Karachi.</t>
  </si>
  <si>
    <t>MoFAs No. 10004139</t>
  </si>
  <si>
    <t>1697-S 1714-S</t>
  </si>
  <si>
    <t>Irshad @Mamoo s/o Zafar Iqbal</t>
  </si>
  <si>
    <t>Muhammad Babar b/o Missing Person, r/o House No. 17/19, Gali No. 1, Ghazi Nagar, Usmanabad, Lyari, Karachi (Mobile No. 0321-2635465)</t>
  </si>
  <si>
    <t>FIR No.80 dt.8/4/2014 u/s 365/34 PPC PS/Garden District South Karachi.</t>
  </si>
  <si>
    <t>1698 - P</t>
  </si>
  <si>
    <t>Muhammad Zubair s/o Muhammad Ajmal</t>
  </si>
  <si>
    <t>Muhammad Anwar uncle of Missing Person, r/o Jalla Jeem, PO &amp; Tehsil: Melsi, Distt: Vehari (Mobile No. 0300-4583380)</t>
  </si>
  <si>
    <t>FIR No.275 dt.14/4/2014 u/s 365 PPC PS Seetal Mari District Multan</t>
  </si>
  <si>
    <t>Traced Person. Returned to home. He appeared before the Commission on 25.4.2016. He could not give details of the episode.</t>
  </si>
  <si>
    <t>1699 - K</t>
  </si>
  <si>
    <t>HRC No. 38232-K/ 2010</t>
  </si>
  <si>
    <t>Rehmat Ullah s/o Izzat Ullah</t>
  </si>
  <si>
    <t>Mst. Meerah m/o Missing Person, r/o Taptakhti, P.O. Haveeda, Tehsil &amp; Distt: Bannu.</t>
  </si>
  <si>
    <t>FIR No.39 dt.31/1/2016 u/s 365 PPC PS/Haved District Bannu</t>
  </si>
  <si>
    <t>Traced Person. Returned to Home and available at (Taptakhti, P.O. Haveeda, Tehsil &amp; Distt: Bannu)</t>
  </si>
  <si>
    <t>1700 - K</t>
  </si>
  <si>
    <t>Noor Said s/o Khan Said</t>
  </si>
  <si>
    <t>Khan Said f/o Missing Person, r/o Barh Abbas Khel, Togh Saray, Tehsil &amp; Distt: Hangu (Mobile No. 0333-9297991, 0333-9361318)</t>
  </si>
  <si>
    <t>FIR No.201 dt.01/03/2012 u/s 365/342 PPC PS Paharipura,Peshawar</t>
  </si>
  <si>
    <t>1701-K</t>
  </si>
  <si>
    <t>HRC No. 2943-K/ 2014</t>
  </si>
  <si>
    <t>Tanveer Abbas s/o Bashir Ahmed</t>
  </si>
  <si>
    <t>Akhonzada Muzaffar Ali s/o Bashir Ahmed, r/o House No. 2951, Mohallah Nobajori, Church Road, Distt: Peshawar (Mobile No. 0321-5948155)</t>
  </si>
  <si>
    <t>12101-7755786-5</t>
  </si>
  <si>
    <t>FIR No. 74
 dt: 27-10-08
 u/s 365 PPC
 PS: City
 District: D.I.Khan</t>
  </si>
  <si>
    <t>1702 - B</t>
  </si>
  <si>
    <t>Laal Muhammad @ Rehmat Ullah s/o Said Khan</t>
  </si>
  <si>
    <t>Muhammad Ismail, r/o Kali Haji Ali, Akbar Caghi, Tehsil Dalbandeen, Distt: Chagi (Mobile No. 0305-3000230, 0336-8513339)</t>
  </si>
  <si>
    <t>1703 - I</t>
  </si>
  <si>
    <t>Shafique Ullah s/o Umer Zada</t>
  </si>
  <si>
    <t>Umer Zada f/o Missing Person, r/o Chara Gali, P.O. Bebior, Tehsil Dir, Distt Upper Dir (Mobile No. 0313-0944029, 0343-5091464)</t>
  </si>
  <si>
    <t>FIR No.181 dt.31/03/2014 u/s 365PPC PS Sabzi Mandi,Islamabad.</t>
  </si>
  <si>
    <t>Deleted. Not a case of enforced disappearance as he remained waking with Taliban.</t>
  </si>
  <si>
    <t>1704 - K</t>
  </si>
  <si>
    <t>Zain-ul-Abideen s/o Gul Bacha</t>
  </si>
  <si>
    <t>Zamir-ud-Din b/o Missing Person, r/o Village Majal Karodara, Tehsil Wari, Distt: Upper Dir (Mobile No. 0301-8194739, 0314-9456653)</t>
  </si>
  <si>
    <t>FIR No.242 dt.03/04/2014 u/s 365 PPC PS Khall District Dir Lower.</t>
  </si>
  <si>
    <t>Traced Person. Confined in the Internment Centre at Malakand as intimated at the hearing on 22.10.14 by the Rep of MI.</t>
  </si>
  <si>
    <t>1705 - K</t>
  </si>
  <si>
    <t>Afsar Khan s/o Gul Muhammad Khan</t>
  </si>
  <si>
    <t>Gul Muhammad Khan Sector No. F.10/1 Street No. 24 House No. 74, Islamabad (Mobile No. 0323-5566605, 0302-8914711)</t>
  </si>
  <si>
    <t>FIR No.288 dt.09/04/2014 u/s 365 PPC PS Agha Mir Jani Shah (Yakka Toot) Peshawar.</t>
  </si>
  <si>
    <t>1706 - I</t>
  </si>
  <si>
    <t>Baz Muhammad s/o Laal Said</t>
  </si>
  <si>
    <t>Jamshed Khan b/o Missing Person, r/o I-11/4, Kachi Abadi, c/o Afridi General Store, Islamabad (Mobile No. 0342 -8334803)</t>
  </si>
  <si>
    <t>FIR No.180 dt.31/3/2014 u/s 365 PPC PS/Sabzi Mandi,Islamabad.</t>
  </si>
  <si>
    <t>Traced Person. Confined in the Internment Centre. Ghalnai Mohmand Agency as informed at the hearing on 10.6.2014 by Rep of MI.</t>
  </si>
  <si>
    <t>1707 - K</t>
  </si>
  <si>
    <t>Asif Ali Shah s/o Noor Jahan Shah</t>
  </si>
  <si>
    <t>Shahid Ali Shah b/o Missing Person, r/o Gali No. 13, Police Colony, Koral Chowk, Islamabad (Mobile No. 0333-9727729, 0315-9727729)</t>
  </si>
  <si>
    <t>FIR No.13 dt.03/3/2013 u/s 365 PPC PS/Sadar,District Bannu.</t>
  </si>
  <si>
    <t>Traced Person. b/o of Missing Person has submitted that he met his brother in Internment Center, Paithom, Swat. Confinement also confirmed by Rep of MI.</t>
  </si>
  <si>
    <t>1708 - S</t>
  </si>
  <si>
    <t>Muzaffar Nazir s/o Nazir Ahmed</t>
  </si>
  <si>
    <t>Mst. Bushra Nazir m/o Missing Person, C/o Waqas:Itefaq Machinery Store, 86 Brandrath Road, Lahore (Mobile No. 0335-4033789, 0320-2046883)</t>
  </si>
  <si>
    <t>FIR No.34 dt.15/9/2014 u/s 365/34 PPC
 PS Railways,Karachi Cantt.,Karachi</t>
  </si>
  <si>
    <t>Traced Person. It was informed at the hearing on 25/04/2018 by Inspector Abdul Saboor that Muzaffar Nazir has returned to home and available at his home his statement is placed on record.</t>
  </si>
  <si>
    <t>1709 - K</t>
  </si>
  <si>
    <t>Inam Ullah s/o Sarad Ali Khan</t>
  </si>
  <si>
    <t>Shah Abdul Rahim b/o Missing Person, r/o Village Abbasa Khattak, Lakki Marwat, Dawood Khel, Zia Ullah, Lamaykhel Kacha, Distt: Mianwali (Mobile No. 0302-8987579)</t>
  </si>
  <si>
    <t>FIR No. 61
 dt: 13-2-2014
 u/s 365 PPC
 PS. Jungle Khel
 District: Kohat</t>
  </si>
  <si>
    <t>Traced Person. SP (Inv), Kohat has submitted that Inam Ullah is confined at Internment Center, Kohat. Family facilitated to see him.</t>
  </si>
  <si>
    <t>1710 - P</t>
  </si>
  <si>
    <t>Izzaj Khan s/o Muhammad Zarin</t>
  </si>
  <si>
    <t>Muhammad Zarin f/o Missing Person, r/o Ghalnai, Tehsil Upper Mohmand Agency (Mobile No. 0345-5953312)</t>
  </si>
  <si>
    <t>FIR No.341 dt.24/05/2014 u/s 365 PPC PS Banni District Rawalpindi</t>
  </si>
  <si>
    <t>Under Investigation (Punjab)
 Rwp</t>
  </si>
  <si>
    <t>1711 - P</t>
  </si>
  <si>
    <t>Mukhtar Ahmed S/o Rehmat Jan</t>
  </si>
  <si>
    <t>Rehmat Jan f/o Missing Person, r/o House No. 591, Janglat Road, Banni, Rawalpindi (Mobile No. 0346-5254137)</t>
  </si>
  <si>
    <t>FIR No.254 dt.17/04/2014 u/s 365 PPC PS Banni District Rawalpindi</t>
  </si>
  <si>
    <t>1712 - K</t>
  </si>
  <si>
    <t>Pervaiz Khan s/o Asad Khan</t>
  </si>
  <si>
    <t>Kamil Khan cousin of Missing Person, r/o Tokar Khel, Matni Kohat Road, Tehsil &amp; Distt: Peshawar (Mobile No. 0313-9196291)</t>
  </si>
  <si>
    <t>FIR No.77 dt.25/2/2015 u/s 365 PPC PS/Mattani District Peshawar.</t>
  </si>
  <si>
    <t>Traced Person. Returned to home as submitted in a categorie manner at the hearing on 7.9.2015.</t>
  </si>
  <si>
    <t>1713 - S</t>
  </si>
  <si>
    <t>HRC No. 46994-S /2013</t>
  </si>
  <si>
    <t>Adnan Gul s/o Mujahid Ali</t>
  </si>
  <si>
    <t>Mst. Naseem Gul m/o Missing Person, r/o Islamabad Phattak, Shahbaz Colony, Kumbhar Mohallah, Street No. 5, Hyderabad, Sindh (Mobile No. 0315-5664993, 0333-2655261)</t>
  </si>
  <si>
    <t>FIR No.40 dt.06/03/2014 u/s 365 PPC PS 365 PPC PS Phalili District Hyderabad.</t>
  </si>
  <si>
    <t>1714 - S 1697-S</t>
  </si>
  <si>
    <t>HRC No. 39481-S /2013</t>
  </si>
  <si>
    <t>Muhammad Irshad s/o Muhammad Anwar</t>
  </si>
  <si>
    <t>Muhammad Anwar f/o Missing Person, r/o Street No. 1, Gandhi Nagar H. No. 17/19 S-1, Siddique Wahab Road, Karachi (Mobile No. 0321-2635465)</t>
  </si>
  <si>
    <t>FIR No.80/2014 u/s 365/34 PPC PS Garden,South Karachi</t>
  </si>
  <si>
    <t>MoFAs No. 10004138</t>
  </si>
  <si>
    <t>1715 - S</t>
  </si>
  <si>
    <t>HRC No. 43521-S /2013</t>
  </si>
  <si>
    <t>Azeem Ali s/o Muhammad Ali</t>
  </si>
  <si>
    <t>Muhammad Ali f/o Missing Person, r/o House No. D-6/102, Steel Town, Karachi.</t>
  </si>
  <si>
    <t>Traced Person.Returned to Home and available at (House No. D-6/102, Steel Town, Karachi.)</t>
  </si>
  <si>
    <t>1716 - S</t>
  </si>
  <si>
    <t>HRC No. 32154-S /2013</t>
  </si>
  <si>
    <t>Sher Pao s/o Sare Khoon</t>
  </si>
  <si>
    <t>Sare Khoon f/o Missing Person, r/o Eddo Goth Pepri Bin Qasim, Malir, Karachi (Mobile No. 0336-6808390)</t>
  </si>
  <si>
    <t>FIR No.366 dt.21/9/2013 u/s 365/34 PPC,PS/Jamshed,East Karachi.</t>
  </si>
  <si>
    <t>Traced Person. Returned to Home an available at (Eddo Goth Pepri Bin Qasim, Malir, Karachi)</t>
  </si>
  <si>
    <t>1717 - S</t>
  </si>
  <si>
    <t>HRC No. 25795-S /2013</t>
  </si>
  <si>
    <t>Muhammad Azeem s/o Khanzada</t>
  </si>
  <si>
    <t>Gul Hassan b/o Missing Person, r/o Noor Muhammad Goth, New Sabzi Mandi, Super Highway, Karachi (Mobile No. 0312-2066697)</t>
  </si>
  <si>
    <t>Traced Person. Returned to Home and available at (Noor Muhammad Goth, New Sabzi Mandi, Super Highway, Karachi)</t>
  </si>
  <si>
    <t>1718 - S</t>
  </si>
  <si>
    <t>HRC No. 35374-S /2013</t>
  </si>
  <si>
    <t>Attaullah s/o Salaar Zameen</t>
  </si>
  <si>
    <t>Ghounchak m/o Missing Person, r/o House No. 38, Ajab Khan Colony, Karachi</t>
  </si>
  <si>
    <t>Traced Person. Returned to Home and available at (House No. 38, Ajab Khan Colony, Karachi)</t>
  </si>
  <si>
    <t>1719 - S</t>
  </si>
  <si>
    <t>HRC No. 44204-S /2013</t>
  </si>
  <si>
    <t>Bilal s/o Tariq</t>
  </si>
  <si>
    <t>Awaisullah Khan, r/o House No. E-22, Defence View Phase-II, Karachi (Mobile No. 0321-2428473)</t>
  </si>
  <si>
    <t>Traced Person. Returned to Home and available at (House No. E-22, Defence View Phase-II, Karachi)</t>
  </si>
  <si>
    <t>1720 - S</t>
  </si>
  <si>
    <t>Kashif s/o Akbar Iqbal</t>
  </si>
  <si>
    <t>1721 - S</t>
  </si>
  <si>
    <t>HRC No. 39279-S /2013</t>
  </si>
  <si>
    <t>Mukhtar s/o Ghulam Muhammad</t>
  </si>
  <si>
    <t>Mst. Rasheeda w/o Missing Person, r/o Ibrahim Hyderi, Jumma Goth, Soquarter, Korangi No. 5, Karachi (Mobile No. 0320-2056101)</t>
  </si>
  <si>
    <t>Traced Person. Returned to Home and available at (Ibrahim Hyderi, Jumma Goth, Soquarter, Korangi No. 5, Karachi)</t>
  </si>
  <si>
    <t>1722 - S</t>
  </si>
  <si>
    <t>HRC No. 20424-S /2013</t>
  </si>
  <si>
    <t>Nooran Gul</t>
  </si>
  <si>
    <t>Muhammad Ismail s/o Abdul Malik, r/o House No. C-73, Majeed Colony, Sector-II, Mohallah Gulbahar, Gali No. 2 Landhi Karachi (Mobile No. 0346-2225650, 0333-3197726)</t>
  </si>
  <si>
    <t>FIR No.247/2013 u/s 365/34 PPC PS Qaidabad Distric Karachi</t>
  </si>
  <si>
    <t>Deleted. The case has been deleted due to non-prosecution as the complainant neither extended co-operation to the Investigation Officer nor attended hearings in this Commission due to notices.</t>
  </si>
  <si>
    <t>1723 - S</t>
  </si>
  <si>
    <t>HRC No. 1230-S /2013</t>
  </si>
  <si>
    <t>Amir Ramzan s/o Muhammad Ramzan</t>
  </si>
  <si>
    <t>Muhammad Ramzan f/o Missing Person r/o House No. 129, Sector 5-F, New Karachi (Mobile No. 0300-3925796)</t>
  </si>
  <si>
    <t>Traced Person. Returned to Home and available at (House No. 129, Sector 5-F, New Karachi)</t>
  </si>
  <si>
    <t>1724 - S</t>
  </si>
  <si>
    <t>Nadeem Iqbal s/o Abdul Aziz</t>
  </si>
  <si>
    <t>Abdul Aziz f/o Missing Person r/o House No. 4, Gali No. 4, Sector 5-F, Rajput Colony, New Karachi (Mobile No. 0312-8430129)</t>
  </si>
  <si>
    <t>Traced Person. Returned to Home and available at ( House No. 129, Sector 5-F, New Karachi)</t>
  </si>
  <si>
    <t>1725 - S</t>
  </si>
  <si>
    <t>Shabab Hussain Zaidi s/o Syed Arbab Husaain Zaidi</t>
  </si>
  <si>
    <t>Syed Arbab Husaain Zaidi f/o Missing Person r/o House No. 1087, Sector 5B-1, North Karachi (Mobile No. 0321-2728348)</t>
  </si>
  <si>
    <t>Traced Person. Returned to Home and available at (House No. 1087, Sector 5B-1, North Karachi )</t>
  </si>
  <si>
    <t>1726 - S</t>
  </si>
  <si>
    <t>HRC No. 40344-S /2013</t>
  </si>
  <si>
    <t>Muhammad Ibrahim Sher s/o Abdul Haq Sher</t>
  </si>
  <si>
    <t>Abdul Haq Sher f/o Missing Person, r/o Sui Gas, Mohallah Kashmore (Mobile No. 0333-7362217, 0334-1830716)</t>
  </si>
  <si>
    <t>Traced Person. Appeared before the Commission on 20.9.2014.</t>
  </si>
  <si>
    <t>1727 - S</t>
  </si>
  <si>
    <t>HRC No. 490-S /2013</t>
  </si>
  <si>
    <t>Maulana Attaullah Sukkarvi s/o Maulana Muhammad Essa</t>
  </si>
  <si>
    <t>Amanullah b/o Missing Person, r/o Oliya Masjid, Nusrat Colony No. 5, Old Sukkhar, Taluka &amp; Distt: Sukkhar (Mobile No. 0313-3414745)</t>
  </si>
  <si>
    <t>FIR NIL (Place of Occurrence is Sukkar</t>
  </si>
  <si>
    <t>Deleted. The case has been closed as the complainant/ family of the alleged Missing Person do not attend hearing and not interested to pursue this case. JIT constituted in this case held a number of meetings and concluded that Mollana Attaullah Sukravi was not missing from the judication of District, Sukkur. No further action is required.</t>
  </si>
  <si>
    <t>1728 - S</t>
  </si>
  <si>
    <t>HRC No. 37687-S /2013</t>
  </si>
  <si>
    <t>Muhammad Ahmed s/o Muhammad Shafi</t>
  </si>
  <si>
    <t>Shahzad Shafi b/o Missing Person, r/o House No. 790, Gali No. 17, Mohallah Korangi, Crossing Sector A-30, Karachi (Mobile No. 0300-9216148)</t>
  </si>
  <si>
    <t>1729 - S</t>
  </si>
  <si>
    <t>HRC No. 25290-S /2013</t>
  </si>
  <si>
    <t>Atif s/o Muhammad Mansoor</t>
  </si>
  <si>
    <t>Erum Salahuddin sister of Missing Person, r/o Flat No. 8, Maryam Manzil, 3rd Floor, Gadi Chowk, Karachi.</t>
  </si>
  <si>
    <t>Traced Person. Returned to Home and available at (Flat No. 8, Maryam Manzil, 3rd Floor, Gadi Chowk, Karachi.)</t>
  </si>
  <si>
    <t>1730 - P</t>
  </si>
  <si>
    <t>HRC No. 348-S /2013</t>
  </si>
  <si>
    <t>Khalil Ahmed s/o Nisar Ahmed</t>
  </si>
  <si>
    <t>Nisar Ahmed f/o Missing Person, r/o Boys High School Road, Kot Ghulam Muhammad, , Distt: Mirpur Khas, Sindh (Mobile No. 0334-2959616)</t>
  </si>
  <si>
    <t>Traced Person. CTD Rawalpindi reported at the hearing on 28.10.14 that Khalil Ahmed has returned to home.</t>
  </si>
  <si>
    <t>1731 - P</t>
  </si>
  <si>
    <t>Ehsan-ur-Rehman s/o Nizam Din</t>
  </si>
  <si>
    <t>Nizam Din f/o Missing Person, r/o Usman Colony, Gali Pipan Wali, Sialkot Road, Gujranwala (Mobile No. 0332-3202327)</t>
  </si>
  <si>
    <t>FIR No. 165 dt. 15/4/2014 u/s 365 PPC, PS Shadman, Lahore</t>
  </si>
  <si>
    <t>Traced Person. Appeared before the Member in his chambers on 27.8.14 and confirmed that he returned on 8.8.14. No further details.</t>
  </si>
  <si>
    <t>1732 - P</t>
  </si>
  <si>
    <t>Muhammad Tariq s/o Nizam Din</t>
  </si>
  <si>
    <t>Nizam Din f/o Missing Person, r/o Usman Colony, Gali Pipan Wali, Sialkot, Gujranwala (Mobile No. 0332-3202327)</t>
  </si>
  <si>
    <t>1733 - S</t>
  </si>
  <si>
    <t>HRC No. 32059-S /2013</t>
  </si>
  <si>
    <t>Muhammad Asif s/o Roshan Din</t>
  </si>
  <si>
    <t>Roshan Din f/o Missing Person, r/o House No. G-12, Paras Raam Compound, Malir, Karachi, Postal Code: 75050 (Mobile No. 0312-2503514)</t>
  </si>
  <si>
    <t>Traced Person. P.S Malir City. Dead Body recovered and handed over to legal heirs.</t>
  </si>
  <si>
    <t>1734 - S</t>
  </si>
  <si>
    <t>HRC No. 47584-S /2013</t>
  </si>
  <si>
    <t>Muhamad Shahid s/o Muhammad Mustafa</t>
  </si>
  <si>
    <t>Muhammad Irshad Ansari b/o Missing Person, r/o House No. 22/11, Area 4-B, Landhi No. 6, Karachi (Mobile No. 0312-2065801)</t>
  </si>
  <si>
    <t>Traced Person.Returned to Home and available at (House No. 22/11, Area 4-B, Landhi No. 6, Karachi)</t>
  </si>
  <si>
    <t>1735 - S</t>
  </si>
  <si>
    <t>HRC No. 20245-S /2013</t>
  </si>
  <si>
    <t>Faisal Zohaib Shah s/o Zawakhir Shah</t>
  </si>
  <si>
    <t>Mst. Rihana Bibi m/o Missing Person, r/o Babar Market, near National Bank, Karachi</t>
  </si>
  <si>
    <t>Traced Person. Returned to Home and available at (Babar Market, near National Bank, Karachi)</t>
  </si>
  <si>
    <t>1736 - S</t>
  </si>
  <si>
    <t>HRC No. 42923-S /2013</t>
  </si>
  <si>
    <t>Mehar Bakhsh s/o Rahim Bakhsh Baloch Azad</t>
  </si>
  <si>
    <t>Qaim Ali b/o Missing Person, r/o Haroonia Masjid Road, near Mehboob Pan House, Magharbi Shah Baig Lane, Gali No. 11, Liyari, Block-C, Karachi (Mobile No. 0323-3373576)</t>
  </si>
  <si>
    <t>Traced Person. Returned to Home and available at Haroonia Masjid Road, near Mehboob Pan House, Magharbi Shah Baig Lane, Gali No. 11, Liyari, Block-C, Karachi</t>
  </si>
  <si>
    <t>1737 - S</t>
  </si>
  <si>
    <t>HRC No. 48622-S /2013</t>
  </si>
  <si>
    <t>Muhammad Rashid s/o Muhammad Amin</t>
  </si>
  <si>
    <t>Mst. Sarwari Begum m/o Missing Person, r/o House No. M/115, Malir, Muslimabad, Malir City, Karachi.</t>
  </si>
  <si>
    <t>Traced Person. Recovered (Presently on bail in Case FIR No. 258/13 a/s I-A Arms act)</t>
  </si>
  <si>
    <t>1738 - S</t>
  </si>
  <si>
    <t>HRC No. 41446-S /2013</t>
  </si>
  <si>
    <t>Saeed-ur-Rehman b/o Missing Person, r/o Sohrab Goth, Al-Asif Square, Junejo Colony, Nano Khail Market, Karachi (Mobile No. 0321-3858400)</t>
  </si>
  <si>
    <t>1739 - S</t>
  </si>
  <si>
    <t>HRC No. 10960-S /2013</t>
  </si>
  <si>
    <t>Mukhtar Ahmed s/o Allah Bakhsh Ranjha</t>
  </si>
  <si>
    <t>Mumtaz Hussain b/o Missing Person, r/o P.H.Q Garden, South Karachi (Mobile No. 0301-2725267)</t>
  </si>
  <si>
    <t>Traced Person. Returned to Home and available at (P.H.Q Garden, South Karachi.)</t>
  </si>
  <si>
    <t>1740 - S</t>
  </si>
  <si>
    <t>HRC No. 41229-S /2013</t>
  </si>
  <si>
    <t>Naveed s/o Muhammad Saleem</t>
  </si>
  <si>
    <t>Muhammad Saleem f/o Missing Person, r/o House No. 23, Zarina Manzil, Chand Bibi Road, Aslam Road, Karachi (Mobile No. 0306-2803522)</t>
  </si>
  <si>
    <t>Traced Person. Returned to Home and available at (House No. 23, Zarina Manzil, Chand Bibi Road, Aslam Road, Karachi)</t>
  </si>
  <si>
    <t>1741 - S</t>
  </si>
  <si>
    <t>HRC No. 5253-S /2014</t>
  </si>
  <si>
    <t>Nazeer s/o Bashir</t>
  </si>
  <si>
    <t>Bashir f/o Missing Person, r/o Goth Mureed Shakh, Tehsil Obaro, Distt: Ghotki (Mobile No. 0346-8015828)</t>
  </si>
  <si>
    <t>Closed (Due to In Complete Address)</t>
  </si>
  <si>
    <t>1742 - S</t>
  </si>
  <si>
    <t>HRC No. 8150-S /2012</t>
  </si>
  <si>
    <t>Muhammad Ullah s/o Haftay Khan</t>
  </si>
  <si>
    <t>Haftay Khan f/o Missing Person, r/o House No. 174, Gali No. 22, Kanwari Colony, Orangi Town, Karachi (Mobile No. 0342-2677607)</t>
  </si>
  <si>
    <t>1743 - S</t>
  </si>
  <si>
    <t>HRC No. 44582-S /2013</t>
  </si>
  <si>
    <t>Umer Farooq s/o Muhammad Shafi</t>
  </si>
  <si>
    <t>Mst. Hussna m/o Missing Person, r/o Flat No. 01, First Floor, Razzaq Manssion, Gali No. 4, Liaqat Colony, Mama Hotel, Nayaabad, Liyari, Karachi (Mobile No. 0323-2183018)</t>
  </si>
  <si>
    <t>Traced Person. Returned to Home and available at (Flat No. 01, First Floor, Razzaq Manssion, Gali No. 4, Liaqat Colony, Mama Hotel, Nayaabad, Liyari, Karachi)</t>
  </si>
  <si>
    <t>1744 - S</t>
  </si>
  <si>
    <t>Salman</t>
  </si>
  <si>
    <t>C/o Mst. Hussna w/o Muhammad Shafi, r/o Flat No. 01, First Floor, Razzaq Manssion, Gali No. 4, Liaqat Colony, Mama Hotel, Nayaabad, Liyari, Karachi (Mobile No. 0323-2183018)</t>
  </si>
  <si>
    <t>1745 - S</t>
  </si>
  <si>
    <t>Javed</t>
  </si>
  <si>
    <t>TracedPerson. Returned to Home and available at (Flat No. 01, First Floor, Razzaq Manssion, Gali No. 4, Liaqat Colony, Mama Hotel, Nayaabad, Liyari, Karachi)</t>
  </si>
  <si>
    <t>1746 - S</t>
  </si>
  <si>
    <t>HRC No. 2626-S /2014</t>
  </si>
  <si>
    <t>Abdul Salam s/o Mamekh</t>
  </si>
  <si>
    <t>Nawabzada b/o Missing Person, r/o Siddia Masjid, Mohallah Sharifabad, Abidabad, Baldia Town, Karachi (Mobile No. 0333-7096328)</t>
  </si>
  <si>
    <t>FIR NIL (Place of Occurrence is Karachi.</t>
  </si>
  <si>
    <t>Traced Person. Returned to Home and available at ( Siddia Masjid, Mohallah Sharifabad, Abidabad, Baldia Town, Karachi)</t>
  </si>
  <si>
    <t>1747 - P</t>
  </si>
  <si>
    <t>HRC No. 46171-P /2013</t>
  </si>
  <si>
    <t>Muhammad Arshed s/o Muhammad Said</t>
  </si>
  <si>
    <t>Mst. Taj Bibi w/o Missing Person, r/o Gai Kanjar, PS. Gand Singhwala, Tehsil &amp; Distt: Kasur (Mobile No. 0308-6813980, 0302-6811498)</t>
  </si>
  <si>
    <t>FIR No.147 dt.05/07/2010 u/s 365 PS Ganda Singh Wala District Kasur</t>
  </si>
  <si>
    <t>1748 - S</t>
  </si>
  <si>
    <t>HRC No. 38279-P /2013</t>
  </si>
  <si>
    <t>Abdul Shakoor s/o Noor Muhammad</t>
  </si>
  <si>
    <t>Noor Muhammad f/o Missing Person, r/o Mouza Ahmed Pur Tappa, Tehsil Ahmed Pur Sharqia, Distt: Bahawalpur.</t>
  </si>
  <si>
    <t>1749 - P</t>
  </si>
  <si>
    <t>HRC No. 21584-P /2013</t>
  </si>
  <si>
    <t>Muhammad Zahid Khosa s/o Abdul Majeed Khosa</t>
  </si>
  <si>
    <t>Abdul Majeed Khosa C/o Mushtaq Ahmed Khosa(Gardener), Government Agricultural Machinery Training School, Mouza Gadai Shumali, Distt: Dera Ghazi Khan. (Mobile No. 0331-7190678)</t>
  </si>
  <si>
    <t>FIR No.230 dt.03/7/2013 u/s 365 PPC PS Civil Lines District D.G.Khan</t>
  </si>
  <si>
    <t>Under Investigation (Punjab) D.G. Khan</t>
  </si>
  <si>
    <t>D.G. Khan</t>
  </si>
  <si>
    <t>1750 - S</t>
  </si>
  <si>
    <t>HRC No. 18215-P /2012</t>
  </si>
  <si>
    <t>Abdul Malik</t>
  </si>
  <si>
    <t>Abdul Khaliq s/o Missing Person, r/o Mouza Chichi Gujar, P.O. Konterala, Tehsil Gujar Khan, Rawalpindi.</t>
  </si>
  <si>
    <t>FIR No.481/2008 u/s 364 PPC PS Shara-e-Noor Jahan,Karachi</t>
  </si>
  <si>
    <t>Deleted not a Case of Enforced Disappearance. He was a Police Constable and the department has retired him from service.</t>
  </si>
  <si>
    <t>1751 - P</t>
  </si>
  <si>
    <t>HRC No. 28853-P /2013</t>
  </si>
  <si>
    <t>Kramat Ali s/o Fazal Din</t>
  </si>
  <si>
    <t>Muhammad Sabir b/o Missing Person, r/o Baqapur Janobi, P.O. Gahlan Hithar, Tehsil Chunian, Distt: Kasur (Mobile No. 0304-5776534)</t>
  </si>
  <si>
    <t>FIR No. 333
 dt: 15-11-13
 u/s 365 PPC
 PS. Gulshan-e- Iqbal
 Lahore</t>
  </si>
  <si>
    <t>Traced Person. Reported by Kramat Ali is confined in Kot Lakhpat Jail, Lahore hence no more a Missing Person.</t>
  </si>
  <si>
    <t>1752 - P</t>
  </si>
  <si>
    <t>HRC No. 47712-P /2013</t>
  </si>
  <si>
    <t>Muhammad Umair s/o Muhammad Ismail Chheena</t>
  </si>
  <si>
    <t>Muhammad Qasim Chheena b/o Missing Persons, r/o Village Gondlanwala, Distt: Gujranwala (Mobile No. 0344-8419102)</t>
  </si>
  <si>
    <t>Traced Person. CPO Gujranwala submitted at the hearing on 10.11.14 that Muhammad Umair is confined in District Jail.</t>
  </si>
  <si>
    <t>1753 - P</t>
  </si>
  <si>
    <t>HRC No. 36843-P /2013</t>
  </si>
  <si>
    <t>Ghulam Sibtain s/o Ghulam Rasool</t>
  </si>
  <si>
    <t>Ghulam Rasool f/o Missing Person, r/o Village Pulli Rehatkay, Tehsil Phalian, Distt: Mandi Bahauddin.</t>
  </si>
  <si>
    <t>FIR No. 226
 dt: 9-9-2013
 u/s 365 PPc
 PS. Paherianawali
 District: Mandi Bahauddin</t>
  </si>
  <si>
    <t>Traced Person. DPO Mandi Bahauddin submitted report at the hearing on 15.4.14 that dead body of Ghulam Sibtain recovered and buried.</t>
  </si>
  <si>
    <t>1754 - P</t>
  </si>
  <si>
    <t>HRC No. 6071-P /2014</t>
  </si>
  <si>
    <t>Saleem-ur-Rehman s/o Muhammad Ishaq</t>
  </si>
  <si>
    <t>Mst. Mana Bibi m/o Missing Person, r/o Chak No. 47 Libasan, Tehsil Patoki, Distt: Kasur.</t>
  </si>
  <si>
    <t>IR No.141 dt.15/04/2014 u/s365 PPC PS Serai Mughal District Kasur</t>
  </si>
  <si>
    <t>Deleted. Not a case of enforced dispperances rather that of gone on his own.</t>
  </si>
  <si>
    <t>1755 - P</t>
  </si>
  <si>
    <t>HRC No. 47361-P /2013</t>
  </si>
  <si>
    <t>Naqab Khan s/o Rehman Gul</t>
  </si>
  <si>
    <t>Rehman Gul f/o Missing Person, r/o House No. C/43, Sector-1, Khayaban Sir Syed, Rawalpindi (Mobile No. 0314-5283105)</t>
  </si>
  <si>
    <t>FIR No.327 dt.05/05/2014 u/s 365 PPC PS Pirwadhi District Rawalpindi</t>
  </si>
  <si>
    <t>1756 - P</t>
  </si>
  <si>
    <t>HRC No. 38107-P /2013</t>
  </si>
  <si>
    <t>Ijaz Ahmed s/o Muhammad Ashiq</t>
  </si>
  <si>
    <t>Mst. Miraj Bibi w/o Missing Person, r/o Mouza Jaimal, P.O. Roheela Baseer Pur, Tehsil Deepalpur, Distt: Okara (Mobile No. 0342-4928198, 0300-5091830)</t>
  </si>
  <si>
    <t>FIR No.222 dt.15/04/2014 u/s 365 PPC PS Basirpur District Okara</t>
  </si>
  <si>
    <t>Traced Person. Returned to Home and available at his home as informed at the hearing on 29.8.17 when he was also present submitted that he left house due to dispute.</t>
  </si>
  <si>
    <t>1757 - P</t>
  </si>
  <si>
    <t>HRC No. 27791-P /2013</t>
  </si>
  <si>
    <t>Mohsin Shahzad s/o Muzamil Hussain</t>
  </si>
  <si>
    <t>Mst. Rubina Shaheen m/o Missing Person, r/o Tehsil/P.O. Wazirabad, Distt: Gujranwala (Mobile No. 0322-4991040, 055-6600869)</t>
  </si>
  <si>
    <t>Traced Person. Confined in District Jail Multan after conviction by FGCM.</t>
  </si>
  <si>
    <t>1758 - P</t>
  </si>
  <si>
    <t>HRC No. 39157-P /2013</t>
  </si>
  <si>
    <t>Muhammad Usman @ Bhalo s/o Muhammad Ijaz</t>
  </si>
  <si>
    <t>Muhammad Ijaz f/o Missing Person, r/o House No. 159, Gali No. 8, Muhallah Islampura Dhulla, Distt: Gujranwala.</t>
  </si>
  <si>
    <t>Traced Person. CPO Gujranwala submitted that Muhammad Usman by confined in District Jail in case FIR No. 471/13 u/s 302/393 PPC.</t>
  </si>
  <si>
    <t>1759 - K</t>
  </si>
  <si>
    <t>HRC No. 9122-G /2013</t>
  </si>
  <si>
    <t>Muhammad Riaz s/o Arsala Khan</t>
  </si>
  <si>
    <t>Mst. Khaista Meena m/o Missing Person, r/o Toda Mela, Orakzai Agency (Mobile No. 0332-9535951, 0336-6609998)</t>
  </si>
  <si>
    <t>FIR No.124 dt.18/04/2014 u/s 365 PPC PS Bilitang District Kohat</t>
  </si>
  <si>
    <t>1760 - F</t>
  </si>
  <si>
    <t>HRC No. 22047-G /2013</t>
  </si>
  <si>
    <t>Irshad s/o Muhammad Jan</t>
  </si>
  <si>
    <t>Haneefullah Jan b/o Missing Person, r/o Tesco WAPDA Civil Colony, Khar, Bajor Agency (Mobile No. 0346-9852557)</t>
  </si>
  <si>
    <t>FATA Mohmand</t>
  </si>
  <si>
    <t>1761 - K</t>
  </si>
  <si>
    <t>HRC No. 46734-K /2013</t>
  </si>
  <si>
    <t>Yar Muhammad Khan s/o Muhammad Siddique</t>
  </si>
  <si>
    <t>Muhammad Siddique f/o Missing Person, r/o Kamal Bin Dhani, P.O. Mahandri, Tehsil Balakot, Distt: Mansehra (Mobile No. 0322-9213924)</t>
  </si>
  <si>
    <t>FIR No. 168
 dt: 11-10-13
 u/s 365 PPC
 P.S. Balakot
 District: Mansehra</t>
  </si>
  <si>
    <t>Deleted. Mr. Arif Javed, SP (Inv) Manshera has submitted that last meeting of the JIT was held on 1.10.2019 and the case has again been categorized as missing person has gone on his own. Complainant Muhammad Siddique has appeared whose statement has been recorded on oath. Perusal of the record clearly indicates that it is not case of enforced disappearance; therefore no further proceedings are required to be taken by the Commission.</t>
  </si>
  <si>
    <t>1762 - K</t>
  </si>
  <si>
    <t>HRC No. 5255-K /2014</t>
  </si>
  <si>
    <t>Asghar Muhammad s/o Muhabat Khan</t>
  </si>
  <si>
    <t>Mst. Niaz Bibi m/o Missing Person, r/o House No. 101, Mohallah Faqir Khel, Suleman Talab, Distt: Kohat.</t>
  </si>
  <si>
    <t>FIR No.239 dt.18/4/2014 u/s 365 PPC PS/Muhammad Riaz Shaheed District Kohat</t>
  </si>
  <si>
    <t>Traced Person. Confined in the Internment Centre, Kohat as intimated by Rep of MI at the hearing on 29.4.2014.</t>
  </si>
  <si>
    <t>1763 - K</t>
  </si>
  <si>
    <t>HRC No. 33482-K /2013</t>
  </si>
  <si>
    <t>Naveed s/o Said Rehman</t>
  </si>
  <si>
    <t>Said Rehman f/o Missing Person, r/o St: No1, Gul Bahar Colony, Kass Koroona, Postal Code: 23200, Mardan (Mobile No. 0300-5706660)</t>
  </si>
  <si>
    <t>FIR No.200 dt.22/5/2014 u/s 365 PPC PS Par Hoti, Mardan</t>
  </si>
  <si>
    <t>Traced Person. Internment Centre Lakki Marwat.</t>
  </si>
  <si>
    <t>1764 - K</t>
  </si>
  <si>
    <t>Tahir s/o Said Rehman</t>
  </si>
  <si>
    <t>FIR No.772 dt.23/9/2015 u/s 365 PPC PS Daudzai District Peshawar.</t>
  </si>
  <si>
    <t>1765 - K</t>
  </si>
  <si>
    <t>HRC No. 36985-K /2013</t>
  </si>
  <si>
    <t>Aziz Ullah s/o Muhammad Akram</t>
  </si>
  <si>
    <t>Mehr-un-Nisa w/o Missing Person, r/o Village Ghunda Zalo (Malagan), P/O Pezu, Tehsil &amp; Distt: Tank.</t>
  </si>
  <si>
    <t>FIR No.24 dt.17/04/2014 u/s 365 PPC,PS Gul Imam District Tank</t>
  </si>
  <si>
    <t>Traced Person. Confined in the Internment Centre. Lakki Marwat as informed by Rep of MI at the hearing on 11.3.14.</t>
  </si>
  <si>
    <t>1766 - K</t>
  </si>
  <si>
    <t>HRC No. 40862-K /2013</t>
  </si>
  <si>
    <t>Idrees s/o Nadir Khan</t>
  </si>
  <si>
    <t>Mst. Haseena Bibi m/o Missing Person, r/o Gul Bahar Colony, Tehsil Kabal, District Swat (Mobile No. 0302-8062160)</t>
  </si>
  <si>
    <t>Traced Person, Confined in the Internment Centre at Lakki Marwat as informed at the hearing on 27.5.2014.</t>
  </si>
  <si>
    <t>1767 - K</t>
  </si>
  <si>
    <t>HRC No. 36423-K /2012</t>
  </si>
  <si>
    <t>Wali Rehman s/o Ziarat Gul</t>
  </si>
  <si>
    <t>2011/2009</t>
  </si>
  <si>
    <t>Sani Gul b/o Missing Person, r/o Mam Dehrai, Tehsil Kabal, Distt: Swat (Mobile No. 0342-9425737 &amp; 0340-0914148).</t>
  </si>
  <si>
    <t>FIR No.430 dt.06/08/2013 u/s 365 PPC PS Kanju District Swat</t>
  </si>
  <si>
    <t>1768 - K</t>
  </si>
  <si>
    <t>HRC No. 1707-K /2014</t>
  </si>
  <si>
    <t>Fidaullah s/o Zahir Khan</t>
  </si>
  <si>
    <t>Mst. Iqbala m/o Missing Person, r/o Shah Dev Khas, Distt: Bannu.</t>
  </si>
  <si>
    <t>FIR No.100 dt.13/04/2014 u/s 365 PPC PS City,Bannu</t>
  </si>
  <si>
    <t>Traced Person. Confined in the Internment Center Kohat as informed at the hearing on 26.3.15 by Rep of MI .</t>
  </si>
  <si>
    <t>1769 - K</t>
  </si>
  <si>
    <t>HRC No. 17979-K /2013</t>
  </si>
  <si>
    <t>Abdul Akbar s/o Gul Sharif</t>
  </si>
  <si>
    <t>Mst. Shah Garan Bibi m/o Missing Person, r/o Sadbar Kali, Tehsil Samar Bagh, Distt: Dir Paien</t>
  </si>
  <si>
    <t>FIR No.285 dt.22/04/2014 u/s 365 PPC,PS Samar Bagh District Dir Lower</t>
  </si>
  <si>
    <t>Traced Person. Returned to home as informed at the hearing on 10.3.15. Did not furnish any details for obvious reasons.</t>
  </si>
  <si>
    <t>1770 - K</t>
  </si>
  <si>
    <t>Lal Sharif s/o Gul Sharif</t>
  </si>
  <si>
    <t>1771 - K</t>
  </si>
  <si>
    <t>Qari Abdul Qadoos s/o Gul Sharif</t>
  </si>
  <si>
    <t>1772 - K</t>
  </si>
  <si>
    <t>Ahmed Hayat s/o Gul Sharif</t>
  </si>
  <si>
    <t>1773 - K</t>
  </si>
  <si>
    <t>Abdul Bari s/o Gul Sharif</t>
  </si>
  <si>
    <t>1774 - K</t>
  </si>
  <si>
    <t>Qari Hamad s/o Gul Sharif</t>
  </si>
  <si>
    <t>1775 - K</t>
  </si>
  <si>
    <t>HRC No. 19855-B /2013</t>
  </si>
  <si>
    <t>Azam Din s/o Peer Zadin</t>
  </si>
  <si>
    <t>Mst. Karim Jana Bibi m/o Missing Person, r/o Tappa Sher Khel, Sarah Garhi, Upper Orakzai Agency, Present Address: Itehad Colony, Naway Kalay, Kohat (Mobile No. 0333-2652812, 0336-0921058)</t>
  </si>
  <si>
    <t>FIR No.225 dt.18/04/2014 u/s 365 PPC,PS/Cantt.,Kohat.</t>
  </si>
  <si>
    <t>Traced Person. Confined in the Internment Centre, Lakki Marwat as informed at the hearing on 29.4.14 by Rep of MI.</t>
  </si>
  <si>
    <t>1776 - P</t>
  </si>
  <si>
    <t>HRC No. 34191-B /2012</t>
  </si>
  <si>
    <t>Syed Matiullah Shah s/o Syed Samiullah Shah</t>
  </si>
  <si>
    <t>Mst. Bibi Sultan m/o Missing Person, r/o Khan Darbar, Tehsil &amp; Distt: Hangu (Mobile No. 0333-9882818)</t>
  </si>
  <si>
    <t>FIR No.1014 dt.12/11/2012 u/s 365 PPC PS/Sadiqabad,Rawalpindi.</t>
  </si>
  <si>
    <t>Traced Person. CPO Rawalpindi confirmed at the hearing on 7.5.14 that Syed Matiullah Shah has come back to home.</t>
  </si>
  <si>
    <t>1777 - K</t>
  </si>
  <si>
    <t>HRC No. 48470-K /2013</t>
  </si>
  <si>
    <t>Bakhat Mand Khan r/o Dooran</t>
  </si>
  <si>
    <t>Mst. Sultana w/o Missing Person, r/o Foladay, Doshay, Manglore Region, Distt: Swat (Mobile No. 0342-8873033)</t>
  </si>
  <si>
    <t>FIR No.104 dt.09/04/2014 u/s 365 PPC PS Manglawar District Swat</t>
  </si>
  <si>
    <t>Traced Person. Confined in the Internment Center Kohat as informed at the hearing on 17.2.14 by Rep of MI.</t>
  </si>
  <si>
    <t>1778 - K</t>
  </si>
  <si>
    <t>HRC No. 35585-K /2013</t>
  </si>
  <si>
    <t>Shafique Ahmed s/o Ahmed Saeed</t>
  </si>
  <si>
    <t>Ahmed Saeed f/o Missing Person, r/o Fazalabad, Deolai, Tehsil Kabal, Distt: Swat (Mobile No. 0345-0555566, 0346-941463)</t>
  </si>
  <si>
    <t>FIR No.80 dt.80 dt.16/04/2014 u/s 365/34 PPC PS Shah Dheri District Swat</t>
  </si>
  <si>
    <t>1779 - S</t>
  </si>
  <si>
    <t>HRC No. 1352-K /2014</t>
  </si>
  <si>
    <t>Ehsan Ullah s/o Shah Dooran</t>
  </si>
  <si>
    <t>r/o, Telegram Baddar, Tehsil Char Bahg, District Swat.</t>
  </si>
  <si>
    <t>1780 - K</t>
  </si>
  <si>
    <t>HRC No. 24792-K /2013</t>
  </si>
  <si>
    <t>Muhammad Sabir s/o Fazal Qadir</t>
  </si>
  <si>
    <t>Mst. Husan Zeba m/o Missing Person, r/o Village Toheed Abad, Qambar, Tehsil Babozai, Distt: Swat (Mobile No. 0333-9483663, 0946-726067)</t>
  </si>
  <si>
    <t>FIR No.518 dt.25/7/2015 u/s 365 PPC PS Rahimabad, District Swat</t>
  </si>
  <si>
    <t>1781 - S</t>
  </si>
  <si>
    <t>HRC No. 40765-K /2012</t>
  </si>
  <si>
    <t>Muhammad Shair s/o Habib Ullah Khan</t>
  </si>
  <si>
    <t>Muhammad Tayyab b/o Missing Person, r/o Dhok Subedar Alam Din, Village Siyab, P.O. Gambat, Distt: Kohat (Mobile No. 0345-9860458)</t>
  </si>
  <si>
    <t>Daily Diary Report No.4 dated 04/06/2000 PS Aziz Bhatti,Karachi.</t>
  </si>
  <si>
    <t>Deleted. Due to incomplete address.</t>
  </si>
  <si>
    <t>1782 - K</t>
  </si>
  <si>
    <t>HRC No. 46686-K /2013</t>
  </si>
  <si>
    <t>Hafiz Gul Zaman s/o Mir Zaman</t>
  </si>
  <si>
    <t>Mst. Khawazna Bibi m/o Missing Person, r/o Pathan Kot, Tehsil &amp; Distt: Tank (Mobile No. 0343-9295456)</t>
  </si>
  <si>
    <t>Traced Person. Expired due to heart attack at Internment Centre, Kohat. Dead body received by legal heirs.</t>
  </si>
  <si>
    <t>1783 - K</t>
  </si>
  <si>
    <t>HRC No. 18806-K /2013</t>
  </si>
  <si>
    <t>Hafiz Naveed Ullah s/o Ubaid Ullah</t>
  </si>
  <si>
    <t>Ubaid Ullah Khan f/o Missing Person, r/o Billi Tang, Kohat (Mobile No. 0336-7639686)</t>
  </si>
  <si>
    <t>FIR No.441 dt.16/09/2013 u/s 365 PPC PS Bilitang District Kohat</t>
  </si>
  <si>
    <t>1784 - K</t>
  </si>
  <si>
    <t>HRC No. 30617-K /2013</t>
  </si>
  <si>
    <t>Muhammad Waqas s/o Haji Mumtaz Khan</t>
  </si>
  <si>
    <t>Mst. Hussan Pari m/o Missing Person, r/o Gali Loharanwali, Mohallah Medanwala, Tank City</t>
  </si>
  <si>
    <t>FIR No.73 dt.16/04/2014 u/s 365 PPC,PS City,Tank</t>
  </si>
  <si>
    <t>Traced Person. Returned to home statement recorded u/s 164 CrPC.</t>
  </si>
  <si>
    <t>1785 - K</t>
  </si>
  <si>
    <t>HRC No. 48462-K /2013</t>
  </si>
  <si>
    <t>Mian Said Karim s/o Abdul Rauf</t>
  </si>
  <si>
    <t>Bakhat Aleem s/o Missing Person, r/o Islampur, P.O. Saidu Shareef, Distt: Swat (Mobile No. 0324-9829696, 0342-9860877)</t>
  </si>
  <si>
    <t>FIR No. 72 dated 31/3/2008 u/s 365-PPC PS Saidu Sharif District Swat</t>
  </si>
  <si>
    <t>1786 - K</t>
  </si>
  <si>
    <t>HRC No. 33575-K /2013</t>
  </si>
  <si>
    <t>Shams-ul-Abideen s/o Zain-ul-Abideen</t>
  </si>
  <si>
    <t>Mst. Shahnaz Bibi m/o Missing Person, r/o Gulberg Colony Awami Road, Nawan Sher, Abbottabad (Mobile No. 0302-8014356)</t>
  </si>
  <si>
    <t>Traced Person. Confined in the Internment Centre, Kohat as confirmed by his brother at well on 22.9.2015.</t>
  </si>
  <si>
    <t>1787 - K</t>
  </si>
  <si>
    <t>HRC No. 46690-K /2013</t>
  </si>
  <si>
    <t>Abdul Wali s/o Abdul Hassan</t>
  </si>
  <si>
    <t>Mst. Sakina Bibi m/o Missing Person, r/o Saidu Shareef, Distt: Swat (Mobile No. 0346-7394842)</t>
  </si>
  <si>
    <t>FIR No.192 dt.16/4/2014 u/s 365 PPC PS/Mingora,District Swat</t>
  </si>
  <si>
    <t>Traced Person. Confined in the Internment Centre, Lakki Marwat as informed by Rep of MI at the hearing on 21.5.14</t>
  </si>
  <si>
    <t>1788 - K</t>
  </si>
  <si>
    <t>HRC No. 36962-K /2012</t>
  </si>
  <si>
    <t>Ameer Alam Khan s/o Madeen Siraj</t>
  </si>
  <si>
    <t>Mst. Raheela Bibi w/o Missing Person, r/o Nangolai, Distt: Swat (Mobile No. 0342-9822993, 0302-8065261)</t>
  </si>
  <si>
    <t>FIR No.130 dt.15/4/2014 u/s 365 PPC PS Kanju,District Swat</t>
  </si>
  <si>
    <t>1789 - F</t>
  </si>
  <si>
    <t>HRC No. 21069-K /2013</t>
  </si>
  <si>
    <t>Ismail s/o Zar Khan</t>
  </si>
  <si>
    <t>Khushal Khan s/o Hazrat Khan, r/o Teerah Aab, Chotha Nehar, Shahpur Kohat (Mobile No. 0332-9819666)</t>
  </si>
  <si>
    <t>Traced Person. Returned to home. Statement recorded u/s 164 CrPC in the meeting of JIT on 30.8.2015.</t>
  </si>
  <si>
    <t>1790 - S</t>
  </si>
  <si>
    <t>HRC No. 35761-P /2013</t>
  </si>
  <si>
    <t>Kalo Khan s/o Tawakal Khan</t>
  </si>
  <si>
    <t>Tawakal Khan f/o Missing Person, C/o Barkat Khan Jakharni, Goth Meer Wahi, P.S. Malgzar, Domki, Distt: Jafarabad (Mobile No. 0305-5222170)</t>
  </si>
  <si>
    <t>1791 - K</t>
  </si>
  <si>
    <t>HRC No. 3032-K /2014</t>
  </si>
  <si>
    <t>Afsar Nabi s/o Sharif Ullah</t>
  </si>
  <si>
    <t>C/o Nisar Ahmed s/o Suleman(Ex-Nazim), r/o Meerah Martong, Distt: Shangala (Mobile No. 0300-8193371, 0346-9866611)</t>
  </si>
  <si>
    <t>Traced Person. Confined in the Internment Centre, Kohat as informed by Rep of MI at the hearing on 25.6.2014. Family facilitated to meet him.</t>
  </si>
  <si>
    <t>1792 - K</t>
  </si>
  <si>
    <t>Ziaullah s/o Siraj-ud-Din</t>
  </si>
  <si>
    <t>1793 - K</t>
  </si>
  <si>
    <t>Hazir Zada s/o Aziz-ur-Rehman</t>
  </si>
  <si>
    <t>1794 - K</t>
  </si>
  <si>
    <t>Sabehin s/o Abul Sattar</t>
  </si>
  <si>
    <t>1795 - K</t>
  </si>
  <si>
    <t>Muhammad Iqbal s/o Zalehin</t>
  </si>
  <si>
    <t>1796 - K</t>
  </si>
  <si>
    <t>Ilyas Khan s/o Motabar Khan</t>
  </si>
  <si>
    <t>1797 - K</t>
  </si>
  <si>
    <t>Gul Noor Khan</t>
  </si>
  <si>
    <t>1798 - K</t>
  </si>
  <si>
    <t>Basharam Khan</t>
  </si>
  <si>
    <t>1799 - K</t>
  </si>
  <si>
    <t>Fojune s/o Sher Nawaz Khan</t>
  </si>
  <si>
    <t>1800 - K</t>
  </si>
  <si>
    <t>Naseeb Rodeen s/o Afreen</t>
  </si>
  <si>
    <t>1801 - S</t>
  </si>
  <si>
    <t>HRC No. 25522-S /2013</t>
  </si>
  <si>
    <t>Habibullah s/o Rashad</t>
  </si>
  <si>
    <t>Mst. Bakhat Kamal Bibi m/o Missing Person, r/o Mohallah Mominabad, Orangi Town, Sector 4-F, West Karachi (Mobile No. 0301-8576378, 0344-5328008)</t>
  </si>
  <si>
    <t>FIR No.570 dt.10/11/2014 u/s 365/34 PPC PS/Site,Karachi.</t>
  </si>
  <si>
    <t>Traced Person. Rep of MI submitted that Missing Person is Confined at Internment Center Paithom.</t>
  </si>
  <si>
    <t>1802 - K</t>
  </si>
  <si>
    <t>HRC No. 20491-K /2013</t>
  </si>
  <si>
    <t>Naseem Ahmed s/o Nisar Ahmed</t>
  </si>
  <si>
    <t>Mst. Gulshan Bibi w/o Missing Person, r/o Pidhana, Tehsil &amp; Distt: Haripur.</t>
  </si>
  <si>
    <t>D.D. Report No. 11, dt. 1/9/2014 PS Nowshera Canntt District Nowshera</t>
  </si>
  <si>
    <t>Deleted. Declared as Army deserter by autorities concerned after completion of required formalities.</t>
  </si>
  <si>
    <t>1803 - K</t>
  </si>
  <si>
    <t>HRC No. 12524-K /2013</t>
  </si>
  <si>
    <t>Bakhat Zaman s/o Kachkol</t>
  </si>
  <si>
    <t>Kachkol f/o Missing Person, r/o Kori Piya. P.O. Fatehpur, Postal Code: 19020, Distt: Swat.</t>
  </si>
  <si>
    <t>FIR No.417
 dt: 27/07/2013
 u/s 365 PPC
 P.S. Khurshid Khan Shaheed, District Swat</t>
  </si>
  <si>
    <t>1804-K</t>
  </si>
  <si>
    <t>HRC No. 38132-K /2012</t>
  </si>
  <si>
    <t>Noorullah Khan s/o Spain Gul</t>
  </si>
  <si>
    <t>Faizullah Khan s/o Aqil Khan, r/o Char Garhi, Dakhila Shahpur, Distt: Kohat</t>
  </si>
  <si>
    <t>FIR No.241 dt.18/04/2014 u/s 365 PPC PS MRS District Kohat</t>
  </si>
  <si>
    <t>Traced Person. Confined in the Internment Center Kohat as reported in behalf of SP (Inv) Kohat on 14.4.2016.</t>
  </si>
  <si>
    <t>1805-K</t>
  </si>
  <si>
    <t>HRC No. 38305-K /2013</t>
  </si>
  <si>
    <t>Fazal Ghani s/o Muhammad Mokh</t>
  </si>
  <si>
    <t>Mst. Khatma Bibi w/o Missing Person, r/o Village Nawekalay, Tehsil Barikot, Distt: Swat (Mobile No. 0345-5745796)</t>
  </si>
  <si>
    <t>FIR No.91 dt.29/01/2015 u/s 365 PPC PS/City,Mardan</t>
  </si>
  <si>
    <t>Under Investigation (KP)
 Mardan</t>
  </si>
  <si>
    <t>1806 - K</t>
  </si>
  <si>
    <t>HRC No. 38300-G /2013</t>
  </si>
  <si>
    <t>Abdullah s/o Muhammad Iqbal</t>
  </si>
  <si>
    <t>Mst. Zulfa Jan Bibi m/o Missing Person, r/o Tappa Darvi Khel Kasha, P.O. Shaho Khel, Tehsil Central, Distt: Orakzai Agency (Tel No. 0925-554723)</t>
  </si>
  <si>
    <t>FIR No.252 dt.22/04/2014 u/s 365 PPC PS MRS District Kohat</t>
  </si>
  <si>
    <t>Traced Person. Confined in the Internment Center Kohat at reported by Rep of MI at the hearing on 22.3.2017.</t>
  </si>
  <si>
    <t>1807 - K</t>
  </si>
  <si>
    <t>HRC No. 6058-G /2013</t>
  </si>
  <si>
    <t>Muhammad Attique s/o Sher Muhammad</t>
  </si>
  <si>
    <t>Mst. Samra Bibi m/o Missing Person, r/o Ibrahimo Mushti Mela, Orakzai Agency (Mobile No. 0336-9528852)</t>
  </si>
  <si>
    <t>FIR No.308 dt.14/5/2014 u/s 365 PPC,PS/MRS,Kohat</t>
  </si>
  <si>
    <t>Traced Person. Returned to home. Statement recorded u/s 164 CrPC. He had gone to Karachi at his own.</t>
  </si>
  <si>
    <t>1808 - K</t>
  </si>
  <si>
    <t>HRC No. 14784-K /2013</t>
  </si>
  <si>
    <t>Abdul Karim s/o Zar Khan</t>
  </si>
  <si>
    <t>Zar Khan f/o Missing Person, r/o Village Kot Kat, Tehsil &amp; Distt: Tank.</t>
  </si>
  <si>
    <t>FIR No.276 dt.10/06/2013 u/s 365 PPC,PS Shaheed Mureed Akbar,Tank</t>
  </si>
  <si>
    <t>Traced Person. Confined in the Internment Centre Lakki Marwat as informed at the hearing on 8.10.15.</t>
  </si>
  <si>
    <t>1809-K</t>
  </si>
  <si>
    <t>Kashif Iqbal s/o Farman Ali</t>
  </si>
  <si>
    <t>Farman Ali f/o Missing Person, r/o Pani Kalan, P.O, Takhat Bhai, Distt: Mardan (Mobile No. 0313-8402097)</t>
  </si>
  <si>
    <t>FIR No.1 dt.02/01/2015 u/s 365 PPC PS Takhat Bhai,Mardan</t>
  </si>
  <si>
    <t>1810 - B</t>
  </si>
  <si>
    <t>Nadir (Advocate) s/o Abdul Nabi</t>
  </si>
  <si>
    <t>Abdul Nabi f/o Nadir (Missing Person), r/o Bolan Medical College, Labor Colony Quetta, Balochistan</t>
  </si>
  <si>
    <t>Traced Person. SP (Inv) Saddar, Quetta submitted report that Nadir was present at his home and no one abducted him.</t>
  </si>
  <si>
    <t>1811 - B</t>
  </si>
  <si>
    <t>Master Mehrab Baloch</t>
  </si>
  <si>
    <t>r/o Village Kalatuk, Distt: Kech, Balochistan</t>
  </si>
  <si>
    <t>FIR No.1 dt.01/01//2014 u/s 365 PPC PS/Satellite Town,Quetta.</t>
  </si>
  <si>
    <t>1812 - K</t>
  </si>
  <si>
    <t>Abdul Aziz s/o Abdul Jaleel</t>
  </si>
  <si>
    <t>Mst. Shadeeba w/o Missing Person, r/o Tappa Ghairat Khel, Village Saam Lower, Orakzai Agency (Mobile No. 0345-3996084, 0925-580380)</t>
  </si>
  <si>
    <t>FIR No.154 dt.30/04/2014 u/s 365 PPC PS West Cantt.,Peshawar</t>
  </si>
  <si>
    <t>1813 - F</t>
  </si>
  <si>
    <t>Muhammad Siddique s/o Noor Rehman</t>
  </si>
  <si>
    <t>Mst. Minhaja Bibi w/o Missing Person, r/o Sama Bazar, Orakzai Agency, Present Address: KTM Mills, Kohat (Mobile No. 0333-9636753)</t>
  </si>
  <si>
    <t>Traced Person. Confined in the Internment Centre, Kohat as informed at the hearing on 25.6.14. Family facilitated to see him.</t>
  </si>
  <si>
    <t>1814 - F</t>
  </si>
  <si>
    <t>Hamza Noor s/o Motabar Khan</t>
  </si>
  <si>
    <t>Gul Jabbar Khan uncle of Missing Person, C/o Madina Arms Dealer, Beron Lakki Gate, Bannu (Tel No. 092-8300693)</t>
  </si>
  <si>
    <t>Traced Person. Returned to home. Statement recorded u/s 164 CrPC. Father also confirmed at the hearing on 25.9.14.</t>
  </si>
  <si>
    <t>1815 - K</t>
  </si>
  <si>
    <t>Amin-ul-Haq s/o Fazal Khaliq</t>
  </si>
  <si>
    <t>Fazal Khaliq f/o Missing Person, r/o Village Dolat Pura, Distt: Charsadda (Mobile No. 0346-9063720, 0308-5980351)</t>
  </si>
  <si>
    <t>FIR No.192 dt.30/4/2014 u/s 365 PPC PS Batgram District Charsadda</t>
  </si>
  <si>
    <t>Closed. At the hearing on 25/04/2019 Sp (Inv) Charsadda submitted that according to version of brothers of the Missing Person none of the family members lodged any report with the Commission of Inquiry. According to the case is closed through the statement is factually incorrect.</t>
  </si>
  <si>
    <t>1816 - K</t>
  </si>
  <si>
    <t>HRC No. 42401- K/2013</t>
  </si>
  <si>
    <t>Khanay s/o Jamrooz</t>
  </si>
  <si>
    <t>Ali Bahadur s/o Missing Person, r/o Totano Bandi, Tehsil Kabal, Distt: Swat (Mobile No. 0341-5377317)</t>
  </si>
  <si>
    <t>Traced Person. Returned to home as confirmed by SP (Inv) Swat at the hearing on 20.5.2014.</t>
  </si>
  <si>
    <t>1817 - P</t>
  </si>
  <si>
    <t>HRC No. 28957-P /2013</t>
  </si>
  <si>
    <t>Dil Nawaz Khan s/o Gul Muhammad</t>
  </si>
  <si>
    <t>Traced Person. Samar Khan b/o both Dil Nawaz Khan and Mohsin Khan confirmed that they have returned to home.</t>
  </si>
  <si>
    <t>1818 - P</t>
  </si>
  <si>
    <t>Mohsin Khan</t>
  </si>
  <si>
    <t>Sanar Khan uncle of Missing Person, r/o House No. 181, Gali No. 19, Sector-II, Samar Zar Colony, Adyala Road, Rawalpindi (Mobile No. 0312-7795777)</t>
  </si>
  <si>
    <t>1819 - K</t>
  </si>
  <si>
    <t>HRC No. 39417- K/2013</t>
  </si>
  <si>
    <t>Adil s/o Maqbool Khan</t>
  </si>
  <si>
    <t>Maqbool Khan f/o Missing Person, r/o Hassu Khel, Tehsil Mir Ali, Distt: North Waziristan Agency. (Mobile No of Represntative of Complanent. 0333-9994959 &amp; 0331-5045851)</t>
  </si>
  <si>
    <t>FIR No.29 dt.08/05/2014 u/s 365 PPC PS Bakka Khel District Bannu</t>
  </si>
  <si>
    <t>1820- K</t>
  </si>
  <si>
    <t>HRC No. 12469- K/2013</t>
  </si>
  <si>
    <t>Fazal Ghani s/o Malik Muhammad Rehan</t>
  </si>
  <si>
    <t>Malik Muhammad Jahangir Khan s/o Malik Muhammad Rehan, r/o Gulzar Chowk, Mattni, Tehsil &amp; Distt: Peshawar (Mobile No. 0300-5944090)</t>
  </si>
  <si>
    <t>FIR No.348 dt.19/12/2014 u/s 365 PPC PS Mattani District Peshawar.</t>
  </si>
  <si>
    <t>Traced Person. Rep of IB informed that Fazal Ghani returned to home, Reps of other Agencies also confirmed at the hearing of the case.</t>
  </si>
  <si>
    <t>1821 - K</t>
  </si>
  <si>
    <t>Muhammad Zahid s/o Malik Muhammad Jahangir Khan</t>
  </si>
  <si>
    <t>1822 - K</t>
  </si>
  <si>
    <t>Bilal</t>
  </si>
  <si>
    <t>1823 - K</t>
  </si>
  <si>
    <t>HRC No. 17147- G/2013</t>
  </si>
  <si>
    <t>Fazal Moeen s/o Zar Moeen</t>
  </si>
  <si>
    <t>Mst. Fazal Nora w/o Missing Person, r/o Qasba Khel Wam Ali Sherzai, P.O. Sadda, Tehsil Lower Kurram Agency (0336-9406348, 0335-9274153)</t>
  </si>
  <si>
    <t>Traced Person. Confined in the Internment Centre, Kohat as informed at the hearing on 26.6.2014.</t>
  </si>
  <si>
    <t>1824 - F</t>
  </si>
  <si>
    <t>HRC No. 25618- G/2013</t>
  </si>
  <si>
    <t>Shaal Akbar s/o Mashandi Gul</t>
  </si>
  <si>
    <t>Mst. Bagh Jamala w/o Mashandi Gul, r/o Village Charmaro Mella Ghalnai Ali Masjid, Khyber Agency</t>
  </si>
  <si>
    <t>Traced Person. Returned to home and present at his village as informed at the hearing on 25.6.14.</t>
  </si>
  <si>
    <t>1825 - F</t>
  </si>
  <si>
    <t>Qaidaad Khan s/o Mir Bashar</t>
  </si>
  <si>
    <t>1826 - S</t>
  </si>
  <si>
    <t>HRC No. 32372- S/2013</t>
  </si>
  <si>
    <t>Abdul Sattar s/o Adam</t>
  </si>
  <si>
    <t>Taj Muhammad b/o Missing Person, r/o Haji Ibrahim Goth, Village Allah Bannu, Tappuga Bopat, Maripur, Distt: West Karachi (Mobile No. 0345-2686263)</t>
  </si>
  <si>
    <t>Traced Person. Returned to Home and available at (Haji Ibrahim Goth, Village Allah Bannu, Tappuga Bopat, Maripur, Distt: West Karachi )</t>
  </si>
  <si>
    <t>1827 - S</t>
  </si>
  <si>
    <t>HRC No. 47366- S/2013</t>
  </si>
  <si>
    <t>Zubair s/o Jahangir Baloch</t>
  </si>
  <si>
    <t>Mst. Razia w/o Missing Person, r/o Flat No. 203, Roshan Shah Manzil, near Harri Masjid, New Kumhar Wara, Liyari Town, Karachi (Mobile No. 0333-7249220)</t>
  </si>
  <si>
    <t>FIR No.337 dt.9/11/2014 u/s 365/34 PPC PS Kalakot,District South Karachi.</t>
  </si>
  <si>
    <t>1828 - B</t>
  </si>
  <si>
    <t>HRC No. 30210- B/2013</t>
  </si>
  <si>
    <t>Rab Nawaz s/o Mir Baig</t>
  </si>
  <si>
    <t>Mst. Bibi Nigar m/o Missing Person, r/o Village Mangochar, Distt: Kallat (Mobile No. 0331-8087076)</t>
  </si>
  <si>
    <t>FIR No.14 dt.19/9/2013 u/s 365/147/148 PPC PS/Levies Thana,Mangochar,Kalat</t>
  </si>
  <si>
    <t>Traced Person. Mir Baig father of Rab Nawaz appeared before the Commission on 01.04.2021 whose statement was recorded on oath in which he submitted that Rab Nawaz was taken away by two unknown men on a motorcycle to some unidentified place and kept him in a small room. He further deposed that Rab Nawaz returned home but could not appear before the Commission due to sickness. No further action is required, the case is closed.</t>
  </si>
  <si>
    <t>1829 - I</t>
  </si>
  <si>
    <t>HRC No. 19472- G/2013</t>
  </si>
  <si>
    <t>Shafqat Hussain s/o Ghulam Muhammad</t>
  </si>
  <si>
    <t>Muhammad Hussain Azad b/o Missing Person, r/o House No. 2414, Gali No. 37, Phase-II, Farash Town, Islamabad (Mobile No. 0333-5571628, 0301-2817228)</t>
  </si>
  <si>
    <t>Traced Person. Returned to home. Statement recorded u/s 164 CrPC. Confessed that he went voluntairly and subsequently returned to home.</t>
  </si>
  <si>
    <t>1830 - B</t>
  </si>
  <si>
    <t>Case No. 10003892</t>
  </si>
  <si>
    <t>Abdul Sattar s/o Dad Mohel</t>
  </si>
  <si>
    <t>Dad Mohel f/o Missing Person, r/o Diz Paroom, Distt: Panjgur, Balochistan</t>
  </si>
  <si>
    <t>Traced Person. Dead body was recovered. The concerned police directed to taken further legal action.</t>
  </si>
  <si>
    <t>1831 - K</t>
  </si>
  <si>
    <t>HRC No. 43612- K/2013</t>
  </si>
  <si>
    <t>Shams-ur-Rehman s/o Dilbar</t>
  </si>
  <si>
    <t>Mst. Zeenat sister of Missing Person, r/o Amankot, Swat (Mobile No. 0343-5914284 &amp; 0314-9924075)</t>
  </si>
  <si>
    <t>15602-0297638-7</t>
  </si>
  <si>
    <t>FIR No.749 dt.24/12/2013 u/s 365 PPC PS Rahimabad District Swat</t>
  </si>
  <si>
    <t>1832 - P</t>
  </si>
  <si>
    <t>HRC No. 42286- P/2013</t>
  </si>
  <si>
    <t>Muhammad Yar s/o Muhammad Nawaz</t>
  </si>
  <si>
    <t>Mst. Parveen Bibi, w/o Missing Person, r/o Basti Lundi Pur, Mouza Dado, PS &amp; Tehsil Manchanabad, Bahawalnagar (Mobile No. 0302-9232194)</t>
  </si>
  <si>
    <t>FIR No.11 dt.08/01/2014 u/s 365 PPC PS Minchanabad District Bahawalnagar</t>
  </si>
  <si>
    <t>Traced Person. Judicial Custody in Multan Jail after conviction under the Army Act by FGCM.</t>
  </si>
  <si>
    <t>1833 - K</t>
  </si>
  <si>
    <t>HRC No. 12571- B/2012</t>
  </si>
  <si>
    <t>Amjad Khan s/o Musafar Gul</t>
  </si>
  <si>
    <t>Mst. Saira Naz w/o Missing Person, r/o Mohallah Gulshan Colony, Distt: Hangu (Mobile No. 0332-9687909)</t>
  </si>
  <si>
    <t>FIR No.31 dt.11/01/2015 u/s 365 PPC PS MRS District Kohat</t>
  </si>
  <si>
    <t>1834 - K</t>
  </si>
  <si>
    <t>HRC No. 41096- K/2013</t>
  </si>
  <si>
    <t>Noor Sharif s/o Muhammad Ali Shah</t>
  </si>
  <si>
    <t>Mst. Nazia w/o Missing Person, r/o Bara Bandi, Kabal, Swat (Mobile No. 0346-9424711)</t>
  </si>
  <si>
    <t>FIR No.599 dt.24/12/2013 u/s 365 PPC PS/Kanju,District Swat</t>
  </si>
  <si>
    <t>Traced Person. Confined in the Inernment Centre, Paitham as informed at the hearing on 28.5.2014.</t>
  </si>
  <si>
    <t>1835 - S</t>
  </si>
  <si>
    <t>HRC No. 36305- P/2013</t>
  </si>
  <si>
    <t>Museer-ud-Din s/o Baaz Khan</t>
  </si>
  <si>
    <t>Mst. Azra Bibi w/o Missing Person, r/o Ward No. 3, Mouza Tanawin, Tehsil Pindi Gheb, Distt: Attock.</t>
  </si>
  <si>
    <t>FIR No.709/2014 u/s 365 PPC PS/Shahrah-e-Faisal,District East Karachi.</t>
  </si>
  <si>
    <t>Deleted. NHQ Islamabad submitted report that Museer-ud-Din is a deserter Navy and all fomalities are completed in per report.</t>
  </si>
  <si>
    <t>1836 - K</t>
  </si>
  <si>
    <t>HRC No. 23444- K/2013</t>
  </si>
  <si>
    <t>Khalid Khan s/o Muhammad Jalal</t>
  </si>
  <si>
    <t>Mst. Rukhsana w/o Missing Person, r/o Malikabad, Ogaday, P.O Odigaram, Distt: Swat</t>
  </si>
  <si>
    <t>FIR No.516 dt.25/07/2013 u/s 365 PPC PS Rahimabad District Swat</t>
  </si>
  <si>
    <t>1837 - K</t>
  </si>
  <si>
    <t>HRC No. 36797- G/2013</t>
  </si>
  <si>
    <t>Umer Khan s/o Gul Anwar</t>
  </si>
  <si>
    <t>Mst. Majan m/o Missing Person, r/o Tappa Shawas Khel Kot, Tehsil Upper, Distt: Orakzai Agency (Mobile No. 0332-3392267, 0344-9328221)</t>
  </si>
  <si>
    <t>Traced Person. Confined in the Internment Centre, Kohat as confirmed by Rep of MI and statement of cousin of Missing Person.</t>
  </si>
  <si>
    <t>1838 - S</t>
  </si>
  <si>
    <t>HRC No. 36316- S/2013</t>
  </si>
  <si>
    <t>Muhammad Yousaf</t>
  </si>
  <si>
    <t>Mst. Samina Yousaf w/o Missing Person, r/o House No. 218, Gali No. 16, Sharafabad, Karachi</t>
  </si>
  <si>
    <t>Traced Person. Returned to Home and available at ( House No. 218, Gali No. 16, Sharafabad, Karachi)</t>
  </si>
  <si>
    <t>1839 - S</t>
  </si>
  <si>
    <t>HRC No. 24747- S/2013</t>
  </si>
  <si>
    <t>Hazrat Karim s/o Muhammad Karim</t>
  </si>
  <si>
    <t>Muhammad Karim f/o Missing Person, r/o Rehmani Muhallah, House No. G-3/39, Mohallah Pathan Colony, Mangho Pir, Karachi</t>
  </si>
  <si>
    <t>FIR No.667 dt.8/9/2013 u/s 365 PPC PS/Site-A,District West Karachi.</t>
  </si>
  <si>
    <t>Deleted. SDPO Site Karachi submitted report alongwith statement of Asghar Ali in which he deposed that he was satisfied with the investigation by the Police and he had no allegation against any Government Agency and that he wanted to withdraw his complaint. Accordingly, the case is closed.</t>
  </si>
  <si>
    <t>1840-K</t>
  </si>
  <si>
    <t>HRC No. 13010- K/2013</t>
  </si>
  <si>
    <t>Maulana Zia-ud-Din s/o Haji Ahmad Din</t>
  </si>
  <si>
    <t>Haji Ahmed Din s/o Ghulam Siddique, r/o Maddi, Tehsil Kulachi, Distt: D.I. Khan (Mobile No. 0342-9585259)</t>
  </si>
  <si>
    <t>12102-7759954-</t>
  </si>
  <si>
    <t>FIR No. 90
 dt: 14-2-2010
 u/s 365 PPC
 PS. Chawani
 District: D.I. Khan</t>
  </si>
  <si>
    <t>1841- K</t>
  </si>
  <si>
    <t>HRC No. 36422- K/2013</t>
  </si>
  <si>
    <t>Maaz Ahmed s/o Ayub Khan</t>
  </si>
  <si>
    <t>Ayub Khan f/o Missing Person, r/o Mohallah Shahzada, Lala Odegaram, Tehsil Babozai, Distt: Swat (Mobile No. 0346-9488020)</t>
  </si>
  <si>
    <t>FIR No.231 dt.28/04/2014 u/s 365 PPC PS Rahimabad District Swat</t>
  </si>
  <si>
    <t>1842- K</t>
  </si>
  <si>
    <t>HRC No. 40236- K/2013</t>
  </si>
  <si>
    <t>Imran Ullah s/o Bahadur Khan</t>
  </si>
  <si>
    <t>Bahadur Khan f/o Missing Person, r/o Kori, P.O Haya Seri, Tehsil Balambat, Distt: Dir Lower (Mobile No. 0301-8057976)</t>
  </si>
  <si>
    <t>FIR No.228 dt.30/04/2014 u/s 365 PPC,PS Hayaseri District Dir Lower</t>
  </si>
  <si>
    <t>Under Investigation (KP) :Lower Dir</t>
  </si>
  <si>
    <t>1843- K</t>
  </si>
  <si>
    <t>HRC No. 22670- K/2013</t>
  </si>
  <si>
    <t>Fazal Rabi s/o Faqi Jan</t>
  </si>
  <si>
    <t>Mst. Minhaj Bibi w/o Missing Person, r/o Munsaf Jan Abad, Tehsil &amp; Distt: Mardan, c/o Muhammad Iqbal s/o Muhammad Yar Khan, r/o Bedamai, Tehsil Vari, Distt: Dir Bala (Mobile No. 0313-8880282)</t>
  </si>
  <si>
    <t>FIR No.875 dt.07/5/2014 u/s 365 PPC PS/Mandani District Charsadda.</t>
  </si>
  <si>
    <t>Traced Person. Confined in the Internment Center Fizagat. Statement of all concerned have been recorded.</t>
  </si>
  <si>
    <t>1844- K</t>
  </si>
  <si>
    <t>HRC No. 33117- K/2013</t>
  </si>
  <si>
    <t>Haji Muhammad Gul s/o Badshah Gul</t>
  </si>
  <si>
    <t>Mst. Muntazira w/o Missing Person, r/o Badshah Gul Kalay Mandani, Charsadda (Mobile No. 0345-9252042)</t>
  </si>
  <si>
    <t>FIR No.129 dt.09/08/2013 u/s 365 PPC PS Matta District Swat</t>
  </si>
  <si>
    <t>Traced Person. Confined in the Internment Centre, Lakki Marwat. Meeting with parents faciliticated to see him.</t>
  </si>
  <si>
    <t>1845- K</t>
  </si>
  <si>
    <t>HRC No. 23341- K/2013</t>
  </si>
  <si>
    <t>Alam Khan s/o Imran Khan</t>
  </si>
  <si>
    <t>Mst. Sabra Bibi, r/o House No. 109, Street No. 3, KDA, Kohat (Mobile No. 0345-0566894)</t>
  </si>
  <si>
    <t>FIR No.265 dt.30/4/2014 u/s 365 PPC,PS/Cantt.,Kohat</t>
  </si>
  <si>
    <t>Traced Person. DPO, Kohat confirmed at the hearing on 17.11.14 along with record.</t>
  </si>
  <si>
    <t>1846- K</t>
  </si>
  <si>
    <t>HRC No. 33428- K/2012</t>
  </si>
  <si>
    <t>Abdul Qayyum 
 (Mardan)</t>
  </si>
  <si>
    <t>Mst. Zahida w/o Abdul Qayyum, r/o Mian Ganocham, Shangwati, Tehsil &amp; Distt: Swat (Mobile No. 0347-8334656)</t>
  </si>
  <si>
    <t>FIR No. 16 dated 21/1/2015 u/s 365-PPC PS Takhat Bhai District Mardan</t>
  </si>
  <si>
    <t>Traced Person. Confined in the Internment Centre Paitham.</t>
  </si>
  <si>
    <t>1847- K</t>
  </si>
  <si>
    <t>Saif Ullah s/o Abdul Qayyum 
 (Mardan)</t>
  </si>
  <si>
    <t>Mst. Zahida m/o Missing Person, r/o Mian Ganocham, Shangwati, Tehsil &amp; Distt: Swat (Mobile No. 0347-8334656)</t>
  </si>
  <si>
    <t>1848- K</t>
  </si>
  <si>
    <t>Abdullah s/o Abdul Qayyum</t>
  </si>
  <si>
    <t>FIR No. 16
 dt: 21-1-2015
 u/s 365 PPC
 PS. Takhatbai District Mardan</t>
  </si>
  <si>
    <t>1849- S</t>
  </si>
  <si>
    <t>HRC No. 25546- S/2013</t>
  </si>
  <si>
    <t>Tariq Farhad s/o Farhad Muhammad</t>
  </si>
  <si>
    <t>Zahida Parveen w/o Missing Person, r/o House No. C-462, Sector-10, Bagh, Korangi, Karachi (Mobile No. 0302-2739734)</t>
  </si>
  <si>
    <t>Traced Person.Returned to Home and available at (House No. C-462, Sector-10, Bagh, Korangi, Karachi)</t>
  </si>
  <si>
    <t>1850 - P</t>
  </si>
  <si>
    <t>Abdul Jabbar s/o Muhammad Yousaf</t>
  </si>
  <si>
    <t>Abdul Ghaffar b/o Missing Person, r/o Jamia Masjid, Aimanabad Road, Opposite KM Ashraf Factory, Sialkot (Mobile No. 0347-6214280)</t>
  </si>
  <si>
    <t>FIR No. 64
 dt: 20-2-2014
 u/s 365 PPC
 PS. Naikapura
 District: Sialkot</t>
  </si>
  <si>
    <t>Traced Person. Confined in the Internment Center Lakki Marwat as informed by SP (Inv) Sialkot.</t>
  </si>
  <si>
    <t>1851 - P</t>
  </si>
  <si>
    <t>Abdul Karim s/o Abdul Rasheed</t>
  </si>
  <si>
    <t>Muhammad Ibrahim b/o Missing Person, r/o M-12, Lucky Centre, Qartaba Chowk, Jail Road, Lahore (Mobile No. 0324-4905977)</t>
  </si>
  <si>
    <t>FIR No. 88
 dt: 28-2-2014
 u/s 365 PPC
 PS. Mustafa Town
 District: Lahore</t>
  </si>
  <si>
    <t>Traced Person, recovered and presently available at home in Skardu.</t>
  </si>
  <si>
    <t>1852 - S</t>
  </si>
  <si>
    <t>Dost Muhammad s/o Noor Muhammad</t>
  </si>
  <si>
    <t>Noor Muhammad Khan f/o Missing Person, r/o Eidu Goth, Papri Bin Qasim Town, No. 49, Distt: Malir, Karachi, Postal Code: 75010 (Mobile No. 0346-2674326, 0347-2273325)</t>
  </si>
  <si>
    <t>1853 - S</t>
  </si>
  <si>
    <t>Sher Zada s/o Naik Zan</t>
  </si>
  <si>
    <t>Peer Muhammad cousin of Missing Person, r/o House No. 625, Naseerabad, Papri Bin Qasim Town, P.O Steel Town, Distt: Malir Karachi (Mobile No. 0321-9526706)</t>
  </si>
  <si>
    <t>1854 - K</t>
  </si>
  <si>
    <t>Abdul Qayyum s/o Abdullah</t>
  </si>
  <si>
    <t>Muhammad Karim Ullah b/o Missing Person, r/o Dherai, Mohallah Ganshal, Tesil Kabal, Distt: Swat (Mobile No. 0343-2104355)</t>
  </si>
  <si>
    <t>FIR No.152
 dt: 28/4/2014
 u/s 365 PPC
 PS Kanju, District:
 Swat</t>
  </si>
  <si>
    <t>Traced Person. Confined in the Internment Centre, Fizagat as informed by Rep of MI at the hearing on 22.5.14.</t>
  </si>
  <si>
    <t>1855 - B</t>
  </si>
  <si>
    <t>Barkat Ali s/o Abdullah</t>
  </si>
  <si>
    <t>Mst. Jan Bibi m/o Missing Person, r/o Noor Muhammad Baloch Goth, Tehsil Sonmiani, Winder City, Distt: Lasbella (Mobile No. 0311-8006342)</t>
  </si>
  <si>
    <t>Deleted. Not a Case of Enforced Disapperances Nephew of Barkat Ali appeared before the Commission. Stated that the family did not interested to pursue the case.</t>
  </si>
  <si>
    <t>1856 - B</t>
  </si>
  <si>
    <t>Muhammad Ali s/o Abdullah</t>
  </si>
  <si>
    <t>1857- K</t>
  </si>
  <si>
    <t>Zakir Hussain s/o Muhammad Zahir</t>
  </si>
  <si>
    <t>Muhammad Zahir f/o Missing Person, r/o Village Dehrai, Tehsil Kabal, Distt: Swat (Mobile No. 0344-8916663)</t>
  </si>
  <si>
    <t>FIR No.153
 dt: 28/04/2014
 u/s 365 PPC
 PS Kanju, District:
 Swat</t>
  </si>
  <si>
    <t>Traced Person. Confined in the Internment Center paitham as confirmed by Rep of MI at the hearing on 17.12.14.</t>
  </si>
  <si>
    <t>1858- K</t>
  </si>
  <si>
    <t>Rasool Muhammad s/o Abdul Akbar</t>
  </si>
  <si>
    <t>Mst. Sajjida w/o Missing Person, r/o Muhallah Tilliabad, Kanju, Tehsil Kabal, Distt: Swat (Mobile No. 0313-9548249)</t>
  </si>
  <si>
    <t>15602-0257142-1</t>
  </si>
  <si>
    <t>1859- K</t>
  </si>
  <si>
    <t>Azizullah s/o Abdullah</t>
  </si>
  <si>
    <t>Abdullah f/o Missing Person, r/o House No.748, Sector-C, Township, Tehsil Kabal, Distt: Swat (Mobile No. 0306-5742576)</t>
  </si>
  <si>
    <t>FIR No. 578 dated 3/11/2012 u/s 365-PPC PS Kanju District Swat</t>
  </si>
  <si>
    <t>Traced Person. It is intimated at the hearing on 30/10/2018 that Aziz Ullah has been traced. He is presently confined in the Internment Center Paithom. Family members of Aziz Ullah shall be facilitated to see him in the Internment Center as per rules and procedures.</t>
  </si>
  <si>
    <t>1860- K</t>
  </si>
  <si>
    <t>Sajjad Ali s/o Ghulam Akbar</t>
  </si>
  <si>
    <t>Ghulam Akbar f/o Missing Person, r/o Mohallah Barkanju, Kanju, Tehsil Kabal, Distt: Swat (Mobile No. 0345-6437565)</t>
  </si>
  <si>
    <t>FIR No.153 dt.28/04/2014 u/s 365 PPC PS Kanju District Swat</t>
  </si>
  <si>
    <t>Traced Person. Confined in the Internment Center Malakand as informed by Rep of MI at the hearing on 17.12.14.</t>
  </si>
  <si>
    <t>1861 - S</t>
  </si>
  <si>
    <t>Rehmat Ali s/o Ghulam Akbar</t>
  </si>
  <si>
    <t>FIR No.501 dt.3/7/2014 u/s 365/34 PPC,PS/Site-A,District West Karachi</t>
  </si>
  <si>
    <t>Traced Person. Returned to Home and available at (Mohallah Barkanju, Kanju, Tehsil Kabal, Distt: Swat)</t>
  </si>
  <si>
    <t>1862- K</t>
  </si>
  <si>
    <t>Kalim Ahmed s/o Parveen Ahmed</t>
  </si>
  <si>
    <t>Parveen Ahmed f/o Missing Person, r/o Village &amp; P.O. Aligarama, Masjid Colony, Tehsil Kabal, Distt: Swat (Mobile No. 0344-9756354)</t>
  </si>
  <si>
    <t>FIR No.227 dt.28/04/2014 u/s 365 PPC PS/Kabal District Swat</t>
  </si>
  <si>
    <t>Traced Person. Confined in the Internment Centre, Paitham as reported by Rep of MI at the hearing on 7.7.2014.</t>
  </si>
  <si>
    <t>1863- K</t>
  </si>
  <si>
    <t>Ajab Khan s/o Jahangir</t>
  </si>
  <si>
    <t>Jahangir f/o Missing Person, r/o Mohallah Ibrahim Khel, P.O. Tariqabad, Village Gogadra, Distt: Swat (Mobile No. 0341-9033776)</t>
  </si>
  <si>
    <t>FIR No.233 dt.28/4/2014 u/s 365 PPC, PS Rahimabad District Swat</t>
  </si>
  <si>
    <t>Deleted. In this case JIT as well as PTF submitted report that the Missing Person has gone on his own. Father of Jahangir also appeared and deposed in his statement that he has heard that his son was in Afghanistan, however he concluded that there is no allegation against LEAs/ Intelligence Agency. No further action is required. The case is closed</t>
  </si>
  <si>
    <t>1864 - K</t>
  </si>
  <si>
    <t>Ghulam Rahim s/o Munjra</t>
  </si>
  <si>
    <t>Zafar Ali r/o Mohallah Allah-ho-Akbar, Village Kabal, Tehsil Kabal, Distt: Swat (Mobile No. 0344-9641402)</t>
  </si>
  <si>
    <t>FIR No.228 dt.29/04/2014 u/s 365 PPC PS Kabal District Swat</t>
  </si>
  <si>
    <t>Traced Person. Rep of MI informed at the hearing on 16.12.2014 that Ghulam Rahim is confined in the Internment Centre, Paitham.</t>
  </si>
  <si>
    <t>1865 - F</t>
  </si>
  <si>
    <t>Qismat Ali Shah s/o Asmat Ali Khan</t>
  </si>
  <si>
    <t>Zewaran b/o Missing Person, r/o Koeka Baran, Khujuram Khel, P.O. Ismail Khel, Distt: Bannu (Mobile No. 0301-8073045 &amp; 0316-8073045 &amp; 0315-3367167)</t>
  </si>
  <si>
    <t>11101-7291184-7</t>
  </si>
  <si>
    <t>FIR No. 112 dated 10.11.2020 u/s PPC 365 PS Mirali, District NWA, FATA</t>
  </si>
  <si>
    <t>Place of Occurrence is Mir Ali (NWA).</t>
  </si>
  <si>
    <t>1866 - K</t>
  </si>
  <si>
    <t>Bacha Syed s/o Bakhat Syed</t>
  </si>
  <si>
    <t>Mst. Rang Mahal m/o Missing Person, r/o Mohallah Ganshal, Village Dehrai, Tehsil Kabal, Distt: Swat (Mobile No. 0343-1910256)</t>
  </si>
  <si>
    <t>FIR No.154 dt.28/04/2014 u/s 365 PPC PS/Kanju District Swat.</t>
  </si>
  <si>
    <t>Traced Person. Confined in the Internment Centre, Fizagat reported by Rep of MI at the hearing on 21.5.14.</t>
  </si>
  <si>
    <t>1867 - K</t>
  </si>
  <si>
    <t>Rehman-ud-Din s/o Muhammad Arif</t>
  </si>
  <si>
    <t>Salah-ud-Din b/o Missing Person, r/o Panorama Centre, Office No. 7, Sajar Property Dealer, G-11/1 Markaz, Islamabad (Mobile No. 0302-8396606)</t>
  </si>
  <si>
    <t>FIR No.211 dt.17/06/2014 u/s 365 PPC PS Topi District Swabi</t>
  </si>
  <si>
    <t>Deleted. Rehman-ud-Din is an Afghan National. Rep of IB informed at the hearing on 16/07/2018 that accordingly to verification made by field unit the entire family has shifted to Afghanistan. A similar report has also been received from PTF.</t>
  </si>
  <si>
    <t>1868 - K</t>
  </si>
  <si>
    <t>Rizwan Ullah s/o Ghulam Habib</t>
  </si>
  <si>
    <t>Habib-ur-Rehman b/o Missing Person, r/o Mohallah Hafizabad, Lundi Wah, Tehsil &amp; Distt: Lakki Marwat (Mobile No. 0313-9888447)</t>
  </si>
  <si>
    <t>FIR No.58 dt.05/5/2014 u/s 365 PPC PS/Battal District Mansehra.</t>
  </si>
  <si>
    <t>Traced Person. Returned to home. Appeared before the Commission on 12.11.14.</t>
  </si>
  <si>
    <t>1869 - K</t>
  </si>
  <si>
    <t>Muhammad Imran Zakria s/o Muhammad Israel</t>
  </si>
  <si>
    <t>Muhammad Israel f/o Missing Person, r/o Mohallah Hafizabad, Lundi Wah, Tehsil &amp; Distt: Lakki Marwat (Mobile No. 0334-8851365, 0303-8573264)</t>
  </si>
  <si>
    <t>FIR No.452 dt.01/04/2014 u/s 365 PPC PS Bhana Mari,Peshawar</t>
  </si>
  <si>
    <t>Traced Person. Returned to home and appeared before the Commission on 23.12.14. Declared a libel about his abduction.</t>
  </si>
  <si>
    <t>1870 - B</t>
  </si>
  <si>
    <t>Haji Malang s/o Abdul Nabi</t>
  </si>
  <si>
    <t>Muhammad Ismail s/o Missing Person, r/o Gardi Jungle Camp, Tehsil Dalbandin, Distt: Chagi (Mobile No. 0343-8028176, 0346-4267912)</t>
  </si>
  <si>
    <t>FIR No.41 dt.11/04/2016 u/s 365 PPC PS/Shalkot,District Quetta.</t>
  </si>
  <si>
    <t>Traced Person. Haji Malang s/o Abdul Nabi appeared before the Commission on 29/6/2019. According to him 7/8 September, 2013, he was picked up by five unknown persons from Noshki Station and taken away blindfolded. According to him he was kept at some unknown place and interrogated and thereafter on the same day he was sent to jail at Karachi and was set free four months ago.</t>
  </si>
  <si>
    <t>1871 - B</t>
  </si>
  <si>
    <t>Ahmed Jan s/o Mir Agha Nazar Muhammad</t>
  </si>
  <si>
    <t>Daro Khan s/o Missing Person, r/o Ganj Baipas, Quetta (Mobile No. 0346-8337658)</t>
  </si>
  <si>
    <t>Deleted. Due to Non- Cooperation of Complainant. Even otherwise the incident took place in 2005 and jurisdiction of this Commission was invoked in April, 2014.</t>
  </si>
  <si>
    <t>1872 - P</t>
  </si>
  <si>
    <t>Rizwan Asghar Butt s/o Muhammad Asghar</t>
  </si>
  <si>
    <t>Imran Asghar Butt b/o Missing Person, r/o Village Jhandaywal, P.O. Khas, Tehsil &amp; Distt: Gujrat (Mobile No. 0300-4239378)</t>
  </si>
  <si>
    <t>FIR NO. 835
 dt: 11-10-2013
 u/s 365 PPc
 PS. Civil Lines
 District: Gujrat</t>
  </si>
  <si>
    <t>Traced Person. Imran Asghar brother of Rizwan Asghar Butt has appeared for hearing on 5.3.2019, whose statement has been recorded on oath. According to him he alongwith his cousin Bilal Ahmed visited CTD Police Station Multan on 25.12.2017. Both of them were taken by one Inspector of CTD to Graveyard where the said Inspector identified the grave of Rizwan Asghar Butt.</t>
  </si>
  <si>
    <t>1873 - K</t>
  </si>
  <si>
    <t>HRC No. 19858-K /2013</t>
  </si>
  <si>
    <t>Muhammad Javed</t>
  </si>
  <si>
    <t>Mst. Memoona Javed w/o Missing Person, r/o Chand Fun House, Murree Road, Kalapul, Nawanshehar, Distt: Abbottabad</t>
  </si>
  <si>
    <t>Traced Person. He was under legal detention and a statement recorded to this effect.</t>
  </si>
  <si>
    <t>1874 - B</t>
  </si>
  <si>
    <t>Allah Noor s/o Noorullah</t>
  </si>
  <si>
    <t>Allah Nazar b/o Missing Person, r/o Kali Haji Ali Akbar, P.O. Balbandin, Distt: Chagi (Mobile No. 03352371458)</t>
  </si>
  <si>
    <t>Traced Person. His brother submitted that Allah Noor was arrested in Kabul. After release he returned to home.</t>
  </si>
  <si>
    <t>1875 - B</t>
  </si>
  <si>
    <t>Abdul Khaliq s/o Abdul Rasheed</t>
  </si>
  <si>
    <t>Sanaullah b/o Missing Person, r/o Kali Haji Saeedabad, Distt: Chagi, Balochistan (Mobile No. 0341-8045035)</t>
  </si>
  <si>
    <t>Traced Person. His brother submitted that Abdul Khaliq was arrested in Kabul. After release he returned to home.</t>
  </si>
  <si>
    <t>1876 - K</t>
  </si>
  <si>
    <t>HRC No. 2247-K /2014</t>
  </si>
  <si>
    <t>Hazrat Ahmed s/o Bacha Malik</t>
  </si>
  <si>
    <t>Bakhat Malik s/o Bacha Malik, r/o Lundakay Checkpost, Barikot, Distt: Swat (Mobile No. 0341-5585926)</t>
  </si>
  <si>
    <t>FIR No.406 dt.30/04/2014 u/s 365 PPC PS Ghalegai District Swat</t>
  </si>
  <si>
    <t>1877 - S</t>
  </si>
  <si>
    <t>HRC No. 4726-S /2014</t>
  </si>
  <si>
    <t>Saeed Hussain s/o Haji Shakir Muhammad</t>
  </si>
  <si>
    <t>Haji Shakir Muhammad s/o Turab Ali, r/o House No. 126, Gali No. 11, Allahabad Colony, Bilal Colony, Korangi Industrial Area, Karachi (Mobile No. 0323-2043605)</t>
  </si>
  <si>
    <t>Traced Person .Returned to Home and available at (House No. 126, Gali No. 11, Allahabad Colony, Bilal Colony, Korangi Industrial Area, Karachi)</t>
  </si>
  <si>
    <t>1878 - S</t>
  </si>
  <si>
    <t>HRC No. 4724-S /2014</t>
  </si>
  <si>
    <t>Muhammad Zakir Hussain s/o Ali Muhammad</t>
  </si>
  <si>
    <t>Ali Muhammad f/o Missing Person, r/o Jumma Baloch Goth Bin Qasim Town, Malir Karachi</t>
  </si>
  <si>
    <t>Traced Persn. Returned to Home and available at (Jumma Baloch Goth Bin Qasim Town, Malir Karachi)</t>
  </si>
  <si>
    <t>1879 - S</t>
  </si>
  <si>
    <t>Muhammad Jamil s/o Muhammad Sharif</t>
  </si>
  <si>
    <t>Muhammad Sharif f/o Missing Person, r/o Jumma Baloch Goth Bin Qasim Town, Malir Karachi</t>
  </si>
  <si>
    <t>Traced Person. Returned to Home and available at (Jumma Baloch Goth Bin Qasim Town, Malir Karachi)</t>
  </si>
  <si>
    <t>1880 - K</t>
  </si>
  <si>
    <t>HRC No. 2345-K /2014</t>
  </si>
  <si>
    <t>Fazal Qadir s/o Nadir</t>
  </si>
  <si>
    <t>Mst. Pasultan w/o Fazal Qadir, r/o Mohallah Gulshan Colony Dosehra Chowk, Police Station City, Tehsil &amp; Distt: Mardan (Mobile No. 0342-1901716)</t>
  </si>
  <si>
    <t>Traced Person. Appeared before the Commission stated that he left native place due to some family dispute.</t>
  </si>
  <si>
    <t>1881 - K</t>
  </si>
  <si>
    <t>HRC No. 28004-K /2012</t>
  </si>
  <si>
    <t>Kamal Khan s/o Akbar Khan</t>
  </si>
  <si>
    <t>Piaw Taj s/o Kaba Khan, r/o Dhodha Road, Jadeed Banda, Kohat (Mobile No. 0334-8312051)</t>
  </si>
  <si>
    <t>FIR No.258 dt. 29/4/2014 u/s 365 PPC, PS/MRS,Kohat</t>
  </si>
  <si>
    <t>1882 - K</t>
  </si>
  <si>
    <t>HRC No. 11875-K /2013</t>
  </si>
  <si>
    <t>Sardar Ali s/o Muhammad</t>
  </si>
  <si>
    <t>Muhammad s/o Janay, r/o Kotlai, Tehsil Kabal, Distt: Swat (Mobile No. 0314-9710355)</t>
  </si>
  <si>
    <t>FIR No.519 dt.25/07/2013 u/s 365 PPC PS Rahimabad District Swat</t>
  </si>
  <si>
    <t>1883 - K</t>
  </si>
  <si>
    <t>HRC No. 18617-B /2012</t>
  </si>
  <si>
    <t>Zam Khan s/o Amin Ullah Khan</t>
  </si>
  <si>
    <t>Mst. Dur Bibi w/o Zam Khan, r/o Jadeed Banda, Toora Warai, Tehsil &amp; Distt: Hangu (Mobile No. 0345-9407173)</t>
  </si>
  <si>
    <t>Under Investigation (KP) Hangu</t>
  </si>
  <si>
    <t>1884 - K</t>
  </si>
  <si>
    <t>Mirza Khan s/o Sheraz Khan</t>
  </si>
  <si>
    <t>Traced Person. Ahmed Khan s/o Zam Khan (missing person) has entered appearance. His statement has been recorded on oath. In his statement, he has stated that Mirza khan, Umer Siddique and Gul Mohsin and Mueen Khan (who was also missing) have returned home.</t>
  </si>
  <si>
    <t>1885 - K</t>
  </si>
  <si>
    <t>Umer Siddique s/o Nizam Khan</t>
  </si>
  <si>
    <t>14102-0351712-7</t>
  </si>
  <si>
    <t>1886 - K</t>
  </si>
  <si>
    <t>Gul Mohsin s/o Fazal Rahim</t>
  </si>
  <si>
    <t>14102-0362210-9</t>
  </si>
  <si>
    <t>1887 - P</t>
  </si>
  <si>
    <t>HRC No. 13574-K /2013</t>
  </si>
  <si>
    <t>Asif Noman s/o Faqeer Muhammad</t>
  </si>
  <si>
    <t>Mst. Hameeda Bibi w/o Faqir Muhammad, r/o Village Kachi Painda Khan opposite Kotli Imam, D.I.Khan</t>
  </si>
  <si>
    <t>FIR NIL (Place of Occurrence is Multan Cantt.)</t>
  </si>
  <si>
    <t>Traced Person. Returned to home and residing in D.I.Khan as confirmed by SSP (Inv) Multan.</t>
  </si>
  <si>
    <t>1888 - K 1934 to be fixed together</t>
  </si>
  <si>
    <t>HRC No. 2593-K /2014</t>
  </si>
  <si>
    <t>Saleem Khan s/o Muhammad Ishaq</t>
  </si>
  <si>
    <t>Mst. Samina w/o Saleem Khan, r/o Mohallah Shadira Watkey, Bismillah Mingora, Tehsil &amp; Distt: Swat (Mobile No. 0332-9465020)</t>
  </si>
  <si>
    <t>FIR No.240 dt.30/04/2014 u/s 365 PPC PS Rahimabad District Swat</t>
  </si>
  <si>
    <t>Traced Person. According to report furnished at the hearing on 27/12/2018 by Rep of MI, Saleem Khan is presently confined in the Internment Center Fizagaht. Family member of Saleem Khan Shall be facilitated to see him in the Internment Center.</t>
  </si>
  <si>
    <t>1889 - K</t>
  </si>
  <si>
    <t>HRC No. 2658-K /2014</t>
  </si>
  <si>
    <t>Azizullah s/o Sultan Rome</t>
  </si>
  <si>
    <t>Mst. Rozina w/o Sultan Rome, r/o Hazar, Tehsil Kabal, Distt: Swat (Mobile No. 0333-9473219)</t>
  </si>
  <si>
    <t>FIR No.323
 dt: 18/06/2014
 u/s 365 PPC
 PS Kabal District Swat</t>
  </si>
  <si>
    <t>Traced Person. Confined in Internment Center Fizagat as confirmed by Rep of MI at the hearing on 12.12.14.</t>
  </si>
  <si>
    <t>1890 - K</t>
  </si>
  <si>
    <t>HRC No. 28411-P /2013</t>
  </si>
  <si>
    <t>Hamid Nehal Ansari s/o Nehal Ahmed Ansari</t>
  </si>
  <si>
    <t>Mst. Fauzia Ansari w/o Nehal Ahmed Ansari, c/o Mr. Sheikh Muhammad Latif Shahid, r/o Union Council Road, Haweli Sharif Khan, Manga Mandi, Lahore. (Mobile No.0333-4293732 &amp; 0300-4293732)</t>
  </si>
  <si>
    <t>FIR No.206 dt.04/08/2014 u/s 365 PPC PS KDA District Kohat</t>
  </si>
  <si>
    <t>Traced Person. Facing Trial in FGCM in Military Custody. He is an Indian national facing charges of espionage.</t>
  </si>
  <si>
    <t>1891 - S</t>
  </si>
  <si>
    <t>HRC No. 715-S /2014</t>
  </si>
  <si>
    <t>Muhammad Saeed s/o Muhammad Sharif</t>
  </si>
  <si>
    <t>Mst. Taj Bibi w/o Muhammad Sharif, r/o House No. 4/15, Sector 5/D, New Karachi</t>
  </si>
  <si>
    <t>Traced Person.Returned to Home and available at (House No. 4/15, Sector 5/D, New Karachi)</t>
  </si>
  <si>
    <t>1892 - S</t>
  </si>
  <si>
    <t>Muhammad Siddique s/o Muhammad Sharif</t>
  </si>
  <si>
    <t>Traced (According to SI, Abdul Waheed submitted that Muhammad Siddique,Missing Person has returned home)</t>
  </si>
  <si>
    <t>1893 - S</t>
  </si>
  <si>
    <t>Muhammad Danish s/o Muhammad Sharif</t>
  </si>
  <si>
    <t>Traced Person. Returned to Home and available at (House No. 4/15, Sector 5/D, New Karachi)</t>
  </si>
  <si>
    <t>1894 - S</t>
  </si>
  <si>
    <t>Muhammad Babar Zia s/o Muhammad Sharif</t>
  </si>
  <si>
    <t>Traced Person. Returned to Home and available at ( House No. 4/15, Sector 5/D, New Karachi)</t>
  </si>
  <si>
    <t>1895 - A</t>
  </si>
  <si>
    <t>HRC No. 6019- /2014</t>
  </si>
  <si>
    <t>Alaf Khan s/o Muhammad Khan</t>
  </si>
  <si>
    <t>Mst. Khursheed Bibi w/o Alaf Khan, r/o Village Nali, Tehsil Barnala, Distt: Bhimber</t>
  </si>
  <si>
    <t>FIR NIL (Place of Occurrence is in Tehsil Barnala District Bhimber,AJ&amp;K</t>
  </si>
  <si>
    <t>Traced Person. Sentenced in a criminal case and confined in Jail in Mirpur.</t>
  </si>
  <si>
    <t>1896 - P</t>
  </si>
  <si>
    <t>HRC No. 280-P /2014
 HRC NO. 4264-P /2014</t>
  </si>
  <si>
    <t>Abdul Waheed s/o Muhammad Tufail</t>
  </si>
  <si>
    <t>Muhammad Amjad s/o Habibullah, r/o Bhagiwal, Tehsil Chownian, Distt: Kasur (Mobile No. 0306-4744416)</t>
  </si>
  <si>
    <t>FIR No.118 dt.15/05/2014 u/s 364 PPC PPC PS Saddar Chunian District Kasur</t>
  </si>
  <si>
    <t>Deleted. Not a Case of Enforced Disappearances. Case disposed of vide details findings dated 7.01.17.</t>
  </si>
  <si>
    <t>1897 - S</t>
  </si>
  <si>
    <t>HRC No. 538-S /2014</t>
  </si>
  <si>
    <t>Mehmood Azam s/o S.M. Qasim Ali</t>
  </si>
  <si>
    <t>Mst. Akhtari Begum w/o S.M. Qasim Ali, r/o 122/20, Sector 11-D, New Karachi (Mobile No. 0315-0222428, 0300-2298504)</t>
  </si>
  <si>
    <t>Traced Person. Returned to Home and available at (122/20, Sector 11-D, New Karachi)</t>
  </si>
  <si>
    <t>1898 - S</t>
  </si>
  <si>
    <t>HRC No. 40246-S /2013</t>
  </si>
  <si>
    <t>Ali Asghar s/o Ali Bahadur</t>
  </si>
  <si>
    <t>Mst. Zareena Begum w/o Ali Bahadur (L), r/o House No. 70, Phase-III, Model Colony Malir, Karachi (Mobile No. 0314-2126783, 0312-2660540)</t>
  </si>
  <si>
    <t>1899 - S</t>
  </si>
  <si>
    <t>HRC No. 2413-S /2014</t>
  </si>
  <si>
    <t>Shakeel @ Shabbir s/o Arsala Khan</t>
  </si>
  <si>
    <t>Muhammad Aslam s/o Arsala Khan, r/o House No. 88, Bijli Nagar, Sector F-4, Orangi Town, Karachi (Mobile No. 0321-6516639, 0345-2557325)</t>
  </si>
  <si>
    <t>Traced Person. Returned to Home and available at (House No. 88, Bijli Nagar, Sector F-4, Orangi Town, Karachi)</t>
  </si>
  <si>
    <t>1900 - S</t>
  </si>
  <si>
    <t>Saeed s/o Bangi Khan</t>
  </si>
  <si>
    <t>Traced Person. CPO, Gujranwala confirmed at the hearing on 10.11.14 that Muhammad Imran has returned to home.</t>
  </si>
  <si>
    <t>1901 - P</t>
  </si>
  <si>
    <t>HRC No. 420-P /2014</t>
  </si>
  <si>
    <t>Muhammad Imran s/o Muhammad Raffique</t>
  </si>
  <si>
    <t>Mst. Zarina Bibi w/o Muhammad Raffique, r/o Mohallah Muslim Ganj, Gali Baba Mehngay Wali, Kamonki, Distt: Gujranwala (Mobile No. 0301-6498419, 0301-4834979)</t>
  </si>
  <si>
    <t>Under Investigation (Punjab)</t>
  </si>
  <si>
    <t>1902 - K</t>
  </si>
  <si>
    <t>HRC No. 28608-K /2013</t>
  </si>
  <si>
    <t>Waqifullah Khan s/o Mir Zaman</t>
  </si>
  <si>
    <t>Mir Zaman s/o Gul Islam, r/o Village Hassan Khel, Jaffar Khan, Khojari, Distt: Bannu (Mobile No. 0334-3508211)</t>
  </si>
  <si>
    <t>FIR No.5 dt.04/01/2015 u/s 365 PPC PS Tajori District Lakki Marwat</t>
  </si>
  <si>
    <t>Under Investigation (KP)
 Lakki Marwat</t>
  </si>
  <si>
    <t>Lakki Marwat</t>
  </si>
  <si>
    <t>1903 - S</t>
  </si>
  <si>
    <t>HRC No. 36141-S /2013</t>
  </si>
  <si>
    <t>Rizwan Shahid s/o Muhammad Shahid</t>
  </si>
  <si>
    <t>Muhammad Shahid s/o Muhammad Sultan, r/o House No. L-522, Sector 5/C-1, North Karachi (Mobile No. 0312-2077026)</t>
  </si>
  <si>
    <t>Traced Person.Returned to Home and available at (House No. L-522, Sector 5/C-1, North Karachi)</t>
  </si>
  <si>
    <t>1904 - S</t>
  </si>
  <si>
    <t>HRC No. 13125-S /2013</t>
  </si>
  <si>
    <t>Nihaluddin @ Toto s/o Khamiso Khan</t>
  </si>
  <si>
    <t>Khamiso Khan s/o Nihal Khan, r/o Baloch Colony, Bhoosa Line, Sukkhur (Mobile No. 0334-2173428)</t>
  </si>
  <si>
    <t>Traced Person. Dead Body Recovered (Murder)</t>
  </si>
  <si>
    <t>1905 - P</t>
  </si>
  <si>
    <t>HRC No. 32031-P /2013</t>
  </si>
  <si>
    <t>Qari Abdul Hafeez Sani s/o Abdul Rehman</t>
  </si>
  <si>
    <t>Muhammad Siddique s/o Abdul Rehman r/o Jhang Road, Gali No. 6, Mohallah Rasheedabad, Faisalabad</t>
  </si>
  <si>
    <t>FIR No.807
 dt: 22/12/2013
 u/s 365 PPC
 PS Jhang Bazaar, District Faisalabad</t>
  </si>
  <si>
    <t>1906 - P</t>
  </si>
  <si>
    <t>HRC No. 28640-P /2013</t>
  </si>
  <si>
    <t>Ehsan-ul-Haq s/o Muhammad Ishaq</t>
  </si>
  <si>
    <t>Inam-ul-Haq s/o Muhammad Ishaq, r/o Lane No. 2, Quaid-e-Azam Colony, Chakri Road, Rawalpindi (Mobile No. 0346-5323620)</t>
  </si>
  <si>
    <t>FIR No. 603
 dt: 27-9-2010
 u/s 365 PPc
 PS. Saddar
 Rawalpindi</t>
  </si>
  <si>
    <t>Traced Person. Appeared before the Commission on 10.12.14. Stated he had gone to Hyderabad at his own.</t>
  </si>
  <si>
    <t>1907 - P</t>
  </si>
  <si>
    <t>HRC No. 31119-P /2013</t>
  </si>
  <si>
    <t>Gulzar Ahmed Khan s/o Sakhawat Ali Khan</t>
  </si>
  <si>
    <t>Sakhawat Ali Khan f/o Missing Person, r/o House No. 1, St: No. 4, Mohallah Darwaishpura, Tehsil Kamonki, Distt: Gujranwala (Mobile No. 0302-4726124, 0308-6464212)</t>
  </si>
  <si>
    <t>FIR No.371
 dt: 27-5-2014
 u/s 365 PPC
 PS.Kamoke District Gujranwala</t>
  </si>
  <si>
    <t>Deleted. Not a case of Enforced Disappearances. Gulzar Ahmed disappeared in the year 2008 whereas jurisdication of the Commission involved in 2014 for which no plausible reason given.</t>
  </si>
  <si>
    <t>1908 - P</t>
  </si>
  <si>
    <t>HRC No. 3450-P /2013</t>
  </si>
  <si>
    <t>Abdul Salam Sajid s/o Nizam-ud-Din</t>
  </si>
  <si>
    <t>Khursheed Ahmed s/o Nizam-ud-Din, r/o Circle Road, Ward No. 1, Jatoi, Distt: Muzaffarghar (Mobile No. 0300-4915123)</t>
  </si>
  <si>
    <t>FIR No.198 dt.17/6/2013 u/s 365 PPC,PS Golra,Islamabad</t>
  </si>
  <si>
    <t>Deleted. Not a case of enforced disappearances. Disposed of vide detailed findings dated 13.2.2015.</t>
  </si>
  <si>
    <t>1909 - S</t>
  </si>
  <si>
    <t>HRC No. 1188-S /2014</t>
  </si>
  <si>
    <t>Syed Maroof Shah s/o Syed Muhammad Sami</t>
  </si>
  <si>
    <t>Khizar Hayat s/o Mumtaz Alam, r/o House No. 44/45, Bismillah Colony, Gulshan-e-Bahar, Sector No. 16, Orangi Town, Karachi (0311-0234115)</t>
  </si>
  <si>
    <t>Traced Person.Returned to Home and available at (House No. 44/45, Bismillah Colony, Gulshan-e-Bahar, Sector No. 16, Orangi Town, Karachi)</t>
  </si>
  <si>
    <t>1910 - S</t>
  </si>
  <si>
    <t>HRC No. 43428-S /2013</t>
  </si>
  <si>
    <t>Muhammad Farhan s/o Muhammad Ikram</t>
  </si>
  <si>
    <t>Muhammad Zeeshan Ahmed s/o Muhammad Ikram, r/o House No. 1, Block No. 8, Sobash Nagar Compound, Shoe Market, Karachi.</t>
  </si>
  <si>
    <t>Traced Person. Returned to Home and available at (House No. 1, Block No. 8, Sobash Nagar Compound, Shoe Market, Karachi.)</t>
  </si>
  <si>
    <t>1911 - S</t>
  </si>
  <si>
    <t>Muhammad Shakeel</t>
  </si>
  <si>
    <t>1912 - S</t>
  </si>
  <si>
    <t>HRC No. 48162-S /2013</t>
  </si>
  <si>
    <t>Muhammad Shoaib s/o Muhammad Farid</t>
  </si>
  <si>
    <t>Mst. Bibi Shabana d/o Muhammad Farid, r/o House No. 35-C/A, Mehmoodabad, Rehmani Colony, Karachi</t>
  </si>
  <si>
    <t>Traced Person. Returned to Home and available at (House No. 35-C/A, Mehmoodabad, Rehmani Colony, Karachi)</t>
  </si>
  <si>
    <t>1913 - P</t>
  </si>
  <si>
    <t>HRC No. 657-P /2014</t>
  </si>
  <si>
    <t>Muhammad Saleem s/o Muhammad Ismail</t>
  </si>
  <si>
    <t>Mst. Pathani Mai w/o Muhammad Ismail, r/o Abubakar Town, opposite Khyaban Sarwar, P.S. Gaddai, D.G. Khan (Mobile No. 0333-8557820)</t>
  </si>
  <si>
    <t>FIR No.276 dt.31/5/2014 u/s 365 PPC,PS Gaddal District D.G.Khan</t>
  </si>
  <si>
    <t>Traced Person. Returned to home. Appeared before the Commission on 11.11.14 but could not explain where he remained.</t>
  </si>
  <si>
    <t>1914 - K</t>
  </si>
  <si>
    <t>HRC No. 3957-K /2014</t>
  </si>
  <si>
    <t>Qazi-ur-Rehman s/o Mughal Badshah</t>
  </si>
  <si>
    <t>Abdul Samad s/o Qazi-ur-Rehman, r/o House No. 276, Block-A, Army Welfare Colony, Badha Bair, Peshawar (Mobile No. 0333-9597065, 0345-5116528)</t>
  </si>
  <si>
    <t>Traced Person. Returned to home. SP (Inv) Hangu/JIT confirmed in a categoric manner as submitted at the hearing on 15.12.14.</t>
  </si>
  <si>
    <t>1915 - P</t>
  </si>
  <si>
    <t>HRC No. 836-K /2014</t>
  </si>
  <si>
    <t>Farhad Alam s/o Amir Quraish</t>
  </si>
  <si>
    <t>Amir Quraish s/o Sheikh Hussain, r/o Ghala Katlang, Distt: Mardan</t>
  </si>
  <si>
    <t>Traced Person. At the hearing held on 1.1.14 it was informed that he has returned to home.</t>
  </si>
  <si>
    <t>1916 - K</t>
  </si>
  <si>
    <t>HRC No. 8922-K/2012</t>
  </si>
  <si>
    <t>Sher Muhammad s/o Khayal Manshah</t>
  </si>
  <si>
    <t>Khayal Manshah f/o Missing Person, r/o Bezot, Orakzai Agency</t>
  </si>
  <si>
    <t>FIR No.1 dt.01/01/2015 u/s 365 PPC PS City,Hangu</t>
  </si>
  <si>
    <t>1917 - S</t>
  </si>
  <si>
    <t>HRC No. 47650-S/2013</t>
  </si>
  <si>
    <t>Muhammad Adnan s/o Saddique Ahmed</t>
  </si>
  <si>
    <t>Muhammad Awais s/o Saddique Ahmed, r/o Building No. 12-C, 20th Street, Phase-II, Ext. DHA, Karachi (Mobile No. 0321-2757784)</t>
  </si>
  <si>
    <t>Returned to Home and available at (Building No. 12-C, 20th Street, Phase-II, Ext. DHA, Karachi)</t>
  </si>
  <si>
    <t>1918 - K</t>
  </si>
  <si>
    <t>HRC No. 8250-K/2013</t>
  </si>
  <si>
    <t>Fazal Hakeem s/o Gul Hakeem</t>
  </si>
  <si>
    <t>Mst. Sakeena Bibi w/o Fazal Hakeem, r/o Akbarabad, KTM Road, Kohat (Mobile No. 0332-1969697 &amp; 0332-9826726)</t>
  </si>
  <si>
    <t>FIR No.284 dt.05/05/2014 u/s 365 PPC PS MRS District Kohat</t>
  </si>
  <si>
    <t>Traced Person. Confined in the Internment Centre, Kohat as reported by Rep of MI .</t>
  </si>
  <si>
    <t>1919-B</t>
  </si>
  <si>
    <t>HRC No. 7921-B /2013</t>
  </si>
  <si>
    <t>Muhammad Ashraf s/o Gul Muhammad</t>
  </si>
  <si>
    <t>Mst. Aqsa Gulnaz w/o Muhammad Ashraf, r/o Airport Road, Panjor, Balochistan (Mobile No. 0333-2299177, 0313-6826854)</t>
  </si>
  <si>
    <t>Traced Person. Wife of Muhammad Ashraf submitted on oath that he latter has returned to home after on month at disappearance.</t>
  </si>
  <si>
    <t>1920 - S</t>
  </si>
  <si>
    <t>HRC No. 143-S/2013</t>
  </si>
  <si>
    <t>Abdul Qavi Khan s/o Abdul Hai Khan</t>
  </si>
  <si>
    <t>Muhammad Hamza Khan s/o Abdul Qavi Khan, r/o B-320, Block-10, Gulshan-e-Iqbal, Karachi</t>
  </si>
  <si>
    <t>FIR No.709 dt.20/12/2013 u/s 365/34 PPC PS/Gulshan-e-Jauhar,Karachi.</t>
  </si>
  <si>
    <t>Traced Person. Returned to Home and available at ( B-320, Block-10, Gulshan-e-Iqbal, Karachi)</t>
  </si>
  <si>
    <t>1921 - S</t>
  </si>
  <si>
    <t>HRC No. 40271-S/2013</t>
  </si>
  <si>
    <t>Kashif Atlas s/o Grenan Atlas</t>
  </si>
  <si>
    <t>Mst. Sobia Naz m/o Kashid Atlas, r/o Dawoodi House, Banerji Street, Karachi (Mobile No. 0302-2029400)</t>
  </si>
  <si>
    <t>1922 - S</t>
  </si>
  <si>
    <t>HRC No. 530-S/2014</t>
  </si>
  <si>
    <t>Mati-ul-Haq s/o Muhammad Gul</t>
  </si>
  <si>
    <t>Inayat-ul-Haq s/o Muhammad Gul, r/o Mohammadi Masjid, Bilal Colony, Landhi, Karachi (Mobile No. 0300-3764751, 0301-2991546)</t>
  </si>
  <si>
    <t>FIR No.413 dt.20/10/2014 u/s 365/34 PPC
 PS Qaidabad, District Malir Karachi.</t>
  </si>
  <si>
    <t>1923 - P</t>
  </si>
  <si>
    <t>HRC No. 25557-P/2013</t>
  </si>
  <si>
    <t>Imran Haider Shah s/o Manzoor Hussain Shah</t>
  </si>
  <si>
    <t>Syed Manzoor Hussain Shah s/o Muhammad Hussain Shah, r/o Chak No. 260-RB, Teshil &amp; Distt: Faisalabad (Mobile No. 0344-7830115)</t>
  </si>
  <si>
    <t>FIR No. 284
 dt: 22-5-2012
 u/s 365 PPc
 PS. Dijkot
 District: Faisalabad</t>
  </si>
  <si>
    <t>Deleted. Not a case of enforced disappearances as explained in the findings dated 14.1.16.</t>
  </si>
  <si>
    <t>1924 - B</t>
  </si>
  <si>
    <t>HRC No. 36921-B/2013</t>
  </si>
  <si>
    <t>Nisar Ahmed s/o Haji Raham Dil</t>
  </si>
  <si>
    <t>Mst. Bibi Saeeda w/o Abdul Sattar, r/o Shahwani Peer Kano, Distt: Mastung</t>
  </si>
  <si>
    <t>FIR No. 25
 dt: 04/4/2015
 u/s 365/34 PPc
 PS/City,Mastung.</t>
  </si>
  <si>
    <t>Deleted. Learned Trial Court has declared him abscouder in Crime No. 86 of 2012 Preceeding u/s 87, 88 are also taken in hand.</t>
  </si>
  <si>
    <t>1925 - P</t>
  </si>
  <si>
    <t>HRC No. 31566-K/2013</t>
  </si>
  <si>
    <t>Naveed Anjum s/o Noor Muhammad</t>
  </si>
  <si>
    <t>Pukraj Bibi m/o Naveed Anjum, r/o Kandi Nasir, P.O Pabbi, Distt: Nowshera (Mobile No. 0333-9280798)</t>
  </si>
  <si>
    <t>FIR No.245 dt.25/2/2015 u/s 365 PPC PS/Gulbahar,Peshawar.</t>
  </si>
  <si>
    <t>Deleted Not a Case of Enforced Disappearance. Naveed Anjum is reportedly declared as " Deserter".</t>
  </si>
  <si>
    <t>1926 - P</t>
  </si>
  <si>
    <t>HRC No. 6201-P/2014</t>
  </si>
  <si>
    <t>Tayyab Mehmood s/o Abid Hussain Abbasi</t>
  </si>
  <si>
    <t>Abid Hussain Abbasi s/o Abdul Latif Abbasi, r/o Mohallah Aliabad, Muslim Town, Rawalpindi (Mobile No. 0333-5448328)</t>
  </si>
  <si>
    <t>FIR No.306 dt.11/11/2013 u/s 365/34 PPC PS/Gulberg District West Karachi.</t>
  </si>
  <si>
    <t>Traced Person. Appeared before the Commission on 7.5.14. Furnished challan details about his abduction.</t>
  </si>
  <si>
    <t>1927 - S</t>
  </si>
  <si>
    <t>HRC No. 43502-S/2013</t>
  </si>
  <si>
    <t>Faisal Masroor Siddiqui s/o Masroor Ali Siddiqui</t>
  </si>
  <si>
    <t>Farrukh Masroor Siddique, r/o B-202, Block-13, Federal B. Area, Karachi (Mobile No. 0301-2216968)</t>
  </si>
  <si>
    <t>traced Person. Returned to Home and available at (B-202, Block-13, Federal B. Area, Karachi)</t>
  </si>
  <si>
    <t>1928 - B</t>
  </si>
  <si>
    <t>HRC No. 39354-P/2013</t>
  </si>
  <si>
    <t>Amjad Iqbal s/o Muhammad Sadiq</t>
  </si>
  <si>
    <t>Sub® Muhammad Sadiq s/o Muhammad Ibrahim, r/o P.O. Shadiwal, Wand Mehmood - K, Tehsil &amp; Distt: Gujrat (Mobile No. 0307-6202125)</t>
  </si>
  <si>
    <t>Deleted. Due to non prosecution as the complainent lodged FIR nor appeared in JIT/Commission.</t>
  </si>
  <si>
    <t>1929 - B</t>
  </si>
  <si>
    <t>Ansar Khan s/o Abdul Razzaq</t>
  </si>
  <si>
    <t>1930 - S</t>
  </si>
  <si>
    <t>HRC No. 68-S/2014</t>
  </si>
  <si>
    <t>Ghufran s/o Muhammad Jamal</t>
  </si>
  <si>
    <t>Muhammad Jamal s/o Abdul Majeed, r/o House No. R-35, Sector 5-C/1, North Karachi, Karachi (Mobile No. 0333-2390793, 0333-2390794)</t>
  </si>
  <si>
    <t>Traced Person.Returned to Home and available at (House No. R-35, Sector 5-C/1, North Karachi, Karachi)</t>
  </si>
  <si>
    <t>1931 - K</t>
  </si>
  <si>
    <t>HRC No. 20734-K/2013</t>
  </si>
  <si>
    <t>Touseef Ahmed s/o Pervaiz</t>
  </si>
  <si>
    <t>Pervaiz s/o Abdul Manan, r/o New Baghdada, Mohallah Abdul Rehman, Tehsil &amp; Distt: Mardan (Mobile No. 0342-9529535, 0342-9673596)</t>
  </si>
  <si>
    <t>FIR No.7 dt.15/01/2015 u/s 365 PPC PS Kharki District Mardan.</t>
  </si>
  <si>
    <t>Traced Person. Confined in the Internment Centre Malakand. Father of Touseef Ahmed met him in the centre.</t>
  </si>
  <si>
    <t>1932 - K</t>
  </si>
  <si>
    <t>HRC No. 2698-K/2014</t>
  </si>
  <si>
    <t>Muhammad Yousaf s/o Muhammad Khan</t>
  </si>
  <si>
    <t>Mst. Bahadur Khela w/o Muhammad Yousaf, r/o Nolekay, Tehsil Barikot, Distt: Swat (Mobile No. 0342-6895237)</t>
  </si>
  <si>
    <t>FIR No. 07 dated 15/1/2015 u/s 365-PPC PS Kharki District Mardan</t>
  </si>
  <si>
    <t>1933 - S</t>
  </si>
  <si>
    <t>HRC No. 46834-S/2013</t>
  </si>
  <si>
    <t>Muhammad Waqas Baig s/o Imtiaz Ahmed</t>
  </si>
  <si>
    <t>Imtiaz Ahmed s/o Muhammad Azam, r/o House No. L-299, Sector 50-A, New Liyari Expressway, Taser Town, Karachi (Mobile No. 0311-8267357)</t>
  </si>
  <si>
    <t>FIR No.307
 dt: 04/6/2014 u/s 365 PPC
 PS Banr, DistrictSwat</t>
  </si>
  <si>
    <t>Traced Person. Returned to Home and available at ( House No. L-299, Sector 50-A, New Liyari Expressway, Taser Town, Karachi)</t>
  </si>
  <si>
    <t>1934 - K</t>
  </si>
  <si>
    <t>HRC No. 2594-K/2014</t>
  </si>
  <si>
    <t>Fazal Haq s/o Gul Zada</t>
  </si>
  <si>
    <t>Mst. Bakhatmand Pari w/o Gul Zada, r/o Mohallah Bismillah, Masjid Shahidri, Mingora, Swat (Mobile No. 0347-2823208)</t>
  </si>
  <si>
    <t>FIR No.307
 dt: 4/06//2014 u/s 365/34 PPC
 PS Bunair</t>
  </si>
  <si>
    <t>1935 - S</t>
  </si>
  <si>
    <t>HRC No. 48404-S/2013</t>
  </si>
  <si>
    <t>Muhammad Aslam s/o Ghulam Qadir</t>
  </si>
  <si>
    <t>Ghulam Qadir, r/o Gali No. 7, Building No. 2, Scout Colony near Girls College, Scheme No.33, Gulshan-e-Iqbal, Karachi (Mobile No. 0343-1892145)</t>
  </si>
  <si>
    <t>FIR No.157 dt.9/5/2014 u/s 365 PPC PS/Bilitang District Kohat.</t>
  </si>
  <si>
    <t>Deleted. At the hearing held in this case on 25.11.2019, it has been reported that the alleged Missing Person is not in of LEAs custody the report further states that Maaz was active members of TTS during Army operation is Swat. He roamed the area accordingly with TTS and involvement in Anti/state/terrorist activities as confirmed the complainant family neither joined investigation nor the Commission. Hence the case is closed.</t>
  </si>
  <si>
    <t>1936 - K</t>
  </si>
  <si>
    <t>HRC No. 19956-G/2013</t>
  </si>
  <si>
    <t>Abdul Khaliq s/o Shermat Khan</t>
  </si>
  <si>
    <t>Shermat Khan s/o Mir Hassan, r/o Zarra Mela, Kohat (Mobile lm QayyNo. 0334-8454802)</t>
  </si>
  <si>
    <t>Traced Person. Confined in the Internment Centre, Lakki Marwat parents facilitated to met him in the centre.</t>
  </si>
  <si>
    <t>1937 - S</t>
  </si>
  <si>
    <t>HRC No. 38703-S/2013</t>
  </si>
  <si>
    <t>Faheem Gul s/o Saleh Muhammad</t>
  </si>
  <si>
    <t>Mst. Gulshan Ara w/o Saleh Muhammad, r/o Gali No. 6, Baghdadi Liyari, South Karachi</t>
  </si>
  <si>
    <t>FIR No.233 dt.07/5/2014 u/s 365 PPC PS/Mingora District Swat</t>
  </si>
  <si>
    <t>Tracedf Person. Returned to Home and available at (Gali No. 6, Baghdadi Liyari, South Karachi.)</t>
  </si>
  <si>
    <t>1938 - K</t>
  </si>
  <si>
    <t>HRC No. 47263-K/2013</t>
  </si>
  <si>
    <t>Riaz Ali s/o Biladar Khan</t>
  </si>
  <si>
    <t>Mst. Moham Pari m/o Riaz Ali, r/o Mohallah Shibarabad, Gambdah Mir, Mingora, Distt: Swat (Mobile No. 0347-9533028)</t>
  </si>
  <si>
    <t>FIR No.598 dt.24/12/2013 u/s 365 PPC PS/Kanju District Swat.</t>
  </si>
  <si>
    <t>Traced Person. Confined in the Internment Center Fizagat as reported by SP (Inv) Swat at the hearing on 11.9.14.</t>
  </si>
  <si>
    <t>1939 - K</t>
  </si>
  <si>
    <t>HRC No. 43539-K/2013</t>
  </si>
  <si>
    <t>Amir Sultan s/o Mian Gul Iqbal</t>
  </si>
  <si>
    <t>Mst. Raham Taj w/o Mian Gul Iqbal, r/o Mohallah Niamatabad, Kanju, Tehsil &amp; Distt: Swat (Mobile No. 0346-5592335, 0344-3304138)</t>
  </si>
  <si>
    <t>Traced Person. Confined in the Internment Center Lakki Marwat as intimated by Rep of MI at the hearing on 23.9.14. Family facalitated to see him.</t>
  </si>
  <si>
    <t>1940 - K</t>
  </si>
  <si>
    <t>HRC No. 31866-K/2013</t>
  </si>
  <si>
    <t>Alamzeb Khan s/o Ridai</t>
  </si>
  <si>
    <t>Mst. Bacha Sultan Bibi w/o Alamzab Khan, C/o Jahangir Khan, r/o Daag Gosam, Tehsil Munda, Distt: Lower Dir</t>
  </si>
  <si>
    <t>FIR No.252,
 dt. 6/5/2014
 u/s 365 PPC, PS Rahimabad DistrictSwat</t>
  </si>
  <si>
    <t>Traced Person. SP (Inv) Swat submitted affidavit from younger brother of Alamzeb confirmed his recovery.</t>
  </si>
  <si>
    <t>1941 - K</t>
  </si>
  <si>
    <t>HRC No. 39811-K/2012</t>
  </si>
  <si>
    <t>Iftikhar s/o Ameer Zada</t>
  </si>
  <si>
    <t>Ameer Zada f/o Missing Person, r/o Mohallah Khawaja Khel, Odigaram, Distt: Swat (MobileNo. 0342-2210320)</t>
  </si>
  <si>
    <t>FIR No. 252 dated 6/5/2014 u/s 365-PPC PS Rahimabad District Swat</t>
  </si>
  <si>
    <t>1942 - P</t>
  </si>
  <si>
    <t>HRC No. 48140-P/2013</t>
  </si>
  <si>
    <t>Tahir Hassan s/o Arshad Tariq</t>
  </si>
  <si>
    <t>Mst. Sajjida Bashir w/o Tahir Hassan, r/o Mian Lodge, Almadina Town, Gali No. 3, Old Shujaabad Road, near PS Qutabpur, Distt: Multan (Mobile No. 0344-8788544, 0312-1628216)</t>
  </si>
  <si>
    <t>Traced Person. Wife of Arshad Tariq who is son of Tahir Hassan appeared before the Commission on 23.5.2014 and confirmed that Tahir Hassan has returned to home.</t>
  </si>
  <si>
    <t>1943 - S</t>
  </si>
  <si>
    <t>HRC No. 2918-S/2014</t>
  </si>
  <si>
    <t>Kamran Khan s/o Muhammad Khan</t>
  </si>
  <si>
    <t>Muhammad Danish Khan s/o Muhammad Khan, r/o Abu-al-Hassan Asfahani Road, Cheapal Garden, Block-J, Flat No. 307, Gulshan-e-Iqbal, Karachi (Mobile no. 0333-6060879)</t>
  </si>
  <si>
    <t>FIR No.253 dt. 07/05/2014 u/s 365 PPC, PS Rahimabad, District Swat</t>
  </si>
  <si>
    <t>Traced Person. Returned to Home and available at ( Abu-al-Hassan Asfahani Road, Cheapal Garden, Block-J, Flat No. 307, Gulshan-e-Iqbal, Karachi)</t>
  </si>
  <si>
    <t>1944 - K</t>
  </si>
  <si>
    <t>HRC No. 3154-K/2014</t>
  </si>
  <si>
    <t>Naseeb Gul s/o Ziarat Gul</t>
  </si>
  <si>
    <t>Mst. Balanishta w/o Ziarat Gul (L), r/o Barkaley near Cement Gowdown, Saidu Sharif, Distt: Swat.</t>
  </si>
  <si>
    <t>FIR No. 253 dt.7/5/2014 u/s 365 PPC, PS Rahimabad District Swat.</t>
  </si>
  <si>
    <t>1945 - S</t>
  </si>
  <si>
    <t>HRC No. 18777-S/2013</t>
  </si>
  <si>
    <t>Yousaf Khan s/o Sahib Jaan</t>
  </si>
  <si>
    <t>Naseeb Khan s/o Sahib Jaan, r/o House No. GA-03, Gulshan Askari, Qazafi Town No. 3, Karachi</t>
  </si>
  <si>
    <t>1946 - B</t>
  </si>
  <si>
    <t>HRC No. 12573-B/2012</t>
  </si>
  <si>
    <t>Nauroz Khan s/o Akhtar Muhammad</t>
  </si>
  <si>
    <t>Kamal Khan s/o Nauroz Khan, r/o Muhallah Nawa Killi, Akhri Stop, Quetta</t>
  </si>
  <si>
    <t>FIR No.841 dt.27/7/2013 u/s 365 PPC PS/Matta, District Swat</t>
  </si>
  <si>
    <t>Traced Person. Naib Tehsildar Sangar submitted report that Nauroz Khan has returned to home. His statement placed in the file.</t>
  </si>
  <si>
    <t>1947 - K</t>
  </si>
  <si>
    <t>HRC No. 19231-K/2013</t>
  </si>
  <si>
    <t>Muhammad Sher s/o Zarai</t>
  </si>
  <si>
    <t>Mst. Bibi Raman m/o Missing Person, r/o Gojar Band, Tehsil Matta, Distt: Swat (Mobile No. 0344-5168879)</t>
  </si>
  <si>
    <t>FIR No.144 dt.06/05/2014 u/s 365 PPC PS Manglawar District Swat</t>
  </si>
  <si>
    <t>Traced Person. Confined in the Internment Center Paithom as informed by I.O of the case on 23.9.14. Family facilitated to see him.</t>
  </si>
  <si>
    <t>1948 - K</t>
  </si>
  <si>
    <t>HRC No. 47147-K/2013</t>
  </si>
  <si>
    <t>Abdul Sattar s/o Abdul Qadir</t>
  </si>
  <si>
    <t>Mst. Akhtara Bibi w/o Abdul Sattar, r/o Banjot, P.O. Manglor, Tehsil Babozai, Distt: Swat</t>
  </si>
  <si>
    <t>FIR No.144 dt. 06/05/2014 u/s 365 PPC PS Mang Lawer</t>
  </si>
  <si>
    <t>1949 - K</t>
  </si>
  <si>
    <t>HRC No.5875-K/2014</t>
  </si>
  <si>
    <t>Fazal Maula s/o Gul Nawab</t>
  </si>
  <si>
    <t>Mst. Jannat Mahal w/o Gul Nawab, r/o Ulandar, Samasti Belkanai, Tehsil Alpurai, Distt: Shangla (Tel No. 0996-427364)</t>
  </si>
  <si>
    <t>Traced Person. Confined in the Internment Center Paithom as intimated by Rep of MI at the hearing on 19.01.2015.</t>
  </si>
  <si>
    <t>1950 - K</t>
  </si>
  <si>
    <t>HRC No.1439-K/2014</t>
  </si>
  <si>
    <t>Jan Muhammad s/o Dilbar</t>
  </si>
  <si>
    <t>Mst. Zeba w/o Jan Muhammad, r/o Village Koza Bandai, Tehsil Kabal, Distt: Swat (Mobile No. 0347-0979663)</t>
  </si>
  <si>
    <t>FIR No. 94
 dt: 25-3-2011
 u/s 365 PPC
 PS. City
 District: Kohat</t>
  </si>
  <si>
    <t>Traced Person. SP (Inv) Swat informed at the hearing on 10.9.14 that Jan Muhammad remained confined in Internment Centre, Kohat.</t>
  </si>
  <si>
    <t>1951-K</t>
  </si>
  <si>
    <t>HRC No.29779-K/2013</t>
  </si>
  <si>
    <t>Riaz Mansoor Paracha s/o Khair Muhammad Jalali</t>
  </si>
  <si>
    <t>Talha Mansoor Paracha s/o Riaz Mansoor Paracha, r/o Jalali Market, Main Bazar, Kohat (Mobile No. 0333-9618234)</t>
  </si>
  <si>
    <t>FIR No.162 dt.29/04/2014 u/s 365 PPC PS Ghoriwala District Bannu</t>
  </si>
  <si>
    <t>1952-K</t>
  </si>
  <si>
    <t>HRC No.48529-K/2013</t>
  </si>
  <si>
    <t>Farman Ullah Khan s/o Rahim Khan</t>
  </si>
  <si>
    <t>Noman Khan s/o Farman Ullah Khan, r/o Village Sarmast Mera Khel, P.O. Chak Daddan, P.S. Ghoriwala, Tehsil &amp; Distt: Bannu</t>
  </si>
  <si>
    <t>FIR No.92 dt.29/01/2015 u/s 365 PPC PS City District Mardan.</t>
  </si>
  <si>
    <t>Traced Person. Confined in the Internment Centre, Lakki Marwat as intimated by Rep of MI at the hearing on 8.1.15</t>
  </si>
  <si>
    <t>1953-K</t>
  </si>
  <si>
    <t>HRC No.2710-K/2014</t>
  </si>
  <si>
    <t>Qari Muhammad Suleman Khan s/o Sanobar Khan</t>
  </si>
  <si>
    <t>Mst. Shakeela Bibi w/o Qari Muhammad Suleman Khan, r/o Village Qambar near 3-Friends CNG Station Mohallah Cheel, Distt: Swat (Mobile No. 0301-8363373)</t>
  </si>
  <si>
    <t>15602-5784438-7</t>
  </si>
  <si>
    <t>FIR No. 295 dated 25/9/2014 u/s 365-PPC PS City District Mardan</t>
  </si>
  <si>
    <t>1954-K</t>
  </si>
  <si>
    <t>HRC No.46316-K/2013</t>
  </si>
  <si>
    <t>Zia-ur-Rehman s/o Muhammad Naseer</t>
  </si>
  <si>
    <t>Muhammad Naseer s/o Samiullah Khan, r/o Flat No. T-1156, Street No. 8, Usmania Colony, Bashirabad, Peshawar</t>
  </si>
  <si>
    <t>FIR No.251 dt.06/5/2014 u/s 365 PPC PS Rahimabad, District Swat</t>
  </si>
  <si>
    <t>Deleted. Died in Police encounter as informed by CCPO Peshawar in his report.</t>
  </si>
  <si>
    <t>1955-K</t>
  </si>
  <si>
    <t>HRC No.45810-K/2013</t>
  </si>
  <si>
    <t>Nasir Ali s/o Majeeb Gul</t>
  </si>
  <si>
    <t>Majeeb Gul s/o Jumma Gul, r/o Rehmanabad, Qamber Khel, Babozai, Distt: Swat (Mobile No. 0314-9714610)</t>
  </si>
  <si>
    <t>FIR No.251 dt.6/5/2014 u/s 365 PPC PS Rahimabad District Swat.</t>
  </si>
  <si>
    <t>1956-K</t>
  </si>
  <si>
    <t>HRC No.45576-K/2013</t>
  </si>
  <si>
    <t>Aziz-ul-Mulk</t>
  </si>
  <si>
    <t>Mst. Fatima w/o Aziz-ul-Mulk, r/o Mohallah Dawat Khel, Tehsil Babozai, Qambar, Swat (Mobile No. 0324-9960483)</t>
  </si>
  <si>
    <t>Traced Person. It was informed that Aziz-ul-Mulk was in Internment Centre, Kohat where he expired. Dead body handed over to legal heirs .</t>
  </si>
  <si>
    <t>1957 - S</t>
  </si>
  <si>
    <t>HRC No. 45783-S/2013</t>
  </si>
  <si>
    <t>Abdul Qayyum</t>
  </si>
  <si>
    <t>Mst. Bibi Zohra w/o Abdul Qayyum, r/o House No. Zia Colony, Metrovil Site, Karachi (Mobile No. 0300-2298671)</t>
  </si>
  <si>
    <t>Traced Person. Returned to Home and available at (House No. Zia Colony, Metrovil Site, Karachi)</t>
  </si>
  <si>
    <t>1958- S</t>
  </si>
  <si>
    <t>Muhammad Naeem</t>
  </si>
  <si>
    <t>Traced Person. Returned to Home an available at (House No. Zia Colony, Metrovil Site, Karachi)</t>
  </si>
  <si>
    <t>1959 - S</t>
  </si>
  <si>
    <t>Zia-ud-Din</t>
  </si>
  <si>
    <t>1960 - S</t>
  </si>
  <si>
    <t>HRC No. 766-S/2014</t>
  </si>
  <si>
    <t>Abdul Sattar s/o Jumoon Khan</t>
  </si>
  <si>
    <t>Jumoon Khan s/o Dino Rahimoon, r/o Village Neblo, C/o Chachro Iron Store Chachro, Distt: Tharparkar, Sindh</t>
  </si>
  <si>
    <t>FIR No.337 dt.9/11/2014 u/s 365/34 PPC PS/Kalakot,District South City,Karachi.</t>
  </si>
  <si>
    <t>1961 - S</t>
  </si>
  <si>
    <t>HRC No. 46508-S/2013</t>
  </si>
  <si>
    <t>Shoaib s/o Abdul Razzaq</t>
  </si>
  <si>
    <t>Mst. Haleema w/o Abdul Razzaq, r/o St. No. 14, Rakcer Lane near Hanifa Masjid, Mewa Shah Road, Lyari, Karachi (Mobile No. 0324-3298731)</t>
  </si>
  <si>
    <t>FIR No.691 dt.30/07/2013 u/s 365 PPC PS Ghaligai District Swat.</t>
  </si>
  <si>
    <t>1962-K</t>
  </si>
  <si>
    <t>HRC No.25369-K/2013</t>
  </si>
  <si>
    <t>Nadir Khan s/o Said Rehman</t>
  </si>
  <si>
    <t>Mst. Khalida w/o Nadir Khan, r/o Maniar, Tehsil Barikot, Distt: Swat (Mobile No. 0347-5236611 &amp; 0314-9076117 &amp; 0336-955990)</t>
  </si>
  <si>
    <t>15602-0378981-7</t>
  </si>
  <si>
    <t>1963 - S</t>
  </si>
  <si>
    <t>HRC No. 46626-S/2013</t>
  </si>
  <si>
    <t>Bashir Ahmed Khaskheli</t>
  </si>
  <si>
    <t>Aijaz Hussain b/o Missing Person, r/o House No. A-26. Block-1, Street No. 2, Chapal Suncity Banglows near Kiran Hospital, Karachi (Mobile No. 0300-2778373)</t>
  </si>
  <si>
    <t>Traced Person. Returned to Home and available at (House No. A-26. Block-1, Street No. 2, Chapal Suncity Banglows near Kiran Hospital, Karachi)</t>
  </si>
  <si>
    <t>1964 - P</t>
  </si>
  <si>
    <t>Muhammad Nasir s/o Ghulam Murtaza</t>
  </si>
  <si>
    <t>Ghulam Musatafa uncle of Missing Person, r/o Cha Bhanbhonwala, Mouza Dargh, P.O. Kot Addu, Distt: Muzafargarh (Mobile No. 0342-3282575)</t>
  </si>
  <si>
    <t>FIR No.238 dt.02/05/2014 u/s 365 PPC PS Naseerabad District Rawalpindi</t>
  </si>
  <si>
    <t>Traced Person. DPO Muzafargarh informed at the hearing that Muhammad Nasir has confirmed in District Jail, Multan.</t>
  </si>
  <si>
    <t>1965 - P</t>
  </si>
  <si>
    <t>Muneeb Ahmed s/o Ghulam Jillani</t>
  </si>
  <si>
    <t>Zohair Ahmed s/o Ghulam Jillani, r/o House No. 430/12-F (CB-2429), Mohallah Bahadur Khan Street, Saham Road, Chohar Harpal, Rawalpindi (Mobile No. 0323-8557439)</t>
  </si>
  <si>
    <t>Traced Person.Confined in the Internment Center Kohat as informed by Rep of MI.</t>
  </si>
  <si>
    <t>1966 - P</t>
  </si>
  <si>
    <t>Muhammad Nawaz s/o Muhammad Rahim</t>
  </si>
  <si>
    <t>Saeed Ali s/o Muhammad Rahim, r/o Gali No. 3, Nae Abadi, Mohallah Islamabad, Sialkot (Mobile No. 0300-6113251, 0315-6113251)</t>
  </si>
  <si>
    <t>FIR No.437 dt.05/6/2014 u/s 365 PPC PS/Cantt.,D.I.Khan.</t>
  </si>
  <si>
    <t>Traced Person. Appeared before the Commission on 24.9.2014. Stated that nobody abducted him, rather, he want on his own.</t>
  </si>
  <si>
    <t>1967 - K</t>
  </si>
  <si>
    <t>Muhammad Waqar Faisal s/o Ghulam Siddique</t>
  </si>
  <si>
    <t>Ghulam Siddique (Head Master), r/o Madina Housing Colony, D.I. Khan (Mobile No. 0313-9355874)</t>
  </si>
  <si>
    <t>FIR No.290 dt.09/05/2014 u/s 365 PPC PS MRS District Kohat</t>
  </si>
  <si>
    <t>Traced Person. Confined in the Internment Center Lakki Marwat as informed by Rep of MI on 9.4.2015.</t>
  </si>
  <si>
    <t>1968 - K</t>
  </si>
  <si>
    <t>Muhammad Ali s/o Muhammad Hussain</t>
  </si>
  <si>
    <t>Ghulam Hussain s/o Sifat Shah, r/o Shaheeda Banda, Mohallah Toheedabad, Baqizai, Tehsil &amp; Distt: Kohat (Mobile No. 0333-9616875)</t>
  </si>
  <si>
    <t>FIR No.182 dt.06/5/2014 u/s365 PPC PS Kanju District Swat</t>
  </si>
  <si>
    <t>1969 - K</t>
  </si>
  <si>
    <t>Yousaf Khan s/o Abdullah</t>
  </si>
  <si>
    <t>Abdullah f/o Missing Person, r/o Mohallah Toheedabad, Village Bara Bandi, Tehsil Kabal, Distt: Swat (Mobile No. 0313-9852402)</t>
  </si>
  <si>
    <t>FIR No.249 dt.07/5/2014 u/s365/34 PPC PS Kabal DistrictSwat</t>
  </si>
  <si>
    <t>1970 - K</t>
  </si>
  <si>
    <t>Bacha Wazir s/o Bakhat Wazir</t>
  </si>
  <si>
    <t>Mst. Shah Begum w/o Bacha Wazir, r/o Shah Dheri, Mohallah Gharibabad, Tehsil Kabal, Distt: Swat (Mobile No. 0347-8920226)</t>
  </si>
  <si>
    <t>Traced Person. Confined in the Internment Centre, Fizagat as informed by Rep of MI at the hearing on 23.9.14.</t>
  </si>
  <si>
    <t>1972 - P</t>
  </si>
  <si>
    <t>Maqsood Ahmed s/o Muhammad Din</t>
  </si>
  <si>
    <t>Kamran Maqsood s/o Maqsood Ahmed, r/o House No. 46-A, Street No. 82, Mohallah Ladhay Shah, Shahdra Town, Lahore</t>
  </si>
  <si>
    <t>1973 - K</t>
  </si>
  <si>
    <t>Syed Ghani s/o Abdul Wali Khan</t>
  </si>
  <si>
    <t>Mst. Dilawar Jana w/o Abdul Wali Khan, r/o Banda Mardo Khel, Distt: Hangu (Mobile No. 0331-4089447, 0332-9543309)</t>
  </si>
  <si>
    <t>Traced Person. Confined in the Internment Centre, Lakki Marwat as intimated by Rep of MI at the hearing on 26.9.14.</t>
  </si>
  <si>
    <t>1974 - K</t>
  </si>
  <si>
    <t>Ehsan Ullah s/o Sher Bahadur</t>
  </si>
  <si>
    <t>Sajid-ur-Rehman s/o Sher Bahadur, r/o Mohallah Toheedabad, P.O. Do-aaba, Tehsil &amp; Distt: Hangu (Mobile No. 0333-9597065, 0332-9921086)</t>
  </si>
  <si>
    <t>FIR No.218 dt.19/5/2014 u/s 365 PPC PS/Gulberg,Peshawar.</t>
  </si>
  <si>
    <t>Traced Person. Appearance before the Commission on 16.6.14. Stated that he went to Afghansitan on his own.</t>
  </si>
  <si>
    <t>1975 - S</t>
  </si>
  <si>
    <t>HRC No. 4172-S/ 2014</t>
  </si>
  <si>
    <t>Siraj Ullah s/o Gulzar Saeed</t>
  </si>
  <si>
    <t>Gulzar Saeed s/o Ahmed Khan, r/o House No. 1218, Peerabad Colony, No. 2, Orangi Town, West Karachi (Mobile No. 0315-3396334)</t>
  </si>
  <si>
    <t>Traced Person.Returned to Home and available at (House No. 1218, Peerabad Colony, No. 2, Orangi Town, West Karachi)</t>
  </si>
  <si>
    <t>1976 - S</t>
  </si>
  <si>
    <t>Abdul Rehman s/o Habibullah</t>
  </si>
  <si>
    <t>Traced Person. Returned to Home and available at (House No. 1218, Peerabad Colony, No. 2, Orangi Town, West Karachi)</t>
  </si>
  <si>
    <t>1977 - S</t>
  </si>
  <si>
    <t>Muhammad Umer</t>
  </si>
  <si>
    <t>1978 - P</t>
  </si>
  <si>
    <t>Tahir Ayub s/o Muhammad Ayub Khan</t>
  </si>
  <si>
    <t>Muhammad Ayub Khan s/o Muhammad Ajab Khan, r/o Jamia Masjid Salah-ud-Din Ayubi, Mohallah Qureshan, Rawalpindi Cantt (Mobile No. 0336-1525225)</t>
  </si>
  <si>
    <t>FIR No.212 dt.09/5/2014 u/s 365 PPC PS/R.A.Bazaar,Rawalpindi.</t>
  </si>
  <si>
    <t>Traced Person. Appeared before the Commission on 17.6.2014. Stated that he went for Tableegh but could not informed his family.</t>
  </si>
  <si>
    <t>1979 - K</t>
  </si>
  <si>
    <t>Abdul Rehman s/o Munir Muhammad</t>
  </si>
  <si>
    <t>Maqdad s/o Munir Muhammad, r/o Chak Noabad, P.O. Cement Factory, Tehsil &amp; Distt. Dera Ghazi Khan (Mobile No. 0333-1704030)</t>
  </si>
  <si>
    <t>Traced Person. SP (Inv) Bannu informed at the hearing on 13.7.2016 that Abdul Rehman has returned to home.</t>
  </si>
  <si>
    <t>1980 - P</t>
  </si>
  <si>
    <t>Habib-ur-Rehman s/o Qari Muhammad Yaqoob</t>
  </si>
  <si>
    <t>Qari Muhammad Yaqoob, r/o Chak No. 158-WB, P.O. Jahanian, Tehsil Melsi, Distt: Vehari (Mobile No. 0302-7607468)</t>
  </si>
  <si>
    <t>FIR No.88 dt.03/2/2016 u/s 365 PPC PS/Shafiqabad,Lahore.</t>
  </si>
  <si>
    <t>Closed (Concluded by JIT &amp; PTF it is not a case of Enforced Disappearances)</t>
  </si>
  <si>
    <t>1981-K</t>
  </si>
  <si>
    <t>HRC. No. 13371-K/ 2014</t>
  </si>
  <si>
    <t>Jahan Alam s/o Jahangir Khan</t>
  </si>
  <si>
    <t>Rehmanullah s/o Dolat Khan, r/o Angro Dherai, Mohallah Mir Khan Khel, Mingora, Tehsil &amp; Distt: Swat (Mobile No. 0344-9447773, 0333-9465308)</t>
  </si>
  <si>
    <t>FIR No.964 dt.19/09/2014 u/s 365 PPC PS City,Mardan</t>
  </si>
  <si>
    <t>1982 - K</t>
  </si>
  <si>
    <t>Gohar Ayub s/o Muhammad Mir</t>
  </si>
  <si>
    <t>Taj Malook s/o Mir Khan, r/o Tappi, Baqi Zai, Kohat (Mobile No. 0344-9252306)</t>
  </si>
  <si>
    <t>FIR No.782 dt.20/11/2014 u/s 365 PPC PS MRS District Kohat</t>
  </si>
  <si>
    <t>1983 - K</t>
  </si>
  <si>
    <t>Bilal Ahmed s/o Iqbal Rehman</t>
  </si>
  <si>
    <t>Mubashir Siddique s/o Iqbal Rehman, r/o Do-abba, Distt: Hangu (Mobile No. 0308-2724603)</t>
  </si>
  <si>
    <t>Traced Person. Confined in the Internment at Kohat as informed by Rep of MI at the hearing on 26.6.14.</t>
  </si>
  <si>
    <t>1984 - K</t>
  </si>
  <si>
    <t>Taj-ud-Din s/o Abdul Ghaffor</t>
  </si>
  <si>
    <t>Mst. Khawazna Bibi, r/o Pathan Kot, Tehsil &amp; Distt: Tank (Mobile No. 0343-9295456)</t>
  </si>
  <si>
    <t>FIR No.397
 dt: 19/5/2014
 u/s 365 PPC
 PS/Cantt.,D.I.Khan</t>
  </si>
  <si>
    <t>Traced Person. Brother of Taj-ud-Din confirmed at the hearing that dead body was received from Internment Centre, Kohat.</t>
  </si>
  <si>
    <t>1985 - P</t>
  </si>
  <si>
    <t>HRC No. 47379-P/ 2013</t>
  </si>
  <si>
    <t>Umer Hayat s/o Khushi Muhammad</t>
  </si>
  <si>
    <t>Mst. Muqadas Fatima w/o Umer Hayat, r/o Sohawa Bolani Jamlani, Tehsil &amp; Distt: Mandi Baha-ud-Din</t>
  </si>
  <si>
    <t>FIR No.1283
 dt: 24/12/2014
 u/s 365 PPC
 PS/South Cantt.,Lahore</t>
  </si>
  <si>
    <t>Deleted. Not a Case of Enforced Disappearances. The incident took place in the year 1996 and as per report he is an Army deserter.</t>
  </si>
  <si>
    <t>1986 - K</t>
  </si>
  <si>
    <t>Arfat Khan s/o Mewa Khan</t>
  </si>
  <si>
    <t>Noor Haji b/o Missing Person, r/o Jadeed Bandah, Tehsil Tal, Distt: Hangu (Mobile No. 0300-5697217)</t>
  </si>
  <si>
    <t>FIR No.421
 dt: 26/11/2014
 u/s 365 PPC
 PS D0aba, Distt. Hangu</t>
  </si>
  <si>
    <t>Traced Person. SP (Inv) Hangu informed that Arfat Khan died natural death and buried.</t>
  </si>
  <si>
    <t>1987 - P</t>
  </si>
  <si>
    <t>Hafiz Abdul Rehman s/o Muhammad Siddique</t>
  </si>
  <si>
    <t>Muhammad Siddique f/o Missing Person, r/o Sangrana, P.S. Dolat Nagar, Tehsil &amp; Distt: Gujrat (Mobile No. 0333-5286764)</t>
  </si>
  <si>
    <t>FIR No.140
 dt: 04/06/2014
 u/s 365 PPC
 PS Daulatnagar, Distt. Gujrat</t>
  </si>
  <si>
    <t>Traced Person. Rep of MI, submitted that the Missing Person Hafiz Abdul Rehman is Confined in Internment Center, Lakki Marwat under Action (in aid of Civil Power Regulation 2011</t>
  </si>
  <si>
    <t>1988 - K</t>
  </si>
  <si>
    <t>Muhammad Naveed s/o Muhammad Shoaib</t>
  </si>
  <si>
    <t>Mst. Zohra Bibi m/o Missing Person, r/o Gorejha, Bara Bandi, Tehsil &amp; Distt, Swat (Mobile No. 0312-78477191, 0342-865149)</t>
  </si>
  <si>
    <t>FIR No.222 dt.18/5/2014 u/s365 PPC PS Kanju DistrictSwat</t>
  </si>
  <si>
    <t>Traced Person.Confined in the Internment Center paitham as informed by Rep of MI at the hearing on 18.12.14.</t>
  </si>
  <si>
    <t>1989 - K</t>
  </si>
  <si>
    <t>Salman s/o Muhammad Shoaib</t>
  </si>
  <si>
    <t>1990 - K</t>
  </si>
  <si>
    <t>Jamshed s/o Fateh Rehman</t>
  </si>
  <si>
    <t>Mst. Benzair m/o Missing Person, r/o Sakha Kot Bazar, , P.O. Sakha Kot, Tehsil Dargai, Distt: Malakand (Mobile No. 0303-5997376).</t>
  </si>
  <si>
    <t>Traced Person. Jamshed was killed on 4.9.2009 as a result of rocket attack on the building where he had taken refuge.</t>
  </si>
  <si>
    <t>1991 - K</t>
  </si>
  <si>
    <t>Rehmat Ali s/o Gul Muhammad Shah</t>
  </si>
  <si>
    <t>Mst. Jahan Saba, r/o Koza Banday, Tehsil Kabal, Distt, Swat (Mobile No. 0347-9235612)</t>
  </si>
  <si>
    <t>Traced Person. Appeared before the Commission on 11.9.2014. He was neither arrested nor detained by any angency.</t>
  </si>
  <si>
    <t>1992 - I</t>
  </si>
  <si>
    <t>Muhammad Sultan s/o Khan Muhammad</t>
  </si>
  <si>
    <t>Khan Muhammad f/o Missing Person, r/o 253-Jahangir, Nai Basti, Mazhabiwala, Samandari Road, Faisalabad (Mobile No. 0310-3310245)</t>
  </si>
  <si>
    <t>FIR No.449 dt.16/07/2014 u/s 365 PPC PS Kot Momin District Sargodha</t>
  </si>
  <si>
    <t>Traced Person. Father appeared before the Commission on 27.1.15. Stated that Muhammad Sultan could not appear due to aitment.</t>
  </si>
  <si>
    <t>1993 - S</t>
  </si>
  <si>
    <t>Issac Samson s/o Younas Sadiq</t>
  </si>
  <si>
    <t>Younas Sadiq f/o Missing Person, r/o House No. 928, Gali No. 11, Azam Basti, Mehmoodabad, Karachi (Mobile No. 0341-3001306, 0345-2213039)</t>
  </si>
  <si>
    <t>FIR No. 322
 dt: 11-12-2014
 u/s 365/34 PPC
 PS. Pakistan Bazaar
 District: West Karachi</t>
  </si>
  <si>
    <t>1994 - I</t>
  </si>
  <si>
    <t>Umer Farooq s/o Habibullah Naz</t>
  </si>
  <si>
    <t>Muhammad Siddique Awan, r/o Quarter No. A-24/5, Gali No. 109, Sector G-7/4, near Iqbal Hall, Islamabad (Mobile No. 0333-5152672, 0321-5794970)</t>
  </si>
  <si>
    <t>FIR No.69 dt.29/1/2015 u/s 365 PPC PS Margalla District Islamabad.</t>
  </si>
  <si>
    <t>1995 - P</t>
  </si>
  <si>
    <t>Sabir Muhammad s/o Piaw Muhammad</t>
  </si>
  <si>
    <t>Khalid Muhammad s/o Piaw Muhammad, r/o Dhok Banaras, Misriyal Road, Rawalpindi (Mobile No. 0335-8011211)</t>
  </si>
  <si>
    <t>FIR No. 74
 dt: 8-2-2014
 u/s 365/34
 PS. Naseerabad
 District: Rawalpindi</t>
  </si>
  <si>
    <t>Traced Person. Confined in Adyala Jail in cas FIR No 76 dated 1.3.14 u/s 186/353/352 PPC</t>
  </si>
  <si>
    <t>1996 - I</t>
  </si>
  <si>
    <t>Muhammad Sheharyar s/o Noor Muhammad</t>
  </si>
  <si>
    <t>Hazratullah s/o Noor Muhammad, r/o Airport Link Road, Shah Faisal Colony, Khawaja Market, Ghousia Ajmiria Super Store, Rawalpindi (Mobile No. 0300-5073336, 0311-7538780)</t>
  </si>
  <si>
    <t>Traced Person. Hazarat Ullah his brother confirmed at the hearing on 5.8.14 that Muhammad Sheharyar has been recovered.</t>
  </si>
  <si>
    <t>1997 - K</t>
  </si>
  <si>
    <t>Umer Nabi s/o Ghulam Habib</t>
  </si>
  <si>
    <t>Mst. Zeba w/o Ghulam Habib, r/o Neharabad, Koza Bandi, Swat (Mobile No. 0315-4751958, 0341-1911613)</t>
  </si>
  <si>
    <t>FIR No. 245 dt. 26/5/2014 u/s 365 PPC, PS Kanju, District Swat</t>
  </si>
  <si>
    <t>Under Investigation (KPK) Swat</t>
  </si>
  <si>
    <t>1998 - K</t>
  </si>
  <si>
    <t>Ilyas s/o Muhamad Asghar</t>
  </si>
  <si>
    <t>Mst. Fareeda w/o Muhammad Asghar, r/o Mohallah Fareedon Khan, Koza Bandi, Tehsil Kabal, Distt: Swat (Mobile No. 0342-0958293)</t>
  </si>
  <si>
    <t>FIR No.244
  dt.26/5/2014
  u/s365 PPC
  PS Kanju
  DistrictSwat</t>
  </si>
  <si>
    <t>Traced Person. Returned home. Statement recorded and furnished to the Commission at the hearing on 15.7.14.</t>
  </si>
  <si>
    <t>1999 - K</t>
  </si>
  <si>
    <t>Bilal s/o Anwar Rasheed</t>
  </si>
  <si>
    <t>Mst. Tahira w/o Anwar Rasheed, r/o Mohallah Mosa Khan, Nangolai, Tehsil Kabal, Distt: Swat (Mobile No. 0345-3067739)</t>
  </si>
  <si>
    <t>Traced Person. SP (Inv) informed that he was a traced person and residing at his home.</t>
  </si>
  <si>
    <t>2000 - K</t>
  </si>
  <si>
    <t>Dilawar s/o Daad Shah</t>
  </si>
  <si>
    <t>Daad Shah f/o Missing Person, r/o Dodha Sharif, Bahawalgarh, Distt: Kohat (Mobile No. 0336-3433661)</t>
  </si>
  <si>
    <t>FIR No.175 dt.29/05/2014 u/s 365 PPC PS Bilitang District Kohat</t>
  </si>
  <si>
    <t>Traced Person.Confined in the Internment Center Kohat as intimated by Rep of MI on 14.10.14.</t>
  </si>
  <si>
    <t>2001 - K</t>
  </si>
  <si>
    <t>Yaqoob Suleman s/o Ghulam Habib</t>
  </si>
  <si>
    <t>Traced Person. Confined in the Internment Centre, Paitham as informed by Rep of MI at the hearing on 9.9.14.</t>
  </si>
  <si>
    <t>2002 - K</t>
  </si>
  <si>
    <t>Inayatullah s/o Fazal Subhan</t>
  </si>
  <si>
    <t>Fazal Subhan f/o Missing Person, r/o Mohallah Mian Gulabad, Koza Bandi, Swat Tehsil &amp; Distt: Swat (Mobile No. 0341-4342707)</t>
  </si>
  <si>
    <t>FIR No. 246 dt. 26/5/2014 u/s 365 PPC, PS Kanju, District Swat</t>
  </si>
  <si>
    <t>2003 - K</t>
  </si>
  <si>
    <t>Fazal Wahab s/o Ghulam Rasheed</t>
  </si>
  <si>
    <t>Mst. Zeba Bibi w/o Ghulam Rasheed, r/o Mohallah Shahi Bagh, Koza Bandi, Tehsil &amp; Distt: Swat (Mobile No. 0314-9711411)</t>
  </si>
  <si>
    <t>FIR No. 268 dt. 4/6/2014 u/s 365 PPC, PS Kanju, District Swat</t>
  </si>
  <si>
    <t>2004 - K</t>
  </si>
  <si>
    <t>Abdul Wahab s/o Ghulam Rasheed</t>
  </si>
  <si>
    <t>2005 - K</t>
  </si>
  <si>
    <t>Shah Khalid s/o Fazal Rabi</t>
  </si>
  <si>
    <t>Mst. Shabana w/o Fazal Rabi, r/o Mohallah Toheedabad, Village &amp; P.O. Bara Bandi, Tehsil Kabal, Distt: Swat (Mobile No. 0308-5827140)</t>
  </si>
  <si>
    <t>FIR No. 269 dt. 4/6/2014, u/s 365 PPC, PS Kanju, District Swat</t>
  </si>
  <si>
    <t>Traced Person. Confined in the Internment Centre, Fizagat as intimated by Rep of MI at the hearing on 28.8.2014.</t>
  </si>
  <si>
    <t>2006 - K</t>
  </si>
  <si>
    <t>Umer Wahid s/o Muhammadi Gul</t>
  </si>
  <si>
    <t>Muhammadi Gul f/o Missing Person, r/o Mohallah Bostan Khel, Angro Dherai, Tehsil &amp; Distt: Swat (Mobile No. 0342-9496617)</t>
  </si>
  <si>
    <t>FIR No. 183 dt. 5/6/2014, u/s 365 PPC, PS Manglawar, District Swat</t>
  </si>
  <si>
    <t>2007 - K</t>
  </si>
  <si>
    <t>Sardar Hussain s/o Bakhat Zada</t>
  </si>
  <si>
    <t>Rehmat Hussain s/o Bakhat Zada, r/o Koza Banda, Tehsil Kabal, Distt: Swat (Mobile No. 0313-2042859)</t>
  </si>
  <si>
    <t>FIR No. 267 dt. 4/6/2014 u/s 365 PPC, PS Kanju District Swat</t>
  </si>
  <si>
    <t>2008 - K</t>
  </si>
  <si>
    <t>Miraj Muhammad s/o Muhammad Shah Khan</t>
  </si>
  <si>
    <t>Hanifullah s/o Muhammad Shah Khan, r/o Mohallah Noorabad, Maidan Bandi, Tehsil Lal Qilah, Distt: Lower Dir (Mobile No. 0302-5977250)</t>
  </si>
  <si>
    <t>FIR No.640 dt.01/11/2012 u/s 365 PPC PS Lalqilla District Dir Lower</t>
  </si>
  <si>
    <t>Under Investigation (KPK)</t>
  </si>
  <si>
    <t>Clubbed File with case 0915-K</t>
  </si>
  <si>
    <t>2009 - K</t>
  </si>
  <si>
    <t>Abdul Rafay s/o Sorkamand</t>
  </si>
  <si>
    <t>Aziz Ahmed s/o Abdul Rafay, r/o Shah Dehrai, Tehsil Kabal, Distt: Swat (Mobile No. 0346-3694753, 0344-9643249)</t>
  </si>
  <si>
    <t>FIR No.123 dt. 5/6/2014 u/s 365/34 PPC, PS Shsh Dherai, District Swat</t>
  </si>
  <si>
    <t>Traced Person. Confined in the Internment Center Pathiom as informed by Rep of MI at the hearing on 19.3.15.</t>
  </si>
  <si>
    <t>2010 - K</t>
  </si>
  <si>
    <t>Abdul Manan s/o Abdul Rehman</t>
  </si>
  <si>
    <t>Mst. Hazratiya w/o Abdul Manan, r/o Mohallah Kemalpur, Char Bagh, Tehsil &amp; Distt: Swat (Mobile No. 0307-5749700)</t>
  </si>
  <si>
    <t>FIR No. 123 dt. 9/6/2014 u/s 365 PPC, PS Charbagh, District Swat</t>
  </si>
  <si>
    <t>2011 - K</t>
  </si>
  <si>
    <t>Fawad s/o Bakhat Ali</t>
  </si>
  <si>
    <t>Bakhat Ali s/o Rehman Ghani, r/o Kanju Township, Sector-B, House No. 467, Gali No. 18, Distt: Swat (Mobile No. 0315-8025859)</t>
  </si>
  <si>
    <t>2012 - K</t>
  </si>
  <si>
    <t>Kifayat Ullah s/o Dilraish</t>
  </si>
  <si>
    <t>Mst. Raza Begum w/o Kifayat Ullah, r/o Mohallah Matra, Barah Bandi, Tehsil &amp; Distt: Swat (Mobile No. 0347-9707733)</t>
  </si>
  <si>
    <t>Traced Person. Confined in the Internment Center Kohat as informed by Rep of MI at the hearing on 5.12.2014.</t>
  </si>
  <si>
    <t>8164-K &amp; 2013-K comibe file</t>
  </si>
  <si>
    <t>2013 - K</t>
  </si>
  <si>
    <t>Muhammad Javed Khan s/o Haji Hamza Khan</t>
  </si>
  <si>
    <t>Adil Khan s/o Haji Hamza Khan, r/o Village Sateen, Tehsil Sadah, Kurram Agency (Mobile No. 0302-3991013 &amp; 0301-3332474).</t>
  </si>
  <si>
    <t>FIR No.611 dt.02/08/2010 u/s 365 PPC PS Badaber District Peshawar</t>
  </si>
  <si>
    <t>Deleted. All stakeholders have denied arrest/custody of Muhammad Javed Khan s/o Haji Hamza Khan . No further action is required. Hence the case is closed.</t>
  </si>
  <si>
    <t>2014 - S</t>
  </si>
  <si>
    <t>Zia-ur-Rehman</t>
  </si>
  <si>
    <t>Miss. Huma Ali sister of Missing Person, r/o R-190, Malik Soceity, Gulshan-e-Maymar, Street: 33, Karachi (Mobile No. 0333-2849810)</t>
  </si>
  <si>
    <t>FIR No. 150
 dt: 5/5/2014
 u/s 365/34 PPC
 PS. Sachal
 District: Malir, Karachi</t>
  </si>
  <si>
    <t>Deleted. DSP Aftab Alam, Sindh Police appeared for hearing on 6.8.2018. He submitted progress report alongwith Roznamcha entry No. 39 dated 3.8.2018. As per Roznamcha entry contact was established with Mst. Aziz Zia but she did not respond positively. She did not appear before the investigation officer for recording her statement. Hence the case is closed.</t>
  </si>
  <si>
    <t>2015 - P</t>
  </si>
  <si>
    <t>Syed Arsalan Zubair s/o Syed Zubair-ul-Hassan</t>
  </si>
  <si>
    <t>Syed Adnan Zubair s/o Syed Zubair-ul-Hassan, r/o 247-Ahmed Yar Block, Mustafa Town, Wahadat Road, Lahore (Mobile No. 0333-3293399)</t>
  </si>
  <si>
    <t>FIR No.180 dt.03/06/2014 u/s 365/456/380/148/149 PPC PS Saddar District Multan</t>
  </si>
  <si>
    <t>Traced Perosn. Returned to Home</t>
  </si>
  <si>
    <t>2016 - P</t>
  </si>
  <si>
    <t>Syed Umer Hassan Hashmi s/o Syed Zahir Hussain Hashmi</t>
  </si>
  <si>
    <t>Syed Zahir Hussain Hashmi f/o Missing Person, r/o 247-Ahmed Yar Block, Mustafa Town, Wahadat Road, Lahore (Mobile No. 0321-4178500)</t>
  </si>
  <si>
    <t>Under Investigation (Punjab) Multan</t>
  </si>
  <si>
    <t>2017 - K</t>
  </si>
  <si>
    <t>Hazrat Ali Khan s/o Badi-uz-Zaman</t>
  </si>
  <si>
    <t>Mst. Zakeet Begum w/o Hazrat Ali Khan, r/o Mohallah Akhal, P.O. Barthana, Tehsil Matta, Distt: Swat (Mobile No. 0342-2971023, 0345-5448647)</t>
  </si>
  <si>
    <t>Traced Person. Appeared before the Commission on 18.9.14 and submitted that he went to Peshawar taken into custody and remained in confinement for 07 months.</t>
  </si>
  <si>
    <t>2018 - K</t>
  </si>
  <si>
    <t>Anjum Saeed Shah</t>
  </si>
  <si>
    <t>Ms. Anjum, r/o House No. 415, Mohallah Bashera, Tehsil &amp; Distt: Bannu</t>
  </si>
  <si>
    <t>FIR No.381 dt.21/07/2014 u/s 365 PPC PS Cantt.District Bannu.</t>
  </si>
  <si>
    <t>Traced Person. Dead body recovered and handed over to family. Cause of death was natural.</t>
  </si>
  <si>
    <t>2019 - P</t>
  </si>
  <si>
    <t>Habib-ur-Rehman s/o Ashiq Hussain</t>
  </si>
  <si>
    <t>Mst. Afshan Bibi w/o Habib-ur-Rehman, r/o House No. 2185/20-A, Street No. 1, Mohallah Rahimabad, near Govt. Model High School, Shamsabad, Multan (Mobile No. 0304-7991652)</t>
  </si>
  <si>
    <t>FIR No. 770
 dt: 27-11-2013
 u/s 365 PPC
 PS. New Multan
 District: Multan</t>
  </si>
  <si>
    <t>Traced Person. Returned to home. Appeard before the Commission on 14.3.2016. Could not furnish details of his abduction.</t>
  </si>
  <si>
    <t>2020 - K</t>
  </si>
  <si>
    <t>Abdul Rehman s/o Sean Akbar</t>
  </si>
  <si>
    <t>Afzal Akbar s/o Sean Akbar, r/o Tappa Bazid Khel, Galjo, Tehsil Central, Distt: Orakzai Agency (Mobile No. 0333-5010790, 0332-9614710)</t>
  </si>
  <si>
    <t>Traced pErson. Confined in the Internment Centre, Kohat as informed by Rep of MI at the hearing on 10.3.2015</t>
  </si>
  <si>
    <t>2021 - K</t>
  </si>
  <si>
    <t>Islam Badshah s/o Iqbali Shah</t>
  </si>
  <si>
    <t>Mst. Talib Jana w/o Islam Badshah, r/o Shawa Chowk, Shah Pur, Tehsil &amp; Distt: Kohat (Mobile No. 0336-6070887, 0332-9552294, 0332-9066671)</t>
  </si>
  <si>
    <t>Traced Person. Confined in the Internment Centre, Kohat as informed by Home Department, KP at the hearing on 28.8.2014.</t>
  </si>
  <si>
    <t>2022 - K</t>
  </si>
  <si>
    <t>Karim s/o Mir Haider</t>
  </si>
  <si>
    <t>Gul Marjan s/o Mir Haider, r/o Muhammad Khawaja Camp, Tehsil &amp; Distt: Hangu (Mobile No. 0336-5604993)</t>
  </si>
  <si>
    <t>Traced Person.Confined in the Internment Center Lakki Marwat as informed by Rep of MI at the hearing on 10.11.14.</t>
  </si>
  <si>
    <t>2023 - K</t>
  </si>
  <si>
    <t>Abdul Salam s/o Haji Muhammad</t>
  </si>
  <si>
    <t>Haji Muhammad s/o Saeed Muhammad, r/o Shahi Bandah Dar Malik, Tehsil Lachi, Distt: Kohat (Mobile No. 0335-9451261)</t>
  </si>
  <si>
    <t>FIR No. 198
 dt. 24/03/2014
 u/s 365 PPC
 P.S. MRS
 District: Kohat</t>
  </si>
  <si>
    <t>Traced Person. Confined in the Internment Centre, Kohat as informed by Rep of MI at the hearing on 25.8.15.</t>
  </si>
  <si>
    <t>2024 - S</t>
  </si>
  <si>
    <t>Muhammad Sadiq s/o Haroon-ur-Rasheed</t>
  </si>
  <si>
    <t>Muhammad Tayyab s/o Haroon-ur-Rasheed, r/o Mohallah Mian Gano, Korona Bara Bandah, P.O. Risalpur, Tehsil &amp; Distt: Nowshera (Mobile No. 0300-9120007)</t>
  </si>
  <si>
    <t>FIR No.184 dt.19/4/2013 u/s 365 PPC PS/Aziz Bhatti,District East,Karachi.</t>
  </si>
  <si>
    <t>Returned to Home and available at (Mohallah Mian Gano, Korona Bara Bandah, P.O. Risalpur, Tehsil &amp; Distt: Nowshera)</t>
  </si>
  <si>
    <t>2025 - I</t>
  </si>
  <si>
    <t>Hafiz Iqrar Ahmed Abbasi s/o Abdul Razzaq</t>
  </si>
  <si>
    <t>Abdul Rehman Abbasi s/o Abdul Razzaq, r/o Jammia Masjid Siddique Akbar, Ayubia Road, Main Changla Gali, Ramkoat, Tehsil &amp; Distt: Abbottabad (Mobile No. 0300-5169573)</t>
  </si>
  <si>
    <t>FIR No. 120
 dt: 18-4-2014
 u/s 365 PPC
 P.S. Sihala
 District: Islamabad</t>
  </si>
  <si>
    <t>Traced Person. Appeared before the Commission on 5.8.2014. Stated that he had gone to Kasur at his own and could not inform his family.</t>
  </si>
  <si>
    <t>2026 - K</t>
  </si>
  <si>
    <t>HRC No. 13547-K/ 2014</t>
  </si>
  <si>
    <t>Mehdi Abbas s/o Akbar Ali</t>
  </si>
  <si>
    <t>Akbar Ali s/o Ghulam Jan, r/o Landi Kachai, Distt: Kohat (Mobile No. 0334-8326048, 0922-586062)</t>
  </si>
  <si>
    <t>FIR No.440 dt.10/07/2014 u/s 365 PPC PS MRS Kohat</t>
  </si>
  <si>
    <t>2027 - K</t>
  </si>
  <si>
    <t>HRC No. 14349-K/ 2014</t>
  </si>
  <si>
    <t>Akbar Ali s/o Ali Abbas</t>
  </si>
  <si>
    <t>Mst. Adeela w/o Akbar Ali, r/o Mohallah Ranjogat, Blogram, Tehsil &amp; Distt: Swat (Mobile No. 0342-0897594)</t>
  </si>
  <si>
    <t>2028 - K</t>
  </si>
  <si>
    <t>HRC No. 9784-S/ 2014</t>
  </si>
  <si>
    <t>Shahzada s/o Talamand</t>
  </si>
  <si>
    <t>Mst. Bakhat Ranara w/o Talamand, r/o Qambar, Shahdadkot, Distt: Swat (Mobile No. 0347-9417214)</t>
  </si>
  <si>
    <t>FIR No. 413 dt. 10/7/2014 u/s 365 PPC, PS Rahimabad, District Swat</t>
  </si>
  <si>
    <t>2029 - K</t>
  </si>
  <si>
    <t>HRC No. 34247-K/ 2013</t>
  </si>
  <si>
    <t>Muhammad Kamal s/o Niazbat Khan</t>
  </si>
  <si>
    <t>Niazbat Khan s/o Mirza Khan, r/o Shahpur, Kohat (Mobile No. 0336-9661020, 0333-9625548)</t>
  </si>
  <si>
    <t>FIR No.472 dt.26/7/2014 u/s 365 PPC PS/MRS District Kohat.</t>
  </si>
  <si>
    <t>Traced Person. Confined in the Internment Centre, Lakki Marwat as informed by Rep of MI at the hearing on 18.11.2014</t>
  </si>
  <si>
    <t>2030 - K</t>
  </si>
  <si>
    <t>HRC No. 5197-K/ 2014</t>
  </si>
  <si>
    <t>Muhammad Hanif s/o Muhammad Sharif</t>
  </si>
  <si>
    <t>Mst. Diljan w/o Muhammad Hanif, r/o Bhawalgarh, P.O. Billitang, Kohat (Mobile No. 0333-9634033, 0922-213191)</t>
  </si>
  <si>
    <t>D.D. Report No. 10 dt. 13/1/2015 PS/Bilitang District Kohat.</t>
  </si>
  <si>
    <t>Traced Person. Confined in the Internment Centre, Kohat from where dead body was recovered and handed over to legal heirs.</t>
  </si>
  <si>
    <t>2031 - K</t>
  </si>
  <si>
    <t>HRC No. 7193-K/ 2014</t>
  </si>
  <si>
    <t>Akhtar Ali s/o Sultan Mir</t>
  </si>
  <si>
    <t>Mian Bashir s/o Said Karim, r/o Mohallah Gujar Tangay, Islampur, Tehsil Babuzai, Distt: Swat (Tel No. 0946-865367)</t>
  </si>
  <si>
    <t>FIR No. 338 dt. 30/6/2014 u/s 365/34 PPC, PS Saidu Sharif, District Swat</t>
  </si>
  <si>
    <t>Traced</t>
  </si>
  <si>
    <t>2032 - K</t>
  </si>
  <si>
    <t>Shoukat Ali s/o Sultan Mir</t>
  </si>
  <si>
    <t>FIR No.253 dt. 30/5/2011 u/s 365/34 PPC, PS Saidu Sharif, District Swat</t>
  </si>
  <si>
    <t>Deleted. After thorough investigation, JIT and PTF concluded that the “Missing Person has gone on his own” as no clue could be found to indicate involvement of any Law Enforcement / Intelligence Agency in his disappearance. All stakeholders denied his arrest / custody. The complainant was summoned twice for recording his statement but he did not turn up. Hence, the case is closed not being a case of enforced disappearance.</t>
  </si>
  <si>
    <t>2033 - F</t>
  </si>
  <si>
    <t>HRC No. 48365-G/ 2013</t>
  </si>
  <si>
    <t>Laiq Zada s/o Bacha Ghulam</t>
  </si>
  <si>
    <t>Bacha Ghulam f/o Missing Person, r/o Damadola, Sultan Bake, P.O Inayat Kalay, Tehsil Mamond, Distt: Bajor Agency (Mobile No. 0345-8990315, 0346-3977785)</t>
  </si>
  <si>
    <t>Traced Person. APA Bajaur Agancy informed at the hearing on 19.11.14 that Laiq Zada has returned and living with his family.</t>
  </si>
  <si>
    <t>2034 - K</t>
  </si>
  <si>
    <t>HRC No. 12819-G/ 2013</t>
  </si>
  <si>
    <t>Gul Khan s/o Sail Khan</t>
  </si>
  <si>
    <t>Mst. Bakhat Bibi w/o Sail Khan, r/o Bachai Nehar, P.O. Bara, Distt: Khyber Agency (Mobile No. 0347-9183712)</t>
  </si>
  <si>
    <t>FIR No.258 dt. 25/2/2015 u/s 365 PPC, PS Hayatabad, District Peshawar.</t>
  </si>
  <si>
    <t>Deleted. Cognizance of the case was taken by the Commission and directions issued to all stake holders vide letter dated 10.6.2014. Through investigation into the case has revealed that Gul Khan is an active member of Lashjar-e-Islami, Mangal Bagh and FM tracminia of LI were being relayed from Hujra of Gul Khan. There is neither any allegation against LEAs nor any eye witness of any incident of abduction. All stake holders have denied custody of Gul Khan. Hence, not a case of enforced disappearance. The case is closed.</t>
  </si>
  <si>
    <t>2035 - K</t>
  </si>
  <si>
    <t>HRC No. 562-K/ 2014</t>
  </si>
  <si>
    <t>Muhammad Sadiq s/o Sher Malik</t>
  </si>
  <si>
    <t>Sher Malik, r/o Spal Bandi, Distt: Swat (Mobile No. 0332-0980153, 0324-9123449)</t>
  </si>
  <si>
    <t>FIR No. 369, dt. 13/7/2014
 u/s 365 PPC
 P.S. Saidu Sharif
 Ditt:Swat</t>
  </si>
  <si>
    <t>Traced Person.Confined in the Internment Centre Paitham as informed at the hearing on 17.9.2015 by Rep of MI.</t>
  </si>
  <si>
    <t>2036 - P</t>
  </si>
  <si>
    <t>HRC No. 9514-P/ 2014</t>
  </si>
  <si>
    <t>Muhammad Usman s/o Noor Khan</t>
  </si>
  <si>
    <t>Noor Khan s/o Karam Khan, r/o Pindi Sirhal, Tehsil Jand, Distt: Attock</t>
  </si>
  <si>
    <t>FIR No.63 dt.25/06/2014 u/s 365 PPC PS Basal District Attock</t>
  </si>
  <si>
    <t>Traced Person. Dead body was found from Balkasr Chakwal handed over to legal heirs.</t>
  </si>
  <si>
    <t>2037 - P</t>
  </si>
  <si>
    <t>HRC No. 964-P/ 2014</t>
  </si>
  <si>
    <t>Muhammad Ilyas s/o Muhammad Sadiq</t>
  </si>
  <si>
    <t>Muhammad Sadiq s/o Nabi Bakhsh, r/o Chak Hazoor Singh, Tehsil &amp; Distt: Bhawalnagar (Mobile No. 0308-2756855, 0302-4725801)</t>
  </si>
  <si>
    <t>FIR No.279 dt.03/07/2014 u/s 365 PPC PS Dunga Bunga District Bahawalnagar</t>
  </si>
  <si>
    <t>Traced Person. DSP/ Legal informed that Muhammad Ilyas is confined in District Jail, Bahawalnagar after conviction under Army Act.</t>
  </si>
  <si>
    <t>2038 - P</t>
  </si>
  <si>
    <t>HRC No. 48363-P/ 2013</t>
  </si>
  <si>
    <t>Sajjad Ahmed s/o Ghulam Mohi-ud-Din</t>
  </si>
  <si>
    <t>Haji Ghulam Mohi-ud-Din s/o Fteh Muhammad, r/o Village Pind Mehri, Tehsil Hassan Abdal, Distt: Attock (0311-0002385)</t>
  </si>
  <si>
    <t>FIR No.132 dt .28/06/2014 u/s 365 PPC PS City,Hassanabdal</t>
  </si>
  <si>
    <t>Traced Person. Sajjad Ahmed (Muhammad Sajjad) has been traced. He appeared before the Commission on 3.4.2019. His statement has been recorded on oath. He has deposed that he was abducted on 18.8.2012 and was set free on 14.12.2018. However, he did not furnish further details.</t>
  </si>
  <si>
    <t>2039 - S</t>
  </si>
  <si>
    <t>HRC No. 8867-S/ 2014</t>
  </si>
  <si>
    <t>Waqas Shah</t>
  </si>
  <si>
    <t>Mst. Anum Zarin w/o Waqas Shah, r/o House No. 89-1, Faisal Colony, Dodhwali Gali, Golden Town, Karachi</t>
  </si>
  <si>
    <t>2040 - S</t>
  </si>
  <si>
    <t>Iftikhar</t>
  </si>
  <si>
    <t>2041 - S</t>
  </si>
  <si>
    <t>HRC No. 28226-S/ 2012</t>
  </si>
  <si>
    <t>Motiram s/o Bhupo Soother</t>
  </si>
  <si>
    <t>Mst. Tijan Bai w/o Bhupo Soother, r/o Mithi, Distt: Tharparkar, Sindh</t>
  </si>
  <si>
    <t>FIR No.107 dt.31/10/2011 u/s 365 PPC PS Mithi District Tharparkar</t>
  </si>
  <si>
    <t>Deleted. The details of the cases indicate that the Missing Person Moti Ram was mentally retorted, as admitted by his father. Moti Ram disappeared on 4.7.2011. Neither there is any evidence of his abduction nor has any LEA been alleged in FIR No. 107/2011 u/s 365 PPC PS, Mithi, District Tharparkar. Hence, not a case of enforced disappearance and closed.</t>
  </si>
  <si>
    <t>2042 - S</t>
  </si>
  <si>
    <t>HRC No. 35712-K/ 2012</t>
  </si>
  <si>
    <t>Mehboob Ali s/o Fazal Mabood</t>
  </si>
  <si>
    <t>Mst. Mehar Begum w/o Fazal Mabood, r/o Neelgram, Tehsil Matta, Distt: Swat (Mobile No. 0332-3780016)</t>
  </si>
  <si>
    <t>FIR No.413 dt.9/11/2014 u/s 365/34 PPC PS/Ittehad Town, District West Karachi.</t>
  </si>
  <si>
    <t>Returned to Home and available at (Neelgram, Tehsil Matta, Distt: Swat)</t>
  </si>
  <si>
    <t>2043 - S</t>
  </si>
  <si>
    <t>HRC No. 9635-K/ 2014</t>
  </si>
  <si>
    <t>Ali Asghar Bjarani s/o Abdul Majeed</t>
  </si>
  <si>
    <t>Mst. Zakia w/o Ali Asghar, r/o Peer Sibghat Ullah Rashdi Goth House No. D-90, Mohallah Gulistan-e-Johar, Block No. 9, Karachi (0312-2393410)</t>
  </si>
  <si>
    <t>Returned to Home and available at (House No. D-90, Mohallah Gulistan-e-Johar, Block No. 9, Karachi)</t>
  </si>
  <si>
    <t>2044 - P</t>
  </si>
  <si>
    <t>Moiz Ahmed Khan s/o Maqsood Ahmed Khan</t>
  </si>
  <si>
    <t>Mst. Shugafta Almas w/o Maqsood Ahmed Khan, r/o House No. 187-A, Block-P, Gulberg-III, Lahore (Mobile No. 0322-8841450, 0343-4574788)</t>
  </si>
  <si>
    <t>FIR No. 24
 dt: 12-7-2013
 u/s 363 PPC
 P.S. Naseerabad
 Lahore</t>
  </si>
  <si>
    <t>2045 - P</t>
  </si>
  <si>
    <t>Muhammad Tayyab Khan s/o Maqsood Ahmed Khan</t>
  </si>
  <si>
    <t>2046 - K</t>
  </si>
  <si>
    <t>HRC No. 7638-K/ 2014</t>
  </si>
  <si>
    <t>Mst. Bibi Rojan w/o Noor Muhammad Khan, r/o Village Daman near Mardan Medical Complex, Sheikh Malton Town, Mardan (Mobile No. 0345-9341342)</t>
  </si>
  <si>
    <t>FIR No.427 dt.28/09/2014 u/s 365 PPC PS Sheikh Maltoon District Mardan.</t>
  </si>
  <si>
    <t>Traced Person. Killed due to firing by militants at Swat Seconds Port in Jamrud sub-Division as informed by SP (Inv) Swat at the hearing on 7.1.2015.</t>
  </si>
  <si>
    <t>2047 - K</t>
  </si>
  <si>
    <t>HRC No. 10544-K/ 2014</t>
  </si>
  <si>
    <t>Arif Khan s/o Ali Pur Khan</t>
  </si>
  <si>
    <t>Aslam Pervaiz Khan s/o Ali Pur Khan, r/o Hakeem Khan Haveed, Bannu (Mobile No. 0323-9856440)</t>
  </si>
  <si>
    <t>FIR No.233 dt.22/09/2014 u/s 365 PPC PS Haved District Bannu</t>
  </si>
  <si>
    <t>Traced Person. Confined in the Internment Center Kohat as informed by Rep of MI at the hearing on 21.5.2015.</t>
  </si>
  <si>
    <t>2048 - K</t>
  </si>
  <si>
    <t>HRC No. 5597-K/ 2014</t>
  </si>
  <si>
    <t>Mujeeb-ur-Rehman s/o Azmari Khan</t>
  </si>
  <si>
    <t>Azmari Khan s/o Saleh Khan, r/o Paloski, P.O. Paloski, Tehsil Takht-e-Nasrati, Distt: Karak (Mobile No. 0343-3468715 &amp; 0341-7702076)</t>
  </si>
  <si>
    <t>FIR No376 dt.25/2/2015 u/s 365 PPC PS Badaber District Peshawar.</t>
  </si>
  <si>
    <t>Under Investigation (KP)
 Peshawar</t>
  </si>
  <si>
    <t>2049 - K</t>
  </si>
  <si>
    <t>HRC No. 10169-K/ 2014</t>
  </si>
  <si>
    <t>Saifullah s/o Habibullah</t>
  </si>
  <si>
    <t>Khalid s/o Habibullah, r/o Village &amp; P.O. Kabal, Tehsil Kabal, Distt: Swat (Mobile No. 0346-9405340)</t>
  </si>
  <si>
    <t>FIR No. 352 dt. 9/7/2014 u/s 365/34 PPC. PS Kabal, District Swat</t>
  </si>
  <si>
    <t>Traced Person as informed by Rep of MI Saifullah is confined in the Internment Centre, Paitham.</t>
  </si>
  <si>
    <t>2050 - K</t>
  </si>
  <si>
    <t>HRC No. 7070-K/ 2014</t>
  </si>
  <si>
    <t>Inamullah s/o Fazal Subhan</t>
  </si>
  <si>
    <t>Mst. Jantiya w/o Fazal Subhan, r/o Hyderabad Galoch, P.O. Deolai, Tehsil Kabal, Distt: Swat (Mobile No. 0343-9500877, 0346-9405975)</t>
  </si>
  <si>
    <t>FIR No.357 dt. 14/7/2014 u/s 365/34 PPC, PS Kabal. District Swat</t>
  </si>
  <si>
    <t>Traced Person. Confined in the Internment Centre, Kohat. Father met him on 7.5.2014.</t>
  </si>
  <si>
    <t>2051 - K</t>
  </si>
  <si>
    <t>HRC No. 10767-K/ 2014</t>
  </si>
  <si>
    <t>Muhammad Ishaq s/o Muhammad Sharif</t>
  </si>
  <si>
    <t>Mst. Jahan Pas w/o Muhammad Ishaq, C/O Ali Haider, Mohallah Shahi Bagh, Village Koza Bandi, Tehsil Kabal, Distt: Swat (Mobile No. 0343-9405067)</t>
  </si>
  <si>
    <t>FIR No.455 dt.27/09/2014 u/s 365 PPC PS Kanju District Swat</t>
  </si>
  <si>
    <t>2052 - K</t>
  </si>
  <si>
    <t>HRC No. 6350-K/ 2014</t>
  </si>
  <si>
    <t>Haji Bismillah Khan</t>
  </si>
  <si>
    <t>Nisar Ahmed s/o Haji Bismillah Khan, r/o House No. 134, Street No. 6, Sector H-4, Hayatabad, Peshawar (Mobile No. 0313-9772266)</t>
  </si>
  <si>
    <t>FIR NIL (Place of Occurrence is Peshawar)</t>
  </si>
  <si>
    <t>Traced Person. Returned to home as informed by Rep of MI at the hearing on 25.2.2015.</t>
  </si>
  <si>
    <t>2053 - K</t>
  </si>
  <si>
    <t>Masood Ahmed s/o Haji Bismillah Khan</t>
  </si>
  <si>
    <t>.</t>
  </si>
  <si>
    <t>2054 - K</t>
  </si>
  <si>
    <t>HRC No. 9121-K/ 2014</t>
  </si>
  <si>
    <t>Abdul Hadi s/o Fazal Hadi</t>
  </si>
  <si>
    <t>Fazal Hadi s/o Mian Gul Jan, C/o Samiullah, Airport Road, Bilal Plaza, Faisalabad Punjab Bakeri, near Adda Shah Dherai, Mingora Swat (Mobile No. 0344-2181573, 0315, 9546166)</t>
  </si>
  <si>
    <t>FIR No.647 dt.11/07/2014 u/s 365 PPC, PS Ghalegay District Swat</t>
  </si>
  <si>
    <t>2055 - K</t>
  </si>
  <si>
    <t>HRC No. 37760-K/ 2013</t>
  </si>
  <si>
    <t>Noor Wali s/o Sher Wali</t>
  </si>
  <si>
    <t>Nasir Ali s/o Noor Wali, r/o Village Kotta, Tehsil Barekot, Distt: Swat (Mobile No. 0302-8058143, 0303-8014001, 0342-9673284)</t>
  </si>
  <si>
    <t>FIR No. 1266 dt. 5/12/2013. u/s 365 PPC, PS Ghaligai, District Swat</t>
  </si>
  <si>
    <t>Under Investigation (KP)
  Swat</t>
  </si>
  <si>
    <t>2056 - K</t>
  </si>
  <si>
    <t>HRC No. 6027-K/ 2014</t>
  </si>
  <si>
    <t>Rehman Ali s/o Gul Rasheed</t>
  </si>
  <si>
    <t>Mst. Shabnam w/o Rehman Ali, r/o Kanjo, Mohallah Shaheed Baba, Tehsil Kabal, Distt: Swat (Mobile No. 0342-9607078)</t>
  </si>
  <si>
    <t>FIR No. 322 dt. 8/7/2014, u/s 365 PPC, PS Kanju, District Swat</t>
  </si>
  <si>
    <t>2057 - I</t>
  </si>
  <si>
    <t>HRC No. 8442-G/ 2014</t>
  </si>
  <si>
    <t>Muhammad Anwar s/o Sakhi Badshah</t>
  </si>
  <si>
    <t>Sakhi Badshah s/o Taj Muhammad, r/o House No. 1123, Gali No. 17, Farash Town, Islamabad (Mobile No. 0344-5812075)</t>
  </si>
  <si>
    <t>FIR No.371 dt.16/07/2014 u/s 365 PPC PS Shehzad Town,Islamabad</t>
  </si>
  <si>
    <t>2058 - S</t>
  </si>
  <si>
    <t>HRC No. 35395-S/ 2013</t>
  </si>
  <si>
    <t>Hashim s/o Ziarat Gul</t>
  </si>
  <si>
    <t>Ziarat Gul s/o Mand Akbar Khan, r/o Sector-19, Saeedabad, Baldia Town, Karachi (Mobile No. 0344-9090564)</t>
  </si>
  <si>
    <t>FIR No.433 dt.11/12/2013 u/s 365/34 PPC PS Ittehad Town District West,Karachi</t>
  </si>
  <si>
    <t>Returned to Home and available at (Sector-19, Saeedabad, Baldia Town, Karachi)</t>
  </si>
  <si>
    <t>2059 - S</t>
  </si>
  <si>
    <t>HRC No. 9779-S/ 2014</t>
  </si>
  <si>
    <t>Rahim Khan s/o Karim Bakhsh</t>
  </si>
  <si>
    <t>Karim Bakhsh, r/o Bilawal Shah, Noorani Goth, near SPARCO University Road, Karachi (Mobile No. 0341-8568168 &amp; 0343-6356863)</t>
  </si>
  <si>
    <t>2060 - S</t>
  </si>
  <si>
    <t>Muhammad Rehman s/o Karim Bakhsh</t>
  </si>
  <si>
    <t>2061 - S</t>
  </si>
  <si>
    <t>Hameedullah s/o Karim Bakhsh</t>
  </si>
  <si>
    <t>Closed (Due to In Complete Address</t>
  </si>
  <si>
    <t>2062 - S</t>
  </si>
  <si>
    <t>Waliullah s/o Karim Bakhsh</t>
  </si>
  <si>
    <t>Karim Bakhsh, r/o Bilawal Shah, Noorani Goth, near SPARCO University Road, Karachi (Mobile No. 0315-8329405)</t>
  </si>
  <si>
    <t>2063 - S</t>
  </si>
  <si>
    <t>Asmat Ullah</t>
  </si>
  <si>
    <t>2064 - F</t>
  </si>
  <si>
    <t>HRC No. 41990-B/ 2013</t>
  </si>
  <si>
    <t>Abdul Baseer s/o Abdullah</t>
  </si>
  <si>
    <t>Mst. Mai Mana Bibi w/o Abdullah, C/O Abdul Malik, Mohallah Nawan Kali, Mullah Khel Abad, Quetta</t>
  </si>
  <si>
    <t>Traced Person. Confined in the Internment Centre, Lakki Marwat as informed by Rep of MI at the hearing on 19.11.14.</t>
  </si>
  <si>
    <t>2065 - K</t>
  </si>
  <si>
    <t>Shams-ud-Din s/o Muhammad Karim</t>
  </si>
  <si>
    <t>Muhammad Karim f/o Missing Person, r/o Muhallah Shaheedran, Kouza Bandi, Tehsil &amp; Distt: Swat (Mobile No. 0347-9313031)</t>
  </si>
  <si>
    <t>FIR No. 330 dt. 12/7/2014 u/s 365 PPC, PS Kanju, District Swat</t>
  </si>
  <si>
    <t>2066 - K</t>
  </si>
  <si>
    <t>Rahim Shah s/o Nadir Shah</t>
  </si>
  <si>
    <t>Mst. Khalida m/o Missing Person, r/o Muhallah Shaheedran, Kouza Bandi, Tehsil &amp; Distt: Swat (Mobile No. 0346-9454930)</t>
  </si>
  <si>
    <t>FIR No. 334 dt. 13/7/2014 u/s 365 PPC, PS Kanju, District Swat</t>
  </si>
  <si>
    <t>2067 - K</t>
  </si>
  <si>
    <t>Saifullah s/o Shamsher Ali</t>
  </si>
  <si>
    <t>Mst. Zeenat Mahal m/o Missing Person, r/o Village Shelam Baba, Kouza Bandai, Distt: Swat (Mobile No. 0341-4342725)</t>
  </si>
  <si>
    <t>FIR No. 236 dt. 9/7/2014 u/s 365 PPC, PS Kanju, District Swat</t>
  </si>
  <si>
    <t>2068 - P</t>
  </si>
  <si>
    <t>Mubashir Rehman s/o Muhammad Sarwar</t>
  </si>
  <si>
    <t>Mst. Zohra Begum w/o Muhammad Sarwar, r/o Chak No. 37, P.O. Ahidi Sharif, Tehsil &amp; Distt: Mandi Bhauddin (Mobile No. 0346-5891208)</t>
  </si>
  <si>
    <t>FIR No.395 dt.19/07/2014 u/s 365 PPC PS Civil Lines District Mandi Baha-ud-Din</t>
  </si>
  <si>
    <t>Deleted. The investigation carried out in this case and especially the satament of his friend Rizwan Hassan Akhtar indicate that the former was in Afghanistan. Later he was killed in some attack by NATO Forces.</t>
  </si>
  <si>
    <t>Mandi bahauddin</t>
  </si>
  <si>
    <t>2069 - S</t>
  </si>
  <si>
    <t>Muhammad Faisal s/o Muhammad Islam</t>
  </si>
  <si>
    <t>Muhammad Kashif s/o Muhammad Islam, r/o House No. 1182, KESC, Sector 4-F, Mominabad Bijli Nagar, Orangi Town, Karachi (Mobile No. 0345-2498726)</t>
  </si>
  <si>
    <t>FIR No. 26
 dt: 25-1-2012
 u/s 365 PPC
 P.S. Mominaabd
 District: West Karachi</t>
  </si>
  <si>
    <t>2070 - K</t>
  </si>
  <si>
    <t>Muhammad Sharif f/o Missing Person, r/o Mohallah Cityabad, Beron Yakatoot, Agha Mir Jani Shah Road, Peshawar (Mobile No. 0300-2184900)</t>
  </si>
  <si>
    <t>FIR No.566 dt.8/2/2010 u/s 346 PPC PS East Cantt.,Peshawar</t>
  </si>
  <si>
    <t>2071 - K</t>
  </si>
  <si>
    <t>Attaullah s/o Feroze Khan</t>
  </si>
  <si>
    <t>Naseerullah s/o Feroze Khan, r/o Mohallah Shamlat, Baba Gee Kalay, Tehsil &amp; Distt: Nowshera (Mobile No. 0345-5478785)</t>
  </si>
  <si>
    <t>FIR No. 388
 dt: 20-6-2013
 u/s 346/342 PPC
 P.S. Risalpur
 District: Nowshera</t>
  </si>
  <si>
    <t>Under Investigation (KP)
 Nowshera</t>
  </si>
  <si>
    <t>2072 - F</t>
  </si>
  <si>
    <t>Gul Zaman s/o Nawab Shah</t>
  </si>
  <si>
    <t>Muhammad Zaman s/o Nawab Shah, r/o Tappa Mando Khel, Yaqeen Kali, Fazal Kali, P.O. Sadda, Tehsil FR Kurram, Distt: Kurram Agency (Mobile No. 0345-3338552, 0345-3001950)</t>
  </si>
  <si>
    <t>FIR dated 18/8/2014 registered by Pol.Naib Tehsildar,Dogar,Central Kurram.</t>
  </si>
  <si>
    <t>Traced Person. Wife of Gul Zaman affirmed his death case for compensation in under procers in the concerned office.</t>
  </si>
  <si>
    <t>2073 - K</t>
  </si>
  <si>
    <t>Muhammad Iqbal s/o Shah Bali Jan</t>
  </si>
  <si>
    <t>Muhammad Irfan s/o Muhammad Iqbal, r/o House No. 88, Sector-A, Kanju Town, Swat. (Mobile No. 0346-9478300)</t>
  </si>
  <si>
    <t>FIR No. 333 dt. 13/7/2014 u/s 365 PPC, PS Kanju District Swat</t>
  </si>
  <si>
    <t>2074 - K</t>
  </si>
  <si>
    <t>Aftab Ali s/o Gul Zada</t>
  </si>
  <si>
    <t>Naveed Ahmed s/o Gul Zada, r/o Village Ghorejah, P.O. Bara Bandai, Tehsil &amp; Distt: Swat (Mobile No. 0342-0936353)</t>
  </si>
  <si>
    <t>FIR No. 323 dt. 8/7/2014 u/s 365, PPC PS Kanju District Swat</t>
  </si>
  <si>
    <t>Traced Person. Confined in the Internment Center Fizagat as informed at the hearing on 5.12.2014 by Rep of MI.</t>
  </si>
  <si>
    <t>2075 - K</t>
  </si>
  <si>
    <t>Siddique Akbar s/o Muhammad Saleh Khan</t>
  </si>
  <si>
    <t>Muhammad Saleh Khan f/o Missing Person, r/o Village Kabal, Tehsil &amp; P.O. Kabal, Distt: Swat (Mobile No. 0343-8264882)</t>
  </si>
  <si>
    <t>FIR No. 355 dt. 12/7/2014 u/s 365/34, PPC, PS Kabal, District Swat</t>
  </si>
  <si>
    <t>Traced Person. Confined in the Intrnment Center Lakki Marwat as informed at the hearing on 5.12.14 by Rep of MI.</t>
  </si>
  <si>
    <t>2076 - K</t>
  </si>
  <si>
    <t>Sanaullah s/o Muhammad Gul</t>
  </si>
  <si>
    <t>Muhammad Gul f/o Missing Person, r/o Village Barkanju, P.O. Kanju, Tehsil &amp; Distt: Swat (Mobile No. 0302-8054221, 0335-8385446)</t>
  </si>
  <si>
    <t>FIR No. 332 dt. 12/7/2014 u/s 365 PPC, PS Kanju, District Swat</t>
  </si>
  <si>
    <t>Traced Person.Confined in the internment Center Lakki Marwat as informed at the hearing on 2.12.14 by Rep of MI.</t>
  </si>
  <si>
    <t>2077 - K</t>
  </si>
  <si>
    <t>Muhammad Alam s/o Wazir Khan</t>
  </si>
  <si>
    <t>Asim Khan s/o Wazir Khan, r/o Village Parrai, P.O. &amp; Tehsil Barikot, Distt: Swat (Mobile No. 0302-5737470, 0315-0941679)</t>
  </si>
  <si>
    <t>FIR No.629 dt. 3/7/2014 u/s 365/34 PPC, PS Ghaligai, District Swat</t>
  </si>
  <si>
    <t>Traced Person. Confined in the Internment Center Fizagat as informed at the hearing on 2.12.14 by Rep of MI and SP (Inv) Swat.</t>
  </si>
  <si>
    <t>2078 - I</t>
  </si>
  <si>
    <t>Rana Faqeer Hussain s/o Muhammad Yousaf</t>
  </si>
  <si>
    <t>Rana Waseem s/o Rana Faqeer Hussain, r/o Gali No. 3-A, House No. 02, Avenue. 02, Bilal Town, Khana Dak, Islamabad (Mobile No. 0341-5111588, 0312-1600077)</t>
  </si>
  <si>
    <t>FIR NIL (Place of Occurrence is Islamabad)</t>
  </si>
  <si>
    <t>Traced Person. Appeared before the Commission on 5.8.2014.</t>
  </si>
  <si>
    <t>2079 - I</t>
  </si>
  <si>
    <t>Saleemullah Abbasi s/o Muhammad Ayaz Abbasi</t>
  </si>
  <si>
    <t>Hafiz Muhammad Ikhlaq Abbasi, r/o House No. B-6-178, Mohallah Muhammadi Colony, Muslim Town Rawalpindi (Mobile No. 0320-8826718)</t>
  </si>
  <si>
    <t>FIR No. 196 dt: 5/7/2014 u/s 365/34 PPC, PS Bhara Kahu, Islamabad</t>
  </si>
  <si>
    <t>Traced Person. Rep of MI, submitted that Missing Person is Confined in Internment Center, Lakki Marwat) under Action (in aid of Civil Power) Regulation, 2011.</t>
  </si>
  <si>
    <t>2080 - I</t>
  </si>
  <si>
    <t>Kaleemullah Abbasi s/o Muhammad Ayaz Abbasi</t>
  </si>
  <si>
    <t>2081 - S</t>
  </si>
  <si>
    <t>Sadiq Zada s/o Sahib Zada</t>
  </si>
  <si>
    <t>Mst. Aliya w/o Sadiq Zada, r/o Village &amp; P.O Bazar Gai, , Tehsil Daggar, Distt: Buner (Mobile No. 0313-9788466, 0313-9788460)</t>
  </si>
  <si>
    <t>FIR No.390 dt.12/9/2014 u/s 365/34 PPC PS/Docks,District Kemari,South Karachi.</t>
  </si>
  <si>
    <t>Deleted. Despite repeated efforts the complainant did not enter appearance and refused to co-operate with Police. In these circumstance the case was closed.</t>
  </si>
  <si>
    <t>2082 - K</t>
  </si>
  <si>
    <t>Hazrat Hussain s/o Amanullah Khan</t>
  </si>
  <si>
    <t>Muhammad Shakeel s/o Multan Janan, r/o Village Jerma, Tehsil &amp; Distt: Kohat (Mobile No. 0335-0501990)</t>
  </si>
  <si>
    <t>FIR No.206 dt.26/07/2014 u/s 365 PPC PS Jarma,Kohat</t>
  </si>
  <si>
    <t>Traced Person. Rep of IB informed at the hearing on 22.1.2015 that Hazrat Hussain is confined in the Internment Centre, Kohat.</t>
  </si>
  <si>
    <t>2083 - S</t>
  </si>
  <si>
    <t>Sarfraz Ahmad s/o Abdul Wadood</t>
  </si>
  <si>
    <t>Zeeshan Ahmad s/o Abdul Wadood, r/o House No. 114/10, Abdullah Haroon Building, near Pakistan Chowk, Karachi South (Mobile No. 0310-2290412, 0333-3411998)</t>
  </si>
  <si>
    <t>FIR No.290 dt.5/7/2014 u/s 365/34 PPC PS/Aziz Bhatti,District East, Karachi.</t>
  </si>
  <si>
    <t>2084 - S</t>
  </si>
  <si>
    <t>Adnan Shah s/o Muhammad Zahir Shah</t>
  </si>
  <si>
    <t>Mst. Abida w/o Muhammad Zahir Shah, r/o Mohallah Mian Gano Cham, Ali Grama, Tehsil Kabal, Distt: Swat (Mobile No. 0345-9452759)</t>
  </si>
  <si>
    <t>FIR No.108 dt.3/2/2011 u/s 365/34 PPC,PS/Jackson Karachi)</t>
  </si>
  <si>
    <t>Returned to Home and available at (Mohallah Mian Gano Cham, Ali Grama, Tehsil Kabal, Distt: Swat</t>
  </si>
  <si>
    <t>2085 - P</t>
  </si>
  <si>
    <t>Manjrah Khan s/o Muhammad Khan</t>
  </si>
  <si>
    <t>Mst. Zeenat Bibi w/o Manjrah Khan, r/o Mohallah Balakhti, Nangolai, Tehsil &amp; Distt: Swat (Mobile No. 0342-8963237)</t>
  </si>
  <si>
    <t>FIR No.1383 dt.22/9/2014 u/s 365 PPC PS Shahdara,Lahore</t>
  </si>
  <si>
    <t>Traced Person. Reportedly Manjrah Khan is presently confined in the Internment Center Fizaghat. Family members shall be facilitated to see him in the Internment Center Fizaghat as per rule and procedures.</t>
  </si>
  <si>
    <t>2086 - K</t>
  </si>
  <si>
    <t>Ajmal Khan s/o Yaqoob Khan</t>
  </si>
  <si>
    <t>Mst. Zakia w/o Yaqoob Khan, r/o Nangolai, Kabal, Swat (Mobile No. 0341-9852270)</t>
  </si>
  <si>
    <t>FIR No. 377, dt. 21/8/2014, u/s 365 PPC, PS Kanju, District Swat</t>
  </si>
  <si>
    <t>Traced Person. Confined in the Internment Centre, Fizagat as informed by Home Department.</t>
  </si>
  <si>
    <t>2087 - K</t>
  </si>
  <si>
    <t>Obaid-ur-Rehman s/o Faqeer Muhammad</t>
  </si>
  <si>
    <t>Ehsan-ur-Rehman s/o Faqeer Muhammad, r/o Mohallah Hameedabad, Parrai, P.O. Barikot, Tehsil &amp; Distt: Swat (Mobile No. 0342-0091088, 0312-7488785)</t>
  </si>
  <si>
    <t>Traced Person. Confined in the Internment Centre, Paitham as informed by SP (Inv) Swat at the hearing on 10.9.2014.</t>
  </si>
  <si>
    <t>2088 - K</t>
  </si>
  <si>
    <t>Samiullah s/o Ajmal Khan</t>
  </si>
  <si>
    <t>Mst. Begum Bibi w/o Ajmal Khan, r/o Koro Bagh Maidan, Tehsil Lal Qilah, Distt: Dir Lower (Mobile No. 0306-5705072)</t>
  </si>
  <si>
    <t>FIR No.286 dt.26/07/2014 u/s 365 PPC PS Lal Qilla District Dir Lower.</t>
  </si>
  <si>
    <t>Under Investigation (KP)
 Dir Lower</t>
  </si>
  <si>
    <t>2089 - F</t>
  </si>
  <si>
    <t>Mehboob Shah s/o Shah Alam Shah</t>
  </si>
  <si>
    <t>Syed Umer s/o Mehboob Shah, r/o Tippa Yar Kuli Khel, Tehsil Lower, Distt: Orakzai Agency (Mobile No. 0307-8506051, 0925-552009)</t>
  </si>
  <si>
    <t>2090 - K</t>
  </si>
  <si>
    <t>Abdullah s/o Mumtaz Khan</t>
  </si>
  <si>
    <t>Mst. Ishrat Bibi w/o Mumtaz Khan, r/o Qambar, Mohallah Usman Khel, Swat (Mobile No. 0342-0959515)</t>
  </si>
  <si>
    <t>FIL No. 36 dated 27/6/2009 u/s 365-PPC PS Rahimabad District Swat</t>
  </si>
  <si>
    <t>2091 - B</t>
  </si>
  <si>
    <t>Saeed Khan s/o Ahmed Khan</t>
  </si>
  <si>
    <t>Ahmed Khan, r/o Peer Panjah, Sub-Division of Mach, Distt: Kachi</t>
  </si>
  <si>
    <t>FIR No.06/2016 u/s 365 PPC PS/Levies Thana,Machh District Kacchi .</t>
  </si>
  <si>
    <t>Traced Person. The Traced Person confirmed the aforesaid position in his statement dated 23.11.2015 duly verified by reps of FC, Sindh South</t>
  </si>
  <si>
    <t>2092 - B</t>
  </si>
  <si>
    <t>Nawab Khan s/o Sher Khan</t>
  </si>
  <si>
    <t>Sher Khan, r/o Peer Panjah, Sub-Division of Mach, Distt: Kachi. (Mobile No. 0345-8152760)</t>
  </si>
  <si>
    <t>2093 - B</t>
  </si>
  <si>
    <t>Muhammad Khan s/o Moj Ali</t>
  </si>
  <si>
    <t>Moj Ali, r/o Peer Panjah, Sub-Division of Mach, Distt: Kachi</t>
  </si>
  <si>
    <t>2094 - P</t>
  </si>
  <si>
    <t>HRC No. 10192-P/ 2014</t>
  </si>
  <si>
    <t>Zakria Khalid s/o Muhammad Khalid Shaheen</t>
  </si>
  <si>
    <t>Muhammad Khalid Shaheen, r/o Mohallah Islamnagar, near Government Primary School, Gujrat</t>
  </si>
  <si>
    <t>Traced Person. At the hearing held on 25.9.14. Muhammad Khalid Shaheen confirmed that he has seen his son in Jail.</t>
  </si>
  <si>
    <t>2095 - P</t>
  </si>
  <si>
    <t>Muhammad Zahid s/o Abdul Jabbar</t>
  </si>
  <si>
    <t>Abdul Jabbar s/o Khuda Bakhsh, r/o Chak No. 463/G-B, P.O Khas, Tehsil Samundri, Distt: Faisalabad (Mobile No. 0301-7140463)</t>
  </si>
  <si>
    <t>FIR No. 193,
 dt: 22-06-14
 u/s 365 PPC
 PS: Saddar Samundari
 District: Faisalabad</t>
  </si>
  <si>
    <t>Traced Person. SP (Inv), Faisalabad, submitted that Muhammad Zahid has Returned to Home and available at his given address.</t>
  </si>
  <si>
    <t>2096 - P</t>
  </si>
  <si>
    <t>Muhammad Abid Jabbar s/o Abdul Jabbar</t>
  </si>
  <si>
    <t>2097 - K</t>
  </si>
  <si>
    <t>HRC No. 9700-K/ 2014</t>
  </si>
  <si>
    <t>Obaid-ur-Rehman s/o Fazal Hadi</t>
  </si>
  <si>
    <t>Mst. Bibi Saleha w/o Fazal Hadi, r/o Village Ghazi Khanay, P.O. Pir Baba, Gadezai, District Buner (0342-9617076)</t>
  </si>
  <si>
    <t>FIR NIL (Place of Occurrence is Swabi)</t>
  </si>
  <si>
    <t>Traced Person. Confined in the Internment Centre, Malakand as informed at the hearing on 31.3.2015. Family met him.</t>
  </si>
  <si>
    <t>2098 - K</t>
  </si>
  <si>
    <t>HRC No. 7287-K/ 2014</t>
  </si>
  <si>
    <t>Abdul Wahab s/o Said Ahmed</t>
  </si>
  <si>
    <t>Abdul Baseer s/o Abdul Wahab, r/o Village Bagardara, P.O./Distt: Malakand (Mobile No. 0345-9361371, 0344-2239168)</t>
  </si>
  <si>
    <t>Under Investigation (KP)
 malakand</t>
  </si>
  <si>
    <t>2099 - K</t>
  </si>
  <si>
    <t>HRC No. 46165-P/ 2013</t>
  </si>
  <si>
    <t>Ali @ Kashif s/o Ahmed Khan</t>
  </si>
  <si>
    <t>Ahmed Khan s/o Sardar Khan, r/o Ward No. 4, Mohallah Riazabad, Dira Din Panah, Tehsil Kot Addu, Distt: Muzafargarh (Mobile No. 0314-2394766)</t>
  </si>
  <si>
    <t>FIR No.500 dt.19/11/2014 u/s 365 PPC,PS/University,D.I. Khan</t>
  </si>
  <si>
    <t>Traced Person. SP (Inv) D.I.Khan informed at the hearing on 9.3.2015 that the Missing Person has been traced. Confirmed by the families.</t>
  </si>
  <si>
    <t>2100 - K</t>
  </si>
  <si>
    <t>Rehmatullah s/o Ahmed Khan</t>
  </si>
  <si>
    <t>2101 - K</t>
  </si>
  <si>
    <t>Ameer Moavia s/o Ahmed Khan</t>
  </si>
  <si>
    <t>2102 - K</t>
  </si>
  <si>
    <t>HRC No. 31053-K/ 2013</t>
  </si>
  <si>
    <t>Bakhat Rawan s/o Ahmed</t>
  </si>
  <si>
    <t>Ahmed through Pirzada, Pisar Zarora, Tehsil Kabal, Distt: Swat (0315-9794298)</t>
  </si>
  <si>
    <t>Traced Person. Returned to home. He got bail in the case registered against him vide FIR 289 u/s 365/34 PPC.</t>
  </si>
  <si>
    <t>2103 - K</t>
  </si>
  <si>
    <t>HRC No. 4556-K/ 2013</t>
  </si>
  <si>
    <t>Muhammad Khalid s/o Laal Marshah</t>
  </si>
  <si>
    <t>Yarman Shah s/o Laal Marshah, r/o Gandiyali, Tehsil &amp; Distt: Kohat (Mobile No. 0333-9612091)</t>
  </si>
  <si>
    <t>FIR No.170 dt.26/07/2014 u/s 365 PPC PS Gumbat,Kohat</t>
  </si>
  <si>
    <t>Traced Person. Confined in the Internment Center Kohat as informed at the hearing on 14.4.2016.</t>
  </si>
  <si>
    <t>2104 - K</t>
  </si>
  <si>
    <t>HRC No. 19741-K/ 2013</t>
  </si>
  <si>
    <t>Amin-ul-Haq s/o Momin Khan</t>
  </si>
  <si>
    <t>Shams-ul-Haq s/o Momin Khan, r/o Rasha Gata, Dangram, Distt: Swat (Mobile No. 0345- 3423618)</t>
  </si>
  <si>
    <t>FIR No.422 dt.25/07/2013 u/s 365 PPC PS Mingora District Swat</t>
  </si>
  <si>
    <t>2105 - K</t>
  </si>
  <si>
    <t>HRC No. 11555-K/ 2014</t>
  </si>
  <si>
    <t>Nasir Khan s/o Muhammad Sharif Khan</t>
  </si>
  <si>
    <t>Muhammad Sharif Khan s/o Farid Khan, r/o Village Balakhti, Nangolai, Tehsil Kabal, Distt: Swat (Mobile No. 0344-9891789)</t>
  </si>
  <si>
    <t>FIR No.378 dt.21/08/2014 u/s 365 PPC PS Kanju District Swat</t>
  </si>
  <si>
    <t>Traced Person.Confined in the Internment Center Fizagat as informed by Rep of MI at the hearing held on 2.12.14.</t>
  </si>
  <si>
    <t>2106 - K</t>
  </si>
  <si>
    <t>HRC No. 10241-G/ 2013</t>
  </si>
  <si>
    <t>Muhammad Riaz s/o Zamin Shah</t>
  </si>
  <si>
    <t>Mema w/o Zamin Shah, r/o Darvi Khel Kasha, Tehsil Central, Distt: Orakzai Agency (Mobile No. 0332-9680236)</t>
  </si>
  <si>
    <t>FIR No.221 dt.12/8/2014 u/s 365 PPC PS Jarma, District Kohat</t>
  </si>
  <si>
    <t>Traced Person. Returned to home. Statement recorded before the Judicial Magistrate, which is placed on record.</t>
  </si>
  <si>
    <t>2107 - K</t>
  </si>
  <si>
    <t>HRC No. 26935-G/ 2013</t>
  </si>
  <si>
    <t>Abdul Rehman s/o Benat Khan</t>
  </si>
  <si>
    <t>Benat Khan s/o Rehman, Toras Samsatta, P.O. Galijo, Tehsil Upper, Distt: Orakzai Agency (Mobile No. 0344-9253068 &amp; 0331-9852582)</t>
  </si>
  <si>
    <t>FIR No.248 dt.26/07/2014 u/s 365 PPC PS Bilitang District Kohat</t>
  </si>
  <si>
    <t>Traced Person. Returned to Home and available at P.O, Galijo, Tehsil Upper District Orkazai Agency. He went to Karachi on his own.</t>
  </si>
  <si>
    <t>2108 - K</t>
  </si>
  <si>
    <t>HRC No. 7740-B/ 2014</t>
  </si>
  <si>
    <t>Ghaffar-ud-Din</t>
  </si>
  <si>
    <t>C/o Haji Saeed Gul, r/o Tootkhas Dakhli, Tehsil Tal, District Hangu</t>
  </si>
  <si>
    <t>Traced Person. Confined in the Internment Centre, Alizai in Kurram Agency as informed by Rep of FC KP.</t>
  </si>
  <si>
    <t>2109 - K</t>
  </si>
  <si>
    <t>Afsar-ud-Din</t>
  </si>
  <si>
    <t>2110 - K</t>
  </si>
  <si>
    <t>HRC No. 8987-K/ 2014</t>
  </si>
  <si>
    <t>Syed Wahab s/o Shakirullah</t>
  </si>
  <si>
    <t>Mst. Zeenab w/o Syed Wahab, r/o Mohallah Ameer Khan, Nawaikalay, Mingora, Swat (Mobile No. 0342-9606602)</t>
  </si>
  <si>
    <t>FIR No.541 dt.21/08/2014 u/s 365 PPC PS Mingora District Swat</t>
  </si>
  <si>
    <t>2111 - K</t>
  </si>
  <si>
    <t>HRC No. 11326-K/ 2014</t>
  </si>
  <si>
    <t>Muhammad Saleem s/o Fazal Rabbi</t>
  </si>
  <si>
    <t>Mst. Tasleem Bibi w/o Muhammad Saleem, r/o Rahimabad, Bakhatmand Khan, Tehsil Babuzai, Distt: Swat (Mobile No. 0346-9692683)</t>
  </si>
  <si>
    <t>Traced Person.Confined in the Internment Center paitham as concluded by JIT in its meeting on 7.11.2014. Brother of Muhammad Saleem also confirmed.</t>
  </si>
  <si>
    <t>2112 - K</t>
  </si>
  <si>
    <t>HRC No. 6326-K/ 2013</t>
  </si>
  <si>
    <t>Muhammad Shoaib s/o Maal Jang</t>
  </si>
  <si>
    <t>Muhammad Sultan s/o Maal Jang, r/o Orakzai Banda Kharmato, Kohat (Mobile No. 0335-9663501)</t>
  </si>
  <si>
    <t>FIR No.272 dt.14/8/2014 u/s 365 PPC PS/Bilitang,Kohat</t>
  </si>
  <si>
    <t>Traced Person. Dead body recovered from Internment Centre, Kohat issue taken at the highest level.</t>
  </si>
  <si>
    <t>2113 - K</t>
  </si>
  <si>
    <t>HRC No. 23302-K/ 2013</t>
  </si>
  <si>
    <t>Jamil Khan s/o Manzaray</t>
  </si>
  <si>
    <t>Manzaray, r/o Gogadra, P.O. Tariqabad, Tehsil Babozai, Distt: Swat (Mobile No. 0343-9633431)</t>
  </si>
  <si>
    <t>15602-0634940-1</t>
  </si>
  <si>
    <t>FIR No.517 dt.25/07/2013 u/s 365 PPC PS Rahimabad District Swat</t>
  </si>
  <si>
    <t>2114 - K</t>
  </si>
  <si>
    <t>HRC No. 9698-K/ 2014</t>
  </si>
  <si>
    <t>Anwar Ali s/o Sher Alam Khan</t>
  </si>
  <si>
    <t>Mst. Hameeda w/o Sher Alam Khan, r/o Village Ghazi Khanay, Tehsil Gadezai, Distt: Buner (Mobile No. 0345-9401760, 0315-9401760)</t>
  </si>
  <si>
    <t>FIR No.89 dt.13/4/2015 u/s 365 PPC PS Nasatta Distt. Charsadda</t>
  </si>
  <si>
    <t>Internment Center Paithom</t>
  </si>
  <si>
    <t>2115 - K</t>
  </si>
  <si>
    <t>HRC No. 9699-K/ 2014</t>
  </si>
  <si>
    <t>Attaullah s/o Hazratullah</t>
  </si>
  <si>
    <t>Mst. Shaeeba w/o Attaullah, r/o Village Ghazi Khanay, Tehsil Gadezai, Distt: Buner (Mobile No. 0342-9624472)</t>
  </si>
  <si>
    <t>Traced Person. Father of Atta Ullah submit at the hearing on 20/02/2015 that Atta Ullah is confined in Internment Center Batkhela, Malakand.</t>
  </si>
  <si>
    <t>2116 - K</t>
  </si>
  <si>
    <t>HRC No. 2650-K/ 2013</t>
  </si>
  <si>
    <t>Mir Ajab Khan s/o Meerwan Shah</t>
  </si>
  <si>
    <t>Gul Ajab Khan s/o Meerwan Shah, r/o Kharasan, Peshawar (Mobile No. 0300-5959829, 0313-9597525)</t>
  </si>
  <si>
    <t>FIR No.159 dt.25/2/2015 u/s 365 PPC PS/Khazana District Peshawar.</t>
  </si>
  <si>
    <t>Traced Person. Returned to home as informed by Rep of IB at the hearing on 25.2.2015.</t>
  </si>
  <si>
    <t>2117 - K</t>
  </si>
  <si>
    <t>Syed Jamil s/o Mir Haleem Shah</t>
  </si>
  <si>
    <t>2118 - K</t>
  </si>
  <si>
    <t>HRC No. 29106-K/ 2013</t>
  </si>
  <si>
    <t>Bakhat Zaman s/o Zareen</t>
  </si>
  <si>
    <t>Mst. Gul Meena w/o Bakhat Zaman, r/o Faizabad, Saidu Sharif, Distt: Swat (Mobile No. 0345-930619 &amp; 0347-5788069 &amp; 0344-9662303 &amp; 0344-9658437).</t>
  </si>
  <si>
    <t>15602-8077521-5</t>
  </si>
  <si>
    <t>FIR No.480 dt.26/07/2013 u/s 365 PPC, PS Saidu Sharif,Swat</t>
  </si>
  <si>
    <t>2119- K</t>
  </si>
  <si>
    <t>Asghar Khan s/o Noor khan</t>
  </si>
  <si>
    <t>Noor Gul, r/o Faizabad, Saidu Sharif, Distt: Swat</t>
  </si>
  <si>
    <t>FIR No.481 dt.26/07/2013 u/s 365 PPC PS Saidu Sharif,Swat</t>
  </si>
  <si>
    <t>2120- K</t>
  </si>
  <si>
    <t>HRC No. 9592-G/ 2013</t>
  </si>
  <si>
    <t>Abdul Rehman s/o Watan Khan</t>
  </si>
  <si>
    <t>Zulfah Khan s/o Khan Din, r/o Jalka Meela, Orakzai Agency (Mobile No. 0332-9399145)</t>
  </si>
  <si>
    <t>FIR No.522 dt.19/08/2014 u/s 365 PPC PS MRS,Kohat</t>
  </si>
  <si>
    <t>Traced Person. Dead body recovered. Mandatory formalities envisagat</t>
  </si>
  <si>
    <t>2121 - F</t>
  </si>
  <si>
    <t>HRC No. 19305-G/ 2013</t>
  </si>
  <si>
    <t>Samiullah s/o Imam Shah</t>
  </si>
  <si>
    <t>Imam Shah, r/o Dawizai Zao, Mohmand Agency</t>
  </si>
  <si>
    <t>Traced Person. Political Tehsiddar confirmed that Samiullah has been released.</t>
  </si>
  <si>
    <t>2122 - B</t>
  </si>
  <si>
    <t>HRC No. 20457-B/ 2013</t>
  </si>
  <si>
    <t>Jaleel Ahmed s/o Manzoor Ahmed Baloch</t>
  </si>
  <si>
    <t>Manzoor Ahmed Baloch s/o Daad Muhammad Baloch, r/o Kali Sharifabad, Zarghoon Road, Quetta (Mobile No. 0300-9388929)</t>
  </si>
  <si>
    <t>Traced Person. Returned to home as informed at the hearing on 25.2.15 by SP (Inv) Saddar Quetta. Jaleel Ahmed also appeared before the Commission.</t>
  </si>
  <si>
    <t>2123 - B</t>
  </si>
  <si>
    <t>Naseer Ahmed s/o Balach Khan</t>
  </si>
  <si>
    <t>Traced Person. Returned to home as informed by SP (Inv) Quetta at the hearing on 25.2.15.</t>
  </si>
  <si>
    <t>2124 - P</t>
  </si>
  <si>
    <t>HRC No. 12424-P/ 2014</t>
  </si>
  <si>
    <t>Wali Marjan s/o Nasarullah Khan</t>
  </si>
  <si>
    <t>Muhammad Jan Kashif s/o Nasarullah Khan, r/o Markia, Tehsil Essa Khel, Distt: Mianwali (Mobile No. 0333-9835416)</t>
  </si>
  <si>
    <t>FIR No. 79
 dt: 11-5-2014
 u/s 364 PPC 
 P.S. Essa Khel, 
 District: Mianwali</t>
  </si>
  <si>
    <t>Traced Person. Appeared before the Commission on 30.9.2014.</t>
  </si>
  <si>
    <t>2125 - S</t>
  </si>
  <si>
    <t>HRC No. 25899-S/ 2013</t>
  </si>
  <si>
    <t>Shair Ayaz s/o Doctor Khan</t>
  </si>
  <si>
    <t>Abdullah Jan, r/o Janjal Goth, Sohrab Goth, Gulzar-e-Hijri, Karachi (Mobile No. 0313-3090102)</t>
  </si>
  <si>
    <t>FIR No. 322
 dt: 7/11/2014
 u/s 365/34 PPC 
 P.S/Site,Super Highway,Industrial Area,District Malir,Karachi.</t>
  </si>
  <si>
    <t>2126 - S</t>
  </si>
  <si>
    <t>Niamatullah s/o Attaullah</t>
  </si>
  <si>
    <t>2127- S</t>
  </si>
  <si>
    <t>HRC No. 11556-K/ 2014</t>
  </si>
  <si>
    <t>Khan Sher s/o Zarif Khan</t>
  </si>
  <si>
    <t>Zarif Khan s/o Salo Khan, r/o Mohallah Tawheed Abad, Qambar, Tehsil Babozai, Distt: Swat (Mobile No. 0347-2516989)</t>
  </si>
  <si>
    <t>2128- K</t>
  </si>
  <si>
    <t>Shahid Khan s/o Habib-ur-Rehman</t>
  </si>
  <si>
    <t>Suleman Khan s/o Habib-ur-Rehman, r/o Mushti Banda, P.O. Hangu, Tehsil &amp; Distt: Hangu (Mobile No. 0333-5012366)</t>
  </si>
  <si>
    <t>FIR No.951 dt.6/11/2014 u/s 365 PPC PS City,Hangu</t>
  </si>
  <si>
    <t>2129- S</t>
  </si>
  <si>
    <t>HRC No. 2720-S/ 2014</t>
  </si>
  <si>
    <t>Muhammad Raffique s/o Ghulam Shabbir</t>
  </si>
  <si>
    <t>Mst. Samina Bibi w/o Muhammad Raffique, r/o Gulshan Baloch, Mudarsa Ali Moavia, Muhammadi Masjid, Yousaf Sahib Khan Goth, Karachi (Mobile No. 0303-2700069)</t>
  </si>
  <si>
    <t>Returned to Home and available at (Gulshan Baloch, Mudarsa Ali Moavia, Muhammadi Masjid, Yousaf Sahib Khan Goth, Karach.)</t>
  </si>
  <si>
    <t>2130- S</t>
  </si>
  <si>
    <t>HRC No. 6359-S/ 2014</t>
  </si>
  <si>
    <t>Muhammad Ibrahim s/o Ghulam Akbar</t>
  </si>
  <si>
    <t>Ghulam Akbar r/o Baghdadi Fida Hussain Sheikh Road, Liyari Town, Karachi (Mobile No. 0320-0254319)</t>
  </si>
  <si>
    <t>Returned to Home and available at (Baghdadi Fida Hussain Sheikh Road, Liyari Town, Karachi)</t>
  </si>
  <si>
    <t>2131- S</t>
  </si>
  <si>
    <t>HRC No. 28328-S/ 2013</t>
  </si>
  <si>
    <t>Muhammad Fayyaz s/o Gul Faraz</t>
  </si>
  <si>
    <t>Khan Faraz s/o Gul Faraz, r/o K.S-35, Plot # A-24/5, Qasba Colony, Orangi Town, Karachi (Mobile No. 0333-3459520)</t>
  </si>
  <si>
    <t>FIR NO.240 dt.19/9/2013 u/s 365/34 PPC,PS/Saddar District South,Karachi.</t>
  </si>
  <si>
    <t>2132- S</t>
  </si>
  <si>
    <t>HRC No. 40278-S/ 2013</t>
  </si>
  <si>
    <t>Dawood Khan</t>
  </si>
  <si>
    <t>Mst. Najika Bibi w/o Dawood Khan, r/o House No. A-1945, Gulshan-e-Ghazi, Baldia Town, Karachi (Mobile No. 0344-7220543)</t>
  </si>
  <si>
    <t>FIR No.295 dt.7/11/2014 u/s 365 PPC,PS/Pannu Aqil,District Sukkur.</t>
  </si>
  <si>
    <t>Deleted. Due to Complainant Request</t>
  </si>
  <si>
    <t>2133- S</t>
  </si>
  <si>
    <t>HRC No. 783-S/ 2013</t>
  </si>
  <si>
    <t>Sahibzada Naveed Ahmed s/o Sahibzada Beena Ahmed</t>
  </si>
  <si>
    <t>Sahibzada Shabbir Ahmed s/o Sahibzada Beena Ahmed, r/o House No. 80, Musarat Colony, Nazimabad, Karachi (Mobile No. 0300-2267941)</t>
  </si>
  <si>
    <t>2134- K</t>
  </si>
  <si>
    <t>Tehseen Ullah s/o Azeem Ullah</t>
  </si>
  <si>
    <t>Hakeem Ullah s/o Azeem Ullah, r/o Umer Zai, Hussain Bazar, Bashir Khan CNG Station, Distt: Charsadda (Mobile No. 0321-5389990)</t>
  </si>
  <si>
    <t>FIR No.281 dt.7/8/2014 u/s 365 PPC PS Umerzai District Charsadda.</t>
  </si>
  <si>
    <t>Under Investigation (KP)
 Charsadda</t>
  </si>
  <si>
    <t>2135- K</t>
  </si>
  <si>
    <t>HRC No. 13139-S/ 2014</t>
  </si>
  <si>
    <t>Shah Qasim Bacha s/o Shereen Bacha</t>
  </si>
  <si>
    <t>Muslim Shah s/o Shereen Bacha, r/o Jaddah Colony, Baldia Town, Karachi (Mobile No. 0343-3192790, 0344-2873520)</t>
  </si>
  <si>
    <t>Traced Person. Confined in the Internment Centre, Paitham as confirmed by Rep of MI and SP (Inv) Swat.</t>
  </si>
  <si>
    <t>2136- S</t>
  </si>
  <si>
    <t>Muhammad Hanif s/o Shah Mir</t>
  </si>
  <si>
    <t>Mst. Abida Naz w/o Muhammad Hanif, r/o Milatabad, Old Power House Road, House No. 217, Gali No. 2, Hyderabad City (Mobile No. 0315-7671974)</t>
  </si>
  <si>
    <t>FIR No. 132 dt,7/11/2014
 u/s 365/34 PPC
 PS. Pinyari,District Hyderabad</t>
  </si>
  <si>
    <t>2137 - P</t>
  </si>
  <si>
    <t>Abid Islam s/o Islam-ud-Din</t>
  </si>
  <si>
    <t>Mst. Sania Abid w/o Abid Islam, r/o House No. 582, Street No. 4, near Ameer Hamza Masjid, Alaabad, Rawalpindi (Mobile No. 0347-5810269)</t>
  </si>
  <si>
    <t>FIR No. 284
 dt: 2/8/2014
 u/s 365 PPC
 PS. Westridge
 Distt: Rawalpindi.</t>
  </si>
  <si>
    <t>Traced Person. Dead body was recovered on 24.6.14 and case u/s 302 PPC registered vide FIR 337 against accused persons.</t>
  </si>
  <si>
    <t>2138- K</t>
  </si>
  <si>
    <t>HRC No. 5087-K/ 2014</t>
  </si>
  <si>
    <t>Waqar s/o Said Anwar</t>
  </si>
  <si>
    <t>Kousar Ali s/o Said Anwar, r/o Ali Taous Road, Shamlat, Parhoti, Mardan (Mobile No. 0310-9753638)</t>
  </si>
  <si>
    <t>FIR No.438 dt.31/10/2014 u/s 365 PPC PS Par Hoti,Mardan</t>
  </si>
  <si>
    <t>2139- K</t>
  </si>
  <si>
    <t>HRC No. 11509-K/ 2014</t>
  </si>
  <si>
    <t>Sher Bahadur Khan s/o Bashar</t>
  </si>
  <si>
    <t>Mst. Kalsoom w/o Gulsher Ali, r/o Village Nangolai, District Swat (Mobile No. 0343-4133975, 0344-9683163, 0342-6208109)</t>
  </si>
  <si>
    <t>FIR No.379 dt.21/08/2013 u/s 365 PPC PS Kanju District Swat</t>
  </si>
  <si>
    <t>2140- S</t>
  </si>
  <si>
    <t>Muhammad Mansoor s/o Maqsood Ahmed</t>
  </si>
  <si>
    <t>Maqsood Ahmed s/o Shujat Ali Khan, r/o House No. 3-C-2/11, Mohallah Nazimabad No. 3, Central Karachi (Mobile No. 0301-2064224)</t>
  </si>
  <si>
    <t>FIR No.214 dt.7/11/2014 u/s 365/34 PPC PS Machko,South Zone,Karachi</t>
  </si>
  <si>
    <t>Traced Person. It was informed at the hearing held in this Commission on 10/07/2018 that Muhammad Mansoor has returned to home. The statements of the traced person has been recorded u/s 164 CrPC, which is available on record.</t>
  </si>
  <si>
    <t>2141- S</t>
  </si>
  <si>
    <t>Faisal Bashir s/o Muhammad Bashir</t>
  </si>
  <si>
    <t>Muhammad Bashir s/o Shujat Ali Khan, r/o House No. 4, Muhallah Main Chamber Road, Tandwalah Yar, Sindh (Mobile No. 0301-3547139, 0331-2096150)</t>
  </si>
  <si>
    <t>Returned to Home and available at ( House No. 4, Muhallah Main Chamber Road, Tandwalah Yar, Sindh)</t>
  </si>
  <si>
    <t>2142- S</t>
  </si>
  <si>
    <t>Muhammad Awais Khan s/o Zulfiqar Ali</t>
  </si>
  <si>
    <t>Zulfiqar Ali s/o Muhammad Ishaq Khan, r/o House No. 39-40, Ward No. 7, New Colony, Degree, Distt: Mirpur Khas, Sindh (Mobile No. 0307-3442700)</t>
  </si>
  <si>
    <t>Returned to Home and available at (House No. 39-40, Ward No. 7, New Colony, Degree, Distt: Mirpur Khas, Sindh)</t>
  </si>
  <si>
    <t>2143- S</t>
  </si>
  <si>
    <t>Moavia Khan s/o Zahid Ali Khan</t>
  </si>
  <si>
    <t>Zahid Ali Khan s/o Azeem-ud-Deen Khan, r/o House No. 847, Mohallah Khatri Para, Tandwala Yar, Sindh (Mobile No. 0300-3092485)</t>
  </si>
  <si>
    <t>Returned to Home and available at (House No. 1177, Mohallah Pak Colony, Tandwala Yar, Sindh )</t>
  </si>
  <si>
    <t>2144- S</t>
  </si>
  <si>
    <t>Fasih-ud-Din s/o Rashid</t>
  </si>
  <si>
    <t>Rashid s/o Azeem Khan, r/o House No. 1177, Mohallah Pak Colony, Tandwala Yar, Sindh (Mobile No. 0300-3084994)</t>
  </si>
  <si>
    <t>Returned to Home and available at ( House No. 1177, Mohallah Pak Colony, Tandwala Yar, Sindh)</t>
  </si>
  <si>
    <t>2145- S</t>
  </si>
  <si>
    <t>Muhammad Saqib Qaim Khani s/o Muhammad Abbas Qaim Khani</t>
  </si>
  <si>
    <t>Muhammad Iqbal Qaim Khani s/o Bazeed Khan Qaim Khani, r/o House No. 16, Mohallah Meerwa Naka Rajput Colony, Tandwala Yar, Sindh (Mobile No. 0300-3085177)</t>
  </si>
  <si>
    <t>Returned to Home and available at (House No. 16, Mohallah Meerwa Naka Rajput Colony, Tandwala Yar, Sindh)</t>
  </si>
  <si>
    <t>2146- S</t>
  </si>
  <si>
    <t>Nasir s/o Muhammad Hanif</t>
  </si>
  <si>
    <t>Zakir Hussain s/o Muhammad Hanif, r/o House No. 16/BW898, Makhi Para, Tandwala Yar, Sindh (Mobile No. 0313-3234926)</t>
  </si>
  <si>
    <t>Returned to Home and available at (House No. 16/BW898, Makhi Para, Tandwala Yar, Sindh)</t>
  </si>
  <si>
    <t>2147- K</t>
  </si>
  <si>
    <t>Ayub Khan s/o Abdul Sattar</t>
  </si>
  <si>
    <t>Mst. Yasmeen w/o Ayub Khan, r/o Mohallah Ghaniabad, Nawa Kalay, Mingora, Distt: Swat (Mobile No. 0334-9311898)</t>
  </si>
  <si>
    <t>FIR No.556 dt.12/09/2014 u/s 365 PPC PS Banr District Swat</t>
  </si>
  <si>
    <t>2148 - P</t>
  </si>
  <si>
    <t>Gulfraz Khan s/o Haji Zahir Jan</t>
  </si>
  <si>
    <t>Sarfraz Khan s/o Haji Zahir Jan, C/o Tahir Motors &amp; Property Advisor, near Civil Hospital, Opposite Kohat CNG, Fateh Jang, Distt: Attock (Mobile No. 0301-8325730)</t>
  </si>
  <si>
    <t>Traced Person. Appeared before the Commission on at the hearing on 2.10.14. Stated that he was not abducted by anyone.</t>
  </si>
  <si>
    <t>2149 - P</t>
  </si>
  <si>
    <t>Muhammad Imran s/o Haji Suba Khan</t>
  </si>
  <si>
    <t>C/o Muhammad Salman s/o Haji Suba Khan, Dispenser, Teaching Hospital, Emergency Ward, Dera Ghazi Khan (Mobile No. 0345-8130964)</t>
  </si>
  <si>
    <t>FIR No.319 dt.25/2/2015 u/s 365 PPC PS Faqirabad District Peshawar.</t>
  </si>
  <si>
    <t>Traced Person. Appeared before the Commission on 11.11.14. Concuded that he was affiliated with Taliban, arrested at Bannu but released subsequently.</t>
  </si>
  <si>
    <t>2150 - P</t>
  </si>
  <si>
    <t>Saifullah s/o Ghulam Murtaza</t>
  </si>
  <si>
    <t>Ghulam Murtaza s/o Baloch Khan, r/o Mouza Chudary, Tehsil Kot Addu, Distt: Muzafargarh (Mobile No. 0302-9627928)</t>
  </si>
  <si>
    <t>FIR No.296 dt.14/05/2014 u/s 365 PPC PS Baghdad-ul-Jadeed District Bahawalpur</t>
  </si>
  <si>
    <t>Traced Person. Appeared before the Commission. Stated he went at his own, could not inform the family.</t>
  </si>
  <si>
    <t>2151 - P</t>
  </si>
  <si>
    <t>Muhammad Asim s/o Muhammad Qasim</t>
  </si>
  <si>
    <t>Muhammad Qasim s/o Rasheed Ahmed, r/o Green Town Road, near Jamiat-ul-Kubra Albanat, Bahawalpur (Mobile No. 0300-6851121)</t>
  </si>
  <si>
    <t>FIR No.428 dt.21/10/2014 u/s 365 PPC PS Kuthiala Sheikhan District Mandi Bahauddin</t>
  </si>
  <si>
    <t>Traced Person. Rep of IB reported at the hearing on 5.3.2015 that Muhammad Asim has returned to home.</t>
  </si>
  <si>
    <t>2152 - P</t>
  </si>
  <si>
    <t>Amir Sultan s/o Gula Khan</t>
  </si>
  <si>
    <t>Gula Khan, r/o House No. 32, M.P.R Colony, Mangho Peer Road, Block-A, Karachi (Mobile No. 0315-2384451)</t>
  </si>
  <si>
    <t>FIR No.776 dt.21/12/2014 u/s 365 PPC PS Saddar Kharian District Gujrat.</t>
  </si>
  <si>
    <t>Traced Person. It was informed at the hearing on 11/07/2018 that Amir Sultan has returned to home. He has however could not furnish details regarding place of detention and persons involved in his disappearance.</t>
  </si>
  <si>
    <t>2153 - P</t>
  </si>
  <si>
    <t>Aziz Khan s/o Khan</t>
  </si>
  <si>
    <t>Khan f/o Missing Person, r/o Mohallah Zemtangy, Karakar, P.O. Barikot, Tehsil &amp; Distt: Swat (Mobile No. 0311-3782009)</t>
  </si>
  <si>
    <t>FIR No.775 dt.21/12/2014 u/s 365 PPC PS Saddar Kharian District Gujrat.</t>
  </si>
  <si>
    <t>Under Investigation (Punjab)
 Gujrat</t>
  </si>
  <si>
    <t>2154 - P</t>
  </si>
  <si>
    <t>Gul Muhammad s/o Toor Khan</t>
  </si>
  <si>
    <t>Toor Khan, r/o Mohallah Barikot, Tehsil &amp; P.O. Barikot, Distt: Swat (Mobile No. 0346-9737088)</t>
  </si>
  <si>
    <t>FIR No.423 dt.09/09/2014 u/s 365/34 PPC PS Kabal District Swat</t>
  </si>
  <si>
    <t>2155 - K</t>
  </si>
  <si>
    <t>Fazal Rahim s/o Abdul Mateen</t>
  </si>
  <si>
    <t>Abdul Mateen, r/o Mohallah Kozcham, Aligrama, Tehsil &amp; Distt: Swat (Mobile No. 0344-9887690)</t>
  </si>
  <si>
    <t>FIR No.423 dt.09/09/2014 u/s 365 PPC PS Kabal District Swat</t>
  </si>
  <si>
    <t>Traced Person. It has been intimated that at the hearing on 30/10/2018 that Fazal Rahim has been traced. He is presently confined in Internment Center at Fizaghat. Family members of Fazal Rahim shall be facilitated to see him in the Internment Center as per rules and procedures.</t>
  </si>
  <si>
    <t>2156 - K</t>
  </si>
  <si>
    <t>Izzat Khan s/o Ameer Zaman</t>
  </si>
  <si>
    <t>Ameer Zaman, r/o Tangai, Taal, Shah Dherai, Tehsil Kabal, Distt: Swat (Mobile No. 0347-2497603)</t>
  </si>
  <si>
    <t>FIR No.623 dt.22/9/2014 u/s 365 PPC,PS Mingora District Swat</t>
  </si>
  <si>
    <t>2157 - K</t>
  </si>
  <si>
    <t>Shah Muhammad Khan s/o Toty</t>
  </si>
  <si>
    <t>Toty f/o Missing Person, r/o Mohallah Zemtangy, Karakar, P.O. Barikot, Tehsil &amp; Distt: Swat (Mobile No. 0313-1994876)</t>
  </si>
  <si>
    <t>FIR No.475 dt.15/09/2014 u/s 365 PPC PS Saidu Sharif District Swat</t>
  </si>
  <si>
    <t>Traced Person. Confined in the Internment Centre, Fizagat as informed by Rep of MI.</t>
  </si>
  <si>
    <t>2158 - K</t>
  </si>
  <si>
    <t>Muhammad Ayaz s/o Syed Nazar</t>
  </si>
  <si>
    <t>Syed Nazar, r/o Mohallah Aliabad, Ajrang, Loui Banr, Saidu Shareef, Distt: Swat (Mobile no. 0332-9481651)</t>
  </si>
  <si>
    <t>FIR No.540 dt.19/09/2014 u/s 365 PPC PS Havelian District Abbottabad</t>
  </si>
  <si>
    <t>2159 - K</t>
  </si>
  <si>
    <t>Wajid Mehmood s/o Muhammad Ashraf</t>
  </si>
  <si>
    <t>Abid Mehmood, C/o Ayaz Shopkeeper, P.O. Kholiyan Bala, Tehsil &amp; Distt: Haripur (Mobile No. 0336-9892980, 0312-5915563)</t>
  </si>
  <si>
    <t>FIR No.432 dt.14/9/2014 u/s 365 PPC,PS Kanju District Swat</t>
  </si>
  <si>
    <t>Traced Person. Brother confirmed at the hearing on 24.12.14 that he has been traced, returned to home.</t>
  </si>
  <si>
    <t>2160- K</t>
  </si>
  <si>
    <t>Habib-ur-Rehman s/o Muhammad Khatab</t>
  </si>
  <si>
    <t>Muhammad Khatab, r/o Mohallah Moragai, Bara Bandi, Swat (Mobile No. 0332-9893433)</t>
  </si>
  <si>
    <t>FIR No.291 dt.18/9/2014 u/s 365 PPC,PS Latamber District Karak</t>
  </si>
  <si>
    <t>Traced Person. Rep of MI informed on 23.9.2014 that Habib-ur-Rehman is confined in the Internment Centre, Fizagat.</t>
  </si>
  <si>
    <t>2161- K</t>
  </si>
  <si>
    <t>HRC No. 14198-K/ 2014</t>
  </si>
  <si>
    <t>Muhammad Mosa s/o Bhawal Haq</t>
  </si>
  <si>
    <t>Mst. Roshnaz Begum, w/o Muhammad Mosa, r/o Meer Hassan Khel, Tehsil Takhat Nusrati, Distt: Karak</t>
  </si>
  <si>
    <t>14203-1869959-1</t>
  </si>
  <si>
    <t>FIR No.430 dt.26/09/2014 u/s 365 PPC PS Ghauriwala District Bannu</t>
  </si>
  <si>
    <t>Deleted. In the Proforma submitted for the Missing Person there is no allegation against any LEA/ Intelligence Agency. The case has been categorized as the Missing Person has gone on his own by JIT and PTF. There is denied on the part of all stakeholders for his arrest/ custody of Muhammad Moosa. The complainant Mst. Roshnaz Begum entered appearance on 22.2.2022 and her statement was recorded on oath. She could not provide any eye account regarding abduction of her husband. Hence, not a case of enforced disappearance. The case is closed.</t>
  </si>
  <si>
    <t>2162- K</t>
  </si>
  <si>
    <t>HRC No. 13790-K/ 2014</t>
  </si>
  <si>
    <t>Abu Huraira s/o Ghulam Dawood Khan</t>
  </si>
  <si>
    <t>Ghulam Dawood Khan, r/o Kotka Abdul Khaliq Wegan, P.O. Taji Kala, Tehsil &amp; Distt: Banuu (Mobile No. 0335-9508272)</t>
  </si>
  <si>
    <t>Under Investigation (KP)
 Bannu</t>
  </si>
  <si>
    <t>2163- K</t>
  </si>
  <si>
    <t>HRC No. 12647-P/ 2014</t>
  </si>
  <si>
    <t>Muhammad Tayyab</t>
  </si>
  <si>
    <t>Mst. Bibi Hajra w/o Muhammad Tayyab, r/o Mohallah Malangabad, P.O. Butkhela, Amandra Al-Dand, Tehsil Swat Ranzai, Distt: Malakand</t>
  </si>
  <si>
    <t>Daily Diary Entry No.27 dated 15/01/2015
 PS/Jarma District Kohat.</t>
  </si>
  <si>
    <t>Traced Person. Returned to home. Appeared before the Commission on 20.10.2014.</t>
  </si>
  <si>
    <t>2164- K</t>
  </si>
  <si>
    <t>HRC No. 13596-K/ 2014</t>
  </si>
  <si>
    <t>Sharbat Khan</t>
  </si>
  <si>
    <t>Arbab Khan s/o Sultan Jan, r/o Miangan Colony, P.O Babri Mail, Bannu Road, Kohat, C/o Arman Hamam, Shop Miangan Colony, Kohat (Mobile No. 0336-9511240)</t>
  </si>
  <si>
    <t>Traced Person. Expired during confinement in Internment Centre, Kohat on 23.1.2014. Dead body handed over to legal heirs.</t>
  </si>
  <si>
    <t>2165- K</t>
  </si>
  <si>
    <t>Eid Muhammad</t>
  </si>
  <si>
    <t>Arbab Khan s/o Sultan Jan, r/o Miangan Colony, P.O Babri Mail, Bannu Road, Kohat, C/o Arman Hamam Shop, Miangan Colony, Kohat (Mobile No. 0336-9511240)</t>
  </si>
  <si>
    <t>2166- K</t>
  </si>
  <si>
    <t>HRC No. 539-K/ 2014</t>
  </si>
  <si>
    <t>Sameen-ul-Haq s/o Taj Muhammad</t>
  </si>
  <si>
    <t>Taj Muhammad s/o Mian Saeed, r/o Shore Bala, Sheri Gul, Tehsil &amp; Distt: Dir</t>
  </si>
  <si>
    <t>FIR No.434 dt.14/9/2014 u/s 365 PPC,PS Kanju District Swat.</t>
  </si>
  <si>
    <t>Traced Person. Confined in the Internment Centre Lakki Marwat as informed by Ministry of Defence.</t>
  </si>
  <si>
    <t>2167- K</t>
  </si>
  <si>
    <t>HRC No. 12481-K/ 2014</t>
  </si>
  <si>
    <t>Rahat Ali s/o Khursheed Ahmed Khan</t>
  </si>
  <si>
    <t>Mst. Zamurad Bibi w/o Khursheed Ahmed Khan, r/o Nangolai, Tehsil Kabal, Distt: Swat (Mobile No. 0342-9811406)</t>
  </si>
  <si>
    <t>Traced Person. Confined in the Internment Center Lakki Marwat as informed by SP (Inv) Swat at the hearing on 1.12.14.</t>
  </si>
  <si>
    <t>2168- K</t>
  </si>
  <si>
    <t>HRC No. 2744-K/ 2014</t>
  </si>
  <si>
    <t>Sadiq Shah s/o Hazrat Ali Shah</t>
  </si>
  <si>
    <t>Mst. Mah Talat w/o Hazrat Ali Shah (L), r/o Syedabad, Chapriyal, Tehsil Matta, Distt: Swat (Mobile No. 0342-1924740)</t>
  </si>
  <si>
    <t>Traced Person. Dead body Recovered. SSP (Inv) Peshawar informed on 2.12.14 that Sadiq Shah expired as 8.7.2014 in Internment Centre, Kohat.</t>
  </si>
  <si>
    <t>2169- B</t>
  </si>
  <si>
    <t>HRC No. 7219-B/ 2014</t>
  </si>
  <si>
    <t>Zahid Khan s/o Jaffar Khan</t>
  </si>
  <si>
    <t>Jaffar Khan, r/o Killi Babri, Tehsil &amp; Distt: Mastung</t>
  </si>
  <si>
    <t>FIR No. 299
 dt: 24-7-2013
 u/s 365/34 PPC
 P.S. Saeedabad
 District: West Karachi</t>
  </si>
  <si>
    <t>Traced Person. Appeared before the Commission on 27.2.15. Alleged that he was taken away by FC personnally and kept in confined in two months.</t>
  </si>
  <si>
    <t>2170- S</t>
  </si>
  <si>
    <t>HRC No. 5599-S/ 2014</t>
  </si>
  <si>
    <t>Khanwada s/o Sikander</t>
  </si>
  <si>
    <t>Sikander s/o Motabar, r/o House No. 353, Sector-12/D, near Jogi Mohallah, Saeedabad, Baldiya Town, Karachi (Mobile No. 0323-3084196)</t>
  </si>
  <si>
    <t>Daily Diary Entry No.14 dated 17/9/2014
 PS/Loralai,District Loralai.</t>
  </si>
  <si>
    <t>2171- B</t>
  </si>
  <si>
    <t>HRC No. 12450-K/ 2014</t>
  </si>
  <si>
    <t>Muhammad Nazir Marwat s/o Adam Khan</t>
  </si>
  <si>
    <t>Adam Khan s/o Sher Zaman, r/o Wandah Karim Khan, P.O Wandah, Tehsil Paharpur, Distt: D.I. Khan (Mobile No. 0345-9870847)</t>
  </si>
  <si>
    <t>Traced Person. DPO Loralai submitted statement from Muhammad Nazir at the leaving on 25.2.15 that he was called by FIU for some inquiry but not arrested.</t>
  </si>
  <si>
    <t>2172- S</t>
  </si>
  <si>
    <t>HRC No. 48818-S/ 2013</t>
  </si>
  <si>
    <t>Muhammad Waseem Ahmed Malik s/o Muhammad Nihal-ud-Din Malik</t>
  </si>
  <si>
    <t>Muhammad Bilal Ahmed Malik s/o Muhammad Nihal-ud-Din Malik, r/o House No. L-962, Sector 5-C/1, North Karachi (Mobile No. 0345-8288827)</t>
  </si>
  <si>
    <t>2173- S</t>
  </si>
  <si>
    <t>Attaullah s/o Muhammad Nadeem</t>
  </si>
  <si>
    <t>Muhammad Nadeem s/o Fateh Khan, r/o House No. 135, Block-A, Eidu Goth, Gali No. 2, Pepri, Bin Qasim, Malir, Karachi (Mobile No. 0312-2903055, 0311-9094677)</t>
  </si>
  <si>
    <t>Returned to Home and available at (House No. 135, Block-A, Eidu Goth, Gali No. 2, Pepri, Bin Qasim, Malir, Karachi)</t>
  </si>
  <si>
    <t>2174- S</t>
  </si>
  <si>
    <t>Muqaddar Ali s/o Ali Muhammad (L)</t>
  </si>
  <si>
    <t>Mst. Ameena Bai w/o Ali Muhammad, r/o House No. B/7K-71/ 194, Mohallah Lyari, New Fida Hussain Sheikha Road, Karachi (Mobile No. 0322-8200746)</t>
  </si>
  <si>
    <t>FIR No.422 dt.11/09/2014 u/s 365 PPC PS Kanju District Swat</t>
  </si>
  <si>
    <t>TracedPerson. Confined in the Internment Center paitham.</t>
  </si>
  <si>
    <t>2175 - K</t>
  </si>
  <si>
    <t>Asif Khan s/o Muhammad Ayub Khan</t>
  </si>
  <si>
    <t>Muhammad Ayub Khan s/o Habibullah Jan, r/o Mohallah Balakhti, Tehsil Kabal, Distt: Swat (Mobile No. 0346-3024804)</t>
  </si>
  <si>
    <t>Traced Person. Confined in the Internment Centre, Paitham as informed by Rep of MI at the hearing on 2.12.14.</t>
  </si>
  <si>
    <t>2176 - K</t>
  </si>
  <si>
    <t>Zakir Rehman s/o Sheeno Khan</t>
  </si>
  <si>
    <t>Muhammad Riaz s/o Sheeno Khan, r/o Zargari, Tehsil &amp; Distt: Hangu (Mobile No. 0305-9133223, 0333-4742866)</t>
  </si>
  <si>
    <t>FIR No.288 dt.16/9/2014 u/s 365 PPC PS Asbanr District Dir Lower.</t>
  </si>
  <si>
    <t>Traced Person. Dead body recovered as confirmed by cousin of Zakir Rehman.</t>
  </si>
  <si>
    <t>2177 - K</t>
  </si>
  <si>
    <t>HRC No. 17211-K/ 2014</t>
  </si>
  <si>
    <t>Khan Zahir s/o Khan Bahadur</t>
  </si>
  <si>
    <t>Khan Bahadur, r/o Hamza Banda, Tehsil Adezai, Distt: Dir Lower (Mobile No. 0346-9297315, 0346-9389853)</t>
  </si>
  <si>
    <t>Traced Person. Confined in the Internment Center Malakand. His wife met him in the Centre.</t>
  </si>
  <si>
    <t>2178 - K</t>
  </si>
  <si>
    <t>HRC No. 34353-P/ 2013</t>
  </si>
  <si>
    <t>Muhammad Bilal s/o Muhammad Hanif</t>
  </si>
  <si>
    <t>Mst. Waziran Bibi w/o Muhammad Hanif, r/o Baqapur Khabay, P.O. Kanganpur, Tehsil Chownian, Distt: Kasur (Mobile No. 0301-5825606)</t>
  </si>
  <si>
    <t>FIR No.555 dt.12/09/2014 u/s 365 PPC,PS Banr,District Swat.</t>
  </si>
  <si>
    <t>Traced Person. Rep of MI confirmed that Muhammad Bilal has rejoined service.</t>
  </si>
  <si>
    <t>2179 - K</t>
  </si>
  <si>
    <t>HRC No. 14728-K/ 2014</t>
  </si>
  <si>
    <t>Umer Rehman s/o Syed Rehman</t>
  </si>
  <si>
    <t>Syed Rehman s/o Fazal Ghani, r/o Mohallah Ismail Khel, Nawankalay, Mingora, Swat (Mobile No. 0342-9627438)</t>
  </si>
  <si>
    <t>15602-8641601-5</t>
  </si>
  <si>
    <t>FIR No. 555 dated 12/9/2014 u/s 365-PPC PS Banr District Swat</t>
  </si>
  <si>
    <t>5902-K same case</t>
  </si>
  <si>
    <t>2180 - F</t>
  </si>
  <si>
    <t>HRC No. 24946-G/ 2013</t>
  </si>
  <si>
    <t>Jahangir Khan s/o Bahadur Khan</t>
  </si>
  <si>
    <t>Muhammad Akram Khan s/o Bahadur Khan, r/o Village Koki Khel, Meena Khel, Shah Kas, Jamrood, Khyber Agency (Mobile No. 0341-3007503)</t>
  </si>
  <si>
    <t>FIR No.109/2014 u/s 365 PPC PS/City,Dera Murad Jamali.</t>
  </si>
  <si>
    <t>Traced Person. FC KP informed that he was apprehanded and handed over to PA Khyber Agency.</t>
  </si>
  <si>
    <t>2181 - B</t>
  </si>
  <si>
    <t>HRC No. 16916-S/ 2014</t>
  </si>
  <si>
    <t>Abdul Haleem s/o Karamullah</t>
  </si>
  <si>
    <t>Mir Hazaar s/o Azizullah, r/o Nao Goth Jakhra, Taluka Garhi Khairo, Distt: Jacobabad.</t>
  </si>
  <si>
    <t>Deleted. Not a case of enforced disappearance as Abdul Haleem has a criminal record and responsibly he has gone on his own.</t>
  </si>
  <si>
    <t>2182 - B</t>
  </si>
  <si>
    <t>Abdullah s/o Faiz Muhammad</t>
  </si>
  <si>
    <t>Faiz Muhammad s/o Muhammad Rasool, r/o Kali Haji Muhammad Afzal Samalani, Distt: Chagi (Mobile No. 0344-8130059)</t>
  </si>
  <si>
    <t>2183 - B</t>
  </si>
  <si>
    <t>Zafar Hussain s/o Syed Ali</t>
  </si>
  <si>
    <t>Noor Hussain s/o Syed Ali, r/o Mohallah Kartarpur, P.O. Ferozepur, Tehsil &amp; Distt: Narowal (Mobile No. 0306-3811615)</t>
  </si>
  <si>
    <t>FIR NO.206 dt.13/11/2014 u/s 365/34 PPC,PS/Hyderi Market,District Central,Karachi.</t>
  </si>
  <si>
    <t>Deleted. Rep of FC submitted report that Zafar Hussain, Hanaldar has been missing and belived dead. Family pension being paid to his wife.</t>
  </si>
  <si>
    <t>2184 - S</t>
  </si>
  <si>
    <t>Ameer Syed s/o Hameedullah</t>
  </si>
  <si>
    <t>Mst. Khaista Bibi w/o Ameer Syed, r/o 13/24/A Hill Area, Chanesar Goth, South Karachi (Mobile No. 0313-2745992)</t>
  </si>
  <si>
    <t>FIR NO.537 dt.7/11/2014 u/s 365/34 PPC,PS/Gulshan-e-Iqbal,District East,Karachi.</t>
  </si>
  <si>
    <t>2185 - S</t>
  </si>
  <si>
    <t>Iftikhar Ahmed s/o Meer Dawaz</t>
  </si>
  <si>
    <t>Muhammad Shahid s/o Meer Dawaz, r/o House No. J-27, Sobara City, Tarbeela Dam, P.O Khas, Tehsil Ghazi, Distt: Haripur (Mobile No. 0300-5900069, 0345-5000974)</t>
  </si>
  <si>
    <t>FIR No.547 dt.28/11/2014 u/s 365 PPC PS Manawan District Lahore</t>
  </si>
  <si>
    <t>2186 - P</t>
  </si>
  <si>
    <t>Habib Ahmed Khan s/o Khubaib Ahmed Khan</t>
  </si>
  <si>
    <t>Khubaib Ahmed Khan s/o Hamid Ali Khan, r/o House No. 76, Mohallah Lahore Medical Housing Scheme, Phase-III, near Sky Land Water Park, Jalo Road, Lahore (Mobile No. 0334-9873925)</t>
  </si>
  <si>
    <t>FIR No.547 dt.27/12/2014 u/s 365 PPC PS Shah Qabool District Peshawar.</t>
  </si>
  <si>
    <t>Traced Person.Confined in the Internment Center, Kohat as informed by Rep of MI at the hearing on 21.11.16.</t>
  </si>
  <si>
    <t>2187 - K</t>
  </si>
  <si>
    <t>Khursheed Ali s/o Muhammad Ameen Khan</t>
  </si>
  <si>
    <t>Mst. Jahan Sardara d/o Muhammad Ameen Khan, r/o Village Safaid Dheri, Peshawar near KTH Peshawar (Mobile No. 0345-9022583</t>
  </si>
  <si>
    <t>FIR No. 500 dt.19/11/2014 u/s 365 PPC,PS Gomal University,D.I.Khan.</t>
  </si>
  <si>
    <t>Traced Person. Confined in the Internment Center, Fizaghat as informed by Rep of MI at the hearing on 9.11.2016.</t>
  </si>
  <si>
    <t>2188 - K</t>
  </si>
  <si>
    <t>Zahid Ali s/o Ahmed Khan</t>
  </si>
  <si>
    <t>Ahmed Khan, r/o Ward No. 4, Daira Deen Pana, Kot Addu, Muzaffargarah (Mobile No. 0314-2394766, 0301-2602276)</t>
  </si>
  <si>
    <t>Traced Person. SP (Inv) D.I.Khan informed that statements have been recorded u/s 164 CrPC.</t>
  </si>
  <si>
    <t>2189 - K</t>
  </si>
  <si>
    <t>Ahmed Khan, r/o Ward No. 4, Riazabad, Daira Deen Pana, Kot Addu, Muzaffargarah (Mobile No. 0314-2394766, 0301-2602276)</t>
  </si>
  <si>
    <t>2190 - K</t>
  </si>
  <si>
    <t>FIR No.107 dt.27/09/2014 u/s 365 PPC PS Industrial Estate,Gadoon District Swabi</t>
  </si>
  <si>
    <t>Under Investigation (KP)
 D.I. Khan</t>
  </si>
  <si>
    <t>2191 - K</t>
  </si>
  <si>
    <t>Hafiz Muhammad Arif s/o Rahim Dad</t>
  </si>
  <si>
    <t>Rahim Dad s/o Gul Dad, r/o Mohallah Muhammadzai, Malakabad, P.O. Khas, Tehsil Topi, Distt: Swabi, KP (Mobile No. 0301-5579705)</t>
  </si>
  <si>
    <t>Under Investigation (KP)
 Swabi</t>
  </si>
  <si>
    <t>2192 - K</t>
  </si>
  <si>
    <t>HRC No. 15401-K/ 2014</t>
  </si>
  <si>
    <t>Rehmatullah s/o Noor Zali Shah</t>
  </si>
  <si>
    <t>Muhammad Yousaf s/o Noor Zali Shah, r/o Kohat Lachi Payan, near Al-Falah Hotel, Tehsil &amp; Distt: Kohat (Mobile No. 0333-9347185, 0334-8391622)</t>
  </si>
  <si>
    <t>FIR No.227 dt.03/3/2014 u/s 365/148/149 PPC PS/Liaquatabad,Lahore</t>
  </si>
  <si>
    <t>Traced Person. Rep of IB, submitted that Rehmatullah is Confined in Internment Center, Kohat) under (in aid of Civil Power) Regulation, 2011.</t>
  </si>
  <si>
    <t>2193 - P 1540-P</t>
  </si>
  <si>
    <t>Muhammad Asadullah s/o Muhammad Yar Khan Watoo</t>
  </si>
  <si>
    <t>Mst. Zahida Shaheen d/o Saeed Ahmed, r/o Dhulay Flat, Model Town, Lahore. (Mobile No. 0322-6987176)</t>
  </si>
  <si>
    <t>2194 - K 6020-K</t>
  </si>
  <si>
    <t>541 &amp; 2194 fixed together at same day</t>
  </si>
  <si>
    <t>Muhammad Wali s/o Noor Muhammad</t>
  </si>
  <si>
    <t>Mst. Nageena Bibi w/o Muhammad Wali, r/o Khan Mast Colony, Peshawar (Mobile No. 0333-9872372, 0322-9082181)</t>
  </si>
  <si>
    <t>FIR No.310 dt.21/8/2009 u/s 365 PPC,PS/Sheringal, District Dir Upper.</t>
  </si>
  <si>
    <t>2195 - K</t>
  </si>
  <si>
    <t>Nadeemullah s/o Wazir Zada</t>
  </si>
  <si>
    <t>Wazir Zada, r/o Village Zar Khela, Tehsil Barikot, Distt: Swat (Mobile No. 0346-9386122)</t>
  </si>
  <si>
    <t>FIR No.460 dt.30/09/2014 u/s 365 PPC PS Kanju District Swat</t>
  </si>
  <si>
    <t>Under Investigation (KP)
 Swat
 Upper Dir</t>
  </si>
  <si>
    <t>2196 - K</t>
  </si>
  <si>
    <t>Ayub Khan s/o Taj Muhammad Khan</t>
  </si>
  <si>
    <t>Mst. Bakhat Bibi d/o Taj Muhammad Khan, r/o Village Dherai, Tehsil Kabal, Distt: Swat (Mobile No. 0307-5748705, 0301-8571335)</t>
  </si>
  <si>
    <t>Traced Person.Confined in the Internment Center Fizagat as informed at the hearing on 3.12.14 by Rep of MI.</t>
  </si>
  <si>
    <t>2197 - K</t>
  </si>
  <si>
    <t>Shah Rehman Khan s/o Taj Muhammad Khan</t>
  </si>
  <si>
    <t>FIR No.476 dt.11/10/2014 u/s 365 PPC PS Kanju District Swat</t>
  </si>
  <si>
    <t>Traced Person.Confined in the Internment Center Malakand as informed by Rep of MI at the hearing on 3.12.2014.</t>
  </si>
  <si>
    <t>2198 - K</t>
  </si>
  <si>
    <t>Muhammad Ali s/o Abdul Rehman</t>
  </si>
  <si>
    <t>Mst. Jahan Begum w/o Abdul Rehman, r/o Kouza Bandi, Tehsil Kabal, Distt: Swat (Mobile No. 0341-2470580)</t>
  </si>
  <si>
    <t>Traced Person. Confined in the Internment Center Malakand as informed by Rep of MI at the hearing on 3.12.14.</t>
  </si>
  <si>
    <t>2199 - K</t>
  </si>
  <si>
    <t>Salman Ali s/o Abdul Rehman</t>
  </si>
  <si>
    <t>Traced Person. Returned to home as stated by himself and SP (Inv) Swat.</t>
  </si>
  <si>
    <t>2200 - K</t>
  </si>
  <si>
    <t>Aftab Ali s/o Abdul Rehman</t>
  </si>
  <si>
    <t>2201 - K</t>
  </si>
  <si>
    <t>Abdul Rehman s/o Shereen Zada</t>
  </si>
  <si>
    <t>2202 - K</t>
  </si>
  <si>
    <t>Abdullah s/o Syed Mir Shah</t>
  </si>
  <si>
    <t>Muhammad Khan s/o Syed Mir Shah, r/o Haripur City, Swat Chowk, Hassan Abdal Road, near Qureshi Mills, Distt: Haripur (Mobile No. 0336-9846260)</t>
  </si>
  <si>
    <t>Traced Person. Returned to home. Inspector (Legal) Haripur produced copy of statement recorded u/s 164 CrPC at the hearing on 11.11.2014.</t>
  </si>
  <si>
    <t>2203 - P</t>
  </si>
  <si>
    <t>Abdul Wahab s/o Muhammad Ismail</t>
  </si>
  <si>
    <t>Muhammad Salman cousin of Missing Person, r/o Pul Kaleri, Chorhattah, Pachadh Shamali, P.O Khas, Tehsil &amp; Distt: Dera Ghazi Khan (Mobile No. 0345-8130964)</t>
  </si>
  <si>
    <t>FIR No. 413
 dt.22/10/2014
 u/s 365 PPC
 PS. Civil Lines,D.G.Khan</t>
  </si>
  <si>
    <t>Traced Person. Returned to home. Appeared before the Commission on 6.3.2015 and stated that he left home due to differences with the family.</t>
  </si>
  <si>
    <t>2204 - S</t>
  </si>
  <si>
    <t>Maaz Ahmed Khan s/o Shafique Ahmed Khan</t>
  </si>
  <si>
    <t>Malik Muhammad Suleman, r/o Plot No. 101, Sector 51-B, near Bano Masjid, opposite to 51-A Quarters, Korangi No. 6, Karachi (Mobile No. 0300-2952554, Tel No. 021-35047195)</t>
  </si>
  <si>
    <t>FIR No. 363 dt.14/5/2014 u/s 365 PPC
 PS. KIA, District East,
 Karachi</t>
  </si>
  <si>
    <t>Under Inv/ Re-Open</t>
  </si>
  <si>
    <t>MoFAs No. 10008300</t>
  </si>
  <si>
    <t>2205 - S</t>
  </si>
  <si>
    <t>Talha Ahmed Khan s/o Shafique Ahmed Khan</t>
  </si>
  <si>
    <t>FIR No. 74
 dt: 16-5-2014
 u/s 365/34 PPC
 PS. Airport
 Karachi</t>
  </si>
  <si>
    <t>2206 - K</t>
  </si>
  <si>
    <t>Yaqoob Mansoor s/o Mr. Ian</t>
  </si>
  <si>
    <t>Mst. Safia Yaqoob w/o Yaqoob Mansoor, r/o House No. 6-A, Street No. 40, F-10/4, Islamabad (Mobile No. 0300-5011463)</t>
  </si>
  <si>
    <t>Traced Person. Returned to home as confirmed by wife/mother at the hearing on 12.9.2014.</t>
  </si>
  <si>
    <t>2207 - K</t>
  </si>
  <si>
    <t>Abdullah Yaqoob s/o Yaqoob Mansoor</t>
  </si>
  <si>
    <t>2208 - K</t>
  </si>
  <si>
    <t>Hafiz Ali Bahadur s/o Gul Muhammad</t>
  </si>
  <si>
    <t>Gul Muhammad s/o Ahmed, r/o Osar Shahgram, P.O. Madeen, Swat (Mobile No. 0345-2237534)</t>
  </si>
  <si>
    <t>FIR No.295 dt.25/09/2014 u/s 365/34 PPC PS Madyan District Swat</t>
  </si>
  <si>
    <t>Traced Person. It was informed at the hearing held on 19/10/2018 that Hafiz Ali Bahadur has been traced. He is presently confined in Internment Center Fizaghat. Family members of Hafiz Ali Bahadur shall be facilitated to see him in the Internment Center as per rule and procedures.</t>
  </si>
  <si>
    <t>2209 - K</t>
  </si>
  <si>
    <t>Syed Rehmat Ali s/o Mian Syed Ahmed</t>
  </si>
  <si>
    <t>Mst. Jan Pari w/o Mian Syed Ahmed (Late), r/o Bara Dar Shakheela, Tehsil Matta, Distt: Swat (Mobile No. 0345-2414150)</t>
  </si>
  <si>
    <t>FIR No.1115 dt.26/9/2014 u/s 365 PPC,PS Matta District Swat.</t>
  </si>
  <si>
    <t>Traced Person.Confined in the Internment Center Kohat as informed by Rep of MI at the hearing on 2.12.2014.</t>
  </si>
  <si>
    <t>2210 - K</t>
  </si>
  <si>
    <t>Muhammad Hassan s/o Rusham Khan</t>
  </si>
  <si>
    <t>Mst. Bakhat Baidara w/o Rusham Khan, r/o Faizabad, Saidu Sharif, Distt: Swat (Mobile No. 0342-9781441)</t>
  </si>
  <si>
    <t>FIR No.490 dt.29/09/2014 u/s 365 PPC,PS Saidu Sharif,Swat</t>
  </si>
  <si>
    <t>2211 - K</t>
  </si>
  <si>
    <t>Iqbal Hassan s/o Rusham Khan</t>
  </si>
  <si>
    <t>2212 - K</t>
  </si>
  <si>
    <t>Ayaz Khan s/o Zahid Khan</t>
  </si>
  <si>
    <t>Zahid Khan s/o Hakomat Khan, r/o Village Dherai, Tehsil Kabal, Distt: Swat (Mobile No. 0310-0096130)</t>
  </si>
  <si>
    <t>FIR No.441 dt.20/09/2014 u/s 365 PPC PS Kanju District Swat</t>
  </si>
  <si>
    <t>Traced Person. Confined in the Internment Center Kohat as informed by Rep of MI at the hearing on 3.12.2014.</t>
  </si>
  <si>
    <t>2213 - K</t>
  </si>
  <si>
    <t>Salman Qari s/o Salombar Khan</t>
  </si>
  <si>
    <t>Ismail s/o Salombar Khan, r/o Village Dolat Khel, Tehsil Qambar, Distt: Swat (Mobile No. 0346-941583)</t>
  </si>
  <si>
    <t>FIR No.10 dt.10/01/2015 u/s 365 PPC PS/Takhatbai District Mardan</t>
  </si>
  <si>
    <t>2214 - K</t>
  </si>
  <si>
    <t>Qasim Khan s/o Moula Khan</t>
  </si>
  <si>
    <t>Tor Pakai w/o Qasim Khan, r/o Afghan Refugees Hall, Aelan Camp, Tehsil &amp; Distt: Kohat (Mobile No. 0333-9216190, 0304-1191018)</t>
  </si>
  <si>
    <t>Traced Person. Appeared before the Commission on 18.11.2014. Stated that went for Tableegh without informing his family.</t>
  </si>
  <si>
    <t>2215 - K</t>
  </si>
  <si>
    <t>Sultan Ali s/o Mian Gul</t>
  </si>
  <si>
    <t>Mst. Haj Begum widow of Mian Gul, r/o Nusrat, Deolai, Swat (Mobile No. 0347-9235612)</t>
  </si>
  <si>
    <t>FIR No.286 dt26/09/2014 u/s 365 PPC PS Shahdheri District Swat</t>
  </si>
  <si>
    <t>2216 - K</t>
  </si>
  <si>
    <t>Usman Ghani s/o Rehmat Gul</t>
  </si>
  <si>
    <t>Mst. Memoon Pari w/o Usman Ghani, r/o Village Shaheedran, Kouza Bandi, Tehsil Kabal, Distt: Swat (Mobile No. 0315-9020783)</t>
  </si>
  <si>
    <t>Traced Person. Confined in the Internment Centre Paitham as informed by SSP (Inv) Swat at the hearing on 20.4.2015.</t>
  </si>
  <si>
    <t>2217 - K</t>
  </si>
  <si>
    <t>Abdul Rehman s/o Shah Gul Amber</t>
  </si>
  <si>
    <t>Rehmat Ali s/o Gul Muhammad Shah, r/o Kala Kalay, Tehsil Kabal, Distt: Swat (Mobile No. 0345-2710448)</t>
  </si>
  <si>
    <t>Traced Person. Confined in the Internment Center Fizagat as informed by Rep of MI at the hearing on 3.12.2014.</t>
  </si>
  <si>
    <t>2218 - P</t>
  </si>
  <si>
    <t>HRC No. 17590-P/ 2014</t>
  </si>
  <si>
    <t>Bagh Ali s/o Bashir Ahmed</t>
  </si>
  <si>
    <t>Bashir Ahmed s/o Laal Deen, r/o Hazoor Singh, Tehsil &amp; Distt: Bahawalnagar</t>
  </si>
  <si>
    <t>FIR No.318 dt.13/8/2014 u/s 365 PPC,PS City Haroonabad District Bahawalnagar</t>
  </si>
  <si>
    <t>Traced Person. Father of Bagh Ali confirmed at the hearing on 8.9.2015 that he met his son in District Jail, Bahawalpur.</t>
  </si>
  <si>
    <t>2219 - I</t>
  </si>
  <si>
    <t>Ibrahim Khan s/o Abdul Rehman</t>
  </si>
  <si>
    <t>Abdul Rehman, r/o House No. B-1/1, Gali No. 16, G-7/2, Islamabad (Mobile No. 0313-5164443, 0336-5164443)</t>
  </si>
  <si>
    <t>FIR No.391 dt.17/9/2014 u/s 365 PPC,PS Aabpara,Islamabad</t>
  </si>
  <si>
    <t>Traced Person. Appeared before the Commission on 13.10.2014. Stated that he left due to dispute in family.</t>
  </si>
  <si>
    <t>2220- P</t>
  </si>
  <si>
    <t>HRC No. 17009-P/ 2014</t>
  </si>
  <si>
    <t>Syed Zain Imran Shah s/o Syed Shams Hussain Shah</t>
  </si>
  <si>
    <t>Mst. Syeda Umm-e-Farwa Batool d/o Syed Shams Hussain Shah, r/o Kotla Jam, Tehsil &amp; Distt: Bhakkar (Mobile No. 0332-7892567)</t>
  </si>
  <si>
    <t>Traced Person. Appeared before the Commission on 11.11.2014. Stated that he proceeded to Karachi of his own.</t>
  </si>
  <si>
    <t>2221- K</t>
  </si>
  <si>
    <t>HRC No. 19364-P/ 2014</t>
  </si>
  <si>
    <t>Muhammad Yaqoob s/o Ghulam Yaseen</t>
  </si>
  <si>
    <t>Ghulam Yaseen s/o Hamid Ali, r/o Kotla Ganmo, Tehsil Jatoi, Distt: Muzaffargarh. (Mobile No. 0302-7158688 &amp; 0304-2819279)</t>
  </si>
  <si>
    <t>FIR No.35 dt.15/1/2015 u/s 365 PPC,PS Doaba District Hangu.</t>
  </si>
  <si>
    <t>Traced Person. Confined in the Internment Center Alizai as informed by rep of FC KP at the hearing on 05-11-2017.</t>
  </si>
  <si>
    <t>2222- P</t>
  </si>
  <si>
    <t>Muhammad Imran s/o Ashfaq Ahmed</t>
  </si>
  <si>
    <t>Sultan Mehmood Siddique, r/o House No. 19/1807, 11-New Sadiq Colony, Mall Godown, Multan (Mobile No. 0305-2473500)</t>
  </si>
  <si>
    <t>FIR No.255 dt.28/9/2014 u/s 365 PPC,PS Haram Gate,Multan.</t>
  </si>
  <si>
    <t>2223 - S 1688-S</t>
  </si>
  <si>
    <t>HRC No. 18115-S/ 2014</t>
  </si>
  <si>
    <t>Safeer Mehmood s/o Isteqbal</t>
  </si>
  <si>
    <t>Mst. Khursheed Begum w/o Isteqbal, r/o Street No. 08, Sector 48/B, Korangi, Karachi (Mobile No. 0312-3559848)</t>
  </si>
  <si>
    <t>FIR No.156 dt.6/4/2014 u/s 365/34 PPC,PS/Zaman Town District East,Karachi.</t>
  </si>
  <si>
    <t>2224 - K</t>
  </si>
  <si>
    <t>Fazal Kabir s/o Said Rehman</t>
  </si>
  <si>
    <t>Suleman, r/o Mohallah: Punjpeer Abad, Village Kozabandai, Tehsil Kabal, Distt: Swat (Mobile No. 0346-9048899, 0345-2959042, 0347-8668546)</t>
  </si>
  <si>
    <t>FIR No.477 dt.11/10/2014 u/s 365 PPC,PS/Kanju District Swat.</t>
  </si>
  <si>
    <t>2225 - S</t>
  </si>
  <si>
    <t>Muhammad Tariq s/o Muhammad Saleem</t>
  </si>
  <si>
    <t>Muhammad Saleem s/o Abdul Ghafoor, r/o Goli Mar, PS. Pak Colony Karachi</t>
  </si>
  <si>
    <t>FIR No.241 dt.14/8/2012 u/s 365/34 PPC,PS/Pak Colony, District West,Karachi.</t>
  </si>
  <si>
    <t>2226 - P</t>
  </si>
  <si>
    <t>Syed Adeel Bukhari s/o Syed Tashruf Hussain Bukhari</t>
  </si>
  <si>
    <t>Mst. Maryam Adeel Bukhari w/o Syed Adeel Bukhari, r/o House No. 363, Block F-2, Johar Town, Lahore (Mobile No. 0315-4594570, 0333-8266031)</t>
  </si>
  <si>
    <t>FIR No. 694, 
 dt: 12-8-2014
 u/s 365 PPC
 PS. Johar Town,
 Lahore</t>
  </si>
  <si>
    <t>2227- K</t>
  </si>
  <si>
    <t>Somal Wilson s/o Wilson John</t>
  </si>
  <si>
    <t>Wilson John, r/o Armar Colony No. 2, Kamar Khel, Kaleem Abad, Nowshera, Cantt (Mobile No. 0322-5313372, 0334-8487311)</t>
  </si>
  <si>
    <t>FIR No. 245, 
 dt: 2-7-2014
 u/s 365 PPC
 PS. Nowshera Cantt,
 Nowshera</t>
  </si>
  <si>
    <t>Traced Person. Dead body of Somal Wilson handed over to his father. The Commission ordered for detailed probe vide the matter.</t>
  </si>
  <si>
    <t>2228- K</t>
  </si>
  <si>
    <t>Gul Wahab s/o Muhammad Nawaz</t>
  </si>
  <si>
    <t>Mst. Gul Ahsanania w/o Muhammad Nawaz, r/o Village Shamsha Khel, Kala, Tehsil &amp; Distt: Swabi (Mobile No. 0313-9767738)</t>
  </si>
  <si>
    <t>FIR No.732 dt.03/10/2014 u/s 365 PPC PS Swabi District Swabi</t>
  </si>
  <si>
    <t>Traced Person.Confined in the Internment Centre Lakki Marwat as informed vide letter dated 15.6.15 by Ministry of Defence.</t>
  </si>
  <si>
    <t>2229- K</t>
  </si>
  <si>
    <t>Hazrat Mashal s/o Gul Rahim</t>
  </si>
  <si>
    <t>Mst. Jamal Begum w/o Hazrat Mashal, r/o Village Sarkhana, Bara Bandi, Tehsil &amp; Distt: Swat (Mobile No. 0347-4850545)</t>
  </si>
  <si>
    <t>FIR No.517dt.27/10/2014 u/s 365 PPC PS Kanju District Swat</t>
  </si>
  <si>
    <t>2230- K</t>
  </si>
  <si>
    <t>Ashraf Ali Shah s/o Hazrat Mashal</t>
  </si>
  <si>
    <t>15602-0381347-5</t>
  </si>
  <si>
    <t>FIR No.142 dt.04/5/2008 u/s 365 PPC PS Kabal District Swat</t>
  </si>
  <si>
    <t>Under Investigation (Swat)</t>
  </si>
  <si>
    <t>2231- K</t>
  </si>
  <si>
    <t>Mumtaz Ali Shah s/o Hazrat Mashal</t>
  </si>
  <si>
    <t>2232- F</t>
  </si>
  <si>
    <t>Khubab Khan s/o Tamash Khan</t>
  </si>
  <si>
    <t>Tamash Khan, r/o Shinwari Muhallah, Khouga Khel, Landi Kotal, Tehsil Landi Kotal, Distt: Khyber Agency.</t>
  </si>
  <si>
    <t>Traced Person. Confined in the Internment Center Landi Kotal as informed by Rep of FC at the hearing on 26.5.15.</t>
  </si>
  <si>
    <t>2233- S</t>
  </si>
  <si>
    <t>Adnan Shikoh s/o Mirza Khalil Shikoh</t>
  </si>
  <si>
    <t>Mirza Khalil Shikoh, r/o 102-103 Tahir Plaza near City Courts, Karachi (Mobile No. 0323-2929608)</t>
  </si>
  <si>
    <t>FIR No.24 dt.1/7/2014 u/s 365/34 PPC PS Railways District Cantt. Station,Karachi</t>
  </si>
  <si>
    <t>Traced Person. Returned to Home an available at (102-103 Tahir Plaza near City Courts, Karachi)</t>
  </si>
  <si>
    <t>2234- S</t>
  </si>
  <si>
    <t>Abdul Majid s/o Muhammad Siddique</t>
  </si>
  <si>
    <t>Mst. Fatima d/o Muhammad Siddique, r/o Gulshan Masood Ghazi, Kotri, Khuda Ki Basti No. 1, Hyderabad, Sindh (Mobile No. 0332-2247835)</t>
  </si>
  <si>
    <t>FIR No.321 dt.24/6/2013 u/s 365/34 PPC PS/Sachal District Malir East,Karachi</t>
  </si>
  <si>
    <t>2235- K</t>
  </si>
  <si>
    <t>Muhammad Saleem s/o Abdul Qayyum</t>
  </si>
  <si>
    <t>Mst. Wazira w/o Abdul Qayyum, r/o Nareday Kouza Darshakhila, P.O Bara Darshakhila, Tehsil Matta, Distt: Swat (Mobile No. 0344-8141910)</t>
  </si>
  <si>
    <t>Traced Person. Confined in the Internment Centre Paitham as informed by SP (Inv) Swat at the hearing on 20.4.2015.</t>
  </si>
  <si>
    <t>2236- K</t>
  </si>
  <si>
    <t>Khyber Khan s/o Khanay</t>
  </si>
  <si>
    <t>Mst. Babu Fai w/o Khanay, r/o Village/P.O. Bha, Tehsil Matta, Distt: Swat (Mobile No. 0341-7750200)</t>
  </si>
  <si>
    <t>FIR No.174 dt.11/5/2012 u/s 365 PPC PS Umerzai District Charsadda.</t>
  </si>
  <si>
    <t>Under Investigation (KPK)
 Charsadda</t>
  </si>
  <si>
    <t>2237- K</t>
  </si>
  <si>
    <t>Molana Ameer Muttaqi s/o Molana Hazrat Shah</t>
  </si>
  <si>
    <t>Ajab Khan s/o Molana Hazrat Shah, r/o Manshera, Tehsil &amp; P.O Ogi, Distt: Manshera (Mobile No. 0342-9535658, 0301-4851675)</t>
  </si>
  <si>
    <t>FIR No.212 dt.14/10/2014 u/s 365 PPC PS Nara District Abbottabad</t>
  </si>
  <si>
    <t>Traced Person.Confined in Adiyala Jail. Ajab Khan b/o Molana confrmed having met him in Jail at the hearing held on 8.3.2016.</t>
  </si>
  <si>
    <t>2238- K</t>
  </si>
  <si>
    <t>Hafiz Jaleel Ahmed s/o Jamil Ahmed</t>
  </si>
  <si>
    <t>Jamil Ahmed, r/o Parhoti, House No. 269/28, Mohallah Lazzatabad, Mardan (Mobile No. 0332-9100283)</t>
  </si>
  <si>
    <t>FIR No.436 dt.31/10/2014 u/s 365 PPC PS Par Hoti,Mardan</t>
  </si>
  <si>
    <t>Under Investigation (KPK) Mardan</t>
  </si>
  <si>
    <t>2239- K</t>
  </si>
  <si>
    <t>Inayat Ullah s/o Khakay Khan</t>
  </si>
  <si>
    <t>Mst. Lali Gulla w/o Khakay Khan, r/o Karma, P.O. Ludha, Distt: South Waziristan Agency (Mobile No. 0346-7990042)</t>
  </si>
  <si>
    <t>FIR No.332 dt.13/11/2014 u/s 365 PPC PS/Dera Town,D.I.Khan</t>
  </si>
  <si>
    <t>Traced Person. Confined in the Internment Center Lakki Marwat as informed by Rep of MI at the hearing held on 3.6.2015.</t>
  </si>
  <si>
    <t>2240- B</t>
  </si>
  <si>
    <t>Yousaf s/o Muhammad Gundi</t>
  </si>
  <si>
    <t>Mst. Salma Khadir, r/o Jamak Gwarkop, U/C Pidark, Distt: Keh, Turbat (Mobile No. 0324-8070636)</t>
  </si>
  <si>
    <t>FIR No.33 dt.19/2/2015 u/s 365/34 PPC PS/Turbat</t>
  </si>
  <si>
    <t>Deleted. Not a Case of Enforced Disappearances as per circumstances of the case. However, direction issued to bus his dues.</t>
  </si>
  <si>
    <t>2241- A</t>
  </si>
  <si>
    <t>Gulfraz Siddique s/o Muhammad Siddique Khan</t>
  </si>
  <si>
    <t>Iftikhar Siddique s/o Muhammad Siddique Khan, r/o Village Trar, P.O &amp; Tehsil Rawalakot, Distt: Poonch, Azad Kashmir (Mobile No. 0333-5731393, 0342-0539650)</t>
  </si>
  <si>
    <t>FIR No.06/2015 u/s 364 PPC PS Rawlakot,AJK</t>
  </si>
  <si>
    <t>Deleted. Not a Case of enforced disappearances. Case in pending before Session Court, Rawalakot.</t>
  </si>
  <si>
    <t>2242 - K</t>
  </si>
  <si>
    <t>Abzeer Ali s/o Yar Muhammad</t>
  </si>
  <si>
    <t>Sher Alam s/o Yar Muhammad, r/o Mohallah Sultan Khel, Tehsil Barikot, Distt: Swat (Mobile No. 0346-7272663)</t>
  </si>
  <si>
    <t>Traced Person. It is intimated at the hearing on 30/10/2018 that Abzeer Ali has been traced. He is presently confined in Internment Center Paithom. Sher Ali Khan brother of Missing Person was present who was apprised of the status of the case. Family members of Abzeer Ali shall be facilitated to see him in the Internment Center as per rule and procedures.</t>
  </si>
  <si>
    <t>2243 - K</t>
  </si>
  <si>
    <t>Ziaullah s/o Umer Zada, r/o Mohallah Ranjogat Balogram, Tehsil &amp; Distt: Swat (Mobile No. 0346-1952366)</t>
  </si>
  <si>
    <t>FIR No. 676 dt.29/10/2014 u/s 365 PPC PS Raheemabad, Swat</t>
  </si>
  <si>
    <t>2244 - K</t>
  </si>
  <si>
    <t>Umer Zada s/o Bashar</t>
  </si>
  <si>
    <t>Traced Person. Confined in the Internment Center Paitham.</t>
  </si>
  <si>
    <t>2245 - K</t>
  </si>
  <si>
    <t>Najeeb Ullah s/o Bashar</t>
  </si>
  <si>
    <t>FIR No. 675 dt.29/10/2014 u/s 365 PPC PS Raheemabad, Swat</t>
  </si>
  <si>
    <t>2246 - P</t>
  </si>
  <si>
    <t>Sohail Umer Khan s/o Umer Daraz Khan</t>
  </si>
  <si>
    <t>Mrs. Zulfiqar Ali, Khokhar Plaza, Umer Farooq Colony, Peer Mahal, Distt: Toba Tek Singh (Mobile No. 0331-8676940)</t>
  </si>
  <si>
    <t>FIR No.74 dt.25/1/2015 u/s 365 PPC,PS Airport District Rawalpindi.</t>
  </si>
  <si>
    <t>Under Investigation (Punjab)
 Rawalpindi</t>
  </si>
  <si>
    <t>2247 - P</t>
  </si>
  <si>
    <t>Muhammad Makki s/o Karim Bakhsh</t>
  </si>
  <si>
    <t>Manzoor Ahmed s/o Karim Bakhsh, r/o Jhoke Utera, P.O Khanwah Ghulwan, Tehsil &amp; Distt: Lodhran (Mobile No. 0303-5281794)</t>
  </si>
  <si>
    <t>FIR No.401 dt.29/10/2014 u/s 365 PPC,PS/Qureshiwala District Lodhran.</t>
  </si>
  <si>
    <t>Traced Person Facing Trial CTD, Multan in case FIR No. 9/2016 dated 21.1.2016 u/s 3/4 ESA, 7 ATA at PS CTD, Multan.</t>
  </si>
  <si>
    <t>2248 - K</t>
  </si>
  <si>
    <t>Muddasir Hussain s/o Abdul Qadir</t>
  </si>
  <si>
    <t>Abdul Qadir, r/o Hayatabad, Opposite Boys Degree College, Tul Road, Hangu (Mobile No. 0332-9568270)</t>
  </si>
  <si>
    <t>FIR No.274 dt.11/5/2011 u/s 365 PPC,PS City District Hangu.</t>
  </si>
  <si>
    <t>Traced Person.Confined in the Internment Center Lakki Marwat as informed by SP (Inv) Hangu at the hearing on 10.11.2014.</t>
  </si>
  <si>
    <t>2249 - K</t>
  </si>
  <si>
    <t>Asadullah s/o Muhammad Khursheed</t>
  </si>
  <si>
    <t>Muhammad Khursheed, r/o By-Pass Road near Sarki Aman Graveyard, Hangu (Mobile No. 0336-9481398)</t>
  </si>
  <si>
    <t>2250 - P</t>
  </si>
  <si>
    <t>Najma w/o Maqsood Ahmed</t>
  </si>
  <si>
    <t>Maqsood Ahmed, r/o House No. 2/11, C-3, Nazimabad No. 3, Karachi (Mobile No. 0301-2064224)</t>
  </si>
  <si>
    <t>Traced Person. SP (Inv) Cantt, Lahore reported that she was went to Jandu Allah Yar at her own and came back after a few days.</t>
  </si>
  <si>
    <t>2251 - P</t>
  </si>
  <si>
    <t>Iqra Tariq D/o Muhammad Tariq Khan</t>
  </si>
  <si>
    <t>Muhammad Tariq Khan, r/o Qaim Khani House, Mohallah Sami Town, Muslimabad, Lahore Cantt (Mobile No. 03228891921)</t>
  </si>
  <si>
    <t>2252 - P</t>
  </si>
  <si>
    <t>Abdullah Muddassir s/o Dr. Mudassir Ahmed</t>
  </si>
  <si>
    <t>Dr. Mudassir Ahmed, r/o Riphah International University Faisalabad Campus, Satiana Road, Faisalabad (Mobile No. 0333-8777570)</t>
  </si>
  <si>
    <t>FIR No.49 dt.15/01/2014 u/s 365 PPC PS Saddar,Faisalabad</t>
  </si>
  <si>
    <t>Traced Person. Returned to home as informed by SSP, Faisalabad at the hearing held on 31.5.2016.</t>
  </si>
  <si>
    <t>2253 - P</t>
  </si>
  <si>
    <t>Abd-ur-Rehman Muddassir s/o Dr. Mudassir Ahmed</t>
  </si>
  <si>
    <t>2254 - S</t>
  </si>
  <si>
    <t>Waqas Ahmed s/o Javed Ali Qasim</t>
  </si>
  <si>
    <t>Javed Ali Qasim, r/o Village Barkaly, Saidu Sharif, Distt: Swat, KP (Mobile No. 0333-9462826)</t>
  </si>
  <si>
    <t>Deleted. Not a case of enforced disappearances as Waqas Ahmed is a deserter from Pak Navy.</t>
  </si>
  <si>
    <t>2255 - B</t>
  </si>
  <si>
    <t>Zahid Baloch s/o Elahi Bux Khurd</t>
  </si>
  <si>
    <t>Quetta, Balochistan</t>
  </si>
  <si>
    <t>FIR No. 177 dt.2/6/2014 u/s 365/34 PPC PS/Satellite Town,Quetta</t>
  </si>
  <si>
    <t>Under Investigation (Bal)</t>
  </si>
  <si>
    <t>2256 - P</t>
  </si>
  <si>
    <t>Malik Yasir s/o Malik Muhammad Sadiq</t>
  </si>
  <si>
    <t>Faisal Adnan s/o Muhammad Irshad, r/o Lane No. 7, New Raja Akram Colony, Tulsa Road, Lalazar, Rawalpindi (Mobile No. 0332-8562007)</t>
  </si>
  <si>
    <t>FIR No. 679 dt.20/10/2014 u/s 365 PPC PS Civil Lines, Rawalpindi</t>
  </si>
  <si>
    <t>Traced Person. Appeared before the Commission on 1.12.2014. Shared some details of his abduction. However did not disclose more details.</t>
  </si>
  <si>
    <t>2257 - K</t>
  </si>
  <si>
    <t>Siraj s/o Seezay Khan</t>
  </si>
  <si>
    <t>Haji Hussain Khan s/o Hafiz Khan, r/o Dora Road, Afridiabad, near Toor Baba, Peshawar (Mobile No. 0345-9217293)</t>
  </si>
  <si>
    <t>FIR No.324 dt.25/02/2015 u/s 365 PPC PS/Bhanamari,Peshawar.</t>
  </si>
  <si>
    <t>Traced Person. Father of Siraj confirmed at the hearing on 7.9.2015 that his son returned to home.</t>
  </si>
  <si>
    <t>2258 - K</t>
  </si>
  <si>
    <t>Raheemullah s/o Abdul Karim</t>
  </si>
  <si>
    <t>Abdul Karim s/o Dost Muhammad Khan, r/o Shaheedan, Kouza Bandi, P.O. Kouza Bandi, Tehsil Kabal, Distt: Swat (Mobile No. 0343-9619096, 0346-155697)</t>
  </si>
  <si>
    <t>FIR No.552 dt.25/11/2014 u/s 365 PPC PS/Kanju District Swat.</t>
  </si>
  <si>
    <t>2259 - P</t>
  </si>
  <si>
    <t>Touseef-ur-Rehman s/o Muhammad Hafeez</t>
  </si>
  <si>
    <t>Naseer Abbasi, r/o Mohallah New Millatabad, Gali No. 3, Niazi Town, Rawalpindi Cantt, Tehsil &amp; Distt: Rawalpindi (Mobile No. 0323-5857552)</t>
  </si>
  <si>
    <t>FIR No.474 dt.27/11/2014 u/s 365 PPC PS Race Course,Rawalpindi</t>
  </si>
  <si>
    <t>Under Investigation (Punjab) Rawalpindi</t>
  </si>
  <si>
    <t>2260 - P</t>
  </si>
  <si>
    <t>Naveed-ur-Rehman s/o Muhammad Hafeez</t>
  </si>
  <si>
    <t>2261 - P</t>
  </si>
  <si>
    <t>Mukhtiar Ahmed s/o Muhammad Karim</t>
  </si>
  <si>
    <t>Mst. Ghulam Ayesha w/o Muhammad Karim, r/o Bibi Ziarat, Domail, P.O. Khas, Tehsil Jand, Distt: Attock (Mobile No. 0334-5611650, 0301-5205927)</t>
  </si>
  <si>
    <t>FIR No.101 dt.02/10/2014 u/s 365 PPC,PS Basal District Attock.</t>
  </si>
  <si>
    <t>Traced Person. Mukhiar Ahmed confirmed at the hearing on 10.11.2014 that latter has returned to home.</t>
  </si>
  <si>
    <t>2262 - I</t>
  </si>
  <si>
    <t>Muhammad Mohsin Ali s/o Qazi Muhammad Afzal Tahir</t>
  </si>
  <si>
    <t>Muhammad Afzal, r/o House No. 116, Gali No. 05, Shahzad Town, Islamabad (Mobile No. 0321-5249954)</t>
  </si>
  <si>
    <t>FIR No.535 dt.23/10/2014 u/s 365 PPC PS Shehzad Town,Islamabad</t>
  </si>
  <si>
    <t>Traced Person. Appeared before the Commission on 7.4.2015 confirmed his return to home. No details shared.</t>
  </si>
  <si>
    <t>2263 - K</t>
  </si>
  <si>
    <t>Orang Khan s/o Munafat Khan</t>
  </si>
  <si>
    <t>Muhammad Suleman s/o Orang Khan, r/o Mohallah Azeemabad, Jalbai, Tehsil Lahore, Distt: Swabi (Mobile No. 0300-9085288)</t>
  </si>
  <si>
    <t>FIR No.382 dt.21/11/2014 u/s 365 PPC PS/Tordher,District Swabi.</t>
  </si>
  <si>
    <t>Traced Person. It was informed at the hearing that Orang Khan has been recovered. Statement recorded u/s 164 CrPC.</t>
  </si>
  <si>
    <t>2264-S 4995-S 2576-S</t>
  </si>
  <si>
    <t>Suhaib s/o Asghar Ali</t>
  </si>
  <si>
    <t>Muhammad Saeed, r/o House No. B-230, Jawed Miandad Road, Block-A, North Nazimabad, Karachi (Mobile No. 0333- 2304017)</t>
  </si>
  <si>
    <t>MoFAs No.10005289</t>
  </si>
  <si>
    <t>2265 - K</t>
  </si>
  <si>
    <t>Abdul Rasheed s/o Khatab Gul</t>
  </si>
  <si>
    <t>Khatab Gul, r/o Akhwan Baba, Mohallah Perdolabad, Mardan (Mobile No. 0307-5720794)</t>
  </si>
  <si>
    <t>FIR No.437 dt.31/10/2014 u/s 365 PPC PS Par Hoti,Mardan</t>
  </si>
  <si>
    <t>2266 - S</t>
  </si>
  <si>
    <t>Baitullah Khan s/o Hasan Gul, r/o House No. HA/33, New Haji Camp, M.T. Khan Road, Sultanabad, Karachi (Mobile No. 0301-3215175)</t>
  </si>
  <si>
    <t>FIR No. 87
 dt: 2/10/2014
 u/s 365/34 PPC
 PS. Civil Lines,District South,Karachi.</t>
  </si>
  <si>
    <t>2267 - K</t>
  </si>
  <si>
    <t>Muhammad Ilyas Khan s/o Muhammad Ali Khan</t>
  </si>
  <si>
    <t>Muhammad Ali Khan, r/o Ammar Zargai, Tehsil/P.O. Sararogha, Distt: South Waziristan Agency (Mobile No. 0341-2500428, 0341-2180807)</t>
  </si>
  <si>
    <t>Traced Person. Confined in the Internment Centre, Lakki Marwat as infomed by Rep of MI at the hearing on 26.3.2015.</t>
  </si>
  <si>
    <t>2268 - P</t>
  </si>
  <si>
    <t>Ghulam Mustafa s/o Muhammad Shafi</t>
  </si>
  <si>
    <t>Zaheer Abbas s/o Liaqat Ali, r/o Chak No. 6/AH, Khanewal (0341-7299785)</t>
  </si>
  <si>
    <t>FIR No.587 dt.05/7/2015 u/s 365 PPC PS Qila Gujjar Singh,Lahore.</t>
  </si>
  <si>
    <t>Traced Person. Returned to Home and available at Chak No. 6/AH, Khanewal. Apperaed before the Commission on 13.7.2017.</t>
  </si>
  <si>
    <t>2269 - P</t>
  </si>
  <si>
    <t>Waqar Ahmed Abbasi s/o Muhammad Imtiaz Abbasi</t>
  </si>
  <si>
    <t>Muhammad Imtiaz Abbasi, r/o Village Malot Dhondan, P.O. Kashmiri Bazar, Tehsil Murree, Rawalpindi (Mobile No. 0300-5200980)</t>
  </si>
  <si>
    <t>FIR No.487 dt.27/08/2014 u/s 365 PPC PS Cantt, Rawalpindi</t>
  </si>
  <si>
    <t>Traced Person. Complainant, Shakeel Ahmed Abbasi appeared before the Commission on 20.6.2019, whose statement has been recorded on oath. Waqar Ahmed Abbasi returned to home on 26.4.2019.</t>
  </si>
  <si>
    <t>2270 - S</t>
  </si>
  <si>
    <t>Sarwech Ali Pirzado s/o Lutuf Pirzado</t>
  </si>
  <si>
    <t>Lutuf Pirzado, r/o Flat No. L-209/6, 2nd Floor, Al-Rauf Royal City, Gulistan-e-Johar 19, Preedy Police Station, Saddar, Karachi (Mobile No. 0332-3428639)</t>
  </si>
  <si>
    <t>2271 - P</t>
  </si>
  <si>
    <t>Rizwan Abdul Qadir s/o Abdul Qadir</t>
  </si>
  <si>
    <t>Abdul Qadir s/o Qazi Abdul Latif, r/o Mera Kala, Chakri Road, P.O Mera Khurd, Tehsil &amp; Distt: Rawalpindi (Mobile No. 0321-9524715)</t>
  </si>
  <si>
    <t>FIR No.466 dt.18/12/2014 u/s 365 PPC PS R.A Bazaar, Rawalpindi</t>
  </si>
  <si>
    <t>Traced Person. Dead Body Recovered Killed in Encounter with LEAs as informed by Rep of Home Department Punjab on 5.4.2016.</t>
  </si>
  <si>
    <t>2272 - P</t>
  </si>
  <si>
    <t>HRC No. 21538-P/ 2014</t>
  </si>
  <si>
    <t>Muhammad Khaid Fareed s/o Ghulam Fareed</t>
  </si>
  <si>
    <t>Ghulam Fareed s/o Muhammad Bakhsh, r/o Pul Dakar, P.O. Baghlani, Tehsil Tunsa, Distt: Dera Ghazi Khan (Mobile No. 0345-7142604)</t>
  </si>
  <si>
    <t>FIR No.308 dt.21/12/2014 u/s 365 PPC,PS City Taunsa Sharif District D.G.Khan</t>
  </si>
  <si>
    <t>Traced Person. Father of Muhammad Khalid Fareed confirmed at the hearing on 8.9.2015 that his son in confined in District Jail, D.G.Khan in FIR 174 dated 15.7.15 u/s 13 (2)</t>
  </si>
  <si>
    <t>2273 - I</t>
  </si>
  <si>
    <t>HRC No. 13064-M/ 2014</t>
  </si>
  <si>
    <t>Pir Raja Azmat Nawaz s/o Raja Muhammad Nawaz</t>
  </si>
  <si>
    <t>Soman s/o Pir Azmat Nawaz, r/o Baqar Colony Lalazar, C/o Kabir General Store, Rawalpindi (Mobile No. 0312-1521739, 0302-9864467)</t>
  </si>
  <si>
    <t>FIR No.395 dt.11/7/2014 u/s 365 PPC,PS Industrial Area,Islamabad.</t>
  </si>
  <si>
    <t>Traced Person. Confined in Adyala Jail Rawalpindi on account of registration of some criminal cases.</t>
  </si>
  <si>
    <t>2274 - K</t>
  </si>
  <si>
    <t>HRC No. 20233-K/ 2014</t>
  </si>
  <si>
    <t>Faridullah Khan s/o Fazal Subhan</t>
  </si>
  <si>
    <t>Fazal Subhan s/o Mir Alam Khan, r/o House No. 677/38-A, Jaman Road, Jadeed Abadi, Tehsil &amp; Distt: Bannu</t>
  </si>
  <si>
    <t>FIR No.81 dt.03/2/2015 u/s 365 PPC,PS Margalla,Islamabad.</t>
  </si>
  <si>
    <t>Closed. The complainant remained absent at the hearing held in this case, which has been categorized as that of voluntary disappearance by JIT, Dr. FTD. Reps of MI and ISI have submitted that found check was carried out which reveled that Faridullah Khan was neither arrested nor held in custody. Accordingly the case is closed for being not a case of enforced disappearance.</t>
  </si>
  <si>
    <t>2275 - K</t>
  </si>
  <si>
    <t>HRC No. 24372-K/ 2014</t>
  </si>
  <si>
    <t>Zahir Shah s/o Muhammad Khan</t>
  </si>
  <si>
    <t>Muhammad Khan s/o Sarbuland, r/o Mamon Khan Colony, Rahimabad, Swat (Mobile No. 0342-8133775)</t>
  </si>
  <si>
    <t>FIR No.820 dt.28/11/2014 u/s 365 PPC PS/Banr District Swat.</t>
  </si>
  <si>
    <t>2276 - K</t>
  </si>
  <si>
    <t>HRC No. 17411-K/ 2014</t>
  </si>
  <si>
    <t>Izharullah s/o Hazrat Yaqoob</t>
  </si>
  <si>
    <t>Mst. Qamar Zameer w/o Hazrat Yaqoob, r/o Muhallah Ameer Khan, Mingora Tehsil &amp; District Swat (0345-09833949, 0341-5677665)</t>
  </si>
  <si>
    <t>Traced Person. Facing trial in Sub-Jail Paitham in FIR 170 dated 5.11.12 u/s 302 148,149 PPC recorded with 7 ATA etc as informed at the hearing on 2.2.2015.</t>
  </si>
  <si>
    <t>2277 - K</t>
  </si>
  <si>
    <t>HRC No. 21444-K/ 2014</t>
  </si>
  <si>
    <t>Gulab Zarin s/o Muhammad Zarin</t>
  </si>
  <si>
    <t>Muhammad Zarin, r/o Kabilgram, Tehsil Martong, Distt: Shangla (Mobile No. 0344-0015402)</t>
  </si>
  <si>
    <t>FIR No.8 dt.6/02/2015 u/s 365 PPC PS/Kabalgram District Shangla</t>
  </si>
  <si>
    <t>Traced Person. Ghulab Zarin has been traced as he was presently confined in Internment Center Paithom as informed by Rep of MI at the hearing on 27/12/2018. Family members have already met with Ghulab Zarin in the Internment Center Paithom.</t>
  </si>
  <si>
    <t>Shangala</t>
  </si>
  <si>
    <t>2278- S</t>
  </si>
  <si>
    <t>HRC No. 8764-S/ 2014</t>
  </si>
  <si>
    <t>Muhammad Usman s/o Ghulam Rasool</t>
  </si>
  <si>
    <t>Ghulam Rasool, r/o House No. A-2, KESC Colony OPP New Nazimabad Mangopir Road, Karachi (Mobile No. 0322-3832379)</t>
  </si>
  <si>
    <t>FIR No.119 dt./15/6/2014 u/s 365/34 PPC PS/Manghopir, District West,Karachi.</t>
  </si>
  <si>
    <t>2279- K</t>
  </si>
  <si>
    <t>Adnan Khan s/o Bakhat Farosh</t>
  </si>
  <si>
    <t>Bakhat Farosh @ Babo, r/o Nawan Kalay, District Swat</t>
  </si>
  <si>
    <t>Traced Person. Confined in the Internment Center Patham as informed by Rep of MI at the hearing on 21.4.2015.</t>
  </si>
  <si>
    <t>2280 - P</t>
  </si>
  <si>
    <t>Hafiz Muhammad Usman s/o Abdul Rasheed Arshed</t>
  </si>
  <si>
    <t>Mst. Farhat Siddiqua w/o Abdul Rasheed Arshed, r/o Siddique Akbar Town, Mughal Chowk Tower, Dhulay, Gujranwala (Mobile No. 0312-0788428)</t>
  </si>
  <si>
    <t>FIR No. 826
 dt: 22/12/2014
 u/s 365 PPC
 PS Dhulley District Gujranwala.</t>
  </si>
  <si>
    <t>Traced Person. Killed in encounter with CTD, Multan. Family received dead body as confirmed by his brother at the hearing on 16.12.15.</t>
  </si>
  <si>
    <t>2281-B</t>
  </si>
  <si>
    <t>Asadullah s/o Faiz Muhammad</t>
  </si>
  <si>
    <t>Faiz Muhammad, r/o Dazin Tump, Distt Turbat, Balochistan</t>
  </si>
  <si>
    <t>FIR No. 329
 dt: 01/12/2014
 u/s 365 PPC
 PS Saddar
 District Manshera</t>
  </si>
  <si>
    <t>Under Inv Balochistan</t>
  </si>
  <si>
    <t>2282 - I</t>
  </si>
  <si>
    <t>Mehtab Khan s/o Syed Amin</t>
  </si>
  <si>
    <t>Syed Rasool Khan, r/o House No. 12/4-C, Street No. 5, G-7/2, Islamabad (Mobile No. 0306-2183164)</t>
  </si>
  <si>
    <t>FIR No. 197/2014 u/s 365 PPC PS/Satellite Town,Quetta.</t>
  </si>
  <si>
    <t>Traced Person. SP (Inv) ICT informed at the hearing on 12.3.2016 that Mehtab Khan is confined in Central Jail, Karachi in a criminal case vide FIR No. 30 dated 29.1.2016.</t>
  </si>
  <si>
    <t>2283 - I</t>
  </si>
  <si>
    <t>Syed Amin s/o Aeela Khan</t>
  </si>
  <si>
    <t>FIR No. 676
 dt:26/12/2014
 u/s 365 PPC
 P.S. Shahzad Town,Islamabad</t>
  </si>
  <si>
    <t>Traced Person. Confined in Central Jail Karachi incase FIR No. 34 dated 29.1.2016.</t>
  </si>
  <si>
    <t>2284 - I</t>
  </si>
  <si>
    <t>Syed Ahmed s/o Syed Rasool Khan</t>
  </si>
  <si>
    <t>Traced Person. Confined in the Central Jail Karachi.</t>
  </si>
  <si>
    <t>2285 - S</t>
  </si>
  <si>
    <t>Umer Zaman s/o Habib Ahmed</t>
  </si>
  <si>
    <t>Habib Ahmed , r/o House No. R-19, Mohallah Maaz Town, Survey 222/2, East Karachi (Mobile No. 0333-3787317)</t>
  </si>
  <si>
    <t>2286 - K</t>
  </si>
  <si>
    <t>Abdul Wahab s/o Ahmed Jan</t>
  </si>
  <si>
    <t>Abdul Rehman s/o Ahmed Jan, r/o Village Kandro, Sersenai, Tehsil Kabal, Distt: Swat (Mobile No. 0346-3371749)</t>
  </si>
  <si>
    <t>Traced Person. Confined in the Internment Centre, Fizagat. Family met him as informed at the hearing on 20.2.2015.</t>
  </si>
  <si>
    <t>2287 - K</t>
  </si>
  <si>
    <t>Zahoor Ahmed s/o Ahmed Jan</t>
  </si>
  <si>
    <t>2288 - K</t>
  </si>
  <si>
    <t>Khursheed Ali s/o Muhammad Gul</t>
  </si>
  <si>
    <t>Muhammadi Gul, r/o Mohallah Toheedabad, Nokelay, P.O. Mingora, Distt: Swat (Mobile No. 0342-9659221)</t>
  </si>
  <si>
    <t>FIR No. 23 dated 15/1/2015 u/s 365-PPC PS Sabzi Mandi</t>
  </si>
  <si>
    <t>Traced Person. Khursheed Ali has been traced. According to report furnished at the hearing on 27/12/2018 by Rep of MI Khursheed Ali is presently confined in the Internment Center Fizaghat. Family members of Khursheed Ali shall be facilitated to see him in the Internment Center.</t>
  </si>
  <si>
    <t>2289 - K</t>
  </si>
  <si>
    <t>Hakeem Zada s/o Dilawar</t>
  </si>
  <si>
    <t>Mst. Shaheen w/o Hakeem Zada, r/o Village Sharifabad, Tehsil Kabal, Distt: Swat (Mobile No. 0342-8064476)</t>
  </si>
  <si>
    <t>FIR No.829 dt.31/12/2014 u/s 365 PPC,PS Rahimabad District Swat.</t>
  </si>
  <si>
    <t>2290 - K</t>
  </si>
  <si>
    <t>Said Nawab s/o Abdullah Khan</t>
  </si>
  <si>
    <t>Fazal Wahab s/o Abdullah Khan, r/o Village Tal, P.O. Deolai, Tehsil &amp; Distt: Swat (Mobile No. 0342-8274066)</t>
  </si>
  <si>
    <t>FIR No.1 dt.01/01/2015 u/s 365 PPC,PS Shah Dherai District Swat.</t>
  </si>
  <si>
    <t>2291 - K</t>
  </si>
  <si>
    <t>Bacha s/o Taj Malook</t>
  </si>
  <si>
    <t>Mst. Shamim w/o Bacha, r/o Sawaray Meera, Dardhal, P.O Deolai, Tehsil &amp; Distt: Swat (Mobile No. 0346-9479551)</t>
  </si>
  <si>
    <t>FIR No.2 dt.01/01/2015 u/s 365 PPC,PS Shah Dherai District Swat.</t>
  </si>
  <si>
    <t>2292 - K</t>
  </si>
  <si>
    <t>Zahid Khan s/o Nadir Khan</t>
  </si>
  <si>
    <t>Mst. Shahmir w/o Zahid Khan, r/o Village Dardhal, P.O Shah Dherai, Tehsil &amp; Distt: Swat (Mobile No. 0347-9345731)</t>
  </si>
  <si>
    <t>Traced Person. Confined in the Internment Center Pathamas informed by JIT at the hearing on 19.8.2015. Family met him.</t>
  </si>
  <si>
    <t>2293 - S</t>
  </si>
  <si>
    <t>Fazal Rehman s/o Babo Aziz-ur-Rehman</t>
  </si>
  <si>
    <t>Babo Aziz-ur-Rehman s/o House No. A-1066, Sector 11-A, near Nagan Chorangi, North Karachi (Mobile No. 0333-3389434, 0313-3305985)</t>
  </si>
  <si>
    <t>FIR No. 153
 dt: 15/10/2014
 u/s 365/34 PPC
 P.S/Airport,District Malir East,Karachi.</t>
  </si>
  <si>
    <t>2294 - P</t>
  </si>
  <si>
    <t>Hafiz Muhammad Gulbaz s/o Zakaullah</t>
  </si>
  <si>
    <t>Zakaullah s/o Muhammad Khan, r/o Village Kotli Antta, Tehsil Kamonki, Distt: Gujranwala (Mobile No. 0322-7312476)</t>
  </si>
  <si>
    <t>FIR No. 530
 dt: 20/12/2014
 u/s 365 PPC
 P.S/Wahndo,District Gujranwala.</t>
  </si>
  <si>
    <t>Traced Person. SP (Inv) Model Town, Lahore submitted at the hearing on 4.11.2015 that Hafiz Muhammad Gulbaz has returned to home.</t>
  </si>
  <si>
    <t>2295 - S</t>
  </si>
  <si>
    <t>Rashid s/o Ghulam Hussain</t>
  </si>
  <si>
    <t>Mst. Mai Zainab w/o Ghulam Hussain s/o Mureed Shakh, Goth Lashkran, P.O Khambra, Tehsil Obaro, Distt: Gothaki (Mobile No. 0308-3112034, 0307-4114511)</t>
  </si>
  <si>
    <t>Returned to Home and available at (Mureed Shakh, Goth Lashkran, P.O Khambra, Tehsil Obaro, Distt: Gothaki)</t>
  </si>
  <si>
    <t>2296 - S</t>
  </si>
  <si>
    <t>HRC No. 44665 - S/ 2013</t>
  </si>
  <si>
    <t>Nadir Khan s/o Raees Khan</t>
  </si>
  <si>
    <t>Raees Khan s/o Khan Afzal, r/o House No. 92, Mohallah 5-A/L Qasba Colony, Orangi Town, Karachi (Mobile No. 0332-2521812)</t>
  </si>
  <si>
    <t>FIR No. 89
 dt: 14-4-2013
 u/s 365/34 PPC
 P.S. Mithadar
 Distt: South Karachi</t>
  </si>
  <si>
    <t>Returned to Home and available at (House No. 92, Mohallah 5-A/L Qasba Colony, Orangi Town, Karachi)</t>
  </si>
  <si>
    <t>2297 - S</t>
  </si>
  <si>
    <t>HRC No. 6782 - S/ 2014</t>
  </si>
  <si>
    <t>Siraj Latif s/o Abdul Latif</t>
  </si>
  <si>
    <t>Mst. Hajra Latif w/o Abdul Latif, r/o House No. H-41, Street No. 3, Gabool Road, Kolowai Lane, Kalakot, Lyari, Karachi. Postal Address: Anjuman Ittehad Saddar Barlain, Street No.6, Gharib Shah Mazar Road, Kalakot, Lyari, Karachi (Mobile No. 0323-2101094)</t>
  </si>
  <si>
    <t>FIR No.288
 dt:18/9/2014
 u/s 365 PPC
 P.S/Kalakot
 Distt: South Karachi</t>
  </si>
  <si>
    <t>Deleted. After thorough investigation into the case, it came to notice that Qari Siraj was affiliated with Treek-eTaliban Pakistan and went Afghanistan several times to take part in the war. JIT concluded that he had gone on his own. Hence, not a case of enforced disappearance and closed.</t>
  </si>
  <si>
    <t>2298 - K</t>
  </si>
  <si>
    <t>Mian Gul Khaista s/o Mian Gul Shereen</t>
  </si>
  <si>
    <t>Mst. Jannat Nazeera w/o Mian Gul Sheeren, r/o Meera, Dardhal, P.O Deolai, Tehsil &amp; Distt: Swat (Mobile No. 0345-0597336)</t>
  </si>
  <si>
    <t>Traced Person (Internment Centre,Paithom)</t>
  </si>
  <si>
    <t>Traced Person. Confined in the Internment Centre, Paitham as informed at the hearing on 2.10.15 by DPO, Swat.</t>
  </si>
  <si>
    <t>2299 - K</t>
  </si>
  <si>
    <t>Fazal Ahmed s/o Azeem Khan</t>
  </si>
  <si>
    <t>Mst. Masbha Bibi d/o Azeem Khan, r/o Muhallah Kouza Cham, Airport Road Dherai, P.O. Dherai, Swat (Mobile No. 0344-8938602)</t>
  </si>
  <si>
    <t>FIR No.609 dt.28/12/2014 u/s 365 PPC PS/Kanju District Swat.</t>
  </si>
  <si>
    <t>2300 - K</t>
  </si>
  <si>
    <t>Zia-ur-Rehman s/o Mirham Jalal</t>
  </si>
  <si>
    <t>Mirham Jalal, r/o Village Allah Akbar, Kabal, Tehsil &amp; Distt: Swat (Mobile No. 0346-9488694)</t>
  </si>
  <si>
    <t>Traced Person. Confined in Internment Center Kohat as informed by SP (Inv) Swat at the hearing on 21.4.15.</t>
  </si>
  <si>
    <t>2301 - K</t>
  </si>
  <si>
    <t>Fazal Yazdan s/o Khadim Khan</t>
  </si>
  <si>
    <t>Mst. Noornishta Bibi w/o Khadim Khan, r/o Village Koz Tal, Tal, P.O. Shah Dherai, Tehsil &amp; Distt: Swat</t>
  </si>
  <si>
    <t>Traced Person. Confined in Interment Centre, Fizaghat as informed at the hearing on 2.01.2015.</t>
  </si>
  <si>
    <t>2302 - K</t>
  </si>
  <si>
    <t>Abdul Razzaq s/o Fazal Raheem</t>
  </si>
  <si>
    <t>Muhammad Hussain s/o Abdul Razzaq, r/o Village Allah Akbar, Kabal, Tehsil &amp; Distt: Swat (Mobile No. 0341-9033501)</t>
  </si>
  <si>
    <t>Traced Person. Confined in the Internment Centre Fizaghat as informed at the hearing on 20.02.2015</t>
  </si>
  <si>
    <t>2303 - K</t>
  </si>
  <si>
    <t>Samiullah s/o Ajab Khan</t>
  </si>
  <si>
    <t>Ajab Khan s/o Taj Malook, r/o Village Allah Akbar, Kabal, Tehsil &amp; Distt: Swat (Mobile No. 0346-9463205)</t>
  </si>
  <si>
    <t>15602-43600196-7</t>
  </si>
  <si>
    <t>Traced Person. Confined in the Internment Centre, Paitham as informed at the hearing on 20.02.2015</t>
  </si>
  <si>
    <t>2304 - K</t>
  </si>
  <si>
    <t>Gul Haram Khan s/o Khadim</t>
  </si>
  <si>
    <t>Dawood Khan, r/o Marjany, P.O. Totano Bandi, Tehsil &amp; Distt: Swat (Mobile No. 0343-9405941)</t>
  </si>
  <si>
    <t>FIR No.570 dt.29/12/2014 u/s 365/34 PPC PS Kabal District Swat</t>
  </si>
  <si>
    <t>Traced Person. Confined in Internment Center Lakki Marwat as informed by rep of MI at the hearing on 21.4.2015</t>
  </si>
  <si>
    <t>2305 - K</t>
  </si>
  <si>
    <t>Muhammad Waqar s/o Yar Muhammad</t>
  </si>
  <si>
    <t>Yar Muhammad s/o Ahmed Zaman, r/o Thakra, Fazalabad, Manshera (Mobile No. 0341-5151532, 03015370870)</t>
  </si>
  <si>
    <t>FIR No. 50
 dt: 23-18-2013
 u/s 365/34PPC
 PS. City
 Distt: Manshera</t>
  </si>
  <si>
    <t>Deleted. Not a Case of Enforced Disapperances. Case disposed of vide Findings dated 1.2.2016</t>
  </si>
  <si>
    <t>2306 - S</t>
  </si>
  <si>
    <t>Nasir Shahid s/o Dawa Khan</t>
  </si>
  <si>
    <t>2307 - K</t>
  </si>
  <si>
    <t>Azeem Khan s/o Hadi Khan</t>
  </si>
  <si>
    <t>Mst. Jawahir w/o Azeem Khan, r/o Village Mian Baba, Sersenai, Tehsil &amp; Distt: Swat</t>
  </si>
  <si>
    <t>Traced Person. Confined in Internment CenterFizaghat as informed at the hearing on 21.4.2015</t>
  </si>
  <si>
    <t>2308 - K</t>
  </si>
  <si>
    <t>Shujat Ali s/o Fazal Rabi</t>
  </si>
  <si>
    <t>Fazal Rabi, r/o Mohallah Toheedabad, near Police Line, Nowkelay, Mingora, Swat (Mobile No. 0343-9633133)</t>
  </si>
  <si>
    <t>FIR No.06 dt.03/01/2013 u/s 365 PPC PS Banr -Mingora,Swat</t>
  </si>
  <si>
    <t>Traced Person. Confined in Internment Center Fizaghat as informed at the hearing on 21.4.2015</t>
  </si>
  <si>
    <t>2309 - P</t>
  </si>
  <si>
    <t>Muhammad Musawar Iqbal Cheema s/o Muhammad Iqbal Cheema</t>
  </si>
  <si>
    <t>Muhammad Iqbal Cheema s/o Ghulam Hussain Cheema, r/o 1/7 Noor-ul-Amin Colony, 121-JB, Gokhwal, Millat Road, Faisalabad (Mobile No. 0305-8864517)</t>
  </si>
  <si>
    <t>FIR No. 642
 dt: 1/7/2014
 u/s 365 PPC
 P.S. Millat Town
 Distt: Faisalabad</t>
  </si>
  <si>
    <t>Traced Person. Appeared before the Commission on 19.01.2017 stated that he ramined in detention for 2-1/2 years. Did not furnish further details.</t>
  </si>
  <si>
    <t>2310 - K</t>
  </si>
  <si>
    <t>Bakhat Muhammad s/o Muhammad</t>
  </si>
  <si>
    <t>Muhammad r/o Garhi Ijaz, Charsadda Road, Khazana Mill, Peshawar (Mobile No. 0344-1921617)</t>
  </si>
  <si>
    <t>FIR No. 158
 dt: 25/2/2015
 u/s 365 PPC
 P.S. Khazana District Peshawar.</t>
  </si>
  <si>
    <t>Under Investigation (KPK) Peshawar</t>
  </si>
  <si>
    <t>2311- K</t>
  </si>
  <si>
    <t>Asmat Shah s/o Mian Dolat Shah</t>
  </si>
  <si>
    <t>Mst. Zahida w/o Mian Dolat Shah, r/o Village Gul Jabbah, Swat (Mobile No. 0344-2520949)</t>
  </si>
  <si>
    <t>15602-2932130-3</t>
  </si>
  <si>
    <t>FIR No. 235 dated 10/8/2011 u/s 365-PPC PS Kabal District Swat</t>
  </si>
  <si>
    <t>2312 - K</t>
  </si>
  <si>
    <t>Shujat Shah s/o Mian Dolat Shah</t>
  </si>
  <si>
    <t>15602-3819278-1</t>
  </si>
  <si>
    <t>2313 - K</t>
  </si>
  <si>
    <t>Masood Shah s/o Mian Dolat Shah</t>
  </si>
  <si>
    <t>2314 - S</t>
  </si>
  <si>
    <t>HRC No. 19101-K/ 2013</t>
  </si>
  <si>
    <t>Sajid Khan s/o Zameer Jan</t>
  </si>
  <si>
    <t>Mst. Shamim Ara d/o Zameer Jan, r/o Landi No. 22, Opposite Gul Ahmed Mills, Masala Gali, Karachi (Mobile No. 0334-3778914, 0332-3738403)</t>
  </si>
  <si>
    <t>2315 - S</t>
  </si>
  <si>
    <t>HRC No. 2718-S/ 2014</t>
  </si>
  <si>
    <t>Shehroz Khan s/o Abdul Jabbar</t>
  </si>
  <si>
    <t>Abdul Jabbar Khan s/o Alam Khan, r/o House No. B-171, Yaro Khan Gold, Sirjani Town, Karachi</t>
  </si>
  <si>
    <t>2316 - K</t>
  </si>
  <si>
    <t>HRC No. 38253-K/ 2013</t>
  </si>
  <si>
    <t>Shams-ul-Islam s/o Shah Zaman</t>
  </si>
  <si>
    <t>Mst. Bakhat Jamala Bibi w/o Shah Zaman, r/o Kabul River, near Railway Station, Distt: Nowshera (Mobile No. 0301-8538202)</t>
  </si>
  <si>
    <t>Traced Person. Returned to home Shams-ul-Islam his he went to Karachi on his rweet will</t>
  </si>
  <si>
    <t>2317 - K</t>
  </si>
  <si>
    <t>HRC No. 18364-K/ 2014</t>
  </si>
  <si>
    <t>Amanullah s/o Musafir</t>
  </si>
  <si>
    <t>Mst. Khaisat Bachan w/o Musafir, r/o Totano Bandi, Village Garo Shah, Tukar Road, Tehsil &amp; Distt: Swat (Mobile No. 0315-9760502)</t>
  </si>
  <si>
    <t>Traced Person. Confined in the Internment Centre Paitham as informed at the hearing on 21.4.2015</t>
  </si>
  <si>
    <t>2318 - K</t>
  </si>
  <si>
    <t>Ehsanullah s/o Musafir</t>
  </si>
  <si>
    <t>2319 - S</t>
  </si>
  <si>
    <t>HRC No. 37726-S/ 2013</t>
  </si>
  <si>
    <t>Zubair Ayub Khan s/o Ayub Khan</t>
  </si>
  <si>
    <t>Muhammad Ayub w/o Mian Nazar, r/o House No. R-211, Sector-39, Gulshan Sikander, Korangi, Karachi (Mobile No. 0306-2068138, 0311-3035138)</t>
  </si>
  <si>
    <t>Traced Person. Judicial Custody</t>
  </si>
  <si>
    <t>2320 - K</t>
  </si>
  <si>
    <t>HRC No. 19236-K/ 2014</t>
  </si>
  <si>
    <t>Saeed-ur-Rehman s/o Muhammad Iqbal</t>
  </si>
  <si>
    <t>Muhammad Iqbal s/o Khanzada, r/o Village Jan Sahib, Kanju, Tehsil Kabal, Distt: Swat (Mobile No. 0333-9493223)</t>
  </si>
  <si>
    <t>FIR No.613 dt.30/12/2014 u/s 365 PPC PS/Kanju District Swat.</t>
  </si>
  <si>
    <t>2321 - K</t>
  </si>
  <si>
    <t>HRC No. 18397-K/ 2014</t>
  </si>
  <si>
    <t>Qari Sohail s/o Usman Ali</t>
  </si>
  <si>
    <t>Usman Ali s/o Muhammad Darwaish, r/o Village Tailian Palwo, Charbagh, Swat (Mobile No. 0344-9687839)</t>
  </si>
  <si>
    <t>Traced Person. Confined in Internment Center Fizaghat as informed at the hearing on 22.4.2015. His father met him.</t>
  </si>
  <si>
    <t>2322- K</t>
  </si>
  <si>
    <t>HRC No. 18437-K/ 2014</t>
  </si>
  <si>
    <t>Bakhatfor s/o Niaz Muhammad Khan</t>
  </si>
  <si>
    <t>Mst. Shamsho Heda w/o Niaz Muhammad Khan, r/o Shagai, Timeragarh, Lal Qilah, Distt: Lower Dir (Mobile No. 0304-2394727)</t>
  </si>
  <si>
    <t>FIR No.28 dt.03/01/2015 u/s 365 PPC PS Sahibabad District Dir Upper</t>
  </si>
  <si>
    <t>Traced Person. Rep of MI has submitted report that he has confirmed that Bakhtfor s/o Niaz Muhammad Khan is interned in the Internment Centre Lakki Marwat. The same position has further been confirmed in the list submitted on 26.01.2021 at serial No. 05. The meeting of family members with the said internee shall be facilitated as per procedure, who have been informed by the Commission vide letter dated 30.01.2021.</t>
  </si>
  <si>
    <t>2323- S</t>
  </si>
  <si>
    <t>HRC No. 2779-S/ 2014</t>
  </si>
  <si>
    <t>Muhammad Kamran Baig s/o Ashfaq Ahmed Baig</t>
  </si>
  <si>
    <t>Mst. Nosheen Baig w/o Muhammad Kamran Baig, r/o House No. 400, Gali No. 20, Ghazi Nagar, Karachi (Mobile No. 0322-3456097)</t>
  </si>
  <si>
    <t>Traced Person. Confined in the Central Prision Jail, Karachi.</t>
  </si>
  <si>
    <t>2324- S</t>
  </si>
  <si>
    <t>HRC No.2728-S/ 2014</t>
  </si>
  <si>
    <t>Qari Sajjad-ur-Rehman s/o Malik Haji Allah Ditta</t>
  </si>
  <si>
    <t>Returned to Home and available at (House No. 353, Gali No. 17, Block-B, Faqeera Goth, near Gulshan-e-Memar, Karachi )</t>
  </si>
  <si>
    <t>2325 - S</t>
  </si>
  <si>
    <t>HRC No.43571-S/ 2013</t>
  </si>
  <si>
    <t>Ahmed Zakria</t>
  </si>
  <si>
    <t>Mst. Amber Zakria, w/o Ahmed Zakria, r/o House No. A-01, Crown Plaza, Shadman Town, Karachi</t>
  </si>
  <si>
    <t>Returned to Home and available at (House No. A-01, Crown Plaza, Shadman Town, Karachi.)</t>
  </si>
  <si>
    <t>2326 - S</t>
  </si>
  <si>
    <t>HRC No.1814-S/ 2013</t>
  </si>
  <si>
    <t>Mumtaz Ahmed Qudwai s/o Shabbir Ahmed Qudwai</t>
  </si>
  <si>
    <t>Sohaib Ahmed Qudwai s/o Shabbir Ahmed Qudwai, r/o B-81, Block-I, North Nazimabad, Karachi (Mobile No. 0314-2179090)</t>
  </si>
  <si>
    <t>Traced Person. DSP (Shadman Town) informed this Commission that Mumtaz Ahmed Qudwai has returned to home.</t>
  </si>
  <si>
    <t>2327 - K</t>
  </si>
  <si>
    <t>HRC No.17125-K/ 2014</t>
  </si>
  <si>
    <t>Israr-ur-Rehman s/o Inayat-ur-Rehman</t>
  </si>
  <si>
    <t>Sultan Jahan, r/o Ameer Khan, Naweeklay, Mongora, Distt: Swat (Mobile No. 0311-7105588)</t>
  </si>
  <si>
    <t>Traced Person. Confined in Internment Center Pathim as informed at the hearing on 22.4.2015 by SP (Inv) Swat.</t>
  </si>
  <si>
    <t>2328 - K</t>
  </si>
  <si>
    <t>HRC No.21446-K/ 2014</t>
  </si>
  <si>
    <t>Bakhat Maden s/o Mushtarin</t>
  </si>
  <si>
    <t>Mushtarin s/o Khawastay, r/o Kabilgaram, Tehsil Martong, Distt: Shangala (Mobile No. 0344-2488842)</t>
  </si>
  <si>
    <t>Traced Person. Bakhat Mareen has been traced. According to the report received from Rep of MI, Bakhat Mareen is presently confined in the Internment Center Fizagat. Izzat Mareen person is present. He has been apprised of status iof the case.</t>
  </si>
  <si>
    <t>2329 - K</t>
  </si>
  <si>
    <t>HRC No.19874-K/ 2014</t>
  </si>
  <si>
    <t>Amjad Hussain s/o Saeeb Gul</t>
  </si>
  <si>
    <t>Mst. Ameer Sultan, r/o Village &amp; P.O. Alla Dhend Dherai, Mohallah Gul Nargis Garhi, Malakand Agency (Mobile No. 0346-9440335, 0301-8533860)</t>
  </si>
  <si>
    <t>FIR No.941 dt.02/8/2016 u/s 365 PPC PS/K.R.S,Peshawar.</t>
  </si>
  <si>
    <t>Traced Person. As informed at the hearing on 01/10/2018 Amjad Hussain has been traced. He is presently confined in Internment Center Paithom. Family members shall be facilitated to see him in the Internment Center Paithom as per rule and procedures.</t>
  </si>
  <si>
    <t>2330- K</t>
  </si>
  <si>
    <t>HRC No.4779-B/ 2013</t>
  </si>
  <si>
    <t>Umer Ghani s/o Mazar Gul</t>
  </si>
  <si>
    <t>Mst. Nehhaba Bibi w/o Mazar Gul, r/o Kotki Payan, Tehsil &amp; Distt: Hangu (Mobile No. 0336-2229222)</t>
  </si>
  <si>
    <t>2331- K</t>
  </si>
  <si>
    <t>HRC No.19961-K/ 2014</t>
  </si>
  <si>
    <t>Hasnat @ Zaka s/o Jahanzeb</t>
  </si>
  <si>
    <t>Mst. Jameela w/o Jahanzeb, r/o Village Pari Dam, Distt: Swat (Mobile No. 0305-9781353, 0343-0279388)</t>
  </si>
  <si>
    <t>Traced Person. Confined in Internment Center Faziaghat as informed at the hearing on 22.4.2015 by SP (Inv) Swat.</t>
  </si>
  <si>
    <t>2332- K</t>
  </si>
  <si>
    <t>HRC No.20772-K/ 2014</t>
  </si>
  <si>
    <t>Rasool Khan s/o Kachan</t>
  </si>
  <si>
    <t>Mst. Bacha Laiqa, r/o Mohallah Akbarabad, Balogram, Distt: Swat</t>
  </si>
  <si>
    <t>2333- K</t>
  </si>
  <si>
    <t>HRC No.17147-K/ 2014</t>
  </si>
  <si>
    <t>Akhtar Ali s/o Mian Murad Khan</t>
  </si>
  <si>
    <t>Mst. Anwar Begum w/o Akhtar Ali, r/o Village Cham Sangota, Distt: Swat</t>
  </si>
  <si>
    <t>FIR No.434 dt.15/3/2012 u/s 365 PPC PS/Mingora District Swat</t>
  </si>
  <si>
    <t>2334- K</t>
  </si>
  <si>
    <t>HRC No.15339-B/ 2014</t>
  </si>
  <si>
    <t>Wahid Rehman s/o Khoga Baat</t>
  </si>
  <si>
    <t>Mst. Khoga Jan w/o Khoga Baat, r/o ToraWari, Tehsil Tal, Distt: Hangu (Mobile No. 0302-8826208, 0300-5650475)</t>
  </si>
  <si>
    <t>21301-1665380-1</t>
  </si>
  <si>
    <t>FIR No.467 dt.31/12/2014 u/s 365/ PPC PS Doaba District Hangu</t>
  </si>
  <si>
    <t>Under Investigation (KP)
 Hangu</t>
  </si>
  <si>
    <t>2335- K</t>
  </si>
  <si>
    <t>Waqar Ahmed s/o Rasheed Ahmed</t>
  </si>
  <si>
    <t>Rasheed Ahmed s/o Gul Ahmed, r/o Ahmedabad, Astar Banda, P.O. Bakshali, Tehsil &amp; Distt: Mardan (Mobile No. 0302-5722679)</t>
  </si>
  <si>
    <t>FIR No.3 dt.03/01/2015 u/s 365/34 PPC PS Choora,Mardan</t>
  </si>
  <si>
    <t>2336- F</t>
  </si>
  <si>
    <t>HRC No. 25516-K/ 2014</t>
  </si>
  <si>
    <t>Noor Dil Khan s/o Noor Ali Khan</t>
  </si>
  <si>
    <t>Mst. Zainab Farooq w/o Noor Dil Khan, r/o Bazar Ahmed Khan, Bannu (Mobile No. 0335-9082022, 0331-5959797)</t>
  </si>
  <si>
    <t>FIR No. 92, dated 09/11/2020, u/s 365 PPS, P.S Miranshah, District NWA, FATA</t>
  </si>
  <si>
    <t>FIR NIL (Place of Occurrence is Miran Shah,NWA)</t>
  </si>
  <si>
    <t>2337- K</t>
  </si>
  <si>
    <t>HRC No. 25747-K/ 2014</t>
  </si>
  <si>
    <t>Fazal-e-Rabi s/o Fazal Malik</t>
  </si>
  <si>
    <t>Mst. Bibi Reham Taj w/o Fazal-e-Rabi, r/o Pai Khel, Hazara, Tehsil &amp; Distt: Swat</t>
  </si>
  <si>
    <t>FIR No.09 dt.04/1/2015 u/s 365 PPC PS/Kanju District Swat</t>
  </si>
  <si>
    <t>2338- S</t>
  </si>
  <si>
    <t>HRC No. 25176-S/ 2014</t>
  </si>
  <si>
    <t>Muhammad Naeem s/o Nooran Khan</t>
  </si>
  <si>
    <t>Nooran Khan s/o Meeran Khan, r/o House No. A/16/3, Qasba Colony, Karachi (Mobile No. 0306-3314815)</t>
  </si>
  <si>
    <t>FIR No.506 dt.21/11/2014 u/s 365/34 PPC PS/Pirabad District West,Karachi</t>
  </si>
  <si>
    <t>Traced Person. Returned to Home.</t>
  </si>
  <si>
    <t>2339-S</t>
  </si>
  <si>
    <t>HRC No. 25111-K/2014</t>
  </si>
  <si>
    <t>Muhammad Tahir s/o Muhammad Karim</t>
  </si>
  <si>
    <t>Muhammad Karim s/o Faqir Muhammad Rakodak, Teshil Char Bagh Dist Swat.(0342-9659602)</t>
  </si>
  <si>
    <t>FIR No.518 dt.31/8/2015 u/s 365/34 PPC PS Site-A,Karachi</t>
  </si>
  <si>
    <t>Deleted. SDPO Site Karachi submitted that father of the Missing Person made statement that he came to known after seven years that his son had been martyred that he was living in Swat with his family and requested to closed his case. Accordingly, no further action is required. The case is closed.</t>
  </si>
  <si>
    <t>Swat/Karachi</t>
  </si>
  <si>
    <t>2340-K</t>
  </si>
  <si>
    <t>HRC No. 26565-K/2014</t>
  </si>
  <si>
    <t>Abdullah Zar Khan s/o Khunaz Gull</t>
  </si>
  <si>
    <t>Nussarat Ullah s/o Abdullah r/o Karsa Mada Khel Post office Dita Khel, South Waziristan Agency (0336-0943008)</t>
  </si>
  <si>
    <t>FIR No.771 dt.30/12/2014 u/s 365 PPC PS Mandan District Bannu.</t>
  </si>
  <si>
    <t>Traced Person. JIT disclosed that Abdullah died and burried in his native village.</t>
  </si>
  <si>
    <t>2341-S</t>
  </si>
  <si>
    <t>Abdul Rehman s/o Gull Zar Khan</t>
  </si>
  <si>
    <t>Noor-ur-rehman s/o Gulzar khan, r/o Masip Mela, P.O Ladha, Tehisl Lada Dist: South Waziristan Agency (Mob. No 0301-8044337)</t>
  </si>
  <si>
    <t>Deleted. The case has been deleted due to non-prosecution as the complainant neither extended co-operation to the Investigation Officer nor attended hearing held on 3.4.2019 and was lodged the FIR despite notices.</t>
  </si>
  <si>
    <t>2342-P</t>
  </si>
  <si>
    <t>Abdullah Saad s/o Dr Aurangzeb Mughal</t>
  </si>
  <si>
    <t>Dr .Aurangzeb Mughal r/o H. No. 58 St No. 5 Quaid-e-Azam Avenue, Gulariz Housing Secheme, Rawalpindi. Mob No(0300-5162984, Tel No. 051-5509182)</t>
  </si>
  <si>
    <t>FIR No.592 dt,10/12/2014 u/s 365 PPC PS Naseerabad District Rawalpindi</t>
  </si>
  <si>
    <t>Traced person. Returned to Home. Appeared before the Commission on 4.5.2015 stated that he proceeded to various places at his own.</t>
  </si>
  <si>
    <t>2343-P</t>
  </si>
  <si>
    <t>HRC No. 24879-P /2014</t>
  </si>
  <si>
    <t>Attique Hafeez s/o Abdul Hafeez</t>
  </si>
  <si>
    <t>31/06/2014</t>
  </si>
  <si>
    <t>Sofia Hafeez w/o Abdul Hafeez r/o Rail Bazar Abdul Hakeem, Tehsil Kabirwala, Distt Khanewal.</t>
  </si>
  <si>
    <t>FIR No.275 dt,20/11/2014 u/s 365 PPC PS Abdul Hakeem District Khanewal</t>
  </si>
  <si>
    <t>Traced Person. Returned to home. Appeared before the Commission stated that he was not aware about details.</t>
  </si>
  <si>
    <t>2344-S</t>
  </si>
  <si>
    <t>HRC No. 16272-S /2014</t>
  </si>
  <si>
    <t>Sher Wali s/o Bawar Khan</t>
  </si>
  <si>
    <t>Naveed s/o Sher Wali r/o Baldia Town, New Abadi Sector E-9, Qaim Khan Colony, Khalid Bin Waleed Mohallah, Karachi. Mob No. (0333-2217971)</t>
  </si>
  <si>
    <t>Traced Person. Sher Wali entered appearance before the Commission at Sub- Office, Karachi. He has returned to home.</t>
  </si>
  <si>
    <t>2345-K</t>
  </si>
  <si>
    <t>HRC No. 22230-G /2014</t>
  </si>
  <si>
    <t>Sami Ullah s/o Fazal Wahab</t>
  </si>
  <si>
    <t>Habib-ur-Rehman s/o Fazal Wahab r/o Jasrat Khel, P.O Kaljo, Sunny Gombat Tehsil &amp; Distt; Kohat. Mob No.(0333-5015223)</t>
  </si>
  <si>
    <t>FIR No.18 dt.23/01/2015 u/s 365 PPC PS Gumbat District Kohat</t>
  </si>
  <si>
    <t>Traced Person. He is in Orakzai Jail and his family met him as informed at the hearing on 25.8.2015.</t>
  </si>
  <si>
    <t>2346-K</t>
  </si>
  <si>
    <t>Muhammad Ismail s/o Muhammad Darwesh</t>
  </si>
  <si>
    <t>Muhammad Darwesh s/o Aslam r/o Village Delay, Tehsil, Khel, Distt: Swat. Mob No (0343-9405920)</t>
  </si>
  <si>
    <t>FIR No.408 dt.30/7/2013 u/s 365 PPC PS Kanju District Swat</t>
  </si>
  <si>
    <t>Under Investigation (KP)Swat</t>
  </si>
  <si>
    <t>2347-K</t>
  </si>
  <si>
    <t>Bakhat Khalil s/o Muhammad Darwesh</t>
  </si>
  <si>
    <t>Muhammad Darwesh s/o Aslamr/o Village Delay, Tehsil, Khel, Distt: Swat. Mob No (0343-9405920)</t>
  </si>
  <si>
    <t>2348-K</t>
  </si>
  <si>
    <t>Bakhat Afsar s/o Sultan Ahmed</t>
  </si>
  <si>
    <t>Mst Zanib Bibi w/o Bakhat Afsar, r/o P.O Latono, bandi, Tehsil Khel, Distt: Swat.</t>
  </si>
  <si>
    <t>Traced Person. Internment Centre Lakki Marwat as informed at the hearing on 11.6.2015 by SP (Inv) Swat.</t>
  </si>
  <si>
    <t>2349-K</t>
  </si>
  <si>
    <t>Roh-ul-Ameen s/o Shereen</t>
  </si>
  <si>
    <t>Hussan Zeba w/o Roh-ul-Ameen, r/o Bara Bandi, Tehsil Khel, Distt : Swat.</t>
  </si>
  <si>
    <t>Traced Person. Internment Centre Paitham as informed at the hearing on 23.4.2015 by SP (Inv) Swat.</t>
  </si>
  <si>
    <t>2350-K</t>
  </si>
  <si>
    <t>Mati Ullah s/o Muhammad Zaib Khan</t>
  </si>
  <si>
    <t>Muhammad Zaib Khan s/o Meher Jamal r/o Sim Deolai, P.O Deolai Tehsil &amp; Distt: Swat. Mob No. (0343-9633873)</t>
  </si>
  <si>
    <t>Traced Person. Internment Centre Paitham as informed at the hearing on 23.4.2015 by SP (Inv) Swat. Brother met him.</t>
  </si>
  <si>
    <t>2351-K</t>
  </si>
  <si>
    <t>Sultan Akbar s/o Haji Gulzar</t>
  </si>
  <si>
    <t>Haji Gulzar r/o Chato Chowk, MohallahTalian, Tehsil &amp; Distt: Mardan. Mob No. (0300-5735020).</t>
  </si>
  <si>
    <t>FIR No.65 dt.28/1/2015 u/s 365 PPC PS/Par Hoti District Mardan</t>
  </si>
  <si>
    <t>2352-K</t>
  </si>
  <si>
    <t>Luqman s/o Alam Gir</t>
  </si>
  <si>
    <t>Shaugfta Bibi w/o Alim Gir, r/o Mohallah Dehri Baba, Aligrama, Tehsil Kabal, Distt: Swat. (Mob No.0343-9584824).</t>
  </si>
  <si>
    <t>FIR No.566 dt.27/12/2014 u/s 365 PPC PS/Kabal District Swat.</t>
  </si>
  <si>
    <t>2353-K</t>
  </si>
  <si>
    <t>Dr. Ehsaan Bahdur s/o Sher Bahdur</t>
  </si>
  <si>
    <t>Mst. Fatima w/o Sher Bahdur, r/o Mohallah Gulistan, Gali No. 2, Koza Bandi, Tehsil Kabal, Distt: Swat. (Mob No.0331-9912570).</t>
  </si>
  <si>
    <t>Traced Person. Internment Centre Kohat</t>
  </si>
  <si>
    <t>2354-K</t>
  </si>
  <si>
    <t>Abdul Rehman s/o Khair Rehman</t>
  </si>
  <si>
    <t>Mst. Bibi Hajra w/o Khair Rehman, r/o Aligrama, Tehsil Kabal Distt: Swat. (Mob No. 0347-4773658).</t>
  </si>
  <si>
    <t>2355-S</t>
  </si>
  <si>
    <t>Afsar Ali s/o Guli Akbar</t>
  </si>
  <si>
    <t>Mst. Bakht Nazira, r/o Faza Ghat, Mohallah Shahid Abad, Tehisl Babu Zai, Distt: Swat. (Mob No. 0345-85113549).</t>
  </si>
  <si>
    <t>Deleted . The case has been closed due to non-prosecution as the complainant neither attended JIT meetings held on 1.12.2016, 9.5.2017, 5.12.2017, 8.5.2018, 11.9.2018, 19.2.2019 and 20.6.2019. She also remained absent at the hearing held in this Commission on 27.3.2019, 12.6.2019, 21.11.2019, 6.1.2020 and 4.2.2020. The Police may however continue its efforts to trance the whereabouts of the Missing Person as per law.</t>
  </si>
  <si>
    <t>2356-S</t>
  </si>
  <si>
    <t>Guli Akbar s/o Lali Gul</t>
  </si>
  <si>
    <t>Traced Person. It was informed at the hearing held in this Commission on 12.6.2019 that Guli Akbar is confined in the Internment Center Fizaghat, Swat as per report of MI.</t>
  </si>
  <si>
    <t>2357-K</t>
  </si>
  <si>
    <t>Abdul Rehman s/o Dilawar jan</t>
  </si>
  <si>
    <t>Mst. Bakht w/o Daliwar Jan, r/o Tehsil Kabal, Distt: Swat.(Mob No. 0341-942338).</t>
  </si>
  <si>
    <t>Traced Person. DPO Swatinformed through letter that Abdul Rehman is confined in the Internment Centre, Paitham.</t>
  </si>
  <si>
    <t>2358-P</t>
  </si>
  <si>
    <t>Hafiz Waqas Abid s/o Malik Abid Hussain</t>
  </si>
  <si>
    <t>Shahid Mehmood s/o Malik Abid Hussain, r/o Royal Street, Nika Pura, Tehsil &amp; Distt: Punjab. (Mobile No. 03006133290)</t>
  </si>
  <si>
    <t>FIR No.64 dt.20/02/2014 u/s 365 PPC PS Nekapura District Sialkot</t>
  </si>
  <si>
    <t>Traced Person. Returned to home. Appeared before the Commission on 12.5.2016. Could not furnish details for obvious reasons.</t>
  </si>
  <si>
    <t>2359-K</t>
  </si>
  <si>
    <t>Hafeez-ur-Rehman s/o Habib-ur-Rehman</t>
  </si>
  <si>
    <t>Habib-ur Rehman s/o Nadar Khan, r/o Adam Abad P.O Haleem Abad Tehsil &amp; Distt: Tank. (Mob No. 03005599278)</t>
  </si>
  <si>
    <t>FIR No.1 dt.02/1/2015 u/s 365 PPC PS/Kulachi,District D.I.Khan.</t>
  </si>
  <si>
    <t>2360-S</t>
  </si>
  <si>
    <t>Mr. Ghulam Murtaza s/o Muhammad Yaqoob Korai</t>
  </si>
  <si>
    <t>Noor Ahmed Korai s/o Muhammad Yaqoob Korai, r/o House No. D-34, PTCL Officer Colony, Near Emergency Ward, GPMC Karachi. (Mob/Tel . 0334-3432857- 021-35656600).</t>
  </si>
  <si>
    <t>FIR No.10 dt.31/1/2015 u/s 365/34 PPC,PS/Ibrahim Hyderi,District Malir,Karachi.</t>
  </si>
  <si>
    <t>2361-K</t>
  </si>
  <si>
    <t>Fazal Karim s/o Fazal Noor</t>
  </si>
  <si>
    <t>Fazal Rabi s/o Main Hadier, r/o Mohallah Zamardgan, Mingora, Distt: Swat. (Mob No. 0346-5789664)</t>
  </si>
  <si>
    <t>FIR No.10 dt.04/01/2015 u/s 365 PPC,PS Kanju District Swat.</t>
  </si>
  <si>
    <t>2362-K</t>
  </si>
  <si>
    <t>Shereen s/o Muqadar</t>
  </si>
  <si>
    <t>Gull Nazaka w/o Shereen, r/o Shah Deri Tehsil Kabal, Distt: Swat. (Mob No. 0346-4272209).</t>
  </si>
  <si>
    <t>2363-P</t>
  </si>
  <si>
    <t>Muhammad Babar s/o Muhammad Tariq Butt</t>
  </si>
  <si>
    <t>Fasil Butt s/o Muhammad Tariq Butt, r/o Hussan Town, Datta Street, Lahore. (Mob No. 0322-3526829)</t>
  </si>
  <si>
    <t>FIR No.480 dt.08/06/2015 u/s 365 PPC PS Sabza Zar,Lahore</t>
  </si>
  <si>
    <t>Traced Person. Returned to Home and available at Hussan Town, Datta Street, Lahore, as informed at the hearing on 25.10.2016</t>
  </si>
  <si>
    <t>2364-P</t>
  </si>
  <si>
    <t>Muhammad Ishfaq s/o Muhammad Sultan Shah</t>
  </si>
  <si>
    <t>Muhammad Sultan Shah , r/o P.O Bati Tehsil Esa Khel, Distt: Mianwali. (Mob No. 0347-7190762)</t>
  </si>
  <si>
    <t>FIR No.77 dt.17/02/2015 u/s 365 PPC PS Cantt.,Sargodha</t>
  </si>
  <si>
    <t>Traced Person. Confined in PAF Base, Mushaf, Sargodha) as informed at the hearing on 24.11.16.</t>
  </si>
  <si>
    <t>2365-K</t>
  </si>
  <si>
    <t>Rehmat Ullah s/o Muhammad Tahir Khan</t>
  </si>
  <si>
    <t>Mst. Zaib Haram Bibi w/o Muhammad Tahir Khan, r/o Jamal Medical Store, Koza Bandi Tehsil Kabal Distt: Swat. (Mob No0315-9188205-0346-9470374)</t>
  </si>
  <si>
    <t>FIR No.22 dt.10/01/2015 u/s 365 PPC,PS Kanju District Swat.</t>
  </si>
  <si>
    <t>Traced Person. It was informed aty the hearing held on 19/10/2018 that Rehmat Ullah has been traced. He is presently confined in Internment Center Paithom. Family members if Rehmat Ullah shall be facilitated to see him in the Internment Center as per rule and procedures.</t>
  </si>
  <si>
    <t>2366-S</t>
  </si>
  <si>
    <t>HRC No. 27240-/2014</t>
  </si>
  <si>
    <t>Gull Muhammad s/o Ghulam Sardar</t>
  </si>
  <si>
    <t>Hassan Pari w/o Ghulam Sardar, r/o Amankot, Mohallah Usman Khel Tehsil &amp; Distt: Swat. (Mob No.0342-9190651)</t>
  </si>
  <si>
    <t>Traced Person. Returned to Home an available at Amankot, Mohallah Usman Khel Tehsil &amp; Distt: Swat</t>
  </si>
  <si>
    <t>2367-S</t>
  </si>
  <si>
    <t>Syed Waqas Hussan Qutbi s/o Syed Habib Hussan Qutbi</t>
  </si>
  <si>
    <t>Syed Bilal Hussan s/o Syed Habib Hussan Qutbi, r/o Flat No. B-13, Nouman Center, Gulshan Iqbal, Block No.5. Distt: Karach. Mob No(0332-3405038)</t>
  </si>
  <si>
    <t>FIR No.587 dt.9/12/2014 u/s 365/34 PPC,PS/Gulshan-e-Iqbal,District East,Karachi.</t>
  </si>
  <si>
    <t>2368-ICT</t>
  </si>
  <si>
    <t>Naseer s/o Mehboob Khan</t>
  </si>
  <si>
    <t>Rasheed Rehman, r/o Sararogha, Tehsil Saragoga Distt : South Waziristan Agency. (Mob No. 0305-9392120)</t>
  </si>
  <si>
    <t>FIR No.31 dt.11/02/2015 u/s 365 PPC PS Tarnol,Islamabad.</t>
  </si>
  <si>
    <t>Deleted. Not a case of enforced disappearnce as observed after examination a entire record.</t>
  </si>
  <si>
    <t>2369-F</t>
  </si>
  <si>
    <t>Muhammad Kamran s/o Pasran Rasheed</t>
  </si>
  <si>
    <t>Rashmina w/o Rasheed, r/o Sheraki Dara Adam Khel FR, Kohat.</t>
  </si>
  <si>
    <t>FIR No.676 dt.03/7/2015 u/s 365 PPC,PS Nawagai District Swat.</t>
  </si>
  <si>
    <t>2370-K</t>
  </si>
  <si>
    <t>Noor Kaleem Shah s/o Syed Ali Shah</t>
  </si>
  <si>
    <t>Syed Arif Shah s/o Syed Ali Shah, r/o Village Maski Pur, Tehsil Daggar Distt: Bonair. (Mob No. 0344-9615278)</t>
  </si>
  <si>
    <t>FIR No.677 dt.03/7/2015 u/s 365 PPC,PS/Nawagai District Buner</t>
  </si>
  <si>
    <t>Under Investigation (KP) Swat Bonair</t>
  </si>
  <si>
    <t>2371-K</t>
  </si>
  <si>
    <t>Azim Shah s/o Muhammad Shah</t>
  </si>
  <si>
    <t>Kabal Shah, r/o Village Maski Pur, Tehsil Dagar Distt: Bonair. ( Mob No. 03469054935)</t>
  </si>
  <si>
    <t>FIR No.423 dt.03/7/2015 u/s 365 PPC,PS Totalai District Buner</t>
  </si>
  <si>
    <t>2372-K</t>
  </si>
  <si>
    <t>Akbar Saeed s/o Mian Zarin</t>
  </si>
  <si>
    <t>s/o Mian Zarin, Tehsil Dagar Distt: Bonair.(Mob No. 0342-8083835)</t>
  </si>
  <si>
    <t>FIR No.12 dt.02/9/2015 u/s 365/34 PPC,PS/Jamshoro, Hyderabad.</t>
  </si>
  <si>
    <t>2373-S</t>
  </si>
  <si>
    <t>Wahid Baloch</t>
  </si>
  <si>
    <t>Nazo Bibi d/o Wahid Baloch, r/o Mohallah Baloch colony, Jamshoro Distt: Jamshoro</t>
  </si>
  <si>
    <t>Traced Person. Returned to Home and available at (Mohallah Baloch colony, Jamshoro Distt: Jamshoro.)</t>
  </si>
  <si>
    <t>2374-S</t>
  </si>
  <si>
    <t>Abdul Rehman s/o Wahid Baloch</t>
  </si>
  <si>
    <t>2375-K
 2277-K</t>
  </si>
  <si>
    <t>Khan Zarin s/o Umer Fareen</t>
  </si>
  <si>
    <t>Umer Fareen s/o Amat Khel, r/o Kabilgaram, Tehsil Martong Distt: Shangala. (Mob No. 0342-9514159)</t>
  </si>
  <si>
    <t>Traced Person. Khan Zarin has been traced as he was presently confined in Internment Center Paithom as informed by Rep of MI at the hearing on 27/12/2018. Family members have already met with Khan Zarin in the Internment Center Paithom.</t>
  </si>
  <si>
    <t>2376-S</t>
  </si>
  <si>
    <t>Pervaiz s/o Abdul Rehman</t>
  </si>
  <si>
    <t>Naseem Bibi w/o Abdul Rehman, r/o House No. 115, Sector B/8, hazrat Bilal Colony Korangi, Karachi. (Mob No. 0302-8938723)</t>
  </si>
  <si>
    <t>FIR No.1092 dt.16/11/2014 u/s 365 PPC, PS City/Depalpur District Okara.</t>
  </si>
  <si>
    <t>Traced Person. Dead body Recovered.</t>
  </si>
  <si>
    <t>2377-P</t>
  </si>
  <si>
    <t>Hafiz Amir Aziz s/o Abdul Aziz</t>
  </si>
  <si>
    <t>Safia Bib w/o Abdul Aziz, r/o Village Dipalpur, Tehsil Dipalpur Distt: Okara.</t>
  </si>
  <si>
    <t>FIR No.653 dt.10/9/2015 u/s 365 PPC, PS Khazana District Peshawar.</t>
  </si>
  <si>
    <t>Traced Person. Returned to home. Appeared before the Commission on 9.9.2015. Stated that he was abducted by unknown persons.</t>
  </si>
  <si>
    <t>2378-K</t>
  </si>
  <si>
    <t>Adnan s/o Zar Khatab</t>
  </si>
  <si>
    <t>Abdul Rehman s/o Zar Khatab, r/o Khazana Sugar Mills Haryana Safdar Kalay, Distt: Mohmand Agency. (Mob No. 0332-0202098)</t>
  </si>
  <si>
    <t>FIR No.46 dt.28/1/2015 u/s 365/34 PPC, PS/Sachal,District Malir,Karachi.</t>
  </si>
  <si>
    <t>2379-S</t>
  </si>
  <si>
    <t>Maulana Saadatullah Khan s/o Karamat Ullah Khan</t>
  </si>
  <si>
    <t>Abida Khatoon w/o Saadatullah Khan, r/o House No. 18-A, LS-4, Street 05, Block No. 02, Quetta Town Near Super Highway Karachi. (Mob No.0314-2122506)</t>
  </si>
  <si>
    <t>Traced Person. Returned to Home an available at (House No. 18-A, LS-4, Street 05, Block No. 02, Quetta Town Near Super Highway Karachi )</t>
  </si>
  <si>
    <t>2380-S</t>
  </si>
  <si>
    <t>Maoz s/o Saadatullah Khan</t>
  </si>
  <si>
    <t>FIR No.36 dt. 29/01/2015 u/s 365 PPC PS Bilitang District Kohat</t>
  </si>
  <si>
    <t>Traced Person. Returned to Home an available at House No. 18-A, LS-4, Street 05, Block No. 02, Quetta Town Near Super Highway Karachi.</t>
  </si>
  <si>
    <t>2381-K</t>
  </si>
  <si>
    <t>Fazal Karim s/o Talib Khan</t>
  </si>
  <si>
    <t>Talib Khan s/o Asghar Khan, r/o Dhodha Road, Dheri Bandha, Kharmato, Kohat (Mobile No. 0333-9618289)</t>
  </si>
  <si>
    <t>FIR No.32 dt.7/2/2015 u/s 365/34 PPC,PS/Jamshed Quarters,District East,Karachi.</t>
  </si>
  <si>
    <t>Traced Person. Confined in the Internment Centre Kohat as informed at the hearing on 15.4.2015 by rep of MI.</t>
  </si>
  <si>
    <t>2382-S</t>
  </si>
  <si>
    <t>Hassan Dad s/o Hashmat Khan</t>
  </si>
  <si>
    <t>Hashmat Khan Hassan Zai, r/o House No. H-104/7, near Soneri Masjid, Patel Para, Karachi (Mobile No. 0321-2744213)</t>
  </si>
  <si>
    <t>Traced Person. Hashmdad Khan father of the Missing Person Hassad Dad appeared and submitted statement that Hasan Dad was released on bail and residing with family. Hence no further action is required. The case is closed.</t>
  </si>
  <si>
    <t>2383-S</t>
  </si>
  <si>
    <t>Wasil Dad s/o Hashmat Khan</t>
  </si>
  <si>
    <t>FIR No.389/2012 PS Jamshed Quarters,East Zone,Karachi.</t>
  </si>
  <si>
    <t>2384-S</t>
  </si>
  <si>
    <t>Naseeb Dad s/o Hashmat Khan</t>
  </si>
  <si>
    <t>2385-A</t>
  </si>
  <si>
    <t>Muhammad Irfan s/o Muhammad Ismail</t>
  </si>
  <si>
    <t>Muhammad Shukat, c/o Cheeta Company - 35, Azad Kashmir Regiment (No. 4328102) (Mobile No. 0343-7141739, 0311-4328102)</t>
  </si>
  <si>
    <t>FIR No.38/2014 u/s 364 PPC PS Shehzad Town,Islamabad</t>
  </si>
  <si>
    <t>Deleted. Not a Case of Enforced Disappearance. Disposed of vide detailed Findings dated 3.05.2016</t>
  </si>
  <si>
    <t>2386-A</t>
  </si>
  <si>
    <t>Muhammad Iqbal s/o Muhammad Ishaq</t>
  </si>
  <si>
    <t>Muhammad Ishaq s/o Alaf Deen, r/o Banni Hotareri, Tehsil &amp; Distt: Hattian Bala, Azad Kashmir, C/o Madina Market, Rafique Shopkeeper (Mobile No. 0341-2835378)</t>
  </si>
  <si>
    <t>FIR No.597 dt.05/12/2014 u/s 364 PPC PS Naseerabad District Rawalpindi</t>
  </si>
  <si>
    <t>Traced Person. Arrested due to suspicious activities by Intelligence agencies.</t>
  </si>
  <si>
    <t>2387-P</t>
  </si>
  <si>
    <t>Gul Zaman s/o Khani Zaman</t>
  </si>
  <si>
    <t>Abdul Rehman s/o Khani Zaman, r/o Dhok Mian Acha, P.O. Mhelo, Tehsil Fateh Jang, Distt: Attock (Mobile No. 0301-5053563)</t>
  </si>
  <si>
    <t>FIR No.1823 dt.20/12/2014 u/s 365 PPC PS Shahdara,Lahore</t>
  </si>
  <si>
    <t>Traced Person. Returned to Home. Appeared brfore the Commission on 6.1.2015. Stated that he went to Sehwan Sharif.</t>
  </si>
  <si>
    <t>2388-P</t>
  </si>
  <si>
    <t>Muhammad Tayyab s/o Zabardast Ali</t>
  </si>
  <si>
    <t>Hafiz Ziyad s/o Muhammad Tayyab, r/o Jamia Masjid Quba, Jinnah Park, Kot Shahab-ud-Din, Shahdara, Lahore (Mobile No. 0321-8559081)</t>
  </si>
  <si>
    <t>FIR No.71 dt.05/02/2015 u/s 365 PPC,PS/Satellite Town District Jhang.</t>
  </si>
  <si>
    <t>Traced Person. Returned to Home. His brother appeared before the Commission on 2.3.2015 and confirmed.</t>
  </si>
  <si>
    <t>2389-P</t>
  </si>
  <si>
    <t>Abdul Muqtadar Khan s/o Abdul Ahad Khan (Late)</t>
  </si>
  <si>
    <t>Mst. Zahida Perveen w/o Abdul Ahad Khan (Late), r/o House No. 26/6, Z-Block, Satellite Town, Jhang (Mobile No. 0333-5961215 &amp; 0345-7508300, Tel No. 0477-610666)</t>
  </si>
  <si>
    <t>FIR No.295 dt.26/11/2014 u/s 365 PPC,PS/Jamshoro</t>
  </si>
  <si>
    <t>Traced Person. Rep of MI submitted that the Missing Person Abdul Muqtadar is Confined in Internment Center, Landi Kotal under Action (in aid of Civil Power) Regulation 2011. Family Members have been allowed to meet him.</t>
  </si>
  <si>
    <t>2390-S</t>
  </si>
  <si>
    <t>Said Muhammad s/o Kaheru</t>
  </si>
  <si>
    <t>Nawab Deen, r/o Dera Bugti, Balochistan (Contact No. 0835410634)</t>
  </si>
  <si>
    <t>Returned to Home</t>
  </si>
  <si>
    <t>2391-B</t>
  </si>
  <si>
    <t>Ameer Bakhsh Bugti s/o Eidu Bugti</t>
  </si>
  <si>
    <t>Mst. Sasu w/o Khair Muhammad, r/o Village Loti, Sub-Tehsil Loti, Distt: Dera Bugti (Mobile No. 0300-3876787)</t>
  </si>
  <si>
    <t>Deleted. Not a case of enforced disappearance disappearance on therefor is no allegation against ans of LEAs.</t>
  </si>
  <si>
    <t>2392-K</t>
  </si>
  <si>
    <t>Imran Khan s/o Fazal Muhammad</t>
  </si>
  <si>
    <t>Khan Muhammad s/o Fazal Muhammad, r/o Nagwah, P.O. Barikot, Tehsil &amp; Distt: Swat (Mobile No. 0347-4442811, 0342-9628159)</t>
  </si>
  <si>
    <t>FIR No.33 dt.03/02/2015 u/s 365 PPC,PS Kokarai District Swat.</t>
  </si>
  <si>
    <t>2393-B</t>
  </si>
  <si>
    <t>Muhammad Rasool s/o Durrani</t>
  </si>
  <si>
    <t>Muhammad Karim Pathan s/o Durrani Pathan, r/o Killi Malik Shahjahan, Kuchlak, Quetta</t>
  </si>
  <si>
    <t>Traced Person. Lt. Col Faisal Qureshi, Rep of FC, North has appeared whose statement has been recorded on oath. In his statement he has submitted that Muhammad Rasool has returned to home.</t>
  </si>
  <si>
    <t>2394-B</t>
  </si>
  <si>
    <t>Abdul Rehman s/o Amir Muhammad</t>
  </si>
  <si>
    <t>FIR No. 662, dt.14/12/2013 u/s 365 PPC, PS Badami Bagh, Lahore</t>
  </si>
  <si>
    <t>Traced Person. Lt. Col Faisal Qureshi, Rep of FC, North has appeared whose statement has been recorded on oath. In his statement he has submitted thatAbdul Rehman has returned to home.</t>
  </si>
  <si>
    <t>2395-K</t>
  </si>
  <si>
    <t>HRC No. 29027-K/2014</t>
  </si>
  <si>
    <t>Khan Zareen</t>
  </si>
  <si>
    <t>Mst. Sona Bibi w/o Khan Zareen, r/o Kabilgram, Swat (Mobile No. 0342-9514159)</t>
  </si>
  <si>
    <t>2396-P</t>
  </si>
  <si>
    <t>HRC No. 2876-P/2014</t>
  </si>
  <si>
    <t>Maulana Muhammad Arshad Usmani s/o Mirza Siraj Din</t>
  </si>
  <si>
    <t>Muhammad Kursheed s/o Mirza Siraj Din, r/o 05 Phattak Alipur, Badami Bagh, Lahore. (Mob No. 0313-9467740)</t>
  </si>
  <si>
    <t>Traced Person. DSP (Legal) Lahore submitted report that they have returned to home. Appeared before the Commission but did not disclose any details.</t>
  </si>
  <si>
    <t>2397-P</t>
  </si>
  <si>
    <t>Qari Shafique-ur-Rehman s/o Muhammad Hanif</t>
  </si>
  <si>
    <t>2398-S</t>
  </si>
  <si>
    <t>HRC No. 24220-S/2014</t>
  </si>
  <si>
    <t>Muhammad Rahim s/o Muhammad Hanif</t>
  </si>
  <si>
    <t>Kashif Hanif s/o Muhammad Hanif, r/o House No. 630, Sector 1/B, Data Nagri, Orangi Karachi. (Mob No. 0315-3568178)</t>
  </si>
  <si>
    <t>Traced Person.SIP Fayyaz submitted documents before the Commission which cleared indicate that Muhammd Rahim is in Judicial custody.</t>
  </si>
  <si>
    <t>2399-K</t>
  </si>
  <si>
    <t>HRC No. 27319-K/2014</t>
  </si>
  <si>
    <t>Bilal Ahmad Shah s/o Pir Shah Mehmood Shah</t>
  </si>
  <si>
    <t>Mst. Zaib Un Nisa w/o Pir Mehmood Shah, r/o Ansar Abad, Kot Hakeem, P/O Gomal Bazar, District Tank. (Mob No. 0300-7093142 &amp; 0306-7947496)</t>
  </si>
  <si>
    <t>Traced Person. Confined in the Internment Center Lakki Marwat as informed by Rep of MI at the hearing on 3.6.2015.</t>
  </si>
  <si>
    <t>2400-K</t>
  </si>
  <si>
    <t>HRC No. 3818-S/2014</t>
  </si>
  <si>
    <t>Nadir Khan s/o Mahfooz Khan</t>
  </si>
  <si>
    <t>Mst. Zarina Begum, r/o City Railway Colony, Block No 232, Nori Mosque, Karachi. (Mob No. 0311-2766767 &amp; 0312-2393236)</t>
  </si>
  <si>
    <t>Traced Person. Confined in Central Jail, Karachi.</t>
  </si>
  <si>
    <t>2401-S</t>
  </si>
  <si>
    <t>Muhammad Azeem s/o Jumma Khan</t>
  </si>
  <si>
    <t>2402-K</t>
  </si>
  <si>
    <t>HRC No. 28938-K/2014</t>
  </si>
  <si>
    <t>Bakht Mareen s/o Mushtareen</t>
  </si>
  <si>
    <t>Mst. Nihad Bibi, r/o Kabalgram Tehsil &amp; District Shangala (Mobile No. 342-5587560)</t>
  </si>
  <si>
    <t>Traced Person. Bakhat Mareen has been traced. According to the report received from Rep of MI, Bakat Mareen is presently confined in the Internment Center Fizagat.</t>
  </si>
  <si>
    <t>2403-K</t>
  </si>
  <si>
    <t>HRC No. 228931-K/2014</t>
  </si>
  <si>
    <t>Gullab Zareen s/o Muhammad Zareen</t>
  </si>
  <si>
    <t>Gull Haroon , /o Gullab Din, r/o Kabalgaram Dist: Shangla. (mOb No 0345-2629373)</t>
  </si>
  <si>
    <t>2404-K</t>
  </si>
  <si>
    <t>Amal Khan Afrida s/o Gul Ameer</t>
  </si>
  <si>
    <t>Faheem Khan Afridi, s/o Amal Khan Afridi,r/o Kohat Road Sira Khawara, Police Post Peshawar. (Mob No 0322-9130988)</t>
  </si>
  <si>
    <t>FIR No.76 dt.25/02/2015 u/s 365 PPC PS Matanni District Peshawar</t>
  </si>
  <si>
    <t>2405-P</t>
  </si>
  <si>
    <t>Fahad Bin Zulifqar s/o Zulifiqar</t>
  </si>
  <si>
    <t>Bilal Zulifiqar s/o Zulfiqar, r/o House No. 264, Street No. 5 Dhok Najo, Khayban-e-Sirsyed Rawalpindi. (Mob No. 0324-5500060)</t>
  </si>
  <si>
    <t>FIR No.46 dt.26/01/2015 u/s 365 PPC PS/Sabzi Mandi,Islamabad.</t>
  </si>
  <si>
    <t>Traced Person. Returned to home on 16.4.2015. Statement recorded u/s 164 CrPC.</t>
  </si>
  <si>
    <t>2406-S</t>
  </si>
  <si>
    <t>Mir Ahmed Khan s/o Mir Badshah</t>
  </si>
  <si>
    <t>Jahangir Khan s/o Mir Ahmed Khan, r/o House no. 24/18, Sector -A, Kasba Colony, Mango Pir Road, Karachi. (Mob No. 0332-2415074)</t>
  </si>
  <si>
    <t>FIR No.109 dt.11/12/2012 u/s 365/34 PPC PS Civil Lines, District South,Karachi.</t>
  </si>
  <si>
    <t>2407-B</t>
  </si>
  <si>
    <t>Syed Muhamad Sadiq s/o Syed Khamat Agha</t>
  </si>
  <si>
    <t>Syed Abdul Manan Agha , r/o SAS Qilla, Kali Mulazai, Samli, Kachalak, Quetta. (Mob No. 0300-4489807)</t>
  </si>
  <si>
    <t>FIR No.15/2015 u/s 365/147/148/149 PPC PS/Kuchlock.</t>
  </si>
  <si>
    <t>2408-B</t>
  </si>
  <si>
    <t>Syed Abdul Rauf s/o Syed Khamat Agha</t>
  </si>
  <si>
    <t>2409-B</t>
  </si>
  <si>
    <t>Syed Raaz Muhammad s/o Syed Khamat Agha</t>
  </si>
  <si>
    <t>D.D Entry No.37 dated 26/12/2013 PS/Kuchlock,Quetta.</t>
  </si>
  <si>
    <t>2410-S</t>
  </si>
  <si>
    <t>Syed Jan Muhammad s/o Syed Ameer Gul</t>
  </si>
  <si>
    <t>Syed Ameer Muhammad Shah s/o Syed Ameer Gul, r/o House No. MIE 1081/A, Street No.26, Block- C Alamgir Road Post office Sher Shah, Karachi. (mob No. 0333-3447072- 0313-8664050)</t>
  </si>
  <si>
    <t>FIR No.25 dt.14/2/2015 u/s 365/34 PPC PS/Sher Shah,District West,Karachi</t>
  </si>
  <si>
    <t>Traced Person. Confined in the Internment Center Mohmand Agency.</t>
  </si>
  <si>
    <t>2411-S</t>
  </si>
  <si>
    <t>Baher Mand s/o Syed Muhammad Zaman</t>
  </si>
  <si>
    <t>2412-S</t>
  </si>
  <si>
    <t>Rana Abid Hussain s/o Umar Din</t>
  </si>
  <si>
    <t>Shahnaz w/o Rana Abid Hussain, r/o House No 1001, Mohallah Saeedabad, Baldia Town, Karachi.</t>
  </si>
  <si>
    <t>2413-K</t>
  </si>
  <si>
    <t>Muhammad Haseeb s/o Muhammad Kamal</t>
  </si>
  <si>
    <t>Muhammad Kamal s/o Fazal Mosa, r/o Village Parikas, Tehsil Lal Qila,Distt; Uppar Dir. (Mob No.0303-5109334)</t>
  </si>
  <si>
    <t>FIR No.68 dt.04/3/2015 u/s 365 PPC PS/Lal Qilla,District Dir Lower.</t>
  </si>
  <si>
    <t>Under Investigation (KP) Upper Dir</t>
  </si>
  <si>
    <t>2414-S</t>
  </si>
  <si>
    <t>Syed Ashraf Ali s/o Syed Tahir Ali</t>
  </si>
  <si>
    <t>Syed Tahir Ali, r/o House No. 129, Street No. 1, Block-A, Sirjani Town, New Karachi. (Mobile No. 0331-2110392)</t>
  </si>
  <si>
    <t>Traced Person. Disappeared Person Syed Ashraf Ali was found in detention of C.I.D. Later he was granted bail and released. His father confirmed the above stated position.</t>
  </si>
  <si>
    <t>2415-S</t>
  </si>
  <si>
    <t>Natha Lal s/o Rana</t>
  </si>
  <si>
    <t>30/02/2014</t>
  </si>
  <si>
    <t>Dhanak, w/o Natha lal, r/o Chandio Village, Street No. 01, Punjab Colony Karachi. (Mobile No. 0313-2102813)</t>
  </si>
  <si>
    <t>FIR No.57 dt.17/3/2015 u/s 365/34 PPC PS/Bahadurabad,District East,Karachi</t>
  </si>
  <si>
    <t>2416-P</t>
  </si>
  <si>
    <t>Muhammad Ramzan Waseem s/o Muhammad Saleem Akhtar</t>
  </si>
  <si>
    <t>Muhammad Saleem Akhtar, r/o House No. P-19, Street No. 5, Rafi Park near Qanchi Road, Sargodha. (Moble No. 0300-7610628)</t>
  </si>
  <si>
    <t>FIR No.450 dt.06/12/2014 u/s 365 PPC PS City,Sargodha</t>
  </si>
  <si>
    <t>Traced Person. Confined in Central Jail , Multan as a case is registered against him u/s 7 ATA and 4/5 ESA.</t>
  </si>
  <si>
    <t>2417-K</t>
  </si>
  <si>
    <t>HRC No. 27427-K/2010</t>
  </si>
  <si>
    <t>Muhammad Hayat s/o Nadir Khan</t>
  </si>
  <si>
    <t>Mst. Janpars w/o Nadir Khan, r/o Kozcham Manja Tantano bandi, Tehsil Kabal Distt: Swat. (Mobile No. 0305-9773598)</t>
  </si>
  <si>
    <t>Traced Person. Mother of Muhammad Hayat confirmed that her son returned to home and statement he was in Saudi Arabia.</t>
  </si>
  <si>
    <t>2418-K</t>
  </si>
  <si>
    <t>Habib Anwar s/o Nadir Khan</t>
  </si>
  <si>
    <t>Traced Person. Rep of IB confirmed at the hearing on 24.4.2015 that Habib Anwar was confined in Sabaooniraing School, Malakand.</t>
  </si>
  <si>
    <t>2419-K</t>
  </si>
  <si>
    <t>Hazrat Bilal s/o Muhammad Ali Khan</t>
  </si>
  <si>
    <t>Muhammad Ali Khan, r/o Village &amp; P.O Bara Bandi, Tehsil Kabal Distt: Swat. (Mobile No. 0344-9652857)</t>
  </si>
  <si>
    <t>Traced Person. Returned to home. Rep of IB confirmed at the hearing on 24.4.15 that Hazrat Bilal was resding in Saudi Arabia.</t>
  </si>
  <si>
    <t>2420-K</t>
  </si>
  <si>
    <t>Maulana Wali Zaman s/o Haji Samar Din</t>
  </si>
  <si>
    <t>Khalil -ur-Rehman, r/o Khadri Mamna Khel, Wazir Mohallah, Kotka Jan Samar Din Post office, Pepal Baazar, Distt: Bannu. (Mobile No. 0927-340537)</t>
  </si>
  <si>
    <t>Traced Person. Returned to home as informed by SP (Inv) Bannu at the hearing on 26.3.15.</t>
  </si>
  <si>
    <t>2421-B</t>
  </si>
  <si>
    <t>Muhammad Naseem Afzal s/o Muhammad Afzal Baloch</t>
  </si>
  <si>
    <t>Muhammad Afzal Baloch, r/o Wafaqi motasib Secretariat, regional office, Barginza Villas Zarghoon road Quetta. (Mobile No. 9202679)</t>
  </si>
  <si>
    <t>FIR No.104 dt.17/6/2004 u/s 365(A) PPC,PS Civil Lines,Quetta.</t>
  </si>
  <si>
    <t>Deleted. The case is closed for the reasons to be recorded separately. The Investigation Agency however should continue investigation of the case in accordance with law.</t>
  </si>
  <si>
    <t>Muhammad Shoaib s/o Abdul Qayyum</t>
  </si>
  <si>
    <t>Muhammad Shafique, r/o Haal Shahu dam, Tehsil &amp; Distt; Hangu (Mobile No.0347-9447408)</t>
  </si>
  <si>
    <t>FIR No.349 dt.13/6/2014 u/s 365 PPC,PS Hangu District Hangu.</t>
  </si>
  <si>
    <t>Traced Person. Dead Body Recovered.</t>
  </si>
  <si>
    <t>2423-K</t>
  </si>
  <si>
    <t>Zakria s/o Muhammad Qayyum</t>
  </si>
  <si>
    <t>2424-I</t>
  </si>
  <si>
    <t>Muhammad Aqeel Ahmed s/o Muhammad Afzal</t>
  </si>
  <si>
    <t>Muhammad Afzal , r/o House No. 116, Street No. 05 Shahzad Town, Islamabad. (Mobile No. 0321-5249954, 0346-0754336)</t>
  </si>
  <si>
    <t>FIR No.446 dt.24/06/2015 u/s 365 PPC PS Saddar Berooni District Rawalpindi</t>
  </si>
  <si>
    <t>2425-S</t>
  </si>
  <si>
    <t>Maaz Hussain Khan s/o Jan Hussain Khan</t>
  </si>
  <si>
    <t>Jan Hussain Khan, r/o House No. R-13/103, Asifabad Green Town Karachi No. 43. (Mobile No. 0315-2417515)</t>
  </si>
  <si>
    <t>Traced (Confined in Central Jail, Karachi)</t>
  </si>
  <si>
    <t>2426-K</t>
  </si>
  <si>
    <t>Muhammad Zahid s/o Misri Khan</t>
  </si>
  <si>
    <t>Sair-ur-Rehman s/o Misri Khan, r/o Village Dhoda Kharmato, Tehsil &amp; Distt: Kohat. (Mobile No. 0333-7642747)</t>
  </si>
  <si>
    <t>FIR No.68 dt.23/02/2015 u/s 365 PPC PS Bilitang District Kohat</t>
  </si>
  <si>
    <t>Traced Person. Confined in the Internment Center Kohat as informed at the hearing on 11.4.16 by Rep of IB.</t>
  </si>
  <si>
    <t>2427-K</t>
  </si>
  <si>
    <t>Kifayatullah s/o Ameer Rehman</t>
  </si>
  <si>
    <t>Mst. Sakina w/o Ameer Rehman, r/o Mohallah Ghani Abad, Nawey Kaley, Mingora, Tehsil &amp; Distt: Swat. (Mobile No.0333-4496122)</t>
  </si>
  <si>
    <t>FIR No.87 dt.25/02/2015 u/s 365/34 PPC PS Charbagh District Swat.</t>
  </si>
  <si>
    <t>2428-P</t>
  </si>
  <si>
    <t>Zulqarnain Haider s/o Muhammad Riaz</t>
  </si>
  <si>
    <t>27/12/0204</t>
  </si>
  <si>
    <t>Muhammad Riaz, r/o Street No 11, Mohallah Shah Jevan Colony, Chak Jalal Din Girja Road, Rawalpindi. (Mobile No. 0320-5426788 &amp; 0331-5091893)</t>
  </si>
  <si>
    <t>FIR No.213 dt.02/04/2015 u/s 365 PPC PS Saddar Berooni,Rawalpindi</t>
  </si>
  <si>
    <t>Traced Person. Returned Home as informed at the hearing on 4.5.2015, which information has been confirmed by SSP (Inv) Rawalpindi.</t>
  </si>
  <si>
    <t>2429-P</t>
  </si>
  <si>
    <t>Muhammad Mushtaq s/o Muhammad Ramzan</t>
  </si>
  <si>
    <t>Muhammad Ramzan , r/o Koila Gammo, Tehsil Jatoi Distt: Muzaffarghar. (Mobile No. 0300-3465793)</t>
  </si>
  <si>
    <t>FIR No.68 dt.25/03/2015 u/s 365 PPC PS City Yazman District Behawalpur.</t>
  </si>
  <si>
    <t>Traced Person. Returned to home as confirmed as well as father at the hearing held on 25.7.16.</t>
  </si>
  <si>
    <t>2430-P</t>
  </si>
  <si>
    <t>Muhammad Ibrar s/o Muhammad Shafi</t>
  </si>
  <si>
    <t>Mst. Naseem Begum, w/o Shafi Ullah, r/o Mohallah Bahadarabad Butt Khailla, Malakand Agency. (Mobile No.0313-9539155 &amp; 0301-8529631)</t>
  </si>
  <si>
    <t>Traced Person. Confined in the Internment Centre Malakand.</t>
  </si>
  <si>
    <t>2431-S 6009-S</t>
  </si>
  <si>
    <t>Hazrat Usman s/o Muhammad Naeem Ullah</t>
  </si>
  <si>
    <t>Muhammad Ilyas s/o Muhammad Naeem Ullah, r/o House No. 108, Sector 01, Street No. 15 Pakhtoonabad, Mangu Peer Road Karachi. (Mobile No. 0346-2442512)</t>
  </si>
  <si>
    <t>FIR No.474 dt.18/8/2015 u/s 365/34 PPC,PS/Site-A,District West,Karachi.</t>
  </si>
  <si>
    <t>Deleted. Muhammad Naeem Ullah, father of the Missing Person has submitted statement that his son Ghani-ur-Rehman has returned home and he was hopeful that Hazrat Usman will also come back. He has requested to close his case. The statement has duly been verified by SDPO, SITE, Sub-Division, Karachi.</t>
  </si>
  <si>
    <t>6009-S Same Case</t>
  </si>
  <si>
    <t>2432-P</t>
  </si>
  <si>
    <t>Umar Nadeem s/o Nadeem Iqbal</t>
  </si>
  <si>
    <t>Hafsa Batol, r/o Mohallah Farooq Ganj, Narowal, Tehsil &amp; Distt: Narowal. (Mobile No. 0335-4015246)</t>
  </si>
  <si>
    <t>FIR No.469 dt.22/3/2015 u/s 365 PPC,PS Defence B-Block,Lahore</t>
  </si>
  <si>
    <t>Traced Person.Confined in Kot Lakhpat Jail, Lahore, Death penalty awareded by Military Court.</t>
  </si>
  <si>
    <t>2433-P</t>
  </si>
  <si>
    <t>Umair Nadeem s/o Nadeem Iqbal</t>
  </si>
  <si>
    <t>Rida Fatima, d/o of Nadeem Iqbal, r/o Peoples Colony No. 2, Madina Town Faisalabad. (Mobile No. 0332-4277996)</t>
  </si>
  <si>
    <t>FIR No.209 dt.17/3/2015 u/s 365 PPC,PS Batala Colony,Faisalabad.</t>
  </si>
  <si>
    <t>Traced Person.Confined in Camp Jail Lahore on the changes of herious crimes as informed at the hearing on 28.9.15.</t>
  </si>
  <si>
    <t>2434-P</t>
  </si>
  <si>
    <t>Nadeem Iqbal s/o Muhammad Iqbal</t>
  </si>
  <si>
    <t>2435-P</t>
  </si>
  <si>
    <t>Muhammad Ijaz s/o Haq Nawaz</t>
  </si>
  <si>
    <t>Muhammad Asghar s/o Muhammad Lashkar, r/o Mohallah Dhok Chachi Thoha Mehram Khan, P.O Khas Tehsil Talagang Distt: Chakwal. (Mobile No. 0346-5074305)</t>
  </si>
  <si>
    <t>FIR No.139 dt .12/03/2015 u/s 365 PPC PS Jhal Chakian, District Sargodha</t>
  </si>
  <si>
    <t>Traced Person. Confined in District Jail Sargodha in case FIR No. 674 dated 7.10.16 u/s 4/5 ESA, 7-ATA 21-C, 20/65, 13/2-C at the PS Jhal Chakian,Sargodha.</t>
  </si>
  <si>
    <t>2436-S</t>
  </si>
  <si>
    <t>Mian Pars Khan s/o Mian Aqal jan</t>
  </si>
  <si>
    <t>Mian Gul Wahid s/o Mian Aqal Jan, r/o House No. 13, Mohallah MPR Colony, Mangho Peer Road Block-A, Karachi West. (Mobile No. 0346-3252834)</t>
  </si>
  <si>
    <t>2437-K</t>
  </si>
  <si>
    <t>Hazrat Ali s/o Rehem Ghuffar</t>
  </si>
  <si>
    <t>Mst. Fatima, r/o Village Qambar, P.O Raheemabad, Mohallah Motkhel, Tehsil Babuzai Distt: Swat. (Mobile No. 0343-9635764 &amp; 0342-9628012)</t>
  </si>
  <si>
    <t>FIR No.75 dt.19/03/2015 u/s 365 PPC PS Takhat Bai District Mardan</t>
  </si>
  <si>
    <t>2438-K</t>
  </si>
  <si>
    <t>Abdul Aziz s/o Ameer Slam</t>
  </si>
  <si>
    <t>Mst. Afnan, w/o Abdul Aziz, r/o Rehman Garhi, Pachgai Road Choli, Tehsil &amp; Distt: Peshawar. (Mobile No.0315-9291631 &amp; 0323-5509385)</t>
  </si>
  <si>
    <t>FIR No.226 dt.1/7/2015 u/s 365 PPC PS Tatara,District Peshawar.</t>
  </si>
  <si>
    <t>2439-S</t>
  </si>
  <si>
    <t>Mirza Zeeshan Baig</t>
  </si>
  <si>
    <t>Nil</t>
  </si>
  <si>
    <t>FIR No.72 dt.13/3/2015 u/s 365/34 PPC PS/Mubina Town,Karachi Tatara,District Peshawar.</t>
  </si>
  <si>
    <t>Traced Person. Ranger Custody</t>
  </si>
  <si>
    <t>2440-S</t>
  </si>
  <si>
    <t>Muhammad Yousaf Rehmatullah</t>
  </si>
  <si>
    <t>House No. 418, Central Jacob Lines Area, Karachi.</t>
  </si>
  <si>
    <t>Traced Person. Returned to home.</t>
  </si>
  <si>
    <t>2441-S</t>
  </si>
  <si>
    <t>Jumma Khan s/o Gul Muhammad</t>
  </si>
  <si>
    <t>Gul Muhammad, r/o Ahmed Area, Murad Memon Goth Malir, Karachi.</t>
  </si>
  <si>
    <t>2442-S</t>
  </si>
  <si>
    <t>Raess Khan s/o Jalal Khan</t>
  </si>
  <si>
    <t>Jalal Khan , r/o House No. E-2/107, Khalila Road, Mosa Colony, Federal B Area, Karachi.</t>
  </si>
  <si>
    <t>2443-S</t>
  </si>
  <si>
    <t>Shehzad Khan s/o Munir Khan</t>
  </si>
  <si>
    <t>Munir Khan, r/o House No. 24 Sector I-A, Orangi Town, Karachi.</t>
  </si>
  <si>
    <t>FIR No.301dt.16/1/2015 u/s 365/34 PPC PS/Orangi Town, District West,Karachi.</t>
  </si>
  <si>
    <t>Under Investigation (Sindh) Karachi</t>
  </si>
  <si>
    <t>MoFAs No. 10005589</t>
  </si>
  <si>
    <t>2444-S</t>
  </si>
  <si>
    <t>Syed Tahir Ali s/o Syed Barkat Ali</t>
  </si>
  <si>
    <t>Syed Barkat Ali, r/o Hosue No. 140, Sector I-A, Orangi Town, Karachi.</t>
  </si>
  <si>
    <t>FIR No.192 dt.7/8/2015 u/s 365/34 PPC PS/Orangi Town, District West,Karachi.</t>
  </si>
  <si>
    <t>MoFAs No. 10005725</t>
  </si>
  <si>
    <t>2445-K</t>
  </si>
  <si>
    <t>Momin Khan s/o Fateh Khan Shah</t>
  </si>
  <si>
    <t>Jamshed Khan, r/o P.O Sanga Mehar Abad, Tehsil Takht Bhai District: Mardan. (Mobile No. 0344-5081966)</t>
  </si>
  <si>
    <t>FIR No.159dt.19/03/2015 u/s 365 PPC PS Akora Khattak District Nowshera</t>
  </si>
  <si>
    <t>Traced Person. Dead body received by family as confirmed at the hearing on 4.9.2016. Brother confirmed.</t>
  </si>
  <si>
    <t>2446-K</t>
  </si>
  <si>
    <t>Muhammad Asim s/o Rajjab Ali</t>
  </si>
  <si>
    <t>Mst. Tanseer Bibi w/o Muhammad Rajjab Khan, r/o Village Majuhan, District Abbottabad.</t>
  </si>
  <si>
    <t>FIR No.28 dt.05/03/2015 u/s 365 PPC PS Bakot District Abbottabad</t>
  </si>
  <si>
    <t>Traced Person. Appeared before the Commission on 28.5.2015. Statement recorded u/s 164 CrPC which is on tile.</t>
  </si>
  <si>
    <t>2447-P</t>
  </si>
  <si>
    <t>Abdul Wadood s/o Abdul Saboor</t>
  </si>
  <si>
    <t>Mst. Fazia Qazi, w/o Abdul Wadood, r/o House No. 03, Moon Colony Nadeem Shaheed Road, Samanabad, Lahore. (Mobile No. 0321-4946005)</t>
  </si>
  <si>
    <t>Traced Person. Returned to home on 14.2.15 as reported at the hearing on 15.9.15.</t>
  </si>
  <si>
    <t>2448-P</t>
  </si>
  <si>
    <t>Muhammad Tallah Raza s/o Muhammad Akram</t>
  </si>
  <si>
    <t>Muhammad Akram, r/o Sialkot Road, Near Shaan Marriage Road, Street No.10, Quaid-e-Azam Town Gujranwala. (Mobile No.0322-7445011)</t>
  </si>
  <si>
    <t>FIR No.1153 dt.29/12/2014 u/s 365 PPC PS Civil Lines,Gujranwala</t>
  </si>
  <si>
    <t>Traced Person. CPO, Gujranwala reported at the hearing on 20.4.2015 that Muhammad Tallah Raza has returned to home.</t>
  </si>
  <si>
    <t>2449-K</t>
  </si>
  <si>
    <t>Ashan Muhammad s/o Muhammad Akbar</t>
  </si>
  <si>
    <t>Shereen Zadgi, w/o Ashan Muhammad, r/o Kabal Swat, Bara Bandi. (Mobile No. 0342-2315826)</t>
  </si>
  <si>
    <t>Traced Person. Confined in the Internment Centre, Paitham as informed by I.O wife met him.</t>
  </si>
  <si>
    <t>2450-P</t>
  </si>
  <si>
    <t>Muhammad Noman Ashiq s/o Muhammad Ashiq</t>
  </si>
  <si>
    <t>Sobedar Muhammad Ashiq, r/o Chak No. 18/RMK, P.O Radha Kishan, Tehsil Chonia District Kasur. (Mobile No.0300-9743052)</t>
  </si>
  <si>
    <t>FIR No.316 dt.26/03/2015 u/s 365 PPC,PS Iqbal Town,Lahore</t>
  </si>
  <si>
    <t>Traced Person. Appeared before the Commission on 4.4.2017. Stated that he was investigated at a few ocsasions during detention.</t>
  </si>
  <si>
    <t>2451-K</t>
  </si>
  <si>
    <t>Syed Alam s/o Khyber</t>
  </si>
  <si>
    <t>Mst. Aalia, w/o Syed Alam, r/o Village Barikot, Faizalabad, Swat.</t>
  </si>
  <si>
    <t>Traced Person. Confined in the Internment Centre Lakki Marwat as informed by SSP (Inv) Swat at the hearing on 20.4.2015.</t>
  </si>
  <si>
    <t>2452-P</t>
  </si>
  <si>
    <t>Bilal Ahmed s/o Faiz Ahmed</t>
  </si>
  <si>
    <t>Mst. Zubeda Bibi, w/o Faiz Ahmed, r/o Village Abyala, Near Allama Iqbal International Airport, Tehsil Simirial Distt: Sialkot. (Mobile No. 0322-7319096)</t>
  </si>
  <si>
    <t>FIR No.249 dt.14/03/2015 u/s 365 PPC,PS Muradpur District Sialkot.</t>
  </si>
  <si>
    <t>Traced Person. Expired and dead body was handed over to legal heirs as informed at the hearing on 16.3.2016.</t>
  </si>
  <si>
    <t>2453-S</t>
  </si>
  <si>
    <t>Zubair s/o Ghulam Abbas</t>
  </si>
  <si>
    <t>Mst. Noor Jahan, w/o Ghulam Abbas, r/o House No. 376, Gharib Abad Goth, Karachi. (Mobile No. 0324-8048107)</t>
  </si>
  <si>
    <t>FIR No.48 dt.14/03/2015 u/s 365/34 PPC,PS Malir City,District Malir Karachi.</t>
  </si>
  <si>
    <t>2454-K</t>
  </si>
  <si>
    <t>Muhammad Attique s/o Nawab Ali</t>
  </si>
  <si>
    <t>13/2013</t>
  </si>
  <si>
    <t>Mst. Jamila Bibi, w/o Nawab Ali, r/o Mohallah Mujahid Nagar, District Dera Ismail Khan.</t>
  </si>
  <si>
    <t>FIR No.203 dt.20/05/2015 u/s 365 PPC PS Dera Town,D.I.Khan</t>
  </si>
  <si>
    <t>Traced Person. Confined in the Internment Center, Kohat as informed by Rep of MI at the hearing on 3.6.2015.</t>
  </si>
  <si>
    <t>2455-P</t>
  </si>
  <si>
    <t>Syed Fida Ullah s/o Syed Nasir Hussain</t>
  </si>
  <si>
    <t>Mst. Sajida Bibi, w/o Syed Fida Ullah, r/o House No 21, Street No. 20, Mohallah Mohra Sharif, Salik Abad, Bund Road, Lahore. (Mobile No. 0321-4621976)</t>
  </si>
  <si>
    <t>FIR No.29 dt.14/08/2015 u/s 365 PPC,PS Shera Kot District Lahore.</t>
  </si>
  <si>
    <t>Traced Person. Returned to home as informed at the hearing on 16.9.15 by SP (Inv) Iqbal Town, Lahore.</t>
  </si>
  <si>
    <t>2456-B</t>
  </si>
  <si>
    <t>Naseeb Ullah s/o Haji Abdul Qadoos</t>
  </si>
  <si>
    <t>Haji Abdul Qadoos, r/o Tehsil Mashkel, Distt: Washuk, Kuli Saki. (Mobile No.0322-8189865)</t>
  </si>
  <si>
    <t>Traced Person. Returned to home as stated by DPO Washak at the hearing on 28.11.2015.</t>
  </si>
  <si>
    <t>2457-P</t>
  </si>
  <si>
    <t>Sheikh Imran Afzal s/o Muhammad Afzal</t>
  </si>
  <si>
    <t>Ali Afzal s/o Sheikh Muhammad Afzal, r/o Gali Bagh Wali, House No. 260/16, Mohallah Power House,Siakot. (Mobile No. 0300-7128141)</t>
  </si>
  <si>
    <t>FIR No.55 dt.19/02/2015 u/s 365 PPC PS Civil Lines,Sialkot</t>
  </si>
  <si>
    <t>Traced Person. Appeared before the Commission on 21.4.15. Stated that he was kept in confinement for eight days. Did not share any further details.</t>
  </si>
  <si>
    <t>2458-B</t>
  </si>
  <si>
    <t>Zubair Khan s/o Hazar Khan</t>
  </si>
  <si>
    <t>Kamal-ud-Din s/o Hazar Khan, r/o Goharabad, near Sariab Custom, Quetta (Mobile No. 0336-8047001)</t>
  </si>
  <si>
    <t>FIR No.32 dt.04/02/2014 u/s 365/34 PPC PS City,Quetta.</t>
  </si>
  <si>
    <t>Deleted. Not a Case of Enforced Disappearances as LEAs have not been alleged Moreover, Zubair Khan has a criminal record.</t>
  </si>
  <si>
    <t>2459-B</t>
  </si>
  <si>
    <t>Hafiz Abdullah s/o Abdul Qadir</t>
  </si>
  <si>
    <t>Abdul Ghani, r/o Mohallah/Gali Kongarh Mastung. District Mastung (Mobile No. 0301-6507729, 0332-7877293)</t>
  </si>
  <si>
    <t>FIR No.19/2014 u/s 365/34 PPC PS/Levies Thana,Wali Khan District Mastung.</t>
  </si>
  <si>
    <t>Traced Person. Hafiz Abdullah appeared before the Commission on 1/7/2019 whose statement has been recorded on oath. According to him he was picked up on 26/27 August, 2013 and taken away blindfolded by some unknown persons. He has also submitted that he was kept at some unknown place and released on 28/7/2018.</t>
  </si>
  <si>
    <t>2460-B</t>
  </si>
  <si>
    <t>Saeed Ahmed Shahwani s/o Habibullah</t>
  </si>
  <si>
    <t>Habibullah, r/o Mohallah/Gali Kongarh Mastung. District Mastung (Mobile No. 0333-7963987, 0332-7877293)</t>
  </si>
  <si>
    <t>Deleted. At the hearing held in this case Assistant Commissioner, Dasht District Mastung appeared and provided with profs that the Missing Person of Saeed Ahmed is a criminal case rather than enforced disappearance. Habib Ullah father also appeared and submitted the stance taken by AC Dasht. No further action is required. The case is closed.</t>
  </si>
  <si>
    <t>2461-B</t>
  </si>
  <si>
    <t>Muhammad Ajmal Khan s/o Muhammad Umar</t>
  </si>
  <si>
    <t>Jumma Khan, r/o Nawakali Tareen City, Quetta (Mobile No. 0313-8520251, 0345-8162986)</t>
  </si>
  <si>
    <t>FIR No.53 dt.24/4/2015 u/s 365 PPC PS/Zarghoonabad,Quetta.</t>
  </si>
  <si>
    <t>Deleted. Not a Case of Enforced Disappearances as Muhammad Ajmal reached Tribal Area the next day of abduction.</t>
  </si>
  <si>
    <t>2462-B</t>
  </si>
  <si>
    <t>Manzoor Ahmed S/o Nazir Ahmed</t>
  </si>
  <si>
    <t>Nazir Ahmed, r/o Akhtarabad Killi Dildar, Quetta. (Mobile No. 0336-8147390)</t>
  </si>
  <si>
    <t>FIR No.41 dt.01/5/2012 u/s 365 PPC PS Shalkot District Quetta</t>
  </si>
  <si>
    <t>Deleted. Not a case of enforced disappearnce, as per entire record of the case and investigation.</t>
  </si>
  <si>
    <t>2463-B</t>
  </si>
  <si>
    <t>Sanaullah s/o Yar Muhammad</t>
  </si>
  <si>
    <t>Haji Yar Muhammad r/o Askalko, P.O. Kalat, Tehsil &amp; Distt: Kalat (Mobile No. 0313-879838, 0332-7719985)</t>
  </si>
  <si>
    <t>FIR No.16 dt.04/4/2015 u/s 365/34 PPC PS/City,Kalat</t>
  </si>
  <si>
    <t>2464-B</t>
  </si>
  <si>
    <t>Abdul Rashid s/o Manzoor Ahmed</t>
  </si>
  <si>
    <t>Manzoor Ahmed s/o Malik Mian, r/o Killi Darkazai, Khaliqabad, Mangchar, Distt: Kalat (Mobile No. 0333-8492242)</t>
  </si>
  <si>
    <t>FIR No.68 dt.19/9/2013 u/s 365 PPC PS/Jinnah Town,Quetta</t>
  </si>
  <si>
    <t>Deleted. Father of Missing Person submitted request that the case may be stopped at this stage due to some unavoidable personal circumstances.</t>
  </si>
  <si>
    <t>2465-B</t>
  </si>
  <si>
    <t>Gulab Khan s/o Nahaq</t>
  </si>
  <si>
    <t>Qalat Khan, r/o Nakis Madrassa, Distt: Harnai (Mobile No. 0336-8056808)</t>
  </si>
  <si>
    <t>FIR No.10 dt.28/5/2015 u/s 365/147/148/149 PPC PS/Levies Thana,Harnai.</t>
  </si>
  <si>
    <t>Deleted. Not a case of enforced disappearnce. The incident took place on 22.6.13 while FIR lodge on 28.5.2015. No alleagation against LEAs.</t>
  </si>
  <si>
    <t>2466-B</t>
  </si>
  <si>
    <t>2467-B</t>
  </si>
  <si>
    <t>Niaz Muhammad s/o Said Muhammad</t>
  </si>
  <si>
    <t>Nida Muhammad s/o Said Muhammad, r/o Killi Sufi, Chaman Road Kuchlak, Tehsil Quetta City, Distt: Quetta (Mobile No. 0308-3836443)</t>
  </si>
  <si>
    <t>Deleted (Due to Non- Cooperation of Complainant) on the plea that they wel make effort's on their own with the help of leaders of Ahle Sunat Wal Jamat.</t>
  </si>
  <si>
    <t>2468-B</t>
  </si>
  <si>
    <t>Ameer Ullah Khan s/o Sher Jan</t>
  </si>
  <si>
    <t>Samiullah Khan s/o Ameer Ullah Khan, r/o Ahmed Zai Colony, Sariab Road, Quetta (Mobile No. 0343-8389944, 081-2449796)</t>
  </si>
  <si>
    <t>54400-0488137-9</t>
  </si>
  <si>
    <t>FIR No.74 dt.03/05/2012 u/s 365 PPC, PS Sariab,Quetta</t>
  </si>
  <si>
    <t>Un Inv</t>
  </si>
  <si>
    <t>2469-S</t>
  </si>
  <si>
    <t>Mohib Ali s/o Abdul Haleem</t>
  </si>
  <si>
    <t>Mst. Zaitoon w/o Abdul Haleem Qambrani, r/o Mohallah Sallar Goth, Tehsil &amp; District Malir, Karachi (Mobile No. 0315-1243559)</t>
  </si>
  <si>
    <t>2470- K</t>
  </si>
  <si>
    <t>Riffat Ullah Khan s/o Muhammad Piaw Deen</t>
  </si>
  <si>
    <t>Muhammad Riaz Khan s/o Muhammad Piaw Deen, r/o Boza Khel, PS Basa Khel, Tehsil &amp; District Bannu (Mobile No. 0346-9874735)</t>
  </si>
  <si>
    <t>FIR No.277 dt.19/06/2014 u/s 365 PPC PS Basyakhel District Bannu</t>
  </si>
  <si>
    <t>Deleted. Not a Case of Enforced Disappearances as a case has been registered against on individual Malik Nawaz for this abduction.</t>
  </si>
  <si>
    <t>2471- B</t>
  </si>
  <si>
    <t>Aurangzeb s/o Babo Abdul Nabi Shahwani</t>
  </si>
  <si>
    <t>Babo Abdul Nabi Shahwani s/o Noroz Khan, r/o Killi Kongarh, Tehsil &amp; District Mastung (Mobile No. 0335-2324355, 0302-3835530)</t>
  </si>
  <si>
    <t>FIR No.26 dt.04/4/2015 u/s 365/34 PPC PS/City,Mastung.</t>
  </si>
  <si>
    <t>Traced Person. Aurangzeb s/o Babu Abdul Nabi appeared on 12/12/2018 in person, whose statement was recorded on oath. According to him he was picked up and taken blindfolded while he was in his way to home at Mastung and kept in some unknown place. During this period he was neither interrogated nor those persons tortured him. He was set free and released a few months back at Kat Kucha and came back to his house.</t>
  </si>
  <si>
    <t>2472- B</t>
  </si>
  <si>
    <t>Faisal Noor s/o Muhammad Amin</t>
  </si>
  <si>
    <t>Muhammad Amin, r/o Sariab Road, Mohallah Sarawan Street, near Magsi House, Tehsil Quetta City, District Quetta (Mobile No. 0332-2993890)</t>
  </si>
  <si>
    <t>FIR No.60 dt.07/5/2015 u/s 365/34 PPC PS/Sariab,Quetta.</t>
  </si>
  <si>
    <t>Deleted (Not a Case of Enforced Disappearances, as allegation has been leveled against any of the LEAs in the FIR.</t>
  </si>
  <si>
    <t>2473- B</t>
  </si>
  <si>
    <t>Ghulam Rasool s/o Ghulam Haider</t>
  </si>
  <si>
    <t>Babo Ghulam Qadir s/o Ghulam Haider, r/o Bibi Ziarat, C/o Rodeeni General Store, Sariab Road, Quetta (Mobile No. 0335-2372343)</t>
  </si>
  <si>
    <t>FIR No.13 dt.03/5/2012 u/s 365/34 PPC PS/Levies Thana,Kirdgap District Mastung</t>
  </si>
  <si>
    <t>Deleted (Not a Case of Enforced Disappearances). Rather it is a case of kidnapping for ransom. Allegation against private individuals.</t>
  </si>
  <si>
    <t>2474- B</t>
  </si>
  <si>
    <t>Muhammad Qazafi s/o Haji Ahmed Ali</t>
  </si>
  <si>
    <t>Naseeb Ullah s/o Haji Ahmed Ali, r/o Qambrani Road, Killi Nichari, near Kechi Baig, Quetta (Mobile No. 0331-2385251)</t>
  </si>
  <si>
    <t>FIR No.35 dt.30/9/2013 u/s 365/34 PPC PS Kechi Baig District Quetta.</t>
  </si>
  <si>
    <t>2475- B</t>
  </si>
  <si>
    <t>Fazal-ur-Rehman s/o Haji Abdul Rahim</t>
  </si>
  <si>
    <t>Momin Khan s/o Haji Abdul Rahim, r/o Killi Dargai Kadezai, P.O. Loralai, Tehsil &amp; Distt: Loralai, C/o Manager, National Bank of Pakistan, Loralai Branch (Mobile No. 0344-8233143)</t>
  </si>
  <si>
    <t>FIR No.56 dt.07/4/2015 u/s 365 PPC PS/Loralai.</t>
  </si>
  <si>
    <t>Deleted. Not a case of enforced disappearance, as the Missing Person was suffring from epilepy and under treatment at Karachi.</t>
  </si>
  <si>
    <t>2476- B</t>
  </si>
  <si>
    <t>Agha Babar Wahab s/o Agha Abdul Wahab</t>
  </si>
  <si>
    <t>Agha Jahangir Wahab s/o Agha Abdul Wahab, r/o Mohallah Khardan, near Police Line, Kalat (Mobile No. 0333-8326433)</t>
  </si>
  <si>
    <t>FIR No.32 dt.13/6/2013 u/s 365 PPC PS Kalat District Kalat.</t>
  </si>
  <si>
    <t>Deleted (Not a Case of Enforced Disappearances). An individual by the name of Jameel has been nominated in the FIR.</t>
  </si>
  <si>
    <t>2477- B</t>
  </si>
  <si>
    <t>Zahoor Ahmed s/o Noor Muhammad</t>
  </si>
  <si>
    <t>Manzoor Ahmed s/o Noor Muhammad, r/o Gharibabad, Noshki (Mobile No. 0345-8354920, 0331-8393887)</t>
  </si>
  <si>
    <t>FIR No. 98/2015 dt 13.11.15 PS Noshki u/s 365 PPC.</t>
  </si>
  <si>
    <t>Traced Person. Appeared before the Commission on 25.6.2015 DPO Noshki also produced report to this effect.</t>
  </si>
  <si>
    <t>2478- B</t>
  </si>
  <si>
    <t>Abdul Razzaq s/o Abdul Khalid</t>
  </si>
  <si>
    <t>Abdul Khalid s/o Haji Abdul Qadir, r/o Mohallah Kandawa, P.O Mastung Road, Tehsil &amp; District Mastung (Mobile No. 0336-8318804)</t>
  </si>
  <si>
    <t>FIR No.100 dt.23/6/2015 u/s 365/34 PPC PS Civil Lines,Quetta.</t>
  </si>
  <si>
    <t>2479- B</t>
  </si>
  <si>
    <t>Amanullah s/o Haji Habibullah</t>
  </si>
  <si>
    <t>Hafiz Naseebullah s/o Haji Habibullah, r/o Killi Peer Kano, Tehsil &amp; Distt: Mastung (Mobile No. 0333-4095285)</t>
  </si>
  <si>
    <t>FIR No.4 dt.16/01/2015 u/s 365/34 PPC PS City District Mastung</t>
  </si>
  <si>
    <t>Deleted (Not a case of Enforced Disappearances) no Missing Person is a constable went out for bringing water did not came back. No allegation against any LEAs.</t>
  </si>
  <si>
    <t>2480- B</t>
  </si>
  <si>
    <t>Azmat Ullah s/o Jalal Khan</t>
  </si>
  <si>
    <t>Nazar Muhammad s/o Jalal Khan, r/o Killi Sardar Bareni, Noshki (Mobile No. 0344-6167719)</t>
  </si>
  <si>
    <t>Traced Person. Returned to Home and appeared before the Commission on 25.6.15. Did not share details.</t>
  </si>
  <si>
    <t>1924 &amp; 2481 Same Case</t>
  </si>
  <si>
    <t>2481- B</t>
  </si>
  <si>
    <t>Nisar Ahmad s/o Rahamdil</t>
  </si>
  <si>
    <t>Muhammad Amin, r/o Pirkanoo Mastung, Tehsil &amp; District Mastung (Mobile No. 0334-1310548)</t>
  </si>
  <si>
    <t>FIR No.25 dt.04/4/2015 u/s 365/34 PPC PS/City,Mastung.</t>
  </si>
  <si>
    <t>2482- B</t>
  </si>
  <si>
    <t>Abdul Sattar s/o Jan Muhammad</t>
  </si>
  <si>
    <t>Abdul Rasool s/o Jan Muhammad, r/o Badal Khan Street, Krani Road, Quetta (Mobile No. 0302-3838195, 0336-6846347)</t>
  </si>
  <si>
    <t>FIR No.92/2015 u/s 365/34 PPC PS Sariab,Quetta.</t>
  </si>
  <si>
    <t>Deleted. Not a case of enforced disapperance as not LEA has been alleged in the FIR for abduction. Police to continue its efforts.</t>
  </si>
  <si>
    <t>2483- S</t>
  </si>
  <si>
    <t>Shah Muhammad s/o Nadir Khan</t>
  </si>
  <si>
    <t>Mst. Makhroba Bibi w/o Nadir Khan, r/o House No. A-89, Islamia Colony No. 02, Near Qasba Graveyard, Karachi. (Mobile No.0344-2335128)</t>
  </si>
  <si>
    <t>FIR No.17 dt.27/01/2015 u/s 365/34 PPC PS/Pirabad, District West,Karachi.</t>
  </si>
  <si>
    <t>2484- S</t>
  </si>
  <si>
    <t>Rukhman-ud-Din s/o Sina Jan</t>
  </si>
  <si>
    <t>Muhammad Shafique Khan s/o Sina Jan, r/o House No. 1562, Street No. 92/2, Old Muzaffarabad Colony Landhi, Karachi.</t>
  </si>
  <si>
    <t>2485- S</t>
  </si>
  <si>
    <t>Nakhat Singh s/o Pabudan Singh</t>
  </si>
  <si>
    <t>Doonger Singh s/o Pabudan Singh, r/o Village Goasro, Deh Renak Dehar, Taluka Khipro, District Sanghar. (Mobile No. 0345-2801929)</t>
  </si>
  <si>
    <t>2486- P</t>
  </si>
  <si>
    <t>Khurram Shehzad s/o Abdul Razzaq</t>
  </si>
  <si>
    <t>Saiqa Noreen, r/o Dhok Kaku, P.O Mughal, Tehsil Gujar Khan District Rawalpindi. (Mobile No. 0331-5921417)</t>
  </si>
  <si>
    <t>FIR No.76 dt.01/5/2015 u/s 365 PPC PS Jatli District Rawalpindi</t>
  </si>
  <si>
    <t>Traced Person. A case vide FIR No. 9/15 dated 13.5.15 has been registered u/s 4/5 ESA, 7-ATA at P.S. CTD, Lahore as informed at the hearing on 24.7.2015.</t>
  </si>
  <si>
    <t>2487- P</t>
  </si>
  <si>
    <t>Mehboob Hussain Chaudhry s/o Chaudhry Hukamdad Khan</t>
  </si>
  <si>
    <t>Mst. Bilquis Akhtar, w/o Mehboob Hussain Chaudhry, r/o Dhok Kaku, P.O Mughal, Tehsil Gujar Khan District Rawalpindi. (Mobile No. 0342-5273205)</t>
  </si>
  <si>
    <t>2488- S</t>
  </si>
  <si>
    <t>Khalid Usman s/o Inyat Ullah Khan</t>
  </si>
  <si>
    <t>Inyat Ullah Khan s/o Miran Shah, r/o House No. 438-1 Mohallah Ferozabad Nursery Karachi. (Mobile No. 0332-9932370)</t>
  </si>
  <si>
    <t>2489- K</t>
  </si>
  <si>
    <t>Imam Said s/o Gulab Jan</t>
  </si>
  <si>
    <t>Abdul Rasheed s/o Gulab Jan, r/o Qandhari, Sando Khail, Kamal Khel, Momand Agency. (Mobile No. 0343-9714927)</t>
  </si>
  <si>
    <t>Traced Person. Confined in Internment Center Ghallanai Mohmand Agency as informed at the hearing on 26.11.2015 by FC by meains of latter dated 26.8.2015.</t>
  </si>
  <si>
    <t>2490- B</t>
  </si>
  <si>
    <t>Abdul Majeed s/o Muhammad Ismail</t>
  </si>
  <si>
    <t>Haji Muhammad Alam, r/o House No. 8-40/1480- 1434, Sirki Road, Ismail Colony, Gawalmand Chowk, Quetta. (Mobile No.0300-3831054)</t>
  </si>
  <si>
    <t>Traced Person. Returned to home and appeared before the Commission on 25.6.15. SSP (Inv) Kalat also submitted report.</t>
  </si>
  <si>
    <t>2491- P</t>
  </si>
  <si>
    <t>Rehman Ullah s/o Sher Bahadur</t>
  </si>
  <si>
    <t>Sultan Bibi, w/o Sher Bahadur, r/o CRBC Colony, D.I Khan</t>
  </si>
  <si>
    <t>FIR No.513 dt.12/06/2015 u/s 365 PPC,PS Murad Pur District Sialkot</t>
  </si>
  <si>
    <t>Traced Person. Returned to home as informed at the hearing on 4.5.2017 by DPO, Sialkot.</t>
  </si>
  <si>
    <t>2492- P</t>
  </si>
  <si>
    <t>Abdur Rehman s/o Sher Bahadur</t>
  </si>
  <si>
    <t>2493- P</t>
  </si>
  <si>
    <t>Hamid Akhtar s/o Sher Bahadur</t>
  </si>
  <si>
    <t>2494- P</t>
  </si>
  <si>
    <t>Rahim s/o Essa Khan</t>
  </si>
  <si>
    <t>Zahid, s/o Essa Khan, r/o House No. 663/2-B, Street No.12, Dhok Teksal.(Mobile No.0315-5452428)</t>
  </si>
  <si>
    <t>FIR No.214 dt.08/04/2015 u/s 365 PPC PS Ratta Amral District Rawalpindi</t>
  </si>
  <si>
    <t>Traced Person. Appeared before the Commission on 5.5.2015. Stated that he was kept in detention for on month and 28 days and then set free.</t>
  </si>
  <si>
    <t>2495- P</t>
  </si>
  <si>
    <t>Fazal Wahid s/o Fazal Rabi</t>
  </si>
  <si>
    <t>Fazal Rabi s/o Abdul Nabi, r/o Mohallah Gulshan Abad,Mardan. (Mobile No. 0303-8076001 &amp; 0302-8182834</t>
  </si>
  <si>
    <t>FIR No.609 dt.08/10/2015 u/s 365 PPC PS Pabbil District Nowshera</t>
  </si>
  <si>
    <t>Traced Person. Appeared before the Commission on 13.12.16. Also confirmed by his father Fazal-e-Rabi.</t>
  </si>
  <si>
    <t>2496- F</t>
  </si>
  <si>
    <t>Khan Mir s/o Gul Pir</t>
  </si>
  <si>
    <t>02/15/2012</t>
  </si>
  <si>
    <t>Mst.Marjana, d/o Gul Pir, r/o Jarma Camp, Kohat.(Mobile No.0344-8606141 &amp; 0346-9291801)</t>
  </si>
  <si>
    <t>Traced Person.Confined in the Internment Center Kohat as informed at the hearing on 24.5.16 by Rep of MI.</t>
  </si>
  <si>
    <t>2497- S</t>
  </si>
  <si>
    <t>Ranjeet Kumar s/o Master Amar Lal</t>
  </si>
  <si>
    <t>Mst. Shirimati Bai, w/o Master Amar Lal, r/o Nanik Wara, Near Police Chowki, Kandhkot.</t>
  </si>
  <si>
    <t>2498- S</t>
  </si>
  <si>
    <t>Manhendar Kumar s/o Late Amar Lal</t>
  </si>
  <si>
    <t>Mst. Shirimati Maina Bai, w/o Late Amar Lal, r/o Beacon Light School, Kandhkot.</t>
  </si>
  <si>
    <t>2499- S</t>
  </si>
  <si>
    <t>Syed Sabih Ahmed Rizivi s/o Syed Ahmed Abbas Rizivi</t>
  </si>
  <si>
    <t>House No.3/21,A- Area, Sindhi Hotel, Liquatabad,</t>
  </si>
  <si>
    <t>2500- S</t>
  </si>
  <si>
    <t>Muhammad Tahir s/o Muhammad Anwar</t>
  </si>
  <si>
    <t>House No. 06, Ghazi Nagar, Siddique Wahab Road,Usmanabad, Karachi.</t>
  </si>
  <si>
    <t>2501- S</t>
  </si>
  <si>
    <t>Amjad Khan s/o Sher Rehman</t>
  </si>
  <si>
    <t>House No. L- 676 Sector No. 04, North Karachi.</t>
  </si>
  <si>
    <t>2502- S</t>
  </si>
  <si>
    <t>Abdul Kaleem</t>
  </si>
  <si>
    <t>House No. G-441,G Area, Korangi, 5, 1/2, Karachi.</t>
  </si>
  <si>
    <t>2503- S</t>
  </si>
  <si>
    <t>Naeem Ahmed Qureshi s/o Bashir Ahmed Qureshi</t>
  </si>
  <si>
    <t>House No. L- 32, Sector No. 02, Karachi.</t>
  </si>
  <si>
    <t>2504- S</t>
  </si>
  <si>
    <t>Muhammad Ashraf Ali s/o Muhammad Asghar Ali</t>
  </si>
  <si>
    <t>Khawaja Ajmeer Colony, Area 37/A, Landhi, Karachi.</t>
  </si>
  <si>
    <t>2505- S</t>
  </si>
  <si>
    <t>Syed Abdul Naveed s/o Syed Abdul Saeed</t>
  </si>
  <si>
    <t>House No. L/68, Sector No. 34/3, Korangi, Karachi.</t>
  </si>
  <si>
    <t>FIR No.128 dt.18/5/2015 u/s 365/34 PPC,PS/Korangi,District East,Karachi.</t>
  </si>
  <si>
    <t>Traced Person. Dead Body recovered from Thatta district.</t>
  </si>
  <si>
    <t>2506- S</t>
  </si>
  <si>
    <t>Double Enter 2563-S</t>
  </si>
  <si>
    <t>Abrar Ahmed s/o Ismail</t>
  </si>
  <si>
    <t>Haryana Colony, Sector No. 10, Orangi Town,Karachi.</t>
  </si>
  <si>
    <t>FIR No.226 dt.29/1/2015 u/s 365/34 PPC PS/Mominabad,District West Karachi.</t>
  </si>
  <si>
    <t>2507- S</t>
  </si>
  <si>
    <t>Rana Umair s/o Sharafat Ali</t>
  </si>
  <si>
    <t>House No.377, Haryana Colony, Sector No. 10, Orangi Town, Karachi.</t>
  </si>
  <si>
    <t>2508- S</t>
  </si>
  <si>
    <t>Zaheer Shah</t>
  </si>
  <si>
    <t>House No. 764, Qasba Colony, Karachi.</t>
  </si>
  <si>
    <t>2509- P</t>
  </si>
  <si>
    <t>Qamar Khan s/o Selo Khan</t>
  </si>
  <si>
    <t>Bakhat Munir s/o Qamar Khan, r/o House No. B-44, Iqbal Goth, Kunwari Colony, Main Manghopir Road, Karachi. (Mobile No.0346-1129773)</t>
  </si>
  <si>
    <t>FIR No.145 dt.04/05/2015 u/s 365 PPC PS Ganjmandi District Rawalpindi.</t>
  </si>
  <si>
    <t>Traced Person. Returned to home. Appeared before the Commission on 7.1.16. Stated that he left home due to some sift and no one abducted him</t>
  </si>
  <si>
    <t>2510- P</t>
  </si>
  <si>
    <t>Muhammad Haji s/o Allah Dad</t>
  </si>
  <si>
    <t>Muhammad Aslam s/o Allah Dad, r/o P.O Jamalpur Chudia, Tehsil Hasilpur District: Bahawalpur. (Mobile No. 0307-2065205)</t>
  </si>
  <si>
    <t>FIR No.56 dt.24/04/2015 u/s 365 PPC PS Qaimpur District Bahawalpur</t>
  </si>
  <si>
    <t>Traced Person. DSP (Legal) Bahawalpur submitted affidavit from Muhammad Haji stating that he left home due to some family sift.</t>
  </si>
  <si>
    <t>2511- K</t>
  </si>
  <si>
    <t>Gul Badin s/o Hashim Khan</t>
  </si>
  <si>
    <t>Ikramuddin, r/o P.O Boyia, Dita Khel, District North Wazairistan Agency. (Mobile No. 0310-9390611)</t>
  </si>
  <si>
    <t>FIR No.181 dt.16/04/2015 u/s 365 PPC PS Saddar District Bannu.</t>
  </si>
  <si>
    <t>Traced Person. SP (Inv) Bannu confirmed at the hearing on 2.3.16 that Gul Badin has returned to home. Younger brother also confirmed</t>
  </si>
  <si>
    <t>2512- P</t>
  </si>
  <si>
    <t>Hafiz Abdul Hafeez s/o Muhammad Usman</t>
  </si>
  <si>
    <t>Muhammad Usman s/o Muhammad Baksh, r/o Basti Kanjo, Tehsil Tounsa District Dera Ghazi Khan.</t>
  </si>
  <si>
    <t>FIR No.107 dt.25/4/2015 u/s 365 PPC,PS City Taunsa District D.G.Khan</t>
  </si>
  <si>
    <t>Traced Person. Involved in case FIR No. 174 dated 15.7.15 u/s 13 (2) r&amp;b/20/65. r/w 7-ATA and 4/5 ESA. He is on Judicial remand.</t>
  </si>
  <si>
    <t>2513- K</t>
  </si>
  <si>
    <t>Abid s/o khalid</t>
  </si>
  <si>
    <t>Mst. Zarnowsha w/o Muhammad sadiq, r/o Village Ghareebabad, P.O Bakhshali District Mardan.Mobile No. 0306-8386778</t>
  </si>
  <si>
    <t>FIR No.484 dt.14/8/2016 u/s 365 PPC,PS/Khanpur District Haripur.</t>
  </si>
  <si>
    <t>Under Investigation (KP) Haripur</t>
  </si>
  <si>
    <t>Haripur</t>
  </si>
  <si>
    <t>2514- P</t>
  </si>
  <si>
    <t>Shahbaz Yousaf s/o Mian Muhammad yousaf</t>
  </si>
  <si>
    <t>Mian Muhammad Yousaf, r/o House No. 15 , Block -H,Sabza Zar Scheme, Multan Road, Lahore. (Mobile No. 0333-4275896)</t>
  </si>
  <si>
    <t>FIR No.126 dt.06/12/2013 u/s 365 PPC,PS Sabzazar,District Lahore.</t>
  </si>
  <si>
    <t>Traced Person. Appeared before the Commission on 17.3.16. Stated that he was abducted by unknown persons. Did not share further details.</t>
  </si>
  <si>
    <t>2515- K</t>
  </si>
  <si>
    <t>Muhammad s/o Fazal Azeem</t>
  </si>
  <si>
    <t>Mst. Yasmeed w/o Muhammad, r/o Qari Yar , Tehsil Kabal District Swat. (Mobile No. 0343-9633973)</t>
  </si>
  <si>
    <t>FIR No.252 dt.19/7/2015 u/s 365/34 PPC,PS Kabal District Swat.</t>
  </si>
  <si>
    <t>Traced Person. Confined in the Internment Centre, Kohat as informed by Rep of MI at the hearing on 15.10.15.</t>
  </si>
  <si>
    <t>2516-P</t>
  </si>
  <si>
    <t>Aftab Ahmed s/o Hafiz Muhammad Ramzan</t>
  </si>
  <si>
    <t>Mst. Mukhtar Mai, w/o Hafiz Muhammad Ramzan, r/o Ward No. 04, Mohallah Sadiqabad, Chowk Azam. (Mobile No. 0300-4823255)</t>
  </si>
  <si>
    <t>Traced Person. DPO, Layyah confirmed at the hearing on 8.9.15 that Aftab Ahmed was murdered on dispute over a women rather confirmed idenifying the dead body.</t>
  </si>
  <si>
    <t>2517- K</t>
  </si>
  <si>
    <t>Muhammad Asif s/o Zain-ul-Abideen</t>
  </si>
  <si>
    <t>Mst. Shanaz Bibi, w/o Zain-ul-Abdieen, r/o Gulberg Colony, Awami Road, Nawa Sher, Abbottabad. (Mobile No. 0344-8965305 &amp; 0302-8014356)</t>
  </si>
  <si>
    <t>FIR No.577 dt.30/7/2015 u/s 365 PPC PS University Town,Peshawar</t>
  </si>
  <si>
    <t>2518- K</t>
  </si>
  <si>
    <t>Muhammad Khan s/o Sajad Muhammad Khan</t>
  </si>
  <si>
    <t>Mst. Bakhat Begum, w/o Muhammad Khan, r/o Mohallah Bagni, Village Kuza Bandi, Sawat.(Mobile No. 0341-9330529)</t>
  </si>
  <si>
    <t>Traced Person. Confined in the Internment Center Lakki Marwat as intimated by Rep of MI at the hearing on 28.8.15.</t>
  </si>
  <si>
    <t>2519- F</t>
  </si>
  <si>
    <t>Abdul Jabbar s/o Yousaf Shah</t>
  </si>
  <si>
    <t>Yousaf Shah, r/o Jarma Camp, Kohat. Mobile No. (0334-9446830)</t>
  </si>
  <si>
    <t>Traced Person. Confined in Internment Center Lakki Marwat as informed by Rep of MI at the hearing on 9.12.2015.</t>
  </si>
  <si>
    <t>2520- ICT</t>
  </si>
  <si>
    <t>Abid Hussain s/o Talib Hussain</t>
  </si>
  <si>
    <t>Talib Hussain, r/o House No. 244, Pakistan Town , Phase I, Main Hill View Road, Islamabad. (Mobile No. 0331-5355472)</t>
  </si>
  <si>
    <t>FIR No.84 dt.18/04/2015 u/s 365 PPC,PS Lohi Bher District Islamabad.</t>
  </si>
  <si>
    <t>Traced Person. Appeared before the Commission on 17.6.2015. Stated that he was abducted by some released after a couple of weeks.</t>
  </si>
  <si>
    <t>2521-P</t>
  </si>
  <si>
    <t>Syed Amjad Hussain s/o Syed Sabir Hussain</t>
  </si>
  <si>
    <t>Mst. Shaistha Noorean, w/o Syed Amjad Hussain, r/o House No. 99, Maryium Colony, Green Town Lahore. (Mobile No. 0320-4018730)</t>
  </si>
  <si>
    <t>FIR No.284 dt.05/03/2015 u/s 365 PPC,PS Green Town,Lahore</t>
  </si>
  <si>
    <t>Traced Person. SP (Inv) City Lahore submitted report at the hearing on 15.9.15 that Amjad has returned to home.</t>
  </si>
  <si>
    <t>2522-P</t>
  </si>
  <si>
    <t>Muhammad Zakria s/o Haji Muhammad Yaseen</t>
  </si>
  <si>
    <t>Muhammad Bilal, r/o House No. 06 Street No. 02 Haseeb Shaheed Colony, Faisalabad (Mobile No. 0300-7297161)</t>
  </si>
  <si>
    <t>FIR No.338 dt.29/4/2015 u/s 365 PPC,PS Batala Colony, Faisalabad.</t>
  </si>
  <si>
    <t>Under Investigation (Punjab) Faisalabad</t>
  </si>
  <si>
    <t>2523-P</t>
  </si>
  <si>
    <t>Syed Umer Farooq Shah s/o Qari Noor Hussain Shah</t>
  </si>
  <si>
    <t>Qari Noor Hussain Shah, r/o Quarter No. E-38, Engeenring University Texila, District Rawalpindi. (Mobile No. 0313-5759263)</t>
  </si>
  <si>
    <t>FIR No.88 dt.28/04/2015 u/s 365 PPC,PS City Hassanabdal District Attock</t>
  </si>
  <si>
    <t>Traced Person. Appeared before the Commission on 29.10.15. He could not furnish any details about the episode.</t>
  </si>
  <si>
    <t>2524-K</t>
  </si>
  <si>
    <t>Shah Wadan s/o Asfand Yar</t>
  </si>
  <si>
    <t>Mst. Maheina, r/o Mohallah Shehzad Lala, Village &amp; P.O Odigram, Swat. (Mobile No. 0342/3622048)</t>
  </si>
  <si>
    <t>FIR No.440 dt.05/6/2015 u/s 365 PPC,PS Rahimabad District Swat.</t>
  </si>
  <si>
    <t>2525-K</t>
  </si>
  <si>
    <t>Humayun Khan s/o Asfand Yar Khan</t>
  </si>
  <si>
    <t>2526-K</t>
  </si>
  <si>
    <t>Alamzeb s/o Sultan Muhammad</t>
  </si>
  <si>
    <t>Gohar Ali s/o Sultan Muhammad, r/o Mohallah Shahbaz Khan, Shabqadar, Tehsil &amp; District Charsada. (Mobile No. 0300-8047780)</t>
  </si>
  <si>
    <t>FIR No.329 dt.15/6/2015 u/s 365 PPC PS Shabqadar District Charsadda</t>
  </si>
  <si>
    <t>Deleted . A number of hearings held in this case by the Commission. JIT concluded it to be a case of car snatching which PTF says it to be case of gone on his own. All agencies have denied his apprehension/custody. Hence nota a case of enforced disappearance.</t>
  </si>
  <si>
    <t>2527-S</t>
  </si>
  <si>
    <t>Muhammad Liaquat s/o Abdul Rehman</t>
  </si>
  <si>
    <t>Muhammad Shoukat s/o Abdul Rehman, r/o Allah Wali Colony, Saddar, Karachi. (Mobile No. 0321-2629527 &amp; 0333-2629527)</t>
  </si>
  <si>
    <t>2528-K</t>
  </si>
  <si>
    <t>Tahir Jamal s/o Abdul Manan</t>
  </si>
  <si>
    <t>Mst. Mumtaz w/o Tahir Jamal, r/o Village Wali Banda, P.O Mandawa, Tehsil &amp; District Karak.</t>
  </si>
  <si>
    <t>FIR No.722 dt.06/11/2015 u/s 365 PPC,PSMichni Gate,Peshawar.</t>
  </si>
  <si>
    <t>Traced Person. Appeared before the Commission on 4.2.16. He lighlighted the fact, but could not identify the assailants.</t>
  </si>
  <si>
    <t>2529-S</t>
  </si>
  <si>
    <t>Fazal Rehman s/o Muhammad Roshan</t>
  </si>
  <si>
    <t>Muhammad Roshan s/o Gul Muhammad, r/o Lala Abad, Sector F-2, Landhi Malir, Karachi.</t>
  </si>
  <si>
    <t>FIR No.175 dt.22/5/2015 u/s 365/34 PPC,PS/Qaidabad,District Malir East,Karachi.</t>
  </si>
  <si>
    <t>2530-K</t>
  </si>
  <si>
    <t>Anwar Ali s/o Amrao Khan</t>
  </si>
  <si>
    <t>Mst. Kharo Bibi, r/o Salanda, Mingora, District Swat. (Mobile No. 0301-8066438)</t>
  </si>
  <si>
    <t>FIR No.240 dt.26/5/2015 u/s 365 PPC,PS Charbagh District Swat</t>
  </si>
  <si>
    <t>2531-K</t>
  </si>
  <si>
    <t>Inayat Rehman s/o Khair Rehman</t>
  </si>
  <si>
    <t>Mst. Nagina Bibi,w/o Inayat Rehman, r/o Salandra, Manglor, Tehisl &amp; District Swat. (Mobile No. 0346-3532047)</t>
  </si>
  <si>
    <t>FIR No.254 dt.06/6/2015 u/s 365 PPC,PS Charbagh District Swat.</t>
  </si>
  <si>
    <t>Traced Person.Confined in Internment Center Fizaghat as informed by Rep of MI at the hearing on 31.8.16.</t>
  </si>
  <si>
    <t>2532-S</t>
  </si>
  <si>
    <t>Nabeel-ur-Rehman s/o Habir-ur-Rehman</t>
  </si>
  <si>
    <t>r/o, 2nd Floor, Street No. 04, Huda Mehal, Burns Road, Karachi</t>
  </si>
  <si>
    <t>2533-B</t>
  </si>
  <si>
    <t>Abdul Hayat s/o Kareem Bakhsh</t>
  </si>
  <si>
    <t>r/o Killi Nichari Qumbrani Road, Near Kachi Baig Police Station, Quetta</t>
  </si>
  <si>
    <t>FIR No.91 dt.13/6/2015 u/s 365/34 PPC,Ps Kachi Baig District Quetta.</t>
  </si>
  <si>
    <t>2534-S</t>
  </si>
  <si>
    <t>Farhan Rafique s/o Muhammad Methab</t>
  </si>
  <si>
    <t>r/o Flat No. 43, 5th Floor, Near Jubilee Cinema, Jamila Street, Ranchor Line, Karachi.</t>
  </si>
  <si>
    <t>2535-S</t>
  </si>
  <si>
    <t>Muhammad Danish s/o Muhammad Ali</t>
  </si>
  <si>
    <t>r/o, Hina Plaza, Gouram Street, Nashter Road, Garden West, Karachi.</t>
  </si>
  <si>
    <t>2536-S</t>
  </si>
  <si>
    <t>Fahad Iqbal s/o Muhammad Iqbal</t>
  </si>
  <si>
    <t>2537-S</t>
  </si>
  <si>
    <t>Imran Methab s/o Methabuddin</t>
  </si>
  <si>
    <t>2538-S</t>
  </si>
  <si>
    <t>Syed Mukhtar Hussain Rizivi s/o Syed Munawar Hussain Rizivi</t>
  </si>
  <si>
    <t>r/o , House No. 64, Abbas Town, Abu Hassan Isfhani Road, Karachi.</t>
  </si>
  <si>
    <t>2539-S</t>
  </si>
  <si>
    <t>Zaheer Rajput s/o Shabbir Rajput</t>
  </si>
  <si>
    <t>r/o, House No. 1097, Mariamabad, Sector 40-C, Korangi No. 01, Karachi.</t>
  </si>
  <si>
    <t>2540-S</t>
  </si>
  <si>
    <t>Muhammad Hamid s/o Muhammad Shabbir</t>
  </si>
  <si>
    <t>r/o, House No. 49/5,Area 2-B, Landhi, Karachi</t>
  </si>
  <si>
    <t>2541-S</t>
  </si>
  <si>
    <t>Muhammad Umair Siddiqui s/o Abdul Sami</t>
  </si>
  <si>
    <t>r/o, House No. 363/8, Azizabad, Karachi.</t>
  </si>
  <si>
    <t>2542-S</t>
  </si>
  <si>
    <t>Muhammad Ali s/o Muhammad Yousaf</t>
  </si>
  <si>
    <t>r/o, House No. 1890, Rose Street, Gulbhar No. 2, Nazimabad, Karachi.</t>
  </si>
  <si>
    <t>2543-P</t>
  </si>
  <si>
    <t>Muhammad Bilal Abbasi s/o Muhammad Siddique</t>
  </si>
  <si>
    <t>Muhammad Siddique, r/o House No. B-III- 758/67, Mohallah Khurram Colony, Muslim Town Rawalpindi. (Mobile No. 0301-5267483)</t>
  </si>
  <si>
    <t>Traced Person. SP (Inv) Rawalpindi informed that Muhammad Bilal is in judicial custody in a criminal case registered against him.</t>
  </si>
  <si>
    <t>2544-P</t>
  </si>
  <si>
    <t>Abdul Wajid s/o Muhammad Ifttikhar-ul-Haq</t>
  </si>
  <si>
    <t>Muhammad Iftikhar -ul-Haq, r/o Ahmed Town, Near Serena Marriage Hall, Ali Pura, Gujrat. (Mobile No. 0333-8401811)</t>
  </si>
  <si>
    <t>FIR No647 dt.30/12/2014 u/s 365 PPC PS Muslim Town,Lahore.</t>
  </si>
  <si>
    <t>Traced Person. Report submitted by SP (Inv) A.I.T, Lahore indicating that Abdul Wajid returned to home. Stated that he want go to Karachi.</t>
  </si>
  <si>
    <t>2545-K</t>
  </si>
  <si>
    <t>Mauzzam Bashir s/o Bashir Ahmed</t>
  </si>
  <si>
    <t>Malik Muhammad Akhtar Farooqi, r/o Masjid Ghousia, Street No. 04, House No. 03, Rana Town, Peco Road, Multan Road, Lahore. (Mobile No. 0333-4692058 &amp; 0300-6945163)</t>
  </si>
  <si>
    <t>FIR No.551 dt.26/06/2015 u/s 365 PPC PS Sabzazar,Lahore.</t>
  </si>
  <si>
    <t>Traced Person. Mauzzan Bashir is confined in the Internment Centre, Lakki Marwat as informed by his brother. Meeting facilitated.</t>
  </si>
  <si>
    <t>2546-K</t>
  </si>
  <si>
    <t>Muhammad Nimat Noor s/o Muhammad Noor</t>
  </si>
  <si>
    <t>Noor Muhammad, r/o Village Gira Matho, Tehsil &amp; District Tank. (Mobile No.0342-0955432 &amp; 0305-9041081)</t>
  </si>
  <si>
    <t>FIR No.169 dt.19/5/2015 u/s 365 PPC PS SMA Tank</t>
  </si>
  <si>
    <t>Traced Person. Rep of MI informed FGCM convicted and he was confined in District Jail Kohat. Meeting on 24.2.17 refers.</t>
  </si>
  <si>
    <t>2547-S</t>
  </si>
  <si>
    <t>HRC No. 16780-S/ 2014</t>
  </si>
  <si>
    <t>Mir Ahmed s/o Dawood Gul</t>
  </si>
  <si>
    <t>Mst. Tamam Bibi, w/o Dawood Gul , r/o House No. 307, Shahi Mohallah, Orangi Town, Karachi. (Mobile No 0300-2298671)</t>
  </si>
  <si>
    <t>Traced Person. Returned to Home (Missing Person appeared before the Commission)</t>
  </si>
  <si>
    <t>2548-P</t>
  </si>
  <si>
    <t>HRC No. 34786-P/ 2013</t>
  </si>
  <si>
    <t>Muhammad Saqib s/o Muhammad Hafeez</t>
  </si>
  <si>
    <t>Abdul Rasheed s/o Fazal Karim, r/o Village Saroki, Tehsil Wazirabad District Gujranwala. (Mobile No. 0301-5165850)</t>
  </si>
  <si>
    <t>Traced Person. Appeared before the Commission on 10.9.15. Stated he was abducted by unknown persons, kept on undisclosed location, latter set free.</t>
  </si>
  <si>
    <t>2549-P</t>
  </si>
  <si>
    <t>HRC No. 6484-K/ 2013</t>
  </si>
  <si>
    <t>Javed Iqbal s/o Ameer Zada</t>
  </si>
  <si>
    <t>Mst. Shabina Muzammil, w/o Javed Iqbal, r/o Mata Talash, Tehsil Taimeghar, District Dir Pain. (Mobile No. 0345-9536230 &amp; 0347-9391206)</t>
  </si>
  <si>
    <t>FIR No.424 dt.18/6/2016 u/s 365 PPC PS/New Town, Rawalpindi.</t>
  </si>
  <si>
    <t>2550-S</t>
  </si>
  <si>
    <t>HRC No. 26880-S/ 2014</t>
  </si>
  <si>
    <t>Abdul Raheem s/o Imtiaz Hassan Sabzwari</t>
  </si>
  <si>
    <t>Shamim Akhtar, w/o Imtiaz Hassan Sabzwari, r/o House No. H- 50/10, Malir Extension Colony, Khokharapar, Karachi. (Mobile No. 0315-8411598 &amp; 0346-3523884)</t>
  </si>
  <si>
    <t>FIR No.58 dt.18/5/2015 u/s 365/34 PPC PS/Khokhrapar,Karachi.</t>
  </si>
  <si>
    <t>2551-P</t>
  </si>
  <si>
    <t>Izharullah s/o Sher Afzal Khan</t>
  </si>
  <si>
    <t>Mst. Faridia Bibi, r/o Mohallah Shahdara, Hayatabad, Mingora, Tehsil &amp; District Swat. (Mobile No. 0333-4455699 &amp; 0344-2517519)</t>
  </si>
  <si>
    <t>15602-4185721-5</t>
  </si>
  <si>
    <t>FIR No.1551 dt.22/12/2015 u/s 365 PPC PS/Factory Area,Sheikhupura</t>
  </si>
  <si>
    <t>2552-S</t>
  </si>
  <si>
    <t>Muhammad Tariq s/o Abdul Khaleef</t>
  </si>
  <si>
    <t>House No. D-32, Karachi University Staff Town, Karachi</t>
  </si>
  <si>
    <t>2553-S</t>
  </si>
  <si>
    <t>Kashif Majeed s/o Majeedullah</t>
  </si>
  <si>
    <t>r/o Flat No. 155, B-9, Rabia Patel, Abu Ishafani Road, Karachi</t>
  </si>
  <si>
    <t>2554-S</t>
  </si>
  <si>
    <t>Noshad Khan s/o Shabbir Ahmed</t>
  </si>
  <si>
    <t>r/o, Allah Buksh Society, Ahsanabad Garden, Scheme No. 33 Karachi</t>
  </si>
  <si>
    <t>2555-S</t>
  </si>
  <si>
    <t>Aqeel Abbas s/o Ghulam Abbas</t>
  </si>
  <si>
    <t>2556-S</t>
  </si>
  <si>
    <t>Muhammad Sohail s/o Muhammad Shehzad</t>
  </si>
  <si>
    <t>r/o, House No. AA/30 Muhammadi Colony, Sindhi Hotel, Karachi</t>
  </si>
  <si>
    <t>2557-S</t>
  </si>
  <si>
    <t>Farooq s/o Misri Khan</t>
  </si>
  <si>
    <t>r/o, Behind Jacob Line, Bilal Road, Karachi</t>
  </si>
  <si>
    <t>2558-S</t>
  </si>
  <si>
    <t>Muhammad Rehan s/o Muhammad Haroon</t>
  </si>
  <si>
    <t>r/o, House No. L-1173, Sector L1, Surjani Town, Karachi</t>
  </si>
  <si>
    <t>2559-S</t>
  </si>
  <si>
    <t>Muhammad Rashid Ali s/o Burg Ali</t>
  </si>
  <si>
    <t>r/o, House No. 587, 1/B Data Nagar, Orangi Town, Karachi</t>
  </si>
  <si>
    <t>2560-S</t>
  </si>
  <si>
    <t>Tanveer Ahmed s/o Misri Khan</t>
  </si>
  <si>
    <t>r/o, House No 1/332, Prince Decoration, Karachi</t>
  </si>
  <si>
    <t>2561-S</t>
  </si>
  <si>
    <t>Akbar Hussain s/o Sikander Shah</t>
  </si>
  <si>
    <t>2562-S</t>
  </si>
  <si>
    <t>Abdul Salam s/o Irfan</t>
  </si>
  <si>
    <t>r/o, House No. r-951, Sector 16-A, Bufferzone, Karachi</t>
  </si>
  <si>
    <t>2563-S</t>
  </si>
  <si>
    <t>Abrar Ahmed s/o Rasool</t>
  </si>
  <si>
    <t>r/o, House No. 626, Phase 01, Khuda Ki Basti, Karachi</t>
  </si>
  <si>
    <t>2564-S</t>
  </si>
  <si>
    <t>Syed Ashiq Elahi s/o Elahi</t>
  </si>
  <si>
    <t>r/o, House No. FA-61/10, F.C. Area, Karachi</t>
  </si>
  <si>
    <t>2565-S</t>
  </si>
  <si>
    <t>Muhammad Fahad Uddin s/o Ahmed</t>
  </si>
  <si>
    <t>r/o, House No. 156, Martin Quarters, Jamshed Road, Karachi</t>
  </si>
  <si>
    <t>2566-S</t>
  </si>
  <si>
    <t>Muhammad Rehan Akram</t>
  </si>
  <si>
    <t>r/o, House No. R-145, Sector 14-B, Shadman Town, Karachi</t>
  </si>
  <si>
    <t>2567-S</t>
  </si>
  <si>
    <t>Rehan Ahmed Qureshi</t>
  </si>
  <si>
    <t>r/o, House No. N-1516, Sector 7b, Surjani town, Karachi</t>
  </si>
  <si>
    <t>2568-S</t>
  </si>
  <si>
    <t>Kamran Shah s/o Rafi Ahmed</t>
  </si>
  <si>
    <t>r/o, House No. N-1242, Sector 7B, Surjani Town, Karachi</t>
  </si>
  <si>
    <t>2569-S</t>
  </si>
  <si>
    <t>Muhammad Sajid</t>
  </si>
  <si>
    <t>r/o, Flat no. F-3, 5th Floor, Azeem Ullah Building, Garden, Karachi</t>
  </si>
  <si>
    <t>2570-S</t>
  </si>
  <si>
    <t>Muhammad Salman s/o Muhammad Islam</t>
  </si>
  <si>
    <t>29/12/2014r/o, Flat No. 11, Street No. 18, Akbar Road, Burns Road, karachi</t>
  </si>
  <si>
    <t>2571-S</t>
  </si>
  <si>
    <t>Alif Khan s/o Bismallah Khan</t>
  </si>
  <si>
    <t>r/o, Azad mohallah, Machhar Colony, Docks, Karachi</t>
  </si>
  <si>
    <t>2572-S</t>
  </si>
  <si>
    <t>Syed Faraz Alam s/o Syed Nayyar Alam</t>
  </si>
  <si>
    <t>r/o, House No. A-53, Block No. 12, Gulistan-e-Johor, Karachi</t>
  </si>
  <si>
    <t>Traced Person. Natural Death in Police Custody</t>
  </si>
  <si>
    <t>2573-S</t>
  </si>
  <si>
    <t>Faisal Khursheed s/o Khursheed Hussain</t>
  </si>
  <si>
    <t>r/o, House No. 53/2, Area, Sindhi Hotel, Liaquatabad, Karachi</t>
  </si>
  <si>
    <t>2574-S</t>
  </si>
  <si>
    <t>Muhammad Mansoor s/oMuhammad Umar</t>
  </si>
  <si>
    <t>ro, House No. 3/20, A- Area, Sindhi Hotel, Liquatabad, Karachi</t>
  </si>
  <si>
    <t>2575-S</t>
  </si>
  <si>
    <t>Usman Qureshi s/o Noor Muhammad</t>
  </si>
  <si>
    <t>r/o, House No. 119, Sector 9/A, New Saeedabad, Baldia Town , Karachi</t>
  </si>
  <si>
    <t>2576-S 4995-S 2264-S</t>
  </si>
  <si>
    <t>Sohaib Ali s/o Asghar Ali</t>
  </si>
  <si>
    <t>r/o, B-6, Sector No. 16-A/1, Malik Society, Scheme No. 33, Gulzar-e-Hijri, Karachi . (Mobile No. 0333-2304017)</t>
  </si>
  <si>
    <t>FIR No.74/2014 u/s 365 PPC PS Memon Goth,Karachi</t>
  </si>
  <si>
    <t>2577-S</t>
  </si>
  <si>
    <t>Muhammad Saeed Khan s/o Muhammad Zakria Rana</t>
  </si>
  <si>
    <t>r/o, Flat No. A-311, Ajmeer Garden, Gulshan-e-Maymar, Scheme No. 33, Karachi</t>
  </si>
  <si>
    <t>Traced Person. Confined in the Central Jail, Karachi.</t>
  </si>
  <si>
    <t>2578-S</t>
  </si>
  <si>
    <t>Shahnawaz Khan s/o Shoukat Khan</t>
  </si>
  <si>
    <t>r/o, D-17, Flat No. 307, Rabia Patel, Abu Isfahani Road, Karachi</t>
  </si>
  <si>
    <t>2579-S</t>
  </si>
  <si>
    <t>Sohail Ahmed</t>
  </si>
  <si>
    <t>r/o, House No . 18, Block No. 02, P.E.C.H.S, Karachi</t>
  </si>
  <si>
    <t>FIR No.47 dt.19/1/2015 u/s 365/34 PPC PS/Ferozabad, District East,Karachi.</t>
  </si>
  <si>
    <t>2580-S</t>
  </si>
  <si>
    <t>Rashid Khan s/o Attique Khan</t>
  </si>
  <si>
    <t>r/o, D-17, Flat No 02, Abu Isfhani Road, Karachi</t>
  </si>
  <si>
    <t>2581-S</t>
  </si>
  <si>
    <t>Kashif Khan s/o Saeed Ahmed Khan</t>
  </si>
  <si>
    <t>r/o, House No. 803, A-1, Rabia Patel Abu Hassan Isfahani Road, Karachi</t>
  </si>
  <si>
    <t>2582-S</t>
  </si>
  <si>
    <t>2582 and 2594 Same Case</t>
  </si>
  <si>
    <t>Muhammmad Younas s/o Niamat Khan</t>
  </si>
  <si>
    <t>Nimat Khan, r/o Islamic Colony No. 02 Mangopir Road, Site- Town, Karachi</t>
  </si>
  <si>
    <t>2583-S 1262-S</t>
  </si>
  <si>
    <t>Arshad s/o Fakhrud Din</t>
  </si>
  <si>
    <t>r/o Ayub Khan Compound, Street No. 04, Hashmi Masjid, Usmanabad, Karachi</t>
  </si>
  <si>
    <t>FIR No.121 dt.26/6/2013 u/s 365/34 PPC,PS/Garden,District South,Karachi.</t>
  </si>
  <si>
    <t>2584- K</t>
  </si>
  <si>
    <t>Dawood Khan s/o Toorlami</t>
  </si>
  <si>
    <t>Ishrat Bibi r/o Nawakali, Bhankhel, Tehsil Babuzai, District Swat (Mobile No. 0340-9079809)</t>
  </si>
  <si>
    <t>FIR No.204 dt.26/5/2015 u/s 365 PPC,PS Khursheed Khan Sheed District Swat.</t>
  </si>
  <si>
    <t>2585- K</t>
  </si>
  <si>
    <t>Niaz-ud-Din s/o Salahuddin</t>
  </si>
  <si>
    <t>Jehan Sardara, Baghicha Masjid, Kuza Bandi, Tehsil &amp; Distt Swat (Mobile No. 0343-1932824)</t>
  </si>
  <si>
    <t>15602-2330707-1</t>
  </si>
  <si>
    <t>2586- P</t>
  </si>
  <si>
    <t>Muhammad Shah s/o Mian Qamar Ali</t>
  </si>
  <si>
    <t>Jannat Begum r/o Muhallah Telegram, Saidu Sharif, Mingora, District Swat (Mobile No. 0323-9048281)</t>
  </si>
  <si>
    <t>FIR No. 887 dt.01/9/2015 u/s 365 PPC,PS Airport, Rawalpindi</t>
  </si>
  <si>
    <t>Traced Person. At the hearing held on 3.11.15 it was informed by I.O that Muhammad Shah has been recovered. None appeared on his behalf.</t>
  </si>
  <si>
    <t>2587- P</t>
  </si>
  <si>
    <t>Bilal Ahmed s/o Mian Haleem Shah</t>
  </si>
  <si>
    <t>Mst Kakai r/o Muhallah Telegram, Saidu Sharif, Mingora, District Swat (Mobile No. 0323-9048281)</t>
  </si>
  <si>
    <t>FIR No.887 dt.01/9/2015 u/s 365 PPC,PS Airport,Rawalpindi</t>
  </si>
  <si>
    <t>2588- P</t>
  </si>
  <si>
    <t>Iqbal s/o Umer Zada</t>
  </si>
  <si>
    <t>Faridullah Shah r/o Muhallah Telegram, Saidu Sharif, Mingora, District Swat (Mobile No. 0341-9402712)</t>
  </si>
  <si>
    <t>2589- K</t>
  </si>
  <si>
    <t>Abdul Jaleel s/o Khurshid</t>
  </si>
  <si>
    <t>Khurshid r/o Village Halimzai, Tehsil Shabqadar, Distt Charsadda. Mobile No. 0307-8466863)</t>
  </si>
  <si>
    <t>FIR No.323 dt.22/4/2015 u/s 365 PPC,PS Shabqadar District Charsadda</t>
  </si>
  <si>
    <t>2590- K</t>
  </si>
  <si>
    <t>6541-K/2015 dated 6/4/2015</t>
  </si>
  <si>
    <t>Sajjad Ali s/o Bakhti Zaib</t>
  </si>
  <si>
    <t>Bakhti Zaib s/o Faqir, R/o Karay, Sartligram District, Swat (Mobile No. 0341-3111369)</t>
  </si>
  <si>
    <t>FIR No.15dt.07/01/2016 u/s 365 PPC PS/City,Kohat.</t>
  </si>
  <si>
    <t>2591- K</t>
  </si>
  <si>
    <t>Noorwer Khan s/o Umar Khan</t>
  </si>
  <si>
    <t>Imran Shafique R/o Muhallah Jhandi, Darsmand, H No. 217/71, Tehsil &amp; Distt Hangu</t>
  </si>
  <si>
    <t>FIR No.291 dt.12/6/2015 u/s 365 PPC,PS Doaba District Hangu District Hangu.</t>
  </si>
  <si>
    <t>Traced Person. Confined in FC Camp, Tall as informed at the hearing on 22.9.15. His brother and grand father met him.</t>
  </si>
  <si>
    <t>2592- K</t>
  </si>
  <si>
    <t>Abdul Rehman s/o Sher Bahadur Khan</t>
  </si>
  <si>
    <t>Sultana Bibi R/o Village Karma, PO Ladha, Tehsil &amp; District South Waziristan Agency (Mobile No. 0303-0923861)</t>
  </si>
  <si>
    <t>FIR No.513 dt.12/6/2015 u/s 365 PPC,PS Muradpur District Sialkot</t>
  </si>
  <si>
    <t>Traced Person. Confirmed by his brother, who appeared before the Commission at the hearing on 4.5.2017.</t>
  </si>
  <si>
    <t>2593- K</t>
  </si>
  <si>
    <t>Jawad s/o Nawab Khan</t>
  </si>
  <si>
    <t>Shaian Bibi R/o Shahabkhail, PO Badbair, The &amp; Distt Peshawar (Mobile No. 0322-9072536)</t>
  </si>
  <si>
    <t>FIR No.1041 dt.09/7/2015 u/s 365 PPC,PS Bhanamari District Peshawar</t>
  </si>
  <si>
    <t>Under Investigation(KP) Peshawar</t>
  </si>
  <si>
    <t>2594- S</t>
  </si>
  <si>
    <t>Muhammad Younus s/o Naimat Ullah</t>
  </si>
  <si>
    <t>Niamat Ullah R/o Islamia Colony No.2, Mangopir Road, SITE, Town Karachi (Mobile No.0345-2824007)</t>
  </si>
  <si>
    <t>Traced Person. Facing Trial in Jail</t>
  </si>
  <si>
    <t>2595- S</t>
  </si>
  <si>
    <t>Ghulam Farooq s/o Shah Muhammad Chang</t>
  </si>
  <si>
    <t>Shah Muhammad Chang R/o Village Shah Muhammad Chang, Tehsil Talhar Distt Badin (Mobile No. 0345-0678445-0306-4669620)</t>
  </si>
  <si>
    <t>Deleted. Due to Father Request</t>
  </si>
  <si>
    <t>2596- P</t>
  </si>
  <si>
    <t>Yasir s/o Aurangzaib</t>
  </si>
  <si>
    <t>Aurangzaib R/o Dhoke Kako PO Mughal Tehsil Gujar Khan District Rawalpindi (Mobile No.0346-5310034)</t>
  </si>
  <si>
    <t>2597- P</t>
  </si>
  <si>
    <t>4665-P/2014 dt: 16/3/2015</t>
  </si>
  <si>
    <t>Hafiz Muhammad Israr Arshad s/o Muhamamd Arshad</t>
  </si>
  <si>
    <t>Mst Naseem Bibi r/o Chak No. 86/6-R, PO Kot Khadim Ali Shah, Tehsil &amp; Distt Sahiwal (Mobile No. 034-7448561-0312-6320186)</t>
  </si>
  <si>
    <t>Traced Person. At the hearing on 9.9.15 it was disclosed that he was facing trial (FGCM) and is under custody of Pak Army on the charge of espionage.</t>
  </si>
  <si>
    <t>2598- S</t>
  </si>
  <si>
    <t>3081-S/15 dt: 16/3/2015</t>
  </si>
  <si>
    <t>Fazal Wahab s/o Dada Khan</t>
  </si>
  <si>
    <t>Dada Khan R/o New Muzaffarabad Colony, near Masjid Siddique-e-Akbar, Landhi Karachi No. 22 (Mobile No. 0310-1923547)</t>
  </si>
  <si>
    <t>2599-K</t>
  </si>
  <si>
    <t>35061-K/15 dt: 16/3/2015</t>
  </si>
  <si>
    <t>Muhammad Zareen s/o Muhammad Zaman</t>
  </si>
  <si>
    <t>Muhammad. Zaman R/o Mir Abdullah Vill Ghori PO Tarbi, PS Phalra, Tehsil &amp; Distt Mansehra (Mob No. 0342-6596941)</t>
  </si>
  <si>
    <t>FIR No.538 dt.27/10/2015 u/s 365 PPC PS Battal District Mansehra</t>
  </si>
  <si>
    <t>Traced Person. Confined in Adiyala Jail as informed by Rep of MI at the hearing on 8.3.16. Meeting facilitated.</t>
  </si>
  <si>
    <t>2600-S</t>
  </si>
  <si>
    <t>HRC No. 7872-S/ 2014</t>
  </si>
  <si>
    <t>Syed Nadir Shah s/o Syed Ahmed Shah</t>
  </si>
  <si>
    <t>Syed Ahmed Shah, r/o House No. 345, Faqeer Colony, Orangi Town Karachi</t>
  </si>
  <si>
    <t>FIR No.53 dt.6/3/2014 u/s 365/34 PPC PS/Mominabad,District West,Karachi.</t>
  </si>
  <si>
    <t>2601-B</t>
  </si>
  <si>
    <t>HRC No. 5036-P/ 2015</t>
  </si>
  <si>
    <t>Shams-ul-Wahab s/o Muhammad Akram</t>
  </si>
  <si>
    <t>Muhammad Akram r/o Mutasil Masjid-e-Akbar, Block C-II, Rehmatabad Chakalal, Rawalpindi</t>
  </si>
  <si>
    <t>Traced Person. SSP, Sibbi submitted report and statement of the Uncle of Shams-ul-Wahab confirmed that the latter has returned to home.</t>
  </si>
  <si>
    <t>2602-K</t>
  </si>
  <si>
    <t>Dost Muhammad s/o Nawab Khan</t>
  </si>
  <si>
    <t>Sher Badin s/o Sher Din, r/o Jarma Kohat. (Mobile No. 0307-8018903)</t>
  </si>
  <si>
    <t>FIR No.565 dt.06/7/2015 u/s 365 PPC PS Badaber,Peshawar.</t>
  </si>
  <si>
    <t>2603-ICT</t>
  </si>
  <si>
    <t>Muhammad Arslan s/o Muhammad Aslam</t>
  </si>
  <si>
    <t>Mst. Razia Begum, r/o Shah Pur , Tehsil Texlia</t>
  </si>
  <si>
    <t>FIR No.48 dt.06/4/2015 u/s 365 PPC PS Tarnol District Islamabad.</t>
  </si>
  <si>
    <t>Traced Person. I.O at the case informed at the hearing on 30.7.15 that he was present at his home.</t>
  </si>
  <si>
    <t>2604-P</t>
  </si>
  <si>
    <t>Muhammad Kamran s/o Muhammad Zahfran</t>
  </si>
  <si>
    <t>FIR No.303 dt.26/05/2015 u/s 365 PPC PS Taxila District Rawalpindi</t>
  </si>
  <si>
    <t>Traced Person. It was informed at the hearing on 23.7.15 that a case u/s 302 PPC is registered and he is in Police Custody.</t>
  </si>
  <si>
    <t>2605-S</t>
  </si>
  <si>
    <t>Asad Ali s/o Muhammad Iqbal</t>
  </si>
  <si>
    <t>Rasheeda Bibi w/o Muhammad Iqbal, r/o Kambar Para, Tando Adam (Mobile No. 0310-3219273)</t>
  </si>
  <si>
    <t>2606-P</t>
  </si>
  <si>
    <t>Shau-ul-Qamar s/o Atta Muhammad</t>
  </si>
  <si>
    <t>Rasoola Begum w/o Atta Muhammad, r/o House No. P-357, Street No. 03, Qazi Chowk, Rehmat Abad, P.o Nashatabad, Sargodha Road, Tehsil &amp; District Faisalabad. (Mobile No. 0345-1033519)</t>
  </si>
  <si>
    <t>FIR No.654 dt.01/6/2015 u/s 365 PPC,PS Sargodha Road,Faisalabad.</t>
  </si>
  <si>
    <t>Traced Person. Facing FGCM in the charge of espionage as informed at the hearing on 28.9.2015.</t>
  </si>
  <si>
    <t>2607-F</t>
  </si>
  <si>
    <t>Kamil Khan s/o Bacha Khan</t>
  </si>
  <si>
    <t>Bacha Khan r/o, Michani Banglo Kaley, P.O Dabkore, Tehisl Yak Ghund Mohmand Agency. (Mobile No.0322-9157563)</t>
  </si>
  <si>
    <t>Traced Person. Confined in the Internment Center Fort Salop, Khyber Agency as informed at the hearing on 8.7.2015 by Rep of MI.</t>
  </si>
  <si>
    <t>2608-ICT</t>
  </si>
  <si>
    <t>Imran Khan s/o Khan Muhammad</t>
  </si>
  <si>
    <t>Khan Muhammad, r/o House No. 04, Ibnn-e- Sina Road, G-10/3, Islamabad. (Mobile No. 0321-5030434)</t>
  </si>
  <si>
    <t>FIR No.216 dt.23/5/2015 u/s 365 PPC,PS Ramna District Islamabad.</t>
  </si>
  <si>
    <t>Under Investigation (Islamabad)</t>
  </si>
  <si>
    <t>2609-S</t>
  </si>
  <si>
    <t>Abdullah Noor s/o Late. Malik Khan</t>
  </si>
  <si>
    <t>Allah Noor Khan, r/o Pak Madeena Colony, Sohrab Goath, FB Area, House No. 158, Block No. 22, West Karachi. (Mobile No. 0345-0200754 &amp; 0322-2322590)</t>
  </si>
  <si>
    <t>FIR No.256 dt.04/4/2010 u/s 365 PPC,PS/Gulshan-e-Iqbal,Karachi.</t>
  </si>
  <si>
    <t>MoFAs No. 10006761</t>
  </si>
  <si>
    <t>2610-K</t>
  </si>
  <si>
    <t>Salman s/o Fazal Rehman</t>
  </si>
  <si>
    <t>Fazal Rehman, r/o Kass Korona, Mohallah Yaqoob Khan Mardan.(Mobile No. 0335-8360017)</t>
  </si>
  <si>
    <t>FIR No.508 dt.03/7/2015 u/s 365 PPC PS Daudzai,Peshawar.</t>
  </si>
  <si>
    <t>Traced Person. Confined in the Internment Centre, Lakki Marwat as disclosed in JIT meeting. Zia Amin, Brother met him.</t>
  </si>
  <si>
    <t>2611-P</t>
  </si>
  <si>
    <t>Alam Sher s/o Muhammad Zahfran</t>
  </si>
  <si>
    <t>Nadeem Ullah, s/o Muhammad Zehfran, r/o House No. 213 Muhallah Siri, Thor, P.O Khas, Tehsil Chalas,( Mobile No. 0302-5619560 &amp; 0307-78373317)</t>
  </si>
  <si>
    <t>FIR No.329 dt.08/5/2015 u/s 365 PPC PS Bairooni Saddar,Rawalpindi.</t>
  </si>
  <si>
    <t>Traced Person. Dead body recovered as informed by SP (Inv) Rawalpindi at the hearing on 23.7.15. Case u/s 302 PPC lodged.</t>
  </si>
  <si>
    <t>2612-P</t>
  </si>
  <si>
    <t>Sultan s/o Gul Zarin</t>
  </si>
  <si>
    <t>Mst. Noshi Bibi, w/o Sultan, r/o New Chakra Road, Near Al-Khateeb CNG, Iqbal Masjid, Rawalpindi. (Mobile No. 0313-5773098)</t>
  </si>
  <si>
    <t>Traced Person. Returned to home. Appeared before the Commission on 23.7.2015. Stated that he was abducted by some unknown persons.</t>
  </si>
  <si>
    <t>2613-P</t>
  </si>
  <si>
    <t>Ehsan Afzal s/o Muhammad Afzal</t>
  </si>
  <si>
    <t>Muhammad Irfan Afzal, r/o Village Bulbul Khurd, P.O Pari Daraveza, District Jehlum. (Mobile No. 0346-4498390)</t>
  </si>
  <si>
    <t>FIR No.197 dt.06/8/2015 u/s 365 PPC,PS/Sohawa District Rawalpindi.</t>
  </si>
  <si>
    <t>Deleted. The case has been investigated thoroughly by the Commission and conclusive report also submitted by JIT and PTF in which it has been intimated that the “Missing Person has gone on his own. As the case does not fall within the domain of enforced disappearance. No further action is required, the case is closed</t>
  </si>
  <si>
    <t>2614-P</t>
  </si>
  <si>
    <t>Irfan Ali s/o Ghulam Nabi</t>
  </si>
  <si>
    <t>Ghulam Nabi, r/o Street No. 03, Chaudhry Street, Mohallah Faisal Colony, Bahawalnagar. (Mobile No. 0306-9494920)</t>
  </si>
  <si>
    <t>Traced Person. Nadeem and Irfan Ali (2618-P) were arrested by Police in various FIRs, later granted bail. Appeared before the Commission on 6.11.2015.</t>
  </si>
  <si>
    <t>2615-B</t>
  </si>
  <si>
    <t>Barkat Ali s/o Haji Amanullah</t>
  </si>
  <si>
    <t>Haji Amanullah, r/o Bughti Colony, Sui, Dera Bughti.</t>
  </si>
  <si>
    <t>FIR No.1 dt.09/01/2016 u/s 365/34 PPC,PS/City Sui District Dera Bugti.</t>
  </si>
  <si>
    <t>Deleted. Appearantly a case of criminal nature in which the Police should continue its efforts.</t>
  </si>
  <si>
    <t>2616-S</t>
  </si>
  <si>
    <t>Waseem-ul-Zaman s/o Noor-ul-Zaman</t>
  </si>
  <si>
    <t>Yasir s/o Noor-ul-Zaman, r/o House No. 107/2, 5-D, New Karachi, Near 2 Minute Chowrangi. (Mobile No. 0341-2108197 &amp; 0311-9331652)</t>
  </si>
  <si>
    <t>FIR No.26 dt.13/8/2015 u/s 365/34 PPC,PS/Kh.Ajmer Nagri,District West,Karachi</t>
  </si>
  <si>
    <t>Traced Person. It was informed at the hearing held in this Commission on 8.1.2020 that dead body of Missing Person Waseem-ul-Zaman was recovered, which was buried by Edhi Foundation on 6.7.2016. He was involved in Crime vide FIR No. 183,184,185/206 dated 28.6.2016. Brother Yasir Zaman confirmed in his written statement.</t>
  </si>
  <si>
    <t>2617-S</t>
  </si>
  <si>
    <t>Mirza Mehmood Ali Baig s/o Mirza Masood Ali baig</t>
  </si>
  <si>
    <t>Mirza Muhammad Ali Baig, r/o House No. B/15, Block-10/A, Central Government Cooperation Society, Gulshan-e- Iqbal, Karachi. (Mobile No. 0301-2227495)</t>
  </si>
  <si>
    <t>FIR No.323 dt.09/05/2015 u/s 365 PPC,PS Shahrah-e- Faisal,Karachi</t>
  </si>
  <si>
    <t>Traced Person. I.O, submitted report that Missing Person Mirza Mehmood Ali Baig has Returned to Home and available at his house in House No. B/15, Block-10/A, Central Government Cooperation Society, Gulshan-e- Iqbal, Karachi.</t>
  </si>
  <si>
    <t>2618-P</t>
  </si>
  <si>
    <t>Nadeem s/o Ghulam Nabi</t>
  </si>
  <si>
    <t>2619-S</t>
  </si>
  <si>
    <t>Syed Zeshan Hussain s/o Syed Farhat Hussain</t>
  </si>
  <si>
    <t>Mst. Razia Khatoon, r/o Plot No. 04, Qasimabad, Near Arshi Chowk, Liaquatabad, Karachi. (Mobile No. 0331-3243993)</t>
  </si>
  <si>
    <t>FIR No.51 dt.18/4/2014 u/s 365/34 PPC,PS/Super Market,District Central,Karachi.</t>
  </si>
  <si>
    <t>2620-S</t>
  </si>
  <si>
    <t>Syed Tanveer Ahmed s/o Syed Ali Anzaar</t>
  </si>
  <si>
    <t>Mst. Farahat Bano, r/o House No. E-306, Sarah Avenue, Phase No. II, Gulzar-e-Hijri Scheme No. 33, Karachi. (Mobile No.0312-8674203)</t>
  </si>
  <si>
    <t>FIR No.279 dt.24/7/2015 u/s 365/34 PPC,PS/Sachal,District East,Karachi.</t>
  </si>
  <si>
    <t>Traced Person. 90 Days Judicial Custody.</t>
  </si>
  <si>
    <t>2621-S</t>
  </si>
  <si>
    <t>Waseem Khan s/o Dildar Khan</t>
  </si>
  <si>
    <t>Sattar Khan, r/o House No. 2/812, Liquatabad No. 02, Karachi. (Mobile No.0345-3016538)</t>
  </si>
  <si>
    <t>Deleted. Proclaimed Offender</t>
  </si>
  <si>
    <t>2622-S</t>
  </si>
  <si>
    <t>Muhammad Ilyas s/o Muhammad Ibrahim</t>
  </si>
  <si>
    <t>Mst. Memona, r/o House No. MC-152, Makha Colony, Sector No. 11/G, New Karachi. (Mobile No. 0322-2470982 &amp; 0314-2286702)</t>
  </si>
  <si>
    <t>2623-S</t>
  </si>
  <si>
    <t>Nadeem Ahmed Khan s/o Ansar Ahmed Khan</t>
  </si>
  <si>
    <t>Asma Nadeem, r/o House No. 169/9, Liaquatabad, Karachi. (Mobile No. 0341-2126115)</t>
  </si>
  <si>
    <t>42101-8899174-1</t>
  </si>
  <si>
    <t>FIR No.172 dt.10/8/2015 u/s 365/34 PPC,PS/Liaquatabad,Central District West,Karachi.</t>
  </si>
  <si>
    <t>MoFAs No. 5581</t>
  </si>
  <si>
    <t>2624-S</t>
  </si>
  <si>
    <t>Muhammad Kashif s/o Muhammad Atta Ullah</t>
  </si>
  <si>
    <t>Fazeela Kashif, r/o Flat No. C-06, Foundatio Blessing, Block No. 02, Gulistan-e-Johar, Karachi. (Mobile No. 0310-2949699 &amp; 0320-8361184)</t>
  </si>
  <si>
    <t>FIR No. 68 dt.10/3/2015 u/s 365/34 PPC,PS/Mubina Town,District East,Karachi.</t>
  </si>
  <si>
    <t>Traced Person. Dead Body Received By Family</t>
  </si>
  <si>
    <t>2625-S</t>
  </si>
  <si>
    <t>Muhammad Rizwan Khan s/o Muhammad Shamim Khan</t>
  </si>
  <si>
    <t>Muhammad Shamim Khan, r/o House No. 31/5G, Cleaton Quarter, Jehangir Road No. 02 Karachi. (Mobile No. 0345-2164331)</t>
  </si>
  <si>
    <t>FIR No.217 dt.13/7/2015 u/s 365/34 PPC,PS/Jamshed Quarters,District East,Karachi.</t>
  </si>
  <si>
    <t>Deleted. The case has been closed due to non-prosecution by the complainant. He neither extended co-operation to the Investigation Officer/ Police nor attended hearing held in the case on 28.5.2019 and 30.10.2019, It may also be mentioned that CP No. 1506/2015 was also dismissed by the High Court of Sindh vide Order dated 11.9.2019 due to non-prosecution.</t>
  </si>
  <si>
    <t>2626-S</t>
  </si>
  <si>
    <t>Abdul Majeed s/o Abdul Hameed</t>
  </si>
  <si>
    <t>Abdul Kaleem, r/o House No. 108, Sector 7/C, Orangi Town, Karachi. (Mobile No. 0300-2760831)</t>
  </si>
  <si>
    <t>FIR No.304/2015 u/s 365/34 PPC,PS/Orangi Town,District West,Karachi.</t>
  </si>
  <si>
    <t>2627-S</t>
  </si>
  <si>
    <t>Muhammad Ali Raza s/o Muhammad Shamim Raza</t>
  </si>
  <si>
    <t>Muhammad Shamim Raza, r/o Flat No. C- 58, Shalimar Shopping Center, Block No. 17 Gulistan-e- Johar, Karachi. (Mobile No. 0331-3601595 &amp; 0312-8896537)</t>
  </si>
  <si>
    <t>FIR No.444 dt.2/7/2015 u/s 365/34 PPC,PS/Shahrah-e-Faisal,District East,Karachi</t>
  </si>
  <si>
    <t>2628-S</t>
  </si>
  <si>
    <t>Shamshad Ali s/o Muhammad Abdullah</t>
  </si>
  <si>
    <t>Irshad Ali, r/o House No. 03, Sector No- 09, Block -F, New Saeedabad Baldia Town, Karachi. (Mobile No. 0343-4277161 &amp; 0313-2445356)</t>
  </si>
  <si>
    <t>FIR No.188 dt.27/5/2015 u/s 365/34 PPC,PS/Ittehad Townah-e-Fail,District West,Karachi</t>
  </si>
  <si>
    <t>MoFAs No. 10005517</t>
  </si>
  <si>
    <t>2629-S</t>
  </si>
  <si>
    <t>Muhammad Majid s/o Amin-ud-Din</t>
  </si>
  <si>
    <t>Muhammad Iqbal ,r/o House No. R-473, Sector 2-B, Gulshan-e-Zahoor, Jacob Line, Karachi. (Mobile No. 0300-2591307)</t>
  </si>
  <si>
    <t>Deleted. (Absconder)</t>
  </si>
  <si>
    <t>2630-S</t>
  </si>
  <si>
    <t>Zubair Sultan s/o Muhammad Sultan</t>
  </si>
  <si>
    <t>Mst. Naeema, r/o House No. 194/A, Liaquat Asharf Colony, Mehmoodabad, Karachi. (Mobile No. 0314-4414090)</t>
  </si>
  <si>
    <t>Traced Person. Arrested by Pak Rangers</t>
  </si>
  <si>
    <t>2631-S</t>
  </si>
  <si>
    <t>Sultan Mehmood Khan s/o Salahuddin Khan</t>
  </si>
  <si>
    <t>Shehnaz Sultan, r/o C-16 T&amp;T Flats, Shadman Town No, 02 North Nazimabad Karachi. (Mobile No. 0345-2447276)</t>
  </si>
  <si>
    <t>Traced Person. Killed in Police Encounter</t>
  </si>
  <si>
    <t>2632-S</t>
  </si>
  <si>
    <t>Aziz-ud-Din s/o Muhammad Wazir Ali</t>
  </si>
  <si>
    <t>Shehbaz, r/o House No. 105/17, Sector 11/F, New Karachi. (Mobile No. 0313-2088470)</t>
  </si>
  <si>
    <t>FIR No.404 dt.29/10/2015 u/s 365/34 PPC,PS/Saeedabad,District West,Karachi.</t>
  </si>
  <si>
    <t>Deleted. The case has been deleted due to non-prosecution as the complainant neither extended co-operation to the Investigation Officer nor attended hearing held on 21.2.2019, 27.3.2019, 12.6.2019, 6.11.2019 despite notices SDPO, Saeedabad Sub- Division, Karachi informed the same position in his report. Moreover writ petition No. 2079/2015 was also dismissed on the same account.</t>
  </si>
  <si>
    <t>2633-S</t>
  </si>
  <si>
    <t>Muhammad Adnan Khan s/o Muhammad Mohiuddin Khan</t>
  </si>
  <si>
    <t>Mst. Snam Adnan Khan, r/o House No. A-165, Block No. 13/D-1, Gulshan-e-Iqbal, Karachi. (Mobile No. 0333-3126815)</t>
  </si>
  <si>
    <t>FIR No.185 dt.11/4/2015 u/s 365/34 PPC,PS/Zaman Town,District Korangi,East Karachi.</t>
  </si>
  <si>
    <t>2634-S</t>
  </si>
  <si>
    <t>Ghayyas Ahmed s/o Muhammad Shabbir Khan</t>
  </si>
  <si>
    <t>Mst. Saima Aziz, r/o House No. F-80/3, Martin Quarters, Jamshaid Road, Karachi. (Mobile No. 0345-3619122 &amp; 0331-2889556)</t>
  </si>
  <si>
    <t>2635-S</t>
  </si>
  <si>
    <t>Imran Ali s/o Akhter Ali</t>
  </si>
  <si>
    <t>Mst. Saba Kanwal ,r/o House No. R-532, Sector No 15-A/4, Buffer Zone, Karachi. (Mobile No. 0315-0241898)</t>
  </si>
  <si>
    <t>FIR No.400 dt.18/9/2015 u/s 365/34 PPC,PS/Taimuria,District Central,Karachi.</t>
  </si>
  <si>
    <t>2636-S</t>
  </si>
  <si>
    <t>Muhammad Ibrahim s/o Dost muhammad</t>
  </si>
  <si>
    <t>Miss. Nazia Tahir, r/o House No. R-209, Anarkali Banglows Sector 6/D/1, Surjani Town, Karachi. (Mobile No. 0313-8938903)</t>
  </si>
  <si>
    <t>2637-S</t>
  </si>
  <si>
    <t>Muhammad Altaf Hussain s/o Muhammad Bashir Chishti</t>
  </si>
  <si>
    <t>Muhammad Bashir Chishti, r/o House No. 1/1632, Shah Faisal Colony, Karachi. (Mobile No. 0342-2108161)</t>
  </si>
  <si>
    <t>FIR No.195 dt.30/9/2015 u/s 365/34 PPC,PS/Bilal Colony,District West,Karachi.</t>
  </si>
  <si>
    <t>Deleted. Due to incomplete address)</t>
  </si>
  <si>
    <t>2638-S</t>
  </si>
  <si>
    <t>Muhammad Zubair Ghori s/o Muhammad Iqbal</t>
  </si>
  <si>
    <t>Mst. Raeesa Begum, r/o House No. 59, Street No. 02, Ghazi Nagar Siddiq Wahadb Road, Karachi. (Mobile No. 0324-3298189)</t>
  </si>
  <si>
    <t>2639-S</t>
  </si>
  <si>
    <t>Shariq Kamal s/o Rashid Kamal</t>
  </si>
  <si>
    <t>Naveed Ali, r/o Flat no. A-75, Zohra Square, Block No. 06, Gulshan-e-Iqbal, Karachi. (Mobile No. 0323-2727815)</t>
  </si>
  <si>
    <t>FIR No.320 dt.30/9/2015 u/s 365/34 PPC,PS/S.F Colony,District East,Karachi.</t>
  </si>
  <si>
    <t>MoFAs No. 10005530</t>
  </si>
  <si>
    <t>2640-S</t>
  </si>
  <si>
    <t>Muhammad Jawaid s/o Muhammad Rafiq</t>
  </si>
  <si>
    <t>Mst. Zeenia Jawaid, r/o House No. L-567, Sector 48/B, Korangi No. 2-1/2, Karachi. (0345-2124871)</t>
  </si>
  <si>
    <t>FIR No.278 dt.16/8/2015 u/s 365/34 PPC,PS/Arambagh District South,Karachi.</t>
  </si>
  <si>
    <t>MoFAs No. 10005531</t>
  </si>
  <si>
    <t>2641-S</t>
  </si>
  <si>
    <t>Jahangir s/o Qamar-ud-Din</t>
  </si>
  <si>
    <t>Mst. Sonia, r/o House No.03, Sector No. 48/C, Near W-22 Bus Stop, Korangi, Karachi. (Mobile No 0312-3982133)</t>
  </si>
  <si>
    <t>FIR No.291 dt.30/9/2015 u/s 365/34 PPC,PS/Korangi, District South,Karachi.</t>
  </si>
  <si>
    <t>MoFAs No. 10005578</t>
  </si>
  <si>
    <t>2642-K</t>
  </si>
  <si>
    <t>Ibrar Khan s/o Shafi Khan</t>
  </si>
  <si>
    <t>Muhammad Ijaz Khan, r/o Ragi Sheno Khel, P.O Muhammad Zai, Tehsil &amp; District Kohat. (Mobile No. 0333-9647978)</t>
  </si>
  <si>
    <t>FIR No.822 dt.3/9/2016 u/s 365 PPC,PS/MRS-Kohat</t>
  </si>
  <si>
    <t>Traced Person. Rep of MI submitted that the Missing Person Ibrar Khan is Confined in Internment Center, Kohatt under Action (in aid of Civil Power) Regulation 2011.</t>
  </si>
  <si>
    <t>2643-K</t>
  </si>
  <si>
    <t>Muhammad Ijaz s/o Allah Nawaz</t>
  </si>
  <si>
    <t>Allah Nawaz , r/o Imran Steel Works, Multan Road, Agriculture Faculty College, Near Dera Ismail Khan. (Mobile No. 0345-9873166)</t>
  </si>
  <si>
    <t>Daily Diary Report No.12 dated 21/04/2015 u/s 174 Cr.P.C PS Saddar,Kharian District Gujrat.</t>
  </si>
  <si>
    <t>Traced Person. F/o Ijaz Ahmed appeared at the hearing on 5.11.17 stated that he had a dispute with a car owner which has now been setteled.</t>
  </si>
  <si>
    <t>2644-K</t>
  </si>
  <si>
    <t>Usman Ali s/o Hamayun Khan</t>
  </si>
  <si>
    <t>Mst. Jameela, r/o Toheadabad, Bara Bandi, Tehsil Kabal, District Swat. (Mobile No. 0342-0909207)</t>
  </si>
  <si>
    <t>FIR No.540/2015 u/s 365/34 PPC PS/Pirabad, District West,Karachi.</t>
  </si>
  <si>
    <t>Traced Person. It was informed at the hearing on 19/10/2018 that Usman Ali has been traced. He is presently confined in Internment Center Fizaghat. Family members of Usman Ali shall be facilitated to see him in the Internment Center as per rules and procedures.</t>
  </si>
  <si>
    <t>2645-P</t>
  </si>
  <si>
    <t>Khursheed Ahmed Madni s/o Nazar Hussain</t>
  </si>
  <si>
    <t>Nazar Hussain , r/o Basti Manjoha Qasani,Tehsil Tonsa Sharif. (Mobile No. 0333-6463698)</t>
  </si>
  <si>
    <t>FIR No.50 dt.06/05/2015 u/s 365 PPC PS Retra District D.G.Khan</t>
  </si>
  <si>
    <t>Under Investigation (Punjab) Dera Ghazi Khan</t>
  </si>
  <si>
    <t>Dera Ghazi Khan</t>
  </si>
  <si>
    <t>2646-K</t>
  </si>
  <si>
    <t>Usman Zia s/o Muhammad Bashir Zia</t>
  </si>
  <si>
    <t>Mst. Khadija Khanam, r/o House No. KH- 1313,Hanif Line, Dhamial Road Rawalpindi. (Mobile No. 0303-4080077)</t>
  </si>
  <si>
    <t>Traced Person. Rafaqat Hussain, SHO, Saddar, Rawalpindi, submitted that the Missing Person has Returned to Home and available at House No. KH- 1313,Hanif Line, Dhamial Road Rawalpindi.</t>
  </si>
  <si>
    <t>2647-ICT</t>
  </si>
  <si>
    <t>Amir Qayyum s/o Abdul Qayyum</t>
  </si>
  <si>
    <t>Abdul Qayyum ,r/o Quarter No. IE-316, POF, Sanjwal Cantt, Tehsil &amp; District Attock. (Mobile No. 0336-5609830)</t>
  </si>
  <si>
    <t>FIR No.310 dt.03/10/2015 u/s 365 PPC PS Tarnol District Islamabad</t>
  </si>
  <si>
    <t>Under Investigation (ICT)</t>
  </si>
  <si>
    <t>2648-P</t>
  </si>
  <si>
    <t>Khalid Mehmood s/o Ghulam Rasheed</t>
  </si>
  <si>
    <t>Mst. Sakina , r/o Block No. 288, Satellite Town, Chandni Chowk, Rawalpindi. (Mobile No. 0336-9236627 &amp; 0342-0666226)</t>
  </si>
  <si>
    <t>FIR No.478 dt.29/08/2015 u/s 365 PPC PS Bani District Rawalpindi</t>
  </si>
  <si>
    <t>Under Investigation (Pumjab) Rawalpindi</t>
  </si>
  <si>
    <t>2649-P</t>
  </si>
  <si>
    <t>Muhammad Mumtaz s/o Muhammad Siddique</t>
  </si>
  <si>
    <t>Nazir Ahmed , r/o Chowan, P.O Choi Zarin, Tehsil &amp; District Dera Ghazi Khan. (Mobile No. 0333-8570482)</t>
  </si>
  <si>
    <t>FIR No.117 dt.6/5/2015 u/s 365 PPc,PS Civil Lines District D.G.Khan</t>
  </si>
  <si>
    <t>Traced Person. Returned to home as informed by DSP (Legal) at the hearing on 5.9.15. Later he (Muhammad Mumtaz) went to Dubai.</t>
  </si>
  <si>
    <t>2650-P</t>
  </si>
  <si>
    <t>Atta-ur-Rehman s/o Muhammad Ahad</t>
  </si>
  <si>
    <t>Abdul Masoor, r/o House No 510/27 Hussain Street, Al-Najaf Colony, Jarawala Road, Fasilabad. (Mobile No. 0321-8663540)</t>
  </si>
  <si>
    <t>FIR No.600 dt.28/7/2015 u/s 365 PPC,PS Peoples Colony,Faisalabad.</t>
  </si>
  <si>
    <t>Traced Person. Appeared before the Commission on 28.9.15. Did not mention details about his abduction.</t>
  </si>
  <si>
    <t>2651-P</t>
  </si>
  <si>
    <t>Qamar Shehzad s/o Hafiz Muhammad Saeed</t>
  </si>
  <si>
    <t>Hafiz Muhammad Saeed, r/o M- Block, House No. 218, Allama Iqbal Colony, Fasilabad. (Mobile No. 0347-0760049 &amp; 0321-7842749)</t>
  </si>
  <si>
    <t>FIR No.278 dt.06/5/2015 u/s 365 PPC,PS D-Type Colony,Faisalabad.</t>
  </si>
  <si>
    <t>Traced Person. Returned to home is confirmed by his father Hafiz Muhammad Saeed at the hearing on 14.1.16.</t>
  </si>
  <si>
    <t>2652-P</t>
  </si>
  <si>
    <t>Muhammad Asif s/o Ghulam Rasool</t>
  </si>
  <si>
    <t>Mst. Azhara Bibi, r/o House No. 199-F Johar Town, Lahore. (Mobile No. 0336-4416545)</t>
  </si>
  <si>
    <t>FIR No.730 dt.26/9/2011 u/s 365 PPC,PS Johar Town,Lahore.</t>
  </si>
  <si>
    <t>Traced Person. He has been convicted for 07 years in case FIR No. 16/15 dated 16.5.15 CTD, Multan.</t>
  </si>
  <si>
    <t>2653-K</t>
  </si>
  <si>
    <t>Hafiz Umar Khatab s/o Abdul Hai</t>
  </si>
  <si>
    <t>Abdul Karim, r/o Kot Kat, Gul Imam, Tehsil &amp; District Tank. (Mobile No. 0311-4209407)</t>
  </si>
  <si>
    <t>FIR No.400 dt.16/7/2015 u/s 365 PPC PS City Tank</t>
  </si>
  <si>
    <t>Traced Person.Confined in Internment Centre Kohat as informed by Rep of MI at the hearing on 18.11.15.</t>
  </si>
  <si>
    <t>2654-P</t>
  </si>
  <si>
    <t>Muneeb Javeed s/o Javeed Munir</t>
  </si>
  <si>
    <t>Javeed Munir ,r/o House No. 77-A, Officers Colony, Secheme No. 02, Farid Town Sahiwal. (Mobile No. 0300-9696853)</t>
  </si>
  <si>
    <t>FIR No.324 dt.28/7/2015 u/s 365 PPC,PS City, Mian Channu District Khanewal.</t>
  </si>
  <si>
    <t>Under Investigation (Pumjab) Khanewal</t>
  </si>
  <si>
    <t>2655-P</t>
  </si>
  <si>
    <t>Arslan Akhtar s/oAkhtar Javid</t>
  </si>
  <si>
    <t>Squadron Leader, Akhtar Javid, r/o Flat No. 100/1, Officer Mess, Paf Acadmey, Risalpur. (Mobile No. 0344-7070471 &amp; 0345-8050432)</t>
  </si>
  <si>
    <t>FIR No.588 dt.12/12/2014 u/s 365 PPC,PS Cantt.Distrit Sargodha</t>
  </si>
  <si>
    <t>Traced Person. It was informed at the hearing on 26/11/2018 that Arsalan Akhtar has been traced as he has reportedly to home however, on 27/09/2018 he went to China along with other family members and at the moment he is not present in Pakistan.</t>
  </si>
  <si>
    <t>2656-P</t>
  </si>
  <si>
    <t>Salman Shahid Advocate s/o Shahid Naveed Chaudhary</t>
  </si>
  <si>
    <t>Mst. Tayyaba Dua, r/o House No. 176, G-3, Wapda Town Lahore. (Mobile No. 0332-8505313)</t>
  </si>
  <si>
    <t>TracedPerson.. Rep of ISI informed at the hearing on 19/02/2016 Salman Shahid has surfaced on 01/01/2016.</t>
  </si>
  <si>
    <t>2657-S</t>
  </si>
  <si>
    <t>Dahar Dahessar s/o Atta Muhammad Bhanbhro</t>
  </si>
  <si>
    <t>Atta Muhammad Bhanbhro, r/o B-8, Al Mustafa Town Phase II Nasim Nagar Qasimabad, Hyderabad (Mobile No. 0331-3066087)</t>
  </si>
  <si>
    <t>2658-K</t>
  </si>
  <si>
    <t>Saad Ullah Jan s/o Shah Jahan</t>
  </si>
  <si>
    <t>Muhammad Jan, r/o Ghari Sikander Khan, P.O Saddar, Peshawar. (Mobile No. 0345-9655348)</t>
  </si>
  <si>
    <t>FIR No.460 dt.25/7/2014 u/s 365 PPC, PS Gulberg District Peshawar.</t>
  </si>
  <si>
    <t>2659-S 4997-S</t>
  </si>
  <si>
    <t>Arif Khan s/o Fareed khan</t>
  </si>
  <si>
    <t>Saqib Khan, r/o House No. 20, Area 36-D, Landhi No. 04, Karachi. (Mobile No. 0321-3843990)</t>
  </si>
  <si>
    <t>FIR No.303 dt.29/9/2015 u/s 365/34 PPC, PS/Landhi,District Korangi East,Karachi.</t>
  </si>
  <si>
    <t>MoFAs No. 10005508</t>
  </si>
  <si>
    <t>2660-S 2668-S</t>
  </si>
  <si>
    <t>Syed Muhammad Asim s/o Syed Muhammad Arif</t>
  </si>
  <si>
    <t>Mst. Sarwat, r/o Flat No. A-34, Block No. 02, Foundation Blessing, Gulistan-e-Johar, Karachi. (Mobile No. 0315-3252747)</t>
  </si>
  <si>
    <t>FIR No.566 dt.14/10/2015 u/s 365/34 PPC, PS/Gulistan-e-Jauhar,District East,Karachi.</t>
  </si>
  <si>
    <t>MoFAs No. 10005496</t>
  </si>
  <si>
    <t>2661-S</t>
  </si>
  <si>
    <t>Muhammad Shafiq Khan s/o Muhammad Rafiq Khan</t>
  </si>
  <si>
    <t>Muhammad Atiq Khan, r/o House No. 3/609, Liquatabad No. 02 Karachi. (Mobile No. 0345-2126305)</t>
  </si>
  <si>
    <t>FIR No.183 dt.28/7/2015 u/s 365/34 PPC, PS/Brigade,District East,Karachi.</t>
  </si>
  <si>
    <t>2662-S</t>
  </si>
  <si>
    <t>Muhammad Hashim s/o Badaruddin</t>
  </si>
  <si>
    <t>Zohra hashim, r/o House No. 544, Block No. 03, Dakhana, Liaquatabad, Karachi. (Mobile No. 0341-2528025)</t>
  </si>
  <si>
    <t>FIR No.251 dt.28/7/2015 u/s 365/34 PPC, PS/Arambagh,District South,Karachi.</t>
  </si>
  <si>
    <t>2663-S</t>
  </si>
  <si>
    <t>Sher Ali s/o Muhammad Hanif Farooqui</t>
  </si>
  <si>
    <t>Dr. Rooma Sher Ali, r/o Flat No. 02, Plot No. 11-C, Mairaj manzil, Bahadurabad, Karachi. (Mobile No. 0313-2770239)</t>
  </si>
  <si>
    <t>2664-S</t>
  </si>
  <si>
    <t>Muhammad Adnan s/o Abdul Waheed</t>
  </si>
  <si>
    <t>Imran Abdul Waheed, r/o House No. A-16/10, B, Area, Liquatabad, Karachi. (Mobile No. 0313-1026059)</t>
  </si>
  <si>
    <t>2665-S</t>
  </si>
  <si>
    <t>Syed Farhan s/o Syed Farooq-ul-Hassan</t>
  </si>
  <si>
    <t>Mst. Kishwar Sultan, r/o Flat No. 4/15, F.C, Area. Liquatabad, Karachi. (Mobile No. 0313/2814433)</t>
  </si>
  <si>
    <t>2666-S</t>
  </si>
  <si>
    <t>Syed Tahir Hussain Shah s/o Syed Ghulam Hussain Shah</t>
  </si>
  <si>
    <t>Mst. Najma Tahir, r/o House No. 7/11-C-1, Area, Liquatabad, Karachi. (Mobile No. 0311-2382829)</t>
  </si>
  <si>
    <t>2667-S</t>
  </si>
  <si>
    <t>Hassan Dilawar khan s/o Muhammad Kausar Khan</t>
  </si>
  <si>
    <t>Mst. Nusrat Ara, r/o House No. 67, Block-D, Sector No. 10, Bagh-e-Korangi, Karachi. (Mobile No. 0315-8183891)</t>
  </si>
  <si>
    <t>Under</t>
  </si>
  <si>
    <t>2668-S 2660-S</t>
  </si>
  <si>
    <t>Asim Ahmed Khan s/o Arif Khan</t>
  </si>
  <si>
    <t>House No. A-14/14, Qasba Colony Site, Karachi</t>
  </si>
  <si>
    <t>FIR No.566/2015 u/s 365/34 PPC,PS/Gulistan-e-Jauhar,District East,Karachi</t>
  </si>
  <si>
    <t>2669-S</t>
  </si>
  <si>
    <t>Sanaullah s/o Sadaruddin</t>
  </si>
  <si>
    <t>Sadaruddin , r/o House No. 70, Muhajair Colony, Usmania Colony No. 01, Karachi.</t>
  </si>
  <si>
    <t>2670-S</t>
  </si>
  <si>
    <t>Muhammad Saeed Dawood s/o Muhammad Dawood Khan</t>
  </si>
  <si>
    <t>Muhammad Dawood Khan, r/o House No. A-30 Shalimar Bungalows, Gulistan-e-Johar No. 01, Karachi.</t>
  </si>
  <si>
    <t>2671-S</t>
  </si>
  <si>
    <t>Muhammad Asif s/o Muhammad Deen</t>
  </si>
  <si>
    <t>Muhammad Deen, r/o House No. D-153, Punjab Colony, Karachi.</t>
  </si>
  <si>
    <t>Deleted. Due to In Complete Address</t>
  </si>
  <si>
    <t>2672-S</t>
  </si>
  <si>
    <t>Qasimullah s/p Naeem Ullah</t>
  </si>
  <si>
    <t>Naeem Ullah, r/o House No. K-04, Shumail View, Scheme No. 33, Karachi.</t>
  </si>
  <si>
    <t>2673-S</t>
  </si>
  <si>
    <t>Yasir Muhammad s/o Wasi</t>
  </si>
  <si>
    <t>Wasi, r/o 4th Floor, Rehmani Street, Ranchoreline, Karachi.</t>
  </si>
  <si>
    <t>2674-S</t>
  </si>
  <si>
    <t>Shahid Ali Khan s/o Ahmed Ali Khan</t>
  </si>
  <si>
    <t>Ahmed Ali Khan, r/o House No. B-859, Sheed No. 02, Fareeda, Malir, Karachi.</t>
  </si>
  <si>
    <t>2675-S</t>
  </si>
  <si>
    <t>Muhammad Atif Ali s/o Nazar Muhammad</t>
  </si>
  <si>
    <t>Nazar Muhammad r/o House No. J-241, Shumail Comolex, Secheme No. 33 , Karachi. (Mobile No. 0315-2096007 &amp; 0335-3778800)</t>
  </si>
  <si>
    <t>MoFAs No. 10005507/ 10005541</t>
  </si>
  <si>
    <t>2676-S</t>
  </si>
  <si>
    <t>Murad Hussain s/o Abdul Ghafoor</t>
  </si>
  <si>
    <t>Abdul Ghafoor, r/o House No. C-1, Area Landhi, Karachi.</t>
  </si>
  <si>
    <t>Deleted. (Proclaimed Offender)</t>
  </si>
  <si>
    <t>2677-S</t>
  </si>
  <si>
    <t>Shams-ud-Din s/o Riaz-ud-Din</t>
  </si>
  <si>
    <t>Riaz-ud-Din, r/o House No. C-O112, Sector No 40-C Korangi No. 01, Karachi</t>
  </si>
  <si>
    <t>2678-S</t>
  </si>
  <si>
    <t>Muhammad Adeel s/o Muhammad Sharif</t>
  </si>
  <si>
    <t>Muhammad Sharif, r/o House No. C-o112, Sector No. 40-C, Korangi No. 01, Karachi</t>
  </si>
  <si>
    <t>FIR No.391 dt.27/8/2015 u/s 365/34 PPC,PS/Zaman Town,District Korangi East,Karachi.</t>
  </si>
  <si>
    <t>2679-S</t>
  </si>
  <si>
    <t>Ali Raza s/o Muhammad</t>
  </si>
  <si>
    <t>Muhammad, r/o Flat No. 403-A/11, Human Towers, Block No. 19, Gulistan-e-Johar, Karachi.</t>
  </si>
  <si>
    <t>FIR No.444 dt.2/7/2015 u/s 365/34 PPC,PS/Shahrah-e-Faisal,District East,Karachi.</t>
  </si>
  <si>
    <t>2680-S</t>
  </si>
  <si>
    <t>Asif Iqbal s/o Qutab-ud-Din Khan</t>
  </si>
  <si>
    <t>Muhammad Ayaz s/o Qutab-ud-Din, r/o House No. 03, Street No. 07, Anwar Colony, Zia Masjid, Rawalpindi. (Mobile No. 0321/8502299)</t>
  </si>
  <si>
    <t>Traced Person. Appeared before the Commission on 23.7.15. Stated that he was abducted by a few persons.</t>
  </si>
  <si>
    <t>2681-ICT</t>
  </si>
  <si>
    <t>Fahad Sadiq Jadoon s/o Muhammad Sadiq Jadoon</t>
  </si>
  <si>
    <t>Muhammad Sadiq Jadoon, r/o House No. ZA-1464, Street No. 63, Boring Road, Dhoke Mangtal, Rawalpindi. (Mobile No. 0333-5594406)</t>
  </si>
  <si>
    <t>FIR No.115 dt.22/5/2015 u/s 365 PPC,PS/Golra,Islamabad..</t>
  </si>
  <si>
    <t>Traced Person. A case under 7-ATA and 4/5 ESA registered against him and he is under custody of CTD, Lahore.</t>
  </si>
  <si>
    <t>2682-P</t>
  </si>
  <si>
    <t>Asad Khan Jadoon s/o Muhammad Iqbal Khan Jadoon</t>
  </si>
  <si>
    <t>FIR No.497 dt.03/9/2015 u/s 365 PPC,PS Ratta Amral District Rawalpindi.</t>
  </si>
  <si>
    <t>2683-ICT</t>
  </si>
  <si>
    <t>Amjad Hussain s/o Sher Dad</t>
  </si>
  <si>
    <t>Muhammad Zaman, r/o Paracha Town, Islamabad. (Mobile No. 0302-5336695 &amp; 0310-5306141)</t>
  </si>
  <si>
    <t>FIR No.305 dt.30/9/2015 u/s 365 PPC,PS Tarnol,Islamabad..</t>
  </si>
  <si>
    <t>Traced Person. A case registered against him vide FIR 31 dated 19.10.15 u/s ESA read with 7-ATA. Confined in Adyala Jail, Rawalpindi.</t>
  </si>
  <si>
    <t>2684-B</t>
  </si>
  <si>
    <t>Muhammad Rafique s/o Abdul Karim</t>
  </si>
  <si>
    <t>Ahmed Khan, r/o Damb Ajab, P.O Nal, District Khuzdar. (Mobile No. 0336-8551981)</t>
  </si>
  <si>
    <t>FIR No.10 dt.12/3/2013 u/s 365 PPC,PS Nal District Khuzdar</t>
  </si>
  <si>
    <t>Deleted (Not a Case of Enforced Disappearances) as no allegation against any of the LEAs.</t>
  </si>
  <si>
    <t>2685-B</t>
  </si>
  <si>
    <t>Shehzad Qayyum s/o Abdul Qayyum</t>
  </si>
  <si>
    <t>Abdul Qayyum, r/o Agha General Store, Jaara Town, Near Night Status Complex, Quetta. (Mobile No. 0334-2464255)</t>
  </si>
  <si>
    <t>FIR No.82 dt.24/7/2014 u/s 365342/34 PPC,PS/City,Kalat</t>
  </si>
  <si>
    <t>2686-B</t>
  </si>
  <si>
    <t>Saad Ullah s/o Muhammad Hussain</t>
  </si>
  <si>
    <t>Rahim Khan, r/o Kali Haroni, Link Road Soharab, District Qalat. (Mobile No. 0333-7995485)</t>
  </si>
  <si>
    <t>FIR No.30 dt.14/9/2015 u/s 365/147/148/149 PPC PS Surab District Kalat</t>
  </si>
  <si>
    <t>Deleted (Not a Case of Enforced Disappearances).
 ReOpen</t>
  </si>
  <si>
    <t>2687-K</t>
  </si>
  <si>
    <t>Muhammad Yasir Jan s/o Elahi Jan</t>
  </si>
  <si>
    <t>Mohallah Sardar Khel, Village Katozai, Tehsil Shabaqadar, District: Charsada. (Mobile No. 0343-9115501)</t>
  </si>
  <si>
    <t>D.D Entry No.20
 dt: 16/2/2014 PS Pabbi District Nowshera.</t>
  </si>
  <si>
    <t>2688-P</t>
  </si>
  <si>
    <t>Syed Tajamal Hussain Shah s/o Syed Ghulam Shabbir Shah</t>
  </si>
  <si>
    <t>Syed Muzamil Hussain Shah, r/o Mohallah Namak Mandi, Mari Indus, P.O Khas, Tehsil &amp; District Mianwali. (Mobile No. 0301-7804644)</t>
  </si>
  <si>
    <t>FIR No.204 dt.20/8/2015 u/s 365 PPC,PS/Daud Khel District Mianwali.</t>
  </si>
  <si>
    <t>Traced Person. SP (Potohar) Rawalpindi informeon 1.9.2015 that he is in custody of Sargodha Police in various cases registered against him.</t>
  </si>
  <si>
    <t>2689-P</t>
  </si>
  <si>
    <t>Muhammad Zubair s/o Bashir Ahmed</t>
  </si>
  <si>
    <t>Muhammad Akram, r/o Ali Pur, Moza Qutab Pur, Tehsil hasil Pur, District Bahawalpur. ( Mobile No. 0301-6592587)</t>
  </si>
  <si>
    <t>FIR No.121 dt.02/9/2015 u/s 365 PPC,PS Qaimpur District Bahawalpur.</t>
  </si>
  <si>
    <t>Traced Person. Returned to home. DSP (Legal) Bahawalpur submitted affidavit which states that Muhammad Zubair left due to family sift.</t>
  </si>
  <si>
    <t>2690-K</t>
  </si>
  <si>
    <t>Arif Khan s/o Habib-ur-Rehman</t>
  </si>
  <si>
    <t>Atif Ullah, r/o Mohallah Jandar par, Village Gujar Garhi, District Mardan. (Mobile No. 0315-3132536)</t>
  </si>
  <si>
    <t>FIR No.291 dt.06/8/2015 u/s 365 PPC,PS Saddar District Mardan.</t>
  </si>
  <si>
    <t>Traced Person. Appeared before the Commission on 22.9.16. Stated that he remained is confinement of a few persons, but no further details.</t>
  </si>
  <si>
    <t>2691-K</t>
  </si>
  <si>
    <t>Aziz-ur-Rehman s/o Sher Muhammad</t>
  </si>
  <si>
    <t>Sher Muhammad , r/o Village Shah Hussain, Tehsil &amp; District Laki Marwat. (Mobile No. 0300-4984672)</t>
  </si>
  <si>
    <t>FIR No.529 dt.09/8/2015 u/s 365 PPC,PS Lakki Marwat.</t>
  </si>
  <si>
    <t>Traced Person. SSP, Lakki Marwat stated that both persons arrested by CTD in criminal case. Father confirmed.</t>
  </si>
  <si>
    <t>2692-K</t>
  </si>
  <si>
    <t>Niaz Muhammad s/o Sultan Khan</t>
  </si>
  <si>
    <t>Yaar Muhammad , r/o Village Shah Hussain, Tehsil &amp; District Laki Marwat. (Mobile No. 0300-4984672)</t>
  </si>
  <si>
    <t>FIR No.529 dt.o9/8/2015 u/s 365 PPC,PS Lakki Marwat.</t>
  </si>
  <si>
    <t>2693-P</t>
  </si>
  <si>
    <t>Maqsood Ahmed s/o Ghulam Muhammad</t>
  </si>
  <si>
    <t>Muhammad Nasir, r/o Mohallah Islam Nagar, Near Chungi No. 08, Bhakkar Road, Tehsil &amp; District Jhang. (Mobile No. 0300-6502040)</t>
  </si>
  <si>
    <t>FIR No.346 dt.20/5/2015 u/s 365 PPC, PS Kotwal District Jhang.</t>
  </si>
  <si>
    <t>Traced Person. Appeared before the Commission on 9.9.2015. Stated that he was arrest on behalf of a few individuals against who he was in litigation.</t>
  </si>
  <si>
    <t>2694-S</t>
  </si>
  <si>
    <t>Muhammad Hussain s/o Khan Muhammad</t>
  </si>
  <si>
    <t>Khan Muhammad, r/o House No. K-712/S, Street No. 02, Block-D Near Madni Masjid, Safi Lane, Karachi. (Mobile No. 0312-3157812)</t>
  </si>
  <si>
    <t>2695-S</t>
  </si>
  <si>
    <t>Sheraz s/o Muhammad Ibharim</t>
  </si>
  <si>
    <t>Mst. Sanji, w/o Muhammad Ibrahim, r/o Salar Goth, national Highway, Karachi. (Mobile No. 0322-2353993)</t>
  </si>
  <si>
    <t>2696-P</t>
  </si>
  <si>
    <t>Muhammad Israr Hashmi s/o Khalid Mehmood hashmi</t>
  </si>
  <si>
    <t>Khalid Mehmood Hashmi, r/o Goleki, P.S Kanjah, Tehsil &amp; District Gujrat. (Mobile No. 0333-8542811 &amp; 0303-6006247)</t>
  </si>
  <si>
    <t>FIR No.392 dt.11/6/2015 u/s 365 PPC,PS Kunjah District Gujrat.</t>
  </si>
  <si>
    <t>Traced Person. Returned to home on 23.6.15. Appeared before the Commission on 3.11.15. Stated that he left at his own and no more picked him up.</t>
  </si>
  <si>
    <t>2697-P</t>
  </si>
  <si>
    <t>Muhammad Abu Bakar s/o Abdul Kareem</t>
  </si>
  <si>
    <t>Abdul Kareeem, r/o House No. 9-D, Block -Z Ghulshan Usman, C- Division, Rahim Yar Khan. (Mobile No. 0333-8838446)</t>
  </si>
  <si>
    <t>Traced Person. Dead body received by family. Case also registered the l&amp;w</t>
  </si>
  <si>
    <t>2698-P</t>
  </si>
  <si>
    <t>Muhammad Usman s/o Muhammad Hafeez</t>
  </si>
  <si>
    <t>Muhammad Hafeez, r/o House No. 9-D, Block -Z Ghulshan Usman, C- Division, Rahim Yar Khan. (Mobile No. 0300-6729474)</t>
  </si>
  <si>
    <t>2699-P</t>
  </si>
  <si>
    <t>Muhammad Asad Ullah s/o Qari Muhammad Abdullah</t>
  </si>
  <si>
    <t>Qari Muhammad Abdullah, r/o Chowk Peer Ji, Al' Badar Mobile Center, Chichawatani, District Sahiwal. (Mobile No. 0300-6892231)</t>
  </si>
  <si>
    <t>Traced Person. He appeared before the Commission. Stated that he went for Tableegh at his own.</t>
  </si>
  <si>
    <t>2700-S</t>
  </si>
  <si>
    <t>Muhammad Bilal s/o Bacha Khan</t>
  </si>
  <si>
    <t>Mst. Jahan Ara, r/o Mohallah Thana, Village Nangolai, Tehsil Kabal District: Swat. (Mobile No. 0348-1916385)</t>
  </si>
  <si>
    <t>FIR No.409 dt.14/1/2015 u/s 365/34 PPC PS/Mominabad,District West Karachi.</t>
  </si>
  <si>
    <t>Deleted. Family of Missing Person is not Prepared to Pursue this Case.</t>
  </si>
  <si>
    <t>2701-B</t>
  </si>
  <si>
    <t>Balaj s/o Faqir Sayden</t>
  </si>
  <si>
    <t>Goran, r/o Maki Muslim Abad, Sariab Road, Quetta. (Mobile No. 0345-8376844)</t>
  </si>
  <si>
    <t>FIR No.143 dt.24/9/2015 u/s 365 PPC PS/Kechi Baig,Quetta</t>
  </si>
  <si>
    <t>Deleted. From the record it appears that complainant party has lost interest in this case as nobody was present at the hearing on 23.5.2018, even nobody appeared before the proceedings of the JIT. There is no allegation that Balaj was taken away by any of the LEAs. Therefore the case is closed, as not of enforced disappearance.</t>
  </si>
  <si>
    <t>2702-B</t>
  </si>
  <si>
    <t>Hafiz Yar Muhammad s/o Haji Khan</t>
  </si>
  <si>
    <t>Ghulam Mustafa, r/o Mohallah Kuli, Sharifabad, Quetta. (Mobile No. 0300-3808023)</t>
  </si>
  <si>
    <t>Deleted (Not a case of Enforced Disappearances) as no LEA has been alleged in the FIR No. 142/15 dated 5.6.2015 PS Kech.</t>
  </si>
  <si>
    <t>2703-B</t>
  </si>
  <si>
    <t>Muhammad Hussain s/o Gul Hussain</t>
  </si>
  <si>
    <t>Ghulam Hussain, r/o Bahadurabad, Buroi, Quetta. (Mobile No. 0336-8004537 0343-2360461)</t>
  </si>
  <si>
    <t>FIR No.94 dt.30/4/2012 u/s 365/34 PPC PS/Brewery,Quetta</t>
  </si>
  <si>
    <t>Under Investigation (Balochistan)</t>
  </si>
  <si>
    <t>2704-K</t>
  </si>
  <si>
    <t>Ijaz Ahmed s/o Fazal Ghani</t>
  </si>
  <si>
    <t>Muhammad Adil, r/o Faziaabad, Sedo Sharif, Swat. (Mobile No. 0342-9867245 &amp; 0341-5722825)</t>
  </si>
  <si>
    <t>15602-7982022-3</t>
  </si>
  <si>
    <t>2705-S</t>
  </si>
  <si>
    <t>Tanveer s/o Abdul Malik</t>
  </si>
  <si>
    <t>30/02/2015</t>
  </si>
  <si>
    <t>Abdul Malik, r/o Near Murid Shakh Pepsi Dealer, Tehsil Obaro,District: Ghotki.</t>
  </si>
  <si>
    <t>2706-P</t>
  </si>
  <si>
    <t>Usman Ghani Maki s/o Muhammad Rauf Butt</t>
  </si>
  <si>
    <t>Muhammad Rauf Butt, r/o House No. 111/4, Block No. E, Modle Town Lahore. (Mobile No. 0345-8500755 &amp; 0322-8090869)</t>
  </si>
  <si>
    <t>FIR No.255 dt.24/6/2015 u/s 365 PPC,PS Model Town,Lahore.</t>
  </si>
  <si>
    <t>Traced Person. Confined in Kot Lakhpat Jail, Lahore in case FIR No: 43/2015 dated 28.9.2015 u/s 4/5 ESA, 7-ATA at PS CTD, Lahore.</t>
  </si>
  <si>
    <t>2707-ICT</t>
  </si>
  <si>
    <t>HRC No. 3911-G /2015</t>
  </si>
  <si>
    <t>Jawad Saeed Mughal s/o Saeed Ahmed Mughal</t>
  </si>
  <si>
    <t>Mst. Kousar Parveen, w/o Saeed Ahmed Mughal, r/o House No. 1685, Gali No. 79/A, Sector I-10/1, Islamabad.</t>
  </si>
  <si>
    <t>FIR No.748 dt.20/12/2014 u/s 365 PPC,PS Sabzi Mandi,Islamabad.</t>
  </si>
  <si>
    <t>Traced Person. Returned to home as informed by SP (Inv) ICT, Islamabad at the hearing on 2.10.2015.</t>
  </si>
  <si>
    <t>2708- S</t>
  </si>
  <si>
    <t>HRC No. 35757-S/2014</t>
  </si>
  <si>
    <t>Kashif Ali s/o Ishtiaq Ali</t>
  </si>
  <si>
    <t>Mst. Saira Begum, r/o House No. 784, Faiz No. 01, Qasim Town, Khuda Ki basti, Karachi.</t>
  </si>
  <si>
    <t>2709- S</t>
  </si>
  <si>
    <t>HRC No. 10922-G/2015</t>
  </si>
  <si>
    <t>Muhammad Ibrar s/o Sahib Nawaz</t>
  </si>
  <si>
    <t>Sahib Nawaz, r/o Dhand Bara, District Khyber Agency. (Mobile No. 0307-7126560 &amp; 0321-9730896)</t>
  </si>
  <si>
    <t>2710- S</t>
  </si>
  <si>
    <t>Noor Ahmed Khan s/o Zari</t>
  </si>
  <si>
    <t>2711- S</t>
  </si>
  <si>
    <t>Faraz Khan Baloch s/o Sher Muhammad Baloch</t>
  </si>
  <si>
    <t>Sher Ahmed Baloch, r/o House No. B-74-75, Kalri Ahmed Shah Bulchari Road, Layari Town, Karachi. (Mobile No. 0321-3595415)</t>
  </si>
  <si>
    <t>FIR No.141 dt.23/7/2015 u/s 365/34 PPC PS Chakiwara,District South,Karachi</t>
  </si>
  <si>
    <t>Traced Person. Returned to Home and available at (House No. B-74-75, Kalri Ahmed Shah Bulchari Road, Layari Town, Karachi.)</t>
  </si>
  <si>
    <t>2712- P</t>
  </si>
  <si>
    <t>Hafiz Shehzad s/o Allah Dita</t>
  </si>
  <si>
    <t>Tania Aooraj, r/o Buraj Bosuwa, P.O Khas, Tehisl Kharian. (Mobile No. 0305-6265416&amp; 0348-4167289)</t>
  </si>
  <si>
    <t>FIR No.266 dt.27/08/2015 u/s 365 PPC PS Kakrali District Gujrat</t>
  </si>
  <si>
    <t>Traced Person. Returned to home. Appeared before the Commission on 22.4.17 and factual aspact of episode.</t>
  </si>
  <si>
    <t>2713- S</t>
  </si>
  <si>
    <t>HRC No. 27608-S/2014</t>
  </si>
  <si>
    <t>Zaheer s/o Jahangir</t>
  </si>
  <si>
    <t>Abdul Hameed, House No. 164, Mohallah Baloch Hoter, Murreepur, Village Hawksbey Road, Karachi.</t>
  </si>
  <si>
    <t>2714- K</t>
  </si>
  <si>
    <t>Same Day on Complintant Request</t>
  </si>
  <si>
    <t>Ehsan Ullah s/o Haji Dilbar Shah</t>
  </si>
  <si>
    <t>Mst.Arfat Bibi, r/o Iqra Mohallah, Gwalerai Chowk, P.O Labat, Tehsil Matta, District Swat. (Mobile No. 0344-5333642 &amp; 0331-9546744)</t>
  </si>
  <si>
    <t>15601-3927013-9</t>
  </si>
  <si>
    <t>FIR No.940 dt.02/9/2015 u/s 365 PPC,PS/Matta District Swat</t>
  </si>
  <si>
    <t>2715- K</t>
  </si>
  <si>
    <t>Muhammad Zakria s/o Abdul Hameed Khan</t>
  </si>
  <si>
    <t>Mst. Bilquis, r/o Iqra Mohallah, Gwalerai Chowk, P.O Labat, Tehsil Matta, District Swat. (Mobile No. 0344-5333642)</t>
  </si>
  <si>
    <t>15601-5639811-9</t>
  </si>
  <si>
    <t>FIR No. 293 dated 15/8/2008 u/s 365-PPC PS Chuprial</t>
  </si>
  <si>
    <t>2716- S</t>
  </si>
  <si>
    <t>Piayo Gul s/o Mangal Khan</t>
  </si>
  <si>
    <t>Mangal Khan, r/o House No. 585, Sector 8/E, Hazrat Bilal Colony, Karachi.</t>
  </si>
  <si>
    <t>FIR No.654 dt.17/9/2015 u/s 365/34 PPC,PS KIA District Korangi,Karachi.</t>
  </si>
  <si>
    <t>2717- K</t>
  </si>
  <si>
    <t>Haji Sher Ali Khan</t>
  </si>
  <si>
    <t>Nisar Ali Khan, r/o Chowki Jund, Tehsil Lakki Marwat. (Mobile No. 0308-8199355)</t>
  </si>
  <si>
    <t>FIR No.229 dt.11/5/2015 u/s 365/34 PPC,PS Kohsar District Islamabad</t>
  </si>
  <si>
    <t>Traced Person. Returned to home. Appeared before the Commission on 28.8.15. Did not share the details.</t>
  </si>
  <si>
    <t>2718- S</t>
  </si>
  <si>
    <t>Muhammad Idrees Shah s/o Merbhan Shah</t>
  </si>
  <si>
    <t>Merbhan Shah, r/o House No. 565, Sector 8/E Bilal Colony, Korangi, Karachi. (Mobile No. 0333-9397955 &amp; 0331-7624613)</t>
  </si>
  <si>
    <t>2719- K</t>
  </si>
  <si>
    <t>Muhammad Ibrar s/o Faqir Gul</t>
  </si>
  <si>
    <t>Faqir Gul, r/o Village Shakwai, Tehsil Mangi, District Charsadda. (Mobile No. 0344-9748772)</t>
  </si>
  <si>
    <t>Traced Person. Residing at home as informed by IB/KP at the hearing on 11.8.2016.</t>
  </si>
  <si>
    <t>2720- S</t>
  </si>
  <si>
    <t>HRC No. 11468-S/2014</t>
  </si>
  <si>
    <t>Malik Azam s/o Taj Muhammad</t>
  </si>
  <si>
    <t>Malik Muhammad Qasim, r/o DK-192 Khalid Abad, Quaid-e-Abad, Malir, Karachi. (Mobile No. 0321-8738046)</t>
  </si>
  <si>
    <t>2721- K</t>
  </si>
  <si>
    <t>Fateh Rehman s/o Umar Daraz</t>
  </si>
  <si>
    <t>Saeed Rehman, r/o Tehsil Loni, District, Dera Ismail Khan. (Mobile No. 0347-9321294)</t>
  </si>
  <si>
    <t>12102-7967198-1</t>
  </si>
  <si>
    <t>FIR No.418 dt.16/11/2015 u/s 365 PPC,PS/City District D.I.Khan</t>
  </si>
  <si>
    <t>2722- P</t>
  </si>
  <si>
    <t>Muhammad Muneeb s/o Muhammad Khursheed</t>
  </si>
  <si>
    <t>Muhammad Khursheed, r/o P.O Ropar Kala, Tehsil &amp; District, Rawalpindi. (Mobile No. 0306-5539146)</t>
  </si>
  <si>
    <t>FIR No.496 dt.3/9/2015 u/s 365 PPC,PS Ratta Amral District Rawalpindi.</t>
  </si>
  <si>
    <t>Traced Person. Facing Trial in Kot Lakpat Jail, Lahore, CTD Custody by means of FIR No: 11 of 8.9.2015 u/s 4/5 ESA, 7-ATA, at PS CTD, Lahore.</t>
  </si>
  <si>
    <t>2723-S</t>
  </si>
  <si>
    <t>Riaz-ul-Haq s/o Abdul Haq</t>
  </si>
  <si>
    <t>r/o, House No. 04, Glai No. 09, Area 4-D, Landhi No. 06, Karachi.</t>
  </si>
  <si>
    <t>2724-S</t>
  </si>
  <si>
    <t>Muhammad Adil Zia s/o Muhammad Zia-ul-Haq</t>
  </si>
  <si>
    <t>r/o, House No. 547, Sector 15/C, Orangi Town, Karachi.</t>
  </si>
  <si>
    <t>Traced Person. Rangers Custody</t>
  </si>
  <si>
    <t>2725-S</t>
  </si>
  <si>
    <t>Faryal Baig s/o Afzal Baig</t>
  </si>
  <si>
    <t>r/o, House No. 1729/332, Gujrat Muhallah, Baldia Town, Karachi.</t>
  </si>
  <si>
    <t>Traced Person. Police Custody</t>
  </si>
  <si>
    <t>2726-S</t>
  </si>
  <si>
    <t>Muhammad Furqan Khan s/o Muhammad Usman Khan</t>
  </si>
  <si>
    <t>r/o, House No L-1492, Sector 11-E, Muslim Town Karachi.</t>
  </si>
  <si>
    <t>FIR No.312 dt.30/9/2015 u/s 365/34 PPC,PS/New Karachi,District Central,Karachi.</t>
  </si>
  <si>
    <t>MoI /MoFAs No. 10005536</t>
  </si>
  <si>
    <t>2727-S</t>
  </si>
  <si>
    <t>Inayat Ullah s/o Abdul Haq</t>
  </si>
  <si>
    <t>Agha Hassan Advocate, r/o, Chaman Phatak, Jail Road Quetta. (Mobile No. 0300-3844271)</t>
  </si>
  <si>
    <t>FIR No.14 dt.24/1/2016 u/s 365/34 PPC,PS/City,Qamber Shahdadkot,Larkana.</t>
  </si>
  <si>
    <t>2728-K</t>
  </si>
  <si>
    <t>Aleem Khan s/o Mir Hassan Khan</t>
  </si>
  <si>
    <t>Yaqoob Khan, r/o Ibrahim Kor, Pardess Kor, P.O, Yak Ghund, District Mehmand Agency. (Mobile No. 0346-9580966)</t>
  </si>
  <si>
    <t>FIR No.301 dt.04/10/15 u/s 365 PPC,PS Sarokaley,District Charsadda</t>
  </si>
  <si>
    <t>Deleted. Investigation into this case that there is no allegation against LEAs by father of the Missing Person, he was not involved in any illegal activities, all LEAs/ CTD have denied apprehension/ abduction and there is no eye witness of the custody of Aleem Khan, therefore the Commission agrees with the conclusion of JIT that he has gone on his own. The case is closed.</t>
  </si>
  <si>
    <t>2729-K</t>
  </si>
  <si>
    <t>Muhammad Ishaq s/o Akhtar Shah</t>
  </si>
  <si>
    <t>Bakhtawar Shah, r/o Mohallah Dawa Zai, Near Malik Nasir Khan Hujra, Peshawar. (Mobile No. 0336-9000582)</t>
  </si>
  <si>
    <t>FIR No.825 dt.02/9/2015 u/s 365 PPC,PS Tehkal,District Peshawar.</t>
  </si>
  <si>
    <t>Traced Person. Returned Home. Appeared before the Commission on 1.12.2015. Share the factual aspect, the episode.</t>
  </si>
  <si>
    <t>2730-K</t>
  </si>
  <si>
    <t>Shams-Ur-Rehman s/o Qasim</t>
  </si>
  <si>
    <t>Zarin Jan, r/o Azad Banda, Darmai, Tehsil &amp; District, Swat. (Mobile No. 0345-6060759)</t>
  </si>
  <si>
    <t>FIR No.928 dt.27/8/2015 u/s 365 PPC PS/Matta District Swat.</t>
  </si>
  <si>
    <t>Traced Person. Confined in Internment Center Lakki Marwat as informed by Rep of MI at the hearing on 26.10.16.</t>
  </si>
  <si>
    <t>2731-S</t>
  </si>
  <si>
    <t>Fazal Ameen s/o Gul Nazar</t>
  </si>
  <si>
    <t>Gul Nazar, r/o Azad Banda, Darmai, Tehsil &amp; District, Swat. ( Mobile No. 0342-9839375 &amp; 0346-9436990)</t>
  </si>
  <si>
    <t>FIR No.555 dt.30/9/2015 u/s 365/34 PPC PS/Site-A,Karachi.</t>
  </si>
  <si>
    <t>Deleted. The complainant has shifted to Swat and refused to came to Klarachi to attend hearing. The case is closed due to Non-prosecution.</t>
  </si>
  <si>
    <t>2732-F</t>
  </si>
  <si>
    <t>Muktaj s/o Zaman Jan</t>
  </si>
  <si>
    <t>Naeem Jan, r/o Bangawlo No. 01, P.O Rawal Kaur, Yak Ghund, Mohmand Agency. (Mobile No. 0323-9215383)</t>
  </si>
  <si>
    <t>Traced Person. Confined in the Internment Fort Slop Khyber Agency as informed by FC KP vide lelter dated 13.11.15.</t>
  </si>
  <si>
    <t>2733-P</t>
  </si>
  <si>
    <t>Ms. Zeenat Shahzadi d/o Muhammad Latif</t>
  </si>
  <si>
    <t>Muhammad Salman, r/o House No. 08, Street No. 02, Choudhary Colony, Kamaha Road, Lahore. (Mobile No. 0345-3464607)</t>
  </si>
  <si>
    <t>FIR No.1080 dt.19/8/2015 u/s 365-B PPC,PS/Nishtar Colony,Lahore.</t>
  </si>
  <si>
    <t>Traced Person. Returned to Home and available at House No. 08, Street No. 02, Choudhary Colony, Kamaha Road, Lahore. Later, she shifted her residence.</t>
  </si>
  <si>
    <t>2734-k</t>
  </si>
  <si>
    <t>Shahi Muhammad Khan s/o Dilfraz</t>
  </si>
  <si>
    <t>Dilfaraz Khan, r/o Munraiz, P.O Mushkhel, Tehsil &amp; District Tribal Area. (Mobile No. 0308-2133786 &amp; 0334-8814028)</t>
  </si>
  <si>
    <t>FIR No.463 dt.05/9/2015 u/s 365 PPC,PS Saddar District Bannu</t>
  </si>
  <si>
    <t>Traced Person. Returned to Home as concluded by JIT in its meeting on 12.9.16 and informed the Commission on 15.9.2016.</t>
  </si>
  <si>
    <t>2735-K</t>
  </si>
  <si>
    <t>Sadaqat s/o Haji Shand Gul</t>
  </si>
  <si>
    <t>Sardar Khan, r/o , House No. 649, Street No. 01Mohallah Chaman Ara Colony, Yak Toot, Peshawar. (Mobile No. 0300-5991662 &amp; 0315-9090086 &amp; 0301-8886113).</t>
  </si>
  <si>
    <t>17301-1422080-1
 Old CNIC No.
 142-76-143987</t>
  </si>
  <si>
    <t>FIR No.1272 dt.05/12/2015 u/s 365 PPC,PS Agha Mir Shah Jani,Peshawar.</t>
  </si>
  <si>
    <t>(2735-K&amp;3970-K) Both cases fixed in ISB, When SP(Inv) &amp; Focal Person came Isb for Hearing. "KPK" Cases.</t>
  </si>
  <si>
    <t>2736-F</t>
  </si>
  <si>
    <t>Noor Rehaman s/o Mir Azam Khan</t>
  </si>
  <si>
    <t>Gul Zamin Khan, r/o Shawari Dara, Tehsil yak Ghund, District Mohmand Agency. (Mobile No. 0346-9298554)</t>
  </si>
  <si>
    <t>21401-1187245-1</t>
  </si>
  <si>
    <t>MoFA</t>
  </si>
  <si>
    <t>2737-K 089 Same</t>
  </si>
  <si>
    <t>Fazal Subhan s/o Abdul Jabbar</t>
  </si>
  <si>
    <t>Mst. Rawsia, r/o Darmai, Tehsil Matta, District Swat. (Mobile No. 0344-4349137)</t>
  </si>
  <si>
    <t>FIR No.904 dt.20/12/2010 u/s 365/34 PPC,PS/East Cantt.,District Peshawar.</t>
  </si>
  <si>
    <t>2738-S</t>
  </si>
  <si>
    <t>Qazi Hanif Ullah s/o Qazi Abdul Wahid</t>
  </si>
  <si>
    <t>Mst. Fazia Qazi, r/o Sheikh Maloon Town, Sector E, Street no. 03, House No. 151, Mardan. (Mobile No. 0345-9499182)</t>
  </si>
  <si>
    <t>FIR No.85 dt.27/6/2016 u/s 365/34 PPC,PS/Baberlo,District Khairpur.</t>
  </si>
  <si>
    <t>Deleted. The case has been closed due to non-prosecution as the complainant neither extended co-operation to the Investigation Officer nor attended hearings. He also remained absent at JIT meetings.</t>
  </si>
  <si>
    <t>2739-S</t>
  </si>
  <si>
    <t>Syed Shahid Ali</t>
  </si>
  <si>
    <t>Mst. Shaheena Bibi, r/o House No. E-7, Haroon House, Ziarat Stop, Khana Dak, Islamabad. (Mobile No. 0345-5394523)</t>
  </si>
  <si>
    <t>2740-S</t>
  </si>
  <si>
    <t>Khalil Ahmed s/o Sagheer Ahmed</t>
  </si>
  <si>
    <t>Mst. Safia Bano, r/o House No. 435, Block No. 02, Shah Fasil Colony, Karachi. (Mobile No. 0312-9217660)</t>
  </si>
  <si>
    <t>2741-S</t>
  </si>
  <si>
    <t>Moiz Saleem s/o Abdul Saleem</t>
  </si>
  <si>
    <t>Abdul Saleem, r/o House No. E-1, Mohallah Sheikh Zayad Islamic Center University, Karachi. (Mobile No. 0300-9090754)</t>
  </si>
  <si>
    <t>Traced Person. (90 Days Rangers Custody)</t>
  </si>
  <si>
    <t>2742-S</t>
  </si>
  <si>
    <t>Faheem s/o Islamuddin</t>
  </si>
  <si>
    <t>Muhammad Amjad ,r/o House No. 461-B, Sector No. 16-A-4, Buffer Zone North Nazimabad, Karachi. (Mobile No. 0321-2023932)</t>
  </si>
  <si>
    <t>FIR No.410 dt.22/9/2015 u/s 365/34 PPC,PS/Clifton,District South Karachi.</t>
  </si>
  <si>
    <t>2743-S</t>
  </si>
  <si>
    <t>Saqib Afridi s/o Mujtaba Kamal Afridi</t>
  </si>
  <si>
    <t>Mst. Urooj Saqib, r/o Flat no. A-5/13, Rabia Flowers, Abu Al-Hassan Isphani Road, Gulshan-e-Iqbal, Gulzar-e-Hijiri, Karachi. (Mobile No. 0315-8820324)</t>
  </si>
  <si>
    <t>FIR No.374 dt.23/9/2015 u/s 365/34 PPC,PS/Sachal,District Malir,Karachi.</t>
  </si>
  <si>
    <t>MoFAs No. 10005946</t>
  </si>
  <si>
    <t>2744-S</t>
  </si>
  <si>
    <t>Muhammad Imran s/o Muhammad Raifq</t>
  </si>
  <si>
    <t>Syed Mansoor Riffat, r/o Flat No. CM-19, Serena Towers, Sector 15-A-1, Buffer Zone, Northe Nazimabad, Karachi. (Mobile No. 0321-3799090)</t>
  </si>
  <si>
    <t>FIR No.316 dt.29/9/2015 u/s 365/34 PPC,PS/Taimuria,District Central,Karachi.</t>
  </si>
  <si>
    <t>2745-S</t>
  </si>
  <si>
    <t>Imran Hameed s/o Imran Qureshi</t>
  </si>
  <si>
    <t>Ahmed Raza, r/o House No. 128/19, Sector No. 05-G, New Karachi. (Mobile No. 0315-2463151)</t>
  </si>
  <si>
    <t>FIR No.351 dt.29/9/2015 u/s 365/34 PPC,PS/New Karachi,Industrial Area,District West,Karachi.</t>
  </si>
  <si>
    <t>Traced Person. Rangers Custody.</t>
  </si>
  <si>
    <t>2746-S</t>
  </si>
  <si>
    <t>Muhammad Aslam Kamal s/o Kamal Uddin</t>
  </si>
  <si>
    <t>Muhammad Athar, r/o House No. 478, K- Area Korangi No. 05, Karachi (Mobile No. 0321-7576209 &amp; 0312-5164476)</t>
  </si>
  <si>
    <t>FIR No.290 dt.30/9/2015 u/s 365/34 PPC PS/Korangi, District Korangi,Karachi</t>
  </si>
  <si>
    <t>MoFAs No. 10005948</t>
  </si>
  <si>
    <t>2747-S</t>
  </si>
  <si>
    <t>Muhammad Fahad s/o Syed Abdul Aziz Khalid</t>
  </si>
  <si>
    <t>Mst. Kishwar, r/o House No. N-22, Area 51-D, Near 100 Qrts Korangi 5 1/2, Karachi. (Mobile No. 0315-8975179)</t>
  </si>
  <si>
    <t>Traced Peson. Judicial Custody</t>
  </si>
  <si>
    <t>2748-S</t>
  </si>
  <si>
    <t>Muhammad Rehan Khan s/o Abdul Ghaffar Khan</t>
  </si>
  <si>
    <t>Farhan Khan, r/o House No. DR-14, Block-D, TP.2, Mehmodabad No. 02, Karachi. (Mobile No. 0346-3280700 &amp; 0311-8242565)</t>
  </si>
  <si>
    <t>FIR No.296 dt.6/10/2015 u/s 365/34 PPC PS/Baloch Colony, District South Karachi</t>
  </si>
  <si>
    <t>2749-S</t>
  </si>
  <si>
    <t>Mukhtar Ahmed s/o Nasir Ali</t>
  </si>
  <si>
    <t>Mst. Khadeeja Banu, r/o House No. L-362, Sector No. 48-A/1, Universal Town Korangi 1-1/2, Karachi. (Mobile No. 0312-2755204)</t>
  </si>
  <si>
    <t>FIR No.292 dt.30/9/2015 u/s 365/34 PPC PS/Korangi, District Korangi,Karachi</t>
  </si>
  <si>
    <t>2750-S</t>
  </si>
  <si>
    <t>Muhammad Naeem @ Khaoo s/o Muhammad Nasir</t>
  </si>
  <si>
    <t>Mst. Shabana Naz, r/o House No. 24, Street No. 10, Juna Dobhi Ghat, Badshahi Road, Karachi. (Mobile No. 0314-2248650 &amp; 0346-2777237)</t>
  </si>
  <si>
    <t>FIR No.196 dt.11/8/2015 u/s 365/34 PPC PS Garden,District South ,Karachi</t>
  </si>
  <si>
    <t>Deleted . Leaned Trial Court has declared him absconder in 07 criminal case registered against him. Wife of Muhammad Naeem who appeared at the hearing on 20/03/2018 has been informed acoordingly.</t>
  </si>
  <si>
    <t>2751-S</t>
  </si>
  <si>
    <t>Muhammad Nazar s/o Abdul Razaq</t>
  </si>
  <si>
    <t>1606/2015</t>
  </si>
  <si>
    <t>Mst. Anwara, r/o House No L-801, Area No. 34/2, Korangi No. 2 1/2, Karachi. (Mobile No. 0311-0263545)</t>
  </si>
  <si>
    <t>FIR No.692 dt.30/9/2015 u/s 365/34 PPC PS/KIA, District Korangi,Karachi</t>
  </si>
  <si>
    <t>2752-S</t>
  </si>
  <si>
    <t>Abdul Qadir s/o Muhammad Hussain</t>
  </si>
  <si>
    <t>Sheroz, r/o House No. 1728/808, Baloch Mohallah, Baldia Town, Karachi. (Mobile No. 0316-2670040 &amp; 0340-8628770)</t>
  </si>
  <si>
    <t>Traced Person. 90 Days Rangers Custody.</t>
  </si>
  <si>
    <t>2753-S</t>
  </si>
  <si>
    <t>Muhammad Naeem s/o Muhammad Hanif</t>
  </si>
  <si>
    <t>Moshin, r/o House No. 1728/88, Mohallah Garh, Muhajir Camp, Baldia Town, Karachi. (Mobile No. 0315-2571581 &amp; 0321-3500212)</t>
  </si>
  <si>
    <t>2754-S</t>
  </si>
  <si>
    <t>Farooq Baig s/o Abdul Rasheed</t>
  </si>
  <si>
    <t>Abdul Rasheed, r/o Flat No. C-106, Shakeel Garden, University Road, Scheme No. 33, Gulzar-e-Hijiri, Malir, Karachi. (Mobile No. 0321-8771618 &amp; 0312-2081082)</t>
  </si>
  <si>
    <t>2755-S</t>
  </si>
  <si>
    <t>Muhammad Imran Qayyum s/o Abdul Qayyum</t>
  </si>
  <si>
    <t>Mst. Saima Imran, r/o Flat No. 20, Block B/3, Rabia Flowers, Abu Hassan Asphani Road, Karachi. (Mobile No. 0316-2129986)</t>
  </si>
  <si>
    <t>FIR No.387 dt.13/10/2015 u/s 365/34 PPC,PS/Sachal,District East,Karachi.</t>
  </si>
  <si>
    <t>2756-S</t>
  </si>
  <si>
    <t>Muhammad Asim Khan s/o Muhammad Aslam Khan</t>
  </si>
  <si>
    <t>Khan Muhammad Azeem, r/o House No. 3/978-A, Near Sasa Wali Gali, Liaquatabad, Karachi. (Mobile No. 0321-3596409)</t>
  </si>
  <si>
    <t>FIR No.146 dt.30/9/2015 u/s 365/34 PPC,PS/Super Market,District Central,Karachi.</t>
  </si>
  <si>
    <t>2757-S</t>
  </si>
  <si>
    <t>Abdul Rauf s/o Abdul latif</t>
  </si>
  <si>
    <t>Mst. Nasreen, r/o House No. 99/7, Area 4-D, Landhi No. 06, Karachi. (Mobile No 0300-2133990)</t>
  </si>
  <si>
    <t>2758-S</t>
  </si>
  <si>
    <t>Muhammad Shahid Khan s/o Ghulam Muhammad</t>
  </si>
  <si>
    <t>Mst. Saima Shahid, r/o House No. 830, Sector 33-D, Korangi 2-1/2, Korangi, Karachi. (Mobile No. 0312-2755204 &amp; 0312-9041977)</t>
  </si>
  <si>
    <t>Traced Person. Dead body recovered. Killed in Police Encounter.</t>
  </si>
  <si>
    <t>2759-S</t>
  </si>
  <si>
    <t>Nasir Uddin s/o Badar Uddin</t>
  </si>
  <si>
    <t>Sani, r/o House No. 33, Gali No. 09, Landhi 36/B, Karachi. (Mobile No. 0312-1179584)</t>
  </si>
  <si>
    <t>2760-S</t>
  </si>
  <si>
    <t>Muhammad Aaqil s/o Khursheed Ali</t>
  </si>
  <si>
    <t>Shakeel Ahmed, r/o House No. 30, Gali No. 42, Landhi 36/B, Karachi. (Mobile No. 0300-2218731)</t>
  </si>
  <si>
    <t>2761-B</t>
  </si>
  <si>
    <t>Muhammad Umair Majeed s/o Malik Abdul Majeed</t>
  </si>
  <si>
    <t>Malik Abdul Majeed, r/o House No. 140/132, B/F Housing Scheme, Siryab Road, Quetta. (Mobile No. 0321-2702797 &amp; 0332-2204416)</t>
  </si>
  <si>
    <t>FIR No.141 dt.21/9/2015 u/s 365/34 PPC PS/Sariab,Quetta.</t>
  </si>
  <si>
    <t>Traced Person. Appeared before the Commission at the hearing on 27.6.2019. He statement has been recorded according to which he returned to home on 12.1.2017.</t>
  </si>
  <si>
    <t>2762-P</t>
  </si>
  <si>
    <t>Qari Muhammad Maqbool</t>
  </si>
  <si>
    <t>Mst. Rashida Parveen, r/o Street No. 01, Habib Park Multan Park, Lahore.</t>
  </si>
  <si>
    <t>FIR No.826 dt.17/10/2015 u/s 365 PPC PS Hanjarwal,Lahore.</t>
  </si>
  <si>
    <t>Traced Person. Returned Home as informed by Rep of IB at the hearing on 19.2.16. Report is placed on record.</t>
  </si>
  <si>
    <t>2763-K</t>
  </si>
  <si>
    <t>Mukaram Shah s/o Zargoon Shah</t>
  </si>
  <si>
    <t>Jamal Shah, r/o Village Madad Baba, Tehsil Takhat Bhai, District Mardan. (Mobile No. 0343-9169834)</t>
  </si>
  <si>
    <t>FIR No.310 dt.17/9/2015 u/s 365 PPC PS Takhat Bai District Mardan</t>
  </si>
  <si>
    <t>Traced Person. Returned Home as informed at the hearing on 23.2.16 by SP (Inv) Mardan. He produced copy of statement of Mukarram Shah.</t>
  </si>
  <si>
    <t>2764-AJ&amp;K</t>
  </si>
  <si>
    <t>Raja Ansar Ali Khan s/o Raja Muhammad Azhar Khan</t>
  </si>
  <si>
    <t>Raja Ghazanfar Ali Khan, r/o P.O Ghari Dupata, Jhand Gran, Tehsil &amp; District, Muzaffarabad.(Mobile No. (0345-5303881)</t>
  </si>
  <si>
    <t>FIR No.230/2015 u/s 364APC PS/City,Muzaffarabad,AJK</t>
  </si>
  <si>
    <t>Under Investigation (AJ&amp;K)</t>
  </si>
  <si>
    <t>2765-P</t>
  </si>
  <si>
    <t>Gohar Hameed Malik s/o Malik Abdul Hameed</t>
  </si>
  <si>
    <t>Malik Abdul Hameed, r/o House No. BB-640, Street No. 05, Mohallah Eid Gah, Asghar Mall Road, Rawalpindi. (Mobile No. 0333-5636600 &amp; 0300-6759322)</t>
  </si>
  <si>
    <t>FIR No.473 dt.24/8/2015 u/s 365 PPC,PS Bani District Rawalpindi</t>
  </si>
  <si>
    <t>Traced Person. Returned Home as informed by SP (Inv) Rawalpindi. Gohar Hameed Malik entered appeared at the hearing on 6.10.2015.</t>
  </si>
  <si>
    <t>2766-P</t>
  </si>
  <si>
    <t>Ijaz Ahmed s/o Muhammad Ameen</t>
  </si>
  <si>
    <t>Muhammad Ameen, r/o Gul Kada No. 02, Tehsil Babu Zai, District Swat. (Mobile No. 0340-0906514)</t>
  </si>
  <si>
    <t>FIR No.247 dt.25/3/2016 u/s 365 PPC,PS/Pir Wadhai District Rawalpindi</t>
  </si>
  <si>
    <t>Traced Person.Returned Home as confirmed at the hearing held on 14.6.2016 by SSP (Inv) Rawalpindi as well as father of Ijaz Ahmed.</t>
  </si>
  <si>
    <t>2767-ICT</t>
  </si>
  <si>
    <t>Ghulam Qadir s/o Ghulam Sarwar</t>
  </si>
  <si>
    <t>Shah Munir, r/o Chungi No. 26, Pind Paracha , Main Street, Orakazai Market, Khattak General Store, Islamabad. (Mobile No. 0314-5427713 &amp; 0302-5125304)</t>
  </si>
  <si>
    <t>21103-8038178-9</t>
  </si>
  <si>
    <t>FIR No.254 dt.19/9/2015 u/s 365 PPC,PS Golra,Islamabad</t>
  </si>
  <si>
    <t>2768-K</t>
  </si>
  <si>
    <t>Haseeb Ahmed s/o Kaleem Ahmed</t>
  </si>
  <si>
    <t>Kaleem Ahmed, r/o House No. 439, Near Water Pump,Bahria Town, Phase No. 08, Sector F. (Mobile No. 0343-9990797)</t>
  </si>
  <si>
    <t>FIR No.1294 dt.17/12/2013 u/s 365 PPC,PS City,Mardan</t>
  </si>
  <si>
    <t>2769-P</t>
  </si>
  <si>
    <t>Khalid Mehmood s/o Rajab Ali</t>
  </si>
  <si>
    <t>Ameer Ali, r/o 65/5L, P.O Khas, Tehsil &amp; District Sahiwal. (Mobile No. 0301-4234910)</t>
  </si>
  <si>
    <t>FIR No.575 dt.19/9/2015 u/s 365PPC,PS Yousaf Wala District Sahiwal.</t>
  </si>
  <si>
    <t>Traced Person. Confined in CTD, Gujranwala in case FIR No: 7/16 dated 26.2.16 u/s 4/5 ESA, 7 FF, 11 F2, 7-ATA etc.</t>
  </si>
  <si>
    <t>2770-K</t>
  </si>
  <si>
    <t>Zarma Jan s/o Nawab Khan</t>
  </si>
  <si>
    <t>Musharam, r/o P.O Shawa Dag Zai, Tehsil Spain Wam, South Wazaristan. (Mobile No. 0305-9383994 &amp; 0965-205302 &amp; 0965-205269)</t>
  </si>
  <si>
    <t>12201-5894053-1</t>
  </si>
  <si>
    <t>FIR No.316 dt.16/9/2015 u/s 365PPC PS Prova District D.I,Khan</t>
  </si>
  <si>
    <t>Deleted. After investigation, JIT / PTF concluded that the Missing Person has gone on his own. There is no eye witness of any incident of abduction. All stakeholders have denied apprehension / custody of Zarma Jan. Hence, not a case of enforced disappearance. The case is closed.</t>
  </si>
  <si>
    <t>2771-K</t>
  </si>
  <si>
    <t>Hameed Ullah s/o Jumma Khan</t>
  </si>
  <si>
    <t>Sami Ullah, r/o Mohallah Babu Fazalabad, Tehsil &amp; District, Swabi. (Mobile No. 0346-4299550)</t>
  </si>
  <si>
    <t>FIR No.427 dt.17/9/2015 u/s 365 PPC PS/Kalu Khan District Swabi.</t>
  </si>
  <si>
    <t>2772-K</t>
  </si>
  <si>
    <t>Muhammad Rizwan s/o Haji Muhammad Aslam</t>
  </si>
  <si>
    <t>Muhammad Amir Shehzad, r/o House No. 1244, Mohallah Cha Amb, Timber Market, Multan. (Mobile No. 0308-5070478)</t>
  </si>
  <si>
    <t>Traced Person. Returned to home as confirmed by SP (Inv) Bannu at the hearing on 28.12.15.</t>
  </si>
  <si>
    <t>2773-K</t>
  </si>
  <si>
    <t>Hafiz Muhammad Sufiyan s/o Haji Muhammad Aslam</t>
  </si>
  <si>
    <t>Traced Person. Confined in the Internment Center Kohat as informed by Rep of MI at the hearing on 14.7.2016.</t>
  </si>
  <si>
    <t>2774-K</t>
  </si>
  <si>
    <t>Abdul Jabbar s/o Imam Din</t>
  </si>
  <si>
    <t>Imam Deen r/o, Chak No. 41/EB, P.O Qabola Tehsil, Arifwala, District, Pak Pattan Sharif. (Mobile No. 0300-6018763)</t>
  </si>
  <si>
    <t>Traced Person. Returned to home on 10.2.17 as confirmed by his father in writing.</t>
  </si>
  <si>
    <t>2775-K</t>
  </si>
  <si>
    <t>Muhammad Bilal Moavia s/o Haji Imam Bakhsh</t>
  </si>
  <si>
    <t>Haji Imam Bakhsh, r/o Basti Murali, Mouza Muhammadpur, P.O Jamalpur, Tehsil Hasilpur, District, Bahawalpur. (Mobile No. 0302-2757006)</t>
  </si>
  <si>
    <t>2776-K</t>
  </si>
  <si>
    <t>Abdul Rehman s/o Muhammad Iqbal</t>
  </si>
  <si>
    <t>Allah Ditta, r/o Moza Mokehripur, Tehsil Kabeerwala, District Sahiwal. (Mobile No. 0305-7847616)</t>
  </si>
  <si>
    <t>2777-K</t>
  </si>
  <si>
    <t>Muhammad Imran s/o Bashir Ahmed</t>
  </si>
  <si>
    <t>Bashir Ahmed, r/o Basti Kareem Bakhsh Misan, Siduwali, P.O Tranadha Muhammad Panah, Tehsil Liaqatpur, District, Rahim yar Khan. (Mobile No. 0302-3578619)</t>
  </si>
  <si>
    <t>Traced Person. Returned to Home as confirmed by SP (Inv) Bannu in his report furnished at the hearing on 28.12.15.</t>
  </si>
  <si>
    <t>2778-K</t>
  </si>
  <si>
    <t>Muhammad Arish Khan s/o Muhammad Aslam Khan</t>
  </si>
  <si>
    <t>Muhammad Afzal Khan, r/o House No. 314/C, Satellite Town, Bahawalpur. (Mobile No. 0301-7705624)</t>
  </si>
  <si>
    <t>Traced Person. Confined in the Internment Center Kohat as informed by Rep of MI at the hearing on 14.7.16.</t>
  </si>
  <si>
    <t>2779-K</t>
  </si>
  <si>
    <t>Muhammad Siddique</t>
  </si>
  <si>
    <t>Muhammad Akram, r/o House No. 1004, Colony No. 03, Khanewal. (Mobile No. 0300-8394091)</t>
  </si>
  <si>
    <t>Traced Person. Returned to Home as confirmed by SP (Inv) in his report furnished at the hearing on 28.12.15.</t>
  </si>
  <si>
    <t>2780-K</t>
  </si>
  <si>
    <t>Abu Bakar Bashir s/o Bashir Ahmed</t>
  </si>
  <si>
    <t>Bashir Ahmed, r/o Qazi Town , Chah Kory Wala, Flat No. 76, Street No. 03, Khanewal Road, Multan. (Mobile No. 0302-7478678)</t>
  </si>
  <si>
    <t>2781-K</t>
  </si>
  <si>
    <t>Ijaz Ahmed s/o Gull Muhammad</t>
  </si>
  <si>
    <t>Riaz Ahmed, r/o House No. 296, Mohallah Kotla, Peran Shah Road, Ward No. 22, Jampur, District Rajanpur. (Mobile No. 0336-6508002)</t>
  </si>
  <si>
    <t>Traced Person. Confined in the Internment Center Kohat as informed at the hearing held on 14.7.2016.</t>
  </si>
  <si>
    <t>2782-K</t>
  </si>
  <si>
    <t>Muhammad Awais s/o Rao Muhammad Mehmoob Ali</t>
  </si>
  <si>
    <t>Rao Muhammad Mehmoob Ali, r/o Mohallah Iftikharabad, P.O Rohailanwali Khas, Tehsil &amp; District,: Muzadargarh. (Mobile No. 0332-6481421)</t>
  </si>
  <si>
    <t>Traced Person. Confined in the Internment Center Kohat as informed by Rep of MI at the hearing held on 14.7.2016.</t>
  </si>
  <si>
    <t>2783-K</t>
  </si>
  <si>
    <t>Muhammad Shahid s/o Khalid Mehmood</t>
  </si>
  <si>
    <t>Muhammad Farooq, r/o House No. 243, Street No. 06, Mohallah Deenpur Samihabad, Multan. (Mobile No. 0306-8416454)</t>
  </si>
  <si>
    <t>Traced Person. Returned to Home as submitted by Rep of IB that he was living with his family at his native village.</t>
  </si>
  <si>
    <t>2784-K</t>
  </si>
  <si>
    <t>Ibrar Shahid s/o Muhammad Aslam</t>
  </si>
  <si>
    <t>Muhammad Aslam, r/o Madni Colony Near lari Ada Fort Abbas, District, Bahawal Nagar. (Mobile No. 0344-7263097)</t>
  </si>
  <si>
    <t>2785-K</t>
  </si>
  <si>
    <t>Rozi Rehman s/o Zumard</t>
  </si>
  <si>
    <t>Abdul Manan, r/o Major Banda, Tehsil &amp; District Swabi. (Mobile No. 0344-1927733 &amp; 0344-9694551)</t>
  </si>
  <si>
    <t>FIR No.549 dt.21/9/2015 u/s 365 PPC PS/Swabi District Swabi.</t>
  </si>
  <si>
    <t>2786-P</t>
  </si>
  <si>
    <t>Zubair Mehmood s/o Sultan Mehmood</t>
  </si>
  <si>
    <t>Nasir Mehmood, r/o Mohallah Masjid Ustad, Main Ghulam Gillani, Tehsil Fateh Jang, District Attock. (M0bile No. 0311-5141591 &amp; 0345-2560502)</t>
  </si>
  <si>
    <t>FIR No.304 dt.05/10/2015 u/s 365 PPC PS Fateh Jang District Attock.</t>
  </si>
  <si>
    <t>Traced Person. Zubair Mehmood has been traced. According to report received from Rep of MI Zubair Mehmood is presently confined in Internment Center Fort Salop. Nasir Mehmood brother of the traced person has been informed.</t>
  </si>
  <si>
    <t>2787-S</t>
  </si>
  <si>
    <t>Abdul Jabbar Zafar</t>
  </si>
  <si>
    <t>Mst. Shahnaz , r/o 5/A,8/47, Nazimabad, Paposh Nagar, Karachi. (Mobile No.2096005)</t>
  </si>
  <si>
    <t>2788-S</t>
  </si>
  <si>
    <t>Habib Ullah s/o Abdullah</t>
  </si>
  <si>
    <t>Mst. Almas, r/o Nopakley, Mingora, Tehsil &amp; District Swat. (Mobile No. 0345-2185042 &amp; 0305-2082520)</t>
  </si>
  <si>
    <t>2789-K</t>
  </si>
  <si>
    <t>Sami Ullah s/o Ismail</t>
  </si>
  <si>
    <t>Mst. Jahan Begum,r/o Mohallah Ameer Khan, Mingora, Swat. (Mobile No. 0334-9319903 &amp; 0347-5168058)</t>
  </si>
  <si>
    <t>Traced Person. SP (Inv) Swat confirmed that Sami Ullah is confined in Kana Baba Army compat at his mother met him.</t>
  </si>
  <si>
    <t>2790-P</t>
  </si>
  <si>
    <t>Atta Ullah s/o Fazal Ullah</t>
  </si>
  <si>
    <t>Fazal Ullah, r/o Parkho Dheri, Tehsil Takht Bhai, District Mardan. (Mobile No. 0314-9052292 &amp; 0344-9649875)</t>
  </si>
  <si>
    <t>FIR No.501 dt.6/10/2015 u/s 365 PPC,PS/Cantt.,Sargodha.</t>
  </si>
  <si>
    <t>Traced Person. DPO, Sargodha, submitted that the Missing Person has Returned to Home and available at his given address.</t>
  </si>
  <si>
    <t>2791-ICT</t>
  </si>
  <si>
    <t>Muhammad Amin s/o Ahmed Ali</t>
  </si>
  <si>
    <t>Mst. Nusrat Shakeel, r/o Tehsil Bahuwana, District Chiniot. (Mobile No. 0333-9795919 &amp; 03417432821)</t>
  </si>
  <si>
    <t>Traced Person. Returned to home as confirmed by SP (Inv) ICT at the hearing on 17.3.2016.</t>
  </si>
  <si>
    <t>2792-K</t>
  </si>
  <si>
    <t>Mian Hazrat Noor s/o Muhammad Sahib</t>
  </si>
  <si>
    <t>Mst. Darnai Bibi, r/o Katali, Chaparial, Swat. (MobileNo. 0305-9454431 &amp; 0344-963368)</t>
  </si>
  <si>
    <t>FIR No.283 dt.19/9/2015 u/s 365 PPC,PS Chuprial District Swat</t>
  </si>
  <si>
    <t>Traced Person. Confined in the Internment Center Fizagat as informed by Rep of MI at the hearing on 17.12.2015.</t>
  </si>
  <si>
    <t>2793-F</t>
  </si>
  <si>
    <t>Noor Wali Jan s/o Nasraullah Jan</t>
  </si>
  <si>
    <t>Nasurallah Jan, r/o Kila Sira Norang, District, Lakki Marwat. (Mobile No. 0345-9857928 &amp; 0302-8073909)</t>
  </si>
  <si>
    <t>Traced Person. Confined in the Internment Center Kohat as informed by Rep of MI at the hearing held in the case on 25.2.16.</t>
  </si>
  <si>
    <t>2794-F</t>
  </si>
  <si>
    <t>Naseer Khan s/o Atlas Khan</t>
  </si>
  <si>
    <t>2795-K</t>
  </si>
  <si>
    <t>Sher Asghar s/o Noor Akbar</t>
  </si>
  <si>
    <t>Noor Akbar, r/o Zargarri, Tehsil &amp; District, Hangu, (Mobile No. 0301-8854046)</t>
  </si>
  <si>
    <t>FIR No.777 dt.30/9/2015 u/s 365 PPC PS Cantt,Kohat</t>
  </si>
  <si>
    <t>Traced Person. Recovered as informed by Rep of IB at the hearing held on 7.12.2015.</t>
  </si>
  <si>
    <t>2796-K</t>
  </si>
  <si>
    <t>Hazrat Hastan s/o Shams-ur-Rehman</t>
  </si>
  <si>
    <t>Ajmer Khan, Kandhari Kamal Khel, Tehsil &amp; District Mohmand Agency. (Mobile No. 0301-5752884)</t>
  </si>
  <si>
    <t>FIR No.904 dt.20/12/2010 u/s 365 PPC,PS East Cantt. District Peshawar.</t>
  </si>
  <si>
    <t>2797-S</t>
  </si>
  <si>
    <t>Sheikh Ameer Muhammad s/o Sheikh Noor Muhammad</t>
  </si>
  <si>
    <t>Mst. Qudsia Begum, r/o Flat No. 602, Zainadb Plaza, Block No. 17, ADJ Masjid,Noor-ul-Huda, Gulshan-e-Iqbal, Karachi. (Mobile No. 0332-2210909 &amp; 0300-9272438)</t>
  </si>
  <si>
    <t>2798-S</t>
  </si>
  <si>
    <t>Jawad Ahmed Khan s/o Ansar Ahmed Khan</t>
  </si>
  <si>
    <t>Mst. Farhana Jawad, r/o House No. A-10/1, Near Hanfia Masjid, Sikandarabad, Karachi. (Mobile No. 0312-1141159)</t>
  </si>
  <si>
    <t>2799-S</t>
  </si>
  <si>
    <t>Rizwan Ahmad s/o Aqeel Ahmad</t>
  </si>
  <si>
    <t>Affan Ahmad, r/o House No. 224, Block No. 08, Liaquatabad, Karachi. (Mobile No. 0345-2152928)</t>
  </si>
  <si>
    <t>Traced Person. Judicial Custody.</t>
  </si>
  <si>
    <t>2800-S</t>
  </si>
  <si>
    <t>Mahmood Hameed Khilji s/o Abdul Hameed</t>
  </si>
  <si>
    <t>Miss. Asma Hameed, House No. 02, Y, Area,Sector 40/c, Korangi No. 1/1/2, Karachi. (Mobile No. 0300-3696860)</t>
  </si>
  <si>
    <t>2801-S</t>
  </si>
  <si>
    <t>Majid Ali Khan s/o Zakir Ali Khan</t>
  </si>
  <si>
    <t>Zakir Ali Khan, r/o House No. 1960,Majeed Colony, Landhi No. 02, Malir, Karachi. (Mobile No. 0343-8038209 &amp; 0316-2506119)</t>
  </si>
  <si>
    <t>2802-S</t>
  </si>
  <si>
    <t>Naeem Ahmed s/o Muneer Ahmed</t>
  </si>
  <si>
    <t>Mst. Shaheen, r/o House No. F-149, F Area, Qasba Aligarh, Mangopir Road, Karachi. (Mobile No. 0311-8177526)</t>
  </si>
  <si>
    <t>2803-S</t>
  </si>
  <si>
    <t>Waqar Ahmed Ansari s/o Sarfaraz Ahmed</t>
  </si>
  <si>
    <t>Rashid Hussain, r/o House No. FS-84/9, Malir Extension Colony, Malir, Karachi. (Mobile No. 0313-3969205)</t>
  </si>
  <si>
    <t>2804-S</t>
  </si>
  <si>
    <t>Muhammad Saeed s/o Iftikhar Ahmed Khan</t>
  </si>
  <si>
    <t>Waqar Ahmed Khan, r/o House No. 2, Street No. 96, Area-4-D, Landhi No. 06, Korangi, Karachi. (Mobile No. 0345-2452338)</t>
  </si>
  <si>
    <t>2805-S</t>
  </si>
  <si>
    <t>Amir Ali s/o Ashiq Ali</t>
  </si>
  <si>
    <t>Mst. Haseena Bibi, Flat No. 501, Unique Classic, Gulistan-e-Johar, Block No. 15, Karachi. (Mobile No. 0333-2203932)</t>
  </si>
  <si>
    <t>FIR No.30 dt.8/2/2016 u/s 365/34 PPC,PS/Brigade,District East,Karachi.</t>
  </si>
  <si>
    <t>2806-S</t>
  </si>
  <si>
    <t>Muhammad Nasir s/o Muhammad Hashim</t>
  </si>
  <si>
    <t>Azeem Ahmed, r/o House No. 29, Street No. 03, Haji Building, Near Khajoor Wali Masjid, Usmanabad, Karachi. (Mobile No. 0346-3236846 &amp; 0311-2968851)</t>
  </si>
  <si>
    <t>FIR No.256 dt.9/10/2015 u/s 365/34 PPC,PS/garden,District South,Karachi.</t>
  </si>
  <si>
    <t>2807-S</t>
  </si>
  <si>
    <t>Zohaibullah Khan s/o Habibullah Khan</t>
  </si>
  <si>
    <t>Fahadullah Khan, r/o House No. 438, Sector No. 40/C, Y Area, Korangi, Karachi. (Mobile No. 0312-1004936)</t>
  </si>
  <si>
    <t>Traced Person. Killed in Encounter (Dead Body Recovered)</t>
  </si>
  <si>
    <t>2808-S</t>
  </si>
  <si>
    <t>Zia-ur-Rehman s/o Attique-ur-Rehman</t>
  </si>
  <si>
    <t>Mst. Iffat Zia, r/o House No. 5-A/10/41, Near Chandni Chowk, Paposh Nagar, Nazimabad, Karachi. (Mobile No. 0343-2628367 &amp; 0313-243168)</t>
  </si>
  <si>
    <t>FIR No.168 dt.30/9/2015 u/s 365/34 PPC,PS/Paposhnagar, District Central,Karachi.</t>
  </si>
  <si>
    <t>2809-S</t>
  </si>
  <si>
    <t>Muhammad Kashif s/o Muhammad Khalil</t>
  </si>
  <si>
    <t>Muhammad Qasim,r/o House No. B-41, Street No. 04, Sector No. 48-D, Korangi No. 2/1/2, Karachi. (Mobile No. 0311-0115109)</t>
  </si>
  <si>
    <t>2810-S</t>
  </si>
  <si>
    <t>Muhammad Imran s/o Muhammad Yaseen</t>
  </si>
  <si>
    <t>Mst. Sana Batool, r/o House No. L-10, Area, Korangi,Karachi. (Mobile No. 0313-1271560 &amp; 0322-3152889)</t>
  </si>
  <si>
    <t>FIR No.383 dt.29/9/2015 u/s 365/34 PPC,PS/Awami Colony, District Korangi East,Karachi.</t>
  </si>
  <si>
    <t>2811-S</t>
  </si>
  <si>
    <t>Jameel Ahmed s/o Muhammad Ilyas</t>
  </si>
  <si>
    <t>Osama Ahmed,r/o House No. 3-H,6/25, Gol Market, Karachi. (Mobile No. 0345-0349613 &amp; 0331-2242658)</t>
  </si>
  <si>
    <t>FIR No.135 dt.29/9/2015 u/s 365/34 PPC,PS/Artillery Maidan, District South,Karachi.</t>
  </si>
  <si>
    <t>2812-S</t>
  </si>
  <si>
    <t>Sajid Khan s/o Muhammad Yaseen Khan</t>
  </si>
  <si>
    <t>Mst. Naseem, r/o House No. 2799, Gali No. 20, Siddique Wahab Road, Ghazi Nagar, Karachi. (Mobile No. 0341-2824654)</t>
  </si>
  <si>
    <t>FIR No.303 dt.7/10/2015 u/s 365/34 PPC,PS/Azizabad, District Central,Karachi.</t>
  </si>
  <si>
    <t>2813-K</t>
  </si>
  <si>
    <t>Muhammad Hassan Baloch s/o Muhammad Aslam Baloch</t>
  </si>
  <si>
    <t>Muhammad Aslam Baloch, r/o House No. 929, Street No. 105, Sector G-9/4, Islamabad. (Mobile 0300-9555076)</t>
  </si>
  <si>
    <t>FIR No.783 dt.19/09/2015 u/s 365 PPC,PS Mirpur District Abbottabad.</t>
  </si>
  <si>
    <t>Traced Person. Returned to Home. Father of Muhammad Hassan Baloch confirmed at the hearing held on 21.12.2015.</t>
  </si>
  <si>
    <t>2814-K</t>
  </si>
  <si>
    <t>Akbar Hussain s/o Zahir Jan</t>
  </si>
  <si>
    <t>Zahir Jan, r/o Village manjah Totano Bandai, Tehsil Kabal, District, Swat. (Mobile No.0346-9402789)</t>
  </si>
  <si>
    <t>Traced Person. Confined in the Internment Centre, Fizagat as informed at the hearing on 14.10.2015.</t>
  </si>
  <si>
    <t>2815-K</t>
  </si>
  <si>
    <t>Umar Zaman s/o Muhammad Zaman</t>
  </si>
  <si>
    <t>Mst. Malka Niaz, r/o Village Bazeer machan Khel, P.O Ghoriwala, Tehsil &amp; District Bannu. (Mobile No. 0336-0938821)</t>
  </si>
  <si>
    <t>2816-ICT</t>
  </si>
  <si>
    <t>Muhammad Saleem Jan s/o Muzamil Shah</t>
  </si>
  <si>
    <t>Muhammad Ali, r/o Jamia-e- Faridia, Street No. 05, E-7, Islamabad. (0313-5660915 &amp; 0314-9445129)</t>
  </si>
  <si>
    <t>FIR No.376 dt.22/10/2015 u/s 365/34 PPC PS Bhara Kahu,Islamabad.</t>
  </si>
  <si>
    <t>Traced Person. Returned to Home. Appeared before the Commission on 29.1.16. Reluctant to mention any details.</t>
  </si>
  <si>
    <t>2817-ICT</t>
  </si>
  <si>
    <t>Latif-ur-Rehman s/o Mansoor Khn</t>
  </si>
  <si>
    <t>Shah Farman, r/o Houe No. 1974, Street No. 27, 10/2, Islamabad (Mobile No. 0312-5884468 &amp; 0312-540462)</t>
  </si>
  <si>
    <t>FIR No.313 dt.17/09/2015 u/s 365 PPC,PS Sabzi Mandi,Islamabad</t>
  </si>
  <si>
    <t>Traced Person. Returned to Home. Appeared before the Megirtrate and got his statement recorded u/s 164 CrPC.</t>
  </si>
  <si>
    <t>2818-K</t>
  </si>
  <si>
    <t>Fazal Hayat s/o Zia-ud-Din Shah</t>
  </si>
  <si>
    <t>Khamin Khan, r/o Village Kach Banda, Tehsil &amp; District, Hangu. (Mobile No. 0332-9570704)</t>
  </si>
  <si>
    <t>Traced Person. Confined in the Internment Centre, Lakki Marwat as informed by Rep of MI at the hearing on 11.4.16.</t>
  </si>
  <si>
    <t>2819-ICT</t>
  </si>
  <si>
    <t>Miraj-ul- Hasan s/o Javeed Manzoor</t>
  </si>
  <si>
    <t>Javed Manzoor, r/o House No. 262, Street No. 43, Margala Town, Phase No. 02, Islamabad. (Mobile No. 0333-5106355)</t>
  </si>
  <si>
    <t>FIR No.355 dt.14/08/2015 u/s 365 PPC,PS Aabpara District Islamabad.</t>
  </si>
  <si>
    <t>Traced Person. Returned to home. F/o Miraj-ul-Hasan submitted affidavit in confirmation thereof.</t>
  </si>
  <si>
    <t>2820-P</t>
  </si>
  <si>
    <t>Khalid Mehmood s/o Muhammad Sharif</t>
  </si>
  <si>
    <t>Mst. Nasreen Khalid, r/o 515, Ammar Block, Nishter Colony, Ferozpur Road, Tehisl &amp; District Lahore. (Mobile No. 0314-7993481)</t>
  </si>
  <si>
    <t>Traced Person. In the Custody of CTD, Lahore as involved in case FIR No. 40/15 dated 4.11.2015 u/s 4/5 ESA, r/w 7-ATA.</t>
  </si>
  <si>
    <t>2821-K</t>
  </si>
  <si>
    <t>Mosa Khan s/o Haji Akbar Khan</t>
  </si>
  <si>
    <t>Akhtar Gul, r/o Awazmi Market, Niazbaz Khan, Mandokhail, Jodhra, P.O Sadda, Tehsil F.R. Kurram, District Kurram Agency. (Mobile No. 0346-9096996)</t>
  </si>
  <si>
    <t>FIR No.1206 dt.7/12/2015 u/s 365 PPC PS Tehkal,Peshawar</t>
  </si>
  <si>
    <t>Traced Person. SP (Inv) Peshawar confirmed at the hearing on 13.2.17 that Mosa Khan is confined in Internment Centre, Para Chinar.</t>
  </si>
  <si>
    <t>2822-K</t>
  </si>
  <si>
    <t>Zahir Rehman s/o Samar Gul</t>
  </si>
  <si>
    <t>Jamal Khan, r/o Kochi Road, Tehsil &amp; District Kurram Agency. (Mobile No. 0301-5827544 &amp; 0301-5827544)</t>
  </si>
  <si>
    <t>FIR No.549 dt.7/12/2015 u/s 365 PPC PS East Cantt.,Peshawar</t>
  </si>
  <si>
    <t>Traced Person. Dead body recovered in the limit in PS Port Sondal Attock, and buried. Family confirmed.</t>
  </si>
  <si>
    <t>2823-K</t>
  </si>
  <si>
    <t>Fazal Khaliq s/o Fazal Razaq</t>
  </si>
  <si>
    <t>Sher Ali Khan, r/o Mohallah Gherat Khel, Tehsil Tangi, District Charsadda. (Mobile No. 0346-9842861)</t>
  </si>
  <si>
    <t>Traced Person. Returned to home. SP (Inv) Charsadda informed that Fazal Khaliq was not abducted by any one.</t>
  </si>
  <si>
    <t>2824-K</t>
  </si>
  <si>
    <t>Alam Gul s/o Aleem Gul</t>
  </si>
  <si>
    <t>Nazir, r/o Sagi Balla, P.O Lakrey, Tehsil Safi, District Mohmand Agency. (Mobile No. 0333-5331246 &amp; 0924-395786)</t>
  </si>
  <si>
    <t>Traced Person. Confined in tej Internment Center Kohat as informed at the hearing on 31.12.15 attended by SP (Inv) Bannu.</t>
  </si>
  <si>
    <t>2825-K</t>
  </si>
  <si>
    <t>Akhtar Gul s/o Shereen</t>
  </si>
  <si>
    <t>Nazir, r/o Sagi Balla, P.O Lakrey, Tehsil Safi, District Mohmand Agency. (Mobile No. 0333-5331246 &amp; 0336-9691100)</t>
  </si>
  <si>
    <t>Traced Person. Confined in the Internment Center Kohat as informed by Rep of MI at the hearing on 3.3.2016.</t>
  </si>
  <si>
    <t>2826-K</t>
  </si>
  <si>
    <t>Abdul Wakeel s/o Khan Badshah</t>
  </si>
  <si>
    <t>Nazir, r/o Sagi Balla, P.O Lakrey, Tehsil Safi, District Mohmand Agency. (Mobile No. 0333-5331246 &amp; 0346-9895771)</t>
  </si>
  <si>
    <t>Traced Person. Confined in the Internment Centre, Kohat as informed at the hearing on 31.12.15 attended by SP (Inv) Bannu.</t>
  </si>
  <si>
    <t>2827-K</t>
  </si>
  <si>
    <t>Dost Muhammad s/o Amad Jan</t>
  </si>
  <si>
    <t>Nazir, r/o Sagi Balla, P.O Lakrey, Tehsil Safi, District Mohmand Agency. (Mobile No. 0333-5331246)</t>
  </si>
  <si>
    <t>2828-K</t>
  </si>
  <si>
    <t>Muhammad Ilyas Khan s/o Aleem Khan</t>
  </si>
  <si>
    <t>Nazir, r/o Siagan Anzari, P.O Yak Ghund, Tehsil Pindyali, District Mohmand Agency. (Mobile No. 0333-132985 &amp; 0302-02736234)</t>
  </si>
  <si>
    <t>2829-S</t>
  </si>
  <si>
    <t>Isbah Ahmed s/o Feroz Ahmed Sami</t>
  </si>
  <si>
    <t>Feroz Ahmed Sami, r/o House No. R-42, Sector No. 60/A-1, Secheme No. 33, Gulzar-e-Hijiri, Malik Society. (Mobile No. 0336-2235009)</t>
  </si>
  <si>
    <t>FIR No.372 dt.22/9/2015 u/s 365/34 PPC,PS/Sachal, District Eastl,Karachi.</t>
  </si>
  <si>
    <t>2830-S</t>
  </si>
  <si>
    <t>Ijtaba Ahmed s/o Feroz Ahmed Sami</t>
  </si>
  <si>
    <t>2831-S</t>
  </si>
  <si>
    <t>Saad Khalil s/o Khalil Ahmed</t>
  </si>
  <si>
    <t>Mst. Shamshad Khalil, r/o Risalpur, Tehsil &amp; District Nowshera. (Mobile No. 0335-3429985)</t>
  </si>
  <si>
    <t>FIR No.34 dt.10/11/2015 u/s 365/34 PPC,PS/Bandai, District Nawabshah (SBA)</t>
  </si>
  <si>
    <t>Traced Person. Saad Khalil has appeared before the Commission on 10/7/2019, whose statement has been recorded on oath. According to him on 5/12/2014 he was picked up by some unknown armed persons at some unknown place and set free on 22/1/2019.</t>
  </si>
  <si>
    <t>2832-S</t>
  </si>
  <si>
    <t>Sabir Ali Barohi s/o Naseer Muhammad Barohi</t>
  </si>
  <si>
    <t>Mst. Rehmat Khatoon, r/o House No. 178, Jamal Goth, Manshera Colony, Landhi, karachi. (Mobile No. 0311-2548157 &amp; 0310-2134021)</t>
  </si>
  <si>
    <t>Traced Person. Dead Body (Killed in Police Encounter)</t>
  </si>
  <si>
    <t>2833-S</t>
  </si>
  <si>
    <t>Aftab Qamar s/o Qamar-ud-Din</t>
  </si>
  <si>
    <t>Syeda Sumera Aftab, r/o Plot No. 12/3, Teachers Housing Society, Block No. III, PECHS. District East, Karachi. (Mobile No. 0307-2667931)</t>
  </si>
  <si>
    <t>Traced Person. Facing Trial in Jail.</t>
  </si>
  <si>
    <t>2834-S</t>
  </si>
  <si>
    <t>Kamal-ud-Din Siddiqui s/o Muhammad Jalal-ud-Din Siddiqui</t>
  </si>
  <si>
    <t>Mst. Shahida Begum, r/o House No. A-4/7, Muhammad Colony, Azizabad, Block No. 08, Federal , B-Area, Central Karachi. (Mobile No. 0316-2450969)</t>
  </si>
  <si>
    <t>2835-S</t>
  </si>
  <si>
    <t>Syed Masood Ahmad s/o Syed Khursheed Ghani</t>
  </si>
  <si>
    <t>Mst. Asma Masood, r/o House No. 3/632, Liaquatabad, District, Central Karachi. (Mobile No. 0316-2247118)</t>
  </si>
  <si>
    <t>FIR No.154 dt.09/10/2015 u/s 365/34 PPC, PS/Gulbahar,District Central West,Karachi.</t>
  </si>
  <si>
    <t>MoFAs No. 10005723</t>
  </si>
  <si>
    <t>2836-S</t>
  </si>
  <si>
    <t>Syed Zakir Hussain Tirmizi s/o Syed Rafiq Hussain Tirmizi</t>
  </si>
  <si>
    <t>Syed Amin, r/o House No. P-120, Lease No. 244, Block-N, Near Jamia Masjid Batha, Peoples Colony, North Nazimabad, Central Karachi. (Mobile No. 0303-2136608)</t>
  </si>
  <si>
    <t>FIR No.15 dt.16/1/2016 u/s 365/34 PPC, PS/Taimuria,,District Central Karachi.</t>
  </si>
  <si>
    <t>MoFAs No. 10005696</t>
  </si>
  <si>
    <t>2837-S</t>
  </si>
  <si>
    <t>Qadeer Hassan s/o Meer Hassan</t>
  </si>
  <si>
    <t>Mst. Mehar-un-Nisa, r/o House No. 20/32, Hasrat Mohani Colony, Manghopir Road, Pak Colony, District East, Karachi (Mobile No. 0346-3890810 &amp; 0311-9299781)</t>
  </si>
  <si>
    <t>2838-S</t>
  </si>
  <si>
    <t>Shahid Hussain s/o Munawwar Hussain</t>
  </si>
  <si>
    <t>Mst. Shehzadi Shahid, r/o House No. S-H-72, Shaheen Abad, Katchi Abadi, Bufferozone, District Central, Karachi. (Mobile No. 0315-2469177)</t>
  </si>
  <si>
    <t>2839-S</t>
  </si>
  <si>
    <t>Muhammad Afzal Bhatti s/o Mahar Muhammad</t>
  </si>
  <si>
    <t>Mahar Muhammad, r/o House No. B/699, Hasrat Mohani Colony, Manghopir Road, Pak Colony, District West, Karachi. (Mobile No. 0334-3106776)</t>
  </si>
  <si>
    <t>2840-S</t>
  </si>
  <si>
    <t>Muhammad Qasim s/o Muhammad Younis</t>
  </si>
  <si>
    <t>Muhammad Zahid, r/o House No. 111, Sector No. 13-D, Orangi Town, District West, Karachi. (Mobile No. 0313-2565090 &amp; 0310-1184229)</t>
  </si>
  <si>
    <t>2841-S</t>
  </si>
  <si>
    <t>Muhammad Saleem s/o Abdullah</t>
  </si>
  <si>
    <t>Mst. Raqayya Bano, r/o Butt Plaza, 2nd Floor, Punjabi Club,Near Khardar Jamat Khana, District South, Karachi. (Mobile No. 0324-2158147)</t>
  </si>
  <si>
    <t>FIR No.445 dt.11/11/2015 u/s 365/34 PPC,PS/Kharadar City,District South,Karachi.</t>
  </si>
  <si>
    <t>2842-S</t>
  </si>
  <si>
    <t>Muhammad Raheel s/o Muhammad Younis</t>
  </si>
  <si>
    <t>Mst. Naseema Khatoon, r/o House No. NP-13/77-1, Muhammad Shah Jodia Bazar, Ranchore Line, District South, Karachi. (Mobile No. 0313-8756734)</t>
  </si>
  <si>
    <t>2843-S</t>
  </si>
  <si>
    <t>Muhammad Noman s/o Muhammad Arif</t>
  </si>
  <si>
    <t>Naeem, r/o House No. 1438/3, Siddiqabad, Block No. 03 F.B,Area, Central Karachi. (Mobile No. 0315-8860657 &amp; 0323-2130060)</t>
  </si>
  <si>
    <t>Traced Person. Jail Custody</t>
  </si>
  <si>
    <t>2844-S</t>
  </si>
  <si>
    <t>Mushtaq s/o Muhammad Saleem</t>
  </si>
  <si>
    <t>Muhammad Saleem, r/o Kara Kareem Compound, Patli Gali No. 06, Usmanabad, Nisther Road, District South Karachi. (Mobile No. 0313-2942346)</t>
  </si>
  <si>
    <t>FIR No.232 dt.10/9/2015 u/s 365/34 PPC PS Garden, South Karachi.</t>
  </si>
  <si>
    <t>Deleted. Not a case of enforced disappearance as the missing person Mushtaq Adil has been declared absconder dated 14.5.2019 PS, Garden by the competent Court of Jurisdiction.</t>
  </si>
  <si>
    <t>2845-ICT</t>
  </si>
  <si>
    <t>Asif Saleem s/o Saleem Akhtar</t>
  </si>
  <si>
    <t>Saleem Akhtar, r/o New Kuri Road, Chak Shehzad, Islamabad.(Mobile No. 0332-5333216 &amp; 0324-5044669)</t>
  </si>
  <si>
    <t>FIR No.7 dt.08/1/2016 u/s 365 PPC PS Lohi Bher District Islamabad</t>
  </si>
  <si>
    <t>2846-K</t>
  </si>
  <si>
    <t>Umar Zarin s/o Khushal Mian</t>
  </si>
  <si>
    <t>Tariq Ahmed, r/o Mohallah Lala Gan, P.O Tariq Abad, Tehsil Babu Zai, District Swat. (Mobile No. 0344-9675716 &amp; 0340-5855827 &amp; 0347-0992332).</t>
  </si>
  <si>
    <t>13403-0160464-9</t>
  </si>
  <si>
    <t>FIR No.797 dt.09/10/2015 u/s 365 PPC PS/Rahimabad District Swat.</t>
  </si>
  <si>
    <t>2847-K</t>
  </si>
  <si>
    <t>HRC No. 17051-K/2015</t>
  </si>
  <si>
    <t>Khan Wahid s/o Muhammad Ismail Afridi</t>
  </si>
  <si>
    <t>Muhammad Raheem, r/o Afridi Watch, Near Ring Road, Gulbhar No. 05 Tehsil &amp; District Peshawar. (Mobile No. 0301-8833299 &amp; 0321-9192524)</t>
  </si>
  <si>
    <t>Traced Person. SI/I.O at the case submitted report that Khan Wahid was killed in an encounter with police, details in the report on record.</t>
  </si>
  <si>
    <t>2848-S</t>
  </si>
  <si>
    <t>HRC No. 10897-S/2014</t>
  </si>
  <si>
    <t>Rohail Asghar Laghari s/o Asghar Ali Laghari</t>
  </si>
  <si>
    <t>Asghar Ali Laghari, r/o Village Sanjar Mir Bahar, Taluka Qasimabad, District, Hyderabad.</t>
  </si>
  <si>
    <t>2849-S</t>
  </si>
  <si>
    <t>HRC No. 5850-S/2015</t>
  </si>
  <si>
    <t>Muhammad Qasim s/o Muhammad Tariq</t>
  </si>
  <si>
    <t>Mst. Mehar-un-Nisa, r/o House No. 595, Sector No. I-B, Orangi Town, Karachi. (Mobile No. 0333-3273340)</t>
  </si>
  <si>
    <t>2850-P</t>
  </si>
  <si>
    <t>Muhammad Asif s/o Muhammad Ishaq</t>
  </si>
  <si>
    <t>Hafiz Sohail Abid, r/o House No. P-132, Street No. 3-14, Muhammad Pura, Fasilabad. (Mobile No. 0321-7848571)</t>
  </si>
  <si>
    <t>FIR No.661 dt.19/8/2015 u/s 365 PPC PS Gulberg District Faisalabad</t>
  </si>
  <si>
    <t>Traced Person. Returned to home. SSP (Inv) Faisalabad confirmed that Muhammad Asif appeared before him.</t>
  </si>
  <si>
    <t>2851-P</t>
  </si>
  <si>
    <t>Hafiz Umar Farooq s/o Hafiz Abdul Kareem</t>
  </si>
  <si>
    <t>Muhammad Yaqoob, r/o Sadhar Baipas, Barkat Masjid, Jhang Road, Faisalabad. (Mobile No. 0301-2126696)</t>
  </si>
  <si>
    <t>FIR No.17 dt.05/01/2016 u/s 365 PPC PS/Thikriwala District Faisalabad</t>
  </si>
  <si>
    <t>Traced Person. Returned to home as confirmed by his brother as per report of SP(Inv) Faisalabad.</t>
  </si>
  <si>
    <t>2852-K</t>
  </si>
  <si>
    <t>Muhammad Zahid s/o Abdullah</t>
  </si>
  <si>
    <t>Mst. Fahmida, r/o New Kasskal, Street No.02, Mohallah Tariqabad, Peshawar. (Mobile No. 0303-5386006 &amp; 0300-3875395)</t>
  </si>
  <si>
    <t>FIR No.737 dt.16/11/2015 u/s 365 PPC PS Gulberg,Peshawar</t>
  </si>
  <si>
    <t>Traced Person. Returned to home. It was informed at the hearing on 9.2.16 and letter reclined in that respact was readover.</t>
  </si>
  <si>
    <t>2853-K</t>
  </si>
  <si>
    <t>Noor Muhammad s/o Alam Khan</t>
  </si>
  <si>
    <t>Nimat Ullah, r/o Bagio Khel, Tehsil &amp; District Laki Marwat. (Mobile No. 0303-8816701)</t>
  </si>
  <si>
    <t>FIR No.741 dt.02/11/2015 u/s 365 PPC PS/Lakki Marwat.</t>
  </si>
  <si>
    <t>Deleted. Statement of Niamat Ullah, complainant was recorded by the Commission on oath on 29.11.2019, who deposed that Noor Muhammad communicated with his cousin telephonically and told that he was at Lorry Adda, Lakki Marwat. During cross- examination, Niamat Ullah deposed that he did not level allegation against any LEAs/Intelligence Agency. He affirmed that none of LEAs/ Intelligence Agency was involved or suspected to be involved in the disappearance of Noor Muhammad (missing person). Custody of Noor Muhammad has been denied by Reps of ISI, MI, CTD &amp; FC. According to IB report there is nothing adverse against Noor Muhammad. In this connection of the case it does not fall within the domain of enforced disappearance. The case is deleted.</t>
  </si>
  <si>
    <t>2854-K</t>
  </si>
  <si>
    <t>Dilawar Khan s/o Adam Khan</t>
  </si>
  <si>
    <t>Mst. Namako Bibi, r/o House No. 150, Mohallah Warisabad, Haji Camp, Peshawar. (Mobile No. 0300-5246846 &amp; 034-9091396)</t>
  </si>
  <si>
    <t>FIR No.1447 dt.11/11/2015 u/s 365 PPC PS Paharipura, Peshawar</t>
  </si>
  <si>
    <t>2855-K</t>
  </si>
  <si>
    <t>Muhammad Imran s/o Abdul Rehman Bhatti</t>
  </si>
  <si>
    <t>Mst. Hamida Begum, r/o Bilal Street, Basti Maken Shumail Thouya, Fazal Road, Dera Ismail Khan.(Mobile No. 0335-6416503)</t>
  </si>
  <si>
    <t>FIR No.1055 dt,03/11/2015 u/s 365 PPC PS/Cantt., D.I.Khan</t>
  </si>
  <si>
    <t>2856-K</t>
  </si>
  <si>
    <t>Usman Ghani s/o Sher Afzal</t>
  </si>
  <si>
    <t>Wajid Ali, r/o Barah Bandhai, Teshil Kabal, District Swat. (Mobile No. 0347-1972803 &amp; 0343-9134094)</t>
  </si>
  <si>
    <t>15602-0394887-9</t>
  </si>
  <si>
    <t>FIR No.477 dt.29/10/2015 u/s 365 PPC,PS/Kanju District Swat.</t>
  </si>
  <si>
    <t>2857-K</t>
  </si>
  <si>
    <t>Mano Khan s/o Chanri</t>
  </si>
  <si>
    <t>Jawad Khan, r/o Barah Bandai, Tehsil Kabal, District Swat. (Mobile No. 0348-1929275 &amp; 0340-1969402)</t>
  </si>
  <si>
    <t>15602-0238575-3</t>
  </si>
  <si>
    <t>FIR No.476 dt.29/10/2015 u/s 365 PPC,PS/Kanju District Swat.</t>
  </si>
  <si>
    <t>2858-K</t>
  </si>
  <si>
    <t>Muhammad Ahmed s/o Muhammad Ismail</t>
  </si>
  <si>
    <t>Abdul Baqi, r/o Moza Ghannowali, P.O Gamani Shareef, basti Madh Mastoi, Tehsil Ahmadpur Sharqia, District Bahawalpur. (Mobile No. 0310-4557834)</t>
  </si>
  <si>
    <t>2859-K</t>
  </si>
  <si>
    <t>Alam Sher s/o Muhammad Azeem</t>
  </si>
  <si>
    <t>Abdul Shakoor, r/o Jaren, P.O Geshkor, Tehsil &amp; District Awaran, Balochistan. (Mobile No. 0333-3113624)</t>
  </si>
  <si>
    <t>2860-S</t>
  </si>
  <si>
    <t>Muhammad Kamran Sheikh s/o Muhammad Iqbal Sheikh</t>
  </si>
  <si>
    <t>Mst. Samerina Kamran, r/o D-12, Alfalah Extension,Malir Halt, Karachi. (Mobile No. 0321-2490020)</t>
  </si>
  <si>
    <t>FIR No.4 dt.4/1/2015 u/s 365/34 PPC,PS/Al-Falah,District Korangi,Karachi.</t>
  </si>
  <si>
    <t>Traced Person. It was informed at the hearing held in this Commission on 3.12.2019 that Muhammad Kamran Sheikh has returned home. In this connection report from SDPO, Al-Falah, Karachi along with statement of the Traced Person and his brother have been submitted at the hearing.</t>
  </si>
  <si>
    <t>2861-P</t>
  </si>
  <si>
    <t>Zeshan-ul-Haq s/o Ali Ahmed</t>
  </si>
  <si>
    <t>Zill-e-Huma, r/o Chak No. 121, JB, Gokhowal, Tehsil &amp; District Faisalabad. (Mobile No. 0321-4132932)</t>
  </si>
  <si>
    <t>FIR No.218 dt.05/12/2015 u/s 365 PPC,PS/South Cantt.,District Lahore.</t>
  </si>
  <si>
    <t>Traced Person. Returned to home as confirmed by SP (Inv) City, Lahore at the hearing on 7.4.2017.</t>
  </si>
  <si>
    <t>2862-F</t>
  </si>
  <si>
    <t>HRC No. 14905-G/2015</t>
  </si>
  <si>
    <t>Adam Khan s/o Muhammad Rahim</t>
  </si>
  <si>
    <t>Muhammad Rahim, r/o Village Mamniez, Tehsil Khaar, District Bajur. (Mobile No. 0307-8533676)</t>
  </si>
  <si>
    <t>Traced Person. APA Bajaur Agency confirmed at the hearing on 10.01.17 that Adam Khan has been released.</t>
  </si>
  <si>
    <t>2863-S</t>
  </si>
  <si>
    <t>HRC No. 7695-S/2015</t>
  </si>
  <si>
    <t>Munawar Shah s/o Naqshband Khan</t>
  </si>
  <si>
    <t>Naqshaband Khan, r/o House No. B-190,Iqbal Nagar, Kanwari Colony, P.O Manghopir, Karachi. (Mobile No. 0336-3520420 &amp; 0334-2321616)</t>
  </si>
  <si>
    <t>FIR No.282 dt.9/1/2015 u/s 365 PPC PS Airport District Karachi</t>
  </si>
  <si>
    <t>2864-S</t>
  </si>
  <si>
    <t>Rasoool Badshah s/o Naqshband Khan</t>
  </si>
  <si>
    <t>2865-S</t>
  </si>
  <si>
    <t>Sohawa d/o Muhammad Moosa</t>
  </si>
  <si>
    <t>Muhammad Mosa Domaki, r/o Bangalow No. C-31, Sheraz Hospital, Government Scoiety, Airport Road, Sukkar. (Mobile No. 0300-3137264)</t>
  </si>
  <si>
    <t>2866-P</t>
  </si>
  <si>
    <t>B- Zaitoon d/o Bacha Gul along with her Childrens</t>
  </si>
  <si>
    <t>Sher Shah, r/o Koral Chowk, Street No. 03, House No. 07, Near Bahra Kho, Islamabad. (Mobile No. 0300-5518138)</t>
  </si>
  <si>
    <t>FIR No.1167 dt.21/11/2015 u/s 496-A PPC PS Airport,Rawalpindi</t>
  </si>
  <si>
    <t>Deleted. Not a case of enforced disappearanced as it involves private individuals in the abduction.</t>
  </si>
  <si>
    <t>2867-B</t>
  </si>
  <si>
    <t>Gull Khan s/o Muhammad Hashim</t>
  </si>
  <si>
    <t>Ahmed Nawaz, r/o Alfalah House, Gillani Road, Quetta. (Mobile No, 0302-3579925)</t>
  </si>
  <si>
    <t>FIR No.187 dt.25/11/2015 u/s 365/147/148/149 PPC PS Sariab,Quetta.</t>
  </si>
  <si>
    <t>Traced Person. Killed in Police Encounter as per report submitted by SSP (Inv) Quetta at the hearing on 4.4.16. Dead body was received by younger brother.</t>
  </si>
  <si>
    <t>2868-S</t>
  </si>
  <si>
    <t>Abdul Qadir s/o Gul Bahadur</t>
  </si>
  <si>
    <t>Fazal Qadir, r/o House No. 1614, Sector No. D-2, Street No. 22, Hijiri Colony, Karachi. (Mobile No. 0303-2952085)</t>
  </si>
  <si>
    <t>Traced Person. Returned to Home and available at (House No. 1614, Sector No. D-2, Street No. 22, Hijiri Colony, Karachi)</t>
  </si>
  <si>
    <t>2869-K</t>
  </si>
  <si>
    <t>Hazrat Umar s/o Mir Dil Khan</t>
  </si>
  <si>
    <t>Mir Dil Khan, r/o Ghoundai , P.O Wana, Waziristan. (Mobile No. 0306-9578990)</t>
  </si>
  <si>
    <t>FIR No.613 dt.12/11/2015 u/s 365 PPC PS Akora Khattak</t>
  </si>
  <si>
    <t>Traced Person. Returned to home. Statement of father available on record to confirm.</t>
  </si>
  <si>
    <t>2870-K</t>
  </si>
  <si>
    <t>Amin Ullah s/o Sarwar Shah</t>
  </si>
  <si>
    <t>Ahmed Hussain, r/o Khadami Banda, Tehsil &amp; District Kohat. (Mobile No. 0332-9651690)</t>
  </si>
  <si>
    <t>FIR No.420 dt.10/11/2015 u/s 365/ PPC PS/Jarma,Kohat.</t>
  </si>
  <si>
    <t>2871-P</t>
  </si>
  <si>
    <t>Nazmeen Gul s/o Habib Gul</t>
  </si>
  <si>
    <t>Habib Gul, r/o Mohallah Chargo Mela, Mamo Banda, Tehsil &amp; District Hangu. (Mobile No.0300-5668311)</t>
  </si>
  <si>
    <t>FIR No.330 dt,05/11/2015 u/s 365/ PPC PS/Fateh Jang,District Attock.</t>
  </si>
  <si>
    <t>Traced Person. Returned to Home and available at (Mohallah Ghargo Mela, Mamo Banda, Tehsil &amp; District Hangu). Appeared before the Commission on 18.8.2016.</t>
  </si>
  <si>
    <t>2872-K</t>
  </si>
  <si>
    <t>Nimat Hassan s/o Fazal Akbar</t>
  </si>
  <si>
    <t>Fazal Akbar, r/o Piochar, P.O Gat, Tehsil Mata, District, Swat. (Mobile No. 0346-4083276 &amp; 0346-3000724)</t>
  </si>
  <si>
    <t>FIR No. 01 dated 8/1/2010 u/s 365-PPC PS Chuprial</t>
  </si>
  <si>
    <t>2873-ICT</t>
  </si>
  <si>
    <t>Rehmat Wali s/o Muhammad Rehman</t>
  </si>
  <si>
    <t>Khalid Ayub, r/o House No. 394, Street No. 107, D-12/1. Islamabad. (Mobile No. 03101055666)</t>
  </si>
  <si>
    <t>FIR No.374 dt.15/11/2015 u/s 365 PPC PS Shalimar,Islamabad.</t>
  </si>
  <si>
    <t>Traced Person. SP (Inv) ICT confirmed at the hearing on 17.3.16 that Rehmat Wali has returned to home.</t>
  </si>
  <si>
    <t>2874-S</t>
  </si>
  <si>
    <t>Amanullah Khan s/o Nizamat Khan</t>
  </si>
  <si>
    <t>Mst. Yasmeen, r/o House No. 198, Area, 1-D/E, Landhi No. 02, District Korangi, Karachi. (Mobile No. 0333-1259012)</t>
  </si>
  <si>
    <t>2875-S</t>
  </si>
  <si>
    <t>Muhammad Mehmood s/o Muhammad Usman</t>
  </si>
  <si>
    <t>Mst.Zakia Nahid, r/o House No. 514, Area,37-B, Landhi No. 01, District Korangi, Karachi. (Mobile No. 0321-3851489 &amp; 0312-2907102)</t>
  </si>
  <si>
    <t>2876-S</t>
  </si>
  <si>
    <t>Rehan Akhtar s/o Muhammad Akhtar Khan</t>
  </si>
  <si>
    <t>Ms. Shahana Ghafoor, r/o House No. 10/319, Liquatabad No. 10,District,Central, Karachi. (Mobile No. 0311-2563347 &amp; 0324-2411911)</t>
  </si>
  <si>
    <t>2877-S</t>
  </si>
  <si>
    <t>Muhammad Mazhar Khan s/o Muhammad Asghar</t>
  </si>
  <si>
    <t>Mst. Erum Parveen Mazhar, r/o House No. L-594, Sector 5-A-3, North Karachi. District Central. (Mobile No. 0332-2960394)</t>
  </si>
  <si>
    <t>2878-S</t>
  </si>
  <si>
    <t>Syed Zamin Abbas Naqvi s/o Syed Muhammad Hussain Naqvi</t>
  </si>
  <si>
    <t>Mst. Farah, r//o House No. F-403, Korangi No. 04, District Korangi, Karachi. (Mobile No. 0311-2678505 &amp; 0314-5874320)</t>
  </si>
  <si>
    <t>FIR No.25 dt.19/1/2016 u/s 365/34 PPC,PS/Awami Colony,District Korangi Karachi.</t>
  </si>
  <si>
    <t>2879-S</t>
  </si>
  <si>
    <t>Muhammad Noman s/o Muhammad Sami</t>
  </si>
  <si>
    <t>Muhammad Rehan Asim, r/o Iqbal Center, M.A.Jinnah Road, District South, Karachi. (Mobile No. 0308-8885738)</t>
  </si>
  <si>
    <t>2880-S</t>
  </si>
  <si>
    <t>Waseem Ahmed s/o Qamar Ahmed</t>
  </si>
  <si>
    <t>Mst. Nighat Waseem, r/o Flalt No. A-21, Mehran Apartments, Third Floor, Block No. 16, Pir Heaveb, Pir Colony, District East, karachi. (Mobile No. 0332-2363726 &amp; 0306-2810299)</t>
  </si>
  <si>
    <t>FIR No.131 dt.3/3/2016 u/s 365/34 PPC,PS/PIB Colony,District East, Karachi.</t>
  </si>
  <si>
    <t>Traced Person. Arrested by Pak Rangers for (90 Days Preventive Custody)</t>
  </si>
  <si>
    <t>2881-S</t>
  </si>
  <si>
    <t>Muhammad Asif s/o Imam-ud-Din</t>
  </si>
  <si>
    <t>Mst. Amber Asif, r/o Flat No. F-37, Al- Azam Square, Phase No. 04, District East, Central karachi. (Mobile No. 0321-2985331 &amp; 0333-2271156)</t>
  </si>
  <si>
    <t>FIR No.178 dt.30/9/2015 u/s 365/34 PPC,PS/Sharifabad ,District Central, Karachi.</t>
  </si>
  <si>
    <t>2882-S</t>
  </si>
  <si>
    <t>Muhammad Riaz Sheikh s/o Muhammad Abdul Razzaq Sheikh</t>
  </si>
  <si>
    <t>Muhammad Abdul Razzaq Sheikh, r/o House No. 8/232, Liquatabad No. 08, District Central, karachi. (Mobile No. 0344-2497544 &amp; 0312-1115711)</t>
  </si>
  <si>
    <t>FIR No.216 dt.30/9/2015 u/s 365/34 PPC,PS/Liaquatabad, Central District West, Karachi.</t>
  </si>
  <si>
    <t>MoFAs No. 10005695</t>
  </si>
  <si>
    <t>2883-S</t>
  </si>
  <si>
    <t>Muhammad Waqas s/o Raees-ud-Din</t>
  </si>
  <si>
    <t>Raees-ud-Din, r/o Flat No. 05, Fifth Floor, Sarwari Manzal, Mao Ji Street, Ranchorline, District South, Karachi. (Mobile No. 0324-2111216)</t>
  </si>
  <si>
    <t>FIR No.24 dt.22/1/2016 u/s 365/34 PPC,PS/Jackson, South City, Karachi.</t>
  </si>
  <si>
    <t>Deleted. It was informed at the hearing on 11/04/2218 that Muhammad Waqas was involved in case FIR No. 77/2016. He was declared absconder bt ATC No. 16, Karachi. He being fugitive from law, the case is closed.</t>
  </si>
  <si>
    <t>2884-S</t>
  </si>
  <si>
    <t>Syed Muhammad Ali Naqvi s/o Syed Istaqbal Hussain Naqvi</t>
  </si>
  <si>
    <t>Syed Istaqbal Hussain Naqvi, r/o Flat No. C-13, Al-Azam Square, Federal-B, Area, Block No. 1, District,Central, Karachi. (Mobile No. 0300-2242739 &amp; 0346-2441097)</t>
  </si>
  <si>
    <t>2885-S</t>
  </si>
  <si>
    <t>Syed Moosa s/o Syed Mehmood</t>
  </si>
  <si>
    <t>Syed Usman, r/o House no. b-608, Landhi, 36-G, District Korangi, Karachi. (Mobile No.0314-2098227 &amp; 0345-3791640)</t>
  </si>
  <si>
    <t>FIR No.9 dt.17/1/2016 u/s 365/34 PPC,PS/Landhi,District Korangi,Karachi.</t>
  </si>
  <si>
    <t>2886-S</t>
  </si>
  <si>
    <t>Ali Hamid s/o Sagheer Ahmed Ashrafi</t>
  </si>
  <si>
    <t>Mst. Erum Shaheen, r/o House No. E-4/10,Compound No. 01, Nizami Road, Jacob Line, District East, karachi. (Mobile No. 0345-3254334)</t>
  </si>
  <si>
    <t>Traced Person. Arrested by Pak Rangers for (90 Days Preventing Custody)</t>
  </si>
  <si>
    <t>2887-S</t>
  </si>
  <si>
    <t>Majid Baig s/o Ameer Baig</t>
  </si>
  <si>
    <t>Mst. Majeeda Baig, r/o House No. 1729/332, Gujrat Colony, baldia Town, District West, Karachi. (Mobile No. 0346-3274051)</t>
  </si>
  <si>
    <t>2888-K</t>
  </si>
  <si>
    <t>Roohullah s/o Zahir Khan Sheikh</t>
  </si>
  <si>
    <t>Zahir Khan Sheikh, r/o Beri Bagh, Yak Toot, Peshawar. (Mobile No. 0300-5906645)</t>
  </si>
  <si>
    <t>FIR No.1390 dt.7/12/2015 u/s 365 PPC PS Khan Raziq Shaheed(Kabuli),Peshawar.</t>
  </si>
  <si>
    <t>2889-P</t>
  </si>
  <si>
    <t>Umar Zada s/o Amin</t>
  </si>
  <si>
    <t>Mst.Alia, r/o Mohallah Ghunda Tangoli, Tehsil, Kabal, District, Swat. (Mobile No. 0341-9033404)</t>
  </si>
  <si>
    <t>Traced Person. Returned to home as confirmed by his wife and communicated to this Commission by I.O of the case.</t>
  </si>
  <si>
    <t>2890-P</t>
  </si>
  <si>
    <t>Wahid Bhatti s/o Muhammad Pervaiz Khan Bhatti</t>
  </si>
  <si>
    <t>Zahid Bhatti, r/o Mohallah Ahmad Nagar, Street No. 02, House No. CB-233, Wah Cantt. (Mobile No. 0300-9752753)</t>
  </si>
  <si>
    <t>FIR No.439 dt.22/11/2015 u/s 365 PPC PS Saddar,Wah District Rawalpindi</t>
  </si>
  <si>
    <t>2891-P</t>
  </si>
  <si>
    <t>Jamil Mehmood Khan s/o Taj Mehmood</t>
  </si>
  <si>
    <t>Shehzad Mehmood Khan, r/o House No. 1132, Mohallah Mehrabad, hassan Abdal, District Attock. (Mobile No. 0322-5424836)</t>
  </si>
  <si>
    <t>Traced Person. Jamil Mehmood Khan has returned to home as per report of IB submitted at the hearing on 19/03/2018.</t>
  </si>
  <si>
    <t>Wah Cantt</t>
  </si>
  <si>
    <t>2892-P</t>
  </si>
  <si>
    <t>Syed Abdul Allam Zadi s/o Syed Shafique Hussain</t>
  </si>
  <si>
    <t>Syed Shafique Hussain, r/o Medical Officer, Main Health Center, Bahawalgarh, Tehsil Kehrorpaka, District Lodhran.(Mobile No. 0303-6737672)</t>
  </si>
  <si>
    <t>FIR No.336 dt.25/11/2015 u/s 365 PPC PS/Abdul Hakeem,District Khanewal.</t>
  </si>
  <si>
    <t>Traced Person. Arrested in case FIR No: 53 dated 15.9.2016 u/s 11-F2, 7-ATA 4/5 ESA by CTD PS, Lahore.</t>
  </si>
  <si>
    <t>2893-K</t>
  </si>
  <si>
    <t>Umer Khatab s/o Abdul Rasheed</t>
  </si>
  <si>
    <t>Muhammad Amir, r/o Hajiabad, Orkazai Banda, P.O Bilitang, Tehsil &amp; District Kohat. (Mobile No. 0331-9889456 &amp; 0333-3334664)</t>
  </si>
  <si>
    <t>FIR No.553 dt.9/12/2015 u/s 365 PPC PS East Cantt.,Peshawar.</t>
  </si>
  <si>
    <t>Traced Person. Confined in the Internment Centre, Kohat as informed by Rep of MI at the hearing on 16.11.16.</t>
  </si>
  <si>
    <t>2894-K</t>
  </si>
  <si>
    <t>HRC No. 17412-K/2015</t>
  </si>
  <si>
    <t>Arif s/o Sir Zameen Khan</t>
  </si>
  <si>
    <t>Sar Zameen Khan, r/o Alayar Khel , Nowshera Kalan. (Mobile No. 0336-9018612)</t>
  </si>
  <si>
    <t>FIR No.493 dt.28/4/2011 u/s 365 PPC PS Nowshera Kalan District Nowshera</t>
  </si>
  <si>
    <t>Under Investigation (KP) Nowshera</t>
  </si>
  <si>
    <t>2895-K</t>
  </si>
  <si>
    <t>HRC No. 10102-K/2015</t>
  </si>
  <si>
    <t>Asad Khan s/o Muneer-ur-Haq</t>
  </si>
  <si>
    <t>Naveed, r/o Batkhela, District Malakand. (Mobile No. 0313-9733313)</t>
  </si>
  <si>
    <t>FIR No.89 dt.11/3/2016 u/s 365/148/149 PPC PS/Levy Thana Batkhela,Malakand</t>
  </si>
  <si>
    <t>Traced Person. Confined in the Internment Center Kohat as informed by Rep of MI at the hearing on 11.8.2016.</t>
  </si>
  <si>
    <t>2896-K</t>
  </si>
  <si>
    <t>Muhammad Ibrar Khan s/o Haji Ajmal Khan</t>
  </si>
  <si>
    <t>Mst. Bus Kamala, r/o Dowrana Khan, Takhti Khel, District Lakki Marwat.</t>
  </si>
  <si>
    <t>FIR No.763 dt.19/11/2015 u/s 365 PPC PS Naurang District Lakki Marwat</t>
  </si>
  <si>
    <t>Under Investigation (KP) Lakki Marwat</t>
  </si>
  <si>
    <t>2897-P</t>
  </si>
  <si>
    <t>Ijaz Ullah s/o Sadidul Ghafoor</t>
  </si>
  <si>
    <t>Sadidul Ghafoor, r/o Village Charrguri, Malkiabad, Tehsil Balambut, District Lower Dir. (Mobile No. 0345-9410933 &amp; 0348-5191584)</t>
  </si>
  <si>
    <t>FIR No.772 dt.09/12/2015 u/s 365 PPC PS Bkikki District Sheikhupura</t>
  </si>
  <si>
    <t>Traced Person. It was informed at the hearing that Ijaz Ullah has been traced. Father of Ijaz Ullah is present. He has affirmed that his son Ijaz Ullah has returned to home.</t>
  </si>
  <si>
    <t>To be fixed at Islamabad</t>
  </si>
  <si>
    <t>2898-P</t>
  </si>
  <si>
    <t>Muhammad Imran s/o Mushtaq Hussain</t>
  </si>
  <si>
    <t>Mushtaq Hussain r/o House No. 1807/29, Street no. 6, Sadiq Colony, Near Railway Station Mall Godam Road, Multan Mobile No. 0308-7418272</t>
  </si>
  <si>
    <t>FIR No.142 dt.07/12/2015 u/s 365 PPC PS Daulat Gate, District Multan</t>
  </si>
  <si>
    <t>Traced Person. Muhammad Imran has been traced. He has returned to home and appeared before the Commission on 19.6.2019 whose statement has been recorded on oath.</t>
  </si>
  <si>
    <t>2899-K</t>
  </si>
  <si>
    <t>Rehman Shah s/o Din Shah</t>
  </si>
  <si>
    <t>Din Shah r/o Mamo Zai Mir Kalam Khail, Tehsil Upper,District Orakzai Agencey. Mobile No. 0331-9025112</t>
  </si>
  <si>
    <t>D.D Entry No.23
 dt: 23/11/2015 PS?Cantt.,Abbottabad.</t>
  </si>
  <si>
    <t>Traced Person. Confined in the Internment Center Lakki Marwat as informed by Rep of MI at the hearing on 29.6.2016.</t>
  </si>
  <si>
    <t>2900-P</t>
  </si>
  <si>
    <t>Rizwan Akram Niazi s/o Noor Muhmmad Akram</t>
  </si>
  <si>
    <t>Noor Muhammad Akram r/o B/198, Peoples Colony No. 1, Faisalabad. Mobile No. 0335-8660003</t>
  </si>
  <si>
    <t>FIR No.1035 dt.14/11/2015 u/s 365 PPC PS/Peoples Colony,Faisalabad.</t>
  </si>
  <si>
    <t>Traced Person. It was informed at the hearing on 13/09/2018 that Rizwan Akram Niazi has returned to home. Rizwan Akram Niazi was present and submitted that he was taken into custody by Police but subsequently he was shifted to some place which could not identify.</t>
  </si>
  <si>
    <t>2901-K</t>
  </si>
  <si>
    <t>Hameed Gul s/o Gharib Gul</t>
  </si>
  <si>
    <t>Gharib Gul r/o Village Saho Khail, Hagu. Mobile No. 0334-3945915</t>
  </si>
  <si>
    <t>FIR No.1793 dt.7/12/2015 u/s 365 PPC PS Bhanamari,Peshawar.</t>
  </si>
  <si>
    <t>2901, 3364,3205, 2593&amp; 1344 to be fixed together</t>
  </si>
  <si>
    <t>2902-K</t>
  </si>
  <si>
    <t>Bakhat Rehman s/o Bakhat Radan</t>
  </si>
  <si>
    <t>B.B Rehmania w/o Bakhat Rehman r/o Mohallah Bakhat mand Khan, Rahemabad, Tehsil &amp; District Swat. (Mobile No. 0344-9609410)</t>
  </si>
  <si>
    <t>FIR No.900dt.12/12/2015 u/s 365 PPC PS/Rahimabad District Swat</t>
  </si>
  <si>
    <t>2903-K</t>
  </si>
  <si>
    <t>Khushal Khan s/o Zahir Khan</t>
  </si>
  <si>
    <t>Zahir Khan r/o Afghan Colony Faqirabad, Peshawar. Mobile No. 0333-9112028</t>
  </si>
  <si>
    <t>FIR No.1678 dt.7/12/2015 u/s 365 PPC PS Faqirabad,Peshawar.</t>
  </si>
  <si>
    <t>Traced Person. Rep of IB, informed at the hearing on 11.3.16 that Khushal Khan was arrested and handed over to PA Khyber Agency. Reported to Afghanistan.</t>
  </si>
  <si>
    <t>2904-P</t>
  </si>
  <si>
    <t>Hussnain Afzal Raza s/o Muhmmad Afzal Anwar</t>
  </si>
  <si>
    <t>M. Afzal Anwar r/o House No. 62, Air Line Housing Society, Khyaban-e-Jinnah, Lahore. &amp; House No. 704, Block No. A, Millat Road, Faisalabad. (Mobile No. 0306-4411416)</t>
  </si>
  <si>
    <t>FIR No.1369 dt.20/10/2015 u/s 365 PPC PS Nawab Town Lahore</t>
  </si>
  <si>
    <t>Traced Person. Returned to home as reported by JIT in its meeting on 20.1.16 confirmed at the hearing on 20.2.16</t>
  </si>
  <si>
    <t>2905-K</t>
  </si>
  <si>
    <t>Muhammad Ali s/o Sardar Sher</t>
  </si>
  <si>
    <t>Sardar Sher r/o Bakhtar Ali, Mohallah Hazrat Mir, Sikandari Karona, Mardan near Masjid Alfaroq. Mobile No. 0311-8271172</t>
  </si>
  <si>
    <t>FIR No.897dt.10/12/2015 u/s 365 PPC PS/Rahimabad District Swat</t>
  </si>
  <si>
    <t>2906-P</t>
  </si>
  <si>
    <t>Ghulam Dastagir Hamid s/o Ghulam Nabi Khan</t>
  </si>
  <si>
    <t>Ghulam Nabi, r/o 285C-1 Block, China Scheme, Lahore. Mobile No. 0333-4254709</t>
  </si>
  <si>
    <t>FIR No.58 dt.11/1/2016 u/s 365 PPC PS/Gujjarpura,Lahore.</t>
  </si>
  <si>
    <t>Traced Person. His brother confirmed that he met him in Kot, Lakhpat Jail, Lahore, where he is confined in a criminal case .</t>
  </si>
  <si>
    <t>2907-P</t>
  </si>
  <si>
    <t>Muhammad Tayyab Sereen s/o Muhammad Arif</t>
  </si>
  <si>
    <t>M. Arif, r/o House No. 491/A, Qaziabad, Rawalpindi. Mobile No. 0333-5816865</t>
  </si>
  <si>
    <t>FIR No.89 dt.13/2/2016u/s 365 PPC PS/Civil Lines,Rawalpindi.</t>
  </si>
  <si>
    <t>Traced Person. It has informed at the hearing held on 27/09/2018 that Muhammad Tayyab Sereen had been traced. According to the letter received from Muhammad Mushab b/o Muhammad Tayyab Seren traced person the latter has returned home.</t>
  </si>
  <si>
    <t>2908-S</t>
  </si>
  <si>
    <t>Ahmed Minhas s/o Muhammad Anwar Minhas</t>
  </si>
  <si>
    <t>Muhammad Anwar Minhas, r/o B-66, Block No. 01, Gulistan-e-Johar, Karachi. (Mobile No. 0304-2809410)</t>
  </si>
  <si>
    <t>FIR No.2 dt.2/1/2016 u/s 365/34 PPC PS/Gulistan-e-Jauhar,District East,Karachi.</t>
  </si>
  <si>
    <t>Deleted. The case has been closed due to non-prosecution as the complainant neither extended co-operation to the Investigation Officer nor attend hearings held on 20.5.2019, 29.5.2019, 4.7.2019 and 4.12.2019 despite notices, likewise JIT could not categorized the case despite 15 meetings as the Complainant could not attend the hearing.</t>
  </si>
  <si>
    <t>2909-K</t>
  </si>
  <si>
    <t>HRC No. 17411-B/2015</t>
  </si>
  <si>
    <t>Muhammad Saleh s/o Haji Akbar Khan</t>
  </si>
  <si>
    <t>Muhammad Shafi, r/o Tapa Abdul Raheem Khael, Oriya, P.O. Gulzai, District Orkazai Agemcy. (Mobile No. 0336-5628721)</t>
  </si>
  <si>
    <t>Traced Person.Returned to Home.SP (Inv) Hangu confirmed at the hearing on 11.01.2016 that Muhammad Saleh is present at his home in Hangu.</t>
  </si>
  <si>
    <t>2910-S</t>
  </si>
  <si>
    <t>HRC No. 14582-S/2014</t>
  </si>
  <si>
    <t>Kamran-ul-Haq s/o Ibrar-ul-Haq</t>
  </si>
  <si>
    <t>Saleeqa Begum, r/o L-943, Sector SA/1, North Karachi.(Mobile No. 0300-2901060)</t>
  </si>
  <si>
    <t>2911-S</t>
  </si>
  <si>
    <t>HRC No. 20816-S-S/2015</t>
  </si>
  <si>
    <t>Khalid yousaf Bari</t>
  </si>
  <si>
    <t>Bilal Khalid, r/o A-42, Street No.02, Dada Bhoy Town, Opposite, Baloch Colony, Karachi. (Mobile No. 0312-2726337 &amp; 0321- 2123176)</t>
  </si>
  <si>
    <t>2912-K</t>
  </si>
  <si>
    <t>HRC No. 22580-K/2015</t>
  </si>
  <si>
    <t>Muhammad Aslam s/o Meer Akbar</t>
  </si>
  <si>
    <t>Mst. Wasila Jana, r/o Noor Abad,Meero Zai, Tehsil &amp; District Kohat. (Mobile No.0332-9614555 &amp; 0333-9644891)</t>
  </si>
  <si>
    <t>Traced Person. Confined in the Internment Center Kohat as informed at the hearing on 22.8.16 by his brother.</t>
  </si>
  <si>
    <t>2913-S</t>
  </si>
  <si>
    <t>Muhammad Sualiheen s/o Yameen</t>
  </si>
  <si>
    <t>2914-S</t>
  </si>
  <si>
    <t>Muhammad Sohail s/o Hussain</t>
  </si>
  <si>
    <t>r/o, Sana Terraco, Firdous Colony, Nazimabad, Karachi.</t>
  </si>
  <si>
    <t>FIR No.187 dt.21/12/2015 u/s 365/34 PPC PS/Gulbahar,Central District West,Karachi.</t>
  </si>
  <si>
    <t>Traced Person. It was informed at the hearing held in this Commission on 18.6.2019 that Muhammad Sohail has returned to home as confirmed by his brother statement recorded.</t>
  </si>
  <si>
    <t>2915-S</t>
  </si>
  <si>
    <t>Muhammad Zubair s/o Yameen</t>
  </si>
  <si>
    <t>r/o, House No. 7/218, Muslimabad Liyari, Karachi.</t>
  </si>
  <si>
    <t>2916-S</t>
  </si>
  <si>
    <t>Muhammad Shakeel s/o Shafique</t>
  </si>
  <si>
    <t>r/o, House No. FS-108/2, Jinnah Square, Malir, Karachi.</t>
  </si>
  <si>
    <t>2917-S</t>
  </si>
  <si>
    <t>Muhammad Kashif s/o Habib</t>
  </si>
  <si>
    <t>r/o, House No. Flat No. 103, Merhaba Appartment, Liyari, Karachi.</t>
  </si>
  <si>
    <t>2918-S</t>
  </si>
  <si>
    <t>Muhammad kamran Sheikh s/o Hanif Sheikh</t>
  </si>
  <si>
    <t>r/o, Flat No. 503, 5th Floor, Block B-1, Shama Plaza, Karachi.</t>
  </si>
  <si>
    <t>2919-S</t>
  </si>
  <si>
    <t>Muhammad Amir Khan s/o Ghulam</t>
  </si>
  <si>
    <t>r/o, House No. 830, Sector No. 33-D, Korangi, Karachi.</t>
  </si>
  <si>
    <t>2920-S</t>
  </si>
  <si>
    <t>Muhammad yaqoob s/o Yaseen</t>
  </si>
  <si>
    <t>r/o, House No. B-4/161, Jutt Lines Area, Karachi</t>
  </si>
  <si>
    <t>2921-S</t>
  </si>
  <si>
    <t>Muhammad Imran s/o Akram</t>
  </si>
  <si>
    <t>r/o, Flat No. 202, Rafiq Building, Agra Taj, Karachi.</t>
  </si>
  <si>
    <t>2922-S</t>
  </si>
  <si>
    <t>Riaz Ahmed s/o Mushtaq</t>
  </si>
  <si>
    <t>r/o, House No. 39, Street No. 03, Show Baz Nagar, Nazimabad, Karachi.</t>
  </si>
  <si>
    <t>2923-S</t>
  </si>
  <si>
    <t>Fareed Ghulam Muhammad s/o Siddique</t>
  </si>
  <si>
    <t>r/o, House No. D-4/251, Moosa Colony, Liquatabad, Karachi.</t>
  </si>
  <si>
    <t>2924-S</t>
  </si>
  <si>
    <t>Noman Sheikh Hussain s/o Hussain</t>
  </si>
  <si>
    <t>r/o, House No. L-324, Sector No. 5-C, North Karachi.</t>
  </si>
  <si>
    <t>FIR No.19 dt.19/1/2016 u/s 365/34 PPC,PS/Kh.Ajmernagri,District West,Karachi.</t>
  </si>
  <si>
    <t>2925-S</t>
  </si>
  <si>
    <t>Muhammad Kashif s/o Afaq</t>
  </si>
  <si>
    <t>r/o, House No. 1042, Sector No. 9/C, Baldia Town, Karachi.</t>
  </si>
  <si>
    <t>2926-S</t>
  </si>
  <si>
    <t>Jaffery Jahanzeb s/o Abdul Rehman</t>
  </si>
  <si>
    <t>r/o, House No. L-160, Sector No. A-1, Tasier Town, Karachi (Mobile No.0306-2988599.)</t>
  </si>
  <si>
    <t>FIR No.7 dt.18/1/2016 u/s 365/34 PPC,PS/Surjani Town,District West,Karachi.</t>
  </si>
  <si>
    <t>Traced Person. It was informed at the hearing held in this Commission on 8.1.2020 that Jaffery Jahanzeb has returned home. In this connection, written statement from Muhammad Ayub (Brother) dated 6.1.2020 was furnished by DSP Sarjani, West Karachi.</t>
  </si>
  <si>
    <t>2927-S</t>
  </si>
  <si>
    <t>Usman Muqadam s/o Muhammad Ali</t>
  </si>
  <si>
    <t>r/o, House No. A-112,Street No. 08,Kokan Society, Bahadurabad, Karachi.</t>
  </si>
  <si>
    <t>2928-S</t>
  </si>
  <si>
    <t>Umair s/o Abdul Qadeer</t>
  </si>
  <si>
    <t>r/o, House No.05, Habib Manzil, Saddar, Karachi.</t>
  </si>
  <si>
    <t>2929-S</t>
  </si>
  <si>
    <t>Raheel s/o Abdul Latif</t>
  </si>
  <si>
    <t>r/o, House No. 1/147-C, Shah Faisal Colony, Karachi.</t>
  </si>
  <si>
    <t>Returned to Home and available at ( House No. 1/147-C, Shah Faisal Colony, Karachi)</t>
  </si>
  <si>
    <t>2930-S</t>
  </si>
  <si>
    <t>Muhammad Siddique s/o Mohsin Ali</t>
  </si>
  <si>
    <t>r/o, House No. 2569, Street No. 20, Ali Akbar Shah Goth, Karachi.</t>
  </si>
  <si>
    <t>Returned to Home and available at (House No. 2569, Street No. 20, Ali Akbar Shah Goth, Karachi.)</t>
  </si>
  <si>
    <t>2931-K</t>
  </si>
  <si>
    <t>Qari Muhammad Yaseen s/o Muhammad Balor</t>
  </si>
  <si>
    <t>Zahir Hussain, r/o Longal, P.O Ayubia, Tehsil &amp; District, Abbotabad. (Mobile No. 0313-5520853 &amp; 0322-9851376)</t>
  </si>
  <si>
    <t>FIR No.183 dt.9/11/2015 u/s 365 PPC PS Daunga Gali District Abbottabad</t>
  </si>
  <si>
    <t>Under Investigation (KP) Abbotabad (Nathia Gali)</t>
  </si>
  <si>
    <t>2932-P</t>
  </si>
  <si>
    <t>Farman Ullah s/o Gull Rehman</t>
  </si>
  <si>
    <t>Mst. Nazmeen, r/o House No. C-13-193, Kuri Road, Rawalpindi. (Mobile No. 0300-5000804)</t>
  </si>
  <si>
    <t>FIR No1167 dt.25/12/2015 u/s 365 PPC PS Sadiqabad District Rawalpindi.</t>
  </si>
  <si>
    <t>2933-K</t>
  </si>
  <si>
    <t>Bakhtawar Khan s/o Minat Khan</t>
  </si>
  <si>
    <t>Noshad Khan, r/o Orkazai Agency, College Town, Kohat. (Mobile No. 0332-9087783 &amp; 0334-8870769)</t>
  </si>
  <si>
    <t>FIR No.1132 dt.22/12/2015 u/s 365 PPC PS/ MRS District Kohat</t>
  </si>
  <si>
    <t>Traced Person. B/o Bakhtawar Khan confirmed telephonically that the latter has returned to home.</t>
  </si>
  <si>
    <t>2934-P</t>
  </si>
  <si>
    <t>Jamal Mustafa s/o Ghulam Mustafa</t>
  </si>
  <si>
    <t>Rashid Mustafa,r/o Village, Dhap Pari, Tehsil &amp; District Chakwal (Mobile No.0333-5006968 &amp; 0303-0535045)</t>
  </si>
  <si>
    <t>FIR No.329 dt.25/8/2013 u/s 365 PPC PS Saddar District Chakwal</t>
  </si>
  <si>
    <t>Under Investigation (Punjab) Chakwal</t>
  </si>
  <si>
    <t>Chawkal</t>
  </si>
  <si>
    <t>2935-S</t>
  </si>
  <si>
    <t>Younis Munir s/o Munir Ahmed</t>
  </si>
  <si>
    <t>Mst. Rashida Khatoon, r/o House No. 474, Sector No. 15-A, Orangi Town, Karachi.</t>
  </si>
  <si>
    <t>2936-K</t>
  </si>
  <si>
    <t>Muhammad Ismail s/o Muhammad Aslam Khan</t>
  </si>
  <si>
    <t>Sanaullah Khan, r/o Ghanda Pur, Tehsil &amp; District D.I.Khan. (Mobile No. 0303-8943028)</t>
  </si>
  <si>
    <t>FIR No.281
 dt:27/12/2015
 u/s 365 PPC
 PS Kulachi District D.I.Khan</t>
  </si>
  <si>
    <t>Traced Person. Confined in the Internment Center Lakki Marwat as informed by Rep of Mi at the hearing on 11.7.2016.</t>
  </si>
  <si>
    <t>2937-S</t>
  </si>
  <si>
    <t>Muhammad Siddiqui s/o Noor-ul-Haq Siddiqui</t>
  </si>
  <si>
    <t>Noor-ul-Haq Siddiqui, r/o 504-B, Lane NO. 14, Gulraiz Phase No.II, Chakala, Rawalpindi. (Mobile No. 0348-4627050 &amp; 0332-5157593)</t>
  </si>
  <si>
    <t>FIR No.10
 dt:21/1/2016
 u/s 365/34 PPC
 PS/North Nazimabad,District Central,Karachi.</t>
  </si>
  <si>
    <t>2938-K</t>
  </si>
  <si>
    <t>Abdul Latif s/o Sarfraz</t>
  </si>
  <si>
    <t>Mst. Shah Bibi, r/o Grah Shehbaz, P.O Narowal, Tehsil &amp; District Tank. (Mobile No. 0306-2985590)</t>
  </si>
  <si>
    <t>FIR No.494
 dt:25/12/2015
 u/s 365 PPC
 PS Shaheed Mureed, District tankAkbar, District Tank</t>
  </si>
  <si>
    <t>Under Investigation (KP) Tank</t>
  </si>
  <si>
    <t>2939-K</t>
  </si>
  <si>
    <t>Abdul Malik s/o Abdul Razzaq</t>
  </si>
  <si>
    <t>Abdul Razzaq, r/o Grah Shehbaz, P.O Narowal, Tehsil &amp; District Tank. (Mobile No. 0306-2985590)</t>
  </si>
  <si>
    <t>FIR No.494
 dt:25/12/2015
 u/s 365 PPC
 PS Shaheed Mureed Akbar, District Tank</t>
  </si>
  <si>
    <t>2940-B</t>
  </si>
  <si>
    <t>Abdul Majeed s/o Kher Khan</t>
  </si>
  <si>
    <t>Zulfiqar Ahmed, r/o Goth Abdul Ghani Umarari, Tehsil Tamboo, District Nasirabad. (Mobile No. 0300-3708825)</t>
  </si>
  <si>
    <t>FIR No.17/2016
 u/s 365/147/148/149 PPC
 PS Surab, District Kalat.</t>
  </si>
  <si>
    <t>Deleted. At the hearing held in this case the officer concerned proved with the help of necessary documents that the case of Abdul Majeed was kidnapping due to personal enmity. Hence no further action is required. The case is closed.</t>
  </si>
  <si>
    <t>2941-B</t>
  </si>
  <si>
    <t>Faisal Riaz s/o Muhammad Akram Langove</t>
  </si>
  <si>
    <t>Muhammad Akram Langove, r/o Jail Road, Quetta Killy Ismail. Neachar General Store.(Mobile No. 0331-5957909)</t>
  </si>
  <si>
    <t>FIR No.150/2015 u/s 365/34 PPC PS/Jinnah Town,Karachi</t>
  </si>
  <si>
    <t>Traced Person. Mujahid Akram real brother of Faisal Riaz is present and stated that Faisal Riaz has returned to home. In view of what has been mentioned hereinabove no further action is required to be taken by the Commission.</t>
  </si>
  <si>
    <t>2942-B</t>
  </si>
  <si>
    <t>Hamayun Shahzad</t>
  </si>
  <si>
    <t>Muhammad Shoaib, r/o Juma Khan Colony, Jan Muhammad Road, Quetta.(Mobile No. 0310-8108500)</t>
  </si>
  <si>
    <t>FIR No.4 dt.9/8/2015 u/s 365 PPC PS Jinnah Town,Quetta</t>
  </si>
  <si>
    <t>Traced Person. Presently confined in Quetta Jail. He was arrested by CTD in 07 cases. His brother confirmed at the hearing on 4.4.2016.</t>
  </si>
  <si>
    <t>2943-B</t>
  </si>
  <si>
    <t>Amir Muhammad s/o Jan Muhammad</t>
  </si>
  <si>
    <t>Rahim Dad, r/o Killi Jamalabad, Noshki. (Mobile No. 0344-8231513)</t>
  </si>
  <si>
    <t>FIR No.2/2016 u/s 365/34 PPC PS/Levies Thana,Khad Koocha,District Mastung.</t>
  </si>
  <si>
    <t>Deleted. Session Court Noshki declared absconder in Crime No. 60/13 u/s 302/34 PPC r/w 337 ATA). Nephew of Amir Muhammad confirmed at the hearing on 25.5.17.</t>
  </si>
  <si>
    <t>2944-B</t>
  </si>
  <si>
    <t>Allah Dad s/o Behwal Khan</t>
  </si>
  <si>
    <t>Jodia Khan, r/o Faisal Colony, Dalbanden, District Chaghi. (Mobile No. 0333-7585215)</t>
  </si>
  <si>
    <t>FIR No. 33 dt.13/5/2015 u/s 365 PPC PS/Dalbandin District Chaghi</t>
  </si>
  <si>
    <t>Traced Person. Najeeb Ullah son of Allah Dad has appeared before the Commission on 2/7/2019, whose statement has been recorded on oath. According to him his father Allad Dad had gone to Iran on 13/2/2015 without intimating the family members. He has further deposed that his father remained there for a period of three year and nine months and came back on 10/2/2019.</t>
  </si>
  <si>
    <t>2945-B</t>
  </si>
  <si>
    <t>Khamesia Khan s/o Nawab Khan</t>
  </si>
  <si>
    <t>Jan Mehar, r/o Goth Haji Chata, Sakran Road, Hub Chowki, District Lasbela. (Mobile No. 0300-3484402)</t>
  </si>
  <si>
    <t>FIR No. 31 dt.30/8/2012 u/s 365 PPC PS/Hub City District Lasbela</t>
  </si>
  <si>
    <t>Deleted. Not a case of enforced disappearanced as apparently its is a case of kidnapping for ransom.</t>
  </si>
  <si>
    <t>2946-B</t>
  </si>
  <si>
    <t>Abdul Raheem s/o Muhammad Abdullah</t>
  </si>
  <si>
    <t>Behram Khan, r/o Nasirabad Road, Baloch Colony, Near Block No. 5-E, Satellite Town, Quetta. (Mobile No. 0334-2464951)</t>
  </si>
  <si>
    <t>Traced Person. Returned to Home. He was present at the hearing held on 9.4.16. He was abducted on 10.9.14 by unknown persons and released on 2.3.2016.</t>
  </si>
  <si>
    <t>2947-S</t>
  </si>
  <si>
    <t>Naimat Ullah, r/o Allah Wala Chowk, District Khuzdar. (Mobile No. 0335-2180376)</t>
  </si>
  <si>
    <t>FIR No.14 dt.24/1/2016 u/s 365/34 PPC PS/ City Qamber, District Shahdadkot.</t>
  </si>
  <si>
    <t>2948-B</t>
  </si>
  <si>
    <t>Inayat Ullah s/o Muhammad Ramzan</t>
  </si>
  <si>
    <t>Muhammad Ramzan, r/o Bolan Colony, District Khuzdar. (Mobile No. 0331-8905561)</t>
  </si>
  <si>
    <t>FIR No.208 dt.22/9/2010 u/s 365 PPC PS City Khuzdar.</t>
  </si>
  <si>
    <t>Deleted. Not a Case of Enforced Disappearances as abduction is due to personal enmity.</t>
  </si>
  <si>
    <t>2949-B</t>
  </si>
  <si>
    <t>Muhammad Zarif s/o Haji Muhammad Hanif</t>
  </si>
  <si>
    <t>31/04/2013</t>
  </si>
  <si>
    <t>Haji Muhammad Hanif, r/o Killi Badini, Sariab, Quetta.</t>
  </si>
  <si>
    <t>FIR No. 20
 dt: 28/01/2016
 u/s 365/147/148 PPC 
 P.S.Kechi Baig,Quetta</t>
  </si>
  <si>
    <t>2950-B</t>
  </si>
  <si>
    <t>Mir Abdul Malik s/o Mir Atta Muhmmad</t>
  </si>
  <si>
    <t>Mir Atta Muhammad, r/o Nawa Killi, Pela Stop, Shaheed Abdul Manan Hotel, Quetta. (Mobile No. 0300-3831443)</t>
  </si>
  <si>
    <t>FIR No. 39
 dt: 26/3/2015
 u/s 365 PPC 
 P.S. Zarghonabad,Quetta</t>
  </si>
  <si>
    <t>Traced Person. Returned to Home. His father Atta Muhammad confirmed at the hearing on 5.4.2016.</t>
  </si>
  <si>
    <t>2951-B</t>
  </si>
  <si>
    <t>Yar Muhammad s/o Mir Atta Muhammad</t>
  </si>
  <si>
    <t>2952-K</t>
  </si>
  <si>
    <t>Haider Ali Shah s/o ZubairShah</t>
  </si>
  <si>
    <t>Sardar Zameen Shah, r/o Kadam Khela, Dargai, Malakand. (Mobile No. 0348-4426246 &amp; 0334-9316260)</t>
  </si>
  <si>
    <t>2953-A</t>
  </si>
  <si>
    <t>Syed Sajid Hussain Shah</t>
  </si>
  <si>
    <t>Sobedar Syed Hussain Shah ®, r/o Bill Damas,Tehsil Chouri, District Kotli. (Mobile No. 0345-5721576)</t>
  </si>
  <si>
    <t>FIR No.65 dt.30/12/2015 u/s 365 PPC PS/Charohi District Kotli,AJK.</t>
  </si>
  <si>
    <t>Traced Person. Returned to home. Appeared before the Commission on 25.1.16. Stated nothing about his abduction.</t>
  </si>
  <si>
    <t>2954-K</t>
  </si>
  <si>
    <t>Muhammad Kamran s/o Noor Zaman</t>
  </si>
  <si>
    <t>Shah Zaman, r/o Phatat Road, Koroona, Chitral Kalay, Village Council Madkadher, Mardan Road, Charsadda.(Mobile. 0333-7972828)</t>
  </si>
  <si>
    <t>FIR No.27 dt.06/02/2016 u/s 365 PPC,PS/ Parang District Charsadda</t>
  </si>
  <si>
    <t>2955-K</t>
  </si>
  <si>
    <t>Qazi Ansar Ahmed s/o Qazi Ahmed Shah</t>
  </si>
  <si>
    <t>Qazi Ahmed Shah, r/o House No. 320, Sector No. IV, KDA, Kohat.</t>
  </si>
  <si>
    <t>FIR No.13 dt.07/01/2016 u/s 365 PPC PS/City,Kohat</t>
  </si>
  <si>
    <t>Deleted. Peshawar High Cort disposed of the matter as he has been declared black by Oversight Board.</t>
  </si>
  <si>
    <t>2956-S</t>
  </si>
  <si>
    <t>Inam-ud-Din s/o Allu-ud-Din</t>
  </si>
  <si>
    <t>Mst. Hussan Bano, r/o House No. 646, Mohallah Near Noorani Masjid, Momanabad, Faqir Colony, Orangi Town, Karachi. (Mobile No. 0341-2847488 &amp; 0346-3183707)</t>
  </si>
  <si>
    <t>FIR No.448 dt.07/8/2015 u/s 365/34 PPC,PS/ Site-A District West,Karachi.</t>
  </si>
  <si>
    <t>Deleted. The case has been closed due to non-prosecution as the Complainant neither extended co-operation to the Investigation Officer nor attended hearings held on various dates including 29.10.2019 and 14.12.2019. He also remained absent at JIT meetings.</t>
  </si>
  <si>
    <t>2957-K</t>
  </si>
  <si>
    <t>Zia-ul-Islam s/o Safdar Ali</t>
  </si>
  <si>
    <t>Mst. Sartaj Begum, r/o Mohallah Al- Markaz Islami, Nowshera. (Mobile No. 0345-9274257 &amp; 0300-5776949)</t>
  </si>
  <si>
    <t>FIR No.57 dt.28/01/2016 u/s 365 PPC PS/Azakhel District Nowshera.</t>
  </si>
  <si>
    <t>Traced Person. Dead body recovered from jurisdication of PS Attock Khurd handed over to legal heirs.</t>
  </si>
  <si>
    <t>2958-K</t>
  </si>
  <si>
    <t>Irfan-ud-Din s/o Shams-ud-Din</t>
  </si>
  <si>
    <t>Mst. Nasreen Bibi, r/o Mohallah Al- Markaz Islami, Nowshera. (Mobile No. 0344-9640211)</t>
  </si>
  <si>
    <t>FIR No.175 dt.18/01/2016 u/s 365 PPC PS/Nowshera Cantt., District Nowshera.</t>
  </si>
  <si>
    <t>Traced Person. Returned to home as informed by I.O at the hearing on 17.3.17.</t>
  </si>
  <si>
    <t>2959-K</t>
  </si>
  <si>
    <t>Shakir Ullah s/o Muhammad Ashraf</t>
  </si>
  <si>
    <t>Mst. Noor-ul-Basar, r/o Mohallah Gharibabad, Village Amangarh, Nowshera. (Mobile No. 0311-9579811)</t>
  </si>
  <si>
    <t>FIR No.60 dt.28/01/2016 u/s 365 PPC PS/Azakhel District Nowshera.</t>
  </si>
  <si>
    <t>Traced Person. Dead Body has found in Attock Khurd Hospital and handed over to the heirs as 14/01/2017 as per report of JIT Inquiry u/s 174 crpc has beenInitiated to ascertain factum of death.</t>
  </si>
  <si>
    <t>2960-K</t>
  </si>
  <si>
    <t>Ehsan Ullah s/o Muhammad Ashraf</t>
  </si>
  <si>
    <t>FIR No.59 dt.28/01/2016 u/s 365 PPC PS/Azakhel District Nowshera.</t>
  </si>
  <si>
    <t>Traced Person. Confined in the Internment Center Lakki Marwat as informed by Rep of MI at the hearing on 16.3.17.</t>
  </si>
  <si>
    <t>2961-S</t>
  </si>
  <si>
    <t>Muhammad Ali Sheikh</t>
  </si>
  <si>
    <t>Mst. Sana Muhammad, r/o Khayban-e-Muhafiz, 15, Street No. 103/2, Phase-VI, DHA, Karachi. (Mobile No. 0300-3793982)</t>
  </si>
  <si>
    <t>FIR No.116 dt.28/8/2015 u/s 365/34 PPC PS/Airport District Malir,Karachi.</t>
  </si>
  <si>
    <t>Returned to Home and available at ( Khayban-e-Muhafiz, 15, Street No. 103/2, Phase-VI, DHA, Karachi)</t>
  </si>
  <si>
    <t>2962-S</t>
  </si>
  <si>
    <t>HRC No. 24387-S/ 2015</t>
  </si>
  <si>
    <t>Abdul Haleem s/o Abdul Raheem Brohi</t>
  </si>
  <si>
    <t>Mst. Naseeba, r/o Mohallah Ghareeb Abad, Wardan Mibbar,4 badndhi City, Tehsil Daur, District Shaheed Benazirabad. (Mobile No.0333-7993098 &amp; 0302-3985716)</t>
  </si>
  <si>
    <t>2963-P</t>
  </si>
  <si>
    <t>HRC No. 23701-P/ 2015</t>
  </si>
  <si>
    <t>Habidar Hussain s/o Muhammad Riaz</t>
  </si>
  <si>
    <t>Mst. Waqar-un-Nisa, r/o New Jarmot, P.O. Jarmot Kalan, Tehsil Gujar Khan, District, Rawalpindi. (Mobile No. 0304-7087187)</t>
  </si>
  <si>
    <t>FIR No.28 dt.02/2/2016 u/s 365 PPC PS/ Sohawa District Jhelum.</t>
  </si>
  <si>
    <t>2964-P</t>
  </si>
  <si>
    <t>HRC No. 22927-P/ 2015</t>
  </si>
  <si>
    <t>Mufti Abdul Dayyan s/o Qari Abdul Mannan</t>
  </si>
  <si>
    <t>Faiz-ur-Rehman, r/o Village Tajak, P.O. Rango, District, Attock. (Mobile No. 0300-9762362 &amp; 0300-9120163)</t>
  </si>
  <si>
    <t>Traced Person. Returned to home. Appeared before the Commission on 12.2.16. Stated that he remained in captivity of unknown persons.</t>
  </si>
  <si>
    <t>2965-K</t>
  </si>
  <si>
    <t>Sher Dawood Khan s/o Sher Nawaz Khan</t>
  </si>
  <si>
    <t>Mst. Zeenat Bibi, r/o Shahbaz Kaki, Tehsil &amp; District Bannu. (Mobile No. 0334-8308573 &amp; 0332-9727506)</t>
  </si>
  <si>
    <t>FIR No.15 dt.12/1/2016 u/s 365 PPC PS/ Kakki District Bannu.</t>
  </si>
  <si>
    <t>Traced Person. Returned to home. Appeared before the Commission on 13.7.2016.</t>
  </si>
  <si>
    <t>2966-S</t>
  </si>
  <si>
    <t>Israr Alam s/o Ijaz Alam</t>
  </si>
  <si>
    <t>r/o, House No. 74-655, Shah Faisal Colony, Karachi.</t>
  </si>
  <si>
    <t>2967-S</t>
  </si>
  <si>
    <t>Aleem Qadir s/o Salman Qadir</t>
  </si>
  <si>
    <t>r/o, House No. 2/C-1, Shah Faisal Colony, Karachi.</t>
  </si>
  <si>
    <t>2968-S</t>
  </si>
  <si>
    <t>Muhammad Shakeel s/o Ikhaliq</t>
  </si>
  <si>
    <t>r/o, House No. 4-655,Shah Faisal Colony, Karachi.</t>
  </si>
  <si>
    <t>2969-S</t>
  </si>
  <si>
    <t>Bilal Naeem s/o Raheel Bilal</t>
  </si>
  <si>
    <t>Deleted. Due to in Complete Address.</t>
  </si>
  <si>
    <t>2970-S</t>
  </si>
  <si>
    <t>Deen Muhammad s/o Muhammad Pervaiz Ahmed</t>
  </si>
  <si>
    <t>r/o, House No. 4/394, Shah Faisal Colony Karachi.</t>
  </si>
  <si>
    <t>2971-S</t>
  </si>
  <si>
    <t>Abdul Ghaffar s/o Abdul Waqar</t>
  </si>
  <si>
    <t>r/o, House No. 4-224, Shah Faisal Colony, Karachi.</t>
  </si>
  <si>
    <t>2972-S</t>
  </si>
  <si>
    <t>Noor Alam s/o Shahzaib Alam</t>
  </si>
  <si>
    <t>r,/o House No. 4-448, Shah Faisal Colony, Karachi.</t>
  </si>
  <si>
    <t>2973-S</t>
  </si>
  <si>
    <t>Abdul Qadoos s/o Farahan Qadoos</t>
  </si>
  <si>
    <t>Deleted. Due to in Complete Address</t>
  </si>
  <si>
    <t>2974-S</t>
  </si>
  <si>
    <t>Abdul Qadoos s/o Muhammad Rafi</t>
  </si>
  <si>
    <t>2975-S</t>
  </si>
  <si>
    <t>Abdul Razzaq s/o Ijaz Khan</t>
  </si>
  <si>
    <t>r,/o House No. 401, Sector No. 08, Saudi Colony, Malir, Karachi.</t>
  </si>
  <si>
    <t>2976-S</t>
  </si>
  <si>
    <t>Aziz-ud-Din s/o Arslan-ud-Din</t>
  </si>
  <si>
    <t>r/o, House No. Fs-498, Malir Colony, Karachi.</t>
  </si>
  <si>
    <t>2977-S</t>
  </si>
  <si>
    <t>Iqbal-ud-Din s/o Zahid Iqbal</t>
  </si>
  <si>
    <t>r/o, House No. House No. 23/1, Gulzar Ibrahim, Mali, Karachi.</t>
  </si>
  <si>
    <t>2978-S</t>
  </si>
  <si>
    <t>Muhammad Hashim s/o Abdul Aleem Jaffari</t>
  </si>
  <si>
    <t>r/o, House No. M-3, Mominabad, Alfalah Society, Karachi.</t>
  </si>
  <si>
    <t>2979-S</t>
  </si>
  <si>
    <t>Ghulam Muhammad s/o Muhammad Shahid Soori</t>
  </si>
  <si>
    <t>r/o, House No. A-19, Hasham Appartments, Rafa-Aam, Karachi.</t>
  </si>
  <si>
    <t>2980-S</t>
  </si>
  <si>
    <t>Ameer Dullah s/o Nadeem Dullah</t>
  </si>
  <si>
    <t>r/o, House No. R-172, Sector No. B, Lines Area, karachi.</t>
  </si>
  <si>
    <t>Traced Person. Died in Jail.</t>
  </si>
  <si>
    <t>2981-S</t>
  </si>
  <si>
    <t>Shabbir Ali s/o Abid Ali</t>
  </si>
  <si>
    <t>r/o, House No. G-55, Yunaishi Lines Area, Karachi.</t>
  </si>
  <si>
    <t>2982-S</t>
  </si>
  <si>
    <t>Faisal Hanif Qureshi s/o Muhammad Hanif Qureshi</t>
  </si>
  <si>
    <t>r/o, House No. R-1026, Sector No. I-A, Jacob Lines, Karachi.</t>
  </si>
  <si>
    <t>2983-S</t>
  </si>
  <si>
    <t>Itwar Hussain s/o Merja Hussain</t>
  </si>
  <si>
    <t>r/o, House No. 4E-24, PNT, Colony, Karachi.</t>
  </si>
  <si>
    <t>2984-S</t>
  </si>
  <si>
    <t>Fazal-ul-Rehman s/o Muhammad Asif Khan</t>
  </si>
  <si>
    <t>r/o, House No. R-992, Sector No. A1, Gulshan-e-Zahoor, Lines Area, Karachi.</t>
  </si>
  <si>
    <t>2985-S</t>
  </si>
  <si>
    <t>Syed Khalid Hussain s/o Zahid Hussain</t>
  </si>
  <si>
    <t>r/o, House No. R-315, Sector No. 2-B,Gulshan-e-Zahoor, Lines Area, Karachi.</t>
  </si>
  <si>
    <t>2986-S</t>
  </si>
  <si>
    <t>Asghar Ali Sheikh s/o Arshad Sheikh</t>
  </si>
  <si>
    <t>r/o, House No. N-215, Sector No. 48-A, Silwar Town, Korangi1/2, Karachi.</t>
  </si>
  <si>
    <t>2987-S</t>
  </si>
  <si>
    <t>Aashiq Hussain s/o Sadiq Hussain</t>
  </si>
  <si>
    <t>r/o, House No. L-57, Sector No. 48-B, Korangi 2/1/2, Karachi.</t>
  </si>
  <si>
    <t>2988-S</t>
  </si>
  <si>
    <t>Raees-ud-Din s/o Muhammad Sohail</t>
  </si>
  <si>
    <t>r/o, House No. R-14, Scheme No. 33, Safora Goth, Karachi.</t>
  </si>
  <si>
    <t>2989-S</t>
  </si>
  <si>
    <t>Hanif Abbasi s/o Israr Alam Abbasi</t>
  </si>
  <si>
    <t>2990-S</t>
  </si>
  <si>
    <t>Muhammad Arslan s/o Aslam</t>
  </si>
  <si>
    <t>r/o, House No. E-67, Sector No. 50-C, Korangi, Karachi.</t>
  </si>
  <si>
    <t>2991-S</t>
  </si>
  <si>
    <t>Muhammad Umer s/o Abdul Rasheed</t>
  </si>
  <si>
    <t>r/o, House No. T-64, PNT, Colony, Karachi.</t>
  </si>
  <si>
    <t>2992-S</t>
  </si>
  <si>
    <t>Rehmat Ullah s/o Imran Rehmat</t>
  </si>
  <si>
    <t>r/o, House No. S-202, Suadbad, Malir, Karachi.</t>
  </si>
  <si>
    <t>2993-S</t>
  </si>
  <si>
    <t>Muhammad Zahid s/o Muhammad Imtiaz</t>
  </si>
  <si>
    <t>r/o, House No. A-23, Martin Quarter, Karachi.</t>
  </si>
  <si>
    <t>2994-S</t>
  </si>
  <si>
    <t>Siraj-ul-Haq s/o Muhammad Khaliq</t>
  </si>
  <si>
    <t>r/o, House No. A-460, Martin Quarters, Karachi.</t>
  </si>
  <si>
    <t>2995-S</t>
  </si>
  <si>
    <t>Jameel Nadeem s/o Jameel</t>
  </si>
  <si>
    <t>r/o, House No. A-287, Martin Quarters, Karachi.</t>
  </si>
  <si>
    <t>2996-S</t>
  </si>
  <si>
    <t>Muhammad Deen s/o Zohaib Deen</t>
  </si>
  <si>
    <t>r/o, House No. 7/218, Akal Bonga, Muslimabad, Karachi.</t>
  </si>
  <si>
    <t>2997-S</t>
  </si>
  <si>
    <t>Abdul Aslam Zai s/o Rehman</t>
  </si>
  <si>
    <t>r/o, Flat No. 603, Gulshan-e-Ameen, Jamshed Road, Karachi.</t>
  </si>
  <si>
    <t>2998-P</t>
  </si>
  <si>
    <t>Faaisal Shabbir Abbasi s/o Shabbir Ahmed Abbasi</t>
  </si>
  <si>
    <t>Yasir Shabbir Abbasir/o,House No. 28-B, Proffessor Colony, New Shakrial Near Zia Masjid, Rawalpindi. (Mobile No. 0321-5141338 &amp; 0321-5607284)</t>
  </si>
  <si>
    <t>FIR No.277 dt.02/9/2015/2015 u/s 365 PPC PS/Murree District Rawalpindi.</t>
  </si>
  <si>
    <t>Traced (Confined in District Jail, Faisalabad)</t>
  </si>
  <si>
    <t>2999-S</t>
  </si>
  <si>
    <t>Saleem Faisal s/o Javed</t>
  </si>
  <si>
    <t>Javed, r/o House No. 14-3, 3rd Floor Ashqeen Manzil, Karachi.</t>
  </si>
  <si>
    <t>Deleted. Due to Incomplete Address.</t>
  </si>
  <si>
    <t>3000-P</t>
  </si>
  <si>
    <t>Abdul Sattar s/o Ameer Muhammad</t>
  </si>
  <si>
    <t>Abdul Asif, r/o Street No. 04, Muhammad Ali Town, Kanwan Wala Chowk, Mandi Quarter, Faisalabad. (Mobile No. 0346-3170195)</t>
  </si>
  <si>
    <t>Traced Person. DPO, D.I.Khan confirmed at the hearing on 24.11.16 that Abdul Sattar was at his home.</t>
  </si>
  <si>
    <t>3001-P</t>
  </si>
  <si>
    <t>Muhammad Salman Khan s/o Nadir Khan</t>
  </si>
  <si>
    <t>Tanveer Ahmed Khan, r/o Satiyana Road, House No. P-66, Mohallah Shadman town, Faisalabad. (Mobile No. 0321-6676899)</t>
  </si>
  <si>
    <t>FIR No.22 dt.07/1/2016 u/s 365 PPC,PS/Saddar,Faisalabad.</t>
  </si>
  <si>
    <t>Traced Person. Returned to home. Appeared before the Commission on 12.2.16. Stated he left home at his own.</t>
  </si>
  <si>
    <t>3002-P</t>
  </si>
  <si>
    <t>Muhammad Usman Khan s/o Nadir Khan</t>
  </si>
  <si>
    <t>3003-P</t>
  </si>
  <si>
    <t>Abdul Wahab s/o Aslam Khan</t>
  </si>
  <si>
    <t>Aslam Khan, r/o House No. 256-A, Mohallah Rehmatabad, Chakala, Block No. E, Rawalpindi. (Mobile No. 0331-5899192)</t>
  </si>
  <si>
    <t>FIR No.65 dt.30/01/2016 u/s 365 PPC PS/Airport District Rawalpindi.</t>
  </si>
  <si>
    <t>Traced Person. According to the reports received from the quarters concerned, Abdul Wahab s/o Aslam Khan has returned home. Abdul Wahab also made appearance before the Commission and stated that he remained in confinement for two and half years.</t>
  </si>
  <si>
    <t>3004-S</t>
  </si>
  <si>
    <t>Luqman s/o Muhammad Hassan</t>
  </si>
  <si>
    <t>Salman, r/o House No. 368, Street No. 14, Itehad Town, Balidya Town, Karachi. (Mobile No. 0340-0239127 &amp; 0300-2787300)</t>
  </si>
  <si>
    <t>FIR No.2 dt.11/1/2016 u/s 365/34 PPC PS/ Ittehad Town, District West,Karachi.</t>
  </si>
  <si>
    <t>Traced Person. It was informed at the hearing held in this Commission on 01/10/2018 that Luqman has returned to home. The report submitted by the Police Officer, SDPO Baldia, West Karachi is place on record.</t>
  </si>
  <si>
    <t>3005-K</t>
  </si>
  <si>
    <t>Rehman Ullah s/o Jan Badshah</t>
  </si>
  <si>
    <t>Hazrat Umar, r/o New Jamshed General Store, Near Illah Jan, Saraye, Main Bazar, District, Tank. (Mobile No.0300-9094380)</t>
  </si>
  <si>
    <t>FIR No.125 dt.05/02/2016 u/s 365/34 PPC PS/ MRS District Kohat</t>
  </si>
  <si>
    <t>Traced Person. Confined in the Internment Center Kohat as informed through letter by In-Charge of the Centre.</t>
  </si>
  <si>
    <t>3006-P</t>
  </si>
  <si>
    <t>Muhammad Osama s/o Muhammad Tariq</t>
  </si>
  <si>
    <t>Muhammad Tariq, r/o Chak No. 258, R.B. Lammah Pind, Post Office Digcoat, Tehsil &amp; District Faisalabad. (Mobile No. 0306-5940259)</t>
  </si>
  <si>
    <t>FIR No.11 dt.08/1/2016 u/s 365 PPC,PS/Dijkot,District Faisalabad.</t>
  </si>
  <si>
    <t>Traced Person. Appeared before the Commission on 13.2.16. Stated he was not abducted by any one.</t>
  </si>
  <si>
    <t>3007-B</t>
  </si>
  <si>
    <t>Khuda Baksh s/o Mir Khan</t>
  </si>
  <si>
    <t>Shambo, r/o Shah Zain, Post Office, Tehsil Sui, District Dera Bugti. (Mobile No. 0385-420733)</t>
  </si>
  <si>
    <t>Deleted. Not a case of enforced disappearance. Investigation into the case revealed that both (3007) entered puraly at then own. Nobody abducted them.</t>
  </si>
  <si>
    <t>3008-B</t>
  </si>
  <si>
    <t>Shabbir Ahmed s/o Haji Khan</t>
  </si>
  <si>
    <t>Salim Khatoon, r/o Killi Bangulzai, P.O Mach, Tehsil Mach, District Kachhi. (Mobile No. 0331-6738237 &amp; 0333-7028296)</t>
  </si>
  <si>
    <t>FIR No.98/2012 u/s 365/34 PPC PS/Brewery, District Quetta.</t>
  </si>
  <si>
    <t>3009-B</t>
  </si>
  <si>
    <t>Hayatullah s/o Muhammmad Sharif</t>
  </si>
  <si>
    <t>Mst. Bibi Farmin, r/o Alama Chowk, Killi Shabon, Quetta. (Mobile No. 0312-8024619)</t>
  </si>
  <si>
    <t>Traced Person. SSP (Inv) Quetta submitted report at the hearing on 4.4.16 that Hayaullah has returned to home.</t>
  </si>
  <si>
    <t>3010-B</t>
  </si>
  <si>
    <t>Abdul Kareem s/o Bahee Khan</t>
  </si>
  <si>
    <t>Mehar Hashim, r/o Kuli Ahmed Khan, Gulistan Corner, District Qilla Abdullah. (Mobile No. 0300-3844448 &amp; 0345-5554394)</t>
  </si>
  <si>
    <t>FIR No.11 dt.27/10/2016 u/s 346 PPC PS/Gulistan District Qila Abdullah.</t>
  </si>
  <si>
    <t>Deleted. The complainant, Muhammad Hashim entered appearance before the Commission on 07.04.2021 whose statement was recorded on oath in which he deposed that case of disappearance of Abdul Kareem had been under investigation that he had not produced any witness of leveled any allegation against any of LEAs/ Intelligence Agency for abduction of Abdul Kareem nor he has any suspicion on any such Agency. All stakeholders have also denied apprehension / custody of Abdul Kareem. Apparently not a case of enforced disappearance. Hence, closed.</t>
  </si>
  <si>
    <t>3011-B</t>
  </si>
  <si>
    <t>Shah Noor Khan s/o Sobhat Khan</t>
  </si>
  <si>
    <t>Dost Ali, r/o Mohallah Bugti Colony, Sui, District Dera Bugti. (Telephone No. 0835-421983)</t>
  </si>
  <si>
    <t>FIR No.05/ dt.29/1/2016 u/s 365/34 PPC PS City,Sui District Dera Bugti.</t>
  </si>
  <si>
    <t>Traced Person. Appeared before the Commission on 29.10.16. Stated that he was abducted from a hotel, kept under detention for nearly two years.</t>
  </si>
  <si>
    <t>3012-B</t>
  </si>
  <si>
    <t>Sadora s/o Murid Khan</t>
  </si>
  <si>
    <t>Shambo, r/o P.O Shahzai Bugti, Tehsil Sui, District Dera Bugti. (Telephone No. 0835-420733)</t>
  </si>
  <si>
    <t>3013-S</t>
  </si>
  <si>
    <t>Muhammad Zeeshan s/o Muhammad Sulman</t>
  </si>
  <si>
    <t>Muhammad Sulman, r/o House No. R-371, Sector No. 11/L, North Karachi. (Mobile No. 0311-2866158)</t>
  </si>
  <si>
    <t>FIR No.255 dt.25/8/2015 u/s 344/34 PPC PS/New Karachi, District Central Karachi.</t>
  </si>
  <si>
    <t>3014-B</t>
  </si>
  <si>
    <t>Dr. Muhammad Tahir s/o Muhammad Rahim Khan</t>
  </si>
  <si>
    <t>Jumma Khan, r/o Village Sardari Shahr, Totak, Khuzdar. (Mobile No. 0315-7885552)</t>
  </si>
  <si>
    <t>FIR No.29 dt.02/9/2012 u/s 365 PPC PS/Baghbana District Khuzdar.</t>
  </si>
  <si>
    <t>3015-K</t>
  </si>
  <si>
    <t>Azeem Mauvia s/o Karim Bakhsh</t>
  </si>
  <si>
    <t>Karim Bakhsh, r/o Basti Dirkhana, Wali Chah Malik Din Pur. D.I.Khan. (Mobile No. 0315-9348324)</t>
  </si>
  <si>
    <t>Under Investigation (KP) D.I.Khan</t>
  </si>
  <si>
    <t>3016-K</t>
  </si>
  <si>
    <t>Muhammad Latif s/o Allah Wasaya Khan</t>
  </si>
  <si>
    <t>Allah Wasaya Khan, r/o Kurai Bacha Abad, T.T Mills, Tank Road, D.I. Khan.(Mobile No. 0341-4479720 0343-9362094)</t>
  </si>
  <si>
    <t>3017-P</t>
  </si>
  <si>
    <t>Hafiz Hassan Akbar s/o Muhamad Akbar Shah Gillani</t>
  </si>
  <si>
    <t>Syed Adnan Akbar, r/o House No. L-974, Street No. 14, Dhoke Khaba, Rawalpindi. (Mobile No. 0313-5384937)</t>
  </si>
  <si>
    <t>FIR No.52dt.21/01/2016 u/s 365 PPC PS/Waris Khan,Rawalpindi.</t>
  </si>
  <si>
    <t>3018-S</t>
  </si>
  <si>
    <t>Amir Sharif s/o Muhammad Sharif</t>
  </si>
  <si>
    <t>Qamar-un-Nisa, r/o House No. 18, Block No. X,Street No.03, Madina Town , Faisalabad. (Mobile No. 0336-4277778)</t>
  </si>
  <si>
    <t>Deleted. Report dated 15/05/2018 has been submitted on behalf of CPO Faisalabad that Mst. Qamar-un-Nisa is not coming in contact, she is not residing at the given address. As complainant is not interested to pursue the case so the case is closed.</t>
  </si>
  <si>
    <t>3019-B</t>
  </si>
  <si>
    <t>Asif Rind s/o Abdul Ghaffor Rind</t>
  </si>
  <si>
    <t>Mst. Zulaikha, r/o Hub Choki, Akram Colony, Street No. 08, Near Hurri Plaza, Balochistan.</t>
  </si>
  <si>
    <t>FIR No.30 dt.17/9/2015 u/s 365 PPC PS/Hub City</t>
  </si>
  <si>
    <t>Traced Person. Report submitted indicates that he is involved in two criminal cases and confined in Central Jail, Karachi.</t>
  </si>
  <si>
    <t>3020-S</t>
  </si>
  <si>
    <t>Raza Ullah Khan s/o Inam Ullah Khan</t>
  </si>
  <si>
    <t>Mst. Qamar Sultan, House No. G-3/7, Lower Gazri Avenue, Karachi.</t>
  </si>
  <si>
    <t>3021-K</t>
  </si>
  <si>
    <t>Amin Gul s/o Alam Gul</t>
  </si>
  <si>
    <t>Mst. Jameela Bibi, r/o Kabal, Swat. (Mobile No. 0348-9007899 &amp; 0347-9836816)</t>
  </si>
  <si>
    <t>FIR No.18 dt.21/01/2016 u/s 365 PPC PS/Kabal District Swat.</t>
  </si>
  <si>
    <t>3022-P</t>
  </si>
  <si>
    <t>Shahid Ali s/o Dilawar Hussain</t>
  </si>
  <si>
    <t>Ilyas Ali, r/o Chak No. 268, Lal Singh, Dijkot, Tehsil &amp; District Faisalabad. (Mobile No. 0322-7004295)</t>
  </si>
  <si>
    <t>Traced Person. Returned to home. Appeared before the Commission on 12.2.16. Stated that he left at his own.</t>
  </si>
  <si>
    <t>3023-S</t>
  </si>
  <si>
    <t>Shah Bakht Rawan s/o Shahi Zaman</t>
  </si>
  <si>
    <t>Mrs. Ambreen ,r/o Mohallah Kira Shah, Village &amp; P.O Koza Bandi, Tehsil Kabal, District Swat. (Mobile No. 0342-1992762)</t>
  </si>
  <si>
    <t>3024-P</t>
  </si>
  <si>
    <t>HRC No. 25280-K/ 2015</t>
  </si>
  <si>
    <t>Zeeshan s/o Abdul Qayyum</t>
  </si>
  <si>
    <t>Mst. Shakila Bibi, r/o Village Kiala, P.O Kiala, U.C Ghari Phulgaran, Tehsil Hawelian, District Abbotabad. (Mobile No. 0323-9301437)</t>
  </si>
  <si>
    <t>FIR No.87 dt.01/02/2016 u/s 365 PPC PS/Pirwadhai District Rawalpindi.</t>
  </si>
  <si>
    <t>Traced Person, Confined in Adyala Jail on some criminal case as informed at the hearing on 4.4.2016.</t>
  </si>
  <si>
    <t>3025-K</t>
  </si>
  <si>
    <t>HRC No. 26544-K/ 2015</t>
  </si>
  <si>
    <t>Javed Ahmed s/o Siraj Ahmed</t>
  </si>
  <si>
    <t>Mst. Hamida Bibi, r/o Kanju, Tehsil, Kabal District Staw.(Mobile No. 0348-9580078 &amp; 0302-8080028)</t>
  </si>
  <si>
    <t>Traced Person. Confined in the Internment Center Fizagat. Family already met as informed at the hearing on 16.2.16.</t>
  </si>
  <si>
    <t>3026-S</t>
  </si>
  <si>
    <t>HRC No. 213395-S/ 2015</t>
  </si>
  <si>
    <t>Imran Khan s/o Sangi Marjan</t>
  </si>
  <si>
    <t>Sangi Marjan, r/o Street No. 24, Area-B, Old Muzaffarabad Colony, Distict Malir, Karachi. (Mobile No. 0302-3988141)</t>
  </si>
  <si>
    <t>Traced Person. (On Bail)</t>
  </si>
  <si>
    <t>3027-S</t>
  </si>
  <si>
    <t>HRC No. 12457-S/ 2015</t>
  </si>
  <si>
    <t>Muhammad Saeed s/o Muhammad Anwar Brohi</t>
  </si>
  <si>
    <t>Mst. Fatima, r/o Syed Aslam Road, Salgo Lane, Street No. 01, Block No. A, Liyari, Karachi. (Mobile No. 0315-1222187)</t>
  </si>
  <si>
    <t>Traced Person. Under Trial Prisoner Detained in (Central Prison Karachi)</t>
  </si>
  <si>
    <t>3028-B</t>
  </si>
  <si>
    <t>Muhammad Shehzad s/o Sultan Ahmed</t>
  </si>
  <si>
    <t>Mst. Mumtaz Bibi, r/o Kot Abdul Malik, Hassan Garden, Gali No. 01, Near TotalPetrol Pump, Tehsil &amp; District Sheikhupura. (Mobile No. 0322-4759339)</t>
  </si>
  <si>
    <t>Traced Person. Home Department Quetta submitted report dated 31.3.16 that Muhammad Shehzad has returned to home as confirmed by Mst Mumtaz Bibi.</t>
  </si>
  <si>
    <t>3029-K</t>
  </si>
  <si>
    <t>Farhad Ali s/o Abdul Hakim</t>
  </si>
  <si>
    <t>Mst. Shamaila, r/o Naway Kalay, Takht Bhai, Mardan. (Mobile No. 0343-9574264)</t>
  </si>
  <si>
    <t>16102-4783484-7</t>
  </si>
  <si>
    <t>FIR No.126 dt.01/02/2016 u/s 365 PPC PS/Takhat Bai,Mardan</t>
  </si>
  <si>
    <t>Deleted. In this case, there are concurrent findings/ conclusion by JIT and PTF that the Missing Person has gone on his own. All stakeholders have denied arrest/custody of Farhad Ali s/o Abdul Hakim. The complainant also submitted that there is no allegation against any LEAs/Intelligence Agency. No further action is required. The case is closed.</t>
  </si>
  <si>
    <t>3030-F</t>
  </si>
  <si>
    <t>Hussain Shah s/o Fazal Shah</t>
  </si>
  <si>
    <t>Fazal Shah, r/o Kalam Khel, P.O Sando Khel Tehsil Upper Mohmand, District Mohmand Agency. (Mobile No. 0346-9865964 &amp; 0346-9358510)</t>
  </si>
  <si>
    <t>3031-P</t>
  </si>
  <si>
    <t>Muhammad Ismail s/o Muhammad Yousaf</t>
  </si>
  <si>
    <t>2711/2015</t>
  </si>
  <si>
    <t>Muhammad Tayyab, r/o Jamia Masjid Abu Bakar Siddique (R.A), Chak No. 196, Ghona Sharqi, Fasilabad. (Mobile No. 0336-1721384)</t>
  </si>
  <si>
    <t>FIR No.139 dt.27/02/2016 u/s 365 PPC PS/Millat Town,Faisalabad.</t>
  </si>
  <si>
    <t>Traced Person. Returned to home. His son appeared before the Commission on 7.4.16 and confirmed.</t>
  </si>
  <si>
    <t>3032-K</t>
  </si>
  <si>
    <t>Muhammad Aslam s/o Kabal Khan</t>
  </si>
  <si>
    <t>Kabal Khan, r/o Village Jamga, P.O Haji Shah,Tehsil &amp; District Attock. (MobileNo. 0344-0503487)</t>
  </si>
  <si>
    <t>FIR No.661 dt.02/6/2015 u/s 365 PPC PS/City,Mansehra</t>
  </si>
  <si>
    <t>Deleted. Not a case of Enforced Disappearances as the abduction in due to personal enmity.</t>
  </si>
  <si>
    <t>3033-K</t>
  </si>
  <si>
    <t>Abdul Karim Khan s/o Haji Sahab Din</t>
  </si>
  <si>
    <t>Karim Khan, r/o Mohallah Noor, Near Shah Qabool Police Station, Dagri, Peshawar. (Mobile No. 0315-5891529)</t>
  </si>
  <si>
    <t>FIR No.91
 dt: 07/02/2016
 u/s 365 PPC
 PS/Shah Qabool,Peshawar.</t>
  </si>
  <si>
    <t>Traced Person. Appeared before the Commission on 29.6.16. Stated he went to Afghanistan but could not inform family.</t>
  </si>
  <si>
    <t>3034-K</t>
  </si>
  <si>
    <t>Muhammad Younas s/o Qasim Jan</t>
  </si>
  <si>
    <t>Mst. Noor Jahan, r/o Mera, Mingora, Swat. (Mobile No. 0345-3970032)</t>
  </si>
  <si>
    <t>FIR No.80
 dt: 27/1/2016
 u/s 365 PPC
 PS/Mingora District Swat.</t>
  </si>
  <si>
    <t>3035-P</t>
  </si>
  <si>
    <t>Ali Hassan @ Ustad Abdul Qadir s/o Muhammad Sabar Ali</t>
  </si>
  <si>
    <t>Muhammad Sabar Ali, r/o Rana Chowk, Mandi Bahauddin. (Mobile No.0346-6484688)</t>
  </si>
  <si>
    <t>FIR No.233
 dt: 18/2/2016
 u/s 365/380 PPC
 PS/Nishtar Colony,Lahore.</t>
  </si>
  <si>
    <t>Traced Person. Returned to Home and available at Rana Chowk, Mandi Bahauddin. Appeared before the Commission on 21.9.2017. Stated that he remained in captivity for two years and then released.</t>
  </si>
  <si>
    <t>3036-F</t>
  </si>
  <si>
    <t>Muhammad Rafique</t>
  </si>
  <si>
    <t>Muhammad Dawood, r/o Abdul Rahim Khel, Village Jindari, Orkazai Agency. (Mobile No. 0332-9654131)</t>
  </si>
  <si>
    <t>Traced Person. Confined in the Internment Center Kohat as informed by APA Orakzai Agency at the hearing on 24.5.16.</t>
  </si>
  <si>
    <t>3037-K</t>
  </si>
  <si>
    <t>Nasir Khan s/o Saeed-ur- Rehman</t>
  </si>
  <si>
    <t>06/21/2014</t>
  </si>
  <si>
    <t>Mst.Bakhat Begum, r/o House No. 67-B, Street No. 03, Mohallah Model Colony, Near Q- Block, Lahore. (Mobile No. 0347-9617648 &amp; 0308-4667190)</t>
  </si>
  <si>
    <t>FIR No.27 dt.30/01/2016 u/s 365 PPC PS/Kanju District Swat.</t>
  </si>
  <si>
    <t>Traced Person. JIT meeting was convened on 19.3.2019. In para 17 of the JIT report, it is mentioned that Nasir Khan is presently confined in the Internment Centre Fizagat, Swat. Mother of missing person is present, who has affirmed that she has already met her son in the Internment Centre.</t>
  </si>
  <si>
    <t>3038-ICT</t>
  </si>
  <si>
    <t>Shoukat Aziz s/o Aziz</t>
  </si>
  <si>
    <t>Muhammad Ramzan, r/o Dhoke, Gojara Near Bata Chowk, P.O, Saddar, Tehsil &amp; District Rawalpindi. (Mobile No. 0345-5416807)</t>
  </si>
  <si>
    <t>FIR No.51 dt.27/2/2016 u/s 365 PPC PS/Tarnol District Islamabad.</t>
  </si>
  <si>
    <t>Traced Person. Dead body recovered from Quetta and burial took place at Abbotabad.</t>
  </si>
  <si>
    <t>3039-S</t>
  </si>
  <si>
    <t>Muhammad Waqas s/o Muhammad Awais</t>
  </si>
  <si>
    <t>Mst.Mobina Begum, r/o House No. F-N-5, Korangi Area, Korangi No. 4, Karachi. (Mobile No. 0312-2797624)</t>
  </si>
  <si>
    <t>3040-K</t>
  </si>
  <si>
    <t>Peer Muhammad Khan s/o Mameet Gul</t>
  </si>
  <si>
    <t>Irfan Ullah, r/o Bannu Road, 15 , Dera Ismail Khan. (Mobile No. 0347-9697937)</t>
  </si>
  <si>
    <t>FIR No.27 dt.26/1/2016 u/s 365 PPC PS/Yarik District D.I.Khan</t>
  </si>
  <si>
    <t>Traced Person. Returned to home as confirmed by his son Irfan Ullah at the hearing on 11.7.16.</t>
  </si>
  <si>
    <t>3041-S</t>
  </si>
  <si>
    <t>Muhammad Hassan s/o Muhammad Iqbal</t>
  </si>
  <si>
    <t>Faisal Iqbal, r/o House No. 16, Rajput Colony, Merwah Road, District, Tando Allah Yar. (Mobile No. 0313-3224420)</t>
  </si>
  <si>
    <t>Tando Allah Yar</t>
  </si>
  <si>
    <t>3042-K</t>
  </si>
  <si>
    <t>Zaiwar Khan s/o Jamil Khan</t>
  </si>
  <si>
    <t>Mst. Ajmera Bibi, r/o Armar Bowa, Peshawar. (Mobile No. 0333-9739435)</t>
  </si>
  <si>
    <t>FIR No.61 dt.13/02/2016 u/s 365 PPC PS/Urmar,Peshawar.</t>
  </si>
  <si>
    <t>3043-K</t>
  </si>
  <si>
    <t>Ghazani Khan s/o Momeen Khan</t>
  </si>
  <si>
    <t>Momeen Khan, r/o Armar Bowa, Peshawar. (Mobile No. 0333-9739435)</t>
  </si>
  <si>
    <t>3044-S</t>
  </si>
  <si>
    <t>Habib Khan s/o Naiz Dar Khan</t>
  </si>
  <si>
    <t>Niaz Dar Khan, r/o Ghiziri Shell Petrol Pump. (Mobile No. 0312-3246569)</t>
  </si>
  <si>
    <t>FIR No.112 dt.9/3/2016 u/s 365/34 PPC PS/Clifton,District South Karachi.</t>
  </si>
  <si>
    <t>Traced Person. Jail Custody.</t>
  </si>
  <si>
    <t>3045-F</t>
  </si>
  <si>
    <t>Raban Gul s/o Eid Muhammad</t>
  </si>
  <si>
    <t>Sakhawat Khan, r/o Jandola, FR, Kohat, Tank. (Mobile No. 0336-8912254)</t>
  </si>
  <si>
    <t>3046-I</t>
  </si>
  <si>
    <t>Farooq Alam Khan s/o Abdul Ghaffar Khan</t>
  </si>
  <si>
    <t>Mr. Abdul Ghaffar Khan, r/o House No. 279, Street No. 17, Block - D, Media Town, Islamabad. Mobile No. 0300-0666211, 0321-5920244</t>
  </si>
  <si>
    <t>FIR No.46 dt.28/2/2016 u/s 365 PPC PS/365 PPC PS/Lohi Bher District Islamabad.</t>
  </si>
  <si>
    <t>Traced Person. His brother Humayour Khan confirmed at the hearing on 4.4.2017 about return.</t>
  </si>
  <si>
    <t>3047-P</t>
  </si>
  <si>
    <t>HRC No. 27585-P/2015</t>
  </si>
  <si>
    <t>Ammar Bilal s/o Muhammad Bilal Khan</t>
  </si>
  <si>
    <t>Mst. Rahima, r/o House No. 28, Rizwan Street Tawakalabad, Sandha Kalan, Lahore. Mobile No. 0343-1840071</t>
  </si>
  <si>
    <t>FIR No.1385 dt.19/12/2015 u/s 365 PPC PS/365 PPC PS/Islampura,Lahore</t>
  </si>
  <si>
    <t>Traced Person. Arrested by CTD, Multan in case FIR No. 87/16 dated 17.10.16 u/s 7 ATA, 4/5 ESA, PS CTD, Multan.</t>
  </si>
  <si>
    <t>3048-K</t>
  </si>
  <si>
    <t>Sanaullah s/o Saif Ullah</t>
  </si>
  <si>
    <t>Mr. Saif Ullah Khan, r/o P.O. Najori Manzar Faqir, Tehsil &amp; District Lakki Marwat. Mobile No. 0300-7416711, 0311-9461074</t>
  </si>
  <si>
    <t>FIR No.131 dt.30/4/2016 u/s 365 PPC PS/Tajori District Lakki Marwat.</t>
  </si>
  <si>
    <t>Traced Person. SP (Inv) Lakki Marwat confirmed at the hearing that Sanaullah is under de-radicatization at Mirran Shah Centre.</t>
  </si>
  <si>
    <t>3049-S</t>
  </si>
  <si>
    <t>Khan Badshah s/o Bakistan</t>
  </si>
  <si>
    <t>Mst. Zuhura Bibi, r/o House No. 224, Zareena Colony, Tehsil Karachi Central, District Karachi. MobileNo. 0305-2134616</t>
  </si>
  <si>
    <t>3050-P</t>
  </si>
  <si>
    <t>Mohtashim Ali Khan s/o Musawar Ali Khan</t>
  </si>
  <si>
    <t>Mr. Musawar Ali Khan, r/o Chak No. 111/7-R, Tehsil Chichawatni, District Sahiwal. Mobile No. 0315-6427857, 0311-1638538</t>
  </si>
  <si>
    <t>Traced Person. Returned to home on 10.1.16 as confirmed by Rep of IB at the hearing on 15.2.16.</t>
  </si>
  <si>
    <t>3051-P</t>
  </si>
  <si>
    <t>Lal Karim s/o Abdul Hassan Khan</t>
  </si>
  <si>
    <t>Mr. Abdul Hassan Khan, r/o P.O. Loi Sum, Tehsil Touagai, Bajour Agency. Mobile No. 0300-0527495, 0306-9294711</t>
  </si>
  <si>
    <t>FIR No.26 dt.03/02/2016 u/s 365PPC PS/Gunjmandi,Rawalpindi.</t>
  </si>
  <si>
    <t>Traced Person. Returned to Home and available at P.O Loi Sum Tehsil Touagai, Bajour Agency as informed at the hearing on 16.8.2016.</t>
  </si>
  <si>
    <t>3052-S 3073-S</t>
  </si>
  <si>
    <t>Muhammad Imran s/o Nazir Ahmed</t>
  </si>
  <si>
    <t>Nazir Ahmed, r/o Plot No. 468, G/33, Aijaz Colony, Nazar Block Wali Gali, Lasbela, Karachi. (Mobile No. 0344-2289955)</t>
  </si>
  <si>
    <t>FIR No.56 dt.16/2/2016 u/s 365/34 PPC,PS/Jamshed,District East Karachi.</t>
  </si>
  <si>
    <t>Deleted. In this case 13 meetings of JIT were held. In the last meeting on 15.11.2020 it may concluded that it is not a case of enforced disappearance as the Missing Person was suffering from some Psychological disease was under treatment. Father of the Missing Person who was present at the hearing on 14.11.2020 concluded the facts narrated in JIT report. Hence not a case of enforced disappearnce, the case is closed.</t>
  </si>
  <si>
    <t>MoFAs No. 10005925</t>
  </si>
  <si>
    <t>3053-S</t>
  </si>
  <si>
    <t>Syed Adil Zafar s/o Syed Zafar Ali</t>
  </si>
  <si>
    <t>Mst.Misbah Adil, r/o House No. L-34, Commissioner Society, Abu hassan Isphani Road, Karachi. (Mobile No. 0645-0260006 &amp; 0335-1252576)</t>
  </si>
  <si>
    <t>FIR No.52 dt.22/2/2016 u/s 365/34 PPC,PS/Mobina Town,District Malir,Karachi.</t>
  </si>
  <si>
    <t>MoFAs No. 10007140</t>
  </si>
  <si>
    <t>3054-S</t>
  </si>
  <si>
    <t>Tariq Qureshi s/o Sadiq Qureshi</t>
  </si>
  <si>
    <t>Mst. Rashida Parveen, r/o House No. 990, Sector 7/C, Sirjani Town, Karachi. (Mobile No. 0324-2230626)</t>
  </si>
  <si>
    <t>3055-S</t>
  </si>
  <si>
    <t>Muhammad Naeem s/o Muhammad Rafiq</t>
  </si>
  <si>
    <t>Mst. Kiran Naeem, r/o House No. 640, Street No. 13, Korangi 3-1/2, Raheemabad, Karachi. (Mobile No. 0310-2714476)</t>
  </si>
  <si>
    <t>FIR No.47 dt.20/3/2016 u/s 365/34 PPC,PS/Mominabad , District West,Karachi.</t>
  </si>
  <si>
    <t>3056-S</t>
  </si>
  <si>
    <t>Shahnawaz Khan s/o Muhammad Atiq Khan</t>
  </si>
  <si>
    <t>Mst. Abdia Sultana, r/o Chakorah Dak Khana, Bhyuna, Tehsil Khariyan, District,Gujrat. (Mobile No. 0345-2742857 &amp; 0336-3533687)</t>
  </si>
  <si>
    <t>FIR No.84/2016 u/s 365/34 PPC,PS/New Karachi, District Central,Karachi.</t>
  </si>
  <si>
    <t>3057-S</t>
  </si>
  <si>
    <t>Syed Qaiser Ali s/o Syed Anwar Ali</t>
  </si>
  <si>
    <t>Mst. Shahnaz Qaiser, r/o House No. 1-A, Malir, Kala Boari, A- Area, District Malir. (Mobile No. 0315-2880388)</t>
  </si>
  <si>
    <t>3058-S</t>
  </si>
  <si>
    <t>Muhammad Riyasat Ullah s/o Muhammad Rehmat Ullah</t>
  </si>
  <si>
    <t>Muhammad Fizan Ullah, r/o House No. LS-23, Sector 1-D, Orangi Town , Karachi. (Mobile No. 0315-4413190)</t>
  </si>
  <si>
    <t>FIR No.97 dt.30/3/2016 u/s 365/34 PPC,PS/Nazimabad, District Central,Karachi.</t>
  </si>
  <si>
    <t>3059-S</t>
  </si>
  <si>
    <t>Muhammad Shakeel s/o Islam-ud-Din</t>
  </si>
  <si>
    <t>Mst.Rukhsana, r/o House No. 04, Garden, Gate No. 05, karachi. (Mobile No. 0315-2266369)</t>
  </si>
  <si>
    <t>Traced Person. Returned to Home and available at House No. 04, Garden, Gate No. 05, Karachi.</t>
  </si>
  <si>
    <t>3060-S</t>
  </si>
  <si>
    <t>Muhammad Arif s/o Muhammad Rafiq</t>
  </si>
  <si>
    <t>Mst. Shagufta, r/o House No. 7/15, Gali No. 07, Sector-D, Manzoor Colony, Mehmoodabad, Karachi. (Mobile No. 0313-2894357 &amp; 0340-4868880)</t>
  </si>
  <si>
    <t>Traced Person. Arrested by Pak Rangers for 90 Days Preventing Custody.</t>
  </si>
  <si>
    <t>3061-S</t>
  </si>
  <si>
    <t>Shadab Ahmed Rohela s/o Mustijabuddin Rohela</t>
  </si>
  <si>
    <t>Mst. Nazmeen Shadab, r/o Flat No. D-14, First Floor, Shadman No. 02, Karachi. (Mobile No. 0312-1830435)</t>
  </si>
  <si>
    <t>Ttaced Person. (On Bail)</t>
  </si>
  <si>
    <t>3062-S</t>
  </si>
  <si>
    <t>Muhammad Naveed s/o Muhammad Hashim</t>
  </si>
  <si>
    <t>Waqas, r/o House No. 02, Jumma House, Kharadar, Machi Miani Road, Karachi. (Mobile No. 0320-8387568)</t>
  </si>
  <si>
    <t>MoFAs No. 10007499</t>
  </si>
  <si>
    <t>3063-S</t>
  </si>
  <si>
    <t>Noman s/o Ghulam Hussain</t>
  </si>
  <si>
    <t>Ghulam Mohiuddin, r/o Flat No. B-18, Ameer Center, Phase-II, Sector 11-H, Karachi. (Mobile No. 0345-6022263 &amp; 0315-6022263)</t>
  </si>
  <si>
    <t>3064-S</t>
  </si>
  <si>
    <t>Muhammad Mateen Khan s/o Muhammad Ismail Khan</t>
  </si>
  <si>
    <t>Mst. Nazmeen Shadab , r/o Flat No. D-14, First Floor, Shadman No. 02, Karachi. (Mobile No. 0312-1830435)</t>
  </si>
  <si>
    <t>3065-S</t>
  </si>
  <si>
    <t>Muhammad Dilshad s/o Abdul Rehman</t>
  </si>
  <si>
    <t>Mst.Rukhsana Tabassum, r/o House No. 904, Sector-11/E, Orangi town, Karachi. (Mobile No. 0311-9543377)</t>
  </si>
  <si>
    <t>MoFAs No. 10007508</t>
  </si>
  <si>
    <t>3066-S</t>
  </si>
  <si>
    <t>Imran Ashraf s/o Muhammad Ashraf</t>
  </si>
  <si>
    <t>Rehman Ashraf, r/o House No. A-82,Usmania Colony, Jamsheed Road, Karachi. (Mobile No. 0315-2355358)</t>
  </si>
  <si>
    <t>3067-S</t>
  </si>
  <si>
    <t>Sarfaraz s/o Abdul Sattar</t>
  </si>
  <si>
    <t>Saqib Sattar, r/o House No. D-24, Al- Noor Housing Society, Malir Halt, karachi. (Mobile No. 0336-3010329)</t>
  </si>
  <si>
    <t>3068-K</t>
  </si>
  <si>
    <t>Shah Jahan s/o Dawa Jan</t>
  </si>
  <si>
    <t>Rawa Jan, r/o Mian Gee Qila, P.O, Shah Gai, Tehsil &amp; District Peshawar. (Mobile No. 0313-5639699 &amp; 0346-9377866)</t>
  </si>
  <si>
    <t>FIR No.718 dt.08/8/2016 u/s 365 PPC,PS/Mathra District Peshawar.</t>
  </si>
  <si>
    <t>Traced Person. Shah Jahan has been traced and he is confined in FC (CTC) under Action (in aid of Civil Regulation 2011) as informed at the hearing on 17.5.17.</t>
  </si>
  <si>
    <t>3069-S</t>
  </si>
  <si>
    <t>Shahnawaz s/o Muhammad Iftikhar</t>
  </si>
  <si>
    <t>r/o House No. C-24, Jacob Line, Karachi</t>
  </si>
  <si>
    <t>3070-S</t>
  </si>
  <si>
    <t>Muhammad Iftikhar s/o Muhammad Wali</t>
  </si>
  <si>
    <t>Traced Person. Returned to Home and available at (House No. C-24, Jacob Line, Karachi)</t>
  </si>
  <si>
    <t>3071-S</t>
  </si>
  <si>
    <t>Shoaib Akhtar s/o Muhammad Akhtar</t>
  </si>
  <si>
    <t>r/o, House no. 11, FC, Area Karachi</t>
  </si>
  <si>
    <t>3072-S</t>
  </si>
  <si>
    <t>Abdul Rasheed s/o Abdul Waheed</t>
  </si>
  <si>
    <t>r/o, Flat No. 26/8, F.C, Area, Karachi.</t>
  </si>
  <si>
    <t>3073-S 3052-S</t>
  </si>
  <si>
    <t>Muhammad Imran Ansar s/o Nazeer Ahmed</t>
  </si>
  <si>
    <t>06/02016</t>
  </si>
  <si>
    <t>r/o, House No. 468, Sector No.33, Ijaz Colony, Karachi.</t>
  </si>
  <si>
    <t>3074-S</t>
  </si>
  <si>
    <t>Haider Ali s/o Khursheed Haider</t>
  </si>
  <si>
    <t>r/o, House No. Q-11/100, Barka, JT, Liner, Karachi</t>
  </si>
  <si>
    <t>3075-S</t>
  </si>
  <si>
    <t>Sheikh Hikmat Ullah Qureshi s/o Rafi Ullah Qureshi</t>
  </si>
  <si>
    <t>r/o, House No. 407,, Street No. 07 Area, 37-D, Landhi, Karachi.</t>
  </si>
  <si>
    <t>3076-S</t>
  </si>
  <si>
    <t>Ubaid Ullah s/o Saeed Ullah</t>
  </si>
  <si>
    <t>r/o, House No. C-184,Sector No. 50-A, Korangi, Karachi.</t>
  </si>
  <si>
    <t>3077-S</t>
  </si>
  <si>
    <t>Kashif Hussain Shah s/o Chirag Hussain</t>
  </si>
  <si>
    <t>r/o, House No. 385, 100 Quarter, Korangi, Karachi.</t>
  </si>
  <si>
    <t>FIR No.47/2016 u/s 365 PPC,PS/Mominabad, District West,Karachi.</t>
  </si>
  <si>
    <t>3078-S</t>
  </si>
  <si>
    <t>Afzal Ali s/o Asghar Ali</t>
  </si>
  <si>
    <t>r/o, House No. 1649, Sector 51-C, Korangi, Karachi.</t>
  </si>
  <si>
    <t>3079-S</t>
  </si>
  <si>
    <t>Ali Sualih</t>
  </si>
  <si>
    <t>r/o, House No. 125/62, Area, J-1, Korangi, Karachi.</t>
  </si>
  <si>
    <t>3080-S</t>
  </si>
  <si>
    <t>Muhammad Umair s/o Salah-ud-Din</t>
  </si>
  <si>
    <t>Salah-ud-Din, r/o M-17/4, Khy-e-ittehad, Saadi Lane No. 04, Phase VII, DHA, Karachi, (Mobile No.0333-2306603)</t>
  </si>
  <si>
    <t>Traced Person. Dead Body Recovered Killed in Encounter.</t>
  </si>
  <si>
    <t>3081-S</t>
  </si>
  <si>
    <t>Tahir Iqbal Sharfi s/o Saeed Ahmed Sharfi</t>
  </si>
  <si>
    <t>Mst. Nayyara Sultana, r/o House No. D-118, Shah Rasool Colony, Clifton, Near Madina Medical General Store, Karachi. (Mobile No. 0310-2642875)</t>
  </si>
  <si>
    <t>FIR No.108/2016 u/s 365 PPC,PS/Boat Basin, District South,Karachi.</t>
  </si>
  <si>
    <t>Returned to Home and available at ( House No. D-118, Shah Rasool Colony, Clifton, Near Madina Medical General Store, Karachi.)</t>
  </si>
  <si>
    <t>3082-S</t>
  </si>
  <si>
    <t>Sadat Akhtar s/o Muhammad Akhtar khan</t>
  </si>
  <si>
    <t>Muhammad Akhtar Khan, r/o, House No. 772, Sector -C/3, Saeedabad, Baldia Town, Karachi. (Mobile No. 0333-2114245)</t>
  </si>
  <si>
    <t>3083-P</t>
  </si>
  <si>
    <t>Abdullah Amir Khan Sherwani s/o Amir Arshad Khan Sherwani</t>
  </si>
  <si>
    <t>Mst. Shahzia Sherwani, r/o House No. 73, Dhok Peeran Faqiran, Tipu Road, Rawalpindi. (Mobile No. 0323-5400934)</t>
  </si>
  <si>
    <t>FIR No.102 dt.15/02/2016 u/s 365 PPC PS/Airport,Rawalpindi.</t>
  </si>
  <si>
    <t>3084-K</t>
  </si>
  <si>
    <t>Sohail Ahmed s/o Raheem Ahmed</t>
  </si>
  <si>
    <t>Naseer Khan, r/o Yak Toot, Zargar Abad Chowk, Mohallah Sadiqabad, Near Ghulab Masjid, Nazim Khalid Gul Market, Peshawar. (Mobile No. 0346-9002396)</t>
  </si>
  <si>
    <t>FIR No.157 dt.24/2/2016 u/s 365 PPC PS/Agha Mir Jani Shah,Peshawar.</t>
  </si>
  <si>
    <t>Traced Person. Confined in judicial lock up at Shah Kass as informed by I.O. complainant already met him.</t>
  </si>
  <si>
    <t>3085-K</t>
  </si>
  <si>
    <t>HRC No. 26180-K/2015</t>
  </si>
  <si>
    <t>Safi-ur-Rehman s/o Abdul Malik</t>
  </si>
  <si>
    <t>Mst. Syeda Jan Bibi, r/o Tandi Kalay, Darah Adam Khel, F.R, Kohat.(Mobile No.0333-9303254)</t>
  </si>
  <si>
    <t>FIR No.158 dt.18/2/2016 u/s 365 PPC PS/Cantt,Kohat.</t>
  </si>
  <si>
    <t>Under Investigation (KPK) Kohat</t>
  </si>
  <si>
    <t>3086-K</t>
  </si>
  <si>
    <t>Muslim Khan s/o Muhammad Afzal</t>
  </si>
  <si>
    <t>Atta Muhammad Khan, r/o Nai Gari, Mansorabad, Bakhhshu Pul, Peshawar. (Mobile No. 0348-9552809)</t>
  </si>
  <si>
    <t>FIR No.112 dt.23/2/2016 u/s 365 PPC PS/Khazana District Peshawar.</t>
  </si>
  <si>
    <t>3087-P</t>
  </si>
  <si>
    <t>Asad Muhammad Yaqoob s/o Muhammad Yaqoob</t>
  </si>
  <si>
    <t>Arfat Yaqoob, r/o House No. E-44, Attock. (Mobile No. 0312-9577795)</t>
  </si>
  <si>
    <t>FIR No.58 dt.18/2/2016 u/s 365 PPC PS/City,Attock.</t>
  </si>
  <si>
    <t>Traced Person. Returned to Home and available at House No. E-44, Attock as informed at the hearing on 18.8.16. Appeared before the Commission on the said date.</t>
  </si>
  <si>
    <t>3088-P</t>
  </si>
  <si>
    <t>Prof. Ghalib Ata</t>
  </si>
  <si>
    <t>Mst. Asma Ghalib, r/o House No. 755, Mohallah Raza block, Allama Iqbal Town, Lahore. (Mobile No. 0334-8167059)</t>
  </si>
  <si>
    <t>FIR No.88 dt.22/02/2016 u/s 365 PPC,PS/Gulshan-e-Ravi District Lahore.</t>
  </si>
  <si>
    <t>Traced Person. SP (Inv), Saddar Divission, Lahore, submitted report that Prof Ghalib Atta has Returned to Home and available at his house. Wife of Prof. Ghalib Atta confirmed.</t>
  </si>
  <si>
    <t>3089-S</t>
  </si>
  <si>
    <t>Faizan Yar Khan s/o Khasro Yar Khan</t>
  </si>
  <si>
    <t>Khasro Yar Khan, r/o 3rd Floor Building No. 12, Sunset Street No. 02, Khayaban-e-Jami, DHA, Phase IV, Karachi. (Mobile No. 0321-2792253)</t>
  </si>
  <si>
    <t>FIR No.141 dt.28/3/2013 u/s 365/34 PPC PS/Defence,District South,Karachi</t>
  </si>
  <si>
    <t>3090-K</t>
  </si>
  <si>
    <t>Shahmos Khan s/o Ibrahim Khan</t>
  </si>
  <si>
    <t>Nasraullah Khan, r/o Mohallah Dowagan Khel, Village Budh Ber, Peshawar. (Mobile No. 0300-5961602)</t>
  </si>
  <si>
    <t>FIR No.214 dt.09/02/2016 u/s 365 PPC PS/Badaber District Peshawar.</t>
  </si>
  <si>
    <t>3091-S</t>
  </si>
  <si>
    <t>Hassan Arif s/o Muhammad Arif</t>
  </si>
  <si>
    <t>Mst. Ayesha Bano, r/o Flat No. 104, Idrees Garden, Bussiness Recorder Road, Gurumandir, Karachi. (Mobile No. 0321-9262080 &amp; 0336-3640447)</t>
  </si>
  <si>
    <t>3092-S</t>
  </si>
  <si>
    <t>Hussain Arif s/o Muhammad Arif</t>
  </si>
  <si>
    <t>3093-S</t>
  </si>
  <si>
    <t>Zain Ansari s/o Ather Ansari</t>
  </si>
  <si>
    <t>Ather Ansari, r/o House No. 25-B/2, Main Khayaban-e-badban, Phase VII, D.H.A, Karachi. (Mobile No. 0300-8223450)</t>
  </si>
  <si>
    <t>3094-K</t>
  </si>
  <si>
    <t>Amjad Khan s/o Fazal-e-Rabani</t>
  </si>
  <si>
    <t>Mr. M. Javaid r/o Matta Mughal Khel, Daman, Tehsil Shabqadar, District Charsadda. (Mobile No. 0345-9063789, 0333-9220608)</t>
  </si>
  <si>
    <t>FIR No.211 dt.10/3/2016 u/s 365 PPC,PS/Agha Mir Jani Shah,Peshawar.</t>
  </si>
  <si>
    <t>Traced Person. Confined in the Internment Center Kohat as informed by Rep of MI at the hearing on 6.5.2016.</t>
  </si>
  <si>
    <t>3095-K</t>
  </si>
  <si>
    <t>Majid Hassan s/o Shamshad Rahim</t>
  </si>
  <si>
    <t>Mr. Shamshad Rahim r/o Muhallah Menorah, Matta Mughal Khel, Tehsil Shabqadar, District Charsadda. (Mobile No.0334-9031488)</t>
  </si>
  <si>
    <t>Traced Person. Returned to home as recorded by JIT. Father confirmed the factum of return.</t>
  </si>
  <si>
    <t>3096-K</t>
  </si>
  <si>
    <t>Shahid Hassan s/o Shamshad Rahim</t>
  </si>
  <si>
    <t>FIR No.63 dt.02/5/2016 u/s 365 PPC PS/Khawjawas,District Charsadda.</t>
  </si>
  <si>
    <t>Deleted. After investigation into this case it was concluded by JIT as well as PTF that it is not a case of enforced disappearance and the Missing Person has gone on his own. The Commission examined at various hearings, witnesses and other metrial available on record and arrived at the same conclusion. The complainant also deposed in his statement recorded on oath that his information was based on heresay. Hence not a case of enforced disappearance.</t>
  </si>
  <si>
    <t>3097-P</t>
  </si>
  <si>
    <t>Muhammad Ashfaq Alias s/o Rafiq Ahmed Khan</t>
  </si>
  <si>
    <t>Mr. Rafiq Ahmed Khan r/o Mouza Qaiserpur, Tehsil Shuja Abad, District Multan. (Mobile No. 0346-7076448)</t>
  </si>
  <si>
    <t>Traced Person. Returned to home as confirmed by SSP (Inv) Rawalpindi at the hearing on 18.3.16.</t>
  </si>
  <si>
    <t>3098-P</t>
  </si>
  <si>
    <t>Zulfiqar Munsif s/o Ghulam Munsif</t>
  </si>
  <si>
    <t>Mr. Sultan Munsif r/o Dhok Gujran, Misriyal Road, Rawalpindi. (Mobile No. 0331-5221432)</t>
  </si>
  <si>
    <t>FIR No.47 dt.03/02/2016 u/s 365 PPC PS/Naseerabad District Rawalpindi</t>
  </si>
  <si>
    <t>3099-I</t>
  </si>
  <si>
    <t>Amjad Ali s/o Mawas Khan</t>
  </si>
  <si>
    <t>Mr. Nazar Ali r/o Muhallah Shagai Tarlandi, Tehsil &amp; District Swabi. (Mobile No.0345-8957236).</t>
  </si>
  <si>
    <t>Daily Diary Report No.36 dated 25/4/2014, PS Sabzi Mandi,Islamabad.</t>
  </si>
  <si>
    <t>Deleted. Amjad Ali has been declared deserted as informed by Rep of MI at the hearing on 17.11.16.</t>
  </si>
  <si>
    <t>3100-K</t>
  </si>
  <si>
    <t>Syed Al Ibrar s/o Sahib Gul</t>
  </si>
  <si>
    <t>Mr. Junaid r/o Muhallah Gulabad Nowshera, Khurd Khat Kilay, Tehsil &amp; District Nowshera. (Mobile No. 0342-5653378).</t>
  </si>
  <si>
    <t>FIR No.157 dt.07/3/2016 u/s 365 PPC PS/Azakhel District Nowshera.</t>
  </si>
  <si>
    <t>Traced Person. Returned to home as informed by SP (Inv) ICT at the hearing on 17.3.16. Gone her own will.</t>
  </si>
  <si>
    <t>3101-K</t>
  </si>
  <si>
    <t>Riaz s/o Taj Muhammad</t>
  </si>
  <si>
    <t>Mr. Zahoor Khan r/o Muhallah Gulabad Nowshera, Khurd Khat Kilay, Tehsil &amp; District Nowshera. (Mobile No. 0301-3154925).</t>
  </si>
  <si>
    <t>FIR No.156 dt.07/3/2016 u/s 365 PPC PS/Azakhel District Nowshera.</t>
  </si>
  <si>
    <t>Traced Person. Rep of MI submitted that the Missing Person Riaz is Confined in Internment Center, Lakki Marwatl under Action (in aid of Civil Power) Regulation 2011. Family Members have been allowed to meet him.</t>
  </si>
  <si>
    <t>3102-B</t>
  </si>
  <si>
    <t>Ghulam Yaseen Bugti s/o Ghulam Nabi Bugti</t>
  </si>
  <si>
    <t>Mr. Ghulam Rasool Bugti, r/o Sariab Mill, Quetta. (Mobile No.0313-3883944).</t>
  </si>
  <si>
    <t>3103-I</t>
  </si>
  <si>
    <t>Qurat-ul-Ain Younas d/o Muhammad Younas</t>
  </si>
  <si>
    <t>Ms. Azra Nawaz, r/o House No. 498, Street No. 100, Setor G-9/4, Islamabad. (Mobile No. 0337-4888119, 0332-5490427).</t>
  </si>
  <si>
    <t>FIR No.52 dt.19/2/2016 u/s 496(A) PPC PS/Karachi Company, District .</t>
  </si>
  <si>
    <t>3104-S</t>
  </si>
  <si>
    <t>Syed Muhammad Umair s/o Iqbal Pasha</t>
  </si>
  <si>
    <t>Iqbal Pasha, r/o House No. A-450, Block No. 01, Gulshan-e-Iqbal, Karachi. (Mobile No. 0332-2102355)</t>
  </si>
  <si>
    <t>3105-P</t>
  </si>
  <si>
    <t>Umar Farooq s/o Abdul Hameed</t>
  </si>
  <si>
    <t>Kamran Hameed, r/o House No. 368, Block-G, Sabza Zar Scheme, Lahore. (Mobile No. 0322-8435545 &amp; 0333-4496145)</t>
  </si>
  <si>
    <t>FIR No.1153 dt.02/11/2015 u/s 365 PPC PS/Sabzazar,Lahore</t>
  </si>
  <si>
    <t>Traced Person. Returned to Home and available at House No. 368, Block-G, Sabza Zar Scheme, Lahore as informed at the hearing on 28.7.16.</t>
  </si>
  <si>
    <t>3106-I 4860-I</t>
  </si>
  <si>
    <t>Hafiz Saeed-ur-Rehman s/o Molana Abdul Rasheed Arshad</t>
  </si>
  <si>
    <t>Shamas-ul-Haq, r/o Tehsil Wazirabad Near Naiwala, District Gujranwala. Mobile No. 0301-5331452)</t>
  </si>
  <si>
    <t>38301-1920876-3</t>
  </si>
  <si>
    <t>FIR No.59 dt.09/3/2016 u/s 365 PPC,PS/Tarnol,Islamabad.</t>
  </si>
  <si>
    <t>3107-P</t>
  </si>
  <si>
    <t>Muhammad Umar Tahir s/o Muhammad Yaseen</t>
  </si>
  <si>
    <t>Muhammad Yaseen, r/o Ward No. 01, Mohallah Farooqia, P.O Khas, Basti Chorbara, District Layyah. (Mobile No. 0345-3192662)</t>
  </si>
  <si>
    <t>Traced Person. Appeared before the Commission on 24.11.16. Stated that he was abducted by some Agency. No further details.</t>
  </si>
  <si>
    <t>3108-P</t>
  </si>
  <si>
    <t>Muhammad Afzaal s/o Muhammad Rafique</t>
  </si>
  <si>
    <t>Ghulam Farooq, r/o Houe No. CB-193, Madni Colony, Near Masjid Rehmania, Janjhwal, Tehsil &amp; District Attock. (Mobile No. 0336-5236305 &amp; 0321-50812611)</t>
  </si>
  <si>
    <t>FIR No.48 dt.04/3/2016 u/s 365 PPC PS/Saddar,Attock</t>
  </si>
  <si>
    <t>Traced Person. Muhammad Afzal has returned to home. He entered appearance before the Commission on 04/09/2018 and submitted that he returned home after two years and nine months. He could not give further details regarding place of detention and persons involved in his disappearance.</t>
  </si>
  <si>
    <t>3109-P</t>
  </si>
  <si>
    <t>Usman Ghani s/o Abdul Shakoor</t>
  </si>
  <si>
    <t>Abdul Shakoor, r/o House No. 09,Street No. 01, Ghulam Muhammad Abad, Mohallah Jamil Town, Faisalabad. (Mobile No. 0322-6327290)</t>
  </si>
  <si>
    <t>Traced Person. Father appeared before the Commission on 7.4.2016. Stated that his son in Jail and he had met them.</t>
  </si>
  <si>
    <t>3110-P</t>
  </si>
  <si>
    <t>Abdul Rehman s/o Abdul Shakoor</t>
  </si>
  <si>
    <t>3111-S</t>
  </si>
  <si>
    <t>Shafique-ur-Rehman s/o Habib-ur-Rehman</t>
  </si>
  <si>
    <t>Habib-ur-Rehman,r/o B-135, Sector A-24, Hoor Appartment, North Karachi. (Mobile No. 0312-2062129)</t>
  </si>
  <si>
    <t>FIR No.153 dt.15/10/2014 u/s 365/34 PPC PS/Airport District Malir,Karachi</t>
  </si>
  <si>
    <t>Traced Person. Returned to Home an available at (B-135, Sector A-24, Hoor Appartment, North Karachi)</t>
  </si>
  <si>
    <t>3112-S</t>
  </si>
  <si>
    <t>Muhammad Junaid s/o Niaz Ahmed</t>
  </si>
  <si>
    <t>Niaz Ahmed, r/o B-82, Sector 11-B, North Karachi. (Mobile No. 0335-2266391)</t>
  </si>
  <si>
    <t>Returned to Home and available at (B-82, Sector 11-B, North Karachi)</t>
  </si>
  <si>
    <t>3113-S</t>
  </si>
  <si>
    <t>Ali Hassan s/o Shahid Hussain</t>
  </si>
  <si>
    <t>Shahid Hussain, r/o House No. B-77, Block C,North Nazimabad, Karachi. (Mobile No. 0301-8261656)</t>
  </si>
  <si>
    <t>FIR No.57 dt.23/3/2016 u/s 365/34 PPC PS/North Nazimabad District Central,Karachi</t>
  </si>
  <si>
    <t>Returned to Home and available at (House No. B-77, Block C,North Nazimabad, Karachi)</t>
  </si>
  <si>
    <t>3114-S</t>
  </si>
  <si>
    <t>Imam Deen s/o Muhammad Alam</t>
  </si>
  <si>
    <t>Ahmed Deen, r/o Murad Barohi, Goth Alharno Barohi, Tehsil Mirpur Sakro, District Thata. (Mobile No. 0300-3703369)</t>
  </si>
  <si>
    <t>3115-S</t>
  </si>
  <si>
    <t>Farhan Mitha s/o Umer Deen</t>
  </si>
  <si>
    <t>r/o, Flat no. 10, Block-A, Azeem Plaza, Garden, Karachi</t>
  </si>
  <si>
    <t>3116-S</t>
  </si>
  <si>
    <t>Ansar Hussain s/o Zia Abbass</t>
  </si>
  <si>
    <t>r/o, F-8/2, PNT Colony, Giziri Road, Karachi.</t>
  </si>
  <si>
    <t>3117-S</t>
  </si>
  <si>
    <t>Abdul Sattar Khan s/o Sher Afghan</t>
  </si>
  <si>
    <t>House No. R-1488, Sector A-1, Lines Area, Karachi.</t>
  </si>
  <si>
    <t>3118-S</t>
  </si>
  <si>
    <t>Muhammad Younas s/o Noor-ul- Haq</t>
  </si>
  <si>
    <t>r/o, House No. P1/918, Akbar Shah Goth, Karachi.</t>
  </si>
  <si>
    <t>3119-S</t>
  </si>
  <si>
    <t>Farhan Khan s/o Irfan Khan</t>
  </si>
  <si>
    <t>r/o, Flat No. 03, C-2, Waseem Center Nagin Chowrangi, Karachi.</t>
  </si>
  <si>
    <t>Returned to Home and available at (Flat No. 03, C-2, Waseem Center Nagin Chowrangi, Karachi.)</t>
  </si>
  <si>
    <t>3120-S</t>
  </si>
  <si>
    <t>Abid Abbass s/o Muhammad Deen Abbassi</t>
  </si>
  <si>
    <t>r/o, Flat No. 705, Rao &amp; Israr Block, 13 Johar, Karachi.</t>
  </si>
  <si>
    <t>FIR No.100/2016 dt. u/s 365/34 PPC PS Shahrah-e-Faisal,District East Karachi.</t>
  </si>
  <si>
    <t>Deleted .The case has been closed due to non-prosecutions as the Complainant neither extended co-operation to the Investigation Officer nor attended hearings held on 26.11.2019 despite notice. He also remained absent at JIT meetings.</t>
  </si>
  <si>
    <t>3121-S</t>
  </si>
  <si>
    <t>Ubaid Farooqui s/o Khalil Ullah</t>
  </si>
  <si>
    <t>r/o, House No. 14/2, Nazimabad No. 03, Karachi.</t>
  </si>
  <si>
    <t>3122-S</t>
  </si>
  <si>
    <t>Ahmed Ali s/o Deen Muhammad</t>
  </si>
  <si>
    <t>r/o, House No. A-1977, Usmanabad, Liyari, Karachi.</t>
  </si>
  <si>
    <t>3123-S</t>
  </si>
  <si>
    <t>Abdul Ghaffar s/o Murad Ali</t>
  </si>
  <si>
    <t>r/o, House No. 28/30, Haji Jala, Dhobi Gath, Karachi.</t>
  </si>
  <si>
    <t>3124-S</t>
  </si>
  <si>
    <t>Faheem Rajput s/o Ronaq Ali Rajput</t>
  </si>
  <si>
    <t>r/o, House No. 06, Street no. 17,5-A, North, Karachi.</t>
  </si>
  <si>
    <t>3125-S</t>
  </si>
  <si>
    <t>Mohsin Siddiqui s/o Yousaf Siddiqui</t>
  </si>
  <si>
    <t>House No. 72/06, Malir, Karachi.</t>
  </si>
  <si>
    <t>3126-S</t>
  </si>
  <si>
    <t>Zahid Ali Khan s/o Nasir Ali Shah</t>
  </si>
  <si>
    <t>r/o, House No. C-29, Lines Area, Karachi.</t>
  </si>
  <si>
    <t>3127S</t>
  </si>
  <si>
    <t>Syed Mansoor Ali s/o Syed Mushtaq Ali</t>
  </si>
  <si>
    <t>r/o, House no. A-28, Shahnawaz Bhutto Colony, Karachi.</t>
  </si>
  <si>
    <t>3128-S</t>
  </si>
  <si>
    <t>Muhammad Sadiq s/o Muhammad Usman</t>
  </si>
  <si>
    <t>r/o, Rasheed Abad No. 35,Baldia Town, Karachi.</t>
  </si>
  <si>
    <t>3129-S</t>
  </si>
  <si>
    <t>Shakeel Akhtar s/o Muhammad Ali</t>
  </si>
  <si>
    <t>r/o, Block No. I, Gali No. 09, Sir Syed Colony, Karachi.</t>
  </si>
  <si>
    <t>3130-S</t>
  </si>
  <si>
    <t>Islam Ahmed s/o Anwar-ul-Haq</t>
  </si>
  <si>
    <t>r/o, Muslimabad, Sector No. 11-1/2, Orangi Town, Karachi.</t>
  </si>
  <si>
    <t>3131-K</t>
  </si>
  <si>
    <t>Sabir Khan s/o Bahadur Khan</t>
  </si>
  <si>
    <t>Ghulab, r/o House No. 352, Street No. 20, Sector K-2, Phase No. III, Hayatabad, Peshawar. (Mobile No. 0312-6860905)</t>
  </si>
  <si>
    <t>FIR No.946 dt.20/2/2016 u/s 365 PPC,PS/Khan Raziq Shaheed,Peshawar.</t>
  </si>
  <si>
    <t>Traced Person. Appeared before the Commission on 14.11.16. However, reluctant to shate details of abduction.</t>
  </si>
  <si>
    <t>3132-K</t>
  </si>
  <si>
    <t>Moin Khan s/o Walayat Khan</t>
  </si>
  <si>
    <t>Mst. Khayal Jamala, r/o Orkazai Agency, Tehsil Lachi, District, Kohat. (Mobile No. 0331-8807189)</t>
  </si>
  <si>
    <t>FIR No.78 dt.16/3/2016 u/s 365 PPC,PS/Lachi.,Kohat.</t>
  </si>
  <si>
    <t>Traced Person. Returned to Home and available at Orkazai Agency, Tehsil Lachi, District Kohat. Appeared before the Commission on 22.8.2016.</t>
  </si>
  <si>
    <t>3133-P</t>
  </si>
  <si>
    <t>Hafiz Noman Tariq s/o Muhammad Tariq</t>
  </si>
  <si>
    <t>Muhammad Ahmed, r/o Paki Kotli, P.O. Khas, Tehsil &amp; District Sialkot. (Mobile No. 0333-5206268)</t>
  </si>
  <si>
    <t>FIR No.184 dt.10/3/2016 u/s 365 PPC,PS/Saddar,Sialkot.</t>
  </si>
  <si>
    <t>Traced Person. Arrested by CTD in case FIR No. 62/16 dated 27.6.16 u/s 4/5 ESA, 7-ATA etc on informed at the hearing on 27.10.16.</t>
  </si>
  <si>
    <t>3134-F</t>
  </si>
  <si>
    <t>Muhammad Siddique Khan s/o Khamdal Ullah Jan</t>
  </si>
  <si>
    <t>Mati Ullah, r/o Nar Sultan Muhammad, P.O.S, Siray Norang, District Lakki Marwat. (Mobile No. 0305-9449144)</t>
  </si>
  <si>
    <t>Traced Person. His brother confirmed at the hearing on 11.1.17 that dead body of Samiullah received from District Jail, Kohat.</t>
  </si>
  <si>
    <t>3135-P</t>
  </si>
  <si>
    <t>Yasir Tufail s/o Muhammad Tufail</t>
  </si>
  <si>
    <t>Ch. Muhammad Taufail, r/o Mahafiz Town, Kanal Road, Multan Road, Lahore. (Mobile No. 0333-4868154)</t>
  </si>
  <si>
    <t>FIR No.131 dt.07/3//2016 u/s 365 PPC PS/Wahdat Colony,Lahore.</t>
  </si>
  <si>
    <t>Traced Person. Rep of CPO, Multan informed at the hearing on 24.10.16 that Yasir Tufail was arrested by CTD and his father met him.</t>
  </si>
  <si>
    <t>3136-K</t>
  </si>
  <si>
    <t>HRC No. 2290-K/2016</t>
  </si>
  <si>
    <t>Abdul Rehman s/o Ujar Khan</t>
  </si>
  <si>
    <t>Mst. Rahat Begum, r/o Chanar, Swat. (Mobile No. 0315-0536820 &amp; 0344-9676795)</t>
  </si>
  <si>
    <t>FIR No.66 dt.10/3/2016 u/s 365 PPC PS/Kokari District Swat.</t>
  </si>
  <si>
    <t>3137-K</t>
  </si>
  <si>
    <t>Mautasim Billah s/o Hadayat Ullah</t>
  </si>
  <si>
    <t>Hadyat Ullah, r/o Shabaqadar,Village Katozai, District Charsadda. (Mobile No. 0345-8384201)</t>
  </si>
  <si>
    <t>FIR No.199 dt.14/4/2016 u/s 365 PPC PS/Shabqadar District Charsadda.</t>
  </si>
  <si>
    <t>3138-B</t>
  </si>
  <si>
    <t>Inayatullah s/o Niamatullah</t>
  </si>
  <si>
    <t>Muhammad yousaf, r/o Khuda Mosa Faisal Town, Brewery Road, Lodhi General Store, Quetta. (Mobile No. 0321-8194676)</t>
  </si>
  <si>
    <t>FIR No.223 dt.22/10/2016 u/s 365/34 PPC PS/City,Turbat District Kech..</t>
  </si>
  <si>
    <t>Deleted. Not a case of Enforced Disappearances as the contents of the FIR No: 223/2016 dated 5.9.2016 does not implicate ans of the LEAs.</t>
  </si>
  <si>
    <t>3139-K</t>
  </si>
  <si>
    <t>Majid Ali s/o Niaz Ali Khan</t>
  </si>
  <si>
    <t>Niaz Ali khan, r/o Mohallah Hafizabad, Korana, Misiri Banda, P.O Akhora Khatak, Tehsil &amp; District Nowshera. (Mobile No. 0312-5731678)</t>
  </si>
  <si>
    <t>FIR No.408
 dt: 15/3/2016
 u/s 365 PPC
 P.S/Akora Khattak District Nowshera.</t>
  </si>
  <si>
    <t>3140-K</t>
  </si>
  <si>
    <t>Dr. Abu Raihan Qureshi s/o Dr. Saeed Iqbal</t>
  </si>
  <si>
    <t>Dr. Saeed Iqbal, r/o Fasih Manzil, Fasih Road, Islamia Park, Lahore. (Mobile No. 0334-4944496)</t>
  </si>
  <si>
    <t>FIR No.196
 dt: 11/3/2016
 u/s 365 PPC
 P.S/Faisal Town,Lahore.</t>
  </si>
  <si>
    <t>Traced Person. SP (Inv) Model Town, Lahore infomed at the hearing on 19.1.17 that Dr. Abu Raihan returned to home. He had left home at his own.</t>
  </si>
  <si>
    <t>2274 and 3141 are same</t>
  </si>
  <si>
    <t>3141-K</t>
  </si>
  <si>
    <t>Farid Ullah Khan s/o Fazal Khan</t>
  </si>
  <si>
    <t>Mst. Kamala Bibi, r/o Swarangi Ada, Karam Garhi Road, Tehsil &amp; District Bannu. (Mobile No. 0333-0526227 &amp; 0332-5018368)</t>
  </si>
  <si>
    <t>3142-S</t>
  </si>
  <si>
    <t>Wali Muhammad s/o Ghulam Nabi</t>
  </si>
  <si>
    <t>Ghulam Nabi, r/o Goth Hasil, Tehsil &amp; District Kambar, Shahdad Kot, Sindh. (Mobile No. 0303-3653294 &amp; 0302-2241448)</t>
  </si>
  <si>
    <t>3143-K</t>
  </si>
  <si>
    <t>Muhammad Zubair Khan s/o Hameed Ullah Jan</t>
  </si>
  <si>
    <t>Hameed Ullah Jan, Village Katozai, Tehsil Shabqadar, District, Nowshera. (Mobile No. 0343-6633893)</t>
  </si>
  <si>
    <t>FIR No.710 dt.5/12/2016 u/s 365 PPC,PS/Shabqadar District Charsadda.</t>
  </si>
  <si>
    <t>Deleted. Investigation into this case that there is no allegation against LEAs by father of the Missing Person, he was not involved in any illegal activities, all LEAs/ CTD have denied apprehension/ abduction and there is no eye witness of the custody of Muhammad Zubair Khan, therefore the Commission agrees with the conclusion of JIT that he has gone on his own. The case is closed.</t>
  </si>
  <si>
    <t>3144-P</t>
  </si>
  <si>
    <t>Kashif s/o Abdul Hameed</t>
  </si>
  <si>
    <t>Traced Person. Informed at the hearing on 15.6.16 that he was in custody of Pak Rangers, Sindh Karachi for 90 days under the law.</t>
  </si>
  <si>
    <t>3145-S</t>
  </si>
  <si>
    <t>HRC No. 2133-M/2015</t>
  </si>
  <si>
    <t>Muhammad Yasir s/o Noor Muhammad</t>
  </si>
  <si>
    <t>Noor Muhammad, r/o House No. B-328, Sector No. 50-B, Hundred Quarters, Korangi, Karachi.</t>
  </si>
  <si>
    <t>3146-S</t>
  </si>
  <si>
    <t>Muhammad Nasir s/o Noor Muhammad</t>
  </si>
  <si>
    <t>Noor Muhammad, r/o House No. B-328, Sector No. 50-B, Hundred Quarters, Korangi No .04 , Karachi.</t>
  </si>
  <si>
    <t>3147-P</t>
  </si>
  <si>
    <t>HRC No. 8703-G/2015</t>
  </si>
  <si>
    <t>Hafiz Saad Mehmood s/o Raja Muhammad Faras</t>
  </si>
  <si>
    <t>Raja Muhammad Faras, r/o House No. 66, Street No. 35-A, Sector, I/9-4, Islamabad. (Mobile No. 0344-7778222)</t>
  </si>
  <si>
    <t>FIR No.33 dt.01/7/2016 u/s 365 PPC PS/P.R Police,Rawalpindi.</t>
  </si>
  <si>
    <t>Traced Person. Brother Raja Tahir confirmed at the hearing on 2.5.17 that Hafiz Saad Mehmood has returned to home.</t>
  </si>
  <si>
    <t>3148-S</t>
  </si>
  <si>
    <t>HRC No. 6903-S/2015</t>
  </si>
  <si>
    <t>Sohail Saeed Siddiqui</t>
  </si>
  <si>
    <t>Mst. Hina Iqbal, r/o Quarter No.02, KMC Office, Mosa nagar, SC Nazimabad, Karachi. (Mobile No. 0321-2035280)</t>
  </si>
  <si>
    <t>3149-K</t>
  </si>
  <si>
    <t>HRC No. 724/HRC</t>
  </si>
  <si>
    <t>Shahid Ayaz s/o Islam Shah</t>
  </si>
  <si>
    <t>Mst. Maryam Bibi, r/o Quom Shekhan Tappa Umar Zai Vill, Kach Mela Shekhan Central Orakzai Agency. (Mobile No. 0332-6760767 &amp; 0303-8517782 &amp; 0300-9563232).</t>
  </si>
  <si>
    <t>3150-K</t>
  </si>
  <si>
    <t>Shafi Ullah s/o Fazal Ghani</t>
  </si>
  <si>
    <t>Nusrat Bibi, r/o Daman, Sadar Gari, Katozai, P.O, Shabaqadar, District Charsadda. (Mobile No. 0344-5569253)</t>
  </si>
  <si>
    <t>FIR No.64 dt.04/5/2016 u/s 365 PPC PS/Khawjawas,District Charsadda.</t>
  </si>
  <si>
    <t>Charasadda</t>
  </si>
  <si>
    <t>3151-K</t>
  </si>
  <si>
    <t>Umar Zada s/o Khayber Khan</t>
  </si>
  <si>
    <t>Umar Zada, r/o Khoza Khel, Kabal, Swat. (0345-1682594)</t>
  </si>
  <si>
    <t>FIR No.131dt.25/3/2016 u/s 365 PPC PS/Khurshid Khan Shaheed Shaheed,Swat</t>
  </si>
  <si>
    <t>3152-P</t>
  </si>
  <si>
    <t>Rehman Qamar Chaudhry s/o Qamar-ul-Khalil</t>
  </si>
  <si>
    <t>Mst. Sadia Qamar, r/o 13 New Market, Samanabad, Lahore. (Mobile No. 0322-4107211)</t>
  </si>
  <si>
    <t>FIR No.222dt.28/4/2016 u/s 365 PPC PS/Samanabad,Lahore.</t>
  </si>
  <si>
    <t>Traced Person. SP (Inv) A.T.T, Lahore informed at the hearing on 4.4.17 that Rehman was returned to home.</t>
  </si>
  <si>
    <t>3153-S</t>
  </si>
  <si>
    <t>Anwar Kamil s/o Sohaib Kamil</t>
  </si>
  <si>
    <t>Sohaib Kamil, r/o 46, D.O.H.S, Phase -II, Malir Cantt, Karachi. (Mobile No. 0333-2157588)</t>
  </si>
  <si>
    <t>FIR No.107 dt.13/11/2015 u/s 365/34 PPC PS/Malir Cantt.,District Malir East,Karachi.</t>
  </si>
  <si>
    <t>Traced Person. It was informed at the hearing held in this Commission on 22/10/2018 that Anwar Kamil has returned to home. The report submitted by the Police Officer DSP, Airport is placed on record.</t>
  </si>
  <si>
    <t>3154-S</t>
  </si>
  <si>
    <t>Ali Jan s/o Molla Bukhsh</t>
  </si>
  <si>
    <t>Mst. Zeba Mollad Bukhsh, r/o House No. 293-K, Mohallah Noor Muhammad, Village Purana Goli Mar, Karachi. (Mobile No. 0310-2273583)</t>
  </si>
  <si>
    <t>FIR No.30 dt.26/2/2016 u/s 365/34 PPC PS/Airport,District Malir East,Karachi.</t>
  </si>
  <si>
    <t>3155-K</t>
  </si>
  <si>
    <t>Sajid s/o Noor Muhammad</t>
  </si>
  <si>
    <t>Mr. Noor Muhammad r/o Mashti Bandha, P.O. Hungu, Tehsil &amp; District Hungu. (Mobile No. 0333-9680914).</t>
  </si>
  <si>
    <t>FIR No.261 dt.28/3/2016 u/s 365 PPC PS City,Hangu</t>
  </si>
  <si>
    <t>Under Investigation(KP) Hungu</t>
  </si>
  <si>
    <t>3156-K</t>
  </si>
  <si>
    <t>Lal Zeb s/o Khan Afzal</t>
  </si>
  <si>
    <t>Mr. Rehmat Ullah, r/o Landi Akhwan Ahmed, Sheshive Jamat, Ring Road, Peshawar. (Mobile No. 0306-8787812, 0303-8565035).</t>
  </si>
  <si>
    <t>Traced Person. Confined in the Internment Center Paitham as informed by Rep of MI at the hearing held on 23.6.16.</t>
  </si>
  <si>
    <t>3157-A</t>
  </si>
  <si>
    <t>Ahsnat Zahoor s/o Zahoor Sadiq</t>
  </si>
  <si>
    <t>Mr.Zahoor Sadiq, r/o House No. 125, Sector F-4, Mirpur, AJ&amp;K. (Mobile No. , 0344-5071654 &amp; 0345-5470719).</t>
  </si>
  <si>
    <t>Traced Person. Arrested at Pak Afghan Border confined in Rehablitation Centre Swat. His parents met him.</t>
  </si>
  <si>
    <t>3158-F</t>
  </si>
  <si>
    <t>Shoukat Khan s/o Umer Gul</t>
  </si>
  <si>
    <t>Mrs. Nazia Mina, r/o Chanhari Bala, P.O. Lakray, Tehsil Safi, District Mehmond Agency. (Mobile No. 0300-9025937).</t>
  </si>
  <si>
    <t>Traced Person. Confined in the Internment Center Ghalani, Kohat as informed at the hearing on 10.1.17 by FC/KP, Peshawar.</t>
  </si>
  <si>
    <t>3159-K</t>
  </si>
  <si>
    <t>Syed Nawaz s/o Hameed Khan</t>
  </si>
  <si>
    <t>Mst. Mehnaz B B, Mashti Bandha Bagto, P.O. Hangu, Tehsil &amp; District Hangu. (Mobile No. 0333-9673411).</t>
  </si>
  <si>
    <t>FIR No.262 dt.16/3/2016 u/s 365 PPC PS/Ferozwala District Sheikhupura</t>
  </si>
  <si>
    <t>3160-P</t>
  </si>
  <si>
    <t>Qasier Shehryar Duranis/o Aman Ullah Khan Durani</t>
  </si>
  <si>
    <t>Aliya Shehryar, r/o 44-A, EME Sector, DHA, Multan Road, Lahore. (Mobile No. 0322-4060093)</t>
  </si>
  <si>
    <t>Traced Person. Returned to Home as confirmed by I.O of the case at the hearing on 26.4.2016.</t>
  </si>
  <si>
    <t>3161-B</t>
  </si>
  <si>
    <t>Mir Farad Anwar s/o Mir Muhammad Anwar Zahri</t>
  </si>
  <si>
    <t>Widow Mir Muhammad Anwar Zahri, r/o Jhalawan Housae, Jinnah Road, Quetta.</t>
  </si>
  <si>
    <t>FIR No.4 dt.16/2/2014 u/s 365 PPC,PS/Levies Thana,Zehri District Khuzdar</t>
  </si>
  <si>
    <t>Traced Person. It was informed at the hearing held in this Commission during 21-26 January, 2019 at Quetta, that alleged Missing Person Mir Farad Anwar has returned to home.</t>
  </si>
  <si>
    <t>3162-B</t>
  </si>
  <si>
    <t>Mir Irfan Anwar s/o Mir Muhammad Anwar Zahri</t>
  </si>
  <si>
    <t>Traced Person. It was informed at the hearing held in this Commission during 21-26 January, 2019 at Quetta, that alleged Missing Person MirIrfan Anwar has returned to home.</t>
  </si>
  <si>
    <t>3163-P</t>
  </si>
  <si>
    <t>Muhammad Tayyab s/o Nazar Muhammad</t>
  </si>
  <si>
    <t>Farman Ali, r/o House No. 516/5, Street No.14, Sector No. 02, Airport Housing Society, Rawalpindi. (Mobile No. 0333-5678809 &amp; 0334-5443893)</t>
  </si>
  <si>
    <t>FIR No.263 dt.29/3/2016 u/s 365 PPC PS/Airport,Rawalpindi</t>
  </si>
  <si>
    <t>Traced Person. Saif-ur-Rehman confirmed at the hearing on 15.6.2016 that Muhammad Tayyab has returned to home.</t>
  </si>
  <si>
    <t>3164-P</t>
  </si>
  <si>
    <t>Jawad-ur-Rehman s/o Mazkoor Ahmad Rao</t>
  </si>
  <si>
    <t>Mazkoor Ahmad Rao, r/o House No. 228, Block No. 16, Sector No. B-1, Township, Lahore. (Mobile No. 0322-4568169)</t>
  </si>
  <si>
    <t>FIR No.409 dt.31/3/2016 u/s 365 PPC PS/Township,Lahore</t>
  </si>
  <si>
    <t>Traced Person. Confined in the Central Jail, Bahawalpur as informed at the hearing on 27.4.16 is a case registered by CTD. Father met him.</t>
  </si>
  <si>
    <t>3165-P</t>
  </si>
  <si>
    <t>Muhammad Saeed Zulqarnain s/o Mazkoor Ahmad Rao</t>
  </si>
  <si>
    <t>3166-K</t>
  </si>
  <si>
    <t>Muhammad Badi Zaman, r/o House No 1822, Krishan Pura Dur-us-Salam, GT Road Peshawar City. (Mobile No. 0333-8033389)</t>
  </si>
  <si>
    <t>FIR No.393 dt.10/5/2011 u/s 365 PPC PS/Shaheed Gulfat Hussain,Peshawar.</t>
  </si>
  <si>
    <t>Traced Person. Returned to home. Got his statement recorded u/s 164 CrPC, copy where of available on record.</t>
  </si>
  <si>
    <t>3167-I 4402-I</t>
  </si>
  <si>
    <t>Abdul Qayuum s/o Muhammad Yousaf</t>
  </si>
  <si>
    <t>Muhammad Hussain, r/o Lethrar Road, Dhela, Jamia Syed &amp;a Hafsa, Islamabad. (Mobile No. 0333-5418180 &amp; 0300-7633770)</t>
  </si>
  <si>
    <t>61101-1955360-7</t>
  </si>
  <si>
    <t>FIR No.154 dt.05/5/2016 u/s 365 PPC, PS/Aabpara,Islamabad.</t>
  </si>
  <si>
    <t>Deleted. The complainant (Kashif Imran) and two persons (Muhammad Aqeel &amp; Amjad) who lodged FIR in the case have disposed in their statements that they had not lodged LEAs for disappearance of Abdul Qayyum. Neither could they produce any eye witness. All stake holders have submitted report that Abdul Qayyum was neither arrested not in their custody. Hence not a case of enforced disappearance.</t>
  </si>
  <si>
    <t>3168-I</t>
  </si>
  <si>
    <t>Nisar Ahmed s/o Nawab Khan</t>
  </si>
  <si>
    <t>1707/2015</t>
  </si>
  <si>
    <t>Nazir Ahmed , r/o Mohallah Zirat Baba, Mosa Renal Nara, P.O, Khas, Tehsil &amp; District Jhand, District Attock. (Mobile No. 0312-7785530 &amp; 0344-5664274)</t>
  </si>
  <si>
    <t>FIR No.87 dt.13/4/2016 u/s 365 PPC PS/Loi Bher,Islamabad.</t>
  </si>
  <si>
    <t>Deleted. Not a case a enforced disappearance involved in case FIR No. 185/2014 u/s 324/34 PPC PS Jang, Attock.</t>
  </si>
  <si>
    <t>3169-S</t>
  </si>
  <si>
    <t>Saeed Zaman s/o Gul Zaman</t>
  </si>
  <si>
    <t>Wali Zaman, r/o House No. 71, Malka Nagar, Hydreabad, Sindh. (Mobile No. 0345-3612651)</t>
  </si>
  <si>
    <t>FIR No.57 dt.14/5/2016 u/s 365/34 PPC PS/Hatri,District Hyderabad.</t>
  </si>
  <si>
    <t>Traced Person. It was informed at the hearing in this Commission by brother of Saeed Zaman is custody of security forces , where he met the latter.</t>
  </si>
  <si>
    <t>Hyderabad</t>
  </si>
  <si>
    <t>re-open again abducted</t>
  </si>
  <si>
    <t>3170-P</t>
  </si>
  <si>
    <t>Traced Person. Confined in Central Jail, Multan) in case FIR No. 862/09 dated 08/12/2009 u/s 302/324/353/681/427/34 etc.</t>
  </si>
  <si>
    <t>3171-K</t>
  </si>
  <si>
    <t>HRC No. 7243650-B/ 2016</t>
  </si>
  <si>
    <t>Mst. Shaheeda Bibi, r/o Shao Khel, Tehsil &amp; District Hangu. (Mobile No. 0315-9748947)</t>
  </si>
  <si>
    <t>Deleted. Mr. Fazal Ahmed Jan, SP (Inv), Kohat is in attendance, whose statement has been recorded on oath. He deposed that JIT meeting was held on 17.07.2020 which was attended by Aziz-ur-Rehman, who is a father of Noor Rehman. He stated that his son was drug-addict and he often remained in the company of drug-addicts; however, he had no links with any organization. Accordingly, after three meetings the case has been categorized as of Missing Person has gone on his own. Hence not a case of enforced disappearance. The case is closed.</t>
  </si>
  <si>
    <t>3172-K</t>
  </si>
  <si>
    <t>Aziz-ur-Rehman</t>
  </si>
  <si>
    <t>3173-K</t>
  </si>
  <si>
    <t>Sikander Khan s/o Noor Ali Khan</t>
  </si>
  <si>
    <t>Noor Ali Khan, r/o House No. 43, Street o. 01, Lala Zar Colony, Dehri Baghban, Kohat Road, Peshawar. (Mobile no. 0310-9554826)</t>
  </si>
  <si>
    <t>FIR No.198 dt.20/4/2016 u/s 365 PPC,PS/East Cantt.,Peshawar.</t>
  </si>
  <si>
    <t>3174-S</t>
  </si>
  <si>
    <t>Abdul Rehman s/o Abdul Sattar</t>
  </si>
  <si>
    <t>Mst. Mah Jabeen, r/o House No. 255-E, Qasba Colony, Mangopir Road, Karachi.</t>
  </si>
  <si>
    <t>Traced Person. Confined in Jail.</t>
  </si>
  <si>
    <t>3175-K</t>
  </si>
  <si>
    <t>Bakhat Sher s/o Janas</t>
  </si>
  <si>
    <t>Mst. Bakhat Pari, r/o Mohallah Shahi Bagh Kanjo, Tehsil &amp; District Swat. (Mobile No. 0341-2740531)</t>
  </si>
  <si>
    <t>15401-5550215-5</t>
  </si>
  <si>
    <t>FIR No.132 dt.06/4/2016 u/s 365 PPC,PS/Kanju District Swat.</t>
  </si>
  <si>
    <t>3176-K</t>
  </si>
  <si>
    <t>Shakir Ali Shah</t>
  </si>
  <si>
    <t>Mst. Chaman Bibi, r/o Kotaka Imam Shah, Banuu.</t>
  </si>
  <si>
    <t>FIR No.535 dt.26/12/2013 u/s 365 PPC,PS/Cantt., District Bannu.</t>
  </si>
  <si>
    <t>Traced Person. Dead body recovered and proper case registered u/s 302, 364 PPC PS Cantt, Bannu as informed at the hearing on 13.7.16.</t>
  </si>
  <si>
    <t>3177-I</t>
  </si>
  <si>
    <t>Ijaz Ahmed s/o Mautabar Khan</t>
  </si>
  <si>
    <t>Muhammad Haleem, r/o Tehsil &amp; District Swabi, Police Station Kalo Khan, P.O Colonel Sher Khan Kilay. (Mobile No. 0346-9436136 &amp; 0342-9686360)</t>
  </si>
  <si>
    <t>FIR No.130 dt.08/5/2016 u/s 365 PPC PS/Golra,Islamabad.</t>
  </si>
  <si>
    <t>Traced Person. Nephew of Ijaz Ahmed confirmed at the hearing on 25.1.2017.</t>
  </si>
  <si>
    <t>3178-K</t>
  </si>
  <si>
    <t>Rishad Khan s/o Taj Gul</t>
  </si>
  <si>
    <t>Taj Gul, r/o Sharif-e-Abad No.02, Wazir Bagh, Peshawar. (Mobile No. 0300-5843270 &amp; 0334-9102767))</t>
  </si>
  <si>
    <t>FIR No.415 dt.29/4/2016 u/s 365 PPC PS/Agha Mir Jani Shah,Peshawar.</t>
  </si>
  <si>
    <t>Deleted. Not a case of Enforced Disappearances as no allegation leveled against any of the LEAs.</t>
  </si>
  <si>
    <t>3179-P</t>
  </si>
  <si>
    <t>Mushtaq Hussain Shah s/o Rahim Shah</t>
  </si>
  <si>
    <t>Syed Ibrar Hussain Shah, r/o House No. D-7-980-60, Dhoke Chaudrian, Rawalpindi.</t>
  </si>
  <si>
    <t>Traced Person. SHO Race course PS confirmed at the hearing on 14.6.16 that Mushtaq Hussain has returned to home.</t>
  </si>
  <si>
    <t>3180-S</t>
  </si>
  <si>
    <t>Syed Muhammad Murtaza s/o Syed Muhammad Fazal</t>
  </si>
  <si>
    <t>Syed Muhammad Fazal, r/o Maria Apartments, Block No. 01, Gate No. 03, Flat No. 321, 14-B, Shadman Town, Karachi. (Mobile No. 0332-3559392)</t>
  </si>
  <si>
    <t>3181-P</t>
  </si>
  <si>
    <t>Abdullah Maviya s/o Muhammad Sadique Nasir</t>
  </si>
  <si>
    <t>Muhammad Sadique Nasir r/o, House No. 239, Rizwan Block, Awan Town, Multan Road, Lahore.(Mobile No. 0331-4180610, 0300-5315008).</t>
  </si>
  <si>
    <t>FIR No.428 dt.19/7/2016 u/s 365 PPC PS/Sabzazar,Lahore.</t>
  </si>
  <si>
    <t>Traced Person. Confined in Central Jail Lahore in a criminal case against him. Muhammad Siddique Nasir, father confirmed he met him in jail.</t>
  </si>
  <si>
    <t>3182-P</t>
  </si>
  <si>
    <t>Master Ghulam Murtaza s/o Mastar Haq Nawaz</t>
  </si>
  <si>
    <t>Master Haq Nawaz r/o, Samihaabad No.1, Muhallah Javed Nagar, Tehsil &amp; District Multan. (Mobile No. 0303-4937987).</t>
  </si>
  <si>
    <t>Traced Person. He was killed in an encounter in Sialkot murder case u/s 302 PPC has been registered.</t>
  </si>
  <si>
    <t>3183-S</t>
  </si>
  <si>
    <t>Sheraz s/o Muhammad Ishaq</t>
  </si>
  <si>
    <t>Muhammad Ishaq r/o, Gulshan Iqbal, Metrowel, Block I, House No. 3945, Karachi, East.</t>
  </si>
  <si>
    <t>Traced Person. Returned to Home and available at (Gulshan Iqbal, Metrowel, Block I, House No. 3945, Karachi, East)</t>
  </si>
  <si>
    <t>3184-F</t>
  </si>
  <si>
    <t>Sawab Khan s/o Toor Khan</t>
  </si>
  <si>
    <t>Jumma Khan, r/o Room No. 23, Ameen Plaza, Karkhano Market, Peshawar. (Mobile No. 0300-2790488 &amp; 0333-8595100)</t>
  </si>
  <si>
    <t>Traced Person. Died during confnement in the Internment Centre, Kohat. Dead body handed over to family.</t>
  </si>
  <si>
    <t>3185-K</t>
  </si>
  <si>
    <t>Rasool Badshahs/o Sial Badshah</t>
  </si>
  <si>
    <t>Mst. Masti Janan r/o Darey Palarey, Kamar Mela, Tehsil Ismail Zai, District Orkazai Agency. (Mobile No. 0336-9631927 &amp; 0332-3651845)</t>
  </si>
  <si>
    <t>FIR No.117 dt.20/4/2016 u/s 365 PPC,PS/Jerma District Kohat.</t>
  </si>
  <si>
    <t>Traced Person. Confined in the Internment Center Kohat. SP (Inv) Kohat and brother of Rasool has confirmed in their statement's on 23.8.16.</t>
  </si>
  <si>
    <t>3186-I</t>
  </si>
  <si>
    <t>Mansoor Ahmed Satti s/o Muhammad Rafique</t>
  </si>
  <si>
    <t>Farid Ahmed Satti, r/o House No. 14, Line No. 02, Block No. 01, Fasial Colony, Near Butt Market, Fazal Town Rawalpindi. (Mobile No.0321-2757036)</t>
  </si>
  <si>
    <t>Daily Diary Entry No.55 Dated12/4/2016,Ps/Koral,District Islamabad.</t>
  </si>
  <si>
    <t>Traced Person. Appeared before the Commission on 18.5.16. reluctant to share certain details due to obvious reasons.</t>
  </si>
  <si>
    <t>3187-S 3387-S</t>
  </si>
  <si>
    <t>Umar Khan s/o Saeed Rehman</t>
  </si>
  <si>
    <t>Mst. Mumlaket, r/o Mohallah Rehmanabad, Village Qambar, P.O Rehamabad. (Mobile No. 0348-9358718)</t>
  </si>
  <si>
    <t>3188-K</t>
  </si>
  <si>
    <t>Habib Khan s/o Nowsher Dan</t>
  </si>
  <si>
    <t>Nowsher Dan, r/o P.O, Shah Dheri, Tehsil Kabal, District Swat.(Mobile No. 0344-2845414)</t>
  </si>
  <si>
    <t>FIR No.62 dt.21/04/2016 u/s 365 PPC PS Shah Dheri,Swat</t>
  </si>
  <si>
    <t>3189-P</t>
  </si>
  <si>
    <t>Rasheed Khan s/o Gul Rehman</t>
  </si>
  <si>
    <t>Salman Khan, r/o Street No. 02, Girja Road, Chal Jala-ud-Din, Qureshi Abad, Rawalpindi. (Mobile No. 0311-5111589 &amp; 0313-2777822)</t>
  </si>
  <si>
    <t>FIR No.293 dt.11/6/2016 u/s 365 PPC,PS/R.A.Bazaar Rawalpindi</t>
  </si>
  <si>
    <t>Deleted. Not a Case of Enforced Disappearances as no allegation has been leveled against any of LEAs in the proforma.</t>
  </si>
  <si>
    <t>3190-K</t>
  </si>
  <si>
    <t>Altaf s/o Maroof Ullah</t>
  </si>
  <si>
    <t>Syed Buraq, r/o Kohistan Colony, Tehisl &amp; District Manshera. (Mobile No. 0345-9611462)</t>
  </si>
  <si>
    <t>Traced Person. Arrested in case FIR No. 444 dated 14.4.2016. Subsequently released on bail and returned to home.</t>
  </si>
  <si>
    <t>3191-K</t>
  </si>
  <si>
    <t>Jahanzeb s/o Siraj-ud-Din</t>
  </si>
  <si>
    <t>Traced Person. Returned to home. Not abducted by any one as informed at the hearing on 13.5.16.</t>
  </si>
  <si>
    <t>3192-K</t>
  </si>
  <si>
    <t>HRC No. 4205--B/ 2016</t>
  </si>
  <si>
    <t>Khayal Zaman s/o Jan Akbar</t>
  </si>
  <si>
    <t>Mst. Noor Jamala, r/o Mohsin Khel, Village Toda Mela, Bye Pass, Near Flying Coach Ada, Hangu City. (Mobile No. 0332-9518921 &amp; 0336-9346065)</t>
  </si>
  <si>
    <t>Traced Person. Appeared before the Commission on 16.11.2016. However, reluctant to share details of the episode for obvious reasons.</t>
  </si>
  <si>
    <t>3193-S</t>
  </si>
  <si>
    <t>HRC No. 21434--S/ 2015</t>
  </si>
  <si>
    <t>Muhammad Amir s/o Abdul Latif</t>
  </si>
  <si>
    <t>Abdul Latif, r/o House No. 27, Sector No. L-5-C/1, North Karachi. (MobileNo. 0345-2522704)</t>
  </si>
  <si>
    <t>3194-S</t>
  </si>
  <si>
    <t>HRC No. 18590--S/ 2015</t>
  </si>
  <si>
    <t>Safi Ullah s/o Saher Gull</t>
  </si>
  <si>
    <t>Saher Gull, r/o House No. 2194, Street No. 03, Qayam Khani Colony, Saeedabad, Baldia Town Karachi. (Mobile No. 0346-9468834 &amp; 0342-3760125)</t>
  </si>
  <si>
    <t>FIR No.127 dt.14/5/2016 u/s 365/34 PPC PS/Ittehad Town,District West,Karachi.</t>
  </si>
  <si>
    <t>3195-K</t>
  </si>
  <si>
    <t>Ameer Zaib s/o Naeem Shah</t>
  </si>
  <si>
    <t>Jamsheed Khan, r/o Village Charig Deen, Madey Baba, Tehsil &amp; P.O, Takhat Bhai, District Mardan. (Mobile No. 0345-9343934)</t>
  </si>
  <si>
    <t>FIR No.374 dt.12/5/2016 u/s 365 PPC PS/Takhat Bai,Mardan.</t>
  </si>
  <si>
    <t>Traced Person. SP (Inv) Mardan informed at the hearing on 30.5.16 that Ameer Zaib has returned to home.</t>
  </si>
  <si>
    <t>3196-P</t>
  </si>
  <si>
    <t>Imran Hameed s/o Abdul Hameed</t>
  </si>
  <si>
    <t>Mst. Farah Jabeen, r/o D-404, Gali Sarki Bandan, Androone Lohari Gate, Lahore. (Mobile No. 0320-4846928)</t>
  </si>
  <si>
    <t>FIR No.155 dt.04/3/2016 u/s 365 PPC PS/Ghazi Gate,Lahore.</t>
  </si>
  <si>
    <t>Traced Person. His brother appeared at the hearing on 22.11.16. Stated that he had gone at his own due to family sift.</t>
  </si>
  <si>
    <t>3197-P</t>
  </si>
  <si>
    <t>Umer Zahid s/o Muhammad Zaman</t>
  </si>
  <si>
    <t>Abdul Rauf, r/o Ward No. 03 Chowk Azam, Layyah, Rauf Clothe House, Ghani Market. (Mobile No. 0323-8631612)</t>
  </si>
  <si>
    <t>Traced Person. Returned to Home as informed at the hearing on 24.8.16. Available at (Ward No. 03, Chowk Azam, Rauf Clothes House, Ghani Market, Layyah)</t>
  </si>
  <si>
    <t>3198-P</t>
  </si>
  <si>
    <t>Muhammad Waqas Shah s/o Muhammad Farooq Shah</t>
  </si>
  <si>
    <t>Mst. Shumaila Firdous, r/o Mohallah Lamay Khel, City Daud Khel, District Mianwali. (Mobile No. 0334-5651708)</t>
  </si>
  <si>
    <t>FIR No.61 dt.22/3/2016 u/s 365 PPC PS/Daud Khel District Mianwali.</t>
  </si>
  <si>
    <t>Traced Person. DSP Mianwali submitted report that Muhammad Waqas is in District Jail Sargodha in case FIR No. 69 at 29.11.16 PS CTD Faisalabad.</t>
  </si>
  <si>
    <t>3199-P</t>
  </si>
  <si>
    <t>Hafiz Bashir Ahmed s/o Hafiz Abdul Aziz</t>
  </si>
  <si>
    <t>Mst.Nasreen Bashir, r/o Basti Peher, Tehsil Tonsa Sharif, District, Dera Ghazi Khan. (Mobile No. 0301-6225844)</t>
  </si>
  <si>
    <t>FIR No.77 dt.04/5/2016 u/s 365 PPC PS/Retra District D.G.Khan</t>
  </si>
  <si>
    <t>Traced Person. Submitted that Hafiz Bahshir Ahmed has Returned to Home and available at his home. Brother Abdur Rasheed confirmed.</t>
  </si>
  <si>
    <t>3200-P</t>
  </si>
  <si>
    <t>Muhammad Tallah s/o Khalid Mehmood</t>
  </si>
  <si>
    <t>Khalid Mehmood, r/o House No. 45, Muslim Town, New Gulistan, Texlia. (Mobile No. 0301-8110741)</t>
  </si>
  <si>
    <t>FIR No.439 dt.22/11/2015 u/s 365 PPC PS/Saddar,Wah District Rawalpindi.</t>
  </si>
  <si>
    <t>Under Investigation (Punjab) Wah Cantt Rawalpindi</t>
  </si>
  <si>
    <t>3201-F</t>
  </si>
  <si>
    <t>Imran Khan s/o Noor Muhammad</t>
  </si>
  <si>
    <t>Farman Khan, r/o House No. 226, Street No. 03, Hazara Colony, Rawalpindi. (Mobile No. 0342-5007108)</t>
  </si>
  <si>
    <t>37405-9071937-9</t>
  </si>
  <si>
    <t>FATA/ Mohmand</t>
  </si>
  <si>
    <t>3202-F</t>
  </si>
  <si>
    <t>Abdul Wahab s/o Faiz Muhammad Khan</t>
  </si>
  <si>
    <t>Niaz Muhammad Khan, r/o House No. 226, Street No.18, Sharbat Wali Gali, Hazara Colony, Rawalpinid.(Mobile No. 0344-0557296)</t>
  </si>
  <si>
    <t>3203-F</t>
  </si>
  <si>
    <t>Tufail Ahmed s/o Peer Muhammad Khan</t>
  </si>
  <si>
    <t>Toseef Ahmed, r/o Methar Ghundai, P.O, Mather, Tehsil &amp; District Takht Bhai, Mardan.(Mobile No. 0343-9151657)</t>
  </si>
  <si>
    <t>Returned to Home and available at (Methar Ghundai, P.O, Mather, Tehsil &amp; District Takht Bhai, Mardan)</t>
  </si>
  <si>
    <t>3204-K</t>
  </si>
  <si>
    <t>Attique-ur-Rehman s/o Shafi Khan</t>
  </si>
  <si>
    <t>FIR No.895 dt.03/5/2016 u/s 365 PPC,PS/Paharipura Peshawar.</t>
  </si>
  <si>
    <t>Traced Person. Confined in the Internment Center Kohat as informed at the hearing on 23.6.16 that family had met him.</t>
  </si>
  <si>
    <t>3205-K</t>
  </si>
  <si>
    <t>Lal Muhammad s/o Majawar Khan</t>
  </si>
  <si>
    <t>Majawar Khan, r/o Mohallah Qasim Khan, Awan Town, Street No.15, Plot No. 54-55, Rawalpindi. (Mobile No. 0305-5781115 ,0346-5187115 &amp; 0300-9112537)</t>
  </si>
  <si>
    <t>FIR No.1007 dt.13/8/2016 u/s 365 PPC,PS/Bhanamari, Peshawar.</t>
  </si>
  <si>
    <t>3206-K</t>
  </si>
  <si>
    <t>Fazal Rasheed s/o Dilbar</t>
  </si>
  <si>
    <t>Mst. Bakhat Haram Bibi, r/o Mohallah Sadio Bibi Cham, Tehsisl &amp; District Swat. (Mobile No. 0343-9606711)</t>
  </si>
  <si>
    <t>FIR No.168 dt.25/4/2016 u/s 365 PPC PS/Kanju District Swat</t>
  </si>
  <si>
    <t>3207-S</t>
  </si>
  <si>
    <t>Syed Amir Alam s/o Syed Abdul Hakeem</t>
  </si>
  <si>
    <t>Syed Ahsan, r/o House No. 84-85/B, unit No.09, Latifabad, Hydreabad. (Mobile No.0308-3029183)</t>
  </si>
  <si>
    <t>FIR No.45 dt.18/5/2016 u/s 365/34 PPC PS/Ittehad Town, District West,Karachi.</t>
  </si>
  <si>
    <t>Returned to Home and available at ( House No. 84-85/B, unit No.09, Latifabad, Hydreabad)</t>
  </si>
  <si>
    <t>3208-S</t>
  </si>
  <si>
    <t>Saeed Hakim s/o Hakim Khan Abbasi</t>
  </si>
  <si>
    <t>Hakim Khan Abbasi, r/o Labour Square, Site, Near Philips Company, Karachi.</t>
  </si>
  <si>
    <t>3209-I</t>
  </si>
  <si>
    <t>Abu Hassan s/o Syed Nawab Hassan</t>
  </si>
  <si>
    <t>Syed Nawab Hassan, r/o Bukhari Market Shop, Opposite Quaid-e-Azam University. (Mobile No. 0308-3981475)</t>
  </si>
  <si>
    <t>Traced Person. Confined in Adiala Jail, Rawalpindi. Father has met him as informed at the hearing on 18.5.2016.</t>
  </si>
  <si>
    <t>3210-S</t>
  </si>
  <si>
    <t>Syed Muhammad Ali s/o Syed Murad Ali</t>
  </si>
  <si>
    <t>r/o, House No. 607, Sector No. 34/2, Korangi, Karachi.</t>
  </si>
  <si>
    <t>Traced Person. Confined in Jail Crime No. 120/16.</t>
  </si>
  <si>
    <t>3211-S</t>
  </si>
  <si>
    <t>Zeeshan Saleem Durani s/o Durani</t>
  </si>
  <si>
    <t>r/o, House No. C-29, Scheme No. 33, Maymar, Karachi.</t>
  </si>
  <si>
    <t>3212-S</t>
  </si>
  <si>
    <t>Muhammad Faisal s/o Muhammad Qayoom</t>
  </si>
  <si>
    <t>r/o, House No. 78/17, Sector No. 11-F, New Karachi.</t>
  </si>
  <si>
    <t>Traced (On Bail in Crime No. 109/2016)</t>
  </si>
  <si>
    <t>3213-S</t>
  </si>
  <si>
    <t>Hashim s/o Yar Muhammad</t>
  </si>
  <si>
    <t>r/o, House No. 2/21, Sector No. 11-F, New Karachi.</t>
  </si>
  <si>
    <t>Traced Person. On Bail in Crime No. 109/2016.</t>
  </si>
  <si>
    <t>3214-S</t>
  </si>
  <si>
    <t>Shafaqat s/o Muhammad Qayoom</t>
  </si>
  <si>
    <t>r/o, Block-J, Sector No. 11,1/2, Iqbal Market, Karachi.</t>
  </si>
  <si>
    <t>Deleted (Police Officer, Kashif Muhammad submitted that complainant is not interested to pursue this matter)</t>
  </si>
  <si>
    <t>3215-S</t>
  </si>
  <si>
    <t>Muhammad Sharif s/o Asif Sharif</t>
  </si>
  <si>
    <t>r/o, Bohra Pir, Ranchore Line, Karachi.</t>
  </si>
  <si>
    <t>Traced (Confined in Central Prision Jail, Karachi)</t>
  </si>
  <si>
    <t>3216-S</t>
  </si>
  <si>
    <t>Abbas Ali Tameez-ud-Din s/o Tameez-ud-Din</t>
  </si>
  <si>
    <t>r/o, Flat No. C-22, 2nd Floor, Foundation Blessing, Block No. 02, Karachi.</t>
  </si>
  <si>
    <t>3217-S</t>
  </si>
  <si>
    <t>Shahid Ahmed s/o Khursheed Ahmed</t>
  </si>
  <si>
    <t>r/o, House No. R-56, Jahangeer Town, Scheme-33, Karachi</t>
  </si>
  <si>
    <t>3218-S</t>
  </si>
  <si>
    <t>Imran Ahmed s/o Irshad Ahmed</t>
  </si>
  <si>
    <t>r/o, House No. UC-24, Liquatabad, Karachi.</t>
  </si>
  <si>
    <t>3219-S</t>
  </si>
  <si>
    <t>Barkat Ali s/o Rehmat-ud-Din</t>
  </si>
  <si>
    <t>r/o, House No.684, Sector No. 32-D, Nasir Colony, Korangi, Karachi.</t>
  </si>
  <si>
    <t>3220-S</t>
  </si>
  <si>
    <t>Muhammad Asif s/o Abdul Zakir</t>
  </si>
  <si>
    <t>r/o, Flat No. 601, Rainbow Center, Saddar, Karachi.</t>
  </si>
  <si>
    <t>3221-S</t>
  </si>
  <si>
    <t>Sikander Rehmat s/o Rehmat Ali</t>
  </si>
  <si>
    <t>r/o, Flat No. 502, Block -A, Shama Palace Wali Gali, Lyari, Karachi.</t>
  </si>
  <si>
    <t>3222-S</t>
  </si>
  <si>
    <t>Muhammad Yameen s/o Muhammad</t>
  </si>
  <si>
    <t>r/o, House No. 7/218, Naseemabad, Bonga City Court, Karachi.</t>
  </si>
  <si>
    <t>3223-S</t>
  </si>
  <si>
    <t>Muhammad Akbar Ghouri s/o Ghouri</t>
  </si>
  <si>
    <t>r/o, House No. 61, Gali No. 02,, Ghazi Nagar Bazar, Usmanabad, Karachi.</t>
  </si>
  <si>
    <t>Traced Person. Confined in Jail Crime No. 45/2016.</t>
  </si>
  <si>
    <t>3224-S</t>
  </si>
  <si>
    <t>Abrar Ghouri s/o Muhammad Iqbal Ghouri</t>
  </si>
  <si>
    <t>3225-S</t>
  </si>
  <si>
    <t>Muhammad Shahid Khan s/o Sharif Khan</t>
  </si>
  <si>
    <t>r/o, House No. R-174, Sector No. 34/2, Korangi No. 03, Karachi.</t>
  </si>
  <si>
    <t>3226-S</t>
  </si>
  <si>
    <t>Muhammad Shahid s/o Deen Muhammad</t>
  </si>
  <si>
    <t>r/o, House No. I-229, Sector No. 34/2, Korangi No. 03, Karachi.</t>
  </si>
  <si>
    <t>3227-S</t>
  </si>
  <si>
    <t>Nowshad Baig s/o Zahir Baig</t>
  </si>
  <si>
    <t>r/o, House No. L-248, Sector No. 48-A, Universal Town, Karachi.</t>
  </si>
  <si>
    <t>3228-S</t>
  </si>
  <si>
    <t>Shafi Alam s/o Muhammad Ali</t>
  </si>
  <si>
    <t>r/o, Makhdoom Shah Colony, Orangi Town, Sector No. 1,1/2, UC-19, Karachi.</t>
  </si>
  <si>
    <t>3229-S</t>
  </si>
  <si>
    <t>Sheraz yaseen s/o Yaseen</t>
  </si>
  <si>
    <t>r/o, 2nd Floor, Mughal Manzil, Laloo Gagoo Street, Punkha Line, Karachi.</t>
  </si>
  <si>
    <t>3230-S</t>
  </si>
  <si>
    <t>Naveed</t>
  </si>
  <si>
    <t>r/o, Saudabad, Malir, Karachi.</t>
  </si>
  <si>
    <t>3231-S</t>
  </si>
  <si>
    <t>Shakeel Ahmed s/o Abdul Ghaffar</t>
  </si>
  <si>
    <t>r/o, House No. 1193, Sector No-D, Nasir Colony, Korangi, Karachi.</t>
  </si>
  <si>
    <t>3232-S</t>
  </si>
  <si>
    <t>Asif Mir s/o Ghulam Shabbir</t>
  </si>
  <si>
    <t>r/o, House No. 628, Sector No. 05, Korangi, Karachi.</t>
  </si>
  <si>
    <t>3233-S</t>
  </si>
  <si>
    <t>Imran Khan s/o Obaid Khan</t>
  </si>
  <si>
    <t>r/o, Shah Faisal Colony, Karachi.</t>
  </si>
  <si>
    <t>3234-S</t>
  </si>
  <si>
    <t>Aziz Ali s/o Shoukat Ali</t>
  </si>
  <si>
    <t>r/o, UC-09, Shah Faisal Colony, Karachi.</t>
  </si>
  <si>
    <t>3235-S</t>
  </si>
  <si>
    <t>Hammad Sharif s/o Abdul Sharif</t>
  </si>
  <si>
    <t>3236-S</t>
  </si>
  <si>
    <t>Hafiz Salman s/o Muhammad</t>
  </si>
  <si>
    <t>r/o, Dr. Alvi, Behind Abraham Ali School, Shah Faisal Colony, Karachi.</t>
  </si>
  <si>
    <t>3237-S</t>
  </si>
  <si>
    <t>Jan Muhammad s/o Faqir Muhammad</t>
  </si>
  <si>
    <t>r/o, Flat No. B-19, 3rd Floor, Karim Arcade, Baji Chowk, Dastagir, FB, Area, Karachi.</t>
  </si>
  <si>
    <t>3238-S</t>
  </si>
  <si>
    <t>Rehmat Alam s/o Noor Alam</t>
  </si>
  <si>
    <t>r/o, UC- 19, Orangi Town, Sector No. 1,1/2, Karachi.</t>
  </si>
  <si>
    <t>3239-S</t>
  </si>
  <si>
    <t>Askari Hussain s/o Mudassir Hussain Zaidi</t>
  </si>
  <si>
    <t>r/o, UC- B-44, Bhatiabad, Korangi Crossing, Karachi.</t>
  </si>
  <si>
    <t>Traced Person. Returned to Home and available at (UC- B-44, Bhatiabad, Korangi Crossing, Karachi)</t>
  </si>
  <si>
    <t>3240-S</t>
  </si>
  <si>
    <t>Athar Khan s/o Umeed Khan</t>
  </si>
  <si>
    <t>r/o, Mirpur Khas, Sindh, Karachi</t>
  </si>
  <si>
    <t>Traced Person (on Bail)</t>
  </si>
  <si>
    <t>3241-S</t>
  </si>
  <si>
    <t>Haseeb-ul-Haq s/o Mujeeb-ul-Haq</t>
  </si>
  <si>
    <t>3242-S</t>
  </si>
  <si>
    <t>Jahanzaib s/o Orangzaib</t>
  </si>
  <si>
    <t>3243-S</t>
  </si>
  <si>
    <t>Gulzar s/o Qadir Ali Rajput</t>
  </si>
  <si>
    <t>r/o Mirpur Khas,Sindh, Karachi.</t>
  </si>
  <si>
    <t>3244-S</t>
  </si>
  <si>
    <t>Kashir Mustakeem s/o Mustakeem</t>
  </si>
  <si>
    <t>3245-S</t>
  </si>
  <si>
    <t>Shahid Abbasi s/o Abbasi</t>
  </si>
  <si>
    <t>r/o MQM, Zonal Office, Mirpur Khas, Sindh, Karachi.</t>
  </si>
  <si>
    <t>3246-S</t>
  </si>
  <si>
    <t>Abdul Ghaffor s/o Brohi</t>
  </si>
  <si>
    <t>3247-S</t>
  </si>
  <si>
    <t>Umeed Khan s/o Muhammad Usman</t>
  </si>
  <si>
    <t>3248-S</t>
  </si>
  <si>
    <t>Ehtasham-ul-Haq s/o Haq</t>
  </si>
  <si>
    <t>3249-S</t>
  </si>
  <si>
    <t>Ghulam Mohiuddin</t>
  </si>
  <si>
    <t>3250-S</t>
  </si>
  <si>
    <t>Yasir Ali s/o Mazhar Qureshi</t>
  </si>
  <si>
    <t>3251-S</t>
  </si>
  <si>
    <t>Amjad Rajput s/o Abdul Toheed</t>
  </si>
  <si>
    <t>3252-S</t>
  </si>
  <si>
    <t>Abdul Sammad s/o Abdul Latif</t>
  </si>
  <si>
    <t>3253-S</t>
  </si>
  <si>
    <t>Rehan Khanzada s/o Muhammad Irshad</t>
  </si>
  <si>
    <t>3254-S</t>
  </si>
  <si>
    <t>Ali Raza Shah s/o Imtiaz Hussain</t>
  </si>
  <si>
    <t>3255-S</t>
  </si>
  <si>
    <t>Haji Kaloo s/o Haji</t>
  </si>
  <si>
    <t>3256-S</t>
  </si>
  <si>
    <t>Shamriaz Khan s/o Muhammad Aslam</t>
  </si>
  <si>
    <t>r/o, House No. B-151, Sharif Colony, Sector No. 36/G, Landhi, Karachi.</t>
  </si>
  <si>
    <t>3257-S</t>
  </si>
  <si>
    <t>Muhammad Rafique s/o Shakeel Ahmed</t>
  </si>
  <si>
    <t>r/o, Manora Flats, KPT, Karachi.</t>
  </si>
  <si>
    <t>3258-S</t>
  </si>
  <si>
    <t>Hafiz Muhammad Tabish s/o Qazi Muhammad Safdar</t>
  </si>
  <si>
    <t>r/o House No. R-62, Sector No. 4-A, Surjani Town, Karachi.</t>
  </si>
  <si>
    <t>3259-S</t>
  </si>
  <si>
    <t>Essa Munir s/o Essa</t>
  </si>
  <si>
    <t>rlo, House No. 31, Kachi Gali Lyari, Karachi.</t>
  </si>
  <si>
    <t>3260-S</t>
  </si>
  <si>
    <t>Muhammad Imran Qureshi s/o Niaz Hussain</t>
  </si>
  <si>
    <t>r/o, House No. A-624, Street No. 07, Landhi, Karachi.</t>
  </si>
  <si>
    <t>3261-S</t>
  </si>
  <si>
    <t>Muhammad Furrakh s/o Muhammad Saeed</t>
  </si>
  <si>
    <t>r/o, House No. 3/9, Commercial Area, Liquatabad, Karachi.</t>
  </si>
  <si>
    <t>3262-S</t>
  </si>
  <si>
    <t>Syed Shan Haider Rizvi s/o Syed Anwar Haider Rizvi</t>
  </si>
  <si>
    <t>3263-S</t>
  </si>
  <si>
    <t>Asif Aziz s/o Aziz-ud-Din</t>
  </si>
  <si>
    <t>r/o, House No. 421, Muhammad Colony, Sector No. 51-B, Korangi, Karachi.</t>
  </si>
  <si>
    <t>3264-S</t>
  </si>
  <si>
    <t>Ubaid Ullah Habid s/o Waheed Ullah Siddique</t>
  </si>
  <si>
    <t>r/o, UC-08, Drig Bazaar, Shah Faisal Colony, Karachi.</t>
  </si>
  <si>
    <t>3265-S</t>
  </si>
  <si>
    <t>Faizan Ishtiaq s/o Ishtiaq</t>
  </si>
  <si>
    <t>r/o, UC- 08, Drig bazaar, Shah Fasial Colony, Karachi.</t>
  </si>
  <si>
    <t>3266-S</t>
  </si>
  <si>
    <t>Muhammad Aslam s/o Abdul Hameed</t>
  </si>
  <si>
    <t>r/o, House No. S- 1736, Saudabad, Karachi.</t>
  </si>
  <si>
    <t>3267-S</t>
  </si>
  <si>
    <t>Mehmood Alam s/o Aftab Ahmed</t>
  </si>
  <si>
    <t>r/o, House No. 4/11-CB, Street No. 03, Landhi. Karachi.</t>
  </si>
  <si>
    <t>3268-S</t>
  </si>
  <si>
    <t>Nadir Dawood s/o Dawood</t>
  </si>
  <si>
    <t>r/o, UC- 16, Usmanabad, Lyari, Karachi.</t>
  </si>
  <si>
    <t>3269-S</t>
  </si>
  <si>
    <t>Masood Siddiqui s/o Abdul Ghaffor Siddiqui</t>
  </si>
  <si>
    <t>r/o, House No. L-60, Sector No. 11-C, Sir Syed Town, Karachi.</t>
  </si>
  <si>
    <t>3270-S</t>
  </si>
  <si>
    <t>Mushtaq Arian s/o Siddiqui</t>
  </si>
  <si>
    <t>r/o, Mukha Building, Nishtar Road, Lyari Karachi.</t>
  </si>
  <si>
    <t>Traced Person. Returned to Home and available at (Mukha Building, Nishtar Road, Lyari Karachi.)</t>
  </si>
  <si>
    <t>3271-P</t>
  </si>
  <si>
    <t>Dr. Javed Iqbal Chaudhary s/o Chaudhary Muhammad Iqbal</t>
  </si>
  <si>
    <t>Mst. Shahzia Hameed, r/o G-53, DHA, EME Sector, Multan Road, Lahore. (Mobile No. 0324-4167425)</t>
  </si>
  <si>
    <t>FIR No.465 dt.17/5/2016 u/s 365 PPC,PS/Sattokatla,Lahore</t>
  </si>
  <si>
    <t>Traced Person. SP (Inv), Saddar Divission, Lahore, submitted report that Dr. Javed Iqbal Chaudhry has Returned to Home and available at his house.</t>
  </si>
  <si>
    <t>3272-P</t>
  </si>
  <si>
    <t>Tariq Saleem s/o Ghulam Nabi</t>
  </si>
  <si>
    <t>Mst. Bakhat Bhari, r/o House No. F-232, DSP Street, Veterinary Hospital, Tehsil &amp; District Mianwali. (Mobile No. 0333-6778188)</t>
  </si>
  <si>
    <t>FIR No.335 dt.16/5/2016 u/s 365 PPC PS/City District Mianwali.</t>
  </si>
  <si>
    <t>Traced Person. A case vide FIR 227/16 dated 2.10.16 registered in District Mianwali as informed by DSP Mianwali at the hearing on 31.10.16.</t>
  </si>
  <si>
    <t>Mianwali</t>
  </si>
  <si>
    <t>3273-P</t>
  </si>
  <si>
    <t>Muhammad Tariq s/o Lal Din</t>
  </si>
  <si>
    <t>Mst. Alia Tariq, r/o House ano D-406, Ghulam Muhammad Abad, Fasialabad.(Mobile No. 0301-7084469)</t>
  </si>
  <si>
    <t>Traced Person. Tariq Mehmodd is a Police Constable on duty in special Branch SpP (Inv) Faisdalabad submitted that the former is in jail.</t>
  </si>
  <si>
    <t>3274-B</t>
  </si>
  <si>
    <t>Imran Khan s/o Gamar Khan</t>
  </si>
  <si>
    <t>Gamar Khan, r/o Village sardari Sheher, Tootak, District Khuzdar. (Mobile No. 0315-7666755)</t>
  </si>
  <si>
    <t>FIR No.97 dt.7/6/2016 u/s 365 PPC,PS/Baghbana District Khuzdar.</t>
  </si>
  <si>
    <t>Deleted. Not a case of enforced disappearance. Incident took place on 6.9.2010, FIR lodged on 7.6.16. None of the LEAs blamed.</t>
  </si>
  <si>
    <t>3275-B</t>
  </si>
  <si>
    <t>Saleem Ullah Khan s/o Wali Rehman</t>
  </si>
  <si>
    <t>Tillawat Khan, r/o Sultanabad, New Haji Camp, Karachi. (Mobile No. 0300-2703822)</t>
  </si>
  <si>
    <t>Traced Person. SSP (Inv) Quetta submitted at the hearing on 7.12.17 that Saleem Ullah has reached home safely.</t>
  </si>
  <si>
    <t>3276-P</t>
  </si>
  <si>
    <t>Umar Farooq s/o Amin-ud-Din</t>
  </si>
  <si>
    <t>Amin-ud-Din, r/o Qadir Abad, Near Masjid Firdos, Jandwala Road, Sheikhupura. (Mobile No. 0321-4501079)</t>
  </si>
  <si>
    <t>Traced Person. Returned to home. Father of Umar Farooq confirmed report submitted at the hearing on 12.5.16 is available on file.</t>
  </si>
  <si>
    <t>3277-K</t>
  </si>
  <si>
    <t>Khalid Aziz s/o Qadir Jan</t>
  </si>
  <si>
    <t>Aziz Ullah Khan, r/o Bora Khel, P.O Mir Ali. (Mobile No. 0340-8836290)</t>
  </si>
  <si>
    <t>FIR No.250 dt.27/4/2016 u/s 365 PPC,PS/Saddar,Bannu.</t>
  </si>
  <si>
    <t>3278-S</t>
  </si>
  <si>
    <t>Muhammad Azeem s/o Muhmmad Ghous</t>
  </si>
  <si>
    <t>Mst.Shaheen Azeem, r/o House No. R-319, Sector, 33/E, Korangi No.02, Karachi. (Mobile No. 0321-2245143 &amp; 0345-3083005)</t>
  </si>
  <si>
    <t>3279-F</t>
  </si>
  <si>
    <t>Bilal s/o Sakhi Gul</t>
  </si>
  <si>
    <t>Sakhi Gul, r/o Koko Khail, Abdal Khail, Ghondi, Dakhana Jamrud.</t>
  </si>
  <si>
    <t>3280-B</t>
  </si>
  <si>
    <t>Mahar Khan s/o Sultan Mehmood</t>
  </si>
  <si>
    <t>Nimatullah, r/o Killi Kakar Abad, Samangli Road, Pashtin Bagh, Quetta. (Mobile No. 0310-8233311)</t>
  </si>
  <si>
    <t>FIR No.81 dt.15/6/2013 u/s 365/34 PPC PS/Kharotabad,District Quetta</t>
  </si>
  <si>
    <t>Under Investigation (Quetta)</t>
  </si>
  <si>
    <t>3281-B</t>
  </si>
  <si>
    <t>Khair Muhammad s/o Habibullah</t>
  </si>
  <si>
    <t>Faiz Muhammad, r/o Kulli, Kakarabad, Pashtoon Bagh, Kharatoabad, Quetta. (Mobile No. 0334-2451613)</t>
  </si>
  <si>
    <t>FIR No.12 dt.29/4/2014 u/s 365 PPC PS/Sohrab,District Quetta</t>
  </si>
  <si>
    <t>Deleted. Not a case of enforced disappearance rather that of kidnapping for ransom.</t>
  </si>
  <si>
    <t>3282-K</t>
  </si>
  <si>
    <t>Masood Khan s/o Nawab Khan</t>
  </si>
  <si>
    <t>Nawab Khan, r/o Chanar Mitti, Peshawar. (Mobile No. 0343-9107312)</t>
  </si>
  <si>
    <t>FIR No.699 dt.12/8/2016 u/s 365 PPC PS/University Town,Peshawar.</t>
  </si>
  <si>
    <t>3283-K</t>
  </si>
  <si>
    <t>Fazal Malik s/o Sharif Gul</t>
  </si>
  <si>
    <t>Faisal Khan, r/o Chalo Zirat, Billitang, Kohat. (Mobile No. 0332-9666096)</t>
  </si>
  <si>
    <t>FIR No.320 dt.20/9/2014 u/s 365/452/34 PPC PS/Bilitang,District Kohat</t>
  </si>
  <si>
    <t>Deleted. In view of the statement of the I.O and Sharif Gul, father of missing person, it is not a case of Enforced Disappearance, hence case is closed.</t>
  </si>
  <si>
    <t>3284-K</t>
  </si>
  <si>
    <t>Isam-ud-Din s/o Noor Jamil</t>
  </si>
  <si>
    <t>Gul Zamin, r/o Near Secondary School, Tapi, Kohat. ( Mobile No. 0331-1383619)</t>
  </si>
  <si>
    <t>FIR No.488 dt.18/5/2016 u/s 365 PPC PS/MRS,District Kohat</t>
  </si>
  <si>
    <t>Traced (Confined in Internment Center, Kohat)</t>
  </si>
  <si>
    <t>3285-B</t>
  </si>
  <si>
    <t>Jamal-ud-Din s/o Muhammad Hashim</t>
  </si>
  <si>
    <t>Bahauddin, r/o Toba Achakzai, Dobandi, Tehsil Chaman, District Qila Abdullah.(Mobile No. 0308-3821985 &amp; 0310-8031200)</t>
  </si>
  <si>
    <t>Under Investigation (Quetta) Balochistan</t>
  </si>
  <si>
    <t>3286-P</t>
  </si>
  <si>
    <t>Haris Ahmed s/o Jan Bahadur</t>
  </si>
  <si>
    <t>Jan Bahadur, r/o P.O Dagi, Mohallal ZangiKhel, District Swabi. (Mobile No. 0311-5993766)</t>
  </si>
  <si>
    <t>FIR No.484 dt.12/5/2016 u/s 365 PPC PS/Saddar,Faisalabad</t>
  </si>
  <si>
    <t>Traced Person SSP (Inv), Faisalabad ,submitted that Missing Person, Haris Ahmed is Confined at District Jail, Bahawalpur)</t>
  </si>
  <si>
    <t>3287-I</t>
  </si>
  <si>
    <t>Faisal Mushtaq s/o Raja Mushtaq Ahmed</t>
  </si>
  <si>
    <t>Raja Mushtaq Ahmed, r/o House No. 22, Street No. 06,Madina Town, Near Muhammadi Masjid, Ali Pur, Islamabad. (Mobile No. 0300-5393529 &amp; 0334-0806087)</t>
  </si>
  <si>
    <t>FIR No.155 dt.21/5/2016 u/s 365 PPC PS/Sabzi Mandi,,Islamabad</t>
  </si>
  <si>
    <t>3288-I</t>
  </si>
  <si>
    <t>Qasim Mushtaq s/o Raja Mushtaq Ahmed</t>
  </si>
  <si>
    <t>3289-P</t>
  </si>
  <si>
    <t>Mazhar Islam s/o Haji Akhtar Islam</t>
  </si>
  <si>
    <t>Haji Akhtar Islam, r/o House No. 03, Street No. 01, Chungi No. 06, Masjid Gulzar-e-Madina, New Madina Town, Faisalabad.</t>
  </si>
  <si>
    <t>Traced Person. SP (Inv) Madina Town, Faisalabad submitted that case has been registered against Mazhar Islam and Sohail Akhtar at Karachi u/s 4/5 ESA r/w 7 ATA.</t>
  </si>
  <si>
    <t>3290-P</t>
  </si>
  <si>
    <t>Sohail Akhtar s/o Haji Akhtar Islam</t>
  </si>
  <si>
    <t>3291-P</t>
  </si>
  <si>
    <t>Muhammad Asghar s/o Allah Dad</t>
  </si>
  <si>
    <t>Muhammad Safdar, r/o Basti Jarwah, P.O lakhani, Tehsil Tonsa Sharif, District Dera Ghazi Khan. (Mobile No.0332-2008816)</t>
  </si>
  <si>
    <t>FIR No.713 dt.2/12/2014 u/s 365 PPC,PS/Cantt.Gujranwala</t>
  </si>
  <si>
    <t>Traced Person. Rep of MI, submitted that Muhammad Asghar is Confined in Internment Center, Lakki Marwat under Action (in aid of Civil Power Regulation 2011</t>
  </si>
  <si>
    <t>3292-K</t>
  </si>
  <si>
    <t>Muhammad Dawood s/o Noor Zamin</t>
  </si>
  <si>
    <t>Sardar Ali, r/o Banaras, Pirabad Colony No. 01, Near Muhammadi Masjid, Khair Ullah Shopkeeper.(Mobile No. 0323-3358005)</t>
  </si>
  <si>
    <t>FIR No.441 dt.13/8/2016 u/s 365 PPC,PS/Tangi,District Charsadda.</t>
  </si>
  <si>
    <t>3293-P</t>
  </si>
  <si>
    <t>Nazir Islam Khan s/o Sardar Muhammad Altaf Salik</t>
  </si>
  <si>
    <t>Waqar Ahmed Khan, r/o Village Chanat, Tehsil Dherkot, District Bagh, AJ&amp;K. (Mobile No. 0332-5772543)</t>
  </si>
  <si>
    <t>82303-7773594-9</t>
  </si>
  <si>
    <t>3294-A</t>
  </si>
  <si>
    <t>Ansar Ahmed Khan s/o Sardar Muhammad Altaf Salik</t>
  </si>
  <si>
    <t>82102-1018581-5</t>
  </si>
  <si>
    <t>FIR No.43 dt.21/5/2016 u/s 365 APC PS/Dheerkot,AJK</t>
  </si>
  <si>
    <t>Deleted. In the instant case, JIT as well as PTF concluded that the Missing Person had gone on his own. Anwar Ahmed Khan (brother of missing person) submitted affidavit at the hearing on 23.12.2021 that Ansar Ahmed Khan was affiliated with Jihadi organizations and remained at Wana for two &amp; half months before disappearance. Reports from ISI and MI indicates that the Missing Person was not in their custody. IB report aslo available on record, which was not adverse. Foregoing in view, it does not appear to be a case of enforced disappearance. Hence closed.</t>
  </si>
  <si>
    <t>3295-P</t>
  </si>
  <si>
    <t>Abdul Jabbar s/o Umar Elahi</t>
  </si>
  <si>
    <t>Mst. Rasia Bibi, r/o Mohallah Shahabad, Near Bashir Awan House, Attock City. (Mobile No. 0316-0157152)</t>
  </si>
  <si>
    <t>FIR No.191 dt.24/5/2016 u/s 365 PPC PS/City,Attock</t>
  </si>
  <si>
    <t>Traced Person. Farman Ellahi who is Uncle of Abdul Jabbar is present. His statement has been recorded on oath. He has stated that Abdul Jabbar returned to home in February, 2019 and at present he is available at his native residence.</t>
  </si>
  <si>
    <t>3296-P</t>
  </si>
  <si>
    <t>Ibrar-ul-Haq s/o Khalid Mehmood</t>
  </si>
  <si>
    <t>Tariq Mehmood, r/o Malik Khalid Watan Tent Service, Fatej Jang Road, Tarnol, Islamabad. (Mobile No. 0348-0573162)</t>
  </si>
  <si>
    <t>Daily Diary Entry No.29 Dated 12/3/2016,PS/Cantt. Rawalpindi.</t>
  </si>
  <si>
    <t>Traced Person. CPO, Rawalpindi reported at the hearing on 14.6.2016 that Ibrar-ul-Haq has returned to home.</t>
  </si>
  <si>
    <t>3297-K</t>
  </si>
  <si>
    <t>Naseem Akhtar s/o Mir Awaid Khan</t>
  </si>
  <si>
    <t>Mir Awaid Khan, r/o Mohallah Sasiq Abad, Bedrra Chowk, Chitti Deheri, Tehsil &amp; District Manshera. (Mobile No. 0342- 9516633)</t>
  </si>
  <si>
    <t>FIR No.605 dt.19/5/2016 u/s 365 PPC PS/City,Mansehra</t>
  </si>
  <si>
    <t>Traced Person. It has been reported that a criminal case registered against him and he is in District Jail, Mansehra.</t>
  </si>
  <si>
    <t>3298-S</t>
  </si>
  <si>
    <t>Anas Ali s/o Sheikh Athar Ali</t>
  </si>
  <si>
    <t>Sheikh Athar Ali, r/o House No. A-169, Ground Floor, Block No. C, Gulshan Jamil, Rashid Minhas Road, Karachi. (Mobile No. 0323-2503761)</t>
  </si>
  <si>
    <t>FIR No.759 dt.9/12/2015 u/s 365/34 PPC PS/Sharah-e-Faisal,Karachi</t>
  </si>
  <si>
    <t>Traced Person. DSP, Shahrah Faisal Submitted that Missing Person is Returned to Home and available at House No. A-169, Ground Floor, Block No. C, Gulshan Jamil, Rashid Minhas Road, Karachi.</t>
  </si>
  <si>
    <t>3299-S</t>
  </si>
  <si>
    <t>Faraz Ali s/o Muhammad Pervaiz</t>
  </si>
  <si>
    <t>Muhammad Pervaiz, r/o House No. 57/16, Sector No. 5-E, New Karachi. (Mobile No. 0334-3501157 &amp; 0321-3886998)</t>
  </si>
  <si>
    <t>3300-P</t>
  </si>
  <si>
    <t>Muhammad Imran s/o Hussain Ahmed</t>
  </si>
  <si>
    <t>Hussain Ahmed, r/o House No. 256, Block No. 2, Sector No. D-1, Green Town, Lahore. (Mobile No. 0321-4683036)</t>
  </si>
  <si>
    <t>FIR No.631 dt.18/5/2016 u/s 365 PPC PS/Green Town,Lahore</t>
  </si>
  <si>
    <t>Traced Person. Rep of MI. Submitted report that Missing Person Muhammad Imran is presently confined in Internment Center Lakki Marwat. Action (in aid of Civil Power) Regulation 2011. Family Members have been allowed to meet him.</t>
  </si>
  <si>
    <t>3301-S</t>
  </si>
  <si>
    <t>Dawood, r/o UC-16 Usmanabad, Nishtar Road, Karachi.</t>
  </si>
  <si>
    <t>UNWG</t>
  </si>
  <si>
    <t>3302-S</t>
  </si>
  <si>
    <t>Muhammad Faisal s/o Muhammad Tahir</t>
  </si>
  <si>
    <t>r/o House No. B-33, Ali Noor Rafah-e-Aam Society, Shah Faisal Colony, Karachi.</t>
  </si>
  <si>
    <t>3303-S</t>
  </si>
  <si>
    <t>Jawad Ahmed s/o Bashir Ahmed</t>
  </si>
  <si>
    <t>r/o, House No. UC-21, Landhi, Karachi.</t>
  </si>
  <si>
    <t>3304-S</t>
  </si>
  <si>
    <t>Kashif Khan s/o Baboo Khan</t>
  </si>
  <si>
    <t>r/o, House No. UC-21, Landhi, Karachi</t>
  </si>
  <si>
    <t>Traced Person. Handed over by Rangers to Central Prision, Karachi.</t>
  </si>
  <si>
    <t>3305-S</t>
  </si>
  <si>
    <t>Safeer Rehman s/o Shafique Rehman</t>
  </si>
  <si>
    <t>r/o, House No. UC-16, Landhi Town, Karachi.</t>
  </si>
  <si>
    <t>Traced Person. Returned to Home and available at (UC-16, Landhi Town, Karachi)</t>
  </si>
  <si>
    <t>3306-S</t>
  </si>
  <si>
    <t>Naeem Akhtar s/o Muhammad Aleem-ud-Din</t>
  </si>
  <si>
    <t>r/o, Ashraf Compound, Block-K, North Nazimabad, Karachi.</t>
  </si>
  <si>
    <t>3307-S</t>
  </si>
  <si>
    <t>Muhammad Kashif s/o Muhammad Akbar</t>
  </si>
  <si>
    <t>r/o, House No. 208, Sector No. 7/C, Orangi Town, Karachi.</t>
  </si>
  <si>
    <t>Returned to Home and available at (House No. 208, Sector No. 7/C, Orangi Town, Karachi.)</t>
  </si>
  <si>
    <t>3308-S</t>
  </si>
  <si>
    <t>Muhammad Shakeel s/o Muhammad Jameel</t>
  </si>
  <si>
    <t>r/o, Towheed Colony, Sector No. 11-12, Orangi Town, Karachi.</t>
  </si>
  <si>
    <t>3309-S</t>
  </si>
  <si>
    <t>Zeeshan Akmal s/o Muhammad Akmal</t>
  </si>
  <si>
    <t>r/o,r/o, Toheed Colony, Sector No. 11-12, Orangi Town, Karachi.</t>
  </si>
  <si>
    <t>3310-S</t>
  </si>
  <si>
    <t>Imtiaz-ud-Din s/o Niaz-ud-Din</t>
  </si>
  <si>
    <t>r/o, Toheed Colony, Sector No. 11-12, Orangi Town, Karachi.</t>
  </si>
  <si>
    <t>3311-S</t>
  </si>
  <si>
    <t>Salman Ahmed s/o Abdul Ghaffar</t>
  </si>
  <si>
    <t>r/o, House No. 14/14.Fedral Capital Area, Liquatabad, Karachi.</t>
  </si>
  <si>
    <t>3312-S</t>
  </si>
  <si>
    <t>Muhammad Zohaib Khan s/o Shakir Hussain</t>
  </si>
  <si>
    <t>r/o, House No. 5/32-B One Area, Liquatabad, Karachi.</t>
  </si>
  <si>
    <t>Traced Person. Returned to Home and available at (House No. 5/32-B One Area, Liquatabad Karachi.</t>
  </si>
  <si>
    <t>3313-S</t>
  </si>
  <si>
    <t>Muhammad Majid Khan s/oMuhammad Mufeez Khan</t>
  </si>
  <si>
    <t>r/o,House No. 3470/S-6, Sector No. 11/1/2, Orangi Town, Karachi.</t>
  </si>
  <si>
    <t>Traced Person. Returned to Home and available at (House No. 3470/S-6, Sector No. 11/1/2, Orangi Town, Karachi.)</t>
  </si>
  <si>
    <t>3314-S</t>
  </si>
  <si>
    <t>Muhammad Nizam s/o Abdul Jalil</t>
  </si>
  <si>
    <t>r/o, Saeed Mohallah, Juma Baloch Goth, Karachi.</t>
  </si>
  <si>
    <t>3315-S</t>
  </si>
  <si>
    <t>Syed Rehan-ud-Din s/o Misbah-ud-Din</t>
  </si>
  <si>
    <t>r/o, House No. 253, Marven Bangalows, Scheme No. 33, Karachi.</t>
  </si>
  <si>
    <t>3316-S</t>
  </si>
  <si>
    <t>Mohsin Sulman s/o Sulman Ayub</t>
  </si>
  <si>
    <t>r/o, House No. 3/853, Hussainabad, FB Area, Karachi.</t>
  </si>
  <si>
    <t>3317-S</t>
  </si>
  <si>
    <t>Muhammad Adnan s/o Abdul Rehman</t>
  </si>
  <si>
    <t>r/o, House No. 15, Yousaf Compound, Usmabnabad, Lyari, Karachi.</t>
  </si>
  <si>
    <t>3318-S</t>
  </si>
  <si>
    <t>Muhammad Saeed Khalid s/o Muhammad Iqbal Hussain</t>
  </si>
  <si>
    <t>r/o, House No.208, Street No. 04, Gulshan-e-Zia, Karachi.</t>
  </si>
  <si>
    <t>3319-S</t>
  </si>
  <si>
    <t>Syed Farhan Bin Haq s/o Misbah-ud-Din</t>
  </si>
  <si>
    <t>r/o, House No. R-253, Phase No. I, Scheme No. 33, Sector No. 38, Gulstan-e-Johar, Karachi.</t>
  </si>
  <si>
    <t>3320-S</t>
  </si>
  <si>
    <t>Danish Saleem s/o Saleem Ahmed</t>
  </si>
  <si>
    <t>r/o, House No. B-400, Sector 35-A, Zaman Town, Korangi, Karachi.</t>
  </si>
  <si>
    <t>3321-S</t>
  </si>
  <si>
    <t>Syed Rashad Hassani s/o Syed Hamid Ali Hassani</t>
  </si>
  <si>
    <t>r/o, House No. 2241/1, Street No.05, Sector 35-A,Zaman Town, Karachi.</t>
  </si>
  <si>
    <t>3322-S</t>
  </si>
  <si>
    <t>Shakeel Jawad s/o Ismail</t>
  </si>
  <si>
    <t>r/o, House No. UC-26, Orangi Town, Karachi.</t>
  </si>
  <si>
    <t>3323-S</t>
  </si>
  <si>
    <t>Muhammad Nasir s/o Muhammad Hussain</t>
  </si>
  <si>
    <t>r/o, House No. UC-90, Shah Fasial Colony, Karachi.</t>
  </si>
  <si>
    <t>3324-S</t>
  </si>
  <si>
    <t>Syed Nasir Ali Shah s/o Syed Amjad Ali</t>
  </si>
  <si>
    <t>r/o, House No. A-377, Sector No.03, North Karachi.</t>
  </si>
  <si>
    <t>3325-I</t>
  </si>
  <si>
    <t>Salman Ghazanfar s/o Ghazanfar Ali Khan</t>
  </si>
  <si>
    <t>Ghazanfar Ali Khan, r/o House no. 28/B-2, Phase No.II Hayatabad, Peshawar. (Mobile No. 0342-5129688)</t>
  </si>
  <si>
    <t>FIR No.117 dt.03/4/2016 u/s 365 PPC,PS/Aabpara, Islamabad.</t>
  </si>
  <si>
    <t>Traced Person. DSP, ICT informed at the hearing on 1.11.2016 that Salman Ghazanfar has returned to home. Cousin confirmed.</t>
  </si>
  <si>
    <t>3326-K</t>
  </si>
  <si>
    <t>Asal Baz s/o Aqal Baz</t>
  </si>
  <si>
    <t>Aqal Baz, r/o Sheen Dawlang, Tehsil Bara, District Khyber Agency. (Mobile No. 0323-9001017 &amp; 0340-0511436)</t>
  </si>
  <si>
    <t>FIR No.839 dt.18/8/2016 u/s 365 PPC PS/Badaber,Peshawar.</t>
  </si>
  <si>
    <t>Deleted. Not a case of Enforced Disappearances as Asal Baz was declared as absconder by court in criminal cases.</t>
  </si>
  <si>
    <t>3327-K</t>
  </si>
  <si>
    <t>Shakeel Ahmed s/o Munir Khan</t>
  </si>
  <si>
    <t>Munir Khan, r/o Tehsil kabal, District Swat. (Mobile No. 0346-3791838 &amp; 0345-3161748)</t>
  </si>
  <si>
    <t>FIR No.370 dt.03/6/2016 u/s 365 PPC PS/City,Bannu.</t>
  </si>
  <si>
    <t>Traced Person. DPO, Bannu, submitted report that Shakeel Ahmed has Returned to Home and available at Tehsil kabal, District Swat.</t>
  </si>
  <si>
    <t>3328-P</t>
  </si>
  <si>
    <t>Muhammad Afzal s/o Abdul Ghani</t>
  </si>
  <si>
    <t>Ali Haider, r/o Mohallah Sayedi, Village Salman Khel, Budh Bair, Peshawar. (Mobile No. 0307-8422935 &amp; 0348-8107349)</t>
  </si>
  <si>
    <t>FIR No.273 dt.09/6/2016 u/s 365 PPC PS/Taxila,Rawalpindi.</t>
  </si>
  <si>
    <t>Deleted, The case remained under investigation and several hearings were held by the Commission. Meanwhile, JIT and PTF forwarded concurrent findings that the Missing Person Muhammad Afzal had gone on his own. Accordingly, the case stands deleted.</t>
  </si>
  <si>
    <t>3329-S</t>
  </si>
  <si>
    <t>HRC No. 26934--S/ 2015</t>
  </si>
  <si>
    <t>Ismail s/o Rehmat Ullah</t>
  </si>
  <si>
    <t>Sami Ullah, r/o House No. 54, Street No. 03, Nala Par, Azam Basti, Karachi. (Mobile No. 0345-9212470)</t>
  </si>
  <si>
    <t>HRC + Director (Lit) MoI</t>
  </si>
  <si>
    <t>3330-S</t>
  </si>
  <si>
    <t>HRC No. 27872--S/ 2015</t>
  </si>
  <si>
    <t>Mufti Noman</t>
  </si>
  <si>
    <t>r/o, Quarter Near Masjid Tayyaba, Malir, Karachi.</t>
  </si>
  <si>
    <t>3331-S</t>
  </si>
  <si>
    <t>Mollana Noor Islam s/o Mollana Abdul Kabir</t>
  </si>
  <si>
    <t>Noor-ud-Din, r/o Madrasa Zaid Bin Sabat, Yousaf Goth, Orangi Town, Karachi. (Mobile No. 0334-7356917)</t>
  </si>
  <si>
    <t>Returned to Home and available at (Yousaf Goth, Orangi Town, Karachi)</t>
  </si>
  <si>
    <t>3332-P</t>
  </si>
  <si>
    <t>Dr. Shazaib Ehsan Sheikh s/o Ehsan-ur-Rehman Sheikh</t>
  </si>
  <si>
    <t>Ehsan-ur-Rehman Sheikh, r/o 225/L, Phase I, Defence Houseing Authority, Lahore. (Mobile No. 0300-8456668)</t>
  </si>
  <si>
    <t>FIR No.661 dt.17/1/2016 u/s 365 PPC PS/Defence-B,Lahore.</t>
  </si>
  <si>
    <t>Returned to Home and available at (225/L, Phase I, Defence Houseing Authority, Lahore)</t>
  </si>
  <si>
    <t>3333-B</t>
  </si>
  <si>
    <t>Fida Ahmed s/o Haji Abdullah</t>
  </si>
  <si>
    <t>Haji Abdullah, r/o Village Tootak Sardari Sheher, Tehseenabad, District Khuzdar. (Mobile No. 0313-3669903)</t>
  </si>
  <si>
    <t>FIR No.29 dt.18/2/2011 u/s 365 PPC PS/Baghbana District Khazdar.</t>
  </si>
  <si>
    <t>Under Investigation (Balochistan) Quetta</t>
  </si>
  <si>
    <t>Home &amp; Tribal Affairs Department Balochistan</t>
  </si>
  <si>
    <t>3334-B</t>
  </si>
  <si>
    <t>Zia Ullah s/o Haji Abdullah</t>
  </si>
  <si>
    <t>Deleted . The case has been heard by the Commission at a number of hearings the last one was held on 4.11.2019. JIT has time and again concluded that it is a case of kidnapping due to personal enmity ISI, MI, FC (South) and CTD reported that Ziaullah was not in their custody. Hence the case is deleted not being a case of enforced disappearance.</t>
  </si>
  <si>
    <t>3335-B</t>
  </si>
  <si>
    <t>Muhammad Zain-ul-Abideen s/o Muhammad Siddique</t>
  </si>
  <si>
    <t>Muhammad Umer, r/o Killi Haqasad, Burms Hotel, Sariay Road, Quetta. (Mobile No. 0310-8226448)</t>
  </si>
  <si>
    <t>Deleted. Muhammad Zain-ul-Abideen is involved in a criminal case and warrant of arrest issued by special Judge ATC No: 1 Quetta.</t>
  </si>
  <si>
    <t>3336-I</t>
  </si>
  <si>
    <t>Syed Ahmer Shehzad s/o Syed Shehzad Iqbal</t>
  </si>
  <si>
    <t>Syed Shehzad Iqbal, r/o House No. C-3/6, Street No. 43, Sector No. G-7/2, Islamabad.(Mobile No. 0333-5181587)</t>
  </si>
  <si>
    <t>FIR No.490 dt.05/11/2014 u/s 365 PPC PS/Aabpara,Islamabad.</t>
  </si>
  <si>
    <t>Deleted. In this case there are concurrent findings if JIT as well as PTF that it is a case of Voluntary Disappearance. Rep of ISI, MI and CTD have submitted reports which are to the extent that Syed Ahmed Shehzad is not in their custody. Father of the complainant admitted that his son could not be traced despite meaningful efforts by the Commission. Since the case does not fall within the ambit of the Enforced Disappearance therefore further proceeding by the Commission will be a futile exercise. The case accordingly stands closed.</t>
  </si>
  <si>
    <t>3337-S</t>
  </si>
  <si>
    <t>Muhammad Sabir Mansori s/o Shahab-ud-Din Ghori</t>
  </si>
  <si>
    <t>FIR No.186 dt 17/11/2016 u/s 365/34 PPC PS/Liaquatabad,District Central,Karachi</t>
  </si>
  <si>
    <t>MoFAs No. 10005741</t>
  </si>
  <si>
    <t>3338-S</t>
  </si>
  <si>
    <t>Nabi Bux Panhyer s/o Ghulam Akbar</t>
  </si>
  <si>
    <t>Amanullah Panhyer, r/o Village Bagodaro, P.O Bozdar Wada,District Khairpur,Sindh. (Mobile No. 0301-2664817)</t>
  </si>
  <si>
    <t>FIR No.340 dt 24/7/2014 u/s 365 PPC PS/Defence,Karachi</t>
  </si>
  <si>
    <t>3339-S</t>
  </si>
  <si>
    <t>Tawab s/o Wazir Jan</t>
  </si>
  <si>
    <t>Mst. Asmat Bibi, r/o Parrai, Tehsil Barikot, District Swat. (Mobile No. 0342-9189897 &amp;b0342-8572097)</t>
  </si>
  <si>
    <t>3340-S</t>
  </si>
  <si>
    <t>Umair Qadir s/o Adnan Qadir</t>
  </si>
  <si>
    <t>r/o, UC-24, Basara More, Gulshan-e-Iqbal, Karachi.</t>
  </si>
  <si>
    <t>3341-S</t>
  </si>
  <si>
    <t>Shamsher Ali Khan s/o Sher Ali Khan</t>
  </si>
  <si>
    <t>r/o, UC-28, Orangi Town, Karachi.</t>
  </si>
  <si>
    <t>3342-S</t>
  </si>
  <si>
    <t>Muhammad Zeeshan s/o Rasheed Ahmed</t>
  </si>
  <si>
    <t>r/o, House No. 1440, Ghariabad, Liquatabad, Karachi.</t>
  </si>
  <si>
    <t>3343-S</t>
  </si>
  <si>
    <t>Naveed Anwar Siddique s/o Khursheed Anwar Siddique</t>
  </si>
  <si>
    <t>r/o House No. A-219, Block No. 02, Gulshan-e-Iqbal, Karachi.</t>
  </si>
  <si>
    <t>3344-S</t>
  </si>
  <si>
    <t>Rehmat Ullah s/o Qalandar Shah</t>
  </si>
  <si>
    <t>r/o, House No. F-243/3, Martin Quarter, Jahangir Road, Karachi.</t>
  </si>
  <si>
    <t>3345-S</t>
  </si>
  <si>
    <t>Salman Baig s/o Irshad Baig</t>
  </si>
  <si>
    <t>r/o, PNT Colony, UC-36, Korangi Town, Karachi.</t>
  </si>
  <si>
    <t>3346-S</t>
  </si>
  <si>
    <t>Shafi Ullah s/o Hakim Ullah</t>
  </si>
  <si>
    <t>r/o, House No. UC-10, Shah Faisal Colony, KESC Office, Karachi.</t>
  </si>
  <si>
    <t>3347-S</t>
  </si>
  <si>
    <t>Iqbal Ali s/o Liquat Ali</t>
  </si>
  <si>
    <t>r/o, Bhatti Colony, Cantonment Board, Korangi, Karachi.</t>
  </si>
  <si>
    <t>3348-P</t>
  </si>
  <si>
    <t>Abdul Salam s/o Nazar Islam</t>
  </si>
  <si>
    <t>Mst. Qamar-un-Nisa, r/o House No. 18 X-3, Madina Town, Faisalabad. (Mobile No. 0336-4277778)</t>
  </si>
  <si>
    <t>Traced Person. Returned to Home safely and avaialble at his house.</t>
  </si>
  <si>
    <t>Ms.Amina Masood Janjua</t>
  </si>
  <si>
    <t>3349-P</t>
  </si>
  <si>
    <t>Warda Amir d/o Muhammad Amir Sharif</t>
  </si>
  <si>
    <t>3350-P</t>
  </si>
  <si>
    <t>Abdul Hadi s/o Abdul Salam</t>
  </si>
  <si>
    <t>3351-P</t>
  </si>
  <si>
    <t>Mashab s/o Abdul Salam</t>
  </si>
  <si>
    <t>3352-P</t>
  </si>
  <si>
    <t>Khadija d/o Abdul Salam</t>
  </si>
  <si>
    <t>3353-F</t>
  </si>
  <si>
    <t>Abdul Wahab s/o Jan Muhammad</t>
  </si>
  <si>
    <t>Muhammad Khan, r/o House No. ZA-1950, Street No. 04, Mohallah Loharan, Near Wlaiti Masjid, Pirwadhi, Rawalpindi. (Mobile No. 0303-5760053)</t>
  </si>
  <si>
    <t>21406-2403393-1</t>
  </si>
  <si>
    <t>3354-A</t>
  </si>
  <si>
    <t>Muhammad Khaqan s/o Abdul Majeed</t>
  </si>
  <si>
    <t>Mst. Rehana Bibi, r/o Village Banni Hotari, P.O Hatiyan Bala, Tehsil &amp; District Hatiyan Bala, Azad Kashmir. (Mobile No. 0345-5279794)</t>
  </si>
  <si>
    <t>Traced Person. Confined in PS City, District Muzaffarabad where a criminal case u/s 4/5 ESA is registered against him.</t>
  </si>
  <si>
    <t>Traced (Confined in Jail Custody)</t>
  </si>
  <si>
    <t>3355-P</t>
  </si>
  <si>
    <t>Abdul Ghaffar s/o Umer Elahi</t>
  </si>
  <si>
    <t>Mst. Uzma Tabussam, r/o Al Shifa Maternity Home, Mughal Street, Babu Chowk, Mohallah Shah Faisal, Chongi No. 07, Attoct. (Mobile No. 0316-5258458)</t>
  </si>
  <si>
    <t>FIR No.202 dt.07/6/2016 u/s 365 PPC PS/City,Attock.</t>
  </si>
  <si>
    <t>Under Investigation (Punjab) Attock</t>
  </si>
  <si>
    <t>3356-K</t>
  </si>
  <si>
    <t>Muhammad Moavia s/o Aman Ullah</t>
  </si>
  <si>
    <t>Hayat Ullah, r/o Mohallah Sharifabad, Ward No. 05, Tehsil Takhtbai, District, Mardan. (Mobile. No.0344-9616870)</t>
  </si>
  <si>
    <t>16102-1194822-9</t>
  </si>
  <si>
    <t>FIR No.222 dt.26/5/2016 u/s 365 PPC PS/Sarro Shah,Mardan..</t>
  </si>
  <si>
    <t>3357-K</t>
  </si>
  <si>
    <t>Yasir Ali s/o Hakeem Khan</t>
  </si>
  <si>
    <t>Hakeem Khan, r/o Asoota Shareef, Tehsil &amp; District, Swabi. (Mobile No. 0308-5458870 &amp; 0313-9655227 &amp; 0344-5805408)</t>
  </si>
  <si>
    <t>16202-1880947-3</t>
  </si>
  <si>
    <t>FIR No.157 dt.01/6/2016 u/s 365 PPC PS/Parmooli District Swabi.</t>
  </si>
  <si>
    <t>Deleted. Rep of IB has submitted that Yasir Ali was involved in adverse activities (Militancy). Yasir Ali has gone on his own. He has been declared absconder.</t>
  </si>
  <si>
    <t>3358-P</t>
  </si>
  <si>
    <t>Raja Zahoor Ahmed s/o Muhammad Sadiq</t>
  </si>
  <si>
    <t>Shamas-ul-Haq, r/o House No. 2184, Street No. 16, Allama Iqbal Colony, Near Tench Bhatta, Rawalpindi. (Mobile No. 0335-5292979)</t>
  </si>
  <si>
    <t>Traced Person. Rawalpindi Police submitted report that Raja Zahoor has returned to home being mentally upset and gone at his own. Hearing on 13.6.16 refers.</t>
  </si>
  <si>
    <t>3359-S</t>
  </si>
  <si>
    <t>Usama Akhtar s/o Akhtar Ali</t>
  </si>
  <si>
    <t>Akhtar Ali, r/o Flat No. 1214, Mohallah Khatri Para, District Tando Allah Yar. (Mobile No. 0301-3576195)</t>
  </si>
  <si>
    <t>FIR No.72 dt.16/6/2016 u/s 365/34 PPC,PS/Defence,District South Karachi.</t>
  </si>
  <si>
    <t>Returned to Home and available at ( Flat No. 1214, Mohallah Khatri Para, District Tando Allah Yar)</t>
  </si>
  <si>
    <t>3360-P</t>
  </si>
  <si>
    <t>Muhammad Soharab s/o Fida Muhammad</t>
  </si>
  <si>
    <t>Mst. Shela Naz, r/o House No. M-517, Street No. 14, Mohallah Amarpura, Rawalpindi. (Mobile No. 0311-85283310)</t>
  </si>
  <si>
    <t>Traced Person. Returned to Home and available at House no. M-517, Street No. 14, Mohallah Amarpura, Rawalpindi. Appeared before the Commission on 17.8.16. Stated that he had gone on his own.</t>
  </si>
  <si>
    <t>3361-K</t>
  </si>
  <si>
    <t>Muhammad Israr s/o Sher Afzal</t>
  </si>
  <si>
    <t>Rafique Bacha, r/o Mohallah Gul Bahar, Pakistan Chowk, Tehsil &amp; District, Mardan. (Mobile No. 0345-9373800)</t>
  </si>
  <si>
    <t>FIR No.797 dt.07/6/2016 u/s 365 PPC,PS/City,Mardan.</t>
  </si>
  <si>
    <t>Traced Person. I.O of the case informed at the hearing on 19.9.16 that Muhammad Israr has returned to home.</t>
  </si>
  <si>
    <t>3362-P</t>
  </si>
  <si>
    <t>Abid Ali s/o Bashir Ahmed</t>
  </si>
  <si>
    <t>Mst. Shera Bibi, r/o Chal No. 18/D, Tehsil Depalpur, District Okara. (Mobile No. 0342-6488083)</t>
  </si>
  <si>
    <t>FIR No.770 dt.14/6/2016 u/s 365 PPC,PS Township,Lahore.</t>
  </si>
  <si>
    <t>Traced Person. Abid Ali has reportedly been killed in encounter by CTD, Multan. Family members informed accordingly case is being referred by Secretary/ Cabinet &amp; Secretary Punjab for further action.</t>
  </si>
  <si>
    <t>3363-K</t>
  </si>
  <si>
    <t>Rehmat Ullah s/o Fazal Karim</t>
  </si>
  <si>
    <t>Amjad Ali, r/o Takhat Bhai, Dewan Khel, Mardan. (Mobile No. 0300-9047061)</t>
  </si>
  <si>
    <t>Traced Person. PA Khyber Agency reported that Rehmatullah was depoted to Afghanistan on 1.11.2016.</t>
  </si>
  <si>
    <t>3364-K</t>
  </si>
  <si>
    <t>Muhammad Shahood s/o Muhammad Asghar</t>
  </si>
  <si>
    <t>Mst. Masta Jana. r/o Shams-ud-Din Banda, Tehsil &amp; District Hangu. (Mobile No. 0335-1988725)</t>
  </si>
  <si>
    <t>FIR No.995 dt.10/8/2016 u/s 365 PPC,PS/Bhanamari, Peshawar.</t>
  </si>
  <si>
    <t>Traced Person. Rep of MI, submitted that Missing Person, Muhammad Shahood is Confined at Internment Center, Alizai, Jurram Agency as informed at the hearing on 10.5.17</t>
  </si>
  <si>
    <t>3365-S</t>
  </si>
  <si>
    <t>Muhammad Ali s/o Muhammad</t>
  </si>
  <si>
    <t>Mrs. Akhtar Fatima, r/o House No. 158-A, New Rizivi Scoiety, Scheme No. 33, Karachi. (Mobile No. 0334-1075557)</t>
  </si>
  <si>
    <t>Assistant Director (NCMC)</t>
  </si>
  <si>
    <t>3366-K</t>
  </si>
  <si>
    <t>Zulfiqar Ali s/o Muhammad Iftikhar</t>
  </si>
  <si>
    <t>Muhammad Iftikhar, r/o Baba Khel, Prang, Near Police Station Prang, District Charsadda.(Mobile No. 0331-5128652 &amp; 0312-8788642)</t>
  </si>
  <si>
    <t>FIR No.590 dt.12/8/2016 u/s 365 PPC PS/Khazana,Peshawar.</t>
  </si>
  <si>
    <t>3367-A</t>
  </si>
  <si>
    <t>Muhammad Aqeel s/o Muhammad Hanif</t>
  </si>
  <si>
    <t>Muhammad Hanif, r/o Village Samorata Namb, Tehsil Palandri, District Sindohti. (Mobile No. 0347-8568736)</t>
  </si>
  <si>
    <t>FIR No.156/15 dt.11/10/2015 u/s 364 PPC PS/Palandri,AJK</t>
  </si>
  <si>
    <t>Traced Person. Returned to home DIG, AJ&amp;K submitted report to effect at the hearing on 22/03/2018 which has been taken on record.</t>
  </si>
  <si>
    <t>3368-P</t>
  </si>
  <si>
    <t>Tahir Farooq Bhatti s/o Muhammad Afzal Bhatti</t>
  </si>
  <si>
    <t>Faisal Farooq, r/o P.O Bhurchh Basoha, Tehsil Kharian, District Gujrat. (Mobile No. 0340 -6084411 &amp; 0300-5461692)</t>
  </si>
  <si>
    <t>FIR No.274 dt.9/6/2016 u/s 365 PPC,PS Taxila District Rawalpindi.</t>
  </si>
  <si>
    <t>Returned to Home and available at P.O Bhurchh Basoha, Tehsil Kharian, District Gujrat.</t>
  </si>
  <si>
    <t>Director (Litigation) NCMC</t>
  </si>
  <si>
    <t>3369-K</t>
  </si>
  <si>
    <t>Luqman s/o Arsla Khan</t>
  </si>
  <si>
    <t>Muhammad Bilal, r/o Mohallah Bazid Khel, Village Musazai, Tehsil &amp; District Peshawar. (Mobile No. 0301-6207788)</t>
  </si>
  <si>
    <t>FIR No.698 dt.27/7/2016 u/s 365 PPC,PS/Badaber, Peshawar.</t>
  </si>
  <si>
    <t>Deleted. JIT/PTF categorized the case as that of Personal enmity. The complainant neither apprised the JIT no attended hearing in this Commission despite notice dated 22.03.2021 and 21.08.2021. The case is closed being not a case of enforced disappearance.</t>
  </si>
  <si>
    <t>3370-S</t>
  </si>
  <si>
    <t>HRC No. 13550---S/ 2016</t>
  </si>
  <si>
    <t>Nasir-ud-Din s/o Khan Rasoool</t>
  </si>
  <si>
    <t>Mst. Tasleem,r/o House No. 534- KESC, Mohallah Muslimabad, Landhi, Karachi. (Mobile No. 0332-3149270)</t>
  </si>
  <si>
    <t>Traced Person. Returned to Home and available at (House No. 534- KESC, Mohallah Muslimabad, Landhi, Karachi.)</t>
  </si>
  <si>
    <t>Director (Litigation) NCMC + HRC</t>
  </si>
  <si>
    <t>3371-K</t>
  </si>
  <si>
    <t>HRC No. 4046---K/ 2016</t>
  </si>
  <si>
    <t>Jamsheed Iqbal s/o Tilawat Khan</t>
  </si>
  <si>
    <t>Mst. Lutf Jahan, r/o Akhtar Jan Cloth Dipu, Ghala Mandi, Tehsil District Bannu. (Mobile No. 0323-9770665)</t>
  </si>
  <si>
    <t>Traced Person. Confined in the Internment Center Lakki Marwat as informed by DPO Bannu at the hearing on 13.7.2016.</t>
  </si>
  <si>
    <t>3372-K</t>
  </si>
  <si>
    <t>Uzair gul s/o Nazir Gul</t>
  </si>
  <si>
    <t>Nazir Gul, r/o Mohallah Salman Zai, Village Mulla Zai,Tehsil &amp; District Tank. (Mobile No. 0348-0960626)</t>
  </si>
  <si>
    <t>Traced Person. Confined in the Internment Center Lakki Marwat as informed by SP (Inv) Tank at the hearing on 22.7.2016.</t>
  </si>
  <si>
    <t>3373-P</t>
  </si>
  <si>
    <t>Muhammad Yousaf s/o Muhammad Ramzan</t>
  </si>
  <si>
    <t>Asif, r/o Kashmir Highway, Near Petrol Pump, Gate No. 01, Nust Road, Opposite Workshop. (Mobile No. 0348-5889896 &amp; 0302-4927570)</t>
  </si>
  <si>
    <t>FIR No.533 dt.04/7/2016 u/s 365 PPC,PS/Airport, Rawalpindi.</t>
  </si>
  <si>
    <t>Traced Person. Returned to home. Appeared before the Commission on 15.8.16. Could not share details of his abduction.</t>
  </si>
  <si>
    <t>3374-S</t>
  </si>
  <si>
    <t>Muhammad Abbas s/o Muhammad Yaqoob</t>
  </si>
  <si>
    <t>Mst. Zarina, r/o House No. D-51, Gali No.02, Hasrat Mohani Colony, Karachi. (Mobile No. 0340-2082813)</t>
  </si>
  <si>
    <t>FIR No.369/2015 u/s 365 PPC,PS/Pak Colony,District West, Karachi</t>
  </si>
  <si>
    <t>Missing Persons Committee Karachi</t>
  </si>
  <si>
    <t>3375-S</t>
  </si>
  <si>
    <t>Raheel Razaq s/o Abdul Razaq</t>
  </si>
  <si>
    <t>Mst.Amana Razaq, r/o House No. E-12/2, Mohallah Chandio, Village Giziri Road, Karachi. (Mobile No. 0312-2142153)</t>
  </si>
  <si>
    <t>FIR No.76/2014 u/s 365 PPC,PS/Gizri,District South City, Karachi</t>
  </si>
  <si>
    <t>Deleted. It was informed at the hearing held in this Commission on 11/7/2019 that Raheel Razaq is involved in Criminal Case Vide FIR No. 76/2014 dated 14/6/2014 u/s 365 PS, City Court. Reportedly he has been abducted due to personal enmity.</t>
  </si>
  <si>
    <t>3376-S</t>
  </si>
  <si>
    <t>Ghulam Ghous s/o jameel Ahmed Rana</t>
  </si>
  <si>
    <t>Rao Kamran Jameel, r/o House No. R-43, Sector No. L-1, Surjani Town, Karachi. (Mobile No. 0302-2599262)</t>
  </si>
  <si>
    <t>FIR No.40 dt.17/2/2016 u/s 365 PPC,PS/Surjani,District West,Karachi.</t>
  </si>
  <si>
    <t>Traced Person. It was informed at the hearing in this Commission on 21-2-2019 that Ghulam Ghous returned to home. The report submitted by the Police Officer Syed Safdar Ali Shah SDPO, Surjani Town, Karachi is placed on record.</t>
  </si>
  <si>
    <t>3377-S</t>
  </si>
  <si>
    <t>Sher Afghan s/o Abdul Sattar Khan</t>
  </si>
  <si>
    <t>Falak Sher Khan, r/o House No. R-1488, Sector No. 1/A, Gulshan-e-Zahoor, Lines Area, Karachi. (Mobile No. 0332-7909002)</t>
  </si>
  <si>
    <t>Traced Person. Confined in Central Jail, Karachi</t>
  </si>
  <si>
    <t>3378-S</t>
  </si>
  <si>
    <t>Syed Sarfraz Ali s/o Syed Ramzan</t>
  </si>
  <si>
    <t>Syed Anas Ali, r/o House No. FS/36/9, Jinnah Square, Malir Colony, Karachi. (Mobile No. 0310-3481596)</t>
  </si>
  <si>
    <t>FIR No.145 dt.27/4/2016 u/s 365 PPC,PS/Ferozabad,District East,Karachi.</t>
  </si>
  <si>
    <t>Traced Person. It was informed at the hearing held in this Commission on 25.2.2019 that Mr. Muhammad Sarfraz has returned to home. Family member wife of the traced person appeared before the Commission and confirmed the reported position.</t>
  </si>
  <si>
    <t>3379-S</t>
  </si>
  <si>
    <t>Muhammd Yousaf s/o Muhammad Ayub</t>
  </si>
  <si>
    <t>Mst. Faryal Yousaf, r/o House No. R-912, Block No. 09, Dastageer, F.B Area, Karachi. (Mobile No. 0306-2348755)</t>
  </si>
  <si>
    <t>(Traced Person)Returned to Home and available at ( House No. R-912, Block No. 09, Dastageer, F.B Area, Karachi)</t>
  </si>
  <si>
    <t>3380-S</t>
  </si>
  <si>
    <t>Syed Naveed Hussain s/o Syed Mukhtar Hussain</t>
  </si>
  <si>
    <t>Syeda Anam Mukhtar, r/o House No. R-307, Block No. 18, Samanabad, F.B Area, Karachi. (Mobile No. 0333-9256662)</t>
  </si>
  <si>
    <t>Traced Person. Returned to Home and available at (House No. R-307, Block No. 18, Samanabad, F.B Area, Karachi.)</t>
  </si>
  <si>
    <t>3381-P</t>
  </si>
  <si>
    <t>Kamran Khaliq s/o Raja Abdul Khaliq</t>
  </si>
  <si>
    <t>Umar Khaliq, r/o House No. CB-40, Aziz Colony, Kalma Chowk, Kamal Chowk Abad, Bakra Mandi, Rawalpindi. (Mobile No. 0300-5263361 &amp; 0334-5241452)</t>
  </si>
  <si>
    <t>FIR No.473 dt.16/6/2016 u/s 365 PPC PS/Race Course,Rawalpindi.</t>
  </si>
  <si>
    <t>Traced Person. Returned to home. Statement recorded in which he stated that he left home at his own and left for Tableegh.</t>
  </si>
  <si>
    <t>3382-P</t>
  </si>
  <si>
    <t>Rahamdad Khan s/o Shukar Khan</t>
  </si>
  <si>
    <t>Muhammad Khalid, r/o Street No. 02, Mohallah Sarey Khola, Tehsil Taxila, District Rawalpindi. (Mobile No. 0335-5630908)</t>
  </si>
  <si>
    <t>FIR No.303 dt.23/6/2016 u/s 365 PPC PS/Taxila,District Rawalpindi.</t>
  </si>
  <si>
    <t>Traced Person. Report of the JIT dated 05/03/2018 indicates that Rahmdad Khan has returned to home. It has further been recorded in Para-15 of the report that he had gone voluntarily and not abducted by anyone.</t>
  </si>
  <si>
    <t>3383-S 5562-S</t>
  </si>
  <si>
    <t>HRC No. 2261--S/ 2016</t>
  </si>
  <si>
    <t>Mohan Lal s/o Jalal</t>
  </si>
  <si>
    <t>Mst. Haryan, r/o Meghwar, Umerkot Akheji, Dhani Colony, Tehsil &amp; District Umerkot. (Mobile No. 0341-3951584)</t>
  </si>
  <si>
    <t>FIR No.179 dt.1/8/2013 u/s 365/34 PPC PS/Jamshoro,District Jamshoro.</t>
  </si>
  <si>
    <t>3384-K</t>
  </si>
  <si>
    <t>Sadam Hussain s/o Shah Nazar Khan</t>
  </si>
  <si>
    <t>Mst. Salma Begum, r/o Bala Ghari, Shahbaz Ghari, Mardan. (Mobile No. 0344-0624723 &amp; 0315-3636096).</t>
  </si>
  <si>
    <t>16101-1008596-3</t>
  </si>
  <si>
    <t>FIR No.477 dt.20/6/2016 u/s 365 PPC PS/Shahbaz Garhi,District Mardan.</t>
  </si>
  <si>
    <t>3385-P</t>
  </si>
  <si>
    <t>Muhammad Shamim s/o Mukhan Deen</t>
  </si>
  <si>
    <t>Jameel Ahmed, r/o House No. BV-203, Nishter Street, Muslim Town, Rawalpindi. (Mobile No. 0300-5326657 &amp; 0323-5851462)</t>
  </si>
  <si>
    <t>FIR No.583 dt.25/6/2016 u/s 365 PPC PS/Sadiqabad,Rawalpindi.</t>
  </si>
  <si>
    <t>Traced Person. Confined in District Jail Faisalabad in case FIR No: 3260/16 PS CTD, Faisalabad. Father confirmed.</t>
  </si>
  <si>
    <t>3386-S</t>
  </si>
  <si>
    <t>HRC No. 7521--S/ 2015</t>
  </si>
  <si>
    <t>Nadeem Salaheen s/o Muhammad Salaheen</t>
  </si>
  <si>
    <t>Muhammad Naeem, r/o Mohallah FC Area, Liquat No. 05, Liquatabad, Karachi. (Mobile No. 0321-2710674)</t>
  </si>
  <si>
    <t>Returned to Home and available at (Mohallah FC Area, Liquat No. 05, Liquatabad, Karachi)</t>
  </si>
  <si>
    <t>3387-S</t>
  </si>
  <si>
    <t>HRC No. 2622-24--HRC</t>
  </si>
  <si>
    <t>Imran Khan s/o Saeed-ur-Rehman</t>
  </si>
  <si>
    <t>Mst. Mumlikat, r/o Mohallah Rehmanabad, Village Qambar, P.O Rehmanabad, Tehsil &amp; District Swat. (Mobile No. 0348-9358718)</t>
  </si>
  <si>
    <t>Director Human Right Cell, Peshawar Director + (Litigation) NCMC</t>
  </si>
  <si>
    <t>3388-K</t>
  </si>
  <si>
    <t>HRC No. 2596-97--HRC</t>
  </si>
  <si>
    <t>Abdullah s/o Waqar Ahmed</t>
  </si>
  <si>
    <t>Waqar Ahmed, r/o Palwasi, Tehsil &amp; District, Peshawar. (Mobile No. 0323-9550378)</t>
  </si>
  <si>
    <t>FIR No.986 dt.15/7/2016 u/s 365 PPC,PS/Tehkal,Peshawar.</t>
  </si>
  <si>
    <t>3389-K</t>
  </si>
  <si>
    <t>Rizwan Ullah s/o Sultan Asghar</t>
  </si>
  <si>
    <t>Sultan Asghar, r/o Nawasi Village, Ghalo Chana, Tehsil &amp; District Hangu. (Mobile No. 0333-9688154)</t>
  </si>
  <si>
    <t>FIR No.392 dt.09/5/2016 u/s 365 PPC,PS/City,Hangu</t>
  </si>
  <si>
    <t>Traced Person. Sultan Asghar f/o Missing Person, submitted report that Rizwan Ullah has Returned to Home and available at Nawasi Village, Ghalo Chana, Tehsil &amp; District Hangu.</t>
  </si>
  <si>
    <t>3390-K</t>
  </si>
  <si>
    <t>HRC No. 2616-19--HRC</t>
  </si>
  <si>
    <t>Abdul Rauf Baloch s/o Ghulam Qadir</t>
  </si>
  <si>
    <t>Ghulam Qadir, r/o Basti Deen Pur, D.I.Khan. (Mobile No. 0348-9389053)</t>
  </si>
  <si>
    <t>Traced Person. SP (Inv) D.I.Khan informed at the hearing on 1.12.2016 that Abdul Rauf Baloch was killed but his dead body could not be recovered.</t>
  </si>
  <si>
    <t>Deleted (Due to other Reasons)</t>
  </si>
  <si>
    <t>3391-F</t>
  </si>
  <si>
    <t>HRC No. 2532-33--HRC</t>
  </si>
  <si>
    <t>Akbaristan s/o Arab Khan</t>
  </si>
  <si>
    <t>Mst. Gull Mera, r/o Khyber Agency, Mohallah Kadam Kamar Khel.</t>
  </si>
  <si>
    <t>Deleted. Not a Case of Enforced Disappearance Missing Person was affiliated with Lashkar-e-Islam as mentioned in the report submitted by IB.</t>
  </si>
  <si>
    <t>3392-P</t>
  </si>
  <si>
    <t>Muhammad Touseef Ashraf s/o Muhammad Ashraf</t>
  </si>
  <si>
    <t>Muhammad Ashraf, r/o Chak No. 217, Gojar Pind, P.O Khas, Tehsil Sumandari, District Faisalabad. (Mobile No. 0305-7164943)</t>
  </si>
  <si>
    <t>FIR No.843 dt.17/5/2016 u/s 365 PPC,PS/Sabzazar,Lahore</t>
  </si>
  <si>
    <t>Traced Person. JIT on 22.7.16 and I.O at the hearing on 28.7.16 reported that Muhammad Touseef Ashraf has returned to home.</t>
  </si>
  <si>
    <t>3393-K</t>
  </si>
  <si>
    <t>Shoukat Rehman s/o Mirza Khan</t>
  </si>
  <si>
    <t>Asim Ghulab, r/o Faizan Hospital, Darsmand, Tehsil Tal Distict Hangu. (Mobile No. 0300-5662397 &amp; 0333-8585366)</t>
  </si>
  <si>
    <t>FIR No.396 dt.21/7/2016 u/s 365 PPC,PS/Doaba,District Hangu.</t>
  </si>
  <si>
    <t>Traced Person. PTF reported that Shoukat Rehman has returned to home, who was present at the hearing on 6.2.2018.</t>
  </si>
  <si>
    <t>3394-I</t>
  </si>
  <si>
    <t>Sajid Mehmood s/o Dilawar Khan</t>
  </si>
  <si>
    <t>Dilawar Khan, r/o House No. 13/B, Street No.29, F 10/1, Islamabad. (Mobile No. 0300-5220068)</t>
  </si>
  <si>
    <t>FIR No.216 dt.24/7/2016 u/s 365 PPC PS/Shalimar,Islamabad</t>
  </si>
  <si>
    <t>3395-K</t>
  </si>
  <si>
    <t>Muhammad Nadeem s/o Muhammad Afzal</t>
  </si>
  <si>
    <t>Mst. Basmina, r/o Shahab Khel, Tehsil &amp; District Peshawar. (Mobile No. 0307-8398438)</t>
  </si>
  <si>
    <t>FIR No.808 dt.02/8//2016 u/s 365 PPC PS/Badaber,Peshawar.</t>
  </si>
  <si>
    <t>Home &amp; Tribal Affairs Department KPK</t>
  </si>
  <si>
    <t>3396-I</t>
  </si>
  <si>
    <t>Nauman Abbass s/o Ghulam Abbas Arif</t>
  </si>
  <si>
    <t>Sohail Abbass, r/o Lane No.05, Baqir Colony,Tulsa Road,Rawalpindi. (Mobile No. 0333-1584190 &amp; 0322-5797818)</t>
  </si>
  <si>
    <t>FIR No.140 dt.12/6/2016 u/s 365 PPC PS/Sihala,District Islamabad</t>
  </si>
  <si>
    <t>Traced Person. At the hearing on 4.4.17 the I.O submitted oath of an e-mail received from father of Nauman Abbas confirmed that the latter has returned to home.</t>
  </si>
  <si>
    <t>3397-A</t>
  </si>
  <si>
    <t>Anus Ibrahim s/o Qari Ibrahim</t>
  </si>
  <si>
    <t>Qari Muhammad Ibrahim, r/o Ghazi Masjid, Al-Hadees Eid Gah, Near Awami Marriage Hall, Sector No. A-5, Mirpur Azad Kashmir. (Mobile No. 0300-5124723)</t>
  </si>
  <si>
    <t>D.D Report No.8 dt.18/12/2015 PS/City,Mirpur,AJK</t>
  </si>
  <si>
    <t>Traced Person. Confined in District Jail, Mirpur, AJ&amp;K as informed by DIG Mirpur, AJ&amp;K at the hearing on 5.10.16. Father, who was present before the Commission confirmed.</t>
  </si>
  <si>
    <t>3398-P</t>
  </si>
  <si>
    <t>Bakhtyar s/o Anwar Khan</t>
  </si>
  <si>
    <t>Nasir Khan, r/o Dar-us-Salam, Masha Allah CNG Pump, Attock City. (Mobile No. 0310-9742644)</t>
  </si>
  <si>
    <t>FIR No.273 dt.09/8/2016 u/s 365 PPC PS/City,Attock.</t>
  </si>
  <si>
    <t>3399-K</t>
  </si>
  <si>
    <t>Muhammad Khalid Suhail s/o Muhammad Mushtaq</t>
  </si>
  <si>
    <t>Muhammad Rafique, r/o Officer Summit Bank, F-11 Markaz, Islamabad.(Mobile No. 0332-5172002)</t>
  </si>
  <si>
    <t>FIR No.795 dt.10/8/2016 u/s 365 PPC PS/Cantt.,D.I.Khan</t>
  </si>
  <si>
    <t>Traced Person. Confined in Internment Center Kohat. Family members facilitated to see him.</t>
  </si>
  <si>
    <t>3400-S</t>
  </si>
  <si>
    <t>Adeem Sartaj s/o Sartaj Alam</t>
  </si>
  <si>
    <t>Sartaj Alam, r/o House no. 471, Street No. 51, G-9/1, Islamabad. (Mobile No. 0423-2103230 &amp; 0333-8484830)</t>
  </si>
  <si>
    <t>3401-S</t>
  </si>
  <si>
    <t>Majid Liaquat s/o Liaquat</t>
  </si>
  <si>
    <t>r/o, House No. 11-1/2, Block No. J, Orangi Town, Karachi.</t>
  </si>
  <si>
    <t>Deputy Director (HR) MoFAs</t>
  </si>
  <si>
    <t>3402-S</t>
  </si>
  <si>
    <t>Muhammad Tariq Siddiqui s/o Masood Ellahi Siddiqui</t>
  </si>
  <si>
    <t>r/o, House No. L-566, Sector No. 11-L, North Karachi.</t>
  </si>
  <si>
    <t>FIR No.151 dt.1/8/2016 u/s 365/34 PPC,PS/Eidgah,District South,Karachi.</t>
  </si>
  <si>
    <t>Traced Person. It was informed at the hearing held in this Commission on 10/07/2018 that Muhammad Tariq Siddiqui has returned to home. He appeared before the Commission on the said date. The statement of the traced person has been recorded u/s 164 CrPC, which is available on record. The report submitted by DSP, Khalid Javed, Kemari Division Investigation, South Zone Karachi is placed on record.</t>
  </si>
  <si>
    <t>3403-S</t>
  </si>
  <si>
    <t>Yameen s/o Allah Dita</t>
  </si>
  <si>
    <t>r/o, House No. 351, Bagesta Lines Area, Karachi.</t>
  </si>
  <si>
    <t>3404-S</t>
  </si>
  <si>
    <t>Usman Mukhtar s/o Mukhtar</t>
  </si>
  <si>
    <t>r/o, House no. 27/3, C- One Area, Landhi, Karachi.</t>
  </si>
  <si>
    <t>Traced Person. Returned to Home and available at (House no. 27/3, C- One Area, Landhi, Karachi.)</t>
  </si>
  <si>
    <t>3405-S</t>
  </si>
  <si>
    <t>Sharafat Ullah s/o Munshi Rehmatullah</t>
  </si>
  <si>
    <t>r/o, B1, Angora Goth, Liquatabad, Karachi.</t>
  </si>
  <si>
    <t>Traced Person. Returned to Home and available at (B1, Angora Goth, Liquatabad, Karachi)</t>
  </si>
  <si>
    <t>3406-S</t>
  </si>
  <si>
    <t>Muhammad Salman s/o Shahab-ud-Din</t>
  </si>
  <si>
    <t>3407-S</t>
  </si>
  <si>
    <t>Yahya Khan s/o Yaqoob Khan</t>
  </si>
  <si>
    <t>Traced Person. (B1, Angora Goth, Liquatabad, Karachi.)</t>
  </si>
  <si>
    <t>3408-S</t>
  </si>
  <si>
    <t>Muhammad Amir s/o Muhammad Qasim</t>
  </si>
  <si>
    <t>r/o, House No. 7/9, Malir ,Karachi.</t>
  </si>
  <si>
    <t>Traced Person. House No. 7/9, Malir ,Karachi.</t>
  </si>
  <si>
    <t>3409-S</t>
  </si>
  <si>
    <t>Ayaz Ahmed Siddiqui s/o Ansar Ahmed Siddiqui</t>
  </si>
  <si>
    <t>r/o, House No. R-20, Block -A, Baghe Malir, Karachi.</t>
  </si>
  <si>
    <t>3410-S</t>
  </si>
  <si>
    <t>Rizwan Shahid s/o Ghulam Panjtan</t>
  </si>
  <si>
    <t>r/o, House No. R-537/16, Block No. 16-FB Area, Karachi.</t>
  </si>
  <si>
    <t>3411-S</t>
  </si>
  <si>
    <t>Rehman jameel s/o Rehman</t>
  </si>
  <si>
    <t>r/o, UC- 04, Mehmoodabad, Karachi.</t>
  </si>
  <si>
    <t>3412-S</t>
  </si>
  <si>
    <t>Muhammad Ali s/o Dildar Shah</t>
  </si>
  <si>
    <t>3413-S</t>
  </si>
  <si>
    <t>Altaf Hussain s/o Manzoor Hussain</t>
  </si>
  <si>
    <t>3414-P</t>
  </si>
  <si>
    <t>Muhammad Yaqob s/o Haji Ramzan</t>
  </si>
  <si>
    <t>Haji Ramzan. r/o Mohallah Siddique, Panjagara, Tehsil Darya Khan, District Bakhar. (Mobile No. 0340-1171885 &amp; 0302-4699419)</t>
  </si>
  <si>
    <t>FIR No.166 dt.03/7/2016 u/s 365 PPC,PS/City,Darya Khan,District Bhakkar.</t>
  </si>
  <si>
    <t>Traced Person. Muhammad Yaqoob is confined in Central Jail Bahawalpur in case FIR No. 95 dated 9.11.2016 u/s 4/5 ESA, 7-ATA , PS CTD, Multan.</t>
  </si>
  <si>
    <t>3415-P</t>
  </si>
  <si>
    <t>Abdul Khaliq s/o Said Rehman</t>
  </si>
  <si>
    <t>Muhammad Ibrahim, r/o Mohmand Agency, Tehsil Lakaro Gurbas, Kandari Karoona. (Mobile No. 0303-9882220)</t>
  </si>
  <si>
    <t>FIR No.732 dt.02/8/2016 u/s 365 PPC,PS/Civil Lines,District Faisalabad.</t>
  </si>
  <si>
    <t>NCMC</t>
  </si>
  <si>
    <t>3416-S</t>
  </si>
  <si>
    <t>HRC No. 28733-2014--HRC</t>
  </si>
  <si>
    <t>Muhammad Faraz s/o Muhammad Farooq</t>
  </si>
  <si>
    <t>Mst. Rabia Begum, r/o House No. 597, Landhi No. 3,1/2, Karachi. (Mobile No. 0322-2727508)</t>
  </si>
  <si>
    <t>Traced Person. Returned to Home an available at ( House No. 597, Landhi No. 3,1/2, Karachi)</t>
  </si>
  <si>
    <t>Director Human Right Cell, Islamabad Director + (Litigation) NCMC</t>
  </si>
  <si>
    <t>3417-S</t>
  </si>
  <si>
    <t>HRC No. 4010-S--2016--HRC</t>
  </si>
  <si>
    <t>Malik Muhammad Sadid s/o Malik Muhammad Awais</t>
  </si>
  <si>
    <t>Mst. Amina Malik, r/o House No. 1164/b, Latifabad, Peoples Colony, Unit No. 4/B, Hyderabad.</t>
  </si>
  <si>
    <t>Returned to Home and available at (House No. 1164/b, Latifabad, Peoples Colony, Unit No. 4/B, Hyderabad)</t>
  </si>
  <si>
    <t>3418-S</t>
  </si>
  <si>
    <t>HRC No. 12688-S--2015--HRC</t>
  </si>
  <si>
    <t>Kashif s/o Muhammad Ayub</t>
  </si>
  <si>
    <t>Mst. Zeenat, r/o House No. 387, Block -F, Musharaf Colony, Karachi.</t>
  </si>
  <si>
    <t>Traced (90 Days Rangers Custody)</t>
  </si>
  <si>
    <t>3419-P</t>
  </si>
  <si>
    <t>HRC No. 19693-K--2014--HRC</t>
  </si>
  <si>
    <t>Dr. Ehsan Bahadur s/o Sher Bahadur Khan</t>
  </si>
  <si>
    <t>Zia Ullah Khan, r/o Hazara, District Swat. (Mobile No. 0346-9422773)</t>
  </si>
  <si>
    <t>FIR No.16 dt.14/1/2012 u/s 365 PPC PS/Hazro,District Attock.</t>
  </si>
  <si>
    <t>Traced Person. Confined in the Internment Center Kohat as informed at the hearing on 18.8.16 by DPO, Attock.</t>
  </si>
  <si>
    <t>3420-S</t>
  </si>
  <si>
    <t>HRC No. 22398-S--2014--HRC</t>
  </si>
  <si>
    <t>Niamat Ullah s/o Nida Muhammad</t>
  </si>
  <si>
    <t>Nida Muhammad, r/o House No. A-24, Baloch Goth, Mango Pir Road, Orangi Town, Karachi. (Mobile No. 0332-3495643)</t>
  </si>
  <si>
    <t>3421-S</t>
  </si>
  <si>
    <t>HRC No. 12491-S--2015--HRC</t>
  </si>
  <si>
    <t>Muhammad Waqar s/o Ameer Ali</t>
  </si>
  <si>
    <t>Ameer Ali, r/o House No. M-2, E-23, Block -B, Muhammadi Road, Sher Shah, Karachi. (Mobile No. 0336-8915536)</t>
  </si>
  <si>
    <t>SHO, Sher Shah, Imdad Ali Khohaja, submitted that Missing Person was Killed during an encounter with CTD)</t>
  </si>
  <si>
    <t>3422-S</t>
  </si>
  <si>
    <t>HRC No. 5040-S--2016--HRC</t>
  </si>
  <si>
    <t>Chandan s/o Nebo Charan</t>
  </si>
  <si>
    <t>Nebo Charan, r/o Village Dedrai, U.C Nagar Parkar, Tehsil Nagar Parkar, District Tharparkar, Sindh. (Mobile No. 0345-3909530 &amp; 0347-3618595)</t>
  </si>
  <si>
    <t>Traced Person. DSP, Bilawal Haq submitted that Chandan has returned to home and available at Lane (Village Dedrai, U.C Nagar Parkar, Tehsil Nagar Parkar, District Tharparkar)</t>
  </si>
  <si>
    <t>3423-S</t>
  </si>
  <si>
    <t>HRC No. 18344-S--2015--HRC</t>
  </si>
  <si>
    <t>Ali Lodhi s/o Nasurallah Khan</t>
  </si>
  <si>
    <t>Farooq Lodhi, r/o A-407, Savana City,Block -B-13-D-3, Gulshan-e-Iqbal, Karachi.</t>
  </si>
  <si>
    <t>Traced Person. Returned to Home and available at (A-407, Savana City, Block No. B-13-D-3 gulshan-e-Iqbal, Karachi)</t>
  </si>
  <si>
    <t>3424-K</t>
  </si>
  <si>
    <t>Saif Ullah s/o Sultan Hussain</t>
  </si>
  <si>
    <t>Mst. Bakhat Afsar Begum, r/o Mohallah Tahirabad, Bantar, Mingora, Swat. (Mobile No. 0344-9032810)</t>
  </si>
  <si>
    <t>FIR No.400 dt.11/7/2016 u/s 365 PPC PS/Banr,District Swat.</t>
  </si>
  <si>
    <t>Traced Person. Rep of MI, submitted that the Missing Person Saif Ullah is Confined in Internment Center, Fiza Ghat, Swat under Action (in aid of Civil Power Regulation 2011.</t>
  </si>
  <si>
    <t>3425-F</t>
  </si>
  <si>
    <t>HRC No. 8288-G--2016--HRC</t>
  </si>
  <si>
    <t>Saeed Khan s/o Ghulab Khan</t>
  </si>
  <si>
    <t>Ghulab Khan, Kharogai, Azum Khel, Lanti Kotal, Khyber Agency. (0303-8999766)</t>
  </si>
  <si>
    <t>Traced Person. IB informed vide letter dated 12.1.2017 that Saeed Khan has returned to home.</t>
  </si>
  <si>
    <t>3426-F</t>
  </si>
  <si>
    <t>Raees Khan s/o Nadir Khan</t>
  </si>
  <si>
    <t>Hakeem Khan, r/o Village Shosho, Mohallah Warsak, Sada Kuram Agency. (Mobile No. 0310-8018515 &amp; 0301-5477726)</t>
  </si>
  <si>
    <t>Traced Person. Tehsildar Central Kurram informed at the hearing that Raees Khan has returned to home.</t>
  </si>
  <si>
    <t>3427-K</t>
  </si>
  <si>
    <t>Bashir Ullah s/o Hadyat Ullah</t>
  </si>
  <si>
    <t>Ehsaan Ullah, r/o P.O Tal, Toot Kas, Tehsil Tal, District Hangu. (Mobile No. 0307-0982030)</t>
  </si>
  <si>
    <t>FIR No.307 dt.17/7/2016 u/s 365/148/149 PPC,PS/Thall,District Hangu.</t>
  </si>
  <si>
    <t>Traced Person. Appeared before the Commission on 26.4.2017 as he has returned to home.</t>
  </si>
  <si>
    <t>3428-K</t>
  </si>
  <si>
    <t>Syed Mukhtar Ullah s/o Hadyat Ullah</t>
  </si>
  <si>
    <t>3429-S</t>
  </si>
  <si>
    <t>Abudllah Baig s/o Anwar Baig</t>
  </si>
  <si>
    <t>r/o, House No. L-207, Sector No. 5-D, Surjani Town, Karachi.</t>
  </si>
  <si>
    <t>3430-S</t>
  </si>
  <si>
    <t>Usman Khan s/o Khalid Khan</t>
  </si>
  <si>
    <t>r/o, House No. L-385,Sector No. 5-D, Surjani Town, Karachi.</t>
  </si>
  <si>
    <t>Traced Person. Returned to Home and available at (House No. L-385, Sector No. 5-D, Surjani Town Karachi)</t>
  </si>
  <si>
    <t>3431-S</t>
  </si>
  <si>
    <t>Zakir Ahmed Khan s/o Ameer Ahmed Khan</t>
  </si>
  <si>
    <t>r/o, Block No. C, Maria Apartment, 4th Floor, Nagin Chowrangi, Karachi.</t>
  </si>
  <si>
    <t>Traced (Confined in Central Prision Jail)</t>
  </si>
  <si>
    <t>3432-S</t>
  </si>
  <si>
    <t>Maqsood Ahmed s/o Muhammad Mehboob</t>
  </si>
  <si>
    <t>r/o, House No. 02, Bhangoria Goth, Azizabad, Karachi.</t>
  </si>
  <si>
    <t>Traced Person. (House No. 02, Bhangoria Goth, Azizabad, Karachi)</t>
  </si>
  <si>
    <t>3433-S</t>
  </si>
  <si>
    <t>Nadir s/o Musharaf Khan</t>
  </si>
  <si>
    <t>r/o, House No.02, Sr, 77/B, Nishtar Basti, PIB Colony, Karachi.</t>
  </si>
  <si>
    <t>3434-S</t>
  </si>
  <si>
    <t>Rizwan s/o Abdul Hakeem</t>
  </si>
  <si>
    <t>r/o, Flat No. 04, 4th Floor, Kharadar Square, Karachi.</t>
  </si>
  <si>
    <t>3435-S</t>
  </si>
  <si>
    <t>Nasir Zaki s/o Noor Muhammad</t>
  </si>
  <si>
    <t>r/o, House No. Sr, 142, Nishtar Basti, PIB Colony, Karachi.</t>
  </si>
  <si>
    <t>3436-S</t>
  </si>
  <si>
    <t>Tahir s/o Ikram-ud-Din</t>
  </si>
  <si>
    <t>r/o UC- 35, Liaquatabad, Karachi</t>
  </si>
  <si>
    <t>3437-S</t>
  </si>
  <si>
    <t>Sheikh Abdul Qadir s/o Sheikh Abdul Karim</t>
  </si>
  <si>
    <t>r/o, UC No. 46, Nazimabad, Gulbhar, Karachi.</t>
  </si>
  <si>
    <t>3438-S</t>
  </si>
  <si>
    <t>Rizwan Ahmed Vohra s/o Noor Ahmed Vohra</t>
  </si>
  <si>
    <t>r/o, House no. A3/10, Muhammad Colony, Azizabad, Karachi.</t>
  </si>
  <si>
    <t>3439-S</t>
  </si>
  <si>
    <t>Shadab Ahmed s/o Mushtaq Ahmed</t>
  </si>
  <si>
    <t>r/o House No. A-364, Ilyas Goth, Korangi, Karachi.</t>
  </si>
  <si>
    <t>3440-P</t>
  </si>
  <si>
    <t>Abdul Razaaq s/o Abdul Majeed</t>
  </si>
  <si>
    <t>Abdul Malik, r/o CB-682-B, Shoukat Kiyani Manzil, Street No.14, AllamaIqbal Colony, Rawalpindi. Cantt. (Mobile No. 0334-5515415)</t>
  </si>
  <si>
    <t>FIR No.370 dt.28/7/2016 u/s 365 PPC PS/Race Course,District Rawalpindi.</t>
  </si>
  <si>
    <t>3441-F</t>
  </si>
  <si>
    <t>Abdul Haq s/o Fazal-e-Akbar</t>
  </si>
  <si>
    <t>Shamas-ul-Haq, r/o Gujar Danda, Amrood Bagh, Near Mitra Police Station.(Mobile No. 0344-8288047 &amp; 0311-9191418)</t>
  </si>
  <si>
    <t>Traced Person. Mr. Iqbal Durrani, Standing Council stated that Abdul Haq has been traced who is in Internment Centre, Fort Solop, Khyber Agency.</t>
  </si>
  <si>
    <t>3442-K</t>
  </si>
  <si>
    <t>Muhammad Imran s/o Muhammad Jamal</t>
  </si>
  <si>
    <t>Muhammad Raees, r/o Orkazai Banda, Kharmato, Kohat. (Mobile No.0332-9237241 &amp; 0342-8073968)</t>
  </si>
  <si>
    <t>Traced Person. Confined in the Internment Center Kohat as informed by Rep of MI at the hearing on 24.8.2016.</t>
  </si>
  <si>
    <t>3443-I</t>
  </si>
  <si>
    <t>Gunday Khan s/o Sheryat Khan</t>
  </si>
  <si>
    <t>Behram Ullah, r/o Umer Khel, Kurram Agency. (Mobile No. 0300-3953541 &amp; 0300-5223992)</t>
  </si>
  <si>
    <t>FIR No.143 dt.27/7/2016 u/s 365 PPC PS/Noon,Islamabad</t>
  </si>
  <si>
    <t>Traced Person. DSP, ICT, Islamabad reported at the hearing on 9.11.16 that Gunday Khan has returned to home.</t>
  </si>
  <si>
    <t>3444-K</t>
  </si>
  <si>
    <t>Muhammad Sohail Ahmed s/o Faiz Ullah Khan</t>
  </si>
  <si>
    <t>Faiz Ullah, r/o Mohallah Sikander Khan, Shaheed Kohat. (Mobile No. 0332-9635500)</t>
  </si>
  <si>
    <t>FIR No.719 dt.08/8/2016 u/s 365 PPC PS/Mathra,Peshawar.</t>
  </si>
  <si>
    <t>Traced Person. Muhammad Sohail Ahmed has been traced. Rashid Mehmood brother of Muhammad Sohail Ahmed is present. His statement has been recorded on oath. He has affirmed that Muhammad Sohail Ahmed returned home two days before Eid-ul-Azha. He further stated that Muhammad Saeed Ahmed occasionally goes to Levies Center at Shah Kas and reports there. He however could not give further details about the control command purpose of Levies Center Shah Kas. As Muhammad Sohail Ahmed has been traced.</t>
  </si>
  <si>
    <t>3445-K</t>
  </si>
  <si>
    <t>Maaz Ullah s/o Khalil Rehman</t>
  </si>
  <si>
    <t>Mst. Amana Bibi, r/o Mandizai, Tehsil Shabaqadar, District Charsadda. (Mobile No. 0344-9166602)</t>
  </si>
  <si>
    <t>FIR No.306 dt.16/11/2016 u/s 365 PPC PS/Batagram,District Charsadda.</t>
  </si>
  <si>
    <t>Director (Litigation) NCMC + Peshawar High Court</t>
  </si>
  <si>
    <t>3446-F</t>
  </si>
  <si>
    <t>Bashir Muhammad s/o Jan Muhammad</t>
  </si>
  <si>
    <t>Mst. Neelam Bibi, r/o Mohallah Saddari Khel, Pirpiyal, Nowshera. (Mobile No. 0331-5439968)</t>
  </si>
  <si>
    <t>Traced Person. IB has reported that Bashir Muhammad has returned to home. No one appeared on his behalf at the hearing on 12.1.17.</t>
  </si>
  <si>
    <t>3447-K</t>
  </si>
  <si>
    <t>Hameed Ullah Khan s/o Saad Ullah Khan</t>
  </si>
  <si>
    <t>Saad Ullah Khan, r/o Sakna Azizabad, Tehsil &amp; District Charsadda. (Mobile No.0334-9055781)</t>
  </si>
  <si>
    <t>FIR No.13 dt.4/1/2017 u/s 365 PPC ,PS/Sardheri,District Charsadda.</t>
  </si>
  <si>
    <t>3448-K</t>
  </si>
  <si>
    <t>Rehmat Gul s/o Raheem Gul</t>
  </si>
  <si>
    <t>Mst. Rehmat Gul, r/o Shahoo Khail, Village Khosa Mela, Hangu. (Mobile No. 0314-9482753)</t>
  </si>
  <si>
    <t>FIR No.96 dt.15/3/2016 u/s 365 PPC ,PS/Gumbat,Kohat</t>
  </si>
  <si>
    <t>Under Investigation (KP) 
 Kohat</t>
  </si>
  <si>
    <t>3449-K-P</t>
  </si>
  <si>
    <t>Rafaqat Ali s/o Muhammad Ali</t>
  </si>
  <si>
    <t>Mst. Sardar Bibi, r/o Village Dhool, P.O Sadar Cantt, Tehsil &amp; District Sialkot. (Mobile No. 0312-7556066)</t>
  </si>
  <si>
    <t>Traced Person. Confined in the Internment Center Kohat as informed by CPO, Rawalpindi and Rep of MI at the hearing on 15.8.2016.</t>
  </si>
  <si>
    <t>Home &amp; Tribal Affairs Department</t>
  </si>
  <si>
    <t>Kohat + Rawalpindi</t>
  </si>
  <si>
    <t>3450-I</t>
  </si>
  <si>
    <t>Khan Bahadur s/o Syed Azam Khan</t>
  </si>
  <si>
    <t>Muhammad Ibrahim, r/o Margalla Housing Scoiety, D-17, Near Sangjani Toll Plaza, Islamabad. (Mobile No. 0300-2338989)</t>
  </si>
  <si>
    <t>Traced Person. Confined in Adyala Jail, Rawalpindi in murder case of his wife in which FIR lodged u/s 302 PPC etc.</t>
  </si>
  <si>
    <t>3451-S</t>
  </si>
  <si>
    <t>HRC No. 19870-S--2015--HRC</t>
  </si>
  <si>
    <t>Merbhan s/o Rasam Khan</t>
  </si>
  <si>
    <t>Traced (Returned to Home)</t>
  </si>
  <si>
    <t>3452-S</t>
  </si>
  <si>
    <t>HRC No. 27951-S--2015--HRC</t>
  </si>
  <si>
    <t>Shahid s/o Jang Bahadur</t>
  </si>
  <si>
    <t>Mst. Rukshana, r/o House No. 23/5, Near Hanfia Norani Masjid, New Karachi.</t>
  </si>
  <si>
    <t>3453-S</t>
  </si>
  <si>
    <t>HRC No. 23098-S--2015--HRC</t>
  </si>
  <si>
    <t>Peer Jan s/o Haji Saad Muhammad</t>
  </si>
  <si>
    <t>Muhammad Nazeer, r/o House No. 1948, Mohallah Abid Abad, Baldia Town, Block No.08, Karachi. (Mobile No.0300-8207596)</t>
  </si>
  <si>
    <t>Traced Person. Returned to Home and available at (House No. 1948, Mohallah Abid Abad, baldia Town, Block No. 08, Karachi)</t>
  </si>
  <si>
    <t>3454 &amp; 3592 are Same</t>
  </si>
  <si>
    <t>3454-K</t>
  </si>
  <si>
    <t>HRC No. 2812-14/HRC</t>
  </si>
  <si>
    <t>Shakir Ullah s/o Zaid Ullah</t>
  </si>
  <si>
    <t>Sami Ullah, r/o Dehri Baba, Tehsil &amp; District Swat. (Mobile No. 0342-0954410 &amp; 0340-9821126)</t>
  </si>
  <si>
    <t>FIR No.388 dt.27/7/2016 u/s 365 PPC PS/Sheikh Maltoon,District Mardan.</t>
  </si>
  <si>
    <t>Under Investigation.</t>
  </si>
  <si>
    <t>3455-S</t>
  </si>
  <si>
    <t>HRC No. 24652-S--2014--HRC</t>
  </si>
  <si>
    <t>Abdul Majeed Khan s/o Jalandar Khan</t>
  </si>
  <si>
    <t>Abdul Hameed Khan, r/o House No. 49, Street No. E, Mohallah New Haji Camp, Sultanabad, Molvi Tameez-e-Din Khan Road, Karachi. (Mobile No. 0333-2326389)</t>
  </si>
  <si>
    <t>FIR No.502 dt.19/6/2014 u/s 365 PPC PS/Docks,Karachi</t>
  </si>
  <si>
    <t>Traced Person. Traced Body Recovered.</t>
  </si>
  <si>
    <t>3456-S</t>
  </si>
  <si>
    <t>HRC No. 2393-S--2016--HRC</t>
  </si>
  <si>
    <t>Hassan Ali s/o Fida Hussain</t>
  </si>
  <si>
    <t>Mst.Sher Bano, r/o House No. 79, Mohallah Gulshan-e-Ghazi, Block No. A, Karachi. (Mobile No. 0303-2893257)</t>
  </si>
  <si>
    <t>3457-K</t>
  </si>
  <si>
    <t>Ijaz Ahmed s/o Salah Khan</t>
  </si>
  <si>
    <t>Salah Khan, r/o P.O Tajori, Tehsil &amp; Distict Lakki Marwat. (Mobile No. 0344-9867746 &amp;0342-9340188)</t>
  </si>
  <si>
    <t>FIR No.267 dt.02/8/2016 u/s 365 PPC,PS/Tajori District Lakki Marwat.</t>
  </si>
  <si>
    <t>Traced Person. Rep of MI submitted that the Missing Person Ijaz Ahmed is Confined in Internment Center, Lakki Marwat under Action (in aid of Civil Power) Regulation 2011. Family Members have been allowed to meet him.</t>
  </si>
  <si>
    <t>3458-S</t>
  </si>
  <si>
    <t>Shahid Raoof Khan s/o Muhammad Jan Pathan</t>
  </si>
  <si>
    <t>Aoorj, r/o House No. CBH-19, Street No 04, Pathan Colony, Hyderabad. (Mobile No. 0321-3010994)</t>
  </si>
  <si>
    <t>Traced Person. Returned to Home and available at (House No. CBH- 19 Street No. 04 Pathan Colony, Hyderabad)</t>
  </si>
  <si>
    <t>3459-S</t>
  </si>
  <si>
    <t>Syed Waqar Ahmed s/o Syed Anwar Ahmed</t>
  </si>
  <si>
    <t>r/o, House No. R-144, Block No. 18, FB Area, Karachi.</t>
  </si>
  <si>
    <t>3460-S</t>
  </si>
  <si>
    <t>Kashif Hussain s/o Muhammad Ismail</t>
  </si>
  <si>
    <t>r/o, House No. 5/446, Liquatabad, FB Area, Karachi.</t>
  </si>
  <si>
    <t>Traced Person. Returned to Home and available at (House No. 5/446, Liquatabad, FB Area, Karachi)</t>
  </si>
  <si>
    <t>3461-S</t>
  </si>
  <si>
    <t>Faiq Ameer s/o Ahmed</t>
  </si>
  <si>
    <t>r/o, House no. 1/2, Korangi, Karachi.</t>
  </si>
  <si>
    <t>3462-S</t>
  </si>
  <si>
    <t>Naeem Ahmed s/o Raheem Baksh</t>
  </si>
  <si>
    <t>r/o, UC-29, Korangi Town, Karachi.</t>
  </si>
  <si>
    <t>3463-S</t>
  </si>
  <si>
    <t>Tahir Naseer s/o Uddin</t>
  </si>
  <si>
    <t>r/o UC-29, Koranghi, Karachi.</t>
  </si>
  <si>
    <t>3464-S</t>
  </si>
  <si>
    <t>Sabir Sultan r/o Sattar</t>
  </si>
  <si>
    <t>r/o, Faisal Town, Sector No. 51/C, UC-25, Korangi, Karachi.</t>
  </si>
  <si>
    <t>3465-S</t>
  </si>
  <si>
    <t>Naseem Ahmed s/o Nizam Ahmed</t>
  </si>
  <si>
    <t>r/o, House No. N-754, Sector No. 51/C, Madina Colony, UC-25, Korangi, Karachi.</t>
  </si>
  <si>
    <t>Traced Person. Confined in Police Station Sauda Abad.</t>
  </si>
  <si>
    <t>3466-S</t>
  </si>
  <si>
    <t>Asif Lodhi s/o Lodhi</t>
  </si>
  <si>
    <t>r/o, UC-09, Lines Area, Karachi.</t>
  </si>
  <si>
    <t>3467-S</t>
  </si>
  <si>
    <t>Sajid Wajid s/o Siddiqui</t>
  </si>
  <si>
    <t>r/o, UC-49, Nazimabad, Karachi.</t>
  </si>
  <si>
    <t>3468-S</t>
  </si>
  <si>
    <t>Muhammad Fahad Ali Afridi s/o Sharshad Ali Afridi</t>
  </si>
  <si>
    <t>r/o, House No. E-41, Street No. 25, Model Colony, Malir, Karachi.</t>
  </si>
  <si>
    <t>3469-S</t>
  </si>
  <si>
    <t>Fahad Khan s/o Jameel Khan</t>
  </si>
  <si>
    <t>r/o, House No. 7/D, Latifabad No. 07, Hyderabad, Sindh.</t>
  </si>
  <si>
    <t>Traced Person. Returned to Home and available at (House No. 7-D, Latifabad No. 07, Hyderabad, Sindh)</t>
  </si>
  <si>
    <t>3470-S</t>
  </si>
  <si>
    <t>Zulfiqar Khanzada s/o Abrar Khanzada</t>
  </si>
  <si>
    <t>r/o, House no. 09, Latifabad, Hyderabad, Sindh</t>
  </si>
  <si>
    <t>3471-S</t>
  </si>
  <si>
    <t>Muhammad Saeed s/o Muhammad Yousaf Sheikh</t>
  </si>
  <si>
    <t>r/o House No. EI-151, Block 11-G, New Karachi.</t>
  </si>
  <si>
    <t>Traced Person. Returned to Home and available at (House No. EI-151, Blocl No. 11-G, New Karachi.)</t>
  </si>
  <si>
    <t>3472-S</t>
  </si>
  <si>
    <t>Yaqoob s/o Abdul Haq</t>
  </si>
  <si>
    <t>r/o, House No. 9/15, Sector No. 11-F, New Karachi.</t>
  </si>
  <si>
    <t>Traced Person. Returned to Home and available at (House No. 9/15, Sector No. 11-F, New Karachi)</t>
  </si>
  <si>
    <t>3473-S</t>
  </si>
  <si>
    <t>Nasir Raees s/o Raees</t>
  </si>
  <si>
    <t>r/o UC-07, Shah Faisal Colony, Karachi.</t>
  </si>
  <si>
    <t>3474-S</t>
  </si>
  <si>
    <t>Sajid s/o Saeed Hussain</t>
  </si>
  <si>
    <t>Traced Person. Returned Home (On Bail)</t>
  </si>
  <si>
    <t>3475-S</t>
  </si>
  <si>
    <t>Adnan Qureshi s/o Ayub Qureshi</t>
  </si>
  <si>
    <t>r/o, UC- 07, Shah Fasial Colony, Karachi.</t>
  </si>
  <si>
    <t>Traced Person. Returned to Home and available at (UC No. 07, Shah Fasial Colony, Karachi)</t>
  </si>
  <si>
    <t>3476-S</t>
  </si>
  <si>
    <t>Muhammad Adnan s/o Muhammad Salah-ud-Din</t>
  </si>
  <si>
    <t>3477-S</t>
  </si>
  <si>
    <t>Moin-ud-Din s/o Waseem Qadri</t>
  </si>
  <si>
    <t>r/o, UC-23, Ranchoreline, Karachi.</t>
  </si>
  <si>
    <t>Traced Person. Returned to Home and available at (UC No. 23, Ranchoreline, Karachi)</t>
  </si>
  <si>
    <t>3478-S</t>
  </si>
  <si>
    <t>Sameer Mehmood s/o Mehmood Alam</t>
  </si>
  <si>
    <t>r/o, House No. 227, Block No. 16, FB Area, Karachi.</t>
  </si>
  <si>
    <t>3479-S</t>
  </si>
  <si>
    <t>Syed Husnain Naqvi s/o Ejaz Aslam Naqvi</t>
  </si>
  <si>
    <t>r/o House No. A-695, Block No.12, FB Area, Karachi</t>
  </si>
  <si>
    <t>3480-S</t>
  </si>
  <si>
    <t>Sabir Hussain s/o Mubarik Hussain</t>
  </si>
  <si>
    <t>r/o, House No. B/52, Sachal Sarmat, Behar Colony, Hyderabad, Sindh</t>
  </si>
  <si>
    <t>Traced Person. Returned to Home and available at (House No. B/52, Sachal Sarmat Behar Colony, Hyderabad, Sindh)</t>
  </si>
  <si>
    <t>3481-S</t>
  </si>
  <si>
    <t>Shabir Hussain s/o Dilshad Hussain</t>
  </si>
  <si>
    <t>r/o, UC-26, Koran Town, Karachi.</t>
  </si>
  <si>
    <t>3482-S</t>
  </si>
  <si>
    <t>Muhammad Tariq Khan s/o Muhammad Yousaf Khan</t>
  </si>
  <si>
    <t>r/o, House No. L-30, Street No. 12, Sector No. 11-A, North Karachi.</t>
  </si>
  <si>
    <t>Traced Person. Returned to Home and available at (House No. L-30, Street No. 12, Sector No. 11-A, North Karachi.)</t>
  </si>
  <si>
    <t>3483-S</t>
  </si>
  <si>
    <t>Attaullah Sajid s/o Naveed Ali Sajid</t>
  </si>
  <si>
    <t>r/o House No./ L-30, Street No. 12, Sector No 07, Surjani Town, Karachi.</t>
  </si>
  <si>
    <t>3484-S</t>
  </si>
  <si>
    <t>Ali Hassan Zaidi s/o Hammad Zaidi</t>
  </si>
  <si>
    <t>r/o, Dhabi Pumping Station, Water Board Staff Colony, Thatta, Sindh.</t>
  </si>
  <si>
    <t>3485-S</t>
  </si>
  <si>
    <t>Khalid Jameel s/o Muhammad Imran Siddiqui</t>
  </si>
  <si>
    <t>3486-F</t>
  </si>
  <si>
    <t>Raees Khan s/o Muhammad Khan</t>
  </si>
  <si>
    <t>Ajmal Khan, r/o Landi Kotal Baazar, Tariq Medicos, District Khyber Agency. (Mobile No. 0306-5934934- 0340-6131908 &amp; 0312-7389998)</t>
  </si>
  <si>
    <t>3487-K</t>
  </si>
  <si>
    <t>Waseem s/o Abdul Ghaffar Khan</t>
  </si>
  <si>
    <t>Abdul Ghaffar Khan, r/o Village Nasia Balla, P.O Khazana, Charsadda Road, District Peshawar. (Mobile No. 0304-9020277)</t>
  </si>
  <si>
    <t>Traced Person. Brother confirmed at the hearing on 7.11.16 that Waseem has returned to home.</t>
  </si>
  <si>
    <t>3488-K</t>
  </si>
  <si>
    <t>Gohar Khan s/o Essa Khan</t>
  </si>
  <si>
    <t>Israr Azam, r/o Palwasi, Rahatabad, Peshawar.(Mobile No. 0313-9038878 &amp; 0310-9922640)</t>
  </si>
  <si>
    <t>Traced Person. Confined in Internment Center, Kohat as informed by Rep of MI at the hearing on 7.11.16.</t>
  </si>
  <si>
    <t>3489-B</t>
  </si>
  <si>
    <t>Aftab Ahmed s/o Mushtaq Ahmed</t>
  </si>
  <si>
    <t>Mushtaq Ahmed, r/o Village Tootak, Sardari Shahar, Tehsil &amp; District Khuzdar. (Mobile No. 0315-5679211 &amp; 0334-02392295)</t>
  </si>
  <si>
    <t>Under Investigation (Balochistab)</t>
  </si>
  <si>
    <t>3490-S</t>
  </si>
  <si>
    <t>HRC No. 6133-S--2015--HRC</t>
  </si>
  <si>
    <t>Mirza Maqsood Ahmed Baig s/o Allah Dita Khan</t>
  </si>
  <si>
    <t>Mst. Jameela Begum, r/o House No. 1745, Block No. 01, Metroville III, Scheme No. 33, Gulzar-e-Hijri, Karachi. (Mobile No. 0341-35441790)</t>
  </si>
  <si>
    <t>Traced Person. Returned to Home and available at (House No. 1745, Block No. 01, Metroville III, Scheme No. 33, Gulzar-e-Hijri, Karachi)</t>
  </si>
  <si>
    <t>3491-S</t>
  </si>
  <si>
    <t>Mirza Asif Baig s/o Mizra Maqsood Ahmed Baig</t>
  </si>
  <si>
    <t>3492-K</t>
  </si>
  <si>
    <t>HRC No. 14863-K--2016--HRC</t>
  </si>
  <si>
    <t>Noor Zaman s/o Sher Zaman</t>
  </si>
  <si>
    <t>Salman Khan, r/o Mohallah Kooz Ahmed Khel, Village &amp; P.O Sheikh Jana, Tehsil &amp; District Swabi.</t>
  </si>
  <si>
    <t>Traced Person. DSP (HQ) Swabi reported that Noor Zaman has returned to home. He left due to annoyance with family.</t>
  </si>
  <si>
    <t>3493-K</t>
  </si>
  <si>
    <t>HRC No. 9440-K--2016--HRC</t>
  </si>
  <si>
    <t>Shahzad Khan s/o Shafi-ur-Rehman</t>
  </si>
  <si>
    <t>Shahid Khan, r/oVillage Kotli Payin, Tehsil &amp; District Manshera. (Mobile No. 0313-0534393)</t>
  </si>
  <si>
    <t>FIR No.199 dt.04/82016 u/s 365 PPC PS/Baffa,District Mansehra.</t>
  </si>
  <si>
    <t>Traced Person. SP (Inv) Manshera submitted that Shahzad Khan has been convicted for life inpriment.</t>
  </si>
  <si>
    <t>3494-P</t>
  </si>
  <si>
    <t>HRC No. 23852-P--2015--HRC</t>
  </si>
  <si>
    <t>Muhammad Arshad s/o Muhammad Hanif</t>
  </si>
  <si>
    <t>Muhammad Afzal, r/oRabbani Colony, Bankers Street No. 01, Faisalabad. (Mobile No. 0300-8716073)</t>
  </si>
  <si>
    <t>FIR No.545 dt.02/9/2016 u/s 365 PPC PS/D-Type Colony,Faisalabad.</t>
  </si>
  <si>
    <t>Traced Person. Returned to Home and available at his given address. Appeared before the Commission. Stated he went to Karachi at his own.</t>
  </si>
  <si>
    <t>3495-S</t>
  </si>
  <si>
    <t>HRC No. 13189-S--2014--HRC</t>
  </si>
  <si>
    <t>Arshad s/o Muhammad Sharif</t>
  </si>
  <si>
    <t>Mst.Sakina, r/o House No. 7-C/43,Street No. 05, HajiPeer Muhammad Road, Safi Line, Baghdadi, Liyari, Karachi. (Mobile No. 0324-2083070)</t>
  </si>
  <si>
    <t>3496-S</t>
  </si>
  <si>
    <t>Nasir</t>
  </si>
  <si>
    <t>Killed in Police Encounter</t>
  </si>
  <si>
    <t>3497-S</t>
  </si>
  <si>
    <t>HRC No. 5294-G--2014--HRC</t>
  </si>
  <si>
    <t>Qudrat Ullah s/o Khan Muhammad</t>
  </si>
  <si>
    <t>Saeed Khan, Plot No. D-18, Near Barki House, Ali Town, Al-Asif Square, Super Highway, Karachi. (Mobile No. 0337-4884807)</t>
  </si>
  <si>
    <t>3498-S</t>
  </si>
  <si>
    <t>HRC No. 3813-S--2016--HRC</t>
  </si>
  <si>
    <t>Rizwan s/o Ellahi Bukhsh</t>
  </si>
  <si>
    <t>Ellahi Bukhsh, r/o House No. D-15, Nago Shah Bhai Khan, Chari, Hyderabad.</t>
  </si>
  <si>
    <t>Traced Person. Returned to Home and available at (House No. D-15, Nago Shah Bhai Khan, Chari, Hyderabad.)</t>
  </si>
  <si>
    <t>3499-K</t>
  </si>
  <si>
    <t>HRC No. 2865-66-S-/-HRC</t>
  </si>
  <si>
    <t>Muhammad Amir s/o Ghulam Abid</t>
  </si>
  <si>
    <t>Ghulam Abid, r/o Gulberg Town, Muryali Mor, D.I.Khan. (Mobile No. 0344-3696717)</t>
  </si>
  <si>
    <t>12101-6121313-1</t>
  </si>
  <si>
    <t>FIR No.605 dt.05/8/2014 u/s 365 PPC PS/Cantt. District D.I.Khan.</t>
  </si>
  <si>
    <t>Director Human Right Cell, High Court Director + (Litigation) NCMC</t>
  </si>
  <si>
    <t>3500-K</t>
  </si>
  <si>
    <t>HRC No. 2830-32-S-/-HRC</t>
  </si>
  <si>
    <t>Muhammad Aslam s/o Nazir Ahmed</t>
  </si>
  <si>
    <t>Mst. Maliko Bibi, r/o Dinpur, Tehsil &amp; District Dera Ismail Khan. (Mobile No. 0333-9955043)</t>
  </si>
  <si>
    <t>Traced Person. Father of Muhammad Aslam confirmed at the hearing on 25.8.2016 that the latter has returned to home.</t>
  </si>
  <si>
    <t>3501-F</t>
  </si>
  <si>
    <t>Dost Muhammad s/o Niazbat Khan</t>
  </si>
  <si>
    <t>Niazbat Khan, r/o Wadigarah, P.O Sadha, Tehsil FR Kurram, District Kurram Agency. (Mobile No. 0303-9278341)</t>
  </si>
  <si>
    <t>Traced Person. Standing Council, Kurram Agency, submitted report that Missing Person Dost Muhammad has been Killed by Taliban. In support he submitted statement's of elders of area. No one appeared in his behalf at the hearing.</t>
  </si>
  <si>
    <t>3502-K</t>
  </si>
  <si>
    <t>Hafiz Ubaid-ur-Rehman s/o Abdul Rehman</t>
  </si>
  <si>
    <t>Abdul Rehman, r/o House No. TC-1092, Mohallah Shoaibzai, Nawa Sher, Tehsil &amp; District Abbotabad.</t>
  </si>
  <si>
    <t>FIR No.389 dt.02/8/2016 u/s 365 PPC PS/Nawan Shehar,District Abbottabad.</t>
  </si>
  <si>
    <t>Traced Person. JIT intimated in its meeting on 24.2.17 that Hafiz Ubaid-ur-Rehman returned to home.</t>
  </si>
  <si>
    <t>Director + (Litigation) NCMC</t>
  </si>
  <si>
    <t>3503-K</t>
  </si>
  <si>
    <t>Irfan Ullah s/o Mughal Khan</t>
  </si>
  <si>
    <t>Mst. Basi Khela, r/o Sakna , Dara Adam Khel. FR., Kohat. (Mobile No. 0333-9141174)</t>
  </si>
  <si>
    <t>FIR No.90 dt.22/2/2017 u/s 365 PPC PS/Matanni,District Peshawar.</t>
  </si>
  <si>
    <t>3504-K</t>
  </si>
  <si>
    <t>Sonabar Khan</t>
  </si>
  <si>
    <t>Mst.Gul Rukha, r/o Ghari Mosam Khan, Bahadur Kaly, Tehsil &amp; District, Peshawar. (Mobile No.0307-7525438)</t>
  </si>
  <si>
    <t>Returned to Home and available at (Ghari Mosam Khan, Bahadur Kaly, Tehsil &amp; District, Peshawar)</t>
  </si>
  <si>
    <t>3505-K</t>
  </si>
  <si>
    <t>Abdullah Jan s/o Noor Rehman</t>
  </si>
  <si>
    <t>Mst. Dilshad Bibi, r/o Shahbaz Ghari, Malikabad, Mardan. (Mobile No. 0343-2516094)</t>
  </si>
  <si>
    <t>FIR No.463 dt.01/8/2016 u/s 365 PPC,PS/Par Hoti District Mardan.</t>
  </si>
  <si>
    <t>3506-K</t>
  </si>
  <si>
    <t>Abid nawaz s/o Aleem Shah</t>
  </si>
  <si>
    <t>Mst. Dawar Bibi, r/o Mirbak, Tehsil &amp; District Hangu. (Mobile No. 0333-9676329 &amp; 0333-9671896)</t>
  </si>
  <si>
    <t>FIR No.722 dt.02/8/2016 u/s 365 PPC,PS/MRS District Kohat.</t>
  </si>
  <si>
    <t>3507-S</t>
  </si>
  <si>
    <t>Muhammad Rizwan s/o Muhammad Sultan</t>
  </si>
  <si>
    <t>r/o, Flat No. 424, Hina Tahir Sector No. 13/D, Gulshan-e-Iqbal, Karachi.</t>
  </si>
  <si>
    <t>MoFAs</t>
  </si>
  <si>
    <t>3508-S</t>
  </si>
  <si>
    <t>Maawia Hussain s/o Muhammad Yameen</t>
  </si>
  <si>
    <t>r/o House no. 366/3, Liquatabad No. 03, Karachi.</t>
  </si>
  <si>
    <t>Traced Person. Returned to Home and available at (House No. 366/3, Liquatabad No. 03, Karachi)</t>
  </si>
  <si>
    <t>3509-S</t>
  </si>
  <si>
    <t>Usman Ali s/o Ahmed Ali</t>
  </si>
  <si>
    <t>r/o, House No. 215, Sector No. 36-D,Surjani Town, Karachi</t>
  </si>
  <si>
    <t>3510-S</t>
  </si>
  <si>
    <t>Asad Mansoor s/o Mansoor Ahmed</t>
  </si>
  <si>
    <t>r/o, House No. 6/541, Liaquatabad, Karachi.</t>
  </si>
  <si>
    <t>Traced Person. Returned to Home and available at (House No. 6/541, Liquatabad, Karachi</t>
  </si>
  <si>
    <t>3511-S</t>
  </si>
  <si>
    <t>Abdul Wahab s/o Karim Ullah</t>
  </si>
  <si>
    <t>r/o, House no. F2/143, Martin Quarter, PIB Colony, Karachi.</t>
  </si>
  <si>
    <t>Traced Person. Returned to Home and available at (House No. F2/143, Martin Quarters, PIB Colony, Karachi)</t>
  </si>
  <si>
    <t>3512-S</t>
  </si>
  <si>
    <t>Jamal-ud-Din s/o Jalal-ud-Din</t>
  </si>
  <si>
    <t>r/o, House No. 299/2F, Martin Quarter, PIB Colony, Karachi.</t>
  </si>
  <si>
    <t>3513-S</t>
  </si>
  <si>
    <t>Abdul Rasheed s/o Muhammad Siddique</t>
  </si>
  <si>
    <t>r/o, UC No. 28, Orangi Town, Karachi.</t>
  </si>
  <si>
    <t>3514-S</t>
  </si>
  <si>
    <t>Abdul Basit s/o Muhammad Wajid</t>
  </si>
  <si>
    <t>r/o Ghazi Nagar, BP Factory, Usmanabad, Karachi.</t>
  </si>
  <si>
    <t>3515-S</t>
  </si>
  <si>
    <t>Abdul Hameed s/o Abdi</t>
  </si>
  <si>
    <t>r/o, House No. 2/2, B One Area, Liaquatabad, Karachi.</t>
  </si>
  <si>
    <t>Returned to Home and available at ( House No. 2/2, B One Area, Liaquatabad, Karachi)</t>
  </si>
  <si>
    <t>3516-S</t>
  </si>
  <si>
    <t>Muhammad Sohaib s/o Muhammad Furkan</t>
  </si>
  <si>
    <t>r/o, House No. 29, Minhas Plaza, Liaquatabad, Karachi.</t>
  </si>
  <si>
    <t>Returned to Home and available at (House No. 29, Minhas Plaza, Liaquatabad, Karachi.)</t>
  </si>
  <si>
    <t>3517-S</t>
  </si>
  <si>
    <t>Mukhtar Ahmed s/o Waqar Ahmed</t>
  </si>
  <si>
    <t>R/O, Flat No. 41, 4th Floor, Gulshan Plaza, Liaquatabad, Karachi.</t>
  </si>
  <si>
    <t>Closed (On request of Complainant)</t>
  </si>
  <si>
    <t>3518-S</t>
  </si>
  <si>
    <t>Fahkruddin s/o Muhammad Anwar Abbasi</t>
  </si>
  <si>
    <t>r/o, UC No. 09, Shah Faisal Town, Karachi</t>
  </si>
  <si>
    <t>3519-S</t>
  </si>
  <si>
    <t>Kamal Ahmed s/o Rizwan Ahmed</t>
  </si>
  <si>
    <t>3520-P</t>
  </si>
  <si>
    <t>Syed Husnain Abbass s/o Syed Abbass Ali Shah</t>
  </si>
  <si>
    <t>Syed Hassan Abbass, r/o Noor Hamad Road, Shakryal, Rawalpindi. (Mobile No. 0334-5294827)</t>
  </si>
  <si>
    <t>FIR No.809 dt.16/8/2016 u/s 365 PPC PS/Sadiqabad,Rawalpindi</t>
  </si>
  <si>
    <t>Traced Person. Dead Body recovered. Missing Person was Killed during an encounter with CTD in the Jurisdiction of Multan.</t>
  </si>
  <si>
    <t>3521-I</t>
  </si>
  <si>
    <t>Syed Saqib Abbass s/o Syed Abbass Ali Shah</t>
  </si>
  <si>
    <t>FIR No.164 dt.30/8/2016 u/s 365 PPC PS/Tarnol,Islamabad</t>
  </si>
  <si>
    <t>Traced Person. Syed Saqib Abbass has been traced. He has returned to home. Syed Hassan b/o missing person is present. His statement has been recorded on oath. According to his statement, Syed Saqib Abbass has returned to home on 28.3.2019.</t>
  </si>
  <si>
    <t>3522-B</t>
  </si>
  <si>
    <t>HRC No. 47926-S--2013--HRC</t>
  </si>
  <si>
    <t>Fida Hussain Jatio s/o Hakim Ali Jatio</t>
  </si>
  <si>
    <t>r/o, P.O Talpur Wada, Taluka Kotdiji, District Khairpur.</t>
  </si>
  <si>
    <t>Deleted. The Commission held hearing in this case on 4.11.2019 In the FIR there is no allegation against any LEAs. According to the reports submitted by the Reps of ISI, MI, FC (South) Special Branch and CTD, the missing person is not held in custody. JIT has categorized the case as the Missing Person has gone on his own. In view of these facts the case does not fall within the ambit of enforced disappearance.</t>
  </si>
  <si>
    <t>3523-K</t>
  </si>
  <si>
    <t>Imdad Khan s/o Dulat Khan</t>
  </si>
  <si>
    <t>Inam Ullah, r/o Mohallah Milli Khel, Village Ameer Khel, Tehsil &amp; District Peshawar. (Mobile No. 0300-5932898 &amp; 0333-5932898|)</t>
  </si>
  <si>
    <t>3524-F</t>
  </si>
  <si>
    <t>Naeem Ullah s/o Abdullah Khan</t>
  </si>
  <si>
    <t>31/06/2016</t>
  </si>
  <si>
    <t>Mst. Haq Lewa, r/o P.O Mir Ali, North Waziristan, Dera Norang, College Road, King Focus. (Mobile No. 0348-0111707 &amp; 0332-5845470)</t>
  </si>
  <si>
    <t>Traced Person. Rep of IB reported at the hearing on 19.4.17 that Naeem Ullah has returned to home and living with his family.</t>
  </si>
  <si>
    <t>3525-F</t>
  </si>
  <si>
    <t>Rizwan s/o Sirkabi</t>
  </si>
  <si>
    <t>Mst. Zabia, r/o P.O Mir Ali, North Waziristan, Dera Norang, College Road, King Focus. (Mobile No. 0348-0111707)</t>
  </si>
  <si>
    <t>Traced Person. Rep of IB reported at the hearing on 19.4.17 that Rizwan is confined in the Centre Jail, Bannu.</t>
  </si>
  <si>
    <t>3526-P</t>
  </si>
  <si>
    <t>Hafiz Muhammad Imran s/o Allah Yar</t>
  </si>
  <si>
    <t>Muhammad Suleman, r/o Mudassra Dara-ul-Hadees Muhammadia, Jalaj Pur, Peer Wala, District Multan. (Mobile No. 0301-7576305)</t>
  </si>
  <si>
    <t>FIR No.398 dt.08/9/2016 u/s 365 PPC,PS/Civil Lines,District Bahawalpur.</t>
  </si>
  <si>
    <t>Traced Preson. Returned to Home and available at his given address. His brother confirmed at the hearing on 8.5.2017.</t>
  </si>
  <si>
    <t>3527-P</t>
  </si>
  <si>
    <t>Muhammad Imran Hussain s/o Bilal Hussain</t>
  </si>
  <si>
    <t>Mst. Najma Bibi, r/o Basti Hassan Wala, Moza Ali Wala, P.O Basera, Police Station Qureshi Chowk, Tehsil &amp; District Muzaffagrah. (Mobile No. 0301-4949304 &amp; 0301-7450977)</t>
  </si>
  <si>
    <t>FIR No.541 dt.08/12/2016 u/s 365 PPC,PS/Quresh,District Muzaffargarh.</t>
  </si>
  <si>
    <t>Traced Person. Father of the Missing Person appeared before the Commission on 08/08/2018 and submitted that his son has returned to home.</t>
  </si>
  <si>
    <t>3528-P</t>
  </si>
  <si>
    <t>Hafiz Muhammad Tayyab s/o Abdul Hameed</t>
  </si>
  <si>
    <t>Mst. Raquia Begum, r/o House No. 50, Khan Street, Hadier Road, Islampura, Lahore. (Mobile No.0332-5944164)</t>
  </si>
  <si>
    <t>FIR No.49 dt.07/8/2016 u/s 365 PPC PS/CTD,Lahore.</t>
  </si>
  <si>
    <t>Traced Person. Arrested by Lahore Police in a case registered by CTD. Son of Hafiz Muhammad Tayyab informed at the hearing on 26.10.2016.</t>
  </si>
  <si>
    <t>3529-P</t>
  </si>
  <si>
    <t>Umar Farooq Sohail s/o Fateh Muhammad</t>
  </si>
  <si>
    <t>Fateh Muhammad, r/o Taheem Pura, Shahbaz Khel, Tehsil &amp; District Mianwali. (Mobile No. 0301-3959951 &amp; 0320-5262450)</t>
  </si>
  <si>
    <t>FIR No.420 dt.09/8/2016 u/s 365 PPC PS/Saddar,Mianwali.</t>
  </si>
  <si>
    <t>Traced Person. DSP (Legal) Mianwali submitted at the hearing on 27.12.17 that Missing Person Umar Farooq Sohail is Confined in Internment Center, Lakki Marwat under Action (in aid of Civil Power) Regulation 2011. Family Members have been allowed to meet him.</t>
  </si>
  <si>
    <t>3530-I</t>
  </si>
  <si>
    <t>Niaz Ali s/o Sher Bahadur</t>
  </si>
  <si>
    <t>Sher Bahadur, r/o Inayat Killay, Pathak, Bisimillah Petrol Pump, Tehsil &amp; District Bajour. (Mobile No. 0301-5101414)</t>
  </si>
  <si>
    <t>FIR No.270 dt.02/4/2015 u/s 365 PPC PS/Aabpara,Islamabad</t>
  </si>
  <si>
    <t>3531-I</t>
  </si>
  <si>
    <t>Muhammad Rashid Kamal s/o Muhammad Ilyas</t>
  </si>
  <si>
    <t>Ms. Nikhat Ehsan, r/o House No.497/A, College Road, Khanewal. (Mobile No. 0300-8399707 &amp; 0336-6339195)</t>
  </si>
  <si>
    <t>FIR No.273 dt.07/9/2016 u/s 365 PPC PS/Golra,Islamabad</t>
  </si>
  <si>
    <t>Traced Person. According to letter received from Nighat Ehsan, Sister of Rashid Kamal, he has returned home at Multan on 22/08/2018. IO of the case is present. He has also affirmed that Rashid Kamal has returned to home.</t>
  </si>
  <si>
    <t>3532-S</t>
  </si>
  <si>
    <t>Hazoor Bux Kalwar s/o Gul Muhammad</t>
  </si>
  <si>
    <t>Mst. Nighat Seema, r/o143/F, Block No. 02, PECHS, Kashmir Road, Karachi. (Mobile No. 0331-2168700)</t>
  </si>
  <si>
    <t>Returned to Home and available at 143/F, Block No. 02, PECHS, Kashmir Road, Karachi.</t>
  </si>
  <si>
    <t>3533-K</t>
  </si>
  <si>
    <t>HRC No. 9882-S--2016--HRC</t>
  </si>
  <si>
    <t>Sarfaraz Khan s/o Sanober</t>
  </si>
  <si>
    <t>Mst. Bakht Zeba, r/o Pir Aman Qila, Ingaro Dherai, Tehsil Babuzai, District Swat. (Mobile No. 0345-3470885)</t>
  </si>
  <si>
    <t>FIR No.608 dt.31/8/2016 u/s 365 PPC,PS/Rahimabad District Swat</t>
  </si>
  <si>
    <t>Traced Person. It has been intimated at the hearing on 30/10/2018 that Safraz Khan has been traced. He is presently confined in the Internment Center Paithom. Family members of Safraz Khan shall be facilitated to see him in the Internment Center as per rules and procedures.</t>
  </si>
  <si>
    <t>3534-P</t>
  </si>
  <si>
    <t>HRC No. 3534-P--2016--HRC</t>
  </si>
  <si>
    <t>Kamran Waheed s/o Abdul Waheed</t>
  </si>
  <si>
    <t>Mst. Fiaza Kamran, r/o House no. 91, Saeed Block, Canal bank Housing Scheme, Harbanspura, Lahore.</t>
  </si>
  <si>
    <t>Traced Person. Arrested by CTD, Lahore in a case registered against him. Later he returned to his as per report of SP (Cantt) Lahore.</t>
  </si>
  <si>
    <t>3535-S</t>
  </si>
  <si>
    <t>HRC No. 14498-P--2016--HRC</t>
  </si>
  <si>
    <t>Muhammad Ajmal s/o Afzal Haq</t>
  </si>
  <si>
    <t>Mst. Tasneed Kausar, r/o Chak No. 301/G.B, Tehsil &amp; District Toba Tek Sing. (Mobile No. 0.333-8361525)</t>
  </si>
  <si>
    <t>Closed (Due to other reasons)</t>
  </si>
  <si>
    <t>3536-P</t>
  </si>
  <si>
    <t>Syed Farhan Nabi s/o Syed Suleman Nabi</t>
  </si>
  <si>
    <t>Mst.Uroos Fatima, r/o House No. 394, Street No. 15, Chakala Scheme No. III, Rawalpindi. (Mobile No. 0340-4849469)</t>
  </si>
  <si>
    <t>FIR No.751 dt.07/9/2016 u/s 365 PPC,PS/Airport, Rawalpindi.</t>
  </si>
  <si>
    <t>Traced Person. Syed Farhan Nabi has been traced. He has returned home. IO/SI appeared before the Commission on 10.1.2020, whose statement has been recorded on oath. He has deposed that Syed Farhan Nabi has returned home and in this connection his father Syed Suleman Nabi has furnished affidavit.</t>
  </si>
  <si>
    <t>3537-F</t>
  </si>
  <si>
    <t>Rooh Ullah s/o Muhammad Zaman Khan</t>
  </si>
  <si>
    <t>Muhammad Ali, r/o Khairabad , P.O Nawagai, Tehsil &amp; District Bajor Agency. (Mobile No.0305-9634160)</t>
  </si>
  <si>
    <t>Traced Person. APA Bajaur informed at the hearing on 19.4.17 that Rooh Ullah has been sentenced 03 months RI and sent to Central Jail, Haripur.</t>
  </si>
  <si>
    <t>3538-P</t>
  </si>
  <si>
    <t>Elahi Bux s/o Muhammad Bux</t>
  </si>
  <si>
    <t>Muhammad Bux, r/o Jattan Wali Meran, Tehsil &amp; District Dera Ismail Khan. (Mobile No. 0332-6728995)</t>
  </si>
  <si>
    <t>Traced Person. Appeared before the Commission on 23.11.16. Stated that he was abducted by a few unknown persons.</t>
  </si>
  <si>
    <t>3539-P</t>
  </si>
  <si>
    <t>Ubaid Ullah s/o Ghulam Farid</t>
  </si>
  <si>
    <t>Ahmed Rehman, r/o Tibbi Qaisrani, Tonsa Sharif, Dera Ghazi Khan. (Mobile No. 0332-6728995)</t>
  </si>
  <si>
    <t>FIR No.322 dt.21/9/2016 u/s 365 PPC,PS/Qadirpur Rawan,District Multan.</t>
  </si>
  <si>
    <t>3540-P</t>
  </si>
  <si>
    <t>Muhammad Niaz s/o Hafiz Sher Khan</t>
  </si>
  <si>
    <t>Muhammad Ijaz, r/o P.O Dhok Musahib, Tehsil Talagang, District Chakawal. (Mobile No. 0306-5519130)</t>
  </si>
  <si>
    <t>Traced Person. Confined in District Jail, Sargodha in a case registered against him vide FIR No. 49/16 dated 24.7.16 u/s 4/5 ESA, 7-ATA PS CTD, Faisalabad.</t>
  </si>
  <si>
    <t>3541-I</t>
  </si>
  <si>
    <t>Imran s/o Pervaiz</t>
  </si>
  <si>
    <t>Mst. Bushara, r/o Ameer Shah Houses Thelan Saeedan, Chungi No. 26, Islamabad. (Mobile No. 0345-1514046)</t>
  </si>
  <si>
    <t>FIR No.265 dt.26/8/2016 u/s 365 PPC PS/Golra,Islamabad</t>
  </si>
  <si>
    <t>Deleted. Not a case of enforced disappearances as the Missing Person being Mentally ill leaves his home off and on.</t>
  </si>
  <si>
    <t>3542-S</t>
  </si>
  <si>
    <t>Asghar Khan s/o Afzal Khan</t>
  </si>
  <si>
    <t>Ameen Khan, r/o House No. 190, Sector no. B-1, Street No. 11, Mangopir Road, Karachi. (Mobile No. 0346-2645718)</t>
  </si>
  <si>
    <t>3543-P</t>
  </si>
  <si>
    <t>Muhammad Amir Khan s/o Muhammad Razzaq Khan</t>
  </si>
  <si>
    <t>Mst.Hina Iqbal, r/o House No. P-103, Street No. 07, Phase No. 05, Near Car Chowk, Gulraiz Houseing Society Rawalpindi.(Mobile No.0345-5056248)</t>
  </si>
  <si>
    <t>FIR No.945 dt.08/11/2016 u/s 365 PPC PS/Airport,Rawalpindi.</t>
  </si>
  <si>
    <t>Traced Person. Syed Manzar Abbasi SI/IO of the case appeared before the Commission on 1.10.2019 and submitted that Muhammad Amir Khan s/o Muhamamd Razzaq Khan is undergoing sentence awarded by FGCM and he is presently detained in Adiala Jail. I.O produced statement of traced person Muhammad Amir Khan, which is placed on record.</t>
  </si>
  <si>
    <t>3544-P</t>
  </si>
  <si>
    <t>Shoaib Ishaq s/o Muhammad Ishaq</t>
  </si>
  <si>
    <t>Muhammad Ishaq, r/o Chak No. 226, Malkhanwala, Faisalabad. (Mobile No. 0300-65777861)</t>
  </si>
  <si>
    <t>FIR No.641 dt.19/9/2016 u/s 365 PPC PS/Samanabad,Faisalabad.</t>
  </si>
  <si>
    <t>Under Investigation (Punjab) Faislabad</t>
  </si>
  <si>
    <t>3545-K</t>
  </si>
  <si>
    <t>Fazal Rehman s/o Aziz-ur-Rehman</t>
  </si>
  <si>
    <t>Aziz-ur-Rehman, r/o Khumar Khel, Khwaja Road, Colonel Sher Khan Killi, Tehsil &amp; District Swabi. (Mobile No. 0311-4338538)</t>
  </si>
  <si>
    <t>FIR No.1154 dt.29/10/2016 u/s 365 PPC PS/Swabi District Swabi.</t>
  </si>
  <si>
    <t>3546-K</t>
  </si>
  <si>
    <t>Janat Karim s/o Gul Karim</t>
  </si>
  <si>
    <t>Gul Karim, r/o Jadid Banda, Tora Wara, District Hangu. (Mobile No. 0307-8432297)</t>
  </si>
  <si>
    <t>Traced Person. Confined in Internment Center Kohat as per report submitted by DC (Pol/Dev) Kohat, MI also confirmed</t>
  </si>
  <si>
    <t>3547-S</t>
  </si>
  <si>
    <t>Bacha Gul s/o Ameer Zada</t>
  </si>
  <si>
    <t>Haji Gul, r/o Mangopir Road, Mohallah Sher Khan Abad, Frointer Colony, Tehsil &amp; District Karachi. (Mobile No. 0345-4125555 &amp; 0300-6421487)</t>
  </si>
  <si>
    <t>FIR No.369/2016 u/s 365/34 PPC,PS/Peerabad, District West,Karachi.</t>
  </si>
  <si>
    <t>3548-S</t>
  </si>
  <si>
    <t>Bakhat Munir Khan s/o Qamar Khan</t>
  </si>
  <si>
    <t>Mst. Jameela Munir, r/o House No. B-44, Mohallah Iqbal Goth, Kanwari Colony, Mangopir, Karachi. (Mobile No. 0306-2205106 &amp; 0348-1354484 &amp; 0333-2227615)</t>
  </si>
  <si>
    <t>FIR No.317 dt.5/10/2016 u/s 365/34 PPC,PS/Manghopir,District District West,Karachi.</t>
  </si>
  <si>
    <t>3549-S</t>
  </si>
  <si>
    <t>Fazal Rehman s/o Fazal Malik</t>
  </si>
  <si>
    <t>Fazal Mehmood, r/o House no. 235, Hazarwai Mohallah, Bismillah Colony, Sector No. 10, Orangi Town, Karachi. (Mobile No. 0315-8041492)</t>
  </si>
  <si>
    <t>Inspector Zahid, submitted that Missing Person was Killed during an encounter with CTD)</t>
  </si>
  <si>
    <t>3550-P</t>
  </si>
  <si>
    <t>Hafeez-ur-Rehman s/o Muhammad Sajad-ur-Rehman</t>
  </si>
  <si>
    <t>Mst. Safia Yasmeen, r/o Khurah, P.O Khass, Tehsil &amp; District Khushab. (Mobile No. 0332-7737586)</t>
  </si>
  <si>
    <t>TracedPerson. Confined in Kot Lakhpat Jail, Lahore as intimated by the complainat at the hearing on 31.10.2016.</t>
  </si>
  <si>
    <t>3551-P</t>
  </si>
  <si>
    <t>Mukhtar Ahmed s/o Hafiz Noor Muhammad</t>
  </si>
  <si>
    <t>FIR No.246 dt.26/10/2016 u/s 365 PPC,PS/Harnoli,District Mianwali.</t>
  </si>
  <si>
    <t>Traced Person. Mukhtar Ahmed has been traced. He is presently confined in the Internment Center Fort Salop as per report of MI. Family members allowed to see him in the Center.</t>
  </si>
  <si>
    <t>3552-P</t>
  </si>
  <si>
    <t>Musanna Mukhtar s/o Mukhtar Ahmed</t>
  </si>
  <si>
    <t>Under Investigation (Punjab) Mianwali</t>
  </si>
  <si>
    <t>3553-P</t>
  </si>
  <si>
    <t>Muhammad Asif Moavia s/o Hafiz Ghulam Fareed</t>
  </si>
  <si>
    <t>Mst. Meera Mai, r/o Galgala, P.O Nari South, Tehsil Tonsa Sharif, District, Dera Ghazi Khan. (Mobile No. 0347-9499423)</t>
  </si>
  <si>
    <t>FIR No.674 dt.28/9/2016 u/s 365 PPC, PS/Baha-ud-Din Zakariya,Multan.</t>
  </si>
  <si>
    <t>Returned to Home and available at (Galgala, P.O Nari South, Tehsil Tonsa Sharif, District, Dera Ghazi Khan)</t>
  </si>
  <si>
    <t>3554-P</t>
  </si>
  <si>
    <t>Muhammad Zubair s/o s/o Hafiz Ghulam Fareed</t>
  </si>
  <si>
    <t>Traced Person. Muhammad Zubair has been traced. Muhammad Tahir b/o Muhammad Zubair entered appearance before the Commission on 08/05/2018 affirmed that Muhammad Zubair has returned home.</t>
  </si>
  <si>
    <t>3555-P</t>
  </si>
  <si>
    <t>Tariq s/o Jahangir</t>
  </si>
  <si>
    <t>Mst. Jewera Mai, r/o Dagar, Tehsil &amp; District Bakhar. (Mobile No. 0344-9124015)</t>
  </si>
  <si>
    <t>FIR No.310 dt.16/8/2016 u/s 365 PPC, PS/City,Bhakkar.</t>
  </si>
  <si>
    <t>Traced Person. Ghulam Abbas Uncle of Missing Person Submitted that Tariq is presently confined in District Jail Gujranwala in case FIR No. 17/17 u/s 3/5 ESA r/w 7-ATA, PS City, Gujranwala as informed at the hearing on 25.8.2017.</t>
  </si>
  <si>
    <t>Bakhar</t>
  </si>
  <si>
    <t>3556-P</t>
  </si>
  <si>
    <t>Haris Bin Altaf s/o Altaf Hussain</t>
  </si>
  <si>
    <t>Raja tarab Alam Mukhtar, r/o House No. 786/B, B-III, Hajveri Street, Khurram Colony, Muslim Town, Rawalpindi. (Mobile No. 0313-5260599)</t>
  </si>
  <si>
    <t>FIR No.74 dt.09/9/2016 u/s 365 PPC, PS/Kotli Sattian District Rawalpindi</t>
  </si>
  <si>
    <t>Traced Person. Dead body handed over to legal heirs as confirmed by his father at the hearing on 3.11.2016. Case u/s 302 PPC has been registered.</t>
  </si>
  <si>
    <t>3557-S</t>
  </si>
  <si>
    <t>Fiazan Hassan s/o Gul Hassan</t>
  </si>
  <si>
    <t>r/o, House No. MC- 1001, Grteen Town, Shah Faisal Colony, Karachi.</t>
  </si>
  <si>
    <t>Traced Person. Returned to Home and available at ( House No. MC- 1001, Grteen Town, Shah Faisal Colony, Karachi.)</t>
  </si>
  <si>
    <t>3558-S</t>
  </si>
  <si>
    <t>Abdul Naeem s/o Abdul Gahaffar</t>
  </si>
  <si>
    <t>r/o, House No. D-79, Musarat Colony, Malir City, Karachi.</t>
  </si>
  <si>
    <t>Traced Person. Returned to Home and available at (House No. D-79, Musarat Colony, Malir City, Karachi.)</t>
  </si>
  <si>
    <t>3559-S</t>
  </si>
  <si>
    <t>Abdul Qayyum s/o Abdul Ghaffar</t>
  </si>
  <si>
    <t>3560-S</t>
  </si>
  <si>
    <t>Ghulam Sarwar s/o ghulam Rasool</t>
  </si>
  <si>
    <t>r/o, House No. D-201, Muskrat Colony, Malir City, Karachi.</t>
  </si>
  <si>
    <t>3561-S</t>
  </si>
  <si>
    <t>Junaid Qureshi s/o Mehmood Qureshi</t>
  </si>
  <si>
    <t>r/o, House No. FBG-1/27, Muskarat Colony, Karachi.</t>
  </si>
  <si>
    <t>3562-S</t>
  </si>
  <si>
    <t>Ahtesham Ahmed s/o Zameer Ahmed</t>
  </si>
  <si>
    <t>r/o, House No. 1/332, Rehman Masjid, Liaquatabad No. 01, Karachi.</t>
  </si>
  <si>
    <t>Traced Person. Returned to Home and available at (House No. 1/332, Rehman Masjid, Liquatabad No. 01, Karachi)</t>
  </si>
  <si>
    <t>3563-S</t>
  </si>
  <si>
    <t>Mirza Azhar Baig s/o Mirza Haneef Baig</t>
  </si>
  <si>
    <t>r/o, House no. 404,51-B, Korangi, Karachi.</t>
  </si>
  <si>
    <t>Traced Person. Returned to Home and available at (House no. 404,51-B, Korangi, Karachi..)</t>
  </si>
  <si>
    <t>3564-S</t>
  </si>
  <si>
    <t>Taufeeq Ahmed s/o Rafiq Ahmed</t>
  </si>
  <si>
    <t>r/o, House No. 07, Second Floor, KL, Building, Garden, Karachi</t>
  </si>
  <si>
    <t>3565-S</t>
  </si>
  <si>
    <t>Syed Muhammad Mazhar s/o Syed Shakeel Ahmed</t>
  </si>
  <si>
    <t>r/o, House No. R-1154, Block No. 18, Samanabad, Federal B, Area, Karachi.</t>
  </si>
  <si>
    <t>Traced Person. Returned to Home and available at (House No. R-1154, Block No. 18, Samanabad, Federal B, Area, Karachi.)</t>
  </si>
  <si>
    <t>3566-S</t>
  </si>
  <si>
    <t>Muhammad Sheraz s/o Muhammad Sajid</t>
  </si>
  <si>
    <t>r/o, House No. 83, Sector No. 34, Korangi, Karachi.</t>
  </si>
  <si>
    <t>3567-S</t>
  </si>
  <si>
    <t>Sheraz Qureshi s/o Ayaz Qureshi</t>
  </si>
  <si>
    <t>r/o, Falak Naz Appartments, Shahra Faisal, Karachi.</t>
  </si>
  <si>
    <t>Deleted. Due to incomplete address not possible to proceed.</t>
  </si>
  <si>
    <t>3568-S</t>
  </si>
  <si>
    <t>Subhan Sheikh s/o Badshah Sheikh</t>
  </si>
  <si>
    <t>r/o, House no. 801, Sector No. 34/2, Korangi No. 03, Karachi.</t>
  </si>
  <si>
    <t>3569-F</t>
  </si>
  <si>
    <t>Nazir Hussain s/o Sardar Hussain</t>
  </si>
  <si>
    <t>Sardar Hussain, r/o Koki Khel, Ibrahim Khel, Shah Kas, P.O, Jamrood. (Mobile No. 0313-9563407 &amp; 0308-8036713)</t>
  </si>
  <si>
    <t>Traced Person. Nazir Hussain has been traced. He is presently confined in political havalat under control of DC Khyber. Sardar Hussain f/o Nazir Hussain is present. His statement has been recorded on oath. According to his statement, he has already met his son on various occasions in the political havalat.</t>
  </si>
  <si>
    <t>3570-K</t>
  </si>
  <si>
    <t>Muhammad Jameel s/o Rokhan</t>
  </si>
  <si>
    <t>Izzat Khan, r/o P.O, Warsak Colony, District, Peshawar. (Mobile No. 0314-9117355 &amp; 0343-9710663)</t>
  </si>
  <si>
    <t>Traced Person. Rep of MI. Submitted report that Missing Person Muhammad Jameel is presently confined in Internment Center Lakki Marwat. Action (in aid of Civil Power) Regulation 2011. Family Members have been allowed to meet him.</t>
  </si>
  <si>
    <t>3571-K</t>
  </si>
  <si>
    <t>Jameel Khan s/o Zameer Khan</t>
  </si>
  <si>
    <t>Mst. Gul Akhera, r/o Angoor Kot, P.O Zareef Kor, Tehsil &amp; District Charsadda. (Mobile No. 0323-9517059)</t>
  </si>
  <si>
    <t>Traced Person. Confined in the Internment Center, Lakki Marwat as informed by Rep of MI at the hearing on 7.11.2016.</t>
  </si>
  <si>
    <t>3572-K</t>
  </si>
  <si>
    <t>Ibrar Khan s/o Ismaeel Khan</t>
  </si>
  <si>
    <t>Ibrahim Khan, r/o, Angoor Kor, P.O, Zareef Kor, Tehsil &amp; District Peshawar. (Mobile No. 0342-3358087 &amp; 0344-5303654)</t>
  </si>
  <si>
    <t>Traced Person. Confined in District Jail, Kohat as informed by Rep of MI at the hearing on 7.11.2016. Father facilitated to see him.</t>
  </si>
  <si>
    <t>3573-K</t>
  </si>
  <si>
    <t>Wajid Rehman s/o Sher Khan</t>
  </si>
  <si>
    <t>Khalid Rehman, r/o Jhandi Dar Sumandar, Tehsil &amp; District Hangu. (Mobile No. 0306-9536236)</t>
  </si>
  <si>
    <t>FIR No.502 dt.06/9/2016 u/s 365 PPC PS/Doaba,District Hangu.</t>
  </si>
  <si>
    <t>3574-P</t>
  </si>
  <si>
    <t>Malik Wahab Saqib s/o Sobedar Major Sher Muhammad</t>
  </si>
  <si>
    <t>Mst. Sarwar Khatoon, r/o House No. B-355, Street No. 07, Farooq Colony, Sargodha. (Mobile No. 0322-2995691)</t>
  </si>
  <si>
    <t>FIR No.1562 dt.9/11/2016 u/s 365 PPC PS/Nawab town,Lahore.</t>
  </si>
  <si>
    <t>Traced Person. Mother of Malik Wahab confirmed at the hearing on 7.4.17 that her son has returned to home.</t>
  </si>
  <si>
    <t>3575-P</t>
  </si>
  <si>
    <t>Syed Mudassar Gilani s/o Amjad Hussain</t>
  </si>
  <si>
    <t>Shahid Amjad, r/o House No. 29/C, Street No. 02, Rachana Town, Feroz Wala, Shadara Town, Lahore. (Mobile No. 0300-4454686)</t>
  </si>
  <si>
    <t>FIR No.944 dt.19/9/2016 u/s 365 PPC PS/Shahdara Town, District Lahore..</t>
  </si>
  <si>
    <t>Traced Person. Returned to Home and available at (House No. 29/C, Street No. 02, Rachana Town, Feroz Wala, Shadara Town, Lahore. Appeared before the Commission on 26.10.2016.</t>
  </si>
  <si>
    <t>3576-K</t>
  </si>
  <si>
    <t>Hadyat Shah s/o Khatab-ud-Din</t>
  </si>
  <si>
    <t>Sami-ud-Din, r/o Sarkeeh Marzoi, Tehsil Shabaqadar, District, Charsadda. (Mobile No. 0341-2253245 &amp; 0333-2253245)</t>
  </si>
  <si>
    <t>FIR No.262 dt.30/9/2016 u/s 365 PPC PS/Batgram District Charsadda.</t>
  </si>
  <si>
    <t>3577-F</t>
  </si>
  <si>
    <t>Raheem Gul s/o Ameen Gul</t>
  </si>
  <si>
    <t>Ameen Gul, r/o Khoga Khel, Mohallah Ashraf Khel, Landi Kotal, Tehsil &amp; District Khyber Agency. (Mobile No. 0302-5940675 &amp; 0306-3509191)</t>
  </si>
  <si>
    <t>21203-5469774-1</t>
  </si>
  <si>
    <t>3578-I</t>
  </si>
  <si>
    <t>Saleem Ullah s/o Rehmat Shah</t>
  </si>
  <si>
    <t>Farrman Ullah, r/o Chair Gali, P.O Sarwaki, Tehsil Sarwaki District South Waziristan. (Mobile No. 0300-0730852 &amp; 0345-8480183)</t>
  </si>
  <si>
    <t>FIR No.288 dt.18/9/2016 u/s 365 PPC,PS/Tarnol, Islamabad.</t>
  </si>
  <si>
    <t>Traced Person. Saleem Ullah has reportedly been killed in encounter by CTD, Multan. Family members informed accordingly case is being referred by Secretary/ Cabinet &amp; Secretary Punjab for further action.</t>
  </si>
  <si>
    <t>3579-K</t>
  </si>
  <si>
    <t>Shafi Ullah s/o Lal Zadi</t>
  </si>
  <si>
    <t>Jandad Khan, r/o Nasir Bagh, Road Canal Town, Street No. 6-B, Near Masjid Kousar, Peshawar. (Mobile No. 0310-2676050 &amp; 0312-9337745)</t>
  </si>
  <si>
    <t>FIR No.872 dt.18/9/2016 u/s 365 PPC,PS/MRS,Kohat</t>
  </si>
  <si>
    <t>Traced Person. Confined in the Internment Center, Kohat as informed at the hearing on 5.12.16 by Rep of MI.</t>
  </si>
  <si>
    <t>3580-P</t>
  </si>
  <si>
    <t>Shoaib Latif s/o Muhammad Latif</t>
  </si>
  <si>
    <t>Muhammad Latif, r/o Rabani Colony, Street No. 06, House No. P-70, Faisalabad City. (Mobile No. 0302-7085664 &amp; 0300-7988746)</t>
  </si>
  <si>
    <t>Traced Person. Arrested by Police and produced before Judge ATC Faisalabad as informed at the hearing on 4.10.2016.</t>
  </si>
  <si>
    <t>3581-S</t>
  </si>
  <si>
    <t>Abdul Wahab Shaikh s/o Mohammad Farooq Shaikh</t>
  </si>
  <si>
    <t>Mohammad Farooq Shaikh, r/o A-326, Block-D, North Nazimabad, Karachi. (Mobile No. 0315-8595975)</t>
  </si>
  <si>
    <t>FIR No.158 dt.5/9/2016 u/s 365/34 PPC PS/North Nazimabad,District Central Karachi.</t>
  </si>
  <si>
    <t>Deleted. Missing Person is involved in Criminal Case FIR was lodged at Gujranawala as informed by DIG (Inv) Karachi at the hearing on 2.5.2017.</t>
  </si>
  <si>
    <t>3582-P</t>
  </si>
  <si>
    <t>Hafiz Rehman Zaid s/o Abdul Rasheed Bilal</t>
  </si>
  <si>
    <t>Asad Rehman Tallah, r/o Mohallah Madrassa Islamia, Tehsil &amp; District Muzaffargarh. (Mobile No. 0300-0429153)</t>
  </si>
  <si>
    <t>FIR No.530 dt.20/11/2016 u/s 365 PPC PS/Civil Lines,District Muzaffargarh</t>
  </si>
  <si>
    <t>Under Investigation (Punjab) Muzaffargarh</t>
  </si>
  <si>
    <t>3583-P</t>
  </si>
  <si>
    <t>Liaquat Ali s/o Muhammad Ali</t>
  </si>
  <si>
    <t>Muhammad Ali, r/o Lang Malana, Cha Bhora Wala, Tehsil &amp; District Muzaffargarh. (Mobile No. 0302-3729795)</t>
  </si>
  <si>
    <t>3584-P</t>
  </si>
  <si>
    <t>Abdul Rasheed Bilal s/o Noor Ahmed</t>
  </si>
  <si>
    <t>3585-P</t>
  </si>
  <si>
    <t>Tasaduq Hussain s/o Ashique Hussain</t>
  </si>
  <si>
    <t>Ashique Hussain, r/o House No. 272, Mohallah Quiad-e-Azam Colony, Lane No. 6-B, Dhamial Camp, Chakari Road. (Mobile No. 0300-8302881 &amp; 0300-3223701)</t>
  </si>
  <si>
    <t>FIR No.588 dt.10/9/2016 u/s 365 PPC,PS/Saddar Bairooni, Rawalpindi.</t>
  </si>
  <si>
    <t>Traced Person. Returned to home as confirmed by his father, who appeared at the hearing on 8.12.2016 before the Commission.</t>
  </si>
  <si>
    <t>3586-I</t>
  </si>
  <si>
    <t>Muhammad Anwar Khan s/o Majrab Khan</t>
  </si>
  <si>
    <t>Arif Ullah, r/o Mohallah Toheedabad, Near Minhaj Atwan, Street Shakir Puri, Bahara Kho, Islamabad (Mobile No. 0310-1511850 &amp; 0345-1511850)</t>
  </si>
  <si>
    <t>FIR No.372 dt.08/10/2016 u/s 365 PPC,PS/Bhara Kahu,Islamabad.</t>
  </si>
  <si>
    <t>Traced Person. SP (Inv), Islamabad, submitted report that Muhammad Anwar Khan has Returned to Home and available at his given address. Confrmed by his brother Arifullah at the hearing on 13.9.2017.</t>
  </si>
  <si>
    <t>3587-K</t>
  </si>
  <si>
    <t>Abdul Wahab s/o Haji Dawa Jan</t>
  </si>
  <si>
    <t>Dawa Jan, r/o Khawzari, Mazrani, Tehsiul Ghalnai Upper Mohmand Agency. (Mobile No. 0346-4589270 &amp; 0302-8186560)</t>
  </si>
  <si>
    <t>FIR No.489 dt.12/10/2016 u/s 365 PPC,PS/Umerzai,District Charsadda.</t>
  </si>
  <si>
    <t>Deleted. JIT and PTF conclude that the Missing Person had gone on hi own. There was no eye witness of the abduction. Brother of the Missing Person also appeared and stated that there was no allegation against any LEA or Security Agencies. All stakeholders have denied his arrest / custody o. Hence, the case does not fall within the ambit of enforced disappearance.</t>
  </si>
  <si>
    <t>3588-K</t>
  </si>
  <si>
    <t>Muhammad Kashif s/o Maroof Afzal</t>
  </si>
  <si>
    <t>Mst. Naseema Bibi, r/o Rasian, Tehsil &amp; District Hangu. (Mobile No. 0334-5336116)</t>
  </si>
  <si>
    <t>14101-3082033-9</t>
  </si>
  <si>
    <t>FIR No.875 dt.07/10/2016 u/s 365 PPC,PS/City,District Hangu..</t>
  </si>
  <si>
    <t>3589-I</t>
  </si>
  <si>
    <t>Qari Sher Afzal Khan s/o Sher Zaman</t>
  </si>
  <si>
    <t>Sarfraz Khan, r/o Village Kajla, P.O Panu Darband, Tehsil Ogi, District Manshera. (Mobile No. 0346-7854835)</t>
  </si>
  <si>
    <t>FIR No.410 dt.03/11/2016 u/s 365 PPC,PS/Industrial Area,Islamabad.</t>
  </si>
  <si>
    <t>Traced Person. DSP CIA informed at the hearing on 7.11.16 that case registered against him vide FIR No: 35 dated 26.10.16 u/s 788 CrPC PS CTD, Rawalpindi. Confined in Adyala Jail.</t>
  </si>
  <si>
    <t>3590-B</t>
  </si>
  <si>
    <t>Wakeel s/o Haji Nazar</t>
  </si>
  <si>
    <t>Muhammad Nadeem, r/o Kuli Haji Nazar, Gardi Jungle, District Chaghai, Balochistan. (Mobile No. 0346-2417721)</t>
  </si>
  <si>
    <t>Returned to Home and available at (Kuli Haji Nazar, Gardi Jungle, District Chaghai, Balochistan)</t>
  </si>
  <si>
    <t>3591-F</t>
  </si>
  <si>
    <t>Fazal Subhan s/o Qazi Habib Ghulam</t>
  </si>
  <si>
    <t>Zohaib Khan, r/o Nawagi, Bajour Agency, Gudi Khel, Qaziabad. (Mobile No. 0303-9033600)</t>
  </si>
  <si>
    <t>21105-5933354-1</t>
  </si>
  <si>
    <t>3592-K</t>
  </si>
  <si>
    <t>Shakirullah s/o Azizullah</t>
  </si>
  <si>
    <t>Mst. Jamila Begum, r/o Village Maloch, P.O Hazara, Tehsil Kabal District Swat. (Mobile No. 0342-0954410)</t>
  </si>
  <si>
    <t>Under Investigation (KP Mardan)</t>
  </si>
  <si>
    <t>3593-P</t>
  </si>
  <si>
    <t>Adeel Naeem Naqi s/o Syed Naeem Naqi</t>
  </si>
  <si>
    <t>Naeem Naqi, r/o CEO, PPA, 57, Mazang Road, Lahore. (Mobile No. 0333-4387841 &amp; 0333-4571822)</t>
  </si>
  <si>
    <t>FIR No.27 dt.13/1/2016 u/s 365 PPC,PS/Civil Lines,Lahore.</t>
  </si>
  <si>
    <t>Traced Person. Returned to home as informed by SP (Inv) City Lahore at the hearing on 7.4.2017.</t>
  </si>
  <si>
    <t>Section officer (Judicial) KP</t>
  </si>
  <si>
    <t>3594-P</t>
  </si>
  <si>
    <t>Muhammad Akram s/o Muhammad Aslam</t>
  </si>
  <si>
    <t>Waseem Akram, r/o New Gulistan Colony, Wah Cantt, Texlia. (Mobile No. 0303-5359227)</t>
  </si>
  <si>
    <t>FIR No.448 dt.18/10/2016 u/s 365 PPC,PS/Race Course,Rawalpindi.</t>
  </si>
  <si>
    <t>Traced Person. Appeared before the Commission on 22.2.2017. Stated that he went to Karachi and no one abducted him.</t>
  </si>
  <si>
    <t>3595-K</t>
  </si>
  <si>
    <t>Muhammad Kamal s/o Ghulab Khan</t>
  </si>
  <si>
    <t>Ghulab Khan, r/o Umer Zai, Orkazai Agency, Ali Khel, Tehsil &amp; District Kohat. (Mobile No. 0333-9676877)</t>
  </si>
  <si>
    <t>FIR No.1457 dt.01/9/2016 u/s 365 PPC,PS/Pishtakhara, Peshawar.</t>
  </si>
  <si>
    <t>Traced Person. DSP (Inv), Peshawar, submitted report that Muhammad Kumal has Returned to Home and available at his house in Umer Zai, Orkazai Agency, Ali Khel, Tehsil &amp; District Kohat as informed by I.O of the case at the hearing on 20.9.2017.</t>
  </si>
  <si>
    <t>3596-P</t>
  </si>
  <si>
    <t>Muhammad Sadiq Khan s/o Wahid Bukhsh</t>
  </si>
  <si>
    <t>Muhammad Saif Ullah, r/o Basti Baloch Wala, Moza Muhammad Pur, P.O Wasandey Wali, Tehisl &amp; District Muzaffagarh. (Mobile No. 0301-7440564)</t>
  </si>
  <si>
    <t>FIR No.433 dt.12/11/2016 u/s 365 PPC,PS/Rohillanwali, District Muzaffargarh.</t>
  </si>
  <si>
    <t>3597-P</t>
  </si>
  <si>
    <t>Muhammad Waqas s/o Muhammad Sadiq Khan</t>
  </si>
  <si>
    <t>3598-P</t>
  </si>
  <si>
    <t>Muhammad Maaz s/o Muhammad Sadiq Khan</t>
  </si>
  <si>
    <t>Traced Person. Muhammad Maaz has been traced and entered appearance before the Commission on 10/05/2018. He could not give details regarding his abduction for obvious reasons.</t>
  </si>
  <si>
    <t>3599-P</t>
  </si>
  <si>
    <t>Abdullah Bin Masood s/o Masood Ahmed</t>
  </si>
  <si>
    <t>Sheikh Fazal Mehmood, r/o House no. 125, M-Block, Model Town Extension, Lahore. (Mobile No. 0300-5801946 &amp; 0300-8440625)</t>
  </si>
  <si>
    <t>FIR No.1079 dt.25/10/2016 u/s 365 PPC,PS/Faisal Town,Lahore.</t>
  </si>
  <si>
    <t>Traced Person. Returned to Home and available at House no. 125, M-Block, Model Town Extension, Lahore</t>
  </si>
  <si>
    <t>3600-K</t>
  </si>
  <si>
    <t>Saif Ullah Jan s/o Mosam Khan</t>
  </si>
  <si>
    <t>Rehmat ullah, r/o Village Kot Kat, P.O Gul Imam, Tehsil &amp; District Tank. (Mobile No. 0346-9495480)</t>
  </si>
  <si>
    <t>FIR No.182 dt.24/2/2016 u/s 365 PPC,PS/Shaheed Mureed Akbar District Tank.</t>
  </si>
  <si>
    <t>3601-S</t>
  </si>
  <si>
    <t>Muhammad Sadique s/o Nawal Khan</t>
  </si>
  <si>
    <t>Mohida Jana Bibi, r/o Iqbal Nagar, Kanwari Colony, Mangopir, Side, Karachi. (Mobile No. 0344-2453339 &amp; 0343-5350660)</t>
  </si>
  <si>
    <t>FIR No.574 dt.1/11/2011 u/s 365/34 PPC,PS/Peerabad, District West,Karachi.</t>
  </si>
  <si>
    <t>Traced Person. Returned to Home and available at (Iqbal Nagar, Kanwari Colony, Mangopir, Side, Karachi)</t>
  </si>
  <si>
    <t>3602-P</t>
  </si>
  <si>
    <t>Qandeel-ur-Rehman Malik s/o Muhammad Masood-ur-Rehman Malik</t>
  </si>
  <si>
    <t>Adeel, r/o Dhokh, Mustaqeem, Rawalpindi. (Mobile No. 0306-8884896 &amp; 0336-5383695)</t>
  </si>
  <si>
    <t>FIR No.520 dt.05/10/2016 u/s 365 PPC,PS/Naseerabad, Rawalpindi.</t>
  </si>
  <si>
    <t>Traced Person. Muhammad Masood-ur-Rehman Malik f/o missing person appeared before the Commission on 1.10.2019, whose statement has been recorded on oath. According to him Muhammad Qandeel-ur-Rehman has returned to home.</t>
  </si>
  <si>
    <t>3603-P</t>
  </si>
  <si>
    <t>Muhammad Asif s/o Muhammad Illyas</t>
  </si>
  <si>
    <t>Mst. Safora Bibi, r/o House No. 81, Umar Hayat Block, Khayban-e-Quaid, Near Itfaq Town, Mansora, Multan Road, Lahore. (Mobile No. 0342-4799363)</t>
  </si>
  <si>
    <t>3604-P</t>
  </si>
  <si>
    <t>Shahzad Ahmed s/o Muhammad Illyas</t>
  </si>
  <si>
    <t>Traced (Confined in Adyala Jail Rawalpindi in a case registered by CTD)</t>
  </si>
  <si>
    <t>3605-F</t>
  </si>
  <si>
    <t>Ismail Khan s/o Merbhan Shah</t>
  </si>
  <si>
    <t>Zahir Shah, r/o Karkhano Bazar, Near Pespsi Karkhana, Peshawar. (Mobile No. 0300-9022348 &amp; 0343-9094508)</t>
  </si>
  <si>
    <t>Traced Person. Confined in the Internment Centre, Ghalanai as informed by Rep of MI at the hearing on 18.4.2017.</t>
  </si>
  <si>
    <t>3606-F</t>
  </si>
  <si>
    <t>Waheed Ullah s/o Aziz Ullah Khan</t>
  </si>
  <si>
    <t>Khair Ullah, r/o Kamal Khel, Dak Qillah, P.O, Sando Khel, Tehsil Uper Mohmand, District Mohmand Agency. (Mobile No. 0306-9374795)</t>
  </si>
  <si>
    <t>Traced Person. Confined in the Internment Centre, Ghalanai as informed by Rep of MI at the hearing on 12.01.17..</t>
  </si>
  <si>
    <t>3607-K</t>
  </si>
  <si>
    <t>Huzaifa s/o Sabar Khan</t>
  </si>
  <si>
    <t>Zafar Khan, r/o Amre Kore, Sando Khel, P.O, Sando Khel, Tehsil Safi, District Mohmand Agency. (Mobile No. 0305-9107108)</t>
  </si>
  <si>
    <t>FIR No.654 dt.13/10/2016 u/s 365 PPC,PS/Zaida, District Rawalpindi.</t>
  </si>
  <si>
    <t>Deleted. Joint Investigation Team and Provincial Task Force concluded that the Missing Person has gone on his own. At the hearing held in this Commission on 24.4.2020, Zafar Khan (Complainant) appeared. He confirmed that he has not levelled any allegation against any of LEAs / Intelligence Agencies. Accordingly the case is not of enforced disappearance, hence closed.</t>
  </si>
  <si>
    <t>3608-S</t>
  </si>
  <si>
    <t>Abdul Rauf s/o Yousaf</t>
  </si>
  <si>
    <t>Ismail Khan, r/o Mohallah Saidu Sharif, Barah bandhi, Tehsil Kabal, District Swat. (Mobile No. 0336-9455343)</t>
  </si>
  <si>
    <t>FIR No.341 dt.3/11/2016 u/s 365 PPC,PS/Site-A, District West,Karachi.</t>
  </si>
  <si>
    <t>Traced Person. It was informed at the hearing held in this Commission on 9/7/2019 that Abdul Rauf is confined in Internment Center Char Bagh Army Camp, Swat. Family members have been allowed to meet him subject to prescribed procedure and all legal exceptions.</t>
  </si>
  <si>
    <t>3609-K</t>
  </si>
  <si>
    <t>Dawood Shah s/o Saif-ur-Rehman</t>
  </si>
  <si>
    <t>Asfand Yar, r/o Village Fazalabad, Madina Colony, Near Gujar Nagar, Tehsil Takht Bhai, District Mardan. (Mobile No. 0345-9114408 &amp; 0301-8188330)</t>
  </si>
  <si>
    <t>FIR No.102 dt.5/4/2017 u/s 365 PPC,PS/Khanmai, District Charsadda.</t>
  </si>
  <si>
    <t>Deleted. After investigation, JIT an PTF submitted conclusive reports that the Missing Person Dawood Shah had gone on his own. All stakeholders denied his arrest/ custody. The complainant Sair-ur-Rehman was called twice for recording his statement but he did not turn up. Apparently not a case of enforced disappearance. The case is closed.</t>
  </si>
  <si>
    <t>3610-K</t>
  </si>
  <si>
    <t>Shahid Anwar s/o Saeed Anwar</t>
  </si>
  <si>
    <t>Saeed Anwar, r/o Village Gojran Takkar, Tehsil Takht Bahi, District Mardan. (Mobile No. 0311-3707042 &amp; 0344-8131611)</t>
  </si>
  <si>
    <t>FIR No.491 dt.10/10/2016 u/s 365 PPC PPC,PS/Sheikh Maltoon, District Mardan.</t>
  </si>
  <si>
    <t>3611-P</t>
  </si>
  <si>
    <t>Niaz Bibi d/o Allah Bachaya</t>
  </si>
  <si>
    <t>Mst. Bachal Mai, r/o Kotla, Sultan Ahmed, P.O Khas, Tehsil Ahmed Pur Sharquia, Bahawal Pur. (Mobile No. 0306-0775466)</t>
  </si>
  <si>
    <t>FIR No.92 dt.02/7/2014 u/s 496(A) PPC PPC,PS/Saddar,Ahmedpur,East, District Bahawalpur.</t>
  </si>
  <si>
    <t>Deleted. Not a case of enforced disappearances as a specific allegation leveled against individuals.</t>
  </si>
  <si>
    <t>3612-K</t>
  </si>
  <si>
    <t>Haji Lal Muhammad s/o Sardar Khan</t>
  </si>
  <si>
    <t>Mst Najia Bibi, r/o House No. 369, Street No. 06, Sector No. F5, Phase- 6, Hayatabad, Peswhawar (Mobile No. 0303-9025913)</t>
  </si>
  <si>
    <t>FIR No.2007 dt.21/10/2016 u/s 365 PPC PPC,PS/Hayatabad, Peshawar.</t>
  </si>
  <si>
    <t>Traced Person. Missing Person Haji Lal Muhammad appeared before the Commission and recorded his statement that he was taken into custody and was set free after 26 months.</t>
  </si>
  <si>
    <t>3613-P</t>
  </si>
  <si>
    <t>Imran Javeed s/o Khursheed Ahmed Javeed</t>
  </si>
  <si>
    <t>Khursheed Ahmed Javeed, r/o House No. 640-N Sabaza Zar, Multan Road, Lahore. (Mobile No. 0334-5419848)</t>
  </si>
  <si>
    <t>FIR 657/16 dated 24.10.16 u/s 365 PPC PS, Qila Gujjar Singh, Lahore.</t>
  </si>
  <si>
    <t>Traced Person. Returned to Home and available at House No. 640-N Sabaza Zar, Multan Road, Lahore as confirmed by his father at the hearing held on 20.11.17.</t>
  </si>
  <si>
    <t>3614-K</t>
  </si>
  <si>
    <t>Muhammad Ismail s/o Muhammad Ashique Sabri</t>
  </si>
  <si>
    <t>Orangzaib, r/o House no. 62, Street No. 03, Near Mollana Light House, Lalazar Colony, Dehri Baghban, Kohat Road , Peshawar. (Mobile No. 0333-5119515, 0300-5850764 &amp; 0303-9351714)</t>
  </si>
  <si>
    <t>FIR No.1648 dt.8/11/2016 u/s 365 PPC,PS/Chamkani,Peshawar.</t>
  </si>
  <si>
    <t>Deleted. In the instant case JIT as well as PTF categorized the case as Missing Person has gone on his own. Aurangzeb (Complainant) also entered appearance before the Commission, whose statement was recorded on oath in which he deposed that he did not level allegation against any LEAs / Intelligence Agency. According, the case is closed.</t>
  </si>
  <si>
    <t>3615-K</t>
  </si>
  <si>
    <t>Muhammad Suleman s/o Muhammad Malik</t>
  </si>
  <si>
    <t>Mst. Palwasha Malik, r/o Mohallah Khwar Palwa, Tehsil Charbagh, District Swat. (Mobile No. 0346-9816558)</t>
  </si>
  <si>
    <t>FIR No.352 dt.21/10/2016 u/s 365 PPC,PS/Charbagh District Swat.</t>
  </si>
  <si>
    <t>3616-K</t>
  </si>
  <si>
    <t>Hakim Khan s/o Askar Khan</t>
  </si>
  <si>
    <t>Amir Nawaz, r/o Mohallah Manzur Abad, Village Duran Pure, Opposite O.P.F Colony, Bund Road, Peshawar. (Mobile No. 0344-9123044 &amp; 0306-5924066)</t>
  </si>
  <si>
    <t>FIR No.1294 dt.20/10/2016 u/s 365 PPC,PS/City, District Mardan.</t>
  </si>
  <si>
    <t>Traced Person. Sub Inspector, Mardan, submitted report at the hearing on 8.8.17 that Hakim Khan has Returned to Home and available at his given address in Peshawar.</t>
  </si>
  <si>
    <t>3617-K</t>
  </si>
  <si>
    <t>Hazrat Bilal s/o Sher Baz Khan</t>
  </si>
  <si>
    <t>Mst. Keshwara, r/o Mohallah Kass Sakhra, Tehsil Matta, District Swat. (Mobile No. 0340-9555033)</t>
  </si>
  <si>
    <t>FIR No.382 dt.21/10/2016 u/s 365 PPC,PS/Kalkot, District Swat.</t>
  </si>
  <si>
    <t>Traced Person. Appeared before the Commission on 25.10.17. Stated that no one abducted him, rather he went to Karachi at his own.</t>
  </si>
  <si>
    <t>3618-K</t>
  </si>
  <si>
    <t>Molvi Niamat Ullah s/o Mohib Ullah</t>
  </si>
  <si>
    <t>Sana Ullah, r/o Near Custom Sirband, P.O Bara, Tehsil &amp; District Peshawar. (Mobile No. 0345-9132491)</t>
  </si>
  <si>
    <t>FIR No.1048 dt.14/11/2016 u/s 365 PPC,PS/Sarband,District,Peshawar..</t>
  </si>
  <si>
    <t>Traced Person. SP (Inv) Peshawar and Rep of IB confirmed at the hearing on 10.5.17 that Malvi Niamat Ullah has returned to home.</t>
  </si>
  <si>
    <t>3619-K</t>
  </si>
  <si>
    <t>Arshad Khan s/o Inayat Ullah</t>
  </si>
  <si>
    <t>Inayat Ullah, r/o Sumandari Mela, Dara Adam Khel, Kohat. (Mobile No. 0307-5180390)</t>
  </si>
  <si>
    <t>FIR No.61dt.28/1/2015 u/s 365 PPC,PS/Boat Basin,District West,Karachi.</t>
  </si>
  <si>
    <t>Deleted. The statement of the complainant indicated that his son Arshad Khan was mentally retarred and had gone on his own to Balochistan and returned but once again disappeared, Hence JIT, PTF the Commission arrived at conclusion that the case does not fall within the ambit of enforced disappearance, hence closed.</t>
  </si>
  <si>
    <t>3620-F</t>
  </si>
  <si>
    <t>Abdul Latif s/o Fazal Gul</t>
  </si>
  <si>
    <t>Fazal Gul, r/o Sher Zai,Mirat Khel, Tehsil F.R Kurram Agency. (Mobile No. 0300-3660825 &amp; 0303-8765251)</t>
  </si>
  <si>
    <t>Traced Person. I.O submitted that at the hearing on 30.8.17 that Abdul Latif is Confined in Internment Center, Lakki Marwat under Action (in aid of Civil Regulation 2011)</t>
  </si>
  <si>
    <t>3621-P</t>
  </si>
  <si>
    <t>Waqas Farid Khan s/o Muhammad Farid Khan</t>
  </si>
  <si>
    <t>Muhammad Farid Khan, r/o House No. 26-D, Street No. 52, Sector No. G-6/4, Islamabad. (Mobile No. 0333-5581973)</t>
  </si>
  <si>
    <t>Traced Person. (Under Trial with CTD, Gujranwala) as informed at the hearing.</t>
  </si>
  <si>
    <t>3622-P</t>
  </si>
  <si>
    <t>Muhammad Asif Javed s/o Rasheed Ahmed</t>
  </si>
  <si>
    <t>Mst. Zehra Bibi, r/o House No. 355-E, Street No. 23, Gali No. 113, I-10/4, Islamabad. (Mobile No. 0303-4600517)</t>
  </si>
  <si>
    <t>Traced Person. Returned to home as informed at the hearing on 22.11.16 by DSP (Legal) Lahore.</t>
  </si>
  <si>
    <t>3623-P</t>
  </si>
  <si>
    <t>Sajid Javed s/o Rasheed Ahmed</t>
  </si>
  <si>
    <t>Traced Person. DSP (Legal) Lahore informed at the hearing on 3.4.17 that a case which vide FIR No. 105 dated 25.12.16 u/s 3/4 ESA, 7-ATA registered against Sajid Javed as confined in Central Jail, Bahawalpur.</t>
  </si>
  <si>
    <t>3624-P</t>
  </si>
  <si>
    <t>Tallah Rafique s/o Muhammad Rafique</t>
  </si>
  <si>
    <t>Mst. Sania Iqbal, House No. 23, Street No. 08, Block-E, Swan Garden, Islamabad. (Mobile No. 0336-6687261)</t>
  </si>
  <si>
    <t>FIR No.618 dt.26/10/2016 u/s 365 PPC,PS/Saddar,Wah, District Rawalpindi.</t>
  </si>
  <si>
    <t>Traced Person. SHO PS Saddar, Wah, Rawalpindi appeared for hearing before the Commission submitted that Tallah Rafique had returned home. As per progress report dated 28.6.2018 which was submitted by him. Foregoing in view, the case is closed.</t>
  </si>
  <si>
    <t>3625-I</t>
  </si>
  <si>
    <t>Naeem Haider s/o Muhammad Ashique</t>
  </si>
  <si>
    <t>Muhammad Ashique, r/o House No. 108, Street No. 03, Capital Home, Shamas Colony, Near Golra Mor, Islamabad. (Mobile No. 0311-51906736 &amp; 0321-5507891)</t>
  </si>
  <si>
    <t>FIR No.106 dt.02/10/2016 u/s 365 PPC,PS/Shamas Colony,Islamabad.</t>
  </si>
  <si>
    <t>Traced Person. Returned to CIA ICT stated at the hearing on 7.11.16 that Naeem Haider was reluctant to share details of abduction.</t>
  </si>
  <si>
    <t>3626-P</t>
  </si>
  <si>
    <t>Mumtaz Khan s/o Gulfraz Khan</t>
  </si>
  <si>
    <t>Bashir Khan, r/oMohallah Siraye Khola, Zahoor Market, Near Tablaghee Markaz, Texila. (Mobile No. 0301-2049400)</t>
  </si>
  <si>
    <t>Returned to Home and available at (Mohallah Siraye Khola, Zahoor Market, Near Tablaghee Markaz, Texila)</t>
  </si>
  <si>
    <t>3627-I</t>
  </si>
  <si>
    <t>Sarfaraz s/o Bagh Ali</t>
  </si>
  <si>
    <t>Bagh Ali, r/o House No. 2998, Street No. 44, Phase No-II, Sultana Foundation, Farash Town, Islamabad. (Mobile No. 0344-5987073)</t>
  </si>
  <si>
    <t>FIR No.74 dt.27/4/2016 u/s 365/34 PPC, PS/Shehzad Town,Islamabad.</t>
  </si>
  <si>
    <t>Deleted. Not a case of enforced disappearance, seems to be a case of dacoity/property.</t>
  </si>
  <si>
    <t>3628-S</t>
  </si>
  <si>
    <t>Kamran Khan Bugti s/o Mand Dost Bugtee</t>
  </si>
  <si>
    <t>Abdul Wahab Baloch, r/o Baloch Rights Council, R-1-74, Gulshan Akbar, Jumma Goth, Alflah, Malir, Karachi. (Mobile No. 0321-2869868)</t>
  </si>
  <si>
    <t>FIR No.36/2016 u/s 365 PPC,PS/Salaro,District Matiari.</t>
  </si>
  <si>
    <t>3629-S</t>
  </si>
  <si>
    <t>Abdul Wahid s/o Abdul Rehman</t>
  </si>
  <si>
    <t>Mst. Hani Abdul Wahid, r/o House No. 186, Street No. 06, Kala Kot, Chakiwara, Liyari, Karachi. (Mobile No. 0321-2079925)</t>
  </si>
  <si>
    <t>FIR No.158 dt.28/9/2016 u/s 365/34 PPC,PS/Gadap City,District Malir,Karachi</t>
  </si>
  <si>
    <t>Returned to Home and available at ( House No. 186, Street No. 06, Kala Kot, Chakiwara, Liyari, Karachi. (Mobile No. 0321-2079925)</t>
  </si>
  <si>
    <t>3630-K</t>
  </si>
  <si>
    <t>Saif-ul-Islam s/o Gul Islam</t>
  </si>
  <si>
    <t>Gul Islam, r/o Mohallah Jogi Khel, Village Adzai, P.O, Matni, Tehsil &amp; District Peshawar. (Mobile No. 0301-8834104)</t>
  </si>
  <si>
    <t>FIR No.619 dt.18/10/2016 u/s 365 PPC,PS/Mattani,Peshawar.</t>
  </si>
  <si>
    <t>Deleted. The case was categorized as of Kidnapping due to personal enmity by JIT on 11.11.2019. There is no eye witness of the occurrence. LEAs/ CTD have denied apprehension / custody of Saif-ul-Islam. Hence the case dose not fall within the purview of enforced disappearance.</t>
  </si>
  <si>
    <t>3631-K</t>
  </si>
  <si>
    <t>Haibat Khan s/o Nadir Khan</t>
  </si>
  <si>
    <t>Nadir Khan, r/o Village Saraghar, Tehsil Jandola, Frointer Region Tank. (Mobile No. 0301-2643887 &amp; 0304-2800596)</t>
  </si>
  <si>
    <t>Traced Person. Confined in the Internment Centre, Kohat as informed at the hearing on 24.2.17 by Rep of MI.</t>
  </si>
  <si>
    <t>3632-P</t>
  </si>
  <si>
    <t>Syed Mir s/o Muneer</t>
  </si>
  <si>
    <t>Muneer, r/o House No Z-100, Gali No 34, Mohalla Kaptan Dhoke Rata, Rawalpindi. (Mobile No. 0314-5569761)</t>
  </si>
  <si>
    <t>FIR No.523dt.10/11/2016 u/s 365 PPC,PS/Ratta, Amral ,Rawalpindi.</t>
  </si>
  <si>
    <t>Traced Person. On 13.12.2017 , the Commission observed that the dead body was identified by father of Syed Mir, however in the interest of Justice and for the sake of abundant caution, it was directed that DNA be got conducted to remove the suspicion lurking in the mind of his mother.</t>
  </si>
  <si>
    <t>3633-P</t>
  </si>
  <si>
    <t>Raheel Mehfooz s/o Muhammad Mehfooz</t>
  </si>
  <si>
    <t>Zubair Akhtar, r/o Darkhana Chhokar, Tehsil Texila, District Rawalpindi. (Mobile No. 0312-6745207 &amp; 0300-5563002)</t>
  </si>
  <si>
    <t>FIR No.559dt.25/10/2016 u/s 365 PPC,PS/Naseerabad ,Rawalpindi.</t>
  </si>
  <si>
    <t>Traced Person. Appeared before the Commission on 20.2.2017. Stated that he left home due to family dispute. No one abducted him.</t>
  </si>
  <si>
    <t>3634-K</t>
  </si>
  <si>
    <t>Fazal Amin s/o Bilyamin</t>
  </si>
  <si>
    <t>Shahryar, r/o Hayatabad Phase 6 , Street No 28, House No 926, Sector F-9 Hayatabad, Peshawar. (Mobile No. 0316-1831130 &amp; 0335-9747753)</t>
  </si>
  <si>
    <t>FIR No.1003 dt.31/10/2016 u/s 302/364/34 PPC PS/MRS,Kohat District Kohat.</t>
  </si>
  <si>
    <t>Traced Person. I.O of the case informed at the hearing that Fazal Amin has been recovered.</t>
  </si>
  <si>
    <t>3635-K</t>
  </si>
  <si>
    <t>Muhammad Saleem s/o Magar</t>
  </si>
  <si>
    <t>Sohail Afridi, r/o Asghar Talab, Kohi Chowk, Bara, Khyber Agency. (Mobile No. 0305-9565563)</t>
  </si>
  <si>
    <t>FIR No.1338 dt.26/11/2016 u/s 302/364/34 PPC PS/West Cantt., Peshawar.</t>
  </si>
  <si>
    <t>3636-P</t>
  </si>
  <si>
    <t>Farooq Umar s/o Umar Khatab</t>
  </si>
  <si>
    <t>Usman Umar, r/o Mohallah New Gulzar-e-Quaid, Airport, Link Road, Gangal, P.O Chakala, Rawalpindi. (Mobile No. 0347-0503878 &amp; 0340-8889941)</t>
  </si>
  <si>
    <t>FIR No.1025 dt.02/12/2016 u/s 365 PPC PS/Airport,Rawalpindi.</t>
  </si>
  <si>
    <t>Returned to Home and available at Mohallah New Gulzar-e-Quaid, Airport, Link Road, Gangal, P.O Chakala, Rawalpindi.</t>
  </si>
  <si>
    <t>3637-P</t>
  </si>
  <si>
    <t>Muhammad Shaheer Hassan s/o Major Muhammad Faiz-ul-Hassan</t>
  </si>
  <si>
    <t>Major Muhammad Faiz-ul-Hassan, r/o House No. 574, Sector- A, Street No. 22, Askari No. 14, Adyala Road, Rawalpindi. (Mobile No. 0321-5085777)</t>
  </si>
  <si>
    <t>Traced Person. Rep of MI submitted that the Missing Person Muhammad Shaheer Hassan is Confined in Internment Center, Lakki Marwat under Action (in aid of Civil Power) Regulation 2011.</t>
  </si>
  <si>
    <t>3638-P</t>
  </si>
  <si>
    <t>Sajid Maqsood Ahmed s/o Maqsood Ahmed</t>
  </si>
  <si>
    <t>Abdi Ali Maqsood, r/o Mian House, tariq Road, Mohallah Virk Park,Qamar Street, Sheikhupura. (Mobile No. 0335-4344621 &amp; 0300-4286015)</t>
  </si>
  <si>
    <t>Traced Person. I.O, submitted report that Missing Person has Returned to Home and available at his house Mian House, tariq Road, Mohallah Virk Park,Qamar Street, Sheikhupura.</t>
  </si>
  <si>
    <t>3639-K</t>
  </si>
  <si>
    <t>Raza Ullah Khan s/o Haji Ayaz Khan</t>
  </si>
  <si>
    <t>Haji Ayaz Khan, r/o Jabari Babar, P.O Jabri Khas, Tehsil &amp; Dfistrict Bannu. (Mobile No. 0346-9859844)</t>
  </si>
  <si>
    <t>FIR No.713 dt.16/11/2016 u/s 365 PPC PS/Saddar District Bannu..</t>
  </si>
  <si>
    <t>3640-P</t>
  </si>
  <si>
    <t>Muhammad Toqeer Khan s/o Muhammad Siddique Khan</t>
  </si>
  <si>
    <t>Mst. Khalida Bibi, r/o Flat No. 1, Block -B, Street No. 19, G-10/3, Islamabad. (Mobile No. 0333-5937233)</t>
  </si>
  <si>
    <t>FIR No.317 dt.12/11/2016 u/s 365 PPC PS/Hazro District Attock.</t>
  </si>
  <si>
    <t>Traced Person. Appeared before the Commission on 17.4.2017. Roluctant to share details of his abduction.</t>
  </si>
  <si>
    <t>3641-K</t>
  </si>
  <si>
    <t>Syed Nadeem Bacha s/o Naeem Ahmed Bacha</t>
  </si>
  <si>
    <t>Syed Naeem bacha, r/o Mohallah Saeedan, Mohib Banda, Tehsil &amp; District Mardan. (Mobile No. 0341-7511052)</t>
  </si>
  <si>
    <t>FIR No.673 dt.9/11/2016 u/s 365 PPC PS/Par Hoti,Mardan.</t>
  </si>
  <si>
    <t>Traced Person. Syed Nadeem Bacha has been traced. He has returned home. Father of traced person is present. He has affirmed that his son has returned home on Eid-ul-Fitar and is present at home. He further submitted that due to illness he could not make appearance before the Commission.</t>
  </si>
  <si>
    <t>3642-K</t>
  </si>
  <si>
    <t>Afsar Iqbal s/o Raza Khan</t>
  </si>
  <si>
    <t>Zaman Khan, r/o Nazimabad. Tehsil &amp; District Swabi. (Mobile No. 0346-9793011)</t>
  </si>
  <si>
    <t>FIR No.773 dt.19/11/2016 u/s 365 PPC PS/Kalu Khan District Swabi.</t>
  </si>
  <si>
    <t>Traced Person. At the hearing on 27.4.2017. Stated that Afsar Iqbal had returned to home.</t>
  </si>
  <si>
    <t>3643-S</t>
  </si>
  <si>
    <t>Zubair Saleem Sheikh s/o Muhammad Saleem Sheikh</t>
  </si>
  <si>
    <t>Mst. Tahira Kanwal, r/o Johar Complex,Flat No. B-8/11, Mohallah Scheme 33, Gulzar-e-Hijri, University Road, Sector 38-A, Karachi. (Mobile No. 0336-0875336)</t>
  </si>
  <si>
    <t>3644-GB</t>
  </si>
  <si>
    <t>Noman Arshad s/o Arshad Akram</t>
  </si>
  <si>
    <t>Arshad Akram, r/o House No. 3, Street No. 6, Alhabib Park, Lahore. (Mobile No. 0300-5519196 &amp; 0333-4484074)</t>
  </si>
  <si>
    <t>FIR No.1 dt.14/2/2017 u/s 365/511/34 PPC PS/Goharabad,Diamer.</t>
  </si>
  <si>
    <t>Deleted. It is stated in the report of SP, District Diamer that on 16.7.2016 a group of boys including the missing person while travelling back from Hunza to Lahore by a car, bearing Registration No. LWA-842, reportedly met an accident and fell into the Indus River due to massive land sliding at Tata Pani area on KKH in the jurisdiction of PS Goherabad. The complainant Asad Khan and Irshad Akram have given Affidavits placed on record that the missing persons have not been kidnapped by anyone and they have no objection if case is closed. Keeping in view the circumstances of the case, statement as mentioned hereinabove and report of JIT, the matter hardly falls within the ambit of enforced disappearance as there is no allegation against any of LEAs/ Intelligence Agencies , therefore further proceedings by the Commission are closed.</t>
  </si>
  <si>
    <t>3645-GB</t>
  </si>
  <si>
    <t>Umair Aftab s/o Aftab Ahmed</t>
  </si>
  <si>
    <t>Mst. Robina Aftab, r/o House No. 28, Street No. 3, Out Fall Road, Lahore. (Mobile No. 0320-4581460)</t>
  </si>
  <si>
    <t>3646-GB</t>
  </si>
  <si>
    <t>Muhammad Imran Azeem Butt s/o Abdul Azeem Butt</t>
  </si>
  <si>
    <t>Mst. Fozia Abdul Azeem Butt, r/o House No. 5, Street No. 12, Shesh Mahal Road, Lahore. (Mobile No. 0316-4228986)</t>
  </si>
  <si>
    <t>3647-K</t>
  </si>
  <si>
    <t>Noor Rehman s/o Hameed Rehman</t>
  </si>
  <si>
    <t>Hameed Rehman, r/o Hadar Khel, North Waziristan Agency. (Mobile No. 0336-0549624)</t>
  </si>
  <si>
    <t>FIR No.173 dt.16/5/2017 u/s 365 PPC,PS/Tajori, District Lakki Marwat.</t>
  </si>
  <si>
    <t>3648-P</t>
  </si>
  <si>
    <t>Khursheed Khan s/o Aziz Khan</t>
  </si>
  <si>
    <t>Khursheed Khan, r/o Asif Colony, Railway Station, Khushab, Sargodha. (Mobille No. 0300-2211615 &amp; 0333-5283209)</t>
  </si>
  <si>
    <t>FIR No.453 dt.18/12/2016 u/s 365 PPC,PS/Fateh Jang District Attock.</t>
  </si>
  <si>
    <t>Traced Person. Appeared before the Commission on 25.1.2017. Reluctant to share details of abduction for obvious reasons.</t>
  </si>
  <si>
    <t>3649-I</t>
  </si>
  <si>
    <t>Muhammad Rizwan Tahir s/o Sadaqat Ali</t>
  </si>
  <si>
    <t>FIR No.436 dt.24/11/2016 u/s 365 PPC,PS/Industrial Area,Islamabad.</t>
  </si>
  <si>
    <t>Deleted. Not a case of enforced disappearance as Muhammad Rizwan has been declared absconder by competent court of jurisdiction.</t>
  </si>
  <si>
    <t>3650-P</t>
  </si>
  <si>
    <t>Syed Maratab Ali Shah s/o Syed Ali Ahmed Shah Kazmi</t>
  </si>
  <si>
    <t>Asad Ali Shah, r/o House No. 1250, Street No, 3G, G-10/4, Islamabad. (Mobile No. 0300-9253056 &amp; 0333-2519955)</t>
  </si>
  <si>
    <t>FIR No.970 dt.17/11/2016 u/s 365 PPC,PS/Taimuria,District Central,Karachi.</t>
  </si>
  <si>
    <t>Traced Person. SHO PS Airport Rawalpindi confirmed that Syed Maratab Ali Shah has returned to home.</t>
  </si>
  <si>
    <t>3651-S</t>
  </si>
  <si>
    <t>Usman Junaid</t>
  </si>
  <si>
    <t>r/o Memon Complex, Building No. A4, Flat No. D4, Block No. 11, North Nazimabad, Karachi.</t>
  </si>
  <si>
    <t>FIR No.333 dt.24/11/2016 u/s 365/34 PPC,PS/Airport,Rawalpindi.</t>
  </si>
  <si>
    <t>Traced Person. Returned to Home an available at (Memon Complex, Building No. A4, Flat No. D4, Block No. 11, North Nazimabad, Karachi)</t>
  </si>
  <si>
    <t>3652-B</t>
  </si>
  <si>
    <t>Shabbir Baloch</t>
  </si>
  <si>
    <t>FIR No.98/2012 u/s 365/34 PPC,PS/Brewery,Quetta</t>
  </si>
  <si>
    <t>3653-K</t>
  </si>
  <si>
    <t>Niaz Ali s/o Ahmed Ayaz</t>
  </si>
  <si>
    <t>Humza Ali, r/o Hafti Banda, Tehsil Banda, District Kark. (Mobile No. 0314-2654755)</t>
  </si>
  <si>
    <t>FIR No.724 dt.17/11/2016 u/s 365 PPC,PS/Karak</t>
  </si>
  <si>
    <t>Under Investigation (KP) Kark</t>
  </si>
  <si>
    <t>3654-K</t>
  </si>
  <si>
    <t>Ghulam Ali s/o Ghulam Hazrat</t>
  </si>
  <si>
    <t>Ghulam Rabi, r/o Khawaja Khel, Tehsil &amp; District Peshawar. (Mobile No. 0315-9361704)</t>
  </si>
  <si>
    <t>FIR No.711 dt.15/12/2016 u/s 365 PPC,PS/Mattani,Peshawar.</t>
  </si>
  <si>
    <t>Deleted. In the Proforma for Missing Person there is no allegation against any LEAs/ Intelligence Agency. In the case 9 JIT meetings were convened and in the last three JIT reports dated 28.3.2019, 2.7.2019 and 11.11.2019 the case was categorized as of Missing Person has gone on his own. PTF also endorsed to findings of JIT. All LEAs/ CTD have categorical denied apprehension custody of Ghulam Ali. Hence the case dose not fall within the purview of enforced disappearance.</t>
  </si>
  <si>
    <t>3655-K</t>
  </si>
  <si>
    <t>Muhammad Zubair s/o Liaq Shah</t>
  </si>
  <si>
    <t>Mst. Bibi Lal, r/o Hamza Abad, Hangu, Mobile No. 0333-9677772 &amp; 0333-9642146)</t>
  </si>
  <si>
    <t>FIR No.1046 dt.9/12/2016 u/s 365 PPC,PS/City,Hangu.</t>
  </si>
  <si>
    <t>Traced Person. Rep of MI submitted that the Missing Person Muhammad Zubair is Confined in Internment Center, Lakki Marwat under Action (in aid of Civil Power) Regulation 2011.</t>
  </si>
  <si>
    <t>3656-K</t>
  </si>
  <si>
    <t>Hameed Ullah s/o Ameer Ullah</t>
  </si>
  <si>
    <t>Ameer Ullah, r/o Mohallah Sultan Khel, Baz Khel, P.O Budh Ber, Tehsil &amp; District Peshawar. (Mobile No. 0334-0907050)</t>
  </si>
  <si>
    <t>FIR No.1481 dt.15/12/2016 u/s 365 PPC,PS/Gulbahar, District Peshawar.</t>
  </si>
  <si>
    <t>3657-K</t>
  </si>
  <si>
    <t>Syed Mohabbat Shah s/o Syed Muhammad Shah</t>
  </si>
  <si>
    <t>Syed Liaquat Ali Shah, r/o Dhok Syedan Chowk, Girja Road, New Police Chowki, Street No. 17, Rawalpindi. (Mobile No. 0333-5568711 &amp; 0302-5108136)</t>
  </si>
  <si>
    <t>FIR No.2098 dt.16/12/2016 u/s 365 PPC,PS/Faqirabad District Peshawar.</t>
  </si>
  <si>
    <t>Deleted. A joint investigation team consisting on Mr. Yaeeen Khan DSP, Inayat Khan, DSP (Inv), Lal Zada Inspector and Shehzad Mir ASI was constituted by CPO, Peshawar. Mr. Yaseen Khan DSP alongwith Lal Zada Inspector is present and submitted copy of progress report (Mark-A) which has been placed on record for perusal of the Commission. In the concluding Para of the report it is mentioned that notables of the area have not verified burial and Nimaz-e-Janaza of Muhabbat Shah. Prima facie it is not a case of enforced disappearance rather a case of personal enmity. The case therefore does not fall in the ambit of CoIoED, hence the case is closed.</t>
  </si>
  <si>
    <t>3658-K</t>
  </si>
  <si>
    <t>Habib-ur-Rehman s/o Haji Banras Khan</t>
  </si>
  <si>
    <t>Haji Banras Khan, r/o Khyber Agency, Tehsil Bara. (Mobile No. 0333-9128231 &amp; 0342-8541322)</t>
  </si>
  <si>
    <t>FIR No.608 dt.11/11/2016 u/s 365 PPC,PS/Tatara,Peshawar.</t>
  </si>
  <si>
    <t>Traced Person. Habib-ur-Rehman has been traced. According to report received from Rep of MI, Habib-ur-Rehman is confined in the Internment Center Kohat since 30.4.2019. Father of Habib-ur-Rehman was affirmed that he has already met his son.</t>
  </si>
  <si>
    <t>3659-S</t>
  </si>
  <si>
    <t>Gul Shad s/o Hameed Khan</t>
  </si>
  <si>
    <t>Muhammad Haroon, r/o P.O, Dara Adam Khel, F.R, Kohat. (Mobile No. 0302-5659088 &amp; 0346-9011326)</t>
  </si>
  <si>
    <t>FIR No.17 dt.16/1/2017 u/s 365/34 PPC,PS/Mithadar,District South City,Karachi.</t>
  </si>
  <si>
    <t>Traced Person. It was informed at the hearing held in this Commission on 10/07/2018 that Gul Shad was arrested and presently confined in Central Jail Kohat. He was arrested and later released on bail by competent Court of Jurisdiction.</t>
  </si>
  <si>
    <t>3660-K</t>
  </si>
  <si>
    <t>Sher Ali s/o Saltanat Khan</t>
  </si>
  <si>
    <t>Mst. Shaheen, r/o Shamozai Chongi, Tehsil &amp; District Swat. (Mobile No. 0346-3794622)</t>
  </si>
  <si>
    <t>Returned to Home and available at (Shamozai Chongi, Tehsil &amp; District Swat)</t>
  </si>
  <si>
    <t>3661-K</t>
  </si>
  <si>
    <t>Hassan Ali s/o Sher Ali</t>
  </si>
  <si>
    <t>Ms. Amina Masood Janjua</t>
  </si>
  <si>
    <t>3662-F</t>
  </si>
  <si>
    <t>Insaf Shah s/o Muhammad Shah</t>
  </si>
  <si>
    <t>Mula Hassan, r/o P.O, Lakry, Tehsil Upper Mohmand, District, Mohmand Agency.(Mobile No. 0344-9127690)</t>
  </si>
  <si>
    <t>21406-3681902-1</t>
  </si>
  <si>
    <t>3663-F</t>
  </si>
  <si>
    <t>Abdul Samad Khan s/o Misal Khan</t>
  </si>
  <si>
    <t>Misal Khan, r/o Ismail Spare Parts Shop No. B-28, Basment, Alkaram Plaza, Peshawar. (Mobile No. 0346-3491441)</t>
  </si>
  <si>
    <t>3664-K</t>
  </si>
  <si>
    <t>Rehmat ullah s/o Fazal Ahad</t>
  </si>
  <si>
    <t>Fazal Ahad, r/o Village Alam Ganj, Tehsil Char Bagh, District Swat. (Mobile No. 0332-5286660 &amp; 0300-5286660)</t>
  </si>
  <si>
    <t>FIR No.1357 dt.15/12/2016 u/s 365 PPC,PS/City,Mansehra..</t>
  </si>
  <si>
    <t>Deleted. Mr. Arif Javed, SP (Inv), Manshera has submitted that last meeting of the JIT was held on 1.10.2019 and the case has again been categorized as missing person has gone on his own. Complainant Fazal Ahmed has appeared whose statement has been recorded on oath. According to him his son Rehmat Ullah went missing in the last week of November 2013 from his shop at Manshera and he did not produce any witness of the occurrence to the effect that his son was picked up by any Government Agency rather some unknown person demanded five lac and fifty thousand rupees for release of his son. He has further stated that his son Rehmat Ullah was not associated with any of Banned Organization. Not a case of enforced disappearance, hence closed.</t>
  </si>
  <si>
    <t>3665-K</t>
  </si>
  <si>
    <t>Inam Ullah s/o Gulzar</t>
  </si>
  <si>
    <t>Gulzar, r/o Miro Kilay, P.O Shabaqadar, District Charsadda. (Mobile No. 0335-9250536)</t>
  </si>
  <si>
    <t>FIR No.734 dt.23/12/2016 u/s 365 PPC,PS/City,Peshawar.</t>
  </si>
  <si>
    <t>3666-K</t>
  </si>
  <si>
    <t>Ameen Gul s/o Gul Shah</t>
  </si>
  <si>
    <t>Ameen Shah, r/o Tela Bund Road, Budh Ber, Tehisl &amp; District Peshawar. (Mobile 0333-8331810)</t>
  </si>
  <si>
    <t>FIR No.1357 dt.31/12/2016 u/s 365 PPC,PS/Badaber,Peshawar.</t>
  </si>
  <si>
    <t>3667-K</t>
  </si>
  <si>
    <t>Sajid Khan s/o Ibrahim Khan</t>
  </si>
  <si>
    <t>Mst. Mumtaz Bibi, r/o Mohallah, Ithad Zai, P.O Budh Ber, Tehsil &amp; District Peshawar. (Mobile No. 0302-9296912)</t>
  </si>
  <si>
    <t>Traced Person. Confined in the Internment Centre, Kohat. Mother of Sajid Khan confirmed at the hearing on 9.3.2017.</t>
  </si>
  <si>
    <t>3668-K</t>
  </si>
  <si>
    <t>Yaseen Shah s/o Haji Ali Badshah</t>
  </si>
  <si>
    <t>Saeed Shah, r/o Village Jaroba, Mohallah Malik Meri, P.O Spain Khak, Tehsil &amp; District Nowshera (Mobile No. 0314-7201105 &amp; 0300-2154903)</t>
  </si>
  <si>
    <t>FIR No.1574 dt.13/12/2016 u/s 365 PPC,PS/Pabbi,Nowshera</t>
  </si>
  <si>
    <t>Traced Person. SP (Inv), Nowshera, submitted report that Missing Person has Returned to Home and available at Village Jaroba, Mohallah Malik Meri, P.O Spain Khak, Tehsil &amp; District Nowshera.</t>
  </si>
  <si>
    <t>3669-P</t>
  </si>
  <si>
    <t>Muhammad Siraj s/o Naeem-ud-Din</t>
  </si>
  <si>
    <t>Muhammad Ilyas, r/o Chak No. 266, P.O Khas, Tehsil Jarawala, District Faisalabad. (Mobile No. 0333-3062608)</t>
  </si>
  <si>
    <t>Traced Person. Appeared before the Commission on 20.01.2017. Reluctant to share details of the episode for obvious reason.</t>
  </si>
  <si>
    <t>3670-P</t>
  </si>
  <si>
    <t>Hazrat Hussain s/o Muhammad Usman</t>
  </si>
  <si>
    <t>Umar Gul, r/o Village Langar, P.O Bathar, Tehsil Fateh Jhang District Attock. (Mobile No. 0344-5062314)</t>
  </si>
  <si>
    <t>FIR No.369 dt.18/12/2016 u/s 365 PPC,PS/Saddar Hassanabdal,District Attock.</t>
  </si>
  <si>
    <t>3671-P</t>
  </si>
  <si>
    <t>Azeem Khan s/o Fateh Muhammad</t>
  </si>
  <si>
    <t>Baseer Ullah, r/o House NO. 177, Street No. 06, Peer Jamsheed Colony, KRL Road, Rawalpindi. (Mobile No. 0333-9712217)</t>
  </si>
  <si>
    <t>Traced Person. Returned to home as confirmed by I.O of the case at the hearing held on 20.2.2017.</t>
  </si>
  <si>
    <t>3672-P</t>
  </si>
  <si>
    <t>Abdul Rasheed s/o Faqeer Badshah</t>
  </si>
  <si>
    <t>Muhammad Qazi, r/o Girja Road, New Abadi, Near, New Police Chowki, Rawalpinid. (Mobile No. 0334-8397035 &amp; 0333-9655957)</t>
  </si>
  <si>
    <t>FIR No.833 dt.05/12/2016 u/s 365 PPC,PS/Saddar Berooni,Rawalpindi.</t>
  </si>
  <si>
    <t>3673-P</t>
  </si>
  <si>
    <t>Muhammad Mauvia s/o Ghulam Hussain</t>
  </si>
  <si>
    <t>Muhammad Azam Tariq, r/o P.O Hassan Shah, Tehsil Darya Khan, District Bakhar. (Mobile No. 0303-5942596)</t>
  </si>
  <si>
    <t>Traced Person. It was informed at the hearing on 11/05/2018 that Muhammad Mauvia is presently confined in Central Jail Mianwali.</t>
  </si>
  <si>
    <t>3674-I</t>
  </si>
  <si>
    <t>Shoukat Iqbal s/o Muhammad Alam</t>
  </si>
  <si>
    <t>Muhammad Salah, r/o Handarian, P.O Tarnol, Mohallah Nai Abadi, Ittafaq Colony, Islamabad. (Mobile No. 0300-5146050)</t>
  </si>
  <si>
    <t>Traced Person. Appeared before the Commission on 24.01.2017. Reluctant to share details of abduction for obvious reasons.</t>
  </si>
  <si>
    <t>3675-B</t>
  </si>
  <si>
    <t>Imtiaz Ahmed s/o Haji Abdul Hakeem</t>
  </si>
  <si>
    <t>Zulfiquar, r/o Sardari City, Totak, District Khuzdar. (Mobile No. 0313-8299633)</t>
  </si>
  <si>
    <t>Section officer (Statistics) Balochistan</t>
  </si>
  <si>
    <t>3676-B</t>
  </si>
  <si>
    <t>Nisar Ahmed s/o Haji Muhammad Yaqoob Khan</t>
  </si>
  <si>
    <t>Rasool Bux, r/o P.O Tootak, Village Parko District, Khuzdar. (Mobile No. 0312-3122325)</t>
  </si>
  <si>
    <t>FIR No.29/2012 u/s 365 PPC,PS/Levies Thana,Baghbana,District Khuzdar.</t>
  </si>
  <si>
    <t>3677-B</t>
  </si>
  <si>
    <t>Zafar Ahmed s/o Noor Ahmed</t>
  </si>
  <si>
    <t>Noor Ahmed, r/o Village Tootak, Tehsil &amp; District Khuzdar (Mobile No. 0315-5335064)</t>
  </si>
  <si>
    <t>FIR No.28/2010 u/s 365/34 PPC,PS/Levies Thana,Baghbana,District Khuzdar.</t>
  </si>
  <si>
    <t>3678-B</t>
  </si>
  <si>
    <t>Irshad Ahmed s/o Nawab Khan</t>
  </si>
  <si>
    <t>Nawab Khan, r/o Village Sardari Shaher Tootak, Tehsil &amp; District Khuzdar. (Mobile No. 0313-8536049)</t>
  </si>
  <si>
    <t>Deleted. Not a case of enforced disappearance as no allegation has been leveled against any of LEAs in Missing Persons Proforma.</t>
  </si>
  <si>
    <t>3679-P</t>
  </si>
  <si>
    <t>Syed Abdul Salam Zadi s/o Syed Shafique Hussain Zaidi</t>
  </si>
  <si>
    <t>Traced Person. Returned to Home and available at his given address in Tehsil Kahrore Paka District Lodhran. Also appeared before the Commission on 22.8.17. Could not share details of his abduction.</t>
  </si>
  <si>
    <t>Sahiwal</t>
  </si>
  <si>
    <t>3680-K</t>
  </si>
  <si>
    <t>Muhammad Tayyab s/o Abdul Rehman</t>
  </si>
  <si>
    <t>Muhammad Ibrahim, r/o P.O Shabaqadar, Tehsil &amp; District Charsadda./ (Mobile No. 0313-9000457)</t>
  </si>
  <si>
    <t>FIR No.141 dt.08/3/2017 u/s 365 PPC,PS/Shabqadar,District Charsadda.</t>
  </si>
  <si>
    <t>3681-P</t>
  </si>
  <si>
    <t>Junaid Amjad s/o Amjad Iqbal</t>
  </si>
  <si>
    <t>Mudassir Naveed, r/o Tehsil Pjalia District Mandi Bahyauddin. (Mobile No. 0342-7493219)</t>
  </si>
  <si>
    <t>FIR No.486 dt.05/12/2016 u/s 365 PPC,PS/Phalia,District Mandi Bahauddin.</t>
  </si>
  <si>
    <t>Deleted. In view of the statement and circumstances of the matter, does not fall within the ambit of enforced disappearance therefore the same be deleted from the list of enforced disappeared persons.</t>
  </si>
  <si>
    <t>3682-P</t>
  </si>
  <si>
    <t>Tallah Ahmed s/o Noor Rehman Safi</t>
  </si>
  <si>
    <t>Samia Noor, r/o Hous e No. 3, Ghazali Apartments, Wadhat Colony, Lahore. (Mobile No. 0332-4888018)</t>
  </si>
  <si>
    <t>Traced Person. Facing Trial in Military Court under Action (in aid of Civil Power Regulation 2011 as informed at the hearing on 27.9.17.</t>
  </si>
  <si>
    <t>3683-P</t>
  </si>
  <si>
    <t>Mantaha s/o Noor Rehman Safi</t>
  </si>
  <si>
    <t>3684-K</t>
  </si>
  <si>
    <t>Said Ghafar s/o Haji Nosherwan</t>
  </si>
  <si>
    <t>Haji Nosherwan, r/o Rahim Abad, Mingora, Swat. (Mobile No. 0347-9234158)</t>
  </si>
  <si>
    <t>FIR No.915 dt.13/12/2016 u/s 365 PPC PS/Rahimabad, District Swat.</t>
  </si>
  <si>
    <t>3685-K</t>
  </si>
  <si>
    <t>Muhammad Ameen</t>
  </si>
  <si>
    <t>r/o, House No. 30, Staff Colony, Central Jail, Karachi.</t>
  </si>
  <si>
    <t>MoFAsF</t>
  </si>
  <si>
    <t>3686-P</t>
  </si>
  <si>
    <t>Abdul Rehman s/o Mian Jan</t>
  </si>
  <si>
    <t>Mian Jan, r/o Warn No. 01, Naseem Degree College, Tehsil Gujar Khan. (Mobile No. 0307-5532916)</t>
  </si>
  <si>
    <t>FIR No.863 dt.27/12/2016 u/s 365 PPC PS/Qutabpur,District Multan.</t>
  </si>
  <si>
    <t>3687-P</t>
  </si>
  <si>
    <t>Aziz Khan s/o Essa Khan</t>
  </si>
  <si>
    <t>Aziz-ur-rehman, r/o Asif Colony, Near Railway Station, District Khushab. (Mobile No. 0304-5865509)</t>
  </si>
  <si>
    <t>Traced Person. Appeared before the Commission on 17.4.2017. Roluctant to share details of abduction for obvious reasons.</t>
  </si>
  <si>
    <t>3688-P</t>
  </si>
  <si>
    <t>Muhammad Fayaz s/o Muhammad Khan</t>
  </si>
  <si>
    <t>Muhammad Ijaz Hussain, r/oTehsil Kharian, District Gujrat. (Mobile No. 0347-6058545)</t>
  </si>
  <si>
    <t>Traced Person. DPO Gujrat confirmed at the hearing on 7.4.2017. Stated he left home due to family problems.</t>
  </si>
  <si>
    <t>3689-B</t>
  </si>
  <si>
    <t>Abdullah s/o Abdul Manan</t>
  </si>
  <si>
    <t>Zain Ullah, r/o Killi Zorabad, District Noshki, Balochistan. (Mobile No. 0341-8557122)</t>
  </si>
  <si>
    <t>Deleted. Father of Abdulullah submitted in writing and confirmed at the hearing on 9.12.17 that he did not want to pursue the case.</t>
  </si>
  <si>
    <t>3690-B</t>
  </si>
  <si>
    <t>Muhammad Naseem s/o Muhammad Karim</t>
  </si>
  <si>
    <t>Naik Muhammad, r/o Killi Mula, Abdul Habbas, Kardi Jangal, Tehsil Dalbandin District Chaghi. (Mobile No. 0344-4448750 &amp; 0344-8012819)</t>
  </si>
  <si>
    <t>3691-P</t>
  </si>
  <si>
    <t>Zia-ur-Rehman s/o Pervaiz Akhtar</t>
  </si>
  <si>
    <t>Pervaiz Akhtar, r/o House No. BXIV/690, Mohallah Gulabad, Kala Gujran, Tehsil &amp; District Jehlum. (Mobile No. 0336-5905160)</t>
  </si>
  <si>
    <t>FIR No.413 dt.1/11/2016 u/s 365 PPC PS/Saddar, District Jhelum</t>
  </si>
  <si>
    <t>Traced Person. It was informed at the hearing held in this Commission on 05/09/2018 by DPO, Jehlum that Zia-ur-Rehman has been traced and returned to home.</t>
  </si>
  <si>
    <t>3692-S 4484-S</t>
  </si>
  <si>
    <t>Abdul Ghaffor s/o Haleem Khan</t>
  </si>
  <si>
    <t>Razzaq Khan, r/o House No. L-340, Shah Latif Town, Sector No. 19-B, Malir, Karachi. (Mobile No. 0310-2311201)</t>
  </si>
  <si>
    <t>FIR No.6 dt.21/1/2017 u/s 365/34 PPC PS/Memon Goth, District Malir,Karachi.</t>
  </si>
  <si>
    <t>3693-K 1595-K</t>
  </si>
  <si>
    <t>Hazrat Ali s/o Muhammad Irshad</t>
  </si>
  <si>
    <t>FIR No.623 dt.21/12/2016 u/s 365 PPC PS/Kanju, District Swat</t>
  </si>
  <si>
    <t>3694-K</t>
  </si>
  <si>
    <t>Khan Haider s/o Zair Abad</t>
  </si>
  <si>
    <t>Ali Abad, r/p Tehsil Bara, Village Pardil Abad, Sheikh Mall Khel &amp; Miran Khel, Khyber Agency. (Mobile No. 0345-9361916 &amp; 0307-2109696)</t>
  </si>
  <si>
    <t>FIR No.20 dt.5/1/2017 u/s 365 PPC PS/Hayatabad, Peshawar.</t>
  </si>
  <si>
    <t>3695-S</t>
  </si>
  <si>
    <t>Nadeem Qazi s/o Qazi Moin-ud-Din</t>
  </si>
  <si>
    <t>r/o, House No. 144, Block- D, Unit No. 05, Latifabad, Hyderabad.</t>
  </si>
  <si>
    <t>Returned to Home and available at (House No. 144, Block- D, Unit No. 05, Latifabad, Hyderabad)</t>
  </si>
  <si>
    <t>3696-S</t>
  </si>
  <si>
    <t>Ali Afzal Bughti s/o Ali Dost Bughti</t>
  </si>
  <si>
    <t>r/o, Defence Housing Society, Karachi.</t>
  </si>
  <si>
    <t>FIR No.453 dt.30/1/2017 u/s 365/34 PPC,PS/Gizri District South,Karachi.</t>
  </si>
  <si>
    <t>Returned to Home and available at Defence Housing Society, Karachi.</t>
  </si>
  <si>
    <t>3697-S</t>
  </si>
  <si>
    <t>Kamran Qureshi s/o Muhammad Zahoor</t>
  </si>
  <si>
    <t>r/o, Plot No. 01, Shah Faisal Colony, Karachi.</t>
  </si>
  <si>
    <t>Deleted (SHO, Shah Faisal Colony, submitted that complainant is not interested to Pursue this matter)</t>
  </si>
  <si>
    <t>3698-S</t>
  </si>
  <si>
    <t>Tallah Pervaiz Alam s/o Alam</t>
  </si>
  <si>
    <t>r/o, UC, Orangi Town, Karachi.</t>
  </si>
  <si>
    <t>Deleted (Closed due to Incomplete Address)</t>
  </si>
  <si>
    <t>3699-S</t>
  </si>
  <si>
    <t>Muhammad Kaleem Khan s/o Maqbool</t>
  </si>
  <si>
    <t>r/o, UC No. 05, Pak Colony, Karachi.</t>
  </si>
  <si>
    <t>Returned to Home and available at (UC No. 05, Pak Colony, Karachi)</t>
  </si>
  <si>
    <t>3700-S</t>
  </si>
  <si>
    <t>Umer Draz s/o Umer Deen</t>
  </si>
  <si>
    <t>3701-S</t>
  </si>
  <si>
    <t>Daniyal Mansoori s/o Abdul Sattar</t>
  </si>
  <si>
    <t>r/o UC No. 10, New Karachi, Karachi.</t>
  </si>
  <si>
    <t>3702-S</t>
  </si>
  <si>
    <t>Raheem Mansori s/o Abdul Sattar</t>
  </si>
  <si>
    <t>3703-S</t>
  </si>
  <si>
    <t>Rao Sharafat Adeel s/o Rao Khursheed</t>
  </si>
  <si>
    <t>r/o, UC No. 30, Baldia Town, Karachi.</t>
  </si>
  <si>
    <t>Returned to Home and available at (UC No. 30, Baldia Town, Karachi)</t>
  </si>
  <si>
    <t>3704-S</t>
  </si>
  <si>
    <t>r/o UC No. 06, Landhi Town, Karachi.</t>
  </si>
  <si>
    <t>3705-S</t>
  </si>
  <si>
    <t>Kashif Qadir s/o Abdul Qadir</t>
  </si>
  <si>
    <t>r/o UC No. 12, Society, Karachi.</t>
  </si>
  <si>
    <t>3706-S</t>
  </si>
  <si>
    <t>Abdullah Siddique</t>
  </si>
  <si>
    <t>r/o UC No. 28, Korangi, Karachi.</t>
  </si>
  <si>
    <t>3707-S</t>
  </si>
  <si>
    <t>Saeed Muhammad Noor s/o Noor</t>
  </si>
  <si>
    <t>r/o Shah Faisal Colony, Karachi</t>
  </si>
  <si>
    <t>3708-S</t>
  </si>
  <si>
    <t>Muhammad Irfan Khan s/o Muhammd Abrar Khan</t>
  </si>
  <si>
    <t>r/o UC No. 13, Mujhaid Qazafi Chowk, Orangi Town, Karachi.</t>
  </si>
  <si>
    <t>Traced Person. Returned to Home an available at (UC No. 13, Mujhaid Qazafi Chowk, Orangi Town, Karachi.)</t>
  </si>
  <si>
    <t>3709-S</t>
  </si>
  <si>
    <t>r/o House No. 30, Staff Colony, Central Jail, Karachi.</t>
  </si>
  <si>
    <t>3710-S</t>
  </si>
  <si>
    <t>Sharif Ikarm-ud-Din</t>
  </si>
  <si>
    <t>r/o, House No. R-40, Ayaz Town, Block-02, Gulshan-e-Iqbal, Karachi.</t>
  </si>
  <si>
    <t>Traced Person. DSP, Jahan Khan Niazi , submitted that Missing Person is Returned to Home and available at (House No. R-40, Ayaz Town, Block-02, Gulshan-e-Iqbal, Karachi.)</t>
  </si>
  <si>
    <t>3711-K</t>
  </si>
  <si>
    <t>Akhtar Manan s/o Fazal Rahim</t>
  </si>
  <si>
    <t>Abdul Manan, r/o Lundey Sarak, Madian Colony, Charsada Road, Near Military Form. (Mobile No. 0303-8475144 &amp; 0301-8575164)</t>
  </si>
  <si>
    <t>FIR No.5 dt.1/1/2017 u/s 365/34 PPC, PS/Khazana,Peshawar.</t>
  </si>
  <si>
    <t>Traced Person. Appeared before the Commission on 11.5.2017. Reluctant to share details of his abduction for obvious reasons.</t>
  </si>
  <si>
    <t>3712-P</t>
  </si>
  <si>
    <t>Muhammad Raza s/o Liaquat Ali</t>
  </si>
  <si>
    <t>Liaquat Ali, r/o House No. 38, Block -N, Dera Ghazi Khan. (Mobile No. 0322-8685818)</t>
  </si>
  <si>
    <t>3713-B</t>
  </si>
  <si>
    <t>Nadeem Ahmed s/o Haji Abdul Hakeem</t>
  </si>
  <si>
    <t>Haji Abdul Hakeem, r/o Village Sardari Shaher, Tootak, District Khuzdar. (Mobile No. 0313-8717603)</t>
  </si>
  <si>
    <t>FIR No.460 dt.2/9/2012 u/s 365/34 PPC, PS/Bagbana, District Khuzdar.</t>
  </si>
  <si>
    <t>3714-B</t>
  </si>
  <si>
    <t>Muhammad Asif s/o Jumma Khan</t>
  </si>
  <si>
    <t>Jumma Khan, r/o Village Tootak, Tehsil &amp; District Khuzdar. (Mobile No. 0315-7885552)</t>
  </si>
  <si>
    <t>3715-B</t>
  </si>
  <si>
    <t>Muhammad Rahim Khan s/o Jumma Khan</t>
  </si>
  <si>
    <t>3716-K</t>
  </si>
  <si>
    <t>Qismat Gul s/o Ghuncha Gul</t>
  </si>
  <si>
    <t>Sher Ali, r/o Ghari Atta Muhammad , Mohallah Hajiyan, Bacha Colony, Peshawar. (Mobile No. 0335-9023845 &amp; 0314-9071902)</t>
  </si>
  <si>
    <t>FIR No.10 dt.5/1/2017 u/s 365/34 PPC, PS/Bhanamari,Peshawar.</t>
  </si>
  <si>
    <t>Traced Person. Sher Ali b/o Qismat Gul confirmed at the hearing on 12.1.18 that his brother is confined in the Internment Centre, Paitham, where he met him.</t>
  </si>
  <si>
    <t>3717-K</t>
  </si>
  <si>
    <t>Zia-ul-Haq Farooqi Bacha s/o Molvi Rasool Shah Bacha</t>
  </si>
  <si>
    <t>Abdul Haq Pasha, c/o Muhammad Ali Shopkeeper, r/o Mohallah Muhammad Khel Hoti Mardan. (Mobile No. 0313-8099393, 0346-9674095)</t>
  </si>
  <si>
    <t>FIR No.794 dt.26/12/2016 u/s 365 PPC, PS/Par Hoti,Mardan.</t>
  </si>
  <si>
    <t>Traced Person. Zia-ul-Haq farooqi Bacha has been traced. According to the report received from Rep of MI, Zia-ul-Haq Farooqi Bacha is presently confined in the Internment Center Paithom. Abdul Haq b/o traced person is present. He has been apprised of status of the case.</t>
  </si>
  <si>
    <t>3718-P</t>
  </si>
  <si>
    <t>Mustafeez-ur-Rehman s/o Hafeez-ur-Rehman</t>
  </si>
  <si>
    <t>Mst Sadiqa, r/o Khura khushab. (Mobile No. 0331-7697836)</t>
  </si>
  <si>
    <t>FIR No.260 dt.27/12/2016 u/s 365 PPC,PS/Nowshera District Khoshab.</t>
  </si>
  <si>
    <t>Traced Person. According to report received from DPO, Khushab, Mustaffez-ur-Rehman has returned to home on 15/02/2018.</t>
  </si>
  <si>
    <t>3719-K</t>
  </si>
  <si>
    <t>Abdul Wahid s/o Adalat Khan</t>
  </si>
  <si>
    <t>Mst Maryam, r/o Mohallah Baltehli, Ningolae, Darkhana Ningolae, Tehsil Kabal &amp; District Swat. (Mobile No. 0348-4584142)</t>
  </si>
  <si>
    <t>Traced Person. Confined in the Internment Center Fiaaghat as informed at the hearing on 3.2.2017 by SP (Inv) Swat.</t>
  </si>
  <si>
    <t>3720-K</t>
  </si>
  <si>
    <t>Shaukat Ali s/o Bakhat Akbar</t>
  </si>
  <si>
    <t>Bakhat Akbar, r/o Mohallah Dakhnai, Kanjoo, District Swat. (Mobile No. 0345-1575032)</t>
  </si>
  <si>
    <t>FIR No632 dt.26/12/2016 u/s 365 PPC,PS/Kanju,District Swat.</t>
  </si>
  <si>
    <t>Traced person. None has enterned appeared on behalf of the complainant. Shaukat has been traced. According to the report received from Rep of MI, Shaukat Ali is presently confined in the Internment Center Paaithom. SP (Inv), Swat is present. He has been apprised of status of the case.</t>
  </si>
  <si>
    <t>3721-K</t>
  </si>
  <si>
    <t>Mohsin Zunyu Wang s/o Yuan</t>
  </si>
  <si>
    <t>Mrs. Bushra Mohsin, r/o H No. 1, Street No. 4, Pakhwal Chowk, Manshera. (Mobile No. 0312-4305540, 0332-0666988)</t>
  </si>
  <si>
    <t>FIR No1365 dt.19/12/2016 u/s 365 PPC,PS/City,Mansehra.</t>
  </si>
  <si>
    <t>Traced Person. SSP (Inv), Manshera, submitted Mohsin Zunyu has Returned to Home and later left for China.</t>
  </si>
  <si>
    <t>3722-P</t>
  </si>
  <si>
    <t>Lal Zada s/o Gharib Gul</t>
  </si>
  <si>
    <t>Ghariab Gul, Mobile No. 0334-3945915 &amp; 0303-8750181)</t>
  </si>
  <si>
    <t>FIR No107dt.16/2/2017 u/s 365 PPC,PS/Saddar Berooni,Rawalpindi.</t>
  </si>
  <si>
    <t>3723-K</t>
  </si>
  <si>
    <t>Niamat Ullah s/o Sami Ullah</t>
  </si>
  <si>
    <t>Safi Ullah, r/o Mir Shahi, Watan Bagh, Tehsil &amp; District Peshawar. (Mobile NO. 0300-5882354 &amp; 0311-9991123)</t>
  </si>
  <si>
    <t>FIR No.50dt.12/11/2016 u/s 365 PPC,PS/Nasir Bagh,Peshawar.</t>
  </si>
  <si>
    <t>Traced ( SP (Inv), Peshawar Submitted that Niamat Ullah , Missing Person has been recovered)</t>
  </si>
  <si>
    <t>3724-K</t>
  </si>
  <si>
    <t>Sifat Ullah s/o Rahim Ullah</t>
  </si>
  <si>
    <t>Misbah Ullah, r/o Mir Shahi, Watan Bagh, Tehsil &amp; District Peshawar. (Mobile NO. 0300-5882354 &amp; 0311-9991123)</t>
  </si>
  <si>
    <t>Traced Person. Saifat Ullah has been traced. He is confined in APA Jamrud Havalat. Hadyat Ullah brother of missing person appeared before the Commission and stated that he has already met him.</t>
  </si>
  <si>
    <t>3725-K</t>
  </si>
  <si>
    <t>Younas Khan s/o Muhammad Akbar</t>
  </si>
  <si>
    <t>Muhammad Akbar, r/o Lal Din Colony, Latifabad, Ring Road, Peshawar. (Mobile No. 0336-1996778 &amp; 0301-8959220)</t>
  </si>
  <si>
    <t>17301-3506961-7</t>
  </si>
  <si>
    <t>FIR No.419 dt.5/4/2017 u/s 365 PPC,PS/Pishtakhara, Peshawar.</t>
  </si>
  <si>
    <t>Traced Person. Rep of MI submitted that Younas Khan is Confined in Internment Center, Kohat under Action (in aid of Civil Power) Regulation 2011. Family Members have been allowed to meet him.</t>
  </si>
  <si>
    <t>3726-A</t>
  </si>
  <si>
    <t>Usman Tariq s/o Muhammad Tariq Javed</t>
  </si>
  <si>
    <t>Muhammad Tariq Javede, r/o House No. 07, Street No. 133, G-13/4, Islamabad. (Mobile No. 0300-7468475)</t>
  </si>
  <si>
    <t>FIR No.3 dt.21/1/2017 u/s 365 APC,PS/Sharda District Neelum,AJK</t>
  </si>
  <si>
    <t>Deleted. In view of conclusive report submitted by DIG, AJ&amp;K and the statement of ISI, MI , DSP and investigation officer there is no stretch of imagination that it is a case of enforced disappearance, therefore further further proceedings by the Commission would be a futile exercise . All out efforts were made by Alpine Club of Pakistan, Pak Army Police and mountaineers to locate the missing persons or their dead bodied but could not succeed. It appears from the above-mentioned statement and investigation report that these three persons and become victims of cracks of glaciers while climbing over Sarwali Choti mountain at district Neelam. The case accordingly stands disposed of as deleted.</t>
  </si>
  <si>
    <t>3727-A</t>
  </si>
  <si>
    <t>Imran Junadi s/o Qamar-ud-Din Junadi</t>
  </si>
  <si>
    <t>Mst. Badar-un-Nisa, r/o House No. 300, Street No. 19, Sector No. I-10/2, Islamabad. (Mobile No. 0303-5683299)</t>
  </si>
  <si>
    <t>3728-A</t>
  </si>
  <si>
    <t>Khurram Shehzad s/o Muhammad Sultan</t>
  </si>
  <si>
    <t>Muhammad Sultan, r/o House No. 1283, Street No.50- Sector F-17/2, Multi Professional Coporative Housing Society, Fateh Jhang Road,Islamabad. (Mobile No. 0335-5964046)</t>
  </si>
  <si>
    <t>3729-P</t>
  </si>
  <si>
    <t>Muhammad Afzal s/o Muhammad Ashraf</t>
  </si>
  <si>
    <t>Muhammad Ashraf, r/o Village Toba , Tehsil PindadanKhan, District Jehlum. (Mobile No. 0345-8626756)</t>
  </si>
  <si>
    <t>FIR No.3 dt.6/1/2017 u/s 365PPC,PS/Lillah, District Jhelum</t>
  </si>
  <si>
    <t>Traced Person. Returned to Home and available at his given address in Jhelum. His father appeared before the Commission on 23.8.17 and confirmed.</t>
  </si>
  <si>
    <t>3730-K</t>
  </si>
  <si>
    <t>Muhammad Asif Kashi s/o Abdul Khaliq</t>
  </si>
  <si>
    <t>Mst. Nusrat Naz Bibi, r/o Kharmang, P.O Qaziabad, Tehsil &amp; District Manshera. (Mobile No. 0316-8828420)</t>
  </si>
  <si>
    <t>FIR No.18 dt.11/1/2017 u/s 365 PPC,PS/Shinkiari, Mansehra</t>
  </si>
  <si>
    <t>Traced Person. SP Manshera submitted report that Muhammad Asif is confined in District Jail Abbotabad in case FIR No: 41 dated 10.3.2010 u/s 302/324/427/148/149 PPC 7 ATA Ps CTD Hazara.</t>
  </si>
  <si>
    <t>3731-P</t>
  </si>
  <si>
    <t>Sher Muhammad s/o Zirat Gul</t>
  </si>
  <si>
    <t>Sakhi, r/o Chamar Kand, P.O Nawagi, Tehsil Ogi, Bajour Agency. (Mobile No. 0302-5303164)</t>
  </si>
  <si>
    <t>Traced Person. Rep of MI informed at the hearing on 2.5.17 that Sher Muhammad is confined in the Internment Centre, Khar Bajaur Agency.</t>
  </si>
  <si>
    <t>Taxila</t>
  </si>
  <si>
    <t>3732-K</t>
  </si>
  <si>
    <t>Khalil Ahmed Baloch s/o Ahmed Yar</t>
  </si>
  <si>
    <t>Jalil Ahmed Baloch, r/o Bolan Mobile Shop, Yasir Baloch Ashiana Shopping Center, North Circular Road, Tehsil &amp; District D.I.Khan. (Mobile No. 0340-9047317)</t>
  </si>
  <si>
    <t>FIR No.47dt.17/1/2017 u/s 365 PPC PS/Cantt.,District D.I.Khan.</t>
  </si>
  <si>
    <t>Traced Person. Rep of MI submitted at the hearing on 16.11.17 that Khalil Ahmed Baloch is Confined in Internment Center, Lakki Marwat under Action (in aid of Civil Power) Regulation 2011.</t>
  </si>
  <si>
    <t>3733-K</t>
  </si>
  <si>
    <t>Aqal Khan s/o Ubaid Ullah</t>
  </si>
  <si>
    <t>Ubaid Ullah, r/o Mohallah Turkman Khel, Village Matani, Tehsil &amp; District Peshawar. (Mobile No. 0342-3648721)</t>
  </si>
  <si>
    <t>FIR No.103 dt.6/3/2017 u/s 365 PPC PS/Mattani,District Peshawar</t>
  </si>
  <si>
    <t>3734-K</t>
  </si>
  <si>
    <t>Muhammad Tayyab s/o Muhammad Gul</t>
  </si>
  <si>
    <t>Saif Ullah, r/o P.O, Kalyas, Village Bagh Karona, Tehsil &amp; District Charsadda. (Mobile No. 0342-9060195)</t>
  </si>
  <si>
    <t>FIR No.30 dt.20/1/2017 u/s 365 PPC PS/Nisatta,District Charsadda</t>
  </si>
  <si>
    <t>3735-K</t>
  </si>
  <si>
    <t>Rahim Gul s/o Shahzad Gul</t>
  </si>
  <si>
    <t>Mst. Parveen, r/o Dheri Opal, Tehsil Alpori, District Shangala. (Mobile No. 0345-9478852 &amp; 0346-9305917)</t>
  </si>
  <si>
    <t>Traced Person. Rahim Gul has been traced. According to the report furnished at the hearing on 26/12/2018 by Rep of MI, he is presently confined in Internment Center, Paitham.</t>
  </si>
  <si>
    <t>3736-P</t>
  </si>
  <si>
    <t>Ghulam Qasim s/o Allah Bakhsh</t>
  </si>
  <si>
    <t>Khuda Bakhsh, r/o Darya Khan, P.O Panjgarian, Wandi, Qambara Wali, Distict Bakhar. (Mobile No. 0345-5952881 &amp; 0301-5211791)</t>
  </si>
  <si>
    <t>FIR No.4 dt.04/1/2017 u/s 365 PPC PS/Saddar,Darya Khan ,District Bhakkar.</t>
  </si>
  <si>
    <t>Traced Person. Confined in Adyala Jail Rawalpindi as informed at the hearing on 11.5.2017 by I.O. of the case.</t>
  </si>
  <si>
    <t>3737-P</t>
  </si>
  <si>
    <t>Zahid Ameen s/o Khan Badshah</t>
  </si>
  <si>
    <t>Khan Badshah, r/o Dhok Rajgan, Adiyala Road, Rawalpindi. (Mobile No. 0316-5316151 &amp; 0344-5316151)</t>
  </si>
  <si>
    <t>FIR No.75 dt.02/2/2017 u/s 365 PPC PS/Saddar Berooni ,Rawalpindi.</t>
  </si>
  <si>
    <t>3738-P</t>
  </si>
  <si>
    <t>Dil Agha s/o Mohib Khan</t>
  </si>
  <si>
    <t>Mambar Khan, r/o Mohallah Malir, Tehsil Hassan Abdal District, Attock. (Mobile No. 0344-0634491 &amp; 0308-5186785)</t>
  </si>
  <si>
    <t>FIR No.7 dt.10/01/2017 u/s 365 PPC PS/City,Hassan Abdal District Attock.</t>
  </si>
  <si>
    <t>Traced Person. Khan Agha b/o Dil Agha appeared whose statement has been recorded on oath. According to him, his brother Dil Agha has been traced and presently he is under treatment in a hospital at Kabul.</t>
  </si>
  <si>
    <t>3739-P</t>
  </si>
  <si>
    <t>Usman Riaz s/o Abid Riaz</t>
  </si>
  <si>
    <t>Abid Riaz, r/o House No. 37/D, Block-Z, Shersha Road, Shadbagh, Lahore.</t>
  </si>
  <si>
    <t>Traced Person. Returned to home and his statement was recorded under 161 CrPC.</t>
  </si>
  <si>
    <t>3740-S</t>
  </si>
  <si>
    <t>Muhammad Ilyas s/o Muhammad Yousaf</t>
  </si>
  <si>
    <t>Muhammad Yousaf, r/o Shah Dheri, P.O Dewlai, Tehsil &amp; District Swat. (Mobile No. 0344-0971209)</t>
  </si>
  <si>
    <t>Traced Person. Muhammad Ilyas has been traced. He is presently confined in Internment Center Fizaghat. DSP Aftab has entered appearance. His statement has been recorded on oath. He has produced report which has been placed on record.</t>
  </si>
  <si>
    <t>3741-K</t>
  </si>
  <si>
    <t>Muhammad Shafique s/o Mir Janan</t>
  </si>
  <si>
    <t>Mst. Taj, r/o Qazi Kilay, Baloch Colony, Tehsil &amp; District Kohat. (Mobile No. 0333-1971025)</t>
  </si>
  <si>
    <t>FIR No.165 dt.06/2/2017 u/s 365 PPC,PS/Faqirabad, Peshawar.</t>
  </si>
  <si>
    <t>Traced Person. Dead body was received for the lock up. Handed over to legal heirs.</t>
  </si>
  <si>
    <t>3742-K</t>
  </si>
  <si>
    <t>Muhammad Ghulab s/o Mir Janan</t>
  </si>
  <si>
    <t>Traced Person. I.O submitted at the hearing on 14.11.17 that Muhammad Ghulab is Confined in Internment Center, Fort Salop under Action (in aid of Civil) Power Regulation 2011.</t>
  </si>
  <si>
    <t>3743-S</t>
  </si>
  <si>
    <t>Muhammad Abid Hussain s/o Muhammad Tahir Hussain</t>
  </si>
  <si>
    <t>Mst. Jameela Begum, r/o House No. A-290, PIA Housing Society, Phase No. 01, Ghulstan-e-Johar, Block No. 09, Karachi. (Mobile No. 0324-2890529)</t>
  </si>
  <si>
    <t>Traced Person. DSP, Jahan Khan Niazi , submitted that Missing Person is Returned to Home and available at (House No. A-290, PIA Housing Society, Phase No. 01, Ghulstan-e-Johar, Block No. 09, Karachi)</t>
  </si>
  <si>
    <t>3744-K</t>
  </si>
  <si>
    <t>Umar Qiaz Khan s/o Piyao Khan</t>
  </si>
  <si>
    <t>Nouman Ullah, r/o Bahadur Khel, Mandan, P.O Khawaja Mad Mandan, Tehsil &amp; District Bannu. (Mobile No. 0333-9396971)</t>
  </si>
  <si>
    <t>Daily Diary Entry No.8 dated 13/3/2017,PS/Lakki Marwat,District Lakki Marwat.</t>
  </si>
  <si>
    <t>Traced Person. SP (Inv) Bannu submitted at the hearing on 27.3.2017 that Umer Qiaz expired and dead body handed over to legal heirs.</t>
  </si>
  <si>
    <t>3745-P</t>
  </si>
  <si>
    <t>Armghan Mehmood s/o Arshad Mehmood Wahla</t>
  </si>
  <si>
    <t>Arshad Mehmood Wahla, House No. 350, Sector- B, Street No. 09, Askari 10 Cantt, Lahore. (Mobile No. 0300-2965996)</t>
  </si>
  <si>
    <t>Traced Person. I.O. of the case informed at the hearing on 7.4.2017 that Armghan Mehmood has returned to home and available at House No. 350, Sector- B, Street No. 09, Askari 10 Cantt, Lahore.</t>
  </si>
  <si>
    <t>3746-S</t>
  </si>
  <si>
    <t>Asif s/o Abdul Ghaffor</t>
  </si>
  <si>
    <t>Abdul Ghaffor, r/o Mohallah Akaram Colony, Street No. 03, Tehsil Hub, District Lasbella (Mobile No. 0312-2422838)</t>
  </si>
  <si>
    <t>FIR No.30 dt.18/2/2016 u/s 365/34 PPC PS/Hub City,District Uthal.</t>
  </si>
  <si>
    <t>3747-P</t>
  </si>
  <si>
    <t>Qari Muhammad Tahir Siddique s/o Muhammad Siddique</t>
  </si>
  <si>
    <t>Muhammad Yousaf, r/o Agha Bashir Town, Barlab Neher, 90/9L, House No. 03, GT Road, Ghalla Mandi, Tehsil &amp; District Sahiwal. (Mobile No. 0315-6101819 &amp; 0300-7243135)</t>
  </si>
  <si>
    <t>Traced Person. SP (RIB) Sahiwal submitted at the hearing that a case registered against him u/s 4/5 ESA, r/w 7-ATA and confined in Adyala Jail, Rawalpindi.</t>
  </si>
  <si>
    <t>3748-P</t>
  </si>
  <si>
    <t>Muhammad Rafique Anjum s/o Muhammad Shafi</t>
  </si>
  <si>
    <t>Mst. Shumaila Rafique, r/o House No. 205/N, Fareed Town, Stop No. 04, Tehsil &amp; District Sahiwal. (Mobile No. 0334-7677986)</t>
  </si>
  <si>
    <t>3749-P</t>
  </si>
  <si>
    <t>Gul Rehman s/o Muhammad Ayub</t>
  </si>
  <si>
    <t>Fiaz Abdul Rehman, r/o House No. 3362/33, Mohallah Qureshi Pura, district Gujrat. (Mobile No. 0306-6117507 &amp; 0304-5344495)</t>
  </si>
  <si>
    <t>Traced Person. Returned to Home and available at his given address in Gujrat. He appeared before the Commission on 24.8.17. Stated that he left the home due to family dispute.</t>
  </si>
  <si>
    <t>3750-K</t>
  </si>
  <si>
    <t>Adil Hameed s/o Khalid Hameed</t>
  </si>
  <si>
    <t>Khalid Hameed, r/o Mohallah Awan, Suni Gombhat, Tehsil &amp; District Kohat. (Mobile No. 0308-9061752)</t>
  </si>
  <si>
    <t>FIR No.18 dt.18/01/2017 u/s 365 PPC PS/Gumbat District Kohat.</t>
  </si>
  <si>
    <t>Traced Person. Returned to Home and available at his house in Kohat. Stated that he want to Quetta voluntarily at his own. No one abducted him.</t>
  </si>
  <si>
    <t>3751-K</t>
  </si>
  <si>
    <t>Momin Khan s/o Noor Haleem Shah</t>
  </si>
  <si>
    <t>Kuli Shah, r/o Khumai Banda, Tehsil &amp; District Kohat. (Mobile No. 0336-6177788)</t>
  </si>
  <si>
    <t>FIR No.36 dt.20/01/2017 u/s 365 PPC PS/Jarma District Kohat.</t>
  </si>
  <si>
    <t>Traced Person. Confined in Internment Center Kohat as informed at the hearing on 20.3.17 by Rep of MI.</t>
  </si>
  <si>
    <t>Traced (Confined in Internment Center Kohat)</t>
  </si>
  <si>
    <t>3752-K</t>
  </si>
  <si>
    <t>Aitabar Gul s/o Habib Khan</t>
  </si>
  <si>
    <t>Habib Khan, r/o Kharmato, Tehsil &amp; District Kohat. (Mobile No. 0335-5885194)</t>
  </si>
  <si>
    <t>FIR No.18 dt.31/12/2016 u/s 365 PPC PS/Bilitang District Kohat.</t>
  </si>
  <si>
    <t>3753-K</t>
  </si>
  <si>
    <t>Mehboob-ur-Rehman s/o Abdul Salam Awan</t>
  </si>
  <si>
    <t>Mst. Naseem Akhtar, r/o Purani Bohar Chowk, Basti Tareen Abad, Near Ali Shah, Police Lines, Dera Ismail Khan. (Mobile No. 0336-7239003)</t>
  </si>
  <si>
    <t>FIR No.605 dt.5/8/2014 u/s 365 PPC,PS/Cantt.,D.I.Khan</t>
  </si>
  <si>
    <t>Traced Person. Appeared before the Commission on 13.4.2017. Reluctant to share details of abduction for obvious reasons.</t>
  </si>
  <si>
    <t>3754-I</t>
  </si>
  <si>
    <t>Abdullah s/o Muhammad Khalil</t>
  </si>
  <si>
    <t>Muhammad Ibrahim, r/o Westrage III, Faiz Valley, Street No. 09, House No. 52-CB, Rawalpindi Cantt. (Mobile No. 0333-5250924)</t>
  </si>
  <si>
    <t>FIR No.141 dt.14/5/2016 u/s 365 PPC,PS/Sazi Mandi,Islamabad.</t>
  </si>
  <si>
    <t>Traced Person. Umar Yar has entered appeared appearance before the Commission, accordingly his name be deleted from the list of Enforced Disappeared Persons and case consigned to record.</t>
  </si>
  <si>
    <t>3755-I</t>
  </si>
  <si>
    <t>Umar Yar s/o Muhammad Khalil</t>
  </si>
  <si>
    <t>FIR No.141 dt.14/5/2016 u/s 365 PPC,PS/Sabzi Mandi,Islamabad.</t>
  </si>
  <si>
    <t>Traced Person. Returned to Home. Appeared before the Commission and leveled a few allegation against LEAs.</t>
  </si>
  <si>
    <t>3756-K</t>
  </si>
  <si>
    <t>Habib Ullah s/o Abdul Ali</t>
  </si>
  <si>
    <t>Sameen Jan, r/o Village Safed Dheri, Mohallah Dhora, P.O Peshawar University, (Mobile No. 0313-6919118)</t>
  </si>
  <si>
    <t>FIR No.204 dt.7/2/2017 u/s 365 PPC,PS/Pishtakhara, Peshawar.</t>
  </si>
  <si>
    <t>3757-K</t>
  </si>
  <si>
    <t>Mehboob Ullah s/o Abdul Ali</t>
  </si>
  <si>
    <t>3758-P</t>
  </si>
  <si>
    <t>Muahammad Bilal Ahmed s/o Muhammad Bashir Ahmed</t>
  </si>
  <si>
    <t>Muhammad Bashir Ahmed, r/o Saifabad No 2, House No 239, Gali No 1, Mohallah Ameen Town, Faisalabad, (Mobile No. 0300-7838803 &amp; 0324-3208528 )</t>
  </si>
  <si>
    <t>FIR No.74 dt.3/2/2017 u/s 365 PPC,PS/Jhang Bazaar, Faisalabad.</t>
  </si>
  <si>
    <t>Deleted. In the instant case as many as 9 JIT meetings were held and the case was categorized as a case of Missing Person has gone on his own by the JIT in all its reports. Matter was also taken up by PTF on 1.10.2019 and the PTF also categorized the case as that of Missing Person has gone on his own. During the course of investigation statements of 5 witnesses have been recorded and according to Police none of them is EW of the occurrence. Hence, the case is closed.</t>
  </si>
  <si>
    <t>3759-B</t>
  </si>
  <si>
    <t>Shabir Ahmed s/o Abdul Samad</t>
  </si>
  <si>
    <t>Mobile No. 0324-9211547)</t>
  </si>
  <si>
    <t>3760-I</t>
  </si>
  <si>
    <t>Azhar Mehmood Abbasi s/o Muhammad Faraz</t>
  </si>
  <si>
    <t>Mukhatar Ahmed, r/o Santhi, P.O Berout, Tehsil &amp; District Abbotabad. (Mobile No. 0316-5468137 &amp; 0340-9170403)</t>
  </si>
  <si>
    <t>Traced Person. Appeared before the Commission on 4.4.2017. Stated that he left home at his own and not abducted by anyone.</t>
  </si>
  <si>
    <t>3761-GB</t>
  </si>
  <si>
    <t>Muhammad Noman Shahid s/o Arshad Akram</t>
  </si>
  <si>
    <t>Arshad Akram, r/o House No. 06, Street No. 03, Mohallah Al-Habib Park, Near Corporation Chowk, Lahore. (Mobile No. 0333-4484074)</t>
  </si>
  <si>
    <t>Under Investigation (GB)</t>
  </si>
  <si>
    <t>3762-GB</t>
  </si>
  <si>
    <t>Imran Azeem s/o Muhammad Azeem</t>
  </si>
  <si>
    <t>Muhammad Ilyas Butt, r/o House No. 05, Street No. 12, Mohallah Shesh Mahal, Bilal Ganj, Mohni Road, Lahore. (Mobile No. 0300-7415911)</t>
  </si>
  <si>
    <t>3763-B</t>
  </si>
  <si>
    <t>Mir Dawood Khan Zehri s/o Sardar Rasool Bakhsh Zehri</t>
  </si>
  <si>
    <t>Mst. Bibi Zamrod, Jahalawan House , Jinnah Road, Quetta. (Mobile No.0333-79942424)</t>
  </si>
  <si>
    <t>FIR No.25/2018 dt.28/08/2018 u/s 365 PPC,PS/Surab ,District Shaheed Siknadarabad</t>
  </si>
  <si>
    <t>Deleted. The Commission held a number of hearing in this case. The Commission has perused completed record which shows that in the FIR and no allegation against any LEAs/ Agency. Hence not a case of enforced disappearance. Case is closed.</t>
  </si>
  <si>
    <t>3764-K</t>
  </si>
  <si>
    <t>Waleed Khan s/o Ameer Nawab</t>
  </si>
  <si>
    <t>Khalid Khan, r/o Mohallah Kashmiran, Mohallah Tambuluck, Tehsil &amp; District Mardan. (Mobile No. 0331-5311847)</t>
  </si>
  <si>
    <t>16101-1376099-7</t>
  </si>
  <si>
    <t>FIR No.53 dt.7/2/2017 u/s 365 PPC PS/Sheikh Maltoon,Mardan.</t>
  </si>
  <si>
    <t>3765-K</t>
  </si>
  <si>
    <t>Hamayun Khan s/o Shamraiz Khan</t>
  </si>
  <si>
    <t>Mst. Nahida Bibi, r/o P.O Khawaja Mad Mandan, Mir Azam , Bahadur Khel, Tehsil &amp; District Bannu. (Mobile No. 0334-0578282 &amp; 0333-7770717)</t>
  </si>
  <si>
    <t>Traced Person. Confined in Internment Center Lakki Marwat as informed at the hearing on 25.4.2017. Meeting with family facilitated.</t>
  </si>
  <si>
    <t>3766-K</t>
  </si>
  <si>
    <t>Suleman Bahadur s/o Gul Bahadur</t>
  </si>
  <si>
    <t>Gul Bahadaur, r/o Mohallah Khan Bahadur, Kohat Road, Village Shala, P.O Fatiam Khel, Bannu. (Mobile No. 0300-5768486)</t>
  </si>
  <si>
    <t>Traced Person. Confined in the Internment Center Lakki Marwat as informed at the hearing on 25.4.2017 by SP (Inv) Bannu.</t>
  </si>
  <si>
    <t>3767-P</t>
  </si>
  <si>
    <t>Muhammad Sajid Jabbar s/o Abdul Jabbar</t>
  </si>
  <si>
    <t>Abdul Jabbar, r/o Chak No 463, P.O Khas, Tehsil Sumandari District Faisalabad. (Mobile No. 0301-7140463)</t>
  </si>
  <si>
    <t>Traced Person. SP (Inv), Faisalabad, submitted that Missing Person Muhammad Sajid has Returned to Home and available at his house in Chak No. 463/G-B, P.O Khas, Tehsil Samundri, Distt: Faisalabad.</t>
  </si>
  <si>
    <t>3768-P</t>
  </si>
  <si>
    <t>Ehsan Manzoor s/o Manzoor Ahmed</t>
  </si>
  <si>
    <t>Munir Ahmed, r/o House No. 316, Ghulab Marriage Hall, Chowk Umar, Shadab Town, G.T Road, Ghala Mandi Sahiwal. (Mobile No. 0301-4438788)</t>
  </si>
  <si>
    <t>Traced Person. SHO PS Ghalla Mandi Sahiwal informed at the hearing on 5.4.2017 that Ehsan Manzoor has returned to home.</t>
  </si>
  <si>
    <t>3769-P</t>
  </si>
  <si>
    <t>Qasim Ali s/o Sajad Hussain</t>
  </si>
  <si>
    <t>Sajad Ali, r/o Mazar Colony, Street No. 09, House No. 36, Tehsil Taxila, District Rawalpindi. (Mobile No. 0302-5997992)</t>
  </si>
  <si>
    <t>Traced Person. Appeared before the Commission on 23.2.17. Did not explain factual aspects regarding his disappearance.</t>
  </si>
  <si>
    <t>3770-P</t>
  </si>
  <si>
    <t>Rizwan Ali s/o Ali Marjan</t>
  </si>
  <si>
    <t>Arshad Ali, r/o Mazar Colony, Street No. 09, House No. 36, Tehsil Taxila, District Rawalpindi. (Mobile No. 0302-5997992)</t>
  </si>
  <si>
    <t>Traced Person. Appeared before the Commission on 23.2.2017. Stated that he had gone on his own.</t>
  </si>
  <si>
    <t>3771-K</t>
  </si>
  <si>
    <t>Munawar Khan s/o Mir Hamza</t>
  </si>
  <si>
    <t>Mst. Amreen Nisa, r/o Pahar Khel Yaka, Tehsil &amp; District Lakki Marwat. (Mobile No. 0341-6573891 &amp; 0308- 2100201)</t>
  </si>
  <si>
    <t>FIR No.62 dt.6/2/2017 u/s 365 PPC PS Ghazni Khel,District Lakki Marwat.</t>
  </si>
  <si>
    <t>Deleted. Not a case of enforced disappearance as Munawar Khan is an absconder and a hardcore militant.</t>
  </si>
  <si>
    <t>3772-S</t>
  </si>
  <si>
    <t>Gul Nabi s/o Zaman Khan</t>
  </si>
  <si>
    <t>Muhammad Shah, r/o Muhammad Shah Peer Bakhsh Shah Building, Shope Shoba Bazar, Peshawar. (Mobile No. 0305-1997603)</t>
  </si>
  <si>
    <t>Deleted. The complainant was lodged by Muhammad Shah brother of the Missing Person . Gul Nabi . At the hearing held on 14.3.2017 his brother Ameen apppeared before the Commission, who stated that Gul Nabi was a driver, he went out for job but did not return. There is no allegation against any LEA neither any witness of any occurance of abduction. Hence not a case of emforced disappearance.</t>
  </si>
  <si>
    <t>3773-I</t>
  </si>
  <si>
    <t>Talal Muhammad Anwar s/o Muhammad Anwar</t>
  </si>
  <si>
    <t>Muhammad Anwar, r/o House No. 145, Mohallah Orangi Town, Sector No. 12/2, Karachi.</t>
  </si>
  <si>
    <t>D.D Report No.44 dt.4/5/2017 PS/Sabzi Mandi,Islamabad.</t>
  </si>
  <si>
    <t>Traced Person. SP (Inv), Islamabad, submitted report at the hearing on has Returned to Home and available at his given address. He appeared before the Commission at the hearing on 14.9.17.</t>
  </si>
  <si>
    <t>3774-S</t>
  </si>
  <si>
    <t>Maulana Mauvia Azam s/o Molana Azam Tariq</t>
  </si>
  <si>
    <t>Mst. Kaneza Tariq, r/o House No. 133, Mohallah Haq Nawaz Shaheed, Jhang Sadar. (Mobile No. 0334-9551640 &amp; 0336-6256891)</t>
  </si>
  <si>
    <t>Traced Person. A. Sattar Kashmri, DSP, Tando Allah Yar, submitted report that Missing Person has Returned to Home and available at his given address. The fact was confirmed by his wife over mobile.</t>
  </si>
  <si>
    <t>3775-K</t>
  </si>
  <si>
    <t>Muhammad Nawaz s/o Ameer Khan</t>
  </si>
  <si>
    <t>Mst. Nasreen Bibi, r/o Village Manglawar, Mohallah Shah Bakht Rawan, District Swat. (Mobile No. 0343-9780542)</t>
  </si>
  <si>
    <t>FIR No.168 dt.6/2/2017 u/s 365 PPC PS/Rahimabad,District Swat</t>
  </si>
  <si>
    <t>3776-P</t>
  </si>
  <si>
    <t>Abdul Akbar s/o Muhammad Aslam</t>
  </si>
  <si>
    <t>Muhammad Ashraf, r/o Bhatta No. 01, House No. 02, Mohallah Gulshan Umar Colony, Green Town Lahore. (Mobile No. 0300-8081411)</t>
  </si>
  <si>
    <t>FIR No.180 dt.7/2/2017 u/s 365 PPC PS/Green Town,District Lahore.</t>
  </si>
  <si>
    <t>Traced Person. Abdul Akhtar has been traced. Rep of MI is present. He has submitted that Abdul Akbar is presently confined in the Internment Center Lakki Marwat. Muhammad Ashraf brother of Abdul Akbar is present. He has been apprised of status of the case.</t>
  </si>
  <si>
    <t>3777-P</t>
  </si>
  <si>
    <t>Muhammad Rasool Khan s/o Muhammad Akbar Khan</t>
  </si>
  <si>
    <t>Muhammad Akbar Khan, r/o Village Aleak Khel, Tehsil &amp; District Lakki Marwat. (Mobile No. 0314-9482843)</t>
  </si>
  <si>
    <t>FIR No.197 dt.11/2/2017 u/s 365 PPC PS/City Raiwind,District Lahore.</t>
  </si>
  <si>
    <t>Traced Person. SI/ I.O of the case has submitted at the hearing on 07/05/2018 that Muhammad Rasool Khan has been traced and he has returned home. In this connection he has also furnished copy of the affidavit given by Akbar Khan f/o Muhammad Rasool Khan which has been placed on record.</t>
  </si>
  <si>
    <t>3778-K</t>
  </si>
  <si>
    <t>Muhammad Qayyum s/o Gul Rehman</t>
  </si>
  <si>
    <t>Mst. Gul Sanga, Martoba Chagam, Tehsil Poran, District Shangala. (Mobile No. 0331-9193975)</t>
  </si>
  <si>
    <t>Traced Person. Confined in the Internment Center Fizaghat as informed at the hearing on 9.3.2017 by Rep of MI. Wife confirmed.</t>
  </si>
  <si>
    <t>3779-F</t>
  </si>
  <si>
    <t>Gul Peer Khan s/o Nazar Gul</t>
  </si>
  <si>
    <t>Muhammad Sharif, r/o Data Khel, Village Spain Wam, North Waziristan.(Phone No. 0925-527357)</t>
  </si>
  <si>
    <t>Traced Person. PT, NWA submitted at the hearing on 18.4.17 that Gul Peer has returned to home and his statement recorded.</t>
  </si>
  <si>
    <t>3780-K</t>
  </si>
  <si>
    <t>Liaquat Ali s/o Jumma Khan</t>
  </si>
  <si>
    <t>Mst. Walia Bibi, r/o Village Shah Zamani, P.O Tank, Tehsil &amp; District Tank. (Mobile No. 0301-8795178)</t>
  </si>
  <si>
    <t>FIR No.119 dt.17/2/2017 u/s 365 PPC PS/SMA,Tank</t>
  </si>
  <si>
    <t>Traced Person. SP (Inv) Tank submitted report that Liaquat Ali has returned to home statement recorded u/s 164 PPC.</t>
  </si>
  <si>
    <t>3781-K</t>
  </si>
  <si>
    <t>Gul Muslim s/o Malik Shah Alam</t>
  </si>
  <si>
    <t>Malik Shah Alam, r/o Village Shah Zamani, Tehisl &amp; District Tank. (Mobile No. 0301-8795178)</t>
  </si>
  <si>
    <t>3782-S</t>
  </si>
  <si>
    <t>Saleem Shahzad s/o Mehboob Elahi</t>
  </si>
  <si>
    <t>r/o, House No. F-1000, Sector No. 10, Orangi Town, Karachi.</t>
  </si>
  <si>
    <t>Traced Person. SDPO, Naizmabad submitted report that Missing Person has Returned to Home and available at his house in House No. F-1000, Sector No. 10, Orangi Town, Karachi.</t>
  </si>
  <si>
    <t>3783-I</t>
  </si>
  <si>
    <t>Salman Haider</t>
  </si>
  <si>
    <t>Traced Person. SHO Loi Bher ICT confirmed at the hearing on 11.2.17 that Salman Haider has returned to home.</t>
  </si>
  <si>
    <t>3784-P</t>
  </si>
  <si>
    <t>Waqas Goraya</t>
  </si>
  <si>
    <t>FIR No.15 dt.6/1/2017 u/s 365 PPC PS/Sattokatla,Lahore.</t>
  </si>
  <si>
    <t>Traced Person. SP (Inv) Cantt, Lahore submitted report that Goraya has returned to home. Confirmed at the hearing on 13.10.17.</t>
  </si>
  <si>
    <t>3785-P</t>
  </si>
  <si>
    <t>Asim Saeed</t>
  </si>
  <si>
    <t>Traced Person. SP (Inv) Cantt, Lahore submitted report that Asim Saeed has returned to home. Confirmed at the hearing on 13.10.17.</t>
  </si>
  <si>
    <t>3786-P</t>
  </si>
  <si>
    <t>Ahmed Raza Naseer s/o Naseer Ahmed</t>
  </si>
  <si>
    <t>Traced Person. SP (Inv) Cantt, Lahore submitted report that Ahmed Raza Naseer has returned to home. Confirmed at the hearing on 13.10.17.</t>
  </si>
  <si>
    <t>3787-S</t>
  </si>
  <si>
    <t>Shahzeb Zafar s/o Zafar Masood-ud-Din</t>
  </si>
  <si>
    <t>Haris Zafar, r/o House No. C-63, Block-N, North Nazimabad, Karachi. (Mobile No. 0323-2052481)</t>
  </si>
  <si>
    <t>FIR No.200 dt.5/8/2016 u/s 365/34 PPC,PS/Taimuria,District Central,Karachi.</t>
  </si>
  <si>
    <t>Traced Person. DSP, Mushtaq Tanoli submitted that Missing Person was arrested by CTD in Crime No. 19/17)</t>
  </si>
  <si>
    <t>3788-K</t>
  </si>
  <si>
    <t>Wajid Shah s/o Javed Shah</t>
  </si>
  <si>
    <t>Mst. Shereen Bibi, r/o Javed Nagar, Tehisl &amp; District Dera Ismail Khan. (Mobile No. 0345-1711295)</t>
  </si>
  <si>
    <t>12101-1581010-9</t>
  </si>
  <si>
    <t>FIR No.84 dt.12/2/2017 u/s 365 PPC,PS/Saddar,D.I.Khan</t>
  </si>
  <si>
    <t>3789-P</t>
  </si>
  <si>
    <t>Muhammad Younas s/o Khair Muhammad</t>
  </si>
  <si>
    <t>Muhammad Ibrahim, r/o Mohallah, Mahjarien, Jama Masjid Umar Farooq, District Mianwali. (Mobile No. 0323-7255052 &amp; 0342-1899600)</t>
  </si>
  <si>
    <t>FIR No.38 dt.17/2/2017 u/s 365 PPC,PS/Piplan District Mianwali.</t>
  </si>
  <si>
    <t>Traced Person. Rep of MI, submitted at the hearing on 27.12.17 that Muhammad Younas is Confined in Internment Center, Lakki Marwat under Action (in aid of.</t>
  </si>
  <si>
    <t>3790-K</t>
  </si>
  <si>
    <t>Dawood Khan s/o Noor Ullah Khan</t>
  </si>
  <si>
    <t>Abdullah, r/o Budhber, Peshawar. (Mobile No. 0335-9393078 &amp; 0336-9371565)</t>
  </si>
  <si>
    <t>Traced Person. I.O submitted at the hearing on 9.10.17 that Dawood Khan is Confined in Internment Center, Mohmand Kohat under Action (in aid of Civil Power Regulation 2011.</t>
  </si>
  <si>
    <t>3791-S</t>
  </si>
  <si>
    <t>Muhammad Ahmed s/o Ishrat Ali</t>
  </si>
  <si>
    <t>r/o, Flat No. L-739, Sector No. 5-A-1, New Karachi, Karachi</t>
  </si>
  <si>
    <t>Traced (Confined in Central Prison, Karachi)</t>
  </si>
  <si>
    <t>3792-K</t>
  </si>
  <si>
    <t>Akbar Ali Khan</t>
  </si>
  <si>
    <t>r/o, P.O Pir Baba, Village Bhai, Tehsil Gadezai, Bonair.</t>
  </si>
  <si>
    <t>Traced Person. Appeared before the Commission on 8.3.2017. Stated that he remained in detention for 22 months.</t>
  </si>
  <si>
    <t>3793-K</t>
  </si>
  <si>
    <t>Iqbal Hussain Khan s/o Abu-ul-Hassan</t>
  </si>
  <si>
    <t>Hazrat Hussain, r/o Shaudra, Koza Gogkand, Tehsil Dagar, District Bonair. (Mobile No. 0346-9476886)</t>
  </si>
  <si>
    <t>Traced Person. Brother of Iqbal Hussain Khan , submitted at the hearing on 19.7.2017 that Missing Person, Iqbal Hussain Khan is Confined at Central Paithom, Swat)</t>
  </si>
  <si>
    <t>3794-K</t>
  </si>
  <si>
    <t>Obaid Ullah s/o Ibrahim</t>
  </si>
  <si>
    <t>Mst. Bibi Marwa, r/o Oblain Camp, Kohat. (Mobile No. 0333-9630859)</t>
  </si>
  <si>
    <t>Daily Diary Report No.24 dated 13/3/2017 PS/Cantt.,Kohat.</t>
  </si>
  <si>
    <t>Traced Person. SP (Inv) Kohat confirmed at the hearing on 20.3.17 Obaidullah has returned to home. Statement recorded.</t>
  </si>
  <si>
    <t>3795-K</t>
  </si>
  <si>
    <t>Dil Gul Nawaz Bangish s/o Imtiaz Khan</t>
  </si>
  <si>
    <t>Haq Nawaz, r/o Mohallah Yousaf Khel, Tehsil Tal, District Hangu. (Mobile No. 0303-9030047 &amp; 0332-9760609)</t>
  </si>
  <si>
    <t>Traced Person. Brother of Dil Gul Nawaz confirmed at the hearing on 21.3.17 that the latter has returned to home.</t>
  </si>
  <si>
    <t>3796-P</t>
  </si>
  <si>
    <t>Muhammad Javed Ahmed s/o Irshad Ahmed</t>
  </si>
  <si>
    <t>Irshad Ahmed, r/o Chak No. 1/1, Tehsil Haroonabad, District Bahawalnagar. (Mobile No.0301-2969787)</t>
  </si>
  <si>
    <t>FIR No.95 dt.13/4/2016 u/s 365 PPC PS/Saddar,Haroonabad, District Bahawalnagar.</t>
  </si>
  <si>
    <t>Deleted. Not a case of Enforced Disappearances. DPO Bahawalnager submitted at the hearing on 12.5.17 that Challan submitted to Court of Law.</t>
  </si>
  <si>
    <t>3797-P</t>
  </si>
  <si>
    <t>Nasir s/o Zafar Iqbal</t>
  </si>
  <si>
    <t>Mst. Parveen Bibi, r/o Kashmiri Kot, Inayat Khan, P.O Khas, Wazirabad, District Gujranwala. (Mobile No. 0342-8473563)</t>
  </si>
  <si>
    <t>Traced Person. I.O. submitted report that Nasir was killed and in this regard give accused persons have been arrested.</t>
  </si>
  <si>
    <t>Nankana Sahib</t>
  </si>
  <si>
    <t>3798-B</t>
  </si>
  <si>
    <t>Kamal-ud-Din s/o Shereen Khan</t>
  </si>
  <si>
    <t>Shereen Khan, r/o Khas Waran Canal, Shadharar Road, District Tank. (Mobile No. 0307-0725062 &amp; 0345-3163267 &amp; 0300-9090672).</t>
  </si>
  <si>
    <t>21706-8042666-1</t>
  </si>
  <si>
    <t>Deleted. Report submitted on the hearing on 23.5.2018 indicates that after his disappearance Kamal-ud-Din contacted his mother on his cell phone and informed her that he will return after 2/3 days but thereafter his whereabouts are not know and the cell phone is also off. In the Performa of Missing Persons it is not alleged that he was taken away by any of the LEAs. The case is closed as it does not fall within the domain of enforced disappearance.</t>
  </si>
  <si>
    <t>3799-P</t>
  </si>
  <si>
    <t>Tahir Mehmood s/o Taj-ud-Din</t>
  </si>
  <si>
    <t>Mst. Robina Kausar, r/oChak No. 39/12-1, Tehsil Chichwatni, District Sahiwal. (Mobile No. 0303-6957728 &amp; 0307-3008861)</t>
  </si>
  <si>
    <t>FIR No.163 dt.15/2/2017 u/s 365 PPC PS/Jauhar Town,Lahore.</t>
  </si>
  <si>
    <t>Traced Person. Tahir Mehmood entered appearance before the Commission on 27/06/2018 at Lahore. He submitted that the disappeared himself under compelling circumstances.</t>
  </si>
  <si>
    <t>3800-P</t>
  </si>
  <si>
    <t>Muhammad Kashif s/o Ghulam Hussain Salim</t>
  </si>
  <si>
    <t>Muhammad Tayyab, r/o 23/B, Mehmood Road, New Hassanabad, Lahore.(Mobile No.0341-4638789)</t>
  </si>
  <si>
    <t>Traced Person. SP (Inv) Multan submitted at the hearing on 6.4.2017 that Muhammad Kashif has returned to home.</t>
  </si>
  <si>
    <t>3801-P</t>
  </si>
  <si>
    <t>Iftikhar Ahmed s/o Haji Sardar Ahmed</t>
  </si>
  <si>
    <t>Mst. Ghulam Fatima, r/o Chak Kameerian Ada, Fareed Kot, Tehsil &amp; District Pakpattan. (Mobile No. 0302-7256399)</t>
  </si>
  <si>
    <t>Traced Person. SP(Inv) Multan submitted at the hearing on 6.4.2017 that Iftikhar Ahmed has returned to home.</t>
  </si>
  <si>
    <t>3802-I</t>
  </si>
  <si>
    <t>Naveed Hussain s/o Muhammad Hussain</t>
  </si>
  <si>
    <t>Azim Arshad, r/o Chak No. 08, Post Officer 89/6r, Tehsil &amp; Distrioct Sahiwal. (Mobile No. 0341-4638789)</t>
  </si>
  <si>
    <t>Traced Person. I.O. of the case submitted at the hearing on 3.4.17 that Naveed Hussain has returned to home on 21.3.2017.</t>
  </si>
  <si>
    <t>3803-I</t>
  </si>
  <si>
    <t>Syed Samar Abbas s/o Almadar Hussain Syed</t>
  </si>
  <si>
    <t>Ashar Abbas, r/o B-56, Abbas Town, Gulshan-e-Iqbal, Karachi. (Mobile No. 0301-8470593)</t>
  </si>
  <si>
    <t>FIR No.18 dt.15/1/2017 u/s 365 PPC,PS/Ramna, Islamabad.</t>
  </si>
  <si>
    <t>Traced Person. It was informed at the hearing held on 05/07/2018 that Syed Samar Abbas has been traced. He has returned to home. SHO Ps, Ramna affirmed that Syed Samar Abbas has returned to home.</t>
  </si>
  <si>
    <t>3804-P</t>
  </si>
  <si>
    <t>Abdul Majeed, r/o Chak Faisalabad, Moza Darwagara, P.O Kotla, Tehsil Khair Pur, District Bahawalpur. (Mobile No. 0305-2534988 &amp; 0347-7384816)</t>
  </si>
  <si>
    <t>3805-P</t>
  </si>
  <si>
    <t>Zahid Yousaf s/o Muhammad Yousaf</t>
  </si>
  <si>
    <t>Shahid Yousaf, r/o Flat No. 1701, Lignum Tower, Al- Ghurair Giga, DHA Phase- II, Gate No. 02, G. T Road, Islamabad. (Mobile No. 0322-5006009)</t>
  </si>
  <si>
    <t>Traced Person. SSP, Rawalpindi submitted report at the hearing on 3.5.17 that Zahid Yousaf has returned to home. Affidavit furnished by his brother.</t>
  </si>
  <si>
    <t>3806-S</t>
  </si>
  <si>
    <t>Muhammad Arif s/o Muhammad Haider</t>
  </si>
  <si>
    <t>r/o House No. A-47, Rafa-e-Aam, Co-Operative Society, Malir Halt, Karachi.</t>
  </si>
  <si>
    <t>Returned to Home and available at (House No. A-47, Rafa-e-Aam, Co-Operative Society, Malir Halt, Karachi)</t>
  </si>
  <si>
    <t>3807-P</t>
  </si>
  <si>
    <t>Shahnaz Bibi w/o Soba Khan</t>
  </si>
  <si>
    <t>Muhammad Javed, r/o Chak No. 220, Tehsil &amp; District Jhang. (Mobile No. 0300-6503055)</t>
  </si>
  <si>
    <t>FIR No.549 dt.20/11/2013 u/s 496-A PPC,PS/Saddar,Jhang</t>
  </si>
  <si>
    <t>3808-P</t>
  </si>
  <si>
    <t>Muhammad Tahir s/o Muhammad Ramzan</t>
  </si>
  <si>
    <t>Muhammad Ramzan, r/o Chak No. 154, District Sargodha. (Mobile No. 0344-0040727)</t>
  </si>
  <si>
    <t>Traced Person. SP (Inv), Lahore, submitted at the hearing on 20.9.17 that Muhammad Tahir has Returned to Home and available at his house in Chak No. 154, District Sargodha.</t>
  </si>
  <si>
    <t>3809-P</t>
  </si>
  <si>
    <t>Zaman Ahmed s/o Rana Mushtaq Ahmed</t>
  </si>
  <si>
    <t>Rana Mushtaq Ahmed, r/o Siddiqui Colony, Near Jamia Farooqi, Sheikhupura. (Mobile No. 0303-4070728)</t>
  </si>
  <si>
    <t>FIR No.520 dt.23/6/2016 u/s 365 PPC,PS/City,A-Division District Sheikhupura.</t>
  </si>
  <si>
    <t>Traced Person. DPO, Sheikhupura, submitted at the hearing on 25.8.17 that Zaman Ahmed has Returned to Home and available at his house in Siddiqui Colony, Near Jamia Farooqi, Sheikhupura.</t>
  </si>
  <si>
    <t>3810-K</t>
  </si>
  <si>
    <t>Zahir Arif s/o Haji Gul Rehman</t>
  </si>
  <si>
    <t>Mst. Hameed, r/o Dhangari Chowk, Makhan Store. (Mobile No. 0300-5967417)</t>
  </si>
  <si>
    <t>FIR No.452 dt.19/5/2013 u/s 365 PPC,PS/Pishtakhara, District Peshawar.</t>
  </si>
  <si>
    <t>3811-K</t>
  </si>
  <si>
    <t>Waris s/o Rehman-ud-Din</t>
  </si>
  <si>
    <t>Sahid Jan, r/o Block Factory, Nista Road, Jamrah Chimtar, Atif Colony Mardan. (Mobile No. 0300-5542938 &amp; 0345-8886120).</t>
  </si>
  <si>
    <t>FIR No.108 dt.20/2/2017 u/s 365 PPC,PS/MPS Saddar,District Mardan..</t>
  </si>
  <si>
    <t>3812-I</t>
  </si>
  <si>
    <t>Nasir Aziz s/o Abdul Aziz</t>
  </si>
  <si>
    <t>Abdul Aziz, r/o House No. 03, First floor, Street No. 01, Karam Complex Texila. (Mobile No. 0331-2828399)</t>
  </si>
  <si>
    <t>FIR No.18 dt.13/1/2017 u/s 365 PPC,PS/Tarnol,District Islamabad.</t>
  </si>
  <si>
    <t>Traced Person. I.O has submitted at the hearing on 30.5.17 that Nasir Aziz has been traced and presently residing at House No. 03, First floor, Street No. 01, Karam Complex Taxila)</t>
  </si>
  <si>
    <t>3813-I</t>
  </si>
  <si>
    <t>Mollana Abdul Aziz s/o Shoukat Ali</t>
  </si>
  <si>
    <t>Abdul Shakoor, r/o Street No. 05, Daniyal Town, Satiyan Road, Faisalabad. (Mobile No. 0301-4845803)</t>
  </si>
  <si>
    <t>Traced Person. SP (Inv) Rural ICT submitted report at the hearing on 3.4.17 that Mollana Abdul Aziz has returned to home.</t>
  </si>
  <si>
    <t>3814-K</t>
  </si>
  <si>
    <t>Mati Ullah s/o Mir Afzal</t>
  </si>
  <si>
    <t>Ahmed Khan, r/o Kankara Colony, Near Railway Station, Mohallah Nai Abadi, Haripur. (Mobile No. 0311-1519368)</t>
  </si>
  <si>
    <t>FIR No.83 dt.24/2/2017 u/s 365 PPC,PS/Hattar,District Haripur.</t>
  </si>
  <si>
    <t>Traced Person. Returned to Home and appeared before the Commission on 18.7.7. Reluctant to share details of abduction.</t>
  </si>
  <si>
    <t>3815-P</t>
  </si>
  <si>
    <t>Akhtar Imran s/o Wajid Ali</t>
  </si>
  <si>
    <t>Mobile No. 0306-0640182</t>
  </si>
  <si>
    <t>Traced Person. Akhtar Imam has been traced and returned to home. Both are present before the Commission. Statement of Akhtar Imam has been recorded on oath.</t>
  </si>
  <si>
    <t>3816-P</t>
  </si>
  <si>
    <t>Ragib Abbas s/o Sajid Hussain</t>
  </si>
  <si>
    <t>FIR No.1540 dt.15/12/2016 u/s 365 PPC, PS/Ghulam Muhammad Abad,District Faisalabad.</t>
  </si>
  <si>
    <t>Traced Person. SP(Inv) Faisalabad submitted at the hearing on 27.12.17 that Ragib Abbas has returned to home.</t>
  </si>
  <si>
    <t>3817-P</t>
  </si>
  <si>
    <t>Wajid Ali</t>
  </si>
  <si>
    <t>Traced Person. Wajid Ali has been traced and returned to home. Both are present before the Commission. Statement of Wajid Ali has been recorded on oath.</t>
  </si>
  <si>
    <t>3818-P</t>
  </si>
  <si>
    <t>Asad Abbas Aheer s/oMalik Ghulam Shabbir Aheer</t>
  </si>
  <si>
    <t>Traced Person. DSP/CTD, Sargodha, submitted report that Missing Person Asad Abbas Aheer has Returned to Home.</t>
  </si>
  <si>
    <t>3819-P</t>
  </si>
  <si>
    <t>Shabbir Hussain</t>
  </si>
  <si>
    <t>FIR No.46 dt.17/2/2017 u/s 365 PPC,PS/Hazro,District Attock.</t>
  </si>
  <si>
    <t>Deleted. At the hearing held in the case on 27.12.2017 District Police Officer Sargodha submitted in his report No. 46955 dated 26.12.2017 that Shabbir Hussain was not abducted at any point of time. Actually his son Asad Abbas was abducted who has returned to home. Accordingly, the name of Shabbir Hussain is deleted from the list of disappeared persons.</t>
  </si>
  <si>
    <t>3820-K</t>
  </si>
  <si>
    <t>Muhammad Ali Khan s/o Noor Muhammad Khan</t>
  </si>
  <si>
    <t>Zar Muhammad, r/o P.O Yaka Ghund, Tehsil Pandyeli, District Mohmand Agency. (Mobile No. 0301-5486414 &amp; 0300-7996060)</t>
  </si>
  <si>
    <t>3821-P</t>
  </si>
  <si>
    <t>Lal Muhammad s/o Hamza Khan</t>
  </si>
  <si>
    <t>Hamza Khan, r/o P.O Yaka Ghund, Tehsil Pandyeli, District Mohmand Agency.(Mobile No. 0308-5710421)</t>
  </si>
  <si>
    <t>Traced Person. Rep of MI,submitted that at the hearing on 24.8.17 that Lal Muhammad is Confined in Internment Center, Lakki Marwat under Action (in aid of Civil Regulation 2011)</t>
  </si>
  <si>
    <t>3822-P</t>
  </si>
  <si>
    <t>Abdul Sattar s/o Allah Bakhsh</t>
  </si>
  <si>
    <t>Aziz Ullah, r/o Mohallah Manjey Khel, Tehsil Kalor Kot, District Bakhar. (Mobile No. 0344-8959071)</t>
  </si>
  <si>
    <t>FIR No.233 dt.2/3/2017 u/s 365 PPC PPC,PS/Swabi,District Swabi.</t>
  </si>
  <si>
    <t>Traced Person. Rep of ISI has submitted at the hearing on 7.4.17 that Abdul Sattar is Confined in Internment Center, Kohat</t>
  </si>
  <si>
    <t>3823-K</t>
  </si>
  <si>
    <t>Muhammad Zubair s/o Atibar Shah</t>
  </si>
  <si>
    <t>Mst. Niaz, r/o P.O Samana, Hangu. (Mobile No. 0333-9676299)</t>
  </si>
  <si>
    <t>Traced Person. Mother of Muhammad Zubair confirmed that he was confined in the Beijing Jail. Also confirmed in his mother.</t>
  </si>
  <si>
    <t>3824-K</t>
  </si>
  <si>
    <t>Meherwan s/o Muhammad Wali Khan</t>
  </si>
  <si>
    <t>Muhammad Wali Khan, r/o Mohalla Sadar Khel, Tehsil &amp; District Swabi. (Mobile No. 0304-9292924)</t>
  </si>
  <si>
    <t>FIR No.102 dt.26/2/2017 u/s 365 PPC,PS/Sadar Kamoke District Gujranwala.</t>
  </si>
  <si>
    <t>Traced Person. Abdul Rehman brother of missing person appeared before the Commission on 12/12/2018 and submitted that his brother Meherwan was confined in Internment Center Ghalani in Mohmand Agency. Accordingly the case is closed.</t>
  </si>
  <si>
    <t>3825-P</t>
  </si>
  <si>
    <t>Syed Karim s/o Haji Abdul Akbar</t>
  </si>
  <si>
    <t>Syed Hakeem, r/o P.O Ghalojo, Tehsil Orkzai Agency. (Mobile No. 0333-9686298 &amp; 0347-9504755)</t>
  </si>
  <si>
    <t>Traced Person. SSP, Rawalpindi submitted at the hearing on 3.5.2017 that Syed Karim has returned to home.</t>
  </si>
  <si>
    <t>3826-P</t>
  </si>
  <si>
    <t>Zuilfqar Ahmed s/o Gulzar Ahmed</t>
  </si>
  <si>
    <t>Gulzar Ahmed, r/o Berokey, Tehsil Kamokey, District Gujranwala. (Mobile No. 0331-4640600)</t>
  </si>
  <si>
    <t>FIR No.1133dt.23/11/2016 u/s 365A PPC,PS/Ferozwala District Sheikhupura.</t>
  </si>
  <si>
    <t>Under Investigation (Punjab) Gujranwala</t>
  </si>
  <si>
    <t>1302/2017</t>
  </si>
  <si>
    <t>Gujranwala</t>
  </si>
  <si>
    <t>3827-P</t>
  </si>
  <si>
    <t>Syed Amjad Abbas Shah s/o Syed Ijaz Hussain Shah</t>
  </si>
  <si>
    <t>Syed Naveed-ul-Hassan Shah, r/o Ward No. 7, Shah Pur, Tehsil Shah Pur, District Sargodha. (Mobile No. 0301-6706119)</t>
  </si>
  <si>
    <t>Traced Person. DPO, Khushab, submitted report that Missing Person Syed Amjad Abbas Shah has Returned Home and available at his house in Ward No. 7, Shah Pur, Tehsil Shah Pur, District Sargodha.</t>
  </si>
  <si>
    <t>3828-P</t>
  </si>
  <si>
    <t>Jamshed Khan s/o Mujhaid Khan</t>
  </si>
  <si>
    <t>Muhammad Javed Khan, r/o B/14, Sher Bangal Colony, Rana Town, Tehsil Ferozwala, District Sheikhupura. (Mobile No. 0333-0437433)</t>
  </si>
  <si>
    <t>Traced Person. Lt. Col. Sohail Ahmad, Rep of MI was present at the hearing on 7.3.2019. According to the report received from MI, Directorate, GHQ, Rawalpindi Jamshed Khan s/o Mujahid Khan is interned in Internment Centre, Lakki Marwat.</t>
  </si>
  <si>
    <t>3829-K</t>
  </si>
  <si>
    <t>Shafi Ullah s/o Muhammad Nawaz</t>
  </si>
  <si>
    <t>Wisal Khan, r/o Khawazi Kaka Kor, Tehsil Ghalani Uppar Mohmand Agency. (Mobile No. 0348-5077725 &amp; 0307-5006080)</t>
  </si>
  <si>
    <t>1433-04-005651</t>
  </si>
  <si>
    <t>FIR No.704 dt.26/06/2018 u/s 365 PPC,PS/Takhat Bhai, District Mardan</t>
  </si>
  <si>
    <t>3830-B</t>
  </si>
  <si>
    <t>Khalid Bin Waleed s/o Mir Azam</t>
  </si>
  <si>
    <t>Haran Ullah, r/oWind Mohallah, PF Road, District Lasbella. (Mobile No. 0347-0390140)</t>
  </si>
  <si>
    <t>FIR No.207 dt.30/3/2017 u/s 365 PPC,PS/Doaba District Hangu.</t>
  </si>
  <si>
    <t>Traced Person. DSP Lasbela reported at the hearing on 7.12.17 that Khalid Bin Waleed has been killed in police encounter in area of PS Malir Karachi.</t>
  </si>
  <si>
    <t>3831-K</t>
  </si>
  <si>
    <t>Barkat Ullah s/o Aziz Ullah</t>
  </si>
  <si>
    <t>Mst. Bibi Tana, r/o Village Teshild, District Tank. (Mobile No. 0304-9792558 &amp; 0302-3188874)</t>
  </si>
  <si>
    <t>12201-0418996-5</t>
  </si>
  <si>
    <t>Fir No. 312 dated 25.5.2017 u/S 365 PPC, P.S Saddar, D.I.Khan</t>
  </si>
  <si>
    <t>Under Investigation (KP)
  D.I.Khan</t>
  </si>
  <si>
    <t>3832-K</t>
  </si>
  <si>
    <t>Safiad Zaman s/o Zundi Gul</t>
  </si>
  <si>
    <t>Muhammad Ibrahim, r/o Dowaba Maind Bazar, Tehsil Tal, District Hangu. (Mobile No. 0300-5661133 &amp; 0333-0222633)</t>
  </si>
  <si>
    <t>Traced Person. SP (Inv), Hangu, submitted report at the hearing on 27.12.17 that Safiad Zaman has Returned to Home and available at his house in Dowaba Maind Bazar, Tehsil Tal, District Hangu.</t>
  </si>
  <si>
    <t>3833-P</t>
  </si>
  <si>
    <t>Fahad Shah s/o Noor Badshah</t>
  </si>
  <si>
    <t>Noor Badshah, r/o Mohallah Mian gan, Ibrahim Zai, Tehsil &amp; District Charsadda. (Mobile No. 0311-4498692)</t>
  </si>
  <si>
    <t>Deleted, the case has been investigated through by JIT and this Commission. According to reports, after quarrel with some persons for include FIR was lodged, both the Missing Personsescaped and late declered Procdained offender by Court of Law. ISI, MI and CTD have denied apprehensions/ custody of Fahad Shah. Hence not a case of Enforced Disappearance and stand closed.</t>
  </si>
  <si>
    <t>3834-P</t>
  </si>
  <si>
    <t>Muhammad Asif s/o Hamesh Gul</t>
  </si>
  <si>
    <t>Deleted, the case has been investigated through by JIT and this Commission. According to reports, after quarrel with some persons for include FIR was lodged, both the Missing Personsescaped and late declered Procdained offender by Court of Law. ISI, MI and CTD have denied apprehensions/ custody of Muhammad Asif. Hence not a case of Enforced Disappearance and stand closed.</t>
  </si>
  <si>
    <t>3835-P</t>
  </si>
  <si>
    <t>Zubida Bibi d/o Sufi Khan</t>
  </si>
  <si>
    <t>Ghulam Fareed, r/o Esa Khel, P.O Sheikh Mehmood, District Mianwali. (Mobile No. 0342-6870596 &amp; 0343-1856242)</t>
  </si>
  <si>
    <t>FIR No.42 dt.8/3/2017 u/s 365 PPC,PS/Golra,Islamabad</t>
  </si>
  <si>
    <t>Traced Person. DSP(Legal) Mianwali submitted at the hearing on 7.4.17 that Zubidi Bibi is present at B.B.Centre for Woman, Islamabad.</t>
  </si>
  <si>
    <t>3836-P</t>
  </si>
  <si>
    <t>Farooq Ahmed s/o Muhammad Ismail</t>
  </si>
  <si>
    <t>Nadeem, r/o Street No. 9, Madni Colony, Near Masjid Faizan, Bahawalnagar. (Mobile No. 0306-7862663)</t>
  </si>
  <si>
    <t>Under Investigation (Punjab)
 Bahawalnagar</t>
  </si>
  <si>
    <t>3837-I</t>
  </si>
  <si>
    <t>Wazir Zada s/o Ghulam Habib</t>
  </si>
  <si>
    <t>Saleem, r/o 26 No. Chungi, Minar Wali Masjid, Hussain Street, Islamabad. (Mobile No. 0343-8825510 &amp; 0335-0460606)</t>
  </si>
  <si>
    <t>Traced Person. Rep of MI. Submitted report that Wazir Zada is presently confined in Internment Center Paithom. Action (in aid of Civil Power) Regulation 2011. Family Members have been allowed to meet him.</t>
  </si>
  <si>
    <t>3838-S</t>
  </si>
  <si>
    <t>Sheikh Jamal s/o Abdul Ghaffor</t>
  </si>
  <si>
    <t>r/o House No. 23, Street No. 03, Sector No. E, Manzoor Colony, Karachi.</t>
  </si>
  <si>
    <t>Returned to Home and available at House No. 23, Street No. 03, Sector No. E, Manzoor Colony, Karachi</t>
  </si>
  <si>
    <t>3839-S</t>
  </si>
  <si>
    <t>Imran Pasha s/o Abdul Majeed</t>
  </si>
  <si>
    <t>r/o, Flat No. B-414, Abid Town, Gulshan-e-Iqbal, Block No. 02, Karachi.</t>
  </si>
  <si>
    <t>Traced Person. Sub Inspector, PS Gulshan-e-Iqbal went to meet the complainant at given address but the resident of area told that no person with the name ever resided than one to non-availability of the complaint no further action is possible. The case is closed.)</t>
  </si>
  <si>
    <t>3840-S</t>
  </si>
  <si>
    <t>Muhammad Ijaz s/o Aslam Deen</t>
  </si>
  <si>
    <t>r/o, House No. 239, A-1 Area Malir, Sector No. L-2, Karachi.</t>
  </si>
  <si>
    <t>Traced Person. Returned to Home an available at (House No. 239, A-1 Area Malir, Sector No. L-2, Karachi.)</t>
  </si>
  <si>
    <t>3841-S</t>
  </si>
  <si>
    <t>Nafees Ahmed Siddiqui s/o Zaheer Ahmed Siddiqui</t>
  </si>
  <si>
    <t>r/o, House No. 27, Akhtar Colony, Liquatabad, Karachi.</t>
  </si>
  <si>
    <t>Traced Person. Returned to Home an available at (House No. 27, Akhtar Colony, Liquatabad, Karachi)</t>
  </si>
  <si>
    <t>3842-S</t>
  </si>
  <si>
    <t>Asad Zaheer s/o Zaheer Hussain</t>
  </si>
  <si>
    <t>Mst. Asma Bano, r/o House No. 115, Street No. 28, Khayban-e-Saher, Phase No. 06, DHA, Karachi. (Mobile No. 0321-8224818)</t>
  </si>
  <si>
    <t>FIR No.107 dt.5/10/2016 u/s 365 PPC,PS/Shams Colony,Islamabad.</t>
  </si>
  <si>
    <t>Traced Person. Inspector Altaf, representative of Home Department, Submitted that the Missing Person is Returned to Home and available at House No. 115, Street No. 28, Khayban-e-Saher, Phase No. 06, DHA, Karachi</t>
  </si>
  <si>
    <t>3843-S</t>
  </si>
  <si>
    <t>Syed Muhammad Suleman s/o Nadeem Haider</t>
  </si>
  <si>
    <t>Mst. Asma Bano, r/o C-2, Farwa Home, Block No. 03, Karachi. (Mobile No. 0321-8224818)</t>
  </si>
  <si>
    <t>FIR No.310 dt.27/3/2017 u/s 365 PPC,PS/City,Hangu.</t>
  </si>
  <si>
    <t>Returned to Home and available at C-2, Farwa Home, Block No. 03, Karachi.</t>
  </si>
  <si>
    <t>3844-I</t>
  </si>
  <si>
    <t>Ali Ahmed s/o Sikander Ali</t>
  </si>
  <si>
    <t>Liquat Ali, r/o Chak No. 98/9-L, Tehsil &amp; District Sahiwal. (Mobile No. 0300-9546198</t>
  </si>
  <si>
    <t>FIR No.118 dt.24/2/2017 u/s 365 PPC,PS/Chehlyak,District Multan.</t>
  </si>
  <si>
    <t>Traced (b/o of Missing Person submitted that his brother detained in Central Jail, Multan</t>
  </si>
  <si>
    <t>3845-K</t>
  </si>
  <si>
    <t>Abdul Wahid s/o Ghulam Habib</t>
  </si>
  <si>
    <t>Ghulam Habib, r/o Haider Khel, Sangara, Tehsil Central Orkazai Agency. (Mobile No. 0336-1313501)</t>
  </si>
  <si>
    <t>21601-3957099-1</t>
  </si>
  <si>
    <t>FIR No.104 dt.13/3/2017 u/s 365 PPC,PS/Karor,District Layyah.</t>
  </si>
  <si>
    <t>3846-P</t>
  </si>
  <si>
    <t>Hamid Jamal s/o Muhammad Jamal</t>
  </si>
  <si>
    <t>Muhammad Basit Ansari, r/o Jan Muhammad Colony, Masoom Shah Road, Main Gali, Multan (Mobile No. 0333-6053091, 0300-73233018)</t>
  </si>
  <si>
    <t>FIR No.137 dt.13/3/2017 u/s 365 PPC,PS/B.Z,District Multan.</t>
  </si>
  <si>
    <t>Traced Person. Appeared before the Commission on 6.5.2017 that he left home due to some misunderstanding with his uncle. No one abducted him.</t>
  </si>
  <si>
    <t>3847-P</t>
  </si>
  <si>
    <t>Hafeez Ullah s/o Muhammad Nawaz</t>
  </si>
  <si>
    <t>Ghulam Mustafa, r/o Basti Sirgani, District Layyah. (Mobile No. 0301-6081299 &amp; 0347-7327757)</t>
  </si>
  <si>
    <t>3848-P</t>
  </si>
  <si>
    <t>Zeeshan Abbass Haider s/o Syed Munir Kazim</t>
  </si>
  <si>
    <t>Mst. Bibi Uma Salma, r/o Basti Shaheed Abad, Mehmood Kot, Tehsil Kot Adu, District Muzaffagrah.</t>
  </si>
  <si>
    <t>FIR No.208 dt.15/3/2015 u/s 365 PPC PS/Khurshid Khan Shaheed, District Swat.</t>
  </si>
  <si>
    <t>Traced Person. SSP (Inv), Multan Submitted at the hearing on 21.8.17 that Zeeshan Abbass has Returned to Home and available at Basti Shaheed Abad, Mehmood Kot, Tehsil Kot Adu, District Muzaffagrah</t>
  </si>
  <si>
    <t>3849-K</t>
  </si>
  <si>
    <t>Aziz-ur-Rehman s/o Ashraf Khan</t>
  </si>
  <si>
    <t>Abdul Ghaffor, r/o Darbi Khel, P.O Bara, Tehsil Bara, Khyber Agency. (Mobile No. 0300-988803 &amp; 0333-8335695)</t>
  </si>
  <si>
    <t>Traced Person. I.O submitted at the hearing on 9.10.17 that Aziz-ur-Rehman is Confined in Internment Center, Lakki Marwat under Action (in aid of Civil Power Regulation 2011.</t>
  </si>
  <si>
    <t>3850-K</t>
  </si>
  <si>
    <t>Muhammad Ajan s/o Sanobar</t>
  </si>
  <si>
    <t>Noor Muhammad, r/o Village Jasher, P.O Shalfean, Tehsil Khoza Khel, District Swat. Mobile No. 0347-9757727)</t>
  </si>
  <si>
    <t>Traced Person. Confined in the Internment Center Paithom, Swat as informed at the hearing on 28.4.17 by SP(Inv) Swat.</t>
  </si>
  <si>
    <t>3851-S</t>
  </si>
  <si>
    <t>Muhammad Akabar s/o Muhammad Bakhsh</t>
  </si>
  <si>
    <t>Muhammad Ameen, r/o Wahi Mochya, P.O Chak Noor Nigha, Tehsil Ahmed East District Bahawalpur. (Mobile No. 0303-2500984)</t>
  </si>
  <si>
    <t>FIR No.70 dt.12/4/2017 u/s 365 PPC PS/Civil Lines District Sahiwal.</t>
  </si>
  <si>
    <t>3852-P</t>
  </si>
  <si>
    <t>Adnan Khan s/o Ghalaf Gull</t>
  </si>
  <si>
    <t>Mst. Sara Khan, r/o Peshawar Haji Camp, Mohallah Idrees Abad, Near Zeenat Plaza. (Mobile No. 0303-5038859)</t>
  </si>
  <si>
    <t>FIR No.44 dt.15/2/2017 u/s 365 PPC PS/Rajoa District Chiniot.</t>
  </si>
  <si>
    <t>Traced Person. It was informed at the hearing held in this case on 05/09/2018 by SP (Inv), Sahiwal that necessary verification has been made which revealed that Adnan Khan has returned to home.</t>
  </si>
  <si>
    <t>3853-P</t>
  </si>
  <si>
    <t>Bilal Hussain s/o Mian Khan</t>
  </si>
  <si>
    <t>Mian Khan, r/o Purani Abadi, P.O Nangi, Tehsil &amp; District Mirpur. (Mobile No. 0333-5808830)</t>
  </si>
  <si>
    <t>Traced Person. Bilal Khan has reportedly been killed in encounter by CTD, Multan. Family members informed accordingly case is being referred by Secretary/ Cabinet &amp; Secretary Punjab for further action.</t>
  </si>
  <si>
    <t>3854-P</t>
  </si>
  <si>
    <t>Wajid Ali, r/o Fatima Colony, Tehsil &amp; District Chiniot. (Mobile No. 0311-7229636)</t>
  </si>
  <si>
    <t>Traced Person. Akhtar Imran has been traced. Father of traced person is present. He has affirmed that his son has returned to home and present at home. t</t>
  </si>
  <si>
    <t>3855-P</t>
  </si>
  <si>
    <t>Waqar Haider s/o Wajid Ali</t>
  </si>
  <si>
    <t>Traced Person. DPO, Chiniot submitted at the hearing held at 09/05/2018 that Waqar Haider has been traced and he has returned to home on 04/05/2018. Wajid Ali father of Missing Person who affirmed that Waqar Haider had returned to home.</t>
  </si>
  <si>
    <t>3856-K</t>
  </si>
  <si>
    <t>Muhammad Nasir Jaffari s/o Ghulam Jaffar Jaffari</t>
  </si>
  <si>
    <t>Muhammad Shakir Jaffari, r/o Awan Street, Mohallah Jatanwala, P.O Pahar Pur, District D. I.Khan, Mobile No. 0346-6007724 &amp; 0333-9332472)</t>
  </si>
  <si>
    <t>Traced Person. Muhammad Nisar Jaffari has been traced. Rep of MI is present, who has submitted report dated 2.5.2019, which stated that the case of Muhammad Nisar Jaffari is pending trial for (FGCM) on espionage charges, his brother has apprised of the status of the case.</t>
  </si>
  <si>
    <t>3857-P</t>
  </si>
  <si>
    <t>Nasir Mehmood Khan s/o Muhammad Aslam Khan</t>
  </si>
  <si>
    <t>Mubasshir Ahmed, r/o House No. D-897, Satellite Town Rawalpindi. (Mobile No. 0345-5070468)</t>
  </si>
  <si>
    <t>FIR No.102 dt.23/3/2017 u/s 365 PPC PS/Topi,Swabi.</t>
  </si>
  <si>
    <t>Deleted. Mubasshir Ahmed, complainant entered appearance on 1.2.2021 whose statement was recorded on oath, in which he stated that no allegation whatsoever was levelled against any LEAs/ Intelligence Agency in the complaint. H deposed that no evidence has come on record which may suggest that Nasir Mehmood Khan was abducted by any LEA/ Intelligence Agency. Since the case does not fall within the ambit of enforced disappearance, therefore the case was closed.</t>
  </si>
  <si>
    <t>3858-P</t>
  </si>
  <si>
    <t>Haji Ramazan s/o Gull Alam Khan</t>
  </si>
  <si>
    <t>Maseed, r/o New Ghala Mandi, Gujar Khan. (Mobile No. 0300-5028618 &amp; 0300-5176296)</t>
  </si>
  <si>
    <t>Traced Person. CPO, Rawalpindi submitted report that Missing Person has Returned to Home and available at his house in New Ghala Mandi, Gujar Khan.</t>
  </si>
  <si>
    <t>3859-K</t>
  </si>
  <si>
    <t>Farid Khan s/o Hakeem Khan</t>
  </si>
  <si>
    <t>Mst. Parvaz Bibi, Topi Police Station, Tarbela Road, Village Topi, District Swabi. (Mobile No. 0316-1931187)</t>
  </si>
  <si>
    <t>3860-P</t>
  </si>
  <si>
    <t>Osama Hafeez s/o Hafeez-ul-Haq</t>
  </si>
  <si>
    <t>Mst. Shafqat Parveen, r/o House No. 04, Street No. 1, Shadab Colony, Jhang Sadar (Mobile No. 0300-7502705)</t>
  </si>
  <si>
    <t>FIR No.187 dt.23/3/2017 u/s 365 PPC PS/Shah Shams Colony, Multan.</t>
  </si>
  <si>
    <t>Traced Person. Returned to Home as informed by I.O. at the hearing on 4.7.17 and available at House No. 04, Street No. 1, Shadab Colony, Jhang Sadar.</t>
  </si>
  <si>
    <t>3861-K</t>
  </si>
  <si>
    <t>Waheed Ullah s/o Shaer Gull</t>
  </si>
  <si>
    <t>Bhag Noor, r/o Shop No. 22, Block B, Shanewari Market, Karkhano Market. (Mobile No. 0303-8838822, 0300-5880208)</t>
  </si>
  <si>
    <t>FIR No.41 dt.2/3/2017 u/s 365-A PPC PS/Secretariat, Islamabad.</t>
  </si>
  <si>
    <t>Traced Person. I.O submitted at the hearing that Waheed Ullah is Confined in Internment Center, Kohat under Action (in aid of Civil Power Regulation 2011.</t>
  </si>
  <si>
    <t>3862-P</t>
  </si>
  <si>
    <t>Katoray s/o Abdul Rehman</t>
  </si>
  <si>
    <t>Ali Haider, r/o House No. 1, Street No, 1, Mohallah Chowk Saraye, Allah Wali Masjid, Taxlia (Mobile No. 0313-9655105)</t>
  </si>
  <si>
    <t>FIR No.85 dt.13/1/2017 u/s 365 PPC PS/Farid Town, Sahiwal.</t>
  </si>
  <si>
    <t>Traced Person. Kotoray has been traced and entered appearance before the Commission on 08/05/2018. He submitted that he went to Karachi on his own will and he was not abducted by anybody.</t>
  </si>
  <si>
    <t>3863-I</t>
  </si>
  <si>
    <t>Muhammad Waqas s/o Muhammad Hanif</t>
  </si>
  <si>
    <t>Mst. Gulnaz Bibi, r/o Dhok Mori, Hazara Town, Baharakau, Islamabad. (Mobile No. 0323-8507067, 03225019567)</t>
  </si>
  <si>
    <t>FIR No.363 dt.5/5/2016 u/s 365-A PPC PPC,PS/Khanna,District Islamabad.</t>
  </si>
  <si>
    <t>Traced Person. SP (Inv), Islamabad has submitted at the hearing on 29.5.17 that Muhammad Waqas has returned and presently residing at his home.</t>
  </si>
  <si>
    <t>3864-P</t>
  </si>
  <si>
    <t>Hafiz Muhammad Umar s/o Tariq Pervaiz</t>
  </si>
  <si>
    <t>Ghulam Murtaza, r/o Rehmat Ullah Colony, 86/6R, Saihwal. (Mobile No. 0315-7126279)</t>
  </si>
  <si>
    <t>Traced Person. DPO Sahiwal submitted report at the hearing on 8.5.17 that Hafiz Muhammad Umar is confined in Adyala Jail Rawalpindi.</t>
  </si>
  <si>
    <t>3865-I</t>
  </si>
  <si>
    <t>Muhammad Ibrar s/o Muhammad Younas</t>
  </si>
  <si>
    <t>Mst. Gul Nisa, r/o Yousaf Colony, Muslim Town, Near Jalebi Chowk, Rawalpindi. (Mobile No. 0335-5256857)</t>
  </si>
  <si>
    <t>Traced Person. Muhammad Ibrar produced by Child Protection Burea at the hearing on 31.5.17 as informed by SP(Inv) ICT, Islamabad.</t>
  </si>
  <si>
    <t>3866-B</t>
  </si>
  <si>
    <t>Kamran Jamal s/o Jamil Ahmed</t>
  </si>
  <si>
    <t>Jamil Ahmed, r/o New Azizabad, near Stadium, Mastung. (Mobile No. 0338-79686599)</t>
  </si>
  <si>
    <t>FIR No.99 dt.17/3/2017 u/s 365 PPC PS/Ratta Amral,District Rawalpindi.</t>
  </si>
  <si>
    <t>Traced Person. Returned to Home and available at his given address.</t>
  </si>
  <si>
    <t>3867-S</t>
  </si>
  <si>
    <t>Muhammad Ashraf Memons/o Muhammad Siddique</t>
  </si>
  <si>
    <t>Muhammad Siddique, r/o37/C, Rahat Comercial, Defence Phase.06, Karachi. (Mobile No. 0322-2129448)</t>
  </si>
  <si>
    <t>Traced Person. It was informed at the hearing held in this Commission on 11.6.2019 that Muhammad Ashraf Memon has returned to home. The report submitted by the Police Officer SDPO, Airport, Karachi is placed on record.</t>
  </si>
  <si>
    <t>3868-P</t>
  </si>
  <si>
    <t>Aurangzeb s/o Bashir Ahmed</t>
  </si>
  <si>
    <t>Nasir Khan, r/o House No. 2-A, 849. Street No 40, Dhoke Matkeyal, Rawalpindi. (Mobile No. 0312-5686291)</t>
  </si>
  <si>
    <t>Aurangzeb has been traced. He has returned home. Nasir Khan complainant / brother appeared before the Commission and his statement was recorded on oath in which he deposed that Aurangzeb returned home and he could not enter appearance before the Commission because he had gone to Lahore for some business. He further stated that his brother was not abducted by anybody rather he had gone on his own.</t>
  </si>
  <si>
    <t>3869-S</t>
  </si>
  <si>
    <t>Nauman s/o Shoaib Khan</t>
  </si>
  <si>
    <t>Shoaib Khan, r/o House 149, Mohallah Subhani, Frontier Colony No. 2, Site Karachi (Mobile No. 0313-1092514)</t>
  </si>
  <si>
    <t>SHO, PS, Site-A, submitted that Missing Person was Killed during an encounter with Police)</t>
  </si>
  <si>
    <t>3870-S</t>
  </si>
  <si>
    <t>Muhammad Tariq s/o Abdul Kareem</t>
  </si>
  <si>
    <t>Muhammad Khalid, r/o K-D-A, Allahwala Town, Korangi, Karachi</t>
  </si>
  <si>
    <t>Deleted. Not a case of enforced disappearances as theMissing Person is involved in case FIR No. 79/2016 PS, CTD, Multan and declared absconder by competent Court of jurisdiction.</t>
  </si>
  <si>
    <t>3871-S</t>
  </si>
  <si>
    <t>Abdul Aziz s/o Abdul Qadir</t>
  </si>
  <si>
    <t>Muhammad Khalid, r/o K-D-A, Allahwala Town, Korangi, Karachi (Mobile No. 0301-2100939)</t>
  </si>
  <si>
    <t>FIR No.188 dt.28/4/2017 u/s 365 PPC,PS/Westridge, District Rawalpindi.</t>
  </si>
  <si>
    <t>Traced Person. It was informed ta the hearing held in this Commission on 8/7/2019 that dead body of Missing Person Abdul Aziz was recovered which was handed over to legal heirs for burial. He was killed in encounter with the LEAs, CTD, Punjab Sheikhupura.</t>
  </si>
  <si>
    <t>3872-S</t>
  </si>
  <si>
    <t>Muhammad Sajid s/o Abdul Kareem</t>
  </si>
  <si>
    <t>FIR No.298 dt.28/4/2017 u/s 365 PPC PS/New Town,District Rawalpindi.</t>
  </si>
  <si>
    <t>Traced Person. It was informed at the hearing on 25/04/2018 that Muhammad Sajid was involved in Crime No. 74/16 at PS CTD, Multan. He has been decladre Proclaimed Offender by Court of Jurisdiction .</t>
  </si>
  <si>
    <t>3873-S</t>
  </si>
  <si>
    <t>Abu Bakar s/o Abdullah Baloch</t>
  </si>
  <si>
    <t>Hameeda r/o House No. C-230, Khuda Ki Basti, Kotari District Jamshoro (Mobile No. 0345-0844644, 0341-0844600)</t>
  </si>
  <si>
    <t>Traced Person. Returned to Home an available at (House No. C-230, Khuda Ki Basti, Kotari District Jamshoro)</t>
  </si>
  <si>
    <t>Jamshoro</t>
  </si>
  <si>
    <t>3874-P</t>
  </si>
  <si>
    <t>Abdul Rasheed s/o Duremqan</t>
  </si>
  <si>
    <t>Qari Muhammad Asif, Jamia Al Aloom Alshariya, Bakery Chowk, Westrige 1, Rawalpindi</t>
  </si>
  <si>
    <t>Traced Person. Appeared before the Commission on 24.6.17. Stated that he was in captivity of some unknown persons.</t>
  </si>
  <si>
    <t>3875-P</t>
  </si>
  <si>
    <t>Yaqoob s/o Dilaram Khan</t>
  </si>
  <si>
    <t>Dilaram Khan r/o Khar , Tehsil Khar, District Bajor Agency. (Mobile No. 0301-5781673 &amp; 0303-8801239 &amp; 0301-8195475).</t>
  </si>
  <si>
    <t>21103-8563891-7</t>
  </si>
  <si>
    <t>3876-P</t>
  </si>
  <si>
    <t>Abdul Samad s/o Inam Khan</t>
  </si>
  <si>
    <t>Inam Khan, Malangy, P.O Anayat Kaly, Tehsil Mehmond, District Bajor Agency (Mobile No. 0305-5186561)</t>
  </si>
  <si>
    <t>3877-K</t>
  </si>
  <si>
    <t>Gull Shereen s/o Aqal Khan</t>
  </si>
  <si>
    <t>Mst. Uzra, Manez Sangolai, P.O Sngolai Piane, Tehsil Timergira, District Lower Dir (Mobile No. 0301-8058937)</t>
  </si>
  <si>
    <t>Under Investigation (KPK) Lower Dir</t>
  </si>
  <si>
    <t>3878-P</t>
  </si>
  <si>
    <t>Tanveer Nawaz Butt s/o Muhammad Nawaz Butt</t>
  </si>
  <si>
    <t>Mst. Nabeela Tanveer, r/o Ward No. 07, Street No. 02, Mohallah Shumail Khalian, District Gujrat. (Mobile No. 0300-5440324)</t>
  </si>
  <si>
    <t>FIR No.280 dt.26/3/2017 u/s 365 PPC,PS/City,Bannu.</t>
  </si>
  <si>
    <t>Traced Person. DPO Gujrat informed at the hearing on 5.5.2017 that Tanveer has returned to home. Brother confirmed.</t>
  </si>
  <si>
    <t>3879-P</t>
  </si>
  <si>
    <t>Tehseen Askari s/o Sheikh Munir Hussain Sethi</t>
  </si>
  <si>
    <t>Dr. Mohsin Askari, r/o Ward No. 05, Mohallah Sattar Pur, Kharian, District, Gujrat. (Mobile No. 0336-5442139 &amp; 0342-9992508)</t>
  </si>
  <si>
    <t>Traced Person. I.O. Submitted at the hearing on 24.8.17 that Tehseen Askari has been arrested in case FIR No. 33 u/s 4-ESA r/w 7-ATA, PS CTD Multan. He is judicial lock-up.</t>
  </si>
  <si>
    <t>3880-P</t>
  </si>
  <si>
    <t>Muhammad Akhtar s/o Abdul Ghaffor</t>
  </si>
  <si>
    <t>Mobeen Akhtar, r/o PTCL, Office, Dinga, Tehsil Kharian, Dostrict Gujrat. (Mobile No. 0313-6489028)</t>
  </si>
  <si>
    <t>3881-K</t>
  </si>
  <si>
    <t>Dr/ Riaz-ul-Iqbal s/o Said Farosh</t>
  </si>
  <si>
    <t>Shamas-ul-Iqbal, r/o Faizabad, P.O Nawagai, Tehsil Mandanr, HQ, Daggar, District Bonair, KPK. (Mobile No. 0345-9308692)</t>
  </si>
  <si>
    <t>Traced Person. DPO, Bannu, submitted report that Missing Person has Returned to Home and available at his Faizabad, P.O Nawagai, Tehsil Mandanr, HQ, Daggar, District Bonair.</t>
  </si>
  <si>
    <t>3882-K</t>
  </si>
  <si>
    <t>Muhammad Anwar s/o Muhammad Yar</t>
  </si>
  <si>
    <t>Mst. Seema, r/o Tubewell, Korona, Dalazak Road, Hindiki Daman, Peshawar. (Mobile No. 0305-9037299 &amp; 0303-8296563)</t>
  </si>
  <si>
    <t>FIR No.109 dt.11/3/2017 u/s 365 PPC PS/Umerzai,District Charsadda.</t>
  </si>
  <si>
    <t>3883-K</t>
  </si>
  <si>
    <t>Mir Wali s/o Damin</t>
  </si>
  <si>
    <t>Syed Khan, r/oTubewell, Korona, Dalazak Road, Hindiki Daman, Peshawar. (Mobile No. 0304-9688447)</t>
  </si>
  <si>
    <t>Traced Person. Rep of MI submitted that the Missing Person Miar Wali is Confined in Internment Center, Lakki Marwat under Action (in aid of Civil Power) Regulation 2011. Family Members have been allowed to meet him.</t>
  </si>
  <si>
    <t>3884-K</t>
  </si>
  <si>
    <t>Mehboob s/o Mir Wali</t>
  </si>
  <si>
    <t>FIR No. 126 dated 29.3.2017 u/s 365 PPC PS Risalpur, District Nowshera.</t>
  </si>
  <si>
    <t>3885-K</t>
  </si>
  <si>
    <t>Imtiaz Khan s/o Aitabar Khan</t>
  </si>
  <si>
    <t>Noor Muhammad Khan, r/o Dag Qila, Kamal Khel, P.O Sando Khel, Tehsil Safi, District Mohmand Agency. (Mobile No. 0302-8007661)</t>
  </si>
  <si>
    <t>Traced Person. IB and I.O. of the case confirmed at the hearing on 13.11.17 that Imtiaz Khan returned to home.</t>
  </si>
  <si>
    <t>3886-K</t>
  </si>
  <si>
    <t>Hamza Farooq s/o Fateh-ul-Farooqi</t>
  </si>
  <si>
    <t>Fateh-ul-Farooqi, r/o House No. E-41, T &amp; T Colony, District Haripur. (Mobile No. 0332-5074494)</t>
  </si>
  <si>
    <t>Deleted. SSP (Inv), submitted at the hearing on 17.7.17 that Hamza Farooq has commited suiside due to failure in examination.</t>
  </si>
  <si>
    <t>3887-K</t>
  </si>
  <si>
    <t>Zafar Ullah Khan s/o Hayat Ullah</t>
  </si>
  <si>
    <t>Hayat Ullah, r/o House No. 54, Block -A, New Abadi, Near Jamia Masjid, Saddar, Risalpur Cantt, District Nowshera. (Mobile No. 0301-8800050)</t>
  </si>
  <si>
    <t>Traced Persom. Zafar Ullah Khan has returned to home and he enterned appearance nefore the Commission on 03/05/2018. He did not share details regarding place of detention etc.</t>
  </si>
  <si>
    <t>3888-K</t>
  </si>
  <si>
    <t>Jamshed Ahmed s/o Abdul Qayyum Khan</t>
  </si>
  <si>
    <t>Jahenzaib Khan, r/o Tariq Abad Colony, Near Foji Shop Keeper, Dera Ismail Khan. (Mobile No. 0346-9496353 &amp; 0346-9495116)</t>
  </si>
  <si>
    <t>12201-2686770-5</t>
  </si>
  <si>
    <t>FIR No.289 dt.31/3/2017 u/s 365 PPC,PS/Cantt,District D.I.Khan.</t>
  </si>
  <si>
    <t>3889-K</t>
  </si>
  <si>
    <t>Muhammad Amir s/o Abdul Rasheed</t>
  </si>
  <si>
    <t>Muhammad Hammad, r/o Hajiabad Khair Mato, Orkazai Banda, District Kohat. (Mobile No. 0331-9889456)</t>
  </si>
  <si>
    <t>FIR No.210 dt.09/4/2017 u/s 365 PPC,PS/Pirwadhai,District Rawalpindi.</t>
  </si>
  <si>
    <t>Traced Person. SP(Inv) Kohat informed at the hearing on 8.6.2017 that Muhammad Amir has returned to home.</t>
  </si>
  <si>
    <t>3890-P</t>
  </si>
  <si>
    <t>Muhammad Amir s/o Wali Muhammad</t>
  </si>
  <si>
    <t>Wali Muhammad, r/oChak No. 478, G.B, Tehsil Sumandri, District Faisalabad. (Mobile No. 0332-6907478)</t>
  </si>
  <si>
    <t>Traced Person. Wali Muhammad father of Muhammad Amir has entered appearance before the Commission, whose statement has been recorded on oath. He has deposed that Muhammad Amir is his son and he filed complaint regarding his disappearance before the Commission in the year 2017. He was informed on 21.12.2019 that Muhammad Amir is detained in the Internment Center Lakki Marwat. He also stated that he went there along with his other son and met him in the aforesaid Internment Center. He further added that his complaint may be filed.</t>
  </si>
  <si>
    <t>3891-P</t>
  </si>
  <si>
    <t>Muhammad Alam Arif s/o Fateh Muhammad</t>
  </si>
  <si>
    <t>Mst. Taramean, r/o Chak No. 111/7-R, Tehsil Chicha Watani, District Sahiwal. (Mobile No. 0340-7116422)</t>
  </si>
  <si>
    <t>Under Investigation (Punjab) Sahiwal</t>
  </si>
  <si>
    <t>3892-K</t>
  </si>
  <si>
    <t>Muhammad Bilal s/o Sher Bahadur</t>
  </si>
  <si>
    <t>Jaffar Khan, r/o Mohallah Toheedabad, Dowaba, Tehsil Tal, District Hangu. (Mobile No. 0300-5669807 &amp; 0300-5660027)</t>
  </si>
  <si>
    <t>Traced Person. SP(Inv) Hangu reported at the hearing on 27.12.17 that Muhammad Bilal has returned to home. Reluctant to share details of abduction.</t>
  </si>
  <si>
    <t>3893-P</t>
  </si>
  <si>
    <t>Rana Muhammad Babar Nisar s/o Rana Nisar Ahmed Khan</t>
  </si>
  <si>
    <t>Rana Nisar Ahmed Khan, r/o Street No. 02, Mohallah Usman Abad, Daska Road, Sialkot. (Mobile No. 0333-8684017)</t>
  </si>
  <si>
    <t>Traced Person. Arrested by FIA vide FIR No. 42/17 PS Cyber Crime Wing FIA. Father confirmed.</t>
  </si>
  <si>
    <t>3894-P</t>
  </si>
  <si>
    <t>Muhammad Saleem s/o Aitabar Khan</t>
  </si>
  <si>
    <t>Awal Khan, Sharab Kor, P.O Sando Khel, Tehsil Mohmand Agency, District Mohmand Agency. (Mobile No. 0301-8821922 &amp; 0305-9306952).</t>
  </si>
  <si>
    <t>3895-P</t>
  </si>
  <si>
    <t>Muhammad Yasir s/o Muhammad Abdullah Khan</t>
  </si>
  <si>
    <t>Muhammad Saeed, r/o Chak No. 263, Dichkot, Tehsil &amp; District Faisalabad. (Mobile No. 0300-7673978 &amp; 0307-7240886)</t>
  </si>
  <si>
    <t>Trace Person. SP (Inv),Faisalabad, submitted report that Muhammad Yasir is presently Confined in Central Jail, Multan in case FIR No: 54 dated 7.12.17 u/s 4/5 ESA r/w 7-ATA PS CTD, Multan.</t>
  </si>
  <si>
    <t>3896-K</t>
  </si>
  <si>
    <t>Saleem Javeed s/o Mehrab Gul</t>
  </si>
  <si>
    <t>Mehrab Gul, Mahal Narai, Umera Khan Kalay, P.O Fazalabad, Tehsil Takht Bhai, District Mardan. (Mobile No. 0300-5136638)</t>
  </si>
  <si>
    <t>Traced Person. In charge Chowki Batkhela appeared before the Commission whose statement was recorded on oath produced copies of statement of Saleem Javed recorded u/s 161 CrPC by AC Batkhela confirming that he had returned home. No further action is required. The case is closed.</t>
  </si>
  <si>
    <t>3897-K</t>
  </si>
  <si>
    <t>Sheram Gul s/o Ikram Khan</t>
  </si>
  <si>
    <t>Anat Gul, r/o Village Char, Tehsil &amp; District Tank. (Mobile No. 0337-6348196)</t>
  </si>
  <si>
    <t>FIR No. 192/2017 dated 31.3.2017 u/s 365 PPC, PS Shaheed Mureek Akbar, District Tank</t>
  </si>
  <si>
    <t>Traced Person. SP (Inv), Tank appeared before the Commission on 11.2.2021 and submitted that Sheram Gul returned home. He further deposed that as per Sheram Gul statement he was not abducted by anybody rather he went to Karachi on his own and later returned home.</t>
  </si>
  <si>
    <t>3898-K</t>
  </si>
  <si>
    <t>Sajad Ali s/o Sani Gul</t>
  </si>
  <si>
    <t>Mst. Hayat Bibi, r/o Mohallah Malook Abad, Mingora, Tehsil &amp; District Swat. Mobile No. 0346-2673931 &amp; 0342-8976350)</t>
  </si>
  <si>
    <t>3899-K</t>
  </si>
  <si>
    <t>Zevar Khan s/o Muqarab Khan</t>
  </si>
  <si>
    <t>Mst. Rakham Jana, r/o Village Pathan Kot, Tehsil &amp; District Tank. (Mobile No. 0342-9381181)</t>
  </si>
  <si>
    <t>Traced Person. Returned to Home (SP (Inv), Tank submitted at the hearing on 23.5.17 that Zevar Khan jas returned to home and available at Village Pathan Kot, Tehssil &amp; District Tank.</t>
  </si>
  <si>
    <t>3900-K</t>
  </si>
  <si>
    <t>Abdul Haseeb s/o Aziz-ur-Rehman</t>
  </si>
  <si>
    <t>Mst. Fatima, r/o Angor Kor, P.O Zareef Kor, Yak Ghunda, District Mohmand Agency. (Mobile No. 0316-5661843 &amp; 0300-9324946)</t>
  </si>
  <si>
    <t>3901-K</t>
  </si>
  <si>
    <t>Shah Wazir s/o Taj Muhammad Khan</t>
  </si>
  <si>
    <t>Jan Wazir, r/o Shaor Bal, P.o Sheringal, Tehsil Sheringal, District Upper Dir. (Mobile No. 0323-9512376 &amp; 0343-8829654)</t>
  </si>
  <si>
    <t>Traced Person. Rep of MI, submitted at the hearing on 3.8.17 that Shah Wazir is Confined in Internment Center, Lakki Marwat under Action (in aid of Civil Regulation 2011)</t>
  </si>
  <si>
    <t>3902-P</t>
  </si>
  <si>
    <t>Muhammad Yaqoob s/o Ahmed Ali</t>
  </si>
  <si>
    <t>Muhammad Mumtaz, r/o Chak No. 9310, Ada Noor Pur, Tehsil &amp; District Pak Patan. (Mobile No. 0341-8205689)</t>
  </si>
  <si>
    <t>Traced Person. I.O, submitted report that Muhammad Yaqoob has Returned and available at his home. Appeared before the Commission on 8.2.2018.</t>
  </si>
  <si>
    <t>Pak Patan</t>
  </si>
  <si>
    <t>3903-P</t>
  </si>
  <si>
    <t>Noor Rehman s/o Munir Khan</t>
  </si>
  <si>
    <t>Ali Rehman, r/o Cinema Mor, Quaidabad Gali. Tehsil &amp; District Kasur. (Mobile No. 0305-4552908 &amp; 0344-4639359)</t>
  </si>
  <si>
    <t>Traced Person. Returned to Home and appeared before the Commission on 18.9.17. Details of abduction could not be furnished for obvious reasons.</t>
  </si>
  <si>
    <t>Kasur</t>
  </si>
  <si>
    <t>3904-P</t>
  </si>
  <si>
    <t>Azhar Mehmood s/o Muzaffar Khan</t>
  </si>
  <si>
    <t>Mst. Maqsood Jan, r/o Mera Beri, P.O Golra Sharif, Islamabad.</t>
  </si>
  <si>
    <t>FIR No. 210/17 dated 16/5/17 u/s 365 PPC, PS Ladhia Wala Warich, District Gujranwala</t>
  </si>
  <si>
    <t>Deleted. Amir Shahzad b/o Azhar Mehmood is present, whose statement has been recorded on oath. According to him Azhar Mehmood was suffering from mental ailment and was brought to spiritual leader namely Pir Nasar Ullah for treatment at Gujranwala and disappeared in mysterious circumstances. He further stated that his brother has not been picked up by any LEAs/intelligence agencies.</t>
  </si>
  <si>
    <t>3905-P</t>
  </si>
  <si>
    <t>Umar Farooq s/o Abdul Majeed</t>
  </si>
  <si>
    <t>Abdul Waheed, r/o Street No. 04, Suleman Pura, Bahawal, District Sargodha. (Mobile No. 0300-9603925)</t>
  </si>
  <si>
    <t>Traced Person. DPO, Sargodha, submitted at the hearing on 31.10.17 that Umar Farooq has Returned to Home and available at Street No. 04, Suleman Pura, Bahawal, District Sargodha. His brother confirmed.</t>
  </si>
  <si>
    <t>3906-I</t>
  </si>
  <si>
    <t>Waqar Ali s/o Allah Dad</t>
  </si>
  <si>
    <t>Mst. Shasita, r/o Shani Masjid, Golora Sharif, Islamabad. (Mobile No. 0310-5576789)</t>
  </si>
  <si>
    <t>FIR No.273 dt.15/10/2015 u/s 365 PPC PS/Golra,Islamabad.</t>
  </si>
  <si>
    <t>Deleted. Not a case of Enforced Disappearances as it revolves around dispute on a piece of land.</t>
  </si>
  <si>
    <t>3907-I</t>
  </si>
  <si>
    <t>Noman Baseer s/o Baseer Ahmed</t>
  </si>
  <si>
    <t>Faizan Basir, r/o Sanj P.O Khas, Murree District Rawalpindi. ( Mobile No. 03124724466</t>
  </si>
  <si>
    <t>FIR No.94 dt.16/3/2016 u/s 365 PPC PS/Aabpara,Islamabad.</t>
  </si>
  <si>
    <t>Traced Person. A case vide FIR No: 2/17 dated 12.6.17 is registered against him by CTD, Faisalabad.</t>
  </si>
  <si>
    <t>3908-I</t>
  </si>
  <si>
    <t>Abdul Aziz s/o Jamsheed Khan</t>
  </si>
  <si>
    <t>Abdul Razzaq, Chongra, P.O Astore, Tehsil &amp; District Astore. (Mobile No. 0355-5271614)</t>
  </si>
  <si>
    <t>Traced Person. SP(Inv) ICT as well as brother of Abdul Aziz confirmed that the latter has returned to home. Hearing dated 5.6.17 refers.</t>
  </si>
  <si>
    <t>3909-I</t>
  </si>
  <si>
    <t>Mirza Taimoor Baig s/o Mirza Qayyum Baig</t>
  </si>
  <si>
    <t>Faraz Farrakuh Qayyum, r/o Village Shadara, P.O Kohala, Tehsil &amp; District Muzaffarabad. (Mobile No. 0343-4788061 &amp; 0332-5320277)</t>
  </si>
  <si>
    <t>Traced Person. Returned to Home and available at Village Shadara, P.O Kohala, Tehsil &amp; District Muzaffarabad as informed at the hearing on 13.10.17.</t>
  </si>
  <si>
    <t>3910-K</t>
  </si>
  <si>
    <t>Tariq Khan s/o Mewal Khan</t>
  </si>
  <si>
    <t>Mst. Bakht Zadi, r/o Beri Bagh, Yaka Toot, Mohallah Khaksar Colony, Peshawar. (Mobile No. 0343-5552215)</t>
  </si>
  <si>
    <t>3911-K</t>
  </si>
  <si>
    <t>Attique-ur-Rehman s/o Muhammad Mumtaz</t>
  </si>
  <si>
    <t>Muhammad Fiaz, r/o Mohallah Aziz Abad, Tehsil &amp; District Manshera. (Mobile No. 0333-3495431)</t>
  </si>
  <si>
    <t>Traced Person. Returned to Home. However, no details could be furnished by the abductee who has come back.</t>
  </si>
  <si>
    <t>3912-K</t>
  </si>
  <si>
    <t>Muhammad Yousaf s/o Gull Yousaf</t>
  </si>
  <si>
    <t>Shan Bahadur, r/o Bibywar, Tehsil &amp; District Upper Dir. (Mobile No. 0300-5756604)</t>
  </si>
  <si>
    <t>Deleted. In the instant case JIT as well as PTF categorized the case as Missing Person has gone on his own. ISI, MI, FC and CTD have denied apprehension/ custody of the Missing Person is not in their custody. Shah Bahadur (Complainant) also entered appearance before the Commission, whose statement was recorded on oath, in which he deposed that he did not level against any LEAs/ Intelligence Agency. Hence not a case of enforced disappearance. Accordingly, the case is closed.</t>
  </si>
  <si>
    <t>3913-K</t>
  </si>
  <si>
    <t>Muhammad Zakir s/o Gul Habib</t>
  </si>
  <si>
    <t>Mst. Tasleema Bibi, r/o Zeri Gul Sheraki, Amal Khel, Dara Adam Khel, F.R, Kohat. (Mobile No. 0305-5398813 &amp; 0303-9283132)</t>
  </si>
  <si>
    <t>3914-K</t>
  </si>
  <si>
    <t>Ehsan Ullah s/o Muhammad Feroz Khan</t>
  </si>
  <si>
    <t>Muhammad Feroz Khan, r/o Marobi Shahi Khel, P.O Ladha, Tehsil Ladha, District South Waziristan Ageny. (Mobile No. 0332-6780872)</t>
  </si>
  <si>
    <t>Traced Person. SP (Inv), Bannu informed at the hearing on 12/04/2018 that Ehsan Ullah has returned to home no one appeared in the behalf of complainant although informed by this Commission as well as SHO concerned.</t>
  </si>
  <si>
    <t>3915-K</t>
  </si>
  <si>
    <t>Sami Ullah s/o Abdul Qasim</t>
  </si>
  <si>
    <t>Mst. Tasleem, r/o Ajar Khan, Saido Sharif, Tehsil &amp; District Swat. (Mobile No. 0347-1928183)</t>
  </si>
  <si>
    <t>Traced Person. It has been informed at the hearing on 25/10/2018 that Sami Ullah has been traced. He is presently confined in the Internment Center Fizaghat. IO o the case is present. He has been apprised of status if the case. Family members of Sami Ullah shall be facilitated to see him in the Internment Center as per rules and procedure.</t>
  </si>
  <si>
    <t>3916-K</t>
  </si>
  <si>
    <t>Abdul Baser s/o Abdul Kabir</t>
  </si>
  <si>
    <t>Mst. Rizwan Bibi, r/o Khawami Banda Road, Tehisl &amp; District Kohat. (Mobile No. 0334-8347855)</t>
  </si>
  <si>
    <t>FIR No.140 dt.18/4/2017 u/s 365 PPC PS/Jarma,District Kohat</t>
  </si>
  <si>
    <t>Traced Person. Appeared before the Commission on 11.10.17. Stated that he went to Karachi at his own. No one abducted him.</t>
  </si>
  <si>
    <t>3917-F</t>
  </si>
  <si>
    <t>Mehran s/o Taj Gul</t>
  </si>
  <si>
    <t>Mst Jannat Bibi, r/o Ayakor, P.O Sandu Khel, Tehsil Safi, District Mohmand Agency. (Mobile No. 0304-9409193)</t>
  </si>
  <si>
    <t>Traced Person. Rep of FATA, Sectt, submitted report that Missing Person has Returned to Home and available at his house in Ayakor, P.O Sandu Khel, Tehsil Safi, District Mohmand Agency.</t>
  </si>
  <si>
    <t>3918-F</t>
  </si>
  <si>
    <t>Taj Gul s/o Ramdad</t>
  </si>
  <si>
    <t>3919-P</t>
  </si>
  <si>
    <t>Shahid Mehmood s/o Muhammad Siddique</t>
  </si>
  <si>
    <t>Abid Mehmood, r/o Chak No. 121, Jeem Bay Gokhowal, Tehsil &amp; District Faisalabad. (Mobile No. 0347-5857050 &amp; 0306-7887431)</t>
  </si>
  <si>
    <t>3920-F</t>
  </si>
  <si>
    <t>Mujhdeen s/o Zar Islam</t>
  </si>
  <si>
    <t>Nawzol Rehman, r/o Asad Khel, Tehsil Dosli, North Wazaristan Agency. (Mobile No. 0334-5752191)</t>
  </si>
  <si>
    <t>Traced Person. Rep of MI , submitted at the hearing on 15.8.17 that Mujahideen is Confined in Internment Center Lakki Marwat under Action (in aid of Civil Regulation 2011)</t>
  </si>
  <si>
    <t>3921-K</t>
  </si>
  <si>
    <t>Midrar-ud-Din s/o Faheem-ud-Din</t>
  </si>
  <si>
    <t>Misbah-ud-Din, r/o Mohallah Bazeen, Tehsil &amp; District Mardan. (Mobile No. 0345-9357124)</t>
  </si>
  <si>
    <t>Deleted. In this case JIT as well PTF concluded the case to be of Missing Person ha gone on his own including IB, CTD denied arrest and detention of Midrar-ud-Din. Statement of Misbauddin (Brother) was recorded on oath in which he deposed that he had no allegation against any LEA. Hence, not a case of enforced disappearance and closed.</t>
  </si>
  <si>
    <t>3922-P</t>
  </si>
  <si>
    <t>Qari Maqbool Ahmed Farooqi s/o Muhammad Din</t>
  </si>
  <si>
    <t>Muhammad Din, r/o Jama Faqrooq-e-Azam, Airport Road, Bhatta Chowk, KB Colony, Lahore. (Mobile No. 0301-6924380)</t>
  </si>
  <si>
    <t>Traced Person. Reportedely Qari Maqbool Ahmed Farooqi was killed in Police encounter; however the complainant is not satisfied as according to him qua the encounter communicated after lapse of two years.</t>
  </si>
  <si>
    <t>3923-P</t>
  </si>
  <si>
    <t>Hamza Iqbal Ansari s/o Muhammad Iqbal Ansari</t>
  </si>
  <si>
    <t>Ruqia Bano, r/o Club Chowk, Amir Road, Sajad Colony, Shad Bagh, Lahore. (Mobile No. 0303-4173590)</t>
  </si>
  <si>
    <t>Traced Person. Appeared before the Commission on 22.9.17. Stated that he remained confined for a few months.</t>
  </si>
  <si>
    <t>3924-P</t>
  </si>
  <si>
    <t>Yasir Arfat s/o Mehar Muhammad Sher</t>
  </si>
  <si>
    <t>Mst. Samina Meraj, r/o House No. 13, Al Hamad Colony, Abu Bakar Street, Allama Iqbal Town, Lahore. (Mobile No. 0308-4129032)</t>
  </si>
  <si>
    <t>Deleted. Mst. Samina Miraj, aunt of the Missing Person has appeared, whose statement has been recorded on oath. She has deposed that her nephew Yasir Arafat disappeared on 27.5.2016. She also stated that she lodged FIR regarding his disappearance in Police Station Whadat Colony, Lahore in which he nominated three persons namely Faheem Khan, Rizwan and Needo. She further added that in the complaint she has not leveled and allegation against LEAs/Intelligence Agencies. Hence, not a case of enforced disappearance.</t>
  </si>
  <si>
    <t>3925-P</t>
  </si>
  <si>
    <t>Hafiz Atta Ullah s/o Mufti Ghulam Mustafa</t>
  </si>
  <si>
    <t>Ehsan Ullah, r/o Jamia Masjid Sulman, Park Begum Pura, House No. 82/A-B, Gujar Pura, Lahore. (Mobile No. 0333-4917678)</t>
  </si>
  <si>
    <t>Traced Person. Hafiz Atta Ullah appeared before the Commission at Lahore on 20.3.2018. He could not explain factual position for certain obvious reasons.</t>
  </si>
  <si>
    <t>3926-K</t>
  </si>
  <si>
    <t>Fazal-e-Rabi s/o Muhammad Faqeer</t>
  </si>
  <si>
    <t>r/o Village Nowshad Abad, District Bonair.</t>
  </si>
  <si>
    <t>Traced Person. Appeared before the Commission on 2.5.17. Confirmed he was released for Central Jail, Haripur.</t>
  </si>
  <si>
    <t>3927-K</t>
  </si>
  <si>
    <t>Hafeez Ullah s/o Hameed Ullah</t>
  </si>
  <si>
    <t>Hameed Ullah , r/o Village Espori, Tehsil Mirali, North Waziristan Agency.</t>
  </si>
  <si>
    <t>Traced Person. Returned to Home and available at Village Espori, Tehsil Mirali, North Waziristan Agency as informed at the hearing on 21.8.2017.</t>
  </si>
  <si>
    <t>3928-F</t>
  </si>
  <si>
    <t>Kashif s/o Rehmat Ullah</t>
  </si>
  <si>
    <t>Rehmat Ullah, r/o T. D bazar, Tehsil Jamrud, Khyber Agency.</t>
  </si>
  <si>
    <t>Traced Person. Rep of IB informed at the hearing on 15.8.17 that Kashif has returned to home.</t>
  </si>
  <si>
    <t>3929-F</t>
  </si>
  <si>
    <t>Khandan Khan s/o Hameed Khan</t>
  </si>
  <si>
    <t>r/o Village Sami Khel, Tehsil Haleemzai, Mohmand Agency.</t>
  </si>
  <si>
    <t>Traced Person. PA Mohmand Agency submitted report that Missing Person Khandan Khan has Returned to Home and available at his house in Village Sami Khel, Tehsil Haleemzai, Mohmand Agency. Rep of ACS FATA confirmed at the hearing on 19.01.2018.</t>
  </si>
  <si>
    <t>3930-P</t>
  </si>
  <si>
    <t>Muhammad Yousaf s/o Hakeem Khalil Ullah</t>
  </si>
  <si>
    <t>Mst. Naseem Zahra, r/o Baloch Colony, Tehsil &amp; District Bahawalpur. (Mobile No. 0340-6841409)</t>
  </si>
  <si>
    <t>Traced Person. \I.O, submitted report that Missing Person has Returned to Home and available at his House Baloch Colony, Tehsil &amp; District Bahawalpur.</t>
  </si>
  <si>
    <t>3931-K</t>
  </si>
  <si>
    <t>Shahid s/o Abdul Aziz</t>
  </si>
  <si>
    <t>Mst. Jahan Alam, r/o Jahan Abad, Tilagram, Tehsil Char bagh, District Swat. (Mobile No. 0342-9638806)</t>
  </si>
  <si>
    <t>Traced Person. I.O Submitted at the hearing on 24.7.17 that Shahid has Returned to Home and available at (Jahan Abad, Tilagram, Tehsil Char Bagh, District Swat)</t>
  </si>
  <si>
    <t>3932-K</t>
  </si>
  <si>
    <t>Ehsan s/o Shamroz Khan</t>
  </si>
  <si>
    <t>Mst. Naheed Bibi, r/o Bahadur Khel, Mandan, Mir Azam, Badar Khel, Bannu. (Mobile No. 0333-7770717)</t>
  </si>
  <si>
    <t>Traced Person. DPO, Bannu reported at the hearing on 21.8.17 that Ehsan has returned to home.</t>
  </si>
  <si>
    <t>3933-P</t>
  </si>
  <si>
    <t>Khalid Rasool s/o Ghulam Rasool</t>
  </si>
  <si>
    <t>Mst. Kalsoom Bibi, Colony No. 04 Neart Sofi More, Chak Koryana , P.O Jhang. (Mobile No. 0301-7224065)</t>
  </si>
  <si>
    <t>Traced Person. Returned to Home and it was reported at the hearing on 4.5.2017 that he suffered natural death after one month.</t>
  </si>
  <si>
    <t>3934-K</t>
  </si>
  <si>
    <t>Asif Shah s/o Shah Nazar</t>
  </si>
  <si>
    <t>Shah Nazar, r/o Mohallah Regay, Zirat Kaka Shaib Road, Village Badrashi, Tehsil &amp; District Nowshera. (Mobile No. 0310-9761609)</t>
  </si>
  <si>
    <t>3935-K</t>
  </si>
  <si>
    <t>Hazrat Ameen s/o Ashraf Khan</t>
  </si>
  <si>
    <t>Sangeen Shah, r/o Village Mehmood Abad, District Charsadda. (Mobile No. 0300-9706474)</t>
  </si>
  <si>
    <t>FIR No.153 dt.19/5/2017 u/s 365 PPC PS/Umerzai District Charsadda.</t>
  </si>
  <si>
    <t>3936-S</t>
  </si>
  <si>
    <t>Muhammad Jahangir Iftikhar s/o Muhammad Iftikhar-ul-Haq</t>
  </si>
  <si>
    <t>Muhammad Iftikhar-ul-Haq, r/o Paradise Homes, Abu Hassan Asphani Road, Karachi. (Mobile No. 0333-0221133)</t>
  </si>
  <si>
    <t>Traced Person. Father of the the Traced Person appeared on hearing 18/04/2018 and confirmed that Muhammad Jahangir Iftikhar has returned to home.</t>
  </si>
  <si>
    <t>3937-K</t>
  </si>
  <si>
    <t>Faiz Ulah Khan s/o Baloch Khan</t>
  </si>
  <si>
    <t>Silor Khan, r/o Shah Alam, Tank. (Mobile No. 0303-8482818)</t>
  </si>
  <si>
    <t>Sayor Khan Complainant and step son of Faiz Ullah Khan appeared before the Commission at Quetta on 25.08.2021 and recorded his statement in which he deposed that Faiz Ullah Khan went to give money to somebody who had links with Jehadi organization. He further stated that they were four persons and two of them were killed and two were kidnapped. He further added that during the course of investigation no such evidence came on record that any LEA/ Intelligence Agency was involved in the disappearance of Faiz Ullah Khan. Hence no further action is required, the case is closed.</t>
  </si>
  <si>
    <t>3938-K</t>
  </si>
  <si>
    <t>Zakir Hussain s/o Irshad Hussain</t>
  </si>
  <si>
    <t>Ahmad Hussain, r/o Mohallah Parrah, Villag &amp; P.O Kalu Khan, Tehsil Razar, District Swabi. (Mobile No. 0300-9087217)</t>
  </si>
  <si>
    <t>FIR No.283 dt.20/5/2017 u/s 365 PPC,PS?Kalu Khan District Swabi.</t>
  </si>
  <si>
    <t>3939-P</t>
  </si>
  <si>
    <t>Ragib s/o Sajid Hussain Khan</t>
  </si>
  <si>
    <t>Sajid Hussain Khan, r/o Bismillah Town, J.B/ 123, Sadhu Pur, Faisalabad. (Mobile No. 0312-7772480)</t>
  </si>
  <si>
    <t>3940-P</t>
  </si>
  <si>
    <t>Syed Imran Sajad s/o Niaz Husain Shah</t>
  </si>
  <si>
    <t>Syed Ali Abbass Bukhari, r/o Tehsil Kalar Kahar, Village Chakwal. (Mobile No. 0333-5233871)</t>
  </si>
  <si>
    <t>Traced Person. I.O. submitted report at the hearing on 7.8.17 that Syed Imran Sajad has Returned to Home and available at Tehsil Kalar Kahar, Village Chakwal. Younger brother confirmed.</t>
  </si>
  <si>
    <t>3941-K</t>
  </si>
  <si>
    <t>Muhammad Naeem s/o Khalil Ullah</t>
  </si>
  <si>
    <t>Mst. Mataba Bibi, r/o Angoor Korana, P.O Zareef Kor, Tehsil &amp; District Peshawar. (Mobile No. 0304-3296204)</t>
  </si>
  <si>
    <t>Traced Person. Rep of MI submitted that the Missing Person Muhammad Naeem is Confined in Internment Center, Lakki Marwat under Action (in aid of Civil Power) Regulation 2011. Family Members have been allowed to meet him.</t>
  </si>
  <si>
    <t>3942-K</t>
  </si>
  <si>
    <t>Amir Khan s/o Khalil Ullah</t>
  </si>
  <si>
    <t>Traced Person. Amir Khan has been traced. He is confined in the District Jail Mardan. Father of Amir Khan is present. He has affirmed that his son is confined in District Jail, Mardan and he has already met him on a few occasions.</t>
  </si>
  <si>
    <t>3943-K</t>
  </si>
  <si>
    <t>Amjad Ali s/o Ghulab</t>
  </si>
  <si>
    <t>Usman Ali, r/o Koza Bandi, Mohallah Shahdean, Tehsil Kabal, District, Swat. Mobile No. 0340-0934340 &amp; 0349-9645240).</t>
  </si>
  <si>
    <t>FIR No. 243, Dated 17.4.17, U/S 365 PPC, P.S Kanju, Swat.</t>
  </si>
  <si>
    <t>3944-P</t>
  </si>
  <si>
    <t>Muhammad Yousaf s/o Karamat Ullah</t>
  </si>
  <si>
    <t>Muhammad Sulman, r/o Gali Munshi Abdul Wahid Waley, Near Graveyard Road, Nowshera Road, Gujranwala. (Mobile No. 0313-7459038)</t>
  </si>
  <si>
    <t>Traced Person. SP (Inv), Gujranwala, submitted at the hearing on 18.9.17 that Muhammad Yousaf is Confined in District Jail, Multan Action (in aid of Civil Power Regulation 2011</t>
  </si>
  <si>
    <t>3945-K</t>
  </si>
  <si>
    <t>Muhammad Idrees Khan s/o Seema Khan</t>
  </si>
  <si>
    <t>Syed Imran Khan Barki, r/o Mohallah Barki, Tehsil &amp; District tank. (Mobile No. 0345-9841739)</t>
  </si>
  <si>
    <t>Traced Person. Rep of MI, submitted at the hearing on 16.10.17 that Muhammad Idrees Khan is Confined in Internment Center, Fiza Ghat, Swat under Action (in aid of Civil Power Regulation 2011.</t>
  </si>
  <si>
    <t>3946-P</t>
  </si>
  <si>
    <t>Faheem Akram s/o Roy Muhammad Akram</t>
  </si>
  <si>
    <t>Roy Muhammad Akram, r/p 35-A-5, Punjab Government Employees Housing Society, Lahore. (Mobile No. 0334-3747800)</t>
  </si>
  <si>
    <t>Traced Person. SP(Inv) submitted at the hearing on 14.7.17 that Faheem Akram is confined in the Central Jail, Faisalabad.</t>
  </si>
  <si>
    <t>3947-P</t>
  </si>
  <si>
    <t>Ahmed Khan s/o Abdul Ghafoor</t>
  </si>
  <si>
    <t>Mst. Sumaria Ahmed, r/o House No. G-71 Street No. 01, Phase No. 04 Officer Colony, Wah Cantt, Attock. (Mobile No. 0311-5121090)</t>
  </si>
  <si>
    <t>FIR No.68 dt.27/3/2017 u/s 365 PPC,PS/City,District Attock.</t>
  </si>
  <si>
    <t>Traced Person. IO, Ahmed Khan, Submitted report at the hearing on 24.8.17 that Ahmed Khan has Returned to Home and available at House No. G-71 Street No. 01, Phase No. 04 Officer Colony, Wah Cantt, Attock.</t>
  </si>
  <si>
    <t>3948-P</t>
  </si>
  <si>
    <t>Khanam Jan d/o Nawab Khan</t>
  </si>
  <si>
    <t>Sarfaraz Khan, r/o Village &amp; P.O Nara, Tehsil Jhand, District Attock. (Mobile No. 0311-1080017)</t>
  </si>
  <si>
    <t>FIR No.161 dt.20/10/2016 u/s 365 PPC,PS/Jand,District Attock.</t>
  </si>
  <si>
    <t>Deleted. DSP, HQ, Attock submitted report that meeting of JIT has been conducted on 2.9.2019 and the case has again been categorized as a case of Kidnapping due to personal enmity. Perusal of the entire record shows that no allegation was leveled against LEAs/ Intelligence Agencies by the complainant in the complaint or at any later stage. Hence the case does not fall within the domain of enforced disappearance. Therefore deleted.</t>
  </si>
  <si>
    <t>3949-P</t>
  </si>
  <si>
    <t>Zameen Khan s/o Awal Khan</t>
  </si>
  <si>
    <t>Saif Ullah, r/o Shere Kor, P.O Yak Ghunda, Tehsil Yak Ghunda, District Mohmand Agency. (Mobile No. 0301-5429341)</t>
  </si>
  <si>
    <t>FIR No.363 dt.31/5/2017 u/s 365 PPC,PS/Gujjar Khan,District Rawalpindi.</t>
  </si>
  <si>
    <t>3950-K</t>
  </si>
  <si>
    <t>Amin Gul s/o Gul Shah</t>
  </si>
  <si>
    <t>Amin Shah, r/o Muslim Abad Telaaband Road Badber, Peshawar. (Mobile No. 0333-8331810)</t>
  </si>
  <si>
    <t>3951-P</t>
  </si>
  <si>
    <t>Nasir Iqbal s/o Nazir Ahmed</t>
  </si>
  <si>
    <t>Mst. Ghazala Shaheen, r/o Bx-II, 120-D East Attock. (Mobile No. 0334-5281280)</t>
  </si>
  <si>
    <t>FIR No.114 dt.20/5/2017 u/s 365 PPC,PS/Saddar,District Attock.</t>
  </si>
  <si>
    <t>Traced Person. I.O. submitted report at the hearing on 28.7.17 that Nasir Iqbal, is Confined at High Security Prison.</t>
  </si>
  <si>
    <t>3952-K</t>
  </si>
  <si>
    <t>Muhammad Iqbal, r/o Mohallah Shaheedan, Tehsil kabal, District Swat. (Mobile No. 0345-9512406)</t>
  </si>
  <si>
    <t>15602-2021128-3</t>
  </si>
  <si>
    <t>3953-K</t>
  </si>
  <si>
    <t>Ghufran Majeeb s/o Miraj-ul-Haq</t>
  </si>
  <si>
    <t>Muhammad Qasim, r/o Subhan Cold Drinks, Tehsil &amp; P.O Dargai, District Malakand. (Mobile No. 0340-2400640)</t>
  </si>
  <si>
    <t>Deleted. According to CoIoED Regulations 2011, "Enforce Disappearance/Missing Person" means such person as he has been picked up/taken into custody by one of the law enforcement/intelligence agencies, working under the Civilian or military control, in a manner which is contrary to the provision of law. In the instant case, it is concluded after thorough investigation and perusal of record that Ghufran Majeeb was suffering from mental disorder and went missing on his own.</t>
  </si>
  <si>
    <t>3954-P</t>
  </si>
  <si>
    <t>Ijaz Ullah s/o Mohib Ullah</t>
  </si>
  <si>
    <t>Majeeb Ullah, r/o P.O Lakry, Tehsil Uper Mohmand, District Mohmand Agency. (Mobile No. 0343-9640767)</t>
  </si>
  <si>
    <t>FIR No.323 dt.26/11/2012 u/s 364 PPC,PS/Waris Khan,Rawalpindi</t>
  </si>
  <si>
    <t>3955-P</t>
  </si>
  <si>
    <t>Muhammad Javed Aslam s/o Muhammad Aslam</t>
  </si>
  <si>
    <t>Muhammad Naveed Aslam, r/o House No. 363-H, Block Fareed Town, P.O Fareed Town, Tehsil &amp; District Sahiwal. (Mobile No. 0300-6905683)</t>
  </si>
  <si>
    <t>3956-A</t>
  </si>
  <si>
    <t>Hassan Naseer Raja s/o Naseer Raja</t>
  </si>
  <si>
    <t>Raja Muhammad Naseer, r/o Komi Kot, Eid Gha Road, Muzaffarabad. (Mobile No. 0341-9090126)</t>
  </si>
  <si>
    <t>Deleted. In the instant case five Jit meetings are stated to have been conducted and the case was categorized as “Missing Person” has gone on his own. According to Raja Muhammad Naseer (complainant) his son Hassan Naseer Raja was a student of class- 9 in Government Pilot High School. There is no allegation against any LEAs / Intelligence Agency and according to reports received from ISI, MI and CTD the aforementioned missing person is not in their custody.</t>
  </si>
  <si>
    <t>3957-K</t>
  </si>
  <si>
    <t>Afsar Ali s/o Gul Muhammad</t>
  </si>
  <si>
    <t>Mst. Taj Bibi, r/o Shami Khel , District Bannu.</t>
  </si>
  <si>
    <t>3958-K</t>
  </si>
  <si>
    <t>Arshad Ali s/o Mamoonazar</t>
  </si>
  <si>
    <t>Traced Person. Akhtar Ali brother of Arshad Ali confirmed that the latter has returned to home at the hearing held in this Commission on 12/04/2018.</t>
  </si>
  <si>
    <t>3959-P</t>
  </si>
  <si>
    <t>Hamza Shakeel s/o Sheikh Muhammad Shakeel</t>
  </si>
  <si>
    <t>Sheikh Muhammad Shakeel, r/o House No. 29, Street No 04, Mohallah Kousar Colony, New Chakara Rawalpindi. (Mobile No. 0336-5336500)</t>
  </si>
  <si>
    <t>FIR No.309 dt.4/5/2017 u/s 365 PPC,PS/New Town,Rawalpindi</t>
  </si>
  <si>
    <t>3960-K</t>
  </si>
  <si>
    <t>Khalil Ullah s/o Abdul Salam Jadoon</t>
  </si>
  <si>
    <t>Gulzar Hussain, r/o Mohallah Mili Khel, Village Gandaf, Tehsil Topi, District Swabi. (Mobile No. 0311-5434444)</t>
  </si>
  <si>
    <t>FIR No.895 dt.20/5/2017 u/s 365 PPC,PS/IDS,Gadoon, District Swabi.</t>
  </si>
  <si>
    <t>Traced Person. Returned to Home as informed by SP(Inv) at the hearing on 6.7.2017.</t>
  </si>
  <si>
    <t>3961-P</t>
  </si>
  <si>
    <t>Tahir Rasool s/o Qari Ghulam Rasool</t>
  </si>
  <si>
    <t>Hafiz Zahid Rasool, r/o Government Girls High School Road, House No. 44-F, Arif Wala, Distraict Pakpatan. (Mobile No. 0321-7337919)</t>
  </si>
  <si>
    <t>Traced Person. Returned to Home (DSP, Legal, Pak Patan submitted report at the hearing on 25.5.17 that Tahir Rasool has returned to home and available at House No. 44-F, Arif Wala, District Pakpatan.</t>
  </si>
  <si>
    <t>3962-K</t>
  </si>
  <si>
    <t>Inayat Rehman s/o Khawaja Mat Khan</t>
  </si>
  <si>
    <t>Hafiz Saif Rehman, r/o Nohey Kiley, P.O Ghaljo, Tehsil Uper Orkazai Agency. (Mobile No. 0306-0150016)</t>
  </si>
  <si>
    <t>Traced Person. Brother of Missing person, submitted that Inayat Rehman has Returned to Home and available at his given address.</t>
  </si>
  <si>
    <t>3963-K</t>
  </si>
  <si>
    <t>Muhammad Jabbar s/o Islam Badshah</t>
  </si>
  <si>
    <t>Muhammad Bilal, r/o P.O Zar Gari, Tehsil &amp; District Hangu. (Mobile No. 0306-9062089)</t>
  </si>
  <si>
    <t>Traced Person. Muhammad Bilal brother of Muhammad Jabbar Submitted at the hearing on 29.8.17 that latter has Returned to Home and available at P.O Zar Gari, Tehsil &amp; District Hangu.</t>
  </si>
  <si>
    <t>3964-I</t>
  </si>
  <si>
    <t>Anwar Mashi s/o Inayat Mashi</t>
  </si>
  <si>
    <t>Mst. Razia Sultana, r/o Block No. 33-A, House No. 15, A.G.P.R Colony, G/9-2, Islamabad. (Mobile No. 0312-5594485)</t>
  </si>
  <si>
    <t>Traced Person. SP (Inv), Islamabad, submitted report that Missing Person has Returned to Home and available at his house in Block No. 33-A, House No. 15, A.G.P.R Colony, G/9-2, Islamabad.</t>
  </si>
  <si>
    <t>3965-K</t>
  </si>
  <si>
    <t>Abdul Malik s/o Aroos Khan</t>
  </si>
  <si>
    <t>Abdul Wahid, r/o Ayub Medical College, Abbotabad. (Mobile No. 0346-9242420)</t>
  </si>
  <si>
    <t>Traced Person. SP (Inv), Abbottabad reported at the hearing on 30/04/2018 that Abdul Malik has been awarded life Improvement by Military Court and he is confined ina Adyala Jail, Rawalpindi.</t>
  </si>
  <si>
    <t>3966-S</t>
  </si>
  <si>
    <t>Yousaf Ali s/o Muhammad Qayyum</t>
  </si>
  <si>
    <t>Muhammad Qayyum, r/o House No. 210, Mohallah Rabbani, Frontier Colony No. 03, Site Area Karachi. (Mobile No. 0344-2112406)</t>
  </si>
  <si>
    <t>Ms. Amina Masood Janjua/ MoFAs No. 10007805</t>
  </si>
  <si>
    <t>3967-I</t>
  </si>
  <si>
    <t>Frasat Ali s/o Amjad Iqbal</t>
  </si>
  <si>
    <t>Prof. Muhammad Fayyaz Gondal, r/o House No. 1262, Street No. 91, Sector 1/10, Islamabad. (Mobile No. 0342-5304428)</t>
  </si>
  <si>
    <t>Traced Person. SP(Inv) ICT submitted report at the hearing on 1.6.2017 that Frasat Ali has been traced.</t>
  </si>
  <si>
    <t>3968-K</t>
  </si>
  <si>
    <t>Muhammad Chimini-ud-Din s/o Hajat Mand</t>
  </si>
  <si>
    <t>Mst. Yehmon Bibi, r/o Tehsil Matta, District Swat. (Mobile No. 0344-9665035)</t>
  </si>
  <si>
    <t>3969-K</t>
  </si>
  <si>
    <t>Fawad Khan s/o Aziz-ur-Rehman</t>
  </si>
  <si>
    <t>Aziz-ur-Rehman, r/o Bako Dheri, P.O Par Hoti, Tehsil &amp; District Mardan. (Mobile No. 0345-9339484)</t>
  </si>
  <si>
    <t>Traced Person. I.O. submitted report at the hearing on 2.11.17 that Fawad Khan has Returned to Home and available at his house in Bako Dheri, P.O Par Hoti, Tehsil &amp; District Mardan.</t>
  </si>
  <si>
    <t>3970-K</t>
  </si>
  <si>
    <t>Muhammad Hamza s/o Nazar Khan</t>
  </si>
  <si>
    <t>Mst. Almara Bibi, r/o Village Sambey Khel, Peshawar. (Mobile No. 0306-8902910).</t>
  </si>
  <si>
    <t>(2735-K&amp;3970-K )Both cases fixed in ISB, When SP(Inv) &amp; Focal Person came Isb for Hearing. "KPK" Cases.</t>
  </si>
  <si>
    <t>3971-K</t>
  </si>
  <si>
    <t>Subhan Sher s/o Nazar Khan</t>
  </si>
  <si>
    <t>Mst. Almara Bibi, r/o Village Sambey Khel, Peshawar. (Mobile No. 0306-8902910)</t>
  </si>
  <si>
    <t>3972-K</t>
  </si>
  <si>
    <t>Niaz Muhammad s/o Taj Muhammad Khan</t>
  </si>
  <si>
    <t>Taj Muhammad Khan, r/o Village Sambey Khel, Peshawar. (Mobile No. 0305-9581296 &amp; 0307-8553258)</t>
  </si>
  <si>
    <t>3973-I</t>
  </si>
  <si>
    <t>Muhammad Adeel Akram s/o Muhammad Akram Javed</t>
  </si>
  <si>
    <t>Muhammad Akram Javed, r/o House No. 313, Street No. 83, Sector G-11/3, Islamabad. (Mobile No. 0300-6563611)</t>
  </si>
  <si>
    <t>Traced Person. I.O of the case submitted at the hearing on 7.6.15 that Muhammad Adeel Akram is confined in Adyala Jail as a case is registered against him by CTD, Rawalpindi.</t>
  </si>
  <si>
    <t>3974-K</t>
  </si>
  <si>
    <t>Shavaid Khan s/o Jan Muhammad</t>
  </si>
  <si>
    <t>Nazar Muhammad, r/o Gulshanabad, Matni Peshawar. (Mobile No. 0314-9090502)</t>
  </si>
  <si>
    <t>Amina Masood Janjua</t>
  </si>
  <si>
    <t>3975-P</t>
  </si>
  <si>
    <t>Imran Satti s/o Riaz Ahmed Satti</t>
  </si>
  <si>
    <t>Riaz Ahmed Satti, r/o Sanch Dak Khana Khas, Tehsil Muree, District Rawalpindi (Mobile No. 0323-5302990)</t>
  </si>
  <si>
    <t>3976-K</t>
  </si>
  <si>
    <t>Syed Ali Shah s/o Fiaz Gull</t>
  </si>
  <si>
    <t>Sher Alam, r/o Majeed Galay Mandani, District Charsada (Mobile No. 0306-8541935)</t>
  </si>
  <si>
    <t>3977-K</t>
  </si>
  <si>
    <t>Muhammad Safeer Khan s/o Ameen Khan</t>
  </si>
  <si>
    <t>Fazal Rehman, r/o Teen Tali, Jungle Khel, Tehsil &amp; District Kohat (Mobile No. 0336-2096995)</t>
  </si>
  <si>
    <t>FIR No.437 dt.3/6/2017 u/s 365 PPC PS/City,Kohat</t>
  </si>
  <si>
    <t>3978-K</t>
  </si>
  <si>
    <t>Asad Ullah s/o Mushtaq ud Deen</t>
  </si>
  <si>
    <t>Kabul Khan, r/o Tehsil Mairan Shah, Village Baigan (Mobile No. 0316-9845247)</t>
  </si>
  <si>
    <t>Traced Person. SP (Inv), Bannu Submitted report at the hearing on 21.8.17 that Asad Ullah has Returned to Home and available at Tehsil Mairan Shah, Village Baigan.</t>
  </si>
  <si>
    <t>3979-P</t>
  </si>
  <si>
    <t>Nadia Bibi d/o Muhammad Sharif</t>
  </si>
  <si>
    <t>Kashif Zubair, r/o Dak Khana Al Jamia Islamia, Chak No. 43/6-B, Tehsil Arif Wala, District Pakpatan (Mobile No. 0305-57974105)</t>
  </si>
  <si>
    <t>Traced Person. DPO, Pak Patan Submitted report at the hearing on 21.8.17 that Nadia Bibi has Returned to Home. No one abducted her and she entered into Court Marriage with on Imtiaz Ahmed.</t>
  </si>
  <si>
    <t>3980-F</t>
  </si>
  <si>
    <t>Sajad s/o Jahan Zeb</t>
  </si>
  <si>
    <t>Jahan Zeb, r/o Gutaki Dak Khana Anayat Kulay, Tehsil Mehmend, District Bajor Agency (Mobile. 0306-2141844)</t>
  </si>
  <si>
    <t>Traced Person. APA, Bajur Agency submitted report that Missing Person Sajad has Returned to Home and available at Gutaki Dak Khana Anayat Kulay, Tehsil Mehmend, District Bajor Agency.</t>
  </si>
  <si>
    <t>Fata</t>
  </si>
  <si>
    <t>3981-K</t>
  </si>
  <si>
    <t>Saad Ullah Shah s/o Muhammad Miskeen Khan</t>
  </si>
  <si>
    <t>Hazrat Amin, r/o Village &amp; P/O Bizen Khel, District &amp; Tehsil Banuu (Mobile No. 0336-9724759)</t>
  </si>
  <si>
    <t>Traced Person. Rep of MI mentioned report that Saad Ullah Khan is confined in Internment Center, Lakki Marwat under Action (in aid of Civil) Regulation 2011. Family Members have been allowed to meet him.</t>
  </si>
  <si>
    <t>3982-P</t>
  </si>
  <si>
    <t>Saeed Ahmed Khan s/o Muhammad Sharif</t>
  </si>
  <si>
    <t>Muhammad Hanif, r/o Dak Khana Mari Indus, Muhallah Namak Mandi, Tehsil &amp; District Mianwali (Mobile No. 0306-3788749)</t>
  </si>
  <si>
    <t>Traced Person. Returned to Home as informed at the hearing on 18.8.17 that Saeed Ahmed Khan has returned to home. Statement recorded.</t>
  </si>
  <si>
    <t>3983-K</t>
  </si>
  <si>
    <t>Muhammad Qayyum s/o Ganeef Shah</t>
  </si>
  <si>
    <t>Habib-ur-Rehman, r/o Mahi Khel, Munir Kilay, Tehsil &amp; District Orkazai Agency ( Mobile No. 0332-5319498)</t>
  </si>
  <si>
    <t>Traced Person. Dead body recovered. SP (Inv), Hangu submitted that Muhammad Qayyum martyred as a result of bomb blast. Their legal heirs have been paid compensation money amounting to Rs/ 300,000/- under "Shuhada Package" through DCO, Hangu.</t>
  </si>
  <si>
    <t>3984-K</t>
  </si>
  <si>
    <t>Muhammad Zakria s/o Muhammad Qayyum</t>
  </si>
  <si>
    <t>Traced Person. Dead body recovered. SP (Inv), Hangu submitted that Muhammad Zakria martyred as a result of bomb blast. Their legal heirs have been paid compensation money amounting to Rs/ 300,000/- under "Shuhada Package" through DCO, Hangu.</t>
  </si>
  <si>
    <t>3985-K</t>
  </si>
  <si>
    <t>Habib-ur-Rehman, r/o Mahi Khel, Munir Kilay, Tehsil &amp; District Orkazai Agency ( Mobile No. 0332-5319498 &amp; 0333-9602135)</t>
  </si>
  <si>
    <t>3986-P</t>
  </si>
  <si>
    <t>Muhammad Awais s/o Muhammad Adrees Zia</t>
  </si>
  <si>
    <t>Muhammad Adrees Zia, r/o House No. 592, Near Madni Masjid, Street No. 06, Ala Abad, Westrage No. III, rawalpindi Cantt. (Mobile No. 0321-5351887)</t>
  </si>
  <si>
    <t>FIR No.273 dt.16/6/2017 u/s 365 PPC PS/Westridge,Rawalpindi.</t>
  </si>
  <si>
    <t>Traced Person. Muhammad Idrees Zia father of Muhammad Awais, confirmed at the hearing on 05/04/2018 that the latter has returned to home.</t>
  </si>
  <si>
    <t>3987-K</t>
  </si>
  <si>
    <t>Muhammad Imran s/o Abdul Haleem</t>
  </si>
  <si>
    <t>Abdul Haleem, r/o Village Gul Imam, Tehsil &amp; District, Tank. (Mobile No. 0316-4083727)</t>
  </si>
  <si>
    <t>Traced Person. JIT informed at the hearing in this Commission on 13/04/2018 that Muhammad Imran is confined in the Internment Center, Lakki Marwat under Action (in aid of Civil) Regulation 2011. Family Members have been allowed to meet him.</t>
  </si>
  <si>
    <t>3988-K</t>
  </si>
  <si>
    <t>Muhammad Rizwan s/o Abdul Haleem</t>
  </si>
  <si>
    <t>Traced Person. Inspector, Allah Nawaz, submitted that the Missing Person Muhammad Rizwan has Returned to Home and available at Village Kiri, Umar Ada, District Tank.</t>
  </si>
  <si>
    <t>3989-K</t>
  </si>
  <si>
    <t>Zahoor-ud-Din s/o Khair Muhammad</t>
  </si>
  <si>
    <t>Noor Zabidin, r/o Zafarabad Shah, District D.I.Khan.(Mobile No. 0340-9418505)</t>
  </si>
  <si>
    <t>Traced Person. Rep of MI, submitted at the hearing on 17.11.17 that Zahoor-ud-Din is Confined in Internment Center, Kohat under Action (in aid of Civil Power) Regulation 2011.</t>
  </si>
  <si>
    <t>3990-K</t>
  </si>
  <si>
    <t>Syed Noor</t>
  </si>
  <si>
    <t>r/o, Haji Camp, Truck Adda, Near Children Hospital, Peshawar.</t>
  </si>
  <si>
    <t>3991-P</t>
  </si>
  <si>
    <t>Hussain Afzal Raza</t>
  </si>
  <si>
    <t>r/o, House No. 62, Air Line Housing Society, Khayaban-e-Jinnah, Lahore.</t>
  </si>
  <si>
    <t>Traced Person. Returned to Home and available at House No. 62, Air Line Housing Society, Khayaban-e-Jinnah, Lahore as reported at the hearing on 11.7.2017.</t>
  </si>
  <si>
    <t>3992-P</t>
  </si>
  <si>
    <t>Shakeel Ahmed s/o haji Muhammad Ibrahim</t>
  </si>
  <si>
    <t>Deleted. Keeping in view the conclusion drawn in the reports of JIT and the affidavits of the aforementioned persons, the case does not fall within the ambit of enforced disappearance. Further proceeding by the Commission would be a futile exercise.</t>
  </si>
  <si>
    <t>3993-K</t>
  </si>
  <si>
    <t>Sardar Khan</t>
  </si>
  <si>
    <t>r/o Mohallah Muslim Abad, Aligramah, District Swat.</t>
  </si>
  <si>
    <t>3994-P</t>
  </si>
  <si>
    <t>Sagheer Ahmed Shah</t>
  </si>
  <si>
    <t>Traced Person. Returned to Home and available at Mari Kanjor Post Office, Attock as reported at the hearing on 11.7.2017.</t>
  </si>
  <si>
    <t>3995-K</t>
  </si>
  <si>
    <t>Jahanzeb s/o Sher Afzal</t>
  </si>
  <si>
    <t>r/o, Mohallah Muslim Abad, Majeed Colony District, Swat.</t>
  </si>
  <si>
    <t>Traced Person. Rep of MI, submitted at the hearing on 12.7.2017 that Jahanzeb is Confined at Internment Center, Lakki Marwat.</t>
  </si>
  <si>
    <t>3996-K</t>
  </si>
  <si>
    <t>Shah Zareen</t>
  </si>
  <si>
    <t>r/o, Mohallah Muslim Abad, Majeed Colony District, Swat.(Mobile No. 0343-9604831)</t>
  </si>
  <si>
    <t>3997-K</t>
  </si>
  <si>
    <t>Hameed Ullah Anwar Baig</t>
  </si>
  <si>
    <t>0910/2015</t>
  </si>
  <si>
    <t>r/o, Village Dosehra, Post Office Doshera, Tehsil &amp; District Charsadda.</t>
  </si>
  <si>
    <t>FIR No.541 dt.23/6/2017 u/s 365 PPC PS/Charsadda,District Charsadda.</t>
  </si>
  <si>
    <t>3998-K</t>
  </si>
  <si>
    <t>Bahadur Sher</t>
  </si>
  <si>
    <t>r/o, P.O Pir Baba, Village Bhai, Tehsil Gadezai, Bonair. (Mobile No. 0342-8995202)</t>
  </si>
  <si>
    <t>Traced Person. Returned to Home and available at P.O Pir Baba, Village Bhai, Tehsil Gadezai, Bonair as reported at the hearing on 19.7.2017.</t>
  </si>
  <si>
    <t>3999-K</t>
  </si>
  <si>
    <t>Ali Jawad s/o Muhammad Ayub</t>
  </si>
  <si>
    <t>r/o, Mohallah Faiz Abad, Village Shewa, District Swabi.</t>
  </si>
  <si>
    <t>FIR No.22 dt.8/6/2017 u/s 365 PPC PS/Parmoli,District Swabi.</t>
  </si>
  <si>
    <t>Traced Person. Rep of MI, submitted that the Missing Person Ali Jawad is Confined in Internment Center, Fiza Ghat, Swat under Action (in aid of Civil Power Regulation 2011.</t>
  </si>
  <si>
    <t>4000-K</t>
  </si>
  <si>
    <t>Muhammad Ashraf s/o Noor Muhammad</t>
  </si>
  <si>
    <t>r/o, House No. 48, Iqbal Abad, Dirh Road, Karachi.</t>
  </si>
  <si>
    <t>Traced Person. SDPO, Sharah-e-Faisal, Syed Shoukat Ali, submitted report that Missing Person has Returned to Home and available at his house in House No. 48, Iqbal Abad, Dirh Road, Karachi.</t>
  </si>
  <si>
    <t>4001-K</t>
  </si>
  <si>
    <t>Ghani Badshah s/o Sial Badshah</t>
  </si>
  <si>
    <t>Mir Badshah, r/o Ispain Jamat, Dar Mand, Tehsil Tal, District Hangyu. (Mobile No. 0301-8021621)</t>
  </si>
  <si>
    <t>Traced Person. PTF submitted report that Ghani Badshah is presently confined in the District Jail Bannu. Father of Ghani Badshah affrimed authenticity of the abovementioned information.</t>
  </si>
  <si>
    <t>4002-K</t>
  </si>
  <si>
    <t>Muhammad Usman s/o Muhammad Kamal</t>
  </si>
  <si>
    <t>Muhammad Salam, r/o Ghalo Chana, P.O Zar Gari, Tehsil Hangu, District Hangu. (Mobile No. 0332-0971076)</t>
  </si>
  <si>
    <t>Traced Person. Returned to Home and available at Ghalo Chana, P.O Zar Gari, Tehsil Hangu, District Hangu.</t>
  </si>
  <si>
    <t>4003-K</t>
  </si>
  <si>
    <t>Mubaraz Ali s/o Ahmed Ali</t>
  </si>
  <si>
    <t>Ahmed Ali, r/o Charsada Road, Near Deri Form, Maqsood Abad, Peshawar. (Mobile No. 0302-5521644)</t>
  </si>
  <si>
    <t>Traced Person. CCPO, Peshawar, submitted report that Missing Person has Returned to Home and available at his house in Charsada Road, Near Deri Form, Maqsood Abad, Peshawar.</t>
  </si>
  <si>
    <t>4004-K</t>
  </si>
  <si>
    <t>Nimat Ullah Khan s/o Hawaidad Khan</t>
  </si>
  <si>
    <t>Sher Ali, r/o Kaghan Colony, Balqees Town, District Abbottabad. (Mobile No. 0336-1401000)</t>
  </si>
  <si>
    <t>Traced Person. Brother of Missing Person submitted that Niamat Ullah Khan is presently confined in Internment Center Fort Salop (Khyber Agency) and he has already met his brother on 20//11/2017.</t>
  </si>
  <si>
    <t>4005-P</t>
  </si>
  <si>
    <t>Khurram Murad s/o Tariq Murad</t>
  </si>
  <si>
    <t>Tariq Murad, r/o 195-A, Avenue Society, Johar Town Lahore. (Mobile No. 0315-4025553 &amp; 0302-4885948)</t>
  </si>
  <si>
    <t>Traced Person. Addl IG CTD and SP (Inv) Model Town, Lahore submitted report that Khurram Murad was killed in an encounter on 14.10.2016. Further investigation to continue with the Police Officers concerned.</t>
  </si>
  <si>
    <t>4006-S</t>
  </si>
  <si>
    <t>Taufique Abro</t>
  </si>
  <si>
    <t>Traced Person. SSP, Dadu submitted that the Missing Person has Returned to Home.</t>
  </si>
  <si>
    <t>4007-I</t>
  </si>
  <si>
    <t>Adeeba d/o Muhammad Ashraf</t>
  </si>
  <si>
    <t>Muhammad Ashraf r/o new Takrial, Zia Masjid, House No. 19, Street No. 3, Islamabad (0321-5117704)</t>
  </si>
  <si>
    <t>FIR No.402 dt.16/12/2016 u/s 365-B/34 PPC,PS/Khanna,Islamabad.</t>
  </si>
  <si>
    <t>Deleted . After having gone through the entire record, Commission is if the view that, Prima facie, case does not fall within the jurisdiction /domain of this Commission being nota a case of Enforced Disappearance.</t>
  </si>
  <si>
    <t>4008-I</t>
  </si>
  <si>
    <t>Samiya d/o Muhammad Guffran Abbasi</t>
  </si>
  <si>
    <t>4009-S</t>
  </si>
  <si>
    <t>Muhammad Ashraf s/o Muhammad Farooq</t>
  </si>
  <si>
    <t>r/o, FL-G-16, Noman Grand City, Gulstan-e-Johar, Block No. 17, Karachi.</t>
  </si>
  <si>
    <t>Traced Person. SHO, Sharah-e-Faisal submitted that the Missing Person has Returned to Home and available at FL-G-16, Noman Grand City, Gulstan-e-Johar, Block No. 17, Karachi.</t>
  </si>
  <si>
    <t>4010-K</t>
  </si>
  <si>
    <t>Bashir Ahmed s/o Aqal Badshah</t>
  </si>
  <si>
    <t>Irfan Ullah, r/o Mohallah Quresh Abad, Dowaba, Tehsil Tal, District Hangu. (Mobile No. 0300-3742004)</t>
  </si>
  <si>
    <t>Traced Person. PTF as well as Brother of Bashir Ahmed submitted that the latter is Confined in District Jail Bannu.</t>
  </si>
  <si>
    <t>4011-K</t>
  </si>
  <si>
    <t>Abdul Wadood s/o Aqal Badshah</t>
  </si>
  <si>
    <t>Traced Person. Brother of Missing Person, submitted that Abdul Wadood has Returned to Home and available at his given address.</t>
  </si>
  <si>
    <t>4012-K</t>
  </si>
  <si>
    <t>Abdul Hadi s/o Aqal Badshah</t>
  </si>
  <si>
    <t>Traced Person. Brother of Abdul Hadi Submitted that Missing Person Abdul Hadi has Returned to Home and available at his house. He did not disclose further details.</t>
  </si>
  <si>
    <t>4013-P</t>
  </si>
  <si>
    <t>Rehmat Ali s/o Bakhat Ali</t>
  </si>
  <si>
    <t>Shahid Noor, r/o Altaf Colony, Jorey Pull, Near Rangers Headf Quarter, Lahore. (Mobile No. 0334-9351768)</t>
  </si>
  <si>
    <t>Traced Person. I.O. submitted report that Rehmat Ali has Returned to Home and available at his house. The Complainant Shahid Noor confirmed the statement.</t>
  </si>
  <si>
    <t>4014-K</t>
  </si>
  <si>
    <t>Muhammad Sahir Khan s/o Noor Alam Khan</t>
  </si>
  <si>
    <t>Noor Alam Khan, r/o P.O Murtaza , Kot Nawaz, Tehsil &amp; District Tank. (Mobile No. 0303-9057822 &amp; 0307-8375088)</t>
  </si>
  <si>
    <t>Traced Person. Returned to Home and available at his house as confirmed by JIT in its report dated 5.10.17.</t>
  </si>
  <si>
    <t>4015-S</t>
  </si>
  <si>
    <t>Danial Arshad s/o Arshad Sultan</t>
  </si>
  <si>
    <t>Arshad Sultan r/o House No. 36, Faran Society, Haider Ali Road, Karachi (Mobile No. 0333-2283707)</t>
  </si>
  <si>
    <t>Traced Person. Inspector, Khushnood Javed, PS Bahaudrabad submitted that Missing Person Danial Arshad was arrested by CTD at Gujranwala vide Crime No. 19/17.</t>
  </si>
  <si>
    <t>4016-S</t>
  </si>
  <si>
    <t>Syed Naeem Akhtar Shah s/o Syed Bashir Ahmed Shah</t>
  </si>
  <si>
    <t>Mrs. Aroosa Naeem r/o House No. 4, Childrens Park, Ayub Stadium, Quetta (Cell No. 0300-3834878/ 0345-0909090)</t>
  </si>
  <si>
    <t>54400-7024898-1</t>
  </si>
  <si>
    <t>4017-K</t>
  </si>
  <si>
    <t>Mian Syed Ahmed s/o Mian Gullay</t>
  </si>
  <si>
    <t>Syed Tahir Shah r/o Village and Dak khana Hazara, Tehsil Kel, District Swat (Mobile No. 0343-9595633)</t>
  </si>
  <si>
    <t>15602-0308265-9</t>
  </si>
  <si>
    <t>4018-P</t>
  </si>
  <si>
    <t>Muhammad Afzal Khan s/o Abdul Ghani Khan</t>
  </si>
  <si>
    <t>Mairaj Bibi r/o Suleman Khel, Budh Ber, Peshawar (Mobile No. 0307-8422935)</t>
  </si>
  <si>
    <t>4019-P</t>
  </si>
  <si>
    <t>Muhammad Habib-ur-Rehman s/o Muhammad Saif-ur-Rehman</t>
  </si>
  <si>
    <t>Mst. Balqees Akhtar, r/o Khora, District Khushab. (Mobile No. 0332-7750373)</t>
  </si>
  <si>
    <t>Traced Person. Rep of MI submitted that Muhammad Habib-ur-Rehman is Confined in Internment Center, Lakki Marwat under Action (in aid of Civil Power) Regulation 2011. Family Members have been allowed to meet him.</t>
  </si>
  <si>
    <t>4020-P</t>
  </si>
  <si>
    <t>Kamran Sadiq s/o Muhammad Sadiq</t>
  </si>
  <si>
    <t>Saima Sadiq, r/o House No. 13, Street No. 1, Korang Town, Islamabad (Mobile No. 0331-5658075)</t>
  </si>
  <si>
    <t>4021-P</t>
  </si>
  <si>
    <t>Muneer Ahmed Haqani s/o Naimat Ullah Malik</t>
  </si>
  <si>
    <t>Naimat Ullah Malik r/o Near Nizam ul Islam Masjid,Taj Colony, Bichri Road, Nawab Shah</t>
  </si>
  <si>
    <t>Traced Person. Muneer Ahmed Haqani has been traced. He entered appearance before the Commission on 08/05/2018. He has submitted that he has returned home on 07/03/2018; however he could not given further details regarding his detention.</t>
  </si>
  <si>
    <t>4022-B</t>
  </si>
  <si>
    <t>Rasheed Ullah s/o Khair Muhammad</t>
  </si>
  <si>
    <t>Waheed Ali, r/o Akram Colony, Berot, Tehsil Hun District Lasbella. (Mobile No. 0340-1240001)</t>
  </si>
  <si>
    <t>Deleted. In the JIT report submitted to the Commission, it has been incorporated that the missing person is involved in crime No. 213 and 381 PPC and the case was registered at PS Hub City. In his case Rasheed Ullah was on bail but thereafter he did not appear before the learned Trial Court and ultimately he was declared P.O. Since Rasheed Ullah is a Proclaimed Offender and therefore , it is not a case of enforced disappearance.</t>
  </si>
  <si>
    <t>4023-S</t>
  </si>
  <si>
    <t>Atta Ullah s/o Murad Khan</t>
  </si>
  <si>
    <t>Murad Khan, r/o House No. 676, Street No. 12, Sector No. II, Mohallah Pakhtoon Abad, Mango Pir Road, Karachi. (Mobile No. 0305-1311681)</t>
  </si>
  <si>
    <t>4024-K</t>
  </si>
  <si>
    <t>Muhammad Islam s/o Ghulam Haider</t>
  </si>
  <si>
    <t>Ghulam Haider, r/o Qasim Kuli, Peshawar. (Mobile No. 0302-5508457)</t>
  </si>
  <si>
    <t>Traced Person. Rep of MI, submitted that Muhammad Islam is Confined in Internment Center, Lakki Marwat under Action (in aid of Civil Power Regulation 2011. Family members allowed to meet him.</t>
  </si>
  <si>
    <t>4025-K</t>
  </si>
  <si>
    <t>Abdul Rehman s/o Izat Khan</t>
  </si>
  <si>
    <t>Rasheed Ahmed, r/o Mohallah Toheed Abad, Shad Kaly, P.O Nasta Branch, District Charsadda. (Mobile No. 0346-5543868)</t>
  </si>
  <si>
    <t>Traced Person. I.O of the case informed and Rasheed Ahmed brother of the Abdul Rehman confirmed at the hearing held on 17/04/2018 that Abdul Rehman is confined in Parachanar Jail.</t>
  </si>
  <si>
    <t>4026-S</t>
  </si>
  <si>
    <t>Sajid Ali s/o Muhammad Ali</t>
  </si>
  <si>
    <t>r/o, House No. 489-A Peerabad, Gulbhar, Karachi</t>
  </si>
  <si>
    <t>Deleted. Case received from UNWEG, Closed (Due to incomplete Address)</t>
  </si>
  <si>
    <t>4027-S</t>
  </si>
  <si>
    <t>Syed Shiraz Ali s/o Syed Zahid Ali Hashmi</t>
  </si>
  <si>
    <t>r/o, House No. 100/216, Darak Shah Society, Malir kala Board, Karachi.</t>
  </si>
  <si>
    <t>Traced Person. Returned to Home and available at (House No. 100/216, Darak Shah Society, Malir kala Board, Karachi.)</t>
  </si>
  <si>
    <t>4028-S</t>
  </si>
  <si>
    <t>Muhammad Arif s/o Muhammad Fazil</t>
  </si>
  <si>
    <t>Mst. Syeda Tamseel Fatima,</t>
  </si>
  <si>
    <t>Deleted. There is no allegation in the Missing Person Proforma that any one of the LEAs is involved in his disappearance, therefore the case is closed.</t>
  </si>
  <si>
    <t>4029-K</t>
  </si>
  <si>
    <t>Shah Qiaz Khan s/o Banaras Khan</t>
  </si>
  <si>
    <t>Banaras Khan, r/o Kotka Nakiam Shagi, Machan Khel, Tehsil &amp; District Bannu. (Mobile No. 0305-9030031)</t>
  </si>
  <si>
    <t>4030-S</t>
  </si>
  <si>
    <t>Ghulam Raza Jawar s/o Nabi Buksh</t>
  </si>
  <si>
    <t>Ghulam Rasool, r/o Hakim Hashim, Tehsil Matali , District Badin. (Mobile No. 0333-2950182)</t>
  </si>
  <si>
    <t>Traced Person. It was informed at the hearing held in this Commission on 15/10/2018 that Ghulam Raza Jarwar has returned to home. The report submitted by the Police Officer SHO, Tando Ghulam Ali is placed on record.</t>
  </si>
  <si>
    <t>Badin</t>
  </si>
  <si>
    <t>4031-K</t>
  </si>
  <si>
    <t>Shah Zeb s/o Niaz Ali</t>
  </si>
  <si>
    <t>Niaz Ali, r/o Mohallah Musafir, Village Aman Nagar, Tehsil &amp; District Nowshera. (Mobile No. 0346-5646674)</t>
  </si>
  <si>
    <t>4032-K</t>
  </si>
  <si>
    <t>Muhammad Tariq s/o Muhammad Rehman</t>
  </si>
  <si>
    <t>Mst. Bibi Subhana, r/o Jarma, Kohat. (Mobile No. 0332-9836812)</t>
  </si>
  <si>
    <t>4033-K</t>
  </si>
  <si>
    <t>Lal Sher s/o Ghulab Sher</t>
  </si>
  <si>
    <t>Islam Sher, r/o mohallah Pata Khel, Tehsil Tal, District Hangu. (Mobile No. 0300-8330666)</t>
  </si>
  <si>
    <t>Traced Person. Islam Sher, complainant was present at the hearing on 18.3.2019. He has been apprised of the status of the case. He has affirmed that family members have already met Lal Sher in the Internment Centre Kohat.</t>
  </si>
  <si>
    <t>4034-I</t>
  </si>
  <si>
    <t>Shehzad Ahmed s/o Muhammad Shafique</t>
  </si>
  <si>
    <t>Nuzhat Mushtaq, r/o Berut Kala, Tehsil &amp; District Abbottabad. (Mobile No. 0348-8147587)</t>
  </si>
  <si>
    <t>Traced Person. SP (Inv), Islamabad, submitted report that Shehzad Ahmed has Returned to Home and available at his house. His brothe confirmed at the hearing on 11.9.17.</t>
  </si>
  <si>
    <t>4035-K</t>
  </si>
  <si>
    <t>Sher Shah s/o Karim Shah</t>
  </si>
  <si>
    <t>Mst. Kasab Khela Bibi, r/o Ragha, F.R Dera Ismail Khan. (Mobile No. 0304-9939252)</t>
  </si>
  <si>
    <t>22301-6136260-9</t>
  </si>
  <si>
    <t>FIR No. 1025 dated 23/11/2017 u/s 365 PPC PS Cantt, D.I.Khan</t>
  </si>
  <si>
    <t>Deleted. During the course of investigation, no clue could be found that any LEA/ Intelligence Agency was involved in disappearance of Sher Shah. The case has been categorized as missing person has gone on his own by JIT as well as PTF. Jan Shah b/o Sher Shah entered appearance and submitted affidavit in which there is no allegation against any LEA/ Intelligence Agency. All stake holders also denied arrest/ custody of Sher Shah. Hence the case does not fall within the ambit of enforced disappearance. Hence closed.</t>
  </si>
  <si>
    <t>4036-S</t>
  </si>
  <si>
    <t>Lal Mast Khan s/o Farid Khan</t>
  </si>
  <si>
    <t>Farid Khan, r/o House No. L-832, Sector No. S/D, Gulzar Colony, Malir Area, Korangi Karachi. (Mobile No. 0345-8896299)</t>
  </si>
  <si>
    <t>4037-P</t>
  </si>
  <si>
    <t>Yasir Malik s/o Iftkhar Ahmed</t>
  </si>
  <si>
    <t>Iftikhar Ahmed, r/o Gunjeyal, Tehsil Quaid Abad, District Khushab. (Mobile No.0307-4018140)</t>
  </si>
  <si>
    <t>Deleted. There is no concrete progress in the case except as mentioned in the previous orders passed on different dates by the Commission. JIT meeting was convened on 13.10.2019 and the case has been categorized as of Personal Enmity. The Commission has made all possible efforts to trace the whereabouts of Yasir Malik, which could not be fruitful. It is considered view of the Commission that it is not a case of Enforced Disappearance.</t>
  </si>
  <si>
    <t>4038-S</t>
  </si>
  <si>
    <t>Adeel-ur-Rehman s/o Malik Nehal Alam</t>
  </si>
  <si>
    <t>Traced Person. SHO, Aziz Bhatti, submitted report that Missing Person Adeel-ur-Rehman has Returned to Home and available at his house.</t>
  </si>
  <si>
    <t>4039-S</t>
  </si>
  <si>
    <t>Fareed Ahmed s/o Yameen Ahmed</t>
  </si>
  <si>
    <t>r/o, House No. 122/10, Orangiabad, Nazimabad, Karachi.</t>
  </si>
  <si>
    <t>Traced Person. Returned to Home an available at (House No. 122/10, Orangiabad, Nazimabad, Karachi)</t>
  </si>
  <si>
    <t>4040-S</t>
  </si>
  <si>
    <t>Waseem Siddiqui s/o Muhammad Siddiqui</t>
  </si>
  <si>
    <t>r/o, House No. T-181, Sector T, Korangi, Karachi.</t>
  </si>
  <si>
    <t>4041-K 1467-K</t>
  </si>
  <si>
    <t>Ajab Khan s/o Jan Akbar</t>
  </si>
  <si>
    <t>Mst. Mena Bibi, r/o Ghalacho, Orkazai Agency. (Mobile No. 0333-9687843)</t>
  </si>
  <si>
    <t>4042-P</t>
  </si>
  <si>
    <t>Zaheer-ud-Din Babar s/o Abdul Basheer</t>
  </si>
  <si>
    <t>Naseer-ud-Din Humayun, r/o Rawal Bala, Tehsil &amp; District Chakwal. (Mobile No. 0307-74107290)</t>
  </si>
  <si>
    <t>FIR No.139 dt.16/1/2016 u/s 365-A PPC PS/Baswal District Attock.</t>
  </si>
  <si>
    <t>4043-P</t>
  </si>
  <si>
    <t>Shaheen Abbas s/o Syed Aziz Hussain</t>
  </si>
  <si>
    <t>Syed Aziz Hussain, r/o Qasim Ali Advocate, Atif Center, room No. 202, 2nd Floor. (Mobile No. 0345-7146167)</t>
  </si>
  <si>
    <t>Traced Person. SP (Inv), Civil Lines, Lahore, submitted report that Missing Person Dr. Javed Iqbal Chaudhry has Returned to Home and available at his house in Qasim Ali Advocate, Atif Center, room No. 202, 2nd Floor.</t>
  </si>
  <si>
    <t>4044-I</t>
  </si>
  <si>
    <t>Syed Iftikhar Hussain s/o Syed Nasir Hussain</t>
  </si>
  <si>
    <t>FIR No.95 dt.14/3/2017 u/s 365-A PPC PS/Bhara Kahu District Islamabad.</t>
  </si>
  <si>
    <t>MoI</t>
  </si>
  <si>
    <t>4045-I</t>
  </si>
  <si>
    <t>Syed Jawad Hussain s/o Syed Muhammad Bakar</t>
  </si>
  <si>
    <t>FIR No.96 dt.14/3/2017 u/s 365-A PPC PS/Bhara Kahu District Islamabad.</t>
  </si>
  <si>
    <t>Traced Person. SP (Inv), Islamabad Submitted that the Missing Person Syed Jawad Hussain has been arrested in case FIR 410 u/s 302/34 PPC 7ATA, CTD Rawalpindi and presently confined in Adiyala Jail, Rawalpindi.</t>
  </si>
  <si>
    <t>4046-B</t>
  </si>
  <si>
    <t>Gul Muhammad s/o Charshambey</t>
  </si>
  <si>
    <t>r/o, Kuddan, District Kech, Balochistan. (Mobile No. 0321-8620029)</t>
  </si>
  <si>
    <t>Traced Person. Imran Dad AC, Kech is present. He is submitted that Gul Muhammad has returned to home and his statement u/s161 CrPC has been recorded. In view if the above mentioned statement no further action is required to taken by the Commission.</t>
  </si>
  <si>
    <t>MofAs</t>
  </si>
  <si>
    <t>4047-P</t>
  </si>
  <si>
    <t>Waqar Saleem s/o Muhammad Saleem</t>
  </si>
  <si>
    <t>Muhammad Saleem, r/o House No. 203, Block No. C-2, Chakala , Rehmat Abad, Rawalpindi. (Mobile No. 0300-8303045)</t>
  </si>
  <si>
    <t>FIR No.519 dt.25/5/2017 u/s 365-A PPC PS/Airport District Rawalpindi.</t>
  </si>
  <si>
    <t>Traced Person. Waqar Saleem entered appearance before the Commission and submitted that he returned home safely. He, however submitted that he remained in detention for 54 days and thereafter he was released. Foregoing in view, the case is closed.</t>
  </si>
  <si>
    <t>4048-F</t>
  </si>
  <si>
    <t>Ghafoor s/oShah Wali</t>
  </si>
  <si>
    <t>Aman Ullah r/o VIP Colony, Dak khana, sheikh yousaf Ada, Bannu Road, D.I.Khan (Mobile No. 0302-3163630)</t>
  </si>
  <si>
    <t>Under Investigation (Fata)</t>
  </si>
  <si>
    <t>SWA</t>
  </si>
  <si>
    <t>4049-K</t>
  </si>
  <si>
    <t>Noor Muhammad s/oShah Wali</t>
  </si>
  <si>
    <t>Traced Person. DPO, D.I.Khan, submitted that Missing Person, Noor Muhammad is Confined at Internment Center, Lakki Marwat)</t>
  </si>
  <si>
    <t>4050-I</t>
  </si>
  <si>
    <t>Muhammad Naveed s/o Muhammad Sadique</t>
  </si>
  <si>
    <t>Gulistasib Muhammad r/o Top City Property Office, G-11 Markaz, Islamabad (Mobile No. 0301-5572618)</t>
  </si>
  <si>
    <t>Traced Person. SP (Inv), Islamabad, submitted that Missing Person, Muhammad Naveed is (Returned to Home and available at Top City Property Office, G-11 Markaz, Islamabad)</t>
  </si>
  <si>
    <t>4051-S</t>
  </si>
  <si>
    <t>Syed Naseem Abbas s/o Syed Aziz Hussain</t>
  </si>
  <si>
    <t>Syeda Aziz Mair r/o P/O Rajan Shah, Tehsil Karor, District Layyah (Mobile No. 0347-3429014)</t>
  </si>
  <si>
    <t>Traced Person. SI, Sanaullah, PS Darakshan, submitted report that Missing Person has Returned to Home and available at his house in P/O Rajan Shah, Tehsil Karor, District Layyah</t>
  </si>
  <si>
    <t>4052-P</t>
  </si>
  <si>
    <t>Abdul Khaliq s/o Ahmed Khan</t>
  </si>
  <si>
    <t>Abdul Malik, r/o village Mari, Tehsil Jund, District Attock. (Mobile No. 0346-5755573)</t>
  </si>
  <si>
    <t>Traced Person. DPO, Attock ssubmitted that Abdul Khaliq was killed by Amir Afzal at the behest of wife of Abdul Khaliq and his dead body was thrown in the River Indus. He further submitted that a few dead bodies were recovered at Kala Bagh and their DNA reports are awaited.</t>
  </si>
  <si>
    <t>4053-K</t>
  </si>
  <si>
    <t>Noor Akbar Khan s/o Muhammad Akbar</t>
  </si>
  <si>
    <t>Muhammad Akbar, r/o Katlak Camp, Tehsil Darosh, Dsitrict Chitral. (Mobile No. 0323-9697097)</t>
  </si>
  <si>
    <t>Traced Person. At the Hearing held in this case on 02/05/2018, Fazal Hakeem son of Noor Akbar Khan entered appearance and stated that his father was in Afghanistan and he has spoken to him on telephone. Statement of Fazal Hakeem has been recorded u/s 164 Cr.PC.</t>
  </si>
  <si>
    <t>Chitral</t>
  </si>
  <si>
    <t>4054-K</t>
  </si>
  <si>
    <t>Karamat Ullah s/o Jan Alam</t>
  </si>
  <si>
    <t>Jan Alam, r/o Dawood Khel, District Tank. (Mobile No. 0333-5127506 , 0305-5413817, 0345-9578211 Bashir Khan)</t>
  </si>
  <si>
    <t>4055-K</t>
  </si>
  <si>
    <t>Hadyat Ullah s/o Khasita Gul</t>
  </si>
  <si>
    <t>Khasita Gul, r/o Qureshi Colony, Railway Road Haripur. (Mobile No. 0344-9412543)</t>
  </si>
  <si>
    <t>Traced Person. Returned to Home and available at Qureshi Colony, Railway Road Haripur.</t>
  </si>
  <si>
    <t>4056-K</t>
  </si>
  <si>
    <t>Hamayoon Khan s/o Muhammad Yousaf</t>
  </si>
  <si>
    <t>Muhammad Yousaf, r/o Manari Payan, Dagai Chaum, District Swabi. (Mobile No. 0313-3319966)</t>
  </si>
  <si>
    <t>Deleted. During the course of inquiry, no clue could be found that any LEA/ Intelligence Agency was involved in disappearance of Hamayoon Khan. The case has been categorized as of missing person has gone on his own by JIT as well as PTF. The complainant Muhammad Yousaf or his authorized representative was summoned twice for recording statement but none entered appearance despite issuance of notices. All stakeholders have denied arrest/custody of Hamayoon Khan. Hence, not a case of enforced disappearance. The case is closed.</t>
  </si>
  <si>
    <t>4057-K</t>
  </si>
  <si>
    <t>Naqeeb Ullah s/o Gulbat Khan</t>
  </si>
  <si>
    <t>Gulbat Khan, r/o Village Kiri, Umar Ada, District Tank. (Mobile No. 0300-9090843)</t>
  </si>
  <si>
    <t>Traced Person. Haji Allah Nawaz, Inspector (Legal), Tank, submitted that the Missing Person has Returned to Home and available at Village Kiri, Umar Ada, District Tank.</t>
  </si>
  <si>
    <t>4058-P</t>
  </si>
  <si>
    <t>Ali Jamshed s/o Jamshed Ahmed</t>
  </si>
  <si>
    <t>Jamshed Ahmed, r/o Street No. 15/7, House No. 133, Muhmmadi Street, Mohallah Zatoon Colony, Darogha Wala, Lahore Cantt. (Mobile No. 0345-4709020)</t>
  </si>
  <si>
    <t>4059-P</t>
  </si>
  <si>
    <t>Saima Sajad d/o Muhammad Nisar Awan</t>
  </si>
  <si>
    <t>Muhammad Nisar House No. BIV- 397, Muslim Town, Rawalpindi. (Mobile No. 0334-5850067)</t>
  </si>
  <si>
    <t>Deleted. This case does not fall within the ambit of enforced disappearance as the lady went out of her home and did not return.</t>
  </si>
  <si>
    <t>4060-B</t>
  </si>
  <si>
    <t>Syed Nazir Ahmed s/o Syed Haji Ghulam Muhammad</t>
  </si>
  <si>
    <t>Mst. Shazia Nazir, r/o Flat No. A-11, Second Floor, Block No. A, Umar Hights , Jinnah Town, Quetta. (Mobile No. 0321-8025405)</t>
  </si>
  <si>
    <t>Deleted. Wife of Missing Person submitted that some persons tried to approach the family for negotiations.</t>
  </si>
  <si>
    <t>s/o Naisr KhaN</t>
  </si>
  <si>
    <t>4061-B</t>
  </si>
  <si>
    <t>Hafeez Ullah s/o Haji Rahim Dad</t>
  </si>
  <si>
    <t>Mst. Bibi Shari, r/o Kuli Mir, P.O Dalbandin. (Mobile No. 0333-3321030)</t>
  </si>
  <si>
    <t>Traced Person. After thorough investigation reports from all concerned it has been found that Hafeez Ullah was kidnapped by his relative and later killed due to dispute on smuggling and ransom. A sum of Rs. 67,00,000/- will be paid to the family of Hafeez Ullah. The case has been resolved no further action is required the case is closed.</t>
  </si>
  <si>
    <t>4062-P</t>
  </si>
  <si>
    <t>Muhammad Faisal s/o Abdul Khaliq</t>
  </si>
  <si>
    <t>Abdul Khaliq , r/o Chowk Jatoi Road, Alipur Shahar, Tehsil Alipur, District Muzaffargarh (Mobile No. 0304-9488255 &amp; 0301-2080670)</t>
  </si>
  <si>
    <t>4063-B</t>
  </si>
  <si>
    <t>Shahzad Qayyum s/o Abdul Qayyum</t>
  </si>
  <si>
    <t>Mst. Noor Bibi, r/o Killy Ismail, Mengal General Store, Quetta. (Mobile No. 0334-2464255)</t>
  </si>
  <si>
    <t>Traced Person. Abdul Qayyum Advocate, father of the missing person was present at the hearing on 13/12/2018 that his son Shazad Qayyum came back one day before Eid-ul-Fitr. There is no allegation against any of the State Agency/LEAs.</t>
  </si>
  <si>
    <t>4064-K</t>
  </si>
  <si>
    <t>Muhammad Irshad Khan s/o Mouthram Khan</t>
  </si>
  <si>
    <t>Arshad Ali Khan, r/o Sector No. G-10/1, Plot No. 3-D, Buland Market, Islamabad. (Mobile No. 0333-5626165)</t>
  </si>
  <si>
    <t>Traced Person. Returned to Home and available at Sector No. G-10/1, Plot No. 3-D, Buland Market, Islamabad.</t>
  </si>
  <si>
    <t>4065-K</t>
  </si>
  <si>
    <t>Illyas s/o Haroon Rasheed</t>
  </si>
  <si>
    <t>Farooq Rasheed, r/o Ring Road Chowk, Near Madina CNG, Bara Road, Peshawar. (Mobile No. 0333-9117510)</t>
  </si>
  <si>
    <t>4066-F</t>
  </si>
  <si>
    <t>Kamran s/o Muslin Deen</t>
  </si>
  <si>
    <t>Mst. Yasmeen Begum, r/o Orkzai Agency. (Mobile No. 0336-9562566)</t>
  </si>
  <si>
    <t>Traced Person. Rep of ACS FATA is present at the hearing on 16/10/2018 and submitted that DNA report has been received which is positive and after receiving DNA report the accused was arrested and the case is under trail in the court of AC Lower Orakzai. As the case is under trial so no further action is required to be taken by the Commission.</t>
  </si>
  <si>
    <t>4067-K</t>
  </si>
  <si>
    <t>Muhammad Tayyab s/o Ameer Muhammad</t>
  </si>
  <si>
    <t>Ameer Muhammad, r/o Wadhad Colony, Sakha Kot, Tehsil Dargai, District Malakand. (Mobile No. 0300-8054422 &amp; 0343-9055515)</t>
  </si>
  <si>
    <t>Traced Person. Hearing held in this Commission on 16/08/2018. Muhammad Tayyab has been traced. According to the report received from Rep of MI, Muhammad Tayyab is presently confined in the Internment Center, Paithom. Father of the traced person was present and apprised of status.</t>
  </si>
  <si>
    <t>4068-I</t>
  </si>
  <si>
    <t>Muhammad Khalil, r/o ZA- 1952-A, Dhoke Mangtal, Rawalpindi.</t>
  </si>
  <si>
    <t>Traced Person. Ashraf Shah, DSP (CIA), Islamabad, Submitted that the Missing Person is Returned to Home and available at ZA- 1952-A, Dhoke Mangtal, Rawalpindi</t>
  </si>
  <si>
    <t>4069-K</t>
  </si>
  <si>
    <t>Muhammad Ali Shahan s/o Ghulam Wahid</t>
  </si>
  <si>
    <t>Muhammad Taimoor Khan, r/o Near Post Office, Mohallah Shakoor Khan, Majhar Bazar, Akhora Khatak, District Nowshera. (Mobile No. 0333-9666164)</t>
  </si>
  <si>
    <t>Traced Person. DSP (Inv), submitted report that Missing Person has Returned to Home and available at his house in Near Post Office, Mohallah Shakoor Khan, Majhar Bazar, Akhora Khatak, District Nowshera.</t>
  </si>
  <si>
    <t>4070-K</t>
  </si>
  <si>
    <t>Iftikhar Muhammad s/o Ghulam Muhammad</t>
  </si>
  <si>
    <t>Mst. Sadia Ambreen, r/o Mian Khel, Tehsil &amp; District Kohat. (Mobile No. 0336-0579613)</t>
  </si>
  <si>
    <t>4071-K</t>
  </si>
  <si>
    <t>Junaid s/o Jan Muhammad</t>
  </si>
  <si>
    <t>Mst. Kamala, r/o Akhur Malak, Gul Dast Kalay, Pirwal Khel, Dara Adam Khel, Kohat. (Mobile No. 0303-8214331)</t>
  </si>
  <si>
    <t>4072-K</t>
  </si>
  <si>
    <t>Hakeem Khan s/o Bacha</t>
  </si>
  <si>
    <t>Mst. Gul Sherena, r/o Sherai, Tehsil Babu Zai, District Swat. (Mobile No. 0343-9401690)</t>
  </si>
  <si>
    <t>4073-I</t>
  </si>
  <si>
    <t>Hafiz Abu-Al-Ala s/o Shams Uddin</t>
  </si>
  <si>
    <t>Shams Uddin F/o Missing Person, r.o House No. 1149, Street No. 28, Near Havaid Market, I-10/4, Islamabad (Mobile No. 03009737119)</t>
  </si>
  <si>
    <t>61101-3068954-9</t>
  </si>
  <si>
    <t>FIR No. 33 dated 29/01/2017 u/s 365-PPC PS Sabzi Mandi, ICT</t>
  </si>
  <si>
    <t>4074-K</t>
  </si>
  <si>
    <t>Muhammad Idrees s/o Muhammad Jan</t>
  </si>
  <si>
    <t>Muhammad Yaqoob b/o Missing Person, r.o Tarnool Maki Masjid Madina Town, District Tex Tarnool, Islamabad (Mobile No. 03005679509, 03078122481)</t>
  </si>
  <si>
    <t>4075-P</t>
  </si>
  <si>
    <t>Hashmat Ullah s/o Rehmat Ullah</t>
  </si>
  <si>
    <t>Barkat Ullah Loan b/o Missing Person, r/o House No. 1001, Mohallah Zindah, Peer Gawalah Road, Rawalpindi. (Mobile No. 0324-5017953, 0300-5024411)</t>
  </si>
  <si>
    <t>Traced Person. Barkat Ullah Brother of Missing Person, submitted that Missing Person has Returned to Home and available at his house in House No. 1001, Mohallah Zindah, Peer Gawalah Road, Rawalpindi.</t>
  </si>
  <si>
    <t>4076-I</t>
  </si>
  <si>
    <t>Abbas Khan s/o Ghulam Muhammad</t>
  </si>
  <si>
    <t>Ghulam Muhammad, r/o House No. ZB- 2719, Street No. 02, Nawab Colony, Dhok Hassu, Rawalpindi. (Mobile No. 0347-5381773)</t>
  </si>
  <si>
    <t>FIR No. 104 dated 17/10/2017 u/s 365 PPC PS Shams Colony, Isb</t>
  </si>
  <si>
    <t>Traced Person. Abbas Khan has been traced. He has returned to home. Mr. Tahir Hussain, DSP (Inv) Shams Colony, Islamabad is present. His statement has been recorded on oath.</t>
  </si>
  <si>
    <t>4077-K</t>
  </si>
  <si>
    <t>Muhammad Sadiq s/o Fazal Manan</t>
  </si>
  <si>
    <t>Fazal Manan. r/o Kharmato, Near Mudrassa, Tehsil &amp; District Kohat. (Mobile No.0332-2640930 &amp; 0333-9634264 &amp; 0334-8345484)</t>
  </si>
  <si>
    <t>4078-I</t>
  </si>
  <si>
    <t>Umair Muhammad Sadiq s/o Muhammad Saidq</t>
  </si>
  <si>
    <t>Muhammad Sadiq, r/o House No. 904-A, Street No. 41. Sector No. G-10/4, Islamabad. (Mobile No. 0332-5499914)</t>
  </si>
  <si>
    <t>FIR No. 197, dated 22/08/2017 u/s 365 PPC PS Golra, Isb</t>
  </si>
  <si>
    <t>Traced Person. It was informed at the hearing on 11/09/2018 that Umair Muhammad Sadiq has been traced. He has returned to home. Ikram-ul-Haq father in-law of traced person has entered appearance and submitted that Umair Muhammad Sadiq returned home on 22/08/2018 and thereafter he went to Karachi. Ilram-ul-Haq did not furnish further details for obvious reasons.</t>
  </si>
  <si>
    <t>4079-S</t>
  </si>
  <si>
    <t>Syed Sheraz Haider Ali s/o Syed Shabia Ahmed Jaffari</t>
  </si>
  <si>
    <t>Syed Ahmed Ali Jaffari, r/o House No. 426, Hussain Abad, Near Imam Bargah Jaffaria, Karachi.</t>
  </si>
  <si>
    <t>Traced Person. It was informed at the hearing held in this Commission on 16/07/2018 that Syed Sheraz Haider Ali is in the custody of Military Intelligence and under investigation on various charges.</t>
  </si>
  <si>
    <t>Human Rights Commission of Pakistan</t>
  </si>
  <si>
    <t>4080-S</t>
  </si>
  <si>
    <t>Sheraz Usman Awan s/o Malik Noor Muhammad Sarfraz Awan</t>
  </si>
  <si>
    <t>Malik Noor Muhammad Sarfraz Awan, r/o Block 09, Karachi. (Mobile No. 0300-9207354)</t>
  </si>
  <si>
    <t>Traced Person. SHO, Baloch Colony, submitted that Missing Person has Returned to Home and available at his house in Block 09, Karachi.</t>
  </si>
  <si>
    <t>4081-S</t>
  </si>
  <si>
    <t>Muhammad Umar s/o Nadeem Iqbal</t>
  </si>
  <si>
    <t>Nadeem Iqbal, r/o Natha Goth, Gul Ishtiaq Bus Ada, Hazara Colony, House No. 4/86. (Mobile No. 0336-2140913)</t>
  </si>
  <si>
    <t>Traced Person. Inspector Khalid, PS, Shah Faisal submitted report that Missing Person was arrested in FIR No. 234/2017 registered at PS Saudabad.</t>
  </si>
  <si>
    <t>4082-K</t>
  </si>
  <si>
    <t>Anwar Hayat s/o Umar Khatab</t>
  </si>
  <si>
    <t>Mst. Feroza, r/o Parwana, P.O Jabeal, District Swat. (Mobile No. 0347-6739297)</t>
  </si>
  <si>
    <t>4083-K</t>
  </si>
  <si>
    <t>Yar Muhammad s/o Sher Zameen</t>
  </si>
  <si>
    <t>Mst. Sewa, r/o Parwana, P.O Jabeal, District Swat. (Mobile No. 0321-5478962)</t>
  </si>
  <si>
    <t>4084-K</t>
  </si>
  <si>
    <t>Nisar Khan s/o Nasir Khan</t>
  </si>
  <si>
    <t>Nasir Khan, r/o Bora, Ali Khel, P.O Sher Kera, District Peshawar. (Mobile no. 0341-9048919)</t>
  </si>
  <si>
    <t>4085-K</t>
  </si>
  <si>
    <t>Dilbar Khan s/o Nasir Khan</t>
  </si>
  <si>
    <t>4086-K</t>
  </si>
  <si>
    <t>Qaiser Khan s/o Shakar Wali</t>
  </si>
  <si>
    <t>Shakar Wali, r/o Village Sambey Khel, P.O Sher Kera, Peshawar. (Mobile No. 0349-5150838)</t>
  </si>
  <si>
    <t>4087-K</t>
  </si>
  <si>
    <t>Gull Bahadur s/o Baradar Khan</t>
  </si>
  <si>
    <t>Samandar Khan, r/o Koza Bandi, District Swat. (Mobile No. 0344-9665256 &amp; 0340-0900055)</t>
  </si>
  <si>
    <t>15602-9441543-9</t>
  </si>
  <si>
    <t>4088-K</t>
  </si>
  <si>
    <t>Haq Nawaz s/o Khan Saeed</t>
  </si>
  <si>
    <t>Muhammad Sheraz, r/o Village Shewa, , Tehsil Raz, District Swabi. (Mobile No. 0333-9434887 &amp; 0312-9434887)</t>
  </si>
  <si>
    <t>4089-K</t>
  </si>
  <si>
    <t>Sultan Muhammad s/o Ameer Zada</t>
  </si>
  <si>
    <t>Khair-un-Nas, r/o Mohallah Sadiqabad, Shewa, Tehsil &amp; District Swabi. (Mobile No. 0302-8369568 &amp; 0344-8930046)</t>
  </si>
  <si>
    <t>4090-B</t>
  </si>
  <si>
    <t>Folad s/o Jalai</t>
  </si>
  <si>
    <t>Qasim, r/o Behri Sand, UC Pidark, Tehsil Turbat , District Kech. (Mobile No. 0314-2277321)</t>
  </si>
  <si>
    <t>Deleted. After thorough investigation the case has been closed.</t>
  </si>
  <si>
    <t>4091-B</t>
  </si>
  <si>
    <t>Orangzeb s/o Haji Muhammad Essa</t>
  </si>
  <si>
    <t>Haji Muhammad Essa, r/o Kuk, Gulstan Qila Abdullah,(Mobile No. 0301-3727714)</t>
  </si>
  <si>
    <t>FIR No 36/2017
 dt: 17/02/2017 365-A
 P.S.City District Quetta</t>
  </si>
  <si>
    <t>Traced Person. Home Department Balochistan as well as father of Orangzeb confirmed that he has returned to home.</t>
  </si>
  <si>
    <t>4092-F</t>
  </si>
  <si>
    <t>Aseem Khan s/o Dayam Khan</t>
  </si>
  <si>
    <t>Ameer Hamza, r/o Qandhari, P.O Sando Khel, Tehsil Upper Mohmand Agency. (Mobile No. 0315-6060837)</t>
  </si>
  <si>
    <t>21406-8029686-9</t>
  </si>
  <si>
    <t>4093-K</t>
  </si>
  <si>
    <t>Nisar Ali s/o Farman Ali</t>
  </si>
  <si>
    <t>Farman Ali, r/o Mohallah Nasphai, Village Dagey, District Swat. (Mobile No. 0342-9194015)</t>
  </si>
  <si>
    <t>4094-K</t>
  </si>
  <si>
    <t>Rahim Dad Khan</t>
  </si>
  <si>
    <t>r/r, Mohallah Gulshan Abad, But Khaila, District Malakand.</t>
  </si>
  <si>
    <t>Deleted. The case was received from United National Working Group cognizance whereof has been taken by this Commission. JIT proceedings indicate that Rahim Dad Khan (Missing Person) has acted as transport advisor to Molvi Fazal Ullah, Rahim Dad Khan (missing person) had gone voluntarily and reportedly he is in Afghanistan with Molvi Fazal Ullah.</t>
  </si>
  <si>
    <t>4095-K</t>
  </si>
  <si>
    <t>Muhammad Mauvia</t>
  </si>
  <si>
    <t>r/o, Mohallah Sharifabad, Ward No. 05, Tehsil Takht Bhai, District Mardan.</t>
  </si>
  <si>
    <t>4096-K</t>
  </si>
  <si>
    <t>Abid Hussain s/o Muhammad Siddique</t>
  </si>
  <si>
    <t>r/o, Muslim Abad, District Abbottabad. (Mobile No. 0347-9268112)</t>
  </si>
  <si>
    <t>Traced Person.SP (Inv), Abbottabad informed at the hearing on 30/04/2018 that Abid Hussain has returned to home . His brother Muhammad Shafique who entered appearance before the Commission also confirmed.</t>
  </si>
  <si>
    <t>4097-K</t>
  </si>
  <si>
    <t>Mian Ishaq Syed</t>
  </si>
  <si>
    <t>r/o, Pir Baba, Village Docadda, Tehsil Gadezai, District Bonair.</t>
  </si>
  <si>
    <t>Traced Person. DSP (Inv) Buner, Submitted that the Missing Person is Returned to Home and available at Pir Baba, Village Docadda, Tehsil Gadezai, District Bonair.</t>
  </si>
  <si>
    <t>4098-K</t>
  </si>
  <si>
    <t>Rashid Khan s/o Gul Zaman Khan</t>
  </si>
  <si>
    <t>r/o, P.O, Pir Baba, Village Shamhaal, Tehsil Ghagarzai, District Bonair.</t>
  </si>
  <si>
    <t>Deleted. The occurrence took place on 18.2.2015 and place of occurrence was indicated as village Shamnal, District Buner. The complaint was received in July, 2017 through UN Working Group and process regarding constitution of JIT, registration of case and report from IB regarding antecedents of the Missing Person was issued on 29.7.2017. Subsequently, the case was considered by JIT were and PTF reports no category could be assigned. District Police Officer Buner further informed that the family members of the Missing Person was not traceable on the given address. Hence the case cannot be proceeded any more and stands closed.</t>
  </si>
  <si>
    <t>4099-K</t>
  </si>
  <si>
    <t>Zeeshan Muhammad</t>
  </si>
  <si>
    <t>r/o, P.O Dosehra, Village Doshera, Tehsil &amp; District Charsadda.</t>
  </si>
  <si>
    <t>Traced Person. Brother of Missing Person, submitted that the Missing Person has Returned to Home and available at Village Doshera, Tehsil &amp; District Charsadda.</t>
  </si>
  <si>
    <t>4100-K</t>
  </si>
  <si>
    <t>Zahir Ullah s/o Abdullah</t>
  </si>
  <si>
    <t>,r/o Pando Road, Maira Kechori Serozai Paya, Zandi Sar, Peshawar.</t>
  </si>
  <si>
    <t>4101-K</t>
  </si>
  <si>
    <t>Zabit Khan s/o Nobat Khan</t>
  </si>
  <si>
    <t>r/o, Village Dorba Khel, Tehsil Halemzai, Mohmand Agency, FATA.</t>
  </si>
  <si>
    <t>Traced Person. DSP (Inv), Peshawar, submitted report that Missing Person has Returned to Home and available at his house in Village Dorba Khel, Tehsil Halemzai, Mohmand Agency, FATA.</t>
  </si>
  <si>
    <t>4102-B</t>
  </si>
  <si>
    <t>Muhammad Azeem s/o Ahmed</t>
  </si>
  <si>
    <t>r/o, Malant, Kech, Balochistan.</t>
  </si>
  <si>
    <t>Traced Person. SP (Inv) Turbat submitted report supported by statements of relatives that Muhammad Azeem has returned to home. Further stated that he has left for Dubai.</t>
  </si>
  <si>
    <t>4103-B</t>
  </si>
  <si>
    <t>Naveed Akhter</t>
  </si>
  <si>
    <t>r/o Peshokan, District Gawder, Balochistan.</t>
  </si>
  <si>
    <t>Traced Person. On 26.5.2018, report has been submitted by Naib Tehsildar Gawadar that one Abdul Samad a closed relative of the Missing Person informed that Naveed Akhtar was taken into custody by some Agency and subsequently he was released. Now he is confined in Central Prison Karachi in a case of drug trafficking.</t>
  </si>
  <si>
    <t>4104-S</t>
  </si>
  <si>
    <t>Shah Nawaz Khan</t>
  </si>
  <si>
    <t>r/o, Flat No. C-10, Life Home Terries, Sector 11/4, North Karachi.</t>
  </si>
  <si>
    <t>4105-S</t>
  </si>
  <si>
    <t>r/o, House No. 451, Orangi Town No. 10, Near P.N.G, School Orangi Town, Karachi.</t>
  </si>
  <si>
    <t>Traced Person. SDPO, Orangi Town , Submitted that the Missing Person Muhammad Naeem has been arrested by Alfalah Police in case FIR No.241/2016 u/s 353/324/34/r/w 7-ATA PPC and 246/2016 u/s 23-I(A) and 4/5 Explosive Act.</t>
  </si>
  <si>
    <t>4106-F</t>
  </si>
  <si>
    <t>Kashif Khan s/o Noor Alam</t>
  </si>
  <si>
    <t>r/o Ghazi Kor, Tehsil haleemzai, Mohmand Agency, FATA.</t>
  </si>
  <si>
    <t>Traced Person. It has been reported by MI that Kashif Khan is detained in Internment Center at Ghallani, Mohmand Agency . Under Action (in aid of Civil Power) Regulation 2011. Family Members have been allowed to meet him.</t>
  </si>
  <si>
    <t>4107-P</t>
  </si>
  <si>
    <t>Molana Shah Alam Khan s/o Noor Alam</t>
  </si>
  <si>
    <t>Akhtar Muhammad, r/o, New Waziristan, Kamani Autos, Jhuly Jalal Market, Taxila, Rawalpindi. (Mobile No. 0313-5262515 &amp; 0345-5787791)</t>
  </si>
  <si>
    <t>Traced Person. This case was received from UNWGIED, Geneva. Lt Col Sajid Mehmood , Rep of MI is present and submitted that Maulana Shah Alam Khan is presently detained in Internment Center, Lakki Marwat in accordance with provisions of Action (in Aid of Civil Power) Regulation, 2011. Akhtar Muhammad brother of Maulana Shah Alam Khan is present and he has stated that he met his brother on 28.5.2019 in Internment Center Lakki Marwat.</t>
  </si>
  <si>
    <t>4108-S</t>
  </si>
  <si>
    <t>Mujhaid Ali s/o Sharafat Ali</t>
  </si>
  <si>
    <t>Mst. Summaiya Mujhaid, r/o House No. A-274, Gulberg, Block No. 12, Karachi. (Mobile No. 0334-2929265)</t>
  </si>
  <si>
    <t>Traced Person. It was informed at the hearing held in this Commission on 28.10.2019 that Mujhaid Ali has returned to home. He appeared before the Commission and his statement has been recorded on oath. Report submitted by SHO PS Gulshan-e-Iqbal is also placed on record.</t>
  </si>
  <si>
    <t>4109-F</t>
  </si>
  <si>
    <t>Abdul Hameed s/o Syed Shah Khan</t>
  </si>
  <si>
    <t>Shakeel Khan, Ali Khel, Mir Ali, North Waziristan. (Mobile No. 0307-8517533)</t>
  </si>
  <si>
    <t>21505-0150429-5</t>
  </si>
  <si>
    <t>4110-S</t>
  </si>
  <si>
    <t>Waseem Akhtar s/o Akhtar</t>
  </si>
  <si>
    <t>r/o, 98/1, 23rd Street, Khayaban-e-Muhafiz, Defence Phase No. 06, Karachi.</t>
  </si>
  <si>
    <t>4111-S</t>
  </si>
  <si>
    <t>Abdullah s/o Sultan Mehmood</t>
  </si>
  <si>
    <t>Mst. Shamim Bibi, r/o Tehsil Kabal, District Swat. (Mobile No. 0341-4342099)</t>
  </si>
  <si>
    <t>4112-K</t>
  </si>
  <si>
    <t>Usman Ullah s/o Kafiyat Ullah</t>
  </si>
  <si>
    <t>Kafiyat Ullah, r/o Mohallah Qasom Cham, Tehsil Samar Bagh, District Lower Dir. (Mobile No. 0301-8908596)</t>
  </si>
  <si>
    <t>Traced Person. Usman Ullah has returned to home. He appeared before the Commission at the hearing on 03/01/2019 and his statement has been recorded on oath.</t>
  </si>
  <si>
    <t>4113-K</t>
  </si>
  <si>
    <t>Sana Ullah s/o Ameer Karam Khan</t>
  </si>
  <si>
    <t>Ameer Karam Khan, r/o Mohallah Cheal, Tehsilo Qambar, District Swat. (Mobile No. 0348-0150919)</t>
  </si>
  <si>
    <t>4114-K</t>
  </si>
  <si>
    <t>Bacha Khan s/o Mosa Khan</t>
  </si>
  <si>
    <t>Mst. Waheeda Bibi, r/o Bartely, Bartana, Tehsil Mata, District Swat. (Mobile No. 0340-9051145)</t>
  </si>
  <si>
    <t>4115-S</t>
  </si>
  <si>
    <t>Muhammad Ameen s/o Qand Farosh</t>
  </si>
  <si>
    <t>Muhammad Ayaz, r/o Master Abad, Chowngi Shamozi, Tehsil &amp; District Swat. (Mobile No. 0346-2200431)</t>
  </si>
  <si>
    <t>1st August 2017</t>
  </si>
  <si>
    <t>4116-S</t>
  </si>
  <si>
    <t>Muhammad Illyas s/o Muhammad Ayaz</t>
  </si>
  <si>
    <t>4117-P</t>
  </si>
  <si>
    <t>Muhammad Ismail Rifat s/o Molvi Abdul Malik</t>
  </si>
  <si>
    <t>Muhammad Qasim, r/o Mehmood-ul-Hassan Colony, Railway Road, Ahmed Pur Sharqia, District Bahawalpur. (Mobile No. 0300-7815898)</t>
  </si>
  <si>
    <t>31201-0359871-3</t>
  </si>
  <si>
    <t>4118-K</t>
  </si>
  <si>
    <t>Muhammad Iqbal s/o Minnat Khan</t>
  </si>
  <si>
    <t>Hayat Khan, r/o Mohallah Zar gari, Dowaba, Tehsil Tal, District Hangu. (Mobile No. 0305-5798273)</t>
  </si>
  <si>
    <t>Traced Person. Returned to Home and available at Mohallah Zar gari, Dowaba, Tehsil Tal, District Hangu.</t>
  </si>
  <si>
    <t>4119-P</t>
  </si>
  <si>
    <t>Malik Muhammad Asif s/o Abdul Malik</t>
  </si>
  <si>
    <t>Mst. Asma Naheed, r/o Chak No. 77/10, P.O Khas, Syedan Wala, Pirowal, Tehsil &amp; District Khanewal. (Mobile No. 0316-5384519)</t>
  </si>
  <si>
    <t>4120-S</t>
  </si>
  <si>
    <t>Allah Ditto</t>
  </si>
  <si>
    <t>r/o, Flat No. T-16, Sassi Apartments, Gulistan-e-Johar, Block 4-A, Karachi.</t>
  </si>
  <si>
    <t>Traced Person. SDPO, Sharah-e-Faisal, Syed Shoukat Ali, submitted report that Missing Person has Returned to Home and available at his house in Flat No. T-16, Sassi Apartments, Gulistan-e-Johar, Block 4-A, Karachi.</t>
  </si>
  <si>
    <t>4121-P</t>
  </si>
  <si>
    <t>Ali Muazzam s/o Ali Mukhtar</t>
  </si>
  <si>
    <t>r/o, House No. 905, Hafiz Jamal Road, Chowk Manzoorabad, Multan. (Mobile No. 0300-9630772)</t>
  </si>
  <si>
    <t>Traced Person. The case was categorized by the JIT as a case of Kidnapping due to personal enmity and the reasons for the opinion have been given by JIT are that the Missing Person was abducted and Killed by the accused. It is abduction –cum-murder case. 03 accused namely Anwar Bughti, Raheel and Kamal Haider have been acquitted, whereas two accused namely Shaukat Ali and Mushtaq Ali were declared Court Absconders. Mother and brother of the deceased appeared before the Commission and confirmed the above stated position..</t>
  </si>
  <si>
    <t>4122-S</t>
  </si>
  <si>
    <t>r/o, Dawood Residency, Flat No. 108-F, Mohallah Gulzar, Malir , Karachi.</t>
  </si>
  <si>
    <t>Traced Person. SHO, Malir, submitted report that Missing Person has Returned to Home and available at his house in Flat No. 108-F, Mohallah Gulzar, Malir , Karachi.</t>
  </si>
  <si>
    <t>4123-B</t>
  </si>
  <si>
    <t>Jameel Yaqoob</t>
  </si>
  <si>
    <t>r/o Village Digari Khan, Tehsil Turbat, District Kech, Balochistan</t>
  </si>
  <si>
    <t>Traced Person. SP Kech at Turbat submitted report that dead body of Jameel Yaqoob was recovered and handed over to the family.</t>
  </si>
  <si>
    <t>4124-B</t>
  </si>
  <si>
    <t>Ahmed Dad Baloch</t>
  </si>
  <si>
    <t>r/o, Captian Murad Baksh Ward, Gawder, Balochistan</t>
  </si>
  <si>
    <t>4125-B</t>
  </si>
  <si>
    <t>Faisal Marri</t>
  </si>
  <si>
    <t>r/o Hazarganji, Balochistan</t>
  </si>
  <si>
    <t>Deleted. Due to In Complete address).SSP (Inv), Quetta submitted that address is in complete and it is also reported that it is thickly populated area of Killi Ismail and Jinnah Town Tower.</t>
  </si>
  <si>
    <t>4126-P</t>
  </si>
  <si>
    <t>Asad Hamayun s/o Hamayun Khan</t>
  </si>
  <si>
    <t>hamayun Khan, r/o House No. 426/427, Block No. 06, Sector A-11, Town Ship Lahore. (Mobile No. 0300-4711841)</t>
  </si>
  <si>
    <t>4127-S</t>
  </si>
  <si>
    <t>Mirza Muhammad Mehdi s/o Shenshah Mirza</t>
  </si>
  <si>
    <t>r/o, House No. B-9, Block No. 05, Gulshan-e-Iqbal, Karachi.</t>
  </si>
  <si>
    <t>Traced Person. It was informed at the hearing held in this Commission on 08/01/2019 that dead body of Missing Person was found as per report submitted by Inspector Ayub he was killed in encounter with LEAs.</t>
  </si>
  <si>
    <t>4128-B</t>
  </si>
  <si>
    <t>Abdul Rehman s/o Baloch Khan</t>
  </si>
  <si>
    <t>Baloch Khan, r/o New Kahan Hazar Ganji, Quetta, Balochistan</t>
  </si>
  <si>
    <t>Deleted. The Complainant party is not all cooperating with the Investigation Officer. It appears that they have lost intrest in the matter.</t>
  </si>
  <si>
    <t>4129-B</t>
  </si>
  <si>
    <t>Abdul Malik s/o Abdul Khaliq</t>
  </si>
  <si>
    <t>r/o, Killi Qazi Abad, Noshki, Balochistan</t>
  </si>
  <si>
    <t>4130-B</t>
  </si>
  <si>
    <t>Rehman Ameer s/o Muhammad Mengal</t>
  </si>
  <si>
    <t>r/o Killi, Gharibabad, City, Noshki, Balochistan</t>
  </si>
  <si>
    <t>Traced Person. DSP (Legal) Noshki submitted report that Rehman Ameer was murdered responsibility thereof clamied by BLA.</t>
  </si>
  <si>
    <t>4131-S</t>
  </si>
  <si>
    <t>Murtaza Chandio s/o Zulfiqar</t>
  </si>
  <si>
    <t>Zulfiqar, r/o House No. 78, Old Wadhat Colony, Shahbaz Village, Qaisamabad, Hyderabad.</t>
  </si>
  <si>
    <t>Traced Person. SHO, Qasimabad Submitted that the Missing Person is Returned to Home and available at House No. 78, Old Wadhat Colony, Shahbaz Village, Qaisamabad, Hyderabad.</t>
  </si>
  <si>
    <t>4132-B</t>
  </si>
  <si>
    <t>Sahib Khan s/o Bahadur Khan</t>
  </si>
  <si>
    <t>Bahadur Khan, r/o Dara Kala, Tehsil Wadh, District Khuzdar.</t>
  </si>
  <si>
    <t>Deleted. After investigation it has been concluded by JIT and PTF that the Missing Person has been abducted due to personal enmity. The Commission agrees to the conclusion, which is based on facts and thorough investigation. The case is therefore deleted from the list of enforced disappeared persons.</t>
  </si>
  <si>
    <t>4133-S</t>
  </si>
  <si>
    <t>Muhammad Kashif s/o Muhammad Yousaf</t>
  </si>
  <si>
    <t>Muhammad Yousaf, r/o House No. LR-7/24, Parvati Compound, Nashtar Road, Karachi.</t>
  </si>
  <si>
    <t>Traced Person. Returned to Home and available at House No. LR-7/24, Parvati Compound, Nashtar Road, Karachi.</t>
  </si>
  <si>
    <t>4134-S</t>
  </si>
  <si>
    <t>Muhammad Kashif s/o Qamar-ud-Din</t>
  </si>
  <si>
    <t>Qamar-ud-Din, r/o Area 37-A, Peer Bukhari Colony, Landhi, Karachi.</t>
  </si>
  <si>
    <t>Deleted. Due to incomplete address) DSP, Landhi , Lal Bux submitted report that the given address is fake.</t>
  </si>
  <si>
    <t>4135-S</t>
  </si>
  <si>
    <t>Sheikh Ameer s/o Noor Muhammad</t>
  </si>
  <si>
    <t>Noor Muhammad, r/o Zainab Plaza, block No. 17, Gulshan-e-Iqbal, Karachi.</t>
  </si>
  <si>
    <t>4136-S</t>
  </si>
  <si>
    <t>Muhammad Shakeel s/o Fateh Muhammad Khan</t>
  </si>
  <si>
    <t>Fateh Muhammad Khan, r/o House No. R-372, Sector 2-D, Lines Area, Karachi.</t>
  </si>
  <si>
    <t>4137-S</t>
  </si>
  <si>
    <t>Syed Saleem Ali s/o Syed Faraz Ali</t>
  </si>
  <si>
    <t>Syed Faraz Ali, r/o House No. R-90, Laal Shahbaz Colony, Sector No. 5-D, Karachi.</t>
  </si>
  <si>
    <t>Traced Person. Returned to Home and available at House No. R-90, Laal Shahbaz Colony, Sector No. 5-D, Karachi.</t>
  </si>
  <si>
    <t>4138-S</t>
  </si>
  <si>
    <t>Nasir Shah s/o Irshad Ali</t>
  </si>
  <si>
    <t>Irshad Ali, r/o House No. MC-246, Malir Khokrapar, Madina Colony, Karachi.</t>
  </si>
  <si>
    <t>Traced Person. SHO, Korangi, Jan Muhammad Submitted that the Missing Person Nasir Shah is Returned to Home and available at House No. MC-246, Malir Khokrapar, Madina Colony, Karachi.</t>
  </si>
  <si>
    <t>4139-P</t>
  </si>
  <si>
    <t>Muhammad Amir Baloch</t>
  </si>
  <si>
    <t>r/o Chak No. 50-TDA, District Bhakar.</t>
  </si>
  <si>
    <t>Traced Person. Muhammad Mata, SHO, Bakhar, submitted report that Missing Person has Returned to Home and available at his house in Chak No. 50-TDA, District Bhakar.</t>
  </si>
  <si>
    <t>4140-K</t>
  </si>
  <si>
    <t>Riaz Khan s/o Fazal Hamid</t>
  </si>
  <si>
    <t>Fazal Hamid, r/o Pir Baba, Village Pacha, Tehsil Gadezai, District Buner.</t>
  </si>
  <si>
    <t>Traced Person. Rep of MI informed at the hearing in this Commission that Riaz Khan is confined at Internment Centre, Malakand.</t>
  </si>
  <si>
    <t>4141-K 864-K</t>
  </si>
  <si>
    <t>Sultan Mehmood s/o Abdul Rashid</t>
  </si>
  <si>
    <t>r/o Mohallah Deely, Bara Bandy, Tehsil &amp; District Swat. (Mobile No. 0344-9758746)</t>
  </si>
  <si>
    <t>15602-1932433-9</t>
  </si>
  <si>
    <t>4068, 4069, 4070, 4071,4072, 4073, 4262, 4074 to be fixed together on the next date of hearing.</t>
  </si>
  <si>
    <t>4142-P</t>
  </si>
  <si>
    <t>Sardar Bakhsh</t>
  </si>
  <si>
    <t>r/o 149-B, Gujar Khanda, Khalid Colony, Lodhran</t>
  </si>
  <si>
    <t>Traced Person. Mr Iftikhar Akbar Randhawa entered appearance before the Commission on 19/09/2017 and stated that he himself was abducted about 20/24 years and returned home after nine months of his abduction. Investigation report submitted by CPO, Multan verified this facts. n</t>
  </si>
  <si>
    <t>4143-S</t>
  </si>
  <si>
    <t>Abdul-ur-Rehman</t>
  </si>
  <si>
    <t>r/o 1735/201, New Anjam Colony, Patel Para, Baldia Town, Karachi.</t>
  </si>
  <si>
    <t>4144-S</t>
  </si>
  <si>
    <t>Arif Haider</t>
  </si>
  <si>
    <t>r/o, Flat No. 39, Block No. 21, Al Sayed Center, Shah Faisal Colony, Karachi.</t>
  </si>
  <si>
    <t>Deleted. SIP, Muhammad Younas submitted that address is incomplete and no one has come forward to lodge any complaint with the Police. Closed (Due to in Complete address.</t>
  </si>
  <si>
    <t>4145-S</t>
  </si>
  <si>
    <t>Athar Mursaleen</t>
  </si>
  <si>
    <t>r/o, 4110, Sector- N, Manzoor Colony Unit No. 43, Mehmood Abad, Karachi.</t>
  </si>
  <si>
    <t>4146-K</t>
  </si>
  <si>
    <t>Abdul Rahim</t>
  </si>
  <si>
    <t>r/o, Ghariabad, Stret No. 03, Liquat Ali Khan House, Peshawar</t>
  </si>
  <si>
    <t>4147-S</t>
  </si>
  <si>
    <t>Allah Rakhio</t>
  </si>
  <si>
    <t>r/o, Hyderabad, Sindh</t>
  </si>
  <si>
    <t>Traced Person. It was informed at the hearing held in this Commission on 14/01/2019 that Allah Rakhio had returned to home. He is not submitted any application after few days of his abduction. He further stated that his family did not submit any application to the UN. He appeared before the Commission and confirmed the reported position.</t>
  </si>
  <si>
    <t>4148-K</t>
  </si>
  <si>
    <t>Abdul Nasir</t>
  </si>
  <si>
    <t>r/o, Cherat Road, Pashayee Camp, Peshawar.</t>
  </si>
  <si>
    <t>4149-K</t>
  </si>
  <si>
    <t>Sultan Ahmed</t>
  </si>
  <si>
    <t>4150-K</t>
  </si>
  <si>
    <t>Dilawar</t>
  </si>
  <si>
    <t>4151-K</t>
  </si>
  <si>
    <t>Muhammad Sarwar</t>
  </si>
  <si>
    <t>4152-K</t>
  </si>
  <si>
    <t>Muhammad Hamayoon</t>
  </si>
  <si>
    <t>4153-K</t>
  </si>
  <si>
    <t>Naimat Ullah</t>
  </si>
  <si>
    <t>4154-K</t>
  </si>
  <si>
    <t>Shakar Ullah</t>
  </si>
  <si>
    <t>4155-K</t>
  </si>
  <si>
    <t>Qutab-ud-Din</t>
  </si>
  <si>
    <t>4156-K</t>
  </si>
  <si>
    <t>Zemari</t>
  </si>
  <si>
    <t>4157-K</t>
  </si>
  <si>
    <t>Abdul Shakoor</t>
  </si>
  <si>
    <t>4158-K</t>
  </si>
  <si>
    <t>Mahmood</t>
  </si>
  <si>
    <t>4159-K</t>
  </si>
  <si>
    <t>Mir Wais</t>
  </si>
  <si>
    <t>4160-K</t>
  </si>
  <si>
    <t>Saif Ullah</t>
  </si>
  <si>
    <t>4161-K</t>
  </si>
  <si>
    <t>Jamiat Ullah</t>
  </si>
  <si>
    <t>r/o, 140 Defence Colony, Peshawar</t>
  </si>
  <si>
    <t>4162-B</t>
  </si>
  <si>
    <t>Abdul Syed Baqi</t>
  </si>
  <si>
    <t>4163-B</t>
  </si>
  <si>
    <t>Makhdoom Ghulam Sarwar</t>
  </si>
  <si>
    <t>4164-B</t>
  </si>
  <si>
    <t>Syed Khursheed Alam Shah</t>
  </si>
  <si>
    <t>4165-S</t>
  </si>
  <si>
    <t>Raghib Hashmi</t>
  </si>
  <si>
    <t>r/o, E-3/4, Gulshan-e-Maymar, Ahsanabad, Karachi</t>
  </si>
  <si>
    <t>Deleted. At the hearing held in this Commission on 20.2.2021 it was informed by PS Gadap Town that accused Raghib Hashmi was involved in criminal case FIR No. 272/97 u/s 1477/148/307 PPC of Gulzar Hajiri that he is sole absconder and not traceable at given address. He was not arrested and is not in Police custody. Hence the case is closed.</t>
  </si>
  <si>
    <t>4166-S</t>
  </si>
  <si>
    <t>Zaheer Jaffari</t>
  </si>
  <si>
    <t>r/o, 4-B, Nazimabad No. 04, Karachi.</t>
  </si>
  <si>
    <t>4167-S</t>
  </si>
  <si>
    <t>Fariq Rahim</t>
  </si>
  <si>
    <t>r/o, 4-A, Nazimabad No. 04, Karachi.</t>
  </si>
  <si>
    <t>4168-S</t>
  </si>
  <si>
    <t>Hanif Hashmi</t>
  </si>
  <si>
    <t>4169-S</t>
  </si>
  <si>
    <t>Javed Hashmi</t>
  </si>
  <si>
    <t>4170-S</t>
  </si>
  <si>
    <t>Ayaz Siddiqui</t>
  </si>
  <si>
    <t>r/o A-92, Block -S North Nazimabad, Karachi.</t>
  </si>
  <si>
    <t>Deleted. The case has been deleted due to incomplete/fake address as the Police could not locate the complainant/family in the absence of which no further proceedings could be initiated.</t>
  </si>
  <si>
    <t>4171-S</t>
  </si>
  <si>
    <t>Ajmal Shafi</t>
  </si>
  <si>
    <t>r/o Bangla Bazar Orangi, Karachi, Sindh.</t>
  </si>
  <si>
    <t>Deleted . The case has been deleted due to incomplete/fake address as the Police could not locate the complainant / family in the absence of which no further proceedings could be initiated. The address given in the UNWG information report is Bangla Bazar, Orangi , Karachi, which is incomplete. The case be re-opened if complete address/ mobile no etc is provided by WGEID.</t>
  </si>
  <si>
    <t>4172-S</t>
  </si>
  <si>
    <t>Muhammad Ashfaq</t>
  </si>
  <si>
    <t>r/o Gharibad Mir Pur Khas.</t>
  </si>
  <si>
    <t>Deleted. The case has been deleted due to incomplete address as the Police could not locate the complainant/family in the absence of which no further preceding could be initiated.</t>
  </si>
  <si>
    <t>4173-S</t>
  </si>
  <si>
    <t>Imtiaz Ahmed</t>
  </si>
  <si>
    <t>r/o, 241, Sector No. C, Manzoor Colony Unit No. 43, Mahmood Abad, Karachi.</t>
  </si>
  <si>
    <t>4174-S</t>
  </si>
  <si>
    <t>Abdul Sattar Malik</t>
  </si>
  <si>
    <t>r/o, Unit No. Khar Para, Mirpur Khas.</t>
  </si>
  <si>
    <t>4175-S</t>
  </si>
  <si>
    <t>Ayaz Ali Zaidi</t>
  </si>
  <si>
    <t>4176-S</t>
  </si>
  <si>
    <t>Kamran Ahmed</t>
  </si>
  <si>
    <t>r/o, Unit No. 03, Sector -D, Hyderabad.</t>
  </si>
  <si>
    <t>4177-S</t>
  </si>
  <si>
    <t>Shahab Ikram</t>
  </si>
  <si>
    <t>Traced Person. It was informed at the hearing held in this Commission on 19.6.2019 that Sahab Ikram has returned to home. He appeared before the Commission at the hearing on 19.6.2019.</t>
  </si>
  <si>
    <t>4178-S</t>
  </si>
  <si>
    <t>Shahab Ikram s/o Ikram-ud-Din</t>
  </si>
  <si>
    <t>4179-S</t>
  </si>
  <si>
    <t>r/o, House No. 1119, Lane No. 24, Block No. J, Sector No. 11/-1/2, Orangi Town, Karachi.</t>
  </si>
  <si>
    <t>4180-S</t>
  </si>
  <si>
    <t>Etsham Kamali s/o Ikram-ud-Din Kamali</t>
  </si>
  <si>
    <t>4181-S</t>
  </si>
  <si>
    <t>Rashid Kamali s/o Ikram-ud-Din Kamali</t>
  </si>
  <si>
    <t>4182-K</t>
  </si>
  <si>
    <t>Jagdeesh Lal s/o Bajan Lal</t>
  </si>
  <si>
    <t>r/o, Karimpura Road, Peshawar, KPK.</t>
  </si>
  <si>
    <t>4183-K</t>
  </si>
  <si>
    <t>Abdul Aziz</t>
  </si>
  <si>
    <t>r/o Dalazak Road, Peshawar, KPK.</t>
  </si>
  <si>
    <t>4184-K</t>
  </si>
  <si>
    <t>Abdul Basit</t>
  </si>
  <si>
    <t>4185-S</t>
  </si>
  <si>
    <t>Ghulam Abbas</t>
  </si>
  <si>
    <t>r/o, Saddar, Karachi.</t>
  </si>
  <si>
    <t>Deleted. The case has been closed due to incomplete address as the Police could not locate the complainant / family in the absence of which no further proceedings could be initiated. The address given in the UNWG Report is PTCL Officer Colony, Saddar, Karachi. Other residents of PTCL Colony stated that no person with the name of Ghulam Abbas was living in this Colony in the year 2006.</t>
  </si>
  <si>
    <t>4186-S</t>
  </si>
  <si>
    <t>Qari Muhammad Alam</t>
  </si>
  <si>
    <t>r/o Super Highway, Malir, Karachi, Sindh.</t>
  </si>
  <si>
    <t>Traced Person. It was informed at the hearing held in this Commission on 24.10.2019 that Qazi Muhammad Alam has returned to home. He appeared before the Commission. The statement of the traced person has been recorded u/s 164 CrPC, which is available on record. The report submitted by SHO Shah Latif Town, Karachi is placed on record.</t>
  </si>
  <si>
    <t>4187-S</t>
  </si>
  <si>
    <t>Nasir Haider</t>
  </si>
  <si>
    <t>r/o, Karachi University, Karachi, Sindh.</t>
  </si>
  <si>
    <t>Deleted. The case has been closed due to incomplete address as the Police could not locate the complainant / family in the absence of which no further proceedings could be initiated. The address given in the UNWG Report is Karachi University, Karachi which is obviously incomplete.</t>
  </si>
  <si>
    <t>4188-S</t>
  </si>
  <si>
    <t>Syed Ali Haider</t>
  </si>
  <si>
    <t>Karachi, Sindh, Pakistan</t>
  </si>
  <si>
    <t>MoFAs No. 10000453/ 10008444</t>
  </si>
  <si>
    <t>4189-S</t>
  </si>
  <si>
    <t>Abdul Rauf Sasoli</t>
  </si>
  <si>
    <t>r/o Gulshan-e-Iqbal, Karachi, Sindh.</t>
  </si>
  <si>
    <t>Deleted. The case has been closed due to incomplete address as the police could not locate the complainant/family in the absence of which no further proceedings could be initiated the adress given in the UNWG information report is Gulshan-e-Iqbal, Karachi which is thickly populated area and family cannot be located in the absence of Street No and House No. The case is closed, however, it will be re-opened if further imformation is provided by UNWEID.</t>
  </si>
  <si>
    <t>4190-S</t>
  </si>
  <si>
    <t>Shahid Sheikh</t>
  </si>
  <si>
    <t>4191-S</t>
  </si>
  <si>
    <t>Syed Jamil Zaidi</t>
  </si>
  <si>
    <t>r/o Sector No. 5-D, Surjani Town, Karachi, Sindh.</t>
  </si>
  <si>
    <t>Traced Person. Syed Jamil Zaidi appeared before the Commission on 18.9.2019 alongwith SHO, PS Surjani Town, District West, Karachi. In written statement SHO submitted that Syed Jamil Zahid was taken away by some unknown persons and released after two /three days on 21.5.2016. The report is placed on record.</t>
  </si>
  <si>
    <t>4192-S</t>
  </si>
  <si>
    <t>Liaqat Hussain Nayyer Zaidi</t>
  </si>
  <si>
    <t>r/o Cliftion Saddar Town, Karachi.</t>
  </si>
  <si>
    <t>Deleted. The case has been closed due to incomplete address as the Police could not locate the complainant / family in the absence of which no further proceedings could be initiated. The address in the UNWG Report is Clifton, Saddar Town, Karachi is incomplete. SSP, District South, Karachi submitted report that SHO Clifton visited the given address but no family / relatives knowing the missing person. Hence no further investigation is possible. The case is closed.</t>
  </si>
  <si>
    <t>4193-B</t>
  </si>
  <si>
    <t>Mustapha Setmariam Nassar</t>
  </si>
  <si>
    <t>4194-B</t>
  </si>
  <si>
    <t>Ramzan Mengal s/o Haji Saleh Muhammad Mengal</t>
  </si>
  <si>
    <t>r/o Post Office, Khuzdar, Balochistan</t>
  </si>
  <si>
    <t>Deleted. Naveed Alam, Additional SP, Lasbella appeared before the Commission on 10.1.2020 at Quetta, whose statement has been recorded on oath. He produced copied of relevant documents including report of JIT and orders of the Hon’ble Supreme Court of Pakistan. The case has been categorized by JIT as that of kidnaping for ransom. Hence not a case of enforced disappearance on no allegations has been leveled against any LEA. The case is closed.</t>
  </si>
  <si>
    <t>4195-B</t>
  </si>
  <si>
    <t>Hameed Baloch</t>
  </si>
  <si>
    <t>r/o District Khuzdar, Balochistan.</t>
  </si>
  <si>
    <t>Traced Person. The case was received from UNWGEID through Ministry of Foreign Affairs. Abdul Majeed father of Hameed Baloch appeared before the Commission on 04/04/2019 and confirmed that latter had returned to home on 19/11/2011.He further stated that Hameed Baloch disappeared on 20/04/2011 and he did not identify the person who took him away.</t>
  </si>
  <si>
    <t>4196-S</t>
  </si>
  <si>
    <t>Asim s/o Qasim</t>
  </si>
  <si>
    <t>r/o Karachi, Sindh, Pakistan.</t>
  </si>
  <si>
    <t>Deleted . In the Report received from WGEID the address of the abductee in mentioned as Karachi, Pakistan. Karachi is a metropolitan city having large population. It is obviously impossible to locate the family and then trace the whereabouts of disappeared person. The case is accordingly deleted.</t>
  </si>
  <si>
    <t>4197-S</t>
  </si>
  <si>
    <t>Adnan Idrees</t>
  </si>
  <si>
    <t>4198-S</t>
  </si>
  <si>
    <t>Saeed Ismail</t>
  </si>
  <si>
    <t>4199-S</t>
  </si>
  <si>
    <t>Shakeel-ud-Din s/o Naseer-ud-Din</t>
  </si>
  <si>
    <t>Deleted. The case has been closed due to incomplete/fake address as the Police could not locate the complainant / family in the absence of which no further proceedings could be initiated. The address given in the UNWG Information Report is Karachi, which is obviously incomplete and it is not possible to locate a family in such a thickly populated city.</t>
  </si>
  <si>
    <t>4200-S</t>
  </si>
  <si>
    <t>Imran s/o Mehar Hassan</t>
  </si>
  <si>
    <t>4201-S</t>
  </si>
  <si>
    <t>Jawad s/o Kaleem</t>
  </si>
  <si>
    <t>4202-S</t>
  </si>
  <si>
    <t>Javed s/o Ajmeri</t>
  </si>
  <si>
    <t>4203-S</t>
  </si>
  <si>
    <t>Baboo Hera s/o Hera Lal</t>
  </si>
  <si>
    <t>r/o Lines Area, Karachi.</t>
  </si>
  <si>
    <t>4204-S</t>
  </si>
  <si>
    <t>Muhammad Farooq s/o Muhammad Ibrahim</t>
  </si>
  <si>
    <t>4205-S</t>
  </si>
  <si>
    <t>Imran Raza s/o Wazir Hussain</t>
  </si>
  <si>
    <t>4206-S</t>
  </si>
  <si>
    <t>Adnan Siddiqui s/o Zulfiqar</t>
  </si>
  <si>
    <t>r/o Lyari, Karachi.</t>
  </si>
  <si>
    <t>Deleted . In the Report received from WGEID the address of the abductee in mentioned as Layari, Karachi, Pakistan. Karachi is metropolitan city having a large population. It is obviously impossible to locate the family and then trace the whereabouts of disappeared person. The case is accordingly deleted.</t>
  </si>
  <si>
    <t>4207-S</t>
  </si>
  <si>
    <t>Islam-ud-Din s/o Zahid Qureshi</t>
  </si>
  <si>
    <t>4208-S</t>
  </si>
  <si>
    <t>Zeeshan Alam Khan s/o Alam Khan</t>
  </si>
  <si>
    <t>4209-S</t>
  </si>
  <si>
    <t>Abdul Saboor s/o Fajar Ali</t>
  </si>
  <si>
    <t>4210-S</t>
  </si>
  <si>
    <t>Muhammad Fazal s/o Muhammad Anwar</t>
  </si>
  <si>
    <t>r/o, Liaquat abad, Karachi.</t>
  </si>
  <si>
    <t>4211-S</t>
  </si>
  <si>
    <t>Muhammad Kabir s/o Muhammad Zafar</t>
  </si>
  <si>
    <t>4212-S</t>
  </si>
  <si>
    <t>Muhammad Shahid s/o Saeed Ahmed</t>
  </si>
  <si>
    <t>4213-S</t>
  </si>
  <si>
    <t>Mansoor Khan s/o Gulzair Khan</t>
  </si>
  <si>
    <t>4214-S</t>
  </si>
  <si>
    <t>Muhammad Jawad s/o Muhammad Shafi</t>
  </si>
  <si>
    <t>r/o Orangi Town, Karachi.</t>
  </si>
  <si>
    <t>4215-B</t>
  </si>
  <si>
    <t>Syed Nadeem Alam</t>
  </si>
  <si>
    <t>4216-P</t>
  </si>
  <si>
    <t>Amjad Saleem s/o Chaudary Abdul Ghani</t>
  </si>
  <si>
    <t>Asma Afzal, r/o Chak No. 73-A/S, Tehsil &amp; district Sahiwal. (Mobile No. 0305-9115163)</t>
  </si>
  <si>
    <t>Traced Person. DPO, Sahiwal is present. He has submitted that according to investigation Amjad Saleem got killed in encounter with CTD Gujranwala, however dead of the the Missing Person was not received bt the family members for the reasons best known to the family.</t>
  </si>
  <si>
    <t>4217-P</t>
  </si>
  <si>
    <t>Muhammad Nizam-ud-Din s/o Hafiz Muhammad Suleman</t>
  </si>
  <si>
    <t>Hafiz Muhammad Suleman, r/o Kot Adu, District Muzaffargarh. (Mobile No. 0341-5593606)</t>
  </si>
  <si>
    <t>FIR No. 606/17 dated 15.19.17 u/s 365 PPC</t>
  </si>
  <si>
    <t>4218-P</t>
  </si>
  <si>
    <t>Mst. Zanib Bibi, r/o Gari Sangila Wasti, Tehsil Taunsa, District Dera Ghazi Khan. (Mobile No. 0311-9705365 &amp; 0344-2595878)</t>
  </si>
  <si>
    <t>Traced Person. Dead Body recovered. Missing Person was Killed during an encounter with CTD. Addl. IG, CTD Punjab directed to conduct inquiry under CrPC 174 PPC.</t>
  </si>
  <si>
    <t>4219-P</t>
  </si>
  <si>
    <t>Muhammad Shakeel s/o Muhammad Ramzan</t>
  </si>
  <si>
    <t>Muhammad Wakeel, r/o Chak No. 9-L, 109, Nai Abadi, Gujran, Tehsil &amp; district Sahiwal. (Mobile No. 0302-4829153)</t>
  </si>
  <si>
    <t>4220-I</t>
  </si>
  <si>
    <t>Gulbadin Hikmat Yar s/o Abdul Karim</t>
  </si>
  <si>
    <t>Attar Farooq, r/o Village Haripur, Tehsil Jampur, District Rajanpur. (Mobile No. 0333-6482017)</t>
  </si>
  <si>
    <t>32402-7314190-1</t>
  </si>
  <si>
    <t>FIR No. 373 dated 6/12/2017 u/s 365-PPC PS Sabzi Mandi, ICT</t>
  </si>
  <si>
    <t>4221-I</t>
  </si>
  <si>
    <t>Muhammad Yousaf s/o hassan Mian</t>
  </si>
  <si>
    <t>Village Shah Allah Ditta, Golra Sharif, Islamabad. (Mobile No. 0302-8091821)</t>
  </si>
  <si>
    <t>Traced Person. I.O submitted that the Missing Person Muhammad Yousaf is Confined in Internment Center, Mohmand Agency under Action (in aid of Civil Power Regulation 2011</t>
  </si>
  <si>
    <t>4222-I</t>
  </si>
  <si>
    <t>Shahzad s/o Sher Muhammad</t>
  </si>
  <si>
    <t>Mst. Zahida, r/o Street No. 01, Muhammadi Town, Jhangi Syedan, Islamabad. (Mobile No. 0314-5666449)</t>
  </si>
  <si>
    <t>16202-9828138-7</t>
  </si>
  <si>
    <t>Deleted. After taking cognizance of the matter, process was issued to all concerned by the Commission on 10.8.2017. JIT constituted in the case concluded after five meetings that the Missing Person has gone on his own. ICT Task Force also arrived at the same conclusion. Reps of ISI, MI and CTD denied custody of Shahzad. Accordingly the case has been closed being not a case of enforced disappearance, rather Shahzad, who was a drug addict, has gone on his own.</t>
  </si>
  <si>
    <t>4223-K</t>
  </si>
  <si>
    <t>Fazal Hadi s/o Haji Abdul Mutlib</t>
  </si>
  <si>
    <t>Dr. Fazal Manan, r/o Deputy Director Medical Services, Room No. DR-28, Medical Officer Hostel, Ayub Teaching Hospital, Abbottabad. (Mobile No. 0345-8123121 &amp; 0314-9111184)</t>
  </si>
  <si>
    <t>4224-K</t>
  </si>
  <si>
    <t>Muhammad Arshad s/o Abdul Haleem</t>
  </si>
  <si>
    <t>Ehsan Ullah, r/o Mohallah Garhi Mir Rehman Khazana Tehsil &amp; district Peshawar. (Mobile No. 0345-9425820)</t>
  </si>
  <si>
    <t>FIR No. 395 dated 16/10/2017, u/s 365 PPC, P.S Esat Cantt, District Peshawar</t>
  </si>
  <si>
    <t>Traced Person. Muhammad Arshad has been traced. He has returned home. He appeared before the Commission on 16.10.2020. His statement was recorded on oath, in which he deposed that he was abducted on 25.3.2017 and released on 7.5.2020 near Pishtakhara, Peshawar. He also stated that neither he known the persons who are involved in his abduction nor the place where he was kept in detention. The case accordingly stands disposed of.</t>
  </si>
  <si>
    <t>4225-F</t>
  </si>
  <si>
    <t>Zar Wali s/o Muhammad Gul</t>
  </si>
  <si>
    <t>Ghulab Saeed, r/o Mula Khel, Qandhari, Sando Khel, Uper Mohmand, District Mohmand Agency. (Mobile No. 0344-9141294)</t>
  </si>
  <si>
    <t>Traced Person. According to the report received from Rep of MI at the hearing held on 28/08/2018, Zar Wali has been handed over to PA/DC Mohmand on 28/05/2018. As Zar Wali has been traced he is no more missing person.</t>
  </si>
  <si>
    <t>4226-K</t>
  </si>
  <si>
    <t>Farhat Ullah Khan s/o Abu Bakar Siddique</t>
  </si>
  <si>
    <t>Baldasta Bibi, r/o Kotka Tibi Murad, Yehsil &amp; District Lakki Marwat. (Mobile No. 0342-8804502 &amp; 0304-393945)</t>
  </si>
  <si>
    <t>Traced Person. Rep of MI submitted that the Missing Person Farhat Ullah Khan is Confined in Internment Center, Lakki Marwatl under Action (in aid of Civil Power) Regulation 2011. Family Members have been allowed to meet him.</t>
  </si>
  <si>
    <t>4227-I</t>
  </si>
  <si>
    <t>Ibrar Ahmed s/o Sharif Khan</t>
  </si>
  <si>
    <t>Arif, r/o Dhoke Abbasi, Tarnol, Islamabad. (Mobile No. 0340-0400855 &amp; 0343-5840005)</t>
  </si>
  <si>
    <t>Traced Person. Arif brother of the missing person is present. Rep of MI is present and submitted that Ibrar Ahmed is Interned in Internment Center Kohat. Arif brother of Ibrar Ahmed has submitted that he has met his brother on 17/5/2019.</t>
  </si>
  <si>
    <t>4228-K</t>
  </si>
  <si>
    <t>Ameen-ul-Haq s/o Sami-ul-Haq</t>
  </si>
  <si>
    <t>Mati-ul-Haq, r/o Village Zareef Kor, Pir Qila, Shabaqadar Bazar, Tehsil &amp; district Charsadda. (Mobile No. 0335-9848348)</t>
  </si>
  <si>
    <t>Traced Person. Dead Body recovered, father of Missing Person submitted that Ameen-ul-Haq dead body was received from Civil Hospital, Jamrud.</t>
  </si>
  <si>
    <t>4229-K</t>
  </si>
  <si>
    <t>Mati Ullah s/o Aman Ullah</t>
  </si>
  <si>
    <t>Traced Person. Mother of Mati Ullah have entered appearance and affirmed that Mati Ullah has been traced and he is currently confined in political lock-up of Ghalani.</t>
  </si>
  <si>
    <t>4230-K</t>
  </si>
  <si>
    <t>Abdullah s/o Akbar Khan</t>
  </si>
  <si>
    <t>Ali Raza, r/o Mamo Khatkey, Peshawar. (Mobile No. 0314-9062626 &amp; 0345-9132084)</t>
  </si>
  <si>
    <t>4231-K</t>
  </si>
  <si>
    <t>Aleem Ullah s/o Rasool Khan</t>
  </si>
  <si>
    <t>Rasool Khan, r/o Mamo Khatkey, Peshawar. (Mobile No. 0314-9062626 &amp; 0345-9132084)</t>
  </si>
  <si>
    <t>4232-P</t>
  </si>
  <si>
    <t>Abdul Rehman s/o Ghulam Qadir</t>
  </si>
  <si>
    <t>Mst. Tayyaba, Abbas Nagar, Shahid Photo State Near DPO, Office. Khanewal. (Mobile No. 0304-5606483 &amp; 0300-6880738)</t>
  </si>
  <si>
    <t>FIR No. 500/2017 dated 10.08.2017 u/s 365 PPC Ps Gaggo District Vehari</t>
  </si>
  <si>
    <t>Traced Person. I.O, submitted report that Abdul Rehman has Returned to Home and available at his House. Appeared before the Commission on 8.2.2018.</t>
  </si>
  <si>
    <t>4233-S</t>
  </si>
  <si>
    <t>Khalid Hussain s/o Ishraq Hussain Qureshi</t>
  </si>
  <si>
    <t>Ishraq Hussain Qureshi, r/o House No. G-1 KDA, Staff Colony, Sakhi hasan , Bufer Zone, North Karachi.</t>
  </si>
  <si>
    <t>Traced Person. It was informed at the hearing held in this Commission on 13/08/2018 that Khalid Hussain has returned to home. The report submitted by SDPO, Shadman, Karachi is placed on record.</t>
  </si>
  <si>
    <t>4234-S</t>
  </si>
  <si>
    <t>Abdul Aziz Ansari s/o Abdul Sattar Ansari</t>
  </si>
  <si>
    <t>Abdul Sattar Ansari, r/o R-391, Block No. 08, Azizabad, Karachi.</t>
  </si>
  <si>
    <t>Traced Person. It was informed at the hearing held in this Commission on 04/10/2018 that Abdul Aziz Ansari has returned to home. Family member, father of the traced person appeared before the Commission and confirmed the reported position. The report submitted by the Police Officer, SHO New Town is placed on record.</t>
  </si>
  <si>
    <t>4235-K</t>
  </si>
  <si>
    <t>Shafi Ullah s/o Naeem Said</t>
  </si>
  <si>
    <t>Naeem Khan, r/o Bady Korona, District Charsadda.</t>
  </si>
  <si>
    <t>17301-6716419-7</t>
  </si>
  <si>
    <t>4236-K</t>
  </si>
  <si>
    <t>Yaqoob Jan s/o Muhammad Ismail</t>
  </si>
  <si>
    <t>Muhammad Ismail, r/o Madina Colony, Umar Zai, Tehsil &amp; District Charsadda. (Mobile No. 0334-9169443)</t>
  </si>
  <si>
    <t>4237-F</t>
  </si>
  <si>
    <t>Khan Pur s/o Lali</t>
  </si>
  <si>
    <t>Haji Munir, r/o Kemal Tehsil Loi Mamund, bajur Agency. (Mobile No. 0307-2635075 &amp; 0306-8854448)</t>
  </si>
  <si>
    <t>Traced Person. Rep of ISI submitted that Khan Paur is Confined in Internment Center, Paitham under Action (in aid of Civil Power) Regulation 2011. Family Members have been allowed to meet him.</t>
  </si>
  <si>
    <t>4238-K</t>
  </si>
  <si>
    <t>Shah Jahan Khan s/o Bahadur Khan</t>
  </si>
  <si>
    <t>Bahadur Khan, r/o Jangi Khel , Fatima Khel Kalan, Bannu. (Mobile 0314-9400080)</t>
  </si>
  <si>
    <t>Traced Person. Rep of MI, submitted that the Missing Person Shah Jahan Khan is Confined in Internment Center, Lakki Marwat under Action (in aid of Civil Power Regulation 2011</t>
  </si>
  <si>
    <t>4239-K</t>
  </si>
  <si>
    <t>Ahmed Shah s/o Karamat Shah</t>
  </si>
  <si>
    <t>Mst. Amina, r/o Gudu Sir Union Council Peerabad, Tehsil Alpori, District Shangala. (Mobile No. 0344-8936441 &amp; 0342-8985606)</t>
  </si>
  <si>
    <t>Traced Person. Ahmad Shah has been traced. According to the report furnished at the hearing on 26/12/2018 by Rep of MI, he is presently confined in Internment Center, Paitham.</t>
  </si>
  <si>
    <t>4240-F</t>
  </si>
  <si>
    <t>Aziz-ur-Rehman s/o Saeed Mar Gul</t>
  </si>
  <si>
    <t>Mujeeb-ur-Rehman, r/o Village Dawani, Tehsil Sada, Lower Kurram Agency. (Mobile No. 0302-9193916 &amp; 0301-8039566)</t>
  </si>
  <si>
    <t>Traced Person. Rep of FATA Secretariat, submitted report that Missing Person has Returned to Home and available at his house in Village Dawani, Tehsil Sada, Lower Kurram Agency.</t>
  </si>
  <si>
    <t>4241-B</t>
  </si>
  <si>
    <t>Afnan Islam s/o Nazar-ul-Islam</t>
  </si>
  <si>
    <t>Nazar-ul-Islam, r/o C-1, Block No. C, G.S.P Officer Colony, Siyrab Road Quetta. (Mobile No. 0333-7805281)</t>
  </si>
  <si>
    <t>Traced Person.  Complainant Nazar-ul-Islam appeared before the Commission at Quetta on 16.9.2019, whose statement has been recorded on oath. According to him, FIR was lodged by him in respect of his son Afnan Islam, who was abducted on 15.3.2017. That his son was set free on 15.9.2019 and returned home. He has further stated that the Police has also recorded statement of his son which he has produced and placed on file.</t>
  </si>
  <si>
    <t>4242-K</t>
  </si>
  <si>
    <t>Muhammad Ashraf s/o Mian Meer Khan</t>
  </si>
  <si>
    <t>Abdul Qayyum Khan, r/o Dhoke Nandvari Khel, Mukhd Sharif, Tehsil Jhand, District Attock. (Mobile No. 0346-5236171 &amp; 0333-5191776)</t>
  </si>
  <si>
    <t>Deleted. According to I.O, challan has since been submitted to the court of law where the case is pending adjudication. Having regard to the above mentioned facts and circumstances of the case, there is hardly any need for further proceeding by the Commission.</t>
  </si>
  <si>
    <t>4243-P</t>
  </si>
  <si>
    <t>Jahanzeb s/o Khan Bahadur</t>
  </si>
  <si>
    <t>Asima Bibi, r/o Village Phaperial, Te &amp; District Murree. (Mobile No. 049-9706588)</t>
  </si>
  <si>
    <t>Traced Person. At the hearing held on 27-06-2018 Hoonar b/o Jahanzeb Traced Person was present. He affirmed that his brother was confined in Internment Center Paithom and family members had already met him in the Internment Center.</t>
  </si>
  <si>
    <t>4244-P</t>
  </si>
  <si>
    <t>Punhal Sario</t>
  </si>
  <si>
    <t>Traced Person. SDPO, Hussainabad, Hyderabad, submitted report that Missing Person Punhal Sario has Returned to Home.</t>
  </si>
  <si>
    <t>Suo Moto Case</t>
  </si>
  <si>
    <t>4245-P</t>
  </si>
  <si>
    <t>Mudassar Malik</t>
  </si>
  <si>
    <t>Traced Person. I.O, submitted report that Missing Person Mudassar Malik has Returned to Home.</t>
  </si>
  <si>
    <t>4246-K</t>
  </si>
  <si>
    <t>Atta Ullah s/o Rehman Ghani</t>
  </si>
  <si>
    <t>Rehman Ghani, r/o Kala Khel, P.O Peer Baba, Tehsil Dagar, District Buner. (Mobile No. 0347-5092773)</t>
  </si>
  <si>
    <t>Traced Person. According to the reports received form Rep of MI, Atta Ullah is presently confined in the Internment Center Paithom. Family members of Atta UIlah shall be facilitated to see him in the Internment Center as per rules and procedures.</t>
  </si>
  <si>
    <t>4247-P</t>
  </si>
  <si>
    <t>Atta-ur-Rehman s/o Abdul-ur-Rehman</t>
  </si>
  <si>
    <t>Abdul-ur-Rehman, r/o Baranga, Tehsil Darya Khan, District Bakhar. (Mobile No. 0300-9101488)</t>
  </si>
  <si>
    <t>Deleted. Abdur Rehman father of missing person appeared on 22/11/2018. He moved an application which has been placed on record, in which he requested the Commission to close the case as all possible efforts have been made to find the whereabouts of Atta-ur-Rehman who was mentally upset.</t>
  </si>
  <si>
    <t>4248-K</t>
  </si>
  <si>
    <t>Wajid Khan s/o Gul Bahadur Khan</t>
  </si>
  <si>
    <t>Hamyun Khan, r/o Tanki Payan, District Lower Dir. (Mobile No. 0344-6133395)</t>
  </si>
  <si>
    <t>4249-S</t>
  </si>
  <si>
    <t>Zafar Iqbal Afridi s/o Syed Badshah Afridi</t>
  </si>
  <si>
    <t>Syed Badshah, r/o Village Ali Pur Farash, District Islamabad. (Mobile No. 0333-5240488)</t>
  </si>
  <si>
    <t>Traced Person. Returned to Home and available at illage Ali Pur Farash, District Islamabad.</t>
  </si>
  <si>
    <t>4250-S</t>
  </si>
  <si>
    <t>Tasleen Bibi d/o Tasaduq Hussain Shah</t>
  </si>
  <si>
    <t>r/o, Mirpur Khas, Sindh.</t>
  </si>
  <si>
    <t>Traced Person. SSP, Submitted that the Missing Person Tasleen Bibi has been arrested in case FIR No. 124-A, 153-A, 147, 148, 149 505 (ii) PPC Women Police Station Mirpur Khas. Ultimately She was released.</t>
  </si>
  <si>
    <t>4251-S</t>
  </si>
  <si>
    <t>Azra Baloch d/o Siraj-ud-Din</t>
  </si>
  <si>
    <t>Traced Person. Returned to Home and available at Mirpur Khas, Sindh.</t>
  </si>
  <si>
    <t>4252-S</t>
  </si>
  <si>
    <t>Nadeem Khursheed s/o Khursheed Ahmed</t>
  </si>
  <si>
    <t>r/o, Al- Karam Square, Karachi.</t>
  </si>
  <si>
    <t>Traced Person. Sub Inspector , Muhammad Younas, submitted report that Missing Person has Returned to Home and available at his house in Al- Karam Square, Karachi.</t>
  </si>
  <si>
    <t>4253-S</t>
  </si>
  <si>
    <t>Mehmood Hassan s/o Zafar Ahmed</t>
  </si>
  <si>
    <t>r/o, FC, Area, Karachi.</t>
  </si>
  <si>
    <t>4254-S</t>
  </si>
  <si>
    <t>Ali Ahmed Bughio</t>
  </si>
  <si>
    <t>r/o Ward No. 04, Near City O.P.D, Badin. Sindh</t>
  </si>
  <si>
    <t>Deleted. Declared absconder by the learned trial Court and the fugitive from law.</t>
  </si>
  <si>
    <t>4255-S 5545-S 4255-S</t>
  </si>
  <si>
    <t>Aziz Ahmed s/o Mansoor Ahmed</t>
  </si>
  <si>
    <t>Mansoor Ahmed, r/o Village Khdaabad Gurganze, Talka Tamdo, District Badin.</t>
  </si>
  <si>
    <t>Deleted. Not a case of enforced disappearance as Aziz Ahmed declared absconder in crime vide FIR No. 6/2012 and 159/2016 PS, Khorwah by competent court of jurisdiction.</t>
  </si>
  <si>
    <t>4256-K</t>
  </si>
  <si>
    <t>Mohib Ullah s/o Muhammad-ur-Rehman</t>
  </si>
  <si>
    <t>Muhammad Rehman, r/o Sarkey Khel, Sara Khawa, Obo Garhi, Tehsil Ismail Zai, District Orkazai Agency. (Mobile No. 0340-0500855)</t>
  </si>
  <si>
    <t>Traced Person. Report received from Rep of MI is available on record, perusal whereof shows that Mohib Ullah is interned in the Internment Center Lakki Marwat.</t>
  </si>
  <si>
    <t>4257-I</t>
  </si>
  <si>
    <t>Abdul Rasheed s/o Samad Ullah</t>
  </si>
  <si>
    <t>Zakheel , r/o Bajur Masala Jat, Chour Bazar, Rawalpindi. (Mobile No. 0305-9237689)</t>
  </si>
  <si>
    <t>21105-1986114-9</t>
  </si>
  <si>
    <t>FIR No. 11/18 dated 09.01.18 u/s 365-PPC PS Sabzi Mandi, District ICT</t>
  </si>
  <si>
    <t>4258-P</t>
  </si>
  <si>
    <t>Bakhat Shah Zeb s/o Ali Jan</t>
  </si>
  <si>
    <t>21105-3562286-3</t>
  </si>
  <si>
    <t>4259-P</t>
  </si>
  <si>
    <t>Shahid Waseem s/o Naseem Akhtar</t>
  </si>
  <si>
    <t>Mst. Nighat Qadeer, r/o Shahid Photo State, Near DPO Office, Khanewal. (Mobile No. 0300-6880738)</t>
  </si>
  <si>
    <t>FIR No 594/17
 dt: 11/08/2017 365-A
 P.S.Multan Cantt District Multan</t>
  </si>
  <si>
    <t>Traced Person. SSP (Inv), Multan, submitted report that Missing Person Shahid Waseem has Returned to Home and available at his house in Shahid Photo State, Near DPO Office, Khanewal.</t>
  </si>
  <si>
    <t>4260-K</t>
  </si>
  <si>
    <t>Sheraz Ayub s/o Muhammad Ayub</t>
  </si>
  <si>
    <t>Mst. Shaheen Akhtar, r/o House No. 392, Phase No. 06, Street No. 17, Hayatabad , Peshawar. (Mobile No. 0333-9308407)</t>
  </si>
  <si>
    <t>4261-I</t>
  </si>
  <si>
    <t>Muhammad Kamran s/o Muhammad Riaz Abbasi</t>
  </si>
  <si>
    <t>Muhammad Riaz Abbasi, r/o Dhoke Jalani, Kamal General Store, Bhara Kho, Islamabad. (Mobile No. 0312-5007712 &amp; 0346-531140)</t>
  </si>
  <si>
    <t>FIR No 276/17
 dt: 03/052017 365-A
 P.S.Bhara Khu District Islamabad</t>
  </si>
  <si>
    <t>Traced Person. It was informed at the hearing on 09/05/2018 that Muhammad Kamran is presently confined in PS/CTD, Karachi. Report qua his arrest by CTD appears in various newspapers. Moreover Muhammad Riaz Abbasi f/o Missing Person confirmed authenticity of the information.</t>
  </si>
  <si>
    <t>4262-F</t>
  </si>
  <si>
    <t>Ibrahim Gul s/o Haji Abdul-ul-Rahim</t>
  </si>
  <si>
    <t>Molvi Abudl Hakeem, r/o Sado Khel, P.O Sada, Tehsil lower Kurram, District Kurram Agency. (Mobile No. 0300-9065137)</t>
  </si>
  <si>
    <t>Traced Person. Rep of MI submitted that the Missing Person Ibrahim Gul is Confined in District Jail Bannu. Family Members have been allowed to meet him.</t>
  </si>
  <si>
    <t>4263-F</t>
  </si>
  <si>
    <t>Abudllah s/o Foj Mat Khan</t>
  </si>
  <si>
    <t>Ubaid-ur-Rehman, r/o Hussain Khel, Tehsil F.R Kurram, District Kurram Agency. (Mobile No. 0305-9875534)</t>
  </si>
  <si>
    <t>Traced Person. Political Agent, Kurram Agency submitted report that Missing Person Abdullah is Confined in Sadda Jail, Kurram Agency.</t>
  </si>
  <si>
    <t>4264-K</t>
  </si>
  <si>
    <t>Shafique-ur-Rehman s/o Imdad Ullah</t>
  </si>
  <si>
    <t>Mian Fakhar Alam, r/o House No. 070, Street Awan, Mohallah Toheedabad, Tehsil Chota Lahore, District Swabi. (Mobile No.0300-9006672)</t>
  </si>
  <si>
    <t>Traced Person. Shafique-ur-Rehman has been traced. According to report received from Rep of MI, Shafique-ur-Rehman is presently confined in Internment Centre Malakand. Fakhar Alam maternal uncle of Shafique-ur-Rehman is present. He has been apprised of the status of the case.</t>
  </si>
  <si>
    <t>4265-P</t>
  </si>
  <si>
    <t>Muhammad Aslam s/o Nizam Din</t>
  </si>
  <si>
    <t>Javed Akhtar, r/o Hujra Shah, Tehsil Dipul Pur, District Okara. (Mobile No. 0322-7015543 &amp; 0311-7872452)</t>
  </si>
  <si>
    <t>Traced Person. Muhammad Aslam has been traced. He has entered appearance before the Commission, whose statement has been recorded in oath. He has deposed that he was abducted on 17th May, 2017 when he was travelling by public transport from Lahore to Allahabad. After a lapse of two and half year they released him and left near Tokhar Niaz Baig. He further added that he cannot recognize the persons who were involved in his abduction. He also submitted that this case may be filed.</t>
  </si>
  <si>
    <t>4266-K</t>
  </si>
  <si>
    <t>Niaz Wali s/o Shereen Khan</t>
  </si>
  <si>
    <t>Aman Ullah, r/o House No. 111, Street No. 06, Maqsood Abad, Charsadda Road, Peshawar. (Mobile No. 0345-9000609)</t>
  </si>
  <si>
    <t>Deleted. It is indicated in the Proforma that Niaz Wali is mentally unsound person. Therefore the instant case hardly falls within the ambit if enforced disappearance. The case to extent of this Commission accordingly, stands disposed of.</t>
  </si>
  <si>
    <t>4267-K</t>
  </si>
  <si>
    <t>Akhtar Zeb s/o Peer Jamal</t>
  </si>
  <si>
    <t>Peer Jamal, r/o Hesra, Tehsil Dagar, District Bonair. (Mobile No. 0347-0962390 &amp; 0302-8254328)</t>
  </si>
  <si>
    <t>Traced person. It was informed at the hearing on 15/08/2018 Akhtar Zeb had been traced. According to the report received from Rep of MI, Akhtar Zeb was confined in the Internment Center Fizagat. Muhammad Subhan brother of Traced Person was present and apprised of status accordingly.</t>
  </si>
  <si>
    <t>4268-S</t>
  </si>
  <si>
    <t>Zaheer Hussain Burfat</t>
  </si>
  <si>
    <t>r/o C-1, Sindh University Colony, Jamshoro, Sindh.</t>
  </si>
  <si>
    <t>Traced Person. Returned to Home and available at Sindh University, Housing Society, Phase -I, Jamshoro, Sindh.</t>
  </si>
  <si>
    <t>4269-S</t>
  </si>
  <si>
    <t>Ghulam Rasool Burfat</t>
  </si>
  <si>
    <t>r/o, Sindh University, Housing Society, Phase -I, Jamshoro, Sindh.</t>
  </si>
  <si>
    <t>4270-S</t>
  </si>
  <si>
    <t>Asif Hussain Burfat</t>
  </si>
  <si>
    <t>r/o, C-50, Street No. 11 SUEHS, Phase-I, Jamshoro, Sindh.</t>
  </si>
  <si>
    <t>Traced Person. Returned to Home and available at C-50, Street No. 11 SUEHS, Phase-I, Jamshoro, Sindh.</t>
  </si>
  <si>
    <t>4271-K</t>
  </si>
  <si>
    <t>Muhammad Rehman s/o Abdul Manan</t>
  </si>
  <si>
    <t>Gul Zaman, r/o Village Sarka, District Hangu. (Mobile No. 0307-8094166 &amp; 0333-9676031)</t>
  </si>
  <si>
    <t>4272-S</t>
  </si>
  <si>
    <t>Tajdar Haider s/o Syed Mukhtar Haider</t>
  </si>
  <si>
    <t>Syed Zeeshan Haider, r/o, House No. R-1-1/12, Qasba Col;ony, Karachi. (Mobile No. 0315-2225968)</t>
  </si>
  <si>
    <t>FIR No 305/2012
 dt: 11/08/2017 365-A
 P.S.Peerabad District Karachi</t>
  </si>
  <si>
    <t>Traced Person. SDPO, Manghopir, submitted report that Missing Person has Returned to Home and available at his House No. R-1-1/12, Qasba Col;ony, Karachi.</t>
  </si>
  <si>
    <t>4273-S</t>
  </si>
  <si>
    <t>Muhammad Ali Qureshi s/o Syed Shamshad Ali Qureshi</t>
  </si>
  <si>
    <t>Mst. Syeda Shazia, r/o House No. 22, Qasba Colony, Karachi. (Mobile No. 0311-2429656)</t>
  </si>
  <si>
    <t>Traced Person. It was informed at the hearing held in this Commission on 9.12.2019 that Muhammad Ali Qureshi has returned to home. Family member Sister of the traced person appeared before the Commission and confirmed the reported position. SDPO, Manghopir, Karachi is also placed on record.</t>
  </si>
  <si>
    <t>4274-P</t>
  </si>
  <si>
    <t>Syed Muhammad Zulqurnain Shah s/o Syed Muhammad Hussain Shah</t>
  </si>
  <si>
    <t>Syed Muhammad Hussain Shah, r/o Basto Jhamat Nasheeb, Tehsil &amp; District Bakhar. (Mobile No.0347-5504914)</t>
  </si>
  <si>
    <t>Traced Person. SP (Inv) Sargodha, submitted report that Syed Muhammad Zulqarnain Shah has Returned to Home and available at his house. Statements of family members also recorded.</t>
  </si>
  <si>
    <t>4275-K</t>
  </si>
  <si>
    <t>Muhammad Ishtaiq s/o Jan Muhammad</t>
  </si>
  <si>
    <t>Asim Khan, r/o Mohallah Bazaid Khel, District Swabi. (Mobile No. 0342-0999315 &amp; 0311-9070507)</t>
  </si>
  <si>
    <t>Traced Person. It was informed by the Rep of MI at the hearing held on 21-06-2018 that Muhammad Ishtiaq was confined in Internment Center Paithom. Under Action (in aid of Civil Power) Regulation 2011. Family Members have been allowed to meet him.</t>
  </si>
  <si>
    <t>4276-K</t>
  </si>
  <si>
    <t>Irfan Ali s/o Ali Shaib</t>
  </si>
  <si>
    <t>Ali Shaib, r/o Village Nokhara, Kala Kot District Swat. (Mobile No. 0341-1940900)</t>
  </si>
  <si>
    <t>4277-K</t>
  </si>
  <si>
    <t>Yousaf Gul s/o Rehman Gul</t>
  </si>
  <si>
    <t>Zaheem Khan, r/o Village Dobandi, Bazid Khel, District Hangu. (Mobile No. 0332-9577704)</t>
  </si>
  <si>
    <t>21601-9295147-1</t>
  </si>
  <si>
    <t>4278-K</t>
  </si>
  <si>
    <t>Fazal Wahid s/o Ameer Sawab</t>
  </si>
  <si>
    <t>Mst. Parveen, r/o Koza Bandi, Tehsil Kabal, District Swat. (Mobile No. 0343-87006291 &amp; 0340-9413743)</t>
  </si>
  <si>
    <t>15602-5513647-8</t>
  </si>
  <si>
    <t>FIR No. 434, Dated 15.9.17, U/S 365 PPC, P.S Kanju, Swat.</t>
  </si>
  <si>
    <t>Deleted. After thorough investigation, JIT and PTF concluded that the “Missing Person has gone on his own” as no clue could be found to indicate involvement of any Law Enforcement / Intelligence Agency in his disappearance. All stakeholders denied his arrest / custody. Moreover the complainant did not turn up for recording of statement despite issuance of notice thrice on 18.12.2020, 16.9.2021 and 25.2.2022. Hence, the case is closed not being a case of enforced disappearance.</t>
  </si>
  <si>
    <t>4279-I 4300-I 4305-I</t>
  </si>
  <si>
    <t>Shafi Ullah s/o Abdullah</t>
  </si>
  <si>
    <t>Abdullah, r/o Village Zagi, Bajur Agency. (Mobile No. 0303-9018449)</t>
  </si>
  <si>
    <t>FIR No. 179 dated 7/12/2017 u/s 365-PPC PS Bani Gala, ICT</t>
  </si>
  <si>
    <t>4280-I</t>
  </si>
  <si>
    <t>Traced Person. SP (Inv), ICT, submitted report that Missing Person has Returned to Home and available at his house in House no. 471, Street No. 51, G-9/1, Islamabad.</t>
  </si>
  <si>
    <t>4281-K</t>
  </si>
  <si>
    <t>Aziz s/o Hassan-ul-Maab</t>
  </si>
  <si>
    <t>Mst. Khaista, r/o Tehsil Matta, District Swat. (Mobile No. 0344-9517385)</t>
  </si>
  <si>
    <t>Traced Person. It has been informed at the hearing on 24/10/2018 that Aziz has been traced. Presently he is confined in Internment Center Paithom. None has entered appearance on the behalf of Aziz. IO of the case is present. He has been apprised of the status of the case. Family member of Aziz shall be facilitated to see him in the Internment Center as per rule and procedure.</t>
  </si>
  <si>
    <t>4282-K</t>
  </si>
  <si>
    <t>Shah Syed s/o Sultan Mehmood</t>
  </si>
  <si>
    <t>Sultan Zareen, r/o Mohallah Bund, Jambeel, District Swat. (Mobile No. 0346-9136350 &amp; 0316-9948143)</t>
  </si>
  <si>
    <t>4283-S</t>
  </si>
  <si>
    <t>Inam Ullah Abbasi</t>
  </si>
  <si>
    <t>Traced Person. It was informed at the hearing held in this Commission on 22/10/2018 that Inam Ullah Khan has returned to home. The report submitted by Police Officer, SDPO Sachal is placed on record.</t>
  </si>
  <si>
    <t>4284-F</t>
  </si>
  <si>
    <t>Muhammad Ismail s/o Ziarat Khan</t>
  </si>
  <si>
    <t>Mst. Noor Hadi Bibi, r/o Nawagi, District Bajur Agency. (Mobile No. 0305-5988602)</t>
  </si>
  <si>
    <t>4285-F</t>
  </si>
  <si>
    <t>Ameer s/o Hamesh Khan</t>
  </si>
  <si>
    <t>Hussan Zari, r/o Sher Ali, Village Fazal Abad, Tehsil &amp; District Mardan. (Mobile No. 0346-5712181)</t>
  </si>
  <si>
    <t>Traced Person. Rep of MI submitted that the Missing Person Ameer is Confined in Internment Center, Ghalnail under Action (in aid of Civil Power) Regulation 2011. Family Members have been allowed to meet him.</t>
  </si>
  <si>
    <t>4286-K</t>
  </si>
  <si>
    <t>Abdullah s/o Muhammad Nawaz</t>
  </si>
  <si>
    <t>Abdul Rehman, r/o New Abadi Lakhra, Tehsil &amp; district Dera Ismail Khan. (Mobile No. 0347-0154185)</t>
  </si>
  <si>
    <t>FIR No. 558 dated 04/10/2017 u/s 365 PPC PS Saddar, D.I.Khan</t>
  </si>
  <si>
    <t>Deleted. After investigation, JIT / PTF concluded that the Missing Person has gone on his own. There is no eye witness of any incident of abduction. All stakeholders have denied apprehension / custody of Abdullah s/o Muhammad Nawaz. Hence, not a case of enforced disappearance. The case is closed.</t>
  </si>
  <si>
    <t>4287-K</t>
  </si>
  <si>
    <t>Muhammad Shah s/o Mian Udal</t>
  </si>
  <si>
    <t>Mian Udal, r/o Village Shagakas, Tehsil Varhi, District Upper Dir. (Mobile No. 0303-9598018)</t>
  </si>
  <si>
    <t>Traced Person. It was informed at the hearing on 17/04/2018 that Muhammad Shah is confined in the Internment Center, Paitham under Action (in aid of Civil) Regulation 2011. Family Members have been allowed to meet him.</t>
  </si>
  <si>
    <t>4288-K</t>
  </si>
  <si>
    <t>Hassan Gul s/o Muhammad Gul</t>
  </si>
  <si>
    <t>Sanab Gul, r/o Sarh Shah, Spinky Saly Laky, Tehsil Tangy, District Charsadda. (Mobile No. 0345-8832380)</t>
  </si>
  <si>
    <t>16102-94693589</t>
  </si>
  <si>
    <t>FIR No. 519, dated 26.9.17, u/s 365 PPC, P.S Shaikh Maltoon, Mardan</t>
  </si>
  <si>
    <t>4289-P</t>
  </si>
  <si>
    <t>Ali Asghar s/o Abdul Sattar</t>
  </si>
  <si>
    <t>Abdul Sattar, r/o House No. A-17/288, Street No. 03, Saham Road, Rawalpindi Cantt. (Mobile No. 0336-0005153 &amp; 0300-5562986)</t>
  </si>
  <si>
    <t>Traced Person. Abdul Sattar Father of Missing Person, submitted that Missing Person has Returned to Home and available at his house in House No. A-17/288, Street No. 03, Saham Road, Rawalpindi Cantt</t>
  </si>
  <si>
    <t>4290-P</t>
  </si>
  <si>
    <t>Wajid-ul-Rasheed s/o Chaudary Abdul Rasheed</t>
  </si>
  <si>
    <t>Mst. Rabia Kareem, r/o House No. 13-B, Sector E-1, B Block, Mirpur Azad Kashmir. (Mobile No. 0333-6482017)</t>
  </si>
  <si>
    <t>81302-1693022-7</t>
  </si>
  <si>
    <t>Traced Person. Wajid-ur-Rasheed has been traced. He appeared before the Commission on 15.1.2021 and his statement was recorded on oath, in which he stated that he was not abducted by anybody rather he went on his own will to his aunt at Kotli and returned home in March 2020. According this case stands disposed of.</t>
  </si>
  <si>
    <t>Chakwal</t>
  </si>
  <si>
    <t>4291-P</t>
  </si>
  <si>
    <t>Naveed Iqbal s/o Abdul Latif</t>
  </si>
  <si>
    <t>Abdul Latif, r/o Karna Lavi Wali paki Sarak, Tehsil &amp; district Pakpatan. (Mobile No. 0302-8127262)</t>
  </si>
  <si>
    <t>FIR No 142/17
 dt: 23/03/2017 365-A
 P.S.Malka Hans District Pak Patan</t>
  </si>
  <si>
    <t>Traced Person. I.O, submitted report that Missing Person Naveed Iqbal were Killed in Police encounter.</t>
  </si>
  <si>
    <t>4292-P</t>
  </si>
  <si>
    <t>Umar Safdar s/o Muhammad Safdar Mehmood</t>
  </si>
  <si>
    <t>Mst Imrana Safdar, r/o House No. C-9, 576, Siddique Manzal, Street No. 06, Ala Abad Westrage, 3, Rawalpindi Cantt. (Mobile No. 0314-53035950</t>
  </si>
  <si>
    <t>37405-2727220-1</t>
  </si>
  <si>
    <t>4293-P</t>
  </si>
  <si>
    <t>Muhammad Safdar Ramzi s/o Muhammad Hussain</t>
  </si>
  <si>
    <t>Mst. Mumtaz Mai, r/o House No. 01, Street No. 01,Fasial Town, Lahore. (Mobile No. 0300-5409661)</t>
  </si>
  <si>
    <t>4294-B</t>
  </si>
  <si>
    <t>Muhammad Khan s/o Abdul Samad</t>
  </si>
  <si>
    <t>Alas Bibi, r/o Gul Mandi Chowk, Quetta. (Mobile No.0348-2635633)</t>
  </si>
  <si>
    <t>Deleted. Abdul Ghani brother of Muhammad Khan appeared before the Commission on 09.2.2022 whose statement was recorded on oath in which he deposed that there was no allegation against any of the LEAs/ Intelligence Agency. Hence no further action is required. The case is closed.</t>
  </si>
  <si>
    <t>4295-B</t>
  </si>
  <si>
    <t>Muhammad Hazrat s/o Sher Hazrat</t>
  </si>
  <si>
    <t>Inam Ullah, r/o Sadad Colony, Street No. 10, Near Pathak No. 05, Badami Bagh Lahore. (Mobile No. 0322-9955558)</t>
  </si>
  <si>
    <t>4296-S</t>
  </si>
  <si>
    <t>Tariq Ahmed Siddiqui s/o Aftab Ahmed</t>
  </si>
  <si>
    <t>Khalid Ahmed, r/o House No. B-73, Block No. 02, Gulshan-e-Iqbal, Karachi. (Mobile No.0345-2168491)</t>
  </si>
  <si>
    <t>Traced Person. It was informed at the hearing held in this Commission at Karachi on 09/07/2018 that Mr. Tariq Ahmed Siddiqui has returned to home. The report submitted by SDPO, Gulshan-e- Iqbal district East, Karachi is place on record.</t>
  </si>
  <si>
    <t>4297-A</t>
  </si>
  <si>
    <t>Fahad Rasheed s/o Abdul Rasheed</t>
  </si>
  <si>
    <t>Abdul Rasheed, r/o Inayat Ullah Bakery &amp; Sweets, Near Swai Sehely Sarkar, Muzaffarabad. (Mobile No. 0300-0519242)</t>
  </si>
  <si>
    <t>Deleted. In the instant case seven JIT meetings are stated to have been conducted and the case was categorized as “Missing Person” has gone on his own. There is no EW of the occurrence. Reports from ISI, MI and CTD have been received, according to them the aforementioned persons is not in their custody.</t>
  </si>
  <si>
    <t>4298-S</t>
  </si>
  <si>
    <t>Ibrahim s/o Mian Gul Bahar</t>
  </si>
  <si>
    <t>Mian Gul Bahar, r/o Saeed Abad, Manglor, Tehsil &amp; district Swat. (Mobile No. 0342-9127086)</t>
  </si>
  <si>
    <t>Deleted. The case has been closed due to non-prosecution as the complainant neither extended co-operation to the Investigation Officer nor attended hearings held on 26.2.2019, 10.4.2019 and 13.11.2019 despite notices.</t>
  </si>
  <si>
    <t>4299-K</t>
  </si>
  <si>
    <t>Aitabar Gul s/o Rahim Ullah</t>
  </si>
  <si>
    <t>Mst. Fatima, r/o Mohallah Bund Antar, Jambeel, Tehsil Babu Zai, District Swat (Mobile No. 0314-9722986 &amp; 0346-9098570 &amp; 0347-9115609)</t>
  </si>
  <si>
    <t>4300-I</t>
  </si>
  <si>
    <t>Lal Zada s/o Gul Zada</t>
  </si>
  <si>
    <t>Gul Zada, r/o Inayat Qiley, Bajur Agency. (Mobile No. 0306-8808104)</t>
  </si>
  <si>
    <t>FIR No. 186 dated 23/12/2017 u/s 365-PPC PS Bani Gala, ICT</t>
  </si>
  <si>
    <t>4301-I</t>
  </si>
  <si>
    <t>Zia-ul-Islam s/o Saif-ur-Rehman</t>
  </si>
  <si>
    <t>Saif-ur-rehman, r/o Dama Dola, Bajur Agency. (Mobile No. 0304-3911869)</t>
  </si>
  <si>
    <t>21104-7312153-7</t>
  </si>
  <si>
    <t>FIR No. 329 dated 20/12/2017 u/s 365-PPC PS Khanna, ICT</t>
  </si>
  <si>
    <t>4302-I</t>
  </si>
  <si>
    <t>Rahim Ullah s/o Karim Dad</t>
  </si>
  <si>
    <t>Mst. Jahan Bakhta, r/o Nawa Kiley, Mingora, Swat. (Mobile No. 0342-9787721)</t>
  </si>
  <si>
    <t>4303-I</t>
  </si>
  <si>
    <t>Karim Ullah s/o Karim Dad</t>
  </si>
  <si>
    <t>4304-K</t>
  </si>
  <si>
    <t>Zakir Ullah s/o Habib Ullah</t>
  </si>
  <si>
    <t>Mst. Maryyam Bibi, r/o Samar Bagh, district Lower Dir. (Mobile No. 0306-5798695 &amp; 0302-8008133)</t>
  </si>
  <si>
    <t>Traced Person. It was informed at the hearing on 06/09/2018 that Zakir Ullah was confined in the Internment Center Fizaghat (Swat). Familiy members of Zakir Ullah shall be facilitated to see him in the Internment Center, subject to completion of all necessary formalities.</t>
  </si>
  <si>
    <t>4305-I</t>
  </si>
  <si>
    <t>Rizwan s/o Shah Zaman Khan</t>
  </si>
  <si>
    <t>Shah Zaman Khan, r/o Bara Banda, Tehsil Mohmand Agency, District Bajur Agency. (Mobile No. 0308-5329369)</t>
  </si>
  <si>
    <t>FIR No. 180 dated 7/12/2017 u/s 365-PPC PS Bani Gala, ICT</t>
  </si>
  <si>
    <t>4306-P</t>
  </si>
  <si>
    <t>Hafiz Mehmood Faisal s/o Hafiz Inayat Ullah</t>
  </si>
  <si>
    <t>Hafiz Inayat Ullah, r/o Chak No, 100, Faisalabad. (Mobile No. 0301-6070574)</t>
  </si>
  <si>
    <t>Traced Person. Missing Person Hafiz Mehmood Faisal is Confined in Central Jail, Kot Lakhpat, Lahore.</t>
  </si>
  <si>
    <t>4307-S</t>
  </si>
  <si>
    <t>Qaiser Khan s/o Rasool Khan</t>
  </si>
  <si>
    <t>Rasool Khan, r/o Gara Kauro Khan, Tehsil &amp; District Tank. (Mobile No. 0344-9355580)</t>
  </si>
  <si>
    <t>Traced Person. As informed at the hearing on 02/10/2018 that Qaiser Khan has been traced. He is presently confined in Internment Center Fort Salop. Family members shall be facilitated to see him in the Internment Center Fort Salop as per rule and procedures.</t>
  </si>
  <si>
    <t>4308-P</t>
  </si>
  <si>
    <t>Ameer Mauvia s/o Ahmed Khan</t>
  </si>
  <si>
    <t>Ahmed Khan, r/o Qasim Machi Shop, Ward No. 04, Mohallah Riazabad, Daira Deen Bina, Kot Addu, District Muzaffargarh. (Mobile No. 0314-2394766 &amp; 0300-3553945)</t>
  </si>
  <si>
    <t>FIR No. 47/18 dated 09.01.2018 u/s 365 PPC Ps Chung</t>
  </si>
  <si>
    <t>Traced Person. IO/SI Nasir Hameed appeared on hearing on 10.2.2020, whose statement has been recorded on oath. He has submitted that during the course of investigation it came on record that a case bearing FIR No. 24/17 dated 1.10.2017 u/s 186/324/302/353 PPC r/w ¾ ESA/7ATA PS CTD, Lahore was registered against Ameer Movia and he died as a result of encounter of Sheikhupura. He also added that Shukaat Ali Khan b/o the said Ameer Movia filed a case in this regard before the Judicial Magistrate, Sheikhupura for disinterment and handing over the dead body of his deceased brother. Since the Ameer Moavia is no more in this world, therefore the case stands closed.</t>
  </si>
  <si>
    <t>4309-S</t>
  </si>
  <si>
    <t>Syed Mehmood Ali Zaidi s/o Syed Zehanat Hussain Zaidi</t>
  </si>
  <si>
    <t>Mst. Pukhraj Mehmood Zaidi, r/o KDA, Block OR, Ext 1 A, House No. 84/3, Karachi. (Mobile No. 92971551840321)</t>
  </si>
  <si>
    <t>4310-UAE</t>
  </si>
  <si>
    <t>Muhammad Omer Mateen s/o Qurban Hussain Raja</t>
  </si>
  <si>
    <t>Qurban Hussain Raja, r/o 174-D, Zeeshan Colony, Qasim Road, Rawalpindi. (Mobile No. .0300-8519931)</t>
  </si>
  <si>
    <t>4311-P</t>
  </si>
  <si>
    <t>Amir Javed s/o Rana Javed Iqbal</t>
  </si>
  <si>
    <t>Mst. Zakia Begum, r/o Mohallah Suji Pura, Bajwa Street, Ringpura Road, Sialkot. (Mobile No. 0305-8700494 &amp; 0300-7140494)</t>
  </si>
  <si>
    <t>Traced Person. Amjad Mehmood Qureshi SP (Inv), Sialkot has been submitted that Amir Javed has been traced and he has returned to home. JIT report also confirms.</t>
  </si>
  <si>
    <t>4312-F</t>
  </si>
  <si>
    <t>Muhammad Faiz Ahmed s/o Malik Ghulam Muhammad</t>
  </si>
  <si>
    <t>Malik Farhan Ahmed, r/o House No. 107, Street No. 05, Sector No. 03, Airport Housing Society, Rawalpindi. (Mobile No. 0306-5535776)</t>
  </si>
  <si>
    <t>Traced Person. Rep of ISI submitted that the Missing Person Muhammad Faiz Ahmed was released and handed over to Ahmed Nawaz, FWO Employee in Afghanistan on 04/12/2017 and was shifted to Peshawar under FWO arrangements.</t>
  </si>
  <si>
    <t>4313-P</t>
  </si>
  <si>
    <t>Muhammad Hameed s/o Muhammad Hanif</t>
  </si>
  <si>
    <t>Muhammad Hanif r/o Dhori Pind, Dak khana barki Tehsil &amp; District Lahore (Mobile No. 0307-4623431)</t>
  </si>
  <si>
    <t>Traced Person. Father of Missing Person appeared before the Commission on 10/08/2018 and informed that his son is confined in Kot Lakhpat Jail, Lahore.</t>
  </si>
  <si>
    <t>4314-P</t>
  </si>
  <si>
    <t>Muhammad Umer Farooq s/o Muhammad Sadique</t>
  </si>
  <si>
    <t>Rehmat Bibi R/o Mohallah Shah Walid Tehsil &amp; District Muzaffar Ghar. (Mobile No. 0321-7886255)</t>
  </si>
  <si>
    <t>Traced Person. Shahban Mehmood, DSP/Legal, submitted that Muhammad Umer Farooq has been arrested by CTD Gujranwala in case FIR No. 28/17 u/s 3/4 ESA R/w 7 ATA, and presently he is confined in Central Jail, Gujranwala.</t>
  </si>
  <si>
    <t>4315-P</t>
  </si>
  <si>
    <t>Yasir Ali s/o Saif-ur-Rehman</t>
  </si>
  <si>
    <t>Saif-ur-Rehman, r/o Village Haryala, Tehsil &amp; District Abbotabad. (Mobile No. 0322-7658535)</t>
  </si>
  <si>
    <t>FIR No. 136 dt 24.04.2017 u/s 365 PPC PS City, Abbottabad</t>
  </si>
  <si>
    <t>Hearings have been held in this case by the Commission, JIT also held five meetings. The perusal of the complaint , FIR No. 393/16 dated 4.8.2016 statement on oath by father of the Missing Person before the Commission concludes that it is a case of “Kidnapping for ransom” in which the accused person is one Javed. Not being a case of enforced disappearance no further action is required. The case is closed.</t>
  </si>
  <si>
    <t>Closed detail findings</t>
  </si>
  <si>
    <t>Taxila Rawalpindi</t>
  </si>
  <si>
    <t>4316-S</t>
  </si>
  <si>
    <t>Abdul Ali Khan s/o Qamar</t>
  </si>
  <si>
    <t>Mst. Raqia Bibi, r/o Shah Dheri, Tehsil Kabal, District Swat. (Mobile No. 0341-8551862)</t>
  </si>
  <si>
    <t>Traced Person. As informed at the hearing on 02/10/2018 that Abdul Ali Khan has been traced. He is presently confined in Internment Center Fort Salop. Family members shall be facilitated to see him in the Internment Center Fort Salop as per rule and procedures.</t>
  </si>
  <si>
    <t>4317-F</t>
  </si>
  <si>
    <t>Khan Said s/o Ahmed Said</t>
  </si>
  <si>
    <t>Muhammad Tahir, r/o Lagharai Mohmand Agency. (Mobile No. 0308-8181049)</t>
  </si>
  <si>
    <t>Traced Person. Rep of MI informed at the hearing on 26/04/2018 that Khan Said is confined in Internment Center Paithom under Action (in aid of Civil) Regulation 2011. Family Members have been allowed to meet him.</t>
  </si>
  <si>
    <t>4318-S</t>
  </si>
  <si>
    <t>Feroz Khan s/o Qadeer Khan</t>
  </si>
  <si>
    <t>Ms. Ranoq Afroz, r/o House No. 671, Mohallah Mukhi Pura, Iqbal Lane, Tando Allah Yar, Sindh. (Mobile No. 0304-3030215)</t>
  </si>
  <si>
    <t>Traced Person. Returned to Home. Appeared before the Commission at the hearing on 24/01/2018.</t>
  </si>
  <si>
    <t>4319-P</t>
  </si>
  <si>
    <t>Mir Sardar Khan s/o Ashraf Khan</t>
  </si>
  <si>
    <t>Noshad Khan, r/o Tawey Khel, Tehsil Ramzak, South Waziristan Agency. (Mobile No. 0316-5353232)</t>
  </si>
  <si>
    <t>Traced Person. Rep of MI appeared before the Commission on 26.10.2020. He has submitted that Mir Sardar Khan is presently interned in Internment Centre Kohat. Family members of Mir Sardar Khan will be allowed to see him as per rules and procedures.</t>
  </si>
  <si>
    <t>4320-S</t>
  </si>
  <si>
    <t>Munir Ali Khan s/o Ahmed Ali Khan</t>
  </si>
  <si>
    <t>Mst, Shama Parveen, r/o House No. B-128/1, Mohallah Gulberg, Block No. 13, Federal B Area Karachi. (Mobile No. 0346-2473892)</t>
  </si>
  <si>
    <t>Traced Person. It was informed at the hearing in this Commission on 25/09/2018 that Munir Ali Khan has returned to home. He appeared before the Commission. The statement of traced person has been recorded u/s 164 CrPC, which is available on record. Family member wife of the traced person appeared before the Commission and confirmed the reported position. The report submitted by the Police Officer, DSP Gulberg is placed on record.</t>
  </si>
  <si>
    <t>4321-K</t>
  </si>
  <si>
    <t>Mujeeb-ur-rehman s/o Muhammad Aman</t>
  </si>
  <si>
    <t>Abdul Wadood, r/o Wazir Kilay, Jarma, Near District Jail Kohat. (Mobile No. 0333-8530276)</t>
  </si>
  <si>
    <t>Traced Person. SP (Inv), Kohat, submitted report that Missing Person has Returned to Home and available at his house in Wazir Kilay, Jarma, Near District Jail Kohat.</t>
  </si>
  <si>
    <t>4322-K</t>
  </si>
  <si>
    <t>Asim Nawaz s/o Haq Nawaz Khan</t>
  </si>
  <si>
    <t>Haq Nawaz Khan, r/o Mohallah Ahmed Khel, Tehsil Raz, District Swabi. (Mobile No. 0313-7499551)</t>
  </si>
  <si>
    <t>4323-S</t>
  </si>
  <si>
    <t>Syed Muhammad Ammar Hashmi s/o Syed Muhammad Shakeel Hashmi</t>
  </si>
  <si>
    <t>Mst. Nuzhat Rani, House No. SU- 187, Street 11-A, Askari IV, Main Rashid Minhas Road, Karachi. 0300-8238996)</t>
  </si>
  <si>
    <t>Traced Person. SHO Shahr-e-Faisal submitted report that the Dead Body of alleged Missing Person was received by the brother of the deceased.</t>
  </si>
  <si>
    <t>4324-K</t>
  </si>
  <si>
    <t>Muhammad Ayaz s/o Salarzay</t>
  </si>
  <si>
    <t>Mst. Noor Jahan, r/o Sadu Sharif, Tehsil Babu Zai, District Swat. (Mobile No. 0342-7000997 &amp; 0348-8117841)</t>
  </si>
  <si>
    <t>12401-1721166-7
 Father CNIC:
 15602-7807270-3</t>
  </si>
  <si>
    <t>4325-K</t>
  </si>
  <si>
    <t>Amin Ullah s/o Nosherwan</t>
  </si>
  <si>
    <t>Nosherwan, r/o Bandi, Tehsil Khoza Khela, District Swat. (Mobile No. 0312-5758829)</t>
  </si>
  <si>
    <t>FIR No. 300, Dated 21.5.11, U/S 365 PPC, P.S Kanju, Swat.</t>
  </si>
  <si>
    <t>4326-S</t>
  </si>
  <si>
    <t>Sami Ullah s/o Muhammad Saeed</t>
  </si>
  <si>
    <t>Muhammad Saeed, r/o Latono Bandi, Tehsil Kabal, District Swat. (Mobile No. 0342-0452600)</t>
  </si>
  <si>
    <t>Traced Person. It was informed at the hearing held in this Commission on 19/11/2018 that Sami Ullah was interned in the Internment Center, Fort Salop, Khyber Agency.</t>
  </si>
  <si>
    <t>4327-S</t>
  </si>
  <si>
    <t>Anwar Zeb s/o Khawist</t>
  </si>
  <si>
    <t>Mst. Parveen Ayub, r/o Mohallah Khan Gee, Mir Shal , Tehsil &amp; District Swayt. (Mobile No/ 0311-8475835)</t>
  </si>
  <si>
    <t>Deleted. SSP District Central Karachi appeared before the Commission on 23.10.2019. None appeared for the Missing Person. Report submitted indicates that the family is not reachable as given Mobile No. 0311-8475835 is switched off and nobody resides at the given address. Hence the case is closed due to non-prosecution.</t>
  </si>
  <si>
    <t>4328-K</t>
  </si>
  <si>
    <t>Muhammad Shafique s/o Arman Gul</t>
  </si>
  <si>
    <t>Muhammad Saeed, r/o Sur Dhond Fort Slop, Bara, Khyber Agency. (Mobile No. 0333-8181241)</t>
  </si>
  <si>
    <t>4329-K</t>
  </si>
  <si>
    <t>Bilal s/o Safdar</t>
  </si>
  <si>
    <t>Safdar, r/o Mohallah Rahimabad, Sambat, Tehsil Matta, District Swat. (Mobile No. 0346-9472302)</t>
  </si>
  <si>
    <t>FIR No. 119 date 05/11/2017 u/c 365 ppc, PS Mata District Swat</t>
  </si>
  <si>
    <t>Traced Person. According to JIT report dated 19.3.2019, Bilal Ahmed is presently confined in the Internment Centre Paitham and family members have already met him.</t>
  </si>
  <si>
    <t>4330-P</t>
  </si>
  <si>
    <t>Muhammad Usama Mirza s/o Aqeel Nasir Mirza</t>
  </si>
  <si>
    <t>Mst. Faiza Mirza Bushara, r/o House No. 09, Street No. 18, Sector No. C, DHA, Phase-I, Islamabad. (Mobile No. 0333-5301872)</t>
  </si>
  <si>
    <t>MoI "PCP"</t>
  </si>
  <si>
    <t>4331-P</t>
  </si>
  <si>
    <t>Masaut Kasmir</t>
  </si>
  <si>
    <t>Traced Person. Returned to Home (Left for Turkey)</t>
  </si>
  <si>
    <t>4332-S</t>
  </si>
  <si>
    <t>Asad Ullah s/o Naseeb Hussain</t>
  </si>
  <si>
    <t>Naseeb Hussain, r/o Mohallah Muhammad Khan Colony, Khyber Chowk, Ithad Town, Block No. C, Karachi. (Mobile No. 0342-1527456)</t>
  </si>
  <si>
    <t>4333-S</t>
  </si>
  <si>
    <t>Muhammad Javed s/o Muhammad Aziz</t>
  </si>
  <si>
    <t>Muhammad Sohail, r/o Sector- B, Street No. 08, House No. 342, Kashmir Colony, Near Bilal Masjid, Karachi. (Mobile No. 0344-3696012)</t>
  </si>
  <si>
    <t>Traced Person. SHO, Mehmoodabad, submitted report that Missing Person has Returned to Home and available at his house in Sector- B, Street No. 08, House No. 342, Kashmir Colony, Near Bilal Masjid, Karachi</t>
  </si>
  <si>
    <t>4334-S</t>
  </si>
  <si>
    <t>Muhammad Farooq s/o Haroon-ul-Rasheed</t>
  </si>
  <si>
    <t>Mst. Zahida Farooq, r/o Madrassa Raheemia Hussania, Tehsil Kaloor Kot, District Bakhar. (Mobile No. 0301-7408142)</t>
  </si>
  <si>
    <t>Traced Person. I.O, submitted report that Missing Person Muhammad Farooq has Returned to Home. Appeared before the Commission on 24/01/2018 and got his statement recorded.</t>
  </si>
  <si>
    <t>4335-P</t>
  </si>
  <si>
    <t>Muhammad Iqbal s/o Ahmed Khan</t>
  </si>
  <si>
    <t>Rehmat Ullah, r/o Basti Moavia Nagar, Tehsil Tanusa Sharif, District Dera Ghazi Khan. (Mobile No. 0348-7062637 &amp; 0343-6922734)</t>
  </si>
  <si>
    <t>Traced Person. I.O, submitted that the Missing Person Muhammad Iqbal is Confined in Adiyala Jail, Rawalpindi under Action (in aid of Civil Power) Regulation 2011.</t>
  </si>
  <si>
    <t>4336-P</t>
  </si>
  <si>
    <t>Abid Hussain s/o Bashir Ahmed Khan</t>
  </si>
  <si>
    <t>Bashir Ahmed Khan, r/o Ward No. 12, Karor District Layyah. (Mobile No. 0301-7830148 &amp; 0331-4368675)</t>
  </si>
  <si>
    <t>Traced Person. Abdi Hussain returned back, however no details could be furnished by him for certain obvious reasons</t>
  </si>
  <si>
    <t>4337-S</t>
  </si>
  <si>
    <t>Ghulam Mohi-ud-Din s/o Muhammad Mansoor Alam</t>
  </si>
  <si>
    <t>Mst. Afzal Zahra, r/o Flat No. B-318, Maria Appartments, Gate No. 03, Shadman Town, Karachi. (Mobile No. 0336-0392430)</t>
  </si>
  <si>
    <t>Traced Person. It was informed at the hearing held in this Commission on 13/08/2018 that Ghulam Muhammad has returned to home. He appeared before the Commission. The report submitted by the SDPO, Shadman, Karachi is place on record.</t>
  </si>
  <si>
    <t>4338-K</t>
  </si>
  <si>
    <t>Sohrab Khan s/o Saltant Khan</t>
  </si>
  <si>
    <t>Saltant Khan, r/o Kashwara, Landi Shah, Tehsil Char Bagh District Swat. (Mobile No. 0340-0847318)</t>
  </si>
  <si>
    <t>Deleted. Keeping in view of the JIT report statement of complainant and condition of the alleged missing person being mentally retorted, the case hardly falls within the purview of enforced disappearance. Further proceedings in the instant case by the Commission would be a futile exercise, therefore the case is accordingly dispose of however investigation is required to be continued in accordance with law.</t>
  </si>
  <si>
    <t>4339-F</t>
  </si>
  <si>
    <t>Kaleem Ullah s/o Khair Ullah</t>
  </si>
  <si>
    <t>Mst. Niaz Parwa, r/o Zareef Kor Tehsil Yak Ghund, District Mohmand Agency. (Mobile No. 0342-5424613 &amp; 0303-8474738)</t>
  </si>
  <si>
    <t>Traced Person. SP (Inv), Charsadda submitted report at the hearing on 09/05/2018 that Kaleem Ullah was confined in Internment Center Fort Salop. under Action (in aid of Civil) Regulation 2011. Family Members have been allowed to meet him.</t>
  </si>
  <si>
    <t>4340-F</t>
  </si>
  <si>
    <t>Ameen Jan s/o Hakeem Jan</t>
  </si>
  <si>
    <t>Mst. Qandara Bibi, r/o Zareef Kor Tehsil Yak Ghund, District Mohmand Agency. (Mobile No. 0342-5424613 &amp; 0303-8474738)</t>
  </si>
  <si>
    <t>Traced Person. Rep of MI submitted that the Missing Person Ameen Jan is Confined in Internment Center, Landi Kotal under Action (in aid of Civil Power) Regulation 2011. Family Members have been allowed to meet him.</t>
  </si>
  <si>
    <t>4341-B</t>
  </si>
  <si>
    <t>Hazrat Bilal s/o Behram</t>
  </si>
  <si>
    <t>Behram, r/o Dehri Baba, Tehsil Kabal, District Swat. (Mobile No. 0349-9107256)</t>
  </si>
  <si>
    <t>Traced Person. Hazrat Bilal appeared before the Commission on 05/04/2019 and stated that he was picked up on 31/03/2016 from his home and set free during the night 27/28, March, 2019.</t>
  </si>
  <si>
    <t>4342-K</t>
  </si>
  <si>
    <t>Fazal Khan s/o Aziz Ullah</t>
  </si>
  <si>
    <t>4343-P</t>
  </si>
  <si>
    <t>Muhammad Imrn s/o Bashir Ahmed</t>
  </si>
  <si>
    <t>Traced Person. I.O, submitted report that Missing Person has Returned to Home and available at his house Ward No. 12, Karor District Layyah.</t>
  </si>
  <si>
    <t>4344-P</t>
  </si>
  <si>
    <t>Mehad-ul-Husnain s/oMasood Shahid</t>
  </si>
  <si>
    <t>Ali Akbar, r/o E-37, Street No. 03, Gulshan Ali Colony, Near Defence Road, Bhatta Chowk, Lahore Cantt. (Mobile No. 0341-4147069)</t>
  </si>
  <si>
    <t>Deleted. Adnan SI/Io of the case appeared before the Commission and submitted that he recorded statement of Dawood Masood and Ali Akbar who are real brothers of Mehad-ul-Islam which depicts that Dawood Massod is out of country at the moment. In the statements it is also mentioned that Mehad-ul-Islam Missing Person was suffering from mental illness and that they have already deposed that Mehad-ul-Islam was not abducted by anybody. Under the circumstances mentioned hereinabove, apparently it is not a case of enforced disappearnce, so the case is closed.</t>
  </si>
  <si>
    <t>4345-S</t>
  </si>
  <si>
    <t>Syed Muhammad Farhan s/o Absar Hussain</t>
  </si>
  <si>
    <t>Muhammad Illyas, r/o P-743, Batha Town, Block- N, North Nazimabad, Karachi. (Mobile No. 0333-2197830)</t>
  </si>
  <si>
    <t>Traced Person. Father of Missing Person, submitted that Syed Muhammad Farhan has Returned to Home and available at house P-743, Batha Town, Block- N, North Nazimabad, Karachi.</t>
  </si>
  <si>
    <t>4346-P</t>
  </si>
  <si>
    <t>Abid Hussain s/o Muhammad Mustafa</t>
  </si>
  <si>
    <t>Mst. Fahmida Bibi, r/o Hawaldara Wali Gali, Bahawalpur. (Mobile No. 0303-6630014)</t>
  </si>
  <si>
    <t>Traced Person. Dead Body recovered. Missing Person was Killed during an encounter with CTD, dead body handed over to legal heirs.</t>
  </si>
  <si>
    <t>4347-S</t>
  </si>
  <si>
    <t>Zohaib Khan s/o Muhammad Sharif Khan</t>
  </si>
  <si>
    <t>Muhammad Sharif Khan, r/o House No. 766, Hassan Noman Colony, Al- Asif, Sohrab Goth, Karachi. (Mobile No. 0334-1284417)</t>
  </si>
  <si>
    <t>Deleted. This case is closed for wand of justification as there is no allegation against the law enforcement agencies.</t>
  </si>
  <si>
    <t>4348-K</t>
  </si>
  <si>
    <t>Mir Alam Khan s/o Sher Alam</t>
  </si>
  <si>
    <t>Mst. Taj Mahal, r/o Mohallah Shahi Bagh, Dehri Baba, Tehsil Kabal, District Swat. (Mobile No. 0343-5717291)</t>
  </si>
  <si>
    <t>15602-3245087-6</t>
  </si>
  <si>
    <t>FIR No. 471, Dated 1.10.17, U/S 365 PPC, P.S Kanju, Swat.</t>
  </si>
  <si>
    <t>4349-P</t>
  </si>
  <si>
    <t>Abdul Basit s/o Muhammad Rafique</t>
  </si>
  <si>
    <t>Mst. Kalsoom Bibi, r/o Cha Mehra, Tehsil Kot Adu, District Muzaffargarh. (Mobile No. 0345-5006184)</t>
  </si>
  <si>
    <t>Under Investigation (Punjab)
 Muzaffargarh</t>
  </si>
  <si>
    <t>4350-P</t>
  </si>
  <si>
    <t>Zulfiqar Ali Khan s/o Ghulam Akbar Khan</t>
  </si>
  <si>
    <t>Fida Hussain Khan, r/o Moza Jahmat, Tehsil &amp; District Bakhar. (Mobile No. 0342-2828512 &amp; 0300-7784568)</t>
  </si>
  <si>
    <t>Traced Person, Mr. Muhammad Faisal, SSP(Inv) Rawalpindi has submitted written report, according to which, Fida Hussain (Complainant/Brother) was contacted who informed that Zulfiqar Ali Khan has reached home safely and due to COVID-19 lock-down situation and his sickness, he could not appear before the Commission. In-this connection statement of IO/SI Abdul Ghaffar who appeared before the Commission, has been recorded on oath.</t>
  </si>
  <si>
    <t>4351-P</t>
  </si>
  <si>
    <t>Mureed Abbas Yazdani s/o Fateh Sher Khan</t>
  </si>
  <si>
    <t>Fateh Sher Khan, r/o Jinnah Colony, 34/IDA, Tehsil &amp; District Bakhar. (Mobile No. 0345-7653675)</t>
  </si>
  <si>
    <t>Traced Person. Mureed Abbas Yazdani appeared before the Commission on 20.1.2021 at Lahore. In his statement he deposed that he was abducted by unknown persons on 7.12.2016. He was set free on 2.3.2020 at Islamabad from where he returned home.</t>
  </si>
  <si>
    <t>4352-P</t>
  </si>
  <si>
    <t>Muhammad Umar Farooq s/o Muhammad Khan</t>
  </si>
  <si>
    <t>Muhammad Khan, r/o House No. 62-A, Street No. 06, Dhok Mistaria, Tench Bhatta, Rawalpindi. (Mobile No. 0347-9792965 &amp; 0300-9796753)</t>
  </si>
  <si>
    <t>Traced Person. Complainant Muhammad Khan father of Muhammad Umer Farooq is present whose statement has been recorded on oath. Muhammad Umer Farooq returned home two days prior to the holy month of Ramdan. He further deposed that his son did not identify those persons.</t>
  </si>
  <si>
    <t>4353-S</t>
  </si>
  <si>
    <t>Saad Ahmed Shamsi</t>
  </si>
  <si>
    <t>Owais Ahmed Shamsi, r/o 143/B-ii, Khayban-e-Bahria, Phase - VII, DHA, Karachi. (Mobile No. 0336-3083866)</t>
  </si>
  <si>
    <t>Traced Person. It was informed at the hearing held in this Commission on 05/11/2018 that Saad Ahmed had returned to home. The report submitted by the Police Officer is placed on record.</t>
  </si>
  <si>
    <t>4354-S</t>
  </si>
  <si>
    <t>Syed Noman s/o Syed Subhan</t>
  </si>
  <si>
    <t>Syed Muhamd Zeeshan, r/o F-51/1, Martan Quarter, Jamsheed Road, Karachi. (Mobile No. 0300-2257740)</t>
  </si>
  <si>
    <t>Traced Person. It was informed at the hearing held in this Commission on 11.08.2021 that Syed Muhammad Noman has returned home. Syed Muhammad Zeeshan brother of Missing Person also appeared before the Commission and confirmed the reported position. SDPO, Gulshan-e-Iqbal, Karachi submitted identical report. The case is closed.</t>
  </si>
  <si>
    <t>4355-S</t>
  </si>
  <si>
    <t>Muhammad Yameen s/o Ganchi Muhammad Yaqoob</t>
  </si>
  <si>
    <t>Muhammad Mobin, r/o Survey No. 21, House No. 35/4, Sulman Farsi Society, Malir Halt, Karachi. (Mobile No. 0314-2100163)</t>
  </si>
  <si>
    <t>Traced Person. It was informed at the hearing held in this Commission on 01.09.2021 that Muhammad Yameen is involved in Criminal Case vide FIR No. 159/17 dated 30.07.2017 u/s 302/34 PS Korangi, Karachi and confined in Central Jail Karachi. Muhammad Mubeen brother confirmed that he met his brother twice in Jail. Hence, no further action is required. The case is closed.</t>
  </si>
  <si>
    <t>4356-S</t>
  </si>
  <si>
    <t>Fazal Wahid s/o Abdul Qayyum</t>
  </si>
  <si>
    <t>Mst. Adalat Bibi, r/o Kala Kilay, District Swat. (Mobile No. 0342-9665196)</t>
  </si>
  <si>
    <t>Traced Person. It was informed at the hearing held in this Commission on 11.08.2021 that Fazal Wahid is confined in Internment Centre Paitham, District Swat in terms of Action (in aid of Civil) regulations, 2011. Family members have already seen him in the Internment Centre.</t>
  </si>
  <si>
    <t>4357-F</t>
  </si>
  <si>
    <t>Najeeb Ullah s/o Abdul Hakeem</t>
  </si>
  <si>
    <t>Abdul Hakeem, r/o Shaney Ghundi, Badi Karona. (Mobile No. 0302-2402476)</t>
  </si>
  <si>
    <t>Traced Person. Abdul Hakeem father of missing person appeared before the Commission at the hearing held on 4.11.2019, whose statement has been recorded on oath. He has deposed that Najeeb Ullah his son has returned to home about eight months ago and proceeded to Saudi Arabia four months ago for earning livelihood.</t>
  </si>
  <si>
    <t>4358-K</t>
  </si>
  <si>
    <t>Aziz Ullah s/o Mir Alam Khan</t>
  </si>
  <si>
    <t>Mst .Taj Mahal, r/o Mohallah Shahi Bagh, Dehri Baba, Tehsil Kabal, District Swat. (Mobile No. 0343-5717291)</t>
  </si>
  <si>
    <t>FIR No. 475, Dated 2.11.17, U/S 365 PPC, P.S Kanju, Swat.</t>
  </si>
  <si>
    <t>4359-K</t>
  </si>
  <si>
    <t>Abdul Ghaffor s/o Shah Muhammad Khan</t>
  </si>
  <si>
    <t>Shah Muhammad Khan, r/o Inayat Kiley, Tehsil Mehmand, District Bajur Agency. (Mobile No. 0300-2865117)</t>
  </si>
  <si>
    <t>4360-K</t>
  </si>
  <si>
    <t>Yasir Ali s/o Abdul Ghaffar</t>
  </si>
  <si>
    <t>Ghaffar Ali, r/o Ibrahim Zai, District Charsadda. (Mobile No. 0314-9952923)</t>
  </si>
  <si>
    <t>Traced Person. At the hearing held on 12/07/2018. Yasir Ali made appearance before the Commission. He remained in detention for 10 months and returned to home on 22/06/2018. Yasir Ali however, did not furnish further details regarding place of detention and persons involve in his disappearance.</t>
  </si>
  <si>
    <t>4361-S</t>
  </si>
  <si>
    <t>Barkat Ali s/o Bakhat Zarin</t>
  </si>
  <si>
    <t>Mst. Maryam Gul, r/o Mohallah Cheal, Rahimabad, Babu Zai, Swat. (Mobile No. 0348-9087298)</t>
  </si>
  <si>
    <t>Traced Person. Rep of MI informed at the hearing on 06/11/2017 that Barkat Ali is confined in the Internment Center, Paithom under Action (in aid of Civil) Regulation 2011. Family Members have been allowed to meet him.</t>
  </si>
  <si>
    <t>4362-K</t>
  </si>
  <si>
    <t>Zafar Ullah s/o Muhabat Khan</t>
  </si>
  <si>
    <t>Mst. Tasleem Bibi, r/o Qambar, Tehsil &amp; district Swat. (Mobile No. 0344-9674424)</t>
  </si>
  <si>
    <t>4363-K</t>
  </si>
  <si>
    <t>Ehsan Ullah s/o Muhabat Khan</t>
  </si>
  <si>
    <t>4364-K</t>
  </si>
  <si>
    <t>Syed Mujtaba Hussain s/o Syed Abdul Razzaq</t>
  </si>
  <si>
    <t>Mst. Gul Rehmat, r/o Asharay Matta, Swat. (Mobile No. 0346-2772725 &amp; 0345-9527526)</t>
  </si>
  <si>
    <t>4365-K</t>
  </si>
  <si>
    <t>Mian Jamal Shah s/o Muhammad Kamal</t>
  </si>
  <si>
    <t>Muhammad Kamal, r/o Maskho Mai, Khoza Khela, Swat. (Mobile No. 0346-9460525)</t>
  </si>
  <si>
    <t>4366-S</t>
  </si>
  <si>
    <t>Haider Ali s/o Ali Haider</t>
  </si>
  <si>
    <t>Mst. Sharafat, r/o Bara Bandi, Tehsil Kabal District Swat. (Mobile No. 0348-4663492 &amp; 0340-6221170 &amp; 0343-7924348 &amp; 0343-3097839)</t>
  </si>
  <si>
    <t>15602-6649673-3</t>
  </si>
  <si>
    <t>Deleted. It has been reported of the Intelligence Agency that Haider Ali was affiliated with Tehreek-eTaliban and remained involved in all types of terrorist activities that he have escaped to Afghanistan along with other militants. Accordingly, the case is closed.</t>
  </si>
  <si>
    <t>4367-K</t>
  </si>
  <si>
    <t>Yousaf Khan s/o Bakhat Zarin</t>
  </si>
  <si>
    <t>Mst. Bano, r/o Mohallah Dolat Khel, Rahim Abad, Tehsil &amp; District Swat. (Mobile No. 0342-9608635 &amp; 0348-9087298)</t>
  </si>
  <si>
    <t>Traced Person. Yousaf Khan has been traced. According to report received from Rep of MI at the hearing on 03/01/2019, Yousaf Khan has is presently confined in Internment Center Fizaghat.</t>
  </si>
  <si>
    <t>4368-K</t>
  </si>
  <si>
    <t>Saddam Hussain s/o Akbar Khan</t>
  </si>
  <si>
    <t>Akbar Khan, r/o Barkot, District Swat. (Mobile No. 0304-9567832)</t>
  </si>
  <si>
    <t>4369-P</t>
  </si>
  <si>
    <t>Rai Shoaib Hayat s/o Muhammad Hayat Khan</t>
  </si>
  <si>
    <t>Muhammad Hayat Khan, r/o Chak No. 625, Jagatan, Tehsil Jaranawala, District Faisalabad. (Mobile No. 0301-4715100)</t>
  </si>
  <si>
    <t>4370-K</t>
  </si>
  <si>
    <t>Wahid Gul s/o Ziryat Gul</t>
  </si>
  <si>
    <t>Mst. Mehnaz Bibi, r/o Tekhal Bala, Peshawar. (Mobile No. 0333-9114501 &amp; 0333-9254805)</t>
  </si>
  <si>
    <t>4371-K</t>
  </si>
  <si>
    <t>Awal Khan s/o Khaista Khan</t>
  </si>
  <si>
    <t>Umar Khan, r/o Jarma, Mela, Khyber Colony, Kohat. (Mobile No. 0336-9023089)</t>
  </si>
  <si>
    <t>21604-6873579-9</t>
  </si>
  <si>
    <t>4372-K</t>
  </si>
  <si>
    <t>Amjad Ali Shah s/o Muhammad Ali Jan</t>
  </si>
  <si>
    <t>Irshad Ali, r/o Village Dadra, Tehsil Kabal, District Swat. (Mobile No. 0348-9638229)</t>
  </si>
  <si>
    <t>15602-0526152-9</t>
  </si>
  <si>
    <t>4373-K</t>
  </si>
  <si>
    <t>Fazal Rabi s/o Abu Bashar</t>
  </si>
  <si>
    <t>Mst. Zakia, r/o Mohallah Dher Kai, Kuza Bandi, District Swat. (Mobile No. 0347-3147211 &amp; 0333-9481150)</t>
  </si>
  <si>
    <t>Traced Person. Rep of MI submitted that the Missing Person Fazal Rabi is Confined in Internment Center, Lakki Marwat under Action (in aid of Civil Power) Regulation 2011. Family Members have been allowed to meet him.</t>
  </si>
  <si>
    <t>4374-GB</t>
  </si>
  <si>
    <t>Khurram Shehzad Aakash s/o Liaquat Ali</t>
  </si>
  <si>
    <t>Rizwan Ali Haider r/o Agha Mohallah, Abu Qasim Link Road, Mujeny Mohalla, Gilgit. (Mobile No. 0342-5225550).</t>
  </si>
  <si>
    <t>FIR No. 10/2017 u/s 365 PPC PS Seak District Skardu</t>
  </si>
  <si>
    <t>4375-F</t>
  </si>
  <si>
    <t>Sher Muhammad s/o Banaras Khan</t>
  </si>
  <si>
    <t>Shah Ghulab, r/o Mal Mandi, Bajgi Road, Peshawar. (Mobile No. 0307-0525840 &amp; 0332-9238121)</t>
  </si>
  <si>
    <t>4376-F</t>
  </si>
  <si>
    <t>Hussain Shah s/o Arman Shah</t>
  </si>
  <si>
    <t>Muhammad Rasool, r/o Mohallah Khyber, Tehsil Lower Kurram, District Kurram Agency. (Mobile No. 0332-9000960 &amp; 0300-90011114)</t>
  </si>
  <si>
    <t>Traced Person. It was informed at the hearing on 07/05/2018 that Hussain Shah was confined in Parachinar Jail.</t>
  </si>
  <si>
    <t>4377-S</t>
  </si>
  <si>
    <t>Abdul Samad s/o Abdul Hameed</t>
  </si>
  <si>
    <t>Abdul Samad, r/o House No. B- 209, Sector D/31-PNT Society, Korangi, Karachi. (Mobile No. 0334-3866930)</t>
  </si>
  <si>
    <t>Traced Person. I.O, submitted that Missing Person Abdul Samad has Returned to Home and available at House No. B- 209, Sector D/31-PNT Society, Korangi, Karachi.</t>
  </si>
  <si>
    <t>4378-P</t>
  </si>
  <si>
    <t>Muhammad Hamza Iqbal s/o Muhammad Iqbal</t>
  </si>
  <si>
    <t>Raqia Bano, r/o House No. 85, Ghana Mohallah, Sajad Colony, Clun Chowk, Lahore. (Mobile No. 0303-4173590)</t>
  </si>
  <si>
    <t>Traced Person. Rep of Intelligence Bureau submitted report of the hearing on 21.3.2018 that Muhammad Hamza Iqbal has returned to home.</t>
  </si>
  <si>
    <t>4379-K</t>
  </si>
  <si>
    <t>Mustafa s/o Chopan</t>
  </si>
  <si>
    <t>Chopan, r/o Shah Shoping Center, Shop No. 04, Firdos, Peshawar. (Mobile No. 0300-5991802)</t>
  </si>
  <si>
    <t>Deleted. There are concurrent- findings in this case and PTF that Missing Person has gone on his own. All stakeholders have denied arrest/ custody of Mustafa is no evidence to infer that the case fall within the domain of enforced disappearance. Hence the case is closed.</t>
  </si>
  <si>
    <t>4380-P</t>
  </si>
  <si>
    <t>Shahenshah s/o Remwol</t>
  </si>
  <si>
    <t>Aziz Ullah Khan, r/o Dahzai, Sheri Kur, Yak Ghunda, District Mohmand Agency. (Mobile No. 0300-5346367)</t>
  </si>
  <si>
    <t>Traced Person. Complainant Aziz Ullah Khan b/o Shahenshah has appeared whose statement has been recorded on oath. According to him his brother Shahenshah is detained in the Internment Center Lakki Marwat. He also deposed that he met with his brother during the month of Ramzan.</t>
  </si>
  <si>
    <t>4381-K</t>
  </si>
  <si>
    <t>Abudullah s/o Nawab Sher</t>
  </si>
  <si>
    <t>Syed Jamal, r/o Lala Zar Colony, University Campus, Peshawar. (Mobile No. 0346-9081957 &amp; 0314-5765459)</t>
  </si>
  <si>
    <t>FIR No. 419/18 dated 29/10/2014 u/s PPC, PS Hayatabad, Peshawar</t>
  </si>
  <si>
    <t>4382-S</t>
  </si>
  <si>
    <t>Abdul Ghafoor s/o Haji Peral Khan</t>
  </si>
  <si>
    <t>Haji Peral Khan, r/o District Dado, Sindh. (Mobile No 0307-3279036)</t>
  </si>
  <si>
    <t>4383-K</t>
  </si>
  <si>
    <t>Ameer Jamal s/o Abdul Kamal</t>
  </si>
  <si>
    <t>Mst. Rokhana, r/o Darsh Khela, District Swat. (Mobile No. 0343-3203831 &amp; 0342-3337997)</t>
  </si>
  <si>
    <t>Traced Person. It has been intimidated at the hearing on 24/10/2018 that Ameer Jamal has been traced and presently he is confined in Internment Center Paithom. IO of the case is present. He has been apprised of the status of the case.</t>
  </si>
  <si>
    <t>4384-P</t>
  </si>
  <si>
    <t>Muhammad Arshad s/o Muhammad Siddique</t>
  </si>
  <si>
    <t>Mst. Amara Naseem, r/o House No. 09, Street No. 18, DHA Phase No. 01, Islamabad. (Mobile No. 0335-5316980)</t>
  </si>
  <si>
    <t>Traced Person. At the hearing held on 27-06-2018 Muhammad Arshad was present. He submitted that he had returned to home on 12-05-2018. He further submitted that he was abducted in a Prado Vehicle and his face was ruffled by the abductors, however he could not furnish further details regarding place of detention and the persons involved on his disappearance.</t>
  </si>
  <si>
    <t>4385-K</t>
  </si>
  <si>
    <t>Habib Ullah s/o Ghulam Aahdan</t>
  </si>
  <si>
    <t>Mst. Amina Bibi, r/o Tehsil Babu Zai, District Swat. (Mobile No. 0302-8536217 &amp; 0344-9140408)</t>
  </si>
  <si>
    <t>Traced Person. Rep of MI submitted that Habib Ullah is Confined in Internment Center, Paitham under Action (in aid of Civil Power) Regulation 2011. Family Members have been allowed to meet him.</t>
  </si>
  <si>
    <t>4386-K</t>
  </si>
  <si>
    <t>Muhammad Asif s/o Muhammad Ibrahim</t>
  </si>
  <si>
    <t>Mst. Shahida Begum, r/o House No. 06, Street No. D-6, Police Housing Colony, Nasir Bagh Road, Peshawar.</t>
  </si>
  <si>
    <t>Traced Person. SP (Inv) Peshawar, submitted report that Missing Person has Returned to Home and available at his House No. 06, Street No. D-6, Police Housing Colony, Nasir Bagh Road, Peshawar.</t>
  </si>
  <si>
    <t>4387-K</t>
  </si>
  <si>
    <t>Abdul Faheem s/o Muhammad Afzal</t>
  </si>
  <si>
    <t>Muhammad Saeed, r//o Accounts Officer, Bannu Medical College, Bannu. (Mobile No. 0313-9167818 &amp; 0333-9746622)</t>
  </si>
  <si>
    <t>Traced Person. I.O. Circle Officer (Inv), Bannu submitted report that Missing Person has Returned to Home and available at his house in Jani Khel, District Bannu.</t>
  </si>
  <si>
    <t>4388-K</t>
  </si>
  <si>
    <t>Abdul Rasheed s/o Muhammad Afzal</t>
  </si>
  <si>
    <t>4389-I</t>
  </si>
  <si>
    <t>Abid Hussain s/o Muhammad Bakhsh</t>
  </si>
  <si>
    <t>Muhammad Afzal, r/o Sadat Town, Jhang Mor, Satara Mile, Tehisl &amp; District Islamabad. (Mobile No. 0343-2725953)</t>
  </si>
  <si>
    <t>FIR No. 438 dated 22/11/2017 u/s 365-PPC PS Koral, ICT</t>
  </si>
  <si>
    <t>Traced Person. Sarfaraz Ahmed SI/IO of PS Koral has submitted report dated 2.7.2019 which is duly attested by DSP Nelore Islamabad. According to this report Abid Hussain has returned home. Sarfaraz Ahmed further submitted that he has talked to brother of Abid Hussain telephonically who told him that Abid Hussain has returned home.</t>
  </si>
  <si>
    <t>4390-P</t>
  </si>
  <si>
    <t>Hassan Nawaz Afzal s/o Muhammad Afzal</t>
  </si>
  <si>
    <t>Muhammad Afzal, r/o Mohallah Ahmed Pura, Sheikh Ansar Street. District Sheikhupura. (Mobile No. 0306-1409861)</t>
  </si>
  <si>
    <t>FIR No 492/17
 dt: 19/10/2017 365-A
 P.S.City Mureed Key District Sheikhupura</t>
  </si>
  <si>
    <t>Traced Person. Returned to Home and available at Mohallah Ahmed Pura, Sheikh Ansar Street. District Sheikhupura.</t>
  </si>
  <si>
    <t>4391-K</t>
  </si>
  <si>
    <t>Faiz Muhammad s/o Muhammad Khan</t>
  </si>
  <si>
    <t>Muhammad Khan, r/o Dolat Zardari, Tehsil &amp; District Bannu. (Mobile No. 0335-1976627)</t>
  </si>
  <si>
    <t>Traced Person.I.O, submitted report that Missing Person has Returned to Home and available at his house in Dolat Zardari, Tehsil &amp; District Bannu.</t>
  </si>
  <si>
    <t>4392-P</t>
  </si>
  <si>
    <t>Atif Hussain s/o Allah Dita</t>
  </si>
  <si>
    <t>Allah Dita, r/o Bhor Hayal, Tehsil Kahuta, District Rawalpindi. (Mobile No. 0300-5188112)</t>
  </si>
  <si>
    <t>Traced Person. Involved in FIR No. 8/18 dated 07/02/2018 u/s 13/4, 2c/20/65 Arms Ordinance . Allah Dita, father of Atif Hussain confirmed at hearing on 15/03/2018 that he had met his son in the Jail.</t>
  </si>
  <si>
    <t>4393-I</t>
  </si>
  <si>
    <t>Ashraf Shehzad s/o Chaudary Sahi Muhammad</t>
  </si>
  <si>
    <t>Mst. Maria Hadyat, r/o House No. 351, Street No. 18, Sector No I/10-2, Islamabad. (Mobile No. 0315-7146685)</t>
  </si>
  <si>
    <t>Traced Person. SP (Inv), ICT submitted that the Missing Person Ashraf Shehzadl is Confined in District Central Jail, Peshawar. Family Members have been allowed to meet him.</t>
  </si>
  <si>
    <t>4394-K</t>
  </si>
  <si>
    <t>Saif Ullah s/o Guli Jan</t>
  </si>
  <si>
    <t>Sardar Khan, r/o Faqqeer Kor, Kanra, Tehsil Pandali, District Mohmand Agency. (Mobile No. 0302-8198411)</t>
  </si>
  <si>
    <t>4395-K</t>
  </si>
  <si>
    <t>Anwar-ul-Haq s/o Shah Zaman</t>
  </si>
  <si>
    <t>Mst. Rozena, r/o Shamozai, Tehsil Barkot, District Swat. (Mobile No. 0344-9651613)</t>
  </si>
  <si>
    <t>4396-K</t>
  </si>
  <si>
    <t>Muhammad Yousaf Khan s/o Galjay Khan</t>
  </si>
  <si>
    <t>Abaseen, r/o P.O Sada, Tehsil Lower Kurram, District Kurram Agency. (Mobile No. 0335-3443322 &amp; 0307-7163064)</t>
  </si>
  <si>
    <t>4397-F</t>
  </si>
  <si>
    <t>Ameer Hussain s/o Dilharam</t>
  </si>
  <si>
    <t>Hazrat Shan, r/o Village Chaneray Safi, Tehsil &amp; District Mohmand Agency. Mobile No. 0333-5373631 &amp; 0301-5533123)</t>
  </si>
  <si>
    <t>4398-F</t>
  </si>
  <si>
    <t>Khalid Khan s/o Mastan Khan</t>
  </si>
  <si>
    <t>Hizar Shan, r/o Village Chaneray Safi, Tehsil &amp; District Mohmand Agency. (Mobile No. 0301-5533123)</t>
  </si>
  <si>
    <t>Traced Person. It is informed that Khalid Khan is presently confined in the internment Center Ghalanai. It may not be out of place to mentioned here that as a result of trail he was awarded 14 years Rigorous Imprisonment by the court of competent jurisdiction.</t>
  </si>
  <si>
    <t>4399-F</t>
  </si>
  <si>
    <t>Mastan Khan s/o Munir Khan</t>
  </si>
  <si>
    <t>Hizar Shan, r/o Village Chaneray Safi, Tehsil &amp; District Mohmand Agency. (Mobile No. 0333-5373631 &amp; 0301-5533123)</t>
  </si>
  <si>
    <t>4400-K</t>
  </si>
  <si>
    <t>Shahzad Jan s/o Abdul Ghaffar</t>
  </si>
  <si>
    <t>Abdul Ghaffar, r/o Station Bagh, Korrona, Charsadda. (Mobile No. 0348-0222277 &amp; 0333-5794710)</t>
  </si>
  <si>
    <t>FIR No. 1130 dated 14/12/2017 u/s 365-PPC PS City District Charsadda</t>
  </si>
  <si>
    <t>Traced Person. Shahzad Jan has been traced. Father of missing person namely Abdul Ghaffar is present. His statement has been recorded on oath. He has deposed that his son was abducted in 08.5.2017 by unknown persons and was kept in detention in some unknown place.</t>
  </si>
  <si>
    <t>4401-I</t>
  </si>
  <si>
    <t>Ikram-ud-Din s/o Kushal</t>
  </si>
  <si>
    <t>Liaqat Ali Khan, r/o Mohallah Shahpur, Bahara Kahu, Village Phulgaram, Islamabad.</t>
  </si>
  <si>
    <t>FIR No. 362 dated 30/10/2016 u/s 365-PPC PS Bara Kahu, ICT</t>
  </si>
  <si>
    <t>Supreme Court Case</t>
  </si>
  <si>
    <t>4402-I 3167-I</t>
  </si>
  <si>
    <t>Maulana Abdul Qayyum Mughal s/o Muhammad Yousaf</t>
  </si>
  <si>
    <t>Mst. Farhat Naz, Chak No. 109, Tehsil Jarrnwala, District Faisalabad.(Mobile No. 0333-5418180)</t>
  </si>
  <si>
    <t>61101-1955360-7
 Re-Open</t>
  </si>
  <si>
    <t>4403-P</t>
  </si>
  <si>
    <t>Habib-ur-Rehman s/o Raja Muhammad Akram</t>
  </si>
  <si>
    <t>Raja Muhammad Akram, Head Sultani, Tehsil Jhand, District Attock. (Mobile No. 0345-4398467)</t>
  </si>
  <si>
    <t>Traced Person. DPO, Attock submitted that as a result of registration of criminal case against Habib-ur-Rehman by means of FIR No. 03, dated 01/02/2018 u/s 4/5 ESA, r/w 7ATA, PS/CTD, District Faisalabad, he is presently confined in Judicial Lock-up of Faisalabad.</t>
  </si>
  <si>
    <t>4404-K</t>
  </si>
  <si>
    <t>Muhammad Shakeel s/o Ajab Khan</t>
  </si>
  <si>
    <t>Mst. Aziz-un-Nisa, r/o Umar Khana, Tehsil Ghazi District Haripur.(Mobile No. 0302- 5471589 &amp; 0313-0902302 &amp; 0308-8983290)</t>
  </si>
  <si>
    <t>4405-P</t>
  </si>
  <si>
    <t>Qasim s/o Shah Muhammad</t>
  </si>
  <si>
    <t>Shah Muhammad, r/o Rujhan, District Rajanpur.</t>
  </si>
  <si>
    <t>Traced Person. DSP (Inv) informed at the hearing on 19/04/2018 that Muhammad Qasim was arrested in case FIR No. 18/12018 u/s 6/9-CNS PS Korangi. Later he was released in bail.</t>
  </si>
  <si>
    <t>Rajanpur</t>
  </si>
  <si>
    <t>4406-P</t>
  </si>
  <si>
    <t>Hamza s/o Shah Muhammad</t>
  </si>
  <si>
    <t>Traced Person. DPO, Rajanpur, submitted report that Missing Person Hamza has Returned to Home and available at his house in Rujhan, District Rajanpur.</t>
  </si>
  <si>
    <t>4407-P</t>
  </si>
  <si>
    <t>Yaqoob s/o Muhammad Yousaf</t>
  </si>
  <si>
    <t>Mst. Mehr Khatoon, r/o Basti Abdullah, Rujhan, District Rajanpur. (Mobile No. 0333-7360814)</t>
  </si>
  <si>
    <t>Traced Person. Muhammad Yaqoob has appeared in person whose statement has been recorded. According to him he was picked up and taken away blindfolded on 21.8.2017 by some unknown persons who were in civvies. He has further submitted that he was kept in Sindh and subsequently set free on 6.5.2019.</t>
  </si>
  <si>
    <t>4408-P</t>
  </si>
  <si>
    <t>Muhammad Yousaf s/o Said Khan</t>
  </si>
  <si>
    <t>Mst. Mehr Khatoon, r/o Basti Abdullah, Rujhan, District Rajanpur.</t>
  </si>
  <si>
    <t>Traced Person. DPO, Rajanpur, submitted report that Missing Person Muhammad Yousaf has Returned to Home and available at his house in Rujhan, District Rajanpur.</t>
  </si>
  <si>
    <t>4409-P</t>
  </si>
  <si>
    <t>Haroon s/o Niaz Muhammad</t>
  </si>
  <si>
    <t>Niaz Muhammad, r/o Basti Abdullah, Rujhan, District Rajanpur.</t>
  </si>
  <si>
    <t>Traced Person. DPO, Rajanpur, submitted report that Missing Person Haroon has Returned to Home and available at his house in Rujhan, District Rajanpur.</t>
  </si>
  <si>
    <t>4410-P</t>
  </si>
  <si>
    <t>Saif Ullah s/o Riaz Ahmed</t>
  </si>
  <si>
    <t>Riaz Ahmed, r/o Basti Abdullah, Rujhan, District Rajanpur.</t>
  </si>
  <si>
    <t>Traced Person. Saif Ullah Khan, SP (Inv), Rajanpur, submitted report that Missing Person has Returned to Home and available at his house in Basti Abdullah, Rujhan, District Rajanpur.</t>
  </si>
  <si>
    <t>4411-P</t>
  </si>
  <si>
    <t>Imran s/o Poha</t>
  </si>
  <si>
    <t>Mst. Shareefan Mai, r/o Basti Abdullah, Rujhan, District Rajanpur.</t>
  </si>
  <si>
    <t>Traced Person. DPO, Rajanpur, submitted report that Missing Person Imran has Returned to Home and available at his house in Basti Abdullah, Rujhan, District Rajanpur.</t>
  </si>
  <si>
    <t>4412-S</t>
  </si>
  <si>
    <t>Raza Jarwar s/o Ghulam Raza</t>
  </si>
  <si>
    <t>Ghulam Raza, r/o Vullage Muhammad Hashmi Jani, Taulka Mayli, District Badin.</t>
  </si>
  <si>
    <t>4413-K</t>
  </si>
  <si>
    <t>Muhammad Khan s/o Muhammad Hashim</t>
  </si>
  <si>
    <t>Maaz Ali, r/o Union Zcouncil Tota Bandi, Mohallah Sirjani, Tehsil Kabal, District Swat. (Mobile No. 0347-9313613)</t>
  </si>
  <si>
    <t>4414-K</t>
  </si>
  <si>
    <t>Muhammad Yahya Khan s/o Asmat Ullah</t>
  </si>
  <si>
    <t>Asghar Ali, r/o Mohallah Toheedabad, Village Shewa, Tehsil Raz, District Swabi. (Mobile No. 0344-9463410)</t>
  </si>
  <si>
    <t>Deleted. After investigation and receipt of reports from JIT/PTF concluding that Muhammad Yahya Khan had gone on his own and keeping in view the statement of Asghar Ali (Brother) that no allegation has been leveled against any of the LEAs, the case not found to be a case of enforced disappearance. Hence closed.</t>
  </si>
  <si>
    <t>4415-K</t>
  </si>
  <si>
    <t>Muhammad Tahir s/o Banaras Khan</t>
  </si>
  <si>
    <t>Ijaz Ahmed, r/o Village Bacha Ghulam, Mohallah Abu Obaida Colony, Tehsil &amp; District Peshawar. (Mobile No. 0313-9793833)</t>
  </si>
  <si>
    <t>4416-K</t>
  </si>
  <si>
    <t>Gulzar Ali s/o Chariag Din</t>
  </si>
  <si>
    <t>Wazir Ahmed, r/o Jagan Nath, Tehsil Chota Lahore, District Swabi. (Mobile No. 0313-1919787)</t>
  </si>
  <si>
    <t>Traced Person. Gulzar Ali appeared before the commission on 27/03/2018. He has returned to home.</t>
  </si>
  <si>
    <t>4417-K</t>
  </si>
  <si>
    <t>Mushtaq Ahmed s/o Sher Muhammad</t>
  </si>
  <si>
    <t>Ashfaq Ahmed, r/o Mohallah Sher Abad, Koza Bandi, Tehsil Kabal, District Swaqt. (Mobile No. 0346-7340021 &amp; 0342-9532202)</t>
  </si>
  <si>
    <t>FIR No. 513, Dated 28.10.17, U/S 365 PPC, P.S Kanju, Swat.</t>
  </si>
  <si>
    <t>4418-I</t>
  </si>
  <si>
    <t>Zahir Ullah s/o Anwar Jan</t>
  </si>
  <si>
    <t>Anwar Jan, r/o Sharif Abad, Tehsil &amp; District Swat. (Mobile No. 0311-5239251 &amp; 0306-0327484)</t>
  </si>
  <si>
    <t>FIR No. 440 dated 22/11/2017 u/s 365-PPC PS Koral, ICT</t>
  </si>
  <si>
    <t>Traced Person. Zahir Ullah has been traced. He entered appearance before the Commission and submitted that he went to Karachi on his own and he was not abducted by anybody. However his is no more missing person, his name is accordingly deleted from the list of Enforced Disappeared Persons.</t>
  </si>
  <si>
    <t>4419-P</t>
  </si>
  <si>
    <t>Ehsan Ashfaq s/o Muhammad Ashfaq Khalid</t>
  </si>
  <si>
    <t>Khurram Ashfaq, r/o Mohallah Khursheed Shah, Gudu Wala Road, Bakhar. (Mobile No. 0333-3401234)</t>
  </si>
  <si>
    <t>Traced Person. Ahasn Ashafaq has been traced. He has returned home. Husnain Ashfaq who is real brother of Ahasn Ashfaq entered appearance before the Commission on 20.1.2021 at Lahore, whose statement has been recorded on oath, in which he deposed that Ahsan Ashfaq was not abducted by anybody. He went missing on his own will and returned home on 2.3.2020. Hence, the case is closed.</t>
  </si>
  <si>
    <t>4420-P</t>
  </si>
  <si>
    <t>Muhammad Tanzeel-ul-Rehman s/o Zafar Iqbal</t>
  </si>
  <si>
    <t>Noor Hussain, r/o, Jamia Ubaidia, Allama Iqbal Colony, I- Block, Faisalabad. (Mobile No. 0312-5438383)</t>
  </si>
  <si>
    <t>Traced Person. Muhammad Tanzeel-ur-Rehman has appeared whose statement has been recorded on oath. According to him, he was picked up and taken away on 20/9/2017 by some unknown persons from Jamia Ubaidia, Faisalabad. He also submitted that he was suspected and interrogated but nothing was established against him, and was released on 14/6/2019.</t>
  </si>
  <si>
    <t>4421-P</t>
  </si>
  <si>
    <t>Ghazan Khan s/o Nadir Khan</t>
  </si>
  <si>
    <t>Rehamdad Khan, r/o Anzari Mehgan, Tehsil {indial, District Mohmand Agency. (Mobile No. 0306-9247012)</t>
  </si>
  <si>
    <t>Traced Person. CPO, Rawalpindi submitted report that Ghazan Khan has returned to home. Appeared before the Commission on 15.2.18.</t>
  </si>
  <si>
    <t>4422-P</t>
  </si>
  <si>
    <t>Habib-ur-Raheem s/o Toor Khan</t>
  </si>
  <si>
    <t>Mst. Nash Bibi, r/o Street No. 10, Naseerabad, Rawalpindi. (Mobile No. 0304-5709212 &amp; 0346-4676715)</t>
  </si>
  <si>
    <t>Traced Person. Habib-ur-Rehman has returned to home. Qadeem Shah son of the missing person appeared on 21/01/2019. His statement has been recorded by the Commission on oath in which he affirmed that his father has returned home.</t>
  </si>
  <si>
    <t>4423-P</t>
  </si>
  <si>
    <t>Abdul Qadoos Chishti s/o Abdul Ghani Chishti</t>
  </si>
  <si>
    <t>Khalid Mehmood, r/o Mohallah Balani, Near Government Girls High School, Tehsil Jampur, District Rajanpur. (Mobile No. 0306-7310259)</t>
  </si>
  <si>
    <t>Traced Person. Abdul Qadoos Chishti has been traced. He has returned to home. SHO PS City Jampur, Rajanpur furnished report dated 11.10.2019 that Abdul Qadoos got annoyed with his wife, disappeared on his own on 6.7.2019 and later returned to home. It is also mentioned in the report that he was not abducted by anybody.</t>
  </si>
  <si>
    <t>4424-P</t>
  </si>
  <si>
    <t>Imran Mumtaz s/o Mumtaz Ahmed Khan</t>
  </si>
  <si>
    <t>Naveed Mumtaz, r/o Street No. 01, Mughal Street, Mohallah Islampur, Near Jinnah Grammer School, Jehlum. (Mobile No. 0307-4440281)</t>
  </si>
  <si>
    <t>Traced Person. I.O, submitted report that Missing Person has Returned to Home and available at his house Street No. 01, Mughal Street, Mohallah Islampur, Near Jinnah Grammer School, Jehlum.</t>
  </si>
  <si>
    <t>4425-K</t>
  </si>
  <si>
    <t>Muhammad Zaib Khan s/o Mohim Bacha</t>
  </si>
  <si>
    <t>Nawab Ali, r/o Sim Deolai, Tehsil Kabal, District Swat. (Mobile No. 0345-8853060)</t>
  </si>
  <si>
    <t>4426-K</t>
  </si>
  <si>
    <t>Amin-ur-Rehman s/o Obaid-ur-Rehman</t>
  </si>
  <si>
    <t>Khalid Farooq, r/o Muslim Abad, Tehsil Kabal District, Swat. Mobile No. 0345-9454647 &amp; 0333-3555272)</t>
  </si>
  <si>
    <t>Traced Person. DPO, Bannu, submitted report that Amin-ur-Rehman has Returned to Home and available at Muslim Abad, Tehsil Kabal District, Swat.</t>
  </si>
  <si>
    <t>4427-S</t>
  </si>
  <si>
    <t>Muhammad Hassan Jamal s/o Muhammad Roshan Jamal</t>
  </si>
  <si>
    <t>Syeda Yamana Hassan, r/o Gulshan-e-Mimar, Karachi.</t>
  </si>
  <si>
    <t>Traced Person. Returned to Home and available at Gulshan-e-Mimar, Karachi.</t>
  </si>
  <si>
    <t>4428-S</t>
  </si>
  <si>
    <t>Abdul Samad s/o Abdul hameed</t>
  </si>
  <si>
    <t>Abdul Hameed, r/o House No. B-209, P&amp; T Society, Sector No. 31-D, Korangi Karachi. (Mobile No. 0334-3866930)</t>
  </si>
  <si>
    <t>Traced Person. Returned to Home and available at House No. B-209, P&amp; T Society, Sector No. 31-D, Korangi Karachi.</t>
  </si>
  <si>
    <t>4429-A</t>
  </si>
  <si>
    <t>Syed Zafar-ul-Haq Shah s/o Syed Abdul Ghafoor Shah</t>
  </si>
  <si>
    <t>Syeda Shahnaz Khatoon, r/o Tehsil Dheer Kot, Village Sohawa Sharif, District Bagh, AJ&amp;K. (Mobile No. 0344-5252870)</t>
  </si>
  <si>
    <t>Traced Person. Investigation into the case indicate that dead body of Syed Zafar-ul-Haq Shah was found and later identified through DNA. Syed Osama Zafar (son) also admitted that DNA has been matched. However, investigation agencies will continue further process. In view of above no further action is required. The case is closed.</t>
  </si>
  <si>
    <t>4430-K 1085-K</t>
  </si>
  <si>
    <t>Abdul Rashid s/o Muhammad Jan</t>
  </si>
  <si>
    <t>Abdul Jamil, r/o Village Delay, Bara Bandi, Tehsil Kabal, District Swat. (Mobile No. 0300-2322821)</t>
  </si>
  <si>
    <t>FIR No. 415, Dated 16.10.12, U/S 365 PPC, P.S Kanju, Swat.</t>
  </si>
  <si>
    <t>4431-K</t>
  </si>
  <si>
    <t>Fida Muhammad s/o Gul Nawab</t>
  </si>
  <si>
    <t>Gul nawab, r/o Gul Bagh Banda, Tehsil &amp; District Mardan. (Mobile No. 0346-9304991)</t>
  </si>
  <si>
    <t>Traced Person. Rep of MI submitted that the Missing Person Fida Muhammad is Confined in Internment Center, Lakki Marwat under Action (in aid of Civil Power) Regulation 2011.</t>
  </si>
  <si>
    <t>4432-K</t>
  </si>
  <si>
    <t>Imran s/o Muhammad Ameen</t>
  </si>
  <si>
    <t>Zahir Zada s/o Muhammad Ameen (Late), r/o Jambeel, Tehsil Babu Zai, District Swat. (Mobile No. 0342-9605762)</t>
  </si>
  <si>
    <t>4433-K</t>
  </si>
  <si>
    <t>Hadyat Ullah s/o Fazal Wadood</t>
  </si>
  <si>
    <t>Fazal Wadood, Village Barthana, Tehsil Matta, District Swat. (Mobile No. 0347-9681713)</t>
  </si>
  <si>
    <t>Traced Person. It has been intimated at the hearing on 29/10/2018 that Hadyat Ullah has been traced. He is presently confined in the Internment Center Paithom. IO of the case was present who was apprised of status of the case. Family members of Hadyat Ullah shall be facilitated to see him in the Internment Center as per rules and procedures.</t>
  </si>
  <si>
    <t>4434-B</t>
  </si>
  <si>
    <t>Kaleem Ullah s/o Abdul Wahid</t>
  </si>
  <si>
    <t>Zadhir Khan, r/o Killy Jamal Abad, Noski. (Mobile No. 0344-8023236)</t>
  </si>
  <si>
    <t>Traced Person. SI/ IO, PS Noshki submitted report that Kalim Ullah has returned to home on 06/03/2019. He also produced statement of Kaleem Ullah.</t>
  </si>
  <si>
    <t>4435-B</t>
  </si>
  <si>
    <t>Amir Khan</t>
  </si>
  <si>
    <t>Haji Ghulam Nabi, r/o Hubdan Mohallah, Ward No. 06, Kharan Town, Balochistan. (Mobile No. 0334-2794491)</t>
  </si>
  <si>
    <t>Traced Person. It was informed at the hearing held in this Commission during 21-26 January, 2019 at Quetta, that alleged Missing Person Amir Khan has returned to home.</t>
  </si>
  <si>
    <t>4436-B</t>
  </si>
  <si>
    <t>Ijaz Ahmed s/o Haji Khan Muhammad</t>
  </si>
  <si>
    <t>Traced Person. Dad Muhammad brother of Ijaz Ahmed appeared before the commission on 05/04/2019 and stated that the latter who disappeared on 03/02/2017 and returned to home on 04/02/2019.He was taken away by unknown persons and kept at unknown place.</t>
  </si>
  <si>
    <t>4437-S</t>
  </si>
  <si>
    <t>Umair Khan s/o Mohsin Ali</t>
  </si>
  <si>
    <t>Mohsin Ali, r/o Sarogha, District South Waziristan Agency. (Mobile No. 0348-2213327 &amp; 0316-2255169)</t>
  </si>
  <si>
    <t>Traced Person. I.O submitted report that the Missing Person Umair Khan has Returned to Home and available at Sarogha, District South Waziristan Agency.</t>
  </si>
  <si>
    <t>4438-S</t>
  </si>
  <si>
    <t>Ibrahim s/o sher Akbar</t>
  </si>
  <si>
    <t>Sher Akbar, r/o Sarvey Dagey, Tehsil &amp; District Swat. (Mobile No. 0344-9005601)</t>
  </si>
  <si>
    <t>Deleted. All efforts were made to locate family of the disappeance person for investigating officer could not succeed. The case is closed due to incomplete address</t>
  </si>
  <si>
    <t>4439-S</t>
  </si>
  <si>
    <t>Abdul Rehman s/o Shahadat Ali Zafar</t>
  </si>
  <si>
    <t>Mst. Sana Bibi w/o Abdul Rehman , r/o, Kot Islam, Tehsil Kaberwala, District Khanewal. (Mob No. 0333-3636583, 0300-2514883)</t>
  </si>
  <si>
    <t>Traced Person. It was informed at the hearing on 31/03/2018 that Abdul Rehman was involved in Crime No. 239/17 at PS Brigade. He has been decladre Proclaimed Offender by Court of Jurisdiction.</t>
  </si>
  <si>
    <t>4440-K</t>
  </si>
  <si>
    <t>Rozat Ullah s/o Noor Nabi</t>
  </si>
  <si>
    <t>Ajnabi, r/o Hayat Abad, Phase No. 6, Street No. 07, House No.698, Peshawar. (Mobile No. 0307-5935833 &amp; 0333-5888076)</t>
  </si>
  <si>
    <t>Traced Person. Rep of MI submitted that the Missing Person Rozat Ullah is Confined in Internment Center, Lakki Marwat under Action (in aid of Civil Power) Regulation 2011.</t>
  </si>
  <si>
    <t>4441-K</t>
  </si>
  <si>
    <t>Iftikhar Ahmed s/o Nasurallah Khan Wazir</t>
  </si>
  <si>
    <t>Mst. Marghara Bibi, r/o Wazir Dhaund, Tehsil Jamrood, District Khyber Agency. (Mobile No. 0336-2200098 &amp; 0307-5944420)</t>
  </si>
  <si>
    <t>Traced Person. Iftikhar Ahmed son of Nasrullah Khan appeared before the Commission, whose statement has been recorded on oath. He has also produced a copy of statement recorded u/s 164 Cr.PC. There is nothing in his statement regarding involvement of any of the state Agency. According to him he was abducted by his uncle and his sons.</t>
  </si>
  <si>
    <t>4442-K</t>
  </si>
  <si>
    <t>Muhammad Kamran s/o Mosa Khan</t>
  </si>
  <si>
    <t>Khalid Hussain, r/o P.O Shabaqadar, Tehsil Shabaqadar, Disstrict Charsadda. (Mobile No. 0302-350001 &amp; 0315-8445599)</t>
  </si>
  <si>
    <t>FIR No. 439 dated 13/12/2017 u/s 365-PPC PS Sro Killi District Charsadda</t>
  </si>
  <si>
    <t>Traced Person. Rep of MI submitted that the Missing Person Muhammad Kamran is Confined in Internment Center, Lakki Marwat under Action (in aid of Civil Power) Regulation 2011.</t>
  </si>
  <si>
    <t>4443-K</t>
  </si>
  <si>
    <t>Kamran s/o Maaz Ullah Khan</t>
  </si>
  <si>
    <t>Shah Saud , r/o Tehsil &amp; District Shabaqadar. (Mobile No. 0302-5576761 &amp; 0313-8181659)</t>
  </si>
  <si>
    <t>4444-K</t>
  </si>
  <si>
    <t>Mir Bash Khan s/o Gul Khan</t>
  </si>
  <si>
    <t>Maqbool Khan, r/o P.O Sadda, Tehsil Central Kurram, District Kurram Agency. (Mobile No. 0302-8805205)</t>
  </si>
  <si>
    <t>Traced Person. Rep of MI submitted that the Missing Person Mir Bash Khan is Confined in Internment Center, Lakki Marwat under Action (in aid of Civil Power) Regulation 2011.</t>
  </si>
  <si>
    <t>4445-K</t>
  </si>
  <si>
    <t>Jamal Khan s/o Syed Zahid Khan</t>
  </si>
  <si>
    <t>Murad Khan, r/o Ahmed Abad, Shah Alam, Charsadda Road, Peshawar. (Mobile No. 0315-9036060 &amp; 0300-0356594)</t>
  </si>
  <si>
    <t>Deleted. Jamal Khan is an Afghan national and the complaint before the Commission was lodged by one Murad Khan who entered appearance before the Commission at Peshawar on 14.9.2019 and submitted that he was not interested to pursue the case because the entire family of Jamal Khan has gone to Afghanistan. Accordingly the case is closed.</t>
  </si>
  <si>
    <t>4446-S</t>
  </si>
  <si>
    <t>Muhammad Zafar s/o Ghulam Rasool</t>
  </si>
  <si>
    <t>Muhammad Akbar, House No. 41, Rafah-e-Aam Society, Malir Halt. (Mobile No.0313-2845050)</t>
  </si>
  <si>
    <t>Deleted Muhammad Zafar is involved in Case Fir 151/17 u/s 302 PPC and he has =been declared absconder by the learing trial Court. Muhammad Zafar, being fugutive be lahore the case is deleted.</t>
  </si>
  <si>
    <t>4447-P</t>
  </si>
  <si>
    <t>Mudassar Naseer Abbasi s/o Muhammad Naseer Abbasi</t>
  </si>
  <si>
    <t>Sohail Munir Abbasi, r/o Ojari Khurd, Kala, Islamabad. (Mobile No. 0300-9894708 &amp; 0300-5530588)</t>
  </si>
  <si>
    <t>Deleted. The Commission examined circumstances of the case in details, which indicates that the Missing Person was involved in inflict relations with a female in the Village. The JIT as well as PTF concluded that the Missing Person has gone on his own. Likewise, MI, ISI and local Police have denied his apprehension or custody. Hence does not appear to be a case of enforced disappearance. Hence the case is closed.</t>
  </si>
  <si>
    <t>4448-P</t>
  </si>
  <si>
    <t>Muhammad Riaz s/o Nabi Bakhsh</t>
  </si>
  <si>
    <t>Habib Ullah, r/o P.O Mir Pur, Tehsil &amp; District Muzaffargarh. (Mobile No. 0306-3447156)</t>
  </si>
  <si>
    <t>FIR No. 798/17 dated 23.12.2017 u/s 365-PPC PS Shah Jamal District Muzaffargarh</t>
  </si>
  <si>
    <t>4449-F</t>
  </si>
  <si>
    <t>Rasheed Khan s/o Abdul Latif</t>
  </si>
  <si>
    <t>Abudl Latif, r/o Koki Khel, Lala Chana, Tehsil Jamrood, District Khyber Agency. (Mobile No. 0346-9024463 &amp; 0302-8845262)</t>
  </si>
  <si>
    <t>Traced Person. According to the report received from IB, KP at the hearing on 26-06-2018 Rasheed Khan has returned to home. It is also affirmed by Rep of MI who was also present at the hearing.</t>
  </si>
  <si>
    <t>4450-F</t>
  </si>
  <si>
    <t>Siddique Ullah s/o Muhammad Gul</t>
  </si>
  <si>
    <t>Anwar Ullah Khan, r/o Loyal Khel, Bora Khel, Miran Shah, District North Waziristan Agency. (Mobile No. 0336-5637339 &amp; 0333-8037847)</t>
  </si>
  <si>
    <t>21506-6762523-3</t>
  </si>
  <si>
    <t>4451-K</t>
  </si>
  <si>
    <t>Said Muhammad s/o Sawal Faqeer</t>
  </si>
  <si>
    <t>Deen Muhammad, r/o Mohallah Gojarat, Machine Korana, Tehsil &amp; District Nowshera. (Mobile No. 0344-8424970)</t>
  </si>
  <si>
    <t>4452-K</t>
  </si>
  <si>
    <t>Anwar Sher s/o Shahi Rehmat</t>
  </si>
  <si>
    <t>Shahi Rehmat, r/o Shah Dehri, Tehsil Kabal, District Swat. (Mobile No. 0344-9689065 &amp; 0347-9419845)</t>
  </si>
  <si>
    <t>Traced Person. Rep of MI submitted that the Missing Person Anwar Sher is Confined in Internment Center, Lakki Marwat under Action (in aid of Civil Power) Regulation 2011.</t>
  </si>
  <si>
    <t>4453-K</t>
  </si>
  <si>
    <t>Muhammad Irshad s/o Khan Muhammad</t>
  </si>
  <si>
    <t>Muhammad Irshad, r/o Siddique Pathak, Bajur Agency. (Mobile No. 0308-8164377 &amp; 0300-5189291)</t>
  </si>
  <si>
    <t>4454-K</t>
  </si>
  <si>
    <t>Zahid Hussain s/o Muhammad Iqbal</t>
  </si>
  <si>
    <t>Muhammad Iqbal, r/o House No. 68, Street No. 28, Sector -C, Town Ship, Kanjo Swat. (Mobile No. 0344-9637583)</t>
  </si>
  <si>
    <t>4455-S</t>
  </si>
  <si>
    <t>Khyber Ali s/o Sahib Zada</t>
  </si>
  <si>
    <t>Bakht Sardara r/o Mohallah Gulshan Gazi, Baldia Town, Syedabad, Karachi Garbi. (Mobile No. 0346-2280369 &amp; 0348-9367778 &amp; 0343-9384064 &amp; 0346-9692388)</t>
  </si>
  <si>
    <t>4456-S</t>
  </si>
  <si>
    <t>Farhad Ali</t>
  </si>
  <si>
    <t>r/o Tal,, Dewoli Swat. (Mobile No. 0343-9384064 &amp; 0346-9692388)</t>
  </si>
  <si>
    <t>Traced Person. It was informed at the hearing held in this Commission on 27/03/2019 that Farhad Ali is confined in Internment Center at ICF. Family member have been allowed to meet him subject to prescribed procedure.</t>
  </si>
  <si>
    <t>4457-P</t>
  </si>
  <si>
    <t>Muhammad Mumtaz s/o Allah Dita</t>
  </si>
  <si>
    <t>Allah Dita, r/o Mohallah Masjid Al- Kausar, Tehsil Pindi Gheb, District Attock. (Mobile No. 0347-4154475 &amp; 0300-08337756)</t>
  </si>
  <si>
    <t>FIR No. 314 dated 26/10/2017 u/s 365-PPC PS Pindi Ghaib, Attock</t>
  </si>
  <si>
    <t>Traced Person. Waqar Nisar Ahmed DSP (Legal) Attock, submitted report that Muhammad Mumtaz has Returned to Home and available at his house.</t>
  </si>
  <si>
    <t>4458-K</t>
  </si>
  <si>
    <t>Naqib Ullah s/o Khalil</t>
  </si>
  <si>
    <t>Khalil, r/o New Ghari, Near Tor Badshah General Store, Bukhshi Pul, Charsadda Road, Peshawar. (Mobile No. 0340-9359137 &amp; 0346-9077799)</t>
  </si>
  <si>
    <t>4459-P</t>
  </si>
  <si>
    <t>Mufti Muhammad Ismail s/o Abdul Hameed</t>
  </si>
  <si>
    <t>Traced Person. SP (Inv), Saddar Divission, Lahore, submitted report that Mufti Muhammad Ismail has Returned to Home. He was apprehended on 10.3.2013 but released subsequently.</t>
  </si>
  <si>
    <t>4460-B</t>
  </si>
  <si>
    <t>Imtiaz Ali s/o Noor Jan</t>
  </si>
  <si>
    <t>Labaach, choko District Awaran, Balochistan</t>
  </si>
  <si>
    <t>Deleted. SHO PS Industrial Area Quetta submitted report at the hearing that no complaint was lodged and no one appeared for lodging FIR. Since neither any complainant has come forward to cooperate with the investigating agency nor complete address has been mentioned in the complaint, therefore the case is closed for want of complete particulars.</t>
  </si>
  <si>
    <t>4461-S</t>
  </si>
  <si>
    <t>Amir Punhar Masroor Ahmed s/o Ghulam Mustafa</t>
  </si>
  <si>
    <t>Azizabad Muhallah, Mondar Naka, Dadu Town, Sindh</t>
  </si>
  <si>
    <t>Traced Person. SHO, A- Section Dadu, submitted report that Missing Person Amir Punhar Masroor Ahmed has Returned to Home and available at his house in Azizabad Muhallah, Mondar Naka, Dadu Town, Sindh.</t>
  </si>
  <si>
    <t>4462-I</t>
  </si>
  <si>
    <t>Muhammad Javed s/o Muhammad Tufail</t>
  </si>
  <si>
    <t>Mujahid-ul-Islam, r/o DK-831, Dhok, Kashmirian, Rawalpindi. (Mobile No. 0333-0222602)</t>
  </si>
  <si>
    <t>Traced Person. It was informed at the hearing on 09/11/2018 that Muhammad Javed had returned to home. In this connection I.O of the case produced case dairy No. 16 dated 04/11/22018.</t>
  </si>
  <si>
    <t>4463-I</t>
  </si>
  <si>
    <t>Muhammad Umar Farooq s/o Muhammad Rafique Bhatti</t>
  </si>
  <si>
    <t>Mujahid-ul-Islam, r/o DIC-831, Dhok, Kashmirian, Rawalpindi. (Mobile No. 0333-0222602)</t>
  </si>
  <si>
    <t>Traced Person. SP (Inv), Islamabad, submitted report that Muhammad Umar Farooq has Returned to Home and available at his house. His uncle appeared and confirmed before the Commission on 12.2.18.</t>
  </si>
  <si>
    <t>4464-P</t>
  </si>
  <si>
    <t>Sher Afzal s/o Faisl Muhammad</t>
  </si>
  <si>
    <t>Mst. Rehmat Bibi, r/o Mohallah Mobana, House No. L-114, Mianwali. (Mobile No. 0304-4151068)</t>
  </si>
  <si>
    <t>FIR No. 640 dt 09.12.2017 u/s 365 PPC PS City, Mianwali</t>
  </si>
  <si>
    <t>Deleted. Keeping in view of statement of Mst. Rehmat Bibi and JIT reports, the case hardly falls within the ambit of enforced disappearance; the same may be deleted from the list of enforced disappearance persons.</t>
  </si>
  <si>
    <t>4465-I</t>
  </si>
  <si>
    <t>Haq Nawaz s/o Abdul Qadoos</t>
  </si>
  <si>
    <t>Abdul Salam, r/o D- 15, Mohallah Usmania, Dhok Abbasi, Islamabad. (Mobile No. 0315-5058296)</t>
  </si>
  <si>
    <t>Traced Person. SP (Inv), Islamabad, submitted report that Missing Person has Returned to Home and available at his house in D- 15, Mohallah Usmania, Dhok Abbasi, Islamabad.</t>
  </si>
  <si>
    <t>4466-I</t>
  </si>
  <si>
    <t>Sadaqat Hussain s/o Muhammad Ameen</t>
  </si>
  <si>
    <t>Traced Person. Sadaqat Hussain (Traced Person) has appeared before the Commission on 30/01/2019, whose statement has been recorded in oath. According to him he was abducted by some unknown persons and taken away to some unknown place. He further stated that he was kept there for about one year and released during December, 2018.</t>
  </si>
  <si>
    <t>4467-K</t>
  </si>
  <si>
    <t>Lal Janan s/o Jahanda Khan</t>
  </si>
  <si>
    <t>Mst. Miraza Gulla Bibi, r/o Charsada Road, Shero Jhangi, Near Khan CNG. (Mobile No. 0300-9008347 &amp; 0300-9359114)</t>
  </si>
  <si>
    <t>Traced Person. It was informed t at the hearing on 16/05/2018 that Lal Janan has been traced. He entered appearance before the Commission on 16/05/2018. However he could not give details regarding place of detention etc.</t>
  </si>
  <si>
    <t>4468-S</t>
  </si>
  <si>
    <t>Muhammad Nawaz Atta</t>
  </si>
  <si>
    <t>r/o, Gulistan-e-Johar, Karachi.</t>
  </si>
  <si>
    <t>Deleted. It has been reported that complainant party could not be contacted due to fake address on the flat indicated in the complainant was found locked. The Police report is supported by the statement from one Atteq-ur-Rehman.</t>
  </si>
  <si>
    <t>4469-F</t>
  </si>
  <si>
    <t>Burhan-ud-Din s/o Umar Draz</t>
  </si>
  <si>
    <t>Malik Umar Daraz, r/o Salarzai, Bajor Agency. (Mobile No. 0306-8087025)</t>
  </si>
  <si>
    <t>Traced Person. It was informed at the hearing on 20-06-2018 by Rep of MI that Burhan-ud-Din has been traced. He is presently confined in Internment Center at Kohat. Umar Daraz f/o Burhan-ud-Din Traced Person was present under Action (in aid of Civil Power) Regulation 2011. Family Members have been allowed to meet him.</t>
  </si>
  <si>
    <t>4470-K</t>
  </si>
  <si>
    <t>Abdul Rehman s/o Wardayat Khan</t>
  </si>
  <si>
    <t>Wardayat Khan, r/o Phandaria Chowk, Peshawar. (Mobile No. 0333-9551808)</t>
  </si>
  <si>
    <t>21703-8970275-1</t>
  </si>
  <si>
    <t>4471-P</t>
  </si>
  <si>
    <t>Muhammad Nasir Khan s/o Irshad Ahmed Khan</t>
  </si>
  <si>
    <t>Muhammad Kashif Khan, r/o House No. 108, Street No. 07, Near Norani Masjid, Chakala, Rawalpindi. (Mobile No. 0321-5627480 &amp; 0321-5627274)</t>
  </si>
  <si>
    <t>Deleted. Last hearing in the case was held on 4.12.2019. Perusal of the entire record shows that no allegation was leveled against LEAs/Intelligence Agencies by the complainant in the complaint or at any later stage. Circumstances and facts of the case indicate that there is absolutely nothing which can bring the matter within the domain of Enforced Disappearance.</t>
  </si>
  <si>
    <t>4472-F</t>
  </si>
  <si>
    <t>Yar Muhammad s/o Shah Muhammad</t>
  </si>
  <si>
    <t>Fazal Manan, r/o Pir Sahabad Colony, Dhok Gujara, Chakara, Iqbal Masjid, Rawalpindi. (Mobile No. 0342-5661122)</t>
  </si>
  <si>
    <t>21405-3441032-3</t>
  </si>
  <si>
    <t>4473-F</t>
  </si>
  <si>
    <t>Niaz Muhammad s/o Saeed Muhammad</t>
  </si>
  <si>
    <t>Saeed Muhammad, r/o Shani Ghundi, Badi Korana, Peshawar. (Mobile No. 0335-9796260 &amp; 0345-9419609)</t>
  </si>
  <si>
    <t>Traced Person. It was informed at the hearing on 26-06-2018 that Niaz Muhammad has been traced. According to letter by PA Mohmand Agency that Niaz Muhammad was handed over by Swat Scouts to Political Administration Mohmand Agency. Mr. Nasir Khan Coordinator has entered appearance on behalf of ACS FATA and submitted that Niaz Muhammad’ s case is under trial.</t>
  </si>
  <si>
    <t>4474-K</t>
  </si>
  <si>
    <t>Hadayat Ullah s/o Muhammad Sadar</t>
  </si>
  <si>
    <t>Mst. Rizwana, r/o Mian Bandi, Tehsil Samar Bagh, District Lower Dir. (Mobile No. (0306-8545116 ,0308-8491925 &amp; 0308-8282116)</t>
  </si>
  <si>
    <t>4475-K</t>
  </si>
  <si>
    <t>Hafeez Ullah s/o Walayat Shah</t>
  </si>
  <si>
    <t>Walayat Shah, r/o Jani Khel, District Bannu. (Mobile No. 0300-9012965 &amp; 0303-2388701)</t>
  </si>
  <si>
    <t>Traced Person. Rep of MI submitted that the Missing Person Hafeez Ullah is Confined in Internment Center, Lakki Marwat under Action (in aid of Civil Power) Regulation 2011. Family Members have been allowed to meet him.</t>
  </si>
  <si>
    <t>4476-K</t>
  </si>
  <si>
    <t>Saeed Karim s/o Fazal Karim</t>
  </si>
  <si>
    <t>Fazal Karim, r/o Mohallah Ghari, Peshawar. Mobile No. 0315-9598445)</t>
  </si>
  <si>
    <t>Deleted. The case was also categorized as of Missing Person has gone on his own by JIT on 12.11.2019. Reps of ISI, MI and FC denied custody of Saeed Karim. Reports from CTD also denies arrest of Saeed Karim. Accordingly, the case does not fall within the domain of enforced disappearance. Hence closed.</t>
  </si>
  <si>
    <t>4477-K</t>
  </si>
  <si>
    <t>Inayat Ullah s/o Aslam Khan</t>
  </si>
  <si>
    <t>Aslam Khan, r/o Khazana, Tehsil Lal Qila, District Lower Dir. (Mobile No. 0308-8313653)</t>
  </si>
  <si>
    <t>15305-6906266-7
 Father CNIC</t>
  </si>
  <si>
    <t>4478-S</t>
  </si>
  <si>
    <t>Abdul Rehman s/o Noor Muhammad</t>
  </si>
  <si>
    <t>Mst. Naz Bibi, r/o House No. 702, Mohallah Baloch Khad , Shah Abdul Latif Road, Kalri Layri, Larachi. (Mobile No. 0321-2801373)</t>
  </si>
  <si>
    <t>4479-P</t>
  </si>
  <si>
    <t>Reman Khan s/o Gul Saeed</t>
  </si>
  <si>
    <t>Gul Saeed, r/o Salim Pur, Laya Town, Mandi Bahauddin. (Mobile No. 0340-6040958 &amp; 0342-4814155)</t>
  </si>
  <si>
    <t>Traced Person. Missing Person Rehman Khan appeared before the Commission and submitted that he was not abducted by any one rather he went to Talagang on his own.</t>
  </si>
  <si>
    <t>4480-P</t>
  </si>
  <si>
    <t>Awal Gul s/o Gul Saeed</t>
  </si>
  <si>
    <t>Traced Person. Awal Gul entered appearance for the hearing on 07/09/2018 and previously also on two occasions, he was abducted but released. This time he remained in detention for three months and was set free 10/15 days ago. He has submitted that he was taken into custody by CTD, however he could not furnish details regarding persons involved and place where he was detained.</t>
  </si>
  <si>
    <t>4481-S</t>
  </si>
  <si>
    <t>Asif Burdi s/o Imtiaz Ali Burdi</t>
  </si>
  <si>
    <t>BHU, Burdi Stop, National Highway, Sikrand, District Shaheed Benazirabad, Sindh.</t>
  </si>
  <si>
    <t>Traced Person. SHO Sarkand Imam Din submitted that address is incomplete and no one has come forward to lodge any complaint with the Police. Closed (Due to in Complete address.</t>
  </si>
  <si>
    <t>4482-S</t>
  </si>
  <si>
    <t>Farman Ali s/o Muhammad Uris Hingoro</t>
  </si>
  <si>
    <t>Muhammad Uris Hingoro, r/o House No. C-48 Para Farm,Colony, Tando Jam, Hyderabad, Taluka, Hyderabad.</t>
  </si>
  <si>
    <t>Traced Person. DSP, Aurangzaib Abbasi, submitted report that Missing Person Farman Ali has Returned to Home and available at his house in House No. C-48 Para Farm,Colony, Tando Jam, Hyderabad, Taluka, Hyderabad.</t>
  </si>
  <si>
    <t>4483-S</t>
  </si>
  <si>
    <t>Muhammad Farhan s/o Muhammad Hussain</t>
  </si>
  <si>
    <t>Muhammad Hassan, r/o House No. 2/135, Shah Faisal Colony, Block No. 02, Karachi.</t>
  </si>
  <si>
    <t>Traced Person. SIP, Javed, PS Shah Faisal, submitted report that Missing Person Muhammad Farhan has Returned to Home and available at his house in House No. 2/135, Shah Faisal Colony, Block No. 02, Karachi.</t>
  </si>
  <si>
    <t>4484-S 3692-S</t>
  </si>
  <si>
    <t>Abdul Ghafoor</t>
  </si>
  <si>
    <t>r/o, House No. LO-34, Shah Latif Town, Sector No. 19-B, Malir, Karachi.</t>
  </si>
  <si>
    <t>MoFAs No. 10007470</t>
  </si>
  <si>
    <t>4485-S</t>
  </si>
  <si>
    <t>Mujeeb-ur-Rehman</t>
  </si>
  <si>
    <t>r/o, Mohallah Meeran Jo Kot, Ward No. 06, Warah City, District Qambar Shahdakot.</t>
  </si>
  <si>
    <t>Deleted. It has been reported that family of Mujeeb-ur-Rehman is not Co-operating with the investigation. Moreover he is member of anti-state origination etc. However the case does not fall within the domain of enforced disappearance.</t>
  </si>
  <si>
    <t>4486-B</t>
  </si>
  <si>
    <t>Alamgir Qambrani s/o Noor Ahmed Qambrani</t>
  </si>
  <si>
    <t>Noor Ahmed Qambrani, r/o Mohallah Farooqia Town, Qalat City, Balochistan.(Mobile No.0301-3786940)</t>
  </si>
  <si>
    <t>Traced Person. Alamgir Qambrani (Traced Person) appeared before the Commission on 13/12/2018 whose statement was recorded on oath. According to him he was picked on 05/02/2015 by some unknown persons who were in Civvies. He has further stated that he was taken away blindfolded to some unknown place. Since he was a member of BSO therefore, he was interrogated but nothing established against him and accordingly he was released on 18/07/2018.</t>
  </si>
  <si>
    <t>4487-B</t>
  </si>
  <si>
    <t>Imran s/o Wali Muhammad</t>
  </si>
  <si>
    <t>Wali Muhammad, r/o Phullabad, Trump, District Kech, Balochistan.</t>
  </si>
  <si>
    <t>Traced Person. Bashir Ahmed, Inspector/I.O from turbat is present. He has submitted that Imran s/o Wali Muhammad has returned to home. It is to be noted that the case was received from UNWG. In view if the categoric statement a made by the IO no further action is to be taken by the Commission.</t>
  </si>
  <si>
    <t>4488-B</t>
  </si>
  <si>
    <t>Anwar Hussain s/o Khan Muhammad</t>
  </si>
  <si>
    <t>Khan Muhammad, r/o Tasp, District Panjgur, Balochistan.</t>
  </si>
  <si>
    <t>Traced Person On 26.5.2018 SP, Panjgur appeared before the Commission and submitted that the Missing Person himself had gone to Iran to have a job a year before and unable to contact his family members. In view of this report supported by relevant documents it is no more a case of enforced disappearance and the case is closed.</t>
  </si>
  <si>
    <t>4489-B</t>
  </si>
  <si>
    <t>Abdul Latif s/o Jan Muhammad</t>
  </si>
  <si>
    <t>Jan Muhammad, r/o Gajjar, Mashkey, Balochistan.(Mobile No. 0332-2248916)</t>
  </si>
  <si>
    <t>Traced Person. Report has been submitted by Mr. Muhammad Rafique DSP/SDPO, Awaran on behalf of SP (Inv) Awaran, which shows that the alleged Missing Person is a Levies Constable and is performing his duty. Such statement is supported by the statement of the alleged Missing Person. Now this is no more a case of enforced disappearance. The matter is filed.</t>
  </si>
  <si>
    <t>4490-B</t>
  </si>
  <si>
    <t>Taimoor Naeem s/o Muhammad Naeem</t>
  </si>
  <si>
    <t>Muhammad Naeem, r/o Mashkey, District Awaran, Balochistan.(Mobile No. 0336-8167306)</t>
  </si>
  <si>
    <t>Traced Person Mr. Muhammad Rafique, DSP/SDPO Awaran made appearance before the Commission on 25.5.2018 at Quetta and submitted report which shows that Taimoor Naeem s/o Muhammad Naeem and Majid Aslam s/o Muhammad Aslam are employees of HRA and they are performing their duty in the Department. This report is taken on record.</t>
  </si>
  <si>
    <t>4491-B</t>
  </si>
  <si>
    <t>Majid Aslam s/o Muhammad Aslam</t>
  </si>
  <si>
    <t>Muhammad Aslam, r/o Mashkey, District Awaran, Balochistan.(Mobile No. 0336-8167306)</t>
  </si>
  <si>
    <t>Traced Person Mr. Muhammad Rafique, DSP/SDPO Awaran made appearance before the Commission on 25.5.2018 at Quetta and submitted report which shows that Taimoor Naeem s/o Muhammad Naeem and Majid Aslam s/o Muhammad Aslam are employees of HRA and they are performing their duty in the Department. This report is taken on record.)</t>
  </si>
  <si>
    <t>4492-K</t>
  </si>
  <si>
    <t>Sarfaraz Khan s/o Samood Khan</t>
  </si>
  <si>
    <t>Samood Khan, r/o P.O Box Pir Baba, Village Docadda, Tehsil Gadezai, District Bonair,</t>
  </si>
  <si>
    <t>Traced Person. SP (Inv), Bonair informed at the hearing on 29/03/2018 that Sarfraz Khan was Killed in the year 2018 and four persons were arrested, whose challan submitted in the Court.</t>
  </si>
  <si>
    <t>4493-K</t>
  </si>
  <si>
    <t>Syed Khan Bacha s/o Gul Khan Babu</t>
  </si>
  <si>
    <t>Gul Khan Babu, r/o P.O Pir Baba, Village Poland, Tehsil Gadezai, District Bonair.</t>
  </si>
  <si>
    <t>Traced Person. SP (Inv), Bonair informed at the hearing on 29/03/2018 that Syed Khan Bacha has returned to home and enterned appearance before JIT on 26/03/2018.</t>
  </si>
  <si>
    <t>4494-K</t>
  </si>
  <si>
    <t>Ubaid Ullah Qureshi s/o Ghulam Hazrat</t>
  </si>
  <si>
    <t>Ghulam Hazrat, r/o Pir Baba, Village Sharif Abad, Tehsil Gadezai, District Bonair.</t>
  </si>
  <si>
    <t>Traced Person. SP (Inv), Bonair submitted at the hearing on 29/03/2018 that Ubaid Ullah Qureshi has returned to home and entered appearance before the JIT on 26/03/2018.</t>
  </si>
  <si>
    <t>4495-F</t>
  </si>
  <si>
    <t>Arafat Khan s/o Sher Ali</t>
  </si>
  <si>
    <t>Sher Ali, r/o Baro Khel, Tehsil Haleemzai, Mohmand Agency.</t>
  </si>
  <si>
    <t>4496-P</t>
  </si>
  <si>
    <t>Abdullah</t>
  </si>
  <si>
    <t>r/o Tibbi Qaisrani, Tehsil Taunsa Sharif, District Dera Ghazi Khan.</t>
  </si>
  <si>
    <t>4497-K</t>
  </si>
  <si>
    <t>Shah Khalid s/o Mosa Khan</t>
  </si>
  <si>
    <t>Talib Jana, r/o Doband, Tehsil &amp; District Hangu. (Mobile No. 0333-9684354)</t>
  </si>
  <si>
    <t>Traced Person. SP (Inv), Hangu, submitted report that Missing Person has Returned to Home and available at his house in Doband, Tehsil &amp; District Hangu.</t>
  </si>
  <si>
    <t>4498-P</t>
  </si>
  <si>
    <t>Arooj Gul d/o Musfair Gul</t>
  </si>
  <si>
    <t>Danish, r/o House No. 2031- Street No. 25/3, Allama Iqbal Colony, Tench Bhatta, Rawalpindi. (Mobile No. 0333-5952940)</t>
  </si>
  <si>
    <t>Traced Person. Brother of Missing Person submitted that Arooj Gul has been traced. He further submitted that Arooj Gul was not abducted by anyone rather than she went on her own to Lahore.</t>
  </si>
  <si>
    <t>4499-P</t>
  </si>
  <si>
    <t>Nazar Abbas s/o Hafeez Ahmed</t>
  </si>
  <si>
    <t>Khursheed Ahmed, r/o Kotla Jam, Tehsil &amp; District Bakhar. (Mobile No. 0344-7988314)</t>
  </si>
  <si>
    <t>Traced Person. Nazar Abbas has been traced. He has entered appearance before the Commission on 13.2.2020, whose statement has been recorded on oath. According to him, he was picked up on 27.2.2017 and taken away forcibly by some unknown persons. He also stated that he was taken to some unknown place. He also deposed that on 29.10.2019 he was released. According to him he cannot identify those persons who abducted him, even if they are brought before him.</t>
  </si>
  <si>
    <t>4500-S</t>
  </si>
  <si>
    <t>Sheikh Muhammad Imran s/o Sheikh Ghulam Muhammad</t>
  </si>
  <si>
    <t>Abdul Sattar, r/oNorth Nazimabad, Block No. D, Karachi. (Mobile No. 0302-6833256)</t>
  </si>
  <si>
    <t>Deleted. SHO Nazimabad submitted report which shows that all possible efforts were being made to contact the complainant but he is not ccperating with the investigation Agency. In view of this report which is supported by Roznamcha entry dated 05/01/2018 the case is closed.</t>
  </si>
  <si>
    <t>4501-S</t>
  </si>
  <si>
    <t>Sarrdar Sher Ali Khan Mengal s/o Mir Akbar</t>
  </si>
  <si>
    <t>Asghar Khan Mengal, r/o House No. 346/B, Mengakl House, Street No. 08, Azam Town, Karachi. (Mobile No. 0300-2221845)</t>
  </si>
  <si>
    <t>4502-K</t>
  </si>
  <si>
    <t>Sardar Hussain s/o Gul Yar</t>
  </si>
  <si>
    <t>Nadir Khan, r/o Chakor, Tehsil Matta, District Swat. (Mobile No. 0346-2540558)</t>
  </si>
  <si>
    <t>Traced Person. It has been informed at the hearing on 23/10/2018 that Sardar Hussain has been traced and he is presently confined in Internment Center Paithom. None has entered appearance on the behalf of Sardar Hussain. IO of the case is present. He has been apprised of the status of the case.</t>
  </si>
  <si>
    <t>4503-F</t>
  </si>
  <si>
    <t>Fazal Subhan s/o Saeed Muhammad Jan</t>
  </si>
  <si>
    <t>Muhammad Zaman, r/o Bajur Agency, Tehsil Stalarzai, Village Barmala Saeed,. (Mobile No. 0347-5213908)</t>
  </si>
  <si>
    <t>Traced Person. Addl. PA Bajaur submitted at the hearing on 09/05/2018 that Fazal Subhan has been awarded 21 years Rigorous Imprisonment by the court of competent jurisdiction, as a result whereof he was confined in District Jail Mardan. Muhammad Zaman b/o of Missing Person was present and confirmed.</t>
  </si>
  <si>
    <t>4504-K</t>
  </si>
  <si>
    <t>Zareen Dad s/o Rawedad</t>
  </si>
  <si>
    <t>Adalat Khan, r/o Mohallah Baka Khel,Tehsil Chota Lahore, Dstrict Swabi. (Mobile No. 0343-9068515 &amp; 0333-3919216)</t>
  </si>
  <si>
    <t>FIR No. 17 dated 19.01.2018 u/s 365 PPC PS Yar Hussain, Swabi</t>
  </si>
  <si>
    <t>Under Investigation (KP)
  Swabi</t>
  </si>
  <si>
    <t>4505-K</t>
  </si>
  <si>
    <t>Usman Ali s/o Muhammad Siraj</t>
  </si>
  <si>
    <t>Mst. Bacha Bakhat, r/o Mohallah Ghund Khat, Koza Bandi, Tehsil &amp; District Swat. (Mobile No. 0333-9507538 &amp; 0344-0972469)</t>
  </si>
  <si>
    <t>4506-K</t>
  </si>
  <si>
    <t>Aman Rome s/o Sultan Rome</t>
  </si>
  <si>
    <t>Mst. Shaheen begum, r/o Delay, Bara Bandi, Tehsil Kabal, District Swat. (Mobile No. 0340-0954428 &amp; 0348-1916063)</t>
  </si>
  <si>
    <t>FIR No. 612 dated 14.12.17 u/s 365 PPC PS Kanju, Swat</t>
  </si>
  <si>
    <t>4507-K</t>
  </si>
  <si>
    <t>Syed Barkat Ullah s/o Mian Saeed Ahmed</t>
  </si>
  <si>
    <t>Mian Saeed Ahmed, r/o Mohallah Saeed Nawa, Koza Bandi, Tehsil Kabal, District Swat. (Mobile No. 0342-9612963 &amp; 0345-2144554)</t>
  </si>
  <si>
    <t>Traced Person. It was informed at the hearing held on 23/10/2018 that Syed Barkat Ullah is presently confined in Internment center Fizaghat. Family members of Syed Barkat Ullah shall be facilitated to see him in the Internment Center as per rules and procedures.</t>
  </si>
  <si>
    <t>4508-K</t>
  </si>
  <si>
    <t>Gulzar Ali s/o Noor Saeed Ali</t>
  </si>
  <si>
    <t>Mst. Gul Zareena, r/o Mohallah Khawaja Khel, Aderzai, Matni, Tehsil &amp; District Peshawar. (Mobile No. 0312-9182239 &amp; 0334-9087881)</t>
  </si>
  <si>
    <t>4509-K</t>
  </si>
  <si>
    <t>Gul Wali s/o Dawran Khan</t>
  </si>
  <si>
    <t>Mst. Bacha Zadgai Bibi, r/o Sherkar, Murad Khel, Tehsil &amp; District Peshawar. (Mobile No. 0302-5965233 &amp; 0313-9048636)</t>
  </si>
  <si>
    <t>FIR No. 616 dt 14.12.2017 u/s 365 PPC PS Mattani FR, Peshawar</t>
  </si>
  <si>
    <t>4510-I</t>
  </si>
  <si>
    <t>Muhammad Ayaz s/o Khan Zada</t>
  </si>
  <si>
    <t>Mst. Jahan Bano, r/o Nowkelay, Mohallah Ameer Khan, District Swat. (Mobile No. 0347-8634760)</t>
  </si>
  <si>
    <t>FIR No. 138 dated 28/3/2019 u/s 365 PS Sabzi Mandi, Islamabad</t>
  </si>
  <si>
    <t>4511-K</t>
  </si>
  <si>
    <t>Atta Ullah s/o Hameed Khan</t>
  </si>
  <si>
    <t>Hameed Khan, r/o Jag Kilay, Charsada Road, Peshawar. (Mobile No. 0302-5562382)</t>
  </si>
  <si>
    <t>4512-K</t>
  </si>
  <si>
    <t>Ubaid Ullah s/o Farmoz Khan</t>
  </si>
  <si>
    <t>Farmoz Khan, r/o Salanda Mangor, Tehsil Babuzai, District Swat. (Mobile No. 0348-8787759 &amp; 0332-9228304 &amp; 0342-9719437)</t>
  </si>
  <si>
    <t>4513-K</t>
  </si>
  <si>
    <t>Muhammad Jaffar s/o Shamsheer Khan</t>
  </si>
  <si>
    <t>Jamsheed Ullah, r/o Inayat Kiley, Bala Umarey, Tehsil Mohmand District Bajur Agency.(Mobile no. 0306-6564370 &amp; 0300-4486839)</t>
  </si>
  <si>
    <t>FIR No. 11 dated 12.2.2019 u/s 365 PPC PS Batkhela , Malakand</t>
  </si>
  <si>
    <t>Under Investigation (KP)
 Malakand</t>
  </si>
  <si>
    <t>4514-K</t>
  </si>
  <si>
    <t>Noor Zahideen s/o Asal Din</t>
  </si>
  <si>
    <t>Aal Din, r/o Data Khel, District North Waziristan Agency. (Mobile No. 0316-9191109 &amp; 0334-8475201)</t>
  </si>
  <si>
    <t>4515-K</t>
  </si>
  <si>
    <t>Zafar Ali s/o Ghulam Anwar</t>
  </si>
  <si>
    <t>Mst. Shazmeina, Madina Colony, D.I. Khan. (Mobile No.0316-0917445)</t>
  </si>
  <si>
    <t>Traced Person. DPO, D.I.Khan, submitted report that Zafar Ali has Returned to Home and available at Madina Colony, D.I. Khan.</t>
  </si>
  <si>
    <t>4516-S</t>
  </si>
  <si>
    <t>Muhammad Waseem s/o Muhammad Sharif</t>
  </si>
  <si>
    <t>Mst. Roshan Khatoon, r/o KE-298, Street No. 04, Mandani Colony, Liaquat Abad, Karachi. (Mobile No. 0324-3320039)</t>
  </si>
  <si>
    <t>4517-P</t>
  </si>
  <si>
    <t>Iqra d/o Muhammad Ameen</t>
  </si>
  <si>
    <t>Mst. Suriya Begum, r/o P.O Khas, Tehsil Tanawala, District Faisalabad. (Mobile No. 0303-4222889)</t>
  </si>
  <si>
    <t>Traced Person. SP (Inv), Faisalabad, submitted report that Iqra has Returned to Home and available at her house. Mst. Suraya Begum, grand mother confirmed.</t>
  </si>
  <si>
    <t>4518-P</t>
  </si>
  <si>
    <t>Khizar Hayyat Watto s/o Muhammad Akbar Watto</t>
  </si>
  <si>
    <t>Muhammad Ashraf, r/o Nazam Pura, District Sheikhupura. (Mobile No. 0304-5801897 &amp; 0306-4106013)</t>
  </si>
  <si>
    <t>Deleted. Jit and PTF concluded in their reports that Kizar Hayat Wattoo ha gone on his own. All stakeholders denied his arrest or apprehension. Neither any allegation levelled against any LEAs/ Intelligence Agencies nor any evidence came on record to infer to enforced disappearance. Hence, the case is closed.</t>
  </si>
  <si>
    <t>4519-P</t>
  </si>
  <si>
    <t>Raja Tahir Mehmood, r/oVillage Virak Khana, Tehsil &amp; District Islamabad. (Mobile No. 0346-5375439)</t>
  </si>
  <si>
    <t>Traced Person. Hafiz Saad Mehmood is confined in District Jail, Faisalabad as a result of FIR No. 4/18 PS CTD, Faisalabad.</t>
  </si>
  <si>
    <t>4520-K</t>
  </si>
  <si>
    <t>Muhammad Tariq s/o Asmat Ullah</t>
  </si>
  <si>
    <t>Asmat Ullah, r/o Mohallah Khushal Town, Near Techinqal College, Kohat Road, Peshawar. (Mobile No. 0334-9116361)</t>
  </si>
  <si>
    <t>Due to President CoIoED order case is not to fix for hearing.</t>
  </si>
  <si>
    <t>Under Investigation (KP) Abbottabad</t>
  </si>
  <si>
    <t>4521-K</t>
  </si>
  <si>
    <t>Muhammad Farooq s/o Asmat Ullah</t>
  </si>
  <si>
    <t>4522-K</t>
  </si>
  <si>
    <t>Mushttaq Khan s/o Haider Khan</t>
  </si>
  <si>
    <t>Hazrat Khan, r/o Mohallah Mosa Khel, Village Muhammad Zai, Peshawar. (Mobile No. 0321-9136515)</t>
  </si>
  <si>
    <t>Traced Person. At the hearing held on 30-05-2018. It was informed that Mushtaq Khan has been traced. He appeared before the Commission. However he could not furnish detail regarding the persons involved or place where he was kept in detention. His name is accordingly deleted from the list of Enforced Disappeared Persons.</t>
  </si>
  <si>
    <t>4523-K</t>
  </si>
  <si>
    <t>Muhamad Izhar s/o Orangzaib</t>
  </si>
  <si>
    <t>4524-K</t>
  </si>
  <si>
    <t>Saeed Muhammad s/o Ayub Khan</t>
  </si>
  <si>
    <t>Ayub Khan, r/o Gagarey Kadam, Jamrud, Khyber Agency. (Mobile No. 0333-9191913)</t>
  </si>
  <si>
    <t>Traced Person. JIT reported at the hearing held on 25/09/2018 that Saeed Muhammad has returned to home. I.O has further submitted that Saeed Muhammad is reluctant to enter appearance before the Commission.</t>
  </si>
  <si>
    <t>4525-K</t>
  </si>
  <si>
    <t>Abdul Razaq s/o Saeed Ghulab</t>
  </si>
  <si>
    <t>Muhammad Nazir, r/o Faqeer Kor, Yak Ghunda, Peshawar. (Mobile No. 0344-9761838)</t>
  </si>
  <si>
    <t>4526-K</t>
  </si>
  <si>
    <t>Manzary is not the father of abullah. Mumtaz Khan is father of Abdullah.</t>
  </si>
  <si>
    <t>Mumtaz Khan, r/o Usman Khel, Qambar, Tehsil Babu Zai, District Swat. (Mobile No. 0346-9794403)</t>
  </si>
  <si>
    <t>FIR No. 634 dated 22.12.17 u/s 365 PS Kanju, Swat</t>
  </si>
  <si>
    <t>4527-K</t>
  </si>
  <si>
    <t>Naseeb Ullah s/o Rehmat Ullah</t>
  </si>
  <si>
    <t>Mst. Angeez Bibi, r/o Daraban Chingi, Tehsil &amp; District D. I. Khan. (Mobile No. 0348-8968700)</t>
  </si>
  <si>
    <t>Traced Person. Rep of MI submitted that the Missing Person Naseeb Ullah is Confined in Internment Center, Lakki Marwat under Action (in aid of Civil Power) Regulation 2011. Family Members have been allowed to meet him.</t>
  </si>
  <si>
    <t>D. I. Khan</t>
  </si>
  <si>
    <t>4528-K</t>
  </si>
  <si>
    <t>Abdul Wadood s/o Abdul Qayyum</t>
  </si>
  <si>
    <t>Abdul Qayyum, r/o Malikabad, Gadoon, Tehsil Topi, District Swabi. (Mobile No. 0343-2602405 &amp; 0344-9868238)</t>
  </si>
  <si>
    <t>Traced Person. Missing Person Abdul Wadood has been traced as dead and his DNA remit was positive. Hence no further action is required. The case is closed as further mattters will be delat with by the concerned authorities in accordance with law.</t>
  </si>
  <si>
    <t>4529-S</t>
  </si>
  <si>
    <t>Azfar Imtiaz Siddiqui s/o Imtiaz Iqbal Siddiqui</t>
  </si>
  <si>
    <t>Imtiaz Iqbal Siddiqui, r/o Plot B-77, Floor No. F-2/Ist, Block -D, Mohallah North Nbazimabad, Karachi. (Mobile No. 0300-2670882)</t>
  </si>
  <si>
    <t>Traced Person. Report submitted at the hearing on 20/03/2018 that dead body of Azfar Imtiaz recovered and three accused persons are in Jail Custody.</t>
  </si>
  <si>
    <t>4530-K</t>
  </si>
  <si>
    <t>Noor Zada s/o Wazir Zada</t>
  </si>
  <si>
    <t>Wazir Zada, r/o Village Shamkhana, Tehsil Matta, District Swat. (Mobile No. 0347-5612036)</t>
  </si>
  <si>
    <t>4531-K</t>
  </si>
  <si>
    <t>Akhtar Zada s/o Wazir Zada</t>
  </si>
  <si>
    <t>4532-S</t>
  </si>
  <si>
    <t>Muhammad Nasir s/o Muhammad Ashfaq</t>
  </si>
  <si>
    <t>Muhammad Ashfaq, r/o Frointer Colony. 01, Near Subhani Masjid No. 01, Metrovil Site, Khyber Road, Karachi. (Mobile No. 0313-2165030)</t>
  </si>
  <si>
    <t>Traced Person. It was informed at the hearing held in this Commission on 13/08/2018 that Muhammad Nasir has returned to home. The report submitted by SDPO, Mangopir, Karachi is placed on record.</t>
  </si>
  <si>
    <t>4533-K</t>
  </si>
  <si>
    <t>Muhammad Hanif Khan s/o Ayub Khan</t>
  </si>
  <si>
    <t>Mst. Reham Bibi, r/o Sherakar, Murad Khel, Tehsil &amp; District Peshawar. (Mobile No. 0344-3052173 &amp; 0308-8096849)</t>
  </si>
  <si>
    <t>4534-K</t>
  </si>
  <si>
    <t>Afsar Ali s/o Mushtari</t>
  </si>
  <si>
    <t>Asad Ali, r/o Village Ismail Mohallah Malik Pur, Tehsil Raz, District Swabi. (Mobile No. 0348-1985762 &amp; 0336-9781767)</t>
  </si>
  <si>
    <t>FIR No.58 dated 21.01.2018 u/s 365 PPC PS Kalu Khan</t>
  </si>
  <si>
    <t>Traced Person. Afsar Ali entered appearance before the Commission on 16/05/2018. He stated that he went to Quetta and staying with one of his friends.</t>
  </si>
  <si>
    <t>4535-P</t>
  </si>
  <si>
    <t>Zia Ahmed Khan s/o Nazir Ahmed Khan</t>
  </si>
  <si>
    <t>Umar Mehmood Khan Rana, r/oBait-e-Kausar, Hospital Road, Civil Lines, Gujranwala. (Mobile No. 0334-0164117)</t>
  </si>
  <si>
    <t>FIR No. 78/16 dated 01.03.2016 u/s 365 PPC Ps Sadar Pattoki</t>
  </si>
  <si>
    <t>4536-S</t>
  </si>
  <si>
    <t>Hameed Ullah s/o Khair Ali</t>
  </si>
  <si>
    <t>Hafeez Ullah, r/o Sohrab Board, Suleman Colony, Karachi. (Mobile No. 0311-8137237 &amp; 0333-2684025)</t>
  </si>
  <si>
    <t>Traced Person. It was informed at the hearing held in this Commission on 30/07/2018 that Hameed Ullah has returned to home. The report submitted by Zawar Hussain, SDPO, Sohrab Goth, District Malr, Karachi is placed on record.</t>
  </si>
  <si>
    <t>4537-S</t>
  </si>
  <si>
    <t>Aman Ullah s/o Noor Nawaz</t>
  </si>
  <si>
    <t>Raza Hassan Khan, r/o Patoyala Palay, Maal Khel, District South Waziristan Agency. (Mobile No. 0333-9352964)</t>
  </si>
  <si>
    <t>Traced Person. Family of Missing Person, submitted that Aman Ullah has Returned to Home and available at his house in Patoyala Palay, Maal Khel, District South Waziristan Agency</t>
  </si>
  <si>
    <t>4538-B</t>
  </si>
  <si>
    <t>Jamal Khan s/o Noor Nawaz Khan</t>
  </si>
  <si>
    <t>Muhammad Abdullah, r/o Patoyala Palay, Maal Khel, District South Waziristan Agency. (Mobile No. 0333-9352964)</t>
  </si>
  <si>
    <t>Deleted. After receipt of complaint the Commission as well as Reps of all stake holders tried to locate the complainant but failed as no latter was found even in his Mobile Number. Hence the case is deleted due to non-prosecution.</t>
  </si>
  <si>
    <t>4539-K</t>
  </si>
  <si>
    <t>Zia Ullah s/o Haj Nawaz Khan</t>
  </si>
  <si>
    <t>Mubarik Khan, r/o Street No. 01, Sabaz Ali Town Warsak Road, Peshawar. (Mobile No. 0332-5339238)</t>
  </si>
  <si>
    <t>Traced Person. SP (Inv), Peshawar submitted report that Zia Ullah is presently confined in District Jail Kohat in a case u/s 4/5 ESA, 7-ATA.</t>
  </si>
  <si>
    <t>4540-K</t>
  </si>
  <si>
    <t>Zahid Rehman s/o Fazal Rehman</t>
  </si>
  <si>
    <t>Ibrahim Khan, r/o Khazana Sugar Mill, Asha Road, District Peshawar. (Mobile No. 0333-9639501)</t>
  </si>
  <si>
    <t>4541-K</t>
  </si>
  <si>
    <t>Zargoon Shah s/o Gul Baghi Shah</t>
  </si>
  <si>
    <t>Gul Baghi Shah, r/o Mohallah Saeed Abad, Zargar Abad, Yak Toot, Peshawar. (Mobile No. 0321-9160772)</t>
  </si>
  <si>
    <t>4542-S</t>
  </si>
  <si>
    <t>Niaz Muhammad Khan s/o Shereen Khan</t>
  </si>
  <si>
    <t>Mst. Bakht Bibi, r/o, Usman Khel, P.O Rahimabad, Qambar, Tehsil babu Zai, District Swat. (Mobile No. 0315-8836782)</t>
  </si>
  <si>
    <t>Traced Person. It was informed at the hearing held in this Commission on 13.11.2020 that Niaz Muhammad Khan is confined in Internment Center Paithom, District Swat. Family member will be allowed to meet him as per procedure.</t>
  </si>
  <si>
    <t>4543-S</t>
  </si>
  <si>
    <t>Noman Ali s/o Lal Muhammad</t>
  </si>
  <si>
    <t>Lal Muhammad, r/o Gul Muhammad Lane, Chaki Wara, Laiyari Karachi. (Mobile No. 0323-3368684)</t>
  </si>
  <si>
    <t>Deleted. After thorough investigation and all reports from Intelligence/Law Enforcement Agencies other circumstances of the case it is concluded that case does not fall within the domain of enforced disappearances.</t>
  </si>
  <si>
    <t>4544-P</t>
  </si>
  <si>
    <t>Mauhammad Zahid s/o Rafique Ahmed</t>
  </si>
  <si>
    <t>Rafique Ahmed, r/o Basti Yarani, P.O Zahir Pir, Tehsil Khanpur, District Rahim Yar Khan. (Mobile No. 0301-3865798)</t>
  </si>
  <si>
    <t>Traced Person. According to the JIT report dated 20/04/2018 Muhammad Zahid has been traced. He is confined in district Jail Mastung, Balochistan in case FIR No. 09 dated 06/03/2018 u/s 3/4ESA r/w 13-BAO and 7ATA PS CTD Quetta. The case is under trail before ATC, Quetta.</t>
  </si>
  <si>
    <t>Rahim Yar Khan</t>
  </si>
  <si>
    <t>4545-P</t>
  </si>
  <si>
    <t>Agha Rasool s/o Juma</t>
  </si>
  <si>
    <t>Khalil, r/o Ayesha Masjid, Bangish Colony, Pirwadhai, Rawalpindi. (Mobile No. 0315-4100042)</t>
  </si>
  <si>
    <t>Deleted, IO/SO Muhammad Nazir Baig submitted report that FIR No. 602 dated 08/11/2018 was registered regarding disappearance of Agha Rasool on the report of Khalil Ahmed who is son of the Missing Person. He also submitted that meither in the FIR, Khalil Ahmed had nominated any LEAs/Intelligence Agency nor during the course of investigation on evidence came on record regarding involement of any LEA/Secret Agency. JIT and PTF both concluded that the Missing Person had gone on his own. ISI, MI and CTD have denied appssions/ custody of Agah Rasool. Hence not a case of Enforced Disappearance. The case is closed.</t>
  </si>
  <si>
    <t>4546-P</t>
  </si>
  <si>
    <t>Muhammad Rafaqat Khan s/o Muhammad Fazal Khan</t>
  </si>
  <si>
    <t>Muhammad Fazal Khan, Kashmir Baker and Jubliee Sweet, New Muree, Tehsil Muree District Rawalpindi. (Mobile No. 0321-5950820)</t>
  </si>
  <si>
    <t>FIR No. 452 dated 11.11.17 u/s 365 PPC</t>
  </si>
  <si>
    <t>Traced Person. Apperared before the Commission at the hearing on 16/03/2018. Stated that he went to Karachi without informing his family.</t>
  </si>
  <si>
    <t>4547-P</t>
  </si>
  <si>
    <t>Abid Jamsheed s/o Jamsheed Ali</t>
  </si>
  <si>
    <t>Rana Farooq Ahmed, r/o Maqam Chak Gallan, P.O Mitran Wali Tehsil, Wazirabad, District Gujranwala. (Mobile No. 0301-3174400)</t>
  </si>
  <si>
    <t>Traced Person. SP, (Inv), Lahore, submitted report that Abid Jamsheed has Returned to Home and available at his house. Appeared before the Commission on 9.2.2018.</t>
  </si>
  <si>
    <t>4548-P</t>
  </si>
  <si>
    <t>Muhamad Shahzad s/o Haji Abdul Hadi</t>
  </si>
  <si>
    <t>Asad Ullah, r/o Basti yarani, Zahir Peer, Tehsil Khanpur, District Rahim Yar Khan. (Mobile No. 0302-7624966)</t>
  </si>
  <si>
    <t>Traced Person. Muhammad Shahzad has been traced as mentioned in the JIT report dated 20/04/2018. He is confined in District Jail Mastung, Balochistan in case FIR No. 09 dated 06/03/2018. The case is under trial by ATC, Quetta.</t>
  </si>
  <si>
    <t>4549-P</t>
  </si>
  <si>
    <t>Bashir Ahmed s/o Abdullah Jan</t>
  </si>
  <si>
    <t>Mehboob Ullah, r/o Store Tarana, Main Ada, Talmaba Road, Mukhdoom Pura, Tehsil &amp; District Khenawal. (Mobile No. 0345-1610407)</t>
  </si>
  <si>
    <t>FIR No. 18 dated 10.01.2018 u/s 365-PPC PS Makhdumpur, Khanewal</t>
  </si>
  <si>
    <t>Traced Person. DPO, Khanewal is present and submitted that missing person namely Bashir Ahmed s/o Abdullah Jan has returned to home. Accordingly the name Bashir Ahmed be deleted from the list of enforced disappearance.</t>
  </si>
  <si>
    <t>4550-P</t>
  </si>
  <si>
    <t>Dalawar Khan s/o Toti Khan</t>
  </si>
  <si>
    <t>Alam Sher, r/o Jalal Pur Bhatia, Haji Shakoor Market, Badana. (Mobile No. 0300-6033530)</t>
  </si>
  <si>
    <t>Traced Person. SP, (Inv), Hafizabad, submitted report that Dalawar Khan has Returned to Home.</t>
  </si>
  <si>
    <t>4551-P</t>
  </si>
  <si>
    <t>Muzaffar Ali Khan s/o Asghar Ali Khan</t>
  </si>
  <si>
    <t>Mst. Asma Muzaffar, r/o 76-L, Johar Town, Kokhar Chowk, Lahore. (Mobile No. 0335-5633952 &amp; 0335-4947018)</t>
  </si>
  <si>
    <t>Traced Person. DSP (Legal) Multan informed at the hearing on 22.3.2018 that Muzaffar Ali Khan has returned to home.</t>
  </si>
  <si>
    <t>4552-P</t>
  </si>
  <si>
    <t>Shahid Deen s/o Kamal Deen</t>
  </si>
  <si>
    <t>Ali Rehman, r/o Jalal Pur Bahatia, Shakoor Market, District Hafizabad. (Mobile No. 0301-6279145)</t>
  </si>
  <si>
    <t>Traced Person. SP, (Inv), Hafizabad, submitted report that Shahid Deen has Returned to Home.</t>
  </si>
  <si>
    <t>4553-P</t>
  </si>
  <si>
    <t>Khurram s/o Khalid Mehmood</t>
  </si>
  <si>
    <t>Muhammad Abdullah, r/o House No. ZB-1038, Mohallah Lala Abad, Khayban-e-Sir Syed Sector- III, Rawalpindi. (Mobile No. 0300-5573200 &amp; 0311-9608336)</t>
  </si>
  <si>
    <t>FIR No. 17, dated 09.1.18 u/s 365 PPC Ps Pirwadhai.</t>
  </si>
  <si>
    <t>Traced Person. Sheikh Muhammad Hafeez father in law of Khurram informed at the hearing on 04/04/2018 that he is confined in Central Jail, Multan in case FIR No. 06 dated 14/03/2018 u/s 4/5 ESA with 7-ATA, PS CTD, Multan.</t>
  </si>
  <si>
    <t>4554-P</t>
  </si>
  <si>
    <t>Saeed Muhammad s/o Muhammad Gull</t>
  </si>
  <si>
    <t>Abdul Manan, r/o Jalal Pur Bhatia, Pindi Road, Shell Pump, Iqbal Pura. (Mobile No. 0343-6631175)</t>
  </si>
  <si>
    <t>Traced Person. SP, (Inv), Hafizabad, submitted report that Saeed Muhammad has Returned to Home and available his house.</t>
  </si>
  <si>
    <t>4555-P</t>
  </si>
  <si>
    <t>Habib Ullah s/o Noor Muhammad</t>
  </si>
  <si>
    <t>Mehboob Ullah, r/o Mukhdoom Pura, District Khanewal. (Mobile No. 0345-1610407)</t>
  </si>
  <si>
    <t>FIR No. 09 dated 09.01.2018 u/s 365-PPC PS Kacha Khu, Khanewal</t>
  </si>
  <si>
    <t>Traced Person. Habib Ullah has been traced. He has returned home and appeared before the Commission on 21.6.2019 . His statement has been recorded on oath. According to which he was abducted on 8.5.2017 by unknown persons and set free on 5.3.2019.</t>
  </si>
  <si>
    <t>4957 &amp; 4555 same case</t>
  </si>
  <si>
    <t>4556-P</t>
  </si>
  <si>
    <t>Sami Ullah s/o Mehboob Ullah</t>
  </si>
  <si>
    <t>Mehboob Ullah, r/o Mehboob Ullah Iron Store, Tarana Bus Ada, Takamba Road, Mukhdoom Pura, Tehsil &amp; District Khanewal. (Mobile No. 0345-1610407)</t>
  </si>
  <si>
    <t>Traced Person. DSP Mian Channu, District Khanewal furnished JIT report dated 1.1.2021 on behalf of DPO Khanewal in which it is mentioned that the Missing Person returned to his home on 4.6.2020. Later Sami Ullah died on 19.7.2020 due to heart attack. All the relevant records have been produced. No further action is required. The case is closed.</t>
  </si>
  <si>
    <t>4557-B</t>
  </si>
  <si>
    <t>Waqar Ali s/o Haji Ghulam Muhammad</t>
  </si>
  <si>
    <t>Haji Ghulam Muhammad, r/o House No. 2204, 10-9, Mano Jan Quetta. (Mobile No. 0300-3878911)</t>
  </si>
  <si>
    <t>Traced Person. Report submitted at the hearing on 21.5.2018 by SSP (Inv) Quetta shows that the alleged Missing Person has returned to home on 3.4.2018. Haji Ghulam Muhammad father of traced person is also present and confirmed.</t>
  </si>
  <si>
    <t>4558-B</t>
  </si>
  <si>
    <t>Muhammad Ayub s/o Bashir Ahmed</t>
  </si>
  <si>
    <t>Riaz Ahmed, r/o Siryab Road, Quetta. (Mobile No. 0300-3876749)</t>
  </si>
  <si>
    <t>Traced Person. It was informed at the hearing held in this Commission during 21-26 January, 2019 at Quetta, that alleged Missing Person Muhammad Ayub has returned to home.</t>
  </si>
  <si>
    <t>4559-K</t>
  </si>
  <si>
    <t>Saeed Akbar s/o Ghulab Deen</t>
  </si>
  <si>
    <t>Muhammad Yaseen, r/o Tari Tang, P.O Sadda, Tehsil F.R, District Mohmand Agency. (Mobile No. 0302-8805205)</t>
  </si>
  <si>
    <t>4560-P</t>
  </si>
  <si>
    <t>Muhammad Waseem Abbasi s/o Muhammad Naseem Abbasi</t>
  </si>
  <si>
    <t>Muhammad Naseem Abbasi, r/o Pothar Sharif, Tehsil Murree, District Rawalpindi. (Mobile No. 0300-8350365)</t>
  </si>
  <si>
    <t>FIR No. 670 dt 08.07.17 u/s 365 PPC PS Airport, Rawalpindi</t>
  </si>
  <si>
    <t>Traced Person. Muhammad Waseem Abbassi returned to home and appeared in person whose statement has been recorded in oath. According to him he had gone to Dubai where he was taken to Jail by Tran Guard Headquarter. He was kept in Jail for one day and thereafter he was deported to Pakistan.</t>
  </si>
  <si>
    <t>4561-S</t>
  </si>
  <si>
    <t>Umar Ali s/o Habib Ullah</t>
  </si>
  <si>
    <t>Mst. Bakhat Wasela, r/o Nowelay, Mohallah Bhuran Khel, District Swat. (Mobile No. 0344-9602405)</t>
  </si>
  <si>
    <t>Traced Person. Umar Ali has been traced. Presently he is confined in Internment Centre Fizagat. Zafar Ali b/o Umar Ali is present. His statement on oath has been recorded; he has affirmed that his brother is confined in Internment Centre Fizagat.</t>
  </si>
  <si>
    <t>4562-K</t>
  </si>
  <si>
    <t>Abdul Rehman s/o Gul Rehman</t>
  </si>
  <si>
    <t>Gul Rehman, r/o Street No. 18, Patang Chowk, Near Spain Jamat , Afghan Colony, Peshawar. (Mobile No. 0305-9028820 &amp; 0340-0944674)</t>
  </si>
  <si>
    <t>4563-F</t>
  </si>
  <si>
    <t>Muhammad Zameen s/o Ghuam Mohi-ud-Din</t>
  </si>
  <si>
    <t>Gul Zameen, r/o Pawa Bandi, Tehsil Lal Qila, District Lower Dir. (Mobile No. 0341-9132040)</t>
  </si>
  <si>
    <t>Traced Person. As informed at the hearing on 16/10/2018 that Muhammad Zameen is confined in Internment Center Fizghat. Fazal Hayat son of Muhammad Zameen was present who has been appraised of the status of the case.</t>
  </si>
  <si>
    <t>4564-K
 &amp;
 5434-K</t>
  </si>
  <si>
    <t>Bakhtiyar Khan s/o Zar Muhammad</t>
  </si>
  <si>
    <t>Zar Muhammad, r/o Agara Bandi, Machani, Peshawar. (Mobile No. 0311-9113460 &amp; 0334-5034161)</t>
  </si>
  <si>
    <t>Deleted. In this case there is no eye witness and accordingly JIT concluded that the Missing Person has gone on his own. All stakeholders law denied arrest and custody of Bakhtiyar Ahmed. The case does not fall within the domain of enforced disappearance. Hence closed.</t>
  </si>
  <si>
    <t>4565-P</t>
  </si>
  <si>
    <t>Aziz Ullah s/o Mukhtar</t>
  </si>
  <si>
    <t>Mst. Frukh Bibi, r/o Koza Bandi, Bama Khel, Tehsil Matta, District Swat. (Mobile No. 0312-4725587)</t>
  </si>
  <si>
    <t>FIR No. 57/18 dt 22.01.2018 u/s 365-PPC PS City Raiwind Lahore</t>
  </si>
  <si>
    <t>4566-P 4810-P are same cases</t>
  </si>
  <si>
    <t>Raza Mehmood Khan s/o Muhammad Ismail Khan</t>
  </si>
  <si>
    <t>Ms. Saeeda Diep, Center of Peace and Secular Studies, 802-Al Qadir Heights, New Garden Town, Lahore. Mobile No. 0321-8445072)</t>
  </si>
  <si>
    <t>Traced Person. Raza Mehmood Khan entered appearance before the Commission on 10/08/2018 and submitted that he has returned to home.</t>
  </si>
  <si>
    <t>4567-S</t>
  </si>
  <si>
    <t>Ulfat Altaf</t>
  </si>
  <si>
    <t>r/o, Apartment No. 131, Phase No. 01, Gulshan-e-Hadeed Colony, Double Road Street,Karachi.</t>
  </si>
  <si>
    <t>Deleted. Due to incomplete address ASI, Mian Muhammad Hussain, PS Steel Town visted the given address and the occupant of the house Dil Murad informed him that no one in the name of Ulfat Altaf had ever resided on the given address.</t>
  </si>
  <si>
    <t>4568-B</t>
  </si>
  <si>
    <t>Sanal Ullah s/o Ismail</t>
  </si>
  <si>
    <t>r/o, House No. R-18, Rehma Villas, University Road, KDA Scheme No. 33, Karachi.</t>
  </si>
  <si>
    <t>Traced Person. Hussain Jan, Deputy Commissioner, Awaran appeared before the Commission on 9.1.2020 at Quetta, whose statement has been recorded on oath. He has stated that Sana Ullah s/o Muhammad Ismail has returned home on 18.3.2019. In this connection, he has also produced Affidavit of Ahmad Khan brother of Sana Ullah, wherein it has been stated that Ssna Ullah has returned home on 18.3.2019 and now a days he is studying in Karachi.</t>
  </si>
  <si>
    <t>4569-S</t>
  </si>
  <si>
    <t>Rafeeq Baloch s/o Rahim Bux</t>
  </si>
  <si>
    <t>r/o Kanari Village, Tehsil Mashkey, District Awaran, Balochistan.</t>
  </si>
  <si>
    <t>Traced Person. Hearing was held in this case on 20.2.2021 at Karachi at which it has been confirmed by the Traced Person that he was abducted by unknown persons on 15.11.2017 and released after 16 months ten days. He deposed in his statement that his friend , Hassan also set free</t>
  </si>
  <si>
    <t>4570-B</t>
  </si>
  <si>
    <t>Ahmed Naseer s/o Swati</t>
  </si>
  <si>
    <t>r/o, Lal Bazar, Kaharo Area, Tehsil Jajl Jahao, District Awaran, Balochistan.</t>
  </si>
  <si>
    <t>54401-7098423-7</t>
  </si>
  <si>
    <t>Traced Person. Hearing was held in this case on 20.2.2021 at Karachi at which it has been confirmed by the Traced Person that he was abducted by unknown persons on 15.11.2017 and released after 16 months ten days. He deposed in his statement that his friend Rafiq, Hassan also set free.</t>
  </si>
  <si>
    <t>4571-S</t>
  </si>
  <si>
    <t>Hassan s/o Ghulam Muhammad</t>
  </si>
  <si>
    <t>52205-7770868-1</t>
  </si>
  <si>
    <t>Traced Person. Hearing was held in this case on 20.2.2021 at Karachi at which it has been confirmed by the Traced Person that he was abducted by unknown persons on 15.11.2017 and released after 16 months ten days. He deposed in his statement that his friend , Rafiq also set free.</t>
  </si>
  <si>
    <t>4572-S</t>
  </si>
  <si>
    <t>Ahmed Sageer</t>
  </si>
  <si>
    <t>r/o, Teertej Village, District Awaran, Balochistan.</t>
  </si>
  <si>
    <t>Traced Person. It was informed at the hearing held in this Commission on 26.2.2019 that Mr. Sagheer Ahmed has returned to home as informed by the Rep of IG of Police.</t>
  </si>
  <si>
    <t>4573-K</t>
  </si>
  <si>
    <t>Molvi Syed Amin Shah s/o Yar Shah</t>
  </si>
  <si>
    <t>Haji Muhammad Sharif r/o, Bazaid Khel, Village Ormar, Tehsil Central District Orakzai Agency. (Mobile No. 0303-9896357)</t>
  </si>
  <si>
    <t>Under Investigation (KP) Peshwar</t>
  </si>
  <si>
    <t>4574-K</t>
  </si>
  <si>
    <t>Muhammad Abid s/o Syed Kalam</t>
  </si>
  <si>
    <t>Muhammad Jameel, r/o Village Saeedabad, Near Subhan Motors, Tehisl Shabaqadar, District Charsadda. (Mobile No. 0344-6046316 &amp; 0333-9137356)</t>
  </si>
  <si>
    <t>4575-S</t>
  </si>
  <si>
    <t>Farhan Ijaz s/o Ijaz Ali</t>
  </si>
  <si>
    <t>Mst. Naseema Farhan, r/o C-520, Rado Lavins, Block-13, Gulistan-e-Johar, Karachi. (Mobile No. 0336-9239096)</t>
  </si>
  <si>
    <t>FIR No. 506/17, u/s 365 PPC, dated 25/07/17 Police Station, Gat Jao</t>
  </si>
  <si>
    <t>Traced Person. It was informed at the hearing held on 24/04/2018 by SDPO Shahrah-e Faisal that Farhan Ijaz has returned to home.</t>
  </si>
  <si>
    <t>4576-K</t>
  </si>
  <si>
    <t>Tariq Iqbal s/o Khyber Khan</t>
  </si>
  <si>
    <t>Mst. Zarmena, r/o Mohallah Barkey, Sadio Sharif, Tehsil Babu Zai District Swat. (Mobile No. 0340-3747008)</t>
  </si>
  <si>
    <t>FIR No. 48, u/s 365 PPC, dated 22/01/18 Police Station, Saidu Sharif</t>
  </si>
  <si>
    <t>4577-S</t>
  </si>
  <si>
    <t>Zakir Ullah s/o Imam Muhammad</t>
  </si>
  <si>
    <t>Mst. Maryam Bibi, r/o Mohallah Pakhtoonabad, Mango Pir, Karachi. (Mobile No. 0305-8937603)</t>
  </si>
  <si>
    <t>4578-P</t>
  </si>
  <si>
    <t>Sakina Bibi d/o Muhammad Yaqoob</t>
  </si>
  <si>
    <t>Muhammad Yaqoob, r/o P.O Ahmed Pura, Chak No. 93, NB, Tehsil &amp; District Sargodha. (Mobile No. 0301-2355117)</t>
  </si>
  <si>
    <t>Closed. The case is pending adjudication before Court of competent jurisdiction. DPO, Sargodha was present at the hearing on 30/08/2018. He has been directed to take care of the case is accordance with law. No further action is required to be taken by the Commission.</t>
  </si>
  <si>
    <t>4579-P</t>
  </si>
  <si>
    <t>Muhammad Hasham s/o Shabbir Ahmed Khan</t>
  </si>
  <si>
    <t>Hassan Wahab Khan, r/o House No. V/286, Street No. 05, Mohallah Farooquia, Chakala Village, Rawalpindi. (Mobile No. 0345-5188204)</t>
  </si>
  <si>
    <t>FIR No. 765, dt 06.08.17 u/s 365 PPC PS Airport, Rawalpindi.</t>
  </si>
  <si>
    <t>4580-K</t>
  </si>
  <si>
    <t>Muhammad Ibrar s/o Muhammad Iqbal</t>
  </si>
  <si>
    <t>Muhammad Izhar, r/o Mohallah Noor Kunday, Mughal Zai, Tekhal, Peshawar. (Mobile No.0333-5575725)</t>
  </si>
  <si>
    <t>4581-K</t>
  </si>
  <si>
    <t>Muhammad Usman s/o ghulam Qasim</t>
  </si>
  <si>
    <t>Ghulam Qasim, r/o Mohallah Noor Kunday, Mughal Zai, Tekhal, Peshawar. (Mobile No.0346-8899808)</t>
  </si>
  <si>
    <t>4582-P</t>
  </si>
  <si>
    <t>Abdul Ghafoor s/o Abdul Hayee</t>
  </si>
  <si>
    <t>Adnan Gul, r/o 548-A, Lane No. 05, Peshawar Road, Rawalpindi. (Mobile No. 0331-5552103)</t>
  </si>
  <si>
    <t>FIR No. 87dated 14/03/2018 u/s 365 PPC PS Westrage Rawalpindi</t>
  </si>
  <si>
    <t>Deleted. The Missing Person Abdul Ghafoor (73 years old) went missing on 28.11.2017. There is no eye witness of his abduction and no allegation against any LEAs/ intelligence Agency. JIT has also concluded that the Missing Person has gone on his own.</t>
  </si>
  <si>
    <t>4583-K</t>
  </si>
  <si>
    <t>Qazi Muhammad Nisar Khan s/o Qazi Nasar Khan</t>
  </si>
  <si>
    <t>Qiaz Muhammad Riaz, r/o Qilla Faqir Kallay, Peshawar. (Mobile No. 0314-9014227 &amp; 0321-9130193)</t>
  </si>
  <si>
    <t>Traced Person. Qazi Muhammad Nisar Khan appeared before the Commission at the hearing held on 13/04/2018. He has returned to home safely.</t>
  </si>
  <si>
    <t>4584-K</t>
  </si>
  <si>
    <t>Abdul Ghafoor s/o Talal</t>
  </si>
  <si>
    <t>Talal, r/o Village Masood Khel, Old Bazar, Charsadda Town, District Charsadda.</t>
  </si>
  <si>
    <t>Traced Person. Not a case of enforced disappearance. Mr. Abdul Ghafoor Khan, Pakistani national about 80 years old holder of CNIC No. 17101-2962811-3 and Passport No. NY413811 domiciled in the village Masood Khel Old Bazar Charsadda Town Tehsil &amp; District Charsadda, was arrested by the Madina Police near Masjid-e-Nabvi, gate No. 20, Saudi Arabia, after an alleged altercation.</t>
  </si>
  <si>
    <t>4585-P</t>
  </si>
  <si>
    <t>Siraj Khan s/o Nadir Khan</t>
  </si>
  <si>
    <t>Nizam Khan, r/o New Afzal Town, Yaqoob Haweli, District Rawalpindi. (Mobile No. 0302-5423095)</t>
  </si>
  <si>
    <t>FIR No. 27, dt 14.01.18 u/s 365 PPC PS Airport, Rawalpindi.</t>
  </si>
  <si>
    <t>4586-I</t>
  </si>
  <si>
    <t>Shah Muhammad Faisal Amadi s/o Muhammad Abdul Rehman Amadi</t>
  </si>
  <si>
    <t>Muhammad Abdul Rehman Amadi, r/o House No. 258, Street 70, G-10/3, Islamabad. (Mobile No. 0321-5070582)</t>
  </si>
  <si>
    <t>61101-7723453-7</t>
  </si>
  <si>
    <t>FIR No. 34 dated 27/01/2018 u/s 365 PPC PS Ramna, Isb</t>
  </si>
  <si>
    <t>Deleted. Several hearings held in this case, the last one on 21.5.2020. Both JIT and PTF have given concurrent findings that the Missing Person has gone on his own. LEAs/CTD have denied apprehension/custody of Shah Muhammad Faisal. Accordingly, the case does not fall within the domain of enforced disappearances. Hence closed.</t>
  </si>
  <si>
    <t>4587-K</t>
  </si>
  <si>
    <t>Hazrat Ullah s/o Yar Alam Khan</t>
  </si>
  <si>
    <t>Ghalaf Khan, r/o Shop No. 22, Block No. B, Shanweri Market, Karkhano Market, Peshawar. (Mobile No. 0307-8393885 &amp; 0344-9744016)</t>
  </si>
  <si>
    <t>4588-P</t>
  </si>
  <si>
    <t>Amjad Khan s/o Fazal Rabi</t>
  </si>
  <si>
    <t>Manzoor, r/o Peshawar Mor, Milad Chowk, Dhowk Mustaqeem, Rawalpindi. (Mobile No. 0304-5061460)</t>
  </si>
  <si>
    <t>FIR No. 82, dt 08.02.18 u/s 365 PPC PS Naseerabad, Rawalpindi</t>
  </si>
  <si>
    <t>4589-F</t>
  </si>
  <si>
    <t>Waris Khan s/o Manzary Khan</t>
  </si>
  <si>
    <t>Imran Khan, r/o Foji Colony, Mandi Mor, Street No. 09, Pir Wadhai, Rawalpindi. (Mobile No. 0342-5661122)</t>
  </si>
  <si>
    <t>21405-3151531-3</t>
  </si>
  <si>
    <t>4590-P</t>
  </si>
  <si>
    <t>Nasir Shahrezai s/o Sherazi</t>
  </si>
  <si>
    <t>FIR No. 1242/17 dated 15.12.2017 u/s 365 PPC Ps Satoketla</t>
  </si>
  <si>
    <t>Traced Person. SP, (Inv), Lahore, submitted report that Nasir Shahrezai has Returned to Home. He was kept in confinement for one month</t>
  </si>
  <si>
    <t>4591-S</t>
  </si>
  <si>
    <t>Sajjad</t>
  </si>
  <si>
    <t>r/o, Appartment No. 131, Phase No. 01, Gulshan-e-Hadeed Colony, Double Road Street, Karachi.</t>
  </si>
  <si>
    <t>Deleted. Due to incomplete address ASI, Mian Muhammad Hussain, PS Steel Town visted the given address and the occupant of the house Dil Murad informed him that no one of the name of Sajjad had ever resided on the given address.</t>
  </si>
  <si>
    <t>4592-S</t>
  </si>
  <si>
    <t>Ilyas Muhammad</t>
  </si>
  <si>
    <t>r/o, Kohi Ghot, Pada Bin Qasim Town, Malir, Karachi.</t>
  </si>
  <si>
    <t>Traced Person. Faiz Muhammad father of Muhammad Ilyas confirmed at the hearing held in this Commission that his son has returned to home on 9.3.2019. His statement to this effect is available on record.</t>
  </si>
  <si>
    <t>4593-K</t>
  </si>
  <si>
    <t>Anwar Subhan s/o Khan Toti</t>
  </si>
  <si>
    <t>Mst. Badar Haram, r/o Tehsil Khoza Khel, District Swat. (Mobile No. 0346-9431375)</t>
  </si>
  <si>
    <t>Traced Person. It has been intimated at the hearing on 30/10/2018 that Anwar Subhan has been traced. He is presently confined in the Internment Center Paithom. Khaista Khan brother of traced person present. He has been apprised of status of the case. Family members of Anwar Subhan shall be facilitated to see him in the Internment Center as per rule and procedure.</t>
  </si>
  <si>
    <t>4594-K</t>
  </si>
  <si>
    <t>Imran s/o Bashir Khan</t>
  </si>
  <si>
    <t>Naseer Ahmed, r/o Village Kot Kat, P.O Gul Reham, Tehsil &amp; Distrrict Tank. (Mobile No. 0344-8993722 &amp; 0344-8953722)</t>
  </si>
  <si>
    <t>Deleted. Despite issuance of notice on 15.6.2021 and 26.10.2021 complainant Naseer Ahmed has not entered appearance for recording his statement. Eleven JIT meetings were held in which the case was categorized as a case of missing person has gone on his own. Reports of ISI, MI, FC/KP North and South and CTD indicate that Imran was neither arrested nor in custody. Hence, the case is closed.</t>
  </si>
  <si>
    <t>4595-K</t>
  </si>
  <si>
    <t>Shafi Ullah s/o Adrmean</t>
  </si>
  <si>
    <t>Meera Khan, r/o Zari Khor, Tehsil &amp; District Wanna. (Mobile No. 0307-8418123 )</t>
  </si>
  <si>
    <t>Deleted. The instant case has been categorized by JIT as well as PTF as Missing Person has gone on his own. During the course of investigation no evidence came on record to infer that it was a case of enforced disappearance. There is no allegation against any LEA/ Intelligence Agency. IB report is not adverse in nature. Reps of ISI MI, FC/KP and CTD denied custody of Shafi Ullah. Hence not a case of enforced disappearance. The case is closed.</t>
  </si>
  <si>
    <t>4596-K</t>
  </si>
  <si>
    <t>Gulla Jan s/o Ghulam Khan</t>
  </si>
  <si>
    <t>Ehsaan Ullah , r/o Peer Qila, Jumma Khan Korana, Rashki Tehsil &amp; District, Charsadda. (Mobile No. 0333-9080130 &amp; 0345-9090440)</t>
  </si>
  <si>
    <t>4597-K</t>
  </si>
  <si>
    <t>Iqbal Marjan s/o Haji Sarwar Jan</t>
  </si>
  <si>
    <t>Khayal Marjan, r/o Village Peer Qayyum, Tehsil Sadda, District Kurram Agency. (Mobile No. 0301-5858501)</t>
  </si>
  <si>
    <t>21302-9865428-5</t>
  </si>
  <si>
    <t>4598-F</t>
  </si>
  <si>
    <t>Muhammad Ghazi s/o Umar Zai</t>
  </si>
  <si>
    <t>Sajid ullah, r/o Canal Roal, Near Khalil Road Acadmey Town, Peshawar. (Mobile No. 0335-0171616 &amp; 0315-9338877)</t>
  </si>
  <si>
    <t>Traced Person. Muhammad Ghazi has been traced. Mr. Yousaf Ali Khan AC/APO SWTD is present. His Statement has been recorded on oath. According to his statement JIT meeting was convened on 07.09.2018. In the JIT meeting Rep of IB disclosed that Muhammad Ghazi has returned to home.</t>
  </si>
  <si>
    <t>4599-S</t>
  </si>
  <si>
    <t>Danish Rashid s/o Abdul Rashid</t>
  </si>
  <si>
    <t>Mst. Khadija Karim, r/o House No. ST-11/4, Block No. 07, Gulshan-e-Iqbal, Karachi. (Mobile No. 0336-0300708)</t>
  </si>
  <si>
    <t>42201-7774731-3</t>
  </si>
  <si>
    <t>Direct/ MoFAs No. 10008443</t>
  </si>
  <si>
    <t>4600-S</t>
  </si>
  <si>
    <t>Dr. Junaid Rashid s/o Abdul Rashid</t>
  </si>
  <si>
    <t>Mst. Mehr Rashid, r/o House No. R-61, Pioneer Foundation Phase No. 01, Sector 22, Scheme No. 33, Gulzar-e-Hijri, Karachi. (Mobile No. 0336-8571922)</t>
  </si>
  <si>
    <t>42201-7773686-3</t>
  </si>
  <si>
    <t>Direct/ MoFAs No. 100084442</t>
  </si>
  <si>
    <t>4601-K</t>
  </si>
  <si>
    <t>Saif Ullah s/o Zahir Shah</t>
  </si>
  <si>
    <t>Zahir Shah, r/o Kandi Mughal Zai, Mohallah Zuqam Abad, Near Masjid Tekhal Bala, Peshawar. (Mobile No. 0312-9193193)</t>
  </si>
  <si>
    <t>Traced Person. According to report received from Rep of MI, Saif Ullah case has been earmarked for trial by military Court, which is subject to approval by the Federal Government. Father of Saif Ullah is present. He has been apprised of status of the case.</t>
  </si>
  <si>
    <t>4602-K</t>
  </si>
  <si>
    <t>Sarfraz Khan s/o Sanobar Khan</t>
  </si>
  <si>
    <t>Mst. Bakhat Zeba, r/o Angaro Dheri, Peer Aman Qila, Mingora, Swat. (Mobile No. 0345-3470880 &amp; 0345-3470885)</t>
  </si>
  <si>
    <t>4603-K</t>
  </si>
  <si>
    <t>Hazrat Ali s/o Muhammad Abbas</t>
  </si>
  <si>
    <t>Mst. Nazneana, r/o Megi, Tehsil Kabal, District Swat. (Mobile No. 0347-5770135)</t>
  </si>
  <si>
    <t>114-89-181571</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</si>
  <si>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Hazrat Ali s/o Muhammad Abbas. Hence, not a case of enforced disappearance. The case is closed.</t>
  </si>
  <si>
    <t>4604-K</t>
  </si>
  <si>
    <t>Afzal Khan s/o Muhammad Sadiq</t>
  </si>
  <si>
    <t>Mst. Wasal Bibi, r/o Mohallah Mat Khel, Qambar, Tehsil Babu Zai, District Swat. (Mobile No. 0311-0940814)</t>
  </si>
  <si>
    <t>4605-K</t>
  </si>
  <si>
    <t>Sher Muhammad s/o Khayal Man</t>
  </si>
  <si>
    <t>Mst. Basri Bibi, Qambar Khel, Tehsil Lower, District Orkzai Agency. (Mobile No. 0336-9296588 &amp; 0334-9828227)</t>
  </si>
  <si>
    <t>FIR No. 785/dated 10/11/2020 u/s 364-PPC PS Matani District Peshawar</t>
  </si>
  <si>
    <t>4606-P</t>
  </si>
  <si>
    <t>Asad Mehmood s/o Mehmood Ahmed</t>
  </si>
  <si>
    <t>Waqar Mehmood, r/o P.O Nool Tehsil Pasror, District Sialkot. (Mobile No. 0323-7447197 &amp; 0345-1001015)</t>
  </si>
  <si>
    <t>FIR No. 238/04dated 15/07/2004 u/s 364-PPC PS Sadar Pasror District Sialkot</t>
  </si>
  <si>
    <t>Deleted. Having regard to the facts and circumstances of the case further proceedings in the matter would be a futile exercise by the Commission, as the case hardly falls within the domain of the Commission. Accordingly the case stands disposed of.</t>
  </si>
  <si>
    <t>4607-F</t>
  </si>
  <si>
    <t>Qasim s/o Samand Khan</t>
  </si>
  <si>
    <t>Asghar Khan, r/o Umar Khan Meel, Sour Dund, Fort Solap Camp, Bara Tehsil Bara, District khyber Agency. (Mobile No. 0307-0734931 &amp; 0344-0734931)</t>
  </si>
  <si>
    <t>Traced Person. Qasim has been traced presently he is confined in District jail Kohat. According to report received from Rep of MI Qasim has been awarded seven years Rigorous Imprisonment by Military Court and he is confined in District Jail, Kohat. Hence, not a case of enforced disappearance. The case is closed.</t>
  </si>
  <si>
    <t>4608-P</t>
  </si>
  <si>
    <t>Salam Khan s/o Noor Alam</t>
  </si>
  <si>
    <t>Akhtar Mehmood, r/o Village Gondal, Street No. 19, Tehsil Taxila, District Rawalpindi. (Mobile No. 0345-5787791 &amp; 1313-5262515)</t>
  </si>
  <si>
    <t>4609-K</t>
  </si>
  <si>
    <t>Adil Khan s/o Khan Muhammad</t>
  </si>
  <si>
    <t>Mst. Fozia Bibi, r/o Nusrat Zai, Tehsil Shabaqadar, District Charsadda. (Mobile No. 0343-1972048 &amp; 0335-9935531)</t>
  </si>
  <si>
    <t>Deleted. During the course of inquiry, no clue could be found that any LEA/ Intelligence Agency was involved in disappearance of Adil Khan The case has been categorized as of missing person has gone on his own by JIT as well as PTF. The complainant Mst. Fozia Bibi or her authorized representative was summoned twice for recording statement but none entered appearance despite issuance of notices. All stakeholders have denied arrest/custody of Adil Khan s/o Khan Muhammad Hence, not a case of enforced disappearance. The case is closed.</t>
  </si>
  <si>
    <t>4610-B</t>
  </si>
  <si>
    <t>Akhtar Muhammad s/o Malik Suleman Khan</t>
  </si>
  <si>
    <t>Bilal Ahmed, r/o Kuli Malik, Essa Khan Post Office, Taftan, Chaghi. (Mobile No. 0333-6665573)</t>
  </si>
  <si>
    <t>4611-B</t>
  </si>
  <si>
    <t>Hafeez Ullah s/o Khudaye Nazar</t>
  </si>
  <si>
    <t>Bashir Ahmed, r/o P.O Taftan, Tehsil Taftan, District Chaghi. (Mobile No. 0334-2412854 &amp; 0349-36514095)</t>
  </si>
  <si>
    <t>Traced Person. Khuda-e-Nazar father of the traced person appeared before the Commission on 10/12/2018 and stated his son Hafiz Ullah had come back in 21/07/2018.</t>
  </si>
  <si>
    <t>4612-B</t>
  </si>
  <si>
    <t>Habib-ur-Rehman s/o Saad Ullah</t>
  </si>
  <si>
    <t>Abdul Rehman, r/o District Noshki, Kuli Ghareebabad, Near New Ada, Ward No. 02. (Mobile No. 0336-8152490 &amp; 0349-3651409)</t>
  </si>
  <si>
    <t>Deleted Hearing held in this case on 25.5.2018. After due consideration the Commission is of the considered opinion that the alleged incident as mentioned in the Proforma was not at all mentioned or disclosed in the earlier documents. Therefore, the Commission agrees with the findings of the JIT that it is not a case of enforce disappearance.</t>
  </si>
  <si>
    <t>4613-P</t>
  </si>
  <si>
    <t>Muhammad Safran s/o Ghulam Muhammad</t>
  </si>
  <si>
    <t>Ibrar Ahmed, r/o Village Nika Kala, P.O Khas, Tehsil Pindi Gheab, District Attock. (Mobile No. 0345-0225673)</t>
  </si>
  <si>
    <t>Deleted. According to the report submitted at the hearing on 5.9.2019 by SHO PS, Pindigheb, a case is under trial in the Court of learned Addl. Session Judge Pindigheb against four accused persons i.e Sher Khan, Wasim Hassan, Anwar Abbas and Usman Haider. Hence not a case of enforced disappearance.</t>
  </si>
  <si>
    <t>4614-F</t>
  </si>
  <si>
    <t>Noor Ghulab s/o Saeed Ghulab</t>
  </si>
  <si>
    <t>Saeed Ghulab, r/o Shop No. 22, Block No. B, Shenwari Market, karkhano Market, Peshawar. (Mobile No. 0333-9379557 &amp; 0306-9371706)</t>
  </si>
  <si>
    <t>4615-P</t>
  </si>
  <si>
    <t>Inam Gul s/o Rasheed Khan</t>
  </si>
  <si>
    <t>Baz Gul, r/o Thata Khel Road, Near Grid Station, Tazila. (Mobile No. 0300-2657770)</t>
  </si>
  <si>
    <t>Traced Person. It has been informed at the hearing on 15/11/2018 that Inam Gul was confined in the Ghalani lock-up. Family members have already met Inam Gul.</t>
  </si>
  <si>
    <t>4616-K</t>
  </si>
  <si>
    <t>Kabir Muhammad s/o Nazar Muhammad</t>
  </si>
  <si>
    <t>Nazar Muhammad, r/o Kochano Kilay, Tehsil Tangi. District Charsadda. (Mobile No. 0344-4378983 &amp; 0347-8535708)</t>
  </si>
  <si>
    <t>Traced Persom. It was informed at the hearing held in this case on 03/05/2018 by DIG (Inv), HQ, Peshawar that Kabir Muhammad was confined in Judicial lock-up Ghalani, Mohmand Agency. DSP Tangi further reported that Kabir Muhammad had now returned to home.</t>
  </si>
  <si>
    <t>4617-K</t>
  </si>
  <si>
    <t>Saeed Karam s/o Ibrahim</t>
  </si>
  <si>
    <t>Mukram Jan, r/o Jandi Bazar, Tehsil Tangi, District Charsadda. (Mobile No. 0344-4378983)</t>
  </si>
  <si>
    <t>Traced Person. Returned to home. Saeed Khan entered appearance before the Commission on 26.3.2018 and confirmed his return to home.</t>
  </si>
  <si>
    <t>4618-P</t>
  </si>
  <si>
    <t>Munshi Khan s/o Amrat Khan</t>
  </si>
  <si>
    <t>Mst. Naseem Bibi, r/o House No. 01, Morcha No. 02, New Kacha Jail Road, Chongi Amar Sadu, Lahore. (Mobile No. 0321-4737577 &amp; 0300-4319989 &amp; 0335-3132900)</t>
  </si>
  <si>
    <t>4619-S</t>
  </si>
  <si>
    <t>Junaid s/o Mansoor Khan</t>
  </si>
  <si>
    <t>Bakhat Mir, r/o House No. 424, Sector No. 4-F, Khyber Colony, Korangi Town, Karachi. (Mobile No. 0322-2111462)</t>
  </si>
  <si>
    <t>Traced Person. Brother of Missing Person submitted that Missng Person Junaid was arrested by CTD and he is presently in Central Jail, Karachi.</t>
  </si>
  <si>
    <t>4620-P</t>
  </si>
  <si>
    <t>Muhammad Naveed Sabir s/o Sabir Ali</t>
  </si>
  <si>
    <t>Muhammad Umar Sabir, r/o Chak No. 327, GB, Tehsil Pir Mehal, District Toba Tek Singh. (Mobile No. 0332-6138472)</t>
  </si>
  <si>
    <t>Traced Person. DPO, Toba Tek Singh, submitted report that Muhammad Naveed has Returned to Home and available at his House Chak No. 327, GB, Tehsil Pir Mehal, District Toba Tek Singh.</t>
  </si>
  <si>
    <t>Toba Tek Singh</t>
  </si>
  <si>
    <t>4621-S</t>
  </si>
  <si>
    <t>Shah Faisal s/o Akbar Khan</t>
  </si>
  <si>
    <t>Akbar Khan, r/o House No. A-1247, New Sultan Abad, Mango Pir, Karachi.(Mobile No. 0333-2233412 &amp; 0311-2233412)</t>
  </si>
  <si>
    <t>Traced Person. It was informed at the hearing held in this Commission on 26-06-2018 that Mr. Shah Faisal has returned to home. He appeared before the Commission. The statement of traced person has been recorded u/s 164 CrPC, which is available on record.</t>
  </si>
  <si>
    <t>4622-K</t>
  </si>
  <si>
    <t>Yasir Ali s/o Ghaffer Ali</t>
  </si>
  <si>
    <t>Ghaffer Ali, r/o Ibrahim Zai, Tehsil &amp; District, Charsadda. (Mobile No. 0314-9952923)</t>
  </si>
  <si>
    <t>Traced Person. Yasir Ali has been traced. He submitted before the Commission that he remained in detention for 10 months and had returned home. He however did not furnish further details regarding place of detention and persons involved in his disappearance for obvious reasons.</t>
  </si>
  <si>
    <t>4623-P</t>
  </si>
  <si>
    <t>Abdul Jabbar s/o Haji Abdul Ghaffor</t>
  </si>
  <si>
    <t>Mst. Rehana Bibi, r/o Usama Comercial Centar, Fazal Pura, Tehsil &amp; District Rajanpur. (Mobile No. 0336-8358081)</t>
  </si>
  <si>
    <t>Traced Person. Superintendent , Central Prision, Rawalpindi, submitted report that Abdul Jabbar is confined in Prison since 29/01/2018 for being involved in case FIR NO. 3/2018 u/s 3/4 ESA r/w 7ATA of PS CTD, Rawalpindi.</t>
  </si>
  <si>
    <t>4624-I</t>
  </si>
  <si>
    <t>Waseem Riaz s/o Mir Sahib Khan</t>
  </si>
  <si>
    <t>Mir Sahib Khan, r/o Taj Zai, Tehsil &amp; District Lakki Marwat. (Mobile No. 0346-5719171 &amp; 0334-8857832)</t>
  </si>
  <si>
    <t>11201-1205720-5</t>
  </si>
  <si>
    <t>FIR No. 362 dated 09/12/2017 u/s 365 PPC PS Aabpara, Islamabad</t>
  </si>
  <si>
    <t>Deleted. It has been reported that it is not a case of enforced disappearance. Rather Waseem Riaz was murdered and the case was processed at legal forums as per law. Hence, the case is closed.</t>
  </si>
  <si>
    <t>4625-K</t>
  </si>
  <si>
    <t>Hazrat Hussain s/o Usman Ghani</t>
  </si>
  <si>
    <t>Usman Ghani, r/o Meera Chowk, Village Saleem Khan, P.O Qaziabad, Tehsil &amp; District Swabi. (Mobile No. 0332-9408056 &amp; 0344-2725440)</t>
  </si>
  <si>
    <t>Traced Person. SP (Inv), Swabi has submitted that Hazrat Hussain has been traced and he has returned to home. An affidavit of Hazrat Hussain has also been furnished by SP (Inv), Swabi.</t>
  </si>
  <si>
    <t>4626-I</t>
  </si>
  <si>
    <t>Nabeel Riaz s/o Muhammad Riaz</t>
  </si>
  <si>
    <t>Shah Rukh Riaz, r/o Mohallah Shaddat Khel, Village Khaki, Tehsil &amp; District Charsadda. (Mobile No. 0334-5333910)</t>
  </si>
  <si>
    <t>Traced Person. Shah Rukh Riaz brother of Nabeel Riaz confirmed at the hearing on 12/03/2018 that his brother has returned to home on 28/01/2018.</t>
  </si>
  <si>
    <t>4627-F</t>
  </si>
  <si>
    <t>Usman s/o Rehmani Gul</t>
  </si>
  <si>
    <t>Rehmani Gul, r/o Inayat Kilay, Tehsil Khar, Ddistrict Bnaour Agency. (Mobile No. 0303-8762317 &amp; 0302-3940437 &amp; 0307-8188199).</t>
  </si>
  <si>
    <t>21103-5385273-9</t>
  </si>
  <si>
    <t>4628-S</t>
  </si>
  <si>
    <t>Deedar Ali Shabirani s/o Wahid Bux Shabirani</t>
  </si>
  <si>
    <t>Mst. Rubena r/o, House No E-55, Block No. E, Shahnawaz Shar Village Scheme No. 33, Karachi.</t>
  </si>
  <si>
    <t>Traced Person. It was informed a the hearing held in this Commission on 09/01/2019 that Mr. Deedar Ali Shah has returned to home. The report submitted by the Police Officer SDPO, Sachal, Aftab Alam is placed on record.</t>
  </si>
  <si>
    <t>4629-F</t>
  </si>
  <si>
    <t>Zahoor Ahmed s/o Moin Shah</t>
  </si>
  <si>
    <t>Moin Shah, r/o , Umar Khan Khel, Bahudar Khel, Sour Dhand Khajori, Tehsil Bara, District Khyber Agency. (Mobile No. 0345-9032032 &amp; 0300-4141371)</t>
  </si>
  <si>
    <t>21201-9356190-9
 Father CNIC</t>
  </si>
  <si>
    <t>Traced Person. Zahoor Ahmed has been traced. Rep of MI was present at the hearing on 25.2.2019. He has submitted that Zahoor Ahmed is being put on trial by military court, however, his case has been held in abeyance due to the reason that enactment pertaining to military courts has not been extended beyond 06.01.2019.</t>
  </si>
  <si>
    <t>FATA/ Khyber</t>
  </si>
  <si>
    <t>4630-K</t>
  </si>
  <si>
    <t>Ibad Ullah s/o Kifayat Ullah</t>
  </si>
  <si>
    <t>Kaifyat Ullah, r/o Siddique Abad, P.O Tehsil &amp; District Peshawar. (Mobile No. 0314-9072896 &amp; 0315-923425)</t>
  </si>
  <si>
    <t>4631-F</t>
  </si>
  <si>
    <t>Rehman Ullah s/o Qasim Khan</t>
  </si>
  <si>
    <t>Qasim Khan, r/o Bijli Nagar Bala, Dakana Lakar, Tehsil &amp; District Mehmond Agency. (Mobile No. 0301-5216990. 0489667523)</t>
  </si>
  <si>
    <t>21405-6935993-1</t>
  </si>
  <si>
    <t>4632-K</t>
  </si>
  <si>
    <t>Zabih Ullah Khan s/o Muhammad Sardar</t>
  </si>
  <si>
    <t>Sardar Wali, r/o House No. 30, Gali No. 18, Phase-II, Hayatabad, Peshawar (Mobile No. 0310-4476304)</t>
  </si>
  <si>
    <t>Traced Person. Rep of Intelligence Bureau reported at the hearing on 21/05/2018 held in this Commission that Zahid Ullah Khan has returned to home.</t>
  </si>
  <si>
    <t>4633-F</t>
  </si>
  <si>
    <t>Muhammad Arif Ullah Khan s/o Zarin Gul</t>
  </si>
  <si>
    <t>Wajid Ullah, r/o Hayatabad Phase-II near Zahid Market Masjid Zahid Bin Haris, Hayatabad, Peshawar (Mobile No. 0331-9555830)</t>
  </si>
  <si>
    <t>Traced Person. Rep of MI informed at the hearing on 02/04/2018 that Muhammad Arif Ullah Khan is confined in Internment Center Lakki Marwat under Action (in aid of Civil) Regulation 2011. Family Members have been allowed to meet him.</t>
  </si>
  <si>
    <t>4634-P</t>
  </si>
  <si>
    <t>Naveed Idrees s/o Idrees Khan</t>
  </si>
  <si>
    <t>Mst. Shabana, r/o House No. 472, Usama Street, Adiyala Road, Khawaja Cooperation, Rawalpindi. (Mobile No. 0344-4170943, 0316-0575461)</t>
  </si>
  <si>
    <t>FIR No. 36 dt 07.02.18 u/s 365 PPC PS. Morgah, Rawalpindi</t>
  </si>
  <si>
    <t>4635-I</t>
  </si>
  <si>
    <t>Muzzam Ali Ahmed s/o Rana Bashir Ahmed</t>
  </si>
  <si>
    <t>Rana Sajjad Pervaiz, r/o Office No. 02, Park View Inn Plaza , F-10 Markaz, Islamabad. (Mobile No. 0323-8567958)</t>
  </si>
  <si>
    <t>61101-5885999-7</t>
  </si>
  <si>
    <t>FIR No. 356, dated 26.12.2017 u/s 365 PPC PS Ramna.</t>
  </si>
  <si>
    <t>Traced Person. Muzzam Ali Ahmed has been traced. He has entered appearance before the Commission today, whose statement has been recorded on oath. He has deposed that he was abducted on 26.12.2017 from Sector G-10/4, Islamabad and taken away to some unknow place. He further submitted that he has rendered services for the Government of Pakistan in the national defence system. He further deposed that he played role as an expert/ consultant in providing technical assistance. He further submitted that he had no grudge against any public organization.</t>
  </si>
  <si>
    <t>4636-K</t>
  </si>
  <si>
    <t>Suleman s/o Arsla Khan</t>
  </si>
  <si>
    <t>Anwar Zeb, r/o Village Mian Kilay, Tehsil Shabaqadar, District Charsadda. (Mobile No. 0313-7505062)</t>
  </si>
  <si>
    <t>4637-P</t>
  </si>
  <si>
    <t>Rehan Mehmood s/o Sultan Mehmood</t>
  </si>
  <si>
    <t>Arslan Mehmood, r/o House No. 122-UPE, Mohallah Ghela Khurd, Taxila. (Mobile No. 0314-5268976)</t>
  </si>
  <si>
    <t>FIR No. 71 dt 08.02.18 u/s 365 PPC PS Raxila, Rawalpindi</t>
  </si>
  <si>
    <t>Traced Person. Rehan Mehmood was present before the Commission on 26-06-2018 and submitted that he had gone on his own for Tabligh and came back on 25-06-2018. As Rehan Mehmood has been traced he is no more a missing person.</t>
  </si>
  <si>
    <t>4638-P</t>
  </si>
  <si>
    <t>Abu Bakar Siddique s/o Zafar Iqbal</t>
  </si>
  <si>
    <t>Mst. Khansa, r/o CMA, Gracy Line Chakala, Rawal Road, Rawalpindi. (Mobile No. 0344-0078290)</t>
  </si>
  <si>
    <t>Traced Person. Muhammad Tayyab b/o missing person appeared before the Commission at the hearing om 13/09/2018 and submitted that Abu Bakar Siddique returned home and subsequently went to Dubai.</t>
  </si>
  <si>
    <t>4639-P</t>
  </si>
  <si>
    <t>Muhammad Usman s/o Muzffar Hussain</t>
  </si>
  <si>
    <t>Muzaffar Hussain, r/o Village Adam Chowan, P.O Kotala, Tehsil Kharian, District Gujrat. (Mobile No. 0304-3910119)</t>
  </si>
  <si>
    <t>FIR No.295 dt.11/05/2018 u/s 365 PPC,PS/Qunja ,District Gujrat.</t>
  </si>
  <si>
    <t>Under Investigation (Punjab) Manid Bahauddin</t>
  </si>
  <si>
    <t>Manid Bahauddin</t>
  </si>
  <si>
    <t>4640-P</t>
  </si>
  <si>
    <t>Doctor Sohail Siddique s/o Sardar Muhammad Siddique</t>
  </si>
  <si>
    <t>Sardar Muhammad Siddique Khan, r/o House No. B- 651/43-A-1, Tariq Lane Range Road, Afshan Colony, Rawalpindi Cantt. (Mobile No. 0333-5104531)</t>
  </si>
  <si>
    <t>Traced Person. As per JIT report dated 05/03/2018, Sohail Siddique Khan has returned to home and gone to perform Umra.</t>
  </si>
  <si>
    <t>4641-F</t>
  </si>
  <si>
    <t>Sher Ali s/o Dost Muhammad</t>
  </si>
  <si>
    <t>Dost Muhammad, r/o Mohallah Alinger Bala, P.O, Lakray Tehsil Safi, District Mohmand Agency. (Mobile No. 0334-9112274)</t>
  </si>
  <si>
    <t>Traced Person. It was informed at the hearing that Sher Ali had been traced. He was handed over by Mohmand Rifles to Political Authorities Mohmand on 20.8.2018 and later Sher Ali was set free. No further action is required. The case is closed.</t>
  </si>
  <si>
    <t>4642-F</t>
  </si>
  <si>
    <t>Qari Roban s/o Jalil</t>
  </si>
  <si>
    <t>Jalil, r/o Dozaye AUP Kore, P.O Yak Ghund, Tehsil Pindial;I, District Mohmand Agency. (Mobile No. 0300-5335461)</t>
  </si>
  <si>
    <t>4643-K</t>
  </si>
  <si>
    <t>Muhammad Umar s/o Mir Wali</t>
  </si>
  <si>
    <t>Khan Wali, r/o Char Freza Road, Miskeen Abad, Near Faqeer Kilay, Peshawar. (Mobile No. 0346-96011230)</t>
  </si>
  <si>
    <t>4644-B</t>
  </si>
  <si>
    <t>Ashraf -ud-Din s/o Noor-ud-Din</t>
  </si>
  <si>
    <t>Noor-ud-Din, r/o Garden Iron Merchant, Near Sheikh Fareed Ziarat, band Road, Pasheen. (Mobile No. 0300-8386500)</t>
  </si>
  <si>
    <t>Traced Person. Noor-ud-Din father of Ashraf-ud-Din has appeared before the Commission on 2/7/2019, whose statement has been recorded on oath. According to him his son Ashraf-ud-Din had gone to Karachi on his own. He was also seen by his cousin Ameer Hamza after 10 days of the occurrence at Karachi.</t>
  </si>
  <si>
    <t>4645-K</t>
  </si>
  <si>
    <t>Muhammad Shakeel Khan s/o Noor Shah</t>
  </si>
  <si>
    <t>Bilal Afridi, r/o Khazana Sugar Mill, Kharsan Camp, Rehman Ghari, Peshawar. (Mobile No. 0302-8833237)</t>
  </si>
  <si>
    <t>4646-K</t>
  </si>
  <si>
    <t>Gheran Shah s/o Roman Shah Afridi</t>
  </si>
  <si>
    <t>Abid Khan Afridi, r/o Afridi Model School &amp; College, Pistakhara, Ring Road Chowk, Bara Road, Peshawar. (Mobile No. 0302-9082808 &amp; 0333-9394402)</t>
  </si>
  <si>
    <t>4647-K</t>
  </si>
  <si>
    <t>Muhammad Sohaib s/o Aqal Khan</t>
  </si>
  <si>
    <t>Imran Shafique, r/o Darsmand Jandi, Tehsil Tal, District Hangu. (Mobile No. 0302-8936673)</t>
  </si>
  <si>
    <t>Traced Persom. Mr. Iqbal Khan father of Missing person informed JIT on 26/03/2018 that his son is confined in Central Jail, Bannu as a result of registration of a criminal case against him.</t>
  </si>
  <si>
    <t>4648-F</t>
  </si>
  <si>
    <t>Zafar Khan s/o Sher</t>
  </si>
  <si>
    <t>Muhammad Zaman, r/o Purana Chakara, Dhoke Karim Abad, Rawalpindi. (Mobile No. 0300-9713152 &amp; 0302- 5439702)</t>
  </si>
  <si>
    <t>21406-8248100-1</t>
  </si>
  <si>
    <t>4649-F</t>
  </si>
  <si>
    <t>Hadayat Ullah s/o Sher Khan</t>
  </si>
  <si>
    <t>Muhammad Zaman, r/o Purana Chakara, Dhoke Karim Abad, Rawalpindi. (Mobile No. 0302- 5439702 &amp; 0314-5366995)</t>
  </si>
  <si>
    <t>Traced Person. Brother of Hadyat Ullah appeared before the Commission and submitted that Hadyat UIlah has returned to home three months back.</t>
  </si>
  <si>
    <t>4650-S</t>
  </si>
  <si>
    <t>Naseer Ahmed s/o Siraj Ahmed</t>
  </si>
  <si>
    <t>Mst. Anum, r/o House No. 15, Street No. 05, Sector No. 02, Naval Colony, Karachi. (Mobile No. 0321-2141552 &amp; 0323-2187948)</t>
  </si>
  <si>
    <t>Traced Person. SDPO Saeedabad reported at the hearing on 21/03/2018 that Naseer Ahmed s/o Siraj Ahmed has returned to home whose statement is available on record.</t>
  </si>
  <si>
    <t>4651-K</t>
  </si>
  <si>
    <t>Javed Saleem s/o Muhammad Nazir</t>
  </si>
  <si>
    <t>Mst. Farzana, r/o Bara bandi, Tehsil Kabal, District Swat. (Mobile No. 0345-9455458)</t>
  </si>
  <si>
    <t>FIR No. 50, u/s 365 PPC, dated 25/01/18 Police Station Kanju</t>
  </si>
  <si>
    <t>Traced Person. It was informed at the hearing on 23/10/2018 that Javed Saleem has been punished by Military Court and awarded R.I for 20 years. He is presently confined in District Jail Kohat.</t>
  </si>
  <si>
    <t>4652-P</t>
  </si>
  <si>
    <t>Dilawar Khan s/o Talib Gul</t>
  </si>
  <si>
    <t>Muhammad Anwar, r/o Bar Qambar, Sur Kas No. 02, Spain Dhund, P.O Bara, Tehsil Bara, District Khyber Agency. (Mobile No. 0333-9409055 &amp; 0341- 4846710)</t>
  </si>
  <si>
    <t>FIR No. 137/18 dt 20.02.2018 u/s 365 PPC PS City Raiwind, Lahore</t>
  </si>
  <si>
    <t>Traced Person. I.O of the case Shahzeb, PS Sundar, Lahore appeared before the Commission on 26.8.19 and submitted that Muhammad Anwar the complainant of the case, confirmed that Dilawar Khan has returned to home. He under took to submit affidavit from Dilawar in due course.</t>
  </si>
  <si>
    <t>4653-K</t>
  </si>
  <si>
    <t>Abdul Ghaffor s/o Hameed Khan</t>
  </si>
  <si>
    <t>Mst. Yalhmamo Bibi, r/o Orkazai Agency, KTM Mills, Noor Abad, Kohat. (Mobile No. 0344-5416475)</t>
  </si>
  <si>
    <t>FIR No. 40, dated 25.01.2018 u/s 365 PPC PS MRS Kohat.</t>
  </si>
  <si>
    <t>Traced Persom. SP (Inv), Kohat informed at the hearing on 26/04/2018 that Abdul Ghafoor has returned to home.</t>
  </si>
  <si>
    <t>4654-S</t>
  </si>
  <si>
    <t>Abid s/o Ashraf</t>
  </si>
  <si>
    <t>Ashraf, r/o Karke Dal Village, Tehsil Gwargo, District Panjgur, Balochistan.</t>
  </si>
  <si>
    <t>4655-S</t>
  </si>
  <si>
    <t>Farhad s/o Muhammad Anwar</t>
  </si>
  <si>
    <t>Muhammad Anwar, r/o Gujar Town, Tehsil Mashkey, District Awaran, Balochistan.</t>
  </si>
  <si>
    <t>4656-P</t>
  </si>
  <si>
    <t>Saif-ur-Rehman s/o Muhammad Sharif</t>
  </si>
  <si>
    <t>Muhammad Sharif, r/o House No. 43, Mohallah Ravi Block, Allama Iqbal Town, Lahore. (Mobile No. 0302-4876078)</t>
  </si>
  <si>
    <t>Traced Person. SP, (Inv), Lahore, submitted report that Saif-ur-Rehman has Returned to Home and available at his House.</t>
  </si>
  <si>
    <t>4657-K</t>
  </si>
  <si>
    <t>Abdul Karim s/o Muhammad Karim</t>
  </si>
  <si>
    <t>Abdul Hameed, r/o Mehal Khel, P.O Bara, Tehsil Bara, District Khyber Agency. (Mobile No. 0333-9388992 &amp; 0315-0036258)</t>
  </si>
  <si>
    <t>FIR No. 82, dated 29.01.2018 u/s 365 PPC Police Station Pabbi.</t>
  </si>
  <si>
    <t>4658-K</t>
  </si>
  <si>
    <t>Luqman s/o Nawaz Ali</t>
  </si>
  <si>
    <t>Saif Ullah, r/o Mohallah Paroja, Dawar Bagh, Ghari Faiz Ullah, Tehsil &amp; District Peshawar. (Mobile No. 0302-8820006)</t>
  </si>
  <si>
    <t>4659-S</t>
  </si>
  <si>
    <t>Hikmat Ullah s/o Wazir Badshah</t>
  </si>
  <si>
    <t>Mst. Anar Gulla, r/o Lachi, Tehsil &amp; District Kohat. (Mobile No. 0336-2313502)</t>
  </si>
  <si>
    <t>Deleted. Not a case of enforced disappearance as the case does not fall under the domain of enforced disappearance.</t>
  </si>
  <si>
    <t>4660-I 1625-I</t>
  </si>
  <si>
    <t>Zahir Shah s/o Ashraf Shah</t>
  </si>
  <si>
    <t>Ashraf Khan, r/o Chaniri Payan, P.O Lakray, Tehsil Safi, District Mohmand Agency. (Mobile No. 0308-5460721 &amp; 0311-5083986)</t>
  </si>
  <si>
    <t>4661-B</t>
  </si>
  <si>
    <t>Nihal s/o Muhammad Rahim</t>
  </si>
  <si>
    <t>r/o, Ghibb Village, Gichk area, Tehsil Gwargo, District Panjgoor, Balochistan.</t>
  </si>
  <si>
    <t>Traced Person. SHO PS, Satellite Town was attendance on 12/12/2018 and submit that Nihal Muhammad s/o Muhammad Rahim had been traced. According to SHO said Nihal did appear before him on 13/07/2018 and stated that he was picked and taken away by four persons, interrogated and thereafter released.</t>
  </si>
  <si>
    <t>4662-S</t>
  </si>
  <si>
    <t>Sagheer Ahmed s/o Ghulam Qadir Mirwani</t>
  </si>
  <si>
    <t>r/o, Lyari, Karachi.</t>
  </si>
  <si>
    <t>Traced Person. It was informed at the hearing held in this Commission on 11/12/2018 that Sagheer Ahmed has returned to home. The report submitted by the LEA place on record.</t>
  </si>
  <si>
    <t>4663-S</t>
  </si>
  <si>
    <t>Inam Ullah s/o Gul Nabi</t>
  </si>
  <si>
    <t>Mst. Bakhat Ranraz, r/o Char Bagh, Tehsil Char bagh, District Swat. (Mobile No. 0342-3874061)</t>
  </si>
  <si>
    <t>Deleted. No address has been given and the complainant side has not contacted the investigation set-up the case is therefore, filed for want of complete address.</t>
  </si>
  <si>
    <t>4664-K</t>
  </si>
  <si>
    <t>Muhammad Illyas s/o Rafi-ud-Din</t>
  </si>
  <si>
    <t>Mst. Kausar Parveen, r/o House No. 523, Nai Gali, Chota Bazar, D. I. Khan. (Mobile No. 0346-2159524)</t>
  </si>
  <si>
    <t>12101-8257812-7</t>
  </si>
  <si>
    <t>FIR No. 146 dated 27.02.2018 u/s 365 PPC PS/City D.I.Khan</t>
  </si>
  <si>
    <t>Traced Person. Muhammad Illyas traced person is present. He has submitted that he remained in illegal detention for 13 months and released on 28/06/2018. Similarly his son Muhammad Younas has also returned to home.</t>
  </si>
  <si>
    <t>4665-K</t>
  </si>
  <si>
    <t>Younas s/o Muhammad Illyas</t>
  </si>
  <si>
    <t>12101-8703589-9</t>
  </si>
  <si>
    <t>Taced Person. Father of Missing Person Muhammad Illyas entered appearance before the Commission on 10/07/20418 and submitted that his son Muhammad Younas has returned to home.</t>
  </si>
  <si>
    <t>4666-K</t>
  </si>
  <si>
    <t>Muhammad Adnan s/o Muhammad Illyas</t>
  </si>
  <si>
    <t>12101-4689994-5</t>
  </si>
  <si>
    <t>Under Investigation (KP) D. I. Khan</t>
  </si>
  <si>
    <t>4667-F</t>
  </si>
  <si>
    <t>Fazal Rabi s/o Aziz-ur-Rehman</t>
  </si>
  <si>
    <t>Inyat Rehman, r/o Tehsil Salarzai, District Bajour Agency. (Mobile No. 0303-8892843 &amp; 0300-9137591)</t>
  </si>
  <si>
    <t>Deleted. The case was categorized as case of Missin Person has gone on his own by JIT and there is no eye witness of any incident of abduction. All stakeholders have denied arrest/custody of Fazal Rabbi. Inayat-ur-Rehman (complainant) also entered appearance and his statement was recorded. He has deposed that he filed the complaint on heresay as he was not present at the point of occurance. Not a case of enforced disappearance. Hence closed.</t>
  </si>
  <si>
    <t>4668-P</t>
  </si>
  <si>
    <t>Hamad Ajmal s/o Muhammad Ajmal Khan</t>
  </si>
  <si>
    <t>Muhammad Ajmal Khan, r/o House No. 85, Street No. 08, Mohallah Gulshan Abad, Adiyala Road, Sector No. 01, Rawalpindi. (Mobile No. 0311-5232176)</t>
  </si>
  <si>
    <t>Traced Person. Hamad Ajmal has reportedly been killed in encounter by CTD, Multan. Family members informed accordingly case is being referred by Secretary/ Cabinet &amp; Secretary Punjab for further action.</t>
  </si>
  <si>
    <t>4669-K</t>
  </si>
  <si>
    <t>Sultan Ahmed s/o Ahmed Khan</t>
  </si>
  <si>
    <t>Mst. Fozia Ahmed Khan, r/o House No. 16, Block-F, Angro Model Village, Ehsaan Pur, Tehsil Kot Adu, District Muzaffargarh. (Mobile No. 0311-2669817)</t>
  </si>
  <si>
    <t>Traced Person. Sultan Ahmed has been traced. He is present before the Commission. He has submitted that he remained in detention for eight months, thereafter he was released, however he could not give further details regarding persons involved in his detention and place where je was detained.</t>
  </si>
  <si>
    <t>D.G.Khan</t>
  </si>
  <si>
    <t>4670-F</t>
  </si>
  <si>
    <t>Toti Rehman s/o Ikhtiyar Wali</t>
  </si>
  <si>
    <t>Sar Wali, r/o Koza Chaniray, Gok Pand, District Mohmand Agency. (Mobile No. 0300- 0926938)</t>
  </si>
  <si>
    <t>21405-7372097-3</t>
  </si>
  <si>
    <t>4671-B</t>
  </si>
  <si>
    <t>Shamas-ul-Haq s/o Mohib-ul-Haq</t>
  </si>
  <si>
    <t>Naseeb Rawan, r/o Village Odegram, District Lower Dir. (Mobile No. 0346-9009955)</t>
  </si>
  <si>
    <t>FIR No. 16/2016, dated 29/05/2016, u/s 365, Police Station Awaran, District Awaran.</t>
  </si>
  <si>
    <t>4672-B</t>
  </si>
  <si>
    <t>Mati Ullah s/o Faiz Ullah</t>
  </si>
  <si>
    <t>Rizwan Ullah, r/o Village Odegram, District Lower Dir. (Mobile No. 0343-9996601)</t>
  </si>
  <si>
    <t>4673-I</t>
  </si>
  <si>
    <t>Rizwan Hassan s/o Muhammad Ramzan</t>
  </si>
  <si>
    <t>Mst. Saba, r/o House No. MC-1195, Mohallah Dr. Jalal Hussain Shah, Dera Ismail Khan. (Mobile No. 0333-5946762 &amp; 0334-7228486)</t>
  </si>
  <si>
    <t>FIR No. 22, dated 30.01.2018, u/s 365 PPC PS Shahzad Town, Islamabad.</t>
  </si>
  <si>
    <t>Traced Person. It was informed at the hearing on 02/07/2018 that Rizwan Hassan has been traced as he is presently confined in district Jail Faisalabad. Father of Rizwan Hassan is present. He also affirmed that Rizwan Hassan is confined in district Jail Faisalabad, where he has already met with him.</t>
  </si>
  <si>
    <t>4674-K</t>
  </si>
  <si>
    <t>Muhammad Tahir s/o Hafiz Gul Sharif</t>
  </si>
  <si>
    <t>Hafiz Gul Sharif, r/o Village Kurkh Teri, Tehsil &amp; District Kark. (Mobile No. 0348-8388139)</t>
  </si>
  <si>
    <t>4675-K</t>
  </si>
  <si>
    <t>Ikram Ullah s/o Umar Ayaz Khan</t>
  </si>
  <si>
    <t>Umar Ayaz Khan, r/o Kotka, Patavi Qila, Siray Norang, Tehsil &amp; District Lakki Marwat. (Mobile No. 0302-8083162 &amp; 0334-8843245)</t>
  </si>
  <si>
    <t>FIR No. 424 dated 19/06/2017 u/s 365-PPC PS Naurang Ullah, Lakki Marwat</t>
  </si>
  <si>
    <t>Deleted . hearing held in this case and record perused there is no allegation in the compliant, nor any evidence has been collected which can suggest that the case falls within the ambit of the enforced disappearance. The accused persons have already discharged by the competent Court of law. Hence, the case is deleted.</t>
  </si>
  <si>
    <t>4676-I</t>
  </si>
  <si>
    <t>Amanat Khan s/o Sharf Khan</t>
  </si>
  <si>
    <t>Dolat Khan, r/o Itefaq Colony, Islam Mrket, Pind Paria, Tarnol Islamabad. (Mobile No. 0301-5137686)</t>
  </si>
  <si>
    <t>Traced Person appeared before the Commission on 12/02/2018. He submitted that he was forcibly taken away by unknown persons and was set free after 22 days.</t>
  </si>
  <si>
    <t>4677-K</t>
  </si>
  <si>
    <t>Sami Ullah s/o Shan Afzal</t>
  </si>
  <si>
    <t>Sabat Ullah, r/o Khoga Khel, Ashraf Khel, Tehsil Landi Kotal, Khyber Agency. (Mobile No. 0345-9238806)</t>
  </si>
  <si>
    <t>Deleted. After receipt of reports from JIT/PTF concluding that the Missing Person has gone on his own and denial reports from other stakeholders regarding custody of Muhammad Ibrahim the complainant (Father) Shan Afzal was called third (05.04.2021, 23.08.2021 and 13.01.2022) but he remained absent. The case is accordingly closed not being a case of enforced disappearance, hence closed.</t>
  </si>
  <si>
    <t>4678-K</t>
  </si>
  <si>
    <t>Muhammad Ibrahim s/o Haji Raees Khan</t>
  </si>
  <si>
    <t>Lal Muhammad Afridi, r/o Shah Kas, Jamrood. (Mobile No. 0306-0306558)</t>
  </si>
  <si>
    <t>Deleted. After receipt of reports from JIT/PTF concluding that the Missing Person has gone on his own and denial reports from other stakeholders regarding custody of Muhammad Ibrahim the complainant (Father) Haji Raees Khan was called third (05.04.2021, 23.08.2021 and 13.01.2022) but he remained absent. The case is accordingly closed not being a case of enforced disappearance, hence closed.</t>
  </si>
  <si>
    <t>4679-K</t>
  </si>
  <si>
    <t>Ghani Rehman s/o Bashreen</t>
  </si>
  <si>
    <t>Umar Ali, r/o Koza Bandi, Tyehsil Kabal, District Swat. (Mobile No. 0313-3853663)</t>
  </si>
  <si>
    <t>15602-0244268-9</t>
  </si>
  <si>
    <t>4680-S</t>
  </si>
  <si>
    <t>Aqeel Ahmed s/o Zahir Muhammad</t>
  </si>
  <si>
    <t>Hussain Ahmed, r/o House No. 452-D, Kamarii, Bhatta Village, Karachi. (Mobile No. 0316-2773232)</t>
  </si>
  <si>
    <t>Traced Person. It was informed at the hearing held in this Commission on 06/08/2018 that Aqeel Ahmed has returned to home. The report submitted by the Police Officer, SDPO, Sachal , Karachi is placed on record.</t>
  </si>
  <si>
    <t>4681-K</t>
  </si>
  <si>
    <t>Bahadur Zaman s/o Muhammad Ghulab</t>
  </si>
  <si>
    <t>Mst. Falak Naz, r/o Mohallah Watakey, Akram Masjid, Mingora, Tehsil &amp; district Babu Zai. (Mobile No. 0345-1908465 &amp; 0346-9459115).</t>
  </si>
  <si>
    <t>15602-7820667-9</t>
  </si>
  <si>
    <t>4682-P</t>
  </si>
  <si>
    <t>Imran Khan s/o Muhammad Ramzan</t>
  </si>
  <si>
    <t>Muhammad Ramzan, r/o PHA Flat No. 06, Block No. 16-G-8/4, Islamabad. (Mobile No. 0321-5363411)</t>
  </si>
  <si>
    <t>Traced Person. CPO, Rawalpindi submitted report that Imran Khan has been arrested in Case FIR No. 3/18 dated 19/01/2018 u/s II-ATA, PS CTD, Multan.</t>
  </si>
  <si>
    <t>4683-K</t>
  </si>
  <si>
    <t>Faheem Ullah s/o Ashraf Gul</t>
  </si>
  <si>
    <t>Ashraf Gul, r/o Villag Dhelay, Tehsil &amp; District Kark. (Mobile No. 0333-5573643 &amp; 0313-9106136)</t>
  </si>
  <si>
    <t>Deleted. All stakeholders have denied arrest/custody of Faheem Ullah s/o Ashraf Gul . No further action is required. Hence the case is closed.</t>
  </si>
  <si>
    <t>4684-K</t>
  </si>
  <si>
    <t>Farman Ullah s/o Syed Arif</t>
  </si>
  <si>
    <t>Mst. Taj Bibi, r/o Dheri P.O Swari, Tehsil Dagar, District Bonair. (Mobile No. 0336-9696288)</t>
  </si>
  <si>
    <t>Traced Person. Farman Ullah has been traced. According to the report furnished at the hearing on 26/12/2018 by Rep of MI, he is presently confined in Internment Center, Fiza Gaht.</t>
  </si>
  <si>
    <t>4685-K</t>
  </si>
  <si>
    <t>Bin Yameen s/o Jamsheed</t>
  </si>
  <si>
    <t>Jamsheed, r/o Barama, Akbar Abad, Tehsil Babu Zai m District Swat. (Mobile No. 0345-3756349)</t>
  </si>
  <si>
    <t>4686-B</t>
  </si>
  <si>
    <t>Nasir Ahmed s/o Abdul Ghaffar</t>
  </si>
  <si>
    <t>Mst. Maha Rang Baloch, r/o Kuli Allah Abad, House No. 43, Mohallah Sheikh, Umar Road, Quetta. (Mobile No. 0332-2706711)</t>
  </si>
  <si>
    <t>Traced Person Muhammad Saleem Inspector PS Saddar, Quetta is present and submitted report dated 19.5.2018 which shows that the alleged Missing Person has returned to home. The report is taken on record.</t>
  </si>
  <si>
    <t>4687-P</t>
  </si>
  <si>
    <t>Siraj Khan s/o Sanobar</t>
  </si>
  <si>
    <t>Mst. Rabia Bibi, r/o Alinagar, P.O Lakray, Tehsil Safi, District Mohmand Agency. (Mobile No. 0305-5116223 &amp; 0307-6976965)</t>
  </si>
  <si>
    <t>Traced Person. Returned to home Missing Person present before the Commission on 06/08/2018.</t>
  </si>
  <si>
    <t>4688-P</t>
  </si>
  <si>
    <t>Mir Akbar Khan s/o Sanobar</t>
  </si>
  <si>
    <t>28th Feb, 2018</t>
  </si>
  <si>
    <t>4689-I</t>
  </si>
  <si>
    <t>Muhammad Abdullah Umer s/o Col. Khalid Mehmood Abbasi</t>
  </si>
  <si>
    <t>Khalid Mehmood Abbasi, r/o House No. 133, Street No. 19, I-9/1, Islamabad. (Mobile No. 0336-0009454)</t>
  </si>
  <si>
    <t>FIR No. 233 dt 20.06.2015 u/s 365 PPC PS Industrial Area, ICT</t>
  </si>
  <si>
    <t>01st Mar, 2018</t>
  </si>
  <si>
    <t>4690-I</t>
  </si>
  <si>
    <t>Arsalan Hameed Khan s/o Abdul Hameed Khan</t>
  </si>
  <si>
    <t>Dr. Zeeshan Khan, r/o House No. 556, Street No. 13, Sector G-10/1, Islamabad. (Mobile No. 0343-5832018 &amp; 0317-5813006) )</t>
  </si>
  <si>
    <t>Traced Person. It is informed at the hearing held in the case on 13-03-2018 that Arslan Hameed Khan has returned to home. His brother present at the hearing, confirmed.</t>
  </si>
  <si>
    <t>4691-I</t>
  </si>
  <si>
    <t>Imran Hameed Khan s/o Abdul Hameed Khan</t>
  </si>
  <si>
    <t>Dr. Zeeshan Khan, r/o House No. 556, Street No. 13, Sector G-10/1, Islamabad. (Mobile No. 0343-5832018 &amp; 0317-5813006)</t>
  </si>
  <si>
    <t>FIR No. 37/18 dated 16/17-01-18, u/s 365 PPC Ps Ramna, District Islamabad</t>
  </si>
  <si>
    <t>Traced Person. SP (Inv), Islamabad appeared before the Commission on 07/11/2018 and submitted in a categoric manner that Imran Hameed Khan had returned to home.</t>
  </si>
  <si>
    <t>4692-I</t>
  </si>
  <si>
    <t>Nuzair Hasan s/o Khubaib Hasan Ehtesham</t>
  </si>
  <si>
    <t>Dr. Khubaib Hasan Ehtesham, r/o House No. 731-G, Street No. 177, Sector G-11/1, Islamabad. (Mobile No. 0334-5046336)</t>
  </si>
  <si>
    <t>FIR No. 22/18 dated 13-01-18, u/s 365 PPC Ps Ramna, Islamabad</t>
  </si>
  <si>
    <t>Traced Person. Dr. Khubaib Ehtesham is present, whose statement has been recorded on oath. According to him, his son namely Nuzair Hasan has returned to home on 28/09/2018.</t>
  </si>
  <si>
    <t>4693-I</t>
  </si>
  <si>
    <t>Omaima Hasan d/o Dr. Suhail Hasan</t>
  </si>
  <si>
    <t>Dr. Suhail Hasan, r/o House No. 731-5, Street No. 177, G-11/1, Islamabad. (Mobile No. 0334-5046336)</t>
  </si>
  <si>
    <t>Traced Person. Dr. Khubaib Ehtesham is present, whose statement has been recorded on oath. According to him, his daughter in Law namely Mst. Omaima Hasan has returned to home on 28/09/2018.</t>
  </si>
  <si>
    <t>4694-I</t>
  </si>
  <si>
    <t>Syed Samim Afaan s/o Syed Attique-ur-Rehman</t>
  </si>
  <si>
    <t>Syed Attique-ur-Rehman, r/o House No. 72, Street No. 159, G-13/3, Islamabad. (Mobile No. 0301-5805625 &amp; 0336-6825135)</t>
  </si>
  <si>
    <t>Traced Person. Syed Samim Afaan has retiurned to home. SP (Inv), ICT also confirmed as per report of JIT.</t>
  </si>
  <si>
    <t>4695-B</t>
  </si>
  <si>
    <t>Irshad Ahmed s/o Abdul Ghaffar</t>
  </si>
  <si>
    <t>Abdul Ghaffar r/o Habib Ullah Pracha Koilla Sovrange, Quetta . (Mobile No. 0340-1211312 &amp; 03318374156)</t>
  </si>
  <si>
    <t>4696-K</t>
  </si>
  <si>
    <t>Haji Najeeb Ullah s/o Sarwar Khan</t>
  </si>
  <si>
    <t>Munawar Khan, r/o Shaks khumrod khybar Agency . (Mobile No.0314-9062460)</t>
  </si>
  <si>
    <t>Under Investigation (KP)Peshawar</t>
  </si>
  <si>
    <t>4697-K</t>
  </si>
  <si>
    <t>Tayyab s/o Qari Atta-ul-Haq</t>
  </si>
  <si>
    <t>Manza Bibi, r/o Village Kahkka, Tehsil &amp; District Hari Pur. (Mobile No. 0310-5535556 &amp; 0314-5000944)</t>
  </si>
  <si>
    <t>FIR No. 110 dated 01/02/2018 u/s 365 PPC PS Saraey Saleh, Distt Hari Pur</t>
  </si>
  <si>
    <t>Traced Person. As Tayyab has been traced, he is no more a missing person. No further action is required to be taken by the Commission. Requirement of Para 2(b) of the Notification/SRO 149(I)/2011 has been fulfilled. Family members of Tayyab shall be facilitated to see him in the Internment Centre as per rules and procedure. After compilation, file to be consigned to record.</t>
  </si>
  <si>
    <t>4698-P</t>
  </si>
  <si>
    <t>Muhammad Usman Kashmiri s/o Taimoor Khan</t>
  </si>
  <si>
    <t>Taimoor Khan, r/o Pholvi Sheri Bala, Dakhana Janoi, Tehsil Sharda, District Neelum Azad Kashmir. (Mobile No. 0355-6021792 &amp; 0311-5576814)</t>
  </si>
  <si>
    <t>FIR No. 48 dt 18.02.18 u/s 365 PPC PS Chakwal</t>
  </si>
  <si>
    <t>Traced Person. Muhammad Usman Kashmiri has been traced. He has returned home. Taimoor Khan father of Muhammad Usman Kashmiri appeared before the Commission on 6.3.2020 his statement has been recorded on oath. He has deposed that his son has returned home on 1.3.2020 and due to ill health, he could not make appearance before the Commission. He further stated that’s his son has not shared any details.</t>
  </si>
  <si>
    <t>4699-I</t>
  </si>
  <si>
    <t>Muhammad Sudheer s/o Muhammad Sharif Kiyani</t>
  </si>
  <si>
    <t>Mst. Musarat Shaheen, r/o House No. NA-319, Dhok Muslimabad, Rawalpindi. (Mobile No. 0348-5635026)</t>
  </si>
  <si>
    <t>82203-8421693-7</t>
  </si>
  <si>
    <t>FIR No. 92 dated 06.03.2018 u/s 365 PPC PS Karachi Company, Islamabad</t>
  </si>
  <si>
    <t>Under Investigation (RWP)</t>
  </si>
  <si>
    <t>4700-P</t>
  </si>
  <si>
    <t>Sohail Siddique Khan s/o Sardar Muhammad Siddique Khan</t>
  </si>
  <si>
    <t>Sardar Muhammd Siddique Khan, r/o House No. A-1, CB-651/43, Tariq Line, Afsha Colony, Range Road, Rawalpindi. (Mobile No. 0333-5104531)</t>
  </si>
  <si>
    <t>4701-K</t>
  </si>
  <si>
    <t>Waqas Ahmed s/o Ghulam Haq</t>
  </si>
  <si>
    <t>Mst. Hassan Bano, r/o Mohallah Mazid Khel, District Swat. (Mobile No. 0344-3000432)</t>
  </si>
  <si>
    <t>FIR No. 48 dt 23-02-2018 u/s 365 PPC PS Manglor, Swat</t>
  </si>
  <si>
    <t>Traced Person. Waqas Ahmed has been traced. According to the report received from Rep of MI, Waqas Ahmed is presently confined in the Internment Center Paithom. Zeeshan Ahmed b/o traced person is present. He has been apprised of status of the case.</t>
  </si>
  <si>
    <t>4702-P</t>
  </si>
  <si>
    <t>Muhammad Ahmed Farooq s/o Farooq Ahmed</t>
  </si>
  <si>
    <t>Rauf Ahmed, r/o House No. 453-A, Phase No. 05, DHA, Lahore. (Mobile No. 0333-5555789 &amp; 0300-7943111)</t>
  </si>
  <si>
    <t>FIR No. 60/18 dated 27.01.2018 u/s 365 PPC PS Defence B, Lahore</t>
  </si>
  <si>
    <t>Traced Person. Muhammad Ashraf SI/IO of the case is present he submitted at the hearing on 07/05/2018 that Muhammad Ahmed Farooq has been traced and he has returned home.</t>
  </si>
  <si>
    <t>4703-P</t>
  </si>
  <si>
    <t>Zaman Khan s/o Muhammad Akram</t>
  </si>
  <si>
    <t>Mst. Rawaida Bibi, r/o Village Lang Par, Tehsil Chakesar, District Shangala. (Mobile No.0343-4269815)</t>
  </si>
  <si>
    <t>FIR No. 81/18 dated 16.08.2017 u/s 365 PPC PS Model Town, Lahore</t>
  </si>
  <si>
    <t>Traced Person. It was informed at the hearing held in this Commission on 25-06-2018 that Zaman Khan has returned to home. Therefore no further action is required. Case is closed.</t>
  </si>
  <si>
    <t>4704-K</t>
  </si>
  <si>
    <t>Akhtar Zaman s/o Haji Rehman</t>
  </si>
  <si>
    <t>Umar Zaman, r/o Village Shinawari, P.O Zar Gari, Tehsil &amp; District Hangu. (Mobile No. 0331-5111555&amp; 0302-8025423)</t>
  </si>
  <si>
    <t>4705-K</t>
  </si>
  <si>
    <t>Niaz Bahadur s/o Khayal Badshah</t>
  </si>
  <si>
    <t>Mst. Ajj Bibi, r/o College Mor, Fateh Jhang. (Mobile No. 0333-9917272 &amp; 0335-1434734 &amp; 0332-6565089 &amp; 0334-1413888).</t>
  </si>
  <si>
    <t>21604-9660385-1</t>
  </si>
  <si>
    <t>4706-S</t>
  </si>
  <si>
    <t>Muhammad Yousaf s/o Muhammad Qasim</t>
  </si>
  <si>
    <t>Asad, r/o 408, Hill View, Apartment, North Nazimabad, Karachi. (Mobile No. 0300-2667732)</t>
  </si>
  <si>
    <t>Deleted. The Missing Person Muhammad Yousaf has been declared absconder in crime vide FIR No. 165/98, 166/98, 176/98, 30/2003, 353/34, PS Baldia by the competent court of Jurisdiction.</t>
  </si>
  <si>
    <t>4707-F</t>
  </si>
  <si>
    <t>Naeem Ullah s/o Haider Din</t>
  </si>
  <si>
    <t>Mujhaid Ullah, r/o Bakhatiyar Goth, Karachi. (Mobile No. 0303-2659409 &amp; 0300-2833425)</t>
  </si>
  <si>
    <t>Traced Person. Rep of ACS FATA informed at the hearing on 15/10/2018 that Naeem Ullah has been traced. He has returned home</t>
  </si>
  <si>
    <t>4708-S</t>
  </si>
  <si>
    <t>Ikram s/o Ijaz Ahmed</t>
  </si>
  <si>
    <t>Muhammad Rasheed, r/o House No. C-169, Sector No. A-50, Meo Colony, Karachi. (Mobile No. 0310-8099142)</t>
  </si>
  <si>
    <t>Deleted. It was informed by DSO, Pervaz Akhtar through report which shows tha Muhammad Ramzan Khan s/o Ejaz Ahmed is brother of the alleged Missing Person. He has given statement on 24/04/2018 where in he stated that the case is pending in High Court of Sindh and therefore he is not intrested to lodge FIR. In view of his statement this matter stands disposed.</t>
  </si>
  <si>
    <t>4709-K</t>
  </si>
  <si>
    <t>Tahir Shah s/o Ubaid Shah</t>
  </si>
  <si>
    <t>Mst. Bakhtai Raja, r/o Mohallah Ghareeb Abad, Dheri, Tehsil Gagra, District Bonair. (Mobile No. 0305-9328909)</t>
  </si>
  <si>
    <t>4710-P</t>
  </si>
  <si>
    <t>Lowang s/o Malang</t>
  </si>
  <si>
    <t>malang, r/o Adam Khan Kilay, Tehsil Nawagi, District Bajur Agency. (Mobile No. 0346-9340850)</t>
  </si>
  <si>
    <t>Rawalpindi/ ICT</t>
  </si>
  <si>
    <t>4711-K</t>
  </si>
  <si>
    <t>Umar Ali s/o Suja-ul-Mulk</t>
  </si>
  <si>
    <t>Suja-ul-Mulk, r/o Bar Kalay Saidu Sharif, Swat. (Mobile No. 0344-9680995)</t>
  </si>
  <si>
    <t>4712-P</t>
  </si>
  <si>
    <t>Ahmed Ali s/o Maratab Ali</t>
  </si>
  <si>
    <t>Mst. Bushara Noor, r/o Moza Tali, P.O Shah Nakdar, Tehsil &amp; District Jhang. (Mobile No. 0345-8641100)</t>
  </si>
  <si>
    <t>FIR No. 189/18 dated 10.03.2018 u/s 365 PPC PS Mazang, Lahore</t>
  </si>
  <si>
    <t>Traced Person. It was informed at the hearing held in this Commission on 27/06/2018 at Lahore that Ahmed Noor was arrested in a criminal case has been released by Competent Court of Jurisdiction.</t>
  </si>
  <si>
    <t>4713-P</t>
  </si>
  <si>
    <t>Shah Kjahan s/o Janan Khan</t>
  </si>
  <si>
    <t>Adnan Khan, r/o Mohallah Saki Nagar, Hassan Abdal. (Mobile No. 0304-8929204)</t>
  </si>
  <si>
    <t>Traced Person. DPO Attock submitted report that Shah Jahan has gone back to Afghanistan. Rep of MI informed that he was handed over to Political Tehsildar, Landi Kotal on 17/02/2018. Adnan Khan brother of Shah Jahan also confirmed.</t>
  </si>
  <si>
    <t>4714-S</t>
  </si>
  <si>
    <t>Muhammad Kamran Khan s/o Hazrat Wali Khan</t>
  </si>
  <si>
    <t>Muhammad Rizwan, r/o House No. B-245, Sher Khanabad Colony, Site Town, Sector No. 03, West Karachi. (Mobile No. 0333-3661151)</t>
  </si>
  <si>
    <t>Traced Person. It was inofrmed at the hearing held in this Commission on 23.5.2019 that Kamran Khan is in the Police Custody &amp; as per subseqent report 12/6/19, he has returend to home.</t>
  </si>
  <si>
    <t>DY Director (Coord) NAB</t>
  </si>
  <si>
    <t>4715-K</t>
  </si>
  <si>
    <t>Kaleem Ullah s/o Said Muhammd Khan</t>
  </si>
  <si>
    <t>Said Muhammad Khan, r/o Village Qureshan, Murtaza Road, Gomal Bazar, District Tank. (Mobile No. 0300-5798302 &amp; 0301-8047964)</t>
  </si>
  <si>
    <t>FIR No. 67 dated 02/03/2018 u/s 365-PPC PS Gomal, Tank</t>
  </si>
  <si>
    <t>Traced Person. It was informed at the hearing on 03/08/2018 that Kaleem Ullah has been traced. His statement u/s 164 crPC ha been recorded, copy of the same is available on record, perusal whereof shows that he was abducted by unknown persons in army uniform and subsequently released.</t>
  </si>
  <si>
    <t>4716-S</t>
  </si>
  <si>
    <t>Abu Huraria s/o Jahan Alam</t>
  </si>
  <si>
    <t>Mst. Pari Zada, r/o Namal, Tehsil Matta, District Swat. (Mobile No. 0347-2266361)</t>
  </si>
  <si>
    <t>Traced Person. It was informed at the hearing held in this Commission on 27/03/2019 that Aby Huraria has returned to home as informed by his son.</t>
  </si>
  <si>
    <t>4717-K</t>
  </si>
  <si>
    <t>Qari Amjad Khan s/o Israf Ali</t>
  </si>
  <si>
    <t>Mst. Zar Zari, r/o Mohallah Khawaja Khel, Village Adazai, Tehsil &amp; District Peshawar. (Mobile No. 0336-9137846)</t>
  </si>
  <si>
    <t>4718-K</t>
  </si>
  <si>
    <t>Haider Ali s/o Hakeem Jan</t>
  </si>
  <si>
    <t>FIR No. 408 dated 07.04.2018 u/s 365 PPC PS Takht Bhai</t>
  </si>
  <si>
    <t>4719-K</t>
  </si>
  <si>
    <t>Muhammad Shafique s/o Muhammad Razaq</t>
  </si>
  <si>
    <t>Muhammad Sadiq, r/o P.O Shabaqadar Fort,Tehsil &amp; District Charsadda. (Mobile No. 0301-2796079)</t>
  </si>
  <si>
    <t>Deleted. During the course of inquiry, no clue could be found to indicate that any LEA/ Intelligence Agency was involved in disappearance of Muhammad Shafique s/o Muhammad Razaq The case has been categorized as of missing person has gone on his own by JIT as well as PTF. The complainant Muhammad Sadiq or his authorized representative was summoned twice for recording statement but none entered appearance despite issuance of notices. All stakeholders have denied arrest/custody of Muhammad Shafique Hence, not a case of enforced disappearance and closed.</t>
  </si>
  <si>
    <t>4720-K</t>
  </si>
  <si>
    <t>Muhammad Saleem s/o Sher Bakhat</t>
  </si>
  <si>
    <t>Sher Alam, r/o Khowangi Payan, Tehsil Bala but, District Lower Dir. (Mobile No. 0346-9381113)</t>
  </si>
  <si>
    <t>FIR No. 200 dated 06/03/2018 u/s 365 PPC PS Timergara, Dir Lower.</t>
  </si>
  <si>
    <t>4721-S</t>
  </si>
  <si>
    <t>Gulla Noor s/o Saeed Anwar</t>
  </si>
  <si>
    <t>Saeed Noor, r/o Kohat Bye Pass Road, Hafizabad , Kohat. (Mobile No. 0345-7017056 &amp; 0300-5959654)</t>
  </si>
  <si>
    <t>Traced Person. Inspector Altaf, CPO, Karachi submitted report that Ghulam Noor has returned to home.</t>
  </si>
  <si>
    <t>4722-P</t>
  </si>
  <si>
    <t>Wasiq Hafeez Mirza s/o Muhammad Hafeez Mirza</t>
  </si>
  <si>
    <t>Mst. Nosheen Tabussam ,r/o P.O Khas, Malyal Mughalal, Tehsil &amp; District Chakwal. (Mobile No. 0306-5784719)</t>
  </si>
  <si>
    <t>Traced Person. It was reported in this case that an unknown dead body was later identified through NADRA as that of Waqas Hafeez Mirza s/o Muhammad Hafeez FIR No, 12 dated 24.2.2017 u/s 302/324/353/186/148/149 PPC, 7ATA PS CTD, Multan was registered. Wife and sister of Waqas Hafeez Mirza appeared before the Commission on 15.11.2019 whose statement was recorded on oath. They stated that they were satisfied and offered Fateha on the grave shown to them.</t>
  </si>
  <si>
    <t>4723-B</t>
  </si>
  <si>
    <t>Ghulam Dastghir s/o Habib Ullah</t>
  </si>
  <si>
    <t>Habib Ullah, r/o Khawasti Khan, P.O Taftan , District Chaghi. (Mobile No. 0336-8292025)</t>
  </si>
  <si>
    <t>Traced Person. It was informed at the hearing held in this Commission during 21-26 January, 2019 at Quetta, that alleged Missing Person Ghulam Dastagir has returned to home.</t>
  </si>
  <si>
    <t>4724-B</t>
  </si>
  <si>
    <t>Abdul Karim s/o Essa Khan</t>
  </si>
  <si>
    <t>Mehar Ullah, r/o Khawasti Khan, P.O Taftan , District Chaghi. (Mobile No. 0331-8508605)</t>
  </si>
  <si>
    <t>Traced Person. It was informed at the hearing held in this Commission during 21-26 January, 2019 at Quetta, that alleged Missing Person Abdul Karim has returned to home.</t>
  </si>
  <si>
    <t>4725-B</t>
  </si>
  <si>
    <t>Agha Muhammad s/o Karam Khan</t>
  </si>
  <si>
    <t>Atta Muhammad, r/o Airport Road, Kuli Muhammad Umar Khan, Quetta. (Mobile No. 0313-8469739)</t>
  </si>
  <si>
    <t>FIR No. 41/16 u/s 365 PPC PS Cantt Quetta</t>
  </si>
  <si>
    <t>Deleted. The report submitted by SI/IO PS Saddar Quetta indicates that it is a criminal case and this Commission has no jurisdiction to entertain this case, as it is not a case of enforced disappearance. Therefore, it is closed.</t>
  </si>
  <si>
    <t>National Commission of Human Rights</t>
  </si>
  <si>
    <t>4726-P</t>
  </si>
  <si>
    <t>Munir Ahmed, r/o Chak No. 93, P.O Ahmed Pur, Tehsil &amp; District Sargodha. (Mobile No. 0308-8742467)</t>
  </si>
  <si>
    <t>Traced Person. Muhammad Yousaf has returned to home and he along with his wife entered appearance before the Commission on 30/08/2018. Wife of Muhammad Yousaf submitted that 2.1 million have been paid as ransom to one Irfan s/o Idrees. DPO Sargodha has been directed to take care of averment made by wife of Muhammad Yousaf.</t>
  </si>
  <si>
    <t>4727-S</t>
  </si>
  <si>
    <t>Miraj-ud-Din Khan s/o Mumtaz-ud-Din Khan</t>
  </si>
  <si>
    <t>Mehroz-ud-Din Khan, r/o Block -G, P.E.C.H.S, Nursery, Karachi. (Mobile No. 0322-2287798)</t>
  </si>
  <si>
    <t>Traced Person. According to the report furnished by DSP Al-Falah, Karachi furnished at the hearing held in this Commission on 16/7/2019. Miraj-ud-Din Khan returned to home as confirmed by his wife.</t>
  </si>
  <si>
    <t>4728-S</t>
  </si>
  <si>
    <t>Lariab Khan s/o Nadeem Jamal</t>
  </si>
  <si>
    <t>Mst. Nighat Nadeem, r/o House No. L-802, Sector No. 05, M North, Karachi. (Mobile No. 0315-2771085 &amp; 0300-2571085)</t>
  </si>
  <si>
    <t>Traced Person. It was informed at the hearing held in this Commission on 13/08/2018 that Laraib Khan has returned to home. The report submitted by SDPO, New Karachi is placed on record.</t>
  </si>
  <si>
    <t>4729-K</t>
  </si>
  <si>
    <t>Mir Alam s/o Baram Gul</t>
  </si>
  <si>
    <t>Shah Pur, r/o Landi Kotal, Khyber Agency. (Mobile No. 0303-8424200 &amp; 0302-8893232)</t>
  </si>
  <si>
    <t>Traced Person. Rep of MI informed at the hearing on 26/03/2018 that Mir Alam is confined in Internment Center Kohat under Action (in aid of Civil Power) Regulation 2011. Family Members have been allowed to meet him.</t>
  </si>
  <si>
    <t>4730-K</t>
  </si>
  <si>
    <t>Atta Ullah s/o Bakhat Bedar</t>
  </si>
  <si>
    <t>Mst. Hussan Bano, P.O Shor, Charpeal, District Swat. (Mobile No. 0343-9189985)</t>
  </si>
  <si>
    <t>Traced Person. Atta Ullah has been traced. He appeared before the Commission on 8.8.2019. His statement has been recorded on oath. He has deposed that he was not abducted by anybody, rather he went to Karachi on his own without informing family members, and now he has returned home and living with his family.</t>
  </si>
  <si>
    <t>4731-F</t>
  </si>
  <si>
    <t>Akram Khan s/o Gharet Shah</t>
  </si>
  <si>
    <t>Gharet Shah, r/o Bar Qambar Khel, Ismail Abad, P.O Bara, District Khyber Agency. (Mobile No. 0308-2215087 &amp; 0331-6003624)</t>
  </si>
  <si>
    <t>4732-K</t>
  </si>
  <si>
    <t>Haroon s/o Ali Said</t>
  </si>
  <si>
    <t>Saqib Ali, r/o Ghareeb Abad, Sher Garh, District Mardan. (Mobile No. 0315-9597812)</t>
  </si>
  <si>
    <t>FIR No. 636 dated 14/09/2018 u/s 365 PPC, PS Lal Qila District Dir Lower</t>
  </si>
  <si>
    <t>Traced Person. Haroon Khan along with his brother Saqib Ali who is also complainant of the case entered appearance before Member (CoIoED) in Chamber. Statement of Haroon Khan has been recorded on oath. He has deposed that he was abducted by unknown persons on 25.11.2017, kept at Internment Centre Paithom for the last three months and released on 6.3.2019.</t>
  </si>
  <si>
    <t>4733-P</t>
  </si>
  <si>
    <t>Masab Aziz Butt s/o Abdul Aziz Butt</t>
  </si>
  <si>
    <t>Mst. Humaria Asad, r/o Wajid Rasooh Kothi, Kunjah, Gujrat. (Mobile No. 0324-6907141)</t>
  </si>
  <si>
    <t>FIR No. 64/18 dated 15.01.2018 u/s 365 PPC PS Nawan Kot, Lahore</t>
  </si>
  <si>
    <t>Traced Person. It was informed at the hearing on 25-06-2018 at Lahore that both Missing Persons have returned to home. Asad Aziz Butt entered appearance before the Commission; therefore no further action is required.</t>
  </si>
  <si>
    <t>4734-P</t>
  </si>
  <si>
    <t>Mussab Bin Asad s/o Asad Aziz Butt</t>
  </si>
  <si>
    <t>Traced Person. It was informed at the hearing held in this case on 09/05/2018 that Mussab Bin Asad has been traced and entered appearance on 09/05/2018. However he could not give details regarding his detention.</t>
  </si>
  <si>
    <t>4735-I</t>
  </si>
  <si>
    <t>Gul Wali s/o Haji Nadir Khan</t>
  </si>
  <si>
    <t>Muhammad Naseem, r/o Kot Hatyal, Bhara Kho, Islamabad. (Mobile No. 0301-8196485)</t>
  </si>
  <si>
    <t>FIR No.104 dt.13/03/2018 u/s 365 PPC PS Karachi Company DistrictICT.</t>
  </si>
  <si>
    <t>Traced Person. At the hearing held in this case at 02/07/2018 I.O of the case has submitted that Gul Wali and Muhammad Ibrahim have been traced. Rep of SP (Inv), Islamabad has submitted that Gul Wali and Muhammad Ibrahim have been contacted on telephone who told they are present at home.</t>
  </si>
  <si>
    <t>4736-I</t>
  </si>
  <si>
    <t>Muhammad Ibrahim s/o Haji Nadir Khan</t>
  </si>
  <si>
    <t>4737-S</t>
  </si>
  <si>
    <t>Muhammad Nawaz s/o Atta Muhammad</t>
  </si>
  <si>
    <t>Atta Muhammad, r/o Karke Dal Village, Tehsil Guwargo, District Panjgoor, Balochistan.</t>
  </si>
  <si>
    <t>4738-S</t>
  </si>
  <si>
    <t>Aftab Younis</t>
  </si>
  <si>
    <t>r/o, Mal Mughli Nogay Village, Baghbana area, District Khuzdar, Balochistan.</t>
  </si>
  <si>
    <t>4739-K</t>
  </si>
  <si>
    <t>Fazal Rehman s/o Shamas-ur-Qamar</t>
  </si>
  <si>
    <t>Burhan Ullah, r/o Village Bandi, Khoza Khel, District Swat. (Mobile No. 0344-3014318)</t>
  </si>
  <si>
    <t>FIR No. 156 dt 23.02.18 u/s 365 PPC PS Khursheed Khan Shaheed, Swat</t>
  </si>
  <si>
    <t>Traced Person. Rep of MI informed at the hearing on 28.3.2018 that Fazal Rehman is confined at Internment Centre, Lakki Marwat.</t>
  </si>
  <si>
    <t>4740-K</t>
  </si>
  <si>
    <t>Ghulab Shekham Muhammadi s/o Badshah Gul</t>
  </si>
  <si>
    <t>Mst. Nazima Bibi, r/o Cooperation Colony, Gharibabad, Peshawar. (Mobile No. 0335-906102)</t>
  </si>
  <si>
    <t>Traced Person. Ghulam Shekham Muhammadi is an Afghan national who has reportedly gone back to Afghanistan DSP (Inv), Peshawar is present. He has submitted that the complainant was contacted who told that Ghulam Shekham Muhammadi has gone back to Afghanistan. Accordingly the case is closed.</t>
  </si>
  <si>
    <t>4741-F</t>
  </si>
  <si>
    <t>Noor Wahid s/o Khushal Khan</t>
  </si>
  <si>
    <t>Abdul Nabi, r/o Khujari Bara, , Tehsil Bar Qambar Khel, Ibrahim Khel, Tehsil Bara, District Khyber Agency. (Mobile No. 0307-0529272)</t>
  </si>
  <si>
    <t>Traced Persom. Rep of MI informed at the hearing on 03/04/2018 that Noor Wahid is confined at Internment Center, Kohat under Action (in aid of Civil) Regulation 2011. Family Members have been allowed to meet him.</t>
  </si>
  <si>
    <t>4742-K</t>
  </si>
  <si>
    <t>Abdul Malik s/o Gul Hakeem</t>
  </si>
  <si>
    <t>Muhammad Essa, r/o Sheniwari Mohallah, Landi Kotal, Tehsil Landi Kotal, District Khyber Agency. (Mobile No. 0333-6889766)</t>
  </si>
  <si>
    <t>Traced Person. Rep of MI KP is present. He has submitted that Abdul Malik whose proceedings were conducted on 28/1/2019 is presently confined in Internment Center Lakki Marwat.</t>
  </si>
  <si>
    <t>4743-P</t>
  </si>
  <si>
    <t>Noor Zaman Khan s/o Noor Muhammad Khan</t>
  </si>
  <si>
    <t>Noor Muhammad Khan, r/o House No. 19, Mohallah Jan, Street Band Road, Shadipura, Lahore. (Mobile No. 0300-4741226)</t>
  </si>
  <si>
    <t>FIR No. 184/18 dated 02.03.2018 u/s 365 PPC PS City Raiwing, Lahore</t>
  </si>
  <si>
    <t>Traced Person. It was informed at the hearing held in this case by the Commission at Lahore that Noor Zaman was killed in encounter with CTD.</t>
  </si>
  <si>
    <t>4744-P</t>
  </si>
  <si>
    <t>Najeeb Ullah Khan s/o Sultan Muhammad Khan</t>
  </si>
  <si>
    <t>Multan Khan, r/o House No. 18, Street No. 19, Sher Wali Puli, Badami Bagh, Lahore. (Mobile No. 0321-7504502)</t>
  </si>
  <si>
    <t>4745-K</t>
  </si>
  <si>
    <t>Azman Ahmed s/o Feroz Khan</t>
  </si>
  <si>
    <t>Sher Ali, r/o Malik Abad, Tehsil Shabaqadar, District Charsadda. (Mobile No. 0332-5326889, Roman Khan 0332-9849883)</t>
  </si>
  <si>
    <t>4746-K</t>
  </si>
  <si>
    <t>Shahzad s/o Sher Ali</t>
  </si>
  <si>
    <t>4747-P</t>
  </si>
  <si>
    <t>Ajab Khan s/o Farooq Jan</t>
  </si>
  <si>
    <t>Farooq Jan, r/o Bajour Agency. (Mobile No. 0301-4351252)</t>
  </si>
  <si>
    <t>Traced Person. Farooq Jan b/o the Missing Person appeared before the Commission at the hearing held in this case on 25-06-2018 at Lahore and stated that Ajab Khan had returned to home. Accordingly case is closed.</t>
  </si>
  <si>
    <t>4748-K</t>
  </si>
  <si>
    <t>Irfan s/o Saad Ullah Jan</t>
  </si>
  <si>
    <t>Karamat Ullah, r/o Qureshi Mor, D.I.Khan. (Mobile No. 0333-3838543 &amp; 0308-2250808)</t>
  </si>
  <si>
    <t>FIR No. 116 dated 20.02.2018 u/s 365 PPC PS Ghoriwala District Bannu</t>
  </si>
  <si>
    <t>Traced Person. Rep of MI informed at the Hearing on 29/03/2018 that Irfan is confined in Internment Center Lakki Marwat. under Action (in aid of Civil Power) Regulation 2011. Family Members have been allowed to meet him.</t>
  </si>
  <si>
    <t>4749-K</t>
  </si>
  <si>
    <t>Rehmat Ullah s/o Saad Ullah Jan</t>
  </si>
  <si>
    <t>4750-K</t>
  </si>
  <si>
    <t>Saeed Anwar s/o Shahbaz Khan</t>
  </si>
  <si>
    <t>Ajmal Khan, r/o Pistakhara Chowk, Near Madina CNG, Peshawar. (Mobile No. 0300-9330261)</t>
  </si>
  <si>
    <t>Traced Person. At the hearing held on 21-06-2018 Saeed Anwar entered appearance himself; however he could not explain necessary details for certain obvious reasons. Accordingly name of Saeed Anwar is deleted from the list of Enforced Disappeared Persons.</t>
  </si>
  <si>
    <t>4751-S</t>
  </si>
  <si>
    <t>Muhammad Zahir Arain s/o Muhammad Saleh Jamal</t>
  </si>
  <si>
    <t>House No. 4822, Sector No. 5/C, Landi No. 06</t>
  </si>
  <si>
    <t>Deleted. The case has been deleted due to incomplete/fake address as the Police could not locate the complainant/family in the absence of which no further proceedings could be initiated. The address given in the complaint is House No. 4822, Sector No. 5/C, Landi No. 06, which is not residence in the name of complainant.</t>
  </si>
  <si>
    <t>4752-S</t>
  </si>
  <si>
    <t>Muhammad Akram Rajput s/o Ejaz Ahmed</t>
  </si>
  <si>
    <t>Ejaz Ahmed, r/o House No. 4822, Sector No. 8/C, Korangi, Karachi.</t>
  </si>
  <si>
    <t>4753-P</t>
  </si>
  <si>
    <t>Abdul Ghafoor s/o Muhammad Ishaq</t>
  </si>
  <si>
    <t>Mst. Sherifa Bibi, r/o Al-Noor Colony, Gujra Road, Tehsil &amp; District Jhang. (Mobile No. 0306-1138936)</t>
  </si>
  <si>
    <t>FIR No. 116 dated 27.02.2018 u/s 365 PPC PS Satellite Town, Jhang</t>
  </si>
  <si>
    <t>Deleted. Statement of Mst. Sharifan Bibi complainant mother of the Missing Person, who appeared before the Commission on 18.12.2019 has been recorded on oath. She has stated that no allegation was leveled by her against LEAs/Intelligence Agencies in the complaint application and FIR. Similarly statement of IO/Inspector Muhammad Aslam has been recorded on oath. According to him during the investigation he has recorded statements of two witnesses’ u/s 161 Cr.PC, but both of them are not EW of the occurrence. He further added that he has also recorded statement of 17 other witnesses, but nothing has come on record which suggests that it is a case of Enforced Disappearance. In the case five JIT meetings have so far been conducted and the case has been categorized as Missing Person has gone on his own.</t>
  </si>
  <si>
    <t>4754-P</t>
  </si>
  <si>
    <t>Yar Muhammad s/o Raban Shah</t>
  </si>
  <si>
    <t>Muhammad Noor, r/o Kohsar Colony, Taxila, District Rawalpindi. (Mobile No. 0346-0018631 &amp; 0308-5979033)</t>
  </si>
  <si>
    <t>FIR No. 99 dated 03.03.2018 u/s 365 PPC PS Fateh Jang</t>
  </si>
  <si>
    <t>Traced Person. Yar Muhammad has been Traced. Mr. Abid Munir, SI/SHO PS/Fateh Jang, District Attock appeared before the Commission on 25.6.2020, whose statement has been recoeded on oath, He has Furnished copy of an affidavit (Mark-A), according to which Yar Muhammad has returned home and is present at his residence. as yar muhammad has been traced, he is no more amissing person and his name is deleted from the list of disappeared persons.</t>
  </si>
  <si>
    <t>4755-K</t>
  </si>
  <si>
    <t>Sher Zada s/o Abdul Hakeem</t>
  </si>
  <si>
    <t>Atibar Gul, r/o High Way Chowk, Jarmaq, P.O Jarma, Tehsil &amp; District Kohat. (Mobile No. 0300-5172770 &amp; 0332-8840850)</t>
  </si>
  <si>
    <t>Deleted. After through investigation into this case it is concluded that Sher Zada was not abducted by any LEAs/ Intelligence Agency but its off-shoots enmity between the two parties. Investigation Officer submitted that the complainant did not shown keen interest in investigation of the case. The complainant did not appearance before the Commission on 19.9.2020. Hence, the case does not fall within the domain of enforced disappearance. The case is closed.</t>
  </si>
  <si>
    <t>4756-K</t>
  </si>
  <si>
    <t>Barkat Ali s/o Abdul Hameed</t>
  </si>
  <si>
    <t>Mst. Bakhat Taj, r/o Mohallah Gul Bahar Colony, Sidu Sharif, District Swat. (Mobile No. 0344-9651191)</t>
  </si>
  <si>
    <t>4757-F</t>
  </si>
  <si>
    <t>Rehmat Ullah s/o Noor Zali Shah</t>
  </si>
  <si>
    <t>Mst. Khoba Jana, r/o Lachi Payan, Near Alfalah Hotel, Kohat. (Mobile No. 0333-9347185 &amp; 0335-1434734)</t>
  </si>
  <si>
    <t>Traced Persom. Rep of MI informed at the hearing on 02/04/2018 that Rehmat Ullah is confined at Internment Center, Paithom under Action (in aid of Civil) Regulation 2011. Family Members have been allowed to meet him.</t>
  </si>
  <si>
    <t>4758-I</t>
  </si>
  <si>
    <t>Qari Zia Ullah s/o Azim Gul</t>
  </si>
  <si>
    <t>Azim Gul, r/o Masjid Al- Toheed, Street No. C-625, G-10/4, Islamabad. (Mobile No. 0306-9898425)</t>
  </si>
  <si>
    <t>FIR No.125 dt.22/03/18 u/s 365 PPC PS Ramana District ICT.</t>
  </si>
  <si>
    <t>Traced Person. Qari Zia Ullah traced person entered appearance and stated that he was at Karachi. However the complaint was lodged without his knowledge. Be that as it may, no further action is required to be taken by the Commission.</t>
  </si>
  <si>
    <t>4759-P</t>
  </si>
  <si>
    <t>Abdul Almwas s/o Thamash Khan</t>
  </si>
  <si>
    <t>Thamash Khan, r/o Ward No. 01, Mohallah Khawagan, Ghala Mandi, Gujar Khan, District Rawalpindi. (Mobile No. 0300-5590136)</t>
  </si>
  <si>
    <t>Traced Person. It was intimated at hearing on 05/04/2018 that Abdul Almwas has returned to home.</t>
  </si>
  <si>
    <t>4760-P</t>
  </si>
  <si>
    <t>Almas Khan s/o Tamash Khan</t>
  </si>
  <si>
    <t>Traced Person. It was intimated at hearing on 05/04/2018 that Almas Khan s/o Tamash Khan has returned to home.</t>
  </si>
  <si>
    <t>4761-F</t>
  </si>
  <si>
    <t>Gul Saeed s/o Janab Gul</t>
  </si>
  <si>
    <t>Jahanzeb Khan, r/o Bar Qambar, Shakmal Khel, Tehsil Bara, District Khyber Agency. (Mobile No. 0302-8804616)</t>
  </si>
  <si>
    <t>FIR dated 12/04/2018 PA Khyber Agency.</t>
  </si>
  <si>
    <t>Traced Person. Gul Saeed has been traced. Rep of MI is present. He has submitted that Gul Saeed is being put on trial by Military Court; however his case has been held in abeyance due to reason that enactment pertaining to military Courts has not been extended beyond 6.1.2019. Thereafter meeting of the family will be arranged with Gul Saeed.</t>
  </si>
  <si>
    <t>4762-S</t>
  </si>
  <si>
    <t>Muhammad Waqar s/o Muhammad Ibrahim</t>
  </si>
  <si>
    <t>Muhammad Ibrahim Kambhar, r/o Lala Israr Colony, Dera Lal Station, Tehsil &amp; District Mityari. (Mobile No. 0346-3775615)</t>
  </si>
  <si>
    <t>Deleted. Sindh Police rep submitted copy of FIR which contains no allegations against LEAs. None appeared for the Missing Person at the hearing held on 23.10.2019. Hence the case is closed.</t>
  </si>
  <si>
    <t>4763-P</t>
  </si>
  <si>
    <t>Naiz Wali s/o Muhammad Zameen</t>
  </si>
  <si>
    <t>Abdul Wali Khan, r/o Insaf Shoes, Al- Sheikh Plaza, Railway Workshop Road, Ganj Mandi, Rawalpindi. (Mobile No. 0301-8981550)</t>
  </si>
  <si>
    <t>FIR No. 173, dated 02.04.16 u/s 365 PPC PS Ratta Amral, Rawalpindi</t>
  </si>
  <si>
    <t>4764-I</t>
  </si>
  <si>
    <t>Muhammad Esar s/o Muhammad Aslam</t>
  </si>
  <si>
    <t>Muhammad Saad, r/o House No. G-1, NIH Colony Chak Shahzad, Islamabad. (Mobile No. 0333-5119816)</t>
  </si>
  <si>
    <t>FIR No.55 dt.06/03/2018 u/s 365 PPC PS Shahzad Town District ICT.</t>
  </si>
  <si>
    <t>Traced Person. At the hearing held on 25-06-2018 Muhammad Saad b/o Muhammad Esar entered appearance and submitted that his brother Muhammad Esar returned to home on 07-05-2018. Inspector Pervaiz Akhtar PS Shehzad Town also confirmed.</t>
  </si>
  <si>
    <t>4765-F</t>
  </si>
  <si>
    <t>Afsar s/o Toor Shah</t>
  </si>
  <si>
    <t>Toor Shah, r/o Dowezi, Apin Kor, P.O Yak Ghund, Tehsil Yak Ghund, District Mohmand Agency. (Mobile No. 0302-9057232)</t>
  </si>
  <si>
    <t>4766-S</t>
  </si>
  <si>
    <t>Kafiyat Ullah s/o Muhammad Ghous</t>
  </si>
  <si>
    <t>Mst. Hajra Bibi, r/o Odgream, Tehsil Babu Zai, District Swat. (Mobile No. 0340-9239764)</t>
  </si>
  <si>
    <t>Deleted. The case has been closed due to non-prosecution by complainant/family in which no further proceedings could be initiated, complainant did not attend hearing on 26.2.2019.</t>
  </si>
  <si>
    <t>4767-I</t>
  </si>
  <si>
    <t>Hamza Pervaiz s/o Muhammad Pervaiz Akhtar</t>
  </si>
  <si>
    <t>Muhammad Pervaiz Akhtar, Allama Iqbal Road, Near Iqbal Mandi, Tehsil Alam Ger, District Gujrat. (Mobile No. 0333-5823583)</t>
  </si>
  <si>
    <t>34203-8603737-7</t>
  </si>
  <si>
    <t>FIR No.105 dt.13/03/2018 u/s 365 PPC PS Lohi Bher District ICT</t>
  </si>
  <si>
    <t>Deleted. Several hearings held in this case, statements of witnesses recorded. Concurrent findings submitted by JIT and ICT PTF that the Missing Person had gone on his own. All Intelligence Agencies/LEAs including CTD have denied apprehession/custody of Hamza Parvez. Hence not a case of enforced disappearance.</t>
  </si>
  <si>
    <t>4768-K</t>
  </si>
  <si>
    <t>Luqman Hakeem s/o Fazal Gul</t>
  </si>
  <si>
    <t>Norwan Gul, r/o Shakoor Arjan , Tehsil Tangi District Charsadda. (Mobile No. 0302-5886620 &amp; 0302-5942213)</t>
  </si>
  <si>
    <t>4769-P</t>
  </si>
  <si>
    <t>Ghulam Muhammad s/o Mian Ayaz Ahmed</t>
  </si>
  <si>
    <t>Mian Ayaz Ahmed, r/o Basti Deen Pur Sharif, Tehsil Khanpur, District Rahim Yar Khan.</t>
  </si>
  <si>
    <t>FIR No. 30/18 dated 11.03.2018 u/s 365 PPC PS Sabzazar, Lahore</t>
  </si>
  <si>
    <t>Traced Person. Ghulam Muhammad has been traced. He is presently confined in the Internment Center Fort Salop, Tribal District Khyber. Mian Ayaz Ahmed father appeared on 17.6.2019, whose statement has been recorded that he met his sin in the aforementioned Internment Center.</t>
  </si>
  <si>
    <t>4770-P</t>
  </si>
  <si>
    <t>Abdul Samad s/o Mian Mehmood Ahmed</t>
  </si>
  <si>
    <t>Naeem Ullah, r/o Masjid Zeenat-ul-Islam, Ahmed Pur Road, Bahawalpur. (Mobile No. 0306-2084595)</t>
  </si>
  <si>
    <t>Traced Person. Abdul Samad has been traced. He has returned to home. Naeem Ullah who is relative of Abdul Samad appeared before the Commission on 19.6.2019 whose statement has been recorded on oath. According to which Abdul Samad is present at native home.</t>
  </si>
  <si>
    <t>4771-P</t>
  </si>
  <si>
    <t>Sheikh Wajhi Ullah Naeem s/o Naeem Ullah</t>
  </si>
  <si>
    <t>Naeem Ullah, r/o House No. 107, Faizabad Colony, Bahawalpur. 0306-2084595)</t>
  </si>
  <si>
    <t>Traced Person. Sheikh Wajhi Ullah Naeem has been traced and returned home. According to statement of his father Naeem Ullah who appeared before the Commission on 19.6.2019.</t>
  </si>
  <si>
    <t>4772-B</t>
  </si>
  <si>
    <t>Abdul Sattar s/o Ishaq Zai</t>
  </si>
  <si>
    <t>Habib Ullah, r/o Mohallah Muslim Abad, Airport Road, Quetta. (Mobile No. 0313-8546062)</t>
  </si>
  <si>
    <t>Deleted. In the FIR it is alleged that the Missing Persons were allegedly abducted by 8/10 persons on gunpoint. Since there is no allegation against any of the Agency, therefore, for want of jurisdiction the case is closed.</t>
  </si>
  <si>
    <t>4773-B</t>
  </si>
  <si>
    <t>Abdul Hameed s/o Ali Muhammad Abu Tarab</t>
  </si>
  <si>
    <t>Deleted. Report submitted at the hearing on 22.5.2018 indicates that the Missing Persons were allegedly abducted by 8/10 persons on gunpoint. As there is no allegation against any of the LEAs, therefore, for want of jurisdiction the case is closed.</t>
  </si>
  <si>
    <t>4774-B</t>
  </si>
  <si>
    <t>Ali Muhammad Tarab s/o Noor Muhammad</t>
  </si>
  <si>
    <t>4775-K</t>
  </si>
  <si>
    <t>Rehmat Shah s/o Rahim Shah</t>
  </si>
  <si>
    <t>Mst. Jehan Bano, r/o Gadkot Manglor, District Swat. (Mobile No. 0341-8985198)</t>
  </si>
  <si>
    <t>Deleted. During the course of inquiry, no clue could be found that any LEA/ Intelligence Agency was involved in disappearance of Rehman Shah. The case has been categorized as of missing person has gone on his own by JIT as well as PTF. The complainant Mst. Jehan Bano or her authorized representative was summoned twice for recording statement but none entered appearance despite issuance of notices. All stakeholders have denied arrest/custody of Rehmat Shah. Hence, not a case of enforced disappearance. The case is closed.</t>
  </si>
  <si>
    <t>4776-F</t>
  </si>
  <si>
    <t>Muhammad Ayaz s/o Muhammad Nawaz Khan</t>
  </si>
  <si>
    <t>Saeed Muhammad, r/o Dand Road, Para Chanar, Mohallah Faqeer Baba, (Mobile No. 0301-6999239)</t>
  </si>
  <si>
    <t>FATA/ Kurram</t>
  </si>
  <si>
    <t>4777-K</t>
  </si>
  <si>
    <t>Irfan-ud-Din s/o Zarman-ud-Din</t>
  </si>
  <si>
    <t>Rooh Ullah, r/o Thoor Dera Ada, Tehsil Chota Lahore, District Swabi. (Mobile No. 0311-9194199 &amp; 0305-9000039)</t>
  </si>
  <si>
    <t>21403-5155191-9</t>
  </si>
  <si>
    <t>FIR No. 164 dated 15.03.2018 u/s 365 PPC PS Akora</t>
  </si>
  <si>
    <t>4778-P</t>
  </si>
  <si>
    <t>Muhammad Shafique Bajjar s/o Muhammad Rafique</t>
  </si>
  <si>
    <t>Muhammad Rafique, r/o House No. 5/483, Lala Musa, Tehsil Kharian. (Mobile No. 0302-6208565)</t>
  </si>
  <si>
    <t>Deleted. Keeping in view the registration of FIR being No. 162 u/s 17/22 EO, 1979, statement of Mr. Ghulam Mustafa Gillani, SP (Inv), Gujrat, Syed Abu Zar Sibtain, Dy Director FIA, Gujrat and Muhammad Rafique complainant. It can safely stated that this case does not fall within the ambit of enforced disappearance therefore name of Muhammad Shafique Bajjar be deleted from the list of enforced disappeared persons.</t>
  </si>
  <si>
    <t>4779-K</t>
  </si>
  <si>
    <t>Salah-ud-Din s/o Sultan Zaib</t>
  </si>
  <si>
    <t>Khursheed Anwar, r/oHouse No. 02, Mangal Bagh, Mardan. (Mobile No. 0314-9810868 &amp; 0333-5411902)</t>
  </si>
  <si>
    <t>Traced Person. Hearing held on 16/08/2018 accordingly to the report received from Rep of MI, Salah-ud-Din has been traced. He is presently confined in th Internment Center, Paithom. Sultan Zaib father of traced person was present and apprised of status.</t>
  </si>
  <si>
    <t>4780-K</t>
  </si>
  <si>
    <t>Gul Kaman s/o Mian Gul</t>
  </si>
  <si>
    <t>Shahzad Gul, r/o Dowaba, Tehsil &amp; District Hangu. (Mobile No. 0336-9070007 &amp; 0306-8502111)</t>
  </si>
  <si>
    <t>4781-P</t>
  </si>
  <si>
    <t>Mohsin Khan s/o Baz Gul Khan</t>
  </si>
  <si>
    <t>Khan Gul, r/o Lakhara, Near Middle School Girls, Malkan Chowk, Rata Kalachi, Tehsil &amp; District Dera Ismail Khan. (Mobile No. 0313-9350657 &amp; 0304-2262014)</t>
  </si>
  <si>
    <t>Traced Person. Returned to home as informed by Khan Gul, uncle of Mohsin Khan to Member of this Commission.</t>
  </si>
  <si>
    <t>4782-K</t>
  </si>
  <si>
    <t>Rasool Janan s/o Haider Khan</t>
  </si>
  <si>
    <t>Bibi Banam Jana, r/o Adam Khel, Tatani Simah Mamo, Tehsil Upper Orakzai Agency. (Mobil No. 0332-5846527)</t>
  </si>
  <si>
    <t>Traced Person. It was informed at the hearing held on 18/07/2018 that Raool Janan has returned to home. Rasool Janan entered appearance before the Commission. They have submitted that they remained under detention for one month and returned to home about 20 days ago.</t>
  </si>
  <si>
    <t>4783-K</t>
  </si>
  <si>
    <t>Izat Khan s/o Haider Khan</t>
  </si>
  <si>
    <t>Traced Person. It was informed at the hearing held on 18/07/2018 that Izat Khan has returned to home. Izat Khan entered appearance before the Commission. Izat Khan has submitted that he remained under detention for one month and returned to home about 20 days ago.</t>
  </si>
  <si>
    <t>4784-K</t>
  </si>
  <si>
    <t>Fazal Rehman s/o Ghulam Jan</t>
  </si>
  <si>
    <t>Iyaran Bibi, r/o Mamozai, Mir Kalam Khel, Dakhana Gleju, Gota Khel. (Mobile No. 0332-5995814)</t>
  </si>
  <si>
    <t>4785-K</t>
  </si>
  <si>
    <t>Shahid Ullah s/o Rasheed</t>
  </si>
  <si>
    <t>Bibi Banam Jana, r/o Qoom Mamozai, Abdul Rahim Khel, Zargaran, Mamozai Kili, Tehsil Upper, Orakzai Agency. (Mobil No. 0332-5846527)</t>
  </si>
  <si>
    <t>4786-P</t>
  </si>
  <si>
    <t>Muhammad Adil s/o Ibadat Ali</t>
  </si>
  <si>
    <t>Ibadat Ali r/o House No. CB-2146, Street No. 6 Allahabad Westridge 3, Rawalpindi Cantt. Mobile No. 0345-5599700.</t>
  </si>
  <si>
    <t>Traced Person. Returned to home Muhammad Adil enterned appearance before the Commission on 14/04/2018. He stated that he left the village at his own and nobody abducted him.</t>
  </si>
  <si>
    <t>4787-P</t>
  </si>
  <si>
    <t>Yasir-Al-Hussani s/o Abdul Khaliq Shah</t>
  </si>
  <si>
    <t>Arif Hussain Shah, r/o New Chakrah Road, Karmabad Town, Near Madni Masjid, Rawalpindi (Bhatta Chowk). (Mobile No. 0333-5313503)</t>
  </si>
  <si>
    <t>FIR No. 156 dt 08/03/2018 u/s 365 PPC PS Naseerabad, Rawalpindi.</t>
  </si>
  <si>
    <t>Traced Person. Yasir-al-Hussani has been traced. He has returned to home but due to ailing health he could not entered appearance before the Commission.</t>
  </si>
  <si>
    <t>4788-S</t>
  </si>
  <si>
    <t>Muhammad Sohail s/o Dawood Jan</t>
  </si>
  <si>
    <t>Hakim Jan, r/o House No. 25/1, Khyaban-e-Sir Syed, Sector-2, Ali Market, Rawalpindi. (Mobile No. 0302-5513550)</t>
  </si>
  <si>
    <t>Traced Person. At the hearing held on 26-01-2018 father of Muhammad Sohail was present and submitted he had returned to home. Accordingly name of Muhammad Sohail is deleted from the list of Enforced Disappeared Person and case consigned to record.</t>
  </si>
  <si>
    <t>4789-P</t>
  </si>
  <si>
    <t>Abdul Malik s/o Hazrat Khan</t>
  </si>
  <si>
    <t>Muhammad Yaseen, r/o Denki Road, Abdul Shakoor Wall Market, Jalal Pur Bhatian, District Hafizabad. (Mobile No. 0301-3752377)</t>
  </si>
  <si>
    <t>fir No. 132 dated 14.3.2018 u/s 365 PPC PS Jalalpur Bhattian, Hafizabad</t>
  </si>
  <si>
    <t>Traced Person. Inspector (Legal) Hafizabad is present, whose statement has been recorded on oath. He has submitted that dead body of Abdul Malik was handed over to family.</t>
  </si>
  <si>
    <t>4790-P</t>
  </si>
  <si>
    <t>Muhammad Zakir s/o Nisab Hussain</t>
  </si>
  <si>
    <t>Waqar Ahmed Nisab, r/o Lambai P.O. Chakkar, Tehsil &amp; District Muzaffarabad. (Mobile No. 0348-5520632)</t>
  </si>
  <si>
    <t>FIR No. 185 dated 16.03.2018 u/s 365 PPC PS Pirwadhai, Rwp</t>
  </si>
  <si>
    <t>Traced Person. At the hearing held in this case on 25-06-2018 a report was submitted by CPO, Rawalpindi that Muhammad Zakir has been traced, who went to Karachi on his own and was no abducted by anyone. As Muhammad Zakir has returned home, he is no more a missing person. Accordingly, his name is deleted from the list of enforced disappeared persons.</t>
  </si>
  <si>
    <t>4791-S</t>
  </si>
  <si>
    <t>Shah Bakht Rawan s/o Shah Zaman</t>
  </si>
  <si>
    <t>Ambreen r/o Kuza Bandi, Tehsil Kabal, District Swat. (Mobile No. 0342-1992762)</t>
  </si>
  <si>
    <t>Re-Open and Hearing Held at Islamabad.</t>
  </si>
  <si>
    <t>Deleted. SDPO Orangi Town submitted copy of Roznamcha complainant not Interested to pursue the case. Close accordingly</t>
  </si>
  <si>
    <t>4792-K</t>
  </si>
  <si>
    <t>Shah Zaman s/o Gul Shah</t>
  </si>
  <si>
    <t>Bakht Bena r/o Kuza Bandi, Tehsil Kabal, District Swat. (Mobile No. 0342-1992762)</t>
  </si>
  <si>
    <t>15602-0430568-9</t>
  </si>
  <si>
    <t>FIR No. 171 dated 13/03/2018 u/s 365 PPC PS Kanju, Swat</t>
  </si>
  <si>
    <t>4793-K</t>
  </si>
  <si>
    <t>Nawab Ali s/o Muhammad Shareen</t>
  </si>
  <si>
    <t>Muhammad Shareen r/o Village Dakhana Kuza Bandi, Tehsil Kabal, District Swat. (Mobile No. 0341-8359422)</t>
  </si>
  <si>
    <t>15602-4219123-3</t>
  </si>
  <si>
    <t>4794-I</t>
  </si>
  <si>
    <t>Bacha Khan s/o Ghulam Habib</t>
  </si>
  <si>
    <t>Salman r/o Nasirabad Kuza Bandi, Tehsil Kabal, District Swat. (Mobile No. 0343-8124806)</t>
  </si>
  <si>
    <t>Traced Person. It has been intimated at the hearing held in this Commission on 28-06-2018 that Bacha Khan is presently confined in Internment Center Fizaghat. Family members of Bacha Khan shall be facilitated to see him in the Internment Center Fizaghat by authorities concerned as per rules and procedure under Action (in aid of Civil Power) Regulation 2011. Family Members have been allowed to meet him.</t>
  </si>
  <si>
    <t>4795-P</t>
  </si>
  <si>
    <t>Izzat Khan s/o Hakim Khan</t>
  </si>
  <si>
    <t>Saleem Khan, r/o Saleem Khan Bar dana Wala, Ghala Mandi Khushab. (Mobile No. 0301-7099554)</t>
  </si>
  <si>
    <t>FIR No. 76 dated 12/03/2018 u/s 365 PPC PS Quaidabad District Khushab</t>
  </si>
  <si>
    <t>Traced Person. Izzat Khan entered appearance before the Commission on 30/08/2018 and submitted that he went to Mohmand Agency on his own and has abducted by anybody.</t>
  </si>
  <si>
    <t>4796-S</t>
  </si>
  <si>
    <t>Muhammad Akram s/o Ijaz Ahmed</t>
  </si>
  <si>
    <t>Muhammad Rasheed, r/o C-19 Korangi 3 1/2 Meow Colony Korangi, Karachi. (Mobile No. 0310-8099142)</t>
  </si>
  <si>
    <t>4797-K</t>
  </si>
  <si>
    <t>Abdul Malik s/o Muhammad Hussain</t>
  </si>
  <si>
    <t>Abdul Rasheed, r/o Mohalla Khalidabad Taza Gull Ghari, Akbarpura, District Nowshera. (Mobile No. 0308-9187881)</t>
  </si>
  <si>
    <t>FIR No. 84 dated 16.03.2018 u/s 365 PPC PS Akbarpura</t>
  </si>
  <si>
    <t>Traced Person. Abdul Malik entered appearance before the Commission on 12/07/2018. He has submitted that he remained in confinement for seven months and returned to home on 03/05/2018.</t>
  </si>
  <si>
    <t>4798-K</t>
  </si>
  <si>
    <t>Muhammad Ibrahim s/o Mubarik Jan</t>
  </si>
  <si>
    <t>Mubarik Jan, r/o Teerah, Meedan, Khuwajal Khel, Dara. (Mobile No. 0333-9111403)</t>
  </si>
  <si>
    <t>FIR dated 27/04/2018 PA Khyber Agency.</t>
  </si>
  <si>
    <t>4799-K</t>
  </si>
  <si>
    <t>Sami-ur-Rehman s/o Aziz-ur-Rehman</t>
  </si>
  <si>
    <t>Aziz-ur-Rehman, r/o Randa Manzay, P.O. Bagh Meedan, Tehsil Lal Qila, District Lower Dir. (Mobile No. 0305-5458813)</t>
  </si>
  <si>
    <t>Traced Person. According to report received from Rep of MI Sami-ur-Rehman has been traced and presently he is confined in the Internment Centre at Fizagat. Aziz-ur-Rehman f/o Sami-ur-Rehman (Traced Person) is present, who has been apprised of the status of the case.</t>
  </si>
  <si>
    <t>4800-K</t>
  </si>
  <si>
    <t>Faheem Shah s/o Kifayat Shah</t>
  </si>
  <si>
    <t>Kifayat Shah, r/o District &amp; Tehsil Charsadda, Village &amp; Dhakhana Ibrahim Zai Mohalla Mian Village. (Mobile No. 0317-9644630)</t>
  </si>
  <si>
    <t>Traced Person. Fasheem Shah has been traced. He is present before the Commission on 28/01/2019. He has submitted that he remained under detention for a period over 18 months and set free on 15/11/2018 at Rawalpindi. His statement was got recorded u/s 164 CrPC.</t>
  </si>
  <si>
    <t>4801-P</t>
  </si>
  <si>
    <t>Muhammad Salman s/o Fida Muhammad</t>
  </si>
  <si>
    <t>Fida Muhammad, r/o Mohalla Hazrat Bilal Chota Bazaar, Tehsil &amp; District Dera Ismail Khan, KPK. (Mobile No. 0345-9867277)</t>
  </si>
  <si>
    <t>FIR No. 173 dated 15-03/2018 u/s 365 PPC PS Shorkot City Jhang</t>
  </si>
  <si>
    <t>4802-A</t>
  </si>
  <si>
    <t>Muhammad Adrees s/o Hafeez Ullah</t>
  </si>
  <si>
    <t>Hafeez Ullah, r/o Kungai, Loi Mahonda, Bajour Agency. (Mobile No. 0303-7547036)</t>
  </si>
  <si>
    <t>FIR No. 37/18 dated 20.03.2018 u/s 365 PPC PS Afzal Pur, Mir Pur</t>
  </si>
  <si>
    <t>Aj&amp;K</t>
  </si>
  <si>
    <t>4803-I</t>
  </si>
  <si>
    <t>Syed Huzaifa Tasawar Gardezi s/o Syed Tasawar Hussan Shah</t>
  </si>
  <si>
    <t>Hafiz Ullah, r/o Village Hallar Syedan, Tehsil &amp; P.O. Bagh Azad Jammu Kashmir. (Mobile No. 0333-4806442, 0300-8507838)</t>
  </si>
  <si>
    <t>FIR No. 157 dated 30.03.2018 u/s 365 PPC PS I-Area, Islamabad</t>
  </si>
  <si>
    <t>Traced Person. IO has produced copy of affidavit of Syed Abdullah Tasawar Gardezi, who is brother of the traced person, wherein he has deposed that his brother Syed Huzafia Tasawar Gardezi had returned home.</t>
  </si>
  <si>
    <t>4804-P</t>
  </si>
  <si>
    <t>Aqeel Ahmed Mughal s/o Muhammad Dawood Mughal</t>
  </si>
  <si>
    <t>Muhammad Dawood Mughal, r/o Muhallah Eid Gah, Bari Gali, Taxila, District Rawalpindi. (Mobile No. 0300-9788557)</t>
  </si>
  <si>
    <t>FIR No. 171 dated 18.03.2018 u/s 365 PPC PS Tacila, Rwp</t>
  </si>
  <si>
    <t>Traced Person. At the hearing held on 26-06-2018. Aqeel Ahmed Mughal was present and submitted that he went for Tabligh on his own and returned back on 25-06-2018.</t>
  </si>
  <si>
    <t>4805-K</t>
  </si>
  <si>
    <t>Muhammad Hamad s/o Gul Sharif</t>
  </si>
  <si>
    <t>Ahmed Hayat, r/o Saddar Bar Kilay, Tehsil Samar Bagh, District Lower Dir. (Mobile No. 0346-9384489)</t>
  </si>
  <si>
    <t>Traced Person. Rep of MI informed at the Hearing on 30/03/2018 that Muhammad Hamad is confined in Internment Center Malakand under Action (in aid of Civil Power) Regulation 2011. Family Members have been allowed to meet him.</t>
  </si>
  <si>
    <t>1st Mar, 2018</t>
  </si>
  <si>
    <t>4806-S</t>
  </si>
  <si>
    <t>Muhammad Sohail s/o Muhammad Saeed</t>
  </si>
  <si>
    <t>Dr. Shaheen, r/o Bangwalo No. 6/13 , Block No. 6, Ist Unit, Satellite Town, Mir Pur Khas, Sindh. (Mobile No. 0333-2990632)</t>
  </si>
  <si>
    <t>FIR No.19/2018 u/s 365 PPC PS Satellite Town District Mir p[ur Khas.</t>
  </si>
  <si>
    <t>Traced Person. It was informed at the hearing held in this Commission on 06/08/2018 that Muhammad Sohail has returned to home. Family member, Mother of the traced person confirmed the reported position.</t>
  </si>
  <si>
    <t>4807-S</t>
  </si>
  <si>
    <t>Abdul Aziz s/o Taj Muhammad</t>
  </si>
  <si>
    <t>Mst. Robina Taj, r/o Hub River Road, Naval Colony, Dawood Wachani Goth, Kachi Abadi, Sindh. (Mobile No. 0323-3264205)</t>
  </si>
  <si>
    <t>Deleted. No a case of Enforced Disappearance as the Missing Person Abdul Aziz has been declared absconder by the competent court of Jurisdiction. The case does not fall under the domain of enforced.</t>
  </si>
  <si>
    <t>4808-P</t>
  </si>
  <si>
    <t>Zafar Rehman s/o Gul Rehman</t>
  </si>
  <si>
    <t>Abdul Nawaz, r/o P.O Lab Thata, Tejhsil Taxila, District Rawalpindi. (Mobile No. 0316-1520022)</t>
  </si>
  <si>
    <t>FIR No. 105 dated 27.03.2018 u/s 365 PPC PS Wah Cantt, Rawalpindi</t>
  </si>
  <si>
    <t>Traced Person. Abdul Nawaz b/o Zafar Rehman (Traced Person) is present. He has submitted that Zafar Rehman is presently confined in Internment Centre Kohat. He further submitted that he as well as his family members have already met with him in the Internment Centre Kohat. As Zafar Rehman has been traced he is no more a missing person..</t>
  </si>
  <si>
    <t>4809-F</t>
  </si>
  <si>
    <t>Shakir Ullah s/o Rahim Gul</t>
  </si>
  <si>
    <t>Syed Umar Khan, r/o Khurazi Jalal Kor. P.o Yousaf Khel, Tehsil Upper Mohmand Agency, District Mohmand Agency. (Mobile No. 0343-4856516)</t>
  </si>
  <si>
    <t>4810-P 4566-P Same cases</t>
  </si>
  <si>
    <t>Raza Muhammad Khan s/o Muhammad Ismail Khan</t>
  </si>
  <si>
    <t>r/o, Model Colony, near Fridous Market.</t>
  </si>
  <si>
    <t>4811-S</t>
  </si>
  <si>
    <t>Syed Tabish Shahkar s/o Syed Kamal Shahood</t>
  </si>
  <si>
    <t>Syed Kamal Shahood, r/o House No. R-339, Al- Laghari Villas, Street No. 10, Sector 1-A-4, Mangopir Road, Karachi. (Mobile No. 0346-2262845 &amp; 0334-9927831)</t>
  </si>
  <si>
    <t>Traced Person. It was informed at the hearing held in this Commission that Syed Tabish Shahkar has returned to home. The report submitted by the Police Officer SDPO, Manghopir, Karachi is placed on record.</t>
  </si>
  <si>
    <t>4812-K</t>
  </si>
  <si>
    <t>Mujeeb-ur-Rehman s/o Wali-ur-Rehman</t>
  </si>
  <si>
    <t>Mirza Anwar, r/o Tangi Bangeal, Tehsil Balakot, District Manshera. (Mobile No. 0341-5157121 &amp; 0348-2977562)</t>
  </si>
  <si>
    <t>FIR No. 359 dated 21/11/2017 u/s 365-PPC PS Bala Kot, Manshera</t>
  </si>
  <si>
    <t>Traced Person. Hafeez Rehman elder brother of Mujeeb-ur-Rehman is present and stated that as a result of registration of case by PS/CTD Karachi against Mujeeb-ur-Rehman he was confined at the moment in the Central Jail Karachi and legal action is under way.</t>
  </si>
  <si>
    <t>4813-F</t>
  </si>
  <si>
    <t>Fakhar Alam s/o Masham Khan</t>
  </si>
  <si>
    <t>Masham Khan, r/o P.O Dabkor, Tehsil Yak Ghund, District mohmand Agency . (Mobile No. 0316-3526487 &amp; 0322-9146022)</t>
  </si>
  <si>
    <t>21407-9210057-5</t>
  </si>
  <si>
    <t>4814-P</t>
  </si>
  <si>
    <t>Akbar Khan s/o Malik Farooq</t>
  </si>
  <si>
    <t>Mst. Gul Marjana, r/o Purana Chakara, Dhok Karim Abad, Rawalpindi. (Mobile No. 0312-5998544)</t>
  </si>
  <si>
    <t>FIR No. 190 dated 16.03.2018 u/s 365 PPC PS Naseerabad, Rawalpindi</t>
  </si>
  <si>
    <t>Traced Person. Reference hearing dated 28/09/2018. Akbar Khan has been traced. He is present before the Commission. He has submitted that he remained in detention for 18 months, however he could not give further details regarding place of detention and persons involved in his detention.</t>
  </si>
  <si>
    <t>4815-K</t>
  </si>
  <si>
    <t>Abdul Rauf s/o Abdul Haq</t>
  </si>
  <si>
    <t>Saif-ur-Rehman, r/o P.O Tarkho, Tehsil Mohmand, District Bajur Agency. (Mobile No. 0305-1993936)</t>
  </si>
  <si>
    <t>Traced Person. Abdul Rauf has been traced, He has returned home. SP (Inv), Peshawar is present. He has furnished report dated 17/10/2018. According to this report Abdul Rauf was not abducted by anybody rather he got annoyed with his family and went to his realities and now he has returned back.</t>
  </si>
  <si>
    <t>4816-K</t>
  </si>
  <si>
    <t>Zameen Gul s/o Fazal Karim</t>
  </si>
  <si>
    <t>Gul Hamad, r/o Koz Kand, P.O Gogand, Tehsil Dagar, District Bonair. (Mobile No. 0346-8291303 &amp; 0342-9169513)</t>
  </si>
  <si>
    <t>4817-S 5022-S</t>
  </si>
  <si>
    <t>Waseem s/o Naseem Ahmed</t>
  </si>
  <si>
    <t>Mst. Naheed, r/o Flat No. Z-21, Plot No. FL-5, Street No. 04, Sirjani Town Karachi. (Mobile No. 0342-3394313 &amp; 0313-1039791)</t>
  </si>
  <si>
    <t>4818-P</t>
  </si>
  <si>
    <t>Munsif Khan s/o Nadir Khan</t>
  </si>
  <si>
    <t>Abdul Aziz, r/o Foji Colony, Street No. 07, Near Pirwadhai. (Mobile No. 0343-9100402 &amp; 0347-0059075)</t>
  </si>
  <si>
    <t>Traced Person. Rep of MI is present. He has submitted that case of Munsif Khan s/o Nadir Khan is pending before the Military Court and further proceeding in the case will be subject to approval of extension in Military Court by the Federal Government.</t>
  </si>
  <si>
    <t>4819-K</t>
  </si>
  <si>
    <t>Ghulam Hussain s/o Saeed-ur-Rehman</t>
  </si>
  <si>
    <t>Ikram Ullah, r/o Gur Mandi, Peshawar. (Mobile No.0332-2878454 &amp; 0302-5830551).</t>
  </si>
  <si>
    <t>21407-9608357-9</t>
  </si>
  <si>
    <t>4820-K</t>
  </si>
  <si>
    <t>Essa Khan s/o Khan Zada</t>
  </si>
  <si>
    <t>Mst. Bakhat Bibi, r/o Mandbara, Tehsil Matta, District Swat. (Mobile No. 0342-5978143)</t>
  </si>
  <si>
    <t>Traced Person. It has been intimated at the hearing on 24/10/2018 that Essa Khan is confined in Internment Center Paithom. Zaman Bacha Khan brother of Essa Khan was present who apprised of the status of the case. Family members of Essa Khan shall be facilitated to see him in the Internment Center as per rules and procedures.</t>
  </si>
  <si>
    <t>4821-F</t>
  </si>
  <si>
    <t>Israr Khan s/o Talib Khan</t>
  </si>
  <si>
    <t>Mst.Batnar Bibi, r/o Koki Khel, Aka Khel, Bara, Khyber Agency. (Mobile No. 0302-8860978 &amp; 0314-9067154)</t>
  </si>
  <si>
    <t>4822-A</t>
  </si>
  <si>
    <t>Laiq Zada s/o Lal Zada</t>
  </si>
  <si>
    <t>Lal Zada, r/o Tangi, Bajur Agency. (Mobile No. 0303-8635966)</t>
  </si>
  <si>
    <t>4823-A</t>
  </si>
  <si>
    <t>Dawood s/o Dalam Khan</t>
  </si>
  <si>
    <t>Dalam Khan, r/o Tangi, Bajur Agency. (Mobile No. 0302-2937571)</t>
  </si>
  <si>
    <t>4824-F</t>
  </si>
  <si>
    <t>Ikram Ullah s/o Khamar Gul</t>
  </si>
  <si>
    <t>Syedan Gul, r/o Asho Khel, Kando Shera, Matani, F.R, Peshawar. (Mobile No. 0345-8862398)</t>
  </si>
  <si>
    <t>Traced Person. Rep of MI informed at the Hearing on 30/03/2018 that Ikram Ullah is confined in Internment Center Kohat under Action (in aid of Civil Power) Regulation 2011. Family Members have been allowed to meet him.</t>
  </si>
  <si>
    <t>4825-A</t>
  </si>
  <si>
    <t>Raja Tasawar Khan</t>
  </si>
  <si>
    <t>Mst. Nuzhat Nisa, r/o Khewara, Tehsil Lepa, District Hatia Bala.</t>
  </si>
  <si>
    <t>Traced Person. It was informed at the hearing on 09/07/2018 that Raja Tasawar Khan has been traced. His case is under trail by Filed General Court Marshal. It has been submitted that case will be decided in the next 30/40 days and thereafter as per decision of FGCM further action will be taken. Wife of Raja Tasawar Khan is present. She has been apprised a status of the case. Rep of MI has been directed to arrange meeting of his wife as per rule and procedure.</t>
  </si>
  <si>
    <t>4826-B</t>
  </si>
  <si>
    <t>Abdul Rehmann s/o Waheed-ul-Hassan</t>
  </si>
  <si>
    <t>Mst. Saiqa Waheed, r/o 358-B, Smangali Housing Scheme, Smangali Road, Quetta. (Mobile No. 0336-8188211)</t>
  </si>
  <si>
    <t>Traced Person Mst Saiqa Waheed, who is mother of Abdul Rehman and Saif-ur-Rehman is present and submitted that both her sons have returned to home. The police has also submitted progress report dated 22.5.2018 confirming the aforesaid position</t>
  </si>
  <si>
    <t>4827-B</t>
  </si>
  <si>
    <t>Abdullah Dar s/o Waheed-ul-Hassan Dar</t>
  </si>
  <si>
    <t>Traced Person. Abdullah Dar appeared before the Commission at Quetta on 16.9.2019. According to him he was picked up and taken away blindfolded in March 2017 from his Shop situated at Al. Madad Chowk, Quetta and kept at some unknown place.That he was set free on 15.9.2019. Statement of Abdullah Dar has also been recorded u/s 161 CrPC, which is placed on record.</t>
  </si>
  <si>
    <t>4828-B</t>
  </si>
  <si>
    <t>Saif-ur-Rehman s/o Waheed-ul-Hassan Dar</t>
  </si>
  <si>
    <t>4829-B</t>
  </si>
  <si>
    <t>Waheed-ul-Hassan Dar s/o Abdul Wahid Dar</t>
  </si>
  <si>
    <t>Traced Person. It was informed at the hearing held in this Commission during 21-26 January, 2019 at Quetta, that alleged Missing Person Abdullah s/o Waheed-ul-Hassan Dar s/o Abdul Wahid Dar has returned to home.</t>
  </si>
  <si>
    <t>4830-I</t>
  </si>
  <si>
    <t>Abdul Qadoos s/o Muhammad Qasim Mansoor</t>
  </si>
  <si>
    <t>Abdul Wahab, r/o Masjid Usama Bin Zaid, Flat No. 01, G-8/2, Islamabad. (Mobile No. 0334-5361937 &amp; 0317-0835831)</t>
  </si>
  <si>
    <t>61101-1455519-5</t>
  </si>
  <si>
    <t>fir No. 93/18 dated 3.3.2018 u/s 365 PPC PS Karachi Company, ICT</t>
  </si>
  <si>
    <t>Traced Person. The traced person appeared before the Commission at the hearing on 30/03/2018. He did not disclose the details of the episode for obvious reasons.</t>
  </si>
  <si>
    <t>4831-I</t>
  </si>
  <si>
    <t>Abdul Samad Salik s/o Muhammad Qasim Mansoor</t>
  </si>
  <si>
    <t>4832-F</t>
  </si>
  <si>
    <t>Selab Shah s/o Syed Badshah</t>
  </si>
  <si>
    <t>Syed Badshah, r/o Shafi Khel, Gandawo, Mohmand Agency. (Tele No. 0924-233510 &amp; 0924-233012)</t>
  </si>
  <si>
    <t>4833-K</t>
  </si>
  <si>
    <t>Naimat Ullah s/o Ahmed</t>
  </si>
  <si>
    <t>Mst. Khursheed Pari, r/o P.O Charpali, Tehsil Mata , District Swat. (Mobile No. 0343-9767215)</t>
  </si>
  <si>
    <t>FIR No. 326 Dadted 17/04/18 u/s 365 ppc, PS Swabi.</t>
  </si>
  <si>
    <t>Traced Person. Rep of MI informed at the Hearing on 30/03/2018 that Naimat Ullah is confined in Internment Center Malakand under Action (in aid of Civil Power) Regulation 2011. Family Members have been allowed to meet him.</t>
  </si>
  <si>
    <t>4834-F</t>
  </si>
  <si>
    <t>Najeeb Ullah s/o Muqarab Khan</t>
  </si>
  <si>
    <t>Muqarab Khan, r/oTehsil Shakai, South Wazaristan Agency. (Mobile No. 0348-9335144)</t>
  </si>
  <si>
    <t>Traced Person. Rep of MI informed at the Hearing on 27/04/2018 that Najeeb Ullah is confined in Internment Center Kohat under Action (in aid of Civil Power) Regulation 2011. Family Members have been allowed to meet him.</t>
  </si>
  <si>
    <t>4835-K</t>
  </si>
  <si>
    <t>Saeed Ullah s/o Habib-ur-Rehman</t>
  </si>
  <si>
    <t>Bait Ullah, r/o P.O Shabaqadar,Tehsil &amp; District Charsadda. (Mobile No. 0345-9135542)</t>
  </si>
  <si>
    <t>FIR No.115 dt.04/03/2018 u/s 365 PPC PS Batgaram District Charsadda.</t>
  </si>
  <si>
    <t>Deleted. During the course of inquiry, no clue could be found to indicate that any LEA/ Intelligence Agency was involved in disappearance of Saeed Ullah s/o Habib-ur-Rehman. The case has been categorized as of missing person has gone on his own by JIT as well as PTF. The complainant Bait Ullah or his authorized representative was summoned twice for recording statement but none entered appearance despite issuance of notices. All stakeholders have denied arrest/custody of Saeed Ullah Hence, not a case of enforced disappearance and closed.</t>
  </si>
  <si>
    <t>4836-S</t>
  </si>
  <si>
    <t>Molvi Bakhat Ali Pahore s/o Muhammad Siddique</t>
  </si>
  <si>
    <t>Atta Muhammad, r/o Puran Power House Shikar Pur, Sindh (Mobile No.0301-3403740 &amp; 0333-7271791)</t>
  </si>
  <si>
    <t>Sindh/ICT</t>
  </si>
  <si>
    <t>4837-S</t>
  </si>
  <si>
    <t>Noor Saeed s/o Abdul Wadood</t>
  </si>
  <si>
    <t>Shah Wazir Khan, r/o Village Khona Khel, Tehsil Dagar, District Bonair. (Mobile No. 0347-8924597)</t>
  </si>
  <si>
    <t>15101-0378180-5</t>
  </si>
  <si>
    <t>Deleted . The case has been deleted due to non- prosecution as the complainant is not interested to lodge FIR attends JIT as he filed a petition in the Sindh High Court.</t>
  </si>
  <si>
    <t>4838-P</t>
  </si>
  <si>
    <t>Hamid Mehmood s/o Muhammad Zahid Asmai</t>
  </si>
  <si>
    <t>Muhammad Zahid Asmai, r/o Mohallah Bogra, Haji Pura, Silakot (Mobile No. 0302-6101298)</t>
  </si>
  <si>
    <t>FIR No. 38 dated 10.01.2018 u/s 365 PPC PS Sadar Sialkot</t>
  </si>
  <si>
    <t>Traced Person. Hamid Mehmood has been traced. He was present before the Commission at the hearing on 06/10/2018. However he could not disclose details regarding place of detention and persons involved in his disappearance.</t>
  </si>
  <si>
    <t>4839-F</t>
  </si>
  <si>
    <t>Hazrat Umar s/o Gulaiz</t>
  </si>
  <si>
    <t>Sirtaj, r/o Angoor Ada, Tehsil Barmal, District South Waziristan Agency. (Mobile No. 0308-5677677 &amp; 0307-8784194))</t>
  </si>
  <si>
    <t>FATA/ SWA</t>
  </si>
  <si>
    <t>4840-S</t>
  </si>
  <si>
    <t>Waqar Rehman s/o Muhammad Aslam</t>
  </si>
  <si>
    <t>Muhammad Aslam, r/o House No. B-122, Block -A, KDA Officer Housing Society, Karachi. (Mobile No. 0321-3741162)</t>
  </si>
  <si>
    <t>H.C FIR#154/16 Karachi</t>
  </si>
  <si>
    <t>4841-P</t>
  </si>
  <si>
    <t>Hafiz Attique-ur-Rehman s/o Haji Muhammad Ramzan</t>
  </si>
  <si>
    <t>Mst. Samia Bibi, r/o Moza Mandhal, Tehsil Ahmed Pur Shariqua, District Bahawalpur. (Mobile No. 0308-1956006)</t>
  </si>
  <si>
    <t>Traced Person. Rep of MI informed at the Hearing on 30/03/2018 that Hafiz Attique-ur-Rehman is confined in Internment Center Fizaghat under Action (in aid of Civil Power) Regulation 2011. Family Members have been allowed to meet him.</t>
  </si>
  <si>
    <t>4842-S</t>
  </si>
  <si>
    <t>Hazrat Ullah s/o Muhammad Bilal</t>
  </si>
  <si>
    <t>Muhammad Bilal, r/o segram, Cherapal, Tehsil Mata, District Swat. (Mobile No. 0347-9532286)</t>
  </si>
  <si>
    <t>4843-K</t>
  </si>
  <si>
    <t>Kaleem Ullah s/o Shafi-ur-Rehman</t>
  </si>
  <si>
    <t>Shafi-ur-Rehman, r/o Village Masho Khel, Mohallah Sahiabzadgadn, Tehsil &amp; District Peshawar. (Mobile No. 0313-9624540)</t>
  </si>
  <si>
    <t>Deleted PTF have categorized the case as “Missing Person gone on his own”. A writ petition filed in Peshawar High Court was also dismissed. Statement of father of Missing Person was also recorded by the Commission in which he concluded that there is no allegation against any agency.</t>
  </si>
  <si>
    <t>4844-K</t>
  </si>
  <si>
    <t>Muhammad Zaheer s/o Muhammad Aslam Khan</t>
  </si>
  <si>
    <t>Muhammad Hassan Mauvia, r/o House No. 158, Sector No. 4-F, Mohallah Pakhtoonabad, Bismillah Colony, Orangi Town, Karachi. (Mobile No. 0314-2356835)</t>
  </si>
  <si>
    <t>FIR No. 274 dated 02.04.2018 u/s 365 PPC PS Cantt Abbottabad</t>
  </si>
  <si>
    <t>Traced Person. Rep of MI appeared on 28.8.2019 and submitted that Muhammad Zaheer after completion of the subject training released on 6.7.2019.</t>
  </si>
  <si>
    <t>4845-K</t>
  </si>
  <si>
    <t>Mufti Shahab-ud-Din Popalzai</t>
  </si>
  <si>
    <t>Traced Person. SP (Inv), Peshawar submitted statement from Mufti Shah-ud-Din Popalzai that he was never abducted by anyone and he was returned to home.</t>
  </si>
  <si>
    <t>Ministry of Interior, Islamabad</t>
  </si>
  <si>
    <t>4846-I</t>
  </si>
  <si>
    <t>Noor Alam s/o Pir Salar Khan</t>
  </si>
  <si>
    <t>Habib Ullah, r/o Ali Khel, Ahad Khel, P.O Data Khel, District North Waziristan Agency. (Mobile No, 0348-7988182 &amp; 0310-9388878)</t>
  </si>
  <si>
    <t>Traced Person. DSP/CIS submitted report at the hearing on 24/04/2018 that Noor Alam has returned to home. Habib Ullah who is the complainant in this case also affirmed this poistion</t>
  </si>
  <si>
    <t>4847-A</t>
  </si>
  <si>
    <t>Syed Tausique Haider Kazmi s/o Syed Asad Abbas Kazmi</t>
  </si>
  <si>
    <t>Syed Asad Abbas Kazmi, r/o Ward No. 05, Quarter No. D-4/44, Officer Colony, Muzafarabad. (Mobile No. 0345-5351697)</t>
  </si>
  <si>
    <t>Deleted. DIG (SB)/Focal Person of AJK Police appeared on 12/12/2018 and submitted that Syed Tausique Haider Kazmi committed suicide and from DNA test it has been verified that dead-body belonged him. Accordingly the case is closed.</t>
  </si>
  <si>
    <t>4848-P</t>
  </si>
  <si>
    <t>Muhammad Ali s/o Ghulam Farooq</t>
  </si>
  <si>
    <t>Shaukat, r/o Golora More, Shamas Colony, Near Railway Phatak, Islamabad. (Mobile No. 0345-9036842)</t>
  </si>
  <si>
    <t>FIR No. 228 dated 03.04.2018 u/s 365 PPC PS Naseerabad, Rawalpindi</t>
  </si>
  <si>
    <t>Traced Person. Muhammad Ali s/o Ghulam Farooq appeared before the Commission on 17.6.2019, whose statement has been recorded on oath. According to him he had gone to Lahore.</t>
  </si>
  <si>
    <t>4849-K</t>
  </si>
  <si>
    <t>Asim Ullah s/o Zar Muhammad</t>
  </si>
  <si>
    <t>Sher Muhammad, r/o Sarwa Kilay, P.O Shabaqadar, District Charsadda. (Mobile No. 0317-1656003)</t>
  </si>
  <si>
    <t>FIR No. 214/18 dated 12/04/2018 u/s 365 PPC PS Sawar Kilay, District Charsadda.</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</si>
  <si>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Asim Ullah. Hence, not a case of enforced disappearance. The case is closed.</t>
  </si>
  <si>
    <t>4850-K</t>
  </si>
  <si>
    <t>Hussain Shah s/o Niamat Gul</t>
  </si>
  <si>
    <t>Niamat Gul, r/o Mohallah Toheedabad, Dir Colony, Peshawar. (Mobile No. 0315-9025040)</t>
  </si>
  <si>
    <t>Traced Person. Hussain Shah has returned to home whose statement u/s 164 CrpC was got recorded, copy whereof has been furnished by Ali Saeed SI appeared before the Commission on 07/01/2019.</t>
  </si>
  <si>
    <t>4851-K</t>
  </si>
  <si>
    <t>Faisal Gul s/o Farid Khan</t>
  </si>
  <si>
    <t>Wahid Gul Khan, r/o Village Bandi, Mohallah Tal, Tehsil Havelian, District Abbottabad. (Mobile No. 0313-5819147 &amp; 0347-8594871)</t>
  </si>
  <si>
    <t>Traced Person. SP (Inv), Abbottabad informed at the hearing on 26/04/2018 that Faisal Gul has returned to home. He also made appearance before the Commission.</t>
  </si>
  <si>
    <t>4852-I</t>
  </si>
  <si>
    <t>Umar Abdul Aziz s/o Gul Nabi</t>
  </si>
  <si>
    <t>Shakeel Khan, r/o Miran Shah, Shumali Waziristan Agency, NWA. (Mobile No. 0336-5163244, 0928-312508)</t>
  </si>
  <si>
    <t>21506-9418383-5</t>
  </si>
  <si>
    <t>Daily Dairy No.56 Dated 11/04/18, PS Tarnol</t>
  </si>
  <si>
    <t>4853-K</t>
  </si>
  <si>
    <t>Riaz Muhammad Khan s/o Taj Muhammad Khan</t>
  </si>
  <si>
    <t>Hazrat Ali, r/o Muhallah Teliabad, P.O. Kanju (Kabal), Tehsil &amp; District Swat. (Mobile No. 0315-7483355)</t>
  </si>
  <si>
    <t>4854-P</t>
  </si>
  <si>
    <t>Muhammad Tariq s/o Bashir Ahmed</t>
  </si>
  <si>
    <t>Mst. Shamim Akhtar, r/o Sheikhupura Road, Mohallah Mubarik Abad. (Mobile No. 0323-7246876)</t>
  </si>
  <si>
    <t>FIR No. 111/18 dated 22.03.2018 u/s 365 PPC PS Muridke, District Sheikhupura</t>
  </si>
  <si>
    <t>Traced Person. A hearing was held in this case on 28/06/2018 at Lahore at which wife of Muhammd Tariq entered appearance and intimated that her husband was confined in Central Jail Gujranwala. Later it was affirmed by DPO, Sheikhupura vide report dated 02/07/2018 that Muhammad Tariq is confined in Central Jail, Gujranwala. He was handed over to the Jail authorities by Pak Army under security of Pakistan Act, 1952.</t>
  </si>
  <si>
    <t>Home Department, Pumjab</t>
  </si>
  <si>
    <t>4855-K</t>
  </si>
  <si>
    <t>Bakhat Buland s/o Malik Aman</t>
  </si>
  <si>
    <t>Mst. Sanifa Bibi, r/o Mohallah Bara Hajira, Village Dheri, P.O Swari, Tehsil Gakar, District Bonair. (Mobile No. 0336-9695292)</t>
  </si>
  <si>
    <t>Traced Person. Rep of MI informed at the Hearing on 30/03/2018 that Bakhat Buland is confined in Internment Center Lakki Marwat under Action (in aid of Civil Power) Regulation 2011. Family Members have been allowed to meet him.</t>
  </si>
  <si>
    <t>4856-K</t>
  </si>
  <si>
    <t>Saeed Ullah s/o Ameer Jamal</t>
  </si>
  <si>
    <t>Mst. Jameela Bibi, r/o Bajur Agency. (Mobile No. 0305-3606262)</t>
  </si>
  <si>
    <t>FIR No. 335 dated 04.04.2018 u/s 365 PPC PS Mingora Swat</t>
  </si>
  <si>
    <t>Traced Person. It has been intimated at the hearing on 24/10/2018 that Saeed Ullah has been traced and presently he is confined in the Internment Center Paithom. Najeeb Ullah brother of Saeed Ullah was present and apprised of the status of the case.</t>
  </si>
  <si>
    <t>4857-S</t>
  </si>
  <si>
    <t>Maaz Ullah s/o Yar Muhammad</t>
  </si>
  <si>
    <t>Hassan Shah, r/o Hussain Khel, Thesil Upper Mohmand Agency. (Mobile No. 0302-3607427 &amp; 0314- 3060370)</t>
  </si>
  <si>
    <t>21406-2415920-9</t>
  </si>
  <si>
    <t>Deleted. The Missing Person Maaz Ullah has been declared absconder. The case does not fall under the domain of enforced, on the basis of facts narrated in the JIT report. According to ISI report, as well Maaz Ullah was affiliated with Tehreekk-e-Taliban, Pakistan. He remained involved in Terrorist activities.</t>
  </si>
  <si>
    <t>Hayderabad</t>
  </si>
  <si>
    <t>4858-F</t>
  </si>
  <si>
    <t>Zafran s/o Isar Khan</t>
  </si>
  <si>
    <t>Israr Khan, r/o Koki Khel, Sikander Kherl, Ghundi, Jamrood, District Khyber Agency. (Mobile No. 0304-9271514)</t>
  </si>
  <si>
    <t>FIR Dated 17/04/2018 at PA Khyber Agency.</t>
  </si>
  <si>
    <t>Traced Person. Rep of MI informed at the Hearing on 30/03/2018 that Zafar is confined in Internment Center Lakki Marwat under Action (in aid of Civil Power) Regulation 2011. Family Members have been allowed to meet him.</t>
  </si>
  <si>
    <t>4859-K</t>
  </si>
  <si>
    <t>Muqadar Khan s/o Jalandar Khan</t>
  </si>
  <si>
    <t>Gul Muhammad Khan, r/o Village Do Bandi, Mena Banda, Tehsil Dargai, Malakand. (Mobile No. 0346-9302235)</t>
  </si>
  <si>
    <t>FIR No. 105 dated 26/06/2016 u/s 365/148/149 PPC PS Malakand</t>
  </si>
  <si>
    <t>Traced Person. According to report received from Rep of MI Muqadar Khan has been traced and presently he is confined in the Internment Centre at Fizagat. Gul Muhammad b/o Muqadar Khan (Traced Person) is present, who has been apprised of the status of the case.</t>
  </si>
  <si>
    <t>4860-I 3106-I</t>
  </si>
  <si>
    <t>Maulana Masood-ur-Rehman s/o Maulana Abdul Rasheed Arshad</t>
  </si>
  <si>
    <t>Inam Rehman, r/o Basti Nacharani, P.O Jataoi, District Muzaffargarh. (Mobile No. 0301-5331452)</t>
  </si>
  <si>
    <t>42103-9648812-9</t>
  </si>
  <si>
    <t>FIR NO. 147 Dated 10/04/2018 u/s 365 PPC , PS Tarnol, Islamabad</t>
  </si>
  <si>
    <t>4861-K</t>
  </si>
  <si>
    <t>Ehsan Ullah s/o Balqais Khan</t>
  </si>
  <si>
    <t>Balqaiz Khan, r/o Machan Khel, Tehsil &amp; District Bannu. (Mobile No. 0302-8085485)</t>
  </si>
  <si>
    <t>FIR No. 237 dt 06.04.2018 u/s 365 PPC PS Ghoriwala, District Bannu</t>
  </si>
  <si>
    <t>Traced Person. TJIT report submitted at the hearing on 25/04/2018 which incicates that Ehsan Ullal is confined in Bagran Jail, Afghanistan as the charges of weling for ISI. His father also confirmed.</t>
  </si>
  <si>
    <t>4862-P</t>
  </si>
  <si>
    <t>Muhammad Madeen Akhtar s/o Muhammad Akhtar</t>
  </si>
  <si>
    <t>Mst. Ayesha Shuja, r/o House No. 08, Street No. 03, A- Block, Al Faisal Town, Zarar Shaheed Road, Lahore Cantt. (Mobile No. 0300-8882725)</t>
  </si>
  <si>
    <t>Traced Person. A report dated 23.8.19 has been submitted at the hearing on 31.8.2019 by AHO (Inv) CTD, Lahore intimating that Madeen Ahmed has returned to home. He had gone on his own due to domestic dispute and nobody abducted him.</t>
  </si>
  <si>
    <t>4863-P</t>
  </si>
  <si>
    <t>Mirza Nadeem Ahmed s/o Muhammad Akhtar</t>
  </si>
  <si>
    <t>Mst.Hina Noreen, r/o House No. 08, Street No. 03, A- Block, Al Faisal Town, Zarar Shaheed Road, Lahore Cantt. (Mobile No. 0321-633312)</t>
  </si>
  <si>
    <t>Traced Person. A report dated 23.8.19 was submitted at the hearing on 31.8.2019 intimating that Nadeem Ahmed has returned to home (AHO, CTD, Lahore) JIT in its confirmed dated 23.8.19.</t>
  </si>
  <si>
    <t>4864-I</t>
  </si>
  <si>
    <t>Shahzad Ahmed s/o Muhammad Nisar Khan</t>
  </si>
  <si>
    <t>Ayaz Ahmed, r/o Village Harkarya, Tehsil &amp; P.O Abbas Pur, District Ponch, Azad Kashmir. (Mobile No. 0343-1087910 &amp; 0313-5571434)</t>
  </si>
  <si>
    <t>FIR No.67 dt.26/02/20148 u/s 365 PPC PS Lohi Bher District ICT</t>
  </si>
  <si>
    <t>Traced Person. Brother of traced person Muhammad Jawed entered appearance on 28.3.2019 and stated that he met Shahzad Ahmed who was detained in police station Mirpur. He has also deposed that Shehzad Ahmed was produced in the court and he was remanded to Judicial Custody.</t>
  </si>
  <si>
    <t>4865-K</t>
  </si>
  <si>
    <t>Muhammad Abdul Kabir s/o Abdul Rehman</t>
  </si>
  <si>
    <t>Abdul Baqi, r/o Mufdar Zai, Peshawar University, Mohallah Kundi Bala, Peshawar. (Mobile No. 0314-3018855 &amp; 0321-9105247 &amp; 0327-9105947)</t>
  </si>
  <si>
    <t>17301-420513-9</t>
  </si>
  <si>
    <t>4866-P</t>
  </si>
  <si>
    <t>Muhammad Ibrar s/o Muhammad Safdar</t>
  </si>
  <si>
    <t>Rehmat Ali, r/o Mohallah Raja Sultan, Near Bilal Masjid, Street No. 04, Rawalpindi. (Mobile No. 0345-9749661)</t>
  </si>
  <si>
    <t>FIR No. 119 dated 21.03.2018 u/s 365 PPC PS Banni, RWP</t>
  </si>
  <si>
    <t>Deleted. Keeping in view the statement of complainant and I.O, the case does not fall within the ambit of Enforced Disappearance. Further proceeding by the Commission would be a futile exercise. Moreover case against the nominated accused persons is already pending before the court of law.</t>
  </si>
  <si>
    <t>4867-K</t>
  </si>
  <si>
    <t>Sakhi Rehman s/o Sher Abbass Khan</t>
  </si>
  <si>
    <t>Hussain Ahmed, r/o Kotka Hayat Khan, Suleman Khel, Tehsil &amp; District Lakki Marwat. (Mobile No. 0346-5679262 &amp; 0346-8278577)</t>
  </si>
  <si>
    <t>Deleted. After investigation, JIT and PTF have arrived at the conclusion that the Missing Person had gone on his own. The complainant appeared for hearing and conceded that there was no allegation against any LEA/intelligence Agencies. Hence no further action is required. The case is closed.</t>
  </si>
  <si>
    <t>4868-K</t>
  </si>
  <si>
    <t>Hajat Ullah s/o Sharif Ullah</t>
  </si>
  <si>
    <t>Imdad Ullah, r/o P.O Inayat Kilay, Village Dabar, Tehsil Momand, Bajur Agency. (Mobile No. 0317-0549745 &amp; 0302-5057407)</t>
  </si>
  <si>
    <t>Traced Person. Hujjat Ullah has been traced. DSP (Inv), Peshawar appeared before the Commission on 13.9.2019 and submitted that Hujjat Ullah has returned to home on 9.7.2019.</t>
  </si>
  <si>
    <t>4869-K</t>
  </si>
  <si>
    <t>Aziz-ur-Rehman s/o Habib-ur-Rehman</t>
  </si>
  <si>
    <t>Habib-ur-Rehman, r/o Hangu Khas Banda. (Mobile No. 0333-9677796 &amp; 0303-8537233)</t>
  </si>
  <si>
    <t>Deleted. Facts and circumstance of the matter indicates that this is a case of abduction for ransom, and the case does not fall within the ambit of Enforced Disappearance. Keeping in view the circumstances of the case it is not a case of Enforced Disappearance and does not come in the purview of the Commission.</t>
  </si>
  <si>
    <t>4870-S</t>
  </si>
  <si>
    <t>Allah Noor Khan s/o Haji Mir Wali Khan</t>
  </si>
  <si>
    <t>Rab Nawaz, r/o Mohallah Doctor Hashim Ali, Tank. (Mobile No. 0344-9779000 &amp; 0306-9779000)</t>
  </si>
  <si>
    <t>4871-K</t>
  </si>
  <si>
    <t>Syed Nawab s/o Muhammad Razaq</t>
  </si>
  <si>
    <t>Mushtaq Ahmed, r/o Village Kouza Gookand, Tehsil Dogar, District Buner. (Mobile No. 0342-2924745)</t>
  </si>
  <si>
    <t>4872-F</t>
  </si>
  <si>
    <t>Sohail Ahmed s/o Zaman Sher</t>
  </si>
  <si>
    <t>Zaman Sher, r/o Zareef Korona, Shah Alam Silai Yaka Ghund, Mehmond Agency. (Mobile No. 0349-1772896)</t>
  </si>
  <si>
    <t>21407-0668061-7</t>
  </si>
  <si>
    <t>FATA Mohamand</t>
  </si>
  <si>
    <t>4873-P</t>
  </si>
  <si>
    <t>Ajmal Khan s/o Noor Rehman</t>
  </si>
  <si>
    <t>Noor Rehman, r/o Ajmal Block Factory Hazro Road Bhattian, Districk Attock. (Mobile No. 0302-5254238)</t>
  </si>
  <si>
    <t>Traced Person. Ajmal Khan has been traced. According to report received from Rep of MI, Ajmal Khan is confined in the Internment Center Kohat. Father of Ajmal Khan has been apprised of the status of the case.</t>
  </si>
  <si>
    <t>4874-K</t>
  </si>
  <si>
    <t>Syed Muhabbat Shah s/o Muhammad Shah</t>
  </si>
  <si>
    <t>Bibi Sadiqa, r/o Mohallah Ali Khan Khel, Village Naryab, Tehsil Thall, District Hangu. (Mobile No. 0333-5568711)</t>
  </si>
  <si>
    <t>Deleted. According to Regulations, 2011 Enforced Disappearance means such person as has been picked up/taken into custody by one of the law enforcement /intelligence agencies working under civilian or military control in a manner which is contrary to provisions of law, which is not the position in the case and private persons have been nominated in the FIR. The case is closed.</t>
  </si>
  <si>
    <t>4875-S</t>
  </si>
  <si>
    <t>Muhammad Ramzan s/o Nazir Ahmed</t>
  </si>
  <si>
    <t>Saleem Shahzad, r/o House No. 60, Block-A, MPR Colony Mango Phir Road, Karachi. (Mobile No. 0312-8805725)</t>
  </si>
  <si>
    <t>Traced Person. It was informed at the hearing held in this case on 20/06/2018 at Sub Officer of the Commission that Muhammd Ramzan s/o Nazir Ahmed has returned to home.</t>
  </si>
  <si>
    <t>4876-P</t>
  </si>
  <si>
    <t>Muhammad Asad Munir s/o Munir Ahmed</t>
  </si>
  <si>
    <t>Mst. Shakeela Anwar, r/o House No. 72-B, Punjab Assmal Industry, Lahore. (Mobile No. 0321-2355324 &amp; 0333-7401457)</t>
  </si>
  <si>
    <t>Traced Person. IO of the case has submitted at the hearing on 07/05/2018 that Asad Munir has been traced and he has returned home on 29/03/2018 who stated that he went to Karachi on his own and he was not abducted by anybody</t>
  </si>
  <si>
    <t>4877-P</t>
  </si>
  <si>
    <t>Atta-ur-Rehman s/o Fazli Moola</t>
  </si>
  <si>
    <t>Jan Wali, r/o Gali No. 60, Dhok Matkyal Boring Plot No. 1485, Tehsil &amp; District Rawalpindi. (Mobile No. 0300-5220524)</t>
  </si>
  <si>
    <t>FIR No. 117 dated 03.04.2018 u/s 365 PPC PS Ratta Amral, Rawalpindi</t>
  </si>
  <si>
    <t>Traced Person. At the hearing held on 24/04/2018 father of Traced Person Atta-ur-Rehman confirmed that the latter has returned to home. He was abducted by unknown persons from his home on 09/03/2018.</t>
  </si>
  <si>
    <t>4878-K</t>
  </si>
  <si>
    <t>Bostan s/o Gulistan</t>
  </si>
  <si>
    <t>Dilbar Khan, r/o Dilazak Road, Adrema Adda, District Peshawar. (Mobile No. 0346-9863471)</t>
  </si>
  <si>
    <t>4879-K</t>
  </si>
  <si>
    <t>Abdul Razzaq s/o Ali Muhammad</t>
  </si>
  <si>
    <t>Ali Muhammad, r/o Manokhor Tanogy, Darkhana Timergira, Tehsil Timergira, District Lower Dir. (Mobile No. 0346-9840310)</t>
  </si>
  <si>
    <t>4879, 5098 &amp; 4881 to be fixed together on the next date of hearing.</t>
  </si>
  <si>
    <t>4880-K</t>
  </si>
  <si>
    <t>Syed Khan s/o Gul Badshah</t>
  </si>
  <si>
    <t>Muhammad Khan, r/o Shadab Colony, Tehsil Tangi, District Charsadda. (Mobile No. 0306-9072190 &amp; 0347-3332232)</t>
  </si>
  <si>
    <t>Deleted. In this case there is no eye witness and accordingly JIT concluded that the Missing Person has gone on his own. All stakeholders law denied arrest and custody of Syed Khan. The case does not fall within the domain of enforced disappearance. Hence closed.</t>
  </si>
  <si>
    <t>4881-K</t>
  </si>
  <si>
    <t>Ehsan Ullah s/o Abdul Majeed Gul</t>
  </si>
  <si>
    <t>Jan Sela, r/o Odegram, Tehsil Balam Bat, District Dir Pine. (Mobile No. 0302-8184301)</t>
  </si>
  <si>
    <t>4879, 5098 &amp; 4881, 5382 to be fixed together on the next date of hearing.</t>
  </si>
  <si>
    <t>4882-K</t>
  </si>
  <si>
    <t>Luqman s/o Gul Faraz</t>
  </si>
  <si>
    <t>Gul Faraz, r/o Sogandy Manai, Tehsil Topi, District Swabi. (Mobile No. 0302-5309754)</t>
  </si>
  <si>
    <t>FIR No.298 Dadted 18/04/18 u/s 365 ppc, PS Topi, District Swabi.</t>
  </si>
  <si>
    <t>Deleted. After investigation and receipt of reports from JIT/PTF concluding that Luqman s/o Gul Faraz had gone on his own and keeping in view the statement of (Brother) that no allegation has been leveled against any of the LEAs, the case not found to be a case of enforced disappearance. Hence closed.</t>
  </si>
  <si>
    <t>4883-K</t>
  </si>
  <si>
    <t>Adil Khan s/o Asad Ullah</t>
  </si>
  <si>
    <t>Aftab Ahmed, r/o Masoom Nagar Near Iqra Schooling System, Tehsil Kallar Syedan, Rawalpindi. (Mobile No. 0333-2280888)</t>
  </si>
  <si>
    <t>Traced Persson. JIT report submitted at the hearing on 18/04/2018 that Adil Khan has returned to home.</t>
  </si>
  <si>
    <t>4884-K</t>
  </si>
  <si>
    <t>Muhammad Faisal s/o Rahim Ullah</t>
  </si>
  <si>
    <t>Traced Persson. JIT report submitted at the hearing on 18/04/2018 that Muhammad Faisal has returned to home.</t>
  </si>
  <si>
    <t>4885-F</t>
  </si>
  <si>
    <t>Muhammad Dedar s/o Radi Gul</t>
  </si>
  <si>
    <t>Mahaz Khan, r/o Faqeer Abad, Aqa Khel, Sheikh Noor Road, Bajur Agnency. (Mobile No. 0302-5898538)</t>
  </si>
  <si>
    <t>4886-F</t>
  </si>
  <si>
    <t>Muhammad Khan s/o Radi Gul</t>
  </si>
  <si>
    <t>4887-F</t>
  </si>
  <si>
    <t>Muhammadi Gul s/o Radi Gul</t>
  </si>
  <si>
    <t>4888-K</t>
  </si>
  <si>
    <t>Aziz-ur-Rehman s/o Muhammad Hassan</t>
  </si>
  <si>
    <t>Muhammad Hassan, r/o Chakaisar, District Shangala. (Mobile No. 0347-9622045)</t>
  </si>
  <si>
    <t>Deleted. After investigation, JIT an PTF submitted conclusive reports that the Missing Person Aziz-ur-Rehman had gone on his own. All stakeholders denied his arrest/ custody. The complainant Muhammad Hassan was called twice for recording his statement but he did not turn up. Apparently not a case of enforced disappearance. The case is closed.</t>
  </si>
  <si>
    <t>4889-I</t>
  </si>
  <si>
    <t>Raja Mustajab Ahmed s/o Nohbahar Ahmed Abbasi</t>
  </si>
  <si>
    <t>Nohbahar Ahmed Abbasi, r/o Dhok Chanam, Baghram, P.O Chatar, Tehsil &amp; District Islamabad. (Mobile No. 0344-5804681)</t>
  </si>
  <si>
    <t>Traced Person. Raja Mustajab Ahmed was abducted in 02/03/2018 by unknown persons. He entered appearance before the Commission on 24/04/2018 as he has returned to home safely.</t>
  </si>
  <si>
    <t>4890-K</t>
  </si>
  <si>
    <t>Inam Ullah s/o Gul Bashir</t>
  </si>
  <si>
    <t>Asim Khan, r/o Mian Kilay, Shabaqadar Fort, Tehsil &amp; District Shabaqadar. (Mobile No. 0333-9144730)</t>
  </si>
  <si>
    <t>4891-P</t>
  </si>
  <si>
    <t>Musleh-ud-Din s/o Habib-ur-Rehman</t>
  </si>
  <si>
    <t>Moin-ud-Din, r/o Basti Din Pur, P.O Khan Pur, District Rahim Yar Khan. (Mobile No. 0300-2677382)</t>
  </si>
  <si>
    <t>FIR No. 167/2018 dated 14/04/2018 u/s 365 PPC PS Sadar Khan Pur , Distt Rahim Yar Khan</t>
  </si>
  <si>
    <t>Traced Person. Moin-ud-Din b/o Musleh-ud-Din entered appearance and stated that Musleh-ud-Din had returned to home, however no details could be furnished for certain obvious reasons.</t>
  </si>
  <si>
    <t>4892-S</t>
  </si>
  <si>
    <t>Ammar Karimi s/o Shamoon Karimi</t>
  </si>
  <si>
    <t>Shamoon Karimi, r/o House No. 18/2, 7th Giziri Lane, DHA Phaase No. 04, Karachi. (Mobile No. 0333-2118447)</t>
  </si>
  <si>
    <t>Traced Person. It was informed at the hearing held in this Commission on 14.5.2019 that Ammar Karimi is confined in Internment Center at Fort Salop.</t>
  </si>
  <si>
    <t>4893-B</t>
  </si>
  <si>
    <t>Abdul Hakeem s/o Azad Khan</t>
  </si>
  <si>
    <t>Mujeeb-ur-Rehman, r/o Kuli Pundarini, Qalat. (Mobile No. 0334-1360800)</t>
  </si>
  <si>
    <t>Traced Person. Mujeeb-ur-Rehman s/o Abdul Hakeem appeared before the Commission on 04/04/2019 and submitted that his father was returned to home on 31/01/2019. He further stated that his farther was kept by unknown persons by unknown palace. IO/SI PS , Qalat also submitted statement of Abdul Hakeem.</t>
  </si>
  <si>
    <t>4894-S</t>
  </si>
  <si>
    <t>Syed Bilal Agha</t>
  </si>
  <si>
    <t>Syed Maqbool Shah, r/o Al Bilal Hotel, Sohrab Karrak Road, Sadar, Karachi. (Mobile No. 0336-9384006)</t>
  </si>
  <si>
    <t>Traced Person. It was informed at the hearing held in this Commission on 20-06-2018 that Mr. Syed Bilal Agha has returned to home. He appeared in person before the Commission. Accordingly his name is deleted from the list of enforced disappeared Person.</t>
  </si>
  <si>
    <t>4895-K</t>
  </si>
  <si>
    <t>Mian Saeed Azam s/o Mian Saeed Jaffar</t>
  </si>
  <si>
    <t>Mian Sakhi Jan, r/o Matta, Tehsil Matta, District Swat. (Mobile No. 0344-2065945)</t>
  </si>
  <si>
    <t>Traced Person.Rep of MI submitted report at the hearing on 25/04/2018 that Mian Saeed Azam has been awarded death sentence by Milatary Court. He is confined in Central Jail, Peshawar where his brother, Mian Sakhim Jan met him.</t>
  </si>
  <si>
    <t>4896-K</t>
  </si>
  <si>
    <t>Rahim Khan s/o Habib Ulah Khan</t>
  </si>
  <si>
    <t>Habib Ullah Khan, r/o Bara Bandi, Tehsil Kabal, District Swat. (Mobile No. 0342-9854405)</t>
  </si>
  <si>
    <t>4897-K</t>
  </si>
  <si>
    <t>Abdul Samad s/o Abdullah Gee</t>
  </si>
  <si>
    <t>Hazrat Ali, r/o Sahrad Colony, Village Bara Bandi, Tehsil Kabal, District Swat. (Mobile No. 0349-9223931)</t>
  </si>
  <si>
    <t>4898-K</t>
  </si>
  <si>
    <t>Nazar Ahmed s/o Abdullah Gee</t>
  </si>
  <si>
    <t>15602-2531108-3</t>
  </si>
  <si>
    <t>4899-K</t>
  </si>
  <si>
    <t>Fazal Mabood s/o Fazal Ahmed</t>
  </si>
  <si>
    <t>Muhammd Tahir, r/o Bara bandi, Tehsil Kabal, District Swat. (Mobile No. 0344-0999771)</t>
  </si>
  <si>
    <t>4900-K</t>
  </si>
  <si>
    <t>Sadiq Shah s/o Qudrat Shah</t>
  </si>
  <si>
    <t>Sangeen Shah, r/o Mohallah Katigan, Atmanzai, Tehsil &amp; District Charsadda. (Mobile No. 0310-9893904)</t>
  </si>
  <si>
    <t>4901-K</t>
  </si>
  <si>
    <t>Osama s/o Sardar Ali</t>
  </si>
  <si>
    <t>Muhammad Arif, r/o Muktab Sardar Ali, Near Madina Masjid, Jahangira, District Nowshera. (Mobile No. 0336-1986927)</t>
  </si>
  <si>
    <t>Traced Person. It was informed at the heaing held on 26/04/2018 that Osama has returned to home. His younger brother Muhammad Arif confirmed.</t>
  </si>
  <si>
    <t>4902-K</t>
  </si>
  <si>
    <t>Muhammad Qasim s/o Sikandar Khan</t>
  </si>
  <si>
    <t>Sikandar Khan, r/o Shero Jangi, Ittafaq Colony, Peshawar. (Mobile No. 0344-1005550)</t>
  </si>
  <si>
    <t>4903-K</t>
  </si>
  <si>
    <t>Abdul Hadi s/o Abdul Tawab</t>
  </si>
  <si>
    <t>Abdul Tawab, r/o Chamal Ghee Ghari, P.O Nagri, Tehsil Dagar, District Bonair. (Mobile No. 0344-4491889)</t>
  </si>
  <si>
    <t>Deleted. Abdul Tawab father of Abdul Hadi Missing Person is present; whose statement has been recorded on oath. That he logged complaint regarding his disappearance before the Commission in 2018 and deposed that he neither leveled allegation against any LEAs.Intelligence Agency, nor he could produce any evidence during this period on the basis whereof it can be inferred that in the disappearance of his son any LEAs/Intelligence Agency was involved. Reps of ISI, MI and FC (North) have already submitted reports, which are to the extent that Abdul Hadi is not in their custody. Hence, the case is deleted.</t>
  </si>
  <si>
    <t>4904-K</t>
  </si>
  <si>
    <t>Muhammad Adil Khan s/o Fazal Ameen</t>
  </si>
  <si>
    <t>Fazal Ameen, r/o Mohallah Siyar Shaheed, Toor Dheri, Tehsil; Lahore, District Swabi. (Mobile No. 0333-9025793)</t>
  </si>
  <si>
    <t>FIR No. 335 dated 11/05/2018 u/s 365-PPC PS Tordher, Swabi</t>
  </si>
  <si>
    <t>Traced Person. Fazal Ameen f/o Muhammad Adil Khan is present and submitted that he met his son twice who is detained in Mardan Jail. According to report submitted by Rep of MI which is to the extent” Punishment awarded by Military Court” now in Mardan Jail.</t>
  </si>
  <si>
    <t>4905-P</t>
  </si>
  <si>
    <t>Muhammad Irfan Qureshi s/o Abdul Qadeer Qureshi</t>
  </si>
  <si>
    <t>Abdul Qadeer Qureshi, r/o Qureshi House, Shah Jamal Road, Khan Garh, Tehsil &amp; District Muzaffargarh. (Mobile No. 0300-7487735)</t>
  </si>
  <si>
    <t>4906-P</t>
  </si>
  <si>
    <t>Doctor Muhammad Rafique s/o Khadim Hussain</t>
  </si>
  <si>
    <t>Mst. Robina Kausar, r/o House No. 126, Street No. 02, Sami Abad, Multan. (Mobile No. 0308-7558456)</t>
  </si>
  <si>
    <t>Traced Person. According to report dated 27/04/2018 submitted by SHO (Seetal Mari), Multan. Dr. Muhammad Rafique has been arrested in Case FIR No. 41 dated 15/12/2016 u/s 4/5 ESA r/w 7ATA at PS CTD, Gujranwala presently he is confined in Central Jail Multan. Mst. Robina Kausar w/o Dr. Muhammad Rafique has entered appearance and affirmed her meeting with her husband.</t>
  </si>
  <si>
    <t>4907-F</t>
  </si>
  <si>
    <t>Raj Muhammad s/o Lal Muhammad</t>
  </si>
  <si>
    <t>Mst. Shahidana, r/o Street No. 18, Near Khan PCO, Foji Colony, Rawalpindi. (Mobile No. 0304-7730042)</t>
  </si>
  <si>
    <t>Traced Person. According to the report submitted by Rep of MI that Raj Wali has been traced. He is presently confined in Internment Center at Ghalani (Mohmand Agency). Family members of Raj Wali shall be facilitated to see him as per rules and procedures under Action (in aid of Civil Power) Regulation 2011. Family Members have been allowed to meet him.</t>
  </si>
  <si>
    <t>4908-S</t>
  </si>
  <si>
    <t>Abdul Rehman Suleman s/o Suleman</t>
  </si>
  <si>
    <t>Mst. Ayesha, r/o House No. 1575, Street No. 45, Bharia Phase No. 08, Usman Block, Rawalpindi. (Mobile No. 0332-5197155)</t>
  </si>
  <si>
    <t>Delted. Not a case of enforced disappearance as no allegation has been leveled against any LEAs, as per contents of Missing Person Proforma.</t>
  </si>
  <si>
    <t>4909-S</t>
  </si>
  <si>
    <t>Akhtar Ullah s/o Shafi Ullah</t>
  </si>
  <si>
    <t>Traced Person. It was informed at the hearing held in this Commission on 01/10/2018 that Akhtar Ullah has returned to home. The report submitted by the Police Officer, SDPO, Baldia, West Karachi is placed on record.</t>
  </si>
  <si>
    <t>4910-I</t>
  </si>
  <si>
    <t>Zaheer Abbas s/o Shabir Ahmed</t>
  </si>
  <si>
    <t>Umar Farooq, r/o 57-WB, Tehsil w District Vehari. (Mobile No. 0303-7986480)</t>
  </si>
  <si>
    <t>Traced Person. It was informed by SP (Inv), Islamabad that Zaheer Abbas has been traced. He has affirmed that Zaheer Abbas was arrested vide case FIR No. 03 dated 05/03/2018 u/s 5 ESA r/w 7ATA, PS, CTD Hazara. However he was granted bail by the Court of Competent Jurisdiction, the relevant report placed on record.</t>
  </si>
  <si>
    <t>4911-P</t>
  </si>
  <si>
    <t>Ameer Hamza s/o Lal Zaman</t>
  </si>
  <si>
    <t>Lal Zaman, r/o Dhoke Mustaqeem, Abdul Ghaffar Masjid, Near Abbasi General Store, Rawalpindi. (Mobile No. 0343-9011838)</t>
  </si>
  <si>
    <t>Traced Person. Ameer Hamza made appearance before the Commission at the hearing on 25-06-2018 and submitted that he went on Tabligh on his own and was not abducted by anybody. However he is no more a missing person. His name is accordingly deleted from the list of Enforced Disappeared Persons.</t>
  </si>
  <si>
    <t>4912-P</t>
  </si>
  <si>
    <t>Naveed Sabir s/o Sabir Ali</t>
  </si>
  <si>
    <t>Sabir Ali, r/o 327, GB, Tehsil Peer Mahal, District Toba Tek Singh. (Mobile No. 0332-71491360</t>
  </si>
  <si>
    <t>FIR No. 142 dated 16/07/18 u/s 365 PPC Ps Rujhana, District Toba Tek Singh</t>
  </si>
  <si>
    <t>Traced Person. Sabir Ali, father of Naveed Sabir appeared for hearing on 7.3.2019, whose statement has been recorded on oath. According to him, his son Naveed Sabir disappeared on 14.3.2018 and returned to home on 20.8.2018. He has further stated that after four months of his return, his son left Dubai.</t>
  </si>
  <si>
    <t>4913-P</t>
  </si>
  <si>
    <t>Habib-ur-Rehman s/o Banaras Khan</t>
  </si>
  <si>
    <t>Banaras Khan, r/o Jamsheed Abad, Tehsil Hazro, District Attock. (Mobile No. 0302-5047358).</t>
  </si>
  <si>
    <t>4914-P</t>
  </si>
  <si>
    <t>Umair Imtiaz Qudwai s/o Nafees Ahmed</t>
  </si>
  <si>
    <t>Nafees Ahmed Qudwai, r/o House No. G-335, Wapda Town, Lahore. (Mobile No. 0335-3062270)</t>
  </si>
  <si>
    <t>FIR No.628/18 dt.17/04/18 u/s 365 PPC PS Chaung District Lahore</t>
  </si>
  <si>
    <t>Traced Person. It has been confirmed by Ministry of Defence as well as Ministry of Intelligence that Umair Imtiaz Qudwai is presently confined in Internment Center, Fort Salop. Family of Umair Imtiaz Qudwai shall be allow to meet in the Internment Center has per rules and procedure.</t>
  </si>
  <si>
    <t>4915-P</t>
  </si>
  <si>
    <t>Bakhshir Ullah s/o Munasin</t>
  </si>
  <si>
    <t>Abdul Aziz, r/oAdam Khan Kilay, P.O Nawagai, Tehsil Nawagai. (Mobile No.0304-5974914)</t>
  </si>
  <si>
    <t>4916-S 5029-S</t>
  </si>
  <si>
    <t>Asad Ullah s/o Muhammad Iqbal</t>
  </si>
  <si>
    <t>Mst. Zeenat Iqbal, r/o House No. 2-B/43, Nazimabad No. 02, Karachi. (Mobile No.0311-3257459)</t>
  </si>
  <si>
    <t>Traced Person. It was informed at the hearing held in this Commission on 25.08.2021 that Asad Iqbal has returned home. Sheikh Abdul Ghaffar (Brother) confirmed in his statement recorded u/s 161 CrPC. The position stated in the report. He requested to close the case as no further action is wanted.</t>
  </si>
  <si>
    <t>4917-F</t>
  </si>
  <si>
    <t>Arsla Khan s/o Rasool Khan</t>
  </si>
  <si>
    <t>Suleman Khan, r/o Qandhari, Akram Baig Kor, P.O Sando Khel, District Mohmand Agency. (Mobile No. 0306-8555904)</t>
  </si>
  <si>
    <t>Traced Person. According to the report received at the hearing held on 327/08/2018, Arsla Khan has been handed over to PA/DC Mohmand on 28/05/2018. Suleman Khan brother of Missing Person was present, who affirmed that family members had already met Arsla Khan in the Political Havallat Galanai.</t>
  </si>
  <si>
    <t>4918-I</t>
  </si>
  <si>
    <t>Naimat Ullah s/o Mola Jan</t>
  </si>
  <si>
    <t>Imdad Khan, r/o Muhammadi Town, Street No. 03, Islamabad. (Mobile No. 0336-7005589)</t>
  </si>
  <si>
    <t>FIR NO. 182 Dated 16/04/2018 u/s 365 PPC , PS Khannaa, Islamabad</t>
  </si>
  <si>
    <t>Traced Person. Naimat Ullah had returned to home as confirmed by Imdad Khan Complainant.</t>
  </si>
  <si>
    <t>4919-P</t>
  </si>
  <si>
    <t>Muhammad Luqman s/o Muhammd Ali</t>
  </si>
  <si>
    <t>Tariq Mehmood, r/o Ghazi Wal Kala, P.O Narowal, Tehsil &amp; District Narowal. (Mobile No. 0300-7773944)</t>
  </si>
  <si>
    <t>Traced Person. It has been informed at the hearing on 18/05/2018 by DPO, Narowal that Muhammad Luqman has been arrested by CTD, Lahore in case FIR No. 06/18 dated 29/03/2018 u/s 7ATA 1997, 4/5 ESA, 13 (2)20/65 PAAO, PS/CTD, Lahore. Tahir Muhammad his brother confirmed at the hearing.</t>
  </si>
  <si>
    <t>Narowal</t>
  </si>
  <si>
    <t>4920-F</t>
  </si>
  <si>
    <t>Jahad Khan s/o Shah Toot</t>
  </si>
  <si>
    <t>Amir Khan, r/o Bar Qambar Khel, Jan Khan Kilay, P.O Bara, District Khyber Agency. (Mobile No. 0308-5945515)</t>
  </si>
  <si>
    <t>Traced Person. Jahad Khan has been traced. Rep of MI submitted report at the hearing on 13/12/2019 that according to the verification carried out by Field Unit Jahad Khan is presently available at his residence. Office of the Commission confirmed over telephone from his mother.</t>
  </si>
  <si>
    <t>4921-F</t>
  </si>
  <si>
    <t>Mukhtayar s/o Khan Raza</t>
  </si>
  <si>
    <t>Khan Raza, r/o Bar Qambar, Darbi Khel, Spain Dhund, P.O Bara, District Khyber Agency. (Mobile No. 0301-5052517)</t>
  </si>
  <si>
    <t>Traced Person. It was informed at the hearing on 09/10/2018 that Mukhtayar has been traced. He is presently confined at Fort Salop of Tribal District Khyber. Family members of Mukhtayar shall be facilitated to see him in the Internment Center as per rule and procedures. )</t>
  </si>
  <si>
    <t>4922-K</t>
  </si>
  <si>
    <t>Abdul Rauf Khan s/o Shah Muhammad</t>
  </si>
  <si>
    <t>Gul Mat Khan, r/o Zangali, Budh Ber, Tehsil &amp; District Peshawar. (Mobile No. 0345-9024310)</t>
  </si>
  <si>
    <t>4923-K</t>
  </si>
  <si>
    <t>Abdullah s/o Sher Mat Khan</t>
  </si>
  <si>
    <t>Traced Person. IO of the case informed the Commission at the hearing held at Peshawar on 24.2.2020 that Abdullah has returned home. In this conection statement of Gul Mat Khan who is uncle of the Missing Person/ complainant has also been recorded on oath. He has deposed that Abdullah returned home on 6.2.2020 and today he has gone to Teerah in connection with some family Business so he could not appear before the Commission.</t>
  </si>
  <si>
    <t>4924-I</t>
  </si>
  <si>
    <t>Abdul Karim s/o Muhammad Abdullah</t>
  </si>
  <si>
    <t>Mst. Sajida Naseem, r/o Gard Teen School &amp; College, Girls Campus, Barma Town, Ek Minar Wali Masjid, Khanna Pul. (Mobile No. 0313-55132840)</t>
  </si>
  <si>
    <t>Traced Person. Abdul Karim entered appearance before the Commission on 30/08/2018 and submitted that he went to Karachi on his own and he was not abducted by anybody. He further submitted that before leaving for Karachi he had informed his wife that he was going to Karachi. Report dated 07/08/2018 has also been received from SP (Inv), Islamabad which is available on record.</t>
  </si>
  <si>
    <t>4925-K</t>
  </si>
  <si>
    <t>Mollana Gul Zada s/o Gul Ahmed Shah</t>
  </si>
  <si>
    <t>Abdullah, r/o Mian Baba Ge Dheri, Bakhshu Pul, Peshawar. (Mobile No. 0344-5641869)</t>
  </si>
  <si>
    <t>Traced Person. Haleem Gul SI/IO of the case has disclosed at the hearing held in this case on 25.2.2020 at Peshawar, that Mollana Gul Zada has returned home and his statement has been recorded on 17.2.2020 u/s 161 CrPC, copy whereof furnished to the Commission.</t>
  </si>
  <si>
    <t>4926-S</t>
  </si>
  <si>
    <t>Syed Ishrat Hussain s/o Syed Abdi Hussain Shah</t>
  </si>
  <si>
    <t>Mst. Rifat Maqbool, r/o Flat No. 302, Omera Pride, Block No. 21, Federal B area, Karachi. (Mobile No. 0349-9411829)</t>
  </si>
  <si>
    <t>Traced Person. It was informed at the hearing held in This Commission on 16/05/2018 that Syed Ishrat Abbas has returned to home. Family member Cousin of the traced person appeared before the Commission and confirmed the reported position.</t>
  </si>
  <si>
    <t>4927-F</t>
  </si>
  <si>
    <t>Khalid Khan s/o Muhammad Khan</t>
  </si>
  <si>
    <t>Qadeer Khan, r/o Bar Qambar Khel, Samar Baba, Khujari, Khyber Agency. (Mobile No. 0334-9595971)</t>
  </si>
  <si>
    <t>Traced Person. Rep of MI submitted report dated 5.3.2021 that Khalid Khan s/o Muhammad Khan was confined in Internment Centre Ghalani, in terms of Action (in aid of Civil Power Regulation, 2011). The meetings of family members with the said internee will be facilitated as per procedure.</t>
  </si>
  <si>
    <t>4928-S</t>
  </si>
  <si>
    <t>Abdul Qadir s/o Alam Gul</t>
  </si>
  <si>
    <t>Noor Alam Khan, r/o Shah Gee Hotel, Karachi. (Mobile No.0301-5793328)</t>
  </si>
  <si>
    <t>Traced Person. It has been informed at the hearing on 25/04/2018 that Abdul Qadir has returned to home. He was recovered from Edhi Homes, Sohrab Goth, Karachi.</t>
  </si>
  <si>
    <t>4929-F</t>
  </si>
  <si>
    <t>Saeed Ullah s/o Khayal Marjan</t>
  </si>
  <si>
    <t>Mutamar Khan, r/o Bar Qambar Khel, Kahjori, Khyber Agency. (Mobile No. 0304-5248858)</t>
  </si>
  <si>
    <t>Traced Person. Rep of MI informed at the Hearing on 26/04/2018 that Saeed Ullah is confined in Internment Center Lakki Marwat. under Action (in aid of Civil) Regulation 2011. Family Members have been allowed to meet him.</t>
  </si>
  <si>
    <t>31st Mar, 2018</t>
  </si>
  <si>
    <t>4930-S</t>
  </si>
  <si>
    <t>Abdul Wahid s/o Shah Mir</t>
  </si>
  <si>
    <t>Mst. Aisha, r/o Ahmed Shah Bukhari Road, Near Gulshan Manzal, Kalri, Layri. (Mobile No. 0317-2184633)</t>
  </si>
  <si>
    <t>Traced Person. It was informed at the hearing held in this Commission on 29/05/2018 that Abdul Wahid was arrested and later released on bail by Competent Court of Jurisdiction.</t>
  </si>
  <si>
    <t>HRCP</t>
  </si>
  <si>
    <t>01st April, 2018</t>
  </si>
  <si>
    <t>4931-S</t>
  </si>
  <si>
    <t>Muhammad Hanif s/o Ibrahim</t>
  </si>
  <si>
    <t>Mst. Murad Bibi, r/o House No. 36, Street No. 06, Kalri Phool Patti Lane, Lyari, Karachi. (Mobile No. 0324-2631778)</t>
  </si>
  <si>
    <t>Traced Person. Muhammad Hanif is involved in case FIR No. 87/2018 and is in Judicial Custody.</t>
  </si>
  <si>
    <t>4932-S</t>
  </si>
  <si>
    <t>Muhammad Saeed s/o Ibrahim</t>
  </si>
  <si>
    <t>Traced Person. SIP, PS Baghdadi informed at the hearing on 11/04/2018 that Muhammad Saeed is in Judicial Custody in case FIR no. 89/2018.</t>
  </si>
  <si>
    <t>4933-S</t>
  </si>
  <si>
    <t>Muhammad Imran s/o Fida Hussain</t>
  </si>
  <si>
    <t>4934-S</t>
  </si>
  <si>
    <t>Traced Person. It was informed at the hearing held in this Commission on 29/05/2018 that Naveed was arrested and presently confined in Central Jail, Karachi.</t>
  </si>
  <si>
    <t>4935-S</t>
  </si>
  <si>
    <t>Muslim Baloch s/o Muhammad Ismail</t>
  </si>
  <si>
    <t>HRCP/ MoFAs No. 100084441</t>
  </si>
  <si>
    <t>4936-S</t>
  </si>
  <si>
    <t>Hafiz Muhammad Zubair s/o Muhammad Raees Khan</t>
  </si>
  <si>
    <t>Muhammad Raees Khan, r/o House No. 5-A, 9/34, Paposh Nagar, Nazimabad, Karachi. Mobile No. 0313-2088000)</t>
  </si>
  <si>
    <t>Traced Person. It was informed at the hearing held in this Commission on 16/07/2018 that Hafiz Muhammad Zubair has returned to home. The report submitted by SDPO Nazimabad, Karachi is place on record. )</t>
  </si>
  <si>
    <t>4937-K</t>
  </si>
  <si>
    <t>Muhammad Yaqoob Khan s/o Gull Shab Jan</t>
  </si>
  <si>
    <t>Yousaf Haroon, r/o Darkhana Miran Shah, North Waziristan Agency. (Mobile No. 0336-9777822 &amp; 03235570276)</t>
  </si>
  <si>
    <t>Traced Person. Muhammad Yaqoob Khan has been traced. Eid Muhammad cousin of Missing Person entered appearance and informed that Muhammad Yaqoob Khan has returned to home on 02/08/2018 and he is present at his residence. Eid Muhammad has submitted that Muhammad Yaqoob Khan was taken into custody by LEAs, however he did not furnish further details.</t>
  </si>
  <si>
    <t>4938-K</t>
  </si>
  <si>
    <t>Kamran Khan s/o Ajmal Khan</t>
  </si>
  <si>
    <t>Ajmal Khan, r/o Tehisl &amp; P.O Ugi, District Manshera. (Mobile No. 0342-9554375)</t>
  </si>
  <si>
    <t>FIR No.110 dt.23/04/2018 u/s 365 PPC PS Oghi District Manshera</t>
  </si>
  <si>
    <t>Traced Person. Kamran Khan entered appearance before the Commission on 16/05/2018. He could give details of the episode for obvious reasons.</t>
  </si>
  <si>
    <t>4939-K</t>
  </si>
  <si>
    <t>Syed Ibrahim Shah s/o Syed Iqbal Shah</t>
  </si>
  <si>
    <t>Syed Ismail Shah, r/o Mohallah Garankey, P.O Shabaqadar Fort, Tehsil &amp; District Charsadda. (Mobile No. 0331-8833808 &amp; 0302-8833808)</t>
  </si>
  <si>
    <t>17101-6664560-1</t>
  </si>
  <si>
    <t>FIR No.366 Dadted 25/04/18 u/s 365 ppc, PS Shabaqadar, District Charsadda.</t>
  </si>
  <si>
    <t>4940-P</t>
  </si>
  <si>
    <t>Sahil Rehman s/o Taj Rehman</t>
  </si>
  <si>
    <t>Taj Rehman, r/o Akhora Khatak, Tehsil &amp; District Nowshera. (Mobile No. 0334-9450377 &amp; 0313-5321193)</t>
  </si>
  <si>
    <t>Deleted. Taj Rehman appeared before the Commission on 13.9.2019 and submitted that his son Sahil Rehman disappeared in February, 2017. He further submitted that he has never leveled any allegation against LEAs/ Intelligence Agencies regarding disappearance of his son. Hence it is not a case of enforced disappearance.</t>
  </si>
  <si>
    <t>4941-K</t>
  </si>
  <si>
    <t>Shahzada s/o Ameer Zada</t>
  </si>
  <si>
    <t>Sial Zada, r/o Ghari Naib Khan, Budh Bair, Tehsil &amp; District Nowshera. (Mobile No. 0312-1900470 &amp; 0300-9399543)</t>
  </si>
  <si>
    <t>4942-F</t>
  </si>
  <si>
    <t>Zahid Hussain s/o Karar Hussain</t>
  </si>
  <si>
    <t>Sharif Hussain Toori, r/o Ali Zai, Saran Kilay, Tehsil &amp; District Lower Kurram Agency. (Mobile No. 0307-8300463)</t>
  </si>
  <si>
    <t>Traced Person. It was informed at the hearing on 26-06-2018 that Zahid Hussain was confined in Internment Center at Kohat. Family members of Zahid Hussain Shall be facilitated to see him in the Internment Center subject to completion of legal rules and procedures under Action (in aid of Civil Power) Regulation 2011. Family Members have been allowed to meet him.</t>
  </si>
  <si>
    <t>4943-I</t>
  </si>
  <si>
    <t>Syed Najam-ul-Hassan s/o Syed Akbar Shah</t>
  </si>
  <si>
    <t>Syed Taqi Shah Naqvi, r/o House No. 1618, Double Road, Islamabad. (Mobile No. 0345-5419529)</t>
  </si>
  <si>
    <t>Traced Person. Syed Najam-ul-Hassan Shah has been traced. He was present before the Commission on 25-06-2018 and submitted that was taken away and came back on 02-05-2018, however he did not furnish further details for obvious reasons.</t>
  </si>
  <si>
    <t>4944-K</t>
  </si>
  <si>
    <t>Ehsan Ullah s/o Safraz Khan</t>
  </si>
  <si>
    <t>Israr, r/o BarQamber Khel, Tapa Wand Garye, Sim Baba Kajhori, P.O Barah, Tehsil Barah, District Khyber. (Mobile No. 0311-8661950).</t>
  </si>
  <si>
    <t>FIR dated 25/04/2018 PA Khyber Agency.</t>
  </si>
  <si>
    <t>4945-K</t>
  </si>
  <si>
    <t>Saleh Muhammad s/o Mumtaz Khan</t>
  </si>
  <si>
    <t>Muhammad Faiaz, r/o Hindu Kasi, Warsak Road, Peshawar. (Mobile No. 0347-9151391)</t>
  </si>
  <si>
    <t>4946-K</t>
  </si>
  <si>
    <t>Muhammad Iqbal s/o Muhammad Yousaf</t>
  </si>
  <si>
    <t>Mst. Taj Mahal, r/o Mohallah Zara Khel, Village Odgeram, Tehsil Babu Zai, District Swat. (Mobile No. 0346-9429028 &amp; 0312-3375495)</t>
  </si>
  <si>
    <t>4947-K</t>
  </si>
  <si>
    <t>Amjad Ali Khan s/o Noor Hassan</t>
  </si>
  <si>
    <t>Liaqat Ali Khan, r/o Roriyya Jadeed, District Mardan.(Mobile No. 0313-5720726)</t>
  </si>
  <si>
    <t>FIR No.316 dt.04/04/18 u/s 365 PPC PS City District Mardan.</t>
  </si>
  <si>
    <t>Traced Person. It was reported at the hearing on 15/01/2019 that Amjad Ali has returned to home and appeared before the JIT.</t>
  </si>
  <si>
    <t>4948-K</t>
  </si>
  <si>
    <t>Afsar Ali s/o Muhammad Sharif</t>
  </si>
  <si>
    <t>Traced Person. It was reported at the hearing on 15/01/2019 that Afsar Ali has returned to home and appeared before the JIT.</t>
  </si>
  <si>
    <t>4949-K</t>
  </si>
  <si>
    <t>Jameel Shah s/o Muslim Shah</t>
  </si>
  <si>
    <t>Muslim Shah, r/o Mohallah Ishaq Abad, Mardan. (Mobile No. 0311-9004954 &amp; 0322-9054254)</t>
  </si>
  <si>
    <t>Traced Person. Jameel Shah has been traced. He is present before the Commission. His statement has been recorded on oath. According to his statement he was abducted by unknown persons on 15/2/2017 from his house located in Township, Lahore. He was kept in detention at unknown place and set free after twenty months on 16/10/2018.</t>
  </si>
  <si>
    <t>4950-P</t>
  </si>
  <si>
    <t>Muhammad Ubaid Ullah s/o Qari Muhammad Allah Yar</t>
  </si>
  <si>
    <t>Hafiz Muhammad Kashif, r/o Salah-ud-Din Colony, Street No. 01, Parchi Wali Gali, Near Vegitable Market, Bahawalpur. (Mobile No. 0300-9162762)</t>
  </si>
  <si>
    <t>Traced Person. It has been informed by the concerned quarters that Muhammad Ubaid Ullah has returned to home. Accordingly the name is deleted from the list of Enforced Disappeared Persons.</t>
  </si>
  <si>
    <t>4951-P</t>
  </si>
  <si>
    <t>Ghulab Arbi s/o Muhammad Bakhsh</t>
  </si>
  <si>
    <t>Ghulam Rabani, r/o Basti Lal Khan Budhani, Tehsil Ahmed Pur, District Bahawalpur. (Mobile No. 0307-8681522)</t>
  </si>
  <si>
    <t>Traced Person. It was informed at the hearing held in this case on 29/06/2018 at Lahore by SP (Inv), Bahawalpur that Ghulam Arbi has returned to home the further submitted that Ghulam Arbi left his home at his own.</t>
  </si>
  <si>
    <t>4952-P</t>
  </si>
  <si>
    <t>Muhammad Nadeem s/o Abdul Hameed</t>
  </si>
  <si>
    <t>Jameel Ahmed, r/o Ahmed Pur, Sharqiua, District Bahawalpur. (Mobile No. 0300-4870647 &amp; 0334-1255299)</t>
  </si>
  <si>
    <t>Traced Person. Jamil Ahmed brother of Muhammad Nadeem entered appearance before the Commission on 29/06/2018 at Lahore and informed that latter has submitted to home. Jamil Ahmed further submitted that his brother left the home at his own.</t>
  </si>
  <si>
    <t>4953-K</t>
  </si>
  <si>
    <t>Habib-ur-Rehman s/o Ghulab Shah</t>
  </si>
  <si>
    <t>Noor Badshah, r/oVillage Gondal, P.O Sadda, Tehsil F.R Kurram Agency. (Mobile No. 0300-0590495)</t>
  </si>
  <si>
    <t>Traced Person. Rep of MI has submitted report at the hearing on 07/01/2019 that Habib-ur-Rehman is confined in Internment Center Lakki Marwat. He has further submitted that he has been awarded 07 years R.I under “Action in Aid of Civil Power Regulation, 2011.</t>
  </si>
  <si>
    <t>4954-F</t>
  </si>
  <si>
    <t>Shanzeb s/o Memool Khan</t>
  </si>
  <si>
    <t>Abdul Razzaq, r/o Village Fatami Khel, Tehsil Landi Kotal, District Khyber Agency. (Mobile No. 0306-5715635)</t>
  </si>
  <si>
    <t>Traced Person. Rep of MI informed at the Hearing on 26/04/2018 that Shanzeb is confined in Internment Center Lakki Marwat. under Action (in aid of Civil) Regulation 2011. Family Members have been allowed to meet him.</t>
  </si>
  <si>
    <t>4955-K</t>
  </si>
  <si>
    <t>Yaqoob Khan s/o Dost Muhammad Khan</t>
  </si>
  <si>
    <t>Mst. Nargis Bibi, r/o Mohallah Ameer Khan, Tehsil Babu Zai, District Swat. (Mobile No. 0332-9476645 &amp; 0344-9677447)</t>
  </si>
  <si>
    <t>Traced Person. It has been informed at the hearing held in this Commission on 29/10/2018 that Yaqoob Khan has been traced. He is presently confined in Internment Center Fizaghat. Momin Khan brother of Yaqoob Khan was present who was apprised of the status of the case.</t>
  </si>
  <si>
    <t>4956-F</t>
  </si>
  <si>
    <t>Aziz-ur-Rehman s/o Millat Khan</t>
  </si>
  <si>
    <t>Naik Muhammad, r/o Bar Qambar Khel, Khyber Agency. (Mobile No.0345-6196441)</t>
  </si>
  <si>
    <t>Traced Person. It was informed at the hearing held in this Commission on 20/07/2018 by the Rep of ISI that Aziz-ur-Rehman has been traced. According to the report Aziz-ur-Rehman is presently confined at Central Jail, Peshawar. Abdul Aziz uncle of missing person was present at the hearing he affirmed that Aziz-ur-Rehman has been traced and he is confined in Central Jail, Peshawar.</t>
  </si>
  <si>
    <t>4957-P</t>
  </si>
  <si>
    <t>Habib Ullah Khan s/o Mehboob Ullah Khan</t>
  </si>
  <si>
    <t>Mehboob Ullah Khan, r/o P.O Sarogha Kot, District South Waziristan Agency. (Mobile No. 0345-1610407)</t>
  </si>
  <si>
    <t>4958-K</t>
  </si>
  <si>
    <t>Safraz Khan s/o Muhammad Shah</t>
  </si>
  <si>
    <t>Abdul Rehman, r/o P.O Yousaf Khel, Upper Mohmand Agency. (Mobile No. 0343-9907125 &amp; 0302-5514630)</t>
  </si>
  <si>
    <t>21406-2692131-5</t>
  </si>
  <si>
    <t>4415 &amp; 4958 to be fixed together on the next date of hearing.</t>
  </si>
  <si>
    <t>4959-F</t>
  </si>
  <si>
    <t>Abdul Ghaffor s/o Qismat Khan</t>
  </si>
  <si>
    <t>Gul Badshah, r/o Bara Khel, District Tank. (Mobile No. 0303-9271145)</t>
  </si>
  <si>
    <t>Traced Person. Rep of DC, South Waziristan informed at the hearing on 17/10/2018 that Abdul Ghaffor has been traced and he is presently confined in Internment Center at Lakki Marwat. Family members of Abdul Ghaffor shall be facilitated to see him in the Internment Center Lakki Marwat as per rules and procedures.</t>
  </si>
  <si>
    <t>4960-K</t>
  </si>
  <si>
    <t>Sher Akbar s/o Bakhat Buland</t>
  </si>
  <si>
    <t>Bakhat Buland, r/o P.O Tando,District Lower Dir. (Mobile No. 0346-8585414)</t>
  </si>
  <si>
    <t>Deleted. In the instant case three JIT meetings conducted and the case has been categorized as “not a case of enforced disappearance”. Bakhat Buland father of alleged missing person appeared on 9.4.2019, whose statement has been recorded on oath. According to him his sin was taken away by Muhammad Rasool and Mst. Amina against whom the FIR was filed but the above named persons were acquitted by the Court. Hence not a case of enforced disappearance.</t>
  </si>
  <si>
    <t>4961-K</t>
  </si>
  <si>
    <t>Asal Jan s/o Gujar Khan Mehmood</t>
  </si>
  <si>
    <t>Qabal Khan Mehmood, r/o Bohar Ismail, P.O Ladha, South Waziristan Agency. (Mobile No. 0334-7217780)</t>
  </si>
  <si>
    <t>21702-8789085-3</t>
  </si>
  <si>
    <t>FIR No.169 Dadted 05/05/18 u/s 365 ppc, PS University, District D.I.Khan.</t>
  </si>
  <si>
    <t>4962-I</t>
  </si>
  <si>
    <t>Zakir Khan s/o Banot Khan</t>
  </si>
  <si>
    <t>Masood-ur-Rehman, r/o Mohallah Masoodan, Tank. (Mobile No. 0324-5504040)</t>
  </si>
  <si>
    <t>Traced Person. Zakir Khan entered appearance before the Commission on 03/07/2018. SP (Inv), Islamabad also identification and confirmed.</t>
  </si>
  <si>
    <t>4963-K</t>
  </si>
  <si>
    <t>Waseem Khan s/o Raees Khan</t>
  </si>
  <si>
    <t>Muhammad Yaseen, r/o Bar Qambar Khel, Jan Khan Kilay, P.O Bara, Tehsil &amp; Distritc Khyber Agency. (Mobile No. 0303-9222736)</t>
  </si>
  <si>
    <t>Traced Person. Rep of MI informed at the hearing on 26/04/2018 that Waseem Khan is confined in Internment Center Kohat under Action (in aid of Civil) Regulation 2011. Family Members have been allowed to meet him.</t>
  </si>
  <si>
    <t>4964-K</t>
  </si>
  <si>
    <t>Rafi Ullah s/o Muhammad Noor Shah</t>
  </si>
  <si>
    <t>Muhammad Noor Shah, r/o Dargai Babra, Charfing, Tehsil Nawagi, Bajur Agency. (Mobile No. 0304-9394372)</t>
  </si>
  <si>
    <t>Deleted. In the instant case, JIT as well as PTF arrived at concurrent conclusion that Missing Person has gone on his own. Reports from ISI, MI, FC and CTD have denied apprehension / custody of Rafi Ullah. Muhammad Noor Shah (Complainant) also entered appearance, whose statement was recorded on oath in which he deposed that he had neither charged anybody, nor he leveled allegation against any LEAs / Intelligence Agency. Hence, not a case of enforced disappearance. According, the case is closed.</t>
  </si>
  <si>
    <t>4965-F</t>
  </si>
  <si>
    <t>Muhammad Fazal s/o Lachi Gul</t>
  </si>
  <si>
    <t>Lachi Gul, r/o Bar Qambar Khel, Fort Dhund, Bara, Khyber Agency. (Mobile No. 0334-5185016)</t>
  </si>
  <si>
    <t>Traced Person. Muhammad Afzal has been traced. He is presently confined in political havalat Bara which falls under the jurisdiction of DC Tribal District Khyber. Father of missing person is present. He has submitted that he has already met his son in the political havalat on a number of occasions.</t>
  </si>
  <si>
    <t>4966-S</t>
  </si>
  <si>
    <t>Moj Khan s/o Ghulam Muhammad</t>
  </si>
  <si>
    <t>Mst. Rozena, r/o Goth Pandi Khan, Jamshoro. (Mobile No. 0300-9377036)</t>
  </si>
  <si>
    <t>Deleted. Not a case of enforced disappearance. The case does not fall under the domain of enforced disappearance.</t>
  </si>
  <si>
    <t>4967-K</t>
  </si>
  <si>
    <t>Shah Faisal s/o Sanobar</t>
  </si>
  <si>
    <t>Sanobar, r/o Village Bara Bandi, Mohallah Kotkai, District Swat. (Mobile No. 0302-5705017 &amp; 0349-8333669)</t>
  </si>
  <si>
    <t>4968-K</t>
  </si>
  <si>
    <t>Syed Zahir Ali Shah s/o Syed Ali Shah</t>
  </si>
  <si>
    <t>Syed Irfan Ali Shah, r/o Garrison Cadet College, Kohat. (Mobile No. 0300-5612922)</t>
  </si>
  <si>
    <t>Traced Person. At the hearing held on 12/07/2018. Syed Irfan Ali Shah son of the traced person was present. He affirmed that his father has returned on 06/07/2018 and now hi was present at home.</t>
  </si>
  <si>
    <t>4969-K</t>
  </si>
  <si>
    <t>Taimoor Nasir s/o Najeeb</t>
  </si>
  <si>
    <t>Hassan Javed, r/o Darra Adam Khel. (Mobile No. 0347-4771943)</t>
  </si>
  <si>
    <t>Traced Person. Taimoor Nasir has been traced. He has returned to home. Mr. Fazal Rahim Naib Tehsidar FR Kohat is present. He has affirmed that Taimoor Nasir has returned home and he has furnished statement of Taimoor Nasir, which has been placed on record.</t>
  </si>
  <si>
    <t>4970-S</t>
  </si>
  <si>
    <t>Ali Raza s/o Shakir Hussain</t>
  </si>
  <si>
    <t>Mst. Alia Parveen, (Mobile No. 0300-8267622)</t>
  </si>
  <si>
    <t>Deleted. Not a case of enforced disappearance as concluded at the hearing on 15/05/2018. The conclusion that the case does not fall under the domain of enforced, on the basis of facts narrated in the JIT report.</t>
  </si>
  <si>
    <t>4971-P</t>
  </si>
  <si>
    <t>Muhammad Tayyab s/o Muhammad Asif Chaudhary</t>
  </si>
  <si>
    <t>Usman Ahmed, r/o Ahmed Nagar, P.O Khas, Tehsil Wazirabad, District Gujranwala. (Mobile No. 0321-4827718)</t>
  </si>
  <si>
    <t>Traced Person. It was informed at the hearing held in this case by the Commission at Lahore that Muhammad Tayyab s/o Muhammad Asif Chaudhary has returned to home.</t>
  </si>
  <si>
    <t>4972-S</t>
  </si>
  <si>
    <t>Abdul Raduf s/o Abdullah</t>
  </si>
  <si>
    <t>Ahmed, r/o Metrovil, 113, Scheme 03, House No. R- 2152, Block No. 02, Mohallah Gulzar Hijri, Karachi. (Mobile No. 0315-2388488)</t>
  </si>
  <si>
    <t>Traced Person. It was informed at the hearing held in this Commission on 06/08/2018 that Abdul Rauf has returned to home. Family member of traced person appeared before the Commission and confirmed the reported position.</t>
  </si>
  <si>
    <t>4973-F</t>
  </si>
  <si>
    <t>Abdul Karim s/o Awais Khan</t>
  </si>
  <si>
    <t>Khaista Khan, r/oKoko Khel, Sikandar Khel, Tehsil jamrood, District Khyber Agency. (Mobile No. 0334-5267947)</t>
  </si>
  <si>
    <t>4974-P</t>
  </si>
  <si>
    <t>Arif Zaman s/o Manzoor Hussain</t>
  </si>
  <si>
    <t>Tariq Mehmood, r/o Basti Sardqar, Tehsil Kabir Wala, District Khenawal. (Mobile No. 0300-4433876)</t>
  </si>
  <si>
    <t>FIR No. 70 dt 30.03.18 u/s 365 PPC PS Abdul Hakeem District Khanewal</t>
  </si>
  <si>
    <t>Traced Person. DPO Khanewal entered appearance before the Commission on 09/08/2018 and submitted that Arif Zaman has returned to home.</t>
  </si>
  <si>
    <t>4975-K</t>
  </si>
  <si>
    <t>Fazal Wahid s/o Imam Hussain</t>
  </si>
  <si>
    <t>Mst. Zanaib, r/o Tehsil Matta, District Swat. (Mobile No. 0347-9517608)</t>
  </si>
  <si>
    <t>FIR No. 380 dated 22/05/2018 u/s 365 PPC PS Saidu Sharif, Swat</t>
  </si>
  <si>
    <t>Traced Person. Fazal Wahid has been traced. According to the report received from Rep of MI, Fazal Wahid is presently confined in the Internment Center Paithom. Wife of traced person is present. She has been apprised of status of the case.</t>
  </si>
  <si>
    <t>4976-S</t>
  </si>
  <si>
    <t>Muhammad Raiz Ullah s/o Raza Muhammad</t>
  </si>
  <si>
    <t>Mst. Janat Raza, r/o Korangi No. 01, Karachi. (Mobile No. 0316-2328249)</t>
  </si>
  <si>
    <t>Traced Person. It was informed at the hearing held in this Commission on 15/05/2018 that Muhammad Riaz Ullah has returned to home. The report submitted by Station House Officer, PS Korangi is place on record.</t>
  </si>
  <si>
    <t>4977-P</t>
  </si>
  <si>
    <t>Abid Hussain s/o Kalo</t>
  </si>
  <si>
    <t>Mst. Saima Bibi, r/o Tehsil Kala, P.O Jamal Chapari, District Layyah.</t>
  </si>
  <si>
    <t>FIR No. 10/2017 dated 11/01/2017 u/s 365-PPC PS Chowk Azam Layyah</t>
  </si>
  <si>
    <t>Traced Person. IO/ Inspector Akram Javed has appeared before the Commission on 14.2.2020, whose statement has been recorded on oath. In which he stated that during course of investigation, it revealed that Abid Hussain was killed in an encounter with CTD, Gujranwala on 1.9.2018. IO has produced copy of DNA report copy of summon issued to Muhammad Asif by the Police Station for appearance before the Commission, copy of post- mortem report and copy of oath statement given by Muhammad Asif. In view if above no further action is required. The case is closed.</t>
  </si>
  <si>
    <t>4978-P</t>
  </si>
  <si>
    <t>Muhammad Rashid s/o Kalo</t>
  </si>
  <si>
    <t>Traced Person. It was informed at the hearing held in this case on 29/06/2018 at Lahore at which IO was present and stated that Muhammad Rishad has returned to home.</t>
  </si>
  <si>
    <t>4979-K</t>
  </si>
  <si>
    <t>Sajad Ahmed s/o Gul Zaman</t>
  </si>
  <si>
    <t>Muhammad Arif, r/o P.O Ghari habib Ullah, Tehsil Balakot, District Manshera. (Mobile No. 0343-0976679)</t>
  </si>
  <si>
    <t>FIR No. 136 dated 05/05/2018 u/s 365-PPC PS Ghari Habib Ullah, Manshera</t>
  </si>
  <si>
    <t>Traced Person. DSP (Inv) Manshera and Muhammad Ayaz brother of Sajjad Ahmed appeared before the Commission and their statements were recorded on oath in which they deposed that Sajjad Ahmad s/o Gul Zaman had returned to home. Further deposed that he was not abducted by anyone. Rather he had gone to Karachi on account of some domestic dispute. He was produced before the Magistrate who recorded his statement u/s 164 CrPC. Hence no further action is required. The case is closed.</t>
  </si>
  <si>
    <t>4980-P</t>
  </si>
  <si>
    <t>Jawad Ahmed s/o Muhammad Rafique</t>
  </si>
  <si>
    <t>Muhammad Rafique, r/o Khair Purta Miawali. (Mobile No. 0300-4676633 &amp; 0346-4630887)</t>
  </si>
  <si>
    <t>Traced Person. SP (Inv), Bahawalpur submitted before the Commission at the hearing held in this case on 29/06/2018 at Lahore that Jawad Ahmed was present at home. He left his abode under certain compelling circumstances.</t>
  </si>
  <si>
    <t>4981-S</t>
  </si>
  <si>
    <t>Naz Mir s/o Adil Mir</t>
  </si>
  <si>
    <t>Adil Mir, r/o Machi Khel, North Waziristan Agency. (Mobile No. 0346-5587636 &amp; 0312-4745456)</t>
  </si>
  <si>
    <t>Traced Person. It was informed ath the hearing held in this Commission that Naz Mir is confined in Internment Center, Lakki Marwat. Family members have been allowed to meet him subject to prescribed procedure and all legal exceptions.</t>
  </si>
  <si>
    <t>4982-K</t>
  </si>
  <si>
    <t>Akhtar Ali s/o Gul Ghani</t>
  </si>
  <si>
    <t>Gul Ghani, r/o Bantar Qila, P.O Mangor, Tehsil &amp; District Swat. (Mobile No. 0346-9447384)</t>
  </si>
  <si>
    <t>FIR No. 257 date 15/05/2018 u/c 365 PPC, PS Manglowar District Swat</t>
  </si>
  <si>
    <t>4983-K</t>
  </si>
  <si>
    <t>Saher Bahadur s/o Peeray</t>
  </si>
  <si>
    <t>Peeray, r/o Sadiu Sharif, District Swat. (Mobile No. 0343-1974609)</t>
  </si>
  <si>
    <t>Traced Person. It has been intimated at the hearing on 01/11/2018 by the Rep of MI that Sher Bahadur is presently confined in the district Jail Kohat. He has been awarded life imprisonment by the Military Court. Father of the missing person is present. He has already met his son in the Jail.</t>
  </si>
  <si>
    <t>4984-B</t>
  </si>
  <si>
    <t>Naveed Khalid</t>
  </si>
  <si>
    <t>r/o, Kallar Village, Tehsil Mashkey, District Awaran, Balochistan.</t>
  </si>
  <si>
    <t>Deleted. On 26.5.2018 DSP/Legal Lesbela submitted a report of JIT which was held on 16.5.2018 in which it is mentioned that the complainant party is not interested to pursue this matter There is no allegation that the alleged Missing Person was taken away by any of the LEAs. Therefore, it is not a case of enforced disappearance.</t>
  </si>
  <si>
    <t>4985-P</t>
  </si>
  <si>
    <t>Muhammad Sohaib s/o Muhammad Siddique</t>
  </si>
  <si>
    <t>Muhammad Siddique, r/o Mohallah Eid Gah, District Dera Ghazi Khan. (Mobile No. 0333-9794769)</t>
  </si>
  <si>
    <t>4986-S</t>
  </si>
  <si>
    <t>Zia-ul-Mustafa Chana s/o Ghulam Hussain Chana</t>
  </si>
  <si>
    <t>Najam Ullah Chand, r/o Street No. 12, Channa Mohallah, Naseer Abad, Shahda Kot, Sindh. (Mobile No. 0305-3100631</t>
  </si>
  <si>
    <t>Traced Person. It was informed at the hearing held in this Commission on 24/10/2018 that Zia-ul-Mustafa has returned to home. The report submitted by the Police officer SHO, Kumber, Shadad Kot is placed on record.</t>
  </si>
  <si>
    <t>4987-S</t>
  </si>
  <si>
    <t>Ghalib-ul-Iqtadar s/o Munawar Mirza Jamal</t>
  </si>
  <si>
    <t>Mst. Shahanad Iqtadar, r/o Flat No. A-2, Universal Hights, FL/7, Block No. 16, Gulistan-e-Johar, Karachi. (Mobile No. 0335-2277813)</t>
  </si>
  <si>
    <t>Traced Person. It was informed at the hearing held in this Commission on 30/07/2018 that Ghulam-ul-Iqtadar has returned to home. Family member wife of the traced person appeared before the Commission and confirmed the reported position.</t>
  </si>
  <si>
    <t>4988-S 1696-S</t>
  </si>
  <si>
    <t>Attique-ur-Rehman s/o Abdul Rehman</t>
  </si>
  <si>
    <t>Amir Atteq, r/o House No. 4/132, Liaquatabad, Karachi. (Mobile No. 0313-2576209)</t>
  </si>
  <si>
    <t>MNA Kishwar Zehra</t>
  </si>
  <si>
    <t>4989-S 1374-S</t>
  </si>
  <si>
    <t>Muhammad Naeem Ahmed s/o Muhammad Abdullah</t>
  </si>
  <si>
    <t>Mst. Naeem, r/o House No. S-328, Ghosia Colony, P.I.B, Area, Karachi. (Mobile No. 021-34911490)</t>
  </si>
  <si>
    <t>4990-S 1375-S</t>
  </si>
  <si>
    <t>Arif Nizami s/o Sajid Nizami</t>
  </si>
  <si>
    <t>Amir Hussain, r/o House No. 7022/198, Gulshan-e-Mehmood, Fatima Jinah Colony, Karachi. (Mobile No. 0333-2122916)</t>
  </si>
  <si>
    <t>4991-S 1376-S</t>
  </si>
  <si>
    <t>Mst. Saddat Ullah, r/o Plot No. 357, Flat No. 2/2, Dehli Colony, Cizri Road, Karachi. (Mobile No. 0312-2412381)</t>
  </si>
  <si>
    <t>4992-S 1682-S</t>
  </si>
  <si>
    <t>Zubair s/o Usman</t>
  </si>
  <si>
    <t>Umair Ahmed, r/o House No. A-8/6, Dehli Colony No. 01, Cliftion, Karachi. (Mobile No.0300-2833975)</t>
  </si>
  <si>
    <t>4993-S 1687-S</t>
  </si>
  <si>
    <t>Syed Karim-ud-Din s/o Syed Mohi-ud-Din</t>
  </si>
  <si>
    <t>Mst. Karim-ud-Din, r/o House No. 272, Sector No. 36-C, Karachi. (Mobile No. 0315-2778131)</t>
  </si>
  <si>
    <t>Traced Person. Syed Kareem-ud-Din who was unit In-charge of MQM was found and buried by Cheepa Ambulance service. Mst. Mehwish Kanwal widow of deceased, identified her husband on the basis of record of CPLA. No further action is required. The case is closed.</t>
  </si>
  <si>
    <t>4994-S</t>
  </si>
  <si>
    <t>Gul Zeeshan Baloch s/o Gul Muneer</t>
  </si>
  <si>
    <t>Gul Muneer, r/o House No. R-329, Sector No. 8-C, Gulsitan-e-Zahoor, Line Area, Karachi. (Mobile No. 0331-3230488)</t>
  </si>
  <si>
    <t>4995-S 2576-S 2264-S</t>
  </si>
  <si>
    <t>Sohaib s/o Muhammad Asghar</t>
  </si>
  <si>
    <t>Mst. Shoaib, r/o House No. 06, Malik Society Gulzar-e- Hijri, Scheme No. 33, Karachi. (Mobile No. 0332-6224000 &amp; 0301-7830990)</t>
  </si>
  <si>
    <t>4996-S</t>
  </si>
  <si>
    <t>Zia-ur-Rehman s/o Abdul Karim</t>
  </si>
  <si>
    <t>Mst. Zia-ur-Rehman, r/o House No. B-1/316, Sara Excellencey, Scheme No. 33, Karachi. (Mobile No. 0310-2240136)</t>
  </si>
  <si>
    <t>Deleted. The case has been deleted due to non- prosecution as the complainant neither extended co-operation to the Investigation Officer nor attended hearings held on 05/08/2018, 15/05/2018 &amp; 08/05/2018 and Roznamcha despite notices.</t>
  </si>
  <si>
    <t>4997-S 2659-S</t>
  </si>
  <si>
    <t>Muhammad Arif s/o Muhammad Fareed</t>
  </si>
  <si>
    <t>Raheel, r/o House No. 20, Sector No. 36-D, Landhi Town, Karachi. (Mobile No. 0346-2445750)</t>
  </si>
  <si>
    <t>4998-S</t>
  </si>
  <si>
    <t>Junaid Khan s/o Shakeel Khan</t>
  </si>
  <si>
    <t>r/o. Flat No. 13, Koh-e-Noor Plaza, Narang Churangi, Karachi.</t>
  </si>
  <si>
    <t>4999-S</t>
  </si>
  <si>
    <t>Faheem Islam s/o Abdul Salam</t>
  </si>
  <si>
    <t>Amjad, r/o House No. R-461-B, Sector No. 16-A, Bufferzone, Karachi. (Mobile No. 0321-2023932)</t>
  </si>
  <si>
    <t>5000-S</t>
  </si>
  <si>
    <t>Muhammad Naeem s/o Muhammad Nisar</t>
  </si>
  <si>
    <t>Mst. Shabana, r/o House No. 24, Street No. 10 Jona Dhobi Gath, Badshahi Road, Karachi. (Mobile No. 0314-2248650)</t>
  </si>
  <si>
    <t>Deleted. Not a case of enforced disappearance concluded at the hearing on 03/05/2018. The Missing Person Muhammad Naeem has been declared absconder in Crime Vide No. 163/02-295/199-5-65/199 u/s 302/34, 324/34,13-D.</t>
  </si>
  <si>
    <t>5001-S</t>
  </si>
  <si>
    <t>Asad s/o Mehmood</t>
  </si>
  <si>
    <t>Deleted. Despite incomplete address efforts were made by the Police Officer concerned to traced family of Missing Person Asad. However no progress could not be achieve as the area is thickly populated. The case is therefore closed due to incomplete address.</t>
  </si>
  <si>
    <t>5002-S</t>
  </si>
  <si>
    <t>Riyasat Ullah s/o Rehmat Ullah</t>
  </si>
  <si>
    <t>r/o, House No. L-23, Sector No. 1-D, Orangi Town , Karachi. (Mobile No. 0323-8212197 &amp; 0315-4413190)</t>
  </si>
  <si>
    <t>5003-S</t>
  </si>
  <si>
    <t>Methab Hussain s/o Shafaat Hussain</t>
  </si>
  <si>
    <t>Mst. Methab Hussain, r/o House No. 334, Haji Muslim Colony, Sector No. 5-G, New Karachi. (Mobile No. 0308-2783701)</t>
  </si>
  <si>
    <t>Deleted. The case has been deleted due to non-prosecution. The complainant neither extended co-operation to the investigation officer nor attended hearings in this Commission despite notice. The complainant is not interested to lodge FIR attend JIT.</t>
  </si>
  <si>
    <t>5004-S</t>
  </si>
  <si>
    <t>Salman s/o Muhammad Raees</t>
  </si>
  <si>
    <t>Muhammad Raees, r/o House No. 173, Street No. 03, Haji Muslim Colony, Sector No. 5-G, New Karachi. (Mobile No. 0310-2212799)</t>
  </si>
  <si>
    <t>5005-S</t>
  </si>
  <si>
    <t>Abid Abbasi s/o Deen Muhammad</t>
  </si>
  <si>
    <t>r/o, Flat No. C-705, Rao And Israr, Gulsitan-e-Johar, Block No. 13, Karachi.)</t>
  </si>
  <si>
    <t>5006-S</t>
  </si>
  <si>
    <t>Muhammad Safraz s/o Muhammad Ramzan</t>
  </si>
  <si>
    <t>Syed Anas Ali, r/o House No. 36/9, Liquat Square, Malir, Karachi. (Mobile No. 0314-2470941)</t>
  </si>
  <si>
    <t>5007-S</t>
  </si>
  <si>
    <t>Irshad Ali s/o Ashraf Ali</t>
  </si>
  <si>
    <t>Mst. Nasreen, r/o House No. 5/585, Sindhi Hostel, Liquatabad, Karachi. (Mobile No. 0313-2604256)</t>
  </si>
  <si>
    <t>Traced Person. It was informed at the hearing held in this Commission on 14.1.2020 that Arshad Ali has returned to home. The report submitted by SDPO, Ferozabad, Karachi confirmed the aforesaid position. Similar statement has also been Sindh High Court in WP No. 2554/2016.</t>
  </si>
  <si>
    <t>5008-S</t>
  </si>
  <si>
    <t>Muhammad Imran s/o Nisar Ahmed</t>
  </si>
  <si>
    <t>r/o, House No. 8/332, Liquatabad, Karachi.</t>
  </si>
  <si>
    <t>Traced Person. It was informed at the hearing held in this Commission on 27.11.2019 that Muhammad Imran has returned to home. He appeared before the Commission on 27.11.2019 at Karachi. The statement of the Traced Person has been recorded u/s 164 CrpC, which is available on record. The report submitted by DSP, Azizabad, Karachi is also placed on record.</t>
  </si>
  <si>
    <t>5009-S</t>
  </si>
  <si>
    <t>Khalid Siddiqui s/o Mustafa Hussain Siddiqui</t>
  </si>
  <si>
    <t>Javed, r/o Railway Colony, Sharifabad, Liquatabad, Karachi. (Mobile No. 0333-4847350)</t>
  </si>
  <si>
    <t>Traced Person. It was informed at the hearing held in this Commission on 18.6.2019 that Khalid Siddiqui has returned to home, which is also verified from the decision of High Court of Sindg in CP No. D-1931 of 2016.</t>
  </si>
  <si>
    <t>5010-S</t>
  </si>
  <si>
    <t>Syed Muhammad Kaleem s/o Abdul Karim</t>
  </si>
  <si>
    <t>Shafat Ghous, r/o House No. 459, Block No-K, Orangi 11-1/2, Karachi. (Mobile No. 0345-3483076)</t>
  </si>
  <si>
    <t>Deleted. Not a case of Enfoirced Disappearacnce as the Missing Person Syed Muhammad Kaleem has been declared absconder in crime Vide FIR No. 27/2015, 309/2015, 311/2015 u/s 302/34, PPC, 353/324, PS, Iqbal Market by the competent Court of Jurisdiction.</t>
  </si>
  <si>
    <t>5011-S</t>
  </si>
  <si>
    <t>Muhammad Yaseen s/o Muhammad Arif</t>
  </si>
  <si>
    <t>Mst. Rukhsana, r/o House No. E-647, Mujhidabad, Qasba Ali Garh, Karachi. (Mobile No.0323-2163741)</t>
  </si>
  <si>
    <t>5012-S</t>
  </si>
  <si>
    <t>Abdul Hameed s/o Habib-ur-Rehman</t>
  </si>
  <si>
    <t>Mst. Hameeda Bano, r/o House No. B-45, Shah Faisal Town, Bajwa Hotel, Karachi. (Mobile No. 0310-1189418)</t>
  </si>
  <si>
    <t>5013-S</t>
  </si>
  <si>
    <t>Shahid Arshad s/o Challu</t>
  </si>
  <si>
    <t>r/o, UC No. 08, Line Area, Karachi. (Mobile No. 0312-8254476)</t>
  </si>
  <si>
    <t>Deleted. Nota a case of enforced disappearance in the light of dated 11/02/2019 the missing person is declared absconder.</t>
  </si>
  <si>
    <t>5014-S</t>
  </si>
  <si>
    <t>Salah-ud-Din</t>
  </si>
  <si>
    <t>UC No. 21, North Nazimabad, Karachi.</t>
  </si>
  <si>
    <t>Traced Person. It was informed at the hearing held in this Commission on 13/08/2018 that Salah-ud-Din has returned to home. The report submitted by SDPO, Shadman, Karachi is place on record.</t>
  </si>
  <si>
    <t>5015-S</t>
  </si>
  <si>
    <t>Muhammad Shakeel s/o Muhammad Rafique</t>
  </si>
  <si>
    <t>r/o, UC No. 23, Korangi, Karachi. (Mobile No. 0315-6627790)</t>
  </si>
  <si>
    <t>Traced Person. It was informed at the hearing held in this Commission on 21-06-2018 that Mr. Muhammad Shakeel has returned to home. The statement of the Cousin has been recorded which is available on record. The report submitted by the Police Officer SHO Korangi is placed on the record.</t>
  </si>
  <si>
    <t>5016-S</t>
  </si>
  <si>
    <t>Imran Ali Malik s/o Muzaffar Ali Malik</t>
  </si>
  <si>
    <t>Deleted. The case has been deleted due to incomplete/fake address as the Police could not locate the complainant/family in the absence of which no further proceedings could be initiated. The address given in the complainant is UC-32 FB Area, Karachi which is incomplete.</t>
  </si>
  <si>
    <t>5017-S</t>
  </si>
  <si>
    <t>Muhammad Wakeel s/o Fateh Muhammad</t>
  </si>
  <si>
    <t>r/o, Muslim Colony No. 02, Catal Colony, Malir, Karachi.</t>
  </si>
  <si>
    <t>Deleted. The case had been deleted due to incomplete/fake address as the Police could not locate the complainant/family in the absence of which no further proceedings could be initiated. The address given in the complaint is Muslim Colony No. 02, which is incomplete.</t>
  </si>
  <si>
    <t>5018-S</t>
  </si>
  <si>
    <t>Muhammad Salman s/o Muhammad Yameen</t>
  </si>
  <si>
    <t>Khalid, r/o UC No. 10, Line Area, Karachi. (Mobile No. 0316-2645716)</t>
  </si>
  <si>
    <t>Deleted. The case has been deleted due to incomplete/fake address as the Police could not locate the complainant / family in the absence of which no further proceedings could be initiated. The address given in the complaint is Jacob Line, Karachi, which is incomplete.</t>
  </si>
  <si>
    <t>5019-S</t>
  </si>
  <si>
    <t>Muhammad Junaid s/o Nazir Ahmed</t>
  </si>
  <si>
    <t>Kashif, r/o House No. 8/4, Block No. 01, Housing Complex Jacobline, Karachi. (Mobile No.0300-9256367)</t>
  </si>
  <si>
    <t>Traced Person. It was informed at the hearing in this Commission on 29.9.2020 at Sub-Office, Karachi that Muhammad Junaid is confined in Central Jail, Karachi as per report submitted by SDPO, New Town, Karachi.</t>
  </si>
  <si>
    <t>5020-S</t>
  </si>
  <si>
    <t>Tahir Rehan Lamba</t>
  </si>
  <si>
    <t>5021-S</t>
  </si>
  <si>
    <t>Azim Siddiqui s/o Muhammad Bux Siddiqui</t>
  </si>
  <si>
    <t>Traced Person. It was informed at the hearing held in this Commission on 12/02/2019 that Azim Siddiqui has returned to home. Family member’s wife of the traced person appeared before the Commission and confirmed the recorded position.</t>
  </si>
  <si>
    <t>5022-S 4817-S</t>
  </si>
  <si>
    <t>Waseem Ahmed s/o Naseem Ahmed</t>
  </si>
  <si>
    <t>r/o, UC No. 42-B, Liaquatabad, Karachi.</t>
  </si>
  <si>
    <t>5023-S</t>
  </si>
  <si>
    <t>Muhammad Irshad s/o Rehmat Ali</t>
  </si>
  <si>
    <t>Mst. Irshad, r/o House No.24, B-1 Area, Liaquatabad, Karachi. (Mobile No.0317-0211405)</t>
  </si>
  <si>
    <t>5024-S</t>
  </si>
  <si>
    <t>Farooq s/o Abdul Rasheed</t>
  </si>
  <si>
    <t>r/o, Water Tanki, Near Dabbi Shah Shrine Center, Jacob Line, Karachi.</t>
  </si>
  <si>
    <t>Traced Person. It was informed at the hearing in this Commission on 04/10/2018 that Farooq has returned to home. The report submitted by the Police Officer SHO, Brigade is place on record.</t>
  </si>
  <si>
    <t>5025-S</t>
  </si>
  <si>
    <t>Muhammad Hanif s/o Israr Ahmed</t>
  </si>
  <si>
    <t>r/o, House No. 19/25, Near Barick 24, Jannat Ground, Jut Line, Karachi.</t>
  </si>
  <si>
    <t>Deleted . The case has been deleted due to incomplete/fake address as the Police could not locate the complainant/ family in the absence of which no further proceedings could be initiated. The address given in the complaint is Jut Line, Karachi.</t>
  </si>
  <si>
    <t>5026-S</t>
  </si>
  <si>
    <t>Shoukat Ali s/o Muhammad Deen</t>
  </si>
  <si>
    <t>Deleted. Hearing held on 15/08/2018 at sub office, Karachi. The case has been deleted due to incomplete fake address as the Police could not locate the complainant family in the absence of which no further proceedings could be initiated.</t>
  </si>
  <si>
    <t>5027-S</t>
  </si>
  <si>
    <t>Mohsin Saleem s/o Saleem</t>
  </si>
  <si>
    <t>Malir, Karachi.</t>
  </si>
  <si>
    <t>Deleted. The case has been deleted due to incomplete fake address as the Police could not locate the complainant/family in the absence of which no further proceedings could be initiated. The address given in the complainant is Malir, Karachi which is thickly populated area and a person/family cannot be located without specific information.</t>
  </si>
  <si>
    <t>5028-S</t>
  </si>
  <si>
    <t>Moiz-ud-Din s/o Moin-ud-Din</t>
  </si>
  <si>
    <t>Munir-ud-Din, r/o UC No. 14, P.I.B Colony, Karachi. (Mobile No. 021-34852202)</t>
  </si>
  <si>
    <t>Traced Person. It was informed at the hearing held in this Commission on 3.9.2019 &amp; 2.3.2020 that Moiz-ud-Din is involved in criminal case vide FIR No, 5/2013 PS Jamshed Quarters, Karachi u/ s302/34 PPC. He was arrested and presently confined in Central Jail, Karachi.</t>
  </si>
  <si>
    <t>5029-S 4916-S</t>
  </si>
  <si>
    <t>Asad Iqbal s/o Muhamamd Iqbal</t>
  </si>
  <si>
    <t>r/o UC No. 14, P.I.B Colony, Karachi. (Mobile No. 021-34852202)</t>
  </si>
  <si>
    <t>5030-S</t>
  </si>
  <si>
    <t>Saleem Inqalabi s/o Abdul Waheed</t>
  </si>
  <si>
    <t>r/o, UC No. 16, Landhi, Karachi.</t>
  </si>
  <si>
    <t>Deleted. The address given in the complainant is UC No. 16, Landhi, Karachi is a thickly populated area and the person/ family cannot be located , without specific information.</t>
  </si>
  <si>
    <t>5031-S</t>
  </si>
  <si>
    <t>Amir Ali s/o Muhammad Iqbal Hussain</t>
  </si>
  <si>
    <t>Asif Ali, r/o House No. A-3/40, Tunisia Line, Karachi. (Mobile No. 0315-2012497)</t>
  </si>
  <si>
    <t>5032-S</t>
  </si>
  <si>
    <t>Muhammad Raees s/o Saeed-ud-Din</t>
  </si>
  <si>
    <t>r/o, UC No. 10, Shah Faisal, Karachi.</t>
  </si>
  <si>
    <t>Deleted. Mst. Suhghra Begum mother of Missing Person submitted application dated 24.4.2019 for withdrawl of case has been accepted vide proceddings dated 8.5.2019. Police authorities , however informly intinmated that Muhammad Raees has returned to home.</t>
  </si>
  <si>
    <t>5033-S</t>
  </si>
  <si>
    <t>Saeed s/o Mumtaz</t>
  </si>
  <si>
    <t>r/o, Garden West Dhanapal, Usamanabad, Liyari, Karachi.</t>
  </si>
  <si>
    <t>Deleted. The Police Officer Concern submitted report on 20/06/2018 that the Complainant was not interested to pursue the case and refused the lodge FIR. He also remained absent at the hearing in this commission. Accordingly the case is closed due to Non Prosecution.</t>
  </si>
  <si>
    <t>5034-S</t>
  </si>
  <si>
    <t>Arshad Ali s/o Waris Ali</t>
  </si>
  <si>
    <t>r/o, Vegitable Street, Behoind Jacob Line, Line Area, Karachi.</t>
  </si>
  <si>
    <t>Traced Person. It was informed at the hearing held in this Commission on 15.1.2020 that Arshad Ali is involved in Criminal Case vide FIR No. 87/19, 88/19 dated 12.7.2019 PS, Sindh Industrial Unit, Karachi. He was arrested and presently confined in Central Jail, Karachi.</t>
  </si>
  <si>
    <t>5035-S</t>
  </si>
  <si>
    <t>Kamran Hamid s/o Syed Hamid Ali</t>
  </si>
  <si>
    <t>Traced Person. It was informed at the hearing in this Commission on 07/08/2018 that Kamran Hamid has returned to home. He appeared before the Commission. The statement of the Traced Person has been recorded u/s 164 CrPC, which is available on record. The report submitted by the Police Officer Nasir Bukharo, SDPO, Ferozabad, Karachi is placed on record.</t>
  </si>
  <si>
    <t>5036-S</t>
  </si>
  <si>
    <t>Rashid s/o Abdul Wahid</t>
  </si>
  <si>
    <t>Deleted. The case has been deleted due to incomplete/fake address as the Police could not locate the complainant/ family in the absence of which no further proceedings could be initiated. The address give in the complaint is UC No. 11 which is incomplete.</t>
  </si>
  <si>
    <t>5037-S</t>
  </si>
  <si>
    <t>Waseem Akhtar s/o Muhammad Abbas</t>
  </si>
  <si>
    <t>Mst. Waseem, r/o House No. 266, Sector No. 12-C, Orangi Town, Karachi. (Mobile No. 0333-6210532)</t>
  </si>
  <si>
    <t>Deleted. The case has been closed as the complainant / family of the Missing Person did not attend hearings and are not interested to purse this case. The same observation has been made by Sindh High Court while disposing of petition No. D-4569 of 2017.</t>
  </si>
  <si>
    <t>5038-S</t>
  </si>
  <si>
    <t>Zahid s/o Abdul Qayyum</t>
  </si>
  <si>
    <t>r/o Usmanabad Karachi.</t>
  </si>
  <si>
    <t>Traced Person. It was informed at the hearing in this Commission on 03/05/2018 that Zahid was arrested by PS Preedy in Case FIR No. 260/2017 u/s 355 etc and is confined in Jail.</t>
  </si>
  <si>
    <t>5039-S</t>
  </si>
  <si>
    <t>Ishrat Allah Khan s/o Rafat Allah Khan</t>
  </si>
  <si>
    <t>Mst. Ishrat Allah Khan, r/o UC No. 13, P.I.B Colony, Karachi. (Mobile No. 0345-6210532)</t>
  </si>
  <si>
    <t>Traced Person. It was informed at the hearing held in this Commission on 07/08/2018 that Ishrat Ullah Khan is involved in Criminal Case vide FIR No. 244/18 , u/s 23-1-A, Ps Defence, Karachi. He was arrested and presently confined in Jail.</t>
  </si>
  <si>
    <t>5040-S</t>
  </si>
  <si>
    <t>Shahid s/o Khaleeq</t>
  </si>
  <si>
    <t>r/o, Islam Nagar, Sector No. 11, Orangi Town, Karachi.</t>
  </si>
  <si>
    <t>Deleted. The case has been deleted due to incomplete fake address as the Police could not locate the complainant family in the absence of which no further proceedings could be initiated. The address given in the complaint is Orangi Town, Karachi which is a thickly populated area.</t>
  </si>
  <si>
    <t>5041-S</t>
  </si>
  <si>
    <t>Nadeem Ijaz s/o Shamim Hussain</t>
  </si>
  <si>
    <t>Mst. Nadeem Ijaz, r/o Flat No. I-303, Haroon Royal City Phase No. I, Gulistan-e-Johar, Block No. 17, Karachi. (Mobile No. 0332-2603606)</t>
  </si>
  <si>
    <t>Traced Person. It was informed at the hearing on 28.5.2019 that Nadeem Ijaz is confined in Malir Jail in criminal charges.</t>
  </si>
  <si>
    <t>5042-S</t>
  </si>
  <si>
    <t>Muhammad Junaid Jimmy s/o Muhammad Yaseen</t>
  </si>
  <si>
    <t>Mst. Zehra Bano, r/o Sector No. L-1, Surjani Town, Karachi. (Mobile No. 0333-2212332)</t>
  </si>
  <si>
    <t>Traced Person. It was informed at the hearing held in this Commission on 02/10/2018 that Junaid Jimmy is Criminal Case. He was arrested and presently confined in Central Jail, Karachi.</t>
  </si>
  <si>
    <t>5043-S</t>
  </si>
  <si>
    <t>Muhammad Rizwan s/o Zamir Hussain</t>
  </si>
  <si>
    <t>r/o House No. 472, Sector No. 11-D, Orangi Town, Karachi. (Mobile No. 0345-2212332)</t>
  </si>
  <si>
    <t>5044-S</t>
  </si>
  <si>
    <t>Muhammad Saeed s/o Abdul Hakeem</t>
  </si>
  <si>
    <t>r/o, House No. L-35, Sector No. L-1, Surjani Town, Karachi.</t>
  </si>
  <si>
    <t>Deleted. The case has been deleted due to incomplete fake address as the Police could not locate the complainant family in the absence of which no further proceedings could be initiated. The address given in the complaint is L-35, Sector o. L-1, Sarjani Town, Karachi which is a thickly populated area.</t>
  </si>
  <si>
    <t>5045-S</t>
  </si>
  <si>
    <t>Arshad Munir s/o Muhammad Munir</t>
  </si>
  <si>
    <t>Deleted. Hearing held on 15/08/2018 at sub office Karachi. The case does not fall under the domain of enforced on the basis of facts narrated in JIT report.</t>
  </si>
  <si>
    <t>5046-S</t>
  </si>
  <si>
    <t>Rizwan Sakharwala s/o Muhammad Sultan</t>
  </si>
  <si>
    <t>r/o Daba Colony, UC No. 30, Baldia Town, Karachi.</t>
  </si>
  <si>
    <t>Deleted. The case has been deleted due to incomplete fake address as the Police could not locate the complainant family in the absence of which no further proceedings could be initiated. The address given in the complaint is Qasba Colony, UC No. 30 which is thickly populated area.</t>
  </si>
  <si>
    <t>5047-S</t>
  </si>
  <si>
    <t>Amir Ali s/o Etamad Ali</t>
  </si>
  <si>
    <t>r/o Shah Latif Town, Karachi.</t>
  </si>
  <si>
    <t>Deleted. The case had been deleted due to incomplete/fake address as the Police could not locate the complainant/family in the absence of which no further proceedings could be initiated. The address given in the complaint is Shah Latif Town which is incomplete.</t>
  </si>
  <si>
    <t>5048-S</t>
  </si>
  <si>
    <t>Rashid s/o Muhammad Jamil</t>
  </si>
  <si>
    <t>Traced Person. It was informed at the hearing held in this Commission on 07/08/2018 that Rashid has returned to home. He appeared before the Commission. The statement of the Traced Person has been recorded u/s164 CrPC, which is available on record.</t>
  </si>
  <si>
    <t>5049-S</t>
  </si>
  <si>
    <t>Usman s/o Ahmed Yawazir</t>
  </si>
  <si>
    <t>r/o, House No. M-56, Korangi No. 03, Karachi.</t>
  </si>
  <si>
    <t>Traced Person. It was informed at the hearing held in this Commission on 07/08/2018 that Usman is involved in Criminal Case u/s 23 (i) A Ps, Model Colony. He was arrested and later released on bail by competent Court of Jurisdiction.</t>
  </si>
  <si>
    <t>5050-S</t>
  </si>
  <si>
    <t>Nadeem s/o Shafi</t>
  </si>
  <si>
    <t>r/o, Plot No. 760, Sector No. A-3, Baldia Town, Saeedabad, Karachi.</t>
  </si>
  <si>
    <t>Traced Person. It was informed at the hearing held in this Commission on 25/05/2018 that he has returned to home. His statement is placed on record that he was involved in case FIR No. 450/17 and released on bail two months ago.</t>
  </si>
  <si>
    <t>5051-S</t>
  </si>
  <si>
    <t>Ameer -ud-Din s/o Moin-ud-Din</t>
  </si>
  <si>
    <t>Mst. Ameer-ud-Din, r/o House No. D-66, Alfalah Malir, Halt, Shah Faisal Colony, Karachi. (Mobile No. 0333-2440605)</t>
  </si>
  <si>
    <t>Traced Person. It was informed at the hearing held in this Commission on 19.11.2019 that Ameer-ud-Din has returned to home. He appeared before the Commission. The wife of the traced person appeared before the Commission and confirmed the reported position. The report submitted by DSP Al-Falah, Karachi is placed on record.</t>
  </si>
  <si>
    <t>5052-S</t>
  </si>
  <si>
    <t>Saeed Ahmed s/o Wahid Ali Khan</t>
  </si>
  <si>
    <t>Traced Person. It was informed at the hearing held in this Commission on 15/08/2018 that Saeed Ahmed is involved in criminal case vide FIR No. 350/2017, u/s 6/9-C PS, New Karachi. He was arrested and later released on bail by competent Court of Jurisdiction.</t>
  </si>
  <si>
    <t>5053-S</t>
  </si>
  <si>
    <t>Danial s/o Muhammad Zubair</t>
  </si>
  <si>
    <t>5054-S</t>
  </si>
  <si>
    <t>Ilyas s/o Hussain Bux</t>
  </si>
  <si>
    <t>Traced Person. It was informed at the hearing held in this Commission on 08/05/2018 that Illyas isinvolved criminal case vide FIR 375/2017 dated 25/12/2017. He was arrested and later released on bail by competent Court of jurisdiction.</t>
  </si>
  <si>
    <t>5055-S</t>
  </si>
  <si>
    <t>Azad Hussain s/o Liaquat Hussain</t>
  </si>
  <si>
    <t>Deleted. The case has been deleted due to incomplete/fake address as the police could not locate the complainant/family in the absence of which no further proceedings could be initiated. The address given in the complaint is UC No. 24, Orangi Town, Karachi which is thickly populated area.</t>
  </si>
  <si>
    <t>5056-S</t>
  </si>
  <si>
    <t>Altaf Qambrani s/o Qadeer Qambrani</t>
  </si>
  <si>
    <t>Deleted. The case has been deleted due to incomplete/fake address as the Police could not locate the complainant / family in the absence of which no further proceedings could be initiated. The address given in the complaint is UC-21 North Nazimabad is in complete.</t>
  </si>
  <si>
    <t>5057-S</t>
  </si>
  <si>
    <t>Kashif Ghulam s/o Ghulam Muhammad</t>
  </si>
  <si>
    <t>r/o House No. B-357, Korangi Crossing, Karachi.</t>
  </si>
  <si>
    <t>Traced Person. It was informed at the hearing held in this Commission on 21-06-2018 that Mr. Kashif Ghulam is involved in Criminal Case Vide FIR No. 78/2018 dated 18-02-2018 u/s 23 (i) A PS Awami Colony, Korangi. He was later released on bail by the competent Court of Jurisdiction.</t>
  </si>
  <si>
    <t>5058-S</t>
  </si>
  <si>
    <t>Tanveer s/o Muhammad Bashir</t>
  </si>
  <si>
    <t>Daba Colony, UC No. 30, Baldia Town, Karachi.</t>
  </si>
  <si>
    <t>Traced Person. It was informed at the hearing on 02/05/2018 that Tanveer has returned to home. SHO Madina Colony, submitted report that he was involved in case FIR No. 18/2018 u/s 23 (i) A and released on bail on 26/03/2018 by the Court.</t>
  </si>
  <si>
    <t>5059-S</t>
  </si>
  <si>
    <t>Tahir Hussain s/o Safraz</t>
  </si>
  <si>
    <t>Chu Chu Mill Building 3rd Floor, Kharadar, Karachi.</t>
  </si>
  <si>
    <t>5060-S</t>
  </si>
  <si>
    <t>Roman s/o Rehan</t>
  </si>
  <si>
    <t>House No. 14/5, Aslam Rashan Wali Street, Line Area, Karachi.</t>
  </si>
  <si>
    <t>Traced Person. It was informed at the hearing held in this Commission on 07/08/2018 that Roman has returned to home. Family member Najma Begum, of the Traced Person confirmed the reported position. The report submitted by the Police Officer SHO Brigade Police Station, Karachi is placed on record.</t>
  </si>
  <si>
    <t>5061-S</t>
  </si>
  <si>
    <t>Zahid Hussain s/o Shakir Muhammad</t>
  </si>
  <si>
    <t>Traced Person. It was informed at the hearing held in this Commission on 16.07.2020 that Zahid Hussain is involved in Criminal Case vide FIR No. 385/2020 dated 07.07.2020 u/s 4/5 EA 7ATA, PS Ibrahim Hydri, Karachi and other case as well. The aforesaid position was also confirmed by his sister on Mobile No. 0317-1035872</t>
  </si>
  <si>
    <t>5062-S</t>
  </si>
  <si>
    <t>Anas-ur-Rehman s/o Aziz-ur-Reham</t>
  </si>
  <si>
    <t>Lafifabad No. 12, Raja Kothi, Hyderabad.</t>
  </si>
  <si>
    <t>Traced Person. It was informed at the hearing held in this Commission on 08/05/2018 that Anas-ur-Rehman has returned to home. The statement of the Traced Person has been recorded u/s 164 CrPC, which is available on record. The report submitted by the Police Officer Peer Muhammad Shah is placed on record.</t>
  </si>
  <si>
    <t>5063-S</t>
  </si>
  <si>
    <t>Muhammad Umar s/o Muhammad Younis</t>
  </si>
  <si>
    <t>(Mobile No. 0355-3587759)</t>
  </si>
  <si>
    <t>Deleted. Hearing held on 15/08/2018 at sub office Karachi. The case has been deleted due to incomplete/fake address as the Police could not locate the complainant family in the absence of which no further proceedings could be initiated.</t>
  </si>
  <si>
    <t>5064-S</t>
  </si>
  <si>
    <t>Muhammad Sheraz s/o Munawar Ali Shah</t>
  </si>
  <si>
    <t>(Mobile No. 0345-2069471)</t>
  </si>
  <si>
    <t>Deleted. Not a case of Enforced Disappearance as the Missing Person has been declared absconder by the competent Court of Jurisdiction. The case does not fall under the domain of enforced.</t>
  </si>
  <si>
    <t>5065-S</t>
  </si>
  <si>
    <t>Muhammad Amjad Khan s/o Mansoor Ahmed Khan</t>
  </si>
  <si>
    <t>(Mobile No. 0315-2585648)</t>
  </si>
  <si>
    <t>Traced Person. It was informed at the hearing held in this Commission on 08/05/2018 that Muhammad Amjad Khan has returned to home. The statement of the Traced Person has been recorded u/s 164 CrPC, which is available on record. The report submitted by the Police Officer SHO, Zaman Town is placed on record.</t>
  </si>
  <si>
    <t>5066-S</t>
  </si>
  <si>
    <t>Muhammad Fayyaz s/o Sher Deen</t>
  </si>
  <si>
    <t>(Mobile No. 0312-3319114)</t>
  </si>
  <si>
    <t>Traced Person. It was informed at the hearing held in this Commission on 08/05/2018 that Muhammad Fayyaz is involved in criminal case vide FIR No. 119/2018 dated 02/05/2018 u/s 6/9-C PS Madina Colony. He was arrested and presently confined in Madian Colony and lated released on bail by competent Court of jurisdiction.</t>
  </si>
  <si>
    <t>5067-K</t>
  </si>
  <si>
    <t>Yousaf Hussain s/o Nazar Hussain</t>
  </si>
  <si>
    <t>Tariq Asad, r/o House No. 96, Street No. 40, I-8/2, Islamabad</t>
  </si>
  <si>
    <t>Supreme Cout of Pakistan</t>
  </si>
  <si>
    <t>5068-I</t>
  </si>
  <si>
    <t>Ahmed Hassan Shah s/o Ali Akbar</t>
  </si>
  <si>
    <t>Ali Akbar, r/o Street No. 10, Tang Gali, Garden Town, Zia Masjid, Islamabad. (Mobile No. 0312-5444321 &amp; 0346-5444321)</t>
  </si>
  <si>
    <t>Traced Person. At the hearing on 25-06-2018 Ali Akbar f/o Ahmed Hassan Shah entered appearance and submitted that Ahmed Hassan Shah has returned to home on 02-05-2018, however he did not furnish and details thereof.</t>
  </si>
  <si>
    <t>5069-K</t>
  </si>
  <si>
    <t>Muhammad Zahid s/o Muhammad Siddique</t>
  </si>
  <si>
    <t>Jameel Shah, r/o Village Gadoon, Tehsil Topi, District Swabi. (Mobile No. 0312-9135330 &amp; 0322-9135330)</t>
  </si>
  <si>
    <t>Deleted. Persual of the entire record shows that no allegation was leveled against any LEAs/Intelligence Agencies by the complainant in the Proforma for Missing Persons or at any later stage. Rep of ISI, MI and CTD have already submitted reports which are to the extent that Muhammad Zahid is not in their custody. Circumstances and facts of the case indicate that there is absolutely nothing which can bring the matter within the domain of enforced disappearance. Hence the case is closed.</t>
  </si>
  <si>
    <t>5070-B</t>
  </si>
  <si>
    <t>Asim Amin s/o Muhammad Amin</t>
  </si>
  <si>
    <t>Muhammad Amin, r/o Kahn Pusht Village, Tehsil Turbat, District Kech, Makran, Balochistan.</t>
  </si>
  <si>
    <t>Traced Person. Mir Hussain Lehri SSP, Turbat is present, whose statement has been recorded on oath in which he was stated that Asim Amin was abducted by some unknown armed persons from Kech Stadium and taken away blindfolded to some unknown place. Muhammad Asim returned home on 31/07/2018.</t>
  </si>
  <si>
    <t>5071-S</t>
  </si>
  <si>
    <t>Mair Jan s/o Peer Bakhsh</t>
  </si>
  <si>
    <t>Peer Bakhsh, r/o Dasht, Balochistan.</t>
  </si>
  <si>
    <t>Deleted. The case has been deleted due to incomplete address as the Police could not locate the complainant/family in the absence of which no further proceedings could be initiated. The address given in the WGEID information report is Raees Goth, Karachi which is incomplete.</t>
  </si>
  <si>
    <t>5072-K</t>
  </si>
  <si>
    <t>Inam-ur-Rehman s/o Molvi Abdul Hakeem</t>
  </si>
  <si>
    <t>Mst. Sobhania, r/o Pohan Colony, Street No. 04, District Mardan. (Mobile No. 0314-9199203 &amp; 0344-9827324)</t>
  </si>
  <si>
    <t>FIR No. 156 dated 08/05/2018 us 365, PS Ghazi, District Haripur</t>
  </si>
  <si>
    <t>Rep of MI is present. He has submitted that Inam-ur-Rehman is presently confined in the Internment Center Lakki Marwat. under Action (in aid of Civil) Regulation 2011. Family Members have been allowed to meet him.</t>
  </si>
  <si>
    <t>5073-K</t>
  </si>
  <si>
    <t>Farhad Ullah s/o Umar Muhammad</t>
  </si>
  <si>
    <t>Ghulam Muhammad, r/o Medan, Tehsil Lal Qila. (Mobile No. 0344-9739903)</t>
  </si>
  <si>
    <t>5074-K</t>
  </si>
  <si>
    <t>Qasim Shah s/o Hakeem Shah</t>
  </si>
  <si>
    <t>Mosam, r/o, Ali Khel, Khajori, Tehsil Bara, District Khyber Agency. (Mobile No. 0333-9305700 &amp; 0332-9119783)</t>
  </si>
  <si>
    <t>Deleted. Mosam Shah b/o Qasim Shah attended hearing in the Commission and his statement was recorded on oath in which he deposed that his brother was a taxi driver and he went to Peshawar. He doesn’t know that from where and who abducted Qasim Shah. He added that there was no allegation against any LEA/Intelligence Agency in his statement recorded u/s 161 CrPC. Furthermore, there is no eye witness of the occurrence. Hence, it is not a case of enforced disappearance. The case is closed.</t>
  </si>
  <si>
    <t>5075-K</t>
  </si>
  <si>
    <t>Rehmat Ullah s/o Khaista Muhammad</t>
  </si>
  <si>
    <t>Aman Ullah, r/o Khazana, Tehsil Lal Qila, District Lower Dir. (Mobile No. 0301-8873987)</t>
  </si>
  <si>
    <t>5076-K</t>
  </si>
  <si>
    <t>Noor Ullah s/o Abdul Hameed Khan</t>
  </si>
  <si>
    <t>Abdul Hameed Khan, Village Khazana, Tehsil Lal Qila, District Lower Dir. (Mobile No. 0345-9652319)</t>
  </si>
  <si>
    <t>5077-F</t>
  </si>
  <si>
    <t>Fazal Dad s/o Socha Gul</t>
  </si>
  <si>
    <t>Socha Gul, r/o Koko Khel, Sikander Khel, Ghundi, Jamrood. (Mobile No. 0347-9101654 &amp; 0343-9827668)</t>
  </si>
  <si>
    <t>5078-K</t>
  </si>
  <si>
    <t>Sajid s/o Sharab Khan</t>
  </si>
  <si>
    <t>12/15/2015</t>
  </si>
  <si>
    <t>Muhammad Ali, r/o Soran Khel, Tehsil Bara. (Mobile No. 0303-8480398)</t>
  </si>
  <si>
    <t>5079-F</t>
  </si>
  <si>
    <t>Muhammad Ibrahim s/o Mubarik Khan</t>
  </si>
  <si>
    <t>Mubarik Khan, r/o Bar Qambar Khel, Skindar, Kajori, Tehsil &amp; District Khyber Agency. (Mobile No. 0333-9111403)</t>
  </si>
  <si>
    <t>5080-K</t>
  </si>
  <si>
    <t>Yousaf s/o Abdul Khaliq</t>
  </si>
  <si>
    <t>Yahya Khan, r/o House No. 113, Street No. 46, Hayat Abad, No. 02, Peshawar. (Mobile No.0331-9595208)</t>
  </si>
  <si>
    <t>5081-S</t>
  </si>
  <si>
    <t>Kunda Khan s/o Ilam Khan</t>
  </si>
  <si>
    <t>Ilam Khan, r/o Faqeer Colony, Orangi Town, Near Rafique Masjid, Mominabad,, Karachi. (Mobile No. 0332-3102242)</t>
  </si>
  <si>
    <t>Traced Person. It was informed at the hearing held in this Commission on 11.6.2019 that Khuhda Khan has returned to home statement of his cousin is recorded. The report submitted by the Police Officer SHO, Airport is placed on record.</t>
  </si>
  <si>
    <t>5082-I</t>
  </si>
  <si>
    <t>Irfan Ullah s/o Aman Ullah</t>
  </si>
  <si>
    <t>Mohsin Rauf, r/o Mohallah Khan Khel, Charsadda Town, Tehsil &amp; District Charsadda. (Mobile No. 0321-5138432 &amp; 0333-5021224)</t>
  </si>
  <si>
    <t>17101-3259581-7</t>
  </si>
  <si>
    <t>FIR No. 114 dated 16/05/2018 u/s 365 PPC PS Sectariat, Islamabad</t>
  </si>
  <si>
    <t>5083-P</t>
  </si>
  <si>
    <t>Muzalim Hussain s/o Karamat Hussain</t>
  </si>
  <si>
    <t>Irfan Mazhar, r/o House No. ZB- 1283, Model Colony, Dhoke Hassu, Rawalpindi. (Mobile No. 0332-5440458)</t>
  </si>
  <si>
    <t>Deleted. The case has thoroughly been examined and entire record perused. Initially a person namely Tanveer-ul-Hassan was arrested by Police but released. There are no circumstance, which could indicate involvement of any LEA there reports are also indicative that Mulazim Hussain was never in there custody. Hence not a case of enforced disappearance. The case is deleted.</t>
  </si>
  <si>
    <t>5084-K</t>
  </si>
  <si>
    <t>Muhammad Siraj s/o Tajmeer Khan</t>
  </si>
  <si>
    <t>Tajmeer Khan, r/o Boran, P.O Yak Ghundi, Tehsil Pandali, Mohmand Agency. (Mobile No. 0304-0300-9345565-9510788 &amp; 0336-4448004)</t>
  </si>
  <si>
    <t>FIR No. 621 dated 26/07/2018 u/s 365 ppc, District Charsadda.</t>
  </si>
  <si>
    <t>Traced Person. Muhammad Siraj has been traced. Tajmeer Khan f/o missing person is present, whose statement has been recorded on oath. In his statement, he has stated that his son has returned to home.</t>
  </si>
  <si>
    <t>5085-P</t>
  </si>
  <si>
    <t>Syed Kumel Hassan s/o Syed Ishtiaq Hussain Shah</t>
  </si>
  <si>
    <t>Syed Ishtaiq Hussain Shah, r/o Kardala, tehsil &amp; District Muzaffarabad. (Mobile No. 0300-5023693)</t>
  </si>
  <si>
    <t>Traced Person. A report has been submitted by CPO, Rawalpindi accordingly to which Syed Kumel Hassan has been arrested by CTD Police Faisalabad in Case FIR No. 13 dated 29-04-2018 u/s 4/5 ESA r/w 7ATA and he is presently confined in Shahpur Jail, District Sargodha. Father of Missing Person was present who affirmed that he was already met his son in Jail.</t>
  </si>
  <si>
    <t>5086-K</t>
  </si>
  <si>
    <t>Zaheer-ul-Haq s/o Saeed-ul-Haq</t>
  </si>
  <si>
    <t>Muhammad Hanif, r/o Mohallah Panj Pao, Village Topi, District Swabi. (Mobile No. 0314-3945672 &amp;0314-9911192 )</t>
  </si>
  <si>
    <t>Traced Person. It has been informed at the hearing on 18/05/2018 that Zadheer-ul Haq is presently confined in the Internment Center Paithom, Swat. Family members of Zaheer-ul-Haq shall be facilitated to see him in the Internment Center as per rule and procedure.</t>
  </si>
  <si>
    <t>5087-K</t>
  </si>
  <si>
    <t>Abdullah s/o Fazal Rahim</t>
  </si>
  <si>
    <t>Mst. Sajada, r/o Mohallah Sheikhabad, Matta Mughal Khel, Tehsil &amp; District Charsadda. (Mobile No. 0348-1084621)</t>
  </si>
  <si>
    <t>FIR No. 390 dated 16/03/2018 u/s 365 PPC Ps Tangi District Charsadda</t>
  </si>
  <si>
    <t>5088-F</t>
  </si>
  <si>
    <t>Arshad Ali s/o Latif Ullah</t>
  </si>
  <si>
    <t>Latif Ullah, r/o Mohalladh Waheed Abad, Tube Well No. 18, Khana Dak Islamabad. (Mobile No. 0303-5393630)</t>
  </si>
  <si>
    <t>5089-F</t>
  </si>
  <si>
    <t>Munabajat Khan s/o Badshah Khan</t>
  </si>
  <si>
    <t>Spain Bat Khan, r/o Satar Mandan, Papoza Khel, Peshawar. (Mobile No. 0300-8023890)</t>
  </si>
  <si>
    <t>Traced Person. According to report dated 31.08.2018 received from Rep of ISI, ground check was carried out which revealed that Manabat Khan has returned to home. Statement of Mr. Umar Khan, AC Upper Kurram has been recorded on oath.</t>
  </si>
  <si>
    <t>5090-S</t>
  </si>
  <si>
    <t>Syed Muhammad Mustafa s/o Syed Yamin Mustafa</t>
  </si>
  <si>
    <t>Syed Yamin Mustafa, r/o B-9, Saadain Arcade, rizwan Society, Sector No, 38-A Scheme No. 33, Main University Road, Karachi. Mobile No. 0332-2665916)</t>
  </si>
  <si>
    <t>Traced Person. It was informed at the hearing held in this Commission on 11.6.2019 that Syed Muhammad Mustafa has returned to home statement of his father is placed on record. The report submitted by the Police Officer DSP, Suchal is also placed on record.</t>
  </si>
  <si>
    <t>5091-I</t>
  </si>
  <si>
    <t>Muhammad Tayyab s/o Muhammad Ishaq</t>
  </si>
  <si>
    <t>Muhammad Ashraf, r/o Bahria Town, Rawalpindi. (Mobile No. 0321-5136961)</t>
  </si>
  <si>
    <t>30th April, 2018</t>
  </si>
  <si>
    <t>5092-S</t>
  </si>
  <si>
    <t>Imran Hijazi</t>
  </si>
  <si>
    <t>Mst. Zaib Elahie, r/o A-203, Rao Zebaish Block No. 13, Gulistan-e-Johar, Karachi. (Mobile No. 0300/8227565 &amp; 0300/9227765)</t>
  </si>
  <si>
    <t>Traced Person. It was informed at the hearing held in this case on 20/06/2018 at Sub Office Karachi that Imran Hijazi has returned to home.</t>
  </si>
  <si>
    <t>01st May, 2018</t>
  </si>
  <si>
    <t>5093-F</t>
  </si>
  <si>
    <t>Anwar Hussain s/o Abdul Hakim</t>
  </si>
  <si>
    <t>Abdul Hakim, r/o Yousafabad, Tehsil Khar, District Bajur Agency. (Mobile No. 0304-9202574)</t>
  </si>
  <si>
    <t>21103-2892205-1</t>
  </si>
  <si>
    <t>5094-I</t>
  </si>
  <si>
    <t>Muhammad Umar Ali Khan s/o Ghulam Mustafa Jadoon</t>
  </si>
  <si>
    <t>Ghulam Mustafa Jadoon, r/o Nika Pani, P.O Qalandar Abad, District Abbottabad. (Mobile No. 0312-8110086)</t>
  </si>
  <si>
    <t>Traced Person. A case against Muhammad Umar Ali Khan who is custody of Security Forces, is under trial in Military Court, however, due to expiry of the tenure of Military Courts, the proceeding/trial has been stopped. In view of the aforesaid order, no further action is required to be taken by the Commission for the present. Meanwhile, the arrangements of meeting with family are in hand of authorities concerned.</t>
  </si>
  <si>
    <t>5095-K</t>
  </si>
  <si>
    <t>Abdul Wahab s/o Abdul Qahar</t>
  </si>
  <si>
    <t>Mst. Hasanat, r/o Shah Dehri, Tehsil Kabal, District Swat. (Mobile No. 0341-8200259)</t>
  </si>
  <si>
    <t>Traced Person. At the hearing held in the case on 21-06-2018. SP (Inv), Swat was present and submitted that Abdul Wahab was presently confined in District Jail Kohat. Accordingly the name of Abdul Wahab is deleted from the list of Enforced Disappeared Persons.</t>
  </si>
  <si>
    <t>5096-S</t>
  </si>
  <si>
    <t>Muhammad Imran s/o Khalid Hussain Aghai</t>
  </si>
  <si>
    <t>Zeeshan Hussain Aghai, r/o House No. AA/27, Railway Society Project, 5/A, Abu Hassan Asphani Road Scheme 33, Karachi. (Mobile No. 0322-2299090)</t>
  </si>
  <si>
    <t>Traced Person. It was informed at the hearing held in this Commission that Muhammad Imran has returned to home. The facts were confirmed by Intelligence Agency in its report submitted to the Commission.</t>
  </si>
  <si>
    <t>5097-K</t>
  </si>
  <si>
    <t>Ali Rehman s/o Hameed Gul</t>
  </si>
  <si>
    <t>Mst. Hayat Bibi, r/o Zaimdara Shagai, Tehsil Lal Qial, District Lower Dir. (Mobile No. 0304-5790127)</t>
  </si>
  <si>
    <t>Traced Person. It has been informed at the hearing on 05/11/2018 that Ali Rehman is confined in Internment Center Paithom and family members have already met him in the aforementioned Internment Center.</t>
  </si>
  <si>
    <t>5098-K</t>
  </si>
  <si>
    <t>Mati Ullah s/o Sher Ali Khan</t>
  </si>
  <si>
    <t>Khan Badshah, r/o Mano Khor, District Lower Dir. (Mobile No. 0346-8985106 &amp; 0346-0212128)</t>
  </si>
  <si>
    <t>FIR No. 241/18 dated 12/06/2018 u/s 365 PPC PS Balambat District Lower Dir</t>
  </si>
  <si>
    <t>5099-K</t>
  </si>
  <si>
    <t>Muhammad Imran s/o Syed Jamal</t>
  </si>
  <si>
    <t>Nizam Khan, r/o Akhon Baba Road, Akramabad, Korana Mardan. (Mobile No. 0346-3081311)</t>
  </si>
  <si>
    <t>FIR No. 374 dated 22/05/2018 u/s 365 PPC PS Parhoti District Mardan</t>
  </si>
  <si>
    <t>Traced Person. Muhammad Imran entered appeared before the Commission at the hearing on 29/08/2018. He has submitted that he remained I detention for about five and half years, however he could not give further details regarding place of detention and persons involved in his detention.</t>
  </si>
  <si>
    <t>5100-K</t>
  </si>
  <si>
    <t>Shahid Hussain s/o Rehmat Hussain</t>
  </si>
  <si>
    <t>Luqman Hussain, r/o Dorazai, P.O Yak Ghund, Tehsil Pandali, District Mohmand Agency. (Mobile No. 0317-9577603 &amp; 0300-0245698)</t>
  </si>
  <si>
    <t>5101-F</t>
  </si>
  <si>
    <t>Liaq Jan s/o Zar Muhammad</t>
  </si>
  <si>
    <t>Rozi Khan, r/o Do Razi, Qalandar Khel, Mohmand Agency. (Mobile No. 0301-4745685 &amp; 0300-4594799)</t>
  </si>
  <si>
    <t>5102-P</t>
  </si>
  <si>
    <t>Ali Raza Kazmi s/o Tufail Hussain Shah</t>
  </si>
  <si>
    <t>Ali Asghar, r/o Nado Key, Tehsil &amp; District Sialkot. (Mobile No. 0341-7008545 &amp; 0334-8012350)</t>
  </si>
  <si>
    <t>FIR No. 362 dt 27.7.2008 u/s 365 PPC PS Sadar Sialkot</t>
  </si>
  <si>
    <t>Deleted. Ali Asghar son of Ali Raza Kazmi has appeared before the Commission, whose statement has been recorded on oath. According to him Ali Raza Kazmi is his father, who disappeared on 13.7.2008 when he went to Naidhu stop on his motor bike. He also submitted that FIR regarding his disappearance was lodged on 24.7.2008 against unknown persons and in the FIR no allegation was leveled against any LEAs/ Intelligence Agency. He further added that on 30.4.2018 a complaint was sent before the Commission wherein no LEAs/ Intelligence Agency was nominated. During the course of investigation by Police, he nominated some persons namely Muhammad Azeem, Khawar, Muhammad Khalil, Mian Muhammad Asif Balhi, Sheikh Waqar and Abdul Ghaffar, who were associated with investigation, but of no avail. Reps of ISS, MI and CTD have already submitted written reports which are to extent that Ali Raza Kazmi is not in their custody. Hence, not a case of enforced disappearance.</t>
  </si>
  <si>
    <t>5103-P</t>
  </si>
  <si>
    <t>Nazar Hussain s/o Rooh Ullah</t>
  </si>
  <si>
    <t>Niaz Hussain, r/o Shama Khel, P.O Kharkhi, Tehsil Shabaqadar, District Charsadda. (Mobile No. 0302-9685723)</t>
  </si>
  <si>
    <t>5104-K</t>
  </si>
  <si>
    <t>Shah Nawaz s/o Muhammad karim Khan</t>
  </si>
  <si>
    <t>Ehsan Ullah, r/o Beron Yak Toot, House No. 416, Mohallah Zar Garabad, Peshawar. (Mobile No. 0347-2220220)</t>
  </si>
  <si>
    <t>5105-K</t>
  </si>
  <si>
    <t>Adil Anwar Khan s/o Munawar Khan</t>
  </si>
  <si>
    <t>Munawar Khan, r/o Mohallah Kotkey, Village Bara Bandi, Tehsil Kabal, District Swat. (Mobile No. 0342-9669131 &amp; 0341-3345131)</t>
  </si>
  <si>
    <t>15602-9501414-5</t>
  </si>
  <si>
    <t>5106-A</t>
  </si>
  <si>
    <t>Abdullah Alam s/o Muhammad Alam</t>
  </si>
  <si>
    <t>Mehboob Alam, r/o Village Khyber, Tehsil Fateh Pur Nekyal, District Kotali. (Mobile No. 0346-5199889)</t>
  </si>
  <si>
    <t>Traced Person. Abdullah Alam has appeared in person whose statement has been recorded on oath. According to him he had gone to Afghanistan on his own. He has further submitted that he got Jhadi training for one month. He has also stated that he did not take part in Jehad and came back on week ago.</t>
  </si>
  <si>
    <t>5107-S</t>
  </si>
  <si>
    <t>Nabeel Akhtar s/o Jameel Akhtar</t>
  </si>
  <si>
    <t>Syed Yousaf Khurram, r/o A-136, Block No. 11, Gulshan-e-Iqbal, Rashid Minhas Road, Karachi. (Mobile No. 0335-7370664)</t>
  </si>
  <si>
    <t>Traced Person. It was informed at the hearing on 28.5.2019 that Nabeel Akhtar has returned available at home.</t>
  </si>
  <si>
    <t>5108-S</t>
  </si>
  <si>
    <t>Mehar Alam s/o Muhammad Rafique</t>
  </si>
  <si>
    <t>Mst. Abida, r/o House No. 9, L-6-ST, Korangi No. 31/2 , Korangi, Karachi. (Mobile No. 0321-3208580)</t>
  </si>
  <si>
    <t>Traced Person. It was informed at the hearing held in this Commission on 24/10/2018 that Mehar Alam has returned to home. The report submitted by the Police Officer SHO, Awami Colony is placed on record.</t>
  </si>
  <si>
    <t>5109-F</t>
  </si>
  <si>
    <t>Sobhat Khan s/o Nazar Khan</t>
  </si>
  <si>
    <t>Nazmin, r/o Bar Qambar Khel, Kundey Waley, District Khyber Agency. (Mobile No. 0302-8955341)</t>
  </si>
  <si>
    <t>Traced Person. Sohbat Khan has appeared before the Commission in person. He stated on oath that he was arrested by the army in 2018 and remained with army for eight months. He has further stated that thereafter he was handed over to Political Administration and kept Levy’s center and thereafter sent to Central Jail Peshawar. According to him he was tried by the Court.</t>
  </si>
  <si>
    <t>5110-K</t>
  </si>
  <si>
    <t>Suleman s/o Khuna Gul</t>
  </si>
  <si>
    <t>Mst. Hussan Bano, r/o Shadara Chowk, Mingora, Swat. (Mobile No. 0333-9500478 &amp; 0343-8261868)</t>
  </si>
  <si>
    <t>Traced Person. It was informed at the hearing held in the case on 21-06-2018. SP (Inv), Swat submitted that Suleman was confined in District Jail Kohat. Accordingly the name of Suleman is deleted from the list of Enforced Disappeared Persons.</t>
  </si>
  <si>
    <t>5111-B</t>
  </si>
  <si>
    <t>Muhammad Ayub Kiyani s/o Raja Muhammad Yaqoob</t>
  </si>
  <si>
    <t>Mst. Shakeela Begum, r/o Kot Jabbi, P.O Chakala, Tehsil &amp; District Rawalpindi. (Mobile No. 0331-5972101 &amp; 0301-5459973)</t>
  </si>
  <si>
    <t>Traced Person. Mst .Shakela Begum Mother of Missing Person Muhammad Ayub Kiyani entered appearance before the Commission and submitted in writing that her son has returned to home on 17/08/2018. The application submitted by him placed on record.</t>
  </si>
  <si>
    <t>5112-F</t>
  </si>
  <si>
    <t>Tajarat Khan s/o Nazir Khan</t>
  </si>
  <si>
    <t>Nazir Khan, r/o Koki Khel, Sher Khan Khel, Tedi Bazar, Nai Abadi, Tehsil Jamrood, Khyber Agency. (Mobile No. 0304-5928046)</t>
  </si>
  <si>
    <t>5113-P</t>
  </si>
  <si>
    <t>Habib-ur-Rehman s/o Muhammad Yaseen</t>
  </si>
  <si>
    <t>Muhammad Zubir Khan, r/o D-146, Anwar Plaza, 06th Road, Rawalpindi. (Mobile No. 0345-0988882)</t>
  </si>
  <si>
    <t>Traced Person. It is informed that Habib-ur-Rehman has returned to home. In view of what has been mentioned hereinabove, no further action is required to be taken by the Commission.</t>
  </si>
  <si>
    <t>5114-K</t>
  </si>
  <si>
    <t>Lal Mast Khan s/o Sher Bahadur</t>
  </si>
  <si>
    <t>Kamran Khan, r/o Sher Bahadur Kilay, Sambay Khel, Peshawar. (Mobile No. 0311-7205657 &amp; 0333-0614462)</t>
  </si>
  <si>
    <t>5115-P</t>
  </si>
  <si>
    <t>Majid Azad Khan s/o Muhammad Azad Khan</t>
  </si>
  <si>
    <t>Muhammad Azad Khan, r/o House No. 749, Basti Syedan Shah Colony, Upper Mall Lahore. (Mobile No. 0324-5890363)</t>
  </si>
  <si>
    <t>FIR No. 307/1/8 dated 23/06/18 u/s PPC 365, PS Race Course, Districtd Lahore.</t>
  </si>
  <si>
    <t>Deleted. In this case JIT as well as PTF concluded that the Missing Person has gone on his own. Last hearing held on 10.2.2020 complainant appeared, whose statement has been recorded on oath. He has deposed that he has filed his complaint before Commission and Majid Azad Khan remained contact with his brother Rashid Azad Khan through emails after a considerable time even after his disappearance. There is no allegation against any LEAs/Intelligence Agency in the complaint. He has also stated that last meeting was received during the year 2018. It is also stated that Majid Azad Khan approached NADRA office Karachi for issuance of his smart ID Card. Since there is absolutely no evidence which can suggest that it is case of enforced disappearance, therefore the case stands closed.</t>
  </si>
  <si>
    <t>5116-I</t>
  </si>
  <si>
    <t>Abdul Rasheed Shah s/o Karam Elahi Shah</t>
  </si>
  <si>
    <t>Mst. Kaniza Fatima, r/o National Special Eduaction Center, Flat No. 46, Street No. 09 Sector No. H-8/4, Islamabad. (Mobile No. 0330-5473259)</t>
  </si>
  <si>
    <t>Traced Person. It was informed at the hearing on 11/09/2018 that Abdul Rasheed has been traced. He has returned to home. He is present before the Commission. He did not furnish details regarding disappearance and his detention for obvious reasons. He has submitted that he remained in detention for about six months, and has returned to home on 23/07/2018.</t>
  </si>
  <si>
    <t>5117-K</t>
  </si>
  <si>
    <t>Rehmat Ullah s/o Jan Muhammad</t>
  </si>
  <si>
    <t>Jan Muhammad, r/o Mitti Bacha, Peshawar (Mobile No. 0307-8371528)</t>
  </si>
  <si>
    <t>Traced Person. According to the report dated 01/06/2018 received from SP(Inv), Charsadda, Rehmat Ullah is an Afghan National has been traced as he was confined in Political Havalat, Landi Kotal and subsequently deported to Afghanistan due to the reason that he had no valid travelling documents. SP (Inv), Charsadda was present at the hearing on 31/07/2018.</t>
  </si>
  <si>
    <t>5118-K</t>
  </si>
  <si>
    <t>Abdul Ghaffor Khan s/o Jan Muhammad</t>
  </si>
  <si>
    <t>Muhammad Israr, r/o Mohallah Ghari, Peshawar. (Mobile No. 0312-9591481)</t>
  </si>
  <si>
    <t>Deleted. Keeping in view the facts and circumstances of the case, matter hardly fall within the ambit of Enforced Disappearance, therefore further proceedings in the matter would be a futile exercise. Case is accordingly disposed of and the file after compilation be consigned to record.</t>
  </si>
  <si>
    <t>5119-I</t>
  </si>
  <si>
    <t>Muhammad Nasir Mehmood s/o Qari Ghulam Nabi</t>
  </si>
  <si>
    <t>Qari Ghulam Nabi, r/o Phoolwai Seri, Tehsil Shadara, District Neelum. (Mobile No. 0355-6009546 &amp; 0334-5200837)</t>
  </si>
  <si>
    <t>82502-0124667-5</t>
  </si>
  <si>
    <t>5120-S</t>
  </si>
  <si>
    <t>Rizwan Ali s/o Rashid Ali</t>
  </si>
  <si>
    <t>Khursheed, r/o House No. 1129, 03rd Floor, PTB Colony, Karachi. (Mobile No. 0333-3686305)</t>
  </si>
  <si>
    <t>Traced Person. It was informed at the hearing held in this Commission on 27.1.2019 that Rizwan Ali has returned to home. Statement of the Traced Person has been recorded u/s 164 CrPC, which is available on record. The report submitted by DSP, New Town, Karachi is also placed on record.</t>
  </si>
  <si>
    <t>5121-P</t>
  </si>
  <si>
    <t>Laiq Aslam s/o Muhammad Aslam Sindhu</t>
  </si>
  <si>
    <t>Muhammad Aslam Sindhu, r/o House No. E/4-275, Street No. 28, Mohallah Kamalabad, Rawalpindi Cantt. (Mobile No. 0333-5461326)</t>
  </si>
  <si>
    <t>FIR No. 190 dated 07/05/2018 u/s 365-PPC PS Ara Bazar, District Rawalpindi</t>
  </si>
  <si>
    <t>Traced Person. Father of Liaq Aslam was present at the hearing on 19/11/2018 . His statement has been recorded by the Commission in which he has stated that his son has returned home during the night between 21/22 August, 2018.</t>
  </si>
  <si>
    <t>5122-P</t>
  </si>
  <si>
    <t>Sher Ullah s/o Yaseen Khan</t>
  </si>
  <si>
    <t>Arshad, r/o House No. 13, Street No. 42, Mohallah Iqbal Colony, Misral Road, Rawalpindi. (Mobile No. 0303-5260021 &amp; 0345-5534293)</t>
  </si>
  <si>
    <t>5123-P</t>
  </si>
  <si>
    <t>Aman Ullah s/o Ahmed Ali Khan</t>
  </si>
  <si>
    <t>Rana Sana Ullah, r/o Mohallah Rajpootan, House No. 43/7-B, Khan Garh, Tehsil &amp; District Muzaffargarh. (Mobile No. 0300-7990613)</t>
  </si>
  <si>
    <t>FIR No. 348-18 dated 23/06/18 u/s 365 PPC, PS Khan Gharh, Muzaffargarh.</t>
  </si>
  <si>
    <t>5124-P</t>
  </si>
  <si>
    <t>Inayat Rehman s/o Feroz Gul</t>
  </si>
  <si>
    <t>Sher Rehman, r/o Adam Khan Kilay, P.O Nawagai, District Bajur Agency. (Mobile No. 0304-5053636 &amp; 0302-5109828)</t>
  </si>
  <si>
    <t>5125-K</t>
  </si>
  <si>
    <t>Israr Ullah s/o Khalil-ur-Rehman</t>
  </si>
  <si>
    <t>Shahid Ullah, r/o Gand Bagar, Tehsil &amp; District Upper Dir. (Mobile No. 0349-8271434)</t>
  </si>
  <si>
    <t>Traced Person. It was informed at the hearing on 27/06/2018 that Israr Ullah has been traced. He is presently confined in Internment Center at Fizaghat. Under Action (in aid of Civil Power) Regulation 2011. Family Members have been allowed to meet him.</t>
  </si>
  <si>
    <t>5126-K</t>
  </si>
  <si>
    <t>Nisar Muhammad s/o Sahib Zada</t>
  </si>
  <si>
    <t>Sahib Zada, r/o Gullu Shah, P.O Sakha Kot, Tehsil Dargai, District Malakand. (Mobile No. 0300-9720642 &amp; 0348-8291712 &amp; 0315-9513249)</t>
  </si>
  <si>
    <t>FIR No. 90 dated 21/03/2014 u/s 365 PPC PS Saidu Sharif</t>
  </si>
  <si>
    <t>Deleted. The case I already closed as it has already been investigated vide ID No. 1476-K and deleted as Missing Person is a proclaimed offender. No further action is needed. The case is closed.</t>
  </si>
  <si>
    <t>5127-S</t>
  </si>
  <si>
    <t>Hamayun s/o Ali Marjan</t>
  </si>
  <si>
    <t>Ali Marjan, r/o Gira Safdar , Tehsil &amp; District Tank. (Mobile No. 0346-9202711)</t>
  </si>
  <si>
    <t>Traced Person. It was informed at the hearing held in this Commission at Karachi on 27/06/2018 that Mr. Hamayun is involved in Criminal case vide FIR No. 60/14, 6/14, 65/14 dated u/s 324, 353, 427, 34, PPC. He was arrested and presently confined in Central Prison Sukkur.</t>
  </si>
  <si>
    <t>5128-K</t>
  </si>
  <si>
    <t>Hazrat Ullah s/o Ali Marjan</t>
  </si>
  <si>
    <t>Traced Person. SP (Inv) Tank appeared before the Commission on 17.12.2019 and submitted JIT report dated on 3.12.2019. In Para-14 of the JIT report is mentioned that Hazrat Ullah has returned home and he is no more a missing person. He also submitted statements of Hazrat Ullah (Traced Person) and Ali Marjan (Complainant) recorded u/s 164 CrPC.</t>
  </si>
  <si>
    <t>5129-K</t>
  </si>
  <si>
    <t>Muhammad Abdul Qadir s/o Ali Marjan</t>
  </si>
  <si>
    <t>Traced Person. It was informed at the hearing on 10/07/2018 that Muhammad Qadir has been traced. He is presently confined in the Internment Center Lakki Marawat. Ali Marjan f/o Missing Person is present. He has been apprised of status of the case. Under Action (in aid of Civil Power) Regulation 2011. Family Members have been allowed to meet him.</t>
  </si>
  <si>
    <t>5130-K</t>
  </si>
  <si>
    <t>Islam Badshah s/o Ameer Bacha</t>
  </si>
  <si>
    <t>Rahim Badshah, r/o P.O Ghari, Khazana, Tehsil &amp; District Swat. (Mobile No. 0313-9061151)</t>
  </si>
  <si>
    <t>Traced Person. It has been intimated at the hearing on 23/10/2018 that Islam Badshah has been traced and he is presently confined in Internment Center paithom. Reham Badshah broter of Islam Badshah has entered appearance. He has affirmed that Islam Badshah is confined in Internment Center Paithom and family members have already met him on 22/08/2018.</t>
  </si>
  <si>
    <t>5131-K</t>
  </si>
  <si>
    <t>Tahir s/o Fazal Haq</t>
  </si>
  <si>
    <t>Atta Ullah, r/o Gul Kada No. 03, P.O Sadiu Sharif, Tehsil &amp; District Swat. (Mobile No. 0346-4208175)</t>
  </si>
  <si>
    <t>FIR No. 582 dated 05/07.2018 u/s 365 PPC PS Topi, Swabi</t>
  </si>
  <si>
    <t>5132-K</t>
  </si>
  <si>
    <t>Izat Khan s/o Noor Jan</t>
  </si>
  <si>
    <t>Hazrat Khan, r/o Mohallah Ghalji Korana, P.O Shabaqadar, District Charsadda. (Mobile No. 0305-9347101)</t>
  </si>
  <si>
    <t>5133-K</t>
  </si>
  <si>
    <t>Noor Muhammad s/o Noor Jan</t>
  </si>
  <si>
    <t>5134-K</t>
  </si>
  <si>
    <t>Syed Sadaqat Shah s/o Syed Haleem Shah</t>
  </si>
  <si>
    <t>Syed Haleem Shah, r/o Safid Dheri, Tehsil &amp; District Peshawar. (Mobile No. 0310-5813313 &amp; 0346-9209665)</t>
  </si>
  <si>
    <t>To be fixed together on the next date of hearing</t>
  </si>
  <si>
    <t>5135-K</t>
  </si>
  <si>
    <t>Syed Abid Shah s/o Syed Haleem Shah</t>
  </si>
  <si>
    <t>5136-K</t>
  </si>
  <si>
    <t>Muhammad Nawaz s/o Zargoon Shah</t>
  </si>
  <si>
    <t>Muhammad Saeed Khan, r/o Qandhari, Mulla Khel, Mohmand Agency. (Mobile No. 0302-9192601)</t>
  </si>
  <si>
    <t>5137-P</t>
  </si>
  <si>
    <t>Abdul Razzaq s/o Mir Alam</t>
  </si>
  <si>
    <t>Saeed Alam, r/o Misral Road, Illyas Colony, Near Noor Massjid, Rawalpindi. (Mobile No. 0308-5631912)</t>
  </si>
  <si>
    <t>5138-P</t>
  </si>
  <si>
    <t>Bakhat Mir s/o Fazal Rehman</t>
  </si>
  <si>
    <t>Akhtar Gul, r/o Adam Khan Kilay, P.O Nawagi, District Bajur Agency. (Mobile No. 0304-1550590)</t>
  </si>
  <si>
    <t>5139-P</t>
  </si>
  <si>
    <t>Saeed Rehman s/o Muhammad Afzal</t>
  </si>
  <si>
    <t>Muhammad Afzal, r/o Moza Makhawara, Pul Siddique Abad, Tehsil Ahmed Pur Sharqia, District Bahawalpur. (Mobile No. 0308-8586577)</t>
  </si>
  <si>
    <t>31201-8792694-7</t>
  </si>
  <si>
    <t>Traced Person. Saeed Rehman has been recovered and presently he is residing at his home. It is further submitted that in this regard confessional statement has already been recorded showing his recovery.</t>
  </si>
  <si>
    <t>5140-K</t>
  </si>
  <si>
    <t>Yaar Muhammad Khan Barkat Khan</t>
  </si>
  <si>
    <t>Barkat Khan, r/o Tehsil Shakai South Waziristan Agency. (Mobile No. 0345-0919120)</t>
  </si>
  <si>
    <t>Traced Person. It was informed at the hearing on 27-06-2018 that Yaar Muhammad had been traced. He was presently confined in Internment Center Kohat under Action (in aid of Civil Power) Regulation 2011. Family Members have been allowed to meet him.</t>
  </si>
  <si>
    <t>5141-K</t>
  </si>
  <si>
    <t>Nazir Khan s/o Yadat Khan</t>
  </si>
  <si>
    <t>Muntazir Khan, r/oVillage Gagara, Bonair. (Mobile No. 0341-9003499)</t>
  </si>
  <si>
    <t>Deleted. Muntazir Shah Cousin of Nazir Khan Missing Person is present, whose statement has been recorded on oath. He has deposed that Nazir Khan is his cousin, who disappeared in year 2008/2009 from his home. He also stated that he had lodged complaint regarding his disappearance before the Commission in the year 2018. He further submitted that he did not level against any LEAs/Intelligence Agency in the complaint regarding disappearance of Nazir Khan Missing Person. He further added that his cousin Nazir Khan burnt/died in a blast incident of mini-truck, and after getting reliable information, he fully believe that his cousin is no more in this world. Foregoing in view the case is closed.</t>
  </si>
  <si>
    <t>5142-P</t>
  </si>
  <si>
    <t>Muhammad Osaid s/o Abdul Rasheed Khan</t>
  </si>
  <si>
    <t>Abdul Rasheed Khan, r/o House No. SN-1823, Street No. 06, Mohallah Qayyum Abad, Farooq Azam Colony, Dhok Kala Khan, Rawalpindi. (Mobile No. 0332-8909329)</t>
  </si>
  <si>
    <t>FIR No. 554/18 dated 23/06/18 u/s 365 PPC, PS Ghalib Market, Lahore.</t>
  </si>
  <si>
    <t>Traced Person. Muhammad Osaid has been traced. He has returned home and appeared before the Commission on 20.6.2019. His statement has been recorded on oath in which he deposed that he was abducted on 26.2.2018 by unknown persons and set fee on 4.6.20019.</t>
  </si>
  <si>
    <t>5143-P</t>
  </si>
  <si>
    <t>Muhammad Zubair Saleem s/o Muhammad Saleem Azad</t>
  </si>
  <si>
    <t>Mst. Shakeel Akhtar Saleem, r/o C/4-171, Shaheen Street Board Office, Gulgasht Multan. (Mobile No. 0333-6438799)</t>
  </si>
  <si>
    <t>Traced Person. Mst. Shakeela Akhtar complainant and Muhammad Saleem Azad father have appeared before the Commission, whose statements have been recorded on oath. According to him dead body of Muhammd Zubair Saleem was received from Lakki Marwat. They further stated that the dead body was buried in Multan.</t>
  </si>
  <si>
    <t>5144-F</t>
  </si>
  <si>
    <t>Ismail Shah s/o Haji Naik Bakhat Shah</t>
  </si>
  <si>
    <t>Mst. Khadeja Bibi, r/o Defence Road, P.O Ali Zai, District Kurram Agency. (Mobile No. 0306-0097964)</t>
  </si>
  <si>
    <t>Traced Person. Nadeem Shah has appeared on behalf of Ismail Shah, whose statement has been recorded on oath. According to his deposition, Ismail Shah is presently detained in Jarma Jail, Kohat and the wife of Ismail Shah has been meeting with her husband.</t>
  </si>
  <si>
    <t>5145-K</t>
  </si>
  <si>
    <t>Muhammad Umar s/o Muhammad Yayha Khan</t>
  </si>
  <si>
    <t>Muhammad Yayha Khan, r/o Khair Abad, Kund Mohallah Islamabad. District Nowshera. (Mobile No. 0334-5440532)</t>
  </si>
  <si>
    <t>Traced Person. Muhammad Umar has been traced. He is stated to be confined in Internment Center Paithom. In this connection statement of Inspector/IO of the case Akber Ali has been recorded on oath. According to his statement Muhammad Umar is presently confined in Internment Centre Paithom and close family members have already met him in the aforementioned Internment Center.</t>
  </si>
  <si>
    <t>5146-K</t>
  </si>
  <si>
    <t>Gul Faraz Khan s/o Wasli Khan</t>
  </si>
  <si>
    <t>Zarwa Khan, r/o Armarna, Peshawar. (Mobile No. 0309-9389326)</t>
  </si>
  <si>
    <t>Traced Person. It was informed at the hearing on 27-06-2018 that Gul Faraz Khan had been traced he was confined in Internment Center at Kohat. Zarwar Khan b/o Gul Faraz Khan was present on the behalf of traced person Gul Faraz Khan. He submitted that family members of Gul Faraz Khan already met him in Internment Center.</t>
  </si>
  <si>
    <t>5147-I</t>
  </si>
  <si>
    <t>Asghar Khan s/o Bacha Khan</t>
  </si>
  <si>
    <t>Muhammad Ismail Khan, r/o House No. ZB-3231, Street No. 04, Bokra Road, Near PSO Pump, Foji Colony, Pirwadhi, Rawalpindi. (Mobile No. 0344-5055230 &amp; 0321-5001867)</t>
  </si>
  <si>
    <t>21406-9313085-3</t>
  </si>
  <si>
    <t>5148-K</t>
  </si>
  <si>
    <t>Abdul Muhammad s/o Syed Shah Khan</t>
  </si>
  <si>
    <t>Amal Noor, r/o Khewsor Ali Khel, P.O Meher Ali, North Waziristan Agency. (Mobile No. 0337-7246558)</t>
  </si>
  <si>
    <t>5149-I</t>
  </si>
  <si>
    <t>Abdul Razzaq s/o Muhammad Khan</t>
  </si>
  <si>
    <t>Muhammad Khan, r/o Tehsil Safi, District Mohmand Agency. (Mobile No. 0303-3453505)</t>
  </si>
  <si>
    <t>FIR NO. 305 Dated 12/07/2018 u/s 365 PPC , PS Golora, Islamabad</t>
  </si>
  <si>
    <t>Traced Person. Izzat Khan brother of Abdul Razaq is present before the Commission on 30/01/2019, whose statement has been recorded on oath. According to him him his brother Abdul Razaq is detained in Central Jail Bahawalpur. He further stated that he met his brother twice in November, 2018.</t>
  </si>
  <si>
    <t>5150-S</t>
  </si>
  <si>
    <t>Arif Khan s/o Hayat Khan</t>
  </si>
  <si>
    <t>Mst. Bakhtero, r/o Rahimabad, Mohallah Bakhat Mand Khan, Tehsil Babu Zai, District Swat. (Mobile No. 0334-9313358)</t>
  </si>
  <si>
    <t>Deleted. The case has been deleted due to non-prosecution as the complainant neither extended co-operation to the investigation officer nor attend hearings held on 21.10.2019. The complainant was neither found available at the given address nor attended his mobile Phone as reported by SHO, Sohrab Goth, PS Karachi vide Report PS/Sohrab Goth/OR/4482 dated 20.10.2019.</t>
  </si>
  <si>
    <t>5151-F</t>
  </si>
  <si>
    <t>Muhammad Yousaf s/o Lal Muhammad</t>
  </si>
  <si>
    <t>Naseem, r/o Achani Mera, Bara Khyber Agency. (Mobile No. 0345-9029518 &amp; 0316-9062200)</t>
  </si>
  <si>
    <t>Traced Person. Muhammad Yousaf appeared before the Commission on 25.05.2021 and his statement has been recorded on oath he has deposed that he was taken into custody by government functionaries in 2018 and was confined in Landi Kotal Jail. Later, he was set free Landi Kotal Jail and now available at home.</t>
  </si>
  <si>
    <t>5152-F</t>
  </si>
  <si>
    <t>Rehman Ullah s/o Dolat Khan</t>
  </si>
  <si>
    <t>Rehmat Ullah, r/o Shah Kas, Tehsil Jamrood, District Khyber Agency. (Mobile No. 0333-95939920</t>
  </si>
  <si>
    <t>5153-F</t>
  </si>
  <si>
    <t>Muhammad Shahid s/o Hassan Shah</t>
  </si>
  <si>
    <t>Hamid Ullah, r/o Koki Khel, Shah Kas, P.O Jamrood, District Khyber Agency. (Mobile No. 0345-5491270)</t>
  </si>
  <si>
    <t>5154-K</t>
  </si>
  <si>
    <t>Ghous-ud-Din s/o Naseer-ud-Din</t>
  </si>
  <si>
    <t>Rafi-ud-Din, r/o Mohallah Baz Din, Korana, Tehsil &amp; District Mardan. (Mobile No. 0301-5722258 &amp; 0321-8936918)</t>
  </si>
  <si>
    <t>Deleted. In this case, there are concurrent findings/ conclusion by JIT and PTF that the Missing Person has gone on his own. All stakeholders have denied arrest/custody of Ghouse-ud-Din. The complainant also submitted that there is no allegation against any LEAs/Intelligence Agency. No further action is required. The case is closed.</t>
  </si>
  <si>
    <t>5155-K</t>
  </si>
  <si>
    <t>Shah Nawaz Khan s/o Habib Khan</t>
  </si>
  <si>
    <t>Habib Khan, r/o Tehsil Yak Ghund, District Mohmand Agency. (Mobile No. 0306-0157811 &amp; 0304-2901971)</t>
  </si>
  <si>
    <t>Traced Person. It was informed at the hearing on 27-6-2018 that Shah Nawaz Khan has been traced and he was confined in the Internment Center at Paothom. Family members of Shah Nawaz Khan shall be facilitated to see him in the Internment Center Paithom by the Commissioner Malakand Division as per rules/ procedure under Action (in aid of Civil Power) Regulation 2011. Family Members have been allowed to meet him.</t>
  </si>
  <si>
    <t>5156-K</t>
  </si>
  <si>
    <t>Anwar Shah s/o Raqhim Shah</t>
  </si>
  <si>
    <t>Ali Shah, r/o Mohallah Dheri, Koza Bandi, Swat. (Mobile No. 0345-6486318 &amp; 0313-2499500)</t>
  </si>
  <si>
    <t>FIR No. 885/18 dated 20/06/2018 u/s 365 PPC PS Mingora Swat</t>
  </si>
  <si>
    <t>Traced Person. It has been informed at the hearing on 24/10/2018 that Anwar Shah is presently confined in the Internment Center Paithom. Rahim Shah Father of traced person was present apprised of the status of the case. Family members of Anwar Shah shall be facilitated to see him in the Internment Center as per rules and procedures.</t>
  </si>
  <si>
    <t>5157-K</t>
  </si>
  <si>
    <t>Azmat Ullah s/o Afzal Khan</t>
  </si>
  <si>
    <t>Afzal Khan, r/o Mohallah Amir Khan, Nawa Kilay, P.O Mingora, Swat. (Mobile No. 0342-8977465 &amp; 0340-0094424)</t>
  </si>
  <si>
    <t>FIR No. 432, dated 13/06/2018 us/ 365 PPC, PS Banr, Swat</t>
  </si>
  <si>
    <t>Traced Person. It has been intimidated at the hearing on 29/10/2018 that Azmat Ulah has been traced and presently he is confined in District Jail Kohat, where he is undergoing 20 years RI in the wake of trial by military court.</t>
  </si>
  <si>
    <t>5158-I</t>
  </si>
  <si>
    <t>Muhammad Ikram s/o Zardad</t>
  </si>
  <si>
    <t>Qazi Abdul Baseer, r/o House No. 22, Street No. 03, Sardar Farman Ali Avenue, Khanna East, Islamabad. (Mobile No. 0331-52635811)</t>
  </si>
  <si>
    <t>121-88-667648</t>
  </si>
  <si>
    <t>Traced Person. Qazi Abdul Baseer (Complainant) is present, whose statement has been recorded on oath. According to his statement, Muhammad Ikram the Missing Person is his cousin and was serving as Constable in Police Department, Islamabad before disappearance. Muhammad Ikram disappeared on 19.11.1995 and complaint was filed before the Commission under suspicion that Muhammd Ikram embraced Shahdat in Bomb blast case, which occurred at the Egyptian Embassy, Islamabad. In the incident as many as 16 persons got killed, including Muhammad Ikram missing person. At the time of incident, Muhammad Ikram was with Constable Abdul Hannan, however, the dead bodies turned into piece of flesh which could not be identified. No further action is required. The case is closed.</t>
  </si>
  <si>
    <t>5159-K</t>
  </si>
  <si>
    <t>Molvi Abdul Qadir Shah s/o Haji Shakar Ullah Bacha</t>
  </si>
  <si>
    <t>Haji Shakar Ullah, r/o Mohallah Syedan, Tehsil Shabaqadar, District Charsadda. (Mobile No. 0300-5877901 &amp; 0335-9897126)</t>
  </si>
  <si>
    <t>Traced Person. Rep of MI submitted report that name of Molvi Abdul Qadir Shah is approved by KPK Apex Committee for military trial and he will be tried ion Military Court after approval from Federal Government.</t>
  </si>
  <si>
    <t>5160-S</t>
  </si>
  <si>
    <t>Saddam Hussain s/o Ismail</t>
  </si>
  <si>
    <t>Ismail, r/o Ras Al Khaima, United Arab Emirates.</t>
  </si>
  <si>
    <t>Deleted. According to the report of FIA the Missing Person arrived at JIAP, Karachi from UAE on 10.4.2018. However as per report of I.O further investigation is not possible as no family member is in contact. The case is closed due to non-appearance of family member in JIT meeting and hearing in the Commission.</t>
  </si>
  <si>
    <t>5161-S</t>
  </si>
  <si>
    <t>Hanif Muhammad s/o Dad Muhammad</t>
  </si>
  <si>
    <t>Dad Muhammad, r/o Dibba, Al- Fujarirah, United Arab Emirates (UAE).</t>
  </si>
  <si>
    <t>Deleted. The case has been closed due to non-prosecution as the complainant neither extended co-operation to the Investigation Officer nor attend hearings held on 19.11.2018, 24.12.2018, 27.2.2019, 10.4.2019 and 15.1.2020 despite notices in this Commission.</t>
  </si>
  <si>
    <t>5162-S</t>
  </si>
  <si>
    <t>Faaiz Ali s/o Faiz Muhammad</t>
  </si>
  <si>
    <t>Mst. Nasreen, r/o House No. 1195, Kalri Pull, Pati Lane, Chakiwara, Ghulam Muhammad King Road, Liyari, Karachi.</t>
  </si>
  <si>
    <t>5163-S</t>
  </si>
  <si>
    <t>Kaleem Sabghat Ullah Tonio s/o Liaquat Ali Tonio</t>
  </si>
  <si>
    <t>Sami Ullah Tonio, r/o House No. C-125, Shahnawaz Sher Goth, Near Sachal Goth, Scheme No. 33, Malir, Karachi.</t>
  </si>
  <si>
    <t>Deleted. The case has been deleted due to no-persecution. The complainant is not interested to lodge FIR attend JIT as he has filed a petition in the Sindh High Court.</t>
  </si>
  <si>
    <t>5164-K</t>
  </si>
  <si>
    <t>Bacha Saeed s/o Mian Noor Badshah</t>
  </si>
  <si>
    <t>Mst. Dil Naz, r/o Gali Bagh, Tehsil Char Bagh, District Swat. (Mobile No. 0342-9838454 &amp; 0333-9496862 &amp; 0341-8061153)</t>
  </si>
  <si>
    <t>FIR No. 450/18 dated 20/06/2018 u/s 365 PPC PS Char Bhag Swat</t>
  </si>
  <si>
    <t>5165-K</t>
  </si>
  <si>
    <t>Ali Saeed s/o Bakhat Sher</t>
  </si>
  <si>
    <t>Bakhat Sher, r/o Tehsil Babuzai, District Swat. (Mobile No. 0342-2965401)</t>
  </si>
  <si>
    <t>FIR No. 337 dt 14.06.18 u/s 365 PPC PS Manglor District Swat</t>
  </si>
  <si>
    <t>5166-I</t>
  </si>
  <si>
    <t>Ali Bin Shahid s/o Ishaq Shahid Ameen Malik</t>
  </si>
  <si>
    <t>Mst. Iram Yousaf, House No. 29, Street No. 07, Sector -C, DHA II, Islamabad. (Mobile No. 0345-5500959)</t>
  </si>
  <si>
    <t>Traced Person. It was informed at the hearing on 03/07/2018 that Ali Bin Shahid is presently confined in the Internment Center Lakki Marwat. Family Members of Ali Bin Shahid shall be facilitated to see him in the Internment Center as per rules and procedures.</t>
  </si>
  <si>
    <t>5167-P</t>
  </si>
  <si>
    <t>Abdul Majid s/o Arshad Ali</t>
  </si>
  <si>
    <t>Sajid Ali, r/o Mehmood Shaheed Road, Boota Park, Muhmmadi Street No. 07, Shahdara, Lahore. (Mobile No. 0301-4900182)</t>
  </si>
  <si>
    <t>FIR No. 1384/18 dated 23/06/18 u/s 365 PPC PS Shadara, Lahore.</t>
  </si>
  <si>
    <t>Traced Person. It was informed at the hearing held in this case bt the Commission at Lahore that Abdul Majid has been traced. He is present before the Commission. His statement has been recorded.</t>
  </si>
  <si>
    <t>5168-S</t>
  </si>
  <si>
    <t>Kamran Khan s/o Aman Ullah Khan</t>
  </si>
  <si>
    <t>Aman Ullah Khan, (Mobile No. 0344-2950643)</t>
  </si>
  <si>
    <t>Deleted. At the hearing held in this case on 30.12.2021 report was submitted by PS Boat Basin alongwith application affidavit from Amanullah Khan (Brother) for withdrawal of case as the family was not to lodged FIR. No further action is required. The case is closed.</t>
  </si>
  <si>
    <t>5169-S</t>
  </si>
  <si>
    <t>Afan-bin- Najam s/o Syed Najam-ud-Din Nusrati</t>
  </si>
  <si>
    <t>Mst. Naja,-ud-Din, r/o Metrovil-III, Block Number 02, Abu Hassan Asphani Road, Karachi.</t>
  </si>
  <si>
    <t>Traced Person. It was informed at the hearing held in this Commission on 07/08/2018 that Afan Bin Najam is involved in Criminal Case vide FIR No. 30/2018. He was arrested and later released on bail by competent Court of Jurisdiction.</t>
  </si>
  <si>
    <t>NAB Additional Director, Muhammad Amir Butt</t>
  </si>
  <si>
    <t>5170-K</t>
  </si>
  <si>
    <t>Ameer Hatam s/o Bakhat Buland</t>
  </si>
  <si>
    <t>Mst. Rahmina, r/o Tehsil Matta, District Swat. (Mobile No. 0340-9239464)</t>
  </si>
  <si>
    <t>5171-P</t>
  </si>
  <si>
    <t>Zahid Ullah s/o Dilawar Khan</t>
  </si>
  <si>
    <t>Muhammad Ishaq, r/o Faqeer Kor, P.O Yak Ghund, Tehsil Pandyely, District Mohmand Agency. (Mobile No. 0301-8040543)</t>
  </si>
  <si>
    <t>5172-P</t>
  </si>
  <si>
    <t>Shahbaz Khaliq s/o Abdul Khaliq</t>
  </si>
  <si>
    <t>Mst. Fozia Tasleem, r/o Chak No. 183 , Pakhawal, Tehsil &amp; District Toba Tek Singh. (Mobile No. 0307-651038)</t>
  </si>
  <si>
    <t>FIR No. 256 dated 16/07/18 u/s 365 PPC PS Rujhana, District Toba Tek Singh</t>
  </si>
  <si>
    <t>Traced Person. Shahbaz Khaliq has been traced, he appeared before the Commission on 28.10.2020. His statement has been recorded on oath, in which he stated that he was abducted on 25.4.2017 by unknown persons and was kept at an in disclosed location. He was set free in April 2020. During detention he was asked different questions however he was not given any intensive trouble. No further action is required. The case is closed.</t>
  </si>
  <si>
    <t>5173-K</t>
  </si>
  <si>
    <t>Hashmand s/o Bashmand</t>
  </si>
  <si>
    <t>Mst. Alima, r/o Alabad, Tehsil Char Bagh, District Swat. (Mobile No. 0346-9436350)</t>
  </si>
  <si>
    <t>Traced Person. It has been informed at the hearing on 31/10/2018 that Hashmand is confined in Internment Center Paithom. Wife of Hashmand has also affirmed that Hashmand is confined in Internment Center Paithom and family members have already see him.</t>
  </si>
  <si>
    <t>5174-K</t>
  </si>
  <si>
    <t>Muhammad Tahir s/o Muhmmad Tallah</t>
  </si>
  <si>
    <t>Tallah Mand, r/o Alaabad, Tehsil Char Bagh, District Swat. (Mobile No. 0346-9436350)</t>
  </si>
  <si>
    <t>DD No. 31 dated 14/09/2018 pS Zahida District Swabi.</t>
  </si>
  <si>
    <t>Traced Person. Khalil Rehman b/o Missing Person was present at the hearing on 31/10/2018. He affirmed that his brother was confined in Internment Center Paithom and family members have already met him.</t>
  </si>
  <si>
    <t>5175-B</t>
  </si>
  <si>
    <t>Mehar Gul Marri s/o Mir Haji</t>
  </si>
  <si>
    <t>Fateh Khan Marri, r/o Siryadb Road, Quetta Near Mill School, Madina CNG. (Mobile No. 0313-8411770 &amp; 0335-8411770)</t>
  </si>
  <si>
    <t>5176-K</t>
  </si>
  <si>
    <t>Taj Muhammad Khan s/o Ajab Khan</t>
  </si>
  <si>
    <t>Tahir Khan, r/o Mohallah Muhammad Abad, Sher Garh, Tehsil Takhat Bhai. (Mobile No. 0306-8182505)</t>
  </si>
  <si>
    <t>5177-F</t>
  </si>
  <si>
    <t>Qasim Khan s/o Isreal</t>
  </si>
  <si>
    <t>Ahmed Ali, r/o P.O Yak Ghund, Tehsil Pandeli, District Mohmand Agency. (Mobile No. 0305-5092594)</t>
  </si>
  <si>
    <t>Traced Person. Rep of ACs FATA has submitted that Qasim has been handed over by LEA on 28/05/2018 to DC, Mohmand and his case is under trail presently he is confined in Political Lockup Ghalnai.</t>
  </si>
  <si>
    <t>31st May, 2018</t>
  </si>
  <si>
    <t>5178-K</t>
  </si>
  <si>
    <t>Saeed-ur-Rehman s/o Shamas-ur-Rehman</t>
  </si>
  <si>
    <t>Ameer Rehman, r/o Tehsil Char Bagh District Swat. (Mobile No. 0343-9766617)</t>
  </si>
  <si>
    <t>FIR No. 912 dated 12/07/18 u/s 365 /34 PPC, PS Khursheed Khan Shaheed, District Swat</t>
  </si>
  <si>
    <t>01st June, 2018</t>
  </si>
  <si>
    <t>5179-K</t>
  </si>
  <si>
    <t>Adnan Shuja s/o Shuja-ul-Malik</t>
  </si>
  <si>
    <t>Shuja-ul-Malik, r/o Mohallah Muhammad Gul Shaheem, Near Taj Chowk, Mingora, Swat. (Mobile No. 0343-9446350)</t>
  </si>
  <si>
    <t>FIR No. 625 dated 21/7/2018 u/s 365 PPC PS City District Manshera</t>
  </si>
  <si>
    <t>Deleted. The case has thoroughly been examined by this Commission. During the course of investigation statements of fourteen witness were recorded u/s 161 CrPC but none of them eye witness of occurrence. 10 JIT meetings were convened and the case was categorized as Missing Person has gone on his own. A consistent stance has been adopted by Reps of ISI and MI that Adnan Shuja is not in their custody. There is nothing adverse against Adnan Shuja in the IB report. The complainant has deposed that there is no allegation against any LEAs/Intelligence Agency. In view of above, the case does not fall under the domain of enforced disappearance, hence deleted.</t>
  </si>
  <si>
    <t>5180-P</t>
  </si>
  <si>
    <t>Dr. Amjad Hussain s/o Muhammad Attique</t>
  </si>
  <si>
    <t>Asioo Bano, r/o Ada Dars Hakeem Sher Muhammad Ghulam, Shahzad Town Tehsil Sadiqabad, District Rahim Yar Khan. (Mobile No. 0304-2473435)</t>
  </si>
  <si>
    <t>FIR No. 352/18 dated 10/07/18 u/s 365 /34 PPC, PSCity Sadiqabad, District Rahim Yar Khan</t>
  </si>
  <si>
    <t>5181-P</t>
  </si>
  <si>
    <t>Sami Ullah Khan s/o Mehboob Ullah Khan</t>
  </si>
  <si>
    <t>Mehboob Ullah Khan, r/o Mehboob Ullah Khan, r/o P.O Sarogha Kot, District South Waziristan Agency. (Mobile No. 0345-1610407)</t>
  </si>
  <si>
    <t>5182-P</t>
  </si>
  <si>
    <t>Muhammad Siddique s/o Hafiz Mehar Din</t>
  </si>
  <si>
    <t>Ameer Hamza, r/o House No. 05, Main Ali Town, Adiyala Town Rawalpindi. (Mobile No. 0300-3642454)</t>
  </si>
  <si>
    <t>31303-5310751-7</t>
  </si>
  <si>
    <t>Traced Person. SI PS Saddar Bairuni appeared on the behalf of CPO, Rawalpindi and stated that Muhammad Siddique had been traced and was available at his native place i.e. Rahim Yar Khan.</t>
  </si>
  <si>
    <t>5183-K</t>
  </si>
  <si>
    <t>Muhammad Hayat Khan s/o Umar Sahib</t>
  </si>
  <si>
    <t>Rehmat Ali, r/o Tehsil &amp; District Swat. (Mobile No. 0314-9492631)</t>
  </si>
  <si>
    <t>Traced Person. It has been intimiated at the hearing on 26/10/2018 that Muhammad Hayat Khan has been traced. He is presently confined in the Internment Center Fizaghat. Rehmat Ali son of traced person is present. He has affirmed that his father is confined in the Internment Center Fizaghat and he also met with him in the aforesaid Internment Center.</t>
  </si>
  <si>
    <t>5184-K</t>
  </si>
  <si>
    <t>Rizwan Ullah s/o Ziarat Gul</t>
  </si>
  <si>
    <t>Ziarat Gul, r/o Siraj Abad , Kotta, Swabi. (mobile No. 0306-5185433)</t>
  </si>
  <si>
    <t>FIR No. 395 dated 1.9.2018 u/s 365 PPC PS Shaikh Maltoon, Mardan</t>
  </si>
  <si>
    <t>5185-K</t>
  </si>
  <si>
    <t>Bakhat Rawan s/o Ziarat Gul</t>
  </si>
  <si>
    <t>21401-6781289-9</t>
  </si>
  <si>
    <t>5186-K</t>
  </si>
  <si>
    <t>Allu-ud-Din s/o Zaheer-ud-Din</t>
  </si>
  <si>
    <t>Zia-ud-Din, r/o Arslan Tea Store, Akram Market, Near Bus Stop, G.T. Road, District Lower Dir. (Mobile No. 0301-8053998)</t>
  </si>
  <si>
    <t>FIR No. 466 dated 10/07/.2018 u/s 365 PPC PS M.R.S District Kohat</t>
  </si>
  <si>
    <t>Traced Person. Alla-ud-Din has been traced. IO of the case is present at the hearing on 5.3.2019. He has submitted report dated 05.3.2019 duly attested by DSP/HQ Kohat. According to this report Alla-ud-Din has been traced and he has returned to home on 23.1.2019.</t>
  </si>
  <si>
    <t>5187-P</t>
  </si>
  <si>
    <t>Sohail Khan s/o Abu Bakar</t>
  </si>
  <si>
    <t>Haris Ahmed, r/o Mir Zai, Shabaqadar, Charsadda. (Mobile No. 0302-5566846)</t>
  </si>
  <si>
    <t>Traced Person. Sohail Khan s/o Abu Bakar appeared before the Commission on 19.6.2019 whose statement has been recorded on oath. According to him he had gone to Riyadh (KSA) on 20.4.2016. He further deposed that he was arrested by Saudi authorities and remained in their custody.</t>
  </si>
  <si>
    <t>5188-K</t>
  </si>
  <si>
    <t>Hazrat Muhammad s/o Saied Malook</t>
  </si>
  <si>
    <t>Wazir Muhammad, r/o Kokonel, Tehsil bahreen, District Swat.(Mobile No. 0314-7775880)</t>
  </si>
  <si>
    <t>Traced Person. Hazrat Muhammad has been traced and he is presently confined in Internment Center Paithom. Wazir Muhammad brother of Hazrat Muhammad has entered appearance on 23/10/2018 and affirmed that Hazrat Muhammad is confined in Internment Center Paithom and family members have already met him in 12/08/2018</t>
  </si>
  <si>
    <t>5189-P</t>
  </si>
  <si>
    <t>Asjad Waheed Khan s/o Afzal Waheed Khan</t>
  </si>
  <si>
    <t>Afzal Waheed Khan, r/o Plot No. 02, House No. 10, Mohallah Danish Gah Colony, Tehsil New Sukkur, District Sukkur. (Mobile No. 0333-2159144)</t>
  </si>
  <si>
    <t>Traced Person. Asjad Waheed Khan is presently confined in Internment Centre Lakki Marwat as transpired from the report submitted by MI. The family of Asjad Waheed Khan shall be facilitated to see him in the Internment centre as per prescribed procedure.</t>
  </si>
  <si>
    <t>5190-P</t>
  </si>
  <si>
    <t>Hassan Imran s/o Haq Nawaz</t>
  </si>
  <si>
    <t>Haq Nawaz, r/o House No. 87, Near Water Supply, Block No. 06, Johar Abad, Tehsil &amp; District Khushab. (Mobile No. 0321-4773547)</t>
  </si>
  <si>
    <t>FIR No.126/18 dated 22/06/2018 PS Saddar Joharabad District Khushab</t>
  </si>
  <si>
    <t>Traced Person. Haq Nawaz complainant/father of Hassn Imran has appeared whose statement has been recorded on oath. He has deposed that his son was abducted by LEAs/ Intelligence Agencies on 18.5.20107 as a result of raid conducted as his house. His son remained disappeared more than two years, but he has been released and returned home on 25.10.2019.</t>
  </si>
  <si>
    <t>5191-S</t>
  </si>
  <si>
    <t>Azhar Iqbal Ahmed s/o Iqbal Ahmed</t>
  </si>
  <si>
    <t>Mst. Nashaf Batool, r/o House No. B-482, Mohallah Jinnah Chowk, Ram Chandar Roadd, Sukkur. (Mobile No. 0330-2516224)</t>
  </si>
  <si>
    <t>5192-A</t>
  </si>
  <si>
    <t>Taimoor Arshad Qazi s/o Arshad Mehmood Qazi</t>
  </si>
  <si>
    <t>Arshad Mehmood Qazi, r/o Islam Pura Siakh Post Office Siakh,, Tehsil Dadyal, District Mirpur AJ&amp;K. (Mobile No. 0333-5848719)</t>
  </si>
  <si>
    <t>5193-K</t>
  </si>
  <si>
    <t>Muammad Afzal Khan s/o Khanay</t>
  </si>
  <si>
    <t>Mst. Amliat, r/o Dangram, Tehsil &amp; District Swat. (Mobile No. 0346-3029269)</t>
  </si>
  <si>
    <t>5194-P</t>
  </si>
  <si>
    <t>Islam Ullah s/o Ali Rehman</t>
  </si>
  <si>
    <t>Ali Rehman, r/o Khuda Bakhsh Road, Noornian Chowk, Near Riaz Chaney Wala, Lahore. (Mobile No. 0301-5393330)</t>
  </si>
  <si>
    <t>Traced Person. Investigation was conduced by SP (Inv) Model Town, Lahore which culminated into the recovery of Islam Ullah, who appeared before the Commission on 16.4.2019.</t>
  </si>
  <si>
    <t>5195-K</t>
  </si>
  <si>
    <t>Mati-ur-Rehman s/o Attique-ur-Rehman</t>
  </si>
  <si>
    <t>Attique-ur-Rehman, r/o Tehsil Matta, District Swat. (Mobile No. 0303-8689577 &amp; 0344-9686151)</t>
  </si>
  <si>
    <t>15602-6152581-5</t>
  </si>
  <si>
    <t>FIR No. 919 dated 15.8.2012 u/s 365 PPC PS Sher Garh, Mardan</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</si>
  <si>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Mati-ur-Rehman. Hence, not a case of enforced disappearance. The case is closed.</t>
  </si>
  <si>
    <t>5196-B</t>
  </si>
  <si>
    <t>Sarang Baloch, Government High School Banigore, District Kech, Balochistan. (Mobile No. 0313-2801533)</t>
  </si>
  <si>
    <t>Deleted. SSP Kech appeared before the Commission on 04/04/2019 and submitted JIT report according to which the case has been categorized as off kidnaping of ransom. Therefore the case does not fall within the domain of enforced disappearance.</t>
  </si>
  <si>
    <t>5197-P</t>
  </si>
  <si>
    <t>Hafiz Zahid Mehmood s/o Munir Ahmed</t>
  </si>
  <si>
    <t>Ijaz Ahmed, r/o Ghazi Wal Colony, Tehsil &amp; District Narowal. (Mobile No. 0300-4420514 &amp; 0320-5517114)</t>
  </si>
  <si>
    <t>Traced Person. Muhammad Akram a relative of Missing Person appeared before the Commission and submitted that Hafiz Zahid Mehmood has returned to home.</t>
  </si>
  <si>
    <t>5198-F</t>
  </si>
  <si>
    <t>5199-P</t>
  </si>
  <si>
    <t>Syed Ahmad s/o Manzoor Ahmad</t>
  </si>
  <si>
    <t>Abdul Rasheed, r/o Basti Badani Moza Chah Kethal, P.O Gamani Sharif Police Station Channi Goth, Tehsil Ahmad Pur Sharqia, District Bahawalpur. (Mobile No. 0300-3626759 &amp; 0300-8684832)</t>
  </si>
  <si>
    <t>Traced Person. Mir Rohal Khoso, ASP Saddar, Bahawalpur is present and submitted that last meeting of JIT was held on 30/4/2019. He has further submitted that Saeed Ahmed has since returned home. Statements of complainant Abdul Rasheed and IO/SO Fayyaz Hussain Shah have been recorded on oath.</t>
  </si>
  <si>
    <t>5200-S</t>
  </si>
  <si>
    <t>Abdu Bakar s/o Abdullah</t>
  </si>
  <si>
    <t>Mst. Kulsoom Bibi, r/o P.O Inayat Kilay, Tehsil Mohmand, District Bajur Agency. (Mobile No. 0301-3378236)</t>
  </si>
  <si>
    <t>Traced Person. It was informed at the hearing held in this Commission on 25/09/2018 that Abu Bakar has returned to home. The report submitted by the Police Officer SHO, Gulberg is placed on record.</t>
  </si>
  <si>
    <t>5201-S</t>
  </si>
  <si>
    <t>Muslim Khan s/o Saeed Khan</t>
  </si>
  <si>
    <t>r/o Mohmand , Bajur Agency. (Mobile No. 0333-3339081)</t>
  </si>
  <si>
    <t>Traced Person. It was informed at the hearing held in this Commission on 16/07/2018 that Muslim Khan is confined in Internment Center at Khar. Family members have been allowed to meet him subject to prescribed procedure and all legal exceptions. Under Action (in aid of Civil Power) Regulation 2011. Family Members have been allowed to meet him.</t>
  </si>
  <si>
    <t>5202-S</t>
  </si>
  <si>
    <t>Islam Khan s/o Saeed Khan</t>
  </si>
  <si>
    <t>Traced Person. It was informed at the hearing held in this Commission on 16/07/2018 that Islam Khan is confined in Internment Center at Khar. Family members have been allowed to meet him subject to prescribed procedure and all legal exceptions. Under Action (in aid of Civil Power) Regulation 2011. Family Members have been allowed to meet him.</t>
  </si>
  <si>
    <t>5203-S</t>
  </si>
  <si>
    <t>Mukhtar Ahmed Shamsi s/o Mahmood Shamsi</t>
  </si>
  <si>
    <t>Masood Ahmed, r/o Block A-3 Flat 002 Civic View Apartment, Block 13-D, Gulshan E Iqbal Karachi, Sindh. (Mobile No. 0301-2466573)</t>
  </si>
  <si>
    <t>Traced Person. It was informed at the hearing in this Commission on 04/10/2018 that Mukhtayar Ahmed Shamsi involved in Criminal Case vide FIR No. 38/2018 dated 07/09/2018 u/s 365-A/34 rw7-ATA. He was arrested on 29/08/2018 and presently confined in Central Jail, Karachi. He was arrested and later released on bail by competent Court of Jurisdiction.</t>
  </si>
  <si>
    <t>5204-P</t>
  </si>
  <si>
    <t>Amjad Hussain s/o Muhammad Ateeq</t>
  </si>
  <si>
    <t>Majid Hussain, r/o Tibbi Waghawar, Tehsil Sadiqabad, District Rahim Yar Khan. (Mobile No. 0301-7619808)</t>
  </si>
  <si>
    <t>Traced Person. Umar Farooq Salamat, DPO, Rahim Yar Khan is present and submitted that missing person Amjad Hussain has returned to home on 22/7/2019.</t>
  </si>
  <si>
    <t>5205-B</t>
  </si>
  <si>
    <t>Muhammad Bahadur s/o Abdul Mueez</t>
  </si>
  <si>
    <t>Mst Khalida, r/o Gohar abad Mastung Road, Quetta. (Mobile No. 0331-1287040)</t>
  </si>
  <si>
    <t>Traced Person.Statement of Muhammad Jawad Tariq, SSP (Inv), Quetta recorded on oath, who produced statement of abductee Muhammad Bahadir recorded u/s 164CrPC in which he stated that a few persons boarded him in a vehicle came at the place of occurrence and he was blindfolded and taken away. The grievance of the complainant has been redressed on the intervention of the Commission as the said missing person had been traced.</t>
  </si>
  <si>
    <t>5206-F</t>
  </si>
  <si>
    <t>Lal Rekhman s/o Tall Khan</t>
  </si>
  <si>
    <t>Tall Khan, r/o Sharif khana, darkhana Loi Sam Tehsil Nawagai, District Bajour Agency. (Mobile No. 0301-2280611 &amp; 0300-5852153)</t>
  </si>
  <si>
    <t>21105-7887014-1</t>
  </si>
  <si>
    <t>5207-K</t>
  </si>
  <si>
    <t>Imran Gull s/o Amzar Gull</t>
  </si>
  <si>
    <t>Amzar Gull, r/o Khat Kiley Jesay Ziarat Kiley, Darkhana Tangi, Tehsil Tangi, District Charsadda. (Mobile No. 0308-8509986)</t>
  </si>
  <si>
    <t>FIR NO. 47 Dated 02/08/2018 u/s 365 PPC , PS Tangi, Peshawar</t>
  </si>
  <si>
    <t>Traced Person. SP (Inv), Charsadda submits that JIT meeting was held on 11/2/2019. Imran Gul is stated to has been traced. IO/Inspector Sardar Hussain is present and submitted that Imran Gul has returned to home. He has recorded statement of Imran Gul u/s 161 CrPC by the Judicial Mahistrate-1, Tangi.</t>
  </si>
  <si>
    <t>5208-I</t>
  </si>
  <si>
    <t>Raja Rabnawaz s/o Kala Khan</t>
  </si>
  <si>
    <t>Iftikhar Ahmed Raja, r/o Bilal Town Kana Dark Gali No. 2, Tehsil &amp; District Islamabad. (Mobile No. 0347-5556471)</t>
  </si>
  <si>
    <t>Traced Person. At the hearing held in this case on 16/08/2018, Iftikhar Ahmed brother of Raja Rab Nawaz confirmed that the latter has returned to home on 18/07/2018.</t>
  </si>
  <si>
    <t>5209-P</t>
  </si>
  <si>
    <t>Muhammad Ashraf s/o Muhammad Sadiq</t>
  </si>
  <si>
    <t>Muhammad Aslam, r/o Gali Ajez Paint Wali, Mohallah Main Bazar Kagan Pur, Tehsil Chunian, District Kasur. (Mobile No. 0300-4914635)</t>
  </si>
  <si>
    <t>FIR No. 228/18 dated 26/06/2018 u/s 365 PPC PS Kaganpur, District Kasur</t>
  </si>
  <si>
    <t>Traced Person. Muhammad Ashraf has been traced. He appeared before the Commission on 06/10/2018. He submitted that he was not abducted by anybody and left home on his own without intimating family members. He was submitted that he has returned home after six months.</t>
  </si>
  <si>
    <t>5210-K</t>
  </si>
  <si>
    <t>Abdullah s/o Umer Baacha</t>
  </si>
  <si>
    <t>Deleted. Fazal-e-Moula brother of Missing Person submitted an application dated 29-06-2018 that he does not want to pursue his case and therefore, deleted as withdrawn by the complainant.</t>
  </si>
  <si>
    <t>5211-K</t>
  </si>
  <si>
    <t>Sohbat Ullah s/o Umer Baacha</t>
  </si>
  <si>
    <t>5212-K</t>
  </si>
  <si>
    <t>Feroz Khan s/o Sher Khan</t>
  </si>
  <si>
    <t>Zareena Bibi, r/o Qoom Boland Khel Teia Adizai Bolan Khel, Dakhana Tehsil Upper District Orakzai Agency. (Mobile No. 0334-5708488)</t>
  </si>
  <si>
    <t>Deleted. According to ISI, MI FC (KP) and CTD Feroz Khan is not in their custody. IB reports is not adverse in nature. Concurrent findings have been given by JIT as well as by PTF that the Missing Person has gone on his own. Sher Badshah b/o Feroz Khan appeared before the Commission whose statement was recorded on oath in which he deposed that no allegation was levelled against any LEA/Intelligence Agency. Similarly, during course of investigation no such evidence came on record to infer that it is case of enforced disappearance. Hence the case is closed.</t>
  </si>
  <si>
    <t>5213-K</t>
  </si>
  <si>
    <t>Muhammad Junaid s/o Bakhtiar Ahmed</t>
  </si>
  <si>
    <t>Muhammad Usman, r/o Village &amp; Post Office Doshera, Mohallah Malkanan, Tehsil &amp; District Charsadda. (Mobile No. 0301-8877377)</t>
  </si>
  <si>
    <t>FIR No. 508 dated 16/07/18 u/s 365 PPC PS Risal Pur District Nowshera</t>
  </si>
  <si>
    <t>Traced Person. Muhammad Junaid has been traced. According to the report received from Rep of MI he is presently confined in Internment Center Paithom. Brother of the missing Person who was present at the hearing on 05/12/2018 has been apprised of status of the case.</t>
  </si>
  <si>
    <t>30th June, 2018</t>
  </si>
  <si>
    <t>5214-P</t>
  </si>
  <si>
    <t>Falak Naz Khan s/o Ghulam Muhammad Khan</t>
  </si>
  <si>
    <t>Farooq Khan, r/o House No. 09, Mohallah Gosha Ehbab, Multan Choungi, Multan Road, Lahore. (Mobile No. 0305-4505971)</t>
  </si>
  <si>
    <t>01st July, 2018</t>
  </si>
  <si>
    <t>5215-S</t>
  </si>
  <si>
    <t>Ghulam Mustafa s/o Ghulam Siddique</t>
  </si>
  <si>
    <t>Ghulam Murtaza, r/o Moza Kanpur , Sumandari Wala, Tehsil Kot chatta, District Dera Ghazi Khan. (Mobile No. 0343-6277717)</t>
  </si>
  <si>
    <t>5216-F</t>
  </si>
  <si>
    <t>Muhammad Rahim s/o Madar Khan</t>
  </si>
  <si>
    <t>Saeed Gul, r/o Miran Shah, North Waziristan Agency. (Mobile No. 0332-9810324)</t>
  </si>
  <si>
    <t>21506-5175687-1</t>
  </si>
  <si>
    <t>FIR No. 94, dated 9/11/20 , u/s PPS, P.S Miranshah, District NWA, FAFA</t>
  </si>
  <si>
    <t>5217-P</t>
  </si>
  <si>
    <t>Usaid Ahsan s/o Nusrat Ehsan</t>
  </si>
  <si>
    <t>Nusrat Ehsan, r/o House No. E-245, Sctor No. 4-A, Khayban-e-Sirsyed, Rawalpindi. (Mobile No. 0300-8555943 &amp; 0333-5472124)</t>
  </si>
  <si>
    <t>Traced Person. It was informed at the hearing on 13/09/2018 that Usaid Ehsan has been traced. He was present before the Commission. He submitted that nobody abducted him and he went to Karachi on his own. He has returned home on 30/07/2018.</t>
  </si>
  <si>
    <t>5218-P</t>
  </si>
  <si>
    <t>Atif Abbass s/o Habib Ali</t>
  </si>
  <si>
    <t>Qamar Abbass, r/o Flat No. F-515, Block No. F, Satellite Town, Rawalpindi. (Mobile No. 0333-2866968)</t>
  </si>
  <si>
    <t>FIR No. 576 dt 17.07.2018 u/s 365 PPC PS New Town, Rawalpindi</t>
  </si>
  <si>
    <t>Traced Person. SHO, PS, New Town Rawalpindi entered appearance on 13/11/2018. He mentioned that Atif Abbass arrested in case FIR No. 23 dated 25/09/2018 u/s 4/5 ESA, 13 A (2)/20/65 AO, 7ATA, PS/CTD, Faisalabad confined in District Jail Faisalabad.</t>
  </si>
  <si>
    <t>5219-K</t>
  </si>
  <si>
    <t>Asif Khan s/o Gulshad</t>
  </si>
  <si>
    <t>Gulshad, r/o Koza Bandi, Tehsil Kabal, District Swat. (Mobile No. 0312-5746830)</t>
  </si>
  <si>
    <t>15602-7078943-3</t>
  </si>
  <si>
    <t>5220-S</t>
  </si>
  <si>
    <t>Atif Ali s/o Tanveer Ahmed</t>
  </si>
  <si>
    <t>Tanveer Ahmed, r/o House No. H-24, Mohallah CAA, Airport, Karachi. (Mobile No. 0345-2922218 &amp; 0307-2440297)</t>
  </si>
  <si>
    <t>Traced Person. It was informed at the hearing held in this Commission on 02/10/2018 that Atif Ali has returned to home. Family member (Father) of the traced person appeared before the Commission and confirmed the reported position. The report submitted by the Police Officer Airport is placed on record.</t>
  </si>
  <si>
    <t>5221-K</t>
  </si>
  <si>
    <t>Imran Khan s/o Sadeen Shah</t>
  </si>
  <si>
    <t>Ali Man Shah, r/o Bar Qambar Khel, Yaka Tara, Khajori, P.O Bara, District Khyber Agency. (Mobile No. 0304-9291440)</t>
  </si>
  <si>
    <t>21201-1459754-1</t>
  </si>
  <si>
    <t>5222-S</t>
  </si>
  <si>
    <t>Najeeb-ur-Rehman s/o Habib-ur-Rehman</t>
  </si>
  <si>
    <t>Mst. Mehar Zena, r/o P.O Ghari, Tehsil Barikot District Swat. (Mobile No. 0310-9748722)</t>
  </si>
  <si>
    <t>5223-K</t>
  </si>
  <si>
    <t>Muhammad Zameen s/o Muhammad Nawab</t>
  </si>
  <si>
    <t>Habib Ullah, r/o Ghund Tangoli, District Swat. (Mobile No. 0343-9808636)</t>
  </si>
  <si>
    <t>Traced Person. It was informed at the hearing held in this Commission on 16/08/2018 that Muhammad Zameen has been traced. He has returned to home. SP (Inv), Swat submitted JIT report dated 13/08/2018. In para 14 of the report it is mentioned that Muhammad Zameen entered appeared before JIT.</t>
  </si>
  <si>
    <t>5224-K</t>
  </si>
  <si>
    <t>Muslim Khan s/o Muhammad Zameen</t>
  </si>
  <si>
    <t>FIR No. 296 dated29/11/2018 u/s 3656 PPC, PS Apbara, District Islamabad</t>
  </si>
  <si>
    <t>Traced Person. It was informed at the hearing held in this Commission on 16/08/2018 that Muslim Khan is presently confined in the Internment Center Paithom. Under Action (in aid of Civil Power) Regulation 2011. Family Members have been allowed to meet him.</t>
  </si>
  <si>
    <t>5225-K</t>
  </si>
  <si>
    <t>Akhtar Zaman s/o Muhammad Zameen</t>
  </si>
  <si>
    <t>Traced Person. It was informed at the hearing held in this Commission on 16/08/2018 . Accordingly to the report received from Rep of MI, that Akhtar Zaman is presently confined in the Internment Center Paithom. Under Action (in aid of Civil Power) Regulation 2011. Family Members have been allowed to meet him.</t>
  </si>
  <si>
    <t>5226-P</t>
  </si>
  <si>
    <t>Zain-ul-Abideen s/o Ghulam Hussain</t>
  </si>
  <si>
    <t>Sajad Hussain, r/o Basti rahim Abad, P.O Tabi Qasirani, Tehsil Tonsa Sharif, District Dera Ghazi Khan. (Mobile No. 0333-8964838 &amp; 0346-7702832)</t>
  </si>
  <si>
    <t>Traced Person. Zain-ul-Abideen entered appearance before the Commission, however for certain obvious reasons he could not explain factual aspects of the episode.</t>
  </si>
  <si>
    <t>5227-P</t>
  </si>
  <si>
    <t>Muhammad Sajid Ali s/o Haq Nawaz</t>
  </si>
  <si>
    <t>Haq Nawaz, r/o Basti Natkani, Tehsil Tunsa Sharif, District Dera Ghazi Khan. (Mobile No. 0348-1697129)</t>
  </si>
  <si>
    <t>Traced Person. Muhammad Sajid Ali entered appearance before the Commission, however he could not furnish necessary details for certain obvious reasons.</t>
  </si>
  <si>
    <t>5228-B</t>
  </si>
  <si>
    <t>Bibarg s/o Muhammad Akram</t>
  </si>
  <si>
    <t>Mst. Sakina Bibi, r/o Syed Muhammad Shah Town, Ali Street, Qambarani Road, Quetta. (Mobile No. 0336-2093578)</t>
  </si>
  <si>
    <t>Traced Person. Bebarg traced person appeared before the Commission on 10/12/2018 in person whose statement recorded in oath in which he confirmed that he returned home on 14/06/2018.</t>
  </si>
  <si>
    <t>Home &amp; Tribal Affairs Department, Balochistan</t>
  </si>
  <si>
    <t>5229-B</t>
  </si>
  <si>
    <t>Shahid Meer s/o Muhammad Anwar</t>
  </si>
  <si>
    <t>Mst. Sakina Bibi, r/o Siryab Road, Quetta. (Mobile No. 0300-3885984)</t>
  </si>
  <si>
    <t>Traced Person. Shah Mir traced person appeared before the Commission on 10/12/2018 in person whose statement recorded on oath in which he confirmed that he returned home on 14/06/2018.</t>
  </si>
  <si>
    <t>5230-B</t>
  </si>
  <si>
    <t>Sami Ullah s/o Ghulam Muhammad</t>
  </si>
  <si>
    <t>Mst. Farida Bibi, r/o Sultan Mehmood Street, Kansi Road, Quetta. (Mobile No. 0331-8365596)</t>
  </si>
  <si>
    <t>Traced Person. Sami Ullah appeared before the Commission. His statement was recorded on oath. He has stated that neither he was abducted nor kept at any place but he had gone on his own to Iran for work and came back on 14/06/2018.</t>
  </si>
  <si>
    <t>5231-B</t>
  </si>
  <si>
    <t>Qari Naqeeb Ullah s/o Haji Abdul Jabbar</t>
  </si>
  <si>
    <t>Traced Person. The complainant Amin Ullah appeared before the Commission on 02/04/2019 and confirmed that Qari Naqeeb Ullah has returned to home on 14/03/2019. He was picked up on 14/03/2017 by unknown persons.</t>
  </si>
  <si>
    <t>5232-B</t>
  </si>
  <si>
    <t>Wali Khan s/o Muhammad Noor</t>
  </si>
  <si>
    <t>Aziz Ullah, r/o Kuli Khuda Bakshs, P.O Taftan. District Chaghi. (Mobile No. 0336-1200638)</t>
  </si>
  <si>
    <t>Traced Person. Tehsil Dar Nokundi appeared before the commission on 03/04/2019 and informed that Wali Khan has returned to home. The set Wali Khan appeared before the Deputy Commissioner Chaghi and recorded his statement according to which he crossed Afghan Border by mistake.</t>
  </si>
  <si>
    <t>5233-K</t>
  </si>
  <si>
    <t>Muhammad Tariq s/o Karim Dad Khan</t>
  </si>
  <si>
    <t>Mst. Mehar Taj, r/o Mohallah Khato Khel, Spain Masjid, Nowshera. (Mobile No/ 0310-1984232)</t>
  </si>
  <si>
    <t>FIR No. 64 dated 13/01/2016 u/s 365 PPC PS Nowshera Kalan District Nowshera</t>
  </si>
  <si>
    <t>Deleted. In the instant case seven JIT meetings have been held and in all the JIT reports the case has been categorized as Missing Person has gone on his own. PTF also agreed with the JIT that it is a case of Missing Person has gone on his own. Reps of MI, ISI, FC, KP, North and CTD Mardan region have already submitted reports that Muhammad Tariq was not in their custody. FIR of the said case was also lodged on 13.1.2016 and there is also no LEAs/ Intelligence Agency was nominated regarding disappearance of Muhammad Tariq. Hence, not a case of enforce disappearance. The case is closed.</t>
  </si>
  <si>
    <t>5234-S</t>
  </si>
  <si>
    <t>Abdul Basit s/o Abdul Mateen</t>
  </si>
  <si>
    <t>Abdul Mateen, r/o House No. 6/682, Near Quba Masjid, Liaquatabad, Karachi. (Mobile No. 0300-2466598 &amp; 0345-2636030)</t>
  </si>
  <si>
    <t>Deleted. The case has been deleted due to non-prosecution as the complainant neither extended co-operation to the investigation officer nor attended hearing held on 21/03/2019. The is even not interested to lodge as per progress report received from PS Liaqatabad, Karachi.</t>
  </si>
  <si>
    <t>5235-P</t>
  </si>
  <si>
    <t>Saeed Ahmed s/o Manzoor Ahmed</t>
  </si>
  <si>
    <t>Abdul Rasheed, r/o Basti Madani, Chal Khel, P.O Ghumani Sharif, District Bahawalpur. (Mobile No. 0300-3626759 &amp; 0300-8684832)</t>
  </si>
  <si>
    <t>FIR No. 70/18 dated 09/07/18 u/s 365 PPC PS Dhoor Kot District Bahawalpur</t>
  </si>
  <si>
    <t>5236-I</t>
  </si>
  <si>
    <t>Muhammad Illyas s/o Wali Muhammad</t>
  </si>
  <si>
    <t>Noor Muhammad, r/o Khoza Khel, District Swat. (Mobile No. 0344-9693543)</t>
  </si>
  <si>
    <t>5237-P</t>
  </si>
  <si>
    <t>Muhammad Hashim s/o Abdullah</t>
  </si>
  <si>
    <t>Mst. Sikana Bibi, r/o Gulshan Raza Town, Near Railway Pathak, District Vehari. (Mobile No. 0301-7726228)</t>
  </si>
  <si>
    <t>FIR No. 391 dated 27/07/2018 u/s 365 PPC, PS Model Town, District Vehari</t>
  </si>
  <si>
    <t>Traced Person. Muhammad Hashim has been traced. He is presently confined in the Internment Center Fort Salop, Tribal District Khyber as per report. Family members allowed to see him in the Internment Center.</t>
  </si>
  <si>
    <t>Vehari</t>
  </si>
  <si>
    <t>5238-F</t>
  </si>
  <si>
    <t>Khalil Rehman s/o Sher Ahmed Molvi</t>
  </si>
  <si>
    <t>Sher Ahmed Molvi, r/o Inam Khor Chena, P.O Inayat Kilay, Tehsil Mohmand, District Bajur Agency. (Mobile No. 0302-5278064)</t>
  </si>
  <si>
    <t>Traced Person. According to the report received from MI Khalil Rehman is presently confined in Internment Center Lakki Marwat. Rep of MI is present. He has affirmed the aforesaid report and submitted that Khalil Rehman is confined in Internment Center Lakki Marwat. Father of traced person is present. He has submitted that he has met Khalil Rehman in the Internment Center on 25.9.2019.</t>
  </si>
  <si>
    <t>5239-K</t>
  </si>
  <si>
    <t>Ghulam Muhammad s/o Qasim Jan</t>
  </si>
  <si>
    <t>Lal Muhammad, r/o Shero Jhangi, Charsadda Road, Tehsil &amp; District Peshawar. (Mobile No. 0317-1677542)</t>
  </si>
  <si>
    <t>FIR No. 48 dated 15.5.2015 u/s 11(w)-7ATA PS CTD, Peshawar.</t>
  </si>
  <si>
    <t>5240-F</t>
  </si>
  <si>
    <t>Mujahid s/o Yaar Wali</t>
  </si>
  <si>
    <t>Shahid Ullah, r/o Mian Khel, P.O Landi Kotal, District Khyber Agency. (Mobile No. 0307-8465287 &amp; 0304-9843247)</t>
  </si>
  <si>
    <t>Traced Person. It was informed at the hearing on 10/10/2018 by the complainant that he has already seen Mujhaid in District Jail Jerma District Kohat. Rep of Home Department KP is present. She has been directed to arrange meeting of the family members with Mujhaid as per rules and procedures.</t>
  </si>
  <si>
    <t>5241-S</t>
  </si>
  <si>
    <t>Muhammad Umair s/o Muhammad Zaman</t>
  </si>
  <si>
    <t>Muhammad Zaman, Edia Jan General Store, Near Farooq Azam Masjid, New Haji Camp, Sultanabad Karachi. (Mobile No.0302- 2054803)</t>
  </si>
  <si>
    <t>42401-9941525-9</t>
  </si>
  <si>
    <t>FIR No. 294/18 dated 11/03/2018, PS Dock South Karachi</t>
  </si>
  <si>
    <t>Deleted. The circumstance of the case have been discussed in details. Father of the Missing Person attended JIT meetings and hearings in this Commission. In his written statement he confessed that his son was under treatment for some mental disorder and that he has not alleged any LEAs. Efforts have been made, as per report of DSP, Kamran Sub Division, Karachi through usual practice from Edhi Center, Ansar Burni welfare hospitals etc but no clue found. However it is not a case of enforced disappearance. The case is deleted.</t>
  </si>
  <si>
    <t>5242-S</t>
  </si>
  <si>
    <t>Safraz Hussain s/o Nisar Hussain</t>
  </si>
  <si>
    <t>Shahbaz Hussain, r/o Bismillah Autos Motor Work Shop, Near Police Head Quarter, Shikar Pur Road, Sukkur. (Mobile No.0302-3611518)</t>
  </si>
  <si>
    <t>Deleted. This case is closed for want of jurisdiction as there is no allegation against the law enforcement agencies as indicated in the progress report dated 26.2.2019 submitted by Police authorities.</t>
  </si>
  <si>
    <t>5243-F</t>
  </si>
  <si>
    <t>Zubair s/o Gul Numair</t>
  </si>
  <si>
    <t>Gul Numair, r/o P.O Yak Ghund, Tehsil Pandeli, District Mohmand Agency. (Mobile No. 0305-4667506)</t>
  </si>
  <si>
    <t>5244-S</t>
  </si>
  <si>
    <t>Haris Ashraf s/o Muhammad Ashraf</t>
  </si>
  <si>
    <t>Muhammad Ashraf, r/o House No. B-11, Row-E, Block No. 04, Gulshan-e-Kaneez Fatima, Gulzar-e-Hijri, Karachi. (Mobile No. 0332-2403888)</t>
  </si>
  <si>
    <t>Traced Person. It was informed at the hearing in this Commission on 05/12/2018 that Haris Ashraf has returned to home. Father of the traced person and DSP, Saddar appeared before the Commission and confirmed the reported position.</t>
  </si>
  <si>
    <t>5245-I</t>
  </si>
  <si>
    <t>Traced Person. Raja Mustajab has been traced. He has returned to home and appeared before the Commission on 06/11/2018. He has submitted that he came back after 14 days; however he could not give further details.</t>
  </si>
  <si>
    <t>5246-S 5333-S</t>
  </si>
  <si>
    <t>Idris Ismail Kaka s/o Ismail Ghulam</t>
  </si>
  <si>
    <t>Mst. Farheen Idris, r/o 61-K, Block No. 02, P.E.C.H.S, Karachi. (Mobile No. 0335-2658147)</t>
  </si>
  <si>
    <t>5247-F</t>
  </si>
  <si>
    <t>Siraj-ud-Din s/o Muhammad Zahir</t>
  </si>
  <si>
    <t>Muhammad Zahir, r/o, Jangazai, Tehsil Mohmand, District Bajur. (Mobile No/. 0300-3504618)</t>
  </si>
  <si>
    <t>21104-1917807-9</t>
  </si>
  <si>
    <t>5248-K</t>
  </si>
  <si>
    <t>Imran s/o Khaista Rehman</t>
  </si>
  <si>
    <t>Mst. Hussan bano, r/o Takhat Bhai, District Mardan. (Mobile No. 0315-9920779)</t>
  </si>
  <si>
    <t>Traced Person. Rep of MI appeared for hearing on 15/01/2019 and submit that Imran s/o Khaista Rehman was interned in Internment Center Paitham Swat. Family members of Imran shall be facilitated to meet him in the Internment Center.</t>
  </si>
  <si>
    <t>5249-K</t>
  </si>
  <si>
    <t>Hafiz Muhammad Kamran s/o Zarnosh</t>
  </si>
  <si>
    <t>Zarnosh, r/o Miangan, Garala, Mardan. (Mobile No. 0335-8386672)</t>
  </si>
  <si>
    <t>16101-8739674-8</t>
  </si>
  <si>
    <t>FIR No. 397 dated 26/07/2018 u/s 365 PPC, PS Choora, District Mardan</t>
  </si>
  <si>
    <t>5250-K</t>
  </si>
  <si>
    <t>Abdul Khaliq s/o Hazrat Gul</t>
  </si>
  <si>
    <t>Mst. Khaista Noor Bibi, r/o Ashaba Baba Road, Char Fareza Maskeenabad, Peshawar. (Mobile No. 0311-0925803)</t>
  </si>
  <si>
    <t>5251-K</t>
  </si>
  <si>
    <t>Yaseen s/o Abdul Khaliq</t>
  </si>
  <si>
    <t>5252-P</t>
  </si>
  <si>
    <t>Muhammad Khan s/o Raheem</t>
  </si>
  <si>
    <t>Taj-ud-Din, r/o Zawa Dawazi, Pepal Area, P.O Yak Ghund, Tehsil Pandali, District Mohmand Agency. (Mobile No. 0331-4630853 &amp; 0301-8189863 &amp; 0300-8879136).</t>
  </si>
  <si>
    <t>17101-8610056-1
 Son CNIC</t>
  </si>
  <si>
    <t>Gujranawala</t>
  </si>
  <si>
    <t>5253-F</t>
  </si>
  <si>
    <t>Alif Khan s/o German Khan</t>
  </si>
  <si>
    <t>Khasmal Khan, r/o Shan Khel, Usman Khel, Zaga Khel Tanki Dakhana Landi Kotal, District Khyber Agency. (Mobile No. 0302-8352805)</t>
  </si>
  <si>
    <t>5254-F</t>
  </si>
  <si>
    <t>Aziz-ur-Rehman s/o Mian Saeed</t>
  </si>
  <si>
    <t>Siraj-ur-Din, r/o Tehsil Mohmand , District Bajur. (Mobile No. 0306-9697253 &amp; 0300-7170675).</t>
  </si>
  <si>
    <t>21104-8859797-3</t>
  </si>
  <si>
    <t>5255-P</t>
  </si>
  <si>
    <t>Ali Haider s/o Shoukat Mehmood</t>
  </si>
  <si>
    <t>Shoukat Mehmood, r/o House No. E-3/12, Near Zirayat Baba Yousaf Shah, Satellite Town, Rawalpindi. (Mobile No. 0336-5214847)</t>
  </si>
  <si>
    <t>Traced Person. SHO, PS/New Town, Rawalpindi entered appearance and furnished report that Ali Haider had returned to home as confirmed by his father.</t>
  </si>
  <si>
    <t>5256-F</t>
  </si>
  <si>
    <t>Amir Khan s/o Muhammad Sharif</t>
  </si>
  <si>
    <t>Hazrat Umar, r/o Sheikh Mil Khel, Tehsil Landi Kotal, District Khyber Agency. (Mobile No. 0341-9345900)</t>
  </si>
  <si>
    <t>Traced Person. Hazrat Umar, real brother of Amir Khan, traced person appeared before the Commission on 3.10.2019 whose statement has been recorded on oath in which he has stated that his brother was abducted on 1.4.2018 by two persons in civvies and accompanied by Khasadar Force. That on receipt of a telephone call from Karachi his relative went to Karachi wherefrom he brought Amir Khan back to home who was detained in Landhi Jail.</t>
  </si>
  <si>
    <t>5257-A</t>
  </si>
  <si>
    <t>Muhammad Ijaz s/o Muhammad Aslam</t>
  </si>
  <si>
    <t>Muhammad Nazir, r/o Saki, Tehsil Dadyal, District Mirpur Azad Kashmir. (Mobile No. 0317-5705215)</t>
  </si>
  <si>
    <t>Traced Person. Mr. Gul Faraz Khan DIG, Muzaffarabad, AJK entered appearance for the hearing on 09/09/2018 and submitted that all the above mentioned four persons have been traced. They involved in case FIR No. 9/18 dated 21/03/2018 u/s 7ATA r/w 4/5 ESA, 13 AO (2A,B), PS/CTD, Multan.</t>
  </si>
  <si>
    <t>5258-A</t>
  </si>
  <si>
    <t>Shakeel Ahmed s/o Muhammad Nazir</t>
  </si>
  <si>
    <t>5259-A</t>
  </si>
  <si>
    <t>Arshad Mehmood s/o Bugga Khan</t>
  </si>
  <si>
    <t>5260-A</t>
  </si>
  <si>
    <t>Waqas Sabir s/o Muhammad Sabir</t>
  </si>
  <si>
    <t>5261-K</t>
  </si>
  <si>
    <t>Rooh Ullah s/o Sheikh Hayat Ullah Khan Sadiq</t>
  </si>
  <si>
    <t>Hayat Ullah Khan, r/o Mohallah Milli Khel, Ahmed Khel, Tehsil &amp; District Peshawar. (Mobile No. 0333-5932898)</t>
  </si>
  <si>
    <t>5262-K</t>
  </si>
  <si>
    <t>Noor Islam Sher Zada</t>
  </si>
  <si>
    <t>Sher Zada, r/o Nowkilay, District Swat. (Mobile No. 0340-9809127)</t>
  </si>
  <si>
    <t>5263-K</t>
  </si>
  <si>
    <t>Muhammad Iqbal s/o Beharmand</t>
  </si>
  <si>
    <t>Beharmand, r/o Ranjughat, Balugaram, District Swat. Mobile No. 0346-9387952 &amp; 0347-6745047)</t>
  </si>
  <si>
    <t>FIR No. 1154 dt 17.08.2018 u/s 365 PPC PS Mingora , Swat</t>
  </si>
  <si>
    <t>Traced Person. According to the report received from Rep of MI Muhammad Iqbal is confined in Internment Center Paithom. Habib UIlah maternal uncle of Muhammad Iqbal is present. His statement has been recorded on oath. He has affirmed that Muhammad Iqbal is presently confined in Internment Center Paithom and family members have already seen him.</t>
  </si>
  <si>
    <t>5264-P</t>
  </si>
  <si>
    <t>Bakhat Munir s/o Umar Dher</t>
  </si>
  <si>
    <t>Mst. Sarwar Jan, r/o Sadiu Sharif, Tehsil Babu Zai, District Swat. (Mobile No. 0344-6605084)</t>
  </si>
  <si>
    <t>5265-I</t>
  </si>
  <si>
    <t>Imran Hussain s/o Fida Hussain Awam</t>
  </si>
  <si>
    <t>Zia Hussain, r/o CB-954/4/5, Nawababad, Street No. 12, Wah Cantt. (Mobile No.0343-5108643)</t>
  </si>
  <si>
    <t>FIR NO. 300 Dated 28/07/2018 u/s 365 PPC , PS Tarnol</t>
  </si>
  <si>
    <t>Deleted. The point for consideration and determination by the Commission is that as to whether that instant case fall in the ambit if enforced disappearance or otherwise. The answer would be that the case does not fall in the category if enforced disappearance in view of the statement of t5he IO, the travel history and JIT report.</t>
  </si>
  <si>
    <t>5266-K</t>
  </si>
  <si>
    <t>Muhammad Israr s/o Khaista Muhammad</t>
  </si>
  <si>
    <t>Khaista Muhammad, r/o Tehsil Samar Bagh, District Lower Dir. (Mobile No. 0348-5431892 &amp; 0342-9370758)</t>
  </si>
  <si>
    <t>FIR No. 361 dated 20/08/2018 u/s 365 PPC, PS Samar Bagh District Dir Lower</t>
  </si>
  <si>
    <t>5267-K</t>
  </si>
  <si>
    <t>Said Ameer s/o Abdul Raheem</t>
  </si>
  <si>
    <t>Abdul Raheem, r/oTehsil Ladha, District South Waziristan. (Mobile No. 0341-8894119 &amp; 0348-8158642)</t>
  </si>
  <si>
    <t>Traced Person.It has been intimated at the hearing held on 19/10/2018 that Said Ameer has been traced. He is presently confined in Internment Center Paithom. Radheem Ullah brother of the traced person was present, who was apprised of the status of the case. Family members of Said Ameer shall be facilitated to see him in the Internment Center as per rule and procedures.</t>
  </si>
  <si>
    <t>5268-K</t>
  </si>
  <si>
    <t>Muhammad Wahab s/o Hazrat</t>
  </si>
  <si>
    <t>Fazal Wahab, r/o Mohallah Akbarabad, District Swat. (Mobile No. 0343-9500448 &amp; 0347-2037654)</t>
  </si>
  <si>
    <t>FIR No. 1163 dated 20/08/2018 u/s 365 PPC, PS Mingora, District Swat</t>
  </si>
  <si>
    <t>Traced Person. Rep of MI appeared before the hearing on 7.8.2019 that Muhammad Wahab who was convicted by the Court is presently confined in District Jail Kohat.</t>
  </si>
  <si>
    <t>5269-K</t>
  </si>
  <si>
    <t>Zakir Ullah s/o Sana Ullah</t>
  </si>
  <si>
    <t>Sana Ullah, r/o Bezaid Khel, tehsil &amp; District Swabi. (Mobile No. 0315-5576652)</t>
  </si>
  <si>
    <t>16202-6188792-1</t>
  </si>
  <si>
    <t>FIR No.583 dated 25/08/2018 u/s 365 PPC, PS Charbagh , district Swat.</t>
  </si>
  <si>
    <t>5270-I</t>
  </si>
  <si>
    <t>Muhammad Waseem s/o Jaffar Khan</t>
  </si>
  <si>
    <t>Jaffar Khan, r/o Golora Staion, Street No. 11, Islamabad. (Mobile No. 0302-5198772 &amp; 0348-9012318)</t>
  </si>
  <si>
    <t>54401-0665915-3</t>
  </si>
  <si>
    <t>Traced Person. Jaffar Khan f/o Muhammad Waseem appeared before the Commission on 13.3.2020. His statement has been recorded on oath. In his statement he has deposed that presently his son is confined in Central Jail at Quetta and some family members have already met him in the Jail.</t>
  </si>
  <si>
    <t>5271-I</t>
  </si>
  <si>
    <t>Akhtar Zeb s/o Jaffar Khan</t>
  </si>
  <si>
    <t>FIR No.176 dated 17/04/2018 u/s 365 PPC, PS Golara, Islamabad</t>
  </si>
  <si>
    <t>Traced Person. At the hearing held in this Commission. Jaffar Khan father of Missing Person entered appearance and submitted that his son Akhtar Zeb has returned to home.</t>
  </si>
  <si>
    <t>5272-K</t>
  </si>
  <si>
    <t>Yasir Ali Anjum s/o Muhammad Pervaiz Anjum</t>
  </si>
  <si>
    <t>Muhammad Inqalib, r/o Tekhal Bala, Arbab Road, Peshawar. (Mobile No. 0324-4559900)</t>
  </si>
  <si>
    <t>Traced Person. Yasir Ali Anjum has been traced. He has returned to home. Haleem Gu SI (Inv) PS, Tekhal, Peshawar appeared before the Commission on 9.5.2019, whose statement has been recorded in oath.</t>
  </si>
  <si>
    <t>5273-K</t>
  </si>
  <si>
    <t>Muhammad Jamil s/o Noor Afzal</t>
  </si>
  <si>
    <t>5274-K</t>
  </si>
  <si>
    <t>Sher Ali Khan s/o Faiz Ali Khan</t>
  </si>
  <si>
    <t>Faiz Ali Khan, r/o Kombat, Dir Lower. (Mobile No. 0308-8427952)</t>
  </si>
  <si>
    <t>FIR No.384 dt.12/09/2018 u/s 365 PPC,PS/Samar Bagh ,District Dir Lower</t>
  </si>
  <si>
    <t>5275-P</t>
  </si>
  <si>
    <t>Ahmed Ullah s/o Waris Khan</t>
  </si>
  <si>
    <t>Haji Waris Khan, Ghulab Tower, Near Qattum Stadium, Khyber Super Market. Peshawar Cantt. (Mobile No. 0337-480003 &amp; 0333-7783877)</t>
  </si>
  <si>
    <t>Traced Person. Ahmed Ullah has been traced. He has returned home. Muhammad Ajmal SP (Inv), Model Town Lahore appeared before the Commission on 19.6.2019 and submitted that he spoke to brother of Ahmed Ullah namely Afan Ullah who told that his brother has returned to home.</t>
  </si>
  <si>
    <t>5276-K</t>
  </si>
  <si>
    <t>Zakim Ullah s/o Arif Ullah</t>
  </si>
  <si>
    <t>Abdul Wadood, r/o Mohallah Ghulab Abad, Tehsil &amp; District Peshawar. (Mobile No. 0302-6068452)</t>
  </si>
  <si>
    <t>5277-F</t>
  </si>
  <si>
    <t>Khan Ayaz s/o Fazal Akbar</t>
  </si>
  <si>
    <t>Mst. Zakia Bibi, r/o Khorchey Tarkho, Tehsil Mohmand, Bajur Agency. (Mobile No. 0301-5242493 &amp; 0308-8506034)</t>
  </si>
  <si>
    <t>Traced Person. Khan Ayaz has been traced as presently confined in Mardan District Jail and enacting imprisonment for 14 years. Father of the missing person was present who affirmed that he met his son in Mardan jail.</t>
  </si>
  <si>
    <t>5278-K</t>
  </si>
  <si>
    <t>Luqman Ali s/o Muqrab Khan</t>
  </si>
  <si>
    <t>Saqib Khan, r/o Tehsil Katalang, Village Qasami, District Mardan. (Mobile No. 0345-1504008 &amp; 0313-9383482)</t>
  </si>
  <si>
    <t>16102-7708252-1</t>
  </si>
  <si>
    <t>FIR No. 833 dated 31/7/2018 u/s 365 PPC PS Par Sher Garh District Mardan</t>
  </si>
  <si>
    <t>5279-S</t>
  </si>
  <si>
    <t>Muhammad Nadeem s/o Abdul Jalil Lodhi</t>
  </si>
  <si>
    <t>Mst. Nasira Nadeem, r/o House No. L-971, Sector No. 5-A-2, North Karachi. (Mobile No. 0333-2431791)</t>
  </si>
  <si>
    <t>5280-K</t>
  </si>
  <si>
    <t>Wanas Khan s/o Janas Khan</t>
  </si>
  <si>
    <t>Panas Khan, r/o Koki Khel, P.O Jamrood, District Khyber Agency. (Mobile No. 0343-9397943)</t>
  </si>
  <si>
    <t>21202-0420433-1</t>
  </si>
  <si>
    <t>Deleted. JIT and PTF categorized the case as Missing Person has gone on his own. All stakeholders have denied arrest or custody of Wanas Khan s/o Janas Khan. The case is closed being not a case of enforced disappearance.</t>
  </si>
  <si>
    <t>5281-S 5488-S</t>
  </si>
  <si>
    <t>Israr Ullah s/o Hazrat Muhammad</t>
  </si>
  <si>
    <t>Hazrat Muhammad, r/o Koza Gokand, Tehsil Dagar, District Bonair. (Mobile No. 0348-0887523)</t>
  </si>
  <si>
    <t>5282-K</t>
  </si>
  <si>
    <t>Gul Naaf Khan s/o Muhammad Aziz</t>
  </si>
  <si>
    <t>Abdul Aziz, r/o Tehsil Data Khel, North Waziristan Agency. (Mobile No. 0332-9521723)</t>
  </si>
  <si>
    <t>5283-P</t>
  </si>
  <si>
    <t>Sultan Zaib s/o Zahir Khan</t>
  </si>
  <si>
    <t>Taj Munir, r/o Adam Kilay, Nawagai, Bajaur Agency. (Mobile No. 0345-4660545)</t>
  </si>
  <si>
    <t>21105-6154020-7</t>
  </si>
  <si>
    <t>5284-K</t>
  </si>
  <si>
    <t>Muhammad Shakeel s/o Muhammad Jalil</t>
  </si>
  <si>
    <t>Mst. Yasmeen, r/o Madina Block Factory, Misreal Road Street No. 15, Rawalpindi. (Mobile No. 0311-5235880)</t>
  </si>
  <si>
    <t>5285-P</t>
  </si>
  <si>
    <t>Sajid Mehmood s/o Sher Muhammad</t>
  </si>
  <si>
    <t>Mst. Shahida Yasmeen, r/o Chakari Road, Rawalpindi. (Mobile No. 0316-5573887)</t>
  </si>
  <si>
    <t>Deleted. At the hearing held in this case on 12.9.2019 it was informed that JIT on the basis of statements of witness has concluded that the Missing Person has gone on his own. The Commission agrees with the conclusion of JIT as private persons are nominated in the FIR for abduction.</t>
  </si>
  <si>
    <t>5286-P</t>
  </si>
  <si>
    <t>Atta Muhammad Shahid s/o Mian Muhammad Iqbal</t>
  </si>
  <si>
    <t>Zahid Iqbal, r/o Cheering Crossing Stop, Near Shell Petrol Pump, Main Saddar, Rawalpindi. (Mobile No. 0313-7098098 &amp; 0304-6793936)</t>
  </si>
  <si>
    <t>Deleted. After through investigation into this case it is concluded that Atta Muhammad Shahid who was working as NCT at the evidence of on Brig. Faiz-ul-Hassan. He went missing on 14.6.2018 and declared absconder/ deserter . A case of theft is also registered against him in PS Cantt, Rawalpindi. Hence not a case of enforced disappearance, as no LEA are involved in his disappearance. The case is closed.</t>
  </si>
  <si>
    <t>5287-K</t>
  </si>
  <si>
    <t>Ain Ullah s/o Bashar Khan</t>
  </si>
  <si>
    <t>Rafiq Ullah, r/o Gira Hayat, District Dera Ismail Khan. (Mobile No. 0300-9849799 &amp; 0345-9560105)</t>
  </si>
  <si>
    <t>5288-I</t>
  </si>
  <si>
    <t>Kamal Shah s/o Ilam Din</t>
  </si>
  <si>
    <t>Allo-ud-Din, r/o Spain Kamar Laya Khel, Tehsil Maken, District South Waziristan. (Mobile No. 0321-5627983 &amp; 0300-5582459)</t>
  </si>
  <si>
    <t>Traced Person. Hearing was held in this Commission on 19/10/2018. Allo-ud-Din brother of the Traced Person was present who affirmed that his brother has been traced. He was a military deserter and was taken into custody in consequence thereof.</t>
  </si>
  <si>
    <t>5289-K</t>
  </si>
  <si>
    <t>Naqeeb-ur-Rehman s/o Haji Hameed Ullah</t>
  </si>
  <si>
    <t>Ubaid Ullah, r/o Shaheen Market, Karkhano Market Shop No. 39, Hayatabad Peshawar. (Mobile No.0300-5917057 &amp; 0312-9246763).</t>
  </si>
  <si>
    <t>5290-K</t>
  </si>
  <si>
    <t>Attique Ullah s/o Saeed Muhammad</t>
  </si>
  <si>
    <t>Saeed Muhammad, r/o Sawron Khel, P.O Spain Qambar, Tehsil Bara, District Khyber Agency. (Mobile No.0333-9440428)</t>
  </si>
  <si>
    <t>31st July, 2018</t>
  </si>
  <si>
    <t>5291-P</t>
  </si>
  <si>
    <t>Aftab Shehzad Baig s/o Barkat Ali Baig</t>
  </si>
  <si>
    <t>Shoaib Shahzad Baig, r/o House No. 14, Block No. 01, Sector No.. A-2, Town Ship Lahore. (Mobile No. 0321-9984288)</t>
  </si>
  <si>
    <t>FIR No. 308/18 dated 30/07/18 u/s 365 PPC PS Quaid-e-Azam Industrial State, District Lahore</t>
  </si>
  <si>
    <t>Deleted. Bilal Mehmood Baig son of Aftab Shehzad Baig has appeared before the Commission on 12.2.2020, whose statement has been recorded on oath. According to him Aftab Shehzad Baig is his father, who disappeared on 2.7.2018. My elder brother Shoaib had lodged an FIR regarding disappearance of father against some unknown persons and in the FIR no LEAs/ Intelligence Agency was nominated. JIT as well as PTF concluded that Missing Person has gone on his own. Hence, not a case of enforced disappearance. The case is closed.</t>
  </si>
  <si>
    <t>01st August, 2018</t>
  </si>
  <si>
    <t>5292-K</t>
  </si>
  <si>
    <t>Aman Ullah s/o Saif-ul-Malook</t>
  </si>
  <si>
    <t>Saif-ul-Malook, r/o Dir Colony, Spain Jamat, Saeedabad, Peshawar. (Mobile No. 0306-9282296 &amp; 0345-9175428)</t>
  </si>
  <si>
    <t>Under Investigation (Peshawar)</t>
  </si>
  <si>
    <t>5293-K</t>
  </si>
  <si>
    <t>Sahib Rehman s/o Akey Khan</t>
  </si>
  <si>
    <t>Akey Khan, r/o Bora Khel, Tool Khel, Tehsil Miran Shah, District North Waziristan Agency. (Mobile No. 0332-5669693)</t>
  </si>
  <si>
    <t>Deleted. Complainant Akey Khan has appeared in person, whose statement has been recorded on oath. According to him no allegation was levelled against LEAs/Intelligence Agency by him in the application, which was filed before the Commission. He has also stated that he has not expressed any suspicion against any person. He has further stated that he was not lodged FIR and he also made statement before the Police on 17.09.2018. According to him Sahib Rehman Missing Person was mentally unsound. According to the reports received from Reps of ISI, MI, CTD and FC (South), ground check was carried out which has revealed that the Missing Person has neither been arrested nor held in custody. Accordingly it is not a case of enforced disappearance the case is closed.</t>
  </si>
  <si>
    <t>5294-K</t>
  </si>
  <si>
    <t>Hakeem Ullah s/o Gul Mawar Khan</t>
  </si>
  <si>
    <t>Aziz Ullah, r/o Mela , Tehsil; Ladha, South Waziristan Agency. (Mobile No. 0348-4641769)</t>
  </si>
  <si>
    <t>FIR No. 697 dated 09/07/2018 u/s 365 PPC PS City, District Kohat</t>
  </si>
  <si>
    <t>5295-S</t>
  </si>
  <si>
    <t>Suhail Roomi</t>
  </si>
  <si>
    <t>Mst. Irum Fatima, r/o House No. 140, L-1, Block No. 02, PECHS, Allama Iqbal Road, Karachi.</t>
  </si>
  <si>
    <t>Traced Person. It was informed at the hearing in this Commission on 12/11/2018 that Suhail Roomi returned to home. The report submitted by PS, Ferozabad is placed on record</t>
  </si>
  <si>
    <t>5296-S</t>
  </si>
  <si>
    <t>Rafay Suhail</t>
  </si>
  <si>
    <t>Traced Person. It was informed at the hearing in this Commission on 12/11/2018 that Rafay Sohail had returned to home. The report submitted by the Police Officer PS, Ferozabad is placed on record.</t>
  </si>
  <si>
    <t>5297-S</t>
  </si>
  <si>
    <t>Samad Suhail</t>
  </si>
  <si>
    <t>Traced Person. It was informed at the hearing in this Commission on 12/11/2018 that Samad Sohail had returned to home. The report submitted by the Police Officer PS, Ferozabad is placed on record.</t>
  </si>
  <si>
    <t>5298-P</t>
  </si>
  <si>
    <t>Muhammad Osama s/o Muhammad Anwar</t>
  </si>
  <si>
    <t>Mst. Halema Sadia, r/o Chak No. 146, EB, Tehsil Boray Wala, District. Vehari. (Mobile No. 0307-6844201)</t>
  </si>
  <si>
    <t>Traced Person. Muhammad Osama has been traced. He has returned home. Inspector Legal, DIG (Inv), Lahore appeared before the Commission on 19.6.2019 who submitted report. According to which Muhammad Osama has returned to home. It is also mentioned in the report that he was not abducted by anyone.</t>
  </si>
  <si>
    <t>5299-K</t>
  </si>
  <si>
    <t>Sajid Khan s/o Noor Badshah</t>
  </si>
  <si>
    <t>Amjad Khan, r/o Beron Gate, Wazir Bagh Road, Peer Mohallah, Rehmanabad, Peshawar. (Mobile No. 0305-9006162)</t>
  </si>
  <si>
    <t>17301-7443575-3</t>
  </si>
  <si>
    <t>Fir No. 658 dated 06/09/2018 u/s 365 ppc ps Agh meer jani shah District Peshawar</t>
  </si>
  <si>
    <t>5300-K</t>
  </si>
  <si>
    <t>Rooh Ullah s/o Muhammad Israr</t>
  </si>
  <si>
    <t>Siddique Akbar, r/o Village Kot Dolat, P.O Ghari Kapora, Tehsil &amp; District Mardan. (Mobile No. 0313-5719825)</t>
  </si>
  <si>
    <t>FIR No. 367, dated 31.8.18, u/s 365 PPC, P.S GariKapoora, Mardan</t>
  </si>
  <si>
    <t>5301-K</t>
  </si>
  <si>
    <t>Shah Jahan s/o Wazir</t>
  </si>
  <si>
    <t>Mst. Rehana Bibi, r/o Sair, Tehsil Char Bagh, District Swat. (Mobile No. 0345-8916748)</t>
  </si>
  <si>
    <t>FIR No. 440 dated 01/09/20186 u/s 365 PPC PS PS Malan Jabbad, District Swat</t>
  </si>
  <si>
    <t>5302-P</t>
  </si>
  <si>
    <t>Tahir Iqbal s/o Muhammad Iqbal</t>
  </si>
  <si>
    <t>Ahsan Iqbal, r/o House No. 26, Street 155, Sector G-11/1, Islamabad. (Mobile NO. 0300-4445565 0300-4418855)</t>
  </si>
  <si>
    <t>Traced Person. DSP, Legal and IO present on the hearing dated 01/10/2018 submitted that dead body of Tahir Iqbal was found at Head- Baloki and it transpired from post-mortem report that, prima facie it is a case of suicide. Be that as it may, no further action is required to be taken. An application has been moved by the complainant that he does not want to pursue the case any more</t>
  </si>
  <si>
    <t>5303-I</t>
  </si>
  <si>
    <t>Bilal Khan s/o Noor Jamal</t>
  </si>
  <si>
    <t>Noor Jamal, r/o Khazena Chenari Darkana Yousaf Khel, Tehsil Upper Mohmand District Mohmand Agency. (Mobile No. 0303-9198043)</t>
  </si>
  <si>
    <t>FIR No. 333/18 dated 18/08/2018 u/s 365 PPC, PS Bharakaho, Islamabad</t>
  </si>
  <si>
    <t>Traced Person. It has been informed at the haring held on 27/09/2018 that Bilal Khan has been traced. He is presently confined in the Internment Center Lakki Marwat. Father of Bilal Khan was present and apprised of the status of the case.</t>
  </si>
  <si>
    <t>5304-K</t>
  </si>
  <si>
    <t>Sharif Ahmed, r/o Dawazai, Shakar Pur, Mohallah Shamshad, Peshawar. (Mobile No. 0300-9010075)</t>
  </si>
  <si>
    <t>Traced Person. It has been informed at the heaing held on 25/09/2018 that Rehmat Ullah has been traced. He is presently confined in Internment Center Lakki Marwat. I.O of the case was present. He was directed to apprise the complainant of status of the case as the latter was not available before the Commission. Family members of Rehmat Ullah shall be fascinated to see him in the Internment Center as per rule and procedures.</t>
  </si>
  <si>
    <t>5305-F</t>
  </si>
  <si>
    <t>Sumera Qamar w/o Qamar Abbas Asif</t>
  </si>
  <si>
    <t>Ashraf Ullah, r/o CRBC Colony, Wandha, Peshawar. (Mobile No. 0314-9286243)</t>
  </si>
  <si>
    <t>Traced Person. Sumera Qamar and Qamar Abbas Asif have been traced. According to reports received from Reps of ISI and MI, Sumera Qamar and Qamar Abbas Asif are in custody of Military authorities and are to be put on trial by FGCM in accordance with law.</t>
  </si>
  <si>
    <t>5306-F</t>
  </si>
  <si>
    <t>Qamar Abbas Asif s/o Mulazim Hussain</t>
  </si>
  <si>
    <t>5307-I</t>
  </si>
  <si>
    <t>Khaseeb Ullah s/o Buzarg Jamil</t>
  </si>
  <si>
    <t>Sajad Ali, r/o Village Shawa, Mohallah Ghora, Muslimabad, Tehsil razam, District Swabi. (Mobile No. 0301-4646400)</t>
  </si>
  <si>
    <t>5308-K</t>
  </si>
  <si>
    <t>Syed Sharif s/o Bacha Jan</t>
  </si>
  <si>
    <t>Dawood Jan, r/o Gul Abad, Bara Banda, Risalpur, District Nowshera. (Mobile No. 0307-8787010)</t>
  </si>
  <si>
    <t>Deleted. JIT and PTF categorized the case as that if Missing Person has gone on his own. All stakeholders have denied arrest or custody of Syed Sharif. The complainant remained absent of JIT meetings and did not participate in the proceedings dated 15.10.2021, 12.04.2021 and 23.08.2021. The case is closed being not a case of enforced disappearance.</t>
  </si>
  <si>
    <t>5309-B</t>
  </si>
  <si>
    <t>Khawaja Khalid Javed s/o Khawaja Muhammad Sharif</t>
  </si>
  <si>
    <t>Khawaja Muhammad Paras, r/o House No. A-1, Gulshan Khair Muhammad, Near Gulshan Zam Zam, Old Mehar Mail, Hayderabad. (Mobile No. 0313-8189470)</t>
  </si>
  <si>
    <t>Traced Person. Assistant Commissioner, Pasni appeared before the Commission on 8.9.2020 on behalf of Deputy Commissioner Gwadar, whose statement was recorded on oath, in which he deposed that Khawaja Khalid Javed returned home on 2.11.2019. He produced statement of Khawaja Muhammad Paras son of the Missing Person stating that the Missing Person reached Hyderabad on 10.11.2019. The case accordingly stands disposed of.</t>
  </si>
  <si>
    <t>5310-K</t>
  </si>
  <si>
    <t>Abdullah s/o Rabat Khan</t>
  </si>
  <si>
    <t>Mst. Abida, r/o Owlia Zee Mohallah, Tall Sara Ghundi. District Hangu. (Mobile No. 0305-4394538)</t>
  </si>
  <si>
    <t>Traced Person. It has been reported by SP (Inv), Hangu at the hearing on 05/11/2018 that Abdullah is present in Afghanistan and according to the statement of brother the complainant Mst. Abida has gone gone to Afghanistan to meet husband Abdullah.</t>
  </si>
  <si>
    <t>5311-K</t>
  </si>
  <si>
    <t>Tallah Bin Saeed s/o Saeed Akhtar</t>
  </si>
  <si>
    <t>Mst. Huma Saeed, r/o House No. 859, Mohallah Karam Singh Soneri Masjid Road, Peshawar Cantt. (Mobile No. 0333-6227239)</t>
  </si>
  <si>
    <t>Traced Person. According to the statement of Mst. Huma Saeed complainant/mother of Tallah Bin Saeed whose statement has been recorded on oath. Tallah was abducted on 10/11/2017 by unknown persons and he reached home back on one week ago.</t>
  </si>
  <si>
    <t>5312-S</t>
  </si>
  <si>
    <t>Gul Zarin s/o Qasim Jan</t>
  </si>
  <si>
    <t>Qasim Jan, r/o House No. B/52, Ali Town, Soharab Goth, Karachi. (Mobile No. 03074-2893213 &amp; 0301-2596235)</t>
  </si>
  <si>
    <t>5313-P</t>
  </si>
  <si>
    <t>Abdul Samad s/o Muhammad Behram</t>
  </si>
  <si>
    <t>Muhammad Behram, r/o Basti Mad Hassan, P.O Tarnada, Tehsil &amp; District Rahim Yar Khan. (Mobile No. 0303-5493594)</t>
  </si>
  <si>
    <t>FIR No. 267 dated 07/09/2018 u/s 365 PPC, PS Ahmed Paur Lamma, District Rahim Yar Khan</t>
  </si>
  <si>
    <t>Traced Person. Abdul Samad has been traced. He was present before the Commission at the hearing on 06/10/2018 . He submitted that he has returned home after six months; however he could not give further details about place and the persons involved in his detention for obvious reasons.</t>
  </si>
  <si>
    <t>5314-P</t>
  </si>
  <si>
    <t>Mosa Khan s/o Ghulab Khan</t>
  </si>
  <si>
    <t>Wali Khan, r/o p.O Khas, Langar Pur, Tehsil &amp; District Jehlum. (Mobile No. 0307-5852782)</t>
  </si>
  <si>
    <t>FIR No. 281/18 dated 11/09/2018 ui/s 365 PPC, PS Wandho, Gujranwala</t>
  </si>
  <si>
    <t>Traced Person. Mr. Farooq Hussain, Inspector CTD, Gujranwala was present at the hearing on 4.3.2019 and submitted that Mosa Khan s/o Gulab Khan was arrested in case FIR No. 22/2018 u/s 4/5/7/11 HB-12H, ATA 1997 r/w 13/20/65 AO PS CTD, Lahore and detained in Central Jail, Sahiwal.</t>
  </si>
  <si>
    <t>5315-K</t>
  </si>
  <si>
    <t>Attique-ur-Rehman s/o Ghulam Nabi</t>
  </si>
  <si>
    <t>Ghulam Nabi, Bagh Medan, Tehail Lal Qila, District Lower Dir. (Mobile No. 0306-8525579)</t>
  </si>
  <si>
    <t>FIR No.622 dt.11/09/2018 u/s 365 PPC,PS/Lal Qila ,District Lower Dir.</t>
  </si>
  <si>
    <t>5316-K</t>
  </si>
  <si>
    <t>Saeed Ghani Khan s/o Ameer Nawaz</t>
  </si>
  <si>
    <t>Ameer Nawaz, r/o Dhera Kilay, P.O Tangi, District Charsadda. (Mobile No. 0302-8052914)</t>
  </si>
  <si>
    <t>FIR No. 431 dated 13/09/2018 u/s 365 PPC, PS AkoraLamma, District Nowshera</t>
  </si>
  <si>
    <t>Deleted. JOT report dated 11.2.2020 the case has been categorized as a case of Missing Person has gone on his own. The case was also taken up by PTF on 12.2.2020 and the same was categorized gone on his own. IO of the case has submitted that the statement of nine witnesses were recorded u/s 161 Cr.PC but none of them is EW of the occurrence. There is absolutely nothing which can bring the matter within the ambit of Enforced Disappearance. Therefore, further proceeding by the Commission would be a futile exercise. The case is closed.</t>
  </si>
  <si>
    <t>5317-K</t>
  </si>
  <si>
    <t>Asmat Ullah s/o Sumandar Khan</t>
  </si>
  <si>
    <t>Mst. Safina r/o Yakatoot Munda Beri, Peshsawar. (Mobile No. 0312-5851264)</t>
  </si>
  <si>
    <t>5318-F</t>
  </si>
  <si>
    <t>Kifayat Ullah s/o Bakhtayar Khan</t>
  </si>
  <si>
    <t>Muhammad Abdul Rehman, r/o Charkha Khel, P.O Islamia College, Tehsil &amp; District Hangu. (Mobile No. 0306-2010309)</t>
  </si>
  <si>
    <t>Traced Person. Kifayat Ullah has been traced. He has returned to home at the hearing on 12/10/2018. Muhammad Abdul Rehman complainant was present who affirmed that Kifayat Ullah has returned to home on 04/10/2018.</t>
  </si>
  <si>
    <t>5319-S</t>
  </si>
  <si>
    <t>Romana Munawar Ghazi s/o Romana Hussain</t>
  </si>
  <si>
    <t>Farooq Khan, r/o House No. 77-H, Block No. 02, PECHS Road, Karachi. (Mobile No. 92 416-5692017)</t>
  </si>
  <si>
    <t>Traced Person. It was informed at the hearing in this Commission on 12/11/2018 that Romana Munawar Ghazi returned to home. The report submitted by PS, Ferozabad is placed on record.</t>
  </si>
  <si>
    <t>5320-S</t>
  </si>
  <si>
    <t>Abid Hussain s/o Khuda Bakhsh</t>
  </si>
  <si>
    <t>Mst. Beenish Ghulam Nabi, r/o House No. 149/1, Street No. 21, Khayaban-e-Qasim, Phase VIII, DHA, Clifton Cantt, Karachi. (Mobile No. 0300-2085283)</t>
  </si>
  <si>
    <t>Traced Person. It was informed at the hearing held in this Commission on 05/11/2018 that Abid Hussain had returned to home. The report submitted by the Police Officer PS, Clifton is placed on record.</t>
  </si>
  <si>
    <t>5321-K</t>
  </si>
  <si>
    <t>Hafiz Muhammad Imran Khan s/o Qayyum Nawaz</t>
  </si>
  <si>
    <t>Aziz-ur-Rehman, r/o House No. 240, Street No. 22, Block No. D, Pak PWD Society, Lohi Behr Islamabad. (Mobile No. 0335-8600057)</t>
  </si>
  <si>
    <t>Traced Person. It has been intimated that Hafiz Muhammad Imran Khan has been traced, who is presently confined in Central Jail, Karachi vide FIR No. 100 dated 19/09/2018 u/s 11-H(I), 11.N/ATA, PS /CTD Karachi. Uzair Rehman son of traced person is present. He has affirmed that his father is confined in the Central Jail, Karachi and he has held meeting with him in the jail.</t>
  </si>
  <si>
    <t>5322-K</t>
  </si>
  <si>
    <t>Abdul Raqeeb s/o Sairaj Muhammad</t>
  </si>
  <si>
    <t>Abdul Salam, r/o Baba Kilay, P.O Gadar, Tehsil &amp; District Mardan. (Mobile No. 0312-6594157)</t>
  </si>
  <si>
    <t>FIR No. 1586 dated 07/09/2018 PC Gagra District Bonair</t>
  </si>
  <si>
    <t>Traced Person. Abdul Raqeeb has been traced. He has returned home. IO/SI Muhammad Hanif is present, whose statement has been recorded on oath. According his statement brother oif Abdul Raqeeb namely Abdul Salam appeared before him, whose statement was recorded u/s 164 Cr.PC has been placed on record</t>
  </si>
  <si>
    <t>5323-K</t>
  </si>
  <si>
    <t>Muhammad Umair Khan s/o Hameed Ullah Khan</t>
  </si>
  <si>
    <t>Mst. Farzana Bibi, r/o Mohallah Mosa Zai, Tehsil Kalachi, District Dera Ismail Khan. (Mobile No. 0313-9376623)</t>
  </si>
  <si>
    <t>Traced Person. It was informed at the hearing held on 26/09/2018 that Muhammad Umair Khan has been traced and presently confined in Internment Center Kohat. Muhammad Awais Khan brother of Muhammad Umair Khan was present. He affirmed that the family members have already seen Muhammad Umair Khan in the Internment Center Kohat on 05/09/2018.</t>
  </si>
  <si>
    <t>5324-S</t>
  </si>
  <si>
    <t>Muhammad Ismail s/o Abdul Wadood</t>
  </si>
  <si>
    <t>Mst. Dil taj Begum, r/o Village Ghari, Shamozai, Tehsil Barekot, District Swat. (Mobile No. 0313-9111029)</t>
  </si>
  <si>
    <t>Traced Person. It was informed at the hearing held in this Commission on 19/12/2018 that Muhammad Ismail is confined in Internment Center Fort Salop. Family members have been allowed to meet him subject to prescribed procedure and all legal exceptions.</t>
  </si>
  <si>
    <t>5325-F</t>
  </si>
  <si>
    <t>Waqaif Khan s/o Hameed Gul</t>
  </si>
  <si>
    <t>Wahid Gul, r/o Bar Qambar Khel, Samar Baba, Tehsil Wada, P.O Bara, Khyber Agency. (Mobile No. 0310-5420101)</t>
  </si>
  <si>
    <t>Traced Person. Waqif Khan has been traced. He is presently in custody of FC/KP (North). He was submitted that his case has been proposed for trial in Military Court.</t>
  </si>
  <si>
    <t>5326-F</t>
  </si>
  <si>
    <t>Noor Muhammad s/o Khwaza Khan</t>
  </si>
  <si>
    <t>Mst. Maryam Bibi, r/o Zer Sar, Nawaz Koat, Lala Ziarat , tehsil Ladha, District South Waziristan. (Mobile No. 0303-8595936 &amp; 0343-3227450)</t>
  </si>
  <si>
    <t>FIR No. 01 dated 10/11/2020, u/s 365 PPC, P.S Sarogha District SWTD</t>
  </si>
  <si>
    <t>5327-P</t>
  </si>
  <si>
    <t>Muhammad Shahbaz s/o Zulfiqar Ahmed</t>
  </si>
  <si>
    <t>Mst. Naseem Bibi, r/o Fire Brigade , Street No. 02, Mohallah Soneri Town, Faisalabad. (Mobile No. 0336-1074235)</t>
  </si>
  <si>
    <t>33100-6462254-1</t>
  </si>
  <si>
    <t>Traced Person. Muhammad Shahbaz has appeared before the Commission on 17.12.2019, whose statement has been recorded on oath. He has deposed that he was taken into custody from home in the year 2014 and was taken away to some unknown place and released about a month ago. IO/SI has recorded and submitted statement of Muhamamd Shahbaz on Stamp Paper.</t>
  </si>
  <si>
    <t>5328-P</t>
  </si>
  <si>
    <t>Husnain Muavia s/o Muhammad Ramzan</t>
  </si>
  <si>
    <t>Rehmat Ullah, r/o Mustafa Park, Mohallah Sabzazar,Scheme, Multan Road, Lahore. (Mobile No. 0332-7167757)</t>
  </si>
  <si>
    <t>Traced Person. According to the report received from DPO, D.G.Khan Husnain Mauvia has been trace. He has been arrested by CTD Police in case FIR No. 44 dated 02/09/2018 u/s 4/5 ESA 1908, 13 (2-a) 30/65 Armed Ordinance, 11N/7ATA 1997, PS/ CTD Multan. He was sent to Central Jail Multan on Judicial remand. Father of Husnain Mauvia is present. He also affirmed that he has recently seen his son in the Jail.</t>
  </si>
  <si>
    <t>5329-P</t>
  </si>
  <si>
    <t>Muhammad Haseeb s/o Muhammad Naseeb</t>
  </si>
  <si>
    <t>Muhammad Khateeb Khan, r/o Soughat Murgh Pulao, Satellite Town, Rawalpindi. (Mobile No. 0312-5878016)</t>
  </si>
  <si>
    <t>Traced Person. Muhammad Khateeb Khan b/o Muhammad Haseeb appeared on 13/11/2018 and confirmed that his brother Muhammad Haseeb had returned to home.</t>
  </si>
  <si>
    <t>5330-P</t>
  </si>
  <si>
    <t>Raj Wali s/o Muhammad Aslam</t>
  </si>
  <si>
    <t>Mst. Ifat Jan, r/o Al-Zehra,Hijab Markaz, Near Aqsa Masjid, Peoples Colony, Attock. (Mobile No. 0331-9306822)</t>
  </si>
  <si>
    <t>FIR No.279/18 dated 23-05-2018 u/s PPC 365, PC City, District Attock.</t>
  </si>
  <si>
    <t>Traced Person. Raj Wali entered appearance before the Commission on 3.4.2019 and his statement has been recorded on oath. In which, he has stated that he was taken into custody on 23.5.2018 by some unknown persons, kept at some unknown place and was set free on 23.1.2019. However, he could not furnish further details for obvious reasons.</t>
  </si>
  <si>
    <t>5331-S</t>
  </si>
  <si>
    <t>Shah Khalid s/o Muhammad Fayun</t>
  </si>
  <si>
    <t>Mst. Qalsoom Bibi, r/o Budgarem, Tehsil Matta, District Swat. (Mobile No. 0349-7313948)</t>
  </si>
  <si>
    <t>5332-F</t>
  </si>
  <si>
    <t>Fazal Subhan s/o Syed Jalal-ud-Din</t>
  </si>
  <si>
    <t>Syed Jalal-ud-Din, r/o P.O Inayat Kilay, Tehsil Mohmand, District Bajur Agency. (Mobile No. 0304-9166812)</t>
  </si>
  <si>
    <t>5333-S 5246-S</t>
  </si>
  <si>
    <t>Muhammad Umar Makshai s/o Muhammad Khalid Makshai</t>
  </si>
  <si>
    <t>Osama Khalid, r/o House No. 27/F, Block No. 02, PECHS, Society, Karachi. (Mobile No. 0314-5456800)</t>
  </si>
  <si>
    <t>Traced Person. At the hearing held in this case on 15.3.2021. It was informed by SDPO, Feraozabad, Karachi that a case vide FIR No. 1/2021 u/s 11H/11I/11J, 11/N, 6/1 7 ATA 1997 dated 1.1.2021 was registered and he was arrested by CTD Multan. Muhammad Umar Mashkai also appeared on 15.3.2021 and he was released on bail by the Court. No further action is required. The case is closed.</t>
  </si>
  <si>
    <t>5334-I</t>
  </si>
  <si>
    <t>Aman Ullah s/o Toor Jan</t>
  </si>
  <si>
    <t>Mian Gul, r/o Shenkot, Tehsil Khar, District Bajur. (Mobile No. 0307-8126956)</t>
  </si>
  <si>
    <t>Traced Person. Mian Gul brother of missing person is present, whose statement has been recorded, according to which his brother was abducted on 03/12/2017. Since FIR was not registered, whereafter he filed complainant before the Commission. He further stated that his brother returned on 13/11/2018. On account of aliment he could not appear before the Commission.</t>
  </si>
  <si>
    <t>5335-P</t>
  </si>
  <si>
    <t>Abdul Hanan s/o Salabat Ali</t>
  </si>
  <si>
    <t>Mst. Kausar Bibi, r/o Chakl No. 301, GB, Tehsil &amp; District Toba Tek Singh. (Mobile No. 0344-7898225)</t>
  </si>
  <si>
    <t>FIR No. 456 dated 15/09/2018 u/s 365 PPC, PS City District Toba Tek Singh</t>
  </si>
  <si>
    <t>Traced Person. DPO T.T. Singh appeared for hearing on 7.3.2019 and submitted that FIR was lodged on 15.9.2018. JIT meeting was held on 27.2.2019. He has further stated that Abdul Hanan was traced and his statement was recorded u/s 164 Cr.PC.</t>
  </si>
  <si>
    <t>5336-K</t>
  </si>
  <si>
    <t>Ali Akbar s/o Bakhtayar</t>
  </si>
  <si>
    <t>Mst. Nashpara Bibi, r/o Payan, Parangey, P.O Sakha Kot. Dargai, Malakand. (Mobile No. 0344-8224500)</t>
  </si>
  <si>
    <t>17101-0243189-7</t>
  </si>
  <si>
    <t>5337-K</t>
  </si>
  <si>
    <t>Falak Naz s/o Muhammad Rasool</t>
  </si>
  <si>
    <t>Saeed Ibrar, r/o Payan Peer Tab, Banda, District Swabi. (Mobile No. 0316-0095573)</t>
  </si>
  <si>
    <t>Traced Person. Falak Naz appeared for hearing on 31/10/2018 and affirmed that Falak Naz has returned to home and present at his residence. In this connection recorded statement of Falak Naz Traced Person and furnished copy of the same which has been placed on record.</t>
  </si>
  <si>
    <t>5338-K</t>
  </si>
  <si>
    <t>Saif Ullah s/o Saeed Ibrar</t>
  </si>
  <si>
    <t>Traced Person. Rep of MI is present on 25.3.2019 and submitted that the case of Saif Ullah s/o Saeed Ibrar is pending in military court and proceedings will be commended subject to approval by the Federal Government.</t>
  </si>
  <si>
    <t>5339-K</t>
  </si>
  <si>
    <t>Muhammad Zareen s/o Wazir Zada</t>
  </si>
  <si>
    <t>Mst. Akhtar Bibi, r/o Rehman Abad, Rahim Abad, Qambar, Tehsil Babu Zai, District Swat. (Mobile No. 0347-2223430 &amp; 0347-9534531)</t>
  </si>
  <si>
    <t>Deleted. The Complainant Sardar Ali (Brother) appeared before the Commission on 25.06.2021 whose statement was recorded on oath in which he stated that the complaint lodged by his lat mother was based on hessy and he has no evidence in support of enforced disappearance of his brother Muhammad Zareen. In view of above, the case is closed.</t>
  </si>
  <si>
    <t>5340-K</t>
  </si>
  <si>
    <t>Wazir Zada s/o Sher Zada</t>
  </si>
  <si>
    <t>Deleted. The Complainant Sardar Ali (Brother) appeared before the Commission on 25.06.2021 whose statement was recorded on oath in which he stated that the complaint lodged by his lat mother was based on hessy and he has no evidence in support of enforced disappearance of his brother Wazir Zada. In view of above, the case is closed.</t>
  </si>
  <si>
    <t>5341-S</t>
  </si>
  <si>
    <t>Muhammad Ajmal s/o Afzal-ul-Haq</t>
  </si>
  <si>
    <t>Mst. Tasneem Kausar, r/o Head Rajgan, Tehsil Yezman, District Bahawalpur. (Mobile No. 0308-7942347)</t>
  </si>
  <si>
    <t>Traced Person. It was informed at the hearing held in this Commission on 11/12/2018 that Muhammad Amjad has returned to home. The report submitted by the LEA is placed on record.</t>
  </si>
  <si>
    <t>5342-S</t>
  </si>
  <si>
    <t>Zakir Ullah s/o Inam Muhammad</t>
  </si>
  <si>
    <t>Mst. Maryam Bibi, r/o Khazana, Tehsil &amp; District Lower Dir. (Mobile No. 0305-8937603)</t>
  </si>
  <si>
    <t>5343-K</t>
  </si>
  <si>
    <t>Iftikhar Ali s/o Muhammad Shafique</t>
  </si>
  <si>
    <t>Muhammad Shafique, r/o Village Umaraabad (Bahram Dheri), P.O Musa Khat, Tehsil &amp; District Mardan. (Mobile No. 0313-5723232)</t>
  </si>
  <si>
    <t>Traced Person. It has been informed by Rep of MI at the hearing held in this case on 26/09/2018 that Iftikhar Ali has been traced and presently he is confined in Internment Center Lakki Marwat. Family members of Iftikhar Ali shall be facilitated to see him in the Internment Center as per rules and procedures.</t>
  </si>
  <si>
    <t>5344-P</t>
  </si>
  <si>
    <t>Muhamad Yousaf s/o Hassan Khan</t>
  </si>
  <si>
    <t>Muslim Khan, r/o Tehsil Ladha, District South Wazairistan Agency. (Mobile No. 0341-0094432)</t>
  </si>
  <si>
    <t>Traced Person. Muhammad Yousaf s/o Hassan Khan appeared in person before the Commission on 19.6.2019, whose statement has been recorded on oath. According to him he was not abducted by anyone but he fled himself to Sohrab Goth Karachi.</t>
  </si>
  <si>
    <t>5345-K</t>
  </si>
  <si>
    <t>Ali Khan s/o Badshah Khan</t>
  </si>
  <si>
    <t>Naseem Khan, P.O Lakeray, Tehsil Upper Mohmand, District Mohmand Agency. (Mobile No. 0345-9190063)</t>
  </si>
  <si>
    <t>21406-8037511-3</t>
  </si>
  <si>
    <t>5346-K</t>
  </si>
  <si>
    <t>Mekaiel Khan s/o Hayat</t>
  </si>
  <si>
    <t>Ismail, r/o Boshara. (Mobile No. 0302-9030759 &amp; 0302-9371890)</t>
  </si>
  <si>
    <t>21303-8042330-1</t>
  </si>
  <si>
    <t>FIR No.588 dated 30/08/2018 u/s 365 PPC PS Saru shah, District Mardan.</t>
  </si>
  <si>
    <t>Traced Person. According to report dated 3.8.2020 received from Rep of MI, Mekail Khan s/o Hayat is interned in Internment Center Lakki Marwat under Action (aid in Civil Power) Regulations 2011 for FATA/PATA. Ismail Khan appeared for hearing on 8.9.2020 who was apprised of the status of the case. No further action is required . The case is closed.</t>
  </si>
  <si>
    <t>5347-F</t>
  </si>
  <si>
    <t>Abdul Razaq s/o Shereen Khan</t>
  </si>
  <si>
    <t>Saeed Wali, r/o Bohshara Aziz Kilay, Tehsil Upper Karam, District Kurram Agency. (Mobile No. 0304-9956245 &amp; 0304-1196770)</t>
  </si>
  <si>
    <t>Traced Person. Rep of MI is present. He has submitted that a case of Abdul Razzaq has been approved by Ministry of Interior for trial in Military Court. Said Wali and Muhammad Qasim brothers of missing persons have entered appearance before the Commission who have been apprised of status of the case.</t>
  </si>
  <si>
    <t>5348-F</t>
  </si>
  <si>
    <t>Khair Ullah s/o Zari Shah</t>
  </si>
  <si>
    <t>Zari Shah, Bar Qambar Khel, P.O Bara, District Khyber Agency. (Mobile No. 0306-4390959 &amp; 0300-3000578)</t>
  </si>
  <si>
    <t>Traced Person. Rep of MI is present. He has submitted that a case of Khair Ullah has been approved by Ministry of Interior for trial in Military Court. Said Wali and Muhammad Qasim brothers of missing persons have entered appearance before the Commission who have been apprised of status of the case.</t>
  </si>
  <si>
    <t>5349-F</t>
  </si>
  <si>
    <t>Rehmat Shah s/o Noor Ahmed Shah</t>
  </si>
  <si>
    <t>Noor Ahmed Shah, r/o Mohallah Peer Tab, Banda, Tehsil &amp; District Swabi. (Mobile No. 0343-1979575 &amp; 0333-9429029)</t>
  </si>
  <si>
    <t>FIR No. 180 dated 22/11/2020, u/s 365 PPC, P.S Wana, District SWTD</t>
  </si>
  <si>
    <t>Traced Person. Rep of MI is present. He has submitted that a case of Rehmat Shah has been approved by Ministry of Interior for trial in Military Court. Said Wali and Muhammad Qasim brothers of missing persons have entered appearance before the Commission who have been apprised of status of the case.</t>
  </si>
  <si>
    <t>31st August, 2018</t>
  </si>
  <si>
    <t>5350-K</t>
  </si>
  <si>
    <t>Hamad-ud-Din s/o Luqman-ud-Din</t>
  </si>
  <si>
    <t>Ayaz-ud-Din, r/o Mohallah Baz Deen, Tehsil &amp; District Mardan. (Mobile No. 0311-2203539)</t>
  </si>
  <si>
    <t>01st Sept, 2018</t>
  </si>
  <si>
    <t>5351-K</t>
  </si>
  <si>
    <t>Saddam Hussain s/o Abdul Ghaffar</t>
  </si>
  <si>
    <t>Abdul Ghaffor, r/o Village Sard Chand, Tehsil Raz, District Swabi. (Mobile No. 0340-9780716)</t>
  </si>
  <si>
    <t>5352-P</t>
  </si>
  <si>
    <t>Awais Haseeb s/o Haseeb-ul-Hassan</t>
  </si>
  <si>
    <t>Muhammad Dilawar Haseeb, r/o House No. 393/3A, Street No. 05, Muhammad Pura, Lalaq Pur, Mughalpura, Lahore. (Mobile No. 0300-8042625)</t>
  </si>
  <si>
    <t>Traced Person. Awais Haseeb has been traced. He has returned home and appeared before the Commission on 19.6.2019. His statement has been recorded on oath. He has stated that he was abducted in 10.8.2018 and was set free in November, 2018.</t>
  </si>
  <si>
    <t>5353-P</t>
  </si>
  <si>
    <t>Qari Abu Bakar Saeed s/o Rana Muhammad Saeed Fayazi</t>
  </si>
  <si>
    <t>Rana Muhammad Saeed Fayazi, r/o Awami Colony, Tehsil Sadaqabad, District Rahim Yar Khan. (Mobile No. 0300-7828171)</t>
  </si>
  <si>
    <t>FIR No. 526 dated 4.10.2018 u/s 365 PPC PS Sadiqabad, District Rahim Yar Khan</t>
  </si>
  <si>
    <t>5354-P</t>
  </si>
  <si>
    <t>Muhammad Shafique s/o Ghulam Qadir</t>
  </si>
  <si>
    <t>Ghulam Qadir, r/o Arif Town, Tehsil Sadaqabad, District Rahim Yar Khan. (Mobile No. 0301-6594162)</t>
  </si>
  <si>
    <t>FIR No. 525 dated 4.10.2018 u/s 365 PPC PS City Sadiqabad, District Rahim Yar Khan</t>
  </si>
  <si>
    <t>5355-K</t>
  </si>
  <si>
    <t>5356-P</t>
  </si>
  <si>
    <t>Muhammad Yaqoob Shakir s/o Qari Zakria</t>
  </si>
  <si>
    <t>Muhammad Ismail, r/o Basti Kasrean, P.O Chak Madrasa, Tehsil &amp; District Bahawalnagar. (Mobile No. 0300-7927331 &amp; 0331-7927431)</t>
  </si>
  <si>
    <t>Deleted. A perusal of the relevant record indicates that Hafiz Muhammad Ismail has submitted a complaint dated 11.5.2018 against that at the complaint no LEAs/ Intelligence Agency was nominated. Father of Missing Person expressed suspicion that his daughter in law is deeply involved in disappearance of Missing Person. Accordingly, not a case of enforced disappearance. Hence, the case is closed.</t>
  </si>
  <si>
    <t>5357-F</t>
  </si>
  <si>
    <t>Merbhan Shah s/o Jan Badshah</t>
  </si>
  <si>
    <t>Bakhat Buland, r/o Bar Qambar Khel, Sheikh Mail Khel, Hamdrad Kilay, District Khyber Agency. (Mobile No. 0307-5492824)</t>
  </si>
  <si>
    <t>Traced Person. Merbhan Shah has been reported to be confined in Central Jail, Peshawar. In this connection statement of Mr. Raees Khan, Rep of ISI has been recorded on oath, who has also produced report.</t>
  </si>
  <si>
    <t>5358-P</t>
  </si>
  <si>
    <t>Muhammad Atif Baig s/o Pervaiz Baig</t>
  </si>
  <si>
    <t>Muhammad Wasif Baig, r/o Allama Iqbal Town, Lahore (Mobile No. 0321-4382338)</t>
  </si>
  <si>
    <t>FIR No. 1003/18 dadted 17/08/2018 u/s 365 PPC, PS Iqbal Town, Lahore</t>
  </si>
  <si>
    <t>Traced Person. Muhammad Atif Baig has been traced. He has returned Muhammad Wasif Baig Complainant appeared before the Commission on 18.6.2019 , whose statement has been recorded on oath in which he confirmed return of his brother.</t>
  </si>
  <si>
    <t>5359-S</t>
  </si>
  <si>
    <t>Syed Mumtaz Hussain Rizvi s/o Syed Zahir Hussain Rizvi</t>
  </si>
  <si>
    <t>Mst. Zehra Masooma, r/o B-128, New Rizvia Society, Scheme No. 33, Sector No. 34-A, Karachi. (Mobile No. 0346-8222777)</t>
  </si>
  <si>
    <t>Deleted. The case is deleted as no allegation has been leveled against any of the LEAs. Hence not a case of enforced disappearance. The case is closed.</t>
  </si>
  <si>
    <t>5360-S</t>
  </si>
  <si>
    <t>Maqsood Khan s/o Muhammad Afsar Khan</t>
  </si>
  <si>
    <t>Mst. Jameela Khatoon, r/o Dheri Kehnal, P.O Rajoiya, Tehsil &amp; District Abbottabad. (Mobile No. 0343-9577527)</t>
  </si>
  <si>
    <t>Deleted. Reports have been received in case from Sindh Police and Pakistan Navy has been observed that due to absence from duty , Maqsood Khan, Marine Branch Sailor PN was declared absconded and he is wanted by PN, Hence not a case of enforced disappearance and closed.</t>
  </si>
  <si>
    <t>5361-K</t>
  </si>
  <si>
    <t>Qasim Khan s/o Gohar Khan</t>
  </si>
  <si>
    <t>Abdul Latif, r/o Bhara Kahu, Simili Dam Road, Pind Bhawgan, Islamabad. (Mobile No. 0312-5681425)</t>
  </si>
  <si>
    <t>Traced Person. Brother of Qasim Khan is present at the hearing on 5.3.2019. He is submitted that he has spoken to his brother, who is presently confined in Political Hawalat Kurram at Para Chinar.</t>
  </si>
  <si>
    <t>5362-B</t>
  </si>
  <si>
    <t>Abdullah s/o Saleh Muhammad</t>
  </si>
  <si>
    <t>Saheai, r/o Kuli Kochoki, District Noshki. (Mobile No. 0332-2140432)</t>
  </si>
  <si>
    <t>Traced Person. It was informed at the hearing held in this Commission during 21-26 January, 2019 at Quetta, that alleged Missing Person Abdullah s/o Saleh Muhammad has returned to home.</t>
  </si>
  <si>
    <t>5363-S</t>
  </si>
  <si>
    <t>Tallah Khalid s/o Khalid Akhtar</t>
  </si>
  <si>
    <t>Khalid Akhtar, r/o House No. 169-A, Mohallah Waheeabad, Karachi. (Mobile No. 0344-2674378)</t>
  </si>
  <si>
    <t>Traced Person. It was informed at the hearing held in this Commission on 28/2/2019 that dead body of Missing Person Talah Khalid was recovered and buried at Machio Goth Area</t>
  </si>
  <si>
    <t>5364-F</t>
  </si>
  <si>
    <t>Hanzala s/o Ghulab</t>
  </si>
  <si>
    <t>Muhammad Aziz, r/o Koki Khel, Jamrood, Khyber Agency. (Mobile No. 0331-9553056 &amp; 0331-5746849)</t>
  </si>
  <si>
    <t>Traced Person. Hanzala has been traced. According to report received from Rep of MI Hanzala was put on trail by Military Court and was released 14 years and confined in District Jail, Kohat.</t>
  </si>
  <si>
    <t>5365-F</t>
  </si>
  <si>
    <t>Hakeem Khan s/o Jan Muhammad</t>
  </si>
  <si>
    <t>Mst. Janmeia, r/o P.O Ghalani, Lanadai Shah, Tehsil Upper Mehmand, District Mohmand Agency. (Mobile No. 0345-2493393 &amp; 0300-9346754)</t>
  </si>
  <si>
    <t>5366-F</t>
  </si>
  <si>
    <t>Shahzad s/o Khanat Gul</t>
  </si>
  <si>
    <t>Khanat Gul, r/o Jamrood, District Khyber Agency. (Mobile No. 0308-9278274 &amp; 0334-9214091)</t>
  </si>
  <si>
    <t>5367-K</t>
  </si>
  <si>
    <t>Subhan Ullah s/o Umar Muhammad</t>
  </si>
  <si>
    <t>Mst. Zareena Bibi, r/o Sundarwal, Barawal, Upper Dir (Mobile No. 0342-1991336)</t>
  </si>
  <si>
    <t>Traced Person. Accordingly report received at the hearing on 05/11/2018 from DPO, Lower Dir that Subhan Ullah is confined Kohat Jail and his brother has already met him in the aforesaid jail.</t>
  </si>
  <si>
    <t>5368-K</t>
  </si>
  <si>
    <t>Abdul Jabbar s/o Muhammad Razaq</t>
  </si>
  <si>
    <t>Abdul Razaq, r/o Shaka Banda, Peer Tab, Tehsil &amp; District Swabi. (Mobile No. 0332-9406277 &amp; 0301-8356408)</t>
  </si>
  <si>
    <t>Traced Person. Muhammad Razaq, father of the traced person appeared for hearing on 25.3.2019. Rep of MI submitted that Abdul Jabbar s/o Muhammad Razaq is in Internment Centre Malakand. He has also produced report which is placed on record.</t>
  </si>
  <si>
    <t>5369-K</t>
  </si>
  <si>
    <t>Liaquat Ali Khan s/o Bakhtam-ud-Din</t>
  </si>
  <si>
    <t>Mst. Jameela Bibi, r/o Dara, District Dir Payan. (Mobile No. 0305-9248432)</t>
  </si>
  <si>
    <t>Clubbed with Case No. 0574</t>
  </si>
  <si>
    <t>5370-K</t>
  </si>
  <si>
    <t>Nahaz Ali s/o Ismail Khan</t>
  </si>
  <si>
    <t>Kaifiat Ullah, r/o Kamal Korana, Koza Sarway Kilay, P.O Shabaqadar. (Mobile No. 0333-9369862 &amp; 0308-2285305)</t>
  </si>
  <si>
    <t>5371-P</t>
  </si>
  <si>
    <t>Abdul Khaliq s/o Akhtar Gul</t>
  </si>
  <si>
    <t>Akhtar Gul, r/o Dowazai, P.O Yak Ghund, Mohmand Agency. (Mobile No. 0303-4831638)</t>
  </si>
  <si>
    <t>5372- I</t>
  </si>
  <si>
    <t>Noor Adam s/o Gul Kadam</t>
  </si>
  <si>
    <t>Noor Qadam, r/o Village Barkey Marwat, P.O Tajori, Tehsil &amp; District Lakki Marwat. (Mobile No. 0303-8308111 &amp; 0300-8933330)</t>
  </si>
  <si>
    <t>Traced Person. Noor Adam has been traced. He has returned home. SI Nawab Khan of PS Tarnol has entered appearance whose statement has been recorded by the Commission on oath. He has furnished progress report, statement of Noor Adam u/s 164 CrPC.</t>
  </si>
  <si>
    <t>5373- I</t>
  </si>
  <si>
    <t>Muhammad Abdul Wajid s/o Muhammad Akram</t>
  </si>
  <si>
    <t>Col ® Qazi Imtiaz-ud-Din, r/o142 Iwraa Khan Avenue, Chakala Scheme No. 03, Rawalpindi. (Mobile No. 0321-9133339)</t>
  </si>
  <si>
    <t>FIR No. 380 dated 29.8.2018 u/s 365 PPC PS Kohsar, Islamabad</t>
  </si>
  <si>
    <t>Traced Person. It has been intimated at the hearing on 05/11/2018 that Muhammad Abdul Wahid has returned to home on 06/10/2018. This information has also been affirmed by the complainant who has entered appearance.</t>
  </si>
  <si>
    <t>5374- I</t>
  </si>
  <si>
    <t>Raja Usman Mahmood s/o Raja Mahmood Akhtar</t>
  </si>
  <si>
    <t>Mst. Farhat Sultana, r/o Hosue No. 240, Street No. 70, G-10/3, Islamabad. (Mobile No. 0321-9558966 &amp; 0331-5668635)</t>
  </si>
  <si>
    <t>Traced Person. Raja Usman Mehmood has been traced. According to reports received from Rep of MI Raja Usman Mehmood is presently confined in Internment Center Fort Salop (Tribal District Khyber).</t>
  </si>
  <si>
    <t>5375-P</t>
  </si>
  <si>
    <t>Afsar Khan s/o Haji Ali Man Khan</t>
  </si>
  <si>
    <t>Haji Ali Man Khan, r/o Kohat Jarma, Guard Kilay. (Mobile No. 0345-9425890)</t>
  </si>
  <si>
    <t>Traced Person. It was informed at the hearing held in this case by the Commission at Lahore that Afsar Khan is presently confined in the Internment Center Lakki Marwat. Family members have been allowed to meet him subject to prescribed procedure and all legal exceptions.</t>
  </si>
  <si>
    <t>5376-K</t>
  </si>
  <si>
    <t>Muhammad Gull s/o Wahid Gull</t>
  </si>
  <si>
    <t>Sami Ullah, r/o Charsadda Road, Mohallah Liquatabad, Bukhshi Pull, District Peshawar. (Mobile No. 0312-9209484)</t>
  </si>
  <si>
    <t>Traced Person. Sami Ullah, step son of Muhammad Gul entered appearance and submitted that Muhammad Gul had returned to home.</t>
  </si>
  <si>
    <t>5377-K</t>
  </si>
  <si>
    <t>Kabil Shah s/o Naseeb Rawan</t>
  </si>
  <si>
    <t>Ibrahim Shah, r/o Chara Mar, Sultan Was, P.O Peer Baba, Tehsil Dagar, District Bonair. (Mobile No. 0349-7299208)</t>
  </si>
  <si>
    <t>FIR No. 1054 dated 4.10.2018 u/s 365 PPC PS Pir Baba, District Bonair</t>
  </si>
  <si>
    <t>Under Investigation (ِKP)</t>
  </si>
  <si>
    <t>5378-P</t>
  </si>
  <si>
    <t>Rehman Gul s/o Akhtar Gul</t>
  </si>
  <si>
    <t>FIR No. 588/18 dated14/10/18 u/s 365 PPC, PS Naunakhla, Lahore</t>
  </si>
  <si>
    <t>Under Investigation (ِPunjab)</t>
  </si>
  <si>
    <t>5379-K</t>
  </si>
  <si>
    <t>Hakeem Gul s/o Gul Hamesh</t>
  </si>
  <si>
    <t>Yasir Khan, r/o Kopar, Tehsil Dargai, District Malakand. (Mobile No.0344-7305952 &amp; 0310-6617420).</t>
  </si>
  <si>
    <t>Malakanad</t>
  </si>
  <si>
    <t>5380-K</t>
  </si>
  <si>
    <t>Muhammad Khan s/o Fazal Aleem</t>
  </si>
  <si>
    <t>Azad Khan, r/o Tehsil Adazai, District Lower Dir. (Mobile No. 0346-2513829 &amp; 0344-9240895)</t>
  </si>
  <si>
    <t>5381-K</t>
  </si>
  <si>
    <t>Rizwan Ullah Khan s/o Abdul Wasea</t>
  </si>
  <si>
    <t>Abdul Wasea, r/o Village Hayat Khel, Shah Laz Khel, District Lakki Marawat. (Mobile No. 0345-9891824)</t>
  </si>
  <si>
    <t>Traced Person. Rizwan Ullah Khan has been traced, he has returned to home. In this connection statements of Aain Khan Sub-Inspector/IO PS Akro and Umar Gul DSP/CTD Nowshera have been recorded on oath.</t>
  </si>
  <si>
    <t>5382-K</t>
  </si>
  <si>
    <t>Rafi Ullah s/o Khair Rehman</t>
  </si>
  <si>
    <t>Khair Rehman, r/o P.O Samar Bagh, District Lower Dir. (Mobile No. 0302-8183798 &amp; 0344-0964099)</t>
  </si>
  <si>
    <t>FIR No. 338 dated 22/10/2018 u/s 365 PPC, PS Balambat District Dir Lower.</t>
  </si>
  <si>
    <t>5383-I</t>
  </si>
  <si>
    <t>Yasib Rehman s/o Murad Gul</t>
  </si>
  <si>
    <t>Mst. Nimra Anwar, r/o Mohallah Toheed Abad, Dowaba, Tehsil Tal, District Hangu. (Mobile No. 0300-9348365 &amp; 0300-9002651)</t>
  </si>
  <si>
    <t>FIR No. 62 dated 13/02/2019 u/s 365 PPC, PS Koral, Islamabad</t>
  </si>
  <si>
    <t>Deleted. Several hearings held in this case, the last one on 21.5.2020. Both JIT and PTF have given concurrent findings that the Missing Person has gone on his own. LEAs/CTD have denied apprehension/custody of Yasib Rehman. Accordingly, the case does not fall within the domain of enforced disappearances. Hence closed.</t>
  </si>
  <si>
    <t>5384-S</t>
  </si>
  <si>
    <t>Syed Muhammad Umar s/o Syed Masood Hussain</t>
  </si>
  <si>
    <t>Syed Masood Hussain, r/o A-76, Ground Floor, Co-Operating Society, KDA, Scheme No. 33, Gulzar-e-Hijri, Sector No. 16/A, Karachi. (Mobile No. 0300-2198995)</t>
  </si>
  <si>
    <t>Traced Person. Father of the traced person Syed Muhammad Umer confirmed return of his son to home, thereafter he requested to close the case.</t>
  </si>
  <si>
    <t>5385-F</t>
  </si>
  <si>
    <t>Noor Muhammad s/o Khawza Khan</t>
  </si>
  <si>
    <t>Yaar Muhammad, r/o Saro Baktai, P.O Charey Makeen, District South Waziristan Agency. (Mobile No. 0333-9896890)</t>
  </si>
  <si>
    <t>Under Investigation (ِFATA)</t>
  </si>
  <si>
    <t>5386-P</t>
  </si>
  <si>
    <t>Syeda Sabab Zehara Bukhari d/o Syed Zulfiqar Hussain Shah</t>
  </si>
  <si>
    <t>Mst. Shazia Bibi, r/o House No. 795, Street No. 12/2, Mohallah Qasimabad, Dhoke Khaba, Rawalpindi. (Mobile No. 0312-4446383 &amp; 0312-5418568)</t>
  </si>
  <si>
    <t>Deleted. IO/SI Muhammad Ashraf of PS/Waris Khan, district Rawalpindi appeared before the Commission on 12.9.2019, whose statement has been recorded on oath, in which he submitted that a case against the accused person is under trial in the Court. He further submitted that there is no allegation against any LEAs/Intelligence Agencies by the complainant regarding disappearance of the Missing Person. He has produced copies of FIR bearing No 534 dated 28.7.2018 complete Challan Form and the statement of witnesses recorded u/s 164 Cr.PC. All the documents suggest that it is not a case of enforced disappearance. Hence closed.</t>
  </si>
  <si>
    <t>5387-P</t>
  </si>
  <si>
    <t>Farhan Aftab s/o Aftab Hussain</t>
  </si>
  <si>
    <t>Deleted. IO/SI Muhammad Ashraf of PS/Waris Khan, district Rawalpindi appeared before the Commission on 12.9.2019, whose statement has been recorded on oath, in which he submitted that a case against the accused person is under trial in the Court. He further submitted that there is no allegation any LEAs/Intelligence Agencies by the complainant regarding disappearance of the missing person. He has produced copies of FIR being No 534 dated 28.7.2018 complete Challan Form and the statement of witnesses recorded u/s 164 Cr.PC. All the documents suggest that it is not a case of enforced disappearance. Hence closed.</t>
  </si>
  <si>
    <t>5388-P</t>
  </si>
  <si>
    <t>Shanawar Hussain Shah s/o Syed Waqas Hussain Shah</t>
  </si>
  <si>
    <t>Deleted. IO/SI Muhammad Ashraf of PS/Waris Khan, Rawalpindi appeared before the Commission on 12.9.2019, whose staartement has been recorded on oath, in which he submitted that a case against the accused person is under trial in the Court. He further submitted that there is no allegation any LEAs/Intelligence Agencies by the complainant regarding disappearance of the missing person. He has produced copies of FIR bearing No 534 dated 28.7.2018 complete Challan Form and the statement of witnesses recorded u/s 164 Cr.PC. All the documents suggest that it is not a case of enforced disappearance. Hence closed.</t>
  </si>
  <si>
    <t>5389-K</t>
  </si>
  <si>
    <t>Wasif Khan s/o Manjor Khan</t>
  </si>
  <si>
    <t>Abid Hussain, r/o Modan Korana, District Charsadda. (Mobile No. 0345-5858599 &amp; 0300-5857477)</t>
  </si>
  <si>
    <t>Traced Person. Wasif Khan has been traced. IO/SI Hadayyar Khan appeared on 10.5.2019 whose statement has been recorded on oath. He has submitted ttah brother of Wasif Khan has intimated on telephone that his brother, Wasif Khan has reached Peshawar.</t>
  </si>
  <si>
    <t>5390-K</t>
  </si>
  <si>
    <t>Suleman s/o Sher Zada</t>
  </si>
  <si>
    <t>Sher Zada, r/o Koza Shor,Shamkantara, Tehsil Matta, District Swat. (Mobile No. 0342-9748325)</t>
  </si>
  <si>
    <t>FIR No. 559 dated 10/10/18 u/s365 PPC, PS Shaheed Nerni</t>
  </si>
  <si>
    <t>Traced Person. It has been intimated at the hearing on 02/11/2018 that Suleman is presently confined in the Internment Center Paithom. I.O of the case is present, who has been apprised of status of the case.</t>
  </si>
  <si>
    <t>5391-K</t>
  </si>
  <si>
    <t>Mafat Khan s/o Safraz Khan</t>
  </si>
  <si>
    <t>Mst. Shamim Bibi, r/o Mohallah Tosa Khani Zaida, District Swabi. (Mobile No. 0316-0095794)</t>
  </si>
  <si>
    <t>FIR No. 534 dated 21/10/18 u/s 365 PPC, PS Zadia District Swabi</t>
  </si>
  <si>
    <t>Traced Person. SP (Inv) Swabi is present and submitted that Manfat Khan s/o Safraz Khan has returned to home on 6.2.2019. His statement on oath was got recorded u/s 164 CrPC. Similarly, the statement of Mst. Shamin Bibi m/o Manfat Khan was also recorded u/s 164 CrPC.</t>
  </si>
  <si>
    <t>5392-K</t>
  </si>
  <si>
    <t>Reham Akbar s/o Ahmed Jan</t>
  </si>
  <si>
    <t>Ahmed Jan, r/o Matta Aghwan, District Shangala. (Mobile No. 0341-1901554)</t>
  </si>
  <si>
    <t>Traced Person. Reham Akbar has been traced. It has been intimated at the hearing on 19/10/2018 that Reham Akbar is present confined in District Jail Kohat in a criminal case.</t>
  </si>
  <si>
    <t>5393-P</t>
  </si>
  <si>
    <t>Shahbaz Yousaf s/o Mian Muhammad Yousaf</t>
  </si>
  <si>
    <t>Mian Muhammad Yousaf, r/o House No. 15-H, Sabazar Scheme, Lahore. (Mobile No. 0333-4275896 &amp; 0304-4303747)</t>
  </si>
  <si>
    <t>FIR No. 118/18 dated 05-09.18 u/s 365 PPC PS Sabazar. Lahore.</t>
  </si>
  <si>
    <t>Traced Person. Shahbaz Yousaf has been traced. He is presently confined in Internment Centre Fort Salop in Khyber Agency as reported by Rep of MI at the hearing held on 19.4.2019.</t>
  </si>
  <si>
    <t>5394-K</t>
  </si>
  <si>
    <t>Khatab s/o Muhammad Ali</t>
  </si>
  <si>
    <t>Amjad Ali, r/o P.O Chamkani, Tehsil &amp; District Peshawar. (Mobile No. 0333-7675705)</t>
  </si>
  <si>
    <t>Traced Person. It has been intimated at the hearing on 31/10/2018 that Khatab has been traced. He is presently confined in the District Jail Kohat in case vide FIR No. 07 dated 03/10/2018 u/s 5 ESA/7ATA, PS/CTD, Kohat. Amjad Ali b/o Khatab is present. He has submitted that he has already met his brother in District Jail, Kohat.</t>
  </si>
  <si>
    <t>5395-K</t>
  </si>
  <si>
    <t>Abdul Rahim s/o Gul Muhammad</t>
  </si>
  <si>
    <t>Jamshed Khan , r/o Mohallah Sahiban, P.O Nahaqi, Tehsil &amp; District Peshawar. (Mobile No. 0305-9787778)</t>
  </si>
  <si>
    <t>5396-F</t>
  </si>
  <si>
    <t>Abdul Wali s/o Abdul Salam</t>
  </si>
  <si>
    <t>Abdul Hakeem, r/oHarmato, Bili Tang, Kohat. (Mobile No. 0348-0949483 &amp; 0331-8877836)</t>
  </si>
  <si>
    <t>5397-K</t>
  </si>
  <si>
    <t>Ilam Khan s/o Rehmat</t>
  </si>
  <si>
    <t>Sher, r/o Village Ghalekey, Mohallah Rasheed Abad, Tehsil Bari Kot District Swat. (Mobile No. 0347-5292640)</t>
  </si>
  <si>
    <t>Traced Person. It has been intimated at the hearing on 02/11/2018 that Ilam Khan is presently confined in Interment center Paithom. Brother of Missing Person has been apprised of the status of the case.</t>
  </si>
  <si>
    <t>5398-K</t>
  </si>
  <si>
    <t>Masood-ur-Rehman s/o Bahadur Khan</t>
  </si>
  <si>
    <t>Shabbir Ahmed, r/o Village Mesara, Masho, Hakeem Ghari, P.O Budh Ber, District Peshawar. (Mobile No. 0345-6859907 &amp; 0333-9118149).</t>
  </si>
  <si>
    <t>Deleted. JIT/PTF categorized the case as Missing Person has gone on his own. All stakeholders have denied arrest or custody of Masood-ur-Rehman. The complainant Shabbir Ahmed neither appeared in JIT meetings nor attended the hearing in this Commission. The case is closed being not a case of enforced disappearance.</t>
  </si>
  <si>
    <t>5399-K</t>
  </si>
  <si>
    <t>Luqman Ali s/o Nooran Shah</t>
  </si>
  <si>
    <t>Islam, r/o Village Bato Kilay, Tehsil Tangi, District Charsadda. (Mobile No. 0301-5515902)</t>
  </si>
  <si>
    <t>5400-K</t>
  </si>
  <si>
    <t>Hazrat Nabi s/o Mam Jan Khan</t>
  </si>
  <si>
    <t>Tahir Khan, r/o P.O Chuprial, Tehsil Matta, District Swat. (Mobile No. 0342-2478414)</t>
  </si>
  <si>
    <t>Traced Person. It has been intimated at the hearing on 02/11/2018 by Rep of MI that Hazrat Nabi is presently confined in Internment Center Paithom. Tahir Khan son of Hazarat Nabi is present who has been apprised of the status of the case.</t>
  </si>
  <si>
    <t>5401-K</t>
  </si>
  <si>
    <t>Aqeel Khan s/o Naqshay</t>
  </si>
  <si>
    <t>Arsla Khan, r/o Tangay Khor, P.O Madeen, Tehsil Bahreen, District Swat. (Mobile No. 0343-9743121)</t>
  </si>
  <si>
    <t>FIR No. 606 dated 13/10/18 u/s 365 PPC, PS Medan, District Swat.</t>
  </si>
  <si>
    <t>Traced Person. It has been intimated at the hearing on 02/11/2018 that Aqeel Khan is presently confined in Internment Center Paithom. Arsla Khan brother of Aqeel Khan is present. He has been apprised the status of the case.</t>
  </si>
  <si>
    <t>5402-P</t>
  </si>
  <si>
    <t>Tanveer Khan s/o Hazrat Gul Khan</t>
  </si>
  <si>
    <t>Sher Baz Khan, r/o Village Khatak Abad, Dawro Khel, Skindarabad, Tehsil &amp; District Mianwali. (Mobile No. 0302-6512179)</t>
  </si>
  <si>
    <t>Traced Person. Muhammad Afzal DSP, (Legal) Mianwali appeared before the Commission on 06/11/2018 and stated that Tanveer Khan has been traced and he was confined in Adiala Jail Rawalpindi in a criminal case. Farooq Khan cousin of Tanveer Khan was also present and confirmed he met Tanveer Khan.</t>
  </si>
  <si>
    <t>5403-K</t>
  </si>
  <si>
    <t>Muhammad Rehman s/o Abdul Rahim</t>
  </si>
  <si>
    <t>Noor Adalat, r/o Mohallad Malik Abad, Tangoli, Tehsil &amp; District Swat. (Mobile No. 0348-9579077)</t>
  </si>
  <si>
    <t>Traced Person. Ali Rehman father-in-law of the missing person is present. He has submitted that his family member met with Muhammad Rehman in Internment Center Fizaghat.</t>
  </si>
  <si>
    <t>5404-K</t>
  </si>
  <si>
    <t>Fazal Elhai s/o Fazal Mobeen</t>
  </si>
  <si>
    <t>Mst. Haseena Elahi, r/o Qazi Abad, G.T Road, Jehlum. (Mobile No. 0344-5404312)</t>
  </si>
  <si>
    <t>Traced Person. Fazal Elahi has returned to home. Children of Fazal Elahi namely Mst. Haseena Elahi (17 Years) and Ehsan Elahi (15 Years) are present. They have affirmed that their father (Fazal Elahi) has returned home on 7.3.2019.</t>
  </si>
  <si>
    <t>5405-P</t>
  </si>
  <si>
    <t>Safi Ullah s/o Tufail Ahmed</t>
  </si>
  <si>
    <t>Atta Ullah, r/o Buland, Tehsil Nawa Pur, District Khushab. (Mobile No. 0306-8601655)</t>
  </si>
  <si>
    <t>Traced Person. It was informed at the hearing held in this case by the Commission at Lahore that Safi Ullah was killed in encounter with CTD Police, Gujranwala.</t>
  </si>
  <si>
    <t>5406-P</t>
  </si>
  <si>
    <t>Saeed Rehman s/o Noor Hameed</t>
  </si>
  <si>
    <t>Muhammad Deen, r/o Village Chaki, Jamia Masjid Farooqia, Tehsil Pindi Ghep, District Attock. (Mobile No. 0348-5260541)</t>
  </si>
  <si>
    <t>Traced Person. Muhammad Deen appeared at the hearing on 13/11/2018 and stated that his brother Saeed Rehman had returned home on 07/10/2018.</t>
  </si>
  <si>
    <t>5407-A</t>
  </si>
  <si>
    <t>Muhammad Imran Khan s/o Muhammad Yaqoob Khan</t>
  </si>
  <si>
    <t>Mst. Sakena Begum, r/o P.O Abbas Pur, District Ponch, AJ&amp;K. (Mobile No. 0316-5438168)</t>
  </si>
  <si>
    <t>82301-0761455-1</t>
  </si>
  <si>
    <t>Under Investigation (ِAJ&amp;K)</t>
  </si>
  <si>
    <t>5408-S</t>
  </si>
  <si>
    <t>Umer Siddiqui s/o Muhammad Siddique</t>
  </si>
  <si>
    <t>Mst. Shamas-us-Nisa, r/o House No. B-214, Block No. 12, Sindh Balochistan Society, Near Ashraf Maddras, Gulistan-e-Johar, Karachi.</t>
  </si>
  <si>
    <t>Under Investigation (ِSindh)</t>
  </si>
  <si>
    <t>5409-K</t>
  </si>
  <si>
    <t>Zia Ullah s/o Sirtaj</t>
  </si>
  <si>
    <t>Sirtaj, r/oMohallah Pindi Chari Bala, Bakshali, Tehsil &amp; District Mardan. (Mobile No. 0334-8254995)</t>
  </si>
  <si>
    <t>Traced Person. Rep of MI is present at the hearing on 01/11/2018 and submitted that Zia Ullah is presently confined in Internment Center Lakki Marwat. Father of Zia Ullah is present, who has affirmed that Zia Ullah is present in Internment Center Lakki Marwat.</t>
  </si>
  <si>
    <t>5410-K</t>
  </si>
  <si>
    <t>Muhammad Sadiq s/o Muhammad Wali</t>
  </si>
  <si>
    <t>Muhammad Wali, r/o Matani Yousaf Khel, Tehsil &amp; District Peshawar. (Mobile No. 0305-9137560)</t>
  </si>
  <si>
    <t>5411-S</t>
  </si>
  <si>
    <t>Abdul Qadeer s/o Ali Muradan Jamali</t>
  </si>
  <si>
    <t>Mehrab Ali, r/o Village Haji Khan Jamali, Taulka, Thari Mera, District Khair Pur.</t>
  </si>
  <si>
    <t>Traced Person. It was informed at the hearing held in this Commission on 28.2.2019 that Mr. Abdul Qadeer has returned to home, as informed by ISI Letter No. 787/SJ/Abdul Qadeer-5411/Sindh/217 dated 19.2.2019.</t>
  </si>
  <si>
    <t>Ministry of Human Rights</t>
  </si>
  <si>
    <t>5412-K</t>
  </si>
  <si>
    <t>Ishaq s/o Muhammad</t>
  </si>
  <si>
    <t>Muhammad, r/o Nain Sukh, PS Chakari, Tehsil Alipur, District Shangala. (Mobile No. 0341-3911127)</t>
  </si>
  <si>
    <t>Traced Person. Muhammad Ishaq has entered appearance, whose statement has been recorded on oath. He has deposed that his son Ishaq came to Pakistan from Afghanistan, alongwith 51 bother persons, in the year 2016 and all of them surrendered themselves to Pak Army at Torkham border. He also submitted that children / family members of ishaq were handed over to him by Subedar Shafiq of Pak Army at Torkham and his son is presently confined in the Internment Center Paitham, District Swat, where he met him five times. Rep of MI submitted report indicating that same position. Accordingly, the case is closed.</t>
  </si>
  <si>
    <t>5413-K</t>
  </si>
  <si>
    <t>Janat Gul s/o Malik Salah-uh-Din</t>
  </si>
  <si>
    <t>Malik Salah-ud-Din, r/o Ziarat , Zai Kilay, P.O Lakaray, Tehsil Zirat, Uper Mohmand Agency. (Mobile No. 0300-0260311 &amp; 0304-9696363).</t>
  </si>
  <si>
    <t>17301-9497188-9</t>
  </si>
  <si>
    <t>5414-K</t>
  </si>
  <si>
    <t>Akhtar Rahim s/o Ismail</t>
  </si>
  <si>
    <t>Ismail, r/o Mohallah Kotkay,BPara Bandi, P.O Bara Bandi, Tehsil Kabal, District Swat. (Mobile No. 0348-9815226)</t>
  </si>
  <si>
    <t>Traced Person. Focal Person of MI is present and submitted that Akhtar Rahim is presently confined in the Internment Center Paithom. Family members of Akhtar Rahim shall be facilitated to see him in the Internment Center.</t>
  </si>
  <si>
    <t>5415-K</t>
  </si>
  <si>
    <t>Ijaz Haider s/o Ali Haider</t>
  </si>
  <si>
    <t>Awais Haider, r/o P.O Babu Zai, Tehsil Katalang, District Mardan. (Mobile No. 0336-9300061)</t>
  </si>
  <si>
    <t>16101-4361068-5</t>
  </si>
  <si>
    <t>Fir No. 980, dated 19.10.18, u/s 365 PPC, P.S Saddar, Mardan</t>
  </si>
  <si>
    <t>5416-S</t>
  </si>
  <si>
    <t>Shabana w/o Muhammad Nadeem</t>
  </si>
  <si>
    <t>Muhammad Nadeem, r/o A-51, Jhunda Para, Shanti Nagar, Mujhaid Colony, Dalamia, Street No. 07, Karachi. (Mobile No. 0305-7046459 &amp; 0340-4781820)</t>
  </si>
  <si>
    <t>Deleted. This case is closed for want of justification as there is no allegation against the law enforcement agencies.</t>
  </si>
  <si>
    <t>5417-S</t>
  </si>
  <si>
    <t>Sahil Nadeem s/o Muhammad Nadeem</t>
  </si>
  <si>
    <t>5418-S</t>
  </si>
  <si>
    <t>Samreen d/o Muhammad Nadeem</t>
  </si>
  <si>
    <t>5419-S</t>
  </si>
  <si>
    <t>Muhammad Hussain s/o Muhammd Nadeem</t>
  </si>
  <si>
    <t>5420-K</t>
  </si>
  <si>
    <t>Muhammad Husnain Mauvia s/o Inam Ullah Khan</t>
  </si>
  <si>
    <t>Inam Ullah, r/o House No. 3806/7 Gali Faqeer Wali, Mohalladh Kabir Wala, Dera ismail Khan. (Mobile No. 0333-9978494)</t>
  </si>
  <si>
    <t>Traced Person. Mr. Naseem Hayat DSP, CTD, D.I.Khan is present, whose statement has been recorded on oath. According to him, Hasnain Moavia s/o Inam Ullah was present before the Court in case FIR No. 30 dated 2.6.2018 u/s 324/353 PPC, ¾ ESA 7 ATA, PS CTD D.I.Khan and released on bail on 3.4.2019.</t>
  </si>
  <si>
    <t>5421-S</t>
  </si>
  <si>
    <t>Muhammad Imran s/o Bajo Jan</t>
  </si>
  <si>
    <t>Javed, r/o Futhure Colony, Street No. 05, Landhi No. 22, Karachi. (Mobile No.0342-1204856)</t>
  </si>
  <si>
    <t>Traced Person. It was informed at the hearing held in this Commission on 12/12/2018 that Imran is confined in Internment Center Paithom, District Swat. Family member have been allowed to meet him subject to prescribed procedures and all legal exceptions.</t>
  </si>
  <si>
    <t>5422-F</t>
  </si>
  <si>
    <t>Sharaf s/o Badaray</t>
  </si>
  <si>
    <t>Itibar Saeed, r/o Sharif Kor, P.O Yak Ghund, Tehsil Yak Ghund, District Mohmand Agency. (Mobile No. 0301-6183481)</t>
  </si>
  <si>
    <t>21407-9970140-9</t>
  </si>
  <si>
    <t>Deleted. Investigation into the case indicates that it is a case of abduction against private persons which challan has been submitted. The case does not fall within the domain of enforced disappearance. Hence deleted.</t>
  </si>
  <si>
    <t>5423-P</t>
  </si>
  <si>
    <t>Mauzzam Rashid s/o Haji Abdul Rasheed</t>
  </si>
  <si>
    <t>Haji Abdul Rasheed, r/o House No. 217, Gulshan Block, Allama Iqbal Town, Lahore. (Mobile No. 0300-4629694)</t>
  </si>
  <si>
    <t>FIR No. 1211/18 dated 24/10/18 u/s PPC 365 PS Kot Lakhpat, Lahore</t>
  </si>
  <si>
    <t>30th, Sept, 2018</t>
  </si>
  <si>
    <t>5424-I</t>
  </si>
  <si>
    <t>Muhammad Aslam s/o Muhammad Jan</t>
  </si>
  <si>
    <t>Muhammad Sharif, r/o Girja Road, Rawalpindi. (Mobile No. 0341-3905540)</t>
  </si>
  <si>
    <t>Traced Person. Sp (Inv), Islamabad appeared before the Commission on 06/11/2018 and submitted that Muhammad Aslam has been traced, he was at Karachi in regular contact with his family.</t>
  </si>
  <si>
    <t>01st Oct, 2018</t>
  </si>
  <si>
    <t>5425-K</t>
  </si>
  <si>
    <t>Rehman Haq s/o Zila Khan</t>
  </si>
  <si>
    <t>Khalid Musa, r/o Buttol Khel Khanzar Khan Khel, Dakhana Domel Tehsil Domel &amp; District Bannu. (Mobile No. 0334-8851831)</t>
  </si>
  <si>
    <t>Traced Person. Rehman-ul-Haq is present whose statement has been recorded on oath. According to him on 07/05/2018 he was abducted by some unknown persons he came back in 24/11/2018.</t>
  </si>
  <si>
    <t>5426-K</t>
  </si>
  <si>
    <t>Allah Noor s/o Juma Afzal</t>
  </si>
  <si>
    <t>Usman, r/o Tehsil Shakai, District South Waziristan Agency. (Mobile No. 0340-5201157 &amp; 0307-5653687)</t>
  </si>
  <si>
    <t>21708-9944994-5</t>
  </si>
  <si>
    <t>FIR No. 45 dated 17/11/18 u/s 365 PPC PS dera Town, D.I.Khan</t>
  </si>
  <si>
    <t>Under Investigation (D.I.Khan)</t>
  </si>
  <si>
    <t>5427-K</t>
  </si>
  <si>
    <t>Khan-e-Mullah s/o Shahamal</t>
  </si>
  <si>
    <t>Ihsan Gul, r/o Ali Masjid, Tehsil Jamrud, Khyber Agency, FATA. (Mobile No. 0301-5915115)</t>
  </si>
  <si>
    <t>5428-P</t>
  </si>
  <si>
    <t>Muhammad Akbar Rauf s/o Shah Rauf Afzal</t>
  </si>
  <si>
    <t>Shah Rauf Afzal, r/o Kot Khadim Ali Shah, Near Post Office, Gali No. 9, Sahiwal Division. (Mobile No. 0305-4802134)</t>
  </si>
  <si>
    <t>FIR No.651/18 bdated 26/10/18 u/s 365 ppC, PS Faridt Town, Sahiwal</t>
  </si>
  <si>
    <t>Traced Person. According to report dated 12/11/2018 received from DPO, Sahiwal Muhammad Akbar Rauf was accused in case FIR No. 48 dated 5/10/2017 u/s 302/324/353/186/148/149 PPC, 13 (2)/20/65AO,3/4 encounter with CTD, Multan and his identification was got conducted confirmed through NADRA</t>
  </si>
  <si>
    <t>5429-S</t>
  </si>
  <si>
    <t>Syed Hamid Ali s/o Muhammad Salam</t>
  </si>
  <si>
    <t>Mst Fatima Hamid, r/o House No. L-952, Sector 51m, North Karachi, Karachi. (Mobile No. 0315-8792267)</t>
  </si>
  <si>
    <t>Traced Person. It was informed at the hearing held in this Commission on 21/03/2019 that Syed Hamid Ali has returned to home vide his statement dated 12/02/2019 placed on record.</t>
  </si>
  <si>
    <t>5430-K</t>
  </si>
  <si>
    <t>Mushtaq Ali s/o Syed Mishal</t>
  </si>
  <si>
    <t>Muhammad Amir, r/o Mohallah Ghulam Khel, Village &amp; Post Office Shewa, Tehsil &amp; District Swabi. (Mobile No. 0345-8720436)</t>
  </si>
  <si>
    <t>FIR No.512 dated 06/11/18 u/s 365 PS Parmoli Swabi.</t>
  </si>
  <si>
    <t>Traced Person. Mushtaq Ali has been traced. According to report received from Rep of MI, Mushtaq Ali is presently confined in Internment Centre Lakki Marwat. Muhammad Amir nephew of the traced person is present. He has been apprised of the status of the case.</t>
  </si>
  <si>
    <t>5431-P</t>
  </si>
  <si>
    <t>Abdul Razzaq Qasimi s/o Haji Gull Bahar</t>
  </si>
  <si>
    <t>Sheeran Bibi, r/o Kacha Razi Sonmiani, Tehsil Rojhan, District Rajanpur. (Mobile No. 0340-7811321)</t>
  </si>
  <si>
    <t>Traced Person. A criminal case had been registered against Abdul Razaq Qasimi and presently he was in the custody of CTD, Faisalabad.</t>
  </si>
  <si>
    <t>5432-K</t>
  </si>
  <si>
    <t>Faisal Khan s/o Tahir Khan</t>
  </si>
  <si>
    <t>Shahid Khan, r/o Mohallah Madakhel, Tehsil Barikot, District Swat. (Mobile No. 0346-5340077)</t>
  </si>
  <si>
    <t>Traced Person. It has been intimated at the hearing held on 19/10/2018 that Faisal Khan had been traced. He is presently confined in Internment Center Paithom. Shahid Khan Complainant and brother of the traced person was present who apprised of the status of the case.</t>
  </si>
  <si>
    <t>5433-K</t>
  </si>
  <si>
    <t>Hadayat Ullah s/o Taj Ali Khan</t>
  </si>
  <si>
    <t>Taj Ali Khan, r/o Doga Macha, Madakhel Dittakhel, District North Waziristan Agency. (Mobile No. 0333-9722884 &amp; 0334-8838280)</t>
  </si>
  <si>
    <t>5434-K
 &amp;
 4564-K</t>
  </si>
  <si>
    <t>Bakhtayar Ahmed s/o Zar Muhammad Khan</t>
  </si>
  <si>
    <t>Zar Muhammad Khan, r/o Agra Banda Zoor Mandi, Taou, P.O Zarif Kor, Tehsil &amp; District Peshawar. (Mobile No. 0334-5034161 &amp; 0311-9113460)</t>
  </si>
  <si>
    <t>5435-P</t>
  </si>
  <si>
    <t>Abu Bakar Butt s/o Masood Ahmed Butt</t>
  </si>
  <si>
    <t>Masood Ahmed Butt, r/o P-425, Block No. B, Mehfoz Park, Babar Chowk, People Colony, Faisalabad. (Mobile No. 0321-7288964)</t>
  </si>
  <si>
    <t>Traced Person. Abu Bakar Butt has been traced. Father of missing person namely Masood Ahmed Butt has entered appearance before the Commission and affirmed that dead body of his son was recovered from Mirpur Mathelo Sindh.</t>
  </si>
  <si>
    <t>5436-P</t>
  </si>
  <si>
    <t>Taimoor Khan s/o Mamoor Khan</t>
  </si>
  <si>
    <t>Mamoor Khan, r/o House No. ZA-1414, Street No. 56, Dhoke Matkal, Rawalpindi. (Mobile No. 0301-3002859)</t>
  </si>
  <si>
    <t>Traced Person. Taimoor Khan has been traced. He has returned home on 07/01/20019. Mamoor Khan father of Taimoor Khan appeared on 21/01/2019 statement of Mamoor Khan has been recorded by the Commission on oath in which he affirmed that his son Taimoor Khan has returned home.</t>
  </si>
  <si>
    <t>5437-P</t>
  </si>
  <si>
    <t>Usama Mehmood Khan s/o Abid Rehman</t>
  </si>
  <si>
    <t>Samama Mehmood Khan, r/o House No. 43, Mushtaq Colony, Masoom Shah Road, Multan. Mobile No. 0307-5090576 &amp; 0311-4141419)</t>
  </si>
  <si>
    <t>FIR No. 698/18 dated 23.10.18 u/s 365 PPC PS New Multan, Multan</t>
  </si>
  <si>
    <t>Traced Person. Usama Mehmood Khan has been traced. He has returned to home and appeared before the Commission on 19.6.2019 whose statement has been recorded on oath, in which he deposed that he went to Karachi on his own and was not abducted by anyone.</t>
  </si>
  <si>
    <t>5438-K</t>
  </si>
  <si>
    <t>Alaf Khan s/o Meer Atta Khan</t>
  </si>
  <si>
    <t>Jahangir Khan, r/o House No. 180 Landay Sarak, Larma, Charsada Road, Peshawar. (Mobile No. 0301-5904491)</t>
  </si>
  <si>
    <t>5439-A</t>
  </si>
  <si>
    <t>Muhammad Shamraiz Mumtaz s/o Mumtaz Khan</t>
  </si>
  <si>
    <t>Mumtaz Khan, r/o Basari, P.O Galla Cantt, Tehsil Palandari. (Mobile No. 0344-5664936)</t>
  </si>
  <si>
    <t>Traced Person. DIG Police appeared and stated on oath that Muhammad Shamraiz Mumtaz had been traced, who had been arrested in case FIR No. 18/19 PS Islam Garh u/s 4/5 r/w 15(2) A/AA and presently he was detained in Judicial hawalat Mirpur. No further action is required. The case is closed.</t>
  </si>
  <si>
    <t>5440-S</t>
  </si>
  <si>
    <t>Ali Mauvia s/o Muhammd Sadique Qambar</t>
  </si>
  <si>
    <t>Muhammad Sadique, r/o Mohallah Rafiq Abad, Street No, 02, Near Thali Chowk, Rahim Yar Khan. (Mobile No. 0300-7829200)</t>
  </si>
  <si>
    <t>Traced Person. It was informed at the hearing held in this Commission on 20/11/2018 that Ali Mauvia has returned to home a confirmed by his father Muhammad Sadiq.</t>
  </si>
  <si>
    <t>5441-S</t>
  </si>
  <si>
    <t>Rizwan s/o Umer Zada</t>
  </si>
  <si>
    <t>Mst. Manawar Jan, r/o Near Abu Bakar Masjid, Multani Hotel, Madina Town, Quaid Abad, Malir Karachi. (Mobile No. 0344-3648877)</t>
  </si>
  <si>
    <t>Under Investigation (Sinhd)</t>
  </si>
  <si>
    <t>5442-P
 5475-P</t>
  </si>
  <si>
    <t>Hafiz Luqman Tariq s/o Hafiz Tariq</t>
  </si>
  <si>
    <t>Khurram Shahzad, r/o P.O Sagari, Panjaran, Tehsil &amp; District Rawalpindi. (Mobile No. 0341-5910338)</t>
  </si>
  <si>
    <t>Traced Person. Hafiz Luqman Tariq (Hafiz Noman Tariq) has been traced who appeared before the Commission on 3.4.2019. His statement has been recorded on oath. He has deposed that he was not kidnapped by anybody rather he went to Karachi on his own accord.</t>
  </si>
  <si>
    <t>5443-P</t>
  </si>
  <si>
    <t>Shabbir Ahmed s/o Ghulam Muhammad</t>
  </si>
  <si>
    <t>Mst. Sakeena Bibi, r/o Moza Bahawalpur, Tehsil Kabir Wala, District Khanewal. (Mobile No. 0301-2069366 &amp; 0303-4145442).</t>
  </si>
  <si>
    <t>5444-K</t>
  </si>
  <si>
    <t>Mian Mukhtar Gul s/o Mian Mumtaz Gul</t>
  </si>
  <si>
    <t>Cyber Network Technology, GPO, Chowk, Shahi Bazar Chitral. (Mobile No. 0344-0508996 &amp; 0304-9659996)</t>
  </si>
  <si>
    <t>Traced Person. It has been informed at the hearing on 30/10/2018 that Mian Mukhtar Gul has been traced who has returned to home. In this connection copy of affidavit given by Mst. Shahzadi Parveen wife of the traced person is place on record.</t>
  </si>
  <si>
    <t>5445-K</t>
  </si>
  <si>
    <t>Fazal Rehman s/o Lal Zada</t>
  </si>
  <si>
    <t>Gul Zaman, r/o Tehsil Safi, Mohmand Agency. (Mobile No. 0301-4028709 &amp; 0300-5848522)</t>
  </si>
  <si>
    <t>5446-K</t>
  </si>
  <si>
    <t>Wasi Ullah s/o Bukhari Khan</t>
  </si>
  <si>
    <t>Fazal Subhan, r/o House No. 20, Street No. 02, Ittehad Colony, Peshawar. (Mobile No. 0308-8418933)</t>
  </si>
  <si>
    <t>Traced Person. Wasi Ullah s/o Bukhari Khan appeared before the Commission on 25.4.2019. According to him he was picked up and taken away about two years ago by 5/6 persons who were in civvies. He also submitted that he returned home on 16.4.2019.</t>
  </si>
  <si>
    <t>5447-K</t>
  </si>
  <si>
    <t>Nawab Khan s/o Haji Rawel Khan</t>
  </si>
  <si>
    <t>Gul Yaar Khan, r/o Nawab Khan House, Waris Abad, Near PTCL Exchange, Haji Camp, Peshawar. (Mobile No. 0315-9189258)</t>
  </si>
  <si>
    <t>Traced Person. Nawab Khan has been traced. Mst. Gul Yar Jan mother of Nawab Khan is present. She has affirmed that Nawab Khan has returned home and presently he is available at home, however due to poor health he could not enter appearance before the Commission.</t>
  </si>
  <si>
    <t>5448-F</t>
  </si>
  <si>
    <t>Farman Ullah s/o Mohib Ullah</t>
  </si>
  <si>
    <t>Mst. Nowash Pari, r/o P.O Lakaray, Tehsil Safi, District Mohmand Agency. (Mobile No. 0304-9306441)</t>
  </si>
  <si>
    <t>Traced Person. Farman Ullah has been traced. Rep of FC was present at the hearing on 21.2.2019. He has submitted that Farman Ullah is presently confined in Internment Centre Ghalanai. Mohib Ullah has entered appearance on behalf of Farman Ullah, who has been apprised of the status of the case.</t>
  </si>
  <si>
    <t>5449-P</t>
  </si>
  <si>
    <t>Muhammad Jamil s/o Abdul Majeed</t>
  </si>
  <si>
    <t>Muhammad Umair, r/o House No. 1220, Street No. 04, Mohallah Qadeerabad, Multan. (Mobile No. 0302-9634127 &amp; 0334-6117905)</t>
  </si>
  <si>
    <t>FIR No. 428/18 dated 29.10.18 u/s 365 PPC PS Old Kotwali, Multan</t>
  </si>
  <si>
    <t>Traced Person. I.O of the case appeared before the Commission on 17.9.2020 at Lahore and submitted that Muhammad Jamil returned home. In order to substantiate his version and affidavit of son of Muhammad Jamil was also produced perusal whereof shows that Muhammad Jamil was residing at his home. In such view of the matter no further action is required to be taken by the Commission. The case is closed.</t>
  </si>
  <si>
    <t>5450-K</t>
  </si>
  <si>
    <t>Qamar Zaman s/o Karim Dad</t>
  </si>
  <si>
    <t>Fazal Rehman, r/o Mohallah Usman Khel, Tehsil Kalachi, District Dera Ismail Khan. (Mobile No. 0347-9808067)</t>
  </si>
  <si>
    <t>12102-155388-3</t>
  </si>
  <si>
    <t>FIR No. 994 dated 20/11/2018 u/s 365 PPC PS Cantt , District D.I.Khan</t>
  </si>
  <si>
    <t>Deleted. During the course of investigation, no clue could be found that any LEA/ Intelligence Agency was involved in disappearance of Qamar Zaman. The case has been categorized as missing person has gone on his own by JIT as well as PTF. Fazal Rehman entered appearance and submitted affidavit in which there is no allegation against any LEA/ Intelligence Agency. All stake holders also denied arrest/ custody of Sher Shah. Hence the case does not fall within the ambit of enforced disappearance. Hence closed.</t>
  </si>
  <si>
    <t>5451-K</t>
  </si>
  <si>
    <t>Aleem Ullah s/o Awa Khan</t>
  </si>
  <si>
    <t>Mst. Selana Bibi, r/o Ali Khel, P.O Mir Ali, Tehsil Mir Ali, District North Waziristan Agency. (Mobile No. 0344-4658031)</t>
  </si>
  <si>
    <t>FIR No. 448 dated 01/11/2018 u/s 365 PPC, PS Dera Town, District D.I.Khan</t>
  </si>
  <si>
    <t>Traced Person. Aleem Ullah has been traced. According to the report received from MI, he is presently confined at DRC Mishaal where he is undergoing de-radicalization programme and after completion of course in DRC Mishaal he will be released.</t>
  </si>
  <si>
    <t>5452-K</t>
  </si>
  <si>
    <t>Muhammad Afzal s/o Ghulam Sarwar</t>
  </si>
  <si>
    <t>Mst. Shamim Akhtar, r/o P.O Jhangi, Abbottabad. (Mobile No. 0313-5874153)</t>
  </si>
  <si>
    <t>Traced Person. Muhammad Afzal has been traced. According to reports received from Rep of MI the case of Muhammad Afzal is pending in military court and proceedings of the same will be commenced subject to extension of military courts.</t>
  </si>
  <si>
    <t>5453-K</t>
  </si>
  <si>
    <t>Zeeshan Shah s/o Manzoor Shah</t>
  </si>
  <si>
    <t>Arbab Shah, r/o P.O Jhangi, Abbottabad. (Mobile No. 0312-1866797)</t>
  </si>
  <si>
    <t>Traced Person. Zeeshan Shah has been traced. He has returned to home. He appeared before the Commission on 13.6.2019. His statement has been recorded on oath.</t>
  </si>
  <si>
    <t>5454-F</t>
  </si>
  <si>
    <t>Tawab Khan s/o Saeed Wazir</t>
  </si>
  <si>
    <t>Khan Wazir, r/o Tera Medan, Mohallah Bar Qambar Khel, Khawaja Khel, Bhuttan Sharif, District Khyber Agency. (Mobile No. 0302-5631000 &amp; 0302-29699945)</t>
  </si>
  <si>
    <t>5455-K</t>
  </si>
  <si>
    <t>Ali Aman s/o Muhammad Ayub</t>
  </si>
  <si>
    <t>Adil Khan, r/o Ring Road, Rehman Colony, Peshawar. (Mobile No. 0346-8225918)</t>
  </si>
  <si>
    <t>Traced Person. Inspector/Officer Incharge (Invesgation), PS/Faqirabad, Peshawar appeared before the Commission on 25.4.2019. According to him, Ali Aman has returned to home.</t>
  </si>
  <si>
    <t>5456-K</t>
  </si>
  <si>
    <t>Abdullah s/o Shah Nawaz Khan</t>
  </si>
  <si>
    <t>Anwar Khan, r/o Ring Road, Rehman Chowk, Peshawar. (Mobile No. 0344-1630256)</t>
  </si>
  <si>
    <t>Traced Person. Inspector/Officer Incharge (Invesgation), PS/Faqirabad, Peshawar appeared before the Commission on 25.4.2019. According to him, Abdullah has returned to home.</t>
  </si>
  <si>
    <t>5457-P</t>
  </si>
  <si>
    <t>Muhammad Luqman s/o Ameer Usman</t>
  </si>
  <si>
    <t>Ameer Usman, r/o Kot Dawood Ghaulo, Tehsil &amp; District Bahawalpur. (Mobile No. 0301-6505214)</t>
  </si>
  <si>
    <t>Traced Person. Ameer Usman father of Muhammad Luqman appeared on 14/11/2018 and informed that his son was confined at District Jail Faisalabad.</t>
  </si>
  <si>
    <t>5458-K</t>
  </si>
  <si>
    <t>Fazal Wahab Khan s/o Bismillah Jan</t>
  </si>
  <si>
    <t>Naseer, r/o Baghi Tangi, Yak Ghund, Gardai, Tehsil Pandali, District Mohmand Agency. (Mobile No. 0305-8958104)</t>
  </si>
  <si>
    <t>5459-K</t>
  </si>
  <si>
    <t>Mudassar Mehmood s/o Rana Mehmood Ikram</t>
  </si>
  <si>
    <t>Rana Mehmood Ikram, r/o Chak No. 219-B, P.O Ghulam Muhammad, Faislabad. (Mobile No. 0323-7826903)</t>
  </si>
  <si>
    <t>5460-P</t>
  </si>
  <si>
    <t>Saeed Ghaffor s/o Safior</t>
  </si>
  <si>
    <t>Malik Khan, r/o P.O Loi Sahim, Tehsil Khar, Bajour Agency. (Mobile No. 0302-5127545)</t>
  </si>
  <si>
    <t>Traced Person. SaeedGhaffar has been traced, who has returned to home. Malang Khan (complainant) affirmed that Saeed Ghaffor has returned to home.</t>
  </si>
  <si>
    <t>5461-P</t>
  </si>
  <si>
    <t>Sher Ali s/o Bacha Khan</t>
  </si>
  <si>
    <t>Traced Person. The complainant Malang Khan who was in attance on 30/11/2018 submits that his brother-in-law came back about 20 days ago.</t>
  </si>
  <si>
    <t>5462-I</t>
  </si>
  <si>
    <t>Sulman Shahzad Ghuman s/o Manzoor Hussain Ghuman</t>
  </si>
  <si>
    <t>Manzoor Hussain Ghuman, r/o House No. 550, Street No. 16 ,Shahzad Town, Islamabad. (Mobile No. 0324-9601505)</t>
  </si>
  <si>
    <t>FIR No. 232, dated 06/10/2018 u/s 365, PPC, PS Shahzad Town, Islamabad</t>
  </si>
  <si>
    <t>Deleted. According the complaint and, FIR, there is no allegation against any LEA for abduction of Salman Shahzad Ghuman. Statement of his father and mother has been recorded according to which he went on motorcycle with some friends in 27.9.2018. In view if above circumstances, the JIT slightly concluded that the Missing Person gone at his own. Moreover he has been a telephonic contact with his father. Hence, not a case of enforced disappearance. The case is closed.</t>
  </si>
  <si>
    <t>5463-K</t>
  </si>
  <si>
    <t>Tameer Khan s/o Muhammad Shah Khan</t>
  </si>
  <si>
    <t>Bilal Ahmed, r/o Tehsil Safi, District Mohmand Agency. (Mobile No. 0300-9323569 &amp; 0308-5726777)</t>
  </si>
  <si>
    <t>21405-2988798-1</t>
  </si>
  <si>
    <t>5464-F</t>
  </si>
  <si>
    <t>Bait Ullah s/o Danat Khan</t>
  </si>
  <si>
    <t>Jamal Khan, r/o Tuarza, South Waziristan. (Mobile No. 0345-8859608)</t>
  </si>
  <si>
    <t>FIR No. 24 dated 12/11/2020, u/s 365 PPC, P.S Sarwakai, District SWTD</t>
  </si>
  <si>
    <t>FATA/SWA</t>
  </si>
  <si>
    <t>5465-F</t>
  </si>
  <si>
    <t>Faqeer Muhammad s/o Shada Zar</t>
  </si>
  <si>
    <t>Rehman Gul, North Waziristan Agency. (Mobile No. 0334-8313114)</t>
  </si>
  <si>
    <t>Traced Person. Faqeer Muhammad has been traced. He is in custody of military authorities and his case in abeyance due to the reason that enactment pertaining to military courts has not been extended after 06.01.2019.</t>
  </si>
  <si>
    <t>5466-P</t>
  </si>
  <si>
    <t>Fahad Maqsood s/o Maqsood Akhtar</t>
  </si>
  <si>
    <t>Muhammad Imran Sharif, r/o Near Venus Cinema, Mohallah Multan Road, Ghoburji, Lahore. (Mobiel No. 0300-4513633)</t>
  </si>
  <si>
    <t>FIR No. 779 u/s 365 PPC, PS Gujar Singh, District Lahore</t>
  </si>
  <si>
    <t>5467-K</t>
  </si>
  <si>
    <t>Mohsin Khan s/o Noor Samad Khan</t>
  </si>
  <si>
    <t>Noor Samad Khan, r/o P.O Mir Ali, District North Waziristan Agency. (Mobile No. 0310-2683508 &amp; 0332-4343942)</t>
  </si>
  <si>
    <t>5468-I</t>
  </si>
  <si>
    <t>Muhammad Tahir Farooq s/o Nazar Hussain</t>
  </si>
  <si>
    <t>Nazar Hussain, r/o Block No. B-12 Flat No. 01, CTRL Flat, G-8/4, Islamabad. (Mobile No. 0333-5350924)</t>
  </si>
  <si>
    <t>61101-6247949-1</t>
  </si>
  <si>
    <t>FIR No. 300, dated 2.10.2007, u/s 365PPC, P.S Aabpara, Islamabad.</t>
  </si>
  <si>
    <t>5469-P</t>
  </si>
  <si>
    <t>Imran Rasheed s/o Abdul Rasheed</t>
  </si>
  <si>
    <t>Abdul Rasheed, r/o House No. 293, Mohallah Majaharabad, Liaquat Chowk, Lahore. (Mobile No. 0322-9912026)</t>
  </si>
  <si>
    <t>Traced Person. Imran Rasheed entered appearance, however the factual aspects if the episode could not be explained for certain obvious reasons</t>
  </si>
  <si>
    <t>5470-K</t>
  </si>
  <si>
    <t>Muhammad Imran Khan s/o Malik Awan</t>
  </si>
  <si>
    <t>Muhammad Awais, r/o Abu Ubadia Colony, Pakha Ghulam, Peshawar. (Mobile No. 0341-5682661)</t>
  </si>
  <si>
    <t>FIR No. 1297 dated 26/11/2018 u/s 365 PPC, PS Mari Pur, Peshawar</t>
  </si>
  <si>
    <t>5471-K</t>
  </si>
  <si>
    <t>Shahzad Jehangir Khan s/o Maaz Ullah</t>
  </si>
  <si>
    <t>Maaz Ullah Khan, r/o Jehangir Street, Muhammad Zai Colony, Tehsil Tangi, District Charsadda. (Mobile No. 0308-5393603)</t>
  </si>
  <si>
    <t>Traced Person. SP (Inv), Charsadda is present and submits that JIT meeting was held on 8/2/2019 at which revelead that missing person Shehzad Jehangir Khan has been traced and returned to his home. IO/Inspector Sardar Hussain submits that statement of the traced person namely shahzad Jehagir Khan was got recorded u/s 164 Cr.PC.</t>
  </si>
  <si>
    <t>5472-P</t>
  </si>
  <si>
    <t>Muhammad Rasheed s/o Ghulam Muhammad</t>
  </si>
  <si>
    <t>Muhammad Hameed, r/o Dina Nath, Tehsil Patokey, District Kasur. (Mobile No. 0332-8460390)</t>
  </si>
  <si>
    <t>5473-K</t>
  </si>
  <si>
    <t>Adil Zada s/o Sher Zada</t>
  </si>
  <si>
    <t>Mst. Khursheed Talat, r/o Madina Colony, District Swat. (Mobile No. 0347-0893910)</t>
  </si>
  <si>
    <t>Traced Person. It has been intimated by Rep of MI that Adil Zada has been traced. He is presently confined in the Internment Center Paithom. Family members of Adil Zada shall be facilitated to see him in the Internment Center.</t>
  </si>
  <si>
    <t>5474-K</t>
  </si>
  <si>
    <t>Muhammad Hashim Akram s/o Muhammad Akarm</t>
  </si>
  <si>
    <t>Muhammad Ajmal, r/o Jhangi Syedan, Tehsil &amp; District Abbottabad. (Mobile No. 0315-5456356)</t>
  </si>
  <si>
    <t>Traced Person. Muhammad Hashim Akram has been traced. He has returned to home. He appeared before the Commission on 13.6.2019. His statement has been recorded on oath.</t>
  </si>
  <si>
    <t>5475-P</t>
  </si>
  <si>
    <t>Noman Tariq s/o Muhammad Tariq</t>
  </si>
  <si>
    <t>Muhammad Aneab Tariq, r/o Village Panjgara, P.O Sagari, Tehsil &amp; District Rawalpindi. (Mobile No. 0312-5219474 &amp; 0345-5219474)</t>
  </si>
  <si>
    <t>5476-F</t>
  </si>
  <si>
    <t>Abdul Qayyum s/o Nawab Khan</t>
  </si>
  <si>
    <t>Nawab Khan, r/o Mahid Ghat, P.O Lakaray, Tehsil Upper Mohmand, District Mohmand Agency. (Mobile No. 0304-5056363)</t>
  </si>
  <si>
    <t>Traced Person. Abdul Qayyum has been traced. Rep of FC was present at the hearing on 21.2.2019. He has submitted that Abdul Qayyum is presently confined in Internment Centre Ghalanai. Naeem Khan is present on behalf of the Traced Person, who has been apprised of the status of the case.</t>
  </si>
  <si>
    <t>5477-B</t>
  </si>
  <si>
    <t>Muhammad Hashim Toheedi s/o Muhammad Isreal</t>
  </si>
  <si>
    <t>Mst. Bibi Rozena, r/o Kuli Shuja Lazi, P.O Malik Yar, Tehsil &amp; District Pashin. (Mobile No. 0300-3283018)</t>
  </si>
  <si>
    <t>5478-S</t>
  </si>
  <si>
    <t>Rawal s/o Abudl Latif</t>
  </si>
  <si>
    <t>r/o, C-1/147, Shah Faisal Colony, Karachi.</t>
  </si>
  <si>
    <t>Traced Person. It was informed at the hearing held in this Commission on 21.5.2019 that Rawal has returned to home. The report submitted by the Police Officer SHO Shah Faisal, Karachi is placed on record.</t>
  </si>
  <si>
    <t>5479-K</t>
  </si>
  <si>
    <t>Gul Behram s/o Gul Daraz Khan</t>
  </si>
  <si>
    <t>r/o Datta Khel, Tehsil Datta Khel.(Mobile No. 0331-9175053)</t>
  </si>
  <si>
    <t>5480-K</t>
  </si>
  <si>
    <t>Nadir Khan s/o Saeed Rehman</t>
  </si>
  <si>
    <t>Taj Muhammad Khan, r/o Tehsil Barikot, District Swat. (Mobile No. 0342-9648294)</t>
  </si>
  <si>
    <t>FIR No. 961 dated 30/07/2013 u/s 365 PPC, PS Gahaleghi ,District Swat</t>
  </si>
  <si>
    <t>5481-K</t>
  </si>
  <si>
    <t>Hussain Ali s/o tajbar Khan</t>
  </si>
  <si>
    <t>Mauvia, r/o New Behram Kilay, P.O Risalpur, Tehsil &amp; District Nowshera. (Mobile No. 0348-0986260 &amp; 0310-4641444)</t>
  </si>
  <si>
    <t>5482-F</t>
  </si>
  <si>
    <t>Mashi Ullah s/o Lal Muhammad</t>
  </si>
  <si>
    <t>Muhammad Tayyab, r/o Salazgar, Village Shinger Gul, District Bajur Agency. (Mobile No. 0300-5662246)</t>
  </si>
  <si>
    <t>5483-K</t>
  </si>
  <si>
    <t>Muhammad Ayoob khan s/o Haji Bismillah Khan</t>
  </si>
  <si>
    <t>Dr. Abdullah Jan, r/o, Chak No. 626/T.D.A Chowksarwar Shaheed, Tehsil Kot and District Muzaffargarh. (Mobile No. 0345-7430774 &amp; 0334-7621915)</t>
  </si>
  <si>
    <t>5484-K</t>
  </si>
  <si>
    <t>Hafiz Ajab Gull s/o Haji Mian Gull</t>
  </si>
  <si>
    <t>5485-F</t>
  </si>
  <si>
    <t>Yousaf s/o Abdul Salam</t>
  </si>
  <si>
    <t>Mst. Marwa Bibi, r/o Katokot, Mohmand, P.O Tarkho, District Bajur. (Mobile No. 0332-5982525)</t>
  </si>
  <si>
    <t>Traced Person. It has been intimated at the hearing on 28/11/2018 that Yousaf has been traced, who is presently confined in the Internment Center Alizai. Family members of Yousaf shall be facilitated to see him the Internment Center.</t>
  </si>
  <si>
    <t>5486-K</t>
  </si>
  <si>
    <t>Habib Ullah s/o Wazir Fateh Gul</t>
  </si>
  <si>
    <t>Wazir Fateh Gul, r/o Kharkhano Khar, Bajur Agency. (Mobile No. 0305-9063959 &amp; 0301-8352573)</t>
  </si>
  <si>
    <t>5487-K</t>
  </si>
  <si>
    <t>Taj Khan s/o Matool Khan</t>
  </si>
  <si>
    <t>Nadir Sher, r/o P.O Yak Ghund, Pardees Kor, Tehsil Pandeli, District Mohmand Agency. (Mobile No. 0301-8869192)</t>
  </si>
  <si>
    <t>5488-S 5281-S</t>
  </si>
  <si>
    <t>Asad Ullah s/o Hazrat Muhammad</t>
  </si>
  <si>
    <t>Hazrat Muhammad, r/o Village Gadda Khel, Kozkand, Tehsil Bonair, District Bonair. (Mobile No. 0348-0887523)</t>
  </si>
  <si>
    <t>5489-F</t>
  </si>
  <si>
    <t>Farhad Khan s/o Nasir Khan</t>
  </si>
  <si>
    <t>Aurangzeb, r/o Malik Deen Khel, Daulat Khel, P.O Bara, Tehsil &amp; District Khyber Agency. (Mobile No. 0334-9034902)</t>
  </si>
  <si>
    <t>5490-K</t>
  </si>
  <si>
    <t>Shah Khalid s/o Hunar Qadir</t>
  </si>
  <si>
    <t>Mst. Maryam Bibi, r/o Matta Shewa Banda, Katlang, District Mardan. (Mobile No. 0346-9350582)</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</si>
  <si>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Shah Khalid. Hence, not a case of enforced disappearance. The case is closed.</t>
  </si>
  <si>
    <t>5491-F</t>
  </si>
  <si>
    <t>Wazir s/o Sahib Zada</t>
  </si>
  <si>
    <t>Shah, r/o Chanaray Village, District Mohmand Agency. (Mobile No. 0307-5248499</t>
  </si>
  <si>
    <t>21405-0337721-9</t>
  </si>
  <si>
    <t>5492-K</t>
  </si>
  <si>
    <t>Motabar Khan, r/o Satar Sarobi, North Waziristan Agency. (Mobile No. 0928-311609)</t>
  </si>
  <si>
    <t>Traced Person. It was informed at the hearing on 23/7/2019 that Hamza Noor has been returned to home. Report dated 16/5/2019 initiated by SHO, OS Bakka Khle, duly attested by SP (Inv), Bannu is available on record perusal whereof shows that Hamza Noor has returned home.</t>
  </si>
  <si>
    <t>5493-P</t>
  </si>
  <si>
    <t>Khaliq-ur-Rehman Butt s/o Bashir Ahmed</t>
  </si>
  <si>
    <t>Ubaid Ullah Bhatti, r/o House No. 503, Lane No. 04, Shah Nawaz Colony, Aslam Shaheed Road, Lala Zar, Rawalpindi. (Mobile No. 0334-5247059)</t>
  </si>
  <si>
    <t>FIR No327/18 date05/12/2018 u/s 365 PPC PS Kukrali, District, Gujrat</t>
  </si>
  <si>
    <t>Traced Person. Khaliq-ur-Rehman Butt has appeared before the Commission on 5.3.2019, whose statement has been recorded on oath. According to him he had gone with Tableeghi Jamaat on 5.4.2018 and returned to home.</t>
  </si>
  <si>
    <t>5494-K</t>
  </si>
  <si>
    <t>Zakir Hussain s/o Akhtar Gul</t>
  </si>
  <si>
    <t>Iqbal Hussain, r/o Mulla Khel, Village Varikot, District Swat. (Mobile No. 0345-5747855)</t>
  </si>
  <si>
    <t>5495-K</t>
  </si>
  <si>
    <t>Farhat Ullah s/o Iqbal Hussain</t>
  </si>
  <si>
    <t>Mst. Zaib-un-Nisa, r/o Mohallah Ama Khel, Maneri Payan, District Swabi. (Mobile No. 0313-9806861)</t>
  </si>
  <si>
    <t>Traced Person. Farhat Ullah has been traced. According to report received from Rep of MI, Farhat Ullah is presently confined in Internment Centre Paithom. SP (Inv) Swabi has been apprised of the status of the case to inform the complainant.</t>
  </si>
  <si>
    <t>5496-B</t>
  </si>
  <si>
    <t>Naqeeb Ullah s/o Abdul Majeed</t>
  </si>
  <si>
    <t>Nasar Ullah, r/o Kuli Malik Muhammad Hashim, Sir Ghari, Tehsil Gulistan, District Qila Abdullah. (Mobile No. 0307-3731527)</t>
  </si>
  <si>
    <t>Traced Person. Naqeeb Ullah s/o Abdul Majeed has entered appearance before the Commission on 3.3.2020, whose statement has been recorded on oath. He has deposed that on 2.10.2017, he was present at his home situated at Killi Malik Muhammad Hashim, Tehsil Gulistab, Qilla Abdullah. When he came out after Fajar prayer, five persons three in uniforms and two in civvies caught him and took away blindfolded. He has further stated that during detention he was kept at and unknown place. He further stated that the persons who took him along were asking him about his business etc and set him free on 11th February 2020 at Mizan Chowk from where he has returned home.</t>
  </si>
  <si>
    <t>5497-B</t>
  </si>
  <si>
    <t>Sami Ullah s/o Bahawal Khan</t>
  </si>
  <si>
    <t>Bahawal Khan, r/o Mohallah Khel No. 01, Qalat. (Mobile No. 0336-2717642)</t>
  </si>
  <si>
    <t>5498-K</t>
  </si>
  <si>
    <t>Saddam Hussain s/o Gul Hussain</t>
  </si>
  <si>
    <t>Sardar Ali, r/o P.O Manga, Dargai Tehsil &amp; District Charsadda. (Mobile No. 0311-9121791)</t>
  </si>
  <si>
    <t>16102-4998872-7</t>
  </si>
  <si>
    <t>Fir No. 1162, dated 21.11.18, u/s 365 PPC, P.S Saddar, Mardan</t>
  </si>
  <si>
    <t>5499-F</t>
  </si>
  <si>
    <t>Junaid Khan s/o Haji Ashiq Mir</t>
  </si>
  <si>
    <t>Sawolat Mir, r/o Sher Burj, Tehsil Mulla Ghauri, District Khyber Agency. (Mobile No. 0300-5885151)</t>
  </si>
  <si>
    <t>5500-I</t>
  </si>
  <si>
    <t>Muhammad Atif s/o Muhammad Basharat</t>
  </si>
  <si>
    <t>Muhammad Basharat, r/o P.O Khas, Thatoo, Tehsil Taxila, District Rawalpindi. (Mobile No. 0340-3325691)</t>
  </si>
  <si>
    <t>Traced Person. Muhammad Rafique s/o Muhammad Sharif entered appearance before the Senior Member in his chamber on 31/12/2018, who stated on oath that Muhammad Atif had returned back and he was neither taken away by any state agency nor abducted, but he had gone his own.</t>
  </si>
  <si>
    <t>5501-P</t>
  </si>
  <si>
    <t>Muhammad Ismail s/o Ghulam Haider</t>
  </si>
  <si>
    <t>Ghulam Haider, r/o Basti Bei, Moza Ochalenai Uch Shharif, District Bahawalpur. (Mobile No. 0306-2308304)</t>
  </si>
  <si>
    <t>Traced Person. It was reported at the hearing that as a result of registration of a criminal case, Muhammad Ismail was confined in the Central Jail Gujranwala. No further action is required. The case is closed.</t>
  </si>
  <si>
    <t>5502-K</t>
  </si>
  <si>
    <t>Muhabat Khan s/o Karasan Khan</t>
  </si>
  <si>
    <t>Anwar Ali, r/o Mohallah Cheal, p.O Rahimabad, District Swat. (Mobile No. 0344-9674424)</t>
  </si>
  <si>
    <t>FIR No. 896 dated 31/10/2017 u/s 365 PPC, PS Rahimabad, Swat</t>
  </si>
  <si>
    <t>5503-K</t>
  </si>
  <si>
    <t>Khyber Khan s/o Laiq Jan</t>
  </si>
  <si>
    <t>Laiq Khan, r/o Khara Banda, Tehsil &amp; District Mardan. (Mobile No. 0331-7133115 &amp; 0304-8170440)</t>
  </si>
  <si>
    <t>FIR No. 885/18 dated 23/11/2018 u/s 365 PPC PS Kalu Khan, District Swabi</t>
  </si>
  <si>
    <t>5504-P</t>
  </si>
  <si>
    <t>Imran Khan s/o Gul Khan</t>
  </si>
  <si>
    <t>Mst. Zainab Bibi, r/o Street no. 01, New Shalimar Colony, Multan Road, Lahore. Mobile No. 0341-1282851)</t>
  </si>
  <si>
    <t>FIR No.512/18 date07/06/2018 u/s 365 PPC PS Shera Kot, District, Lahore</t>
  </si>
  <si>
    <t>5505-P</t>
  </si>
  <si>
    <t>Abdullah s/o Abdul Khaliq</t>
  </si>
  <si>
    <t>Mst. Muntazera Bibi, r/o Katokot, Tehsil Mohmand, District Bajur Agency. (Mobile No. 0300-0850841 &amp; 0302-5513001)</t>
  </si>
  <si>
    <t>FIR No.518/18 date13/12/2018 u/s 365 PPC PS Tibi City, Lahore</t>
  </si>
  <si>
    <t>5506-F</t>
  </si>
  <si>
    <t>Rehmat Ullah s/o Faraz</t>
  </si>
  <si>
    <t>Mst. Benfa Bibi, r/o Katokot, Tehsil Mohmand, District Bajur Agency. (Mobile No. 0301-4210043 &amp; 0302-9587291)</t>
  </si>
  <si>
    <t>Traced Person. Rehmat Ullah has been traced. According to report received from Rep of MI Rehmat Ullah is presently confined in Internment Center at Lakki Marwat, Family members of Rehmat Ullah shall be allowed to see himin the Internment Center.</t>
  </si>
  <si>
    <t>5507-P</t>
  </si>
  <si>
    <t>Muhammad Arif s/o Muhammad Murad</t>
  </si>
  <si>
    <t>Mst. Nazria Bibi, r/o Lakhwera, Riaz Town, Tehsil Khan Pur, District Rahim Yar Khan. (Mobile No. 0306-2516073)</t>
  </si>
  <si>
    <t>Traced Person. It was informed at the hearing held in this case by the Commission at Lahore that Muhammad Arif is presently confined in the custody of CTD, Multan.</t>
  </si>
  <si>
    <t>31st October, 2018</t>
  </si>
  <si>
    <t>5508-K</t>
  </si>
  <si>
    <t>Aftab Ali s/o Ali Rehman</t>
  </si>
  <si>
    <t>Shah Rome, r/o Mohallah Shakghai Khando, Post Office Khas, Tehsil Lahor, District Swabi. (Mobile No. 0331-9020994 &amp; 0305-9277417)</t>
  </si>
  <si>
    <t>Traced Person. Aftab Ali has been traced. He has returned to home. Shah Roam (complainant) who is brother of Aftab Ali (Traced Person) is present. His statement has been recorded on oath. In his statement he has deposed that his brother has returned to home on 9.3.2019.</t>
  </si>
  <si>
    <t>01st November 2018</t>
  </si>
  <si>
    <t>5509-K</t>
  </si>
  <si>
    <t>Mst. Maryam, r/o Amankot, District Swat. (Mobile No. 0349-3538910)</t>
  </si>
  <si>
    <t>Traced Person. According to report received from Rep of MI, Gul Muhammad was put on trial by Military Court at Karachi and was awarded death sentence and thereafter he was sent to District Jail Kohat.</t>
  </si>
  <si>
    <t>5510-P</t>
  </si>
  <si>
    <t>Hafeez-ur-Rehman s/o Mian Ghazi Awan</t>
  </si>
  <si>
    <t>Haji Mian Ghazi, r/o Village Dhaba Karseal, Tehsil &amp; District Mianwali. (Mobile No. 0306-3958524)</t>
  </si>
  <si>
    <t>FIR No133 dated 01/12/2018 u/s 365 PPC, PS Chakrala, District Mianwali</t>
  </si>
  <si>
    <t>Deleted. Keeping in view of aforementioned facts and circumstances, name of Hafeez-ur-Rehman be deleted from the list of enforced disappeared persons.</t>
  </si>
  <si>
    <t>5511-K</t>
  </si>
  <si>
    <t>Ameer Mehmood s/o Fazal Mehmood</t>
  </si>
  <si>
    <t>Asad Ullah, r/o Ghund, Tehsil Kabal, District Swat. (Mobile No. 0344-0779893)</t>
  </si>
  <si>
    <t>5512-P</t>
  </si>
  <si>
    <t>Muhammad Tayyab Qasami s/o Hafiz Muhammad Ali</t>
  </si>
  <si>
    <t>Mst. Naseem Akhtar, r/o Chak No. 202 RB, Faisalabad.</t>
  </si>
  <si>
    <t>Traced Person. Muhammad Tayyab Qasmi has appeared before the Commission on 28/12/2018 whose statement has been recorded on oath. According to him he was picked between the night of 19th and 20th June, 2018 and released between the nights of 14-15 June, 2018.</t>
  </si>
  <si>
    <t>5513-F</t>
  </si>
  <si>
    <t>Khalid Murad s/o Anwar Zada</t>
  </si>
  <si>
    <t>Mst. Huram Bibi, r/o Eid Gha Masjid Khar, Tehsil Khar, District Bajur. (Mobile No. 0304-9420111 &amp; 0342-8582820).</t>
  </si>
  <si>
    <t>21103-5692439-3</t>
  </si>
  <si>
    <t>5514-S</t>
  </si>
  <si>
    <t>Naveed Ahmed s/o Ghulam Yaseen Fakhari</t>
  </si>
  <si>
    <t>Ghulam Hussain, r/o House No. A-1/5, Mullah Shor Bagh, Shah Faisal Colony No. 05, Near Power House Karachi. (Mobile No. 0315-8922679)</t>
  </si>
  <si>
    <t>Traced Person. It was informed at the hearing held in this Commission on 23.5.2019 that Naveed Ahmed has returned to home. The report submitted by the Police Officer SHO KIA, Karachi is placed on record.</t>
  </si>
  <si>
    <t>5515-S</t>
  </si>
  <si>
    <t>Yasir Ahmed s/o Muhammad Younas</t>
  </si>
  <si>
    <t>Mst. Yasmeen, r/o Flat No. 81/3, First Floor, Maqbool Abad Society, Alimager Road, Karachi. (Mobile No. 0321-2892021)</t>
  </si>
  <si>
    <t>Traced person. It was informed at the hearing held in this Commission on 06.09.2021 that Yasir Ahmed has returned to home. The statement of the Traced Person has been recorded u/s 161 CrPC. Moreover, mother of Yasir Ahmed appeared before the Commission on 06.09.2021 who confirmed the said position SDPO, New Town, Karachi also confirmed in his statement.</t>
  </si>
  <si>
    <t>5516-K</t>
  </si>
  <si>
    <t>Sohail Khan s/o Sanobar</t>
  </si>
  <si>
    <t>Sanobar, r/o Village Pawakey. Tehsil &amp; District Peshawar. (Mobile No. 0321-9011482 &amp; 0313-9955016)</t>
  </si>
  <si>
    <t>5517-K</t>
  </si>
  <si>
    <t>Muhammad Ishaq s/o Qutab Khan</t>
  </si>
  <si>
    <t>Muhammad Illyas, r/o Village Ama Khel, Tehsil &amp; District Tang. (Mobile No. 0343-2443644)</t>
  </si>
  <si>
    <t>Traced Person. SP (Inv) Tank appeared before the Commission and submitted that Muhammad Ishaq had returned home and was available at his given address. SP (Inv) Tank intimated that Muhammad Ishaq appeared before the JIT. No further action is required. The case is closed.</t>
  </si>
  <si>
    <t>5518-K</t>
  </si>
  <si>
    <t>Rizwan Ullah s/o Noor Rehman</t>
  </si>
  <si>
    <t>Muhammad Habib, r/o Mohmand, Tehsil Lowi, District Mohmand Agency. (Mobile No. 0300-0597856 &amp; 030/-6095198).</t>
  </si>
  <si>
    <t>FIR No. 921, dated 18/12/2018, u/s 365PPC, P.S Tangi, District Charsadda.</t>
  </si>
  <si>
    <t>5519-F</t>
  </si>
  <si>
    <t>Farooq s/o Jahanzaib</t>
  </si>
  <si>
    <t>Jahanzaib, r/o Tehisl &amp; P.O Khar, District Bajur Agency. (Mobile No. 0308-5971018)</t>
  </si>
  <si>
    <t>21103-5353020-5</t>
  </si>
  <si>
    <t>Traced Person. Lt. Col (Retd) Sajid Mehmood , Rep of MI appeared for hearing on 4.12.2019 and submitted that Khan Farooq Jahanzaib is detained in the Internment Center Lakki Marwat in accordance with provision of Action (in aid of Civil) Regulation. 2011. Jahanzaib father of Farooq is present, who has been apprised of the status of the case. Family members of Khan Zameen shall be facilitated to see him in the Internment Center as per rules and procedures.</t>
  </si>
  <si>
    <t>5520-S</t>
  </si>
  <si>
    <t>Muzzam Ali s/o Meer Muhammad</t>
  </si>
  <si>
    <t>Muhammad Ali, r/o House No. 270-D, Block R-3, Johar Town, Lahore. (Mobile No. 0300-4916068)</t>
  </si>
  <si>
    <t>Traced Person. It was informed at the hearing held in this Commission on 24/12/2018 that Muzzam Ali has been arrested PS Malir Cantt, Karachi latter he is on bail.</t>
  </si>
  <si>
    <t>5521-P</t>
  </si>
  <si>
    <t>Inam-ul-Haq s/o Hafiz Abdul Haq</t>
  </si>
  <si>
    <t>Aziz-ul-Haq, r/o Near Railway Station, Mohallah Fareed Abad Colony, Tehsil &amp; District Rajanpur. (Mobile No. 0331-4392728)</t>
  </si>
  <si>
    <t>Traced Person. Inam-ul-Haq has been traced. He has returned home. He appeared before the Commission on 20.6.2019. His statement has been recorded on oath in which he stated that after one year rigorous impressment by ATC. He was granted bail by the Hon”ble High Court Rawalpindi Bench.</t>
  </si>
  <si>
    <t>5522-P</t>
  </si>
  <si>
    <t>Shah Wali s/o Fateh Khan</t>
  </si>
  <si>
    <t>Dolat Khan, r/o, Islamabad Market, Itaffaq Colony, tarnol, Islamabad. (Mobile No. 0301-6690569).</t>
  </si>
  <si>
    <t>Traced Person. Mr. Shakir A. Shahid, SP (Inv) Sialkot appeared for hearing on 5.3.2019 and submitted that meeting of the JIT was held on 21.1.2019. According to him, Missing Person has been arrested in case FIR No. 2/19 PS CTD, District, Multan.</t>
  </si>
  <si>
    <t>5523-P</t>
  </si>
  <si>
    <t>Syed Rizwan Haider Kazami s/o Syed Maratab Ali Kazami</t>
  </si>
  <si>
    <t>Mst. Syeda Sadia Kasur, r/o House No. 100, Block-D, Pak Arab Society, Feroz Pur Road, Lahoe. (Mobile No. 0300-7854197 &amp; 0333-9778197)</t>
  </si>
  <si>
    <t>Traced Person. It was informed at the hearing held in this case by the Commission at Lahore that Syed Rizwan Haider Kazmi had returned to home.</t>
  </si>
  <si>
    <t>5524-I</t>
  </si>
  <si>
    <t>Muhammad Ali s/o Muzamil Shah</t>
  </si>
  <si>
    <t>Muzamil Shah, r/o Block No. 44, House No. 12, Sector G-10/3, Islamabad. (Mobile No. 0331-5097706)</t>
  </si>
  <si>
    <t>61101-5629815-3</t>
  </si>
  <si>
    <t>FIR No. 296, dated 2.10.17, u/s 365PPC, P.S Aabpara, Islamabad.</t>
  </si>
  <si>
    <t>5525-F</t>
  </si>
  <si>
    <t>Khan Zameen s/o Syed Umar Khan</t>
  </si>
  <si>
    <t>Syed Umar Khan, r/o Tehsil Khar, District bajur Agency. (Mobile No. 0302-5780383)</t>
  </si>
  <si>
    <t>21103-1989499-7</t>
  </si>
  <si>
    <t>Traced Person. Lt. Col (Retd) Sajid Mehmood , Rep of MI appeared for hearing on 4.12.2019 and submitted that Khan Zameen s/o Syed Umar Khan is detained in the Internment Center Lakki Marwat in accordance with provision of Action (in aid of Civil) Regulation. 2011. Javed Khan b/o Khan Zameen is present, who has been apprised of the status of the case. Family members of Khan Zameen shall be facilitated to see him in the Internment Center as per rules and procedures.</t>
  </si>
  <si>
    <t>5526-K</t>
  </si>
  <si>
    <t>Wazir s/o Hazrat Muhammad</t>
  </si>
  <si>
    <t>Niaz Muhammad, r/o Zargar Abad, yak Toot, Peshawar. (Mobile No. 0346-1000154 &amp; 0313-7390004)</t>
  </si>
  <si>
    <t>Traced Person. Wazir s/o Abdul Rasheed Khan has been traced as dead. I.O of the case submitted that case vide FIR No. 206/20 dated 12.2.2020 u/s 302 PPC PS Mathra District Peshawar was registered. A the Wazir has been traced, no further action is required as per ToRs of the Commission. No further action is required. The case is closed.</t>
  </si>
  <si>
    <t>5527-P</t>
  </si>
  <si>
    <t>Ashraf Ali s/o Abdul Wahid</t>
  </si>
  <si>
    <t>Abdul Aziz, r/o P.O Rojhani, Tehsil Rojhan, District Rajanpur. (Mobile No. 0303-8432282 &amp; 0334-3104421)</t>
  </si>
  <si>
    <t>Traced Person. Ashraf Ali has been traced. In this connection statement of Aamn Ullah, Police Inspector, Rajanpur Police has been recorded by the Commission that Ashraf Ali was arrested by CTD, Rajanpur on 31/10/2018 and case vide FIR No. 55 dated 31/10/2018 and he was granted bail later on by the Court.</t>
  </si>
  <si>
    <t>5528-P</t>
  </si>
  <si>
    <t>Sami Ullah s/o Samar Khan</t>
  </si>
  <si>
    <t>Hameed Ullah Khan, r/o Jalal Pur Bhattia, Tehsil Pindi Bhattia, District Hafizabad. (Mobile No. 0301-5101514)</t>
  </si>
  <si>
    <t>Traced Person. Hameed Ullah brother of Sami Ullah appeared for hearing on 4.3.2019 whose statement has been recorded on oath. According to him his brother Sami Ullah is detained in Central Jail Bahawalpur.</t>
  </si>
  <si>
    <t>5529-F</t>
  </si>
  <si>
    <t>Khair Zaman s/o Noor Muhammad</t>
  </si>
  <si>
    <t>Shah Zada, r/o P.O Sundar Khel, Tehsil Safi, District Mohmand Agency. (Mobile No. 0308-8465433)</t>
  </si>
  <si>
    <t>Traced Person. It has been intimated at the hearing on 31/12/2018. That Khair Zaman is presently confined in the Internment Center Ghalani. Shahzada b/o missing person is present who apprised of status of the case. Family Mmembers of Khair Zaman shall be facilitated to see him in the Internment Center.</t>
  </si>
  <si>
    <t>5530-K</t>
  </si>
  <si>
    <t>Abdullah s/o Muhammad Qayyum</t>
  </si>
  <si>
    <t>Mst. Bibi Zahida, r/o P.O Shangoi, District Swat. (Mobile No. 0344-1735413)</t>
  </si>
  <si>
    <t>FIR NO. 16/15 dated 21.01.2015 u/s 365 PPC PS Takht Bhai, District Mardan</t>
  </si>
  <si>
    <t>5531-P</t>
  </si>
  <si>
    <t>Saaz Khan s/o Bawar Khan</t>
  </si>
  <si>
    <t>Naib Khan, r/o Ayubi Kor, P.O Yak Ghund, Tehsil Pandelai, District Mohmand Agency. (Mobile No. 0300-5635058)</t>
  </si>
  <si>
    <t>FIR No.704/18 date18/12/2018 u/s 365 PPC PS Naulakha, District, Lahore</t>
  </si>
  <si>
    <t>5532-P</t>
  </si>
  <si>
    <t>Zakria s/o Syed Jalal-ud-Din</t>
  </si>
  <si>
    <t>FIR No. 693/18 dated 12/12/2018 u/s 365 PPC, PS Naulaku District Lahore</t>
  </si>
  <si>
    <t>Traced Person. Pursuant of issuance of Production Order in this case on 30-.1-2021 Zakria has returned home. His father appeared before the Commission on 16-06-2021 at Lahore. Hence, no further action is required. The case is closed.</t>
  </si>
  <si>
    <t>5533-K</t>
  </si>
  <si>
    <t>Arabistan s/o Bismillah</t>
  </si>
  <si>
    <t>Bismillah, r/o Khair, Kali, P.O Yousaf Khel, Uper Mohmand Agency. (Mobile No. 0348-9356566)</t>
  </si>
  <si>
    <t>21406-7615940-9</t>
  </si>
  <si>
    <t>5534-K</t>
  </si>
  <si>
    <t>Sir Zameen Khan s/o Bismillah</t>
  </si>
  <si>
    <t>5535-K</t>
  </si>
  <si>
    <t>Sadiq Shah s/o Rahim Shah</t>
  </si>
  <si>
    <t>Rahim Shah, r/o P.O Shewa, Tehsil Chakadara, District Lower Dir. (Mobile No. 0345-9539425)</t>
  </si>
  <si>
    <t>Traced Person. Sadiq Shah has been traced, who is presently in Rehabilitation Center at Sabaon in Malakand District. Statement of Rahim Shah has been recorded on oath who has affirmed in his statement that his son Sadiq Shah is presently in Rehabilitation Center Sabaon.</t>
  </si>
  <si>
    <t>5536-A</t>
  </si>
  <si>
    <t>Muhammad Maqsood Kiyani s/o Muhammad Rafique Kiyani</t>
  </si>
  <si>
    <t>Mst. Tharia Khalil, r/o House No. 373, Street No. 23, Rawal Town, District Islamabad. (Mobile No. 0300-9765108)</t>
  </si>
  <si>
    <t>Traced Person. Rep of MI is present at the hearing on 19-2-2019. He has submitted that the case of Muhammad Maqsood Kiyani is under trial by FGCM which will be concluded shortly and thereafter it would be possible for family members to see him in the Jail as per rules and procedures. Mst. Tahira Khalil sister of Muhammad Maqsood Kiyani was apprised of the status of the case.</t>
  </si>
  <si>
    <t>5537-S</t>
  </si>
  <si>
    <t>Bux Ali Mugheri</t>
  </si>
  <si>
    <t>Traced Person. It was informed at the hearing held in Sub-Office of the Commission at Karachi that Bux Ali Mugheri has returned to home and presently available at his given address.</t>
  </si>
  <si>
    <t>5538-S</t>
  </si>
  <si>
    <t>Ijaz Tunio</t>
  </si>
  <si>
    <t>Traced Person. It was informed at the hearing held in this Commission on 15/7/2019 that Ajaz Tubio has returned to home. He appeared before the Commission on the said date. The report submitted by PS Naseerabad, Karachi is placed on record.</t>
  </si>
  <si>
    <t>5539-S</t>
  </si>
  <si>
    <t>Hidayat Lohar</t>
  </si>
  <si>
    <t>Traced Person. It was informed at the hearing held in this Commission on 15/7/2019 that Hadyat Lohar has returned to home. He appeared before the Commission on the said date .Report submitted by PS Naseerabad is placed on record.</t>
  </si>
  <si>
    <t>5540-S</t>
  </si>
  <si>
    <t>Khadim Hussain Areejo</t>
  </si>
  <si>
    <t>Traced Person. It was informed at the hearing held in this Commission on 16.10.2019 that Khadim Hussain Areejo has returned to home. In this connection, Report No. SDPO/Hussainabad/Hyderabad/2526 dated 10.10.2019 from SDPO, (HA) Hyderabad is placed on record.</t>
  </si>
  <si>
    <t>5541-S</t>
  </si>
  <si>
    <t>Sabir Hussain Chandio</t>
  </si>
  <si>
    <t>FIR No. 27/2017 dated 27/11/2017 u/s 365 PPC, PS Kakar District Dadu</t>
  </si>
  <si>
    <t>Traced Person. It was informed at the hearing held in this Commission on 16.10.2019 that Shabir Hussain Chandio has returned to home. He appeared before the Commission and his statement has been recorded u/s 164 CrPC, which is available on record. SDPO Khairpur Nathan Shah Report No. SDPO/HR/Cell/4410 dated 16.10.2019 is placed on record.</t>
  </si>
  <si>
    <t>5542-S</t>
  </si>
  <si>
    <t>Muhammad Ayub Khandhro</t>
  </si>
  <si>
    <t>Ministry of Interior, Islamabad / MoFAs No. 10008412</t>
  </si>
  <si>
    <t>5543-S</t>
  </si>
  <si>
    <t>Murtaza Junejo</t>
  </si>
  <si>
    <t>Deleted. SHO, PS Barder, Karachi submitted report at the hearing on 21.1.2020 that Mumtaz Junejo was kidnapped by some private person and the case is under investigation on the FIR no allegation has been leveled against any of the LEAs. Hence not a case of enforced disappearance.</t>
  </si>
  <si>
    <t>5544-S</t>
  </si>
  <si>
    <t>Shaadi Khan Soomro</t>
  </si>
  <si>
    <t>r/o Village Noor Muhammad, District Badin.</t>
  </si>
  <si>
    <t>Traced Person. It was informed at the hearing held in this Commission on 27.10.202 that Shadi Khan Soomro has returned home. Brother of the traced person appeared before the Commission and confirmed the reported position. The report submitted by SDPO; Badin confirmed the aforesaid position. No further action is required. The case is closed.</t>
  </si>
  <si>
    <t>Ministry of Interior, Islamabad /MoFAs No. 10007936</t>
  </si>
  <si>
    <t>5545-S 5578-S 4255-S</t>
  </si>
  <si>
    <t>Aziz Ahmed s/o Muhammad Abbas</t>
  </si>
  <si>
    <t>Traced Person. It was informed at the hearing held in this Commission on 08.11.2021 that Aziz Ahmed has returned home. The statement of the Traced Person was recorded u/s 164 CrPC. Father of the traced person also appeared before the Commission and confirmed the reported position. No further action is required. The case is closed.</t>
  </si>
  <si>
    <t>5546-S</t>
  </si>
  <si>
    <t>Mukhtar Almani</t>
  </si>
  <si>
    <t>Traced Person. It was informed at the hearing held in this Commission on 6.11.2019 that Mukhtar Almani has returned to home. He appeared before the Commission. The report submitted by SSP, Larkana is placed on record.</t>
  </si>
  <si>
    <t>5547-S</t>
  </si>
  <si>
    <t>Bilawal Chandio</t>
  </si>
  <si>
    <t>Traced Person. It was informed at the hearing held in this Commission on 28/11/2018 that Bilawal Chandio has returned to home. The report submitted by the Police Officer, SHO Steel Town is placed on record.</t>
  </si>
  <si>
    <t>5548-S</t>
  </si>
  <si>
    <t>Gul Sher Tahar</t>
  </si>
  <si>
    <t>5549-S</t>
  </si>
  <si>
    <t>Naseer Abro</t>
  </si>
  <si>
    <t>Traced Person. It was informed at the hearing held in this Commission on 27.11.2019 that Naseer Abro has returned to home. He appeared before the Commission and statement of the Traced Person has been recorded u/s 164 CrPC, which is available on record.</t>
  </si>
  <si>
    <t>5550-S</t>
  </si>
  <si>
    <t>Shahid Junejo</t>
  </si>
  <si>
    <t>Traced Person. It was informed at the hearing held in this Commission on 16.11.2020 that Shahid Junejo has returned to home. The statement of the Traced Person has been recorded u/s 164 CrpC. The report submitted by SDPO, Dokhri also confirmed return of Shahid Junejo to home.</t>
  </si>
  <si>
    <t>5551-S</t>
  </si>
  <si>
    <t>Murtaza Solangi</t>
  </si>
  <si>
    <t>Deleted. It was informed at the hearing held in this Commission on 26.11.2019 that Murtaza Solangi is involved in Criminal Case vide FIR No. 16/2013, 31/2014 and 127/2014 u/s ¾, Exp Act, 6-7 ATA PS Rasheed Waggor, PS Badleh and PS Taluka respectively. In the opinion of JIT he is a offender and avoiding his lawful arrest. Accordingly not a case of enforced disappearance.</t>
  </si>
  <si>
    <t>5552-S</t>
  </si>
  <si>
    <t>Niaz Lashari</t>
  </si>
  <si>
    <t>Deleted. SHO Bin Qasim PS, Karachi submitted report dated 15.10.2019 that Investigation Officer of the case visited the area but no person with the name of Niaz Lashari was found which was also supported by statements of Ali Muhammad and Muhammad Aslam. Hence no further action is required. The case is deleted.</t>
  </si>
  <si>
    <t>5553-S</t>
  </si>
  <si>
    <t>Sarwech Noohani</t>
  </si>
  <si>
    <t>Traced Person. It was informed at the hearing held in this Commission on 7.11.2019 that Sarwech Noohani has returned to home. He appeared before the Commission and statement of the Traced Person has been recorded u/s 164 CrPC, which is available on record. The report submitted by SP, Jamshore is also placed on record.</t>
  </si>
  <si>
    <t>5554-S</t>
  </si>
  <si>
    <t>Sohail Raza Bhatti</t>
  </si>
  <si>
    <t>Deleted. It was informed at the hearing on 15.10.2019 that Sohail Raza Bhatti has been declared Proclaimed Offender as per orders of the Trial Court dated 27.11.2012. Petition No. 1055/15 was dismissed by Sindh High Court. Hence the case is deleted.</t>
  </si>
  <si>
    <t>5555-S</t>
  </si>
  <si>
    <t>Haider Khoso</t>
  </si>
  <si>
    <t>Traced Person. It was informed at the hearing held in this Commission on 28.10.2020 that Hyder Khoso confined in Central Jail, Karachi in pursuance of orders of 8.8.2020. Commanding Officer Malir after receiving year R.I on the charge of deserter from Pak Army act. No further action is required. The case is closed.</t>
  </si>
  <si>
    <t>5556-S</t>
  </si>
  <si>
    <t>Asghar Brohi</t>
  </si>
  <si>
    <t>5557-S</t>
  </si>
  <si>
    <t>Dildar Junejo</t>
  </si>
  <si>
    <t>Deleted. The case has been closed due to incomplete address as the Police could not locate the complainant / family in the absence of which no further proceedings could be initiated. The address given in the complaint is Korangi, Karachi which is incomplete as Karachi is a thickly populated area where thousands of persons live in the area. Accordingly, the case is closed.</t>
  </si>
  <si>
    <t>5558-S</t>
  </si>
  <si>
    <t>Darya Khan Dhakan</t>
  </si>
  <si>
    <t>Traced Person. It was informed at the hearing held in this Commission on 7.11.2019 that Darya Khan has returned to home. He appeared before the Commission and statement of the Traced Person has been recorded u/s 164 CrPC, which is available on record. The report submitted by SP, Larkana is also placed on record.</t>
  </si>
  <si>
    <t>5559-S</t>
  </si>
  <si>
    <t>Nangar Channa</t>
  </si>
  <si>
    <t>Traced Person. It was informed at the hearing held on 15.7.20109 at has Sub-Office of the Commission at Karachi that Nagar Channa returned to home and available at the given address.Rep of PS Naseerabad Qambar submitted the aforementioned report which is placed on record.</t>
  </si>
  <si>
    <t>5560-S 4628-S</t>
  </si>
  <si>
    <t>Deedar Amrat Shabrani s/o Wahid Buz</t>
  </si>
  <si>
    <t>Traced Person. At the hearing held on 25.7.2019. Rep of PS Sachal, Karachi submitted report that he contacted wife (Robina) of Deedar Amrat Shabrani who stated that her husband returned to home and she was living with him in Faisalabad. The Police Officers also visited his House No. E-63 Shahnawaz, Scheme No. 33, Karachi and met his brother- in-law Iftikhar Ali who also confirmed the aforementioned position.</t>
  </si>
  <si>
    <t>5561-S</t>
  </si>
  <si>
    <t>Javed Sanghaar</t>
  </si>
  <si>
    <t>Deleted. The case has been closed due to incomplete/fake address as the Police could not locate the complainant / family in the absence of which no further proceedings could be initiated. In this connection the report from SHO, PS Chakiwara, Karachi is also placed on record.</t>
  </si>
  <si>
    <t>5562-S 3383-S</t>
  </si>
  <si>
    <t>Mohan Meghwar</t>
  </si>
  <si>
    <t>Deleted. Perusal of the record FIR and JIT reports six meetings indicate that there is no allegation against any LEAs neither any eye witness of the occurrence. CDRs of Mobile Phone under the of the Missing Person could not lead to any clue to search him whereabouts. The complainant attends JIT meetings but attend JIT meetings but remained absent at the hearings. JIT concluded that Missing Person has gone on his own. The case does not fall within the domain of enforced disappearance.</t>
  </si>
  <si>
    <t>5563-S</t>
  </si>
  <si>
    <t>Jameel Goro</t>
  </si>
  <si>
    <t>Deleted. The case is deleted due to non-prosecution as the complainant has not been attending hearings fixed in his case in this Commission for which notice also issued by SHO, Kotri District Jamshoro. Even otherwise the Missing Person was nominated accused in a large number of cases of terrorism.</t>
  </si>
  <si>
    <t>5564-S</t>
  </si>
  <si>
    <t>Aqib Chandio</t>
  </si>
  <si>
    <t>Traced Person. It was informed at the hearing held in this Commission on 26.11.2019 that Aqib Ali Chandio has returned to home. The report submitted by In-charge PS Darro , Larkana is also placed on record.</t>
  </si>
  <si>
    <t>5565-S</t>
  </si>
  <si>
    <t>Naveed Meerani</t>
  </si>
  <si>
    <t>Traced Person. It was informed at the hearing held in this Commission on 26.11.2019 that Naveed Chandio has returned to home. The report submitted by SSP Jamshoro is also placed on record.</t>
  </si>
  <si>
    <t>5566-S</t>
  </si>
  <si>
    <t>Ubaid Menik</t>
  </si>
  <si>
    <t>Deleted. The case has been deleted from the list of disappeared persons as the address provided is incomplete. There is no contact number the investigation officer could not reach the family to ascertain necessary information to trace the whereabouts of the Missing Person.</t>
  </si>
  <si>
    <t>5567-S</t>
  </si>
  <si>
    <t>Meer Sikandar s/o Kamal Khan Chandio</t>
  </si>
  <si>
    <t>r/o Bhitial Colony, Karachi.</t>
  </si>
  <si>
    <t>Deleted. The case has been deleted due to incomplete /fake address as the Police could not locate the complainant /family in the absence of which no further proceedings could be initiated.</t>
  </si>
  <si>
    <t>5568-S</t>
  </si>
  <si>
    <t>Ijaz Gaho</t>
  </si>
  <si>
    <t>Ministry of Interior, Islamabad MoFAs No. 10007858</t>
  </si>
  <si>
    <t>5569-S</t>
  </si>
  <si>
    <t>Mujeeb Choliyani</t>
  </si>
  <si>
    <t>Deleted. The case has been deleted due to non-prosecution as the complainant neither extended co-operation to the investigation Officer nor attended hearings. The complainant is not Interested to lodged FIR.</t>
  </si>
  <si>
    <t>5570-S</t>
  </si>
  <si>
    <t>Allah Wadhayo Mahar</t>
  </si>
  <si>
    <t>Deleted. The case has been deleted due to incomplete /fake address as the Police could not locate the complainant /family in the absence of which no further proceedings could be initiated. The address given in the UNWG information report is Malir, Karachi which is incomplete.</t>
  </si>
  <si>
    <t>5571-S</t>
  </si>
  <si>
    <t>Fazeela Sarki</t>
  </si>
  <si>
    <t>Deleted. After thorough investigation, it has been concluded that accused culprits in the case are private persons and no allegation on LEAs. Accordingly the case is deleted being not within the domain of enforced disappearance.</t>
  </si>
  <si>
    <t>5572-S</t>
  </si>
  <si>
    <t>Dr. Fateh Muhammad Khoso s/o Kareem Bux</t>
  </si>
  <si>
    <t>5573-P</t>
  </si>
  <si>
    <t>Bashir Ahmed s/o Wahid Bakhsh</t>
  </si>
  <si>
    <t>Saeed Ahmed, r/o Airport Road, Manzoor Colony, Khan Pur, District Rahim Yaar Khan. (Mobile No. 0344-7039160)</t>
  </si>
  <si>
    <t>FIR No. 69/18 dated 23/02/2018 u/s 365 PPC, PS City Khanpur, District Rahim Yar Khan</t>
  </si>
  <si>
    <t>Traced Person. Bashir Ahmed has been traced. Rep of MI is present. He has submitted that Bashir Ahmed is presently confined in the Internment Center Lakki Marwat. Saeed Ahmed complainant is present. He has been apprised of the status of the case.</t>
  </si>
  <si>
    <t>5574-P</t>
  </si>
  <si>
    <t>Zeeshan Anwar s/o Anwar Zeb</t>
  </si>
  <si>
    <t>Muhammad Irshad, r/o Mera Dawood, P.O Ghari Duptat, Tehsil &amp; District Muzaffarabad. (Mobile No. 0300-9828958 &amp; 0345-5319092)</t>
  </si>
  <si>
    <t>FIR No. 1035/18 dated u/s 365 PPC, PS Sundar District Lahore</t>
  </si>
  <si>
    <t>Traced Person. SP (Inv), Saddar Division, Lahore submitted that Zeeshan Anwar has been traced and he has returned to home. Zeeshan Anwar was not abducted by anybody rather he went for excursion with his friends.</t>
  </si>
  <si>
    <t>5575-K</t>
  </si>
  <si>
    <t>Imran s/o Abdul Qadir</t>
  </si>
  <si>
    <t>Abdul Aziz, r/o Nawa Kilay, Mohallah Ameer Khan, Mingora, Tehsil Babu Zai, District Swat. (Mobile No. 0345-9191465)</t>
  </si>
  <si>
    <t>5576-I</t>
  </si>
  <si>
    <t>Muhammad Sohaib s/o Abdul Qayyum</t>
  </si>
  <si>
    <t>Ismail Shahid, r/o Tekhal Bala, Mohallah Muhammad Abad, Peshawar. (Mobile No. 0334-9113277 &amp; 0313-9529776)</t>
  </si>
  <si>
    <t>FIR No. 578 dated 21/12/2018 u/s 365 PPC PS Tarnol, District Islamabad</t>
  </si>
  <si>
    <t>Traced Person. Muhammad Shoaib has been traced, who appeared before the Commission on 19.8.2019. His statement has been recorded on oath. According to his statement, he was abducted on 21.10.2018 by unknown persons, and was set free on 23.4.2019 at Bannu. Thereafter he returned home.</t>
  </si>
  <si>
    <t>5577-S</t>
  </si>
  <si>
    <t>Ali Ahmed s/o Aldhano</t>
  </si>
  <si>
    <t>Noor Ahmed, r/o Ward No. 05, Badin City. (Mobile No. 0333-3354059)</t>
  </si>
  <si>
    <t>Traced Person. ASI,Badin Police Station submitted report at the hearing on 21.9.2020 that Ali Ahmed s/o Allah Dino has returned home. He produced the statement recorded u/s 161 CrpC. Hence the case is closed.</t>
  </si>
  <si>
    <t>5578-S 5545-S 4255-S</t>
  </si>
  <si>
    <t>Muhammad Abbas, r/o Taulaka Tando Bago, District Badin. (Mobile No. 0346-2651042)</t>
  </si>
  <si>
    <t>5579-F</t>
  </si>
  <si>
    <t>Saheen Ullah s/o Mashad Deen Khan</t>
  </si>
  <si>
    <t>Mashad Deen Khan, r/o Manzar Khel, Datta Khel, tehsil Datta Khel, District North Waziristan Agency. (Mobile No. 0331-7000951)</t>
  </si>
  <si>
    <t>21501-8973205-9</t>
  </si>
  <si>
    <t>FIR No. 91, dated 9/11/20 , u/s PPS, P.S Miranshah, District NWA, FAFA</t>
  </si>
  <si>
    <t>5580-I</t>
  </si>
  <si>
    <t>Muhammad Tahir Khan Dawar s/o Behray Zaman</t>
  </si>
  <si>
    <t>Ahmed Din, r/o Phase 6 Hayatabad, House No. 413, Sector F-5, Street No. 19, Peshawar. (Mobile No. 0304-1359033 &amp; 0335-4646286)</t>
  </si>
  <si>
    <t>Traced Person. As per report furnished by SP (Inv), Islamabad at the hearing on 31/12/2018 that Muhammad Tahir Khan Dawar has been killed in Afghanistan. Brother of missing person also confirmed.</t>
  </si>
  <si>
    <t>5581-I</t>
  </si>
  <si>
    <t>Muhammad Yousaf Ullah s/o Mali Muhammad Shamsher</t>
  </si>
  <si>
    <t>Ghazani Khan, r/o Mohallah Qaiyam Deen, Bhara Khao, Islamabad. (Mobile No. 0306-5494101)</t>
  </si>
  <si>
    <t>Traced Person. SHO PS/1-9, Islamabad has given statement at the hearing on 31/12/2018 that Muhammad Saifullah has returned home.</t>
  </si>
  <si>
    <t>5582-S</t>
  </si>
  <si>
    <t>Insaf Ali Diyo s/o Muhammad Ibrahim Diyo</t>
  </si>
  <si>
    <t>Ehsan Ali Diyo, r/o Mazhar Model School, Larkana Sindh, Karachi. (Mobile No. 0331-3005087)</t>
  </si>
  <si>
    <t>43203-5360005-8</t>
  </si>
  <si>
    <t>5583-K</t>
  </si>
  <si>
    <t>Habib Ullah s/o Zar Shad</t>
  </si>
  <si>
    <t>Zar Shad, r/o Ghari Atta Muhamamd , Peshawar. (Mobile No. 0312-9591256 &amp; 0310-9574235)</t>
  </si>
  <si>
    <t>5584-S</t>
  </si>
  <si>
    <t>Khalid Sharif s/o Moin Gul</t>
  </si>
  <si>
    <t>Mst. Sakina Bibi, r/o Abdul rahim Khel, Upper Orkazai Agency. New Ada, Mir Wazai Kohat. (Mobile No.0330-8535132 &amp; 0336-1533176)</t>
  </si>
  <si>
    <t>21604-8342063-1</t>
  </si>
  <si>
    <t>5585-P</t>
  </si>
  <si>
    <t>Mufti Noor Ahmed s/o Rehmat Ali</t>
  </si>
  <si>
    <t>rehmat Ali, r/o Sukhera, Chak Bahera, Tehsil &amp; District Pak Patan. Mobile No. 0300-4316542)</t>
  </si>
  <si>
    <t>FIR No. 356/18 dated 21/12/2018 u/s 365 PPC PS Fareed Nagar ,District Pak Patan</t>
  </si>
  <si>
    <t>Traced Person. Mufti Noor Ahmed has been traced. He appeared before the Commission on 27.10.2020 and affirmed that he recorded his statement u/ s164 CrPC. Reports has been received from DPO Pakpatan. According to the report on 11.2.2020 Mufti Noor Ahmed appeared before the IO of the case who got recorded his statement stating therein that his family got lodged the said case against unknown persons and he was not abducted by any person. Hence, the case is closed.</t>
  </si>
  <si>
    <t>5586-K</t>
  </si>
  <si>
    <t>Akhtar Ali s/o Saeed Umar</t>
  </si>
  <si>
    <t>Mst. Makhmeen, r/o Imam Dheri, Tehsil Kabal, District Swat. (Mobile No. 0340-9274277 &amp; 0343-9994498 &amp; 0341-1907299)</t>
  </si>
  <si>
    <t>15602-9934643-9</t>
  </si>
  <si>
    <t>FIR No. 712/18 dated 15/12/2018 u/s 365 PPC, PS City Kanju District Rahim Swat</t>
  </si>
  <si>
    <t>5587-P</t>
  </si>
  <si>
    <t>Sohail Aslam s/o Haq Nawaz</t>
  </si>
  <si>
    <t>Amir Farooq, r/o Mohallah Islamabad, Ward No. 07, House No. 188, Tehsil &amp; District Ismlamabad. (Mobile No. 0336-5632005)</t>
  </si>
  <si>
    <t>Traced Person. Sohail Aslam has been traced. He is presently confined in Central Jail, Bahawalpur as confirmed by DSP (Legal) Jhang. Sohail Aslam was arrested in case FIR No. 59 dated 26/11/2018 u/s 4/5 ESA, PS CTD, Multan.</t>
  </si>
  <si>
    <t>5588-K</t>
  </si>
  <si>
    <t>Gul Zada s/o Anzar Gul</t>
  </si>
  <si>
    <t>Anzar Gul, r/o Nowa Kilay, Mohallah Ameer Khan, Mingora, Tehsil Babu Zai, District Swat. (Mobile No. 0346-9459336 &amp; 0342-9647715)</t>
  </si>
  <si>
    <t>15602-5817404-1</t>
  </si>
  <si>
    <t>FIR No. 763/18 dated 17/12/2018 u/s 365 PPC, PS Banr District Swat</t>
  </si>
  <si>
    <t>5589-P</t>
  </si>
  <si>
    <t>Hafiz Muhammad Akmal s/o Muhammad Afzal</t>
  </si>
  <si>
    <t>Muhammad Afzal, r/o Tehsil Yezman, District Bahawalpur.</t>
  </si>
  <si>
    <t>Traced Person. Hafiz Muhammad Akmal has been traced. Presently he is confined in Central Jail Faisalabad in case FIR no. 30/18 u/s 7ATA read with 4/5 ESA, 13 (A) PAAO-15/20/65 PS CTD, Faisalabad.</t>
  </si>
  <si>
    <t>5590-K</t>
  </si>
  <si>
    <t>Imran Khan s/o Muhammad Umar</t>
  </si>
  <si>
    <t>Asif Khan, r/o Village Alowey, Tehsil &amp; District Haripur. (Mobile No. 0347-9798648)</t>
  </si>
  <si>
    <t>Traced Person. Asif Khan Complaint entered appearance on 01/01/2019 and his statement has been recorded on oath, which despites that dead body of Imran Khan was recovered on 05/12/2018 which was identified by him and other family members; subsequently the dead body was buried.</t>
  </si>
  <si>
    <t>5591-K</t>
  </si>
  <si>
    <t>Mubashir Hussain s/o Ghulam Rasool</t>
  </si>
  <si>
    <t>Muhammad Mushtaq, r/o Village Alowey, Tehsil &amp; District Haripur. (Mobile No. 0300-3929016)</t>
  </si>
  <si>
    <t>Traced Person. Mr. Muhammad Asif SP (Inv) District Haripur appeared before the Commission on 4.1.2020 and his statement has been recorded on oath. According to him Mubashir Hussain was arrested by CTD in case FIR No. 08 dated 19/08/2019 u/s 11-N, 21-C. 6. ATA. He further stated that Mubashir Hussain was in Judicial lockup and later he was released on bail by the ATC Court Hazara Region on 16.9.2019.</t>
  </si>
  <si>
    <t>5592-S</t>
  </si>
  <si>
    <t>Wahid Gul, r/o Sakha Kot, Tehsil Dargai District Malakand. (Mobile No. 0333-9506817 &amp; 0345-5521432)</t>
  </si>
  <si>
    <t>Traced Person. It was informed at the hearing held in this Commission on 4.9.2019 that Saif Ullah is involved in Criminal Case vide FIR No. 373/119 dated 20.9.2019 PS, Steel Town, Karachi. He was arrested and presently confined in Landhi Jail, Karachi.</t>
  </si>
  <si>
    <t>5593-K</t>
  </si>
  <si>
    <t>Rehman Gul s/o Abdul Rasheed Khan</t>
  </si>
  <si>
    <t>Yousaf Khan, r/o House No. 1906, Mohallah Siddique Akbar Sheikh Abad No. 02, Peshawar. (Mobile No.0310-9372772)</t>
  </si>
  <si>
    <t>Traced Person. Rehman Gul has been traced. He has returned home and appeared before the Commission on 25.9.2020. His statement was recorded on oath, in which he stated that he was abducted on 21.7.2018 after magrib prayers when he came out of mosque. He has further stated that he was set free on 1.1.2020 and he returned home. He has furnished no details regarding the persons involved and the place of detention. No further is required, the case is closed.</t>
  </si>
  <si>
    <t>5594-K</t>
  </si>
  <si>
    <t>Sher Zameen s/o Bakhat Zameen</t>
  </si>
  <si>
    <t>Zareef Khan, r/o Mohallah Islamabad, Habeat Garam, Tehsil Batkhela, District Malakand. (Mobile No. 0344-9897540 &amp; 0346-9466176)</t>
  </si>
  <si>
    <t>5595-K</t>
  </si>
  <si>
    <t>Nazir Shah s/o Syed Bagad Shah</t>
  </si>
  <si>
    <t>Syed Baghad Shah, r/o House No. 10, Street No. 07, Mohallah Qadzafai Colony, Badami Bagh, Lahore. (Mobile No. 0300-4258744 &amp; 0331-4646900 &amp; 0311-4040431).</t>
  </si>
  <si>
    <t>35202-8791044-1</t>
  </si>
  <si>
    <t>FIR No. 1151 dated 20/12/2018 u/s 365 PPC PS Swabi.</t>
  </si>
  <si>
    <t>Traced Person. Nazir Hussain has been traced. He is in the custody of military authorizes. Rep of MI is present. He is submitted that the case of Nazir Shah is being processed for trial by military Court. Father of Nazir Shah informed accordingly.</t>
  </si>
  <si>
    <t>5596-K</t>
  </si>
  <si>
    <t>Amir Hussain s/o Saleh Muhammad</t>
  </si>
  <si>
    <t>Saleh Muhammad, r/o Manzoor Abad, Budhni Road, Dawranpur, Peshawar. (Mobile No. 0310-9924859)</t>
  </si>
  <si>
    <t>FIR No. 1068/18 dated 26/12/20018 u/s 365 PPC, PS City, Hangu</t>
  </si>
  <si>
    <t>Traced Person. Amir Hussain has been traced. According to report received from Rep of MI, Amir Hussain is presently confined in Internment Center Fizaghat. Family members of Amir Hussain shall be facilitated to see him in the Internment Center.</t>
  </si>
  <si>
    <t>5597-K</t>
  </si>
  <si>
    <t>Karamat Ullah</t>
  </si>
  <si>
    <t>Mst. Shoukat Bibi, r/o Ghazali Ghari, Village Regai, District Peshawar. (Mobile No. 0333-9302531 &amp; 0310-9967213)</t>
  </si>
  <si>
    <t>5598-K</t>
  </si>
  <si>
    <t>Israr Ullah s/o Karmat Ullah</t>
  </si>
  <si>
    <t>5599-A</t>
  </si>
  <si>
    <t>Muhammad Haider s/o Sabaz Ali</t>
  </si>
  <si>
    <t>Mst/ Chalandran Bibi, r/o Falakan village, District Neelum. (Mobile No. 0355-7406521 &amp; 0341-4765678)</t>
  </si>
  <si>
    <t>Deleted. JIT and PTF concluded in the reports that the Missing Person had gone on his own. All stakeholders have denied apprehension / custody of Abdul Ghaffar. Hence not a case of enforced disappearance. The case is closed.</t>
  </si>
  <si>
    <t>5600-S</t>
  </si>
  <si>
    <t>Faizan Ali Khan s/o Liaq Ali Khan</t>
  </si>
  <si>
    <t>Mst. Shaheen Parveen, (Mobile No. 0311-2433309)</t>
  </si>
  <si>
    <t>Traced Person. Report of the ISI has been produced in which it is confirmed that as the result of ground check, it is revealed that the alleged missing person is presently at his home</t>
  </si>
  <si>
    <t>5601-P</t>
  </si>
  <si>
    <t>Hameed Ullah s/o Syed Baghad Shah</t>
  </si>
  <si>
    <t>Saeed Baghad Shah, r/o House No. 10, Street No. 07, Mohallah Qadzafai Colony, Badami Bagh, Lahore. (Mobile No. 0300-4258744)</t>
  </si>
  <si>
    <t>Traced Person. Rep of MI has intimated at the hearing on 11.2.2020 that Hameed Ullah are under trial in the Military Court. Since Hameed Ullah has been traced, they are no more Missing Person. No further action is taken by the Commission at this stage. Complainants may avail remedy before proper forums, if so desired.</t>
  </si>
  <si>
    <t>5602-P</t>
  </si>
  <si>
    <t>Habib Ullah s/o Syed Javed Shah</t>
  </si>
  <si>
    <t>Syed Javed Shah, r/o House No. 10, Street No. 07, Mohallah Qadzafai Colony, Badami Bagh, Lahore. (Mobile No. 0304-4185607)</t>
  </si>
  <si>
    <t>FIR No. 1027/18 dated 20/122018 u/s 365 PPC PS badami bagh, Lahore</t>
  </si>
  <si>
    <t>Traced Person. Syed Javed Shah father of Habib Ullah appeared before the Commission on 18.6.2019. His statement has been recorded on oath. According to which Habib Ullah is presently confined in Internment Center Fort Salop.</t>
  </si>
  <si>
    <t>5603-P</t>
  </si>
  <si>
    <t>Mustajab Shah s/o Syed Saeed Shah</t>
  </si>
  <si>
    <t>Syed Javed Shah, r/o House No. 10, Street No. 07, Mohallah Qadzafai Colony, Badami Bagh, Lahore. (Mobile No. 0300-4258744)</t>
  </si>
  <si>
    <t>FIR No. 1026/18 dated 20/122018 u/s 365 PPC PS badami bagh, Lahore</t>
  </si>
  <si>
    <t>Traced Person. Rep of MI has intimated at the hearing on 11.2.2020 that Mustajab Shah are under trial in the Military Court. Since Mustajab Shah has been traced, they are no more Missing Person. No further action is taken by the Commission at this stage. Complainants may avail remedy before proper forums, if so desired.</t>
  </si>
  <si>
    <t>5604-K</t>
  </si>
  <si>
    <t>Khan Asghar s/o Ghulam Hussain</t>
  </si>
  <si>
    <t>Sahib Haq, r/o Bar Qambar Khel, P.O Bara, Khyber Agency. (Mobile No. 0300-0953454 &amp; 0333-9188701).</t>
  </si>
  <si>
    <t>5605-I</t>
  </si>
  <si>
    <t>Shoukat Ali s/o Ghulam Qadir</t>
  </si>
  <si>
    <t>Hafiz Kamran, r/o Flat No. 4, 03rd Floor, Naghi Complex Civic Center Phase No. 04 , Bahria Town, Islamabad.</t>
  </si>
  <si>
    <t>Traced Person. ASI Noor Ullah informed at the hearing on 31/12/2018 that Shaukat Ali has been traced. He met an accident and presently admitted in CMH Rawalpindi.</t>
  </si>
  <si>
    <t>5606-P</t>
  </si>
  <si>
    <t>Hafiz Muhammad Shoukat s/o Manzoor Hussain</t>
  </si>
  <si>
    <t>Manzoor Hussain, r/o Mohallah Faisal Colony, Near Anwar Industry, Chanda Qila, Tehisl &amp; District Gujranwala. (Mobile No. 0306-3503671)</t>
  </si>
  <si>
    <t>Traced Person. Hafiz Muhammad Shoukat has appeared in person, whose statement has been recorded on oath. According to him, on 1st August, 2018 he was picked up and taken away by unknown persons. He has further stated that he was released on 19/5/2019.</t>
  </si>
  <si>
    <t>5607-K</t>
  </si>
  <si>
    <t>Muhammad Atif s/o Sabaz Ali Khan</t>
  </si>
  <si>
    <t>Sabaz Ali Khan, r/o House No. A-16, Officer Block, Gulshan-e-Rehman, Kohat Road, Peshawar. (Mobile No. 0334-9221770 &amp; 0300-5764060)</t>
  </si>
  <si>
    <t>Traced Person. Father of Muhammad Atif (Traced Person) is present. His statement has been recorded on oath. He has affirmed that his son has returned and now he is undergoing medical treatment at Islamabad.</t>
  </si>
  <si>
    <t>5608-K</t>
  </si>
  <si>
    <t>Sharif Ullah s/o Habib Saeed</t>
  </si>
  <si>
    <t>Habib Saeed, r/o Patarak Serai, Tehsil Kalakot, District Lower Dir. (Mobile No. 0344-9295394)</t>
  </si>
  <si>
    <t>30th November 2018</t>
  </si>
  <si>
    <t>5609-K</t>
  </si>
  <si>
    <t>Sher Muhammad s/o Sher Gul</t>
  </si>
  <si>
    <t>Mst. Sakeena, r/o Mohallah Usmanabad, Bantar, Mingora, Tehsil &amp; District Swat. (Mobile No. 0346-9396912 &amp; 0348-1090667)</t>
  </si>
  <si>
    <t>FIR No. 778 dated 31/12/2018 u/s 365 PPC PS Banr ,District Swat</t>
  </si>
  <si>
    <t>Deleted. There is absoutely no allegation against any LEAs/intelligence agency. JIT has been conducted as many as four meetings but no clue could be ascertained. The case has been categorized as the missing person has gone on his own. Hence the case is deleted.</t>
  </si>
  <si>
    <t>01st December 2018</t>
  </si>
  <si>
    <t>5610-K</t>
  </si>
  <si>
    <t>Anwar Ali s/o Abdul Majeed</t>
  </si>
  <si>
    <t>Mst. Bibi Jabeena, r/o Bara Bandi, Tehsil Kabal, District Swat. (Mobile No. 0342-4652116)</t>
  </si>
  <si>
    <t>FIR No. dated u/s 365 PPC PS Kanju, Mardan</t>
  </si>
  <si>
    <t>5611-K 6119-K</t>
  </si>
  <si>
    <t>Akbar Hussain s/o Sanobar</t>
  </si>
  <si>
    <t>Mst. Pari, r/o Nowa Kilay, Mohallah, Mir Khel, Mingora, Tehsil Babu Zai, District Swat. Mobile No. 0344-1099058 &amp; 0341-9140047)</t>
  </si>
  <si>
    <t>FIR No. 77dated31/12/2018 u/s 365 PPC PS Banr ,District Swat</t>
  </si>
  <si>
    <t>5612-K</t>
  </si>
  <si>
    <t>Arsla s/o Iqbal Shah</t>
  </si>
  <si>
    <t>Zaman Mursleen, r/o P.O Toro, Tehsil &amp; District Mardan. (Mobile No. 0308-8975473)</t>
  </si>
  <si>
    <t>16101-6719786-3</t>
  </si>
  <si>
    <t>5613-K</t>
  </si>
  <si>
    <t>Zahid Ali s/o Sher Zada</t>
  </si>
  <si>
    <t>Sher Zada, r/o P.O Toro, Tehsil &amp; District Mardan. (Mobile No.0347-9044768)</t>
  </si>
  <si>
    <t>16101-1694420-3</t>
  </si>
  <si>
    <t>5614-F</t>
  </si>
  <si>
    <t>Muhammad Zakir s/o Haji Sakhi Muhammad</t>
  </si>
  <si>
    <t>Adil Muhammad, r/o Bagan Bazar, Mohallah Kharila, Tehisl Ali Zai, Kurram Agency. (Mobile No. 0309-5761003)</t>
  </si>
  <si>
    <t>Traced Person. Muhammad Zakir has been appeared for hearing on 13.2.2020 who affirmed that Muhamad Zakir is confined in Internment Center Kohat. Adil Muhammad complainant/ brother of Muhammad Zakir traced person also appeared, who has been apprised of status of the case. He has alos affirmed that family members have already met Muhammad Zakir at Internment Center Kohat.</t>
  </si>
  <si>
    <t>5615-P</t>
  </si>
  <si>
    <t>Muhammad Rashid Khan s/o Muhammad Asif Khan</t>
  </si>
  <si>
    <t>Mst. Parveen Bibi, r/o House No. 08, Near Visdom House School, Lala Zar Colony. (Mobile No. 0316-7321104)</t>
  </si>
  <si>
    <t>Traced Person. SSP (Inv) Rawalpindi submitted report at the hearing held in this case on 4.5.2020 that Muhammad Rashid Khan has returned home. He further submitted that the statement of Traced Person was recorded u/s 164 CrPC by the learned Judicial Magistrate.</t>
  </si>
  <si>
    <t>5616-K</t>
  </si>
  <si>
    <t>Jahan Zada s/o Shereen</t>
  </si>
  <si>
    <t>Shereen, r/o Ghumbat Bandi, Tehsil Temighara, District Lower Dir. (Mobile No. 0344-3489311)</t>
  </si>
  <si>
    <t>5617-S</t>
  </si>
  <si>
    <t>Mst. Saima r/o Minala Center, Gulshan-e-Iqbal, Flat No. 315, Block 13-D, Karachi. (Mobile No.0303-2960559)</t>
  </si>
  <si>
    <t>Traced Person. It was informed at the hearing held in this Commission on 7.10.2019 that Muhammad Rizwan is involved in Criminal Case vide FIR No. 302-303 and 304 dated 3.8.2019 u/s 186/353 PPC etc PS Mobina Town, Karachi. Statement of his wife has been recorded on oath, who has confirmed the aforesaid position.</t>
  </si>
  <si>
    <t>5618-K</t>
  </si>
  <si>
    <t>Muhammad Ameen s/o Saleem</t>
  </si>
  <si>
    <t>Mst. Maqbool Bibi, r/o Haleem Zai P.O Shabaqadar, District Charsadda. (Mobile No. 0347-7578494 &amp; 0332-7394005)</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</si>
  <si>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Muhammad Ameen s/o Saleem. Hence, not a case of enforced disappearance. The case is closed.</t>
  </si>
  <si>
    <t>5619-K</t>
  </si>
  <si>
    <t>Izzat Noor s/o Alla Noor</t>
  </si>
  <si>
    <t>Zabat Khan, r/o Village Faqeer Kilay, Ghari Sobat Khan, Tehsil &amp; District Peshawar. (Mobile No. 0306-62302003 &amp; 0334-1917998)</t>
  </si>
  <si>
    <t>5620-K</t>
  </si>
  <si>
    <t>Hassan Iqbal s/o Muhammad Iqbal</t>
  </si>
  <si>
    <t>Yasir Hussain, r/o Mohallah Janbarai, District Hangu. (Mobile No. 0334-3473434 &amp; 0333-9671844)</t>
  </si>
  <si>
    <t>14101-7575021-5</t>
  </si>
  <si>
    <t>Deleted. The complainant has not levelled allegation against any or the LEAs/ Intelligence Agency in the Missing Person Proforma rather he has submitted that Hassan Iqbal came out from his aunt’s house and disappeared. Statement to this was effect was given by Yasir Hussain b/o Hassan Iqbal who appeared before the Commission on 12.8.2020 and his statement has been recorded on oath. Yasir Hussain has deposed that Hassan Iqbal disappeared from his aunt’s house at Kohat and that no LEAs/ Intelligence Agency was nominated in the complainant. There is no eye witness of the case and no allegation has been levelled against any of LEAs / Intelligence Agency. Hence, not a case of enforced disappearance. The case is closed.</t>
  </si>
  <si>
    <t>5621-K</t>
  </si>
  <si>
    <t>Hanif Ullah s/o Mubarik Shah</t>
  </si>
  <si>
    <t>Mubarik Shah, r/o Mohallah Gul Habib, Bacha Par Hoti, Mardan. (Mobile No. 0313-9918331)</t>
  </si>
  <si>
    <t>Traced Person. Hanif Ullah has been trance he has returned home and is present before the Commission on 26/7/2019. His statement has been recorded on oath. In his statement he has deposed that he was abducted by some unknown persons on 5/8/2017 from the vicinity of Charsadda Jail and was kept at an undisclosed place. He was set free on 9/7/2019 and dropped at Ring Road, Peshawar from where he returned home.</t>
  </si>
  <si>
    <t>5622-K</t>
  </si>
  <si>
    <t>Safi Ullah s/o Mubarik Shah</t>
  </si>
  <si>
    <t>5623-F</t>
  </si>
  <si>
    <t>Abid Ullah s/o Ayaz Khan</t>
  </si>
  <si>
    <t>Abu Bakar Siddique, r/o Mir Jon Khel, Toori Khel, Tehsil Miran Shah, District North Waziristan Agency, (Mobile No. 0320-9681412 &amp; 0335-5803836 &amp; 0348-0882688)</t>
  </si>
  <si>
    <t>21506-8474896-9</t>
  </si>
  <si>
    <t>FIR No. 111, dated 10/11/20 , u/s PPS, P.S Mirali, District NWA, FAFA</t>
  </si>
  <si>
    <t>FATA/ NWA</t>
  </si>
  <si>
    <t>5624-B</t>
  </si>
  <si>
    <t>Muhammad Jalat s/o Haji Dawood</t>
  </si>
  <si>
    <t>Abdul Razzaq, r/o College Road, Haji Basar Kala, Nai Abadi Chaman. (Mobile No. 0317-8787546 &amp; 0344-8174030)</t>
  </si>
  <si>
    <t>5625-S</t>
  </si>
  <si>
    <t>Saif Ullah s/o Anar Gul</t>
  </si>
  <si>
    <t>Waheed Gul, r/o Mohallah College Colony, Masjid Kot Jadeed, Tehsil &amp; District Malakand. (Mobile No. 0345-5521432)</t>
  </si>
  <si>
    <t>5626-S</t>
  </si>
  <si>
    <t>Mehmood Ali Azad s/o Zafar Ali</t>
  </si>
  <si>
    <t>Mst. Maria, r/o House No. 1228, Sector 8/L, Orangi Town, Karachi. (Mobile No. 0316-2264054)</t>
  </si>
  <si>
    <t>Deleted. After through investigation 7 , meetings of JIT and 2, meetings of PTF it was found that person namely Jawad and others were accused for abduction in the FIR No. 106/2017, u/s 365/34 PPC, PS Madina Colony. As private persons have been accused and there is no allegation against any LEAs, therefore not a case of enforced disappearance. Hence closed.</t>
  </si>
  <si>
    <t>5627-K</t>
  </si>
  <si>
    <t>Hamid Ayub s/o Ayub Khan</t>
  </si>
  <si>
    <t>Ayub Khan, r/o Dobandi, Tehsil Dargai, District Malakand Agency.</t>
  </si>
  <si>
    <t>Traced Person. According to report received from Rep of MI, Haroon Rasheed is presently confined in Internment Center Fizaghat Family members of Sartaj Hussain shall be facilitated to see him in the Internment Center as per rules and procedure.</t>
  </si>
  <si>
    <t>5628-K</t>
  </si>
  <si>
    <t>Haroon Rasheed s/o Faisal Ghaffor</t>
  </si>
  <si>
    <t>Mst. Amina Bibi, r/o Kalo Khan, District Swabi.</t>
  </si>
  <si>
    <t>Traced Person. According to the report received from MI, Haroon Rasheed is presently interned in Internment Centre, Fizaghat. Family members of Haroon Rasheed will be facilitated to see him in Internment Centre, Fizaghat, as per rules and on completion of usual formalities.</t>
  </si>
  <si>
    <t>5629-K</t>
  </si>
  <si>
    <t>Sartaj Hussain s/o Khan Shereen</t>
  </si>
  <si>
    <t>Khan Shereen, r/o Zar Khela, Shamozai, Swat.</t>
  </si>
  <si>
    <t>Traced Person. According to report received from MI, GHQ, Rawalpindi was confined in Internment Centre Paithom. Family members Sartaj Hussain shall be facilitated to see him in the Interment Centre as per rules and procedures.</t>
  </si>
  <si>
    <t>5630-K</t>
  </si>
  <si>
    <t>Shafa Ullah s/o Abdullah</t>
  </si>
  <si>
    <t>Abdullah, r/o Mohallah Burhan Khel, Nowa Kilay, Mingora, Swat. (Mobile No. 0342-9546296)</t>
  </si>
  <si>
    <t>Traced Person. According to the report submitted by Rep of MI at the hearing on 28/12/2018 that Sartaj Husssain is presently confined in Internment Center Paithom.</t>
  </si>
  <si>
    <t>5631-K</t>
  </si>
  <si>
    <t>Mujeeb-ur-Rehman s/o Niaz Muhammad</t>
  </si>
  <si>
    <t>Niaz Muhammad, r/o Village Mirani, Batgaram.</t>
  </si>
  <si>
    <t>Traced Person. According to a report submitted by Rep of MI at the hearing on 28/12/2018 that Mujeeb-ur-Rehman is presently confined in Internment Center Paithom.</t>
  </si>
  <si>
    <t>5632-K</t>
  </si>
  <si>
    <t>Iftikhar Ahmed s/o Fazal Raheem</t>
  </si>
  <si>
    <t>Mst. Bakhat Shala, r/o Kabal, District Swat. (Mobile No. 0342-9493005 &amp; 0342-8976885)</t>
  </si>
  <si>
    <t>15602-2645716-9</t>
  </si>
  <si>
    <t>5633-S</t>
  </si>
  <si>
    <t>Abdul Mastan s/o Muhammad Rafique</t>
  </si>
  <si>
    <t>Muhammad Tayyab, r/o House No. 140, Mohalla Islamia Colony 1, Mangopir Road, Karachi. (Mobile No. 0344-9438698 &amp; 0347-2155579)</t>
  </si>
  <si>
    <t>15602-1282458-9</t>
  </si>
  <si>
    <t>5634-K</t>
  </si>
  <si>
    <t>Raham Ghani s/o Lal Hamad</t>
  </si>
  <si>
    <t>Mst. Musarat Bibi, r/o Mohallah Karimabad, Tehsil Batkhela, District ,Malakand. (Mobile No. 0345-9899727 &amp; 0343-2958673)</t>
  </si>
  <si>
    <t>5635-K</t>
  </si>
  <si>
    <t>Ameer Bacha s/o Arzi Gul</t>
  </si>
  <si>
    <t>Mst. Bibi, r/o Kachar Apla, Chaperal, Tehsil Matta, District Swat. (Mobile No. 0341-9270016 &amp; 0347-5103335)</t>
  </si>
  <si>
    <t>Traced Person. In this connection statement of Ameer Bahadur of PS Chuprial district Swat who appeared for hearing on 8.8.2019. His statement has been recorded on oath. According to his statement Ameer Bacha is confined in the Internment Center Paithom, where family members including father and mother have already met him in the aforesaid Internment Center.</t>
  </si>
  <si>
    <t>5636-K</t>
  </si>
  <si>
    <t>Shah Hussain s/o Shah Wazir</t>
  </si>
  <si>
    <t>Mst. Ghancha Bayen Bibi, r/o Tehsil Matta, District Swat. (Mobile No. 0307-5746970)</t>
  </si>
  <si>
    <t>Traced Person. According to a report furnished by Rep of MI at the hearing on 28/12/2018 that Shah Hussain is presently confined in Internment Center Paithom.</t>
  </si>
  <si>
    <t>5637-K</t>
  </si>
  <si>
    <t>Ameer Nawab s/o Shah Zaman Khan</t>
  </si>
  <si>
    <t>Ali Muhammad, r/o Mohallah Kagano Sarkey Payan, Sakha Kot, Dargai, Malakand. (Mobile No. 0345-1155701)</t>
  </si>
  <si>
    <t>Traced Person. Ameer Nawab has been traced and presently he is in Internment Center Fizaghat. Rep of MI is present. He has affirmed that Ameer Nawab is presently confined in Internment Center Fizaghat.</t>
  </si>
  <si>
    <t>5638-P</t>
  </si>
  <si>
    <t>Abdullah s/o Malik Saeed</t>
  </si>
  <si>
    <t>Nawab Saeed, r/o P.O Inyat Kilay, Tehsil Mohmand , Bajur Agency. (Mobile No. 0303-3132609)</t>
  </si>
  <si>
    <t>Traced Person. Abdulla entered appearance before the Commission on 17.9.2020 at Lahore and stated that he went to karahi at his own. In view of his categoric statement no further action is required to be taken by the Commission. The case is closed.</t>
  </si>
  <si>
    <t>5639-P</t>
  </si>
  <si>
    <t>Bilal Ahmed s/o Abdul Majeed</t>
  </si>
  <si>
    <t>Mst. Tahira Usman, r/o Barma Town, Near Shesha Wali Masjid, Khanna Islamabad. (Mobile No. 0313-0583391)</t>
  </si>
  <si>
    <t>Traced Person. SSP (Inv), I.O and complainant Mst. Tahira Usman are present and their statement have been recorded on oath, Mst. Tahira Usman stated that she has met her husband on 13.2.2019 in Central Jail D.G.Khan.</t>
  </si>
  <si>
    <t>5640-P</t>
  </si>
  <si>
    <t>Fayyaz Ahmed Ghani s/o Muhammad Sultan Ghani</t>
  </si>
  <si>
    <t>Mst. Sumira Fayyaz, r/o House No. B-4-694, Muslim Town, Rawalpindi. (Mobile No. 0316-1598842)</t>
  </si>
  <si>
    <t>Traced Person. Fayyaz Ahmed Ghani appeared before the Commission on 21/09/2019 where the statement of Fayyaz Ahmed Ghani was recorded by the Commission on oath. In his statement he has submitted that he was abducted by unknown persons on 19/11/2018 and was thereafter kept at some unknown place whereafter he was set free on 16/01/2019 and he is returned to home.</t>
  </si>
  <si>
    <t>5641-S</t>
  </si>
  <si>
    <t>Rehmat Ali s/o Abdul Rahim</t>
  </si>
  <si>
    <t>Mst. Malik Nawaba, r/o Ghat Ghari, Tehsil Matta, District Swat. (Mobile No. 0340-2849223 &amp; 0301-8063450)</t>
  </si>
  <si>
    <t>5642-K</t>
  </si>
  <si>
    <t>Habib Ullah s/o Balkhat Rao Khan</t>
  </si>
  <si>
    <t>Bakhat Rao Khan, r/o Tehsil Char Bagh, District Swat. (Mobile No. 0347-8894381)</t>
  </si>
  <si>
    <t>15602-2933809-5</t>
  </si>
  <si>
    <t>5643-K</t>
  </si>
  <si>
    <t>Lal Muhammad s/o Fateh Muhammad Khan</t>
  </si>
  <si>
    <t>Noor Muhammad, r/o Mohallah Haji Taj Muhammad Khan, Shahdara, Tehsil Saidu Sharif, District Swat. (Mobile No. 0344-9664736)</t>
  </si>
  <si>
    <t>FIR No. 156 dated 30/01/2019 u/s 365 PPC, PS Swabi, District Swabi</t>
  </si>
  <si>
    <t>5644-K</t>
  </si>
  <si>
    <t>Muhammad Ameen s/o Ameer Azam</t>
  </si>
  <si>
    <t>Yousaf Khan, r/o Dheri, P.O Ghala, Tehsil Katlang, District Mardan. (Mobile No. 0345-7033849)</t>
  </si>
  <si>
    <t>16101-1255936-3</t>
  </si>
  <si>
    <t>FIR No. 85 dated 23/01/2019 ui/s 365 PPC PS Katlang, District Mardan.</t>
  </si>
  <si>
    <t>5645-I</t>
  </si>
  <si>
    <t>Usman Karim s/o Malik Abdul Karim</t>
  </si>
  <si>
    <t>Usama Karim, r/o House No. 305, Street No. 24, I-10/4, Islamabad. (Mobile No. 0313-5994529)</t>
  </si>
  <si>
    <t>61101-0512950-1</t>
  </si>
  <si>
    <t>Deleted. The circumstances of the case, as examined in detail by JIT, reports of various stake holders and consideration by the Commission do not suggest it to be a case of enforced disappearance. The case is accordingly closed.</t>
  </si>
  <si>
    <t>5646-P</t>
  </si>
  <si>
    <t>Hafiz Muhammad Akram s/o Muhammad Afzal</t>
  </si>
  <si>
    <t>Muhammad Aslam, r/o Basti Khera, Nasheeb Basti Miani, Karor Lal, District Layyah. (Mobile No. 0304-7075101 &amp; 0304-1818004)</t>
  </si>
  <si>
    <t>FIR No. 5/18 dated 02/001/2018 u/s 365 PPC, PS Karor, District Layyah.</t>
  </si>
  <si>
    <t>Traced Person. Muhammad Aslam brother of Hafiz Muhammad Akram has appeared before the Commission on 14.2.2020, whose statement has been recorded on oath. He also submitted that the contents of his statement are correct that his brother had died during encounter with CTD, Gujranwala and in this regard all formalities regarding identification of dead- body/ showing his grave have been made according to his satisfaction. Foregoing in view , the case stands closed.</t>
  </si>
  <si>
    <t>5647-K</t>
  </si>
  <si>
    <t>Fazal Muhammad s/o Islam Gul</t>
  </si>
  <si>
    <t>Asif Ullah, r/o Dowlat Khel, Khyber Agency. (Mobile No. 0313-9510620)</t>
  </si>
  <si>
    <t>5648-F</t>
  </si>
  <si>
    <t>Ishfaq Hussain s/o Iqrar Badshah</t>
  </si>
  <si>
    <t>Iqrar Badshah, r/o Mohallah Bilal, Kurram Agency. (Mobile No. 0306-8510905 &amp; 0300-0590185)</t>
  </si>
  <si>
    <t>Traced Person. Statement of Nasir Khan, Rep of ACS FATA has been recorded on oath. He has submitted that Ishfaq Hussain is presently confined in Para Chinar Jail. Similarly statement of Iqrar Badshah the complainant has also been recorded on oath.</t>
  </si>
  <si>
    <t>5649-F</t>
  </si>
  <si>
    <t>Aqib Hussain s/o Shah Jahan Badshah</t>
  </si>
  <si>
    <t>Traced Person. Statement of Nasir Khan, Rep of ACS FATA has been recorded on oath. He has submitted that Aqib Hussain is presently confined in Para Chinar Jail. Similarly statement of Iqrar Badshah the complainant has also been recorded on oath.</t>
  </si>
  <si>
    <t>5650-F</t>
  </si>
  <si>
    <t>Bilal s/o Ghulam Sarwar</t>
  </si>
  <si>
    <t>Muhammad Yaqoob, r/o Tehsil Wana, District South Waziristan. (Mobile No. 0965-213177)</t>
  </si>
  <si>
    <t>5651-K</t>
  </si>
  <si>
    <t>Niamat Ullah Khan s/o Haji Gulstan Khan</t>
  </si>
  <si>
    <t>Asfandar Yaar Khan, r/o tank Road, Liaqat Town, Zafarabad, Dera Ismail Khan. (Mobile No. 0315-9581588 &amp; 0331-9590909 &amp; 03409419193)</t>
  </si>
  <si>
    <t>12102-0221232-1</t>
  </si>
  <si>
    <t>FIR No. 27 dated 01/02/2019 u/s 365 PPC PS Dera Town, D.I.Khan</t>
  </si>
  <si>
    <t>Traced Person. It has been reported by concerned stakeholders including DPO, D.I.Khan that Naimatullah Khan returned home on 25th of Ramdan Asfand Yar the Complainant also appeared and confirmed.</t>
  </si>
  <si>
    <t>5652-S</t>
  </si>
  <si>
    <t>Mursaleen s/o Abdul Wahab</t>
  </si>
  <si>
    <t>Mst. Farah Jabeen, r/o Sirjani KDA Flat, Super Appartments, Phase No. 03, 44 Floor, Sector 5-D, Karachi. (Mobile No. 0311-8096182)</t>
  </si>
  <si>
    <t>Traced Person. It was informed that Mursaleen s/o Abdul Wahab has returned to home and available at given address. The family requested to close the case as their grievance has been redressed.</t>
  </si>
  <si>
    <t>5653-K</t>
  </si>
  <si>
    <t>Jahan Bacha s/o Kashmir Khan</t>
  </si>
  <si>
    <t>Mst. Farzana, r/o P.O Bartha, Tehsil Matta, District Swat. (Mobile No. 0347-1918725)</t>
  </si>
  <si>
    <t>5654-K</t>
  </si>
  <si>
    <t>Muhammad Tallah s/o Ubaid Ullah</t>
  </si>
  <si>
    <t>Ubaid Ullah, (Mobile No. 0096-6534218834)</t>
  </si>
  <si>
    <t>Traced Person. The complainant Ubaid Ullah appeared whose statement has been recorded on oath. According to him, his son Muhammad Tallah has been traced, who was arrested by the police on 12.3.2019. He has further stated that he met with his sone twice, once in the court and second time in jail.</t>
  </si>
  <si>
    <t>5655-K</t>
  </si>
  <si>
    <t>Muhammad Amjad s/o Muhammad Ismail</t>
  </si>
  <si>
    <t>Sakhi Zaman, r/o Village Shakar Hari, P.O Batal, Tehsil &amp; District Manshera. (Mobile No. 0313-5025556)</t>
  </si>
  <si>
    <t>Traced Person. SI/IO Akhtar Nawaz appeared before the Commission on 7.10.2019, whose statement has been recorded on oath. According to him, Muhammad Amjad s/o Muhammad Ismail has returned to home. He has stated that statement of Muhammad Amjad has been recorded u/s 164 CrPC which is placed on record.</t>
  </si>
  <si>
    <t>5656-K</t>
  </si>
  <si>
    <t>Aslam Khan s/o Badshah Mir</t>
  </si>
  <si>
    <t>Badshah Mir, r/o Sharwan Road, Botalad Gali Village, Abbottabad. (Mobile No. 0306-0911690)</t>
  </si>
  <si>
    <t>FIR No. 05 dated 02/01/2019 u/s 365 PPC PS City District Abbottabad.</t>
  </si>
  <si>
    <t>Traced Person. Aslam Khan is Interned in ICM. Badshah Mir father of Aslam who was present at the hearing on 16.1.2021 was informed by the Commission that Aslam Khan was under detention in Internment Centre, Malakand. Family members shall be facilitated to see him as per rules and procedure.</t>
  </si>
  <si>
    <t>5657-S</t>
  </si>
  <si>
    <t>Fahad Rashid Siddiqui s/o Rashid Mujeeb Siddiqui</t>
  </si>
  <si>
    <t>Rashid Mujeeb Siddiqui, r/o B-9, Block No. A, North Nazimabad, Karachi. (Mobile No. 0336-2263437)</t>
  </si>
  <si>
    <t>5658-S</t>
  </si>
  <si>
    <t>Noman Saleem s/o Muhammad Saleem</t>
  </si>
  <si>
    <t>Nadeem Saleem, r/o Pandori, Ashraf Town, Islamabad. (Mobile No. 0300-5509204)</t>
  </si>
  <si>
    <t>37405-2253874-3</t>
  </si>
  <si>
    <t>Deleted. During the course of investigation two persons namely Bilal and Asad Shah were arrested who were subsequently released on bail by the Court. In the instant case JIT meeting was held on 6.2.2019 and the case was categorized as the missing person has gone on his own. The complainant Nadeem Saleem, brother of the Missing Person appeared before the Commission on 9.12.2019, whose statement was recorded on oath. According to him neither there was allegation against any LEA/Intelligence Agency nor he suspected them being involved in the disappearance of his brother. Hence not a case of enforced disappearance.</t>
  </si>
  <si>
    <t>5659-P</t>
  </si>
  <si>
    <t>Muhammad Umair Mujhaid s/o Muhammad Hanif</t>
  </si>
  <si>
    <t>Muhammd Hanif, r/o Mohallah Farooq Abad, Tehsil &amp; District Khushab. (Mobile No. 0321-7967045)</t>
  </si>
  <si>
    <t>Traced Person. Muhammad Umair Mujahid has appeared before the Commission, whose statement has been recorded on oath. According to him, he went with Tableeghi Jamaat and returned to home after 36 days.</t>
  </si>
  <si>
    <t>5660-P</t>
  </si>
  <si>
    <t>Shams-ul-Haq s/o Aziz-ur-Rehman</t>
  </si>
  <si>
    <t>Abdul Aziz, r/o Sangeet Cinema, Siraj Park, Shahdara, Lahore. (Mobile No. 0341-6742076)</t>
  </si>
  <si>
    <t>Traced Person. Rep of ISI appeared before the Commission on 8.10.2019 and submitted that the case of Shams-ul-Haq was under process for trial by Military Court, which has been held in abeyance due to reason that the Military Courts are yet to be revived by the Government, as the tenure expired in January, 2019. Abdul Aziz b/o Shams-ul-Haq is present, who has been apprised of status of the case.</t>
  </si>
  <si>
    <t>5661-F</t>
  </si>
  <si>
    <t>Shoukat Ali s/o Shah Jahan</t>
  </si>
  <si>
    <t>Liaquat Ali, r/o P.O Lowi Sim, Tehsil Khar, District Bajur Agency. (Mobile No. 0341-9422011)</t>
  </si>
  <si>
    <t>Traced Person. Shoukat Ali is presently confined in Mardan Jail, where he has met him twice. He further submits that mother and brother also met with him in the said Jail. Statement of Mr. Nasir Khan , Rep of ACS FATA has also been recorded on oath.</t>
  </si>
  <si>
    <t>5662-F</t>
  </si>
  <si>
    <t>Alamgir</t>
  </si>
  <si>
    <t>R/o Tangi Old Sarukkai, P.O Sarukkai, District South Waziristan Agency</t>
  </si>
  <si>
    <t>5663-K</t>
  </si>
  <si>
    <t>Syed Ameer Faisal</t>
  </si>
  <si>
    <t>R/o Near Government Degree College for Boys, Tall Road, Hayatabad, Hangu</t>
  </si>
  <si>
    <t>Traced Person. SP (Inv) Hangu is present and submits that Syed Ameer Faisal is no more a missing person. Accoding to brother of Syed Ameer Faisal, he met his brother twice at Jandola Center, where he is detained.</t>
  </si>
  <si>
    <t>5664-K</t>
  </si>
  <si>
    <t>Mudasir Hassan</t>
  </si>
  <si>
    <t>R/o Hayatabad, Hangu</t>
  </si>
  <si>
    <t>Traced Person. SP (Inv), Hangu is present. He has submitted report wherein it is mentioned that according to Shabbir Hassan brother of Mudassir Hassan has been traced who is presently at Jandola Center, where he had met him twice,</t>
  </si>
  <si>
    <t>5665-B</t>
  </si>
  <si>
    <t>Ghulam Fareed s/o Muhmood Khan</t>
  </si>
  <si>
    <t>R/o Mehla Babu Tehsil Kharan District, Balochistan</t>
  </si>
  <si>
    <t>Traced Person. The case was received from UNWGEID through Ministry of Foreign Affairs. SP (Inv), Kharan appeared before the commission on 05/04/2019 and stated that Ghulam Farid was returned to home on 04/02/2019. He was produced before the Judicial Magistrate and his statement was recoded u/s 164 CrPC.</t>
  </si>
  <si>
    <t>5666-S</t>
  </si>
  <si>
    <t>Basarat Hussain Siddiqui s/o Siddiqui</t>
  </si>
  <si>
    <t>R/o House No. 110, Block 3, Rajput Colony, Gulshan Iqbal, Karachi</t>
  </si>
  <si>
    <t>MoFAs No. 10008363</t>
  </si>
  <si>
    <t>5667-K</t>
  </si>
  <si>
    <t>Habib-Ur-Rehman s/o Aziz-ur-Rehman</t>
  </si>
  <si>
    <t>Shafi UllahR/o Mohallah Moragai, Bara Bnandai, Swat (Mobile No. 0347-4415432 &amp; 0345-4457096)</t>
  </si>
  <si>
    <t>15602-0504094-9</t>
  </si>
  <si>
    <t>5668-S</t>
  </si>
  <si>
    <t>Talhat Khalid s/o Khalid Akhtar</t>
  </si>
  <si>
    <t>R/o House No. 109/A, Waheed Abad Nazimabad, Karachi</t>
  </si>
  <si>
    <t>Traced Person. It was informed at the hearing held in this Commission on 28.9.2019 that dead body of Missing Person Talha Khalid was buried by Edhi Foundation on 17.8.2015 at Muchco Graveyard, Karachi.</t>
  </si>
  <si>
    <t>5669-S</t>
  </si>
  <si>
    <t>Shamim Haider Guddar s/o Ali Haider</t>
  </si>
  <si>
    <t>R/o House No. 899, Ali Basti, Firdos Colony, Tehsil and District Karachi</t>
  </si>
  <si>
    <t>Deleted. After receipt of complainant seven TIT meetings, four hearings in this Commission have been held but the complainant remained absent. Same in the position in Sind High Court Petition No. D-5863 of 2015, which has been dismissed for loss of interest. Hence, no further action is required. The case is closed.</t>
  </si>
  <si>
    <t>5670-P</t>
  </si>
  <si>
    <t>Abdul Rehman</t>
  </si>
  <si>
    <t>R/o Salamat Pura near Tablighi Markaz, Raiwind, Lahore</t>
  </si>
  <si>
    <t>Traced Person. Abdul Rehman has been traced. He is presently before the Commission. His statement has been recorded on oath. According to his statement he was taken into custody in March, 2013 by man in civic and was forcibly taken away. He also stated that his face was muffled and was set free after 22 months and 3 days at the end of the year 2019.</t>
  </si>
  <si>
    <t>5671-I 2272-I 2283-I</t>
  </si>
  <si>
    <t>R/o House No. 1042, St No. 16, Firash Town Alipur, Phase-I, Near Sultana Foundation, Islamabad.</t>
  </si>
  <si>
    <t>Traced Person. Syed Ameen has been traced. Sami Ullah Khan who is nephew of Syed Ameen has entered appearance before the Commission on 4.3.2020. His statement has been recorded on oath. He has deposed that Syed Ameen has returned home and he is presently at D.I.Khan. He further submitted that Syed Ameen was not abducted by anybody.</t>
  </si>
  <si>
    <t>5672-S</t>
  </si>
  <si>
    <t>Asif</t>
  </si>
  <si>
    <t>R/o Mohallah Gala Kot, Gabol Road, Lyari Road, Karachi</t>
  </si>
  <si>
    <t>5673-K</t>
  </si>
  <si>
    <t>Niaz Bat Khan s/o Bahadur Khan</t>
  </si>
  <si>
    <t>Niaz Zameen Khan, r/o Bagto, Tehsil &amp; District Hangu. (Mobile No. 0336-0921328 &amp; 0335-3032222)</t>
  </si>
  <si>
    <t>14101-3784578-1</t>
  </si>
  <si>
    <t>FIR No. 80 dated 22/01/2019 u/s 365 PPC, PS City District Hangu</t>
  </si>
  <si>
    <t>5674-K</t>
  </si>
  <si>
    <t>Zahid Ullah s/o Mulla Karim</t>
  </si>
  <si>
    <t>Zakir Ullah, r/o Dowazai, Tehsil Pandeli, District Mohmand Agency. ( Mobile No. 0320-9909985)</t>
  </si>
  <si>
    <t>Traced Person. Zahid Ullah has been traced. He has returned to home. Rep of DPO, Nowshera submitted report of JIT meeting, which was convened on 29.8.2019. In Para-14 of the JIT report it is mentioned that Zahid Ullah has returned home. Bother Zakir Ullah also confirmed.</t>
  </si>
  <si>
    <t>5675-K</t>
  </si>
  <si>
    <t>Hussain Ahmed s/o Ghundi Gul</t>
  </si>
  <si>
    <t>Muhammad Shah, r/o Koki Khel, Sikandar Khel, P.O Jamrood, Tehsil Jamrood. (Mobile No. 0306-0090157)</t>
  </si>
  <si>
    <t>FIR No. 668 /dated 28/10/2020 u/s 364-PPC PS Yaqoob Khan Shaheed District Karak</t>
  </si>
  <si>
    <t>5676-K</t>
  </si>
  <si>
    <t>Noor Rehman s/o Ameer Tawab</t>
  </si>
  <si>
    <t>Inayat Rehman, r/o Mohallah Malikabad, Tehsil Kabal, District Swat. (Mobile No. 0342-9032537)</t>
  </si>
  <si>
    <t>15602-7499310-7</t>
  </si>
  <si>
    <t>5677-K</t>
  </si>
  <si>
    <t>Zahid Hussain s/o Hawas Khan</t>
  </si>
  <si>
    <t>Irfan Ali, r/o P.O Palo Dheri, Tehsil &amp; District Mardan. (Mobile No. 0335-9279788 &amp; 0347-7584021)</t>
  </si>
  <si>
    <t>16101-7369957-3</t>
  </si>
  <si>
    <t>5678-K</t>
  </si>
  <si>
    <t>Latif Ullah s/o Zaid Ullah</t>
  </si>
  <si>
    <t>Saif Ullah, r/o Mohallah Tahbar Pura, Nawa Kilay, Tehsil &amp; District Mardan. (Mobile No. 0311-9202154)</t>
  </si>
  <si>
    <t>16101-5590170-7</t>
  </si>
  <si>
    <t>Fir No.156, dated 12.2.19, U.S 365 PPC, City, Mardan</t>
  </si>
  <si>
    <t>Deleted. The case has been categorized as missing person has gone on his own by JIT as well as PTF. Statement of Saif Ullah complainant was recorded own oath by the Commission on 19.6.2021. In his statement he has not levelled allegation against any LEAs/ Intelligence Agency. During the course of investigation all stakeholders submitted denial reports for arrest/ custody of Latif Ullah. further action is required. The case is closed.</t>
  </si>
  <si>
    <t>5679-K</t>
  </si>
  <si>
    <t>Faqeer Hussain s/o Barkat Shah</t>
  </si>
  <si>
    <t>Barkat Shah, r/o Tehisl Sadda, Village Sirkey Khel, South Waziristan Agency. (Mobile No. 0343-9656717)</t>
  </si>
  <si>
    <t>5680-K</t>
  </si>
  <si>
    <t>Muhammad Umar s/o Molay Dad</t>
  </si>
  <si>
    <t>Deen Badshah, r/o Karwan Kharsan, Haj &amp; Umara Services Plaza, Office No. 05, Daman Palaza, Tank. (Mobile No. 0309-9249895)</t>
  </si>
  <si>
    <t>FIR No. 108 dated 30.1.2019 u/s 365 PPC, PS SMA, District Tank</t>
  </si>
  <si>
    <t>5681-K</t>
  </si>
  <si>
    <t>Saeed Ullah s/o Away Khan</t>
  </si>
  <si>
    <t>Ladas Khan, r/o Mullah Khel, Tehsil Datta Khel, District South Waziristan Agency. (Mobile No. 0333-6647480)</t>
  </si>
  <si>
    <t>Traced Person. Saeed Ullah has been traced. According to report received from MI Dte GHQ, Rawalpindi that saeed Ullah is confined in the Internment Center Lakki Marwat since 25.4.2019. Family members of Saeed Ullah shall be facilitated to see him in the Internment Center.</t>
  </si>
  <si>
    <t>5682-S</t>
  </si>
  <si>
    <t>Umar Jan s/o Gul</t>
  </si>
  <si>
    <t>Gul Marjan, r/o Mohmand Agency. (Mobile No. 0304-4690988)</t>
  </si>
  <si>
    <t>5683-S</t>
  </si>
  <si>
    <t>Muhammad Rashid Anwer</t>
  </si>
  <si>
    <t>Mst. Syeda Hina Rashid, r/o R- 818, Block 19, Alnoor Society, F.b Area, Karachi. (Mobile No. 0322-2743056)</t>
  </si>
  <si>
    <t>5684-S</t>
  </si>
  <si>
    <t>Sakhan Ullah s/o Ziarat Noor</t>
  </si>
  <si>
    <t>Ziarat Noor, r/o Mian Kilay, P.O Shab Qadar, Tehsil &amp; District Charsadda. (Mobile No. 0334-9246507)</t>
  </si>
  <si>
    <t>5685-S</t>
  </si>
  <si>
    <t>Bilal s/o Teka Khan</t>
  </si>
  <si>
    <t>Mst. Khataba Bibi, r/o Mohallah Awan Qasba, Metrovil, Mango Pir Road, Sector No.06, Ghazali, Kaachi. (Mobile No. 0340-0262971)</t>
  </si>
  <si>
    <t>24/122018</t>
  </si>
  <si>
    <t>5686-K</t>
  </si>
  <si>
    <t>Gul Muhammad Khan s/o Abdul Razzaq</t>
  </si>
  <si>
    <t>Mst. Taj Mahal Bibi, r/o Mohallah Shahdeen, Koza Bandi, District Swat. (Mobile No. 0349-7486412 &amp; 0347-9907224)</t>
  </si>
  <si>
    <t>15602-8174560-7</t>
  </si>
  <si>
    <t>FIR No. 81 dated 15/02/2019 u/s 365 PPC, PS Kanju, District Swat.</t>
  </si>
  <si>
    <t>5687-K 6069-K</t>
  </si>
  <si>
    <t>Abdullah s/o Hazrat Shah</t>
  </si>
  <si>
    <t>Mst. Rasalat Bibi, r/o Mashori Khel, Gali Bagh, District Shangala. (Mobile No. 0345-9415391)</t>
  </si>
  <si>
    <t>FIR No. 386, dated 10.8.19, u/s 365 PPC, P.S Sheikh Maltoon, Mardan</t>
  </si>
  <si>
    <t>5688-F</t>
  </si>
  <si>
    <t>Gul Zada Masood s/o Naik Nawaz</t>
  </si>
  <si>
    <t>Ambal Khan, r/o Tehsil Ladha, District South Waziristan Agency. (Mobile No. 0347-2701496)</t>
  </si>
  <si>
    <t>FIR No. 113 dated 10.11.2020 u/s PPC 365 PS Mirali, District NWA, FATA</t>
  </si>
  <si>
    <t>5689-P</t>
  </si>
  <si>
    <t>Muhammad Awais Riaz s/o Muhammad Riaz</t>
  </si>
  <si>
    <t>Muhammad Riaz, r/o Mohallah Qadar Wala, Ahmed Nagar, Tehsil Wazirabad, District Gujranwala. (Mobile No. 0342-6108628)</t>
  </si>
  <si>
    <t>Traced Person. Muhammad Waqas, Inspector (Legal) Hafizabad was present at the hearing on 4.3.2019 Muhammad Awais Riaz is presently detained in Faisalabad Jail, arrested in case FIR being No 35/18 dated 31.12.2018 u/s 7 ATA, 4/5 ESA, 12(2)/A, and 65 Armed Ordinance.</t>
  </si>
  <si>
    <t>5690-K</t>
  </si>
  <si>
    <t>Muhammad Parvaish s/o Aziz-ur-Rehman</t>
  </si>
  <si>
    <t>Faiz Ali, r/o Char Bagh, District Swat. (Mobile No. 0346-9468670 &amp; 0300-5747570)</t>
  </si>
  <si>
    <t>15602-1315014-9</t>
  </si>
  <si>
    <t>5691-K</t>
  </si>
  <si>
    <t>Shah Khalid s/o Muhammad Akram</t>
  </si>
  <si>
    <t>Faiz Ali, r/o Char Bagh, District Swat. (Mobile No. 0305-9591474)</t>
  </si>
  <si>
    <t>15602-9122123-5</t>
  </si>
  <si>
    <t>5692-I</t>
  </si>
  <si>
    <t>Sher Afzal s/o Hikmat</t>
  </si>
  <si>
    <t>Saeed Akbar, r/o Dowazai, Yak Ghund, Tehsil Pandeli, District Mohmand Agency. (Mobile No. 0307-0554044)</t>
  </si>
  <si>
    <t>21407-0458851-3</t>
  </si>
  <si>
    <t>FIR No.131 dated1/4/2019 u/s 364 PPC PS Koral , Islamabad</t>
  </si>
  <si>
    <t>Traced Person. Sher Afzal has been traced. He has returned home. Sher Afzal appeared before the Commission on 4.3.2020 and his statement has been recorded on oath. He has deposed that he went to his village located in District Mohmand without intimating anybody. During his absence his brother Saeed Akbar filed application before the Commission regarding his disappearance.</t>
  </si>
  <si>
    <t>5693-I</t>
  </si>
  <si>
    <t>Habib Salam s/o Saher Alam Khan</t>
  </si>
  <si>
    <t>Sher Alam Khan, r/o Vilage Kot Kai, P.O Sargoha, District South Waziristan Agency. (Mobile No. 0330-5833722)</t>
  </si>
  <si>
    <t>21704-6886029-1</t>
  </si>
  <si>
    <t>Traced Person. Habib Salam has been traced. He has returned home. SI Munir Khan of PS Tarnol Islamabad appeared before the Commission on 4.3.2020. His statement has been recorded on oath. He has furnished progress report, copy of application for recording of statement u/s 164 Cr.PC and copy of statement recorded u/s 164 Cr.PC in which the aforesaid position has been confirmed.</t>
  </si>
  <si>
    <t>5694-K</t>
  </si>
  <si>
    <t>Abdul Jalal s/o Kharwany</t>
  </si>
  <si>
    <t>Kharwanay, r/o Mohallah Rahim Shah Lala, Rahimabad, Mingora, Tehsil Babu Zai, District Swat. (Mobile No. 0343-8999006)</t>
  </si>
  <si>
    <t>5695-F</t>
  </si>
  <si>
    <t>Saeed Muhammad Inam s/o Saeed Muhammad Aslam Shah</t>
  </si>
  <si>
    <t>Mst. Khatoon Bibi, r/o House No. 1079/A, Block No. C, Sher Shah, Karachi. (Mobile No. 0307-7174537 &amp; 0310-5599856)</t>
  </si>
  <si>
    <t>Traced Person. Syed Muhammad Inam is confined in Internment Center Ghalani which his parent met him as reported the hearing in this case on 10.6.2019.</t>
  </si>
  <si>
    <t>5696-F</t>
  </si>
  <si>
    <t>Saeed Muhammad Arif s/o Saeed Muhammad Aslam Shah</t>
  </si>
  <si>
    <t>Traced Person. Syed Muhammad Arif is confined in Internment Center Ghalani which his parent met him as reported the hearing in this case on 10.6.2019.</t>
  </si>
  <si>
    <t>5697-K</t>
  </si>
  <si>
    <t>Asad Ullah s/o Gillani</t>
  </si>
  <si>
    <t>Mst. Najiba, r/o Mohallah Ghulab Abad, Rasheed Ghari, District Peshawar. (Mobile No. 0317-8499246 &amp; 0310-9665712)</t>
  </si>
  <si>
    <t>5698-K</t>
  </si>
  <si>
    <t>Ameer Alam Khan s/o Sher Alam Khan</t>
  </si>
  <si>
    <t>Azeem Muhammad, r/o Mohallah Malikabad, Tehsil &amp; District Swat. (Mobile No. 0345-9451516 &amp; 0347-9398135)</t>
  </si>
  <si>
    <t>15602-5735874-1</t>
  </si>
  <si>
    <t>5699-K</t>
  </si>
  <si>
    <t>Bashir Ahmed</t>
  </si>
  <si>
    <t>Mst. Bakht Raja, r/o Village Manja Tehsil Kabal, District Swat. (Mobile No. 0346-8000175 &amp; 0346-9410813)</t>
  </si>
  <si>
    <t>FIR No.55 dated 21/01/2019 u/s 365 PPC, PS Nawa Sher District Abbottabad</t>
  </si>
  <si>
    <t>5700-P</t>
  </si>
  <si>
    <t>Naseem Akhtar s/o Muhammad Ajyab</t>
  </si>
  <si>
    <t>Mst. Sekana Bibi, r/o Qasba Karelai, P.O Khas, Tehsil Siray Almagir, District Gujrat. (Mobile No. 0345-5677721)</t>
  </si>
  <si>
    <t>34203-1828721-1</t>
  </si>
  <si>
    <t>5701-P</t>
  </si>
  <si>
    <t>Khalid Mehmood s/o Muhammad Ajyab</t>
  </si>
  <si>
    <t>5702-K</t>
  </si>
  <si>
    <t>Mehmood Ali s/o Mazloom khan</t>
  </si>
  <si>
    <t>Mazloom Khan, r/o Village Ghallah, Tehsil &amp; District Mardan. (Mobile No. 0340-2429371)</t>
  </si>
  <si>
    <t>Fir No. 105, dated 1.2.2019 u/s 365 ppc, P.S Katlang, Mardan</t>
  </si>
  <si>
    <t>5703-K</t>
  </si>
  <si>
    <t>Shah Rawan s/o Abdul Ghani</t>
  </si>
  <si>
    <t>Mubarik Hussain, r/o Mohallah Koza Palo, Tehsil &amp; District Swat. (Mobile No. 0340-4205892 &amp; 0348-7693909)</t>
  </si>
  <si>
    <t>5704-K</t>
  </si>
  <si>
    <t>Atibar Gul s/o Mena Gul</t>
  </si>
  <si>
    <t>15/15/2011</t>
  </si>
  <si>
    <t>Muhammad Sadiq, r/o Mir Mat Khel, P.O Sira Tandi, District Kark. (Mobile No. 0307-8297512 &amp; 0305-9299321)</t>
  </si>
  <si>
    <t>21301-0227966-1</t>
  </si>
  <si>
    <t>FIR No.19 dated 17/01/2019 u/s 365 PPC, PS Doaba District Hangu</t>
  </si>
  <si>
    <t>5705-A</t>
  </si>
  <si>
    <t>Imtiaz Ahmed Abbasi s/o Muhammad Ismail Khan</t>
  </si>
  <si>
    <t>Ishtaiq Ahmed, r/o Village Kalas Sirey, Tehsil Dher Kot, District Bagh. (Mobile No. 0345-5238467)</t>
  </si>
  <si>
    <t>Traced Person. Inspector Tariq Mehmood , SHO PS Dhirkot has appeared in person whose statement has been recorded on oath. According to him, dead body of Imtiaz Ahmed Abbasi was found from river Jehlum from the area of Kotli Sattian and handed over to his brother Ishtiaq Ahmed for burial and subsequently the dead body was buried at village Kals Sarian, PS Dhirkot.</t>
  </si>
  <si>
    <t>5706-F</t>
  </si>
  <si>
    <t>Abdul Qahir s/o Gul Muhammad</t>
  </si>
  <si>
    <t>Hizab Ullah, r/o Village Shankar Gul, Tehsil Salar Zai, District Bajur. (Mobile No. 0332-4475718 &amp; 0301-8894672)</t>
  </si>
  <si>
    <t>21106-9718275-1</t>
  </si>
  <si>
    <t>31st December, 2018</t>
  </si>
  <si>
    <t>5707-B</t>
  </si>
  <si>
    <t>Fateh Muhammad s/o Muhammad Ismail</t>
  </si>
  <si>
    <t>Muhammad Ismail, r/o Street No. 07, Muslim Town, Esha Nagri Quetta. (Mobile No. 0300-3874549)</t>
  </si>
  <si>
    <t>Deleted. Complainant Muhamamd Ismail appeared before the Commission on 18.9.2019 whose statement has been recorded on oath. There is nothing which may indicate that the case falls within the ambit of enforced disappearance. SSP (Inv) submitted that meeting of JIT was held on 13.8.2019 and the case has been categorized as missing person has gone on his own. Meeting of PTF was held on 7.8.2019 and the PTF did agree with the conclusion drawn by JIT. The case hardly falls within the ambit of enforced disappearance and accordingly closed.</t>
  </si>
  <si>
    <t>01st Jan, 2019</t>
  </si>
  <si>
    <t>5708-B</t>
  </si>
  <si>
    <t>Hussan Muhammad s/o Khan Muhammad</t>
  </si>
  <si>
    <t>Wazir Muhammad, r/o Pas City, Balochistan. (Mobile No. 0333-3326335)</t>
  </si>
  <si>
    <t>5709-B</t>
  </si>
  <si>
    <t>Naizam-ud-Din s/o Sahid Khan</t>
  </si>
  <si>
    <t>Ameer Hamza, r/o Khaliq Abad, Mangochar, Balochistan. (Mobile No. 0333-2547088)</t>
  </si>
  <si>
    <t>5710-B</t>
  </si>
  <si>
    <t>Rafique Muhammad s/o Umar</t>
  </si>
  <si>
    <t>Mehro Mirza, r/o Spain Gar, Turbat. (Mobile No. 0321-8036365)</t>
  </si>
  <si>
    <t>5711-B</t>
  </si>
  <si>
    <t>Muhammad Yasir s/o Haji Peer Muhammad</t>
  </si>
  <si>
    <t>Amir Saeed, r/o Mohallah Gaweyan, Qalat. (Mobile No. 0334-3346484 &amp; 0333-9997973)</t>
  </si>
  <si>
    <t>51201-8262442-1</t>
  </si>
  <si>
    <t>5712-B</t>
  </si>
  <si>
    <t>Israr s/o Barkat</t>
  </si>
  <si>
    <t>5713-B</t>
  </si>
  <si>
    <t>Kamran Sarwar s/o Ghulam Sarwar</t>
  </si>
  <si>
    <t>Rizwan Sarwar, r/o Faizabad, Dr, Abdul Hai House, Near Shah Shab Mudarassa, Sariyab Road, Quetta. (Mobile No. 0336-3077370)</t>
  </si>
  <si>
    <t>Deleted. SP (Inv), Quetta submitted that Kamran Sarwar has been declared as absconder by learned section Judge Quetta, therefor his name was deleted from the list of enforced disappearance person.</t>
  </si>
  <si>
    <t>5714-B</t>
  </si>
  <si>
    <t>Ubaid Ullah s/o Abdul Ghaffor</t>
  </si>
  <si>
    <t>Naseeb Ullah, r/o Kuli Malirzai, Tehsil &amp; District Pashin. (Mobile No. 0306-2277767)</t>
  </si>
  <si>
    <t>Traced Person. Naseeb Ullah , brother of Ubaid Ullah appeared before the commission on 04/04/2019 and confirmed that latter was returned on 08/03/2019. He further stated that his brother neither identified who picked up nor the place where he was kept.</t>
  </si>
  <si>
    <t>5715-B</t>
  </si>
  <si>
    <t>Imran Khan s/o Ghulam Haider</t>
  </si>
  <si>
    <t>Javed Ahmed, r/o Ghareeb Abad, Near National Bank Qalat. (Mobile No. 0333-3902013)</t>
  </si>
  <si>
    <t>5716-B</t>
  </si>
  <si>
    <t>Muhammad Ramzan s/o Abdul Rehman</t>
  </si>
  <si>
    <t>5717-K</t>
  </si>
  <si>
    <t>Abudl Haleem s/o Habib Ullah</t>
  </si>
  <si>
    <t>Saeed Khan, r/o Char Mang, Hasham, P.O Lowi Sim, Tehsil Nawagi, District Bajur Agency. (Mobile No. 0304-1023816)</t>
  </si>
  <si>
    <t>Traced Person. Abdul Haleem has appeared before the Commission whose statement has been appeared on oath. According to him he was arrested by CTD. He has also submitted that FIR was registered against him and he was produced before the Court on 8/1/2019. He remained under Judicial Custody and was released on 12/2/2019 on bail.</t>
  </si>
  <si>
    <t>5718-P</t>
  </si>
  <si>
    <t>Muhammad Zaib s/o Rasool Khan</t>
  </si>
  <si>
    <t>Rasool Khan, r/o Maskeenabad, Mira,Risal Pur Cantt,Tehsil&amp;District Nowshera.(Mobile No.0345-4191405)</t>
  </si>
  <si>
    <t>Traced Person. Muhammad Zaib has been traced. He has returned home. He appeared before the Commission on 17.6.2019. His statement has been recorded on oath. He returned home after four month and five days of abduction.</t>
  </si>
  <si>
    <t>5719-K</t>
  </si>
  <si>
    <t>Saad Ullah s/o Pur Dil Khan</t>
  </si>
  <si>
    <t>Inayat Ullah, r/o Nawa Kilay, Mohallah Mosa Khel, Mingora, Tehsil Babu Zai, District Swat. (Mobile No. 0344-4799259)</t>
  </si>
  <si>
    <t>15602-4604062-5</t>
  </si>
  <si>
    <t>5720-P</t>
  </si>
  <si>
    <t>Asghar Ali s/o Charig Deen</t>
  </si>
  <si>
    <t>Ghulam Zanib, r/o Mohallah Basti Tallok, Tehsil Melasi, District Vehari. (Mobile No. 0305-4467128)</t>
  </si>
  <si>
    <t>Traced Person. Asghar Ali has been traced. He has returned to home, Muhammad Abu Bakar who is son of missing person has entered appearance before the Commission, his statement has been recorded on oath in which he affirmed that his father has returned to home.</t>
  </si>
  <si>
    <t>Vehri</t>
  </si>
  <si>
    <t>5721-K</t>
  </si>
  <si>
    <t>Sial Pan s/o Yar Muhammad</t>
  </si>
  <si>
    <t>Khalid Khan, r/o, Ghari Hanat, Payan, District Peshawar. (Mobile No. 0336-7747544)</t>
  </si>
  <si>
    <t>5722-K</t>
  </si>
  <si>
    <t>Irshad Ali s/o Muhammad Karim</t>
  </si>
  <si>
    <t>Mst.Iqbal Bibi, r/o Mohallah Ameer Khan, Village nawa Kilay, Tehsil Babu Zai, District Swat. (Mobile No. 0346-9415940 &amp; 0345-9517043 &amp; 0305-9157660)</t>
  </si>
  <si>
    <t>15602-6658133-1</t>
  </si>
  <si>
    <t>5723-P</t>
  </si>
  <si>
    <t>Abdul Qadeer Khan s/o Abdul Hameed Khan</t>
  </si>
  <si>
    <t>Mst. Fareeda Kausar, r/o Khas, Tehsil Kalar Kot, District Bakhar. (Mobile No. 0306-7378868)</t>
  </si>
  <si>
    <t>38103-7324223-1</t>
  </si>
  <si>
    <t>Traced Person. Abdul Qadeer Khan has been traced. He appeared before the Commission on 8.10.2019 at Lahore. His statement has been recorded on oath. He has stated that he was abducted by some unknown persons on 13.1.2016 and was set free on 3.9.2019. He could not indicate names of the persons involved in his abduction. Similarly he could not give any information regarding the place where he was kept in detention.</t>
  </si>
  <si>
    <t>5724-K</t>
  </si>
  <si>
    <t>Muhammad Naeem s/o Ghulam Akbar</t>
  </si>
  <si>
    <t>Muhammad Kaleem, r/o Ijaz Abad, Tehsil &amp; District Dera Ismail Khan. (Mobile No. 0344-0551608)</t>
  </si>
  <si>
    <t>FIR No. 244 dated 19/08/2014 u/s 365 PPC, PS Dera Town, District D.I.Khan</t>
  </si>
  <si>
    <t>5725-P</t>
  </si>
  <si>
    <t>Saeed Abdi s/o Azim-ud-Din</t>
  </si>
  <si>
    <t>Azim-ud-Din, r/o Basti Qudrat Abad, P.O Khas, Jandayala, Tehsil &amp; District Shekihupura. (Mobile No. 0300-4431427)</t>
  </si>
  <si>
    <t>Traced Person. Saeed Abid has been traced. He has returned home. He appeared before the Commission on 25.8.2020. His statement has been recorded on oath. According to his statement, he went to Multan on his own and was not abducted by anybody. He also stated that he did not inform his family members before leaving for Multan. As Saeed Abid has been traced, he is no more a Missing Person, his case is accordingly disposed of.</t>
  </si>
  <si>
    <t>5726-K</t>
  </si>
  <si>
    <t>Naseeb Rawan s/o Bakhat Buland Khan</t>
  </si>
  <si>
    <t>Abdul Aziz, r/o District Dir Pine, Tehsil Lal Kila P.O Surkhi Village Rna Manzre. (Mobile No. 0317-1484835 &amp; 0341-0529431)</t>
  </si>
  <si>
    <t>FIR No. 91, dated 1.12.17, u/c 302-324-427-34-419-471 PPC-3/4 ESA-15AA-11(N)-7ATA, PS CTD Peshawar.</t>
  </si>
  <si>
    <t>Traced Person. At the hearing in this case on 8.1.2021 it was stated by Inspector/IO Alamgir that he had established contact with the complainant Abdul Aziz brother on telephone on 26.12.2020 who informed that dead body of Naseeb Rawan was received and buried. The application of the complainant to this effect alongwith Dead registration certificate of NADRA. Hence, the case is closed.</t>
  </si>
  <si>
    <t>5727-S</t>
  </si>
  <si>
    <t>Arslan un Din s/o Minhas un Din</t>
  </si>
  <si>
    <t>Minhas un Din, r/o House No. H-53/2 FC Area Liaqt-e-bad Karachi Wasti. (Mobile No. 0315-2813070 &amp; 0345-2717768)</t>
  </si>
  <si>
    <t>Deleted . This case is closed for want of Jurisdiction as there is no allegation against any law enforcement agencies, rather in the FIR No. 194/18 dated 20.8.2018 PS Sharifabad, Karachi some private persons have been nominated for abduction.</t>
  </si>
  <si>
    <t>5728-K</t>
  </si>
  <si>
    <t>Shams Rehman s/o Shair Gull</t>
  </si>
  <si>
    <t>Shaira Hussain Khan, r/o Gabre P.O Anayat Kalee Tehsile Mamunand District Bajur Agincy. (Mobile No. 0307-2375082)</t>
  </si>
  <si>
    <t>Traced Person. Inspector Akbar Ali/CIO PS Sheikh Maltoon district Mardan is present, whose statement has been recorded on oath. He has affirmed that he contacted brother Aziz telephonically who is at Karachi and told that Shams Rehman has returned to home.</t>
  </si>
  <si>
    <t>5729-K</t>
  </si>
  <si>
    <t>Mamraiz Gull s/o Ahmad Gull</t>
  </si>
  <si>
    <t>Qadir Jana, r/o Pati Ghulam Qadir Ahon Fail, Ps-Po, Mehrban Nudahr Tehsil &amp; District Banu. (Mobile No. 0332-9747030)</t>
  </si>
  <si>
    <t>5730-P</t>
  </si>
  <si>
    <t>Ibrar Hussain s/o Shabbir Hussain</t>
  </si>
  <si>
    <t>Usman Ali r/o Tehsil &amp; District Sialkot Village &amp; P.o Bharth. (Mobile No. 0300-6131329)</t>
  </si>
  <si>
    <t>Traced Person. Shabbir Hussain father of the missing person was present at the hearing on 4.3.2019 whose statement was recorded on oath. According to him, his son was abducted on 14.12.2018 and was traced on 1.3.2019. He has further submitted that his son was detained in Police Station Cantt, Gujranwala.</t>
  </si>
  <si>
    <t>5731-K</t>
  </si>
  <si>
    <t>Muhammad Yasir Khan s/o Haji Fazal Rabi</t>
  </si>
  <si>
    <t>Haji Fazal Rabi r/o Khan Mast Colony Bahrun Yaka Toth, Police Station Agah Mir Jani Shah, Dictrict Peshawar. (Mobile No. 0300-5964789).</t>
  </si>
  <si>
    <t>17301-4867634-9</t>
  </si>
  <si>
    <t>5732-K</t>
  </si>
  <si>
    <t>Anwar Rehman s/o Muhammad Shereen</t>
  </si>
  <si>
    <t>Mst.Gul Mena, Mohalla Mian Ganocham, Koza Bandi, Tehsil &amp; District Swat, (Mobile No. 0343-9670426 &amp; 0340-9124106)</t>
  </si>
  <si>
    <t>15602-5712298-7</t>
  </si>
  <si>
    <t>FIR No. 80 dated 15/02/2019 u/s 365 PPC, PS Kanju, District Swat.</t>
  </si>
  <si>
    <t>5733-K</t>
  </si>
  <si>
    <t>Saeed Rehman s/o Muhammad Shereen</t>
  </si>
  <si>
    <t>Mst.Gul Mena, r/o Mohalla Mian Ganocham, Koza Bandi, Tehsil &amp; District Swat, (Mobile No. 0343-9670426 &amp; 0340-9124106)</t>
  </si>
  <si>
    <t>15602-5819581-9</t>
  </si>
  <si>
    <t>5734-K</t>
  </si>
  <si>
    <t>Muhammad Rahim s/o Ibrahim</t>
  </si>
  <si>
    <t>Mst. Hussan Bano, r/o Usmanabad, Mingora, Tehsil &amp; District Swat. (Mobile No. 0347-5236772 &amp; 0347-9618595)</t>
  </si>
  <si>
    <t>15602-4986773-9</t>
  </si>
  <si>
    <t>Traced Person. According to report received from Rep of MI Muhammad Rahim s/o ibrahim is detained in Internment Center Paithom. Therefore, he is no more a missing person and no further proceedings are requried to taken by the Commission at this stage. Family members shall be facilitated to see him in rules and procedures.</t>
  </si>
  <si>
    <t>5735-I</t>
  </si>
  <si>
    <t>Nabeela Bibi d/o Gull Bahar</t>
  </si>
  <si>
    <t>Abdul Waheed , r/o Mira Beri Chontrah, P.O Golrah Sharif Tehsil &amp; District Islamabad. (Mobile No. 0344-1516914)</t>
  </si>
  <si>
    <t>FIR No. 132 dated 17/4/2019 u/s 365-B PPC, PS Shalimar, Islamabad</t>
  </si>
  <si>
    <t>Traced Person. Statement of IO/ASI Fayyaz of PS Shalimar Islamabad has been recorded on oath. He has deposed that Mst. Nabeela has married with one Israr and now they are living as husband and wife.</t>
  </si>
  <si>
    <t>5736-K</t>
  </si>
  <si>
    <t>Rooh Ullah s/o Naimat Ullah</t>
  </si>
  <si>
    <t>Muhammad, r/o Charsadda Road, Mohallah Matan Colony, Qazi Kilay, Peshawar. (Mobile No. 0313-9796867)</t>
  </si>
  <si>
    <t>17301-1187120-7</t>
  </si>
  <si>
    <t>FIR No. 114, dated 7.3.19, u/s 365 PPC, P.S SMT, Mardan</t>
  </si>
  <si>
    <t>5737-K</t>
  </si>
  <si>
    <t>Tayyab Ullah s/o Naimat Ullah</t>
  </si>
  <si>
    <t>17301-0296864-9</t>
  </si>
  <si>
    <t>5738-K</t>
  </si>
  <si>
    <t>Tariq Aziz s/o Naimat Ullah</t>
  </si>
  <si>
    <t>5739-P</t>
  </si>
  <si>
    <t>Wazir Khan s/o Saeed Gharib</t>
  </si>
  <si>
    <t>Anwar Arfidi, r/o Gulshan Sardar Colony, College Road, Shekihupura. (Mobile No. 0300-5325902)</t>
  </si>
  <si>
    <t>5740-K</t>
  </si>
  <si>
    <t>Dalel Khan s/o Saeed Gharib</t>
  </si>
  <si>
    <t>5741-K</t>
  </si>
  <si>
    <t>Agha Gul s/o Pashar Gul</t>
  </si>
  <si>
    <t>5742-P</t>
  </si>
  <si>
    <t>Ali Ahmed s/o Khair Deen</t>
  </si>
  <si>
    <t>Muhammad Afzal Ali, r/o Rehbar Colony, P.O H.M.C, Street No. 02, District Rawalpindi. (Mobile No. 0315-8285833)</t>
  </si>
  <si>
    <t>Traced Person. A hearing was held in this case by the Commission on 31.8.2019 at which it was reported by SDPO, Chichawatni. The missing person Ali Ahmed has expired on 2.11.2003, which facts has confirmed by his mother as will as SHO, PS City Kamalia, District Toba Tek Singh.</t>
  </si>
  <si>
    <t>5743-B</t>
  </si>
  <si>
    <t>Shah Faisal s/o Ghulam Mustafa</t>
  </si>
  <si>
    <t>Ghulam Mustafa, r/o Mohallah Kali Abad, Siryab Road, Quetta. (Mobile No. 0335-7552007)</t>
  </si>
  <si>
    <t>54401-7909068-3</t>
  </si>
  <si>
    <t>FIR No. 22/2019 u/s 365-34 PPC, P.S Kechi Baig, Quetta</t>
  </si>
  <si>
    <t>Traced Person. Ghulam Mustafa father of Shah Faisal appeared before the commission on 01/04/2019 along with police officer concerned and confirmed that Shah Faisal was absconding but presently detained in district Jail, Quetta.</t>
  </si>
  <si>
    <t>5744-S</t>
  </si>
  <si>
    <t>Muhammad Younas Khan s/o Wali Muhammad Shah</t>
  </si>
  <si>
    <t>Mst. Bibi Moshena, r/oHouse No. R-7, Defence Phase No. 1, Karachi. (Mobile No. 0321-8993913)</t>
  </si>
  <si>
    <t>Traced Person. It was informed at the hearing held in this Commission on 28.2.2019 that Mr. Muhammad Younas Khan has returned to home as per report submitted by SHO of the PS concerned, Karachi.</t>
  </si>
  <si>
    <t>5745-F</t>
  </si>
  <si>
    <t>Ajam Shah s/o Lal Zar Khan</t>
  </si>
  <si>
    <t>Lal Zar Khan, r/o Masho Mano, Qambar Khel Kanday, Suleman Khel, Tehsil Bara, District Khyber Agency. (Mobile No. 0321-9334237)</t>
  </si>
  <si>
    <t>5746-K</t>
  </si>
  <si>
    <t>Sameen Jan s/o Qabal Khan</t>
  </si>
  <si>
    <t>Muhammad Arif, r/o Sowarkas No. 01, Abdullah Jan Killay, Faqeer Dhund, Qambar Khel, Bara, Khyber Agency. (Mobile No. 0303-8408713)</t>
  </si>
  <si>
    <t>21201-7689162-3</t>
  </si>
  <si>
    <t>5747-K</t>
  </si>
  <si>
    <t>Tasleem Khan s/o Ajab Khan</t>
  </si>
  <si>
    <t>Habib Ullah Khan, r/o P.O Delry Mela, Tehsil &amp; District Kark. (Mobile No.0331-5235840)</t>
  </si>
  <si>
    <t>Deleted. Hearing on 6.8.2019 refers keeping in view the conclusion drawn by JIT the case does not fall within the ambit of Enforced Disappearance and request of Habib Ullah b/o missing person that the case may be filed.</t>
  </si>
  <si>
    <t>5748-K</t>
  </si>
  <si>
    <t>Umar Badshah s/o Mian Karim Badshah</t>
  </si>
  <si>
    <t>Mst. Bakhat Ranar, r/o Cheal Shaki, P.O Sadeo Sharif, Tehsil Babuzai, District Swat. (Mobile No. 0313-9455540 &amp; 0347-1920116)</t>
  </si>
  <si>
    <t>5749-B</t>
  </si>
  <si>
    <t>Muhammad Arif s/o Muhammad Sharif</t>
  </si>
  <si>
    <t>Muhammad Aziz, r/o Arbab Ghulam Ali Road, Quetta. (Mobile No. 0313-8926314)</t>
  </si>
  <si>
    <t>FIR No. 51/2019 u/s 365-34 PPC, P.S Brewery, Quetta</t>
  </si>
  <si>
    <t>5750-B</t>
  </si>
  <si>
    <t>Khudai Rahim s/o Muhammad Raza</t>
  </si>
  <si>
    <t>Mst. Bibi Amina, r/o Chaki Shawani, Siryab Road, Quetta. (Mobile No. 0331-6891131 &amp; 0333-3385287)</t>
  </si>
  <si>
    <t>FIR No. 19/2019 u/s 365-34 PPC, P.S Kechi Baig, Quetta.</t>
  </si>
  <si>
    <t>Traced Person. Bibi Amina mother of Khudai Rahim appeared before the Commission on 014/04/2019 whose statement was recorded according to which Khudai Rahim was picked up and taken away on 20/02/2018 by many persons from his house. However at present Khudai Rahim is detained in District Jail Quetta, where she met him about 8 days ago.</t>
  </si>
  <si>
    <t>5751-B</t>
  </si>
  <si>
    <t>Niaz Ullah s/o Haji Faiz Ullah</t>
  </si>
  <si>
    <t>Aman Ullah, r/o Lango Abad, Tariq Hospital, Siryab Road, Quetta. (Mobile No. 0316-6777668)</t>
  </si>
  <si>
    <t>FIR No. 33/2019 u/s 365-34 PPC, P.S Satellite Town, Quetta</t>
  </si>
  <si>
    <t>5752-I</t>
  </si>
  <si>
    <t>Amir Jahangir s/o Muhammad Jahangir</t>
  </si>
  <si>
    <t>Muhammad Jahangir, r/o New Garden Town, New Shakarial, Zia Masjid, Islamabad.(Mobile No. 0310-5542688)</t>
  </si>
  <si>
    <t>FIR No.104 dated 27/3/2019 u/s 364 PPC PS Khanna, Islamabad</t>
  </si>
  <si>
    <t>Traced Person. Amir Jahangir has been traced dead. According to report dated 17.7.2019 received from SP (Inv) Islamabad Amir Jahangir s/o Muhammad Jahangir has been killed by some unknown persons and his dead body was recovered in the jurisdiction of PS Dina, Jhelum.</t>
  </si>
  <si>
    <t>5753-S</t>
  </si>
  <si>
    <t>Muhammad Aqib Shahid s/o Shahid Iqbal</t>
  </si>
  <si>
    <t>Muhammad Kashif Shahid, r/o Flat No. B-4, Park View Appartments, Nipa Chowrangi, Karachi. (Mobile No. 0346-8112748 &amp; 0333-9600671)</t>
  </si>
  <si>
    <t>13101-8228351-9</t>
  </si>
  <si>
    <t>Traced Person. It was informed at the hearing held in this Commission on 2.4.2019 that M. Aqib Shahid has returned to home. Family member brother of the traced person appeared before the Commission and confirmed the reported position.</t>
  </si>
  <si>
    <t>5754-K</t>
  </si>
  <si>
    <t>Anwar Saeed s/o Muhammad Roshan</t>
  </si>
  <si>
    <t>Muhammad Roshan, r/o Manglor, Tehsil Babu Zai, District Swat. (Mobile No. 0341-3207573)</t>
  </si>
  <si>
    <t>FIR No. 69 dated 15/02/2019 u/s 365 PPC, PS Manglor, District Swat.</t>
  </si>
  <si>
    <t>5755-K</t>
  </si>
  <si>
    <t>Bashir Ahmed s/o Akhtaray</t>
  </si>
  <si>
    <t>Akhtaray, r/o Mohallah Doghalkay, Char Bagh, District Swat. (Mobile No. 0342-9674238 &amp; 0345-1574620)</t>
  </si>
  <si>
    <t>5756-K</t>
  </si>
  <si>
    <t>Fazal Ahad s/o Muhammad Ghaffor</t>
  </si>
  <si>
    <t>Muhammad Ghaffor, r/o Tor Toot, P.O Char Bagh, District Swat. (Mobile No. 0341-9886768)</t>
  </si>
  <si>
    <t>5757-S</t>
  </si>
  <si>
    <t>Mst. Parveen Bibi, r/o Tehsil Khoza Khel, District Swat. (Mobile No. 0343-6356863 &amp; 0345-2137420)</t>
  </si>
  <si>
    <t>Traced Person. It was informed at the hearing held in this Commission on 10.6.2019 that Muhammad Rehman has returned to home. The report submitted by the Police Officer, Malir City, Karachi is placed on record.</t>
  </si>
  <si>
    <t>5758-P</t>
  </si>
  <si>
    <t>Sohail Shahzad s/o Muhammad Ishaq</t>
  </si>
  <si>
    <t>Bader Muneer r/o Bulbul Kalaa P.O Tehsil Sawan District Jehlum. (Mobile No. 0331-5844730 &amp; 0334-7761775)</t>
  </si>
  <si>
    <t>Traced Person. Sohail Shahzad has entered appearance, whose statement has been recorded on oath. According to him, he was on his way to home when he was picked up by some persons. He further stated that he was taken into some unknown place where he was kept for 14 days and released on 25.1.2019.</t>
  </si>
  <si>
    <t>5759-K</t>
  </si>
  <si>
    <t>Umair Khan s/o Eslat Khan</t>
  </si>
  <si>
    <t>Saeed Ahmed Khan r/o Bawt Bazar Tehsil Safi District Mehmend. (Mobile No. 0308-9111314 &amp; 0307-8923870).</t>
  </si>
  <si>
    <t>5760-I</t>
  </si>
  <si>
    <t>Junaid Ijaz s/o Ijaz Ahmed</t>
  </si>
  <si>
    <t>Rifat Perveen r/o Barhkoh P.O House No.27, street No.6, Muhala Manghu Town, Islamabad. (Mobile No. 0334-8199977 &amp; 0314-5247441).</t>
  </si>
  <si>
    <t>Traced Person. Ijaz Ahmed father and Mst. Rifat Parveen mother of Junaid Ijaz entered appearance before the Commission and stated that Ijaz has returned to home and their statements have been recorded on oath. The have also stated that on account of ailment their son (Junaid Ijaz) could not appear before the commission on 28/03/2019.</t>
  </si>
  <si>
    <t>5761-S</t>
  </si>
  <si>
    <t>Munir Ahmed s/o Nazir Ahmed</t>
  </si>
  <si>
    <t>Muhammad Latif Ahmed, r/o House No. 295, Sector 1-A-3, Achanak Hotel, Mango Pir, North Karachi. (Mobile No. 0310-2327290)</t>
  </si>
  <si>
    <t>5762-K</t>
  </si>
  <si>
    <t>Bakhat Ali s/o Muhammad Yaseen</t>
  </si>
  <si>
    <t>Fazal Subhan, r/o Ismail Khel, Cham, Nawa Kilay, P.O Mingora, Tehsil &amp; District Swat. (Mobile No. 0333-9504901)</t>
  </si>
  <si>
    <t>15602-8815462-3</t>
  </si>
  <si>
    <t>5763-I</t>
  </si>
  <si>
    <t>Saif-ur-Rehman s/o Wazir Rehman</t>
  </si>
  <si>
    <t>Lala Rehman, r/o Hamza Cloth House, Block No. 03, Unit No. 662, Apbara Market, Islamabad. (Mobile No. 0300-5038681)</t>
  </si>
  <si>
    <t>Traced Person. SP (Inv), Islamabad is present at the hearing on 28/03/2019 and submitted that Saif-ur-Rehaman has been traced on 01/02/2019. He further submitted that Saif-ur-Rehman was recovered from Edhi Home, Multan and he has returned home safely. Statement of Dr. Mustafa, SP (Inv), Islamabad has been recorded on oath.</t>
  </si>
  <si>
    <t>5764-K</t>
  </si>
  <si>
    <t>Fazal Manan s/o Mera Fazal</t>
  </si>
  <si>
    <t>Mati Ullah, r/o Mohmand Agency. (Mobile No. 0316-5003738)</t>
  </si>
  <si>
    <t>Traced Person. Fazal Manan has been traced. He is present before the Commission. His statement has been recorded on oath. According to his statement he was present at NADRA Office, Charsadda on 16/1/2009 when he was abducted by some unknown persons. He was kept in some unknown placed and set free on 26/1/2019 at Ring Road, Peshawar.</t>
  </si>
  <si>
    <t>5765-P</t>
  </si>
  <si>
    <t>Muhammad Umar Farooq s/o Muhammad Ashraf</t>
  </si>
  <si>
    <t>Muhammad Ashraf, r/o P.O Khas, Tehsil Dara Khan, District Bakhar. (Mobile No. 0346-7782484)</t>
  </si>
  <si>
    <t>Deleted. Careful scrutiny of record would reveal that the matter did not fall within the ambit of Enforced Disappearance, which has further been supported by the conclusion as arrived at by JIT as well as PTF by whom entire evidence was scrutinized in depth. Wife of Muhammad Umer Farooq had filed an affidavit stating that her husband had gone on his own. No further action is required. The case is closed.</t>
  </si>
  <si>
    <t>5766-K</t>
  </si>
  <si>
    <t>Zakir Ullah s/o Fazal Manan</t>
  </si>
  <si>
    <t>Ubaid Ullah, r/o Shah Alam Pull, Toda Stop, Mohallah Mominabad, Abbass Korana. (Mobile No. 0303-5434810 &amp; 0314-2306590)</t>
  </si>
  <si>
    <t>5767-P</t>
  </si>
  <si>
    <t>Rizwan Ullah S/o Sanaullah Khan</t>
  </si>
  <si>
    <t>Sanaullah Khan, r/o Village Naddi, Tehsil Kulachi, District Dera Ismail Khan. (Mobile No. 0346-9723787)</t>
  </si>
  <si>
    <t>Traced Person. Rizwan Ullah has been traced. Sana Ullah complainant appeared before the Commission; whose statement was recorded on oath. He has deposed that his son was abducted on 14.12.2018 and was acquitted by the learned Judge Anti- Terrorism Court No. 1, Rawalpindi. No further action is required. The case is closed.</t>
  </si>
  <si>
    <t>5768-P</t>
  </si>
  <si>
    <t>Muhammad Khurram Saeed s/o Muhammad Saeed</t>
  </si>
  <si>
    <t>Muhammad Nasir Saeed, r/o House No.20 Galli No.10A, Muslim Colony Bagbanio, Lahore. (Mobile No. 0321-4311921 &amp; 0324-4780392)</t>
  </si>
  <si>
    <t>Traced Person. Muhammad Khurram Saeed has been traced; He appeared before the Commission on 17.6.2019. His statement has been recorded on oath. He returned home on 9.2.2019.</t>
  </si>
  <si>
    <t>5769-K</t>
  </si>
  <si>
    <t>Dala Jan s/o Huwa Jan</t>
  </si>
  <si>
    <t>Raz Ullah, r/o Kohat Bazar Sweets Road, near Porana Eid Gah.Mobile. 0333-3838304 &amp; 0333-9611406)</t>
  </si>
  <si>
    <t>Traced Person. Dala Jan appeared before the Commission on 10.6.2019. In this connection statement of Dala Jan has been recorded u/s 164 CrpC.</t>
  </si>
  <si>
    <t>5770-K</t>
  </si>
  <si>
    <t>Abdul Azeem s/o Abdul Rahim</t>
  </si>
  <si>
    <t>Bakhet Naseeb, r/o Muhala Kotkae, Berbahndi, Tehsil Kabel District Swat. (Mobile No. 0302-5790308 &amp; 0343-2947797)</t>
  </si>
  <si>
    <t>FIR No. 82 dated 15/02/2019 u/s 365 PPC, PS Kanju, District Swat.</t>
  </si>
  <si>
    <t>5771-K</t>
  </si>
  <si>
    <t>Zabi Ullah s/o Sirbali</t>
  </si>
  <si>
    <t>Rang Mehal, r/o Ingroh deheri Muhala Ameer Khankhaeel Mingorah, Tehsil Babuzai District Swat. (Mobile No. 0347-8349636)</t>
  </si>
  <si>
    <t>5772-I</t>
  </si>
  <si>
    <t>Usman Saeed s/o Muhammad Saeed Anwer</t>
  </si>
  <si>
    <t>Muhammad Luqman Saeed, r/o House No. 222, Gali No. 26, Ward No.7, Mohala Madeen Shah, Jhang City. Mobile No. 0348-5505312 &amp; 0313-5177575 &amp; 0340-0676622)</t>
  </si>
  <si>
    <t>Traced Person. Rep of MI is present at the hearing on 28/03/2019 and produced report that Usman Saeed is Interned in Fizaghat Swat. Family members of Usman Saeed shall be facilitated to see him in the Internment Center subject to completion of rules and procedures.</t>
  </si>
  <si>
    <t>5773-S</t>
  </si>
  <si>
    <t>Syed Faraz Asghar Zadi s/o Zali Asghar</t>
  </si>
  <si>
    <t>Mst. Shabana, r/o Plot No. R-1677, Floor No. 02nd, Sector 8-D, A-B Cinema Lines, Karachi. (Mobile No. 0331-2859484)</t>
  </si>
  <si>
    <t>Traced Person. It was informed at the hearing held in this Commission on 11.6.2019 that Syed Faraz Asghar is involved in Criminal Case vid FIR No. 132/2019 dated 18.5.2019. He is confined in Central Jail, Karachi as per report received.</t>
  </si>
  <si>
    <t>5774-S</t>
  </si>
  <si>
    <t>Syed Ali Haider Rizivi s/o Syed Alamdar Ali Rizivi</t>
  </si>
  <si>
    <t>Mst. Salma Begum, r/o House No. G-8, Hussani Imam Bargah Twenesha Line, Karachi. (Mobile No. 0301-2705318)</t>
  </si>
  <si>
    <t>5775-K</t>
  </si>
  <si>
    <t>Abdul Sattar s/o Abdul Rauf</t>
  </si>
  <si>
    <t>Abdul Jabbar, r/o Qasab Khana, Landay Sarak, Tehsil &amp; District Peshawar. (Mobile No. 0314-9056227 &amp; 0311-9004485)</t>
  </si>
  <si>
    <t>Traced Person. Complainant Abdul Jabbar and IO/SI khaleel-ur-Rehman appeared before the Commission at Peshawar on 19.8.2019 and their statements have been recorded in oath. According to Abdul Jabbar his brother Abdul Sattar was abducted on 14.11.2018 and returned home on 25.6.2019. He has further stated that according to his brother, he was abducted by some unknown persons and kept at some unknown place.</t>
  </si>
  <si>
    <t>5776-K</t>
  </si>
  <si>
    <t>Lawang Shah s/o Haji Sultan Shah</t>
  </si>
  <si>
    <t>Haji Sultan Shah, r/o Nawa Kilay, Bara Road, Peshawar. (Mobile No. 0335-9091811 &amp; 0300-5964890)</t>
  </si>
  <si>
    <t>FIR No. 139, dated 19/13/19, u/s 365 PPC, P.S Akhakhel, Nowshera.</t>
  </si>
  <si>
    <t>Deleted. In the Proforma for Missing Person there is no allegation against any LEAs/Intelligence Agency. Nobody appears to have seen the occurrence. Reps of ISI, MI, CTD &amp; FC/KP reported that ground check was carried out which that Lawang Shah was neither arrested nor held in custody. Hence not a case of enforced disappearance.</t>
  </si>
  <si>
    <t>5777-B</t>
  </si>
  <si>
    <t>Muhammad Zarif s/o Abdul Shakoor</t>
  </si>
  <si>
    <t>Traced Person. It was informed at the hearing held in this Commission during 21-26 January, 2019 at Quetta, that alleged Missing Person Muhammad Zarif has returned to home.</t>
  </si>
  <si>
    <t>31st January, 2019</t>
  </si>
  <si>
    <t>5778-P</t>
  </si>
  <si>
    <t>Khalil Ahmed Tahir S/o ALLAH Wasaya</t>
  </si>
  <si>
    <t>Noshella Ahmed, r/o 171/A Phase-5 D.H.A Lahore. (Mobile No. 0300-8588892)</t>
  </si>
  <si>
    <t>Traced Person. Meeting of JIT was held on 10.4.2019 minutes whereof have been perused with care and caution. It transpired that Khalil Ahmed Tahir has returned back.</t>
  </si>
  <si>
    <t>01st February, 2019</t>
  </si>
  <si>
    <t>5779-P</t>
  </si>
  <si>
    <t>Junaid Ejaz Sathe S/o Ejaz Ahmed Sathe</t>
  </si>
  <si>
    <t>Ejaz Ahmed Sathe r/o Gali no 6, Mengo Town, Barahkoh, District Rawalpindi. (Mobile No. 0314-5247441)</t>
  </si>
  <si>
    <t>5780-P</t>
  </si>
  <si>
    <t>Zaheer-ud-Din Sindhu</t>
  </si>
  <si>
    <t>Kiran Shahzadi, r/o Chowk Ahle Hadihes, Bado Melsi, District Narowall. (Mobile No. 0309-5525266)</t>
  </si>
  <si>
    <t>Traced Person. DPO Sheikhupura submitted that the accused was arrested and finally the trial was culminated into conviction by the Anti Terrorism Court by means of order dated 28.2.2019 whereby Zaheer-ud-Din was sentenced to imprisonment and presently he is confined in Central Jail Gujranwala.</t>
  </si>
  <si>
    <t>5781-P</t>
  </si>
  <si>
    <t>Munir Ahmed s/o Muhammad Shameer</t>
  </si>
  <si>
    <t>Muhammad Jahangir r/o Chak No 60/D, Tehsil &amp; District Pak Pattan. (Mobile No. 0343-6957028)</t>
  </si>
  <si>
    <t>Traced Person. DPO Pakpattan has submitted a report showing that a case has been registere against Munir Ahmed by means of FIR No. 28/18 dated 25.12.2018 u/s 4/5 ESA r/w 7ATA 1997 PS CTD Gujranwala. It further transpired from the scrutiny of the latter that presently Munir Ahmed is confined at District Jail Gujranwala.</t>
  </si>
  <si>
    <t>5782-S</t>
  </si>
  <si>
    <t>Awais Ahmed Shah s/o Muhammad Ali</t>
  </si>
  <si>
    <t>Zubair Ahmed r/o House No. A/452, Sector 13-A, Post Office Society, Gulzar-e-Hijri, Schem-33, Karachi.(Mobile No. 0345-3284996)</t>
  </si>
  <si>
    <t>Traced Person. It was informed at the hearing held in this Commission on 18.6.2019 that Awais Ahmed Shah has returned to home. Statement of his brother is placed on record.</t>
  </si>
  <si>
    <t>5783-S</t>
  </si>
  <si>
    <t>Sahkeel Ahmed</t>
  </si>
  <si>
    <t>Mst. Iqra r/o House No.135, Gali No.3, Sector 19/A, Mohala Ithad town, baldia Town, Navel Colony Tehsil Karachi West. (Mobile No. 0312-0120206 &amp; 0301-2522805 &amp; 0316-2029469).</t>
  </si>
  <si>
    <t>Fir 52/19 u/s 365 ppc dated 13.6.19 p.s B section Latifabad Hyderabad</t>
  </si>
  <si>
    <t>Traced Person. Wife of the alleged Missing Person attend the hearing on 21.1.2020, while DSP, Faheem Ahmed Farooqi from Hussain Abad was also present. According to the report of MI the alleged Missing Person Shakeel Ahmed s/o Nazir Ahmed was awarded life imprisonment by Military Court and he is in Military custody at Malir Sub Division. Order issued for meeting of the family with the Traced Person. The case is closed.</t>
  </si>
  <si>
    <t>5784-S</t>
  </si>
  <si>
    <t>Ayaz Babu s/o Islam</t>
  </si>
  <si>
    <t>Mst. Hassina Begum r/o House No.643, Gali No.9, Sector 40/C, Mohala Nori Basti, Korangi No.2, Karachi. (Mobile No. 0324-2650185).</t>
  </si>
  <si>
    <t>Traced Person. It was informed at the hearing held in this Commission on 23.5.2019 that Ayaz Babu has returned to home. The report submitted and confirmed by the Police Officer SHO, KIA, Karachi.</t>
  </si>
  <si>
    <t>5785-S</t>
  </si>
  <si>
    <t>Muhammad Akmal s/o Ghulam</t>
  </si>
  <si>
    <t>Farhad Younus Memon r/o R-129 Ralway Society, Block No. 13 D 2, Gulshan-e-Iqbal, Karachi. (Mobile No. 0336-2375985 &amp; 0300-3454033).</t>
  </si>
  <si>
    <t>Traced Person. It was informed at the hearing held in this Commission on 30/7/2019 that Muhammad Akmal has returned to home. The report submitted by SHO, Gulshan--Iqbal, Karachi is placed on record.</t>
  </si>
  <si>
    <t>5786-F</t>
  </si>
  <si>
    <t>Abdul Malik s/o Muhammad Shah</t>
  </si>
  <si>
    <t>Muhammad Shah r/o Qila Shah Baig, P.O Shabqadar Tehsil &amp; District Charsadda. (Mobile No. 0332-4503967 &amp; 0316-1205940).</t>
  </si>
  <si>
    <t>5787-P</t>
  </si>
  <si>
    <t>Riasat Ali s/o Mulazim Hussain</t>
  </si>
  <si>
    <t>s</t>
  </si>
  <si>
    <t>5788-S</t>
  </si>
  <si>
    <t>Noor Ali Khan s/o Rasul Khan</t>
  </si>
  <si>
    <t>Noor Zada S/o Meer Dali Khan r/o House No.4242, Gulshan-e-Boner, new Muzaffarabad Colony, Landhi Karachi. (Mobile No. 0332-2483426)</t>
  </si>
  <si>
    <t>Traced Person. It was informed at the hearing held in this Commission on 21.5.2019 that Noor Ali Khan has returned to home. The report submitted by the Police Officer SHO, Landhi, Karachi is placed on record.</t>
  </si>
  <si>
    <t>5789-S</t>
  </si>
  <si>
    <t>Muhammad Asif Khan s/o Muhammad Ismail</t>
  </si>
  <si>
    <t>Ayesha Asif w/o Muhammad Asif khan r/o House No. C-44 , Streat No.02, Near Mehar-un-Nisa Masjid, Karachi. (Mobile No. 0315-2490991)</t>
  </si>
  <si>
    <t>Traced Person. It was informed at the hearing held in this Commission on 12.6.2019 that Muhammad Asif Khan has returned to home, which confirmed the above stated position.</t>
  </si>
  <si>
    <t>5790-S</t>
  </si>
  <si>
    <t>Syed Majid Shah s/o Syed Nawab Shah</t>
  </si>
  <si>
    <t>Syed Nawab Shah f/o Syed Majid Shah r/o Sarab Karak Road, House No.233/AM , Muhala Hassan Center, Karachi. (Mobile No. 0300-2138821)</t>
  </si>
  <si>
    <t>Traced Person. It was informed at the hearing held in this Commission on 9.4.2019 that Syed Majid Shah has returned to home. Family member father of the traced person appeared before the Commission and confirmed the reported position.</t>
  </si>
  <si>
    <t>5791-S</t>
  </si>
  <si>
    <t>Muhammad Nasir s/o Shahid Hussain</t>
  </si>
  <si>
    <t>Yasir s/o Shahid Hussain r/o House no.66, Gali No.15, Abdul Rehman Road, Usmanabad, Karachi. (Mobile No. 0343-2496485)</t>
  </si>
  <si>
    <t>Traced Person. It was informed at the hearing held in this Commission on 20/03/2019 that Muhammad Nasir has returned to home vide PS Garden report dated 20/03/2019.</t>
  </si>
  <si>
    <t>5792-P</t>
  </si>
  <si>
    <t>Umer Hashmi s/o Muhammad Akram</t>
  </si>
  <si>
    <t>Ustad Baghum w/o Ghulam Farid, r/o Merhial Sharif, P.O Bhaee Lodan Tehsil &amp; District Jehlum. (Mobile No.0300-5325902)</t>
  </si>
  <si>
    <t>Traced Person. All the four persons have been traced. Umer Hashmi and Mulazim Hussain were present before the Commission on 4.4.2019. Their statements have been recorded on oath. In their statements, both of them have deposed that they were abbducted on 25.1.2019 by unknown persons and were set free after five days.</t>
  </si>
  <si>
    <t>5793-P</t>
  </si>
  <si>
    <t>Mulazim Hussain s/o Muhammad Ashraf</t>
  </si>
  <si>
    <t>5794-P</t>
  </si>
  <si>
    <t>Ali Haider s/o Ghulam Farid</t>
  </si>
  <si>
    <t>5795-P</t>
  </si>
  <si>
    <t>Tayyab s/o Muhammad Aslam</t>
  </si>
  <si>
    <t>Ustad Baghum w/o Ghulam Farid, r/o Merhial Sharif, P.O Bhaee Lodan Tehsil &amp; District Jehlum. (Mobile No.0344-5356179 &amp; 0301-8701479)</t>
  </si>
  <si>
    <t>5796-S</t>
  </si>
  <si>
    <t>Muhammad Danish Shaikh s/o Abdul Ghafar Shaikh</t>
  </si>
  <si>
    <t>Abdul Ghafar Shaikh r/o House no.163, Block.B, Unite No.07, Latifabad, Hyderabad. (Mobile No. 0343-2496485)</t>
  </si>
  <si>
    <t>Deleted . This case is closed for want of Jurisdiction as there is no allegation against any law enforcement agencies. According to FIR and investigation report by SDPO, Latifabad, Hyderabad that Muhammad Danish Sheikh went on his own as he was addict after disappearance he walked at some hotel in Karachi as well.</t>
  </si>
  <si>
    <t>5797-S</t>
  </si>
  <si>
    <t>Hafiz Saeed Ullah s/o Muhammad Ameen</t>
  </si>
  <si>
    <t>Muhammad Ameen r/o House no.82, Gali No. 3, Abbasi Nager, Sector 32/A, Zia colony, Korangi No.1, Karachi . (Mobile No. 0311-2199453)</t>
  </si>
  <si>
    <t>Deleted. The case has been closed due to non-prosecution by the family who also withdraw their form Hon”ble High Court of Sindh.</t>
  </si>
  <si>
    <t>5798-K</t>
  </si>
  <si>
    <t>Shah Ayaz s/o Fazal Molla</t>
  </si>
  <si>
    <t>Muhammas Halal r/o Muslimabad, Railway Station, Sector No.7, P.O, Tehsil &amp; District Charsada. (Mobile No. 0334-9097497 &amp; 0333-9334924).</t>
  </si>
  <si>
    <t>5799-K</t>
  </si>
  <si>
    <t>Tariq Ali Shah s/o Syed Badshah</t>
  </si>
  <si>
    <t>Tasleem Baigham w/o Syed badshah r/o Kamber , Tehsil &amp;Disatrict Swat. (Mobile No. 0344-6555588 &amp; 0343-9431102).</t>
  </si>
  <si>
    <t>Fir No. 65 dated 22/4/2019 u/s 365 ppc ps Chakdara District Lower Dir</t>
  </si>
  <si>
    <t>Deleted. Last hearing was held in this case on 19.12.2019. Sher Hayat SI/IO of the case is present. He has submitted that statement of Mst. Tasleem Begum Complainant has been recorded in which she has requested to close the case. IO has furnished copy of the statement to be placed on record. Safaid Shah, who is brother of Tariq Ali Shah missing person, has entered appearance on behalf of the missing person. His statement has been recorded on oath. Safaid Shah has furnished affidavit on behalf of his mother whereby it has been requested to file the case pending before the Commission. No further action is required to be taken by the Commission.</t>
  </si>
  <si>
    <t>5800-F</t>
  </si>
  <si>
    <t>Anwar-ul-Haq s/o Mohib-ul-haq</t>
  </si>
  <si>
    <t>Qazi Niaz-ul-haq s/o anwar-ul-haq r/o Kanju, Tehsil Kabel , Disatrict Swat. (Mobile No. 0348-9468135 &amp; 0315-9468135).</t>
  </si>
  <si>
    <t>5801-B</t>
  </si>
  <si>
    <t>Muhammad Faheem s/o Muhammad Alam</t>
  </si>
  <si>
    <t>Ghulam Muhammad r/o Kale Shaikh, Hussaini Noza kanag, District Mastong. (Mobile No. 0334-2570977).</t>
  </si>
  <si>
    <t>5802-K</t>
  </si>
  <si>
    <t>Khalid Mansoor s/o Niaz Mohammad</t>
  </si>
  <si>
    <t>Fiaz Muhammad R/o Ibrahim Gul Kot, Umer Adda , Tank,KP (Mobile No. 0300-5797009).</t>
  </si>
  <si>
    <t>5803-P</t>
  </si>
  <si>
    <t>Muhammad Khan s/o Noor Bacha</t>
  </si>
  <si>
    <t>Abdul Razaq R/o Doyaze, P.O Yak Gunda, Ayupe Core, Tehsile Pidyale, District Mehmand Agency. (Mobile No. 0301-4368788).</t>
  </si>
  <si>
    <t>Traced Person. Director (Legal) Ministry of Defence, Rawalpindi and DPO, Sargodha have confirmed vide their report submitted to the Commission at the hearing on 31.8.2019 that Muhammad Khan s/o Noor Bacha has returned to home.</t>
  </si>
  <si>
    <t>5804-B</t>
  </si>
  <si>
    <t>Zafar Dita s/o Muhammad Azam</t>
  </si>
  <si>
    <t>Gung Bibi r/o Kale Chasma , geo Karafi road, Quetta. (Mobile No. 0332-3838367).</t>
  </si>
  <si>
    <t>FIR No. 59/2019 u/s 365-34 PPC, P.S Sariab, Quetta</t>
  </si>
  <si>
    <t>5805-B</t>
  </si>
  <si>
    <t>Muhammad Ayaz s/o Muhammad Afzal</t>
  </si>
  <si>
    <t>Muhammad Imtiaz r/o Mohala Kale Kambrani, Siryab road, Quetta. (Mobile No. 0331-8074701).</t>
  </si>
  <si>
    <t>Traced Person. It was informed at the hearing on 01/04/2019 by Colonel Adnan Danish Khan Rep of FC, North that Muhammad Ayaz has returned to home on 18/03/2019.</t>
  </si>
  <si>
    <t>5806-B</t>
  </si>
  <si>
    <t>Asmat Ullah s/o Muhammad Gull</t>
  </si>
  <si>
    <t>r/o Nafisa Bibi r/o Haji Tahir Noorzai Town, Sabzal road, Quetta. (Mobile No. 0332-3506102).</t>
  </si>
  <si>
    <t>FIR No. 151/2018 u/s 365-34 PPC, P.S Kharotabad, Quetta</t>
  </si>
  <si>
    <t>5807-B</t>
  </si>
  <si>
    <t>Muhammad Alam s/o Muhammad Ameen</t>
  </si>
  <si>
    <t>Muhammad Ameen r/o Kaka Hareh , P.O Wadha, Tehsil Wadha, District Khuzdar. (Mobile No. 0332-7823323 &amp; 0333-7990480).</t>
  </si>
  <si>
    <t>5808-B</t>
  </si>
  <si>
    <t>Abdul Fateh s/o Haji Muhammad Hayat</t>
  </si>
  <si>
    <t>Hafiz Allah Bakhsh, r/o Toura Kale, Shaikh Hussain, P.O Dair Yangerh, Tehsil &amp; District Mastung. (Mobile No. 0331-5860201)</t>
  </si>
  <si>
    <t>5809-K</t>
  </si>
  <si>
    <t>Mir Shali Jan s/o Bahadur Khan</t>
  </si>
  <si>
    <t>Farman Ullah Khan, r/o Kaka Khaiel, P.O Ghazani Khail, Tehsil &amp; District Lakki Marwat. (Mobile No. 0341-8614638 &amp; 0345-5456452).</t>
  </si>
  <si>
    <t>11201-9395808-7
 Son CNIC No.</t>
  </si>
  <si>
    <t>Deleted. The case has been categorized as of Kidnapping due to personal enmity by JIT as well as PTF. Statement of Farman Ullah had already been recorded on 06.01.2022 in which he deposed that he had not seen occurance himself and whatever was written in the Proforma for Missing Person was based upon hearsay. All stakeholders have denied custody of Mir Shali Jan. Hence not a case of enforced disappearnce. The case is closed.</t>
  </si>
  <si>
    <t>5810-K</t>
  </si>
  <si>
    <t>Din Akbar s/o Lal Akbar</t>
  </si>
  <si>
    <t>Lal Akbar, r/o Khana Kalee, Masjid Ali, Peer Qayuum Sadah, Tehsil Sadah, District Khuram Agency. (Mobile No. 0301-4958508)</t>
  </si>
  <si>
    <t>Traced Person. Din Akbar has been traced. According to report dated 24.2.2019 received from Rep of MI in which it is shown that Din Akbar is in the Internment Center Lakki Marwat. Father of Din Akbar is present. He has been apprised of the status of the case.</t>
  </si>
  <si>
    <t>5811-K</t>
  </si>
  <si>
    <t>Lalaq Muhammad s/o Anwar Muhamamd</t>
  </si>
  <si>
    <t>Khan Zada, r/o Khoza Khel, Swat. (Mobile No. 0334-9854117)</t>
  </si>
  <si>
    <t>Traced Person. DSP (Inv) Swat was present on 29.3.2019. He has submitted that Laiq Muhammad has been traced. He is presently confined in District Jail Taimargarah. I.O of the case is present. He has furnished copies of the report dated 25.3.2019, which is placed on file.</t>
  </si>
  <si>
    <t>5812-S</t>
  </si>
  <si>
    <t>Muhammad Qasim s/o Haji Lal Muhammad</t>
  </si>
  <si>
    <t>Muhammad Naeem, r/o Fruit Mandi, Bismillah Market, Super High Way, Karachi. (Mobile. No. 0301-2645386)</t>
  </si>
  <si>
    <t>Traced Person. It was informed at the hearing held in this Commission on 08.11.2021 that Muhammad Qasim has returned home. The statement of the traced person has been reported u/s 164 CrPC. Family member uncle of the traced person appeared before the Commission and confirmed the reported position. SDPO, Sohrab Goth, Karachi also confirmed in his report. No further action is required. The case is closed.</t>
  </si>
  <si>
    <t>5813-K</t>
  </si>
  <si>
    <t>Sabat Khan s/o Ziarat Gul</t>
  </si>
  <si>
    <t>Muhammad Rasheed, r/o Gojar Dand, P.O Mathara, District Peshawar. (Mobile No. 0311-9534515)</t>
  </si>
  <si>
    <t>Traced Person. Muhammad Rashid brother of Sabat Khan appeared before the Commission at Peshawar on 23.8.2019 whose statement has been recorded on oath. In his statement, he has deposed that Sabat Khan is presently confined in Internment Center Lakki Marwat. He has further stated that he and only family members including mother , wife and brother have also met him.</t>
  </si>
  <si>
    <t>5814-S</t>
  </si>
  <si>
    <t>Pakhtoon Khan s/o Nazar Gul</t>
  </si>
  <si>
    <t>Hasti Gul, r/o House No. 73-SA, Mohallah North Karachi, Sector No. 03, Karachi. (Mobile No. 0343-9126147)</t>
  </si>
  <si>
    <t>5815-S</t>
  </si>
  <si>
    <t>Bilal s/o Hasti Gul</t>
  </si>
  <si>
    <t>5816-F</t>
  </si>
  <si>
    <t>Siddique s/o Umar Khan</t>
  </si>
  <si>
    <t>Umar Khan, r/o Koki Khel, Abdal Khel, , Karkhano, Peshawar. (Mobile No. 0301-8939455)</t>
  </si>
  <si>
    <t>5817-B</t>
  </si>
  <si>
    <t>Tayyab Abbasi s/o Zahid Abbasi</t>
  </si>
  <si>
    <t>Mst. Rabia, r/o Street No. 06, Sector-I, Khayaban-e- Sir Syed, Rawalpindi. (Mobile No. 0345-5943152)</t>
  </si>
  <si>
    <t>Deleted. In the complaint, there is no allegation against any LEAs / Intelligence Agency. The Missing Person went to Quetta from Rawalpindi on 4.10.2015 and confirmed his arrival in Quetta through SMS. However, he has been missing since then. All LEAs/ Intelligence Agencies have denied apprehension/ custody of Tayyab Abbasi. Hence, not a case of enforced disappearance. The case is closed.</t>
  </si>
  <si>
    <t>5818-K</t>
  </si>
  <si>
    <t>Imran Khan s/o Pervaiz Khan</t>
  </si>
  <si>
    <t>Pervaiz Khan, r/o House No. 020, Ghari Mosa Khan, Peshawar. (Mobile No. 0312-9065026 &amp; 0312-9699629)</t>
  </si>
  <si>
    <t>Deleted. According to CoIoED Regulations 2011, "Enforce Disappearance/Missing Person" means such person as he has been picked up/taken into custody by one of the law enforcement/intelligence agencies,working under the Civilian or military control, in a manner which is contrary to the provision of law. Statement of the complainant, Muhammad Pervaiz has also been recorded on oath. According to him, Muhammad Ismail was nominated by Mst. Noreen, wife of Imran Khan (missing person) and as a result of compromise between both the parties, Muhammad Ismail was acquitted by the Court.</t>
  </si>
  <si>
    <t>5819-I</t>
  </si>
  <si>
    <t>Raja Faisal Zafar s/o Zafar Iqbal</t>
  </si>
  <si>
    <t>Zafar Iqbal, r/o Mohallah Madani, Nai Abadi, Bahara Khao, Islamabad. (Mobile No. 0346-5226855)</t>
  </si>
  <si>
    <t>Deleted. During the course of investigation statements of as many as 35 witnesses were recorded u/s 161 CrPC by the I.O. It is stated that neither any LEA/Intelligence Agency was indicated in the FIR nor any evidence has come on record which can suggest that any agency is involved in the disappearance of Raja Faisal Zafar. It is also stated that six persons including four males and two females were nominated by the complainant Zafar Iqbal father of the alleged Missing Person. All of the nominated accused persons are stated to have been arrested by the Police. Hence, not a case of enforced disappearance.</t>
  </si>
  <si>
    <t>5820-K</t>
  </si>
  <si>
    <t>Noor Ali s/o Ali Muhammad Khan</t>
  </si>
  <si>
    <t>Usman Ali, r/o Village Ghala, Tehsil Katlang, District Mardan. (Mobile No. 0348-8850197 &amp; 0316-1804154 &amp; 0308-8077224).</t>
  </si>
  <si>
    <t>16103-0347070-9</t>
  </si>
  <si>
    <t>FIR No. 247 dated 06/04/2019 u/s 365 PPC PS Katlang, District Mardan.</t>
  </si>
  <si>
    <t>5821-K</t>
  </si>
  <si>
    <t>Dilawar s/o Nadir Khan</t>
  </si>
  <si>
    <t>Nadir Khan, r/o Hadier Colony, Mohallah No. 03, House No. 04, Peshawar. (Mobile No. 0302-9286645)</t>
  </si>
  <si>
    <t>Traced Person. Dilawar appeared before the Commission on 23/4/2019. According to him he was taken away by some unknown persons from his house on 29/3/2018 and was set free on 07/3/2019.</t>
  </si>
  <si>
    <t>5822-K</t>
  </si>
  <si>
    <t>Zabat Khan s/o Zota Khan</t>
  </si>
  <si>
    <t>Zota Khan, r/o Dew Dheri, P.O Yak Ghund, District Mohmand Agency. (Mobile No. 0301-5948486 &amp; 0306-3017527)</t>
  </si>
  <si>
    <t>5823-K</t>
  </si>
  <si>
    <t>Shakeel-ur-Rehman s/o Saleem Jan</t>
  </si>
  <si>
    <t>Mst. Haj Sardara, r/o House No. 371/24, Cannt Board, Noor Colony, Murree Road, Kala Pul, Abbottabad. (Mobile No. 0311-5905655)</t>
  </si>
  <si>
    <t>FIR No. 145 dated 13.3.2019 u/s 365 PPC PS Nawasher, District Abbottabad</t>
  </si>
  <si>
    <t>Traced Person. It has been reported by SP (Inv), Abbottabad that Shakeel-ur-Rehman was arrested by CTD vide case FIR No. 8 dated 19.8.2019 u/s 21/C, 11/N and 7 of ATA 1997. Mansoor-ur-Rehman his brother met him in PS CTD, Abbottabad. No further action is required. The case is closed.</t>
  </si>
  <si>
    <t>5824-P</t>
  </si>
  <si>
    <t>Iftikhar Ullah s/o Israr Ullah</t>
  </si>
  <si>
    <t>Jameel Ullah, r/o House No. 2115, Mohallah Agha Pura, Dheli Gate, Multan. (Mobile No. 0334-6117905)</t>
  </si>
  <si>
    <t>FIR No. 285/14 dated 01/1114 u/s 365 PPC, PS Dehli Gate , Multan</t>
  </si>
  <si>
    <t>5825-K</t>
  </si>
  <si>
    <t>Qamar Zaib s/o Awal Zaib</t>
  </si>
  <si>
    <t>Shah Zaib, r/o Qadam Khela, P.O Dargai, District Malakand. (Mobile No. 0344-6621795)</t>
  </si>
  <si>
    <t>Traced Person. Qamar Zaib has been traced. Rep of MI has submitted that Qamar Zaib is presently confined in the Internment Centre Fizagat. Shah Zaib b/o missing person is present. He has submitted that he has already met his brother in the Internment Centre Fizagat.</t>
  </si>
  <si>
    <t>5826-F</t>
  </si>
  <si>
    <t>Lal Bahadur s/o Habib-ur-Rehman</t>
  </si>
  <si>
    <t>Shamshad Ali, r/o Village Nawa Kali, Tehsil Parang, District Mohmand Agency. (Mobile No. 0300-7072570 &amp; 0333-8077376)</t>
  </si>
  <si>
    <t>21404-8957839-7</t>
  </si>
  <si>
    <t>5827-K</t>
  </si>
  <si>
    <t>Imran Khan s/o Roman Khan</t>
  </si>
  <si>
    <t>Roman Khan, r/o Mohallah Karam Khel, Tehsil &amp; District Peshawar. (Mobile No. 0341-5891147)</t>
  </si>
  <si>
    <t>Traced Person. Imran Khan has been traced. According to report received from Rep of MI, Imran Khan is confined in Internment Center Fort Salop.</t>
  </si>
  <si>
    <t>5828-K</t>
  </si>
  <si>
    <t>Akbar Saeed s/o Masal Khan</t>
  </si>
  <si>
    <t>Ismail Khan, r/o Khan Banda, Ghala, District Mardan. (Mobile No. 0310-9695400 &amp; 0300-3552532)</t>
  </si>
  <si>
    <t>16101-2853056-1</t>
  </si>
  <si>
    <t>FIR No. 244 dated 05/04/2019 u/s 365 PPC PS Katlang, District Mardan.</t>
  </si>
  <si>
    <t>5829-F</t>
  </si>
  <si>
    <t>Rehmat Ullah s/o Momin Khan</t>
  </si>
  <si>
    <t>Noor Muhammad, r/o Qambar Khel, Bara, Tehsil Bara, District Khyber Agency. (Mobile No. 0333-3999907)</t>
  </si>
  <si>
    <t>5830-F</t>
  </si>
  <si>
    <t>Khan Muhammad s/o Noor Muhammad</t>
  </si>
  <si>
    <t>Ali Muhammad, r/o Pandali Mohmand Agency. (Mobile No. 0308-4587740 &amp; 0305-4053341)</t>
  </si>
  <si>
    <t>5831-F</t>
  </si>
  <si>
    <t>Muhammad Ibrahim s/o Haji Khanzada</t>
  </si>
  <si>
    <t>Haji Khanzada, Khoga Khel, Khyber Agency. (Mobile No. 0314-6929974)</t>
  </si>
  <si>
    <t>5832-A</t>
  </si>
  <si>
    <t>Noor Ahmed s/o Ameer Khan</t>
  </si>
  <si>
    <t>Ameer Khan s/o Noor Muhammad F/o Missing Person r/o District &amp; Tehsil Palundri Sadhoti, P.O Trarhkhul, villege Balyuman, (House Haji Akber Khan Jundali Wall) . (Mobile No. 0346-5891765)</t>
  </si>
  <si>
    <t>FIR No.48/19 dated 27/7/2016 u/s 365 PPC, PSHajera, AJ&amp;K</t>
  </si>
  <si>
    <t>Traced Person. Ameer Khan f/o Noor Ahmed Traced Person is in attendance. His statement has been recorded on oath. In his statement he has deposed that his son Noor Ahmed is presently in Afghanistan. Noor Ahmed called him on 21.01.2021 from Afghanistan. Thereafter Ameer Khan and his wife went to Afghanistan and met Noor Ahmed on 25.01.2021. No further action is required. The case is closed.</t>
  </si>
  <si>
    <t>5833-K</t>
  </si>
  <si>
    <t>Muhammad Ayub Khan s/o Qalnder</t>
  </si>
  <si>
    <t>Nazia w/o Muhammad ayub r/o Shamozaie , Ghari, Swat</t>
  </si>
  <si>
    <t>5834-K</t>
  </si>
  <si>
    <t>Saif-ur-Rehman s/o Shamas-ur-Rehman</t>
  </si>
  <si>
    <t>Zahid -ur-Rehman, r/o Mohallah Rokhan Abad, Ghari Qamar Deen, Kohat Road, Peshawar. (Mobile No. 0333-9289494)</t>
  </si>
  <si>
    <t>Traced Person. SP (Inv) Peshawar appeared before on 26.4.19. According to him Saif-ur-Rehman was arrested by SHO PS/Gulberg Peshawar on 11.2.2019 and he was produced before the court of law and thereafter he was remanded to Judicial custody.</t>
  </si>
  <si>
    <t>5835-S</t>
  </si>
  <si>
    <t>Muhammad Jamal s/o Faqir Mian</t>
  </si>
  <si>
    <t>Ajmal Khan, r/o House No. 26, Mohallah Malka Nagar, Hala Naka, Hyderabad. (Mobile No. 0306-8578377 &amp; 0344-3949034)</t>
  </si>
  <si>
    <t>Deleted. The case has been described in detail by the JIT in its meeting held on 20.1.2020 which was attended among others by the brother of the Missing Person on 5.5.2019 which the Commission was approached in the year 2019 FIR No. 149/2019 dated 29.10.2019 was lodged on the direction of the Commission. In the FIR no allegation has been leveled against any LEAs there is no any eye witness of the incident. All circumstances narrated that the Missing Person might have gone on his own. It is not a case of enforced disappearance, Hence closed.</t>
  </si>
  <si>
    <t>5836-B</t>
  </si>
  <si>
    <t>Changiz Khan s/o Sultan Ali</t>
  </si>
  <si>
    <t>Mst. Zaib-un-Nisa, r/oHouse No. 7-5/23, Mohallah Haseenabad, Quetta. (Mobile No. 0306-3986683)</t>
  </si>
  <si>
    <t>Traced Person. It was informed at the hearing held in this case on 23.08.2021 by Changaiz Khan s/o Sultan Ali that he was abducted by unknown person s on 16.12.2017. He deposed in his statement that he neither identify the person who abducted him nor the placed where he was detained. Hence, no further action is required. The case is closed.</t>
  </si>
  <si>
    <t>5837-B</t>
  </si>
  <si>
    <t>Mukhtar Hussain</t>
  </si>
  <si>
    <t>Mst. Zaib-un-Nisa, r/oHouse No. 7-5/23, Mohallah Haseenabad, Quetta. (Mobile No.</t>
  </si>
  <si>
    <t>Traced Person. It was informed at the hearing held in this case on 23.08.2021 by Mukhtar Hussain that he was abducted by unknown person s on 16.12.2017. He deposed in his statement that he neither identify the person who abducted him nor the placed where he was detained. Hence, no further action is required. The case is closed.</t>
  </si>
  <si>
    <t>5838-B</t>
  </si>
  <si>
    <t>Imran Ali</t>
  </si>
  <si>
    <t>Traced Person. It was informed at the hearing held in this case on 23.08.2021 by Imran Ali that he was abducted by unknown person s on 16.12.2017. He deposed in his statement that he neither identify the person who abducted him nor the placed where he was detained. Hence, no further action is required. The case is closed.</t>
  </si>
  <si>
    <t>5839-S</t>
  </si>
  <si>
    <t>Shakar Khan Samad Khan</t>
  </si>
  <si>
    <t>Samad Khan, r/o Dera Bughti, Kashmore Road, Doli Check Post, Quetta. (Mobile No. 0331-0226202)</t>
  </si>
  <si>
    <t>5840-S</t>
  </si>
  <si>
    <t>Paind Khan s/o Samad Khan</t>
  </si>
  <si>
    <t>55101-8603316-7</t>
  </si>
  <si>
    <t>5841-K</t>
  </si>
  <si>
    <t>Muhammad Shah s/o Rangen Shah</t>
  </si>
  <si>
    <t>Sabir Shah r/o Zor Kalye Galne, Gulaye Khas , P.O Gulaye, Tehsile Haleem Zai, District Mohmand Agency. (Mobile No. 0302-83568584 &amp; 0346-9898977)</t>
  </si>
  <si>
    <t>5842-P</t>
  </si>
  <si>
    <t>Adnan Khan S/o Habib Khan</t>
  </si>
  <si>
    <t>Habib Khan R/o Bangish Colony, House No. 7267/ZB , Street No.18, Mohala Khyaban Iqbal , Sector 1,Rawalpindi. (Mobile No. 0333-5169731 &amp; 0310-0869078)</t>
  </si>
  <si>
    <t>Traced Person. According to the statement of Habib Khan, father of Adnan Khan, who appeared for hearing on 6.2.2020 and his statement was recorded, the said Adnan Khan was arrested in case FIR No, 01/2020 dated 19.1.2020 u/s Ao 13 (2A), 20/56 r/w 7ATA 4/5 ESA, PS CTD Sargodha and he is confined in district Jail Sargodha.</t>
  </si>
  <si>
    <t>5843-P</t>
  </si>
  <si>
    <t>Ahmed Mustafa Kanjoo s/o Muhammad Mubarak Khan Kanjoo</t>
  </si>
  <si>
    <t>Abdul Majeed Kanjoo U/o Missing Person R/o Kanjoo Mohallah, Rahim Yar Khan. (Mobile No. 0300-9679070)</t>
  </si>
  <si>
    <t>Traced Person. Ahmed Mustafa Kanjoo has been traced. He has returned home. JIT meeting was convened on 22.10.2020 at which it was confirmed by SI/IO of the case that Ahmed Mustafa Kanjoo has returned. No further action is required. The case is closed.</t>
  </si>
  <si>
    <t>5844-K</t>
  </si>
  <si>
    <t>Naseeb Gul s/o Khona Gul</t>
  </si>
  <si>
    <t>Mst. Nazira, r/o Tehsil &amp; District Swat. (Mobile No. 0341-9133669)</t>
  </si>
  <si>
    <t>5845-K</t>
  </si>
  <si>
    <t>Abdul Khaliq s/o Fazal Malik</t>
  </si>
  <si>
    <t>Mst. Bakhtai Rokhana, r/o Mam Dheri, Tehsil Kabal, District Swat. (Mobile No.0348-9049938 &amp; 0344- 9881997)</t>
  </si>
  <si>
    <t>15602-7987598-9</t>
  </si>
  <si>
    <t>FIR No.170 dated 058-04-2019 u/s 365 PPC Police Station Kanju Swat.</t>
  </si>
  <si>
    <t>5846-K</t>
  </si>
  <si>
    <t>Muhammad Zahid s/o Ali Haider</t>
  </si>
  <si>
    <t>Mst. Musarat, r/o Mohallah Shahdeen, Koza Bandi, Tehsil Kabal, District Swat. (Mobile No. 0333-9490817)</t>
  </si>
  <si>
    <t>15602-0416772-5</t>
  </si>
  <si>
    <t>5847-P</t>
  </si>
  <si>
    <t>Muhammad Ibrar Khursheed Awan s/o Shahwali</t>
  </si>
  <si>
    <t>Shahwali, r/o House No. E-205/1, Mohallah General Ansari Road, Gulshan Colony, Airport Road, Lahore. (Mobile No. 0300-4304690 &amp; 0312-6554966)</t>
  </si>
  <si>
    <t>5848-P</t>
  </si>
  <si>
    <t>Bilawal Hussain s/o Muhammad Ishaq</t>
  </si>
  <si>
    <t>Sajawal, r/o Mohallah Paracha Colony, Shahdara Town, Lahore. (Mobile No. 0323-4307632)</t>
  </si>
  <si>
    <t>Traced Person. Sajwal Ishaq complainant has entered appearance before the Commission on 10.2.2020, whose statement has been recorded on oath. He has deposed that Bilawal Hussain is his brother, who was abducted on 15.1.2019. He also stated that his lawyer had informed them on 18.10.2019 that his missing brother Bilawal is confined in Central Jail, Bahawalpur. Thereafter myself, my mother and maternal uncle went to Bahawalpur and met with him in the Jail. He further submitted that his brother has been awarded five years’ punishment by the ATC Court Bahawalpur on 23.1.2020.</t>
  </si>
  <si>
    <t>5849-K</t>
  </si>
  <si>
    <t>Syed Hamza Hassan s/o Syed Hassan Mehmood</t>
  </si>
  <si>
    <t>Syed Hassan Mehmood, r/o Inayat Ghari, Ring Road, Peshawar. (Mobile No. 0333-9145110 &amp; 0310-9225718)</t>
  </si>
  <si>
    <t>Traced Person. Syed Hamza Hussain has been traced. Noor Ullah Jan Inspector/SHO CTD, Peshawar is present. He has furnished a report dated 9/7/2018. According to this report Syed Hamza Hassan was arrested vide case FIR No. 39 dated 14/6/2019 u/s 5 Exp-15AA-34-11(N)-ATA PS CTDm Peshawar. Remand for three days obtained and thereafter Syed Hamza Hassan was sent to Central Jail, Peshawar.</t>
  </si>
  <si>
    <t>5850-S</t>
  </si>
  <si>
    <t>Muhammad Adil Khan s/o Muhammad Saeed Khan</t>
  </si>
  <si>
    <t>Mst. Zainab-un-Nisa, r/o House No. 14/28, Flat No. 201, Ghousia Arkade, Sector No. 5/E, Nizamabad, Karachi. (Mobile No. 0349-2585696)</t>
  </si>
  <si>
    <t>5851-K</t>
  </si>
  <si>
    <t>Liaquat Ali s/o Muhammad Khan</t>
  </si>
  <si>
    <t>Mst. Bacha Sardara, r/o Village Manjam Totanu Bandai, Kabal, Swat. (Mobile No. 0341-7713747)</t>
  </si>
  <si>
    <t>Traced Person. Liaquat Ali has been traced; he is presently confined in Internment Center Paithom. Amjad Ali brother of Liaquat Ali is present. His statement has been recorded on oath. He has deposed that he has met his brother in the Internment Center paithom.</t>
  </si>
  <si>
    <t>5852-K</t>
  </si>
  <si>
    <t>Rahim Ullah s/o Bakhmal Khan</t>
  </si>
  <si>
    <t>Mst. Salah Bibi, r/o Kabal Swat. (Mobile No. 0343-5591138)</t>
  </si>
  <si>
    <t>Traced Person. Afsar Zaman, DSP (Inv) Swat has appeared whose statement has been recorded on oath. According to him Rahim Ullah s/o Bakhmal Khan has been traced and presently he is detained in Internment Centre, Paithom, Swat. He submitted affidavit of Mst. Saleha Bibi confirmed meeting.</t>
  </si>
  <si>
    <t>5853-K</t>
  </si>
  <si>
    <t>Muhammad Naeem s/o Saleem</t>
  </si>
  <si>
    <t>Mst. Shamim, r/o Touta Bandi, Kabal Swat. (Mobile No. 0348-9234735)</t>
  </si>
  <si>
    <t>Traced Person. Brother and father of Muhammad Naeem appeared before the Commission on 25.4.2019. According to them, Muhammad Naeem was arrested by FIA on 16.3.2016 from Peshawar Airport on his arrival from Dubai. According to Tariq Ahmed, his brother was detained in Paithom Internment Centre where he met his brother twice.</t>
  </si>
  <si>
    <t>28th Feb, 2019</t>
  </si>
  <si>
    <t>5854-F</t>
  </si>
  <si>
    <t>Faisal Khan s/o Walat Khan</t>
  </si>
  <si>
    <t>Zakir Ullah Khan, r/o Khara Dama, Tehsil Jamrood, District Khyber Agency. (Mobile No. 0337-9915975 &amp; 0345-9131182)</t>
  </si>
  <si>
    <t>Traced Person. DPO, District Khyber informed at the hearing in this Commission that Faisal Khan had returned home. Rep of MI also confirmed. No further action is required. The case is closed.</t>
  </si>
  <si>
    <t>01st March, 2019</t>
  </si>
  <si>
    <t>5855-K</t>
  </si>
  <si>
    <t>Taj Muhammad s/o Ghulam Hussian</t>
  </si>
  <si>
    <t>Ajdar Khan, r/o Tehsil Lal Qila, Lower Dir. (Mobile No. 0300-5833235)</t>
  </si>
  <si>
    <t>5856-K</t>
  </si>
  <si>
    <t>Khizar Ali s/o Kishwar Ali</t>
  </si>
  <si>
    <t>Umar Ali, r/o Mohallah Abar Kheli, Tehsil &amp; District Nowshera. (Mobile No. 0313-9090563)</t>
  </si>
  <si>
    <t>5857-F</t>
  </si>
  <si>
    <t>Niamat Ullah s/o Meran Gul</t>
  </si>
  <si>
    <t>Amal Jan, r/o Bar Qambar Khel, Sur Khas, P.O Bara, Khyber Agency. (Mobile No. 0306-9875014)</t>
  </si>
  <si>
    <t>5858-B</t>
  </si>
  <si>
    <t>Muhammad Hanif s/o Muhammad Anwar</t>
  </si>
  <si>
    <t>Mst. Nazneen, r/o House No. 4-25/41-A, Prince Road, Abdullah Jan Street, Near Rahat Cineme, Quetta. (Mobile No. 0333-7944600)</t>
  </si>
  <si>
    <t>Traced Person. Muhammad Hanif s/o Muhammad Anwar appeared before the Commission on 4.11.2020 at Quetta, whose statement was recorded on oath in which he was deposed that he along with Shah Zaib while travelling from Quetta to Qilla Abdullah on 30th July, 2017 were stopped by FC personnel at 11:00 p.m. at Shala Bagh Check post. He has further deposed that both of them were taken into custody by unknown persons, who were in civvies and taken away both of them blindfolded to some unknown place. He stated that he was released on 25.8.2020 near Mach from where he reached home. No further action is required. The case is closed.</t>
  </si>
  <si>
    <t>5859-B</t>
  </si>
  <si>
    <t>Kamran Siddiqui s/o Muhammad Ayub</t>
  </si>
  <si>
    <t>Mst. Azra Ayub, r/o Haji Baqi Road, Satellite Town, Quetta. (Mobile No. 0336-8162064)</t>
  </si>
  <si>
    <t>FIR No. 223/2017 u/s 365-34 PPC, P.S Satellite Town, Quetta</t>
  </si>
  <si>
    <t>Traced Person. Kamran Siddiqui s/o Muhammad Ayub appeared before the Commission on 3.9.2020, whose statement was recorded on oath. According to him, he was picked up and taken away by some unknown persons who kept him at some unknown place and subsequently set free 4/5 days ago. He has further stated that he was not in a position to identify those persons, who picked him and took away. Since Kamran Siddiqui has been traced and no more a Missing Person, therefore no further proceedings are required to be taken by the Commission. The case is closed.</t>
  </si>
  <si>
    <t>5860-F</t>
  </si>
  <si>
    <t>Ashana Gul s/o Ajab Khan</t>
  </si>
  <si>
    <t>04/15/2017</t>
  </si>
  <si>
    <t>Minar Gul, r/o Qambar Abad, Market , Bara, Khyber Agency. (Mobile No. 0309-9190254 &amp; 0346-9735985)</t>
  </si>
  <si>
    <t>5861-B</t>
  </si>
  <si>
    <t>Abudl Haleem s/o Muhammad Karim</t>
  </si>
  <si>
    <t>Abdul Karim, r/o Kuli Shahnawaz, Siryab Road, Quetta. (Mobile No. 0331-3909796)</t>
  </si>
  <si>
    <t>FIR No.44/2019 u/s 365-34 PPC, P.S New Sariab, Quetta</t>
  </si>
  <si>
    <t>5862-B</t>
  </si>
  <si>
    <t>Mehrab Khan s/o Sultan Muhammad</t>
  </si>
  <si>
    <t>Naimat Ullah, r/o Kuli Kakar Abad, Pashtoon Bagh, Samangali Road, Quetta. (Mobile No. 0310-8233311 &amp; 0321-8010018)</t>
  </si>
  <si>
    <t>FIR No. 81/2016 u/s 365-34 PPC, P.S Kharotabad, Quetta</t>
  </si>
  <si>
    <t>5863-B</t>
  </si>
  <si>
    <t>Ahmed Zia s/o Muhammad Ismail</t>
  </si>
  <si>
    <t>Muhammad Ismail, r/o Kuli Geo, Siryab Road, Quetta. (Mobile No. 0310-8195730 &amp; 0333-7815727)</t>
  </si>
  <si>
    <t>FIR No. 12/2019 u/s 365-34 PPC, P.S Bihli Road, Quetta</t>
  </si>
  <si>
    <t>Deleted. SSP (Inv), Quetta submitted at the hearing on 3.9.2020, that last JIT meeting was held on 20.8.2020, wherein the case was categorized as Missing Person has gone on his own as no eye witness at the incident was available. Muhammad Ismail, f/o Ahmed Zia also entered appeared, whose statement was recorded on oath. He deposed that he had not levelled and allegation against any of LEAs/ Intelligence Agency in his application and FIR. All LEAs / Intelligence Agencies have denied apprehension /custody of Ahmed Zia. Hence not a case of enforced disappearance. The case is closed.</t>
  </si>
  <si>
    <t>5864-B</t>
  </si>
  <si>
    <t>Syed Mohib Ullah s/o Syed Ahmed Ullah</t>
  </si>
  <si>
    <t>Syed Ameen Ullah, r/o Airport Road, Kuli Syedan, Quetta. (Mobile No. 0305-8023690 &amp; 0310-8082993)</t>
  </si>
  <si>
    <t>Traced Person. Syed Amin Ullah brother of Syed Mohib Ullah appeared before the Commission, whose statement has been recorded on oath. According to him his brother was abducted on 23/6.2019 from Killi Khurramzai by some unknown persons. He has further stated that his brother was set free on 13/4/2019 and returned home.</t>
  </si>
  <si>
    <t>5865-I</t>
  </si>
  <si>
    <t>Abdul Rauf s/o Muhammad Iqbal</t>
  </si>
  <si>
    <t>Ghulam Farooq, r/o Village Chocha Shekhia, Lohi Bher, Islamabad. (Mobile No. 0334-5260746)</t>
  </si>
  <si>
    <t>104 dated 01/4/2019 u/s 364 PPC PS Lohi Bher District, Islamabad</t>
  </si>
  <si>
    <t>Deleted. Investigation in this case revealed that no allegation has been levelled against any LEAs even by the Complainant. All stakeholders denied his arrest/ apprehension JIT and PTF concluded that the Missing Person gone his own. No EW of any incident of abduction has come on record. Hence, not a case of enforced disappearance. The case is closed.</t>
  </si>
  <si>
    <t>5866-K</t>
  </si>
  <si>
    <t>Izat Mand s/o Muhammad Yousaf</t>
  </si>
  <si>
    <t>Mst. Amina, r/o Tota Bandi, Tehsil Kabal, District Swat. (Mobile No. 0342-1073211)</t>
  </si>
  <si>
    <t>5867-K</t>
  </si>
  <si>
    <t>Khaista Rehman s/o Fazal Rehman</t>
  </si>
  <si>
    <t>Wali Rehman, r/o Sadiu Sharif, District Swat. (Mobile No. 0340-0935039)</t>
  </si>
  <si>
    <t>15602-0447607-1</t>
  </si>
  <si>
    <t>FIR No. 164 dated 27/03/2019 u/s 365 PPC, PS Sadiu Sharif, District Swat.</t>
  </si>
  <si>
    <t>Deleted. After thorough investigation, JIT and PTF concluded that the “Missing Person has gone on his own” as no clue could be found to indicate involvement of any Law Enforcement / Intelligence Agency in his disappearance. All stakeholders denied his arrest / custody. The complainant was summoned twice for recording his statement but he did not turn up. It may also be mentioned that the occurance took place on 7.1.2001 and the complaint was received on 20.2.2019. Hence, the case is closed not being a case of enforced disappearance.</t>
  </si>
  <si>
    <t>5868-K</t>
  </si>
  <si>
    <t>Subhan Ullah s/o Sher Alam</t>
  </si>
  <si>
    <t>Mst. Shugafta Bibi, r/o Pero Khel, Dara Adam Khel, FR, Kohat. (Mobile No. 0341-2382296)</t>
  </si>
  <si>
    <t>Deleted. After preliminary investigation and conclusions arrived at JIT/ PTF that the Mission Person had gone on his own. The statement of Mst. Shagufata Bibi (wife of Subhan Ullah) was recorded on oath in which she deposed that she had levelled any allegations against any LEAs. All stakeholders have denied apprehension / detention of the Mission Person and that was no eye witness of the abduction. Hence, not a case of enforced disappearance. The case is closed.</t>
  </si>
  <si>
    <t>5869-GB</t>
  </si>
  <si>
    <t>Muhammad Bilal s/o Jumma Khan</t>
  </si>
  <si>
    <t>Jumma Khan, r/o Rehman Pur, Shuntar, District Astore.</t>
  </si>
  <si>
    <t>Deleted. Keeping in view the circumstances of the case, statements of father and wife of Muhammad Bilal on Affidavits and the statements of Jumma Khan, Mst. Shabnam and witness Rehmat Din s/o Altaf Shah recorded by IO u/s 161 CrPC and report of SP, Astore the matter hardly falls within the ambit of enforced disappearance as there is no allegation against any LEAs/ Intelligence Agency, therefore further proceedings by the Commission are closed.</t>
  </si>
  <si>
    <t>5870-P</t>
  </si>
  <si>
    <t>Muhammad Shabbir s/o Muhammad Ashraf</t>
  </si>
  <si>
    <t>Muhammad Shafique, r/o Chamber No 19, District Court, Rahim Yar Khan. (Mobile No. 0300-6745247)</t>
  </si>
  <si>
    <t>FIR No.252/09 dated 10-07-2009 u/s 364 PPC PS Iqbalabad district Rahim yar khan.</t>
  </si>
  <si>
    <t>5871-S</t>
  </si>
  <si>
    <t>Muhammad Saleem s/o Abdul wahid</t>
  </si>
  <si>
    <t>Mst. Shaheena w/o Muhammad Saleem r/o House no. 619, Gali no 16, Lahndi no. 2, 34/D.(Mobile No. 0316-8072304 &amp; 0310-1199946)</t>
  </si>
  <si>
    <t>Deleted. The contents of FIR dated 22.12.2017 indicate that it is a case of Kidnapping, JIT concluded that the Missing Person has gone on his own due to criminal record against him. There is no allegation against any LEAs, hence the case is deleted.</t>
  </si>
  <si>
    <t>5872-B</t>
  </si>
  <si>
    <t>Shanshah s/o Nawab Khan</t>
  </si>
  <si>
    <t>Nawab Khan r/o Mohala Andoway Khail, Sher Kerah, Peshawar.(Mobile No. 0303-8841123 &amp; 0347-9904561)</t>
  </si>
  <si>
    <t>Deleted. Mr. Asad Nasir, SSP (Inv), Quetta appeared before the Commission and submitted that last JIT meeting was held on 24.12.2029, wherein the case was categorized as Missing Person has gone on his own. The case was also considered by PTF in its meeting held on 20.2.202 and agree with the conclusion drawn by the JIT. All LEAs/ Intelligence Agencies have denied apprehension/ custody of Shahenshah. Hence not a case enforced disappearance. The case is closed.</t>
  </si>
  <si>
    <t>5873-K</t>
  </si>
  <si>
    <t>Naveed Ullah s/o Anwar Ali</t>
  </si>
  <si>
    <t>Mst. Shahmeem r/o Mohala Khwaidad khal, oud yaghram, tehsil babuzaie, District Swat. (Mobile No. 0343-9636033)</t>
  </si>
  <si>
    <t>5874-K</t>
  </si>
  <si>
    <t>Umer Farooq s/o Abdul Jabbar</t>
  </si>
  <si>
    <t>Mst. Taj Mehal r/o Mohala Mian GanuCham, Koza Bandi, Tehsil &amp; District Swat. (Mobile No. 0346-9282228 &amp; 0346-9481172)</t>
  </si>
  <si>
    <t>15602-7925670-3</t>
  </si>
  <si>
    <t>5875-K</t>
  </si>
  <si>
    <t>Naiaz Ali s/o Abdul Haq</t>
  </si>
  <si>
    <t>Abdul Mateen, c/o Muhammad Younas r/o ,08th Floor NICL Building, Jinnah Avenue, Blue Area, Islamabad. (Mobile No.0334-5133677 &amp; 0336-8866286)</t>
  </si>
  <si>
    <t>5876-S</t>
  </si>
  <si>
    <t>Jibbran Fareed s/o Muhammad Fareed Khan</t>
  </si>
  <si>
    <t>Muhammad Yasir Fareed r/o House No. 203-T, Gali Abdullah Khan, Mohala Loharaan, Tehsil Hawlian, District Abbotabad. (Mobile No. 0316-5915800 &amp; 0300-5623076)</t>
  </si>
  <si>
    <t>Traced Person. It was informed at the hearing held in this Commission on 29.09.2021 that Jibran Fareed is confined in Internment Centre in terms of Action (in aid of Civil) Regulations, 2011 Malakand. Muhammad Yasir Fareed brother of Missing Person deposed in his statement dated 25.09.2021 that he met his brother in the Internment Centre. The case is closed.</t>
  </si>
  <si>
    <t>5877-S</t>
  </si>
  <si>
    <t>Hamza Tahir s/o Tahir Akhtar Khan</t>
  </si>
  <si>
    <t>Traced Person. It was informed at the heaing held in this Commission on 30/7/2019 that Hamza Tahir has returned to home. The report submitted by SDPO, Nazimabad, Karachi is placed on record.</t>
  </si>
  <si>
    <t>5878-F</t>
  </si>
  <si>
    <t>Ayub khan s/o Hakim Khan</t>
  </si>
  <si>
    <t>Riaz r/o Qoam Ber Qember Khail, Wand Gare, Sapeen Dhande, P.O Barah, Tehsil Khaiber Agency, Bajhor Khajori. (Mobile No. 0333-9898574)</t>
  </si>
  <si>
    <t>5879-S</t>
  </si>
  <si>
    <t>Muhammad Yaseen s/o Ghulam Hussain</t>
  </si>
  <si>
    <t>Mst. Saima Bano r/o Turk Colony, Gali No, House No.1727/460, Karachi, Thana No.3, Baldia Town, Karachi. (Mobile No. 0321-2702375)</t>
  </si>
  <si>
    <t>5880-K</t>
  </si>
  <si>
    <t>Muhammad Farooq s/o Muhammad Ayub</t>
  </si>
  <si>
    <t>Mst. Bakht Jabeena r/o Qoam Mamozai, Tapa Sapaye Haal, Baqi Zaie, District Kohat. (Mobile No. 0331-9025880)</t>
  </si>
  <si>
    <t>Traced Person. Muhammad Farooq has reported to have returned to home. Letter of DPO Kohat dated 21.5.2019 and the statement of Muhammad Farooq, Musa Khan and Mst. Bakhat Jabina (mother of Muhammad Farooq) are available on record.</t>
  </si>
  <si>
    <t>5881-P</t>
  </si>
  <si>
    <t>Umer khursheed khan s/o Muhammad khursheed khan</t>
  </si>
  <si>
    <t>Muhammad khursheed khan r/o Village Jhandalie, Tehsil Rawalakot, P.O Chota Gala, District Ponch,AJ&amp;K. (Mobile No. 0345-8783415)</t>
  </si>
  <si>
    <t>Traced Person. Umer Khursheed Khan has been traced. He is presently confined in District Jail Bahawalpur in case FIR No. 83 dated 21/6/2019 u/s 3/4 ESA r/w A TA PS, CTD, Multan. SHO New Town is present. He has submitted report dated 19/7/2019 which has been placed on record.</t>
  </si>
  <si>
    <t>5882-P</t>
  </si>
  <si>
    <t>Muhammad Tufail s/o Waliat Khan</t>
  </si>
  <si>
    <t>Muhammad Raza r/o Shamsabad, Dhok Kala Khan, Ander Hadod Municipal Corporation, Rawalpindi.(Mobile No. 0334-3499191)</t>
  </si>
  <si>
    <t>Traced Person. Complainant Muhammad Raza s/o Waliat Khan was present before the Commission on 20.6.2019, whose statement has been recorded on oath. According to him, his brother Muhammad Tufail had gone to Lahore on 4.3.2019 and returned back after about 45 days to home.</t>
  </si>
  <si>
    <t>5883-P</t>
  </si>
  <si>
    <t>Ghazanfar Hussain s/o Haji Musarat Khan</t>
  </si>
  <si>
    <t>Mustafar Hussain r/o House No.220, Block No.4, Joharabad, Tehsil &amp; District Khushab. (Mobile No. 0301-66772284 &amp; 0300-6066974).</t>
  </si>
  <si>
    <t>Deleted. The Commission perused the relevant record and found FIR No, 126 dated 8.4.2019 u/s 365 PPC PS, City, Jauharabad district Khushab registered on the report of Mustansar Hussain no allegation was leveled against any LEAs/ Intelligence Agency. A comprehensive report has also been furnished by DPO, Khushab which indicates that the matter does not fall within the domain of enforced disappearance and the incident took place due to some domestic dispute details whereof have been mentioned elaborately in the report. Hence the case is closed.</t>
  </si>
  <si>
    <t>5884-K</t>
  </si>
  <si>
    <t>Atta Ullah s/o Ahad Gul</t>
  </si>
  <si>
    <t>Ahad Gul r/o Mehmand Koruna, Dir Colony, Raig Road, Police Station Bala Mari, Peshawar City. (Mobile No. 0336-0091428).</t>
  </si>
  <si>
    <t>Traced Person. Atta Ullah has been traced. He is presently confined in internment Center Lakki Marwat. Ahad Gul father of the traced person is present. His statement has been recorded on oath. He has submitted that his son is confined in internment center Lakki Marwat and he has already met him in the aforementioned Internment Center.</t>
  </si>
  <si>
    <t>5885-P</t>
  </si>
  <si>
    <t>Shahzad Asghar s/o Asghar Ali</t>
  </si>
  <si>
    <t>Faiaz Asghar r/o Village Mianwaal, P.O Berjkala, Police Station Ghanda Singh Waal, Tehsil &amp; District Kasur. (Mobile No. 0300-6593041).</t>
  </si>
  <si>
    <t>Traced Person. It is pointed out at the outset by DPO, Kasur that presently Shehzad Asghar is under detention and a case has been registered under Official Secret Act. In view of what has been mentioned hereinabove no further action is required to be taken by the Commission. The name of Shahzad Asghar be deleted from the list of enforced disappearance person and let the law take its own course.</t>
  </si>
  <si>
    <t>5886-K</t>
  </si>
  <si>
    <t>Iqbal Hussain s/o Ahmed Habib Ullah</t>
  </si>
  <si>
    <t>Galib Hussain r/o Mohala Mian, Village Showa, Tehsil Chakdara, District Lower Dir, KPK. (Mobile No. 0345-5428637 &amp; 0346-93914731).</t>
  </si>
  <si>
    <t>Traced Person. Iqbal Hussain has been traced. He is presently confined in Internment Centre Paithom as per report submitted by Rep of MI. Family members of Iqbal Hussain shall be facilitated to see him in the Internment Centre as per rules and procedure.</t>
  </si>
  <si>
    <t>5887-K</t>
  </si>
  <si>
    <t>Ameer Zaib s/o Jhanger Khan</t>
  </si>
  <si>
    <t>Anwar Zaib r/o Mohala Mian, Village Showa, Tehsil Chakdara, District Lower Dir, KPK. (Mobile No.0346-9388549 ).</t>
  </si>
  <si>
    <t>Traced Person. Ameer Zaib has been traced. According to report received from Rep of MI Ameer Zaib has been awarded death sentence by military court and presently he is confined in District Jail Kohat.</t>
  </si>
  <si>
    <t>5888-S</t>
  </si>
  <si>
    <t>Muhammad Amir s/o Babu Khan</t>
  </si>
  <si>
    <t>Seerat Bibi w/o Missing Person r/o 1D,House No.43/12, Lahndi No.6, Karachi. (Mobile No. 0346-2944507).</t>
  </si>
  <si>
    <t>Traced Person. It was informed at the hearing held in this Commission on 21.5.2019 that Muhammad Amir has returned to home. The report submitted by the Police Officer SHO, Landhi is placed on record.</t>
  </si>
  <si>
    <t>5889-B</t>
  </si>
  <si>
    <t>Muhammad Zafar s/o Ghulam Muhammad</t>
  </si>
  <si>
    <t>Muhammad Zahid r/o Kalye Tarkha Rustam Chok, Police Station Barore Near B.MC, Quetta (Mobile No. 0334-2402180 &amp; 081-9201395 &amp; 0335-0409399).</t>
  </si>
  <si>
    <t>Trace Person. Muhammad Zafar appeared before the commission on 01/04/2019, whose statement was recorded according to him he was picked up and taken away by unknown persons on 14/07/2017 and set free on 17/03/2019.</t>
  </si>
  <si>
    <t>home &amp; Tribal Affairs Department, Balochistan</t>
  </si>
  <si>
    <t>5890-B</t>
  </si>
  <si>
    <t>Juma Khan s/o Muhammad Jan</t>
  </si>
  <si>
    <t>Mosa Khan r/o Bdal Khan Pathan Goath, Near Haji Murad Gujjar Goath, Thathar Hub, Police Station Hight Hub, District Lasbela(Mobile No. 0314-9607676).</t>
  </si>
  <si>
    <t>Traced Person. Jumma Khan appeared before the commission on 01/04/2019, whose statement was recorded, according to which he was abducted by unknown persons on 09/12/2018 and reveled on 17/03/2019.</t>
  </si>
  <si>
    <t>5891-B</t>
  </si>
  <si>
    <t>Gul Muhammad S/o Naik Muhammad</t>
  </si>
  <si>
    <t>Muhammad Arif r/o Kalye Coustem Kowa, Sultan, P.O Nokandi, Tehsil Nokandi, District Chagi. (Mobile No. 0336-3840819).</t>
  </si>
  <si>
    <t>Traced Person. It has been informed at the hearing held in this Commission at Quetta that Gul Muhammad s/o Naik Muhammad is confined in Mach Jail. Family informed. The case is closed.</t>
  </si>
  <si>
    <t>5892-B</t>
  </si>
  <si>
    <t>Abdullah Jan Kakerh S/O Haji Muhammad Ismail Kakerh</t>
  </si>
  <si>
    <t>Ameen Ullah r/o Air Poart Road, Mohalla Kalye Shaikh, Manda, Police Station Air Poart, Quetta. (Mobile No. 0302-3804649).</t>
  </si>
  <si>
    <t>FIR No. 52/2019 u/s 365-34 PPC, P.S Airport, Quetta</t>
  </si>
  <si>
    <t>Traced Person. Abdullah Kakar appeared before the Commission on 25.6.2019. His statement was recorded on oath. He stated that he was abducted by unknown persons and set free on 28.5.2019.</t>
  </si>
  <si>
    <t>5893-K</t>
  </si>
  <si>
    <t>Ali Ehsan s/o Saeed Khan</t>
  </si>
  <si>
    <t>Lal Moona r/o Kate Sarghareby, Kalaghai, P.O Lakry, Thesil safi, District Mohammad Agency. (Mobile No. 0308-2328885 &amp; 0303-9000169).</t>
  </si>
  <si>
    <t>5894-K</t>
  </si>
  <si>
    <t>Fazle Mola s/o Rehman Ullah</t>
  </si>
  <si>
    <t>Shabnam Bibi w/o Fazle Mola r/o Mahad Khan Core, P.O Lakry, Ziarat Adim Zai Kaly, Tehsil Safi, District Mohammad Agency. (Mobile No. 0343-9473672 &amp; 0340-4882451).</t>
  </si>
  <si>
    <t>5895-P</t>
  </si>
  <si>
    <t>Muhammad Usman s/o Muhammad Fazal</t>
  </si>
  <si>
    <t>Muhammad Masaud r/o Siakh, Tehsil Dadyal, Mirpur, Azad Kashmir.(Mobile No. 0345-5476628 &amp; 0302-5899402).</t>
  </si>
  <si>
    <t>Traced Person. Muhammad Usman has been traced. He appeared before the Commission on 4.4.2019. His statement has been recorded on oath.</t>
  </si>
  <si>
    <t>5896-P</t>
  </si>
  <si>
    <t>Imran Khan Kayani s/o Muhammad Azam Khan Kayani</t>
  </si>
  <si>
    <t>Sultan Mehmood Kayani r/o House No.136, Gali No.1, Modle Town, Hamak Zimni, Islamabad. (Mobile No. 0335-5105018 &amp; 0334-5061089).</t>
  </si>
  <si>
    <t>Traced Person. It was informed at the hearing on 29/03/2019 that Imran Khan Kiyani has returned to home. He appeared before the Commission and his statement was recorded.</t>
  </si>
  <si>
    <t>5897-K</t>
  </si>
  <si>
    <t>Sakhi Gul s/o Haji Haleem Gul</t>
  </si>
  <si>
    <t>Haji Haleem Gul r/o Shaikano Kalye, Wahid Garhi, Tehsil &amp; District Peshawar. (Mobile No. 0302-5512905 &amp; 0336-1099859).</t>
  </si>
  <si>
    <t>5898-S</t>
  </si>
  <si>
    <t>Faisal Khan s/o Muhammad Umer Khan</t>
  </si>
  <si>
    <t>Mst. Ghulam Fatima r/o House No. 1726/468, Mohala Jaam Nagar, Near National Bank, Baldiyah Town, Karachi. (Mobile No. 0312-2196749).</t>
  </si>
  <si>
    <t>Traced Person. It was informed at the hearing held in this Commission on 12.6.2019 that Faisal Khan Khan has returned to home. He appeared before the Commission report of PS Baldalia Town also confirm.</t>
  </si>
  <si>
    <t>5899-B</t>
  </si>
  <si>
    <t>Dawood Hussain s/o Ghulam Hussain</t>
  </si>
  <si>
    <t>Asif Hussain, r/o Street Mastung, Tandan, Balochistan (Mobile No. 0335-0326369)</t>
  </si>
  <si>
    <t>Deleted. It has been reported by Hasin Qambrani Inspector/IO Hub City that in FIR No. 98/2019 dated 12.4.2019 u/s 365/34 PPC was registered at PS Hub City in the complainant of Asif Hussain, there is no allegation for abduction of Dawood Hussain against any of the LEAs. Intelligence Agency. Complainant, Asif Hussain also appeared before the Commission, whose statement has been recorded on oath. He has stated that in his application he has not nominated/indicated any of the LEAs/Intelligence Agency for abduction of Dawood Hussain. Hence, not a case of enforced disappearance. The case is closed.</t>
  </si>
  <si>
    <t>5900-K</t>
  </si>
  <si>
    <t>Abid Ullah s/o Anwar Shah</t>
  </si>
  <si>
    <t>Anwar Shah, r/o Alam Khani, Sheikh Mil Khel, Shinawari, Landi Kotal, Khyber Agency. (Mobile No. 0301-8986855 &amp; 0307-5957055)</t>
  </si>
  <si>
    <t>Traced Person. Anwar Shah f/o Abid Ullah appeared before the Commission on 19.12.2019 and his statement was recorded in which he stated that his son disappeared on 15.3.2018 that his returned home on 14.10.2019 who is present at his native residence and due to sickness could not appear before the Commission. He further stated that Abid Ullah went to the Punjab on his own and could not intimate his whereabouts to the family in time.</t>
  </si>
  <si>
    <t>5901-K</t>
  </si>
  <si>
    <t>Fazal Rehman s/o Gul Badshah</t>
  </si>
  <si>
    <t>Muhammad Zahir Khan, r/o P.O Akhora Khatak, Tehsil &amp; District Nowshera. (Mobile No. 0300-5725742)</t>
  </si>
  <si>
    <t>fir no. 244 dated 14/5/2019 u/s 365 ppc p.s Akora Khatak District Noshrah</t>
  </si>
  <si>
    <t>Traced Person. Fazal Rehman has been traced. He is presently confined in the Internment Center Lakki Marwat. Muhammad Zahir Khan, father-in-law of missing person is present. He has affirmed that Fazal Rehman is admitted in CMH, Bannu and he alongwith his daughter met with Fazal Rehman.</t>
  </si>
  <si>
    <t>5902-K</t>
  </si>
  <si>
    <t>Umar Rehman s/o Saeed Rehman</t>
  </si>
  <si>
    <t>Ehsan-ul-Haq, r/o Mohallah Ismail Khel, Nawa Kilay, Mingora, Swat. (Mobile No. 0345-9524038)</t>
  </si>
  <si>
    <t>Fir No. 555 dated 12/9/2014 u/s 365 ppc Ps Banr Swat</t>
  </si>
  <si>
    <t>2179-K same case</t>
  </si>
  <si>
    <t>5903-K</t>
  </si>
  <si>
    <t>Rahim Khan s/o Momin Khan</t>
  </si>
  <si>
    <t>15602-6462532-3</t>
  </si>
  <si>
    <t>FIR No. 532 dated 26.4.2019 u/s 365 PPC, PS Takht bhai, Mardan</t>
  </si>
  <si>
    <t>5904-P</t>
  </si>
  <si>
    <t>Ashir Rashid s/o Abdul Rashid</t>
  </si>
  <si>
    <t>Mst. Fatima Ashir, r/o House No. NE- 1119, Street 18, Mohallah Dhoke, Hukam Dad, Rawalpindi. (Mobile No. 0345-5249009)</t>
  </si>
  <si>
    <t>FIR No. 33/19 dated 21/03/2019 u/s 365 PPC, PS New Airport, District Attock</t>
  </si>
  <si>
    <t>Traced Person. Ashir Rashid has been traced, he has returned home. Statements of Abid Hussain SHO New Airport and Taimoor Khan SP (Inv) Attock have been recorded.</t>
  </si>
  <si>
    <t>5905-P</t>
  </si>
  <si>
    <t>Yasmin Akhtar d/o Haji Qurban Hussain</t>
  </si>
  <si>
    <t>Adnan Qurban, r/o Jhang Chak, Tehsil Sawawa, District Jehlum . (Mobile No. 0301-2878151)</t>
  </si>
  <si>
    <t>Traced Person. Munib Iqbal, Inspector/SHO PS/Domeli appeared for hearing on 4.4.2019. He has submitted that Yasmin Akhtar has been recovered for Bahawalnagar (PS/Minchanabad). She has married with Danish Khan s/o Sher Khan r/o Bin Mera Aloli, Tehsil &amp; District Haripur. He has produced copy of Nikah Name, which has been placed on record.</t>
  </si>
  <si>
    <t>5906-K</t>
  </si>
  <si>
    <t>Saddam Hussain s/o Saeed Azam</t>
  </si>
  <si>
    <t>Saeed Azam, r/o Ring Road, Dir Colony, Near Allah Akbar Masjid, Peshawar. (Mobile No. 0331-3000415 &amp; 0335-9140815)</t>
  </si>
  <si>
    <t>5907-B</t>
  </si>
  <si>
    <t>Ehsan Ullah s/o Saeed Muhammad</t>
  </si>
  <si>
    <t>Saeed Muhammad, r/o Kuli Jeo, Kuli Roshanabad. (Mobile No. 0321-8021563)</t>
  </si>
  <si>
    <t>FIR No.79/19 u/s 365 34 PPC P.S Sariab Quetta</t>
  </si>
  <si>
    <t>Traced Person. It has been reported at the hearing held by the Commission on 3.9.2020 at Quetta that dead body of Ehsan Ullah s/o Saeed Muhammad was handed over to the family on 22.11.2019. In this regard, statement of SSP (Inv), Quetta and Mr. Saeed Muhammad father of Ehsan Ullah who appeared for hearing have been recorded. The later confirmed having received dead body of his son. No further action is required. The case is closed.</t>
  </si>
  <si>
    <t>5908-F</t>
  </si>
  <si>
    <t>Abdul Shakoor s/o Muhammad Tahir</t>
  </si>
  <si>
    <t>Mst. Bibi Pari, Manri Mandal, Tehsil Mohmand, District Bajur Agency. (Mobile No. 0302-2243194)</t>
  </si>
  <si>
    <t>21106-0587418-5</t>
  </si>
  <si>
    <t>Traced Person. Abdul Shakoor has been traced. According to reports dated 06.07.2020 and 24.07.2020 received from Rep of MI, Abdul Shakoor is presently confined in the Internment Centre Lakki Marwat. Muhammad Tahir f/o Abdul Shakoor was present who was apprised of the status of the case. He may avail remedy if any in accordance with law. Family members of Abdul Shakoor will be facilitated to see him in the Internment Centre as per rules and procedure.</t>
  </si>
  <si>
    <t>5909-S</t>
  </si>
  <si>
    <t>Jamal Khan s/o Mehmood Khan</t>
  </si>
  <si>
    <t>r/o, Mohallah Abad Peer, Muzamil Shah Road, Liyari, Karachi.</t>
  </si>
  <si>
    <t>5910-I 4830-I 4831-I</t>
  </si>
  <si>
    <t>FIR No. 85 dated 30/05/2019 ui/s 365 PPC PS Margala, District Islamabad</t>
  </si>
  <si>
    <t>Traced Person. Abdul Qadoos has been traced. He appeared before the Commission on 20.8.2019. In his statement, he submitted that he has returned home on 17.7.2019. He has not furnished details about the persons involved in his abduction.</t>
  </si>
  <si>
    <t>5911-K</t>
  </si>
  <si>
    <t>Abdul Basit s/o Abdul Qadir</t>
  </si>
  <si>
    <t>Mohallah Ibrahim Khalil, Shiwa, Tehsil Razar, District Swabi. (Mobile No. 0345-5506821 &amp; 0312-8073846)</t>
  </si>
  <si>
    <t>5912-K</t>
  </si>
  <si>
    <t>Naqeeb Ullah s/o Aslat Khan</t>
  </si>
  <si>
    <t>Najeeb Ullah b/o Missing Person r/o Near Dubi Plaza , Balamba Bul, Chaina Plaza, Kohat, Naqeeb Garments. (Mobile No. 0300-092793).</t>
  </si>
  <si>
    <t>Traced Person. SP (Inv), Kohat appeared before the Commission on 23.11.2020 was recorded on oath, in which he deposed that Naqeeb Ullah reported to local Police on 20.7.2020 regarding his return to home, whose statement was got recorded u/s 161 Cr.PC. Since Naqeeb Ullah has returned home, he is no more a Missing Person. No further action is required. The case is closed.</t>
  </si>
  <si>
    <t>5913-K</t>
  </si>
  <si>
    <t>Mujahid Ali S/o Burhan Ullah</t>
  </si>
  <si>
    <t>Imtiaz Ali b/o Missing Person r/o SherAbad, P.O Jhongher, Police Station Chora Merdan, Tehsil &amp; District Mardan. (Mobile No. 0344-9040206 &amp; 0301-8028848).</t>
  </si>
  <si>
    <t>FIR No. 362 dated 15.6.2019 u/s 365 PPC PS Choora, Mardan</t>
  </si>
  <si>
    <t>Traced Person. Mujhaid Ali s/o Burhan Ullah has been traced, Rep of MI appeared for hearing on 08.07.2020 and submitted that Mujahid Ali was confined in Internment Center Lakki Marwat. None has entered appearance on behalf of Mujhaid Ali. However the family will be informed through later and meeting with the internee will be arrange through proper channel, as per regulation.</t>
  </si>
  <si>
    <t>5914-I</t>
  </si>
  <si>
    <t>Raja Khawar Afzaal s/o Raja Muhammad Afzaal</t>
  </si>
  <si>
    <t>Raja Muhammad Afzaal f/o Missing Person r/o House No. 158 B-IV, Gali No. 2, Mohallah Mohammadi Colony, Muslim Town, Rawalpindi. (Mobile No. 0345-5300017 &amp; 0335-5040402)</t>
  </si>
  <si>
    <t>Traced Person. Raja Khawar Afzal has been traced. He appeared before the Commission on 24.5.2019. His statement has been recorded on oath. He has deposed that he was abducted on 23.3.2019 by unknown persons and he was set fee in 28.3.2019.</t>
  </si>
  <si>
    <t>5915-K</t>
  </si>
  <si>
    <t>Ameer Zaib s/o Haji Abdul Raheem</t>
  </si>
  <si>
    <t>Haji Abdul Rehim f/o Missing Person r/o Petan Seri, P.O Petan, Police Station Petan, Tehsil Petan, District Kohistan. (Mobile No.0345-3232893 &amp; 0349-9123345).</t>
  </si>
  <si>
    <t>FIR No. 326 dated 16/04/09 u/s 365 bPPC PS Mir Pur District Abbottabad</t>
  </si>
  <si>
    <t>Deleted. The complainant did not level any allegation against any Law Enforcement / Intelligence Agency. Similarly, no such evidence came on record that any official remained involved in disappearance of Ameer Zaib. There are concurrent findings given by JIT as well as by PTF that Missing Person has gone on his own. Investigation Agency recorded there statements of witness u/s 161 Cr.PC but none of them is EW of the occurrence. According to reports received from Rep of ISI, MI and CTD, Ameer Zaib is not in their custody. Accordingly, the case does not fall within the ambit of enforced disappearance. Hence closed.</t>
  </si>
  <si>
    <t>31st March, 2019</t>
  </si>
  <si>
    <t>5916-P</t>
  </si>
  <si>
    <t>Faheem Akbar s/o Aziz Akbar</t>
  </si>
  <si>
    <t>Aziz Akbar f/o Missing Person R/o House No. 03, Street No.01, Line No.02, Khyaban Tanveer, Chaklala Schem 03, Rawalpindi. (Mobile No.0332-5786369 &amp; 0314-5234240).</t>
  </si>
  <si>
    <t>Deleted. During the course of inquiry, no clue could be found to indicate that any LEA/ Intelligence Agency was involved in disappearance of Faheem Akbar s/o Aziz Akbar The case has been categorized as the Missing Person has gone on his on by JIT as well as PTF. In the case statements of Five witnesses were recorded but none of them was eye witness of the occurance. All stakeholders have denied arrest/custody of Faheem Akbar. Hence, not a case of enforced disappearance and closed.</t>
  </si>
  <si>
    <t>01st April, 2019</t>
  </si>
  <si>
    <t>5917-P</t>
  </si>
  <si>
    <t>Kamran Rashid s/o Anwar Rashid</t>
  </si>
  <si>
    <t>Sakina Beigum M/o Missing Person r/o House No.207, Block-H, Street No.8, Phase-V, DHA Lahore. (Mobile No.0322-4512045 &amp; 0321-8453635).</t>
  </si>
  <si>
    <t>FIR No. 240/19 dated 1.3.2019 u/s 365 PPC, PS Garden Town, Lahore</t>
  </si>
  <si>
    <t>Traced Person. The meeting of JIT was held on 10.4.2019 scruting whereof reveals that Kamran Rashid has returned back. The above mentioned opinion has further been confirmed by his brother-in-law namely Ahmed Dilshad.</t>
  </si>
  <si>
    <t>5918-K</t>
  </si>
  <si>
    <t>Naseeb S/o Umer Khan</t>
  </si>
  <si>
    <t>Bakht Pari m/o Misssing Person r/o Dernigal Berarehi Fatak, Tehsil Sumer Bagh, Union Consil Dernigal, District Lower Dir. Mobile No.0306-8069636 &amp; 0344-0935857).</t>
  </si>
  <si>
    <t>FIR NO.48 DATED 18/4/19 U/S 365 PPC PS SAMAR BAGH DISTRICT LOWE DIR</t>
  </si>
  <si>
    <t>Deleted. After investigation and considration by JIT, PTF and hearing in the Commission it has been concluded that the case does not fall within the ambit of enforced disappearance on his arrest/ custody has been denied by all stakeholders. The statement of his brother has also been recorded in which he confirmed that there was no allegation against LEA/Intelligence Agency. No further action is required. The case is closed.</t>
  </si>
  <si>
    <t>5919-P</t>
  </si>
  <si>
    <t>Zahir Shah s/o Fazal Haq</t>
  </si>
  <si>
    <t>Noor Ullah, r/o Salanda, Saeedabad, Manglor, Swat. (Mobile No. 0348-9722991 &amp; 0342-9031043)</t>
  </si>
  <si>
    <t>15602-0440541-3</t>
  </si>
  <si>
    <t>Combine with 6352-P</t>
  </si>
  <si>
    <t>5920-K</t>
  </si>
  <si>
    <t>Ehsan-ud-Din s/o Muhammad Nazir</t>
  </si>
  <si>
    <t>Ali Rehman, r/o Sadiu Sharif, Islam Pura, Tehsil Babu Zai, District Swat. (Mobile No. 0321-9768005 &amp; 0345-2697652)</t>
  </si>
  <si>
    <t>5921-S</t>
  </si>
  <si>
    <t>Muhammad Saleem s/o Ameer Haider</t>
  </si>
  <si>
    <t>Azim Khan, r/o Manglwar, Tehsil Babu Zai, District Swat. (Mobile No. 0342-9138829 &amp; 0342-9031043)</t>
  </si>
  <si>
    <t>Deleted. The case has been deleted due o request by the family/ Complainant as they were not in a position to follow – up the case as they are now settled in KP and it was not possible for then to attend hearings at Karachi. Accordingly, no further action is required. The case is closed.</t>
  </si>
  <si>
    <t>5922-S</t>
  </si>
  <si>
    <t>Farhan Mehmood Khan s/o Mehmood Hassan Khan</t>
  </si>
  <si>
    <t>Afzia Farhan, r/o House No. 8-4/D-8, Mohallah Nazimabad, Karachi. (Mobile No. 0321-4713909)</t>
  </si>
  <si>
    <t>5923-K</t>
  </si>
  <si>
    <t>Junaid-ur-Rehman s/o Shafi-ur-Rehman</t>
  </si>
  <si>
    <t>Mst. Hidayat Sultan, r/o Jalawanan, Batkhela, District Malakand KPK. (Mobile No. 0345-9363047 &amp; 0346-9396206 &amp; 0344-4416477).</t>
  </si>
  <si>
    <t>15402-5419796-5</t>
  </si>
  <si>
    <t>Fir No. 714, dated 24.7.19, u/s 365 PPC, P.S City, Mardan</t>
  </si>
  <si>
    <t>Deleted. In proforma / complaint there is no allegation against any LEAs/Intelligence Agency. During the course of investigation, no cluse could be found that any LEA/Intelligence Agency was involved in disappearance of Shafi-ur-Rehman. The case has been categorized as Missing Person has gone on his own by JIT as well PTF. The complainant was summoned twice for recording statement but he did not enter appearance before the Commission. No further action is required. The case is closed.</t>
  </si>
  <si>
    <t>5924-K</t>
  </si>
  <si>
    <t>Asmat Ullah s/o Sher Zada</t>
  </si>
  <si>
    <t>r/o, Mingora, District Swat. (Mobile No. 0348-9467516)</t>
  </si>
  <si>
    <t>15602-5940436-3</t>
  </si>
  <si>
    <t>FIR No. 231 dated 1/5/2019 u/s 365 PPC PS, Banr, Swat</t>
  </si>
  <si>
    <t>5925-K</t>
  </si>
  <si>
    <t>Hafeez Ullah s/o Yousaf Khan</t>
  </si>
  <si>
    <t>Aziz Ullah, r/o Raqib Bhoot, Teshil Kaki, District Bannu. (Mobile No. 0334-5857626 &amp; 0331-9156535)</t>
  </si>
  <si>
    <t>FIR No. 409 dated 23/4/2019 u/s 365 PPC PS, City , Bannu</t>
  </si>
  <si>
    <t>5926-B</t>
  </si>
  <si>
    <t>Muhammad Amir Ali Changazi s/o Ameer Jan</t>
  </si>
  <si>
    <t>Mst. Fatima, r/o House No. 7-5/23, Mohallah Haseenabad, Quetta. (Mobile No. 0321-8178040)</t>
  </si>
  <si>
    <t>Traced Person. It was informed at the hearing held in this case on 23.08.2021 by Muhammad Amir Ali Changzai that he was abducted by unknown person s on 16.12.2017. He deposed in his statement that he neither identify the person who abducted him nor the placed where he was detained. Hence, no further action is required. The case is closed.</t>
  </si>
  <si>
    <t>5927-P</t>
  </si>
  <si>
    <t>Ahsan Ishfaq s/o Muhammad Ishfaq Khalid</t>
  </si>
  <si>
    <t>Muhammad Ishfaq Khalid f/o Missing Person r/o College Road, Near Masjid Abdul Aziz Wali, Mohallah Cha Chamni, Bhakkur Punjab. (Mobile No. 0331-4521214).</t>
  </si>
  <si>
    <t>FIR No. 347-17</t>
  </si>
  <si>
    <t>5928-K</t>
  </si>
  <si>
    <t>Sami Ullah s/o Muhammad Riaz</t>
  </si>
  <si>
    <t>Muhammad Shah Fiaz b/o Missing Person r/o P.O Mushtrika Jani Khyel, Gao Mirake, Bauchki, District Bannu.(Mobile No. 0304-5934376).</t>
  </si>
  <si>
    <t>Traced Person. Tariq Zaman , who is uncle of Sami Ullah has entered appearance on 23/7/2019, whose statement has been recorded on oath. He has stated that Sami Ullah is presently confined in Internment Center Lakki Marwat and his father, mother and brother met him in the said Internment Center.</t>
  </si>
  <si>
    <t>5929-F</t>
  </si>
  <si>
    <t>Iqrar Khan s/o Bali Khan</t>
  </si>
  <si>
    <t>Rahmini Bibi m/o Iqrar khan r/o Tehsil &amp; District Mohmand Agency, Tehsil Halamazai, Darba Khel. (Mobile No. 0341-0565051)</t>
  </si>
  <si>
    <t>21402-9725044-9</t>
  </si>
  <si>
    <t>5930-B</t>
  </si>
  <si>
    <t>Hafiz Muhammad Yahya</t>
  </si>
  <si>
    <t>Muhammad Yousaf, r/o Jamia Dara-ul-Alom, Khulfa Rashideen, Khuzdar, Balochistan. (Mobile No. 0313-8184195 &amp; 0330-2152466)</t>
  </si>
  <si>
    <t>Traced Person. Zafar Iqbal, Rep of Home Department, Balochistan is in attendance, whose statement has been recorded on oath. According to him Hafiz Muhammad Yahya has returned home on 12/2/2019. In this connection he has produced report of SSP (Inv), Khuzdar.</t>
  </si>
  <si>
    <t>5931-S</t>
  </si>
  <si>
    <t>Khizar Iqbal s/o Muhammad Iqbal</t>
  </si>
  <si>
    <t>Muhammad Iqbal, r/o House No. R-1012, Block No. 17, Federal B, Area, Karachi. (Mobile No. 0311-2891577 &amp; 0345-2196952)</t>
  </si>
  <si>
    <t>Traced Person. It was informed at the hearing held in this Commission on 23.5.2019 that Khizar Iqbal has returned to home. The report submitted by the Police Officer, SHO Samanabad, Karachi is placed on record</t>
  </si>
  <si>
    <t>5932-S</t>
  </si>
  <si>
    <t>Faisal s/o Shakoor</t>
  </si>
  <si>
    <t>Mst. Anbia Begum, r/o House No. A/4, Mohallah Kamil Plaza, Bhaim Pura, Ranchore Line, Karachi. (Mobile No. 0212-2199946)</t>
  </si>
  <si>
    <t>Traced Person. It was informed at the hearing held in this Commission on 31/7/2019 that faisal is involved in Criminal Case vide Fir No. 49/19 dated 29/1/2019, PS Eid Gah, Karachi. He was arrested and later released on bail by Competent Court of Jurisdiction. Statement of mother were recorded and placed on record.</t>
  </si>
  <si>
    <t>5933-K</t>
  </si>
  <si>
    <t>Shahzad Khan s/o Rahim Dad</t>
  </si>
  <si>
    <t>Mst. Tajrana w/o Missing Person r/o Fatima Khel Kalaa, Alaqa Thana Sadar, Tehsil &amp; District Bannu. (Mobile No. 0335-9765191 &amp; 0332-5050631 &amp; 0335-8593051).</t>
  </si>
  <si>
    <t>Traced Person. Waheed Ullah brother of Shahzad Khan appeared before the Commission on 23.12.2019. His statement has been recorded on oath. According to him Shahzad Khan is presently confined in Internment Center Lakki Marwat. He further submitted that he and family members including wife of Shahzad Khan and children have already met him in the Internment Center Lakki Marwat on 11.12.2019 and 18.12.2019.</t>
  </si>
  <si>
    <t>5934-K</t>
  </si>
  <si>
    <t>Muhammad Yousaf s/o Talib Khan</t>
  </si>
  <si>
    <t>Talib Khan r/o Qoam Aka Kyel , Tapa Senzel Khel, Sheen Darang, P.O Barha. Tehsil Barha, District Khyber Agency. (Mobile No. 0321-9177527 &amp; 0307-2480028).</t>
  </si>
  <si>
    <t>5935-F</t>
  </si>
  <si>
    <t>Sadam Hussain s/o Khan Muhammad</t>
  </si>
  <si>
    <t>Saeed Khan r/o Megan Anzarye, P.o Yaka Gund, Tehsile Pendiale. District Mohmand Agency. (Mobile No. 0304-9567832 &amp; 0304-1023816).</t>
  </si>
  <si>
    <t>42301-5091615-7</t>
  </si>
  <si>
    <t>5936-S</t>
  </si>
  <si>
    <t>Muhammad Abdul Mohsin s/o Abdul Hafeez</t>
  </si>
  <si>
    <t>Abdul Hafeez Multani r/o Flate No. E-27, Ground Floor, Yousef Plaza, Block 16, Fedral B Area, Karachi. (Mobile No. 0322-2261884 &amp; 0310-2005092)</t>
  </si>
  <si>
    <t>Traced Person. It was informed at the hearing held in this Commission on 5.8.2019 that Mr. M. Abdul Mohsin has returned to home, whose statement has been recorded u/s 164 CrPC, which is available on record. The report submitted by SHO, Yusuf Plaza and statement of Abdul Mohsin are placed on record.</t>
  </si>
  <si>
    <t>5937-K</t>
  </si>
  <si>
    <t>Muhammad Sami Ullah s/o Muhammad Wali Ullah</t>
  </si>
  <si>
    <t>Shehri Muhammad Waheed Ullah b/o Missing Person r/o Plot 298, Sector14-B, Orangi Town, City, Karachi, Sindh, Pakistan.</t>
  </si>
  <si>
    <t>Traced Person. Muhammad Sami Ullah has been traced. In this connection statement of Khizar Hayat SI/ IO of the case has been recorded on oath by the Commission. In his statement he deposed that Muhammad Smai Ullah has been traced on 15.4.2020. He produced recovery documents, photograph of Muhammad Sami Ullah with ASI Muhammad Wali Khan and Daily Dairy report of PS Pakistan Bazar Orangi Town, Karachi dated 15.4.2020.</t>
  </si>
  <si>
    <t>5938-A</t>
  </si>
  <si>
    <t>Obaid Ullah s/o Sultan Saeed</t>
  </si>
  <si>
    <t>Mst. Luqman Bibi m/o Missing Person r/o Gerial, P.O Sheringal, Tehsile Dir, Distict Upper Dir. (Mobile No. 0348-9346683 &amp; 0307-5744193).</t>
  </si>
  <si>
    <t>141 / 19 dated 20-5-19 uc 365 ppc p.s city Rawalakot</t>
  </si>
  <si>
    <t>5939-P</t>
  </si>
  <si>
    <t>Adil Zafar s/o Zafar Mehmood</t>
  </si>
  <si>
    <t>Ehsan Ullah Khan, r/o House No. NW-800, Sharif Abad, D- Block, Rawalpindi. (Mobile No. 0300-5241291)</t>
  </si>
  <si>
    <t>Traced Person. Complainant, Ehsan Ullah Khan appeared before the Commission on 20.6.2019, whose statement has been recorded on oath. According to him, Adil Zafar went to Mosque at PSO Pump, Islamabad on 24.10.2018 and came back on 8/9 April, 2019 and he was not abducted by anyone but remained sitting on the Mosque during this period.</t>
  </si>
  <si>
    <t>5940-K</t>
  </si>
  <si>
    <t>Bashir Ahmed s/o Naqeeb Ahmed</t>
  </si>
  <si>
    <t>Asghar Khan, r/o Angoor Korana, P.O Zarif Kor, Tehsil &amp; District Peshawar. (Mobile No. 0313-9900008 &amp; 0333-9517920 &amp; 0312-9334499)</t>
  </si>
  <si>
    <t>5941-I</t>
  </si>
  <si>
    <t>Sohail Ahmed s/o Ghulam Mustafa</t>
  </si>
  <si>
    <t>Ghulam Murtaza, r/o P.O Sarye Saleha, Tehsil &amp; District Hari Pur. (Mobile No. 0336-9036297 &amp; 0334-1561165)</t>
  </si>
  <si>
    <t>Traced Person. Sohail Ahmed has been traced. He has returned to home and is presently working as Naib Qasid in the office of DC Haripur district, Syed Aziz, SP (Inv) Islamabad and ASI Zulfiqar are present, whose statement have been recorded on oath.</t>
  </si>
  <si>
    <t>5942-F</t>
  </si>
  <si>
    <t>Asal Muhammad s/o Paseen Khan</t>
  </si>
  <si>
    <t>Paseen Khan, r/o Koko Khel, P.O jamrood Ghundi, District Khyber Agency. (Mobile No. 0321-9743637 &amp; 0300-9065828 &amp; 0344-5955559).</t>
  </si>
  <si>
    <t>21202-3661367-7</t>
  </si>
  <si>
    <t>5943-B</t>
  </si>
  <si>
    <t>Waheed Ahmed s/o Muhammad Yaseen</t>
  </si>
  <si>
    <t>Muhammad Yaseen, r/o Kuli Bangazai, Sabzal Road, Quetta. (Mobile No. 0333-7805079 &amp; 0316-8178718)</t>
  </si>
  <si>
    <t>5944-K</t>
  </si>
  <si>
    <t>Hazrat Saeed s/o Noor Muhammad Saeed</t>
  </si>
  <si>
    <t>Ajmal Saeed, r/o Manzoor Gul Karona, District Charsadda. (Mobile No. 0345-2562217)</t>
  </si>
  <si>
    <t>FIR No.98 Dated 4/4/19 U/S 365 PPC PS MANDANI DistricT Charssada</t>
  </si>
  <si>
    <t>Traced Person. Hazrat Saeed has been traced. He is present before the Commission on 1/7/2019. He has returned home. He has submitted that he was kidnapped on account if mistaken identify and was released after 50 days.</t>
  </si>
  <si>
    <t>5945-B</t>
  </si>
  <si>
    <t>Zahid Asad s/o Muhammad Ismail</t>
  </si>
  <si>
    <t>Muhammad Ismail, r/o Dakan Pur, tehsil &amp; District Rahim Yar Khan. (Mobile No. 0306-2945939)</t>
  </si>
  <si>
    <t>Deleted. The Commission has examined the FIR, statements of the IO specially with reference to CDR, which indication location of the Missing Person at place other than Quetta/ Dera Mura Jamali. The Complainant father, whose statement was recorded by the Commission on 2.3.2020 admitted that his sin was not on speaking terms with him and that he remained in contact with his brother, circumstances clearly lead to the conclusion that it is not a case of enforced disappearance. Hence closed.</t>
  </si>
  <si>
    <t>5946-P</t>
  </si>
  <si>
    <t>Muhammad Shahid s/o Muhammad ismail</t>
  </si>
  <si>
    <t>FIR No. 301/19 dated 13.5.2019 u/s 365 PPC PS Rukan Pur, District Rahim Yar Khan</t>
  </si>
  <si>
    <t>Traced Person. Muhammad Shahid appeared before the Commission on 29.09.2021. His statement was recorded on oath in which he deposed that he was abducted on 27.03.2019 by the Police accompanied by men in civvies. He further deposed that his eyes were muffled, so he could not recognize anybody. He was set free on 28/29 March, 2021 near Hyderabad where from he returned home. No further action is required, the case is closed.</t>
  </si>
  <si>
    <t>5947-K</t>
  </si>
  <si>
    <t>Mujhaid Khan s/o Sir Zameen</t>
  </si>
  <si>
    <t>Mujahid Khan, r/o Nayab Petrol Pumb, Tehsil Wari Bala Tehsil Wari, District Upper Dir. (Mobile No. 0302-8063363 &amp; 0311-9991907)</t>
  </si>
  <si>
    <t>5948-K</t>
  </si>
  <si>
    <t>Amrooz Khan s/o Feroz Khan</t>
  </si>
  <si>
    <t>Hazrat Ali, r/oUsman Khel, Aman Kot, Tehsil Babu Zai, District Swat. (Mobile No. 0344-3026286 &amp; 0342-9390596)</t>
  </si>
  <si>
    <t>5949-B</t>
  </si>
  <si>
    <t>Jameel Ahmed s/o Mir Muhammad</t>
  </si>
  <si>
    <t>Ustad Noor Ahmed, r/o Mohallah Gohar Abad, Siryab Road, Quetta. (Mobile No. 0331-8367130)</t>
  </si>
  <si>
    <t>FIR No. 71/2019 dated 08/05/2019 U/S 365 PPC PS New Sariyab, Quetta</t>
  </si>
  <si>
    <t>Traced Person. It has been informed at the hearing held in this case at Quetta that Jameel Ahmed s/o Mir Muhammad has returned home. No further action is required. The case is closed</t>
  </si>
  <si>
    <t>5950-P</t>
  </si>
  <si>
    <t>Khan Zaman s/o Mir Zaman</t>
  </si>
  <si>
    <t>Akhtar Jan, r/o Mohmand Agency. (Mobile No. 0306-8757441 &amp; 0306-6243499)</t>
  </si>
  <si>
    <t>Traced Person. Khan Zaman has been traced. He is presently confined in Jandola Jail. Statement of Akhtar Jan complainant who has appeared before the Commission has been recorded on oath. He has deposed that after receiving telephonic information he went to Jandola where he met Khan Zaman. Foregoing in view, the case is closed.</t>
  </si>
  <si>
    <t>5951-K</t>
  </si>
  <si>
    <t>Sami-ul-Haq s/o Shah jahan</t>
  </si>
  <si>
    <t>Mst. Jamela Bibi, r/o P.O Golari, Tehsil Matta, District Swat. (Mobile No. 0346-7751293)</t>
  </si>
  <si>
    <t>Traced Person. Sami-ul-Haq has been traced. Rep of MI appeared on 26.9.2019 and submitted that Sami-ul-Haq is presently confined in the Internment Center Paithom. Aziz-ur-Rehman uncle of traced person was also present, who confirmed that family members have met Sami-ul-Haq.</t>
  </si>
  <si>
    <t>5952-K</t>
  </si>
  <si>
    <t>Rasool Khan s/o Lia Khan</t>
  </si>
  <si>
    <t>Mst. Noor Tharia, r/o Tehsil Norang, District Lakki Marwat. (Mobile No. 0334-8726505 &amp; 0332-0303232)</t>
  </si>
  <si>
    <t>FIR No. 291 Dtaed 22/4/19 U/S 365 PPC PS Naurang District Laki marwat</t>
  </si>
  <si>
    <t>5953-K</t>
  </si>
  <si>
    <t>Ahmed Zaib s/o Alam Zaib</t>
  </si>
  <si>
    <t>Alam Zaib, r/o Bara Bandi, Tehsil Kabal, District Swat. (Mobile No. 0343-9875945)</t>
  </si>
  <si>
    <t>15602-4136133-5</t>
  </si>
  <si>
    <t>To be fixed on same date. 5953 &amp; 5954</t>
  </si>
  <si>
    <t>5954-K</t>
  </si>
  <si>
    <t>Ameer Zaib s/o Alam Zaib</t>
  </si>
  <si>
    <t>5955-P</t>
  </si>
  <si>
    <t>Rafique Ahmed s/o Tufail Ahmed</t>
  </si>
  <si>
    <t>Tufail Ahmed, r/o Chak Faiz Ahmed, P.O Zahir Peer, Tehsil Khanpur, District Rahim Yar Khan. (Mobile No. 0301-7488541)</t>
  </si>
  <si>
    <t>Traced Person. Mr. Safdar Pervaz, Inspector CTD Sheikhupura has appeared, whose statement has been recorded in oath. He has deposed that on 8.12.2016 two unknown terrorists killed in an encounter with CTD, Police of district Sheikhupura. For their identification services of NADRA and Punjab Forensic Science Labs Lahore were taken. After due process, the two dead bodies of the unknown terrorists identified as of Rafique Ahmed and Abdul Khaliq. Tufail Ahmed who is father of Rafique Ahmed and maternal uncle of Abdul Khaliq was informed. He came to CTR officer Sheikhupura and was shown pictures of the abovesaid two missing persons. He recognized the photographs of his sons Rafique Ahmed and nephew Abdul Khaliq. Rep of CTD, Sheikhupura produced copies of CTD progress report. Tufail Ahmed also appeared and confirmed the said Position.</t>
  </si>
  <si>
    <t>5956-P</t>
  </si>
  <si>
    <t>Muhammad Nawaz s/o Faiz Ahmed</t>
  </si>
  <si>
    <t>FIR No.396/19 dated 10/06/2019 u/s 365 PPC, PS Zahir Peer District Rahim Yar Khan</t>
  </si>
  <si>
    <t>5957-P</t>
  </si>
  <si>
    <t>Abuld Khaliq s/o Ghulam Qasim</t>
  </si>
  <si>
    <t>5958-K</t>
  </si>
  <si>
    <t>Ismail Khan s/o Rawailay Khan</t>
  </si>
  <si>
    <t>Jumma Gul, r/o P.O Lakaray, Gak Zai, Tehisl Safi, District Mohmand Agency. (Mobile No. 0305-8536492)</t>
  </si>
  <si>
    <t>5959-S</t>
  </si>
  <si>
    <t>Noor Rehman s/o Yaqoob Khan</t>
  </si>
  <si>
    <t>Sardar Khan, r/o Plot No. C- 1791, Street No 10, New Muzaffarabad Colony, Landhi, Karachi. (Mobile No. 0344-5316793)</t>
  </si>
  <si>
    <t>Traced Person. It was informed at the hearing held in this Commission on 21.5.2019 that Noor Khan has returned to home. The report submitted by the Police Officer SHO Landhi, Karachi is placed on record.</t>
  </si>
  <si>
    <t>5960-K</t>
  </si>
  <si>
    <t>Noor Zaman s/o Abdul Zaman</t>
  </si>
  <si>
    <t>Lal Zaman, r/o, P.O Nawagai, tehsil Nawagai, District Bajur Agency. (Mobile No. 0307-0959551)</t>
  </si>
  <si>
    <t>21105-6882884-1</t>
  </si>
  <si>
    <t>Bajur</t>
  </si>
  <si>
    <t>5961-P</t>
  </si>
  <si>
    <t>Ashraf Ali s/o Khawan Gul</t>
  </si>
  <si>
    <t>Mian Fazal Subhan, r/o Mohallah Sowabi But, Darya, Manshera. (Mobile No. 0348-7433833)</t>
  </si>
  <si>
    <t>Traced Person. According to the letter dated 29.5.2019 received form Rep of MI, Ashraf Ali has been awarded 10 years imprisonment by Military Court who is now confined in District Jail, Kohat. Mian Fazal Subhan brother of missing person also affirmed the stated position.</t>
  </si>
  <si>
    <t>5962-S</t>
  </si>
  <si>
    <t>Syed Mushtaba Ali Naqvi s/o Syed Ali Abbas Naqvi</t>
  </si>
  <si>
    <t>Muhammad Ali Naqvi, r/o E- 403, 04th Floor, Shumail Garden, Gulistan-e-Johar, Karachi. (Mobile No. 0311-2017415)</t>
  </si>
  <si>
    <t>Traced Person. It was informed at the hearing in this Commission on 23.5.2019 that Syed Mushtaba Ali has returned to home.The report submitted by the Police Officer SHO, KIA, Karachi is placed on record.</t>
  </si>
  <si>
    <t>5963-K</t>
  </si>
  <si>
    <t>Naseeb Rawan s/o Hakim Jan</t>
  </si>
  <si>
    <t>Syed Rawan, r/o Shamozai, Mohallah Serai, District Swat. (Mobile No. 0344-9622524)</t>
  </si>
  <si>
    <t>FIR No. 25 dated 30/4/2019 u/s 365 PPC PS, Shamozai, Swat</t>
  </si>
  <si>
    <t>5964-K</t>
  </si>
  <si>
    <t>Imran Ullah s/o Saeed Nawaz Khan</t>
  </si>
  <si>
    <t>Mst. Yasmeen Bibi, r/o United Town, Near Military Form, Rata Kalachi, District Dera Ismail Khan. (Mobile No. 0333-9093003)</t>
  </si>
  <si>
    <t>FIR No. 260 dated 9/4/2019 u/s 365 PPC PS Saddar, D.I.Khan</t>
  </si>
  <si>
    <t>Dera Ismail Khan</t>
  </si>
  <si>
    <t>5965-P</t>
  </si>
  <si>
    <t>Inam Ullah s/o Muhammad Khursheed</t>
  </si>
  <si>
    <t>Muhammad Khursheed r/o House No. C-14, Mohallah Pepoles Colony, Block B, P.S Thana City Attock, Attock. (Mobile No.0301-5066971 &amp; 0321-5711456).</t>
  </si>
  <si>
    <t>Traced Person. According to report submitted by SHO PS City, Attock Inam Ullah has been arrested vide FIR No. 8 dated 6.4.2019 u/s 11-EE/11-F/11-G/11-H/11-1/11-J/11-N ATA 1997 PS CTD, Rawalpindi.</t>
  </si>
  <si>
    <t>5966-S</t>
  </si>
  <si>
    <t>Muhammad Farooq s/o Muna Khan</t>
  </si>
  <si>
    <t>Mst. Syeda Lala Rukh, r/o 605-L, Sector 5c-4, North Karachi. (Mobile No. 0334-3132398)</t>
  </si>
  <si>
    <t>5967-F</t>
  </si>
  <si>
    <t>Imran Ullah s/o Muhammad Ayub Khan</t>
  </si>
  <si>
    <t>Muhammad Ayub r/o New City Home, Block G, Street No.2, Main G.T Road, Peshawar. (Mobile No. 0300-5836514).</t>
  </si>
  <si>
    <t>Traced Person. Statement of Intikhab Alam has been recorded on oath. According to him he established contact with Muhammad Ayub Khan father of Imran Ullah on telephone (0300-5836514) who has confirmed that Imran Ullah has returned to home and on account if aliment he is present at his home at a Tall.</t>
  </si>
  <si>
    <t>5968-S</t>
  </si>
  <si>
    <t>Wajid Hussain s/o Rafiq Hussain</t>
  </si>
  <si>
    <t>Rafiq Hussain r/o Mugal Hazara Goath, House No. 393, Sector 4/A, Karachi. (Mobile No. 0347-2637241).</t>
  </si>
  <si>
    <t>Deleted. This case is closed for want of jurisdiction as in FIR No, 116/18 dated 4.4.2018 PS Guistan-e-Johar, Karachi East. It is occurred that an unknown and a man abducted Wajid Hussain. There is no allegation against any LEAs agency.</t>
  </si>
  <si>
    <t>5969-S</t>
  </si>
  <si>
    <t>Aamir Ali s/o Abdul Rehman Uniss</t>
  </si>
  <si>
    <t>Noshaba Amir Ali d/o Amir Ali r/o Dubai, 54th Street, Al Mamzar, Dubai UAE. (EmailId. Noshaba_aamir@hotmail.com ) (MobileNo. 00971544487884)</t>
  </si>
  <si>
    <t>Deleted. As per statement of SHO PS Ferozabad, Karachi Missing Person Amir Ali was suffering from mental disorder. He boarded on train from Lahore to Karachi and thereafter he went missing. As there is no allegation against any LEAs, the case closed and it does not fall in the ambit of enforced disappearance.</t>
  </si>
  <si>
    <t>5970-K</t>
  </si>
  <si>
    <t>Muhammad Farooq s/o Sabaz Ali Khan</t>
  </si>
  <si>
    <t>Mst. Syeda Bibi, r/o Afridi Abad, Tehsil &amp; District Peshawar. (Mobile No. 0343-9860214)</t>
  </si>
  <si>
    <t>5971-P</t>
  </si>
  <si>
    <t>Rizwan Ullah s/o Hassan Gul</t>
  </si>
  <si>
    <t>Hassan Gul, r/o Lal Qila , District Dir. (Mobile No. 0349-4377206)</t>
  </si>
  <si>
    <t>FIR No.60 dated 28/4/2019 u/s 364 PPC PS New Air Port District Attock</t>
  </si>
  <si>
    <t>Traced Person. Rizwan Ullah has been Traced. He appeared before the Commission on 25.6.2020, which statement has been recoeded on oath, according to which he was not abducted by anybody rather he went to Gilgit on his own, where he did some labour work and could not inform his parents. He further submitted that 25 days ago he returned home. As Rizwan Ullah has been traced, he is no more amissing person and his name is deleted from the list of disappeared persons.</t>
  </si>
  <si>
    <t>5972-K</t>
  </si>
  <si>
    <t>Muhammad Zahid s/o Nawab Jan</t>
  </si>
  <si>
    <t>Muhammad Bilal, r/o Village Mastoka, Tehsil &amp; District Charsadda. (Mobile No. 0342-8251992)</t>
  </si>
  <si>
    <t>5973-K</t>
  </si>
  <si>
    <t>Hayat Ullah s/o Sakhi Jan</t>
  </si>
  <si>
    <t>5974-K</t>
  </si>
  <si>
    <t>Shafique Ahmed s/o Sakhi Jan</t>
  </si>
  <si>
    <t>5975-K</t>
  </si>
  <si>
    <t>Hazrat Ali s/o Saif-ur-Rehman</t>
  </si>
  <si>
    <t>Saif-ur-Rehman, r/o Village Nahaqi, Tehsil &amp; District Peshawar. (Mobile No. 0312-0171274 &amp; 0345-9127145)</t>
  </si>
  <si>
    <t>Traced Person. Saif-ur-Rehman father of the Hazrat Ali is present. He has submitted that his son Hazrat Ali has returned home. His statement has been recorded on the oath. According to his statement Hazrat Ali was abducted by some unknown persons who has returned home after 15 days.</t>
  </si>
  <si>
    <t>5976-F</t>
  </si>
  <si>
    <t>Abdul Ghani s/o Muhammad Haider</t>
  </si>
  <si>
    <t>Muhammad Haider, r/o Nasir Bagh Road, Peshawar. (Mobile No. 0332-9181127 &amp; 0315-6789518)</t>
  </si>
  <si>
    <t>5977-S</t>
  </si>
  <si>
    <t>Jala-ud-Din s/o Muhammad Sharif</t>
  </si>
  <si>
    <t>Muhammad Sharif, r/o Amro Ghazi, P.O Sarogha, District South Waziristan Ahgency. (Mobile No. 0340-2638106 &amp; 0347-0282308)</t>
  </si>
  <si>
    <t>5978-A</t>
  </si>
  <si>
    <t>Amar Abbasi s/o Habib-ur-Rehman Abbasi</t>
  </si>
  <si>
    <t>Habib-ur-Rehman Abbasi, r/o Village Dhani Mahi, Tehsil &amp; District Muzaffarabad. (Mobile No. 0312-9056521)</t>
  </si>
  <si>
    <t>292 /17 dated 8-12-17 u/c 365 ppc P.S saddar Muzfrabad</t>
  </si>
  <si>
    <t>Traced Person. Focal Person of MI appeared before the Commission who submitted report dated 17.11.2020 wherein name of Ammar Abbasi ID No. 5978-A appears at Sr. No. 12 and his missing dated has been indicate as of 30.10.2017. In report stance of MI is to extent that Ammar Abbasi is interned in the Internment Centre Fizaghat. No further action is required. Family will be facilitated to see him subject to prescribed procedure.</t>
  </si>
  <si>
    <t>5979-B</t>
  </si>
  <si>
    <t>Salman Niaz s/o Niaz Muhammad</t>
  </si>
  <si>
    <t>Niaz Muhammad, r/o Mohallah Arbab Ghulam Ali Road, Quetta. (Mobile No. 0333-7807865)</t>
  </si>
  <si>
    <t>5980-B</t>
  </si>
  <si>
    <t>Shaista Khan s/o Abdul Hameed Khan</t>
  </si>
  <si>
    <t>Mst. Tahira Masood, r/o Kuli Khan, Kachlaq, District Quetta. (Mobile No. 0301-3443187)</t>
  </si>
  <si>
    <t>5981-B</t>
  </si>
  <si>
    <t>Syed Mehmood Shah s/o Syed Kashmir Shah</t>
  </si>
  <si>
    <t>Syed Kashmir Shah, r/o Kharan, Kuli Hasan Abad, District Quetta. (Mobile No. 0333-2614058)</t>
  </si>
  <si>
    <t>5982-B</t>
  </si>
  <si>
    <t>Khuda Bakhsh s/o Muhammad Jan</t>
  </si>
  <si>
    <t>Muhammad Rahim, r/o Mohallah Hazara Ganji, Quetta. (Mobile No. 0313-3833192)</t>
  </si>
  <si>
    <t>Traced Person. Khuda Bakhsh s/o Muhammad Jan appeared before the Commission on 17.9.2019, whose statement has been recorded on oath. According to him he was pickled up and taken away blindfolded on 10.3.2019 by some persons who were in civvies. He has further submitted that he was set free on 23.7.2019 at Karachi from where he came back. That he is not in a position to identify those persons who picked him.</t>
  </si>
  <si>
    <t>5983-B</t>
  </si>
  <si>
    <t>Haji Abdul Baqi s/o Muhammad Sharif</t>
  </si>
  <si>
    <t>Bilal Ahmed, r/o Tehsil &amp; District Qila Abdullah. (Mobile No. 0300-3905688)</t>
  </si>
  <si>
    <t>54203-9661695-5</t>
  </si>
  <si>
    <t>Balochistan/ Qillah Abdullah</t>
  </si>
  <si>
    <t>5984-B</t>
  </si>
  <si>
    <t>Syed Aslam Shah s/o Syed Ayub Shah</t>
  </si>
  <si>
    <t>Syed Murad Shah, r/o Kank Kuli Syedan, Tehsil &amp; District Mastung. (Mobile No. 0343-8008307 &amp; 0333-7641605)</t>
  </si>
  <si>
    <t>5985-B</t>
  </si>
  <si>
    <t>Sher Zaman s/o Akhtar Muhammad</t>
  </si>
  <si>
    <t>Muhammad Zaman, r/o Kuli Khudayi Rahim, District Chaghi. (Mobile No. 0332-3265284)</t>
  </si>
  <si>
    <t>FIR No. 28/2019 dated 14-6-2019 u/s 365-34 PPC PS Dalbandin</t>
  </si>
  <si>
    <t>Traced Person. Sher Zaman s/o Akhtar Muhammad has appeared before the Commission on 11.1.2020 at Quetta, whose statement has been recorded on oath. He has stated that he was not kidnaped by anyone but due to some difference with his father he had left Karachi, without information of the family. He has further deposed that due to loss of his mobile phone je could not contact the family members. He has further deposed that after ten months and twenty days he returned home.</t>
  </si>
  <si>
    <t>5986-K</t>
  </si>
  <si>
    <t>Muhammad Rahim s/o Molvi Sher Jan</t>
  </si>
  <si>
    <t>Mst. Hazrat Bibi, r/o Ali Khel, Tehsil Miran Shah. (Mobile No. 0302-8074735)</t>
  </si>
  <si>
    <t>5987-K</t>
  </si>
  <si>
    <t>Rifat Ullah Khan s/o Pio Din</t>
  </si>
  <si>
    <t>Mst. Jamal Sardara w/o Pio Din r/o Boza Khel, Tehsil &amp; District Bannu. (Mobile No. 0349-2647331).</t>
  </si>
  <si>
    <t>Deleted. It is evident from the complaint/application which has been filed after a lapse of five years after disappearance, but there is nothing which can suggest that it is a case of enforced disappearance as no allegation has been levelled against any LEAs/Intelligence Agency. Hence the case is deleted.</t>
  </si>
  <si>
    <t>5988-K</t>
  </si>
  <si>
    <t>Nasir Khan S/o Juma Gul</t>
  </si>
  <si>
    <t>Mst. Taj Mehal r/o Gharibabad Kanju, Tehsil &amp; District Swat. (Mobile No. 0347-9707670 &amp; 0344-1894238).</t>
  </si>
  <si>
    <t>15602-8295434-7</t>
  </si>
  <si>
    <t>FIR No. 99 dated 19/7/2009 u/s 365 PPC, PS Kanju, District Swat</t>
  </si>
  <si>
    <t>5989-K</t>
  </si>
  <si>
    <t>Bahdur Khan S/o Juma Gul</t>
  </si>
  <si>
    <t>15602-1543815-7</t>
  </si>
  <si>
    <t>5990-F</t>
  </si>
  <si>
    <t>Fazal Rehman s/o Qadeem Khan</t>
  </si>
  <si>
    <t>Qadeem Khan, r/o Village Alangar, Tehsil Safi, District Mohmand Agency.0303-8561224</t>
  </si>
  <si>
    <t>21405-4661650-3</t>
  </si>
  <si>
    <t>5991-K</t>
  </si>
  <si>
    <t>Muhammad Dawood s/o Raees Khan</t>
  </si>
  <si>
    <t>Raees Khan, r/o Village Ameer Khan, Tehsil &amp; District Peshawar. (Mobile No. 0303-8372692)</t>
  </si>
  <si>
    <t>5992-K-</t>
  </si>
  <si>
    <t>Riaz s/o Muhammad Kamal</t>
  </si>
  <si>
    <t>Mst. Noor Jahan, r/o Dakrok Cham, Tehsil Char Bagh, District Swat. (Mobile No. 0349-9526737)</t>
  </si>
  <si>
    <t>Traced Person. SP (Inv) Swat submitted an application from Mst. Noor Jahan, mother of Riaz stating that during the course of investigation Riaz was actively involved in militancy, providing assistance to militants fighting against the state. During the course of investigation, the complainant also produced an affidavit that her son Riaz died in an encounter with Security Forced at Al-Puri district Shangala during insurgency and buried there. Mst. Noor Jahan also appeared before the Commission on 11.7.2019 and submitted that she is interested in property and not in tracing the whereabouts of her son. As the fate of Riaz is now known, hence no further action is required. The case is closed.</t>
  </si>
  <si>
    <t>5993-P</t>
  </si>
  <si>
    <t>Bilal Ahmed s/o Laiquat Ali</t>
  </si>
  <si>
    <t>Liaquat Ali, r/o Chebra, P.Okangan Pur, Tehsil Chounia, District Kasur. (Mobile No. 0300-9477907)</t>
  </si>
  <si>
    <t>FIR No. 287/19 dated 20/04/2019 u/s 365 PPC, PS Ghala Mandi Sahiwal</t>
  </si>
  <si>
    <t>Traced Person. Bilal Ahmed entered appearance before the Commission on 17.9.2020 at Lahore but he was reluctant to furnish details of the episode for certain obvious reasons which hardly need any elaboration or explanation. Ms. Shahhida Noreen SP (Inv). Sahiwal and Mian Ashiq IO of the case also appeared and confirmed the aforesaid position.</t>
  </si>
  <si>
    <t>5994-B</t>
  </si>
  <si>
    <t>Wazir Ahmed s/o Shafi Muhammad</t>
  </si>
  <si>
    <t>Kabir Ahmed, r/o Tehsil Mashkeel, District Washak. (Mobile No. 0323-8125411)</t>
  </si>
  <si>
    <t>5995-K</t>
  </si>
  <si>
    <t>Subhan Ullah s/o Muhammad Kabir</t>
  </si>
  <si>
    <t>Zabi Ullah, r/o Dir Colony, District Peshawar. (Mobile No. 0307-8641486)</t>
  </si>
  <si>
    <t>5996-B</t>
  </si>
  <si>
    <t>Abdul Rahim Marri s/o Baloch Khan</t>
  </si>
  <si>
    <t>Khair-ud-Din, r/o National Park, Mohallah New Kahan, Hazara Ghangi, Quetta. (Mobile No. 0323-6019075)</t>
  </si>
  <si>
    <t>FIR No. 43/2012 dated 03/05/2012 u/s 365 PPC PS Shawal Kot, Quetta</t>
  </si>
  <si>
    <t>5997-B</t>
  </si>
  <si>
    <t>Sami Ullah s/o Mir Hazar Khan</t>
  </si>
  <si>
    <t>Mir Hazar Khan, r/o Sardar Bandhi, Mohallah Noshki. (Mobile No. 0345-8372259)</t>
  </si>
  <si>
    <t>FIR No. 309/09 dated 22/12/2019 U/S 365 PPC PS Civil Line, District Quetta</t>
  </si>
  <si>
    <t>5998-P</t>
  </si>
  <si>
    <t>Aqal Khan s/o Samanar Khan</t>
  </si>
  <si>
    <t>Shakir Ullah r/o Shalmanjai, P.O Sararogha, Teshil Sararogha, District Sout Wazirastan agency. (Mobile No. 0306-2078178).</t>
  </si>
  <si>
    <t>Traced Person. Aqal Khan has been traced. He has returned home on 20.4.2019. Abid Hussain SHO appeared before the Commission on 9.5.2019. He also produced affidavit on behalf of Shakir Ullah f/o missing person and report from DPO, Attock to this effect.</t>
  </si>
  <si>
    <t>5999-S</t>
  </si>
  <si>
    <t>Zakir Ullah s/o Ahsan Ullah</t>
  </si>
  <si>
    <t>Ahsan Ullah s/o Bajur District Dad Dola. (Mobile No. 0306-0563417)</t>
  </si>
  <si>
    <t>21104-2359964-3</t>
  </si>
  <si>
    <t>6000-B</t>
  </si>
  <si>
    <t>Aziz Ullah s/o Haji Ghulam Rasool</t>
  </si>
  <si>
    <t>Mst. Noor Bibi R/O Mehla Zareena, Kathan, Khuzdar, Balochistan, Pakistan</t>
  </si>
  <si>
    <t>Traced Person. Aziz Ullah entered appearance before the Commission on 7.9.2020 at Quetta, whose statement has been recorded on oath, in which he deposed that he was kidnapped by unknown persons in winter of 2018, who kept him ta an unknown place and after 14 months 12 days he was set free. He further deposed that he could not identify those people who abducted him. Since Aziz Ullah has been traced no further proceedings are required. The case is closed.</t>
  </si>
  <si>
    <t>6001-B</t>
  </si>
  <si>
    <t>Abdul Shakoor s/o Haji Ghulam Rasool</t>
  </si>
  <si>
    <t>Traced Person. Syed Javed Iqbal Gharishin, SSP (Inv) appeared whose statement has been recorded on oath. According to him Abdul Shakoor has returned home in 20/4/2019. He has produced statement of Abdul Malik brother of Abdul Shakoor.</t>
  </si>
  <si>
    <t>6002-B</t>
  </si>
  <si>
    <t>Muhammad Arif s/o Khuda Nizar</t>
  </si>
  <si>
    <t>Traced Person. DSP, Kharan entered appeared before the Commission on 12.9.2020, whose statement was recorded on oath in which he deposed that Muhammad Arif s/o Khda-e-Nazar returned to home on 13.1.2020. He produced copy of SP Kharan report dated 12.9.2020 and report of SHO PS Kharan dated 22.8.2020 wherein it was stated that Muhammad Arif returned to home on 13.1.2020. Foregoing in view , the case is closed.</t>
  </si>
  <si>
    <t>6003-B</t>
  </si>
  <si>
    <t>Inayat Ullah s/o haji Rehmat Ullah</t>
  </si>
  <si>
    <t>Mst. Bibi Janat Khatoon r/o Killi Abdul Hakeem, Isplanji, District Mastang, Balochistan.</t>
  </si>
  <si>
    <t>6004-B</t>
  </si>
  <si>
    <t>Mushtaq Ahmed s/o Takari Saif Ullah</t>
  </si>
  <si>
    <t>Tarari Saif Ullah r/o Killi Takari Mirza Khan, District Mustang, Balochistan.</t>
  </si>
  <si>
    <t>Traced Person. FC, Balochistan (North) submitted affidavit from Musthaq Ahmed stating that he had retrurned to home in February, 2019.</t>
  </si>
  <si>
    <t>6005-S 1588-K</t>
  </si>
  <si>
    <t>Raheem Ullah</t>
  </si>
  <si>
    <t>Mohalla Allahu Akber, Tehsil Kabal, District Swat.</t>
  </si>
  <si>
    <t>6006-S</t>
  </si>
  <si>
    <t>Nasir Ahmed</t>
  </si>
  <si>
    <t>Jall Tehsil, Awaran District, Balochistan.</t>
  </si>
  <si>
    <t>54401-1798423-7</t>
  </si>
  <si>
    <t>6007-S</t>
  </si>
  <si>
    <t>Rafiq s/o Rahim Baksh</t>
  </si>
  <si>
    <t>Awaran District, Balochistan.</t>
  </si>
  <si>
    <t>6008-S</t>
  </si>
  <si>
    <t>Muhammad Shoaib</t>
  </si>
  <si>
    <t>Mujahid colony, Nazimabad No.4, Karachi</t>
  </si>
  <si>
    <t>Traced Person. It was informed at the hearing held Sub-office Commission at Karachi on 11.9.2019 that dead body of the Missing Person Muhammad Shoaib was recovered which was handed over for burial to his brother Javed Ghufran. As per report dated 27.1.2018 from Commandant Border Military Police (BMP) Dera Ghazi Khan received through the SSP, Investigation West-II Karachi on 21.8.2018 that at about 05:30 hours on special information Border Military Police alongwith Rangers reachd Dera Kora Moza Jhong in the limit of PS Lkhani Tehsil Tonsa suddenly 5/6 unknown accused persons started firing upon security persons who also fired in their defense. After firing two dead bodies were found and one of them was identified through a slip recovered from his pocket, as Muhammad Shoaib Ghufran @ Dawood s/o Muhammad Ghufran r/o, Mujhaidabad colony, Nazimabad, Karachi.</t>
  </si>
  <si>
    <t>6009-S 2431-S</t>
  </si>
  <si>
    <t>Hazrat Usman s/o Muhammad Naeemullah</t>
  </si>
  <si>
    <t>House No. 108, Sector No.1, Street No.15, Pakhtoon Abad, Mango Pir Road, Karachi.</t>
  </si>
  <si>
    <t>MoFAs No. 10008626</t>
  </si>
  <si>
    <t>2431-S Same Case</t>
  </si>
  <si>
    <t>6010-S</t>
  </si>
  <si>
    <t>Nafees Nizam s/o Nizam Uddin</t>
  </si>
  <si>
    <t>House No.173, Block J, North Nazimabad, Karachi.</t>
  </si>
  <si>
    <t>Traced Person. Nafees Nizam s/o Nizam-ud-Din appeared before the Commission at the hearing held on 24.12.2019 and his statement has recorded SHO, PS Shahrah Noor Jahan also furnished report along with statement from father of the traced person.</t>
  </si>
  <si>
    <t>6011-S</t>
  </si>
  <si>
    <t>Shahid Niazm s/o Nizam Uddin</t>
  </si>
  <si>
    <t>Traced Person. Shahid Nizam appeared before the Commission at the hearing on 24.12.2019. The statement of brother of the Traced Person has also been recorded. Father of Shahid Nizam also appeared before the Commission. SHO Sh. Noor Jahan also submitted his report.</t>
  </si>
  <si>
    <t>6012-S</t>
  </si>
  <si>
    <t>Momin khan Momin</t>
  </si>
  <si>
    <t>Flat Opposite side the Karachi University, in Gulistan e Jauhar, Karachi.</t>
  </si>
  <si>
    <t>Traced Person. It was informed at the hearing held in this case on 28.5.2019 that Momin Khan Momin and Mohsin Khan (Case No. 6017-S) has returned to home. In this connection, the statement of Mst. Nadia Khan d/o Momin Khan who appeared in PS Gulistan-e-Johar, Karachi is available on record.</t>
  </si>
  <si>
    <t>6013-B</t>
  </si>
  <si>
    <t>Qadir Bakhsh s/o Abdul Sattar</t>
  </si>
  <si>
    <t>Abdul Sattar r/o District Mastang , Balochistan</t>
  </si>
  <si>
    <t>Traced Person. Qadir Bux appeared before the Commission, whose statement was recorded on oath in which he deposed that he was abducted on 24th February, 2018 from his shop at Kachi Beg, Quetta that he was taken away in a vehicle blindfolded kept detained in a room set free on 9th February, 2021 and he returned home.</t>
  </si>
  <si>
    <t>6014-B</t>
  </si>
  <si>
    <t>Mudasir Baloch s/o Ali Khan</t>
  </si>
  <si>
    <t>Ali Khan r/o Killi Jamaldani, District Noshki, Balochistan.</t>
  </si>
  <si>
    <t>Traced Person. Mudassair Baloch appeared before the Commission on 21.9.2019 at Quetta, whose statement has been recorded on oath. He has stated that he was picked up and taken away blindfolded by some unknown persons who were in civvies from Railway Station Noshki. He has further stated that he was set free on 30.6.2019.</t>
  </si>
  <si>
    <t>6015-B</t>
  </si>
  <si>
    <t>Irfan Ali s/o Rasool Baksh</t>
  </si>
  <si>
    <t>Rasool Baksh r/o Saryab Road, Quetta, Balochistan.</t>
  </si>
  <si>
    <t>Traced Person. Irfan Ali appeared before the Commission on 24.6.2019, his statement was recorded. He stated that he was abducted by unknown persons he was set free and reached home on 22.3.2019.</t>
  </si>
  <si>
    <t>6016-B</t>
  </si>
  <si>
    <t>Saqib Ali s/o Nabi Bakhsh</t>
  </si>
  <si>
    <t>Nabi Bakhsh r/o Mengal Ghoat, Karachi.</t>
  </si>
  <si>
    <t>Traced Person. Gul Ahmad, DSP/Khuzdar entered appearance before the Commission on 19.9.2019 and produced statements of wife, sons, daughters &amp; SHO PS City, Khuzdar confirming that Saqib Ali has returned to home.</t>
  </si>
  <si>
    <t>6017-S</t>
  </si>
  <si>
    <t>Mohsin Khan s/o Momin khan Momin</t>
  </si>
  <si>
    <t>Traced Person. Momin Khan has returned top home as informed at the hearing held at Sub-office of the Commission at Karachi on 28.5.2019.</t>
  </si>
  <si>
    <t>6018-S</t>
  </si>
  <si>
    <t>Farhan Masood B/o Missing Person, House No. L-724, Sector 4-B, Sarjani Town, Karachi, Sindh (Mobile No. 0345-2452184).</t>
  </si>
  <si>
    <t>Deleted. A hearing was held in this case on 11.9.2019. None appeared on behalf of the family. Inspector Naseer of PS Surjani, Karachi, submitted report of JIT which shows that the alleged missing person had gone on his own. The record shows that he had affiliation with the Tailban and was involved in criminal cases. Notice was served on the complainant side. Copy of the notice has been produced which shows the complainant party has lost interest. Keeping in view the facts and circumstances of this case, it appears that it is no more a case of enforced disappearance and matter is filed.</t>
  </si>
  <si>
    <t>6019-S</t>
  </si>
  <si>
    <t>Mst. Jahan Ara, r/o Mohallah Thana, Village Nangolai, Tehsil Kabal District: Swat. (Mobile No. 0348-1916385).</t>
  </si>
  <si>
    <t>Traced Person. It was informed at the hearing held in this Commission on 12.6.2019 that Muhammad Bilal is confined in Internment Center Swat, KPK. Family members have been allowed to meet him.</t>
  </si>
  <si>
    <t>6020-K</t>
  </si>
  <si>
    <t>Muhammad Wali Khan</t>
  </si>
  <si>
    <t>r/o Gulab Masjid, Bayrooni Yakatoot, Zargar Abad, Peshawar.</t>
  </si>
  <si>
    <t>6021-P</t>
  </si>
  <si>
    <t>Sheeraz Hussain s/o Sajjid Hussain</t>
  </si>
  <si>
    <t>Shama Hussain m/o Missing Person r/o Mohalla Miskeen, P.O Jalal Pur Hussaina. District Gujrat, P.S Gujrat. &amp; 77-Charlotte Road, Sheffield, S1 4TJ, S YorkShine Loundon UK. (Mobile No. 0447825265731 &amp; 07782526731)</t>
  </si>
  <si>
    <t>91400-0428692-5</t>
  </si>
  <si>
    <t>FIR No.39353 u/s 365 dated. P.S Liaqtaabad Lahore.</t>
  </si>
  <si>
    <t>6022-K</t>
  </si>
  <si>
    <t>Umer Hayat s/o Ahmed Kareem</t>
  </si>
  <si>
    <t>Ahmed Kareem r/o Village &amp; P.O Banir, Tehsil Alpurey, District Shangla. (Mobile No. 0346-0022262).</t>
  </si>
  <si>
    <t>Traced Person. Rep of MI appeared for hearing on 10.2.2020, who has affirmed that Umar Hayat is presently confined in the Internment Center Lakki Marwat. Arshad Iqbal who is present on behalf of Umer Hayat has been apprised of the status of the case. Family members of Umer Hayat shall be facilitated to see him in the said Internment Center.</t>
  </si>
  <si>
    <t>6023-K</t>
  </si>
  <si>
    <t>Khursheed Anwar s/o Naveed Ghafoor (Niaz Ghafoor)</t>
  </si>
  <si>
    <t>Irshad Anwar s/o Khursheed Anwar r/o Mohalla Ghazi Baba, Odh Yagaram, Tehsil Babu Zai, District Swat. (Mobile No. 0343-9223900).</t>
  </si>
  <si>
    <t>15602-0460237-9</t>
  </si>
  <si>
    <t>Fir No. 344 Dated 29.4.19 u/s 365 ppc p.d Rahimabad Swat.</t>
  </si>
  <si>
    <t>6024-S</t>
  </si>
  <si>
    <t>Abdul Samad s/o Naimat Ullah</t>
  </si>
  <si>
    <t>Mst. Dherai Bibi w/o Abdul Samad r/o Gobal Sukhra, Tehsil Mataa, District Swat. (Mobile No. 0344-9568220).</t>
  </si>
  <si>
    <t>Traced Person. It was informed at the hearing held in this Commission on 24.12.2020 that dead body of Missing Person was recovered which was handed over to his legal heirs for burial. The report of SDPO, Saddar Divission supported by statement of wife of Missing Person and Eidi Dispensary.</t>
  </si>
  <si>
    <t>6025-K</t>
  </si>
  <si>
    <t>Saidan Shah s/o Nazar Din</t>
  </si>
  <si>
    <t>Shahab ud Din s/o Saidan Shah r/o P.O Tyaza, Khsoorah, Tehsil Tyaza, District Sout Waziristan, KPK. (Mobile No. 0333-7321035 &amp; 0333-2426147).</t>
  </si>
  <si>
    <t>6026-K</t>
  </si>
  <si>
    <t>Mansoor (Ijaz) s/o Saeed Akhter</t>
  </si>
  <si>
    <t>Saeed Akhter r/o Gowak, P.O Ladha, Tehsil Ladha, District Sout Waziristan Agency KPK. (Mobile No. 0347-2470099 &amp; 0340-2000031).</t>
  </si>
  <si>
    <t>FIR No. 13 dated 28/8/2019, u/s 365 PPC, P.S Lahda, District SWTD</t>
  </si>
  <si>
    <t>Naeem Khan s/o Wahid Khan</t>
  </si>
  <si>
    <t>Hakeem Khan s/o Wahid Khan r/o Kala Khatai road, Quew Town, Chisti Dawa Khana, Distict Lahore. (Mobile No. 0313-5277785 &amp; 0344-5000176).</t>
  </si>
  <si>
    <t>37405-0882771-9</t>
  </si>
  <si>
    <t>6028-K</t>
  </si>
  <si>
    <t>Niaz Muhammad s/o Dost Muhammad</t>
  </si>
  <si>
    <t>Dost Muhammad r/o P.O Doaba, Doaba Tul, District Hangu. (Mobile No. 0301-5362527 &amp; 0302-5761698).</t>
  </si>
  <si>
    <t>6029-K</t>
  </si>
  <si>
    <t>Muhammad Ayub s/o Islam Bahdur</t>
  </si>
  <si>
    <t>Islam Bahdur r/o Village Herfar, P.O Mir Ali, Tehsil Mir Ali, District North Waziristan Agency. (Mobile No. 0333-1315552).</t>
  </si>
  <si>
    <t>21505-8799964-9</t>
  </si>
  <si>
    <t>FIR No. 872 dated 27.7.2019 u/s 365 PPC PS City, District Hangu</t>
  </si>
  <si>
    <t>6030-S</t>
  </si>
  <si>
    <t>Saif Ullah s/o Kowaza Jan</t>
  </si>
  <si>
    <t>Kowaza Jan r/o Bagas Bay Road, Mushraf Colony, Sector 6-F, Karachi. (Mobile No. 0345-2476280).</t>
  </si>
  <si>
    <t>6031-S</t>
  </si>
  <si>
    <t>Abdullah Jan s/o Nazar Jan</t>
  </si>
  <si>
    <t>Nazar Jan, r/o MT, Khan Road, House No. 299, Street No. 02, Mohallah New haji Camp, Karachi. (Mobile No. 0311-2752784)</t>
  </si>
  <si>
    <t>6032-I</t>
  </si>
  <si>
    <t>Haji Akbar s/o Gul Wali</t>
  </si>
  <si>
    <t>Mst. Maryam Bibi, r/o Zia Masjid, New Shakrial, Islamabad. (Mobile No. 0300-9053399)</t>
  </si>
  <si>
    <t>21201-4922308-3</t>
  </si>
  <si>
    <t>FIR No. 262, dated 10.08.2019, u/c 365 PPC, P.S Khanna, ICT</t>
  </si>
  <si>
    <t>6033-S</t>
  </si>
  <si>
    <t>Syed Ahmed Arafat</t>
  </si>
  <si>
    <t>Mst. Nusrat Begum, r/o House No. 215, Landhi No. 02, Karachi. (Mobile No. 0332-2490803)</t>
  </si>
  <si>
    <t>Traced Person. It was informed at the hearing held in this Commission on 21.5.2019 that Syed Ahmed Arfat has returned to home. The report submitted by the Police Officer SHO, Landhi is placed on record.</t>
  </si>
  <si>
    <t>6034-S</t>
  </si>
  <si>
    <t>Hafiz Muhammad Jameel s/o Muhammad Siddique</t>
  </si>
  <si>
    <t>Mst. Rashida Parveen, r/o Jhang Road, Saifabad No. 01, Street No. 07, Faislabad. (Mobile No. 0303-7781945)</t>
  </si>
  <si>
    <t>Deleted. According to the report submitted by PS Bin Qasim, Karachi the complainant Rashida Parveen w/o the Missing Person Hafiz Muhammad Jameel was contacted SIP who informed him that his husband was a driver and Zain owner of the Toller LCA-192 took her husband from his home on 16.6.2019 and did not come back. Hence not a case of enforced disappearance. However Police will continue further investigation as per law.</t>
  </si>
  <si>
    <t>6035-S</t>
  </si>
  <si>
    <t>Muhammad Rashid Sabari s/o Muhammad Anwar</t>
  </si>
  <si>
    <t>Mst. Ayesha Naz, r/o House No. 276, Landhi No. 3/12, Karachi. (Mobile No. 0313-2626474 &amp; 0322-2459584)</t>
  </si>
  <si>
    <t>Traced Person. It was informed at the hearing held in this Commission on 21.5.2019 that Muhammad Rashid Sabari has returned to home. The report submitted by the Police Officer SHO Landhi, Karachi is placed on record.</t>
  </si>
  <si>
    <t>6036-P</t>
  </si>
  <si>
    <t>Maulana Nauman Tariq</t>
  </si>
  <si>
    <t>Village Panhjgran, P.O Sagri, Tehsil &amp; District Rawalpindi</t>
  </si>
  <si>
    <t>Traced Person. Maulana Nauman Tariq appeared before the Commission on 20.6.2019, whose statement has been recorded on oath. According to him, he was not abducted by any person but had gone to Karachi in connection with search of livelihood job.</t>
  </si>
  <si>
    <t>6037-S</t>
  </si>
  <si>
    <t>Muhammad Afzal Sheikh s/o Haider Sheikh</t>
  </si>
  <si>
    <t>Al-Araf, r/o House No. 374, Sector 5/B, Mumar Abad, Sirjani Town, Karachi. (Mobile No. 0311-8962576)</t>
  </si>
  <si>
    <t>Traced Person. It was informed at the hearing held in this Commission on 29.1.2020 that Muhammad Afzal Sheikh has returned home. SHO, PS Surjani Town, Karachi submitted report to confirm the aforesaid position.</t>
  </si>
  <si>
    <t>6038-P</t>
  </si>
  <si>
    <t>Muhammad Atif s/o Abdul Ghani</t>
  </si>
  <si>
    <t>Abdul Ghani, r/o Wara Alam Shah, Tehsil Malkawal, District Mandi Bahauddin. (Mobile No. 0344-6524859 &amp; 0306-6874105 &amp; 0346-6864603)</t>
  </si>
  <si>
    <t>Perusal of the circumstances and facts of the instant case indicates that there is absolutely nothing which can bring the matter within the domain of "Enforced Disappearance". According to Regulations, 2011 "Enforced Disappearance/Missing Person" means such person as has been picked up/taken into custody by one of the law enforcement/ intelligence agencies, working under civilian or military control, in a manner which is contrary to the provisions of law." According to to JIT, three private persons was nominated in the case, who were incorppated but acquitted by thye court o0f Law. ISI, MI, and CTD has submitted reports indicating denied for arrest/ encounters of Muhammad Atif. Hence not a case of Enforced Disappearance. The case is closed.</t>
  </si>
  <si>
    <t>6039-P</t>
  </si>
  <si>
    <t>Khurram Ayub s/o Muhammad Ayub</t>
  </si>
  <si>
    <t>Muhammad Ayub, r/o 5-H, Canal Berg, Near Canal View, Multan Road, Lahore. (Mobile No. 0300-4466201)</t>
  </si>
  <si>
    <t>35202-9071923-1</t>
  </si>
  <si>
    <t>FIR No. 547/18 dated 13/10/2018 u/s 365 PPC, PS Mustafa Town District Lahore</t>
  </si>
  <si>
    <t>Traced Person. Khurram Ayub has been traced. He has returned to home. Father of missing person appeared before the Commission on 18.6.2019 whose statement has been recorded in oath. According to which Khurram Ayub disappeared on his own became of domestic dispute.</t>
  </si>
  <si>
    <t>6040-S</t>
  </si>
  <si>
    <t>Muhammad Saleem s/o Islam-ud-Din</t>
  </si>
  <si>
    <t>Islam-ud-Din, r/o P-305, Korangi, 1-2/2, Karachi. (Mobile No. 0332-2107550)</t>
  </si>
  <si>
    <t>Traced Person. It was informed at the hearing held in this Commission on 23.5.2019 that Muhammad Saleem has returned to home. The report submitted by the Police Officer SHO, KIA, Karachi is placed on record</t>
  </si>
  <si>
    <t>6041-S</t>
  </si>
  <si>
    <t>Muhammad Ilyas s/o Muhammad Yaseen Khan</t>
  </si>
  <si>
    <t>Muhammad Yaseen Khan, r/o Gulshan-e-Bonair, New Muzaffar Abad Colony, Landhi, Karachi. (Mobile No. 0332-3556160)</t>
  </si>
  <si>
    <t>Traced Person. It was informed at the hearing held in this case that Muhamamd Ilyyas was arrested in case FIR No 74/2018 u/s 23 (i) (a), Sindh Arms Acts, PS CTD, Karachi. Later he was released on bail by competent Court of Law. Presently he is at home. His statement is placed on record.</t>
  </si>
  <si>
    <t>6042-S</t>
  </si>
  <si>
    <t>Ali Raza s/o Ishaq Ali</t>
  </si>
  <si>
    <t>Ishaq Ali, r/oA-92/7, Liaquat Abad, Karachi. (Mobile No. 0312-2596119 &amp; 0347-3205428)</t>
  </si>
  <si>
    <t>Traced Person. It was informed at the hearing held in this Commission on 05.8.2019 that Mr. Ali Raza has returned to home. He appeared before the Commission the report submitted by SHO Liqatabad, Karachi and statement of Ali Raza are also placed on record.</t>
  </si>
  <si>
    <t>6043-S</t>
  </si>
  <si>
    <t>Moin Aziz Mirza</t>
  </si>
  <si>
    <t>Mst. Rehema Moin Mirza, (Mobile No. 0301-8211008)</t>
  </si>
  <si>
    <t>Traced Person.It was informed at the hearing held in this Commission on 21.11.2019 that Moin Aziz Mirza has returned to home. The statement of the wife of the Traced Person has been recorded u/s 164 CrPC, which is available on record. The report submitted by SHO Darakshana, Karachi is also placed on record.</t>
  </si>
  <si>
    <t>6044-S</t>
  </si>
  <si>
    <t>Jameel Khan s/o Baghastan Khan</t>
  </si>
  <si>
    <t>Hikmat Khan, r/o Bonair, Near New Muzaffarabad Colony, Landhi, Karachi. (Mobile No. 0347-1818917)</t>
  </si>
  <si>
    <t>Traced Person. It was informed at the hearing held in this Commission on 21.5.2019 that Junaid Khan has returned to home. The report submitted by the Police Officer SHO Landhi, Karachi is placed on record.</t>
  </si>
  <si>
    <t>6045-S</t>
  </si>
  <si>
    <t>Shahzad s/o Fazal Rehman</t>
  </si>
  <si>
    <t>Umar Rehman, r/o House No. C-136, Rabbani Mohallah, Frontier Colony No. 03, Manghopir Road, Karachi. (Mobile No. 0347-9617962)</t>
  </si>
  <si>
    <t>Traced Person. It was informed at the hearing held in this Commission on 12.6.2019 that Shahzad is confined in Central Jail as per report of PS Mangopir, Karachi.</t>
  </si>
  <si>
    <t>6046-S</t>
  </si>
  <si>
    <t>Muhammad Bilal s/o Abdul Qadir</t>
  </si>
  <si>
    <t>Mst. Hareem Naz, r/o House No. R-443, First Floor, Sector No. 8, North Karachi. (Mobile No. 0313-2793346)</t>
  </si>
  <si>
    <t>Traced Person. It was informed at the hearing held in this Commission on 25.6.2019 that Muhammad Bilal has returned to home. The report submitted by the Police Officer SHO, Khawaja Ameer Nagari, Karachi.</t>
  </si>
  <si>
    <t>6047-S</t>
  </si>
  <si>
    <t>Muhammad Aslam s/o Shah Pasand Zat</t>
  </si>
  <si>
    <t>Ustad Inam Ullah Gabool, r/o Kandh Kot, District Kashmoor. (Mobile No. 0316-3566648 &amp; 0302-3872504)</t>
  </si>
  <si>
    <t>Deleted. This case is closed for want of Jurisdiction as the FIR No. 36/2018 PS Maripur, Karachi that unknown persons abducted him for unknown reasons. There is no allegation against any LEA.</t>
  </si>
  <si>
    <t>6048-S</t>
  </si>
  <si>
    <t>Muhammad Shah Rukh Sheikh s/o Muhammad Sohaib</t>
  </si>
  <si>
    <t>Muhammad Sohaib, r/o Flat No. 208, Mohallah Ghulam Hussain Qasim Road, Gulshan Umar, Karachi. (Mobile No. 0336-3327720)</t>
  </si>
  <si>
    <t>Traced Person. It was informed at the hearing held in this Commission on 14.5.2019 that Muhammad Shah Rakuh Sheikh has returned to home. The report submitted by the Police Officer SHO, PS Garden is place on record.</t>
  </si>
  <si>
    <t>6049-S</t>
  </si>
  <si>
    <t>Muhammad Faheem Rao s/o Muhammad Siddique Rao</t>
  </si>
  <si>
    <t>Traced Person. It was informed at the hearing held in this Commission on 14.5.2019 that Muhammad Faheem Rao has returned to home. The report submitted by the Police Officer SHO, PS Garden is place on record.</t>
  </si>
  <si>
    <t>6050-S</t>
  </si>
  <si>
    <t>Waheed Ullah s/o Pir Badshah</t>
  </si>
  <si>
    <t>Pir Badshah, r/o House No. B-40, Umar Colony No. 02, Karachi. (Mobile No. 0346-2302709 &amp; 0333-3361442)</t>
  </si>
  <si>
    <t>Traced Person. It was informed at the hearing on 28.5.2019 that Waheed Ullah has been arrested by CTD and currently on judicial remand.</t>
  </si>
  <si>
    <t>6051-S</t>
  </si>
  <si>
    <t>Qasim Ali Shah s/o Zain-ul-Abideen Shah</t>
  </si>
  <si>
    <t>Arshad Ali Shah, r/o Islamabad Model School For Boys, Federal Area Khadar Pair Near Park Road Taramri Chowk, Main Market Wali Gali, Islamabad. (Mobile No. 0306-3670708)</t>
  </si>
  <si>
    <t>FIR No. 114/2019 dated 20.6.2019 u/s 365 PPC PS A/Section Kand Kot</t>
  </si>
  <si>
    <t>Traced Person. It was informed at the hearing held in this Commission on 4.9.2019 that Qasim Ali Shah has returned to home. The statement of the Traced Person has been recorded u/s 164 CrpC, which is available on record. Brother of the Taced Person also confirmed.</t>
  </si>
  <si>
    <t>6052-P</t>
  </si>
  <si>
    <t>Sher Rehman s/o Molla Khan</t>
  </si>
  <si>
    <t>Kharb Rehman r/o Mohalla Kohsar Colony, Near Ameer Hamza Masjid, Taxila. (Mobile No. 0340-0915191)</t>
  </si>
  <si>
    <t>Ist May, 2019</t>
  </si>
  <si>
    <t>6053-K</t>
  </si>
  <si>
    <t>Ikram Ullah s/o Shams ur Rehman</t>
  </si>
  <si>
    <t>Ahsan Ullah r/o Ahle Hadies Colony, Sabzi Mandi, Bhandu Road, Peshawar. (Mobile No. 0312-9959526).</t>
  </si>
  <si>
    <t>6054-K</t>
  </si>
  <si>
    <t>Najma d/o Mir Muhammad</t>
  </si>
  <si>
    <t>Mir Muhammad, r/o Tajabad, Najeeb Colony, University Road, Peshawar. (Mobile No. 0332-6006002 &amp; 0349-1905382)</t>
  </si>
  <si>
    <t>Traced Person. SP (Inv), Peshawar is present who has furnished report No. 11/2/Oprs, dated Peshawar 28/6/2019 on behalf of SSP (Operation) Peshawar. According to this report Mst. Najma has returned to home and the complainant is not interested to pursue the case further.</t>
  </si>
  <si>
    <t>6055-K</t>
  </si>
  <si>
    <t>Yasir Shamas s/o Shamas-ur-Rehman</t>
  </si>
  <si>
    <t>House No. D-61, Street No. 05, Sector C-3, Phase No. 05, Hayatabad, Peshawar. (Mobile No. 0333-9136078)</t>
  </si>
  <si>
    <t>Traced Person. SP (Inv), Peshawar is presently who submitted report dated 25/6/2019 on behalf of ASP Hayatabad Sub-Division Peshawar. According to this report Yasir Shamas has been attested by CTD vide case FIR No. 25 dated 1/5/2019 u/s 11N21 (i) ATA-302-324-353-427-120B-3/4/5 EXP-15AA-7ATA statement of Yasir Shamas has been recorded u/s 164 CrpC copy whereof is available with the report.</t>
  </si>
  <si>
    <t>6056-K</t>
  </si>
  <si>
    <t>Shah Zaib s/o Muhammad Zareef</t>
  </si>
  <si>
    <t>Abdul Hameed, r/o Village Dobandi, Tehsil Dargai, District Malakand. (Mobile No. 0347-2269612)</t>
  </si>
  <si>
    <t>6057-B</t>
  </si>
  <si>
    <t>Sarfraz Ahmed s/o Muhammad Umar</t>
  </si>
  <si>
    <t>FIR No.25/19 Dated 19.6.2019 U/S PPC, PS Cantt, Quetta.</t>
  </si>
  <si>
    <t>Traced Person. Safaraz Ahmed s/o Muhammad Umer has entered appearance before the Commission on 4.3.2020 at Quetta, whose statement has been recorded on oath. He has deposed that on 12.2.2019, when he was going to D.I. Khan from Peshawar by Bus, he was loaded from the bus at D.I.Khan Cantt by some unknown place. He further deposed that he was set free on 6.1.2020 at Karachi from where he has returned home. He has further deposed that since his memory is weak, therefore he cannot say anything with certainly that he can identify those persons who abducted him, even if they are brought before him. He has requested that the case may be closed.</t>
  </si>
  <si>
    <t>6058-B</t>
  </si>
  <si>
    <t>Abdul Hameed s/o Bari Dad</t>
  </si>
  <si>
    <t>Bari Dad, r/o Mohalladh Kili Shabo, Sumangali Road, Quetta. (Mobile No. 0333-309994)</t>
  </si>
  <si>
    <t>Deleted. Abdul Rasheed s/o Bari Dad brother of Abdul Hameed appeared before the Commission at Quetta whose statement was recorded on oath, in which he stated that Shahid and Jehanzeb are involved in the abduction of his brother. He has further deposed that he has no suspicion regarding abduction of his brother on any other person or Government Agency. Mr. Naveed Alam, Addl SP, Lasbella has submitted JIT report dated 14.9.2019, wherein the JIT has categorized the case as Kidnapping due to personal enmity. Hence the case does not fall within the domain of enforced disappearance, therefore deleted.</t>
  </si>
  <si>
    <t>6059-S</t>
  </si>
  <si>
    <t>Siraj-ur-Rehman s/o Wasi Rehman</t>
  </si>
  <si>
    <t>Mst. Rabia Siraj, r/o Siraji Chowk, UC. 05, Machar Colony, Karachi. (Mobile No. 0322-8214061 &amp; 0324-2728495)</t>
  </si>
  <si>
    <t>Traced Person. It was informed at the hearing held in this Commission on 5.8.2019 that Mr. Siraj-ur-Rehman is involved in Criminal Case vide FIR No. 201/2019 PS Jackson, Karachi. He wa arrested and presently confined in Central Jail, Karachi.</t>
  </si>
  <si>
    <t>6060-B</t>
  </si>
  <si>
    <t>Shoaib Ahmed s/o Ghulam Qadir</t>
  </si>
  <si>
    <t>Aziz-ur-Rehman, r/o Kuli, Kongara, District Mastung. (Mobile No. 0302-3822206)</t>
  </si>
  <si>
    <t>Traced Person. Shoaib Ahmad s/o Ghulam Qadir appeared before the Commission on 11.9.2020 at Quetta, whose statement has been recorded on oath, in which he deposed that he was picked up and taken away by some unknow person in 2016 that he was kept at and unknown place and set free six months ago at Mastung Ground from where he returned to home. He further submitted that he could not identify those persons even if they were produced before him.</t>
  </si>
  <si>
    <t>6061-B</t>
  </si>
  <si>
    <t>Muhammad Khalid s/o Mir Badil Khan</t>
  </si>
  <si>
    <t>Habib Ullah, r/o Kuli Malik Rasool Bakhsh, Dalabdin, District Chagi. (Mobile No. 0332-7878253)</t>
  </si>
  <si>
    <t>Traced Person. It has been informed at the hearing held in this Commission at Quetta that Muhammad Khalid s/o Mir Badil Khan is confined in Mach Jail. Family informed. The case is closed.</t>
  </si>
  <si>
    <t>6062-B</t>
  </si>
  <si>
    <t>Khudai Noor s/o Abdul Karim</t>
  </si>
  <si>
    <t>Syed Noor, r/o Kharotabad, Near Madina Masjid, Quetta. (Mobile No. 0345-9200228)</t>
  </si>
  <si>
    <t>134/2014 u/c 365-34 ppc ps kharoatabad Quetta</t>
  </si>
  <si>
    <t>6063-B</t>
  </si>
  <si>
    <t>Molvi Habit Ullah s/o Haji Abdul Ghani</t>
  </si>
  <si>
    <t>Qudrat Ullah, r/o Kuli Peeran, Pashin, Quetta. (Mobile No. 0300-0090942)</t>
  </si>
  <si>
    <t>Deleted. The complainant Qudrat Ullah appeared before the Commission on 29.3.2021, whose statement has been recorded on oath, in which he deposed that complaint was lodged by him in the Commission. He further deposed that he has not levelled any allegation against any of LEAs/ Intelligence Agency in the complaint. Accordingly, not a case of enforced disappearance, Hence the case is closed.</t>
  </si>
  <si>
    <t>6064-K</t>
  </si>
  <si>
    <t>Muhammad Saddam Hussain s/o Syed Ali Badshah</t>
  </si>
  <si>
    <t>Munsif Shah, r/o Koki Khel, Shah Kas, Jamrood, District Khyber Agency. (Mobile No. 0313-9099766 &amp; 0300-9074194)</t>
  </si>
  <si>
    <t>Traced Person. Muhammad Saddam Hussain has been traced. He is presently confined in Internment Center Lakki Marwat. Munsif Shah Complainant has entered appearance whose statement has been recorded on oath. According to his statement Muhammad Saddam Hussain is confined in Internment Center Lakki Marwat and family members have already met him.</t>
  </si>
  <si>
    <t>6065-K</t>
  </si>
  <si>
    <t>Amjad Khan s/o Syed Haram Khan</t>
  </si>
  <si>
    <t>Syed Haram Khan r/o Muzako , Union Concl Shamozai, Tehsil Barekot, District Swat. (Mobile No. 0313-9905331).</t>
  </si>
  <si>
    <t>6066-S</t>
  </si>
  <si>
    <t>Farooq Jamal s/o Syed Wazir</t>
  </si>
  <si>
    <t>Mst. Mina Bas r/o House No.557, Gali No.15, E Area, Hospital Chorangi, Mufazrabad Colony , Landhi Karachi. (Mobile No. 0305-9123118 &amp; 0331-2341695).</t>
  </si>
  <si>
    <t>Traced Person. It was informed at the hearing held in this Commission on 18.5.2022 that dead body of Missing Person Farooq Jamal was recovered. Reported SDPO Quaid Abad Sub- Division submitted report that Zahir Shah (Brother-in-law) confirmed in his statement that he identified dead body of Farooq Jamal at Cheepa Centre and that the dead body was buried in Chakara Goth Graveyard, Korangi. He was killed in an encounter with Pak Rangers Sindh, Karachi. Hence no further action is required. The case is closed.</t>
  </si>
  <si>
    <t>6067-S</t>
  </si>
  <si>
    <t>Shaid Kaleem s/o Abdul Sami</t>
  </si>
  <si>
    <t>Mst. Alia Shaid r/o House No. 1/281, Mohalla Liaqatabad, District Wasti Karachi. (Mobile No. 0317-0283897).</t>
  </si>
  <si>
    <t>Traced Person. As per report SDPO, Gulbhar, Karachi dead body of Shahid Kaleem was recovered on 6/12/2020 dated 07/07/2012 u/s 302/201/202/34 PPC PS Sarjani Town has been registered. Mst. Ali Shahid wife of Shahid Kaleem was also present and affirmed that dead body of Shahid Kaleem was recovered, identified and later on burial was carried out.</t>
  </si>
  <si>
    <t>6068-S</t>
  </si>
  <si>
    <t>Amjad Maroof Qurashi s/o Maroof Sultan</t>
  </si>
  <si>
    <t>Saira Amjad r/o Milat Town, House No. 508, Sulman Farsi, Malir Halt, Karachi. (Mobile No. 0304-2186770).</t>
  </si>
  <si>
    <t>6069-K</t>
  </si>
  <si>
    <t>Wahid Shah r/o Kabal Gram, P.S Kabal Gram, Marthong, Tehsil Poran, District Shangla. (Mobile No. 0345-8329126).</t>
  </si>
  <si>
    <t>6070-K</t>
  </si>
  <si>
    <t>Ahmed Syed s/o Noor Alam</t>
  </si>
  <si>
    <t>Zaffer Alam r/o Small Industrial Stat, Technical College, Kohat Road, Peshawar City. (Mobile No. 0349-5306712 &amp; 091-2321695 &amp; 0302-8358882 &amp; 0347-9857829).</t>
  </si>
  <si>
    <t>6071-K</t>
  </si>
  <si>
    <t>Mehboob Ali s/o Ghulam Khaliq</t>
  </si>
  <si>
    <t>Dolat Khan r/o Mohallah Chara Baba, P.O Ghaligay, Ghaligay, District Swat. (Mobile No. 0343-9634509 &amp; 0300-9070839)</t>
  </si>
  <si>
    <t>6072-S</t>
  </si>
  <si>
    <t>Muhammad Saleem-ur-Rehman s/o Anees-ur-Rehman</t>
  </si>
  <si>
    <t>Zubair r/o House No. 24/9, Sector 5-E New Karachi, Karachi. (Mobile No. 0300-2239393 &amp; 0345-3037446).</t>
  </si>
  <si>
    <t>MoFAs No. 10010519</t>
  </si>
  <si>
    <t>6073-K</t>
  </si>
  <si>
    <t>Syed Gul s/o Fazal Gul</t>
  </si>
  <si>
    <t>Mst. Khyal Maina Baigham r/o Mohallah Tokar Khel, Matni, Peshawar. (Mobile No. 0333-2527430 &amp; 0314-4639439).</t>
  </si>
  <si>
    <t>6074-K</t>
  </si>
  <si>
    <t>Farman Ullah s/o Badshah Hussain</t>
  </si>
  <si>
    <t>Muhammad Gani r/o Gao Sieh Meer, Meer, P.O Gam Sher, Tehsil Dir, District Upper Dir. (Mobile No. 0307-8561112)</t>
  </si>
  <si>
    <t>Traced Person. Farman Ullah has been traced. According to the report dated 29-5-2019 receiver from Rep of MI, Farman Ullah is presently confined in the Internment Center Fizaghat.</t>
  </si>
  <si>
    <t>6075-K</t>
  </si>
  <si>
    <t>Syed Zaman s/o Syed Rehman</t>
  </si>
  <si>
    <t>Syed Rehman r/o Village and P.O Dargi, Tehsil Sema Mrantki, District Malakank. (Mobile No. 0342-9151767).</t>
  </si>
  <si>
    <t>6076-P</t>
  </si>
  <si>
    <t>Muhammad Haneef Ullah s/o Muhammad Zar Ali</t>
  </si>
  <si>
    <t>Muhammad Zar Ali r/o Shaikh Kale, P.O Loye Sim, Tehsil Khar Bajur, District Bajur Agency. (Mobile No. 0345-9218935 &amp; 0303-6057220).</t>
  </si>
  <si>
    <t>21103-5548127-7</t>
  </si>
  <si>
    <t>6077-F</t>
  </si>
  <si>
    <t>Saboor Ahmed Khan s/o Ahmed Nawaz Khan</t>
  </si>
  <si>
    <t>Dilshad Baigham r/o Gandli, P.o Bazar Ahmed Khan Banu, Tehsil and District Banu. (Mobile No. 0348-0929642 &amp; 0334-5829659 &amp; 0333-9737366).</t>
  </si>
  <si>
    <t>Traced Person. Saboor Ahmed Khan has been traced he has returned home. Ijaz Ali DSP (Inv), Peshawar is present. His statement has been receded on oath. According to his statement Saboor Ahmed Khan has returned to home.</t>
  </si>
  <si>
    <t>6078-K</t>
  </si>
  <si>
    <t>Qari Rooh Ullah Shah s/o Muhammad Khursheed</t>
  </si>
  <si>
    <t>Mst. Bas Bibi m/o Missing Person r/o Terkha, P.O Haji Zai, Tehsil &amp; District Charsadda. (Mobile No. 0343-9677288 &amp; 0301-5966039).</t>
  </si>
  <si>
    <t>Deleted. During the course of inquiry, no clue could be found that any LEA/ Intelligence Agency was involved in disappearance of Qari Rooh Ullah Shah. The case has been categorized as of missing person has gone on his own by JIT as well as PTF. The complainant mst. Bas Bibi or her authorized representative was summoned twice for recording statement but none entered appearance despite issuance of notices. All stakeholders have denied arrest/custody of Qari Rooh Ullah Shah. Hence, not a case of enforced disappearance. The case is closed.</t>
  </si>
  <si>
    <t>6079-K</t>
  </si>
  <si>
    <t>Muhammad Ismail s/o Bacha Gul</t>
  </si>
  <si>
    <t>Mst. Zainab w/o Muhammad Ismail r/o Mohalla Malik Zai Yaar Hussain, Tehsil Chota Lahore, District Swabi. (0334-8898696 &amp; 0300-59807501).</t>
  </si>
  <si>
    <t>Traced Person. Muhammad Ismail has been traced. According to the report dated 29.5.2019 received form Rep of MI, Muhammad Ismail is presently confined in the Internment Center Lakki Marwat.</t>
  </si>
  <si>
    <t>6080-S</t>
  </si>
  <si>
    <t>Shahbaz s/o Muhammad Iqbal</t>
  </si>
  <si>
    <t>Mst. Nahida w/o Shahbaz r/o Amna Manzal, Floor 05, Majeed Khan Road, Karachi. (Mobile No. 0317-2135035).</t>
  </si>
  <si>
    <t>Traced Person. It was informed at the hearing held in this Commission on 5.8.2019 that Mr. Shahbaz has returned to home, who father of the traced person appeared before the Commission and confirmed the reported position in his statement, which is placed on record.</t>
  </si>
  <si>
    <t>6081-S</t>
  </si>
  <si>
    <t>Shams-ul-Faraz s/o Umer Jelan</t>
  </si>
  <si>
    <t>Umer Jelan r/o Village KabalGram, P.O Martong, District Shangala. (Mobile No. 0340-4594492).</t>
  </si>
  <si>
    <t>6082-K</t>
  </si>
  <si>
    <t>Iftkhar s/o Bacha Khan</t>
  </si>
  <si>
    <t>Bacha Khan r/o Alaka Sayue Jani Shah, Tehsil Mamund Districtr Bajur. (Mobile No. 0302-8843335 &amp; 0341-9150613)</t>
  </si>
  <si>
    <t>21104-8440990-5</t>
  </si>
  <si>
    <t>Traced Person. Iftikhar has been traced. According to reports dated 06.07.2020 and 24.07.2020 received from Rep of MI, Iftikhar is presently confined in the Internment Centre Lakki Marwat. Bacha Khan f/o Iftikhar was present, who was apprised of the status of the case. He may avail remedy if any in accordance with law. Family member of Iftikhar will be facilitated to see him in the Internment Centre as per rules and procedure.</t>
  </si>
  <si>
    <t>6083-K</t>
  </si>
  <si>
    <t>Umer Shaib s/o Muhammad Rahim</t>
  </si>
  <si>
    <t>Mst. Eishrat r/o Elaqa Koz Shor, Tehsil Mata, District Swat. (Mobile No. 0348-9285675).</t>
  </si>
  <si>
    <t>FIR No. 402 dated 16-06-2019 u/s 365 PPC Police Station Shaheedan Wainai Swat</t>
  </si>
  <si>
    <t>6084-K</t>
  </si>
  <si>
    <t>Wafadar s/o Israr Gul</t>
  </si>
  <si>
    <t>Umer Farooq r/o Plato, P.o Mardau, Tehsile &amp; District Mardan, Near Abdul Wali Khan University, Garden Campus, Mardan, P.s City Mardan. (Mobile No. 0313-3926226).</t>
  </si>
  <si>
    <t>16101-8121911-1</t>
  </si>
  <si>
    <t>FIR No. 377 dated 19.4.19 u/s 365 PPC P.S City, Mardan</t>
  </si>
  <si>
    <t>6085-K</t>
  </si>
  <si>
    <t>Muhammad Younas s/o Muhammad Khan</t>
  </si>
  <si>
    <t>Muhammad Khan r/o Landi Akhwan Ahmed, Tehsil &amp; District Peshawar. (Mobile No. 0309-9394724 &amp; 0336-9066974).</t>
  </si>
  <si>
    <t>Traced Person. Muhammad Younas has been traced, he has returned to home and appeared before the Commission on 13/7/2019. His statement has been recorded on oath by the Commission. According to his statement he was forcibly abducted by unknown persons on 7/3/2019 and was set free after 20/25 days.</t>
  </si>
  <si>
    <t>6086-S</t>
  </si>
  <si>
    <t>Maaz s/o Khan Bahadur @Haji Bahadur</t>
  </si>
  <si>
    <t>Mst. Razia Bibi w/o Haji Bahadur r/o Mohalla Haji Ishaq, Mingorah, District Swat. (Mobile No. 0341-9022903).</t>
  </si>
  <si>
    <t>Deleted. The complainant did not extend co-operation to the Investigation Officer nor attend the hearings in the Commission. Intelligence Agencies have denied apprehension/ custody of Maaz. Moreover, as per report he was active member of TTS during Army Operation in Swat. Therefore there is every likelihood that he escaped to Afghanistan. The case does not fall within the ambit of enforced disappearance and is deleted.</t>
  </si>
  <si>
    <t>6087-K</t>
  </si>
  <si>
    <t>Zahir Shah s/o Zareen Bakht</t>
  </si>
  <si>
    <t>Tahir Shah r/o Gali Mohallah Banda Gal, Mingora, Tehsil Babu zai, District Swat. (Mobile No. 0342-2289025</t>
  </si>
  <si>
    <t>Fir No. 969 dated 08/10/2019 u/s 365 PPC, PS City ,District Mardan</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</si>
  <si>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Zahir Shah. Hence, not a case of enforced disappearance. The case is closed.</t>
  </si>
  <si>
    <t>6088-S</t>
  </si>
  <si>
    <t>Syed Kamran Haider Zaidi s/o Syed Iqbal Haider Zaidi</t>
  </si>
  <si>
    <t>Mst. Syeda Ambrin Zahra Zaidi w/o Syed Kamran Haider Zaidi r/o House No. 90, Second Floor, PIB Colony Karachi. (Mobile No. 0300-3346593)</t>
  </si>
  <si>
    <t>Traced Person. It was informed at the hearing held in this Commission on 15.6.2020 that Mr. Syed Kamran Haider Zaidi has returned home. The report submitted by SDPO New Town, Karachi indicates that he was arrested by CTD and later granted bail by Trial Court.</t>
  </si>
  <si>
    <t>6089-S</t>
  </si>
  <si>
    <t>Ali Murad Rind s/o Abdul Majeed Rind</t>
  </si>
  <si>
    <t>Abdul Majeed r/o H.No G-1220 Tando Agha, Hyderabad Sindh . (Mobile No. 0311-4199348).</t>
  </si>
  <si>
    <t>41303-0669340-1</t>
  </si>
  <si>
    <t>Traced Person. Rep of MI submitted report that Ali Murad Rind was taken into custody subject to Pakistan Army Act, 1952.</t>
  </si>
  <si>
    <t>6090-K</t>
  </si>
  <si>
    <t>Abdul Raoof s/o Meer Zaman Khan</t>
  </si>
  <si>
    <t>Gul Zaman r/o Near Phatak, Shamshak, P.O Khar, Tehsil Khar, Bajur, District Bajur Agency. (Mobile No. 0302-8013137).</t>
  </si>
  <si>
    <t>FIR No. 783 date 1.7.2019 u/s 365 PPC PS Cantt, District Abbottabad</t>
  </si>
  <si>
    <t>Traced Person. It was informed at the hearing on 19.2.2021 that Abdul Rauf has been traced. He is presently confined in the Bahawalpur Jail. Naseer Ullah brother of Abdul Rauf also entered appearance, and confirmed that he has met his brother in the said Jail for five times.</t>
  </si>
  <si>
    <t>6091-K</t>
  </si>
  <si>
    <t>Muhammad Iqbal s/o Muhammad Ameen</t>
  </si>
  <si>
    <t>Muhammad Ramzan r/o Dhakna, Shirokahna, Tehsil &amp; District Dera Ismail Khan.(Mobile No. 0346-7872362 &amp; 0347-9797438).</t>
  </si>
  <si>
    <t>Traced Person. Muhammad Iqbal has been traced. According to the report dated 29.5.2019 received from Rep of MI, Muhammad Iqbal is presently confined in the Internment Center Fizaghat.</t>
  </si>
  <si>
    <t>6092-P</t>
  </si>
  <si>
    <t>Sher Hassan s/o Jandool</t>
  </si>
  <si>
    <t>Jandool r/o Dar-ul-Salam Colony, Attock. (Mobile No. 0348-0113238).</t>
  </si>
  <si>
    <t>Traced Person. Khan Shabbir, DO/CTD Attock is present and submitted that Sher Hassan is undergoing sentence of 25 years awarded by ATC, Rawalpindi and presently detained in Adiyala Jail, Rawalpindi. Father of missing person also confirmed.</t>
  </si>
  <si>
    <t>6093-S</t>
  </si>
  <si>
    <t>Faiz-ur-Rehman s/o Aziz-ur-Rehman</t>
  </si>
  <si>
    <t>Mst. Rahim Khatoon r/o House No. 1421, Gali Mohalla Abu Bakar Siddique , Colony Gaziabad, Orangi Town, Sector 11-1/2. Karachi, Tehsil &amp; District Karachi West. (Mobile No. 0341-0200873 &amp; 0301-2958459).</t>
  </si>
  <si>
    <t>Traced Person. It was informed at the hearing held in this Commission on 29.1.2020 that Faiz-ur-Rehman has returned home. SHO, PS Pakistan Bazar, Karachi also submitted report which confirms the aforesaid position.</t>
  </si>
  <si>
    <t>6094-S</t>
  </si>
  <si>
    <t>Aoun Afzal s/o Takee Afzal</t>
  </si>
  <si>
    <t>Mst. Ruba Batool w/o Aoun Afzal r/o C52- RT Plaza, North Nazimabad, Block L, Karachi. (Mobile No. 0345-2288660 &amp; 0340-0377712).</t>
  </si>
  <si>
    <t>Traced Person. It was informed at the hearing held in this Commission on New Karachi also submitted report which confirms the aforesaid position.</t>
  </si>
  <si>
    <t>6095-S</t>
  </si>
  <si>
    <t>Kachkol Khan s/o Yar Muhammad Khan</t>
  </si>
  <si>
    <t>Nisar Muhammad r/o House No. 131, Mohalla Pathan Colony. Hyderabad City, District Hyderabad Sindh. (Mobile No. 0300-3277436).</t>
  </si>
  <si>
    <t>Deleted. The complainant did not attend the hearings held in this case. In the FIR lodged after six years of disappearance no LEAs/ Intelligence Agency has been nominated. JIT concluded that the Missing Person has gone on his own. Hence the case is closed.</t>
  </si>
  <si>
    <t>6096-S</t>
  </si>
  <si>
    <t>Abdul Basit s/o Haji Jan Muhammad Mangel</t>
  </si>
  <si>
    <t>Haji Jan Muhammad Mangel r/o House No. 222, Mohalla Koh Operative Housing Society, Shahdadpur, District Sanghar Sindh. (Mobile No. 0333-2866253).</t>
  </si>
  <si>
    <t>Deleted. The case does not fall within the domain of enforced disappearance as a person namely Abdul Samad Barohi has been nominated by the complainant in FIR No. 196/18 dated 13.12.2018 PS, Shahdad Pur, District Sangarh.</t>
  </si>
  <si>
    <t>6097-K</t>
  </si>
  <si>
    <t>Malang Jan s/o Agdar Khan</t>
  </si>
  <si>
    <t>M/o Malang Jan r/o Malkan, Tehsil Sallar Zai, District Bajaur Agency. (Mobile No. 0306-5962216 &amp; 0300-5256754).</t>
  </si>
  <si>
    <t>21106-9778867-7</t>
  </si>
  <si>
    <t>6098-S</t>
  </si>
  <si>
    <t>Mst. Fozia r/o House No. KS-17, Gali No.3, Mohalla Usmanabad, Major Abdul Rehman Road, Karachi South. (Mobile No. 0316-2025643).</t>
  </si>
  <si>
    <t>Deleted . The missing person Mushtaq is fugitive from law and declared absconder by component Court of Jurisdiction. Thereafter the case does not fall within the domain of enforced disappearance.</t>
  </si>
  <si>
    <t>6099-S</t>
  </si>
  <si>
    <t>Fazal Molla s/o Ibrahim</t>
  </si>
  <si>
    <t>Mst. Salkan w/o Fazal Molla r/o Mohalla Nahrabad, Koza Bundi, Swat. (Mobile No. 0301-5087321).</t>
  </si>
  <si>
    <t>15602-0422254-3</t>
  </si>
  <si>
    <t>Deleted. The case has been deleted due to incomplete/fake address as the Police could not locate the complainant/ family in the absence of which no further proceedings could be initiated. The address given in the complaint is Swat which is incomplete.</t>
  </si>
  <si>
    <t>6100-K</t>
  </si>
  <si>
    <t>Muhammad Ayaz s/o Molvi Muhammad Rangeen Khan</t>
  </si>
  <si>
    <t>Molvi Muhammad Rangeen Khan r/o Khatkey Sharif, Bahi Kor, Machni, District Mohmand. (Mobile No. 0345-9110658 &amp; 0321-9304795).</t>
  </si>
  <si>
    <t>Traced Person. Father of the traced person Moulvi Muhammad Rangeen informed vide letter dated 2.5.2019 that he met his son Ayaz in the Internment Center Fort Salop. None appeared for hearing on 19.8.2019. Accordingly the case is closed as Muhammad Ayaz has been traced.</t>
  </si>
  <si>
    <t>6101-P</t>
  </si>
  <si>
    <t>Nawab Khan s/o Jumma Khan</t>
  </si>
  <si>
    <t>Jumma Khan r/o Taj Company, Sakia Pol, Lahore, Band Road Lahore. &amp; (Mobile No. 0305-5117386 &amp; 0300-8416832).</t>
  </si>
  <si>
    <t>21406-7504317-9</t>
  </si>
  <si>
    <t>6102-K</t>
  </si>
  <si>
    <t>Bilawal s/o Abdul Qayum</t>
  </si>
  <si>
    <t>Abdul Karim r/o Qom Zaraan Khyel, Mala Khyel, Dara Adam Khyel, Taeel, Tehsil &amp; District FR Kohat. (Mobile No. 0336-8424365 &amp; 0333-9426728).</t>
  </si>
  <si>
    <t>6103-P</t>
  </si>
  <si>
    <t>Ahmed Din s/o Ghulam Muhammad</t>
  </si>
  <si>
    <t>Ghulam Muhammad r/o Sialkot Lari Adda. (Mobile No. 0301-4021988 &amp; 0302-9499415 &amp; 0304-1122160).</t>
  </si>
  <si>
    <t>21406-9086190-3</t>
  </si>
  <si>
    <t>FIR No. 274 dated 11/7/2019 u/s 365 PPC, PS Civil Line, District Sialkot</t>
  </si>
  <si>
    <t>6104-K</t>
  </si>
  <si>
    <t>Mujeeb-ur-Rehman s/o Syed Asghar</t>
  </si>
  <si>
    <t>Muhammad Yousaf r/o Qom Bangish, Mahie Zai, P.O Ali Zai, Tehsil Lower Karam, District Agency. (Mobile No. 0307-8656313)</t>
  </si>
  <si>
    <t>Traced Person. According to report dated 26.11.2020 received from Rep of MI Mujeeb-ur-Rehman Missing Person is confined in Internment Centre Ghallani since 3.11.2017. Family members of Mujeeb-ur-Rehman will be facilitated to see him in the Internment Centre as per rules and procedures.</t>
  </si>
  <si>
    <t>6105-I</t>
  </si>
  <si>
    <t>Atta-ur-Rehman s/o Sher Rehman</t>
  </si>
  <si>
    <t>Sher Nawab, r/o Passi, District Nowshera. (Mobile No. 0343-2541902 &amp; 0336-5576399)</t>
  </si>
  <si>
    <t>17201-9056731-1</t>
  </si>
  <si>
    <t>FIR No. 311 dated 20.8.19 u/s 365 PPC, PS Sabzi mandi, Islamabad</t>
  </si>
  <si>
    <t>Traced Person. Atta-ur-Rehman has been traced. He appeared before the Commission on 10.12.2019. His statement has been recorded on oath. He has deposed that he went on his own to Karachi without informing his family. He also stated that he was not abducted by anybody.</t>
  </si>
  <si>
    <t>6106-K</t>
  </si>
  <si>
    <t>Majid Khan s/o Muhammad Akram</t>
  </si>
  <si>
    <t>Sajeela Nazeer w/o Majid Khan r/o Darmiyani Sheikh ul Bandi, Cantt Police Station, Abbottabad. (Mobile No. 0333-5127057 &amp; 051-9082446).</t>
  </si>
  <si>
    <t>FIR No.290 dated 6-4-2019 u/s 365 PPC P.S Cantt, Abbottabad.</t>
  </si>
  <si>
    <t>Traced Person. According to the report received from MI HQ, GHQ, Rawalpindi Majid Khan s/o Muhammad Akram is confined in Internment Centre , Malakand in terms of Actions (in aid of Civil Powers) Regulations, 2011. Family members will be faciliated to see him in the Internment Centre.</t>
  </si>
  <si>
    <t>6107-S</t>
  </si>
  <si>
    <t>Sohail s/o Muhammad Shoaib</t>
  </si>
  <si>
    <t>Mst Khaida r/o House No. 88, Sector 13-D1, Jmali Town, Gulshan-e-Iqbal, Karachi. (Mobile No. 0345-2672881 &amp; 0308-2989359 &amp; 0347-6260270 &amp; 0316-1001937).</t>
  </si>
  <si>
    <t>FIR No. 106 dated. 17.4.2019 u/s 365/154 PPC, P.S Liaqatabad , Karachi</t>
  </si>
  <si>
    <t>Traced Person. It was informed at the hearing held in this Commission on 5.8.2019 that Mr. Sohail is involved in Criminal Case vide FIR No. 122/2019 dated 11.5.2019 u/s 23(i) A, Sindh Arms Act PS Kala Kot, Karachi. He was arrested and presently confined in Central Jail, Karachi.</t>
  </si>
  <si>
    <t>6108-P</t>
  </si>
  <si>
    <t>Muhammad Sohaib s/o Muhammad Yousaf</t>
  </si>
  <si>
    <t>Muhammad Naseem, r/o B-784, Satellite Town, Rawalpindi. (Mobile No. 0333-5281537 &amp; 0300-9508710)</t>
  </si>
  <si>
    <t>Traced Person. Muhammad Shoiab has been traced. He has returned to home. Muhammad Naseem Uncle of Muhamamd Shoaib appeared before the Commission on 16.9.2019. His statement has been recorded on oath. According to his statement, Muhammad Shoaib disappeared on 15.5.2019.</t>
  </si>
  <si>
    <t>6109-S</t>
  </si>
  <si>
    <t>Muhammad Jameel s/o Muhammad</t>
  </si>
  <si>
    <t>Abdul Jalil r/o Korangi Town, Company Ithad Town, Karachi. (Mobile No. 0331-8393422).</t>
  </si>
  <si>
    <t>Traced Person. It was informed at the hearing held in this Commission on 25.6.2019 that Muhammad Jameel has returned to home. The report submitted by the Police Officer SHO, KIA, Karachi.</t>
  </si>
  <si>
    <t>6110-P</t>
  </si>
  <si>
    <t>Rana Muhammad Ashraf s/o Rana Fakhru Din</t>
  </si>
  <si>
    <t>Rana Muhammad Afzal r/o Samhiabad No. 1, Mohalla Deen Pur, Multan.(Mobile No. 0301-7419727).</t>
  </si>
  <si>
    <t>3602-1789436-7</t>
  </si>
  <si>
    <t>Traced Person. Rana Muhammad Ashraf appeared and his statement has been recorded on oath. According to him, he was picked up and taken away blind folded on 16/5/2019 to some unknown place. He also state that he was released on the next date i.e. 17/5/2019.</t>
  </si>
  <si>
    <t>6111-P</t>
  </si>
  <si>
    <t>Muhammad Yousaf s/o Hafiz Muhammad Idrees Sabir</t>
  </si>
  <si>
    <t>Hafiz Muhammad Idrees Sabir r/o Boring Chote Shah, Near Girde Station, Tehsil &amp; District BahawalPur, P.S Saddar Bahawalpur. (Mobile No. 0300-6844921).</t>
  </si>
  <si>
    <t>Traced Person. Mr. Muhammad Yousaf has returned to home and appeared before the Commission on 31.8.2019 at Lahore. District Police Officer, Bahawalpur has also confirmed vide Report No. 33497 dated 29.8.2019 that Muhammad Yousaf has been acquitted by ATC, Court on 8.7.2019.</t>
  </si>
  <si>
    <t>6112-P</t>
  </si>
  <si>
    <t>Muhammad Abu Bakar s/o Hafiz Muhammad Idrees Sabir</t>
  </si>
  <si>
    <t>Hafiz Muhammad Idrees Sabir r/o Borang Chotay Shah, Labana Chowk, Near Girde Station, P.S Saddar,Tehsil &amp; District Bahawalpur. (Mobile No. 0300-6844921).</t>
  </si>
  <si>
    <t>Traced Person. Mr. Muhammad Abu Bakar has returned to home and appeared before the Commission on 31.8.2019 at Lahore. District Police Officer, Khushab also confirmed vide his Report No. 12281 dated 18.6.2019 that Muhammad Abu Bakar has been acquitted by ATC, Court on 8.7.2019.</t>
  </si>
  <si>
    <t>6113-K</t>
  </si>
  <si>
    <t>Ma'az s/o Noor-ul-Basar</t>
  </si>
  <si>
    <t>Muhammad Ismail r/o Mohalla Toheedabad, Tehsil Razer Shaiwah, District Swabi. (Mobile No. 0305-5779527).</t>
  </si>
  <si>
    <t>FIR No. 253, dated 25.6.2019 u/s 365 PPC PS, Prmoli, District Swabi</t>
  </si>
  <si>
    <t>6114-B</t>
  </si>
  <si>
    <t>Muhammad Yousaf s/o Hazoor Bakhsh</t>
  </si>
  <si>
    <t>Abdul Hameed Dahwar r/o E11/3 Taha Arcade, 3rd Floor, 3rd Flat, Islamabad.(Mobile No. 0346-8366486).</t>
  </si>
  <si>
    <t>6115-S</t>
  </si>
  <si>
    <t>Muhammad Farooq Akram s/o Rana Muhammad Akram</t>
  </si>
  <si>
    <t>Mst. Sobia Akram r/o House No. E-72, Abid Colony, Shoukat Town, Ghazi Road, Lahore. (Mobile No. 0333-4882477).</t>
  </si>
  <si>
    <t>Traced Person. A report submitted by SHO PS, K.I.A, Karachi indicates that Muhammad Farooq Akram has returned home. A statement from Sobia Akram, sister of the Traced Person has also been produced at the hearing held on 10.8.2020.</t>
  </si>
  <si>
    <t>6116-P</t>
  </si>
  <si>
    <t>Nisar Ahmed s/o Muhammad Rafiq</t>
  </si>
  <si>
    <t>Abdul Ghafar r/o Mohalla Darbar Ghoreh Shah, Khushab. (Mobile No. 0306-2063885).</t>
  </si>
  <si>
    <t>Traced Person. Mr. Nisar Ahmed has returned to home and appeared before the Commission on 31.8.2019 at Lahore.</t>
  </si>
  <si>
    <t>6117-P</t>
  </si>
  <si>
    <t>Subhan Allah s/o Nooran Noor</t>
  </si>
  <si>
    <t>Muhammad Naseem-ul-Haq r/o Jamia Masjid, Haji Mehar Din, Green Park, Sultan Mehmood Road, Shalemar Town, Lahore. (Mobile No. 0313-4195733).</t>
  </si>
  <si>
    <t>Subhan Allah son of Nooran Noor has appeared before the Commission, whose statement has been recorded in oath. According to him he was picked up and taken away blind- folded on 1.5.2019 by some unknown persons. He has further stated that he was kept for five days in a place and thereafter four months in another place. He was released on 29.12.2019. According to him he cannot identify the persons who took him away if they are brought before him.</t>
  </si>
  <si>
    <t>6118-P</t>
  </si>
  <si>
    <t>Kamran Ahmed s/o Farid Ahmed</t>
  </si>
  <si>
    <t>Aysha Saddiqa r/o Sunhra Goraia, P.O Jalil Town, Tehsil &amp; District Gujranwala. (Mobile No. 0324-5607787 &amp; 0323-7473811).</t>
  </si>
  <si>
    <t>34101-1593625-7</t>
  </si>
  <si>
    <t>6119-K</t>
  </si>
  <si>
    <t>Akbar Hussain s/o Sanobar Khan</t>
  </si>
  <si>
    <t>Mst. Parigai w/o Sanobar Khan r/o Nawaykillay, P.O Mingora, Tehsil Babuzai, District Swat. (Mobile No. 0345-94333355 &amp; 0345-9518148).</t>
  </si>
  <si>
    <t>PM Office</t>
  </si>
  <si>
    <t>6120-P</t>
  </si>
  <si>
    <t>Sardar Shah s/o Alim Shah</t>
  </si>
  <si>
    <t>Bakht Sardara w/o Alim Shah r/o Kotkay Poran, District Shangla.</t>
  </si>
  <si>
    <t>6121-B</t>
  </si>
  <si>
    <t>Noor Khan s/o Kahuar Khan</t>
  </si>
  <si>
    <t>Quresh, r/o Malik Plaza, Essa Nagari, Near Barori Road, Quetta. (Mobile No. 0332-7826536).</t>
  </si>
  <si>
    <t>6122-P</t>
  </si>
  <si>
    <t>Muhammad Safdar Bashir s/o Muhammad Bashir</t>
  </si>
  <si>
    <t>Muhammad Bashir f/o Missing Person, r/o 27-F/358, 27 Area, Gudwal, POF Wah Cantt. (Mobile No. 0323-7619557).</t>
  </si>
  <si>
    <t>Traced Person. Muhammad Safdar Bashir has been traced. Report dated 8.9.2019 has been received on behalf of SSP/Regional Officer CTD, Rawalpindi. According to his report, Muhamamd Safdar Bashir has been arrested in case FIR No. 33 dated 23.6.2019 u/s 4/5 ESA read with 7ATA PS/CTD, Faisalabad. Copy of the FIR is also enclosed with the report, which is placed on record.</t>
  </si>
  <si>
    <t>6123-K</t>
  </si>
  <si>
    <t>Ijaz Ahmed s/o Malik Ali Akbar</t>
  </si>
  <si>
    <t>Zarshad r/o Tahkal, Payan Mohalla, Chrnanda, Peshawar. (Mobile No. 0345-5881885).</t>
  </si>
  <si>
    <t>6124-K</t>
  </si>
  <si>
    <t>Jehangir s/o Khan Khel</t>
  </si>
  <si>
    <t>Khan Khel r/o Qoum Aka Khel, Sanzal Khel, Shain Drank, P.O Barha, Malot Camp, Tehsil Barah, District Khyber. (Mobile No. 0315-6262087 &amp; 0321-9041097 &amp; 0322-3492462).</t>
  </si>
  <si>
    <t>31st May, 2019</t>
  </si>
  <si>
    <t>6125-S</t>
  </si>
  <si>
    <t>Muhammad Saeed s/o Muhammad Abdullah</t>
  </si>
  <si>
    <t>Mst. Angori Bagim, r/o House No.604. Gali No. 8, Block N, Chisti Nager, Sector 11-1/2, Aurangi Town, Karachi. (Mobile No. 0312-2742121).</t>
  </si>
  <si>
    <t>Traced Person. It was informed at the hearing held in this Commission on 18.9.2019 that Muhammad Saeed has returned to home. He appeared before the Commission. The statement of the Traced Person has been recorded u/s 164 CrPC, which is available on record. The Mother and Brother of the traced person appeared before the Commission and confirmed the reported position. In this connection written statement submitted by Angoree Begum is placed on record.</t>
  </si>
  <si>
    <t>1st June, 2019</t>
  </si>
  <si>
    <t>6126-K</t>
  </si>
  <si>
    <t>Gul Sher s/o Jan Alam</t>
  </si>
  <si>
    <t>Jan Alam r/o Sapah Spain, Qaber Barah, District Khyber. (Mobile No. 0304-9150481).</t>
  </si>
  <si>
    <t>FIR No. 386 dated 11/07/2019 u/s 365 PPC, PS Akora Khatak, District, Nowshera</t>
  </si>
  <si>
    <t>6127-K</t>
  </si>
  <si>
    <t>Jamrood Khan s/o Awrang Jan</t>
  </si>
  <si>
    <t>Awrang Jan r/o Sapah Spain, Qaber Barah, District Khyber. (Mobile No. 0302-3809716).</t>
  </si>
  <si>
    <t>6127 &amp; 6876-P Same case</t>
  </si>
  <si>
    <t>6128-P</t>
  </si>
  <si>
    <t>Yasir Abbas s/o Liaqat Ali</t>
  </si>
  <si>
    <t>Nasir Abbas r/o Village Khabah Bahrala, P.O Rohparh Kala, Tehsil &amp; District Rawalpindi. (Mobile No. 0300-5387642).</t>
  </si>
  <si>
    <t>Traced Person. Yasir Abbas has been traced. Rep of CTD appeared for hearing on 16.9.2019 and furnished report dated 7.9.2019. According to this report Yasir Abbas has been arrested in case FIR No. 22, dated 21.6.2019 u/s 295-A, 298-A 11-W, 9/ATA PS, CTD, Rawalpindi. Copy of FIR is also enclosed with the report. Nasir Abbas s/o Yasir Abbas was also present. His statement has been recorded on oath. He has affirmed that Yasir Abbas has been traced, who has returned home after getting bail in case registered by CTD, Rawalpindi.</t>
  </si>
  <si>
    <t>6129-P</t>
  </si>
  <si>
    <t>Muhammad Umer Farooq s/o Muhammad Rafiq Bhatti</t>
  </si>
  <si>
    <t>Traced Person. Muhammad Umer Farooq has been traced. H has returned to home. Abrar-ul-Haq maternal uncle of Muhammad Umer Farooq is present. He has affirmed that Muhammad Umer Farooq has returned home. He further submitted that Muhammad Umer Farooq could not enter appearance before the Commission due to personal reasons.</t>
  </si>
  <si>
    <t>6130-S</t>
  </si>
  <si>
    <t>Tamoor Khan s/o Ameer Sayab Khan</t>
  </si>
  <si>
    <t>Ameer Sayab Khan r/o Mohalla Fateh Khan Khel, Noway Kale, Mingora, Swat. (Mobile No.0341-9223113 &amp; 0946-812484).</t>
  </si>
  <si>
    <t>Deleted. The case has been closed due to non-prosecution as the complainant neither interested to lodge FIR nor attended hearings in this Commission.</t>
  </si>
  <si>
    <t>6131-B</t>
  </si>
  <si>
    <t>Raziq Abdul</t>
  </si>
  <si>
    <t>r/o Zik Village, in the Geeshkor area of awaran, Balochistan.</t>
  </si>
  <si>
    <t>Traced Person.Mir Hussain Lehri, SSP, Kech entered appearance before the Commission on 20.9.2019 at Quetta, whose statement has been recorded on oath. He has deposed that Abdul Razzaq has returned to home and presently he is studying in Balochistan University. He has further stated that he contacted him on telephone who has confirmed that he has returned home. Report submitted by SSP, Kech is placed on record.</t>
  </si>
  <si>
    <t>6132-S</t>
  </si>
  <si>
    <t>Rahmdil Peer Bakhsh s/o Peer Bakhsh</t>
  </si>
  <si>
    <t>Peer Bakhsh, r/o Garronk Village in Hoshaab Tehsil, Kech, Balocistan.</t>
  </si>
  <si>
    <t>52203-9384157-1</t>
  </si>
  <si>
    <t>Traced Person. During investigation by the Commission the Police could not locate the family as the address given in the report was Gulshan-e-Iqbal, Karachi which was incomplete. However, UNWGEID reported vide letter dated 4.3.2020 that source has informed that Rehman Dil Peer Bukhsh has been release4d and he has reached home safely. In view of above no further action is required the case is closed.</t>
  </si>
  <si>
    <t>6133-S</t>
  </si>
  <si>
    <t>Nasir Ali s/o Muhammad Azeem</t>
  </si>
  <si>
    <t>Muhanmmad Azeem r/o Khoda Yousuf Village in Absor Regin of Turbat City, District Kech, Balochistan.</t>
  </si>
  <si>
    <t>KC1813301</t>
  </si>
  <si>
    <t>Traced Person. It has been reported by WGEID that on the basis of the information provided by the source the alleged Missing Person was released (Case No. 10009095). Earlier to the investigation Agency could not locate the complainant as no address was given the report of WGEID. The case is closed.</t>
  </si>
  <si>
    <t>6134-K 2187-K</t>
  </si>
  <si>
    <t>Khursheed Ali Khan s/o Muhammad Ameen Khan</t>
  </si>
  <si>
    <t>Shahnaz Baigum w/o Missing Person r/o Imam Dhery, P.O Kozh Bandi, Tehsil Kabel, District Swat, KPK. (Mobile No. 0344-9640067 &amp; 0343-9675305).</t>
  </si>
  <si>
    <t>6135-P</t>
  </si>
  <si>
    <t>Faqeer Hussain Kokab s/o Master Ghulam Sabir</t>
  </si>
  <si>
    <t>Mst. Shahnaz Akhter s/o Faqeer Hussain Kokab r/o P-11467, Gali No.9, Nishatabad, Faisalabad. (Mobile No. 0307-7103879).</t>
  </si>
  <si>
    <t>FIR No. 700 dated 7/12/2019 u/s 365 PPC, PS City Gojara, District Toba Tek Sindh</t>
  </si>
  <si>
    <t>6136-K</t>
  </si>
  <si>
    <t>CoIoED No. 1477-1478 Mirged with 6136-K</t>
  </si>
  <si>
    <t>Zia-ur-Rehman s/o Muhammad Hanif</t>
  </si>
  <si>
    <t>Muhammad Hanif, r/o Mohalla Bocha Khel, Village &amp; P.O Brah Bandi, Swat. (Mobile No. 0348-9597059 &amp; 0300-5748750).</t>
  </si>
  <si>
    <t>6137-S</t>
  </si>
  <si>
    <t>Khyal Barshad s/o Bedar Shah</t>
  </si>
  <si>
    <t>Mst. Bibi Marjan w/o Khyal Barshad, r/o Abdul Rahim Khel, Tur Simt, P.O Galju, Tehsil Uper, District Orakzai Agency. (Mobile No. 0336-8229207 &amp; 0335-2146692).</t>
  </si>
  <si>
    <t>21604-5978885-9</t>
  </si>
  <si>
    <t>6138-K</t>
  </si>
  <si>
    <t>Mian Syed Hazrat Shah s/o Syed Arab Shah</t>
  </si>
  <si>
    <t>Mst. Bibi Zeenaba w/o Mian Syed Hazrat Shah, r/o Cham, P.O Matta Simt, Tehsil Matta, District Swat. (Mobile No. 0346-5695725 &amp; 0344-1940361).</t>
  </si>
  <si>
    <t>6139-B</t>
  </si>
  <si>
    <t>Haji Hameed Ullah s/o Haji Sultan Muhammad</t>
  </si>
  <si>
    <t>Naimat Ullah, r/o Gardi Jangel, Sehreen Aab, District Chagi. (Mobile No. 0316-8877000).</t>
  </si>
  <si>
    <t>Traced Person. Hameed Ullah entered appearance before the Commission on 12.9.202 at Quetta, whose statement has been recorded on oath. He deposed that he was picked up blindfolded and taken away probably on 10.10.2018 by unknown persons to an unknown place. That he was set free in between 6/7 Ramzan this year. He requested to close his case. Accordingly, the case stands disposed of.</t>
  </si>
  <si>
    <t>6140-K</t>
  </si>
  <si>
    <t>Muhammad Qasim s/o Taj Muhammad</t>
  </si>
  <si>
    <t>Abdul Rehman r/o Village Barsaeen Mozowa, Tehsil Hawelia, District Abbottabad. (Mobile No. 0340-5571058).</t>
  </si>
  <si>
    <t>Deleted. Categorized for the reason that the case is at initial stage of investigation. Abdul Rehman (complainant appeared before the Commission on 28.8.2019. His statement has been recorded on oath. According to him Muhammad Qasim has also gone missing on his own twice, but returned on his own.</t>
  </si>
  <si>
    <t>6141-A</t>
  </si>
  <si>
    <t>Anees Mehmood s/o Akhter Hussain Zia</t>
  </si>
  <si>
    <t>Mst. Farkhanda Jabeen r/o House No.583/44, Gali/Mohalla 9, Allabad, P.o Choer Herpal, Rawalpindi. (Mobile No. 0347-5026019 &amp; 0310-5179681 &amp; 0316-5917959).</t>
  </si>
  <si>
    <t>Traced Person. Statement of Mst. Farkhanda Jaben the complainant, whose statement has been recorded on oath at the hearing on 30.12.2019. She has deposed that Anees Mehmood (Traced Person who is her brother has returned home on 26.7.2019 and thereafter he went to Saudi Arabia where he was employed. Accordingly Anees Mehmood is no more a missing person, his case closed.</t>
  </si>
  <si>
    <t>6142-K</t>
  </si>
  <si>
    <t>Gull Wali @ Qari Abdul Wali s/o Saeed-ud-din</t>
  </si>
  <si>
    <t>Muhammad Ismail r/o Noshera Payan Kushki, Payan Noshera Mishan, Korona, Tehsil Chota Lahore, District Swabi (Mobile No. 0300-7741088 &amp; 0345-9892923).</t>
  </si>
  <si>
    <t>FIR No. 361 dated 06/7/2019 u/s 365 PPC, PS, District Lahore</t>
  </si>
  <si>
    <t>Deleted. During the course of inquiry, no clue could be found that any LEA/ Intelligence Agency was involved in disappearance of Gull Wali @ Qari Abdul Wali. The case has been categorized as of missing person has gone on his own by JIT as well as PTF. The complainant Muhammad Ismail or his authorized representative was summoned twice for recording statement but none entered appearance despite issuance of notices. All stakeholders have denied arrest/custody of Gull Wali @ Qari Abdul Wali. Hence, not a case of enforced disappearance. The case is closed.</t>
  </si>
  <si>
    <t>6143-P</t>
  </si>
  <si>
    <t>Rehman Ullah s/o Shahab-ud-din</t>
  </si>
  <si>
    <t>Rehman Hayat, r/o Drabareh Road, Luchraa, Dera Ismail Khan . (Mobile No. 0342-1290425).</t>
  </si>
  <si>
    <t>Traced Person. Rehman Ullah has been traced. Report dated 19/7/2019 has been received from DPO, Attock, according to which Rehman Ullah has returned to home. SHO, PS New Airport is present. He has furnished report dated 17/7/2019 and affirmed that the missing person has returned to home.</t>
  </si>
  <si>
    <t>6144-P</t>
  </si>
  <si>
    <t>Ayodin s/o Shahab-ud-din</t>
  </si>
  <si>
    <t>Traced Person. Ayodin has been traced. Report dated 19/7/2019 has been received from DPO, Attock, according to which Ayodin has returned to home. SHO, PS New Airport is present. He has furnished report dated 17/7/2019 and affirmed that the missing person has returned to home.</t>
  </si>
  <si>
    <t>6145-P</t>
  </si>
  <si>
    <t>Abdul Rehman s/o Ba Khan</t>
  </si>
  <si>
    <t>Traced Person. Abdul Rehman has been traced and present at his home at native place i.e South Waziristan. Abdul Hussain SHO, PS/New Airport, district Attock is present, whose statement has been recorded on oath. According to him Abdul Rehman has returned and is presently at his village. He also produced relevant documents in support of his statement which are placed on record.</t>
  </si>
  <si>
    <t>6146-K</t>
  </si>
  <si>
    <t>Saeed Ullah s/o Shams-ul-Qamar</t>
  </si>
  <si>
    <t>Mst. Hameeda, r/o Pocha Khel, Yaqoobi, Tehsil Chota Lahore, District Swabi. (Mobile No. 0340-5816374 &amp; 0306-5027156).</t>
  </si>
  <si>
    <t>Traced Person. Saeed Ullah has been traced. He is confined in Internment Center Fizaghat. Father of the Missing Person was present, whose statement was recorded on oath in which he affirmed that his son was confined in Internment Center Fizghat and family members met Saeed Ullah in the Internment Center Fizghat on 18.7.2019.</t>
  </si>
  <si>
    <t>6147-P</t>
  </si>
  <si>
    <t>Muhammad Shahid Manzoor s/o Manzoor Hussain</t>
  </si>
  <si>
    <t>Manzoor Hussain, r/o Maqam &amp; P.O Pind Sultani, Tehsil Jhand, District Attock. (Mobile No. 0300-5308177 &amp; 0334-5933152)</t>
  </si>
  <si>
    <t>6148-S</t>
  </si>
  <si>
    <t>Ikram Ullah s/o Ghufran Ullah</t>
  </si>
  <si>
    <t>Mst. Rehana Ikram w/o Ikram Ullah, r/o Mohallah Faram Rahimabad, Tehsil Babozai, District Swat. (Mobile No. 0340-2033350 &amp; 0312-2092295 &amp; 0340-2668131).</t>
  </si>
  <si>
    <t>15602-3242224-1</t>
  </si>
  <si>
    <t>6149-P</t>
  </si>
  <si>
    <t>Syed Hakeem Hussain s/o Syed Zamin Hussain</t>
  </si>
  <si>
    <t>Mst. Bibi Yasmeen w/o Syed Hakeem Hussain, r/o 669-B, Pak Arab Housing Society, Ferozpur Road, Lahore. (Mobile No.0305-9398314).</t>
  </si>
  <si>
    <t>21303-0794766-7</t>
  </si>
  <si>
    <t>Traced Person. Syed Hakeem Hussain has been traced. He appeared before the Commission. His statement has been recorded on oath. According to his statement he was abducted by unknown persons on 11.6.2019, whose faces were muffled. He was set free on 2.8.2019. He further submitted that he could not identify the persons involved and place where he was kept during the detention.</t>
  </si>
  <si>
    <t>6150-K</t>
  </si>
  <si>
    <t>Bahadar Gul s/o Natal Gul</t>
  </si>
  <si>
    <t>Hisab Gul, r/o Darsamand, Zar Khori, Tehsil Tul, District Hango, KPK. (Mobile No. 0303-5353615 &amp; 0308-9361309).</t>
  </si>
  <si>
    <t>14101-6999446-1</t>
  </si>
  <si>
    <t>FIR No. 298 dated 12/7/19 u/s 365 PPC, PS Doabad, District Hangu</t>
  </si>
  <si>
    <t>6151-K</t>
  </si>
  <si>
    <t>Noman Ali s/o Akbar Ali</t>
  </si>
  <si>
    <t>Ejaz Ali, r/o Gul Kadah No.2, Syedo Sharif, Swat. (Mobile No. 0341-9420695 &amp; 0340-9412495).</t>
  </si>
  <si>
    <t>15602-2093667-5</t>
  </si>
  <si>
    <t>6152-P</t>
  </si>
  <si>
    <t>Dolat Khan, r/o, Islam Market, Itaffaq Colony, Tarnol, Islamabad. (Mobile No. 0301-6690569).</t>
  </si>
  <si>
    <t>21407-5452464-7</t>
  </si>
  <si>
    <t>Traced Person. Dolat Khan complainant has appeared , whose statement has been recorded on oath. According to him Shah Wali, in case FIR No. 27/19 PS, CTD/Gujranwala is presently confined in District Jail Gujranwala. He also stated that he met his brother Shah Wali twice in Jail.</t>
  </si>
  <si>
    <t>6153-K</t>
  </si>
  <si>
    <t>Naimat Ullah 
 s/o Sona Khan</t>
  </si>
  <si>
    <t>Mst. Awal Janay Bibi w/o Sona Khan, r/o Garah Gul Dar, Tehsil Kalachi, District Dera Ismail Khan, KPK. (Mobile No. 0344-9352842).</t>
  </si>
  <si>
    <t>Traced Person. Rep of ISI appeared before the Commission on 15.10.2019 who has submitted that Naimatullah is presently confined in Internment Center Lakki Marwat. He has also furnished report dated 15.10.2019, which is placed on record.</t>
  </si>
  <si>
    <t>6154-S</t>
  </si>
  <si>
    <t>Anwar Hussain s/o Syed Ahmed</t>
  </si>
  <si>
    <t>Rahemeena w/o Syed Ahmed, r/o Gul Jaba, Tehsil Kabal, District Swat. (Mobile No. 0342-9605527).</t>
  </si>
  <si>
    <t>Deleted. It has been reported by ISI that Anwar Hussain was active member of TTS during Arms Operation in Swat and belongs to a hardcore .There is possibility to he might have escaped to Afghanistan. The family did not attend the hearings held in this Commission.</t>
  </si>
  <si>
    <t>6155-P</t>
  </si>
  <si>
    <t>Muhammad Imran s/o Fida Muhammad</t>
  </si>
  <si>
    <t>Dilawar Khan, r/o Tehsile &amp; District Islamabad, Tarnol, Itfaq Colony, Near Nadir Keriana Store. (Mobile No. 0344-5275580 &amp; 0308-5034518 &amp; 0315-9803342).</t>
  </si>
  <si>
    <t>Deleted. During the course of inquiry, no clue could be found to indicate that any LEA/ Intelligence Agency was involved in disappearance of Muhammad Imran s/o Fida Muhammad The case has been categorized as the Missing Person has gone on his on by JIT as well as PTF. In the case statements of three witnesses were recorded but none of them was eye witness of the occurance. All stakeholders have denied arrest/custody of Muhammad Imran. Hence, not a case of enforced disappearance and closed.</t>
  </si>
  <si>
    <t>6156-P</t>
  </si>
  <si>
    <t>Hidayat Ullah s/o Munasib Khan</t>
  </si>
  <si>
    <t>Munasib Khan, r/o Nehar Bangla, Tana Qaidabad, Village Mirakhan, Banda Tehsil Dargai, Sidtrict Malakand. (Mobile No. 0309-5615224).</t>
  </si>
  <si>
    <t>21403-1631463-5</t>
  </si>
  <si>
    <t>Traced Person. Rep of MI informed the hearing held on 22.1.2020 is presently confined in the Internment Center Kohat. The said information be communicated to the complainant enabling him/ family members to see Hidayat Ullah in the Internment Center Kohat after completion if necessary prescribed formalities.</t>
  </si>
  <si>
    <t>30th June, 2019</t>
  </si>
  <si>
    <t>6157-K</t>
  </si>
  <si>
    <t>Farhad Khan s/o Sher Rehman</t>
  </si>
  <si>
    <t>Sher Rehmna, r/o Mohalla Mansook, Shab-e-Qadar, Dahri, Charsadda. (Mobile. 0342-0965224 &amp; 0334-9902312).</t>
  </si>
  <si>
    <t>FIR No 420. dated 27.6.2019 u/s 365 PPC, P.S Shabqadar, District Charsadda</t>
  </si>
  <si>
    <t>01st July, 2019</t>
  </si>
  <si>
    <t>6158-P</t>
  </si>
  <si>
    <t>Hafiz Muhammad Zeeshan 
 s/o Khushi Muhammad</t>
  </si>
  <si>
    <t>Shah Muhammad, r/o P.O Khas Bakhar Bar, Near Girls High School, Tehsil Shah Pur Saddar, District Sardodha. (Mobile No. 0301-6744851 &amp; 0300-6055751).</t>
  </si>
  <si>
    <t>38404-1391008-3</t>
  </si>
  <si>
    <t>184 dated 13/7/19 u/c 365 ppc ps shahpur saddar District Sagodha</t>
  </si>
  <si>
    <t>6159-P</t>
  </si>
  <si>
    <t>Sikandar Hayat 
 s/o Umer Hayat</t>
  </si>
  <si>
    <t>Khizar Hayat, r/o Hamza Center, Purani Anar Kali, Dhobi Mandi, Lahore. (Mobile No. 0305-4646644 &amp; 0343-4106025).</t>
  </si>
  <si>
    <t>35202-9397141-9</t>
  </si>
  <si>
    <t>Deleted. JIT and PTF concluded in their reports that Sikandar Hayat has gone on his own. All stakeholders denied his arrest or apprehension. Neither any allegation levelled against any LEAs/ Intelligence Agencies nor any evidence came on record to infer to enforced disappearance. Hence, the case is closed.</t>
  </si>
  <si>
    <t>6160-P</t>
  </si>
  <si>
    <t>Muhammad Umair s/o Ali Akbar</t>
  </si>
  <si>
    <t>Ali Akbar @ Urbishe Mama, r/o Khadar zai, Tehsil PabI Station, District Nowshera, KPK. (Mobile No. 0301-8094280).</t>
  </si>
  <si>
    <t>17202-0358475-1</t>
  </si>
  <si>
    <t>FIR No.121 DATED 30.7.2019 U/S PPC, PS ATTOCK KHURD, DISTRICT ATTOCK</t>
  </si>
  <si>
    <t>Deleted. There is no allegation against any LEAs/ Intelligence Agencies. All the seven persons who have been nominated in the FIR are private persons.The Commisssion have also perused the complaint and the application dated 2.8.2019 but there is absolutely nothing which can bring the matter within the ambit of enforced disappearance.</t>
  </si>
  <si>
    <t>6161-K</t>
  </si>
  <si>
    <t>Abdul Rehman s/o Peer Ghulam</t>
  </si>
  <si>
    <t>Peer Ghulam, r/o Garah Mukhtyar, Kulachi, Tehsil Kulachi, District Dera Ismail Khan. (Mobile No. 0342-1938018 &amp; 0303-5368387).</t>
  </si>
  <si>
    <t>12102-2152195-5</t>
  </si>
  <si>
    <t>Deleted. After investigation in this case and reports of JIT and PTF and DPO D.I. Khan it is concluded that Abdul Rehman s/o Peer Ghulam is a proclaimed offender vide History Sheet hearing No. 982/PAO cannot be a treated as the Missing Peson. Hence not a case of enforced disappearance. The case is closed.</t>
  </si>
  <si>
    <t>6162-K</t>
  </si>
  <si>
    <t>Abdul Kabir Khan s/o Abdul Mateen Khan</t>
  </si>
  <si>
    <t>Farman Ali, r/o Koza Bandi, Tehsil Kabel, District Swat. (Mobile No. 0333-9568686).</t>
  </si>
  <si>
    <t>FIR No.413 dt.22/8/2019 u/s 365/34 PPC PS/ Kanju,District Swat.</t>
  </si>
  <si>
    <t>6163-S</t>
  </si>
  <si>
    <t>Hamza Al-Abbasi s/o Masood Ahmed Al-Abbasi</t>
  </si>
  <si>
    <t>Masood Ahmed Al-Abbasi, r/o Noorani Masjid, Noorani Mohalla, Moominabad, Orangi Town, Karachi.</t>
  </si>
  <si>
    <t>42401-8587200-3</t>
  </si>
  <si>
    <t>Traced Person. It was informed at the hearing held in this Commission on 28.10.2020 that Hamza Ali Abbasi has returned home. The report submitted by DSP, Clifton, Karachi confirmed the aforesaid position. No further action is required. The case is closed.</t>
  </si>
  <si>
    <t>6164-P</t>
  </si>
  <si>
    <t>Javed Ahmed</t>
  </si>
  <si>
    <t>Mst. Mamoona Javed w/o Javed Ahmed, r/o 211 Raza Block, Iqbal Town, Lahore. (Mobile No. 0334-9957819).</t>
  </si>
  <si>
    <t>34101-2384282-3</t>
  </si>
  <si>
    <t>Traced Person. Javed Ahmed has entered appearance before the Commission on 15.11.2019 at Lahore. As the missing person is traced, therefore no further action is required to be taken by the Commission.</t>
  </si>
  <si>
    <t>6165-P</t>
  </si>
  <si>
    <t>Umer s/o Javed Ahmed</t>
  </si>
  <si>
    <t>Mst. Mamoona Javed w/o Javed Ahmed, r/o 211, Raza Block, Iqbal Town, Lahore. (Mobile No. 0334-9957819).</t>
  </si>
  <si>
    <t>34101-3216841-1</t>
  </si>
  <si>
    <t>Traced Person. CPO, Gujranwala submitted report that Umar s/o Javed Ahmed has returned to home. The said Umer appeared before the JIT on 26.8.2019 and his statement was recorded.</t>
  </si>
  <si>
    <t>6166-P</t>
  </si>
  <si>
    <t>Sulman s/o Javed Ahmed</t>
  </si>
  <si>
    <t>Traced Person. Sulman has entered appearance before the Commission on 15.11.2019 at Lahore. As the missing person is traced, therefore no further action is required to be taken by the Commission.</t>
  </si>
  <si>
    <t>6167-S</t>
  </si>
  <si>
    <t>Haneef s/o Dil Murad</t>
  </si>
  <si>
    <t>Dil Murad, r/o Raees Goth, Hub Choeki, District Awaran.</t>
  </si>
  <si>
    <t>Traced Person. It was informed at the hearing held in this Commission on 5.5.2020 that Mr. Hameed has returned home. The statement of the Traced Person has been recorded u/s 164 CrPC. The reprot submitted by SHO Mochko, Karachi is placed on record.</t>
  </si>
  <si>
    <t>WGEID MoFA</t>
  </si>
  <si>
    <t>6168-B</t>
  </si>
  <si>
    <t>Hafeez s/o Dil Murad</t>
  </si>
  <si>
    <t>Traced Person. Mst. Khadija mother of Hafeez entered appearance before the Commission on 19.9.2019 at Quetta, whose statement has been recorded on oath. She has stated that on the day of occurrence a few persons came in six vehicles, some of them were in uniforms and some were having long hairs, asked about Hafeez and thereafter picked him up and taken away. She has stated that she cannot identify those persons even if they are brought before her. She has deposed that Hafeez has returned home 2/3 months ago. Statement of Muhammad Hafeez has also been recorded on oath. He has deposed that he was abducted on 19.4.2019 and has returned home 2/3 months ago.</t>
  </si>
  <si>
    <t>6169-S 6167-S</t>
  </si>
  <si>
    <t>Hameed s/o Dil Murad</t>
  </si>
  <si>
    <t>6170-K</t>
  </si>
  <si>
    <t>Muhammad Raza s/o Zar Gul Khan</t>
  </si>
  <si>
    <t>Muhammad Ashraf, r/o Niazi Library, Tanchi Bazar, District Bannu. (Mobile No. 0336-9672318).</t>
  </si>
  <si>
    <t>FIR No. 284 dated 7.9.2008 u/s 347/37 PPC, PS Maldan, District Bannu</t>
  </si>
  <si>
    <t>6171-P</t>
  </si>
  <si>
    <t>Orang Zaib s/o Muhammad Haleem</t>
  </si>
  <si>
    <t>Mst. Bushra Parveen, r/o Mozau Haylla, Tehsil Phalia, District Mandi Bahauddin. (Mobile No. 0344-6526329).</t>
  </si>
  <si>
    <t>34403-4826874-9</t>
  </si>
  <si>
    <t>Traced Person. District Police Officer, Mandi Bahauddin appeared before the Commission on 31.8.2019 and submitted statement of Bushra Pareen wife of the Missing Person, who appeared before the DPO on 1.8.2019 along with traced person Orangzeb, who has returned to home.</t>
  </si>
  <si>
    <t>6172-P</t>
  </si>
  <si>
    <t>Muhammad Azan s/o Iftikhar Ahmed</t>
  </si>
  <si>
    <t>Iftikhar Ahmed, r/o Village Miani, Tehsil Kalar Kahar, District Chakwal. (Mobile No. 0334-5265186 &amp; 0332-6523118).</t>
  </si>
  <si>
    <t>FIR No.180 Dated 26.7.2019 u/s PPC, PS Saddar Chakwal, Chakwal</t>
  </si>
  <si>
    <t>Traced Person. Muhamamd Azan has been traced. He has returned to home. Iftikhar Ahmed appeared before the Commission on 6.9.2019. His statement has been recorded on oath in which he stated that Muhammad Azan disappeared on 4.3.2019 and returned home on 19.9.2019.</t>
  </si>
  <si>
    <t>Fixed to early Hearing</t>
  </si>
  <si>
    <t>6173-P</t>
  </si>
  <si>
    <t>Mirza Abdul Ghafoor Baig s/o Mirza Abdul Khaliq Baig</t>
  </si>
  <si>
    <t>Mirza Abdul Khaliq Baig, r/o Mohalla Dhoke Lakhan, Qaid-e-Azam Colony, Rawalpindi. (Mobile No. 0345-5222180).</t>
  </si>
  <si>
    <t>Traced Person. Mirza Abdul Ghafoor Baig has been traced. He has been arrested by CTD, Multan and presently confined in the District Jail Bahawalpur due to his involvement in case FIRs No. 64 and 66 dated 12.6.2019 u/s 11-F (2) (6), 11-H, 11-1, 11-J, 11-N, 11-W (2) ATA 1997. Copies of FIRs have been furnished by SSP (Inv), Rawalpindi, which have been placed on record.</t>
  </si>
  <si>
    <t>6174-P</t>
  </si>
  <si>
    <t>Traced Person. Mirza Saleem Baig has been traced. He has been arrested by CTD, Multan and presently confined in district Jail Bahawalpur due to his involvement in case FIRs No. 64 and 66 dated 12.6.2019 u/s 11-F (2) (6), 11-H, 11-1, 11-J, 11-N, 11-W (2) ATA 1997. Copies of FIRs have been furnished by SSP (Inv), Rawalpindi, which have been placed on record.</t>
  </si>
  <si>
    <t>6175-F</t>
  </si>
  <si>
    <t>Babu Rehman s/o Noor Rehman</t>
  </si>
  <si>
    <t>Sher Bahadur, r/o Najmeel Shah, Khanzaad Gaan, P.O Yousaf Khel, Uper Mohmand Agency. (Mobile No. 0346-4292414).</t>
  </si>
  <si>
    <t>6176-K</t>
  </si>
  <si>
    <t>Abdul Rehman Khan s/o Aman Khan</t>
  </si>
  <si>
    <t>Mst. Bakht Noreena, r/o Hazara, Tehsil Kabel, District Swat. (Mob No. 0342-3436831).</t>
  </si>
  <si>
    <t>15602-1980769-7</t>
  </si>
  <si>
    <t>FIR No. 491 dated 6.8.2019 u/s 365/34 PPC PS Kabal, District Swat</t>
  </si>
  <si>
    <t>6177-B</t>
  </si>
  <si>
    <t>Shafi-ul-Rehman s/o Abdul Qayum</t>
  </si>
  <si>
    <t>Abdul Qayum, r/o Mohalla Link Road, Gahi Khan Chok, Quetta. (Mobile No. 0332-8343614).</t>
  </si>
  <si>
    <t>54401-4936850-3</t>
  </si>
  <si>
    <t>Traced Person. Shafi-ul-Rehman has appeared before the Commission at Quetta on 16.9.2019, whose statement has been recorded on oath. According to him, he was picked up and taken away blindfolded on 26.4.2019 that he was set free on 1st August, 2019 at Airport Road, Quetta. According to him, even if those persons who picked and taken away are brought before him, he is not in a position to identify them.</t>
  </si>
  <si>
    <t>6178-B</t>
  </si>
  <si>
    <t>Najeeb Ullah s/o Allah Nazar</t>
  </si>
  <si>
    <t>Khalid Khan, r/o Phansi Ghandi, Mohalla Kharootabad, District Zhob. (Mobile No.0310-8301248 &amp; 0313-8948521).</t>
  </si>
  <si>
    <t>56503-8264286-5</t>
  </si>
  <si>
    <t>Traced Person. Mr. Hazrat Wali Kakar, AC Pashin submitted JIT report dated 26.8.2020, wherein it has been stated that Najeeb Ullah has returned home. Najeeb Ullah s/o Allah Nazar has entered appearance before the Commission whose statement has been recorded on oath. Since Najeeb ullah has been traced and no more a Missing Person, therefore, no further proceedings are required to be taken by the Commission. Hence, the case is closed.</t>
  </si>
  <si>
    <t>6179-P</t>
  </si>
  <si>
    <t>Muhammad Javed Anwar s/o Muhammad Anwar</t>
  </si>
  <si>
    <t>Naveed Anwar, r/o Chak No. 99 Jeem, Baee P.O Khas Gojrah, District Toba Tek Singh. (Mobile No. 0301-3133813).</t>
  </si>
  <si>
    <t>33301-2552282-5</t>
  </si>
  <si>
    <t>Fir No. 622 Dated 22/8/19 u/s 365 Ppc P.S city Gujra</t>
  </si>
  <si>
    <t>6180-F</t>
  </si>
  <si>
    <t>Khyal Maat Gul s/o Babu Khan</t>
  </si>
  <si>
    <t>Muhammad Habib, r/o Sawa Kamar, Jamroo, District Khyber Agency. (Mobile No. 0301-5244252).</t>
  </si>
  <si>
    <t>21202-9534381-7</t>
  </si>
  <si>
    <t>6181-P</t>
  </si>
  <si>
    <t>Mukhtar Ahmed Zaman s/o Muhammad Zaman</t>
  </si>
  <si>
    <t>Mst. Aliya Kousar, r/o Mohalla Quaidabad Colony, Kala Gujran, District Jehlum. (Mobile No. 0334-5032200 ).</t>
  </si>
  <si>
    <t>Traced Person. Mukhtar Zaman has been traced. He has returned to home and appeared before the Commission. His statement has been recorded on oath. He has stated that that he was abducted on 4.7.2019 and set free after 10 days.</t>
  </si>
  <si>
    <t>6182-P</t>
  </si>
  <si>
    <t>Ibrar-ul-Haq Kani, r/o DK-831, Near Ghani Bakers, Dhok Kashmirian, 6th Road, Rawalpindi. (Mobile No. 0300-8558565).</t>
  </si>
  <si>
    <t>38201-3622714-1</t>
  </si>
  <si>
    <t>Traced Person. Raja Arshad Abbasi, SHO PS/Khushab has appeared and produced report dated 26/7/2019 of DPO, Khushab. It has been stated that Muhammad Javed has returned home and presently he is residing in-laws at Rawalpindi.</t>
  </si>
  <si>
    <t>6183-K</t>
  </si>
  <si>
    <t>Jamal Shah s/o Lal Badshah</t>
  </si>
  <si>
    <t>Lal Badshah, s/o Village Ghadzah, Jamrood, Khyber Agency. (Mobile No. 0333-9375175 &amp; 0343-9001616).</t>
  </si>
  <si>
    <t>6184-S</t>
  </si>
  <si>
    <t>Azaz-ul-Hassan s/o Farid-ul-Hassan</t>
  </si>
  <si>
    <t>Mst. Malla, r/o Nazimabad No.03, Mehmood Hospital, Gali no.3-A, Hosue no.8/5, Ground Floor, Karachi. (Mobile No. 0321-3801405 &amp; 0301-2264475).</t>
  </si>
  <si>
    <t>42301-7670321-1</t>
  </si>
  <si>
    <t>Fir No. 299/18, dated 20.09.18 , u/c 365/34 PPC , P.S Nazimabad, District North Karachi.</t>
  </si>
  <si>
    <t>6185-B</t>
  </si>
  <si>
    <t>Abdul Hanan s/o Talib Jan</t>
  </si>
  <si>
    <t>Abdul Manan, r/o Kale Alezay, P.O Harmazie, District Pashin, Balochistan. (Mobile No. 0302-3801115 &amp; 0301-3313609).</t>
  </si>
  <si>
    <t>54303-3152999-7</t>
  </si>
  <si>
    <t>Deleted. At the hearing held in this case Assistant Commissioner, Dasht District Mastung appeared and provided with profs that the Missing Person of Abdul Hanan is a criminal case rather than enforced disappearance. No further action is required. The case is closed.</t>
  </si>
  <si>
    <t>6186-K</t>
  </si>
  <si>
    <t>Muhammad Bilal s/o Ali Gohar</t>
  </si>
  <si>
    <t>Talal Muhammad, r/o Village Pir Peyaie, Mohalla Janabad, District Nowshera. (Mobile No. 0331-2054976).</t>
  </si>
  <si>
    <t>Deleted. Statement of complainant Talal Muhammad has been recorded on oath among others. According to him Muhammad Bilal has neither been abducted nor arrested by any LEA/intelligence Agency. According to Section 2 (d) of the Regulation 2011 Enforced Disappearance/Missing Person means such person as he been picked up/taken into custody by one of the LEA/Intelligence Agency, working under civilian or military control, in a manner which is contrary to the provision of law. Keeping in view the above mentioned facts and circumstances the case does not fall within the ambit of enforced disappearance.</t>
  </si>
  <si>
    <t>6187-K</t>
  </si>
  <si>
    <t>Bakhat Wali s/o Syed Wali</t>
  </si>
  <si>
    <t>Khan Zali, r/o Spah Gabee Khel, Yousaf Talab, P.O Barah Spain Kabar, Tehsil Barah, District Khyber Agency. (Mobile No. 0307-0533672).</t>
  </si>
  <si>
    <t>FIR No. 610/19 dated 10.08.2019 u/s 365 PPC, PS Urmar, Peshawar</t>
  </si>
  <si>
    <t>Traced Person. Bakhat Wali has been traced. He has returned home. Khan Zali complainant appeared before the Commission on 23.9.2020, at Peshawar, whose statement was recorded on oath. According to his statement, Bakhat Wali who is nephew of the complainant disappeared on 20.6.2019 and returned home on 28.8.2020. Bakhat Wali could not disclose any details regarding the persons involved and the place where he was kept in detention. No further action is required . The case is closed.</t>
  </si>
  <si>
    <t>6188-K</t>
  </si>
  <si>
    <t>Muhammad Ali s/o Muhammad Ameer</t>
  </si>
  <si>
    <t>Gul Zamir, r/o Malikabad, Gadoon, P.O Khaas, Tehsil Topi, District Swabi. (Mobile No. 0332-8587531 &amp; 0300-4594092).</t>
  </si>
  <si>
    <t>6189-B</t>
  </si>
  <si>
    <t>Abdul Sattar s/o Jalal Khan</t>
  </si>
  <si>
    <t>Abdul Ghafoor, r/o Kale Qasim Khan, Dalbandie, District Chagai, Balochistan. (Mobile No. 0332-8000342).</t>
  </si>
  <si>
    <t>54101-9598979-1</t>
  </si>
  <si>
    <t>Traced Person. It has been informed at the hearing held in this Commission at Quetta that Abdul Sattar s/o Jalal Khan is confined in Mach Jail. Family informed. The case is closed.</t>
  </si>
  <si>
    <t>6190-F</t>
  </si>
  <si>
    <t>Muhammad Umar Farooq s/o Ghulam Farid</t>
  </si>
  <si>
    <t>Ghulam Farid r/o Beroni Yaka Toot, Dir Colony, Tehsil &amp; District Peshawar. (Mobile No. 0344-9101495)</t>
  </si>
  <si>
    <t>Traced Person. SP (Inv), Khyber appeared before the Commission on 24.05.2021. He has submitted that Muhammad Umar Farooq returned home. Ghulam Farid father of Muhammad Umer also entered appearance and confirmed the aforesaid position. Hence , the case is closed.</t>
  </si>
  <si>
    <t>6191-I</t>
  </si>
  <si>
    <t>Gul Faraz s/o Rehmat Shah</t>
  </si>
  <si>
    <t>Ajmal Khan, r/o Qandhari, P.O Khar Sando Khel, Habib Zai, Tehsil Safi, District Mohmand Agency. (Mobile No. 0307-8570066)</t>
  </si>
  <si>
    <t>21406-9574929-3</t>
  </si>
  <si>
    <t>Traced Person. IO/SI of ICT Police submitted report and statement of Gul Faraz confirming his return to home on 3.3.2020. Gul Faraz has stated that he went to Karachi due to dispute with his brother. Accordingly, the case is closed.</t>
  </si>
  <si>
    <t>6192-K</t>
  </si>
  <si>
    <t>Mukmal Khan s/o Namak Deen</t>
  </si>
  <si>
    <t>Atta-ur-Rehman, r/o, House No. 741-742, P.O Chowk Yadgar Mohallah Mullah Baro, Peshawar. (Mobile No. 0333-9126224)</t>
  </si>
  <si>
    <t>17301-1415933-9</t>
  </si>
  <si>
    <t>FIR No. 1046 dated 9.8.2019 PS Kotwali Peshawar</t>
  </si>
  <si>
    <t>Traced Person. Atta-ur-Rehman complainant entered appearance before the Commission on 5.3.2021 and his statement was recorded on oath in which he deposed that he established contact with Muhammad Khan on 5th February, 2021 and further stated that Mukamal Khan had gone to Europe via Iran. He requested that the case may be closed.</t>
  </si>
  <si>
    <t>6193-K</t>
  </si>
  <si>
    <t>Shahab-ud-Din s/o Piyao Mar Deen</t>
  </si>
  <si>
    <t>Piyao Mar Deen, r/oHangu. (Mobile No. 0333-9659001 &amp; 0303-8766382).</t>
  </si>
  <si>
    <t>14101-9859089-9</t>
  </si>
  <si>
    <t>FIR No. 935 dated 8.8.2019 u/s 365 PPC PS City, District Hangu</t>
  </si>
  <si>
    <t>Traced Person. Shahab-ud-Din is confined in Internment Center Kohat as reported by MI at the hearing on 26.2.2020. Father of Shahab-ud-Din also confirmed. Family members of Shahab-ud-Din shall be facilitated to see him in the Internment Center Kohat as per rules and procedure.</t>
  </si>
  <si>
    <t>6194-S</t>
  </si>
  <si>
    <t>Asif Hussain Siddiqui s/o Siddiqui</t>
  </si>
  <si>
    <t>Siddiqui r/o Cliftion, Defence, Karachi, Pakistan.</t>
  </si>
  <si>
    <t>42301-4121015-3</t>
  </si>
  <si>
    <t>Deleted. The case has been closed due to incomplete address as the Police could not locate the complainant / family in which absence of which no further proceedings could be initiated. The address given in the UNWG information report is Clifton, Defence, Karachi which is incomplete. In t6he report submitted by SHO, PS Clifton, Karachi it has been submitted that no report is enter in this PS regarding the disappearance of Asif Hussain Siddiqui. When contacted by the investigation officer, one Mukesh Kuwar was found residing at the given address. Hence, the case is closed.</t>
  </si>
  <si>
    <t>6195-S</t>
  </si>
  <si>
    <t>Tanzeem Ahmed Khan Bashir Ahmed Khan s/o Khan</t>
  </si>
  <si>
    <t>Khan r/o 1/277, Liaqutabad, Rehmania Masjid, Karachi.</t>
  </si>
  <si>
    <t>42101-1560269-9</t>
  </si>
  <si>
    <t>Traced Person. It was informed at the hearing held in this Commission on 19.8.2019 that Tanzeem Ahmed Khan was arrested by PS Gadap City, Karachi in case FIR No. 58/2019 dated 25.2.2019 and presently confined in Centeral Jail, Karachi. Report of SHO concerned is available on record.</t>
  </si>
  <si>
    <t>6196-S</t>
  </si>
  <si>
    <t>Khurram</t>
  </si>
  <si>
    <t>r/o House No. 144, Sector 32 E, Nasir Colony, Korangi, Karachi.</t>
  </si>
  <si>
    <t>42201-0745969-5</t>
  </si>
  <si>
    <t>Traced Person. It was informed at the hearing held in this Commission on 13.9.2019 that Khurram has returned to home. The statement of the Traced Person has been recorded u/s 164 CrPC, which is available on record.</t>
  </si>
  <si>
    <t>6197-S</t>
  </si>
  <si>
    <t>Khuda Bakhsh s/o Balaach</t>
  </si>
  <si>
    <t>Balaach r/o Pelar Korak Village, in Jaoo, Awaran, Balochistan.</t>
  </si>
  <si>
    <t>51104-0345493-3</t>
  </si>
  <si>
    <t>Deleted. The case has been closed due to incomplete address as the Police could not locate the complainant / family in the absence of which no further proceedings could be initiated. The address given in the UNWG information report is Village in Jaro, which could be found SHO Eidgah Police Station in the Jurisdiction whereof the incident stated to have occurred submitted report that no incidence of abduction was reported to the Police. Even District Police Officer, Awaran could not locate the family. WGEID may provide further information to proceed further in the matter.</t>
  </si>
  <si>
    <t>6198-B</t>
  </si>
  <si>
    <t>Khair Jan s/o Mahmood</t>
  </si>
  <si>
    <t>r/o Bedring Village in Gresha area of Khuzdar District, Balochistan.</t>
  </si>
  <si>
    <t>51402-7487546-5</t>
  </si>
  <si>
    <t>Traced Person. Tehsildar Khuzdar entered appearance before the Commission on 19.9.2019 at Quetta, whose statement has been recorded on oath. Statement of Khair Jan Traced Person has also been recorded. Statement of Deputy Commissioner Khuzdar is also on record in which he stated that Khair Jan was taken away by Army Personnel and he was set free after 3 / 4 months.</t>
  </si>
  <si>
    <t>6199-B</t>
  </si>
  <si>
    <t>Muhammad Yaseen</t>
  </si>
  <si>
    <t>51402-9332821-9</t>
  </si>
  <si>
    <t>Traced Person. Tehsildar Khuzdar entered appearance before the Commission on 19.9.2019 at Quetta, whose statement has been recorded on oath. Statement of Muhammad Yaseen Traced Person has also been recorded. Statement of Deputy Commissioner Khuzdar is also on record in which he stated that Muhammad Yaseen was taken away by Army Personnel and he was set free after 3 / 4 months.</t>
  </si>
  <si>
    <t>6200-B</t>
  </si>
  <si>
    <t>Nasir s/o Faqeer Muhammad</t>
  </si>
  <si>
    <t>r/o Senkadi Village in Gresha area of Khuzdar District, Balochistan.</t>
  </si>
  <si>
    <t>6201-K</t>
  </si>
  <si>
    <t>Muhammad Yaqoob S/o Noor Afzal</t>
  </si>
  <si>
    <t>Mughal Baz, r/o Village Pista Wani, Atam Khel, Nawey Kale, P.O Sher Yakra, Tehsil &amp; District F.R Peshawar. (Mobile No. 0343-5227799 &amp; 0333-9352649).</t>
  </si>
  <si>
    <t>FIR No. 434 dated 7.8.2019 u/ s 365 PPC PS Mattani Peshawar</t>
  </si>
  <si>
    <t>Deleted. Complainant Mughal Baz appeared before the Commission on 3.3.32021 and stated that there is no allegation any of LEAs/ Intelligence Agency and that the sole purpose for making application to the Commission was to carry out investigation. Not being a case of enforced disappearance, it stands deleted.</t>
  </si>
  <si>
    <t>6202-S</t>
  </si>
  <si>
    <t>Muhammad Javed Khan s/o Aziz Khan</t>
  </si>
  <si>
    <t>Mst. Shabnam Javed, r/o House No. 2/5, Mohalla Qasba Town Shab, Mango Pir Road, Block A, Karachi. (Mobile No. 0311-2370769 &amp; 0315-8422676).</t>
  </si>
  <si>
    <t>42401-1962065-7</t>
  </si>
  <si>
    <t>6203-S</t>
  </si>
  <si>
    <t>Abdul Fahmeed Khan s/o Abdul Waheed Khan</t>
  </si>
  <si>
    <t>Mst. Nighat Huma, r/o House No. F-82, Jhangir Road, Karachi. (Mobile No. 0314-2048120).</t>
  </si>
  <si>
    <t>42101-0647995-7</t>
  </si>
  <si>
    <t>6204-S</t>
  </si>
  <si>
    <t>Mirza Arslan Baig s/o Kausar Hussain Baig</t>
  </si>
  <si>
    <t>House No. E-1/9, Malir Extension Colony, Karachi.</t>
  </si>
  <si>
    <t>42201-2356246-1</t>
  </si>
  <si>
    <t>Traced Person. It was informed at the hearing held in this Commission on 22.8.2019 that Mirza Arslan Baig has returned to home. In this connection statement of Mst. Shehnaz Naseem w/o Mirza Kawar Hussain is available in record stating that her son who went missing in 2015 returned to home after one month. However she could not inform the Police in time.</t>
  </si>
  <si>
    <t>WGEID</t>
  </si>
  <si>
    <t>6205-S</t>
  </si>
  <si>
    <t>Amir Raza Hussain s/o Idrees</t>
  </si>
  <si>
    <t>Flat No. 602, Johar Classioc, Gulistan-e-Johar, Karachi.</t>
  </si>
  <si>
    <t>42201-1617204-1</t>
  </si>
  <si>
    <t>Deleted. The case has been closed due to incomplete /fake address as the Police could not locate the complainant / family in the absence of which no further proceedings could be initiated. The address given in the UNWG information report is Flat No. 602 Gulshan-e-Johar, Karachi. However, SHO PS Mehmoodabad submitted in his report that efforts were made to traced the family for further investigation but could not succeed. Hence the case is closed.</t>
  </si>
  <si>
    <t>6206-S</t>
  </si>
  <si>
    <t>Abdul Khalid Khan s/o Shahab-ud-Din</t>
  </si>
  <si>
    <t>Flat No. 608, Johar Classioc, Gulistan-e-Johar, Karachi.</t>
  </si>
  <si>
    <t>42301-7701332-3</t>
  </si>
  <si>
    <t>Deleted. The case has been deleted due to incomplete/fake address as the Police could not locate the complainant/ family in the absence of which no further proceedings could be initiated. SHO, Samanabad, Karachi submitted report that ASI visited the address given in WGEID report and recorded statements of Naseem Ejaz s/o Ejaz Wali who deposed that he was living at this address for the last 20 years and no persons with the name Abdul Khalid Khan over residual at the address. Hence the case is closed.</t>
  </si>
  <si>
    <t>6207-S</t>
  </si>
  <si>
    <t>Shahood Ansari s/o Saadat Hussain</t>
  </si>
  <si>
    <t>House No. R-276, Block- 19, FB, Area, Karachi.</t>
  </si>
  <si>
    <t>42201-8226732-3</t>
  </si>
  <si>
    <t>Deleted. The case has been deleted due to incomplete/fake address as the Police could not locate the complainant/ family in the absence of which no further proceedings could be initiated. SHO, Samanabad, Karachi submitted report that ASI visited the address given in WGEID report and recorded statements of Naseem Ejaz s/o Ejaz Wali who deposed that he was living at this address for the last 20 years and no persons with the name Shahood Ansari over residual at the address. Hence the case is closed.</t>
  </si>
  <si>
    <t>6208-S</t>
  </si>
  <si>
    <t>Arshad Ansari s/o Shahood Ansari</t>
  </si>
  <si>
    <t>Deleted. The case has been deleted due to incomplete/fake address as the Police could not locate the complainant/ family in the absence of which no further proceedings could be initiated. SHO, Samanabad, Karachi submitted report that ASI visited the address given in WGEID report and recorded statements of Naseem Ejaz s/o Ejaz Wali who deposed that he was living at this address for the last 20 years and no persons with the name Arshad Ansari over residual at the address. Hence the case is closed.</t>
  </si>
  <si>
    <t>6209-S</t>
  </si>
  <si>
    <t>Shakeel Nabi Bukhsh s/o Bukhsh</t>
  </si>
  <si>
    <t>House No. D-8/A5, Plot No. 14, PIB Colony, Karachi.</t>
  </si>
  <si>
    <t>42201-0245115-7</t>
  </si>
  <si>
    <t>Traced Person. It was informed at the hearing held in this Commission on 22.8.2019 that Shakeel nabi Bux was arrested by PS Super Market, Karachi in case FIR No. 122/2015 dated 22.8.2015 and later released on bail by competent Court of jurisdiction. In this connection report of SHO PS, PIB Colony, Karachi and statement of Shakeel Nabi Bux are available on record.</t>
  </si>
  <si>
    <t>6210-S</t>
  </si>
  <si>
    <t>Hassan Raza s/o Wasi Haider</t>
  </si>
  <si>
    <t>House No. 28/8, Jut Line Area, Karachi.</t>
  </si>
  <si>
    <t>Traced Person. It was informed at the hearing held in this Commission on 19.9.2019 that Wasi Haider is involved in Criminal Case vide FIR No, 119/ 2015, PS Industrial Area. He was arrested and later released on bail by competent Court of Jurisdiction. The report dated 19.9.2019 submitted by SHO Brigade, Police Station, Karachi is placed on record.</t>
  </si>
  <si>
    <t>6211-S</t>
  </si>
  <si>
    <t>Alam Wahab s/o Wahab</t>
  </si>
  <si>
    <t>House No. 699, Phase No. 01, Khuda Ki Basti, Karachi.</t>
  </si>
  <si>
    <t>Traced Person. It was informed at the hearing held in this Commission on 19.9.2019 that Alam Wahab has returned to home. The statement of the Traced Person has been recorded u/s 164 CrpC, which is available on record. The report submitted by SHO, Surjani Town, Karachi is also placed on record.</t>
  </si>
  <si>
    <t>6212-S</t>
  </si>
  <si>
    <t>Muhammad Raees Qureshi s/o Noor Muhammad</t>
  </si>
  <si>
    <t>House No. 64/16, Sector-11-D, New Karachi.</t>
  </si>
  <si>
    <t>Deleted. The address given in the Report received from WGEID is House No. 64/14 Sector 11-D, New Karachi. As per report submitted by SHO PS New, Karachi. The statement of the neighbors of Muhammad Raees Qureshi was recorded who apprised that no person with the name of Muhammad Raees Qureshi ever resided at this house. The case is therefore deleted as correct address of the Missing Person is not available.</t>
  </si>
  <si>
    <t>6213-S</t>
  </si>
  <si>
    <t>Imran Naseem s/o Muhammad Naseem</t>
  </si>
  <si>
    <t>House No. 173, Sector No. 5-C, Moosa Nagar, Paposh, Karachi.</t>
  </si>
  <si>
    <t>Traced Person. It was informed at the hearing held in this Commission on 19.9.2018 that Imran Naseem has returned to home. SHO Paposh Nagar, PS, Karachi submitted his statement in which he deposed that he was arrested by Mehmoodabad Police four years ago under the provision of Sind Arms Act. Later he was acquitted by competent Court of Jurisdiction.</t>
  </si>
  <si>
    <t>6214-S</t>
  </si>
  <si>
    <t>Muhammad Ijaz s/o Muhammad Idrees</t>
  </si>
  <si>
    <t>House No. B-33, Bagh-e-Korangi, Karachi.</t>
  </si>
  <si>
    <t>Deleted. SHO, Awami Colony, Karachi submitted report at the hearing on 28.1.2020 that the Investigation Officer visit the given address, met and recorded the statement of on Muhammad Mehboob Khan s/o Muhammad Ayub Khan (Mobile No. 0335-3080183) which despite that no person with the name of Muhammad Ijaz s/o Muhammad Idrees, ever resided in this house. No report complaint is entered in the record of PS regarding Missing Person Muhammad Ijaz. Hence, no further investigation is possible and the case is closed.</t>
  </si>
  <si>
    <t>6215-S</t>
  </si>
  <si>
    <t>Fawad Ahmed Razmi Hussain s/o Syed Mehboob Hussain</t>
  </si>
  <si>
    <t>House No. 3/830, Block No. 03, Liquatabad, Karachi.</t>
  </si>
  <si>
    <t>Traced Person. It was informed at the hearing held in this Commission on 5.11.2019 that Fawad Ahmed Razmi Hussain has returned to home. He appeared before the Commission and his statement has been recorded u/s 164 CrPC, which is available on record. The report submitted by SHO Super Market, Karachi is also placed on record.</t>
  </si>
  <si>
    <t>6216-S</t>
  </si>
  <si>
    <t>Muhammad Faiza Muzaffar Ali s/o Ali</t>
  </si>
  <si>
    <t>Flat No. B-10, Hyderi Center, Block -G, North Naizamabad, Karachi.</t>
  </si>
  <si>
    <t>Deleted. SHO PS Haider Market District Central, Karachi submitted report that the family of the Missing Person not residing at the given address Flat No, B-10, Haidri Center, Block G, North Nizamabad, Karachi. Hence no further investigation is possible.</t>
  </si>
  <si>
    <t>6217-S</t>
  </si>
  <si>
    <t>Ali Raza Jawad s/o Jawad</t>
  </si>
  <si>
    <t>House No. 142, Sector No. 11-F, New Karachi.</t>
  </si>
  <si>
    <t>Traced Person. The statement of the Traced Person recorded u/s 164 CrPC has been furnished by SHO, NKIA, Karachi. It has been mentioned in the statement that there were taken into custody by some Agency in the year 20105 and released after 2/3 days.</t>
  </si>
  <si>
    <t>6218-S</t>
  </si>
  <si>
    <t>Muhammad Yameen s/o Muhammad Mobeen</t>
  </si>
  <si>
    <t>House No. 143, Sector No. 11-F, New Karachi.</t>
  </si>
  <si>
    <t>6219-S</t>
  </si>
  <si>
    <t>Younis Muhammad Asif s/o Muhammad Asif</t>
  </si>
  <si>
    <t>House No. 142/14 , Block No. 143Sector No. 11-F, New Karachi.</t>
  </si>
  <si>
    <t>Traced Person. The statement of the Traced Person recorded u/s 164 CrPC has been furnished by SHO, NKIA, Karachi. It has been mentioned in the statement that there were taken into custody by some Agency in the year 2015 and released after 2/3 days.</t>
  </si>
  <si>
    <t>6220-S</t>
  </si>
  <si>
    <t>Asif Abdul Samad s/o Samad</t>
  </si>
  <si>
    <t>House No. 124/3 , Block No. 143, Sector No. 11-F, New Karachi.</t>
  </si>
  <si>
    <t>6221-S</t>
  </si>
  <si>
    <t>Hameed Sardar s/o Sardar</t>
  </si>
  <si>
    <t>House No. 123/12 , Block No. 143, Sector No. 11-F, New Karachi.</t>
  </si>
  <si>
    <t>Traced Person. The statement of the Traced Person recorded u/s 164 CrPC has been furnished by SHO, NKIA, Karachi. It has been mentioned in the statement that they were taken into custody by some Agency in the year 2015 and released after 2/3 days.</t>
  </si>
  <si>
    <t>6222-S</t>
  </si>
  <si>
    <t>Aslam Rehman s/o Abdul Rehman</t>
  </si>
  <si>
    <t>House No. L-424, Sector 5-D, Maymarbad, Surjani Taown, Karachi.</t>
  </si>
  <si>
    <t>Traced Person. It was informed at the hearing held in this Commission on 14.11.2019 that Aslam Rehman has returned to home. He appeared before the Commission. The statement of the Traced Person has been recorded u/s 164 CrPC which is available on record. The report submitted by SHO, Surjani Town, Karachi is also placed on record.</t>
  </si>
  <si>
    <t>6223-S</t>
  </si>
  <si>
    <t>Wasi Tariq Qamar s/o Qamar</t>
  </si>
  <si>
    <t>House No. 10/2, Sector 5-D, Nazimabad, Karachi.</t>
  </si>
  <si>
    <t>42401-1610980-1</t>
  </si>
  <si>
    <t>Deleted. The address given in the Report received form UN-WGEID is House No. 10/2, Sector 5-D, Nazimabad, Karachi. The Investigation Officer of PS Paposh Nagar, Karachi visited the house where he met Mr. Muhammad Iqbal Sohail (Mobile No. 0348-8707382) who is the owner of the house. He stated, in the statement recorded by I.O that Wasi Tariq Qamar never resided in this house. Hence no further action is required. Case is closed.</t>
  </si>
  <si>
    <t>6224-S</t>
  </si>
  <si>
    <t>Muhammad Arshad Nazar s/o Muhammad Nazar</t>
  </si>
  <si>
    <t>House No. L-36, FC-5, Surjani Town, Karachi.</t>
  </si>
  <si>
    <t>Deleted. After the last hearing in this case on 21.1.2020 the case has been deleted due to incomplete address. SHO PS Surjani Town, Karachi has intimated in his report dated 21.1.2020 that the address mentioned in WGEID Report i.e L-36 FC-5 Surjani Town, Karachi is incomplete and family could not be located . Hence no further action is required. The case is deleted.</t>
  </si>
  <si>
    <t>6225-S</t>
  </si>
  <si>
    <t>Khurram Ahmed Shakri s/o Shamshad Ahmed Shakri</t>
  </si>
  <si>
    <t>House No. 78/4, Sector 5-G, New Karachi.</t>
  </si>
  <si>
    <t>Deleted. At the hearing held in this case at Sub-Office, Karachi on 201.2020 report was submitted by SHO, NKIA, District Central Karachi that where the given address was visited on individual namely Niaz Ahmed s/o Muhammad Rizwan (CNIC No. 62101-9304707-5) was found residing there with his family since birth. He also stated that he knew any person namely Khurram Ahmed Shakri. Hence, no further action is possible. The case is deleted.</t>
  </si>
  <si>
    <t>6226-S</t>
  </si>
  <si>
    <t>Faizan Shah Muhammad Shab Uddin s/o Muhammad Shab Uddin</t>
  </si>
  <si>
    <t>Sanober Cottage Sector 11-K, North Karachi.</t>
  </si>
  <si>
    <t>42101-6406016-1</t>
  </si>
  <si>
    <t>Deleted. A report dated 24.1.2020 has been submitted by SHO PS, New Karachi stating that the address as indicated with the WGEID report was visited but no clue about the family was found in Sanober Cottage. Neither any complainant over received about the disappearance of Faizan Shah. Hence the case is deleted in receipt of further information from WGEID.</t>
  </si>
  <si>
    <t>6227-S</t>
  </si>
  <si>
    <t>Sheikh Amir s/o Sheikh Nasir</t>
  </si>
  <si>
    <t>House No. 1504, Street No. 02, Sector 51-C, Korangi Karachi.</t>
  </si>
  <si>
    <t>42509-5420468-1</t>
  </si>
  <si>
    <t>Traced Person. It was informed at the hearing in this Commission on 2.10.2019 that Sheikh Amir has returned to home. He appeared before the Commission and his statement has been recorded u/s 164 CrPC, which is available on record. Moreover, the report submitted by SHO Zaman Town, PS Karachi is placed on record. As a matter of fact as contained in his statement he was never kidnapped by any person/ agency.</t>
  </si>
  <si>
    <t>6228-B</t>
  </si>
  <si>
    <t>Syed Ahmed Shah s/o Naeem Shah</t>
  </si>
  <si>
    <t>Syed Latif Shah, r/o Kale Shana Gahri, Tehsil Maram Zai, District Pashin, Balochistan. (Mobile No. 0333-3151448 &amp; 0302-3886092).</t>
  </si>
  <si>
    <t>54303-2027861-3</t>
  </si>
  <si>
    <t>Traced Person. Mr. Hazrat Wali Kakar, AC Pashin entered appearance before the Commission and submitted that Syed Ahmed Shah has been traced. Since Syed Ahmed Shah has been traced and no more a Missing Person, therefore no further proceeding are required to be taken by the Commission. Hence , the case is closed.</t>
  </si>
  <si>
    <t>6229-K</t>
  </si>
  <si>
    <t>Muhammad Sohail s/o Isam Gul</t>
  </si>
  <si>
    <t>Islam Gul, r/o Kotemela Akhorwal, P/o Govt High School Akhorwal, FR Kohat. (Mobile No. 0348-1927803).</t>
  </si>
  <si>
    <t>FIR No. 30 dated 28.8.19 Us/s 365 PPC Ps Dara , Doidtrict Kohat.</t>
  </si>
  <si>
    <t>6230-B</t>
  </si>
  <si>
    <t>Muhammad Azum s/o Dil Jan</t>
  </si>
  <si>
    <t>r/o Sarajj, Gresha, Tehsil Naal, District Khuzdar, Balochistan.</t>
  </si>
  <si>
    <t>51402-7389596-5</t>
  </si>
  <si>
    <t>Traced Person. Dil Jan father of Muhammad Azum has entered appearance before Commission on 5.3.2020 at Quetta, whose statement has been recorded on oath. He has deposed that in the year 2017, when his son, Muhammad Azum was going to Karachi he was off loaded from the bus at Wadh by some unknown persons and taken away. He has further stated that on 18th January, 2020, when he was at home, he received a telephone call from his son from unknown number that he has been set free at Noshki. He has further deposed that he went to Noshki and brought Muhammad Azum at home. He has further added that his son has now a days gone to Karachi for medical treatment.</t>
  </si>
  <si>
    <t>6231-B</t>
  </si>
  <si>
    <t>Muhammad Farooq s/o Lakoo</t>
  </si>
  <si>
    <t>r/o Gazzi, Tank, Tehsil Mashkey, District Awaran, Balochistan.</t>
  </si>
  <si>
    <t>Traced Person. Risaldar Liquat Ali, Tehsil Jao appeared before the Commission on 6.11.2019, whose statement has been recorded on oath. He has stated that according to his information Muhammad Farooq was arrested sometime back and later on he was released and thereafter he and his family members disappeared from their native place and gone some unknown place, while Muhammad Farooq had gone to Dubai. Rep of IB has produced copy of travel history of Muhammad Farooq s/o Lakhoo according to which he has left for Dubai form Jinnah International Airport Karachi on 2.10.2018 on Passport No. GX8965731.</t>
  </si>
  <si>
    <t>6232-B</t>
  </si>
  <si>
    <t>Ghulam Rasool s/o Pahr Deen</t>
  </si>
  <si>
    <t>r/o Village of Kandadi, in the area of Tank, in the Tehsil Mashkey, District Awaran, Balochistan.</t>
  </si>
  <si>
    <t>51102-3371214-1</t>
  </si>
  <si>
    <t>Traced Person. Mr. Muhammad Akbar Raisani SSP/Focal Person, IGP Balochistan appeared before the Commission at Quetta on 6.11.2019, whose statement has been recorded on oath. Statement of Risaldar Liquat Ali, Levies Awaran has also been recorded on oath, who has produced letter No. 4018 dated 24.9.2019 of Chairman Municipal Committee Gajjar Tehsil Mashkay, District Awaran, wherein it has been certified that Ghulam Rasool s/o Pahr Deen disappeared on 4.2.2016 and recovered on 24.1.2018 and thereafter he alongwith his family migrated to Iran and now ad days he is residing in Iran.</t>
  </si>
  <si>
    <t>6233-B</t>
  </si>
  <si>
    <t>Talal Ahmed s/o Dost Muhammad</t>
  </si>
  <si>
    <t>r/o Gomazi, Balochistan.</t>
  </si>
  <si>
    <t>Traced Person. Mir Husain Lehri, SSP, Kech entered appearance before the Commission on 20.9.2019 at Quetta , whose statement has been recorded on oath. He has produced statement of Muhammad Assa f/o Talal Ahmed duly verified by Tehsildar Tump to the effect that Talal Ahmed has returned to home. SSP Kech further submitted in his report that Talal Ahmed remained missing for a few days and now he returned to home.</t>
  </si>
  <si>
    <t>6234-B</t>
  </si>
  <si>
    <t>Hammal Assa s/o Assa</t>
  </si>
  <si>
    <t>Traced Person. Mir Husain Lehri, SSP, Kech entered appearance before the Commission on 20.9.2019 at Quetta , whose statement has been recorded on oath. He has produced statement of Muhammad Assa f/o Hammal Assa duly verified by Tehsildar Tump to the effect that Muhammad Assa has returned to home. SSP Kech further submitted in his report that Hammal Assa remained missing for a few days and now returned to home.</t>
  </si>
  <si>
    <t>6235-K</t>
  </si>
  <si>
    <t>Abdul Salam s/o Gul Kareem</t>
  </si>
  <si>
    <t>Mst. Safina Bibi r/o Village Mandyu, P.O Mandyu, P.S Miryan, Tehsil &amp; District Bannu,KPK. (Mobile No. 0321-9798192 &amp; 0311-4989398).</t>
  </si>
  <si>
    <t>Traced Person. The traced person, the complainant and IO/SI from office of SP(Inv) Bannu appeared for hearing on 29.5.2020 and submitted report/confirmation about the return of Abdul Salam, who stated that he went to Karachi due to annoyance with the family on 27.3.2019 and returned home on 25.2.2020. Accordingly the case stands disposed of.</t>
  </si>
  <si>
    <t>6236-B</t>
  </si>
  <si>
    <t>Noor Muhammad s/o Akhtar Muhammad</t>
  </si>
  <si>
    <t>Sultan Muhammad, r/o Klaye Mehrab, Zai Agbarak, District Quetta. (Mobile No. 0310-8170472 &amp; 0333-3347769).</t>
  </si>
  <si>
    <t>54401-9234270-7</t>
  </si>
  <si>
    <t>Deleted. In this case, there are concurrent findings/ conclusion by JIT and PTF that the Missing Person has gone on his own. All stakeholders have denied arrest/custody of Noor Muhammad s/o Akhtar Muhammad. The complainant also submitted that there is no allegation against any LEAs/Intelligence Agency. No further action is required. The case is closed.</t>
  </si>
  <si>
    <t>6237-B</t>
  </si>
  <si>
    <t>Rahim-ud-Din s/o Shah Nawaz</t>
  </si>
  <si>
    <t>Muhammad Yousaf, Asmat Faqir Bus Adha, Mobile Center, District Kharan. (Mobile No.0342-1242600 &amp; 0321-8137500).</t>
  </si>
  <si>
    <t>51301-1140411-1</t>
  </si>
  <si>
    <t>6238-B</t>
  </si>
  <si>
    <t>Syed Akhtar Shah s/o Agha Anwar Shah</t>
  </si>
  <si>
    <t>Syed Sabir Shah, r/o Mohalla Killi, Sheikhar Mastung. (0333-7787510 &amp; 0334-1029005).</t>
  </si>
  <si>
    <t>51602-8922164-9</t>
  </si>
  <si>
    <t>Traced Person. Syed Akhtar Shah appeared before the Commission on 29.3.2021, whose statement has been recorded on oath. He has deposed that on 11th August, 2016, when he was working in his Medical Store situated in Mustang Bazar some armed persons came and abducted him blindfolded and taken to some unknown place. He has further submitted that he was set free on 9.2.2021 and reached home. He has further deposed that he cannot identify those persons who took him away. No further action is required. The case is closed.</t>
  </si>
  <si>
    <t>6239-K</t>
  </si>
  <si>
    <t>Naveed Kamal s/o Syed Kamal</t>
  </si>
  <si>
    <t>Syed Kamal, r/o Kachkolabad, Madina Colony, Charsada Road, Near P.S Faqeerabad, P.O Ashrafia Colony, Peshawar. (Mobile No. 0344-9106302).</t>
  </si>
  <si>
    <t>FIR No. 1103 dated 19.8.2019 u/s 365 PPC, PS Faqeerabad, Peshawar.</t>
  </si>
  <si>
    <t>Traced Person. Naveed Kamal has been traced. Syed Kamal f/o Naveed Kamal appeared before the Commission at Peshawar on 12.9.2019. His statement has been recorded on oath. In his statement Syed Kamal has deposed that his son was abducted by unknown persons on 16.1.2019 and was taken away forcibly. His son was set free on 27.8.2019 and now he was present at home.</t>
  </si>
  <si>
    <t>6240-B</t>
  </si>
  <si>
    <t>Noor Ullah s/o Haji Muhammad Jan</t>
  </si>
  <si>
    <t>Muhammad Alam, r/o Ghousabad, Farooqia Masjid, Khatakabad, Gohar Madani, Quetta. (Mobile No.0333-7864975).</t>
  </si>
  <si>
    <t>Deleted. Muhammad Alam Khan brother of Noor Ullah has appeared before the Commission on 6.1.2020 at Quetta, whose statement has been recorded on oath. He has deposed that Noor Ullah disappeared on 29.12.2008, when he was going to Mandi and his motorcycle was received by him from the Police Station, Satellite Town. He has further deposed that in his complaint made before the Commission there in no allegation against any LEAs/Intelligence Agency and that he has not leveled and allegation against any Government Agency during the past 11 years. Accordingly to Regulation 2 (d) “Enforced Disappearance/ Missing Person” means such persons as he has been picked up/taken into custody by one of the law enforcement/ Intelligence Agencies, working under the civilian or military control, in a manner which is contrary to provision of Law. Keeping in view the circumstances of the case, the case hardly falls within the ambit of enforced disappearance, therefore closed.</t>
  </si>
  <si>
    <t>6241-B</t>
  </si>
  <si>
    <t>Imtiaz Ahmed s/o Raza Muhammad</t>
  </si>
  <si>
    <t>Nazir Ahmed, r/o Near Ithad Colony, Mohalla Kale Hafizabad, Karani Road, Quetta. (Mobile No. 0336-8057552 &amp; 0336-2894731).</t>
  </si>
  <si>
    <t>54401-9997596-3</t>
  </si>
  <si>
    <t>Traced Person. SSP (Inv), Quetta informed at the hearing held in this case at Quetta in 16.9.2019 that private person are involved in the murder of Imtiaz Ahmed, whose dead body which was recovered from a well/karez on 20.7.2019 was handed over to the complainant / family after identification by them.</t>
  </si>
  <si>
    <t>6242-S</t>
  </si>
  <si>
    <t>Zarjan s/o Yousaf</t>
  </si>
  <si>
    <t>Musa Khan r/o House No. 03, Khalgi Goht, Near Bilal Masjid, on Main Hydrabad &amp; Karachi Supper Highway, Near Gadap Karachi. (Mobile No. 0344-2526477).</t>
  </si>
  <si>
    <t>16102-9005156-3</t>
  </si>
  <si>
    <t>6243-K</t>
  </si>
  <si>
    <t>Mustafa Kamal s/o Khan Wali</t>
  </si>
  <si>
    <t>Khan Wali, r/o Mohalla Koki Khel, Sher Khan, Lala Khel Jamroad, District Khyber. (Mobile No. 0303-8788050 &amp; 0343-9300774).</t>
  </si>
  <si>
    <t>FIR No 973 dated 10.8.2019 PS Hayatabad Peshawar</t>
  </si>
  <si>
    <t>6244-K</t>
  </si>
  <si>
    <t>Muhammad Sami s/o Khan Wali</t>
  </si>
  <si>
    <t>Khan Wali, r/o Mohalla Koki Khel, Sher Khan Lala Khel Jamroad, District Khyber. (Mobile No. 0303-8788050 &amp; 0343-9300774)</t>
  </si>
  <si>
    <t>FIR No 974 dated 10.8.2019 PS Hayatabad Peshawar</t>
  </si>
  <si>
    <t>6245-K</t>
  </si>
  <si>
    <t>Umer Gul Khan s/o Khan</t>
  </si>
  <si>
    <t>Khan, r/o P/O Box Pir Baba, Village Narbatawal, Tehsil Gadezai, District Buner, KPK</t>
  </si>
  <si>
    <t>Traced Person. DSP/HQ Buner entered appearance before the Commission on 29-10-2021 and submitted that full name of the Missing Person was Umer Gul Khan s/o Sher Gul Khan who was presently confined in the Internment Centre Paitham. No further action is required. The case is closed.</t>
  </si>
  <si>
    <t>6246-P</t>
  </si>
  <si>
    <t>Tahir Shahzad s/o Khan Afsar Khan</t>
  </si>
  <si>
    <t>Khan Afsar Khan, r/o House No 487, Aram Bagh, District Abbottabad, KPK.</t>
  </si>
  <si>
    <t>13101-0542448-3</t>
  </si>
  <si>
    <t>6247-B</t>
  </si>
  <si>
    <t>Yousaf s/o Abdul Ghani</t>
  </si>
  <si>
    <t>Abdul Ghani, r/o Goburd, Mand, District Kech, Balochistan.</t>
  </si>
  <si>
    <t>52205-0890101-5</t>
  </si>
  <si>
    <t>Traced Person. Muhammad Amin appeared before the Commission on 21.9.2019 at Quetta, whose statement has been recorded on oath. He has stated that Yousaf s/o Abdul Ghani has returned to home. He has produced written report and statement of yousaf duly attested by Tehsildar Mand, wherein Yousaf has stated that he was picked up and taken away by some unknown persons who kept him at and unknown place and subsequently set him free on 24.7.2018.</t>
  </si>
  <si>
    <t>6248-P</t>
  </si>
  <si>
    <t>Iftikhar Khan s/o Shah Khan</t>
  </si>
  <si>
    <t>Shah Khan, r/o Tehsil Safi, Bane Khel Mohmand Agency, FATA. (Mobile No. 0305-943736 &amp; 0342-5713039)</t>
  </si>
  <si>
    <t>21406-6264758-2
 Mother CNIC No.</t>
  </si>
  <si>
    <t>6249-B</t>
  </si>
  <si>
    <t>Muhammad Zahid s/o Baloch Khan</t>
  </si>
  <si>
    <t>Baloch Khan, r/o Naal, Distict Khuzdar, Balochistan.</t>
  </si>
  <si>
    <t>6250-B</t>
  </si>
  <si>
    <t>Safar Ali s/o Qadir Bakhsh</t>
  </si>
  <si>
    <t>Qadir Bakhsh, r/o Awaran, Balochistan.</t>
  </si>
  <si>
    <t>6251-B</t>
  </si>
  <si>
    <t>Dost Muhammad s/o Sher Muhammad</t>
  </si>
  <si>
    <t>Sher Muhammad, r/o Resh Peesh Village, Tehsil Parom Jahien, District Panjgur, Balochistan.</t>
  </si>
  <si>
    <t>52303-5044875-7</t>
  </si>
  <si>
    <t>6252-B</t>
  </si>
  <si>
    <t>Washdil Baloch s/o Faqeer Muhammad</t>
  </si>
  <si>
    <t>Faqeer Muhammad, r/o Darkop Village in Tehsil Gwargo, District Panjgur, Balochistan.</t>
  </si>
  <si>
    <t>52302-443885-9</t>
  </si>
  <si>
    <t>6253-P</t>
  </si>
  <si>
    <t>Dilshad Ali</t>
  </si>
  <si>
    <t>r/o Near Government Girls Degree College, Mohalla Islam Nagar, Tehsil Darya Khan, District Bhakkar.</t>
  </si>
  <si>
    <t>38102-1697728-7</t>
  </si>
  <si>
    <t>Traced Person. A report vide No.11312 dated 23.8.2019 was submitted by District Police Officer, Bhakkar at the hearing on 30.8.2019 stating that Dilshad Ali appered before DSP (Legal) Bhakkar and submitted affidavit that he went out of city in search of labour in the year 2013 and did not inform his familydue to some dispute.. That he returned after nine months and presently residing with his family.</t>
  </si>
  <si>
    <t>Bhakkar</t>
  </si>
  <si>
    <t>6254-K</t>
  </si>
  <si>
    <t>Ahmed Said Khan s/o Akbar Khan</t>
  </si>
  <si>
    <t>Akbar Khan, r/o P.O Box Pir Baba, Village Pacha, Tehsil Gadezai, District Buner, KPK.</t>
  </si>
  <si>
    <t>Traced Person. Ahmed Said entered appearance before the Commission, whose statement was recorded on oath, in which he deposed that he surrendered himself to Pak Army and after keeping in detention for five months, they handed over him to Police. Thereafter he remained in detention in Dagar Jail about one year and in the meanwhile his case remained under trial Anti-Terrorism Court at Swat which acquitted him. Now he was at home and earning his live hood.</t>
  </si>
  <si>
    <t>6255-K</t>
  </si>
  <si>
    <t>Farman Khan s/o Afsar Khan</t>
  </si>
  <si>
    <t>Afsar Khan, r/o P.O Yousaf Khel, Village Kung, Tehsil Khowizai Upper Mohmand, Mohammand Agency. FATA.</t>
  </si>
  <si>
    <t>Traced Person. Farman Khan has been traced, he has returned to home. In this connection a report dated 30.10.2019 from IB has been received which is available on record, perusal whereof shows that Farman Khan has returned to home. File be consigned to record after compilation.</t>
  </si>
  <si>
    <t>6256-K</t>
  </si>
  <si>
    <t>Noor Zaid s/o Rahmet Ullah</t>
  </si>
  <si>
    <t>Tahir Ullah, r/o Malik Darya Khan, Tehsil Landi Kotal, District Khyber. (Mobile No. 0333-5976763).</t>
  </si>
  <si>
    <t>FIR No. 334 dated 26.6.2017 PS Nasir Bagh Peshawar</t>
  </si>
  <si>
    <t>Traced Person. According to reports dated 06.07.2020 and 24.07.2020 received from Rep of MI, Noor Zaid is presently confined in the Internment Centre Lakki Marwat. Rehmat Ullah f/o Noor Zaid was present, who was apprised of the status of the case. He may avail remedy if any in accordance with law. Family member of Noor Zaid will be facilitated to see him in the Internment Centre as per rules and procedure.</t>
  </si>
  <si>
    <t>6257-K</t>
  </si>
  <si>
    <t>Shafi-ur-Rehman</t>
  </si>
  <si>
    <t>r/o Tappa Khadin Nawasi, Karbogha, P.O ghalbe, Tehsil Ismail Zia, District Orakzai Agency.</t>
  </si>
  <si>
    <t>21602-6840638-5</t>
  </si>
  <si>
    <t>Traced Person. It was informed at the hearing held in this Commission on 26.11.2019 that Shafi-ur-Rehman has returned to home. Rep of Intelligence Bureau (IB) submitted in his report that as per ground check, the subject missing person is fasadi minded and belongs to poor family. Reportedly, he had links with Inayat @ ghenat @ Malangy late group of Dardar Mamozai of Upper Orakzai. According to information, he has been declared “Grey” by JIT and sent to Bannu Prison. However after 18th month’s imprisonment he was released and returned to home.</t>
  </si>
  <si>
    <t>6258-F</t>
  </si>
  <si>
    <t>Zojan Khan s/o Muhammad Khan</t>
  </si>
  <si>
    <t>Muhammad Khan, r/o Chanda Area, Tehsil Haleemzai, Mohmand Agency, FATA.</t>
  </si>
  <si>
    <t>Traced Person. Rep of Intelligence Bureau submitted his report that individual got Jihadi training from TTM that he was picked by Mohammad Rifles he was imprisoned for 6 years. In February, 2019 he was released from Mardan Jail and presently he is at his native area. SDPO, District Mohmand also confirmed the position as stated herein before.</t>
  </si>
  <si>
    <t>6259-B</t>
  </si>
  <si>
    <t>Sanaullah s/o Muhammad Ismail</t>
  </si>
  <si>
    <t>r/o Karkay Dal, Gichk, District Panjgur, Balochistan.</t>
  </si>
  <si>
    <t>6260-P</t>
  </si>
  <si>
    <t>Noor Nabi</t>
  </si>
  <si>
    <t>r/o Chak Num 4/4-L Military farm Okara, District Okara.</t>
  </si>
  <si>
    <t>35302-2029258-3</t>
  </si>
  <si>
    <t>Traced Person. At the hearing held in this case on 30.8.2019, District Police Officer, Okara submitted report vide No.17313 dated 21.8.2019 stating that Nabi Noor s/o Muhammad Siddique appeared before DSP Sadar and submitted a written statement that he was a practicing lawyer, his name was wrongly entered in the list of Missing Persons. That he was residing in Chak No.4/4-L, District Okara and nobody abducted him.</t>
  </si>
  <si>
    <t>6261-F</t>
  </si>
  <si>
    <t>Muhammad Asif s/o Muhammad Saeed</t>
  </si>
  <si>
    <t>Muhammad Saeed, r.o Sufaid Sung Village, Par Sung Post Office, Sufaid Sung Tehsil, District Peshawar.</t>
  </si>
  <si>
    <t>6262-K</t>
  </si>
  <si>
    <t>Main Shaukat Bacha s/o Main Pir Baash Bacha</t>
  </si>
  <si>
    <t>Main Pir Baash Bacha, r/o P.O Box Pir Baba, Village Docadda, Tehsil Gadezai, District Buner, KPK.</t>
  </si>
  <si>
    <t>Traced Person. Mian Shaukat Bacha has been traced. Inspector /IO Muhammad Rafique appeared before the Commission on 30.9.2019. His statement has been recorded on oath. According to his statement Mian Shaukat Bacha has returned to home and is presently at Saudi Arab. Mian Pir Baash Bacha, father of Missing Person was also present, who confirmed the said position.</t>
  </si>
  <si>
    <t>Buner</t>
  </si>
  <si>
    <t>6263-K</t>
  </si>
  <si>
    <t>Qasir Ali s/o Shereen Khan</t>
  </si>
  <si>
    <t>Shereen Khan, r/o Mohalla Dagai, Village Manairi Payan, District Swabi, KPK.</t>
  </si>
  <si>
    <t>Traced Person. Qaiser Ali has been traced. He has returned home. Hidayat-ur-Rehman, Inspector/IO of the case appeared before the Commission on 19.9.2019, who has furnished letter No. 748-S, dated 6.9.2019 on behalf of DSP (Inv) wherein it is mentioned that Qaiser Ali has returned home.</t>
  </si>
  <si>
    <t>6264-S</t>
  </si>
  <si>
    <t>Shahid Hussain</t>
  </si>
  <si>
    <t>r/o House No. B-77, Block C, North Nazimabad, Karachi.</t>
  </si>
  <si>
    <t>Traced Person. At the hearing held in this case on 21.1.2020, SHO, North Nazimabad, Police station, Karachi submitted report that Ali Hassan s/o Shahid Hussain has returned to home. His brother Zaki Hassan confirmed over telephone (Mobile No. 0334-3690424)</t>
  </si>
  <si>
    <t>6265-K</t>
  </si>
  <si>
    <t>Qaisar Ali s/o Khan</t>
  </si>
  <si>
    <t>Khan, r/o Mohalla Kala Khel, Village &amp; P.O Parmoli, District Swabi, KPK.</t>
  </si>
  <si>
    <t>Traced Person. Qaiser Ali s/o Namdar Khan has been traced. He has returned to home. Inspector Hidyat-ur-Rehman appeared before the Commission and produced letter No. 8578/GB dated 17.9.2019 from DPO, Swabi who confirmed that Qaiser Ali was present in his native Village.</t>
  </si>
  <si>
    <t>6266-S</t>
  </si>
  <si>
    <t>Abdul Rehman s/o Abdul Hameed</t>
  </si>
  <si>
    <t>Abdul Rasaeed, r/o House No. L-104, Block 12 F.B Area, Gulberg Karachi. (Mobile No. 0333-3042653).</t>
  </si>
  <si>
    <t>Traced Person. Abdul Rasheed b/o Abdul Rahman Traced Person appeared before the Commission on 17.2.2021. His statement was recorded on oath in which he deposed that his brother was missing since 3.2.2015. He further stated that he met Abdul Rahman in the Internment Centre at Malakand three month ago. Hence, the case is closed.</t>
  </si>
  <si>
    <t>6267-K</t>
  </si>
  <si>
    <t>Abdul Hakeem s/o Faiz Man Shah</t>
  </si>
  <si>
    <t>Muhammad Abdullah, r/o Aimal Khan Khel, Khesari Bandha Kahee, District Hangu. (Mobile No. 0331-8139972 &amp; 0336-5745927).</t>
  </si>
  <si>
    <t>21604-3588631-7</t>
  </si>
  <si>
    <t>6268-P</t>
  </si>
  <si>
    <t>Muhammad Ismail s/o Abdul Rehman</t>
  </si>
  <si>
    <t>Abdul Rehman, r/o Basti Samihabad, Anwarabad, AhmedPur Sherkia, District Bahawalpur. (Mobile No. 0303-6745855).</t>
  </si>
  <si>
    <t>31201-5254317-9</t>
  </si>
  <si>
    <t>Traced Person. Mr. Muhammad Ismail has returned to home and appeared before the Commission on 31.8.2019 at Lahore.</t>
  </si>
  <si>
    <t>6269-S</t>
  </si>
  <si>
    <t>Bakhat Munir Khan s/o Bacha</t>
  </si>
  <si>
    <t>Akhter Ali, r/o City Karachi, Mominabad, UC-23, Zia Colony, No 2, Shabhani Mohalla, Babu Shopkeper. (Mobile No. 0348-3335168).</t>
  </si>
  <si>
    <t>15601-1810624-7</t>
  </si>
  <si>
    <t>6270-K</t>
  </si>
  <si>
    <t>Idress s/o Shahid Doran</t>
  </si>
  <si>
    <t>Mst. Hajira, r/o Mohalla Ibrahim Khel, Taendu Dagh, Tehsil Babuzai, District Swat. (Mobile No. 0344-3590731 &amp; 0341-7703943).</t>
  </si>
  <si>
    <t>6271-P</t>
  </si>
  <si>
    <t>Umer Farooq s/o Khaista Rehman</t>
  </si>
  <si>
    <t>Ashraf Khan, r/o P.O Loi Sim, Tarkai, Tehsil Khar Bajaur, District Bajaur. (Mobile No. 0307-8367813).</t>
  </si>
  <si>
    <t>21103-6714004-9</t>
  </si>
  <si>
    <t>Fir No. 802/19 dated 13.12.19 u/s 365 PPC, pS Burki, Lahore</t>
  </si>
  <si>
    <t>Traced Person. Inspector/ SHO CTD, Lahore appeared before the Commission on 03.08.2021 his statement was recorded on oath in which he affirmed that Umer Farooq died in Police encounter vide case FIR No. 15 dated10.01.2015 u/s 324/353 PPC 13/20/65 AO read with 7 ATA, 3/4/6 ESA, PS Barki, Lahore. Ashraf Khan brother of Umar Farooq confirmed the position stated in the reports and deposed that he and parents visited grave of Umar Farooq and they not want disinterment of the grave.</t>
  </si>
  <si>
    <t>6272-P</t>
  </si>
  <si>
    <t>Ulfat Zaman s/o Anwar Khan</t>
  </si>
  <si>
    <t>Naveed Ahmed, s/o Mala Mansoor, Post Office Khas, Tehsil Hazru, District Attock. (Mobile No. 0334-6057856 &amp; 0331-5137062).</t>
  </si>
  <si>
    <t>Traced Person. Ulfat Zaman has appeared in person before the Commission, whose statement has been recorded on oath. According to him he was picked up and taken away blind-folded from his house on 6.3.2019, detained in the Central Jail Attock for a period of three months and then set free.</t>
  </si>
  <si>
    <t>6273-B</t>
  </si>
  <si>
    <t>Sudheer s/o Darwish</t>
  </si>
  <si>
    <t>r/o Kohro Village, Tehsil Jhal Jhao, District Awaran, Balochistan.</t>
  </si>
  <si>
    <t>Traced Person. SP (Inv), Lasbella appeared before the Commission on 11.2.2021 at Quetta, whose statement was recorded on oath, in which he deposed that Sudheer has returned home on 16.1.2021. He produced copies of statement of Sudheer.</t>
  </si>
  <si>
    <t>6274-B</t>
  </si>
  <si>
    <t>Nadir Ali s/o Darwish</t>
  </si>
  <si>
    <t>Traced Person. SP (Inv), Lasbella appeared before the Commission on 11.2.2021 at Quetta, whose statement was recorded on oath, in which he deposed that Nadir Ali has returned home on 16.1.2021. He produced copies of statement of Nadir Ali.</t>
  </si>
  <si>
    <t>6275-B</t>
  </si>
  <si>
    <t>Arif Muhammad s/o Qadir Bakhsh</t>
  </si>
  <si>
    <t>51103-8979931-1</t>
  </si>
  <si>
    <t>Traced Person. Ghulam Rasool, Inspector/IO of the case entered appearance before the Commission on 20.9.2019 at Quetta. He has produced statement of Muhammad Arif s/o Qadir Baloch Traced Person recorded by the Police on 5.9.2019 u/s 161 Cr.PC wherein he has stated that he was abducted five months ago alongwith three other persons namely Zubair, Sudheer and Nadir Ali, by the persons some of them were armed in two Vigo vehicles who took them away blindfolded. He further stated that he was set free after three months at Raees Goth, Karachi, from where he has reached home.</t>
  </si>
  <si>
    <t>6276-B</t>
  </si>
  <si>
    <t>Zubair Ahmed s/o Muhammad Hashum</t>
  </si>
  <si>
    <t>51103-5600538-4</t>
  </si>
  <si>
    <t>6277-K</t>
  </si>
  <si>
    <t>Akbar Hussain s/o Khan Zada</t>
  </si>
  <si>
    <t>Mst. Zanib Bibi, r/o Mohalla Fazalabad, Village Barekot, Tehsil Barekot, District Swat. (Mobile No. 0342-1538057).</t>
  </si>
  <si>
    <t>FIR No. 629 datd 27.7.2012 u/s 13 AO- 7ATA/5ESA PS Rahim Abad, District Swat.</t>
  </si>
  <si>
    <t>31st July, 2019</t>
  </si>
  <si>
    <t>6278-S</t>
  </si>
  <si>
    <t>Abid Jan</t>
  </si>
  <si>
    <t>Mst. Bushra Abid w/o Abid Jan, r/o R-320, Anwar-e-Ibrahim, Malir City, Karachi. (Mobile No. 0304-0376974).</t>
  </si>
  <si>
    <t>Traced Person. It was informed at the hearing held in this Commission on 23.8.2019 that Abid Jan has returned to home. In this connection, statement dated 19.8.2019 by Muhammad Abid Jan is available on record stating that he got annoyed with home maters and left the home with his brother Aqib Khan however returned to home after a few days.</t>
  </si>
  <si>
    <t>01st August, 2019</t>
  </si>
  <si>
    <t>6279-S</t>
  </si>
  <si>
    <t>Akil Jan</t>
  </si>
  <si>
    <t>Traced Person. It was informed at the hearing held in this Commission on 23.8.2019 that Abid Jan has returned to home. In this connection, statement dated 19.8.2019 by Muhammad Akil Jan is available on record stating that he got annoyed with home matesan d left the home with his brother Aqib Khan, however, returned to home after a few days. Furthers stated that nobody abducted him.</t>
  </si>
  <si>
    <t>6280-K</t>
  </si>
  <si>
    <t>Muhammad Ghaffar s/o Abdul Jabbar</t>
  </si>
  <si>
    <t>Mst. Tasleem Bagim w/o Muhammad Ghaffar, r/o Malikabad, Nanguloi, Tehsil Kabul, District Swat. (Mobile No. 0349-7493427).</t>
  </si>
  <si>
    <t>15602-0462924-5</t>
  </si>
  <si>
    <t>6281-K</t>
  </si>
  <si>
    <t>Alamgir Khan s/o Jahangir Khan</t>
  </si>
  <si>
    <t>Jahangir Khan, r/o Nishterabad, Mohalla Islamabad, Tehsil &amp; District Peshawar. (Mobile No. 0310-881753 &amp; 0305-5290483).</t>
  </si>
  <si>
    <t>FIR No. 955 dated 7.9.2019 PS AMJS , Peshawar</t>
  </si>
  <si>
    <t>6282-K</t>
  </si>
  <si>
    <t>Noor Wahid s/o Ayas-ud-Din</t>
  </si>
  <si>
    <t>Farman Haq Nawaz, r/o Asgher Char Mang, P.O Loye Sim, Tehsil Nawa Gali, District Bajaur. (Mobile No. 0307-5148632 &amp; 0308-9399834).</t>
  </si>
  <si>
    <t>803. dated 19.8.2019 PS Khazana Peshawar</t>
  </si>
  <si>
    <t>6283-K</t>
  </si>
  <si>
    <t>Rafte Gul s/o Fazal Gul</t>
  </si>
  <si>
    <t>Fazal Gul, r/o Janaye Sayee, Mohalla Tokar Khel, Matni, Peshawar. (Mobile No. 0333-2527430 &amp; 0314-4639439).</t>
  </si>
  <si>
    <t>Traced Person. Rep of MI appeared before the Commission at Peshawar on 14.9.2019 and submitted report that Rafte Gul is confined in Internment Center Alizai. Fazal Gul, complainant was also present. He has been apprised of status of the case. Family members of Rafte Gul shall be facilitated to see him in the Internment Center Alizai as per rules and procedures.</t>
  </si>
  <si>
    <t>6284-S</t>
  </si>
  <si>
    <t>Qari Muhammad Nouman s/o Muhammad Siddique</t>
  </si>
  <si>
    <t>Muhammad Siddique, r/o Mohalla Bacha Palu, Kot Terang, Tehsil Braekot, District Swt. (Mobile No. 0304-9283835).</t>
  </si>
  <si>
    <t>15602-7068601-7</t>
  </si>
  <si>
    <t>Traced Person. It was informed at the hearing held in this Commission on 08.07.2020 that Qari Muhammad Noman has returned home. The statement of the Traced Person has been recorded u/s 164 CrPC, which is available on record. The aforesaid position has also been confirmed in the report submitted by SHO, Shahreh-e-Faisal, Karachi.</t>
  </si>
  <si>
    <t>6285-B</t>
  </si>
  <si>
    <t>Rashid Hussain Brohi s/o Deedar Hussain Brohi</t>
  </si>
  <si>
    <t>Mahzaib, r/o Khuzdar, Balochistan. (Mobile No. 0335-1971461)</t>
  </si>
  <si>
    <t>43405-0365444-1</t>
  </si>
  <si>
    <t>6286-K</t>
  </si>
  <si>
    <t>Muhammad Ayub Khan s/o Shahzullah Khan</t>
  </si>
  <si>
    <t>Muhammad Nageen Khan, r/o Medan Kamber, Tehsil Lal Qilla, Midan, P.O Kamber, District Upper Dir, KPK. (Mobile No. 0308-8473885 &amp; 0301-8182277).</t>
  </si>
  <si>
    <t>6287-K</t>
  </si>
  <si>
    <t>Samiullah Khan s/o Shahzullah Khan</t>
  </si>
  <si>
    <t>6288-K</t>
  </si>
  <si>
    <t>Syed Zameer s/o Abad Khan</t>
  </si>
  <si>
    <t>Abad Khan, r/o Dawazgaye, Mattni, P.S Mattni, Peshawar. (Mobile No. 0324-5115573 &amp; 0310-8789557)</t>
  </si>
  <si>
    <t>FIR No. 594 dated 19.8.2019 PS Budhber Peshawar</t>
  </si>
  <si>
    <t>Deleted. It has been observed that in the Proforma / Complaint there is no allegation against any LEAs/ Intelligence Agency. During the course of investigation no clue could be found that any LEAs/ Intelligence Agency was involved in disappearance of Syed Zameer. The case has been categorized as "Missing Person" has gone on his own by JIT as well as PTF. The complainant was summoned twice for recoring his statement but none entered appearance despite issuance of notices. Hence no further action is requiured. The case is closed.</t>
  </si>
  <si>
    <t>6289-K</t>
  </si>
  <si>
    <t>Khyal Zameer s/o Abad Khan</t>
  </si>
  <si>
    <t>Abad Khan, r/o Dawazgaye, Mattni, P.S Mattni, Peshawar. (Mobile No. 0324-5115573 &amp; 0310-8789557).</t>
  </si>
  <si>
    <t>6290-I</t>
  </si>
  <si>
    <t>Touseef Akhter s/o Akhter Hussain</t>
  </si>
  <si>
    <t>Ejaz Akhter, r/o Establishment M.S Wing, Shaheed-e-Milat, 5th Floor R&amp;I, Islamabad. (Mobile No. 0344-5311836).</t>
  </si>
  <si>
    <t>82203-2884848-3</t>
  </si>
  <si>
    <t>6291-I</t>
  </si>
  <si>
    <t>Syed Akhtar Hussain Bukhari s/o Syed Muhktar Hussain Bukhari</t>
  </si>
  <si>
    <t>Syed Mukhtar Hussain Bukhari, r/o House No. 53, Mohalla Hassanpura, Near Lalu Bazar, Khanpur, District Rahim Yar Khan. (Mobile No. 0300-6758272).</t>
  </si>
  <si>
    <t>31303-82728377</t>
  </si>
  <si>
    <t>Traced Person. Syed Akhtar Hussain Bukhari has been traced. In this connection, I.O has produced statement recorded by Magistrate Islamabad u/s 164 CrPC, Affidavit given by father of the Traced Person Syed Akhtar Hussain Bukhari recorded u/s 161 CrPC and copy of Daily Entry No. 8 dated 8.12.2019 PS Karachi Company, have also been furnished. The case is disposed of.</t>
  </si>
  <si>
    <t>6292-K</t>
  </si>
  <si>
    <t>Noor Aman Khan s/o Sham Khan</t>
  </si>
  <si>
    <t>Mirza Ali Khan, r/o Mama Kalye (Toru), P.O Shamshadabad, Tehsil &amp; District Mardan. (Mobile No. 0344-7142639).</t>
  </si>
  <si>
    <t>16101-1193847-5</t>
  </si>
  <si>
    <t>Deleted. The case does not fall within the ambit of enforced disappearance as Noor Aman Khan was suffering from mental ailment and went on his own, therefore further proceedings by the Commission will be a futile exercise. However Police will continue its investigation in accordance with law. The case is accordingly closed.</t>
  </si>
  <si>
    <t>6293-K</t>
  </si>
  <si>
    <t>Muhammad Sher Ali Khan s/o Muhammad Zahid</t>
  </si>
  <si>
    <t>Mst. Shamim, r/o Pew Char, Tehsil Matta, District Swat. (Mobile No. 0342-0440023).</t>
  </si>
  <si>
    <t>15601-0967764-5</t>
  </si>
  <si>
    <t>6294-K</t>
  </si>
  <si>
    <t>Mian Zahir Zaib s/o Mian Syed Basher</t>
  </si>
  <si>
    <t>Mst. Farzana Bibi, r/o Lalu Bandhi, Koza Bandhi, Tehsil Kabul, District Swat. (Mobile No. 0345-2471916 &amp; 0306-5745842).</t>
  </si>
  <si>
    <t>6295-K</t>
  </si>
  <si>
    <t>Shahryar s/o Shahzada</t>
  </si>
  <si>
    <t>Mst. Khalida Bibi, r/o Mohalla Qasirabad, Village Sinigram, P.O Sowarhi, Tehsil Gaghra, District Buner. (Mobile No. 0341-1953875).</t>
  </si>
  <si>
    <t>6296-K</t>
  </si>
  <si>
    <t>Waqar Ali s/o Akram Ullah</t>
  </si>
  <si>
    <t>Mst. Zeb-ul-Ajam, r/o Govt High School No.1, Mingora, Mohalla Banr, Near Mehboob Masala Jat Store, Tehsil Mingora, District Swat. (Mobile No. 0348-9175260 &amp; 0347-9398404).</t>
  </si>
  <si>
    <t>6297-S</t>
  </si>
  <si>
    <t>Syed Konain Muhammad Rizivi s/o Latif Husain</t>
  </si>
  <si>
    <t>House No. R-124 Heaven City, Ehsanabad, Near Gulshan-e-Mimyar, Karachi. (Mobile No. 0313-0421772)</t>
  </si>
  <si>
    <t>Traced Person. It was informed at the hearing held in this commission on 23.6.2020 that Mr. Syed Konain Muhammad Rizivi s/o Latif Husain has returned home. He appeared before the commission, and his statement has been recordedu/s 164 CrPC. Moreover the report submitted by SDPO Shorab Goth, Karachi is also placed on recored.</t>
  </si>
  <si>
    <t>6298-I</t>
  </si>
  <si>
    <t>Faisal Tariq s/o Tariq Mehmood</t>
  </si>
  <si>
    <t>Rida Tariq, r/o House No. 57, Block V, Street No. 01, New Multan, Multan.(Mobile No. 0304-0359291 &amp; 0302-5184490)</t>
  </si>
  <si>
    <t>36302-4212519-7</t>
  </si>
  <si>
    <t>Traced Person. Ms. Talat Habib, SP (VAWC) Multan appeared before the Commissions on 7.9.2020. She has finished report dated 7.9.2020. According to his report Faisal Tariq has returned home and is no more a Missing Person. Faisal Tariq also sent and email to the Commission and confirmed the aforesaid position.</t>
  </si>
  <si>
    <t>6299-P</t>
  </si>
  <si>
    <t>Muhammad Usman Latif s/o Abdul Latif</t>
  </si>
  <si>
    <t>Abdul Latif, r/o Khasira No. 2657, Mohallah Rajgan, Tehsil Kathua, District Rawalpindi. (Mobile No. 0334-5309680)</t>
  </si>
  <si>
    <t>38403-9639542-7</t>
  </si>
  <si>
    <t>Traced Person. Muhammad Usman Latif has been traced. He has returned home. Abdul Latif father of Muhammad Usman Latif appeared before the Commission on 10.1.2020, whose statement has been recorded on oath. He has stated that his son was abducted on 6.7.2019 while travailing by taxi from Kahuta to Rawalpindi by unknown armed persons. He was kept at some at some unknown place, however, he has returned home on 16.12.20149. He was set free at Kahuta. He has also stated that his son in not in a proper health. He has alos requested to take legal action against the froup involved in disappearance of his son. However, he could not furnish further details.</t>
  </si>
  <si>
    <t>6300-P</t>
  </si>
  <si>
    <t>Muhammad Sibtain s/o Muhammad Ramzan</t>
  </si>
  <si>
    <t>Qamar Abbass, r/o Mohallah Hassan Abad, Dara Khan, District Bakhar. (Mobile No. 0313-3781214)</t>
  </si>
  <si>
    <t>38102-9941448-1</t>
  </si>
  <si>
    <t>6301-P</t>
  </si>
  <si>
    <t>Saif-ur-Rehman s/o Fazal-ur-Rehman</t>
  </si>
  <si>
    <t>Fozia Bibi, r/o House No. 67, Street No. 08, Rajput Colony, Jahangir Road, Rawalpindi. (Mobile No. 0315-5258233)</t>
  </si>
  <si>
    <t>Traced Person. Abid Hussain, who is relative of Saif-ur-Rehman has appeared before the Commission on 10.3.2020, whose statement has been recorded on oath. He has deposed that Saif-ur-Rehman has returned home on 7.3.2020 and presently he has gone to his native village Khanaspur, Ayubia.</t>
  </si>
  <si>
    <t>6302-K</t>
  </si>
  <si>
    <t>Abdul Aziz s/o Ghulam Qadir</t>
  </si>
  <si>
    <t>Mst.Shahnaz Bibi w/o Abdul Aziz, r/o Mohalla Balnaty, Koza Bandi, P.O Koza Bandi, Tehsil Kabul, District Swat. (Mobile No. 0333-9478450).</t>
  </si>
  <si>
    <t>6303-K</t>
  </si>
  <si>
    <t>Javed Noor s/o Naik Da Ali Khan</t>
  </si>
  <si>
    <t>Tahir Ullah, r/o Wazir Meer Ali Thuri Khel, Tehsil Meer Ali, Tribel Area North Waziristan. (Mobile No. 0346-9513965 &amp; 0333-9513965 &amp; 0346-9798786 &amp; 092-8214165).</t>
  </si>
  <si>
    <t>6304-B</t>
  </si>
  <si>
    <t>Sher Ali, r/o Gardi Jungal, Kale Shreen Aab, District Chaghi, (Mobile No. 0316-8899512).</t>
  </si>
  <si>
    <t>Traced Person. Abdullah entered appearance before the Commission on 12.9.2020 at Quetta, whose statement has been recorded on oath, in which he deposed that he was picked up blindfolded and taken away probably on 10.10.2018 by unknown persons who kept him in a room at an unknown place. That he was set free on 19th March this year at Noshki. He requested that since he had returned home back his case might be closed. The case is disposed of.</t>
  </si>
  <si>
    <t>6305-K</t>
  </si>
  <si>
    <t>Yaqoob Khan s/o Gul Gamber</t>
  </si>
  <si>
    <t>Naeem Khan, r/o Mohalla Meerah, Alye, Tehsil &amp; P.O Dager, District Bonner. (Mobile No. 0333-9694784 &amp; 0346-9435832).</t>
  </si>
  <si>
    <t>6306-K</t>
  </si>
  <si>
    <t>Shabbir Khan s/o Guncha Gul</t>
  </si>
  <si>
    <t>Ishtiaq Ahmed, r/o Village &amp; P.O Batgram, Tehsil Shab-e-Qadeer, District Charsadda. (Mobile No. 0300-5922922).</t>
  </si>
  <si>
    <t>6307-K</t>
  </si>
  <si>
    <t>Khalid s/o Saeed Umar</t>
  </si>
  <si>
    <t>Mst. Makhmeen, r/o Imam Dheri, Tehsil Kabal, District Swat. (Mobile No. 0340-9274277 &amp; 0343-9994498 &amp; 0341-1907299).</t>
  </si>
  <si>
    <t>15602-7314324-7</t>
  </si>
  <si>
    <t>6308-K</t>
  </si>
  <si>
    <t>Saryar Khan s/o Ameer Khan</t>
  </si>
  <si>
    <t>Qaisar Ali khan, r/o Village &amp; P.O Batgram, Charsadda. (Mobile No. 0300-5926287 &amp; 0320-5926287).</t>
  </si>
  <si>
    <t>6309-P</t>
  </si>
  <si>
    <t>Hafiz Mugeer Ahmed Qadri s/o Fazal Karim</t>
  </si>
  <si>
    <t>Tuqeer Ahmed, r/o District Gujjrat, Tehsil Kharia, P.O Dhani, NearDhaird. (Mobile No. 0300-5461898 &amp; 0301-4964126).</t>
  </si>
  <si>
    <t>Deleted. SP (Inv), Jehlum has submitted that the meeting of JIT was held in 24.10.2019 and the case has been categorized as “the Missing Person has gone on his own”. Statement of SP (Inv) has been recorded on oath. In his statement SP (Inv) has deposed that Hafiz Sageer Ahmed Qadri was suffering from mental disease and previously also he disappeared on 2/3 occasions and later on returned home. The complainant and daughter of the Missing Person also confirmed. Hence not a case of enforced disappearance.</t>
  </si>
  <si>
    <t>6310-I</t>
  </si>
  <si>
    <t>Muhammad Essa s/o Umer</t>
  </si>
  <si>
    <t>Mst. Hajjra, r/o Kopati Hospital, Abdara Road, Peshawar. (Mobile No. 0318-9126855 &amp; 0330-462300).</t>
  </si>
  <si>
    <t>788611-100006-1</t>
  </si>
  <si>
    <t>Traced Person. Muhammad Essa has been traced. He has returned home on 31.12.2019. IO/ ASI Muhammad Raees of PS/ Karachi Company, Islamabad appeared before the Commission on 3.3.2020, whose statement has been recorded on oath. He has deposed that statement of Muhammad Essa has been recorded u/s 161 Cr.PC. He has furnished copy of same for record/ perusal of the Commission. According to the statement of IO, Muhammad Essa has returned home on 31.12.2019.</t>
  </si>
  <si>
    <t>6311-K</t>
  </si>
  <si>
    <t>Billal Khan s/o Muhammad Fatih Abdul Rehman</t>
  </si>
  <si>
    <t>Muhammad Afzal, r/o Village &amp; P.O Sufaid Dahri, Mohalla Dorah, Ichni Road, Maqsoodabad, Behaid Khyber Teaching Hospital Peshawar, District Peshawar. (Mobile No. 0315-1906087 &amp; ).</t>
  </si>
  <si>
    <t>FIR No. 1134 dated 27.11.2019 u/s PPC 365 PS Pisthakhara</t>
  </si>
  <si>
    <t>6312-K</t>
  </si>
  <si>
    <t>Zarqa Bibi d/o Gul Muhammad</t>
  </si>
  <si>
    <t>Traced Person. Muhammad Afzal, complainant is present, whose statement has been recorded on oath. He has deposed that Mst. Zarqa Bibi is his aunt. He has stated that he has learnt through people of village that Mst. Zarqa Bibi along with other family members was lifted and taken away forcibly on 15.6.2019, but after two days other family members were released, while Mst. Zarqa Bibi was kept in detention. Now she has also been set free about one week ago and has returned to home.</t>
  </si>
  <si>
    <t>6313-K</t>
  </si>
  <si>
    <t>Saeed-ur-Rehman s/o Muhammad Arab</t>
  </si>
  <si>
    <t>Sami-ur-Rehman, r/o Golrah Morh, Faisal Colony, Near Ali Haider Plaza, Atta Ullah Sabzi Shop. (Mobile No. 0321-5664206).</t>
  </si>
  <si>
    <t>6314-K</t>
  </si>
  <si>
    <t>Noor Zada s/o Hameed Gul</t>
  </si>
  <si>
    <t>Khan Zada, r/o Barah Khyber Agency, Qoam Malik Din Khel, Tapa Umer Khan Khel, Kanday Sandage, Nala Khorh, Yousaf Talab, Near Dorah Post. (Mobile No. 0307-0427351 &amp; 0333-9500825).</t>
  </si>
  <si>
    <t>Traced Person. Rep of MI is present at the hearing on 18.10.2019 at Peshawar and submitted that Noor Zada is presently confined in the Internment Center Lakki Marwat. Khan Zada b/o missing person is present, whose statement has been recorded on oath. He has deposed that Noor Zada is confined in the aforesaid Internment Center and he as well as other family members have met him.</t>
  </si>
  <si>
    <t>6315-K</t>
  </si>
  <si>
    <t>Muhammad Khalid s/o Spain Gul</t>
  </si>
  <si>
    <t>FIR No 724 dated 10.12.2019 u/s 365 PPC PS Kanal</t>
  </si>
  <si>
    <t>Traced Person. According to reports dated 06.07.2020 and 24.07.2020 received from Rep of Muhammad Khalid is presently confined in the Internment Centre Lakki Marwat. Khan Zada uncle of Muhammad Khalid was present, who was apprised of the status of the case. He may avail remedy if any in accordance with law. Family member of Muhammad Khalid will be facilitated to see him in the Internment Centre as per rules and procedure.</t>
  </si>
  <si>
    <t>6316-K</t>
  </si>
  <si>
    <t>Khair Muhammad s/o Gul Muhammad Khan</t>
  </si>
  <si>
    <t>Muhammad Tahir Shah, r/o Mohalla Qaziabad Nahar, P.S Brah Bera, Peshawar. (Mobile No. 0315-4285792 &amp; 0345-9399028).</t>
  </si>
  <si>
    <t>6317-P</t>
  </si>
  <si>
    <t>Hafiz Inam-ur-Rehman Kahloon s/o Muhammad Suleman Kahloon</t>
  </si>
  <si>
    <t>Zaheer-ul-Islam, r/o Rakh Kakerwali, Mohmadi Estat, Ferozwal road,SadiqWala Bazar, P.O Kotli Gandyawal, Tehsil &amp; District Gujjranwala. (Mobile No. 0334-4556301 &amp; 0333-8218290).</t>
  </si>
  <si>
    <t>34101-6435816-3</t>
  </si>
  <si>
    <t>6318-K</t>
  </si>
  <si>
    <t>Muhammad Tahir s/o Mirza Gul</t>
  </si>
  <si>
    <t>Mirza Gul, r/o Mohalla Sadiqabad, Speriar Scince College, City Peshawar. (Mobile No. 0321-9063011 &amp; 0316-6401350).</t>
  </si>
  <si>
    <t>6319-I</t>
  </si>
  <si>
    <t>Azhar Mehmood Usmani s/o Khalid Mehmood Usmani</t>
  </si>
  <si>
    <t>Muhammad Iqbal, r/o Mohalla Raqib Ullah, Bylha Batrat, Shanda Sar, P.O Gandihan, Tehsil &amp; District Mansehra. (Mobile No. 0313-5947367).</t>
  </si>
  <si>
    <t>61101-4402915-7</t>
  </si>
  <si>
    <t>FIR No. 563, dated 7.12.19, u/s 365PPC, P.S Bhara Kahu, Islamabad.</t>
  </si>
  <si>
    <t>Deleted. In this case JIT / PTf concluded that the Missing Person has gone on his own. Muhammad Iqbal (Brother) appeared before the Commission on 12.07.2021 and concluded that no allegation was levelled against any LEAs / Intelligence Agency. Accordingly, the case does not fall within the ambit of enforced disappearance. Hence, the case is closed.</t>
  </si>
  <si>
    <t>6320-P</t>
  </si>
  <si>
    <t>Muhammad Tanveer s/o Muhammad Bakhsh</t>
  </si>
  <si>
    <t>Umer Farooq, r/o Muhammad Tanveer House, Qoam Kahmeta, Qabool Wala Basti, Tehsil Darya Khan, District Bakhar. (0307-6014789).</t>
  </si>
  <si>
    <t>38102-0926598-3</t>
  </si>
  <si>
    <t>Traced Person. Muhammad Tanveer entered appearance himself before the Commission at Lahore on 12.5.2022. He could not highlight factual aspects of the case. Hence no further action is required. The case is closed.</t>
  </si>
  <si>
    <t>6321-P</t>
  </si>
  <si>
    <t>Muhammad Jamil s/o Rehmat Ali</t>
  </si>
  <si>
    <t>Muhammad Qasim, r/o Mohalla Ghosia Colony, Ward No.8, Shah Koat, District Nankana Sahib. (Mobile No. 0333-1661524 &amp; 0334-6424262 &amp; 0301-5830450).</t>
  </si>
  <si>
    <t>33104-2195329-1</t>
  </si>
  <si>
    <t>Traced Person. The dead body of Muhammad Jamil was found. At the last meeting of the JIT was held on 16.1.2020 and in the JIT report it is mentioned that, “According to his medical reports reasons of his death is declared as died due to cardiac attack”.</t>
  </si>
  <si>
    <t>6322-S</t>
  </si>
  <si>
    <t>Faisal s/o Muhammad Younas</t>
  </si>
  <si>
    <t>Muhammad Younas, r/o B-93, Block 15, Gulshan-e-Iqbal, Karachi. (Mobile No. 0334-2045555 &amp; 0341-1241212).</t>
  </si>
  <si>
    <t>62201-5553814-9</t>
  </si>
  <si>
    <t>Traced Person. It was informed at the hearing held in this commission on 23.6.2020 that Mr. Faisal s/o Muhammad Younas has returned home. He appeared before the commission. The statement of the Traced Person has been recordedu/s 164 CrPC. Moreover The father of traced person appeared before the Commission and confirmed the report position. The report submitted by DSP INV, East, Karachi is also placed on recored.</t>
  </si>
  <si>
    <t>6323-P</t>
  </si>
  <si>
    <t>Mudasir Hafeez s/o Hafeez-ul-Rehman</t>
  </si>
  <si>
    <t>Hafeez-ul-Rehman, r/o House No.46, Gali No.47, Jameel Town, Sabzazar Schem, Multan Road, Lahore. (Mobile No. 0324-4734153).</t>
  </si>
  <si>
    <t>35202-7873997-7</t>
  </si>
  <si>
    <t>Traced Person. Mudasir Hafeez has been traced and appeared before the Commission on 12.10.2019. His statement has been recorded on oath. He has deposed that he was not abducted by anybody; rather he went to one of his relatives at his own and came back on 10.9.2019.</t>
  </si>
  <si>
    <t>6324-K</t>
  </si>
  <si>
    <t>Anwar Ali s/o Muhammad Ameen</t>
  </si>
  <si>
    <t>Muhammad Ameen s/o Zareen, r/o Beyrare, Khwaza Khel, Swat.</t>
  </si>
  <si>
    <t>15602-6694091-1</t>
  </si>
  <si>
    <t>Traced Person. Anwar Ali has been traced. Rep of MI appeared for hearing on 12.2.2020 affirmed that Anwar Ali is presently confined in the Internment Center Paitham, District Swat. Family members of Anwar Ali shall be facilitated to see him in the said Internment Center as per rules and procedures.</t>
  </si>
  <si>
    <t>6325-K</t>
  </si>
  <si>
    <t>Shakir Hussain s/o Syed Hussain</t>
  </si>
  <si>
    <t>Gulshan Bibi w/o Late Syed Hussain, r/o House No. D-38, Right Bank Colony, Terbila, Topi, District Swabi. (Mobile No. 0315-1959581 &amp; 0306-5969355).</t>
  </si>
  <si>
    <t>Deleted. After thorough investigation, statement of mother of the Missing Person, reports from JIT/PTF and stakeholders, it is concluded that the case does not fall within the domain of enforced disappearance. Hence closed.</t>
  </si>
  <si>
    <t>6326-K</t>
  </si>
  <si>
    <t>Rasheed Ahmed s/o Shad Muhammad</t>
  </si>
  <si>
    <t>Fida Muhammad, r/o Malikabad, Mohalla Toheedabad, Gadun, Tehsil Topi, District Swabi. (Mobile No. 0311-9918218 &amp; 0322-9976740).</t>
  </si>
  <si>
    <t>6327-S</t>
  </si>
  <si>
    <t>Iqbal Hussain s/o Shah Zaman Khan</t>
  </si>
  <si>
    <t>Waseem Khan, r/o Mohalla Ardad Khel, Mingorah, Tehsil Babu zai, District Swat. (Mobile No. 0346-8070528 &amp; 0341-9033692).</t>
  </si>
  <si>
    <t>15602-7031200-1</t>
  </si>
  <si>
    <t>6328-K</t>
  </si>
  <si>
    <t>Muhammad Ibrahim s/o Talaymend</t>
  </si>
  <si>
    <t>Dear Wadan, r/o Mingora, Swat. (Mobile No. 0349-8840876 &amp; 0340-3990073).</t>
  </si>
  <si>
    <t>15602-3819827-9</t>
  </si>
  <si>
    <t>6329-K</t>
  </si>
  <si>
    <t>Saif Ullah s/o Abdul Jaleel</t>
  </si>
  <si>
    <t>Zakia Baigham w/o Abdul Jaleel, r/o Village Sufaid Dahri, Mohalla Rakezi, P.O Peshawar University District Peshawar. (Mobile No. 0304-9073377 ).</t>
  </si>
  <si>
    <t>6330-K</t>
  </si>
  <si>
    <t>Tehseen Ali s/o Abdul Jaleel</t>
  </si>
  <si>
    <t>6331-K</t>
  </si>
  <si>
    <t>Javed Islam s/o Muhammad Imran</t>
  </si>
  <si>
    <t>Muhammad Shahab, r/o Village &amp; P.O Showa, Tehsile Chakdar, District Dir Lower. (Mobile No. 0344-6072343 &amp; 0343-9995373).</t>
  </si>
  <si>
    <t>6332-P</t>
  </si>
  <si>
    <t>Traced Person. The complainant Ibrar-ul-Haq appeared before the Commission on 1.10.2019, whose statement has been recorded on oath. According to him, his nephew Muhammad Umer Farooq has returned to home on 17.9.2019. He has also stated that Muhammad Umer Farooq did not identify those persons nor the place where he was kept. He has requested for closing the case.</t>
  </si>
  <si>
    <t>31st August, 2019</t>
  </si>
  <si>
    <t>6333-K</t>
  </si>
  <si>
    <t>Fazal Malik s/o Shah Zaman Khan</t>
  </si>
  <si>
    <t>Mst. Lehayateen w/o Fazal Malik, r/o Tangi Salarzo, District Bajurh. (Mobile No. 0302-9041479 &amp; 0302-9175879).</t>
  </si>
  <si>
    <t>FIR No. 836 dated 29.9.2019 u/s 365 PPC PS Shergarh, Mardan</t>
  </si>
  <si>
    <t>01st Sept, 2019</t>
  </si>
  <si>
    <t>6334-K</t>
  </si>
  <si>
    <t>Dolat Khan s/o Wali Khan</t>
  </si>
  <si>
    <t>Muhammad Shoaib, r/o Shlober, Qamber Chnal, Wand Garay, P.O Barah Arjale Nadey, Tehsile Barah, District Khyber. (Mobile No. 0335-1551950 &amp; 0309-8736171).</t>
  </si>
  <si>
    <t>Khyber</t>
  </si>
  <si>
    <t>6335-K</t>
  </si>
  <si>
    <t>Nadir Khan s/o Sher Zada</t>
  </si>
  <si>
    <t>Riaz Ahmed, r/o Kotke, Bara Bandai, P.O Bara Bandai, Tehsil Kabal, District Swat. (Mobile No. 0343-9611310 &amp; 0341-9750745).</t>
  </si>
  <si>
    <t>6336-K</t>
  </si>
  <si>
    <t>Wali Ullah s/o Muhammad Ali</t>
  </si>
  <si>
    <t>Dr. Muhammad Ali, r/o Madina Colony, Bismillah Town, Near Shuger Mill Mardan, KPK 23200. (Mobile No. 0334-9143046).</t>
  </si>
  <si>
    <t>FIR No. 15 dated 6.10.2019 PS Hassan Khel Peshawar</t>
  </si>
  <si>
    <t>6337-K</t>
  </si>
  <si>
    <t>Muhammad Ayub Khan Afridi s/o Muhammad Ali</t>
  </si>
  <si>
    <t>Traced Person. IO of the case stated that on 6.10.2019 it was transpired that one of alleged missing person namely Muhammad Ayub Khan Afridi had been murdered, whose dead body was found within the territorial jurisdiction of PS/Hangu City. The dead body of Muhammad Ayub Khan Afiridi was found and the case u/s 302 PPC has already lodged with the concerned Police Station, therefore he in no more a missing person.</t>
  </si>
  <si>
    <t>6338-K</t>
  </si>
  <si>
    <t>Muhammad Ismail s/o Azeem Khan</t>
  </si>
  <si>
    <t>6339-K</t>
  </si>
  <si>
    <t>Ameen Ullah s/o Azeem Khan</t>
  </si>
  <si>
    <t>6340-B</t>
  </si>
  <si>
    <t>Saddam Hussain Chishti s/o Maulana Muhammad Qasim Chishti</t>
  </si>
  <si>
    <t>Maulana Muhammad Qasim Chishti, r/o Imam &amp; Khatib of Jamia Masjid Sheikh Khalifa Bin Zaid, Kharan and Administrator of Madarasah Jamia Dar-ul-Faiz, Kharan, Balochistan. (Mobile No.0333-3170504 &amp; 0345-4477332).</t>
  </si>
  <si>
    <t>51301-7083117-5</t>
  </si>
  <si>
    <t>FIR No.21/14 dated 24.8.19 u/s 365 PPC P.S Civil Line Quetta</t>
  </si>
  <si>
    <t>6341-P</t>
  </si>
  <si>
    <t>Muhammad Shakeel s/o Muhammad Rafiq</t>
  </si>
  <si>
    <t>Muhammad Rafiq, r/o Mohalla Farooq Azam, Adah Sahnal, P.O Chak Hamta, District Lodhran. (Mobile No. 0300-7812208 &amp; 0301-2905978).</t>
  </si>
  <si>
    <t>36203-1849976-1</t>
  </si>
  <si>
    <t>Traced person. Muhammad Shakeel has been traced.. He was arrested in Case FIR No, 49 dated 10.9.2019 u/s 4/5 ESA 23 (2) (a) 20/65 AO, 7-ATA and presently he is in the custody of CTD, Faisalabad.</t>
  </si>
  <si>
    <t>6342-K</t>
  </si>
  <si>
    <t>Usman Khan s/o Abdul Majeed</t>
  </si>
  <si>
    <t>Abdul Bari, r/o Chanar Mati, Near Amhab Baba, Tehsil &amp; District Peshawar. (Mobile No. 0315-8093806).</t>
  </si>
  <si>
    <t>17301-6538785-5</t>
  </si>
  <si>
    <t>FIR No. 439 dated 19.3.2019 U/s 365 PPC Ps East Cantt</t>
  </si>
  <si>
    <t>6343-S</t>
  </si>
  <si>
    <t>Syed Qamar Abbas Rizvi s/o Syed Muhammad Azher Hussain Rizvi</t>
  </si>
  <si>
    <t>Mst.Sonia Mehwish, r/o House No. 123, Mohalla Hassan Colony, Nazimabad No.2,Karachi. (Mobile No. 0323-2299173 &amp; 0324-2426800).</t>
  </si>
  <si>
    <t>42101-6120177-3</t>
  </si>
  <si>
    <t>6344-K</t>
  </si>
  <si>
    <t>Roh-ul-Ameen s/o Habib-ur-Rehman</t>
  </si>
  <si>
    <t>Amjad Ali, r/o P.O Kabiyan, Warsaik Road, Mohalla Babu Gali, Peshawar. (Mobile No. 0343-9898984 &amp; 0307-0721172).</t>
  </si>
  <si>
    <t>17301-3972043-1</t>
  </si>
  <si>
    <t>Deleted. After through investigation discussion at the hearings in the presence of brother of the Missing Person. It has been concluded that it is a case of kidnapping for ransom of Rs. 1,800,000/-. Hence not a case of enforced disappearance and stands closed.</t>
  </si>
  <si>
    <t>6345-I</t>
  </si>
  <si>
    <t>Javed Khan s/o Abdul Sattar</t>
  </si>
  <si>
    <t>Adil Khan, r/o Itfaq Colony, Islam Markit, Tarnol, Islamabad. (Mobile No. 0309-4912191).</t>
  </si>
  <si>
    <t>Traced Person. Yasin Ali SI of PS Sabzi Mandi appeared before the Commission. He furnished report dated 3.3.2020 along with statement of Javed Khan s/o Abdul Sattar recorded u/s 164 Cr.PC stating that Javed Khan was not abducted by anybody, rather he went to Lahore on his own and came back. Adil Khan complainant and Javed Khan Traced Person were also present, whose statement has also been recorded on oath.</t>
  </si>
  <si>
    <t>6346-K</t>
  </si>
  <si>
    <t>Muhammad Asim s/o Waheed Gul</t>
  </si>
  <si>
    <t>Waheed Gul, r/o Arah Khan, Dehri Sakha Kot, District Malakand. (Mobile No. 0332-9494675).</t>
  </si>
  <si>
    <t>15401-8374081-5</t>
  </si>
  <si>
    <t>Deleted. After receipt of JIT/PTF report hearing was held on 27.12.2019 at which submitted affidavit and deposed that his son disappeared on his own will and nobody abducted him. Waheed Gul complainant further submitted in the affidavit that his complaint may be filed. Since the case does not fall within the ambit of the Enforced Disappearance therefore further proceedings by the Commission would be a futile exercise. The case is accordingly closed, however the investigation agency shall deal the case in accordance with law.</t>
  </si>
  <si>
    <t>6347-K</t>
  </si>
  <si>
    <t>Muhammad Shoaib Qamar s/o Muhammad Idrees</t>
  </si>
  <si>
    <t>Muhammad Yaseen, r/o House No. 37/A, Soharwardi Street 14, Naseerabad, Shalimar Town, Lahore. (Mobile No. 0322-8080649 &amp; 042-36557265).</t>
  </si>
  <si>
    <t>35201-6815924-1</t>
  </si>
  <si>
    <t>Traced Person. Complainant Muhammad Yaseen appeared before the Commission, whose statement has been recorded on oath. According to him, his brother Muhammad Shoaib Qamar is in the custody of NAB, Lahore. He has further submitted that he met his brother on 7.9.2019.</t>
  </si>
  <si>
    <t>6348-P</t>
  </si>
  <si>
    <t>Muhammad Rashid s/o Muhammad Ramzan</t>
  </si>
  <si>
    <t>Muhammad Ramzan, r/o Village Ghaziwal Kala, P.O Narowal, Tehsil &amp; District Narowal. (Mobile No. 0346-4554668).</t>
  </si>
  <si>
    <t>34501-1466998-7</t>
  </si>
  <si>
    <t>Traced Person. Muhammad Rashid has been traced and appeared before the Commission on 12.10.2019 at Lahore. His statement has been recorded on oath. He has deposed that he was not abducted by anybody rather he went to one of his relatives on his own and came back on 4.9.2019.</t>
  </si>
  <si>
    <t>6349--P</t>
  </si>
  <si>
    <t>Syed Kashif Hussain Abdi s/o Syed Mushtaq Hussain Abdi</t>
  </si>
  <si>
    <t>Mst. Iqra Kashif w/o Syed Kashif Hussain Abdi, r/o Nizami Road, House No.113, Mohalla Ferozabad, Jakeb Line, Block H 113, Karachi East. (Mobile No. 0344-3131315).</t>
  </si>
  <si>
    <t>42201-0446336-5</t>
  </si>
  <si>
    <t>Traced Person. Asim Iftikhar, SP CIA, Lahore attend appearance before the Commission on 21.1.2020 along with the traced person. No further action is required to be taken by the Commission. Name of Syed Kashif Hussain Abidi be deleted from the list of enforced disappearance.</t>
  </si>
  <si>
    <t>6350-K</t>
  </si>
  <si>
    <t>Azmat Ali s/o Ali Shah</t>
  </si>
  <si>
    <t>Ali Shah, r/o Deolai, Mohalla Malakana, Tehsil Kabal, District Swat, KPK. (Mobile No. 0349-5585120 &amp; 0348-9468032).</t>
  </si>
  <si>
    <t>15602-2562717-7</t>
  </si>
  <si>
    <t>FIR No. 644 dated 8.10.19 u/s 365PPC, P.S Kabal Swat.</t>
  </si>
  <si>
    <t>6351-K</t>
  </si>
  <si>
    <t>Rehmat Ali Khan s/o Mehmood Khan</t>
  </si>
  <si>
    <t>Mst. Shabanam, r/o Deolai, Tehsil Kabal, District, Swat. (Mobile No. (Anwar Ali 0346-8645414) 0303-8789739)</t>
  </si>
  <si>
    <t>15601-0993928-3</t>
  </si>
  <si>
    <t>6352-P</t>
  </si>
  <si>
    <t>Haider Shah s/o Zahir Shah</t>
  </si>
  <si>
    <t>Noor Ullah, r/o Salanda, Saeedabad, Manglor, Swat. (Mobile No. 0348-9722991 &amp; 0342-9031043 )</t>
  </si>
  <si>
    <t>5919-P File Combine</t>
  </si>
  <si>
    <t>6353-K</t>
  </si>
  <si>
    <t>Shabbir Ahmed s/o Haji Bashir Khan</t>
  </si>
  <si>
    <t>Hamza Rehman, r/o Mohalla Gulshanabad, Kohat Road, P.O Technical College, Dayabahar, Tehsil &amp; District Peshawar. (Mobile No. 0310-2662485 &amp; 0314-5522538).</t>
  </si>
  <si>
    <t>6354-K</t>
  </si>
  <si>
    <t>Muhammad Hussain s/o Bakht Mareen</t>
  </si>
  <si>
    <t>Mst. Shahi Bakht w/o Bakht Mareen, r/o Behraray, Khowaza Khel, Swat. (0347-9395391).</t>
  </si>
  <si>
    <t>15605-0365834-5</t>
  </si>
  <si>
    <t>Traced Person. Muhammad Ali uncle of Muhamamd Hussain has appeared whose statement has been recorded ion oath. According to him his nephew Muhammad Hussain is detained in Internment Center Malakand. He has also state that he along with mother and brothers of Muhammad Hussain met with him on 24.9.2019. Muhammad Hussain was in good condition. Family members shall be facilitated to see him in the Internment Center in accordance with rules and procedure.</t>
  </si>
  <si>
    <t>6355-K</t>
  </si>
  <si>
    <t>Abdul Manan s/o Miramin</t>
  </si>
  <si>
    <t>Waheed Ullah s/o Muhammad Ali, r/o Marghuz, Swabi. (Mobile No. 0308-5253912).</t>
  </si>
  <si>
    <t>21105-4990047-9</t>
  </si>
  <si>
    <t>FIR No444/ , dated 22.7.2020, u/s 365PPC, P.S Zaidal, Sawabi</t>
  </si>
  <si>
    <t>6356-K</t>
  </si>
  <si>
    <t>Zakria s/o Zahir Shah</t>
  </si>
  <si>
    <t>Sher Khan, r/o Tota Nobandha. Tehsil &amp; District Swat. (Mobile No. 0340-0099061 &amp; 0342-8458299).</t>
  </si>
  <si>
    <t>42401-5507085-5</t>
  </si>
  <si>
    <t>FIR No.652/ 19, dated 12.10.19, u/s 365PPC, P.S Kabal, Swat</t>
  </si>
  <si>
    <t>6357-K</t>
  </si>
  <si>
    <t>Liaqat Ali s/o Peer Muhammad</t>
  </si>
  <si>
    <t>Mst. Azra Baigum w/o Liaquat Ali, r/o Moosa Khat(Jamra), PS Choora, Tehsil &amp; District Mardan, KPK. (Mobile No. 0315-1950532 &amp; 0311-8351083).</t>
  </si>
  <si>
    <t>16101-1658234-9</t>
  </si>
  <si>
    <t>6358-K</t>
  </si>
  <si>
    <t>Irshad Ali s/o Peer Muhammad</t>
  </si>
  <si>
    <t>6359-K</t>
  </si>
  <si>
    <t>Ikram Ghafoor Khan s/o Wazir Khan</t>
  </si>
  <si>
    <t>Muhammad Shoail, r/o P.O Sameer Bagh, Sad Ber Kalye, Tehsil Sameer Bagh, District Lower Dir. (Mobile No. 0303-3863057 &amp; 0302-8577865).</t>
  </si>
  <si>
    <t>15301-1946692-7</t>
  </si>
  <si>
    <t>FIR No. 174 dated 25.10.19, u/s 365PPC, P.S Samar Bagh, Lower Dir.</t>
  </si>
  <si>
    <t>6360-K</t>
  </si>
  <si>
    <t>Zaheer Abbas s/o Ahsan Ali</t>
  </si>
  <si>
    <t>Qaisar Abbas, r/o Village &amp; P.O Khadizai, Tehsil &amp; District Kohat. (Mobile No. 0336-6999222).</t>
  </si>
  <si>
    <t>14301-2037409-7</t>
  </si>
  <si>
    <t>Deleted. IO/SI of the case entered appearance, whose statement has been recorded on oath. He has deposed that in case FIR No. 141 dated 15.04.2019 u/s 365 PPC, PS/ UStarzai District Kohat. No such evidence came on record that any LEAs/ Intelligence Agency was involved in abduction/ disappearance of Zaheer Abbas. He also submitted that during the course of investigation, it revealed that a group of swindlers, comprising three persons namely Mansoor Ali, Shahzad and Ghulam Shabbir, is found involved in the instant case, against whom challan u/s 420/34 PPC was submitted before the relevant Court. Hence it is not a case of enforced disappearance and stand closed.</t>
  </si>
  <si>
    <t>6361-K</t>
  </si>
  <si>
    <t>Fawad Khan s/o Farman Gul</t>
  </si>
  <si>
    <t>Mst Farshad Farman, r/o Mohalla Gul Bahar, Shadu, Tehsil &amp; District Nowshera. (Mobile No. 0301-5714955).</t>
  </si>
  <si>
    <t>6362-B</t>
  </si>
  <si>
    <t>Sami Ullah s/o Muhammad Aslam</t>
  </si>
  <si>
    <t>Muhammad Aslam, r/o P.O Kalat, Batgo Shumali, Tehsil &amp; District Kalat. (Mobile No. 0332-4023330).</t>
  </si>
  <si>
    <t>51201-7311768-3</t>
  </si>
  <si>
    <t>Traced Person. Muhammad Aslam Khan father of Sami Ullah has appeared whose statement has been recorded ion oath. He has deposed that Sami Ullah was disappeared from house on 1.8.2018, who has returned home on 28.11.2019. He has further deposed that Sami Ullah has told to him that he was picked up and taken away blindfolded by some unknown persons due to suspicion. Statement of Sami Ullah was got recorded u/s 164 Cr.PC before Judicial Magistrate Sorab.</t>
  </si>
  <si>
    <t>6363-B</t>
  </si>
  <si>
    <t>Allah Noor s/o Baaz Muhammad</t>
  </si>
  <si>
    <t>Rehmay Ullah, r/o Mir Zaiye, Kaza, Tehsil Upper Zhob, Killa Saifullah. (Mobile No. 0333-8438356).</t>
  </si>
  <si>
    <t>56202-9476414-3</t>
  </si>
  <si>
    <t>Traced Person. Focal Person, Balochistan Police DSP(Inv), Quetta and father of Allah Noor appeared before the Commission on 1.4.2022 at Quetta. All confirmed that Allah Noor had returned home. No further action is required. The case is closed.</t>
  </si>
  <si>
    <t>6364-B</t>
  </si>
  <si>
    <t>Abdul Ghani s/o Rasool Bux</t>
  </si>
  <si>
    <t>Mst. Bibi Rehima w/o Rasool Bux, r/o Kalye Sufiabad, Ahmed Wal, Noshki, District Noshki. (Mobile No. 0332-5280557 &amp; 0335-3401966).</t>
  </si>
  <si>
    <t>54501-2134812-9</t>
  </si>
  <si>
    <t>Traced Person. Abdul Ghani s/o Rasool Bux appeared before the Commission at Quetta on 25.08.2021, whose statement was recorded on oath in which he deposed that he was abducted on 13.03.2019 by 5/6 muffled faces unknown persons who kept him at some unknown place and set free on 8.04.2021. No further action is required. The case is closed.</t>
  </si>
  <si>
    <t>6365-B</t>
  </si>
  <si>
    <t>Muhammad Shah s/o Jalat Khan</t>
  </si>
  <si>
    <t>Akhter Muhammad, r/o Arbab Town, Gali No. 02, House No.15, Samangali Road, Quetta. (Mobile No. 0317-8008515 &amp; 0333-3777731).</t>
  </si>
  <si>
    <t>54400-8511528-9</t>
  </si>
  <si>
    <t>Traced Person. Muhammad Shah s/o Jalat Khan appeared before the Commission at Quetta on 4.11.2019, whose statement has been recorded on oath. According to him he was picked up and taken away by four persons blindfolded to some unknown place. He has further stated that after 73 days he was set free and he returned to home.</t>
  </si>
  <si>
    <t>6366-B</t>
  </si>
  <si>
    <t>Muhammad Karam s/o Muhammad Akbar</t>
  </si>
  <si>
    <t>Muhammad Akbar, r/o Easten BuyPass, Baba Jan Town, Bohsa Mandi, Quetta. (Mobile No. 0333-1701759 &amp; 0315-8687278).</t>
  </si>
  <si>
    <t>54400-0752783-7</t>
  </si>
  <si>
    <t>6367-B</t>
  </si>
  <si>
    <t>Muhammad Ikram s/o Muhammad Akbar</t>
  </si>
  <si>
    <t>54400-3481910-5</t>
  </si>
  <si>
    <t>6368-B</t>
  </si>
  <si>
    <t>Abdul Fateh s/o Rasool Bux</t>
  </si>
  <si>
    <t>Abdul Ghafoor, r/o P.O Isplinji, Spazand, Tehsil Dasht, District Mastung. (Mobile 0332-8787611).</t>
  </si>
  <si>
    <t>51601-9299991-3</t>
  </si>
  <si>
    <t>6369-I</t>
  </si>
  <si>
    <t>Ahmed Aziz s/o Abdul Aziz Khan</t>
  </si>
  <si>
    <t>Mehtab Aziz, r/o House No. 872, Gali No.49, Sector I-10, Islamabad. (Mobile No. 0333-5599109 &amp; 051-4441872).</t>
  </si>
  <si>
    <t>61101-9782758-9</t>
  </si>
  <si>
    <t>Traced Person. IO/SI of ICT Police submitted report and statement of Ahmed Aziz (Traced Person), who has stated that he was abducted by unknown persons, kept at unknow place subsequently released in March, 2020. The case is accordingly closed.</t>
  </si>
  <si>
    <t>6370-K</t>
  </si>
  <si>
    <t>Muhammad Zeeshan s/o Yar Shah</t>
  </si>
  <si>
    <t>Mst. Balquis Baigum w/o Yar Shah, r/o Tokar Khayle, Matni, Peshawar. (Mobile No. 0314-5480106 &amp; 0336-9984149 &amp; 0333-2527430).</t>
  </si>
  <si>
    <t>17301-0451631-7</t>
  </si>
  <si>
    <t>6371-K</t>
  </si>
  <si>
    <t>Muhammad Tayyab s/o Ghulam Essa</t>
  </si>
  <si>
    <t>Muhammad Hamid, r/o Room No.12, Hostel No.5, IIUI, Sector H-10, Islamabad. (Mobile No. 0336-9153113 &amp; 0332-9420589).</t>
  </si>
  <si>
    <t>17101-2155594-1</t>
  </si>
  <si>
    <t>Traced Person. The case was fixed for hearing on 25.8.2020 when Muhammad Tayyab entered appearance, whose statement has been recorded on oath. He has deposed that he was working with an NGO namely Islamic Human Consultants and a case of Money Laundering was registered against that Organization wherein his name was mentioned. He was arrested in the said case and subsequently released on bail by Anti- terrorism Court-II, Peshawar. Foregoing in view, the case stands disposed of.</t>
  </si>
  <si>
    <t>6372-K</t>
  </si>
  <si>
    <t>Mustafa Hussain s/o Yousaf Hussain</t>
  </si>
  <si>
    <t>Mst. Zaitoon Bibi w/o Yousaf Hussain, r/o Qoam Sheraki, Farid Khel, Dara Adam Khel, P.O Dara Bazar, Molhiqa Kohat. (Mobile No. 0302-9362798).</t>
  </si>
  <si>
    <t>22401-1861595-8</t>
  </si>
  <si>
    <t>30th Sept 2019</t>
  </si>
  <si>
    <t>6373-P</t>
  </si>
  <si>
    <t>Muhammad Asim Masood s/o Masood Ahmed</t>
  </si>
  <si>
    <t>Masood Ahmed, r/o Village Banhorah, P.O Qasba Karyali, Tehsil Sarai Alamgir, District Gujrat. (Mobile No. 0342-1612603 &amp; 0544-755220).</t>
  </si>
  <si>
    <t>34203-3309149-7</t>
  </si>
  <si>
    <t>1st Oct, 2019</t>
  </si>
  <si>
    <t>6374-P</t>
  </si>
  <si>
    <t>Agah Muhammad Kumail s/o Agah Ghulam Asghar</t>
  </si>
  <si>
    <t>Fozia Asghar w/o Agah Ghulam Asghar, r/o Muslim Bin Osja Street, Imamia Colony, Tehsil Ferozewala, District Sheikhupura. (0308-5515377).</t>
  </si>
  <si>
    <t>35401-3387315-9</t>
  </si>
  <si>
    <t>Traced Person. The cognizance of the issue was taken by the Commission and various directions were issued to all the stakeholders by means of letter dated 30.9.2019. Mr Ahmad Nawaz, Addl. SP , Sheikhupura has entered appearance before the Commission on 15.11.2019 and stated that Agha Muhammad Kumail has returned to home.</t>
  </si>
  <si>
    <t>6375-P</t>
  </si>
  <si>
    <t>Muhammad Naseem Abbasi, r/o Dhok Jendala, Village Potha Sharif, Tehsil Murree, District Rawalpindi. (Mobile No. 0300-8350365).</t>
  </si>
  <si>
    <t>37404-4966813-7</t>
  </si>
  <si>
    <t>Traced Person. Muhammad Waseem Abbasi has been traced. He has returned home. Abdul Manan Abbasi, who is brother of Muhammad Waseem Abbasi entered appearance before the Commission on 10.1.2020, whose statement has been recorded on oath. He has deposed that his brother Muhammad Waseem Abbasi disappeared on 11.9.2019 from his home at Murree and returned home on 11.12.2019. Report dated 10.1.2020 has alos been received from CPO, Rawalpindi which confirms the aforesaid position.</t>
  </si>
  <si>
    <t>6376-P</t>
  </si>
  <si>
    <t>Siraj-ul-Haq Farooq s/o Mian Muhammad Farooq</t>
  </si>
  <si>
    <t>Izhar-ul-Haq Farooq, r/o Block No.5-C, Flate No.2-C, Sector G-9/2, Islamabad. (Mobile No. 0321-5649858 &amp; 0340-5106716 &amp; 0333-5759270).</t>
  </si>
  <si>
    <t>61101-8803230-1</t>
  </si>
  <si>
    <t>Traced Person. Izhar-ul-Haq Farooq complainant appeared before the Commission on 10.10.2019, whose statement has been recorded on oath. According to him his younger brother Siraj-ul-Haq Farooq was picked up and taken away on 24.9.2019 from his academy by persons who were in black uniform with muffled faces. He has further stated that his brother has returned home on 3.10.2019.</t>
  </si>
  <si>
    <t>6377-K</t>
  </si>
  <si>
    <t>Abdullah s/o Fazal Subhan</t>
  </si>
  <si>
    <t>Fazal Subhan, r/o Village Mashu Gagher, P.O &amp; P.S Brehbera, Mohalla Gaffar Khel, Tehsil &amp; District Peshawar. (Mobile No. 0336-3070787 &amp; 0343-3600787).</t>
  </si>
  <si>
    <t>17301-8937804-5</t>
  </si>
  <si>
    <t>6378-K</t>
  </si>
  <si>
    <t>Israr Ahmed s/o Muhammad Ikhlaq</t>
  </si>
  <si>
    <t>Muhammad Ikhlaq, r/o Mohalla Kayoti, Village Berot, P.S Bakot, Tehsil &amp; District Abbottabad. (Mobile No. 0345-5504697).</t>
  </si>
  <si>
    <t>13101-2734398-9</t>
  </si>
  <si>
    <t>FIR No. 170 dated 20.10.2019 u/s 365 PPC, PS Bakot, District Abbottanbad</t>
  </si>
  <si>
    <t>Traced Person. IO/SI Abdul Khaliq has appeared before the Commission on 27.2.2020, whose statement has been recorded on oath. According to him Israr Ahmed has returned home and in his regard statement of Israr Ahmed and his father Muhammad Akhlaq were recorded u/s 164 Cr.PC. He has produced copies of the statements . He further submitted that Israr Ahmed went to Karachi without intimation to his family members.</t>
  </si>
  <si>
    <t>6379-F</t>
  </si>
  <si>
    <t>Mir Wais s/o Molla Noor</t>
  </si>
  <si>
    <t>Muhammad Saeed, r/o South Waziristan, Wana Tehsil Hermil, AngorAdah, District South Waziristan. (Mobile No. 0334-5308898 &amp; 0305-9446005).</t>
  </si>
  <si>
    <t>21701-4554837-5</t>
  </si>
  <si>
    <t>Traced Person. Mir Wais has been traced. Rep of MI appeaed for hearing on 13.2.2020, who has affirmed that Mir Wais is confined in Internment Center, Lakki Marwat. Saeed Muhammad complainant/ brother of Mir Wais also appeared, who has apprised of status of the case. He also affirmed that family members have already met Mir Wais at Internment Center Lakki Marwat.</t>
  </si>
  <si>
    <t>6380-S</t>
  </si>
  <si>
    <t>Sharif Ullah s/o Fazal Haq</t>
  </si>
  <si>
    <t>Sami Ullah, r/o Chel Bandha, Tehsil Bahrin, District Swat, (Mobile No. 0343-2595339).</t>
  </si>
  <si>
    <t>15602-0871829-5</t>
  </si>
  <si>
    <t>6381-K</t>
  </si>
  <si>
    <t>Rooh Ullah s/o Jeyan Shah</t>
  </si>
  <si>
    <t>Noor Ullah, r/o Machni Daroazgye, Shabeqadar, Tehsil Shabeqadar, District Charsadda. (Mobile No. 0321-9127510).</t>
  </si>
  <si>
    <t>21407-8473533-3</t>
  </si>
  <si>
    <t>6382-K</t>
  </si>
  <si>
    <t>Muhammad Feroz Shah s/o Khursheed Anwar Khan</t>
  </si>
  <si>
    <t>Mst. Bakht Bareen Bibi w/o Khursheed Anwar Khan, r/o Botata, P.O Khagram, Tehsil Wahri, District Upper Dir. (Mobile No. 0340-9804946 &amp; 0341-73.95274).</t>
  </si>
  <si>
    <t>15702-4672958-3</t>
  </si>
  <si>
    <t>Traced Person. Muhammad Feroz Shah has been traced. Rep of MI appeared before the Commission on 17.12.2019 and furnished report dated 17.12.2019 intimating that Muhammad Feroz Shah s/o Khursheed Anwar Khan was confined in the Internment Center Fizaghat, District, Swat. Family members shall be facilitated to see him in the Internment Center as per rules and procedures.</t>
  </si>
  <si>
    <t>6383-K</t>
  </si>
  <si>
    <t>Naimat Ullah s/o Muhammad Rasool Khan</t>
  </si>
  <si>
    <t>Mst. Bala nishta Bibi w/o Muhammad Rasool Khan, r/o Lundaye, Alam Gunj, Tehsil &amp; P.O Char Bagh, District Swat. (Mobile No. 0345-2128606 &amp; 0347-5169899).</t>
  </si>
  <si>
    <t>15602-0595013-7</t>
  </si>
  <si>
    <t>6384-P</t>
  </si>
  <si>
    <t>s/o sher baz</t>
  </si>
  <si>
    <t>Sahbul Haq s/o Shamsul Abedin</t>
  </si>
  <si>
    <t>Aftab-ul-Haq, r/o Juji Kala, ShukarUllah, Hussain Mindan, Banu, KPK. (Mobile No. 0332-5368809 &amp; 0332-7685454).</t>
  </si>
  <si>
    <t>11101-1606255-1</t>
  </si>
  <si>
    <t>Traced Person. Rep of MI appeared before the Commission and submitted that Suhaib-ul-Haq has since been convicted and sentenced to undergo RI for 12 years by FGCM and presently he is detained in District Jail Okara.</t>
  </si>
  <si>
    <t>6385-I</t>
  </si>
  <si>
    <t>Abid Hussain s/o Wali-ur-Rehman</t>
  </si>
  <si>
    <t>Haq Nawaz, r/o Sandhay, Ser Semsair, Tehsil &amp; District Manshera. (Mobile no. 0346-9641849).</t>
  </si>
  <si>
    <t>13503-8595813-1</t>
  </si>
  <si>
    <t>Traced Person. Abid Hussain has been traced. Haq Nawaz, the complainant, who is brother of Abid Hussain is present. His statement has been recorded on oath. He deposed that his brother Abid Hussain has been traced. He is presently at Bashir Town, Phool Nagar, Qasur, where he is working in Tiens, a Chinese Medicines Company. He is in contact with him telephonically. He further stated that his brother disappeared on his own, he was not abducted by anybody.</t>
  </si>
  <si>
    <t>6386-P</t>
  </si>
  <si>
    <t>Talah Rahim s/o Hafiz Abdul Rahim</t>
  </si>
  <si>
    <t>Hafiz Abdul Rahim, r/o Basti Khair Shah, Nawab Pur Road, Galgusht Colony, Multan. (Mobile No. 0300-7372837).</t>
  </si>
  <si>
    <t>36302-0123433-7</t>
  </si>
  <si>
    <t>Traced Person. The cognizance of the issue was taken by the Commission and various directions were issued to all the stakeholder by means of letter of even number dated 10.10.2019. Talah Rahim Traced Person has entered appearance before the Commission on 15.11.2019 at Lahore and stated that he went in his own. In view of what has been mentioned hereinabove no further action is required to be taken by the Commission.</t>
  </si>
  <si>
    <t>6387-P</t>
  </si>
  <si>
    <t>Abdul Rehman s/o Muhammad Munir</t>
  </si>
  <si>
    <t>Muhammad Ismail Munir, House No.6-S-42, Mohalla Main Bazar, Kharak, Multan Road, Lahore. (Mobile No. 0308-4100293).</t>
  </si>
  <si>
    <t>35202-1148130-7</t>
  </si>
  <si>
    <t>Traced Person. The cognizance of the issue was taken by the Commission on 10.10.2019 and various directions were issued to all the stakeholders by means of letter of even number dated 10.10.2019. A written report in this regard has been furnished perusal whereof shows that Abdul Rehman has returned back and left the house on his own. Accordingly it was not a case of enforced disappearance.</t>
  </si>
  <si>
    <t>6388-I</t>
  </si>
  <si>
    <t>Muhammad Yafis Naveed Hashmi s/o Muhammad Naveed Hashmi</t>
  </si>
  <si>
    <t>Mst. Fozia Tabbasum Zaidi, r/o House No. 712-C, Gulghsht Colony, Multan. (Mobile No. 0332-2221431 &amp; 0321-6317326).</t>
  </si>
  <si>
    <t>36302-5489481-5</t>
  </si>
  <si>
    <t>FIR No. 346 , Dated 9.8.19, u/s 365 PPC, P.S Kohsar, ICT</t>
  </si>
  <si>
    <t>Traced Person. IO/SI of ICT Police submitted report and statement of the Traced Person as well as his wife confirming the return of Muhammad Yafis Naveed Hashmi home on 5.3.2020, who was abducted on 8.8.2019. Accordingly, the case is closed.</t>
  </si>
  <si>
    <t>6389-I</t>
  </si>
  <si>
    <t>Qaisar Inayat Abbasi s/o Muhammad Inayat Abbasi</t>
  </si>
  <si>
    <t>Muhammad Inayat Abbasi, r/o Nain Sukh Town, Gali No. 8, House No.52, BarahKoh, Islamabad. (Mobile No. 0314-5238526).</t>
  </si>
  <si>
    <t>42401-9653249-3</t>
  </si>
  <si>
    <t>FIR No. 508 dated 30.8.2019 y.s 365 PPC PS Bhara Kahu, Islamabad</t>
  </si>
  <si>
    <t>Traced Person. Rep of MI appeared before the Commission on 3.2.2021 submitted report dated 8.2.2021. According to this report Qaisar Inayat Abbasi is confined in Internment Centre Malakand. In terms of Action (in aid of Civil Power Regulation, 2011. The case is closed.</t>
  </si>
  <si>
    <t>6390-K</t>
  </si>
  <si>
    <t>Khursheed Ali s/o Jumma Gul</t>
  </si>
  <si>
    <t>Rehmat Ali, r/o Mohalla Rehmnaabad, P.O Rahimabad, Qamber, Tehsil Babuzai, Swat. (Mobile No. 0344-1983122 &amp; 0332-9440322).</t>
  </si>
  <si>
    <t>15602-0257814-1</t>
  </si>
  <si>
    <t>6391-K</t>
  </si>
  <si>
    <t>Zarbadin s/o Muhammad Jan</t>
  </si>
  <si>
    <t>Sahib Din, r/o Qoyam Bosti Khyel, Samndri Mella, Dara Adam Khyel, FR Kohat. (Mobile No. 0333-3964204).</t>
  </si>
  <si>
    <t>22401-0649731-7</t>
  </si>
  <si>
    <t>6392-K</t>
  </si>
  <si>
    <t>Temoor Abbasi s/o Zulfiqar Abbasi</t>
  </si>
  <si>
    <t>Owais Abbasi, r/o District Bagh, Tehsil Dher Kot, P.O Chaman Kot, Village Halal Bagla. (Mobile No. 0345-6967253 &amp; 0340-0502696).</t>
  </si>
  <si>
    <t>82101-0194355-7</t>
  </si>
  <si>
    <t>Traced Person. Rep of CTD, Hangu appeared before the Commission and submitted report that Taimoor Abbasi s/o Zulifqar Abbasi was arrested in case FIR No. 9 dated 21.11.2019 u/s 21(3), 7 (c) ATA/120-B PPC by CTD Abbottabad and confined in Abbottabad Jail. Family informed accordingly. No further action is required. The case is closed.</t>
  </si>
  <si>
    <t>6393-K</t>
  </si>
  <si>
    <t>Hussain Ahmed s/o Noor-ul-Haq</t>
  </si>
  <si>
    <t>Mst, Tayaba Bibi, Mohalla Saeedabad, TIP Colony, Haripur. (Mobile No. 0312-0051427 &amp; 0333-5494375).</t>
  </si>
  <si>
    <t>FIR No. 1124, dated 30.10.2019 u/s 365PPC, P.S City, Haripur</t>
  </si>
  <si>
    <t>Traced Person. Mr. Muhammad Ishaq Inspector/IO of the case PS City Haripur attended the hearing held on 4.1.2020 and submitted that Hussain Ahmed was detained in Central Jail D.G.Khan in connection with the case of CTD FIR No. 03 dated 03.12.2019 u/s 3/4 ESA, 7ATA. F6, 11H, 11-I, 11J2.</t>
  </si>
  <si>
    <t>6394-I</t>
  </si>
  <si>
    <t>Rahim Ullah s/o Najeeb Ullah</t>
  </si>
  <si>
    <t>Najeeb Ullah, r/o Foji Colony, Galli No 7, Pirwadhai, Rawalpindi. (Mobile No. 0301-5204185 &amp; 0336-5326215).</t>
  </si>
  <si>
    <t>UMR1000405846 Afgan Certificate</t>
  </si>
  <si>
    <t>Traced Person. Rahim Ullah has been traced and entered appearance before the Commission on 4.3.2020. His statement has been recorded on oath. He has deposed that he was abducted on 30.8.2019 by some unknown persons and was set free after four months and five days. He, however could not give further details regarding persons involved and the place of detention.</t>
  </si>
  <si>
    <t>6395-K</t>
  </si>
  <si>
    <t>Hanif Ullah s/o Sana Ullah</t>
  </si>
  <si>
    <t>Shafiqur Rehman, r/o Village Mirgam Bala, P.O Zaimdara, District Lower Dir. (Mobile No. 0300-9007893).</t>
  </si>
  <si>
    <t>15305-4530463-1</t>
  </si>
  <si>
    <t>6396-K</t>
  </si>
  <si>
    <t>Asif Khan s/o Shakir Ullah</t>
  </si>
  <si>
    <t>Shakir Ullah r/o Shakrta Bandha Gaye, Tehsil Eman Khel, Trible District Bajhur. (Mobile No. 0308-8433329).</t>
  </si>
  <si>
    <t>21107-2339769-3</t>
  </si>
  <si>
    <t>Deleted. In this case, JIT as well as PTF concluded that the “Missing Person” had gone as his own. The statement of Shah Hussain (complainant) was recorded on oath in which he deposed that neither he was available at the place of occurrence, nor any evidence came on record.Hence, not a case of enforced disappearance. The case is closed.</t>
  </si>
  <si>
    <t>6397-K</t>
  </si>
  <si>
    <t>Fida Hussain s/o Abdul Sattar</t>
  </si>
  <si>
    <t>Muhammad Hussain, r/o Ploat No.3, Gali No.17, G-8/1, Black Box Sound, Media Office, Islamabad. (Mobile No. 0315-2889803 &amp; 0333-3937352).</t>
  </si>
  <si>
    <t>42000-0290235-7</t>
  </si>
  <si>
    <t>Traced Person. Fida Hussain has been traced he has returned home. Muhammad Hussain b/o Fida Hussain traced person has entered appearance before the Commission on 19.12.2019, his statement has been recorded on oath. He has stated that his brother disappeared on 13.10.2019 at Chakdara check-post who returned on 8.12.2019. Due to illness he could not make appearance before the Commission.</t>
  </si>
  <si>
    <t>6398-K</t>
  </si>
  <si>
    <t>Muhammad Rasool Khan s/o Muhammad Jan</t>
  </si>
  <si>
    <t>Maqbool Khan , r/o Mohalla Barcham, Village Kotli, Tehsil &amp; P.S Kabel, District Swat. (Mobile No. 0308-8087575).</t>
  </si>
  <si>
    <t>15602-6630533-1</t>
  </si>
  <si>
    <t>Fir No.695, dated 07-11-2019, u/s 365 PPC, P.S Kabal, Swat</t>
  </si>
  <si>
    <t>Traced Person. Muhammad Rasool Khan has returned home. DSP (Inv), Swat deposed in his statement that last JIT meetings was convened on 25.11.2020 at which Muhammad Rasool Khan entered appearance and deposed that he was released from Adiyala Jail Rawalpindi on 27.02.2020</t>
  </si>
  <si>
    <t>6399-I</t>
  </si>
  <si>
    <t>Kabir Hussain Shah s/o Bashir Hussain Shah</t>
  </si>
  <si>
    <t>Bashir Hussain Shah, r/o House No.1-A, Main Road, I-10/2, Islamabad. (Mobile No. 0333-5102813 &amp; 0306-5102813 &amp; 051-4444815).</t>
  </si>
  <si>
    <t>61101-5249801-3</t>
  </si>
  <si>
    <t>Traced Person. Kabir Hussain Shah appeared before the Commission on 12.12.2019, whose statement has been recorded on oath, in which he stated that neither he was abducted nor taken away by any person. He further added that on account of business crisis he had gone to Karachi, and his father lodged complaint in his absence against some unknown persons. He submitted that he came back from Karachi on 20.11.2019.</t>
  </si>
  <si>
    <t>6400-K</t>
  </si>
  <si>
    <t>Khaista Rehman s/o Ilyas Khan</t>
  </si>
  <si>
    <t>Mst. Samina Bibi, r/o Mardana, Tehsil Shab-e-qadar, District Charsadda. (Mobile No. 0309-8964326).</t>
  </si>
  <si>
    <t>17101-8630757-9</t>
  </si>
  <si>
    <t>6401-K</t>
  </si>
  <si>
    <t>Naimat Ullah s/o Gul Nawab</t>
  </si>
  <si>
    <t>Mst. Khalida Bibi, r/o Deraki, Koza Bandi, Tehsil Kabel, District Swat. (Mobile No. 0303-2706361, 0341-5116855 &amp; 0346-9380285).</t>
  </si>
  <si>
    <t>6402-I</t>
  </si>
  <si>
    <t>Suleman Farooq Chaudhri s/o Prof. Muhammad Sharif Chaudhri</t>
  </si>
  <si>
    <t>Prof. Muhammad Sharif Chaudhri, r/o House No. 132, Street No.5, Block C, Meia Town, Islamabad. (Mobile No. 0343-5176219).</t>
  </si>
  <si>
    <t>37405-8684754-1</t>
  </si>
  <si>
    <t>Fir No.332, Dated 05.10.19, u/s 365 PPC, P.S Lohi Bher, Islamabad.</t>
  </si>
  <si>
    <t>Traced Person. Muhammad Sharif Chaudhry f/o Suleman Farooq Chaudhry appeared before the Commission on 7.10.2021. His statement was recorded on oath in which he deposed that his son Suleman Farooq Chaudhry returned home on 2.10.2021 and due to aliment he could noy make his appearance before the Commission. No further action is required. The case is closed.</t>
  </si>
  <si>
    <t>6403-K</t>
  </si>
  <si>
    <t>Marvaiz Khan s/o Shair Zameen Khan</t>
  </si>
  <si>
    <t>Shair Zameen Khan, r/o Khan Garhi Sakhakot, Malakand, Tehsil Dargi Kpk. (Mobile No. 0343-5094964).</t>
  </si>
  <si>
    <t>15401-2447311-3</t>
  </si>
  <si>
    <t>6404-K</t>
  </si>
  <si>
    <t>Muhammad Hamza Ali s/o Shafqat Ali</t>
  </si>
  <si>
    <t>Shafqat Ali, r/o Andron Faqeerni Gate, Mohalla Waqil Nawal, House No. 1054/C, D.I.Khan. (Mobile No. 0342-9686955).</t>
  </si>
  <si>
    <t>12101-2427536-5</t>
  </si>
  <si>
    <t>6405-A</t>
  </si>
  <si>
    <t>Fazal-ul-Rehman s/o Muhammad Anwar Khan</t>
  </si>
  <si>
    <t>Muhammad Anwar Khan, r/o Kachral Lehenga, chayot garabi, P.O Walat, Tehsil Rawalakot. (Mobile No. 0347-5412978).</t>
  </si>
  <si>
    <t>82303-4911202-1</t>
  </si>
  <si>
    <t>Deleted. After a number of hearings, it has been concluded that the Missing Person was a drug addict, he had no links with Jihadi Organisation, all agencies have denied his apprehension/custody. Accordingly, the case does not fall within the domain of enforced disappearance. Hence closed.</t>
  </si>
  <si>
    <t>6406-P</t>
  </si>
  <si>
    <t>Hafiz Suleman s/o Hafiz Ghulam Farid</t>
  </si>
  <si>
    <t>Maryam Bibi, r/o Chak Manak, P.O Oach Sharif, Tehsil Ahmedpur Estat, District Bhawalpur. (Mobile No. 0308-6634640).</t>
  </si>
  <si>
    <t>6407-P</t>
  </si>
  <si>
    <t>Zia-ur-Rehman s/o Zamin</t>
  </si>
  <si>
    <t>Saeed Ullah, r/o G.T Road, Street No.01, Mohalla Shamsabad, District Gujranwala. (Mobile No. 0300-7790517).</t>
  </si>
  <si>
    <t>FIR No. 761/12, dated 20-06-19, u/s 365 PPC P.S Sadar, Gujranwala.</t>
  </si>
  <si>
    <t>6408-P</t>
  </si>
  <si>
    <t>Ahsan-ul-Haq s/o Jeon Khan</t>
  </si>
  <si>
    <t>Kamran-ul-Haq, r/o P.O-1/5, Gali No. 32, Block 01, Zafar Market, Naval Complex, E-8, Islamabad. (Mobile No. 0321-2566250).</t>
  </si>
  <si>
    <t>42000-7379560-7</t>
  </si>
  <si>
    <t>6409-S</t>
  </si>
  <si>
    <t>Arif Hussain s/o Abid Hussain</t>
  </si>
  <si>
    <t>Mst. Sana Arif Hussain, r/o House no. 65/8, Riaz Iner Area, Malir Halat, Karachi. (Mobile No 0311-2421612).</t>
  </si>
  <si>
    <t>42201-0686415-3</t>
  </si>
  <si>
    <t>Traced Person. It was informed at the hearing held in this Commission on 19.11.2019 that Amir Hussain has returned to home. The statement of the Traced Person has been recorded u/s 164 CrPC in which he has stated that he went to Faisalabad, Punjab at his own and none abducted him which is available on record. Wife of the traced person also appeared before the Commission and confirmed the reported position.</t>
  </si>
  <si>
    <t>6410-P</t>
  </si>
  <si>
    <t>Muhammad Imran s/o Muhammad Khuda Dad</t>
  </si>
  <si>
    <t>Hamid Mahmood, r/o Naseem Colony, Gali No.05, Jhorabad, District Khushab. (Mobile No. 0302-2762408 &amp; 0300-0241153).</t>
  </si>
  <si>
    <t>38201-1139792-5</t>
  </si>
  <si>
    <t>Traced Person. Hamid Mehmood complainant / cousin of Muhammad Imran has appeared before the Commission on 19.12.2019, whose, statement has been recorded on oath. He has deposed that Muhammad Imran is his cousin, who disappeared on 29.8.2019. Later he came to known from his native tow district Khushab that Muhammad Imran was missing on his own due to some family affairs. He has also submitted and affidavit before the Commission duly attested by the Oath Commissioner that Muhammad Imran is no more a missing person.</t>
  </si>
  <si>
    <t>6411-K</t>
  </si>
  <si>
    <t>Umar Farooq s/o Muhammad Yousaf</t>
  </si>
  <si>
    <t>Muhammad Yousaf, r/o Keshanghar road, Malik Umar Hussin Kalye, Tehsil &amp; District Peshawar. (Mobile No. 0342-5959088).</t>
  </si>
  <si>
    <t>17301-3730125-9</t>
  </si>
  <si>
    <t>6412-F</t>
  </si>
  <si>
    <t>Fazal Noor s/o Painda Khan</t>
  </si>
  <si>
    <t>Dolat Khan, r/o Souar Dhand Camp, Tehsil Bahra, District Khyber. (Mobile No. 0334-9169225 &amp; 0306-8008645).</t>
  </si>
  <si>
    <t>21201-0336771-1</t>
  </si>
  <si>
    <t>6413-B</t>
  </si>
  <si>
    <t>Aqeel Ahmed</t>
  </si>
  <si>
    <t>Ahmed, r/o Mand Soro, village in Kech, Kech, Balochistan.</t>
  </si>
  <si>
    <t>XQ1152821</t>
  </si>
  <si>
    <t>Traced Person. Mir Hussain Lehri, SSP, Kech has appeared before the Commission on 100.1.2020 at Quetta, whose statement has been recorded on oath. He has stated that Aqeel Ahmad who was picked up from his shop of spare parts at Mand Soro on 19.1.2019, was released two months ago and has returned home. It has further been stated that now a days he has gone to Karachi in connection with his business.</t>
  </si>
  <si>
    <t>6414-B</t>
  </si>
  <si>
    <t>Faiz Muhammad</t>
  </si>
  <si>
    <t>r/o Heronk, Village in Kech, Balochistan.</t>
  </si>
  <si>
    <t>Traced Person. Muhammad Amin, Naib Tehsildar District Kech has appeared before the Commission on 10.1.2020 at Quetta, whose statement has been recorded on oath. He has stated that Faiz Muhammad s/o Muhammad Yousaf who kidnapped on 20 March, 2019 has returned home six months ago. He has produced letter No. 407/JB dated 7 Jan, 2020 from DC, Turbat and Memo No. 11/RB dated 2 Jan, 2020 from Tehsildar Turbat confirming the aforesaid position.</t>
  </si>
  <si>
    <t>6415-B</t>
  </si>
  <si>
    <t>Anees</t>
  </si>
  <si>
    <t>r/o, Tasp Village, Panjgur, Balochistan.</t>
  </si>
  <si>
    <t>Traced Person. Anees Baloch has appeared in person before the Commission on 9.1.2020 at Quetta, whose statement has been recorded on oath. He has stated that on 2 March, 2019 after checking his NIC, unknown persons picked him and took him away blindfolded along with his motorcycle and kept him at an unknown place. He has further stated that he was set free on 21.4.2019 and he returned home. He has further deposed that he cannot identify those persons who took him away and kept in custody.</t>
  </si>
  <si>
    <t>6416-B</t>
  </si>
  <si>
    <t>Abdul Wahid</t>
  </si>
  <si>
    <t>r/o Village Killi Bangukzai in Mach, District Kachi, Balochistan.</t>
  </si>
  <si>
    <t>Traced Person. Abdul Waheed has appeared before the Commission on 8.1.2020 at Quetta, whose statement has been recorded on oath. He has stated that on 11th July, 2018, when he was going to Dolu Baba Chishma for taking bath, he was intercepted by some men in a vehicle and they took him away to an unknown place and set fee on 6.7.2019. He further stated that he cannot identify those persons who picked up and taken away, even if they are brought him.</t>
  </si>
  <si>
    <t>6417-B</t>
  </si>
  <si>
    <t>Abdul Hay Kurd s/o Juma Khan</t>
  </si>
  <si>
    <t>Juma Khan, r/o House No.254/B, Haji Jumma Khan Civil Ward, Mach, District Kachi, Balochistan. (Mobile No. 0331-3258728).</t>
  </si>
  <si>
    <t>Traced Person. Haji Juma Khan Kurd appeared before the Commission on 03.04.2021, whose statement was recorded on oath in which it was deposed that Abdul Hai Khan Kurd returned home. No further action is required. The case is closed.</t>
  </si>
  <si>
    <t>6418-K</t>
  </si>
  <si>
    <t>Idress</t>
  </si>
  <si>
    <t>r/o Village Dialy, P.O Bara Bandi, Tehsil Kabal, District Swat.</t>
  </si>
  <si>
    <t>Combine with 1170-K &amp; 4141-K &amp; 864 to 870 and 6418-K</t>
  </si>
  <si>
    <t>6419-P</t>
  </si>
  <si>
    <t>Waqar-ul-Ameen s/o Ruhul Ameen</t>
  </si>
  <si>
    <t>r/o Madrassa Jamia Ashab-e-Suffa, Al Noor town, Industrial Zon, Anam Road, Glacso Town, Lahore.</t>
  </si>
  <si>
    <t>13302-2120986-1</t>
  </si>
  <si>
    <t>Traced Person. Ruhul Ameen father of missing person has appeared, before the Commission on 16.12.2019, whose statement has been recorded in oath. He deposed that his son Waqar-ul-Ameen disappeared on 20.12.2017. FIR was lodged in Police Station Nishtar Colony, Lahore on his repot. After 100 days of his disappearance, he was informed that his has been detained in Kot Lakhpat Jail as a result of registration of three FIRs against him, but he has been acquitted by the Anti. Terrorist Court from three of the cases. Father of the Missing Person has further added that now his son has returned home.</t>
  </si>
  <si>
    <t>6420-K</t>
  </si>
  <si>
    <t>Muhammad Ibrahim s/o Ghulam Shabbir</t>
  </si>
  <si>
    <t>Ghulam Shabbir, r/o Qoyam Malana, Village Paka Malana, Tehsil Parwah, District D.I.Khan. (Mobile no. 03467992510).</t>
  </si>
  <si>
    <t>Traced Person. According to report of MI, Muhammad Ibrahim is detained in the Internment Center Fizaghat. The complainant is required to avail further remedy in accordance with law and rules if so desired.</t>
  </si>
  <si>
    <t>6421-K</t>
  </si>
  <si>
    <t>Nowsher Khan s/o Sher Zaman Khan</t>
  </si>
  <si>
    <t>Mst. Jayheet Bibi, Hazara Town, Mamond, District Bajaur. (Mobile No. 0304-4302201 &amp; 0302-5436955).</t>
  </si>
  <si>
    <t>21104-2164718-3</t>
  </si>
  <si>
    <t>FIR No. 44, dated 08.1.2020, u/s 365 PPC, District Abbottabad.</t>
  </si>
  <si>
    <t>6422-B</t>
  </si>
  <si>
    <t>Nawab Ali s/o Rehmat Jan</t>
  </si>
  <si>
    <t>Rehmat Jan, r/o Kasba Colony, Karachi. (Mobile No. 0344-2261042).</t>
  </si>
  <si>
    <t>42401-9181445-1</t>
  </si>
  <si>
    <t>Deleted. After thorough investigation by DIG (East), Karachi and SP (Inv), Quetta it is concluded that neither the place of occurrence nor eye witness of the abduction has been intimated by the complaint. Therefore, the case does not fall within the ambit of enforced disappearance. The case is closed.</t>
  </si>
  <si>
    <t>6423-K</t>
  </si>
  <si>
    <t>Hazrat Ali s/o Ghulam Qadir</t>
  </si>
  <si>
    <t>Ghulam Qadir, r/o Kuladand Bala, Umarzai, Anel, District Charsadda. (Mobile No. 0332-5316382).</t>
  </si>
  <si>
    <t>6424-S</t>
  </si>
  <si>
    <t>Ghiyas s/o Ghulam Muhammad</t>
  </si>
  <si>
    <t>Ulfat Naseem s/o Ghulam Muhammad, c/o Al-Saif Coach Booking Office, Near Sher Ali Petrol Pump, Hub City, Balochistan. (Mobile No. 0335-3647859).</t>
  </si>
  <si>
    <t>52301-0318753-3</t>
  </si>
  <si>
    <t>6425-K</t>
  </si>
  <si>
    <t>Umer Farooq s/o Gul Shadat</t>
  </si>
  <si>
    <t>Gul Shadat, r/o Handi Khel, Jani Khel Mushtrika, P.O Jani Khel, Tehsil &amp; District Bannu. (Mobile No. 0307-2304383).</t>
  </si>
  <si>
    <t>6426-K</t>
  </si>
  <si>
    <t>Muhammad Abu Bakar s/o Muhammad Hussain</t>
  </si>
  <si>
    <t>Imtiaz Ahmed, r/o Qoyam Tarhali, Village Pakamalana, Tehsil Perwah, District D.I.Khan. (Mobile No. 0346-7854487 &amp; 0330-6795988).</t>
  </si>
  <si>
    <t>Traced Person. According to report of MI, Muhammad Abu Bakar is detained in the Internment Center Fizaghat. The complainant is required to avail further remedy in accordance with law and rules if so desired.</t>
  </si>
  <si>
    <t>6427-K</t>
  </si>
  <si>
    <t>Kamran Ullah s/o Gul Faraz Khan</t>
  </si>
  <si>
    <t>Mst. Noor Salma Bibi, r/o Village Shagi, Near, Malang Adah, P.S Kambella, District Lakki Marwat. (Mobile No. 0300-5768899 &amp; 0310-9353657 &amp; 0335-9165131).</t>
  </si>
  <si>
    <t>21506-9801058-3</t>
  </si>
  <si>
    <t>6428-I</t>
  </si>
  <si>
    <t>Ishaq Muhammad s/o Janat Gul</t>
  </si>
  <si>
    <t>Janat Gul, r/o District Lower Dir,Tehsil Tehmadara, Serai bali, District Lower Dir. (Mobile No. 0348-8708448)</t>
  </si>
  <si>
    <t>15302-7339775-7</t>
  </si>
  <si>
    <t>Traced Person. Nawaz Ahmed appeared before the Commission on 13.12.2019, whose statement recorded on oath. A letter bearing No. NP (IBD)-174/INV/1464 dated 6.11.2019 has also been received from Mr. Atif Sultan TI (M) Naval Provost Marshal stating that “ Apropos reference, missing report pertaining to Ishaq Muhammad Police Constable of Pakistan Navy was lodged at your kind office on 25 October, 2019 for further legal formalities. It is informed that captioned individual concerned back safely on 30 October, 2019.</t>
  </si>
  <si>
    <t>6429-P</t>
  </si>
  <si>
    <t>Muhammad Awais s/o Ahmed Yar</t>
  </si>
  <si>
    <t>Mst. Halema Bibi, r/o Near Janaza Gha Road, Mohallah Usman Park, Shahdara, Lahore. (Mobile No. 0305-1677116)</t>
  </si>
  <si>
    <t>Traced Person. Mr. Sohaib Ashraf, DPO Bahawalpur is present, whose statement has been recorded in oath. He has deposed that Muhammad Awais was released from Central Jail Bahawalpur on 25.4.2019. He also stated that since Muhammad Awais was wanted to CTD, Lahore in FIR No. 13/23/2019 dated 20.4.2019, therefore the said Muhammad Awais was taken into custody by CTD Lahore after getting his transit remand from ATC Court, Bahawalpur. DPO Bahawalpur further submitted that Muhammad Awais was presently confined in PS/ Shahdara, Lahore in the aforesaid FIR and the case is pending adjudication before the Court of ATC, Lahore.</t>
  </si>
  <si>
    <t>6430-K</t>
  </si>
  <si>
    <t>Inayat Ullah s/o Muhammadi Gul</t>
  </si>
  <si>
    <t>Mst. Bakht Ali Jan, r/o Fazel Baigh, Gahri, Sukhrah, Matta, District Swat. (Mobile No. 0344-2447392 &amp; 0310-8769009).</t>
  </si>
  <si>
    <t>15601-5962097-9</t>
  </si>
  <si>
    <t>FIR No. 664 dated 21.12.19 u/s 365 PPC PS Shaikh Maltoon, Mardan</t>
  </si>
  <si>
    <t>6431-K</t>
  </si>
  <si>
    <t>Noor Habib s/o Syed Rahim</t>
  </si>
  <si>
    <t>Fazal-e-Khaliq, r/o Bayakand, P.O Shangwati, Tehsil Matta, District Swat. (Mobile No. 0346-9459159 &amp; 0348-2111513).</t>
  </si>
  <si>
    <t>31st October, 2019</t>
  </si>
  <si>
    <t>6432-K</t>
  </si>
  <si>
    <t>Luqman s/o Muhammad Saeed Ahmed</t>
  </si>
  <si>
    <t>Muhammad Suleman, r/o Qoyam Mahoota, Village Paka Malana, Tehsil Parwah, District D.I.Khan. (Mobile No. 0348-9106772).</t>
  </si>
  <si>
    <t>Traced Person. According to report of MI,Saif-ur-Rehman is detained in the Internment Center Fizaghat. The complainant is required to avail further remedy in accordance with law and rules if so desired.</t>
  </si>
  <si>
    <t>01st, November, 2019</t>
  </si>
  <si>
    <t>6433-K</t>
  </si>
  <si>
    <t>Saif-ur-Rehman s/o Muhammad Saeed Ahmed</t>
  </si>
  <si>
    <t>6434-K</t>
  </si>
  <si>
    <t>Abdul Wajid s/o Abdul Waheed</t>
  </si>
  <si>
    <t>Abdul Waheed, r/o Qoyam Mahoota, Village Paka Malana, Tehsil Parwah, District D.I.Khan. (Mobile No. 0341-1269004).</t>
  </si>
  <si>
    <t>Traced Person. According to report of MI,Abdul Wahid is detained in the Internment Center Fizaghat. The complainant is required to avail further remedy in accordance with law and rules if so desired.</t>
  </si>
  <si>
    <t>6435-K</t>
  </si>
  <si>
    <t>Sajjid Waheed s/o Abdul Waheed</t>
  </si>
  <si>
    <t>Traced Person. According to report of MI, Sajid Waheed is confined in the Internment Center Fizaghat. The complainant is required to avail further remedy in accordance with law and rules if so desired.</t>
  </si>
  <si>
    <t>6436-K</t>
  </si>
  <si>
    <t>Kamran s/o Abdul Latif</t>
  </si>
  <si>
    <t>Traced Person. According to report of MI, Kamran is detained in the Internment Center Fizaghat. The complainant is required to avail further remedy in accordance with law and rules if so desired.</t>
  </si>
  <si>
    <t>6437-K</t>
  </si>
  <si>
    <t>Gul Zaman s/o Qadir Bakhsh</t>
  </si>
  <si>
    <t>Qamar Zaman, r/o Qoyam Katt, Village Paka Malana, Tehsil Parwah, District D.I.Khan. (Mobile No. 0344-1881347).</t>
  </si>
  <si>
    <t>Traced Person. According to report of MI, Gul Zaman is detained in the Internment Center Fizaghat. The complainant is required to avail further remedy in accordance with law and rules if so desired.</t>
  </si>
  <si>
    <t>6438-K</t>
  </si>
  <si>
    <t>Muhammad Naeem s/o Karim Bakhsh</t>
  </si>
  <si>
    <t>Muhammad Saleem, r/o Qoyam Darkhan, Village Paka Malana, Tehsil Parwah, District D.I.Khan. (Mobile No. 0348-0958971).</t>
  </si>
  <si>
    <t>Traced Person. According to reports of MI, Muhammad Naeem is detained in the Internment Center Fizaghat. The complainant is required to avail further remedy in accordance with law and rules if so desired.</t>
  </si>
  <si>
    <t>6439-F</t>
  </si>
  <si>
    <t>Mohsin Khan s/o Abdul Hameed</t>
  </si>
  <si>
    <t>Mst. Mamtaz Bibi, r/o Qoyam Afridi, Bar Qamber Khel, Tapa Shaikh, Mill Khel, Kanday Khwajel Khel, Lalay Kas, Tera Meidan, District Khyber. (Mobile No. 0333-9178778 &amp; 0333-9532877).</t>
  </si>
  <si>
    <t>21201-7592321-5</t>
  </si>
  <si>
    <t>6440-F</t>
  </si>
  <si>
    <t>Muhammad Zubair s/o Asghar Khan</t>
  </si>
  <si>
    <t>Mst. Noorcha Bibi, r/o Qoyam Afridi, Bar Qamber Khel, Tapa Shaikh, Mill Khel, Kanday Peral Khel, Mudarisa Stop,Khajuri Barah, District Khyber. (Mobile No. 0301-8999443).</t>
  </si>
  <si>
    <t>21201-430186-3</t>
  </si>
  <si>
    <t>6441-K</t>
  </si>
  <si>
    <t>Fazal Ameen s/o Ghulam Shair</t>
  </si>
  <si>
    <t>Mst. Asghara Bibi, r/o Qoyam Afridi, Bar Qamber Khel, Tapa Dare Plare Kanday, Aziz Khel, Jahaz Ground, Zafar Kalye, Aka Khel, Meera Barah, District Khyber. (Mobile No. 0334-9005682 &amp; 0348-9569992).</t>
  </si>
  <si>
    <t>21201-2260380-9</t>
  </si>
  <si>
    <t>6442-S</t>
  </si>
  <si>
    <t>Jamal Abdul Nasir s/o Muhammad Ali</t>
  </si>
  <si>
    <t>Ayaz Arif Shar, r/o A-1162, Gulshan-e-Hadeed, Phase-II, Bin Qasim Town, Karachi. (Mobile No. 0313-2779867 &amp; 0336-8078138).</t>
  </si>
  <si>
    <t>42501-4620871-9</t>
  </si>
  <si>
    <t>Traced Person. Ayaz Arif b/o Jamal Abdul Nasir appeared before the Commission on 20.2.2021 and his statement was recorded on oath in which he deposed that he submitted application that his brother disappeared on 15.10.2019. He further deposed that Jamal Abdul Nasir has returned home by himself.</t>
  </si>
  <si>
    <t>6443-P</t>
  </si>
  <si>
    <t>Muhammad Saeed Rehman s/o Muhammad Afzal</t>
  </si>
  <si>
    <t>Sham-ul-Elahi, r/o Pul Sadiqabad, Mozu Makhwarah, Tehsil Ahmed Pur Sharqia, District Bahawalpur. (Mobile No. 0321-7985104).</t>
  </si>
  <si>
    <t>FIR No. 416/19, dated 26.11.19 u/s 365 PPC, P.S Noshera Jadid, Bahawalpur.</t>
  </si>
  <si>
    <t>6444-B</t>
  </si>
  <si>
    <t>Ali Raza s/o Chaman Ali</t>
  </si>
  <si>
    <t>Mst. Gull Agah, r/o 137/175/B, Gulistan Town, Quetta Cantt. (Mobile No. 0323-8329655).</t>
  </si>
  <si>
    <t>54400-0376476-5</t>
  </si>
  <si>
    <t>Traced Person. Qurban Ali uncle of Ali Raza appeared before the Commission on 6.1.2020 at Quetta, whose statement has been recorded on oath in which he has stated that there nominated accused namely Abdul Rasheed, Muhammad Qasim and Ghulam are involved in the abduction of Ali Raza and they are facing trial. He has further stated that he has not leveled against any LEAs/ Intelligence Agency. Hence, not a case of enforced disappearance.</t>
  </si>
  <si>
    <t>6445-S</t>
  </si>
  <si>
    <t>Muhammad Kashif s/o Khalid Masood</t>
  </si>
  <si>
    <t>Rehana Ameer-ud-Din, r/o A/3, Azam Nagar, 6/380, Liaqatabad, Karachi. (Mobile No. 0317-4727083).</t>
  </si>
  <si>
    <t>42101-0908072-3</t>
  </si>
  <si>
    <t>6446-P</t>
  </si>
  <si>
    <t>Muhammad Yousaf s/o Abdul Hameed</t>
  </si>
  <si>
    <t>Mst. Khursheed Bibi, r/o Baqa Pur, Hataji, Tehsil Ahmed Pur Sherkia, District Bahawalpur. (Mobile No. 0303-0718013).</t>
  </si>
  <si>
    <t>Traced Person. Mr. Sohaib Ashraf, DPO Bahawalpur appeared before the Commission in 19.12.2019, whose statement has been recorded on oath. He has deposed that Muhammad Yousaf was detained under MPO in the New Central Jail, Bahawalpur since 4.11.2019, and released from the said Jail on 3.12.2019 and returned home.</t>
  </si>
  <si>
    <t>6447-P</t>
  </si>
  <si>
    <t>Haq Nawaz s/o Muhammad Riaz</t>
  </si>
  <si>
    <t>Muhammad Riaz, r/o Bago Shah Pur, tehsil Sarai Alamgir, District Gujrat. (Mobile No. 0345-5696537 &amp; 0343-5898354).</t>
  </si>
  <si>
    <t>34203-9997918-7</t>
  </si>
  <si>
    <t>Deleted. The occurrence of disappearance of Haq Nawaz is stated to have taken place on 2.2.2018 and place of occurrence has been indicated Bondy, Paris, France. The complainant is not maintainable for two reasons. Firstly the place of occurrence does not fall within the territorial limits of Pakistan and secondly there is no allegation against LEAs. Intelligence Agencies. Hence the case is closed</t>
  </si>
  <si>
    <t>6448-P</t>
  </si>
  <si>
    <t>Mahiyud Din s/o Saeed Ahmed</t>
  </si>
  <si>
    <t>Mst. Nazia Yousaf, r/o Hamid Pura, Kala P.O Khas Kamoki, District Gujrnwala. (Mobile No. 0305-6470705).</t>
  </si>
  <si>
    <t>GD81117309712</t>
  </si>
  <si>
    <t>FIR No. 656/19 dated 1-10-2019 u/s 365 PPC, PS Wahdat Colony, District Lahore.</t>
  </si>
  <si>
    <t>Deleted. Keeping in view the conclusion drawn by JIT, affidavit furnished by Ubaid-ur-Rehman brother In-Law of Mohyiadin travel history furnished by IO and progress report given by it, IO is confirmed that Mohayiadin has gone to Afghanistan. There is no reason to continue the case further. Hence for the present the case is closed and in case anything new is brought to the notice of the Commission further action will be taken in accordance with law.</t>
  </si>
  <si>
    <t>6449-K</t>
  </si>
  <si>
    <t>Muhammad Suleman s/o Safdar Ali</t>
  </si>
  <si>
    <t>Mst. Salma Khatoon, r/o Mohalla Banarasabad, Village Nodeya Bala, Peshawar. (Mobile No. 0312-9899741).</t>
  </si>
  <si>
    <t>17301-5314911-3</t>
  </si>
  <si>
    <t>Traced Person. Muhammad Suleman has been traced. He appeared before the Commission on 23.9.2020 at Peshawar. His statement has been recorded on oath in which he stated that he was taken away by some unknown persons on 15.6.2019 and was set free at Rashakai Interchabge on 25.2.2020 form Rashakai he returned home. He however could not gibe further details regarding the persons involved and the place of detention. No further action is required. The case is closed.</t>
  </si>
  <si>
    <t>6450-K</t>
  </si>
  <si>
    <t>Kamran Ullah s/o Safdar Ali</t>
  </si>
  <si>
    <t>17301-3662752-5</t>
  </si>
  <si>
    <t>6451-K</t>
  </si>
  <si>
    <t>Hassan Zaib s/o Bostan Khan</t>
  </si>
  <si>
    <t>Alam Zeb, r/o Serwani, P.O Shab-e-Qadar Fort, Tehsil Shab-e-Qadar, District Charsadda. (Mobile No. 0346-8241242 &amp; 0310-9698924).</t>
  </si>
  <si>
    <t>17101-9755978-9</t>
  </si>
  <si>
    <t>6452-P</t>
  </si>
  <si>
    <t>Muhammad Saleem s/o Allah Dad</t>
  </si>
  <si>
    <t>Abdul Aleem, r/o College Road, Haji Bakhat, Barma, Chaman. (Mobile No. 0312-8247573).</t>
  </si>
  <si>
    <t>54201-6787274-1</t>
  </si>
  <si>
    <t>Traced Person. Muhammad Saleem has been traced. SI/IO Shabbir Hussain Pir Wadhai Rawalpindi appeared before the Commission on 10.2.2020, whose statement has been recorded on oath. He has deposed that the aforesaid person was arrested on 27.12.2019 u/s 55/109 Cr.PC Wah Cantt and sent to Adyala Jail, Rawalpindi on 28.12.2019. He was granted bail by the Court on 31.12.2019.</t>
  </si>
  <si>
    <t>6453-P</t>
  </si>
  <si>
    <t>Nisar Ahmed s/o Raaz Muhammad</t>
  </si>
  <si>
    <t>Syed Muhammad, r/o College Road, Haji Bakhat, Barma, Chaman. (Mobile No. 0314-3065625).</t>
  </si>
  <si>
    <t>54201-8593032-1</t>
  </si>
  <si>
    <t>Traced Person. Nisar Ahmed has been traced. SI/IO Shabbir Hussain Pir Wadhai Rawalpindi appeared before the Commission on 10.2.2020, whose statement has been recorded on oath. He has deposed that the aforesaid person was arrested on 27.12.2019 u/s 55/109 Cr.PC Wah Cantt and sent to Adyala Jail, Rawalpindi on 28.12.2019. He was granted bail by the Court on 31.12.2019.</t>
  </si>
  <si>
    <t>6454-P</t>
  </si>
  <si>
    <t>Saleh Muhammad s/o Din Muhammad</t>
  </si>
  <si>
    <t>Baz Muhammad, r/o College Road, Haji Bakhat, Barma, Chaman. (Mobile No. 0313-8586250).</t>
  </si>
  <si>
    <t>54201-7947683-3</t>
  </si>
  <si>
    <t>Traced Person. Saleh Muhamad has been traced. SI/IO Shabbir Hussain Pir Wadhai Rawalpindi appeared before the Commission on 10.2.2020, whose statement has been recorded on oath. He has deposed that the aforesaid person was arrested on 27.12.2019 u/s 55/109 Cr.PC Wah Cantt and sent to Adyala Jail, Rawalpindi on 28.12.2019. He was granted bail by the Court on 31.12.2019.</t>
  </si>
  <si>
    <t>6455-S</t>
  </si>
  <si>
    <t>Dr. Akmal Waheed s/o Hafiz Waheed Ullah Khan</t>
  </si>
  <si>
    <t>Mst. Fozia Akmal Waheed, r/o House No. D-58, Block 7, Gulshan-e-Iqbal, Karachi. (Mobile No. 0306-2723503).</t>
  </si>
  <si>
    <t>42201-0799544-1</t>
  </si>
  <si>
    <t>Traced Person. Dr. Akmal Waheed has a history of links with proscribed origination and he remained confined in UAE for two years. However, it has been informed at the hearing held in the case on 07.07.2020 at Sub-Office Karachi that Dr. Akmal Waheed has returned to home. He came to home on 07.02.2020 as per his statement dated 13.05.2020.</t>
  </si>
  <si>
    <t>MoFAs / AMina Masood Janjua</t>
  </si>
  <si>
    <t>6456-K</t>
  </si>
  <si>
    <t>Muhammad Iqbal s/o Muhammad Zada</t>
  </si>
  <si>
    <t>Mst. Jahan Bakhat, r/o Alye Garam Shawara, P.O Koza Shawara, Tehsil Matta, District Swat. (Mobile No. 0343-9700740).</t>
  </si>
  <si>
    <t>6457-K</t>
  </si>
  <si>
    <t>Abu Zar s/o Muhammad Arshad</t>
  </si>
  <si>
    <t>Muhammad Arshad, r.o Wazir Bagh Road, Mohalla Behroni Yaka Tot, Peshawar City. (Mobile No. 0300-5953038 &amp; 0303-5844290).</t>
  </si>
  <si>
    <t>17301-5393628-7</t>
  </si>
  <si>
    <t>Traced Person. Abu Zar has been traced, he is presently confined in District Jail, Sargodha. Siraj IO /SI of PS Agha Jani Shah (AMJS) District Peshawar is present whose statement has been recorded on oath. He has deposed that father of the Missing Person came to Police Station AMJS and lodged report vide DD Sr. No. 7 dated 25/12/2019 and disclosed that his son was arrested by CTD Faisalabad in case No, 591 (59) dated 17.12.2019 u/s 7ATA r/w 4/5 ESA PS CTD Faisalabad and is presently confined in District Jail Sargodha. IB has also reported that An Zar is confined in District Jail Sargodha.</t>
  </si>
  <si>
    <t>6458-K</t>
  </si>
  <si>
    <t>Khan Zeb s/o Reet Khan</t>
  </si>
  <si>
    <t>Reet Khan, r/o Peshtakhra Bala, Tehsile &amp; District Pehsawar. (0335-9773495 &amp; 0307-8465066).</t>
  </si>
  <si>
    <t>17301-7134119-7</t>
  </si>
  <si>
    <t>6459-K</t>
  </si>
  <si>
    <t>Tamraiz Khan s/o Shams-ur-Rehman</t>
  </si>
  <si>
    <t>Syed Aziz, r/o Village Pathan-KOT, P.O Bahtar, Tehsil Fateh Jang, District Attoct. (Mobile No. 0343-9496021 &amp; 0348-0953964).</t>
  </si>
  <si>
    <t>13301-3645184-5</t>
  </si>
  <si>
    <t>FIR No. 1245 dated 13.11.2019 u/s 365 ppC, PS Kotnajibullah, District, Haripur</t>
  </si>
  <si>
    <t>Traced Person. It was informed at the hearing held in this Commission on 10.07.2020 through report of JIT that Tamraiz Khan appeared before JIT on 06.07.2020 in his statement recorded u/s 164 CrPC he stated that he went to go Karachi with his friends and returned on 18.03.2020. No further action is required. The case is closed.</t>
  </si>
  <si>
    <t>6460-K</t>
  </si>
  <si>
    <t>Usman Gul s/o Radi Gul</t>
  </si>
  <si>
    <t>Radi Gul, r/o Koye Khel, Sikander Khel, Pump House Road, Gundi, Jamrod, District Khyber. (Mobile No. 0341-9101094 &amp; 0306-9391913).</t>
  </si>
  <si>
    <t>21202-1469361-7</t>
  </si>
  <si>
    <t>Deleted. Despite issuance of notices on 07.04.2021 and 20.08.2021 Radi Gul, complainant did not turn up. In these circumstances the case is closed as not being a case of enforced disappearance.</t>
  </si>
  <si>
    <t>6461-P</t>
  </si>
  <si>
    <t>Muhammad Rafaqat s/o Sabir Hussain</t>
  </si>
  <si>
    <t>Shazad Aslam, r/o House No. 90-AD, Gali No. 8, Mohalla Ahmedabad, Dhamial road, Rawalpindi. (Mobile No. 0331-5091893).</t>
  </si>
  <si>
    <t>37405-0312734-3</t>
  </si>
  <si>
    <t>Fir No. 686, dated 23.8.19, u/s 365 PPC, P.S Saddar Berooni, Rawalpindi.</t>
  </si>
  <si>
    <t>6462--K</t>
  </si>
  <si>
    <t>Fawad Ahmed s/o Wazir Khan</t>
  </si>
  <si>
    <t>Mohsin Khan, r/o Garibabad, ShabQadar, Tehsil ShabQadar, District Charsadda. (Mobile No. 0345-9151806 &amp; 0300-9067526).</t>
  </si>
  <si>
    <t>17103-0374894-1</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</si>
  <si>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Fawad Ahmed s/o Wazir Khan. Hence, not a case of enforced disappearance. The case is closed.</t>
  </si>
  <si>
    <t>6463-B</t>
  </si>
  <si>
    <t>Syed Kaleem Ullah s/o Syed Rahim-ud-Din</t>
  </si>
  <si>
    <t>Syed Murtaza Jan, r/o Kalye Hurramzai, District Pishin. (Mobile No. 0311-4755039).</t>
  </si>
  <si>
    <t>54305-0339269-7</t>
  </si>
  <si>
    <t>Traced Person. Syed Murtaza Jan b/o Syed Kaleem Shah appeared before the Commission on 7.11.2020, whose statement was recorded on oath, in which he deposed that Syed Kaleem Shah returned to home two days back. He further stated that Syed Kaleem Shah went to Afghanistan and the he used to go to that country for labour in the past. That he was not kidnapped by anyone but himself went to Afghanistan. No further action is required. The case is closed.</t>
  </si>
  <si>
    <t>6464-B</t>
  </si>
  <si>
    <t>Naveed Ahmed s/o Qadir Bakhsh</t>
  </si>
  <si>
    <t>Khalil Ahmed, r/o Kalye Geo, Mamtaz Town, P.S Saryab, Near Biscuit Factory, Jameel Store, Quetta. (Mobile No. 0336-3593330).</t>
  </si>
  <si>
    <t>6465-F</t>
  </si>
  <si>
    <t>Taimoor Khan s/o Muhammad Latif Khan</t>
  </si>
  <si>
    <t>Muhammad Latif Khan, r/o Koli Khel, Katya Khel, P.O Jamrood, Shah Kas, Tehsil Jamrood, District Khyber. (Mobile No. 0300-3643681).</t>
  </si>
  <si>
    <t>21202-1504912-3</t>
  </si>
  <si>
    <t>Traced Person. Taimoor Khan has been traced. He is presently confined in the Internment Center Lakki Marwat. Muhammad Latif Khan father of Missing Person also deposed that his son was confined in the Internment Center Lakki Marwat, where his son Shoaib Khan met him twice. Similarly according to report received from Rep of MI, Taimoor Khan is confined in the Internment Center Lakki Marwat.</t>
  </si>
  <si>
    <t>6466-K</t>
  </si>
  <si>
    <t>Gul Rahim s/o Noor Habib</t>
  </si>
  <si>
    <t>Mst. Rawasia, r/o Ghulam Muhammad Malik Kabel, Tegsil Kabel, District Swat. (Mobile No. 0345-4230423).</t>
  </si>
  <si>
    <t>15602-5388055-1</t>
  </si>
  <si>
    <t>6467-K</t>
  </si>
  <si>
    <t>Muhammad Suleman s/o Muhammad Ibrahim</t>
  </si>
  <si>
    <t>Muhammad Yahya, r/o Mohalla Toheedabad, Village Ghundi, Tehsil Jamrood, District Khyber. (Mobile No. 0300-5827770).</t>
  </si>
  <si>
    <t>21202-9682392-9</t>
  </si>
  <si>
    <t>Deleted. The JIT meeting was held on 17.3.2020 the case was categorized as Missing Person has gone on his own. Reports of ISI, MI and CTD are to the extent that Muhammad Suleman was not in their custody. The complainant Muhammad Yahya also appeared before the Commission whose statement was recorded on oath in which he deposed that he had not levelled any allegation against any LEA/ Intelligence Agency. Hence not a case of enforced disappearance.</t>
  </si>
  <si>
    <t>6468-S</t>
  </si>
  <si>
    <t>Inayat-ur-Rehman s/o Sher Alam Khan</t>
  </si>
  <si>
    <t>Mst. Maryam Bibi w/o Inayat-Ur-Rehman, r/o Dakorak, P.O &amp; Tehsil Charbagh, District Swat. (Mobile No. 0347-9897503).</t>
  </si>
  <si>
    <t>Traced Person. It was informed at the hearing held in this Commission on 16.12.2019 that Inayat-ur-Rehman is confined in Internment Center at Paithom, Swat in terms of Action (in aid of Civil Power) Repulation, 2011. Family members have been allowed to meet him subject to prescribed procedure and all legal exceptions.</t>
  </si>
  <si>
    <t>6469-P</t>
  </si>
  <si>
    <t>Farman khan s/o Habib Muhammad</t>
  </si>
  <si>
    <t>Saad Ullah, r/o PAC Kamra Cantt, Barak No.1, Room No.1, AMF, PAC Kamra Cantt, Attock, Punjab.(Mobile No. 0305-9511947). 2nd Address. Koh Gapand, Tehsil Shafi, District Mohmand.</t>
  </si>
  <si>
    <t>21405-0615443-5</t>
  </si>
  <si>
    <t>FIR No. 1335/19, dated 6.7.19, u/s 365 PPC, P.S Sargodha road, Fasilabad.</t>
  </si>
  <si>
    <t>Traced Person. Farman Khan Traced Person appeared before the Commission on 17.9.2020 at Lahore and stated in a categoric manner that he was never abducted by anyone. Be that as it may no further action is required to be taken by the Commission. The case is closed.</t>
  </si>
  <si>
    <t>6470-B</t>
  </si>
  <si>
    <t>Abdul Rehman s/o Haji Syed Muhammad</t>
  </si>
  <si>
    <t>Muhammad Khan, r/o P.O Cham, Mossa Khel, Tehsil &amp; District Mossa Khel. (Mobile No. 0342-8008455).</t>
  </si>
  <si>
    <t>56302-4992017-3</t>
  </si>
  <si>
    <t>6471-B</t>
  </si>
  <si>
    <t>Muhammad Jan s/o Muhammad Khan</t>
  </si>
  <si>
    <t>56401-2891595-7</t>
  </si>
  <si>
    <t>6472-K</t>
  </si>
  <si>
    <t>Muhammad Shafique s/o AttaUullah Khan</t>
  </si>
  <si>
    <t>Attaullah Khan, r/o Mohalla Mansoka, Shabqadar, District Charsadda. (Mobile No. 0343-1194691 &amp; 0346-6299834).</t>
  </si>
  <si>
    <t>17101-3976265-3</t>
  </si>
  <si>
    <t>6473-P</t>
  </si>
  <si>
    <t>Faheem Ali Khan s/o Mehar Muhammad Khan</t>
  </si>
  <si>
    <t>Waseem Ali Khan, r/o Q.No. E13, Medical Colony, DHQ Hospital, Chak 100/M, Lodhran. (Mobile No. 0300-6834667).</t>
  </si>
  <si>
    <t>37405-8157614-5</t>
  </si>
  <si>
    <t>Deleted. Circumstance and facts of the case indicate that there is absolutely nothing on the basis whereof it can ne inferred that the matter does fall within the domain of Enforced Disappearance. According to Regulation 2011 ‘Enforced Disappearance Missing Person means such persons as has been picked up/ taken into custody by one of law enforcement/ Intelligence agencies, working under civilian or military control, in a manner which is contrary to the provision of law. Since the case does not fall within the ambit of the Enforced Disappearance, therefore no further proceeding is required to be taken by the Commission. The case is accordingly closed.</t>
  </si>
  <si>
    <t>6474-K</t>
  </si>
  <si>
    <t>Ramzan s/o Imam Bakhsh</t>
  </si>
  <si>
    <t>Mst. Banu Bibi w/o Imam Bakhsh, r/o Village Paka Malana, Tehsil Parwah, District D.I.Khan. (Mobile No. 0311-9099696 &amp; 0341-8203912).</t>
  </si>
  <si>
    <t>12101-0931367-7</t>
  </si>
  <si>
    <t>Traced Person. According to report received from Rep of MI furnished at the hearing held on 15.1.2020 in this Commission. Ramzan is interned in Internment Center Fizaghat (Swat). Statement of Muhammad Abdullah brother of Ramzan has been recorded on oath. He has deposed that Ramzan is his brother, He is presently confined in the Internment Center Fizaghat (Swat). His mother, wife and two childrens have already met him in the above said Internment Center.</t>
  </si>
  <si>
    <t>30th November, 2019</t>
  </si>
  <si>
    <t>6475-K</t>
  </si>
  <si>
    <t>Abdul Rehman s/o Mahmood Khan</t>
  </si>
  <si>
    <t>Noor Rehman, r/o Marhaba Colony, Tank Road, Dera Ismail Khan. (Mobile No. 0345-0642565).</t>
  </si>
  <si>
    <t>217045-047801-5</t>
  </si>
  <si>
    <t>1st December, 2019</t>
  </si>
  <si>
    <t>6476-K</t>
  </si>
  <si>
    <t>Muhammad Ibrar Ali s/o Abdul Samad</t>
  </si>
  <si>
    <t>Muhammad Noman, r/o Mohalla Majeedabad, Zafarabad, Dera Ismail Khan. (Mobile No. 0315-9643553 &amp; 0345-1925729).</t>
  </si>
  <si>
    <t>12101-8799899-7</t>
  </si>
  <si>
    <t>6477-K</t>
  </si>
  <si>
    <t>Shahid Ullah s/o Jalbat Khan</t>
  </si>
  <si>
    <t>Jalbat Khan, r/o Scheme No. 33, House No. R-71, Mohalla Seryab Ghoth, Malir, District Karachi. (Mobile No. 0344-2464811 &amp; 0344-9393817).</t>
  </si>
  <si>
    <t>21704-4102724-3</t>
  </si>
  <si>
    <t>6478-K</t>
  </si>
  <si>
    <t>Asad Ullah s/o Abdul Samad</t>
  </si>
  <si>
    <t>Abdul Samad, r/o Mohallah Marab Khel, Suri Zai Payan, Tehsil &amp; District Peshawar. (Mobile No. 0311-6627275).</t>
  </si>
  <si>
    <t>17301-1655710-5</t>
  </si>
  <si>
    <t>6479-K</t>
  </si>
  <si>
    <t>Shair Abbas s/o Ameer Khan</t>
  </si>
  <si>
    <t>Waqeel Khan, r/o Tapa Bay Zot, P.O Bethani, Feroz Khel, Tehsil &amp; District Orakzai agency. (Mobile No. 0304-9219270 &amp; 0333-0910003).</t>
  </si>
  <si>
    <t>21603-4091050-7</t>
  </si>
  <si>
    <t>Traced Person. It was informed at the hearing held in this case of Peshawar on 15.9.2020 that Shair Abbas did not disappear rather his brother namely Himat Khan disappeared, who also returned home also appeared before the Commission.</t>
  </si>
  <si>
    <t>6480-K</t>
  </si>
  <si>
    <t>Muhammad Suleman s/o Muhammad Yousaf</t>
  </si>
  <si>
    <t>Muhammad Yousaf, t/o District Lakki Marwat, Village Taye Farar, P.S Darah Pezu, Qoyam Medad Khel. (Mobile No. 0342-9340289).</t>
  </si>
  <si>
    <t>11201-2140552-3</t>
  </si>
  <si>
    <t>Traced Person. Muhammad Yousaf father of Muhammad Suleman has appeared before the Commission on 28.2.2020, whose statement has been recorded on oath. He has deposed that he had lodged report of disappearance regarding his sn Muhammad Suleman, whos has returned home on 4.2.2020. He also submitted that his son was student of category-V at madressah and gobe thrice to Afghanistan. He was arrested with arms at the border by the FC. He further submitted that in this regard he has also got recorded his statement before the local Police.</t>
  </si>
  <si>
    <t>6481-P</t>
  </si>
  <si>
    <t>Danyal Waheed s/o Abdul Waheed</t>
  </si>
  <si>
    <t>Mst. Iqra Ahmed, r/o Gali No.18, House No.1, Main Bazar, Muslimabad, Mughalpura, Lahora. (Mobile No. 0300-9434597 &amp; 0324-6557329).</t>
  </si>
  <si>
    <t>35201-5935353-7</t>
  </si>
  <si>
    <t>FIR No. 1522/19 dated 12.12.2019 u/s 365 PPC, PS Ghaziabad ,District Lahore.</t>
  </si>
  <si>
    <t>Traced Person. The Cognizance of the issue was taken by the Commission and directions were issued by means of letter dated 4.11.2019 to trace the whereabouts of Danyal Waleed. He has entered appearance before the Commission on 16.9.2020 at Lahore, however he was somewhat reluctant to highlight the factual aspects of the episode for certain obvious reasons. Be that as it may no further action is required to be taken by the Commission.</t>
  </si>
  <si>
    <t>6482-P</t>
  </si>
  <si>
    <t>Azeem Tariq Baig s/o Tariq Majeed Baig</t>
  </si>
  <si>
    <t>35201-1583276-1</t>
  </si>
  <si>
    <t>Traced Person. Azeem Tariq Baig has entered appearance before the Commission on 21.1.2020 and highlighted factual aspects of the episode, but with somewhat hesitation for obvious reasons. In view of the presence of Azeem Tariq Baig no further action is required to be taken by the Commission. Accordingly name of Azeem Tariq Baig be deleted from the list of Enforced Disappearance persons.</t>
  </si>
  <si>
    <t>6483-S</t>
  </si>
  <si>
    <t>Muhammad Usman Saleem s/o Muhammad Saleem</t>
  </si>
  <si>
    <t>Muhammad Saleem, r/o House No. 16/5, Drigh Road, Cantt Bazar, Karachi. (Mobile No. 0334-3853820 &amp; 021-34589257).</t>
  </si>
  <si>
    <t>42201-4291644-7</t>
  </si>
  <si>
    <t>Traced Person. It was informed at the hearing held in this Commission on 27.1.2020 that Muhammad Usman Saleem has returned home. Father of the Traced Person submitted statement and confirmed the aforesaid position.</t>
  </si>
  <si>
    <t>6484-K</t>
  </si>
  <si>
    <t>Yar Zaman Khan s/o Ghazi Khan</t>
  </si>
  <si>
    <t>Farman, r/o Shamozu, Watman Khel, District Bajurh. (Mobile No. 0300-3164044).</t>
  </si>
  <si>
    <t>21106-3029545-7</t>
  </si>
  <si>
    <t>FIR No. 07 dated 8.1.2020 U/S 365 PPC, P.S Chakdara, District Bajhur</t>
  </si>
  <si>
    <t>Traced Person. Yar Zaman Khan has been Traced. He appeared before the Commission on 26.6.2020. His statement was recoeded on oath. He has stated that he was not abducted by anybody rather he went to Karachi on his own, and returned home before the holy month of Ramazan. The name of Yar Zaman Khan is deleted from the list of disappeared persons.</t>
  </si>
  <si>
    <t>6485-K</t>
  </si>
  <si>
    <t>Fazal Rabbi s/o Aleem Khan</t>
  </si>
  <si>
    <t>Fazal Khan, r/o Suleman Khan Trading Company, Wholesale Dealer, Shope No. 290, Landa Bazar, Lahore. (Mobile No. 0307-8488517 &amp; 0300-4540308).</t>
  </si>
  <si>
    <t>21403-3035513-9</t>
  </si>
  <si>
    <t>Traced Person. Fazal Rabbi has been traced. He has returned home. Fazal Khan Complainant is present whose statement has been recorded on oath. He has deposed that Fazal Rabbi has returned home on 13.12.2019 and presently he is at Lahore. He further stated that Fazal Rabbi was set free near Karachi Airport safely.</t>
  </si>
  <si>
    <t>6486-B</t>
  </si>
  <si>
    <t>Syed Noor Ali s/o Muhammad Sabbir</t>
  </si>
  <si>
    <t>Muhammad Jameel, r/o Mohalla Syedan, Killy Masterzai, P.O Yaru, Tehsil Karizzat, District Pishin. (Mobile No. 0311-1701971 &amp; 0301-3701971).</t>
  </si>
  <si>
    <t>54303-1889922-7</t>
  </si>
  <si>
    <t>Traced Person. Syed Noor Ali entered appearance before the Commission on 1.9.2020, whose statement was recorded on oath. He deposed that on 16th November, 2018 when he was going from home to his shop, he was picked up, boarded in a vehicle and taken away by some unknown persons, who kept him in a room at unknown place from where he was set free after 14 months on 20.1.2020. Since Syed Noor Ali has been traced and he is no more a Missing Person, therefore, no further proceedings are required to be taken by the Commission. The case is closed.</t>
  </si>
  <si>
    <t>6487-K</t>
  </si>
  <si>
    <t>Naseem Ullah s/o Latif Ullah</t>
  </si>
  <si>
    <t>Mst. Nusrat, r/o Kuchkot, Asad Khan, Sorani, Bannu. (Mobile No. 0330-9327981).</t>
  </si>
  <si>
    <t>Traced Person. Naseem Ullah has been Traced. As informed at the hearing on 22.6.2020 and the report dated 26.6.2020 furnished by Rep of MI, Naseem Ullah is confined in the Internment Centre, Lakki Marwat. Raham Nawaz, close relative of the traced person was present, who was apprised of the status of the case. As Naseem Ullah has been traced, he is no more amissing person. His Case is accordingly disposed of.</t>
  </si>
  <si>
    <t>6488-I</t>
  </si>
  <si>
    <t>Muhammad Naeem s/o Haji Meera Jan</t>
  </si>
  <si>
    <t>Asmat Ullah, r/o Foji Colony, Pir Wadhai, Galli No. 11, Rawalpindi. (Mobile No. 0317-5678910 &amp; 0331-5100245).</t>
  </si>
  <si>
    <t>37405-49737112-5</t>
  </si>
  <si>
    <t>FIR No.426/19 dated 20.11.19 u/s 365 PPC P.S sabzi mandi, isb.</t>
  </si>
  <si>
    <t>Traced Person. SP (Inv), Islamabad appeared before the Commission on 3.3.2020. He has submitted that Muhamad Naeem has been traced, who has returned home on 31.12.2019. He also furnished copied of the affidavits furnished by Akbar Khan complainant and Muhammad Naeem traced person.</t>
  </si>
  <si>
    <t>6489-K</t>
  </si>
  <si>
    <t>Mursaleen Khan s/o Ubaid Ullah</t>
  </si>
  <si>
    <t>Ubaid Ullah, r/o Qandari, P.O Sandu Khel, Qamar Din Khel, Tehsil Safi, District Mohmand Agency. (Mobile No. 0308-5969549 &amp; 0307-5771870).</t>
  </si>
  <si>
    <t>21405-1365081-5</t>
  </si>
  <si>
    <t>FIR No.293 dated 10-4-2017 u/s 365 PPC P.S City, Charsadda.</t>
  </si>
  <si>
    <t>6490-K</t>
  </si>
  <si>
    <t>Gul Daud Shah s/o Rahem Liyaz Shah</t>
  </si>
  <si>
    <t>Mst. Khan Shahda Bibi w/o Rahem Liyaz Shah, r/o Village Misrey Mandu, P.O Mandu, P.S Meran, Tehsil &amp; District Bannu. (Mobile No. 0301-2812401 &amp; 0333-9729743).</t>
  </si>
  <si>
    <t>11101-2264406-9</t>
  </si>
  <si>
    <t>6491-K</t>
  </si>
  <si>
    <t>Hafeez Ullah s/o Muhammad Shair Khan</t>
  </si>
  <si>
    <t>Muhammad Shair Khan, r/o Sori Pao, Lamoti, P.O Zamedara. Tehsil Lal Qilla, District Lower Dir. (Mobile No. 0343-9775351 &amp; 0341-5847530).</t>
  </si>
  <si>
    <t>FIR No. 194, dated 12.9.2009. u/s 5Exp/14OAPO/7-ATA, P.S Lal Qilla.</t>
  </si>
  <si>
    <t>6492-I</t>
  </si>
  <si>
    <t>Ashraf Shahzad s/o Chaudhry Sain Muhammad</t>
  </si>
  <si>
    <t>Maria Hidayat w/o M.P, r/o Gali No.14, Line No.10, Mehrban Town, Royal Avenue, Jhata Bakhtawar, Islamabad. (Mobile No. 0334-5188848).</t>
  </si>
  <si>
    <t>61101-6316828-7</t>
  </si>
  <si>
    <t>fir no. 347/19 dated 31.12.19 u/c 365PPC, P.S shashad town, ICT.</t>
  </si>
  <si>
    <t>Traced Person. It has been reported that Ashraf Shahzad s/o Chaudhry Sain Muhammad is confined in Central Jail, Faisalabad in FIR No. ESA 4/5 1908, 7ATA, 1997 CTD, Fasilabad. Family of Ashraf Shahzad also confirmed. The case is closed.</t>
  </si>
  <si>
    <t>6493-K</t>
  </si>
  <si>
    <t>Abdul Rasheed s/o Haji Akbar</t>
  </si>
  <si>
    <t>Mst. Bibi Kameshay w/o Haji Akbar, r/o Peyza Banjhar, Jembehrah, Tehsil Allaye, District Battgram, KPK. (Mobile No. 0346-9637720 &amp; 0345-9557125).</t>
  </si>
  <si>
    <t>13503-4498284-3</t>
  </si>
  <si>
    <t>Fir No. 2/2020 dated 6.1.2020 u/s 365 PPC p.s pazang, district batgram KPK</t>
  </si>
  <si>
    <t>Deleted. During the course of inquiry, no clue could be found that any LEA/ Intelligence Agency was involved in disappearance of Abdul Rasheed. The case has been categorized as of missing person has gone on his own by JIT as well as PTF. The complainant Mst. Kameshay Bibi or her authorized representative was summoned twice for recording statement but none entered appearance despite issuance of notices. All stakeholders have denied arrest/custody of Abdul Rasheed. Hence, not a case of enforced disappearance. The case is closed.</t>
  </si>
  <si>
    <t>Battgram</t>
  </si>
  <si>
    <t>6494-P</t>
  </si>
  <si>
    <t>Muhammad Iftikhar s/o Muhammad Illyas</t>
  </si>
  <si>
    <t>Muhammad Waqas, r/o House No. 1249, P Block, Sabza Zar Scheme, Lahore. (Mobile No. 0320-4562020 &amp; 0300-9451843).</t>
  </si>
  <si>
    <t>35202-2650931-9</t>
  </si>
  <si>
    <t>Traced Person. Elder brother of Muhammad Iftikhar namely appeared before the Commission at Lahore on 16.9.2020. He further stated that Muhammad Iftikhar is at home who could not make appearance before the Commission on account of ailment. Be that as it mat in view of his categoric statement no further action is required to be taken by the Commission.</t>
  </si>
  <si>
    <t>6495-F</t>
  </si>
  <si>
    <t>Hussain Muhammad s/o Muhammad Yaseen</t>
  </si>
  <si>
    <t>Muhammad Yaseen, r/o Seraye, P.O Yaka Gund, Tehsil Ambar, District Mohmand. (Mobile No. 0300-3959334 &amp; 0306-5283477).</t>
  </si>
  <si>
    <t>21407-3511648-7</t>
  </si>
  <si>
    <t>6496-P</t>
  </si>
  <si>
    <t>Muhammad Ali Ahmed s/o Ahmed Aslam Khan</t>
  </si>
  <si>
    <t>Mst. Shireen Ali, r/o House No. 941K, Street No. 32, Phase 1, Margalla Town, Islamabad. (Mobile No. 0335-5850271).</t>
  </si>
  <si>
    <t>13101-7960010-5</t>
  </si>
  <si>
    <t>Traced Person. A careful scrutiny of record presented at the hearing held on 12.08.2021 reveal that Muhammad Ali Ahmed was trailed u/s 59 r/w Section 3 of Official Secret Act 1923 which culminated into his conviction as informed by the Commanding Officer concerned in black and white. In such view of the matter no further action is required to be taken by the Commission.</t>
  </si>
  <si>
    <t>6497-K</t>
  </si>
  <si>
    <t>Jadran s/o Khayal Badshah</t>
  </si>
  <si>
    <t>Mst. Memoona m/o Jadran, Qoyam Afridi, Barqamber khel, Tapa Shaikh Mill Khel, Kanday Darmai Khel, r/o Aziz Market, Aka Khel, Barah, District Khyber. (Mobile No. 0307-3587279 &amp; 0313-9116040).</t>
  </si>
  <si>
    <t>21201-7642327-3</t>
  </si>
  <si>
    <t>6498-P</t>
  </si>
  <si>
    <t>Nasarullah s/o Sadeeq Ullah</t>
  </si>
  <si>
    <t>Naqi Ullah, r/o Mouza Gaon, Mesan Kot, Abdul Malik, District Sheikhupura. (Mobile No. 0345-4419030).</t>
  </si>
  <si>
    <t>13504-9615454-9</t>
  </si>
  <si>
    <t>Traced Person. Naqi Ullah b/o Nasrullah (missing person) is present and submitted that as a result of registration of criminal case against Nasrullah by means of FIR No. 60/19 dated 20.12.2019 PS /CTD Faisalabad, he is presently confined in the district Jail Sargodha. A written report in this regard has also been received from DPO, Sheikhupura.</t>
  </si>
  <si>
    <t>6499-K</t>
  </si>
  <si>
    <t>Idrees Khattak s/o Muhammad Ilyas Khattak</t>
  </si>
  <si>
    <t>Dr. Awais Khattak (Mobile No. 0345-9511241).</t>
  </si>
  <si>
    <t>FIR No. 611/19 dated 6.12.2019 u/s 365 PPC, PS lahor. Sawabi</t>
  </si>
  <si>
    <t>Traced Person, It has been submitted at the hearing on 17.6.2020 that Muhammad Idrees Khattak s/o Ilyas Khattak is in military custody under Pakistan Army Act Sec, 2(1) (d), official Secret Act 1923. Legal proceedings are under process. According to the case stands disposed of.</t>
  </si>
  <si>
    <t>MOI</t>
  </si>
  <si>
    <t>6500-P</t>
  </si>
  <si>
    <t>Hammad Hussain Adil s/o Naseem Adil</t>
  </si>
  <si>
    <t>Naseem Adil, House No. 210, Sector B, Safain Homes, Bahria Town, Phase 8, Rawalpindi. (Mobile No. 0300-4017317 &amp; 0300-4345030).</t>
  </si>
  <si>
    <t>61101-5794005-9</t>
  </si>
  <si>
    <t>FIR No. 2422/19 dated 2019 u/s 365 PPC, PS South Cantt District Lahore.</t>
  </si>
  <si>
    <t>6501-A</t>
  </si>
  <si>
    <t>Muhammad Ishtaiq s/o Barkat Ali</t>
  </si>
  <si>
    <t>Raja Zafar Mehmood, r/oP.O Bindala, Pindori, Tehsil Samahni, District Bhimber, AJK (Mobile No. 0346-2485356).</t>
  </si>
  <si>
    <t>81103-0594431-9</t>
  </si>
  <si>
    <t>FIR No. 19/2020 u/s 365 PPC, PS Bhamber, District AJ&amp;K</t>
  </si>
  <si>
    <t>Traced Person. Mr. Zafar Mehmood b/o traced person and Rep of MI were in attendance on 15.6.2020, and submitted that the case in respect of Muhammad Ishtiaq s/o Barkat Ali is under trial in Field General Martial (FGCM). In this connection, MI has also submitted written report. Since Muhammad Ishtiaq has been traced, therefore no further action is required.</t>
  </si>
  <si>
    <t>6502-K</t>
  </si>
  <si>
    <t>Zahid Afridi s/o Azmat Khan</t>
  </si>
  <si>
    <t>Kashif Mehmood, r/o Kohat Road, Yaseen Chowk, District Peshawar. (Mobile No. 0335-2828762).</t>
  </si>
  <si>
    <t>6503-K</t>
  </si>
  <si>
    <t>Abid Ullah s/o Abdul Khaliq</t>
  </si>
  <si>
    <t>Muhammad Tahir, r/o Bahari Pura, P.O Warisabad, Mohallla Gani Colony, Peshawar. (Mobile No. 0342-8129005 &amp; 0301-3022288 &amp; 0313-9795061).</t>
  </si>
  <si>
    <t>17103-0397623-5</t>
  </si>
  <si>
    <t>6504-K</t>
  </si>
  <si>
    <t>Ghous-ud-Din s/o Lal Din</t>
  </si>
  <si>
    <t>Qari Siraj-ur-Din, r/o Nimak Mandi Chowk, Gulail Market, Near Amarat Hotel, Shop No.14, Peshawar. (Mobile No.0332-9217752).</t>
  </si>
  <si>
    <t>17301-1343254-9</t>
  </si>
  <si>
    <t>Deleted. The case was thoroughly discussed at the hearing held in this case on 6.10.2020 . Circumstances and facts of the case indicate that there is absolutely nothing which can bring the matter within the domain of enforced disappearance. All stakeholders have submitted reports that Ghous-ud-Din was neither abducted nor in custody. Since the case does not fall within the ambit of enforced disappearance, therefore further proceeding by the Commission would be a futile exercise. The case is accordingly closed.</t>
  </si>
  <si>
    <t>6505-S</t>
  </si>
  <si>
    <t>Billal Khan s/o Muhammad Gul</t>
  </si>
  <si>
    <t>Mst. Anzara Gul, r/o House No. A-129, Gulzar Hijri, Secter. 1-A/7, Al Asif Square sohrab goth, Karachi. (Mobile No. 0304-1602660).</t>
  </si>
  <si>
    <t>42000-0433194-9</t>
  </si>
  <si>
    <t>Deleted. After thorough investigation it has been found that the address given in the complainant is fake as some other person is residing in House No. 129, Gulshan-e-Hydari, Karachi. No further proceedings are called for. The case is closed.</t>
  </si>
  <si>
    <t>6506-I</t>
  </si>
  <si>
    <t>Muhammad Shoaib Ahmed s/o Muhammad Idrees Khan</t>
  </si>
  <si>
    <t>Kaleem Ullah, r/o Maloot, P.O Khaas, Tehsil Dheir Kot, District Bagh. (Mobile No. 0303-0233538).</t>
  </si>
  <si>
    <t>82102-4693560-3</t>
  </si>
  <si>
    <t>FIR No. 418/19 dated 08/09/2019 u/s 365 PPC, PS Koral District Islamabad.</t>
  </si>
  <si>
    <t>Traced Person. IO/SI of ICT Police submitted report/statement confirming that Muhammad Shoaib Ahmed has returned home. The Traced Person stated that he went for Tableegh at his own without informing family. Accordingly, the case is closed.</t>
  </si>
  <si>
    <t>31st December, 2019</t>
  </si>
  <si>
    <t>6507-P</t>
  </si>
  <si>
    <t>Abdul Naqeeb s/o Abdul Naeem</t>
  </si>
  <si>
    <t>Abdul Karim, r/o Village Pachgi, Mohalla Sofaid Masjid, Tehsil &amp; District Peshawar. (Mobile No. 0346-2333966).</t>
  </si>
  <si>
    <t>17301-0941165-7</t>
  </si>
  <si>
    <t>FIR No. 52/20 dated 14/01/2020 u/s 365 PPC, PS Satellite Town District Rawalpindi.</t>
  </si>
  <si>
    <t>1st January, 2020</t>
  </si>
  <si>
    <t>6508-P</t>
  </si>
  <si>
    <t>Waseem Ahmed s/o Muhammad Riaz</t>
  </si>
  <si>
    <t>Muhammad Riaz, r/o Tehsil &amp; District Attock, Bamkam &amp; P.O Chhoi, Mozah Chhoi Guria. (Mobile No. 0306-5370744).</t>
  </si>
  <si>
    <t>37101-4598327-3</t>
  </si>
  <si>
    <t>FIR No. 07 dated 8.1.2020 u/s 365 PPC, PS Saddar, District Attock</t>
  </si>
  <si>
    <t>Traced Person. Waseem Ahmed s/o Muhammad Riaz is stated to be detained in District Jail Dera Ghazi Khan in case FIR No, 8 dated 20.7.2020 u/s 13/2/a/20/65, ATA/1997, 4/5 ESA PS CTD, District Dera Ghazi Khan, therefore, further proceedings are not required to be taken by the Commission at this stage. Father of the Traced Person has met him in District Jail Dera Ghazi Khan Accordingly, the case is closed.</t>
  </si>
  <si>
    <t>6509-F</t>
  </si>
  <si>
    <t>Hazrat Bilal s/o Abdal Muhammad</t>
  </si>
  <si>
    <t>Faridun Khan, r/o Koda Khel, P.O Guni, Khair Bandi, Kalye, Tehsil Upper Mohmand, District Mohmand Agancy. (Mobile No. 0348-9410295).</t>
  </si>
  <si>
    <t>21406-2050281-5</t>
  </si>
  <si>
    <t>6510-K</t>
  </si>
  <si>
    <t>Zar Wali Shah s/o Noor Khawas Shah</t>
  </si>
  <si>
    <t>Mst. Bakht Saeeda, r/o Mohalla Malkabad, Gadun Topi, District Swabi. (Mobile No. 0310-6646874 &amp; 0341-9588830).</t>
  </si>
  <si>
    <t>16202-7488883-9</t>
  </si>
  <si>
    <t>6511-S</t>
  </si>
  <si>
    <t>Majid Ullah s/o Zahid Ullah</t>
  </si>
  <si>
    <t>Zahid Ullah, r/o Qasba Islamia Colony No.2, House No. H/139, Near Bilal Masjid Site, District Garbi Karachi. (Mobile No. 0331-2266640 &amp; 03462404731)</t>
  </si>
  <si>
    <t>42401-6939358-9</t>
  </si>
  <si>
    <t>Traced Person. It was informed at the hearing held in this Commission on 10.8.2020 that Majid Ullah is involved in Criminal Case Vide FIR no. 08/2020 dated 10.7.2020 u/s 11-U, 11I, 11N, ATA CTD, Faisalabad. He was arrested and presently confined in PS, CTD, Faisalabad. No further action is required. The case is closed.</t>
  </si>
  <si>
    <t>6512-B</t>
  </si>
  <si>
    <t>Sami Ullah s/o Rehmat Ullah</t>
  </si>
  <si>
    <t>Rehmat Ullah, r/o Kalye Simlaye, Kachalak, Quetta. (Mobile No. 0308-3813993).</t>
  </si>
  <si>
    <t>54400-5248477-9</t>
  </si>
  <si>
    <t>Fir No. 91-2019, dated 02.10.2017, u/s 365 PPC, P.S Kachalak, Quetta.</t>
  </si>
  <si>
    <t>Traced Person. It has been informed at the hearing held in this case at Quetta that Sami Ullah s/o Rehmat Ullah has returned home. No further action is required. The case is closed.</t>
  </si>
  <si>
    <t>6513-B</t>
  </si>
  <si>
    <t>Feroz Ali s/o Abdul Hakeem</t>
  </si>
  <si>
    <t>Abdul Hakeem, r/o Khuda Badan, Pajgur, Tehsil &amp; District Pajgur, Balochistan. (Mobile No. 0333-7437379 &amp; 0313-8441052).</t>
  </si>
  <si>
    <t>52303-9000359-5</t>
  </si>
  <si>
    <t>Traced Person. Feroz Ali s/o Abdul Hakeem appeared before the Commission at Quetta on 27.08.2021 whose statement was recorded on oath in which he deposed that he was abducted on 29.05.2019 from Kalat area by unknown muffled faced persons in civvies when he was going to Panjgur alongwith Jameel. He further deposed that Jameel was release on 14.01.2020 and was set free on 11.02.2021. No further action is required. The case is closed.</t>
  </si>
  <si>
    <t>6514-B</t>
  </si>
  <si>
    <t>Jameel Ahmed s/o Adam</t>
  </si>
  <si>
    <t>Adam, r/o Khuda Badan, Pajgur, Tehsil &amp; District Pajgur, Balochistan. (Mobile No. 0337-7226678 &amp; 0312-0089347).</t>
  </si>
  <si>
    <t>52301-3847812-5</t>
  </si>
  <si>
    <t>Traced Person. Mr Adam f/o Jameel Ahmed entered appearance before the Commission on 7.9.2020, whose statement has been recorded on oath in which he deposed that his son Jameel Ahmed who was abducted from Kalat was set free after nine months from where he recached home. He further requested that since his son returned home, therefore the case may be consigned to record. Since Jameel Ahmed has been traced and he is no more a Missing Person, therefore no further proceedings are required to be taken by the Commission at this stage. The case accordingly stands dispose of.</t>
  </si>
  <si>
    <t>6515-B</t>
  </si>
  <si>
    <t>Muhammad Gul s/o Faheem Khan</t>
  </si>
  <si>
    <t>Yar Muhammad, r/o Jatak Stop, Sadat Kalye Karani, Quetta. (Mobile No. 0332-3099894).</t>
  </si>
  <si>
    <t>53403-1449039-5</t>
  </si>
  <si>
    <t>Traced Person. SSP (Inv), Quetta appeared before the Commission on 1.9.2020 and submitted that Muhammad Gul has been traced. He further submitted that JIT meeting was held on 13.8.2020 at which the traced person appeared himself. Mr. Muhammad Gul also entered appearance before the Commission, whose statement was recorded on oath. Since Muhammad Gul has been traced and no more a Missing Person, therefore no further proceedings are required to be taken by the Commission at this stage. The case is closed.</t>
  </si>
  <si>
    <t>6516-K</t>
  </si>
  <si>
    <t>Muhammad Sohail s/o Muhammad Rasool</t>
  </si>
  <si>
    <t>Mst. DilShad Bibi, r/o Torki Ismail Khel, Qemat Khel, P.O Bili Tang, Kohat. (Mobile No. 0336-5459696).</t>
  </si>
  <si>
    <t>22401-4177060-3</t>
  </si>
  <si>
    <t>6517-K</t>
  </si>
  <si>
    <t>Khan Said Khan s/o Hasil Khan</t>
  </si>
  <si>
    <t>Marwat Khan, r/o Inqlab Road, Pendu Garibabad. (Mobile No. 0301-5820130 &amp; 0333-1211899).</t>
  </si>
  <si>
    <t>21201-4504479-7</t>
  </si>
  <si>
    <t>6518-B</t>
  </si>
  <si>
    <t>Zohaib Khan s/o Misal Khan</t>
  </si>
  <si>
    <t>Tufail Ahmed, r/o Village P.O Malazai, Tehsil &amp; District Tank, KPK. (Mobile No. 0301-5152662).</t>
  </si>
  <si>
    <t>12201-7006368-3</t>
  </si>
  <si>
    <t>Deleted. The Commission has examined the JIT reports which concluded that the Missing Person has gone on his own. FIR in which no allegation against any LEAs any statement of the complainant Misal Khan f/o Zohaib Khan. The obvious conclusion is that it is not a case of enforced disappearance. Hence the case is closed.</t>
  </si>
  <si>
    <t>6519-P</t>
  </si>
  <si>
    <t>Abdullah s/o Peer Bakhsh</t>
  </si>
  <si>
    <t>Peer Bakhsh, r/o Mozah Chaudhry, Cha Dongaye Wala, Tehsil Kot Adu, District Muzaffargarh. (Mobile No. 0333-9805280 &amp; 0342-6993675).</t>
  </si>
  <si>
    <t>Muzafargarh</t>
  </si>
  <si>
    <t>6520-K</t>
  </si>
  <si>
    <t>Anzar Gul s/o Ghulab Khan</t>
  </si>
  <si>
    <t>Bahadur Khan r/o Gandehri Payaban, P.O Risalpur, Tehsil &amp; District Nowshera. (Mobile No. 0310-6015274 &amp; 0344-4538458).</t>
  </si>
  <si>
    <t>17201-8798025-1</t>
  </si>
  <si>
    <t>Deleted. In this case JIT and PTF concluded that the Missing Person has gone on his own. All stakeholders denied apprehension / custody of Anzer Gul. Bahadur Khan (Brother) was also recorded his statement on oath in which he stated that he had not levelled any allegation against LEAs. Hence not a case of enforced disappearance.</t>
  </si>
  <si>
    <t>6521-K</t>
  </si>
  <si>
    <t>Muhammad Sadiq s/o Hafiz Muhammad Ramzan</t>
  </si>
  <si>
    <t>Muhammad Usman, r/o Qoyan Chandi, Village Girah, Hayat, Tehsil &amp; District Tank. (Mobile No. 0340-9896722).</t>
  </si>
  <si>
    <t>Traced Person. At the hearing held in this Commission on 22.6.2020, it has been informed by rep of MI that Muhammad Siddique is confined in the Internment Centre, Lakki Marwat under Action (in aid of Civil Power) Regulation, 2011. Muhammad Usman (Brother) informed accordingly, the family will be facilitated to meet the internee.</t>
  </si>
  <si>
    <t>6522-K</t>
  </si>
  <si>
    <t>Shafi Ullah s/o Saad Ullah</t>
  </si>
  <si>
    <t>Saad Ullah, r/o Qoyam Alizai, Rori, Tehsil Kalachi, District Dera Ismail Khan. (Mobile No. 0305-9461255).</t>
  </si>
  <si>
    <t>12102-7299111-9</t>
  </si>
  <si>
    <t>FIR No 125 dated 22.3.2020 u/s 365 PPC PS City Tank</t>
  </si>
  <si>
    <t>6523-S</t>
  </si>
  <si>
    <t>Rafique Ahmed s/o Ranjhon Khan</t>
  </si>
  <si>
    <t>Anayat Ullah, r/o Markazi Imam Bargah Syed Ghulam Shah Daya, Mohalla &amp; P.O KandhKot, Tehsile KandhKot, District Kashmoor. (Mobile No. 0311-2247955 &amp; 0333-7301147).</t>
  </si>
  <si>
    <t>43503-0485749-5</t>
  </si>
  <si>
    <t>Traced Person. It was informed at the hearing held in this Commission on 23.1.2020 that Rafique Ahmed has returned to home. The statement of the traced person has been recorded u/s 164 CrPC. In the statement he has conferred that Rafique Ahmed was not abducted by anyone and he went on his own.</t>
  </si>
  <si>
    <t>6524-S</t>
  </si>
  <si>
    <t>Saddam Hussain s/o Qadir Bakhsh Khan</t>
  </si>
  <si>
    <t>Ghulam Akbar, r/o Markazi Imam Bargah Syed Ghulam Shah Daya, Mohalla &amp; P.O KandhKot, Tehsile KandhKot, District Kashmoor. (Mobile No. 0311-3593425).</t>
  </si>
  <si>
    <t>43503-0464511-3</t>
  </si>
  <si>
    <t>Traced Person. It was informed at the hearing held in this Commission on 23.1.2020 that Saddam Hussain has returned home. He wants missing on 19.12.2019 and returned to home on 1.1.2020. Ghulam Akbar (Brother) submitted in his statement that his brother was not abducted by anyone rather went on his own.</t>
  </si>
  <si>
    <t>6525-I</t>
  </si>
  <si>
    <t>Molana Khizar Ahmed s/o Azmat Ali</t>
  </si>
  <si>
    <t>Muhammad Ilyas, r/o Atal Chowk, Kyani Road, Mohalla Syeda, Near Imam Bargah, Barakahu, Islamabad. (Mobile No. 0306-9567653).</t>
  </si>
  <si>
    <t>21603-5926153-1</t>
  </si>
  <si>
    <t>FIR No. 04/2020 dated 01/01/2020 u/s 365 PPC PS Barakahu District Islamabad.</t>
  </si>
  <si>
    <t>Traced Person. Rep of MI appeared before the Commission for hearing on 19.04.2021 and submitted that "Suspect Molana Kizar Ahmed s/o Azmat Ali was in military custody and his field General Court Martial (FGCM) under Pakistan Army Act on espionage chages was under process. Muhammad Ilyas s/o Molana Kizar Ahmed was present and apprised of the status of the case.</t>
  </si>
  <si>
    <t>6526-K</t>
  </si>
  <si>
    <t>Ijaz-ul-Haq s/o Mishri Khan</t>
  </si>
  <si>
    <t>Khan Aslam, r/o Mohalla Toker Khel, Mattni, Tehsil &amp; District Peshawar. (Mobile No. 0315-9550151 &amp; 0315-0013903).</t>
  </si>
  <si>
    <t>17301-2731816-7</t>
  </si>
  <si>
    <t>6527-B</t>
  </si>
  <si>
    <t>Saif-ud-Din Kakar s/o Abdul Sattar Kakar</t>
  </si>
  <si>
    <t>Abdul Sattar, r/o House No. H-73, First Stop, Wadhat Collony, Barwari Road, Quetta. (Mobile No. 0313-8389357).</t>
  </si>
  <si>
    <t>54400-8710625-1</t>
  </si>
  <si>
    <t>FIR No. 317/19 dated 29.12.19 u/s 365 PPC, PS Barwari, Quetta</t>
  </si>
  <si>
    <t>6528-S</t>
  </si>
  <si>
    <t>Muhammad Naseem s/o Abdul Karim</t>
  </si>
  <si>
    <t>Asad Iqbal Butt, r/o HRCP Sindh, Unit#8. First Floor, Ilaco House, Abdullah Haroon Road, Saddar, Karrachi, Pakistan (Mobile No. 0324-2292989).</t>
  </si>
  <si>
    <t>52101-7406483-1</t>
  </si>
  <si>
    <t>Human Rights Commission of Pakistan/ MoFAs No. 10010497</t>
  </si>
  <si>
    <t>6529-S</t>
  </si>
  <si>
    <t>Hani Gul s/o Muhammad Arif</t>
  </si>
  <si>
    <t>Asad Iqbal Butt, r/o HRCP Sindh, Unit#8. First Floor, Ilaco House, Abdullah Haroon Road, Saddar, Karrachi, Pakistan (Mobile No. 0324-2292989)</t>
  </si>
  <si>
    <t>52203-6973083-4</t>
  </si>
  <si>
    <t>Traced person. It was found at the hearing on 23.1.2020, through letter dated 2.1.2020 of Human Rights Commission of Pakistan that she has returned home.</t>
  </si>
  <si>
    <t>6530-S</t>
  </si>
  <si>
    <t>Fazal Badshah s/o Gul Badshah</t>
  </si>
  <si>
    <t>Mst. Samina Fazal, r/o Shah Rasool Colony, House no. D-17, Clifton Karachi, South. (Mobile No. 0312-5861583).</t>
  </si>
  <si>
    <t>42301-2022679-1</t>
  </si>
  <si>
    <t>Traced Person. It was informed at the hearing held in this Commission on 09.07.2020 that Fazal Badshah has returned home. The statement of the Traced Person has been recorded u/s 164 CrPC. The report submitted by DSP, Clifton, Karachi and confirms the aforesaid position.</t>
  </si>
  <si>
    <t>6531-K</t>
  </si>
  <si>
    <t>Syed Rehman s/o Muhammad Rehman</t>
  </si>
  <si>
    <t>Tahir Ullah, r/o Beroni Lahori Gate, House No. 363, Mohalla Shaikhabad No. 4, Peshawar. (0344-9844328)</t>
  </si>
  <si>
    <t>17301-1498911-1</t>
  </si>
  <si>
    <t>Traced Person. SP (Inv), Peshawar appeared before the Commission and submitted that dead body of the Missing Person was found in the area of PS Akbar Pura on 10.6.2020. Since the dead body of Syed Rehman was identified and received, therefore no further action is required. The case is closed.</t>
  </si>
  <si>
    <t>6532-S</t>
  </si>
  <si>
    <t>Faiz-ul-Rehman s/o Ameer Afzal</t>
  </si>
  <si>
    <t>Muhammad Nadeem, r/o Road No. 04, House No. 1871, Mohalla New Muzaffarabad Colony, Landhi, Karachi, Tehsil &amp; District Malir. (Mobile No. 0349-2485348).</t>
  </si>
  <si>
    <t>42501-0776396-1</t>
  </si>
  <si>
    <t>Traced Person. It was informed at the hearing held in this Commission on 09.08.2021 that Faiz-ul-Rehman has returned home. Muhammad Nadeem brother of the traced person appeared before the Commission and confirmed the reported position as stated in the report of SDPO, Quaidabad Sub-Division, Karachi.</t>
  </si>
  <si>
    <t>6533-S</t>
  </si>
  <si>
    <t>Muhammad Uzair s/o Shaikh Muhammad Attique</t>
  </si>
  <si>
    <t>Mst. Rashima Tariq, r/o Ploat No.898, #rd Floor,Left Side, P.I.B Colony, Karachi. (Mobile No. 0313-2278733).</t>
  </si>
  <si>
    <t>42201-3263669-7</t>
  </si>
  <si>
    <t>Traced Person. It was informed at the hearing in this Commission on 17.3.2020 that Muhammad Uzair has returned to home. The report submitted and confirmed by the Police Officer SDPO, Azizabad, Karachi. Mrs. Reshma confirmed the aforesaid position.</t>
  </si>
  <si>
    <t>6534-I</t>
  </si>
  <si>
    <t>Sami Ullah s/o Mosam Gul</t>
  </si>
  <si>
    <t>Mosam Gul, r/o Gul Hassan Bandha, Tehsil &amp; District Kohat. (Mobile No. 0344-9250872 &amp; 0335-9207989).</t>
  </si>
  <si>
    <t>14301-6089572-9</t>
  </si>
  <si>
    <t>Traced Person. Sami Ullah has been traced. He appeared before the Commission on 2.3.2020. His statement has been recorded in oath. He has submitted that he was not abducted by anybody. On 27.12.2019 he went to Rawalpindi where his friend lives. He further stated that he returned home on 19.1.2020.</t>
  </si>
  <si>
    <t>6535-K</t>
  </si>
  <si>
    <t>Ali Asghar s/o Ibrahim</t>
  </si>
  <si>
    <t>Ibrahim, r/o Mohalla Barplu, Didhara, Tehsil Kabel, District Swat. (Mobile No. 0341-8059245).</t>
  </si>
  <si>
    <t>15602-3158597-1</t>
  </si>
  <si>
    <t>FIR No. 102, dated 14.02.2020 U/S 365 PPC, P.S Kabal, Swat</t>
  </si>
  <si>
    <t>Traced Person. Ibrahim f/o Ali Asghar appeared before the Commission on 10.11.2020 and his statement was recorded. He deposed that his son was taken into custody by Pak Army on 7.2.2018 from his house. Report dated 10.11.2020 from Rep of MI has been received, according to which Ali Asghar is confined in Internment Centre Malakand. Family members of Ali Asghar shall be facilitated to see him in the Internment Centre Malakand as per ruled and procedure. No further action is required. The case is closed</t>
  </si>
  <si>
    <t>6536-F</t>
  </si>
  <si>
    <t>Bismillah Khan s/o Gul Taan</t>
  </si>
  <si>
    <t>Mst. Zalharam w/o Gul Taan, r/o Char Mang, Tehsil Nawagaye, District Bajaur.</t>
  </si>
  <si>
    <t>21105-1873220-5</t>
  </si>
  <si>
    <t>Traced Person. Focal Person of FC/KP (N) is in attendance. Report dated 6.3.2020 has been received from HQ Frontier Corps KP (N) Peshawar wherein it is mentioned that Bismillah Khan s/o Gul Taan is confined in Internment Centre at Khar. MI report dated 23.10.2020 also confirms. Family members of Bismillah Khan will be facilitated to see him in the Internment Centre as per rules and procedure.</t>
  </si>
  <si>
    <t>6537-K</t>
  </si>
  <si>
    <t>Muhammad Khan s/o Mohabat Khan</t>
  </si>
  <si>
    <t>Mohabat Khan, r/o Bolan Colony, Shaikh Yousaf Adaa, D.I.Khan. (Mobile No. 0344-2643899 &amp; 0347-8077931 &amp; 0345-9463812 &amp; 0340-5351316).</t>
  </si>
  <si>
    <t>12201-1934581-9</t>
  </si>
  <si>
    <t>Fir No. 120, dated 07/01/2020, u/s 365 PPC, P.S Sub Div Wazir, District Bannu.</t>
  </si>
  <si>
    <t>Traced Person. Muhammad Khan has been traced. According to the statement received from Rep of MI in tabulated from, Muhammad Khan is presently confined in the Internment Centre Malakand. Family members of Muhammad Khan be facilitated to see him in the Internment Centre as per rule and procedure.</t>
  </si>
  <si>
    <t>6538-K</t>
  </si>
  <si>
    <t>Ishaq s/o Shad-ur-Rehman</t>
  </si>
  <si>
    <t>Shad-ur-Rehman, r/o Landi Kotal, District Khyber. (Mobile No. 0301-8801002 , 0306-0566026 &amp; 0307-8181617).</t>
  </si>
  <si>
    <t>21203-4105163-7</t>
  </si>
  <si>
    <t>FIR No. 177 dated 10.2.2020 u/s 365 PPC PS Nasir Bagh</t>
  </si>
  <si>
    <t>Traced Person. The case was fixed for hearing on 25.8.2020 when Inspector Yaha PS Nasir Bagh, Peshawar entered appearance and submitted that Ishaque has returned to home. Statement of Inspector Ishaque has been recorded on oath. He has also produced copy of statement of Ishaque s/o Shad Rehman recorded u/s 164 Cr.PC by Mr. Slaeem-ur-Rehman Judicial Magistrate-III, Peshawar. Foregoing in view the case stands disposed of.</t>
  </si>
  <si>
    <t>6539-S</t>
  </si>
  <si>
    <t>Kahlil-ur-Rehman s/o Abdul Sattar</t>
  </si>
  <si>
    <t>Abdul Razzaq, r/o Shaal House, Madina Market, Muzaffarabad, Azad Kashmir. (Mobile No. 0333-5461859).</t>
  </si>
  <si>
    <t>82203-8073228-5</t>
  </si>
  <si>
    <t>FIR No. 329 dated 15/10/19 u/s 365 PPC PS Nabi Bakhsh District Karachi</t>
  </si>
  <si>
    <t>Deleted. In this case JIT has concluded that the Missing Person has gone on his own. As per investigation, he went missing from a mosque, where the Tableghi Jamat group was staying. There is no allegation against any LEA/Intelligence Agency. Hence not a case of enforced disappearance. The case is closed.</t>
  </si>
  <si>
    <t>6540-K</t>
  </si>
  <si>
    <t>Rehmat Ali s/o Gul Syed Bajaa</t>
  </si>
  <si>
    <t>Gul Syed Bajaa, r/o Nawakalye, Mohalla Ameer Khan, Mingora, Tehsil &amp; District Swat. (Mobile No. 0346-9487322 &amp; 0333-9462573).</t>
  </si>
  <si>
    <t>15602-6412621-3</t>
  </si>
  <si>
    <t>FIR No. 72 dated 13.2.20 u/s 365 PPC PS Banr District Swat.</t>
  </si>
  <si>
    <t>6541-K</t>
  </si>
  <si>
    <t>Muhammad Shakeel s/o Saeed Ahmed</t>
  </si>
  <si>
    <t>Mst. Nageena Bibi w/o Muhammad Shakeel, r/o Gulshan Jameel Colony, Near Hurera Masjid &amp; Near Dayal Road, D.I.Khan.</t>
  </si>
  <si>
    <t>12101-8646907-5</t>
  </si>
  <si>
    <t>FIR No. 196 dated 14.2.20 u/s 365 PPC PS Cantt District D.I.Khan.</t>
  </si>
  <si>
    <t>6542-K</t>
  </si>
  <si>
    <t>Saeed s/o Saleem Akhtar</t>
  </si>
  <si>
    <t>Raheem Bacha, r/o Village Meshak, P.O Akhorah Khatak, Teshil &amp; District Nowshera. (Mobile No. 0335-9532051 &amp; 0346-2489418).</t>
  </si>
  <si>
    <t>17201-6773471-5</t>
  </si>
  <si>
    <t>FIR No. 27 dated 30.1.2020 u/s 365 PPC PS Misri Bandi, District Nowshera</t>
  </si>
  <si>
    <t>6543-B</t>
  </si>
  <si>
    <t>Muhammad Yaqoob s/o Haji Ghulam Haider</t>
  </si>
  <si>
    <t>Mutahar Yaqoob, r/o Nokju Mushki, District Awaran. (Mobile No. 0333-8012955).</t>
  </si>
  <si>
    <t>51102-7878957-7</t>
  </si>
  <si>
    <t>FIR No. 26/2013, dated 05/07/2013, U/S 365 PPC, P.S Wander, District Lasbela.</t>
  </si>
  <si>
    <t>6544-K</t>
  </si>
  <si>
    <t>Abdullah s/o Abdul Ghaffar</t>
  </si>
  <si>
    <t>Abdul Rehman, r/o Saddat Town, Dorah Road, Peshawar City. (Mobile No. 0313-0930958 &amp; 0345-5900595 &amp; 0304-8184766).</t>
  </si>
  <si>
    <t>Ph 00 528791</t>
  </si>
  <si>
    <t>FIR No. 449, dated 25.2.2020 U/S 365 PPC, P.S Gul Bahar Peshawar</t>
  </si>
  <si>
    <t>6545-K</t>
  </si>
  <si>
    <t>Nasir Ullah s/o Jameer Ullah</t>
  </si>
  <si>
    <t>Zaheer Ullah, r/o Mohalla Barah Khel, Village Peer Sabiq, Tehsil &amp; District Nowshear. (Mobile No. 0336-9108560).</t>
  </si>
  <si>
    <t>17201-7926232-1</t>
  </si>
  <si>
    <t>FIR No. 93 dated 19.2.2020 u/s 365 PPC PS Cantt, District Nowshera</t>
  </si>
  <si>
    <t>Traced Person. Nasir Ullah s/o Jameer Ullah has entered appearance before the Commission on 28/04/2021 whose statement has been recorded on oath. He has deposed that he was abducted on 30/11/2019 by unknown persons who kept at an unknown place. He has further deposed that he cannot identify the persons who abducted him. He has also stated that he was set free at Nowshera about 20/22 days ago and he returned home. No further action is required. The case is closed.</t>
  </si>
  <si>
    <t>6546-K</t>
  </si>
  <si>
    <t>Muhammad Younas s/o Habib-Ur-Reham</t>
  </si>
  <si>
    <t>Latif-ur-Rehman, r/o Barha Berah, Gugah Wala, Do Goun Khalil, Tehsil Peshawar. (Mobile No. 0313-9521951 &amp; 091-9212121).</t>
  </si>
  <si>
    <t>FIR No. 142 dated 24.2.2020 u/s 365 PPC PS Inqilab, District Peshawar</t>
  </si>
  <si>
    <t>6547-K</t>
  </si>
  <si>
    <t>Rafaqat Ullah s/o Bismillah Gul</t>
  </si>
  <si>
    <t>Bismilla Gul, r/o Barha Berah, Gugah Wala, Do Goun Khalil, Tehsil Peshawar. (Mobile No. 0305-5910515).</t>
  </si>
  <si>
    <t>FIR No. 141 dated 24.2.2020 u/s 365 PPC PS Inqilab, District Peshawar</t>
  </si>
  <si>
    <t>6548-K</t>
  </si>
  <si>
    <t>Hameed Gul s/o Sinjab Khan</t>
  </si>
  <si>
    <t>Mst. Syeda Meena Bibi, r/o Qoyam Afridi, Shalubar Qambeer Khel, Tapa Darye Palaraye, Kande Zana Khel, Ichni Balla, No Giri Baba, Par Dil Kalye Barah, District Khyber. (Mobile No. 0333-9545557 &amp; 0300-5628403).</t>
  </si>
  <si>
    <t>FIR No. 389 dated 25.2.2020 u/s 365 PPC PS Pisthakhara, District Peshawar</t>
  </si>
  <si>
    <t>6549-K</t>
  </si>
  <si>
    <t>Talemand s/o Paynda Khan</t>
  </si>
  <si>
    <t>Arzumand, r/o Baykanrah, Gali Bagh, P.O &amp; Tehsil Char Bagh, District Swat. (Mobile No. 0346-9338274).</t>
  </si>
  <si>
    <t>15602-7809882-1</t>
  </si>
  <si>
    <t>6550-F</t>
  </si>
  <si>
    <t>Muhammad Ali s/o Muhammad Shah</t>
  </si>
  <si>
    <t>Suleman Khan, r/o Farman Korona (Hiar-Abad), Qandaro Dag, Safi Qoum, Mohmand Agency. (Mobile No. 0312-5848826).</t>
  </si>
  <si>
    <t>21406-4992435-7</t>
  </si>
  <si>
    <t>6551-I</t>
  </si>
  <si>
    <t>Abdul Rehman, r/o Pian Villas, House No. 32, Street No. 44, Sector D-17/2, Islamabad. (Mobile No. 0336-5340788 &amp; 0317-0835831).</t>
  </si>
  <si>
    <t>Fir No.28, Dated 21.01.2020, u/s 365 PPC, P.S Karachi Company, Islamabad</t>
  </si>
  <si>
    <t>Traced Person. Abdul Qadoos s/o Qasim Mansoor appeared before the Commission on 25.9.2020, whose statement was recorded on oath, in which he deposed that on 18.1.2020, while he was sitting at Teepu Market a Wagon was arrived and two persons sitting therin asked him to board in theri Vehicle, who took him to an unknown place and detained him there. Further deposed that he was set free on 11.9.2020 at Jillania Chowk Islamabad from where he returned tom home. No further action is required. The case is closed.</t>
  </si>
  <si>
    <t>6552-S</t>
  </si>
  <si>
    <t>Sher Jan s/o Lal Khan</t>
  </si>
  <si>
    <t>BF8799932</t>
  </si>
  <si>
    <t>Traced Person. It was informed at the hearing held in this Commission on 2.9.2020 that Sher Jan has returned home. The statement of the traced person has been recorded u/s 164 CrPC, which is placed on record. The report submitted by SHO, PS Airport, Karachi is placed on record.</t>
  </si>
  <si>
    <t>6553-K</t>
  </si>
  <si>
    <t>Hafeez Ullah s/o Zar Peyao Khan</t>
  </si>
  <si>
    <t>Zar Peyao Khan, r/o Patti Khel, Hamzwatti, Tehsil &amp; District North Waziristan, Meer Insha. (Mobile No. 0333-9292896 &amp; 0334-8389179).</t>
  </si>
  <si>
    <t>21506-5896558-7</t>
  </si>
  <si>
    <t>6554-P</t>
  </si>
  <si>
    <t>Fazal Shahzad s/o Roshan Deen</t>
  </si>
  <si>
    <t>Babar Shahzad, r/o Gari Afgana, P.O Khas, Tehsil Taxila, District Rawalpindi. (Mobile No. 0314-7609387 &amp; 0315-5486887).</t>
  </si>
  <si>
    <t>37406-9035854-1</t>
  </si>
  <si>
    <t>Traced Person IO/SI Zulfiqar Ali appeared before the Commission on 10.3.2020, whose statement has been recorded on oath. He has deposed that during the course of verification, it revealed that Faisal Shahzad has returned home. IO also submitted that he has also recorded statement of Faisal Shehzad which he presented before the Commission. According to the statement he had left home on his own due to domestic problems and now has returned home.</t>
  </si>
  <si>
    <t>6555-I</t>
  </si>
  <si>
    <t>Muhammad Imtiaz Anwar s/o Ahmed Khan</t>
  </si>
  <si>
    <t>Abdul Majid Anwar, r/o District Wadi Neelam, Tehsil Shardah, P.O Janwai, Khas Maqam, Phuldwai, Sehri. (Mobile No. 0311-5183503 &amp; 0355-7501713).</t>
  </si>
  <si>
    <t>82502-0132244-3</t>
  </si>
  <si>
    <t>Traced Person. Muhammad Imtiaz Anwar has been traced. He has returned home. Muhammad Ashraf, Inspector/ SHO PS Industrial area, Islamabad appeared before the Commission on 5.3.2020, whose statement has been recorded in oath. According to his statement Muhammad Imtiaz Anwar has returned home and presently he is Palandari AJ&amp;K. Due to rain in the area he has shown his inability to come to Islamabad, however and application has been received from the complainant whereby he has intimated that Muhammad Imtiaz Anwar has returned home.</t>
  </si>
  <si>
    <t>6556-P</t>
  </si>
  <si>
    <t>Ibrahim Khan s/o Shahbaz Khan</t>
  </si>
  <si>
    <t>Abdullah, r/o Bani Ghar Malla, Tehsil &amp; District Jehlum. (Mobile No. 0300-5601043 &amp; 0302-1819265).</t>
  </si>
  <si>
    <t>37301-5216554-9</t>
  </si>
  <si>
    <t>Traced Person. Ibrahim Khan has been traced. He has returned home and entered appearance before the Commission on 6.3.2020. His statement has been recorded on oath. He has deposed that he went to Peshawar on his own on 17.1.2020 and returned home on 29.1.2020. He also stated that he was not abducted by anybody. Abdullah complainant is also present and he also requested to close the case.</t>
  </si>
  <si>
    <t>31st January, 2020</t>
  </si>
  <si>
    <t>6557-K</t>
  </si>
  <si>
    <t>Iftkhar s/o Siraj</t>
  </si>
  <si>
    <t>Mst. Jahan walla, r/o Mohalla Usman Khel, Qambar, Tehsil Babu Zai, District Swat. (Mobile No. 0342-9174520).</t>
  </si>
  <si>
    <t>1st February, 2020</t>
  </si>
  <si>
    <t>6558-B</t>
  </si>
  <si>
    <t>Syed Abdur Rasheed s/o Syed Abdul Wajid</t>
  </si>
  <si>
    <t>Syed Abdul Qadir, r/o Killi Masterzai Yaru, District Pishin. (Mobile No. 0300-0580474).</t>
  </si>
  <si>
    <t>54302-3511550-7</t>
  </si>
  <si>
    <t>Traced Person. Syed Abdul Rasheed s/o Syed Abdul Wajid appeared before the Commission on 06.04.2021 whose statement was recorded on oath in which he denied about his abduction and stated that de to some domestic scuffle with his brothers he himself left for Chaman and thereafter went to Afghanistan for labuor. In view of foregoing no further action is required. The case is closed.</t>
  </si>
  <si>
    <t>6559-B</t>
  </si>
  <si>
    <t>Taj Alam s/o Rogan Shah</t>
  </si>
  <si>
    <t>Zaib Alam Khan, r/o Gashkai, P.O Sara Rogah, Walha Langer Khel, Tehsil Sarugah, District South Waziristan. (Mobile No. 0321-5303267 &amp; 0340-5423800 &amp; 0331-8545719).</t>
  </si>
  <si>
    <t>21704-7816019-3</t>
  </si>
  <si>
    <t>6560-P</t>
  </si>
  <si>
    <t>Suleman s/o Rehman Shah</t>
  </si>
  <si>
    <t>Rehman Shah, r/o Village &amp; P.O Malkabad, Gadun, Tehsil Topi, District Swabi. (Mobile No. 0336-5819572 &amp; 0322-9965759).</t>
  </si>
  <si>
    <t>16202-0968283-1</t>
  </si>
  <si>
    <t>6561-S</t>
  </si>
  <si>
    <t>Junaid Khadim s/o Khadim Masih</t>
  </si>
  <si>
    <t>Khadim Masih, r/o House No. 297, Street No. 04, Sector-A, Akhtar Colony, Karachi. (Mobile No. 0345-3226827).</t>
  </si>
  <si>
    <t>42301-0587806-5</t>
  </si>
  <si>
    <t>FIR No. 50/20 u/s 302 &amp; 34 Dated 20.01.2020, P.S Baloch Colony, District East Karachi.</t>
  </si>
  <si>
    <t>Traced Person. It was informed at the hearing held in this Commission on 17.2.2020 that Junaid Khadim is involved in criminal case vide FIR No. 20/2020 dated 20.1.2020. He was arrested and presently confined in Central Jail, Karachi.</t>
  </si>
  <si>
    <t>6562-K</t>
  </si>
  <si>
    <t>Majeed Ullah s/o Fazal Molla</t>
  </si>
  <si>
    <t>Fazal Molla, r/o Ingaro Dheri, Tehsil Babu Zai, Saidu Sharif, Swat. (Mobile No. 0340-9094731 &amp; 0348-1451904).</t>
  </si>
  <si>
    <t>6563-S</t>
  </si>
  <si>
    <t>Muhammad Hanif s/o Sayed Mohd</t>
  </si>
  <si>
    <t>Mst.Zubaida Bibi, r/o Juman Shah, Renchor Line, Karachi. (Mobile No. 0324-2534721).</t>
  </si>
  <si>
    <t>42301-0756520-3</t>
  </si>
  <si>
    <t>Traced Person. SSP (South), Karachi appeared before the Commission on 16.2.2021 and submitted that Muhammad Hanif has returned home. Statement of Muhammad Hanif was also submitted in which he being a drug addict he was admitted in Edhi Hospital.</t>
  </si>
  <si>
    <t>6564-F</t>
  </si>
  <si>
    <t>Shafi Ullah s/o Khaista Rehman</t>
  </si>
  <si>
    <t>Menhas Bibi w/o Khaista Rehman, r/o Gundu Rangu, P.O &amp; Tehsil Khar, District Bajurh. (Mobile No. 0303-8534411 &amp; 0308-9369674).</t>
  </si>
  <si>
    <t>21103-6809982-9</t>
  </si>
  <si>
    <t>Traced Person. Khaista Rehman f/I Shafi Ullah traced person appeared before the Commission on 23.10.2020. His statement has been recorded on oath, in which he has deposed that his son has been traced and presently his son is in the internment Centre at Lakki Marwat. He further stated that he met his son on 30.9.2020 in the Internment Centre Lakki Marwat. In addition, report dated 23.10.2020 has been received from Rep of MI whereby presence of Shafi Ullah has been confirmed in Internment Centre at Lakki Marwat. Hence the case is closed.</t>
  </si>
  <si>
    <t>FATA Bajhur</t>
  </si>
  <si>
    <t>6565-K</t>
  </si>
  <si>
    <t>Shakir Ullah s/o Syed Ghulam Qadir Jaan</t>
  </si>
  <si>
    <t>Mst, Naila Bibi w/o Shakir Ullah, r/o Bhai China, P.O Anayat Kale, District Bajaur. (Mobile No. 0306-0563020 &amp; 0304-9010594).</t>
  </si>
  <si>
    <t>21103-0800005-5</t>
  </si>
  <si>
    <t>6566-K</t>
  </si>
  <si>
    <t>Moaz s/o Abdul Manaf</t>
  </si>
  <si>
    <t>Asif Ali, r/o Mohalla Manan Khel, Village Kalu Khan, Tehsil Razer, District Swabi. (Mobile No. 0315-9495977).</t>
  </si>
  <si>
    <t>16202-1102290-9</t>
  </si>
  <si>
    <t>Traced Person. Moaz s/o Abdul Manaf has been traced. He is in attendance before the Commission and his statement has been recorded on oath. In his statement he could not furnish any details of his abduction except that some unknown persons who were in Civvies took him away from Shiwa Adda District, Swabi, who set him free after seven months.</t>
  </si>
  <si>
    <t>6567-K</t>
  </si>
  <si>
    <t>Muhammad Younas s/o Muhammad Yousaf</t>
  </si>
  <si>
    <t>Muhammad Yousaf, r/o Shagi Malkabad, Gadun, Tehsil Topi, District Swabi. (Mobile No.0342-9186780).</t>
  </si>
  <si>
    <t>16202-7862006-5
 Father CNIC</t>
  </si>
  <si>
    <t>Deleted. During the course of inquiry, no clue could be found that any LEA/ Intelligence Agency was involved in disappearance of Muhammad Younas. The case has been categorized as of missing person has gone on his own by JIT as well as PTF. The complainant Muhammad Yousaf or his authorized representative was summoned twice for recording statement but none entered appearance despite issuance of notices. All stakeholders have denied arrest/custody of Muhammad Younas. Hence, not a case of enforced disappearance. The case is closed.</t>
  </si>
  <si>
    <t>6568-K</t>
  </si>
  <si>
    <t>Abdullah s/o Muhammad Deen Afridi</t>
  </si>
  <si>
    <t>Abdul Rasheed, r/o Khyber District, Barah, Quyam Siapah, Tappa Gaybi Khel, Alam Godar Road, Kari Gar Garhi, Kareker Garhi. (Mobile No. 0343-9822597)</t>
  </si>
  <si>
    <t>21201-9166926-1</t>
  </si>
  <si>
    <t>FIR No. 623, dated 28.5.19, u/s 365 PPC, P.S Methra, Peshawear.</t>
  </si>
  <si>
    <t>6569-K</t>
  </si>
  <si>
    <t>Ishfaq Ahmed s/o Abdul Sattar</t>
  </si>
  <si>
    <t>Abdul Sattar, r/o Village Eidek, Tehsil Mir Ali, District North Waziristan. (Mobile No. 0300-0753330 &amp; 0342-9314583 &amp; 0334-9064706).</t>
  </si>
  <si>
    <t>21505-2802987-3</t>
  </si>
  <si>
    <t>6570-K</t>
  </si>
  <si>
    <t>Fazal Karim s/o Khan Zaman</t>
  </si>
  <si>
    <t>Muhammad Mahboob Khan, r/o House No. PD-1022, Mohalla Abbasia Abad, Satellite Town, Rawalpindi. (Mobile No. 0311-1505644 &amp; 0321-5098875).</t>
  </si>
  <si>
    <t>13302-4923447-9</t>
  </si>
  <si>
    <t>FIR No. 149, dated 21.2.2020, u/s 365PPC, P.S Khanpur, Haripur.</t>
  </si>
  <si>
    <t>Deleted. The case was discussed thoroughly at the hearing held on 10.07.2020/ It was observed that both JIT and PTF arrived at the conclusion that it is a case of kidnapping due to personal enmity. In facts five accused persons have been named in FIR No. 149 dated 21.02.2020 u/s 365 PPC PS Haripur. The does not fall in the ambit of enforced disappearance, hence closed.</t>
  </si>
  <si>
    <t>6571-P</t>
  </si>
  <si>
    <t>Ghulam Ali s/o Muhammad Ali</t>
  </si>
  <si>
    <t>Mohsin Ali, r/o Hawalian Jatta, Lakhorer, Lahore Cantt. (Mobile No. 0321-4933645)</t>
  </si>
  <si>
    <t>35103-7518980-7</t>
  </si>
  <si>
    <t>FIR No. 494/16, Dated 2016, u/s 365 PPC, P.S Manawa, Lahore.</t>
  </si>
  <si>
    <t>6572-I</t>
  </si>
  <si>
    <t>Muhammad Irfan s/o Muhammad Ramzan</t>
  </si>
  <si>
    <t>Muhammad Imran, r/o P.O Datta, Galadchi, Tehsil &amp; District Dera Ismail Khan. (Mobile No. 0347-8952403).</t>
  </si>
  <si>
    <t>12101-4624015-9</t>
  </si>
  <si>
    <t>FIR No. 42 dated 26.01.20 u/s 365 PPC, P.S Sabzi Mandi. ICT</t>
  </si>
  <si>
    <t>Traced Person. Muhammad Irfan has been traced. He appeared before the Commission on 2.3.2020. His statement has been recorded on oath. Muhammad Irfan has deposed that he was not abducted by anybody and he went to Lahore on his own will because his business was np to mark, Muhammad Imran complainant/ brother of Muhammad Irfan is present. He also requested to close the case as Muhammad Irfan has returned to home.</t>
  </si>
  <si>
    <t>6573-S</t>
  </si>
  <si>
    <t>Muhammad Arif s/o Ehsan Ullah</t>
  </si>
  <si>
    <t>Muhammad Atif, r/o Mohalla Muslim Abad, Malaye, Village Dakoduk, Char Bag, Swat. (Mobile No. 0347-5011381 &amp; 0347-5011379).</t>
  </si>
  <si>
    <t>15602-4795122-7</t>
  </si>
  <si>
    <t>6574-K</t>
  </si>
  <si>
    <t>Ilam Din s/o Fateh Muhammad</t>
  </si>
  <si>
    <t>Muhammad Din, r/o Village Kaian, Darra Haji Peer, Forward Kahuta, Branch of Motanwali, District Haveli, Azad Jammu &amp; Kashmir. (Mobile No. 0340-1509211).</t>
  </si>
  <si>
    <t>6575-K</t>
  </si>
  <si>
    <t>Umer Sadiq s/o Essa Khan</t>
  </si>
  <si>
    <t>Qader Riyaz, r/o Gurbaz Baka Khel Wazir, P.O Baka Khel, Tehsil &amp; District Bannu. (Mobile No. 0342-1919681).</t>
  </si>
  <si>
    <t>111101-6197435-9</t>
  </si>
  <si>
    <t>6576-A</t>
  </si>
  <si>
    <t>Abdul Ghafoor Abad s/o Manzoor Ahmed</t>
  </si>
  <si>
    <t>Abdul Shakoor, r/o P.O Lower, Village Magloor, Tehsil &amp; District Bhamber, Azad Kashmir. (Mobile No. 0301-6272194).</t>
  </si>
  <si>
    <t>81102-0446246-5</t>
  </si>
  <si>
    <t>FIR No. 33/2020, Dated 12.03.2020, u/s 364PC, P.S City Bhamber, District Bhamber</t>
  </si>
  <si>
    <t>Deleted. After investigation of the case, receipt of reports from JIT/PTF and keeping in view the statement of the complainant that he has not levelled any allegation any of the LEAs. The case does not fall under the category of enforced disappearance. Hence closed.</t>
  </si>
  <si>
    <t>6577-P</t>
  </si>
  <si>
    <t>Abdul Razzaq s/o Atta Ullah</t>
  </si>
  <si>
    <t>Muhammad Mushtaq, r/o Dhela, Tehsil Pahar Pur, District Dera Ismail Khan. (Mobile No. 0346-7866838).</t>
  </si>
  <si>
    <t>31103-3199329-1</t>
  </si>
  <si>
    <t>6578-B</t>
  </si>
  <si>
    <t>Noroz Khan s/o Noor Ahmed</t>
  </si>
  <si>
    <t>Noor Ahmed, r/o House No. 116/C, Civil Hospital Ward, Tehsil Mach, Distict Kachhi. (Mobile No. 0333-2436524).</t>
  </si>
  <si>
    <t>53305-3186759-7</t>
  </si>
  <si>
    <t>6579-K</t>
  </si>
  <si>
    <t>Shah Faisal s/o Ahsan-ul-Haq</t>
  </si>
  <si>
    <t>Fathra Bibi w/o Shah Faisal, r/o Toofan Shah, P.O Pusht, Tehsil Salar Zai, District Bajhur. (Mobile No. 0305-2746047).</t>
  </si>
  <si>
    <t>21106-2118583-7</t>
  </si>
  <si>
    <t>Traced Person. District Bajour In-charge appeared before the Commission his statement was recorded on oath in which he deposed that Shah Faisal returned home. He furnished Shah Faisal’s statement. JIT report Para-13 in which it was mentioned that Shah Faisal was taken into custody by CTD and thereafter he was granted bail by ATC Timargara</t>
  </si>
  <si>
    <t>6580-P</t>
  </si>
  <si>
    <t>Mahboob Shah s/o Malayze Khan</t>
  </si>
  <si>
    <t>Amir Zaib Khan, Village Taygram, Hassan Zai, Tehsil Augaye, District Manshera. (Mobile No. 0345-8915982 &amp; 0300-2267530).</t>
  </si>
  <si>
    <t>13504-2248387-5</t>
  </si>
  <si>
    <t>Traced Person. Mian Doran Shah, elder brother of Mehboob Shah appeared before the Commission on 16.9.2020 at Lahore and conceded that he met Mehboob Shah who was confined at internment Centre Lakki Marwat. Be that as it may in view of categoric statement of Mian Doran Shah no further action is required to be taken by the Commission.</t>
  </si>
  <si>
    <t>6581-GB</t>
  </si>
  <si>
    <t>Yar Khan s/o Gul Zaman Khan</t>
  </si>
  <si>
    <t>Dar Namoos s/o Gul Zaman Khan, Raghan Tindaye, Tehsil Salar Zai, District Bajaur. (Mobile No. 0304-0197819 &amp; 0301-8813617).</t>
  </si>
  <si>
    <t>21106-7025458-3</t>
  </si>
  <si>
    <t>6582-K</t>
  </si>
  <si>
    <t>Muhammad Shoaib Khan S/o Saad Ullah Khan</t>
  </si>
  <si>
    <t>Muhammad Haroon Khan, r/o Q.No. 211-B, Near I.O.M Office, Cantt Railway Station, Peshawar Cantt. (Mobile No. 0313-9041971 &amp; 0345-9851971).</t>
  </si>
  <si>
    <t>11201-9063640-7</t>
  </si>
  <si>
    <t>Traced Person, Hearing was held in that case on 30.4.2020. None appeared on behalf of the complainant, however he has intimated the Commission through e.mail dated April 04, 2020 that his brother Muhammad Shoaib Khan has recovered safely. He recorded that he was very glad that his brother recovered safly on 7th March, 2020. Further states that he was thinking for a vist to this office, but due to Covid-19 pandemic, he could not attend.</t>
  </si>
  <si>
    <t>6583-K</t>
  </si>
  <si>
    <t>Hameed Gul s/o Ghazi Khan</t>
  </si>
  <si>
    <t>Rahat Gul, r/o Ghari Aziz Khan, Mehar Kahori, P.O Armarh Payaban, Tehsil &amp; District Peshawar. (Mobile No. 0301-5868236).</t>
  </si>
  <si>
    <t>42401-6127650-7</t>
  </si>
  <si>
    <t>Traced Person. Hameed Gul was abducted in June, 2017 from Peshawar Airport, where he arrived from Musqat. There was no specific allegation against LEAs/Intelligence Agency. Case vide FIR No. 371 dated 13.7.2020 u/s 365 PPC Ps West Cant, Peshawar was registered. IO/SI Khizer Hayat appeared before the Commission and furnished report duly attested by SP (Inv), Peshawar that Hameed Gul was confined in Jandola Jail, North Waziristan and family members have met him in the Jail.</t>
  </si>
  <si>
    <t>6584-K</t>
  </si>
  <si>
    <t>Zahoor Khan s/o Bakhatfor</t>
  </si>
  <si>
    <t>Mst. Hayat Bibi, r/o P.O Zamidara, Tehsil Lal Qilla, District Lower Dir. (Mobile No. 0301-5868236 &amp; 0304-5790127).</t>
  </si>
  <si>
    <t>15305-4861586-5</t>
  </si>
  <si>
    <t>6585-I</t>
  </si>
  <si>
    <t>Haris Abbasi s/o Muhammad Sarfraz Abbasi</t>
  </si>
  <si>
    <t>Khalid Sarfraz Abbasi, r/o House No. 200, Gali No. 38-D, I-9/4, Islamabad. (Mobile No. 0333-5634519).</t>
  </si>
  <si>
    <t>61101-4991340-9</t>
  </si>
  <si>
    <t>Traced Person. Haris Abbasi, the traced person appeared before the Commission on 21.5.2020. He stated that he was taken into custody by unkown persons from the vicinity of Naval HQs, Islamabad and set free on 13.4.2020. Accordingly the case is closed.</t>
  </si>
  <si>
    <t>6586-P</t>
  </si>
  <si>
    <t>Muhammad Shahbaz s/o Muhammad Anwar</t>
  </si>
  <si>
    <t>33301-2191594-3</t>
  </si>
  <si>
    <t>Fir No. 622 Dated 22/8/20 u/s 365 Ppc P.S city Gujra, Toba Tek Singh</t>
  </si>
  <si>
    <t>6587-P</t>
  </si>
  <si>
    <t>Umer Munair s/o Munair Hussain</t>
  </si>
  <si>
    <t>Munair Hussain, r/o P.O &amp; Village Ghangeriala, Tehsil Gujar Khan, District Rawalpindi. (Mobile No. 0322-5132749).</t>
  </si>
  <si>
    <t>37401-8046983-3</t>
  </si>
  <si>
    <t>Traced Person. Umer Munair has been traced. He appeared before the Commission. His statement has been recorded on oath. He has deposed that he went on his own accord to Karachi on 15.12.2019 due to ill will with the family. He further stated that he came back on 4.10.2020. He further stated that he was not kidnapped by anybody. The case is closed.</t>
  </si>
  <si>
    <t>6588-I</t>
  </si>
  <si>
    <t>Abdul Qadoos s/o Haji Raja Muhammad Irshad</t>
  </si>
  <si>
    <t>37405-9788195-3</t>
  </si>
  <si>
    <t>Fir No. 90, dated 22.02.2020. u/s 365PPC. P.S Sabzi mandi, Islamabad.</t>
  </si>
  <si>
    <t>Traced person. Zahoor Ahmed appeared before the Commission on 27.11.2020, whose statement was recorded on oath, in which he stated that Abdul Qadoos has returned home. He has submitted that Abdul Qadoos was not taken away by any LEAs/Intelligence Agency and he went on his own. No further action is required. The case is closed.</t>
  </si>
  <si>
    <t>6589-B</t>
  </si>
  <si>
    <t>Muhammad Agah s/o Syed Ubaidullah Agah</t>
  </si>
  <si>
    <t>Syed Abdul Wahid, r/o Quetta Namkeen Hotel, Quetta Chaman Road, Near Yaru Bazar. (Mobile No. 0302-2064540).</t>
  </si>
  <si>
    <t>54202-9925701-1</t>
  </si>
  <si>
    <t>Traced Person. Syed Muhammad Agha appeared before the Commission on 29.3.2021, whose statement has been recorded on oath. He deposed that on 15th November, 2018 when he was present at Namkeen Hotel Yaroo, two persons came and asked him to go with them so he went with them. He has further deposed that they took him some unknown place. He has further submitted that he was set free on 21.1.2021 at Airport Chowk, from where he reached home. He has further stated that he cannot identify those persons who took him away, even if they are brought before him as their faces were muffled. No further action is required. The case is closed.</t>
  </si>
  <si>
    <t>6590-K</t>
  </si>
  <si>
    <t>Muhammad Shafique s/o Muhammad Iqbal</t>
  </si>
  <si>
    <t>Muzamil Hussain, r/o Panwa Chak No. 176 Raee Baee, Tehsil Shah Kot, District Nankana Sahib. (Mobile No. 0347-4754587 &amp; 0321-8797038).</t>
  </si>
  <si>
    <t>35403-7849413-5
 Army No. 7114427</t>
  </si>
  <si>
    <t>Traced Person. Muzamil Hussain b/o Muhammad Shafique appeared before the Commission at Islamabad and his statement was recorded on oath in which he described suspicion that one Liaquat had killed his father. In his complaint/ statement he did not level any allegation against any LEA/ Intelligence Agency. All stakeholders have denied arrest/custody of Muhammad Shafique. Hence not a case of enforced disappearance. The case is closed.</t>
  </si>
  <si>
    <t>6591-K</t>
  </si>
  <si>
    <t>Humayun s/o Haji Qadir Khan</t>
  </si>
  <si>
    <t>Muhammad Irfan, r/o Meeri Colony, Bannu Road, Kohat. (Mobile No. 0334-8292551).</t>
  </si>
  <si>
    <t>14301-6672948-7</t>
  </si>
  <si>
    <t>Traced Person. Rep of DPO, Hangu appeared for hearing on 18.5.2020 and submitted that Hamayoun (Traced Person) has returned home on 25.2.2020. The fact was also confirmed during JIT meeting. Accordingly, the case is closed.</t>
  </si>
  <si>
    <t>6592-K</t>
  </si>
  <si>
    <t>Hazrat Umar s/o Aman Ullah</t>
  </si>
  <si>
    <t>Mst. Baan Gala Bibi, r/o Aka Khel, Meer Ghat Khel, Sargat Kale, Meera, P.O Barah, District Khyber. (Mobile No. 0308-9090205 &amp; 0313-9610077).</t>
  </si>
  <si>
    <t>21201-5446754-3
 Father CNIC</t>
  </si>
  <si>
    <t>FIR No. 492, dated 7.8.20, u/s 365PPC, P.S Mattani, District Peshawar</t>
  </si>
  <si>
    <t>6593-K</t>
  </si>
  <si>
    <t>Amir Afzal s/o Isam Khan</t>
  </si>
  <si>
    <t>Mst. Taj Bibi m/o Amir Afzal, r/o Mangultan, Charbagh, Swat. (Mobile No. 0342-8953581 &amp; 0306-8324432).</t>
  </si>
  <si>
    <t>15602-4791668-9
 Father CNIC</t>
  </si>
  <si>
    <t>6594-P</t>
  </si>
  <si>
    <t>Muhammad Afzal s/o Muhammad Ameen</t>
  </si>
  <si>
    <t>Muhammad Akram,Qoyam Waran, r/o Mozza Patti Chang, P.O Joyabad, Tehsil Ahmed Shirkia, District Bhawalpur. (Mobile No. 0300-2303177).</t>
  </si>
  <si>
    <t>31201-5133738-9</t>
  </si>
  <si>
    <t>FIR No. 180/20, dated 9.3.2020, u/s 365PPC, P.S Civil Lines, Bahawalpur.</t>
  </si>
  <si>
    <t>6595-P</t>
  </si>
  <si>
    <t>Badar Munir s/o Abdul Hilal</t>
  </si>
  <si>
    <t>Akhter Munair, r/o Village Thore Nageer wala, P.O Thore Seri, Tehsil Chilas, District Dayamar. (Mobile No. 0344-5877288 &amp; 0355-5333311).</t>
  </si>
  <si>
    <t>71202-6607222-7</t>
  </si>
  <si>
    <t>Traced Person, Mr. Muhammad Faisal, SSP(Inv) Rawalpindi has submitted that Badar Munir has been traced and returned home. He Has furnished report dated 27/04/2020 issued by CPO Rawalpindi, which indicates that on 18/03/2020 complainant along with missing person came at Police Station. Badar Munir got recorded his statement u/s 161 Cr.Pc that no one had abducted. He himself went to Karachi due to some personal issues. On 19.3.2020 his statement u/s 164 Cr.PC was Recorded before the learned Magistrate Ist Class, Rawalpindi."</t>
  </si>
  <si>
    <t>6596-S</t>
  </si>
  <si>
    <t>Usman Ali s/o Muhammad Younas</t>
  </si>
  <si>
    <t>Mehfooz-ur-Rehman, r/o House No. 1671, Gali No. 15, Near Aasia Masjid, Altaf Town, Korangi Crossing, Karachi. (Mobile No. 0334-3516696 &amp; 0334-3682576).</t>
  </si>
  <si>
    <t>42201-1584618-5
 Brother CNIC</t>
  </si>
  <si>
    <t>Traced Person. It was informed at the hearing held in this Commission on 09.08.2021 that Usman Ali has returned home. The statement of the traced person appeared before the Commission and confirmed the reported position. DSP, Sukhar Sub-Division Malir also confirmed in his report.</t>
  </si>
  <si>
    <t>6597-K</t>
  </si>
  <si>
    <t>Habib Ullah s/o Shakir Ullah</t>
  </si>
  <si>
    <t>Faiaz Hussain, r/o Damgaar, P.O Kanju, Tehsil &amp; District Swat. (Mobile No. 0345-0942763).</t>
  </si>
  <si>
    <t>15602-1723603-7</t>
  </si>
  <si>
    <t>Traced Person. Habib Ullah has been traced. He is present before the Commission. His statement has been recorded on oath. According to his statement he was abducted on 26.01.2020 form Peshawar and was released after 5 months and 10 days. As Habib Ullah is no mora a missing person, hence no action is required.</t>
  </si>
  <si>
    <t>6598-K</t>
  </si>
  <si>
    <t>Bagh-e-Haram s/o Nadir Khan</t>
  </si>
  <si>
    <t>Syed Alam. r/o Ghazi, Jaluzai, Mutasreen Camp, Peshawar. (Mobile No. 0340-0551298 &amp; 0324-9370550).</t>
  </si>
  <si>
    <t>21201-8559360-5</t>
  </si>
  <si>
    <t>FIR No. 316 dated 31.07.2020 u/s 365 PPC, PS Jalozai</t>
  </si>
  <si>
    <t>6599-K</t>
  </si>
  <si>
    <t>Ahmed Ali, r/o P.O Yak Ghund, Tehsil Pandeli, District Mohmand Agency. (Mobile No. 0302-8909928 &amp; 0304-1973539).</t>
  </si>
  <si>
    <t>21403-1920388-5</t>
  </si>
  <si>
    <t>6600-K</t>
  </si>
  <si>
    <t>Saeed Ahmed s/o Shakil Ahmed</t>
  </si>
  <si>
    <t>Shakil Ahmed, r/o House No. 471, Mohalla Hameedabad, Kakshal, Lali Bagh, Peshawar. (Mobile No. 0300-5930419).</t>
  </si>
  <si>
    <t>17301-1051469-5</t>
  </si>
  <si>
    <t>Traced Person. SP (Inv), Peshawar and father of Saeed Ahmad appeared before the Commission and informed that Saeed Ahmad was arrested by CTD, Faisalabad vide FIR dated 11.1.2021 u/s 4/5 ESA7-ATA of 1997. He was produced before the District Court , Faisalabad. No further action is required. The case is closed.</t>
  </si>
  <si>
    <t>6601-K</t>
  </si>
  <si>
    <t>Khyal Badshah s/o Khabar Khan</t>
  </si>
  <si>
    <t>Mst. Sakina Bibi w/o Khabar Khan, r/o Darsamand, District Hangu. (Mobile No. 0301-5480758 &amp; 0302-9802428).</t>
  </si>
  <si>
    <t>17301-1447429-7</t>
  </si>
  <si>
    <t>6602-F</t>
  </si>
  <si>
    <t>Shamas-ul-Rehman s/o Jameen Gul</t>
  </si>
  <si>
    <t>Jameen Gul, r/o Qoyam Shekhan, Patta Umar Zai, Tehsil Lower, District Orakzai. (Mobile No. 0306-8324722 &amp; 0306-9680632).</t>
  </si>
  <si>
    <t>FIR No. 72 dated 04.07.20 u/s 365 PPC PS Kalaya Lower, District Orakzai.</t>
  </si>
  <si>
    <t>FATA / Orakzai</t>
  </si>
  <si>
    <t>6603-F</t>
  </si>
  <si>
    <t>Sameen Jan s/o Aqeel Jan</t>
  </si>
  <si>
    <t>Mst. Nazmeena Bibi w/o Sameen Jan, r/o Jamrod Road, Shahkas, District Khyber. (Mobile No. 0333-9404019 &amp; 0305-9682871).</t>
  </si>
  <si>
    <t>21203-5087175-5</t>
  </si>
  <si>
    <t>FATA / Khyber</t>
  </si>
  <si>
    <t>6604-I</t>
  </si>
  <si>
    <t>Izzat Ullah s/o Inayat Ullah</t>
  </si>
  <si>
    <t>Mst. Bakhat Haram w/o Inayat Ullah, r/o S.My.Dress Tailor and Cloth House, Ralway Workshop Road, Shop No.2, Sher Dil Market, Rawalpindi. (Mobile No. 0302-5025077 &amp; 0303-5207073).</t>
  </si>
  <si>
    <t>21105-5121352-7</t>
  </si>
  <si>
    <t>29th February, 2020</t>
  </si>
  <si>
    <t>6605-K</t>
  </si>
  <si>
    <t>Abdul Rahim s/o Syed Muhammad</t>
  </si>
  <si>
    <t>Hussain Ahmed, r/o Wich Naher, Shamshot Camp,Gali No. 12, Ditrict Peshawar. (Mobile No. 0346-9710788).</t>
  </si>
  <si>
    <t>1ST March, 2020</t>
  </si>
  <si>
    <t>6606-K</t>
  </si>
  <si>
    <t>Shah Bakht Rawan s/o Syed Muhammad Khan</t>
  </si>
  <si>
    <t>Mst. Zeenat Begum w/o Shah Bakht Rawan, r/o Ashar Banerh, Tehsil Char Bagh, District Swat. (0340-95589458 &amp; 0341-9375089).</t>
  </si>
  <si>
    <t>15602-3274951-1</t>
  </si>
  <si>
    <t>FIR No. 487 dated 29.4.2020 u/s 365 PPC PS Char Bagh District Swat</t>
  </si>
  <si>
    <t>6607-F</t>
  </si>
  <si>
    <t>Kabal Khan s/o Din Gul</t>
  </si>
  <si>
    <t>Gul Daroof, r/o Aserh, Kazamada Khel, P.O Datta Khel, Tehsil Datta Khel, District North Waziristan. (Mobile No. 0337-9797147 &amp; 0300-5993179).</t>
  </si>
  <si>
    <t>21501-0772512-0</t>
  </si>
  <si>
    <t>FIR No. 93, dated 9/11/20 , u/s 365 PPS, P.S Miranshah, District NWA, FAFA</t>
  </si>
  <si>
    <t>FATA / North Waziristan</t>
  </si>
  <si>
    <t>6608-K</t>
  </si>
  <si>
    <t>Imtiaz Khan s/o Pasham Khan</t>
  </si>
  <si>
    <t>Sabar Gul, r/o Village Manoka, Tehsil Shab-e-Qadar, District Charsadda. (Mobile No. 0343-9762940 &amp; 0332-5821286).</t>
  </si>
  <si>
    <t>6609-P</t>
  </si>
  <si>
    <t>Mehar Inam Bari s/o Muhammad Ashraf Sohail</t>
  </si>
  <si>
    <t>Ayesha Ashraf, r/o Ward No. 11, House No. 3155, Mohalla Islam Abad, Chunian, District Kasur. (Mobile No. 0300-4389448).</t>
  </si>
  <si>
    <t>35201-0340088-9</t>
  </si>
  <si>
    <t>Traced Person. Mehar Inam Bari Traced Persson entered appearance before the Commission on 16.9.2020 at Lahore, however he was somewhat reluctant to furnish certain details qua the episode for obvious reasons. Be that as it may no further action is required to be taken by the Commission.</t>
  </si>
  <si>
    <t>6610-P</t>
  </si>
  <si>
    <t>Haris Khan s/o Irshad ali</t>
  </si>
  <si>
    <t>Irshad Ali, r/o House No. 79-B, Gali No. 1, Mohalla Galesko Town, 20 KM Ferozpur Road, Lahore. (Mobile No. 0300-8890362).</t>
  </si>
  <si>
    <t>35201-9384503-9</t>
  </si>
  <si>
    <t>Traced Person. Sher Khan SI/ IO of the case appeared before the Commission on 16.9.2020 at Lahore and submitted that at the moment Haris Khan Missing Person was present at home who could not attend the Commission due to ailment. Be that it may in view of categoric statement as made by the IO before the Commission no further action is required to be taken by the Commission.</t>
  </si>
  <si>
    <t>6611-K</t>
  </si>
  <si>
    <t>Ghulam Nabi s/o Mehar Badshah</t>
  </si>
  <si>
    <t>Inayat -ur-Rehman, r/o Mohalla Suleman Farsi, Sangu Landi Balla, P.O Sangu, Tehsil &amp; District Peshawar. (Mobile No. 0333-9412126 &amp; 0308-8138809).</t>
  </si>
  <si>
    <t>17301-2125371-7</t>
  </si>
  <si>
    <t>6612-K</t>
  </si>
  <si>
    <t>Zahoor Ahmed s/o Hazrat Gul</t>
  </si>
  <si>
    <t>Abu Bakar, r/o Village Shah Alam, P.O Nakai, Charsadda Road, Peshawar. (Mobile No. 0311-9179876 &amp; 0315-9870887).</t>
  </si>
  <si>
    <t>17301-9764998-3</t>
  </si>
  <si>
    <t>6613-I</t>
  </si>
  <si>
    <t>Jamal Nasir s/o Bacha Zada</t>
  </si>
  <si>
    <t>Bacha Zada, r/o Gali No. 66, House No. 92, I-10/1, Islamabad. (Mobile No. 0344-5348992 &amp; 051-4441715 &amp; 0347-9064336).</t>
  </si>
  <si>
    <t>15605-0395324-1</t>
  </si>
  <si>
    <t>FIR No. 112, dated 4.3.2020 u/s 365PPC, P.S Sabzi Mandi, ICT</t>
  </si>
  <si>
    <t>Traced Person. IO/SI of ICT Police submitted report/statement confirming that Jamal Nasir has returned home. The Traced Person stated that he went for Tableegh at his own without informing family. Accordingly, the case is closed.</t>
  </si>
  <si>
    <t>6614-P</t>
  </si>
  <si>
    <t>Azhar Rehman s/o Abdul Rehman</t>
  </si>
  <si>
    <t>Fazal Rehman, r/o P.O Khas, Feroz Watawa, Tehsil &amp; District Sheikhupura. (Mobile No. 0302-5402120).</t>
  </si>
  <si>
    <t>35404-1855597-9</t>
  </si>
  <si>
    <t>FIR No. 1338/19, dated 2.5.2019 u/s 365 PPC, P.S Kahna, Lahore</t>
  </si>
  <si>
    <t>Traced Person. Azhar Rehman entered appearance before the Commission on 16.9.202 at Lahore, however he was somewhat reluctant to furnish certain details qua the episode for obvious reasons. In view of what has been stated hereinabove no further action is required to be taken by the Commission.</t>
  </si>
  <si>
    <t>6615-K</t>
  </si>
  <si>
    <t>Akbar Bilal s/o Muhammad Javed</t>
  </si>
  <si>
    <t>Haseeb-ur-Rehman, r/o House No. 2050, Kocha Nadir Ali, Chowk Nasir Khan, Kochi Bazar, Peshawar City. (Mobile No. 0332-0531114 &amp; 0313-8949486).</t>
  </si>
  <si>
    <t>17301-3934015-5</t>
  </si>
  <si>
    <t>Traced Person. Haseeb-ur-Rehman complainant appeared before the Commission on 14.9.2020 at Peshawar, whose statement was recorded on oath, in which he submitted that dead-body of Akbar Bilal was recovered during the night between 27/28 May, 2020 that he identified the dead-body and carried out burial. He further stated that he did not want to pursue the case further before the Commission. Accordingly, the case is closed.</t>
  </si>
  <si>
    <t>6616-P</t>
  </si>
  <si>
    <t>Iran Khan s/o Glass Khan</t>
  </si>
  <si>
    <t>Muhammad Arif, r/o Sipah Warmaz Khel, Spin Qaber, P.O Bara, Tehsil Bara, District Khyber. (Mobile No. 0301-6480060 &amp; 0302-5927032).</t>
  </si>
  <si>
    <t>21201-4567514-7</t>
  </si>
  <si>
    <t>FIR No 110 dated 1.4.2020 u/s 365 PPC PS Hazro District Attock</t>
  </si>
  <si>
    <t>6617-K</t>
  </si>
  <si>
    <t>Sami Ullah s/o Rooh Ullah</t>
  </si>
  <si>
    <t>Asmat Ullah, r/o Momin Town, Dala Nak, Road, Peshawar. (Mobile No. 0312-6600513 &amp; 0302-3015070).</t>
  </si>
  <si>
    <t>HJ10897634461</t>
  </si>
  <si>
    <t>FIR No. 349 dated 18.07.2020 u/s 365 PPC, PS Pabbi</t>
  </si>
  <si>
    <t>6618-S</t>
  </si>
  <si>
    <t>Mohabat Shah s/o Gul Zada</t>
  </si>
  <si>
    <t>Muhammad Adil, r/o Islam Goath, House No, 14 &amp; 15, Mangupir Road, Karachi, Tehsil, &amp; District Karachi Garbi. (Mobile No. 0313-9092887)</t>
  </si>
  <si>
    <t>37405-0656715-9</t>
  </si>
  <si>
    <t>6619-S</t>
  </si>
  <si>
    <t>Muhammad Azeem Hanif s/o Muhammad Hanif</t>
  </si>
  <si>
    <t>Mst. Mamoona Hussain, r/o Liaqatabad Town, House No. B-92, Haji Mureed Goath, Firdous Colony, Karachi (Mobile No. 0311-2679584).</t>
  </si>
  <si>
    <t>42101-0123326-3</t>
  </si>
  <si>
    <t>Traced Person. It was informed at the hearing held in this Commission on 09.07.2020 that Muhammad Azeem Hanif has returned home. He appeared before the Commission along with his family members. The statement of the Traced Person has been recorded u/s 164 CrPC, which is available on record. The report submitted by SDPO, Liaqatabad also confirms the aforesaid position.</t>
  </si>
  <si>
    <t>6620-K</t>
  </si>
  <si>
    <t>Kemia Gul s/o Sahil Khan</t>
  </si>
  <si>
    <t>Mst. Jabeena Bibi, r/o Qoyam Afridi Kamar Khel, Khwaidad Klhel, Kandaye Banrih khel, Tehsil Bara, District Khyber. (Mobile No. 0333-8995942).</t>
  </si>
  <si>
    <t>21201-5431595-3</t>
  </si>
  <si>
    <t>FIR No. 387 dated 31.07.2020 u/s 365 PPC, PS Pabbi</t>
  </si>
  <si>
    <t>6621-K</t>
  </si>
  <si>
    <t>Sami Ullah s/o Ghulam Shoaib</t>
  </si>
  <si>
    <t>Rafi Ullah, r/o Kandi, P.O Chakisar, Tehsil Chakisar, District Shangla. (Mobile No. 0347-5259357).</t>
  </si>
  <si>
    <t>15503-0515345-7</t>
  </si>
  <si>
    <t>FIR No. 41/2016. &amp;&amp;
 FIR No. 393 dated 29.07.2020 u/s 365 PPC, PS Akora</t>
  </si>
  <si>
    <t>6622-I</t>
  </si>
  <si>
    <t>Abdul Qadeer s/o Abdul Kareem</t>
  </si>
  <si>
    <t>Abdul Kareem, r/o Village Mera Bari, Mohalla Chontra, Near Girls High School Chontra, P.O Golrha, District Islamabad. (Mobile No. 0301-5001541 &amp; 0317-8035545).</t>
  </si>
  <si>
    <t>61101-3222524-5</t>
  </si>
  <si>
    <t>Traced Person. Abdul Karim, father of Abdul Qadeer appeared before the Commission on 14.5.2020 and stated that his son who was mentally retarded has returned home. Accordingly, the case is closed.</t>
  </si>
  <si>
    <t>6623-P</t>
  </si>
  <si>
    <t>Akhtar Abbas s/o Zawar Muhammad Din</t>
  </si>
  <si>
    <t>Asad Abbas, r/o CRA MR-III CPO 2/1, Naval Complex, Sector E-8, Islamabad. (Mobile No. 0314-2977143 &amp; 0333-2037589).</t>
  </si>
  <si>
    <t>37405-2768404-9</t>
  </si>
  <si>
    <t>Traced Person, Mr. Muhammad Faisal, SSP(Inv) Rawalpindi has submitted that Akhtar Abbas has been traced and presently confined in the Central Jail Adyalla, Rawalpindi. He Has furnished report dated 27/04/2020 issued by CPO Rawalpindi, which indicates that on 14/03/2020 Akhtar Abbas was arrested in case FIR No. 184, dated 14/02/2020 u/s 394 PPC, PS/Waris Khan, Rawalpindi and confined in Central Prison Adyalla, Rawalpindi for identification parade. On 21.03.2020, his identification parade was carried out and the complainant identified him as his accused. Now, he is confined in Central Prison Adyalla, Rawalpindi.</t>
  </si>
  <si>
    <t>6624-K</t>
  </si>
  <si>
    <t>Ibrar s/o Abdul latif</t>
  </si>
  <si>
    <t>Abdul latif, r/o village Mansooka, Tehsil Shab-e-Qadar, District Charsadda. (Mobile No. 0335-0949832)</t>
  </si>
  <si>
    <t>17101-5991000-9
 Father CNIC</t>
  </si>
  <si>
    <t>Fir No. 282, dated 9/6/20, U/S 365 PPC, P.S Shab-e-Qadar, District Charsadda.</t>
  </si>
  <si>
    <t>6625-S</t>
  </si>
  <si>
    <t>Suleman s/o Aziz-ur-Rehman</t>
  </si>
  <si>
    <t>Mst. Nazakat w/o Suleman, r/o Usmanabad, Mingora, Tehsil Babuzai, District Swat. (Mobile No. 0348-5894404).</t>
  </si>
  <si>
    <t>6626-P</t>
  </si>
  <si>
    <t>Hafiz Muhammad Afzal s/o Muhammad Akbar</t>
  </si>
  <si>
    <t>Zeeshan Zafar, r/o Geoke Road, Kunja City, Tehsil &amp; District Gujjrat. (Mobile No. 0300-9811786).</t>
  </si>
  <si>
    <t>34201-4717326-9</t>
  </si>
  <si>
    <t>Traced Person. Hafiz Muhammad Afzal appeared before the Commission on 17.9.2020 at Lahore along with investigation officer of the case. Hafiz Muhammad Afzal was reluctant to highlight the factual aspects of the episode for certain obvious reasons. Be that as it may his name be deleted from the list of enforced disappeared persons</t>
  </si>
  <si>
    <t>6627-F</t>
  </si>
  <si>
    <t>Qasim Khan s/o Khana Gul</t>
  </si>
  <si>
    <t>Riaz Khan, r/o Mehtan Kor, Tehsil Yaka Gund, District Mohmand. (Mobile No. 0347-5252214).</t>
  </si>
  <si>
    <t>6628-I</t>
  </si>
  <si>
    <t>Taqueer Ahmed s/o Nazeer Ahmed</t>
  </si>
  <si>
    <t>Mst. Bibi Shakeela, r/o Pind Sangryal, Golda Sharif, Islamabad. (Mobile No. 0310-5942366 &amp; 0332-5592973).</t>
  </si>
  <si>
    <t>61101-1882640-6</t>
  </si>
  <si>
    <t>Traced Person. IO/ASI of ICT Police submitted report at the hearing on 14.5.2020 that Tauqeer Ahmed was arrested on 16.3.2020 in case FIR No. 153 PS Golra and produced before Ilaqa Magistrate, who sent him to Adyala Jail. Now, he has been released on bail. Accordingly, the case is closed.</t>
  </si>
  <si>
    <t>31st March, 2020</t>
  </si>
  <si>
    <t>6629-B</t>
  </si>
  <si>
    <t>Dostain s/o Muhammad Karim</t>
  </si>
  <si>
    <t>r/o Ward No. 02, Pasni and Ormara Village, District Gwadar, Balochistan.</t>
  </si>
  <si>
    <t>1st April 2020</t>
  </si>
  <si>
    <t>6630-B</t>
  </si>
  <si>
    <t>Zahoor Ahmed</t>
  </si>
  <si>
    <t>r/o Khar Daan, Kalat, Balochistan, Pakistan.</t>
  </si>
  <si>
    <t>51201-5158988-9</t>
  </si>
  <si>
    <t>Deleted. Gul Muhammad real brother of Zahoor Ahmad appeared before the Commission at Quetta on 22.10.2021 whose statement was recorded on oath in which he deposed that on 29.9.2013 at 4:00 PM, Zahoor Ahmed he left home for getting petrol in his motorcycle and did not return home. He further stated that the police had also recorded his statement wherein he had not nominated anyone and nor the family had any suspicion against anybody. Hence, the case does not fall witin the domain of enforced disappearance and closed.</t>
  </si>
  <si>
    <t>6631-B</t>
  </si>
  <si>
    <t>Zaheer Ahmed s/o Haji Moula Bakhsh</t>
  </si>
  <si>
    <t>r/o, Khuda Badaan, Daak-Khaana, District Panjgur.</t>
  </si>
  <si>
    <t>52301-0319798-7</t>
  </si>
  <si>
    <t>6632-B</t>
  </si>
  <si>
    <t>Hasrat Hasil Khan s/o Abdul Rehman</t>
  </si>
  <si>
    <t>r/o, Gazi, Jhao, District Awaran, Balochistan, Pakistan.</t>
  </si>
  <si>
    <t>51103-3647788-1</t>
  </si>
  <si>
    <t>6633-B</t>
  </si>
  <si>
    <t>Muhammad Nawaz Rind s/o Fazal Khan</t>
  </si>
  <si>
    <t>r/o Rind Ali, Dhadar, District Kacchi, Balochistan, Pakistan.</t>
  </si>
  <si>
    <t>Deleted. After through investigation the case has been concluded on that of Missing Person has gone on his own as he was abducted by some relatives due to dispute over a woman. All opportunities afforded to the complainant but there is no evidence to indicate the case as that of enforced disappearance. No further action is required. The case is closed.</t>
  </si>
  <si>
    <t>6634-B</t>
  </si>
  <si>
    <t>Ganj Bakhsh</t>
  </si>
  <si>
    <t>r/o, Sareej, Daak Khana, Grwsha, Tehsil Naal, District Khuzdar, Balochistan.</t>
  </si>
  <si>
    <t>51402-0995761-9</t>
  </si>
  <si>
    <t>Traced Person. SSP (Inv), Quetta appeared before the Commission and submitted that Ganj Bakhsh had been traced. SHO PS Saryab, Quetta also appeared whose statement was recorded on oath. Confirming that Ganj Bakhsh s/o Lal Bakhsh returned to home and now a days staying at his home at Khuzdar. He produced copies of relevant documents of Ganj Bakhsh u/s 161 CrpC, duly attested.</t>
  </si>
  <si>
    <t>6635-B</t>
  </si>
  <si>
    <t>Fazal Khan Kolvi Rind</t>
  </si>
  <si>
    <t>6636-B</t>
  </si>
  <si>
    <t>Aman Ullah</t>
  </si>
  <si>
    <t>r/o, Killi Geo, Jhelum Kareez, Karani Road, Queeta, Balochistan, Pakistan.</t>
  </si>
  <si>
    <t>54400-6606049-9</t>
  </si>
  <si>
    <t>Traced Person. Aman Ullah s/o Abdul Wahid Mengal appeared before the Commission at Quetta on 26.10.2021. His statement was recorded on oath in which he deposed that he was abducted on 10.3.2017 by unknown persons at Sogar More who came in two vehicles. He was shifted to an unknown place. He was set free on 14.7.2021 at Sona Khan from where he reached home. No further action is required. The case is closed.</t>
  </si>
  <si>
    <t>6637-K</t>
  </si>
  <si>
    <t>Sher Rehman s/o Abdul Hassan Khan</t>
  </si>
  <si>
    <t>Mst. Yasana Bibi r/o Peshawar, KPK, Pakistan. (Mobile No. 0345-3105103 &amp; 0335-830410).</t>
  </si>
  <si>
    <t>21702-7804328-1</t>
  </si>
  <si>
    <t>6638-B</t>
  </si>
  <si>
    <t>Jeand Baloch</t>
  </si>
  <si>
    <t>r/o, Spini Road, Queeta, Balochistan, Pakistan.</t>
  </si>
  <si>
    <t>54400-5922819-7</t>
  </si>
  <si>
    <t>Traced Person. SSP (Inv), Quetta appeared before the Commission at 1.9.2020 and submitted that Jeand Baloch had been traced. He further submitted that JIT meeting was held on 13.8.2020 at which Jeand Baloch appeared himself. Mr. Jeand Baloch also entered appearance before the Commission, whose statement was also recorded on oath.</t>
  </si>
  <si>
    <t>6639-B</t>
  </si>
  <si>
    <t>Nasir Hussain</t>
  </si>
  <si>
    <t>r/o, Lanjar Village in Tehsil Jhao, District Awaran, Balochistan, Pakistan.</t>
  </si>
  <si>
    <t>51103-5706724-9</t>
  </si>
  <si>
    <t>Traced Person. SP (Inv), Lasbella appeared before the Commission on 11.2.2021 at Quetta, whose statement was recorded on oath in which he deposed that Nasir Hussain returned home on 24.1.2021. He produced statement of Nasir Ahmed (Traced Person) recorded u/s 161 CrPC.</t>
  </si>
  <si>
    <t>6640-B</t>
  </si>
  <si>
    <t>Najeem Ahmed</t>
  </si>
  <si>
    <t>r/o, Sandum, Geshkor, District Awaran, Balochistan, Pakistan.</t>
  </si>
  <si>
    <t>51101-6377790-1</t>
  </si>
  <si>
    <t>Traced Person. Usman Ghani DSP (Legal) Lasbella appeared before the Commission on 10.9.2020 at Quetta, whose statement was recorded on oath, in which he deposed that Najeem Ahmed returned home on 7.2.2020. In support of his statement he produced statement of Najeem Ahmed. Report of SHO PS Hab City and report of SSP, Lasbela. As stated above the complaint was received from UNWGEID, it has been informed that as per information from the source the person has been released and WGEID has clarified the case in its 121 session. Accordingly, the case stands disposed of and file after compilation, be consigned to record.</t>
  </si>
  <si>
    <t>6641-B</t>
  </si>
  <si>
    <t>Shams-ur-Rehman Mengal s/o Hafiz Ghulam Rasool</t>
  </si>
  <si>
    <t>r/o, Qaazi Abad, Nushki, District Quetta, Balochistan, Pakistan.</t>
  </si>
  <si>
    <t>54501-2137395-7</t>
  </si>
  <si>
    <t>6642-B</t>
  </si>
  <si>
    <t>Ghulam Mustafa s/o Muhammad Karim</t>
  </si>
  <si>
    <t>Gwarjak Villlage, Tehsil Mashkay, District Awaran, Balochistan, Pakistan.</t>
  </si>
  <si>
    <t>51102-9907263-7</t>
  </si>
  <si>
    <t>MoFAs No. 10010518</t>
  </si>
  <si>
    <t>6643-B</t>
  </si>
  <si>
    <t>Muhammad Haneef</t>
  </si>
  <si>
    <t>r/o Sordo, District Panjgur, Balochistan, Pakistan.</t>
  </si>
  <si>
    <t>51402-1221119-3</t>
  </si>
  <si>
    <t>Traced Person. The case was fixed for hearing on 9.9.2020 but neither anyone on behalf of Missing Person nor D.C Panjgur has appeared. As stated above, the complainant was received from UNWGEID. As per subsequently report received from UNWGEID, it has been informed that as per information form the source the person has been released and WGEID has clarified the case in its 121 Session. Accordingly, the case stands disposed of.</t>
  </si>
  <si>
    <t>6644-S</t>
  </si>
  <si>
    <t>Saeed Baloch</t>
  </si>
  <si>
    <t>r/o, Bit Buleda, District Kech, Balochistan, Pakistan.</t>
  </si>
  <si>
    <t>52201-1646456-1</t>
  </si>
  <si>
    <t>MoFAs No. 10010514</t>
  </si>
  <si>
    <t>6645-B</t>
  </si>
  <si>
    <t>Nazar Muhammad Marri</t>
  </si>
  <si>
    <t>r/o, Beside Natinal Park, Killi Marri Hazar, Quetta, Balochistan, Pakistan.</t>
  </si>
  <si>
    <t>54401-8192301-1</t>
  </si>
  <si>
    <t>Deleted. SP Barkhan was in attendance for the hearing on 22.10.2021 whose statement was recorded on oath. He has submitted that in the instant case three Jit meetings were held and the case was concluded as Kidnapping due to personal enmity for which reasons were recorded by JIT which indicate that it was a family matter. Accordingly, the case does not fall the ambit of enforced disappearance. The case is closed.</t>
  </si>
  <si>
    <t>6646-K</t>
  </si>
  <si>
    <t>Muhammad Ilyas</t>
  </si>
  <si>
    <t>r/o, jani Khel, Handi Khel F.R Bannu, KPK, Pakistan.</t>
  </si>
  <si>
    <t>11101-7069932-1</t>
  </si>
  <si>
    <t>Traced Person. SP (Inv), Bannu informed that Muhammad Ilyas Traced Person is confined in Internment Center Lakki Marwat. It was also stated that family members have visited him several times. Yarullah f/o Muhammad Ilyas Traced Person appeared before the Commission on 13.8.2020, whose statement has been recorded on oath. According to him he has not submitted any application before the Commission. However, he confirmed that his son Muhammad Ilyas in the Internment Center Lakki Marwat. The report dated 13.8.2020 of MI is alos to the extent that Muhammad Ilyas is interned in Internment Center at Lakki Marwat.</t>
  </si>
  <si>
    <t>6647-P</t>
  </si>
  <si>
    <t>Mulazim Hussain s/o Ghulam Qasim</t>
  </si>
  <si>
    <t>Ismail Khan Muzamil, r/o Hayam House, PD-171, Lane No.1, Near Double Road, Rawalpindi Stadium, Rawalpindi. (Mobile No. 0346-7877555).</t>
  </si>
  <si>
    <t>12101-8940306-9</t>
  </si>
  <si>
    <t>FIR No. 673/20, Dated 15/03/2020, u/s 365 PPC, P.S New Town, Rawalpindi</t>
  </si>
  <si>
    <t>Traced Person, Mr. Muhammad Faisal, SSP(Inv) Rawalpindi has intimated that Mulazim Hussain has been traced and returned home, Mulazim Hussain has appeared before the Commission, Whose Statement has been recorded on oath. He has deposed that on 13/03/2020 he went along with Maqsood Abbasi to village Pari, District Skardu in connection with private business regarding which their family members were not aware, and due to which they made efforts for tracing them. He also deposed that none had abducted him or Maqsood Abbasi.</t>
  </si>
  <si>
    <t>6648-P</t>
  </si>
  <si>
    <t>Muhammad Maqsood Abbasi s/o Manzoor Hussain</t>
  </si>
  <si>
    <t>Mst. Maryam Abbasi, r/o Hayam House, PD-171, Lane No.1, Near Double Road, Rawalpindi Stadium, Rawalpindi. (Mobile No. 0301-8663532 &amp; 0346-7877555).</t>
  </si>
  <si>
    <t>37405-0318033-3</t>
  </si>
  <si>
    <t>Traced Person, Mr. Muhammad Faisal, SSP(Inv) Rawalpindi has intimated that Maqsood Abbasi has been traced and returned home, Maqsood Abbasi has appeared before the Commission, Whose Statement has been recorded on oath. He has deposed that on 13/03/2020 he went along with Mulazim Hussain to village Pari, District Skardu in connection with private business regarding which their family members were not aware, and due to which they approached this Commission for Tracing Them. He also deposed that none had abducted him or Mulazim Hussain.</t>
  </si>
  <si>
    <t>6649-P</t>
  </si>
  <si>
    <t>Muhammad Ibrar s/o Haq Nawaz Khan</t>
  </si>
  <si>
    <t>Haq Nawaz Khan, r/o Basti &amp; P.O Makool Kala, P.S Saddar Tonsa Sharif, Tehsil Tonsa Sharif, District D.G.Khan. (Mobile No. 0332-6235997).</t>
  </si>
  <si>
    <t>32103-0665651-5</t>
  </si>
  <si>
    <t>6650-K</t>
  </si>
  <si>
    <t>Mehbool Ahmed s/o Ismail Shah</t>
  </si>
  <si>
    <t>Zafar Ali Akhan, r/o Mohallah Khatak Cham, Village Chota Lahore, District Swabi. (Mobile No. 0300-5145035)</t>
  </si>
  <si>
    <t>16201-8575125-5</t>
  </si>
  <si>
    <t>FIR No. 564, dated 13.06.2020, u/s 365 PPC, P.S Lahor, Swabi</t>
  </si>
  <si>
    <t>6651-S</t>
  </si>
  <si>
    <t>Imran Khan Kaleri Baloch s/o Kaleri Baloch</t>
  </si>
  <si>
    <t>Kaleri Baloch, r/o New Bakhari, Ward No. 12, Taluka Kandiaro, District Naushahro Feroz, Sindh, Pakistan.</t>
  </si>
  <si>
    <t>45302-0513831-3</t>
  </si>
  <si>
    <t>Traced Person. It has been informed at the hearing held in this Commission on 1.6.2020 that Imran Khan has returned home. The report submitted by SHO, PS Sharah-e-Faisal , Karachi has confirmed the aforesaid position vide report dated 19.3.2020.</t>
  </si>
  <si>
    <t>6652-P</t>
  </si>
  <si>
    <t>Abdul Ahad s/o Aziz-un-Nabi</t>
  </si>
  <si>
    <t>Mst. Shakeela Anwar, r/o Flat No. 04, Zone A, Block 18, Laborer Colony, LDA Avenue 1, Raiwind Road Lahore. (Mobile No. 0335-4388264).</t>
  </si>
  <si>
    <t>35201-7318328-7</t>
  </si>
  <si>
    <t>Traced Person. Zawar Hussain SI/Io of the case appeared before the Commission on 16.9.2020 at Lahore and submitted in a categoric manner that Abdul Ahad had returned back and presently residing at his home. The case is closed.</t>
  </si>
  <si>
    <t>6653-K</t>
  </si>
  <si>
    <t>Muhammad Yaseen Khan s/o Ameer Khan</t>
  </si>
  <si>
    <t>Mst. Bakht Zari, r/o Mohalla Musim Abad, Kass Koroona, Tehsil &amp; District Mardan, KPK. (Mobile No. 0331-2019766).</t>
  </si>
  <si>
    <t>16101-1276317-5</t>
  </si>
  <si>
    <t>FIR No. 196 dated 29.9.2004 u/s 365 PPC PS IDS, Swabi.</t>
  </si>
  <si>
    <t>6654-K</t>
  </si>
  <si>
    <t>6654-K 6655-K &amp; 6656-K to be fixed together on the next date of hearing</t>
  </si>
  <si>
    <t>Asfand Yar s/o Tehseen Ullah</t>
  </si>
  <si>
    <t>Wajid Ali, r/o Wajid Ali Bartan House, Shab-e-Qadar Bazar, Garebabad, Tehsil Shab-e-Qadar, District Charsadda. (Mobile No. 0332-9605127 &amp; 0334-9410326 &amp; 0301-9001757).</t>
  </si>
  <si>
    <t>17101-8824853-9</t>
  </si>
  <si>
    <t>Deleted. After through investigation, it has been concluded that disappearance of Asfand Yar was on account of personal enmity and no LEA/Intelligence Agency was involved. Hence no further action is required. The case is closed.</t>
  </si>
  <si>
    <t>6655-K</t>
  </si>
  <si>
    <t>Tehseen Ullah s/o Mirza</t>
  </si>
  <si>
    <t>17101-4740220-3</t>
  </si>
  <si>
    <t>Deleted. After through investigation, it has been concluded that disappearance of Tehseen Ullah was on account of personal enmity and no LEA/Intelligence Agency was involved. Hence no further action is required. The case is closed.</t>
  </si>
  <si>
    <t>6656-K</t>
  </si>
  <si>
    <t>Wajid Ullah s/o Mirz</t>
  </si>
  <si>
    <t>Haider Ali, r/o Wajid Ali Bartan House, Shab-e-Qadar Bazar, Garebabad, Tehsil Shab-e-Qadar, District Charsadda. (Mobile No. 0332-9605127 &amp; 0334-9410326 &amp; 0301-9001757).</t>
  </si>
  <si>
    <t>17101-1314901-5</t>
  </si>
  <si>
    <t>Deleted. After through investigation, it has been concluded that disappearance of Wajid Ullah was on account of personal enmity and no LEA/Intelligence Agency was involved. Hence no further action is required. The case is closed.</t>
  </si>
  <si>
    <t>6657-K</t>
  </si>
  <si>
    <t>Muhammad Sajid s/o Bashir Ahmed</t>
  </si>
  <si>
    <t>Haji Bashir Ahmed, r/o Village &amp; P.O Parwah, Near GGHSS Parwah, Tehsill Perwah, District D.I.Khan. (Mobile NO. 0346-7873797 &amp; 0346-7871884).</t>
  </si>
  <si>
    <t>12101-4330942-9</t>
  </si>
  <si>
    <t>6658-K</t>
  </si>
  <si>
    <t>Syed Talawat Hussain s/o Syed Gul Qasim</t>
  </si>
  <si>
    <t>Syed Zeeshan Haider, r/o Sara Khona, Orakzai, Hal Mitha Khan, District Kohat. (Mobile No. 0316-9668055 &amp; 0332-5310962).</t>
  </si>
  <si>
    <t>21603-1924908-7</t>
  </si>
  <si>
    <t>FIR No. 240 dated 26.6.2020 u/s 365 PPC, PS Ghambat, District Khoat</t>
  </si>
  <si>
    <t>Traced Person. Syed Talawat Hussain has been traced. Rep of MI appeared before the Commission on 06.04.2021. He was submitted that Syed Talawat Hussain was facing trial by FGCM on espionage charges. Syed Rasheed Hussain brother also entered appearance, who was apprised of status of the case. No further action is required. The case is closed.</t>
  </si>
  <si>
    <t>6659-K</t>
  </si>
  <si>
    <t>Amir Ullah Khan s/o Shahreen Zaman</t>
  </si>
  <si>
    <t>Shahreen Zaman, r/o Kotla Shaikh Ahmed Colony, Kaki Tarf Awal, District5 Bannu. (Mobile No. 0333-9748731).</t>
  </si>
  <si>
    <t>11101-3248304-1</t>
  </si>
  <si>
    <t>Traced Person. Amir Ullah Khan has been Traced. It was informed at the hearing held on 26.6.2020 that he has been arrested by Karachi Police in the case of exposives and presently he is confined in the Central Jail Karachi. IO/SI ABdullah Khan of PS/Kokki, District Bannu also appeared and furnished progress report dated 24/06/2020 and statement of Sher Zaman(complainant) and Tahir Ullah b/o Amir Ullah Khan.</t>
  </si>
  <si>
    <t>6660-S</t>
  </si>
  <si>
    <t>Abdul Aziz Chang s/o Jamaal-ud-Din</t>
  </si>
  <si>
    <t>Jamaal-ud-Din, r/o B-54, Phase 1, Sindh University Colony, Jamshoro, Sindh, Pakistan.</t>
  </si>
  <si>
    <t>Traced Person. Shams-ul-Haq b/o Missing Person and SDPO, Karachi appeared before the Commission on 18.2.2021 whose statements was recorded on oath in which he deposed that his brother Abdul Aziz Chang was abducted on 31.2.2021 and he was released on 1.1.2021. No further action is required. The case is closed.</t>
  </si>
  <si>
    <t>MoFAs No. 10010710</t>
  </si>
  <si>
    <t>6661-P</t>
  </si>
  <si>
    <t>Mehboob Jahangir s/o Muhammad Jahangir</t>
  </si>
  <si>
    <t>Imran Jahangir, r/o Mohalla Ada Chabel. G.T.Road, Bata Pur, Lahore Cantt, District Lahore. (Mobile No. 0321-9430869).</t>
  </si>
  <si>
    <t>35201-6025218-5</t>
  </si>
  <si>
    <t>Traced Person. Mehboob Jahangir appeared before the Commission on 26.8.2020 and submitted that he returned home last week. He, however , could not furnish any details regarding persons involved and the place where JIT report also confirmed the aforesaid position.</t>
  </si>
  <si>
    <t>30th April 2020</t>
  </si>
  <si>
    <t>6662-P</t>
  </si>
  <si>
    <t>Ikramullah Ikramullah s/o Muhammad Sher Khan</t>
  </si>
  <si>
    <t>r/o Kutab Khel Miran Shah, District North Waziristan, KPK.</t>
  </si>
  <si>
    <t>21506-2909383-3</t>
  </si>
  <si>
    <t>Traced Person. It was informed at the hearing held on 15-06-2021 at Lahore by the Investigation Officer that Ikram Ullah who is nominated accuse in various FIRs has been released on bail. Hence, no further action is required. The case is closed.</t>
  </si>
  <si>
    <t>1st May, 2020</t>
  </si>
  <si>
    <t>6663-S</t>
  </si>
  <si>
    <t>Rashid Nadeem s/o Ghulam Muhammad</t>
  </si>
  <si>
    <t>Mst. Mehar-un-Nisa, r/o House No. A-1706, Phase-I, Gulshan-e-Hadeed, Bin Qasim Town, Karachi. (0336-1264977).</t>
  </si>
  <si>
    <t>Traced Person: It was informed at the Hearing held in this Commission on 05.10.2020 that Mr. Rashid Nadeem has returned Home. The statement of the Traced Person has beeen recorded u/s 164 CrPC in which he said that he left homedue to dispute with his wife. The Report submitted by SDPO Bin Qasi, Karachi confirmed the afprsaid position. No further action is required. The case is Closed.</t>
  </si>
  <si>
    <t>6664-P</t>
  </si>
  <si>
    <t>Muhammad Irfan Azeem s/o Muhammad Azeem</t>
  </si>
  <si>
    <t>Muhammad Kamran Azeem, r/o Mohalla Qazian wala, Shumali Dullewala No. 1, Tehsil Darya Khan, District Bhakkar. (Mobile No. 0309-0409037 &amp; 0346-1717617).</t>
  </si>
  <si>
    <t>38102-3309672-7</t>
  </si>
  <si>
    <t>Traced Person. Muhammad Irfan Azeem has been traced where statement was recorded by DSP City, Bakhar confirming return of Muhammad Irfan Azeem to home.</t>
  </si>
  <si>
    <t>6665-I</t>
  </si>
  <si>
    <t>Zulqernein Haider s/o Iqraz Hussain</t>
  </si>
  <si>
    <t>Iqraz Hussain, r/o Block No. 87-B, Flat No 11, G-9/2, Islamabad. (Mobile No. 0345-0559114).</t>
  </si>
  <si>
    <t>61101-5946869-3</t>
  </si>
  <si>
    <t>Deleted. The investigation of the case indicates that three persons were nominated as accused in FIR who were arrested and the case in under trail before the Court of Law. Hence not a case of enforced disappearance. The case is closed.</t>
  </si>
  <si>
    <t>6666-K</t>
  </si>
  <si>
    <t>Muhammad Tahir s/o Muhammad Hassan</t>
  </si>
  <si>
    <t>Mst. Muzdalifah, r/o Beroni Yaka Tot, P.O Yaka Tot, Mohalla Nawab Abad, Peshawar. (Mobile No. 0301-2691640 &amp; 0315-9539794).</t>
  </si>
  <si>
    <t>17301-1491305-9</t>
  </si>
  <si>
    <t>6667-K</t>
  </si>
  <si>
    <t>Saeed Ullah s/o Haji Gulroz Khan</t>
  </si>
  <si>
    <t>Zia Ullah, r/o Mandi Akhoon Ahmed, Peshawar, Near Sharad University, Ring Road, Peshawar. (Mobile No. 0335-5771025 &amp; 0312-0408889).</t>
  </si>
  <si>
    <t>17301-0925640-5</t>
  </si>
  <si>
    <t>Traced Person. Saeed Ulah has been traced he appeared before the Commission on 15.9.2020 at Peshawar, whose statement was recorded on oath. He has stated that he was taken into custody from Army check posy Bara Gate, Peshawar. Later he was set free at Quetta after about 5 months and wherefrom he returned home by bus. He has requested to close the case.</t>
  </si>
  <si>
    <t>6668-K</t>
  </si>
  <si>
    <t>Sajad Ali s/o Wadan Ali</t>
  </si>
  <si>
    <t>Hamid, r/o Mohallah Shaji Shah Mansoor, District Swabi. (Mobile No. 0307-8547922)</t>
  </si>
  <si>
    <t>16202-994389-1</t>
  </si>
  <si>
    <t>FIR No. 655, dated 14.07.2020, u/s 365 PPC, P.S Lahor, Swabi</t>
  </si>
  <si>
    <t>Traced Person. Sajid Ali appeared before the Commission on 28.12.2020, whose statement recorded on oath, in which he deposed that he willingly went to Karachi on 14.11.2020 and returned home on 14.12.2020. He further added that application of his abduction was lodged with the Commission by his brother by concocting a story himself. No further action is required, the case is closed.</t>
  </si>
  <si>
    <t>6669-K</t>
  </si>
  <si>
    <t>Showrang Khan s/o Saleem Khan</t>
  </si>
  <si>
    <t>Anwar r/o Zandu Gorgodaye, P.O Tyarzah, Tehsil Tyarza, District South Waziristan. (Mobile No. 0344-4106105 &amp; 0345-5020206).</t>
  </si>
  <si>
    <t>21706-0377437-3</t>
  </si>
  <si>
    <t>FIR No. 232, dated 02/06/2020 u/s 365, PPC, PS City Tank, Tank</t>
  </si>
  <si>
    <t>6670-K</t>
  </si>
  <si>
    <t>Hazrat Bilal s/o Zahir Khan</t>
  </si>
  <si>
    <t>Mst. Perveen r/o Beroni Yaka Tot, Near Zargar Abad, House No. 2260, Mohalla Qaziabad, Peshawar. (Mobile No. 0300-5841835) .</t>
  </si>
  <si>
    <t>Traced person. The case was fixed for hearing on 26.8.2020 when Qaiser Khan, SI, PS Agha Mirjani Shah, Peshawar entered appearance and submitted that Hazrat Bilal s/o Zahir Khan returned home his statement was recorded on oath. A report of confirmation from the applicant was also submitted by SP (Inv), Peshawar.</t>
  </si>
  <si>
    <t>6671-P</t>
  </si>
  <si>
    <t>Faheem Naeem s/o Abdul Naeem</t>
  </si>
  <si>
    <t>Waseem Naeem, r/o House No. M-896, Mohalla Masterpur, Chaklala Road, Rawalpindi. (Mobile No. 0346-7526725 &amp; 0341-0157865).</t>
  </si>
  <si>
    <t>37405-6532584-9</t>
  </si>
  <si>
    <t>Traced Person. Faheem Naeem has been traced. He has returned home as informed by the complainant who appeared before the Commission. He further stated that Faheem Naeem had gone to Gilgit along with his friends and returned home on 21.05.2020.</t>
  </si>
  <si>
    <t>6672-P</t>
  </si>
  <si>
    <t>Muhammad Naeem Khan s/o Muhammad Saleem Khan</t>
  </si>
  <si>
    <t>Mst. Saima r/o Flat No. 03, Block£ E-2, PHA Blocks, G-11/3, Islamabad. (Mobile No. 0315-9082177 &amp; 0310-5464606).</t>
  </si>
  <si>
    <t>61101-1786580-7</t>
  </si>
  <si>
    <t>FIR No. 165, dated 08/06/2020 u/s 365, PPC, PS Shorkot Cantt, Jhang.</t>
  </si>
  <si>
    <t>Traced Person. Muhammad Naeem Khan appeared before the Commission at the hearing held on 15-06-2021. He was reluctant to indicate facts of the episode. Hence no further action is required. The case is closed.</t>
  </si>
  <si>
    <t>6673-K</t>
  </si>
  <si>
    <t>Muhammad Nazeer s/o Gul Nazeer Khan</t>
  </si>
  <si>
    <t>Gul Nazeer Khan, r/o Rangeena Goundi, Kadukor, P.O Zareef Kor, Tehsil Yakagand, District Mohmand. (Mobile No. 0321-9184071).</t>
  </si>
  <si>
    <t>17301-3370938-9</t>
  </si>
  <si>
    <t>Deleted. Gul Nazeer Khan s/o Muhammad Nazeer appeared before the Commission on 18.4.2022 and deposed in his statement that his son was taken away by TTM Commander Noor Raees not abducted by Security Forces. Hence, not a case of enforced disappearance.</t>
  </si>
  <si>
    <t>FATA
 Mohmand</t>
  </si>
  <si>
    <t>6674-K</t>
  </si>
  <si>
    <t>Haji Abdul Rauf s/o Raheem Baksh</t>
  </si>
  <si>
    <t>Abdul Basit, r/o Mohalla Koshak, District Khuzdar, Balochistan. (Levies No. C/378 Balochistan Levies Force). (Mobile No. 0333-6669002).</t>
  </si>
  <si>
    <t>51401-2294118-5</t>
  </si>
  <si>
    <t>Traced Person. Investigation Officer PS Dargai Malakand appeared before the Commission on 11.08.2021 and was recorded his statement on oath in which he deposed that Haji Abdul Rauf returned home. He produced statement of Haji Abdul Rauf. Ac Malakand also confirmed in his report submitted to the Commission.</t>
  </si>
  <si>
    <t>31st May, 2020</t>
  </si>
  <si>
    <t>6675-B</t>
  </si>
  <si>
    <t>Ghulab Ahmed s/o Ghulam Rasool</t>
  </si>
  <si>
    <t>Murad Hasil, r/o Nazarabad, Tehsil Tump, District Kech, Balochistan.</t>
  </si>
  <si>
    <t>Traced Person. Mr. Muhammad Amin Naib Tehsildar, Rep of Deputy Commissioner Kech appeared before the Commission on 9.9.2020, whose statement was recorded on oath in which he deposed that Ghulam Ahmed was abducted by unknown persons on 24.4.2020 and was set free after two months. He also produced statement of Mst. Mehrang mother of Missing Person . Statement of Nawaz Ali Secretary Union Council Tump is submitted of his statement and JIT report dated 7.9.2020. The case accordingly stands dispose of.</t>
  </si>
  <si>
    <t>HRC</t>
  </si>
  <si>
    <t>01st June, 2020</t>
  </si>
  <si>
    <t>6676-B</t>
  </si>
  <si>
    <t>Sana Ullah Baloch s/o Muhammad Ishaq</t>
  </si>
  <si>
    <t>Abdul Haleem, r/o Mohallah Thana Road, Kharan, Balochistan.</t>
  </si>
  <si>
    <t>Traced Person. Rep of CTD, Quetta appeared before the Commission on 11.2.2021 at Quetta whose statement was recorded on oath, in which he deposed that Sana ullah s/o Muhammad Ishaque was arrested by CTD Chaman in case FIR No. 48/2020 u/s 4/5 ESA, 7 ATA PS CTD, Quetta and presently confined in Chaman Jail, where he is facing trail.</t>
  </si>
  <si>
    <t>6677-P</t>
  </si>
  <si>
    <t>31.05/2020</t>
  </si>
  <si>
    <t>Muhammad Khan, r/o G-14/1, 26 Number Stop. (Mobile No. 0303-2146202 &amp; 0303-3453505)</t>
  </si>
  <si>
    <t>Traced Person. Additional SP (Inv) Sheikhupura appeared before the Commission and submitted that Abdul Razaq returned home and entered appearance along with his elder brother before JIT. Accordingly, in view of this categoric statement given by Additional SP (Inv), Sheikhupura no further action is required to be taken by the Commission. The case is closed.</t>
  </si>
  <si>
    <t>6678-P</t>
  </si>
  <si>
    <t>Sikandar Malik Awan s/o Muhammad Khan</t>
  </si>
  <si>
    <t>Muhammad Khan Awan, r/o Menar Chak No. 42/R.B Tehsil Sangala, District Nankana Shaib. (Mobile No. 0343-6168844)</t>
  </si>
  <si>
    <t>6679-P</t>
  </si>
  <si>
    <t>Zahid Hussain Minhas s/o Khadim Hussain Minhas</t>
  </si>
  <si>
    <t>Mst. Asmat Bibi, r/o Village Qasba Karyali, Teshil Sarai Alamgir, District Gujjrat. (Mobile No. 0316-2533423).</t>
  </si>
  <si>
    <t>41504-0366273-1</t>
  </si>
  <si>
    <t>FIR No. 128, dated 17/07/2019 u/s 365 PPC, PS Sadar Sarai Alamgir District Gujrat</t>
  </si>
  <si>
    <t>6680-P</t>
  </si>
  <si>
    <t>Abid Hussain Minhas s/o Khadim Hussain Minhas</t>
  </si>
  <si>
    <t>41504-0366318-1</t>
  </si>
  <si>
    <t>6681-P</t>
  </si>
  <si>
    <t>Muhammad Shabbir s/o Fazal Khan</t>
  </si>
  <si>
    <t>Fazal Khan, r/o Kashmiri Mohalla, Near Old Gala Mandi, Talagang, District Chakwal. (Mobile No. 0301-8929459 &amp; 0300-5780735).</t>
  </si>
  <si>
    <t>FIR No. 100 dated 24.6.2020 u/s 365 PPC PS City, Talla Ghang District Chakwal</t>
  </si>
  <si>
    <t>Traced Person. Muhammad Shabbir appeared before the Commission on 13.8.2020 and his statement was recorded on oath, in which he deposed that he was not abducted by anybody rather he went to his native village inn District Mohamand on his own and came back on 30.7.2020. As Muhammad Shabbir has been traced, he is no more a Missing Person, his case is accordingly closed.</t>
  </si>
  <si>
    <t>6682-P</t>
  </si>
  <si>
    <t>Muhammad Atif s/o Muhammad Idrees</t>
  </si>
  <si>
    <t>Muhammad Idrees, r/o Mohalla Nai Abadi, Near Makki Masjid, Pind Sultani, Tehsil Jhand, District Attock. (Mobile No. 0311-5851926).</t>
  </si>
  <si>
    <t>37104-0552552-9</t>
  </si>
  <si>
    <t>Traced Person. Muhammad Idrees f/o Muhammad Atif Traced Person entered appearance before the Commission on 14.9.2020, whose statement was recorded on oath. In his statement he deposed that Muhammad Atif has returned home on 11.9.2020/ As Muhammad Atif has been traced, he is no more a Missing Person and no further action is required to be taken by the Commission. The case is closed.</t>
  </si>
  <si>
    <t>6683-K</t>
  </si>
  <si>
    <t>Ali Haider s/o Abdul Rehman</t>
  </si>
  <si>
    <t>Israr Ali, r/o Shewah, Kalye Kinrah Dozai, P.O Yaka Gundh, Tehsil Yaka Gundh, District Mohmand, KPK. (Mobile No. 0300-9337770 &amp; 0303-9050070)</t>
  </si>
  <si>
    <t>21407-9348735-7</t>
  </si>
  <si>
    <t>Traced Person. DIG (Inv), Peshawar appeared before the Commission on 31.05.2021. Statement of ASI/ IO has been recorded by the Commission on oath in which he has deposed that Ali Haider has returned home. He produced statement of Ali Haider recorded u/s 164 CrPC. The case is closed.</t>
  </si>
  <si>
    <t>6684-K</t>
  </si>
  <si>
    <t>Siddique-ur-Rehman s/o Sapur Khan</t>
  </si>
  <si>
    <t>Sapur Khan, r/o Village Deykot, Tehsil Wana, District Sout Waziristan. (Mobile No. 0300-9014379 &amp; 0301-9885287).</t>
  </si>
  <si>
    <t>21708-5828229-1</t>
  </si>
  <si>
    <t>6685-K</t>
  </si>
  <si>
    <t>Muhammad Amir Khan s/o Muhammad Saleem Khan</t>
  </si>
  <si>
    <t>Muhammad Saleem Khan, r/o Dera Town, District Dera Ismail Khan, KPK. (Mobile No. 0346-9495132)</t>
  </si>
  <si>
    <t>12101-8783487-1</t>
  </si>
  <si>
    <t>6686-K</t>
  </si>
  <si>
    <t>Lal Pir Khan s/o Mazal Khan</t>
  </si>
  <si>
    <t>Mst. Khyalka Bibi, r/o Maizar Mada Khel, Tehsil Datta Khel, District North Waziristan, KPK. (Mobile No. 0334-1532180 &amp; 0336-5759798).</t>
  </si>
  <si>
    <t>21501-5750526-9</t>
  </si>
  <si>
    <t>FIR No. 552, Dated 20/07/2020, u/s 365 PPC, P.S Saddar, Bannu.</t>
  </si>
  <si>
    <t>30th June, 2020</t>
  </si>
  <si>
    <t>6687-K</t>
  </si>
  <si>
    <t>Khan Mada Samir s/o Gul Zalif Khan</t>
  </si>
  <si>
    <t>r/o Kara Macha Mada Khelm Tehsil Data Khel, District North Wasizristan. (Mobile No. 0333-5847463 &amp; 0335-9383585).</t>
  </si>
  <si>
    <t>21501-4764014-9</t>
  </si>
  <si>
    <t>Fir No. 132, dated 28/07/2020, u/c 365 PPC, P.S Gamibla, Laki Marwat</t>
  </si>
  <si>
    <t>UNWGED</t>
  </si>
  <si>
    <t>01st July, 2020</t>
  </si>
  <si>
    <t>6688-S</t>
  </si>
  <si>
    <t>Isreal s/o Khana Wadah</t>
  </si>
  <si>
    <t>Khana Wadah, r/o Dama Dola, Post Office Anayat Village, Tehsil Mohmand, District Bajur, KPK. (Mobile No. 0308-8499576).</t>
  </si>
  <si>
    <t>21104-9012264-3</t>
  </si>
  <si>
    <t>FIR No. 00, Dated 31/10/2017, u/s 365 PPC, P.S Kala Dar, Karachi.</t>
  </si>
  <si>
    <t>Detail Updated on 7/8/2020, after resiving porforma by complainat</t>
  </si>
  <si>
    <t>6689-P</t>
  </si>
  <si>
    <t>Muhammad Akram</t>
  </si>
  <si>
    <t>House No. 3, Street No. 01, Scoiety Walley Abad, Tehsil Gojra, District Toba Tek Singh.</t>
  </si>
  <si>
    <t>Traced Person. The cognizance of the Issue was taken on 1st July, 2020 by the Commission and direction were issued by means of letter dated 1.7.2020 to traced and whereabouts of Muhammad Akarm. He has entered appearance before the Commission on 16.9.2020 at Lahore, he was some what reluctant to explain the factual position for certain obvious reasons. Be that as it may no further action is required to be taken by the Commission. The case is closed.</t>
  </si>
  <si>
    <t>6690-K</t>
  </si>
  <si>
    <t>Irfan Ali s/o Ali Akbar</t>
  </si>
  <si>
    <t>Mst. Shahmeem, r/o Mohalla Akazai, Tehkal Hala, Tehsil &amp; District Peshawar. (Mobile No. 0345-9046226 &amp; 0321-9196811).</t>
  </si>
  <si>
    <t>17301-4168990-9</t>
  </si>
  <si>
    <t>6691-K</t>
  </si>
  <si>
    <t>Zahir Shah s/o Ghulam Qadir</t>
  </si>
  <si>
    <t>Wasal Khan, r/o Mata Showa Banda, P.O Katlang, District Mardan. (Mobile No. 0346-9356586).</t>
  </si>
  <si>
    <t>16101-1234212-3</t>
  </si>
  <si>
    <t>6692-B</t>
  </si>
  <si>
    <t>Bilal Ahmed Nasar s/o Aslam Nasar</t>
  </si>
  <si>
    <t>Allauddin Khilji, r/o House No. 7-20/58, Nichhari Road, Quetta. (Mobile No. 0336-8380440).</t>
  </si>
  <si>
    <t>FIR No. 19/2020 u/s 365 PPC, PS Bostan, District Pashin</t>
  </si>
  <si>
    <t>Traced Person. Bilal Ahmed Nasar Missing Person entered appearance before the Commission, whose statement has been recorded on oath. He deposed that he left home himself on 17th June, 2020 and went to Khuzdar fort picnic and remained at a picnic point located at the distance of three hours drive from Khuzdar. He further deposed that mobile signals were not available at the place, therefore he could not inform to his home. He has further added that he left home without intimation, therefore his brother reported the matter to the Police. He further added that he was neither kidnapped by any one nor taken away. Since Bila Ahmed Nasar has been traced and no more a Missing Person, therefore no further proceedings are required to be taken by the Commission. Hence, the case is closed.</t>
  </si>
  <si>
    <t>6693-B</t>
  </si>
  <si>
    <t>Alam Khan s/o Painda Khan</t>
  </si>
  <si>
    <t>Jahan Khan, r/o Basti Hotyani, Mozah Kachi Jogyani, U.C Wata Kari, Tehsil &amp; District Barkhan, Balochistan. (Mobile No. 0336-1721583).</t>
  </si>
  <si>
    <t>Deleted. In this case JIT and PTF concluded that the Missing Person has gone his own. Denial report have been received from all stakeholders. Moreover, father and brother of the Missing Person deposed in his statement before the Commission that Missing Person has not alleged involvement of any LEAs/ Intelligence Agency. No further action is required. The case is closed.</t>
  </si>
  <si>
    <t>6694-B</t>
  </si>
  <si>
    <t>Shahmeer s/o Taj Muhammad</t>
  </si>
  <si>
    <t>Taj Muhammad, r/o Basti Hotyani, Mozah Kachi Jogyani, U.C Wata Kari, Tehsil &amp; District Barkhan, Balochistan. (Mobile No. 0336-6795287).</t>
  </si>
  <si>
    <t>56101-3466598-3</t>
  </si>
  <si>
    <t>6695-K</t>
  </si>
  <si>
    <t>Ikram Ullah s/o Noor Zaman</t>
  </si>
  <si>
    <t>Mst. Hayat Babi, r/o Zafarabad Colony, Dera Ismail Khan. (Mobile No. 0346-7850285).</t>
  </si>
  <si>
    <t>12102-3477867-9</t>
  </si>
  <si>
    <t>FIR No. 458, Dated 05/08/2020, u/c 365 PPC, P.S Dera Town, D.I.Khan.</t>
  </si>
  <si>
    <t>6696-I</t>
  </si>
  <si>
    <t>Muhammad Awais s/o Saif-ul-Islam</t>
  </si>
  <si>
    <t>Mst. Arwa Faheem, r/o House No. 768, Street No. 36, Phase 7, Bharia Town. (Mobile No. 0308-2764084).</t>
  </si>
  <si>
    <t>61101-1840812-3</t>
  </si>
  <si>
    <t>6697-P</t>
  </si>
  <si>
    <t>Muhammad Anas s/o Muhammad Ajmal</t>
  </si>
  <si>
    <t>Muhammad Ajmal, r/o Mohalla Liaqatabad No. 2, Gali No. 3, House No. B-587, Near Hakeem Atta Chaki, Faisalabad. (Mobile No. 0304-7376083).</t>
  </si>
  <si>
    <t>33100-7173122-3</t>
  </si>
  <si>
    <t>6698-K</t>
  </si>
  <si>
    <t>Abdullah Saleh Ali s/o Major (R) Muhammad Saleh</t>
  </si>
  <si>
    <t>Major (R) Muhammad Saleh, r/o House No. 154, Askri 11, Near Qasim Market Kaba Line, Rawalpindi Cantt. (Mobile No. 0331-5665880 &amp; 051-5171864).</t>
  </si>
  <si>
    <t>37405-7450965-5</t>
  </si>
  <si>
    <t>FIR No. 276, Dated 10/08/2020, u/c 365 PPC, P.S Daraban, D.I.Khan.</t>
  </si>
  <si>
    <t>Traced Person. Report of MI reported that Abdullah Saleh Ali is confined in Internment Centre, Lakki Marwat in terms of Action (in aid of Civil) Regulations, 2011. Father of the traced person who was present at the hearing informed. Family members will be facilitated to see him accordance with law.</t>
  </si>
  <si>
    <t>6699-S</t>
  </si>
  <si>
    <t>Muhammad Azeem s/o Muhammad Arif</t>
  </si>
  <si>
    <t>Mst. Nighat Araah, r/o C-403, Maryam Height, Block B, North Nazimabad, Karachi, Sindh. (Mobile No. 0303-2587468 &amp; 0322-4274091).</t>
  </si>
  <si>
    <t>Traced Person. It was informed at the hearing held in this Commission on 24.11.2020 that dead body of Missing Person Muhammad Azeem was recovered, which was handed over to legal heirs for burial. As the dead body of the Missing Person has been found, recognized and buried by family members, no further action is required on the part of the Commission.</t>
  </si>
  <si>
    <t>6700-P</t>
  </si>
  <si>
    <t>Muhammad Abdullah s/o Abdul Rehman</t>
  </si>
  <si>
    <t>Ismail Ahmed Alvi, r/o Dar-ul-Islam Masjid, G-6/2, Islamabad. (Mobile No. 0331-4046914 &amp; 0300-9189635).</t>
  </si>
  <si>
    <t>37405-0299413-9</t>
  </si>
  <si>
    <t>Traced Person. Rep of CTD Khushab appeared before the Commission on 28.10.2020. He has presented report No. 5011 dated 22.9.2020. According to this report Muhammad Abdullah s/o Abdul Rehman is in the custody of NAB, Islamabad. SP (Inv) Khushab also appeared and produced copy of letter No. 464/14/IW-2/NAB Rawalpindi/15844 dated 8.9.2020 from Muhammad Saleem Ahmed Khan Addl. Director confirming the aforesaid position. The case is closed.</t>
  </si>
  <si>
    <t>6701-P</t>
  </si>
  <si>
    <t>Syed Qaiser Abbas Shah s/o Syed Mazhar Hussain Shah</t>
  </si>
  <si>
    <t>Mst. Syeda Bilquis Banu, r/o Chak No. 463 Jeem Bae, Hassan Shah, Toba Road, Tehsil &amp; District Jhang. (Mobile No. 0348-6750610 &amp; 0345-2510463).</t>
  </si>
  <si>
    <t>33202-0937586-5</t>
  </si>
  <si>
    <t>Traced Person. Muhammad Ashraf TASI/IO Hinjerwal appeared before the Commission on 28.8.2020. His statement was recorded on oath. According to his statement Syed Qaisar Abbas Shah has been traced and presently confined in Dera Ghazi Khan Jail where his mother has already met him. As Syed Qaiser Abbas Shah has been traced, he is no more a Missing Person, his case is closed accordingly disposed of.</t>
  </si>
  <si>
    <t>6702-K</t>
  </si>
  <si>
    <t>Sana ullah s/o Muhammad Zada</t>
  </si>
  <si>
    <t>Nawab Zada, r/o Mohalla Alla Kol, Village Be Beyurah, Tehsil &amp; District Upper Dir. (Mobile No. 0315-9282770 &amp; 0302-5931761).</t>
  </si>
  <si>
    <t>15701-1564470-3</t>
  </si>
  <si>
    <t>Under InvestigationTraced Person. Complainant and DSP (Upper Dir) appeared for hearing before the Commission on 24.06.2021. It was informed that Sana Ullah has returned home. Further stated that he went to Karachi as his own and nobody abducted him. The case is closed.</t>
  </si>
  <si>
    <t>6703-K</t>
  </si>
  <si>
    <t>Rifat Ullah s/o Shau-ud-Din</t>
  </si>
  <si>
    <t>Shau-ud-Din, r/o Arashi Dara, Gher Kohi, Tehsil &amp; District Upper Dir. (Mobile No. 0343-6505275).</t>
  </si>
  <si>
    <t>15701-5671735-9</t>
  </si>
  <si>
    <t>Traced Person.Niaz Gul SP (Inv), Upper Dir appeared before the Commission whose statement was recorded on oath. In which he submitted that Rifat Ullah has returned home. In support thereof he submitted statement of Rifat Ullah recorded u/s 164 Cr.PC by Judicial Magistrate-II Upper Dir dated 12.8.2020.</t>
  </si>
  <si>
    <t>6704-S</t>
  </si>
  <si>
    <t>Muhammad Younas s/o Ahmed Zada</t>
  </si>
  <si>
    <t>Mst. Syeda Maryam, r/o Mango Pir, Sultanabad, Sector 3, Hari Gombad Wali Mansid, Karachi. (Mobile No. 0315-2286202).</t>
  </si>
  <si>
    <t>42401-1563568-4</t>
  </si>
  <si>
    <t>FIR No. 346/2016 , Dated 9.9.169, u/s 365 PPC, P.S Pir Abad, Karachi</t>
  </si>
  <si>
    <t>6705-P</t>
  </si>
  <si>
    <t>Muhammad Ayub s/o Hafeez Ullah</t>
  </si>
  <si>
    <t>Muhammad Idrees, r/o Masjid Al Kosar, Block X, Satellite Town, Bahawalpur. (Mobile No. 0300-6836587).</t>
  </si>
  <si>
    <t>31201-1043543-3</t>
  </si>
  <si>
    <t>Traced Person. Muhammad Ayub entered appearance before the Commission on 17.9.2020 at Lahore, however he was reluctant to highlight the factual aspects of the episode for certain obvious reasons. Be that as it may no further action is required to be taken by the Commission. The case is closed.</t>
  </si>
  <si>
    <t>6706-F</t>
  </si>
  <si>
    <t>Saif Ullah s/o Abdul Wakeel</t>
  </si>
  <si>
    <t>Shah Wazir, r/o P.O Barqamber Khel, Barah Medan Kalye, Tehsil Barah, District Khyber. (Mobile No. 0309-9097705 &amp; 0333-6617433).</t>
  </si>
  <si>
    <t>21201-2215996-9</t>
  </si>
  <si>
    <t>Traced Person. Report if General Headquarters, General Staff Branch, MI Directorate dated 30.7.2020 was received on 4.8.2020 wherein it is indicated that Saif Ullah s/o Abdul Wakeel is interned in the Internment Centre at Alizai. Shah Wazir b/o Saif Ullah was present at the hearing on 13.8.202 apprised of the status of the case.</t>
  </si>
  <si>
    <t>FATA / Kurram</t>
  </si>
  <si>
    <t>6707-B</t>
  </si>
  <si>
    <t>Muhammad Azum s/o Dawood Khan</t>
  </si>
  <si>
    <t>r/o Koch Village, Gresh Area, Tehsil Nal, District Khuzdar, Balochistan.</t>
  </si>
  <si>
    <t>Traced Person. Munir Ahmed, Assistant Commissioner Nall appeared before the Commission on 8.2.2021 at Quetta on the behalf of DC Khuzdar and submitted that Muhammad Azum has been traced on 12.1.2021. He further deposed that Muhammad Azum was arrested in case FIR No. 4/2020 dated 29.3.2020 u/s 124-A and 153-A PPC Levies Thana Graisah , District Khuzdar and presently he is confined in Judicial Lockup at Central Jail Khuzdar.</t>
  </si>
  <si>
    <t>6708-B</t>
  </si>
  <si>
    <t>Zahid s/o Muhammad</t>
  </si>
  <si>
    <t>Traced Person. Zahid Hussain s/o Naik Muhammad entered appearance before the Commission on 8.9.2020 at Quetta, whose statement has been recorded on oath, in which he stated that he was picked up blindfolded, therefore he was unable identify those persons who picked him and taken away. Later he was released and he reached home on 31.7.2020. The case is closed.</t>
  </si>
  <si>
    <t>6709-S</t>
  </si>
  <si>
    <t>Khana Ullah s/o Khuwaja Muhammad</t>
  </si>
  <si>
    <t>Mst. Mashal Bibi, r/o Village Sara Rogha, Warzai Shangai, Tehsil Sararogha, Dictrict South Waziristan, KPK. (Mobile No. 0348-6884301 &amp; 0345-1978027).</t>
  </si>
  <si>
    <t>21704-2957097-3</t>
  </si>
  <si>
    <t>6710-K</t>
  </si>
  <si>
    <t>Amad Jamal s/o Jamal Ahmed Khan</t>
  </si>
  <si>
    <t>Arafat Jamal, r/o Gori Town, VIP Street 14, Near Khana Pul, Islamabad. (Mpbile No. 0312-5524737 &amp; 0347-5564691)</t>
  </si>
  <si>
    <t>17301-1157531-3</t>
  </si>
  <si>
    <t>Traced Person. I.O of the case submitted at the hearing on 19.9.2020 that Amad Jamal has returned home. In this connection he produced copy of the daily diary entry No. 7 dated 17.9.2020 of PS Mathra. The complainant did not appear before the Commission. In view of report and categoric statement, no furthr action is required . The case is closed.</t>
  </si>
  <si>
    <t>6711-S</t>
  </si>
  <si>
    <t>Dawood Jan s/o Ashraf Khan</t>
  </si>
  <si>
    <t>Mst. Shakila Bibi, r/o Mohalla Mehmoodabad, Umer Zai, Tehsil &amp; District Charsadda. (Mobile No. 0312-9105910 &amp; 0300-9714897).</t>
  </si>
  <si>
    <t>17101-6709793-7</t>
  </si>
  <si>
    <t>Traced Person. It was informed at the hearing held in this Commission on 2.9.2020 that Dawood Jan has returned home. The statement of the traced person has been recorded u/s 164 CrPC, which is placed on record. The report submitted by the Police Officer SHO, Airport is placed on record.</t>
  </si>
  <si>
    <t>6712-K</t>
  </si>
  <si>
    <t>Muhammad Abdullah s/o Habib Nawaz</t>
  </si>
  <si>
    <t>Shahid Ullah, r/o Khowa Khel, P.O &amp; Tehsil Mir Ali. District North Waziristan, KPK. (Mobile No. 0334-8260298).</t>
  </si>
  <si>
    <t>21505-5161808-5</t>
  </si>
  <si>
    <t>6713-S</t>
  </si>
  <si>
    <t>Kashif Hussain s/o ALLAH Bachayu</t>
  </si>
  <si>
    <t>ALLAH Bachayu Shar, r/o House No. A-2040, Phase -II, Gulshan-e-Hadeed, Malir, Karachi. (Mobile No. 0307-0257712).</t>
  </si>
  <si>
    <t>42501-1440445-7</t>
  </si>
  <si>
    <t>Traced Person. It was informed at the hearing held in this case on 29.9.202 in this Commission at Sub-Office, Karachi that Kashif Hussain has returned home. Statement of the Traced Person and report by SHO, Steel Town, Karachi confirmed the aforesaid position.</t>
  </si>
  <si>
    <t>6714-K</t>
  </si>
  <si>
    <t>Gull Bashar s/o Muhammad Khan</t>
  </si>
  <si>
    <t>Muhammad Khan, r/o Village Sultan Khel, Mian Mandi, Tehsil Haleem Zai, District Mohmand agency. (Mobile No. 0345-9001457 &amp; 0346-93678568).</t>
  </si>
  <si>
    <t>21402-3467546-9</t>
  </si>
  <si>
    <t>Deleted. The case has been categorized as “the Missing Person has gone on his own” by JIT as well as PTF. Muhammad Khan father of Gull Bashar appeared before the Commission at Islamabad and recorded his statement on oath in which he conceded no allegation was leveled against any LEAs/Intelligence Agency. Moreover, no clue could be found that any LEA/Intelligence Agency was involved in disappearance of Gull Bashar. All stakeholders have denied arrest/ detention of Gull Bashar. Hence not a case of enforced disappearance. The case is closed.</t>
  </si>
  <si>
    <t>6715-K</t>
  </si>
  <si>
    <t>Muhammad Ejaz s/o Abdul Khaliq</t>
  </si>
  <si>
    <t>Abdul Razzaq, r/o Daing Jamia Masjid, Sadah, Tehsil Lower Kurram, District Kurram (Mobile No. 0306-8341417).</t>
  </si>
  <si>
    <t>21302-0810600-5</t>
  </si>
  <si>
    <t>Traced Person. MI Directorate report dated 30.7.2020 indicates that Muhammad Ejaz s/o Abdul Khaliq is interned in the Internment Centre Lakki Marwat. Abdul Razzaq uncle of Traced Person was present before the Commission and apprised of the status of the case. No further action is required. The case is closed.</t>
  </si>
  <si>
    <t>6716-P</t>
  </si>
  <si>
    <t>Raza Ullah s/o Ghazi Badshah</t>
  </si>
  <si>
    <t>Murad Ullah, r/o Adak, P.O Edak, Tehsil Mir Ali, District North Waziristan. (Mobile No. 0336-2579899 &amp; 0928-220108).</t>
  </si>
  <si>
    <t>21505-7502299-3</t>
  </si>
  <si>
    <t>6717-P</t>
  </si>
  <si>
    <t>Muhammad Sajjad s/o Liaqat Ali</t>
  </si>
  <si>
    <t>Mubbashar Ali, r/o Maan Pur, P.O Labastan Afgana, P.S Saddar, Tehsil Shakar Garh, District Narowal. (Mobile No. 0333-4280484).</t>
  </si>
  <si>
    <t>34502-2003879-1</t>
  </si>
  <si>
    <t>Traced Person. It was informed at the hearing held on 16-06-2021 that Muhammad Sajjad was arrested by Security Forces under offered Secrete Act and law will takes its own causes. No further action is required. The case is closed.</t>
  </si>
  <si>
    <t>6718-S</t>
  </si>
  <si>
    <t>Mehfooz Ismail Notkani s/o Muhammad Ismail Notkani</t>
  </si>
  <si>
    <t>Muhammad Ismail Notkani, r/o Ward No. 03, Notkani Mohalla, Shaheed Fazil Rahoo (Golarchi), District Badin. (Mobile No. 0340-2326426).</t>
  </si>
  <si>
    <t>41102-2908533-3</t>
  </si>
  <si>
    <t>Traced Person. It was informed at the hearing in this Commission on 30.11.2020 that Mehfooz Ismail Notkani has returned home. The report submitted by SDPO Shaheed Fazil, Karachi confirms the aforesaid position.</t>
  </si>
  <si>
    <t>6719-B</t>
  </si>
  <si>
    <t>Waqar Ahmed Baloch s/o Manzoor Ahmed Baloch</t>
  </si>
  <si>
    <t>Manzoor Ahmed, r/o Qaziabad, Peydrak, Tehsil Turbat, District Kech, Makran Division, Balochistan. (Mobile No. 0315-2114559).</t>
  </si>
  <si>
    <t>52203-8053588-3</t>
  </si>
  <si>
    <t>Deleted. After issuance of process to all concerned the case was under investigation by all concerned including a JIT meeting by DC Kech Manzoor Ahmad father of the Waqar Baloch appeared before the Commission on 5.11.202 at Quetta, whose statement was recorded on oath. He deposed that on 20.6.2020 Waqar Baloch was present at home and went out on a phone call. That he waited for him and on the next night Waqar Baloch sent a message that he will return home after 2/3 days that thereafter his cell phone was switched of. He further deposed that his mobile phone at a Chishma after three days of his missing. That no any Government Agency was involved in the abduction of Waqar Baloch. In view of above circumstances. The case does not fall within the domain of enforced disappearance.</t>
  </si>
  <si>
    <t>6720-K</t>
  </si>
  <si>
    <t>Sheraz Khan s/o Ameer Ullah Khan</t>
  </si>
  <si>
    <t>Murad Khan, r/o Jangli Neher, Umerabd, P.O Masho Gagar, Badeber Tehsil &amp; District Peshawar. (Mobile No. 0306-0096956 &amp; 0341-9410598).</t>
  </si>
  <si>
    <t>Traced Person. Sheeraz Khan appeared before the Commission on 22.11.2021 and his statement has been recorded on oath in which he has deposed that he was taken into custody on 17.12.2018 from Pak – Afghan border. He further revealed that he was confined in Lakki Marwat Jail/ ICL he was released on 12.02.2021. No further action is required. The case is closed.</t>
  </si>
  <si>
    <t>6721-S</t>
  </si>
  <si>
    <t>Shafqat Hussain Malik s/o Haibat Hussain Malik</t>
  </si>
  <si>
    <t>Mushahid Malik, r/o House No. B-2, Civil Hospital Colony, District Ghitki, Sindh. (Mobile No. 0314-2932329).</t>
  </si>
  <si>
    <t>45102-6981728-7</t>
  </si>
  <si>
    <t>Traced Person. It was informed at the hearing held in this Commission on 29.9.2020 at Sub-Office, Karachi that Shafqat Hussain Malik has returned home. Statement of the Traced Person was recorded. SHO Police Station A, Ghotki also confirmed in his report.</t>
  </si>
  <si>
    <t>UNWGED /HRCP</t>
  </si>
  <si>
    <t>6722-F</t>
  </si>
  <si>
    <t>Muzawar Khan s/o Karim Khan</t>
  </si>
  <si>
    <t>r/o Miami Kabul Khel, Tehsil Shewah, District North Waziristan, KPK.</t>
  </si>
  <si>
    <t>21508-851796-3</t>
  </si>
  <si>
    <t>Traced Person. Mazawar Khan s/o Karim Khan entered appearance before the Commission whose statement was recorded on oath in which he stated that he was abducted on 14/15 of last Ramzan and set free after three and half months. He further deposed that he was kidnapped by unknown men in uniform who kept him at Miran Shah. DPO North Waziristan also confirmed in his report submitted to the Commission.</t>
  </si>
  <si>
    <t>Fata /NWA</t>
  </si>
  <si>
    <t>6723-K</t>
  </si>
  <si>
    <t>Zahoor Rehman s/o Muhammad Sadiq</t>
  </si>
  <si>
    <t>Muhammad Sadiq, r/o Vino Sara Pul, Mohalla Shafiabad, District Peshawar. (Mobile No. 0321-9118315 &amp; 0321-9158315).</t>
  </si>
  <si>
    <t>6724-S</t>
  </si>
  <si>
    <t>Sajjad s/o Molvi Peer Bakhsh</t>
  </si>
  <si>
    <t>Mst. Bibi Somal, Goth Habib Khan, Murid Shak, Tehsil Obaruh, P.O Khambrah, District Ghotki. (Mobile No. 0305-2638016).</t>
  </si>
  <si>
    <t>6725-P</t>
  </si>
  <si>
    <t>Abdullah s/o Arsaal Khan</t>
  </si>
  <si>
    <t>Manan Khan, r/o Mohalla Prof. Ahmad Rafique, Khawajgan, Bori Market, Gujar Khan. (Mobile No. 0300-9198574).</t>
  </si>
  <si>
    <t>21403-6585326-1</t>
  </si>
  <si>
    <t>Fir No. 275, dated 24/08/2020, u/s 365 PPC, P.S Khushab, District Kushb</t>
  </si>
  <si>
    <t>Traced Person. Abdullah s/o Arsaal Khan appeared before the Commission at the hearing held on 15-06-2021. He was reluctant to indicate facts of the episode. Hence no further action is required. The case is closed.</t>
  </si>
  <si>
    <t>6726-P</t>
  </si>
  <si>
    <t>Muhammad Umer Iftkhar Butt s/o Iftkhar Ahmed Butt</t>
  </si>
  <si>
    <t>Wajid Ali Butt, r/o House No. CB-270, Lain No. 04, Peshawar Road, District Rawalpindi. (Mobile No. 0300-5116531 &amp; 0313-0513128).</t>
  </si>
  <si>
    <t>37405-3555080-9</t>
  </si>
  <si>
    <t>Traced Person. SSP (Inv), Rawalpindi appeared before the Commission on 9.9.2020 and submitted report that Muhammad Umer Iftikhar Butt has returned home safely. SSP (Inv), Rawalpindi has also presented written statements of Muhammad Umer Iftikhar Butt and Wajid Ali Butt along with report dated 28.8.2020 from SHO PS Race Course, Rawalpindi. Accordingly, the case is closed.</t>
  </si>
  <si>
    <t>6727-K</t>
  </si>
  <si>
    <t>Iqbal Muhammad s/o Hazrat Khan</t>
  </si>
  <si>
    <t>Muhammad Tariq s/o Hazrat Khan, r/o Pir Qayyum, Sadda, District Kurram. (Mobile No. 0303-9290070).</t>
  </si>
  <si>
    <t>21302-5049001-1</t>
  </si>
  <si>
    <t>Traced Person. It was informed by MI Dte and DPO, Hangu at the hearing on 11.9.2020 that Iqbal Muhammad is confined in the Internment Centre Lakki Marwat. Under Action (in aid of Civil) 2011. Family of Muhammad Iqbal has met him. No further action is required. The case is closed.</t>
  </si>
  <si>
    <t>6728-S</t>
  </si>
  <si>
    <t>Shahid Ullah s/o Nawat Khan</t>
  </si>
  <si>
    <t>Nawat Khan, r/o Gali No. 03, Jamali Goth, Super Highway, Karachi. (Mobile No. 0349-8924688).</t>
  </si>
  <si>
    <t>Deleted. SDPO Sohrab Goth, Karachi appeared before the Commission on 17.2.2021 and submitted that the case does not fall within the ambit of enforced disappearance as no allegation has been levelled against any LEA/ intelligence Agency. Nawat Khan also entered appearance and confirmed that contents of his statement. Hence, no further action is required, the case is closed.</t>
  </si>
  <si>
    <t>6729-P</t>
  </si>
  <si>
    <t>Muhammad Talha s/o Muhammad Naeem</t>
  </si>
  <si>
    <t>Muhammad Naseem, r/o House No. SA. 1084, Transformer Chowk, Sadiqabad, Rawalpindi. (Mobile No. 0320-9344624 &amp; 051-4931144).</t>
  </si>
  <si>
    <t>37405-0246564-7</t>
  </si>
  <si>
    <t>FIR No. 179/20 dated 3.8.2020 u/s 365 PPC Sadiqabad, Rawalpindi.</t>
  </si>
  <si>
    <t>Traced Person. SSP (Inv), Rawalpindi appeared before the Commission on 9.9.2020 and submitted report that Muhammad Talah was arrested by CTD, D.G.Khan vide FIR No. 15/20 dated 7.9.2020 PS CTD D.G.Khan. Mother of the Traced Person was apprised of the status of case and advice to seek remedy as per law. The case is closed.</t>
  </si>
  <si>
    <t>31st July, 2020</t>
  </si>
  <si>
    <t>6730-K</t>
  </si>
  <si>
    <t>Wali Ullah s/o Badshah Mir Wazir</t>
  </si>
  <si>
    <t>Mst. Gulna Bibi, r/o Tori Khel, Qoyam Khushali Tori Khel, Mir Ali, District Miran Shah. (Mobile No. 0333-6320993 &amp; 0336-5875715).</t>
  </si>
  <si>
    <t>21505-0533986-4</t>
  </si>
  <si>
    <t>FIR No. 107, dated 9/11/20 , u/s PPS, P.S Miranshah, District NWA, FAFA</t>
  </si>
  <si>
    <t>Traced Person. Rep of MI has submitted that Wali Ullah s/o Badshah Mir Wazir is Interned in Internment Centre Lakki Marwat under AA-CPR 2011 since 2nd October, 2019. Since Wali Ullah has been traced and is no more a Missing Person, therefore no further action is required to be taken by the Commission. The family be facilitated to see him in the Internment Centre as per rules and procedures.</t>
  </si>
  <si>
    <t>01st August, 2020</t>
  </si>
  <si>
    <t>6731-S</t>
  </si>
  <si>
    <t>Aurang Zaib s/o Siraj Ahmed</t>
  </si>
  <si>
    <t>Siraj Ahmed, r/o House No. 5342, Sector 15/16, Street No. 14, Gulshan Mazdoor, Hub River Road, Baldia Town, Karachi, Sindh, Pakistan.</t>
  </si>
  <si>
    <t>AW5930771</t>
  </si>
  <si>
    <t>Deleted. The address of the Missing Person in the report received from UN-WGEID is shown as H. No. 5342, Sector No. 15/16, Street No. 14 Gulshan-e-Mazdoor, Hub River Road, Baldia Town, Karachi. However, SHO PS Baldia Town has reported that none with the name of Aurangzeb or his family ever resided in the said house. Statement from an adjacent affirming the above said position. Hence no further action is possible. The case is closed.</t>
  </si>
  <si>
    <t>6732-I</t>
  </si>
  <si>
    <t>Mustajab Ahmed s/o Noubahar Ahmed Abbasi</t>
  </si>
  <si>
    <t>Noubahar Ahmed Abbasi, r/o Dhok Chanam, Baghram, P.O Chatar, Tehsil &amp; District Islamabad. (Mobile No. 0310-9265381 &amp; 0344-5804681 &amp; 0312-5156127).</t>
  </si>
  <si>
    <t>61101-1041406-7</t>
  </si>
  <si>
    <t>Traced Person. Mustajab Ahmed appeared before the Commission on 28.12.2020, whose statement was recorded on oath, in which he deposed that on 25.7.2020, he himself went to Meharabadi to see his friends and that he was not kidnapped by anyone. He further deposed that he returned home on 1.12.2020. Accordingly, the case is closed.</t>
  </si>
  <si>
    <t>6733-B</t>
  </si>
  <si>
    <t>Muhammad Hasaan Qambrani s/o Habib Ullah</t>
  </si>
  <si>
    <t>Mst. Haseeba Qambrani, Mohalla Kalaye Sharifabad, Qambrani Road, Near Qambrani Departmental Store, Quetta. (Mobile No. 0333-0329497).</t>
  </si>
  <si>
    <t>54400-3862554-5</t>
  </si>
  <si>
    <t>FIR No. 45/2020, Dated 20/03/2020, u/c 365 PPC, P.S Kavhi Baig, Quetta.</t>
  </si>
  <si>
    <t>Traced Person. It has been informed at the hearing held in this case at Quetta that Muhammad Hassan Qambrani s/o Habibullah has returned home. No further action is required. The case is closed.</t>
  </si>
  <si>
    <t>6734-B</t>
  </si>
  <si>
    <t>Mst. Haseeba Qambrani, Mohalla Kalaye Sharifabad, Qambrani Road, Near Qambrani Departmental Store, Quetta. (Mobile No. 0333-0329497)</t>
  </si>
  <si>
    <t>54401-5401853-7</t>
  </si>
  <si>
    <t>Traced Person. It has been informed at the hearing held in this case at Quetta that Hizbullah s/o Ghulam Muhammad has returned home. No further action is required. The case is closed.</t>
  </si>
  <si>
    <t>6735-S</t>
  </si>
  <si>
    <t>Ghulam Mahdi (Aqib Chandio) s/o Ali Madad Chandio</t>
  </si>
  <si>
    <t>Mst. Shazia Chandio, r/o Flat No. 407, Iqra Complex, Gulistan-e-Jauhar, Karachi. (Mobile No. 0318-0345483).</t>
  </si>
  <si>
    <t>43203-7030281-3</t>
  </si>
  <si>
    <t>Traced Person. SDPO Shahrah Faisal, Karachi appeared before the Commission at Karachi on 17.2.2021 and submitted that Ghulam Mahdi has returned home.</t>
  </si>
  <si>
    <t>6736-P</t>
  </si>
  <si>
    <t>Dilawar Khan s/o Behram Khan</t>
  </si>
  <si>
    <t>Mst. Lal Marjan, r/o House No. 02, Gali No. 07, Barma Town, Islamabad. (Mobile No. 0332-5777155 &amp; 0311-6642226).</t>
  </si>
  <si>
    <t>14101-3628831-7</t>
  </si>
  <si>
    <t>Traced Person. It has been reported by DSP (Inv), Rawalpindi that Dilawar Khan has been traced. The father appeared before the Commission at Islamabad and his statement was recorded in which he deposed that he went to Kuwait for business and nobody abducted him. No further action is required. The case is closed.</t>
  </si>
  <si>
    <t>6737-K</t>
  </si>
  <si>
    <t>Khalil Ullah s/o Akhunzada</t>
  </si>
  <si>
    <t>Atiq Ullah, r/o Madina Colony, P.S Faqirabad, Peshawar. (Mobile No. 0315-0923001).</t>
  </si>
  <si>
    <t>Deleted. Investigation into this case decision by ATC-I Court, Peshawar and reports of all stakeholders it is concluded that it is as case of kidnapping due to personal enmity. No further action is required the case is closed.</t>
  </si>
  <si>
    <t>6738-K</t>
  </si>
  <si>
    <t>Rehmat Wali s/o Gujar</t>
  </si>
  <si>
    <t>Sher Wali, r/o Dawat Khel, Shatu Khel, Dozai, Tehsil Pindyali, District Mohmand. (Mobile No. 0308-8132478).</t>
  </si>
  <si>
    <t>21403-2059567-7</t>
  </si>
  <si>
    <t>6739-I</t>
  </si>
  <si>
    <t>Muhammad Kashif s/o Akhunzada Muhammad Munir</t>
  </si>
  <si>
    <t>Muhammad Daud, r/o Meera Beeri, Chontra, P.O Golra Sharif, District Islamabad. (Mobile No. 0333-9615474 &amp; 0305-1035474).</t>
  </si>
  <si>
    <t>14301-6513545-3</t>
  </si>
  <si>
    <t>Traced Person. Muhammad Kashif appeared before the Commission on 10.1.2021. In the statement he deposed that he was kidnapped on 3.7.2019 at mughrab time from Cricket Club G-10/4, Islamabad and kept him there for 18 months and five days and set free at Khana Pul from where he reached home.</t>
  </si>
  <si>
    <t>6740-K</t>
  </si>
  <si>
    <t>Ubaid Ullah s/o Hazrat Khan</t>
  </si>
  <si>
    <t>Qamresh Khan, r/o P.O Sang-e-Marmar, Par Hoti, Tehsil &amp; District Mardan. (Mobile No. 0343-9155651 &amp; 0314-5759082).</t>
  </si>
  <si>
    <t>Traced Person. It was requested at the hearing on 02.11.2021 that Ubaid Ullah returned home. IO/SI of PS Choora , District Mardan entered appearance and submitted statement of Ubaid Ullah recorded u/s 164 CrPC and 161 CrPC in which Ubaid UIlah deposed that he went to Karachi on his own that he was not kidnapped by anybody. No further action is required. The case is closed.</t>
  </si>
  <si>
    <t>6741-P</t>
  </si>
  <si>
    <t>Hamid Ullah s/o Hussain Ahmed</t>
  </si>
  <si>
    <t>Wali Ullah, r/o Cast Mamozai, Tapa Akhonzadgan, P.O Ghalji, Sama Mamozai, Upper District Orakzai. (0334-5108792).</t>
  </si>
  <si>
    <t>21603-4017224-7</t>
  </si>
  <si>
    <t>FIR No. 118 dated 01.10.2020 u/s 365 PPC, P.S New Airport, Attock.</t>
  </si>
  <si>
    <t>Traced Person. Hamid Ullah appeared before the Commission on 12.2.2021. His statement has been recorded on oath, in which he deposed that some unknown persons abducted him from New Airport Islamabad on 26/8/2019. He was blindfolded and handcuffed. He was taken to an unknown place. He does not know as to who abducted him and can’t pinpoint the place where he was detained. He was released near Chungi No. 26, Islamabad on 22/01/2011.</t>
  </si>
  <si>
    <t>6742-P</t>
  </si>
  <si>
    <t>Muhammad Arif s/o Sardar Khan</t>
  </si>
  <si>
    <t>Sardar Khan, r/o Khayaban sir syed, Gali No. 02, Rawalpindi. (Mobile No. 0349-3322071)</t>
  </si>
  <si>
    <t>34401-4330510-9</t>
  </si>
  <si>
    <t>Traced Person. Mr. Faisal SSP (Inv), Rawalpindi which transpired that Missing Person Muhammad Arif was arrested in case FIR No.338 dated 24.8.2020 u/s 13/2 (a) PAO 2015 PS Fateh Shah, District Vehari and send to Judicial lock up District Vehari on 25.8.2020. Hence, no further action is required. The case is closed.</t>
  </si>
  <si>
    <t>6743-F</t>
  </si>
  <si>
    <t>Ikram Ullah s/o Sharif Ullah</t>
  </si>
  <si>
    <t>Sharif Ullah, r/o Chagmalai, Tehsil Saruyaki, Distrit South Waziristan. (Mobile No. 0303-8481534 &amp; 0330-9858962).</t>
  </si>
  <si>
    <t>21705-7861841-3</t>
  </si>
  <si>
    <t>FIR No. 25 dated 01/12/2020, u/s 365 PPC, P.S Sarwakai, District SWTD</t>
  </si>
  <si>
    <t>6744-K</t>
  </si>
  <si>
    <t>Muhammad Bilal s/o Khannan Khan</t>
  </si>
  <si>
    <t>Khannan Khan, r/o Chagmalai, Tehsil Saruyaki, Distrit South Waziristan. (Mobile No. 0336-6770901 &amp; 03051382989).</t>
  </si>
  <si>
    <t>21705-3583705-7</t>
  </si>
  <si>
    <t>6745-K</t>
  </si>
  <si>
    <t>Ameer Muhammad Khan s/o Ameer Bhadur</t>
  </si>
  <si>
    <t>Muhammad Hameed, r/o Matta Pesain Khak, Mohalla Khana Khel, P.O &amp; Tehsil Kating, District Mardan. (Mobile No. 0347-9305746)</t>
  </si>
  <si>
    <t>16101-1201512-1</t>
  </si>
  <si>
    <t>Deleted. After thorough investigation JIT and PTF concluded that the Missing Person had gone on his own. In the Missing Person Proforma received in the Commission there was no allegation against any LEAs/ Intelligence Agencies. All stakeholders have denied arrest/detention of Ameer Muhammad Khan s/o Ameer Bahadur. Hence, not a case of enforced disappearance. The case is closed.</t>
  </si>
  <si>
    <t>6746-K</t>
  </si>
  <si>
    <t>Shah Wali s/o Naik Aamal</t>
  </si>
  <si>
    <t>Mst. Mujahida Afridi, r/o Hayatabad, Phase 6, Sector E9, Street 29, House No. 880, Peshawar. (Mobile No. 0321-9121176).</t>
  </si>
  <si>
    <t>11101-2846312-5</t>
  </si>
  <si>
    <t>6747-F</t>
  </si>
  <si>
    <t>Saif-ur-Rehman s/o Banot Khan</t>
  </si>
  <si>
    <t>Wali Rehman, r/o Kaza Khazar Khel, P.O Qilla Khel Kaza Manda Khel, Tehsil Datta Khel, District North Waziristan. (Mobile No. 0318-3005491).</t>
  </si>
  <si>
    <t>21501-6767125-7</t>
  </si>
  <si>
    <t>Traced Person. Rep of MI has submitted that Saif-ur-Rehman s/o Barot Khan is Interned in Internment Centre Lakki Marwat under AA-CPR 2011 since 2020. Since Saif-ur-Rehman has been traced and is no more a missing person, therefore no further action is required to be taken by the Commission. The family be facilitated to see him in the Internment Centre as per rules and procedure.</t>
  </si>
  <si>
    <t>6748-P</t>
  </si>
  <si>
    <t>Nisar Afzak Awan s/o Malik Muhammad Afzal</t>
  </si>
  <si>
    <t>Mukhtar Ali Awan, r/o House No. 100, New Officers Colony, Near Saddar Bazar, Lahore Cantt. P.O.Box 54810. (Mobile No. 0300-4232410 &amp; 0302-4204068).</t>
  </si>
  <si>
    <t>35202-8475811-7</t>
  </si>
  <si>
    <t>Traced Person. Nisar Afzal Awan has been traced and appeared before the Commission on 26.10.2020. His statement has been recorded on oath in which he has deposed that he was abducted on 3.6.2020 by unknown persons and was kept at an unknown location. On 20.10.2020 he was set free at Barki Road and thereafter he returned home. Accordingly the case is closed.</t>
  </si>
  <si>
    <t>6749-B</t>
  </si>
  <si>
    <t>Ghulam Mustafa, r/o Mohallah Kali Allah Abad Bangalzai, Near Tariq Hospital, Siryab Road, Quetta. (Mobile No. 0335-7552007).</t>
  </si>
  <si>
    <t>Traced Person. SSP (Inv), Quetta has submitted that JIT meeting was held on 26.10.2020, wherein it has transpired that Shah Faisal was arrested in case FIR No. 36/20 u/s 13/D Arms Ord: of PS CTD, Quetta and presently he was in Judicial custody. Complainant Ghulam Mustafa appeared before the Commission on 2.11.2020 at Quetta, whose statement was recorded on oath in which he deposed that he met Shah Faisal on Thursday at District Jail, Quetta. No further action is required. The case is closed.</t>
  </si>
  <si>
    <t>6750-K</t>
  </si>
  <si>
    <t>Ali Ahmed s/o Muhammad Nasir</t>
  </si>
  <si>
    <t>Noor Ahmed, r/o Peer Balaa, P.O Mithra, Tehsil &amp; District Peshawar. (Mobile No. 0310-8593118 &amp; 0303-8440616).</t>
  </si>
  <si>
    <t>15401-8054178-1</t>
  </si>
  <si>
    <t>Traced Person. Ali Ahmed has been traced. He appeared before the Commission on 26.9.2020 at Peshawar, but reluctant about his statement, however he furnished written version which indicates that he was taken into the custody for custody and released on 2.9.2020. No further action is required . The case is closed.</t>
  </si>
  <si>
    <t>6751-K</t>
  </si>
  <si>
    <t>Masood Jan s/o Muhammad Gulab</t>
  </si>
  <si>
    <t>Muhammad Arif , r/o Azeem Abad, Village Shakra, P.O Sardahri, Tehsil &amp; District Charssada. (Mobile No. 0333-9848392).</t>
  </si>
  <si>
    <t>17101-6724412-3</t>
  </si>
  <si>
    <t>Traced Person. Masood Jan has been traced. He appeared before the Commission on 26.9.2020 at Peshawar, Statement of Muhammad Arif complainant was recorded on oath. According to the statement Masood Jan disappeared on 17.6.2020 and returned home on 2.9.2020. No further action is required. The case is closed. n</t>
  </si>
  <si>
    <t>6752-K</t>
  </si>
  <si>
    <t>Gul Muhammad s/o Naimat Khan</t>
  </si>
  <si>
    <t>Naimat Khan, r/o Narmi Khel, P.O Bakka Khel, Bakka Khel Wazir, Tehsil &amp; District Bannu. (Mobile No. 0336-5627449 &amp; 0337-3162862).</t>
  </si>
  <si>
    <t>111015-827688-5</t>
  </si>
  <si>
    <t>FIR No. 57, date 14.10.2020, u/c 365PPC, P.S Sub Division Wazir, Bannu.</t>
  </si>
  <si>
    <t>Traced Person. Gul Muhammad entered appearance before the Commission on 11.08.2021 and recorded his statement on oath in which he was stated that he was abducted on 20.07.2020 by three men in vehicle and kept him blindfolded at some unknown place and set free on 23.03.2021. SP (Inv), Bannu also confirmed in his report submitted to the Commission.</t>
  </si>
  <si>
    <t>31st August, 2020</t>
  </si>
  <si>
    <t>6753-K</t>
  </si>
  <si>
    <t>Muhammad Idrees Khan s/o Saaz Malook</t>
  </si>
  <si>
    <t>Naseer Ahmad Khan, r/o Mohalla Haleemzai Daag Masjid, Village &amp; P.O Shabqadar, Teshil Shabqadar, District Charsadda. (Mobile No. 0332-9121248 &amp; 0347-7580602 &amp; 0349-8886277).</t>
  </si>
  <si>
    <t>17101-5448018-5</t>
  </si>
  <si>
    <t>01st September, 2020</t>
  </si>
  <si>
    <t>6754-K</t>
  </si>
  <si>
    <t>Sadeel Rehman s/o Roz Muhammad Khan</t>
  </si>
  <si>
    <t>Inayat Ullah, r/o Village Feroz Khel, Great Khel, Tehsil Tehra, District Orakzai, KPK. (Mobile No. 0333-4340861 &amp; 0304-4632277).</t>
  </si>
  <si>
    <t>21603-3085276-9</t>
  </si>
  <si>
    <t>FIR No. 449, dated 24.10.2020 U/S 365 PPC, P.S Prang, Charsadda</t>
  </si>
  <si>
    <t>6755-K</t>
  </si>
  <si>
    <t>Muhammad Alam Khan s/o Muhammad Azeem</t>
  </si>
  <si>
    <t>Bismalli Khan, r/o Palki Gandhab, P.O Yaka Gund, Tehsil Yaka Gund Upper Mohmand, District Mohmand. (Mobile No. 0301-5260002).</t>
  </si>
  <si>
    <t>21406-8154134-5</t>
  </si>
  <si>
    <t>KP/Mohmand</t>
  </si>
  <si>
    <t>6756-K</t>
  </si>
  <si>
    <t>Mina Jan s/o Gul Marjan</t>
  </si>
  <si>
    <t>r/o P.O Manzal, Jandola, Tribal Areas, District Tank, KPK.</t>
  </si>
  <si>
    <t>22601-2681801-3</t>
  </si>
  <si>
    <t>Traced Person. SP (Inv), Tank appeared for hearing on 11.2.2021 and submitted that Mina Jan had returned home. In this connection he produced copies of statements of Mina Jan, Gul Marjan, Malik Naseeb Khan, Malik Usman Ghani, in his statement, Mina Jan submitted that he was not abducted by anybody and he went to Multan on his own</t>
  </si>
  <si>
    <t>6757-P</t>
  </si>
  <si>
    <t>Irfan Sadiq s/o Subah Sadiq</t>
  </si>
  <si>
    <t>Ahsaan Arshad, r/o P.O Khaas, Naka Kala, Tehsil &amp; District Jehlum. (Mobile No. 0308-9195897 &amp; 0304-5947328).</t>
  </si>
  <si>
    <t>37301-8260682-5</t>
  </si>
  <si>
    <t>6758-I</t>
  </si>
  <si>
    <t>Dolat Khan, r/o, Islam Market, Itaffaq Colony, Tarnol, Islamabad. (Mobile No. 0301-6690569 &amp; 0342-5177499).</t>
  </si>
  <si>
    <t>Traced Person. Shah wali has been traced. He appeared before the Commission on 6.11.2020. His statemen was recorded on oath, in which he stated that he was abducted by unknown persons on 28.8.2020. He was kept at an unknown place and was set free on 3.11.2020 near Golra Morr, Islamabad. Dawood Khan complainant also appeared and requested that the case before the Commission may be closed.</t>
  </si>
  <si>
    <t>6759-S</t>
  </si>
  <si>
    <t>Mukhtiar Ali Bhayo s/o Jiand</t>
  </si>
  <si>
    <t>Sabbir Hussain, r/o Goath Gahi Khan Bhayo, P.O Dari Makhwani, Tehsil Kandhkot, District Kashmor. (Mobile No. 0304-3681572).</t>
  </si>
  <si>
    <t>43503-0489667-5</t>
  </si>
  <si>
    <t>Traced Person. ASP, Kashmore, Sindh appeared before the Commission on 17.2.2021 and submitted that Mukhtiar Ali Bhayo was confined in District Jail Shaikarpur and facing trail before the Court of law.</t>
  </si>
  <si>
    <t>6760-P</t>
  </si>
  <si>
    <t>Sadaf Zahra d/o Nazar Hussain Shah</t>
  </si>
  <si>
    <t>Syed Aqeel Abbas, r/o Naseerpur Kalla, Tehsil Kot Momin, District Sargodha. (Mobile No. 0345-1414412).</t>
  </si>
  <si>
    <t>38406-0447459-9</t>
  </si>
  <si>
    <t>FIR No. 316 dated 23.8.2020 u/s 365 PPC PS Mindh Ranjha, Sargodha</t>
  </si>
  <si>
    <t>Traced Person. A report dated 19.10.2020 has been received from DPO, Sargodha in which it is stated that on application of Syed Aqeel Abbas s/o Nazar Hussain Shah, case FIR No. 316 dated 23.8.2020 u/s 365-B PPC PS Mid Ranjha, Sargodha was registered regarding abduction of his sister Mst Sadaf Zahra. During investigation, Sadaf Zahra was recovered. On 17.9.2020 Mst. Sadaf Zahra was produced before the learned Illaqaa Magistrate, she refused to get her medically examine. Her statement u/s 164 CrPC was recorded and in the light of her statement cancellation report in the case was prepared on 20.9.2020. No further action is required. The case is closed.</t>
  </si>
  <si>
    <t>6761-P</t>
  </si>
  <si>
    <t>Mirza Muhammad Bilal s/o Mirza Ijaz Ahmed Mughal</t>
  </si>
  <si>
    <t>Mirza Ijaz Ahmed Mughal, r/o Gali No. 10, Mohalla Aziz Colony. House No. DD-125/A, Jhanda Chchi, Rawalpindi. (Mobile No. 0300-7160005).</t>
  </si>
  <si>
    <t>34602-6635447-7</t>
  </si>
  <si>
    <t>Fir No. 944/20, dated 26/08/2020, u/s 365 PPC, P.S Civil Line, District Rawalpindi.</t>
  </si>
  <si>
    <t>Traced Person. Complainant, Mirza Ijaz Ahmed Mughal appeared before the Commission whose statement was recorded on oath in which he deposed that his son Mirza Muhammad Bilal had returned home on 03.10.2020. He further deposed that Mirza Muhammad Bilal was not abducted by any one rather he went to his own will. No further action is required. The case is closed</t>
  </si>
  <si>
    <t>6762-K</t>
  </si>
  <si>
    <t>Muhammad Yousaf s/o Hussain Shah</t>
  </si>
  <si>
    <t>Ahmed Hussain Shah, r/o Tangi Bandha, Jarma, Kohat. (Mobile No. 0333-9656558).</t>
  </si>
  <si>
    <t>14301-8335840-3
 Passport No. AW6918404</t>
  </si>
  <si>
    <t>FIR No. 827, dated 6.10.2020, u/s 365PPC, P.S MRS, District Kohat</t>
  </si>
  <si>
    <t>Traced Person. Muhammad Yousaf has been traced. According to report received from Rep of MI, he was presently confined in the Internment Centre Lakki Marwat. Family members of Muhammad Yousaf shall be facilitated to see him in the Internment Centre as per rules and procedure.</t>
  </si>
  <si>
    <t>6763-P</t>
  </si>
  <si>
    <t>Seeerat Ullah s/o Ahsan Ullah Khan</t>
  </si>
  <si>
    <t>Ahsan Ullah Khan, r/o Bangla Nawab Sahab, Mohalla Barh Khel, City &amp; Tehsil Kolachi, District Dera Ismail Khan. (Mobile No. 0336-7232556 &amp; 0345-9699464).</t>
  </si>
  <si>
    <t>12102-2828778-1</t>
  </si>
  <si>
    <t>Traced Person. At the hearing held in this case at 15-06-2021 at Lahore it was submitted by Rep of MI that Seerat Ullah was confined in Internment Centre Lakki Marwat in terms of Action (in aid of Civil) Regulations, 2011. Family shall be facilitated to see him as per procedure.</t>
  </si>
  <si>
    <t>6764-K</t>
  </si>
  <si>
    <t>Syed Saadat Shah s/o Syed Hazrat Shah</t>
  </si>
  <si>
    <t>Inayat Shah, r/o Mohalla Azizabad, P.O Khaas, Sorazai Payan, Tehsil &amp; District Peshawar. (Mobile No. 0312-7878005).</t>
  </si>
  <si>
    <t>61101-2940768-9</t>
  </si>
  <si>
    <t>Deleted. JIT and PTF concluded that Syed Sadat Shah has gone on his own. All stakeholders have denied apprehension / custody of the disappeared person. At the hearing on 31.08.2021 the complainant appeared before the Commission, where statement was recorded on oath. He has stated that he has not levelled any allegation any LEA / Intelligence Agency. Hence not a case of enforced disappearance. The case is closed.</t>
  </si>
  <si>
    <t>6765-B</t>
  </si>
  <si>
    <t>Muhammad Hamza s/o Shadi Khan</t>
  </si>
  <si>
    <t>Hafeez Ullah, r/o Near Awami Chisp, Mohalla Muhammad Shahi, Saryab Road, Quetta. (Mobile No. 0332-2032665)</t>
  </si>
  <si>
    <t>51602-1124333-1</t>
  </si>
  <si>
    <t>Traced Person. Muhammad Hamza s/o Shadi Khan appeared before the Commission on 26.10.2021 at Quetta whose statement was recorded on oath in which he deposed that he alongwith his friend Aman Ullah was kidnapped from Sogar More. He further submitted that he was kept at an unknown place and set him free before Eid-ul-Azha this year. No further action is required. The case is closed.</t>
  </si>
  <si>
    <t>6766-B</t>
  </si>
  <si>
    <t>Abdul Bari s/o Rehmat Ullah</t>
  </si>
  <si>
    <t>Haji Rehmat Ullah, r/o Bohsa Mandi, Kalye Haji Allauddin Khan, Quetta. (Mobile No. 0333-7796872 &amp; 0313-0800097).</t>
  </si>
  <si>
    <t>54203-9006833-9</t>
  </si>
  <si>
    <t>Traced Person. Abdul Bari s/o Rehmat Ullah appeared before the Commission on 06.04.2021 whose statement was recorded on oath in which he deposed that as a result of raid on 11.05.2018 he was taken into custody from his home and he was set free in January, 2021. As Abdul Bari has been traced , the case is closed.</t>
  </si>
  <si>
    <t>6767-B</t>
  </si>
  <si>
    <t>Syed Iftkhar Shah s/o Syed Maqbool Ahmed Shah</t>
  </si>
  <si>
    <t>Syed Maqbool Ahmed Shah, r/o Near Girls Middel School, Kalye Shenhan, Mestung. (Mobile No. 0331-8361345).</t>
  </si>
  <si>
    <t>51602-4708778-5</t>
  </si>
  <si>
    <t>6768-B</t>
  </si>
  <si>
    <t>Ahmed Ullah s/o Abdul Salam</t>
  </si>
  <si>
    <t>Sibghat Ullah, r/o Muslimabad, Airport Road, P.S Airport, Quetta. (Mobile No. 0336-7772333 &amp; 0312-8229217).</t>
  </si>
  <si>
    <t>Traced Person. Ahmad s/o Abdul Salam appeared before the Commission on 06.04.2021 whose statement was recorded on oath in which he deposed that he was picked up and taken away by unknown persons in civvies on 09th May, 2018 from Airport Road Quetta who kept him in a room for investigation. He further deposed that he was released him after two and half years on 23.11.2020 at Quetta from where he has returned home.</t>
  </si>
  <si>
    <t>6769-K</t>
  </si>
  <si>
    <t>Dofat s/o Asif Khan</t>
  </si>
  <si>
    <t>Asif Khan, r/o Zor Mandi, P.O Zareef Kor, Tehsil &amp; District Peshawar. (Mobile No. 0335-9292798).</t>
  </si>
  <si>
    <t>17301-9746215-1</t>
  </si>
  <si>
    <t>Deleted. During the course of inquiry, no clue could be found that any LEA/ Intelligence Agency was involved in disappearance of Dofat. The case has been categorized as of missing person has gone on his own by JIT as well as PTF. The complainant Asif Khan or his authorized representative was summoned twice for recording statement but none entered appearance despite issuance of notices. All stakeholders have denied arrest/custody of Dofat. Hence, not a case of enforced disappearance. The case is closed.</t>
  </si>
  <si>
    <t>6770-K</t>
  </si>
  <si>
    <t>Waqar Hussain s/o Ghani Shah</t>
  </si>
  <si>
    <t>Wali Shah, r/o Qoyam Shalu Bar Tappa, Shekhmal Khel, Noghazi Baba, Barah, District Khyber. (Mobile No. 0345-9133157 &amp; 0315-9133157 &amp; 0334-9133157).</t>
  </si>
  <si>
    <t>21201-3097188-5</t>
  </si>
  <si>
    <t>6771-P</t>
  </si>
  <si>
    <t>Saleem s/o Sajjad Hussain</t>
  </si>
  <si>
    <t>Sajjad Hussain, r/o Basti Naseer, P.O West, Kotla Ahmed Khan, Tehsil Kot Chata, District Dera Ghazi Khan. (Mobile No. 0349-3358085).</t>
  </si>
  <si>
    <t>32102-2737623-5
 Father CNIC</t>
  </si>
  <si>
    <t>Traced Person. Saeed Ahmed cousin of Muhammad Saleem entered appearance on behalf of traced person. His statement has been recorded on oath. He has deposed that Muhammad Saleem has returned home and that he was not abducted by anybody. The case is closed.</t>
  </si>
  <si>
    <t>6772-K</t>
  </si>
  <si>
    <t>Noor Zada s/o Ganaye Khan</t>
  </si>
  <si>
    <t>Khezar Hayat, r/o Saruyaki, Paseen kaye, Tehsil Saruyaki, District South Waziristan. (Mobile No. 0304-*9790124 &amp; 0300-5797368 &amp; 0303-846479).</t>
  </si>
  <si>
    <t>21705-1986144-3</t>
  </si>
  <si>
    <t>6773-P</t>
  </si>
  <si>
    <t>Ali Haider Khan s/o Ghafoor Khan</t>
  </si>
  <si>
    <t>Ghafoor Khan, r/o House No. J-610, Gali/ Mohalla No. 07, Dhok Khaba, Rawalpindi. (Mobile No. 0304-8964391 &amp; 0304-5625691).</t>
  </si>
  <si>
    <t>37405-4158030-5</t>
  </si>
  <si>
    <t>6774-B</t>
  </si>
  <si>
    <t>Naseeruddin @ Shamsuddin s/o Fakhruddin</t>
  </si>
  <si>
    <t>Hikmat Ullah, r/o Rehman Kahol, Road Chaman,District Qilla Abdullah. (Mobile No. 0348-1817142).</t>
  </si>
  <si>
    <t>6775-P</t>
  </si>
  <si>
    <t>Zakheel , r/o Awan Abadi, Porana Chakrah Road, Rawalpindi. (Mobile No. 0305-9237689).</t>
  </si>
  <si>
    <t>Traced Person. Bakht Shah Zeb has been traced. Pan Jan who is father of Bakht Shah Zeb appeared before the Commission on 28.3.2022 whose statement was recorded on oath in which he deposed that Bakht Shah Zeb who is real son had returned home and due to ailment, he could not enter appearance before the Commission. No further action is required. The case is closed.</t>
  </si>
  <si>
    <t>6776-I</t>
  </si>
  <si>
    <t>Ejaz Khan s/o Mustafa Khan</t>
  </si>
  <si>
    <t>Zubair Khan, r/o Shaka Khel, P.O Srarogha, Tehsil Srarogha, District South Waziristan, KPK, Pakistan. (Mobile No. 0340-0646936 &amp; 0341-9266519).</t>
  </si>
  <si>
    <t>21704-3295495-5</t>
  </si>
  <si>
    <t>Traced Person. SP (Inv), ICT appeared before the Commission on 9.2.2021 and informed that Eaz Khan has returned home. Statement of Eaz Khan u/s 164 Cr.PC on 4.2.2021 before the Court if AC/MIC Shalimar, Islamabad.</t>
  </si>
  <si>
    <t>6777-K</t>
  </si>
  <si>
    <t>Gul Raif s/o Sharif Khan</t>
  </si>
  <si>
    <t>Rasool Rakhman, r/o Tortangi, Macha Mada Khel, Tehsil Datta Khel, District North Waziristan. (Mobile No. 0336-5337167).</t>
  </si>
  <si>
    <t>21501-2086928-7</t>
  </si>
  <si>
    <t>FIR No. 8 dated 8.9.2020, u/s 365 PPC, P.S Ghazni Khel, Lakki Marwat.</t>
  </si>
  <si>
    <t>Traced Person. Rep of MI has submitted report according to which Gul Raif Khan s/o Sharif Khan is interned in the Internment Centre, Lakki Marwat. The family members of the Internee will be allowed metting with him subject to completion of legal formalities and Covid- 19 precautionary measures. No further action is required. The case is closed.</t>
  </si>
  <si>
    <t>6778-K</t>
  </si>
  <si>
    <t>Bashta Khan s/o Qasoob</t>
  </si>
  <si>
    <t>Sher Boz, r/o Tortangi, Macha Mada Khel, Tehsil Datta Khel, District North Waziristan. (Mobile No. 0335-1976000).</t>
  </si>
  <si>
    <t>21501-1747538-5</t>
  </si>
  <si>
    <t>Traced Person. Focal Person of MI is present and submitted that Bashta Khan is interned in the Internment Centre Lakki Marwat. Since Bashta Khan has been traced and is stated to be detained in the Internment Centre Lakki Marwat, therefore, visitation of the family members shall be facilitated in accordance with rules and procedure.</t>
  </si>
  <si>
    <t>6779-K</t>
  </si>
  <si>
    <t>Shereen Gul s/o Zareen Khan</t>
  </si>
  <si>
    <t>Mir Khan Gul, r/o Tortangi, Macha Mada Khel, Tehsil Datta Khel, District North Waziristan. (Mobile No. 0335-2967777).</t>
  </si>
  <si>
    <t>21501-3080242-7</t>
  </si>
  <si>
    <t>Traced Person. Shereen Gul s/o Zareen Gul appeared in person, whose statement has been recorded on oath. Since Shereen Gul has returned home, he is no more a Missing Person, therefore, TOR as provided under para 2 (b) of the Notification/ SRO No. 146 (I)/ 2011 dated 1st November, 2011 has been resolved. Therefore his name be deleted from the list of missing person.</t>
  </si>
  <si>
    <t>6780-K</t>
  </si>
  <si>
    <t>Hussain Ullah s/o Abdul Rehman</t>
  </si>
  <si>
    <t>Banaras Khan, r/o Saeen Tanga Jani Khel, Sub Division Wazir, Bannu. (Mobile No. 0322-9864370).</t>
  </si>
  <si>
    <t>11101-2097421-1</t>
  </si>
  <si>
    <t>6781-K</t>
  </si>
  <si>
    <t>Hafeez Ullah s/o Gul Maar Khan</t>
  </si>
  <si>
    <t>Mehmood, r/o Tortangi, Macha Mada Khel, Tehsil Datta Khel, District North Waziristan. (Mobile No. 0334-8759872).</t>
  </si>
  <si>
    <t>21501-6345448-7</t>
  </si>
  <si>
    <t>Traced Person. Hafeez Ullah appeared before the Commission. His statement was recorded on oath. As Hafeez Ullah has returned to home, hence the case is closed.</t>
  </si>
  <si>
    <t>6782-K</t>
  </si>
  <si>
    <t>Kismat Khan s/o Sirayat Khan</t>
  </si>
  <si>
    <t>Shabib Khan, r/o Tortangi, Macha Mada Khel, Tehsil Datta Khel, District North Waziristan. (Mobile No. 0331-5372487).</t>
  </si>
  <si>
    <t>21501-0964995-9</t>
  </si>
  <si>
    <t>6783-K</t>
  </si>
  <si>
    <t>Mahroof Khan s/o Naikem Khan</t>
  </si>
  <si>
    <t>Laiq Khan, r/o Tortangi, Macha Mada Khel, Tehsil Datta Khel, District North Waziristan. (Mobile No. 0330-8262425).</t>
  </si>
  <si>
    <t>21501-12344214-1</t>
  </si>
  <si>
    <t>Traced Person. Zia Hassan SP (Inv), Bannu has appeared before the Commission, whose statement has been recorded on oat, in which they submitted that Mahroof Khan has returned to home.</t>
  </si>
  <si>
    <t>6784-K</t>
  </si>
  <si>
    <t>Hazrat Siddiq s/o Zonda Gul</t>
  </si>
  <si>
    <t>Muhammad Habib, r/o Koki Khel, Tor Khel, Sawa Kamar, P.O Jamroo, District Khyber Agency. (Mobile No. 0301-5244252).</t>
  </si>
  <si>
    <t>21202-0162781-3</t>
  </si>
  <si>
    <t>6785-K</t>
  </si>
  <si>
    <t>Zabeehullah s/o Abdul Jabbar</t>
  </si>
  <si>
    <t>Abdullah, r/o Village Gowah Khawa, Wana Bazar, Al-Madina Hotel, Wana, South Waziristan. (Mobile No. 0305-8565408)</t>
  </si>
  <si>
    <t>nill</t>
  </si>
  <si>
    <t>6786-K</t>
  </si>
  <si>
    <t>Noor Ayaz s/o Sher Baz</t>
  </si>
  <si>
    <t>Sher Baz, r/o Meeran Shah, Dawarh, Hamzoni, Patti, Khel. (Mobile No. 0336-0972036).</t>
  </si>
  <si>
    <t>21506-6008584-1</t>
  </si>
  <si>
    <t>FIR No. 671, dated 10.11.2020, u/s 365PPC, P.S Ghoriwala, Bannu</t>
  </si>
  <si>
    <t>30th Sept, 2020</t>
  </si>
  <si>
    <t>6787-B</t>
  </si>
  <si>
    <t>Muhammad Asif Ashraf s/o Muhammad Ashraf</t>
  </si>
  <si>
    <t>Zeeshan Iqbal, r/o House No. 3, Street No. 8, Muhammad Nagar, Garhi Shahu, Lahore. (Mobile No. 0303-4202875 &amp; 0321-4277858).</t>
  </si>
  <si>
    <t>35202-2416769-9</t>
  </si>
  <si>
    <t>FIR No. 73/20, u/s 365 PPC, dated 29.09.19, P.S Wadh, Khuzdar.</t>
  </si>
  <si>
    <t>01st Oct, 2020</t>
  </si>
  <si>
    <t>6788-B</t>
  </si>
  <si>
    <t>Adesh Kumar</t>
  </si>
  <si>
    <t>r/o, Dalbandin, area of Chagai District, Balochistan.</t>
  </si>
  <si>
    <t>Deleted. After thorough investigation and a hearing in the case on 7.11.2020 that Adeesh Kumar is hiding himself due to fear of Hindu community and the family on account of embracing Islam and he was not kidnapped by anyone. Hence no further action is required. The case is closed.</t>
  </si>
  <si>
    <t>6789-K</t>
  </si>
  <si>
    <t>Fazal Karim s/o Rasool Khan</t>
  </si>
  <si>
    <t>Wajid, r/o Qoyam Mamuzai, Abdul Rehman Khel, Sernadaye, P.O Gaju Pinkoye, Tehsil Upper, District Orakzai. (Mobile No. 0335-0248617).</t>
  </si>
  <si>
    <t>21604-3833883-1</t>
  </si>
  <si>
    <t>Traced Person. Wajid Khan b/o the Missing Person appeared before the Commission on 23.11.2020, whose statement was recorded on oath. According to him he met his brother in the Jerma Jail Kohat. MI also confirmed in its reports. Hence the case is closed.</t>
  </si>
  <si>
    <t>6790-K</t>
  </si>
  <si>
    <t>Muhammad Salam s/o Kameen Khan</t>
  </si>
  <si>
    <t>Muhammad Jamal, r/o Qoyam Mamuzai, Abdul Rehman Khel, Sernadaye, P.O Gaju Pinkoye, Tehsil Upper, District Orakzai. (Mobile No.0335-9937126).</t>
  </si>
  <si>
    <t>21604-6686906-3</t>
  </si>
  <si>
    <t>FIR No. 655, dated 11.11.2020, u/s 365 PPC, P.S Bilitang, District Kohat</t>
  </si>
  <si>
    <t>Traced Person. Kareem Khan f/o the Missing Person appeared before the Commission on 23.11.2020, whose statement was recorded on oath. According to him he met his brother in the Jerma Jail Kohat. MI also confirmed in its reports. Hence the case is closed.</t>
  </si>
  <si>
    <t>6791-P</t>
  </si>
  <si>
    <t>Muhammad Tahir Raza s/o Muhammad Saleem</t>
  </si>
  <si>
    <t>Muhammad Ijaz Mughal, r/o Saghia, Khurd Burj, Atari, Tehsil Ferozwala, District Sheikhupura. (Mobile No. 0301-4350357 &amp; 0301-0874898).</t>
  </si>
  <si>
    <t>35401-1628498-9</t>
  </si>
  <si>
    <t>Traced Person. DSP (Legal) Sheikhupura entered appearance before the Commission on 27.09.2021 whose statement was recorded on oath in which he stated that Muhammad Tahir Raza, whose real name was Abdul Manan son of Sharf-ud-Din was arrested by CTD Police Lahore vide FIR No. 23/21 dated 16.08.2021 u/s 4/5 ESA 7 ATA r/w 13 (2A)/20/65/AO. As the Missing Person has been traced no further action is required. The case is closed.</t>
  </si>
  <si>
    <t>6792-S</t>
  </si>
  <si>
    <t>Adv. Muhib Ali Leghari s/o Ranjho Lehgari</t>
  </si>
  <si>
    <t>Ranjho Leghari, r/o Goath Murid Khan Laghari, Near Wanki Wasi, Tehsil &amp; District Hyderabad. (Mobile No. 0313-3291160).</t>
  </si>
  <si>
    <t>Traced Person. It was informed at the hearing in this Commission on 22.10.2020 that Mohib Ali Ghauri has returned home. The statement of the traced person has been recorded u/s 164 CrPC, in which he stated that he was blind folded by a few unknown persons on 4.9.2020 and released on 12.10.2020 that he was present at his home. The report submitted by SDPO, Chalgari, Hyderabad.</t>
  </si>
  <si>
    <t>UNWGED &amp;
 HRCP</t>
  </si>
  <si>
    <t>6793-I</t>
  </si>
  <si>
    <t>Shabbir Hussain Shah s/o Akbra Shah</t>
  </si>
  <si>
    <t>Syed Jabbir Hussain Shah, r/o Dhok Jhandi Syeda, Pindh Begwal, Islamabad. (Mobile No. 0346-5002871 &amp; 0336-5619278).</t>
  </si>
  <si>
    <t>61101-1785589-7</t>
  </si>
  <si>
    <t>Traced Person. Jabbar Hussain Shah brother in-law of Shabbir Hussain Shah appeared before the Commission on 24.11.2020. His statement has been recorded on oath, in which he deposed that Shabbir Hussain Shah disappeared on 12.9.2020. On 12.10.2020 he received a telephonic call informing him regarding burial of Shabbir Hussain Shah. On 14.10.2020 Shabbir Hussain Shah’s dead body was disinterred and identified by him with the help of shoes, clothes, wristwatch, wallet, hands and feet whereas his face was not identifiable. He further deposed that after full satisfaction the dead body was reburied. He requested to close the case in the Commission. Hence no further action is required. The case is closed.</t>
  </si>
  <si>
    <t>6794-K</t>
  </si>
  <si>
    <t>Muhammad Khan s/o Muhammad Gul</t>
  </si>
  <si>
    <t>Muhammad Gul, r/o Gounda, P.O Samar Bagh, Tehsil Samar Bagh, District Lower Dir. (Mobile No. 0302-2622242).</t>
  </si>
  <si>
    <t>15303-9577531-7</t>
  </si>
  <si>
    <t>6795-K</t>
  </si>
  <si>
    <t>Muhammad Hafeez s/o Dareshham Khan</t>
  </si>
  <si>
    <t>Mst. Meerom Bibi, r/o Village Maidan, Tehsil Ladha, Tribal District South Wziristan. (Mobile No. 0348-3724670 &amp; 0300-2497691).</t>
  </si>
  <si>
    <t>21702-7435667-3</t>
  </si>
  <si>
    <t>FIR No. 108, dated 9/11/20 , u/s PPS, P.S Mirali, District NWA, FAFA</t>
  </si>
  <si>
    <t>6796-K</t>
  </si>
  <si>
    <t>Kamal Deen s/o Zulfikar Khan</t>
  </si>
  <si>
    <t>Mst. Chanar Bibi, r/o Adu Khel, Kareem Nawasi, Tehsil Upper, District Orakzai. (Mobile No. 0334-8334771).</t>
  </si>
  <si>
    <t>Traced Person. According to summarized account of proceedings of Missing Person case held in the Commission received from Rep MI, Kamal Deen is interned in Internment Centre at Alizai. Mr Ali Hassan SP (Inv) Orakzai is present who has appirmed that Kamal Deen has returned home. No further action is required. The case is closed.</t>
  </si>
  <si>
    <t>6797-P</t>
  </si>
  <si>
    <t>Muhammad Junaid Raja s/o Raja Masood Nawaz</t>
  </si>
  <si>
    <t>Raja Masood Nawaz, r/o Village Akra Mohra, P.O &amp; Tehsil Sohawa, District Jhelum. (Mobile No. 0333-2898550).</t>
  </si>
  <si>
    <t>42101-8412466-1</t>
  </si>
  <si>
    <t>Traced Person. SSP (Inv), Rawalpindi appeared before the Commission and submitted report dated 28.12.2021 on behalf of CPO, Rawalpindi. According to the report Muhammad Junaid Raja had returned home. Zaheer brother of Muhammad Junaid Raja also appeared and confirmed. No further action is required. The case is closed.</t>
  </si>
  <si>
    <t>6798-K</t>
  </si>
  <si>
    <t>Abdul Manan s/o Fazal Wahid</t>
  </si>
  <si>
    <t>Fazal Wahid, r/o Nawazabad Kotha, Tehsil Topi, District Swabi. (Mobile No. 0314-3310093 &amp; 0321-194314)</t>
  </si>
  <si>
    <t>17102-7689028-1</t>
  </si>
  <si>
    <t>6799-K</t>
  </si>
  <si>
    <t>Rabi Gul s/o Kishar Gul</t>
  </si>
  <si>
    <t>Kishar Gul, r/o Village Bhai Korana Machni, Tehsil Yaka Gound, District Peshawar. (Mobile No. 0321-9084589).</t>
  </si>
  <si>
    <t>6800-K</t>
  </si>
  <si>
    <t>Mayean Gul s/o Chona Gul</t>
  </si>
  <si>
    <t>Aziz, r/o Achni Payan, Khushal Road, Alaqa P.S Serband, Tehsil &amp; District Peshawar. (Mobile No. 0300-0527907 &amp; 0342-0500097).</t>
  </si>
  <si>
    <t>6801-I</t>
  </si>
  <si>
    <t>Muhammad Ahmed s/o Ghulam Qadir</t>
  </si>
  <si>
    <t>Mst. Anum Ahmed, r/o CB-658/9-10, Karam Dad Market, Afshan Colony, Rawalpindi. (Mobile No. 0349-3008763 &amp; 0333-5164953 &amp; 051-2294788).</t>
  </si>
  <si>
    <t>361017-572663-9</t>
  </si>
  <si>
    <t>Traced Person. Muhammad Ahmad s/o Ghulam Qadir has appeared, whose statement has been recorded on oath. He has deposed that he was abducted on 9.6.2020 at 11 P.M at Balkasar by unknown persons when he was travelling from Lahore to Islamabad. He has further deposed that he was boarded on a double cabin vehicle and taken to some unknown place. He has also deposed that on 7.1.2020 he was sent to DG Khan Jail form where he was released on bail. Family of Muhammad Ahmad confirmed the aforesaid position.</t>
  </si>
  <si>
    <t>6802-S</t>
  </si>
  <si>
    <t>Shahzad Ali Manglo s/o Sher Muhammad Manglo</t>
  </si>
  <si>
    <t>Sher Muhammad Manglo, r/o House No. A-1382, Gulshan-e-Hadeed, Phase-II, Karachi. (Mobile No. 0335-7479360).</t>
  </si>
  <si>
    <t>42501-4475993-1</t>
  </si>
  <si>
    <t>FIR No. 568/2020, dated 14.10.2020, u/s 365PPC, P.S Steel Town, Karachi.</t>
  </si>
  <si>
    <t>Traced Person. Complainant Sher Muhammad Manglo father of Missing Person appeared before the Commission at Karachi on 17.2.2021, whose statement recorded on oath in which he deposed that his son Shahzad Ali Manglo has returned home on 30.11.2020. Statement of Shahzad Ali Manglo Traced Person was also got recorded u/s 164 CrPC.</t>
  </si>
  <si>
    <t>6803-K</t>
  </si>
  <si>
    <t>Attiuqe-ur-Rehman s/o Meer Janan</t>
  </si>
  <si>
    <t>Mst. Bibi Guncha, r/o District Orakzai, Mamuzai, Hal Sayab Road, Kot Kohat. (Mobile No. 0332-9828895).</t>
  </si>
  <si>
    <t>21604-268392-1</t>
  </si>
  <si>
    <t>Traced Person. Rep of MI submitted report at the hearing held on 27.05.2021 that Attique-ur-Rehman is confined in the Internment Centre at Kohat. Family will be faciliated to see him as per procedures.</t>
  </si>
  <si>
    <t>6804-K</t>
  </si>
  <si>
    <t>Imdad-ul-Haq s/o Anwar-ul-Haq</t>
  </si>
  <si>
    <t>Anwar-ul-Haq, r/o Village &amp; Tehsil Kabal, District Swat, KPK. (Mobile No. 0347-3085835).</t>
  </si>
  <si>
    <t>15602-9369270-1</t>
  </si>
  <si>
    <t>6805-K</t>
  </si>
  <si>
    <t>Asmat Ullah s/o Alaf Jan</t>
  </si>
  <si>
    <t>Yar Muhammad, r/o Gulshan Colony, Tehsil &amp; District Tank, KPK. (Mobile No. 0301-2614353).</t>
  </si>
  <si>
    <t>21704-4313679-7</t>
  </si>
  <si>
    <t>Traced Person. SP (Inv), North Waziristan appeared before the Commission on 27.08.2021 and informed that Asmat Ullah has returned home. No further action is required. The case is closed.</t>
  </si>
  <si>
    <t>6806-S</t>
  </si>
  <si>
    <t>Hazrat Ali s/o Mahmber</t>
  </si>
  <si>
    <t>Mst. Rahat Begum, r/o Damgar, P.O Dehri Baba G, Tehsil &amp; District Swat. (Mobile No. 0349-4002125).</t>
  </si>
  <si>
    <t>15602-9615895-7</t>
  </si>
  <si>
    <t>Traced Person. Focal Person Sindh Police submitted that Hazrat Ali was confined in Internment Centre Paithom. The status has been confirmed through letter No. 202/D-4/7/A dated 9.12.2020.</t>
  </si>
  <si>
    <t>6807-P</t>
  </si>
  <si>
    <t>Sheir Rehman s/o Khaista Gul</t>
  </si>
  <si>
    <t>Painda Muhammad, r/o Shaheeen Muslim Town, Mohalla Akhunabd No.2, Peshawar. (Mobile No. 0316-9090502).</t>
  </si>
  <si>
    <t>17301-1611656-7</t>
  </si>
  <si>
    <t>Traced Person. Sher Rehman appeared before the Commission and his statement was recorded on oath in which he deposed that he went to Karachi on 02.10.2020 on his own and returned home one month back that he was not abducted by anybody. No further action is required. The case is closed.</t>
  </si>
  <si>
    <t>6808-I</t>
  </si>
  <si>
    <t>Faiz Khan s/o Amir Khan</t>
  </si>
  <si>
    <t>05/14/2020</t>
  </si>
  <si>
    <t>Mst. Tasmia Bibi, r/o P.O Bamkam Pindi, Sarhal, Tehsil Jhand, District Attock. (Mobile No. 0300-7476227 &amp; 0335-5113704 &amp; 0333-5281933).</t>
  </si>
  <si>
    <t>37105-1464892-1</t>
  </si>
  <si>
    <t>Traced Person. Fiaz Khan appeared before the Commission on 14.1.2021, whose statement was recorded on oath, in which he deposed that he was called someone at Airport Housing Society for welding work from where he was abducted blindfolded by unknown persons on 4.10.2020. He further deposed that after abduction he was kept at some unknown place wherefrom, he was set free on 3 / 4 December, 2020 and returned.</t>
  </si>
  <si>
    <t>6809-K</t>
  </si>
  <si>
    <t>Rafiullah s/o Bhakt Jamal</t>
  </si>
  <si>
    <t>Karam Bakhsh, r/o Tafic, Tatanoo Bhandi, Tehsil Kabal, District Swat. (Mobile No. 0346-3160232 &amp; 0346-98822694).</t>
  </si>
  <si>
    <t>FIR No. 829 dated 25.11.2020 u/s 365 PPC PS Kabal District Swat</t>
  </si>
  <si>
    <t>6810-K</t>
  </si>
  <si>
    <t>Riaz Ahmed s/o Gularam Khan</t>
  </si>
  <si>
    <t>Mst. Tahira Bibi, r/o Mohalla Shaheed Anochum, Hazara, Tehsil Kabal, District Swat. (Mobile No. 0345-1907484).</t>
  </si>
  <si>
    <t>15602-7238088-9</t>
  </si>
  <si>
    <t>Traced Person. MI Dte has intimated that Riaz Ahmed is confined in Internment Centre Kohat in terms of Action (in aid of Civil Power) Regulations 2011. Family will be facilitated to see him as per procedure.</t>
  </si>
  <si>
    <t>6811-K</t>
  </si>
  <si>
    <t>Rehmat Ali Shah s/o Rehmat Khan</t>
  </si>
  <si>
    <t>Mst. Taj Meena, r/o Gul Jaba, Tehsil Kabal, District Swat. (Mobile No. 0343-8780342).</t>
  </si>
  <si>
    <t>Traced Person. As Rehmat Ali has been traced, he is no more a Missing Person. No further action is required to be taken by the Commission. Requirement of para 2(b) of the Notification/SRO 149 (I)/2011 has been fulfilled. Family members of Rehmat Ali shall be facilitated to see him in the Internment Centre as per rules and procedure.</t>
  </si>
  <si>
    <t>6812-B</t>
  </si>
  <si>
    <t>Taj Muhammad s/o Naik Muhammad</t>
  </si>
  <si>
    <t>Ali Muhammad, r/o Airport Road, P.O Quetta Shaikh Khandah, Tehsil &amp; District Quetta. (Mobile No. 0347-3912081 &amp; 0317-4746465).</t>
  </si>
  <si>
    <t>54401-3913758-1</t>
  </si>
  <si>
    <t>FIR No. 256/2020, dated 24.10.20, u/s 365PPC, P.S Zanghon Abad, District Quetta.</t>
  </si>
  <si>
    <t>Deleted. On the basis of thorough investigation statement of father of the Missing Person before the Commission on 13.2.2021 and reports of JIT it is concluded that the domain of enforced disappearance. Hence the case is closed.</t>
  </si>
  <si>
    <t>6813-S</t>
  </si>
  <si>
    <t>Usman Ullah s/o Sharif Khan</t>
  </si>
  <si>
    <t>Naseer Ullah, r/o House No. 29-A, Ayisa Manzal, Block No. 5, Rahmanabad, Fedral B Area, Karachi, Tehsil &amp; District Karachi Central. (Mobile No. 0346-2245134).</t>
  </si>
  <si>
    <t>42101-2653989-7</t>
  </si>
  <si>
    <t>Traced Person. It was informed at the hearing held in this Commission on 09.09.2021 that Usman Ullah has returned home. He appeared before the Commission and his statement was recorded in which he deposed that he was abducted by unknown persons on 05.02.2020 who released him 10/12 days before Ramzan-ul-Mubarak. No further action is required, the case is closed.</t>
  </si>
  <si>
    <t>6814-K</t>
  </si>
  <si>
    <t>Selaab Mehsood s/o Malik Khair Muhamamd Khan</t>
  </si>
  <si>
    <t>Shamus Ullah, r/o Saam, P.O Ladha, Tehsil Ladha, District South Waziristan. (Mobile No. 0333-4000558).</t>
  </si>
  <si>
    <t>FIR No. 3, dated 12/06/2021, u/s 365PPC, P.S Mosli, District North Waziristan.</t>
  </si>
  <si>
    <t>6815-K</t>
  </si>
  <si>
    <t>Zakir Ullah Khan s/o Abdul Manan</t>
  </si>
  <si>
    <t>Lal Mat Shah, r/o Koki Khel, Sikandar Khel, Tehsil Jamrod, District Khyber, KPK. (Mobile No. 0324-9936809 &amp; 0333-8589743).</t>
  </si>
  <si>
    <t>21202-5922696-9</t>
  </si>
  <si>
    <t>6816-K</t>
  </si>
  <si>
    <t>Muhammad Ilyas s/o Haji Noor Muhammad</t>
  </si>
  <si>
    <t>Muhammad Younas, r/o Koki Khel, Karwan Khel, Lashorah, Tehsil Jamrod, District Khyber, KPK. (Mobile No. 0306-9574781).</t>
  </si>
  <si>
    <t>21202-9439869-5</t>
  </si>
  <si>
    <t>6817-K</t>
  </si>
  <si>
    <t>Ababil s/o Arab Khan</t>
  </si>
  <si>
    <t>Sawab Khan, r/o Regi Lalma, Tehsil &amp; District, Peshawar. (Mobile No. 0306-5910322 &amp; 0321-7770071).</t>
  </si>
  <si>
    <t>6818-K</t>
  </si>
  <si>
    <t>Mehraj-ud-Din s/o Shah Gul Jan</t>
  </si>
  <si>
    <t>Mst. Pari Jana, r/o Village Kotkai, Tehsil Sararogha, District South Waziristan, KPK. (Mobile No. 0335-2351720).</t>
  </si>
  <si>
    <t>12201-7104318-7</t>
  </si>
  <si>
    <t>Traced Person. Rep of MI appeared before the Commission on 08-06-2021 submitted report for the date and name of Meraj-ud-Din exist at S. No, 04 shown as Interned in ICL. Complainant Mst. Pari Jan mother of Meraj-ud-Din also appeared whose statement has been recorded on oath. She has deposed that she has met her son at Internment Centre Kohat and Lakki Marwat.</t>
  </si>
  <si>
    <t>6819-S</t>
  </si>
  <si>
    <t>Faqeer Muhammad s/o Dhani Bux Mangnelo</t>
  </si>
  <si>
    <t>Ijaz Ali, r/o Police Line, Head Quarters, Sector H-11, Islamabad. (Mobile No. 0313-2414024 &amp; 0335-3148634).</t>
  </si>
  <si>
    <t>45208-5757573-3</t>
  </si>
  <si>
    <t>Traced Person. DSP (Inv) East, Karachi appeared before the Commission on 17.2.2021 and submitted report that Faqeer Muhammad returned home and presently available with their friends at Islamabad.</t>
  </si>
  <si>
    <t>MoHRs/ Amina Masood Janjua</t>
  </si>
  <si>
    <t>6820-S</t>
  </si>
  <si>
    <t>Waseem Haider s/o Naseem Ahmed</t>
  </si>
  <si>
    <t>Ijaz Ali, r/o Police Line, Head Quarters, Sector H-11, Islamabad. (Mobile No. 0313-2414024 ).</t>
  </si>
  <si>
    <t>45203-6415928-7</t>
  </si>
  <si>
    <t>Traced Person. DSP (Inv) East, Karachi appeared before the Commission on 17.2.2021 and submitted report that Waseem Haider returned home and presently available with their friends at Islamabad.</t>
  </si>
  <si>
    <t>6821-S</t>
  </si>
  <si>
    <t>Syed Muhammad Ali Suleman s/o Syed Saqib Hussain</t>
  </si>
  <si>
    <t>Syed Ibrahim Abbas, r/o House No. R-1329, Block 14, Dastgir, Federal B Area, Karachi. (Mobile No. 0311-2108701 &amp; 0332-5455866).</t>
  </si>
  <si>
    <t>42501-2822926-5</t>
  </si>
  <si>
    <t>Traced Person. It was informed at the hearing held in this Commission on 23.11.2020 that Muhammad Ali Suleman has returned home. The statement of the Traced Person has been recorded u/s 164 CrPC, which is available on record. The report submitted and confirmed by SHO, PS Joharibad, Karachi confirms the aforesaid position.</t>
  </si>
  <si>
    <t>6822-K</t>
  </si>
  <si>
    <t>Khalil Akhtar s/o Ahmed Jan</t>
  </si>
  <si>
    <t>Akhtar Ali, r/o Mohalla Kozcham, Dherai, Tehsil Kabal, District Swat. (Mobile No. 0342-8235210)</t>
  </si>
  <si>
    <t>15602-4092749-7</t>
  </si>
  <si>
    <t>FIR No. 1172, dated 5.11.2020 U/S 365 PPC, P.S Kanju, Swat.</t>
  </si>
  <si>
    <t>6823-K</t>
  </si>
  <si>
    <t>Sami Ullah s/o Shams-ur-Rehman</t>
  </si>
  <si>
    <t>Saazwi, r/o Swabi Manki Jalsi Road, Umerabad, District Swabi. (Mobile No. 0314-9705584 &amp; 0332-9220712).</t>
  </si>
  <si>
    <t>17301-5344600-1</t>
  </si>
  <si>
    <t>Traced Person. Sami Ullah has been traced he has returned home. In this connection statement of Sami Ullah has been recorded u/s 164 CrPC by Judicial Magistrate – III Swat. As Sami Ullah has been traced, he is no more a missing person, the case is accordingly disposed of.</t>
  </si>
  <si>
    <t>6824-K</t>
  </si>
  <si>
    <t>Muhammad Alam s/o Gul Muhammad Jan</t>
  </si>
  <si>
    <t>Mst. Gul Farosha, r/o Barang Mahmool, P.O Khas, Tehsil Barang, District Bajaur. (Mobile No. 0333-9073737).</t>
  </si>
  <si>
    <t>21102-6863601-3</t>
  </si>
  <si>
    <t>Traced Person. Muhammad Alam as per report of MI and statement of mother of Traced Person is confined at Internment Centre Ghalanai, District Mohamand. No further action is required. The case is closed.</t>
  </si>
  <si>
    <t>FATA/ Bajarh</t>
  </si>
  <si>
    <t>6825-B</t>
  </si>
  <si>
    <t>Jahanzaib s/o Abdul Sattar</t>
  </si>
  <si>
    <t>Orangzaib, r/o Near Jamia Masjid Ghausia, Mohalla Kalye Qambrani, Quetta. (Mobile No. 0335-3900233).</t>
  </si>
  <si>
    <t>54400-68039471</t>
  </si>
  <si>
    <t>6826-B</t>
  </si>
  <si>
    <t>Majid Ahmed s/o Dad Muhammad</t>
  </si>
  <si>
    <t>Traced Person. Complainant Dad Muhammad father of Majid Ahmad appeared before the Commission at Quetta on 27.08.2021 whose statement was recorded on oath in which he deposed that Majid Ahmad was abducted on 31.05.2019 and has returned home on 20.07.2021. No further action is required, the case is closed.</t>
  </si>
  <si>
    <t>6827-B</t>
  </si>
  <si>
    <t>Bilal Ahmed s/o Miran Bux</t>
  </si>
  <si>
    <t>Mst. Bibi Gul, r/o Kalye Shah Nawaz, Saryab Road, Near Awami Pump, Quetta. (Mobile No. 0336-2871268).</t>
  </si>
  <si>
    <t>51602-1132201-5</t>
  </si>
  <si>
    <t>Traced Person. Compainant, Bibi Gul appeared before the Commission at Quetta whose statement was recorded on oath in which she deposed that Bilal Ahmad had returned home on 28.5.2021 and staying at his home at Mustang. No further action is required. She case is closed.</t>
  </si>
  <si>
    <t>6828-B</t>
  </si>
  <si>
    <t>Imam Bukhsh @ Muhammad Yousaf s/o Ghulam Sarwar</t>
  </si>
  <si>
    <t>Ghulam Nabi, r/o Kalye New Muslimabad, Saryab Road, Quetta. (Mobile No. 0332-7960194 &amp; 0336-3966269).</t>
  </si>
  <si>
    <t>54400-7551403-7</t>
  </si>
  <si>
    <t>Traced Person. SSP (Inv), Quetta appeared before the Commission on 30.10.2021 and submitted that Imam Bakhsh s/o Ghulam Sarwar had returned home. Imam Bakhsh also entered appearance, whose statement was recorded on oath in which he deposed that he was picked up by muffled faces men on 08.11.2016 set free four years and eight months prior to Eid-ul-Azha. No further action is required. The case is closed.</t>
  </si>
  <si>
    <t>6829-B</t>
  </si>
  <si>
    <t>Tahir Hafeez s/o Hafeez Ahmed Abbasi</t>
  </si>
  <si>
    <t>Mst Rimsha Amjad, r/o House No. 76, Gali No. 01, Teacher Colony, Malik Abdul Khaliq Road, Nawah Kalye, Quetta. (Mobile No. 0316-8275026).</t>
  </si>
  <si>
    <t>54400-2901718-7</t>
  </si>
  <si>
    <t>FIR No. 224-20, dated 03.09.2020, u/s 365PPC, P.O Zarghonabad, Quetta.</t>
  </si>
  <si>
    <t>Traced Person. Mrs. Ramsha Amjad wife of Tahir Hafeez entered appearance before the Commission on 13.2.20201 at Quetta, in which he deposed that Tahir Hafeez returned home after one month and gone to Islamabad for some private work. She further stated that Tahir Hafeez left home on his own due to some domestic scuffle and he was not abducted by anyone.</t>
  </si>
  <si>
    <t>6830-K</t>
  </si>
  <si>
    <t>Muhammad Zaman s/o Sahib Jan</t>
  </si>
  <si>
    <t>Dawa Jan, r/o Kuki Khel, Tor Khel, Soor Kamar, P.O Jamrud, Tehsil Jamrud, District Khyber. (Mobile No. 0303-9038411 &amp; 0333-6574990).</t>
  </si>
  <si>
    <t>21202-1972106-5</t>
  </si>
  <si>
    <t>Traced Person. Rep of MI appeared and produced report that Muhammad Zaman was confined in the Internment Centre Kohat under Action (in aid of Civil) Regulation, 2011. Family will be facilitated to see him as per rule and procedures.</t>
  </si>
  <si>
    <t>6831-A</t>
  </si>
  <si>
    <t>Ajmal Gul s/o Gul Muhammad</t>
  </si>
  <si>
    <t>Nasir-ud-Din. r/o Mohalla Abdul Ghani, Village &amp; P.O Dhamtorh, Abbottabad. (Mobile No. 0313-6660962 &amp; 0992-410086)</t>
  </si>
  <si>
    <t>13101-0889939-5</t>
  </si>
  <si>
    <t>Deleted. The case has been examined in detail and reports from JIT/PTF sought on 8.10.2021, Nasrudain Mehmood appeared before the Commission. He was cross examined by SP(HQ) Muzaffarabad which revealed that Ajmal Gul was involved in financial embezzlement in Zong Franchise. The apprehension / custody of the Missing Person has been denied by all stakeholders. Hence not a case of enforced disappearance.</t>
  </si>
  <si>
    <t>Muzaffarabad</t>
  </si>
  <si>
    <t>6832-P</t>
  </si>
  <si>
    <t>Muhammad Irfan s/o Muhammad Iqbal</t>
  </si>
  <si>
    <t>Muhammad Iqbal, r/o Piend Ghakhar, P.O Jolia,Tehsil Khanpur, District Haripur. (Mobile No. 0346-5729569).</t>
  </si>
  <si>
    <t>13302-6001945-7</t>
  </si>
  <si>
    <t>Traced Person. SSP (Inv), Rawalpindi entered appearance and submitted report that Muhammad Irfan had been traced as he had been arrested in case FIR No. 10 dated 19.11.2020 u/s -G/11-W/ATA. He also furnished copy of the FIR. No further action is required. The case is closed</t>
  </si>
  <si>
    <t>6833-P</t>
  </si>
  <si>
    <t>Arsalan s/o Muhammad Aslam</t>
  </si>
  <si>
    <t>Muhammad Muslim, r/o Village Shahpur, Tehsil &amp; P.O Taxila, District Rawalpindi. (Mobile No. 0300-5230166 &amp; 0314-5192692 &amp; 0311-5463115).</t>
  </si>
  <si>
    <t>37406-6339171-9</t>
  </si>
  <si>
    <t>Traced Person. A report has been received from CPO Rawalpindi which states that Arslan has been arrested by Counter Terrorism Department, Sargodha Region in case FIR No. 11 dated 24.11.2020 u/s 11-G/11-W/ATA. Accordingly , the case stands disposed of.</t>
  </si>
  <si>
    <t>6834-P</t>
  </si>
  <si>
    <t>Noman Siddique s/o Muhammad Siddique</t>
  </si>
  <si>
    <t>Muhammad Siddique, r/o Piend Ghakhar, P.O Jolia,Tehsil Khanpur, District Haripur. (Mobile No. 0301-3007147 &amp; 0315-5801224).</t>
  </si>
  <si>
    <t>13302-5946312-3</t>
  </si>
  <si>
    <t>Traced Person. A report has been received from CPO Rawalpindi which states that Nouman Siddique was arrested by Counter Terrorism Department, Sargodha Region in case FIR No. 10 dated 19.11.2020 u/s 11-G/11-W/ATA. The case accordingly stands disposed of.</t>
  </si>
  <si>
    <t>6835-K</t>
  </si>
  <si>
    <t>Usman Siddique s/o Muhammad Siddique</t>
  </si>
  <si>
    <t>13302-0833422-3</t>
  </si>
  <si>
    <t>Traced Person. Usman Siddique is confined in District Jail, Bahawalpur in case FIR No. 29 dated 06.11.2020 u/s 4/5 ESA r/w 7-ATA, 1997. Muhammad Siddique father confirmed in his statement recorded by Commission, Hence case is closed.</t>
  </si>
  <si>
    <t>6836-S
 7813-S</t>
  </si>
  <si>
    <t>Sarfaraz Khan s/o Mohib Ullah Khan</t>
  </si>
  <si>
    <t>Mst. Tasleem Bibi, r/o P.O Totano Bandai, Village Manja, Tehsil Tabal, District Swat. (Mobile No. 0347-9140599).</t>
  </si>
  <si>
    <t>15602-0505842-3</t>
  </si>
  <si>
    <t>6837-K</t>
  </si>
  <si>
    <t>Shah Hikmat s/o Zarmat Khan</t>
  </si>
  <si>
    <t>Zarmat Khan, r/o Zia Saidgal, Tehsil Data Khel, District North Waziristan.</t>
  </si>
  <si>
    <t>21501-6377566-3</t>
  </si>
  <si>
    <t>6838-K</t>
  </si>
  <si>
    <t>Shah Pasand s/o Doranaye</t>
  </si>
  <si>
    <t>Mst. Noreen, r/o Qadamy Yarhursain, P.S Yarhursain, Swabi, KPK. (Mobile No. 0343-9749513).</t>
  </si>
  <si>
    <t>16201-0741019-3</t>
  </si>
  <si>
    <t>FIR No. 411 dated 04.7.2020 u/s 365 PPC PS Zaida District Swabi</t>
  </si>
  <si>
    <t>6839-K</t>
  </si>
  <si>
    <t>Taj Ali Khan s/o Jay Pur</t>
  </si>
  <si>
    <t>Mst. Kamoday, r/o Yarhursain, P.S Yarhursain, Swabi, KPK. (Mobile No. 0345-9104613 &amp; 0347-8491347).</t>
  </si>
  <si>
    <t>42501-9957778-7</t>
  </si>
  <si>
    <t>FIR No. 958 dated 08.12.2020 u/s 365 PPC PS Yaar Hussain District Swabi</t>
  </si>
  <si>
    <t>Traced Person. Taj Ali Khan appeared before the Commission on 22.10.2021 and his statement was recorded on oath in which he deposed that he was arrested by Police of PS Yarhursain District Swabi on 6.3.2019. He was blindfolded and taken away and kept at an unknown place. No further action is required. The case is closed.</t>
  </si>
  <si>
    <t>6840-K</t>
  </si>
  <si>
    <t>Zia-ud-Din s/o Sarfraz</t>
  </si>
  <si>
    <t>Abdul Malik, r/o village Larah Bandhi, Tehsil Khar, District Bajaur. (Mobile No. 0315-3464643 &amp; 0304-5098800).</t>
  </si>
  <si>
    <t>21103-7266011-1</t>
  </si>
  <si>
    <t>Traced Person. SP (Inv) Bajur submitted report that Zia-ud-Din appeared before JIT and submitted that he was arrested by Security Forces and produced before ATC Timergara and released on bail. No further action is required. The case is closed.</t>
  </si>
  <si>
    <t>6841-K</t>
  </si>
  <si>
    <t>Hamid Khan s/o Muhammad Maskeen</t>
  </si>
  <si>
    <t>Mst. Lal Bibi, r/o Mohallah Sher Khan, Banda Lal Bayan, Tehsil &amp; District Manshera. (Mobile No. 0316-8506949)</t>
  </si>
  <si>
    <t>FIR No. 1294 dated 26.11.2020 u/s 365 PPC, P.S City, Mansehra</t>
  </si>
  <si>
    <t>6842-K</t>
  </si>
  <si>
    <t>Sher Muhammad s/o Taza Gul</t>
  </si>
  <si>
    <t>Mst. Khawar, r/o Road Yangara, Tehsil Matta, District Swat. (Mobile No. 0341-6640499)</t>
  </si>
  <si>
    <t>FIR No. 572dated 01.12.2020 u/s 365 PPC, P.S Shaheed Wani, District Swat</t>
  </si>
  <si>
    <t>6843-P</t>
  </si>
  <si>
    <t>Khalil Ullah s/o Haji Saif Ullah</t>
  </si>
  <si>
    <t>Mst. Naseem Zahra, r/o Baloch Colony, Goth Bajan, Near Quaid-e-Azam Colony, Tehsil &amp; District Bahawalpur. (Mobile No. 0300-9643268)</t>
  </si>
  <si>
    <t>Traced Person. DPO, Bahawalpur submitted report at the hearing held on 12.08.2021 indicating that Khalil Ullah has returned home. No further action is required, the case is closed.</t>
  </si>
  <si>
    <t>6844-P</t>
  </si>
  <si>
    <t>Mst. Mehar-un-Nisa, r/o 200, najaf Colony, Allama Iqbal Town, Lahore (Mobile No. 0321-4382338).</t>
  </si>
  <si>
    <t>Traced Person. It was informed by the Investigation Officer at the hearing held in this case on 15-06-2021 at Lahore that Muhammad Atif Baig has returned home as confirmed by his brother. No further action is required. The case is closed.</t>
  </si>
  <si>
    <t>6845-B</t>
  </si>
  <si>
    <t>Muhammad Zakria s/o Khan Jan</t>
  </si>
  <si>
    <t>Fareed Ahmed, r/o Kuli Haji Murad Ali, Noshki, Balochistan. (Mobile No. 0344-8299743)</t>
  </si>
  <si>
    <t>Traced Person. Muhammad Zakria appeared before the Commission on 27.08.2021 at Quetta, whose statement was recorded in oath in which he deposed that he was abducted on 28.09.2018 by some men in uniforms and civvies who kept him at some unknown place and set him on 28.05.2021. No further action is required. The case is closed.</t>
  </si>
  <si>
    <t>6846-I</t>
  </si>
  <si>
    <t>Muhammad Rizwan Aslam s/o Muhammad Aslam</t>
  </si>
  <si>
    <t>Muhammad Bilal Aslam, r/o House No. K-36, Tali Mohallah, Murree Road, Rawalpindi. (Mobile No. 0345-5329965 &amp; 0333-0003294)</t>
  </si>
  <si>
    <t>37405-7112132-5</t>
  </si>
  <si>
    <t>FIR No. 511 dated 25.10.2020 u/s 365 PPC, PS Industrial Area, Islamabad.</t>
  </si>
  <si>
    <t>6847-K</t>
  </si>
  <si>
    <t>Shamim-ud-Din s/o Nasir-ud-Din</t>
  </si>
  <si>
    <t>Nasir-ud-Din. r/o Village Tapi, Tehsil Mer Insha, District North Waziristan. (Mobile No. 0320-1966040)</t>
  </si>
  <si>
    <t>Traced Person. According to the report submitted at the hearing on 3.12.2021 by DPO, North Waziristan Shamim-ud-Din s/o Nasir Khan r/o Tapi, Tehsil Miranshah, who was missing since 16th June, 2020 has returned home safe and sound. No further action is required. The case is closed.</t>
  </si>
  <si>
    <t>North Waziristan</t>
  </si>
  <si>
    <t>6848-P</t>
  </si>
  <si>
    <t>Sami Ullah s/o Tallay Khan Gul</t>
  </si>
  <si>
    <t>Baryal Khan, r/o, House No. 01, Street No. 03, Nawab Colony, Rawalpindi. (Mobile No. 0301-8399162)</t>
  </si>
  <si>
    <t>Traced Person. Complainant Baryal Khan appeared before the Commission and his statement was recorded on oath. Sami Ullah returned home safe and sound presently available at his home. No further action is required. The case is closed.</t>
  </si>
  <si>
    <t>6849-S</t>
  </si>
  <si>
    <t>Muhammad Zeeshan s/o Muhammad Iqbal</t>
  </si>
  <si>
    <t>Muhammad Iqbal, r/o House No. 35/515, Street No. 05, Mohallah Bandhani Colony, Ghareeb Abad, Sarkarlar Road, District Karachi. (Mobile. 0333-2858113 &amp; 0345- 2727128)</t>
  </si>
  <si>
    <t>6850-K</t>
  </si>
  <si>
    <t>Shahab Ullah s/o Raziq Ullah</t>
  </si>
  <si>
    <t>Ashiq Ullah s/o Raziq Ullah, r/o Tehsil Topi, District Swabi. (Mobile No. 0301-5231646 &amp; 0313-9418520).</t>
  </si>
  <si>
    <t>FIR No. 49 dated 25.1.2021, iu/s 365 PPC, P.S Topi, Swabi</t>
  </si>
  <si>
    <t>6851-S</t>
  </si>
  <si>
    <t>Dost Muhammad s/o Sawal Muhammad</t>
  </si>
  <si>
    <t>r/o, Jayen Paroom, District Pamjgur, Balochistan, Pakistan.</t>
  </si>
  <si>
    <t>52303-3489820-9</t>
  </si>
  <si>
    <t>6852-K</t>
  </si>
  <si>
    <t>Akhtar Hayat s/o Imdad Khan</t>
  </si>
  <si>
    <t>Mst. Nasreen Bagum, r/o Village Ragi Yousafzai, P.O Ragi Yousafzai, P.S Rahi, Tehsil &amp; District Peshawar. (Mobile No. 0333-9096709 &amp; 0310-9662163 &amp; 0333-9248280).</t>
  </si>
  <si>
    <t>17301-4088252-5</t>
  </si>
  <si>
    <t>6853-K</t>
  </si>
  <si>
    <t>Tasbeeh Ullah s/o Feroz Khan</t>
  </si>
  <si>
    <t>Feroz Khan, r/o Malik Shahi, Norang Khel, Jani Khel, Tehsil &amp; District Bannu. (Mobile No. 0331-9856349).</t>
  </si>
  <si>
    <t>11101-9045441-9</t>
  </si>
  <si>
    <t>Traced Person. Ashfaq b/o Tasbeeh ullah appeared before the Commission and his statement was recorded on oath in which he deposed that Tasbeeh Ullah was confined in Internment Centre Lakki Marwat. He further disclosed that he and family members have already met Tasbeeh Ullah in the Internment Centre Lakki Marwat.</t>
  </si>
  <si>
    <t>6854-K</t>
  </si>
  <si>
    <t>Ozair Manzoor s/o Manzoor Islam</t>
  </si>
  <si>
    <t>11/23/2020</t>
  </si>
  <si>
    <t>Manzoor Islam, r/o Khatak Colony, District Nowshera Cantt, KPK. (Mobile No. 0315-2383745 &amp; 0313-1916352).</t>
  </si>
  <si>
    <t>17201-4688580-7</t>
  </si>
  <si>
    <t>FIR No. 966 dated 14.12.2021, u/s 365 PPC, P.S Nowshera Cantt, District Nowshera.</t>
  </si>
  <si>
    <t>Traced Person. Noor Jamal, SP (Inv), Nowshera appeared before the Commission, whose statement was recorded on oath in which he submitted that Ozair Manzoor was sent to district Jail Attock in case FIR No. 416/20 dated 23.11.2020 u/s 496-S PPC, PS Hassan Abdal from where he released on bail and returned home. No further action is required, the case is closed.</t>
  </si>
  <si>
    <t>30th November, 2020</t>
  </si>
  <si>
    <t>6855-S</t>
  </si>
  <si>
    <t>Ghulam Farooq s/o Abdul Rasool</t>
  </si>
  <si>
    <t>Muhammad Ayub, r/o Mohlla Kalye Sarprah Abad, Sibi Road, Quetta. (Mobile No. 0313-8034537).</t>
  </si>
  <si>
    <t>54400-0699080-3</t>
  </si>
  <si>
    <t>01st December, 2020</t>
  </si>
  <si>
    <t>6856-P</t>
  </si>
  <si>
    <t>Farman Ullah s/o Aziz-ur-Rehman</t>
  </si>
  <si>
    <t>Ayaz Khan, r/o New Colony, Bartras, P.O Khar, Aytmaye, Tehsil Salarzai, District Bajurh. (Mobile No. 0307-7525099).</t>
  </si>
  <si>
    <t>21106-6437388-3</t>
  </si>
  <si>
    <t>6857-P</t>
  </si>
  <si>
    <t>Zahid Ullah s/o Aziz-ur-Rehman</t>
  </si>
  <si>
    <t>21106-1983488-5</t>
  </si>
  <si>
    <t>Traced Person. Zahid Ullah has been traced. He appeared before the Commission. He deposed that he was taken away on 29.9.2020 by Police accompained by men in civvies. He was blind folded and kept at unknown place. After three monts he was set free at a place near Peshawar. He further stated that he is not in a position to identify anybody. The case is closed.</t>
  </si>
  <si>
    <t>6858-I</t>
  </si>
  <si>
    <t>Syed Kamal s/o Mianwali</t>
  </si>
  <si>
    <t>Abdullah Khan, r/o Al-Madina Gernel Store, Marjan Stop, Niazi Colony, Fateh Jhang Road, Tarnol, Islamabad. (Mobile No. 0317-1490100)</t>
  </si>
  <si>
    <t>21703-4048362-9</t>
  </si>
  <si>
    <t>FIR No. 721/2020, dated 14.11.2020, U/S 365PPC, P.S Tarnol, Islamabad.</t>
  </si>
  <si>
    <t>Traced Person. Syed Kamal s/o Mian Wali appeared before the Commission on 28.12.2020, whose statement was recorded on oath in which he deposed that on 22.10.2020 at 3. P.M when he was working in his General Store at Tarnol, some unknown persons entered his store and took him away blindfolded in a vehicle to an unknown place. That he was set free on 16.12.2020 at an undentified place from where he reached home by a taxi. He further deposed that the persons who abducted him are not known to him and he cannot identify them even if they are brought before him.</t>
  </si>
  <si>
    <t>6859-P</t>
  </si>
  <si>
    <t>Farooq Abbas Butt s/o Muhammad Abbas Butt</t>
  </si>
  <si>
    <t>Muhammad Abbas Butt, r/o Qasba Noor Ahmed Pur, P.S City, Lala Mosa, District Gujjrat. (Mobile No. 0321-6202815).</t>
  </si>
  <si>
    <t>34202-3766292-3</t>
  </si>
  <si>
    <t>Traced Person. Additional IG, CTD Punjab submitted report that Farooq Abbas Butt is confined in Dera Ghazi Khan an FIR lodged against him. In view of above no further action is required. The case is closed.</t>
  </si>
  <si>
    <t>6860-S</t>
  </si>
  <si>
    <t>Dodo Khan Chandio s/o Hafiz Muhammad Muslim</t>
  </si>
  <si>
    <t>Rizwan Ahmed, r/o Village Gul, District Naushahro Feroz. (Mobile No. 0335-7479360). Email: rizwanahmed1502@gamil.com</t>
  </si>
  <si>
    <t>Traced Person. Jam Khan Chandio b/o Dodo Khan Chandio Traced Person appeared before the Commission on 20.2.2021 and his statement was recorded on oath in which he deposed that his brother was kidnapped on 26.6.2020 and returned home on 9.12.2020. He further deposed that his brother was abducted by some unknown persons whom his brother is not aware of. He added that at the moment he was in his native village.</t>
  </si>
  <si>
    <t>6861-S</t>
  </si>
  <si>
    <t>Fayaz Hussain Shaikh s/o Raban Shaikh</t>
  </si>
  <si>
    <t>Mst. Ghulam Fatima, r/o House No. 14, in front of Qadri Masjid, Latifabad No. 2, Hydrabad. (Mobile No. 0330-2614065).</t>
  </si>
  <si>
    <t>Traced Person. DSP/SDPO Kotri Hyderabad appeared before the Commission on 20.2.2021. His statement has been recorded on 18.2.2021. Statement of the Traced Person was also produced.</t>
  </si>
  <si>
    <t>6862-K</t>
  </si>
  <si>
    <t>Sabeel Rehman s/o Rehmat Ullah Khan</t>
  </si>
  <si>
    <t>Nabi Rehman, r/o Village Khwaja Dar Khel, P.O Mushtrika Jani Khel, Tehsil &amp; District Bannu. (Mobile No. 0303-8296617 &amp; 0321-9654934).</t>
  </si>
  <si>
    <t>22201-5583398-7</t>
  </si>
  <si>
    <t>Traced Person. Nabi Rehman appeared before the Commission on 07.04.2021 and his statement was recorded on oath in which he deposed that Sabeel Rehman was presently confined in Internment Centre Lakki Marwat. He further deposed that he and family members have already met Sabeel Rehman on 10.03.2021in Internment Centre Lakki Marwat.</t>
  </si>
  <si>
    <t>6863-S</t>
  </si>
  <si>
    <t>Hassan Iqbal Soomro s/o Iqbal Ahmed Soomro</t>
  </si>
  <si>
    <t>Iqbal Ahmed Soomro, r/o Village Bangal Dero, P.O Bangal Dero,Taluka Ratodero, District Larkana. (Mobile No. 0333-7326875).</t>
  </si>
  <si>
    <t>43205-1524138-3
 Father CNIC</t>
  </si>
  <si>
    <t>Traced Person. Hassan Iqbal Soomro appeared before the Commission on 20.2.2021, whose statement was recorded on oath in which he stated that he came to Karachi on his free will and he was not abducted by anyone. He further stated that during checking he was arrested and sent to Jail. Thereafter he was released on bail.</t>
  </si>
  <si>
    <t>6864-K</t>
  </si>
  <si>
    <t>Qadir Jan s/o Bahadur Khan</t>
  </si>
  <si>
    <t>Muhammad Yaqoob, r/o Bannu Township, Tehsil &amp; District Bannu. (Mobile No. 0334-8226161 &amp; 0337-9254993).</t>
  </si>
  <si>
    <t>21504-9407734-5</t>
  </si>
  <si>
    <t>Traced Person. Qadir Jan has been traced, he appeared before the Commission on 07.04.2021 and his statement was recorded on oath, in which he deposed that he was not kidnapped by anybody rather he went to Karachi on his own will that he returned home on 24.03.2021.</t>
  </si>
  <si>
    <t>6865-S</t>
  </si>
  <si>
    <t>Faiz-ur-Rehman Afzal s/o Mushtaque Ahmed</t>
  </si>
  <si>
    <t>Lutuf-ur-Rehamn Asif, r/o House No. 93, Panhwar Colony, Setllite Town, Mirpurkhas, Sindh. (Mobile No. 0333-2966321).</t>
  </si>
  <si>
    <t>44103-7362864-9</t>
  </si>
  <si>
    <t>Traced Person. Faiz-ur-Rehman Afzal entered appearance in person before the Commission on 19.2.2021 and stated that he was arrested by Police on 19.11.2020 kept at some unknown place and he was released on 19.12.2020. The complainant requested to closes the case.</t>
  </si>
  <si>
    <t>6866-S</t>
  </si>
  <si>
    <t>Khalil Ullah s/o Muhammad Sadiq</t>
  </si>
  <si>
    <t>Muhammad Sadiq, r/o Damgar, Dehari Baba G, Tehsil Kabal, District Swat. (Mobile No. 0347-0892158).</t>
  </si>
  <si>
    <t>15602-0541160-9
 15602-1116976-7
 Father CNIC</t>
  </si>
  <si>
    <t>Traced Person. It was informed at the hearing in this Commission on 12.08.2021 that Khalil Ullah was arrested in Criminal Case vide FIR No. 145/21 dated 10.03.2021 u/s 4/5 ESA 12 7 ATA 1997 PS Steel Town, Karachi and presently on bail granted by Sindh High Court on 17.06.2021. Hence, the case is closed.</t>
  </si>
  <si>
    <t>6867-I</t>
  </si>
  <si>
    <t>Amir Khan s/o Khyalbat Khan</t>
  </si>
  <si>
    <t>Taj Akbar, r/o Dohra Road, Afridiabad, Peshawar. (Mobile No. 0332-4583770).</t>
  </si>
  <si>
    <t>14101-2963032-9</t>
  </si>
  <si>
    <t>Traced Person. Amir Khan appeared at the hearing held in this Commission on 9.2.2021 and his statement was recorded on oath, in which he deposed that he came for Naat Khawani and he was not abducted y anybody. He went to Sabzi Mandi, Islamabad where he worked for earning his livelihood and he returned home on 13.12.2020</t>
  </si>
  <si>
    <t>6868-K</t>
  </si>
  <si>
    <t>Usman Ali Khan s/o Akbar Khan</t>
  </si>
  <si>
    <t>Mehmood Ali Khan, r/o Saidu Shareef, shagi Akhun Baba, Mingorah, Swat. (Mobile No. 0345-4418962).</t>
  </si>
  <si>
    <t>FIR No. 1002 dated 28.12.2020, u/s 365 PPC, P.S Mingora, Swat.</t>
  </si>
  <si>
    <t>6869-K</t>
  </si>
  <si>
    <t>Mufti Waheed-ud-Din s/o Haji Gula Din</t>
  </si>
  <si>
    <t>Haji Gula Din, r/o Hal Phata Nakoot, Madina Colony, Tehsil &amp; District Tank. (Mobile No. 0345-9842905 &amp; 0346-2876848).</t>
  </si>
  <si>
    <t>21704-0365096-7</t>
  </si>
  <si>
    <t>Traced Person. SP (Inv), North Waziristan appeared before the Commission on 27.08.2021 and informed that Mufti Waheed-ud-Din s/o Haji Gula Din has returned home. No further action is required. The case is closed.</t>
  </si>
  <si>
    <t>6870-P</t>
  </si>
  <si>
    <t>Muzamil Hussain s/o Muhammad Hanif</t>
  </si>
  <si>
    <t>Muhammad Hanif, r/o Near Mohalla Khuajyan wali, Ward No. 8, House No. 238, Mohalla Farooqia, Jhang. (Mobile No. 0333-6753491)</t>
  </si>
  <si>
    <t>33202-3657286-5</t>
  </si>
  <si>
    <t>Traced Person. Muzammil Hussain appeared before the Commission at the hearing held on 15-06-2021. Hence no further action is required. The case is closed.</t>
  </si>
  <si>
    <t>6871-P</t>
  </si>
  <si>
    <t>Ali Hamza s/o Anwar Hussain</t>
  </si>
  <si>
    <t>Anwar Hussain, r/o Ward No. 8, House No. 228, Mohalla Farooqia, Jhang City. (Mobile No. 0340-7474460).</t>
  </si>
  <si>
    <t>33202-4148498-5</t>
  </si>
  <si>
    <t>Traced Person. Ali Hamza appeared before the Commission at the hearing held on 15-06-2021 at Lahore. He was reluctant to indicate details of the episode. According no further action is required. The case is closed.</t>
  </si>
  <si>
    <t>6872-K</t>
  </si>
  <si>
    <t>Haroon Shah s/o Hazir Jan</t>
  </si>
  <si>
    <t>Tooraban, r/o Barqamber Khel, Shakhmal Khel, Quyam Khel, Paka Tarah, District Khyber. (Mobile No. 0307-2057450 &amp; 0348-9037010).</t>
  </si>
  <si>
    <t>21202-7281493-1
 Father CNIC</t>
  </si>
  <si>
    <t>6873-S</t>
  </si>
  <si>
    <t>Shah Wazir Khan s/o Taj Muhammad Khan</t>
  </si>
  <si>
    <t>Nisar Ahmed, r/o Hijrat Colony, Sector D-2, Gali No.28, Karachi. (Mobile No. 0332-8298815).</t>
  </si>
  <si>
    <t>42301-5850497-9</t>
  </si>
  <si>
    <t>Traced Person. DSP, AVC/ CIA, Karachi and Nisar Ahmed b/o Traced Person appeared before the Commission on 18.2.2021. The circumstances of the case deposed by both in their statements confirms that it was a case of kidnapping for ransom as the kidnappers released Shah Wazir Khan on payment of rupees 3.5 Million.</t>
  </si>
  <si>
    <t>6874-P</t>
  </si>
  <si>
    <t>Ijaz Ahmed Ijaz, r/o House No. 81, Umar Hayat Block, Khayban-e-Quaid, Near Itfaq Town, Mansora, Multan Road, Lahore. (Mobile No. 0300-4540602 &amp; 0342-4799363).</t>
  </si>
  <si>
    <t>35202-8873687-5</t>
  </si>
  <si>
    <t>Traced Person. Shahzad Ahmed has been traced. He appeared before the Commission on 21.1.2021 at Lahore. His statement has been recorded on oath. According to which he was abducted on 28.11.2020 at about 11 PM by unknown persons. His face was muffled and was kept at unknown place, where he was not asked any question. On 13.1.2021 during night at about 2/ 3 AM he was set free at Thokar Niaz Baig from where he reached home. The case is closed.</t>
  </si>
  <si>
    <t>6875-K</t>
  </si>
  <si>
    <t>Farhad Khan s/o Gul Nabi</t>
  </si>
  <si>
    <t>Gul Nabi, r/o Mohalla Ziyarat Road, Torh Dhari, Tehsil Chota Lahore, District Swabi. (Mobile No. 0347-8042645).</t>
  </si>
  <si>
    <t>16201-6902458-5</t>
  </si>
  <si>
    <t>Traced Person. SP (Inv), Swabi appeared before and submitted that FIR No. 26 dated 27.07.2021 u/s 5 ESA/15AA/7ATA/34 PPC PS CTD, Mardan. He was confined in Central Jail, Mardan. Father of Farhad Khan also confirmed and stated that he met his son in Jail.</t>
  </si>
  <si>
    <t>6876-K</t>
  </si>
  <si>
    <t>Jamroz Khan s/o Orang Jan</t>
  </si>
  <si>
    <t>Muhammad Razzaq, r/o Sipah Warmiz Khel, P.O Barah, Spain Qabar, Tehsil Barah, District Khyber. (Mobile No. 0308-5299907).</t>
  </si>
  <si>
    <t>21201-2671303-1</t>
  </si>
  <si>
    <t>6877-P</t>
  </si>
  <si>
    <t>Abdul Shakoor s/o Ghulam Haider</t>
  </si>
  <si>
    <t>Allah Dewaya, r/o Cha Tarhan wala, Perhar Garbi, Gair Mustkil, P.O Shaik Umer, Tehsil Kot Adu, District Muzafargarh. (Mobile No. 0344-7004075 &amp; 0341-7213021).</t>
  </si>
  <si>
    <t>32303-0689771-5</t>
  </si>
  <si>
    <t>6878-B</t>
  </si>
  <si>
    <t>Zubair Ahmed s/o Gwahram @ Obaida</t>
  </si>
  <si>
    <t>Javed Ahmed, r/o Balochabad, Tehsil Mand, District Kech, Balochistan, Pakistan.</t>
  </si>
  <si>
    <t>Traced Person.DSP, Tump appeared before the Commission on 8.2.2021 at Quetta, whose statement was recorded on oath, in which he stated that relatives of Zubair Ahmed s/o Gwahram were called on 19.1.2021 for registration of case, who told the Police that Zubair Ahmed has return home four months ago. Zubair Ahmed was arrested by CTD Turbat on 24.4.2020 in case FIR No. 32/20 and released on bail by the Court if competent Jurisdiction.</t>
  </si>
  <si>
    <t>6879-B</t>
  </si>
  <si>
    <t>Salman Ali Saleem</t>
  </si>
  <si>
    <t>r/o Balochabad, Tehsil Mand, Kech, District Kech, Balochistan, Pakistan.</t>
  </si>
  <si>
    <t>52205-3096782-3</t>
  </si>
  <si>
    <t>Traced Person. Mr. Imam Bakhsh , DSP Tump appeared before the Commission at Quetta, whose statement has been recorded on oath. He has stated that Salman Ali Saleem s/o Khuda Dar Saleem who disappeared on 5.7.2019 has returned home on 4.2.2021. DSP Tump produced copies of certain documents in support of his report including statement of the Traced Person.</t>
  </si>
  <si>
    <t>6880-B</t>
  </si>
  <si>
    <t>Zakir Balochzahi s/o Malik Muhammad</t>
  </si>
  <si>
    <t>Malik Muhammad r/o Seerkaan, Sarawan, Sistaan o Balochistan, Iran (Islamic Republic of).</t>
  </si>
  <si>
    <t>369-0489288
 Irani Passport No.</t>
  </si>
  <si>
    <t>6881-K</t>
  </si>
  <si>
    <t>Irfan Khan s/o Muhammad Shah</t>
  </si>
  <si>
    <t>Muhammad Shah, r/o Dama Dola, Tehsil, Mamando, District Bajaur, KPK, Pakistan.</t>
  </si>
  <si>
    <t>21104-3693020-5</t>
  </si>
  <si>
    <t>Traced Person. Rep of MI submitted report that Irfan Khan s/o Muhammad Shah is confined in Internment Centre Lakki Marwat in terms of Action (in aid of Civil Power) Regulations, 2011. Family Members of Irfan Khan will be facilitated to see him in the Internment Centre as per rules and procedures.</t>
  </si>
  <si>
    <t>6882-B</t>
  </si>
  <si>
    <t>Bakhtiyar Ali s/o Ali Muhammad</t>
  </si>
  <si>
    <t>Ali Muhammad, r/o Molvi Abdul Rehman Village, Khufa Badan, Panjgur, Balochistan, Pakistan.</t>
  </si>
  <si>
    <t>52301-5755691-9</t>
  </si>
  <si>
    <t>6883-K</t>
  </si>
  <si>
    <t>Mst. Shaheen, r/o Mohala Kowz Plow, Postoffice Zairakaila Chungi, Swat, KPK, Pakistan. (Mobile No. 0346-3794622)</t>
  </si>
  <si>
    <t>15602-8189494-3</t>
  </si>
  <si>
    <t>6884-B</t>
  </si>
  <si>
    <t>Noor Dad s/o Arz Muhammad</t>
  </si>
  <si>
    <t>Arz Muhammad, r/o Ormara, District Gwadar, Balochistan, Pakistan.</t>
  </si>
  <si>
    <t>Traced Person. Ghulam Mustafa, Tehsildar Pasni District Gawadar has appeared before the Commission at Quetta on 26.08.2021 whose statement was recorded on oath in which he deposed that Noor Dad s/o Ard Muhammad had returned home on 11.03.2021. Rep of DC Gawadar submitted statement on oath of Noor Dad wherein it has been stated tha5t he was abducted on 27.11.2019 from Uch Area by some unknown persons and he returned home on 11.03.2021. No further action is required, the case is closed.</t>
  </si>
  <si>
    <t>6885-S</t>
  </si>
  <si>
    <t>Muhammad Waseem Ahmed s/o Jaffar Khan</t>
  </si>
  <si>
    <t>r/o Mojahid Ali Muhammad Brohi Ghot, Allahabad Muneer, District Karachi, Sindh, Pakistan.</t>
  </si>
  <si>
    <t>42501-3763714-5</t>
  </si>
  <si>
    <t>Traced Person. It was informed at the hearing held on 14.7.2021 by Focal Person Sindh Police, Karachi that Muhammad Waseem Ahmed involved in seven FIRs registered in PS Jinnah Town, Civil Lines, Gawalmandi Brewary and CTD Quetta under various sections of ATA and Explosive Act. He was arrested and presently confined letter No. 636/3/21-Jail dated 11.3.2021 by Superintendent District Jail Quetta was submitted before the Commission. No further action is required.</t>
  </si>
  <si>
    <t>6886-B</t>
  </si>
  <si>
    <t>Baloch Khan s/o Yaseen</t>
  </si>
  <si>
    <t>yaseen, r/o Maheer Mand, District Kech, Balochistan, Pakistan.</t>
  </si>
  <si>
    <t>52205-0477751-9</t>
  </si>
  <si>
    <t>Deleted. The case has been categorized and witness as that of kidnapping due to personal enmity by JIT. The complainant Wali Muhammad and witness Muhammad Ashraf also stated that he had not levelled any allegation against any LEAs/ Intelligence. Agency. Hence no further action is required. The case is closed.</t>
  </si>
  <si>
    <t>6887-B</t>
  </si>
  <si>
    <t>Muslim s/o Muhammad Yaqoob</t>
  </si>
  <si>
    <t>Muhammad Yaqoob, r/o Mubarak Chat Village in Mand Bullo, District Kech, Balochisan, Pakistan.</t>
  </si>
  <si>
    <t>52204-2194202-0</t>
  </si>
  <si>
    <t>6888-K</t>
  </si>
  <si>
    <t>Fazil Rehman</t>
  </si>
  <si>
    <t>r/o Alankinar, Shinwari Bahadur kaly, Tehsil Upper Mohmand, District Mohmand, KPK, Pakistan.</t>
  </si>
  <si>
    <t>21405-4664350-3</t>
  </si>
  <si>
    <t>6889-K</t>
  </si>
  <si>
    <t>Talha s/o Muhammad Rahim Khan</t>
  </si>
  <si>
    <t>r/o Dama Dola, Tehsil Warra, Mamando, District Bajaur, KPK, Pakistan.</t>
  </si>
  <si>
    <t>21105-9978151-3</t>
  </si>
  <si>
    <t>6890-B</t>
  </si>
  <si>
    <t>Abdul Qadir s/o Abdullah Gul</t>
  </si>
  <si>
    <t>Abdullah Gul, r/o Kali Haji Abdullah Gul, Mian Khel Abad, Kuchlagh, District Quetta, Balochistan, Pakistan.</t>
  </si>
  <si>
    <t>54401-3579961-7</t>
  </si>
  <si>
    <t>Deleted. SSP (Inv), Quetta and Abdul Wali (Brother) appeared before the Commission and submitted that seven FIR lodged against Abdul Qadir Missing Person. Hence, not a case of enforced disappearance. The case is closed.</t>
  </si>
  <si>
    <t>6891-K</t>
  </si>
  <si>
    <t>Jameel Khan s/o Bazaz Khan</t>
  </si>
  <si>
    <t>Muhammad Ameen, r/o Village Sur Sung, Upper Kurram. (Mobile No. 0303-2698161 &amp; 0305-8989528)</t>
  </si>
  <si>
    <t>21303-0408171-7</t>
  </si>
  <si>
    <t>FATA/Kurram</t>
  </si>
  <si>
    <t>6892-P</t>
  </si>
  <si>
    <t>Muhammad Umer Farooq s/o Muhammad Nasir</t>
  </si>
  <si>
    <t>Muhammad Nasir, r/o Near Colony Chok, Mohalla Dharampur, Tehsil Melsi, District Vehari. (Mobile No. 0300-0373169).</t>
  </si>
  <si>
    <t>36602-4504295-7</t>
  </si>
  <si>
    <t>Traced Person. DPO, Vehrai confirmed at the hearing on 16-06-2021 at Lahore that Muhammad Umar Farooq is confined in District Jail, Vehari as a result of FIR in a criminal case against him. No further action is required. The case is closed.</t>
  </si>
  <si>
    <t>6893-S</t>
  </si>
  <si>
    <t>Najeeb Ullah s/o Muhammad Naeem</t>
  </si>
  <si>
    <t>Muhammad Arif, r/o Near Subhan Ullah Masjid, Village Kehmari, Karachi. Postel Address (75620). (Mobile No. 0334-1899175).</t>
  </si>
  <si>
    <t>6894-S</t>
  </si>
  <si>
    <t>Bashir Ahmed s/o Abdul Razaq Shair</t>
  </si>
  <si>
    <t>Abdul Razaq Shair, r/o R-78 New Bakhtawar Goth, Block 9, Gulistan-e-Johar, Karachi. (Mobile No. 0300-8230489).</t>
  </si>
  <si>
    <t>42501-3168598-3</t>
  </si>
  <si>
    <t>Traced Person. Abdur Razaq Shair f/o Bashir Ahmed appeared before the Commission on 18.2.2021 and stated that his son was confined in Central Jail, Karachi and facing trail in some cases registered against him. He added that he met Bashir Ahmed in the Jail.</t>
  </si>
  <si>
    <t>6895-S</t>
  </si>
  <si>
    <t>Ghulam Rasool s/o Abdul Razaq Shair</t>
  </si>
  <si>
    <t>42501-3169548-3</t>
  </si>
  <si>
    <t>Traced Person. Abdul Razaq Shair f/o Missing Person appeared before the Commission on 18.2.2021 and his statement recorded on oath in which he deposed that Ghulam Rasool has returned home on 16.1.2021.</t>
  </si>
  <si>
    <t>6896-S</t>
  </si>
  <si>
    <t>Syed Qasir Abbas s/o Syed Muhammad Asghar Shah</t>
  </si>
  <si>
    <t>Syed Muhammad Asghar Shah, r/o House No. 4/689, Shah Faisal Colony No. 04, Karachi. (Mobile No. 0334-1826659).</t>
  </si>
  <si>
    <t>42201-2076507-1</t>
  </si>
  <si>
    <t>Traced Person. Syed Muhammad Asghar Shah f/o Syed Qasir Abbas appeared before the Commission on 18.2.2021. His statement was recorded on oath in which he deposed that some unknown persons took away on 23/24 November, 2020 at midnight. That on 28.1.2021 they set free near their house at about 7.00 /8.00 PM. Hence, the case is closed.</t>
  </si>
  <si>
    <t>6897-K</t>
  </si>
  <si>
    <t>Izhar Ahmed s/o Gul Meer Khan</t>
  </si>
  <si>
    <t>Hamid Khan, r/o Kounda Colony, Village Saru kalye, Tehsil Yaka Gund, District Mohmand. (Mobile No. 0333-9316872).</t>
  </si>
  <si>
    <t>17103-0387854-9</t>
  </si>
  <si>
    <t>FATA/ Bajur</t>
  </si>
  <si>
    <t>6898-S</t>
  </si>
  <si>
    <t>Muhammad Fayaz Khan s/o Muhammad Rom Khan</t>
  </si>
  <si>
    <t>Muhammad Ayaz, r/o Nahagadrah, P.O Wahri Sandal, Tehsil Wahri, District Upper Dir. (Mobile No. 0340-9714294).</t>
  </si>
  <si>
    <t>15702-5583345-5</t>
  </si>
  <si>
    <t>Traced Person. It was informed at the hearing held in this Commission on 09.09.2021 that Muhammad Fayaz Khan has returned home. Brother of the traced person appeared before the Commission and confirmed the reported position.</t>
  </si>
  <si>
    <t>6899-I</t>
  </si>
  <si>
    <t>Tariq Qureshi s/o Riaz Qureshi</t>
  </si>
  <si>
    <t>Azeem Qureshi, r/o House No. 01, Mohalla Ameer Hamza, New Shakrial, Rawalpindi. (Mobile No. 0335-0058389).</t>
  </si>
  <si>
    <t>37405-9467285-9</t>
  </si>
  <si>
    <t>FIR No. 2199/20, dated 10/12/2020, u/s 365 PPC, P.S Sadiqabad, Rawalpindi.</t>
  </si>
  <si>
    <t>Traced Person. Muhammad Tariq Riaz Qureshi appeared before the Commission on 9.2.2021 and his statement was recorded on oath, in which he deposed that on 5.12.2020 he left his house for job. Firstly, he went to Centaurus Mall and thereafter he went to Multan. He returned home on 12/13 December, 2020. He further stated that he was not abducted by anybody.</t>
  </si>
  <si>
    <t>6900-B</t>
  </si>
  <si>
    <t>Dawood Khan s/o Malik Muhammad Khan</t>
  </si>
  <si>
    <t>Malik Ghulam Haider, r/o Mohalla Samalni Colony, Much, Kacchi, Balochistan. (Mobile No. 0333-3876523).</t>
  </si>
  <si>
    <t>53305-2667543-5</t>
  </si>
  <si>
    <t>Traced Person. Dawood Khan s/o Malik Muhammad Khan appeared before the Commission on 13.2.2021, whose statement was recorded on oath, in which he deposed that he was abducted on 29.9.2020 form bus by some unknown persons who took him blindfolded to some unknown place form further submitted that the persons who abducted could not be identified by him his face/eye were muffled.</t>
  </si>
  <si>
    <t>6901-B</t>
  </si>
  <si>
    <t>Ahsan Ullah s/o Gul Shah</t>
  </si>
  <si>
    <t>Sadique Ullah, r/o Muslim Abad, Shaikh Manid, Quetta. (Mobile No. 0312-7851024).</t>
  </si>
  <si>
    <t>6902-B</t>
  </si>
  <si>
    <t>Muhammad Ibrahim s/o Muhammad Nawaz</t>
  </si>
  <si>
    <t>Shoaib Ahmed, r/o Kalee Haji Ali Akbar, Tehsil Dilbadin, District Chagi. (Mobile No. 0333-3829178)</t>
  </si>
  <si>
    <t>54101-0114529-5</t>
  </si>
  <si>
    <t>Traced Person. It has been informed at the hearing held in this case at Quetta that Muhammad Ibrahim s/o Muhammad Nawaz has returned home. No further action is required. The case is closed.</t>
  </si>
  <si>
    <t>6903-B</t>
  </si>
  <si>
    <t>Muhamamd Kamran s/o Jehlum Khan</t>
  </si>
  <si>
    <t>Jehlum Khan, r/o Kotka Bilawal, Abassia Wazir, Lakki Marwat, KPK, Pakistan. (Mobile No. 0331-5162003).</t>
  </si>
  <si>
    <t>11201-1732610-7</t>
  </si>
  <si>
    <t>6904-B</t>
  </si>
  <si>
    <t>Osama Khalid s/o Khalid Haider</t>
  </si>
  <si>
    <t>Mst. Asma, r/o House No. 09, Gali No. 06, Shakrial Garden Town, Rawalpindi. (Mobile No. 0313-5503671 &amp; 0310-5157360).</t>
  </si>
  <si>
    <t>Traced Person. The complainant, Asma Khalid mother / wife of Osma Khalid entered appearance before the commission in case of her other missing son Ashraf Khalid and produced her statement dated 7.9.2021, wherein it has been stated that Osama Khalid contacted her over telephone from Afghanistan and informed that he was in the custody of American Army in Bagram Jail Afghanistan where he has been released. No further action is required. The case is closed.</t>
  </si>
  <si>
    <t>6905-B</t>
  </si>
  <si>
    <t>Khalid Haider s/o Ghulam Haider</t>
  </si>
  <si>
    <t>Traced Person. The complainant, Asma Khalid mother / wife of Khalid Haider entered appearance before the commission in case of her other missing son Ashraf Khalid and produced her statement dated 7.9.2021, wherein it has been stated that Khalid Haider contacted her over telephone from Afghanistan and informed that he was in the custody of American Army in Bagram Jail Afghanistan where he has been released. No further action is required. The case is closed.</t>
  </si>
  <si>
    <t>6906-I</t>
  </si>
  <si>
    <t>Ashraf Khalid s/o Khalid Haider</t>
  </si>
  <si>
    <t>6907-P</t>
  </si>
  <si>
    <t>Shair Ali Khan s/o Saeed Ahmed Khan</t>
  </si>
  <si>
    <t>Jahangir, r/o Circuler Road, House No. 82, Mohalla Agahpura, Multan. (Mobile No. 0306-3545577 &amp; 0346-6913730).</t>
  </si>
  <si>
    <t>36302-4314409-7</t>
  </si>
  <si>
    <t>FIR No. 48/21 dated 31.1.2021 u/s 365 PPC PS Dehli Gate, Multan</t>
  </si>
  <si>
    <t>Traced Person. Shair Ali Khan entered appearance before the Commission on 26.11.2021. He could not offer any plausible reason of absence from home. No further action is required. The case is closed.</t>
  </si>
  <si>
    <t>6908-K</t>
  </si>
  <si>
    <t>Muhammad Nawaz @ Babu s/o Ameer Khan</t>
  </si>
  <si>
    <t>Muhammad Saleem Ahsan, r/o Sehrab Khan Chok, Mohalla Malkana, Mingorah, Swat. (Mobile No. 0347-9441713 &amp; 0946-721845).</t>
  </si>
  <si>
    <t>15602-2935095-3</t>
  </si>
  <si>
    <t>6909-K</t>
  </si>
  <si>
    <t>Ameer Ali s/o Shair Zada</t>
  </si>
  <si>
    <t>Sabir Ali, r/o Barah Bandha, Tehsil &amp; District Nowshera. (Mobile No.0300-9047137).</t>
  </si>
  <si>
    <t>17201-2131805-9</t>
  </si>
  <si>
    <t>Deleted. After thorough investigation and reports from JIT/PTF the case has been categorized as of "personal enmity". The complainant Sabir Ali in his statement recorded u/s 164 CrPC leveled allegation against two accused persons namely Asad and Fayyaz, with whom there was dispute over transaction of money between Ameer Ali and both the aforesaid two accused persons. Hence, the case does not fall within the domain of enforced disappearance and closed.</t>
  </si>
  <si>
    <t>6910-K</t>
  </si>
  <si>
    <t>Ismail s/o Zar Gul</t>
  </si>
  <si>
    <t>Mst. Shabnam Bibi, r/o Noor Elahi Colony, Street No. 09, Tehsil &amp; District Kohat. (Mobile No. 0310-9835066).</t>
  </si>
  <si>
    <t>Traced Person. Muhammad Ismail appeared before the Commission and statement was recorded on oath in which he deposed that he remained confined in Jerma Jail for fourteen months. Subsequently, he was handed over to Police Station Jerma from where he was released on bail. The bail was granted through his lawyer and then he returned home. No further action is required, the case is closed.</t>
  </si>
  <si>
    <t>6911-K</t>
  </si>
  <si>
    <t>Obaid Ullah s/o Fazal Muhammad</t>
  </si>
  <si>
    <t>Fazal Muhammad, r/o Dozi, Nagraye, P.O yaka gund, Tehsil Yaka Gund, District Mohmand. (Mobile No. 0333-9668216 &amp; 0333-93737338).</t>
  </si>
  <si>
    <t>21407-4866541-9</t>
  </si>
  <si>
    <t>Traced Person. Obaid Ullah is confined in Internment Centre at Ghallani. His father Fazal Muhammad appeared and confirmed. As Obaid Ullah has been traced, no further action is required. The case is closed.</t>
  </si>
  <si>
    <t>6912-K</t>
  </si>
  <si>
    <t>Rooh-e-Shereen s/o Lal Muhammad</t>
  </si>
  <si>
    <t>Lal Muhammad, r/o Qoyam Koki Khel, Patta Khata Khel, Gundi, P.O Jamrod, Tehsil Jamrod, Distict Khyber. (Mobile No. 0302-9675426 &amp; 0347-4791210).</t>
  </si>
  <si>
    <t>6913-K</t>
  </si>
  <si>
    <t>Sher Zaman s/o Malak Aman</t>
  </si>
  <si>
    <t>Mst. Muharam Bibi, r/o Bara Bandhi, Kanju, Swat. (Mobile No. 0343-9446039).</t>
  </si>
  <si>
    <t>15602-4445607-1</t>
  </si>
  <si>
    <t>Traced Person. Rep of MI submitted report dated 01.09.2021 that Sher Zaman was confined in the Internment Centre at Fizghat. Tahir Aman brother of (Sher Zaman) as also present. His statement was recorded on oath in which he deposed that his brother (Sher Zaman) was confined at Internment Centre Fizaghat and his family met him. Accordingly, the case is closed.</t>
  </si>
  <si>
    <t>6914-S</t>
  </si>
  <si>
    <t>Ahsan Ullah s/o Khanam Ullah Jan</t>
  </si>
  <si>
    <t>Khanam Ullah Jan, r/o Shah Dhand, Kohi, P.O Khar, Tehsil Salar Zai, District Bajurh. (Mobile No. 0303-8894252).</t>
  </si>
  <si>
    <t>21106-1379722-1</t>
  </si>
  <si>
    <t>FIR No. 153/20, u/s 365, 34 PPC.</t>
  </si>
  <si>
    <t>Traced Person. It was informed at the hearing held in this Commission on 25.08.2021 that Ahsan Ullah has returned home. He appeared before the Commission and his statement has been recorded u/s 164 CrPC in which he confirmed the position stated in the report. he further stated that unknown persons abducted him on 11.11.2020, kept him at unknown location set him free on 27.07.2021.</t>
  </si>
  <si>
    <t>6915-K</t>
  </si>
  <si>
    <t>Rizwan Ullah s/o Zahir Muhammad</t>
  </si>
  <si>
    <t>Zahir Muhammad, r/o Batai Aleezahu, P.O Khar, Tehsil Khar, District Bajaur. (Mobile No. 0348-1198584 &amp; 0347-0193047).</t>
  </si>
  <si>
    <t>16102-0334030-3</t>
  </si>
  <si>
    <t>FATA/ Bajaur</t>
  </si>
  <si>
    <t>6916-K</t>
  </si>
  <si>
    <t>Muhammad Naeem Khan s/o Sakhi Sarwar</t>
  </si>
  <si>
    <t>Muhammd Noman, r/o Marobi Shabi Khel, P.O and Tehsil Ladha, District South Waziristan, KPK. (Mobile No. 0342-9024921 &amp; 0335-1540602).</t>
  </si>
  <si>
    <t>21702-5867485-5</t>
  </si>
  <si>
    <t>Traced Person. According to statement received in tabulated from Rep of MI, Muhammad Naeem Khan is interned in Internment Centre Lakki Marwat. Family members of Muhammad Naeem Khan shall be facilitated to see him in the Internment Centre after completion of procedure.</t>
  </si>
  <si>
    <t>6917-K</t>
  </si>
  <si>
    <t>Javed Khan s/o Mehmood</t>
  </si>
  <si>
    <t>Farooq Jan, r/o Ghakhi, P.O Ragkan, Tehsil Salarzai, District Bajaur. (Mobile No. 0300-3335495 &amp; 0300-2719882).</t>
  </si>
  <si>
    <t>21106-2261108-3</t>
  </si>
  <si>
    <t>6918-K</t>
  </si>
  <si>
    <t>Muhammad Rasool s/o Haji Pir Hassan</t>
  </si>
  <si>
    <t>Mst. Hakim Bibi, r/o Village Matki Bezankhel, Tehsil &amp; District Bannu. (Mobile No. 0336-9876060).</t>
  </si>
  <si>
    <t>11101-0759027-5</t>
  </si>
  <si>
    <t>6919-P</t>
  </si>
  <si>
    <t>Mukaram Shah s/o Mehmood Shah</t>
  </si>
  <si>
    <t>Hassan Shah, r/o Copper Road, Shahzaib Bulding, 1st Floor, Lahore. (Mobile No. 0341-5120034 &amp; 0303-8383086).</t>
  </si>
  <si>
    <t>21203-4645168-9</t>
  </si>
  <si>
    <t>Traced Person. Mujkarram Shah appeared before the Commission at the hearing held on 15-06-2021. He was reluctant to indicate facts of the episode. Hence no further action is required. The case is closed.</t>
  </si>
  <si>
    <t>6920-K</t>
  </si>
  <si>
    <t>Khan Gul s/o Ajaib Gul</t>
  </si>
  <si>
    <t>Rehman Gul, r/o Mohalla Oryazti Kandhar, Tehsil &amp; District Mardan. (Mobile No. 0301-8182437 &amp; 0300-2498962).</t>
  </si>
  <si>
    <t>16101-0551518-7</t>
  </si>
  <si>
    <t>Traced Person. Khan Gul appeared before the Commission on 28.1.2021, whose statement was recorded on oath, in which he deposes that he was kidnapped by men in Elite Force/Army uniform in between the night of 20/21 December, 2020 and taken away blindfolded. He also stated that he was released on bail and returned home on 12.10.2020. No further action is required. The case is closed.</t>
  </si>
  <si>
    <t>6921-P</t>
  </si>
  <si>
    <t>Abdul Wajid s/o Muhammad Iftkhar-ul-Haq</t>
  </si>
  <si>
    <t>Muhammad Iftkhar-ul-Haq, r/o Ahmed Town, Alipur Road, Gujrat. (Mobile No. 0333-8401811).</t>
  </si>
  <si>
    <t>34201-4726105-9</t>
  </si>
  <si>
    <t>Traced Person. Iftikhar-ur-Haq father of Abdul Wahid appeared before the Commission on 16-06-2021 at Lahore and confirmed that his son had returned home. No further action is required. The case is closed.</t>
  </si>
  <si>
    <t>6922-K</t>
  </si>
  <si>
    <t>Aziz Muhammad s/o Bahram Khan</t>
  </si>
  <si>
    <t>Taj Muhamamd, r/oJanat Shah Kanster, Tehsil Khar, District Bajour. (Mobile No. 0303-8801571).</t>
  </si>
  <si>
    <t>6923-K</t>
  </si>
  <si>
    <t>Shoukat Khan s/o Sher Muhammad</t>
  </si>
  <si>
    <t>Asmat Ullah, r/o Sagiballa, Tehsil Safi, District Mohmand, KPK. (Mobile No. 0317-0550009).</t>
  </si>
  <si>
    <t>Traced Person. SP (Inv), Mohamand is in attendance whose statement has been recorded on oath. He produced statement of Shaukat s/o Sher Muhammad recorded before the Judicial Magistrate u/s 164 CrPC. No further action required.</t>
  </si>
  <si>
    <t>6924-K</t>
  </si>
  <si>
    <t>Shafiq s/o Sher Muhammad</t>
  </si>
  <si>
    <t>Traced Person. SP (Inv), Mohamand is in attendance whose statement has been recorded on oath. He produced statement of Shafiq s/o Sher Muhammad recorded before the Judicial Magistrate u/s 164 CrPC. No further action required.</t>
  </si>
  <si>
    <t>6925-K</t>
  </si>
  <si>
    <t>Hashmat Khan s/o Sher Muhammad</t>
  </si>
  <si>
    <t>Traced Person. SP (Inv), Mohamand is in attendance whose statement has been recorded on oath. He produced statement of hashmat Khan s/o Sher Muhammad recorded before the Judicial Magistrate u/s 164 CrPC. No further action required.</t>
  </si>
  <si>
    <t>6926-P</t>
  </si>
  <si>
    <t>Imran Mehmood Butt s/o Muhammad Younas Butt</t>
  </si>
  <si>
    <t>Commander Kamran Mehmood Butt, r/o MOQ-J-5, E-8, Islamabad. (Mobile No. 0323-4004077).</t>
  </si>
  <si>
    <t>37406-1620927-3</t>
  </si>
  <si>
    <t>Traced Person. SP (Inv) Sargodha informed at the hearing held in this case at Lahore on 15-06-2021 that Imran Mehmood Butt was in the custody of FIA Peshawar. No further action is required. The case is closed.</t>
  </si>
  <si>
    <t>6927-K</t>
  </si>
  <si>
    <t>Yaqoob Khan s/o Mohammad-ur-Rehman</t>
  </si>
  <si>
    <t>r/o Spalga, Tehsil Miranshah, District North Waziristan, KPK, Pakistan.</t>
  </si>
  <si>
    <t>21506-7305071-5</t>
  </si>
  <si>
    <t>Traced Person. Yaqoob Khan s/o Muhammad Rehman entered appearance before the Commission on 10.08.2021, whose statement was recorded on oath in which stated that he was abducted on 08.12.2020 and set free after 15/16 days. He further deposed that he was kidnapped by unknown men in uniforms and kept him at Norak. DPO North Waziristan also confirmed in his report the return of Yaqoob Khan to home.</t>
  </si>
  <si>
    <t>6928-P</t>
  </si>
  <si>
    <t>Ghulam Abbas s/o Sardar Khan</t>
  </si>
  <si>
    <t>Umer Farooq, r/o Near Ameer Hamza Masjid, Mohalla Malik Saeed Colony, New Gulistan, Taxila, District Rawalpindi. (Mobile No. 0311-5489220 &amp; 0310-5372376).</t>
  </si>
  <si>
    <t>37102-9682655-7</t>
  </si>
  <si>
    <t>Traced Person. DSP (Inv), Rawalpindi appeared before the Commission at Islamabad. His statement was recorded on oath in which he deposed that Ghulam Abbas returned home. He also produced report confirming return of Ghulam Abbas. It is stated in the affidavit with that he went for Tableagh and returned. No further action is required. The case is closed.</t>
  </si>
  <si>
    <t>6929-P</t>
  </si>
  <si>
    <t>Muhammad Faheem @ Nasir s/o Sheikh Muhammad Shafi</t>
  </si>
  <si>
    <t>Sheikh Muhammad Nadeem, r/o Taba Bodla, Islampur, Tehsil &amp; District Bhawalpur. (Mobile No. 0300-8083073).</t>
  </si>
  <si>
    <t>36302-5779219-5</t>
  </si>
  <si>
    <t>Traced Person. Muhammad Naeem elder brother of Muhammad Faheem appeared before the Commission on 16-06-2021 at Lahore and confirmed that his brother had returned. No further action is required. The case is closed.</t>
  </si>
  <si>
    <t>6930-K</t>
  </si>
  <si>
    <t>Dilawar Khan s/o Ghulam Muhammad</t>
  </si>
  <si>
    <t>Amjad Ali, r/o Abu Obaida Colony, Walzak Road, Pakha Ghulam, P.S Shahpur, District, Pesawar. (Mobile No. 0312-9287360)</t>
  </si>
  <si>
    <t>17301-7570824-5</t>
  </si>
  <si>
    <t>FIR No. 71, dated 1/2/2021, u/s 365 PPC, P. Shapur, Peshawar.</t>
  </si>
  <si>
    <t>6931-K</t>
  </si>
  <si>
    <t>Yousaf Ali @ Yousaf s/o Muhammad Ibrahim</t>
  </si>
  <si>
    <t>Muhammad Ibrahim, r/o Bismillah Mohalla, Shadrah, Mingorah, Swat. (Mobile No. 0346-0991668 &amp; 0348-8116577 &amp; 0300-5741012).</t>
  </si>
  <si>
    <t>15602-1213100-7</t>
  </si>
  <si>
    <t>6932-S</t>
  </si>
  <si>
    <t>Hamesh Gul s/o Stana Gul</t>
  </si>
  <si>
    <t>Mst. Sadqa Bibi, r/o Bhara, Charmang, Tehsil Nawagaye, District Bajurh. (Mobile No. 0343-8183356).</t>
  </si>
  <si>
    <t>21105-0696385-1</t>
  </si>
  <si>
    <t>6933-B</t>
  </si>
  <si>
    <t>Atta-ur-Rehman s/o Muhammad Azeem Khan</t>
  </si>
  <si>
    <t>Shafi-ud-Din, r/o Village Umer Khel, P.O Malazai, Tehsil &amp; District Tank, KPK. (Mobile No. 0345-0745892 &amp; 0302-3165351).</t>
  </si>
  <si>
    <t>12201-0877015-5</t>
  </si>
  <si>
    <t>Deleted. In this case, there are concurrent findings/ conclusion by JIT and PTF that the Missing Person has gone on his own. All stakeholders have denied arrest/custody of Atta-ur-Rehman. The complainant also submitted that there is no allegation against any LEAs/Intelligence Agency. No further action is required. The case is closed.</t>
  </si>
  <si>
    <t>6934-S</t>
  </si>
  <si>
    <t>Sarfraz Ahmed s/o Naik Muhammad</t>
  </si>
  <si>
    <t>Siraj Ahmed, r/o House No. 67, Gali No. 3, Sector D/2, Hijrat Colony, Ahmed Raza Khan Road, Karachi. (Mobile No. 0343-3221137 &amp; 0311-2804959).</t>
  </si>
  <si>
    <t>43205-0374415-3</t>
  </si>
  <si>
    <t>Traced Person. Sarfraz Ahmed s/o Naik Muhammad Bhatti appeared before the Commission on 20.2.2021 and his statement was recorded on oath in which he deposed that he was not abducted by anybody nut he himself went to Larkana due to fatigue with family at NADRA office.</t>
  </si>
  <si>
    <t>6935-P</t>
  </si>
  <si>
    <t>Abid Ullah s/o Mohib Ullah</t>
  </si>
  <si>
    <t>Mohib Ullah, r/o Village Dhog, P.O Wana, Tehsil Wana, District South Waziristan. (Mobile No. 0308-9318124 &amp; 0965-211804).</t>
  </si>
  <si>
    <t>21708-8550574-9</t>
  </si>
  <si>
    <t>6936-K</t>
  </si>
  <si>
    <t>Shakeel Ahmed s/o Awal Khan</t>
  </si>
  <si>
    <t>Awal Khan, r/o House No. 230, Mohalla Masoodabad, Yousaf Khan Ghoth, Near Gulshan-e-Maymar, Karachi. (Mobile No. 0300-2371925 &amp; 0306-2646775).</t>
  </si>
  <si>
    <t>42201-0650281-3
 Father CNIC</t>
  </si>
  <si>
    <t>6937-P</t>
  </si>
  <si>
    <t>Mashi Ullah s/o Masood Jan</t>
  </si>
  <si>
    <t>Mst. Niaz Mina Bibi, r/o Boring Road, Dhok Matkial, House No. 2A1544, Mohalla Gulshan Colony, Rawalpindi. (Mobile No. 0305-9202225).</t>
  </si>
  <si>
    <t>6938-I</t>
  </si>
  <si>
    <t>Muhammad Yasir s/o Mian Asghar</t>
  </si>
  <si>
    <t>Abu Bakar, r/o Arman Khan, Haji Jeo Madina Tower, Mean G.T.Road, Tarnol, Islamabad. (Mobile No. 0333-9430768 &amp; 0333-9174108).</t>
  </si>
  <si>
    <t>21604-8331337-9</t>
  </si>
  <si>
    <t>FIR No. 68/, dated 28.1.21, u/s 365PPC, P.S Tarnol, Islamabad.</t>
  </si>
  <si>
    <t>6939-K</t>
  </si>
  <si>
    <t>Asif s/o Ayub Khan</t>
  </si>
  <si>
    <t>Ayub Khan, r/o Ameer Ullah Telar Master Shop, Washi Khel, Data Khel, P.O Paseen Wam, Tehsil Paseen Wam, District North Waziristan District. (Mobile No. 0301-1999499).</t>
  </si>
  <si>
    <t>21509-3423053-5
 Father CNIC</t>
  </si>
  <si>
    <t>Traced Person. Asif has been traced who ha been reported to be confined in Internment Centre Pathiam. No further action is required. The case is closed.</t>
  </si>
  <si>
    <t>6940-K</t>
  </si>
  <si>
    <t>Sherman Ullah s/o Ayub Khan</t>
  </si>
  <si>
    <t>Traced Person. Sheram Ullah has been traced who ha been reported to be confined in Internment Centre Kohat. No further action is required. The case is closed.</t>
  </si>
  <si>
    <t>6941-S</t>
  </si>
  <si>
    <t>Raees Khan s/o Azeem Khan</t>
  </si>
  <si>
    <t>Kamran Khan, r/o Village Khadar Khel, Tehsil Lachi, District Kohat. (Mobile No. 0303-2129073 &amp; 0335-2249166 &amp; 0303-469907).</t>
  </si>
  <si>
    <t>42501-9863801-3</t>
  </si>
  <si>
    <t>Traced Person. Raees Khan has been traced. Kamran Khan s/o Raees Khan appeared before the Commission, whose statement has been recorded on oath. In his statement he deposed that his father Raees Khan was confined in Central Jail Karachi and he met him three day ago.</t>
  </si>
  <si>
    <t>6942-I</t>
  </si>
  <si>
    <t>Sultan Muhammad Khan s/o Muhammad Javeed Khan</t>
  </si>
  <si>
    <t>Muhammad Javeed Khan, r/o Ghazipur Colony, Near Wah General Hospital, Wah Cantt, Tehsil Texila, District Rawalpindi. (Mobile No. 0348-9984931 &amp; 0315-1962164).</t>
  </si>
  <si>
    <t>82103-1282612-5</t>
  </si>
  <si>
    <t>FIR No. 13/2021 dated 6.1.2021. u/s 365PPC, P.S Tarnol, ICT</t>
  </si>
  <si>
    <t>Traced Person. Rep of MI submitted report that "Suspect Sultan Muhammad Khan s/o Muhammad Javed Khan is in military custody under Pakistan Army Act Sec. 2 (1) (d). (Offical Secret Act 1923) Isfand Ali b/o Sultan Muhammad Khan who was present at the hearing on 19.04.2021 was apprised of the status of the case. No further action is required. The case is closed.</t>
  </si>
  <si>
    <t>6943-K</t>
  </si>
  <si>
    <t>Muslim Khan s/o Muhammad Yaqoob</t>
  </si>
  <si>
    <t>Mst. Mohthina Bibi w/o Yaqoob Khan, r/o Khar, Teshil Khar, District Bajaur. (Mobile No. 0301-9016551 &amp; 0308-8435352).</t>
  </si>
  <si>
    <t>Traced Person. Report of MI submitted report at the hearing on 04-06-2021 that Muslim Khan is confined at Internment Centre Khar. Family members shall be facilitated to see him. No further action is required. The case is closed.</t>
  </si>
  <si>
    <t>6944-K</t>
  </si>
  <si>
    <t>Kamran s/o Toor Jan</t>
  </si>
  <si>
    <t>Kherab Jan, r/o Gundi Koki Khel, Khatia Khel, Jamrod, District Khyber. (Mobile No. 0302-5530839 &amp; 0341-8787807).</t>
  </si>
  <si>
    <t>21202-3034976-7</t>
  </si>
  <si>
    <t>31st January, 2021</t>
  </si>
  <si>
    <t>6945-P</t>
  </si>
  <si>
    <t>Muhammad Zarar s/o Ghulam Muhammad</t>
  </si>
  <si>
    <t>Mst. Hassena Bibi, r/o Mohalla Khosam Margai, Tehsi; &amp; Distrioct Rajanpur. (Mobile No. 0300-5184169).</t>
  </si>
  <si>
    <t>32403-6752965-0
 Mother CNIC</t>
  </si>
  <si>
    <t>Traced Person. Muhammaf Zarar appeared before the Commission at the hearing held on 15-06-2021. He was reluctant to indicate facts of the episode. Hence no further action is required. The case is closed.</t>
  </si>
  <si>
    <t>1st February, 2021</t>
  </si>
  <si>
    <t>6946-K</t>
  </si>
  <si>
    <t>Muhammad Ibrahim s/o Hidayat Ullah</t>
  </si>
  <si>
    <t>Hidayat Ullah, r/o Village Maddi, Tehsil Kulachi, District D.I.Khan. (Mobile No. 0343-9022134).</t>
  </si>
  <si>
    <t>12102-8317445-9
 12102-7104502-1
 Father CNIC</t>
  </si>
  <si>
    <t>Traced Person. According to the report of MI furnished at the hearing on 28.06.2021 Muhammad Ibrahim is interned in the Internment Centre, Lakki Marwat. The family members of Muhammad Ibrahim be facilitated to see him as per rules and procedure.</t>
  </si>
  <si>
    <t>6947-K</t>
  </si>
  <si>
    <t>Raza Ullah s/o Abdul Wali</t>
  </si>
  <si>
    <t>Muhammad Khan, r/o qoyam Masood, Nargosah, Ladha SWTD, Tank Adah, District Dera Ismail Khan. (Mobile No. 0347-2364068 &amp; 0322-5251396).</t>
  </si>
  <si>
    <t>6948-B</t>
  </si>
  <si>
    <t>Hafiz Siraj-ud-Din s/o Haji Essa Khan</t>
  </si>
  <si>
    <t>Shams-ud-Din, r/o Kalee Gawal, P.O Khanozai, Tehsil Karezat, District Pahin. (Mobile No. 0313-8306899).</t>
  </si>
  <si>
    <t>54302-0302266-9</t>
  </si>
  <si>
    <t>FIR No. 13/16, Dated 18/04/2016, u/s 365A &amp; 34, P.S Khanozai, District Pashin.</t>
  </si>
  <si>
    <t>Traced Person. The Complainant Shamas-ud-Din Kakar appeared before the Commission on 29.3.2021. He stated that he has not leveled any allegation against any of LEAs/ Intelligence Agency in the complaint. He has further deposed that one Aslam nominated accused disclosed in his statement given before Levies that Siraj-ud-Din is confined at Rawalpindi Jail. Deputy Commissioner, Pashin has produced JIT report dated 15.3.2021 wherein the case has been categorized as “Kidnapping of Ransom”. In view of the foregoing. No further action is required. The case is closed.</t>
  </si>
  <si>
    <t>6949-K</t>
  </si>
  <si>
    <t>Muhammad Alam s/o Ali Bakush</t>
  </si>
  <si>
    <t>Mst. Shrafat Bibi w/o Muhammad Alam, r/o Langer Zuwaza Khela, District Swat. (Mobile No. 0343-9413022).</t>
  </si>
  <si>
    <t>15602-9694251-1</t>
  </si>
  <si>
    <t>Traced Person. As per reports of MI and ISI alongwith statement of wife of Muhammad Alam he is confined in the Internment Centre Fizaghat. No further action is required. The case is closed.</t>
  </si>
  <si>
    <t>6950-K</t>
  </si>
  <si>
    <t>Jawad Ahmed s/o Muhammad Ayon Khan</t>
  </si>
  <si>
    <t>Muhammad Ayon Khan, r/o Mohalla Kanshal, Dherai Baba G, Tehsil Kabl, District Swat. (Mobile No. 0345-8536168 &amp; 0301-8536168).</t>
  </si>
  <si>
    <t>Father CNIC
 15602-1916599-1</t>
  </si>
  <si>
    <t>Deleted. In this case JIT as well as PTF submitted report that the Missing Person has gone on his own. Father of Jawad Ahmed also appeared and deposed in his statement that he has heard that his son was in Afghanistan, however he concluded that there is no allegation against LEAs/ Intelligence Agency. No further action is required. The case is closed.</t>
  </si>
  <si>
    <t>6951-P</t>
  </si>
  <si>
    <t>Sohail Ahmed s/o Muhammad Ayon Khan</t>
  </si>
  <si>
    <t>Traced Person. Muhammad Ayon Khan f/o Sohail Ahmed (Traced Person) entered appearance before the Commission at his statement was recorded on oath, in which he deposed that he had met with Sohail Ahmed in the Internment Centre Lakki Marwat on 22.09.2021. No further action is required, the case is closed.</t>
  </si>
  <si>
    <t>6952-K</t>
  </si>
  <si>
    <t>Badshah Islam s/o Jamil Khan</t>
  </si>
  <si>
    <t>Jamil Khan, r/o Datta Khel, P.O Speen Wam, Tehsil Speen Wam, District North Waziristan, KPK, Pakistan.</t>
  </si>
  <si>
    <t>21509-8475123-9</t>
  </si>
  <si>
    <t>Traced Person. Rep of MI appeared before the Commission on 19.05.2021 and submitted report/ combined statement dated 19.05.2021 whereby it is mentioned that Badshah Islam s/o Jamil Khan as per internee list Islam Badshah NIC No. 21509-8475123-9 whose missing date is 13.01.2021 is confined in Internment Centre Kohat in terms of Action (in aid of Civil) Regulations, 2011.</t>
  </si>
  <si>
    <t>6953-K</t>
  </si>
  <si>
    <t>Taj Aman Ullah s/o Said Akam Khan</t>
  </si>
  <si>
    <t>Said Alam Khan, r/o Spalgal, Turi Khel, P.O &amp; Tehsil Miranshah, North Waziristan, KPK, Pakistan.</t>
  </si>
  <si>
    <t>21506-5423526-3</t>
  </si>
  <si>
    <t>Traced Person. Rep of MI appeared before the Commission on 19.05.2021 and submitted report/ combined statement dated 19.05.2021 whereby it is mentioned that Taj Aman Ullah s/o Said Alam Khan is confined in Internment Centre Kohat in terms of Action (in aid of Civil) Regulations, 2011.</t>
  </si>
  <si>
    <t>6954-K</t>
  </si>
  <si>
    <t>Anwal Ullah s/o Noor Qadir Jan</t>
  </si>
  <si>
    <t>Noor Qadir Jan, r/o Aba Khel, P.O &amp; Tehsil Speen Wam, District South Waziristan, KPK.</t>
  </si>
  <si>
    <t>21509-6270451-3</t>
  </si>
  <si>
    <t>Traced Person. Anwar Ullah s/o Noor Qadir Khan entered appearance before the Commission on 28.6.2021 whose statement has been recorded on oath in which he deposed that he returned home on 10.02.2021. He further deposed that he was taken into the custody by a person namely Faiz Ullah of FIA, who kept him somewhere in Miran Shah and released after two months and 10 days. During cross examination by the Commission he has stated that Faiz Ullah was accompanied by FC personnel.</t>
  </si>
  <si>
    <t>FATA / South Waziristan</t>
  </si>
  <si>
    <t>6955-K</t>
  </si>
  <si>
    <t>Amal Noor s/o Mohabat Khan</t>
  </si>
  <si>
    <t>Mohabat Khan, r/o Showzai, Band Khel, P.O &amp; Tehsil Sra Rogha, District South Waziristan.</t>
  </si>
  <si>
    <t>21704-1262052-1</t>
  </si>
  <si>
    <t>Traced Person. DPO, Tank submitted report at the hearing on 10-06-2021 that Amal Noor has returned home on 05-03-2021. Statement of Amal Noor has also been produced in which he has stated that he went somewhere on his own. No further action is required. The case is closed.</t>
  </si>
  <si>
    <t>6956-K</t>
  </si>
  <si>
    <t>Fazal Hadi s/o Lal Kareem</t>
  </si>
  <si>
    <t>Fazal Wahid, r/o Kargah, P.O Yaka Gund, Teshil Ambar, District Mohmand. (Mobile No. 0331-9793289 &amp; 0309-5849272).</t>
  </si>
  <si>
    <t>Traced Person. DSP Charsadda appeared before the Commission on 15.3.2022 whose statement was recorded on oath ion which he deposed that Fazal Hadi had retuned home. He submitted a copy of recorded statement u/s 164 CrPC. No further action is required. The case is closed.</t>
  </si>
  <si>
    <t>6957-P</t>
  </si>
  <si>
    <t>Umer Saeed Khan s/o Muhammad Saeed</t>
  </si>
  <si>
    <t>Muhammad Saeed, r/o House No. KH-61, Dhok Bhar Shah, Mohalla Dakhli Dhama Sayedan, Rawalpindi. (Mobile No. 0310-5186060 &amp; 0322-5419901 &amp; 0321-5663607).</t>
  </si>
  <si>
    <t>37405-3053865-1</t>
  </si>
  <si>
    <t>FIR No. 483/20, dated 12/12/2020, u/s 365PPC, P.S Morgah, District Rawalpindi.</t>
  </si>
  <si>
    <t>Traced Person. A report dated 10.03.2021 has been received from MI in which it has been intimated that Suspect Umer Saeed s/o Muhammad Saeed is in military custody under Pakistan Army Act 1952 2(1) (d), Offical secret Act 1923. Foregoing in view , no further action is required . The case is closed.</t>
  </si>
  <si>
    <t>6958-S</t>
  </si>
  <si>
    <t>Aman Ullah s/o Shah Wali Khan</t>
  </si>
  <si>
    <t>Shah Wali Khan, r/o Shankaye, P.O Sararogah, Tehsil Sararogah, District South Waziristan. (Mobile No. 0313-3824652).</t>
  </si>
  <si>
    <t>42501-0395798-5</t>
  </si>
  <si>
    <t>6959-B</t>
  </si>
  <si>
    <t>Atta-ur-Rehman Lango, r/o P.O &amp; Tehsil Mangchar, District Kalat, Balochistan. (Mobile No. 0334-4148884).</t>
  </si>
  <si>
    <t>51203-0340947-7</t>
  </si>
  <si>
    <t>Old Case. 2464-B</t>
  </si>
  <si>
    <t>6960-B</t>
  </si>
  <si>
    <t>Doulat Khan s/o Abdul Kareem</t>
  </si>
  <si>
    <t>Shameem Akhter, r/o Kolo Mulla Gazi Jhaw, Tehsil Jhaw, District Awaran. (Mobile No. 0313-2638190 &amp; 0333-3848164).</t>
  </si>
  <si>
    <t>51103-1096294-5</t>
  </si>
  <si>
    <t>6961-B</t>
  </si>
  <si>
    <t>Saifullah Rodini s/o Dad Khuda</t>
  </si>
  <si>
    <t>Mst. Farzana Rodini, r/o Killi Balina Rodini, P.O &amp; Tehsil Sorab, District Sorab. (Mobile No. 0332-3704377).</t>
  </si>
  <si>
    <t>51202-6471282-7</t>
  </si>
  <si>
    <t>6962-S</t>
  </si>
  <si>
    <t>Abdul Majeed Baloch s/o Shahdad Baloch</t>
  </si>
  <si>
    <t>Abdul Hameed, r/o Baloch Muhllah, Kalri, Lyari, Karachi. (Mobile No. 0323-2965267).</t>
  </si>
  <si>
    <t>51503-3234042-5</t>
  </si>
  <si>
    <t>Traced Person. It was informed at the hearing held in this Commission on 14.07.2021 that Abdul Majeed Baloch was involved in Criminal Case vide FIR No. 30/2021 u/s 23(I) Sindh Arms Act, PS Pak Colony, Karachi. He was arres6ted and later released on bail by District Magistrate Malir, Karachi. Statement of Abdul Hameed brother of traced person is on record.</t>
  </si>
  <si>
    <t>6963-S</t>
  </si>
  <si>
    <t>Saeed Gul s/o Waheed Gul</t>
  </si>
  <si>
    <t>Waheed Gul, r/o House No. 172, Usman Ghani Colony, North Nazimabad, Karachi. (Mobile No. 0300-2773775 &amp; 0345-2116010 &amp; 0313-7146044).</t>
  </si>
  <si>
    <t>42101-0376587-7</t>
  </si>
  <si>
    <t>6964-P</t>
  </si>
  <si>
    <t>Mir Khajan s/o Zalay Khan</t>
  </si>
  <si>
    <t>Muhammad Ismail, r/o Bamakam Jalala, Thatha Khalil Road, Taxila, Tehsil Taxila, District Rawalpindi. (0346-5929321).</t>
  </si>
  <si>
    <t>37405-2569677-3</t>
  </si>
  <si>
    <t>Traced Person. SP (Inv), Rawalpindi appeared before the Commission and stated that Mir Khajan has returned home. The Complainant attend JIT meeting at Islamabad and stated that Mir Khajwan went missing and then came back to his home. No further action is required. The case is closed.</t>
  </si>
  <si>
    <t>6965 -B</t>
  </si>
  <si>
    <t>Fazal s/o Dad Muhammad</t>
  </si>
  <si>
    <t>Drachko, Dasht , Distrct Kech</t>
  </si>
  <si>
    <t>Deleted.Assistant Commissioner Buleda District Kech appeared before the Commission on 11.2.2021 at Quetta. He submitted that particulars of the Missing Person are incomplete and families could not located despite best efforts. Hence the case is deleted from the list of enforced disappearance persons.</t>
  </si>
  <si>
    <t>6966 -B</t>
  </si>
  <si>
    <t>Hasil s/o Dad Muhammad</t>
  </si>
  <si>
    <t>Traced Person. Assistant Commissioner Buleda District Kech appeared before the Commission on 11.2.2021 at Quetta and submitted verification certificate confirming that Hasil s/o Dad Muhammad has returned home.</t>
  </si>
  <si>
    <t>6967 -B</t>
  </si>
  <si>
    <t>Khuda Bakhsh s/o Jalal</t>
  </si>
  <si>
    <t>Solok Bazar, Dasht, District Kech</t>
  </si>
  <si>
    <t>Traced Person. Assistant Commissioner Buleda District Kech appeared before the Commission on 11.2.2021 at Quetta and submitted verification certificate confirming that Khuda Bakhsh s/o Jalal has returned home.</t>
  </si>
  <si>
    <t>6968 -B</t>
  </si>
  <si>
    <t>Rafiq s/o Faiz Muhammad</t>
  </si>
  <si>
    <t>Kaokapar Dahst, District Kech</t>
  </si>
  <si>
    <t>Traced Person. Assistant Commissioner Buleda District Kech appeared before the Commission on 11.2.2021 at Quetta and submitted verification certificate confirming that Rafiq s/o Faiz Muhammad has returned home.</t>
  </si>
  <si>
    <t>6969 -B</t>
  </si>
  <si>
    <t>Hafiz s/o Faiz Muhammad</t>
  </si>
  <si>
    <t>Traced Person. Assistant Commissioner Buleda District Kech appeared before the Commission on 11.2.2021 at Quetta and submitted verification certificate confirming that Hafiz s/o Faiz Muhammad has returned home.</t>
  </si>
  <si>
    <t>6970 -B</t>
  </si>
  <si>
    <t>Munir s/o Muhammad Amin</t>
  </si>
  <si>
    <t>Dal Bazar, Dasht, District Kech</t>
  </si>
  <si>
    <t>Traced Person. Assistant Commissioner Buleda District Kech appeared before the Commission on 11.2.2021 at Quetta and submitted verification certificate confirming that Munir s/o Muhammad Amin has returned home.</t>
  </si>
  <si>
    <t>6971 -B</t>
  </si>
  <si>
    <t>Eid Muhammad s/o Ismail</t>
  </si>
  <si>
    <t>Traced Person. Assistant Commissioner Buleda District Kech appeared before the Commission on 11.2.2021 at Quetta and submitted verification certificate confirming that Eid Muhammad s/o Ismail has returned home.</t>
  </si>
  <si>
    <t>6972 -B</t>
  </si>
  <si>
    <t>Lal Bakhsh s/o Washdil</t>
  </si>
  <si>
    <t>Traced Person. Assistant Commissioner Buleda District Kech appeared before the Commission on 11.2.2021 at Quetta and submitted verification certificate confirming that Lal Bakhsh s/o Washdil has returned home.</t>
  </si>
  <si>
    <t>6973 -B</t>
  </si>
  <si>
    <t>Muhammad Bakhsh s/o Ibrahim</t>
  </si>
  <si>
    <t>Traced Person. Assistant Commissioner Buleda District Kech appeared before the Commission on 11.2.2021 at Quetta and submitted verification certificate confirming that Muhammad Bakhsh s/o Ibrahim has returned home.</t>
  </si>
  <si>
    <t>6974 -B</t>
  </si>
  <si>
    <t>Asif s/o Dost Muhammad</t>
  </si>
  <si>
    <t>Traced Person. Assistant Commissioner Buleda District Kech appeared before the Commission on 11.2.2021 at Quetta and submitted verification certificate confirming that Asif s/o Dost Muhammad has returned home.</t>
  </si>
  <si>
    <t>6975 -B</t>
  </si>
  <si>
    <t>Bakhshi s/o Dad Muhammad</t>
  </si>
  <si>
    <t>Traced Person. Assistant Commissioner Buleda District Kech appeared before the Commission on 11.2.2021 at Quetta and submitted verification certificate confirming that Bakhshi s/o Dad Muhammad has returned home.</t>
  </si>
  <si>
    <t>6976 -B</t>
  </si>
  <si>
    <t>Jameel s/o Rahim Bakhsh</t>
  </si>
  <si>
    <t>Gwahrag Hussain Bazar, Dasht, District Kech</t>
  </si>
  <si>
    <t>Traced Person. Assistant Commissioner Buleda District Kech appeared before the Commission on 11.2.2021 at Quetta and submitted verification certificate confirming that Jameel s/o Rahim Bakhsh has returned home.</t>
  </si>
  <si>
    <t>6977 -B</t>
  </si>
  <si>
    <t>Yasub s/o Safar</t>
  </si>
  <si>
    <t>Kapkapar, Dasht, District Kech</t>
  </si>
  <si>
    <t>Traced Person. Assistant Commissioner Buleda District Kech appeared before the Commission on 11.2.2021 at Quetta and submitted verification certificate confirming that Yasub s/o Safar has returned home.</t>
  </si>
  <si>
    <t>6978 -B</t>
  </si>
  <si>
    <t>Javeed s/o Safar</t>
  </si>
  <si>
    <t>Traced Person. Assistant Commissioner Buleda District Kech appeared before the Commission on 11.2.2021 at Quetta and submitted verification certificate confirming that Javeed s/o Safar has returned home.</t>
  </si>
  <si>
    <t>6979 -B</t>
  </si>
  <si>
    <t>Tariq s/o Pir Bakhsh</t>
  </si>
  <si>
    <t>Dalsar, Dasht District Kech</t>
  </si>
  <si>
    <t>Traced Person. Assistant Commissioner Buleda District Kech appeared before the Commission on 11.2.2021 at Quetta and submitted verification certificate confirming that Tariq s/o Pir Bakhsh has returned home.</t>
  </si>
  <si>
    <t>6980 -B</t>
  </si>
  <si>
    <t>Aqil s/o Sabzal</t>
  </si>
  <si>
    <t>Traced Person. Assistant Commissioner Buleda District Kech appeared before the Commission on 11.2.2021 at Quetta and submitted verification certificate confirming that Aqil s/o Sabzal has returned home.</t>
  </si>
  <si>
    <t>6981 -B</t>
  </si>
  <si>
    <t>Nadeem s/o Basham</t>
  </si>
  <si>
    <t>Bal Cross, Dasht, District Kech</t>
  </si>
  <si>
    <t>Traced Person. Assistant Commissioner Buleda District Kech appeared before the Commission on 11.2.2021 at Quetta and submitted verification certificate confirming that Nadeem s/o Basham has returned home.</t>
  </si>
  <si>
    <t>6982 -B</t>
  </si>
  <si>
    <t>Abdullah s/o Din Muhammad</t>
  </si>
  <si>
    <t>Shoil, Dasht, District Kech</t>
  </si>
  <si>
    <t>Traced Person. Assistant Commissioner Buleda District Kech appeared before the Commission on 11.2.2021 at Quetta and submitted verification certificate confirming that Abdullah s/o Din Muhammad has returned home.</t>
  </si>
  <si>
    <t>6983 -B</t>
  </si>
  <si>
    <t>Naveed s/o Majeed</t>
  </si>
  <si>
    <t>Traced Person. Assistant Commissioner Buleda District Kech appeared before the Commission on 11.2.2021 at Quetta and submitted verification certificate confirming that Naveed s/o Majeed has returned home.</t>
  </si>
  <si>
    <t>6984 -B</t>
  </si>
  <si>
    <t>Majeed s/o Hassan</t>
  </si>
  <si>
    <t>Traced Person. Assistant Commissioner Buleda District Kech appeared before the Commission on 11.2.2021 at Quetta and submitted verification certificate confirming that Majeed s/o Hassan has returned home.</t>
  </si>
  <si>
    <t>6985 -B</t>
  </si>
  <si>
    <t>Yasin s/o Nabi Bakhsh</t>
  </si>
  <si>
    <t>Traced Person. Assistant Commissioner Buleda District Kech appeared before the Commission on 11.2.2021 at Quetta and submitted verification certificate confirming that Yasin s/o Nabi Bakhsh has returned home.</t>
  </si>
  <si>
    <t>6986 -B</t>
  </si>
  <si>
    <t>Muhammad Karim s/o Pashambay</t>
  </si>
  <si>
    <t>Traced Person. Assistant Commissioner Buleda District Kech appeared before the Commission on 11.2.2021 at Quetta and submitted verification certificate confirming that Muhammad Karim s/o Pashambay has returned home.</t>
  </si>
  <si>
    <t>6987 -B</t>
  </si>
  <si>
    <t>Siraj s/o Haji Wahid Bakhsh</t>
  </si>
  <si>
    <t>Traced Person. Assistant Commissioner Buleda District Kech appeared before the Commission on 11.2.2021 at Quetta and submitted verification certificate confirming that Siraj s/o Haji Wahid Bakhsh has returned home.</t>
  </si>
  <si>
    <t>6988 -B</t>
  </si>
  <si>
    <t>Umer s/o Jan Muhammad</t>
  </si>
  <si>
    <t>Traced Person. Assistant Commissioner Buleda District Kech appeared before the Commission on 11.2.2021 at Quetta and submitted verification certificate confirming that Umer s/o Jan Muhammad has returned home.</t>
  </si>
  <si>
    <t>6989 -B</t>
  </si>
  <si>
    <t>Nasir s/o Haji Karim Bakhsh</t>
  </si>
  <si>
    <t>Traced Person. Assistant Commissioner Buleda District Kech appeared before the Commission on 11.2.2021 at Quetta and submitted verification certificate confirming that Nasir s/o Haji Karim Bakhsh has returned home.</t>
  </si>
  <si>
    <t>6990 -B</t>
  </si>
  <si>
    <t>Javeed s/o Muhammad Murad</t>
  </si>
  <si>
    <t>Traced Person. Assistant Commissioner Buleda District Kech appeared before the Commission on 11.2.2021 at Quetta and submitted verification certificate confirming that Javeed s/o Muhammad Murad has returned home.</t>
  </si>
  <si>
    <t>6991 -B</t>
  </si>
  <si>
    <t>Murad Muhammad s/o Ibrahim</t>
  </si>
  <si>
    <t>Traced Person. Assistant Commissioner Buleda District Kech appeared before the Commission on 11.2.2021 at Quetta and submitted verification certificate confirming that Murad Muhammad s/o Ibrahim has returned home.</t>
  </si>
  <si>
    <t>6992 -B</t>
  </si>
  <si>
    <t>Arif s/o Dad Muhammad</t>
  </si>
  <si>
    <t>Traced Person. Assistant Commissioner Buleda District Kech appeared before the Commission on 11.2.2021 at Quetta and submitted verification certificate confirming that Arif s/o Dad Muhammad has returned home.</t>
  </si>
  <si>
    <t>6993 -B</t>
  </si>
  <si>
    <t>Imran s/o Baqi</t>
  </si>
  <si>
    <t>Traced Person. Assistant Commissioner Buleda District Kech appeared before the Commission on 11.2.2021 at Quetta and submitted verification certificate confirming that Imran s/o Baqi has returned home.</t>
  </si>
  <si>
    <t>6994 -B</t>
  </si>
  <si>
    <t>Younis s/o Ghulam Shah</t>
  </si>
  <si>
    <t>Machi Dasht, District Kech</t>
  </si>
  <si>
    <t>Traced Person. Assistant Commissioner Buleda District Kech appeared before the Commission on 11.2.2021 at Quetta and submitted verification certificate confirming that Younis s/o Ghulam Shah has returned home.</t>
  </si>
  <si>
    <t>6995 -B</t>
  </si>
  <si>
    <t>Rasheed s/o Usman</t>
  </si>
  <si>
    <t>Traced Person. Assistant Commissioner Buleda District Kech appeared before the Commission on 11.2.2021 at Quetta and submitted verification certificate confirming that Rasheed s/o Usman has returned home.</t>
  </si>
  <si>
    <t>6996 -B</t>
  </si>
  <si>
    <t>Ghulam Jan s/o Haji Mayar</t>
  </si>
  <si>
    <t>Rodbum, tmp, District Kech</t>
  </si>
  <si>
    <t>Traced Person. Assistant Commissioner Buleda District Kech appeared before the Commission on 11.2.2021 at Quetta and submitted verification certificate confirming that Ghulam Jan s/o Haji Mayar has returned home.</t>
  </si>
  <si>
    <t>6997 -B</t>
  </si>
  <si>
    <t>Imran s/o Dad Muhammad</t>
  </si>
  <si>
    <t>Kalag Dan, Mand, District Kech</t>
  </si>
  <si>
    <t>Traced Person. Assistant Commissioner Buleda District Kech appeared before the Commission on 11.2.2021 at Quetta and submitted verification certificate confirming that Imran s/o Dad Muhammad has returned home.</t>
  </si>
  <si>
    <t>6998 -B</t>
  </si>
  <si>
    <t>Naseer s/o Kulmeer</t>
  </si>
  <si>
    <t>Koh Posht, Mand District Kech</t>
  </si>
  <si>
    <t>Traced Person. Assistant Commissioner Buleda District Kech appeared before the Commission on 11.2.2021 at Quetta and submitted verification certificate confirming that Naseer s/o Kulmeer has returned home.</t>
  </si>
  <si>
    <t>6999 -B</t>
  </si>
  <si>
    <t>Zubair s/o Dad Muhammad</t>
  </si>
  <si>
    <t>Gomazi, Trump, District Kech</t>
  </si>
  <si>
    <t>Traced Person. Assistant Commissioner Buleda District Kech appeared before the Commission on 11.2.2021 at Quetta and submitted verification certificate confirming that Zubair s/o Dad Muhammad has returned home.</t>
  </si>
  <si>
    <t>7000 -B</t>
  </si>
  <si>
    <t>Sadam s/o Ilahi</t>
  </si>
  <si>
    <t>Traced Person. Assistant Commissioner Buleda District Kech appeared before the Commission on 11.2.2021 at Quetta and submitted verification certificate confirming that Sadam s/o Ilahi has returned home.</t>
  </si>
  <si>
    <t>7001 -B</t>
  </si>
  <si>
    <t>Fazal s/o Muhammad Umer</t>
  </si>
  <si>
    <t>Dash, District Kech</t>
  </si>
  <si>
    <t>Traced Person. Assistant Commissioner Buleda District Kech appeared before the Commission on 11.2.2021 at Quetta and submitted verification certificate confirming that Fazal s/o Muhammad Umer has returned home.</t>
  </si>
  <si>
    <t>7002 -B</t>
  </si>
  <si>
    <t>Majeed s/o Wahid Bakhsh</t>
  </si>
  <si>
    <t>Soro Mand, District Kech</t>
  </si>
  <si>
    <t>Traced Person. Assistant Commissioner Buleda District Kech appeared before the Commission on 11.2.2021 at Quetta and submitted verification certificate confirming that Majeed s/o Wahid Bakhsh has returned home.</t>
  </si>
  <si>
    <t>7003 -B</t>
  </si>
  <si>
    <t>Asif s/o Master Anwer</t>
  </si>
  <si>
    <t>Kohnak Mand, District Kech</t>
  </si>
  <si>
    <t>Dead Body. Decomposed dead body of Asif s/o Master Anwer was found in the area of Police urisidction. Hence no further action is required.</t>
  </si>
  <si>
    <t>Dead Body</t>
  </si>
  <si>
    <t>7004 -B</t>
  </si>
  <si>
    <t>Baloch</t>
  </si>
  <si>
    <t>Bal Nigwar, Dasht, District Kech</t>
  </si>
  <si>
    <t>Traced Person. Assistant Commissioner Buleda District Kech appeared before the Commission on 11.2.2021 at Quetta and submitted verification certificate confirming that Baloch has returned home.</t>
  </si>
  <si>
    <t>7005 -B</t>
  </si>
  <si>
    <t>Waseem s/o Muhammad Bakhsh</t>
  </si>
  <si>
    <t>Traced Person. Assistant Commissioner Buleda District Kech appeared before the Commission on 11.2.2021 at Quetta and submitted verification certificate confirming that Waseem s/o Muhammad Bakhsh has returned home.</t>
  </si>
  <si>
    <t>7006 -B</t>
  </si>
  <si>
    <t>Pullan s/o Badal</t>
  </si>
  <si>
    <t>Dizdir, Dasht, District Kech</t>
  </si>
  <si>
    <t>Traced Person. Assistant Commissioner Buleda District Kech appeared before the Commission on 11.2.2021 at Quetta and submitted verification certificate confirming that Pullan s/o Badal has returned home.</t>
  </si>
  <si>
    <t>7007 -B</t>
  </si>
  <si>
    <t>Jahanzaib s/o Ayub</t>
  </si>
  <si>
    <t>Menaz, Buleda, District Kech</t>
  </si>
  <si>
    <t>Traced Person. Assistant Commissioner Buleda District Kech appeared before the Commission on 11.2.2021 at Quetta and submitted verification certificate confirming that Jahanzaib s/o Ayub has returned home.</t>
  </si>
  <si>
    <t>7008 -B</t>
  </si>
  <si>
    <t>Sharif s/o Darwaish</t>
  </si>
  <si>
    <t>Dabbok, District Kech</t>
  </si>
  <si>
    <t>Traced Person. Assistant Commissioner Buleda District Kech appeared before the Commission on 11.2.2021 at Quetta and submitted verification certificate confirming that Sharif s/o Darwaish has returned home.</t>
  </si>
  <si>
    <t>7009 -B</t>
  </si>
  <si>
    <t>Ikram s/o Abdullah</t>
  </si>
  <si>
    <t>Traced Person. Assistant Commissioner Buleda District Kech appeared before the Commission on 11.2.2021 at Quetta and submitted verification certificate confirming that Ikram s/o Abdullah has returned home.</t>
  </si>
  <si>
    <t>7010 -B</t>
  </si>
  <si>
    <t>Abdullah s/o Hassan</t>
  </si>
  <si>
    <t>Traced Person. Assistant Commissioner Buleda District Kech appeared before the Commission on 11.2.2021 at Quetta and submitted verification certificate confirming that Abdullah s/o Hassan has returned home.</t>
  </si>
  <si>
    <t>7011 -B</t>
  </si>
  <si>
    <t>Pullan s/o Abdullah</t>
  </si>
  <si>
    <t>Traced Person. Assistant Commissioner Buleda District Kech appeared before the Commission on 11.2.2021 at Quetta and submitted verification certificate confirming that Pullan s/o Abdullah has returned home.</t>
  </si>
  <si>
    <t>7012 -B</t>
  </si>
  <si>
    <t>Lal Jan s/o Adil</t>
  </si>
  <si>
    <t>Khariabad, District Kech</t>
  </si>
  <si>
    <t>Traced Person. Assistant Commissioner Buleda District Kech appeared before the Commission on 11.2.2021 at Quetta and submitted verification certificate confirming that Lal Jan s/o Adil has returned home.</t>
  </si>
  <si>
    <t>7013 -B</t>
  </si>
  <si>
    <t>Zafar s/o Qadir Bakhsh</t>
  </si>
  <si>
    <t>Balicha, Trump, District Kech</t>
  </si>
  <si>
    <t>Traced Person. Assistant Commissioner Buleda District Kech appeared before the Commission on 11.2.2021 at Quetta and submitted verification certificate confirming that Zafar s/o Qadir Bakhsh has returned home.</t>
  </si>
  <si>
    <t>7014 -B</t>
  </si>
  <si>
    <t>Suleman s/o Gaji Khan</t>
  </si>
  <si>
    <t>Traced Person. Assistant Commissioner Buleda District Kech appeared before the Commission on 11.2.2021 at Quetta and submitted verification certificate confirming that Suleman s/o Gaji Khan has returned home.</t>
  </si>
  <si>
    <t>7015 -B</t>
  </si>
  <si>
    <t>Noor Bakhsh</t>
  </si>
  <si>
    <t>Meeri Kalag, Turbat, District Kech</t>
  </si>
  <si>
    <t>Traced Person. Assistant Commissioner Buleda District Kech appeared before the Commission on 11.2.2021 at Quetta and submitted verification certificate confirming that Noor Bakhsh has returned home.</t>
  </si>
  <si>
    <t>7016 -B</t>
  </si>
  <si>
    <t>Ilahi Bakhsh s/o Ishaq</t>
  </si>
  <si>
    <t>Traced Person. Assistant Commissioner Buleda District Kech appeared before the Commission on 11.2.2021 at Quetta and submitted verification certificate confirming that Ilahi Bakhsh s/o Ishaq has returned home.</t>
  </si>
  <si>
    <t>7017 -B</t>
  </si>
  <si>
    <t>Liaquat s/o Ishaq</t>
  </si>
  <si>
    <t>Traced Person. Assistant Commissioner Buleda District Kech appeared before the Commission on 11.2.2021 at Quetta and submitted verification certificate confirming that Liaquat s/o Ishaq has returned home.</t>
  </si>
  <si>
    <t>7018 -B</t>
  </si>
  <si>
    <t>Sakhi Bakhsh s/o Murad Bakhsh</t>
  </si>
  <si>
    <t>Jageen Dasht, District Kech</t>
  </si>
  <si>
    <t>Traced Person. Assistant Commissioner Buleda District Kech appeared before the Commission on 11.2.2021 at Quetta and submitted verification certificate confirming that Sakhi Bakhsh s/o Murad Bakhsh has returned home.</t>
  </si>
  <si>
    <t>7019 -B</t>
  </si>
  <si>
    <t>Kamal s/o Ghazi</t>
  </si>
  <si>
    <t>Gebum, District Kech</t>
  </si>
  <si>
    <t>Traced Person. Assistant Commissioner Buleda District Kech appeared before the Commission on 11.2.2021 at Quetta and submitted verification certificate confirming that Kamal s/o Ghazi has returned home.</t>
  </si>
  <si>
    <t>7020 -B</t>
  </si>
  <si>
    <t>Faisal s/o Nabi Bakhsh</t>
  </si>
  <si>
    <t>Traced Person. Assistant Commissioner Buleda District Kech appeared before the Commission on 11.2.2021 at Quetta and submitted verification certificate confirming that Faisal s/o Nabi Bakhsh has returned home.</t>
  </si>
  <si>
    <t>7021 -B</t>
  </si>
  <si>
    <t>Wajo s/o Haibathan</t>
  </si>
  <si>
    <t>Traced Person. Assistant Commissioner Buleda District Kech appeared before the Commission on 11.2.2021 at Quetta and submitted verification certificate confirming that Wajo s/o Haibathan has returned home.</t>
  </si>
  <si>
    <t>7022 -B</t>
  </si>
  <si>
    <t>Badal s/o Ahmed</t>
  </si>
  <si>
    <t>Machi, Dasht, District Kech</t>
  </si>
  <si>
    <t>Traced Person. Assistant Commissioner Buleda District Kech appeared before the Commission on 11.2.2021 at Quetta and submitted verification certificate confirming that Badal s/o Ahmed has returned home.</t>
  </si>
  <si>
    <t>7023 -B</t>
  </si>
  <si>
    <t>Hafeez s/o Pir Muhammad</t>
  </si>
  <si>
    <t>Kaheeren Dasht, District Kech</t>
  </si>
  <si>
    <t>Traced Person. Assistant Commissioner Buleda District Kech appeared before the Commission on 11.2.2021 at Quetta and submitted verification certificate confirming that Hafeez s/o Pir Muhammad has returned home.</t>
  </si>
  <si>
    <t>7024 -B</t>
  </si>
  <si>
    <t>Jasim</t>
  </si>
  <si>
    <t>Tump, District Kech</t>
  </si>
  <si>
    <t>Traced Person. Assistant Commissioner Buleda District Kech appeared before the Commission on 11.2.2021 at Quetta and submitted verification certificate confirming that Jasim has returned home.</t>
  </si>
  <si>
    <t>7025 -B</t>
  </si>
  <si>
    <t>Javeed s/o Ashraf</t>
  </si>
  <si>
    <t>Jatt, Kolwah, District Kech</t>
  </si>
  <si>
    <t>Traced Person. Assistant Commissioner Buleda District Kech appeared before the Commission on 11.2.2021 at Quetta and submitted verification certificate confirming that Javeed s/o Ashraf has returned home.</t>
  </si>
  <si>
    <t>7026 -B</t>
  </si>
  <si>
    <t>Balach s/o Shah</t>
  </si>
  <si>
    <t>Gomazi Tump, District Kech</t>
  </si>
  <si>
    <t>Traced Person. Assistant Commissioner Buleda District Kech appeared before the Commission on 11.2.2021 at Quetta and submitted verification certificate confirming that Balach s/o Shah has returned home.</t>
  </si>
  <si>
    <t>7027 -B</t>
  </si>
  <si>
    <t>Aslam s/o Abdul Samad</t>
  </si>
  <si>
    <t>Zamuran Bazar, Balicha, District Kech</t>
  </si>
  <si>
    <t>Traced Person. Assistant Commissioner Buleda District Kech appeared before the Commission on 11.2.2021 at Quetta and submitted verification certificate confirming that Aslam s/o Abdul Samad has returned home.</t>
  </si>
  <si>
    <t>7028 -B</t>
  </si>
  <si>
    <t>Fayyaz s/o Muhammad Karim</t>
  </si>
  <si>
    <t>Traced Person. Assistant Commissioner Buleda District Kech appeared before the Commission on 11.2.2021 at Quetta and submitted verification certificate confirming that Fayyaz s/o Muhammad Karim has returned home.</t>
  </si>
  <si>
    <t>7029 -B</t>
  </si>
  <si>
    <t>Akbar s/o Qadar Bakhsh</t>
  </si>
  <si>
    <t>Traced Person. Assistant Commissioner Buleda District Kech appeared before the Commission on 11.2.2021 at Quetta and submitted verification certificate confirming that Akbar s/o Qadar Bakhsh has returned home.</t>
  </si>
  <si>
    <t>7030 -B</t>
  </si>
  <si>
    <t>Ismail s/o Shero</t>
  </si>
  <si>
    <t>Gomazai, Tump, District Kech</t>
  </si>
  <si>
    <t>Traced Person. Assistant Commissioner Buleda District Kech appeared before the Commission on 11.2.2021 at Quetta and submitted verification certificate confirming that Ismail s/o Shero has returned home.</t>
  </si>
  <si>
    <t>7031 -B</t>
  </si>
  <si>
    <t>Saeed s/o Syed Muhammad</t>
  </si>
  <si>
    <t>Traced Person. Assistant Commissioner Buleda District Kech appeared before the Commission on 11.2.2021 at Quetta and submitted verification certificate confirming that Saeed s/o Syed Muhammad has returned home.</t>
  </si>
  <si>
    <t>7032 -B</t>
  </si>
  <si>
    <t>Swali s/o Gohram</t>
  </si>
  <si>
    <t>Tal Hoshab, District Kech</t>
  </si>
  <si>
    <t>Traced Person. Assistant Commissioner Buleda District Kech appeared before the Commission on 11.2.2021 at Quetta and submitted verification certificate confirming that Swali s/o Gohram has returned home.</t>
  </si>
  <si>
    <t>7033 -B</t>
  </si>
  <si>
    <t>Adam s/o Mazar</t>
  </si>
  <si>
    <t>Tal, Hoshab, District Kech</t>
  </si>
  <si>
    <t>Traced Person. Assistant Commissioner Buleda District Kech appeared before the Commission on 11.2.2021 at Quetta and submitted verification certificate confirming that Adam s/o Mazar has returned home.</t>
  </si>
  <si>
    <t>7034 -B</t>
  </si>
  <si>
    <t>Saddam s/o Barkat</t>
  </si>
  <si>
    <t>Alandoor Buleda, District Kech</t>
  </si>
  <si>
    <t>Traced Person. Assistant Commissioner Buleda District Kech appeared before the Commission on 11.2.2021 at Quetta and submitted verification certificate confirming that Saddam s/o Barkat has returned home.</t>
  </si>
  <si>
    <t>7035 -B</t>
  </si>
  <si>
    <t>Zabad s/o Shaho</t>
  </si>
  <si>
    <t>Bagzo Mand, District Kech</t>
  </si>
  <si>
    <t>Traced Person. Assistant Commissioner Buleda District Kech appeared before the Commission on 11.2.2021 at Quetta and submitted verification certificate confirming that Zabad s/o Shaho has returned home.</t>
  </si>
  <si>
    <t>7036 -B</t>
  </si>
  <si>
    <t>Sakhi Dad s/o Habib</t>
  </si>
  <si>
    <t>Traced Person. Assistant Commissioner Buleda District Kech appeared before the Commission on 11.2.2021 at Quetta and submitted verification certificate confirming that Sakhi Dad s/o Habib has returned home.</t>
  </si>
  <si>
    <t>7037 -B</t>
  </si>
  <si>
    <t>Khair Daed s/o Qaim Khan</t>
  </si>
  <si>
    <t>Traced Person. Assistant Commissioner Buleda District Kech appeared before the Commission on 11.2.2021 at Quetta and submitted verification certificate confirming that Khair Daed s/o Qaim Khan has returned home.</t>
  </si>
  <si>
    <t>7038 -B</t>
  </si>
  <si>
    <t>Azum s/o Shaho</t>
  </si>
  <si>
    <t>Traced Person. Assistant Commissioner Buleda District Kech appeared before the Commission on 11.2.2021 at Quetta and submitted verification certificate confirming that Azum s/o Shaho has returned home.</t>
  </si>
  <si>
    <t>7039 -B</t>
  </si>
  <si>
    <t>Ghulam Shah s/o Qadir Bakhsh</t>
  </si>
  <si>
    <t>Traced Person. Assistant Commissioner Buleda District Kech appeared before the Commission on 11.2.2021 at Quetta and submitted verification certificate confirming that Ghulam Shah s/o Qadir Bakhsh has returned home.</t>
  </si>
  <si>
    <t>7040 -B</t>
  </si>
  <si>
    <t>Niaz s/o Qadir Bakhsh</t>
  </si>
  <si>
    <t>Traced Person. Assistant Commissioner Buleda District Kech appeared before the Commission on 11.2.2021 at Quetta and submitted verification certificate confirming that Niaz s/o Qadir Bakhsh has returned home.</t>
  </si>
  <si>
    <t>7041 -B</t>
  </si>
  <si>
    <t>Nawaz s/o Patha</t>
  </si>
  <si>
    <t>Traced Person. Assistant Commissioner Buleda District Kech appeared before the Commission on 11.2.2021 at Quetta and submitted verification certificate confirming that Nawaz s/o Patha has returned home.</t>
  </si>
  <si>
    <t>7042 -B</t>
  </si>
  <si>
    <t>Assa Mulla s/o Khuda Bakhsh</t>
  </si>
  <si>
    <t>Balochabad Mand, District Kech</t>
  </si>
  <si>
    <t>Traced Person. Assistant Commissioner Buleda District Kech appeared before the Commission on 11.2.2021 at Quetta and submitted verification certificate confirming that Assa Mulla s/o Khuda Bakhsh has returned home.</t>
  </si>
  <si>
    <t>7043 -B</t>
  </si>
  <si>
    <t>Amjad s/o Basham</t>
  </si>
  <si>
    <t>Kolwai Bazar, Absor, Turbat District Kech</t>
  </si>
  <si>
    <t>Traced Person. Assistant Commissioner Buleda District Kech appeared before the Commission on 11.2.2021 at Quetta and submitted verification certificate confirming that Amjad s/o Basham has returned home.</t>
  </si>
  <si>
    <t>7044 -B</t>
  </si>
  <si>
    <t>Barkat s/o Basham</t>
  </si>
  <si>
    <t>Traced Person. Assistant Commissioner Buleda District Kech appeared before the Commission on 11.2.2021 at Quetta and submitted verification certificate confirming that Barkat s/o Basham has returned home.</t>
  </si>
  <si>
    <t>7045 -B</t>
  </si>
  <si>
    <t>Faisal s/o Akbar</t>
  </si>
  <si>
    <t>Traced Person. Assistant Commissioner Buleda District Kech appeared before the Commission on 11.2.2021 at Quetta and submitted verification certificate confirming that Faisal s/o Akbar has returned home.</t>
  </si>
  <si>
    <t>7046 -B</t>
  </si>
  <si>
    <t>Inam s/o Wali Muhammad</t>
  </si>
  <si>
    <t>Kroos Tank Dahst, District Kech</t>
  </si>
  <si>
    <t>Traced Person. Assistant Commissioner Buleda District Kech appeared before the Commission on 11.2.2021 at Quetta and submitted verification certificate confirming that Inam s/o Wali Muhammad has returned home.</t>
  </si>
  <si>
    <t>7047 -B</t>
  </si>
  <si>
    <t>Javeed s/o Abbas</t>
  </si>
  <si>
    <t>Traced Person. Assistant Commissioner Buleda District Kech appeared before the Commission on 11.2.2021 at Quetta and submitted verification certificate confirming that Javeed s/o Abbas has returned home.</t>
  </si>
  <si>
    <t>7048 -B</t>
  </si>
  <si>
    <t>Inam s/o Swali</t>
  </si>
  <si>
    <t>Traced Person. Assistant Commissioner Buleda District Kech appeared before the Commission on 11.2.2021 at Quetta and submitted verification certificate confirming that Inam s/o Swali has returned home.</t>
  </si>
  <si>
    <t>7049 -B</t>
  </si>
  <si>
    <t>Naseem s/o Shah Sawar</t>
  </si>
  <si>
    <t>Kombel, Dasht, District Kech</t>
  </si>
  <si>
    <t>Traced Person. Assistant Commissioner Buleda District Kech appeared before the Commission on 11.2.2021 at Quetta and submitted verification certificate confirming that Naseem s/o Shah Sawar has returned home.</t>
  </si>
  <si>
    <t>7050 -B</t>
  </si>
  <si>
    <t>Salman s/o Kohda Aslam</t>
  </si>
  <si>
    <t>Traced Person. Assistant Commissioner Buleda District Kech appeared before the Commission on 11.2.2021 at Quetta and submitted verification certificate confirming that Salman s/o Kohda Aslam has returned home.</t>
  </si>
  <si>
    <t>7051 -B</t>
  </si>
  <si>
    <t>Dr. Allah Bakhsh</t>
  </si>
  <si>
    <t>Machat, Dasht, District Kech</t>
  </si>
  <si>
    <t>Traced Person. Assistant Commissioner Buleda District Kech appeared before the Commission on 11.2.2021 at Quetta and submitted verification certificate confirming that Dr. Allah Bakhsh has returned home.</t>
  </si>
  <si>
    <t>7052 -B</t>
  </si>
  <si>
    <t>Noora</t>
  </si>
  <si>
    <t>Absor Turbat, District Kech</t>
  </si>
  <si>
    <t>Traced Person. Assistant Commissioner Buleda District Kech appeared before the Commission on 11.2.2021 at Quetta and submitted verification certificate confirming that Noora has returned home.</t>
  </si>
  <si>
    <t>7053 -B</t>
  </si>
  <si>
    <t>Ali s/o Dad Rehman</t>
  </si>
  <si>
    <t>Kohad, Tump, District Kech</t>
  </si>
  <si>
    <t>Traced Person. Assistant Commissioner Buleda District Kech appeared before the Commission on 11.2.2021 at Quetta and submitted verification certificate confirming that Ali s/o Dad Rehman has returned home.</t>
  </si>
  <si>
    <t>7054 -B</t>
  </si>
  <si>
    <t>Fida s/o Dad Karim</t>
  </si>
  <si>
    <t>Traced Person. Assistant Commissioner Buleda District Kech appeared before the Commission on 11.2.2021 at Quetta and submitted verification certificate confirming that Fida s/o Dad Karim has returned home.</t>
  </si>
  <si>
    <t>7055 -B</t>
  </si>
  <si>
    <t>Salman s/o Swali</t>
  </si>
  <si>
    <t>Traced Person. Assistant Commissioner Buleda District Kech appeared before the Commission on 11.2.2021 at Quetta and submitted verification certificate confirming that Salman s/o Swali has returned home.</t>
  </si>
  <si>
    <t>7056 -B</t>
  </si>
  <si>
    <t>Sher Jan</t>
  </si>
  <si>
    <t>7057 -B</t>
  </si>
  <si>
    <t>Basit</t>
  </si>
  <si>
    <t>Traced Person. Assistant Commissioner Buleda District Kech appeared before the Commission on 11.2.2021 at Quetta and submitted verification certificate confirming that Basit has returned home.</t>
  </si>
  <si>
    <t>7058 -B</t>
  </si>
  <si>
    <t>Salman s/o Munir</t>
  </si>
  <si>
    <t>Traced Person. Assistant Commissioner Buleda District Kech appeared before the Commission on 11.2.2021 at Quetta and submitted verification certificate confirming that Salman s/o Munir has returned home.</t>
  </si>
  <si>
    <t>7059 -B</t>
  </si>
  <si>
    <t>Zafar s/o Izzat</t>
  </si>
  <si>
    <t>Asiabad, Tump, District Kech</t>
  </si>
  <si>
    <t>Traced Person. Assistant Commissioner Buleda District Kech appeared before the Commission on 11.2.2021 at Quetta and submitted verification certificate confirming that Zafar s/o Izzat has returned home.</t>
  </si>
  <si>
    <t>7060 -B</t>
  </si>
  <si>
    <t>Haji Jawad</t>
  </si>
  <si>
    <t>Bollo Mand, District Kech</t>
  </si>
  <si>
    <t>Traced Person. Assistant Commissioner Buleda District Kech appeared before the Commission on 11.2.2021 at Quetta and submitted verification certificate confirming that Haji Jawad has returned home.</t>
  </si>
  <si>
    <t>7061 -B</t>
  </si>
  <si>
    <t>Islam</t>
  </si>
  <si>
    <t>Kolaho Tump, District Kech</t>
  </si>
  <si>
    <t>Traced Person. Assistant Commissioner Buleda District Kech appeared before the Commission on 11.2.2021 at Quetta and submitted verification certificate confirming that Islam has returned home.</t>
  </si>
  <si>
    <t>7062 -B</t>
  </si>
  <si>
    <t>Liaquat</t>
  </si>
  <si>
    <t>Malant, Tump, District Kech</t>
  </si>
  <si>
    <t>Traced Person. Assistant Commissioner Buleda District Kech appeared before the Commission on 11.2.2021 at Quetta and submitted verification certificate confirming that Liaquat has returned home.</t>
  </si>
  <si>
    <t>7063 -B</t>
  </si>
  <si>
    <t>Tariq s/o Madihan</t>
  </si>
  <si>
    <t>Traced Person. Assistant Commissioner Buleda District Kech appeared before the Commission on 11.2.2021 at Quetta and submitted verification certificate confirming that Tariq s/o Madihan has returned home.</t>
  </si>
  <si>
    <t>7064 -B</t>
  </si>
  <si>
    <t>Faiz</t>
  </si>
  <si>
    <t>7065-S</t>
  </si>
  <si>
    <t>Sultan s/o saeed</t>
  </si>
  <si>
    <t>Mst. Bismah, r/o Gali No. 25, Near Nagman Masjid, Gul Muhammad Lain, Layari, Karachi. (Mobile No. 0321-2779079)</t>
  </si>
  <si>
    <t>52204-5328503-9</t>
  </si>
  <si>
    <t>7066-K</t>
  </si>
  <si>
    <t>Naqeeb Ullah s/o Syed Azam</t>
  </si>
  <si>
    <t>Hizab Ullah, r/o Thatha Khalil, Near Derah Malik Yasir, P.O Taxila, Taxila, District Rawalpindi. (Mobile No. 0345-1153960 &amp; 0343-5571981)</t>
  </si>
  <si>
    <t>21704-03457030-1</t>
  </si>
  <si>
    <t>7067-K</t>
  </si>
  <si>
    <t>Bakhat Buland Khan s/o Zareen Shafeeq</t>
  </si>
  <si>
    <t>Mst Rehmania, r/o Rahimabad, Mingorah, Swat. (Mobile No. 0344-0972392).</t>
  </si>
  <si>
    <t>15602-8377643-5</t>
  </si>
  <si>
    <t>FIR No. 296, dated 1/4/2021, u/s 365 PPC, P.S Rahim Abad, Swat</t>
  </si>
  <si>
    <t>7068-P</t>
  </si>
  <si>
    <t>Abdul Mannan s/o Ahmed Din</t>
  </si>
  <si>
    <t>Imran Ali, r/o Village Bahal Wali, Tehsil &amp; District Narowal. (Mobile No. 0323-7710332).</t>
  </si>
  <si>
    <t>34501-2214189-1</t>
  </si>
  <si>
    <t>7069-K</t>
  </si>
  <si>
    <t>Riaz s/o Zameen Shah</t>
  </si>
  <si>
    <t>Muhammad Shafeeq Khan, r/o Village Dojagi Nehar, P.O Barah, Teshil Barah, District Khyber. (Mobile No. 0307-07339928 &amp; 0307-0734372).</t>
  </si>
  <si>
    <t>21201-8428139-5</t>
  </si>
  <si>
    <t>Traced person. A report / combined statement has been received from Rep of MI wherein the name of Riaz s/o Zameen Shah finds place at Sr. No. 05. According to the report he is Interned in Internment Centre Lakki Marwat. The date of missing and the date he was interned needs clarifications by the Rep of MI. None appeared on behalf of Riaz traced person, however the complainant may be informed of the status of the case. Family members be facilitated to see Riaz in the Internment Centre in accordance with law.</t>
  </si>
  <si>
    <t>7070-K</t>
  </si>
  <si>
    <t>Hussain Shah s/o Niazmeen Shah</t>
  </si>
  <si>
    <t>Mst. Mehnaz Afridi, r/op Ghundi, Tehsil &amp; P.O Jamrud, District Khyber, KPK. (Mobile No. 0341-9285452).</t>
  </si>
  <si>
    <t>21202-4817390-9</t>
  </si>
  <si>
    <t>Traced Person. DPO Tribal District Khyber is in attendance and submitted that JIT meeting was held on 07.05.2021. He has further stated that Hussain Shah appeared before the JIT and recorded his statement. Hussain Shah (Traced Person) also entered appearance before the Commission on 21.05.2021 and his statement has been recorded on oath. Since Hussain Shah has been traced, therefore, no further action is required.</t>
  </si>
  <si>
    <t>7071-S</t>
  </si>
  <si>
    <t>Syed Muhammad Azhar Abbas s/o Syed Muhammad Atta Abbas</t>
  </si>
  <si>
    <t>Mst. Syeda Parveen Fatima, House No. 445, Near Imam Bargah Jaffri, Hussainabad, Gulbhar no. 1, Karachi. (Mobile No. 0334-3723157).</t>
  </si>
  <si>
    <t>42101-6582358-0</t>
  </si>
  <si>
    <t>7072-P</t>
  </si>
  <si>
    <t>Ahmed Din @ Waqaf Din s/o Shams-ud-Din</t>
  </si>
  <si>
    <t>Shahi Bagh, r/o Mulla Mansoor, P.S Attock, Tehsil Magro, District Attock. (Mobile No. 0304-9901811).</t>
  </si>
  <si>
    <t>FIR No. 2/17, dated 3/1/2017, u/s 365 PPC, Attock</t>
  </si>
  <si>
    <t>7073-K</t>
  </si>
  <si>
    <t>Naeem Gul Khan s/o Wazim Khan</t>
  </si>
  <si>
    <t>Wazim Khan, r/o Gar Baz Baka Khel, Tanka Ghar, P.O Baka Khel, District Bannu, KPK.</t>
  </si>
  <si>
    <t>22201-8351584-9</t>
  </si>
  <si>
    <t>7074-B</t>
  </si>
  <si>
    <t>Muhammad s/o Gul Muhammad</t>
  </si>
  <si>
    <t>Muhammad Essa, r/o Kalye Qari Wali Muhammad, Rehman Khool Road, Chaman, District Qillah Abdullah. (Mobile No. 0312-8163599).</t>
  </si>
  <si>
    <t>54201-6810694-7</t>
  </si>
  <si>
    <t>7075-B</t>
  </si>
  <si>
    <t>Muhammad Yousaf s/o Adam Khan</t>
  </si>
  <si>
    <t>Asad Ullah, r/o Haji Abdul Baqi Road, Near Nazeer Clinic, Chalu Bawahri, Satellite town, Quetta. (Mobile No. 0312-8633369).</t>
  </si>
  <si>
    <t>54201-2468810-</t>
  </si>
  <si>
    <t>7076-B</t>
  </si>
  <si>
    <t>Abdullah s/o Baz Muhammad</t>
  </si>
  <si>
    <t>Rooh Ullah, r/o Shahpur, Kalye Ghulam Jan, Toheedabad, Quetta. (Mobile No. 0304-1882716).</t>
  </si>
  <si>
    <t>Afghan Citizen Card No.
 AC77216537908</t>
  </si>
  <si>
    <t>7077-B</t>
  </si>
  <si>
    <t>Jameel Ahmed s/o Haji Abdul Ghani</t>
  </si>
  <si>
    <t>Bashir Ahmed, r/o House No. 17-A, Green Town, Kalye No. 03, Saryab Road, Quetta. (Mobile No. 0335-2327817).</t>
  </si>
  <si>
    <t>54400-1080177-7</t>
  </si>
  <si>
    <t>7078-B</t>
  </si>
  <si>
    <t>Jandar s/o Toor</t>
  </si>
  <si>
    <t>Jalat Khan, r/o Near Old Hospital Bazar &amp; Gulabi Pump, P.S City, Qillah Saif Ullah. (Mobile No. 0322-3670437).</t>
  </si>
  <si>
    <t>Brother CNIC No.
 56201-1767499-1</t>
  </si>
  <si>
    <t>7079-K</t>
  </si>
  <si>
    <t>Safdar s/o Jandar</t>
  </si>
  <si>
    <t>Uncle CNIC No.
 56201-1767499-1</t>
  </si>
  <si>
    <t>7080-K</t>
  </si>
  <si>
    <t>Zabih Ullah s/o Sanober Khan</t>
  </si>
  <si>
    <t>Sanober Khan, r/o Khadri Eidak, P.O Eidak, Tehsil Mir Ali, District North Waziristan. (Mobile No. 0306-3334034).</t>
  </si>
  <si>
    <t>21505-8604673-3</t>
  </si>
  <si>
    <t>Traced Person. Rep of MI appeared before the Commission on 19.05.2021 and submitted report/ combined statement dated 19.05.2021 whereby it is mentioned that Zabih Ullah s/o Sanober Khan is confined in Internment Centre Kohat in terms of Action (in aid of Civil) Regulations, 2011.</t>
  </si>
  <si>
    <t>7081-K</t>
  </si>
  <si>
    <t>Kamal Hussain s/o Hussain Faqeer</t>
  </si>
  <si>
    <t>Mst. Sajida, r/o Peywar Gundi Khel, Parachnar, Upper Kurram, District Kurram. (0306-5992902).</t>
  </si>
  <si>
    <t>21303-2241109-5</t>
  </si>
  <si>
    <t>Traced Person. Akhtar Shah entered appearance before the Commission on 28.05.2021 on behalf of the Superintendent Jail, Kohat, whose statement was recorded on oath in which he mentioned that Kamal Husssain s/o Hussain Faqeer was presently confined in the District Jail, Kohat in case FIR No. 86 dated 19.11.2019 u/s 302/376/109/7ATA/53 CPA, PS Upper Karrum, District Kurram. As the Missing Person has been traced no further action is required. The case is closed.</t>
  </si>
  <si>
    <t>7082-K</t>
  </si>
  <si>
    <t>Tajmal Hussain s/o Jamal Hussain</t>
  </si>
  <si>
    <t>Mst. Noor Jamala, r/o Peywar Gundi Khel, Parachnar, Upper Kurram, District Kurram. (0306-5992902).</t>
  </si>
  <si>
    <t>21303-4817993-9</t>
  </si>
  <si>
    <t>Traced Person. Akhtar Shah entered appearance before the Commission on 28.05.2021 on behalf of the Superintendent Jail, Kohat, whose statement was recorded on oath in which he mentioned that Tajmal Hussain s/o Jamal Hussain was presently confined in the District Jail, Kohat in case FIR No. 86 dated 19.11.2019 u/s 302/376/109/7ATA/53 CPA, PS Upper Karrum, District Kurram. As the Missing Person has been traced no further action is required. The case is closed.</t>
  </si>
  <si>
    <t>7083-K</t>
  </si>
  <si>
    <t>Ajmal Hussain s/o Jamal Hussain</t>
  </si>
  <si>
    <t>Traced Person. Akhtar Shah entered appearance before the Commission on 28.05.2021 on behalf of the Superintendent Jail, Kohat, whose statement was recorded on oath in which he mentioned that Ajmal Hussain s/o Jamal Hussain was presently confined in the District Jail, Kohat in case FIR No. 86 dated 19.11.2019 u/s 302/376/109/7ATA/53 CPA, PS Upper Karrum, District Kurram. As the Missing Person has been traced no further action is required. The case is closed.</t>
  </si>
  <si>
    <t>7084-K</t>
  </si>
  <si>
    <t>Shahzad Ali s/o Ashiq Hussain</t>
  </si>
  <si>
    <t>Adnan Khaider, r/o Imamia Colony, Parachnar, Upper Kurram, District Kurram. (0305-9072228).</t>
  </si>
  <si>
    <t>Traced Person. Akhtar Shah entered appearance before the Commission on 28.05.2021 on behalf of the Superintendent Jail, Kohat, whose statement was recorded on oath in which he mentioned that Shahzad Ali s/o Ashiq Hussain was presently confined in the District Jail, Kohat in case FIR No. 86 dated 19.11.2019 u/s 302/376/109/7ATA/53 CPA, PS Upper Karrum, District Kurram. As the Missing Person has been traced no further action is required. The case is closed.</t>
  </si>
  <si>
    <t>7085-K</t>
  </si>
  <si>
    <t>Naveed Hussain s/o Iqbal Hussain</t>
  </si>
  <si>
    <t>Mst. Qalbe Zehra, Imamia Colony, Parachnar, Upper Kurram, District Kurram. (0306-5992902).</t>
  </si>
  <si>
    <t>21303-9496509-1</t>
  </si>
  <si>
    <t>Traced Person. Akhtar Shah entered appearance before the Commission on 28.05.2021 on behalf of the Superintendent Jail, Kohat, whose statement was recorded on oath in which he mentioned that Naveed Hussain s/o Iqbal Hussain was presently confined in the District Jail, Kohat in case FIR No. 86 dated 19.11.2019 u/s 302/376/109/7ATA/53 CPA, PS Upper Karrum, District Kurram. As the Missing Person has been traced no further action is required. The case is closed.</t>
  </si>
  <si>
    <t>7086-K</t>
  </si>
  <si>
    <t>Sajawal Hussain s/o Jamal Hussain</t>
  </si>
  <si>
    <t>Traced Person. Akhtar Shah entered appearance before the Commission on 28.05.2021 on behalf of the Superintendent Jail, Kohat, whose statement was recorded on oath in which he mentioned that Sajawal Hussain s/o Jamal Hussain was presently confined in the District Jail, Kohat in case FIR No. 86 dated 19.11.2019 u/s 302/376/109/7ATA/53 CPA, PS Upper Karrum, District Kurram. As the Missing Person has been traced no further action is required. The case is closed.</t>
  </si>
  <si>
    <t>7087-K</t>
  </si>
  <si>
    <t>Adnan Khaider s/o Najaf Ali</t>
  </si>
  <si>
    <t>Ijaz Hussain, r/o Peywar Gundi Khel, Parachnar, Upper Kurram, District Kurram. (0305-8888672).</t>
  </si>
  <si>
    <t>Traced Person. Akhtar Shah entered appearance before the Commission on 28.05.2021 on behalf of the Superintendent Jail, Kohat, whose statement was recorded on oath in which he mentioned that Adnan Khaider s/o Najaf Ali was presently confined in the District Jail, Kohat in case FIR No. 86 dated 19.11.2019 u/s 302/376/109/7ATA/53 CPA, PS Upper Karrum, District Kurram. As the Missing Person has been traced no further action is required. The case is closed.</t>
  </si>
  <si>
    <t>7088-K</t>
  </si>
  <si>
    <t>Jamal Hussain s/o Hussain Faqeeer</t>
  </si>
  <si>
    <t>Traced Person. Akhtar Shah entered appearance before the Commission on 28.05.2021 on behalf of the Superintendent Jail, Kohat, whose statement was recorded on oath in which he mentioned that Jamal Hussain s/o Hussain Faqeer Hussain was presently confined in the District Jail, Kohat in case FIR No. 86 dated 19.11.2019 u/s 302/376/109/7ATA/53 CPA, PS Upper Karrum, District Kurram. As the Missing Person has been traced no further action is required. The case is closed.</t>
  </si>
  <si>
    <t>28th February, 2021</t>
  </si>
  <si>
    <t>7089-K</t>
  </si>
  <si>
    <t>Imran Khan s/o Abdul Hanan</t>
  </si>
  <si>
    <t>Muhammad Roman, r/o SR Chinchi Bargin, Laghari Gate, Taj Plaza, D.I.Khan. (Mobile No. 0336-0561154).</t>
  </si>
  <si>
    <t>21703-1454554-9</t>
  </si>
  <si>
    <t>01st March, 2021</t>
  </si>
  <si>
    <t>7090-P</t>
  </si>
  <si>
    <t>Mazhar Abbas s/o Haji Jeyun Bux</t>
  </si>
  <si>
    <t>Tariq Huusain, r/o Mozah Khariawala, P.O Machuwal, Tehsil Athara Sunheri, District Jhung. (0341-3842422).</t>
  </si>
  <si>
    <t>33202-1330377-9</t>
  </si>
  <si>
    <t>Traced Person. It transpired from the scrutiny of proceedings of JIT report presented at the hearing on 13.08.2021 that a case has been registered against Mazhar Abbas by means of FIR No, 18 dated 01.08.2021 u/s 4/5 ESA r/w 7 ATA by PS CTD. No further action is required, the case is closed.</t>
  </si>
  <si>
    <t>7091-K</t>
  </si>
  <si>
    <t>Hafiz Muhammad Amir s/o Moin Khan</t>
  </si>
  <si>
    <t>Malik Sabbir Khan, r/o Tangi Bandha, Jarma, Kohat. (Mobile No. 0333-9644048 &amp; 0300-5657046).</t>
  </si>
  <si>
    <t>14301-2740997-9</t>
  </si>
  <si>
    <t>Traced Person. It has been reported at the hearing on 27.05.2021 that Hafiz Amir was involved in vide FIR No. 13 u/s ISA and 7/ ATA, PS Kohat City. Father reported that at present, he is on bail.</t>
  </si>
  <si>
    <t>7092-S</t>
  </si>
  <si>
    <t>Syed Tanveer Abbas s/o Syed Sagir Abbas</t>
  </si>
  <si>
    <t>Mst. Roshan Ara, r/o House No. R-1086, Block No. 20, FBR Area Karachi. (Mobile No. 0315-2982338)</t>
  </si>
  <si>
    <t>42101-3319881-7</t>
  </si>
  <si>
    <t>Traced Person. It was informed at the hearing held in this Commission on 27.7.2021 that Syed Tanveer Abbas is involved in Criminal Case vide FIR No. 44/2021 dated 30.4.2021 u/ s4/5 Exp- Act with 7-ATA PS CTD, Karachi District Jail on Judicial Custody under the orders of Administrative Judge, Anti- Terrorism Courts, Karachi.</t>
  </si>
  <si>
    <t>7093-K</t>
  </si>
  <si>
    <t>Hikmat Ullah s/o Haji Za Khel</t>
  </si>
  <si>
    <t>Haji Za Khel, r/o Ghamkol, Camp No. 03 District Kohat. (Mobile No. 0335-9625407 &amp; 0333-9619719)</t>
  </si>
  <si>
    <t>FIR No. 305, date 22.5.2021, u/s 365, 147, 149, PPC P.S Jungle Khel, Kohat</t>
  </si>
  <si>
    <t>Traced Person. DSP Saddar Kohat appeared before the Commission and produced statement of Hikmat Ullah, order of Judicial Magistrate-I, Kohat and report of DPO Kohat. Submitted documents confirmed that Hikmat Ullah returned home he disappeared as his own and nobody abducted him.</t>
  </si>
  <si>
    <t>7094-P</t>
  </si>
  <si>
    <t>Darain Abbas s/o Rab Nawaz</t>
  </si>
  <si>
    <t>Rab Nawaz, r/o House No. NK-165, Street No. 03 Tehsil &amp; District Rawalpindi. (Mobile No. 0301-8143543)</t>
  </si>
  <si>
    <t>Traced Person. Darian Abbas appeared before the Commission on 29.12.2021. Statement of complainant Rab Nawaz was recorded on oath in which he stated that Darian Abbas was abducted by a group of beggers and he was recovered by Police in 10.12.2021.No further action is required. The case is closed.</t>
  </si>
  <si>
    <t>7095-P</t>
  </si>
  <si>
    <t>Zakir s/o Wali Baig</t>
  </si>
  <si>
    <t>Zahid Khan, r/o P.O Taxila, Mohalla Siraye Khola, New Abadi, Toheed Abad, Umar Town, Tehsil &amp; District Rawalpindi. (Mobile No. 0305-3448191 &amp; 0344-5104800)</t>
  </si>
  <si>
    <t>214032573697-3</t>
  </si>
  <si>
    <t>Traced Person. Zakir s/o Wali Baig appeared before the Commission on 20.05.2021, whose statement was recorded on oath in which he deposed that he was abducted and taken away blindfolded on 05.03.2021 by unknown persons who set him free at Lahore after 45/46 days. He has also produced copy of his statement recorded u/s 164 CrPC. He further deposed that he could not identify the persons who abducted him even if they are brought before him. No further action is required. The case is closed.</t>
  </si>
  <si>
    <t>7096-P</t>
  </si>
  <si>
    <t>Shaikh Rizwan s/o Bashir Hussain</t>
  </si>
  <si>
    <t>Imran Bashir, r/o House No. 144, Block No. 1, Sector A-2, Town Ship, Lahore. (Mobile No. 0336-8841414).</t>
  </si>
  <si>
    <t>35202-2964505-9</t>
  </si>
  <si>
    <t>Traced Person. Imran Shabbir, brother of Sheikh Rizwan appear for hearing before the Commission on 02.08.2021 at Lahore and confirmed that the latter had returned home. He stated that Rizwan could not appear due to ailment. Further more he neither the place nor persons involved in his abduction. No further action is required. The case is closed.</t>
  </si>
  <si>
    <t>7097-P</t>
  </si>
  <si>
    <t>Muhammad Farhan s/o Fazal Ahmed</t>
  </si>
  <si>
    <t>Muhammad Rehan, r/o New Karachi Senatery Store, Near 78 Pull, Shaheenabad Road, Sargodha. (Mobile No. 0301-4025290).</t>
  </si>
  <si>
    <t>42401-7103582-1</t>
  </si>
  <si>
    <t>Traced Person. It was informed at the hearing held on 12.08.2021 that Muhammad Farhan was arrested in case FIR No. 18/2021 dated 01.08.2021 u/s 4/5 ESA r/w 7ATA and 13 (2A) by PS CTS Lahore and presently Muhammad Farhan is under Judicial custody. No further action is required. The case is closed.</t>
  </si>
  <si>
    <t>7098-B</t>
  </si>
  <si>
    <t>Muhammad Rahim s/o Muhammad Bakhsh</t>
  </si>
  <si>
    <t>Mst. Nar Bibi, r/o Saryab Road, Gali No, 2, Mohalla Shahwani, Street Waljet, Quetta. (Mobile No. 0333-0126630).</t>
  </si>
  <si>
    <t>54400-0221431-1</t>
  </si>
  <si>
    <t>Balochistan /
 Mestung</t>
  </si>
  <si>
    <t>7099-B</t>
  </si>
  <si>
    <t>Ali Ahmed s/o Jumma Khan</t>
  </si>
  <si>
    <t>Mangaye Khan, r/o Jalalabad, Tehsil Much, District Kachhi. (Mobile No. 0331-8462671).</t>
  </si>
  <si>
    <t>53305-1427955-5</t>
  </si>
  <si>
    <t>7100-B</t>
  </si>
  <si>
    <t>Haji Talib s/o Haji Nizam-ud-Din Adargazi</t>
  </si>
  <si>
    <t>Haji Aman Ullah, r/o Kalee Muhammad Umer Khan, Bugzah Road, Chaman, District Qillah Abdullah. (Mobile No. 0313-7857567).</t>
  </si>
  <si>
    <t>54201-8896868-9</t>
  </si>
  <si>
    <t>7101-K</t>
  </si>
  <si>
    <t>Muhammad Bilal s/o Sher Alam Khan</t>
  </si>
  <si>
    <t>Zubair Ghulam, r/o Kotka, Asam Deen, Fatima Khel, District Bannu. (Mobile No. 0334-8841782).</t>
  </si>
  <si>
    <t>11101-9489555-3</t>
  </si>
  <si>
    <t>FIR No. 297 daed 29.04.2021 u/s 365 PPC PS Rown Ship, Bannu</t>
  </si>
  <si>
    <t>Traced Person. According to report dated 11-06-2021 submitted by the Rep of MI Muhammad Bilal s/o Sher Alam Khan is confined in Internment Centre Lakki Marwat. The aforesaid position has also been confirmed by DPO, Bannu. Muhammad Zubair (Brother) who was present at the hearing was informed. Family members of Muhammad Bilal be facilitated to see him in the Internment Centre Lakki Marwat.</t>
  </si>
  <si>
    <t>7102-S</t>
  </si>
  <si>
    <t>Syed Khurram Kazmi s/o Syed Shahid Hussain Kazmi</t>
  </si>
  <si>
    <t>Syed Babar Kazmi, r/o House No. R/30, Sec 33/C, Korangi No. 02 1/2, Karachi. (Mobile No. 0322-2057723).</t>
  </si>
  <si>
    <t>42201-3210386-7</t>
  </si>
  <si>
    <t>7103-I</t>
  </si>
  <si>
    <t>Umer Muhammad s/o Bajory</t>
  </si>
  <si>
    <t>Mst. Khaisa Bibi, r/o Ishara Bantrah, Char Bagh, District Swat. (Mobile No. 0342-9631396 &amp; 0342-312638).</t>
  </si>
  <si>
    <t>Wife CNIC:
 15602-3603560-0</t>
  </si>
  <si>
    <t>7104-S</t>
  </si>
  <si>
    <t>Abdul Samad s/o Umer Muhammad</t>
  </si>
  <si>
    <t>Mother CNIC:
 15602-3603560-0</t>
  </si>
  <si>
    <t>Deleted. SDPO Saeedabad sub-Division, Karachi submitted report and statement of the Complainant Mst. Khanas Bibi in which she deposed that she did not know neither the place of occurrence nor and information about the incident of abduction. Hence, she has withdrawn her complaint. No further action is required. The case is closed.</t>
  </si>
  <si>
    <t>7105-S</t>
  </si>
  <si>
    <t>Abdul Rahim s/o Umer Muhammad</t>
  </si>
  <si>
    <t>Deleted. The applicant submit the application for Afidavit for with Drawal of the case from CoIoED. No further action is required. The case is closed.</t>
  </si>
  <si>
    <t>7106-K</t>
  </si>
  <si>
    <t>Rab Nawaz Khan s/o Malit Khan</t>
  </si>
  <si>
    <t>Malit Khan, r/o Spin Qamar Lala Khel, Post Office and Tehsil Makeen, District South Waziristan.</t>
  </si>
  <si>
    <t>21703-2449960-3</t>
  </si>
  <si>
    <t>Traced Person. Rep of MI has submitted report at the hearing held on 9.6.2021 that Rab Nawaz Khan is confined in the Internment Centre, Lakki Marwat under Action (in aid of civil) Regulations, 2011. Family members shall be facilitated to see him as per rule and procedures. No further action is required. The case is closed.</t>
  </si>
  <si>
    <t>7107-K</t>
  </si>
  <si>
    <t>Abdul Waheed s/o Mor Ali Khan</t>
  </si>
  <si>
    <t>Mst. Khoonam Jan Bibi, r/o Village Zadrana, Shabi Khel, Tehsil Ladha, Dostrict South Waziristan. (Mobile No. 0346-9499515 &amp; 0336-6514791).</t>
  </si>
  <si>
    <t>21702-2015321-9</t>
  </si>
  <si>
    <t>7108-P</t>
  </si>
  <si>
    <t>Abdul Kareem s/o Fazal Naeem</t>
  </si>
  <si>
    <t>Abdul Rahim, r/o House No. 104, Gali No. 42, Mohalla Bostan Colony, Dhram Purah, District Lahore. (Mobile No, 0320-4330992).</t>
  </si>
  <si>
    <t>35201-2074742-9</t>
  </si>
  <si>
    <t>Traced Person. Abdul Kareem has been traced. In this connection statement of Inspector/SHO, CTD Lahore has been recorded on oath on 02.08.2021 by the Commission. Abdul Kareem has been arrested by CTD, Lahore in case FIR No. 05 dated 30.03.2021 u/s 13-2A, 20/65 AO read with 7 ATA 1997, 4/5 ESA. Inspector / CTD has further submitted that presently Abdul Kareem was in judicial custody and confined in Kot Lakhpat Jail, Lahore.</t>
  </si>
  <si>
    <t>7109-S</t>
  </si>
  <si>
    <t>raza haider</t>
  </si>
  <si>
    <t>Sana Ullah, r/o Haji Murad Gujjar Goth, Light Area, Hub Choki, Karachi. (Mobile No. 0300-3356420 &amp; 0322-5268850).</t>
  </si>
  <si>
    <t>55102-5903325-5</t>
  </si>
  <si>
    <t>7110-K</t>
  </si>
  <si>
    <t>Ahmed Ullah s/o Noor Din</t>
  </si>
  <si>
    <t>Noor Din, r/o Spalga, Turi Khel, District North Waziristan, KPK, Pakistan.</t>
  </si>
  <si>
    <t>21506-1765552-7</t>
  </si>
  <si>
    <t>Traced Person. Rep of MI appeared before the Commission on 19.05.2021 and submitted report/ combined statement dated 19.05.2021 whereby it is mentioned that Ahmed Ullah s/o Noor Din is confined in Internment Centre Kohat in terms of Action (in aid of Civil) Regulations, 2011.</t>
  </si>
  <si>
    <t>7111-B</t>
  </si>
  <si>
    <t>Doda s/o Rashid</t>
  </si>
  <si>
    <t>Rashid, r/o Pidrak, District Kech, Balochistan, Pakistan.</t>
  </si>
  <si>
    <t>Traced Person. It has been informed at the hearing held in this case at Quetta that Doda s/o Rashid has returned home. No further action is required. The case is closed.</t>
  </si>
  <si>
    <t>7112-B</t>
  </si>
  <si>
    <t>Usman s/o Maqbool Ahmed Usman</t>
  </si>
  <si>
    <t>Maqbool Ahmed Usman, r/o Moh Babar Shoro, Ward No. 01, Pasni, District Gwadar, Balochistan.</t>
  </si>
  <si>
    <t>52203-5132888-3</t>
  </si>
  <si>
    <t>Traced Person. It has been informed at the hearing held in this case at Quetta that Usman s/o Maqbool Ahmed usman has returned home. No further action is required. The case is closed.</t>
  </si>
  <si>
    <t>7113-K</t>
  </si>
  <si>
    <t>Mena Bat Khan s/o Hakeem Khan</t>
  </si>
  <si>
    <t>Aziz Khan, r/o Maimzai Chapar, P.O Mushti Mela, Tehsil Lower, District Orakzai. (Mobile No. 0334-8852115 &amp; 0332-9832132).</t>
  </si>
  <si>
    <t>21603-7386699-1
 Son CNIC</t>
  </si>
  <si>
    <t>FIR No. 256 dated 15.04.2021 u/s 365 PPC District Kohat</t>
  </si>
  <si>
    <t>Traced Person. Mena Bat Khan s/o Hakeem Khan (Traced Person) appeared before the Commission on 13.10.2021 and his statement was recorded on oath in which he deposed that nobody abducted him and he went to Karachi on his own that he was performing job of Chowikdar at Karachi that he returned home 20 days ago and his statement was recorded before the Magistrate. No further action is required. The case is closed.</t>
  </si>
  <si>
    <t>7114-K</t>
  </si>
  <si>
    <t>Bakhtan Ullah s/o Ikhlas Gul</t>
  </si>
  <si>
    <t>Mst. Khalida Bibi, r/o Dawarh, P.O &amp; Tehsil Meran Shah, District North Waziristan. (Mobile No. 0322-3101581).</t>
  </si>
  <si>
    <t>21506-5770321-3</t>
  </si>
  <si>
    <t>7115 -B</t>
  </si>
  <si>
    <t>Sagheer s/o Ameer</t>
  </si>
  <si>
    <t>Traced Person. Naib Tehsildar, District Kech appeared before the Commission on 02.04.2021 at Quetta and submitted verification certificate confirming that Sagheer s/o Ameer has returned home.</t>
  </si>
  <si>
    <t>7116 -B</t>
  </si>
  <si>
    <t>Waris s/o Madihan</t>
  </si>
  <si>
    <t>Traced Person. Naib Tehsildar, District Kech appeared before the Commission on 02.04.2021 at Quetta and submitted verification certificate confirming that Waris s/o Madihan has returned home.</t>
  </si>
  <si>
    <t>7117 -B</t>
  </si>
  <si>
    <t>Naveed s/o Maula Aslam</t>
  </si>
  <si>
    <t>Traced Person. Naib Tehsildar, Turbat District Kech appeared before the Commission on 30.03.2021 at Quetta and submitted verification certificate confirming that Salman s/o Swali has returned home.</t>
  </si>
  <si>
    <t>7118 -B</t>
  </si>
  <si>
    <t>Zakir s/o Mulla Bakhsh</t>
  </si>
  <si>
    <t>7119 -B</t>
  </si>
  <si>
    <t>Nasrat s/o Jalal</t>
  </si>
  <si>
    <t>Nizarabad, Tump, District Kech</t>
  </si>
  <si>
    <t>Traced Person. Naib Tehsildar, District Kech appeared before the Commission on 02.04.2021 at Quetta and submitted verification certificate confirming that Nusrat s/o Jalal has returned home.</t>
  </si>
  <si>
    <t>7120 -B</t>
  </si>
  <si>
    <t>Sanaullah s/o Mulla Aslam</t>
  </si>
  <si>
    <t>7121 -B</t>
  </si>
  <si>
    <t>Samiullah s/o Mulla Aslam</t>
  </si>
  <si>
    <t>7122 -B</t>
  </si>
  <si>
    <t>Majeed s/o Badal</t>
  </si>
  <si>
    <t>7123 -B</t>
  </si>
  <si>
    <t>Noor Bakhsh s/o Sher Muhammad</t>
  </si>
  <si>
    <t>Konshkalat Tump, District Kech</t>
  </si>
  <si>
    <t>7124 -B</t>
  </si>
  <si>
    <t>Aslam s/o Shay Nawab</t>
  </si>
  <si>
    <t>7125 -B</t>
  </si>
  <si>
    <t>Saqim</t>
  </si>
  <si>
    <t>Traced Person. Naib Tehsildar, District Kech appeared before the Commission on 02.04.2021 at Quetta and submitted verification certificate confirming that Saqim has returned home.</t>
  </si>
  <si>
    <t>7126 -B</t>
  </si>
  <si>
    <t>Shabir</t>
  </si>
  <si>
    <t>7127 -B</t>
  </si>
  <si>
    <t>Doda s/o Dur Muhammad</t>
  </si>
  <si>
    <t>7128 -B</t>
  </si>
  <si>
    <t>Halim</t>
  </si>
  <si>
    <t>7129 -B</t>
  </si>
  <si>
    <t>Sadiq s/o Rasheed</t>
  </si>
  <si>
    <t>Ochat Dasht, District Kech</t>
  </si>
  <si>
    <t>7130 -B</t>
  </si>
  <si>
    <t>Muneer s/o Ibrahim</t>
  </si>
  <si>
    <t>Bidrang, Kolwah, District Kech</t>
  </si>
  <si>
    <t>7131 -B</t>
  </si>
  <si>
    <t>Mullah Hamza</t>
  </si>
  <si>
    <t>7132 -B</t>
  </si>
  <si>
    <t>Hamza s/o Khair Muhammad</t>
  </si>
  <si>
    <t>Panodi Dasht, District Kech</t>
  </si>
  <si>
    <t>7133 -B</t>
  </si>
  <si>
    <t>Fida s/o Rahim</t>
  </si>
  <si>
    <t>Kohat, District Kech</t>
  </si>
  <si>
    <t>7134 -B</t>
  </si>
  <si>
    <t>Muslim s/o Assa</t>
  </si>
  <si>
    <t>Kohak Dasht, District Kech</t>
  </si>
  <si>
    <t>7135 -B</t>
  </si>
  <si>
    <t>Umer s/o Dil Murad</t>
  </si>
  <si>
    <t>7136 -B</t>
  </si>
  <si>
    <t>Dil Murad s/o Dur Muhammad</t>
  </si>
  <si>
    <t>Traced Person. Naib Tehsildar, District Kech appeared before the Commission on 02.04.2021 at Quetta and submitted verification certificate confirming that Dil Murad s/o Dur Muhammad has returned home.</t>
  </si>
  <si>
    <t>7137 -B</t>
  </si>
  <si>
    <t>Qayyum s/o Baitullah</t>
  </si>
  <si>
    <t>Jan Muhammad Bazar, District Kech</t>
  </si>
  <si>
    <t>Traced Person. Naib Tehsildar, District Kech appeared before the Commission on 02.04.2021 at Quetta and submitted verification certificate confirming that Qayyum s/o Baitullah has returned home.</t>
  </si>
  <si>
    <t>7138 -B</t>
  </si>
  <si>
    <t>Brahim s/o Mazar</t>
  </si>
  <si>
    <t>Traced Person. Naib Tehsildar, District Kech appeared before the Commission on 02.04.2021 at Quetta and submitted verification certificate confirming that Brahim s/o Mazar has returned home.</t>
  </si>
  <si>
    <t>7139 -B</t>
  </si>
  <si>
    <t>Qambar s/o Ghulam</t>
  </si>
  <si>
    <t>Nojko, Mashkay District Kech</t>
  </si>
  <si>
    <t>7140 -B</t>
  </si>
  <si>
    <t>Afzal s/o Taj Muhammad</t>
  </si>
  <si>
    <t>Hoshab, District Kech</t>
  </si>
  <si>
    <t>7141 -B</t>
  </si>
  <si>
    <t>Dura s/o Khair Muhammad</t>
  </si>
  <si>
    <t>7142 -B</t>
  </si>
  <si>
    <t>Ismail s/o Mayar</t>
  </si>
  <si>
    <t>Pandoli, Dasht, District Kech</t>
  </si>
  <si>
    <t>Traced Person. Naib Tehsildar, District Kech appeared before the Commission on 02.04.2021 at Quetta and submitted verification certificate confirming that Ismail s/o Mayar has returned home.</t>
  </si>
  <si>
    <t>7143 -B</t>
  </si>
  <si>
    <t>Chirag</t>
  </si>
  <si>
    <t>Traced Person. Naib Tehsildar, District Kech appeared before the Commission on 02.04.2021 at Quetta and submitted verification certificate confirming that Chirag has returned home.</t>
  </si>
  <si>
    <t>7144 -B</t>
  </si>
  <si>
    <t>Farhad s/o Aziz</t>
  </si>
  <si>
    <t>Gawak Mand, Distrcit Kech</t>
  </si>
  <si>
    <t>7145 -B</t>
  </si>
  <si>
    <t>Abdullah s/o Murad Bakhsh</t>
  </si>
  <si>
    <t>Traced Person. Naib Tehsildar, District Kech appeared before the Commission on 02.04.2021 at Quetta and submitted verification certificate confirming that Abdullah s/o Murad Bakhsh has returned home.</t>
  </si>
  <si>
    <t>7146 -B</t>
  </si>
  <si>
    <t>Nabil s/o Yaseen</t>
  </si>
  <si>
    <t>Masken Buleda, District Kech</t>
  </si>
  <si>
    <t>7147 -B</t>
  </si>
  <si>
    <t>Adil s/o Hameed</t>
  </si>
  <si>
    <t>Gayab Mand, District Kech</t>
  </si>
  <si>
    <t>7148 -B</t>
  </si>
  <si>
    <t>Usman s/o Khan Muhammad</t>
  </si>
  <si>
    <t>7149 -B</t>
  </si>
  <si>
    <t>Salman s/o Shambey</t>
  </si>
  <si>
    <t>Nokain Khan, Mand, District Kech</t>
  </si>
  <si>
    <t>7150 -B</t>
  </si>
  <si>
    <t>Nadil s/o Hameed</t>
  </si>
  <si>
    <t>Dasht, District Kech</t>
  </si>
  <si>
    <t>7151 -B</t>
  </si>
  <si>
    <t>Nabeed s/o Dil Murad</t>
  </si>
  <si>
    <t>7152 -B</t>
  </si>
  <si>
    <t>Saeed s/o Bahut</t>
  </si>
  <si>
    <t>26/0/42017</t>
  </si>
  <si>
    <t>Bahot Chat, District Kech</t>
  </si>
  <si>
    <t>Traced Person. Naib Tehsildar, District Kech appeared before the Commission on 02.04.2021 at Quetta and submitted verification certificate confirming that Saeed s/o Bahut has returned home.</t>
  </si>
  <si>
    <t>7153 -B</t>
  </si>
  <si>
    <t>Shabir s/o Omeed Ali</t>
  </si>
  <si>
    <t>7154 -B</t>
  </si>
  <si>
    <t>Nadeem s/o Ibrahim</t>
  </si>
  <si>
    <t>7155 -B</t>
  </si>
  <si>
    <t>Sadiq s/o Saeed</t>
  </si>
  <si>
    <t>Traced Person. Naib Tehsildar, District Kech appeared before the Commission on 02.04.2021 at Quetta and submitted verification certificate confirming that Sadiq s/o Saeed has returned home.</t>
  </si>
  <si>
    <t>7156 -B</t>
  </si>
  <si>
    <t>Assa s/o Darbesh</t>
  </si>
  <si>
    <t>7157 -B</t>
  </si>
  <si>
    <t>Amjad s/o Yar Muhammad</t>
  </si>
  <si>
    <t>7158 -B</t>
  </si>
  <si>
    <t>Dad Muhammad s/o Aziz</t>
  </si>
  <si>
    <t>7159 -B</t>
  </si>
  <si>
    <t>Ghani s/o Usman</t>
  </si>
  <si>
    <t>Kasano Tump, District Kech</t>
  </si>
  <si>
    <t>7160 -B</t>
  </si>
  <si>
    <t>Ayub s/o Sayad</t>
  </si>
  <si>
    <t>Phulabad Tump, District Kech</t>
  </si>
  <si>
    <t>7161 -B</t>
  </si>
  <si>
    <t>Shabir s/o Ghulam Hussain</t>
  </si>
  <si>
    <t>Koh-Posht Mand District Kech</t>
  </si>
  <si>
    <t>7162 -B</t>
  </si>
  <si>
    <t>Nazaw s/o Dur Muhammad</t>
  </si>
  <si>
    <t>7163 -B</t>
  </si>
  <si>
    <t>Elahi Bakhsh</t>
  </si>
  <si>
    <t>7164 -B</t>
  </si>
  <si>
    <t>Halim s/o Salim</t>
  </si>
  <si>
    <t>7165 -B</t>
  </si>
  <si>
    <t>Yasin s/o Dost Muhammad</t>
  </si>
  <si>
    <t>7166 -B</t>
  </si>
  <si>
    <t>Dad Jan s/o Noor</t>
  </si>
  <si>
    <t>7167 -B</t>
  </si>
  <si>
    <t>Zafar s/o Muhammad Ali</t>
  </si>
  <si>
    <t>Kunshkalat tump, District Kech</t>
  </si>
  <si>
    <t>7168 -B</t>
  </si>
  <si>
    <t>Majid s/o Hashim</t>
  </si>
  <si>
    <t>7169 -B</t>
  </si>
  <si>
    <t>Noor Bakhsh s/o Umer</t>
  </si>
  <si>
    <t>7170 -B</t>
  </si>
  <si>
    <t>Aziz s/o Bakhshi</t>
  </si>
  <si>
    <t>7171 -B</t>
  </si>
  <si>
    <t>Mazar s/o Sayad</t>
  </si>
  <si>
    <t>Traced Person. Naib Tehsildar, District Kech appeared before the Commission on 02.04.2021 at Quetta and submitted verification certificate confirming that Mazar s/o Sayad has returned home.</t>
  </si>
  <si>
    <t>7172 -B</t>
  </si>
  <si>
    <t>Charki s/o Hashim</t>
  </si>
  <si>
    <t>7173 -B</t>
  </si>
  <si>
    <t>Gul Sher s/o Rahim Bakhsh</t>
  </si>
  <si>
    <t>Traced Person. Naib Tehsildar, District Kech appeared before the Commission on 02.04.2021 at Quetta and submitted verification certificate confirming that Gul Sher s/o Rahim Bakhsh has returned home.</t>
  </si>
  <si>
    <t>7174 -B</t>
  </si>
  <si>
    <t>Javeed s/o Jabir</t>
  </si>
  <si>
    <t>7175 -B</t>
  </si>
  <si>
    <t>Mahas s/o Abdullah Hussain</t>
  </si>
  <si>
    <t>7176 -B</t>
  </si>
  <si>
    <t>Muhamamd Jan s/o Adam</t>
  </si>
  <si>
    <t>7177 -B</t>
  </si>
  <si>
    <t>Sudhir s/o Maqbool</t>
  </si>
  <si>
    <t>Traced Person. Naib Tehsildar, District Kech appeared before the Commission on 02.04.2021 at Quetta and submitted verification certificate confirming that Sudhir s/o Maqbool has returned home.</t>
  </si>
  <si>
    <t>7178 -B</t>
  </si>
  <si>
    <t>Zubair s/o Muhammad Jan</t>
  </si>
  <si>
    <t>Traced Person. Naib Tehsildar, District Kech appeared before the Commission on 02.04.2021 at Quetta and submitted verification certificate confirming that Zubair s/o Muhammad Jan has returned home.</t>
  </si>
  <si>
    <t>7179 -B</t>
  </si>
  <si>
    <t>Jasim s/o Pir Bakhah</t>
  </si>
  <si>
    <t>Traced Person. Naib Tehsildar, District Kech appeared before the Commission on 02.04.2021 at Quetta and submitted verification certificate confirming that Jasim s/o Pir Bakhsh has returned home.</t>
  </si>
  <si>
    <t>7180 -B</t>
  </si>
  <si>
    <t>Shoaib s/o Saleh Muhammad</t>
  </si>
  <si>
    <t>Zareen Bug Dasht, District Kech</t>
  </si>
  <si>
    <t>7181 -B</t>
  </si>
  <si>
    <t>Dr. Shakeel s/o Muhammad Yaqoob</t>
  </si>
  <si>
    <t>Malil Bazar, Gwarkop, District kech</t>
  </si>
  <si>
    <t>7182 -B</t>
  </si>
  <si>
    <t>Shoaib s/o Mula Bakhsh</t>
  </si>
  <si>
    <t>Kahnek Mand, District Kech</t>
  </si>
  <si>
    <t>7183 -B</t>
  </si>
  <si>
    <t>Muslim s/o Barkat</t>
  </si>
  <si>
    <t>7184 -B</t>
  </si>
  <si>
    <t>Ghaffar s/o Abdul Ghafoor</t>
  </si>
  <si>
    <t>Chap Rehkani Mand, District Kech</t>
  </si>
  <si>
    <t>7185 -B</t>
  </si>
  <si>
    <t>Naseer s/o Mola Bakhsh</t>
  </si>
  <si>
    <t>7186 -B</t>
  </si>
  <si>
    <t>Tariq s/o Ahmed</t>
  </si>
  <si>
    <t>7187 -B</t>
  </si>
  <si>
    <t>Imran s/o Abdul Rehman</t>
  </si>
  <si>
    <t>7188 -B</t>
  </si>
  <si>
    <t>Gul Muhammad s/o Charshambay</t>
  </si>
  <si>
    <t>Kuddan Dasht, District Kech</t>
  </si>
  <si>
    <t>7189 -B</t>
  </si>
  <si>
    <t>Asad s/o Hashim</t>
  </si>
  <si>
    <t>Badhi Awaran District Kech</t>
  </si>
  <si>
    <t>7190 -B</t>
  </si>
  <si>
    <t>Siraj</t>
  </si>
  <si>
    <t>Karki Tijaban, District kech</t>
  </si>
  <si>
    <t>7191 -B</t>
  </si>
  <si>
    <t>Israr s/o Sher Muhammad</t>
  </si>
  <si>
    <t>Sami Kallag. District Kech</t>
  </si>
  <si>
    <t>Traced Person. Naib Tehsildar, District Kech appeared before the Commission on 02.04.2021 at Quetta and submitted verification certificate confirming that Israr s/o Sher Muhammad has returned home.</t>
  </si>
  <si>
    <t>7192 -B</t>
  </si>
  <si>
    <t>Muhri s/o Waleed</t>
  </si>
  <si>
    <t>7193 -B</t>
  </si>
  <si>
    <t>Ishaq s/o Dawood</t>
  </si>
  <si>
    <t>Shaban Gayyab Mand, District Kech</t>
  </si>
  <si>
    <t>7194 -B</t>
  </si>
  <si>
    <t>Taufiq s/o Abdul Majeed</t>
  </si>
  <si>
    <t>7195 -B</t>
  </si>
  <si>
    <t>Asif Bandgwazi s/o Ellahi Bakhsh</t>
  </si>
  <si>
    <t>7196 -B</t>
  </si>
  <si>
    <t>Wajo s/o Murad</t>
  </si>
  <si>
    <t>7197 -B</t>
  </si>
  <si>
    <t>Pir Muhammad s/o Dil Murad</t>
  </si>
  <si>
    <t>Dilsar Dasht District Kech</t>
  </si>
  <si>
    <t>7198 -B</t>
  </si>
  <si>
    <t>Junaid s/o Rahim Bakhsh</t>
  </si>
  <si>
    <t>Traced Person. Naib Tehsildar, District Kech appeared before the Commission on 02.04.2021 at Quetta and submitted verification certificate confirming that Junaid s/o Rahim Bakhsh has returned home.</t>
  </si>
  <si>
    <t>7199 -B</t>
  </si>
  <si>
    <t>Gwahram s/o Amin</t>
  </si>
  <si>
    <t>Shooleg Dasht, District Kech</t>
  </si>
  <si>
    <t>Traced Person. Naib Tehsildar, District Kech appeared before the Commission on 02.04.2021 at Quetta and submitted verification certificate confirming that Gwahram s/o Amin has returned home.</t>
  </si>
  <si>
    <t>7200 -B</t>
  </si>
  <si>
    <t>Rahim Bakhsh s/o Junaid</t>
  </si>
  <si>
    <t>Traced Person. Naib Tehsildar, District Kech appeared before the Commission on 02.04.2021 at Quetta and submitted verification certificate confirming that Rahim Bakhsh s/o Junaid has returned home.</t>
  </si>
  <si>
    <t>7201 -B</t>
  </si>
  <si>
    <t>Aziz s/o Ghafoor</t>
  </si>
  <si>
    <t>Traced Person. Naib Tehsildar, District Kech appeared before the Commission on 02.04.2021 at Quetta and submitted verification certificate confirming that Aziz s/o Ghafoor has returned home.</t>
  </si>
  <si>
    <t>7202 -B</t>
  </si>
  <si>
    <t>Jameel s/o Dil Murad</t>
  </si>
  <si>
    <t>Traced Person. Naib Tehsildar, District Kech appeared before the Commission on 02.04.2021 at Quetta and submitted verification certificate confirming that Jameel s/o Dil Murad has returned home.</t>
  </si>
  <si>
    <t>7203 -B</t>
  </si>
  <si>
    <t>Imdad s/o Karim Dad</t>
  </si>
  <si>
    <t>Karki Tijaban, District Kech</t>
  </si>
  <si>
    <t>Traced Person. Naib Tehsildar, District Kech appeared before the Commission on 02.04.2021 at Quetta and submitted verification certificate confirming that Imdad s/o Karim Dad has returned home.</t>
  </si>
  <si>
    <t>7204 -B</t>
  </si>
  <si>
    <t>Bahram s/o Usman</t>
  </si>
  <si>
    <t>Traced Person. Naib Tehsildar, District Kech appeared before the Commission on 02.04.2021 at Quetta and submitted verification certificate confirming that Bahram s/o Usman has returned home.</t>
  </si>
  <si>
    <t>7205 -B</t>
  </si>
  <si>
    <t>Maqsood s/o Assa</t>
  </si>
  <si>
    <t>7206 -B</t>
  </si>
  <si>
    <t>Sabzal s/o Wash Dil</t>
  </si>
  <si>
    <t>7207 -B</t>
  </si>
  <si>
    <t>Saleem s/o Chariki</t>
  </si>
  <si>
    <t>7208 -B</t>
  </si>
  <si>
    <t>Pervaiz s/o Bahot</t>
  </si>
  <si>
    <t>Traced Person. Naib Tehsildar, District Kech appeared before the Commission on 02.04.2021 at Quetta and submitted verification certificate confirming that Pervaiz s/o Bahot has returned home.</t>
  </si>
  <si>
    <t>7209 -B</t>
  </si>
  <si>
    <t>Zahid s/o Saleem</t>
  </si>
  <si>
    <t>7210 -B</t>
  </si>
  <si>
    <t>Hassan s/o Assa</t>
  </si>
  <si>
    <t>7211 -B</t>
  </si>
  <si>
    <t>Mujahid s/o Rahim Dil</t>
  </si>
  <si>
    <t>Gwarkup District Kech</t>
  </si>
  <si>
    <t>7212 -B</t>
  </si>
  <si>
    <t>Aziz s/o Mustafa Mulla</t>
  </si>
  <si>
    <t>Shay Zangi Dasht, District Kech</t>
  </si>
  <si>
    <t>7213 -B</t>
  </si>
  <si>
    <t>Faisal s/o Ghulam Habib</t>
  </si>
  <si>
    <t>Jungle Bazar Dasht, District Kech</t>
  </si>
  <si>
    <t>Tehsildar, Turbat District Kech appeared before the Commission on 30.03.2021 at Quetta and submitted verification certificate confirming that Salman s/o Swali has returned home.</t>
  </si>
  <si>
    <t>7214 -B</t>
  </si>
  <si>
    <t>Traced Person. Naib Tehsildar, District Kech appeared before the Commission on 02.04.2021 at Quetta and submitted verification certificate confirming that Dr. Allah Bakhsh has returned home.</t>
  </si>
  <si>
    <t>7215 -B</t>
  </si>
  <si>
    <t>Abid s/o Hamid</t>
  </si>
  <si>
    <t>7216 -B</t>
  </si>
  <si>
    <t>Mukhtar s/o Haji Ibrahim</t>
  </si>
  <si>
    <t>7217 -B</t>
  </si>
  <si>
    <t>Waheed s/o Babo</t>
  </si>
  <si>
    <t>Zor Bazar, Turbat, District Kech</t>
  </si>
  <si>
    <t>7218 -B</t>
  </si>
  <si>
    <t>Ikhlaq s/o Saleh</t>
  </si>
  <si>
    <t>Traced Person. Naib Tehsildar, District Kech appeared before the Commission on 02.04.2021 at Quetta and submitted verification certificate confirming that Ikhlaq s/o Saleh has returned home.</t>
  </si>
  <si>
    <t>7219 -B</t>
  </si>
  <si>
    <t>Saleem s/o Babo</t>
  </si>
  <si>
    <t>7220 -B</t>
  </si>
  <si>
    <t>Shakeel s/o Pirak</t>
  </si>
  <si>
    <t>7221 -B</t>
  </si>
  <si>
    <t>Kamal s/o Murad</t>
  </si>
  <si>
    <t>Darchko Dasht, District Kech</t>
  </si>
  <si>
    <t>7222 -B</t>
  </si>
  <si>
    <t>Qambar s/o Nabi Bakhsh</t>
  </si>
  <si>
    <t>7223 -B</t>
  </si>
  <si>
    <t>Haider s/o Ghulam Shah</t>
  </si>
  <si>
    <t>7224 -B</t>
  </si>
  <si>
    <t>Qadir Dad s/o Ismail</t>
  </si>
  <si>
    <t>Traced Person. Naib Tehsildar, District Kech appeared before the Commission on 02.04.2021 at Quetta and submitted verification certificate confirming that Qadir Dad s/o Ismail has returned home.</t>
  </si>
  <si>
    <t>7225 -B</t>
  </si>
  <si>
    <t>Latif Mulla s/o Khalil</t>
  </si>
  <si>
    <t>Traced Person. Naib Tehsildar, District Kech appeared before the Commission on 02.04.2021 at Quetta and submitted verification certificate confirming that Latif Mulla s/o Khalil has returned home.</t>
  </si>
  <si>
    <t>7226 -B</t>
  </si>
  <si>
    <t>Wahid s/o Faqeer</t>
  </si>
  <si>
    <t>7227 -B</t>
  </si>
  <si>
    <t>Shamim d/o Saleh Muhammad</t>
  </si>
  <si>
    <t>Bolo Mand, District Kech</t>
  </si>
  <si>
    <t>7228 -B</t>
  </si>
  <si>
    <t>Wahab s/o Saleh Muhammad</t>
  </si>
  <si>
    <t>7229 -B</t>
  </si>
  <si>
    <t>Babo s/o Usman</t>
  </si>
  <si>
    <t>7230 -B</t>
  </si>
  <si>
    <t>Nadil s/o Jan Muhammad</t>
  </si>
  <si>
    <t>Mazan Band District Kech</t>
  </si>
  <si>
    <t>Traced Person. Naib Tehsildar, District Kech appeared before the Commission on 02.04.2021 at Quetta and submitted verification certificate confirming that Nadil s/o Jan Muhammad has returned home.</t>
  </si>
  <si>
    <t>7231 -B</t>
  </si>
  <si>
    <t>Baloch Khan</t>
  </si>
  <si>
    <t>Kohe Murad, Turbad, District Kech</t>
  </si>
  <si>
    <t>7232 -B</t>
  </si>
  <si>
    <t>Bakhsh</t>
  </si>
  <si>
    <t>Kech</t>
  </si>
  <si>
    <t>7233 -B</t>
  </si>
  <si>
    <t>Kifa</t>
  </si>
  <si>
    <t>7234 -B</t>
  </si>
  <si>
    <t>Fahad s/o Nizar</t>
  </si>
  <si>
    <t>7235 -B</t>
  </si>
  <si>
    <t>Wajo</t>
  </si>
  <si>
    <t>7236 -B</t>
  </si>
  <si>
    <t>Shaho</t>
  </si>
  <si>
    <t>7237 -B</t>
  </si>
  <si>
    <t>Shahab</t>
  </si>
  <si>
    <t>7238 -B</t>
  </si>
  <si>
    <t>Alfeyaz s/o Shambay</t>
  </si>
  <si>
    <t>7239 -B</t>
  </si>
  <si>
    <t>Hanif s/o Fazal</t>
  </si>
  <si>
    <t>7240 -B</t>
  </si>
  <si>
    <t>Mutlib s/o Muhammad</t>
  </si>
  <si>
    <t>Gohrag Bhag Dasht, District Kech</t>
  </si>
  <si>
    <t>7241 -B</t>
  </si>
  <si>
    <t>Salah s/o Fateh Muhammad</t>
  </si>
  <si>
    <t>7242 -B</t>
  </si>
  <si>
    <t>Babul Shay s/o Muhammad Bakhsh</t>
  </si>
  <si>
    <t>170/04/2017</t>
  </si>
  <si>
    <t>7243 -B</t>
  </si>
  <si>
    <t>Majid s/o Faqeer</t>
  </si>
  <si>
    <t>Khushkabad Tump, District Kech</t>
  </si>
  <si>
    <t>7244 -B</t>
  </si>
  <si>
    <t>Abbas s/o Shah Sawar</t>
  </si>
  <si>
    <t>Dizdar, Dasht, District Kech</t>
  </si>
  <si>
    <t>7245 -B</t>
  </si>
  <si>
    <t>Sabir s/o Haji Muhammad</t>
  </si>
  <si>
    <t>Domb Dasht, District Kech</t>
  </si>
  <si>
    <t>7246 -B</t>
  </si>
  <si>
    <t>Akbar s/o Jumma</t>
  </si>
  <si>
    <t>Kaleera Dasht, District Kech</t>
  </si>
  <si>
    <t>7247 -B</t>
  </si>
  <si>
    <t>Saki s/o Nadil</t>
  </si>
  <si>
    <t>7248 -B</t>
  </si>
  <si>
    <t>Salmi s/o Ayub</t>
  </si>
  <si>
    <t>Traced Person. Naib Tehsildar, District Kech appeared before the Commission on 02.04.2021 at Quetta and submitted verification certificate confirming that Salim s/o Ayub has returned home.</t>
  </si>
  <si>
    <t>7249 -B</t>
  </si>
  <si>
    <t>Shugrullah s/o Ahmed</t>
  </si>
  <si>
    <t>7250 -B</t>
  </si>
  <si>
    <t>Ghulab s/o Bohair</t>
  </si>
  <si>
    <t>7251 -B</t>
  </si>
  <si>
    <t>Bahar Baloch s/o Allah Bakhsh</t>
  </si>
  <si>
    <t>7252 -B</t>
  </si>
  <si>
    <t>Ibrahim s/o Adam</t>
  </si>
  <si>
    <t>7253 -B</t>
  </si>
  <si>
    <t>Tariq s/o Haji Muhammad Kareem</t>
  </si>
  <si>
    <t>Koshkalat, District Kech</t>
  </si>
  <si>
    <t>7254 -B</t>
  </si>
  <si>
    <t>Shareef Tedi</t>
  </si>
  <si>
    <t>7255 -B</t>
  </si>
  <si>
    <t>Majid s/o Ibrahim</t>
  </si>
  <si>
    <t>7256 -B</t>
  </si>
  <si>
    <t>Ubaid s/o Abdul Rehman</t>
  </si>
  <si>
    <t>Cher Bazar Malant, District Kech</t>
  </si>
  <si>
    <t>7257 -B</t>
  </si>
  <si>
    <t>Hameed s/o Sayad</t>
  </si>
  <si>
    <t>7258 -B</t>
  </si>
  <si>
    <t>Ali s/o Pendok</t>
  </si>
  <si>
    <t>7259 -B</t>
  </si>
  <si>
    <t>Barkat s/o Abdul Rehman</t>
  </si>
  <si>
    <t>7260 -B</t>
  </si>
  <si>
    <t>Younis s/o Hassan</t>
  </si>
  <si>
    <t>7261 -B</t>
  </si>
  <si>
    <t>Yasir s/o Ali</t>
  </si>
  <si>
    <t>7262 -B</t>
  </si>
  <si>
    <t>Hameed s/o Abdul Rehman</t>
  </si>
  <si>
    <t>7263 -B</t>
  </si>
  <si>
    <t>Dad Shah</t>
  </si>
  <si>
    <t>Pullabad Tump, District Kech</t>
  </si>
  <si>
    <t>7264 -B</t>
  </si>
  <si>
    <t>Barkat</t>
  </si>
  <si>
    <t>7265 -B</t>
  </si>
  <si>
    <t>Muhammad Aslam</t>
  </si>
  <si>
    <t>7266 -B</t>
  </si>
  <si>
    <t>Mulla Bakhsh</t>
  </si>
  <si>
    <t>7267 -B</t>
  </si>
  <si>
    <t>Nazir s/o Ismail</t>
  </si>
  <si>
    <t>7268 -B</t>
  </si>
  <si>
    <t>Zahid s/o Dad Shah</t>
  </si>
  <si>
    <t>7269 -B</t>
  </si>
  <si>
    <t>Majid s/o Rasheed</t>
  </si>
  <si>
    <t>7270 -B</t>
  </si>
  <si>
    <t>Jan Muhammad</t>
  </si>
  <si>
    <t>7271 -B</t>
  </si>
  <si>
    <t>Zakir s/o Hakeem</t>
  </si>
  <si>
    <t>Nail Balgatar, District Kech</t>
  </si>
  <si>
    <t>7272 -B</t>
  </si>
  <si>
    <t>Sabzal s/o Dost Muhammad</t>
  </si>
  <si>
    <t>Peeran Basth Dasht , District Kech</t>
  </si>
  <si>
    <t>7273 -B</t>
  </si>
  <si>
    <t>Jabbar s/o Dost Muhammad</t>
  </si>
  <si>
    <t>7274 -B</t>
  </si>
  <si>
    <t>Asif s/o Dr.Sabir</t>
  </si>
  <si>
    <t>Turbat, District Kech</t>
  </si>
  <si>
    <t>7275 -B</t>
  </si>
  <si>
    <t>Rasheed</t>
  </si>
  <si>
    <t>Siyahi Dasht, District Kech</t>
  </si>
  <si>
    <t>7276 -B</t>
  </si>
  <si>
    <t>Baigul</t>
  </si>
  <si>
    <t>7277 -B</t>
  </si>
  <si>
    <t>Ijaz</t>
  </si>
  <si>
    <t>Nizarabad Tump, District Kech</t>
  </si>
  <si>
    <t>Traced Person. Naib Tehsildar, District Kech appeared before the Commission on 02.04.2021 at Quetta and submitted verification certificate confirming that Ijaz has returned home.</t>
  </si>
  <si>
    <t>7278 -B</t>
  </si>
  <si>
    <t>Sattar s/o Haji Rehmat</t>
  </si>
  <si>
    <t>Azyan Tump, District Kech</t>
  </si>
  <si>
    <t>7279 -B</t>
  </si>
  <si>
    <t>Hakeem s/o Piri</t>
  </si>
  <si>
    <t>Traced Person. Naib Tehsildar, District Kech appeared before the Commission on 02.04.2021 at Quetta and submitted verification certificate confirming that Hakeem s/o Piri has returned home.</t>
  </si>
  <si>
    <t>7280 -B</t>
  </si>
  <si>
    <t>Wajo s/o Rehmat Ullah</t>
  </si>
  <si>
    <t>Traced Person. Naib Tehsildar, District Kech appeared before the Commission on 02.04.2021 at Quetta and submitted verification certificate confirming that Wajo s/o Rehmat Ullah has returned home.</t>
  </si>
  <si>
    <t>7281 -B</t>
  </si>
  <si>
    <t>Ibrahim s/o Haji Hayatan</t>
  </si>
  <si>
    <t>Sholig Dasht, District Kech</t>
  </si>
  <si>
    <t>Traced Person. Naib Tehsildar, District Kech appeared before the Commission on 02.04.2021 at Quetta and submitted verification certificate confirming that Ibrahim s/o Haji Hayatan Ullah has returned home.</t>
  </si>
  <si>
    <t>7282 -B</t>
  </si>
  <si>
    <t>Tapuk s/o Ibrahim</t>
  </si>
  <si>
    <t>Kocha, District Kech</t>
  </si>
  <si>
    <t>7283 -B</t>
  </si>
  <si>
    <t>Ameer Jan s/o Tapuk</t>
  </si>
  <si>
    <t>7284 -B</t>
  </si>
  <si>
    <t>Shah Dad s/o Niaz</t>
  </si>
  <si>
    <t>7285 -B</t>
  </si>
  <si>
    <t>Madiyan</t>
  </si>
  <si>
    <t>Asiabad Tump, District Kech</t>
  </si>
  <si>
    <t>7286 -B</t>
  </si>
  <si>
    <t>Nizam</t>
  </si>
  <si>
    <t>7287 -B</t>
  </si>
  <si>
    <t>Farooq s/o Khalid</t>
  </si>
  <si>
    <t>Traced Person. Naib Tehsildar, District Kech appeared before the Commission on 02.04.2021 at Quetta and submitted verification certificate confirming that Farooq s/o Khalid has returned home.</t>
  </si>
  <si>
    <t>7288 -B</t>
  </si>
  <si>
    <t>Hayat s/o Hashim</t>
  </si>
  <si>
    <t>7289 -B</t>
  </si>
  <si>
    <t>Wahid s/o Dad Raheem</t>
  </si>
  <si>
    <t>Kalsar Dasht, District Kech</t>
  </si>
  <si>
    <t>7290 -B</t>
  </si>
  <si>
    <t>Dad Dost s/o Muhammad Bakhsh</t>
  </si>
  <si>
    <t>Traced Person. Naib Tehsildar, District Kech appeared before the Commission on 02.04.2021 at Quetta and submitted verification certificate confirming that Dad Dost s/o Muhamamd Bakhsh has returned home.</t>
  </si>
  <si>
    <t>7291 -B</t>
  </si>
  <si>
    <t>Haji Waheed</t>
  </si>
  <si>
    <t>7292 -B</t>
  </si>
  <si>
    <t>Masoor</t>
  </si>
  <si>
    <t>7293 -B</t>
  </si>
  <si>
    <t>Ghani s/o Faqir Muhammad</t>
  </si>
  <si>
    <t>7294 -B</t>
  </si>
  <si>
    <t>Sameer s/o Pashambay</t>
  </si>
  <si>
    <t>Traced Person. Naib Tehsildar, District Kech appeared before the Commission on 02.04.2021 at Quetta and submitted verification certificate confirming that Sameer s/o Pashambay has returned home.</t>
  </si>
  <si>
    <t>7295 -B</t>
  </si>
  <si>
    <t>Asghar</t>
  </si>
  <si>
    <t>7296 -B</t>
  </si>
  <si>
    <t>Jango s/o Ghani</t>
  </si>
  <si>
    <t>Balicha Tump, District Kech</t>
  </si>
  <si>
    <t>7297 -B</t>
  </si>
  <si>
    <t>Muhaib s/o Jangiyan</t>
  </si>
  <si>
    <t>Nowano Zamuran, District Kech</t>
  </si>
  <si>
    <t>7298 -B</t>
  </si>
  <si>
    <t>Mulla s/o Muhammad Bakhsh</t>
  </si>
  <si>
    <t>7299 -B</t>
  </si>
  <si>
    <t>Qasim s/o Pullan</t>
  </si>
  <si>
    <t>7300 -B</t>
  </si>
  <si>
    <t>Gazeer</t>
  </si>
  <si>
    <t>Traced Person. Naib Tehsildar, District Kech appeared before the Commission on 02.04.2021 at Quetta and submitted verification certificate confirming that Gazeer has returned home.</t>
  </si>
  <si>
    <t>7301 -B</t>
  </si>
  <si>
    <t>Muhammad Raheem s/o Shay Muhammad</t>
  </si>
  <si>
    <t>Hasadeeg Dasht, District Kech</t>
  </si>
  <si>
    <t>Traced Person. Naib Tehsildar, District Kech appeared before the Commission on 02.04.2021 at Quetta and submitted verification certificate confirming that Muhammad Raheem s/o Shay Muhammad has returned home.</t>
  </si>
  <si>
    <t>7302 -B</t>
  </si>
  <si>
    <t>Yasir s/o Abdullah</t>
  </si>
  <si>
    <t>Traced Person. Naib Tehsildar, District Kech appeared before the Commission on 02.04.2021 at Quetta and submitted verification certificate confirming that Yasir s/o Abdullah has returned home.</t>
  </si>
  <si>
    <t>7303 -B</t>
  </si>
  <si>
    <t>Niaz s/o Dost Muhammad</t>
  </si>
  <si>
    <t>7304 -B</t>
  </si>
  <si>
    <t>Faisal s/o Wahid</t>
  </si>
  <si>
    <t>7305 -B</t>
  </si>
  <si>
    <t>Baqi s/o Mussa</t>
  </si>
  <si>
    <t>Gokdan Turbat, District Kech</t>
  </si>
  <si>
    <t>7306 -B</t>
  </si>
  <si>
    <t>Adnan s/o Liaqat</t>
  </si>
  <si>
    <t>Menaz Buleda, District Kech</t>
  </si>
  <si>
    <t>7307 -B</t>
  </si>
  <si>
    <t>Hamid s/o Aslam</t>
  </si>
  <si>
    <t>Dannuk, District Kech</t>
  </si>
  <si>
    <t>7308 -B</t>
  </si>
  <si>
    <t>Shafiq s/o Sarddok</t>
  </si>
  <si>
    <t>Shahrak, District Kech</t>
  </si>
  <si>
    <t>7309 -B</t>
  </si>
  <si>
    <t>Rauf s/o Abdul Ghafor</t>
  </si>
  <si>
    <t>Bullo Mand, District Kech</t>
  </si>
  <si>
    <t>7310 -B</t>
  </si>
  <si>
    <t>Ameer Khan s/o Abdul Majeed</t>
  </si>
  <si>
    <t>Jat Kolwah, District Kech</t>
  </si>
  <si>
    <t>7311 -B</t>
  </si>
  <si>
    <t>Miraj s/o Muhammad Ali</t>
  </si>
  <si>
    <t>7312 -B</t>
  </si>
  <si>
    <t>Hakeem s/o Jumma</t>
  </si>
  <si>
    <t>7313 -B</t>
  </si>
  <si>
    <t>Zubair s/o Haji Sattar</t>
  </si>
  <si>
    <t>7314 -B</t>
  </si>
  <si>
    <t>Waheed s/o Shay Nizar Muhammad</t>
  </si>
  <si>
    <t>Goburd Mand, District Kech</t>
  </si>
  <si>
    <t>7315 -B</t>
  </si>
  <si>
    <t>Jabbar s/o Muhammad Ali</t>
  </si>
  <si>
    <t>7316 -B</t>
  </si>
  <si>
    <t>Shakeel s/o Hamza</t>
  </si>
  <si>
    <t>7317 -B</t>
  </si>
  <si>
    <t>Bahad Baloch s/o Azum</t>
  </si>
  <si>
    <t>Damb Hoshab, District Kech</t>
  </si>
  <si>
    <t>7318 -B</t>
  </si>
  <si>
    <t>Phullan s/o Ameer</t>
  </si>
  <si>
    <t>7319 -B</t>
  </si>
  <si>
    <t>Habib Ullah s/o Anwar</t>
  </si>
  <si>
    <t>7320 -B</t>
  </si>
  <si>
    <t>Wajo Roziq s/o Dad Rahim</t>
  </si>
  <si>
    <t>7321 -B</t>
  </si>
  <si>
    <t>Taufiq s/o Rafiq</t>
  </si>
  <si>
    <t>Traced Person. Naib Tehsildar, District Kech appeared before the Commission on 02.04.2021 at Quetta and submitted verification certificate confirming that Taufiq s/o Rafiq has returned home.</t>
  </si>
  <si>
    <t>7322 -B</t>
  </si>
  <si>
    <t>Hakim s/o Ibrahim</t>
  </si>
  <si>
    <t>Malant Tump, District Kech</t>
  </si>
  <si>
    <t>7323 -B</t>
  </si>
  <si>
    <t>Atif s/o Dad Muhammad</t>
  </si>
  <si>
    <t>7324 -B</t>
  </si>
  <si>
    <t>Lala Mobin s/o Abdul Majeed</t>
  </si>
  <si>
    <t>7325 -B</t>
  </si>
  <si>
    <t>Huzor s/o Haji Noor Bakhsh</t>
  </si>
  <si>
    <t>7326 -B</t>
  </si>
  <si>
    <t>Changeez s/o Ali Bakhsh</t>
  </si>
  <si>
    <t>Gandhcgai Kolwah, District Kech</t>
  </si>
  <si>
    <t>7327 -B</t>
  </si>
  <si>
    <t>Naeem</t>
  </si>
  <si>
    <t>Gardaank Bukeda, District Kech</t>
  </si>
  <si>
    <t>7328 -B</t>
  </si>
  <si>
    <t>Samand s/o Atta Muhammad</t>
  </si>
  <si>
    <t>7329 -B</t>
  </si>
  <si>
    <t>Zahid</t>
  </si>
  <si>
    <t>7330 -B</t>
  </si>
  <si>
    <t>Dil Murad s/o Qadir Dad</t>
  </si>
  <si>
    <t>Malikabad Tump, District Kech</t>
  </si>
  <si>
    <t>7331 -B</t>
  </si>
  <si>
    <t>Sarfraz</t>
  </si>
  <si>
    <t>7332 -B</t>
  </si>
  <si>
    <t>Nadeem s/o Hasil Khan</t>
  </si>
  <si>
    <t>7333 -B</t>
  </si>
  <si>
    <t>Muhammad Noor</t>
  </si>
  <si>
    <t>7334 -B</t>
  </si>
  <si>
    <t>Hanif s/o Faqir</t>
  </si>
  <si>
    <t>7335 -B</t>
  </si>
  <si>
    <t>Bahad s/o Nazir</t>
  </si>
  <si>
    <t>Traced Person. Naib Tehsildar, District Kech appeared before the Commission on 02.04.2021 at Quetta and submitted verification certificate confirming that Bahad s/o Nazir has returned home.</t>
  </si>
  <si>
    <t>7336 -B</t>
  </si>
  <si>
    <t>Sajid Murad</t>
  </si>
  <si>
    <t>Shapuk Tubrat, District Kech</t>
  </si>
  <si>
    <t>7337 -B</t>
  </si>
  <si>
    <t>Farooq s/o Ilyas</t>
  </si>
  <si>
    <t>Dazin Tump, District Kech</t>
  </si>
  <si>
    <t>7338 -B</t>
  </si>
  <si>
    <t>Rizwan s/o Zareef</t>
  </si>
  <si>
    <t>7339 -B</t>
  </si>
  <si>
    <t>Ubaid s/o Miya</t>
  </si>
  <si>
    <t>7340 -B</t>
  </si>
  <si>
    <t>Nadil s/o Faiz Muhammad</t>
  </si>
  <si>
    <t>Balnegwar Dasht, District Kech</t>
  </si>
  <si>
    <t>7341 -B</t>
  </si>
  <si>
    <t>Hassan s/o Pindok</t>
  </si>
  <si>
    <t>Jattani Bazar, Dasht, District Kech</t>
  </si>
  <si>
    <t>7342 -B</t>
  </si>
  <si>
    <t>Aman s/o Jalal Khan</t>
  </si>
  <si>
    <t>7343 -B</t>
  </si>
  <si>
    <t>Sattar s/o Ellahi Bakhsh</t>
  </si>
  <si>
    <t>7344 -B</t>
  </si>
  <si>
    <t>Ilyas s/o Elahi Bakhsh</t>
  </si>
  <si>
    <t>Srinkin Tump, District Kech</t>
  </si>
  <si>
    <t>7345 -B</t>
  </si>
  <si>
    <t>Ibrahim s/o Raim Bakhsh</t>
  </si>
  <si>
    <t>7346 -B</t>
  </si>
  <si>
    <t>Naseen s/o Pashambady</t>
  </si>
  <si>
    <t>7347 -B</t>
  </si>
  <si>
    <t>Miran Baloch</t>
  </si>
  <si>
    <t>Shand, District Kech</t>
  </si>
  <si>
    <t>7348 -B</t>
  </si>
  <si>
    <t>Assa s/o Jumma</t>
  </si>
  <si>
    <t>Kashap, District Kech</t>
  </si>
  <si>
    <t>7349 -B</t>
  </si>
  <si>
    <t>Miskaan s/o Muhammad Roth</t>
  </si>
  <si>
    <t>7350 -B</t>
  </si>
  <si>
    <t>Traced Person. Naib Tehsildar, District Kech appeared before the Commission on 02.04.2021 at Quetta and submitted verification certificate confirming that Shaho has returned home.</t>
  </si>
  <si>
    <t>7351 -B</t>
  </si>
  <si>
    <t>Waji</t>
  </si>
  <si>
    <t>Traced Person. Naib Tehsildar, District Kech appeared before the Commission on 02.04.2021 at Quetta and submitted verification certificate confirming that Waji has returned home.</t>
  </si>
  <si>
    <t>7352 -B</t>
  </si>
  <si>
    <t>Karim</t>
  </si>
  <si>
    <t>Gardaank Buleda, District Kech</t>
  </si>
  <si>
    <t>7353 -B</t>
  </si>
  <si>
    <t>Baso</t>
  </si>
  <si>
    <t>04/085/2017</t>
  </si>
  <si>
    <t>7354 -B</t>
  </si>
  <si>
    <t>Mol Jan s/o Murad Jan</t>
  </si>
  <si>
    <t>Peerotag Dash, Dsistrict Kech</t>
  </si>
  <si>
    <t>7355 -B</t>
  </si>
  <si>
    <t>Amjad s/o Karim Dad</t>
  </si>
  <si>
    <t>Talukan Tump, District Kech</t>
  </si>
  <si>
    <t>7356 -B</t>
  </si>
  <si>
    <t>Rashid s/o Khuda Bakhsh</t>
  </si>
  <si>
    <t>7357 -B</t>
  </si>
  <si>
    <t>Muhammad Amin</t>
  </si>
  <si>
    <t>Traced Person. Naib Tehsildar, District Kech appeared before the Commission on 02.04.2021 at Quetta and submitted verification certificate confirming that Muhammad Amin has returned home.</t>
  </si>
  <si>
    <t>7358 -B</t>
  </si>
  <si>
    <t>Haji Ali Muhammad s/o Hassan</t>
  </si>
  <si>
    <t>Shay Seechi Dasht, District Kech</t>
  </si>
  <si>
    <t>Traced Person. Naib Tehsildar, District Kech appeared before the Commission on 02.04.2021 at Quetta and submitted verification certificate confirming that Haji Ali Muhammad s/o Hassan has returned home.</t>
  </si>
  <si>
    <t>7359 -B</t>
  </si>
  <si>
    <t>Riaz s/o Razai</t>
  </si>
  <si>
    <t>Balochi Bazar, Absor Turbat, District Kech</t>
  </si>
  <si>
    <t>7360 -B</t>
  </si>
  <si>
    <t>Qasum</t>
  </si>
  <si>
    <t>7361 -B</t>
  </si>
  <si>
    <t>Syed Muhammad</t>
  </si>
  <si>
    <t>7362 -B</t>
  </si>
  <si>
    <t>Adnan s/o Ali Muhammad</t>
  </si>
  <si>
    <t>Traced Person. Naib Tehsildar, District Kech appeared before the Commission on 02.04.2021 at Quetta and submitted verification certificate confirming that Adnan s/o Ali Muhammad has returned home.</t>
  </si>
  <si>
    <t>7363 -B</t>
  </si>
  <si>
    <t>Zafar s/o Razai</t>
  </si>
  <si>
    <t>7364 -B</t>
  </si>
  <si>
    <t>Rajish s/o Rahim Bakhsh</t>
  </si>
  <si>
    <t>7365 -B</t>
  </si>
  <si>
    <t>Nadeem</t>
  </si>
  <si>
    <t>7366 -B</t>
  </si>
  <si>
    <t>Shahrag Bolan, District Kech</t>
  </si>
  <si>
    <t>7367 -B</t>
  </si>
  <si>
    <t>Irshad s/o Mussa</t>
  </si>
  <si>
    <t>Absor, Turbat, District Kech</t>
  </si>
  <si>
    <t>7368 -B</t>
  </si>
  <si>
    <t>Rajab s/o Abdul Rehman</t>
  </si>
  <si>
    <t>7369 -B</t>
  </si>
  <si>
    <t>Yaqoob s/o Dost Muhammad</t>
  </si>
  <si>
    <t>7370 -B</t>
  </si>
  <si>
    <t>Sakhi Dad</t>
  </si>
  <si>
    <t>7371 -B</t>
  </si>
  <si>
    <t>Akbar</t>
  </si>
  <si>
    <t>7372 -B</t>
  </si>
  <si>
    <t>Rashid s/o Bahram</t>
  </si>
  <si>
    <t>Sebdan Dasht, District Kech</t>
  </si>
  <si>
    <t>7373 -B</t>
  </si>
  <si>
    <t>Ali s/o Murad Muhammad Pahlwadn</t>
  </si>
  <si>
    <t>7374 -B</t>
  </si>
  <si>
    <t>Bait Ullah</t>
  </si>
  <si>
    <t>7375 -B</t>
  </si>
  <si>
    <t>Nabeel s/o Wajdad</t>
  </si>
  <si>
    <t>7376 -B</t>
  </si>
  <si>
    <t>Shah Meer</t>
  </si>
  <si>
    <t>Gark Dasht, District Kech</t>
  </si>
  <si>
    <t>7377 -B</t>
  </si>
  <si>
    <t>Waris s/o Ghafoor</t>
  </si>
  <si>
    <t>Traced Person. Naib Tehsildar, District Kech appeared before the Commission on 02.04.2021 at Quetta and submitted verification certificate confirming that Waris s/o Ghafoor has returned home.</t>
  </si>
  <si>
    <t>7378 -B</t>
  </si>
  <si>
    <t>Hamid s/o Rasheed</t>
  </si>
  <si>
    <t>7379 -B</t>
  </si>
  <si>
    <t>Zakir s/o Khan Muhammad</t>
  </si>
  <si>
    <t>7380 -B</t>
  </si>
  <si>
    <t>Hammal s/o Khan Muhammad</t>
  </si>
  <si>
    <t>Rek Kahkeerin Dasht, District Kech</t>
  </si>
  <si>
    <t>7381 -B</t>
  </si>
  <si>
    <t>Khan Muhammad</t>
  </si>
  <si>
    <t>7382 -B</t>
  </si>
  <si>
    <t>Murad Jan s/o Gul Muhammad</t>
  </si>
  <si>
    <t>7383 -B</t>
  </si>
  <si>
    <t>Mohaib s/o Khan Muhammad</t>
  </si>
  <si>
    <t>7384 -B</t>
  </si>
  <si>
    <t>Sabir s/o Azim</t>
  </si>
  <si>
    <t>Kocho Dasht, District Kech</t>
  </si>
  <si>
    <t>7385 -B</t>
  </si>
  <si>
    <t>Hanif s/o Faiz Muhammad</t>
  </si>
  <si>
    <t>7386 -B</t>
  </si>
  <si>
    <t>Sakim s/o Ali Murad</t>
  </si>
  <si>
    <t>7387 -B</t>
  </si>
  <si>
    <t>Hakeem s/o Yaqoob</t>
  </si>
  <si>
    <t>7388 -B</t>
  </si>
  <si>
    <t>Kaleer s/o Inam Bakhsh</t>
  </si>
  <si>
    <t>Kuros tank, Dasht, District Kech</t>
  </si>
  <si>
    <t>7389 -B</t>
  </si>
  <si>
    <t>Dilpul s/o Dill</t>
  </si>
  <si>
    <t>Traced Person. Naib Tehsildar, District Kech appeared before the Commission on 02.04.2021 at Quetta and submitted verification certificate confirming that Dilpul s/o Dil has returned home.</t>
  </si>
  <si>
    <t>7390 -B</t>
  </si>
  <si>
    <t>Khalil</t>
  </si>
  <si>
    <t>Jammak Dasht, District Kech</t>
  </si>
  <si>
    <t>Traced Person. Naib Tehsildar, District Kech appeared before the Commission on 02.04.2021 at Quetta and submitted verification certificate confirming that Khalil has returned home.</t>
  </si>
  <si>
    <t>7391 -B</t>
  </si>
  <si>
    <t>Muhim s/o Ali Muhammad</t>
  </si>
  <si>
    <t>Kashaap Dasht, District Kech</t>
  </si>
  <si>
    <t>7392 -B</t>
  </si>
  <si>
    <t>Abdullah s/o Sher Muhammad</t>
  </si>
  <si>
    <t>7393 -B</t>
  </si>
  <si>
    <t>Abdullah s/o Saeed</t>
  </si>
  <si>
    <t>New Town Gawadar, District Kech</t>
  </si>
  <si>
    <t>7394 -B</t>
  </si>
  <si>
    <t>Saddam s/o Elahi Bakhsh</t>
  </si>
  <si>
    <t>Traced Person. Naib Tehsildar, District Kech appeared before the Commission on 02.04.2021 at Quetta and submitted verification certificate confirming that Saddam s/o Elahi Bakhsh has returned home.</t>
  </si>
  <si>
    <t>7395 -B</t>
  </si>
  <si>
    <t>Ahmed s/o Abdul Kareem</t>
  </si>
  <si>
    <t>Traced Person. Naib Tehsildar, District Kech appeared before the Commission on 02.04.2021 at Quetta and submitted verification certificate confirming that Ahmed s/o Abdul Kareem has returned home.</t>
  </si>
  <si>
    <t>7396 -B</t>
  </si>
  <si>
    <t>Abid s/o Rasheed</t>
  </si>
  <si>
    <t>7397 -B</t>
  </si>
  <si>
    <t>Shareef s/o Ababagar</t>
  </si>
  <si>
    <t>Nokain Kahn Mand, District Kech</t>
  </si>
  <si>
    <t>7398 -B</t>
  </si>
  <si>
    <t>Sabir Mulla s/o Muhammad</t>
  </si>
  <si>
    <t>Kaleero Damb Dasht, District Kech</t>
  </si>
  <si>
    <t>7399 -B</t>
  </si>
  <si>
    <t>Qadir Bakhsh s/o Durra</t>
  </si>
  <si>
    <t>7400 -B</t>
  </si>
  <si>
    <t>Hashim s/o Khan Muhammad</t>
  </si>
  <si>
    <t>7401 -B</t>
  </si>
  <si>
    <t>Iqbal s/o Muhammad</t>
  </si>
  <si>
    <t>14/2017</t>
  </si>
  <si>
    <t>District Kech</t>
  </si>
  <si>
    <t>7402 -B</t>
  </si>
  <si>
    <t>Gazeen s/o Abu Bakar Gazzozai</t>
  </si>
  <si>
    <t>7403 -B</t>
  </si>
  <si>
    <t>Sabir s/o Shah Dost</t>
  </si>
  <si>
    <t>7404 -B</t>
  </si>
  <si>
    <t>Zahid s/o Qadir</t>
  </si>
  <si>
    <t>7405 -B</t>
  </si>
  <si>
    <t>Ghaffar s/o Gazzi</t>
  </si>
  <si>
    <t>Traced Person. Naib Tehsildar, District Kech appeared before the Commission on 02.04.2021 at Quetta and submitted verification certificate confirming that Ghaffar s/o Gazzi has returned home.</t>
  </si>
  <si>
    <t>7406 -B</t>
  </si>
  <si>
    <t>Mulla Saleem s/o Khan Muhammad</t>
  </si>
  <si>
    <t>7407 -B</t>
  </si>
  <si>
    <t>Barkat Khan s/o Ahmed Khan</t>
  </si>
  <si>
    <t>Traced Person. Naib Tehsildar, District Kech appeared before the Commission on 02.04.2021 at Quetta and submitted verification certificate confirming that Barkat Khan s/o Ahmed Khan has returned home.</t>
  </si>
  <si>
    <t>7408 -B</t>
  </si>
  <si>
    <t>Nizar s/o Jumma</t>
  </si>
  <si>
    <t>7409 -B</t>
  </si>
  <si>
    <t>Hafeez s/o Mola Dad</t>
  </si>
  <si>
    <t>Pirrotag Dasht, District Kech</t>
  </si>
  <si>
    <t>7410 -B</t>
  </si>
  <si>
    <t>Hafeez s/o Peer Muhammad</t>
  </si>
  <si>
    <t>7411 -B</t>
  </si>
  <si>
    <t>Baig Muhammad s/o Qadir Bakhsh</t>
  </si>
  <si>
    <t>7412 -B</t>
  </si>
  <si>
    <t>Miras s/o Baig Muhammad</t>
  </si>
  <si>
    <t>7413 -B</t>
  </si>
  <si>
    <t>Abdullah s/o Muhammad</t>
  </si>
  <si>
    <t>7414 -B</t>
  </si>
  <si>
    <t>Waleed s/o Saeed Seth</t>
  </si>
  <si>
    <t>7415 -B</t>
  </si>
  <si>
    <t>Madno s/o Saleem</t>
  </si>
  <si>
    <t>7416 -B</t>
  </si>
  <si>
    <t>Atta Ullah s/o Mayar</t>
  </si>
  <si>
    <t>7417 -B</t>
  </si>
  <si>
    <t>Asad s/o Nazir</t>
  </si>
  <si>
    <t>Mehnaz Buleda, District Kech</t>
  </si>
  <si>
    <t>7418 -B</t>
  </si>
  <si>
    <t>Qasim s/o Umait</t>
  </si>
  <si>
    <t>7419 -B</t>
  </si>
  <si>
    <t>Zahoor s/o Wahid</t>
  </si>
  <si>
    <t>7420 -B</t>
  </si>
  <si>
    <t>Wajo Sayad s/o Masood</t>
  </si>
  <si>
    <t>7421 -B</t>
  </si>
  <si>
    <t>Anwar</t>
  </si>
  <si>
    <t>7422 -B</t>
  </si>
  <si>
    <t>Naseer s/o Noor Muhammad</t>
  </si>
  <si>
    <t>7423 -B</t>
  </si>
  <si>
    <t>Badal s/o Khuda Bakhsh</t>
  </si>
  <si>
    <t>Peeri Bazar, Kapakapar Dasht, District Kech</t>
  </si>
  <si>
    <t>7424 -B</t>
  </si>
  <si>
    <t>Badar s/o Saleh Muhammad</t>
  </si>
  <si>
    <t>7425 -B</t>
  </si>
  <si>
    <t>Rustom s/o Ali Basham</t>
  </si>
  <si>
    <t>7426 -B</t>
  </si>
  <si>
    <t>Pullan s/o Allah Bakhsh</t>
  </si>
  <si>
    <t>7427 -B</t>
  </si>
  <si>
    <t>Altaf s/o Riaz Ahmed</t>
  </si>
  <si>
    <t>Suntey Sar Panjgor, District Kech</t>
  </si>
  <si>
    <t>7428 -B</t>
  </si>
  <si>
    <t>Mulla Bakhsh s/o Mehmood</t>
  </si>
  <si>
    <t>7429 -B</t>
  </si>
  <si>
    <t>Pasand s/o Ibrahim</t>
  </si>
  <si>
    <t>Soloni Guwarkop, District Kech</t>
  </si>
  <si>
    <t>7430 -B</t>
  </si>
  <si>
    <t>Haider s/o Shah Meer</t>
  </si>
  <si>
    <t>7431 -B</t>
  </si>
  <si>
    <t>Zabad s/o Dost Muhamamd</t>
  </si>
  <si>
    <t>7432 -B</t>
  </si>
  <si>
    <t>Hameed s/o Mehrab</t>
  </si>
  <si>
    <t>7433 -B</t>
  </si>
  <si>
    <t>Ghani s/o Master Liaquat</t>
  </si>
  <si>
    <t>Surag Damb Bazar, Dasht, District Kech</t>
  </si>
  <si>
    <t>7434 -B</t>
  </si>
  <si>
    <t>Arif s/o Rasool Bakhsh</t>
  </si>
  <si>
    <t>17/0/2017</t>
  </si>
  <si>
    <t>Bostan Pullabad Tump, District Kech</t>
  </si>
  <si>
    <t>Traced Person. Naib Tehsildar, District Kech appeared before the Commission on 02.04.2021 at Quetta and submitted verification certificate confirming that Arif s/o Rasool Bakhsh has returned home.</t>
  </si>
  <si>
    <t>7435 -B</t>
  </si>
  <si>
    <t>Naveed s/o Haji Abdul Rehman</t>
  </si>
  <si>
    <t>Solig Dasht, District Kech</t>
  </si>
  <si>
    <t>7436 -B</t>
  </si>
  <si>
    <t>Bashir s/o Haji Hamza</t>
  </si>
  <si>
    <t>Traced Person. Naib Tehsildar, District Kech appeared before the Commission on 02.04.2021 at Quetta and submitted verification certificate confirming that Bashir s/o Haji Hamza has returned home.</t>
  </si>
  <si>
    <t>7437 -B</t>
  </si>
  <si>
    <t>Saghir s/o Hasil</t>
  </si>
  <si>
    <t>Jatani Bazar, Gadduki Koh, District Kech</t>
  </si>
  <si>
    <t>7438 -B</t>
  </si>
  <si>
    <t>Nadeem s/o Ali Akbar</t>
  </si>
  <si>
    <t>7439 -B</t>
  </si>
  <si>
    <t>Mujeeb s/o Shambay</t>
  </si>
  <si>
    <t>7440 -B</t>
  </si>
  <si>
    <t>Rashid s/o Darvesh</t>
  </si>
  <si>
    <t>7441 -B</t>
  </si>
  <si>
    <t>Amjad s/o Jalal</t>
  </si>
  <si>
    <t>7442 -B</t>
  </si>
  <si>
    <t>Farooq s/o Muhammad Saleem</t>
  </si>
  <si>
    <t>7443 -B</t>
  </si>
  <si>
    <t>Yousaf s/o Sarwar</t>
  </si>
  <si>
    <t>7444 -B</t>
  </si>
  <si>
    <t>Dad Shah s/o Muneer</t>
  </si>
  <si>
    <t>7445 -B</t>
  </si>
  <si>
    <t>Zain s/o Babu</t>
  </si>
  <si>
    <t>7446 -B</t>
  </si>
  <si>
    <t>Waris</t>
  </si>
  <si>
    <t>Kohad Tump, District Kech</t>
  </si>
  <si>
    <t>Traced Person. Naib Tehsildar, District Kech appeared before the Commission on 02.04.2021 at Quetta and submitted verification certificate confirming that Waris has returned home.</t>
  </si>
  <si>
    <t>7447 -B</t>
  </si>
  <si>
    <t>Basham s/o Ismail</t>
  </si>
  <si>
    <t>Traced Person. Naib Tehsildar, District Kech appeared before the Commission on 02.04.2021 at Quetta and submitted verification certificate confirming that Basham s/o Ismail has returned home.</t>
  </si>
  <si>
    <t>7448 -B</t>
  </si>
  <si>
    <t>Tufail</t>
  </si>
  <si>
    <t>Traced Person. Naib Tehsildar, District Kech appeared before the Commission on 02.04.2021 at Quetta and submitted verification certificate confirming that Tufail has returned home.</t>
  </si>
  <si>
    <t>7449 -B</t>
  </si>
  <si>
    <t>Bilal Mulla s/o Haji Ghulam Rasool</t>
  </si>
  <si>
    <t>Traced Person. Naib Tehsildar, District Kech appeared before the Commission on 02.04.2021 at Quetta and submitted verification certificate confirming that Bilal Mulla s/o Haji Ghulam Rasool has returned home.</t>
  </si>
  <si>
    <t>7450 -B</t>
  </si>
  <si>
    <t>Wahag s/o Baiyan</t>
  </si>
  <si>
    <t>Kunari Kolwah, District Kech</t>
  </si>
  <si>
    <t>Traced Person. Naib Tehsildar, District Kech appeared before the Commission on 02.04.2021 at Quetta and submitted verification certificate confirming that Wahag s/o Baiyan has returned home.</t>
  </si>
  <si>
    <t>7451 -B</t>
  </si>
  <si>
    <t>Yousaf s/o Dawood Maulla</t>
  </si>
  <si>
    <t>Mand, District Kech</t>
  </si>
  <si>
    <t>Traced Person. Naib Tehsildar, District Kech appeared before the Commission on 02.04.2021 at Quetta and submitted verification certificate confirming that Yousaf s/o Dawood Maulla has returned home.</t>
  </si>
  <si>
    <t>7452 -B</t>
  </si>
  <si>
    <t>Qadir Bakhsh s/o Khair Muhammad</t>
  </si>
  <si>
    <t>7453 -B</t>
  </si>
  <si>
    <t>Shah Nawaz s/o Jalal Khan</t>
  </si>
  <si>
    <t>7454 -B</t>
  </si>
  <si>
    <t>Khalil s/o Faiz Muhammad</t>
  </si>
  <si>
    <t>7455 -B</t>
  </si>
  <si>
    <t>Sami Ullah s/o Bahar</t>
  </si>
  <si>
    <t>Kaur-e-Pusht Buleda, District Kech</t>
  </si>
  <si>
    <t>Traced Person. Naib Tehsildar, District Kech appeared before the Commission on 02.04.2021 at Quetta and submitted verification certificate confirming that Sami Ullah s/o Bahar has returned home.</t>
  </si>
  <si>
    <t>7456 -B</t>
  </si>
  <si>
    <t>Dur Muhammad s/o Ismail</t>
  </si>
  <si>
    <t>Kodan Dasht, District Kech</t>
  </si>
  <si>
    <t>Traced Person. Naib Tehsildar, District Kech appeared before the Commission on 02.04.2021 at Quetta and submitted verification certificate confirming that Dur Muhammad s/o Ismail has returned home.</t>
  </si>
  <si>
    <t>7457 -B</t>
  </si>
  <si>
    <t>Allah Bakhsh s/o Nugman</t>
  </si>
  <si>
    <t>Traced Person. Naib Tehsildar, District Kech appeared before the Commission on 02.04.2021 at Quetta and submitted verification certificate confirming that Allah Bakhsh s/o Nugman has returned home.</t>
  </si>
  <si>
    <t>7458 -B</t>
  </si>
  <si>
    <t>Badin s/o Suleman</t>
  </si>
  <si>
    <t>Traced Person. Naib Tehsildar, District Kech appeared before the Commission on 02.04.2021 at Quetta and submitted verification certificate confirming that Badin s/o Suleman has returned home.</t>
  </si>
  <si>
    <t>7459 -B</t>
  </si>
  <si>
    <t>Salim s/o Chakar</t>
  </si>
  <si>
    <t>Traced Person. Naib Tehsildar, District Kech appeared before the Commission on 02.04.2021 at Quetta and submitted verification certificate confirming that Salim s/o Chakar has returned home.</t>
  </si>
  <si>
    <t>7460 -B</t>
  </si>
  <si>
    <t>Phulen s/o Abbas</t>
  </si>
  <si>
    <t>Traced Person. Naib Tehsildar, District Kech appeared before the Commission on 02.04.2021 at Quetta and submitted verification certificate confirming that Phulen s/o Abbas has returned home.</t>
  </si>
  <si>
    <t>7461 -B</t>
  </si>
  <si>
    <t>Chakar s/o Asa</t>
  </si>
  <si>
    <t>Traced Person. Naib Tehsildar, District Kech appeared before the Commission on 02.04.2021 at Quetta and submitted verification certificate confirming that Chakar s/o Asa has returned home.</t>
  </si>
  <si>
    <t>7462 -B</t>
  </si>
  <si>
    <t>Babul s/o Abbas</t>
  </si>
  <si>
    <t>Traced Person. Naib Tehsildar, District Kech appeared before the Commission on 02.04.2021 at Quetta and submitted verification certificate confirming that Babul s/o Abbas has returned home.</t>
  </si>
  <si>
    <t>7463 -B</t>
  </si>
  <si>
    <t>Shahi s/o Kasso</t>
  </si>
  <si>
    <t>Traced Person. Naib Tehsildar, District Kech appeared before the Commission on 02.04.2021 at Quetta and submitted verification certificate confirming that Shahi s/o Khasso has returned home.</t>
  </si>
  <si>
    <t>7464 -B</t>
  </si>
  <si>
    <t>Fateh Muhammad s/o Wali Dad</t>
  </si>
  <si>
    <t>Traced Person. Naib Tehsildar, District Kech appeared before the Commission on 02.04.2021 at Quetta and submitted verification certificate confirming that Fateh Muhammad s/o Wali Dad has returned home.</t>
  </si>
  <si>
    <t>7465 -B</t>
  </si>
  <si>
    <t>Musa s/o Illahi Bakhsh</t>
  </si>
  <si>
    <t>Traced Person. Naib Tehsildar, District Kech appeared before the Commission on 02.04.2021 at Quetta and submitted verification certificate confirming that Musa s/o Illahi Bakhsh has returned home.</t>
  </si>
  <si>
    <t>7466 -B</t>
  </si>
  <si>
    <t>Ghulab s/o Qadir Bakhsh</t>
  </si>
  <si>
    <t>Shapakol Kolwah, District Kech</t>
  </si>
  <si>
    <t>Traced Person. Naib Tehsildar, District Kech appeared before the Commission on 02.04.2021 at Quetta and submitted verification certificate confirming that Ghulab s/o Qadir Bakhsh has returned home.</t>
  </si>
  <si>
    <t>7467 -B</t>
  </si>
  <si>
    <t>Fida s/o Ibrahim</t>
  </si>
  <si>
    <t>Gubord Mand, District Kech</t>
  </si>
  <si>
    <t>Traced Person. Naib Tehsildar, District Kech appeared before the Commission on 02.04.2021 at Quetta and submitted verification certificate confirming that Fida s/o Ibrahim has returned home.</t>
  </si>
  <si>
    <t>7468 -B</t>
  </si>
  <si>
    <t>Muhim s/o Ibrahim</t>
  </si>
  <si>
    <t>Traced Person. Naib Tehsildar, District Kech appeared before the Commission on 02.04.2021 at Quetta and submitted verification certificate confirming that Muhim s/o Ibrahim has returned home.</t>
  </si>
  <si>
    <t>7469 -B</t>
  </si>
  <si>
    <t>Chirag s/o Swali</t>
  </si>
  <si>
    <t>Darmakol Pirdak, District Kech</t>
  </si>
  <si>
    <t>Traced Person. Naib Tehsildar, District Kech appeared before the Commission on 02.04.2021 at Quetta and submitted verification certificate confirming that Chirag s/o Swali has returned home.</t>
  </si>
  <si>
    <t>7470 -B</t>
  </si>
  <si>
    <t>Sajid s/o Khuda Dad</t>
  </si>
  <si>
    <t>Basol Kahn Pidrak, District Kech</t>
  </si>
  <si>
    <t>Traced Person. Naib Tehsildar, District Kech appeared before the Commission on 02.04.2021 at Quetta and submitted verification certificate confirming that Sajid s/o Khuda Dad has returned home.</t>
  </si>
  <si>
    <t>7471 -B</t>
  </si>
  <si>
    <t>Chakar s/o Dad Jan</t>
  </si>
  <si>
    <t>Solo Buleda, District Kech</t>
  </si>
  <si>
    <t>Traced Person. Naib Tehsildar, District Kech appeared before the Commission on 02.04.2021 at Quetta and submitted verification certificate confirming that Chakar s/o Dad Jan has returned home.</t>
  </si>
  <si>
    <t>7472 -B</t>
  </si>
  <si>
    <t>Wasim s/o Ghulam Jan</t>
  </si>
  <si>
    <t>Traced Person. Naib Tehsildar, District Kech appeared before the Commission on 02.04.2021 at Quetta and submitted verification certificate confirming that Wasim s/o Ghulam Jan has returned home.</t>
  </si>
  <si>
    <t>7473 -B</t>
  </si>
  <si>
    <t>Ashraf s/o Yousaf</t>
  </si>
  <si>
    <t>Traced Person. Naib Tehsildar, District Kech appeared before the Commission on 02.04.2021 at Quetta and submitted verification certificate confirming that Ashraf s/o Yousaf has returned home.</t>
  </si>
  <si>
    <t>7474 -B</t>
  </si>
  <si>
    <t>Nadil s/o Gul Muhammad</t>
  </si>
  <si>
    <t>Traced Person. Naib Tehsildar, District Kech appeared before the Commission on 02.04.2021 at Quetta and submitted verification certificate confirming that Nadil s/o Gul Muhammad has returned home.</t>
  </si>
  <si>
    <t>7475 -B</t>
  </si>
  <si>
    <t>Rashid Raza s/o Sakhi Dad</t>
  </si>
  <si>
    <t>7476 -B</t>
  </si>
  <si>
    <t>Ibrahim s/o Hasil</t>
  </si>
  <si>
    <t>Traced Person. Naib Tehsildar, District Kech appeared before the Commission on 02.04.2021 at Quetta and submitted verification certificate confirming that Ibrahim s/o Hasil has returned home.</t>
  </si>
  <si>
    <t>7477 -B</t>
  </si>
  <si>
    <t>Raja s/o Wajdad</t>
  </si>
  <si>
    <t>Traced Person. Naib Tehsildar, District Kech appeared before the Commission on 02.04.2021 at Quetta and submitted verification certificate confirming that Raja s/o Wajdad has returned home.</t>
  </si>
  <si>
    <t>7478 -B</t>
  </si>
  <si>
    <t>Traced Person. Naib Tehsildar, District Kech appeared before the Commission on 02.04.2021 at Quetta and submitted verification certificate confirming that Hassan s/o Ghulam Muhammad has returned home.</t>
  </si>
  <si>
    <t>7479 -B</t>
  </si>
  <si>
    <t>Naseer Ahmed s/o Swali</t>
  </si>
  <si>
    <t>Traced Person. Naib Tehsildar, District Kech appeared before the Commission on 02.04.2021 at Quetta and submitted verification certificate confirming that Naseer Ahmed s/o Swali has returned home.</t>
  </si>
  <si>
    <t>7480 -B</t>
  </si>
  <si>
    <t>Rahim Jan s/o Abdullah</t>
  </si>
  <si>
    <t>Traced Person. Naib Tehsildar, District Kech appeared before the Commission on 02.04.2021 at Quetta and submitted verification certificate confirming that Rahim Jan s/o Abdullah has returned home.</t>
  </si>
  <si>
    <t>7481 -B</t>
  </si>
  <si>
    <t>Abbas s/o Hamza</t>
  </si>
  <si>
    <t>Shankan Gomazai, District Kech</t>
  </si>
  <si>
    <t>Traced Person. Naib Tehsildar, District Kech appeared before the Commission on 02.04.2021 at Quetta and submitted verification certificate confirming that Abbas s/o Hamza has returned home.</t>
  </si>
  <si>
    <t>7482 -B</t>
  </si>
  <si>
    <t>Jahangir s/o Asil</t>
  </si>
  <si>
    <t>7483 -B</t>
  </si>
  <si>
    <t>Fahim s/o ghulam</t>
  </si>
  <si>
    <t>Traced Person. Naib Tehsildar, District Kech appeared before the Commission on 02.04.2021 at Quetta and submitted verification certificate confirming that Fahim s/o Ghulam has returned home.</t>
  </si>
  <si>
    <t>7484 -B</t>
  </si>
  <si>
    <t>Zubair s/o Murad Bakhsh</t>
  </si>
  <si>
    <t>Sari Kallag Gawrakop, Districtd Kech</t>
  </si>
  <si>
    <t>Traced Person. Naib Tehsildar, District Kech appeared before the Commission on 02.04.2021 at Quetta and submitted verification certificate confirming that Zubair s/o Murad Bakhsh has returned home.</t>
  </si>
  <si>
    <t>7485 -B</t>
  </si>
  <si>
    <t>Shahid s/o Hashum</t>
  </si>
  <si>
    <t>7486 -B</t>
  </si>
  <si>
    <t>Abdul Razaq s/o Hashum</t>
  </si>
  <si>
    <t>7487 -B</t>
  </si>
  <si>
    <t>Phandi Bughti</t>
  </si>
  <si>
    <t>Sami . District Kech</t>
  </si>
  <si>
    <t>Traced Person. Naib Tehsildar, District Kech appeared before the Commission on 02.04.2021 at Quetta and submitted verification certificate confirming that Phandi Bughti has returned home.</t>
  </si>
  <si>
    <t>7488 -B</t>
  </si>
  <si>
    <t>Munshi Bughti</t>
  </si>
  <si>
    <t>7489 -B</t>
  </si>
  <si>
    <t>Sahkir</t>
  </si>
  <si>
    <t>Traced Person. Naib Tehsildar, District Kech appeared before the Commission on 02.04.2021 at Quetta and submitted verification certificate confirming that Shakir has returned home.</t>
  </si>
  <si>
    <t>7490 -B</t>
  </si>
  <si>
    <t>Shamir s/o Shakir</t>
  </si>
  <si>
    <t>Traced Person. Naib Tehsildar, District Kech appeared before the Commission on 02.04.2021 at Quetta and submitted verification certificate confirming that Shamir s/o Shakir has returned home.</t>
  </si>
  <si>
    <t>7491 -B</t>
  </si>
  <si>
    <t>Baran</t>
  </si>
  <si>
    <t>Traced Person. Naib Tehsildar, District Kech appeared before the Commission on 02.04.2021 at Quetta and submitted verification certificate confirming that Baran has returned home.</t>
  </si>
  <si>
    <t>7492 -B</t>
  </si>
  <si>
    <t>Qamber s/o Baran</t>
  </si>
  <si>
    <t>Traced Person. Naib Tehsildar, District Kech appeared before the Commission on 02.04.2021 at Quetta and submitted verification certificate confirming that Qamber s/o Baran has returned home.</t>
  </si>
  <si>
    <t>7493 -B</t>
  </si>
  <si>
    <t>Pir Muhammad s/o Qadir Bakhsh</t>
  </si>
  <si>
    <t>Traced Person. Naib Tehsildar, District Kech appeared before the Commission on 02.04.2021 at Quetta and submitted verification certificate confirming that Pir Muhammad s/o Qadir Bakhsh has returned home.</t>
  </si>
  <si>
    <t>7494 -B</t>
  </si>
  <si>
    <t>Saleem s/o Abbas</t>
  </si>
  <si>
    <t>Khairabad, District Kech</t>
  </si>
  <si>
    <t>Traced Person. Naib Tehsildar, District Kech appeared before the Commission on 02.04.2021 at Quetta and submitted verification certificate confirming that Saleem s/o Abbas has returned home.</t>
  </si>
  <si>
    <t>7495 -B</t>
  </si>
  <si>
    <t>Younis s/o Haji Rahim</t>
  </si>
  <si>
    <t>Traced Person. Naib Tehsildar, District Kech appeared before the Commission on 02.04.2021 at Quetta and submitted verification certificate confirming that Younis s/o Haji Rahim has returned home.</t>
  </si>
  <si>
    <t>7496 -B</t>
  </si>
  <si>
    <t>Naeem s/o Wali Muhammad</t>
  </si>
  <si>
    <t>Hothabad, District Kech</t>
  </si>
  <si>
    <t>Traced Person. Naib Tehsildar, District Kech appeared before the Commission on 02.04.2021 at Quetta and submitted verification certificate confirming that Naeem s/o Wali Muhammad has returned home.</t>
  </si>
  <si>
    <t>7497 -B</t>
  </si>
  <si>
    <t>Hasil s/o Rahim Jan</t>
  </si>
  <si>
    <t>Traced Person. Naib Tehsildar, District Kech appeared before the Commission on 02.04.2021 at Quetta and submitted verification certificate confirming that Hasil s/o Rahim Jan has returned home.</t>
  </si>
  <si>
    <t>7498 -B</t>
  </si>
  <si>
    <t>Mohsin Mulla</t>
  </si>
  <si>
    <t>Traced Person. Naib Tehsildar, District Kech appeared before the Commission on 02.04.2021 at Quetta and submitted verification certificate confirming that Mohsin Mulla has returned home</t>
  </si>
  <si>
    <t>7499 -B</t>
  </si>
  <si>
    <t>Chakar</t>
  </si>
  <si>
    <t>Traced Person. Naib Tehsildar, District Kech appeared before the Commission on 02.04.2021 at Quetta and submitted verification certificate confirming that Chakar has returned home.</t>
  </si>
  <si>
    <t>7500 -B</t>
  </si>
  <si>
    <t>Imran</t>
  </si>
  <si>
    <t>Traced Person. Naib Tehsildar, District Kech appeared before the Commission on 02.04.2021 at Quetta and submitted verification certificate confirming that Imran has returned home.</t>
  </si>
  <si>
    <t>7501 -B</t>
  </si>
  <si>
    <t>Ijaz s/o Kareem Bakhsh</t>
  </si>
  <si>
    <t>Traced Person. Naib Tehsildar, District Kech appeared before the Commission on 02.04.2021 at Quetta and submitted verification certificate confirming that Ijaz s/o Kareem Bakhsh has returned home.</t>
  </si>
  <si>
    <t>7502 -B</t>
  </si>
  <si>
    <t>Khalil s/o Qadir Bakhsh</t>
  </si>
  <si>
    <t>Hassadi Dasht, District Kech</t>
  </si>
  <si>
    <t>7503 -B</t>
  </si>
  <si>
    <t>Bilal s/o Khalid</t>
  </si>
  <si>
    <t>7504 -B</t>
  </si>
  <si>
    <t>Wajo Chakar s/o Dad Muhammad</t>
  </si>
  <si>
    <t>Traced Person. Naib Tehsildar, District Kech appeared before the Commission on 02.04.2021 at Quetta and submitted verification certificate confirming that Wajo Chakar s/o Dad Muhamamd has returned home.</t>
  </si>
  <si>
    <t>7505 -B</t>
  </si>
  <si>
    <t>Balach s/o Abdul Majeed</t>
  </si>
  <si>
    <t>Traced Person. Naib Tehsildar, District Kech appeared before the Commission on 02.04.2021 at Quetta and submitted verification certificate confirming that Balach s/o Abdul Majeed has returned home.</t>
  </si>
  <si>
    <t>7506 -B</t>
  </si>
  <si>
    <t>Altaf s/o Iqbal</t>
  </si>
  <si>
    <t>Traced Person. Naib Tehsildar, District Kech appeared before the Commission on 02.04.2021 at Quetta and submitted verification certificate confirming that Altaf s/o Iqbal has returned home.</t>
  </si>
  <si>
    <t>7507 -B</t>
  </si>
  <si>
    <t>Abdul Karim s/o Wali Dad</t>
  </si>
  <si>
    <t>Jamal Dasht, District Kech</t>
  </si>
  <si>
    <t>Traced Person. Naib Tehsildar, District Kech appeared before the Commission on 02.04.2021 at Quetta and submitted verification certificate confirming that Abdul Karim s/o Wali Dad has returned home.</t>
  </si>
  <si>
    <t>7508 -B</t>
  </si>
  <si>
    <t>Hameed s/o Ghulam Qadir</t>
  </si>
  <si>
    <t>7509 -B</t>
  </si>
  <si>
    <t>Ali s/o Hamza</t>
  </si>
  <si>
    <t>Traced Person. Naib Tehsildar, District Kech appeared before the Commission on 02.04.2021 at Quetta and submitted verification certificate confirming that Ali s/o Hamza has returned home.</t>
  </si>
  <si>
    <t>7510 -B</t>
  </si>
  <si>
    <t>Raees s/o Shah Murad</t>
  </si>
  <si>
    <t>Traced Person. Naib Tehsildar, District Kech appeared before the Commission on 02.04.2021 at Quetta and submitted verification certificate confirming that Raees s/o Shah Murad has returned home.</t>
  </si>
  <si>
    <t>7511 -B</t>
  </si>
  <si>
    <t>Sadiq s/o Mayar</t>
  </si>
  <si>
    <t>Traced Person. Naib Tehsildar, District Kech appeared before the Commission on 02.04.2021 at Quetta and submitted verification certificate confirming that Sadiq s/o Mayar has returned home.</t>
  </si>
  <si>
    <t>7512 -B</t>
  </si>
  <si>
    <t>Azeem s/o Hayatan</t>
  </si>
  <si>
    <t>Traced Person. Naib Tehsildar, District Kech appeared before the Commission on 02.04.2021 at Quetta and submitted verification certificate confirming that Azeem s/o Hayatan has returned home.</t>
  </si>
  <si>
    <t>7513 -B</t>
  </si>
  <si>
    <t>Hameed s/o Brahim</t>
  </si>
  <si>
    <t>Traced Person. Naib Tehsildar, District Kech appeared before the Commission on 02.04.2021 at Quetta and submitted verification certificate confirming that Hameed s/o Brahim has returned home.</t>
  </si>
  <si>
    <t>7514 -B</t>
  </si>
  <si>
    <t>Pazeer s/o Majeed</t>
  </si>
  <si>
    <t>Kochag Buleda, District Kech</t>
  </si>
  <si>
    <t>Traced Person. Naib Tehsildar, District Kech appeared before the Commission on 02.04.2021 at Quetta and submitted verification certificate confirming that Pazeer s/o Majeed has returned home.</t>
  </si>
  <si>
    <t>7515 -B</t>
  </si>
  <si>
    <t>Noor Dad s/o Meeran</t>
  </si>
  <si>
    <t>Singabad Tijabad, District Kech</t>
  </si>
  <si>
    <t>Traced Person. Naib Tehsildar, District Kech appeared before the Commission on 02.04.2021 at Quetta and submitted verification certificate confirming that Noor Dad s/o Meeran has returned home.</t>
  </si>
  <si>
    <t>7516 -B</t>
  </si>
  <si>
    <t>Ayub s/o Hameed</t>
  </si>
  <si>
    <t>Kahshap Dasht, District Kech</t>
  </si>
  <si>
    <t>Traced Person. Naib Tehsildar, District Kech appeared before the Commission on 02.04.2021 at Quetta and submitted verification certificate confirming that Ayub s/o Hameed has returned home.</t>
  </si>
  <si>
    <t>7517 -B</t>
  </si>
  <si>
    <t>Khaliq Gul s/o Gul</t>
  </si>
  <si>
    <t>Traced Person. Naib Tehsildar, District Kech appeared before the Commission on 02.04.2021 at Quetta and submitted verification certificate confirming that Khaliq Gul s/o Gul has returned home.</t>
  </si>
  <si>
    <t>7518 -B</t>
  </si>
  <si>
    <t>Chirag s/o Hassan</t>
  </si>
  <si>
    <t>Traced Person. Naib Tehsildar, District Kech appeared before the Commission on 02.04.2021 at Quetta and submitted verification certificate confirming that Chirag s/o Hassan has returned home.</t>
  </si>
  <si>
    <t>7519 -B</t>
  </si>
  <si>
    <t>Bahram s/o Nabi Bakhsh</t>
  </si>
  <si>
    <t>7520 -B</t>
  </si>
  <si>
    <t>Imam s/o Rasheed</t>
  </si>
  <si>
    <t>Traced Person. Naib Tehsildar, District Kech appeared before the Commission on 02.04.2021 at Quetta and submitted verification certificate confirming that Imam s/o Rasheed has returned home.</t>
  </si>
  <si>
    <t>7521 -B</t>
  </si>
  <si>
    <t>Parwaz s/o Muhammad Jan</t>
  </si>
  <si>
    <t>Allah Bakht Kalatuk, District Kech</t>
  </si>
  <si>
    <t>Traced Person. Naib Tehsildar, District Kech appeared before the Commission on 02.04.2021 at Quetta and submitted verification certificate confirming that Parwaz s/o Muhammad Jan has returned home.</t>
  </si>
  <si>
    <t>7522 -B</t>
  </si>
  <si>
    <t>Iqbal</t>
  </si>
  <si>
    <t>Traced Person. Naib Tehsildar, District Kech appeared before the Commission on 02.04.2021 at Quetta and submitted verification certificate confirming that Iqbal has returned home.</t>
  </si>
  <si>
    <t>7523 -B</t>
  </si>
  <si>
    <t>Sadam s/o Yasin</t>
  </si>
  <si>
    <t>Traced Person. Naib Tehsildar, District Kech appeared before the Commission on 02.04.2021 at Quetta and submitted verification certificate confirming that Sadam s/o Yasin has returned home.</t>
  </si>
  <si>
    <t>7524 -B</t>
  </si>
  <si>
    <t>Basit s/o Rehmat Ullah</t>
  </si>
  <si>
    <t>Peerani Basti, Dasht, District Kech</t>
  </si>
  <si>
    <t>Traced Person. Naib Tehsildar, District Kech appeared before the Commission on 02.04.2021 at Quetta and submitted verification certificate confirming that Basit s/o Rehmat UIlah has returned home.</t>
  </si>
  <si>
    <t>7525 -B</t>
  </si>
  <si>
    <t>Dil Jan s/o Murad Jan</t>
  </si>
  <si>
    <t>Perotag Dasht, District Kech</t>
  </si>
  <si>
    <t>Traced Person. Naib Tehsildar, District Kech appeared before the Commission on 02.04.2021 at Quetta and submitted verification certificate confirming that Dil Jan s/o Murad Jan has returned home.</t>
  </si>
  <si>
    <t>7526 -B</t>
  </si>
  <si>
    <t>Waris s/o Ismail</t>
  </si>
  <si>
    <t>Traced Person. Naib Tehsildar, District Kech appeared before the Commission on 02.04.2021 at Quetta and submitted verification certificate confirming that Waris s/o Ismail has returned home.</t>
  </si>
  <si>
    <t>7527 -B</t>
  </si>
  <si>
    <t>Mehboob s/o Shafi Muhammad</t>
  </si>
  <si>
    <t>Kombail, District Kech</t>
  </si>
  <si>
    <t>Traced Person. Naib Tehsildar, District Kech appeared before the Commission on 02.04.2021 at Quetta and submitted verification certificate confirming that Mehboob s/o Shafi Muhammad has returned home.</t>
  </si>
  <si>
    <t>7528 -B</t>
  </si>
  <si>
    <t>Ibrahim s/o Shah Sarwar</t>
  </si>
  <si>
    <t>Kuroos Tank, Dasht, District Kech</t>
  </si>
  <si>
    <t>Traced Person. Naib Tehsildar, District Kech appeared before the Commission on 02.04.2021 at Quetta and submitted verification certificate confirming that Ibrahim s/o Shah Sarwar has returned home.</t>
  </si>
  <si>
    <t>7529 -B</t>
  </si>
  <si>
    <t>Hanif s/o Nabi Bakhsh</t>
  </si>
  <si>
    <t>Traced Person. Naib Tehsildar, District Kech appeared before the Commission on 02.04.2021 at Quetta and submitted verification certificate confirming that Hanif s/o Nabi Bakhsh has returned home.</t>
  </si>
  <si>
    <t>7530 -B</t>
  </si>
  <si>
    <t>Azeem s/o Naguman</t>
  </si>
  <si>
    <t>Traced Person. Naib Tehsildar, District Kech appeared before the Commission on 02.04.2021 at Quetta and submitted verification certificate confirming that Azeem s/o Naguman has returned home.</t>
  </si>
  <si>
    <t>7531 -B</t>
  </si>
  <si>
    <t>Sameer s/o Iqbal</t>
  </si>
  <si>
    <t>7532 -B</t>
  </si>
  <si>
    <t>Adil s/o Iqbal</t>
  </si>
  <si>
    <t>Traced Person. Naib Tehsildar, District Kech appeared before the Commission on 02.04.2021 at Quetta and submitted verification certificate confirming that Adil s/o Iqbal has returned home.</t>
  </si>
  <si>
    <t>7533 -B</t>
  </si>
  <si>
    <t>Sana Ullah s/o Abdul Ghafoor</t>
  </si>
  <si>
    <t>Dashti Bazar Turbat, District Kech</t>
  </si>
  <si>
    <t>7534 -B</t>
  </si>
  <si>
    <t>Swali s/o Charshambay</t>
  </si>
  <si>
    <t>Kaleero Dasht, District Kech</t>
  </si>
  <si>
    <t>Traced Person. Naib Tehsildar, District Kech appeared before the Commission on 02.04.2021 at Quetta and submitted verification certificate confirming that Swali s/o Charshambay has returned home.</t>
  </si>
  <si>
    <t>7535 -B</t>
  </si>
  <si>
    <t>Sadiq s/o Haji Ali Muhamamd</t>
  </si>
  <si>
    <t>Traced Person. Naib Tehsildar, District Kech appeared before the Commission on 02.04.2021 at Quetta and submitted verification certificate confirming that Sadiq s/o Haji Ali Muhammad has returned home.</t>
  </si>
  <si>
    <t>7536 -B</t>
  </si>
  <si>
    <t>Kamal s/o Nasir</t>
  </si>
  <si>
    <t>Pirtothag, Dasht, District Kech</t>
  </si>
  <si>
    <t>Traced Person. Naib Tehsildar, District Kech appeared before the Commission on 02.04.2021 at Quetta and submitted verification certificate confirming that Kamal s/o Nasir has returned home.</t>
  </si>
  <si>
    <t>7537 -B</t>
  </si>
  <si>
    <t>Muhib s/o Sheikh Abdul Hameed</t>
  </si>
  <si>
    <t>Traced Person. Naib Tehsildar, District Kech appeared before the Commission on 02.04.2021 at Quetta and submitted verification certificate confirming that Muhib s/o Sheikh Abdul Hameed has returned home.</t>
  </si>
  <si>
    <t>7538 -B</t>
  </si>
  <si>
    <t>Khalid s/o Ghulam Qadir</t>
  </si>
  <si>
    <t>Traced Person. Naib Tehsildar, District Kech appeared before the Commission on 02.04.2021 at Quetta and submitted verification certificate confirming that Khalid s/o Ghulam Qadir has returned home.</t>
  </si>
  <si>
    <t>7539 -B</t>
  </si>
  <si>
    <t>Sameer s/o Murad Jan</t>
  </si>
  <si>
    <t>Traced Person. Naib Tehsildar, District Kech appeared before the Commission on 02.04.2021 at Quetta and submitted verification certificate confirming that Sameer s/o Murad Jan has returned home.</t>
  </si>
  <si>
    <t>7540 -B</t>
  </si>
  <si>
    <t>Nazeer s/o Ghulam Rasool</t>
  </si>
  <si>
    <t>Traced Person. Naib Tehsildar, District Kech appeared before the Commission on 02.04.2021 at Quetta and submitted verification certificate confirming that Nazeer s/o Ghulam Rasool has returned home.</t>
  </si>
  <si>
    <t>7541 -B</t>
  </si>
  <si>
    <t>Fazal s/o Abdul Qadir</t>
  </si>
  <si>
    <t>Traced Person. Naib Tehsildar, District Kech appeared before the Commission on 02.04.2021 at Quetta and submitted verification certificate confirming that Fazal s/o Abdul Qadir has returned home.</t>
  </si>
  <si>
    <t>7542 -B</t>
  </si>
  <si>
    <t>Karim s/o Rafiq</t>
  </si>
  <si>
    <t>Ziyarat Sar Turbat, District Kech</t>
  </si>
  <si>
    <t>Traced Person. Naib Tehsildar, District Kech appeared before the Commission on 02.04.2021 at Quetta and submitted verification certificate confirming that Karim s/o Rafiq has returned home.</t>
  </si>
  <si>
    <t>7543 -B</t>
  </si>
  <si>
    <t>Wahid s/o Sheran</t>
  </si>
  <si>
    <t>Traced Person. Naib Tehsildar, District Kech appeared before the Commission on 02.04.2021 at Quetta and submitted verification certificate confirming that Wahid s/o Sheran has returned home.</t>
  </si>
  <si>
    <t>7544 -B</t>
  </si>
  <si>
    <t>Waheedi</t>
  </si>
  <si>
    <t>Ahoori Mazar Goth, Teertej, District Kech</t>
  </si>
  <si>
    <t>7545 -B</t>
  </si>
  <si>
    <t>Bashir s/o Nazar Muhammad</t>
  </si>
  <si>
    <t>7546 -B</t>
  </si>
  <si>
    <t>Yar Muhammad</t>
  </si>
  <si>
    <t>7547 -B</t>
  </si>
  <si>
    <t>Qadir s/o Ganguzar</t>
  </si>
  <si>
    <t>7548 -B</t>
  </si>
  <si>
    <t>Saeed s/o Khair Bakhsh</t>
  </si>
  <si>
    <t>7549 -B</t>
  </si>
  <si>
    <t>Khair Bakhsh s/o Muhammad Bakhsh</t>
  </si>
  <si>
    <t>7550 -B</t>
  </si>
  <si>
    <t>Saeed s/o Muhammad Bakhsh</t>
  </si>
  <si>
    <t>7551 -B</t>
  </si>
  <si>
    <t>Naik Muhammad Saleh s/o Waheedi</t>
  </si>
  <si>
    <t>7552 -B</t>
  </si>
  <si>
    <t>Muhammad Yar s/o Waheedi</t>
  </si>
  <si>
    <t>7553 -B</t>
  </si>
  <si>
    <t>Karim Jan</t>
  </si>
  <si>
    <t>7554 -B</t>
  </si>
  <si>
    <t>Mir Jan s/o Nazeer</t>
  </si>
  <si>
    <t>7555 -B</t>
  </si>
  <si>
    <t>Shakir s/o Mussa</t>
  </si>
  <si>
    <t>Ward No. 06, Pasni, District Kech</t>
  </si>
  <si>
    <t>7556 -B</t>
  </si>
  <si>
    <t>Doda s/o Nizar Muhammad</t>
  </si>
  <si>
    <t>Dabuk Gebun, District Kech</t>
  </si>
  <si>
    <t>Traced Person. Naib Tehsildar, District Kech appeared before the Commission on 02.04.2021 at Quetta and submitted verification certificate confirming that Doda s/o Nizar Muhammad has returned home.</t>
  </si>
  <si>
    <t>7557 -B</t>
  </si>
  <si>
    <t>Faqeer s/o Ali Bakhsh</t>
  </si>
  <si>
    <t>Pirdak, District Kech</t>
  </si>
  <si>
    <t>Traced Person. Naib Tehsildar, District Kech appeared before the Commission on 02.04.2021 at Quetta and submitted verification certificate confirming that Faqeer s/o Ali Bakhsh has returned home.</t>
  </si>
  <si>
    <t>7558 -B</t>
  </si>
  <si>
    <t>Amjad s/o Karim Bakhsh</t>
  </si>
  <si>
    <t>7559 -B</t>
  </si>
  <si>
    <t>Sana</t>
  </si>
  <si>
    <t>7560 -B</t>
  </si>
  <si>
    <t>Laif s/o Mussa</t>
  </si>
  <si>
    <t>7561 -B</t>
  </si>
  <si>
    <t>Ubaid</t>
  </si>
  <si>
    <t>Geshkor, Kech</t>
  </si>
  <si>
    <t>7562 -B</t>
  </si>
  <si>
    <t>Shah Ali s/o Murad Ali</t>
  </si>
  <si>
    <t>Kamalan Kech Area Near Khan Tehsil</t>
  </si>
  <si>
    <t>7563 -B</t>
  </si>
  <si>
    <t>Nabi Dad s/o Murad Ali</t>
  </si>
  <si>
    <t>7564 -B</t>
  </si>
  <si>
    <t>Hazor Bux s/o Murad Ali</t>
  </si>
  <si>
    <t>7565 -B</t>
  </si>
  <si>
    <t>Shah Murad s/o Murad Ali</t>
  </si>
  <si>
    <t>7566 -B</t>
  </si>
  <si>
    <t>Niaz Ahmed s/o Pyar Khan</t>
  </si>
  <si>
    <t>7567 -B</t>
  </si>
  <si>
    <t>Hazori s/o Chungul</t>
  </si>
  <si>
    <t>7568 -B</t>
  </si>
  <si>
    <t>Allah Bux s/o Chungal</t>
  </si>
  <si>
    <t>7569 -B</t>
  </si>
  <si>
    <t>Noor Ali s/o Chungal</t>
  </si>
  <si>
    <t>7570 -B</t>
  </si>
  <si>
    <t>Ali Han s/o Jarro Khan</t>
  </si>
  <si>
    <t>7571 -B</t>
  </si>
  <si>
    <t>Bakhat Bibi d/o Jarro Khan</t>
  </si>
  <si>
    <t>7572 -B</t>
  </si>
  <si>
    <t>Niazo s/o Jarro Khan</t>
  </si>
  <si>
    <t>7573 -B</t>
  </si>
  <si>
    <t>Saindad s/o Shahoo</t>
  </si>
  <si>
    <t>7574 -B</t>
  </si>
  <si>
    <t>Deva s/o Shahoo</t>
  </si>
  <si>
    <t>7575 -B</t>
  </si>
  <si>
    <t>Murad Bakhsh s/o Shahoo</t>
  </si>
  <si>
    <t>7576 -B</t>
  </si>
  <si>
    <t>Hammal s/o Shahoo Khan</t>
  </si>
  <si>
    <t>7577 -B</t>
  </si>
  <si>
    <t>Shah Nawaz s/o Saho Khan</t>
  </si>
  <si>
    <t>7578 -B</t>
  </si>
  <si>
    <t>Jan Khan s/o Saho Khan</t>
  </si>
  <si>
    <t>7579 -B</t>
  </si>
  <si>
    <t>Pairo Khan s/o Wali Ahmed</t>
  </si>
  <si>
    <t>7580 -B</t>
  </si>
  <si>
    <t>Jahan Khan s/o Murad Khan</t>
  </si>
  <si>
    <t>7581 -B</t>
  </si>
  <si>
    <t>Lal Bakhsh s/o Murad Khan</t>
  </si>
  <si>
    <t>7582 -B</t>
  </si>
  <si>
    <t>Lal Ahmed s/o Murad Khan</t>
  </si>
  <si>
    <t>7583 -B</t>
  </si>
  <si>
    <t>Noor Khan s/o Murad Khan</t>
  </si>
  <si>
    <t>7584 -B</t>
  </si>
  <si>
    <t>Jungall s/o Khan Muhammad</t>
  </si>
  <si>
    <t>7585 -B</t>
  </si>
  <si>
    <t>Nazar Pari s/o Khan Muhammad</t>
  </si>
  <si>
    <t>7586 -B</t>
  </si>
  <si>
    <t>Gul Bakht d/o Khan Muhammad</t>
  </si>
  <si>
    <t>7587 -B</t>
  </si>
  <si>
    <t>Gul Naz d/o Khan Muhammad</t>
  </si>
  <si>
    <t>7588 -B</t>
  </si>
  <si>
    <t>Najeeb Ullah s/o Saho Khan</t>
  </si>
  <si>
    <t>7589 -B</t>
  </si>
  <si>
    <t>Naz Bibi d/o Edio</t>
  </si>
  <si>
    <t>7590 -B</t>
  </si>
  <si>
    <t>Sabz Khan s/o Eido</t>
  </si>
  <si>
    <t>7591 -B</t>
  </si>
  <si>
    <t>Tooti s/o Eido</t>
  </si>
  <si>
    <t>7592 -B</t>
  </si>
  <si>
    <t>Toro s/o Mouran</t>
  </si>
  <si>
    <t>7593 -B</t>
  </si>
  <si>
    <t>Mughal s/o Shah Muhammad</t>
  </si>
  <si>
    <t>7594 -B</t>
  </si>
  <si>
    <t>Pozh Ali s/o Dad Muhammad</t>
  </si>
  <si>
    <t>7595 -B</t>
  </si>
  <si>
    <t>Karam Khan s/o Ali Jan</t>
  </si>
  <si>
    <t>7596 -B</t>
  </si>
  <si>
    <t>Dado s/o Shah Murad</t>
  </si>
  <si>
    <t>7597 -B</t>
  </si>
  <si>
    <t>Haji Dad Muhammad s/o Raza Muhammad</t>
  </si>
  <si>
    <t>7598 -B</t>
  </si>
  <si>
    <t>Boogi s/o Merzahan</t>
  </si>
  <si>
    <t>7599 -B</t>
  </si>
  <si>
    <t>Haibat Khan s/o Merzahan</t>
  </si>
  <si>
    <t>7600 -B</t>
  </si>
  <si>
    <t>Pero s/o Merzahan</t>
  </si>
  <si>
    <t>7601 -B</t>
  </si>
  <si>
    <t>Ahmdin s/o Merzahan</t>
  </si>
  <si>
    <t>7602 -B</t>
  </si>
  <si>
    <t>Shoran s/o Merzahan</t>
  </si>
  <si>
    <t>7603 -B</t>
  </si>
  <si>
    <t>Mourna s/o Merzahan</t>
  </si>
  <si>
    <t>7604 -B</t>
  </si>
  <si>
    <t>Mah Bibi d/o Merzahan</t>
  </si>
  <si>
    <t>7605 -B</t>
  </si>
  <si>
    <t>Zar Naz d/o Merzahan</t>
  </si>
  <si>
    <t>7606 -B</t>
  </si>
  <si>
    <t>Jameel Ahama s/o Peer Muhamamd</t>
  </si>
  <si>
    <t>7607 -B</t>
  </si>
  <si>
    <t>Kaliari s/o Peer Muhammad</t>
  </si>
  <si>
    <t>7608 -B</t>
  </si>
  <si>
    <t>Munar s/o Bahadur Khan</t>
  </si>
  <si>
    <t>7609 -B</t>
  </si>
  <si>
    <t>Kaheri s/o Kaliari</t>
  </si>
  <si>
    <t>7610 -B</t>
  </si>
  <si>
    <t>Daro s/o Kaliari</t>
  </si>
  <si>
    <t>7611 -B</t>
  </si>
  <si>
    <t>Pari Gul d/o Kaliari</t>
  </si>
  <si>
    <t>7612 -B</t>
  </si>
  <si>
    <t>Noor Han s/o Pir Han</t>
  </si>
  <si>
    <t>7613 -B</t>
  </si>
  <si>
    <t>Khair Jan s/o Pir Han</t>
  </si>
  <si>
    <t>7614 -B</t>
  </si>
  <si>
    <t>Jarho s/o Jano Khan</t>
  </si>
  <si>
    <t>7615 -B</t>
  </si>
  <si>
    <t>Peer Ali s/o Jano Khan</t>
  </si>
  <si>
    <t>7616 -B</t>
  </si>
  <si>
    <t>Mira Khan s/o Jano Khan</t>
  </si>
  <si>
    <t>7617 -B</t>
  </si>
  <si>
    <t>Iqbal Baloch s/o Abdul Rehman</t>
  </si>
  <si>
    <t>7618 -B</t>
  </si>
  <si>
    <t>Iqbal Baloch</t>
  </si>
  <si>
    <t>Tump Area , District Kech</t>
  </si>
  <si>
    <t>7619 -B</t>
  </si>
  <si>
    <t>Asim s/o Gul Muhammad</t>
  </si>
  <si>
    <t>Darmakol Pidrak district Kech</t>
  </si>
  <si>
    <t>Traced Person. Naib Tehsildar, District Kech appeared before the Commission on 02.04.2021 at Quetta and submitted verification certificate confirming that Asim s/o Gul Muhammad has returned home.</t>
  </si>
  <si>
    <t>7620 -B</t>
  </si>
  <si>
    <t>Muheem s/o Gul Muhammad</t>
  </si>
  <si>
    <t>Traced Person. Naib Tehsildar, District Kech appeared before the Commission on 02.04.2021 at Quetta and submitted verification certificate confirming that Muheem s/o Gul Muhammad has returned home.</t>
  </si>
  <si>
    <t>7621 -B</t>
  </si>
  <si>
    <t>Saqeer s/o Ameet</t>
  </si>
  <si>
    <t>Traced Person. Naib Tehsildar, District Kech appeared before the Commission on 02.04.2021 at Quetta and submitted verification certificate confirming that Saqeer s/o Ameet has returned home.</t>
  </si>
  <si>
    <t>7622 -B</t>
  </si>
  <si>
    <t>Meero s/o Hussain</t>
  </si>
  <si>
    <t>Traced Person. Naib Tehsildar, District Kech appeared before the Commission on 02.04.2021 at Quetta and submitted verification certificate confirming that Meero s/o Hussain has returned home.</t>
  </si>
  <si>
    <t>7623 -B</t>
  </si>
  <si>
    <t>Imama s/o Hussain</t>
  </si>
  <si>
    <t>Traced Person. Naib Tehsildar, District Kech appeared before the Commission on 02.04.2021 at Quetta and submitted verification certificate confirming that Imama s/o Hussain has returned home.</t>
  </si>
  <si>
    <t>7624 -B</t>
  </si>
  <si>
    <t>Alim s/o Hussain</t>
  </si>
  <si>
    <t>Traced Person. Naib Tehsildar, District Kech appeared before the Commission on 02.04.2021 at Quetta and submitted verification certificate confirming that Alim s/o Hussain has returned home.</t>
  </si>
  <si>
    <t>7625 -B</t>
  </si>
  <si>
    <t>Perviaz s/o Mazar Baloch</t>
  </si>
  <si>
    <t>Traced Person. Naib Tehsildar, District Kech appeared before the Commission on 02.04.2021 at Quetta and submitted verification certificate confirming that Pervaiz s/o Mazar Baloch has returned home.</t>
  </si>
  <si>
    <t>7626 -B</t>
  </si>
  <si>
    <t>Jalal s/o Mazar Baloch</t>
  </si>
  <si>
    <t>Traced Person. Naib Tehsildar, District Kech appeared before the Commission on 02.04.2021 at Quetta and submitted verification certificate confirming that Jalal s/o Mazar Baloch has returned home.</t>
  </si>
  <si>
    <t>7627 -B</t>
  </si>
  <si>
    <t>Yousaf s/o Hafeez Ghani</t>
  </si>
  <si>
    <t>Goburd Mand Kech</t>
  </si>
  <si>
    <t>Traced Person. Naib Tehsildar, District Kech appeared before the Commission on 02.04.2021 at Quetta and submitted verification certificate confirming that Yousaf s/o Hafeez Ghani has returned home.</t>
  </si>
  <si>
    <t>7628 -B</t>
  </si>
  <si>
    <t>Jan Muhammad s/o Yaqoob</t>
  </si>
  <si>
    <t>7629 -B</t>
  </si>
  <si>
    <t>Tapal</t>
  </si>
  <si>
    <t>Jangal Cross Dasht Kech</t>
  </si>
  <si>
    <t>Traced Person. Naib Tehsildar, District Kech appeared before the Commission on 02.04.2021 at Quetta and submitted verification certificate confirming that Tapal has returned home.</t>
  </si>
  <si>
    <t>7630 -B</t>
  </si>
  <si>
    <t>Sumair s/o Nasir</t>
  </si>
  <si>
    <t>Pulabad Tump Kech</t>
  </si>
  <si>
    <t>7631 -B</t>
  </si>
  <si>
    <t>Idrees s/o Dost Muhammad</t>
  </si>
  <si>
    <t>Traced Person. Naib Tehsildar, District Kech appeared before the Commission on 02.04.2021 at Quetta and submitted verification certificate confirming that Idrees s/o Dost Muhammad has returned home.</t>
  </si>
  <si>
    <t>7632 -B</t>
  </si>
  <si>
    <t>Fazal s/o Main Purdul</t>
  </si>
  <si>
    <t>Kapkapar Dasht Kech</t>
  </si>
  <si>
    <t>Traced Person. Naib Tehsildar, District Kech appeared before the Commission on 02.04.2021 at Quetta and submitted verification certificate confirming that Fazal s/o Main Purdul has returned home.</t>
  </si>
  <si>
    <t>7633 -B</t>
  </si>
  <si>
    <t>Hameed s/o Ilyas</t>
  </si>
  <si>
    <t>Traced Person. Naib Tehsildar, District Kech appeared before the Commission on 02.04.2021 at Quetta and submitted verification certificate confirming that Hameed s/o Ilyas has returned home.</t>
  </si>
  <si>
    <t>7634 -B</t>
  </si>
  <si>
    <t>Tawakal s/o Rasool Bux</t>
  </si>
  <si>
    <t>Traced Person. Naib Tehsildar, District Kech appeared before the Commission on 02.04.2021 at Quetta and submitted verification certificate confirming that Tawakal s/o Rasool Bux has returned home.</t>
  </si>
  <si>
    <t>7635 -B</t>
  </si>
  <si>
    <t>Murad s/o Sulaiman</t>
  </si>
  <si>
    <t>Traced Person. Naib Tehsildar, District Kech appeared before the Commission on 02.04.2021 at Quetta and submitted verification certificate confirming that Murad s/o Sulaiman has returned home.</t>
  </si>
  <si>
    <t>7636 -B</t>
  </si>
  <si>
    <t>Haneef s/o Noor Muhammad</t>
  </si>
  <si>
    <t>7637 -B</t>
  </si>
  <si>
    <t>Akthar s/o Siddique</t>
  </si>
  <si>
    <t>Balow Kholwa kech</t>
  </si>
  <si>
    <t>7638 -B</t>
  </si>
  <si>
    <t>Sumair s/o Naseer</t>
  </si>
  <si>
    <t>Traced Person. Naib Tehsildar, District Kech appeared before the Commission on 02.04.2021 at Quetta and submitted verification certificate confirming that Sumair s/o Naseer has returned home.</t>
  </si>
  <si>
    <t>7639 -B</t>
  </si>
  <si>
    <t>Haleem s/o Aziz</t>
  </si>
  <si>
    <t>7640 -B</t>
  </si>
  <si>
    <t>Akthar s/o Ashraf</t>
  </si>
  <si>
    <t>Kolwahe Bazar Kech</t>
  </si>
  <si>
    <t>Traced Person. Naib Tehsildar, District Kech appeared before the Commission on 02.04.2021 at Quetta and submitted verification certificate confirming that Akhtar s/o Ashraf has returned home.</t>
  </si>
  <si>
    <t>7641 -B</t>
  </si>
  <si>
    <t>Zafar s/o Abdul; Rehman</t>
  </si>
  <si>
    <t>Jan Muhammad Bazar Dasht Kech</t>
  </si>
  <si>
    <t>Traced Person. Naib Tehsildar, District Kech appeared before the Commission on 02.04.2021 at Quetta and submitted verification certificate confirming that Zafar s/o Abdul Rehman has returned home.</t>
  </si>
  <si>
    <t>7642 -B</t>
  </si>
  <si>
    <t>Akram s/o Muhammad Bux</t>
  </si>
  <si>
    <t>Bal Cross Dasht Kech</t>
  </si>
  <si>
    <t>Traced Person. Naib Tehsildar, District Kech appeared before the Commission on 02.04.2021 at Quetta and submitted verification certificate confirming that Akarm s/o Muhammad Bux has returned home.</t>
  </si>
  <si>
    <t>7643 -B</t>
  </si>
  <si>
    <t>Nagoman s/o Muhammad Jalal</t>
  </si>
  <si>
    <t>Traced Person. Naib Tehsildar, District Kech appeared before the Commission on 02.04.2021 at Quetta and submitted verification certificate confirming that Nagoman s/o Muhammad Jala has returned home.</t>
  </si>
  <si>
    <t>7644 -B</t>
  </si>
  <si>
    <t>Ishfaq s/o Sudair</t>
  </si>
  <si>
    <t>Kohad Tump Kech</t>
  </si>
  <si>
    <t>Traced Person. Naib Tehsildar, District Kech appeared before the Commission on 02.04.2021 at Quetta and submitted verification certificate confirming that Ishfaq s/o Sudair has returned home.</t>
  </si>
  <si>
    <t>7645 -B</t>
  </si>
  <si>
    <t>Ahmed</t>
  </si>
  <si>
    <t>Dazzain Tump Kech</t>
  </si>
  <si>
    <t>Traced Person. Naib Tehsildar, District Kech appeared before the Commission on 02.04.2021 at Quetta and submitted verification certificate confirming that Ahmed has returned home.</t>
  </si>
  <si>
    <t>7646 -B</t>
  </si>
  <si>
    <t>Aslam s/o Abdul Majeed</t>
  </si>
  <si>
    <t>Dashti Bazar Turbat Kech</t>
  </si>
  <si>
    <t>Traced Person. Naib Tehsildar, District Kech appeared before the Commission on 02.04.2021 at Quetta and submitted verification certificate confirming that Aslam s/o Abdul Majeed has returned home.</t>
  </si>
  <si>
    <t>7647 -B</t>
  </si>
  <si>
    <t>Faisal s/o Abdul Khaliq</t>
  </si>
  <si>
    <t>Alandoor Baulaida Kech</t>
  </si>
  <si>
    <t>Traced Person. Naib Tehsildar, District Kech appeared before the Commission on 02.04.2021 at Quetta and submitted verification certificate confirming that Faisal s/o Abdul Khaliq has returned home.</t>
  </si>
  <si>
    <t>7648 -B</t>
  </si>
  <si>
    <t>Farooq</t>
  </si>
  <si>
    <t>Kambel Dasht Kech</t>
  </si>
  <si>
    <t>7649 -B</t>
  </si>
  <si>
    <t>Amjad</t>
  </si>
  <si>
    <t>Heronk Turbat Kech</t>
  </si>
  <si>
    <t>Traced Person. Naib Tehsildar, District Kech appeared before the Commission on 02.04.2021 at Quetta and submitted verification certificate confirming that Amjad has returned home.</t>
  </si>
  <si>
    <t>7650 -B</t>
  </si>
  <si>
    <t>Majid</t>
  </si>
  <si>
    <t>Traced Person. Naib Tehsildar, District Kech appeared before the Commission on 02.04.2021 at Quetta and submitted verification certificate confirming that Majid has returned home.</t>
  </si>
  <si>
    <t>7651 -B</t>
  </si>
  <si>
    <t>Abdul Wahid s/o Chaker</t>
  </si>
  <si>
    <t>Mehnaz Bulaida Kech</t>
  </si>
  <si>
    <t>Traced Person. Naib Tehsildar, District Kech appeared before the Commission on 02.04.2021 at Quetta and submitted verification certificate confirming that Abdul Wahid s/o Chaker has returned home.</t>
  </si>
  <si>
    <t>7652 -B</t>
  </si>
  <si>
    <t>Haji Wahid Bux s/o Abbas</t>
  </si>
  <si>
    <t>Traced Person. Naib Tehsildar, District Kech appeared before the Commission on 02.04.2021 at Quetta and submitted verification certificate confirming that Haji Wahid Bux s/o Abbas has returned home.</t>
  </si>
  <si>
    <t>7653 -B</t>
  </si>
  <si>
    <t>Mistary Rafeeq s/o Mayar</t>
  </si>
  <si>
    <t>Absor Turbat Kech</t>
  </si>
  <si>
    <t>Traced Person. Naib Tehsildar, District Kech appeared before the Commission on 02.04.2021 at Quetta and submitted verification certificate confirming that Mistary Rafeeq s/o Mayar has returned home.</t>
  </si>
  <si>
    <t>7654 -B</t>
  </si>
  <si>
    <t>Rasheed s/o Murad</t>
  </si>
  <si>
    <t>Baloor Kohlwah Kech</t>
  </si>
  <si>
    <t>Traced Person. Naib Tehsildar, District Kech appeared before the Commission on 02.04.2021 at Quetta and submitted verification certificate confirming that Rasheed s/o Murad has returned home.</t>
  </si>
  <si>
    <t>7655 -B</t>
  </si>
  <si>
    <t>Hashim s/o Shair Shambay</t>
  </si>
  <si>
    <t>Traced Person. Naib Tehsildar, District Kech appeared before the Commission on 02.04.2021 at Quetta and submitted verification certificate confirming that Hashim s/o Shair Shambay has returned home.</t>
  </si>
  <si>
    <t>7656 -B</t>
  </si>
  <si>
    <t>Nagoman</t>
  </si>
  <si>
    <t>Seegahk Khol Wah Kech</t>
  </si>
  <si>
    <t>Traced Person. Naib Tehsildar, District Kech appeared before the Commission on 02.04.2021 at Quetta and submitted verification certificate confirming that Nagoman has returned home.</t>
  </si>
  <si>
    <t>7657 -B</t>
  </si>
  <si>
    <t>Hassan</t>
  </si>
  <si>
    <t>Traced Person. Naib Tehsildar, District Kech appeared before the Commission on 02.04.2021 at Quetta and submitted verification certificate confirming that Hassan has returned home.</t>
  </si>
  <si>
    <t>7658 -B</t>
  </si>
  <si>
    <t>Zubair s/o Nabi Dad</t>
  </si>
  <si>
    <t>Traced Person. Naib Tehsildar, District Kech appeared before the Commission on 02.04.2021 at Quetta and submitted verification certificate confirming that Zubair s/o Nabi Dad has returned home.</t>
  </si>
  <si>
    <t>7659 -B</t>
  </si>
  <si>
    <t>Younas s/o Murad</t>
  </si>
  <si>
    <t>Kor Jo Tump Kech</t>
  </si>
  <si>
    <t>Traced Person. Naib Tehsildar, District Kech appeared before the Commission on 02.04.2021 at Quetta and submitted verification certificate confirming that Younas s/o Murad has returned home.</t>
  </si>
  <si>
    <t>7660 -B</t>
  </si>
  <si>
    <t>Pul Abad Tump Kech</t>
  </si>
  <si>
    <t>Traced Person. Naib Tehsildar, District Kech appeared before the Commission on 02.04.2021 at Quetta and submitted verification certificate confirming that Asghar has returned home.</t>
  </si>
  <si>
    <t>7661 -B</t>
  </si>
  <si>
    <t>Habeeb s/o Din Mohammad</t>
  </si>
  <si>
    <t>Gogurat Mand Kech</t>
  </si>
  <si>
    <t>Traced Person. Naib Tehsildar, District Kech appeared before the Commission on 02.04.2021 at Quetta and submitted verification certificate confirming that Habeeb s/o Din Muhammad has returned home.</t>
  </si>
  <si>
    <t>7662 -B</t>
  </si>
  <si>
    <t>Asghar s/o Nawab</t>
  </si>
  <si>
    <t>Kul Abad Turbat Kch</t>
  </si>
  <si>
    <t>7663 -B</t>
  </si>
  <si>
    <t>Zaheer s/o Syed Muhammad</t>
  </si>
  <si>
    <t>Sajidde Dasht Kech</t>
  </si>
  <si>
    <t>7664 -B</t>
  </si>
  <si>
    <t>Shabeer s/o Durra</t>
  </si>
  <si>
    <t>Balnogoor Dasht Kech</t>
  </si>
  <si>
    <t>7665 -B</t>
  </si>
  <si>
    <t>Mozir s/o Muhammad Bux</t>
  </si>
  <si>
    <t>7666 -B</t>
  </si>
  <si>
    <t>Ajab s/o Muhammad Bux</t>
  </si>
  <si>
    <t>Traced Person. Naib Tehsildar, District Kech appeared before the Commission on 02.04.2021 at Quetta and submitted verification certificate confirming that Ajab s/o Muhammad Bux has returned home.</t>
  </si>
  <si>
    <t>7667 -B</t>
  </si>
  <si>
    <t>Mehboob s/o Ghulam Nigwari</t>
  </si>
  <si>
    <t>Traced Person. Naib Tehsildar, District Kech appeared before the Commission on 02.04.2021 at Quetta and submitted verification certificate confirming that Mehboob s/o Ghulam Nigwari has returned home.</t>
  </si>
  <si>
    <t>7668 -B</t>
  </si>
  <si>
    <t>Essa s/o Abdul Rehman</t>
  </si>
  <si>
    <t>Dalsar Mand Kech</t>
  </si>
  <si>
    <t>Traced Person. Naib Tehsildar, District Kech appeared before the Commission on 02.04.2021 at Quetta and submitted verification certificate confirming that Essa s/o Abdul Rehman has returned home.</t>
  </si>
  <si>
    <t>7669 -B</t>
  </si>
  <si>
    <t>Meraj s/o Abdullah</t>
  </si>
  <si>
    <t>Gomazi Tump Kech</t>
  </si>
  <si>
    <t>Traced Person. Naib Tehsildar, District Kech appeared before the Commission on 02.04.2021 at Quetta and submitted verification certificate confirming that Meraj s/o Abdullah has returned home.</t>
  </si>
  <si>
    <t>7670 -B</t>
  </si>
  <si>
    <t>Javaid s/o Abdullah</t>
  </si>
  <si>
    <t>Traced Person. Naib Tehsildar, District Kech appeared before the Commission on 02.04.2021 at Quetta and submitted verification certificate confirming that Javaid s/o Abdullah has returned home.</t>
  </si>
  <si>
    <t>7671 -B</t>
  </si>
  <si>
    <t>Abdul Majeed s/o Qtub</t>
  </si>
  <si>
    <t>Jatt Bazar Dasht Kch</t>
  </si>
  <si>
    <t>Traced Person. Naib Tehsildar, District Kech appeared before the Commission on 02.04.2021 at Quetta and submitted verification certificate confirming that Abdul Majeed s/o Qtub has returned home.</t>
  </si>
  <si>
    <t>7672 -B</t>
  </si>
  <si>
    <t>Niaz s/o Muhammad Hayat</t>
  </si>
  <si>
    <t>Jwahrag Gar Dasht Kech</t>
  </si>
  <si>
    <t>Traced Person. Naib Tehsildar, District Kech appeared before the Commission on 02.04.2021 at Quetta and submitted verification certificate confirming that Niaz s/o Muhammad Hayat has returned home.</t>
  </si>
  <si>
    <t>7673 -B</t>
  </si>
  <si>
    <t>Siraj s/o Hasil</t>
  </si>
  <si>
    <t>7674 -B</t>
  </si>
  <si>
    <t>Shoaib s/o Muhammad Murad</t>
  </si>
  <si>
    <t>Bahot Chat Dasht Kech</t>
  </si>
  <si>
    <t>Traced Person. Naib Tehsildar, District Kech appeared before the Commission on 02.04.2021 at Quetta and submitted verification certificate confirming that Shoiab s/o Muhammad Murad has returned home.</t>
  </si>
  <si>
    <t>7675 -B</t>
  </si>
  <si>
    <t>Abdul Kareem s/o Karam Shah</t>
  </si>
  <si>
    <t>Karam Shah Bazar Dasht Kech</t>
  </si>
  <si>
    <t>Traced Person. Naib Tehsildar, District Kech appeared before the Commission on 02.04.2021 at Quetta and submitted verification certificate confirming that Abdul Kareem s/o Karam Shah has returned home.</t>
  </si>
  <si>
    <t>7676 -B</t>
  </si>
  <si>
    <t>Naseer s/o Muhammad Jan</t>
  </si>
  <si>
    <t>Hor Dasht Kech</t>
  </si>
  <si>
    <t>Traced Person. Naib Tehsildar, District Kech appeared before the Commission on 02.04.2021 at Quetta and submitted verification certificate confirming that Naseer s/o Muhammad Bux has returned home.</t>
  </si>
  <si>
    <t>7677 -B</t>
  </si>
  <si>
    <t>Shah Muhammad s/o Muhammad Syed</t>
  </si>
  <si>
    <t>7678 -B</t>
  </si>
  <si>
    <t>Jabir s/o Rasheed</t>
  </si>
  <si>
    <t>Traced Person. Naib Tehsildar, District Kech appeared before the Commission on 02.04.2021 at Quetta and submitted verification certificate confirming that Jabir s/o Rasheed has returned home.</t>
  </si>
  <si>
    <t>7679 -B</t>
  </si>
  <si>
    <t>Sameer s/o Jan Muhammad</t>
  </si>
  <si>
    <t>Hoor Dasdht Kech</t>
  </si>
  <si>
    <t>Traced Person. Naib Tehsildar, District Kech appeared before the Commission on 02.04.2021 at Quetta and submitted verification certificate confirming that Sameer s/o Jan Muhammad has returned home.</t>
  </si>
  <si>
    <t>7680 -B</t>
  </si>
  <si>
    <t>Iqbal s/o Hussain</t>
  </si>
  <si>
    <t>Traced Person. Naib Tehsildar, District Kech appeared before the Commission on 02.04.2021 at Quetta and submitted verification certificate confirming that Iqbal s/o Hussain has returned home.</t>
  </si>
  <si>
    <t>7681 -B</t>
  </si>
  <si>
    <t>Hamza s/o Shahdad</t>
  </si>
  <si>
    <t>Traced Person. Naib Tehsildar, District Kech appeared before the Commission on 02.04.2021 at Quetta and submitted verification certificate confirming that Hamza s/o Shahdad has returned home.</t>
  </si>
  <si>
    <t>7682 -B</t>
  </si>
  <si>
    <t>Aziz s/o Kareem Bux</t>
  </si>
  <si>
    <t>Traced Person. Naib Tehsildar, District Kech appeared before the Commission on 02.04.2021 at Quetta and submitted verification certificate confirming that Aziz s/o Kareem Bux has returned home.</t>
  </si>
  <si>
    <t>7683 -B</t>
  </si>
  <si>
    <t>Naseem s/o Muhammad Salih</t>
  </si>
  <si>
    <t>7684 -B</t>
  </si>
  <si>
    <t>Haleem s/o Saqidad</t>
  </si>
  <si>
    <t>Traced Person. Naib Tehsildar, District Kech appeared before the Commission on 02.04.2021 at Quetta and submitted verification certificate confirming that Haleem s/o Saqidad has returned home.</t>
  </si>
  <si>
    <t>7685 -B</t>
  </si>
  <si>
    <t>Naseem s/o Saqidad</t>
  </si>
  <si>
    <t>Traced Person. Naib Tehsildar, District Kech appeared before the Commission on 02.04.2021 at Quetta and submitted verification certificate confirming that Naseem s/o Saqidad has returned home.</t>
  </si>
  <si>
    <t>7686 -B</t>
  </si>
  <si>
    <t>Naiz s/o Ibrahim</t>
  </si>
  <si>
    <t>Traced Person. Naib Tehsildar, District Kech appeared before the Commission on 02.04.2021 at Quetta and submitted verification certificate confirming that Niaz s/o Ibrahim has returned home.</t>
  </si>
  <si>
    <t>7687 -B</t>
  </si>
  <si>
    <t>Basit s/o Ibrahim</t>
  </si>
  <si>
    <t>Traced Person. Naib Tehsildar, District Kech appeared before the Commission on 02.04.2021 at Quetta and submitted verification certificate confirming that Basit s/o Ibrahim has returned home.</t>
  </si>
  <si>
    <t>7688 -B</t>
  </si>
  <si>
    <t>Reyaz s/o Dad Muhammad</t>
  </si>
  <si>
    <t>Traced Person. Naib Tehsildar, District Kech appeared before the Commission on 02.04.2021 at Quetta and submitted verification certificate confirming that Reyaz s/o Dad Muhammad has returned home.</t>
  </si>
  <si>
    <t>7689 -B</t>
  </si>
  <si>
    <t>Fazal S/o Dad Muhammad</t>
  </si>
  <si>
    <t>7690 -B</t>
  </si>
  <si>
    <t>Naseem s/o Abdul Kareem</t>
  </si>
  <si>
    <t>7691 -B</t>
  </si>
  <si>
    <t>Majeed s/o Khud e Dad</t>
  </si>
  <si>
    <t>Traced Person. Naib Tehsildar, District Kech appeared before the Commission on 02.04.2021 at Quetta and submitted verification certificate confirming that Majeed s/o Khud e Dad has returned home.</t>
  </si>
  <si>
    <t>7692 -B</t>
  </si>
  <si>
    <t>Abdul Sattar s/o Raheem</t>
  </si>
  <si>
    <t>Traced Person. Naib Tehsildar, District Kech appeared before the Commission on 02.04.2021 at Quetta and submitted verification certificate confirming that Abdul Sattar s/o Raheem has returned home.</t>
  </si>
  <si>
    <t>7693 -B</t>
  </si>
  <si>
    <t>Noor Muhammad s/o Iqbal</t>
  </si>
  <si>
    <t>Traced Person. Naib Tehsildar, District Kech appeared before the Commission on 02.04.2021 at Quetta and submitted verification certificate confirming that Noor Muhammad s/o Iqbal has returned home</t>
  </si>
  <si>
    <t>7694 -B</t>
  </si>
  <si>
    <t>Farid Shah s/o Nadir Shah</t>
  </si>
  <si>
    <t>Kashap Dasht Kech</t>
  </si>
  <si>
    <t>Traced Person. Naib Tehsildar, District Kech appeared before the Commission on 02.04.2021 at Quetta and submitted verification certificate confirming thatFarid Shah s/o Nadir Shah has returned home.</t>
  </si>
  <si>
    <t>7695 -B</t>
  </si>
  <si>
    <t>Mollah Dad s/o Haibtan</t>
  </si>
  <si>
    <t>Traced Person. Naib Tehsildar, District Kech appeared before the Commission on 02.04.2021 at Quetta and submitted verification certificate confirming that Molla Dad s/o Haibtan has returned home.</t>
  </si>
  <si>
    <t>7696 -B</t>
  </si>
  <si>
    <t>Muhammad Jan s/o Behram</t>
  </si>
  <si>
    <t>Traced Person. Naib Tehsildar, District Kech appeared before the Commission on 02.04.2021 at Quetta and submitted verification certificate confirming that Muhammad Jan s/o Behram has returned home.</t>
  </si>
  <si>
    <t>7697 -B</t>
  </si>
  <si>
    <t>Majeed s/o Usman</t>
  </si>
  <si>
    <t>Machi Dasht Kech</t>
  </si>
  <si>
    <t>Traced Person. Naib Tehsildar, District Kech appeared before the Commission on 02.04.2021 at Quetta and submitted verification certificate confirming that Majeed s/o Usman has returned home.</t>
  </si>
  <si>
    <t>7698 -B</t>
  </si>
  <si>
    <t>Murad Jan s/o Ismail</t>
  </si>
  <si>
    <t>Gurkani Mataj Dasht</t>
  </si>
  <si>
    <t>7699 -B</t>
  </si>
  <si>
    <t>Nazar Muhammad s/o Shair Muhammad</t>
  </si>
  <si>
    <t>Ganje Nagwar Dasht Kech</t>
  </si>
  <si>
    <t>7700 -B</t>
  </si>
  <si>
    <t>Khuda Bux s/o Syed Muhammad</t>
  </si>
  <si>
    <t>Kali Ro Dasht Kech</t>
  </si>
  <si>
    <t>Traced Person. Naib Tehsildar, District Kech appeared before the Commission on 02.04.2021 at Quetta and submitted verification certificate confirming that Khuda Bux s/o Syed Muhammad has returned home.</t>
  </si>
  <si>
    <t>7701 -B</t>
  </si>
  <si>
    <t>Khalid s/o Shair Muhammad</t>
  </si>
  <si>
    <t>Panodi Dasht Kech</t>
  </si>
  <si>
    <t>Traced Person. Naib Tehsildar, District Kech appeared before the Commission on 02.04.2021 at Quetta and submitted verification certificate confirming that Khalid s/o Shair Muhammad has returned home.</t>
  </si>
  <si>
    <t>7702 -B</t>
  </si>
  <si>
    <t>Haneef s/o Fateh Muhammad</t>
  </si>
  <si>
    <t>Kansar Dasht Kech</t>
  </si>
  <si>
    <t>7703 -B</t>
  </si>
  <si>
    <t>Aman Ullah s/o Khoso</t>
  </si>
  <si>
    <t>Koto, jaho, District Awaran</t>
  </si>
  <si>
    <t>Traced Person. Raisaldar Levies, District Awaran appeared before the Commission on 05.04.2021 at Quetta and submitted verification certificate confirming that Aman Ullah s/o Khoso has returned home.</t>
  </si>
  <si>
    <t>7704 -B</t>
  </si>
  <si>
    <t>Gul Jan s/o Issa</t>
  </si>
  <si>
    <t>Alangi Mashkay, District Awaran</t>
  </si>
  <si>
    <t>7705 -B</t>
  </si>
  <si>
    <t>Umait Khan s/o Issa</t>
  </si>
  <si>
    <t>7706 -B</t>
  </si>
  <si>
    <t>Sabir s/o Fateh Muhammad</t>
  </si>
  <si>
    <t>Malaar, Awaran District Awaran</t>
  </si>
  <si>
    <t>Traced Person. Raisaldar Levies, District Awaran appeared before the Commission on 05.04.2021 at Quetta and submitted verification certificate confirming that Sabir s/o Fateh Muhammad has returned home.</t>
  </si>
  <si>
    <t>7707 -B</t>
  </si>
  <si>
    <t>Illahi Bakhsh s/o Fateh Muhammad</t>
  </si>
  <si>
    <t>Traced Person. Raisaldar Levies, District Awaran appeared before the Commission on 05.04.2021 at Quetta and submitted verification certificate confirming that Illahi Bakhsh s/o Fateh Muhammad has returned home.</t>
  </si>
  <si>
    <t>7708 -B</t>
  </si>
  <si>
    <t>Faqir Jan s/o Syed Muhammad</t>
  </si>
  <si>
    <t>Traced Person. Raisaldar Levies, District Awaran appeared before the Commission on 05.04.2021 at Quetta and submitted verification certificate confirming that Faqir Jan s/o Syed Muhammad has returned home.</t>
  </si>
  <si>
    <t>7709 -B</t>
  </si>
  <si>
    <t>Khair Muhammad s/o Noor Muhammad</t>
  </si>
  <si>
    <t>Traced Person. Raisaldar Levies, District Awaran appeared before the Commission on 05.04.2021 at Quetta and submitted verification certificate confirming that Khair Muhammad s/o Noor Muhammad has returned home.</t>
  </si>
  <si>
    <t>7710 -B</t>
  </si>
  <si>
    <t>Shoaib s/o Azeem</t>
  </si>
  <si>
    <t>Gandchahi, Kolwah, District Awaran</t>
  </si>
  <si>
    <t>Traced Person. Raisaldar Levies, District Awaran appeared before the Commission on 05.04.2021 at Quetta and submitted verification certificate confirming that Shoaib s/o Azeem has returned home.</t>
  </si>
  <si>
    <t>7711 -B</t>
  </si>
  <si>
    <t>Jamal s/o Haisho</t>
  </si>
  <si>
    <t>Traced Person. Raisaldar Levies, District Awaran appeared before the Commission on 05.04.2021 at Quetta and submitted verification certificate confirming that Jamal s/o Haisho has returned home.</t>
  </si>
  <si>
    <t>7712 -B</t>
  </si>
  <si>
    <t>Dil Murad s/o Swali</t>
  </si>
  <si>
    <t>Traced Person. Raisaldar Levies, District Awaran appeared before the Commission on 05.04.2021 at Quetta and submitted verification certificate confirming that Dil Murad s/o Swali has returned home.</t>
  </si>
  <si>
    <t>7713 -B</t>
  </si>
  <si>
    <t>Rasheed s/o Sardo</t>
  </si>
  <si>
    <t>Traced Person. Raisaldar Levies, District Awaran appeared before the Commission on 05.04.2021 at Quetta and submitted verification certificate confirming that Rasheed s/o Sardo has returned home.</t>
  </si>
  <si>
    <t>7714 -B</t>
  </si>
  <si>
    <t>Salam s/o Hasso Mula</t>
  </si>
  <si>
    <t>Nokjo, Mashkay, District Awaran</t>
  </si>
  <si>
    <t>Traced Person. Raisaldar Levies, District Awaran appeared before the Commission on 05.04.2021 at Quetta and submitted verification certificate confirming that Salam s/o Hasso Mula has returned home.</t>
  </si>
  <si>
    <t>7715 -B</t>
  </si>
  <si>
    <t>Munir s/o Yousaf</t>
  </si>
  <si>
    <t>Traced Person. Raisaldar Levies, District Awaran appeared before the Commission on 05.04.2021 at Quetta and submitted verification certificate confirming that Munir s/o Yousaf has returned home.</t>
  </si>
  <si>
    <t>7716 -B</t>
  </si>
  <si>
    <t>Noora s/o Muhim Khan</t>
  </si>
  <si>
    <t>Traced Person. Raisaldar Levies, District Awaran appeared before the Commission on 05.04.2021 at Quetta and submitted verification certificate confirming that noora s/o Muhim Khan has returned home.</t>
  </si>
  <si>
    <t>7717 -B</t>
  </si>
  <si>
    <t>Habib s/o Fateh Muhammad</t>
  </si>
  <si>
    <t>Traced Person. Raisaldar Levies, District Awaran appeared before the Commission on 05.04.2021 at Quetta and submitted verification certificate confirming that Habib s/o Fateh Muhammad has returned home.</t>
  </si>
  <si>
    <t>7718 -B</t>
  </si>
  <si>
    <t>Zareef s/o khuda Bakhsh</t>
  </si>
  <si>
    <t>Traced Person. Raisaldar Levies, District Awaran appeared before the Commission on 05.04.2021 at Quetta and submitted verification certificate confirming that Zareef s/o Khuda Bakhsh has returned home.</t>
  </si>
  <si>
    <t>7719 -B</t>
  </si>
  <si>
    <t>Akram s/o Nasir</t>
  </si>
  <si>
    <t>Traced Person. Raisaldar Levies, District Awaran appeared before the Commission on 05.04.2021 at Quetta and submitted verification certificate confirming that Akram s/o Nasir has returned home.</t>
  </si>
  <si>
    <t>7720 -B</t>
  </si>
  <si>
    <t>Zabad s/o Sardo</t>
  </si>
  <si>
    <t>Traced Person. Raisaldar Levies, District Awaran appeared before the Commission on 05.04.2021 at Quetta and submitted verification certificate confirming that Zabad s/o Sardo has returned home.</t>
  </si>
  <si>
    <t>7721 -B</t>
  </si>
  <si>
    <t>Shairo s/o Lahdad</t>
  </si>
  <si>
    <t>Traced Person. Raisaldar Levies, District Awaran appeared before the Commission on 05.04.2021 at Quetta and submitted verification certificate confirming that Shairo s/o Lahdad has returned home.</t>
  </si>
  <si>
    <t>7722 -B</t>
  </si>
  <si>
    <t>Ramzan s/o Amir Bakhsh</t>
  </si>
  <si>
    <t>Traced Person. Raisaldar Levies, District Awaran appeared before the Commission on 05.04.2021 at Quetta and submitted verification certificate confirming that Ramzan s/o Amir Bakhsh has returned home.</t>
  </si>
  <si>
    <t>7723 -B</t>
  </si>
  <si>
    <t>Mir Jan s/o Mayar</t>
  </si>
  <si>
    <t>Traced Person. Raisaldar Levies, District Awaran appeared before the Commission on 05.04.2021 at Quetta and submitted verification certificate confirming that Mir Jan s/o Mayar has returned home.</t>
  </si>
  <si>
    <t>7724 -B</t>
  </si>
  <si>
    <t>Babul s/o Muhammad Amin</t>
  </si>
  <si>
    <t>Traced Person. Raisaldar Levies, District Awaran appeared before the Commission on 05.04.2021 at Quetta and submitted verification certificate confirming that Babul s/o Muhammad Amin has returned home.</t>
  </si>
  <si>
    <t>7725 -B</t>
  </si>
  <si>
    <t>Akeel s/o Mussa</t>
  </si>
  <si>
    <t>Traced Person. Raisaldar Levies, District Awaran appeared before the Commission on 05.04.2021 at Quetta and submitted verification certificate confirming that Akeel s/o Musa has returned home.</t>
  </si>
  <si>
    <t>7726 -B</t>
  </si>
  <si>
    <t>Atta s/o Ramzan</t>
  </si>
  <si>
    <t>Traced Person. Raisaldar Levies, District Awaran appeared before the Commission on 05.04.2021 at Quetta and submitted verification certificate confirming that Atta s/o Ramzan has returned home.</t>
  </si>
  <si>
    <t>7727 -B</t>
  </si>
  <si>
    <t>Munir s/o inam Bakhsh</t>
  </si>
  <si>
    <t>Traced Person. Raisaldar Levies, District Awaran appeared before the Commission on 05.04.2021 at Quetta and submitted verification certificate confirming that Munir s/o Inam Bakhsh has returned home.</t>
  </si>
  <si>
    <t>7728 -B</t>
  </si>
  <si>
    <t>Bakhshok s/o Bora</t>
  </si>
  <si>
    <t>Traced Person. Raisaldar Levies, District Awaran appeared before the Commission on 05.04.2021 at Quetta and submitted verification certificate confirming that Bakhshkok s/o Bara has returned home.</t>
  </si>
  <si>
    <t>7729 -B</t>
  </si>
  <si>
    <t>Allah Dad s/o Shafi</t>
  </si>
  <si>
    <t>Traced Person. Raisaldar Levies, District Awaran appeared before the Commission on 05.04.2021 at Quetta and submitted verification certificate confirming that Allah Dad s/o Shafi has returned home.n</t>
  </si>
  <si>
    <t>7730 -B</t>
  </si>
  <si>
    <t>Akram s/o Atta Muhammad</t>
  </si>
  <si>
    <t>Traced Person. Raisaldar Levies, District Awaran appeared before the Commission on 05.04.2021 at Quetta and submitted verification certificate confirming that Akram s/o Atta Muhamamd has returned home.</t>
  </si>
  <si>
    <t>7731 -B</t>
  </si>
  <si>
    <t>Rasheed s/o Muhammad Rahim</t>
  </si>
  <si>
    <t>Traced Person. Raisaldar Levies, District Awaran appeared before the Commission on 05.04.2021 at Quetta and submitted verification certificate confirming that Rasheed s/o Muhammad Rahim has returned home.</t>
  </si>
  <si>
    <t>7732 -B</t>
  </si>
  <si>
    <t>Lal Bakhsh s/o Muhammad</t>
  </si>
  <si>
    <t>Traced Person. Raisaldar Levies, District Awaran appeared before the Commission on 05.04.2021 at Quetta and submitted verification certificate confirming that Lal Bakhsh s/o Muhamamd has returned home.</t>
  </si>
  <si>
    <t>7733 -B</t>
  </si>
  <si>
    <t>Qadir Bakhsh s/o Char Shamaby</t>
  </si>
  <si>
    <t>Traced Person. Raisaldar Levies, District Awaran appeared before the Commission on 05.04.2021 at Quetta and submitted verification certificate confirming that Qadir Bakhsh s/o Char Shambay has returned home.</t>
  </si>
  <si>
    <t>7734 -B</t>
  </si>
  <si>
    <t>Iqbal s/o Mola Bakhsh</t>
  </si>
  <si>
    <t>Traced Person. Raisaldar Levies, District Awaran appeared before the Commission on 05.04.2021 at Quetta and submitted verification certificate confirming that Iqbal s/o Mola Bakhsh has returned home.</t>
  </si>
  <si>
    <t>7735 -B</t>
  </si>
  <si>
    <t>Pathan s/o Faiz Muhammad</t>
  </si>
  <si>
    <t>Traced Person. Raisaldar Levies, District Awaran appeared before the Commission on 05.04.2021 at Quetta and submitted verification certificate confirming that Pathan s/o Faiz Muhamamd has returned home.</t>
  </si>
  <si>
    <t>7736 -B</t>
  </si>
  <si>
    <t>Jumma s/o Nizar Muhammad</t>
  </si>
  <si>
    <t>Traced Person. Raisaldar Levies, District Awaran appeared before the Commission on 05.04.2021 at Quetta and submitted verification certificate confirming that Jumma s/o Nizar Muhamamd has returned home.</t>
  </si>
  <si>
    <t>7737 -B</t>
  </si>
  <si>
    <t>Jango s/o Khuda Bakhsh</t>
  </si>
  <si>
    <t>Traced Person. Raisaldar Levies, District Awaran appeared before the Commission on 05.04.2021 at Quetta and submitted verification certificate confirming that Jango s/o Khuda Bakhsh has returned home.</t>
  </si>
  <si>
    <t>7738 -B</t>
  </si>
  <si>
    <t>Lalok s/o Allo</t>
  </si>
  <si>
    <t>Traced Person. Raisaldar Levies, District Awaran appeared before the Commission on 05.04.2021 at Quetta and submitted verification certificate confirming that Lalok s/o Allo has returned home.</t>
  </si>
  <si>
    <t>7739 -B</t>
  </si>
  <si>
    <t>Saleem s/o Ghulam Hussain</t>
  </si>
  <si>
    <t>Traced Person. Raisaldar Levies, District Awaran appeared before the Commission on 05.04.2021 at Quetta and submitted verification certificate confirming that Saleem s/o Ghulam Hussain has returned home.</t>
  </si>
  <si>
    <t>7740 -B</t>
  </si>
  <si>
    <t>Anwar s/o Khuda Bakhsh</t>
  </si>
  <si>
    <t>Traced Person. Raisaldar Levies, District Awaran appeared before the Commission on 05.04.2021 at Quetta and submitted verification certificate confirming that Anwar s/o Khuda Bakhsh has returned home.</t>
  </si>
  <si>
    <t>7741 -B</t>
  </si>
  <si>
    <t>Taqseer s/o Brahim</t>
  </si>
  <si>
    <t>Traced Person. Raisaldar Levies, District Awaran appeared before the Commission on 05.04.2021 at Quetta and submitted verification certificate confirming that Tasqeer s/o Barhim has returned home.</t>
  </si>
  <si>
    <t>7742 -B</t>
  </si>
  <si>
    <t>Umeed s/o Khuda Bakhsh</t>
  </si>
  <si>
    <t>Traced Person. Raisaldar Levies, District Awaran appeared before the Commission on 05.04.2021 at Quetta and submitted verification certificate confirming that Umeed s/o Khuda Bakhsh has returned home.</t>
  </si>
  <si>
    <t>7743 -B</t>
  </si>
  <si>
    <t>Naseer s/o Ghulam Qadir</t>
  </si>
  <si>
    <t>Chedagi, District Awaran</t>
  </si>
  <si>
    <t>Traced Person. Raisaldar Levies, District Awaran appeared before the Commission on 05.04.2021 at Quetta and submitted verification certificate confirming that Naseer s/o Ghulam Qadir has returned home.</t>
  </si>
  <si>
    <t>7744 -B</t>
  </si>
  <si>
    <t>Sohail s/o Ismail</t>
  </si>
  <si>
    <t>Siyah Gazzi, District Awaran</t>
  </si>
  <si>
    <t>Traced Person. Raisaldar Levies, District Awaran appeared before the Commission on 05.04.2021 at Quetta and submitted verification certificate confirming that Sohail s/o Ismail has returned home.</t>
  </si>
  <si>
    <t>7745 -B</t>
  </si>
  <si>
    <t>Rasool Bakhsh s/o Abdul</t>
  </si>
  <si>
    <t>Tarji Jaho, District Awaran</t>
  </si>
  <si>
    <t>Traced Person. Raisaldar Levies, District Awaran appeared before the Commission on 05.04.2021 at Quetta and submitted verification certificate confirming that Rasool Bakhsh s/o Abdul has returned home.</t>
  </si>
  <si>
    <t>7746 -B</t>
  </si>
  <si>
    <t>Naseeb</t>
  </si>
  <si>
    <t>Gajro Jhao, District Awaran</t>
  </si>
  <si>
    <t>Traced Person. Raisaldar Levies, District Awaran appeared before the Commission on 05.04.2021 at Quetta and submitted verification certificate confirming that Naseeb has returned home.</t>
  </si>
  <si>
    <t>7747 -B</t>
  </si>
  <si>
    <t>Waju s/o Bahot</t>
  </si>
  <si>
    <t>Traced Person. Raisaldar Levies, District Awaran appeared before the Commission on 05.04.2021 at Quetta and submitted verification certificate confirming that Waju s/o Bahot has returned home.</t>
  </si>
  <si>
    <t>7748 -B</t>
  </si>
  <si>
    <t>Daro s/o Ahmed</t>
  </si>
  <si>
    <t>Traced Person. Raisaldar Levies, District Awaran appeared before the Commission on 05.04.2021 at Quetta and submitted verification certificate confirming that Daro s/o Ahmed has returned home.</t>
  </si>
  <si>
    <t>7749 -B</t>
  </si>
  <si>
    <t>Feroz s/o Rustam</t>
  </si>
  <si>
    <t>Bazdad, District Awaran</t>
  </si>
  <si>
    <t>7750 -B</t>
  </si>
  <si>
    <t>Yaqoob s/o Fateh Muhammad</t>
  </si>
  <si>
    <t>Shay Kuri, District Awaran</t>
  </si>
  <si>
    <t>Traced Person. Raisaldar Levies, District Awaran appeared before the Commission on 05.04.2021 at Quetta and submitted verification certificate confirming that Yaqoob s/o Fateh Muhammad has returned home.</t>
  </si>
  <si>
    <t>7751 -B</t>
  </si>
  <si>
    <t>Naik Muhammad s/o Pir Muhammad</t>
  </si>
  <si>
    <t>Traced Person. Raisaldar Levies, District Awaran appeared before the Commission on 05.04.2021 at Quetta and submitted verification certificate confirming that Naik Muhammad s/o Pir Muhammad has returned home.</t>
  </si>
  <si>
    <t>7752 -B</t>
  </si>
  <si>
    <t>Ghulam Hussain s/o Bahauddin</t>
  </si>
  <si>
    <t>Traced Person. Raisaldar Levies, District Awaran appeared before the Commission on 05.04.2021 at Quetta and submitted verification certificate confirming that Ghulam Hussain s/o Bahauddin has returned home.</t>
  </si>
  <si>
    <t>7753 -B</t>
  </si>
  <si>
    <t>Muhammad Jan s/o Bahauddin</t>
  </si>
  <si>
    <t>Traced Person. Raisaldar Levies, District Awaran appeared before the Commission on 05.04.2021 at Quetta and submitted verification certificate confirming that Muhamamd Jan s/o Bahauddin has returned home.</t>
  </si>
  <si>
    <t>Hamid Ali s/o Abdullah</t>
  </si>
  <si>
    <t>Mashi Awaran</t>
  </si>
  <si>
    <t>Traced Person. Raisaldar Levies, District Awaran appeared before the Commission on 26.05.2021 at Quetta and submitted verification certificate, duly signed by Deputy Commissioner Awaran confirming that Hamid Ali s/o Abdullah has returned home.</t>
  </si>
  <si>
    <t>7754 -B</t>
  </si>
  <si>
    <t>Qadir</t>
  </si>
  <si>
    <t>Traced Person. Raisaldar Levies, District Awaran appeared before the Commission on 26.05.2021 at Quetta and submitted verification certificate, duly signed by Deputy Commissioner Awaran confirming that Qadir has returned home.</t>
  </si>
  <si>
    <t>7755 -B</t>
  </si>
  <si>
    <t>Rustam</t>
  </si>
  <si>
    <t>Traced Person. Raisaldar Levies, District Awaran appeared before the Commission on 26.05.2021 at Quetta and submitted verification certificate, duly signed by Deputy Commissioner Awaran confirming that Rustam has returned home.</t>
  </si>
  <si>
    <t>7756 -B</t>
  </si>
  <si>
    <t>Suleman s/o Rustam</t>
  </si>
  <si>
    <t>Traced Person. Raisaldar Levies, District Awaran appeared before the Commission on 26.05.2021 at Quetta and submitted verification certificate, duly signed by Deputy Commissioner Awaran confirming that Suleman s/o Rustam has returned home.</t>
  </si>
  <si>
    <t>7757 -B</t>
  </si>
  <si>
    <t>Waseem</t>
  </si>
  <si>
    <t>Haar Methag, District Awaran</t>
  </si>
  <si>
    <t>Traced Person. Raisaldar Levies, District Awaran appeared before the Commission on 05.04.2021 at Quetta and submitted verification certificate confirming that Waseem has returned home.</t>
  </si>
  <si>
    <t>7758 -B</t>
  </si>
  <si>
    <t>Agol</t>
  </si>
  <si>
    <t>Traced Person. Raisaldar Levies, District Awaran appeared before the Commission on 05.04.2021 at Quetta and submitted verification certificate confirming that Agol has returned home.</t>
  </si>
  <si>
    <t>7759 -B</t>
  </si>
  <si>
    <t>Adam s/o Jangiyan</t>
  </si>
  <si>
    <t>Mashi, District Awaran</t>
  </si>
  <si>
    <t>Traced Person. Raisaldar Levies, District Awaran appeared before the Commission on 05.04.2021 at Quetta and submitted verification certificate confirming that Adam s/o Jangiyan has returned home.</t>
  </si>
  <si>
    <t>7760 -B</t>
  </si>
  <si>
    <t>Bando s/o Wali Dad</t>
  </si>
  <si>
    <t>Traced Person. Raisaldar Levies, District Awaran appeared before the Commission on 05.04.2021 at Quetta and submitted verification certificate confirming that Bando s/o Wali Dad has returned home.</t>
  </si>
  <si>
    <t>7761 -B</t>
  </si>
  <si>
    <t>Ghulam Qadir</t>
  </si>
  <si>
    <t>Pagod Mashkay, District Awaran</t>
  </si>
  <si>
    <t>Traced Person. Raisaldar Levies, District Awaran appeared before the Commission on 05.04.2021 at Quetta and submitted verification certificate confirming that Ghulam Qadir has returned home.</t>
  </si>
  <si>
    <t>7762 -B</t>
  </si>
  <si>
    <t>Murad Jan</t>
  </si>
  <si>
    <t>Traced Person. Raisaldar Levies, District Awaran appeared before the Commission on 05.04.2021 at Quetta and submitted verification certificate confirming that Murad Jan has returned home.</t>
  </si>
  <si>
    <t>7763 -B</t>
  </si>
  <si>
    <t>Dilbod s/o Durra</t>
  </si>
  <si>
    <t>Balor, Kolwah, District Awaran</t>
  </si>
  <si>
    <t>Traced Person. Naib Tehsildar, Turbat District Kech appeared before the Commission on 26.05.2021 at Quetta and submitted verification certificate confirming that Dilbod s/o Dura has returned home.</t>
  </si>
  <si>
    <t>7764 -B</t>
  </si>
  <si>
    <t>Noor Din Baloch</t>
  </si>
  <si>
    <t>Linjar Kuri Mashkay, District Awaran</t>
  </si>
  <si>
    <t>Traced Person. Raisaldar Levies, District Awaran appeared before the Commission on 05.04.2021 at Quetta and submitted verification certificate confirming that Noor Din Baloch has returned home.</t>
  </si>
  <si>
    <t>7765 -B</t>
  </si>
  <si>
    <t>Haji Yar Jan</t>
  </si>
  <si>
    <t>Traced Person. Raisaldar Levies, District Awaran appeared before the Commission on 05.04.2021 at Quetta and submitted verification certificate confirming that Haji Yar Jan has returned home.</t>
  </si>
  <si>
    <t>7766 -B</t>
  </si>
  <si>
    <t>Kamal Jan</t>
  </si>
  <si>
    <t>Traced Person. Raisaldar Levies, District Awaran appeared before the Commission on 05.04.2021 at Quetta and submitted verification certificate confirming that Kamal Jan has returned home.</t>
  </si>
  <si>
    <t>7767 -B</t>
  </si>
  <si>
    <t>Dad Rehman s/o Ghulam Muhamamd</t>
  </si>
  <si>
    <t>Nokjoh Mashkay, District Awaran</t>
  </si>
  <si>
    <t>Traced Person. Raisaldar Levies, District Awaran appeared before the Commission on 26.05.2021 at Quetta and submitted verification certificate, duly signed by Deputy Commissioner Awaran confirming that Dad Rehman s/o Ghulam Muhammad has returned home.</t>
  </si>
  <si>
    <t>7768 -B</t>
  </si>
  <si>
    <t>Jalai s/o Dur Muhammad</t>
  </si>
  <si>
    <t>Zik Wasti Gishkor District Awaran</t>
  </si>
  <si>
    <t>Traced Person. Raisaldar Levies, District Awaran appeared before the Commission on 05.04.2021 at Quetta and submitted verification certificate confirming that Jalai s/o Dur Muhammad has returned home.</t>
  </si>
  <si>
    <t>7769 -B</t>
  </si>
  <si>
    <t>Hameed Ullah s/o Abdul Aziz</t>
  </si>
  <si>
    <t>Parwar Mashkay District Awaran</t>
  </si>
  <si>
    <t>Traced Person. Raisaldar Levies, District Awaran appeared before the Commission on 05.04.2021 at Quetta and submitted verification certificate confirming that Hameed Ullah s/o Abdul Aziz has returned home.</t>
  </si>
  <si>
    <t>7770 -B</t>
  </si>
  <si>
    <t>Liwari</t>
  </si>
  <si>
    <t>Traced Person. Raisaldar Levies, District Awaran appeared before the Commission on 05.04.2021 at Quetta and submitted verification certificate confirming that Liwari has returned home.</t>
  </si>
  <si>
    <t>7771 -B</t>
  </si>
  <si>
    <t>Sardar s/o Dur Muhammad</t>
  </si>
  <si>
    <t>Traced Person. Raisaldar Levies, District Awaran appeared before the Commission on 05.04.2021 at Quetta and submitted verification certificate confirming that Sardar s/o Dur Muhammad has returned home.</t>
  </si>
  <si>
    <t>7772 -B</t>
  </si>
  <si>
    <t>Noora Ghulab</t>
  </si>
  <si>
    <t>Pirandar District Awaran</t>
  </si>
  <si>
    <t>Traced Person. Raisaldar Levies, District Awaran appeared before the Commission on 05.04.2021 at Quetta and submitted verification certificate confirming that Noora Ghulab has returned home.</t>
  </si>
  <si>
    <t>7773 -B</t>
  </si>
  <si>
    <t>Mehmood</t>
  </si>
  <si>
    <t>Traced Person. Raisaldar Levies, District Awaran appeared before the Commission on 05.04.2021 at Quetta and submitted verification certificate confirming that Mehmood has returned home.</t>
  </si>
  <si>
    <t>7774 -B</t>
  </si>
  <si>
    <t>Nazeem</t>
  </si>
  <si>
    <t>Traced Person. Raisaldar Levies, District Awaran appeared before the Commission on 05.04.2021 at Quetta and submitted verification certificate confirming that Nazeem has returned home.</t>
  </si>
  <si>
    <t>7775 -B</t>
  </si>
  <si>
    <t>Umtaz s/o Sher Muhammad</t>
  </si>
  <si>
    <t>Traced Person. Raisaldar Levies, District Awaran appeared before the Commission on 05.04.2021 at Quetta and submitted verification certificate confirming that Umtaz s/o Sher Muhammad has returned home.</t>
  </si>
  <si>
    <t>7776 -B</t>
  </si>
  <si>
    <t>Wash Dil</t>
  </si>
  <si>
    <t>Traced Person. Raisaldar Levies, District Awaran appeared before the Commission on 05.04.2021 at Quetta and submitted verification certificate confirming that Wash Dil has returned home.</t>
  </si>
  <si>
    <t>7777 -B</t>
  </si>
  <si>
    <t>Hasil</t>
  </si>
  <si>
    <t>Traced Person. Raisaldar Levies, District Awaran appeared before the Commission on 05.04.2021 at Quetta and submitted verification certificate confirming that Hasil has returned home.</t>
  </si>
  <si>
    <t>7778 -B</t>
  </si>
  <si>
    <t>Haroon</t>
  </si>
  <si>
    <t>Traced Person. Raisaldar Levies, District Awaran appeared before the Commission on 05.04.2021 at Quetta and submitted verification certificate confirming that Haroon has returned home.</t>
  </si>
  <si>
    <t>7779 -B</t>
  </si>
  <si>
    <t>7780 -B</t>
  </si>
  <si>
    <t>Traced Person. Raisaldar Levies, District Awaran appeared before the Commission on 05.04.2021 at Quetta and submitted verification certificate confirming that Noor Bakhsh has returned home.</t>
  </si>
  <si>
    <t>7781 -B</t>
  </si>
  <si>
    <t>Paindo</t>
  </si>
  <si>
    <t>Traced Person. Raisaldar Levies, District Awaran appeared before the Commission on 05.04.2021 at Quetta and submitted verification certificate confirming that Paindo has returned home.</t>
  </si>
  <si>
    <t>7782 -B</t>
  </si>
  <si>
    <t>Yaro</t>
  </si>
  <si>
    <t>Traced Person. Raisaldar Levies, District Awaran appeared before the Commission on 05.04.2021 at Quetta and submitted verification certificate confirming that Yaro has returned home.</t>
  </si>
  <si>
    <t>7783 -B</t>
  </si>
  <si>
    <t>Mumtaz</t>
  </si>
  <si>
    <t>Traced Person. Raisaldar Levies, District Awaran appeared before the Commission on 05.04.2021 at Quetta and submitted verification certificate confirming that Mumtaz has returned home.</t>
  </si>
  <si>
    <t>7784 -B</t>
  </si>
  <si>
    <t>Traced Person. Raisaldar Levies, District Awaran appeared before the Commission on 05.04.2021 at Quetta and submitted verification certificate confirming that Zahid has returned home.</t>
  </si>
  <si>
    <t>7785 -B</t>
  </si>
  <si>
    <t>Akhtar</t>
  </si>
  <si>
    <t>Traced Person. Raisaldar Levies, District Awaran appeared before the Commission on 05.04.2021 at Quetta and submitted verification certificate confirming that Akhtar has returned home.</t>
  </si>
  <si>
    <t>7786 -B</t>
  </si>
  <si>
    <t>Khair Bakhsh</t>
  </si>
  <si>
    <t>Traced Person. Raisaldar Levies, District Awaran appeared before the Commission on 05.04.2021 at Quetta and submitted verification certificate confirming that Khair Bakhsh has returned home.</t>
  </si>
  <si>
    <t>7787 -B</t>
  </si>
  <si>
    <t>Sohro</t>
  </si>
  <si>
    <t>Traced Person. Raisaldar Levies, District Awaran appeared before the Commission on 05.04.2021 at Quetta and submitted verification certificate confirming that Sohro has returned home.</t>
  </si>
  <si>
    <t>7788 -B</t>
  </si>
  <si>
    <t>Nabi Bakhsh</t>
  </si>
  <si>
    <t>Traced Person. Raisaldar Levies, District Awaran appeared before the Commission on 05.04.2021 at Quetta and submitted verification certificate confirming that Nabi Bakhsh has returned home.</t>
  </si>
  <si>
    <t>7789 -B</t>
  </si>
  <si>
    <t>Hammal</t>
  </si>
  <si>
    <t>Traced Person. Raisaldar Levies, District Awaran appeared before the Commission on 05.04.2021 at Quetta and submitted verification certificate confirming that Hammal has returned home.</t>
  </si>
  <si>
    <t>7790 -B</t>
  </si>
  <si>
    <t>Ghulam Jan s/o Dado</t>
  </si>
  <si>
    <t>Traced Person. Raisaldar Levies, District Awaran appeared before the Commission on 05.04.2021 at Quetta and submitted verification certificate confirming that Ghulam Jan s/o Dado has returned home.</t>
  </si>
  <si>
    <t>7791 -B</t>
  </si>
  <si>
    <t>Mazar</t>
  </si>
  <si>
    <t>Gazzi Pirandar, District Awaran</t>
  </si>
  <si>
    <t>Traced Person. Raisaldar Levies, District Awaran appeared before the Commission on 05.04.2021 at Quetta and submitted verification certificate confirming that Mazar has returned home.</t>
  </si>
  <si>
    <t>7792 -B</t>
  </si>
  <si>
    <t>Malang</t>
  </si>
  <si>
    <t>Traced Person. Raisaldar Levies, District Awaran appeared before the Commission on 05.04.2021 at Quetta and submitted verification certificate confirming that Malang has returned home.</t>
  </si>
  <si>
    <t>7793 -B</t>
  </si>
  <si>
    <t>Rahim Dil</t>
  </si>
  <si>
    <t>Traced Person. Raisaldar Levies, District Awaran appeared before the Commission on 05.04.2021 at Quetta and submitted verification certificate confirming that Rahim Dil has returned home.</t>
  </si>
  <si>
    <t>7794 -B</t>
  </si>
  <si>
    <t>Hado</t>
  </si>
  <si>
    <t>Traced Person. Raisaldar Levies, District Awaran appeared before the Commission on 05.04.2021 at Quetta and submitted verification certificate confirming that Hado has returned home.</t>
  </si>
  <si>
    <t>7795 -B</t>
  </si>
  <si>
    <t>Sher Dil</t>
  </si>
  <si>
    <t>Zoomdan Pirandar, District Awaran</t>
  </si>
  <si>
    <t>Traced Person. Raisaldar Levies, District Awaran appeared before the Commission on 05.04.2021 at Quetta and submitted verification certificate confirming that Sher Dil has returned home.</t>
  </si>
  <si>
    <t>7796 -B</t>
  </si>
  <si>
    <t>Muhammad Ali</t>
  </si>
  <si>
    <t>Traced Person. Raisaldar Levies, District Awaran appeared before the Commission on 05.04.2021 at Quetta and submitted verification certificate confirming that Muhammad Ali has returned home.</t>
  </si>
  <si>
    <t>7797 -B</t>
  </si>
  <si>
    <t>Rehan</t>
  </si>
  <si>
    <t>Sonadi Mat Sui, District Dera Bughti</t>
  </si>
  <si>
    <t>7798 -B</t>
  </si>
  <si>
    <t>7799 -B</t>
  </si>
  <si>
    <t>Habib</t>
  </si>
  <si>
    <t>Traced Person. Raisaldar Levies, District Awaran appeared before the Commission on 05.04.2021 at Quetta and submitted verification certificate confirming that Habib has returned home.</t>
  </si>
  <si>
    <t>7800 -B</t>
  </si>
  <si>
    <t>Traced Person. Raisaldar Levies, District Awaran appeared before the Commission on 05.04.2021 at Quetta and submitted verification certificate confirming that Hassan has returned home.</t>
  </si>
  <si>
    <t>7801 -B</t>
  </si>
  <si>
    <t>Hammal s/o Anwar</t>
  </si>
  <si>
    <t>Traced Person. Raisaldar Levies, District Awaran appeared before the Commission on 05.04.2021 at Quetta and submitted verification certificate confirming that Hammal s/o Anwar has returned home.</t>
  </si>
  <si>
    <t>7802 -B</t>
  </si>
  <si>
    <t>Tamoor Khan</t>
  </si>
  <si>
    <t>Traced Person. Raisaldar Levies, District Awaran appeared before the Commission on 05.04.2021 at Quetta and submitted verification certificate confirming that Tamoor Khan has returned home.</t>
  </si>
  <si>
    <t>31st March, 2021</t>
  </si>
  <si>
    <t>7803 -P</t>
  </si>
  <si>
    <t>Muhammad Bashir s/o Muhammad Faqeer</t>
  </si>
  <si>
    <t>Mst. Tasleem Jan, r/o House No 3-G/558, POF Wah Cantt, Tehsil Taxila, District Rawalpindi. (Mobile No. 0301-5585231 &amp; 0301-4418183).</t>
  </si>
  <si>
    <t>37406-2352646-7</t>
  </si>
  <si>
    <t>FIR No. 529/20, dated 27/06/2020, u/s 365 PPC, P.S Saddar Wah cantt, District Rawalpindi.</t>
  </si>
  <si>
    <t>01st April, 2021</t>
  </si>
  <si>
    <t>7804 -P</t>
  </si>
  <si>
    <t>Rehmat Ullah s/o Fazal Hameed</t>
  </si>
  <si>
    <t>Fazal Hameed, r/o Jalala, Tatha Khalil Road, Taxila, District Rawalpindi. (Mobile No. 0305-8145463).</t>
  </si>
  <si>
    <t>12201-7319911-5</t>
  </si>
  <si>
    <t>Traced Person. SSP (Inv) Rawalpindi as well as the complainant appeared before the Commission on 17.7.2021 and confirmed that Rehmat Ullah had returned to home. Hence, no further action is required, the case is closed.</t>
  </si>
  <si>
    <t>7805 -P</t>
  </si>
  <si>
    <t>Nasrullah s/ Abdul Rahim</t>
  </si>
  <si>
    <t>12204-517192-7</t>
  </si>
  <si>
    <t>Traced Person. SSP (Inv) Rawalpindi as well as the Complainant appeared before the Commission on 01.7.2021 and confirmed that Nasurallah had returned to home. Hence case is closed.</t>
  </si>
  <si>
    <t>7806 -K</t>
  </si>
  <si>
    <t>Irshad Ahmed s/o Salu Jan Mehsood</t>
  </si>
  <si>
    <t>Salu Jan Mehsood, r/o Band Khel P.O Makeen, Tehsil Makeen, District South Waziristan, KPK. (Mobile No. 0333-8591881 &amp; 0344-9364897 &amp; 0332-9818779 &amp; 0343-1301496).</t>
  </si>
  <si>
    <t>12101-1565004-1</t>
  </si>
  <si>
    <t>UNWGEID</t>
  </si>
  <si>
    <t>7807 -K</t>
  </si>
  <si>
    <t>Muhammad Israr s/o Fazal Wahab Tajik</t>
  </si>
  <si>
    <t>Fazal Wahab Tajik, r/o Village Tajik Abad, Tehsil Themargara, District Lower Dir, KPK.</t>
  </si>
  <si>
    <t>7808 -P</t>
  </si>
  <si>
    <t>Zia-ur-Rehman s/o Muhammad Ullah</t>
  </si>
  <si>
    <t>Muhammad Ullah, r/o Near Masjid Rajgan, Odhar Wal, District Chakwal, Punjab.</t>
  </si>
  <si>
    <t>EQ20310596991</t>
  </si>
  <si>
    <t>7809 -K</t>
  </si>
  <si>
    <t>Gulab Khan s/o Ali Marjan</t>
  </si>
  <si>
    <t>Ali Marjan, r/o Janata, Tehsil Sra Rogha, District South Waziristan, KPK.</t>
  </si>
  <si>
    <t>21704-1261723-3</t>
  </si>
  <si>
    <t>7810 -S</t>
  </si>
  <si>
    <t>Muhammad Shafiq s/o Muhammad Salam</t>
  </si>
  <si>
    <t>Muhammad Salam, r/o House No. 56, Mohalla Gulzarabad, Mangopir Colony, District Karachi West, Sindh.</t>
  </si>
  <si>
    <t>42401-9701027-7</t>
  </si>
  <si>
    <t>7811 -K</t>
  </si>
  <si>
    <t>Umar Daraz s/o Nawab Khan</t>
  </si>
  <si>
    <t>Nawab Khan, r/o Saifly Kabul Khel, P.O Shewah, Tehsil Shewah, District North Waziristan, KPK.</t>
  </si>
  <si>
    <t>21506-1445706-9</t>
  </si>
  <si>
    <t>7812 -K</t>
  </si>
  <si>
    <t>Farman Ullah s/o Muhammad Aziz Khan</t>
  </si>
  <si>
    <t>Muhammad Aziz Khan, r/o Kotka Abbas Khan Bhitani, P.O Tajori Rasool Khel, Kallay, District Lakki Marwat, KPK.</t>
  </si>
  <si>
    <t>22101-2178308-1</t>
  </si>
  <si>
    <t>Traced Person. Rep of MI has submitted report according to which Farman Ullah s/o Muhammad Aziz Khan is interned in the Internment Centre, Lakki Marwat. The family members of the Internee will be allowed meeting with him subject to completion of legal formalities and Covid- 19 precutainary measeures. Since the Missing Person has been traced, therefore no further action is required. The case is closed.</t>
  </si>
  <si>
    <t>7813 -S</t>
  </si>
  <si>
    <t>r/o Totano Bandi, Manja, Tehsil Kabal, District Swat, KPK</t>
  </si>
  <si>
    <t>7814 -S</t>
  </si>
  <si>
    <t>Muhammad Imran s/o Amir Khan</t>
  </si>
  <si>
    <t>Amir Khan, r/o House No. R-274, Mohalla Musrat Bhutto Colony, North Nazimabad, District Karachi Central, Sindh, Pakistan.</t>
  </si>
  <si>
    <t>42101-4389135-3</t>
  </si>
  <si>
    <t>Traced Person. It was informed at the hearing held in this Commission on 27.7.2021 that Muhammad Imran is involved in Criminal Case FIR No, 19/2020 dated 22.12.2020 u/s 11-H-I/2 PS CTD, Faisalabad. Family of Muhammad Imran met him in Faisalabad District Jail.</t>
  </si>
  <si>
    <t>7815 -K</t>
  </si>
  <si>
    <t>Zafran Ullah s/o Rawas Khan</t>
  </si>
  <si>
    <t>Rawas Khan, r/o Asmoon Khel, P.Oand Tehsil Spin Wam, District North Waziristan, KPK.</t>
  </si>
  <si>
    <t>21509-6216726-9</t>
  </si>
  <si>
    <t>Traced Person. Bakhtawar Khan cousin of Zafran Ullah appeared before the Commission on 19.05.2021. His statement has been recorded on oath. In his statement he has deposed that Zafran Ullah was taken into custody by Security Forces on 08.11.2020. He further deposed that he has met Zafran Ullah twice at the FC Training Centre where Zafran Ullah is undergoing stitching and tailoring training. Moreover, Zafran Ullah has visited his home twice for 14 days. Since Zafran Ullah has been traced, therefore, no further action is required. The case is closed.</t>
  </si>
  <si>
    <t>7816 -K</t>
  </si>
  <si>
    <t>Waqar Ahmed s/o Muhammad Saeed Khan</t>
  </si>
  <si>
    <t>Muhammad Saeed Khan, r/o P.O Mubarak Shahi, Tehsil Mir Ali, District North Waziristan, KPK.</t>
  </si>
  <si>
    <t>21505-5544056-9</t>
  </si>
  <si>
    <t>Traced Person. Rep of MI appeared before the Commission on 19.05.2021 and submitted report/ combined statement dated 19.05.2021 whereby it is mentioned that Waqar Ahmed s/o Muhammad Saeed Khan is confined in Internment Centre Kohat in terms of Action (in aid of Civil) Regulations, 2011.</t>
  </si>
  <si>
    <t>7817 -S</t>
  </si>
  <si>
    <t>Rizwan Rizwan s/o Shiraz Khan</t>
  </si>
  <si>
    <t>Shiraz Khan, r/o Karhama, P.O Ladha, Tehsil Ladha, District South Waziristan, KPK.</t>
  </si>
  <si>
    <t>42301-8158677-7</t>
  </si>
  <si>
    <t>7818 -K</t>
  </si>
  <si>
    <t>Abid Rahman s/o Mubarak Khan</t>
  </si>
  <si>
    <t>Mubarak Khan, r/o Kush Hali, P.O &amp; Tehsil Mir Ali, District North Waziristan, KPK.</t>
  </si>
  <si>
    <t>21505-9214718-3</t>
  </si>
  <si>
    <t>Traced Person. It has been informed that Abid Rehman is confined in Internment Centre at Lakki Marwat. Brother of Abid Rehman is present and admitted the detention of Abid Rehman in the Internment Centre at Lakki Marwat. No further action is required. The case is closed.</t>
  </si>
  <si>
    <t>7819 -K</t>
  </si>
  <si>
    <t>Gul Rahman s/o Pir Rahman</t>
  </si>
  <si>
    <t>Pir Rahman, r/o Wali Noor, P.O Jani Khel, Tehsil &amp; District Bannu, KPK.</t>
  </si>
  <si>
    <t>11101-8365483-1</t>
  </si>
  <si>
    <t>Traced Person. Rep of MI and SP (Inv), Bannu submitted reports at the hearing on 11.10.2021 to the effect that Gul Rehman was interned in the Internment Centre Lakki Marwat under Action (in aid of Civil) Regulations, 2011. The family members met in the Centre. No further action is required. The case is closed.</t>
  </si>
  <si>
    <t>7820 -K</t>
  </si>
  <si>
    <t>Shahid Noor s/o Muhammad Yaqoob</t>
  </si>
  <si>
    <t>Muhammad Yaqoob, r/o Wali Noor, P.O Jani Khe Mushtarka, Tehsil &amp; District Bannu, KPK.</t>
  </si>
  <si>
    <t>11101-4992048-9</t>
  </si>
  <si>
    <t>Traced Person. SP (Inv) Bannu appeared before the Commission on 09-07-2021 and submitted that Shahid Noor is confined in Internment Centre at Lakki Marwat. Family of the traced person have already met him.</t>
  </si>
  <si>
    <t>7821 -K</t>
  </si>
  <si>
    <t>Arif Ullah s/o Rehman Ullah</t>
  </si>
  <si>
    <t>Rehman Ullah, r/o Wazir Memlion Khel, Bachki, Jani Khel, District Bannu, KPK.</t>
  </si>
  <si>
    <t>11101-3249641-7</t>
  </si>
  <si>
    <t>Traced Person. SP (Inv), Bannu and Shafi Ullah (uncle of the disappeared person) appeared before the Commission on 09-07-2021 and confirmed that Arif Ullah has returned home. A copy of the statement from Arif Ullah and the traced person also furnished. The case is closed.</t>
  </si>
  <si>
    <t>7822 -K</t>
  </si>
  <si>
    <t>Amin Amin s/o Muhammad Sala</t>
  </si>
  <si>
    <t>Muhammad Sala, r/o Drazinda, Miami Kabul Khel, P.O &amp; Tehsil Shewa, District North Waziristan, KPK.</t>
  </si>
  <si>
    <t>21508-7629065-3</t>
  </si>
  <si>
    <t>Traced Person. Rep of MI appeared before the Commission on 19.05.2021 and submitted report/ combined statement dated 19.05.2021 whereby it is mentioned that Amin s/o Muhammad Sala is confined in Internment Centre Kohat in terms of Action (in aid of Civil) Regulations, 2011.</t>
  </si>
  <si>
    <t>7823 -S</t>
  </si>
  <si>
    <t>Abdul Saad s/o Muhammad Zaman Afridi</t>
  </si>
  <si>
    <t>Muhammad Zaman Afridi, r/o House No. 700, Block No-D, Mohalla North Nazimabad, Tehsil &amp; District Central Karachi. Sindh.</t>
  </si>
  <si>
    <t>K01813949</t>
  </si>
  <si>
    <t>Deleted. A report was submitted by SHO Shahrah-e-Noor Jahan , Karachi alongwith statement of Amir Zaman real uncle of Abdul Saeed. In the report it is stated that Abdul Saeed went to Tableegh in February, 2013 but did not return. That the family has not alleged any security Agency for his abduction. Hence not a case of enforced disappearance and closed.</t>
  </si>
  <si>
    <t>7824 -K</t>
  </si>
  <si>
    <t>Aman Ullah s/o Rahmat Ullah</t>
  </si>
  <si>
    <t>Rahmat Ullah, r/o Kama Nihgahar Province, Afghanistan.</t>
  </si>
  <si>
    <t>642870
 Afghan Card No.</t>
  </si>
  <si>
    <t>7825 -K</t>
  </si>
  <si>
    <t>Asif Nawaz s/o Robia Khan</t>
  </si>
  <si>
    <t>Robia Khan, r/o Tehsil Mir Ali, District North Waziristan, KPK.</t>
  </si>
  <si>
    <t>21505-5426505-3</t>
  </si>
  <si>
    <t>Traced Person. Rep of MI appeared before the Commission on 19.05.2021 and submitted report/ combined statement dated 19.05.2021 whereby it is mentioned that Asif Nawaz s/o Robia Khan is confined in Internment Centre Kohat in terms of Action (in aid of Civil) Regulations, 2011.</t>
  </si>
  <si>
    <t>7826 -K</t>
  </si>
  <si>
    <t>Wali Khan s/o Jang Wali</t>
  </si>
  <si>
    <t>Jang Wali, r/o Lataka Macha, P.O Datta Khel, Kaza Mada Khel, Tehsil Mada Khel, District North Waziristan, KPK.</t>
  </si>
  <si>
    <t>21501-7452265-7</t>
  </si>
  <si>
    <t>Traced Person. It was informed at the hearing held on 7.6.2022 that Khan Wali s/o Jang Wali remained confined in the Internment Centre lakki marwat and was released on 24.6.2021. No further action is required. The case is closed.</t>
  </si>
  <si>
    <t>7827 -K</t>
  </si>
  <si>
    <t>Naqeeb Ullah s/o Gulat Khan</t>
  </si>
  <si>
    <t>Gulat Khan, r/o Khedi, P.O Eidak, Tehsil Mir Ali, District North Waziristan, KPK.</t>
  </si>
  <si>
    <t>21505-1610800-3</t>
  </si>
  <si>
    <t>7828 -K</t>
  </si>
  <si>
    <t>Nawab Khan s/o Zer Khan</t>
  </si>
  <si>
    <t>Zer Khan, r/o Sar Wano, P.O Pusht, Tehsil Salarzai, District Bajaur, KPK.</t>
  </si>
  <si>
    <t>21106-1594722-9</t>
  </si>
  <si>
    <t>7829 -K</t>
  </si>
  <si>
    <t>Muhammad Said s/o Eid A Zar</t>
  </si>
  <si>
    <t>Eid A Zar, r/o Angur Adda, P.O Azam Warsak, Tehsil Barmail, District South Waziristan, KPK.</t>
  </si>
  <si>
    <t>21701-7433806-6</t>
  </si>
  <si>
    <t>7830 -P</t>
  </si>
  <si>
    <t>Sana Ullah s/o Muhammad Ishaq</t>
  </si>
  <si>
    <t>r/o, Bisti Number Daar, Baqa Pur, P.O Hatiji, Tehsil Ahmed Pur Estate, District Bahawalpur, Punjab.</t>
  </si>
  <si>
    <t>31201-5900746-1</t>
  </si>
  <si>
    <t>7831 -S</t>
  </si>
  <si>
    <t>Naimat Ullah Khan s/o Bait Ullah Khan</t>
  </si>
  <si>
    <t>Usman Ullah, r/o Shal Manzai, P.O &amp; Tehsil Sra Rogha, District South Waziristan, KPK. (Mobile No. 0300-7021310).</t>
  </si>
  <si>
    <t>21704-8521692-5</t>
  </si>
  <si>
    <t>7832 -B</t>
  </si>
  <si>
    <t>Noor Zalam s/o Abdul Rehman</t>
  </si>
  <si>
    <t>Abdul Rehman, r/o Kali China Barat Khel, P.O &amp; Tehsil Qilla Saifullah, District Qilla Saifullah, Balochistan, Pakistan.</t>
  </si>
  <si>
    <t>56201-6063183-5</t>
  </si>
  <si>
    <t>Deleted. DSP appeared on behalf of SP Qillah Abdullah whose statement was recorded on oath. He produced JIT report dated 24.1.2022 statement of Abdul Rehman f/o Noor Zaman and report initially made regarding missing of Noor Zalam. He further deposed that the case was categorized by JIT as the Missing Person has gone on his own. Abdul Rehman father of Noor Zalam also appeared whose statement was recorded on oath in which he deposed that Noor Zalam left home in the year 2020 and not returned back. He further deposed that he was 18/19 year of age and was deaf and dumb and that he has not approached UN of any other forum for tracing the whereabouts of his son. Keeping in view the above, no further action is required as that is not a case of enforced disappearance. The case is closed.</t>
  </si>
  <si>
    <t>7833 -S</t>
  </si>
  <si>
    <t>Minhaj-ud-Din s/o Khan-ud-Din</t>
  </si>
  <si>
    <t>Khan-ud-Din, r/o Maidan, Tehsil Ladha, District South Waziristan, KPK.</t>
  </si>
  <si>
    <t>21702-245977-3</t>
  </si>
  <si>
    <t>Traced Person. It was informed by SDPO, Quaidabad Sub- Divission Karachi that as confirmed the Missing Person Minhaj-ud-Din is confined in Central Prision, Mardan, KP as convicted satenced for 14 years R.I for providing funds for illegal activities. He is presently confined in Central Jail, Kohat . Hence no further action is required. The case is closed.</t>
  </si>
  <si>
    <t>7834 -P</t>
  </si>
  <si>
    <t>Muhammad Abu Bakar s/o Hafiz Muhammad Ameen</t>
  </si>
  <si>
    <t>Hafiz Muhammad Ameen, r/o P.O Khaas, Margai, Tehsil &amp; District Rajanpur. (Mobile No. 0335-7758118)</t>
  </si>
  <si>
    <t>32403-2517106-7</t>
  </si>
  <si>
    <t>Traced Person. Rep of CTD Rajanpur informed at the hearing held on 16-06-2021 that an FIR had lodged against Muhammad Abu Bakar and he was confined in District jail, Rajanpur. No further action is required. The case is closed.</t>
  </si>
  <si>
    <t>7835 -K</t>
  </si>
  <si>
    <t>Rafi Ullah Khan s/o Zameer Ullah</t>
  </si>
  <si>
    <t>Zameer Ullah, r/o Kachuzai, Tehsil &amp; District Bannu. (0334-0594482).</t>
  </si>
  <si>
    <t>11101-514550-1
 Father CNIC</t>
  </si>
  <si>
    <t>Traced Person. Muhammad Ishaq mternal uncle of Rafi Ullah Khan (Traced Persoon) appeared before the Commission on 31.05.2021, whose statement was recorded on oath in which he deposed that his nephew Rafi Ullah Khan had returned home during the last Ramdan. Presently he was hospitilized in Peshawar for treatment of his eyes. The case is closed.</t>
  </si>
  <si>
    <t>7836 -K</t>
  </si>
  <si>
    <t>Arif Ullah Khan s/o Muhammad Hayat Khan</t>
  </si>
  <si>
    <t>Muhammad Hayat Khan, r/o Hussani Dara Shah, Sawarni, Tehsil &amp; District Bannu. (Mobile No. 0345-9796237).</t>
  </si>
  <si>
    <t>11101-0701340-5</t>
  </si>
  <si>
    <t>Traced Person. Arif Ullah Khan appeared before the Commission on 31-05-2021 and his statement was recorded on oath in which he deposed that he was abducted on 19-05-2020 by the army personnel. He further submitted that he was not able to identify the persons and place where he was kept during the detention. He was set free on 25-04-2021 at Bannu Cantt from where he returned home. The case is closed.</t>
  </si>
  <si>
    <t>7837 -K</t>
  </si>
  <si>
    <t>Muhammad Sajjid Khan s/o Sabaz Ali Khan</t>
  </si>
  <si>
    <t>Sabaz Ali Khan, r/o Hussani Dara Shah, Sawarni, Tehsil &amp; District Bannu. (Mobile No. 0332-9680688).</t>
  </si>
  <si>
    <t>11101-6833215-7</t>
  </si>
  <si>
    <t>Traced Person. Muhammad Sajjid Khan appeared before the Commission on 31-05-2021 and his statement was recorded on oath in which he deposed that he was abducted on 19-05-2020 by army personnel. He further submitted that he was not able to identify the persons and place where he was kept during detention. He was set free on 11-04-2021 at Bannu Cantt from where he returned home. The case is closed.</t>
  </si>
  <si>
    <t>7838 -K</t>
  </si>
  <si>
    <t>Jahanzeb Khan s/o Madalip Khan</t>
  </si>
  <si>
    <t>Tir Mor Hazar Khel, P.O Datta Khel, Tehsil Datta Khel District North Waziristan.</t>
  </si>
  <si>
    <t>2121501877560-3</t>
  </si>
  <si>
    <t>Traced Person. Rep of MI appeared before the Commission on 19.05.2021 and submitted report/ combined statement dated 19.05.2021 whereby it is mentioned that Jahanzeb Khan s/o Madalip Khan is confined in Internment Centre Kohat in terms of Action (in aid of Civil) Regulations, 2011.</t>
  </si>
  <si>
    <t>NW/KPK</t>
  </si>
  <si>
    <t>7839 -I</t>
  </si>
  <si>
    <t>Ijaz Sabaina</t>
  </si>
  <si>
    <t>r/o Apartment No. 305, 3rd Floor, Block -B, Zaraj Housing Society, Raina Heights, Islamabad. ( Father Lawer No. Mobile No. 0301-4001367)</t>
  </si>
  <si>
    <t>37405-5282749-8</t>
  </si>
  <si>
    <t>Traced Person. DSP (Inv), Islamabad entered appearance before the Commission on 31.3.2022 and submitted that it was not a case of enforced disappearance for the reason that Ms. Sabina Ijaz (missing person) was living with her father namely Muhammad Ijaz. Mst. Tazeen Majeed did not appear before the Commission despite issuance of notices for recording her statement. Hence, not a case of enforced disappearance. The case is closed.</t>
  </si>
  <si>
    <t>7840 -K</t>
  </si>
  <si>
    <t>Miraj Hussain s/o Dawood Jan</t>
  </si>
  <si>
    <t>Sajid Hussain, r/o Para Chanar, Mali Khel Village, District Kurram. (Mobile No. 0301-5582111 &amp; 0308-5273217)</t>
  </si>
  <si>
    <t>21303-9798644-3</t>
  </si>
  <si>
    <t>Kurram District</t>
  </si>
  <si>
    <t>7841 -K</t>
  </si>
  <si>
    <t>Shaban Ali s/o Zawar Ali</t>
  </si>
  <si>
    <t>Shahab Hussain, r/o Sub Jail, Malana Road, Para Chanar, District Kurram. (Mobile No. 0304-5173275)</t>
  </si>
  <si>
    <t>21303-2138168-9</t>
  </si>
  <si>
    <t>7842 -K</t>
  </si>
  <si>
    <t>Muhammad Fawad s/o Ayub Khan</t>
  </si>
  <si>
    <t>Sheno, r/o Mohallah Khundi Bala, P.O Peshawar University, Tehsil &amp; District Peshawar. (Mobile No. 0335-9324203 &amp; 0317-0191017)</t>
  </si>
  <si>
    <t>17301-6870760-3</t>
  </si>
  <si>
    <t>Traced Person. Rep of MI informed at the hearing on 25.05.2021 that Muhammad Fawad is interned in the Internment Centre Ghalani (in aid of Civil) Regulation, 2011. Family shall be facilitated to see him on the Centre subject to prescribed procedure.</t>
  </si>
  <si>
    <t>Khyber Agency</t>
  </si>
  <si>
    <t>7843 -K</t>
  </si>
  <si>
    <t>Khan Rasool s/o Sofaid Gul</t>
  </si>
  <si>
    <t>Ghulam Rasool, r/o Village Ameer Khel, P.O Sherkera, P.S Mattni, District Peshawar. (Mobile No. 0307-8462712).</t>
  </si>
  <si>
    <t>17301-7910894-5</t>
  </si>
  <si>
    <t>7844 -P</t>
  </si>
  <si>
    <t>Rashid s/o Javeed Khan</t>
  </si>
  <si>
    <t>Javeed Khan, r/o House No. ZA-124, Mohalla Hazara Colony, Haji Road, Rawalpindi. (Mobile No. 0310-5471500).</t>
  </si>
  <si>
    <t>Traced Person. SSP (Inv) Rawalpindi appeared before the Commission on 01.7.2021 and submitted report form CPO, Rawalpindi indicating that Missing Person Rashid has been arrested by Police PS Koral, Islamabad in case FIR No. 104, dated 01.02.2021 u/s 392/411 PPC and sent to Central prison Adyala, Rawalpindi. Accordingly, the case is closed.</t>
  </si>
  <si>
    <t>7845 -I</t>
  </si>
  <si>
    <t>Muhammad Liaqat s/o Muhammad Shafi Khan</t>
  </si>
  <si>
    <t>Muhammad Asif, r/o House No. 62, Mohalla Alipur Farash, Dhok Jabbi, District Islamabad. (Mobile No. 0312-5559641)</t>
  </si>
  <si>
    <t>61101-3366903-7</t>
  </si>
  <si>
    <t>Traced Person. SP (Inv) Islamabad appeared before the Commission on 08.07.2021 and submitted report that Missing Person Muhammad Liaquat has been arrested in case FIR No. 104, dated 01.02.2021 u/s 392/411 PPC and sent to Central prison Adyala, Rawalpindi. Accordingly, the case is closed.</t>
  </si>
  <si>
    <t>7846 -I</t>
  </si>
  <si>
    <t>Muhammad Riasat s/o Muhammad Shafi Khan</t>
  </si>
  <si>
    <t>61101-5523052-5</t>
  </si>
  <si>
    <t>Traced Person. SP (Inv) Islamabad appeared before the Commission on 08.07.2021 and submitted report that Missing Person Muhammad Riasat has been arrested in case FIR No. 104, dated 01.02.2021 u/s 392/411 PPC and sent to Central prison Adyala, Rawalpindi. Accordingly, the case is closed.</t>
  </si>
  <si>
    <t>7847 -P</t>
  </si>
  <si>
    <t>Yousaf Khan s/o Muhammad Hussain</t>
  </si>
  <si>
    <t>Muhammad Hussain, r/o Gulistan Colony, Bani Mohalla, Taxila, Rawalpindi. (Mobile No. 0322-5212555).</t>
  </si>
  <si>
    <t>37406-3887294-9</t>
  </si>
  <si>
    <t>Traced Person. SSP (Inv), Rawalpindi appeared before the Commission on 01.7.2021 and submitted affidavit from Yousaf Khan and his father confirming that the former had had returned to home. Their statement was also recorded u/s 164 CrpC. The case is closed.</t>
  </si>
  <si>
    <t>7848 -K</t>
  </si>
  <si>
    <t>Shahid Khan s/o Kabal</t>
  </si>
  <si>
    <t>Muhammad Haneef, r/o Qoyam Mamuzai, University Highway, Jarma, Tehsil &amp; District Kohat. (Mobile No. 0333-9674742).</t>
  </si>
  <si>
    <t>21604-542657-3</t>
  </si>
  <si>
    <t>Traced Person. Shahid Khan s/o Kabal Khan entered appearance before the Commission and recorded his statement on oath in which he stated that he had gone to Swat on his own and was not abducted by anyone. SP (Inv), Kohat also confirmed in his report.</t>
  </si>
  <si>
    <t>7849 -S</t>
  </si>
  <si>
    <t>Sana Ullah s/o Shafi Muhammad</t>
  </si>
  <si>
    <t>Rashid, r/o Mango Pir, Haji Allah Bux Goth, P.O Mango Pir, Tehsil &amp; District Karachi West. (Mobile No. 0321-2147929).</t>
  </si>
  <si>
    <t>42401-3457001-7</t>
  </si>
  <si>
    <t>7850 -K</t>
  </si>
  <si>
    <t>Shams-ud-Din s/o Dawat Khan</t>
  </si>
  <si>
    <t>Jamar Khan, r/o Khar Tangi, Macha Mada Khel, Tehsil Datta Khel, District North Waziristan. (Mobile No. 0336-8826590).</t>
  </si>
  <si>
    <t>21501-7906555-7</t>
  </si>
  <si>
    <t>Traced Person. Rep of MI has submitted report according to which Shamas-ud-Din s/o Dawat Khan is interned in the Internment Centre, Lakki Marwat. The family members of the internee will be allowed meeting with the Internee subject to completion of legal formalities and Covid- 19 precautionary measures. No further action is required the case is closed.</t>
  </si>
  <si>
    <t>7851 -P</t>
  </si>
  <si>
    <t>Tanveer Haider s/o Akhter Hussain Khan</t>
  </si>
  <si>
    <t>Mst. Ishrat Tuqeer w/o Tanveer Haider Khan, r/o Mohalla Qazyaan waal, Shauwal, District Sargodha.</t>
  </si>
  <si>
    <t>Traced Person. Tanveer Haider has been arrested by CTD, In this connection statement of Shahid Inayat Bhatti, Inspector CTD HQ, Lahore has been recorded on oath who submitted report on behalf of SP (Inv) CTD Punjab, Lahore the the Regional Officer CTD Sargodha has reported that abovesaid missing person was arrested in Case FIR No. 12 u/s 4/5 ESA 7ATA dated 09.08.2021 PS/CTD Loalai Balochistan as Tanveer Haider Khan has been arrested no further action is required. The case is closed .</t>
  </si>
  <si>
    <t>7852 -K</t>
  </si>
  <si>
    <t>Khalid Khan s/o Muhammad Ayub</t>
  </si>
  <si>
    <t>Gul Wali Khan, r/o Asprak Traf Awal, P.O Domail, District Bannu. (Mobile No. 0334-9505294).</t>
  </si>
  <si>
    <t>11101-8713212-7</t>
  </si>
  <si>
    <t>FIR No. 290, dated 15.6.21, u/s 365 PPC, P.S Pezu. District Lakki Marwat.</t>
  </si>
  <si>
    <t>7853 -K</t>
  </si>
  <si>
    <t>Saleem @ Sorat Khan s/o Gul Muhammad Ayaz</t>
  </si>
  <si>
    <t>Gul Wali Khan, r/o Asprak Traf Awal, P.O Domail, District Bannu. (Mobile No. 0334-9505294 &amp; 0305-9603551).</t>
  </si>
  <si>
    <t>11101-1514419-3
 Father CNIC</t>
  </si>
  <si>
    <t>FIR No. 291, dated 15.6.21, u/s 365 PPC, P.S Pezu. District Lakki Marwat.</t>
  </si>
  <si>
    <t>7854 -K</t>
  </si>
  <si>
    <t>Javeed Ullah s/o Makhsay Khan</t>
  </si>
  <si>
    <t>Shams-ur-Rehamn, r/o Ladaa Khel, P.O Datta Khel, Zai Sadgai, Tehsil Datta Khel, District North Waziristan. (Mobile No. 0335-9139797 &amp; 0345-9139797)</t>
  </si>
  <si>
    <t>21501-8135902-7
 Brother CNIC</t>
  </si>
  <si>
    <t>Traced Person. Shamas-ur-Rehman b/o of Missing Person entered appearance before the Commission on 11.08.2021 whose statement was recorded on oath in which he stated that Javed Ullah was confined in Internment Centre Lakki Marwat where he met twice. SP (Inv), Bannu also submitted report confirming statement brother of Javed Ullah.</t>
  </si>
  <si>
    <t>7855 -K</t>
  </si>
  <si>
    <t>Jamal Inayat s/o Inayat Ullah Khan</t>
  </si>
  <si>
    <t>Inayat Ullah Khan, r/o Hussani Dara Shah, Sawarni, Tehsil &amp; District Bannu. (Mobile No. 0335-8369907).</t>
  </si>
  <si>
    <t>11101-7434172-1
 Father CNIC</t>
  </si>
  <si>
    <t>Traced Person. Jamal Inayat entered appearance before the Commission on 25.06.2021 and his statement was recorded on oath in which he deposed that he was abducted on 17-05-2020 from Hussaini Dara Shah Sawarmi Tehsil &amp; District Bannu. He further submitted that he was released on 12th of Ramdan, 2021 at Bannu Cantt from where he returned home. No further action is required. The case is closed.</t>
  </si>
  <si>
    <t>7856 -P</t>
  </si>
  <si>
    <t>Mohaib Ullah s/o Ameer Faisal</t>
  </si>
  <si>
    <t>Mst. Bibi Noor Jahan, r/o Garhi Risala,Hangu Road, Kohat. (Mobile No. 0333-9662220 &amp; 0332-9878866).</t>
  </si>
  <si>
    <t>14301-9076477-2</t>
  </si>
  <si>
    <t>Traced Person. Investigation officer of the case appeared before the Commission on 29.04.2021 and submitted statement of Aman Ullah b/o Mohib Ullah in which he stated that Mohib Ullah has been arrested by CTD Lahore, who at present confined in Kot Lakhpat Jail, Lahore and his family members have already met him in the aforesaid Jail. He further deposed that a case vide FIR No, 7 dated 04.04.2021 u/s 4/5 ESA 7ATA/1997, AO 13-22A, 20/65 PS CTD Lahore is registered. Foregoing in view no further action is required. The case is closed.</t>
  </si>
  <si>
    <t>7857 -I</t>
  </si>
  <si>
    <t>Zahid Gul Dad s/o Gul Dad Khan</t>
  </si>
  <si>
    <t>Ahsan-ul Haq, r/o Mohalla Manshia, House No. 29-A, Nerali Kala, P.O Khaas, Tehsil &amp; District Islamabad. (Mobile No. 0348-5636309).</t>
  </si>
  <si>
    <t>61101-6183735-9</t>
  </si>
  <si>
    <t>FIR No. 286 /20 dated 28.06.2020 u/ 365 PPC PS Karachi Company, ICT</t>
  </si>
  <si>
    <t>Traced Person. At the hearing held in this case on 01.06.2021, DSP (Inv), ICT and I.O of the case appeared and submitted statements of Traced Person recorded u/s 164 CrPC in which he deposed that he went to Karachi from earning livelihood on 23.06.2020 and returned home on 16.05.2021. No further action required. The case is closed.</t>
  </si>
  <si>
    <t>7858 -S</t>
  </si>
  <si>
    <t>Abid Noor s/o Bahad-ur-Zaman</t>
  </si>
  <si>
    <t>Bahad-ur-Zaman, r/o Tir Mor Hazae Khel, P.O Datta Khel, Mada Khel, Tehsil Datta Khel, District North Waziristan, KPK.</t>
  </si>
  <si>
    <t>21502-4554155-9</t>
  </si>
  <si>
    <t>Traced Person. SHO, Bin Qasim, Karachi submitted in his report that Abid Noor s/o Bahadur Zaman has been contacted on Mobile No. 0307-7101638. During conversation he informed that he was not abducted by anyone, rather he was living with his family at Mada Khel, Tehsil Datta Khel, District South Waziristan. Hence, no further action is required. The case is closed.</t>
  </si>
  <si>
    <t>7859 -K</t>
  </si>
  <si>
    <t>Naik Muhammad Khan s/o Moiaz Khan</t>
  </si>
  <si>
    <t>Jamshaid Niaz, r/o Khushali, Razmak, P.O Razmak, District North Waziristan. (Mobile No. 0332-2400098 &amp; 0334-9194772 &amp; 0330-5349324).</t>
  </si>
  <si>
    <t>21507-4082363-9</t>
  </si>
  <si>
    <t>Traced Person. Presently Naik Muhammad Khan is confined at 44-FF (Army Unit). Shakir UIlah nephew of nail Muhammad Khan appeared and submitted that he already met Naik Muhammad Khan. No further action is required. The Case is closed.</t>
  </si>
  <si>
    <t>7860 -K</t>
  </si>
  <si>
    <t>Salman Khan s/o Muhammad Rafiuqe</t>
  </si>
  <si>
    <t>Muhammad Sohail, r/o Khalid Abad, Daruwagi, Mattni, Tehsil &amp; District Peshawar. (Mobile No. 0333-9134475 &amp; 0307-3976129).</t>
  </si>
  <si>
    <t>14301-1090169-5</t>
  </si>
  <si>
    <t>Traced Person. Muhammad Suhail b/o Salman Khan entered appearance before the Commission, whose statement was recorded on oath in which he deposed that he and his mother have already met Salman Khan on 10-06-2021 in the Internment Centre at Kohat. In view of above, no further action is required. The case is closed.</t>
  </si>
  <si>
    <t>7861 -B</t>
  </si>
  <si>
    <t>Asmat Ullah s/o Wazir Muhammad</t>
  </si>
  <si>
    <t>Ali Muhammad, r/o Bolan Town, Sabzal Road, Quetta. (Mobile No. 0300-3829854).</t>
  </si>
  <si>
    <t>54400-8600139-5</t>
  </si>
  <si>
    <t>Deleted. In this case, there are concurrent findings/ conclusion by JIT and PTF that the Missing Person has gone on his own. All stakeholders have denied arrest/custody of Asmat Ullah. The complainant Ali Muhammad also submitted that there is no allegation against any LEAs/Intelligence Agency. No further action is required. The case is closed.</t>
  </si>
  <si>
    <t>7862 -K</t>
  </si>
  <si>
    <t>Saeed Ahmed s/o Meer Mola Bukhsh</t>
  </si>
  <si>
    <t>Meer Mola Bukhsh, r/o Zargon Road, Mohalla Sarki, Allahabad, Quetta. (Mobile No. 0336-1352109 &amp; 0333-3786825).</t>
  </si>
  <si>
    <t>54400-5289598-8</t>
  </si>
  <si>
    <t>Traced Person. Saeed Ahmad s/o Mir Moula Bux entered appearance before the Commission whose statement was recorded on oath in which he deposed that he was abducted by a man in civil dress in the year 2017. Now he reached home safely as informed by him in the JIT meetings held on 11.10.2021. No further action is required. The case is closed.</t>
  </si>
  <si>
    <t>7863 -A</t>
  </si>
  <si>
    <t>Qari Zaheer-ud-Din s/o Muhammad Sabeel</t>
  </si>
  <si>
    <t>Muhammad Idrees, r/o Mohalla Naluchi, Attique Genrel Store, Tehsil &amp; District Muzaffarabad. (Mobile No. 0348-9607580).</t>
  </si>
  <si>
    <t>82203-4965706-3</t>
  </si>
  <si>
    <t>7864 -I</t>
  </si>
  <si>
    <t>Shahzaib Khan s/o Ghulam Jillani</t>
  </si>
  <si>
    <t>Mst. Rasheeda Begum, r/o Flat No. B-14, Mohalla Atlaye center, Schem 43 North Karachi, Sector 11-H, Karachi, Tehsil &amp; District Karachi Wasti. (Mobile No. +1(214) 214-209-2963).</t>
  </si>
  <si>
    <t>42101-8801386-9</t>
  </si>
  <si>
    <t>7865 -K</t>
  </si>
  <si>
    <t>Habib-ur-Rehman s/o Ghulam Mustafa</t>
  </si>
  <si>
    <t>Ch. Ghulam Muhammad, r/o Garah Shahbaz, Tehri waa Balech Consel, Garah Guldad, Kalachi, D.I.Khan. (Mobile No. 0348-5739429 &amp; 0312-7869660).</t>
  </si>
  <si>
    <t>12102-2138790-3</t>
  </si>
  <si>
    <t>Traced Person. Abdul Rehman b/o Habib-ur-Rehman appeared before the Commission and affirmed that he already met Habib-ur-Rehman twice in Internment Centre Lakki Marwat. Rep of MI also submitted report that Habib-ur-Rehman was interned in Internment Centre Lakki Marwat.</t>
  </si>
  <si>
    <t>7866 -K</t>
  </si>
  <si>
    <t>Iqbal Hussain s/o Malik Safat Ali</t>
  </si>
  <si>
    <t>Mst. Robana, r/o Mali Khel, Parachnar, District Upper Kurram. (Mobile No. 0303-8954521 &amp; 0333-9626668).</t>
  </si>
  <si>
    <t>21303-3082678-2</t>
  </si>
  <si>
    <t>Traced Person. It has been informed at the hearing on 27.08.2021 that Iqbal Hussain s/o Malik Safat Ali has returned home. Accordingly, no further action is required. The case is closed.</t>
  </si>
  <si>
    <t>7867 -B</t>
  </si>
  <si>
    <t>Ghulam Rasool Baloch s/o Ghulam Qadir</t>
  </si>
  <si>
    <t>Ghulam Nabi Baloch, r/o Ilam Khan Goth, P.O Wandar, Tehsil Kanraj, District Lasbela. (Mobile No. 0332-2581980).</t>
  </si>
  <si>
    <t>51504-9085854-9</t>
  </si>
  <si>
    <t>7868 -S</t>
  </si>
  <si>
    <t>Muhammad Faheem s/o Muhammad Arif</t>
  </si>
  <si>
    <t>Mst. Rabia, r/o Fatima Bulding, Gali No. 04, Memoon Socity, Lyari, Karachi. (Mobile No. 0335-2032441).</t>
  </si>
  <si>
    <t>42301-15111188-9</t>
  </si>
  <si>
    <t>7869 -K</t>
  </si>
  <si>
    <t>Hussain Shah Khan s/o Ashraf Khan</t>
  </si>
  <si>
    <t>Qatib Khan, r/o Dag Qillah, P.O Sandhu Khel, Kamal Khel, Tehsil Safi, District Mohmand. (Mobile No. 0303-8785605).</t>
  </si>
  <si>
    <t>21406-2782360-7</t>
  </si>
  <si>
    <t>7870 -K</t>
  </si>
  <si>
    <t>Tawab s/o Rehman Ullah</t>
  </si>
  <si>
    <t>Muhammad Israil, r/o Mohalla Haji Aslam, Kalye Dhaki, Tehsil Tengi, District Charsadda. (Mobile No. 0346-9279475 &amp; 0300-9708834).</t>
  </si>
  <si>
    <t>17102-5779219-5</t>
  </si>
  <si>
    <t>Traced Person. SP (Inv), Charsadda furnished report indicating that the missing person namely Tawab s/o Rehman Ullah r/o Dhaki Tangi, District Charsadda involved in case vide FIR No. 13 dated 26.4.2021 u/s 21 (i) J. ATA was arrested by CTD Mardan. He was released on bail by the competent Court of law and living with his family at his village situated in District Mohmand. No further action is required. The case is closed.</t>
  </si>
  <si>
    <t>7871 -P</t>
  </si>
  <si>
    <t>Saad Karim s/o Abdul Hakeem Imtiaz</t>
  </si>
  <si>
    <t>Abdul Hakeem Imtiaz, r/o 3-9/66-1, Fatima Jinnah Road, Quetta. (Mobile No. 0315-7800607).</t>
  </si>
  <si>
    <t>54400-4376449-3</t>
  </si>
  <si>
    <t>7872 -S</t>
  </si>
  <si>
    <t>Faheem Haider s/o Mushtaq Ali Soomro</t>
  </si>
  <si>
    <t>Mushtaq Ali Soomra, r/o House No. 5/619, Hassan Ali Soomro Road, Wahgan Gate, Shikarpur, Sindh. (Mobile No. 0333-1272110 &amp; 0331-3058535).</t>
  </si>
  <si>
    <t>43304-1864090-9</t>
  </si>
  <si>
    <t>7873 -K</t>
  </si>
  <si>
    <t>Sabir Yaqoob, r/o House No. E-44, Near Jamia Masjid, Mohalla Shad, Attock City. (Mobile No. 0333-5158293 &amp; 0306-9779634).</t>
  </si>
  <si>
    <t>37101-3459948-1</t>
  </si>
  <si>
    <t>Traced Person. Sabir Yaqoob b/o Asad Muhammad Yaqoob entered appearance before the Commission and his statement was recorded on oath in which he deposed that Asad Muhammad Yaqoob was abducted on 06.04.2021 and at the moment he was confined in Adiala Jail, Rawalpindi where he met Asad Muhammad Yaqoob.</t>
  </si>
  <si>
    <t>30th April</t>
  </si>
  <si>
    <t>7874 -K</t>
  </si>
  <si>
    <t>Rehman Ullah s/o Habib-ur-Rehman</t>
  </si>
  <si>
    <t>Saeed-ur-Rehman, r/o Tehsil Datta Khel, Village Ghazlami, District North Waziristan, KPK. (Mobile No. 0330-3040052 &amp; 0300-0079198).</t>
  </si>
  <si>
    <t>21501-2329729-5</t>
  </si>
  <si>
    <t>Traced Person. According to the report furnished by Rep of MI at the hearing on 28.6.2021 Rehman Ullah is interned in the Internment Centre Lakki Marwat.The family members of Muhammad Ibrahim be facilitated to see him as per rules and procedure.</t>
  </si>
  <si>
    <t>1st May, 2021</t>
  </si>
  <si>
    <t>7875 -K</t>
  </si>
  <si>
    <t>Aman Jhangir s/o Jhangir Shair Muhammad</t>
  </si>
  <si>
    <t>Ibrahim Jhangir, r/o Sadat Colony, Motorway Chowk, Sector 14/4, Islamabad. (Mobile No. 0323-1558354 &amp; 0334-7635245).</t>
  </si>
  <si>
    <t>37405-8421384-3</t>
  </si>
  <si>
    <t>Traced Person. SP (Inv) Islamabad appeared before the Commission on 08.07.2021 and submitted report that Missing Person Aman Jehangir has returned to home. He went to Murree on his own. Accordingly, the case is closed.</t>
  </si>
  <si>
    <t>7876 -K</t>
  </si>
  <si>
    <t>Amad s/o Sanoober</t>
  </si>
  <si>
    <t>Sanoober, r/o Mohalla Rakhat Khel, Katlang Shewah Bandha, Katlang, Mardan. (Mobile No. 0345-5531743 &amp; 0348-9859596).</t>
  </si>
  <si>
    <t>16103-0348101-1</t>
  </si>
  <si>
    <t>7877 -K</t>
  </si>
  <si>
    <t>Muhammad Abdullah s/o Agbar Shair</t>
  </si>
  <si>
    <t>Mst. Nazakat Bibi, r/o Mohalla Rakhat Khel, Katlang Shewah Bandha, Katlang, Mardan. (Mobile No. 0345-5531743 &amp; 0348-9859596).</t>
  </si>
  <si>
    <t>16103-0378921-1</t>
  </si>
  <si>
    <t>7878 -K</t>
  </si>
  <si>
    <t>Muhammad Yasir s/o Agbar Shair</t>
  </si>
  <si>
    <t>7879 -B</t>
  </si>
  <si>
    <t>Sameer</t>
  </si>
  <si>
    <t>District Awaran</t>
  </si>
  <si>
    <t>Traced Person. Raisaldar Levies, District Awaran appeared before the Commission on 26.05.2021 at Quetta and submitted verification certificate, duly signed by Deputy Commissioner Awaran confirming that Sameer has returned home.</t>
  </si>
  <si>
    <t>7880 -B</t>
  </si>
  <si>
    <t>Khaliq Dad</t>
  </si>
  <si>
    <t>Traced Person. Raisaldar Levies, District Awaran appeared before the Commission on 26.05.2021 at Quetta and submitted verification certificate, duly signed by Deputy Commissioner Awaran confirming that Khaliq Dad has returned home.</t>
  </si>
  <si>
    <t>7881 -B</t>
  </si>
  <si>
    <t>Abdul Nabi</t>
  </si>
  <si>
    <t>Traced Person. Raisaldar Levies, District Awaran appeared before the Commission on 26.05.2021 at Quetta and submitted verification certificate, duly signed by Deputy Commissioner Awaran confirming that Abdul Nabi has returned home.</t>
  </si>
  <si>
    <t>7882 -B</t>
  </si>
  <si>
    <t>Rafiq</t>
  </si>
  <si>
    <t>Traced Person. Raisaldar Levies, District Awaran appeared before the Commission on 26.05.2021 at Quetta and submitted verification certificate, duly signed by Deputy Commissioner Awaran confirming that Rafiq has returned home.</t>
  </si>
  <si>
    <t>7883 -B</t>
  </si>
  <si>
    <t>Gazi Khan</t>
  </si>
  <si>
    <t>Soorghar, Jahoo, District Awaran</t>
  </si>
  <si>
    <t>Traced Person. Raisaldar Levies, District Awaran appeared before the Commission on 26.05.2021 at Quetta and submitted verification certificate, duly signed by Deputy Commissioner Awaran confirming that Gazi Khan has returned home.</t>
  </si>
  <si>
    <t>7884 -B</t>
  </si>
  <si>
    <t>Zareef s/o Muhammad</t>
  </si>
  <si>
    <t>Traced Person. Raisaldar Levies, District Awaran appeared before the Commission on 26.05.2021 at Quetta and submitted verification certificate, duly signed by Deputy Commissioner Awaran confirming that Zareef s/o Muhammad has returned home.</t>
  </si>
  <si>
    <t>7885 -B</t>
  </si>
  <si>
    <t>Abdul Wahid s/o Rasool Bakhsh</t>
  </si>
  <si>
    <t>Traced Person. Raisaldar Levies, District Awaran appeared before the Commission on 26.05.2021 at Quetta and submitted verification certificate, duly signed by Deputy Commissioner Awaran confirming that Abdul Wahid s/o Rasool Bakhsh has returned home.</t>
  </si>
  <si>
    <t>7886 -B</t>
  </si>
  <si>
    <t>Ijaz s/o Noora</t>
  </si>
  <si>
    <t>Traced Person. Raisaldar Levies, District Awaran appeared before the Commission on 26.05.2021 at Quetta and submitted verification certificate, duly signed by Deputy Commissioner Awaran confirming that Ijaz s/o Noora has returned home.</t>
  </si>
  <si>
    <t>7887 -B</t>
  </si>
  <si>
    <t>Pathan</t>
  </si>
  <si>
    <t>Traced Person. Raisaldar Levies, District Awaran appeared before the Commission on 26.05.2021 at Quetta and submitted verification certificate, duly signed by Deputy Commissioner Awaran confirming that Pathan has returned home.</t>
  </si>
  <si>
    <t>7888 -B</t>
  </si>
  <si>
    <t>Sarwar</t>
  </si>
  <si>
    <t>Traced Person. Raisaldar Levies, District Awaran appeared before the Commission on 26.05.2021 at Quetta and submitted verification certificate, duly signed by Deputy Commissioner Awaran confirming that Sarwar has returned home.</t>
  </si>
  <si>
    <t>7889 -B</t>
  </si>
  <si>
    <t>Achoo s/o Meran</t>
  </si>
  <si>
    <t>Traced Person. Raisaldar Levies, District Awaran appeared before the Commission on 26.05.2021 at Quetta and submitted verification certificate, duly signed by Deputy Commissioner Awaran confirming that Achoo s/o Meran has returned home.</t>
  </si>
  <si>
    <t>7890 -B</t>
  </si>
  <si>
    <t>Muhammad Noor s/o Shay Muhammad</t>
  </si>
  <si>
    <t>Kohdi Jhao, District Awaran</t>
  </si>
  <si>
    <t>Traced Person. Raisaldar Levies, District Awaran appeared before the Commission on 26.05.2021 at Quetta and submitted verification certificate, duly signed by Deputy Commissioner Awaran confirming that Muhammad Noor s/o Shay Muhammad has returned home.</t>
  </si>
  <si>
    <t>7891 -B</t>
  </si>
  <si>
    <t>Mussa s/o Qadir Dad</t>
  </si>
  <si>
    <t>Waja Bag, Jhao District Awaran</t>
  </si>
  <si>
    <t>Traced Person. Raisaldar Levies, District Awaran appeared before the Commission on 26.05.2021 at Quetta and submitted verification certificate, duly signed by Deputy Commissioner Awaran confirming that Mussa s/o Qadir Dad has returned home.</t>
  </si>
  <si>
    <t>7892 -B</t>
  </si>
  <si>
    <t>Karim Jan s/o Muhammad Rahim Sardar</t>
  </si>
  <si>
    <t>Kanichi Muhammad Bazar, Kolwah District Awaran</t>
  </si>
  <si>
    <t>Traced Person. Raisaldar Levies, District Awaran appeared before the Commission on 26.05.2021 at Quetta and submitted verification certificate, duly signed by Deputy Commissioner Awaran confirming that Karim Jan s/o Muhamamd Rahim has returned home.</t>
  </si>
  <si>
    <t>7893 -B</t>
  </si>
  <si>
    <t>7894 -B</t>
  </si>
  <si>
    <t>Mazar Mulla s/o Ibrahim</t>
  </si>
  <si>
    <t>Traced Person. Raisaldar Levies, District Awaran appeared before the Commission on 26.05.2021 at Quetta and submitted verification certificate, duly signed by Deputy Commissioner Awaran confirming that Mazar Mulla s/o Ibrahim has returned home.</t>
  </si>
  <si>
    <t>7895 -B</t>
  </si>
  <si>
    <t>Fazal s/o Peerak</t>
  </si>
  <si>
    <t>Traced Person. Raisaldar Levies, District Awaran appeared before the Commission on 26.05.2021 at Quetta and submitted verification certificate, duly signed by Deputy Commissioner Awaran confirming that Fazal s/o Peerak has returned home.</t>
  </si>
  <si>
    <t>7896 -B</t>
  </si>
  <si>
    <t>Samad s/o Eido</t>
  </si>
  <si>
    <t>Traced Person. Raisaldar Levies, District Awaran appeared before the Commission on 26.05.2021 at Quetta and submitted verification certificate, duly signed by Deputy Commissioner Awaran confirming that Samad s/o Eido has returned home.</t>
  </si>
  <si>
    <t>7897 -B</t>
  </si>
  <si>
    <t>Bahar s/o Ismail</t>
  </si>
  <si>
    <t>Traced Person. Raisaldar Levies, District Awaran appeared before the Commission on 26.05.2021 at Quetta and submitted verification certificate, duly signed by Deputy Commissioner Awaran confirming that Bahar s/o Ismail has returned home.</t>
  </si>
  <si>
    <t>7898 -B</t>
  </si>
  <si>
    <t>Barkat s/o Jorak</t>
  </si>
  <si>
    <t>Traced Person. Raisaldar Levies, District Awaran appeared before the Commission on 26.05.2021 at Quetta and submitted verification certificate, duly signed by Deputy Commissioner Awaran confirming that Barkat s/o Jorak has returned home.</t>
  </si>
  <si>
    <t>7899 -B</t>
  </si>
  <si>
    <t>Jorak s/o Muhammad Jan</t>
  </si>
  <si>
    <t>Traced Person. Raisaldar Levies, District Awaran appeared before the Commission on 26.05.2021 at Quetta and submitted verification certificate, duly signed by Deputy Commissioner Awaran confirming that Jorak s/o Muhammad Jan has returned home.</t>
  </si>
  <si>
    <t>7900 -B</t>
  </si>
  <si>
    <t>Jumma s/o Haibtan</t>
  </si>
  <si>
    <t>Syah Gazzi, Awaran District Awaran</t>
  </si>
  <si>
    <t>Traced Person. Raisaldar Levies, District Awaran appeared before the Commission on 26.05.2021 at Quetta and submitted verification certificate, duly signed by Deputy Commissioner Awaran confirming that Jumma s/o Haibtan has returned home.</t>
  </si>
  <si>
    <t>7901 -B</t>
  </si>
  <si>
    <t>Assa s/o Haibtan</t>
  </si>
  <si>
    <t>Traced Person. Raisaldar Levies, District Awaran appeared before the Commission on 26.05.2021 at Quetta and submitted verification certificate, duly signed by Deputy Commissioner Awaran confirming that Assa s/o Haibtan has returned home.</t>
  </si>
  <si>
    <t>7902 -B</t>
  </si>
  <si>
    <t>Zarin s/o Hassan</t>
  </si>
  <si>
    <t>Chegerdi Peerandar, District Awaran</t>
  </si>
  <si>
    <t>Traced Person. Raisaldar Levies, District Awaran appeared before the Commission on 26.05.2021 at Quetta and submitted verification certificate, duly signed by Deputy Commissioner Awaran confirming that Zarin s/o Hassan has returned home.</t>
  </si>
  <si>
    <t>7903 -B</t>
  </si>
  <si>
    <t>Ali s/o Zabad</t>
  </si>
  <si>
    <t>Traced Person. Raisaldar Levies, District Awaran appeared before the Commission on 26.05.2021 at Quetta and submitted verification certificate, duly signed by Deputy Commissioner Awaran confirming that Ali s/o Zabad has returned home.</t>
  </si>
  <si>
    <t>7904 -B</t>
  </si>
  <si>
    <t>Amir Bakhsh</t>
  </si>
  <si>
    <t>Kalero, District Awaran</t>
  </si>
  <si>
    <t>Traced Person. Raisaldar Levies, District Awaran appeared before the Commission on 26.05.2021 at Quetta and submitted verification certificate, duly signed by Deputy Commissioner Awaran confirming that Amir Bakhsh has returned home.</t>
  </si>
  <si>
    <t>7905 -B</t>
  </si>
  <si>
    <t>Abdullah s/o Umer</t>
  </si>
  <si>
    <t>Peerandar, District Awaran</t>
  </si>
  <si>
    <t>Traced Person. Raisaldar Levies, District Awaran appeared before the Commission on 26.05.2021 at Quetta and submitted verification certificate, duly signed by Deputy Commissioner Awaran confirming that Abdullah s/o Umer has returned home.</t>
  </si>
  <si>
    <t>7906 -B</t>
  </si>
  <si>
    <t>Zahid s/o Hammal</t>
  </si>
  <si>
    <t>Traced Person. Raisaldar Levies, District Awaran appeared before the Commission on 26.05.2021 at Quetta and submitted verification certificate, duly signed by Deputy Commissioner Awaran confirming that Zahid s/o Hammal has returned home.</t>
  </si>
  <si>
    <t>7907 -B</t>
  </si>
  <si>
    <t>Amin s/o Ismail</t>
  </si>
  <si>
    <t>Syed Isa Ziyarat Kahn Zilag, District Awaran</t>
  </si>
  <si>
    <t>Traced Person. Raisaldar Levies, District Awaran appeared before the Commission on 26.05.2021 at Quetta and submitted verification certificate, duly signed by Deputy Commissioner Awaran confirming that Amin s/o Ismail has returned home.</t>
  </si>
  <si>
    <t>7908 -B</t>
  </si>
  <si>
    <t>Zabad s/o Wash Dil</t>
  </si>
  <si>
    <t>Traced Person. Raisaldar Levies, District Awaran appeared before the Commission on 26.05.2021 at Quetta and submitted verification certificate, duly signed by Deputy Commissioner Awaran confirming that Zabad s/o Wash Dil has returned home.</t>
  </si>
  <si>
    <t>7909 -B</t>
  </si>
  <si>
    <t>Sattar s/o Fateh Muhammad</t>
  </si>
  <si>
    <t>Gandakor Bazdar, District Awaran</t>
  </si>
  <si>
    <t>Traced Person. Raisaldar Levies, District Awaran appeared before the Commission on 26.05.2021 at Quetta and submitted verification certificate, duly signed by Deputy Commissioner Awaran confirming that Sattar s/o Fateh Muhammad has returned home.</t>
  </si>
  <si>
    <t>7910 -B</t>
  </si>
  <si>
    <t>Abdul Razaq s/o Basham</t>
  </si>
  <si>
    <t>Nondhada Julonti Jahoo, District Awaran</t>
  </si>
  <si>
    <t>Traced Person. Raisaldar Levies, District Awaran appeared before the Commission on 26.05.2021 at Quetta and submitted verification certificate, duly signed by Deputy Commissioner Awaran confirming that Abdul Razaq s/o Basham has returned home.</t>
  </si>
  <si>
    <t>7911 -B</t>
  </si>
  <si>
    <t>Sana Ullah s/o Mosa</t>
  </si>
  <si>
    <t>Traced Person. Raisaldar Levies, District Awaran appeared before the Commission on 26.05.2021 at Quetta and submitted verification certificate, duly signed by Deputy Commissioner Awaran confirming that Sana Ullah s/o Mosa has returned home.</t>
  </si>
  <si>
    <t>7912 -B</t>
  </si>
  <si>
    <t>Pallu s/o Ramzan</t>
  </si>
  <si>
    <t>Traced Person. Raisaldar Levies, District Awaran appeared before the Commission on 26.05.2021 at Quetta and submitted verification certificate, duly signed by Deputy Commissioner Awaran confirming that Pallu s/o Ramzan has returned home.</t>
  </si>
  <si>
    <t>7913 -B</t>
  </si>
  <si>
    <t>Abdul Samad s/o Basham</t>
  </si>
  <si>
    <t>Traced Person. Raisaldar Levies, District Awaran appeared before the Commission on 26.05.2021 at Quetta and submitted verification certificate, duly signed by Deputy Commissioner Awaran confirming that Abdul Samad s/o Basham has returned home.</t>
  </si>
  <si>
    <t>7914 -B</t>
  </si>
  <si>
    <t>Khalil s/o Lal Bakhsh</t>
  </si>
  <si>
    <t>Traced Person. Raisaldar Levies, District Awaran appeared before the Commission on 26.05.2021 at Quetta and submitted verification certificate, duly signed by Deputy Commissioner Awaran confirming that Khalil s/o Lal Bakhsh has returned home.</t>
  </si>
  <si>
    <t>7915 -B</t>
  </si>
  <si>
    <t>Mehr Ullah s/o Abdul Qadir</t>
  </si>
  <si>
    <t>Traced Person. Raisaldar Levies, District Awaran appeared before the Commission on 26.05.2021 at Quetta and submitted verification certificate, duly signed by Deputy Commissioner Awaran confirming that Mehr Ullah s/o Abdul Qadir has returned home.</t>
  </si>
  <si>
    <t>7916 -B</t>
  </si>
  <si>
    <t>Umar s/o Murad</t>
  </si>
  <si>
    <t>Kuch Peerandar, District Awaran</t>
  </si>
  <si>
    <t>Traced Person. Raisaldar Levies, District Awaran appeared before the Commission on 26.05.2021 at Quetta and submitted verification certificate, duly signed by Deputy Commissioner Awaran confirming that Umar s/o Murad has returned home.</t>
  </si>
  <si>
    <t>7917 -B</t>
  </si>
  <si>
    <t>Saleem s/o Gul Muhammad</t>
  </si>
  <si>
    <t>Traced Person. Raisaldar Levies, District Awaran appeared before the Commission on 26.05.2021 at Quetta and submitted verification certificate, duly signed by Deputy Commissioner Awaran confirming that Saleem s/o Gul Muhammad has returned home.</t>
  </si>
  <si>
    <t>7918 -B</t>
  </si>
  <si>
    <t>Qadeer</t>
  </si>
  <si>
    <t>Mashkay, District Awaran</t>
  </si>
  <si>
    <t>Traced Person. Raisaldar Levies, District Awaran appeared before the Commission on 26.05.2021 at Quetta and submitted verification certificate, duly signed by Deputy Commissioner Awaran confirming that Qadeer has returned home.</t>
  </si>
  <si>
    <t>7919 -B</t>
  </si>
  <si>
    <t>Sami Ullah</t>
  </si>
  <si>
    <t>Kahn Zilag, District Awaran</t>
  </si>
  <si>
    <t>Traced Person. Raisaldar Levies, District Awaran appeared before the Commission on 26.05.2021 at Quetta and submitted verification certificate, duly signed by Deputy Commissioner Awaran confirming that Sami Ullah has returned home.</t>
  </si>
  <si>
    <t>7920 -B</t>
  </si>
  <si>
    <t>Umar s/o Ghulam Qadir</t>
  </si>
  <si>
    <t>Shergi Mashkay, District Awaran</t>
  </si>
  <si>
    <t>Traced Person. Raisaldar Levies, District Awaran appeared before the Commission on 26.05.2021 at Quetta and submitted verification certificate, duly signed by Deputy Commissioner Awaran confirming that Umar s/o Ghulam Qadir has returned home.</t>
  </si>
  <si>
    <t>7921 -B</t>
  </si>
  <si>
    <t>Meer Jan s/o Sakhi Dad</t>
  </si>
  <si>
    <t>Traced Person. Raisaldar Levies, District Awaran appeared before the Commission on 26.05.2021 at Quetta and submitted verification certificate, duly signed by Deputy Commissioner Awaran confirming that Meer Jan s/o Sakhi Dad has returned home.</t>
  </si>
  <si>
    <t>7922 -B</t>
  </si>
  <si>
    <t>Muhammad Adnad</t>
  </si>
  <si>
    <t>Ahori, District Awaran</t>
  </si>
  <si>
    <t>Traced Person. Raisaldar Levies, District Awaran appeared before the Commission on 26.05.2021 at Quetta and submitted verification certificate, duly signed by Deputy Commissioner Awaran confirming that Muhammad Adnad has returned home.</t>
  </si>
  <si>
    <t>7923 -B</t>
  </si>
  <si>
    <t>Ganj Bakhsh s/o Lal Jan</t>
  </si>
  <si>
    <t>Kenechi, District Awaran</t>
  </si>
  <si>
    <t>Traced Person. Raisaldar Levies, District Awaran appeared before the Commission on 26.05.2021 at Quetta and submitted verification certificate, duly signed by Deputy Commissioner Awaran confirming that Ganj Bakhsh s/o Lal Jan has returned home.</t>
  </si>
  <si>
    <t>7924 -B</t>
  </si>
  <si>
    <t>Rasool Bakhsh</t>
  </si>
  <si>
    <t>Traced Person. Raisaldar Levies, District Awaran appeared before the Commission on 26.05.2021 at Quetta and submitted verification certificate, duly signed by Deputy Commissioner Awaran confirming that Rasool Bakhsh has returned home.</t>
  </si>
  <si>
    <t>7925 -B</t>
  </si>
  <si>
    <t>Bilal s/o Abdul Samad</t>
  </si>
  <si>
    <t>Kalaar Mashkay, District Awaran</t>
  </si>
  <si>
    <t>Traced Person. Raisaldar Levies, District Awaran appeared before the Commission on 26.05.2021 at Quetta and submitted verification certificate, duly signed by Deputy Commissioner Awaran confirming that Bilal s/o Abdul Samad has returned home.</t>
  </si>
  <si>
    <t>7926 -B</t>
  </si>
  <si>
    <t>Zaheem s/o Samad</t>
  </si>
  <si>
    <t>Qasumi, District Awaran</t>
  </si>
  <si>
    <t>Traced Person. Raisaldar Levies, District Awaran appeared before the Commission on 26.05.2021 at Quetta and submitted verification certificate, duly signed by Deputy Commissioner Awaran confirming that Zaheem s/o Samad has returned home.</t>
  </si>
  <si>
    <t>7927 -B</t>
  </si>
  <si>
    <t>Khair Bakhsh s/o Muhammad Rahim</t>
  </si>
  <si>
    <t>Sheeragi, Mashkay, District Awaran</t>
  </si>
  <si>
    <t>Traced Person. Raisaldar Levies, District Awaran appeared before the Commission on 26.05.2021 at Quetta and submitted verification certificate, duly signed by Deputy Commissioner Awaran confirming that Khair Bakhsh s/o Muhammad Rahim has returned home.</t>
  </si>
  <si>
    <t>7928 -B</t>
  </si>
  <si>
    <t>Siyahkal Kuneri Malaar, District Awaran</t>
  </si>
  <si>
    <t>Traced Person. Raisaldar Levies, District Awaran appeared before the Commission on 26.05.2021 at Quetta and submitted verification certificate, duly signed by Deputy Commissioner Awaran confirming that Noor Bakhsh has returned home.</t>
  </si>
  <si>
    <t>7929 -B</t>
  </si>
  <si>
    <t>Rustom s/o Hayat</t>
  </si>
  <si>
    <t>Gazzi Mashkay, District Awaran</t>
  </si>
  <si>
    <t>Traced Person. Raisaldar Levies, District Awaran appeared before the Commission on 26.05.2021 at Quetta and submitted verification certificate, duly signed by Deputy Commissioner Awaran confirming that Rustom s/o Hayat has returned home.</t>
  </si>
  <si>
    <t>7930 -B</t>
  </si>
  <si>
    <t>Hafeez Baloch s/o Pendag</t>
  </si>
  <si>
    <t>Teertej , District Awaran</t>
  </si>
  <si>
    <t>Traced Person. Raisaldar Levies, District Awaran appeared before the Commission on 26.05.2021 at Quetta and submitted verification certificate, duly signed by Deputy Commissioner Awaran confirming that Hafeez Baloch s/o Pendag has returned home.</t>
  </si>
  <si>
    <t>7931 -B</t>
  </si>
  <si>
    <t>Rashid</t>
  </si>
  <si>
    <t>Traced Person. Raisaldar Levies, District Awaran appeared before the Commission on 26.05.2021 at Quetta and submitted verification certificate, duly signed by Deputy Commissioner Awaran confirming that Rashid has returned home.</t>
  </si>
  <si>
    <t>7932 -B</t>
  </si>
  <si>
    <t>Riaz Jan s/o Muhammad Jalal</t>
  </si>
  <si>
    <t>Jahoo, District Awaran</t>
  </si>
  <si>
    <t>Traced Person. Raisaldar Levies, District Awaran appeared before the Commission on 26.05.2021 at Quetta and submitted verification certificate, duly signed by Deputy Commissioner Awaran confirming that Riaz Jan s/o Muhammad Jalal has returned home.</t>
  </si>
  <si>
    <t>7933 -B</t>
  </si>
  <si>
    <t>Shoaib s/o Lateef</t>
  </si>
  <si>
    <t>Johsar, District Awaran</t>
  </si>
  <si>
    <t>Traced Person. Raisaldar Levies, District Awaran appeared before the Commission on 26.05.2021 at Quetta and submitted verification certificate, duly signed by Deputy Commissioner Awaran confirming that Shoaib s/o Lateef has returned home.</t>
  </si>
  <si>
    <t>7934 -B</t>
  </si>
  <si>
    <t>Zafeer s/o Yar Muhammad</t>
  </si>
  <si>
    <t>Gazi Peerandar, District Awaran</t>
  </si>
  <si>
    <t>Traced Person. Raisaldar Levies, District Awaran appeared before the Commission on 26.05.2021 at Quetta and submitted verification certificate, duly signed by Deputy Commissioner Awaran confirming that Zafeer s/o yar Muhammad has returned home.</t>
  </si>
  <si>
    <t>7935 -B</t>
  </si>
  <si>
    <t>Majeed s/o Gul Muhammad</t>
  </si>
  <si>
    <t>Traced Person. Raisaldar Levies, District Awaran appeared before the Commission on 26.05.2021 at Quetta and submitted verification certificate, duly signed by Deputy Commissioner Awaran confirming that Majeed s/o Gul Muhammad has returned home.</t>
  </si>
  <si>
    <t>7936 -B</t>
  </si>
  <si>
    <t>Allah Bakhsh s/o Sabzo</t>
  </si>
  <si>
    <t>Traced Person. Raisaldar Levies, District Awaran appeared before the Commission on 26.05.2021 at Quetta and submitted verification certificate, duly signed by Deputy Commissioner Awaran confirming that Allah Bakhsh s/o Sabzo has returned home.</t>
  </si>
  <si>
    <t>7937 -B</t>
  </si>
  <si>
    <t>Ishaq s/o Bahdo</t>
  </si>
  <si>
    <t>Traced Person. Raisaldar Levies, District Awaran appeared before the Commission on 26.05.2021 at Quetta and submitted verification certificate, duly signed by Deputy Commissioner Awaran confirming that Ishaq s/o Bahdo has returned home.</t>
  </si>
  <si>
    <t>7938 -B</t>
  </si>
  <si>
    <t>Jumma s/o Mubarik</t>
  </si>
  <si>
    <t>Traced Person. Raisaldar Levies, District Awaran appeared before the Commission on 26.05.2021 at Quetta and submitted verification certificate, duly signed by Deputy Commissioner Awaran confirming that Jumma s/o Mubarik has returned home.</t>
  </si>
  <si>
    <t>7939 -B</t>
  </si>
  <si>
    <t>Allah Bakhsh s/o Rozi</t>
  </si>
  <si>
    <t>Traced Person. Raisaldar Levies, District Awaran appeared before the Commission on 26.05.2021 at Quetta and submitted verification certificate, duly signed by Deputy Commissioner Awaran confirming that Allah bakhsh s/o Rozi has returned home.</t>
  </si>
  <si>
    <t>7940 -B</t>
  </si>
  <si>
    <t>Dil Murad s/o Rehmat</t>
  </si>
  <si>
    <t>Traced Person. Raisaldar Levies, District Awaran appeared before the Commission on 26.05.2021 at Quetta and submitted verification certificate, duly signed by Deputy Commissioner Awaran confirming that Dil Murad s/o Rehmat has returned home.</t>
  </si>
  <si>
    <t>7941 -B</t>
  </si>
  <si>
    <t>Rehmat s/o Khuda Bakhsh</t>
  </si>
  <si>
    <t>Traced Person. Raisaldar Levies, District Awaran appeared before the Commission on 26.05.2021 at Quetta and submitted verification certificate, duly signed by Deputy Commissioner Awaran confirming that Rehmat s/o Khuda Bakhsh has returned home.</t>
  </si>
  <si>
    <t>7942 -B</t>
  </si>
  <si>
    <t>Qamber s/o Mureed</t>
  </si>
  <si>
    <t>Traced Person. Raisaldar Levies, District Awaran appeared before the Commission on 26.05.2021 at Quetta and submitted verification certificate, duly signed by Deputy Commissioner Awaran confirming that Qamber s/o Mureed has returned home.</t>
  </si>
  <si>
    <t>7943 -B</t>
  </si>
  <si>
    <t>Jumma s/o Lal Bakhsh</t>
  </si>
  <si>
    <t>Traced Person. Raisaldar Levies, District Awaran appeared before the Commission on 26.05.2021 at Quetta and submitted verification certificate, duly signed by Deputy Commissioner Awaran confirming that Jumma s/o Lal Bakhsh has returned home.</t>
  </si>
  <si>
    <t>7944 -B</t>
  </si>
  <si>
    <t>Noor Bakhsh s/o Peer Muhammad</t>
  </si>
  <si>
    <t>Traced Person. Raisaldar Levies, District Awaran appeared before the Commission on 26.05.2021 at Quetta and submitted verification certificate, duly signed by Deputy Commissioner Awaran confirming that Noor Bakhsh s/o Peer Muhammad has returned home.</t>
  </si>
  <si>
    <t>7945 -B</t>
  </si>
  <si>
    <t>Ali Muhammad s/o Sardo</t>
  </si>
  <si>
    <t>Traced Person. Raisaldar Levies, District Awaran appeared before the Commission on 26.05.2021 at Quetta and submitted verification certificate, duly signed by Deputy Commissioner Awaran confirming that Ali Muhammad s/o Sardo has returned home.</t>
  </si>
  <si>
    <t>7946 -B</t>
  </si>
  <si>
    <t>Naseer s/o Muhammad</t>
  </si>
  <si>
    <t>Traced Person. Raisaldar Levies, District Awaran appeared before the Commission on 26.05.2021 at Quetta and submitted verification certificate, duly signed by Deputy Commissioner Awaran confirming that Naseer s/o Muhammad has returned home.</t>
  </si>
  <si>
    <t>7947 -B</t>
  </si>
  <si>
    <t>Karim Bakhsh s/o Jumma</t>
  </si>
  <si>
    <t>Tank Sardoui Mashkey, District Awaran</t>
  </si>
  <si>
    <t>Traced Person. Raisaldar Levies, District Awaran appeared before the Commission on 26.05.2021 at Quetta and submitted verification certificate, duly signed by Deputy Commissioner Awaran confirming that Karim Bakhsh s/o Jumma has returned home.</t>
  </si>
  <si>
    <t>7948 -B</t>
  </si>
  <si>
    <t>Zahid Baloch s/o Gorich</t>
  </si>
  <si>
    <t>Shapkol Kolwah, District Awaran</t>
  </si>
  <si>
    <t>7949 -B</t>
  </si>
  <si>
    <t>Ali s/o Shah Baig</t>
  </si>
  <si>
    <t>Kohadu Jahoo, District Awaran</t>
  </si>
  <si>
    <t>Traced Person. Raisaldar Levies, District Awaran appeared before the Commission on 26.05.2021 at Quetta and submitted verification certificate, duly signed by Deputy Commissioner Awaran confirming that Ali s/o Shah Baig has returned home.</t>
  </si>
  <si>
    <t>7950 -B</t>
  </si>
  <si>
    <t>Sajjad s/o Yar Jan</t>
  </si>
  <si>
    <t>Gahajak Mashkay, District Awaran</t>
  </si>
  <si>
    <t>Traced Person. Raisaldar Levies, District Awaran appeared before the Commission on 26.05.2021 at Quetta and submitted verification certificate, duly signed by Deputy Commissioner Awaran confirming that Sajjad s/o Yar Jan has returned home.</t>
  </si>
  <si>
    <t>7951 -B</t>
  </si>
  <si>
    <t>Ulfat s/o Altaf</t>
  </si>
  <si>
    <t>Traced Person. Raisaldar Levies, District Awaran appeared before the Commission on 26.05.2021 at Quetta and submitted verification certificate, duly signed by Deputy Commissioner Awaran confirming that Ulfat s/o Altaf has returned home.</t>
  </si>
  <si>
    <t>7952 -B</t>
  </si>
  <si>
    <t>Mehrab s/o Ibrahim</t>
  </si>
  <si>
    <t>Traced Person. Raisaldar Levies, District Awaran appeared before the Commission on 26.05.2021 at Quetta and submitted verification certificate, duly signed by Deputy Commissioner Awaran confirming that Mehrab s/o Ibrahim has returned home.</t>
  </si>
  <si>
    <t>7953 -B</t>
  </si>
  <si>
    <t>Abdul Karim s/o Yaqoob</t>
  </si>
  <si>
    <t>Traced Person. Raisaldar Levies, District Awaran appeared before the Commission on 26.05.2021 at Quetta and submitted verification certificate, duly signed by Deputy Commissioner Awaran confirming that Abdul Karim s/o Yaqoob has returned home.</t>
  </si>
  <si>
    <t>7954 -B</t>
  </si>
  <si>
    <t>Naik Muhammad s/o Yaqoob</t>
  </si>
  <si>
    <t>Traced Person. Raisaldar Levies, District Awaran appeared before the Commission on 26.05.2021 at Quetta and submitted verification certificate, duly signed by Deputy Commissioner Awaran confirming that Naik Muhammad s/o yaqoob has returned home.</t>
  </si>
  <si>
    <t>7955 -B</t>
  </si>
  <si>
    <t>Muhammad s/o Hammal</t>
  </si>
  <si>
    <t>Traced Person. Raisaldar Levies, District Awaran appeared before the Commission on 26.05.2021 at Quetta and submitted verification certificate, duly signed by Deputy Commissioner Awaran confirming that Muhmmad s/o Hammal has returned home.</t>
  </si>
  <si>
    <t>7956 -B</t>
  </si>
  <si>
    <t>Karam</t>
  </si>
  <si>
    <t>Traced Person. Raisaldar Levies, District Awaran appeared before the Commission on 26.05.2021 at Quetta and submitted verification certificate, duly signed by Deputy Commissioner Awaran confirming that Karam has returned home.</t>
  </si>
  <si>
    <t>7957 -B</t>
  </si>
  <si>
    <t>Ikram-ud-Din</t>
  </si>
  <si>
    <t>Traced Person. Raisaldar Levies, District Awaran appeared before the Commission on 26.05.2021 at Quetta and submitted verification certificate, duly signed by Deputy Commissioner Awaran confirming that Ikram-ud-Din has returned home.</t>
  </si>
  <si>
    <t>7958 -B</t>
  </si>
  <si>
    <t>Khair Bakhshs s/o Musa</t>
  </si>
  <si>
    <t>Traced Person. Raisaldar Levies, District Awaran appeared before the Commission on 26.05.2021 at Quetta and submitted verification certificate, duly signed by Deputy Commissioner Awaran confirming that Khair Bakhshs s/o Musa has returned home.</t>
  </si>
  <si>
    <t>7959 -B</t>
  </si>
  <si>
    <t>Master Sadiq s/o Musa</t>
  </si>
  <si>
    <t>Traced Person. Raisaldar Levies, District Awaran appeared before the Commission on 26.05.2021 at Quetta and submitted verification certificate, duly signed by Deputy Commissioner Awaran confirming that Master Sadiq s/o Musa has returned home.</t>
  </si>
  <si>
    <t>7960 -B</t>
  </si>
  <si>
    <t>Jamal</t>
  </si>
  <si>
    <t>Traced Person. Raisaldar Levies, District Awaran appeared before the Commission on 26.05.2021 at Quetta and submitted verification certificate, duly signed by Deputy Commissioner Awaran confirming that Jamal has returned home</t>
  </si>
  <si>
    <t>7961 -B</t>
  </si>
  <si>
    <t>Lal Bakhsh</t>
  </si>
  <si>
    <t>Traced Person. Raisaldar Levies, District Awaran appeared before the Commission on 26.05.2021 at Quetta and submitted verification certificate, duly signed by Deputy Commissioner Awaran confirming that Lal Bakhsh has returned home.</t>
  </si>
  <si>
    <t>7962 -B</t>
  </si>
  <si>
    <t>Traced Person. Raisaldar Levies, District Awaran appeared before the Commission on 26.05.2021 at Quetta and submitted verification certificate, duly signed by Deputy Commissioner Awaran confirming that Abdullah has returned home.</t>
  </si>
  <si>
    <t>7963 -B</t>
  </si>
  <si>
    <t>Mulla Bakhsh s/o Asso</t>
  </si>
  <si>
    <t>Traced Person. Raisaldar Levies, District Awaran appeared before the Commission on 26.05.2021 at Quetta and submitted verification certificate, duly signed by Deputy Commissioner Awaran confirming that Mulla Bakhsh s/o Asso has returned home.</t>
  </si>
  <si>
    <t>7964 -B</t>
  </si>
  <si>
    <t>Rashid s/o Lal Muhammad</t>
  </si>
  <si>
    <t>Traced Person. Raisaldar Levies, District Awaran appeared before the Commission on 26.05.2021 at Quetta and submitted verification certificate, duly signed by Deputy Commissioner Awaran confirming that Rashid s/o Lal Muhammad has returned home.</t>
  </si>
  <si>
    <t>7965 -B</t>
  </si>
  <si>
    <t>Qadir Bakhsh s/o Tajo</t>
  </si>
  <si>
    <t>Traced Person. Raisaldar Levies, District Awaran appeared before the Commission on 26.05.2021 at Quetta and submitted verification certificate, duly signed by Deputy Commissioner Awaran confirming that Qadir Bakhsh s/o Tajo has returned home.</t>
  </si>
  <si>
    <t>7966 -B</t>
  </si>
  <si>
    <t>Wahid s/o Umer</t>
  </si>
  <si>
    <t>Traced Person. Raisaldar Levies, District Awaran appeared before the Commission on 26.05.2021 at Quetta and submitted verification certificate, duly signed by Deputy Commissioner Awaran confirming that Wahid s/o Umer has returned home.</t>
  </si>
  <si>
    <t>7967 -B</t>
  </si>
  <si>
    <t>Faisal Ali s/o Ali Muhammad</t>
  </si>
  <si>
    <t>Zubair Ali, r/o Room No. 10 B, Block First Floor, BMC Cpmplex Hostel, Quetta. (Mobile No. 0348-2345784).</t>
  </si>
  <si>
    <t>52203-3787823-3</t>
  </si>
  <si>
    <t>Traced Person. It was informed at the hearing held in this case at Quetta on 28.08.2021 that Faisal Ali has returned home. No further action is required. The case is closed.</t>
  </si>
  <si>
    <t>MoHR</t>
  </si>
  <si>
    <t>7968 -B</t>
  </si>
  <si>
    <t>Sohail Ahmed s/o Rafiq Ahmed</t>
  </si>
  <si>
    <t>52203-8515826-5</t>
  </si>
  <si>
    <t>Traced Person. It was informed at the hearing held in this case at Quetta on 28.08.2021 that Sohail Ahmed s/o Rafiq Ahmed has returned home. No further action is required. The case is closed.</t>
  </si>
  <si>
    <t>7969 -K</t>
  </si>
  <si>
    <t>Mehboob-ur-Rehman s/o Alam Mir Khan</t>
  </si>
  <si>
    <t>Ashiq Rehman, r/o Khushali, Mir Ali, District North Waziristan. (Mobile No. 0336-5586471 &amp; 0334-0380005).</t>
  </si>
  <si>
    <t>21505-9865917-9</t>
  </si>
  <si>
    <t>Traced Person. DPO, North Waziristan appeared before the Commission on 27.08.2021 and informed that Mehboob-ur-Rehman was confined in Internment Centre at Kohat. Ashiq-ur-Rehman brother of Missing Person who was present was informed accordingly.</t>
  </si>
  <si>
    <t>7970 -I</t>
  </si>
  <si>
    <t>Muhammad Rafiq s/o Muhammad Yousaf</t>
  </si>
  <si>
    <t>Muhammad Jameel, r/o Bhera Syeda, Barahkoh, Islamabad. (Mobile No. 0341-9497790 &amp; 0316-3297790).</t>
  </si>
  <si>
    <t>82203-5264625-7</t>
  </si>
  <si>
    <t>Traced Person. SP (Inv) Islamabad appeared before the Commission on 08.07.2021 and submitted report that Missing Person Muhammad Rafique has returned to home. He went to Murree on his own. Accordingly, the case is closed.</t>
  </si>
  <si>
    <t>7971 -K</t>
  </si>
  <si>
    <t>Sattar Khan s/o Jan Boz</t>
  </si>
  <si>
    <t>Jan Boz, r/o Samal Khel, District North Waziristan.</t>
  </si>
  <si>
    <t>21501-3011565-3</t>
  </si>
  <si>
    <t>Traced Person. Sattar Khan appeared before the Commission on 22.10.2021 and his statement was recorded on oath in which he deposed that he was arrested by CTD Police on 3.3.2021 and was confined at PS CTD, Bannu. He was transferred to Central Jail Bannu on 6.4.2021 and was granted bail on 14.6.2021. Identical report was received from DPO, Lakki Marwat. The case is closed.</t>
  </si>
  <si>
    <t>7972 -P</t>
  </si>
  <si>
    <t>Sadiq Ameen s/o Khan Badshah</t>
  </si>
  <si>
    <t>Sadiq Ameen (M.P), r/o Adyalla Road, Rawalpindi.</t>
  </si>
  <si>
    <t>32303-7610742-3</t>
  </si>
  <si>
    <t>7973 -B</t>
  </si>
  <si>
    <t>Ameer Ullah s/o Behram Khan</t>
  </si>
  <si>
    <t>Behram Khan, r/o Sarogah Shah Merai, P.O &amp; Tehsil Sararogah,District Sout Waziristan. (Mobile No. 0331-5606621 &amp; 0332-7128405).</t>
  </si>
  <si>
    <t>21704-2537540-9</t>
  </si>
  <si>
    <t>7974 -K</t>
  </si>
  <si>
    <t>Habib Ullah, r/o Sayri,Chamtali, P.O Khuwaza Khel, District Swat. (Mobile No. 0346-8004830).</t>
  </si>
  <si>
    <t>15602-1467965-7</t>
  </si>
  <si>
    <t>7975 -B</t>
  </si>
  <si>
    <t>Fida Ahmed s/o Noor Muhammad</t>
  </si>
  <si>
    <t>Marastan Kolwah, District Kech</t>
  </si>
  <si>
    <t>Traced Person. Naib Tehsildar, Turbat District Kech appeared before the Commission on 26.05.2021 at Quetta and submitted verification certificate confirming that Fida Ahmed s/o Noor Muhammad has returned home.</t>
  </si>
  <si>
    <t>7976 -B</t>
  </si>
  <si>
    <t>Fazal s/o Imam Bakhsh</t>
  </si>
  <si>
    <t>Traced Person. Naib Tehsildar, Turbat District Kech appeared before the Commission on 26.05.2021 at Quetta and submitted verification certificate confirming that Fazal s/o Imam Bakhsh Muhammad has returned home.</t>
  </si>
  <si>
    <t>7977 -B</t>
  </si>
  <si>
    <t>Lal Muhammad</t>
  </si>
  <si>
    <t>Traced Person. Naib Tehsildar, Turbat District Kech appeared before the Commission on 26.05.2021 at Quetta and submitted verification certificate confirming that Lal Muhammad Muhammad has returned home.</t>
  </si>
  <si>
    <t>7978 -B</t>
  </si>
  <si>
    <t>Fazal s/o Sangoo</t>
  </si>
  <si>
    <t>Traced Person. Naib Tehsildar, Turbat District Kech appeared before the Commission on 26.05.2021 at Quetta and submitted verification certificate confirming that Fazal s/o Sangoo has returned home.</t>
  </si>
  <si>
    <t>7979 -B</t>
  </si>
  <si>
    <t>Qasoo s/o Shah Baig</t>
  </si>
  <si>
    <t>Traced Person. Naib Tehsildar, Turbat District Kech appeared before the Commission on 26.05.2021 at Quetta and submitted verification certificate confirming that Qasoo s/o Shah Baig has returned home.</t>
  </si>
  <si>
    <t>7980 -B</t>
  </si>
  <si>
    <t>Jumma s/o Dilwash</t>
  </si>
  <si>
    <t>Traced Person. Naib Tehsildar, Turbat District Kech appeared before the Commission on 26.05.2021 at Quetta and submitted verification certificate confirming that Jumma s/o Dilwash has returned home.</t>
  </si>
  <si>
    <t>7981 -B</t>
  </si>
  <si>
    <t>Majeed s/o Bohair</t>
  </si>
  <si>
    <t>Traced Person. Naib Tehsildar, Turbat District Kech appeared before the Commission on 26.05.2021 at Quetta and submitted verification certificate confirming that Majeed s/o Bohair has returned home.</t>
  </si>
  <si>
    <t>7982 -B</t>
  </si>
  <si>
    <t>Sakhi Dad s/o Molma</t>
  </si>
  <si>
    <t>Traced Person. Naib Tehsildar, Turbat District Kech appeared before the Commission on 26.05.2021 at Quetta and submitted verification certificate confirming that Sakhi Dad s/o Molma has returned home.</t>
  </si>
  <si>
    <t>7983 -B</t>
  </si>
  <si>
    <t>Muhammad Ali s/o Daar</t>
  </si>
  <si>
    <t>Traced Person. Naib Tehsildar, Turbat District Kech appeared before the Commission on 26.05.2021 at Quetta and submitted verification certificate confirming that Muhammad Ali s/o Daar has returned home.</t>
  </si>
  <si>
    <t>7984 -B</t>
  </si>
  <si>
    <t>Bohair s/o Qadir Bakhsh</t>
  </si>
  <si>
    <t>Traced Person. Naib Tehsildar, Turbat District Kech appeared before the Commission on 26.05.2021 at Quetta and submitted verification certificate confirming that Bohair s/o Qadir Bakhsh has returned home.</t>
  </si>
  <si>
    <t>7985 -B</t>
  </si>
  <si>
    <t>Naguman s/o Sangoo</t>
  </si>
  <si>
    <t>Traced Person. Naib Tehsildar, Turbat District Kech appeared before the Commission on 26.05.2021 at Quetta and submitted verification certificate confirming that Baguman s/o Sangoo has returned home.</t>
  </si>
  <si>
    <t>7986 -B</t>
  </si>
  <si>
    <t>Phullan s/o Shah Dost</t>
  </si>
  <si>
    <t>Jan Kolwah, District Kech</t>
  </si>
  <si>
    <t>Traced Person. Naib Tehsildar, Turbat District Kech appeared before the Commission on 26.05.2021 at Quetta and submitted verification certificate confirming that Phullan s/o Shah Dost has returned home.</t>
  </si>
  <si>
    <t>7987 -B</t>
  </si>
  <si>
    <t>Ali s/o Faqir Dad</t>
  </si>
  <si>
    <t>Traced Person. Naib Tehsildar, Turbat District Kech appeared before the Commission on 26.05.2021 at Quetta and submitted verification certificate confirming that Ali s/o Faqir Dad has returned home.</t>
  </si>
  <si>
    <t>7988 -B</t>
  </si>
  <si>
    <t>Hameed s/o Washoo</t>
  </si>
  <si>
    <t>Jatt Kliwah, District Kech</t>
  </si>
  <si>
    <t>Traced Person. Naib Tehsildar, Turbat District Kech appeared before the Commission on 26.05.2021 at Quetta and submitted verification certificate confirming that Hameed s/o Washoo has returned home.</t>
  </si>
  <si>
    <t>7989 -B</t>
  </si>
  <si>
    <t>Khuda Bakhsh s/o Washoo</t>
  </si>
  <si>
    <t>Traced Person. Naib Tehsildar, Turbat District Kech appeared before the Commission on 26.05.2021 at Quetta and submitted verification certificate confirming that Khuda Bakhsh s/o Washoo has returned home.</t>
  </si>
  <si>
    <t>7990 -B</t>
  </si>
  <si>
    <t>Abdul Rahim s/o Allah Bakhsh</t>
  </si>
  <si>
    <t>Madag Qalat, Kolwah, District Kech</t>
  </si>
  <si>
    <t>Traced Person. Naib Tehsildar, Turbat District Kech appeared before the Commission on 26.05.2021 at Quetta and submitted verification certificate confirming that Abdul Rahim s/o Allah Bakhsh has returned home.</t>
  </si>
  <si>
    <t>7991 -B</t>
  </si>
  <si>
    <t>Abdul Ghani s/o Lallah</t>
  </si>
  <si>
    <t>Traced Person. Naib Tehsildar, Turbat District Kech appeared before the Commission on 26.05.2021 at Quetta and submitted verification certificate confirming that Abdul Ghani s/o Lallah has returned home.</t>
  </si>
  <si>
    <t>7992 -B</t>
  </si>
  <si>
    <t>Atta s/o Allah Bakhsh</t>
  </si>
  <si>
    <t>Traced Person. Naib Tehsildar, Turbat District Kech appeared before the Commission on 26.05.2021 at Quetta and submitted verification certificate confirming that Atta s/o Allah Bakhsh has returned home.</t>
  </si>
  <si>
    <t>7993 -B</t>
  </si>
  <si>
    <t>Swal Jan s/o Shay Haq</t>
  </si>
  <si>
    <t>Traced Person. Naib Tehsildar, Turbat District Kech appeared before the Commission on 26.05.2021 at Quetta and submitted verification certificate confirming that Swal Jan s/o Shay Haq has returned home.</t>
  </si>
  <si>
    <t>7994 -B</t>
  </si>
  <si>
    <t>Chakar s/o Shay Haq</t>
  </si>
  <si>
    <t>Traced Person. Naib Tehsildar, Turbat District Kech appeared before the Commission on 26.05.2021 at Quetta and submitted verification certificate confirming that Chakar s/o Shay Haq has returned home.</t>
  </si>
  <si>
    <t>7995 -B</t>
  </si>
  <si>
    <t>Swal Jan s/o Jumma</t>
  </si>
  <si>
    <t>Dandar Kolwah, District Kech</t>
  </si>
  <si>
    <t>Traced Person. Naib Tehsildar, Turbat District Kech appeared before the Commission on 26.05.2021 at Quetta and submitted verification certificate confirming that Swal Jan s/o Jumma has returned home.</t>
  </si>
  <si>
    <t>7996 -B</t>
  </si>
  <si>
    <t>Zareef s/o Ali</t>
  </si>
  <si>
    <t>Traced Person. Naib Tehsildar, Turbat District Kech appeared before the Commission on 26.05.2021 at Quetta and submitted verification certificate confirming that Zareef s/o Ali has returned home.</t>
  </si>
  <si>
    <t>7997 -B</t>
  </si>
  <si>
    <t>Zabad s/o Din Muhammad</t>
  </si>
  <si>
    <t>Sheperd Kolwah, District Kech</t>
  </si>
  <si>
    <t>Traced Person. Naib Tehsildar, Turbat District Kech appeared before the Commission on 26.05.2021 at Quetta and submitted verification certificate confirming that Zabad s/o Din Muhammad has returned home.</t>
  </si>
  <si>
    <t>7998 -B</t>
  </si>
  <si>
    <t>Nasir s/o Sher Jan</t>
  </si>
  <si>
    <t>Traced Person. Naib Tehsildar, Turbat District Kech appeared before the Commission on 26.05.2021 at Quetta and submitted verification certificate confirming that Nasir s/o Sher Jan has returned home.</t>
  </si>
  <si>
    <t>7999 -B</t>
  </si>
  <si>
    <t>Shabeer s/o Pullan</t>
  </si>
  <si>
    <t>Traced Person. Naib Tehsildar, Turbat District Kech appeared before the Commission on 26.05.2021 at Quetta and submitted verification certificate confirming that Shabeer s/o Pullan has returned home.</t>
  </si>
  <si>
    <t>8000 -B</t>
  </si>
  <si>
    <t>Mohabat s/o Pullan</t>
  </si>
  <si>
    <t>Traced Person. Naib Tehsildar, Turbat District Kech appeared before the Commission on 26.05.2021 at Quetta and submitted verification certificate confirming that Mohabat s/o Pullan has returned home.</t>
  </si>
  <si>
    <t>8001 -B</t>
  </si>
  <si>
    <t>Javeed s/o Abdul Qadir</t>
  </si>
  <si>
    <t>Traced Person. Naib Tehsildar, Turbat District Kech appeared before the Commission on 26.05.2021 at Quetta and submitted verification certificate confirming that Javeed s/o Abdul Qadir has returned home.</t>
  </si>
  <si>
    <t>8002 -B</t>
  </si>
  <si>
    <t>Lal Bakhsh s/o Karim Dad</t>
  </si>
  <si>
    <t>Traced Person. Naib Tehsildar, Turbat District Kech appeared before the Commission on 26.05.2021 at Quetta and submitted verification certificate confirming that Lal Bakhsh s/o Karim Dad has returned home.</t>
  </si>
  <si>
    <t>8003 -B</t>
  </si>
  <si>
    <t>Niaz s/o Wali Muhammad</t>
  </si>
  <si>
    <t>Traced Person. Naib Tehsildar, Turbat District Kech appeared before the Commission on 26.05.2021 at Quetta and submitted verification certificate confirming that Niaz s/o Wali Muhammad has returned home.</t>
  </si>
  <si>
    <t>8004 -B</t>
  </si>
  <si>
    <t>Allah Bakhsh s/o Muhammad Bakhsh</t>
  </si>
  <si>
    <t>Traced Person. Naib Tehsildar, Turbat District Kech appeared before the Commission on 26.05.2021 at Quetta and submitted verification certificate confirming that Allah Bakhsh s/o Muhammad Bakhsh has returned home.</t>
  </si>
  <si>
    <t>8005 -B</t>
  </si>
  <si>
    <t>Hamid s/o Peer Muhammad</t>
  </si>
  <si>
    <t>Traced Person. Naib Tehsildar, Turbat District Kech appeared before the Commission on 26.05.2021 at Quetta and submitted verification certificate confirming that Hamid s/o Peer Muhmmad has returned home.</t>
  </si>
  <si>
    <t>8006 -B</t>
  </si>
  <si>
    <t>Sadiq s/o Lal Bakhsh</t>
  </si>
  <si>
    <t>Traced Person. Naib Tehsildar, Turbat District Kech appeared before the Commission on 26.05.2021 at Quetta and submitted verification certificate confirming that Sadiq s/o Lal Bakhsh has returned home.</t>
  </si>
  <si>
    <t>8007 -B</t>
  </si>
  <si>
    <t>Altaf s/o Lal Bakhsh</t>
  </si>
  <si>
    <t>Traced Person. Naib Tehsildar, Turbat District Kech appeared before the Commission on 26.05.2021 at Quetta and submitted verification certificate confirming that Altaf s/o Lal Bakhsh has returned home.</t>
  </si>
  <si>
    <t>8008 -B</t>
  </si>
  <si>
    <t>Bilal s/o Muhammd Hassan</t>
  </si>
  <si>
    <t>Traced Person. Naib Tehsildar, Turbat District Kech appeared before the Commission on 26.05.2021 at Quetta and submitted verification certificate confirming that Bilal s/o Muhammad Hassan has returned home.</t>
  </si>
  <si>
    <t>8009 -B</t>
  </si>
  <si>
    <t>Ilyas s/o Faqir Muhammad</t>
  </si>
  <si>
    <t>Traced Person. Naib Tehsildar, Turbat District Kech appeared before the Commission on 26.05.2021 at Quetta and submitted verification certificate confirming that Illyas s/o Faqir Muhammad has returned home.</t>
  </si>
  <si>
    <t>8010 -B</t>
  </si>
  <si>
    <t>Muhammad Imdad s/o Rahim Bakhsh</t>
  </si>
  <si>
    <t>Traced Person. Naib Tehsildar, Turbat District Kech appeared before the Commission on 26.05.2021 at Quetta and submitted verification certificate confirming that Muhammad Imdad s/o Rahim Bakhsh has returned home.</t>
  </si>
  <si>
    <t>8011 -B</t>
  </si>
  <si>
    <t>Sadiq s/o Bashir</t>
  </si>
  <si>
    <t>Traced Person. Naib Tehsildar, Turbat District Kech appeared before the Commission on 26.05.2021 at Quetta and submitted verification certificate confirming that Sadiq s/o Bashir has returned home.</t>
  </si>
  <si>
    <t>8012 -B</t>
  </si>
  <si>
    <t>Hameed s/o Lal Muhamamd</t>
  </si>
  <si>
    <t>8013 -B</t>
  </si>
  <si>
    <t>Hameed s/o Bashir</t>
  </si>
  <si>
    <t>Traced Person. Naib Tehsildar, Turbat District Kech appeared before the Commission on 26.05.2021 at Quetta and submitted verification certificate confirming that Hameed s/o Bashir has returned home.</t>
  </si>
  <si>
    <t>8014 -B</t>
  </si>
  <si>
    <t>Akram s/o Dad Muhammad</t>
  </si>
  <si>
    <t>Qalat, Kolwah, District Kech</t>
  </si>
  <si>
    <t>Traced Person. Naib Tehsildar, Turbat District Kech appeared before the Commission on 26.05.2021 at Quetta and submitted verification certificate confirming that Akram s/o Dad Muhammad has returned home.</t>
  </si>
  <si>
    <t>8015 -B</t>
  </si>
  <si>
    <t>Akhtar s/o Dad Muhamamd</t>
  </si>
  <si>
    <t>Traced Person. Naib Tehsildar, Turbat District Kech appeared before the Commission on 26.05.2021 at Quetta and submitted verification certificate confirming that Akhtar s/o Dad Muhammad has returned home.</t>
  </si>
  <si>
    <t>8016 -B</t>
  </si>
  <si>
    <t>Khan Muhammad s/o Khuda Bakhsh</t>
  </si>
  <si>
    <t>Traced Person. Naib Tehsildar, Turbat District Kech appeared before the Commission on 26.05.2021 at Quetta and submitted verification certificate confirming that Khan Muhammad s/o Khuda Bakhsh returned home.</t>
  </si>
  <si>
    <t>8017 -B</t>
  </si>
  <si>
    <t>Aslam s/o Dad Muhammad</t>
  </si>
  <si>
    <t>Traced Person. Naib Tehsildar, Turbat District Kech appeared before the Commission on 26.05.2021 at Quetta and submitted verification certificate confirming that Aslam s/o Dad Muhammad returned home.</t>
  </si>
  <si>
    <t>8018 -B</t>
  </si>
  <si>
    <t>Jan Muhammad s/o Jumma</t>
  </si>
  <si>
    <t>Traced Person. Naib Tehsildar, Turbat District Kech appeared before the Commission on 26.05.2021 at Quetta and submitted verification certificate confirming that Jan Muhammad s/o Jumma returned home.</t>
  </si>
  <si>
    <t>31st May, 2021</t>
  </si>
  <si>
    <t>8019 -K</t>
  </si>
  <si>
    <t>Andaz Khan s/o Shad Khan</t>
  </si>
  <si>
    <t>Shad Khan, r/o P.O Shabqadar, Mohalla Art Kandaye Shabqadar, District Charsadda. (Mobie No. 0307-7145861).</t>
  </si>
  <si>
    <t>17103-0430924-5</t>
  </si>
  <si>
    <t>01st June, 2021</t>
  </si>
  <si>
    <t>8020 -P</t>
  </si>
  <si>
    <t>Mumtaz Khan s/o Saif-ur-Rehman</t>
  </si>
  <si>
    <t>Muhammad Haroon, r/o Sakhu Road, Ward No. 14, Near Kabir Plaza, Tehsil Gujjar Khan, District Rawalpindi. (Mobile No. 0340-5736567 &amp; 0341-5126358).</t>
  </si>
  <si>
    <t>21403-6447905-1</t>
  </si>
  <si>
    <t>Traced Person. Rep of CPO, Office Rawalpindi appeared before the Commission on 04.10.2021 whose statement was recorded on oath. He produced report of CPO Rawalpindi intimating that Mumtaz Khan was confined in Faisalabad Jail in case FIR No. 24 dated 2.9.2021 u/s 4/5 ESA R/w 7ATA PS CTD, Faisalabad. The case is closed.</t>
  </si>
  <si>
    <t>8021 -K</t>
  </si>
  <si>
    <t>Muhammad Ibrahim s/o Abdul Malik</t>
  </si>
  <si>
    <t>Abdul Malik, r/o Agah Meer Nabi Shah, Yakatoot, District Peshawar. (0301-5378252 &amp; 0303-8800884).</t>
  </si>
  <si>
    <t>21103-8654140-5</t>
  </si>
  <si>
    <t>Traced Person. Muhammad Ibrahim s/o Abdul Malik has been traced. IO/SI appeared before the Commission whose statement was recorded on oath in which he deposed that Muhammad Ibrahim s/o Abdul Malik had returned home. He produced report and copy of Affidavit of Abdul Malik. Hence no further action is required. The case is closed.</t>
  </si>
  <si>
    <t>8022 -K</t>
  </si>
  <si>
    <t>Sultan Badshah s/o Jameel Khan</t>
  </si>
  <si>
    <t>Jameel Khan, r/o Village Gardai Kot, Cast Dittakhel, P.O Spinwam, District North Waziristan. (Mobile No. 0305-5825500).</t>
  </si>
  <si>
    <t>21509-1186319-7
 Father CNIC</t>
  </si>
  <si>
    <t>Traced Person. According to the report received from Rep of MI on 2.12.2021 that Sultan Badshah is interned in Internment Centre Kohat. Ghafoor Khan uncle of Sultan Badshah entered appearance affirmed that family members met Sultan Badshah four time at the Internment Centre Kohat. No further action is required. The case is closed.</t>
  </si>
  <si>
    <t>8023 -K</t>
  </si>
  <si>
    <t>Muhammad Ibrahim s/o Dawood Khan</t>
  </si>
  <si>
    <t>Dawood Khan, r/o Shakni Khel, Samathah, Bair Hassan Khel, Sub Divion, Peshawar. (Mobile No. 0346-9215976).</t>
  </si>
  <si>
    <t>22501-1165986-3</t>
  </si>
  <si>
    <t>8024 -P</t>
  </si>
  <si>
    <t>Zahid s/o Kashar Khan</t>
  </si>
  <si>
    <t>Dawood Khan, r/o Sadiqabad, Rawalpindi Servise Road, Gali No 11, House No. SA 582, Sadiqabad, Rawalpindi. (Mobile No. 0304-5585117).</t>
  </si>
  <si>
    <t>21403-6545130-1</t>
  </si>
  <si>
    <t>8025 -B</t>
  </si>
  <si>
    <t>Latif-ur-Rehman Akhwanzada s/o Akhwanzada Hidayat Ullah</t>
  </si>
  <si>
    <t>Mufti Ashiq -ur-Rehamn Akhwanzada, r/o Yousaf Kach, or Malazai, Tehsil Nana Sb, District Pashin. (Mobile No. 0335-8355551 &amp; 0307-3862370).</t>
  </si>
  <si>
    <t>54302-8300263-1</t>
  </si>
  <si>
    <t>8026 -S</t>
  </si>
  <si>
    <t>Muhammad Awais s/o Hafiz Abdul Rauf</t>
  </si>
  <si>
    <t>Hafiz Abdul Rauf, r/o Chak No. 107/1-L, P.O Same, Thsil Khan Pur, District Rahim Yar Khan. (Mobile No. 0306-5288416).</t>
  </si>
  <si>
    <t>31302-8440416-7</t>
  </si>
  <si>
    <t>Deleted. It was informed at the hearing held in this Commission on 08.02.2022 that Mr. Muhammad Awais has returned to home. His statement has been recorded u/s 164 CrPC. The report also confirmed by SDPO, Airport Sub Division, Karachi. Hence no further action is required. The case is closed.</t>
  </si>
  <si>
    <t>8027 -K</t>
  </si>
  <si>
    <t>Khan Sahab s/o Zarkam Khan</t>
  </si>
  <si>
    <t>Bakhtawr Khan, r/o Garanak, Daryuba Agency, P.O Daryuba Agency, Tehsil &amp; District Bannu. (Mobile No. 0336-9722433 &amp; 0339-744014).</t>
  </si>
  <si>
    <t>22201-8292279-9</t>
  </si>
  <si>
    <t>8028 -K</t>
  </si>
  <si>
    <t>Muhammad Saleem</t>
  </si>
  <si>
    <t>Mst. Ameena w/o Muhammad Saleem, r/o Hazara, Tehsil Kabal, District Swat. (Mobile No. 0345-2773155).</t>
  </si>
  <si>
    <t>Traced Person. Muhammad Saleem appeared before the Commission on 28.7.2021 and his statement was recorded on oath, in which he deposed that on 28.8.2021 he was summoned to PS Kabal, District Swat from where he was taken away by men in civvies. He added that he could not identify anybody because his eyes were blindfolded. He further deposed that he was also nominated in a FIR pertaining to a bomb blast. He was released on 18.6.2021 at Kanju Cantt Swat. In view of above no further action is required, the case is closed.</t>
  </si>
  <si>
    <t>8029 -K</t>
  </si>
  <si>
    <t>Muhammad Ismail s/o Ahmed Shah</t>
  </si>
  <si>
    <t>Mst. Salma Bibi w/o Muhamad Ismail, r/o Dama Dola, Tehsil Mamond, District Bajaur. (Mobile No. 0304-2466280 &amp; 0305-9354226).</t>
  </si>
  <si>
    <t>21104-7715134-9
 Father CNIC</t>
  </si>
  <si>
    <t>Traced Person. Ahmad Shah father of Muhammad Ismail (Traced Person) entered appearance, whose statement was recorded on oath in which he stated that Muhammad Ismail was picked up on 28.12.2020 and presently custody of Bajour Scouts, where his mother, brother and wife already met him. SP (Inv), Bajur submitted report that statement of four family members have been recorded by the Police who have confirmed that Muhammad Ismail was confined in Bajour Scouts Camp, Khar. No further action is taken, the case is closed.</t>
  </si>
  <si>
    <t>8030 -B</t>
  </si>
  <si>
    <t>Naseeb Ullah s/o Saad Ullah</t>
  </si>
  <si>
    <t>Mst. Kalsoom Bibi, r/o Samlani Colony, Much, Distict Kachhi, Bolan. (Mobile No. 0333-3876523).</t>
  </si>
  <si>
    <t>8031 -K</t>
  </si>
  <si>
    <t>Injam Ullah s/o Ashraf Khan</t>
  </si>
  <si>
    <t>Abdul Ghaffor, r/o Village Adar Khel, P.O Meer Ali, Tehsil Meer Ali, Meeran Shah, District North Waziristan. (Mobile No. 0331-5876477 &amp; 0331-5922486).</t>
  </si>
  <si>
    <t>21505-9958595-7</t>
  </si>
  <si>
    <t>8032 -S</t>
  </si>
  <si>
    <t>Amir s/o Mufti Abdullah Hazarvi</t>
  </si>
  <si>
    <t>Mufti Abdullah Hazarwi, r/o Jamia Masjid, Al-Huda, North Nazimabad, Block B, Karachi. (Mobile No. 0333-2359828).</t>
  </si>
  <si>
    <t>42101-5576560-1</t>
  </si>
  <si>
    <t>8033 -P</t>
  </si>
  <si>
    <t>Abdul Sami s/o Abdul Hameed</t>
  </si>
  <si>
    <t>Muhammad Asif, r/o New Abadi, Sohan, P.O Khaas, Tehsil &amp; District Islamabad. (Mobile No. 0312-8844468 &amp; 0313-5060686).</t>
  </si>
  <si>
    <t>38202-6257267-9</t>
  </si>
  <si>
    <t>Traced Person. Abdul Sami entered appearance before the Commission on 26.11.2021 at Lahore and submitted that he went to Karachi and conceded that he did not inform his family. No further action is required. The case is closed.</t>
  </si>
  <si>
    <t>DHR</t>
  </si>
  <si>
    <t>8034 -K</t>
  </si>
  <si>
    <t>Muhammad Zahid s/o Saleh Muhammad</t>
  </si>
  <si>
    <t>Mehar Naseem, r/o New Colony, P.O Matta, Matta kharberhi, Tehsil Matta, District Swat. (Mobile No. 0342-9854833).</t>
  </si>
  <si>
    <t>15601-8192847-3</t>
  </si>
  <si>
    <t>Traced Person. Rep of MI submitted report on 10.01.2022 that Muhammad Zahid was confined in Internment Centre Paithom. None entered appearance on behalf of Muhammad Zahid (Traced Person). However, SP (Inv), Peshawar was directed to inform the Complainant about confinement of Muhammad Zahid in the Internment Centre Paithom. Family member shall be facilitated to see Muhammad Zahid in the Internment Centre according to rules and procedure. No further action is required. The case is closed.</t>
  </si>
  <si>
    <t>8035 -K</t>
  </si>
  <si>
    <t>Muhammad Ullah s/o Khair Badeen</t>
  </si>
  <si>
    <t>Muhammad Ayub, r/o Tehsil Barah, District Khyber, KPK. (Mobile No. 0300-5658757).</t>
  </si>
  <si>
    <t>PCP/ FC KPK Peshawar</t>
  </si>
  <si>
    <t>8036 -K</t>
  </si>
  <si>
    <t>8037 -K</t>
  </si>
  <si>
    <t>Wali Gul</t>
  </si>
  <si>
    <t>8038 -B</t>
  </si>
  <si>
    <t>Shahid Ali s/o Ali Ahmed</t>
  </si>
  <si>
    <t>Ahmed Ali, r/o Kalye Ibrahim zaye, Gawar KhanStreet, Goli Mar Chowk, Sabzal Road, Quetta. (Mobile No. 0336-2536025).</t>
  </si>
  <si>
    <t>51301-3466577-9</t>
  </si>
  <si>
    <t>Traced Person. Shahid Ali s/o Ali Ahmad appeared before the Commission on 23.08.2021 whose statement was recorded on oath in which he deposed that he was abducted on 03.03.2021 from Golimar Chowk, Quetta by unknown persons and set free after four months. No further action is required. The case is closed.</t>
  </si>
  <si>
    <t>8039 -K</t>
  </si>
  <si>
    <t>Rehmat Janan s/o Dost Muhammad</t>
  </si>
  <si>
    <t>Mst. Dilak Jan Bibi w/o Dost Muhammad, r/o Orakzai Haal Sayab, Kohat. (Mobile No. 0334-5435037 &amp; 0336-0196270).</t>
  </si>
  <si>
    <t>Traced Person. DSP Saddar, Kohat appeared before the Commission and submitted report from DPO, Kohat. Statements of Abdullah (Brother) of Rehmat Janan is confirmed that Missing Person is confined in Internment Centre, Kohat in terms of Action (in aid of Civil), Regulations, 2011. No further action is required. The case is closed.</t>
  </si>
  <si>
    <t>8040 -K</t>
  </si>
  <si>
    <t>Akmal Khan s/o Dr. Sheraz Ali Khan</t>
  </si>
  <si>
    <t>Dr. Sheraz Ali Khan, r/o Kotak Gul Ahmed, Mowar Kala, Tehsil &amp; Domail, District Bannu. (Mobile No. 0336-8181686).</t>
  </si>
  <si>
    <t>11101-5712182-9</t>
  </si>
  <si>
    <t>Traced Person. Sheraz Ali Khan is present who is father of Akmal Khan (Traced Person). His statement has been recorded on oath, in which he deposed that Akmal Khan was abducted by CTD on 29-05-2021. He was produced before ATC Court on 23-06-2021 and the Court ordered their remand. Subsequently on 05-07-2021 he was released on bail by ATC. Now Akmal Khan was presently available at home. No further action is required. The, case is closed.</t>
  </si>
  <si>
    <t>8041 -K</t>
  </si>
  <si>
    <t>Osama s/o Muhammad Ayaz</t>
  </si>
  <si>
    <t>11102-0375330-7</t>
  </si>
  <si>
    <t>8042 -K</t>
  </si>
  <si>
    <t>Hakeem Saeed s/o Khan Saeed</t>
  </si>
  <si>
    <t>Ali Akbar, r/o House No. 39/3, Mohalla Sheet 17, Model Colony, Karachi. (Mobile No. 0340-8670759 &amp; 0331-2845367).</t>
  </si>
  <si>
    <t>42401-2025937-7</t>
  </si>
  <si>
    <t>8043 -K</t>
  </si>
  <si>
    <t>Ahsan Ullah s/o Haji Sher Abdullah Chitrali</t>
  </si>
  <si>
    <t>Haji Sher Abdullah, r/o Shop Keeper Chitrali Bazar, Pusht Kisa Khuwani, Peshawar. (Mobile Mo. 0345-9164087)</t>
  </si>
  <si>
    <t>17301-2676451-7</t>
  </si>
  <si>
    <t>Traced Person. SP (Inv), Peshawar appeared before the Commission whose statement was recorded on oath in which he submitted that Ahsan Ullah returned home. He produced report from the concerned quarters. The case is closed.</t>
  </si>
  <si>
    <t>8044 -K</t>
  </si>
  <si>
    <t>Ameen Ullah s/o Muhammad Meeran</t>
  </si>
  <si>
    <t>Muhammad Meeran, r/o Machni Aysha Kor, Mohmand District, KPK. (Mobile No. 0322-9930811).</t>
  </si>
  <si>
    <t>15302-8358643-3
 Father CNIC</t>
  </si>
  <si>
    <t>8045 -K</t>
  </si>
  <si>
    <t>Muhammad Shahab s/o Toor Khan</t>
  </si>
  <si>
    <t>Mst. Nazia Bibi, r/o Dama Dola, Tehsil Mamond, District Bajour. (Mobile No. 0303-8249464 &amp; 0308-9143426).</t>
  </si>
  <si>
    <t>21104-2160502-1
 Brother CNIC</t>
  </si>
  <si>
    <t>Traced Person. According to MI report submitted at the hearing on 26.10.2021 Muhammad Shahab CNIC No. 21104-2881975-3 son of Toor Malook is presently confined in the Internment Centre Lakki Marwat. Shafi Ullah b/o Muhammad Shahab is present, whose statement was recorded on oath in which he submitted that the family members had already met Muhammad Shahab twice in the Internment Centre. No further action is required. The case is closed.</t>
  </si>
  <si>
    <t>8046 -I</t>
  </si>
  <si>
    <t>Abdullah Razzaq s/o Muhammad Khan Shanwari</t>
  </si>
  <si>
    <t>Izat Khan, r/o Zareena Masjid, Chalu Village, G-14/1, Islamabad. (Mobile No. 0303-2146202 &amp; 0303-3453505).</t>
  </si>
  <si>
    <t>21405-5189017-5</t>
  </si>
  <si>
    <t>Traced Person. DSP (Inv), Tank appeared before the Commission on 27.08.2021 and informed that Abdullah Razzaq s/o Muhammad Khan Shanwari has returned home. No further action is required. The case is closed.</t>
  </si>
  <si>
    <t>8047 -K</t>
  </si>
  <si>
    <t>Ameer Badshah s/o Niazbat Khan</t>
  </si>
  <si>
    <t>Nazeer Badshah, r/o Koh Pari, Wazi Khel, P.O Dosali, Tehsil Dosali, District North Waziristan. (Mobile No. 0334-4061769).</t>
  </si>
  <si>
    <t>21502-8536253-3</t>
  </si>
  <si>
    <t>8048 -B</t>
  </si>
  <si>
    <t>Muhammad Asif Baloch s/o Muhammad Panah Baloch</t>
  </si>
  <si>
    <t>Mst. Sara, r/o P.O &amp; P.S Baghban, Tehsil Nogaye, District Khuzdar. (Mobile No. 0335-8235135).</t>
  </si>
  <si>
    <t>51401-2737404-1</t>
  </si>
  <si>
    <t>8049 -B</t>
  </si>
  <si>
    <t>Abdul Rashid s/o Abdul Razzaq</t>
  </si>
  <si>
    <t>Mst. Khalida, r/o Wahla, Kale Kanak, P.S Baghban, Tehsil Nogaye, District Khuzdar. (Mobile No. 0335-3540752).</t>
  </si>
  <si>
    <t>51401-1009297-3</t>
  </si>
  <si>
    <t>8050 -K</t>
  </si>
  <si>
    <t>Saqib Hassan s/o Muhammad Haroon</t>
  </si>
  <si>
    <t>Mst. Asma, r/o Meerpur Kanj, District Abbottabad. (Mobile No. 0310-5124304).</t>
  </si>
  <si>
    <t>42201-0537694-1</t>
  </si>
  <si>
    <t>8051 -K</t>
  </si>
  <si>
    <t>Masood Alam s/o Manzar Gul</t>
  </si>
  <si>
    <t>Mst, Bibi Rokhana, r/o Oppal, Tehsil Alporaye, District Shangla. (Mobile No. 0344-5620381).</t>
  </si>
  <si>
    <t>Traced Person. Ehsan Ullah b/o Masood Alam appeared before the Commission on 22.10.2021 his statement was recorded on oath in which he deposed that the complaint was lodged in the Commission by his mother Mst. Rokhana. He further deposed that Masood Alam was confined in Internment Centre at Paithom and himself and his mother have already met him in the said Internment Centre on 22.6.2021 and 12.10.2021. Hence, the case is closed.</t>
  </si>
  <si>
    <t>Shangla</t>
  </si>
  <si>
    <t>8052 -K</t>
  </si>
  <si>
    <t>Sher Dad s/o Musafer Khan</t>
  </si>
  <si>
    <t>Abdul Qadir, r/o New Colony, Head Kale, P.O Tangi Gandher Bala, Tehsil Tangi, District Charsadda. (Mobile No. 0304-2509618 &amp; 0306-7001192).</t>
  </si>
  <si>
    <t>15101-0338919-5</t>
  </si>
  <si>
    <t>8053 -P</t>
  </si>
  <si>
    <t>Tanveer Hassan s/o Faqeer Muhammad</t>
  </si>
  <si>
    <t>Faqeer Muhammad, r/o Chak Number 117 Jeem Baee, Dhanu Wala, District Faislabad. (Mobile No. 0300-6685796 &amp; 0300-7980417)</t>
  </si>
  <si>
    <t>33100-0747099-1</t>
  </si>
  <si>
    <t>Traced Person. SSP (Inv), Faisalabad entered appearance before the Commission on 25.11.2021 and submitted that Tanveer Hassan has returned home and his statement u/s 164 CrPC has been recorded. Tanveer Hassan also appeared before the Commission. No further action is required. The case is closed.</t>
  </si>
  <si>
    <t>Faislabad</t>
  </si>
  <si>
    <t>8054 -K</t>
  </si>
  <si>
    <t>Muhammad Hakeem s/o Muhammad Zareef</t>
  </si>
  <si>
    <t>Gul Zareen Khan, r/o P.O Rajgan, Tehsil Salarzai, District Bajaur, (Mobile No. 0304-4009926).</t>
  </si>
  <si>
    <t>21106-2261984-3</t>
  </si>
  <si>
    <t>8055 -K</t>
  </si>
  <si>
    <t>Taj Malook s/o Allu Khan</t>
  </si>
  <si>
    <t>Syed Anwar, r/o Dawatoye, Zawar Kale, P.O Ladha, Tehsil Ladha, District South Waziristan. (Mobile No. 0334-5896881 &amp; 0301-5859557).</t>
  </si>
  <si>
    <t>21702-1226832-7</t>
  </si>
  <si>
    <t>Traced Person. According to report received from Rep of MI Taj Malook is confined in Internment Centre Lakki Marwat. Badshah Khan who is cousin of Taj Malook appeared before the Commission his statement recorded on oath on 02.12.2021 in which he confirmed the reported position.</t>
  </si>
  <si>
    <t>8056 -K</t>
  </si>
  <si>
    <t>Hassan Ayaz s/o Ilyas Khan</t>
  </si>
  <si>
    <t>Zakir Hafeez, r/o Shagi Rar Chena, Jamrod, Tehsil Jamrod, District Khyber. (Mobile No. 0345-9000793).</t>
  </si>
  <si>
    <t>8057 -K</t>
  </si>
  <si>
    <t>Mufti Muhammad Rizwan s/o Shah Jahan</t>
  </si>
  <si>
    <t>Gul Janan, r/o Village Garah Hayat, Tehsil &amp; District Tank, KPK. (Mobile No. 0324-9098712 &amp; 0308-8683918).</t>
  </si>
  <si>
    <t>Traced Person. DPO, Tank appeared before the Commission on 18.10.2021 and submitted report that Mufti Muhammad Rizwan is confined in Faisalabad Jail for being involved in case FIR No. 21 dated 26.8.2021 u/s 11H, 11-I 11J, 11N ATA 1997, PS/ CTD Faisalabad. No further action is required. The case is closed.</t>
  </si>
  <si>
    <t>8058 -K</t>
  </si>
  <si>
    <t>Muhammad Sabir s/o Khan Asghar</t>
  </si>
  <si>
    <t>Aslam Gul, r/o Tonakh Payan, Mohalla Khanan Banda, Kohat. (Mobile No. 0312-0922114).</t>
  </si>
  <si>
    <t>21604-0624020-9</t>
  </si>
  <si>
    <t>FIR No. 365 dated 16-07-2021 u/s 365 PPC PS MRS, Kohat</t>
  </si>
  <si>
    <t>Traced Person. Rep of MI appeared before the Commission and submitted report that Muhammad Sabir was confined in the Internment Center Fizaghat. Under Action (in aid of Civil) Regulations, 2011. The family shall be facilitated to see him as per rules and procedures. The case is closed.</t>
  </si>
  <si>
    <t>8059 -K</t>
  </si>
  <si>
    <t>Inam Ullah s/o Khaista-ur- Rehman</t>
  </si>
  <si>
    <t>Mst. Mehar Zeba, r/o Gulgot, P.O Kamber, Tehsil Lal Qillah, District Dir Payeen. (Mobile No. 0307-2727848 &amp; 0343-3333800).</t>
  </si>
  <si>
    <t>15305-7728954-1</t>
  </si>
  <si>
    <t>Traced Person. Inam Ullah has been traced. Rep of MI submitted report that he was is presently confined in Internment Centre at Malakand under Action (in aid of Civil) Regulations, 2011. Family members of Inam Ullah have been apprised of the position and they shall be facilitated to see him in the Internment Centre Malakand.</t>
  </si>
  <si>
    <t>8060 -K</t>
  </si>
  <si>
    <t>Naseer Ullah s/o Watan Khan</t>
  </si>
  <si>
    <t>Noor Aarab Khan, r/o Village Eidak Nizamia Bazzar, Malik Nazar Market, Tehsil Mir Ali, District North Waziristan. (Mobile No. 0322-0965983 &amp; 092-8220218).</t>
  </si>
  <si>
    <t>21505-5746597-7</t>
  </si>
  <si>
    <t>FIR No. 89, dated 9/8/2021 u/s 365 PPC, P.S mirali, District NWD.</t>
  </si>
  <si>
    <t>Traced Person. Noor Arab Khan (Complainant) entered appearance before the Commission on 2.12.2021 and his statement was recorded on oath. He was apprised of the status of the case that Naseer Khan is confined in Internment Centre at Lakki Marwat. Family members shall be facilitated to see him in the Internment Centre. No further action is required. The case is closed.</t>
  </si>
  <si>
    <t>8061 -P</t>
  </si>
  <si>
    <t>Syed Shafique Hussain, r/o Galli No. 20, Jameelabad, Texila, District Rawalpindi. (Mobile No. 0303-6737672).</t>
  </si>
  <si>
    <t>36102-6740247-7</t>
  </si>
  <si>
    <t>FIR No. 548/21, dated 12/05/2021, U/S 365PPC, P.S Taxial, Rawalpindi.</t>
  </si>
  <si>
    <t>Traced Person. SSP (Inv), Rawalpindi appeared before the Commission on 4.10.2021, whose statement was recorded on oath in which he stated that Syed Abdul Allam Zaidi returned home on 30.6.2021. CPO, Rawalpindi and statement of traced person Syed Abdul Allam Zaidi recorded by Judicial Magistrate u/ s 164 CrPC. The case is closed.</t>
  </si>
  <si>
    <t>8062 -I</t>
  </si>
  <si>
    <t>Khyal Habib s/o Payo Khan</t>
  </si>
  <si>
    <t>Payo Khan, r/o Tarnol, Islamabad. (Mobile No. 0335-1411013)</t>
  </si>
  <si>
    <t>14101-0208881-1
 Father CNIC</t>
  </si>
  <si>
    <t>FIR No. 422, dated 23/07/2021, u/s 365 PPC, P.S Tarnol, Islamabad</t>
  </si>
  <si>
    <t>8063 -K</t>
  </si>
  <si>
    <t>Wali Khan s/o Habib Ullah Khan</t>
  </si>
  <si>
    <t>Mst. Shareefa w/o Habib Ullah Khan, r/o Akhel Toor Kanraye, P.O Gulju, District Orakzai. (Mobile No. 0333-6479496 &amp; 092-533368).</t>
  </si>
  <si>
    <t>FATA/ Orakzai</t>
  </si>
  <si>
    <t>30th June, 2021</t>
  </si>
  <si>
    <t>8064 -P</t>
  </si>
  <si>
    <t>Amjad Hussain s/o Nazar Hussian</t>
  </si>
  <si>
    <t>H/Cap Nazar Hussain s/o Abdullah Khan, r/o Gahi, Tehsil Kallar Kahar, District Chakwal. (Mobile No. 0334-3433752).</t>
  </si>
  <si>
    <t>37201-1791517-5</t>
  </si>
  <si>
    <t>Traced Person. Nazar Hussain (Traced Person) appeared before the Commission and his statement was recorded on oath in which he deposed that the Police also recorded his statement and his son Amjad Mehmood had returned home on 9.7.2021. No further action is required. The case is closed.</t>
  </si>
  <si>
    <t>1st July, 2021</t>
  </si>
  <si>
    <t>8065 -P</t>
  </si>
  <si>
    <t>Qazi Jameel-ur-Rehman Shoaib s/o Qazi Hafeez-ur-Rehman</t>
  </si>
  <si>
    <t>Qazi Hafeez-ur-Rehman, r/o House No. 23, Gali No. 1/4, Bahar Colony, Chakri Road, Rawalpindi. (Mobile No. 0322-5386627)</t>
  </si>
  <si>
    <t>37405-24686601-0</t>
  </si>
  <si>
    <t>FIR No. 1046/21, dated 18/06/2021, U/S 365PPC, P.S Saddar Beroni, Rawalpindi.</t>
  </si>
  <si>
    <t>Traced Person. Qazi Jameel-ur-Rehman entered appearance before the Commission, whose statement was recorded on oath in which he stated that he was not kidnapped by anyone and went away with his own will and returned home on 03.07.2021. SP/CIA, Rawalpindi also produced report from confirming the return.</t>
  </si>
  <si>
    <t>8066 -K</t>
  </si>
  <si>
    <t>Syed Irfan Hussain s/o Syed Hussain Akbar</t>
  </si>
  <si>
    <t>Syed Muhammad Ayaz, r/o Village Zaridar Balla, P/O Kalaya, District Lower Orakzai, KPK. (Mobile No. 0336-0600025).</t>
  </si>
  <si>
    <t>21603-5821594-9</t>
  </si>
  <si>
    <t>Traced Person. It has been reported by Rep of MI at the hearing held on 15.11.2021 that Syed Irfan Hussain is under custody of security forced for FGCM. No further action is required. The case is closed.</t>
  </si>
  <si>
    <t>8067 -I</t>
  </si>
  <si>
    <t>Syed Muhammad Zaheer s/o Syed Hussain Akbar</t>
  </si>
  <si>
    <t>21603-6495572-9</t>
  </si>
  <si>
    <t>Traced Person. According to report rece4ived from Rep of MI, Syed Muhammad Zaheer is under trail by Field General Court Martial. Syed Muhammad Ayaz b/o Syed Muhammad Zaheer was present and apprised of status of the case. No further action is required. The case is closed.</t>
  </si>
  <si>
    <t>8068 -B</t>
  </si>
  <si>
    <t>Janan Janan s/o Seeno</t>
  </si>
  <si>
    <t>Seeno, r/o Kali Tazak Tapawani, P.O Zhob, Tehsil &amp; District Zhob, Balochistan.</t>
  </si>
  <si>
    <t>56503-1828802-1</t>
  </si>
  <si>
    <t>8069 -P</t>
  </si>
  <si>
    <t>Mir Shah Khan s/o Mir Qadir Jan</t>
  </si>
  <si>
    <t>Mir Qadir Jan, r/o Shinwari, Sagi Payan, P.O Lakarhe Tehsil Upper Mohmand, District Mohmand, KPK.</t>
  </si>
  <si>
    <t>21509-6222968-3</t>
  </si>
  <si>
    <t>8070 -P</t>
  </si>
  <si>
    <t>Daud Khan s/o Muhammad Zareen Khan</t>
  </si>
  <si>
    <t>Muhammad Zareen Khan, r/o Shinwari, Sagi Payan, P.O Lakarhe Tehsil Upper Mohmand, District Mohmand, KPK.</t>
  </si>
  <si>
    <t>21406-1502318-3</t>
  </si>
  <si>
    <t>Traced Person. According to report dated 23.09.2021 furnished by CPO, Rawalpindi, Dawood Khan is not a missing person. He is reportedly at Karachi. Name of Dawood Khan has inadvertently been registered in the Commission vide ID No. 8070-P, therefore his name be deleted from the list of Enforced Disappeared Persons. No further action is required. The case is closed.</t>
  </si>
  <si>
    <t>8071 -K</t>
  </si>
  <si>
    <t>Irfan Ullah Khan s/o Akhtar Ali Khan</t>
  </si>
  <si>
    <t>Akhtar Ali Khan, r/o P.O Khas, Nurar, Administrative Subdivision of Tehsil, District Bannu, KPK.</t>
  </si>
  <si>
    <t>11101-3029948-1</t>
  </si>
  <si>
    <t>8072 -B</t>
  </si>
  <si>
    <t>Shoaib Lal Muhammad s/o Lal Muhammad</t>
  </si>
  <si>
    <t>Lal Muhammad, r/o Gayab, Tehsil Mand, District Kech, Balochistan.</t>
  </si>
  <si>
    <t>8073 -K</t>
  </si>
  <si>
    <t>Hafeez Ullah s/o Naik Muhammad Khan</t>
  </si>
  <si>
    <t>Naik Muhammad Khan, r/o Baka Khel Wazir, P.O Baka Khel, District Bannu, KPK.</t>
  </si>
  <si>
    <t>11101-4170968-1</t>
  </si>
  <si>
    <t>Traced Person. Hafeez Ullah s/o Naik Muhammad Khan (Traced Person) appeared before the Commission on 11.10.2021. He deposed that he was abducted on 13.10.2020 from Tochi River by some unknown persons who took him to an unknown place from where he was released him on 23.03.2021. Hence no further action is required. The case is closed.</t>
  </si>
  <si>
    <t>8074 -K</t>
  </si>
  <si>
    <t>Syed Muhammad Noor s/o Gula Khon</t>
  </si>
  <si>
    <t>Gula Khon, r/o P.O Khas, Mir Ali, District North Waziristan, KPK.</t>
  </si>
  <si>
    <t>21505-4961466-5</t>
  </si>
  <si>
    <t>Traced Person. Syed Muhammad Noor s/o Gulla Khan entered appearance before the Commission, whose statement was recorded on oath, in which he deposed that he was kidnapped by unknown persons on 16.02.2021 and took him to Mirali and subsequently set free at Miran Shah two months ago and he returned home. He further deposed that his mother, brother and wife met him at Internment Centre Lakki Marwat. Addl SP Bannu also produced report from DPO, Bannu containing same facts. Hence , the case is closed.</t>
  </si>
  <si>
    <t>8075 -B</t>
  </si>
  <si>
    <t>Kaleem Ullah s/o Haji Muhammad Din</t>
  </si>
  <si>
    <t>Haji Muhammad Din, r/o Sheen Talib, Chaman, District Qillah Abdullah, Balochistan.</t>
  </si>
  <si>
    <t>54201-8017350-9</t>
  </si>
  <si>
    <t>8076 -S</t>
  </si>
  <si>
    <t>Muhammad Iqbal s/o Wazir Rehman</t>
  </si>
  <si>
    <t>Wazir Rehman, r/o Shankai, P.O and Tehsil Sra Rogha, District South Waziristan, KPK.</t>
  </si>
  <si>
    <t>42501-1937192-9</t>
  </si>
  <si>
    <t>Deleted. At the hearing held in this case on 31.01.2022 at Sub-Office, Karachi at which SDPO Clifton produced application of Kamal (Brother) of Missing Person for withdrawal of the case as he has received news that his brother has died in Peshawar. No further action is required. The case is closed.</t>
  </si>
  <si>
    <t>8077 -B</t>
  </si>
  <si>
    <t>Ameer Bakhsh s/o Haji</t>
  </si>
  <si>
    <t>Haji, r/o Nigwari Ward, District Gwadar, Balochistan.</t>
  </si>
  <si>
    <t>52101-0569270-3</t>
  </si>
  <si>
    <t>8078 -K</t>
  </si>
  <si>
    <t>Farid Ullah s/o Muhammad Ayaz</t>
  </si>
  <si>
    <t>Muhammad Ayaz, r/o Tappi Plali, P.O &amp; Tehsil Miran Shah, District North Waziristan, KPK.</t>
  </si>
  <si>
    <t>21506-3733605-5</t>
  </si>
  <si>
    <t>Traced Person. SP (Inv), Bannu appeared before the Commission on 11.10.2021 and furnished report of DPO, Bannu in which he deposed that Farid Ullah was confined in the Internment Centre under Action (in aid of Civil) Regulations, 2011.Family members met him in the aforesaid Internment Centre.</t>
  </si>
  <si>
    <t>8079 -K</t>
  </si>
  <si>
    <t>Asghar Khan s/o Muhammad Ramzan</t>
  </si>
  <si>
    <t>Muhammad Ramzan, r/o Khaisura, P.O &amp; Tehsil Tiarza Khaisra, District South Waziristan, KPK.</t>
  </si>
  <si>
    <t>90406-0187032-3</t>
  </si>
  <si>
    <t>8080 -S</t>
  </si>
  <si>
    <t>Yasir Yasir s/o Enayat Khan</t>
  </si>
  <si>
    <t>Enayat Khan, r/o Muhalla Sultan Khel, Zakha Khel, Tehsil Landi Kotal, District Khyber, KPK.</t>
  </si>
  <si>
    <t>21203-2586181-3</t>
  </si>
  <si>
    <t>Traced Person. It was informed at the hearing held in this case on 04.10.2021 at sub-office of the Commission, Karachi that Yasir s/o Inayat Khan was involved in case FIR No. 115/2017 dated 7.8.2017 u/s 353/324/34 PS CTD, Karachi. He was killed in an encounter with the Police. Fahad s/o Inayat Khan (brother of the deceased) was called to Police Station vide Mobile No. 0346-9720188 who recognized dead body of his brother with the help of photographs and confirmation by in-charge Cheepa Ambulance service Mr. Jamali. Later the family also visited grave of Yasir. Daily dairy and statement of Farhad are available on record.</t>
  </si>
  <si>
    <t>8081 -K</t>
  </si>
  <si>
    <t>Zardali Khan s/o Aleem Khan</t>
  </si>
  <si>
    <t>Aleem Khan, r/o Sarwar Jan Kalla, Junai Baka Khel, Tehsil and District Bannu, KPK.</t>
  </si>
  <si>
    <t>11101-0531902-1</t>
  </si>
  <si>
    <t>Traced Person. SP (Inv), and Rep of MI appeared before the Commission on 11.10.2021 and submitted report that Zardali Khan was confined in Internment Centre Lakki Marwat under Action (in aid of Civil) Regulations, 2011. The family met him in the Internment Centre. No further action is required. The case is closed.</t>
  </si>
  <si>
    <t>8082 -S</t>
  </si>
  <si>
    <t>Mir Taj Muhammad Sarparah s/o Haji Mir Abdul Rehman Sarparah</t>
  </si>
  <si>
    <t>Haji Mir Abdul Rehman Sarparah, r/o Khe-Bayane Roomi, 149/1, Defence Karachi, Sindh.</t>
  </si>
  <si>
    <t>AD5931563</t>
  </si>
  <si>
    <t>8083 -P</t>
  </si>
  <si>
    <t>Zakhel s/o Pan Jan</t>
  </si>
  <si>
    <t>Muhammad Yousaf, r/o Syed Alam Children Cloth Shop, Chorh Chok, Aksar Plaza, Gali no. 8, Rawalpindi. (0337-8011680).</t>
  </si>
  <si>
    <t>21105-4144656-5</t>
  </si>
  <si>
    <t>Traced Person. Zakhel (Traced Person) appeared before the Commission his statement was recorded on oath in which he deposed that he was abducted on 06.07.2021 by 5/6 persons who were in black uniforms and came in a vehicle that after 14 days he was released. No further action is required. The case is closed.</t>
  </si>
  <si>
    <t>8084 -K</t>
  </si>
  <si>
    <t>Saif Ullah s/o Said Jamal</t>
  </si>
  <si>
    <t>Haroon Khan, r/o Speen Qaber Nahar, Sepah, P.O &amp; Tehsil Barah, District Khyber. (Mobile No. 0309-6750548 &amp; 0307-8527537).</t>
  </si>
  <si>
    <t>21201-7745988-9</t>
  </si>
  <si>
    <t>Traced Person. According to the report submitted by Rep of MI at the hearing on 5.4.2022, Saifullah was interned in Internment Centre Fort Salop. After rehabilitation at DRC Sabaoon, he was set free and he returned home. Hence no further action is required. The case is closed.</t>
  </si>
  <si>
    <t>8085 -I</t>
  </si>
  <si>
    <t>Gul Zaman s/o Sultan Muhammad</t>
  </si>
  <si>
    <t>Ali Akbar, r/o House No. A-339, Street No. 22, Mohalla Dhok Matkyal, Rawalpindi. (Mobile No. 0333-5570799).</t>
  </si>
  <si>
    <t>37405-3927165-1</t>
  </si>
  <si>
    <t>Traced Person. DSP (Inv), Tank appeared before the Commission on 27.08.2021 and informed that Gul Zaman s/o Sultan Muhammad had returned home. No further action is required. The case is closed.</t>
  </si>
  <si>
    <t>8086 -P</t>
  </si>
  <si>
    <t>Sajid Mashi s/o Gulzar Mashi</t>
  </si>
  <si>
    <t>Muqadas Mashi, r/o P.O Khas, Chak No. 681 Gaf Bee, Karshan Nagar, Tehsil Peer Mahal, District Toba Tek Singh. (Mobile No. 0306-5381658 &amp; 0321-3872681).</t>
  </si>
  <si>
    <t>Traced Person. IO/SI Muhammad Mushtaq appeared before the Commission who furnished copy of statement of Sajid Masih s/o Gulzar Masih narrated as a I am adult sui-juris and sane person. I understand my welfare and upcoming future. Nobody abducted/kidnapped me. My mother namely Iqbal Bibi registered a false and frivolous case. I have no objection if this case be discharged/ cancelled. The case is closed.</t>
  </si>
  <si>
    <t>8087 -K</t>
  </si>
  <si>
    <t>Munwar Khan s/o Mastori Khel</t>
  </si>
  <si>
    <t>Muhammad Shafique, r/o Qaber Khel, Darye Palarye Alla Dhand, Baz Garh, P.O &amp; Tehsil Barh, District Khyber. (Mobile No. 0345-1910034 &amp; 0301-8853054).</t>
  </si>
  <si>
    <t>21201-6256805-1</t>
  </si>
  <si>
    <t>8088 -B</t>
  </si>
  <si>
    <t>Ali Akbar Mengal s/o Wali Muhammad Mengal</t>
  </si>
  <si>
    <t>Mst. Khair Bibi, r/o Kali Mengal, Goharabad, Near Mossa Colony, P.S Khaliq Shaheed, North Bypass, Quetta. (Mobile No. 0346-8395879).</t>
  </si>
  <si>
    <t>54400-6248250-1</t>
  </si>
  <si>
    <t>Traced Person. Ali Akbar Mengal s/o Wali Muhammad Mengal appeared before the Commission at Quetta on 23.08.2021 in which he deposed that he was abducted by unknown persons on 28.06.2021 who came in two vehicles and kept him at some unknown place and set free on 07.07.2021. No further action is required. The case is closed.</t>
  </si>
  <si>
    <t>8089 -B</t>
  </si>
  <si>
    <t>Naseeb Ullah Badeeni Baloch s/o Haji Shaukat Badeeni Baloch</t>
  </si>
  <si>
    <t>Amin Ullah, r/o Pakistani Tent Servise, P.S &amp; Tehsil Qaziabad, Nushki, District Nushki. (Mobile No. 0343-8210498 &amp; 0345-8373389).</t>
  </si>
  <si>
    <t>54102-9643431-7</t>
  </si>
  <si>
    <t>8090 -K</t>
  </si>
  <si>
    <t>Saud Abdul Malik s/o Abdul Malik</t>
  </si>
  <si>
    <t>Farooq Malik, r/o Chamba Pir Nauyhia Jadeed, Peshawar (Mobile No. 0345-2370370)</t>
  </si>
  <si>
    <t>Traced Person. Saud Abdul Malik entered appearance before the Commission on 20-09-2021 whose statement was recorded on oath in which he deposet that he was running a private School which was disturbed on account of COVID-19, therefore he was worried and left home in search of some job and due to sickness, he had to return back to home. No further action is required. The case is closed.</t>
  </si>
  <si>
    <t>8091 -K</t>
  </si>
  <si>
    <t>Muhammad Asim s/o Nasir Khan</t>
  </si>
  <si>
    <t>Yasir Khan, r/o Kunday Bala Lundi, Akhon Ahmed P.O, Islamia College, Peshawar. (Mobile No. 0303-2033454)</t>
  </si>
  <si>
    <t>17301-6426362-1</t>
  </si>
  <si>
    <t>Traced Person. Rep of ISI entered appearance on 24.09.2021, whose statement was recorded on oath. He produced his report that Muhammad Asim was present at his home. Accordingly, the case is closed.</t>
  </si>
  <si>
    <t>8092 -K</t>
  </si>
  <si>
    <t>Rafi Ullah s/o Mangal Khan</t>
  </si>
  <si>
    <t>Khalid Khan, r/o Main Ittefaq Colony, Pind Paryian, Tarnol , Islamabad. (Mobile No. 0317-1500048)</t>
  </si>
  <si>
    <t>8093 -K</t>
  </si>
  <si>
    <t>Muhammad Akram s/o Muhammad Hassan</t>
  </si>
  <si>
    <t>Muhammad Hassan, r/o P.O Shamsha, Yousaf Khel, Tehsil Upper Mohmand. (Mobile No. 0346-5530711 &amp; 0645-66031579)</t>
  </si>
  <si>
    <t>Upper Mohmand</t>
  </si>
  <si>
    <t>8094 -K</t>
  </si>
  <si>
    <t>Ahmed Rahim s/o Muhammad Rahim Khan</t>
  </si>
  <si>
    <t>Muhammad Rahim Khan, r/o Doger Umerzai, P.O Matki Bezan Khel, Tehsil Domail, District Bannu. (Mobile No. 0332-9721731)</t>
  </si>
  <si>
    <t>11102-0353595-1</t>
  </si>
  <si>
    <t>Traced Person. Ahmed Rahim entered appearance before the Commission on 24.09.2021 and recorded his statement on oath in which he stated that he was arrested by CTD on 11.05.2021 produced in the Court on 13.07.2021, obtained three days Judicial remand and sent to jail on 16.07.2021 from where he was released on bail on 28.07.2021. SP Bannu also confirmed the aforesaid position of the case. Hence, no further action is required. The case is closed.</t>
  </si>
  <si>
    <t>8095 -K</t>
  </si>
  <si>
    <t>Kamran s/o Irfan Ullah</t>
  </si>
  <si>
    <t>Ghufran Ullah, r/o Qoyam Barqamber Khel, Khan paye Khel, Khajuri, P.O Barh, Notki Dhand, Tehsil Barh, District Khyber. (Mobile No. 0302-8535809 &amp; 0333-7667640).</t>
  </si>
  <si>
    <t>8096 -S</t>
  </si>
  <si>
    <t>Waleed s/o Khalid Mehmood</t>
  </si>
  <si>
    <t>Mst. Mehwish Khalid Mehmood, r/o Near Baloch Clinic, Islam Purah, Gali No. 20, Usmanabad Gardan, West Karachi. (Mobile No. 0318-2318587 &amp; 0323-2616734).</t>
  </si>
  <si>
    <t>42301-5657805-6</t>
  </si>
  <si>
    <t>8097 -K</t>
  </si>
  <si>
    <t>Siddique Khan s/o Doran Khan</t>
  </si>
  <si>
    <t>Shair Manullah, r/o Shalamzai, P.O &amp; Tehsil Sarahrogah, District South Waziristan. (Mobile No. (0332-5308347 Call on this num for hearing) &amp; 0332-3331777).</t>
  </si>
  <si>
    <t>21704-1264482-1</t>
  </si>
  <si>
    <t>Traced Person. Rep of FC, KP (South) appeared before the Commission on 24.09.2021 whose statement was recorded o oath. He produced report that Siddique Khan s/o Doran Khan was confined in Internment Centre Lakki Marwat. Rep of MI also submitted similar report. The case is closed.</t>
  </si>
  <si>
    <t>8098 -P</t>
  </si>
  <si>
    <t>Faheem Paal s/o Yaeesh Paal Nadeem</t>
  </si>
  <si>
    <t>Kaleem Paal, r/o Arup Morh, Gala Meysam Wala, Mohala Muhammad Purah, Gujranwala. (Mobile No. 0342-6388423).</t>
  </si>
  <si>
    <t>34601-5529237-1</t>
  </si>
  <si>
    <t>8099 -B</t>
  </si>
  <si>
    <t>Ilyas baloch s/o Muhammad Ilyas Javed</t>
  </si>
  <si>
    <t>Muhammad Ilyas Javed, r/o Kahn Zangi Isai, Dakhana, Panjgur, Balochistan.</t>
  </si>
  <si>
    <t>52301-4520616-1</t>
  </si>
  <si>
    <t>Traced Person. SP Panjgur appeared before the Commission at Quetta and submitted that JIT meeting was held on 26.10.2021 wherein it was reported that Waseem Ilyas s/o Muhammad Ilyas Javed had returned home. Waseem Ilyas Baloch also entered appearance, whose statement was recorded on oath in which he deposed that on 04.12.2025 he was at home after when 4/5 muffled faces men in civvies came and him blindfolded and kept him in some unknown place from where he was set free on 27.01.2017 and arrived home. No further action is required. The case is closed.</t>
  </si>
  <si>
    <t>8100 -P</t>
  </si>
  <si>
    <t>Fazal Malik s/o Mian Fazal Rahim</t>
  </si>
  <si>
    <t>Mst. Moran Bibi w/o Fazal Malik, r/o Koz Palow, Bodigram, BamaKhel , at Garai Chuprail, Tehsil Matta, District Swat. (Mobile No. 0344-5335389).</t>
  </si>
  <si>
    <t>31st July, 2021</t>
  </si>
  <si>
    <t>8101 -K</t>
  </si>
  <si>
    <t>Gulistan s/o Gahran Saeed</t>
  </si>
  <si>
    <t>Subhan Ullah, r/o Kot Mian Ghan, Izzat Khan Kalye, P.O Yaka Gund, Tehsil Ambera Taman Khel, District Mohmand. (Mobile No. 0305-5448293).</t>
  </si>
  <si>
    <t>21401-4574983-9</t>
  </si>
  <si>
    <t>1st August, 2021</t>
  </si>
  <si>
    <t>8102 -K</t>
  </si>
  <si>
    <t>Khyber Khan s/o Zer Khan</t>
  </si>
  <si>
    <t>Mehraj Deen, r/o Khreen Khel, Umer Khan Khel, Mehran Gali, P.O &amp; Tehsil Barah, District Khyber. (Mobile No. 0306-2307055).</t>
  </si>
  <si>
    <t>21201-9900774-7</t>
  </si>
  <si>
    <t>8103 -K</t>
  </si>
  <si>
    <t>Muhammad Kaptan s/o Zer Khan</t>
  </si>
  <si>
    <t>21201-4274833-1</t>
  </si>
  <si>
    <t>Traced Person. It has been informed at the hearing held on 19.11.2021 by JIT Report presented by SP (Inv) Kurram that Muhammad Kaptan has returned home. No further action is required. The case is closed.</t>
  </si>
  <si>
    <t>8104 -K</t>
  </si>
  <si>
    <t>Shah Hussain s/o Gul Behram</t>
  </si>
  <si>
    <t>Paseen s/o Gul Behram, r/o Qoyam Dawar, Haider Khel, Tehsil Meer Ali, District North Waziristan. (Mobile No. 0324-0995258)</t>
  </si>
  <si>
    <t>Traced Person. Shah Hussain has been traced. According to report received form Rep of MI on 2.12.2021 that Shah Hussain is interned in Internment Centre Kohat. Ruqyaz Khan uncle of Shah Hussain also entered appearance before the Commission. He affirmed that Yaseer (brother of Shah Hussain) met Shah Hussain met at the Internment Centre. No further action is required. The case is closed.</t>
  </si>
  <si>
    <t>8105 -K</t>
  </si>
  <si>
    <t>Zardali Khan s/o Sikandar Khan</t>
  </si>
  <si>
    <t>Rai Khan, r./o Village Margaye Shaktoye, P.O Ladha, District South Waziristan. (Mobile No. 0301-8071200 &amp; 0333-9711247).</t>
  </si>
  <si>
    <t>21702-8509907-5
 Brother CNIC</t>
  </si>
  <si>
    <t>8106 -K</t>
  </si>
  <si>
    <t>Ibrahim s/o Rehmat Ullah Jan</t>
  </si>
  <si>
    <t>Rehmat Ullah Jan, r/o Near Lachi Masjid, Mohalla Mishriabad, District Mardan. (Mobile No. 0343-2034379).</t>
  </si>
  <si>
    <t>8107 -K</t>
  </si>
  <si>
    <t>Zahir Ali s/o Fazal-ur-Rehman</t>
  </si>
  <si>
    <t>Mst. Rooh Afza Bibi w/o Fazal-ur-Rehman, r/o Village Kamar Sar, Tehsil Mamund, District Bajaur. (Mobile No. 0301-2343364 &amp; 0340-9701790).</t>
  </si>
  <si>
    <t>Traced Person. Abdul Rehman Siddiqui who is brother of Zahir Ali has entered appearance before the Commission on 25.4.2022 and his statement was recorded on oath in which he deposed that Zahir Ali was confined in FC Scouts Fort at Khar, District Bajaur and he had already met him .No further action is required. The case is closed.</t>
  </si>
  <si>
    <t>8108 -K</t>
  </si>
  <si>
    <t>Adil Hassan s/o Haji Shair Hassan</t>
  </si>
  <si>
    <t>Haji Shair Hassan, r/o Paeesh Imam Colony, Parachinar, District Upper Kurram. (Mobile No. 0307-0729958 &amp; 0304-58124969).</t>
  </si>
  <si>
    <t>21303-2646116-5
 Father CNIC</t>
  </si>
  <si>
    <t>8109 -K</t>
  </si>
  <si>
    <t>Syed Naseer Muhammad Mahdi s/o Syed Ameer Hussain Shah</t>
  </si>
  <si>
    <t>Traced Person. SSP (Inv), Peshawar entered appearance and submitted report that Syed Naseer Muhammad Mehdi has returned home on 17.8.2021. In this connection he produced documentary proofs including statement of Syed Naseer Muhammad. No further action is required. The case is closed.</t>
  </si>
  <si>
    <t>8110 -S</t>
  </si>
  <si>
    <t>Kashif Ali s/o Abdul Karim Tagar</t>
  </si>
  <si>
    <t>Abdul Kareem Tagar, r/o Norani Book Deepo, Bander Road, Larkana, Sindh. (Mobile No. 0333-7573322 &amp; 0302-2752003).</t>
  </si>
  <si>
    <t>43203-8607126-1</t>
  </si>
  <si>
    <t>8111 -K</t>
  </si>
  <si>
    <t>Syed Badshah s/o Shamand Roz</t>
  </si>
  <si>
    <t>Doran Badhah, r/o Shabaz Korona, P.O &amp; Teshil Shab-e-Qadar, District Charsadda. (Mobile No. 0344-5857805).</t>
  </si>
  <si>
    <t>17301-0361792-3</t>
  </si>
  <si>
    <t>8112 -B</t>
  </si>
  <si>
    <t>Bahadur Ali s/o Rasool Bux</t>
  </si>
  <si>
    <t>Mst. Khair Zadi, r/o Mohalla Kale Khaia Zai, Allahabad, Quetta. (Mobile No. 0333-3397898).</t>
  </si>
  <si>
    <t>54400-4149140-1</t>
  </si>
  <si>
    <t>FIR No. 119/21, dated 03/06/2021, U/S 365 PPC, P.S Barori, Quetta.</t>
  </si>
  <si>
    <t>Traced Person. Investigation Officer, CTD, Multan appeared and his statement was recorded on oath in which he deposed that Bahadur Ali s/o Rasool Bakhsh was arrested in FIR No. 32/21 and the learned ATC Court, Bahawalpur granted remand on 31.10.2020. No further action is required. The case is closed.</t>
  </si>
  <si>
    <t>8113 -B</t>
  </si>
  <si>
    <t>Jahanzaib s/o Ali Bakhsh</t>
  </si>
  <si>
    <t>Ali Bakhsh, r/o Singani Sar, Turbat, District Kech.</t>
  </si>
  <si>
    <t>52203-8824474-1</t>
  </si>
  <si>
    <t>Traced Person. Behram Khan, SP Kech entered appearance before the Commission whose statement was recorded on oath in which he deposed that Jahenzaib s/o Ali Bakhsh had returned home on 4.8.2021. No further action is required. The case is closed.</t>
  </si>
  <si>
    <t>8114 -B</t>
  </si>
  <si>
    <t>Dost Talal Ahmed s/o Dost Muhammad</t>
  </si>
  <si>
    <t>Dost Muhammad, r/o Gomazi, District Kech.</t>
  </si>
  <si>
    <t>Traced Person. Assistant Commissioner Baleda, District Kech entered appearance on behalf of DC Kech, whose statement was recorded on oath in which he deposed that Dost Talal Ahmed s/o Dost Muhammad had returned home on 6.7.2021. In support thereof, he submitted statement of Talal Ahmed recorded u/s 161 CrPC. No further action is required. The case is closed.</t>
  </si>
  <si>
    <t>8115 -B</t>
  </si>
  <si>
    <t>Syed Umeed Shah s/o Syed Inayat Shah</t>
  </si>
  <si>
    <t>Mst. Bibi Batool w/o Syed Umeed Shah (Missing Person), r/o Shahbaz Chok, Kalee Kambrani Road, Gali Khyaban Agah, P.S Kachhi Baig, Quetta, Balochistan. (Mobile No. 0333-3172041).</t>
  </si>
  <si>
    <t>54400-0496769-5</t>
  </si>
  <si>
    <t>Traced Person. Syed Khair Shah brother of Syed Umeed Shah entered appearance before the Commission, whose statement was recorded on oath in which he deposed that Syed Umeed was his real brother who went missing on 25.12.2019. That Syed Umeed Shah was set free on 3.11.2021 and he returned home. However, he died at home on 17.12.2021. No further action is required. The case is closed.</t>
  </si>
  <si>
    <t>8116 -S</t>
  </si>
  <si>
    <t>Shakir Ullah s/o Zar Ali Khan</t>
  </si>
  <si>
    <t>Khalat Khan, r/o Seven Star Colony, Gana Mandi, Super Highway, Karachi. (Mobile No. 0301-2992686).</t>
  </si>
  <si>
    <t>42401-3318315-1</t>
  </si>
  <si>
    <t>8117 -K</t>
  </si>
  <si>
    <t>Muhammad Nawaz s/o Banawaz Khan</t>
  </si>
  <si>
    <t>Muddasir Khan, r/o Muhammad Khel Wazir, P.O Azad Mandi, Tehsil &amp; District Bannu. (Mobile No. 0336-9735961 &amp; 0336-9935961).</t>
  </si>
  <si>
    <t>11101-4697255-1</t>
  </si>
  <si>
    <t>8118 -P</t>
  </si>
  <si>
    <t>Atta-ur-Rehman s/o Shereen</t>
  </si>
  <si>
    <t>Muhammad Rehman, r/o P.O Tarkhod Ghat, Tehsil Mamond, District Bajaur. (Mobile No. 0301-9773197 &amp; 0306-0563588).</t>
  </si>
  <si>
    <t>21104-6132580-9</t>
  </si>
  <si>
    <t>Jhelum</t>
  </si>
  <si>
    <t>8119 -S</t>
  </si>
  <si>
    <t>Ghulam Murtaza Junejo s/o Muhammad Kamil Junejo</t>
  </si>
  <si>
    <t>Zameer Hussain, r/o Village Mandru, GPO Talku Dokari, District Larkana. (Mobile No. 0347-9798675 &amp; 0344-0235172).</t>
  </si>
  <si>
    <t>43201-6635181-7</t>
  </si>
  <si>
    <t>8120 -K</t>
  </si>
  <si>
    <t>Sher Muhammad s/o Lal Muhammad</t>
  </si>
  <si>
    <t>Muhammad Ibrahim, r/o Kas Korona, Mohalla Saeedabad No. 5, District Mardan. (Mobile No. 0300-5713454).</t>
  </si>
  <si>
    <t>16101-2901681-5</t>
  </si>
  <si>
    <t>FIR No. 909, dated 7/8/21, u/s 365 PPC, P.S Parhoti, Mardan</t>
  </si>
  <si>
    <t>Traced Person. Sher Muhammad appeared before the Commission on 01.11.2021 whose statement has been recorded on oath in which he deposed that he was taken into the custody on 16.07.2021 by several unknown persons and was released after 54 days at Rashkai Interchange from where he went home. He was blindfolded and kept at and unknown place. No further action is required. The case is closed.</t>
  </si>
  <si>
    <t>8121 -K</t>
  </si>
  <si>
    <t>Muhammad Ismail s/o Mian Akbar Khan</t>
  </si>
  <si>
    <t>Sardar Ali, r/o P.O Sher Yangal, Kashal Bala, Tehsil Dir, District Upper Dir. (Mobile No. 0345-0227292).</t>
  </si>
  <si>
    <t>15701-2694119-5</t>
  </si>
  <si>
    <t>Traced Person. Muhammad Ismail has been traced. He appeared before the Commission and his statement was recorded on oath in which he deposed that he was abducted on 16.7.2021 and was set free on 3.2.2021 as he remained in Adiyala Jail, Rawalpindi for one month, thereafter he was granted bail. No further action is required. The case is closed.</t>
  </si>
  <si>
    <t>8122 -B</t>
  </si>
  <si>
    <t>Rasheed Ali Khan s/o Shahbaz Khan</t>
  </si>
  <si>
    <t>Mst. Shazia Rasheed, r/o Yara Saba Srah Gulah, Khal Gulistan Town, Quetta. (Mobile No. 0300-9032546 &amp; 0320-8171725).</t>
  </si>
  <si>
    <t>21303-3861778-3</t>
  </si>
  <si>
    <t>Traced Person. It has been confirmed in the reports submitted by Focal Person, Balochistan Police, Quetta that Rasheed Ali Khan has returned home. No further action is required. The case is closed.</t>
  </si>
  <si>
    <t>31st August, 2021</t>
  </si>
  <si>
    <t>8123 -B</t>
  </si>
  <si>
    <t>Asmat Ullah Dorani s/o Kaleem Ullah Dorani</t>
  </si>
  <si>
    <t>Sami Ullah Dorani, r/o Shaheed Meer Badal Khan Street, Karani Road, Quetta. (Mobile No. 0317-8017130).</t>
  </si>
  <si>
    <t>54402-7791865-5</t>
  </si>
  <si>
    <t>Traced Person. Asmat Ullah Durrani entered appearance before the Commission on 18.10.2021 whose statement was recorded on oath in which he deposed that he goes to Karachi due to some difference at home. After one and a half month he returned home and that he was not kidnapped by anyone. Hence no further action is required. The case is closed.</t>
  </si>
  <si>
    <t>01st September, 2021</t>
  </si>
  <si>
    <t>8124 -B</t>
  </si>
  <si>
    <t>Zahoor Ahmed Baloch s/o Meer Ali Gul</t>
  </si>
  <si>
    <t>Mst. Saeeda Faisal, r/o Eidh Gah Gali, Jail Road, Huda, Quetta. (Mobile No. 0331-5566899).</t>
  </si>
  <si>
    <t>54401-3815121-1</t>
  </si>
  <si>
    <t>8125 -B</t>
  </si>
  <si>
    <t>Sajjad Ali Sarparah s/o Ali Ahmed</t>
  </si>
  <si>
    <t>54401-2322802-7</t>
  </si>
  <si>
    <t>8126 -S</t>
  </si>
  <si>
    <t>Najeeb Baloch s/o Jameel Ahmed Baloch</t>
  </si>
  <si>
    <t>Mst. Zulekha w/o Jameel Ahmed Baloch, r/o Teer Tejah, P.O Awaran, Tehsil &amp; District Awaran (Makran). (Mobile No. 0333-3117590).</t>
  </si>
  <si>
    <t>51101-581108-4</t>
  </si>
  <si>
    <t>Traced Person. It was informed at the hearing held in this Commission on 11.01.2022 that Najeeb Baloch had returned to home. The statement of the Traced Person was recorded u/s 164 CrPC. The report submitted by SHO Airport; Karachi also confirmed the reported position. No further action is required. The case is closed.</t>
  </si>
  <si>
    <t>8127 -S</t>
  </si>
  <si>
    <t>Ayub Mashi s/o Hara Jan</t>
  </si>
  <si>
    <t>Mst. Hameeda Bibi, r/o House No. MC-145, Madina Colony, Malir, Karachi. (Mobile No. 0311-2020144).</t>
  </si>
  <si>
    <t>Deleted. The investigation report submitted by SIP, AVCC, CIA, Karachi indicates that the Missing Person, Ayub Mashi has mentally retorted left the house on 5.12.2020 and din not return. The family also inspected that cousin abducted him to have possession of his house. There is no allegation against any LEA/Intelligence Agency. Hence, not a case of enforced disappearance. The case is closed.</t>
  </si>
  <si>
    <t>8128 -P</t>
  </si>
  <si>
    <t>Sadiq Khan s/o Mosa Khan</t>
  </si>
  <si>
    <t>Mosa Khan, r/o Qasimabad, Awan Town, Gali No. 10, District Islamabad. (Mobile No. 0314-5030033 &amp; 0303-8265378).</t>
  </si>
  <si>
    <t>CK1081700744</t>
  </si>
  <si>
    <t>Traced Person. Sadiq Khan appeared before the Commission on 29.12.2021 and his statement was recorded on oath in which he deposed that he went to Lahore on his own and now he had come back. He also stated that he was not abducted any anybody. No further action is required. The case is closed.</t>
  </si>
  <si>
    <t>8129 -P</t>
  </si>
  <si>
    <t>Taj Rasool s/o Umer Khan Shaikh</t>
  </si>
  <si>
    <t>Faiz Rasool, r/o Nasar Khel, Kot Chandna, P.O Kala Bagh, Tehsil Essa Khel, District Mianwali. (Mobile No. 0348-7457420).</t>
  </si>
  <si>
    <t>38301-1831332-9</t>
  </si>
  <si>
    <t>8130 -K</t>
  </si>
  <si>
    <t>Fazal Khan s/o Sherzad Gul</t>
  </si>
  <si>
    <t>Atta Muhammad, r/o P.O Lakraye, Chenari Payan, Tehsil Safi, District Mohmand. (Mobile No. 0304-5656579 &amp; 0311-5007862).</t>
  </si>
  <si>
    <t>8131 -K</t>
  </si>
  <si>
    <t>Yarzada s/o Sherzad Gul</t>
  </si>
  <si>
    <t>Atta Muhammad, r/o P.O Lakraye, Chenari Payan, Tehsil Safi, District Mohmand. (Mobile No. 0304-5656579 &amp; 0311-5007862)</t>
  </si>
  <si>
    <t>21405-7455059-5</t>
  </si>
  <si>
    <t>8132 -P</t>
  </si>
  <si>
    <t>Attique-ur-Rehman s/o Shafique-ur-Rehman</t>
  </si>
  <si>
    <t>Shafique-ur-Rehman, r/o Girja Road, Street No. 27, Mohalla Abadi no. 02, Sadat Street, Rawalpindi. (Mobile No. 0317-5868141 &amp; 0332-0569139).</t>
  </si>
  <si>
    <t>37405-4539404-7</t>
  </si>
  <si>
    <t>Traced Person. ASP, Khushab appeared before the Commission on 26.11.2021 and highlighted the factual aspects of the episode. He further submitted that as a result of registration of ca case presently Attique-ur-Rehman is confined in Jail. No further action is required. The case is closed.</t>
  </si>
  <si>
    <t>8133 -P</t>
  </si>
  <si>
    <t>Khubaib Riaz s/o Muhammad Riaz</t>
  </si>
  <si>
    <t>Mst. Maria Khubaib, r/o House No. 1093, Street No. 66, Sector G-10/4, Islamabad. (Mobile No. 0333-5673728).</t>
  </si>
  <si>
    <t>61101-1081502-1</t>
  </si>
  <si>
    <t>Traced Person. ASP, Khushab appeared before the Commission on 26.11.2021 at Lahore and submitted report that as a result of registration of a case presently Khhubaib Riaz is confined in District Jail, Khushab. No further action is required. The case is closed.</t>
  </si>
  <si>
    <t>8134 -K</t>
  </si>
  <si>
    <t>Wahid Shah s/o Yaqoot Khan</t>
  </si>
  <si>
    <t>Mst. Bibi Marjan w/o Late Yaqoot Khan, r/o Shaheed Bandha, P.S Alaqa, Jarma, District Kohat. (Mobile No. 0333-1696098) .</t>
  </si>
  <si>
    <t>14301-3226634-6</t>
  </si>
  <si>
    <t>Traced Person. It was informed at the hearing held in this case on 13.10.2021 that Wahid Shah was confined in the Internment Centre, Kohat under Action (in aid of Civil) Regulations 2011. His mother Bibi Marjan who was also present at the hearing confirmed he meet with her son. No further action is required. The case is closed.</t>
  </si>
  <si>
    <t>8135 -B</t>
  </si>
  <si>
    <t>Haider Abbas s/o Syed Fazal Abbas</t>
  </si>
  <si>
    <t>Muhammad Husnain Akhter, r/o Owais Koheights, Police Foundation, Block E, Islamabad. (Mobile No. 0320-2628484).</t>
  </si>
  <si>
    <t>33401-0391969-5</t>
  </si>
  <si>
    <t>Traced Person. Tehsildar Taftan, District Chaghi entered appearance before the Commission on 27.10.2021 at Quetta whose statement was recorded on oath in which he submitted that Haider Abbas s/o Syed Fazal Abbas had returned home on 9.10.2021.He further deposed that he established contact with Muhammad Hussain brother of Haider Abbas who confirmed. No further action is required. The case is closed.</t>
  </si>
  <si>
    <t>8136 -S</t>
  </si>
  <si>
    <t>Sajjad Ali s/o Dhani Bux</t>
  </si>
  <si>
    <t>Ijaz Ali, r/o Police Station Margala, F-8 Markaz, District Islamabad. (Mobile No. 0313-2414024).</t>
  </si>
  <si>
    <t>45208-5278549-1</t>
  </si>
  <si>
    <t>8137 -K</t>
  </si>
  <si>
    <t>Irfan Ullah s/o Muhammad Ibrahim</t>
  </si>
  <si>
    <t>Kaleem Ullah, r/o Village of Matta Islamabad, Tehsil Temer Garah, District Lower Dir. (Mobile No. 0342-0939122).</t>
  </si>
  <si>
    <t>15302-7970959-3</t>
  </si>
  <si>
    <t>Traced Person. District Police Officer, Lower Dir submitted report that complainant along with his brother appeared in Police Station Talash and stated that on 6.9.2020 he lodged complaint before the Hon’ble Commission that his brother had returned home safely and requested for filing the case. The missing person in his statements deposed that due to some domestic issue he had gone to Karachi. No further action is required. No further action is required. The case is closed.</t>
  </si>
  <si>
    <t>8138 -K</t>
  </si>
  <si>
    <t>Naseem Zada s/o Gul Wali</t>
  </si>
  <si>
    <t>Gul Wali, r/o Aseel Targao Anzaraye, Tehsil Atman Khel, District Bajaur. (Mobile No. 0347-9081068).</t>
  </si>
  <si>
    <t>Traced Person. Rep of FC (North), KP and Rep of MI submitted report that Naseem Zada was confined in Internment Centre Khar, Bajur. Family members shall be facilitated to see Naseem Zada in the Internment Centre Khar, Bajur as per rules and procedure. No further action is required. The case is closed.</t>
  </si>
  <si>
    <t>8139 -B</t>
  </si>
  <si>
    <t>Khalid Nawab Baloch s/o Nawab Khan Baloch</t>
  </si>
  <si>
    <t>Hubyar s/o Nawab Khan Baloch, r/o P.S Kharan, Kharan, Tehsil Dakhana, District Kharan. (Mobile No. 0334-3458779).</t>
  </si>
  <si>
    <t>51301-4284783-5</t>
  </si>
  <si>
    <t>8140 -S</t>
  </si>
  <si>
    <t>Imran Gulsher</t>
  </si>
  <si>
    <t>Saleem Qureshi, r/o House No. L-549, Sector 11-E, North Karachi, Near Sindh Government Hospital, Katachi, District Karachi. (Mobile No. 0322-2411722).</t>
  </si>
  <si>
    <t>42101-1222054-3
 Father In-Law CNIC No.</t>
  </si>
  <si>
    <t>8141 -S</t>
  </si>
  <si>
    <t>Muhammad Zubair s/o Muhammad Shafi</t>
  </si>
  <si>
    <t>Mst. Haleema Bibi, r/o Office No. 25, Fedral Block, Islamabad Court, F-8 Markaz, Islamabad. (Mobile No. 0334-5112991)</t>
  </si>
  <si>
    <t>33203-8563080-4
 Father CNIC No.</t>
  </si>
  <si>
    <t>8142 -K</t>
  </si>
  <si>
    <t>Aziz Gul s/o Noor Sali Khan</t>
  </si>
  <si>
    <t>Noor Sali Khan, r/o Ayslu Targah, Tehsil Barang, Distrcit Bajaur. (Mobile No. 0347-5022322 &amp; 0308-9000189).</t>
  </si>
  <si>
    <t>Traced Person. SP (Inv), Bajaur appeared before the Commission on 29.11.2021 and affirmed that Aziz Gul was arrested in case FIR No. 49 dated 28.11.2021 u/s 436,3793427 PPC PS Barang. Later he was enlarged on bail on the orders of the District &amp; Session Judge Bajaur. No further action is required. The case is closed.</t>
  </si>
  <si>
    <t>8143 -K</t>
  </si>
  <si>
    <t>Rasool Bayan s/o Paida Mir Khan</t>
  </si>
  <si>
    <t>Mashair Khan, r/o Matki Bayzan Khel, P.S Town Ship, District Bannu. (Mobile No. 0337-9714333 &amp; 0309-0377779).</t>
  </si>
  <si>
    <t>21501-5008001-7</t>
  </si>
  <si>
    <t>Traced Person. Rep of MI appeared on hearing on 29.11.2021 and submitted that Rasool Bayan confined in Internment Centre Lakki Marwat. Mashair Khan real brother of Rasool Bayan also entered appearance, whose statement was recorded on oath in which he affirmed that family members met with him in the Internment Centre on 27.10.2021. No further action is required. The case is closed.</t>
  </si>
  <si>
    <t>8144 -P</t>
  </si>
  <si>
    <t>Mumshali Khan s/o Bism Aali Khan</t>
  </si>
  <si>
    <t>Bism Aali Khan, r/o Mohalla Mustafabad, Jalal Pur Bathia, Teshil Pindi Bathia, District Hafizabad. (Mobile No. 0301-5286902 &amp; 0346-6255801).</t>
  </si>
  <si>
    <t>21403-3469901-5</t>
  </si>
  <si>
    <t>Traced Person. Mumshali Khan appeared before the Commission on 24.11.2021 at Lahore and submitted that he remained confined by some unknown persons and then released. No further action is required. The case is closed.</t>
  </si>
  <si>
    <t>8145 -K</t>
  </si>
  <si>
    <t>Imran Ullah s/o Ghulam Qadir</t>
  </si>
  <si>
    <t>Abdullah, r/o Barchoni, P.O Samar Bagh, Tehsil Samar Bagh, District Lower Dir. (Mobile No. 0345-3587727 &amp; 0300-3060331).</t>
  </si>
  <si>
    <t>15303-7919513-9</t>
  </si>
  <si>
    <t>Traced Person. Imran Ullah has been traced. According to the report received from Rep of ISI submitted report that Imran Ullah had returned home and available at his residence. He has affirmed that Imran Ullah has returned home.</t>
  </si>
  <si>
    <t>8146 -K</t>
  </si>
  <si>
    <t>Syed Ghaffar s/o Syed Usman</t>
  </si>
  <si>
    <t>Zahoor Ahmed, r/o village &amp; P.O Manyar,Tehsil Bari Kot, District Swat. (Mobile No. 0301-8051011 &amp; 0345-8589696).</t>
  </si>
  <si>
    <t>15602-0398344-9</t>
  </si>
  <si>
    <t>8147 -P</t>
  </si>
  <si>
    <t>Muhammad Owais s/o Sakheeb Jan</t>
  </si>
  <si>
    <t>Qaiser Shehzad, r/o Madina Colony, Near Shuhada Masjid, Bannu Road, Tappi Kohat. (Mobile No. 0323-9292219 &amp; 0333-9292219).</t>
  </si>
  <si>
    <t>14301-9752962-5</t>
  </si>
  <si>
    <t>8148 -P</t>
  </si>
  <si>
    <t>Muhammad Umer s/o Hafiz Muhammad Ameen</t>
  </si>
  <si>
    <t>Hafiz Muhammad Ameen, r/o Mohalla Rana Faiz Muhammad, Fazil Pur, Tehsil &amp; District Rajanpur. (Mobile No. 0335-7758118).</t>
  </si>
  <si>
    <t>32403-6442902-5</t>
  </si>
  <si>
    <t>Traced Person. Muhammad Umer entered appearance before the Commission on 25.11.2021 and submitted that he was taken into custody and subsequently released on bail. No further action is required. The case is closed.</t>
  </si>
  <si>
    <t>8149 -B</t>
  </si>
  <si>
    <t>Abdul Razzaq Baloch s/o Abdul Raheed Bangalzai Baloch</t>
  </si>
  <si>
    <t>Mst. Gul Nisa, r/o Kareez Noth, P.O Mestung, Tehsil &amp; District Mestung. (Mobile No. 0331-8241511).</t>
  </si>
  <si>
    <t>51602-4123334-4
 Mother CNIC</t>
  </si>
  <si>
    <t>8150 -B</t>
  </si>
  <si>
    <t>Abdul Ghafoor Baloch s/o Khuda Bukhsh Blaoch</t>
  </si>
  <si>
    <t>Muhammad Yaqoob, r/o Baront, P.O Basmia, Tehsil Basmia Rakshan, District Washik. (Mobile No. 0336-3239668).</t>
  </si>
  <si>
    <t>51703-0351568-5</t>
  </si>
  <si>
    <t>8151 -B</t>
  </si>
  <si>
    <t>Muhammad Ilyas Baloch s/o Taj Muhammad Baloch</t>
  </si>
  <si>
    <t>Taj Muhammad Baloch, r/o Mohalla Gujjar Town, P.O &amp; Tehsil Shakaye, District Awaran. (Mobile No. 0312-3372554 &amp; 0335-420735).</t>
  </si>
  <si>
    <t>51102-6664833-7</t>
  </si>
  <si>
    <t>8152 -B</t>
  </si>
  <si>
    <t>Jawad Ahmed Baloch s/o Prof. Ghulam Rabani Baloch</t>
  </si>
  <si>
    <t>Prof. Ghulam Rabani Baloch, r/o Kale Mehrab Road, District Mestung. (Mobile No. 0331-3760608).</t>
  </si>
  <si>
    <t>Traced Person. Jawad Ahmad Baloch entered appearance before the Commission at Quetta on 18.10.2022 whose statement was recorded on oath in which he deposed that he was a student of Army Public School Quetta. On 15th July, 2021 during vacations during which he was abducted by unknown persons. He produced his statement recorded u/s 164 Cr.PC by the Judicial Magistrate. No further action is required. The case is closed.</t>
  </si>
  <si>
    <t>8153 -B</t>
  </si>
  <si>
    <t>Abdul Wahid Mengal s/o Nazar Muhammad Mengal</t>
  </si>
  <si>
    <t>Mst. Murad Bibi, r/o Kale Meer Illahi Bukhsh Mill, P.O Noshki, District Chagi. (Mobile No. 0313-3677523).</t>
  </si>
  <si>
    <t>54102-8710779-7</t>
  </si>
  <si>
    <t>8154 -K</t>
  </si>
  <si>
    <t>Nadeem s/o Muhammad Ayub</t>
  </si>
  <si>
    <t>Muhammad Ayub, r/o Qoyam koki Khel, Tapa Mena Khel, P.O Jamrud, District Khyber. (Mobile No. 0342-8939295 &amp; 0300-9327271).</t>
  </si>
  <si>
    <t>30th September, 2021</t>
  </si>
  <si>
    <t>8155 -K</t>
  </si>
  <si>
    <t>Sahib Rehman s/o Wazir Khan</t>
  </si>
  <si>
    <t>Traced Person. According to the report submitted by CTD (Ops), Malakand Region Swat at hearing held on 26.4.2022 that Wazir Khan was arrested in case FIR No. 20 dated 28.5.2021 u/s 302/120-B/3/4/5 ESA/211/ 7ATA PS CTD Malakand. Later he was sent to Judicial lock up. No further action is required. The case is closed.</t>
  </si>
  <si>
    <t>01st October, 2021</t>
  </si>
  <si>
    <t>8156 -K</t>
  </si>
  <si>
    <t>Saeed Ullah s/o Noor Sali Khan</t>
  </si>
  <si>
    <t>8157 -K</t>
  </si>
  <si>
    <t>Hafeez Ullah s/o Saeed Ullah</t>
  </si>
  <si>
    <t>8158 -K</t>
  </si>
  <si>
    <t>Deleted. At the hearing held in this case on 29.11.2021 Sami-ur-Rehman appeared and stated that the name of Raheem Ullah was inadvertently mentioned as no person with this name included their family. Hence no further action is required. The case is closed.</t>
  </si>
  <si>
    <t>8159 -K</t>
  </si>
  <si>
    <t>Javeed Baba Khel s/o Zaher Baba Khel</t>
  </si>
  <si>
    <t>Mahir Ullah, r/o Mahir Ullah Silai Machine Shop, Weni Seraye Pul, Huba Sohailabad, Peshawar. (Mobile No. 0311-8151203).</t>
  </si>
  <si>
    <t>Under Investigation+J8142</t>
  </si>
  <si>
    <t>8160 -B</t>
  </si>
  <si>
    <t>Sohail Sharif Baloch s/o Muhammad Sharif Baloch</t>
  </si>
  <si>
    <t>Hameed Sharif Baloch, r/o Mohalla Washbood. P.O Pamjgur, Tehsil &amp; District Panjgur. (Mobile No. 0322-8189594).</t>
  </si>
  <si>
    <t>52301-7275156-5</t>
  </si>
  <si>
    <t>Traced Person. Complainant, Hanif Shareef appeared before the Commission on 29.10.2021, whose statement was recorded on oath in which he deposed that Sohail Shareef was confined in Qilla Saif Ullah Jail where he along with his father met hime 2/3 time. No further action is required. The case is closed.</t>
  </si>
  <si>
    <t>8161 -K</t>
  </si>
  <si>
    <t>Sabir Mehmood s/o Sofaid Ullah</t>
  </si>
  <si>
    <t>Shah Abdul Aziz r/o Mohalla Thekdaran Shedu, Tehsil &amp; District Nowshera. (Mobile No. 0312-5424242).</t>
  </si>
  <si>
    <t>8162 -B</t>
  </si>
  <si>
    <t>Imdad Ullah Baloch s/o Muhammad Haneef Hari Baloch</t>
  </si>
  <si>
    <t>Shamsul-ul-Haq Hari Baloch, r/o Injeeri, P.O Mill, Tehsil &amp; District Mastung. (Mobile No. 0335-4491406).</t>
  </si>
  <si>
    <t>51602-629352-9</t>
  </si>
  <si>
    <t>8163 -B</t>
  </si>
  <si>
    <t>Zareef Baloch s/o Imam Bukhsh</t>
  </si>
  <si>
    <t>Orangzaib, r/o Kale Nokuband Paroom, P.S Leveas Thana Paroom, Panjgur, District Panjgur. (Mobile No. 0336-8265784).</t>
  </si>
  <si>
    <t>52303-6994471-5</t>
  </si>
  <si>
    <t>Traced Person. Deputy Commissioner Panjgur appeared before the Commission on 29.10.2021 whose statement was recorded on oath in which he deposed that Zareef Baloch s/o Imam Bakhsh had returned home on 07.10.2021 after two years and seven months. He submitted statement of Zareef Baloch confirmed that said position. No further action is required. The case is closed.</t>
  </si>
  <si>
    <t>8164-K &amp; 2013-K comibe files</t>
  </si>
  <si>
    <t>8164 -K</t>
  </si>
  <si>
    <t>Muhammad Javed Khan s/o Muhammad Hamza Khan</t>
  </si>
  <si>
    <t>Abdul Rehman, r/o Sateen, Qoyam Ali Sherzai, Umer khel, P.O Soha Sain, Tehsil Lower Karam, District Kurram. (Mobile No. 0302-3991013).</t>
  </si>
  <si>
    <t>21302-8546601-1</t>
  </si>
  <si>
    <t>8165 -K</t>
  </si>
  <si>
    <t>Muhammad Iqbal s/o Saeed Ullah Khan</t>
  </si>
  <si>
    <t>Khizmat Ullah Khan, r/o Landi Adam Khan, Tajuri, Tehsil &amp; District Lakki Marwat. (Mobile No. 0334-3016430).</t>
  </si>
  <si>
    <t>11101-8443979-9
 Brother CNIC No.</t>
  </si>
  <si>
    <t>Traced Person. DPO, Lakki Marwat submitted report at the hearing on 30.5.2022 that Missing Person Muhammad Iqbal s/o Saad Ullah died in an encounter with CTD Police vide case FIR No. 41 dated 10.4.2022 u/s 324/353/5ESA/148/149/15AA/7ATA Police Stateion CTD, Bannu.Hence no further action is required. The case is closed.</t>
  </si>
  <si>
    <t>8166 -P</t>
  </si>
  <si>
    <t>Abdul Majid Anwar s/o Ahmed Khan</t>
  </si>
  <si>
    <t>Abdul Wahid, r/o P.O Janwaye, Phulwaye Sari, Tehsil Sharda, District Neelam, AJK. (Mobile No. 0335-7501713).</t>
  </si>
  <si>
    <t>82052-0125260-9</t>
  </si>
  <si>
    <t>Traced Person. Abdul Majid Anwar entered before the Commission on 25.2.2022 and deposed in his statement that nobody abducted him, rather he went to AJ&amp;K on his own and returned home. Hence no further action is required. The case is closed.</t>
  </si>
  <si>
    <t>8167 -P</t>
  </si>
  <si>
    <t>Muhammad Mavia Hassan s/o Hafeez-ur-Rehman</t>
  </si>
  <si>
    <t>Hafeez-ur-Rehman, r/o Gali No. 4, Nawab Town,, Near Milat Chowk, Tehsil Road Chakwal, District Chakwal. (Mobile No. 0333-5921737).</t>
  </si>
  <si>
    <t>37203-6592932-1</t>
  </si>
  <si>
    <t>8168 -P</t>
  </si>
  <si>
    <t>Muhammad Nasir s/o S. Muhammad Zaheer Javed</t>
  </si>
  <si>
    <t>Safdar Hussain, r/o House No. 276, Gali No. 21, Rawal Town, Islamabad. (Mobile No. 0345-5183775).</t>
  </si>
  <si>
    <t>42401-5810809-7</t>
  </si>
  <si>
    <t>8169 -K</t>
  </si>
  <si>
    <t>Anwar Zeb s/o Aurang Zeb</t>
  </si>
  <si>
    <t>Aurang Zeb, r/o Sarbanda, Matta, P.O Shangwatai, Swat. (Mobile No. 0341-6249539).</t>
  </si>
  <si>
    <t>8170 -K</t>
  </si>
  <si>
    <t>Shaukat Ullah s/o Habib Ullah</t>
  </si>
  <si>
    <t>Abdul Hadi, r/o Village Qazi Pump, Mulla Abad, District Hangu, KPK. (Mobile No. 0334-0936737).</t>
  </si>
  <si>
    <t>14101-1513261-1</t>
  </si>
  <si>
    <t>Traced Person. SP (Inv), Hangu appeared before the Commission and submitted report that Shaukat Ullah had returned home. He furnished copy of interrogation report and copy of statement of Shaukat Ullah recorded u/s 161 CrPC. No further action is required. The case is closed.</t>
  </si>
  <si>
    <t>8171 -K</t>
  </si>
  <si>
    <t>Gul Manan s/o Muhammad Khnan</t>
  </si>
  <si>
    <t>Mst. Behram Jan w/o Muhammad Khnan, r/o Qoyam Mamuzai, Meer Kalam Khel, Palazowaye, Tehsil Gulju, District Orakzai, KPK. (Mobile No. 0336-1919798 &amp; 0333-3003311).</t>
  </si>
  <si>
    <t>14301-8396931-7</t>
  </si>
  <si>
    <t>8172 -P</t>
  </si>
  <si>
    <t>Muhammad Alam s/o Fida Hussain</t>
  </si>
  <si>
    <t>Muhammad Qasim, r/o Bilal Colony, Gali No. 04, Bilal Chowk, Old Shujhabad Road, Multan. (Mobile No. 0307-6988827).</t>
  </si>
  <si>
    <t>36302-4092276-9</t>
  </si>
  <si>
    <t>8173 -P</t>
  </si>
  <si>
    <t>Arslan Qayyum s/o Abdul Qayyum</t>
  </si>
  <si>
    <t>Mst. Sadia Qayyum, r/o House no. CA-29/B, Mohalla Chistia Abad, Pindorah, Rawalpindi. (Mobile No. 0332-5020938).</t>
  </si>
  <si>
    <t>37405-4350453-3</t>
  </si>
  <si>
    <t>Traced Person. Arslan Qayyum has been traced. He appeared before the Commission on 28.3.2022 his statement was recorded on oath in which he deposed that he was not abducted by anybody rather than he left his home due to finical constraints and unemployment. Subsequently he returned home.</t>
  </si>
  <si>
    <t>8174 -P</t>
  </si>
  <si>
    <t>Shahzad Rafi toor s/o Muhammad Rafi Toor</t>
  </si>
  <si>
    <t>Muhammad Rafi Toor, r/o Ex- Warrent Officer, House No. 872 Ground Floor, Ameer Ali Street, Ward No. 7, Near Factory Quarters, Tench Bata, Rawalpindi. (Mobile No. 0345-5335109).</t>
  </si>
  <si>
    <t>34201-4192714-3</t>
  </si>
  <si>
    <t>8175 -S</t>
  </si>
  <si>
    <t>Nadeem Ahmed s/o Raheel Muhammad Khan</t>
  </si>
  <si>
    <t>Raheel Muhammad Khan, r/o House No. 113, Gali No. 09, Mohalla Manzoor Colony, Sector H, Karachi. (Mobile No. 0333-2306182).</t>
  </si>
  <si>
    <t>42301-7957920-9</t>
  </si>
  <si>
    <t>Traced Person. It was informed at the hearing held in this Commission on 2.12.2021 that Nadeem Ahmed had returned home. The statement of the Traced Person has been recorded u/s 164 CrPC which is available on record. Uncle of the Traced Person appeared before the Commission and confirmed the recorded position. PS Baloch Colony Karachi also confirmed in his report dated 29.11.2021.</t>
  </si>
  <si>
    <t>8176 -B</t>
  </si>
  <si>
    <t>Fayaz Ali s/o Muhammad Azam</t>
  </si>
  <si>
    <t>Mst. Nazneen, r/o House No. 10-1/157-2187 Faqeerabad, Jail road, Quetta. (Mobile No. 0331-2671374 &amp; )</t>
  </si>
  <si>
    <t>54400-6975029-3</t>
  </si>
  <si>
    <t>Balochistan/ Quetta</t>
  </si>
  <si>
    <t>8177 -K</t>
  </si>
  <si>
    <t>Aman-ul-Haq s/o Abdul Jameel</t>
  </si>
  <si>
    <t>Abdul Baseer, r/o Akram Handi Crafts, Islampur, P.O Sadhu Shareef, Swat. (Mobile No. 0340-9901991).</t>
  </si>
  <si>
    <t>15602-1051605-9</t>
  </si>
  <si>
    <t>8178 -S</t>
  </si>
  <si>
    <t>Mehtab s/o Abdul Qayyum</t>
  </si>
  <si>
    <t>Mst,. Haleema w/o Mehtab (Missing Person), r/o Rangpati Swat, KPK. (0341-2715897).</t>
  </si>
  <si>
    <t>8179 -K</t>
  </si>
  <si>
    <t>Muhammad Saleem s/o Bacha Zada</t>
  </si>
  <si>
    <t>Bacha Zada, r/o Takhta Band, Angro Dahri, tehsil Babu Zai, District Swat. (Mobile No. 0340-1954740).</t>
  </si>
  <si>
    <t>8180 -K</t>
  </si>
  <si>
    <t>Saqlain Ali s/o Hameed Ullah</t>
  </si>
  <si>
    <t>Mst. Musrat, r/o House No. MC-483, Mohalla Shaheen, Dera Ismail Khan. (Mobile No. 0347-1929184 &amp; 0345-9870588).</t>
  </si>
  <si>
    <t>12101-5072465-3</t>
  </si>
  <si>
    <t>8181 -B</t>
  </si>
  <si>
    <t>Sajid Ali Baloch s/o Jan Muhammad Baloch</t>
  </si>
  <si>
    <t>Muhammad Tabish Baloch, r/o P.O Panjgur, Kel Kor, Tehsil Guwar goh, District Panjgur. (Mobile No. 0317-2796009).</t>
  </si>
  <si>
    <t>52302-9378786-5</t>
  </si>
  <si>
    <t>Balochistan/ Panjgur</t>
  </si>
  <si>
    <t>8182 -B</t>
  </si>
  <si>
    <t>Naveed Ahmed Baloch s/o Ghulam Nabi Baloch</t>
  </si>
  <si>
    <t>Ghulam Nabi Baloch, r/o Bilal Colony, Satellite Town, District Quetta, Balochistan. (Mobile No. 0334-2794491).</t>
  </si>
  <si>
    <t>51301-9064923-7</t>
  </si>
  <si>
    <t>8183 -P</t>
  </si>
  <si>
    <t>Muhammad Moin-ud-Din Khan s/o Ex Chief Tech. Ghulam Abbas Khan Niazi</t>
  </si>
  <si>
    <t>Ex Chief Tech(PAF), Ghulam Abbas Khan Niazi, r/o Alam Town, Near Teen Meela Chowk, Kamra Road, District Attock. (Mobile No. 0304-6278062 &amp; 0345-3510072 &amp; 0333-52714242).</t>
  </si>
  <si>
    <t>37101-5776887-9</t>
  </si>
  <si>
    <t>8184 -P</t>
  </si>
  <si>
    <t>Muhammad Ali s/o Halat Hussain</t>
  </si>
  <si>
    <t>Sarfraz Hussain, r/o Hussani Colony, Shankak Road, District Upper Kurram, KPK. (Mobile No. 0302-2621141).</t>
  </si>
  <si>
    <t>21303-8596144-3
 Brother CNIC</t>
  </si>
  <si>
    <t>8185 -K</t>
  </si>
  <si>
    <t>Mir Islam s/o Said Rehman</t>
  </si>
  <si>
    <t>Suleman, r/o Bachagaye, Tera Bala, Peshawar. (Mobile No. 0335-1912157 &amp; Whatsapp No. 0335-0942305).</t>
  </si>
  <si>
    <t>21604-9055374-5</t>
  </si>
  <si>
    <t>8186 -K</t>
  </si>
  <si>
    <t>Noor Zaman s/o Ameer Zada</t>
  </si>
  <si>
    <t>Muhammad Ishaq, r/o P.O Sidhu Khel, Aya Kor, Tehsil Safi, District Mohmand. (Mobile No. 0300-5795031 &amp; 0301-5505613).</t>
  </si>
  <si>
    <t>21406-3598119-7</t>
  </si>
  <si>
    <t>8187 -A</t>
  </si>
  <si>
    <t>Qasir Aslam s/o Muhammad Aslam</t>
  </si>
  <si>
    <t>Muhammad Aslam, r/o Pota Plak, P.O Khas, Tehsil &amp; District Mirpur, AJK. (Mobile No. 0344-8836394 &amp; (Whatsapp No. 0346-0582926)).</t>
  </si>
  <si>
    <t>81302-9962445-9</t>
  </si>
  <si>
    <t>Traced Person. Rep of MI submitted report dated 18.3.2022 that Qaiser Aslam had gone to Jamaica from Sialkot. Rep of IB submitted similar report. Father of the Missing Person who also appeared was apprised of the position. No further action is required. The case is closed.</t>
  </si>
  <si>
    <t>8188 -K</t>
  </si>
  <si>
    <t>Ilham-ud-Din s/o Muhammad Khan</t>
  </si>
  <si>
    <t>Mst. Zaib-un-Nisa w/o Muhammad Khan, r/o Near Gulabad School No.1, P.O Badha Berah, Mera Mashu Gaghar, Tehsil &amp; District Peshawar. (Mobile No. 0302-5577222 &amp; (Pashtu Speaking only 0323-9353642 &amp; 0318-9554908)).</t>
  </si>
  <si>
    <t>17301-7977533-2
 Mother CNIC</t>
  </si>
  <si>
    <t>8189 -K</t>
  </si>
  <si>
    <t>Haji Akbar s/o Fazal Akbar</t>
  </si>
  <si>
    <t>Fazal Akbar, r/o Diamond Electronics, Near Wellcome Book, Landi Kotal Bazar, Tehsil &amp; P.O Landi Kotal, District Khyber. (Mobile No. 0305-9199393).</t>
  </si>
  <si>
    <t>21203-8764343-3</t>
  </si>
  <si>
    <t>8190 -K</t>
  </si>
  <si>
    <t>Yar Zaman Khan s/o Asfand Yar</t>
  </si>
  <si>
    <t>Mst. Zahra Bibi, r/o Mala Syed Banda, P.O Raghgan, Tehsil Salarzaye, Distrcit Bajaur. (Mobile No. 0349-9086156 &amp; 0302-9101839).</t>
  </si>
  <si>
    <t>21106-2270069-1</t>
  </si>
  <si>
    <t>8191 -S</t>
  </si>
  <si>
    <t>Muhammad Waqeel s/o Muhammad Shafiq</t>
  </si>
  <si>
    <t>Muhammad Shakeel, r/o Khuda ke Basti, Lyari 36/H, Shah Llatif Town, Sarjani Town, Karachi. (Mobile No. 0324-0244152).</t>
  </si>
  <si>
    <t>42401-7410364-</t>
  </si>
  <si>
    <t>31st October, 2021</t>
  </si>
  <si>
    <t>8192 -K</t>
  </si>
  <si>
    <t>01st November, 2021</t>
  </si>
  <si>
    <t>8193 -B</t>
  </si>
  <si>
    <t>Luqman Khan Bughti Baloch s/o Shad Man Bughti Balcoh</t>
  </si>
  <si>
    <t>Zahoor Ahmed, r/o P.O Lehri Tehsil District Sibbi. (Mobile No. 0332-3933490)</t>
  </si>
  <si>
    <t>55303-0350829-1</t>
  </si>
  <si>
    <t>8194 -B</t>
  </si>
  <si>
    <t>Javed Shamas s/o Shamas-ul-Haq</t>
  </si>
  <si>
    <t>Shams-ul-Haq, r/o Mohallah Kachi baig, Saryab Road, Quetta. (Mobile No. 0313-8099801)</t>
  </si>
  <si>
    <t>54401-0657085-3</t>
  </si>
  <si>
    <t>8195 -B</t>
  </si>
  <si>
    <t>Abdul Samad s/o Haji Aman Ullah</t>
  </si>
  <si>
    <t>Abdul Hameed, r/o Umar Farooq Road, Kachi Baig Saryab, Quetta (Mobile No. 0301-3764104)</t>
  </si>
  <si>
    <t>54400-1646773-1</t>
  </si>
  <si>
    <t>8196 -B</t>
  </si>
  <si>
    <t>Tariq Aziz s/o Allah Bakhsh</t>
  </si>
  <si>
    <t>Saeed Ahmed , r/o Mohallah Civil Ward, Mach, District Kachhi. (Mobile No.0333-3607762)</t>
  </si>
  <si>
    <t>53103-8355806-3</t>
  </si>
  <si>
    <t>8197 -B</t>
  </si>
  <si>
    <t>Ali Jan s/o Besham</t>
  </si>
  <si>
    <t>Besham, r/o P.O Roanj, Tehsil Sui District Dera Bugti. (Mobile No. 0330-3858745)</t>
  </si>
  <si>
    <t>8198 -B</t>
  </si>
  <si>
    <t>Guddu Khan s/o Dildar Khan</t>
  </si>
  <si>
    <t>Muhammad Rafique, r/o Bungalow No. 100 New Green Town, Kamrani Road, Quetta. (Mobile No. 0331-1168579 &amp; 0335-3967576)</t>
  </si>
  <si>
    <t>55103-1868301-1</t>
  </si>
  <si>
    <t>8199 -B</t>
  </si>
  <si>
    <t>Bilal Baloch s/o Yaar Hamad Baloch</t>
  </si>
  <si>
    <t>Sajid Baloch, r/oTehsil Panjgur, District Panjgur. (Mobile No. 0315-1290628)</t>
  </si>
  <si>
    <t>52301-7790936-7</t>
  </si>
  <si>
    <t>8200 -B</t>
  </si>
  <si>
    <t>Abdul Wadood s/o Nabi Dad</t>
  </si>
  <si>
    <t>Mst. Gul Zadi, r/o Mohallah Satkzai Colony, Mach District Kachhi. (Mobile No. 0333-7455580)</t>
  </si>
  <si>
    <t>53103-8005571-9</t>
  </si>
  <si>
    <t>8201 -B</t>
  </si>
  <si>
    <t>Kafayat Ullah Baloch s/o Altaf Hussain Baloch</t>
  </si>
  <si>
    <t>Altaf Hussain Baloch, r/o P.O Hawalangi, Tehsil &amp; District Kharan. (Mobile No. 0331-2112590 &amp; 0336-4719255)</t>
  </si>
  <si>
    <t>8202 -S</t>
  </si>
  <si>
    <t>Mannu s/o Bozo</t>
  </si>
  <si>
    <t>Pariz r/o P.O Peer Loti, Tehsil Sui, District Dera Bughti. (Mobile No. 0336-1192878)</t>
  </si>
  <si>
    <t>Karachi/ Sindh</t>
  </si>
  <si>
    <t>8203 -S</t>
  </si>
  <si>
    <t>Mast Ali s/o Paraiz</t>
  </si>
  <si>
    <t>Paraiz r/o Goth Bhanot, Tehsil Halla, District Mityari (Mobile No. 0336-1192878)</t>
  </si>
  <si>
    <t>8204 -K</t>
  </si>
  <si>
    <t>Muhammad Subhan s/o Muhammad Farooq</t>
  </si>
  <si>
    <t>Muhammad Farooq, r/o House No. 1373, Mohallah Dewan Sahib, Makka Garments, District D.I.Khan. (Mobile No. 0313-9304733 &amp; 0333-3083045)</t>
  </si>
  <si>
    <t>8205 -B</t>
  </si>
  <si>
    <t>Mukarram Akbar Baloch s/o Muhammad Akbar Baloch</t>
  </si>
  <si>
    <t>Muhammad Akbar Baloch, r/o P.O Washbood, Tehsil &amp; District Panjgur. (Mobile No. 0332-2106318)</t>
  </si>
  <si>
    <t>8206 -B</t>
  </si>
  <si>
    <t>Asif Khan Reki Baloch s/o Shabbir Ahmed Reki Baloch</t>
  </si>
  <si>
    <t>Shabbir Ahmed Reki Baloch, r/o Mohallah Bad, Tehsil &amp; District Suhrab. (Mobile No. 0331-2675853)</t>
  </si>
  <si>
    <t>51202-8967460-5</t>
  </si>
  <si>
    <t>8207 -B</t>
  </si>
  <si>
    <t>Allah Deen Reki Baloch s/o Shabbir Ahmed Reki Baloch</t>
  </si>
  <si>
    <t>51202-6948616-7</t>
  </si>
  <si>
    <t>8208 -B</t>
  </si>
  <si>
    <t>Shafi Ullah Baloch s/o Ali Muhammad Baloch</t>
  </si>
  <si>
    <t>Muhammad Arif Baloch, r/o Haji Noor Din Town, Mian Ghundi, Quetta. (Mobile No. 0311-8735619)</t>
  </si>
  <si>
    <t>54400-3050743-2</t>
  </si>
  <si>
    <t>8209 -K</t>
  </si>
  <si>
    <t>Nasid Ullah s/o Inayat Ullah</t>
  </si>
  <si>
    <t>Inayat Ullah, r/o Near Sofaid Masjid EP, Village EP, P.O &amp; Tehsil Mir Ali, District North Waziristan. (Mobile No. 0334-9307898 &amp; 0336-1507653)</t>
  </si>
  <si>
    <t>FATA/NW</t>
  </si>
  <si>
    <t>8210 -K</t>
  </si>
  <si>
    <t>Fasi Ullah s/o Rehman Ullah Jan</t>
  </si>
  <si>
    <t>Rehman Ullah Jan, r/o Qillah Kordana, Dillazak, P.O Shabqadar Fort, District Charsadda. (Mobile No. 0302-8816782 &amp; 0331-9982213).</t>
  </si>
  <si>
    <t>17103-0400327-9</t>
  </si>
  <si>
    <t>8211 -K</t>
  </si>
  <si>
    <t>Tasbeeh Ullah s/o Rehman Ullah Jan</t>
  </si>
  <si>
    <t>17101-4060745-5</t>
  </si>
  <si>
    <t>8212 -K</t>
  </si>
  <si>
    <t>Adnan Sajid s/o Muhammad Naeem</t>
  </si>
  <si>
    <t>Muhammad Naeem, r/o Qillah Kordana, Dillazak, P.O Shabqadar Fort, District Charsadda. (Mobile No. 0300-9091639 &amp; 0346-9191700).</t>
  </si>
  <si>
    <t>17103-0409796-9</t>
  </si>
  <si>
    <t>8213 -K</t>
  </si>
  <si>
    <t>Humayun Uddin s/o Dilawar Khan</t>
  </si>
  <si>
    <t>Mst. Dil Naz Bibi, r/o Tehsil Prova, District Dera Ismail Khan. (Mobile No. 0334-3402090 &amp; 0334-1524771).</t>
  </si>
  <si>
    <t>21704-9898761-5</t>
  </si>
  <si>
    <t>8214 -B</t>
  </si>
  <si>
    <t>Barkat s/o Mubarik</t>
  </si>
  <si>
    <t>Nali Balhathar, District Panjgur</t>
  </si>
  <si>
    <t>Traced Person. A hearing was held in this case on 18.11.2021 at Regional Office, Quetta. Assistant Commissioner Gawargo District Panjgur appeared and submitted that Barkat s/o Mubarik has returned home. In the connection AC Gawargo also produced statement of Barkat in which he confirmed his return to home. No further action is required. The case is closed.</t>
  </si>
  <si>
    <t>8215 -B</t>
  </si>
  <si>
    <t>Aslam s/o Qadir Bakhsh</t>
  </si>
  <si>
    <t>Traced Person. A hearing was held in this case on 18.11.2021 at Regional Office, Quetta. Assistant Commissioner Gawargo District Panjgur appeared and submitted that Aslam s/o Qadir Bakhsh has returned home. In the connection AC Gawargo also produced statement of Aslam in which he confirmed his return to home. No further action is required. The case is closed.</t>
  </si>
  <si>
    <t>8216 -B</t>
  </si>
  <si>
    <t>Sharif s/o Gazzo</t>
  </si>
  <si>
    <t>Balgathar Keelkor, District Panjgur</t>
  </si>
  <si>
    <t>Traced Person. A hearing was held in this case on 18.11.2021 at Regional Office, Quetta. Assistant Commissioner Gawargo District Panjgur appeared and submitted that Sharif s/o Gazzo has returned home. In the connection AC Gawargo also produced statement of Sharif in which he confirmed his return to home. No further action is required. The case is closed.</t>
  </si>
  <si>
    <t>8217 -B</t>
  </si>
  <si>
    <t>Qadir Bakhsh s/o Rahim Bakhsh</t>
  </si>
  <si>
    <t>Gichk, District Panjgur</t>
  </si>
  <si>
    <t>Traced Person. A hearing was held in this case on 18.11.2021 at Regional Office, Quetta. Assistant Commissioner Gawargo District Panjgur appeared and submitted that Qadir Bakhsh s/o Rahim Bakhsh has returned home. In the connection AC Gawargo also produced statement of Qadir Bakhsh in which he confirmed his return to home. No further action is required. The case is closed.</t>
  </si>
  <si>
    <t>8218 -B</t>
  </si>
  <si>
    <t>Momin s/o Abdul Rehman</t>
  </si>
  <si>
    <t>Traced Person. A hearing was held in this case on 18.11.2021 at Regional Office, Quetta. Assistant Commissioner Gawargo District Panjgur appeared and submitted that Momin s/o Abdul Rehman has returned home. In the connection AC Gawargo also produced statement of Momin in which he confirmed his return to home. No further action is required. The case is closed.</t>
  </si>
  <si>
    <t>8219 -B</t>
  </si>
  <si>
    <t>Alim s/o Murad Bakhsh</t>
  </si>
  <si>
    <t>Traced Person. A hearing was held in this case on 18.11.2021 at Regional Office, Quetta. Assistant Commissioner Gawargo District Panjgur appeared and submitted that Alim s/o Murad bakhsh has returned home. In the connection AC Gawargo also produced statement of Alim in which he confirmed his return to home. No further action is required. The case is closed.</t>
  </si>
  <si>
    <t>8220 -B</t>
  </si>
  <si>
    <t>Ghulam s/o Haji</t>
  </si>
  <si>
    <t>Sari Gadagi Bakgatar, District Panjgur</t>
  </si>
  <si>
    <t>Traced Person. Tehsildar, Gawargo appeared before the Commission on 22.11.2021 on behalf of Deputy Commissioner Panjgur. He submiteed Tasdeeqi Cerificate collected during door to door visit confirming that Ghulam Zakir s/o Haji has returned home. The certificate is duly signed by Deputy Commissioner, District Panjgur. No further action is required. The case is closed.</t>
  </si>
  <si>
    <t>8221 -B</t>
  </si>
  <si>
    <t>Arz Muhammad</t>
  </si>
  <si>
    <t>Diz Parom District Panjgur</t>
  </si>
  <si>
    <t>Traced Person. Tehsildar, Gawargo appeared before the Commission on 22.11.2021 on behalf of Deputy Commissioner Panjgur. He submiteed Tasdeeqi Cerificate collected during door to door visit confirming that Arz Muhammad has returned home. The certificate is duly signed by Deputy Commissioner, District Panjgur. No further action is required. The case is closed.</t>
  </si>
  <si>
    <t>8222 -B</t>
  </si>
  <si>
    <t>Khair Muhammad</t>
  </si>
  <si>
    <t>Traced Person. Tehsildar, Gawargo appeared before the Commission on 22.11.2021 on behalf of Deputy Commissioner Panjgur. He submiteed Tasdeeqi Cerificate collected during door to door visit confirming that Khair Muhammad has returned home. The certificate is duly signed by Deputy Commissioner, District Panjgur. No further action is required. The case is closed.</t>
  </si>
  <si>
    <t>8223 -B</t>
  </si>
  <si>
    <t>Majeed s/o Rasheed</t>
  </si>
  <si>
    <t>Traced Person. Tehsildar, Gawargo appeared before the Commission on 22.11.2021 on behalf of Deputy Commissioner Panjgur. He submiteed Tasdeeqi Cerificate collected during door to door visit confirming that Majeed s/o Rasheed has returned home. The certificate is duly signed by Deputy Commissioner, District Panjgur. No further action is required. The case is closed.</t>
  </si>
  <si>
    <t>8224 -B</t>
  </si>
  <si>
    <t>Ayub s/o Shah Dad</t>
  </si>
  <si>
    <t>Darkop Gichk, District Panjgur</t>
  </si>
  <si>
    <t>Traced Person. Tehsildar, Gawargo appeared before the Commission on 22.11.2021 on behalf of Deputy Commissioner Panjgur. He submiteed Tasdeeqi Cerificate collected during door to door visit confirming that Ayub s/o Shah Dad has returned home. The certificate is duly signed by Deputy Commissioner, District Panjgur. No further action is required. The case is closed.</t>
  </si>
  <si>
    <t>8225 -B</t>
  </si>
  <si>
    <t>Saddam Hussain s/o Ayub</t>
  </si>
  <si>
    <t>Traced Person. Tehsildar, Gawargo appeared before the Commission on 22.11.2021 on behalf of Deputy Commissioner Panjgur. He submiteed Tasdeeqi Cerificate collected during door to door visit confirming that Saddam Hussain s/o Ayub has returned home. The certificate is duly signed by Deputy Commissioner, District Panjgur. No further action is required. The case is closed.</t>
  </si>
  <si>
    <t>8226 -B</t>
  </si>
  <si>
    <t>Abdul Rehman s/o Umer</t>
  </si>
  <si>
    <t>Traced Person. Tehsildar, Gawargo appeared before the Commission on 22.11.2021 on behalf of Deputy Commissioner Panjgur. He submiteed Tasdeeqi Cerificate collected during door to door visit confirming that Abdul Rehman s/o Umer has returned home. The certificate is duly signed by Deputy Commissioner, District Panjgur. No further action is required. The case is closed.</t>
  </si>
  <si>
    <t>8227 -B</t>
  </si>
  <si>
    <t>Mir Jan s/o Bakhtiar</t>
  </si>
  <si>
    <t>Traced Person. Tehsildar, Gawargo appeared before the Commission on 22.11.2021 on behalf of Deputy Commissioner Panjgur. He submiteed Tasdeeqi Cerificate collected during door to door visit confirming that Mir Jan s/o Bakhtiar has returned home. The certificate is duly signed by Deputy Commissioner, District Panjgur. No further action is required. The case is closed.</t>
  </si>
  <si>
    <t>8228 -B</t>
  </si>
  <si>
    <t>Umaith s/o Honak</t>
  </si>
  <si>
    <t>Traced Person. Tehsildar, Gawargo appeared before the Commission on 22.11.2021 on behalf of Deputy Commissioner Panjgur. He submiteed Tasdeeqi Cerificate collected during door to door visit confirming that Umaith s/o Honak has returned home. The certificate is duly signed by Deputy Commissioner, District Panjgur. No further action is required. The case is closed.</t>
  </si>
  <si>
    <t>8229 -K</t>
  </si>
  <si>
    <t>Amin s/o Ghulam Nabi</t>
  </si>
  <si>
    <t>Traced Person. Tehsildar, Gawargo appeared before the Commission on 22.11.2021 on behalf of Deputy Commissioner Panjgur. He submiteed Tasdeeqi Cerificate collected during door to door visit confirming that Amin s/o Ghulam Nabi has returned home. The certificate is duly signed by Deputy Commissioner, District Panjgur. No further action is required. The case is closed.</t>
  </si>
  <si>
    <t>8230 -B</t>
  </si>
  <si>
    <t>Muhammad Yar s/o Sher Muhammad</t>
  </si>
  <si>
    <t>Traced Person. Tehsildar, Gawargo appeared before the Commission on 23.11.2021 on behalf of Deputy Commissioner Panjgur. He submiteed Tasdeeqi Cerificate collected during door to door visit confirming that Muhammad Yar s/o Sher Muhammad has returned home. The certificate is duly signed by Deputy Commissioner, District Panjgur. No further action is required. The case is closed.</t>
  </si>
  <si>
    <t>8231 -B</t>
  </si>
  <si>
    <t>Noor Bakhsh s/o Karim Bakhsh</t>
  </si>
  <si>
    <t>Traced Person. Tehsildar, Gawargo appeared before the Commission on 23.11.2021 on behalf of Deputy Commissioner Panjgur. He submiteed Tasdeeqi Cerificate collected during door to door visit confirming that Noor Bakhsh s/o Karim Bakhsh has returned home. The certificate is duly signed by Deputy Commissioner, District Panjgur. No further action is required. The case is closed.</t>
  </si>
  <si>
    <t>8232 -B</t>
  </si>
  <si>
    <t>Khud Dad s/o Lal Bakhsh</t>
  </si>
  <si>
    <t>Siyah Domb, Gichk, District Panjgur</t>
  </si>
  <si>
    <t>Traced Person. Tehsildar, Gawargo appeared before the Commission on 23.11.2021 on behalf of Deputy Commissioner Panjgur. He submiteed Tasdeeqi Cerificate collected during door to door visit confirming that Khud Dad s/o Lal Bakhsh has returned home. The certificate is duly signed by Deputy Commissioner, District Panjgur. No further action is required. The case is closed.</t>
  </si>
  <si>
    <t>8233 -B</t>
  </si>
  <si>
    <t>Nawaz Ali s/o Muhammad Jan</t>
  </si>
  <si>
    <t>Traced Person. Tehsildar, Gawargo appeared before the Commission on 23.11.2021 on behalf of Deputy Commissioner Panjgur. He submiteed Tasdeeqi Cerificate collected during door to door visit confirming that Nawaz Ali s/o Muhammad Jan has returned home. The certificate is duly signed by Deputy Commissioner, District Panjgur. No further action is required. The case is closed.</t>
  </si>
  <si>
    <t>8234 -B</t>
  </si>
  <si>
    <t>Riaz s/o Rahim Jan</t>
  </si>
  <si>
    <t>Traced Person. Tehsildar, Gawargo appeared before the Commission on 23.11.2021 on behalf of Deputy Commissioner Panjgur. He submiteed Tasdeeqi Cerificate collected during door to door visit confirming that Riaz s/o Rahim Jan has returned home. The certificate is duly signed by Deputy Commissioner, District Panjgur. No further action is required. The case is closed.</t>
  </si>
  <si>
    <t>8235 -B</t>
  </si>
  <si>
    <t>Bilal s/o Dil Murad</t>
  </si>
  <si>
    <t>Sari Methag Balgatar, District Panjgur</t>
  </si>
  <si>
    <t>Traced Person. Tehsildar, Gawargo appeared before the Commission on 23.11.2021 on behalf of Deputy Commissioner Panjgur. He submiteed Tasdeeqi Cerificate collected during door to door visit confirming that Bilal s/o Dil Murad has returned home. The certificate is duly signed by Deputy Commissioner, District Panjgur. No further action is required. The case is closed.</t>
  </si>
  <si>
    <t>8236 -B</t>
  </si>
  <si>
    <t>Nazir s/o Wajdad</t>
  </si>
  <si>
    <t>Balgatar, District Panjgur</t>
  </si>
  <si>
    <t>Traced Person. Tehsildar, Gawargo appeared before the Commission on 23.11.2021 on behalf of Deputy Commissioner Panjgur. He submiteed Tasdeeqi Cerificate collected during door to door visit confirming that Nazir s/o Wajdad has returned home. The certificate is duly signed by Deputy Commissioner, District Panjgur. No further action is required. The case is closed.</t>
  </si>
  <si>
    <t>8237 -B</t>
  </si>
  <si>
    <t>Mehboob s/o Qadir Bakhsh</t>
  </si>
  <si>
    <t>Paroom , District Panjgur</t>
  </si>
  <si>
    <t>Traced Person. Tehsildar, Gawargo appeared before the Commission on 23.11.2021 on behalf of Deputy Commissioner Panjgur. He submiteed Tasdeeqi Cerificate collected during door to door visit confirming that Mehboob s/o Qadir Bakhsh has returned home. The certificate is duly signed by Deputy Commissioner, District Panjgur. No further action is required. The case is closed.</t>
  </si>
  <si>
    <t>8238 -B</t>
  </si>
  <si>
    <t>Akhtar s/o Qadir Bakhsh</t>
  </si>
  <si>
    <t>Traced Person. Tehsildar, Gawargo appeared before the Commission on 23.11.2021 on behalf of Deputy Commissioner Panjgur. He submiteed Tasdeeqi Cerificate collected during door to door visit confirming that Akhtar s/o Qadir Bakhsh has returned home. The certificate is duly signed by Deputy Commissioner, District Panjgur. No further action is required. The case is closed.</t>
  </si>
  <si>
    <t>8239 -B</t>
  </si>
  <si>
    <t>Mumtaz s/o Qadir Bakhsh</t>
  </si>
  <si>
    <t>Traced Person. Tehsildar, Gawargo appeared before the Commission on 24.11.2021 on behalf of Deputy Commissioner Panjgur. He submiteed Tasdeeqi Cerificate collected during door to door visit confirming that Mumtaz s/o Qadir Bakhsh has returned home. The certificate is duly signed by Deputy Commissioner, District Panjgur. No further action is required. The case is closed.</t>
  </si>
  <si>
    <t>8240 -B</t>
  </si>
  <si>
    <t>Qadir Bakhsh s/o Mulla Karim</t>
  </si>
  <si>
    <t>Traced Person. Tehsildar, Gawargo appeared before the Commission on 24.11.2021 on behalf of Deputy Commissioner Panjgur. He submiteed Tasdeeqi Cerificate collected during door to door visit confirming that Qadir Bakhsh s/o Mulla Karim has returned home. The certificate is duly signed by Deputy Commissioner, District Panjgur. No further action is required. The case is closed.</t>
  </si>
  <si>
    <t>8241 -B</t>
  </si>
  <si>
    <t>Awaz s/o Khuda Bakhsh</t>
  </si>
  <si>
    <t>Gichk , District Panjgur</t>
  </si>
  <si>
    <t>Traced Person. Tehsildar, Gawargo appeared before the Commission on 24.11.2021 on behalf of Deputy Commissioner Panjgur. He submiteed Tasdeeqi Cerificate collected during door to door visit confirming that Awaz s/o Khuda Bakhsh has returned home. The certificate is duly signed by Deputy Commissioner, District Panjgur. No further action is required. The case is closed.</t>
  </si>
  <si>
    <t>8242 -B</t>
  </si>
  <si>
    <t>Khalil s/o Ghulam Jan</t>
  </si>
  <si>
    <t>Jori Gichk, District Panjgur</t>
  </si>
  <si>
    <t>Traced Person. Tehsildar, Gawargo appeared before the Commission on 24.11.2021 on behalf of Deputy Commissioner Panjgur. He submiteed Tasdeeqi Cerificate collected during door to door visit confirming that Khalil s/o Ghulam Jan has returned home. The certificate is duly signed by Deputy Commissioner, District Panjgur. No further action is required. The case is closed.</t>
  </si>
  <si>
    <t>8243 -B</t>
  </si>
  <si>
    <t>Hayat s/o Hammal</t>
  </si>
  <si>
    <t>Salari, Gichk, District Panjgur</t>
  </si>
  <si>
    <t>Traced Person. Tehsildar, Gawargo appeared before the Commission on 24.11.2021 on behalf of Deputy Commissioner Panjgur. He submiteed Tasdeeqi Cerificate collected during door to door visit confirming that Hayat s/o Hammal has returned home. The certificate is duly signed by Deputy Commissioner, District Panjgur. No further action is required. The case is closed.</t>
  </si>
  <si>
    <t>8244 -B</t>
  </si>
  <si>
    <t>Nizam s/o Assa</t>
  </si>
  <si>
    <t>Traced Person. Tehsildar, Gawargo appeared before the Commission on 24.11.2021 on behalf of Deputy Commissioner Panjgur. He submiteed Tasdeeqi Cerificate collected during door to door visit confirming that Nizam s/o Assa has returned home. The certificate is duly signed by Deputy Commissioner, District Panjgur. No further action is required. The case is closed.</t>
  </si>
  <si>
    <t>8245 -B</t>
  </si>
  <si>
    <t>Sajid s/o Ghulam Qadir</t>
  </si>
  <si>
    <t>Traced Person. Tehsildar, Gawargo appeared before the Commission on 24.11.2021 on behalf of Deputy Commissioner Panjgur. He submiteed Tasdeeqi Cerificate collected during door to door visit confirming that Sajid s/o Ghulam Qadir has returned home. The certificate is duly signed by Deputy Commissioner, District Panjgur. No further action is required. The case is closed.</t>
  </si>
  <si>
    <t>8246 -B</t>
  </si>
  <si>
    <t>Abdul Wahid s/o Sheer Muhammad</t>
  </si>
  <si>
    <t>Traced Person. Tehsildar, Gawargo appeared before the Commission on 24.11.2021 on behalf of Deputy Commissioner Panjgur. He submiteed Tasdeeqi Cerificate collected during door to door visit confirming that Abdul Wahid s/o Sheer Muhammad has returned home. The certificate is duly signed by Deputy Commissioner, District Panjgur. No further action is required. The case is closed.</t>
  </si>
  <si>
    <t>8247 -B</t>
  </si>
  <si>
    <t>Ghulab s/o Ali</t>
  </si>
  <si>
    <t>Traced Person. Tehsildar, Gawargo appeared before the Commission on 24.11.2021 on behalf of Deputy Commissioner Panjgur. He submiteed Tasdeeqi Cerificate collected during door to door visit confirming that Ghulab s/o Ali has returned home. The certificate is duly signed by Deputy Commissioner, District Panjgur. No further action is required. The case is closed.</t>
  </si>
  <si>
    <t>8248 -B</t>
  </si>
  <si>
    <t>Sana Ullah s/o Muhammad Hassan</t>
  </si>
  <si>
    <t>Sar Gadagi Balgatar, District Panjgur</t>
  </si>
  <si>
    <t>Traced Person. Tehsildar, Gawargo appeared before the Commission on 24.11.2021 on behalf of Deputy Commissioner Panjgur. He submiteed Tasdeeqi Cerificate collected during door to door visit confirming that Sana Ullah s/o Muhammad Hassan has returned home. The certificate is duly signed by Deputy Commissioner, District Panjgur. No further action is required. The case is closed.</t>
  </si>
  <si>
    <t>8249 -B</t>
  </si>
  <si>
    <t>Naveed Ahmed s/o Dr. Qadim Hussain</t>
  </si>
  <si>
    <t>Hammalabad Washbod, District Panjgur</t>
  </si>
  <si>
    <t>Traced Person. SP (Inv) Panjgur appeared before the Commission on 24.11.2021. He submitted report that Naveed Ahmed s/o Dr. Qadim Hussain has returned home. No further action is required. The case is closed.</t>
  </si>
  <si>
    <t>8250 -B</t>
  </si>
  <si>
    <t>Abdullah s/o Gul Muhammad</t>
  </si>
  <si>
    <t>Karkay Dal Paroon, District Panjgur</t>
  </si>
  <si>
    <t>Traced Person. Tehsildar, Gawargo appeared before the Commission on 25.11.2021 on behalf of Deputy Commissioner Panjgur. He submiteed Tasdeeqi Cerificate collected during door to door visit confirming that Abdullah s/o Gul Muhammad has returned home. Later, he expired due to natural death. The certificate is duly signed by Deputy Commissioner, District Panjgur. No further action is required. The case is closed.</t>
  </si>
  <si>
    <t>8251 -B</t>
  </si>
  <si>
    <t>Baloch s/o Abdul Samad</t>
  </si>
  <si>
    <t>Traced Person. Tehsildar, Gawargo appeared before the Commission on 25.11.2021 on behalf of Deputy Commissioner Panjgur. He submiteed Tasdeeqi Cerificate collected during door to door visit confirming that Baloch s/o Abdul Samad has returned home. The certificate is duly signed by Deputy Commissioner, District Panjgur. No further action is required. The case is closed.</t>
  </si>
  <si>
    <t>8252 -B</t>
  </si>
  <si>
    <t>Yousaf s/o Akhtar</t>
  </si>
  <si>
    <t>Traced Person. Tehsildar, Gawargo appeared before the Commission on 25.11.2021 on behalf of Deputy Commissioner Panjgur. He submiteed Tasdeeqi Cerificate collected during door to door visit confirming that Yousaf s/o Akhtar has returned home. The certificate is duly signed by Deputy Commissioner, District Panjgur. No further action is required. The case is closed.</t>
  </si>
  <si>
    <t>8253 -B</t>
  </si>
  <si>
    <t>Akhtar s/o Shahi</t>
  </si>
  <si>
    <t>Traced Person. Tehsildar, Gawargo appeared before the Commission on 25.11.2021 on behalf of Deputy Commissioner Panjgur. He submiteed Tasdeeqi Cerificate collected during door to door visit confirming that Akhtar s/o Shahi has returned home. The certificate is duly signed by Deputy Commissioner, District Panjgur. No further action is required. The case is closed.</t>
  </si>
  <si>
    <t>8254 -B</t>
  </si>
  <si>
    <t>Khalil s/o Shahi</t>
  </si>
  <si>
    <t>Traced Person. Tehsildar, Gawargo appeared before the Commission on 25.11.2021 on behalf of Deputy Commissioner Panjgur. He submiteed Tasdeeqi Cerificate collected during door to door visit confirming that Khalil s/o Shahi has returned home. The certificate is duly signed by Deputy Commissioner, District Panjgur. No further action is required. The case is closed.</t>
  </si>
  <si>
    <t>8255 -B</t>
  </si>
  <si>
    <t>Shoaib s/o Shahi</t>
  </si>
  <si>
    <t>Traced Person. Tehsildar, Gawargo appeared before the Commission on 25.11.2021 on behalf of Deputy Commissioner Panjgur. He submiteed Tasdeeqi Cerificate collected during door to door visit confirming that Shoaib s/o Shahi has returned home. The certificate is duly signed by Deputy Commissioner, District Panjgur. No further action is required. The case is closed.</t>
  </si>
  <si>
    <t>8256 -B</t>
  </si>
  <si>
    <t>Javeed s/o Akhtar</t>
  </si>
  <si>
    <t>Traced Person. Tehsildar, Gawargo appeared before the Commission on 25.11.2021 on behalf of Deputy Commissioner Panjgur. He submiteed Tasdeeqi Cerificate collected during door to door visit confirming that Javeed s/o Akhtar has returned home. The certificate is duly signed by Deputy Commissioner, District Panjgur. No further action is required. The case is closed.</t>
  </si>
  <si>
    <t>8257 -B</t>
  </si>
  <si>
    <t>Faisal s/o Rustom</t>
  </si>
  <si>
    <t>Essai Kahan Zangi, District Panjgur</t>
  </si>
  <si>
    <t>Traced Person. SP (Inv) Panjgur appeared before the Commission on 25.11.2021. He submitted report that Faisal s/o Rustom has returned home. No further action is required. The case is closed.</t>
  </si>
  <si>
    <t>8258 -B</t>
  </si>
  <si>
    <t>Abdul Wahid s/o Gul Muhammad</t>
  </si>
  <si>
    <t>Karke Dal Gichk, District Panjgur</t>
  </si>
  <si>
    <t>Traced Person. Tehsildar, Gawargo appeared before the Commission on 25.11.2021 on behalf of Deputy Commissioner Panjgur. He submiteed Tasdeeqi Cerificate collected during door to door visit confirming that Abdul Wahid s/o Gul Muhammad has returned home. The certificate is duly signed by Deputy Commissioner, District Panjgur. No further action is required. The case is closed.</t>
  </si>
  <si>
    <t>8259 -B</t>
  </si>
  <si>
    <t>Zahid s/o Shah Dad</t>
  </si>
  <si>
    <t>Traced Person. Tehsildar, Gawargo appeared before the Commission on 25.11.2021 on behalf of Deputy Commissioner Panjgur. He submiteed Tasdeeqi Cerificate collected during door to door visit confirming that Zahid s/o Shah Dad has returned home. The certificate is duly signed by Deputy Commissioner, District Panjgur. No further action is required. The case is closed.</t>
  </si>
  <si>
    <t>8260 -B</t>
  </si>
  <si>
    <t>Mazar s/o Meer Khan</t>
  </si>
  <si>
    <t>Traced Person. Tehsildar, Gawargo appeared before the Commission on 25.11.2021 on behalf of Deputy Commissioner Panjgur. He submiteed Tasdeeqi Cerificate collected during door to door visit confirming that Mazar s/o Meer Khan has returned home. The certificate is duly signed by Deputy Commissioner, District Panjgur. No further action is required. The case is closed.</t>
  </si>
  <si>
    <t>8261 -B</t>
  </si>
  <si>
    <t>Bayian s/o Meer Khan</t>
  </si>
  <si>
    <t>Traced Person. Tehsildar, Gawargo appeared before the Commission on 25.11.2021 on behalf of Deputy Commissioner Panjgur. He submiteed Tasdeeqi Cerificate collected during door to door visit confirming that Bayian s/o Meer Khan has returned home. The certificate is duly signed by Deputy Commissioner, District Panjgur. No further action is required. The case is closed.</t>
  </si>
  <si>
    <t>8262 -B</t>
  </si>
  <si>
    <t>Sher Dil s/o Gohram</t>
  </si>
  <si>
    <t>Gaddagi Balgatar, District Panjgur</t>
  </si>
  <si>
    <t>Traced Person. A hearing was held in this case on 19.11.2021 at Regional Office, Quetta. Assistant Commissioner Gawargo District Panjgur appeared and submitted that Sher Dil s/o Gohram had returned home. In this connection AC Gawargo also produced statement of Barkat in which he confirmed his return to home. No further action is required. The case is closed.</t>
  </si>
  <si>
    <t>8263 -B</t>
  </si>
  <si>
    <t>Traced Person. A hearing was held in this case on 19.11.2021 at Regional Office, Quetta. Assistant Commissioner Gawargo District Panjgur appeared and submitted that Qadir had returned home. In this connection AC Gawargo also produced statement of Barkat in which he confirmed his return to home. No further action is required. The case is closed.</t>
  </si>
  <si>
    <t>8264 -B</t>
  </si>
  <si>
    <t>Muhammad Bakhsh</t>
  </si>
  <si>
    <t>Traced Person. A hearing was held in this case on 19.11.2021 at Regional Office, Quetta. Assistant Commissioner Gawargo District Panjgur appeared and submitted that Muhammad Bakhsh had returned home. In this connection AC Gawargo also produced statement of Barkat in which he confirmed his return to home. No further action is required. The case is closed.</t>
  </si>
  <si>
    <t>8265 -B</t>
  </si>
  <si>
    <t>Yasin</t>
  </si>
  <si>
    <t>Traced Person. A hearing was held in this case on 19.11.2021 at Regional Office, Quetta. Assistant Commissioner Gawargo District Panjgur appeared and submitted that Yasin had returned home. In this connection AC Gawargo also produced statement of Barkat in which he confirmed his return to home. No further action is required. The case is closed.</t>
  </si>
  <si>
    <t>8266 -B</t>
  </si>
  <si>
    <t>Abdul Wahid s/o Sher Muhammad</t>
  </si>
  <si>
    <t>Traced Person. A hearing was held in this case on 19.11.2021 at Regional Office, Quetta. Assistant Commissioner Gawargo District Panjgur appeared and submitted that Abdul Wahid s/o Sher Muhammad had returned home. In this connection AC Gawargo also produced statement of Barkat in which he confirmed his return to home. No further action is required. The case is closed.</t>
  </si>
  <si>
    <t>8267 -B</t>
  </si>
  <si>
    <t>Talal s/o Haider</t>
  </si>
  <si>
    <t>Traced Person. A hearing was held in this case on 19.11.2021 at Regional Office, Quetta. Assistant Commissioner Gawargo District Panjgur appeared and submitted that Talal s/o Haider had returned home. In this connection AC Gawargo also produced statement of Barkat in which he confirmed his return to home. No further action is required. The case is closed.</t>
  </si>
  <si>
    <t>8268 -B</t>
  </si>
  <si>
    <t>Arif s/o Muhammad Hassan</t>
  </si>
  <si>
    <t>Traced Person. A hearing was held in this case on 19.11.2021 at Regional Office, Quetta. Assistant Commissioner Gawargo District Panjgur appeared and submitted that Arif s/o Muhammad Hassan had returned home. In this connection AC Gawargo also produced statement of Barkat in which he confirmed his return to home. No further action is required. The case is closed.</t>
  </si>
  <si>
    <t>8269 -B</t>
  </si>
  <si>
    <t>Aslam s/o Khuda Bakhsh</t>
  </si>
  <si>
    <t>Traced Person. Tehsildar, Gawargo appeared before the Commission on 26.11.2021 on behalf of Deputy Commissioner Panjgur. He submiteed Tasdeeqi Cerificate collected during door to door visit confirming that Aslam s/o Khuda has returned home. The certificate is duly signed by Deputy Commissioner, District Panjgur. No further action is required. The case is closed.</t>
  </si>
  <si>
    <t>8270 -B</t>
  </si>
  <si>
    <t>Hussain Bakhsh s/o Meer Bakhsh</t>
  </si>
  <si>
    <t>Traced Person. Tehsildar, Gawargo appeared before the Commission on 26.11.2021 on behalf of Deputy Commissioner Panjgur. He submiteed Tasdeeqi Cerificate collected during door to door visit confirming that Hussain Bakhsh s/o Meer Bakhsh has returned home. The certificate is duly signed by Deputy Commissioner, District Panjgur. No further action is required. The case is closed.</t>
  </si>
  <si>
    <t>8271 -B</t>
  </si>
  <si>
    <t>Fazal s/o Jumma</t>
  </si>
  <si>
    <t>Traced Person. Tehsildar, Gawargo appeared before the Commission on 26.11.2021 on behalf of Deputy Commissioner Panjgur. He submiteed Tasdeeqi Cerificate collected during door to door visit confirming that Fazal s/o Jumma has returned home. The certificate is duly signed by Deputy Commissioner, District Panjgur. No further action is required. The case is closed.</t>
  </si>
  <si>
    <t>8272 -B</t>
  </si>
  <si>
    <t>Issa s/o Lashkaran</t>
  </si>
  <si>
    <t>Traced Person. Tehsildar, Gawargo appeared before the Commission on 26.11.2021 on behalf of Deputy Commissioner Panjgur. He submiteed Tasdeeqi Cerificate collected during door to door visit confirming that Issa s/o Lashkaran has returned home. The certificate is duly signed by Deputy Commissioner, District Panjgur. No further action is required. The case is closed.</t>
  </si>
  <si>
    <t>8273 -B</t>
  </si>
  <si>
    <t>Ilyas s/o Faiz Muhammad</t>
  </si>
  <si>
    <t>Traced Person. Tehsildar, Gawargo appeared before the Commission on 26.11.2021 on behalf of Deputy Commissioner Panjgur. He submiteed Tasdeeqi Cerificate collected during door to door visit confirming that Ilyas s/o Faiz Muhammad has returned home. The certificate is duly signed by Deputy Commissioner, District Panjgur. No further action is required. The case is closed.</t>
  </si>
  <si>
    <t>8274 -B</t>
  </si>
  <si>
    <t>Murshid s/o Muhammad Bakhsh</t>
  </si>
  <si>
    <t>Chitkan, District Panjgur</t>
  </si>
  <si>
    <t>Traced Person. SP (Inv) Panjgur appeared before the Commission on 26.11.2021. He submitted report that Murshid s/o Muhammad Bakhsh has returned home. No further action is required. The case is closed.</t>
  </si>
  <si>
    <t>8275 -B</t>
  </si>
  <si>
    <t>Peer Bakhsh s/o Issa</t>
  </si>
  <si>
    <t>Traced Person. Tehsildar, Gawargo appeared before the Commission on 26.11.2021 on behalf of Deputy Commissioner Panjgur. He submiteed Tasdeeqi Cerificate collected during door to door visit confirming that Peer Bakhsh s/o Issa has returned home. The certificate is duly signed by Deputy Commissioner, District Panjgur. No further action is required. The case is closed.</t>
  </si>
  <si>
    <t>8276 -B</t>
  </si>
  <si>
    <t>Khalid Dad s/o Mengal</t>
  </si>
  <si>
    <t>Traced Person. Tehsildar, Gawargo appeared before the Commission on 26.11.2021 on behalf of Deputy Commissioner Panjgur. He submiteed Tasdeeqi Cerificate collected during door to door visit confirming that Khalid Dad s/o Mengal has returned home. The certificate is duly signed by Deputy Commissioner, District Panjgur. No further action is required. The case is closed.</t>
  </si>
  <si>
    <t>8277 -B</t>
  </si>
  <si>
    <t>Asad s/o Jamal</t>
  </si>
  <si>
    <t>Traced Person. Tehsildar, Gawargo appeared before the Commission on 26.11.2021 on behalf of Deputy Commissioner Panjgur. He submiteed Tasdeeqi Cerificate collected during door to door visit confirming that Asad s/o Jamal has returned home. The certificate is duly signed by Deputy Commissioner, District Panjgur. No further action is required. The case is closed.</t>
  </si>
  <si>
    <t>8278 -B</t>
  </si>
  <si>
    <t>Issa s/o Raza</t>
  </si>
  <si>
    <t>Traced Person. Tehsildar, Gawargo appeared before the Commission on 26.11.2021 on behalf of Deputy Commissioner Panjgur. He submiteed Tasdeeqi Cerificate collected during door to door visit confirming that Issa s/o Raza has returned home. The certificate is duly signed by Deputy Commissioner, District Panjgur. No further action is required. The case is closed.</t>
  </si>
  <si>
    <t>8279 -B</t>
  </si>
  <si>
    <t>Nawaz s/o Atta Muhammad</t>
  </si>
  <si>
    <t>Traced Person. Tehsildar, Gawargo appeared before the Commission on 26.11.2021 on behalf of Deputy Commissioner Panjgur. He submiteed Tasdeeqi Cerificate collected during door to door visit confirming that Nawaz s/o Atta Muhammad has returned home. The certificate is duly signed by Deputy Commissioner, District Panjgur. No further action is required. The case is closed.</t>
  </si>
  <si>
    <t>30th November, 2021</t>
  </si>
  <si>
    <t>8280 -S</t>
  </si>
  <si>
    <t>Shafqat Ullah s/o Kalim Ullah</t>
  </si>
  <si>
    <t>Kalim Ullah, r/o Kajuri Zakir Khel, Tehsil Mir Ali, District North Waziristan.</t>
  </si>
  <si>
    <t>21505-8303568-5</t>
  </si>
  <si>
    <t>01st December, 2021</t>
  </si>
  <si>
    <t>8281 -K</t>
  </si>
  <si>
    <t>Shahryar s/o Khan Shair</t>
  </si>
  <si>
    <t>Nigar Khan, r/o Shuba Bazar, Railway Road, Makan No. New Gulshan Tyer, Peshawar City. (c/o Wadan Gul). (Mobile No. 0318-5633518 &amp; 0331-8313131 &amp; 0334-9998685).</t>
  </si>
  <si>
    <t>17301-5382039-1</t>
  </si>
  <si>
    <t>8282 -B</t>
  </si>
  <si>
    <t>Obaid Ullah Baloch s/o Gulab Baloch</t>
  </si>
  <si>
    <t>Dawood Gulab , r/o Kale Mohalla Shabood, Tehsil &amp; P.O Shabood, District Panjgur, Balochistan. (Mobile No. 0336-2839124).</t>
  </si>
  <si>
    <t>52301-6347718-5</t>
  </si>
  <si>
    <t>8283 -K</t>
  </si>
  <si>
    <t>Naimat Ullah s/o Mosam Khan</t>
  </si>
  <si>
    <t>Mosam Khan, r/o P.O &amp; Tesil Ladha, District South Waziristan, KPK.</t>
  </si>
  <si>
    <t>Domicile No. 1495</t>
  </si>
  <si>
    <t>Traced Person. SP (Inv), South Waziristan appeared before the Commission and affirmed that Naimat Ullah had returned home. He submitted report that Naimat Ullah appeared before the Investigation Officer who recorded statement u/s 161 CrPC. No further action is required. The case is closed.</t>
  </si>
  <si>
    <t>8284 -K</t>
  </si>
  <si>
    <t>Mano Din s/o Nasnapir Khan</t>
  </si>
  <si>
    <t>Nasnapir Khan, r/o P.O &amp; Tesil Ladha, District South Waziristan, KPK.</t>
  </si>
  <si>
    <t>21702-8404419-1</t>
  </si>
  <si>
    <t>Traced Person. SP (Inv), South Waziristan appeared before the Commission and affirmed that Mano Din had returned home. He submitted report that Mano Din appeared before the Investigation Officer who recorded statement u/s 161 CrPC. No further action is required. The case is closed.</t>
  </si>
  <si>
    <t>8285 -B</t>
  </si>
  <si>
    <t>Munir Ahmed Baloch s/o Khan Muhammad Baloch</t>
  </si>
  <si>
    <t>Mst. Nazeera Bibi, r/o Kale Mohalla Shahdad Zai, Gdar, Teshil &amp; District Sorab. (Mobile No. 0336-4041124)</t>
  </si>
  <si>
    <t>51202-0616798-4
 Mother CNIC</t>
  </si>
  <si>
    <t>Balochistan/ Sorab</t>
  </si>
  <si>
    <t>8286 -B</t>
  </si>
  <si>
    <t>Jameel Ahmed Badeeni Baloch s/o Haji Abdul Salam Badeeni Baloch</t>
  </si>
  <si>
    <t>Mst. Bibi Amina Badeeni Baloch, r/o Chalu Bawri, Satellite Town, Quetta. (Mobile No. 0348-2035225).</t>
  </si>
  <si>
    <t>54501-2158301-1</t>
  </si>
  <si>
    <t>8287 -K</t>
  </si>
  <si>
    <t>Hussain Ullah s/o Sadique Ullah</t>
  </si>
  <si>
    <t>Ubaid Ullah, r/o Mohalla Nasapal Main Dhok, P.O Jaisai, Jasai, Tehsil Lahor, District Swabi. (Mobile No. 0323-9920268 &amp; 0321-5058716).</t>
  </si>
  <si>
    <t>16201-1168780-3</t>
  </si>
  <si>
    <t>8288 -B</t>
  </si>
  <si>
    <t>Muhammad Aslam s/o Haji Muhammad Ishaq</t>
  </si>
  <si>
    <t>Haji Muhammad Ishaq, r/o Mengal Colony, Near MakiMasjid, Zahri Street Hub, District Lasbela. (Mobile No. 0332-3139909).</t>
  </si>
  <si>
    <t>51202-7020554-7</t>
  </si>
  <si>
    <t>Balochistan/ Lasbela</t>
  </si>
  <si>
    <t>8289 -B</t>
  </si>
  <si>
    <t>Shah Bahar Baloch s/o Ghulam Sarwer Baloch</t>
  </si>
  <si>
    <t>Abdul Haye Baloch, r/o Mohalla Kale, Jamal Abad Tehsil P.O, Nushki. (Mobile No. 0336-2562062).</t>
  </si>
  <si>
    <t>54501-2146847-7</t>
  </si>
  <si>
    <t>Traced Person. Focal Person, Balochistan Police appeared before the Commission adt Quetta on 23.5.2022 and informed that Shah Bahar Baloch had returned home on 12.5.2022. He produced before the Judicial Magistrate Noshki and his statement was recorded u/s 164 CrPC. Hence no further action is required. The case is closed.</t>
  </si>
  <si>
    <t>Balochistan/ Nushki</t>
  </si>
  <si>
    <t>8290 -K</t>
  </si>
  <si>
    <t>Shah Beroz Baloch s/o Ghulam Sarwer Baloch</t>
  </si>
  <si>
    <t>54501-2187602-3</t>
  </si>
  <si>
    <t>Traced Person. Focal Person, Balochistan Police appeared before the Commission at Quetta on 23.5.2022 and informed that Shah Beroz Baloch had returned home on 12.5.2022. He produced before the Judicial Magistrate Noshki and his statement was recorded u/s 164 CrPC. Hence no further action is required. The case is closed.</t>
  </si>
  <si>
    <t>8291 -B</t>
  </si>
  <si>
    <t>Habib Ullah Baloch s/o Deen Muhammad Baloch</t>
  </si>
  <si>
    <t>Kamal-ul-Din Baloch, r/o Kale Mohalla Barezai, Kachi Bage, Saryab, Quetta. (Mobile No. 0336-3052014).</t>
  </si>
  <si>
    <t>54400-2676663-1
 Father CNIC</t>
  </si>
  <si>
    <t>8292 -P</t>
  </si>
  <si>
    <t>Muhammad Kashif s/o Talib Hussain</t>
  </si>
  <si>
    <t>Mst. Afsha Talib d/o Talib Hussain, r/o Warich House, Near Al-Aziz School, Mohalla Quraish Abad. Ahmed Pur East, District Bahawalpur. (Mobile No. 0322-2204938 &amp; 0321-9590474)</t>
  </si>
  <si>
    <t>42301-4545977-1</t>
  </si>
  <si>
    <t>Traced Person. The significant feature of the matter was that Muhmmad Kashirf had already been traced, but failed to enter appearance before the Commission for certain obvious reasons. Be that as it may affidavit on his behalf was filed showing that he had been traced and present at his home. No further action is required. The case is closed.</t>
  </si>
  <si>
    <t>8293 -K</t>
  </si>
  <si>
    <t>Irshad s/o Saeed Khan</t>
  </si>
  <si>
    <t>Mst. Qasima Bibi, r/o Shangar Gul, Tehsil Salarzai, District Bajaur. (Mobile No. 0300-9773239 &amp; 0323-9209989 &amp; 0301-5477653).</t>
  </si>
  <si>
    <t>21106-8309867-0</t>
  </si>
  <si>
    <t>8294 -K</t>
  </si>
  <si>
    <t>Akbar Zaman s/o Haji Zaman Khan</t>
  </si>
  <si>
    <t>Abdul Samad, r/o Zorh Kalye, Zargan Khel, Dara Adam Khel, FR Kohat. (Mobile No. 0332-7575182).</t>
  </si>
  <si>
    <t>14301-4850980-1</t>
  </si>
  <si>
    <t>8295 -B</t>
  </si>
  <si>
    <t>Rashid Ali s/o Khlifa Lal Muhammad</t>
  </si>
  <si>
    <t>Mst. Bibi Haleema w/o Khlifa Lal Muhammad, r/o Nushki Kaye, Garibabad, Tehsil &amp; District Nushki. (Mobile No. 0342-8010773).</t>
  </si>
  <si>
    <t>54501-2113611-1</t>
  </si>
  <si>
    <t>8296 -K</t>
  </si>
  <si>
    <t>Farhad Ullah s/o Sher Azad</t>
  </si>
  <si>
    <t>Muhammad Israr, r/o Nawaz Abad, Meryan Road, Noreh, Tehsil &amp; District Bannu. (Mobile No. 0301-8751549 &amp; 0332-1530019).</t>
  </si>
  <si>
    <t>11101-3006587-1</t>
  </si>
  <si>
    <t>FIR No.</t>
  </si>
  <si>
    <t>8297 -B</t>
  </si>
  <si>
    <t>Amir Khan Baloch s/o Muhammad Akbar Baloch</t>
  </si>
  <si>
    <t>Mst. Nazia Akbar Baloch d/o Muhammad Akbar Baloch, r/o Mohalla Gali Jhangir Road, Near Daru Khan Hotel, Hub Chowki, District Lasbela. Balochistan. (Mobile No. 0337-0334879).</t>
  </si>
  <si>
    <t>51101-0717159-9</t>
  </si>
  <si>
    <t>Traced Person. Focal Person , Bazlochistan Police appeared before the Commission at Quetta on 23.5.2022 and submitted report that Amir Khan was arrested in case FIR No. 13/22 and confined in Central Jail, Quetta where his family met him. Hence no further action is required. The case is closed.</t>
  </si>
  <si>
    <t>8298 -B</t>
  </si>
  <si>
    <t>Bashir Ahmed Muhammad Hassni Baloch s/o Muhammad Ramzan Muhammad Hassni Baloch</t>
  </si>
  <si>
    <t>Muhammad Ramzan Muhammad Hassni Baloch, r/o Kalye Mohalla, Gomazagye, P.O Tehsil Nushki, District Nushki. (Mobile No. 0342-8045669).</t>
  </si>
  <si>
    <t>54501-2119285-9</t>
  </si>
  <si>
    <t>8299 -K</t>
  </si>
  <si>
    <t>Muhammad Umar s/o Jaffar Khan</t>
  </si>
  <si>
    <t>Mst. Razia Jaffar w/o Jaffar Khan, r/o P.O Eidak, Tehsil Mir Ali, District North Waziristan, KPK. (Mobile No. 0304-2730242).</t>
  </si>
  <si>
    <t>21505-1919222-9</t>
  </si>
  <si>
    <t>8300 -K</t>
  </si>
  <si>
    <t>Sayar Khan s/o Noor Shad</t>
  </si>
  <si>
    <t>Noor Shad, r/o House No. 2260/30, Ghulam Dasta, District Mardan, KPK.</t>
  </si>
  <si>
    <t>16101-1110932-5</t>
  </si>
  <si>
    <t>8301 -K</t>
  </si>
  <si>
    <t>Shafi Ullah s/o Abdul Samad</t>
  </si>
  <si>
    <t>Abdul Samad, r/o Mosai, P.O and Tehsil Dosli, District North Waziristan, KPK.</t>
  </si>
  <si>
    <t>21502-6994335-9</t>
  </si>
  <si>
    <t>Traced Person. Rep of MI submitted report at the hearing held on 20.4.2022 at Islamabad that Shafi Ullah s/o Abdul Samad is confined in the Internment Centre, Malakand under Actions (in aid of Civil) Regulations, 2011. Family members will be facilitated to see him in the aforesaid Internment Centre. No further action is required. The case is closed.</t>
  </si>
  <si>
    <t>8302 -K</t>
  </si>
  <si>
    <t>Abu Bakar s/o Liaquat Rehman</t>
  </si>
  <si>
    <t>Liaquat Rehman (Father of Missing Person), r/o Mohalla Ayoub, Street Bari Chman, District Mardan, KPK.</t>
  </si>
  <si>
    <t>16101-8138423-7</t>
  </si>
  <si>
    <t>8303 -S</t>
  </si>
  <si>
    <t>Khair Ullah s/o Noor Azam Khan</t>
  </si>
  <si>
    <t>Noor Azam Khan, r/o Tora Takka, P.O Jandola, Tehsil Sra Rogha, District South Waziristan, KPK.</t>
  </si>
  <si>
    <t>21704-4853199-5</t>
  </si>
  <si>
    <t>8304 -K</t>
  </si>
  <si>
    <t>Lalmar Khan s/o Gul Daraz Khan</t>
  </si>
  <si>
    <t>Gul Daraz Khan, r/o Karha Mada Khel, P.O &amp; Tehsil Datta Khal, District North Waziristan. KPK.</t>
  </si>
  <si>
    <t>21501-5127655-1</t>
  </si>
  <si>
    <t>8305 -K</t>
  </si>
  <si>
    <t>Muhammad Jawad s/o Zandar Khan</t>
  </si>
  <si>
    <t>Zandar Khan, r/o Dand Kala Khadar Khel, P.O &amp; Tehsil Datta Khel, District North Waziristan, KPK.</t>
  </si>
  <si>
    <t>21501-6059920-7</t>
  </si>
  <si>
    <t>Traced Person. Rep of MI submitted report at the hearing held on 20.4.2022 at Islamabad that Muhammad Jawad s/o Zandar Khan is confined in the Internment Centre, Malakand under Actions (in aid of Civil) Regulations, 2011. Family members will be facilitated to see him in the aforesaid Internment Centre.</t>
  </si>
  <si>
    <t>8306 -K</t>
  </si>
  <si>
    <t>Nafiz Khan s/o Masta Gul</t>
  </si>
  <si>
    <t>Masta Gul, r/o Bachki, Jani Khel, District Bannu, KPK.</t>
  </si>
  <si>
    <t>10196-1064266</t>
  </si>
  <si>
    <t>Traced Person. SP (Inv), Bannu entered appearance along with Mst. Mir Zarina mother of the Missing Person. Statement of SP (Inv), Bannu was recorded on oath in which he deposed that Nafiz Khan was confined in the Internment Centre Lakki Marwat and mother of the Missing Person had already met him in the Internment Centre. Rep of MI also confirmed that Nafiz Khan was interned in the Internment Centre Lakki Marwat.</t>
  </si>
  <si>
    <t>8307 -K</t>
  </si>
  <si>
    <t>Noor Khan s/o Muhammad Sadiq</t>
  </si>
  <si>
    <t>Muhammad Sadiq, r/o Awaz Khel, Khadar Khel, P.O and Tehsil Datta Khel, District North Waziristan.</t>
  </si>
  <si>
    <t>21501-8794124-9</t>
  </si>
  <si>
    <t>8308 -K</t>
  </si>
  <si>
    <t>Hazrat Muza s/o Mukhtiar Khan</t>
  </si>
  <si>
    <t>Mukhtiar Khan, r/o Inam Khwaro Chinagai, P.O Enayat Kally, Tehsil Mamund, District Bajaur, KPK.</t>
  </si>
  <si>
    <t>8309 -K</t>
  </si>
  <si>
    <t>Abdul Kalam s/o Mair Khan</t>
  </si>
  <si>
    <t>Mair Khan, r/o Kani Rogha, Manzar Khel, Tehsil Datta Khel, District North Waziristan, KPK.</t>
  </si>
  <si>
    <t>21501-2682599-7</t>
  </si>
  <si>
    <t>No further action is required. The case is closed.</t>
  </si>
  <si>
    <t>8310 -P</t>
  </si>
  <si>
    <t>Imran Khan s/o Hazrat Umar</t>
  </si>
  <si>
    <t>Hazrat Umar, r/o Dowlat Khel, Malak Deen Khel, Tehsil Barra, District Khyber, KPK.</t>
  </si>
  <si>
    <t>21201-5210099-9</t>
  </si>
  <si>
    <t>Bhawalpur</t>
  </si>
  <si>
    <t>8311 -K</t>
  </si>
  <si>
    <t>Abad Khan s/o Momin Khan</t>
  </si>
  <si>
    <t>Momin Khan, r/o Kani Rogah, Manzar Khel, Tehsil Datta Khel, District North Waziristan, KPK.</t>
  </si>
  <si>
    <t>21501-4089774-7</t>
  </si>
  <si>
    <t>Traced Person. Muhammad Ayaz b/o Abad Khan entered appearance before the Commission on 20.4.2022 at Islamabad whose statement was recorded on oath in which je deposed that Abad Khan was presently interned in the Internment Centre at Lakki Marwat and his father Momin Khan had met in the Internment Centre twice. Rep of MI submitted that Abad Khan was confined under Action (in aid of Civil) Regulations, 2011. No further action is required. The case is closed.</t>
  </si>
  <si>
    <t>8312 -K</t>
  </si>
  <si>
    <t>Ali Mat Khan s/o Kali Muhammad</t>
  </si>
  <si>
    <t>Kali Muhammad, r/o Kani Rogah, Manzar Khel, Tehsil Datta Khel, District North Waziristan, KPK.</t>
  </si>
  <si>
    <t>21501-8229397-7</t>
  </si>
  <si>
    <t>Traced Person. Rep of MI submitted report at the hearing on 20.4.2022 that Ali Mat Khan was interned in Internment Centre at Ghallani. Kali Muhammad f/o Ali Mat Khan in Internment Centre Ghallani.No further action is required. The case is closed.</t>
  </si>
  <si>
    <t>8313 -K</t>
  </si>
  <si>
    <t>Bilal Khan s/o Rahim</t>
  </si>
  <si>
    <t>Rahim, r/o Village Beghum Banda, Gharri Usman Khel, Tehsil Samad Ranizai, District Malakand, KPK.</t>
  </si>
  <si>
    <t>8314 -K</t>
  </si>
  <si>
    <t>Gleem Khan s/o Madaki</t>
  </si>
  <si>
    <t>Madaki, r/o Bospa Thangarhai, Tehsil Sarwakai, District South Waziristan, KPK.</t>
  </si>
  <si>
    <t>21705-19818845-3</t>
  </si>
  <si>
    <t>8315 -K</t>
  </si>
  <si>
    <t>Mir Ajab Khan s/o Atta Muhammad</t>
  </si>
  <si>
    <t>Atta Muhammad, r/o Kani Rogha, Manzar Khel, Tehsil Datta Khel, District North Waziristan, KPK.</t>
  </si>
  <si>
    <t>21501-8847579-7</t>
  </si>
  <si>
    <t>8316 -K</t>
  </si>
  <si>
    <t>Noor Dat Khan s/o Said Akbar</t>
  </si>
  <si>
    <t>Said Akbar, r/o Kani Rogha, Manzar Khel, Tehsil Datta Khel, District North Waziristan, KPK.</t>
  </si>
  <si>
    <t>21501-8319650-3</t>
  </si>
  <si>
    <t>Traced Person. Rep of MI submitted report at the hearing on 19.4.2022 that Noor Dat Khan was confined in Internment Centre Lakki Marwat in terms of Action (in aid of Civil Power) Regulations, 2011. His family will be facilitated to see him in the Internment Centre. No further action is required. The case is closed.</t>
  </si>
  <si>
    <t>8317 -K</t>
  </si>
  <si>
    <t>Muhammad Younas s/o Anar Gul</t>
  </si>
  <si>
    <t>Anar Gul, r/o Marwar Algad, P.O and Tehsil Ladha, District South Waziristan, KPK.</t>
  </si>
  <si>
    <t>42000-8661865-5</t>
  </si>
  <si>
    <t>8318 -K</t>
  </si>
  <si>
    <t>Qazi-ur-Rehman s/o Muhammad Rasool Khan</t>
  </si>
  <si>
    <t>Muhammad Rasool Khan, r/o Shna Khwarra, Hamzoni, P.O and Tehsil Miran Shah, District North Waziristan, KPK. (Mobile No. 0330-1676118 &amp; 0332-5241430).</t>
  </si>
  <si>
    <t>21506-8607918-1</t>
  </si>
  <si>
    <t>8319 -K</t>
  </si>
  <si>
    <t>Shaukat Ullah s/o Mehboob Ullah</t>
  </si>
  <si>
    <t>Mehboob Ullah, r/o Sepah Soran Khel, Shaikhan, P.O and Tehsil Barra, District Khyber, KPK.</t>
  </si>
  <si>
    <t>21201-5946432-9</t>
  </si>
  <si>
    <t>8320 -K</t>
  </si>
  <si>
    <t>Taib Ullah s/o Darya Khan</t>
  </si>
  <si>
    <t>Darya Khan, r/o Qom Kajuri Zakar Khel, Tehsil Mir Ali, District North Waziristan, KPK.</t>
  </si>
  <si>
    <t>21505-0381353-5</t>
  </si>
  <si>
    <t>Traced Person. Rep of MI submitted report at the hearing on 19.4.2022 that Talib Ullah was confined in Internment Centre Lakki Marwat in terms of Action (in aid of Civil Power) Regulations, 2011. His family will be facilitated to see him in the Internment Centre. No further action is required. The case is closed.</t>
  </si>
  <si>
    <t>8321 -S</t>
  </si>
  <si>
    <t>Muhammad Yousof s/o Bahadur Khan</t>
  </si>
  <si>
    <t>Bahadur Khan, r/o Sharwangi, P.O and Tehsil Sra Rogha, District South Waziristan, KPK. (Mobile No. 0335-3560898)</t>
  </si>
  <si>
    <t>21704-4146923-5</t>
  </si>
  <si>
    <t>8322 -P</t>
  </si>
  <si>
    <t>Jamroz Khan s/o Shasi Khan</t>
  </si>
  <si>
    <t>Mst. Sadaf Jamroz d/o Aman Ullah, r/o Fourtoun Resedential, Street No. 26, Sector E-11/4, Islamabad. (Mobile No. 0316-5195266).</t>
  </si>
  <si>
    <t>37405-0558293-5</t>
  </si>
  <si>
    <t>Traced Person. Jamroz Khan was been traced. Rep of CPO, Rawalpindi appeared before the Commission and his statement was recorded on oath in which he confirmed that Jamroz Khan had returned home. No further action is required. The case is closed.</t>
  </si>
  <si>
    <t>8323 -P</t>
  </si>
  <si>
    <t>Shabir Javed s/o Karim Bukhsh</t>
  </si>
  <si>
    <t>Muhammad Shhazad Ahmad, r/o Mohalla Dingianwala, Moza Bagh, Tehsil and District Jhang. (Mobile No. 0313-6500165 &amp; 0315-7030158).</t>
  </si>
  <si>
    <t>33202-7114370-7</t>
  </si>
  <si>
    <t>Traced Person. Shabir Javed appeared before the Commission at Lahore on 10.5.2022 and highlighted details of the unfortune episode. The significant feature of the case is that he admitted frankly that he could not identify the delinquents/culprits. No further action is required. The case is closed.</t>
  </si>
  <si>
    <t>8324 -K</t>
  </si>
  <si>
    <t>Muhammad Khan s/o Hashim</t>
  </si>
  <si>
    <t>Mst. Gulshan Bibi, r/o Marjani, P.O Totabu Bandhi, Tehsil Kabal, District Swat. (Mobile No. 0347-9310695 Farman Ali).</t>
  </si>
  <si>
    <t>15602-0281715-9</t>
  </si>
  <si>
    <t>8325 -I</t>
  </si>
  <si>
    <t>Abdul Wahid Rahman</t>
  </si>
  <si>
    <t>Abdur Rehman Khan, r/o House No. 04, Street No. 03, Shah Janal, Lahore. (Mobile No. 0301-8414268).
 (Celiba Rahman d/o Missing Person: +491772601746).</t>
  </si>
  <si>
    <t>POC-
 27658-6233581-1</t>
  </si>
  <si>
    <t>8326 -S</t>
  </si>
  <si>
    <t>Muhammad Asif Nadeem s/o Talib Hussain</t>
  </si>
  <si>
    <t>Mst. Afsha Talib d/o Talib Hussain, r/o Warich House, Near Al-Aziz School, Mohalla Quraish Abad. Ahmed Pur East, District Bahawalpur. (Mobile No. 0322-2204938 &amp; 0321-9590474).</t>
  </si>
  <si>
    <t>42301-7443025-7</t>
  </si>
  <si>
    <t>Traced Person. It was informed at the hearing held in this Commission on 28.3.2022 that Muhammad Asif Nadeem is involved in Criminal Case vide FIR No. 8/2022 dated 7.2.2022 u/s 7 ATA PS CTD, Multan. He is presently confined in Central Jail Multan. SDPO, Korangi Karachi also confirmed in his report. No further action is required. The case is closed.</t>
  </si>
  <si>
    <t>8327 -I</t>
  </si>
  <si>
    <t>Fareeq Hussain s/o Ali Mohsin</t>
  </si>
  <si>
    <t>Bisharat Hussain, r/o House No. 1, Gali No. 9, Block F, Shalimar Road, Sawan Gardan, Islamabad. (Mobile No. 0304-9420562)</t>
  </si>
  <si>
    <t>42201-0402756-5</t>
  </si>
  <si>
    <t>8328 -S</t>
  </si>
  <si>
    <t>Abdul Majeed Baloch s/o Shakar Khan Baloch</t>
  </si>
  <si>
    <t>Mst. Fatima Hameed Baloch, r/o Mohalla Safari, Omega Gulestan Joher, Block No. 13, P.S Sharah-e-Faisal, Karachi. (Mobile No. 0336-9233978).</t>
  </si>
  <si>
    <t>8329 -I</t>
  </si>
  <si>
    <t>Mehboob-ul-Hassan s/o Khalil-ur-Rehman</t>
  </si>
  <si>
    <t>Khalil-ur-Rehman, r/o Nar Danish Abad, P.O and Tehsil Sarye Norzang, District Lakki Marwat, KPK. (Mobile No. 0300-9098395).</t>
  </si>
  <si>
    <t>8330 -B</t>
  </si>
  <si>
    <t>Naseer Ahmed Baloch s/o Muhammad Ishaq Baloch</t>
  </si>
  <si>
    <t>Rehan Ahmed Baloch, r/o Mohalla Shaikh Umer, Road Huda, District Quetta. (Mobile No. 0332-7997285).</t>
  </si>
  <si>
    <t>54400-9287555-3</t>
  </si>
  <si>
    <t>8331 -P</t>
  </si>
  <si>
    <t>Dr. Khawar Iqbal s/o Muhammad Iqbal Saqib</t>
  </si>
  <si>
    <t>Nasir Iqbal, r/o House No. 19, Block A, Khiyaban-e-Sarwar, Dera Ghazi Khan. (Mobile No. 0300-4735635).</t>
  </si>
  <si>
    <t>32102-296232-1</t>
  </si>
  <si>
    <t>Traced Person. Dr. Khawar Iqbal entered appearance before at Lahore on 15.5.2022 and submitted that he went somewhere and could not inform his family. He was reluctant to explain factual aspects of the episode for certain obvious reasons. Thereafter no further action is required. The case is closed.</t>
  </si>
  <si>
    <t>8332 -P</t>
  </si>
  <si>
    <t>Muhammad Aslam s/o Bashir Ahmed</t>
  </si>
  <si>
    <t>Mst. Zahra Bibi w/o Bashir Ahmed, r/o Basti Sardar Khan Chandia, Moza Kotla Meran, Tehsil Khan Pur, District Rahim Yar Khan. (Mobile No. 0315-8012305).</t>
  </si>
  <si>
    <t>Traced Person. DSP, HQ, Lahore informed at the hearing on 12.5.2022 that Muhammad Aslam had returned home and presently residing at his home. This information was confirmed by Mst. Maqsood Bibi, who is sister of Muhammad Aslam. No further action is required. The case is closed.</t>
  </si>
  <si>
    <t>8333 -P</t>
  </si>
  <si>
    <t>Gul Akbar s/o Fazal Akbar</t>
  </si>
  <si>
    <t>Gul Haider, r/o Sandal Road, Ward No. 14, Near Al-Hadees Masjid, Gujjar Khan, District Rawalpindi. (Mobile No. 0343-1724463).</t>
  </si>
  <si>
    <t>Traced Person. Gul Akbar has been traced. He appeared before the Commission on 28.3.2022 and his statement was recorded on oath in which he deposed that he was abducted on 15.12.2021 at 6.30 PM and was set free on 17.2.2022 at Rawalpindi. He deposed that he was blind folded, therefore he could noy identify anybody involved in his abduction. No further action is required. The case is closed.</t>
  </si>
  <si>
    <t>Rawalpindi /
 ICT</t>
  </si>
  <si>
    <t>8334 -B</t>
  </si>
  <si>
    <t>Ayub s/o Noor Ahmed</t>
  </si>
  <si>
    <t>Solir, District Panjgur</t>
  </si>
  <si>
    <t>Traced Person. Deputy Commissioner, Washuk appeared before the Commission on 29.11.2021 at Quetta. He submitted that Ayub s/o Noor Ahmed has returned home. In support he submitted Tasdeqi certificate having signature of Deputy Commissioner Washuk, Assistant Commissioner Bismah and Nab Tehsildar Nag.</t>
  </si>
  <si>
    <t>Akhtar Mengal MNA</t>
  </si>
  <si>
    <t>8335 -B</t>
  </si>
  <si>
    <t>Nadeem s/o Raza Muhammad</t>
  </si>
  <si>
    <t>Traced Person. Deputy Commissioner, Washuk appeared before the Commission on 29.11.2021 at Quetta. He submitted that Nadeem s/o Raza Muhammad has returned home. In support he submitted Tasdeqi certificate having signature of Deputy Commissioner Washuk, Assistant Commissioner Bismah and Nab Tehsildar Nag.</t>
  </si>
  <si>
    <t>8336 -B</t>
  </si>
  <si>
    <t>8337 -B</t>
  </si>
  <si>
    <t>Ilahi Bakhsh s/o Ahmed</t>
  </si>
  <si>
    <t>Traced Person. Deputy Commissioner, Washuk appeared before the Commission on 29.11.2021 at Quetta. He submitted that Illahi Bakhsh s/o Ahmed has returned home. In support he submitted Tasdeqi certificate having signature of Deputy Commissioner Washuk, Assistant Commissioner Bismah and Nab Tehsildar Nag.</t>
  </si>
  <si>
    <t>8338 -B</t>
  </si>
  <si>
    <t>Noor Ahmed s/o Abdul Rehman</t>
  </si>
  <si>
    <t>Traced Person. Deputy Commissioner, Washuk appeared before the Commission on 29.11.2021 at Quetta. He submitted that Noor Ahmed s/o Abdul Rehman has returned home. In support he submitted Tasdeqi certificate having signature of Deputy Commissioner Washuk, Assistant Commissioner Bismah and Nab Tehsildar Nag.</t>
  </si>
  <si>
    <t>8339 -B</t>
  </si>
  <si>
    <t>Rahim Dil s/o Ayub</t>
  </si>
  <si>
    <t>Traced Person. Deputy Commissioner, Washuk appeared before the Commission on 29.11.2021 at Quetta. He submitted that Rahim Dil s/o Ayub has returned home. In support he submitted Tasdeqi certificate having signature of Deputy Commissioner Washuk, Assistant Commissioner Bismah and Nab Tehsildar Nag.</t>
  </si>
  <si>
    <t>8340 -B</t>
  </si>
  <si>
    <t>Khair Jan s/o Noor Ahmed</t>
  </si>
  <si>
    <t>Traced Person. Deputy Commissioner, Washuk appeared before the Commission on 29.11.2021 at Quetta. He submitted that Khair Jan s/o Noor Ahmed has returned home. In support he submitted Tasdeqi certificate having signature of Deputy Commissioner Washuk, Assistant Commissioner Bismah and Nab Tehsildar Nag.</t>
  </si>
  <si>
    <t>8341 -B</t>
  </si>
  <si>
    <t>Ashraf s/o Lal Bakhsh</t>
  </si>
  <si>
    <t>Traced Person. Deputy Commissioner, Washuk appeared before the Commission on 29.11.2021 at Quetta. He submitted that Ashraf s/o Lal Bakhsh has returned home. In support he submitted Tasdeqi certificate having signature of Deputy Commissioner Washuk, Assistant Commissioner Bismah and Nab Tehsildar Nag.</t>
  </si>
  <si>
    <t>8342 -B</t>
  </si>
  <si>
    <t>Ali Dost s/o Muhammad Ustad</t>
  </si>
  <si>
    <t>Traced Person. Deputy Commissioner, Washuk appeared before the Commission on 29.11.2021 at Quetta. He submitted that Ali Dost s/o Muhammad Ustad has returned home. In support he submitted Tasdeqi certificate having signature of Deputy Commissioner Washuk, Assistant Commissioner Bismah and Nab Tehsildar Nag.</t>
  </si>
  <si>
    <t>8343 -B</t>
  </si>
  <si>
    <t>Muhammad Amin Marri s/o Haji Rahim</t>
  </si>
  <si>
    <t>Daro Hotal, Hub</t>
  </si>
  <si>
    <t>Traced Person. DSP Legal appeared before of SSP Lasbella on 30.11.2021, whose statement was recorded on oath. According to him Muhammad Amin Marri had returned home. He also submitted Tasdeeqi Certificates obtained after verification/checking carried out by the ream of administration after door to door visit and the persons were found present. No further action is required. The case is closed.</t>
  </si>
  <si>
    <t>8344 -B</t>
  </si>
  <si>
    <t>Mir Hazar Marri s/o Barkat Ali</t>
  </si>
  <si>
    <t>Main Bazar Sakaran Road , Hub</t>
  </si>
  <si>
    <t>Traced Person. DSP Legal appeared before of SSP Lasbella on 30.11.2021, whose statement was recorded on oath. According to him Mir Hazar Marri s/o Barkat Ali had returned home. He also submitted Tasdeeqi Certificates obtained after verification/checking carried out by the ream of administration after door to door visit and the persons were found present. No further action is required. The case is closed</t>
  </si>
  <si>
    <t>8345 -B</t>
  </si>
  <si>
    <t>Muhammad Karim Mari s/o Shah Nawaz</t>
  </si>
  <si>
    <t>Attak Factory, Sakuran Road, Hub</t>
  </si>
  <si>
    <t>Traced Person. DSP Legal appeared before of SSP Lasbella on 30.11.2021, whose statement was recorded on oath. According to him Muhammad Karim Marri s/o Shah Nawaz had returned home. He also submitted Tasdeeqi Certificates obtained after verification/checking carried out by the ream of administration after door to door visit and the persons were found present. No further action is required. The case is closed.</t>
  </si>
  <si>
    <t>8346 -B</t>
  </si>
  <si>
    <t>Haji Rahim Marri s/o Raza Khan</t>
  </si>
  <si>
    <t>Darro Hotel, Hub</t>
  </si>
  <si>
    <t>Traced Person. DSP Legal appeared before of SSP Lasbella on 30.11.2021, whose statement was recorded on oath. According to him Haji Rahim Marri s/o Raza Khan had returned home. He also submitted Tasdeeqi Certificates obtained after verification/checking carried out by the ream of administration after door to door visit and the persons were found present. No further action is required. The case is closed.</t>
  </si>
  <si>
    <t>8347 -B</t>
  </si>
  <si>
    <t>Haji Murad Khan s/o Wazir Khan</t>
  </si>
  <si>
    <t>Sakuran Road Hub</t>
  </si>
  <si>
    <t>Traced Person. DSP Legal appeared before of SSP Lasbella on 30.11.2021, whose statement was recorded on oath. According to him Haji Murad Khan s/o Wazir Khan had returned home. He also submitted Tasdeeqi Certificates obtained after verification/checking carried out by the ream of administration after door to door visit and the persons were found present. No further action is required. The case is closed.</t>
  </si>
  <si>
    <t>8348 -B</t>
  </si>
  <si>
    <t>Karim Bux Marri</t>
  </si>
  <si>
    <t>Hub Industrial Town</t>
  </si>
  <si>
    <t>Traced Person. DSP Legal appeared before of SSP Lasbella on 30.11.2021, whose statement was recorded on oath. According to him Karim Bux Marri had returned home. He also submitted Tasdeeqi Certificates obtained after verification/checking carried out by the ream of administration after door to door visit and the persons were found present. No further action is required. The case is closed.</t>
  </si>
  <si>
    <t>8349 -B</t>
  </si>
  <si>
    <t>Elahi Bux Bugti s/o Bahar Khan</t>
  </si>
  <si>
    <t>Hub</t>
  </si>
  <si>
    <t>Traced Person. DSP Legal appeared before of SSP Lasbella on 30.11.2021, whose statement was recorded on oath. According to him Ellahi Bux Bugti s/o Bahar Khan had returned home. He also submitted Tasdeeqi Certificates obtained after verification/checking carried out by the ream of administration after door to door visit and the persons were found present. No further action is required. The case is closed.</t>
  </si>
  <si>
    <t>8350 -B</t>
  </si>
  <si>
    <t>Shah Murad Bugti</t>
  </si>
  <si>
    <t>Hub Choki</t>
  </si>
  <si>
    <t>Traced Person. DSP Legal appeared before of SSP Lasbella on 30.11.2021, whose statement was recorded on oath. According to him Shah Murad Bugti had returned home. He also submitted Tasdeeqi Certificates obtained after verification/checking carried out by the ream of administration after door to door visit and the persons were found present. No further action is required. The case is closed.</t>
  </si>
  <si>
    <t>8351 -B</t>
  </si>
  <si>
    <t>Jan Ali Marri</t>
  </si>
  <si>
    <t>Traced Person. DSP Legal appeared before of SSP Lasbella on 30.11.2021, whose statement was recorded on oath. According to him Jan Ali Marri had returned home. He also submitted Tasdeeqi Certificates obtained after verification/checking carried out by the ream of administration after door to door visit and the persons were found present. No further action is required. The case is closed.</t>
  </si>
  <si>
    <t>8352 -B</t>
  </si>
  <si>
    <t>Mazar Khan Marri</t>
  </si>
  <si>
    <t>Traced Person. DSP Legal appeared before of SSP Lasbella on 30.11.2021, whose statement was recorded on oath. According to him Mazar Khan Marri had returned home. He also submitted Tasdeeqi Certificates obtained after verification/checking carried out by the ream of administration after door to door visit and the persons were found present. No further action is required. The case is closed.</t>
  </si>
  <si>
    <t>8353 -B</t>
  </si>
  <si>
    <t>Bahar Khan Marri s/o Jamal Khan Marri</t>
  </si>
  <si>
    <t>Sakran Hub Balochistan</t>
  </si>
  <si>
    <t>Traced Person. DSP Legal appeared before of SSP Lasbella on 30.11.2021, whose statement was recorded on oath. According to him Bahar Khan Marri s/o Jamal Khan had returned home. He also submitted Tasdeeqi Certificates obtained after verification/checking carried out by the ream of administration after door to door visit and the persons were found present. No further action is required. The case is closed.</t>
  </si>
  <si>
    <t>8354 -B</t>
  </si>
  <si>
    <t>Muhammad Usman Marri</t>
  </si>
  <si>
    <t>Sakran Road Hub</t>
  </si>
  <si>
    <t>Traced Person. DSP Legal appeared before of SSP Lasbella on 30.11.2021, whose statement was recorded on oath. According to him Muhammad Usman Marri had returned home. He also submitted Tasdeeqi Certificates obtained after verification/checking carried out by the ream of administration after door to door visit and the persons were found present. No further action is required. The case is closed.</t>
  </si>
  <si>
    <t>8355 -B</t>
  </si>
  <si>
    <t>Traced Person. DSP Legal appeared before of SSP Lasbella on 30.11.2021, whose statement was recorded on oath. According to him Muhammad Ali had returned home. He also submitted Tasdeeqi Certificates obtained after verification/checking carried out by the ream of administration after door to door visit and the persons were found present. No further action is required. The case is closed.</t>
  </si>
  <si>
    <t>8356 -B</t>
  </si>
  <si>
    <t>Moula Bux Marri</t>
  </si>
  <si>
    <t>Got Dr. Dahni Bux Marri Hub</t>
  </si>
  <si>
    <t>Traced Person. DSP Legal appeared before of SSP Lasbella on 30.11.2021, whose statement was recorded on oath. According to him Moula Bux Marri had returned home. He also submitted Tasdeeqi Certificates obtained after verification/checking carried out by the ream of administration after door to door visit and the persons were found present. No further action is required. The case is closed.</t>
  </si>
  <si>
    <t>8357 -B</t>
  </si>
  <si>
    <t>Arbab Khan Marri</t>
  </si>
  <si>
    <t>Traced Person. DSP Legal appeared before of SSP Lasbella on 30.11.2021, whose statement was recorded on oath. According to him Arbab Khan Marri had returned home. He also submitted Tasdeeqi Certificates obtained after verification/checking carried out by the ream of administration after door to door visit and the persons were found present. No further action is required. The case is closed.</t>
  </si>
  <si>
    <t>8358 -B</t>
  </si>
  <si>
    <t>Bilawar Marri</t>
  </si>
  <si>
    <t>Traced Person. DSP Legal appeared before of SSP Lasbella on 30.11.2021, whose statement was recorded on oath. According to him Bilawar Marri had returned home. He also submitted Tasdeeqi Certificates obtained after verification/checking carried out by the ream of administration after door to door visit and the persons were found present. No further action is required. The case is closed.</t>
  </si>
  <si>
    <t>8359 -B</t>
  </si>
  <si>
    <t>Sultan Marri</t>
  </si>
  <si>
    <t>Traced Person. DSP Legal appeared before of SSP Lasbella on 30.11.2021, whose statement was recorded on oath. According to him Sultan Marri had returned home. He also submitted Tasdeeqi Certificates obtained after verification/checking carried out by the ream of administration after door to door visit and the persons were found present. No further action is required. The case is closed.</t>
  </si>
  <si>
    <t>8360 -B</t>
  </si>
  <si>
    <t>Elahi Bux Marri</t>
  </si>
  <si>
    <t>Traced Person. DSP Legal appeared before of SSP Lasbella on 30.11.2021, whose statement was recorded on oath. According to him Elahi Bux Marri had returned home. He also submitted Tasdeeqi Certificates obtained after verification/checking carried out by the ream of administration after door to door visit and the persons were found present. No further action is required. The case is closed.</t>
  </si>
  <si>
    <t>8361 -B</t>
  </si>
  <si>
    <t>Zaman Khan Marri</t>
  </si>
  <si>
    <t>Traced Person. DSP Legal appeared before of SSP Lasbella on 30.11.2021, whose statement was recorded on oath. According to him Zaman Khan Marri had returned home. He also submitted Tasdeeqi Certificates obtained after verification/checking carried out by the ream of administration after door to door visit and the persons were found present. No further action is required. The case is closed.</t>
  </si>
  <si>
    <t>8362 -B</t>
  </si>
  <si>
    <t>Gull Khan Marri</t>
  </si>
  <si>
    <t>Traced Person. DSP Legal appeared before of SSP Lasbella on 30.11.2021, whose statement was recorded on oath. According to him Gull Khan Marri had returned home. He also submitted Tasdeeqi Certificates obtained after verification/checking carried out by the ream of administration after door to door visit and the persons were found present. No further action is required. The case is closed.</t>
  </si>
  <si>
    <t>8363 -B</t>
  </si>
  <si>
    <t>Mian Khan Marri</t>
  </si>
  <si>
    <t>Traced Person. DSP Legal appeared before of SSP Lasbella on 30.11.2021, whose statement was recorded on oath. According to him Mian Khan Marri had returned home. He also submitted Tasdeeqi Certificates obtained after verification/checking carried out by the ream of administration after door to door visit and the persons were found present. No further action is required. The case is closed.</t>
  </si>
  <si>
    <t>8364 -B</t>
  </si>
  <si>
    <t>Wali Muhammad Mari s/o Langho</t>
  </si>
  <si>
    <t>Arund Check Post Sibbi</t>
  </si>
  <si>
    <t>Traced Person. A hearing was held in this case on 10.12.2021 which was attended by ADC District Sibbi. He informed that Wali Muhammad Marri who was abducted in 2006 was set free after three months and he was present at home. A certificate to this effect was also produced duly signed by DC, Sibbi.</t>
  </si>
  <si>
    <t>8365 -B</t>
  </si>
  <si>
    <t>Haos Khan s/o Ghulam Khan</t>
  </si>
  <si>
    <t>Jalrhi Babar Kech Sibbi</t>
  </si>
  <si>
    <t>Traced Person. Additional Deputy Commissioner Sibbi appeared before the Commission on behalf of DC Sibbi whose statement was recorded on oath in which he stated that Haos Khan s/o Ghulam Khan returned home. He submitted necessary certificates in this respect. No further action is required. The case is closed.</t>
  </si>
  <si>
    <t>8366 -B</t>
  </si>
  <si>
    <t>Akamri s/o Walu</t>
  </si>
  <si>
    <t>Traced Person. Additional Deputy Commissioner Sibbi appeared before the Commission on behalf of DC Sibbi whose statement was recorded on oath in which he stated that Akamri s/o Walu returned home. He submitted necessary certificates in this respect. No further action is required. The case is closed.</t>
  </si>
  <si>
    <t>8367 -B</t>
  </si>
  <si>
    <t>Sadiq Khan s/o Peer Jan</t>
  </si>
  <si>
    <t>Traced Person. Additional Deputy Commissioner Sibbi appeared before the Commission on behalf of DC Sibbi whose statement was recorded on oath in which he stated that Sadiq Khan s/o Peer Jan returned home. He submitted necessary certificates in this respect. No further action is required. The case is closed.</t>
  </si>
  <si>
    <t>8368 -B</t>
  </si>
  <si>
    <t>Ikram Ullah s/o Dili Jan</t>
  </si>
  <si>
    <t>Traced Person. Additional Deputy Commissioner Sibbi appeared before the Commission on behalf of DC Sibbi whose statement was recorded on oath in which he stated that Ikram Ullah s/o Dil Jan returned home. He submitted necessary certificates in this respect. No further action is required. The case is closed.</t>
  </si>
  <si>
    <t>8369 -B</t>
  </si>
  <si>
    <t>Farid Khan s/o Ghulam Bux</t>
  </si>
  <si>
    <t>Traced Person. Additional Deputy Commissioner Sibbi appeared before the Commission on behalf of DC Sibbi whose statement was recorded on oath in which he stated that Farid Khan s/o Ghulam Bux returned home. He submitted necessary certificates in this respect. No further action is required. The case is closed.</t>
  </si>
  <si>
    <t>8370 -B</t>
  </si>
  <si>
    <t>Sakin Khan s/o Gul Khan</t>
  </si>
  <si>
    <t>Traced Person. Additional Deputy Commissioner Sibbi appeared before the Commission on behalf of DC Sibbi whose statement was recorded on oath in which he stated that Sakin Khan s/o Gul Khan returned home. He submitted necessary certificates in this respect. No further action is required. The case is closed.</t>
  </si>
  <si>
    <t>8371 -B</t>
  </si>
  <si>
    <t>Jan Ali s/o Karimu</t>
  </si>
  <si>
    <t>Traced Person. Additional Deputy Commissioner Sibbi appeared before the Commission on behalf of DC Sibbi whose statement was recorded on oath in which he stated that Jan Ali s/o Karimu returned home. He submitted necessary certificates in this respect. No further action is required. The case is closed.</t>
  </si>
  <si>
    <t>8372 -B</t>
  </si>
  <si>
    <t>Jahangir s/o Shah Gul</t>
  </si>
  <si>
    <t>Traced Person. Additional Deputy Commissioner Sibbi appeared before the Commission on behalf of DC Sibbi whose statement was recorded on oath in which he stated that Jahangir s/o Shah Gul returned home. He submitted necessary certificates in this respect. No further action is required. The case is closed.</t>
  </si>
  <si>
    <t>8373 -B</t>
  </si>
  <si>
    <t>Lalu Khan s/o Wali Khan</t>
  </si>
  <si>
    <t>Traced Person. Additional Deputy Commissioner Sibbi appeared before the Commission on behalf of DC Sibbi whose statement was recorded on oath in which he stated that Lalu Khan s/o Wali Khan returned home. He submitted necessary certificates in this respect. No further action is required. The case is closed.</t>
  </si>
  <si>
    <t>8374 -B</t>
  </si>
  <si>
    <t>Haji Tangi s/o Shah Bux</t>
  </si>
  <si>
    <t>Lakki Union Council Safgan</t>
  </si>
  <si>
    <t>Traced Person. Additional Deputy Commissioner Sibbi appeared before the Commission on behalf of DC Sibbi whose statement was recorded on oath in which he stated that Haji Tangi s/o Shah Bux returned home. He submitted necessary certificates in this respect. No further action is required. The case is closed.</t>
  </si>
  <si>
    <t>8375 -B</t>
  </si>
  <si>
    <t>Sommer Khan s/o Jawad</t>
  </si>
  <si>
    <t>Peer Darbad Jalrhi, Safgan</t>
  </si>
  <si>
    <t>Traced Person. Additional Deputy Commissioner Sibbi appeared before the Commission on behalf of DC Sibbi whose statement was recorded on oath in which he stated that Sommer Khan s/o Jawad returned home. He submitted necessary certificates in this respect. No further action is required. The case is closed.</t>
  </si>
  <si>
    <t>8376 -B</t>
  </si>
  <si>
    <t>Hasil Khan s/o Nadir Khan</t>
  </si>
  <si>
    <t>Traced Person. Additional Deputy Commissioner Sibbi appeared before the Commission on behalf of DC Sibbi whose statement was recorded on oath in which he stated that Hasil Khan s/o Nadir Khan returned home. He submitted necessary certificates in this respect. No further action is required. The case is closed.</t>
  </si>
  <si>
    <t>8377 -B</t>
  </si>
  <si>
    <t>Ghani Khan s/o Sobedar</t>
  </si>
  <si>
    <t>Traced Person. Additional Deputy Commissioner Sibbi appeared before the Commission on behalf of DC Sibbi whose statement was recorded on oath in which he stated that Ghani Khan s/o Sobedar returned home. He submitted necessary certificates in this respect. No further action is required. The case is closed.</t>
  </si>
  <si>
    <t>8378 -B</t>
  </si>
  <si>
    <t>Kol Meer Khan s/o Wali Khan</t>
  </si>
  <si>
    <t>Traced Person. Additional Deputy Commissioner Sibbi appeared before the Commission on behalf of DC Sibbi whose statement was recorded on oath in which he stated that Kol Meer Khan s/o Wali Khan returned home. He submitted necessary certificates in this respect. No further action is required. The case is closed.</t>
  </si>
  <si>
    <t>8379 -B</t>
  </si>
  <si>
    <t>Umer Bux s/o Soharab</t>
  </si>
  <si>
    <t>Traced Person. Additional Deputy Commissioner Sibbi appeared before the Commission on behalf of DC Sibbi whose statement was recorded on oath in which he stated that Umer Bux s/o Soharab returned home. He submitted necessary certificates in this respect. No further action is required. The case is closed.</t>
  </si>
  <si>
    <t>8380 -B</t>
  </si>
  <si>
    <t>Abdul Rasheed s/o Karim Dada Langove</t>
  </si>
  <si>
    <t>Deleted. A hearing was held in this case on 2.12.2021. According to report submitted by DSP (Legal), Lasbella that said person was abducted by some unknown persons from Raees Got Karachi and FIR No. 216/12 u/s 365-A 34 PPC PS Shaira-e-Faisal, Karachi was registered at the stance of Abdul Majeed s/o Karim Dad brother of Abdul Rasheed. In the FIR Section 365-A indicated as there was demand of 50 Lacs rupees as ransom. Keeping in view the above mentioned facts and circumstances, the does not fall within the ambit of ED. The case is closed.</t>
  </si>
  <si>
    <t>8381-S</t>
  </si>
  <si>
    <t>Pathan Zuhrani s/o Savor Khan Zuhrani</t>
  </si>
  <si>
    <t>Irfan Ali, r/o Haji Jangi Khan Goth Gaggar Phatak, Bin Qasim Malir, Karachi. (Mobile No. 0304-1790882)</t>
  </si>
  <si>
    <t>31st December, 2021</t>
  </si>
  <si>
    <t>8382 -I</t>
  </si>
  <si>
    <t>Hafiz Muhammad Imad Majid s/o Majid Butt</t>
  </si>
  <si>
    <t>Majid Butt, r/o House No. 1269, Mohalla Chak Bakwal, Lahore. (Mobile No. 0343-5030780)</t>
  </si>
  <si>
    <t>01st January, 2022</t>
  </si>
  <si>
    <t>8383 -K</t>
  </si>
  <si>
    <t>Ehsanullah Wisal s/o Khair-ur-Rehman</t>
  </si>
  <si>
    <t>Khair-ur-Rehman, r/o Bartkhel Babuzai, Post Office Babuzai Tehsil Katlang, District Mardan. (Mobile No. 0341-9150155 &amp; 0303-8587882)</t>
  </si>
  <si>
    <t>Traced Person. Khair-ur-Rehman complainant appeared before the Commission on 24.5.2022. His statement was recorded on oath in which he deposed that he filed complaint before the Commission that Ehsanullah Wisal had returned home on 29.4.2022 and went again to Karachi on 20.5.2022. Earlier he went to Karachi due to displeasure with family members. Hence no further action is required. The case is closed.</t>
  </si>
  <si>
    <t>8384 -I</t>
  </si>
  <si>
    <t>Syed Hussain s/o Syed Anwar Shah</t>
  </si>
  <si>
    <t>Syed Anwar Shha, r/o Village Shaluzan Alishari, Tehsil Parachnar, District Kurram. c/o New Hammid Medical Store, Tori Market, Parachnar. (Mobile No. 0302-6120361 &amp; 0315-5360749).</t>
  </si>
  <si>
    <t>21303-3230632-5</t>
  </si>
  <si>
    <t>Traced Person. Haider Hussain, SDPO New Multan entered appearance before the Commission whose statement was recorded on oath in which he stated that Syed Husnain was arrested in case FIR No. 22/2022 dated 5.1.2022 u/s 13 (2) (a)/20/65 AQ, PS Seetal Mari District, Multan and in the custody of the Police on Judicial remand. He produced report on behalf of CPO, Multan. No further action is required. The case is closed.</t>
  </si>
  <si>
    <t>8385 -K</t>
  </si>
  <si>
    <t>Maaz Ullah s/o Manda Ameen Jan</t>
  </si>
  <si>
    <t>Haleema Bibi w/o Mandamin Jan r/o Targhao Tehsil Barang, District Bajour. (Mobile No. 0345-0104345)</t>
  </si>
  <si>
    <t>Traced Person. According to the report dated 25.4.2022 submitted by Rep of MI at the hearing on 25.4.2022, Maaz Ullah was confined in Internment Centre Khar (Bajaur) in terms of Actions (in aid of Civil Power) Regulations, 2011. Family members of Maaz Ullah shall be facilitated to see him in the Internment Centre. No further action is required. The case is closed.</t>
  </si>
  <si>
    <t>KPK/Bajour</t>
  </si>
  <si>
    <t>8386 -K</t>
  </si>
  <si>
    <t>Mukhtar Khan s/o Gulab Bashir</t>
  </si>
  <si>
    <t>W/o Mandamin Jan r/o Targhao Tehsil Barang, District Bajour. (Mobile No. 0345-0104345)</t>
  </si>
  <si>
    <t>8387 -P</t>
  </si>
  <si>
    <t>Syed Muhammad Ahsan s/o Javaid Ahmed Shah</t>
  </si>
  <si>
    <t>Dr. Syed Muhammad Azeem, r/o 231-B, PCSIR-II, Near Shaukat Khanum Hospital, Lahore. (Mobile No. 0331-4676196).</t>
  </si>
  <si>
    <t>35202-1257905-3</t>
  </si>
  <si>
    <t>Traced Person. It was reported at the hearing on 10.5.2022 that Syed Muhammad Ahsan was facing trial by the ATC at Sargodha and he had already been enlarged on bail by the Hon’ble High Court. Dr. Syed Muhammad Azeem complainant was also present and conceded the report. No further action is required. The case is closed.</t>
  </si>
  <si>
    <t>8388 -I</t>
  </si>
  <si>
    <t>Jamdad Khan s/o Bahadur Khan</t>
  </si>
  <si>
    <t>Bahadur Khan, r/o Bilal Town, Gali No. 3, Near Shifa Medicak Store, Khand Dak, Islamabad. (Mobile No. 0342-4672124).</t>
  </si>
  <si>
    <t>21406-7626408-5</t>
  </si>
  <si>
    <t>Traced Person. SP (Inv), ICT submitted report of the hearing on 3.3.2022 indicating that Jamdad Khan was arrested by CTD, Lahore against FIR No. 29/21 dated 15.12.2021 u/s 20/65-2A r/w, Anti-Terrorism Act 1997. Subsequently he was granted bail affidavit from Bahadur Khan (father) was also submitted confirmed the aforesaid position. Hence, not a case of enforced disappearance. The case is closed.</t>
  </si>
  <si>
    <t>8389 -K</t>
  </si>
  <si>
    <t>Qismat Khan s/o Ameer Khan</t>
  </si>
  <si>
    <t>Haroon Khan, r/o Barqamber Khel, Shaikmal Khel, Mehrki Khel, P.O Paka Tarah, Tehsil Barah, District Khyber. (Mobile No. 0333-9392088 &amp; 0300-7717070).</t>
  </si>
  <si>
    <t>21201-3107065-7</t>
  </si>
  <si>
    <t>Traced Person. Qismat Khan has been traced. In Para-13 of the JIT report submitted at the hearing it is mentioned that the Missing Person was arrested on 21.1.2022 in terrorism cases by CTD. After completion of 2 days Police Custody, he was sent to Central jail Peshawar. On 7.2.2022 ATC Court III Peshawar granted bail to the accused. Hence, not a case of enforced disappearance. The case is closed.</t>
  </si>
  <si>
    <t>8390 -P</t>
  </si>
  <si>
    <t>Umar Zeb Khan s/o Taj Muhammad Khan</t>
  </si>
  <si>
    <t>Mst. Khaista Pari w/o Umar Zeb Khan, r/o P.O Wahri, Wahri Paine, Tehsil Wahri, District Upper Dir. (Mobile No. 0300-0820464 &amp; 0312-9193449).</t>
  </si>
  <si>
    <t>15702-2469260-1</t>
  </si>
  <si>
    <t>8391 -P</t>
  </si>
  <si>
    <t>Farqan Zafar s/o Zafar Iqbal</t>
  </si>
  <si>
    <t>Zafar Iqbal, r/o House No. 632, Street No. 99, Sector I-9/4, Islamabad. (Mobile No. 0336-0593393 &amp; 0300-8556936).</t>
  </si>
  <si>
    <t>37203-0660193-3</t>
  </si>
  <si>
    <t>8392 -K</t>
  </si>
  <si>
    <t>Sami Ullah s/o Noor Rehman</t>
  </si>
  <si>
    <t>Inayat Ullah, r/o Kanda Wateen, Souk, P.O Karurah, Tehsil Rahori, District Shangla. (Mobile No. 0346-9487252).</t>
  </si>
  <si>
    <t>Traced Person. Sami Ullah has been traced. Inayat Ullah complainant entered appearance before the Commission on 7.2.2022 and his statement was recorded on oath in which he deposed that Sami Ullah was in the Internment Centre Paitham where he met with him. No further action is required. The case is closed.</t>
  </si>
  <si>
    <t>8393 -S</t>
  </si>
  <si>
    <t>Muhammad Riaz s/o Allah Rakhia</t>
  </si>
  <si>
    <t>Mst. Mumtaz Baighum w/o Allah Rakhia, r/o House No. 376, Sector 4-E, Mohalla New Saeedabad, Baldia Town, Karachi West. (Mobile No. 0312-1017673 &amp; 0312-2533820).</t>
  </si>
  <si>
    <t>42401-0350730-1</t>
  </si>
  <si>
    <t>8394 -P</t>
  </si>
  <si>
    <t>Muhammad Numair Khan s/o Muhammad Nadeem Anwar</t>
  </si>
  <si>
    <t>Mst Sobia Imtiaz w/o Muhammad Nadeem Anwar, r/o Plot No. 446, Block-3, Sector A2, Township, Lahore. (Mobile No. 0343-5371516 &amp; 0333-4567039 &amp; 0321-8484857 &amp; 042-35241476).</t>
  </si>
  <si>
    <t>61101-2774837-5</t>
  </si>
  <si>
    <t>8395 -B</t>
  </si>
  <si>
    <t>Noor Deen s/o Taj Muhammad</t>
  </si>
  <si>
    <t>Muhammad Asghar, r/o Mohalla Dand Ladan, P.S City Mestung, District Mestung. (Mobile No. 0333-3683915 &amp; 0302-3930083).</t>
  </si>
  <si>
    <t>51602-1038750-9</t>
  </si>
  <si>
    <t>Balochistan/ Mestung</t>
  </si>
  <si>
    <t>8396 -B</t>
  </si>
  <si>
    <t>Mossa Jan s/o Samand Khan</t>
  </si>
  <si>
    <t>Essa Khan, r/o Kaye Baryazai, Hana Orak, District Quetta. (Mobile No. 0331-8964655).</t>
  </si>
  <si>
    <t>54400-0422334-9</t>
  </si>
  <si>
    <t>Traced Person. Moosa Jan entered appearance before the Commission on 24.3.2022 whose statement was recorded on oath in which he deposed that he was picked up and taken away blindfolded on 14.12.2021 by unknown persons. He further deposed that he was set free on 23.2.2022 at Akhtar Abad, Quetta.Hence no further action is required. The case is closed.</t>
  </si>
  <si>
    <t>8397 -K</t>
  </si>
  <si>
    <t>Masood Khan s/o Meer Khawas Khan</t>
  </si>
  <si>
    <t>Zakir, r/o Gali Bagh, Saeed Colony, Mardan. (Mobile No. 0333-3095046).</t>
  </si>
  <si>
    <t>8398 -S</t>
  </si>
  <si>
    <t>Saeed Ahmed s/o Mashooq Ali</t>
  </si>
  <si>
    <t>Mashooq Ali, r/o Flate No. 528, Yousaf Goth, Malir, District Karachi Malir. (Mobile No. 0308-2191622).</t>
  </si>
  <si>
    <t>412205-1043529-5</t>
  </si>
  <si>
    <t>Traced Person. It was informed at the hearing held in this case on 24.8.2022 that Saeed Ahmed returned home. The statement of the traced person has been recorded u/s161 CrPC. The report submitted by the Police Officer SDPO, Malir city, Karachi is available on record. Hence no further action is required. The case is closed.</t>
  </si>
  <si>
    <t>8399 -K</t>
  </si>
  <si>
    <t>Noor Hameed Khan s/o Fazal Hameed</t>
  </si>
  <si>
    <t>Mst. Safia Bibi, c/o Sirag Din r/o Raheemabad, Nagutal, P.O Zamedara, Tehsil Lal Qillah, District Lower Dir, KPK. (Mobile No. 0301-2635258 &amp; 0308-9301045).</t>
  </si>
  <si>
    <t>15305-3976700-5</t>
  </si>
  <si>
    <t>8400 -B</t>
  </si>
  <si>
    <t>Rakhia Khan s/o Qadir Khan</t>
  </si>
  <si>
    <t>Mst. Bibi Maryum, r/o Mohalla Takhri Smaladni, Singhan, P.O Babar Kach, District Sibi. (Mobile No. 0333-7821265 &amp; 0312-8002438 &amp; 0333-2354852).</t>
  </si>
  <si>
    <t>55302-9613589-1</t>
  </si>
  <si>
    <t>Balochistan/ Harnai</t>
  </si>
  <si>
    <t>8401 -K</t>
  </si>
  <si>
    <t>Asif Ullah s/o Shams Gul</t>
  </si>
  <si>
    <t>Fareed Ullah, r/o Harfar, P.O &amp; Tehsil Mir Ali, District North Waziristan. (Mobile No. 0333-6041631).</t>
  </si>
  <si>
    <t>21505-2077171-7</t>
  </si>
  <si>
    <t>8402 -K</t>
  </si>
  <si>
    <t>Said Umar s/o Romal Khan</t>
  </si>
  <si>
    <t>Romal Khan, r/o Lala Zhai, P.O &amp; Tehsil Tiarza, District South Waziristan, KPK.</t>
  </si>
  <si>
    <t>21706-9183976-3</t>
  </si>
  <si>
    <t>8403 -B</t>
  </si>
  <si>
    <t>Samand Khan s/o Hassan Khan Mari</t>
  </si>
  <si>
    <t>New Kahan, District Quetta</t>
  </si>
  <si>
    <t>Traced Person. SP (Inv) Quetta appeared before the Commission on 03.01.2022 and submitted report that Samand Khan s/o Hassan Khan Marri had returned to home. In support thereof, he produced statement of Safi Khan (Brother). No further action is required. The case is closed.</t>
  </si>
  <si>
    <t>8404-B</t>
  </si>
  <si>
    <t>Mazar Khan Marri s/o Amir Khan</t>
  </si>
  <si>
    <t>Sariab Road, Quetta</t>
  </si>
  <si>
    <t>Traced Person. SSP (Inv), Quetta submitted report at the hearing held in the case on 05.01.2022 that Mazar Khan Marri has returned to home and his statement was recorded by the Police. No further action is required. The case is closed.</t>
  </si>
  <si>
    <t>8405-B</t>
  </si>
  <si>
    <t>Noor Ullah s/o Muhammad Jan</t>
  </si>
  <si>
    <t>Jattak Stop, Satellite Town Quetta</t>
  </si>
  <si>
    <t>Deleted. SSP (Inv), Quetta submitted report at the hearing held in this case on 24.01.2022 that the case of Noor Ullah s/o Haji Muhammad Jan ID No. 8405-B was previously disposed off vide ID No. 6240-B on 06.10.2020 being not a case of enforced disappearance. Hence the case is closed without further action.</t>
  </si>
  <si>
    <t>8406 -B</t>
  </si>
  <si>
    <t>Haji Abbdul Karim</t>
  </si>
  <si>
    <t>Barwary Road, Quetta</t>
  </si>
  <si>
    <t>Traced Person. SSP (Inv), Quetta appeared before the Commission on 24.01.2022 whose statement was recorded on oath. According to him Haji Abdul Karim had returned home on 01.01.13 and on 14.03.13 his statement got recorded u/s 164 CrPC by Judicial Magistrate.No further action is required. The case is closed.</t>
  </si>
  <si>
    <t>8407 -B</t>
  </si>
  <si>
    <t>Kaka Marri s/o Pahlwan</t>
  </si>
  <si>
    <t>Hazara Ganji, Quetta</t>
  </si>
  <si>
    <t>Traced Person. SSP (Inv), Quetta appeared before the Commission on 24.01.2022 whose statement was recorded on oath. According to him Kaka Marri s/o Baloch Khan alias Phalwan ID No.8407-B went missing in the year 2006 and later returned home. As per statement of his brother Hair Din, Kaka Marri died in natural death in 2013 and was buried in graveyard New Kahan Marri, Quetta. No further action is required. The case is closed.</t>
  </si>
  <si>
    <t>8408 -B</t>
  </si>
  <si>
    <t>Hafiz Saeed-ur-Rehman s/o Allah Bux</t>
  </si>
  <si>
    <t>Deleted. SSP (Inv), Quetta submitted report at the hearing held in this case on 04.01.2022 that the case of Hafiz Saeed-ur-Rehman had been deleted vide ID on 8408-B on payment of compensation on the orders of Supreme Court of Pakistan. No further action is required. The case is closed.</t>
  </si>
  <si>
    <t>8409 -B</t>
  </si>
  <si>
    <t>Shamas-ul-Wahid</t>
  </si>
  <si>
    <t>Deleted. SSP (Inv), Quetta submitted report at the hearing held in this case indicating that the nominated accused in the case were arrested vide FIR No. 46/2022 u/s 365/34 PPC but they were acquitted by competent Court of Jurisdiction. There is no allegation against any LEAs/Intelligence Agency. No further action is required. The case is closed.</t>
  </si>
  <si>
    <t>8410 -B</t>
  </si>
  <si>
    <t>Shahzad Qambrani s/o Abdul Rehman</t>
  </si>
  <si>
    <t>Quetta</t>
  </si>
  <si>
    <t>Traced Person. Shehzad Qambrani appeared before the Commission on 04.01.2022 and his statement was recorded on oath in which he stated that he was picked up by unknown persons on 03.05.2018 who released him on 12.11.2019. Similar report has been submitted by SP (Inv), Quetta.No further action is required. The case is closed.</t>
  </si>
  <si>
    <t>8411 -B</t>
  </si>
  <si>
    <t>Muhammad Ayaz s/o Muhammad Afzal Qambrani</t>
  </si>
  <si>
    <t>Traced Person. It was informed at the hearing on 04.1.2022. SSP (Inv), Quetta a that Muhammad Ayaz had returned home. The latter also confirmed the said position in his statement. No further action is required. The case is closed.</t>
  </si>
  <si>
    <t>8412 -B</t>
  </si>
  <si>
    <t>Safar Khan s/o Sher Khan</t>
  </si>
  <si>
    <t>Arif Street Sariab Road Quetta</t>
  </si>
  <si>
    <t>Traced Person. SP (Inv) Quetta appeared before the Commission on 03.01.2022 that the case of Safar Khan s/o Sher Khan had already been deposed of by the Commission vide proceedings in case ID No. 0051-B. Accordingly present case is closed without further action.</t>
  </si>
  <si>
    <t>8413 -B</t>
  </si>
  <si>
    <t>Farman Ullah s/o Zafar Ullah</t>
  </si>
  <si>
    <t>Zafarabad, Quetta</t>
  </si>
  <si>
    <t>Traced Person.  SP (Inv) Quetta appeared before the Commission on 03.01.2022 that the case of Farman Ullah s/o Zafar Ullah had already been deposed of by the Commission vide proceedings in case ID No. 0346-B. Accordingly present case is closed without further action.</t>
  </si>
  <si>
    <t>8414 -B</t>
  </si>
  <si>
    <t>Faisal Riaz s/o Muhammad Akram</t>
  </si>
  <si>
    <t>killi Ismail, Quetta</t>
  </si>
  <si>
    <t>Traced Person. SP (Inv) Quetta appeared before the Commission on 03.01.2022 that the case of Faisal Riaz s/o Muhammad Akram had already been deposed of by the Commission vide proceedings in case ID No. 2941-B. Accordingly present case is closed without further action.</t>
  </si>
  <si>
    <t>8415 -B</t>
  </si>
  <si>
    <t>Manzoor Ahmed s/o Haji Nazeer Ahmed</t>
  </si>
  <si>
    <t>Sariab Quetta</t>
  </si>
  <si>
    <t>Traced Person. SP (Inv) Quetta appeared before the Commission on 03.01.2022 that the case of Manzoor Ahmed s/o Nazir Ahmed had already been deposed of by the Commission vide proceedings in case ID No. 2462-B. Accordingly present case is closed without further action.</t>
  </si>
  <si>
    <t>31st January, 2022</t>
  </si>
  <si>
    <t>8416 -K</t>
  </si>
  <si>
    <t>Sadique s/o Saiden Shah</t>
  </si>
  <si>
    <t>Syed Jalal, r/o Mohalla Zakha Khel, Bazar Khor, Landikotal, Tehsil Landi Kotal, District Khyber. (Mobile No. 0313-8550816).</t>
  </si>
  <si>
    <t>01st February, 2022</t>
  </si>
  <si>
    <t>8417 -K</t>
  </si>
  <si>
    <t>Arbistan s/o Qamar Khel</t>
  </si>
  <si>
    <t>8418 -K</t>
  </si>
  <si>
    <t>Arshad Khan s/o Qamar Khel</t>
  </si>
  <si>
    <t>21203-2613776-9</t>
  </si>
  <si>
    <t>8419 -K</t>
  </si>
  <si>
    <t>Wali Sin s/o Masta Jan</t>
  </si>
  <si>
    <t>Zirad Shah s/o Masta Jan, r/o Haal Baka Khel, Topi Yar Bannu, P.S Baka Khel, Distrit Bannu, KPK. (Mobile No. 0334-8445799).</t>
  </si>
  <si>
    <t>21501-4039533-5</t>
  </si>
  <si>
    <t>8420 -K</t>
  </si>
  <si>
    <t>Amdad Khan s/o Jandad Khan</t>
  </si>
  <si>
    <t>Sajjid-ur-Rehman, r/o Room No. 229, 
 Ministry of Planning
 Development &amp; Special Initiatives, Pak Secretariat, Islamabad. (Mobile No. 0302-4535761 &amp; 0321-8546844 &amp; 0303-9521014).</t>
  </si>
  <si>
    <t>21202-4499843-3</t>
  </si>
  <si>
    <t>8421 -I</t>
  </si>
  <si>
    <t>Noor Alam s/o Alam Khan</t>
  </si>
  <si>
    <t>Hullar Khan, r/o Milat Colony, Street No. 06, Tarnol, Islamabad. (Mobile No. 0321-5222461 &amp; 0316-9094809).</t>
  </si>
  <si>
    <t>17301-6912122-7</t>
  </si>
  <si>
    <t>8422 -K</t>
  </si>
  <si>
    <t>Abdul Manan s/o Noor Karim</t>
  </si>
  <si>
    <t>Jhangir s/o Noor Karim, r/oGahri Tarkha Nan, Mosa Zai, Teshil &amp; District Peshawar. (Mobile No. 0342-9037133).</t>
  </si>
  <si>
    <t>17301-7464416-3</t>
  </si>
  <si>
    <t>8423 -B</t>
  </si>
  <si>
    <t>Qazi Naimat Ullah s/o Qazi Mehar Ullah</t>
  </si>
  <si>
    <t>Qazi Juma Khan, r/o Jail Road, Oppsite to Huda Jail, Qazi Genral Store, Quetta. (Mobile No. 0333-3344282).</t>
  </si>
  <si>
    <t>54400-3615359-7</t>
  </si>
  <si>
    <t>FIR No. 5/22, dated 06/01/2022, u/s 365 PPC, P.S Quidabad, Quetta.</t>
  </si>
  <si>
    <t>8424 -K</t>
  </si>
  <si>
    <t>Sadique Muhammad</t>
  </si>
  <si>
    <t>Sadique Muhammad (Missing Person), r/o District South Waziristan, KPK.</t>
  </si>
  <si>
    <t>21704-0677717-5</t>
  </si>
  <si>
    <t>Traced Person. Rep of DPO, South Waziristan and SI Ps City Tank appeared before the Commission and his statement was recorded on oath in which he deposed that actual name of the Missing Person was Muhammad Siddique. He further deposed that Muhammad Siddique was involved in case FIR No, 44 dated 30.7.2021 u/s 302/324/353/148/149 PPC r/w 7 ATA PS CTD, D.I.Khan. Muhammad Siddique was arrested by CTD, D.I.Khan and granted bail on 24.3.2022. In this connection copies of relevant documents. No further action is required. The case is closed.</t>
  </si>
  <si>
    <t>8425 -P</t>
  </si>
  <si>
    <t>Abdul Khaliq s/o Saeed Rehman</t>
  </si>
  <si>
    <t>Saeed Rehman, r/o Adeen Khel, P.O Lakraye, Tehsil Upper Mohmand, District Mohmand, KPK. (Mobile No. 0308-5916677 &amp; 0301-5670772).</t>
  </si>
  <si>
    <t>2405-8820190-5</t>
  </si>
  <si>
    <t>8426 -K</t>
  </si>
  <si>
    <t>Midrar Ullah s/o Ali Johar</t>
  </si>
  <si>
    <t>08.10.2021</t>
  </si>
  <si>
    <t>Ali Johar, r/o P.O Kandar Gari Kopora, Tehsil &amp; Disrict Mardan. (Mobile No. 0315-0451736 &amp; 0315-7373440).</t>
  </si>
  <si>
    <t>16101-0265705-7</t>
  </si>
  <si>
    <t>8427 -S</t>
  </si>
  <si>
    <t>Ali Mar Gul</t>
  </si>
  <si>
    <t>Ali Mar Gul (Missing Person), r/o Muhammad Khan Colony, Ittehad Town, Karachi.</t>
  </si>
  <si>
    <t>21702-0525105-5</t>
  </si>
  <si>
    <t>8428 -P</t>
  </si>
  <si>
    <t>Osama Rehman s/o Saif Ullah</t>
  </si>
  <si>
    <t>Muhammad Ijaz, r/o House No. NK-94, Near Sheesh Masjid, New Kataria, Rawalpindi. (Mobile No. 0300-5271417 &amp; 0347-5801346).</t>
  </si>
  <si>
    <t>Traced Person. Osama Rehman has been traced. He appeared before the Commission on 28.3.2022 and recorded his statement on oath in which he deposed that he was not abducted by anybody rather he went to Karachi on his own and later returned home. No further action is required. The case is closed.</t>
  </si>
  <si>
    <t>8429 -K</t>
  </si>
  <si>
    <t>Qadeem Khan s/o Gulmar Khan</t>
  </si>
  <si>
    <t>Aziz-ur-Rehman, r/o Ahata Bughi, Taxila. (Mobile No. 0349-0092878 &amp; 0306-0329762).</t>
  </si>
  <si>
    <t>AC79355732446
 Afgan Citizen</t>
  </si>
  <si>
    <t>8430 -K</t>
  </si>
  <si>
    <t>Habib Ullah Khan s/o Dawa Jan</t>
  </si>
  <si>
    <t>Dawa Jan, r/o Ahata Bughi, Taxila. (Mobile No. 0306-0329762 &amp; 0304-5669637).</t>
  </si>
  <si>
    <t>EL20544665921</t>
  </si>
  <si>
    <t>8431 -K</t>
  </si>
  <si>
    <t>Abdullah s/o Qismat Khan</t>
  </si>
  <si>
    <t>Muhammad Saleem, r/o Bar Qamber Khel, Shakhmal Khel, Pebral Khel Bahru, P.O &amp; Tehsil Bahru, District Khyber. (Mobile No. 0300-5334977 &amp; 0336-4574005).</t>
  </si>
  <si>
    <t>21201-7662861-7</t>
  </si>
  <si>
    <t>8432 -K</t>
  </si>
  <si>
    <t>Khair Ullah s/o Mamoor Khan</t>
  </si>
  <si>
    <t>Muhammad Khan, r/o Ferdus Sabzi Mandi, Pakat, Near Shahi Bagh Gate, Ehsan Ullah Momphali Walye, District Peshawar. (0315-4548715).</t>
  </si>
  <si>
    <t>21406-8993695-1</t>
  </si>
  <si>
    <t>8433 -B</t>
  </si>
  <si>
    <t>Waseem Baloch Langov s/o Abdul Rehman Baloch Langov</t>
  </si>
  <si>
    <t>Abdul Rehman Baloch Langov, r/o Zahri Street, Hub Choki, Balochistan. (Mobile No. 0333-3907831).</t>
  </si>
  <si>
    <t>51503-8426876-1</t>
  </si>
  <si>
    <t>8434 -B</t>
  </si>
  <si>
    <t>Ali Imran s/o Qarban Hussain</t>
  </si>
  <si>
    <t>Mst. Azra w/o Ali Imran, r/o (c/o Arsal) Jinnah Town, Kalye Barat, Iman Homes, Phase-2, Near Ashraf Genral Store, Quetta. (Mobile No. 0333-3572153).</t>
  </si>
  <si>
    <t>54400-1744736-9</t>
  </si>
  <si>
    <t>Balochisan/ Quetta</t>
  </si>
  <si>
    <t>8435 -P</t>
  </si>
  <si>
    <t>Muhammad Imran Razeeq s/o Muhammad Razeeq Khan</t>
  </si>
  <si>
    <t>Irfan Razeeq, r/o Lalaruk Colony, Chakri Road, Bani Stop, Dhmial Camp, Rawalpindi. (Mobile No. 0335-9748338 &amp; 0346-5169476).</t>
  </si>
  <si>
    <t>37405-3198098-3</t>
  </si>
  <si>
    <t>8436 -S</t>
  </si>
  <si>
    <t>Saddam Hussain s/o Sada Bukhsh Shar</t>
  </si>
  <si>
    <t>Sada Bukhsh Shar, r/o Goth Ghandu Khan, (Marfat Akbar Shopkeeper of Cloth Shop) Near Police Station Faizghang, District Khairpur Miras, Sindh. (Mobile No. 0323-3548633).</t>
  </si>
  <si>
    <t>45201-6316295-9</t>
  </si>
  <si>
    <t>Khairpur/ Sindh</t>
  </si>
  <si>
    <t>8437 -K</t>
  </si>
  <si>
    <t>Asal Badshah s/o Aqal Badshah</t>
  </si>
  <si>
    <t>Mst. Aqalbaz Bibi, r/o Aqa Khel, Tapa Margat Khel, Kandi Dalil Khel, Mayluwat, Tehsil Barah, District Khyber. (Mobile No. 0305-9513463 &amp; 0322-5047684).</t>
  </si>
  <si>
    <t>8438 -K</t>
  </si>
  <si>
    <t>Ijaz s/o Haji Nawab</t>
  </si>
  <si>
    <t>Mst. Shan Bibi w/o Haji Nawab, r/o Saknan, Qoyam Aka Khel, Mada Khel, Kandi Zoli Khel, Sama Gahri Maelwat, Tehsil Barah, District Khyber. (Mobile No. 0333-4245077)</t>
  </si>
  <si>
    <t>21201-2148512-4
 Mother CNIC</t>
  </si>
  <si>
    <t>8439 -K</t>
  </si>
  <si>
    <t>Saeed Nazeem s/o Haji Nawab</t>
  </si>
  <si>
    <t>8440 -B</t>
  </si>
  <si>
    <t>Sikandar Khan s/o Peer Bukhsh</t>
  </si>
  <si>
    <t>Muhammad Iqbal, r/o Kalye Goharabad, Saryab, Mestung Road, Near Sheikh Khlifa bin Ziyad Hospital, Quetta. (Mobile No. 0336-6057801 &amp; 0301-3744937).</t>
  </si>
  <si>
    <t>54400-8073041-1</t>
  </si>
  <si>
    <t>FIR No. 11/22, dated 02/02/2022, u/s 365 PPC, P.S New Saryab, Quetta.</t>
  </si>
  <si>
    <t>Traced Person. Sikandar Khan s/o Pir Bakhsh entered appearance before the Commission on 24.3.2022 whose statement was recorded on oath in which he deposed that he was abducted in front of his house, blindfolded by 3/4 persons, who came in a 2-OD car and kept at some unknown place in as small room that he was set free after 45 days at Quetta Bazzar. Hence no further action is required. The case is closed.</t>
  </si>
  <si>
    <t>8441 -K</t>
  </si>
  <si>
    <t>Shoaib Khan s/o Muhammad Ayub Khan</t>
  </si>
  <si>
    <t>Muhammad Ayub Khan, r/o Boshera, Parachinar, District Upper Kurram. (Mobile No. 0302-5538221 &amp; 0304-9398609).</t>
  </si>
  <si>
    <t>21303-6708835-5</t>
  </si>
  <si>
    <t>Traced Person. Rep of MI furnished report at the hearing on 28.4.2022 that Shoaib Khan was confined in Internment Centre Lakki Marwat. Family members of Shoaib Khan shall be facilitated to see him in the Internment Centre Lakki Marwat as per rules and procdures. No further action is required. The case is closed.</t>
  </si>
  <si>
    <t>8442 -K</t>
  </si>
  <si>
    <t>Sulman s/o Hayat Ullah</t>
  </si>
  <si>
    <t>Nazmeen Khan, r/o Badan Kalye Shah, Tehsil Mamond, District Bajur. (Mobile No. 0301-2032872).</t>
  </si>
  <si>
    <t>21104-3312884-1
 Grand Father CNIC</t>
  </si>
  <si>
    <t>Traced Person. Rep of MI and father of Suleman confirmed at the hearing on 19.4.2022 that Suleman is confined in Internment Centre Khar, Bajaur. No further action is required. The case is closed.</t>
  </si>
  <si>
    <t>8443 -K</t>
  </si>
  <si>
    <t>Nasrullah s/o Hayat Ullah</t>
  </si>
  <si>
    <t>Traced Person. Rep of MI appeared before the Commission on 09.5.2022 and submitted report that Nasrullah was confined in Internment Centre at Khar District Bajur under Actions (in aid of Civil Power) Regulations, 2011. Family member shall be facilitated to see him in the Internment Centre as per rules and procedures.</t>
  </si>
  <si>
    <t>8444 -K</t>
  </si>
  <si>
    <t>Yaseen Khan s/o Mirza Gul Khan</t>
  </si>
  <si>
    <t>Mirza Gul Khan, r/o IDPs Camp, Baka Khel, District Bannu. (Mobile No. 0334-5931685).</t>
  </si>
  <si>
    <t>21501-5447710-7
 Father CNIC</t>
  </si>
  <si>
    <t>Traced Person. SP (Inv), Bannu appeared before the Commission on 27.5.2022 and his statement was recorded on oath. He produced written statement of Mirza Gul Khan which confirms that Yaseen Khan was confined in Internment Centre Lakki Marwat. Family had already met in the aforesaid Internment Centre. Hence no further action is required. The case is closed.</t>
  </si>
  <si>
    <t>8445 -S</t>
  </si>
  <si>
    <t>Sohail s/o Ghulam Haider</t>
  </si>
  <si>
    <t>Ghulam Haider, r/o House No. G-28, Marza Parha, Phlali, Hydrabad, Sindh. (Mobile No. 0315-3254107).</t>
  </si>
  <si>
    <t>Hydrabad/ Sindh</t>
  </si>
  <si>
    <t>8446 -K</t>
  </si>
  <si>
    <t>Riaz Ahmed s/o Abdul Nabi</t>
  </si>
  <si>
    <t>Karan Baloch, r/o Kale Sultanabad, Sia Hozai, Tehsil Lasmia, District Washuk. (Mobile No. 0333-7758553 &amp; 0333-0515401).</t>
  </si>
  <si>
    <t>51703-0346912-3</t>
  </si>
  <si>
    <t>Balochistan/ Washuk</t>
  </si>
  <si>
    <t>8447 -K</t>
  </si>
  <si>
    <t>Mehtab Ullah s/o Laiq Sultan</t>
  </si>
  <si>
    <t>Rashid Ullah s/o Laiq Sultan, r/o P.O Mir Ali, Hassu Khel, Tehsil Mir Ali, District North Waziristan. (Mobile No. 0300-5820791 &amp; 0334-4244321).</t>
  </si>
  <si>
    <t>21505-6680236-3</t>
  </si>
  <si>
    <t>Traced Person. Rasheed Ullah Brother of Mehtab Ullah appeared before the Commission on 19.4.2022 and deposed in his statement that he met his brother Methab Ullah in the Internment Centre, Lakki Marwat on 22.3.2022. Rep of MI also confirmed. No further action is required. The case is closed.</t>
  </si>
  <si>
    <t>FATA/ NW</t>
  </si>
  <si>
    <t>8448 -K</t>
  </si>
  <si>
    <t>Jahan Zaib s/o Naik Salam</t>
  </si>
  <si>
    <t>Safdar Ayub, r/o Mando Khel, P.O Datta Khel, District North Waziristan. (Mobile No. 0301-8989336 &amp; 0335-1432002)</t>
  </si>
  <si>
    <t>21501-1962997-5</t>
  </si>
  <si>
    <t>Traced Person. Accordingly, to the report submitted by Rep of MI at the hearing held on 19.4.2022, Jahan Zeb is confined in Internment Centre Khar District, Bajaur. Complainant who was also present at the hearing confirmed his meeting with Jahan Zeb. No further action is required. The case is closed.</t>
  </si>
  <si>
    <t>8449 -B</t>
  </si>
  <si>
    <t>Nayaz Muhammad</t>
  </si>
  <si>
    <t>New Kahan Quetta</t>
  </si>
  <si>
    <t>Traced Person. Nayaz Muhammad s/o Khair Muhammad has appeared in person whose statement has been recorded on oath. According to him he was abducted during the year 2016 and released after 3 years and 4 months. He stated that he was taken in the vehicle by the persons whose faces were muffled, therefore, he did not identity them. Accordingly, no further action is required. The case is closed.</t>
  </si>
  <si>
    <t>8450 -B</t>
  </si>
  <si>
    <t>Behram Khan s/o Mir Hamza</t>
  </si>
  <si>
    <t>Kharot Abad Quetta</t>
  </si>
  <si>
    <t>Traced Person. Behram Khan s/o Mir Hamza has appeared in person whose statement has been recorded on oath. According to him he was picked up and taken away from his house situated in Kharot Abad during the year of 2011 by two persons. He further stated that during period of detention he was interrogated and released during the year 2013. According to him he did not identify those persons whose faces were muffled. He has also added that his statement was also recorded by the magistrate. Hence, the case is closed.</t>
  </si>
  <si>
    <t>8451 -S</t>
  </si>
  <si>
    <t>Idrees Khan s/o Ghulab</t>
  </si>
  <si>
    <t>Najeeb Ullah, r/o P.O Inyat Kilay, Tehsil Mohmand, District Bajur. (Mobile No. 0300-9535847 &amp; 0307-5433707)</t>
  </si>
  <si>
    <t>8452 -P</t>
  </si>
  <si>
    <t>Zafar Iqbal s/o Mian Muhammad Aslam</t>
  </si>
  <si>
    <t>Allah Ditta, r/o 208,209, 210 Mian Service Road, I-10/3, Islamabad. (Mobile No. 0331-8624009)</t>
  </si>
  <si>
    <t>32102-5976769-9</t>
  </si>
  <si>
    <t>8453 -B</t>
  </si>
  <si>
    <t>Faiz Ullah Marri s/o Laka Marri</t>
  </si>
  <si>
    <t>Marri Music Hazar Ganji</t>
  </si>
  <si>
    <t>Traced Person. SP, Quaid Abad Quetta appeared before the Commission on 15.2.2022 and submitted report. Faiz Ullah Marri also appeared in person whose statement was recorded on oath in which he stated that he was abducted during the year 2009 by two persons who were in civvies taken to some unknown place and was released during the year 2011. Hence no further action is required. The case is closed.</t>
  </si>
  <si>
    <t>8454 -B</t>
  </si>
  <si>
    <t>Jalat Khan s/o Amir Khan Marri</t>
  </si>
  <si>
    <t>Truck Stand Hazar Ganji</t>
  </si>
  <si>
    <t>Hence no further action is required. The case is closed.</t>
  </si>
  <si>
    <t>8455 -B</t>
  </si>
  <si>
    <t>Mir Sameeullah Anqa s/o Mir Nusrat Hussain Anqa</t>
  </si>
  <si>
    <t>Shah Zaman Road Quetta</t>
  </si>
  <si>
    <t>Traced Person. SP Quaid Abad, Quetta appeared before the Commission on behalf of SSP Inv Quetta, whose statement was recorded on oath. He produced copy of letter dated 23.4.2016 of the Commission through which the instant case was disposed off by the Commission. The instant case is also closed as the circumstance are identical. Hence no further action is required. The case is closed.</t>
  </si>
  <si>
    <t>8456 -B</t>
  </si>
  <si>
    <t>Shabeer Ahmed s/o Rasheed</t>
  </si>
  <si>
    <t>Shal Kot Quetta</t>
  </si>
  <si>
    <t>Deleted. SP Quaid Abad, Quetta appeared before the Commission on behalf of SSP Inv Quetta, whose statement was recorded on oath. He produced copy of letter dated 5.11.2019 dated 15.11.2019 through which the case was deleted. Hence, the instant case is disposed of being similar to the earlier one.</t>
  </si>
  <si>
    <t>8457 -B</t>
  </si>
  <si>
    <t>Muhammad Hassan Baloch s/o Abdul Rehman</t>
  </si>
  <si>
    <t>Traced Person. SP Quaid Abad, Quetta appeared before the Commission whose statement was recorded on oath. He produced statement of Muhammad Hassan Baloch recorded u/s 161 CrPC. Muhammad Hassan Baloch has also appeared in person whose statement was also recorded on oath in which he deposed that he was abducted during the year of 2009 by 4/5 persons who were in civvies and taken to some unknown place that he was released during the year of 2011. Hence no further action is required. The case is closed.</t>
  </si>
  <si>
    <t>8458-B</t>
  </si>
  <si>
    <t>Deleted. SP Quaid Abad, Quetta appeared on behalf of SSP Inv, Quetta whose statement was recorded on oath in which he deposed that the instant case was disposed by the Commission on 24.10.2016 being not a case of enforced disappearance. Hence, no further action is required the instant case is closed as well as circumstance are identical.</t>
  </si>
  <si>
    <t>8459 -B</t>
  </si>
  <si>
    <t>Safar Khan s/o Alam Khan</t>
  </si>
  <si>
    <t>Traced Person. SP Quaid Abad Quetta appeared on 15.2.2022 on behalf of SSP Inv, Quetta whose statement was recorded on oath in which he stated that Safar Khan s/o Alam Khan was traced as returned home. Hence no further action is required. The case is closed.</t>
  </si>
  <si>
    <t>8460 -B</t>
  </si>
  <si>
    <t>Deleted. SP Quaid Abad Quetta appeared before the Commission on 15.2.2021 on behalf of SP Inv, Quetta and his statement was recorded on oath. That the case was already closed by the Commission on 2018. Hence no further action is required. The case is closed.</t>
  </si>
  <si>
    <t>8461 -B</t>
  </si>
  <si>
    <t>Nasir Khan Mari s/o Abdul Ghafoor</t>
  </si>
  <si>
    <t>Togi Road Quetta</t>
  </si>
  <si>
    <t>Traced Person SP Quaid Abad, Quetta appeared before the Commission on 15.2.2022 on behalf of SSP Inv, Quetta whose statement was recorded in which he stated and produced copies of statement of Nasir Khan Marri s/o Abdul Ghafoor recorded u/s 161 CrPC to the effect that the case was closed by the Commission on earlier. Hence no further action is required. The case is closed.</t>
  </si>
  <si>
    <t>8462 -B</t>
  </si>
  <si>
    <t>Dr. Wazir Khan Marri</t>
  </si>
  <si>
    <t>Government Hospital Harmai Town Balochistan</t>
  </si>
  <si>
    <t>Traced Person. SP Quaid Abad, Quetta appeared before the Commission on 21.2.2022 on behalf of SSP Inv, Quetta whose statement was recorded in which he stated Dr. Wazir Khan Marri was resident of Harnai. That was disappeared was 29.11.2011. Later he was released after 4/5 months. Hence no further action is required. The case is closed.</t>
  </si>
  <si>
    <t>8463 -B</t>
  </si>
  <si>
    <t>Shah Nawaz Marri s/o Nazar Muhammad</t>
  </si>
  <si>
    <t>Hazar Ganji Market</t>
  </si>
  <si>
    <t>Traced Person. SP Quaid Abad, Quetta appeared before the Commission on 21.2.2022 on behalf of SSP Inv, Quetta whose statement was recorded in which he stated that Shah Nawaz Marri s/o Nazar Muhammad was traced as returned home. He also produced statement of Shadi Khan. Hence no further action is required. The case is closed.</t>
  </si>
  <si>
    <t>28th February, 2022</t>
  </si>
  <si>
    <t>8464 -K</t>
  </si>
  <si>
    <t>Muhammad Riaz s/o Tilawat Khan</t>
  </si>
  <si>
    <t>Tilawat Khan, r/o Ashu Khel, Ameer Khel, Ali Mast, P.O Sher Kehra, FR Peshawar. (Mobile No. 0349-9090542 &amp; 0307-2350549).</t>
  </si>
  <si>
    <t>01st March, 2022</t>
  </si>
  <si>
    <t>8465 -K</t>
  </si>
  <si>
    <t>Wali Muhammad Khan s/o Dost Muhammad Khan</t>
  </si>
  <si>
    <t>00/00/2009</t>
  </si>
  <si>
    <t>Dost Muhammad Khan, r/o Koza Palu Manyar, Tehsil &amp; District Swat, KPK. (Mobile No. 0308-5601485 &amp; 0341-8222615 &amp; 0345-4077352).</t>
  </si>
  <si>
    <t>15602-0524894-3</t>
  </si>
  <si>
    <t>8466 -S</t>
  </si>
  <si>
    <t>Abdul Hafeez Muhammad Ramzan</t>
  </si>
  <si>
    <t>Abdul Hafeez Muhammad Ramzan, r/o Amna Bulding -402, International City 2 Al Warsan 4, Dubai, UEA.</t>
  </si>
  <si>
    <t>AX6511922</t>
  </si>
  <si>
    <t>Traced Person. It was informed at the hearing held in this Commission on 23.5.2022 at Regional Office, Karachi. He was involved in criminal case vide FIR No. 20/22 and 21/22 dated 31.3.2022. family of Abdul Hafeez has been informed accordingly. Hence no further action is required. The case is closed.</t>
  </si>
  <si>
    <t>8467 -K</t>
  </si>
  <si>
    <t>Umar Ali s/o Marjan Ali</t>
  </si>
  <si>
    <t>Usman Ali, Khuga Khel, Shinwar, Tehsil Landikotal, District Khyber. (Mobile No. 0306-8328117)</t>
  </si>
  <si>
    <t>21203-7473692-7</t>
  </si>
  <si>
    <t>8468 -P</t>
  </si>
  <si>
    <t>Raees Saleem s/o Saleem</t>
  </si>
  <si>
    <t>Saleem, P.O Hajera, Tehsil Hajera, District Poonch (Mobile No. 0355-6006010 &amp; 0345-6120918)</t>
  </si>
  <si>
    <t>Traced Person. Muhammad Saim father of Raees Salim (Traced Person) appeared before the Commission on 13.4.2022 and deposed that in his statement that his son had returned home on 20.3.2022. No further action is required. The case is closed.</t>
  </si>
  <si>
    <t>8469 -K</t>
  </si>
  <si>
    <t>Rehman Ullah s/o Abdul Khaliq</t>
  </si>
  <si>
    <t>Rehmat Ullah, GT Road, Post Office Tarnab Farm, Jugal Pura, Tehsil &amp; District Peshawar. (Mobile No. 0345-9710921)</t>
  </si>
  <si>
    <t>17301-2191906-9</t>
  </si>
  <si>
    <t>8470 -I</t>
  </si>
  <si>
    <t>Mirda Ali Khan s/o Zarda Ali Khan</t>
  </si>
  <si>
    <t>Zubair Khan, Taxila Sarai Allah wali Masjid Pardane Wala Khajoori Wala, Tehsil Taxila, District Rawalpindi. (Mobile No. 0300-0991933 &amp; 0310-8739699)</t>
  </si>
  <si>
    <t>21403-5373561-5</t>
  </si>
  <si>
    <t>Traced Person. Mirda Ali Khan had been traced. He has returned home. Zubair Khan complainant is present, whose statement was recorded on oath in which he deposed that previously Mirda Ali Khan was confine in Mardan Jail and after getting bail, he returned home. No further action is required. The case is closed.</t>
  </si>
  <si>
    <t>8471 -P</t>
  </si>
  <si>
    <t>Ghulam Mustafa s/o Muhammad Ibrahim</t>
  </si>
  <si>
    <t>Rahila Mustafa, House No. 22, Gali No. 8, Mohalla Rehmania Colony Near Dola Chowk Shahab Town, Lahore. (Mobile No. 0300-0623217 &amp; 0344-4397550)</t>
  </si>
  <si>
    <t>35202-2550926-3</t>
  </si>
  <si>
    <t>8472-K</t>
  </si>
  <si>
    <t>Khanem Ullah s/o Shamshal</t>
  </si>
  <si>
    <t>Ehsan Gul, r/o Ali Masjid, Tehsil Jamrud. District Khyber. (Mobile No. 0301-5915115)</t>
  </si>
  <si>
    <t>21202-4941275-1</t>
  </si>
  <si>
    <t>8473-K</t>
  </si>
  <si>
    <t>Wahid Ullah s/o Sawal Faqeer</t>
  </si>
  <si>
    <t>02.01.2022</t>
  </si>
  <si>
    <t>Deen Muhammad, r/o Village Machine Kor, Mohallah Fazal Kor, District Nowshera. (Mobile No. 0344-8424970)</t>
  </si>
  <si>
    <t>8474-K</t>
  </si>
  <si>
    <t>Amjad s/o Arif Khan</t>
  </si>
  <si>
    <t>Ismail Khan, r/o Yousaf Khel, Tehsil Upper Mohmand. (Mobile No.0348-5455432)</t>
  </si>
  <si>
    <t>42401-0807694-1</t>
  </si>
  <si>
    <t>8475-S</t>
  </si>
  <si>
    <t>Abdul Jaleel s/o Arif Khan</t>
  </si>
  <si>
    <t>Zairyat Gul, r/o House No. 330, Street No. 06, Block No. 04, Gulshan, Sikandarabad, Karachi. (Mobile No. 0314-8002553&amp; 0348-2465657)</t>
  </si>
  <si>
    <t>17301-4112978-5</t>
  </si>
  <si>
    <t>8476-S</t>
  </si>
  <si>
    <t>Sami Ullah s/o Usman Khan</t>
  </si>
  <si>
    <t>21406-5293557-3</t>
  </si>
  <si>
    <t>8477-B</t>
  </si>
  <si>
    <t>Izat Ullah s/o Mullah Habib Ullah</t>
  </si>
  <si>
    <t>Gul Muhammad, r/o Muslim Itthead Colon, Satellite Town, Quetta. (Mobile No. 0345-8322749)</t>
  </si>
  <si>
    <t>8478-B</t>
  </si>
  <si>
    <t>Naqeeb Ullah s/o Saad Ullah Hamdani</t>
  </si>
  <si>
    <t>Mst. Kulsoom Bibi, r/o Sahleni Colony, Mach. (Mobile No. 0333-3876523)</t>
  </si>
  <si>
    <t>8479-B</t>
  </si>
  <si>
    <t>Bashir Ahmed s/o Gul Muhammad</t>
  </si>
  <si>
    <t>Sana Ullah, r/o Hkuli Qadiarabad, Tehsil Noshki. (Mobile. No. 0333-2038119 &amp; 0331-3383562)</t>
  </si>
  <si>
    <t>54102-5482887-5</t>
  </si>
  <si>
    <t>8480-K</t>
  </si>
  <si>
    <t>Sadique Rehman @ Malangi s/o Meer Nawaz</t>
  </si>
  <si>
    <t>Haji Samteraz, r/o Eidak, Tehsil; Mir Ali, District North Waziristan, KPK. (Mobile No. 0320-9338542 &amp; 0305-7090999 &amp; 0928-220532).</t>
  </si>
  <si>
    <t>21505-5320800-3</t>
  </si>
  <si>
    <t>FATA/ NWD</t>
  </si>
  <si>
    <t>8481-K</t>
  </si>
  <si>
    <t>Barkat Ali s/o Shaib Lali</t>
  </si>
  <si>
    <t>Mst. Tasleem Baighum, r/o Village Seya Khan Pur, Umar Ali Shopkeeper, Tehsil Adenzai, District Lower Dir. (Mobile No. 0345-9291421).</t>
  </si>
  <si>
    <t>8482-K</t>
  </si>
  <si>
    <t>Zahid Ullah s/o Malayk Khan</t>
  </si>
  <si>
    <t>Sharyat Ullah, r/o Shaga Bangish Khel, P.O Ladha, District South Waziristan, KPK. (Mobile No. 0344-0987124 &amp; 0332-3192030).</t>
  </si>
  <si>
    <t>8483-P</t>
  </si>
  <si>
    <t>Minazar Sarfraz s/o Muhammad Sarfraz Khan</t>
  </si>
  <si>
    <t>Muhammad Sarfraz Khan, r/o Kafal Gari, P.O Mang Bahri, Tehsil Yarhi Ghil, District Bagh, AJK. (Mobile No. 0346-5415748)</t>
  </si>
  <si>
    <t>82101-9161775-5</t>
  </si>
  <si>
    <t>8484-K</t>
  </si>
  <si>
    <t>Muhammad Bilal s/o Abdul Mateen</t>
  </si>
  <si>
    <t>Abdul Mateen, r/o Kamala Kot, Najeebullah, Hattar Road, Tehsil and District Haripur. (Mobile No. 0301-8147491 &amp; 0340-1192840).</t>
  </si>
  <si>
    <t>Mansehra</t>
  </si>
  <si>
    <t>8485-K</t>
  </si>
  <si>
    <t>Aman Khan s/o Chamnaye</t>
  </si>
  <si>
    <t>Chamnaye, r/o Bakshu Pul, New Ghari, Mansoorabad, Peshawar. (Mobile No. 0331-5499835 &amp; 0342-0192427).</t>
  </si>
  <si>
    <t>21406-0414816-5</t>
  </si>
  <si>
    <t>8486-K</t>
  </si>
  <si>
    <t>Mustafa Gul s/o Gujjar</t>
  </si>
  <si>
    <t>Ehsan Ullah, r/o Shakar Ghundi, Meer Saeed Kor, P.O Yaka Gund, Yopi Kor, Tehsil Pindyali, District Mohmand. (Mobile No. 0302-8811396).</t>
  </si>
  <si>
    <t>Traced Person. Mustafa Gul entered appearance before the Commission on 20.5.2022 at Islamabad. His statement was recorded on oath according to which he was arrested by Police and Government functionaries. After 9/10 days he returned home.Hence, not a case of enforced disappearance. The case is closed.</t>
  </si>
  <si>
    <t>8487-K</t>
  </si>
  <si>
    <t>Saif Ullah s/o Sultan Muhammad</t>
  </si>
  <si>
    <t>Traced Person. Saif Ullah appeared before the Commission on 20.5.2022 and his statement was recorded on oath. He was arrested in case FIR No. 16 dated 7.3.2022 u/s 395/436/427/148/149 PPC PS Pandyali. Later, he was granted bail by Court of Law and he was released. No further action is required. The case is closed.</t>
  </si>
  <si>
    <t>8488-K</t>
  </si>
  <si>
    <t>Taj Muhammad s/o Rasool</t>
  </si>
  <si>
    <t>8489-K</t>
  </si>
  <si>
    <t>Wazir s/o Abdul Hakeem</t>
  </si>
  <si>
    <t>Traced Person. Wazir appeared before the Commission on 20.5.2022 and his statement was recorded on oath. He was arrested in case FIR No. 16 dated 7.3.2022 u/s 395/436/427/148/149 PPC PS Pandyali. Later, he was granted bail by Court of Law and he was released. No further action is required. The case is closed.</t>
  </si>
  <si>
    <t>8490-K</t>
  </si>
  <si>
    <t>Ajmal Khan s/o Taj Muhammad</t>
  </si>
  <si>
    <t>Traced Person. Ajmal Khan appeared before the Commission on 26.5.2022 and his statement was recorded on oath. He was arrested in case FIR No. 16 dated 7.3.2022 u/s 395/436/427/148/149 PPC PS Pandyali. Later, he was granted bail by Court of Law and he was released. No further action is required. The case is closed.</t>
  </si>
  <si>
    <t>8491-K</t>
  </si>
  <si>
    <t>Sher Zaman s/o Dolat</t>
  </si>
  <si>
    <t>8492-K</t>
  </si>
  <si>
    <t>Ehsan Ullah s/o Rehmat Gul</t>
  </si>
  <si>
    <t>Mst. Rukia Bibi w/o Rehmat Gul, r/o Rehmanabad, Nowaye Kalye, Tehsil Khar, District Bajaur. (Mobile No. 0317-8800881).</t>
  </si>
  <si>
    <t>8493-S</t>
  </si>
  <si>
    <t>Ahsan Ali Shah s/o Noor-udoDin</t>
  </si>
  <si>
    <t>Muhammad Mohsin, r/o House No. 1/1547, Shah Faisal Colony No. 01, P.S Shah Faisal, Karachi. (Mobile No. 0334-3305726).</t>
  </si>
  <si>
    <t>Traced Person. It was informed at the hearing held in this Commission on 20.4.2022 that Ahsan Ali Shah had returned to home. In this connection, SDPO, Shah Faisal Colony, Karachi submitted copy of statement of the Traced Person recorded u/s 164 CrPC. No further action is required. The case is closed.</t>
  </si>
  <si>
    <t>8494-S</t>
  </si>
  <si>
    <t>Muhammad Anas s/o Hashim</t>
  </si>
  <si>
    <t>Traced Person. It was informed at the hearing held in this Commission on 20.4.2022 that Muhammad Anas s/o Hashim had returned to home. In this connection, SDPO, Shah Faisal Colony, Karachi submitted copy of statement of the Traced Person recorded u/s 164 CrPC. No further action is required. The case is closed.</t>
  </si>
  <si>
    <t>8495-B</t>
  </si>
  <si>
    <t>Mitha Khan Marri Baloch s/o Kabal Khan Marri Baloch</t>
  </si>
  <si>
    <t>Mandu Khan Marri Baloch, r/o Kaye Shahnawaz, Mill Scheme,Saryab Road, Quetta. (Mobile No. 0336-3248975)</t>
  </si>
  <si>
    <t>55202-4852286-1</t>
  </si>
  <si>
    <t>8496-K</t>
  </si>
  <si>
    <t>Muhammad Haris Nawaz s/o Sardar Nawaz Khan</t>
  </si>
  <si>
    <t>Sardar Nawaz Khan, r/o Mohalla Bilalabad, Mohsin Khel, District Lakki Marwat. (Mobile No. 0315-1930819)</t>
  </si>
  <si>
    <t>11201-8412821-3</t>
  </si>
  <si>
    <t>Traced Person. Sardar Nawaz Khan f/o Muhammad Hairs Nawaz appeared before the Commission on 23.5.2022 and his statement was recorded on oath in which he deposed that his son Muhammad Haris Nawaz was abducted from his home on 7.1.2022 by a raiding party of CTD. Muhammad Haris Nawaz was confined at Bannu Cantt Thana and was shifted to Mandan Thana where he was kept for 2/3 days. After obtaining bail from ATC Court Muhammad Haris Nawaz he returned home on 21.5.2022 .Hence no further action is required. The case is closed.</t>
  </si>
  <si>
    <t>8497-K</t>
  </si>
  <si>
    <t>Muhammad Zubair Nawaz s/o Sardar Nawaz Khan</t>
  </si>
  <si>
    <t>11201-0406174-7
 Father CNIC</t>
  </si>
  <si>
    <t>Traced Person. Sardar Nawaz Khan f/o Muhammad Zubair Nawaz appeared before the Commission on 23.5.2022 his statement was recorded on oath in which he deposed that his son Muhammad Zubair Nawaz was abducted from his home and he returned home after 11 days. Hence no further action is required. The case is closed.</t>
  </si>
  <si>
    <t>8498-K</t>
  </si>
  <si>
    <t>Kaleem Ullah s/o Noor Badshah</t>
  </si>
  <si>
    <t>Noor Badshah, r/o Mohalla Mohsin Khel, Near Haigh Secondry School Lakki Marwat, District Lakki Marwat. (Mobile No. 0315-1930819).</t>
  </si>
  <si>
    <t>11201-5107184-3</t>
  </si>
  <si>
    <t>Traced Person. Noor Badshah f/o Kaleem Ullah appeared before the Commission on 23.5.2022 and his statement was recorded on oath in which he deposed that his son Kaleem Ullah was abducted by personnel of CTD from his shop on 7.1.2022. However, Kaleem Ullah returned home as a result of bail granted to him on 7.4.2022. Hence no further action is required. The case is closed.</t>
  </si>
  <si>
    <t>8499-B</t>
  </si>
  <si>
    <t>Muhammad Nabi Marri</t>
  </si>
  <si>
    <t>Traced Person. At the hearing held in this case on 1.3.2022 at Quetta, SP Quaid Abad Quetta informed that the incident occurred on 11.4.2012, while dead body of Muhammad Nabi Marri was found in the Maidan of Killa Firozabad, Sariab Road, Quetta as 28.5.20212. The dead body was handed over to legal heirs after issuance of death certificate by Medical Legal Officer. Hence no further action is required. The case is closed.</t>
  </si>
  <si>
    <t>Jamal-ud Dini PM Office</t>
  </si>
  <si>
    <t>8500-B</t>
  </si>
  <si>
    <t>Muhammad Khan Marri</t>
  </si>
  <si>
    <t>UTraced Person. At the hearing held in this case on 1.3.2022 at Quetta, SP Quaid Abad Quetta informed that the incident occurred on 11.4.2012, while dead body of Muhammad Khan Marri Marri was found in the Maidan of Killa Firozabad, Sariab Road, Quetta as 28.5.20212. The dead body was handed over to legal heirs after issuance of death certificate by Medical Legal Officer. Hence no further action is required. The case is closed.</t>
  </si>
  <si>
    <t>8501-B</t>
  </si>
  <si>
    <t>Haji Mehr Gul Marri</t>
  </si>
  <si>
    <t>Traced Person. Haji Mehr Marri appeared before the Commission whose statement was recorded on oath. According to him the persons who picked up and taken away could not be identify by him as their faces were muffled. SP , Qaid Abad submitted report that Mehr Gul Marri was picked up and taken away during the year 2013 by some unknown persons. Hence no further action is required. The case is closed.</t>
  </si>
  <si>
    <t>8502-B</t>
  </si>
  <si>
    <t>Lal Muhammad s/o Syed Khan</t>
  </si>
  <si>
    <t>Akram Hospital Quetta</t>
  </si>
  <si>
    <t>Deleted. SP Quaid Abad appeared before the Commission on 8.3.2022 whose statement was recorded on oath in which he stated that the case of Lal Muhammad s/o Syed Khan was closed by the Commission on 4.4.2016 vide ID No. 1702.BHence no further action is required. The case is closed.</t>
  </si>
  <si>
    <t>8503-B</t>
  </si>
  <si>
    <t>Mehrab Baloch s/o Shoukat</t>
  </si>
  <si>
    <t>Satellite Town Quetta City</t>
  </si>
  <si>
    <t>Traced Person. SP Qaid Abad Quetta appeared before the Commission whose statement was recorded on oath in which he stated that Mehrab Baloch s/o Shoukat who was abducted in the night of 2/3 December, 2012. He further stated that according to father of Mehrab Baloch his son returned home on 16.06.2016. No further action is required. The case is closed.</t>
  </si>
  <si>
    <t>8504-B</t>
  </si>
  <si>
    <t>Raza Khan s/o Meera Khan</t>
  </si>
  <si>
    <t>Traced Person. Raza Khan s/o Meera Khan appeared before the Commission on 10.3.2022 whose statement was recorded on oath. According to him the year 2014 he was picked up and taken away along with Meera Khan, Mustafa and Shah Bux at Hazar Ganji by 5-6 persons in vehicle. According to him he was taken away blinded folded and releases after 10 days. No further action is required. The case is closed.</t>
  </si>
  <si>
    <t>8505-B</t>
  </si>
  <si>
    <t>Panzo Marri</t>
  </si>
  <si>
    <t>Traced Person. Panzo Khan appeared before the Commission on 9.3.2022 in person. According to him he was abducted from Hazar Ganji blind folded. He further stated that he was released after 6 months. He did not identify those persons who took him away. No further action is required. The case is closed.</t>
  </si>
  <si>
    <t>8506-B</t>
  </si>
  <si>
    <t>Naseem s/o Muhammad Afzal</t>
  </si>
  <si>
    <t>Civil Line Thana Quetta</t>
  </si>
  <si>
    <t>Traced Person. Sain Naseem appeared before the Commission on 9.3.2022 and his statement was recorded on oath. SP Qaid Abad, Quetta also appeared on and submitted report that Said Dad was abducted during the year 2013 and he was released after 6 months. He had produced statement of Sain Dad.No further action is required. The case is closed.</t>
  </si>
  <si>
    <t>8507-B</t>
  </si>
  <si>
    <t>Sain Dad Marri</t>
  </si>
  <si>
    <t>Traced Person. Sain Dad Marri s/o Syed Gull appeared before the Commission on 9.3.2022 and his statement was recorded on oath. SP Qaid Abad, Quetta also appeared on and submitted report that Said Dad was abducted during the year 2013 and he was released after 6 months. He had produced statement of Sain Dad.No further action is required. The case is closed.</t>
  </si>
  <si>
    <t>8508-B</t>
  </si>
  <si>
    <t>Khuda Bux Marri</t>
  </si>
  <si>
    <t>Traced Person Manda Khan father of Khuda Bux appeared before the Commission on 8.3.2022 and his statement was recorded on oath. SP Qaid Abad, Quetta also appeared and submitted report that Khud Bux Marri was abducted during the year 2013 by some unknown persons and taken to some unknown place. No further action is required. The case is closed.</t>
  </si>
  <si>
    <t>8509-B</t>
  </si>
  <si>
    <t>Allah Yar Marri</t>
  </si>
  <si>
    <t>Traced Person. Allah Yar Marri appeared before the Commission on 8.3.2022 whose statement was recorded on oath. SP Qaid Abad, Quetta also appeared and submitted report that Allah Yar Marri was picked up and taken away during the year 2013 by some unknown persons. That he was released after 6 months in Marri Camp. He produced statement of Allah Yar Marri. No further action is required. The case is closed.</t>
  </si>
  <si>
    <t>8510-B</t>
  </si>
  <si>
    <t>Sabaz Ali Marri</t>
  </si>
  <si>
    <t>Traced Person. Sabaz Ali Marri appeared before the Commission on 8.3.2022 whose statement was recorded on oath. SP Qaid Abad, Quetta also appeared and submitted report that Sabaz Ali was abducted by unknown persons and released after 6 months. He has produced statement of Sabaz Ali Marri. No further action is required. The case is closed.</t>
  </si>
  <si>
    <t>8511-B</t>
  </si>
  <si>
    <t>Haider Khan Marri</t>
  </si>
  <si>
    <t>Traced Person. Haider Khan Marri appeared before the Commission on 8.3.2022 whose statement was recorded on oath. SP Qaid Abad, Quetta also appeared and submitted report that Haider Khan Marri was abducted by unknown persons in the year of 2013 and released after 6 months. No further action is required. The case is closed.</t>
  </si>
  <si>
    <t>8512-B</t>
  </si>
  <si>
    <t>Meera Khan s/o Barak</t>
  </si>
  <si>
    <t>Traced Person. Meera Khan appeared before the Commission on 10.3.2022 whose statement was recorded on oath. SP Qaid Abad, Quetta also appeared and submitted report that Meera Khan was abducted by unknown persons in the year of 2014 and released after 8-10 days. No further action is required. The case is closed.</t>
  </si>
  <si>
    <t>8513-B</t>
  </si>
  <si>
    <t>Mustafa s/o Azeem Khan</t>
  </si>
  <si>
    <t>Traced Person. Mustafa appeared before the Commission on 10.3.2022 whose statement was recorded on oath. SP Qaid Abad, Quetta also appeared and submitted report that Mustafa was abducted by unknown persons in the year of 2014 from Hazar Ganji and taken away to some unknown place and released after 10 days. No further action is required. The case is closed.</t>
  </si>
  <si>
    <t>8514-B</t>
  </si>
  <si>
    <t>Shah Bux s/o Dad Muhammad</t>
  </si>
  <si>
    <t>Traced Person. Shah Bux appeared before the Commission on 10.3.2022 whose statement was recorded on oath. SP Qaid Abad, Quetta also appeared and submitted report that Shah Bux was abducted by unknown persons in the year of 2014 from Hazar Ganji and taken away to some unknown place and released after 8-10 days. No further action is required. The case is closed.</t>
  </si>
  <si>
    <t>8515-B</t>
  </si>
  <si>
    <t>Abdul Khaliq s/o Ali Gul</t>
  </si>
  <si>
    <t>1/5/2016`</t>
  </si>
  <si>
    <t>Traced Person. Ali Gull appeared before the Commission on 11.3.2022 whose statement was recorded on oath. SP Qaid Abad, Quetta also appeared and submitted report that Abdul Khaliq was abducted by unknown persons in the year of 2016 and released after one month. No further action is required. The case is closed.</t>
  </si>
  <si>
    <t>8516-B</t>
  </si>
  <si>
    <t>Shambo Khan s/o Muhammad Ali</t>
  </si>
  <si>
    <t>Traced Person. Shambo Khan appeared before the Commission on 11.3.2022 whose statement was recorded on oath. SP Qaid Abad, Quetta also appeared and submitted report that Shambo Khan s/o Muhammad Ali was abducted by unknown persons in the year of 2016 by some unknown persons from Hazar Ganji and released after two and half months. No further action is required. The case is closed.</t>
  </si>
  <si>
    <t>8517-B</t>
  </si>
  <si>
    <t>Aziz Khan s/o Shair Khan Marri</t>
  </si>
  <si>
    <t>Traced Person. Aziz Khan appeared before the Commission on 11.3.2022 whose statement was recorded on oath. SP Qaid Abad, Quetta also appeared and submitted report that Aziz Khan was abducted by unknown persons in the year of 2.9.2016 by some unknown persons. He further added that he was released on 1.1.2017. No further action is required. The case is closed.</t>
  </si>
  <si>
    <t>8518-B</t>
  </si>
  <si>
    <t>Yaseen Bughti</t>
  </si>
  <si>
    <t>Sariab Road Quetta</t>
  </si>
  <si>
    <t>Traced Person. SP Qaid Abad appeared before the Commission on 11.3.2022 whose statement was recorded on oath. According to him in the instant case FIR 48/16 PS Sariab District Quetta was lodged on the report of Ghulam Rasool on 5/4/2016 u/s 365 PPC. He further submitted that the case was closed by the Commission on 27.10.2016 being not a case of enforced disappearance vide ID No. 3102-B as Yaseen Bughti was declared absconder in a criminal case . No further action is required. The case is closed.</t>
  </si>
  <si>
    <t>8519-B</t>
  </si>
  <si>
    <t>Ali Gul s/o Sobidar</t>
  </si>
  <si>
    <t>Traced Person. Ali Gul Sobidar appeared before the Commission on 11.3.2022 whose statement was recorded on oath. SP Qaid Abad Quetta also appeared and submitted report that Ali Gull was abducted during the year 2016 by some unknown persons taken to some unknown place. He further added that he was released after one month and three days. No further action is required. The case is closed.</t>
  </si>
  <si>
    <t>8520-B</t>
  </si>
  <si>
    <t>Muhammad Ali s/o Ghahe Khan</t>
  </si>
  <si>
    <t>Traced Person. Muhammad Ali appeared before the Commission on 11.3.2022 whose statement was recorded on oath. SP Qaid Abad, Quetta also appeared and submitted report that Muhammad Ali was abducted during year 2016 by some unknown persons from Hazar Ganji taken to some unknown place.No further action is required. The case is closed.</t>
  </si>
  <si>
    <t>8521-B</t>
  </si>
  <si>
    <t>Esa Khan Marri</t>
  </si>
  <si>
    <t>Traced Person. Esa Khan Marri appeared before the Commission on 11.3.2022 whose statement was recorded on oath. SP Qaid Abad, Quetta also appeared and submitted report that Esa Khan was abducted during the year 2016 by some unknown persons from Noshki and taken to some unknown place. No further action is required. The case is closed.</t>
  </si>
  <si>
    <t>8522-B</t>
  </si>
  <si>
    <t>Dr. Ameer Bux Baloch</t>
  </si>
  <si>
    <t>Sariab Road</t>
  </si>
  <si>
    <t>Traced Person. SP Qaid Abad, Quetta appeared before the Commission on 11.3.2022 whose statement was recorded on oath. According to him FIR No. 47/15 PS Sariab District Quetta was lodged on the report of Asif s/o Muhammad Bux on 15.4.2015 u/s 365 PPC. Dr. Amir Bux Baloch was released and his statement was recorded u/s 161 CrPC. No further action is required. The case is closed.</t>
  </si>
  <si>
    <t>8523-K</t>
  </si>
  <si>
    <t>Ayaz s/o Jumma Gul</t>
  </si>
  <si>
    <t>Mst. Shereen Zeba, r/o Mohalla Chalis Halu Sakna, wa Tehsil Char bAgh, District Swat. (0349-55575145 &amp; 0344-9675133 &amp; 0342-9726382).</t>
  </si>
  <si>
    <t>15602-9494461-8
 CNIC of Mother</t>
  </si>
  <si>
    <t>8524-K</t>
  </si>
  <si>
    <t>Eid Zada s/o Sahib Zada</t>
  </si>
  <si>
    <t>Hafeez Ullah, r/o Hundi Khel, Jani Khel, District Bannu. (Mobile No. 0331-5563765 &amp; 0308-9068140).</t>
  </si>
  <si>
    <t>11101-8342207-1</t>
  </si>
  <si>
    <t>Traced Person. SP (Inv), Bannu appeared before the Commission on 13.5.2022 and his statement was recorded on oath in which he has deposed that Eid Zada had been traced and he was presently at his home. He submitted copy of statement of Eid Zada recorded by SHO PS Janikhel confirming the aforesaid position. Hence no further action is required. The case is closed.</t>
  </si>
  <si>
    <t>8525-I</t>
  </si>
  <si>
    <t>Muhammad Faisal s/o Hafiz Muhammad Riaz</t>
  </si>
  <si>
    <t>Hafiz Muhammad Riaz, r/o Shaheen Commercial, Flat No. 48, Jinnah Garden, Islamabad. (Mobile No. 0312-5646909 &amp; 0301-5646909).</t>
  </si>
  <si>
    <t>61101-3564074-5</t>
  </si>
  <si>
    <t>8526-P</t>
  </si>
  <si>
    <t>Aman Ullah s/o Abdul Ghaffar</t>
  </si>
  <si>
    <t>Abdul Ghaffar, r/o Dhok Hassu, Mohalla Farooqia, Rawalpindi. (Mobile No. 0349-5464395).</t>
  </si>
  <si>
    <t>8527-K</t>
  </si>
  <si>
    <t>Saif-ud-Din s/o Sani Gul</t>
  </si>
  <si>
    <t>00/09/2021</t>
  </si>
  <si>
    <t>Mst, Farmina w/o Sani Gul, r/o P.O Boya, Villag Muhammad Khel, Tehsil Ditta Khel, District North Waziristan, KPK. (Mobile No. 0333-7771518).</t>
  </si>
  <si>
    <t>21501-2254461-0
 Mother CNIC</t>
  </si>
  <si>
    <t>Traced Person. Rep of Mi submitted report at the hearing on 24.5.2022 that Said-ud-Din was confined in the Internment Centre Lakki Marwat. SP (Inv) North Waziristan was also present who was directed to intimate family members of Saif-ud-Din as they shall be facilitated to see him in the Internment Centre Lakki Marwat as per rules and procedures.</t>
  </si>
  <si>
    <t>8528-S</t>
  </si>
  <si>
    <t>Muhammad Iltaf Albani s/o Abdul Aziz Albani</t>
  </si>
  <si>
    <t>Ammar Albani, r/o Street No. 04, Block 1-A, Gulistan Johar, District Karachi East. (Mobile No. 0311-8269126 &amp; 0344-8269126).</t>
  </si>
  <si>
    <t>42101-192383-3</t>
  </si>
  <si>
    <t>Traced Person. It was informed at the hearing held in this Commission on 19.4.2022 that Muhammad Iltaf Albani had returned to home. In this connection , SDPO Sharah-e-Faisal, Karachi submitted copy of statement of Anwar Albani (Brother) recorded u/s 164 CrPC. No further action is required. The case is closed.</t>
  </si>
  <si>
    <t>8529-K</t>
  </si>
  <si>
    <t>Ismail s/o Hakeem Khan</t>
  </si>
  <si>
    <t>Muhammad Rehman, r/o P.O Hari Chand Tehsil Tangi District Charsadda Jamalabad Farm Hari Chand. (Mobile No. 0348-6667257)</t>
  </si>
  <si>
    <t>17102-9421741-5</t>
  </si>
  <si>
    <t>8530-K</t>
  </si>
  <si>
    <t>Zakir Ullah s/o Nisar Ahmed</t>
  </si>
  <si>
    <t>Nisar Ahmed, r/o Hari Chand Bagh Mohalla Rai Mahal District Charsadda Tehsil Tangi P.O Hari Chand (Mobile No. 0345-9208310 &amp; 0345-9202030)</t>
  </si>
  <si>
    <t>17102-4407846-1</t>
  </si>
  <si>
    <t>8531-K</t>
  </si>
  <si>
    <t>Karamat Nawaz s/o Sher Nawaz Khan</t>
  </si>
  <si>
    <t>Sher Nawaz Khan, r/o Ashkari Ali Khel, District Kark Sabirabad. (Mobile No. 0332-5856426)</t>
  </si>
  <si>
    <t>8532-B</t>
  </si>
  <si>
    <t>Sari Ahmed Marri s/o Haibtan</t>
  </si>
  <si>
    <t>Saddar Bazar, Kohlu</t>
  </si>
  <si>
    <t>Traced Person. SP Kohlu appeared before the Commission on 14.3.2022 whose statement was recorded on oath in which he deposed that Sari Ahmed Marri s/o Haibtan could not be traced as he is not a resident of a area Kohlu. However, Wadera Shah Nawaz Tehsildar Kohlu also appeared who submitted that Sari Ahmed Marri was resident of Kohlu and presently at Hazar Ganji Quetta. The Said Ahmed also made appearance before the Commission. No further action is required. The case is closed.</t>
  </si>
  <si>
    <t>8533-B</t>
  </si>
  <si>
    <t>Ghulam Haider s/o Dewa Khan</t>
  </si>
  <si>
    <t>Traced Person. SP Qaid Abad Quetta appeared on behalf of SSP (Inv), Quetta whose statement was recorded on oath. According to him during the course of investigation Ghulam Haider was produced to PS Sariab Quetta by Sobidar Ahsan Ullah FIR No. 46/13 PS New Sariab. Ghulam Haider was trued by ATC-II Quetta and acquitted by the said Court on 29.12.2017. No further action is required. The case is closed.</t>
  </si>
  <si>
    <t>8534-B</t>
  </si>
  <si>
    <t>Buland Khan Bangulzai s/o Haji Abdul Wahid</t>
  </si>
  <si>
    <t>Hazar Ganji Quetta</t>
  </si>
  <si>
    <t>Traced Person. SP Qaid Abad Quetta appeared on behalf of SSP (Inv), Quetta whose statement was recorded on oath. According to him during the course of investigation Buland Khan Bangulzai was produced to PS Sariab Quetta by Sobidar Ahsan Ullah FIR No. 46/13 PS New Sariab. Buland Khan Bangulzai was tried by ATC-II Quetta and acquitted by the said Court on 29.12.2017.</t>
  </si>
  <si>
    <t>8535-B</t>
  </si>
  <si>
    <t>Traced Person. It has ben reported at the hearing held on 21.3.2022 that the case of Kaka Marri has already been disposed of on 26.1.2022 vide ID no. 8407-B. Accordingly the instant , case is closed.</t>
  </si>
  <si>
    <t>8536-K</t>
  </si>
  <si>
    <t>Ameer Muhammad s/o Niaz Muhammad</t>
  </si>
  <si>
    <t>Mst. Noor Jana, r/o Saplgah, P.O &amp; Tehsil Meeran Shah, District North Waziristan, KPK. (Mobile No. 0928-352362).</t>
  </si>
  <si>
    <t>21506-9358907-2</t>
  </si>
  <si>
    <t>NAB, KPK</t>
  </si>
  <si>
    <t>8537-K</t>
  </si>
  <si>
    <t>Inam Ullah Khalil s/o Muhammad Haneef Khalil</t>
  </si>
  <si>
    <t>Zain-ul-Abdian, r/o Ithad Road, Ithad Colony, Gali No. 12, Ring Road, Peshawar City. (Mobiloe No. 0345-9057871 &amp; 0310-5390449).</t>
  </si>
  <si>
    <t>17301-9879684-3</t>
  </si>
  <si>
    <t>8538-K</t>
  </si>
  <si>
    <t>Kamran s/o Taqdeer Shah</t>
  </si>
  <si>
    <t>Mst. Tasleema Bibi w/o Late Taqdeer Shah, r/o Tedi Bazar, Tehsil Jamrud, District Khyber, KPK. (Mobile No. 0301-8084185).</t>
  </si>
  <si>
    <t>21202-5016493-6</t>
  </si>
  <si>
    <t>8539-S</t>
  </si>
  <si>
    <t>Muhammad Zahid Khan s/o Malang</t>
  </si>
  <si>
    <t>Mst. Arifa w/o Muhammad Zahid Khan, r/o Village Juba Dandaye, P.O Dandaye, Tehsil Bisham, District Shangla. (Mobile No. 0341-0028136 &amp; 0345-5871788).</t>
  </si>
  <si>
    <t>41504-0430119-7</t>
  </si>
  <si>
    <t>Karachi/ Jamshoro</t>
  </si>
  <si>
    <t>31st March, 2022</t>
  </si>
  <si>
    <t>8540-K</t>
  </si>
  <si>
    <t>Muhammad Fayaz s/o Akbar Shah</t>
  </si>
  <si>
    <t>Bilal, r/o Mala Khel, P.O Sandu Khel, Habib Zai, Safi, District Mohmand. (0303-8355624).</t>
  </si>
  <si>
    <t>21405-6239623-5</t>
  </si>
  <si>
    <t>01st April, 2022</t>
  </si>
  <si>
    <t>8541-K</t>
  </si>
  <si>
    <t>Muhammad Noor s/o Eidar Jan</t>
  </si>
  <si>
    <t>Mayub Khan, r/o Mashki Town, Zafar Abad Colny, Dera Ismail Khan. (0304-1196211).</t>
  </si>
  <si>
    <t>8542-K</t>
  </si>
  <si>
    <t>Niaz Wali s/o Eidar Jan</t>
  </si>
  <si>
    <t>21702-5621452-1</t>
  </si>
  <si>
    <t>8543-K</t>
  </si>
  <si>
    <t>Gul Rehan s/o Eidar Jan</t>
  </si>
  <si>
    <t>21702-5272115-3</t>
  </si>
  <si>
    <t>8544-K</t>
  </si>
  <si>
    <t>Eidar Jan s/o Meer Salam Jan</t>
  </si>
  <si>
    <t>21702-9740489-1</t>
  </si>
  <si>
    <t>8545-K</t>
  </si>
  <si>
    <t>Ajmal Khan s/o Shamat Khan</t>
  </si>
  <si>
    <t>Noor Khan, r/o Chakri Road, Peer Mehar Ali Shah Town, Rawalpindi. (Mobile No. 0312-0950085 &amp; 0335-5101795).</t>
  </si>
  <si>
    <t>21105-2168966-1
 Brother CNIC</t>
  </si>
  <si>
    <t>8546-K</t>
  </si>
  <si>
    <t>Hayat Ullah s/o Zahir Ullah Jan</t>
  </si>
  <si>
    <t>00/00/2015</t>
  </si>
  <si>
    <t>Zahir Ullah Jan, r/o Qamar-ud-Din Khgel, Sandhu Khel, Safi, District Mohmand. (Mobile No. 0300-9097230 &amp; 0305-9019911).</t>
  </si>
  <si>
    <t>21405-0933610-1</t>
  </si>
  <si>
    <t>8547-B</t>
  </si>
  <si>
    <t>Said Zaman Shah s/o Abdul Ahmed</t>
  </si>
  <si>
    <t>Haji Muhammad, r/o Kale Malik Abdur Rehman, District Chagi, Balochistan. (Mobile No. 0335-2488159).</t>
  </si>
  <si>
    <t>54105-0339581-5</t>
  </si>
  <si>
    <t>Balochistan/ Chagi</t>
  </si>
  <si>
    <t>8548-B</t>
  </si>
  <si>
    <t>Hakmit Ullah s/o Ilam Khan</t>
  </si>
  <si>
    <t>Ilam Khan,r/o Kale Malik, Noor Muhammad Shadi Shaif, District Chagi. (Mobile No. 0334-4194589).</t>
  </si>
  <si>
    <t>54105-0342750-5</t>
  </si>
  <si>
    <t>8549-B</t>
  </si>
  <si>
    <t>Muhammad Nabi s/o Barfi</t>
  </si>
  <si>
    <t>54101-0126791-5</t>
  </si>
  <si>
    <t>8550-B</t>
  </si>
  <si>
    <t>Attique-ur-Rehman Baloch s/o Muhammad Ismail Baloch</t>
  </si>
  <si>
    <t>Muhammad Yousaf Lashari, r/o Kale Garibabad, Kalat, District Kalat, Balochistan. (Mobile No. 0333-3574447).</t>
  </si>
  <si>
    <t>51201-4459934-9</t>
  </si>
  <si>
    <t>Balochistan/ Khuzdar</t>
  </si>
  <si>
    <t>8551-K</t>
  </si>
  <si>
    <t>Kamran s/o ALLAH JAN</t>
  </si>
  <si>
    <t>Ali Gohar, r/o Village Balu, P.O Taru Jaba, Tehsil Pabi, District Nowshera. (Mobile No. 0302-8885588 &amp; 0333-9409080).</t>
  </si>
  <si>
    <t>8552-K</t>
  </si>
  <si>
    <t>Anwar s/o Peer Muhammad Khan</t>
  </si>
  <si>
    <t>Mst. Azra Bibi w/o Anwar, r/o Mohalla Usman Khel Kamber, Tehsil Babu Zai, District Swat, KPK. (Mobile No. 0342-0959694).</t>
  </si>
  <si>
    <t>15607-0593542-6</t>
  </si>
  <si>
    <t>8553-P</t>
  </si>
  <si>
    <t>Abdul Haq s/o Talal Muhammad</t>
  </si>
  <si>
    <t>Talal Muhammad, r/o House No. 27, Gali Num 05, Zia Masjid, Pindoria, Ishraf Town, Pindoria, Rawalpindi. (Mobile No. 0300-0515388).</t>
  </si>
  <si>
    <t>21105-6912003-1</t>
  </si>
  <si>
    <t>8554-B</t>
  </si>
  <si>
    <t>Abdul Hafeez s/o Haji Muhammad Hassan</t>
  </si>
  <si>
    <t>Haji Muhammad Hassan, r/o Mohalla Baghbana, Bajori, District Khusdar, Balochistan. (Mobile No. 0333-7970882 &amp; 0331-2681730).</t>
  </si>
  <si>
    <t>51401-4497041-3</t>
  </si>
  <si>
    <t>Traced Person. R.O, CTD and DSP (Inv) Nasir Abad entered appearance before the Commission at Quetta on 18.4.2022. It was informed that FIR No. 15/22 PS, CTD Nasir Abad u/s 4-5 EXP-7 11Fi 11 Fii-ATA was registered. On 16.3.2022 Abdul Hafeez s/o Muhammad Hassan was produced before the Special Judge ATC Usta Muhammad who remanded him in Police custody for 7 days. No further action is required. The case is closed.</t>
  </si>
  <si>
    <t>8555-S</t>
  </si>
  <si>
    <t>Luqman Khan s/o Arslan Khan</t>
  </si>
  <si>
    <t>Arslan Khan, r/o House No. E-117, Near Zakria Masjid, Ghazi Goth, Near Gate No 08, Ijtmah Gah, Mango Pir, Karachi. (Mobile No. 0300-7047370).</t>
  </si>
  <si>
    <t>42401-2645880-5</t>
  </si>
  <si>
    <t>8556-S</t>
  </si>
  <si>
    <t>Pervaiz Ali Sargani s/o Khair Muhammad</t>
  </si>
  <si>
    <t>Mst. Safia, r/o Gali No. 05, Near Azan School, Abdullah Goth, Bin qasim Town, Malir Karachi. (Mobile No. 0318-2662379).</t>
  </si>
  <si>
    <t>43201-5897597-1</t>
  </si>
  <si>
    <t>8557-P</t>
  </si>
  <si>
    <t>Haroon Nawaz s/o Shah Nawaz Khan</t>
  </si>
  <si>
    <t>Meer Naseer Ahmed, r/o Gulshan Town, Wadhat Colony, City Stop, Near Sadiq School, Barori Road, Quetta, Balochistan. (Mobile No. 0344-2557521).</t>
  </si>
  <si>
    <t>54501-2135896-5</t>
  </si>
  <si>
    <t>8558-I</t>
  </si>
  <si>
    <t>Ameer Khan s/o Ali Muhammad</t>
  </si>
  <si>
    <t>Niaz Muhammad, r/o Khola Kheyal, P.O , Tehsil and District Abbotabad, KPK. (Mobile No. 0301-5342517).</t>
  </si>
  <si>
    <t>61101-4583291-1</t>
  </si>
  <si>
    <t>8559-S</t>
  </si>
  <si>
    <t>Muhammad Zubair Khan s/o Abdul Shafique Khan</t>
  </si>
  <si>
    <t>Mst. Shazadi Baighum, r/o R-159, Block 18, Samanabad, Fedral B Area, Karchi. (Mobile No. 0313-2306316 &amp; 0312-2169610).</t>
  </si>
  <si>
    <t>42101-3362976-1</t>
  </si>
  <si>
    <t>Traced Person. It was informed at the hearing in this Commission at Karachi on 20.5.2022 that Muhammad Zubair Khan returned to home. He appeared before the Commission and his statement was recorded. The report submitted by SHO Samanabad, Karachi also confirmed. Hence no further action is required. The case is closed.</t>
  </si>
  <si>
    <t>8560-P</t>
  </si>
  <si>
    <t>Muhammad Abdullah s/o Mehboob-ur-Rehman</t>
  </si>
  <si>
    <t>Obaid Ullah, r/o House No. 172, Gali No. 13, Rehmat Colony, Wandala Road Lahore, Shadra, Lahore. (Mobile No. 0332-0043789).</t>
  </si>
  <si>
    <t>35202-6934499-1</t>
  </si>
  <si>
    <t>8561-S</t>
  </si>
  <si>
    <t>Bashir Ahmed Jamali</t>
  </si>
  <si>
    <t>Bashir Ahmed Jamali (Missing Person), r/o Ghott Jamali, District Dadu, Sindh.</t>
  </si>
  <si>
    <t>41202-8376206-7</t>
  </si>
  <si>
    <t>Karachi/ Dadu</t>
  </si>
  <si>
    <t>8562-S</t>
  </si>
  <si>
    <t>Ehsan Ullah s/o Rabas Khan</t>
  </si>
  <si>
    <t>Rabas Khan, r/o Borakai, P.O and Tehsil Laddha, District South Waziristan, KPK.</t>
  </si>
  <si>
    <t>21702-3566030-3</t>
  </si>
  <si>
    <t>8563-K</t>
  </si>
  <si>
    <t>Imran Khan s/o Zahoor-ul-Haq</t>
  </si>
  <si>
    <t>Zahoor-ul-Haq, r/o Spin Tanga, Malalk Shahi Jani, P.O Jani Khel, District Bannu, KPK.</t>
  </si>
  <si>
    <t>22201-2722472-9</t>
  </si>
  <si>
    <t>Traced Person. Asif Zahoor d/o Imran Khan appeared before the Commission at Islamabad on 27.5.2022 and his statement was recorded on oath in which he deposed that Imran Khan was confined in Internment Centre Lakki Marwat under Actions (in aid of Civil Power) Regulations. He further stated that he met Imran Khan four time in the Internment Centre at Lakki Marwat. Hence no further action is required. The case is closed.</t>
  </si>
  <si>
    <t>8564-K</t>
  </si>
  <si>
    <t>Muhammad Nabi s/o Zubair Khan</t>
  </si>
  <si>
    <t>Zubair Khan, r/o Par Hoti, Secondary Kuruna, District Mardan, KPK.</t>
  </si>
  <si>
    <t>16101-4949929-9</t>
  </si>
  <si>
    <t>8565-K</t>
  </si>
  <si>
    <t>Muhammad Yaseen s/o Bal Khan</t>
  </si>
  <si>
    <t>Bal Khan, r/o Village Low Tanaru, Tehsil Datta Khel, District North Waziristan, KPK.</t>
  </si>
  <si>
    <t>21501-3915713-1</t>
  </si>
  <si>
    <t>8566-K</t>
  </si>
  <si>
    <t>Sabir Rehman s/o Adam Jan</t>
  </si>
  <si>
    <t>Adam Jan, r/o Dand Kala, Khadar Khel, Tehsil Datta Khel, District North Waziristan, KPK.</t>
  </si>
  <si>
    <t>21501-4232020-5</t>
  </si>
  <si>
    <t>8567-K</t>
  </si>
  <si>
    <t>Sharaf Jan</t>
  </si>
  <si>
    <t>Sharif Jan (Missing Person), r/o Khairaki, P.O and Tehsil Jandola, District Tank, KPK.</t>
  </si>
  <si>
    <t>22601-2246701-7</t>
  </si>
  <si>
    <t>8568-K</t>
  </si>
  <si>
    <t>Rahoo Ullah</t>
  </si>
  <si>
    <t>Rahoo Ullah (Missing Person), r/o Safi Street. P.O Taka Took, Street No. 07, Mohalla Shah Ji Abad, Peshawar, KPK.</t>
  </si>
  <si>
    <t>17301-1041262-3</t>
  </si>
  <si>
    <t>8569-K</t>
  </si>
  <si>
    <t>Zahid Din</t>
  </si>
  <si>
    <t>Zahid Din (Missing Person), r/o Hasan Khel, Noor Khel, Tehsil Speen Wam, District North Waziristan, KPK.</t>
  </si>
  <si>
    <t>21509-1729592-9</t>
  </si>
  <si>
    <t>8570-K</t>
  </si>
  <si>
    <t>Hakim Khan s/o Madaroof Khan</t>
  </si>
  <si>
    <t>Madaroof Khan, r/o Shera Talla, P.O and Tehsil Mir Ali, District North Waziristan, KPK.</t>
  </si>
  <si>
    <t>21505-9875670-1</t>
  </si>
  <si>
    <t>8571-K</t>
  </si>
  <si>
    <t>Adnan s/o Ashraf Khan</t>
  </si>
  <si>
    <t>00/00/2010</t>
  </si>
  <si>
    <t>Ashraf Khan, r/o Raheemabad, Mohalla Prof. Shah Alam Khan, Mingorah, District Swat. (Mobile No. 0311-9106445).</t>
  </si>
  <si>
    <t>37405-3139987-1
 Father CNIC</t>
  </si>
  <si>
    <t>8572-I</t>
  </si>
  <si>
    <t>Ali Akbar a/o Gulla Khan</t>
  </si>
  <si>
    <t>Behram Khan, r/o Dozaime, Dami Kor, P.O Yaka Gund, Tehsil Pindyali, District Mohmand. (Mobile No. 0344-5311785 &amp; 0303-5864243).</t>
  </si>
  <si>
    <t>21403-8743365-3</t>
  </si>
  <si>
    <t>Traced Person. Hearing was held in this case on 6.6.2022 was attended by DSP (Inv) Islamabad and rep of MI. Behram Khan, younger brother of Ali Akber also appeared and stated that Ali Akbar had returned home. No further action is required. The case is closed.</t>
  </si>
  <si>
    <t>8573-P</t>
  </si>
  <si>
    <t>00/00/2017</t>
  </si>
  <si>
    <t>Ali Rehman, r/o Anzari Miagan, Mami Kor, Theisl Pindyali, District Mohmand. (Mobile No. 0300-9247342 &amp; 0314-9614184 &amp; 0301-8188484).</t>
  </si>
  <si>
    <t>8574-K</t>
  </si>
  <si>
    <t>Tariq s/o Noor Bacha</t>
  </si>
  <si>
    <t>00/00/2018</t>
  </si>
  <si>
    <t>Mst. Hakeema Bibi w/o Noor Bacha, Mohalla Ameer Khan, Nowaykaly, Mingorah, District Swat. (Mobile No. 0342-0958908).</t>
  </si>
  <si>
    <t>8575-K</t>
  </si>
  <si>
    <t>Muhammad Iqbal s/o Khuda Bux</t>
  </si>
  <si>
    <t>Mst. Sumera Bibi w/o Muhammad Iqbal, r/o (c/o Hassan s/o Muhammad Hussain) Hassan Electric Shop, Mahana Wala Mohalla and Masjid, Dera Ismail Khan. (Mobile No. 0343-1474908)</t>
  </si>
  <si>
    <t>8576-S</t>
  </si>
  <si>
    <t>Israil s/o Khanwada</t>
  </si>
  <si>
    <t>Khanwada s/o Mehmood, r/o Dama Dola, Mamond, District Bajaur. (Mobile No. 0308-8499576).</t>
  </si>
  <si>
    <t>21104-8012264-3</t>
  </si>
  <si>
    <t>8577-B</t>
  </si>
  <si>
    <t>Takhari Abdul Wahid s/o Haji Ghulam Qadir</t>
  </si>
  <si>
    <t>Marave , District Mastung</t>
  </si>
  <si>
    <t>Deleted. The case of Missing Person Takhari Abdul Wahid earlier vide ID No. 1074-B disposed of as a proper Challan against accused culprit was under trail in Court of Law. No further action is required. The case is closed.</t>
  </si>
  <si>
    <t>8578-B</t>
  </si>
  <si>
    <t>Dad Muhammad s/o Haji Ghulam Qadir</t>
  </si>
  <si>
    <t>Deleted. The case of Missing Person Dad Muhammad earlier vide ID No. 1075-B disposed of as a proper Challan against accused culprit was under trail in Court of Law. No further action is required. The case is closed.</t>
  </si>
  <si>
    <t>8579-B</t>
  </si>
  <si>
    <t>Abdul Ghafar s/o Muhammad Saleh</t>
  </si>
  <si>
    <t>Killi Datu , District Mastung</t>
  </si>
  <si>
    <t>Traced Person. SHO PS City Mastung submitted report at the hearing on 5.4.2022 that Abdul Ghaffar was abducted on 20.10.2017 by unknown persons and he returned home after four years. No further action is required. The case is closed.</t>
  </si>
  <si>
    <t>8580-B</t>
  </si>
  <si>
    <t>Saddam Hussain s/o Muhammad Zaman</t>
  </si>
  <si>
    <t>Traced Person. SHO, PS City Mastung submitted report at the hearing on 5.4.2022 that Saddam Hussain was abducted on 20.10.2017 by unknown persons. He returned home after eight months. No further action is required. The case is closed.</t>
  </si>
  <si>
    <t>8581-B</t>
  </si>
  <si>
    <t>Muhammad Azam s/o Imam Bakhsh</t>
  </si>
  <si>
    <t>Traced Person. SHO, PS City Mastung submitted report at the hearing on 5.4.2022 that Muhammad Azam was abducted on 20.10.2017 by unknown persons. He returned home after eight months. No further action is required. The case is closed.</t>
  </si>
  <si>
    <t>8582-B</t>
  </si>
  <si>
    <t>Ghulam Mustafa Shahwani s/o Hazoor Bux Shahwani</t>
  </si>
  <si>
    <t>2000`</t>
  </si>
  <si>
    <t>Mastung</t>
  </si>
  <si>
    <t>Deleted. Deputy Director, Home Department, Quetta submitted report that the case was earlier disposed of by the Commission vide ID No. 0862 on 20.10.2016. The Missing Person was suffering from mental ailment. No further action is required. The case is closed.</t>
  </si>
  <si>
    <t>8583-B</t>
  </si>
  <si>
    <t>Muhammad Saleh s/o Muhammad Noor</t>
  </si>
  <si>
    <t>Traced Person. SP (Inv), Mastung submitted report at the hearing on 4.4.2022 that Muhammad Salah was picked up by unknown persons 5/6 years ago that he was released after 17 days. Later as reported by his brother he expired on 24.10.2021. No further action is required. The case is closed.</t>
  </si>
  <si>
    <t>8584-B</t>
  </si>
  <si>
    <t>Hafeez Ullah s/o Muhammad Azam</t>
  </si>
  <si>
    <t>Traced Person. SP (Inv), Mastung submitted report that Hafeez Ullah s/o Muhammad Azam was picked up on 20.10.2017 by unknown persons. Later released and he was returned on 19.08.2021. At present Muhammad Hafeez was living in Khuzdar.No further action is required. The case is closed.</t>
  </si>
  <si>
    <t>8585-B</t>
  </si>
  <si>
    <t>Munawar s/o Muhammad Jan</t>
  </si>
  <si>
    <t>Killi Kalkand, District Mastung</t>
  </si>
  <si>
    <t>Traced Person. Munawar Ahmed s/o Muhammad Jan appeared before the Commission on 4.4.2022 in person whose statement was recorded on oath in which he deposed that he was picked up and taken from his shop on 24.3.2017 by muffled persons who were in plain clothes. That he was released after 3 months. No further action is required. The case is closed.</t>
  </si>
  <si>
    <t>8586-B</t>
  </si>
  <si>
    <t>Zakir Bangulzai s/o Abdul Kareem</t>
  </si>
  <si>
    <t>Traced Person. SDPO, Mastung appeared on before the Commission on 7.4.2022 at Quetta on behalf of SP , Mastung whose statement was recorded on oath in which he deposed that Abdul Zakir Bangulzai s/o Abdul Kareem who was abducted on 9.9.2010 returned home. No further action is required. The case is closed.</t>
  </si>
  <si>
    <t>8587-B</t>
  </si>
  <si>
    <t>Ghafoor Ahmed</t>
  </si>
  <si>
    <t>Kabo District Mastung</t>
  </si>
  <si>
    <t>Traced Person. Risladar Levies appeared before the Commission on 8.4.2022 at Quetta on behalf of DC , Mastung whose statement was recorded on oath in which he deposed that Ghafoor Ahmed who was abducted on 2.6.2013 returned home. No further action is required. The case is closed.</t>
  </si>
  <si>
    <t>8588-K</t>
  </si>
  <si>
    <t>Aman Ullah s/o Saeed-ur-Rehman</t>
  </si>
  <si>
    <t>Ubaid Ullah, r/o Chail, Ghulam Abad, Tehsil Katlang, Distrioct Mardan, KPK. (Mobile No. 0319-7855006 &amp; 0344-0928953).</t>
  </si>
  <si>
    <t>16102-6010363-7</t>
  </si>
  <si>
    <t>Traced Person. SP (Inv) Mardan and the Traced Person Aman Ullah entered appearance before the Commission confirming that the former has returned home. No further action is required. The case is closed.</t>
  </si>
  <si>
    <t>8589-B</t>
  </si>
  <si>
    <t>Nisar Ahmed</t>
  </si>
  <si>
    <t>Traced Person. Muhammad Younas, SI/SHO City Police Station Mastung appeared before the Commission on 11.4.2022 at Quetta on behalf of SP Mastung whose statement was recorded on oath in which he deposed that Nisar Ahmed Shahwani was abducted on 18.1.2013 and returned home on 18.7.2018. No further action is required. The case is closed.</t>
  </si>
  <si>
    <t>8590-B</t>
  </si>
  <si>
    <t>Babul Jattak</t>
  </si>
  <si>
    <t>Traced Person. SDPO, Mastung appeared before the Commission on 12.4.2022 at Quetta on behalf of SP Mastung according to him dead body of Babul Jattak recovered from jurisdiction o limits of Mangochar. No further action is required. The case is closed.</t>
  </si>
  <si>
    <t>8591-B</t>
  </si>
  <si>
    <t>Abdul Zahir s/o Shadi Khan</t>
  </si>
  <si>
    <t>Traced Person. SI/ SHO Mastung appeared before the Commission on 11.4.2022 at Quetta on behalf of SP Mastung whose statement was recorded on oath in which he deposed that Abdul Zahir was abducted on 18.7.2017 and recovered on 30.8.2018. No further action is required. The case is closed.</t>
  </si>
  <si>
    <t>8592-B</t>
  </si>
  <si>
    <t>Aurang Zaib Shahwani s/o Abdul Ghani</t>
  </si>
  <si>
    <t>Mastung Shingi Road</t>
  </si>
  <si>
    <t>Traced Person. SDPO, Mastung appeared before the Commission on 13.4.2022 at Quetta on behalf of SP Mastung whose statement was recorded don oath. According to him Aurang Zaib Shahwani was traced. That he was abducted on 14.9.2013 and released on 13.7.2018. No further action is required. The case is closed.</t>
  </si>
  <si>
    <t>8593-B</t>
  </si>
  <si>
    <t>Abdullah Shahwani</t>
  </si>
  <si>
    <t>Traced Person. SDPO, Mastung appeared before the Commission on 14.4.2022 at Quetta on behalf of SP Mastung. According to him Abdullah Shahwani was abducted on 29.8.2013. He submitted Tasdeeqi Certificate indicating his release. No further action is required. The case is closed.</t>
  </si>
  <si>
    <t>8594-B</t>
  </si>
  <si>
    <t>Ghulam Rasool s/o Mola Bakhsh</t>
  </si>
  <si>
    <t>Kardgap, Mastung, District Mastung</t>
  </si>
  <si>
    <t>Traced Persons. Muhammad Ismail Naib Risaldar appeared before the Commission on the behalf of DC Mastung whose statement was recorded on oath. He produced copy of statement of Ghulam Rasool s/o Mula Bakhsh recorded u/s 161 CrPC indicating that he was picked up 4.12.2016 and returned home on 16.4.2017. No further action is required. The case is closed.</t>
  </si>
  <si>
    <t>8595-B</t>
  </si>
  <si>
    <t>Mushtaq s/o Saif Ullah Sarparah</t>
  </si>
  <si>
    <t>Traced Persons. Muhammad Ismail Naib Risaldar appeared before the Commission on the behalf of DC Mastung whose statement was recorded on oath. He produced copy of statement of Mushtaq s/o Saif Ullah Sarparah recorded u/s 161 CrPC indicating that he was picked up 4.12.2016 and returned home on 16.4.2017. No further action is required. The case is closed.</t>
  </si>
  <si>
    <t>8596-B</t>
  </si>
  <si>
    <t>Abu Bakar s/o Muhammad Bakhsh Sarparah</t>
  </si>
  <si>
    <t>Traced Persons. Muhammad Ismail Naib Risaldar appeared before the Commission on the behalf of DC Mastung whose statement was recorded on oath. He produced copy of statement of Abu Bakar s/o Muhammad Bakhsh Sarrparah recorded u/s 161 CrPC indicating that he was returned home on March, 2019. No further action is required. The case is closed.</t>
  </si>
  <si>
    <t>8597-B</t>
  </si>
  <si>
    <t>Shoaib Sarparah s/o Mir Ghulam Rabbani</t>
  </si>
  <si>
    <t>Traced Persons. Muhammad Ismail Naib Risaldar appeared before the Commission on the behalf of DC Mastung whose statement was recorded on oath. He produced copy of statement of Shoaib Sarparah s/o Mir Ghulam Rabbani recorded u/s 161 CrPC indicating that he was returned home on June 2019. No further action is required. The case is closed.</t>
  </si>
  <si>
    <t>8598-B</t>
  </si>
  <si>
    <t>Takri Abdul Waheed s/o Haji Ghulam Qadir</t>
  </si>
  <si>
    <t>Marve Esplinji Mastung</t>
  </si>
  <si>
    <t>Deleted. The case of Missing Person Takari Abdul Waheed was earlier disposed of after the proceedings held on 5.4.2022 on as the records indicated these case to be a criminal case. Hence, not a case of enforced disappearance. The case is closed.</t>
  </si>
  <si>
    <t>8599-B</t>
  </si>
  <si>
    <t>Deleted. The case of Missing Person Dad Muhammad s/o Haji Ghulam Qadir was earlier disposed of after the proceedings held on 5.4.2022 on as the records indicated this case to be a criminal case. Hence, not a case of enforced disappearance. The case is closed.</t>
  </si>
  <si>
    <t>8600-B</t>
  </si>
  <si>
    <t>Muhammad Azam</t>
  </si>
  <si>
    <t>Traced Person. SDPO Mastung appeared before the Commission on 8.4.2022 at Quetta whose statement was recorded on oath in which he reported that Muhammad Azam was abducted between the night of 17/18.4.2013 from his house by unknown persons. That Muhammad Azam was released on 18.5.2013. No further action is required. The case is closed.</t>
  </si>
  <si>
    <t>8601-B</t>
  </si>
  <si>
    <t>Norooz Khan</t>
  </si>
  <si>
    <t>Traced Person. SDPO Mastung appeared before the Commission on 8.4.2022 at Quetta whose statement was recorded on oath in which he reported that Norooz Khan was abducted between the night of 17/18.4.2013 from his house by unknown persons. That Muhammad Azam was released on 01.5.2013. No further action is required. The case is closed.</t>
  </si>
  <si>
    <t>8602-B</t>
  </si>
  <si>
    <t>Traced Person. SDPO Mastung appeared before the Commission on 8.4.2022 at Quetta whose statement was recorded on oath in which he reported that Sardar Khan was abducted between the night of 17/18.4.2013 from his house by unknown persons. That Muhammad Azam was released on 01.5.2013. No further action is required. The case is closed.</t>
  </si>
  <si>
    <t>8603-B</t>
  </si>
  <si>
    <t>Muhammad Baqa</t>
  </si>
  <si>
    <t>Traced Person. Risaldar Levies Dasht appeared before the Commission on 11.4.2022 at Quetta on behalf of DC Mastung whose statement was recorded on oath. According to him Muhammad Baqa who was picked up and taken away by some unknown persons from Kabo Dasht on 2.6.2013 and was released after two weeks. He further stated that he was now present in area of Kabo Dasht. No further action is required. The case is closed.</t>
  </si>
  <si>
    <t>8604-B</t>
  </si>
  <si>
    <t>Muhammad Ishaq</t>
  </si>
  <si>
    <t>Traced Person. Risaldar Levies Dasht appeared before the Commission on 11.4.2022 at Quetta on behalf of DC Mastung whose statement was recorded on oath. According to him Muhammad Ishaq who was picked up and taken away by some unknown persons from Kabo Dasht on 2.6.2013 and was released after two weeks. He further stated that he was now present in area of Kabo Dasht. No further action is required. The case is closed.</t>
  </si>
  <si>
    <t>8605-B</t>
  </si>
  <si>
    <t>Attaullah</t>
  </si>
  <si>
    <t>Traced Person. Risaldar Levies Dasht appeared before the Commission on 11.4.2022 at Quetta on behalf of DC Mastung whose statement was recorded on oath. According to him Attaullah who was picked up and taken away by some unknown persons from Kabo Dasht on 2.6.2013 and was released after two weeks. He further stated that he was now present in area of Kabo Dasht. No further action is required. The case is closed.</t>
  </si>
  <si>
    <t>8606-B</t>
  </si>
  <si>
    <t>Fateh Khan</t>
  </si>
  <si>
    <t>Traced Person. Risaldar Levies Dasht appeared before the Commission on 11.4.2022 at Quetta on behalf of DC Mastung whose statement was recorded on oath. According to him Fateh Khan who was picked up and taken away by some unknown persons from Kabo Dasht on 2.6.2013 and was released after two weeks. He further stated that he was now present in area of Kabo Dasht. No further action is required. The case is closed.</t>
  </si>
  <si>
    <t>8607-B</t>
  </si>
  <si>
    <t>Fazal Ahmed</t>
  </si>
  <si>
    <t>Traced Person. Risaldar Levies Dasht appeared before the Commission on 11.4.2022 at Quetta on behalf of DC Mastung whose statement was recorded on oath. According to him Fazal Ahmed who was picked up and taken away by some unknown persons from Kabo Dasht on 2.6.2013 and was released after two weeks. He further stated that he was now present in area of Kabo Dasht. No further action is required. The case is closed.</t>
  </si>
  <si>
    <t>8608-B</t>
  </si>
  <si>
    <t>Noor Ahmed Bangulzai</t>
  </si>
  <si>
    <t>Mastung Killi Ghazgee</t>
  </si>
  <si>
    <t>Traced Person. SDPO, Mastung appeared before the Commission on 12.4.2022 on behalf of SP Mastung whose statement was recorded on oath. According to him Noor Ahmed Bangulzai was abducted on 9.5.2013 and released on 23.7.2018. He produced statement of Niaz Ullah brother of Missing Person u/s 161 CrPC. No further action is required. The case is closed.</t>
  </si>
  <si>
    <t>8609-B</t>
  </si>
  <si>
    <t>Abdul Samad Bangulzai</t>
  </si>
  <si>
    <t>Traced Person. SDPO, Mastung appeared before the Commission on 12.4.2022 on behalf of SP Mastung whose statement was recorded on oath. According to him Abdul Samad Bangulzai was abducted on 9.5.2013 and released on 23.7.2018. He produced statement of Gulzar Ahmed brother of Missing Person u/s 161 CrPC. No further action is required. The case is closed</t>
  </si>
  <si>
    <t>8610-B</t>
  </si>
  <si>
    <t>Abdul Malik Bangulzai</t>
  </si>
  <si>
    <t>Traced Person. SDPO, Mastung appeared before the Commission on 12.4.2022 on behalf of SP Mastung whose statement was recorded on oath. According to him Abdul malik Bangulzai was abducted on 9.5.2013 and released on 24.7.2018. He produced statement of Niaz Ahmed (Cousin) of Missing Person u/s 161 CrPC. No further action is required. The case is closed.</t>
  </si>
  <si>
    <t>8611-B</t>
  </si>
  <si>
    <t>Fateh Muhammad Bangulzai</t>
  </si>
  <si>
    <t>Traced Person. SDPO, Mastung appeared before the Commission on 12.4.2022 on behalf of SP Mastung whose statement was recorded on oath. According to him Fateh Muhammad Bangulzai had returned home. He produced statement of Muhammad Asghar (Cousin) of Missing Person u/s 161 CrPC. No further action is required. The case is closed.</t>
  </si>
  <si>
    <t>8612-B</t>
  </si>
  <si>
    <t>Shair Ahmed Bangulzai</t>
  </si>
  <si>
    <t>Traced Person. SDPO, Mastung appeared before the Commission on 12.4.2022 on behalf of SP Mastung whose statement was recorded on oath. According to him Shair Ahmed Bangulzai was abducted on 9.5.2013 and released on 25.7.2018. He produced statement of Muhammad Asghar (Cousin) of Missing Person u/s 161 CrPC. No further action is required. The case is closed.</t>
  </si>
  <si>
    <t>8613-B</t>
  </si>
  <si>
    <t>Zahoor Ahmed Bangulzai</t>
  </si>
  <si>
    <t>Traced Person. SDPO, Mastung appeared before the Commission on 12.4.2022 on behalf of SP Mastung whose statement was recorded on oath. According to him Zahoor Ahmed Bangulzai was abducted on 9.5.2013 and released on 25.7.2018. He produced statement of Gulzar (Cousin) of Missing Person u/s 161 CrPC. No further action is required. The case is closed.</t>
  </si>
  <si>
    <t>8614-B</t>
  </si>
  <si>
    <t>Ghulam Ali</t>
  </si>
  <si>
    <t>Mastung Sorgaz</t>
  </si>
  <si>
    <t>Traced Person. Risaldar Lavies Dasht Mastung appeared before the Commission on 13.4.2022 at Quetta on behalf of DC Mastung whose statement was recorded on oath. According to him Ghulam Ali was abducted on 5.9.2013 from the area of Kand Mashore Pahdae and released after eight months. No further action is required. The case is closed.</t>
  </si>
  <si>
    <t>8615-B</t>
  </si>
  <si>
    <t>Abdul Mutalib</t>
  </si>
  <si>
    <t>Traced Person. Risaldar Lavies Dasht Mastung appeared before the Commission on 13.4.2022 at Quetta on behalf of DC Mastung whose statement was recorded on oath. According to him Abdul Mutalib was abducted on 5.9.2013 from the area of Kand Mashore Pahdae and released after eight months. No further action is required. The case is closed.</t>
  </si>
  <si>
    <t>8616-B</t>
  </si>
  <si>
    <t>Ahmed s/o Masri Khan</t>
  </si>
  <si>
    <t>Manjoro Rehko , District Nushki</t>
  </si>
  <si>
    <t>Traced Person. It has been reported by SP (Inv), Noshki at the hearing held on 15.4.2022 that Ahmed s/o Masri Khan was abducted by four unknown persons on 18.8.2017 and returned on 24.8.2018. No further action is required. The case is closed.</t>
  </si>
  <si>
    <t>8617-B</t>
  </si>
  <si>
    <t>Ibrahim s/o Umait Khan</t>
  </si>
  <si>
    <t>Manjoro Rehko , District Noshki</t>
  </si>
  <si>
    <t>Traced Person. It has been reported by SP (Inv), Noshki at the hearing held on 15.4.2022 that Ibrahim s/o Umait Khan was abducted unknown persons on 18.8.2017 and returned on 7.9.2018. No further action is required. The case is closed.</t>
  </si>
  <si>
    <t>8618-B</t>
  </si>
  <si>
    <t>Mirza Khan s/o Umaid Khan</t>
  </si>
  <si>
    <t>Kashagi Bulhgain, Noshkey</t>
  </si>
  <si>
    <t>Traced Person. It has been reported by SP (Inv), Noshki at the hearing held on 15.4.2022 that Mirza Khan s/o Umaid Khan was abducted unknown persons on 19.12.2009 and returned on 15.9.2019. No further action is required. The case is closed.</t>
  </si>
  <si>
    <t>8619-B</t>
  </si>
  <si>
    <t>Mazar Khan</t>
  </si>
  <si>
    <t>Noshkey from his house</t>
  </si>
  <si>
    <t>Traced Person. It has been reported by SP (Inv), Noshki at the hearing held on 15.4.2022 that Mazar Khan was abducted unknown persons on 19.12.2009 and returned on 15.9.2019. No further action is required. The case is closed.</t>
  </si>
  <si>
    <t>8620-K</t>
  </si>
  <si>
    <t>Fazal Subhan s/o Haroon Saddiq</t>
  </si>
  <si>
    <t>Mst. Roshan Haroon, r/o Mohalla Docter Abdul Latif, Lakat Ganjj, District Mardan. (Mobile No. 0306-5500267).</t>
  </si>
  <si>
    <t>16101-3044093-9</t>
  </si>
  <si>
    <t>8621-K</t>
  </si>
  <si>
    <t>Abdullah s/o Zarnoor Said</t>
  </si>
  <si>
    <t>Zarnoor Said, r/o Saru Shah, P.O Yaka Gund, Haz No. 1, Tehsil Ameer Itman, District Mohmand. (Mobile No. 0303-8852428).</t>
  </si>
  <si>
    <t>21401-7068710-9</t>
  </si>
  <si>
    <t>8622-K</t>
  </si>
  <si>
    <t>Muhammad Hanzila s/o Zarnoor Said</t>
  </si>
  <si>
    <t>Zarnoor Said, r/o Saru Shah, P.O Yaka Gund, Haz No. 1, Tehsil Ameer Itman, District Mohmand. (Mobile No. 0303-8852428 &amp; 0349-0651736).</t>
  </si>
  <si>
    <t>21401-5000786-5</t>
  </si>
  <si>
    <t>8623-K</t>
  </si>
  <si>
    <t>Hazrat Khan s/o Zarnoor Said</t>
  </si>
  <si>
    <t>Zarnoor Said, r/o Saru Shah, P.O Yaka Gund, Haz No. 1, Tehsil Ameer Itman, District Mohmand. (Mobile No. 0303-8852428 &amp; 0307-0099630).</t>
  </si>
  <si>
    <t>21407-9558598-3</t>
  </si>
  <si>
    <t>8624-K</t>
  </si>
  <si>
    <t>Shafqat Hussain s/o Zarnoor Said</t>
  </si>
  <si>
    <t>21401-8590538-1</t>
  </si>
  <si>
    <t>8625-K</t>
  </si>
  <si>
    <t>Rizwan Ullah</t>
  </si>
  <si>
    <t>00/00/2014</t>
  </si>
  <si>
    <t>Mst. Haleema Bibi, r/o Aleezu, Batai, P.O Khar, Tehsil Khar, District Bajaur. (Mobile No. 0302-2180009)</t>
  </si>
  <si>
    <t>8626-K</t>
  </si>
  <si>
    <t>Moaaz s/o Haji Bhadur</t>
  </si>
  <si>
    <t>00/00/2012</t>
  </si>
  <si>
    <t>Mst. Razia Bibi, r/o Mohala Haji Ishaq, Mingorah, Tehsil Babuzai, District Swat. (Mobile No. 0342-9092411).</t>
  </si>
  <si>
    <t>8627-B</t>
  </si>
  <si>
    <t>Hidayatullah Baloch</t>
  </si>
  <si>
    <t>Noshkey</t>
  </si>
  <si>
    <t>Traced Person. SDPO, Noshki appeared before the Commission on behalf of SP, Noshki at Quetta on 18.4.2022 and submitted report that Hidayatullah Baloch ID No. 8627-B has been traced as returned. He also submitted Tasdeqi Certificate confirming the aforesaid position. No further action is required. The case is closed.</t>
  </si>
  <si>
    <t>8628-B</t>
  </si>
  <si>
    <t>Abdul Jabbar</t>
  </si>
  <si>
    <t>Traced Person. SDPO, Noshki appeared before the Commission on behalf of SP, Noshki at Quetta on 18.4.2022 and submitted report that Abdul Jabbar ID No. 8628-B has been traced as returned. He also submitted Tasdeqi Certificate confirming the aforesaid position. No further action is required. The case is closed.</t>
  </si>
  <si>
    <t>8629-B</t>
  </si>
  <si>
    <t>Traced Person. SDPO, Noshki appeared before the Commission on behalf of SP, Noshki at Quetta on 18.4.2022 and submitted report that Farooq ID No. 8629-B has been traced as returned. He also submitted Tasdeqi Certificate confirming the aforesaid position. No further action is required. The case is closed.</t>
  </si>
  <si>
    <t>8630-B</t>
  </si>
  <si>
    <t>Aurang Zaib</t>
  </si>
  <si>
    <t>Traced Person. SDPO, Noshki appeared before the Commission on behalf of SP, Noshki at Quetta on 19.4.2022 and submitted report that Aurang Zaib ID No. 8630-B has been traced as returned. He also submitted Tasdeqi Certificate confirming the aforesaid position. No further action is required. The case is closed.</t>
  </si>
  <si>
    <t>8631-B</t>
  </si>
  <si>
    <t>Muhammad Arif</t>
  </si>
  <si>
    <t>Traced Person. SDPO, Noshki appeared before the Commission on behalf of SP, Noshki at Quetta on 19.4.2022 and submitted report that Muhamamd Arif ID No. 8631-B has been traced as returned. He also submitted Tasdeqi Certificate confirming the aforesaid position. No further action is required. The case is closed.</t>
  </si>
  <si>
    <t>8632-B</t>
  </si>
  <si>
    <t>Sanjay Kumar</t>
  </si>
  <si>
    <t>Traced Person. SDPO, Noshki appeared before the Commission on behalf of SP, Noshki at Quetta on 19.4.2022 and submitted report that Sanjay Kumar ID No. 8632-B has been traced as returned. He also submitted Tasdeqi Certificate confirming the aforesaid position. No further action is required. The case is closed.</t>
  </si>
  <si>
    <t>8633-B</t>
  </si>
  <si>
    <t>Hidayatullah Baloch s/o Shair Muhammad Baloch</t>
  </si>
  <si>
    <t>Traced Person. SDPO, Noshki appeared before the Commission on behalf of SP, Noshki at Quetta on 18.4.2022 and submitted report that Hidayatullah Baloch ID No. 8626-B has been traced as returned. He also submitted Tasdeqi Certificate confirming the aforesaid position. No further action is required. The case is closed.</t>
  </si>
  <si>
    <t>8634-B</t>
  </si>
  <si>
    <t>Najeeb Ullah Qambrani</t>
  </si>
  <si>
    <t>Kalat Residence</t>
  </si>
  <si>
    <t>Traced Person. DSP Kalat appeared before the Commission at Quetta on 22.4.2022 whose statement was recorded on oath in which he deposed that Najeeb Qambrani abducted on 18.5.20111 and returned home on 17.8.2011. He also produced Tasdeeqi Certificate bearing signatures of SHO and SP. No further action is required. The case is closed.</t>
  </si>
  <si>
    <t>8635-B</t>
  </si>
  <si>
    <t>Rashid Mustafa</t>
  </si>
  <si>
    <t>Kalat</t>
  </si>
  <si>
    <t>Traced Person. DSP Kalat appeared before the Commission at Quetta on 22.4.2022 whose statement was recorded on oath in which he deposed that Rashid Mustafa was abdutced on 2.4.2011 and returned home on 10.4.2011. He also produced Tasdeeqi Certificate which bear signatures of SHO and SP. No further action is required. The case is closed.</t>
  </si>
  <si>
    <t>8636-B</t>
  </si>
  <si>
    <t>Qayum Langove</t>
  </si>
  <si>
    <t>Traced Person. DSP Kalat appeared before the Commission on 22.4.2022 whose statement was recorded on oath. According to him the real name of Abdul Qayum Langove is Shahzad Qayum s/o Abdul Qayum. Qayum Langove who was traced. He also produced Tasdeeqi Certificate duly signed by all concerned. No further action is required. The case is closed.</t>
  </si>
  <si>
    <t>8637-B</t>
  </si>
  <si>
    <t>Nasir Raiky</t>
  </si>
  <si>
    <t>Traced Person. Acting DSP HQ Kalat appeared before the Commission on 25.4.2022 whose statement was recorded on oath in which he deposed that Nasir Raiky was abducted on 10.11.2013 by 5/6 unknown persons from National Highway Sabir Petrol Pump and released after 2 months 18.1.2014.</t>
  </si>
  <si>
    <t>8638-B</t>
  </si>
  <si>
    <t>Khan Muhammad Mengal</t>
  </si>
  <si>
    <t>Traced Person. Acting DSP HQ Kalat appeared before the Commission on 25.4.2022 and stated that Khan Muhammad who was abducted by unknown persons later he returned home. He also furnished Tasdeeqi Certificate duly signed by SHO and SP (Inv), Kalat. No further action is required. The case is closed.</t>
  </si>
  <si>
    <t>8639-B</t>
  </si>
  <si>
    <t>Ghulam Farooq Mengal</t>
  </si>
  <si>
    <t>Traced Person. Acting DSP HQ Kalat appeared before the Commission on 25.4.2022 and stated that Ghulam Farooq Mengal who was abducted by unknown persons later he returned home. He also furnished Tasdeeqi Certificate duly signed by SHO and SP (Inv), Kalat. No further action is required. The case is closed.</t>
  </si>
  <si>
    <t>8640-B</t>
  </si>
  <si>
    <t>Mir Hassan Mengal</t>
  </si>
  <si>
    <t>Traced Person. Acting DSP HQ Kalat appeared before the Commission on 25.4.2022 and stated that Mir Hassan Mengal who was abducted by unknown persons later he returned home. He also furnished Tasdeeqi Certificate duly signed by SHO and SP (Inv), Kalat. No further action is required. The case is closed.</t>
  </si>
  <si>
    <t>8641-B</t>
  </si>
  <si>
    <t>Muhammad Ashraf Mengal</t>
  </si>
  <si>
    <t>Traced Person. Acting DSP HQ Kalat appeared before the Commission on 25.4.2022 and stated that Muhammad Ashraf Mengal who was abducted by unknown persons later he returned home. He also furnished Tasdeeqi Certificate duly signed by SHO and SP (Inv), Kalat. No further action is required. The case is closed.</t>
  </si>
  <si>
    <t>8642-B</t>
  </si>
  <si>
    <t>Hafeez-ur-Rehman s/o Younas Qambrani</t>
  </si>
  <si>
    <t>Nemagh Kalat</t>
  </si>
  <si>
    <t>Traced Person. ADC Kalat appeared before the Commission on 24.4.2022 whose statement was recorded on oath in which he deposed that real name was Hafeez-ur-Rehman that FIR being No. 9/2015 Levies Tana District Kalat was registered on 3.5.2015 on the report of Muhammad Younas (father). That dead body of Hafeez-ur-Rehman was found in Parid Babaki on 3.5.2015. He produced copy of FIR and proceedings conducted u/s 174 of the CrPC. No further action is required. The case is closed.</t>
  </si>
  <si>
    <t>8643-B</t>
  </si>
  <si>
    <t>Baqir Baloch</t>
  </si>
  <si>
    <t>Neem Ragh Kalat</t>
  </si>
  <si>
    <t>Traced Person. Acting DSP HQ Kalat appeared before the Commission on 25.4.2022 whose statement was recorded on oath in which he deposed that Baqir Baloch was arrested vide FIR No. 27/2015 PS City. He produced copy of FIR and Tasdeeqi Certificate duly signed by SHO and SP (Inv), Kalat. No further action is required. The case is closed.</t>
  </si>
  <si>
    <t>8644-B</t>
  </si>
  <si>
    <t>Hammal s/o Gajeyan</t>
  </si>
  <si>
    <t>Kalatk Dabak</t>
  </si>
  <si>
    <t>Traced Person. Acting DSP HQ Kalat appeared before the Commission on 25.4.2022 and submitted report that Hammal was an employee of Levies and remained missing only for ten days. They returned home and performed his duties. No further action is required. The case is closed.</t>
  </si>
  <si>
    <t>8645-B</t>
  </si>
  <si>
    <t>Zahoor Langove</t>
  </si>
  <si>
    <t>Traced Person. DSP Noshki appeared before the Commission on 21.4.2022 whose statement was recorded on oat. According to him Zahoor Langove has been traced. He has stated that FIR being No. 98/2013 u/s 147, 148, 149 -365 PPC was registered at PS Noshki. Further he stated that Zahoor Langove returned home and presently he was at Killi Gharib Abad Noshki.</t>
  </si>
  <si>
    <t>8646-B</t>
  </si>
  <si>
    <t>Abdul Ghaffar</t>
  </si>
  <si>
    <t>Asia Abad Noshkey</t>
  </si>
  <si>
    <t>Traced Person. DSP, Noshki appeared before the Commission at Quetta on 21.4.2022 and submitted that Abdul Ghaffar had been traced. He disappeared on 27.6.2015 and returned home on 29.7.2016. DSP Noshki also furnished Tasdeeqi Certificate. No further action is required. The case is closed.</t>
  </si>
  <si>
    <t>8647-B</t>
  </si>
  <si>
    <t>Imran Badaini</t>
  </si>
  <si>
    <t>Traced Person. DSP, Noshki appeared before the Commission at Quetta on 21.4.2022 and submitted that Imran Badaini had been traced. He disappeared on 30.3.2016 and returned home on 4.4.2016. DSP Noshki also furnished Tasdeeqi Certificate. No further action is required. The case is closed.</t>
  </si>
  <si>
    <t>8648-B</t>
  </si>
  <si>
    <t>Abdul Majeed</t>
  </si>
  <si>
    <t>Traced Person. DSP, Noshki appeared before the Commission at Quetta on 21.4.2022 and submitted that Abdul Majeed had been traced. He disappeared on 6.6.2013 and returned home on 10.6.2013. DSP Noshki also furnished Tasdeeqi Certificate. No further action is required. The case is closed.</t>
  </si>
  <si>
    <t>8649-B</t>
  </si>
  <si>
    <t>Sadiq Jamaldeni</t>
  </si>
  <si>
    <t>Traced Person. DSP, Noshki appeared before the Commission at Quetta on 20.4.2022 and submitted that Sadiq Jamaldeni had been traced. He disappeared on 24.7.2013 and returned home on 29.9.2015. DSP Noshki also furnished Tasdeeqi Certificate. No further action is required. The case is closed.</t>
  </si>
  <si>
    <t>8650-B</t>
  </si>
  <si>
    <t>Traced Person. DSP, Noshki appeared before the Commission at Quetta on 20.4.2022 and submitted that Shabir had been traced. He disappeared on 29.7.2013 and returned home on 30.2.2016. DSP Noshki also furnished Tasdeeqi Certificate. No further action is required. The case is closed.</t>
  </si>
  <si>
    <t>8651-B</t>
  </si>
  <si>
    <t>Zahoor Ahmed Langove</t>
  </si>
  <si>
    <t>Traced Person. DSP, Noshki appeared before the Commission at Quetta on 20.4.2022 and submitted that Zahoor Ahmed Langove had been traced. He disappeared on 15.11.2013 and returned home on 9.6.2016. DSP Noshki also furnished Tasdeeqi Certificate. No further action is required. The case is closed.</t>
  </si>
  <si>
    <t>8652-B</t>
  </si>
  <si>
    <t>Pasund Mandaey</t>
  </si>
  <si>
    <t>Noshkey Nakajo</t>
  </si>
  <si>
    <t>Traced Person. DSP, Noshki appeared before the Commission at Quetta on 20.4.2022 and submitted that Pasund Mandaey had been traced. He disappeared on 23.11.2013 and returned home on 25.5.2015. DSP Noshki also furnished Tasdeeqi Certificate. No further action is required. The case is closed.</t>
  </si>
  <si>
    <t>8653-B</t>
  </si>
  <si>
    <t>Shah Nawaz Badini</t>
  </si>
  <si>
    <t>Traced Person. DSP, Noshki appeared before the Commission at Quetta on 20.4.2022 and submitted that Shah Nawaz Badini had been traced. He disappeared on 8.1.2013 and returned home on 12.1.2013. DSP Noshki also furnished Tasdeeqi Certificate. No further action is required. The case is closed.</t>
  </si>
  <si>
    <t>8654-B</t>
  </si>
  <si>
    <t>Mir Pasund Khan Mandaey</t>
  </si>
  <si>
    <t>Traced Person. DSP, Noshki appeared before the Commission at Quetta on 20.4.2022 and submitted that Mir Pasund Khan Mandaey had been traced. He disappeared on 8.1.2013 and returned home on 12.1.2013. DSP Noshki also furnished Tasdeeqi Certificate. No further action is required. The case is closed.</t>
  </si>
  <si>
    <t>8655-B</t>
  </si>
  <si>
    <t>Kalat football ground</t>
  </si>
  <si>
    <t>Traced Person. Acting DSP, Kalat appeared before the Commission at Quetta on 26.4.2022 and submitted that Abdullah had been traced. He disappeared on 11.5.2016 and returned home on 16.5.2015. DSP Noshki also furnished Tasdeeqi Certificate. No further action is required. The case is closed.</t>
  </si>
  <si>
    <t>8656-B</t>
  </si>
  <si>
    <t>Farid Shah</t>
  </si>
  <si>
    <t>Traced Person. Acting DSP, Kalat appeared before the Commission at Quetta on 26.4.2022 and submitted that Farid Shah had been traced. He disappeared on 10.9.2015 and returned home on 12.9.2015. DSP Noshki also furnished Tasdeeqi Certificate. No further action is required. The case is closed.</t>
  </si>
  <si>
    <t>8657-B</t>
  </si>
  <si>
    <t>Tariq</t>
  </si>
  <si>
    <t>Kalat Bazar</t>
  </si>
  <si>
    <t>Traced Person. Acting DSP, Kalat appeared before the Commission at Quetta on 26.4.2022 and submitted that Tariq had been traced. He disappeared on 16.8.2011 and returned home on 6.9.2011. DSP Kalat also furnished Tasdeeqi Certificate. No further action is required. The case is closed.</t>
  </si>
  <si>
    <t>8658-B</t>
  </si>
  <si>
    <t>Najam Sasoli</t>
  </si>
  <si>
    <t>Ahmed Wall</t>
  </si>
  <si>
    <t>Traced Person. Tehsildar Noshki appeared before the Commission at Quetta on 20.4.2022 and submitted that Najam Sasoli had been traced. He disappeared on 28.7.2013 and returned home on 24.8.2016. Tehsildar Noshki also furnished Tasdeeqi Certificate. No further action is required. The case is closed.</t>
  </si>
  <si>
    <t>8659-B</t>
  </si>
  <si>
    <t>Zafar Sumalani</t>
  </si>
  <si>
    <t>Ahmed Wall Noshkey</t>
  </si>
  <si>
    <t>Traced Person. Tehsildar Noshki appeared before the Commission at Quetta on 20.4.2022 and submitted that Zafar Sumalani had been traced. He disappeared on 8.3.2013 and returned home on 28.3.2013. Tehsildar Noshki also furnished Tasdeeqi Certificate. No further action is required. The case is closed.</t>
  </si>
  <si>
    <t>8660-B</t>
  </si>
  <si>
    <t>Traced Person. Tehsildar Noshki appeared before the Commission on 20.4.2022 whose statement was recorded on oath. According to him Abdul Rauf ID 8660-B had been traced. He also produced Taseedqi Certificate and statement of Ahsan Ullah Step Brother of Abdul Rauf. No further action is required. The case is closed.</t>
  </si>
  <si>
    <t>8661-B</t>
  </si>
  <si>
    <t>Shah Muhammad s/o Haji Abdul Wahab</t>
  </si>
  <si>
    <t>Bostan , District Pashin</t>
  </si>
  <si>
    <t>Deleted. Naib Tehsildar Bostan, Pashin appeared before the Commission on 26.4.2022 whose statement was reocrded on oath. According to him he was not a Missing Person. He has further submitted that Raz Muhammad s/o Shah Muhammad did appear before the DC on 30.3.2022. He has also stated that eved according to representative of IB Shah Muhammad died natural death during the year of 2017 and according to Raz Muhammad his father died natural death which fact is also indicated in the report of Naib Risaldar Levies Tana Bostan. No further acition is required. The case is closed.</t>
  </si>
  <si>
    <t>30th April, 2022</t>
  </si>
  <si>
    <t>8662-B</t>
  </si>
  <si>
    <t>Mansoor Hussain s/o Nazir Hussain</t>
  </si>
  <si>
    <t>Mubashir Hussain, r/o Yazdan Khan Road, Mohala Aliabad, Gali No. 1, House No. 7-1/121-51-B, P.S Quaid-e-Bad, Quetta City. (Mobile No. 0314-8154413).</t>
  </si>
  <si>
    <t>54400-2369743-3</t>
  </si>
  <si>
    <t>1st May, 2022</t>
  </si>
  <si>
    <t>8663-B</t>
  </si>
  <si>
    <t>Mujtaba Hussain s/o Manzoor Hussain</t>
  </si>
  <si>
    <t>Manzoor Hussain, r/o House No. 7-25/2, Muhammad Hassan Street, Nichari Road, P.S Quaid-e-Bad, Quetta. (Mobile No. 0333-7813040).</t>
  </si>
  <si>
    <t>54400-4184454-5</t>
  </si>
  <si>
    <t>8664-P</t>
  </si>
  <si>
    <t>Abdul Aziz, r/o Wari Chragh Khil, P.O Khas, Rangpur Baghure, Noorpur, District Khushab. (Mobile No. 0312-8844468 &amp; 0313-5060686).</t>
  </si>
  <si>
    <t>8665-K</t>
  </si>
  <si>
    <t>Bashir Ahmed s/o Saif-ul-Malook</t>
  </si>
  <si>
    <t>Nazir Ahmed, r/o P.O Tuta No Bandi, Tehsil Kabal, District Swat. (Mobile No.0346-8000175).</t>
  </si>
  <si>
    <t>15602-0474594-7</t>
  </si>
  <si>
    <t>8666-K</t>
  </si>
  <si>
    <t>Hakeem Khan s/o Tolay Khan</t>
  </si>
  <si>
    <t>Mst. Khachora, r/o Latka, Damgah, Macha Mada Khel, Tehsil Data Khel, North Waziristan. (Mobile No. 0308-9777739).</t>
  </si>
  <si>
    <t>21501-0570733-5</t>
  </si>
  <si>
    <t>8667-K</t>
  </si>
  <si>
    <t>Riaz Khan s/o Meer Sarfraz Khan</t>
  </si>
  <si>
    <t>Mst. Bakhtar Azh w/o Meer Sarfraz Khan, r/o Dolat Khel,, P/O Meer Ali, Distrcit North Waziristan. (Mobile No. 0346-9054950 &amp; 0332-9914990 &amp; 0335-6011109).</t>
  </si>
  <si>
    <t>21505-0858793-9</t>
  </si>
  <si>
    <t>8668-P</t>
  </si>
  <si>
    <t>Bebagr Imdad</t>
  </si>
  <si>
    <t>Muhammad Salim, r/o Punjab University Lahore, Boys Hostel No. 11, Room No. 34, P.S Muslim Town, District Lahore. (Mobile No. 0348-8757948).</t>
  </si>
  <si>
    <t>52203-9435884-9</t>
  </si>
  <si>
    <t>Traced Person. Muhammad Obaid Masood, Chief Security Officer, University of the Punjab appeared before the Commission at Lahore on 12.5.2022 on the behalf of Punjab University and highlighted factual aspects of the episode in a brilliant manner. He further submitted that Bebagr Imad remained under investigation for a couple of days whereafter he released. Hence no further action is required. The case is closed.</t>
  </si>
  <si>
    <t>8669-B</t>
  </si>
  <si>
    <t>Muhammad Anwar s/o Syed Nazeem</t>
  </si>
  <si>
    <t>Muhammad Rahim, r/o P.O Nakis, P.S Harnai, Tehsil &amp; District Harnai. (Mobile No. 0336-8525275 &amp; 0331-3996601).</t>
  </si>
  <si>
    <t>55501-0343221-1</t>
  </si>
  <si>
    <t>8670-B</t>
  </si>
  <si>
    <t>Akhlaq Ahmed s/o Nawaz Ahmed Baloch</t>
  </si>
  <si>
    <t>Mst. Asmeeda d/o Nawaz Ahmed Baloch, r/o Kaee Teer Tejaa, P.O &amp; Tehsil Awaran, District Awaran, Balochistan. (Mobile No. 0331-3326941).</t>
  </si>
  <si>
    <t>51101-5479474-5</t>
  </si>
  <si>
    <t>Balochistan/ Kech</t>
  </si>
  <si>
    <t>8671-B</t>
  </si>
  <si>
    <t>Abdul Rasheed s/o Saleh Muhammad</t>
  </si>
  <si>
    <t>Mst. Khair Bibi w/o Saleh Muhammad, r/o Kalye Haji Atta Muhammad Bandhi, District Nushki. (Mobile No. 0344-8077900).</t>
  </si>
  <si>
    <t>54501-2070802-6</t>
  </si>
  <si>
    <t>8672-I</t>
  </si>
  <si>
    <t>Tahseen Ahmed Abbasi s/o Muhammad Aksaar</t>
  </si>
  <si>
    <t>Mehtab Ahmed Abbasi, r/o Gali No. 03, House No. 24, Barah Koh, Thandi Toee, Mohalla Usmanabad, Tehsil &amp; District Islamabad. (Mobile No. 0334-6918980 &amp; 0300-5200710).</t>
  </si>
  <si>
    <t>61101-15147626-7</t>
  </si>
  <si>
    <t>FIR No. 196/22, dated 20/2/22, U/C 365 PPC P.S Barah Koh, ICT</t>
  </si>
  <si>
    <t>8673-S</t>
  </si>
  <si>
    <t>Ameer Hussain s/o Haji Khan</t>
  </si>
  <si>
    <t>Imtiaz Ali, r/o Near Muhammad Ali Road, Hazrat Bilal Colony, Korangi Industrial Area, Karachi. (Mobile No. 0303-2770906 &amp; 0302-1376046).</t>
  </si>
  <si>
    <t>45304-3749834-1</t>
  </si>
  <si>
    <t>8674-K</t>
  </si>
  <si>
    <t>Ikraam Ullah s/o Gul Daali</t>
  </si>
  <si>
    <t>00/00/2021</t>
  </si>
  <si>
    <t>Mst. Mahatu Alhata w/o Late Gul Daali, r/o Villahge Balulaye Shah Tangaye, P.O Khar, Tehsil Salar Zai, Distric Bajaur. (Mobile No. 0301-2880415 &amp; 0345-9524812).</t>
  </si>
  <si>
    <t>8675-K</t>
  </si>
  <si>
    <t>Ibrahim Khan s/o Maaz Ullah Khan</t>
  </si>
  <si>
    <t>Maaz Ullah Khan, r/o Mansoor Kor, P.O Sandu Khel, Malik Sultan Sandu Khel, Tehsil Safi, District Mohmand. (Mobile No. 0303-9013854 &amp; 0336-9960526).</t>
  </si>
  <si>
    <t>21405-7557445-1</t>
  </si>
  <si>
    <t>8676-P</t>
  </si>
  <si>
    <t>Feroz Ahmed</t>
  </si>
  <si>
    <t>Rahim Dad, r/o SN-155 Dhoke Kala Khan, Ali Akbar, Near Usmania Masjid, Shamsabad, Rawalpindi. (Mobile No. 0323-8234967).</t>
  </si>
  <si>
    <t>52203-3514673-3</t>
  </si>
  <si>
    <t>8677-K</t>
  </si>
  <si>
    <t>Fazal Molla @ Shahid s/o Nawaz Khan</t>
  </si>
  <si>
    <t>Mst. Zahida bibi w/o Nawaz Khan, r/o Mammenzo, Tehsil Khar, District Bajaur. (Mobile No. 0305-9140763).</t>
  </si>
  <si>
    <t>8678-K</t>
  </si>
  <si>
    <t>Bakhat Zameen</t>
  </si>
  <si>
    <t>8679-P</t>
  </si>
  <si>
    <t>Mufti Muhammad Sikandar Hayat s/o Ahmed Hayat</t>
  </si>
  <si>
    <t>Lashkar Ali, r/o Mohalla Mossa Khel Dhaik, P.O &amp; Tehsil Noorpur Thal, District Khushab, Punjab. (Mobile No. 0334-5054486).</t>
  </si>
  <si>
    <t>38202-8454262-9</t>
  </si>
  <si>
    <t>8680-B</t>
  </si>
  <si>
    <t>Muhammad Akbar Khan</t>
  </si>
  <si>
    <t>r/o Datta Khel, P.O Tehsil Spinwam, District North Waziristan.</t>
  </si>
  <si>
    <t>21509-9059895-5</t>
  </si>
  <si>
    <t>8681-B</t>
  </si>
  <si>
    <t>Gulzar Ahmed Baloch s/o Abdul Ghafoor Baloch</t>
  </si>
  <si>
    <t>Abdul Ghafoor Baloch, r/oKalye Kocha, P.O Gresha Naal, Teshil &amp; District Khuzdar. (Mobile No. 0331-3730844 &amp; 0333-8452862).</t>
  </si>
  <si>
    <t>51402-1585347-1</t>
  </si>
  <si>
    <t>8682-B</t>
  </si>
  <si>
    <t>Saud Aqib Sarparah Baloch s/o Haji Noor Ullah Sarparah Baloch</t>
  </si>
  <si>
    <t>Haji Noor Ullah Sarparah Baloch, r/o Kale Sardar Ahmed Khan, P.O Tehsil Kard Gaap, District Mestung. (Mobile No. 0333-7827448).</t>
  </si>
  <si>
    <t>54400-9205849-3
 Father CNIC</t>
  </si>
  <si>
    <t>8683-B</t>
  </si>
  <si>
    <t>Farhad Sarparah Baloch s/o Haji Noor Ullah Sarparah Baloch</t>
  </si>
  <si>
    <t>8684-B</t>
  </si>
  <si>
    <t>Saqib Zaib Sarparah Baloch s/o Haji Nisar Ahmed Sarparah Baloch</t>
  </si>
  <si>
    <t>Haji Nisar Ahmed Sarparah Baloch, r/o Kale Sardar Ahmed Khan, P.O Tehsil Kard Gaap, District Mestung. (Mobile No. 0333-7827448).</t>
  </si>
  <si>
    <t>51602-1832640-9
 Father CNIC</t>
  </si>
  <si>
    <t>8685-B</t>
  </si>
  <si>
    <t>Said Yaseen Sarparah Baloch s/o Haji Nisar Ahmed Sarparah Baloch</t>
  </si>
  <si>
    <t>8686-B</t>
  </si>
  <si>
    <t>Haroon Waleed Sarparah Baloch s/o Haji Nisar Ahmed Sarparah Baloch</t>
  </si>
  <si>
    <t>8687-B</t>
  </si>
  <si>
    <t>Muhammad Azam s/o Abdul Qadir</t>
  </si>
  <si>
    <t>Muhammad Sadiq, r/o Yousaf Genrel Store, Kachi Baig Girls School, Saryab Road, Quetta. (Mobile No. 0334-3041853).</t>
  </si>
  <si>
    <t>54401-1659657-3</t>
  </si>
  <si>
    <t>8688-B</t>
  </si>
  <si>
    <t>Gul Muhammad s/o Bahadur Khan</t>
  </si>
  <si>
    <t>Baldaj Khan, r/o Kalye Baru, Jadeed Mian Khan, Saryab Road, Quetta. (Mobile No. 0336-7888451).</t>
  </si>
  <si>
    <t>54400-3844361-5</t>
  </si>
  <si>
    <t>8689-B</t>
  </si>
  <si>
    <t>Dad Muhammad Marri Baloch s/o Haji Khan Marri Baloch</t>
  </si>
  <si>
    <t>00/00/2013</t>
  </si>
  <si>
    <t>Morria Khan Marri Baloch, r/o Mohalla East By Pass, Tehsil Quetta City, District Quetta. (Mobile No. 0313-6886227).</t>
  </si>
  <si>
    <t>53402-1928903-3
 Brother CNIC</t>
  </si>
  <si>
    <t>8690-P</t>
  </si>
  <si>
    <t>Sheikh Adeel Ahmed s/o Munir Ahmed</t>
  </si>
  <si>
    <t>Mst. Sadaf Malik, r/o Mohalla Purani Sakrial, Madni Town, City Rawalpindi. (Mobile No. )</t>
  </si>
  <si>
    <t>37405-6406781-3</t>
  </si>
  <si>
    <t>8691-P</t>
  </si>
  <si>
    <t>Rafiullah s/o Said Amir Jan</t>
  </si>
  <si>
    <t>Habibi Ullah, r/o Village Gogdara, District Swat. (Mobile No. 0346-9431964 &amp; 0347-5704246).</t>
  </si>
  <si>
    <t>15602-0393187-1
 Brother CNIC</t>
  </si>
  <si>
    <t>8692-K</t>
  </si>
  <si>
    <t>Akhtar Muneer s/o Qasim Jan</t>
  </si>
  <si>
    <t>Mst. Meraj Bibi w/o Qasim Jan, r/o Village Tetai Bazkhela, Tehsil Matta, District Swat. (Mobile No. 0341-2016758).</t>
  </si>
  <si>
    <t>8693-I</t>
  </si>
  <si>
    <t>Mastan Khan s/o Anwar Baig</t>
  </si>
  <si>
    <t>Burhan Ullah, r/o Itfaq Colony, Rehmania Masjid, Tarnol, Islamabad. (Mobile No. 0344-0212121 &amp; 0342-5577455).</t>
  </si>
  <si>
    <t>61101-6392336-5</t>
  </si>
  <si>
    <t>Traced Person. Mastan Khan appeared before the Commission on 10.6.2022 and submitted that he was allegedly abducted, however, he could not furnish further details of the episode. No further action is required. The case is closed.</t>
  </si>
  <si>
    <t>8694-K</t>
  </si>
  <si>
    <t>Falak Zaib s/o Malang</t>
  </si>
  <si>
    <t>Mst, Saima, r/o Mohalla Walayat Khel, Village Toor Dhair, Tehsil Lahore, District Swabi, KPK. (Mobile No. 0303-5662532 &amp; 0345-9319826 &amp; 0317-9502491).</t>
  </si>
  <si>
    <t>16201-0153688-5</t>
  </si>
  <si>
    <t>8695-B</t>
  </si>
  <si>
    <t>Faisal s/o Wahab</t>
  </si>
  <si>
    <t>Deleted. A hearing was held on this case at Quetta on 24.5.2022 at which DSP, Kuchlakh, District Quetta informed that the case of the Missing Person was earlier disposed of by the Commission vide ID No. 4125-B on 21.1.2018 for want of complete address. Identical position that has been observed in the present case. Hence not a case of enforced disappearance. The case is closed.</t>
  </si>
  <si>
    <t>8696-B</t>
  </si>
  <si>
    <t>Asghar Baloch s/o Muhammad</t>
  </si>
  <si>
    <t>Nazir Ahmed Baloch, r/oKalye Mohalla Mehnaz, P.O Bhata, Tehsil Baleedah, District Kech, Balochistan. (Mobile No. 0318-0293449).</t>
  </si>
  <si>
    <t>52201-1066390-3</t>
  </si>
  <si>
    <t>8697-B</t>
  </si>
  <si>
    <t>Kifayat ullah Lango Baloch s/o Muskan Khan Baloch</t>
  </si>
  <si>
    <t>Mst. Kiran Baloch w/o Kifayat Ullah Lango Baloch (Missing Person), Laye Darkaze. Mehmood Gram North, P.O Khaliqabad, Tehsil Khaliqabd Mangchar, District Qalat, Balochistan. (Mobile No. 0333-0646815).</t>
  </si>
  <si>
    <t>51201-2243103-5</t>
  </si>
  <si>
    <t>Balochistan/ Kalat</t>
  </si>
  <si>
    <t>8698-B</t>
  </si>
  <si>
    <t>Muhammad Iqbal Baloch s/o Qadir Bakhsh Baloch</t>
  </si>
  <si>
    <t>Ijaz Ahmed Baloch, r/o Kalye Mohalla Bazar Khuda Badan, Tehsil &amp; P.O Chatkan, District Panjgur. (Mobile No. 0333-7981690).</t>
  </si>
  <si>
    <t>52301-0316772-7</t>
  </si>
  <si>
    <t>8699-K</t>
  </si>
  <si>
    <t>Sana Ullah s/o Mustaqeem</t>
  </si>
  <si>
    <t>Mst. Bibi Akhteyra w/o Mustaqeem, r/o Village Galishay Tangay, Tehsil Sararogha, District South Waziristan. (Mobile No. 0305-9003838).</t>
  </si>
  <si>
    <t>21704-1021845-6
 Mother CNIC</t>
  </si>
  <si>
    <t>8700-K</t>
  </si>
  <si>
    <t>Shair Zaman Khan</t>
  </si>
  <si>
    <t>Sadiqa Bibi w/o Shair Zaman Khan, r/o Batmali, Tehsil Salarzai, District Bajaur. (Mobile No. 0306-3828421 &amp; 0301-0088043)</t>
  </si>
  <si>
    <t>8701-K</t>
  </si>
  <si>
    <t>Mir Kalam Khan s/o Ghulab Din</t>
  </si>
  <si>
    <t>Mst. Akhmara Bibi w/o Mir Qalam Khan, r/o Tabai Galishai, Tehsil Sararogha,South Waziristan. (0335-1534650).</t>
  </si>
  <si>
    <t>21704-4877271-1</t>
  </si>
  <si>
    <t>8702-B</t>
  </si>
  <si>
    <t>Zahir-ud-Din Baloch s/o Muhammad Akbar Balcoh</t>
  </si>
  <si>
    <t>Mst.Uzma, r/o Mohalla Khairabad, P.O &amp; Tehsil Khuzdar, District Khuzdar. (Mobile No. 0332-7999723 &amp; 0335-3138214).</t>
  </si>
  <si>
    <t>51401-2850455-9</t>
  </si>
  <si>
    <t>8703-K</t>
  </si>
  <si>
    <t>Ali Gohar s/o Shahzada</t>
  </si>
  <si>
    <t>Mst. Gulshan Arah, r/o Sada Bahar, Street Kinal Road, Islam Bagh, Mardan. (Mobile No. 0311-0508285 &amp; 0303-3334398).</t>
  </si>
  <si>
    <t>16101-7409325-3</t>
  </si>
  <si>
    <t>8704-S</t>
  </si>
  <si>
    <t>Engr. Abdul Rehman Khan s/o Abdul Moez Khan</t>
  </si>
  <si>
    <t>Abdul Moez Khan, r/o House No. 1228, Block 17, FB Area, P.S Jauharabad Federal B Area, Karachi. (Mobile No. 0305-2170721).</t>
  </si>
  <si>
    <t>8705-B</t>
  </si>
  <si>
    <t>Bangurh Khan s/o Shah Han</t>
  </si>
  <si>
    <t>Traced Person. SSP (Inv) Quetta informed at the hearing held in this case on 30.5.2022 that Bangurah Khan s/o Shahan had been traced as had returned home. He was abducted during the year of 2012 and released after six months but he could not identify those persons who picked hime. No further action is required. The case is closed.</t>
  </si>
  <si>
    <t>8706-B</t>
  </si>
  <si>
    <t>Quraish s/o Meera Khan</t>
  </si>
  <si>
    <t>Traced Person. It was informed at the hearing held on 30.5.2022 by SSP (Inv) Quetta that Quraish had been traced. Arshe @ Quraish appeared before the Commission whose statement was beeen recorded on oath in which he deposed that he was abducted during the year 2012 and released after six months. No further action is required. The case is closed.</t>
  </si>
  <si>
    <t>8707-B</t>
  </si>
  <si>
    <t>Peer Muhammad s/o Rehmat Khan</t>
  </si>
  <si>
    <t>Traced Person. It was informed by SSP (Inv) Quetta at the hearing on 30.5.2022 that Peer Muhammad had been traced. He was abducted during the year 2012 and returned after six months, and presently he was at Rakni. No further is required. The case is closed.</t>
  </si>
  <si>
    <t>8708-B</t>
  </si>
  <si>
    <t>Shah Ali s/o Hajuyan</t>
  </si>
  <si>
    <t>Traced Person. SSP (Inv) Quetta informed at the hearing held in this case on 30.5.2022 that Shah Ali had been traced. Mr. Shado s/o Hajiyan (brother) appeared whose statement was recorded on oath in which he deposed that Shah Ali s/o Hajiyan abducted during the year 2012 and returned after six months. He further stated that his brother remained sick, died and buried in Hazar Ganji Graveyard. No further action is required. The case is closed.</t>
  </si>
  <si>
    <t>8709-B</t>
  </si>
  <si>
    <t>Samad Khan s/o Hadu Marri</t>
  </si>
  <si>
    <t>Traced Person. SSP (Inv) Quetta informed at the hearing held in case on 30.5.2022 that Samad Khan had returned home. Nasir Baloch (Nephew) appeared before the Commission whose statement was recorded on oath in which he deposed that his uncle Samad Khan s/o Hadu Marri was abducted by some unknown persons during the year 2012 and returned after six months. He has also submitted that his uncle died about 8 months back. No further action is required. The case is closed.</t>
  </si>
  <si>
    <t>8710-B</t>
  </si>
  <si>
    <t>Niaz Muhammad s/o Haji Abul Wahab</t>
  </si>
  <si>
    <t>Deleted. It has been intimated at the time of hearing on 26.4.2022 at Quetta that Missing Person Niaz Muhammad is the same person in Case No. 0065-B and 8710-B. This issue already stands closed vide Case No. 0065-B as the compainant could not porduce any witness in his favour that Niaz Muhammad was abducted by Agencies.</t>
  </si>
  <si>
    <t>8711-B</t>
  </si>
  <si>
    <t>Niaz Muhammad s/o Shah Muhammad</t>
  </si>
  <si>
    <t>8712-K</t>
  </si>
  <si>
    <t>Rehmat Zada s/o Pai Muhammad</t>
  </si>
  <si>
    <t>Naik Muhammad, r/o Rama, P.O Koza Bandi, Koza Bandi, Tehsil Kabal, District Swat. (Mobile No. 0313-9019775 &amp; 0324-5138184).</t>
  </si>
  <si>
    <t>15602-0793433-1
 Brother CNIC</t>
  </si>
  <si>
    <t>8713-I</t>
  </si>
  <si>
    <t>Tariq Saeed s/o Molvi Muhammad Ismail</t>
  </si>
  <si>
    <t>Mushtaq-ur-Rehman, r/o Village Manda Kalee, Jhelum Valley, Tehsil Yappa, District Hattia, AJK. (Mobile No. 0346-1587267 &amp; 0582-2462524).</t>
  </si>
  <si>
    <t>61101-1987621-7</t>
  </si>
  <si>
    <t>8714-K</t>
  </si>
  <si>
    <t>Aziz Rehman s/o Mir Dal Khan</t>
  </si>
  <si>
    <t>Mir Dal Khan, r/o Khadri Muhammad Khel, SDW, Bannu, KPK. (Mobile No. 0335-5957146).</t>
  </si>
  <si>
    <t>11101-4350147-3
 Father CNIC</t>
  </si>
  <si>
    <t>8715-I</t>
  </si>
  <si>
    <t>Muhammad Bilal s/o Muhammad Sharif</t>
  </si>
  <si>
    <t>Muhammad Iqbal, r/o Chota Bandrah, Tehsil &amp; District Bhawalpur. (Mobile No. 0304-7241128)</t>
  </si>
  <si>
    <t>31202-3007767-1</t>
  </si>
  <si>
    <t>8716-K</t>
  </si>
  <si>
    <t>Khizar Hayat s/o Lal Zali Khan</t>
  </si>
  <si>
    <t>Lal Zali Khan, r/o Sapa Gaybi Khel, Amri Khel, Mandi Kaas, P.O &amp; Tehsil Barah, District Khyber. (Mobile No. 0317-1388939 &amp; 0306-9066161).</t>
  </si>
  <si>
    <t>21201-5517165-7</t>
  </si>
  <si>
    <t>8717-S</t>
  </si>
  <si>
    <t>Jai Kishan s/o Rajeesh Kumar</t>
  </si>
  <si>
    <t>Rajeesh Kumar, r/o Nasir Colony, House No. 809, Sector 32-D, Korangi, Karachi. (Mobile No. 0304-2297082).</t>
  </si>
  <si>
    <t>45304-5680980-5 
 Father CNIC</t>
  </si>
  <si>
    <t>8718-P</t>
  </si>
  <si>
    <t>Syed Muhammad Arif s/o Syed Muhammad Aslam Shah</t>
  </si>
  <si>
    <t>Syed Muhammad Aslam Shah, r/o House No. 35, Gali No. 17, Mohalla Jameelabad, Mean G.T Road Taxila, P.S Taxila, Distrcit Rawalpindi. (Mobile No. 0307-7174537 &amp; 0310-5599856).</t>
  </si>
  <si>
    <t>42401-6608500-7</t>
  </si>
  <si>
    <t>SPLIT CoIoED No. Num</t>
  </si>
  <si>
    <t>SPLIT CoIoED No. Cat</t>
  </si>
  <si>
    <t>Day</t>
  </si>
  <si>
    <t>Month</t>
  </si>
  <si>
    <t>Sub-Status (cleaned)</t>
  </si>
  <si>
    <t>?</t>
  </si>
  <si>
    <t>0103</t>
  </si>
  <si>
    <t xml:space="preserve">Abdul Rehman Tawami </t>
  </si>
  <si>
    <t>FIR No. 83, dt. 09 Feb 10,  PS Pishtakhara</t>
  </si>
  <si>
    <t>NA (Traced Person)</t>
  </si>
  <si>
    <t>0125</t>
  </si>
  <si>
    <t>FIR No. 21/2010 u/s 365-PPC, dt. 30 Jan 10,     PS Sariab</t>
  </si>
  <si>
    <t>Re-Open  on the request of Complainant</t>
  </si>
  <si>
    <t>0154</t>
  </si>
  <si>
    <t>Lower Mughal Pura , Qazi Mohallah, Tehsil &amp; District Abbottabad.
CNIC: 13101-0955711-3</t>
  </si>
  <si>
    <t>FIR No. 11,   dt. 17 Apr 04 u/s 365-PPC, PS Crime Branch, Peshawar</t>
  </si>
  <si>
    <t>NA (Under investigation)</t>
  </si>
  <si>
    <t>0174</t>
  </si>
  <si>
    <t>Dr. Abid Sharif   S/o Muhammad Sherif</t>
  </si>
  <si>
    <t>FIR No. 47 u/s 365-PPC,      dt. 21 Jan 10, P.S. R.A Bazar, Rawalpindi.</t>
  </si>
  <si>
    <t xml:space="preserve">Under Investigation </t>
  </si>
  <si>
    <t>0179</t>
  </si>
  <si>
    <t>0183</t>
  </si>
  <si>
    <t>0213</t>
  </si>
  <si>
    <t/>
  </si>
  <si>
    <t>0258</t>
  </si>
  <si>
    <t>Village Haji Muhammad Hassan Chang at Pacca Chang Taluka Faiz Ganj, Distt: Mir Pur Khas  CNIC: 45201-5107779-3</t>
  </si>
  <si>
    <t>FIR No. 14/2010,      dt.02 Feb 10 PS Faiz Ganj</t>
  </si>
  <si>
    <t xml:space="preserve"> Deleted. A number of meetings of JIT have been held in this case , the last one on 29.2.2020 JIT after through probe, examination of witness, interrogation of alleged accused perusal of record details discussions and exchanging of views reached the conclusion that allegation leveled against the Police Officers i.e the then DPO Khairpur , Imran Yaqoob Minhas the then DPO, Sukkur Aftab Ahmed Halepoto and former SHO PS Rohri Inspector Jahangir Mahar, who appeared before the JIT did not stand substantiated. Similarly, for the officers of MI and ISI, the Ministry of Defence, Government of Pakistan, vide letter No. 1/101/Dir Legal/10 dated 4th December, 2010 had clarified that no such officers by the name of Mahor Iftikhar, Major Muhammad Zaman and Major Mushtaque have ever served in the setups of Military Intelligence and Inter Service Intelligence.  Hence the case is closed as the Missing Person has apparently gone on his own. </t>
  </si>
  <si>
    <t>0280</t>
  </si>
  <si>
    <t>0283</t>
  </si>
  <si>
    <t>FIR No. 45,   dt. 21 Jan 10, PS Westridge, Rawalpindi.</t>
  </si>
  <si>
    <t>0333</t>
  </si>
  <si>
    <t>FIR No. 12,   dt. 12 Sep 09,   PS Ghora Galli</t>
  </si>
  <si>
    <t>0343</t>
  </si>
  <si>
    <t>0505</t>
  </si>
  <si>
    <t>0516</t>
  </si>
  <si>
    <t>0576</t>
  </si>
  <si>
    <t>0925</t>
  </si>
  <si>
    <t>FIR No. 75
dt. 14/04/2010
u/s 365/34 PPC PS Nabi Bux, Karachi</t>
  </si>
  <si>
    <t>1312</t>
  </si>
  <si>
    <t xml:space="preserve">Saifullah S/o Haji Abdul Bari Ababki </t>
  </si>
  <si>
    <t>Killi Mustafaabad, Behind WAPDA Grid Station, Sariab Road, Quetta     CNIC: 54400-0528969-1</t>
  </si>
  <si>
    <t>FIR No. 29/2010 u/s 365-PPC ,     dt. 08 Feb 10, PS Sariab</t>
  </si>
  <si>
    <t>1712</t>
  </si>
  <si>
    <t>FIR No. 19/2010  u/s 365/34-PPC, PS Shalkot.</t>
  </si>
  <si>
    <t>2247</t>
  </si>
  <si>
    <t>Traced Person. Returned to Home and available at         (H.NO: 323/3 Sayyeal Abad near Bismillah Masjid Darya khan road, Layari Karachi.)</t>
  </si>
  <si>
    <t>2345</t>
  </si>
  <si>
    <t>2403</t>
  </si>
  <si>
    <t>Darmini Khattan, Khuzdar,          CNIC:51401-7286784-7</t>
  </si>
  <si>
    <t xml:space="preserve">FIR No. 47/09 u/s 365-PPC, dt.27 Mar 09,  PS city Khuzdar </t>
  </si>
  <si>
    <t>2447</t>
  </si>
  <si>
    <t>2470</t>
  </si>
  <si>
    <t xml:space="preserve">Niaz Muhammad s/o
Rahim Bakhsh
</t>
  </si>
  <si>
    <t>2495</t>
  </si>
  <si>
    <t xml:space="preserve">C/o Amir Memhmood Afridi, Assistant Accounts Officer of Controller General of Accounts G-5/2, Islamabad, CNIC: 21202-9543908-5
</t>
  </si>
  <si>
    <t>2522</t>
  </si>
  <si>
    <t>Gali Mohallah Chandni Chowk, Nizam Abad, Khuzdar             CNIC:51401-2289206-5</t>
  </si>
  <si>
    <t>2578</t>
  </si>
  <si>
    <t xml:space="preserve">0026-B </t>
  </si>
  <si>
    <t>C/O Abdul Ghaffar, House No. 13, Dawal Maha, Karachi                      C/o Human Rights Commission of Pakistan                                          CNIC No. 52205-7707655-3</t>
  </si>
  <si>
    <t xml:space="preserve">Traced Person. It has been reported at the hearing on 24.3.2022 by SSP, Lasbella that as per information shared by FIA Ehsan Arjumandi left for Norway vide Passport NO. 17363381 from Karachi through Flight No. QR605 on 31st August, 2021 shown in the record of the FIA, Integrated Border Management System, Jinnah International Airport, Karachi. No further action is required. The case is closed. </t>
  </si>
  <si>
    <t>2583</t>
  </si>
  <si>
    <t>2614</t>
  </si>
  <si>
    <t>L-1136-37, Shireen Jinnah Colony, Karachi.    CNIC: 21203-9931929-9</t>
  </si>
  <si>
    <t>FIR No. 68/2010,     dt.29 Jan 10,  PS Boat Basin, Karachi.</t>
  </si>
  <si>
    <t>2616</t>
  </si>
  <si>
    <t>H.No. CB-365/Q-1/945, Dhok Chaudrian, Qasim Road, Tehsil &amp; Distt Rawalpindi   CNIC:37405-5230585-5</t>
  </si>
  <si>
    <t>FIR No. 111/2010,      dt.27 Jun 09 PS R.A Bazar</t>
  </si>
  <si>
    <t>2622</t>
  </si>
  <si>
    <t xml:space="preserve">Traced Person. It was informed at the hearing on 06/08/2018 that Mohibullah was confined in the Internment Center Lakki Marwat family members had already met with him in the aforementioned Internment Center. </t>
  </si>
  <si>
    <t>Internment Centre</t>
  </si>
  <si>
    <t>2629</t>
  </si>
  <si>
    <t>House # 03, Marvi Garden, US-3, Qasim Abad, Hyderabad, Sindh   CNIC: 41306-8216106-1997</t>
  </si>
  <si>
    <t>FIR No. 18/2010,           dt 05 Feb 10,    PS Bhittai Nagar</t>
  </si>
  <si>
    <t>2630</t>
  </si>
  <si>
    <t>Nasim Nagar, Qasimanbad, Hyderabad             CNIC: 41306-4388850-3</t>
  </si>
  <si>
    <t>FIRNo. 18/2010
dt: 05/02/2010
u/s 365/34 PPC
PS Bhittai Nagar, Hyderabad</t>
  </si>
  <si>
    <t>2632</t>
  </si>
  <si>
    <t>2637</t>
  </si>
  <si>
    <t xml:space="preserve">Zarina Khattan near Engineering University Gate Khuzdar             </t>
  </si>
  <si>
    <t>2641</t>
  </si>
  <si>
    <t xml:space="preserve">Chakar Khan Marri S/o Jamil Ahmed </t>
  </si>
  <si>
    <t xml:space="preserve">FIR No. 4
dt 31/07/2010
u/s 365 PPC
PS CPC Quetta </t>
  </si>
  <si>
    <t>Traced Person. He returned to home on 19/01/2011 statement  of his brother recorded.</t>
  </si>
  <si>
    <t>2651</t>
  </si>
  <si>
    <t>House # 19, Street # 13, Sector F-7/2, Islamabad, Village/P.O Hussainabad, Bannu    CNIC: 11101-1454464-7</t>
  </si>
  <si>
    <t>FIR No. 260,  u/s 365 TP, dt. 26 Jul 10, PS: Kohsar</t>
  </si>
  <si>
    <t>2656</t>
  </si>
  <si>
    <t>Mohallah Aliabad, Tehsil&amp; district: Hangu                    CNIC: 21604-3666619-5</t>
  </si>
  <si>
    <t>FIR No. 54
dt: 09/02/2010
u/s 365 PPC
PS Hangu</t>
  </si>
  <si>
    <t>2659</t>
  </si>
  <si>
    <t>FIR No. 299/2008,   dt.29 Jun 08,  PS Surjani Town, Karachi.</t>
  </si>
  <si>
    <t>2665</t>
  </si>
  <si>
    <t>FIR No. 228/09 u/s 365, 147, 149, 337/H2,  dt: 20-Dec-09, Ps: Khuzdar</t>
  </si>
  <si>
    <t>2667</t>
  </si>
  <si>
    <t>Hindu Mohallah, Bazar Nal, Tehsil, Nal, District, Khuzdar,         CNIC:51402-0184863-1</t>
  </si>
  <si>
    <t>2674</t>
  </si>
  <si>
    <t>Tehsil Buleda (Turbat), District Turbat (Kech), Makran                  CNIC:55202-9246168-7</t>
  </si>
  <si>
    <t>FIR No. 64
dt: 26/03/2010
u/s 365/34 PPC
PS City Quetta</t>
  </si>
  <si>
    <t>2687</t>
  </si>
  <si>
    <t>FIR No. 309/09, u/s 365, 34-PPC,               dt: 22-Dec-09, PS: Civil Lines, Quetta</t>
  </si>
  <si>
    <t>2688</t>
  </si>
  <si>
    <t>Beroon Yaka Toot, Zargarabad  Mohallah,Sadiqabad, Peshawar.           CNIC: 17301-3264465-9</t>
  </si>
  <si>
    <t xml:space="preserve">Traced Person. Returned to home on 02/03/2012. Affidavit submitted on his behalf. </t>
  </si>
  <si>
    <t>2693</t>
  </si>
  <si>
    <t>2697</t>
  </si>
  <si>
    <t>88/89 P-Block, Gulistan Colony, Jhang Road, Faisalabad           CNIC:33100-076029-9</t>
  </si>
  <si>
    <t>FIR No. 62, dt.21 Jan 10,  PS Jhang Bazar.</t>
  </si>
  <si>
    <t>3008</t>
  </si>
  <si>
    <t xml:space="preserve">Ehsan Ali, Mohallah Teliabad Post Office Kanju Kabal Swat.  (Mobile No.0333-9481097 &amp; 0313-9481097)          </t>
  </si>
  <si>
    <t>3009</t>
  </si>
  <si>
    <t>3012</t>
  </si>
  <si>
    <t>3017</t>
  </si>
  <si>
    <t xml:space="preserve">Village, Aligrama, Mohallah, Muslimabad, P.O. Kabal, Tehsil &amp; Distt, Swat.       </t>
  </si>
  <si>
    <t>3018</t>
  </si>
  <si>
    <t>Village, Aligrama, Mohallah, Muslimabad, P.O. Kabal, Tehsil &amp; Distt, Swat.                                         CNIC: 15602-8326876-9</t>
  </si>
  <si>
    <t>3019</t>
  </si>
  <si>
    <t>Village, Aligrama, Mohallah, Muslimabad, P.O. Kabal, Tehsil &amp; Distt, Swat.    CNIC: 15602-3766293-5</t>
  </si>
  <si>
    <t>FIR No. 971,
dt. 06/10/2010, u/s 365 PPC, PS: Chamkani, Peshawar</t>
  </si>
  <si>
    <t>3020</t>
  </si>
  <si>
    <t>Village, Aligrama, Mohallah, Muslimabad, P.O. Kabal, Tehsil &amp; Distt, Swat.                                             CNIC: 15602-0318759-9</t>
  </si>
  <si>
    <t>3021</t>
  </si>
  <si>
    <t xml:space="preserve">Village, Aligrama, Mohallah, Muslimabad, P.O. Kabal, Tehsil &amp; Distt, Swat.                           </t>
  </si>
  <si>
    <t>3033</t>
  </si>
  <si>
    <t>3069</t>
  </si>
  <si>
    <t>0052</t>
  </si>
  <si>
    <t>FIR No.152,
dt: 4/8/2011, u/s 365 PPC, PS Bagh, AJ&amp;K</t>
  </si>
  <si>
    <t xml:space="preserve">Deleted. The case was received from Human Right Cell, Supreme Court of Pakistan on 20.9.2021. Investigation into the case revealed that incident of disappearance, which took place on 27.2.2003 was reported to the Police on 6.4.2010. The case has been probing thoroughly under the supervision of DIG (HQ) AJK Police. As many as 21 hearings were held in this case by the Commission. It has been concluded that it is not a case of enforced disappearance. The case is closed. </t>
  </si>
  <si>
    <t xml:space="preserve"> </t>
  </si>
  <si>
    <t>3078</t>
  </si>
  <si>
    <t>3079</t>
  </si>
  <si>
    <t>3089</t>
  </si>
  <si>
    <t xml:space="preserve">Traced Person. Dead body recovered from the mountains of Turbat. Buried in Mastung. Father confirmed. </t>
  </si>
  <si>
    <t>3091</t>
  </si>
  <si>
    <t xml:space="preserve">Killi Bulghani, Kishangagi Dosay, Distt: Noshki </t>
  </si>
  <si>
    <t>3095</t>
  </si>
  <si>
    <t>FIR No.799
dt:16/11/2010
u/s 365 PPC
PS City, D I Khan</t>
  </si>
  <si>
    <t>Traced Person. He was  kept in alleged detention by Police and released on 30/06/2011.</t>
  </si>
  <si>
    <t>3107</t>
  </si>
  <si>
    <t xml:space="preserve">Traced Person. Returned to home on 30/08/2011 as confirmed by DPO, Bannu. </t>
  </si>
  <si>
    <t xml:space="preserve">Traced Person. Faizan Farooq has to returned home and appeared before the Commission on 28/12/2018. His statement has been recorded. In his statement he has stated on oath that he went for Tableegh on 09th October, 2018 and back after 45 days. </t>
  </si>
  <si>
    <t>3114</t>
  </si>
  <si>
    <t>3115</t>
  </si>
  <si>
    <t xml:space="preserve">Lachhi s/o Sultan </t>
  </si>
  <si>
    <t>3117</t>
  </si>
  <si>
    <t>Syed RaJai Shah S/o  Syed Peral  Shah</t>
  </si>
  <si>
    <t xml:space="preserve">Tehsil Chathar, Post Office Chathar District Nasirabad </t>
  </si>
  <si>
    <t>FIR No. 8/2010, dt. 22  Mar 10, PS: Chatta, Naseerabad</t>
  </si>
  <si>
    <t>3120</t>
  </si>
  <si>
    <t>FIR No.13
dt 16/3/2011
u/s 365/34 PPC
PS: Levies Thana, Bostan.</t>
  </si>
  <si>
    <t>3121</t>
  </si>
  <si>
    <t xml:space="preserve">Abdul Nasir Marri S/o Abdul Ghafoor Marri </t>
  </si>
  <si>
    <t xml:space="preserve">House No. 69287, Haji Ali Bhadur road Quetta    </t>
  </si>
  <si>
    <t>3125</t>
  </si>
  <si>
    <t>Faizullah S/o  Laka</t>
  </si>
  <si>
    <t>FIR No. 89
dt: 19/5/2010
u/s 365/147/149 PPC
PS Shalkot, Quetta</t>
  </si>
  <si>
    <t>3128</t>
  </si>
  <si>
    <t>Hassan Khan S/o  Sikandar Ali Shah</t>
  </si>
  <si>
    <t>FIR No. 128
dt: 16/6/2010
u/s 365/34 PPC
PS Satellite Town, Quetta</t>
  </si>
  <si>
    <t>3138</t>
  </si>
  <si>
    <t>3141</t>
  </si>
  <si>
    <t>FIR No. 49
dt: 05/04/2010
u/s 365/34
PPC, PS Shalkot, Quetta</t>
  </si>
  <si>
    <t>3142</t>
  </si>
  <si>
    <t>3143</t>
  </si>
  <si>
    <t>3146</t>
  </si>
  <si>
    <t xml:space="preserve"> Traced Person as confirmed by Deputy Chief of Protocol MoFAs, Quetta that Missing Person was formed residing at Kabul, Afghanistan.</t>
  </si>
  <si>
    <t>3150</t>
  </si>
  <si>
    <t>0072</t>
  </si>
  <si>
    <t>3151</t>
  </si>
  <si>
    <t>3156</t>
  </si>
  <si>
    <t>FIR No. 74 
dt: 10/4/2011
u/s 365 PPC
PS Kulachi, District D.I. Khan</t>
  </si>
  <si>
    <t>3182</t>
  </si>
  <si>
    <t>FIR No. 111
dt: 24/04/2011
u/s 365 PPC
PS Ghauri Wala, District Bannu</t>
  </si>
  <si>
    <t>3184</t>
  </si>
  <si>
    <t>FIR No. 427
dt 23/4/2011
u/s 365 PPC
PS City Kohat</t>
  </si>
  <si>
    <t>3187</t>
  </si>
  <si>
    <t>Mouza Qamber, Golden Colony, Qambar, Swat
(Mobile No. 0300-8965273)</t>
  </si>
  <si>
    <t>3190</t>
  </si>
  <si>
    <t>FIR No. 454
dt 28/11/2010
u/s 365 PPC
PS Tajori, District Lakki Marwat</t>
  </si>
  <si>
    <t>3191</t>
  </si>
  <si>
    <t>FIR No.454
dt 28/11/2010
u/s 365 PPC
PS Tajori, District Lakki Marwat</t>
  </si>
  <si>
    <t>3192</t>
  </si>
  <si>
    <t xml:space="preserve">Village Khudal Bhart, Akra, PS: Mandan, Tehsil &amp; District Bannu 
(Mobile No. 0333-9741093,03326568910)
</t>
  </si>
  <si>
    <t>FIR No.25,
dt: 25/4/2011, u/s 365 PPC, PS Township, Bannu</t>
  </si>
  <si>
    <t>3193</t>
  </si>
  <si>
    <t>FIR No.69,
dt: 6/8/2011, u/s 364 PPC, PS Garhi Dopatta, AJ&amp;K</t>
  </si>
  <si>
    <t>3209</t>
  </si>
  <si>
    <t>3213</t>
  </si>
  <si>
    <t>3214</t>
  </si>
  <si>
    <t>3215</t>
  </si>
  <si>
    <t>3216</t>
  </si>
  <si>
    <t>3217</t>
  </si>
  <si>
    <t>0189</t>
  </si>
  <si>
    <t>3225</t>
  </si>
  <si>
    <t>FIR No.235
dt: 22/5/2011
u/s 3/4 ESA
PS Sabzi Mandi, Islamabad</t>
  </si>
  <si>
    <t>3227</t>
  </si>
  <si>
    <t>FIR No. 584
dt: 8/8/2010
u/s 365 PPC
PS Khurrianwala, District: Faisalabad</t>
  </si>
  <si>
    <t>3229</t>
  </si>
  <si>
    <t>FIR No.108
dt: 26/4/2011
u/s 365 PPC
PS Kabal, District: Swat.</t>
  </si>
  <si>
    <t>3234</t>
  </si>
  <si>
    <t xml:space="preserve">FIR No. 116
dt: 19/09/2009
u/s 13 AO
PS Mullazai, D.I.Khan </t>
  </si>
  <si>
    <t xml:space="preserve">Traced Person. He returned to home as per statement of Muhammad Idrees, DIG, KP Police. </t>
  </si>
  <si>
    <t>3237</t>
  </si>
  <si>
    <t>DD entry No.27
dt: 4/1/2011
u/s 156 (3)CrPC
PS Saddar, Bannu</t>
  </si>
  <si>
    <t>3238</t>
  </si>
  <si>
    <t>FIR No. 486
dt: 11/11/2010
u/s 365 PPC
PS Saddar Pasrur District: Sialkot</t>
  </si>
  <si>
    <t>3246</t>
  </si>
  <si>
    <t>3247</t>
  </si>
  <si>
    <t>FIR No.17
dt: 24/1/2011
u/s 365 PPC
PS Gwalmandi, Quetta.</t>
  </si>
  <si>
    <t>3248</t>
  </si>
  <si>
    <t>0088</t>
  </si>
  <si>
    <t>3254</t>
  </si>
  <si>
    <t>089-K  2737 Same</t>
  </si>
  <si>
    <t>FIR No.904,
dt: 20/12/2010, u/s 365 PPC, PS East Cantt. Peshawar</t>
  </si>
  <si>
    <t>3256</t>
  </si>
  <si>
    <t>NA (Deleted)</t>
  </si>
  <si>
    <t>3257</t>
  </si>
  <si>
    <t xml:space="preserve">Mst. Sharf Bibi, R/o Killi Dildar, Kaarez Sardar, Quetta. 
(Mobile No. 0336-8145415)
</t>
  </si>
  <si>
    <t>Daily Diary Entry dated 28/3/2010
PS Shalkot, Quetta.</t>
  </si>
  <si>
    <t>3259</t>
  </si>
  <si>
    <t>FIR No.84,
dt: 6/7/2010, u/s 365/34 PPC,
PS New Sariab, Quetta</t>
  </si>
  <si>
    <t>3266</t>
  </si>
  <si>
    <t>3273</t>
  </si>
  <si>
    <t>3280</t>
  </si>
  <si>
    <t>FIR No. 159/10
u/s 365 PPC
PS  Sarwar Road, Lahore</t>
  </si>
  <si>
    <t>3281</t>
  </si>
  <si>
    <t>Traced Person. He was lifted by Police and  handed over to ISI. Later he returned to home.</t>
  </si>
  <si>
    <t>3282</t>
  </si>
  <si>
    <t>3288</t>
  </si>
  <si>
    <t>3292</t>
  </si>
  <si>
    <t>FIR No. 98
dt: 24/4/2011
u/s 365 PPC
PS Domel, District: Bannu</t>
  </si>
  <si>
    <t>3293</t>
  </si>
  <si>
    <t>3295</t>
  </si>
  <si>
    <t>3296</t>
  </si>
  <si>
    <t>3298</t>
  </si>
  <si>
    <t>3302</t>
  </si>
  <si>
    <t>6 FF Regiment (SEP No. 3368603), Alpha Company,  Lahore Cantt. (Mobile No. 0343-4578526)</t>
  </si>
  <si>
    <t>FIR No.213,
dt: 23/4/2011, u/s 365/342 PPC,
PS Bilitang, Kohat</t>
  </si>
  <si>
    <t>3303</t>
  </si>
  <si>
    <t>FIR No.271
dt 25/09/2009
u/s 11-F(1)/21-C/11(v) ATA
PS:Choti District D.G.Khan</t>
  </si>
  <si>
    <t>3311</t>
  </si>
  <si>
    <t>3312</t>
  </si>
  <si>
    <t>3313</t>
  </si>
  <si>
    <t>3314</t>
  </si>
  <si>
    <t>3316</t>
  </si>
  <si>
    <t>FIR No.615
dt: 15/10/2010
u/s 365/34 PPC
PS Pakistan Bazaar Town, Orangi Zone, West Karachi</t>
  </si>
  <si>
    <t>3322</t>
  </si>
  <si>
    <t>FIR No. 521
dt: 25/10/2010
u/s 365 PPC,
PS Harappa</t>
  </si>
  <si>
    <t>Deleted. The family has accepted compensation as the case has come to a dead end as it pretains to the period of   Insurgency .</t>
  </si>
  <si>
    <t>3323</t>
  </si>
  <si>
    <t>3324</t>
  </si>
  <si>
    <t>3325</t>
  </si>
  <si>
    <t>3326</t>
  </si>
  <si>
    <t>3327</t>
  </si>
  <si>
    <t>3328</t>
  </si>
  <si>
    <t>3330</t>
  </si>
  <si>
    <t xml:space="preserve">R/o House # 483, Mohallah: Yaqoob Abad, near Minhaj Al-Shariah Madrassa, Orangi Town, Karachi </t>
  </si>
  <si>
    <t>FIR No. 150
dt: 7/12/2010
u/s 365 PPC
PS City Court, Karachi</t>
  </si>
  <si>
    <t>3331</t>
  </si>
  <si>
    <t>0113</t>
  </si>
  <si>
    <t>Traced Person. He appeared  before the Commission on 25/01/2012.</t>
  </si>
  <si>
    <t>3333</t>
  </si>
  <si>
    <t>0114</t>
  </si>
  <si>
    <t>3340</t>
  </si>
  <si>
    <t>3342</t>
  </si>
  <si>
    <t>FIR No.165,
dt: 7/2/2011, u/s 365 PPC,
PS Kot Lakhpat, Lahore</t>
  </si>
  <si>
    <t>3343</t>
  </si>
  <si>
    <t>3345</t>
  </si>
  <si>
    <t>FIR No.344
dt: 07/04/2011
u/s 365/34 PPC
PS Nowshera Cantt, District:
Nowshera</t>
  </si>
  <si>
    <t>3346</t>
  </si>
  <si>
    <t>0118</t>
  </si>
  <si>
    <t>3347</t>
  </si>
  <si>
    <t>FIR No.17
dt: 24/01/2011
u/s 365 PPC
PS Gwalmandi, Quetta</t>
  </si>
  <si>
    <t xml:space="preserve">Deleted. </t>
  </si>
  <si>
    <t>3348</t>
  </si>
  <si>
    <t>3349</t>
  </si>
  <si>
    <t>FIR No.323
dt: 11/04/2011
u/s 365 PPC
PS City Raiwind,
Lahore</t>
  </si>
  <si>
    <t>3350</t>
  </si>
  <si>
    <t>3351</t>
  </si>
  <si>
    <t>FIR No.220
dt: 18/04/2011
u/s 365 PPC
PS Lakki Marwat
District: Lakki Marwat</t>
  </si>
  <si>
    <t>3352</t>
  </si>
  <si>
    <t>FIR No.167
dt: 14/10/2010
u/s 365 PPC
PS Turbat, District
Kech</t>
  </si>
  <si>
    <t>3353</t>
  </si>
  <si>
    <t>FIR No.18
dt: 22/12/2010
u/s 365/342/34 PPC
Levies Thana
Pasni, District:
Gwadar</t>
  </si>
  <si>
    <t>3354</t>
  </si>
  <si>
    <t>3355</t>
  </si>
  <si>
    <t>3356</t>
  </si>
  <si>
    <t>3357</t>
  </si>
  <si>
    <t>3358</t>
  </si>
  <si>
    <t>Traced Person. Dead body recovered  in District Kech and burried by his family.</t>
  </si>
  <si>
    <t>3359</t>
  </si>
  <si>
    <t>FIR No.168
dt: 11/07/2009
u/s 324/353/186 PPC
r/w 7 ATA
PS Kala, District:
D. G. Khan</t>
  </si>
  <si>
    <t>3360</t>
  </si>
  <si>
    <t>DD Entry No.51
dt: 12/12/2010
PS Sadiqabad
Rawalpindi</t>
  </si>
  <si>
    <t>3361</t>
  </si>
  <si>
    <t>0133</t>
  </si>
  <si>
    <t>Yousaf Gul S/o  Abdul Rehman</t>
  </si>
  <si>
    <t>FIR No.234,
dt: 27/4/2011,
u/s 365 PPC,
PS Hangu, District Hangu</t>
  </si>
  <si>
    <t>3362</t>
  </si>
  <si>
    <t xml:space="preserve">Nill </t>
  </si>
  <si>
    <t>FIR No.224,
dt: 21/4/2011,
u/s 365 PPC,
PS Hangu, Distric Hangu</t>
  </si>
  <si>
    <t>3363</t>
  </si>
  <si>
    <t>FIR No.2418,
dt: 16/12/2011,
u/s 365 PPC,
PS Shafiqabad, District Lahore</t>
  </si>
  <si>
    <t>3364</t>
  </si>
  <si>
    <t>FIR No. 484
dt: 11/07/2010
u/s 365 PPC
PS Garden Town, District Lahore</t>
  </si>
  <si>
    <t>3365</t>
  </si>
  <si>
    <t xml:space="preserve">Kot Ismail zai, Mohallah: Boki, P.O: Ghari Kapoora, Tehsil &amp; Distt: Mardan
</t>
  </si>
  <si>
    <t xml:space="preserve">Under Investigation  </t>
  </si>
  <si>
    <t>3366</t>
  </si>
  <si>
    <t>DD Entry No.15
dt: 02/09/2007
PS Rustam, District:
Mardan</t>
  </si>
  <si>
    <t>3367</t>
  </si>
  <si>
    <t>0139</t>
  </si>
  <si>
    <t>3368</t>
  </si>
  <si>
    <t xml:space="preserve">Wana, South Waziristan. (Mobile No. 0336-9370787).
</t>
  </si>
  <si>
    <t>FIR No.271,
dt: 29/4/2011,
u/s 365 PPC,
PS Cantt. D.I. Khan</t>
  </si>
  <si>
    <t>3369</t>
  </si>
  <si>
    <t xml:space="preserve"> Mohammad Sher Ali Khan S/o Inzar</t>
  </si>
  <si>
    <t>3370</t>
  </si>
  <si>
    <t>0142</t>
  </si>
  <si>
    <t>3371</t>
  </si>
  <si>
    <t>FIR No.235
dt: 9/4/2011
u/s 346/365 PPC
PS Munda, District: Dir Lower</t>
  </si>
  <si>
    <t>3372</t>
  </si>
  <si>
    <t>Inquiry u/s 156(3) CrPC, PS Pubbi,
District: Nowshera</t>
  </si>
  <si>
    <t>3373</t>
  </si>
  <si>
    <t>FIR No. 163
dt: 23/04/2011
u/s 365/148/149 PPC
PS Lal Qilla
District: Lower Dir</t>
  </si>
  <si>
    <t>3374</t>
  </si>
  <si>
    <t>FIR No.407
dt: 29/12/2010
u/s 13 AO
PS Lal Qilla
District: Lower Dir</t>
  </si>
  <si>
    <t>3375</t>
  </si>
  <si>
    <t>0147</t>
  </si>
  <si>
    <t>3376</t>
  </si>
  <si>
    <t>FIR No.109
dt: 26/04/2011
u/s 365 PPC
PS Kabal,
District Swat</t>
  </si>
  <si>
    <t>3377</t>
  </si>
  <si>
    <t>0149</t>
  </si>
  <si>
    <t xml:space="preserve">Deleted. This case is closed for want of Jurisdiction as there is no allegation against the law enforcement agencies. </t>
  </si>
  <si>
    <t>3380</t>
  </si>
  <si>
    <t>3381</t>
  </si>
  <si>
    <t>FIR No. 232
dt: 12/03/2011
u/s 365 PPC
PS City Toba
Tek Singh</t>
  </si>
  <si>
    <t>3382</t>
  </si>
  <si>
    <t>FIR No.296
dt: 02/10/2007
u/s 365 PPC
PS Aabpara,Islamabad</t>
  </si>
  <si>
    <t>3383</t>
  </si>
  <si>
    <t>3384</t>
  </si>
  <si>
    <t xml:space="preserve">Chak No. 26/MB, P.O Khass, Tehsil Qaid Abad, Distt: Khushab </t>
  </si>
  <si>
    <t>3385</t>
  </si>
  <si>
    <t>3386</t>
  </si>
  <si>
    <t>DD Entry No.53
dt: 04/09/2010
PS Golra, District:
Islamabad</t>
  </si>
  <si>
    <t>3387</t>
  </si>
  <si>
    <t>Jaffar Misstri, Madina Colony, Nasim  Shopkeeper, Dera Ismail Khan</t>
  </si>
  <si>
    <t>FIR No.197
dt: 28/03/2011
u/s 365 PPC
PS Cantt. District D. I. Khan</t>
  </si>
  <si>
    <t>3389</t>
  </si>
  <si>
    <t>DD Entry No.3
dt: 30/11/2007
PS Usterzai, District:
Kohat</t>
  </si>
  <si>
    <t>3390</t>
  </si>
  <si>
    <t>FIR No.283
dt: 24/03/2011
u/s 365 PPC
PS City Raiwind, District Lahore</t>
  </si>
  <si>
    <t>3391</t>
  </si>
  <si>
    <t>3392</t>
  </si>
  <si>
    <t>3393</t>
  </si>
  <si>
    <t>3394</t>
  </si>
  <si>
    <t xml:space="preserve">Baber Shabbir S/o Muhammad Shabbir </t>
  </si>
  <si>
    <t>3395</t>
  </si>
  <si>
    <t>3396</t>
  </si>
  <si>
    <t>FIR No.173
dt: 13/3/2011
u/s 364/34 PPC
PO Sachal, East Zone, Karachi</t>
  </si>
  <si>
    <t>3397</t>
  </si>
  <si>
    <t>FIR No. 252
dt. 15/3/2011
u/s 365 PPC, PS: Saddar, Faisalabad</t>
  </si>
  <si>
    <t>3398</t>
  </si>
  <si>
    <t>3399</t>
  </si>
  <si>
    <t>3401</t>
  </si>
  <si>
    <t>0170</t>
  </si>
  <si>
    <t>3402</t>
  </si>
  <si>
    <t>FIR No.415,
dt: 9/4/2011,
u/s 365 PPC,
PS Nowshera Kalan, District Nowshera</t>
  </si>
  <si>
    <t>3403</t>
  </si>
  <si>
    <t>FIR No.416/2009
u/s 4/55/52 FA
PS Cantt. Sialkot</t>
  </si>
  <si>
    <t xml:space="preserve">Traced Person. According to reports received from Rep of MI, Muhammad Asif is confined in District Jail Kohat. It is also mentioned in the letter dated 24/12/2018 that Muhammad Asif has been awarded death sentence on 11/06/2018 by Military Court. </t>
  </si>
  <si>
    <t>Military custody; Sentenced to death</t>
  </si>
  <si>
    <t>3404</t>
  </si>
  <si>
    <t xml:space="preserve"> 9-B, Hospital Road, New Anarkali, Lahore (Mobile No. 0343-4333303)</t>
  </si>
  <si>
    <t>3405</t>
  </si>
  <si>
    <t>3406</t>
  </si>
  <si>
    <t>3407</t>
  </si>
  <si>
    <t>FIR No.273
dt: 06/04/2011
u/s 365 PPC
PS R.A. Bazaar,
Rawalpindi</t>
  </si>
  <si>
    <t>3408</t>
  </si>
  <si>
    <t>FIR No.43,
dt: 30/4/2011,
u/s 365/34 PPC,
PS Saeedabad, District Matiari</t>
  </si>
  <si>
    <t>3409</t>
  </si>
  <si>
    <t>3410</t>
  </si>
  <si>
    <t>FIR No.566,
dt: 18/8/2010,
u/s 365 PPC,
PS East Cantt. Peshawar</t>
  </si>
  <si>
    <t>3411</t>
  </si>
  <si>
    <t>FIR No.214
dt: 28/4/2011
u/s 365/34 PPC
PS Rahimabad, District Swat</t>
  </si>
  <si>
    <t>3412</t>
  </si>
  <si>
    <t>FIR No.967
dt: 21/09/2011
u/s 342 PPC
PS City, Kohat</t>
  </si>
  <si>
    <t>Traced Person. Confined in Internment Center Kohat  as reported by MI.</t>
  </si>
  <si>
    <t>FIR No.721,
dt: 12/4/2012
u/s 365 PPC,
PS ShahDarra, Lahore</t>
  </si>
  <si>
    <t>3414</t>
  </si>
  <si>
    <t>FIR No.167,
dt: 9/3/2011,
u/s 365/34 PPC
PS Gulshan-e-Jauhar, District East Karachi</t>
  </si>
  <si>
    <t xml:space="preserve">Traced Person. It was informed at the hearing held in this Commission on 1.10.2019 that Muhammad Ramzan is confined in Internment Center at Lakki Marwat. Family members have been allowed to meet him subject to prescribed procedure and all legal exceptions. </t>
  </si>
  <si>
    <t>3415</t>
  </si>
  <si>
    <t>0207</t>
  </si>
  <si>
    <t>3416</t>
  </si>
  <si>
    <t>FIR No.280,
dt: 10/4/2011
u/s 365 PPC,
PS R.A.Bazaar, Rawalpindi</t>
  </si>
  <si>
    <t>3417</t>
  </si>
  <si>
    <t>FIR No.161
dt: 22/04/2011
u/s 365 PPC
PS Pir Mahal,
District: Toba Tek
Singh</t>
  </si>
  <si>
    <t>3418</t>
  </si>
  <si>
    <t>0210</t>
  </si>
  <si>
    <t>3419</t>
  </si>
  <si>
    <t>FIR No.308
dt: 12/04/2011
u/s 365 PPC
PS Sadiqabad
District: Rawalpindi</t>
  </si>
  <si>
    <t>3420</t>
  </si>
  <si>
    <t>FIR No.161
dt: 14/04/2011
u/s 365 PPC
PS Basti Maluk
District: Multan</t>
  </si>
  <si>
    <t>3421</t>
  </si>
  <si>
    <t xml:space="preserve">FIR No.176 dt. 22/4/2011, u/s 365 PPC, S Saddar. District Attock
</t>
  </si>
  <si>
    <t>3422</t>
  </si>
  <si>
    <t>FIR No.340
dt: 16/04/2011
u/s 365 PPC
PS Shadbagh,
District: Lahore</t>
  </si>
  <si>
    <t>3423</t>
  </si>
  <si>
    <t>3424</t>
  </si>
  <si>
    <t>FIR No.235
dt: 17/04/2011
u/s 365 PPC
PS Saddar Baironi,
Rawalpindi</t>
  </si>
  <si>
    <t>3425</t>
  </si>
  <si>
    <t>FIR No. 236
dt: 17/04/2011
u/s 365 PPC
PS Saddar Bairooni,
Rawalpindi</t>
  </si>
  <si>
    <t>3426</t>
  </si>
  <si>
    <t>DD Entry No.27
dt: 02/10/2010
PS Margalla,
Islamabad</t>
  </si>
  <si>
    <t>3427</t>
  </si>
  <si>
    <t>FIR No.121,
dt: 19/5/2010,
u/s 365 PPC,
PS: Jhawarian, District Sargodha</t>
  </si>
  <si>
    <t>3428</t>
  </si>
  <si>
    <t>FIR No.301
dt: 09/04/2011
u/s 365 PPC
PS 'D' Type Colony, Faisalabad</t>
  </si>
  <si>
    <t>3429</t>
  </si>
  <si>
    <t>FIR No.55
dt: 18/01/2011
u/s 365 PPC
PS New Town,
Rawalpindi</t>
  </si>
  <si>
    <t>3430</t>
  </si>
  <si>
    <t>FIR No.129 
dt: 18/04/2011
u/s 365 PPC
PS Kallour Kot,
District: Bhakkar</t>
  </si>
  <si>
    <t>3431</t>
  </si>
  <si>
    <t>FIR No.70
dt: 30/04/2011
u/s 365 PPC
PS Shalkot
District: Quetta</t>
  </si>
  <si>
    <t>3432</t>
  </si>
  <si>
    <t>3433</t>
  </si>
  <si>
    <t>3434</t>
  </si>
  <si>
    <t>FIR No.244
dt: 19/04/2011
u/s 365 PPC
PS Kot Addu,
District: Muzaffargarh</t>
  </si>
  <si>
    <t>3435</t>
  </si>
  <si>
    <t>FIR No.116
dt: 28/04/2011
u/s 365/34 PPC
PS Kabal, District: Swat</t>
  </si>
  <si>
    <t>3436</t>
  </si>
  <si>
    <t>3437</t>
  </si>
  <si>
    <t>FIR No.161,
dt: 14/4/2011,
u/s 365 PPC
PS Basti Malook, District Multan</t>
  </si>
  <si>
    <t>3438</t>
  </si>
  <si>
    <t>FIR No. 197
dt. 29/04/2011
u/s 365 PPC
PS: University Town, Peshawar</t>
  </si>
  <si>
    <t>3439</t>
  </si>
  <si>
    <t>FIR No.130,
dt: 29/4/2011,
u/s 365/34 PPC,
PS Saddar, South Zone, Karachi</t>
  </si>
  <si>
    <t xml:space="preserve">Traced Person. It was informed at the hearing held in this Commission on 1.10.2019 that dead body of missing person Abdul Rehman was recovered on 8.10.2012 which was handed over to legal heirs for burial. As per report dated 1.10.2019 by DSP Sadar Division, Karachi that dead body was received by family members. </t>
  </si>
  <si>
    <t>3441</t>
  </si>
  <si>
    <t>M. Saad-ur-Rehman R/o House # 9-B, Aryana Nagar, Punch Road, 
Samanabad, Lahore (Mobile No. 0321-9402810)</t>
  </si>
  <si>
    <t xml:space="preserve">FIR No. 321/10, dt. 18 May 10, PS: City Sialkot </t>
  </si>
  <si>
    <t>3442</t>
  </si>
  <si>
    <t xml:space="preserve">FIR No. 321/10, dt. 18 May 10, PS: City Lodhran </t>
  </si>
  <si>
    <t>3443</t>
  </si>
  <si>
    <t xml:space="preserve">B/65, Phase , 
Gulshan-e-Hadeed, PS: Steel Mills, Karachi 
(Mobile No. 0313-3014489)
</t>
  </si>
  <si>
    <t>3444</t>
  </si>
  <si>
    <t xml:space="preserve">Daanish Jewlers, 
Galli: Gan Bano, Main Bazar, Hangu 
(Mobile No. 0345-9170020)
</t>
  </si>
  <si>
    <t>FIR No.129 
dt: 27/04/2011
u/s 342 PPC
PS Usterzai
District: Kohat</t>
  </si>
  <si>
    <t xml:space="preserve">Traced Person. Confined in the Internment CenterSabaoon, Malakand. </t>
  </si>
  <si>
    <t>3445</t>
  </si>
  <si>
    <t xml:space="preserve">House No. P3, Satellite Town, Safina Road, Faisalabad
 Mobile No. 0301-6612122)
</t>
  </si>
  <si>
    <t>FIR No.422
dt: 22/04/2011
u/s 365 PPC
PS Saddar,
Faisalabad</t>
  </si>
  <si>
    <t>3446</t>
  </si>
  <si>
    <t>0238</t>
  </si>
  <si>
    <t xml:space="preserve">Goth Adam Khan Rind, Deh No. 241, 
P.O. 78, Mori, Tehsil &amp; Distt: Mirpur Khas
(Mobile No. 0321-3358274)
</t>
  </si>
  <si>
    <t xml:space="preserve">FIR No. 336/10, dt. 01 Apr 10, PS: New Town </t>
  </si>
  <si>
    <t>Traced Person. Returned to Home and available at         (P.O. 78, Mori, Tehsil &amp; Distt: Mirpur Karachi)</t>
  </si>
  <si>
    <t>3447</t>
  </si>
  <si>
    <t xml:space="preserve">C-276, Gali No. 1, Gulshan-e-Latif, Murtaza Chowk, 
Landhi Town, Korangi Industries, Karachi 
(Mobile No. 0315-3501399)
</t>
  </si>
  <si>
    <t>FIR No.64
dt: 03/05/2011
u/s 365 PPC
PS Ranipur
District: Khairpur</t>
  </si>
  <si>
    <t>3448</t>
  </si>
  <si>
    <t xml:space="preserve">C/o Mr. Danilo Reyes, ASIAN Human Rights Commission,
19th Flour, Go-Up Commission Building, 998 Canton Road, 
KLN, Hong Kong
</t>
  </si>
  <si>
    <t>FIR No.91
dt: 18/05/2011
u/s 365 PPC
PS Civil Lines,
District: Quetta</t>
  </si>
  <si>
    <t>Traced Person. Dead body recovered on 27/04/2011. Section 302 has  been added in the FIR.</t>
  </si>
  <si>
    <t>3449</t>
  </si>
  <si>
    <t>0241</t>
  </si>
  <si>
    <t xml:space="preserve">Wanda Dost Ali Shah, Kathgar, Tehsil Paharpur, Distt: Dera Islamail Khan
</t>
  </si>
  <si>
    <t>3450</t>
  </si>
  <si>
    <t>FIR No.53
dt: 28/05/2011
u/s 365 PPC
PS Sarai Muhajir,
District: Bhakkar</t>
  </si>
  <si>
    <t>3451</t>
  </si>
  <si>
    <t>0243</t>
  </si>
  <si>
    <t>3452</t>
  </si>
  <si>
    <t>Traced Person. Returned to Home and available at         House No. A-83, Block # 10, Gulshan-e-Iqbal, Karachi.</t>
  </si>
  <si>
    <t>3453</t>
  </si>
  <si>
    <t>3454</t>
  </si>
  <si>
    <t>FIR No.143
dt: 29/04/2011
u/s 365 PPC
PS Cantt. Bannu</t>
  </si>
  <si>
    <t>FIR No. 70 dt. 19/1/2011, u/s 365 PPC,  PS: West Cantt. Peshawar</t>
  </si>
  <si>
    <t>FIR No.349,
dt: 13/6/2011,
u/s 365 PPC
PS Hangu, District Hangu</t>
  </si>
  <si>
    <t>Traced Person. Dead body recovered and Compensation  of Rs. 300,000/- paid to family.</t>
  </si>
  <si>
    <t>FIR No.477
dt: 27/04/2011
u/s 365 PPC
PS Gulberg,
District: Faisalabad</t>
  </si>
  <si>
    <t>0251</t>
  </si>
  <si>
    <t>0252</t>
  </si>
  <si>
    <t>FIR No.198
dt: 06/05/2011
u/s 365 PPC
PS Sabzi Mandi
Islamabad</t>
  </si>
  <si>
    <t>0253</t>
  </si>
  <si>
    <t>FIR No.74
dt: 03/05/2011
u/s 365 PPC
PS Saddar,
Mailsi, District
Vehari</t>
  </si>
  <si>
    <t>0254</t>
  </si>
  <si>
    <t>FIR No.9
dt: 11/01/2012
u/s 365 PPC
PS Mustafa Abad
Lahore</t>
  </si>
  <si>
    <t>3463</t>
  </si>
  <si>
    <t xml:space="preserve">Deleted. The case has been withdrawn by the complainant/family on payment of compensation amounting vide cheque  Rs. 500,000/- dated 19/2/2019 by the Government of Sindh. </t>
  </si>
  <si>
    <t>3464</t>
  </si>
  <si>
    <t xml:space="preserve">Deleted. The case has been deleted as withdrawn. Application to this effect from Mst. Aisha Tabassum , sister of the Missing Person is placed on record. </t>
  </si>
  <si>
    <t>3465</t>
  </si>
  <si>
    <t>3466</t>
  </si>
  <si>
    <t>FIR No. 91/2010  PS: Jamshed Quarters</t>
  </si>
  <si>
    <t>3467</t>
  </si>
  <si>
    <t>0259</t>
  </si>
  <si>
    <t>3468</t>
  </si>
  <si>
    <t>3469</t>
  </si>
  <si>
    <t>3470</t>
  </si>
  <si>
    <t>3471</t>
  </si>
  <si>
    <t xml:space="preserve">Deleted. The date of Missing in this case is 6.10.1995 and case pertains to old cases of 1992-96. Government of Sindh decided payment of compensation Rs/ 500,000/- but the family did not accept. They are not co-operating with the Investigation Officer   in these circumstance the case is deleted. </t>
  </si>
  <si>
    <t>3472</t>
  </si>
  <si>
    <t xml:space="preserve">Deleted. The case has been withdrawn by the complainant/family on payment of compensation amounting to  Rs. 500,000/- by the Government of Sindh. </t>
  </si>
  <si>
    <t>3473</t>
  </si>
  <si>
    <t xml:space="preserve">Deleted. The case has been withdrawn by the complainant/family on payment of compensation amounting to Rs. 500,000/- vide cheque dated 19/2/2019 by the Government of Sindh. </t>
  </si>
  <si>
    <t>3474</t>
  </si>
  <si>
    <t>3475</t>
  </si>
  <si>
    <t>3476</t>
  </si>
  <si>
    <t>3477</t>
  </si>
  <si>
    <t>3478</t>
  </si>
  <si>
    <t>3479</t>
  </si>
  <si>
    <t xml:space="preserve">Deleted. The case has been withdrawn by the complainant/family on payment of compensation amounting to  Rs. 500,000/- vide cheque dated 19/2/2019 by the Government of Sindh. </t>
  </si>
  <si>
    <t>3480</t>
  </si>
  <si>
    <t>3481</t>
  </si>
  <si>
    <t>3482</t>
  </si>
  <si>
    <t>3483</t>
  </si>
  <si>
    <t>3484</t>
  </si>
  <si>
    <t xml:space="preserve">Deleted. The case has been withdrawn by the complainant/family on payment of compensation amounting to  Rs. 500,000/- vide cheque dated 2/9/2019 by the Government of Sindh. </t>
  </si>
  <si>
    <t>3485</t>
  </si>
  <si>
    <t>3486</t>
  </si>
  <si>
    <t>3487</t>
  </si>
  <si>
    <t xml:space="preserve">Flat No. A-2, 4th Floor, Abbas Square, Block-7, F.B Area, Karachi </t>
  </si>
  <si>
    <t>FIR No.190/1996
u/s 364/34 PPC
PS Jamshed Quarters, District: Karachi</t>
  </si>
  <si>
    <t>FIR No.197
dt: 05/05/2010
u/s 365 PPC
PS Subzimandi,
Islamabad</t>
  </si>
  <si>
    <t xml:space="preserve">Traced Person. Case was closed on the statement of Maj Mobeen Iqbal that Muhammad Ibrahim was sent to Internment Center. </t>
  </si>
  <si>
    <t>0281</t>
  </si>
  <si>
    <t>FIR No. 184
dt 10/5/2011
u/s 365 PPC
PS Ouch, District Dir Lower</t>
  </si>
  <si>
    <t xml:space="preserve">Traced Person. It has been intimated by Rep of MI that Nizam-ud-Din is presently confined in the Internment Center Lakki Marwat. Family members of Nizam-ud-Din shall be facilitated to see him in the Internment Center as per rules and procedures. </t>
  </si>
  <si>
    <t>0284</t>
  </si>
  <si>
    <t xml:space="preserve">Deleted. It was informed at the hearing held in this Commission on 4.11.2019  by Reps of ISI, MI, FC (North), CTD and Special Branch that the Missing Person is not in custody. Keeping in view of circumstances of the case it hardly falls within the ambit of enforced disappearance, therefore further proceedings by the Commission would be a futile exercise. The name of Shabbir Ahmed be deleted from the list of enforced disappearance person. </t>
  </si>
  <si>
    <t>0285</t>
  </si>
  <si>
    <t>0286</t>
  </si>
  <si>
    <t xml:space="preserve">Traced Person. According to report received from Rep of MI, Hussain Ahmed has been awarded punishment by Military Court and presently he is confined in District Jail Kohat. Masih-ur-Rehman brother of Hussain Ahmed has been apprised of the status of the case. </t>
  </si>
  <si>
    <t>0288</t>
  </si>
  <si>
    <t>0289</t>
  </si>
  <si>
    <t xml:space="preserve">Mohallah Scheme Kanay, 
Village: Ziarat Kaka Sahib, Nowshehra 
(Mobile No. 0302-5775337)
</t>
  </si>
  <si>
    <t>Muhammad Zakir Hussain, r/o P.O  Khas Khora, Tehsil &amp; District Khushab. (Mobile No. 0333-8956509)</t>
  </si>
  <si>
    <t xml:space="preserve">Traced Person. Abdul Jaleel has been traced. According to reports dated 06.07.2020 and 24.07.2020, received from Rep of MI, Abdul Jaleel is presently confined in Internment Centre Lakki Marwat. Complainant may avail remedy if any accordance with law. Family members of Abdul Jaleel will be facilitated to see him in the Internment Centre as per rules and procedures. </t>
  </si>
  <si>
    <t>0295</t>
  </si>
  <si>
    <t xml:space="preserve">Mohallah Qazi Sahib, Village: Ziarat Kaka Sahib, 
Nowshehra (Mobile No. 0302-5775337
</t>
  </si>
  <si>
    <t>0296</t>
  </si>
  <si>
    <t xml:space="preserve">Mohallah Kaji Khel, Village Ziarat Kaka Sahib,
Nowshehra (Mobile No. 0302-5775337)
</t>
  </si>
  <si>
    <t>0297</t>
  </si>
  <si>
    <t>Purani Abadi, Baldia LA-3, C/o Govt.  Boys Middle School, Thothal, Mirpur, AJ&amp;K (Mobile No. 0333-5295333)</t>
  </si>
  <si>
    <t xml:space="preserve">Traced Person. He was arrested  verified and communicated by APA Khyber Agency a confirmed by his father. </t>
  </si>
  <si>
    <t>0298</t>
  </si>
  <si>
    <t>0299</t>
  </si>
  <si>
    <t>0300</t>
  </si>
  <si>
    <t>FIR No.728
dt: 16/05/2011
u/s 365 PPC
PS Shafiqabad
District: Lahore</t>
  </si>
  <si>
    <t>FIR No.728,
dt.16/5/2011,
u/s 365 PPC
PS Shafiqabad, District Lahore</t>
  </si>
  <si>
    <t>0302</t>
  </si>
  <si>
    <t xml:space="preserve">Deleted. Not a case of Enforced Disappearance. Complainant submitted affidavit that he does not want to pursue the case. </t>
  </si>
  <si>
    <t>FIR No.318
dt: 02/06/2011
u/s 365 PPC
PS Pirwadhai, District Rawalpindi</t>
  </si>
  <si>
    <t xml:space="preserve">Under Investigation D.I.Khan     </t>
  </si>
  <si>
    <t>0304</t>
  </si>
  <si>
    <t>0305</t>
  </si>
  <si>
    <t xml:space="preserve">Nok Band, Parom, Distt: Panjgur (Mobile No. 0300-3810074/0313-8480974) </t>
  </si>
  <si>
    <t>FIR No.20
dt: 23/01/2011
u/s 342/365 PPC
PS District: Panjgur</t>
  </si>
  <si>
    <t>0306</t>
  </si>
  <si>
    <t xml:space="preserve">Villag: Siahozai, Teshil: Basima, Distt: Washuk (Mobile No. 0336-2227776) </t>
  </si>
  <si>
    <t>FIR No.623
dt: 21/10/2011
u/s 365/34 PPC
PS Gulistan-e-Jauhar, District: East Karachi</t>
  </si>
  <si>
    <t xml:space="preserve">Traced Person. </t>
  </si>
  <si>
    <t>0307</t>
  </si>
  <si>
    <t xml:space="preserve">C/o Imam Din (J.E.T) Govt. Girls High School, Garmakan, Khudabandan, Tehsil &amp; Distt: Panjgur (Mobile No. 0333-4713835) </t>
  </si>
  <si>
    <t>FIR No.664,
dt: 10/8/2011
u/s 342 PPC,
PS Cantt. Kohat</t>
  </si>
  <si>
    <t>0315</t>
  </si>
  <si>
    <t>0318</t>
  </si>
  <si>
    <t>FIR No.66
dt: 09/02/2011
u/s 365 PPC
PS Mustafaabad, Tehsil &amp;
District: Kasur</t>
  </si>
  <si>
    <t>0319</t>
  </si>
  <si>
    <t>0320</t>
  </si>
  <si>
    <t>Inquiry u/s 156(3) CrPC, PS Tank,
District: Tank</t>
  </si>
  <si>
    <t>0321</t>
  </si>
  <si>
    <t>FIR No.133
dt: 04/06/2010
u/s 364/392/506(2)
/149/504 PPC
PS Phull, Noshero Feroze</t>
  </si>
  <si>
    <t>0323</t>
  </si>
  <si>
    <t xml:space="preserve">Village &amp; PO: Tazagram, Tehsil: Adanzai, Distt: Dir (Lower) (Mobile No. 0342-9671560) </t>
  </si>
  <si>
    <t xml:space="preserve">FIR No.193 dt.30/05/2011 u/s 365 PPC PS Ouch District Dir Lower </t>
  </si>
  <si>
    <t>0325</t>
  </si>
  <si>
    <t xml:space="preserve">FIR No. 402/11, dt. 19 May 11, PS: Airport, Rawalpindi </t>
  </si>
  <si>
    <t>0326</t>
  </si>
  <si>
    <t>0327</t>
  </si>
  <si>
    <t xml:space="preserve">House No. 606, St No. 26, Area Old Muzaffarbad Cly,
Landhi, Karachi
</t>
  </si>
  <si>
    <t>0328</t>
  </si>
  <si>
    <t xml:space="preserve">Village Hozai, PO: Mand, Tehsil: Mand, Distt: Kech (Mobile No. 0322-8113139)
</t>
  </si>
  <si>
    <t>0329</t>
  </si>
  <si>
    <t>0330</t>
  </si>
  <si>
    <t>0331</t>
  </si>
  <si>
    <t>0332</t>
  </si>
  <si>
    <t xml:space="preserve">Deleted. Not a case of Enforced Disappearance. </t>
  </si>
  <si>
    <t>0334</t>
  </si>
  <si>
    <t>0335</t>
  </si>
  <si>
    <t>FIR No.46
dt: 08/01/2010
u/s 365/34 PPC
PS Sariab, Quetta</t>
  </si>
  <si>
    <t>0336</t>
  </si>
  <si>
    <t>FIR No. 231
dt: 4-5-2010
u/s 364/34 PPc
PS. Airport, Shah Faisal Town, Karachi</t>
  </si>
  <si>
    <t>FIR No.200
dt: 1/6/2012
u/s 365 PPC
PS East Cantt. Peshawar</t>
  </si>
  <si>
    <t>0340</t>
  </si>
  <si>
    <t>FIR No.210
dt: 21/07/2011
u/s 365/34 PPC
PS Brigade Jamshed Town,
Karachi</t>
  </si>
  <si>
    <t>0341</t>
  </si>
  <si>
    <t xml:space="preserve">Village Ali Abad, Talka 
Q. Ahmed, Benazir Abad, Nawabshah (Mobile No. 0307-2532195)
</t>
  </si>
  <si>
    <t>0342</t>
  </si>
  <si>
    <t xml:space="preserve">Village Sawi Mehar, Talka 
Q. Ahmed, Benazir Abad, Nawabshah (Mobile No. 0302-3244816)
</t>
  </si>
  <si>
    <t>0344</t>
  </si>
  <si>
    <t>0345</t>
  </si>
  <si>
    <t>FIR No.116
dt: 17/06/2010
u/s 365/147/149 PPC
PS City Khuzdar</t>
  </si>
  <si>
    <t>0346</t>
  </si>
  <si>
    <t>FIR No. 124
dt: 05/07/2011
u/s 365 PPC
PS Shalkot, Quetta</t>
  </si>
  <si>
    <t>0347</t>
  </si>
  <si>
    <t xml:space="preserve">FIR No. 116/2011, dt. 30 Apr 11, PS: Mithadar, Karachi </t>
  </si>
  <si>
    <t>Traced Person. Returned to home and available at         H.No. 98 CP Brar Society, Doharaje Colony Karachi.</t>
  </si>
  <si>
    <t>0348</t>
  </si>
  <si>
    <t>FIR No.607
dt:16/9/2011
u/s 365/34 PPC
PS Sachal, District Malir Karachi</t>
  </si>
  <si>
    <t xml:space="preserve">Deleted. After thorough investigation of JIT arrival at the conclusion that it is not a case of enforced disappearance. The Commission endorses the conclusion and accordingly the case is closed. </t>
  </si>
  <si>
    <t>0351</t>
  </si>
  <si>
    <t>FIR 404
dt: 08/07/2011
u/s 365 PPC
PS City, D.I. Khan</t>
  </si>
  <si>
    <t>0352</t>
  </si>
  <si>
    <t>FIR No. 572,
dt: 11/7/2009
u/s 342 PPC
PS Jungle Khel, Kohat</t>
  </si>
  <si>
    <t>0354</t>
  </si>
  <si>
    <t>0355</t>
  </si>
  <si>
    <t>FIR No.16,
dt: 23/1/2010
u/s 365 PPC
PS City, Kabirwala, District Khanewal</t>
  </si>
  <si>
    <t>0356</t>
  </si>
  <si>
    <t>0357</t>
  </si>
  <si>
    <t>0358</t>
  </si>
  <si>
    <t>0359</t>
  </si>
  <si>
    <t xml:space="preserve">Traced Person. Muhammad Rizwan brother of Zeeshan appeared before the Commission on 12/09/2012 and confirmed that Missing Person has returned to home. </t>
  </si>
  <si>
    <t>0360</t>
  </si>
  <si>
    <t>FIR No.427,
dt: 17/8/2011,
u/s 365 PPC
PS Mandan, District Bannu</t>
  </si>
  <si>
    <t>FIR No.340,
dt: 18/7/2011,
u/s 365 PPC
PS Cantt. Sialkot</t>
  </si>
  <si>
    <t>0362</t>
  </si>
  <si>
    <t xml:space="preserve">Closed. As the Missing Person has been declared absconder by the Court. </t>
  </si>
  <si>
    <t>0363</t>
  </si>
  <si>
    <t>FIR No.1083
dt: 13/08/2011
u/s 365 PPC
PS Civil Lines
Distt: Faisalabad</t>
  </si>
  <si>
    <t>0366</t>
  </si>
  <si>
    <t>FIR No.212
dt: 13/08/2011
u/s 365 PPC
PS Tajori, District:
Lakki Marwat</t>
  </si>
  <si>
    <t>0367</t>
  </si>
  <si>
    <t>0368</t>
  </si>
  <si>
    <t>FIR No.120
dt: 24/5/2008
u/s 302/324/34 PPC
District Swat</t>
  </si>
  <si>
    <t>0369</t>
  </si>
  <si>
    <t>0370</t>
  </si>
  <si>
    <t>0371</t>
  </si>
  <si>
    <t xml:space="preserve">Village Nagotal, PO Zamindara, Tehsil Lal Qila, District Loar Dir (Mobile No. 0306-5672489). </t>
  </si>
  <si>
    <t>FIR No.685
dt: 06/08/2011
u/s 365 PPC
PS Timargarha
District: Dir Lower</t>
  </si>
  <si>
    <t>0372</t>
  </si>
  <si>
    <t>0373</t>
  </si>
  <si>
    <t>FIR No. 144
dt: 19/07/2011
u/s 365 PPC
PS Saddar Mailsi,
District: Vehari</t>
  </si>
  <si>
    <t>0374</t>
  </si>
  <si>
    <t>0375</t>
  </si>
  <si>
    <t>0376</t>
  </si>
  <si>
    <t xml:space="preserve">Murad Gujjar Goth, Hub, Distt: Lasbella (Mobile No. 0302-2799129). </t>
  </si>
  <si>
    <t>0377</t>
  </si>
  <si>
    <t>0379</t>
  </si>
  <si>
    <t>0380</t>
  </si>
  <si>
    <t xml:space="preserve">Rahim &amp; Co. Dhamial Road, Kalima Chowk, Rawalpindi (Mobile No. 0336-5415422). </t>
  </si>
  <si>
    <t xml:space="preserve">Traced Person. He returned to home as confirmed by his brother at the hearing on 04/01/2013. </t>
  </si>
  <si>
    <t>0381</t>
  </si>
  <si>
    <t xml:space="preserve">Traced Person apperared before the Commission but not ready to disclose anything details of the episode. </t>
  </si>
  <si>
    <t>0382</t>
  </si>
  <si>
    <t>0383</t>
  </si>
  <si>
    <t>FIR No.137,
dt: 20/10/2011
u/s 365 PPC
PS Township, District Bannu</t>
  </si>
  <si>
    <t>0384</t>
  </si>
  <si>
    <t>0385</t>
  </si>
  <si>
    <t>FIR No.534
dt: 20/10/2011
u/s 365 PPC
PS Mandan,
District: Bannu</t>
  </si>
  <si>
    <t>0386</t>
  </si>
  <si>
    <t>0387</t>
  </si>
  <si>
    <t>0388</t>
  </si>
  <si>
    <t>0389</t>
  </si>
  <si>
    <t>Traced Person. I.O Abdul  Karim of PS Adil, Rahim Yar Khan confirmed that Dr,. Abdul Qayyum returned to home on 27/04/2012.</t>
  </si>
  <si>
    <t>0390</t>
  </si>
  <si>
    <t xml:space="preserve">House No. 227, St No. 14, Block B, P.W.D Colony, Islamabad (Mobile No. 0302-7285285)
</t>
  </si>
  <si>
    <t>0391</t>
  </si>
  <si>
    <t>FIR No.224
dt: 19/07/2011
u/s 365 PPC
PS Margalla, Islamabad</t>
  </si>
  <si>
    <t>0393</t>
  </si>
  <si>
    <t>0394</t>
  </si>
  <si>
    <t>0395</t>
  </si>
  <si>
    <t>FIR No.120
dt: 10/10/2011
u/s 365 PPC
PS Band Korai
D.I. Khan</t>
  </si>
  <si>
    <t>0396</t>
  </si>
  <si>
    <t>FIR No.52
dt: 17/2/2012
u/s 364/365 APC
PS City Mirpur, District Muzaffarabad</t>
  </si>
  <si>
    <t>0397</t>
  </si>
  <si>
    <t>0398</t>
  </si>
  <si>
    <t>0399</t>
  </si>
  <si>
    <t>0400</t>
  </si>
  <si>
    <t>0401</t>
  </si>
  <si>
    <t xml:space="preserve">HRC No. 12776-K/2011 </t>
  </si>
  <si>
    <t>FIR No.464
dt: 15/07/2010
u/s 365-A PPC
PS Tank, District:
Tank</t>
  </si>
  <si>
    <t xml:space="preserve">Traced Person. DPO, Tank confirmed that Muhammad Ameen has returned to home. </t>
  </si>
  <si>
    <t xml:space="preserve">Wali Zaman S/o Jandud Khan </t>
  </si>
  <si>
    <t>FIR No.311,
dt: 21/4/2009
u/s 365/368/109/34 PPC
PS Hangu, District Hangu</t>
  </si>
  <si>
    <t>0403</t>
  </si>
  <si>
    <t>0404</t>
  </si>
  <si>
    <t>FIR No.467
dt: 25/11/2011
u/s 365/34 PPC
PS Gandigar, District:
Dir Upper</t>
  </si>
  <si>
    <t>0405</t>
  </si>
  <si>
    <t>FIR No.173
dt: 2/12/2011
u/s 365 PPC
PS Khurram, District Karak</t>
  </si>
  <si>
    <t>0407</t>
  </si>
  <si>
    <t>FIR No.422,
dt. 14/4/2010
u/s 365 PPC
PS Gulgusht, Multan</t>
  </si>
  <si>
    <t>Traced Person. Confined in the Internment Center Lakki  Marwat a informed by MI.</t>
  </si>
  <si>
    <t>0408</t>
  </si>
  <si>
    <t xml:space="preserve">Village Dandani, P.O. Chuprial, Distt: Swat (Mobile No. 0346-9405572). </t>
  </si>
  <si>
    <t>FIR No. 415
dt. 23/11/2011 u/s 365 PPC,
PS: Asbanr, District Dir Lower</t>
  </si>
  <si>
    <t>0409</t>
  </si>
  <si>
    <t>FIR No. 1048
dt. 03/11/2011 u/s 365 PPC,
PS: Civil Lines, Rawalpindi</t>
  </si>
  <si>
    <t>0410</t>
  </si>
  <si>
    <t>Traced Person. Tehsildar SWA  submitted report that the case has been moved for payment of compencation.</t>
  </si>
  <si>
    <t>0411</t>
  </si>
  <si>
    <t>FIR No. 413
dt. 25/10/2011
u/s 365 PPC
PS: Koral, Islamabad</t>
  </si>
  <si>
    <t xml:space="preserve">Traced Person. Wife of Amr-e-Rabi confirmed that her husband has returned to home. </t>
  </si>
  <si>
    <t xml:space="preserve">Ms. Bakhtiar Begum W/o Ateeq Rasool C/o Office # 502, Fifth Floor, Asad Chamber near Passport Office, Saddar, Karachi (Mobile No. 0341-1378692) </t>
  </si>
  <si>
    <t>FIR No. 903
dt: 13/09/2012
u/s 365 PPC
PS Agha Mir Jani Shah, District
Peshawar</t>
  </si>
  <si>
    <t>0413</t>
  </si>
  <si>
    <t>FIR No.572
dt: 19/11/2011
u/s 365 PPC
PS Saddar,
Rahim Yar Khan</t>
  </si>
  <si>
    <t>FIR No.32,
dt: 23/2/2008
u/s 365 PPC
PS Kabal, District Swat</t>
  </si>
  <si>
    <t>0415</t>
  </si>
  <si>
    <t xml:space="preserve">Mohallah Babu Khan opposite Shell Petrol Pump Manga Road Raiwand, Lahore (Mobile No. 0300-9444139/ 0333-4798410) </t>
  </si>
  <si>
    <t>FIR No. 113
dt. 17/3/2010,
u/s 365 PPC
PS: Gwalmandi, Lahore</t>
  </si>
  <si>
    <t>0416</t>
  </si>
  <si>
    <t>0417</t>
  </si>
  <si>
    <t xml:space="preserve">Traced Person. Returned to home as confirmed by his brother. </t>
  </si>
  <si>
    <t>0418</t>
  </si>
  <si>
    <t>FIR No.59
dt: 29/01/2011
u/s 365 PPC
PS Ramna, Islamabad</t>
  </si>
  <si>
    <t>0419</t>
  </si>
  <si>
    <t>0420</t>
  </si>
  <si>
    <t xml:space="preserve">Chak No. 117/JB, Dhanola, Faislabad (Mobile No. 0303-6708971). </t>
  </si>
  <si>
    <t>FIR No. 771
dt. 24/09/2011
PS: Nishatabad, Faisalabad</t>
  </si>
  <si>
    <t>0421</t>
  </si>
  <si>
    <t>Order reserved</t>
  </si>
  <si>
    <t>NA (Order reserved)</t>
  </si>
  <si>
    <t>0422</t>
  </si>
  <si>
    <t>0423</t>
  </si>
  <si>
    <t>FIR No.41,
dt: 21/1/2009,
u/s 365 PPC
PS Kotwali, District Jhang</t>
  </si>
  <si>
    <t xml:space="preserve">Deleted. Mr. Muzammil Hussain, SP (Inv), Jhang appeared before the Commission on 18.12.2019 and his statement recorded in oath. According to him, in the case 32 meetings of JIT have so far been conducted and in all the JIT reports the case has been categorized as “Missing Person” has gone on his own. He also stated that the complainant of the case could not produce any evidence to indicate that it was a case of enforced disappearance. Hence, the case is closed.  </t>
  </si>
  <si>
    <t>0425</t>
  </si>
  <si>
    <t>FIR No. 328,
dt.27/4/2011,
u/s 365 PPC
PS: Airport, Rawalpindi</t>
  </si>
  <si>
    <t xml:space="preserve">Under Investigation Punjab (Rawalpindi) </t>
  </si>
  <si>
    <t xml:space="preserve">Mrs. Robina Akhtar W/o  Naseem Iqbal R/o Vill/PO: Dagarnari, Tehsil: Banda Daood Shah, Distt: Karak (Mobile No. 0312-5340247). </t>
  </si>
  <si>
    <t>0428</t>
  </si>
  <si>
    <t xml:space="preserve">FIR No. 989, dt. 04/11/2011, PS: City Muzaffargarh </t>
  </si>
  <si>
    <t>0429</t>
  </si>
  <si>
    <t xml:space="preserve">Mst. Hichrana W/o Muhammad Akbar R/o Sheraki, Dara Adam Khel, F.R Kohat (Phone No. 0922-573106). </t>
  </si>
  <si>
    <t>0430</t>
  </si>
  <si>
    <t>Traced Person. Political Agent BMP, D.H Khan confirmed that Wadera Jalamb was murdered  in the area of District Zhob.</t>
  </si>
  <si>
    <t>0431</t>
  </si>
  <si>
    <t>0432</t>
  </si>
  <si>
    <t>FIR No.499
dt: 12/12/2011
u/s 365 PPC
PS Mustafa Abad
Lahore</t>
  </si>
  <si>
    <t>0433</t>
  </si>
  <si>
    <t>FIR No.479/2011
u/s 365/147/148 /149 PPC
PS Kotli, District:
Jamshoro</t>
  </si>
  <si>
    <t>0434</t>
  </si>
  <si>
    <t>FIR No.783
dt: 13/12/2011
u/s 365 PPC
PS Hangu, 
District Hangu</t>
  </si>
  <si>
    <t>0435</t>
  </si>
  <si>
    <t>0436</t>
  </si>
  <si>
    <t>FIR No.429
dt: 22/08/2011
u/s 365 PPC
PS Saddar,
Rahim Yar Khan</t>
  </si>
  <si>
    <t>Traced Person. Returned to home on  27/04/2012.</t>
  </si>
  <si>
    <t>0438</t>
  </si>
  <si>
    <t>0439</t>
  </si>
  <si>
    <t>FIR No. 128
dt: 24/12/2011
u/s 365 PPC
PS Model Town,
Gujranwala</t>
  </si>
  <si>
    <t>0441</t>
  </si>
  <si>
    <t>Traced Person. Confined in  the Internment Center, Lakki Marwat as reported by MI.</t>
  </si>
  <si>
    <t>FIR No.4,
dt: 24/1/2012
u/s 364 APC
PS Chanari, AJ&amp;K</t>
  </si>
  <si>
    <t>0443</t>
  </si>
  <si>
    <t>FIR No.924
dt: 21/10/2011
u/s 365 PPC
PS Waris Khan
District Rawalpindi</t>
  </si>
  <si>
    <t>0444</t>
  </si>
  <si>
    <t>FIR No.378,
dt: 27/4/2011
u/s 365 PPC
PS Bhanamari, Peshawar</t>
  </si>
  <si>
    <t>0445</t>
  </si>
  <si>
    <t>0446</t>
  </si>
  <si>
    <t>FIR No.833
dt: 02/12/2011
u/s 365 PPC
PS Baghdad-ul-
Jadeed, District:
Bahawalpur</t>
  </si>
  <si>
    <t>0447</t>
  </si>
  <si>
    <t>House No. A-18, C-3 Fazil Chowk,  Mirpur Azad Kashmir (Mobile No. 0301-6619504, 0331-8545269)</t>
  </si>
  <si>
    <t>FIR No10
dt: 15/1/2012
u/s 364/365 APC
PS Thothal, Mirpur(AJK)</t>
  </si>
  <si>
    <t>Traced Person. Confined in Kohat Jail and being shifted  to AJ&amp;K.</t>
  </si>
  <si>
    <t>0448</t>
  </si>
  <si>
    <t>Muslim Colony, Chak Shahbaz Pour, Peer Ghout, Ubauro District Ghotki, Sindh  (Mobile No. 0300-369956)</t>
  </si>
  <si>
    <t>FIR No.307
dt: 15/8/2011
u/s 365 PPC
PS Saddar, Alipur, District Muzaffargarh</t>
  </si>
  <si>
    <t>0449</t>
  </si>
  <si>
    <t xml:space="preserve">Mr. Ashiq Hussain S/o Gfhulam Umer Jeho R/o Naudero Town, Taluka Ratodero, Distt: Larkana. </t>
  </si>
  <si>
    <t>0450</t>
  </si>
  <si>
    <t>FIR No.74/2011
u/s 365/149/147/
34 PPC
PS Khuzdar,
District: Khuzdar</t>
  </si>
  <si>
    <t>Rafiya Bibi w/o Dr. Habib Ullah Khan,  R/o village Sir Mast Mira Khel, Tehsil and District Bannu (CNIC No. 11101-1418122-4)</t>
  </si>
  <si>
    <t xml:space="preserve">Traced Person. SP (Inv), Bannu appeared before the Commission whose statement has been recorded on oath in which he deposed that Waseem Ullah Khan had returned home. In this regard he submitted copies of various statements including that of confirmed his return to home. He further deposed that due to conflict with family he went to Karachi without informing his family and nobody abducted him. </t>
  </si>
  <si>
    <t>0453</t>
  </si>
  <si>
    <t>Iqbal Bibi d/o Ghulam Hussain Rana,  House No.28-A/GOC Model Town B, Bahawalpur (Telephone No.0622882395)</t>
  </si>
  <si>
    <t>FIR No.352,
dt: 23/7/1998
u/s 364 PPC
PS Civil Lines, Bahawalpur</t>
  </si>
  <si>
    <t>0456</t>
  </si>
  <si>
    <t>0457</t>
  </si>
  <si>
    <t>FIR No.12
dt: 05/01/2012
u/s 365 PPC
PS City Chiniot</t>
  </si>
  <si>
    <t>0458</t>
  </si>
  <si>
    <t>FIR No.91
dt: 8/2/2012
u/s 365 PPC
PS Sadiqabad, Rawalpindi</t>
  </si>
  <si>
    <t xml:space="preserve">Deleted. After investigation and report of PTF, it is concluded to be a case of voluntary and not enforced disappearances. </t>
  </si>
  <si>
    <t>0460</t>
  </si>
  <si>
    <t>FIR No.138
dt: 03/05/2012
u/s 365 PPC
PS P.D.Khan
District: Jhelum</t>
  </si>
  <si>
    <t>0461</t>
  </si>
  <si>
    <t>0462</t>
  </si>
  <si>
    <t>0463</t>
  </si>
  <si>
    <t>0464</t>
  </si>
  <si>
    <t>FIR No.79
dt: 06/02/2012
u/s 365 PPC
PS Civil Lines
District: Bahawalpur</t>
  </si>
  <si>
    <t>0465</t>
  </si>
  <si>
    <t>0466</t>
  </si>
  <si>
    <t xml:space="preserve">Traced Person. Appeared before the Commission on 06/05/2012 and got his statement recorded. </t>
  </si>
  <si>
    <t>FIR No.29
dt: 02/09/2012
u/s 365 PPC
PS Levies Thana Baghbana, District
Khuzdar</t>
  </si>
  <si>
    <t>0470</t>
  </si>
  <si>
    <t>FIR No.64,
dt: 3/5/2011
u/s 365 PPC,
PS Ranipur, District Khairpur</t>
  </si>
  <si>
    <t>0472</t>
  </si>
  <si>
    <t>FIR No.48
dt: 09/02/2012
u/s 365 PPC
PS Saddar,
District: Bhakkar</t>
  </si>
  <si>
    <t xml:space="preserve">Muhammad Mustafa Haider S/o Sultan Mehmood Sawal </t>
  </si>
  <si>
    <t xml:space="preserve">Deleted. After through investigation the Police conclusion drawn by JITs and PTF reports submitted by the agencies it is concluded that it is a case of kidnapping by militants and does not fall within the domain of enforced disappearance. Hence the case is closed. </t>
  </si>
  <si>
    <t xml:space="preserve">Bonair </t>
  </si>
  <si>
    <t>0474</t>
  </si>
  <si>
    <t xml:space="preserve">Hafiz Muhammad Tayyab S/o Muhammad Ashfaq </t>
  </si>
  <si>
    <t>FIR No.286
dt: 24/03/2012
u/s 365 PPC
PS Paharipura,
Peshawar</t>
  </si>
  <si>
    <t>0475</t>
  </si>
  <si>
    <t>0476</t>
  </si>
  <si>
    <t>0477</t>
  </si>
  <si>
    <t>FIR No.160,
dt: 2/6/2012
u/s 365 PPC
PS Khawjawas, DistrictCharsadda</t>
  </si>
  <si>
    <t>0478</t>
  </si>
  <si>
    <t xml:space="preserve">Muhammad Akbar s/o Ghulam Muhammad </t>
  </si>
  <si>
    <t>FIR No.67,
dt: 27/2/2012
u/s 365 PPC
PS City Jalalpur Pirwala, District Multan</t>
  </si>
  <si>
    <t>0479</t>
  </si>
  <si>
    <t>FIR No. 109
dt: 24/02/2012
u/s 365 PPC
PS Mumtazabad
Multan</t>
  </si>
  <si>
    <t>0480</t>
  </si>
  <si>
    <t>FIR No.51
dt: 15/02/2012
u/s 365 PPC
PS Aabpara
Islamabad</t>
  </si>
  <si>
    <t>0481</t>
  </si>
  <si>
    <t>Muhammad Azam,  Tiba Khachunan Wala Daryar Khan Tehsil &amp; District Bhakkar, Punjab (Mobile No. 0347-5536563)</t>
  </si>
  <si>
    <t>FIR No.38
dt: 22/02/2010
u/s 365 PPC
PS Darya Khan, District Bhakkar</t>
  </si>
  <si>
    <t>0482</t>
  </si>
  <si>
    <t>FIR No.98
dt: 1/3/2012
u/s 365 PPC
PS Khal, District Dir Lower</t>
  </si>
  <si>
    <t>0483</t>
  </si>
  <si>
    <t>FIR No.92
dt: 23/02/2012
u/s 365 PPC
PS Lakki Marwat
District: Lakki Marwat</t>
  </si>
  <si>
    <t>0485</t>
  </si>
  <si>
    <t xml:space="preserve">Imran Khan S/o Sher Do Allah </t>
  </si>
  <si>
    <t>FIR No.251,
dt: 5/3/2012,
u/s 365 PPC
PS City Mardan</t>
  </si>
  <si>
    <t xml:space="preserve">Deleted . The complainant regarding disappearance of Imran Khan s/o Shjer-ud-Daullah was registered and process issued on 21.2.2020. Investigation into the case revealed that it was a case of Kidnapping due to personal enmity, as concluded by JIT and agreed by PTF after recording of statement of 26 witness stake holders have denied apprehension/ arrest of the Missing Person, whose brother has also mentioned on his statement recorded on oath by the Commission that there is no allegation against any of the LEAs. Hence not a case if enforced disappearance and stands closed. </t>
  </si>
  <si>
    <t>0487</t>
  </si>
  <si>
    <t>FIR No. 54
dt: 6/3/2012
u/s 365/506(2)/337-A1 &amp; F1 PPC r/w 17(3) Haraba
PS Hatri, District Hyderabad</t>
  </si>
  <si>
    <t>0488</t>
  </si>
  <si>
    <t>FIR No.145
dt: 02/03/2012
u/s 365 PPC
PS City Khanewal</t>
  </si>
  <si>
    <t>0489</t>
  </si>
  <si>
    <t>FIR No. 482
dt: 07/05/2012
u/s 365 PPC
PS City Mansehra</t>
  </si>
  <si>
    <t>0490</t>
  </si>
  <si>
    <t xml:space="preserve">Deleted. The case has been closed as the complainant has withdrawn his complaint on his free will to avail some other remedy for redressal of his grievance. </t>
  </si>
  <si>
    <t>0492</t>
  </si>
  <si>
    <t>0493</t>
  </si>
  <si>
    <t>0494</t>
  </si>
  <si>
    <t>0495</t>
  </si>
  <si>
    <t>FIR No.115
dt: 30/03/2012
u/s 365 PPC
PS Kuthiala Sheikhan
District: Mandi
Bahauddin</t>
  </si>
  <si>
    <t>0496</t>
  </si>
  <si>
    <t xml:space="preserve">Irfan Ahmed S/o Muhammad Akram </t>
  </si>
  <si>
    <t>0497</t>
  </si>
  <si>
    <t>0498</t>
  </si>
  <si>
    <t>0500</t>
  </si>
  <si>
    <t xml:space="preserve">Traced Person. At the hearing held in the case by the Commission it was informed that Ajmal Waheed is confined somewhere in KPK. The same report was submitted before the High Court. The case is closed. </t>
  </si>
  <si>
    <t>0501</t>
  </si>
  <si>
    <t>Traced Person. Returned to  Home as confirmed by Rep of Police.</t>
  </si>
  <si>
    <t>0502</t>
  </si>
  <si>
    <t>Military custody</t>
  </si>
  <si>
    <t>0503</t>
  </si>
  <si>
    <t>Muhammad Waris  S/o Abdul</t>
  </si>
  <si>
    <t>0504</t>
  </si>
  <si>
    <t>FIR No.315
dt: 27/03/2012
u/s 365 PPC
PS Garden Town
District: Lahore</t>
  </si>
  <si>
    <t>NA (Traced person)</t>
  </si>
  <si>
    <t>Shafiq-ur-Rehman S/o  Aziz-ur-Rehman</t>
  </si>
  <si>
    <t>FIR No.249
dt: 24/3/2012
u/s 347 PPC
PS City Kohat</t>
  </si>
  <si>
    <t>0506</t>
  </si>
  <si>
    <t>0508</t>
  </si>
  <si>
    <t>0509</t>
  </si>
  <si>
    <t>0510</t>
  </si>
  <si>
    <t>0511</t>
  </si>
  <si>
    <t>0512</t>
  </si>
  <si>
    <t>0513</t>
  </si>
  <si>
    <t>FIR No.343 dt. 06/04/2012 u/s 365  PPC PS South Cantt. Lahore</t>
  </si>
  <si>
    <t>0514</t>
  </si>
  <si>
    <t>0515</t>
  </si>
  <si>
    <t>0517</t>
  </si>
  <si>
    <t>0519</t>
  </si>
  <si>
    <t>0520</t>
  </si>
  <si>
    <t>FIR No.216
dt: 16/4/2012
u/s 365 PPC
PS Wahdat Colony, District Lahore</t>
  </si>
  <si>
    <t>FIR No.168
dt: 10/7/2012
u/s 347 PPC
PS Domel, District Bannu</t>
  </si>
  <si>
    <t>0524</t>
  </si>
  <si>
    <t>Deleted. Not a Case of Enforced Dispperances as  a few accused person have been nominated in FIR.</t>
  </si>
  <si>
    <t>Ibrahim S/o  Binyamin B/o Missing Person, r/o Mohallah Dak Khana Haji Shah, P.O. Khas Tehsil &amp; District Attock, Punjab (Mobile No. 0315-9089755)</t>
  </si>
  <si>
    <t>0526</t>
  </si>
  <si>
    <t>FIR No. 495
dt: 19/09/2012
u/s 365 PPC
PS Kanju, District Swat</t>
  </si>
  <si>
    <t>0531</t>
  </si>
  <si>
    <t>FIR No.821
dt:17/7/2012
u/s 365 PPC
PS City Mardan</t>
  </si>
  <si>
    <t>0532</t>
  </si>
  <si>
    <t>0533</t>
  </si>
  <si>
    <t>FIR No.198
dt: 20/04/2012
u/s 365 PPC
PS Malakwal, Distt:
Mandi Bahauddin</t>
  </si>
  <si>
    <t>0534</t>
  </si>
  <si>
    <t>0535</t>
  </si>
  <si>
    <t>0536</t>
  </si>
  <si>
    <t>FIR No.279
dt: 29/04/2012
u/s 347 PPC
PS Cantt. Kohat</t>
  </si>
  <si>
    <t>0537</t>
  </si>
  <si>
    <t xml:space="preserve">Muhammad Sultan B/oMissing Person, C/o New Waziristan Medical Store oppositeFemale Hospital, Bannu City, KPK, Peshawar </t>
  </si>
  <si>
    <t>0538</t>
  </si>
  <si>
    <t>FIR No.313,
dt: 26/4/2012
u.s 365 PPC
PS Green Town, Lahore</t>
  </si>
  <si>
    <t xml:space="preserve">Deleted. JIT and PTF concluded in their reports that Ghulam Hussain has gone on his own. All stakeholders denied his arrest or apprehension. Neither any allegation levelled against any LEAs/ Intelligence Agencies nor any evidence came on record to infer to enforced disappearance. Hence, the case is closed. </t>
  </si>
  <si>
    <t>0539</t>
  </si>
  <si>
    <t>0540</t>
  </si>
  <si>
    <t>FIR No.203
dt: 23/04/2012
u/s 365 PPC
PS Tall, Dist: Hangu</t>
  </si>
  <si>
    <t>0541</t>
  </si>
  <si>
    <t>FIR No.346,
dt: 25/4/2012,
u/s 365/342 PPC
PS Faqirabad, Peshawar</t>
  </si>
  <si>
    <t>FIR No.109
dt: 26/4/2011
u/s 365 PPC
PS Kabal, District Swat</t>
  </si>
  <si>
    <t>0543</t>
  </si>
  <si>
    <t>FIR No.660
dt: 21/12/2012
u/s 365 PPC
PS Shahzad Town, Islamabad</t>
  </si>
  <si>
    <t>0544</t>
  </si>
  <si>
    <t>0545</t>
  </si>
  <si>
    <t xml:space="preserve">Traced Person. Assistant Commissioner, Pasni appeared before the Commission on behalf of Deputy Commissioner Gwadar, whose statement was recorded on oath, in which he deposed that Siraj Khan who went Missing on 28.07.2011 returned home. He further stated that both of them were working in Islamabad as a Taxi Driver respectively. Confirmation also obtained from Malik Asif Khan Numberdar of the Village. The case accordingly stands disposed of. </t>
  </si>
  <si>
    <t>0546</t>
  </si>
  <si>
    <t>0547</t>
  </si>
  <si>
    <t>0548</t>
  </si>
  <si>
    <t>0549</t>
  </si>
  <si>
    <t>FIR No. 853/PT(K),
dt: 14/5/2012
Tehsil Khar, Bajaur, FATA</t>
  </si>
  <si>
    <t>0550</t>
  </si>
  <si>
    <t>0551</t>
  </si>
  <si>
    <t>FIR No.296
dt: 06/08/2012
u/s 365 PPC
PS Sarai Naurang
District: Lakki Marwat</t>
  </si>
  <si>
    <t>0552</t>
  </si>
  <si>
    <t>FIR No.226,
dt: 14/4/2011
u/s  365 PPC
PS Batapur, Lahore</t>
  </si>
  <si>
    <t>0553</t>
  </si>
  <si>
    <t>Deleted.  An account of non- pursuance byComplainant party vide detailed findings dated 28/09/2015.</t>
  </si>
  <si>
    <t>0554</t>
  </si>
  <si>
    <t>0555</t>
  </si>
  <si>
    <t>0556</t>
  </si>
  <si>
    <t>FIR No.288/2011
u/s 365/34 PPC
PS Mittha Dar, Karachi</t>
  </si>
  <si>
    <t>0557</t>
  </si>
  <si>
    <t>FIR No,68
dt: 27/04/2012
u/s 365 PPC
PS Dhoor Kot
District: Bahawalpur</t>
  </si>
  <si>
    <t>0558</t>
  </si>
  <si>
    <t>0559</t>
  </si>
  <si>
    <t>FIR No.511
dt: 20/09/2011
u/s 365 PPC
PS Tor Gul Shaheed, District Swat</t>
  </si>
  <si>
    <t>0560</t>
  </si>
  <si>
    <t>FIR No. 511,
dt 20/9/2011
u/s 365 PPC
PS Tor Gul Shaheed, District Dir Lower</t>
  </si>
  <si>
    <t xml:space="preserve">Deleted. The case is closed on the request of the complainant for withdrawal of his case from this Commission. </t>
  </si>
  <si>
    <t>0561</t>
  </si>
  <si>
    <t>Traced Person. Returned to Home and available at         (Khwaja’abad Panter Mingora, District, Swat)</t>
  </si>
  <si>
    <t>0562</t>
  </si>
  <si>
    <t>FIR No.306
dt: 28/4/2012
u/s 365 PPC
PS Akora Khattak, District Nowshera</t>
  </si>
  <si>
    <t>0563</t>
  </si>
  <si>
    <t>Traced Person. Ghulam Muhammad s/o Rasheed Ahmed confirmed at the hearing on 04/10/2012 that  his father has returned to home.</t>
  </si>
  <si>
    <t>0564</t>
  </si>
  <si>
    <t>FIR No.153
dt: 24/04/2012
u/s 365 PPC
PS Nowshera
Jadeed, District:
Bahawalpur</t>
  </si>
  <si>
    <t>0565</t>
  </si>
  <si>
    <t>FIR No.857
dt: 25/9/2012
u/s 365 PPC
PS Pishtakhara, Peshawar</t>
  </si>
  <si>
    <t>0566</t>
  </si>
  <si>
    <t>0567</t>
  </si>
  <si>
    <t>0568</t>
  </si>
  <si>
    <t>0569</t>
  </si>
  <si>
    <t>0570</t>
  </si>
  <si>
    <t>FIR No.261
dt: 28/04/2012
u/s 365 PPC
PS Gujar Khan,
District: Rawalpindi</t>
  </si>
  <si>
    <t>0571</t>
  </si>
  <si>
    <t>FIR No.299
dt: 29/08/2012
u/s 4/5 ESA r/w
7-ATA
PS Kallar Kahar,
District: Chakwal</t>
  </si>
  <si>
    <t>0572</t>
  </si>
  <si>
    <t>FIR No.130,
dt: 26/4/2012
u/s 347 PPC
PS Jarma, District Kohat</t>
  </si>
  <si>
    <t>0573</t>
  </si>
  <si>
    <t>FIR No.169,
dt: 8/5/2012
u/s 365 PPC
PS: East Cantt. Peshawar</t>
  </si>
  <si>
    <t xml:space="preserve">Deleted. Disposed of vide detailed Findings dated 15/08/2013. Not a case of enforced disappearance. </t>
  </si>
  <si>
    <t>0574</t>
  </si>
  <si>
    <t>Sajjad Ali B/o Missing Person, r/o  Village Deer Maidan, Kach Bazar, Lower Dir, KPK (Mobile No. 0345-4866956, Tel No. 0945-844506)</t>
  </si>
  <si>
    <t>FIR No. 51
dt 26/4/2012,
u/s 365 PPC,
PS ZaimDarra, District Dir Lower</t>
  </si>
  <si>
    <t>0575</t>
  </si>
  <si>
    <t>Traced Person. Dead Body Recovered reportdely  he was murdered by some mischief mongers.</t>
  </si>
  <si>
    <t>0577</t>
  </si>
  <si>
    <t>FIR No.1183,
dt: 19/10/2012
u/s 365 PPC
PS Nawab Town, Lahore</t>
  </si>
  <si>
    <t xml:space="preserve">Deleted. JIt and PTF concluded in their reports that Hassan Moavia has gone on his own. All stakeholders denied his arrest or apprehension. Neither any allegation levelled against any LEAs/ Intelligence Agencies nor any evidence came on record to infer to enforced disappearance. Hence, the case is closed. </t>
  </si>
  <si>
    <t>0578</t>
  </si>
  <si>
    <t xml:space="preserve">Deleted. JIt and PTF concluded in their reports that Sufiyan Moavia has gone on his own. All stakeholders denied his arrest or apprehension. Neither any allegation levelled against any LEAs/ Intelligence Agencies nor any evidence came on record to infer to enforced disappearance. Hence, the case is closed. </t>
  </si>
  <si>
    <t>0579</t>
  </si>
  <si>
    <t xml:space="preserve">Gul Zar Jaan S/o Khyal Jaan </t>
  </si>
  <si>
    <t>0580</t>
  </si>
  <si>
    <t>0581</t>
  </si>
  <si>
    <t xml:space="preserve">Nisar Ahmed S/o Rasul Muhammad </t>
  </si>
  <si>
    <t>FIR No.494
dt: 19/09/2012
u/s 365 PPC
PS Kanju, District Swat</t>
  </si>
  <si>
    <t>0582</t>
  </si>
  <si>
    <t>0583</t>
  </si>
  <si>
    <t>FIR No.176,
dt: 21/4/2012
u/s 365 PPC
PS City Attock</t>
  </si>
  <si>
    <t>0584</t>
  </si>
  <si>
    <t>0585</t>
  </si>
  <si>
    <t>FIR No. 160
dt. 03/05/2012 
u/s 365 PPC
PS:Mustafa Abad 
Lahore</t>
  </si>
  <si>
    <t>0586</t>
  </si>
  <si>
    <t>FIR No. 21/2012, dt. 14 Feb 12,  PS: Civil Lines, Quetta</t>
  </si>
  <si>
    <t>0587</t>
  </si>
  <si>
    <t>FIR No.150
dt: 12/05/2012
u/s 365 PPC
PS Ghoriwala
District: Bannu</t>
  </si>
  <si>
    <t>0588</t>
  </si>
  <si>
    <t xml:space="preserve">Abdul Qadir S/o Muhammad Siddique Bangulzai </t>
  </si>
  <si>
    <t>FIR No. 60/2012
u/s 365 PPC
PS City Dera Murad Jamali</t>
  </si>
  <si>
    <t>0589</t>
  </si>
  <si>
    <t>FIR No.461
dt: 8/5/2012
u/s 347 PPC
PS MRS, District Kohat</t>
  </si>
  <si>
    <t>0590</t>
  </si>
  <si>
    <t>FIR No. 132
dt. 23/07/1990
PS: Secretariat, Islamabad</t>
  </si>
  <si>
    <t>Deleted.  Vide detailed Findings fated 26/08/2013 as not  a case of enforced disappearance.</t>
  </si>
  <si>
    <t>0591</t>
  </si>
  <si>
    <t>FIR No.253,
dt: 29/4/2011
u/s 365 PPC
PS East Cantt. Peshawar</t>
  </si>
  <si>
    <t>0592</t>
  </si>
  <si>
    <t xml:space="preserve">Sanaulllah S/o Muhammad Ishaq </t>
  </si>
  <si>
    <t>0593</t>
  </si>
  <si>
    <t>FIR No. 166
dt: 10/11/2001
u/s 364 APC
PS Thothal, Mirpur, AJ&amp;K</t>
  </si>
  <si>
    <t>0594</t>
  </si>
  <si>
    <t>FIR No. 318
dt. 14/5/2012,
u/s 365 PPC
PS: City Lodhran</t>
  </si>
  <si>
    <t>0595</t>
  </si>
  <si>
    <t xml:space="preserve">Aurangzeb S/o Abdul Wahid </t>
  </si>
  <si>
    <t>FIR No.187
dt: 14/04/2013
u/s 365 PPC
PS Naseerabad, District Rawalpindi</t>
  </si>
  <si>
    <t xml:space="preserve">Deleted. PTF report has been received which is available on record perusal whereof shows that it is a case of personal enmity and not a case of enforced disappearance. IB report is also available on record according to this report apparently Aurangzeb disappeared on his own. </t>
  </si>
  <si>
    <t>0596</t>
  </si>
  <si>
    <t xml:space="preserve">Muhammad Naeem S/o  Muhammad Yousaf, r/o Pandori, P.O Bandala, Tehsil Smahani, District Bhimber, Azad Kashmir (Mobile No. 0343-5730686) </t>
  </si>
  <si>
    <t>FIR No.49
dt: 09/05/12
u/s 365 APC
PS Bhimber,
District: Muzaffarabad, AJ&amp;K</t>
  </si>
  <si>
    <t>0597</t>
  </si>
  <si>
    <t>0598</t>
  </si>
  <si>
    <t>FIR No. 508,
dt: 19/9/2012
u/s 365 PPC
PS Tor Gul Shaheed, Saidu Sharif, District Swat</t>
  </si>
  <si>
    <t>0599</t>
  </si>
  <si>
    <t>FIR No.118
dt: 3/5/2012
u/s 365 PPC
PS Hayaseri, District Dir Lower</t>
  </si>
  <si>
    <t>0600</t>
  </si>
  <si>
    <t>FIR No.448
dt: 09/12/2011
u/s 365 PPC
PS Ghazi, District:
Haripur</t>
  </si>
  <si>
    <t>0601</t>
  </si>
  <si>
    <t>FIR No.140
dt: 8/5/2012
u/s 347 PPC
PS Jerma, District Kohat</t>
  </si>
  <si>
    <t>0602</t>
  </si>
  <si>
    <t xml:space="preserve">FIR No. 502, dt. 19/9/2012, u/s 365 PPC, PS Kanju, District Swat
</t>
  </si>
  <si>
    <t>0603</t>
  </si>
  <si>
    <t>FIR No.28
dt: 09/05/2012
u/s 365 APC
PS Mang, Sidhnoti
AJ&amp;K</t>
  </si>
  <si>
    <t>0604</t>
  </si>
  <si>
    <t>0605</t>
  </si>
  <si>
    <t>Abdul Jabbar S/o Missing Person r/o Village: Marshakhail, P.O Sakha Koat, Tehsil Dargai, Distt. Malakand (Mobile No.  0341-4782187 &amp; 0305-7915741)</t>
  </si>
  <si>
    <t>FIR No.13,
dt: 28/1/2010
u/s 365/34 PPC
PS Levy Post, Sakhakot,Malakand Agency</t>
  </si>
  <si>
    <t>0606</t>
  </si>
  <si>
    <t>FIR No.320,
dt: 29/5/2012
u/s 365/382/149 PPC
PS: Tehkal, District Peshawar</t>
  </si>
  <si>
    <t>0607</t>
  </si>
  <si>
    <t>FIR No.352
dt: 26/05/2012
PS Nawagai,
Bajaur Agency</t>
  </si>
  <si>
    <t xml:space="preserve">Traced Person. Mr. Imran Sheikh APA Bajour Agency stated at the hearing in this Commission on 12.2.2013 that Barkatullah has returned to home. </t>
  </si>
  <si>
    <t>0608</t>
  </si>
  <si>
    <t xml:space="preserve">FIR No.496 dt. 19/9/2012 u/s 365 PPC, PS Kanju, District Swat
</t>
  </si>
  <si>
    <t>0609</t>
  </si>
  <si>
    <t>FIR No.1064
dt: 19/9/2012
u/s 365 PPC
PS Mingora, District Swat</t>
  </si>
  <si>
    <t>0610</t>
  </si>
  <si>
    <t>FIR No.351
dt: 26/05/2012
PS Nawagai,
Bajaur Agency</t>
  </si>
  <si>
    <t>0611</t>
  </si>
  <si>
    <t>FIR No.351
dt: 11/5/2012
u/s 365 PPC
PS Akora Khattak, District Nowshera</t>
  </si>
  <si>
    <t>0612</t>
  </si>
  <si>
    <t>FIR No.267
dt: 24/05/2012
u/s 365 PPC
PS Margalla,
Islamabad</t>
  </si>
  <si>
    <t>0613</t>
  </si>
  <si>
    <t>FIR No.248
dt: 15/5/2012
u/s 365 PPC
PS Hangu, District Hangu</t>
  </si>
  <si>
    <t>0614</t>
  </si>
  <si>
    <t>0615</t>
  </si>
  <si>
    <t>FIR No.473
dt: 16/5/2012
u/s 365 PPC
PS Badaber, District Peshawar</t>
  </si>
  <si>
    <t>0616</t>
  </si>
  <si>
    <t>0617</t>
  </si>
  <si>
    <t>0618</t>
  </si>
  <si>
    <t>FIR No. 851
dt 19/9/2012
u/s 365 PPC,
PS Matta, District Swat</t>
  </si>
  <si>
    <t>0619</t>
  </si>
  <si>
    <t>FIR No.318
dt: 13/5/2012
u/s 365 PPC
PS Dir, District Dir Upper</t>
  </si>
  <si>
    <t>0620</t>
  </si>
  <si>
    <t xml:space="preserve">Nasirullah S/o Muhammad  Khalil </t>
  </si>
  <si>
    <t>FIR No.497
dt. 19/9/2012
u/s 365 PPC
PS Kanju, District Swat</t>
  </si>
  <si>
    <t>0623</t>
  </si>
  <si>
    <t>0624</t>
  </si>
  <si>
    <t>0625</t>
  </si>
  <si>
    <t>FIR No. 298
dt 02/10/2007,
u/s 365 PPC
PS: Aabpara, Islamabad</t>
  </si>
  <si>
    <t>0626</t>
  </si>
  <si>
    <t>FIR No. 47,
dt. 25/08/2010,
u/s 365 PPC
PS: Aabpara, Islamabad</t>
  </si>
  <si>
    <t>0627</t>
  </si>
  <si>
    <t>0628</t>
  </si>
  <si>
    <t>Mr. Abdul Karim Laghari F/o Missing Person r/o Mohallah Kamora Lain Quetta Road, P.O Jacobabad Distt.  Jacobabad (Mobile No. 0333-7351936)</t>
  </si>
  <si>
    <t>FIR No.63 dt.11/4/2014  u/s 365/34 PPC PS &amp; District  Jamshoro</t>
  </si>
  <si>
    <t xml:space="preserve">Deleted. The occurrence of disappearance of Qarban Ali to be place on 24.9.2001 and the incident was reported to the Commission on 24.9.2011. JIT was constituted several hearings were held in the Commission, PTF also considered the case. The complainant/ family however remained absent at all proceedings. The case is therefore, closed due to non-prosecution.  </t>
  </si>
  <si>
    <t>0629</t>
  </si>
  <si>
    <t>FIR No.37
dt: 17/05/2011
u/s 365/147/148 PPC
PS/District: Nowshki</t>
  </si>
  <si>
    <t>0630</t>
  </si>
  <si>
    <t>FIR No.309
dt: 22/12/2009
PS Civil Lines,
Quetta</t>
  </si>
  <si>
    <t>0631</t>
  </si>
  <si>
    <t>0632</t>
  </si>
  <si>
    <t>FIR No.109
dt: 06/05/2012
u/s 365 PPC
PS Haveli Koranga, District Khanewal</t>
  </si>
  <si>
    <t>0633</t>
  </si>
  <si>
    <t>FIR No.129
dt: 6/5/2012
u/s 365 PPC
PS Abdul Hakim District Khanewal</t>
  </si>
  <si>
    <t>0634</t>
  </si>
  <si>
    <t>FIR No.179/2012
u/s 365 PPC
PS Mangamandi
Lahore</t>
  </si>
  <si>
    <t>0635</t>
  </si>
  <si>
    <t xml:space="preserve">Ghulam Shabbir S/o Ghulam Muhammad </t>
  </si>
  <si>
    <t>FIR No.128, 
dt: 6/5/2012
u/s 365 PPC
PS Abdul Hakim District Khanewal</t>
  </si>
  <si>
    <t>0636</t>
  </si>
  <si>
    <t>0637</t>
  </si>
  <si>
    <t>FIR NO.179
dt: 3/5/2012
u/s 365 PPC
PS Saddar, District Attock</t>
  </si>
  <si>
    <t xml:space="preserve">Khalil Ahmed S/o Abdul Jabbar </t>
  </si>
  <si>
    <t>FIR No.278
dt: 23/4/2012
u/s 365 PPC
PS Haweli Lakkha, District Okara</t>
  </si>
  <si>
    <t>0639</t>
  </si>
  <si>
    <t>FIR No.274
dt: 05/05/2012
u/s 365 PPC
PS New Multan
District Multan</t>
  </si>
  <si>
    <t>Traced Person. He appeared before the Commission on 24.01.2013 but reluctant to decribe the episode.</t>
  </si>
  <si>
    <t>0640</t>
  </si>
  <si>
    <t>0641</t>
  </si>
  <si>
    <t>0642</t>
  </si>
  <si>
    <t>FIR No.59
dt: 25/02/2011
u/s 365 PPC
PS Kamir, Distt. Sahiwal</t>
  </si>
  <si>
    <t>0643</t>
  </si>
  <si>
    <t>FIR No.137
dt: 07/05/2012
u/s 365 PPC
PS Bhagtanwala
Distt: Sargodha</t>
  </si>
  <si>
    <t>0644</t>
  </si>
  <si>
    <t>0646</t>
  </si>
  <si>
    <t>FIR No. 30
dt: 18/1/2013
u/s 365 PPC
PS City Shah Kot
District  Nankana Sahib</t>
  </si>
  <si>
    <t>0647</t>
  </si>
  <si>
    <t>FIR No.113
dt: 05/07/2010
u/s 365 PPC
PS Chotala, District
Jhelum</t>
  </si>
  <si>
    <t>0648</t>
  </si>
  <si>
    <t>FIR No.271
dt: 02/05/2012
u/s 365 PPC
PS Cantt. Distt:
Gujranwala</t>
  </si>
  <si>
    <t>0649</t>
  </si>
  <si>
    <t>FIR No.236,
dt: 8/5/2012
u/s 365 PPC
PS Saddar Distt. D.I. Khan</t>
  </si>
  <si>
    <t>0650</t>
  </si>
  <si>
    <t>FIR No. 08
dt. 10/01/2012
PS: Gulzar-e-Qaid, Near Airport, Rawalpindi</t>
  </si>
  <si>
    <t>0651</t>
  </si>
  <si>
    <t>FIR No.311,
dt: 7/5/2012
u/s 365 PPC
PS Badami Bagh, Lahore</t>
  </si>
  <si>
    <t>0652</t>
  </si>
  <si>
    <t>0653</t>
  </si>
  <si>
    <t>FIR No.13,
dt: 3/2/2013
u/s 365 PPC
PS Kallar Kahar
Distt. Rawalpindi</t>
  </si>
  <si>
    <t>0654</t>
  </si>
  <si>
    <t xml:space="preserve">Dost Muhammad Chandio F/o Missing Person, r/o R-B-B Colony, Jamshoro Kotri, Muhallah Chandio Para, District Jamshoro, Sindh (Mobile No. 0304-6277210) </t>
  </si>
  <si>
    <t>0655</t>
  </si>
  <si>
    <t>FIR No. 585,
dt. 23/8/2011,
u/s 365 PPC
PS: Civil Lines, Bahawalpur</t>
  </si>
  <si>
    <t>0656</t>
  </si>
  <si>
    <t>FIR No.257
dt: 20/5/2012
u/s 365 PPC
PS City Arifwala</t>
  </si>
  <si>
    <t>0657</t>
  </si>
  <si>
    <t>0658</t>
  </si>
  <si>
    <t>FIR No. 75,
dt. 15/3/2007,
u/s 365 PPC
PS: Saddar, Jhelum</t>
  </si>
  <si>
    <t>0659</t>
  </si>
  <si>
    <t>FIR No. 665
dt. 03/11/2010,
u/s 365 PPC
PS: Hujra Shah Muqeem, Okara</t>
  </si>
  <si>
    <t>0660</t>
  </si>
  <si>
    <t>FIR No. 508
dt.17/9/2011,
u/s 365/34 PPC
PS: Surjani Town, Distt.: West Karachi</t>
  </si>
  <si>
    <t>0661</t>
  </si>
  <si>
    <t xml:space="preserve">Deleted Not a Case of Enforced Disappearances ( As per report of JIT shows that Missing Person had gone on his own) </t>
  </si>
  <si>
    <t>0662</t>
  </si>
  <si>
    <t>FIR No. 811,
dt. 5/12 2011,
u/s 365 PPC
PS: Wah Cantt, Distt.: Rawalpindi</t>
  </si>
  <si>
    <t>0663</t>
  </si>
  <si>
    <t>FIR No.261
dt: 07/05/2012
u/s 365 PPC
PS Lakki Marwat
Distt: Lakki Marwat</t>
  </si>
  <si>
    <t>0664</t>
  </si>
  <si>
    <t>FIR No.106, 
dt: 4/5/2012
u/s 365 PPC
PS Saddar Mailsi
Distt. Vehari</t>
  </si>
  <si>
    <t>0665</t>
  </si>
  <si>
    <t>FIR No. 170
dt. 27/10/2011, 
u/s 365 PPC
PS: Shah Shams, Distt.: Multan</t>
  </si>
  <si>
    <t>0666</t>
  </si>
  <si>
    <t>0667</t>
  </si>
  <si>
    <t>0668</t>
  </si>
  <si>
    <t>FIR No.237
dt: 08/05/2012
u/s 365 PPC
PS Saddar,
D. I. Khan</t>
  </si>
  <si>
    <t>0669</t>
  </si>
  <si>
    <t>0670</t>
  </si>
  <si>
    <t>0671</t>
  </si>
  <si>
    <t>FIR No.105
dt: 03/5/2012
u/s 365 PPC,PS/Quaid-e-Azam Industrial Estate,Lahore.</t>
  </si>
  <si>
    <t>0672</t>
  </si>
  <si>
    <t>FIR No.148
dt: 30/04/2012
u/s 365 PPC
PS Pindi Gheb
Distt: Attock</t>
  </si>
  <si>
    <t>FIR No.482
dt: 7/5/2012
u/s 365 PPC
PS City Mansehra</t>
  </si>
  <si>
    <t>0674</t>
  </si>
  <si>
    <t>FIR No.89
dt: 6/10/2012
u/s 365 PPC
PS University Campus, Distt. Peshawar</t>
  </si>
  <si>
    <t>0675</t>
  </si>
  <si>
    <t>FIR No.106
dt: 19/9/2012
u/s 365 PPC
PS Bunr, District Swat</t>
  </si>
  <si>
    <t>0676</t>
  </si>
  <si>
    <t>FIR No.333
dt: 10/5/2012
u/s 365 PPC
PS Takhtbai, District. Mardan</t>
  </si>
  <si>
    <t>0677</t>
  </si>
  <si>
    <t>FIR No. 1063/2012
u/s 365 PPC
PS Mingora, District Swat</t>
  </si>
  <si>
    <t>0678</t>
  </si>
  <si>
    <t>FIR No.21
dt: 29/1/2013
u/s 365 PPC
PS Laksian District. Sargodha</t>
  </si>
  <si>
    <t>0679</t>
  </si>
  <si>
    <t>FIR No.194,
dt: 09/5/2012
u/s 365-A PPC
PS/Matanni, District Peshawar</t>
  </si>
  <si>
    <t>0680</t>
  </si>
  <si>
    <t>FIR No.499,
dt: 19/9/2012
u/s 365 PPC
PS Kanju, District Swat</t>
  </si>
  <si>
    <t>0681</t>
  </si>
  <si>
    <t>0682</t>
  </si>
  <si>
    <t>0683</t>
  </si>
  <si>
    <t>FIR No. 401
dt: 11/05/2012
u/s 365 PPC
PS Shaheed Gulfat Hussain, Distt.
Peshawar</t>
  </si>
  <si>
    <t xml:space="preserve">Deleted. All stakeholders have denied arrest/custody of Sadaam Hussain. No further action is required. Hence the case is closed. </t>
  </si>
  <si>
    <t>0684</t>
  </si>
  <si>
    <t>FIR No. 855
dt: 20/09/2012
u/s 365 PPC
PS Matta, District Swat</t>
  </si>
  <si>
    <t>0685</t>
  </si>
  <si>
    <t>0686</t>
  </si>
  <si>
    <t>FIR No.148
dt: 11/5/2012
u/s 365 PPC
PS Ghauriwala, District. Bannu</t>
  </si>
  <si>
    <t>0687</t>
  </si>
  <si>
    <t>0688</t>
  </si>
  <si>
    <t>FIR No.174,
dt: 11/5/2012
u/s 365 PPC
PS Omerzai, District. Charsadda</t>
  </si>
  <si>
    <t>0689</t>
  </si>
  <si>
    <t>FIR No.261
dt: 19/04/2012
u/s 347 PPC
PS Asmat Ullah Shaheed Sarai Naurang, Distt:
Lakki Marwat</t>
  </si>
  <si>
    <t>Traced Person. Maj. Moeen of MI confirmed that  Haji Murad Khan was being shifted to Internment Centre.</t>
  </si>
  <si>
    <t>0690</t>
  </si>
  <si>
    <t>0691</t>
  </si>
  <si>
    <t>FIR No.195
dt: 08/05/2012
u/s 347 PPC
PS Bilitang, Distt:
Kohat</t>
  </si>
  <si>
    <t>0692</t>
  </si>
  <si>
    <t>FIR No.367
dt: 15/05/2012
u/s 347 PPC
PS Jungle Khel, 
Distt: Kohat</t>
  </si>
  <si>
    <t>0693</t>
  </si>
  <si>
    <t>0694</t>
  </si>
  <si>
    <t xml:space="preserve">Said Wazir S/o Said Amin </t>
  </si>
  <si>
    <t>0695</t>
  </si>
  <si>
    <t>FIR No.310
dt: 16/5/2012
u/s 365 PPC
PS Saddar Baironi, District. Rawalpindi</t>
  </si>
  <si>
    <t>0696</t>
  </si>
  <si>
    <t>FIR No.296
dt: 06/02/2012
u/s 365 PPC
PS Asmat Ullah Shaheed, Sarai Naurang
Distt: Lakki
Marwat</t>
  </si>
  <si>
    <t>0697</t>
  </si>
  <si>
    <t>Traced Person (Confined in  Internment Center, Fizaghat)</t>
  </si>
  <si>
    <t>0698</t>
  </si>
  <si>
    <t>DD Report No.25
dt: 28/04/2012
PS Sihala, Distt:
Islamabad</t>
  </si>
  <si>
    <t>0699</t>
  </si>
  <si>
    <t>FIR No.545
dt: 12/06/2012
u/s 365 PPC
PS City, Kohat</t>
  </si>
  <si>
    <t>0700</t>
  </si>
  <si>
    <t>FIR No. 275
dt: 23/05/2012
u/s 365 PPC
PS Saddar
Distt: Bannu</t>
  </si>
  <si>
    <t>0701</t>
  </si>
  <si>
    <t>FIR No.256
dt: 16/03/2005
u/s 365-A PPC
PS Badaber,
Peshawar</t>
  </si>
  <si>
    <t xml:space="preserve">Deleted. Not a case of Enforced Disappearance as it is a case of kidnapping for ransom. </t>
  </si>
  <si>
    <t>0702</t>
  </si>
  <si>
    <t>DD Entry No.55
dt: 26/03/2012
Industrial Area,
Islamabad</t>
  </si>
  <si>
    <t>0703</t>
  </si>
  <si>
    <t xml:space="preserve">Tahira Fareed </t>
  </si>
  <si>
    <t>0704</t>
  </si>
  <si>
    <t>0705</t>
  </si>
  <si>
    <t xml:space="preserve">Traced Person. The case has been received from Hon’ble Supreme Court of Pakistan (Human Right Cell). The cognizance of issue was taken by this Commission by means of order  dated 175.2012 and certain directions were issued to the quarters concerned. Today it has been affirmed that Saba Haider Malik has been recovered against whom a case has been registered by means of FIR bearing No. 213/2012 u/s 13/D Arms Ordnance is PS SIU, Karachi and presently the matter is pending adjudication before the Court of component Jurisdiction.   </t>
  </si>
  <si>
    <t>0706</t>
  </si>
  <si>
    <t>FIR No.55
dt: 15/05/2012
u/s 365/147/148/ 149/452 PPC
PS Shalkot
Distt: Quetta</t>
  </si>
  <si>
    <t>0707</t>
  </si>
  <si>
    <t>FIR No.8/2012
u/s 365/34 PPC
PS Mashkal,
Distt: Washuk</t>
  </si>
  <si>
    <t>0708</t>
  </si>
  <si>
    <t>FIR No.262
dt: 19/9/2012
u/s 365 PPC
PS Chuprial
Distt. Swat</t>
  </si>
  <si>
    <t xml:space="preserve">Traced Person. Confined in the Internment Centre, Lakki Marwat. </t>
  </si>
  <si>
    <t>0709</t>
  </si>
  <si>
    <t>FIR No.533
dt: 06/06/2012
u/s 347 PPC
PS City, Distt:
Kohat</t>
  </si>
  <si>
    <t>0710</t>
  </si>
  <si>
    <t xml:space="preserve">Mst. Zahida w/o Missing Person r/o Biakand, Tehsil: Matta, Distt: Swat </t>
  </si>
  <si>
    <t>0711</t>
  </si>
  <si>
    <t>FIR No.223,
dt: 1/6/2012,
u/s 365 PPC
PS R A Bazaar, Rawalpindi</t>
  </si>
  <si>
    <t>0712</t>
  </si>
  <si>
    <t xml:space="preserve">FIR No.430
dt: 30/08/2012
u/s 4/5 ESA r/w
7ATA
PS Wah Cantt.
Distt: Rawalpindi
</t>
  </si>
  <si>
    <t xml:space="preserve">Traced Person. Linked with case 571. Detained in Adyala Jail, Rawalpindi. </t>
  </si>
  <si>
    <t>0713</t>
  </si>
  <si>
    <t>DD Report No. 33,
dt. 16/2/1999
PS: Marripur, Karachi</t>
  </si>
  <si>
    <t xml:space="preserve">Deleted. Ahmed Bux who was a Police Constable disappeared on 17.12.1998 and since then his whereabouts are not known despite best efforts by all concerned. JIT is of the considered opinion that he has gone on his own. The Commission also agrees to this conclusion arrived at all the case is closed. </t>
  </si>
  <si>
    <t>0714</t>
  </si>
  <si>
    <t xml:space="preserve">FIR No. 96/2012
u/s 365/34 PPC
PS Satellite Town, Quetta </t>
  </si>
  <si>
    <t>0715</t>
  </si>
  <si>
    <t>FIR No.394
dt: 23/6/2012
u/s 365 PPC
PS Saddar Barooni Distt. Rawalpindi</t>
  </si>
  <si>
    <t>0716</t>
  </si>
  <si>
    <t xml:space="preserve">Zahid Khan S/o Zarnosh Khan, F/o Missing Person, r/o Mohallah Rekay, Village Badarsti, District Nowshera, KPK </t>
  </si>
  <si>
    <t>0717</t>
  </si>
  <si>
    <t>0718</t>
  </si>
  <si>
    <t>FIR No.46
dt: 14/6/2012
u/s 365/34 PPC
PS Tharparkar</t>
  </si>
  <si>
    <t>0719</t>
  </si>
  <si>
    <t xml:space="preserve">Muhammad Asghar S/o Bashir Ahmed </t>
  </si>
  <si>
    <t>FIR No.212
dt: 05/6/2012
u/s 365 PPC
PS/Kanganpur,District Kasur.</t>
  </si>
  <si>
    <t>0720</t>
  </si>
  <si>
    <t>FIR No.365
dt: 25/9/2013
u/s 365/34 PPC
PS/Bhatai Nagar,District Hyderabad.</t>
  </si>
  <si>
    <t>0721</t>
  </si>
  <si>
    <t>0722</t>
  </si>
  <si>
    <t>FIR No.158
dt: 12/06/2012
u/s 365 PPC
PS Ghumandpur, District. Bahawalnagar</t>
  </si>
  <si>
    <t>0723</t>
  </si>
  <si>
    <t>FIR No.228
dt: 16/05/2012
u/s 365 PPC
PS Wah Cantt.
District: Rawalpindi</t>
  </si>
  <si>
    <t xml:space="preserve">Traced Person. Rep of MI informed at the hearing on 20-09-12 that a case has been registered under Arms Act against him. </t>
  </si>
  <si>
    <t>0724</t>
  </si>
  <si>
    <t>FIR No.1131,
dt: 27/11/2011
u/s 365 PPC
PS Sabzazar, District. Lahore</t>
  </si>
  <si>
    <t>0725</t>
  </si>
  <si>
    <t>FIR No.158
dt: 12/06/2012
u/s 365 PPC
PS Ghumandpur
Distt: Bahawalnagar</t>
  </si>
  <si>
    <t>0726</t>
  </si>
  <si>
    <t>Traced Person.  Confined in the Internment Center Lakki Marwat.</t>
  </si>
  <si>
    <t>0727</t>
  </si>
  <si>
    <t>FIR No.300
dt: 26/6/2012
u/s 365 PPC
PS City, District. Abbottabad</t>
  </si>
  <si>
    <t>Traced Person. Confined in Internment Centre, Paitham District  Swat.</t>
  </si>
  <si>
    <t>0728</t>
  </si>
  <si>
    <t>FIR No.207
dt: 26/06/2012
u/s 365 PPC
PS Gandigar
District: Dir Upper</t>
  </si>
  <si>
    <t>0729</t>
  </si>
  <si>
    <t>FIR No.81
dt: 22/6/2012
u/s 365 PPC
PS Zaim Darrah
District. Dir Lower</t>
  </si>
  <si>
    <t>0730</t>
  </si>
  <si>
    <t xml:space="preserve">Aziz Ullah s/o Gull Rehman </t>
  </si>
  <si>
    <t>FIR No.323
dt: 26/6/2012
u/s 365 PPC
PS City Abbottabad</t>
  </si>
  <si>
    <t>0731</t>
  </si>
  <si>
    <t xml:space="preserve">Zahid Ullah S/o Munawar Khan </t>
  </si>
  <si>
    <t>0732</t>
  </si>
  <si>
    <t>0733</t>
  </si>
  <si>
    <t>FIR No.313
dt: 22/6/2012
u/s 365 PPC
PS Lal Qilah, District. Dir Lower</t>
  </si>
  <si>
    <t>0734</t>
  </si>
  <si>
    <t>FIR No.80
dt: 22/6/2012
u/s 365 PPC
PS ZaimDarra, District. Dir Lower</t>
  </si>
  <si>
    <t xml:space="preserve">Direct </t>
  </si>
  <si>
    <t>0735</t>
  </si>
  <si>
    <t>FIR No. 446
dt. 29/06/2010
PS: Wah Cantt, Rawalpindi</t>
  </si>
  <si>
    <t>0736</t>
  </si>
  <si>
    <t>FIR No.826
dt: 13/09/2012
u/s 365 PPC
PS Pishtakhara, Peshawar</t>
  </si>
  <si>
    <t>0737</t>
  </si>
  <si>
    <t>FIR No.219
dt: 18/6/2012
u/s 365 PPC
PS/Karor Lal Eisan,District Layyah</t>
  </si>
  <si>
    <t>0738</t>
  </si>
  <si>
    <t>FIR No.622
dt: 23/06/2012
u/s 365 PPC
PS Harbanspura
District Lahore</t>
  </si>
  <si>
    <t>0739</t>
  </si>
  <si>
    <t>Sian Chan F/o Missing Person, r/o Muslim Colony 38-D, Noorpur Shah, PO Khaas, Tehsil/District  Islamabad. (MObile No. 0322-5821753 &amp; 0321-5773878)</t>
  </si>
  <si>
    <t>FIR No;.387
dt: 18/9/2012
u/s 365 PPC
PS City Attock</t>
  </si>
  <si>
    <t>0740</t>
  </si>
  <si>
    <t>FIR No.334
dt: 24/6/2012
u/s 365 PPC
PS Mumtazabad, District. Multan</t>
  </si>
  <si>
    <t xml:space="preserve">Traced Person. Father of Muhammad Ajmal confirmed at the hearing on 21.02.13 that the latter has returned to home. </t>
  </si>
  <si>
    <t>0741</t>
  </si>
  <si>
    <t>FIR No.333
dt: 24/6/2012
u/s 365 PPC
PS Mumtazabad
Distt. Multan</t>
  </si>
  <si>
    <t xml:space="preserve">Traced Person. Returned to home and confirmed by Rana Muhammad Ayub F/o Kaleem Ullah. </t>
  </si>
  <si>
    <t>0742</t>
  </si>
  <si>
    <t>FIR No.509
dt: 19/09/2012
u/s 365/34 PPC
PS Tor Gul Saidu Sharif, Swat</t>
  </si>
  <si>
    <t>0743</t>
  </si>
  <si>
    <t>FIR No.298
dt: 1/7/2012
u/s 365 PPC
PS Westridge
Distt. Rawalpindi</t>
  </si>
  <si>
    <t>0745</t>
  </si>
  <si>
    <t>FIR No.413
dt: 10/7/2012
u/s 365 PPC
PS Tehkal, District Peshawar</t>
  </si>
  <si>
    <t>0746</t>
  </si>
  <si>
    <t>0747</t>
  </si>
  <si>
    <t>FIR No.474
dt: 10/7/2012
u/s 365 PPC
PS Gulbahar, Distt. Peshawar</t>
  </si>
  <si>
    <t>0748</t>
  </si>
  <si>
    <t>FIR No.7,
dt: 26/6/2012
u/s 365/148/149 PPC
PS Levy Post Malakand.</t>
  </si>
  <si>
    <t>0749</t>
  </si>
  <si>
    <t>FIR No.292
dt: 19/6/2012
u/s 365 PPC
PS Saddar, District Bahawalpur</t>
  </si>
  <si>
    <t>0750</t>
  </si>
  <si>
    <t>0751</t>
  </si>
  <si>
    <t>FIR No.246
dt: 15/6/2012
u/s 365 PPC
PS Bilitang, Distt. Kohat</t>
  </si>
  <si>
    <t>0752</t>
  </si>
  <si>
    <t xml:space="preserve">Mst. Sadaqat Bibi W/o Shaukat Hayat r/o Canal Town, Street No. 6, Flat No. 64, Peshawar (Mobile No. 0332-5658907) </t>
  </si>
  <si>
    <t>FIR No.706
dt: 10/07/2012
u/s 365 PPC
PS Paharipura,
Peshawar</t>
  </si>
  <si>
    <t>FIR No.320
dt: 23/5/2012
u/s 365 PPC
PS Saddar, Distt. Sialkot</t>
  </si>
  <si>
    <t>0754</t>
  </si>
  <si>
    <t>FIR No.168
dt: 20/07/2012
u/s 302 PPC
PS Kundian
Dist: Mianwali</t>
  </si>
  <si>
    <t>0755</t>
  </si>
  <si>
    <t>FIR No.338
dt: 8/2/2012
u/s 365 PPC
PS Nawan Shehar Distt. Abbottabad</t>
  </si>
  <si>
    <t>0756</t>
  </si>
  <si>
    <t>FIR No.176
dt: 09/05/2012
u/s 365 PPC
PS Murree,
Distt: Rawalpindi</t>
  </si>
  <si>
    <t>Traced Person. Appeared before the Commission on  20.9.12 could not furnish details about his abduction for obvious reasons.</t>
  </si>
  <si>
    <t>0757</t>
  </si>
  <si>
    <t>FIR No.218
dt: 10/07/2012
u/s 365 PPC
PS Tarnab
Distt: Charsadda</t>
  </si>
  <si>
    <t>0758</t>
  </si>
  <si>
    <t>FIR No.592
dt: 10/7/2012
u/s 365 PPC
PS Shaheed Gulfat Hussain, Distt. Peshawar</t>
  </si>
  <si>
    <t xml:space="preserve">Deleted on receipt of information from DHR. The case has already been disposed of vide I.O dated 29.06.15. </t>
  </si>
  <si>
    <t>0759</t>
  </si>
  <si>
    <t>FIR No717
dt: 30/10/2012
u/s 365 PPC
PS Takhtbai, Distt. Mardan</t>
  </si>
  <si>
    <t>0760</t>
  </si>
  <si>
    <t>FIR No.472
dt: 10/11/2007
u/s 365 PPC
PS Saddar Baironi, Distt. Rawalpindi</t>
  </si>
  <si>
    <t>0761</t>
  </si>
  <si>
    <t>FIR No.387
dt: 10/7/2012
u/s 365 PPC
PS Sardheri, District Charsadda</t>
  </si>
  <si>
    <t>0762</t>
  </si>
  <si>
    <t>FIR No.485,
dt: 19/10/2012
u/s 365 PPC
PS Ratta Amral, Distt. Rawalpindi</t>
  </si>
  <si>
    <t>0763</t>
  </si>
  <si>
    <t>Traced  Person. Arrested in case FIR No 687/2008 u/s 365-A, PPC, 7ATA PS. Faizal Town, Lahore as reported by DIG (Inv) Lahore.</t>
  </si>
  <si>
    <t>0764</t>
  </si>
  <si>
    <t>0765</t>
  </si>
  <si>
    <t xml:space="preserve">Muhammad Hussain b/o Missing Person, Basti Sialkot, PO Garhi Mharaja, Tehsil Ahmed Pur Sial, District Jhang (Mobile No. 0342-7492816) </t>
  </si>
  <si>
    <t>FIR No.284
dt: 19/06/2012
u/s 365 PPC
PS Garh Maharaja
Distt: Jhang</t>
  </si>
  <si>
    <t xml:space="preserve">Traced Person. Appeared before the Commission himself, however could not share Details.                                                                                                                                               </t>
  </si>
  <si>
    <t>0766</t>
  </si>
  <si>
    <t>0767</t>
  </si>
  <si>
    <t>0768</t>
  </si>
  <si>
    <t>0769</t>
  </si>
  <si>
    <t>FIR No.247
dt: 18/7/2012
u/s 365 PPC
PS: Proa, Distt. D.I. Khan</t>
  </si>
  <si>
    <t>0772</t>
  </si>
  <si>
    <t>FIR No.55,
dt: 21/6/2012
u/s 364 APC
PS Civil Secretariat Muzaffarabad, AJ&amp;K</t>
  </si>
  <si>
    <t>Deleted not being a  case of enforced disappearence. Detailed findings dated 26.05.16 refer.</t>
  </si>
  <si>
    <t>0773</t>
  </si>
  <si>
    <t xml:space="preserve">FIR No.518
dt: 19/06/2012
u/s 365 PPC
PS Baghdad-ul-
Jadeed, Distt:
Bahawalpur
</t>
  </si>
  <si>
    <t>0774</t>
  </si>
  <si>
    <t>0775</t>
  </si>
  <si>
    <t>0776</t>
  </si>
  <si>
    <t>FIR No.116
dt: 16/06/2012
u/s 365 PPC
PS Choha Saidan Shah, Distt. Chakwal</t>
  </si>
  <si>
    <t>0777</t>
  </si>
  <si>
    <t>0778</t>
  </si>
  <si>
    <t>FIR No.225
dt: 27/6/2012
u/s 365 PPC
PS East Cantt. Peshawar</t>
  </si>
  <si>
    <t>0779</t>
  </si>
  <si>
    <t>FIR No.310
dt: 20/6/2012
u/s 365 PPC
PS Lal Qillah, District Dir Lower</t>
  </si>
  <si>
    <t xml:space="preserve"> Dir Lower</t>
  </si>
  <si>
    <t>0780</t>
  </si>
  <si>
    <t>0781</t>
  </si>
  <si>
    <t>FIR No.100
dt: 24/1/2012
u/s 365 PPC
PS Kanju, Swat</t>
  </si>
  <si>
    <t>0782</t>
  </si>
  <si>
    <t>FIR No.307
dt: 20/07/2012
u/s 365 PPC
PS Cantt. Distt.
Bannu</t>
  </si>
  <si>
    <t>0783</t>
  </si>
  <si>
    <t>0784</t>
  </si>
  <si>
    <t>FIR No.273
dt: 10/7/2012
u/s 365 PPC PS City,Attock</t>
  </si>
  <si>
    <t xml:space="preserve">Deleted (Not a case of Enforced Disappearances) </t>
  </si>
  <si>
    <t>0785</t>
  </si>
  <si>
    <t>FIR No. 308
dt: 20/7/2012
u/s 365 PPC
PS Cantt. Distt. Bannu</t>
  </si>
  <si>
    <t xml:space="preserve">Deleted (Not a case of Enforced Disappearance) </t>
  </si>
  <si>
    <t>0786</t>
  </si>
  <si>
    <t xml:space="preserve">Muhammad Ayaz S/o Muhammad Sher Khan </t>
  </si>
  <si>
    <t>DD Report No.22
dt: 31/05/2012
PS City, Distt:
Bannu</t>
  </si>
  <si>
    <t>0787</t>
  </si>
  <si>
    <t xml:space="preserve">Muhammad Tariq S/o Khadim Hussain </t>
  </si>
  <si>
    <t xml:space="preserve">Khadim Hussain f/o Missing Person, r/o Basti Haji Pur, Mouza Raan Lab Dariya, Tehsil/District Multan, Halqa NA-151 </t>
  </si>
  <si>
    <t>0788</t>
  </si>
  <si>
    <t>FIR No. 515
dt: 25/5/2013
u/s 365 PPC
PS Gulberg, Lahore</t>
  </si>
  <si>
    <t>0789</t>
  </si>
  <si>
    <t>0790</t>
  </si>
  <si>
    <t>0791</t>
  </si>
  <si>
    <t>FIR No.479
dt: 12/7/2012
u/s 365 PPC
PS Gulbahar, Distt. Peshawar</t>
  </si>
  <si>
    <t>0792</t>
  </si>
  <si>
    <t>FIR No.381
dt: 13/4/2012
u/s 223/224 PPC
r/w 155-C Police Order 2002
PS Ferozewala
Distt. Sheikhupura</t>
  </si>
  <si>
    <t>0793</t>
  </si>
  <si>
    <t>Muhammad Hussain Cousin of Missing Person, r/o Computer Science College, Gali No. 73, Wing Sachal Rangers, Muhallah  North Nazim Abad, Block-K, Karachi, Tehsil/District Central Karachi (Mobile No. 0333-8254277)</t>
  </si>
  <si>
    <t>FIR No.505
dt: 18/8/2012
u/s 365 PPC
PS Naulakkha, Distt. Lahore</t>
  </si>
  <si>
    <t>0794</t>
  </si>
  <si>
    <t>0795</t>
  </si>
  <si>
    <t xml:space="preserve">Minhaj-ud-Din b/o Missing Person, r/o Ashkr Koat, Shamak Khel, Tehsil/P.O Makeen, District South Waziristan Agency (Mobile No. 0332-6841942, 0303-5329028) </t>
  </si>
  <si>
    <t>FIR No.228
dt: 18/07/2012
u/s 365 PPC
PS University,
Distt: D.I. Khan</t>
  </si>
  <si>
    <t>0796</t>
  </si>
  <si>
    <t xml:space="preserve">Shah Faisal s/o Raza Khan </t>
  </si>
  <si>
    <t>FIR No.735
dt: 17/7/2012
u/s 365 PPC
PS Muhammad Riaz Shaheed, Distt. Kohat</t>
  </si>
  <si>
    <t>0797</t>
  </si>
  <si>
    <t>FIR No.312
dt: 10/7/2012
u/s 365 PPC
PS Yousaf Wala
Distt: Sahiwal</t>
  </si>
  <si>
    <t>0798</t>
  </si>
  <si>
    <t>FIR No.549
dt: 14/07/2012
u/s 365 PPC
PS Westridge, Distt. Rawalpindi</t>
  </si>
  <si>
    <t>0799</t>
  </si>
  <si>
    <t xml:space="preserve">Shah Hussain s/o Haji Sohbat Khan </t>
  </si>
  <si>
    <t>0800</t>
  </si>
  <si>
    <t>Hameed-ur-Rehman  b/o Missing Person, r/o Wazir Jani Khel Mameetan Khel, P.O. Jani Khel, Tehsil &amp; District Tribal Area, Bannu (Mobile No. 0322-7540224, 0314-5811110)</t>
  </si>
  <si>
    <t>0801</t>
  </si>
  <si>
    <t>0802</t>
  </si>
  <si>
    <t>FIR No.370
dt: 12/07/2012
u/s 365 PPC
PS Lal Qila, Distt. Lower Dir</t>
  </si>
  <si>
    <t>0804</t>
  </si>
  <si>
    <t>FIR No.1063
dt: 19/09/2012
u/s 365 PPC
PS Mingora, District: Swat</t>
  </si>
  <si>
    <t>0805</t>
  </si>
  <si>
    <t>FIR No. 507
dt: 19/09/2012
u/s 365/34 PPC,
PS Tor Gul Shaheed
Saidu Sharif, District: Swat</t>
  </si>
  <si>
    <t>0806</t>
  </si>
  <si>
    <t>0807</t>
  </si>
  <si>
    <t>FIR No.234,
dt:17/7/2012,
u/s 365 PPC,
PS Raja Ram, District Multan</t>
  </si>
  <si>
    <t>0808</t>
  </si>
  <si>
    <t>0809</t>
  </si>
  <si>
    <t>0810</t>
  </si>
  <si>
    <t>0811</t>
  </si>
  <si>
    <t>FIR No.243
dt: 20/09/2012
u/s 365 PPC
PS Shamozai, Distt: Swat</t>
  </si>
  <si>
    <t>0812</t>
  </si>
  <si>
    <t>0813</t>
  </si>
  <si>
    <t xml:space="preserve">Mst. Dar Gul W/o Taj Muhammad Baloch M/o Missing Person r/o Street No. 3, Usman Brohi Road near Gharib Shah Mazar Lane, Liyari, Karachi </t>
  </si>
  <si>
    <t>0814</t>
  </si>
  <si>
    <t>FIR No.260
dt: 19/09/2012
u/s 365 PPC
PS Chuprial, Distt: Swat</t>
  </si>
  <si>
    <t>0815</t>
  </si>
  <si>
    <t>0816</t>
  </si>
  <si>
    <t>FIR No.395
dt: 20/12/2012
u/s 365 PPC
PS Kasowal, Distt. Sahiwal</t>
  </si>
  <si>
    <t>0817</t>
  </si>
  <si>
    <t>FIR No.850
dt: 19/09/2012
u/s 365 PPC
PS Matta, Distt. Swat</t>
  </si>
  <si>
    <t>0818</t>
  </si>
  <si>
    <t xml:space="preserve">Muhammad Zaib S/o Shereen Gull </t>
  </si>
  <si>
    <t xml:space="preserve">Shereen Zada uncle of Missing Person, r/o Tehsil Matta, Mian Kallay, P.O. Shangwai, District Swat (Mobile No. 0344-5062773) </t>
  </si>
  <si>
    <t>0819</t>
  </si>
  <si>
    <t>FIR No.270
dt: 13/8/2012
u/s 365 PPC
PS University, Distt. D.I. Khan</t>
  </si>
  <si>
    <t xml:space="preserve">Traced Person. Muhammad Sajid Mushtaq has been traced. He is present before the Commission. His statement has been recorded. He was taken into custody about 08 years back and returned home to about 20 days ago. However he could not give further details about the persons involved and the place where he was kept in detention. </t>
  </si>
  <si>
    <t>0820</t>
  </si>
  <si>
    <t>FIR No.690
dt: 7/8/2012
u/s 365 PPC
PS Nowshera Kalan, District Nowshera</t>
  </si>
  <si>
    <t>0821</t>
  </si>
  <si>
    <t>FIR No.636
dt: 09/08/2012
u/s 365 PPC
PS City Raiwind, Distt: Lahore</t>
  </si>
  <si>
    <t xml:space="preserve">Traced Person. According to report submitted by Incharge (Inv) Raiwind has later has returned to home. </t>
  </si>
  <si>
    <t>0822</t>
  </si>
  <si>
    <t>Deleted not being a  case of enforced disappearence as informed by mother of Ali Sher who stated that Muhammad Asghar is a culprit.</t>
  </si>
  <si>
    <t>0823</t>
  </si>
  <si>
    <t>FIR No.505
dt: 9/8/2012
u/s 365 PPC
PS Nowshera Cantt., District Nowshera</t>
  </si>
  <si>
    <t xml:space="preserve">Deleted. In the JIT reports the case been categorized as a case of Missing Person has gone on his own. The case was also taken up by PTF on 12.2.2020 and the same was categorized gone on his own. Hence not a case of enforced disappearance. The case is closed. </t>
  </si>
  <si>
    <t>0824</t>
  </si>
  <si>
    <t xml:space="preserve">Mst. Syeda Bukharan Begum M/o Missimg Person, r/o Dairy Syedan, Tehsil Choa Syedan Shah, District Chakwal (Mobile No. 0301-5998224) </t>
  </si>
  <si>
    <t>FIR No.135
dt: 11/04/2002
u/s 364/34 PPC
PS Margalla, Islamabad</t>
  </si>
  <si>
    <t>0825</t>
  </si>
  <si>
    <t xml:space="preserve">HRC No. 17329-G/2012 &amp; HRC No. 173297-G/2012, </t>
  </si>
  <si>
    <t xml:space="preserve">Fazal-ur-Rehman S/o Mir Gul </t>
  </si>
  <si>
    <t>Deleted (Not a Case of Enforced Disapperances) as recorded in the proceedings after the hearing  on 2.11.2015 (Lack of evidence)</t>
  </si>
  <si>
    <t>0826</t>
  </si>
  <si>
    <t>0827</t>
  </si>
  <si>
    <t>0828</t>
  </si>
  <si>
    <t>0829</t>
  </si>
  <si>
    <t>FIR No.655
dt: 13/08/2012
u/s 365 PPC
PS Akora Khattak
Distt: Nowshera</t>
  </si>
  <si>
    <t>0830</t>
  </si>
  <si>
    <t>Mst.Izzat Bibi M/o Missing Person Karamat Ullah C/o  Ozair Pco Chungi Stop Eidgah Road Akora Khatta Tehsil&amp;District Nowshera KpK</t>
  </si>
  <si>
    <t>FIR No.265
dt: 27/8/2012
u/s 365 PPC
PS Midh Ranjha, Distt: Sargodha</t>
  </si>
  <si>
    <t>0832</t>
  </si>
  <si>
    <t>FIR No. 212.
dt: 23/8/2012
u/s 365/34 PPC
PS Malir City, Distt. Karachi</t>
  </si>
  <si>
    <t>0833</t>
  </si>
  <si>
    <t xml:space="preserve">Malik Ahmed Deen f/o Missing Person, r/o Basti Jamalia, Bqa Pur P.O Hatheeji, Tehsil Ahmed Pur, District Bahawalpur (Mobile No. 0302-2013155)  </t>
  </si>
  <si>
    <t>FIR No.321
dt: 05/9/2012
u/s 365 PPC
PS Nowshera Jadeed, Distt. Bahawalpur</t>
  </si>
  <si>
    <t>0834</t>
  </si>
  <si>
    <t xml:space="preserve">Mst. Allah Wasai M/o Missing Person, r/o Mouza Patti Chang, P.O. Tehsil Ahmed Pur, District Bahawalpur (Mobile No. 0306-3139972)  </t>
  </si>
  <si>
    <t xml:space="preserve">Mst. Parveen sister of Missing Person, r/o Nasrat P.O. Dave Lai, Tehsil &amp; District Swat (Mobile No. 0347-9363273) </t>
  </si>
  <si>
    <t>FIR No.876
dt: 10/09/2012
u/s 365 PPC
PS Mirpur, District Abbottabad</t>
  </si>
  <si>
    <t>0836</t>
  </si>
  <si>
    <t xml:space="preserve">Traced Person. It was informed at the hearing held in this Commission on 1.1.2020  that Zahir Hussain Bozdar has returned  home. Riaz Hussain, elder brother confirmed the said position. The case is closed. </t>
  </si>
  <si>
    <t>0837</t>
  </si>
  <si>
    <t>0838</t>
  </si>
  <si>
    <t>FIR No.581
dt: 20/12/2012
u/s 365 PPC
PS Seetal Mari District Multan</t>
  </si>
  <si>
    <t>0839</t>
  </si>
  <si>
    <t>0840</t>
  </si>
  <si>
    <t xml:space="preserve">Muhammad Bakhsh Baloch </t>
  </si>
  <si>
    <t xml:space="preserve">FIR No.58/12 dt. 20 June 12, PS City Turbat </t>
  </si>
  <si>
    <t>FIR No.428
dt: 28/4/2011
u/s 365 PPC
PS Nowshera Cantt, District Nowshera</t>
  </si>
  <si>
    <t>0843</t>
  </si>
  <si>
    <t>FIR No.565
dt: 18/09/2012
u/s 365 PPC
PS Nowshera Cantt., Distt:
Nowshera</t>
  </si>
  <si>
    <t>0844</t>
  </si>
  <si>
    <t>0855</t>
  </si>
  <si>
    <t>0856</t>
  </si>
  <si>
    <t>0857</t>
  </si>
  <si>
    <t>0859</t>
  </si>
  <si>
    <t>FIR No.779
dt: 02/10/2012
u/s 365 PPC
PS Katlang,
Distt: Mardan</t>
  </si>
  <si>
    <t>0860</t>
  </si>
  <si>
    <t>Under Investigation  Lahore</t>
  </si>
  <si>
    <t>0861</t>
  </si>
  <si>
    <t>0863</t>
  </si>
  <si>
    <t>FIR No.229
dt: 21/11/2012
u/s 365 PPC
PS Mullazai, Distt. Tank</t>
  </si>
  <si>
    <t>0864</t>
  </si>
  <si>
    <t>FIR No.522
dt: 26/9/2012
u/s 365 PPC
PS Kanju, Distt. Swat</t>
  </si>
  <si>
    <t>0865</t>
  </si>
  <si>
    <t xml:space="preserve">Under Investigation Swat </t>
  </si>
  <si>
    <t>0866</t>
  </si>
  <si>
    <t>0867</t>
  </si>
  <si>
    <t>0868</t>
  </si>
  <si>
    <t>0869</t>
  </si>
  <si>
    <t xml:space="preserve">HRC No. 30369-K/2012, HRC No. 31151-K/2012, </t>
  </si>
  <si>
    <t>0870</t>
  </si>
  <si>
    <t>FIR No.522
dt: 26/9/2012
u/s 365 PPC
PS Kanju, District. Swat</t>
  </si>
  <si>
    <t>0871</t>
  </si>
  <si>
    <t xml:space="preserve">C/o Nawabzada Haji Mir Lashkari Raisani (PPP) r/o Sawaran House, Shahra-e-Nawab Raisani Road, Quetta (Mobile No. 0334-2214331)) </t>
  </si>
  <si>
    <t>FIR No.5
dt: 02/05/2012
u/s 365/147/148/ 149 PPC
PS Wadh, District Khuzdar</t>
  </si>
  <si>
    <t>0872</t>
  </si>
  <si>
    <t>FIR No.538
dt: 5/10/2012
u/s 365 PPC
PS Civil Lines, District. Bahawalpur</t>
  </si>
  <si>
    <t>0873</t>
  </si>
  <si>
    <t>FIR No.16
dt:22.12.2012
u/s 365/34 PPC
PS Jall Distt. Diamar</t>
  </si>
  <si>
    <t>0874</t>
  </si>
  <si>
    <t>0875</t>
  </si>
  <si>
    <t xml:space="preserve">Hafiz Muhammad Zakria S/o Khushi Muhammad </t>
  </si>
  <si>
    <t xml:space="preserve">Khushi Muhammad F/o Missing person r/o Mohalla Rehan Mouza Akwal Tehsil Tala Gang District Chakwal. </t>
  </si>
  <si>
    <t>Daily Diary Report No.18
dt. 13/08/2012
PS: Tala Gang, Chakwal.</t>
  </si>
  <si>
    <t xml:space="preserve">Hakeem Khan S/o Hakeem Muhammad Maskeen </t>
  </si>
  <si>
    <t>FIR No. 1292
dt: 29/12/2012
u/s 365 PPC
PS Mingora, Distt. Swat</t>
  </si>
  <si>
    <t>Under Investigation  Swat</t>
  </si>
  <si>
    <t>0877</t>
  </si>
  <si>
    <t>FIR No. 354
dt: 18/08/2012
u/s 365 PPC
PS Urban Area, Distt. Sargodha</t>
  </si>
  <si>
    <t>0879</t>
  </si>
  <si>
    <t>FIR No. 698
dt: 28/12/2012
u/s 365 PPC
PS Kanju, Distt. Swat</t>
  </si>
  <si>
    <t>0881</t>
  </si>
  <si>
    <t>0882</t>
  </si>
  <si>
    <t xml:space="preserve">FIR No. 718
dt: 18/10/2012
u/s 365 PPC
PS D-Type Colony, Distt. 
Faisalabad
</t>
  </si>
  <si>
    <t>0883</t>
  </si>
  <si>
    <t>0884</t>
  </si>
  <si>
    <t>FIR No.432
dt. 11/9/2012,
u/s 365 PPC
PS: New Town, East Karachi</t>
  </si>
  <si>
    <t>0885</t>
  </si>
  <si>
    <t>0886</t>
  </si>
  <si>
    <t>FIR No.331
dt: 12/10/2012
u/s 365 PPC
PS Kharki, Distt: Mardan</t>
  </si>
  <si>
    <t>0887</t>
  </si>
  <si>
    <t>FIR No.175
dt: 14/10/2012
u/s 365 PPC
PS Basal, Distt: Attock</t>
  </si>
  <si>
    <t>0888</t>
  </si>
  <si>
    <t>FIR No.765
dt: 14/09/2012
u/s 9 ATA/11(W) ATA
PS New Town,
Distt. Rawalpindi</t>
  </si>
  <si>
    <t>0889</t>
  </si>
  <si>
    <t>Azhar Shafique b/o Missing Person, r/o  Chand Fort near Regal China, P.O Jaleel Town, Gujranwala (Mobile No. 0333-8182884, 0333-8137724)</t>
  </si>
  <si>
    <t>0890</t>
  </si>
  <si>
    <t>FIR No.195
dt. 04/10/2012 u/s 365 PPC
PS: Saddar Talagang,Chakwal</t>
  </si>
  <si>
    <t xml:space="preserve">Traced Person. Appeared before the Commission on 2.11.2012 could not mention details of his abduction etc. </t>
  </si>
  <si>
    <t>FIR No.950
dt: 29/12/2012
u/s 365 PPC
PS Ghaligai, Distt: Swat</t>
  </si>
  <si>
    <t>0892</t>
  </si>
  <si>
    <t xml:space="preserve">Mushtaq Muhammad S/o Sultan Muhammad </t>
  </si>
  <si>
    <t xml:space="preserve">Sultan Muhammad F/o Missing Person, r/o Village Garib Abad, Bakhshali, District Mardan, KPK </t>
  </si>
  <si>
    <t>Under Investigation  ICT</t>
  </si>
  <si>
    <t>0894</t>
  </si>
  <si>
    <t>0895</t>
  </si>
  <si>
    <t>Under Investigation  Bal</t>
  </si>
  <si>
    <t>0896</t>
  </si>
  <si>
    <t>FIR No. 697
dt: 28/12/2012
u/s 365 PPC
PS Kanju, Distt. Swat</t>
  </si>
  <si>
    <t>0897</t>
  </si>
  <si>
    <t>FIR No. 697
dt: 28/12/2012
u/s 365 PPC
PS Kanju, District Swat</t>
  </si>
  <si>
    <t>0898</t>
  </si>
  <si>
    <t xml:space="preserve">FIR No 93 dt.23/6/2/2005 u/s 364 PPC PS Delhi Gate Multan </t>
  </si>
  <si>
    <t>0899</t>
  </si>
  <si>
    <t>FIR No. 699
dt: 28/12/2012
u/s 365 PPC
PS Kanju, District Swat</t>
  </si>
  <si>
    <t>0900</t>
  </si>
  <si>
    <t>0902</t>
  </si>
  <si>
    <t>0903</t>
  </si>
  <si>
    <t>FIR No.703
dt: 29/12/2012
u/s 365 PPC
PS Kanju, District Swat</t>
  </si>
  <si>
    <t xml:space="preserve">Under Investigation (KP) Swat </t>
  </si>
  <si>
    <t>FIR No.702,
dt: 29/12/2012
u/s 365 PPC
PS Kanju, Distt. Swat</t>
  </si>
  <si>
    <t>Muhammad Arif B/o Missing Person r/o Mohalla Katiar Village Shah Dherai, Tehsil Kohat, District Swat  (Mobile No. 0342 9620076)</t>
  </si>
  <si>
    <t>FIR No.700
dt: 29/12/2012
u/s 365 PPC
PS Kanju, Distt. Swat</t>
  </si>
  <si>
    <t>Usama Raza-ul-Hafeez  S/o Qari Abdul Hafeez</t>
  </si>
  <si>
    <t>0914</t>
  </si>
  <si>
    <t xml:space="preserve"> Deleted. The case has been closed as the complainant has withdrawn his complaint on his free will to avail some other remedy for redressal of his grievance. </t>
  </si>
  <si>
    <t>0918</t>
  </si>
  <si>
    <t>DD Entry No.7
dt: 28/09/2012
PP Airport, Distt:
Rawalpindi</t>
  </si>
  <si>
    <t>0919</t>
  </si>
  <si>
    <t>0920</t>
  </si>
  <si>
    <t xml:space="preserve">Saifullah khan B/o Missin Person, r/o Nasri Khel, P.o Jani Khel,  Tehsil &amp; District Bannu  </t>
  </si>
  <si>
    <t>0921</t>
  </si>
  <si>
    <t xml:space="preserve">Abdushireen  S/o Peer Mald Khan </t>
  </si>
  <si>
    <t xml:space="preserve">Saifullah Khan r/o Nasri Khel, P.o Jani Khel,  Tehsil &amp; District Bannu  </t>
  </si>
  <si>
    <t>0923</t>
  </si>
  <si>
    <t xml:space="preserve">Muhammad Haleem S/o Mir Qasim Khan </t>
  </si>
  <si>
    <t>0924</t>
  </si>
  <si>
    <t>FIR No.316
dt: 07/11/2012
u/s 365 PPC
PS Battal, Mansehra</t>
  </si>
  <si>
    <t>0927</t>
  </si>
  <si>
    <t>0928</t>
  </si>
  <si>
    <t>0929</t>
  </si>
  <si>
    <t>0930</t>
  </si>
  <si>
    <t>0931</t>
  </si>
  <si>
    <t>FIR No. 661 
dt: 24-11-2012 
u/s 365 PPC 
P.S. Uch Sharif Distt Bahawalpur</t>
  </si>
  <si>
    <t>0932</t>
  </si>
  <si>
    <t xml:space="preserve">Hassan Abdullah S/o Shuja Ullah </t>
  </si>
  <si>
    <t>FIR No. 778 
dt: 6-11-2012 
u/s 365 PPC 
P.S. Hanjarwal Distt: Lahore</t>
  </si>
  <si>
    <t>0933</t>
  </si>
  <si>
    <t>0934</t>
  </si>
  <si>
    <t>0935</t>
  </si>
  <si>
    <t>0936</t>
  </si>
  <si>
    <t>0937</t>
  </si>
  <si>
    <t>0938</t>
  </si>
  <si>
    <t>FIR No. 398 
dt: 26-7-2013 
u/s 365 PPC 
P.S. Kanju, District Swat</t>
  </si>
  <si>
    <t>0939</t>
  </si>
  <si>
    <t xml:space="preserve">FIR No.1046/2012 u/s 36534 PPC PS Shahrah-e-Faisal,East Zone,Karachi </t>
  </si>
  <si>
    <t xml:space="preserve">Deleted. Closed due to non-Prosecution as the complainant neither extended co-operation with the I.O nor attended hearing held in this Commission including that on 28.5.2019. </t>
  </si>
  <si>
    <t>0940</t>
  </si>
  <si>
    <t>Mr. Muhammad Ikram F/o Missing Person r/o  Mohallah Noori Khel Hoti, Tehsil &amp; Distt: Mardan (Mobile No. 0314-9008656)</t>
  </si>
  <si>
    <t>0941</t>
  </si>
  <si>
    <t>FIR No.20 dt.11/6/2013 u/s 365 PPC
P.S. Jalkot, Dassu
District: Kohistan</t>
  </si>
  <si>
    <t>Deleted. After investigation, JIT and PTF have concluded that the Missing Person has gone on his own as there is no eye witness of the occurrence. All stakeholders have denied arrest/custody of  Abdul Salam Ashraf Afridi father  of the Missing Person was provided several opportunities of hearing but no clue could be found to Infor that the case is that of enforced disappearance. No further action is required. The case is closed.</t>
  </si>
  <si>
    <t>FIR No. 299 
dt: 17-7-2013
u/s 347 PPC 
P.S. KDA, Kohat</t>
  </si>
  <si>
    <t>0943</t>
  </si>
  <si>
    <t>0944</t>
  </si>
  <si>
    <t>FIR No. 372 
dt: 2-7-2012 
u/s 365 PPC 
P.S. Civil Lines, Bahawalpur</t>
  </si>
  <si>
    <t>0945</t>
  </si>
  <si>
    <t>FIR No. 1104
dt: 13-12-2012
u/s 365 PPC
P.S. Cantt, District: D.I. Khan</t>
  </si>
  <si>
    <t>Traced Person. Dead Body recovered. Missing Person was Killed during an encounter with  CTD.</t>
  </si>
  <si>
    <t>0946</t>
  </si>
  <si>
    <t>FIR No. 645 
dt: 18-12-2012 
u/s 365 PPC 
P.S. Saddar Wazirabad, Gujranwala</t>
  </si>
  <si>
    <t>0947</t>
  </si>
  <si>
    <t>0948</t>
  </si>
  <si>
    <t>Traced Person. Appeared before the Commission on 23.2.2013. Reluctant to share the details for obvious reasons.</t>
  </si>
  <si>
    <t>0949</t>
  </si>
  <si>
    <t>0950</t>
  </si>
  <si>
    <t>0951</t>
  </si>
  <si>
    <t>Nizam-ud-Din b/o Missing Person, r/o village Naiwala, Tehsil &amp;  P.O. Parowa, District Dera Ismail Khan, KPK (Cell No. 0341-9284353)</t>
  </si>
  <si>
    <t>FIR No. 447
dt: 26-12-2012
P.S. Prova,
District: D.I.Khan</t>
  </si>
  <si>
    <t xml:space="preserve">Ali Bacha s/o Khaista Bacha Village Barah Bandi District Swat (Tel: 0345-2714348 / 0301-2801005) </t>
  </si>
  <si>
    <t>FIR No. 407
dt: 30-07-2013 u/s 365 PPC, P.S. Kanju
District: Swat</t>
  </si>
  <si>
    <t>0953</t>
  </si>
  <si>
    <t xml:space="preserve">Ali Anwar s/o Khaista Bacha </t>
  </si>
  <si>
    <t>0954</t>
  </si>
  <si>
    <t>FIR No.5
dt: 4/01/2013 
u/s 365/34 PPC 
P.S. Sohrab Goth, Karachi</t>
  </si>
  <si>
    <t xml:space="preserve">Deleted. The case has been deleted due to incomplete /fake address as the Police could not locate the complainant/family in the absence of which no further proceedings could be initiated. The address given in the complaint is Faqair Goth, Scheme No. 33, Super highway, Karachi. </t>
  </si>
  <si>
    <t>0955</t>
  </si>
  <si>
    <t>0956</t>
  </si>
  <si>
    <t xml:space="preserve"> FIR NIL</t>
  </si>
  <si>
    <t>0957</t>
  </si>
  <si>
    <t xml:space="preserve">Aftab Ali Shah s/o Syed Qamar Ali Shah, r/o Village Sirsinai, Mohallah Syed Abad, Tehsil Kabal, District Swat (Mobile No. 0344-5127773, Tel No. 051-8463266) </t>
  </si>
  <si>
    <t>0958</t>
  </si>
  <si>
    <t>0959</t>
  </si>
  <si>
    <t>FIR No. 322 dt.25/7/2013,  u/s 365 PPC PS Kabal, District Swat</t>
  </si>
  <si>
    <t>0960</t>
  </si>
  <si>
    <t>FIR No. 321 dt.25/7/2013,  u/s 365 PPC PS Kabal, District Swat</t>
  </si>
  <si>
    <t>0961</t>
  </si>
  <si>
    <t>0962</t>
  </si>
  <si>
    <t xml:space="preserve">Deleted. At the hearing held in this case on 27.11.2019, SHO PS Naudero. Report dated 1.11.2019 and JIT meeting report dated 24.1.2016, 16.7.2016 and also 20.7.2017 were submitted with conclusion that the Missing Person has gone on his own. None appeared for the hearing to contradict the reports. Hence the case is deleted as it does not fall within the ambit of enforced disappearance. </t>
  </si>
  <si>
    <t>0963</t>
  </si>
  <si>
    <t>FIR No. 20
dt: 10-1-2013
u/s 365 PPC
P.S, Saddar, District: Bannu</t>
  </si>
  <si>
    <t>0964</t>
  </si>
  <si>
    <t>Shah Muhammad  S/o Allah Dino</t>
  </si>
  <si>
    <t>0965</t>
  </si>
  <si>
    <t>FIR No.23 dt.17/01/2013 u/s   365 PS Choubara District Layyah</t>
  </si>
  <si>
    <t>0966</t>
  </si>
  <si>
    <t>0967</t>
  </si>
  <si>
    <t>0968</t>
  </si>
  <si>
    <t xml:space="preserve">Syed Qaim Ali Naqvi F/o Missing Person r/o Flat No. A/11, Gulshan-e-Ameen Plaza, Sohrab Goth, Karachi </t>
  </si>
  <si>
    <t>FIR No. 168
 dt: 31-8-2010 
u/s 365/147/148/149 PPC 
P.S. Hub City District: Lasbella</t>
  </si>
  <si>
    <t>0971</t>
  </si>
  <si>
    <t>0972</t>
  </si>
  <si>
    <t>0973</t>
  </si>
  <si>
    <t>FIR No. 22 
dt: 13-11-2012 
u/s 365/395/147/148/149 
PPC P.S. Sariab District: Quetta</t>
  </si>
  <si>
    <t>0974</t>
  </si>
  <si>
    <t>0975</t>
  </si>
  <si>
    <t>0976</t>
  </si>
  <si>
    <t>0977</t>
  </si>
  <si>
    <t>FIR No.218 dt.19/3/2014
 u/s 365 PPC
 PS Paharipura, Peshawar</t>
  </si>
  <si>
    <t xml:space="preserve">Deleted. All stakeholders have denied arrest/custody of Sadaam Hussain. No further action is required. Hence the case is closed.  </t>
  </si>
  <si>
    <t>0979</t>
  </si>
  <si>
    <t>Under Investigation 
Peshawar</t>
  </si>
  <si>
    <t>0981</t>
  </si>
  <si>
    <t>0983</t>
  </si>
  <si>
    <t xml:space="preserve">Yasir S/o Bubakar </t>
  </si>
  <si>
    <t xml:space="preserve"> FIR No76 dt.13/02/2013 u/s365 PPC PS Sadar Gujranwala</t>
  </si>
  <si>
    <t>0984</t>
  </si>
  <si>
    <t xml:space="preserve"> FIR No.44 dt 09/02/2013 u/s 365/148/149 PPC PS Gandigar DistrictDir Lower</t>
  </si>
  <si>
    <t>FIR No. 423
dt: 3-8-2013
 u/s 365 PPC 
P.S. Kanju, District Swat</t>
  </si>
  <si>
    <t>0986</t>
  </si>
  <si>
    <t>FIR No. 138 
dt: 17-2-2013
u/s 365 PPC 
P.S. Airport Distt: Rawalpindi</t>
  </si>
  <si>
    <t>FIR No.416
dt: 1-8-2013
 u/s 365 PPC 
P.S. Kabal District Swat</t>
  </si>
  <si>
    <t xml:space="preserve"> FIR No. 424 dt.03/8/2013 u/s 365 PPC PS Kanju District Swat</t>
  </si>
  <si>
    <t>0990</t>
  </si>
  <si>
    <t xml:space="preserve"> FIR No424 dt.03/8/2013 u/s 365 PPC PS Kanju District Swat</t>
  </si>
  <si>
    <t>0991</t>
  </si>
  <si>
    <t>0992</t>
  </si>
  <si>
    <t>0993</t>
  </si>
  <si>
    <t>0994</t>
  </si>
  <si>
    <t>FIR No. 396 
dt: 26/7/2013
u/s 365 PPC
PS: Kanju, District
Swat</t>
  </si>
  <si>
    <t>0996</t>
  </si>
  <si>
    <t>0997</t>
  </si>
  <si>
    <t>0998</t>
  </si>
  <si>
    <t xml:space="preserve">Faheem Ijaz Umer S/o Abdul Aziz </t>
  </si>
  <si>
    <t xml:space="preserve"> FIR No.51 dt.04/02/13 u/s365/342 PPC PS Paharpur District D.I.Khan</t>
  </si>
  <si>
    <t xml:space="preserve">Raheel Raza S/o Muhammad Aslam </t>
  </si>
  <si>
    <t xml:space="preserve">Traced Person. Dilawar Hussain has been traced as he has returned to home. Affidavit is place on record. </t>
  </si>
  <si>
    <t xml:space="preserve">Traced Person. Hafiz Muhammad Karim has been traced. According to the report received from Rep of MI, Hafiz Muhammad Karim is presently confined in Internment Center Paithom. DSP (Inv), Mardan is present. He has been apprised of status of the case. </t>
  </si>
  <si>
    <t xml:space="preserve">Khalid Mehmood B/o Missing Person, r/o House No. 206-L, Sector No. 16-B, Shafique Colony, North Karachi (Mobile No. 0301-3178701) </t>
  </si>
  <si>
    <t xml:space="preserve">Abdul Hakeem F/o Missing Person r/o Yousaf Gillani Town, Chah Mughal Wala, P.O. Meryali, Tehsil &amp; District D.I. Khan (Mobile No. 0334-7229894, Tel No. 0966-730289) </t>
  </si>
  <si>
    <t xml:space="preserve">Deleted. JIT as well as PTF categorized the case as that of kidnapping by Militants. There is nothing on record to infer that the case falls within the domain of enforced disappearance. Hence, the case is closed. </t>
  </si>
  <si>
    <t xml:space="preserve">Deleted. The case is closed as there is evidence to suggest it to be a case of enforced disappearance. The Missing Person Shehzad Murtaza Alvi , an employee of PAF, Base Jacobabad was declared deserter and also penalized for use of liquor in the FIR, seven persons were nominated but nothing was proved against them.  </t>
  </si>
  <si>
    <t xml:space="preserve">Attique-ur-Rehman S/o Mushtaq Ahmed </t>
  </si>
  <si>
    <t xml:space="preserve">Mushtaq Ahmed F/o Missing Person, r/o House No. 40-D St.No.3 Main Bazar Rachna Town G.T. Road Tehsil Ferozwala District Sheikhupura </t>
  </si>
  <si>
    <t xml:space="preserve">Naimat Ullah Qazi S/o Qazi Mehr Ullah </t>
  </si>
  <si>
    <t xml:space="preserve">Sahib Khatoon r/o Jail Road, Hada Mohalla, Kali Allahabad, Quetta, Balochistan </t>
  </si>
  <si>
    <t xml:space="preserve">Traced Person. The abductee brother Jumma Khan confirmed that Naimat Ullah Qazi has come back to home safely. </t>
  </si>
  <si>
    <t>FIR No.8
dt: 21/06/2009
u/s 302/324 PPC
PS Kalkot, Upper Dir</t>
  </si>
  <si>
    <t xml:space="preserve">Dilaram Khan S/o Fateh Zer Khan </t>
  </si>
  <si>
    <t>HRC No. 
1555-G/2013</t>
  </si>
  <si>
    <t>FIR No.56
dt: 22/02/2013
u/s 365 PPC
PS  Ogi, Distt: Masehra</t>
  </si>
  <si>
    <t>Gehbun, Kech  C/o United Nations Human Rights Office of the High Commissioner, PLAISDES Nations, 1211 Geneva 10, Switzerland</t>
  </si>
  <si>
    <t>Baqir Ali B/o Missing Person, r/o Panj Peer, Muhallah Ghali Khel, District Swabi (Mobile No.  0314-9850414)</t>
  </si>
  <si>
    <t>FIR No. 152 
dt: 25-3-2010 
u/s 365 PPC 
P.S. Saddar District: Haripur</t>
  </si>
  <si>
    <t>FIR No. 145
dt: 6-3-2013
u/s 365 PPC 
P.S. Cantt, District: D.I.Khan</t>
  </si>
  <si>
    <t xml:space="preserve">Traced Person. According to report submitted by Inspector (Inv), DI.Khan, Muhammad Yousaf has returned to home. Muhammad Younas who is brother of Muhammad Yousaf traced person telephonically confirmed the reported position. </t>
  </si>
  <si>
    <t>Traced Person. Returned to Home and available at         (House No. MC-824, Mujahid Colony, Nazimabad, Karachi)</t>
  </si>
  <si>
    <t xml:space="preserve"> Ghazanfar</t>
  </si>
  <si>
    <t>FIR No. 55 
dt: 1-2-2013
 u/s 365/34 PPC 
P.S Tarnol, Islamabad</t>
  </si>
  <si>
    <t>Piyo Shah  F/o Missing Person r/o Soriyan, Darra Adam Khel, District Kohat.(Mobile No. 0345-3618751, 0313-8810419)</t>
  </si>
  <si>
    <t xml:space="preserve">Rashid ud Din Malik </t>
  </si>
  <si>
    <t>FIR No.409
dt.30/7/2013
u/s 365 PPC
PS Kanju, District Swat</t>
  </si>
  <si>
    <t>Traced Person. Returned to  Home as confirmed in the statement of his father. He left the home his own.</t>
  </si>
  <si>
    <t xml:space="preserve">Deleted. Sahibzada Muhammad Asif Hashmi has entered appearance on behalf of missing person, whose statement has been recorded on oath. He has deposed that the only person who was suspected to be involved in the disappearance of Hafiz Umer Farooq Hashmi is on Ch. Abdul Latif. The accused Ch. Abdul Latif was arrested by the Police and after interrogation he was sent to Jail wherefrom he was released on bail granted by Court. He further submitted that he did not suspect anybody else to be involved in the disappearance. Hence, the case does not fall within the ambit of enforced disappearance. </t>
  </si>
  <si>
    <t xml:space="preserve">Arfan Qadeer Bhatti </t>
  </si>
  <si>
    <t xml:space="preserve">Shoaib Ali b/o Missing Person, r/o Jhewranwali, P.O. Khas, Tehsil &amp; District Gujrat  (Cell No. 0336-2199500, 0331-4743079) C/o Muhammad Siddique, Advocate High Court, Chamber No. 35(Bait-ul-Barkat Law Associates), Muslim Block, F-8 Markaz, Islamabad (Cell No. 0333-5588907) </t>
  </si>
  <si>
    <t>FIR No.426
dt: 12/05/2011
u/s 365 PPC
PS Shad Bagh, District: Lahore</t>
  </si>
  <si>
    <t xml:space="preserve">Traced Person. Qari Attaullah appeared before the Commission as he has been traced and returned home. He is no more a Missing Person. Accordingly the case is closed. </t>
  </si>
  <si>
    <t>D.D Entry No.18
dt: 24/11/2012
PS Baldia Town, Karachi</t>
  </si>
  <si>
    <t>FIR No.43
dt: 30/4/2013 u/s 365/34 PPC,
PS Madina Colony,District West, Karachi.</t>
  </si>
  <si>
    <t>FIR No. 136
dt: 12/9/2013
u/s 365 PPC
P.S. Sariab,Quetta.</t>
  </si>
  <si>
    <t>FIR No. 174
dt: 25/07/2013
u/s 365 PPC
P.S. Shamozai, District Swat</t>
  </si>
  <si>
    <t xml:space="preserve">Traced Person. Mst. Noor Hadia, wife of Hazrat Shah entered appearance before the Commission on 7.2.2020, who statement was recorded on oath. She stated that her husband was murdered by a Talih Hameed Ullah s/o Mian Bakht Zada during operation for apprehension of a terrorist at Karachi. JIT also confirms the aforesaid report in its meeting held on 21.10.2019. The case is closed. </t>
  </si>
  <si>
    <t xml:space="preserve">Deleted. The cases has thoroughly been investigated, assistance of MoFAs also sought to ascertain information about deletion of Syed Farhad Ali Shah in Bagram Jail, Afghanistan but the outcome  was -------- as intimated by US Embassy. The other aspect of the case is that there is no allegation against LEAs/Intelligence Agencies from the family/Complainant and all stakeholders have denied arrest / detention of the Missing Person. Hence not a case of enforced disappearance. The case is closed. </t>
  </si>
  <si>
    <t>FIR No.209 
dt: 23-4-2013 
u/s 365 PPC
P.S. Shah Shamas District: Multan</t>
  </si>
  <si>
    <t xml:space="preserve">DD Entry No.21
dt: 08/09/2012
PS Levies, Dasht </t>
  </si>
  <si>
    <t xml:space="preserve">Abdul Aziz Kakar s/o Haji Raz Muhammad </t>
  </si>
  <si>
    <t xml:space="preserve">Traced Person. Nasrullah Muhammadi Yousafzai (Traced Person) entered appearance before the Commission and stated that after confinement of more than five years e has been released. He was asked as to how many times he remained under investigation to which he replied that he was called by the investigating authorities twice in five years. </t>
  </si>
  <si>
    <t xml:space="preserve">Deleted. Not a Case of Enforced Disappearances. </t>
  </si>
  <si>
    <t>FIR No.526 
dt:26/11/2013 
u/s 365 PPC 
P.S.Urban Area District Sargodha</t>
  </si>
  <si>
    <t xml:space="preserve">Deleted. JIT meeting was convened on 3.10.2019 and the case has been categorized as of missing person has gone on his own. Case was also taken up by PTF in its meeting dated 1.10.2019 and the case was categorized as of wilful Disappearance. Rep of ISI and MI are present and submitted that ground check was carried out which revealed that Hafiz Muhammad Umar Farooq was neither arrested nor held in custody. A similar report has been furnished by Rep of CTD. Keeping in view of aforesaid circumstances, it is not a case of Enforced Disappearance, hence the case is closed. </t>
  </si>
  <si>
    <t>FIR No. 197
dt: 25/07/2013
u/s 365 PPC
P.S. Manglawar, District Swat</t>
  </si>
  <si>
    <t>FIR No. 193
dt: 24/07/2013
u/s 365 PPC
P.S. Kokarai, District Swat</t>
  </si>
  <si>
    <t>FIR No.133
dt: 25/07/2013 u/s 365 PPC PS Shahdheri District Swat</t>
  </si>
  <si>
    <t xml:space="preserve">Syed Muhammad Abbas Rizvi S/o Syed Waris Hussain Rizvi </t>
  </si>
  <si>
    <t xml:space="preserve">Traced Person. Addl IG of Police Sindh, Karachi has informed vide letter No. Addl/IGO/CB/Sindh/HRC/7300-01/Karachi dated 21.4.2014 that Syed Muhammad Abbas Rizvi s/o Tariq Haider was arrested by Pak Rangers Sindh, Karachi and released after a few days after necessary. Hence the case is closed. </t>
  </si>
  <si>
    <t xml:space="preserve">Traced Person. Addl IG of Police Sindh, Karachi has informed vide letter No. Addl/IGO/CB/Sindh/HRC/7300-01/Karachi dated 21.4.2014 that Syed Azhar Hussain Rizvi s/o Shabbir Hussain Rizvi was arrested by Pak Rangers Sindh, Karachi and released after a few days after necessary. Hence the case is closed. </t>
  </si>
  <si>
    <t xml:space="preserve">Traced Person. Addl IG of Police Sindh, Karachi has informed vide letter No. Addl/IGO/CB/Sindh/HRC/7300-01/Karachi dated 21.4.2014 that Syed Imran Hussain Rizvi s/o Syed Muhamamd Ahmed was arrested by Pak Rangers Sindh, Karachi and released after a few days after necessary. Hence the case is closed. </t>
  </si>
  <si>
    <t xml:space="preserve">Traced Person. Addl IG of Police Sindh, Karachi has informed vide letter No. Addl/IGO/CB/Sindh/HRC/7300-01/Karachi dated 21.4.2014 that Muhammad Haider s/o Raees Haider was arrested by Pak Rangers Sindh, Karachi and released after a few days after necessary. Hence the case is closed. </t>
  </si>
  <si>
    <t xml:space="preserve">Traced Person. Addl IG of Police Sindh, Karachi has informed vide letter No. Addl/IGO/CB/Sindh/HRC/7300-01/Karachi dated 21.4.2014 that Muhammad Sadiq s/o Mumtaz Hussain was arrested by Pak Rangers Sindh, Karachi and released after a few days after necessary. Hence the case is closed. </t>
  </si>
  <si>
    <t xml:space="preserve">Traced Person. Addl IG of Police Sindh, Karachi has informed vide letter No. Addl/IGO/CB/Sindh/HRC/7300-01/Karachi dated 21.4.2014 that Muhamamd Yahya s/o Mumtaz Hussain was arrested by Pak Rangers Sindh, Karachi and released after a few days after necessary. Hence the case is closed. </t>
  </si>
  <si>
    <t xml:space="preserve">Traced Person. Addl IG of Police Sindh, Karachi has informed vide letter No. Addl/IGO/CB/Sindh/HRC/7300-01/Karachi dated 21.4.2014 thatUmmi Jafri s/o Muqaddas Hussain was arrested by Pak Rangers Sindh, Karachi and released after a few days after necessary. Hence the case is closed. </t>
  </si>
  <si>
    <t xml:space="preserve">Traced Person. Addl IG of Police Sindh, Karachi has informed vide letter No. Addl/IGO/CB/Sindh/HRC/7300-01/Karachi dated 21.4.2014 that Rizwan Guman s/o Hussain was arrested by Pak Rangers Sindh, Karachi and released after a few days after necessary. Hence the case is closed. </t>
  </si>
  <si>
    <t xml:space="preserve">Traced Person. Addl IG of Police Sindh, Karachi has informed vide letter No. Addl/IGO/CB/Sindh/HRC/7300-01/Karachi dated 21.4.2014 that Syed Muhammad Kazmi Rizvi s/o Syed Muhammad Abbas was arrested by Pak Rangers Sindh, Karachi and released after a few days after necessary. Hence the case is closed. </t>
  </si>
  <si>
    <t xml:space="preserve">Traced Person. Addl IG of Police Sindh, Karachi has informed vide letter No. Addl/IGO/CB/Sindh/HRC/7300-01/Karachi dated 21.4.2014 that Syed Asif Ummi Rizvi s/o Syed Hassan Abbas was arrested by Pak Rangers Sindh, Karachi and released after a few days after necessary. Hence the case is closed. </t>
  </si>
  <si>
    <t>Paramilitary Custody, Released</t>
  </si>
  <si>
    <t xml:space="preserve">Traced Person. Addl IG of Police Sindh, Karachi has informed vide letter No. Addl/IGO/CB/Sindh/HRC/7300-01/Karachi dated 21.4.2014 that Rizwan Ali s/o Naseeb Ali was arrested by Pak Rangers Sindh, Karachi and released after a few days after necessary. Hence the case is closed. </t>
  </si>
  <si>
    <t xml:space="preserve">Traced Person. Addl IG of Police Sindh, Karachi has informed vide letter No. Addl/IGO/CB/Sindh/HRC/7300-01/Karachi dated 21.4.2014 that Raees Ahmed Jaffri s/o Tufail Ahmed Jaffri was arrested by Pak Rangers Sindh, Karachi and released after a few days after necessary. Hence the case is closed. </t>
  </si>
  <si>
    <t xml:space="preserve">Traced Person. It was informed at the hearing held in this Commission Hussain Ahmed was arrested by Pak Rangers but released thereafter. </t>
  </si>
  <si>
    <t xml:space="preserve">Traced Person. It was informed at the hearing held in this Commission Syed Ahmed Abbas Jaffari was arrested by Pak Rangers but released thereafter. </t>
  </si>
  <si>
    <t xml:space="preserve">Deleted. Sindh High Court, Karachi observed in the order dated 15.5.2013 that accused persons are on bail and avoiding appearance before Investigation Officer. Therefore cannot be treated as Missing Person. The case is therefore deleted from the list of enforced disappeared persons. </t>
  </si>
  <si>
    <t>FIR No.405
dt: 20/07/2013
u/s 365 PPC
P.S. Kanju, District Swat</t>
  </si>
  <si>
    <t xml:space="preserve">Noor Hassan s/o Kandeer Khan </t>
  </si>
  <si>
    <t xml:space="preserve">Zahida Beghum w/o Missing Person, r/o House No. 854, Gali No. 4, Sector I-D, Gulfamabad, Orangi Town, Karachi </t>
  </si>
  <si>
    <t xml:space="preserve">Ghulam Mustafa s/o Muhammad Umer Baloch, r/o House No. H-994, Muhammad Umer Baloch, Muhallah Faqeer Colony Oran, Orangi Town, Karachi Mobile No.0311-2275518) </t>
  </si>
  <si>
    <t>FIR No.100
dt: 3/4/2013
u/s 365/34 PPC
P.S/Mominabad, District West,Karachi.</t>
  </si>
  <si>
    <t xml:space="preserve">Traced Person. SHO PS, Mominabad, District West, Karachi submitted report along with statement of Brother of Shahid Ali to the effect that the latter has returned home on 20.10.2014. Accordingly the case stands disposed of. </t>
  </si>
  <si>
    <t>FIR No.408
dt: 30/07/2013
u/s 365 PPC
P.S. Kanju, District Swat</t>
  </si>
  <si>
    <t>1125</t>
  </si>
  <si>
    <t xml:space="preserve">FIR No. 390
dt: 4/6/2013
u/s 365 PPC
PS. Pabbi
District: Nowshera
</t>
  </si>
  <si>
    <t>Under Investigation  (Nowshera)</t>
  </si>
  <si>
    <t xml:space="preserve">Traced Person. Dead Body recovered SP (Inv) Abbottabad submitted that a case u/s 302 PPC has been registered. </t>
  </si>
  <si>
    <t>Under Investigation 
Tank</t>
  </si>
  <si>
    <t>FIR No.426
dt: 03/08/2013
u/s 365 PPC
P.S. Kanju, District Swat</t>
  </si>
  <si>
    <t xml:space="preserve">Mst. Zahida m/o Missing Person, r/o Kotkay Gali No. 1, Barah Bandi, Tehsil &amp; District Swat (Mobile No. 0343-9394857) </t>
  </si>
  <si>
    <t>FIR No.427
dt: 03/08/2013
u/s 365 PPC
P.S. Kanju, District Swat</t>
  </si>
  <si>
    <t>Traced Person. Confined in Internment Centre, Paitham District  Swat as infomed by Rep of MI.</t>
  </si>
  <si>
    <t xml:space="preserve">Saleem Khan s/o Nasir Khan </t>
  </si>
  <si>
    <t>FIR No. 46, dt.23/03/2013,u/s 365 PPC  P.S. Serai Muhajar, District: Bhakkar</t>
  </si>
  <si>
    <t xml:space="preserve">Traced Person. Mr. Afzal Ali SI/IO, AVCC, Karachi appeared before the Commission and submitted that Abdullah has already returned home is no more a Missing Person. Accordingly the case is closed. </t>
  </si>
  <si>
    <t>DD Entry No.16,
dt: 30/08/2013
PS: City Jaranwala
District: Faisalabad</t>
  </si>
  <si>
    <t>FIR No. 244, 
dt: 10-5-2013 u/s 365/34 PPC P.S. Margalla, F-8/1 
District: Islamabad</t>
  </si>
  <si>
    <t>FIR No. 303
dt: 30/05/2013
u/s 365 PPC
P.S. Margalla, District Islamabad</t>
  </si>
  <si>
    <t>FIR No. 839
dt: 26/07/2013
u/s 365 PPC
P.S. Matta, District Swat</t>
  </si>
  <si>
    <t xml:space="preserve">Mst. Zarori w/o Missing Person, r/o Mian Gano Cham, Serseenai, Kabal, Tehsil &amp; District Swat (Mobile No. 0345-9239850). </t>
  </si>
  <si>
    <t xml:space="preserve">Mst. Minhajea w/o Missing Person r/o Muhallah Tanchkai, Kabal, Tehsil &amp; District Swat (Mobile No. 0307-5919360). </t>
  </si>
  <si>
    <t xml:space="preserve">Mst. Bakht Haram w/o Abdul Wahab, r/o Muhallah Tanchkai, Kabal, Tehsil &amp; District Swat (Mobile No. 0347-9094270). </t>
  </si>
  <si>
    <t xml:space="preserve">Haider Ali b/o Missing Person, r/o Ghakhi Banda, P.O. Totano Bandi, Tehsil &amp; District Swat (Mobile No. 0345-2586513, 0346-8980046). </t>
  </si>
  <si>
    <t xml:space="preserve">Abdul Ghaffor f/o Missing Person, r/o, Serseenai, Kabal, District Swat(Mobile No. 0342-9204557). </t>
  </si>
  <si>
    <t xml:space="preserve">Fazal-e-Ahad f/o Missing Person, r/o Kouza Mulla Nocham, Village Serseenai, District Swat (Mobile No. 0343-9399034). </t>
  </si>
  <si>
    <t xml:space="preserve">Akhtar Ali s/o Missing Person, r/o Muhallah Hajiabad, Joga Baba, Serseenai, Tehsil &amp; District Swat (Mobile No. 0341-9134943). </t>
  </si>
  <si>
    <t>FIR No.331
dt: 26/07/2013
u/s 365 PPC
PS Kabal District: Swat</t>
  </si>
  <si>
    <t>Traced Person. As per report submitted by MoFAs, presence  of Shahbaz Anwer and consulor visit at Pul Charkhi Jail Afghanistan has been confirmed.</t>
  </si>
  <si>
    <t xml:space="preserve">Traced Person. The Cognizance of the issue was taken by the Commission by means of order dated 25.5.2013 and certain instructions were issued. Today Muhammad Sharif Abbasi DSP/ Sajwal Mirpur Mathelo has personally appeared before the Commission along with for certain obvious reasons nothing beneficial could be disclosed by Mr. Bachal. </t>
  </si>
  <si>
    <t xml:space="preserve">Traced Person. It was informed at the hearing held in this Commission of which sister of Abdul Razzaq Baloch was also present that dead body of the Missing Person was recovered. Hence no further proceedings of the Commission. Hence case is closed. </t>
  </si>
  <si>
    <t xml:space="preserve">Aminullah s/o Muhammad Jamsheed </t>
  </si>
  <si>
    <t>Shamim Akhter w/o Missing Person r/o Ronial, P.O. Seejban, Tehsil Matta, District Swat (Cell No.  0348- 9415744 &amp; 0341-9259926)</t>
  </si>
  <si>
    <t>FIR No.419
dt: 02/08/2013
u/s 365 PPC
P.S. Kanju, District Swat</t>
  </si>
  <si>
    <t>FIR No.417
dt: 02/08/2013
u/s 365 PPC
P.S. Kanju, District Swat</t>
  </si>
  <si>
    <t>Mst Jahan Zeba m/o Missing Person, r/o  Damgar Tehsil Kabal, District Swat (Cell No. 0342-7350732)</t>
  </si>
  <si>
    <t xml:space="preserve">Mst. Musbaha m/o Missing Person r/o Dheri, Tehsil Kabal, District Swat </t>
  </si>
  <si>
    <t>FIR No.07  dt. 15/01/2015 u/s 365 PPC PS Kharki District Mardan</t>
  </si>
  <si>
    <t>FIR No.430
dt: 06/08/2013
u/s 365 PPC
P.S. Kanju, District Swat</t>
  </si>
  <si>
    <t xml:space="preserve">Traced Person. The cognizance of issue was taken by this Commission means of letter of No. 4398-K dated 4.6.2013 and certain directions were issued to PPO Sindh. Mr. Noor Alam SI/IO is present and stated that Muhammad Dawood Farooqi has been traced and presently residing at his residence. In view of what has been stated hereinabove, the name of Qari Muhammad Dawood Farooqi is hereby deleted form the list of enforced disappearance persons. </t>
  </si>
  <si>
    <t>FIR No.179
dt: 21/06/2013
u/s 365 PPC
PS Chota Lahore, District Swabi</t>
  </si>
  <si>
    <t>Under Investigation  Swabi</t>
  </si>
  <si>
    <t>FIR No.462
dt: 20-6-2013
u/s 365 PPC
P.S. City
District: Bannu</t>
  </si>
  <si>
    <t xml:space="preserve">Janan Khan F/o Missing Person r/o H # A-22, Muhammandi Cololony , Al- Falah Chowk, Maipur Road, Karachi. </t>
  </si>
  <si>
    <t xml:space="preserve">Traced Person. It was informed at the hearing held in this Commission on 15/05/2018 that Yasir Mehmood has returned to home. Family member father of the traced person appeared before the Commission and confirmed the reported position. The report submitted by the Police  is place on the record. </t>
  </si>
  <si>
    <t>Deleted. This case is closed for want of jurisdiction as there  is no allegation against the law enforcement agencies, as per contents of the FIR.</t>
  </si>
  <si>
    <t xml:space="preserve">Rafaqat Ullah s/o Faqeer Khan </t>
  </si>
  <si>
    <t>Under Investigation  Peshawar</t>
  </si>
  <si>
    <t>FIR No.75 dt. 4/7/2013       u/s 365 PPC PS/Jand,District Attock</t>
  </si>
  <si>
    <t>FIR No.217 dt. 10/6/2013       u/s 365 PPC PS/Westridge,District Rawalpindi.</t>
  </si>
  <si>
    <t>Under Investigation  (Punjab) Lahore</t>
  </si>
  <si>
    <t>FIR No. 64
Dated: 20-1-13
P.S. Chung
District: Lahore</t>
  </si>
  <si>
    <t xml:space="preserve">Traced Person. Basit Imran brother of Abdul Majeed  Abbasi was recorded his statement according to which Abdul Majid Abbasi had returned to home. He further stated that due to aliment he was unable to make appearance before the Commission. </t>
  </si>
  <si>
    <t>FIR No. 394
dt: 18/7/2013
us 365 PPC
PS/Khursid Khan Shaheed,Swat.</t>
  </si>
  <si>
    <t>FIR No. 219
dt: 13/8/2013
us 365 PPC
PS. Mattani, Peshawar</t>
  </si>
  <si>
    <t>FIR No. 101
dt: 16/9/2006
us 364 PPC
PS. Makarwal,District Mianwali.</t>
  </si>
  <si>
    <t>FIR No. 107
dt: 9-2-2013
u/s PPC 365
PS. Galib Market, Lahore</t>
  </si>
  <si>
    <t>D.D Entry No.16
dt: 09/11/2012
Policelines,Karak.</t>
  </si>
  <si>
    <t xml:space="preserve">Azhar Iqbal b/o Missing Person, r/o Bhimber Rjani, Tehsil &amp; District Bhimber, AJ&amp;K (Mobile No. 0346-4201550) </t>
  </si>
  <si>
    <t>FIR No. 27
dt: 23-3-2011
u/s 302 Apc
PS. Bhimber AJ&amp;K</t>
  </si>
  <si>
    <t xml:space="preserve">Luqmani Khan S/o Fazal Rahim </t>
  </si>
  <si>
    <t>FIR NO. 210
dt: 20/05/2013
u/s 365 PPC
PS: Nawan Shehr,
District: Abbottabad</t>
  </si>
  <si>
    <t>FIR NO. 383
dt: 28-5-13
u/s 365 PPC
PS: Gul Gasht
District: Multan</t>
  </si>
  <si>
    <t xml:space="preserve">Mst. Noshaba Sohail w/o Missing Person, r/o House No. 36, Gali No. 9, Sector No. 1, Naval Colony, Near Qabba Masjid, Hab River Road, Karachi </t>
  </si>
  <si>
    <t xml:space="preserve">Deleted. Not a case of enforced disappearance as Syed Bilal Akhtar has declared absconder by the competent court of Jurisdiction. </t>
  </si>
  <si>
    <t xml:space="preserve">FIR No.. 310
dt: 6-7-11
u/s 365/344/ 149 PPC
PS: Nazimabad District Liaqatabad, Karachi
</t>
  </si>
  <si>
    <t xml:space="preserve">Abdul Wadood s/o Abdul Sattar Nadvi </t>
  </si>
  <si>
    <t xml:space="preserve">Muhammad Zubair Wadood s/o Missing Person, House No. 157-A, Ward No. 2, Circular Road, Mohallah Islampura, Muzaffargarh (Mobile No. 0301-7878929, 0300-6865100) </t>
  </si>
  <si>
    <t>FIR No.256
dt: 12/07/2013
u/s 365- PPC
PS Saddar District Abbottabad</t>
  </si>
  <si>
    <t xml:space="preserve">Mumtaz Khan </t>
  </si>
  <si>
    <t>Fazal Rehman F/o Missing Peron r/o Village: Bari Banda, Tehsil: Kabal, Distt: Swat (Mobile No. 0336-9708019
0341-3785008)</t>
  </si>
  <si>
    <t>Arshad
s/o Fakhar-ud-Din</t>
  </si>
  <si>
    <t>Farooq Ahmed
s/o Zahoor Ahmed</t>
  </si>
  <si>
    <t xml:space="preserve">1265-S </t>
  </si>
  <si>
    <t>Zeeshan Gul
s/o Muneer Gul</t>
  </si>
  <si>
    <t>Gul Muneer Baloch f/o Missing Person, r/o House No. R-329, Sector 8-B,  Gulshan-e-Zahoor, AB Sinia Line, Distt: East Karachi (Mobile No. 0331-3230488)</t>
  </si>
  <si>
    <t>Usman Ali
s/o Ahmed Ali</t>
  </si>
  <si>
    <t>FIR No. 74
dt: 12-6-13
u/s 365 PPC
PS/ Lohi Bher, Islamabad</t>
  </si>
  <si>
    <t xml:space="preserve">Deleted. None entered appearance before the Commission on behalf of Missing Person. Ejaz Ahmed SI/IO of the case appeared and submitted that he informed the complainant telephonically but he was not willing to pursue the case further. It has also been intimated that the family of the Missing Person has offered Ghaibana Namaz Janaza of Allauddin Ahmed Khan Niazi. In view of the foregoing further proceedings will be a futile exercise. According the case is closed.   </t>
  </si>
  <si>
    <t xml:space="preserve">Hafiz Muhammad Sajjad s/o Maqbool Hussain </t>
  </si>
  <si>
    <t>Naqash Pervaiz
s/o Muhammad Pervaiz</t>
  </si>
  <si>
    <t>FIR No. 173
dt: 4-5-12
u/s 365 PPC
P.S Kalar Saidan,
District: Rawalpindi</t>
  </si>
  <si>
    <t>Abdul Rehman
s/o Noor Muhammad</t>
  </si>
  <si>
    <t>Fazal Aziz 
s/o Aziz Gul</t>
  </si>
  <si>
    <t xml:space="preserve">Traced Person. Fazal Aziz s/o Aziz-ur-Rehman has been traced. He appeared before the Commission and his statement has recorded. Accordingly the case stand disposed of. </t>
  </si>
  <si>
    <t>Muhammad Abid
s/o Munir Khan</t>
  </si>
  <si>
    <t>Muhammad Adnan
s/o Haji Muhammad Ramzan</t>
  </si>
  <si>
    <t>Abdul Mateen
s/o Shaheen Ullah Khan</t>
  </si>
  <si>
    <t>FIR No.75 dt. 27/8/2013       u/s 365 PPC PS/Zhob</t>
  </si>
  <si>
    <t xml:space="preserve">Mr. Muhammad Sabir F/o Missing Person r/o Village: Baqapur EastPO: Gahlan Hithar, Tehsil: Chunian, Distt: Kasur (Mobile No. 0304-5776534) </t>
  </si>
  <si>
    <t>Saif Ullah
s/o Atta Ullah</t>
  </si>
  <si>
    <t>Majid Khan
s/o Aftab Gul</t>
  </si>
  <si>
    <t>D.D Report No. 34
dt: 17-3-2013 
P.S. Pahari Pura,
Peshawar</t>
  </si>
  <si>
    <t>Rehmat Ullah
s/o Tooray</t>
  </si>
  <si>
    <t>FIR No.482
dt: 05/9/2013 u/s 365 PPC
P.S/Kanju District Swat</t>
  </si>
  <si>
    <t>Bakht-e-Biadar
s/o Amer Baz Khan</t>
  </si>
  <si>
    <t xml:space="preserve">Mst. Izat Begum w/o Missing Person, r/o Mohallah Balakhti, Kuza Bandi, Swat </t>
  </si>
  <si>
    <t>Ajmal Khan
s/o Shehroz khan</t>
  </si>
  <si>
    <t>Mohsin Sher
s/o Sher Khan</t>
  </si>
  <si>
    <t>Sher Khan f/o Missing Person, r/o Lakhnay wala, P.O. Khan, tehsil &amp; District Mandi Bahauddin  (mobile No. 0345-6791123)</t>
  </si>
  <si>
    <t>FIR No. 597
dt: 20-12-2010
u/s 365-A
P.S. Tarnol Islamabad</t>
  </si>
  <si>
    <t xml:space="preserve">HRC No. 
26961-P/2013
</t>
  </si>
  <si>
    <t xml:space="preserve">Asia Qamar s/o Missing person r/o Ch. Muhammad Aslam Faazalan wali street, Inayat Park, Jiya Mosa, Shahdira Lahore </t>
  </si>
  <si>
    <t xml:space="preserve">Mohsin Sher S/o Sardar Khan </t>
  </si>
  <si>
    <t>FIR No.479
dt: 04/09/2013
u/s 365 PPC
PS Kanju, District Swat</t>
  </si>
  <si>
    <t>FIR No.414
dt: 31/07/2013
u/s 365 PPC
P.S. Kanju, District Swat</t>
  </si>
  <si>
    <t>Muhammad Nasir
s/o Muhammad Hashim</t>
  </si>
  <si>
    <t>FIR No. 6,
dt: 4-02-2013
u/s 365 PPC
PS: Shalkot, Quetta</t>
  </si>
  <si>
    <t>Muhammad Aslam @ Muhammad Islam
s/o Umer Bakhsh</t>
  </si>
  <si>
    <t>Ameer Bakhsh Qambrani
s/o Behram Khan</t>
  </si>
  <si>
    <t xml:space="preserve">Mohallah Killi Qambrani, Sariab Road, Quetta </t>
  </si>
  <si>
    <t>FIR No. 164
dt: 30/9/2013
u/s 365 PPC
PS/Kechi Baig,Quetta.</t>
  </si>
  <si>
    <t>Traced Person. His father appeared before the Commission on 25.10.16. Stated that Ameer  Bakhsh has returned to home.</t>
  </si>
  <si>
    <t>Muhammad Ilyas
s/o Toor Zada</t>
  </si>
  <si>
    <t>FIR No.472
dt: 17/9/2013
u/s 365 PPC
PS Shahzad Town,Islamabad.</t>
  </si>
  <si>
    <t>FIR No. 931
dt: 9-12-2013
u/s 365 PPC
PS. Akora Khattak
District: Nowshera</t>
  </si>
  <si>
    <t>FIR No. 407
dt: 11-7-2013
u/s 365 PPC
PS Margalla, Islamabad</t>
  </si>
  <si>
    <t xml:space="preserve">Deleted. After thorough examination of JIT and PTF reports, non-availability of the complainant any eye witness. The statement of the Missing Person at the hearing held on 10.2.2021 in which no allegation has been levelled against any of the LEAs. It is concluded that the case does not fall within the domain of enforced disappearance. Hence the case is closed. </t>
  </si>
  <si>
    <t>Traced Person. Returned to home as confirmed by his brother Abdul Majid who further disclosed  that Abdul Qayyum had gone to Karachi.</t>
  </si>
  <si>
    <t xml:space="preserve">Mst. Sadia Perveen w/o Missing Person, r/o Chak No. 314/9R, Tehsil Fort Abbas, District Bahwalnagar (Mobile No. 0306-7885683, 0302-4105714) </t>
  </si>
  <si>
    <t>FIR No. 2540
dt: 13-7-13
u/s 365 PPC
P.S. Fort Abbas
District Bahawalnagar</t>
  </si>
  <si>
    <t xml:space="preserve">C/o Amjad Ali Advocate, Office No. 9, Five Star Centre, Ground Floor, Gulshan-e-Iqbal, Block-11, University Road, Karachi (Mobile No. 0320-0258930, 0300-2643782) </t>
  </si>
  <si>
    <t xml:space="preserve">Traced Person. The Cognizance of issue was taken by the Commission by means of letter of even number dated 5.9.2013. Muhammad Ismail, SHQ PS Sohrab Goth, Karachi submitted report at this hearing that Saeed Dil has been traced and presently available at his home. In this regard a certificate has been produced indicating that Saeed Dil has returned to his home locate at Al-Asif Square, Karachi. In view of above no further action is required to be taken. The name of Saeed Dil be deleted form the list of enforced disappearance persons. </t>
  </si>
  <si>
    <t>Traced Person. Director Stat Home Deptt submitted report from  DC Gawadar that Ata Tahir has been traced on 15.6.14.</t>
  </si>
  <si>
    <t>FIR No. 168
dt: 10-7-2013 u/s 365 PPC
P.S. Kallar Syedan
District  Rawalpindi</t>
  </si>
  <si>
    <t xml:space="preserve">Zakir Hussain Shamsi s/o Safer Muhammad Shamsi </t>
  </si>
  <si>
    <t>FIR No. 152
dt: 21-3-2013
u/s 365/34 PPC
PS Sachal, District East Karachi.</t>
  </si>
  <si>
    <t xml:space="preserve">Miad Ali s/o Sheraz Khan </t>
  </si>
  <si>
    <t>Traced Person. Returned to Home and available at         (House No. AK-13B-33S, Mohallah: Phool Patti Lane, Haji Jumma Road, Lyari, Karachi)</t>
  </si>
  <si>
    <t>Muhammad Nouman Arif
s/o Muhammad Arif</t>
  </si>
  <si>
    <t>FIR No. 367
dt: 1-8-2013
u/s 365 PPC
PS Muslim Town Lahore</t>
  </si>
  <si>
    <t>Traced Person. Returned to Home and available at         (Village Shalamzai, Post Office, Sara Rogha, Distt: South Waziristan Agency)</t>
  </si>
  <si>
    <t>Bahadur Khan f/o Missing Person, r/o House No. P-596, Rana Colony, Gojra Road, Jhang.
Present Address: Syed Mododi Block Mansora, Multan Road, Lahore (Contact No. 0334-6338973, 0477610074)</t>
  </si>
  <si>
    <t>FIR No. 93
dt: 26/6/2013
u/s 365/395 PPC 
PS Sariab, Quetta</t>
  </si>
  <si>
    <t>Under Investigation 
SW Agency</t>
  </si>
  <si>
    <t>1350</t>
  </si>
  <si>
    <t xml:space="preserve">Traced Person Dead body recovered from Internment Center Kohat and handed over to legal heirs family confirmed. </t>
  </si>
  <si>
    <t>FIR No.509
dt:04/11/2013
u/s 365 PPC
PS Bilitang District Kohat</t>
  </si>
  <si>
    <t xml:space="preserve">Report No. 305
dt: 29-7-2013
P.S. Basal
District: Attock
</t>
  </si>
  <si>
    <t>Basharat Ali B/o Missing Person, r/o  Street No.7, Ghang Road, Tehsil &amp; Distt: Sheikhupura (Mobile No. 0300-9094544, 0343-6600480)</t>
  </si>
  <si>
    <t>Report No. 13
dt: 9-4-2008
P.S. Saddar Daska
District: Sialkot</t>
  </si>
  <si>
    <t>Traced Person. Returned to  Home as confirmed by SP Saddar) Lahore.</t>
  </si>
  <si>
    <t xml:space="preserve">Wali Muhammad s/o Rahim Khan, r/o Tehsil Machh, Distt: Kachhi, Quetta </t>
  </si>
  <si>
    <t>FIR No. 60
dt: 30/11/2015 u/s 365/452/34 PPC
PS/Mach, District: Kachhi</t>
  </si>
  <si>
    <t xml:space="preserve">Muhammad Anwar s/o Bahawal Khan, r/o Tehsil Machh, Distt: Kachhi, Quetta </t>
  </si>
  <si>
    <t>FIR No. 93
dt: 31-8-2012
u/s 365/452/34 PPC
PS. Saddar, District: Quetta</t>
  </si>
  <si>
    <t>Traced Person. Returned to Home and available at         Village Kali Baran Zai, Manujan Road Budh, Quetta.</t>
  </si>
  <si>
    <t>Deleted. Not a case of enforced disappearance as pointed out in detailed  findings dated 1.6.2015.</t>
  </si>
  <si>
    <t xml:space="preserve">Traced Person. JIT meeting was convinced on 04/12/2018. In the JIT report it has been concluded that Mujahideen disappeared voluntarily. SP (Inv), Peshawar has submitted that complainant is not cooperating and is also not coming in contact with the IO. PTF meeting was convened on 27-28/12/2018. PTF has agreed with the conclusion drawn by JIT, meaning thereby that Muhjaideen has disappeared voluntarily.  Rep of ISI is available .He is submitted that according to verification carried out Mujahideen has gone to Afghanistan to evade arrest due to the reason that he participated in activities of adverse nature. </t>
  </si>
  <si>
    <t>FIR No. 402 dt.8/10/2013
u/s 365/34 PPC
P.S. Jamsheed Qtrs. (East) Karachi</t>
  </si>
  <si>
    <t>FIR No. 402, dt,8/10/2013
u/s 365/34 PPC
P.S. Jamsheed Qtrs. (East) Karachi.</t>
  </si>
  <si>
    <t>FIR No. 365, dt.25/09/2013
u/s 365 PPC
P.S. Kotri, 
Ditrict: Jamshoro</t>
  </si>
  <si>
    <t>Traced Person. Returned to Home and available at         (Asad Abad, No.2 Colony near Power House, Site Area, Tehsil Kotri, Distt: Jamshoro, Sindh)</t>
  </si>
  <si>
    <t xml:space="preserve">Traced Person. Hafiz Qari Zia-ul-Haq has been traced. According to the report received from Rep of MI, Hafiz Qari Zia-ul-Haq is presently confined in the Internment Center Paithom. Father of traced person is present. He has been apprised of the status of the case. </t>
  </si>
  <si>
    <t xml:space="preserve">Umer Jan f/o Missing Person, r/o Wazir Palosan, Khojal Khel, Distt: Kurram Agency (Mobile No. 0301-8005047) </t>
  </si>
  <si>
    <t xml:space="preserve">FIR No. 16 dt.29/6/2013
u/s 365/34 PPC
PS/Mobina Town District West,Karachi
</t>
  </si>
  <si>
    <t xml:space="preserve">Shakir Ahmed s/o Ghulam Haider </t>
  </si>
  <si>
    <t xml:space="preserve">FIR No. 98
dt.29-6-2013
u/s 365/34 PPC
PS Airport
Malir, Karachi
</t>
  </si>
  <si>
    <t>Traced Person. Returned to Home and available at         (Dawood Goth, Malir City, near Baldiya School Karachi)</t>
  </si>
  <si>
    <t xml:space="preserve">FIR No. 614
28-11-13
u/s 365 PPC
PS Muslim Town
Lahore
</t>
  </si>
  <si>
    <t>FIR No. 1487
dt: 24/11/2015
u/s 365 PPC
PS/Paharipura,Peshawar.</t>
  </si>
  <si>
    <t>FIR No. 608
dt: 8-9-13
u/s 365 PPC
PS Green Town, Lahore</t>
  </si>
  <si>
    <t>Traced Person. Returned to Home and available at         (Flat No. 7, Block No. C-3, Rabia City, Gulistan Johar, Karachi)</t>
  </si>
  <si>
    <t>Traced Person. Returned to Home and available at         Flat No. 7, Block No. C-3, Rabia City, Gulistan Johar, Karachi.</t>
  </si>
  <si>
    <t>FIR No. 555
dt: 9-9-2013
u/s 365 PPC
PS. Margalla
District: Islamabad</t>
  </si>
  <si>
    <t xml:space="preserve">Deleted. There are concurrent findings of JIT &amp; PTF that the Missing Person has gone on his own. Father of the Missing Person has also affirmed that Nadeem Ahmed remained admitted in Mental Hospital and he used to run away from home. In these circumstances, the case does not fall within the domain of enforced disappearance. Hence closed. </t>
  </si>
  <si>
    <t>Request of I.O Cases of 1932 and 1420  fixed together at next date of Hearing</t>
  </si>
  <si>
    <t>Under Investigation 
(Mardan)</t>
  </si>
  <si>
    <t xml:space="preserve">Mohtram Shah s/o Umer Mateen </t>
  </si>
  <si>
    <t xml:space="preserve">Traced Person. Returned to home. In statement, he submitted that he went to Karachi due to some domestic dispute at his own. </t>
  </si>
  <si>
    <t>Under Investigation 
Mardan</t>
  </si>
  <si>
    <t xml:space="preserve">Mst. Dilshad Bibi m/o Missing Person, r/o Sheraki Bash Khel, Tandi Kalay, Darra Adam Khel, FR Kohat. </t>
  </si>
  <si>
    <t xml:space="preserve">FIR NIL </t>
  </si>
  <si>
    <t xml:space="preserve">Jhang/ </t>
  </si>
  <si>
    <t xml:space="preserve">Muhammad Ali Marri s/o Lohaar </t>
  </si>
  <si>
    <t>FIR No. 29
dt: 8-5-2013
u/s 365 PPC
PS Hub
District: Lasbella</t>
  </si>
  <si>
    <t>FIR No. 103
dt: 22-3-2008
u/s 365 PPC
PS Ganjmandi
District: Rawalpindi</t>
  </si>
  <si>
    <t>FIR No. 518
dt: 29-12-13
u/s 365 PPC
PS Ramna
District: Islamabad</t>
  </si>
  <si>
    <t xml:space="preserve">Sher Muhammad s/o Rafiq-ul-Bari </t>
  </si>
  <si>
    <t>Traced Person. Confined in the  Internment Center Kohat. Meeting with the family facilitated as confirmed at the hearing on 27.5.15.</t>
  </si>
  <si>
    <t xml:space="preserve">Mst. Amna w/o Missing Person, r/o Sher Khan Abad, Orangi Town, Karachi </t>
  </si>
  <si>
    <t>Traced Person .Returned to Home and available at         (House No. 485, Islamnagar, Jaddah Colony, Baldia Town, West Karachi)</t>
  </si>
  <si>
    <t xml:space="preserve">Under Investigation (KP) </t>
  </si>
  <si>
    <t>Report No. 11
dt: 25-3-2013
PS Dhirkot,
District: Bagh</t>
  </si>
  <si>
    <t xml:space="preserve">Traced Person. Rasool Nawaz has been traced, who has returned home. None has entered appearance on the behalf of missing person. IO of the case furnished affidavit given by Sonar Khan b/o missing person which has been place on record. Rasool Nawaz had reportedly gone to North Waziristan. </t>
  </si>
  <si>
    <t>FIR No.433
dt: 20-8-2013
u/s 365 PPC
P.S. Chowk Azam
District: Layyah</t>
  </si>
  <si>
    <t>FIR No.11
dt: 19-1-2013
u/s 365 PPC
P.S. Bhera
District: Sargodha</t>
  </si>
  <si>
    <t>FIR No.763
dt: 8-9-2013
u/s 365 PPC
P.S. Ferozewala
District: Sheikupura</t>
  </si>
  <si>
    <t>FIR No.462
dt: 24-12-2012
u/s 365 PPC
P.S. Qilah Deedar Singh
District: Gujranwala</t>
  </si>
  <si>
    <t>FIR No.72
dt: 2-9-2013
u/s 365, 149 ,364,147,148
P.S. Saleh Pitt
District: Sukkur</t>
  </si>
  <si>
    <t>Traced Person. Returned to Home and available at         ( Al-Falah Town near Al-Falah Mosque, Gate No. 2, New Ghala Mandi Khanpur, Distt: Rahim Yar Khan)</t>
  </si>
  <si>
    <t>FIR No.366
dt: 21-9-2013
u/s 365 PPC
P.S. Jamsheed Quarterz
District: East Karachi</t>
  </si>
  <si>
    <t>FIR No. 537
dt: 13-9-2005
u/s 365 PPC
PS. Garden Town
District: Lahore</t>
  </si>
  <si>
    <t>FIR No. 389
dt: 5-12-2013
u/s 365 PPC
PS. Koral
District: Islamabad</t>
  </si>
  <si>
    <t xml:space="preserve"> Deleted. The case remained under inquiry since 10.1.2014 and during the entire period not a single witness has been produced which could substantiate that the case falls within the ambit of Enforced Disappearance. Reps of ISI, MI and CTD submitted reports which are to be the extent that Raja Muhammad Awais Missing Person was not in their custody. IB report is available on record which is not adverse. Keeping in the view of circumstance and facts of the case, further proceeding by the Commission shall not only be an abuse of process, but also a futile exercise. Since the FIR was registered prior to registration of the case in the Commission, therefore the Investigation Agency may deal with accordance with law. According the case stands disposed of. </t>
  </si>
  <si>
    <t xml:space="preserve">Nisar Ali b/o Missing Person, r/o Baba Mohallah, Tehsil Kabal, Distt: Swat (Mobile No. 0311-3828585) </t>
  </si>
  <si>
    <t>Traced  Person. Confined in the Internment Centre, Lakki Marwat as informed by Rep of MI.</t>
  </si>
  <si>
    <t>Fazal Karim f/o Missing Person, r/o  Village Dhera Kai, Mam Dherai, P.O. Kouza Bandai, Swat (Mobile No. 0347-9117675)</t>
  </si>
  <si>
    <t>Sardar Hussain f/o Missing Person, r/o Village Syedain Cham, Dhera Kai,  Kouza Bandai, Tehsil &amp; Distt: Swat (Mobile No. 0333-8945682)</t>
  </si>
  <si>
    <t>FIR No.42 dt.03/02/2014 u/s 365 PPC PS Kanju,
District Swat</t>
  </si>
  <si>
    <t>1484</t>
  </si>
  <si>
    <t>Naimat Gul s/o Sargul Khan, r/o Narpir Mirabad Shah, Saray Norang, Tehsil &amp; Distt: Bannu (Mobile No. 0335-1991334 &amp;  0331-9403411 &amp; 0344-8983885, 0335-6162469)</t>
  </si>
  <si>
    <t>FIR No. 841
dt: 27-7-2013
u/s 365 PPC
PS. Matta
Swat</t>
  </si>
  <si>
    <t>FIR No. 871
dt: 13-10-12
u/s 365/363 PPC
PS. Green Town, Lahore</t>
  </si>
  <si>
    <t xml:space="preserve">Deleted. The occurrence took place on 8.2.2011. Complaint was submitted in January, 2014 and the cognizance was taken by the Commission on 23.1.2014. In the Instant case as many as 10 JIT meetings have been conducted and the case categorized as Missing Person has gone on his own by the JIT on 23.8.2019. Matter was also taken by PTF on 20.1.2020 and the OTF also categorized the case as that of Missing Person has gone on his own. According to ISI, MI and CTD aforementioned person is not in their custody, moreover no allegation has been levelled against any LEAs / Intelligence Agency. Hence, not a case of enforced disappearance. </t>
  </si>
  <si>
    <t>FIR No.20 dt.04/02/2014 u/s 365 PPC
P.S/Shah Dheri
District Swat.</t>
  </si>
  <si>
    <t xml:space="preserve">Traced Person. The cognizance of issue was taken by this Commission by means of letter of even number dated 24.1.2014 and certain directions were issued. It was informed that Muhammad Faisal Mir has been recovered and presently he is out of country and went to Greece. Inspector Ashraf Rana confirmed that Muhammad Faisal Mir had proceeded, to Greece. This information has further been confirmed by Mr. Nasir Aftab, SSP/AVCC, Karachi. Therefore the name of Muhammad Faisal Mir be deleted form the list of enforced disappearance persons. </t>
  </si>
  <si>
    <t xml:space="preserve">Walayat Khaksar s/o Mir Bat Khan </t>
  </si>
  <si>
    <t>Yameen-ul-Haq f/o Missing Person, r/o  Shaheeda Banda, P.O. Tappi, Tehsil &amp; Distt: Kohat (Mobile No. 0333-9645635)</t>
  </si>
  <si>
    <t>FIR No. 421
dt: 11-6-2013
u/s 365 PPC
PS Civil Lines
District: Rawalpindi</t>
  </si>
  <si>
    <t>Muhammad Shoaib f/o Missing Person, r/o Usman Town, Gali No. 1, House No. 3,  Jhangi Saidan, Islamabad (Mobile No. 0335-5805145)</t>
  </si>
  <si>
    <t xml:space="preserve">Traced Person. Muhammad Adnan appeared before the Commission at the hearing on 28/06/2018 at Lahore. He stated that he left home under compelling circumstances. He did not disclose further details due to obvious hearing. </t>
  </si>
  <si>
    <t xml:space="preserve"> Okara</t>
  </si>
  <si>
    <t xml:space="preserve">Islam Shah s/o Ibrahim Shah </t>
  </si>
  <si>
    <t xml:space="preserve">Fawad Khan s/o Muhammad Zahid Khan </t>
  </si>
  <si>
    <t>Mst. Hasnat Bibi m/o Missing Person, r/o  Village Haji Baba, Totano Bandi, Tehsil Kabal, Distt: Swat (Mobile No. 0342-8930730)</t>
  </si>
  <si>
    <t>FIR No.54  dt.04/03/2014 u/s 365 PPC PS Shahdheri District Swat</t>
  </si>
  <si>
    <t xml:space="preserve">Saifullah s/o Haji Yar Muhammad </t>
  </si>
  <si>
    <t xml:space="preserve">Mst. Zahida Shaheen m/o Missing Person, r/o Faisalabad Road, Okara near Ali Trust Eye Hospital, Haider Town, main Chowk, Okara (Mobile No. 0322-6987176) </t>
  </si>
  <si>
    <t>Muhammad Saleem f/o Missing Person, r/o Village Sohaila Abad, House No. 107, Gali No. 7, Batala Colony, Faisalabad  (Mobile No. 0322-6064035)</t>
  </si>
  <si>
    <t xml:space="preserve">Muhammad Hassan s/o Shahmad Ali </t>
  </si>
  <si>
    <t xml:space="preserve">Muhammad Hussain b/o Missing Person, Chak No. 44-D, P.O. Deepalpur, Tehsil Deepalpur, Distt: Okara (Mobile No. 0345-7507947) </t>
  </si>
  <si>
    <t>FIR No. 1195
dt: 24-10-2012
u/s 365 PPC
P.S. Nawab Town
District: Lahore</t>
  </si>
  <si>
    <t>FIR No.1164 dt.22/10/2013 u/s  365 PPC PS Peoples Colony, Faisalabad</t>
  </si>
  <si>
    <t>FIR No. 25
dt: 10-2-2013
u/s 365-34 PPC,
PS City
District: Khuzdar</t>
  </si>
  <si>
    <t>FIR No.229
dt: 06/3/2014
u/s 365 PPC
P.S. City A-Division District Sheikhupura.</t>
  </si>
  <si>
    <t>FIR No.176
dt: 7-4-2010
u/s 365 PPC
P.S. Thal Chakian District Sargodha</t>
  </si>
  <si>
    <t xml:space="preserve">Muhammad Ali s/o Munawar Khan 
</t>
  </si>
  <si>
    <t xml:space="preserve">Deleted. After investigation and receipt of reports from JIT/PTF concluding that Muhammad Ali s/o Munawar Khan had gone on his own and keeping in view the statement of Asghar Ali (Brother) that no allegation has been leveled against any of the LEAs, the case not found to be a case of enforced disappearance. Hence closed. </t>
  </si>
  <si>
    <t>Muhammad  Hasham s/o Muhammad Bashir</t>
  </si>
  <si>
    <t>Under Investigation (KP)
Swat</t>
  </si>
  <si>
    <t>Traced Person. Confined in the Internment, Fizagat  as informed by Rep of MI on 12.3.2014</t>
  </si>
  <si>
    <t>00/00/00</t>
  </si>
  <si>
    <t>FIR No.214
dt: 20/02/2014
u/s 365 PPC
PS/Hanjarwal, District Lahore</t>
  </si>
  <si>
    <t xml:space="preserve">FIR No. 58
dt: 28/2/2015
u/s 365 PPC PS/Chuprial
District: 
</t>
  </si>
  <si>
    <t xml:space="preserve">FIR No. 440
dt: 20-10-13
u/s 365 PPC PS
City Reenala Khurd
District: Okara
</t>
  </si>
  <si>
    <t xml:space="preserve">Traced Person. Abdul Qadoos Khan appeared before the Commission at Lahore on 28/06/2018. He was reluctant to share factual and details of the case. However as he returned to home the case is closed. </t>
  </si>
  <si>
    <t>FIR No. 23
dt: 14/1/2013
u/s 365 PPC
P.S. Shah Shams
District: Multan</t>
  </si>
  <si>
    <t>FIR No. 184
dt: 12/3/2014
u/s 365 PPC
P.S. City,Sahiwal.</t>
  </si>
  <si>
    <t>FIR No. 246
dt: 19-12-13
u/s 365 PPC
P.S. Mittha Tiwana
District: Khushab</t>
  </si>
  <si>
    <t xml:space="preserve">Farman Adil Shah b/o Missing Person, r/o Kodari, Totano Bandi, Tehsil Kabal, Distt: Swat </t>
  </si>
  <si>
    <t>Traced Person. Returned to home submitted  by SP (Inv) Swat. Statement u/s 104 CrPC has also been recored.</t>
  </si>
  <si>
    <t>FIR No. 227
dt: 8/03/2011
u/s 365 PPC
P.S. Akora Khattak,
District: Nowshera</t>
  </si>
  <si>
    <t xml:space="preserve">Shoukat Ali r/o village Golden, P.O. Deolai, Tehsil Kabal, Distt: Swat (Mobile No. 0345-9455001) </t>
  </si>
  <si>
    <t xml:space="preserve">Farman Adil Shah s/o Missing Person, r/o Kodari, Totano Bandi, Tehsil Kabal, Distt: Swat </t>
  </si>
  <si>
    <t xml:space="preserve">Mian Karim Shah uncle of Missing Person, r/o Village Bara Samai, P.O. Deolai, Swat </t>
  </si>
  <si>
    <t>FIR No.90
dt: 29/01/2015
u/s 365 PPC
PS/City,Mardan</t>
  </si>
  <si>
    <t>Traced Person. Appeared before the Commission on 25.3.14 submitted that he was confinement  by unknown persons for four months.</t>
  </si>
  <si>
    <t xml:space="preserve">FIR No. 23
dt: 24-7-2013
u/s 365/34 PPC
P.S. Lora
District: Abbottabad
</t>
  </si>
  <si>
    <t xml:space="preserve">Sabir Ali s/o Wazir Zada </t>
  </si>
  <si>
    <t xml:space="preserve">Hameedullah s/o Mian Karim Shah
</t>
  </si>
  <si>
    <t>Mst. Hassan Rafia Bibi w/o Missing  Person, r/o Bandah Ali Khan, P.O. Mandian, Mohallah Usmanabad, Abbottabad (Mobile No. 0303-8046095)</t>
  </si>
  <si>
    <t xml:space="preserve">Suleman s/o Zaroor Khan
</t>
  </si>
  <si>
    <t>Ghulam Muhammad  b/o Missing Person, r/o Village Ghoz Bantar, Khwaza Khel, Berari, Swat (Mobile No. 0346-2322446, 0322-5993705)</t>
  </si>
  <si>
    <t xml:space="preserve">Traced Person. Confined in the Internment Centre, Lakki Marwat as reported by JIT at the hearing on 27.5.2014. </t>
  </si>
  <si>
    <t>FIR No.147  dt.21/3/2014 u/s 365/34 PPC PS/Kabal District Swat</t>
  </si>
  <si>
    <t xml:space="preserve">Traced Person. Dead body recovered and buried, statements of relevant persons recored. </t>
  </si>
  <si>
    <t>FIR No.96
dt: 20/3/2014
u/s 365 PPC
PS Kanju, DistrictSwat</t>
  </si>
  <si>
    <t>FIR No.153
dt: 27/3/2014
u/s 365 PPC
PS Kabal, District:
Swat</t>
  </si>
  <si>
    <t>FIR No.152
dt: 27/3/2014
u/s 365/34 PPC
PS Kabal, District:
Swat</t>
  </si>
  <si>
    <t>FIR No.217 dt.19/03/2014 u/s 365  PPC PS Paharipur Ditrict Peshawar.</t>
  </si>
  <si>
    <t>Traced Person.  Confined in the Internment Center Paithom as intimated by Rep of MI at the hearing on 23.9.2014.</t>
  </si>
  <si>
    <t xml:space="preserve">Ehsanullah s/o Muhammad Amin
</t>
  </si>
  <si>
    <t>Traced Person. Rep of MI, submitted at the hearing on 16.6.17 that Missing Person, Syed Hanif  is Confined at Internment Center, Kohat</t>
  </si>
  <si>
    <t>FIR No.42 dt.20/3/2014 u/s 365 PPC PS Charbagh,
District Swat</t>
  </si>
  <si>
    <t xml:space="preserve">Akbar Ali s/o Muhammad
</t>
  </si>
  <si>
    <t>FIR No.147
 dt.28/3/2014
 u/s 365 PPC
 PS Mingora
 District Swat</t>
  </si>
  <si>
    <t>Traced Person. Confined in  the Internment Center Kohat as reported by Rep of MI at the hearing on 22.3.17.</t>
  </si>
  <si>
    <t xml:space="preserve"> Kohat</t>
  </si>
  <si>
    <t xml:space="preserve">Dilbar Khan r/o Village Machi Khel, Mir Ali, North Waziristan Agency: Present Address Usmania Colony, Dhok Mustaqeem, Rawalpindi </t>
  </si>
  <si>
    <t>FIR No.78
dt: 11/02/2014
u/s 365 PPC
P.S. Naseerabad, District Rawalpindi</t>
  </si>
  <si>
    <t xml:space="preserve">Syed Ashfaq Hussain Shah s/o Syed Khadim Hussain Shah </t>
  </si>
  <si>
    <t>FIR  No.310  dt.26/3/2014 u/s 365 PPC PPC PS Matta,District Swat</t>
  </si>
  <si>
    <t xml:space="preserve">Irfan s/o Sabaz Ali </t>
  </si>
  <si>
    <t>Traced Person. Returned to Home and available at         (House No. A-308, near Faizan Madrassah &amp; Akbar Public School, Shorai Kali, Purana Sakkhar)</t>
  </si>
  <si>
    <t xml:space="preserve">Muhammad Shafiq s/o Ali Asghar </t>
  </si>
  <si>
    <t xml:space="preserve">FIR No. 634
dt: 21-10-13
u/s 365 PPC
P.S. Saddar
Vehari
</t>
  </si>
  <si>
    <t xml:space="preserve">FIR No. 378
dt: 9-10-04
u/s 365 PPC
P.S. Civil Lines
Bahawalpur
</t>
  </si>
  <si>
    <t>FIR No. 282
dt: 18/12/2014
u/s 365 PPC
P.S. City,Quetta.</t>
  </si>
  <si>
    <t xml:space="preserve">FIR No. 30
dt: 30-1-14
u/s 365 PPC
P.S. Shalimar
District: Islamabad </t>
  </si>
  <si>
    <t xml:space="preserve">FIR No. 1355
dt: 27-12-13
u/s 365 PPC
P.S. Batala Colony
District: Faisalabad
</t>
  </si>
  <si>
    <t xml:space="preserve">FIR No. 397
dt: 16-11-12
u/s 11-EE 
P.S. Qadirpur
District: Jhang
</t>
  </si>
  <si>
    <t>Under Investigation (Punjab)
Lahore</t>
  </si>
  <si>
    <t>FIR No.206
dt: 11/03/2014
u/s 11 ATA-W-21/C,
 PS Airport
Rawalpindi</t>
  </si>
  <si>
    <t>Traced Person. Returned to Home and available at         (Salar Compound, Bheempura, , Gulshan Masjid, Karachi)</t>
  </si>
  <si>
    <t xml:space="preserve">FIR No.139 dt 09/6/2014 u/s 365PPC PS Shahdheri, District,Swat  </t>
  </si>
  <si>
    <t>FIR No. 438 dt.18/12/2013
u/s 365/34 PPC
P.S. New Town District
East Karachi</t>
  </si>
  <si>
    <t>FIR No. 30/2014
u/s 365/34 PPC
P.S. Friere
South Karachi</t>
  </si>
  <si>
    <t xml:space="preserve">Deleted. The case has been considered at length at all forums including JIT, PTF and this Commission the facts of the case indicate that Zubair Ahmed was affiliated with MQM-A (London Group) and Unit In-Charge Dehli Colony. There is no occurrence to infer it to be a case of enforced disappearance. Hence, the case is closed. </t>
  </si>
  <si>
    <t>FIR No. 45 dt.6/2/2014
u/s 365/34 PPC
P.S. Awami Colony,District
East Karachi</t>
  </si>
  <si>
    <t>Traced Person. Returned to Home and available at         (House No. 92, Sector 36-C, Korangi No. 5, East Karachi)</t>
  </si>
  <si>
    <t xml:space="preserve">Mrs. Khursheed Jahan m/o Missing Person, r/o N-481, Sector 48/BN, Korangi 21/2, East Karachi (Mobile No. 0312-2973560) </t>
  </si>
  <si>
    <t>FIR No.156  dt.6/4/2014
u/s 365/34 PPC
P.S. Zaman Town,District
East Karachi</t>
  </si>
  <si>
    <t>FIR No.85  dt.4/6/2014
u/s 365/34 PPC
P.S/ Gulshan-e-Maamar,District Malir Karachi</t>
  </si>
  <si>
    <t>FIR No.41  dt.19/3/2014
u/s 365/34 PPC
P.S/ Airport,District East Karachi</t>
  </si>
  <si>
    <t>Traced Person. Returned to Home and available at         (House No. A-9/04, Qasba Colony, S.I.T.E Town, West Karachi)</t>
  </si>
  <si>
    <t>Shamshad  Haider s/o Riaz Haider</t>
  </si>
  <si>
    <t xml:space="preserve">Abdul Jabbar s/o Israr Ahmed </t>
  </si>
  <si>
    <t>Traced Person. Returned to Home and available at         (Taptakhti, P.O. Haveeda, Tehsil &amp; Distt: Bannu)</t>
  </si>
  <si>
    <t>FIR No. 74
dt: 27-10-08
u/s 365 PPC
PS: City
District: D.I.Khan</t>
  </si>
  <si>
    <t>Traced Person. b/o of Missing Person  has submitted that he met his brother  in Internment Center, Paithom, Swat. Confinement also confirmed by Rep of MI.</t>
  </si>
  <si>
    <t>FIR No.34 dt.15/9/2014 u/s 365/34 PPC
PS Railways,Karachi Cantt.,Karachi</t>
  </si>
  <si>
    <t xml:space="preserve">Inam Ullah s/o Sarad Ali Khan </t>
  </si>
  <si>
    <t>FIR No. 61
dt: 13-2-2014
u/s 365 PPC
PS. Jungle Khel
District: Kohat</t>
  </si>
  <si>
    <t>Traced Person. SP (Inv), Kohat has  submitted that Inam Ullah  is confined at Internment Center, Kohat. Family facilitated to see him.</t>
  </si>
  <si>
    <t>Under Investigation (Punjab)
Rwp</t>
  </si>
  <si>
    <t xml:space="preserve">Muhammad Irshad s/o Muhammad Anwar </t>
  </si>
  <si>
    <t xml:space="preserve">Azeem Ali s/o Muhammad Ali </t>
  </si>
  <si>
    <t>Traced Person.Returned to Home and available at         (House No. D-6/102, Steel Town, Karachi.)</t>
  </si>
  <si>
    <t xml:space="preserve">Sher Pao s/o Sare Khoon </t>
  </si>
  <si>
    <t>Traced Person. Returned to Home and available at         (Noor Muhammad Goth, New Sabzi Mandi, Super Highway, Karachi)</t>
  </si>
  <si>
    <t>Traced Person. Returned to Home and available at         (House No. 38, Ajab Khan Colony, Karachi)</t>
  </si>
  <si>
    <t>Traced Person. Returned to Home and available at         (House No. E-22, Defence View Phase-II, Karachi)</t>
  </si>
  <si>
    <t>Traced Person. Returned to Home and available at         (Ibrahim Hyderi, Jumma Goth, Soquarter, Korangi No. 5, Karachi)</t>
  </si>
  <si>
    <t xml:space="preserve">Nooran Gul </t>
  </si>
  <si>
    <t>Traced Person. Returned to Home and available at         (House No. 129, Sector 5-F, New Karachi)</t>
  </si>
  <si>
    <t>Traced Person. Returned to Home and available at         ( House No. 129, Sector 5-F, New Karachi)</t>
  </si>
  <si>
    <t>Traced Person. Returned to Home and available at         (House No. 1087, Sector 5B-1, North Karachi )</t>
  </si>
  <si>
    <t xml:space="preserve">Deleted. The case has been closed as the complainant/ family of the alleged Missing Person do not attend hearing and not interested to pursue this case. JIT constituted in this case held a number of meetings and concluded that Mollana Attaullah Sukravi was not missing from the judication of District, Sukkur. No further action is required. </t>
  </si>
  <si>
    <t>Traced Person. Returned to Home and available at         (Flat No. 8, Maryam Manzil, 3rd Floor, Gadi Chowk, Karachi.)</t>
  </si>
  <si>
    <t>Traced Person.Returned to Home and available at         (House No. 22/11, Area 4-B, Landhi No. 6, Karachi)</t>
  </si>
  <si>
    <t xml:space="preserve">Faisal Zohaib Shah s/o Zawakhir Shah </t>
  </si>
  <si>
    <t xml:space="preserve">Mst. Rihana Bibi m/o Missing Person, r/o Babar Market, near National Bank, Karachi </t>
  </si>
  <si>
    <t>Traced Person. Returned to Home and available at         (Babar Market, near National Bank, Karachi)</t>
  </si>
  <si>
    <t>Traced Person. Returned to Home and available at         (P.H.Q Garden, South Karachi.)</t>
  </si>
  <si>
    <t>Traced Person. Returned to Home and available at         (House No. 23, Zarina Manzil, Chand Bibi Road, Aslam Road, Karachi)</t>
  </si>
  <si>
    <t xml:space="preserve">Nazeer s/o Bashir </t>
  </si>
  <si>
    <t xml:space="preserve">Muhammad Ullah s/o Haftay Khan </t>
  </si>
  <si>
    <t>Traced Person. Returned to Home and available at         (Flat No. 01, First Floor, Razzaq Manssion, Gali No. 4, Liaqat Colony, Mama Hotel, Nayaabad, Liyari, Karachi)</t>
  </si>
  <si>
    <t xml:space="preserve">Salman  </t>
  </si>
  <si>
    <t>TracedPerson. Returned to Home and available at         (Flat No. 01, First Floor, Razzaq Manssion, Gali No. 4, Liaqat Colony, Mama Hotel, Nayaabad, Liyari, Karachi)</t>
  </si>
  <si>
    <t>Traced Person. Returned to Home and available at         ( Siddia Masjid, Mohallah Sharifabad, Abidabad, Baldia Town, Karachi)</t>
  </si>
  <si>
    <t>FIR No. 333
dt: 15-11-13
u/s 365 PPC
PS. Gulshan-e- Iqbal
Lahore</t>
  </si>
  <si>
    <t>FIR No. 226
dt: 9-9-2013
u/s 365 PPc
PS. Paherianawali
District: Mandi Bahauddin</t>
  </si>
  <si>
    <t xml:space="preserve">Traced Person. DPO Mandi Bahauddin submitted report at the hearing on 15.4.14 that dead body of Ghulam Sibtain recovered and buried. </t>
  </si>
  <si>
    <t>FIR No. 168
dt: 11-10-13
u/s 365 PPC
P.S. Balakot
District: Mansehra</t>
  </si>
  <si>
    <t xml:space="preserve">Mst. Niaz Bibi m/o Missing Person, r/o House No. 101, Mohallah Faqir Khel, Suleman Talab, Distt: Kohat. </t>
  </si>
  <si>
    <t xml:space="preserve">Aziz Ullah s/o Muhammad Akram </t>
  </si>
  <si>
    <t xml:space="preserve">Traced Person. Confined in the Internment Centre, Lakki Marwat as informed at the hearing on 29.4.14 by Rep of MI. </t>
  </si>
  <si>
    <t xml:space="preserve">Bakhat Mand Khan r/o Dooran </t>
  </si>
  <si>
    <t xml:space="preserve">FIR No. 72 dated 31/3/2008 u/s 365-PPC PS Saidu Sharif District Swat </t>
  </si>
  <si>
    <t xml:space="preserve">Muhammad Iqbal s/o Zalehin </t>
  </si>
  <si>
    <t>FIR No.417
dt: 27/07/2013
u/s 365 PPC
P.S. Khurshid Khan Shaheed, District Swat</t>
  </si>
  <si>
    <t xml:space="preserve">Faizullah Khan s/o Aqil Khan, r/o Char Garhi, Dakhila Shahpur, Distt: Kohat </t>
  </si>
  <si>
    <t>Traced Person. Confined in the  Internment Center Kohat as reported in behalf of SP (Inv) Kohat on 14.4.2016.</t>
  </si>
  <si>
    <t>FIR No.91 dt.29/01/2015 u/s 365 PPC  PS/City,Mardan</t>
  </si>
  <si>
    <t>Under Investigation (KP)
Mardan</t>
  </si>
  <si>
    <t xml:space="preserve">Abdullah s/o Muhammad Iqbal </t>
  </si>
  <si>
    <t>Traced Person. Confined in  the Internment Center Kohat at reported by Rep of MI at the hearing on 22.3.2017.</t>
  </si>
  <si>
    <t>Abdul Nabi f/o Nadir (Missing Person), r/o  Bolan Medical College, Labor Colony Quetta, Balochistan</t>
  </si>
  <si>
    <t>Mst. Minhaja Bibi  w/o Missing Person, r/o Sama Bazar, Orakzai Agency, Present Address: KTM Mills, Kohat (Mobile No. 0333-9636753)</t>
  </si>
  <si>
    <t xml:space="preserve">Traced Person. Confined in the Internment Centre, Kohat as informed at the hearing on 25.6.14. Family facilitated to see him. </t>
  </si>
  <si>
    <t xml:space="preserve">Muhammad Zahid s/o Malik Muhammad Jahangir Khan </t>
  </si>
  <si>
    <t xml:space="preserve">Mst. Bagh Jamala w/o Mashandi Gul, r/o Village Charmaro Mella Ghalnai Ali Masjid, Khyber Agency </t>
  </si>
  <si>
    <t>Traced Person. Returned to Home and available at         (Haji Ibrahim Goth, Village Allah Bannu, Tappuga Bopat, Maripur, Distt: West Karachi )</t>
  </si>
  <si>
    <t xml:space="preserve">Traced Person. Mir Baig father of Rab Nawaz appeared before the Commission on 01.04.2021 whose statement was recorded on oath in which he submitted that Rab Nawaz was taken away by two unknown men on a motorcycle to some unidentified place and kept him in a small room. He further deposed that Rab Nawaz returned home but could not appear before the Commission due to sickness. No further action is required, the case is closed. </t>
  </si>
  <si>
    <t xml:space="preserve">Dad Mohel f/o Missing Person, r/o Diz Paroom, Distt: Panjgur, Balochistan </t>
  </si>
  <si>
    <t>Mst. Zeenat sister of Missing Person, r/o Amankot, Swat (Mobile No.  0343-5914284 &amp; 0314-9924075)</t>
  </si>
  <si>
    <t xml:space="preserve">Muhammad Yar s/o Muhammad Nawaz </t>
  </si>
  <si>
    <t xml:space="preserve">Muhammad Yousaf </t>
  </si>
  <si>
    <t>Traced Person. Returned to Home and available at         ( House No. 218, Gali No. 16, Sharafabad, Karachi)</t>
  </si>
  <si>
    <t xml:space="preserve">Deleted. SDPO Site Karachi submitted report alongwith statement of Asghar Ali in which he deposed that he was satisfied with the investigation by the Police and he had no allegation against any Government Agency and that he wanted to withdraw his complaint. Accordingly, the case is closed.   </t>
  </si>
  <si>
    <t>FIR No. 90
dt: 14-2-2010
u/s 365 PPC
PS. Chawani
District: D.I. Khan</t>
  </si>
  <si>
    <t xml:space="preserve">Under Investigation (KP) :Lower Dir </t>
  </si>
  <si>
    <t>Traced Person.  Confined in the Internment Center Fizagat. Statement of all concerned have been recorded.</t>
  </si>
  <si>
    <t>Abdul Qayyum  
(Mardan)</t>
  </si>
  <si>
    <t>Saif Ullah s/o Abdul Qayyum  
(Mardan)</t>
  </si>
  <si>
    <t>Traced Person.  Returned Home</t>
  </si>
  <si>
    <t xml:space="preserve">Abdullah s/o Abdul Qayyum  
</t>
  </si>
  <si>
    <t>FIR No. 16
dt: 21-1-2015
u/s 365 PPC
PS. Takhatbai District Mardan</t>
  </si>
  <si>
    <t>Traced Person.Returned to Home and available at         (House No. C-462, Sector-10, Bagh, Korangi, Karachi)</t>
  </si>
  <si>
    <t xml:space="preserve">FIR No. 64
dt: 20-2-2014
u/s 365 PPC
PS. Naikapura
District: Sialkot
</t>
  </si>
  <si>
    <t xml:space="preserve">FIR No. 88
dt: 28-2-2014
u/s 365 PPC
PS. Mustafa Town
District: Lahore
</t>
  </si>
  <si>
    <t>FIR No.152
dt: 28/4/2014
u/s 365 PPC
PS Kanju, District:
Swat</t>
  </si>
  <si>
    <t>FIR No.153
dt: 28/04/2014
u/s 365 PPC
PS Kanju, District:
Swat</t>
  </si>
  <si>
    <t xml:space="preserve">Traced Person. It is intimated at the hearing on 30/10/2018 that Aziz Ullah has been traced. He is presently confined in the Internment Center Paithom. Family members of Aziz Ullah shall be facilitated to see him in the Internment Center as per rules and procedures. </t>
  </si>
  <si>
    <t>Traced Person. Returned to Home and available at         (Mohallah Barkanju, Kanju, Tehsil Kabal, Distt: Swat)</t>
  </si>
  <si>
    <t>Deleted. In this case JIT as well as PTF submitted report that the Missing Person has gone on his own. Father of Jahangir also appeared and deposed in his statement that he has heard that his son was in Afghanistan, however he concluded   that there is no allegation against LEAs/ Intelligence Agency. No further action is required. The case is closed</t>
  </si>
  <si>
    <t xml:space="preserve">Deleted. Rehman-ud-Din is an Afghan National. Rep of IB informed at the hearing on 16/07/2018 that accordingly to verification made by field unit the entire family has shifted to Afghanistan. A similar report has also been received from PTF. </t>
  </si>
  <si>
    <t xml:space="preserve">Traced Person. Haji Malang s/o Abdul Nabi appeared before the Commission on 29/6/2019. According to him 7/8 September, 2013, he was picked up by five unknown persons from Noshki Station and taken away blindfolded. According to him he was kept at some unknown place and interrogated and thereafter on the same day he was sent to jail at Karachi and was set free four months ago. </t>
  </si>
  <si>
    <t>FIR NO. 835
dt: 11-10-2013
u/s 365 PPc
PS. Civil Lines
District: Gujrat</t>
  </si>
  <si>
    <t xml:space="preserve">Muhammad Javed  </t>
  </si>
  <si>
    <t>Traced Person .Returned to Home and available at         (House No. 126, Gali No. 11, Allahabad Colony, Bilal Colony, Korangi Industrial Area, Karachi)</t>
  </si>
  <si>
    <t xml:space="preserve">Muhammad Zakir Hussain s/o Ali Muhammad </t>
  </si>
  <si>
    <t>Traced Persn. Returned to Home and available at         (Jumma Baloch Goth Bin Qasim Town, Malir Karachi)</t>
  </si>
  <si>
    <t xml:space="preserve">Muhammad Jamil s/o Muhammad Sharif </t>
  </si>
  <si>
    <t>Traced Person. Returned to Home and available at         (Jumma Baloch Goth Bin Qasim Town, Malir Karachi)</t>
  </si>
  <si>
    <t>Traced Person. Ahmed Khan s/o Zam Khan (missing person) has entered appearance. His statement has been recorded on oath. In his statement, he has stated that Mirza khan, Umer Siddique and Gul Mohsin and Mueen Khan (who was also missing) have  returned home.</t>
  </si>
  <si>
    <t xml:space="preserve">Traced Person. According to report furnished at the hearing on 27/12/2018 by Rep of MI, Saleem Khan is presently confined in the Internment Center Fizagaht. Family member of Saleem Khan Shall be facilitated to see him in the Internment Center.  </t>
  </si>
  <si>
    <t>FIR No.323
dt: 18/06/2014
u/s 365 PPC
PS Kabal District Swat</t>
  </si>
  <si>
    <t xml:space="preserve">Mst. Fauzia Ansari w/o Nehal Ahmed Ansari, c/o Mr. Sheikh Muhammad Latif Shahid, r/o Union Council Road, Haweli Sharif Khan, Manga Mandi, Lahore. (Mobile No.0333-4293732 &amp; 0300-4293732)  </t>
  </si>
  <si>
    <t xml:space="preserve">Mst. Taj Bibi w/o Muhammad Sharif, r/o House No. 4/15, Sector 5/D, New Karachi </t>
  </si>
  <si>
    <t>Traced Person.Returned to Home and available at         (House No. 4/15, Sector 5/D, New Karachi)</t>
  </si>
  <si>
    <t>Traced (According to  SI, Abdul Waheed submitted that Muhammad Siddique,Missing Person has returned home)</t>
  </si>
  <si>
    <t>Traced Person. Returned to Home and available at         (House No. 4/15, Sector 5/D, New Karachi)</t>
  </si>
  <si>
    <t>Traced Person. Returned to Home and available at         ( House No. 4/15, Sector 5/D, New Karachi)</t>
  </si>
  <si>
    <t>Traced Person. Sentenced  in a criminal case and confined in Jail in Mirpur.</t>
  </si>
  <si>
    <t>HRC No. 280-P /2014
HRC NO. 4264-P /2014</t>
  </si>
  <si>
    <t xml:space="preserve">HRC No. 538-S /2014
</t>
  </si>
  <si>
    <t>Mst. Akhtari Begum w/o  S.M. Qasim Ali, r/o 122/20, Sector 11-D, New Karachi (Mobile No. 0315-0222428, 0300-2298504)</t>
  </si>
  <si>
    <t>Traced Person. Returned to Home and available at         (122/20, Sector 11-D, New Karachi)</t>
  </si>
  <si>
    <t xml:space="preserve">HRC No. 40246-S /2013
</t>
  </si>
  <si>
    <t xml:space="preserve">HRC No. 2413-S /2014
</t>
  </si>
  <si>
    <t>Traced Person. Returned to Home and available at         (House No. 88, Bijli Nagar, Sector F-4, Orangi Town, Karachi)</t>
  </si>
  <si>
    <t xml:space="preserve">HRC No. 420-P /2014
</t>
  </si>
  <si>
    <t xml:space="preserve">HRC No. 28608-K /2013
</t>
  </si>
  <si>
    <t>Under Investigation (KP)
Lakki Marwat</t>
  </si>
  <si>
    <t xml:space="preserve">HRC No. 36141-S /2013
</t>
  </si>
  <si>
    <t>Traced Person.Returned to Home and available at         (House No. L-522, Sector 5/C-1, North Karachi)</t>
  </si>
  <si>
    <t xml:space="preserve">HRC No. 13125-S /2013
</t>
  </si>
  <si>
    <t xml:space="preserve">HRC No. 32031-P /2013
</t>
  </si>
  <si>
    <t>FIR No.807
dt: 22/12/2013
u/s 365 PPC
PS Jhang Bazaar, District Faisalabad</t>
  </si>
  <si>
    <t xml:space="preserve">Under Investigation (Punjab) Fasilabad
</t>
  </si>
  <si>
    <t xml:space="preserve">HRC No. 28640-P /2013
</t>
  </si>
  <si>
    <t>FIR No. 603
dt: 27-9-2010
u/s 365 PPc
PS. Saddar
Rawalpindi</t>
  </si>
  <si>
    <t xml:space="preserve">HRC No. 31119-P /2013
</t>
  </si>
  <si>
    <t>FIR No.371
dt: 27-5-2014
u/s 365 PPC
PS.Kamoke District Gujranwala</t>
  </si>
  <si>
    <t xml:space="preserve">HRC No. 3450-P /2013
</t>
  </si>
  <si>
    <t xml:space="preserve">HRC No. 1188-S /2014
</t>
  </si>
  <si>
    <t>Traced Person.Returned to Home and available at         (House No. 44/45, Bismillah Colony, Gulshan-e-Bahar, Sector No. 16, Orangi Town, Karachi)</t>
  </si>
  <si>
    <t xml:space="preserve">HRC No. 43428-S /2013
</t>
  </si>
  <si>
    <t>Traced Person. Returned to Home and available at         (House No. 1, Block No. 8, Sobash Nagar Compound, Shoe Market, Karachi.)</t>
  </si>
  <si>
    <t xml:space="preserve">HRC No. 48162-S /2013
</t>
  </si>
  <si>
    <t>Traced Person. Returned to Home and available at         (House No. 35-C/A, Mehmoodabad, Rehmani Colony, Karachi)</t>
  </si>
  <si>
    <t xml:space="preserve">HRC No. 657-P /2014
</t>
  </si>
  <si>
    <t xml:space="preserve">HRC No. 3957-K /2014
</t>
  </si>
  <si>
    <t xml:space="preserve">HRC No. 836-K /2014
</t>
  </si>
  <si>
    <t xml:space="preserve">Amir Quraish s/o Sheikh Hussain, r/o Ghala Katlang, Distt: Mardan </t>
  </si>
  <si>
    <t xml:space="preserve">HRC No. 8922-K/2012
</t>
  </si>
  <si>
    <t xml:space="preserve">HRC No. 47650-S/2013
</t>
  </si>
  <si>
    <t>Returned to Home and available at         (Building No. 12-C, 20th Street, Phase-II, Ext. DHA, Karachi)</t>
  </si>
  <si>
    <t xml:space="preserve">HRC No. 8250-K/2013
</t>
  </si>
  <si>
    <t xml:space="preserve">HRC No. 7921-B /2013
</t>
  </si>
  <si>
    <t xml:space="preserve">HRC No. 143-S/2013
</t>
  </si>
  <si>
    <t>Traced Person. Returned to Home and available at         ( B-320, Block-10, Gulshan-e-Iqbal, Karachi)</t>
  </si>
  <si>
    <t xml:space="preserve">HRC No. 40271-S/2013
</t>
  </si>
  <si>
    <t xml:space="preserve">HRC No. 530-S/2014
</t>
  </si>
  <si>
    <t xml:space="preserve">Mati-ul-Haq s/o Muhammad Gul </t>
  </si>
  <si>
    <t>FIR No.413 dt.20/10/2014 u/s 365/34 PPC
PS Qaidabad, District Malir Karachi.</t>
  </si>
  <si>
    <t xml:space="preserve">HRC No. 25557-P/2013
</t>
  </si>
  <si>
    <t xml:space="preserve">Imran Haider Shah s/o Manzoor Hussain Shah </t>
  </si>
  <si>
    <t>FIR No. 284
dt: 22-5-2012
u/s 365 PPc
PS. Dijkot
District: Faisalabad</t>
  </si>
  <si>
    <t xml:space="preserve">HRC No. 36921-B/2013
</t>
  </si>
  <si>
    <t>FIR No. 25
dt: 04/4/2015
u/s 365/34 PPc
PS/City,Mastung.</t>
  </si>
  <si>
    <t xml:space="preserve">HRC No. 31566-K/2013
</t>
  </si>
  <si>
    <t xml:space="preserve">HRC No. 6201-P/2014
</t>
  </si>
  <si>
    <t xml:space="preserve">HRC No. 43502-S/2013
</t>
  </si>
  <si>
    <t>traced Person. Returned to Home and available at         (B-202, Block-13, Federal B. Area, Karachi)</t>
  </si>
  <si>
    <t xml:space="preserve">HRC No. 39354-P/2013
</t>
  </si>
  <si>
    <t xml:space="preserve">HRC No. 68-S/2014
</t>
  </si>
  <si>
    <t>Traced Person.Returned to Home and available at         (House No. R-35, Sector 5-C/1, North Karachi, Karachi)</t>
  </si>
  <si>
    <t xml:space="preserve">HRC No. 20734-K/2013
</t>
  </si>
  <si>
    <t xml:space="preserve">HRC No. 2698-K/2014
</t>
  </si>
  <si>
    <t xml:space="preserve">HRC No. 46834-S/2013
</t>
  </si>
  <si>
    <t>FIR No.307
dt: 04/6/2014 u/s 365 PPC
PS Banr, DistrictSwat</t>
  </si>
  <si>
    <t>Traced Person. Returned to Home and available at         ( House No. L-299, Sector 50-A, New Liyari Expressway, Taser Town, Karachi)</t>
  </si>
  <si>
    <t xml:space="preserve">HRC No. 2594-K/2014
</t>
  </si>
  <si>
    <t>FIR No.307
dt: 4/06//2014 u/s 365/34 PPC
PS Bunair</t>
  </si>
  <si>
    <t xml:space="preserve">HRC No. 48404-S/2013
</t>
  </si>
  <si>
    <t xml:space="preserve">Deleted. At the hearing held in this case on 25.11.2019, it has been reported that the alleged Missing Person is not in of LEAs custody the report further states that Maaz was active members of TTS during Army operation is Swat. He roamed the area accordingly with TTS and involvement in Anti/state/terrorist activities as confirmed the complainant family neither joined investigation nor the Commission. Hence the case is closed. </t>
  </si>
  <si>
    <t xml:space="preserve">HRC No. 19956-G/2013
</t>
  </si>
  <si>
    <t xml:space="preserve">HRC No. 38703-S/2013
</t>
  </si>
  <si>
    <t>Tracedf Person. Returned to Home and available at         (Gali No. 6, Baghdadi Liyari, South Karachi.)</t>
  </si>
  <si>
    <t xml:space="preserve">HRC No. 47263-K/2013
</t>
  </si>
  <si>
    <t xml:space="preserve">HRC No. 43539-K/2013
</t>
  </si>
  <si>
    <t xml:space="preserve">HRC No. 31866-K/2013
</t>
  </si>
  <si>
    <t>FIR No.252,
dt. 6/5/2014
u/s 365 PPC, PS Rahimabad DistrictSwat</t>
  </si>
  <si>
    <t xml:space="preserve">HRC No. 39811-K/2012
</t>
  </si>
  <si>
    <t xml:space="preserve">HRC No. 48140-P/2013
</t>
  </si>
  <si>
    <t xml:space="preserve">HRC No. 2918-S/2014
</t>
  </si>
  <si>
    <t>FIR No.253 dt. 07/05/2014  u/s 365 PPC, PS Rahimabad, District Swat</t>
  </si>
  <si>
    <t>Traced Person. Returned to Home and available at         ( Abu-al-Hassan Asfahani Road, Cheapal Garden, Block-J, Flat No. 307, Gulshan-e-Iqbal, Karachi)</t>
  </si>
  <si>
    <t xml:space="preserve">HRC No. 3154-K/2014
</t>
  </si>
  <si>
    <t>FIR No. 253 dt.7/5/2014  u/s 365 PPC, PS Rahimabad District Swat.</t>
  </si>
  <si>
    <t xml:space="preserve">HRC No. 18777-S/2013
</t>
  </si>
  <si>
    <t xml:space="preserve">HRC No. 12573-B/2012
</t>
  </si>
  <si>
    <t>Traced Person. Naib Tehsildar  Sangar submitted report that Nauroz Khan has returned to home. His statement placed in the file.</t>
  </si>
  <si>
    <t xml:space="preserve">HRC No. 19231-K/2013
</t>
  </si>
  <si>
    <t xml:space="preserve">Traced Person. Confined in the Internment Center Paithom as informed by I.O of the case on 23.9.14. Family facilitated to see him. </t>
  </si>
  <si>
    <t xml:space="preserve">HRC No. 47147-K/2013
</t>
  </si>
  <si>
    <t xml:space="preserve">Mst. Akhtara Bibi w/o Abdul Sattar, r/o Banjot, P.O. Manglor, Tehsil Babozai, Distt: Swat </t>
  </si>
  <si>
    <t xml:space="preserve">HRC No.5875-K/2014
</t>
  </si>
  <si>
    <t xml:space="preserve">HRC No.1439-K/2014
</t>
  </si>
  <si>
    <t>FIR No. 94
dt: 25-3-2011
u/s 365 PPC
PS. City
District: Kohat</t>
  </si>
  <si>
    <t xml:space="preserve">HRC No.29779-K/2013
</t>
  </si>
  <si>
    <t xml:space="preserve">HRC No.48529-K/2013
</t>
  </si>
  <si>
    <t xml:space="preserve">HRC No.2710-K/2014
</t>
  </si>
  <si>
    <t xml:space="preserve">HRC No.46316-K/2013
</t>
  </si>
  <si>
    <t xml:space="preserve">Muhammad Naseer s/o Samiullah Khan, r/o Flat No. T-1156, Street No. 8, Usmania Colony, Bashirabad, Peshawar </t>
  </si>
  <si>
    <t xml:space="preserve">HRC No.45810-K/2013
</t>
  </si>
  <si>
    <t xml:space="preserve">Nasir Ali s/o Majeeb Gul </t>
  </si>
  <si>
    <t xml:space="preserve">HRC No.45576-K/2013
</t>
  </si>
  <si>
    <t xml:space="preserve">HRC No. 45783-S/2013
</t>
  </si>
  <si>
    <t>Traced Person. Returned to Home and available at         (House No. Zia Colony, Metrovil Site, Karachi)</t>
  </si>
  <si>
    <t xml:space="preserve">HRC No. 766-S/2014
</t>
  </si>
  <si>
    <t xml:space="preserve">Jumoon Khan s/o Dino Rahimoon, r/o Village Neblo, C/o Chachro Iron Store Chachro, Distt: Tharparkar, Sindh </t>
  </si>
  <si>
    <t xml:space="preserve">HRC No. 46508-S/2013
</t>
  </si>
  <si>
    <t xml:space="preserve">HRC No.25369-K/2013
</t>
  </si>
  <si>
    <t xml:space="preserve">HRC No. 46626-S/2013
</t>
  </si>
  <si>
    <t xml:space="preserve">Bashir Ahmed Khaskheli </t>
  </si>
  <si>
    <t>Traced Person. Returned to Home and available at         (House No. A-26. Block-1, Street No. 2, Chapal Suncity Banglows near Kiran Hospital, Karachi)</t>
  </si>
  <si>
    <t>Traced Person. Appearance before the Commission on 16.6.14. Stated that he went to Afghanistan on his own.</t>
  </si>
  <si>
    <t>Traced Person.Returned to Home and available at         (House No. 1218, Peerabad Colony, No. 2, Orangi Town, West Karachi)</t>
  </si>
  <si>
    <t>Traced  Person. Returned to Home and available at         (House No. 1218, Peerabad Colony, No. 2, Orangi Town, West Karachi)</t>
  </si>
  <si>
    <t>Traced Person. Returned to Home and available at         (House No. 1218, Peerabad Colony, No. 2, Orangi Town, West Karachi)</t>
  </si>
  <si>
    <t xml:space="preserve">Tahir Ayub s/o Muhammad Ayub Khan </t>
  </si>
  <si>
    <t>FIR No.397
dt: 19/5/2014
u/s 365 PPC
PS/Cantt.,D.I.Khan</t>
  </si>
  <si>
    <t xml:space="preserve">Mst. Muqadas Fatima w/o Umer Hayat, r/o Sohawa Bolani Jamlani, Tehsil &amp; Distt: Mandi Baha-ud-Din </t>
  </si>
  <si>
    <t>FIR No.1283
dt: 24/12/2014
u/s 365 PPC
PS/South Cantt.,Lahore</t>
  </si>
  <si>
    <t>FIR No.421
dt: 26/11/2014
u/s 365 PPC
PS D0aba, Distt. Hangu</t>
  </si>
  <si>
    <t>FIR No.140
dt: 04/06/2014
u/s 365 PPC
PS Daulatnagar, Distt. Gujrat</t>
  </si>
  <si>
    <t>Mst. Zohra Bibi m/o Missing Person, r/o  Gorejha, Bara Bandi, Tehsil &amp; Distt, Swat (Mobile No. 0312-78477191, 0342-865149)</t>
  </si>
  <si>
    <t xml:space="preserve">Mst. Benzair m/o Missing Person, r/o Sakha Kot Bazar, , P.O. Sakha Kot, Tehsil Dargai, Distt: Malakand (Mobile No. 0303-5997376). </t>
  </si>
  <si>
    <t>FIR No. 322
dt: 11-12-2014
u/s 365/34 PPC
PS. Pakistan Bazaar
District: West Karachi</t>
  </si>
  <si>
    <t xml:space="preserve">Deleted. Due to other Reasons. </t>
  </si>
  <si>
    <t>FIR No. 74
dt: 8-2-2014
u/s 365/34
PS. Naseerabad
District: Rawalpindi</t>
  </si>
  <si>
    <t xml:space="preserve">Traced Person. Confined in Adyala Jail in cas FIR No 76 dated 1.3.14 u/s 186/353/352 PPC </t>
  </si>
  <si>
    <t>FIR No.244
 dt.26/5/2014
 u/s365 PPC
 PS Kanju
 DistrictSwat</t>
  </si>
  <si>
    <t xml:space="preserve">Deleted. All stakeholders have denied arrest/custody of Muhammad Javed Khan s/o Haji Hamza Khan . No further action is required. Hence the case is closed.  </t>
  </si>
  <si>
    <t xml:space="preserve">Zia-ur-Rehman </t>
  </si>
  <si>
    <t>FIR No. 150
dt: 5/5/2014
u/s 365/34 PPC
PS. Sachal
District: Malir, Karachi</t>
  </si>
  <si>
    <t xml:space="preserve">Deleted. DSP Aftab Alam, Sindh Police appeared for hearing on 6.8.2018. He submitted progress report alongwith Roznamcha entry No. 39 dated 3.8.2018. As per Roznamcha entry contact was established with Mst. Aziz Zia but she did not respond positively. She did not appear before the investigation officer for recording her statement. Hence the case is closed. </t>
  </si>
  <si>
    <t>Syed Umer Hassan Hashmi s/o Syed Zahir Hussain  Hashmi</t>
  </si>
  <si>
    <t xml:space="preserve">Under Investigation (Punjab) Multan
</t>
  </si>
  <si>
    <t xml:space="preserve">Anjum Saeed Shah </t>
  </si>
  <si>
    <t>FIR No. 770
dt: 27-11-2013
u/s 365 PPC
PS. New Multan
District: Multan</t>
  </si>
  <si>
    <t>Traced Person.Confined in the  Internment Center Lakki Marwat as informed by Rep of MI at the hearing on 10.11.14.</t>
  </si>
  <si>
    <t>FIR No. 198
dt. 24/03/2014
u/s 365 PPC
P.S. MRS
District: Kohat</t>
  </si>
  <si>
    <t>Traced Person. Confined in the Internment Centre, Kohat as informed by Rep of MI at the hearing  on 25.8.15.</t>
  </si>
  <si>
    <t>Returned to Home and available at         (Mohallah Mian Gano, Korona Bara Bandah, P.O. Risalpur, Tehsil &amp; Distt: Nowshera)</t>
  </si>
  <si>
    <t>FIR No. 120
dt: 18-4-2014
u/s 365 PPC
P.S. Sihala
District: Islamabad</t>
  </si>
  <si>
    <t xml:space="preserve">Traced Person. Confined in the Internment Centre, Lakki Marwat as informed by Rep of MI at the hearing on 18.11.2014 </t>
  </si>
  <si>
    <t xml:space="preserve">Deleted. Cognizance of the case was taken by the Commission and directions issued to all stake holders vide letter dated 10.6.2014. Through investigation into the case has revealed that Gul Khan is an active member of Lashjar-e-Islami, Mangal Bagh and FM tracminia of LI were being relayed from Hujra of Gul Khan. There is neither any allegation against LEAs nor any eye witness of any incident of abduction. All stake holders have denied custody of Gul Khan. Hence, not a case of enforced disappearance. The case is closed. </t>
  </si>
  <si>
    <t>FIR No. 369, dt. 13/7/2014
u/s 365 PPC
P.S. Saidu Sharif
Ditt:Swat</t>
  </si>
  <si>
    <t xml:space="preserve">Noor Khan s/o Karam Khan, r/o Pindi Sirhal, Tehsil Jand, Distt: Attock </t>
  </si>
  <si>
    <t xml:space="preserve">Haji Ghulam Mohi-ud-Din s/o Fteh Muhammad, r/o Village Pind Mehri, Tehsil Hassan Abdal, Distt: Attock (0311-0002385) </t>
  </si>
  <si>
    <t>Mst. Anum Zarin w/o Waqas Shah, r/o House No. 89-1, Faisal Colony, Dodhwali Gali,  Golden Town, Karachi</t>
  </si>
  <si>
    <t xml:space="preserve">Deleted. The details of the cases indicate that the Missing Person Moti Ram was mentally retorted, as admitted by his father. Moti Ram disappeared on 4.7.2011. Neither there is any evidence of his abduction nor has any LEA been alleged in FIR No. 107/2011 u/s 365 PPC PS, Mithi, District Tharparkar. Hence, not a case of enforced disappearance and closed. </t>
  </si>
  <si>
    <t>Returned to Home and available at         (Neelgram, Tehsil Matta, Distt: Swat)</t>
  </si>
  <si>
    <t>Returned to Home and available at         (House No. D-90, Mohallah Gulistan-e-Johar, Block No. 9, Karachi)</t>
  </si>
  <si>
    <t>FIR No. 24
dt: 12-7-2013
u/s 363 PPC
P.S. Naseerabad
Lahore</t>
  </si>
  <si>
    <t xml:space="preserve">Traced Person. Killed due to firing by militants at Swat Seconds Port in Jamrud sub-Division as informed by SP (Inv) Swat at the hearing on 7.1.2015. </t>
  </si>
  <si>
    <t>Traced Person. Confined in the Internment Center Kohat  as informed by Rep of MI at the hearing on 21.5.2015.</t>
  </si>
  <si>
    <t xml:space="preserve">Under Investigation (KP)
Peshawar
</t>
  </si>
  <si>
    <t xml:space="preserve">Haji Bismillah Khan </t>
  </si>
  <si>
    <t xml:space="preserve">Masood Ahmed s/o Haji Bismillah Khan </t>
  </si>
  <si>
    <t>Returned to Home and available at         (Sector-19, Saeedabad, Baldia Town, Karachi)</t>
  </si>
  <si>
    <t xml:space="preserve">Asmat Ullah </t>
  </si>
  <si>
    <t xml:space="preserve">Abdul Baseer s/o Abdullah </t>
  </si>
  <si>
    <t xml:space="preserve">Deleted. The investigation carried out in this case and especially the satament of his friend Rizwan Hassan Akhtar indicate that the former was in Afghanistan. Later he was killed in some attack by NATO Forces.  </t>
  </si>
  <si>
    <t>FIR No. 26
dt: 25-1-2012
u/s 365 PPC
P.S. Mominaabd
District: West Karachi</t>
  </si>
  <si>
    <t>FIR No. 388
dt: 20-6-2013
u/s 346/342 PPC
P.S. Risalpur
District: Nowshera</t>
  </si>
  <si>
    <t>Under Investigation (KP)
Nowshera</t>
  </si>
  <si>
    <t>FIR No. 333 dt. 13/7/2014 u/s 365 PPC, PS Kanju  District Swat</t>
  </si>
  <si>
    <t>FIR No. 323 dt. 8/7/2014 u/s 365, PPC PS Kanju  District Swat</t>
  </si>
  <si>
    <t>FIR No. 355 dt. 12/7/2014 u/s 365/34, PPC, PS Kabal,  District Swat</t>
  </si>
  <si>
    <t xml:space="preserve">Sanaullah s/o Muhammad Gul </t>
  </si>
  <si>
    <t xml:space="preserve">Traced Person. Appeared before the Commission on 5.8.2014. </t>
  </si>
  <si>
    <t>FIR  No.390 dt.12/9/2014 u/s 365/34 PPC PS/Docks,District Kemari,South Karachi.</t>
  </si>
  <si>
    <t>Deleted. Despite repeated efforts the complainant did not enter appearance and refused to co-operate with Police. In these circumstance  the case was closed.</t>
  </si>
  <si>
    <t>FIR  No.290 dt.5/7/2014 u/s 365/34 PPC PS/Aziz Bhatti,District East, Karachi.</t>
  </si>
  <si>
    <t xml:space="preserve">Returned to Home and available at         (Mohallah Mian Gano Cham, Ali Grama, Tehsil Kabal, Distt: Swat </t>
  </si>
  <si>
    <t>Under Investigation (KP)
Dir Lower</t>
  </si>
  <si>
    <t xml:space="preserve">Under Investigation (FATA)
</t>
  </si>
  <si>
    <t xml:space="preserve">Abdullah s/o Mumtaz Khan </t>
  </si>
  <si>
    <t xml:space="preserve">Ahmed Khan, r/o Peer Panjah, Sub-Division of Mach, Distt: Kachi </t>
  </si>
  <si>
    <t>Traced Person.  The Traced Person confirmed the aforesaid position in his statement dated 23.11.2015 duly verified by reps of FC, Sindh South</t>
  </si>
  <si>
    <t xml:space="preserve">Sher Khan, r/o Peer Panjah, Sub-Division of Mach, Distt: Kachi. (Mobile No. 0345-8152760) </t>
  </si>
  <si>
    <t xml:space="preserve">Moj Ali, r/o Peer Panjah, Sub-Division of Mach, Distt: Kachi </t>
  </si>
  <si>
    <t xml:space="preserve">Muhammad Khalid Shaheen, r/o Mohallah Islamnagar, near Government Primary School, Gujrat </t>
  </si>
  <si>
    <t>FIR No. 193,
dt: 22-06-14
u/s 365 PPC
PS: Saddar Samundari
District: Faisalabad</t>
  </si>
  <si>
    <t>Traced Person. SP (Inv), Faisalabad, submitted   that Muhammad Zahid has Returned to Home and available at his given address.</t>
  </si>
  <si>
    <t>Under Investigation (KP)
malakand</t>
  </si>
  <si>
    <t xml:space="preserve">Muhammad Riaz s/o Zamin Shah </t>
  </si>
  <si>
    <t xml:space="preserve">C/o Haji Saeed Gul, r/o Tootkhas Dakhli, Tehsil Tal, District Hangu </t>
  </si>
  <si>
    <t xml:space="preserve">Noor Gul, r/o Faizabad, Saidu Sharif, Distt: Swat </t>
  </si>
  <si>
    <t xml:space="preserve">Traced Person. Dead body recovered. Mandatory formalities envisagat </t>
  </si>
  <si>
    <t>Manzoor Ahmed Baloch s/o Daad Muhammad Baloch, r/o Kali Sharifabad, Zarghoon Road, Quetta  (Mobile No. 0300-9388929)</t>
  </si>
  <si>
    <t>FIR No. 79
dt: 11-5-2014
u/s 364 PPC 
P.S. Essa Khel, 
District: Mianwali</t>
  </si>
  <si>
    <t>FIR No. 322
dt: 7/11/2014
u/s 365/34 PPC 
P.S/Site,Super Highway,Industrial Area,District Malir,Karachi.</t>
  </si>
  <si>
    <t>Returned to Home and available at         (Gulshan Baloch, Mudarsa Ali Moavia, Muhammadi Masjid, Yousaf Sahib Khan Goth, Karach.)</t>
  </si>
  <si>
    <t>Returned to Home and available at         (Baghdadi Fida Hussain Sheikh Road, Liyari Town, Karachi)</t>
  </si>
  <si>
    <t xml:space="preserve">Under Investigation (KP)
Charsadda
</t>
  </si>
  <si>
    <t>FIR No. 132 dt,7/11/2014
u/s 365/34 PPC
PS. Pinyari,District Hyderabad</t>
  </si>
  <si>
    <t>FIR No. 284
dt: 2/8/2014
u/s 365 PPC
PS. Westridge
Distt: Rawalpindi.</t>
  </si>
  <si>
    <t xml:space="preserve">Waqar s/o Said Anwar </t>
  </si>
  <si>
    <t xml:space="preserve">Under Investigation (KP)
Mardan
</t>
  </si>
  <si>
    <t xml:space="preserve">Under Investigation (KP)
Swat
</t>
  </si>
  <si>
    <t xml:space="preserve">Muhammad Mansoor s/o Maqsood Ahmed </t>
  </si>
  <si>
    <t xml:space="preserve">Traced Person. It was informed at the hearing held in this Commission on 10/07/2018 that Muhammad Mansoor has returned to home. The statements of the traced person has been recorded u/s 164 CrPC, which is available on record. 
</t>
  </si>
  <si>
    <t>Returned to Home and available at         ( House No. 4, Muhallah Main Chamber Road, Tandwalah Yar, Sindh)</t>
  </si>
  <si>
    <t>Returned to Home and available at         (House No. 39-40, Ward No. 7, New Colony, Degree, Distt: Mirpur Khas, Sindh)</t>
  </si>
  <si>
    <t>Returned to Home and available at         (House No. 1177, Mohallah Pak Colony, Tandwala Yar, Sindh )</t>
  </si>
  <si>
    <t>Returned to Home and available at         ( House No. 1177, Mohallah Pak Colony, Tandwala Yar, Sindh)</t>
  </si>
  <si>
    <t xml:space="preserve">Muhammad Saqib Qaim Khani s/o Muhammad Abbas Qaim Khani </t>
  </si>
  <si>
    <t>Returned to Home and available at         (House No. 16, Mohallah Meerwa Naka Rajput Colony, Tandwala Yar, Sindh)</t>
  </si>
  <si>
    <t>Returned to Home and available at         (House No. 16/BW898, Makhi Para, Tandwala Yar, Sindh)</t>
  </si>
  <si>
    <t>Sarfraz Khan s/o  Haji Zahir Jan, C/o Tahir Motors &amp; Property Advisor, near Civil Hospital, Opposite Kohat CNG, Fateh Jang, Distt: Attock (Mobile No. 0301-8325730)</t>
  </si>
  <si>
    <t xml:space="preserve">Traced Person. It was informed at the hearing on 11/07/2018 that Amir Sultan has returned to home. He has however could not furnish details regarding place of detention and persons involved in his disappearance. 
</t>
  </si>
  <si>
    <t xml:space="preserve">Under Investigation (Punjab)
Gujrat
</t>
  </si>
  <si>
    <t xml:space="preserve">Traced Person. It has been intimated that at the hearing on 30/10/2018 that Fazal Rahim has been traced. He is presently confined in Internment Center at Fizaghat. Family members of Fazal Rahim shall be facilitated to see him in the Internment Center as per rules and procedures. </t>
  </si>
  <si>
    <t>Toty f/o Missing Person, r/o  Mohallah Zemtangy, Karakar, P.O. Barikot, Tehsil &amp; Distt: Swat (Mobile No. 0313-1994876)</t>
  </si>
  <si>
    <t xml:space="preserve">Abid Mehmood, C/o Ayaz Shopkeeper, P.O. Kholiyan Bala, Tehsil &amp; Distt: Haripur (Mobile No. 0336-9892980, 0312-5915563) </t>
  </si>
  <si>
    <t xml:space="preserve">FIR No.432 dt.14/9/2014 u/s 365 PPC,PS Kanju District Swat </t>
  </si>
  <si>
    <t xml:space="preserve">Deleted. In the Proforma submitted for the Missing Person there is no allegation against any LEA/ Intelligence Agency. The case has been categorized as the Missing Person has gone on his own by JIT and PTF. There is denied on the part of all stakeholders for his arrest/ custody of Muhammad Moosa. The complainant Mst. Roshnaz Begum entered appearance on 22.2.2022 and her statement was recorded on oath. She could not provide any eye account regarding abduction of her husband. Hence, not a case of enforced disappearance. The case is closed. 
</t>
  </si>
  <si>
    <t xml:space="preserve">Under Investigation (KP)
Bannu
</t>
  </si>
  <si>
    <t xml:space="preserve">Mst. Bibi Hajra w/o Muhammad Tayyab, r/o Mohallah Malangabad, P.O. Butkhela, Amandra Al-Dand, Tehsil Swat Ranzai, Distt: Malakand </t>
  </si>
  <si>
    <t>Daily Diary Entry No.27 dated  15/01/2015
PS/Jarma District Kohat.</t>
  </si>
  <si>
    <t xml:space="preserve">Taj Muhammad s/o Mian Saeed, r/o Shore Bala, Sheri Gul, Tehsil &amp; Distt: Dir </t>
  </si>
  <si>
    <t xml:space="preserve">Traced Person. Confined in the Internment Centre Lakki Marwat as informed by Ministry of Defence.
</t>
  </si>
  <si>
    <t xml:space="preserve">Traced Person. Confined in the Internment Center Lakki Marwat as informed by SP (Inv) Swat at the hearing on 1.12.14. </t>
  </si>
  <si>
    <t>FIR No. 299
dt: 24-7-2013
u/s 365/34 PPC
P.S. Saeedabad
District: West Karachi</t>
  </si>
  <si>
    <t>Daily Diary Entry No.14 dated  17/9/2014
PS/Loralai,District Loralai.</t>
  </si>
  <si>
    <t>Traced Person. DPO Loralai submitted statement from Muhammad Nazir at the leaving on 25.2.15 that he was  called by FIU for some inquiry but not arrested.</t>
  </si>
  <si>
    <t>Returned to Home and available at         (House No. 135, Block-A, Eidu Goth, Gali No. 2, Pepri, Bin Qasim, Malir, Karachi)</t>
  </si>
  <si>
    <t xml:space="preserve">2179 - K </t>
  </si>
  <si>
    <t xml:space="preserve">Umer Rehman s/o Syed Rehman </t>
  </si>
  <si>
    <t xml:space="preserve">Under Investigation (KP)
Swat
</t>
  </si>
  <si>
    <t xml:space="preserve">Under Investigation (Sindh)
</t>
  </si>
  <si>
    <t>Mst. Jahan Sardara d/o  Muhammad Ameen Khan, r/o Village Safaid Dheri, Peshawar near KTH Peshawar (Mobile No. 0345-9022583</t>
  </si>
  <si>
    <t>Traced Person. Confined in  the Internment Center, Fizaghat as informed by Rep of MI at the hearing on 9.11.2016.</t>
  </si>
  <si>
    <t xml:space="preserve">Under Investigation (KP)
D.I. Khan
</t>
  </si>
  <si>
    <t xml:space="preserve">Under Investigation (KP)
Swabi
</t>
  </si>
  <si>
    <t xml:space="preserve">Under Investigation (Punjab) Lahore
</t>
  </si>
  <si>
    <t xml:space="preserve">2194 - K 6020-K </t>
  </si>
  <si>
    <t xml:space="preserve">Muhammad Wali s/o Noor Muhammad </t>
  </si>
  <si>
    <t xml:space="preserve">Under Investigation (KP)
Peshawar
</t>
  </si>
  <si>
    <t xml:space="preserve">Under Investigation (KP)
Swat
Upper Dir
</t>
  </si>
  <si>
    <t>Traced  Person.Confined in the Internment Center Malakand as informed by Rep of MI at the hearing on 3.12.2014.</t>
  </si>
  <si>
    <t>Traced Person. Confined in the  Internment Center Malakand as informed by Rep of MI at the hearing on 3.12.14.</t>
  </si>
  <si>
    <t xml:space="preserve">Under Investigation (KP)
</t>
  </si>
  <si>
    <t>FIR No. 413
dt.22/10/2014
u/s 365 PPC
PS. Civil Lines,D.G.Khan</t>
  </si>
  <si>
    <t>FIR No. 363 dt.14/5/2014 u/s 365 PPC
PS. KIA, District East,
Karachi</t>
  </si>
  <si>
    <t>FIR No. 74
dt: 16-5-2014
u/s 365/34 PPC
PS. Airport
Karachi</t>
  </si>
  <si>
    <t xml:space="preserve">Abdullah Yaqoob s/o Yaqoob Mansoor </t>
  </si>
  <si>
    <t xml:space="preserve">Traced Person. It was informed at the hearing held on 19/10/2018 that Hafiz Ali Bahadur has been traced. He is presently confined in Internment Center Fizaghat. Family members of Hafiz Ali Bahadur shall be facilitated to see him in the Internment Center as per rule and procedures. </t>
  </si>
  <si>
    <t>Traced Person. Confined in  the Internment Center Kohat as informed by Rep of MI at the hearing on 3.12.2014.</t>
  </si>
  <si>
    <t>Mst. Syeda Umm-e-Farwa Batool d/o  Syed Shams Hussain Shah, r/o Kotla Jam, Tehsil &amp; Distt: Bhakkar (Mobile No. 0332-7892567)</t>
  </si>
  <si>
    <t>Traced Person. Confined in the Internment Center Alizai  as informed by rep of FC KP at the hearing on 05-11-2017.</t>
  </si>
  <si>
    <t>FIR No.156 dt.6/4/2014 u/s 365/34  PPC,PS/Zaman Town District East,Karachi.</t>
  </si>
  <si>
    <t>FIR No.241 dt.14/8/2012 u/s 365/34  PPC,PS/Pak Colony, District West,Karachi.</t>
  </si>
  <si>
    <t>FIR No. 694, 
dt: 12-8-2014
u/s 365 PPC
PS. Johar Town,
Lahore</t>
  </si>
  <si>
    <t xml:space="preserve">Under Investigation (Punjab)
</t>
  </si>
  <si>
    <t>FIR No. 245, 
dt: 2-7-2014
u/s 365 PPC
PS. Nowshera Cantt,
Nowshera</t>
  </si>
  <si>
    <t xml:space="preserve">Under Investigation 
</t>
  </si>
  <si>
    <t xml:space="preserve">Ashraf Ali Shah s/o Hazrat Mashal </t>
  </si>
  <si>
    <t xml:space="preserve">Under Investigation (Swat) 
</t>
  </si>
  <si>
    <t xml:space="preserve">Mumtaz Ali Shah s/o Hazrat Mashal </t>
  </si>
  <si>
    <t xml:space="preserve">Under Investigation (Sindh) 
</t>
  </si>
  <si>
    <t>FIR No.24 dt.1/7/2014 u/s 365/34 PPC PS Railways District  Cantt. Station,Karachi</t>
  </si>
  <si>
    <t>FIR No.321 dt.24/6/2013 u/s 365/34 PPC PS/Sachal District  Malir East,Karachi</t>
  </si>
  <si>
    <t xml:space="preserve">Under Investigation (KPK)
Charsadda
</t>
  </si>
  <si>
    <t xml:space="preserve">Ajab Khan s/o Molana Hazrat Shah, r/o Manshera, Tehsil &amp; P.O Ogi, Distt: Manshera (Mobile No. 0342-9535658, 0301-4851675) </t>
  </si>
  <si>
    <t xml:space="preserve">Under Investigation (KPK) Mardan
</t>
  </si>
  <si>
    <t>Traced Person.  Confined in the Internment Center Lakki Marwat as informed by Rep of MI at the hearing held on 3.6.2015.</t>
  </si>
  <si>
    <t xml:space="preserve">Abzeer Ali s/o Yar Muhammad </t>
  </si>
  <si>
    <t xml:space="preserve">Traced Person. It is intimated at the hearing on 30/10/2018 that  Abzeer Ali has been traced. He is presently confined in Internment Center Paithom. Sher Ali Khan brother of Missing Person was present who was apprised of the status of the case. Family members of Abzeer Ali shall be facilitated to see him in the Internment Center as per rule and procedures. 
</t>
  </si>
  <si>
    <t xml:space="preserve">Under Investigation (KPK) Swat
</t>
  </si>
  <si>
    <t xml:space="preserve">Under Investigation (Punjab)
Rawalpindi
</t>
  </si>
  <si>
    <t xml:space="preserve">Under Investigation (Bal)
</t>
  </si>
  <si>
    <t xml:space="preserve">Under Investigation (Punjab) Rawalpindi
</t>
  </si>
  <si>
    <t xml:space="preserve">MoFAs No.10005289 </t>
  </si>
  <si>
    <t>FIR No. 87
dt: 2/10/2014
u/s 365/34 PPC
PS. Civil Lines,District South,Karachi.</t>
  </si>
  <si>
    <t>Traced Person. Returned to Home and available at         Chak No. 6/AH, Khanewal. Apperaed before the Commission on 13.7.2017.</t>
  </si>
  <si>
    <t xml:space="preserve">Traced Person. Complainant, Shakeel Ahmed Abbasi appeared before the Commission on 20.6.2019, whose statement has been recorded on oath. Waqar Ahmed Abbasi returned to home on 26.4.2019. 
</t>
  </si>
  <si>
    <t xml:space="preserve">  </t>
  </si>
  <si>
    <t xml:space="preserve">Muhammad Khaid Fareed s/o Ghulam Fareed </t>
  </si>
  <si>
    <t xml:space="preserve">Traced Person. Father of Muhammad Khalid Fareed confirmed at the hearing on 8.9.2015 that his son in confined in District Jail, D.G.Khan in FIR 174 dated 15.7.15 u/s 13 (2) </t>
  </si>
  <si>
    <t xml:space="preserve">Closed. The complainant remained absent at the hearing held in this case, which has been categorized as that of voluntary disappearance by JIT, Dr. FTD. Reps of MI and ISI have submitted that found check was carried out which reveled that Faridullah Khan was neither arrested nor held in custody. Accordingly the case is closed for being not a case of enforced disappearance. 
</t>
  </si>
  <si>
    <t xml:space="preserve">Zahir Shah s/o Muhammad Khan </t>
  </si>
  <si>
    <t>FIR No. 826
dt: 22/12/2014
u/s 365 PPC
PS Dhulley District Gujranwala.</t>
  </si>
  <si>
    <t>FIR No. 329
dt: 01/12/2014
u/s 365 PPC
PS Saddar
District Manshera</t>
  </si>
  <si>
    <t xml:space="preserve">Under Inv  Balochistan
</t>
  </si>
  <si>
    <t>FIR No. 676
dt:26/12/2014
u/s 365 PPC
P.S. Shahzad Town,Islamabad</t>
  </si>
  <si>
    <t xml:space="preserve">Traced Person. Khursheed Ali has been traced. According to report furnished at the hearing on 27/12/2018 by Rep of MI Khursheed Ali is presently confined in the Internment Center Fizaghat. Family members of Khursheed Ali shall be facilitated to see him in the Internment Center. 
</t>
  </si>
  <si>
    <t xml:space="preserve">Deleted. After thorough investigation, JIT and PTF concluded that the “Missing Person has gone on his own” as no clue could be found to indicate involvement of any Law Enforcement / Intelligence Agency in his disappearance. All stakeholders denied his arrest / custody. The complainant was summoned twice for recording his statement but he did not turn up. Hence, the case is closed not being a case of enforced disappearance.
</t>
  </si>
  <si>
    <t>FIR No. 153
dt: 15/10/2014
u/s 365/34 PPC
P.S/Airport,District Malir East,Karachi.</t>
  </si>
  <si>
    <t>FIR No. 530
dt: 20/12/2014
u/s 365 PPC
P.S/Wahndo,District Gujranwala.</t>
  </si>
  <si>
    <t>Returned to Home and available at         (Mureed Shakh, Goth Lashkran, P.O Khambra, Tehsil Obaro, Distt: Gothaki)</t>
  </si>
  <si>
    <t xml:space="preserve">Nadir Khan s/o Raees Khan </t>
  </si>
  <si>
    <t>FIR No. 89
dt: 14-4-2013
u/s 365/34 PPC
P.S. Mithadar
Distt: South Karachi</t>
  </si>
  <si>
    <t>Returned to Home and available at         (House No. 92, Mohallah 5-A/L Qasba Colony, Orangi Town, Karachi)</t>
  </si>
  <si>
    <t>FIR No.288
dt:18/9/2014
u/s 365 PPC
P.S/Kalakot
Distt: South Karachi</t>
  </si>
  <si>
    <t xml:space="preserve">Deleted. After thorough investigation into the case, it came to notice that Qari Siraj was affiliated with Treek-eTaliban Pakistan and went Afghanistan several times to take part in the war. JIT concluded that he had gone on his own. Hence, not a case of enforced disappearance and closed. </t>
  </si>
  <si>
    <t>Mst. Jannat Nazeera w/o Mian Gul Sheeren,  r/o Meera, Dardhal, P.O Deolai, Tehsil &amp; Distt: Swat (Mobile No. 0345-0597336)</t>
  </si>
  <si>
    <t xml:space="preserve">2299 - K
</t>
  </si>
  <si>
    <t xml:space="preserve">Fazal Ahmed s/o Azeem Khan </t>
  </si>
  <si>
    <t>FIR No. 50
dt: 23-18-2013
u/s 365/34PPC
PS. City
Distt: Manshera</t>
  </si>
  <si>
    <t xml:space="preserve">2306 - S
</t>
  </si>
  <si>
    <t>FIR No. 642
dt: 1/7/2014
u/s 365 PPC
P.S. Millat Town
Distt: Faisalabad</t>
  </si>
  <si>
    <t>FIR No. 158
dt: 25/2/2015
u/s 365 PPC
P.S. Khazana District Peshawar.</t>
  </si>
  <si>
    <t xml:space="preserve">Under Investigation (KPK) Peshawar
</t>
  </si>
  <si>
    <t xml:space="preserve">Under Investigation (KPK) Swat
</t>
  </si>
  <si>
    <t>FIR No.613 dt.30/12/2014 u/s 365 PPC  PS/Kanju District Swat.</t>
  </si>
  <si>
    <t>Returned to Home and available at         (House No. 353, Gali No. 17, Block-B, Faqeera Goth, near Gulshan-e-Memar, Karachi )</t>
  </si>
  <si>
    <t xml:space="preserve">Mst. Amber Zakria, w/o Ahmed Zakria, r/o House No. A-01, Crown Plaza, Shadman Town, Karachi </t>
  </si>
  <si>
    <t>Returned to Home and available at         (House No. A-01, Crown Plaza, Shadman Town, Karachi.)</t>
  </si>
  <si>
    <t>Sohaib Ahmed Qudwai s/o  Shabbir Ahmed Qudwai, r/o B-81, Block-I, North Nazimabad, Karachi (Mobile No. 0314-2179090)</t>
  </si>
  <si>
    <t xml:space="preserve">Traced Person. Bakhat Mareen has been traced. According to the report received from Rep of MI, Bakhat Mareen is presently confined in the Internment Center Fizagat. Izzat Mareen person is present. He has been apprised of status iof the case. </t>
  </si>
  <si>
    <t xml:space="preserve">Traced Person. As informed at the hearing on 01/10/2018 Amjad Hussain has been traced. He is presently confined in Internment Center Paithom. Family members shall be facilitated to see him in the Internment Center Paithom as per rule and procedures. </t>
  </si>
  <si>
    <t xml:space="preserve">Under Investigation (FATA)
</t>
  </si>
  <si>
    <t xml:space="preserve">Mst. Anwar Begum w/o Akhtar Ali, r/o Village Cham Sangota, Distt: Swat </t>
  </si>
  <si>
    <t xml:space="preserve">Under Investigation (KP)
Hangu
</t>
  </si>
  <si>
    <t xml:space="preserve">Under Investigation (KP)
Mardan
</t>
  </si>
  <si>
    <t xml:space="preserve">Under Investigation (FATA) 
</t>
  </si>
  <si>
    <t>FIR No.518 dt.31/8/2015 u/s 365/34 PPC              PS Site-A,Karachi</t>
  </si>
  <si>
    <t xml:space="preserve">Deleted. SDPO Site Karachi submitted that father of the Missing Person made statement that he came to known after seven years that his son had been martyred that he was living in Swat with his family and requested to closed his case. Accordingly, no further action is required. The case is closed.   </t>
  </si>
  <si>
    <t xml:space="preserve">Bakhat Afsar s/o Sultan Ahmed </t>
  </si>
  <si>
    <t xml:space="preserve">Sultan Akbar s/o Haji Gulzar </t>
  </si>
  <si>
    <t>Shaugfta Bibi  w/o Alim Gir, r/o Mohallah Dehri Baba, Aligrama, Tehsil Kabal, Distt: Swat. (Mob No.0343-9584824).</t>
  </si>
  <si>
    <t>Mst. Fatima w/o Sher Bahdur, r/o Mohallah Gulistan, Gali No. 2, Koza Bandi, Tehsil  Kabal, Distt: Swat. (Mob No.0331-9912570).</t>
  </si>
  <si>
    <t xml:space="preserve">Traced Person. It was informed at the hearing held in this Commission on 12.6.2019 that Guli Akbar is confined in the Internment Center Fizaghat, Swat as per report of MI.  </t>
  </si>
  <si>
    <t>Muhammad Babar s/o Muhammad  Tariq Butt</t>
  </si>
  <si>
    <t>Traced Person. Returned to Home and available at   Hussan Town, Datta Street, Lahore, as informed at the hearing on 25.10.2016</t>
  </si>
  <si>
    <t xml:space="preserve">Traced Person. It was informed aty the hearing held on 19/10/2018 that Rehmat Ullah has been traced. He is presently confined in Internment Center Paithom. Family members if Rehmat Ullah shall be facilitated to see him in the Internment Center as per rule and procedures. </t>
  </si>
  <si>
    <t>FIR No.677  dt.03/7/2015 u/s 365 PPC,PS/Nawagai District Buner</t>
  </si>
  <si>
    <t>FIR No.423  dt.03/7/2015 u/s 365 PPC,PS Totalai District Buner</t>
  </si>
  <si>
    <t xml:space="preserve"> Bonair</t>
  </si>
  <si>
    <t xml:space="preserve">Akbar Saeed s/o Mian Zarin </t>
  </si>
  <si>
    <t>FIR No.12  dt.02/9/2015 u/s 365/34 PPC,PS/Jamshoro, Hyderabad.</t>
  </si>
  <si>
    <t xml:space="preserve">Wahid Baloch </t>
  </si>
  <si>
    <t>Traced Person. Returned to Home and available at         (Mohallah Baloch colony, Jamshoro Distt: Jamshoro.)</t>
  </si>
  <si>
    <t>2375-K
2277-K</t>
  </si>
  <si>
    <t xml:space="preserve">Traced Person. Hashmdad Khan father of the Missing Person Hassad Dad appeared and submitted statement that Hasan Dad was released on bail and residing with family. Hence no further action is required. The case is closed. </t>
  </si>
  <si>
    <t>Traced Person.  Returned to Home. Appeared brfore the Commission on 6.1.2015. Stated that he went to Sehwan Sharif.</t>
  </si>
  <si>
    <t>Mst. Zahida Perveen w/o  Abdul Ahad Khan (Late), r/o House No. 26/6, Z-Block, Satellite Town, Jhang (Mobile No. 0333-5961215 &amp; 0345-7508300, Tel No. 0477-610666)</t>
  </si>
  <si>
    <t xml:space="preserve">Returned to Home </t>
  </si>
  <si>
    <t>Traced Person.  Confined in the Internment Center Lakki Marwat as informed by Rep of MI at the hearing on 3.6.2015.</t>
  </si>
  <si>
    <t xml:space="preserve">Gullab Zareen s/o Muhammad Zareen </t>
  </si>
  <si>
    <t xml:space="preserve"> Peshawar</t>
  </si>
  <si>
    <t>FIR No.109  dt.11/12/2012 u/s 365/34 PPC PS Civil Lines, District South,Karachi.</t>
  </si>
  <si>
    <t>Syed Raaz Muhammad  s/o Syed Khamat Agha</t>
  </si>
  <si>
    <t xml:space="preserve">Syed Jan Muhammad s/o Syed Ameer Gul </t>
  </si>
  <si>
    <t>Muhammad Kamal s/o Fazal Mosa, r/o Village Parikas, Tehsil Lal Qila,Distt;  Uppar Dir. (Mob No.0303-5109334)</t>
  </si>
  <si>
    <t>Syed Tahir Ali, r/o House No. 129, Street  No. 1, Block-A, Sirjani Town, New Karachi. (Mobile No. 0331-2110392)</t>
  </si>
  <si>
    <t xml:space="preserve">Traced Person. Disappeared Person Syed Ashraf Ali was found in detention of C.I.D. Later he was granted bail and released. His father confirmed the above stated position. </t>
  </si>
  <si>
    <t>Traced Person. Confined in  Central Jail , Multan as a case is registered against him u/s 7 ATA and 4/5 ESA.</t>
  </si>
  <si>
    <t xml:space="preserve">Deleted. The case is closed for the reasons to be recorded separately. The Investigation Agency however should continue investigation of the case in accordance with law. </t>
  </si>
  <si>
    <t xml:space="preserve"> 2431-S 6009-S</t>
  </si>
  <si>
    <t xml:space="preserve">FIR No.139 dt .12/03/2015 u/s 365 PPC PS Jhal Chakian, District Sargodha  </t>
  </si>
  <si>
    <t>Traced Person. Confined in District Jail Sargodha in case FIR No. 674 dated  7.10.16 u/s 4/5 ESA, 7-ATA 21-C, 20/65, 13/2-C at the PS Jhal Chakian,Sargodha.</t>
  </si>
  <si>
    <t>Mian Gul Wahid  s/o Mian Aqal Jan, r/o House No. 13, Mohallah MPR Colony, Mangho Peer Road Block-A, Karachi West. (Mobile No. 0346-3252834)</t>
  </si>
  <si>
    <t xml:space="preserve">Nil </t>
  </si>
  <si>
    <t xml:space="preserve">Mst. Tanseer Bibi w/o Muhammad Rajjab Khan, r/o Village Majuhan, District Abbottabad. </t>
  </si>
  <si>
    <t xml:space="preserve">Mst. Aalia, w/o Syed Alam, r/o Village Barikot, Faizalabad, Swat. </t>
  </si>
  <si>
    <t>Zubair s/o  Ghulam Abbas</t>
  </si>
  <si>
    <t>Mst. Noor Jahan, w/o Ghulam Abbas, r/o House No. 376, Gharib Abad Goth,  Karachi. (Mobile No. 0324-8048107)</t>
  </si>
  <si>
    <t>Traced Person. Confined in the Internment  Center, Kohat as informed by Rep of MI at the hearing on 3.6.2015.</t>
  </si>
  <si>
    <t xml:space="preserve">Traced Person. Hafiz Abdullah appeared before the Commission on 1/7/2019 whose statement has been recorded on oath. According to him he was picked up on 26/27 August, 2013 and taken away blindfolded by some unknown persons. He has also submitted that he was kept at some unknown place and released on 28/7/2018. </t>
  </si>
  <si>
    <t xml:space="preserve">Deleted. Not a Case of Enforced Disappearances as Muhammad Ajmal reached Tribal Area the next day of abduction. </t>
  </si>
  <si>
    <t xml:space="preserve">Nazir Ahmed, r/o Akhtarabad Killi Dildar, Quetta. (Mobile No. 0336-8147390)
</t>
  </si>
  <si>
    <t xml:space="preserve">Under Investigation (Bal) </t>
  </si>
  <si>
    <t xml:space="preserve">Traced Person. Aurangzeb s/o Babu Abdul Nabi appeared on 12/12/2018 in person, whose statement was recorded on oath. According to him he was picked up and taken blindfolded while he was in his way to home at Mastung and kept in some unknown place. During this period he was neither interrogated nor those persons tortured him. He was set free and released a few months back at Kat Kucha and came back to his house. </t>
  </si>
  <si>
    <t>Deleted. Not a case of  enforced disappearance, as the Missing Person was suffring from epilepy and under treatment at Karachi.</t>
  </si>
  <si>
    <t xml:space="preserve">Deleted (Not a case of Enforced Disappearances) no Missing Person is a constable went out for bringing water did not came back. No allegation against any LEAs. </t>
  </si>
  <si>
    <t xml:space="preserve">Muhammad Shafique Khan s/o Sina Jan, r/o House No. 1562, Street No. 92/2, Old Muzaffarabad Colony Landhi, Karachi. </t>
  </si>
  <si>
    <t>Doonger Singh s/o Pabudan Singh, r/o Village Goasro, Deh Renak Dehar, Taluka Khipro, District Sanghar. (Mobile No.  0345-2801929)</t>
  </si>
  <si>
    <t>Mst.Marjana, d/o Gul Pir, r/o  Jarma Camp, Kohat.(Mobile No.0344-8606141 &amp; 0346-9291801)</t>
  </si>
  <si>
    <t>Bakhat Munir s/o Qamar Khan,  r/o House No. B-44, Iqbal Goth, Kunwari Colony, Main Manghopir  Road, Karachi. (Mobile No.0346-1129773)</t>
  </si>
  <si>
    <t>Muhammad Aslam s/o Allah Dad, r/o P.O Jamalpur Chudia, Tehsil Hasilpur District:  Bahawalpur. (Mobile No. 0307-2065205)</t>
  </si>
  <si>
    <t xml:space="preserve">Traced Person. SP (Inv) Bannu confirmed at the hearing on 2.3.16 that Gul Badin has returned to home. Younger brother also confirmed </t>
  </si>
  <si>
    <t xml:space="preserve">Muhammad Usman s/o Muhammad Baksh, r/o Basti Kanjo, Tehsil Tounsa District Dera Ghazi Khan. </t>
  </si>
  <si>
    <t>Mian Muhammad Yousaf, r/o House No. 15 , Block -H,Sabza Zar Scheme, Multan Road, Lahore.  (Mobile No. 0333-4275896)</t>
  </si>
  <si>
    <t>Muhammad Bilal, r/o House  No. 06 Street No. 02 Haseeb Shaheed Colony, Faisalabad   (Mobile No. 0300-7297161)</t>
  </si>
  <si>
    <t xml:space="preserve">Deleted . A number of hearings held in this case by the Commission. JIT concluded it to be a case of car snatching which PTF says it to be case of gone on his own. All agencies have denied his apprehension/custody. Hence nota a case of enforced disappearance. </t>
  </si>
  <si>
    <t xml:space="preserve">Traced Person. Appeared before the Commission on 4.2.16. He lighlighted the fact, but could not identify the assailants. </t>
  </si>
  <si>
    <t xml:space="preserve">Fazal Rehman s/o Muhammad Roshan </t>
  </si>
  <si>
    <t xml:space="preserve">Muhammad Roshan s/o Gul Muhammad, r/o Lala Abad, Sector F-2, Landhi Malir, Karachi. </t>
  </si>
  <si>
    <t xml:space="preserve">Fahad Iqbal s/o Muhammad Iqbal </t>
  </si>
  <si>
    <t>Mst. Tamam Bibi, w/o Dawood Gul , r/o House No. 307, Shahi Mohallah, Orangi Town, Karachi.          (Mobile No 0300-2298671)</t>
  </si>
  <si>
    <t xml:space="preserve">Noshad Khan s/o Shabbir Ahmed </t>
  </si>
  <si>
    <t xml:space="preserve">Abdul Salam s/o Irfan </t>
  </si>
  <si>
    <t xml:space="preserve">Muhammad Sajid </t>
  </si>
  <si>
    <t>Syed Faraz Alam  s/o Syed Nayyar Alam</t>
  </si>
  <si>
    <t xml:space="preserve">Muhammad Mansoor s/oMuhammad Umar  </t>
  </si>
  <si>
    <t>Faridullah Shah  r/o Muhallah Telegram, Saidu Sharif, Mingora, District Swat (Mobile No. 0341-9402712)</t>
  </si>
  <si>
    <t xml:space="preserve">Under Investigation(KP) Peshawar </t>
  </si>
  <si>
    <t>Traced Person. Facing Trial in  Jail</t>
  </si>
  <si>
    <t xml:space="preserve">Under Investigation (Sindh) Karachi </t>
  </si>
  <si>
    <t>Muhammad Arslan  s/o Muhammad Aslam</t>
  </si>
  <si>
    <t>Traced Person.  Confined in the Internment Center Fort Salop, Khyber Agency as informed at the hearing on 8.7.2015 by Rep of MI.</t>
  </si>
  <si>
    <t xml:space="preserve">Under Investigation (Islamabad) </t>
  </si>
  <si>
    <t>Muhammad Irfan Afzal, r/o  Village Bulbul Khurd, P.O Pari Daraveza, District Jehlum. (Mobile No. 0346-4498390)</t>
  </si>
  <si>
    <t>Irfan Ali  s/o Ghulam Nabi</t>
  </si>
  <si>
    <t xml:space="preserve">Haji Amanullah, r/o Bughti Colony, Sui, Dera Bughti. </t>
  </si>
  <si>
    <t xml:space="preserve">Traced Person. It was informed at the hearing held in this Commission on 8.1.2020 that dead body of Missing Person Waseem-ul-Zaman was recovered, which was buried by Edhi Foundation on 6.7.2016. He was involved in Crime vide FIR No. 183,184,185/206 dated 28.6.2016. Brother Yasir Zaman confirmed in his written statement. </t>
  </si>
  <si>
    <t>Traced Person. I.O, submitted report  that Missing Person Mirza Mehmood Ali Baig has Returned to Home and available at his house in  House No. B/15, Block-10/A, Central Government Cooperation Society, Gulshan-e- Iqbal, Karachi.</t>
  </si>
  <si>
    <t>Mst. Farahat Bano, r/o  House No. E-306, Sarah Avenue, Phase No. II, Gulzar-e-Hijri Scheme No. 33, Karachi. (Mobile No.0312-8674203)</t>
  </si>
  <si>
    <t>Under Investigation (Sindh)  Karachi</t>
  </si>
  <si>
    <t>Muhammad Rizwan  Khan s/o Muhammad Shamim Khan</t>
  </si>
  <si>
    <t>Deleted. The case has been closed due to non-prosecution by the complainant. He neither extended co-operation  to the Investigation Officer/ Police nor attended hearing held in the case on 28.5.2019 and 30.10.2019, It may also be mentioned that CP No. 1506/2015 was also dismissed by  the High Court of Sindh vide Order dated 11.9.2019 due to non-prosecution.</t>
  </si>
  <si>
    <t xml:space="preserve">Deleted. The case has been deleted due to non-prosecution as the complainant neither extended co-operation to the Investigation Officer nor attended hearing held on 21.2.2019, 27.3.2019, 12.6.2019, 6.11.2019 despite notices SDPO, Saeedabad Sub- Division, Karachi informed the same position in his report. Moreover writ petition No. 2079/2015 was also dismissed on the same account. </t>
  </si>
  <si>
    <t>Mst. Sonia, r/o House No.03, Sector No. 48/C,  Near W-22 Bus Stop, Korangi, Karachi. (Mobile No 0312-3982133)</t>
  </si>
  <si>
    <t xml:space="preserve">Traced Person. It was informed at the hearing on 19/10/2018 that Usman Ali has been traced. He is presently confined in Internment Center Fizaghat. Family members of Usman Ali shall be facilitated to see him in the Internment Center as per rules and procedures. </t>
  </si>
  <si>
    <t xml:space="preserve">Traced Person. Rafaqat Hussain, SHO, Saddar, Rawalpindi, submitted that the Missing Person has Returned to Home and available at        House No. KH- 1313,Hanif Line, Dhamial Road Rawalpindi. </t>
  </si>
  <si>
    <t xml:space="preserve">Under Investigation (ICT) </t>
  </si>
  <si>
    <t xml:space="preserve">Under Investigation (Pumjab) Rawalpindi </t>
  </si>
  <si>
    <t xml:space="preserve">Squadron Leader, Akhtar Javid, r/o Flat No. 100/1, Officer Mess, Paf Acadmey, Risalpur. (Mobile No. 0344-7070471 &amp; 0345-8050432) </t>
  </si>
  <si>
    <t xml:space="preserve">Traced Person. It was informed at the hearing on 26/11/2018 that Arsalan Akhtar has been traced as he has reportedly to home however, on 27/09/2018 he went to China along with other family members and at the moment he is not present in Pakistan. </t>
  </si>
  <si>
    <t>Mst. Tayyaba Dua, r/o House No. 176,  G-3, Wapda Town Lahore. (Mobile No. 0332-8505313)</t>
  </si>
  <si>
    <t>FIR No.566 dt.14/10/2015 u/s 365/34 PPC, PS/Gulistan-e-Jauhar,District  East,Karachi.</t>
  </si>
  <si>
    <t>FIR No.183 dt.28/7/2015 u/s 365/34 PPC, PS/Brigade,District  East,Karachi.</t>
  </si>
  <si>
    <t>FIR No.251 dt.28/7/2015 u/s 365/34 PPC, PS/Arambagh,District  South,Karachi.</t>
  </si>
  <si>
    <t xml:space="preserve"> Muhammad Sharif, r/o House No. C-o112, Sector No. 40-C, Korangi No. 01, Karachi</t>
  </si>
  <si>
    <t>FIR No.444 dt.2/7/2015 u/s 365/34 PPC,PS/Shahrah-e-Faisal,District  East,Karachi.</t>
  </si>
  <si>
    <t>Muhammad Ayaz s/o Qutab-ud-Din, r/o House No.  03, Street No. 07, Anwar Colony, Zia Masjid, Rawalpindi. (Mobile No. 0321/8502299)</t>
  </si>
  <si>
    <t>Deleted (Not a Case of Enforced Disappearances).
ReOpen</t>
  </si>
  <si>
    <t>Mohallah Sardar Khel,  Village Katozai, Tehsil Shabaqadar, District: Charsada. (Mobile No. 0343-9115501)</t>
  </si>
  <si>
    <t>D.D Entry No.20
dt: 16/2/2014 PS Pabbi District Nowshera.</t>
  </si>
  <si>
    <t xml:space="preserve">Deleted (Not a case of Enforced Disappearances) as no LEA has been alleged in the FIR No. 142/15 dated 5.6.2015 PS Kech. </t>
  </si>
  <si>
    <t xml:space="preserve">Abdul Malik, r/o Near Murid Shakh Pepsi Dealer, Tehsil Obaro,District: Ghotki. </t>
  </si>
  <si>
    <t xml:space="preserve">Mst. Kousar Parveen, w/o Saeed Ahmed Mughal, r/o House No. 1685, Gali No. 79/A, Sector I-10/1, Islamabad. </t>
  </si>
  <si>
    <t xml:space="preserve">Mst. Saira Begum, r/o House No. 784, Faiz No. 01, Qasim Town, Khuda Ki basti, Karachi. </t>
  </si>
  <si>
    <t>Faraz  Khan Baloch s/o Sher Muhammad Baloch</t>
  </si>
  <si>
    <t>Traced Person. Returned to Home and available at         (House No. B-74-75, Kalri Ahmed Shah Bulchari Road, Layari Town, Karachi.)</t>
  </si>
  <si>
    <t>FIR No.266 dt.27/08/2015 u/s 365 PPC  PS Kakrali District Gujrat</t>
  </si>
  <si>
    <t xml:space="preserve">Deleted. Investigation into this case that there is no allegation against LEAs by father of the Missing Person, he was not involved in any illegal activities, all LEAs/ CTD have denied apprehension/ abduction and there is no eye witness of the custody of Aleem Khan, therefore the Commission agrees with the conclusion of JIT that he has gone on his own. The case is closed.  </t>
  </si>
  <si>
    <t>Gul Nazar, r/o  Azad Banda, Darmai, Tehsil &amp; District, Swat. ( Mobile No. 0342-9839375 &amp; 0346-9436990)</t>
  </si>
  <si>
    <t>Deleted. The complainant has shifted to Swat and refused  to came to Klarachi to attend hearing. The case is closed due to Non-prosecution.</t>
  </si>
  <si>
    <t>FIR No.1080 dt.19/8/2015 u/s 365-B  PPC,PS/Nishtar Colony,Lahore.</t>
  </si>
  <si>
    <t>Traced Person. Returned to Home and available at          House No. 08, Street No. 02, Choudhary Colony, Kamaha Road, Lahore. Later, she shifted her residence.</t>
  </si>
  <si>
    <t>17301-1422080-1
Old CNIC No.
142-76-143987</t>
  </si>
  <si>
    <t xml:space="preserve">Deleted. The case has been closed due to non-prosecution as the complainant neither extended co-operation to the Investigation Officer nor attended hearings. He also remained absent at JIT meetings. </t>
  </si>
  <si>
    <t>Mst. Urooj Saqib, r/o Flat no. A-5/13, Rabia Flowers, Abu Al-Hassan Isphani Road, Gulshan-e-Iqbal, Gulzar-e-Hijiri, Karachi. (Mobile No.  0315-8820324)</t>
  </si>
  <si>
    <t>Mst.  Kishwar, r/o House No. N-22, Area 51-D, Near 100 Qrts Korangi 5 1/2, Karachi. (Mobile No. 0315-8975179)</t>
  </si>
  <si>
    <t>Muhammad Rehan Khan s/o Abdul  Ghaffar Khan</t>
  </si>
  <si>
    <t>Mst. Shabana Naz, r/o House  No. 24, Street No. 10, Juna Dobhi Ghat, Badshahi Road, Karachi. (Mobile No. 0314-2248650 &amp; 0346-2777237)</t>
  </si>
  <si>
    <t xml:space="preserve">Nasir Uddin s/o Badar Uddin </t>
  </si>
  <si>
    <t xml:space="preserve">Mst. Rashida Parveen, r/o Street No. 01, Habib Park Multan Park, Lahore. </t>
  </si>
  <si>
    <t xml:space="preserve">Under Investigation (AJ&amp;K) </t>
  </si>
  <si>
    <t>Ijaz Ahmed  s/o Muhammad Ameen</t>
  </si>
  <si>
    <t xml:space="preserve">Kaleem Ahmed, r/o House No. 439, Near Water Pump,Bahria Town, Phase No. 08, Sector F. (Mobile No. 0343-9990797) </t>
  </si>
  <si>
    <t xml:space="preserve">Under Investigation (KP) Mardan </t>
  </si>
  <si>
    <t xml:space="preserve">Deleted. After investigation, JIT / PTF concluded that the Missing Person has gone on his own. There is no eye witness of any incident of abduction. All stakeholders have denied apprehension / custody of Zarma Jan. Hence, not a case of enforced disappearance. The case is closed. </t>
  </si>
  <si>
    <t>Traced Person. Returned to  Home as confirmed by SP (Inv) in his report furnished at the hearing on 28.12.15.</t>
  </si>
  <si>
    <t>Traced Person. Returned to  Home as submitted by Rep of IB that he was living with his family at his native village.</t>
  </si>
  <si>
    <t xml:space="preserve">Traced Person. Zubair Mehmood has been traced. According to report received from Rep of MI Zubair Mehmood is presently confined in Internment Center Fort Salop. Nasir Mehmood brother of the traced person has been informed. 
</t>
  </si>
  <si>
    <t>Traced Person. DPO, Sargodha, submitted that the Missing Person has Returned to Home and available at   his given address.</t>
  </si>
  <si>
    <t>Traced Person. Confined in the  Internment Center Kohat as informed by Rep of MI at the hearing held in the case on 25.2.16.</t>
  </si>
  <si>
    <t>Waqar  Ahmed Ansari s/o Sarfaraz Ahmed</t>
  </si>
  <si>
    <t>Zohaibullah  Khan s/o Habibullah Khan</t>
  </si>
  <si>
    <t>Traced Person. Returned to  Home. Appeared before the Megirtrate and got his statement recorded u/s 164 CrPC.</t>
  </si>
  <si>
    <t>Feroz Ahmed Sami, r/o  House No. R-42, Sector No. 60/A-1, Secheme No. 33, Gulzar-e-Hijiri, Malik Society. (Mobile No. 0336-2235009)</t>
  </si>
  <si>
    <t xml:space="preserve">Deleted. Not a case of enforced disappearance as the missing person Mushtaq Adil has been declared absconder dated 14.5.2019 PS, Garden by the competent Court of Jurisdiction. </t>
  </si>
  <si>
    <t xml:space="preserve">Asghar Ali Laghari, r/o Village Sanjar Mir Bahar, Taluka Qasimabad, District, Hyderabad. </t>
  </si>
  <si>
    <t>Mst. Mehar-un-Nisa, r/o House No. 595, Sector No. I-B, Orangi Town,  Karachi. (Mobile No. 0333-3273340)</t>
  </si>
  <si>
    <t>Traced Person. Returned to home. It was  informed at the hearing on 9.2.16 and letter reclined in that respact was readover.</t>
  </si>
  <si>
    <t xml:space="preserve">Deleted. Statement of Niamat Ullah, complainant was recorded by the Commission on oath on 29.11.2019, who deposed that Noor Muhammad communicated with his cousin telephonically and told that he was at Lorry Adda, Lakki Marwat. During cross- examination, Niamat Ullah deposed that he did not level allegation against any LEAs/Intelligence Agency. He affirmed that none of LEAs/ Intelligence Agency was involved or suspected to be involved in the disappearance of Noor Muhammad (missing person). Custody of Noor Muhammad has been denied by Reps of ISI, MI, CTD &amp; FC. According to IB report there is nothing adverse against Noor Muhammad. In this connection of the case it does not fall within the domain of enforced disappearance. The case is deleted. </t>
  </si>
  <si>
    <t xml:space="preserve"> Traced Person. It was informed at the hearing held in this Commission on 3.12.2019 that Muhammad Kamran Sheikh has returned home. In this connection report from SDPO, Al-Falah, Karachi along with statement of the Traced Person and his brother have been submitted at the hearing. </t>
  </si>
  <si>
    <t>FIR No.1167 dt.21/11/2015 u/s 496-A PPC  PS Airport,Rawalpindi</t>
  </si>
  <si>
    <t>FIR No.187 dt.25/11/2015 u/s 365/147/148/149 PPC  PS Sariab,Quetta.</t>
  </si>
  <si>
    <t>Traced Person. Returned to Home and available at         (House No. 1614, Sector No. D-2, Street No. 22, Hijiri Colony, Karachi)</t>
  </si>
  <si>
    <t>FIR No.613 dt.12/11/2015 u/s 365 PPC  PS Akora Khattak</t>
  </si>
  <si>
    <t>FIR No.420 dt.10/11/2015 u/s 365/ PPC  PS/Jarma,Kohat.</t>
  </si>
  <si>
    <t xml:space="preserve">Habib Gul, r/o Mohallah Chargo Mela, Mamo Banda, Tehsil &amp; District Hangu. (Mobile No.0300-5668311) </t>
  </si>
  <si>
    <t>FIR No.330 dt,05/11/2015 u/s 365/ PPC  PS/Fateh Jang,District Attock.</t>
  </si>
  <si>
    <t>Deleted. It was informed at the hearing on 11/04/2218 that Muhammad Waqas was involved in case FIR No. 77/2016. He was declared absconder bt ATC No. 16, Karachi. He being  fugitive  from law, the case is closed.</t>
  </si>
  <si>
    <t xml:space="preserve">Mst.Alia, r/o Mohallah Ghunda Tangoli, Tehsil, Kabal, District, Swat. (Mobile No. 0341-9033404) </t>
  </si>
  <si>
    <t xml:space="preserve">Muhammad Amir, r/o Hajiabad, Orkazai Banda, P.O Bilitang, Tehsil &amp; District Kohat. (Mobile No. 0331-9889456 &amp; 0333-3334664) </t>
  </si>
  <si>
    <t>Sar Zameen Khan, r/o Alayar Khel , Nowshera Kalan.   (Mobile No. 0336-9018612)</t>
  </si>
  <si>
    <t xml:space="preserve">Mst. Bus Kamala, r/o Dowrana Khan, Takhti Khel, District Lakki Marwat. </t>
  </si>
  <si>
    <t>FIR No.763 dt.19/11/2015 u/s 365 PPC PS Naurang  District Lakki Marwat</t>
  </si>
  <si>
    <t xml:space="preserve">Traced Person. Muhammad Imran has been traced. He has returned to home and appeared before the Commission on 19.6.2019 whose statement has been recorded on oath. </t>
  </si>
  <si>
    <t>D.D Entry No.23
dt: 23/11/2015 PS?Cantt.,Abbottabad.</t>
  </si>
  <si>
    <t xml:space="preserve">Traced Person. It was informed at the hearing on 13/09/2018 that Rizwan Akram Niazi has returned to home. Rizwan Akram Niazi was present and submitted that he was taken into custody by Police but subsequently he was shifted to some place which could not identify. </t>
  </si>
  <si>
    <t>2901, 3364,3205, 2593&amp;  1344 to be fixed together</t>
  </si>
  <si>
    <t>Traced Person. It has informed at the hearing held on 27/09/2018 that Muhammad Tayyab  Sereen had been traced. According to the letter received from Muhammad Mushab b/o Muhammad Tayyab Seren traced person the latter has returned home.</t>
  </si>
  <si>
    <t xml:space="preserve">Mst. Wasila Jana, r/o Noor Abad,Meero Zai, Tehsil &amp; District Kohat. (Mobile No.0332-9614555 &amp; 0333-9644891)  </t>
  </si>
  <si>
    <t>FIR No.187 dt.21/12/2015 u/s 365/34 PPC  PS/Gulbahar,Central District West,Karachi.</t>
  </si>
  <si>
    <t xml:space="preserve">Traced Person. It was informed at the hearing held in this Commission on 18.6.2019 that Muhammad Sohail has returned to home as confirmed by his brother statement recorded. </t>
  </si>
  <si>
    <t xml:space="preserve">r/o,  House No. L-324, Sector No. 5-C, North Karachi. </t>
  </si>
  <si>
    <t xml:space="preserve"> Traced Person. It was informed at the hearing held in this Commission on 8.1.2020 that Jaffery Jahanzeb has returned home. In this connection, written statement from Muhammad Ayub (Brother) dated 6.1.2020 was furnished by DSP Sarjani, West Karachi. </t>
  </si>
  <si>
    <t>Returned to Home and available at         ( House No. 1/147-C, Shah Faisal Colony, Karachi)</t>
  </si>
  <si>
    <t>Returned to Home and available at         (House No. 2569, Street No. 20, Ali Akbar Shah Goth, Karachi.)</t>
  </si>
  <si>
    <t xml:space="preserve">Rashid Mustafa,r/o Village, Dhap Pari, Tehsil &amp; District Chakwal (Mobile No.0333-5006968 &amp; 0303-0535045) </t>
  </si>
  <si>
    <t xml:space="preserve">Mst. Rashida Khatoon, r/o House No. 474, Sector No. 15-A, Orangi Town, Karachi. </t>
  </si>
  <si>
    <t>FIR No.281
dt:27/12/2015
u/s 365 PPC
PS Kulachi District D.I.Khan</t>
  </si>
  <si>
    <t>FIR No.10
dt:21/1/2016
u/s 365/34 PPC
PS/North Nazimabad,District Central,Karachi.</t>
  </si>
  <si>
    <t>FIR No.494
dt:25/12/2015
u/s 365 PPC
PS Shaheed Mureed, District tankAkbar, District Tank</t>
  </si>
  <si>
    <t>FIR No.494
dt:25/12/2015
u/s 365 PPC
PS Shaheed Mureed Akbar, District Tank</t>
  </si>
  <si>
    <t>FIR No.17/2016
u/s 365/147/148/149 PPC
PS Surab, District Kalat.</t>
  </si>
  <si>
    <t xml:space="preserve">Traced Person. Mujahid Akram real brother of Faisal Riaz is present and stated that Faisal Riaz has returned to home. In view of what has been mentioned hereinabove no further action is required to be taken by the Commission. </t>
  </si>
  <si>
    <t xml:space="preserve">Hamayun Shahzad </t>
  </si>
  <si>
    <t xml:space="preserve">Inayat Ullah s/o Muhammad Ramzan </t>
  </si>
  <si>
    <t>FIR No. 20
dt: 28/01/2016
u/s 365/147/148 PPC 
P.S.Kechi Baig,Quetta</t>
  </si>
  <si>
    <t xml:space="preserve">Under Investigation (Balochistan) </t>
  </si>
  <si>
    <t>FIR No. 39
dt: 26/3/2015
u/s 365 PPC 
P.S. Zarghonabad,Quetta</t>
  </si>
  <si>
    <t xml:space="preserve">Under Investigation (KP)  Malakand </t>
  </si>
  <si>
    <t>FIR No.65 dt.30/12/2015 u/s 365 PPC PS/Charohi  District Kotli,AJK.</t>
  </si>
  <si>
    <t>FIR No.27 dt.06/02/2016 u/s 365 PPC,PS/ Parang  District  Charsadda</t>
  </si>
  <si>
    <t xml:space="preserve">Under Investigation (KP) Charsadda  </t>
  </si>
  <si>
    <t xml:space="preserve">Qazi Ahmed Shah, r/o House No. 320, Sector No. IV, KDA, Kohat. </t>
  </si>
  <si>
    <t>FIR No.448 dt.07/8/2015 u/s 365/34 PPC,PS/ Site-A  District  West,Karachi.</t>
  </si>
  <si>
    <t xml:space="preserve">Deleted. The case has been closed due to non-prosecution as the Complainant neither extended co-operation to the Investigation Officer nor attended hearings held on various dates including 29.10.2019 and 14.12.2019. He also remained absent at JIT meetings. </t>
  </si>
  <si>
    <t xml:space="preserve">Mst. Nasreen Bibi, r/o Mohallah Al- Markaz Islami, Nowshera. (Mobile No. 0344-9640211) </t>
  </si>
  <si>
    <t xml:space="preserve">Traced Person. Dead Body has found in Attock Khurd Hospital and handed over to the heirs as 14/01/2017 as per report of JIT Inquiry u/s 174 crpc has beenInitiated to ascertain factum  of death.  </t>
  </si>
  <si>
    <t>Traced Person. Confined in  the Internment Center Lakki Marwat as informed by Rep of MI at the hearing on 16.3.17.</t>
  </si>
  <si>
    <t>Returned to Home and available at         ( Khayban-e-Muhafiz, 15, Street No. 103/2, Phase-VI, DHA, Karachi)</t>
  </si>
  <si>
    <t xml:space="preserve">Faiz-ur-Rehman, r/o Village Tajak, P.O. Rango, District, Attock. (Mobile No. 0300-9762362 &amp; 0300-9120163) </t>
  </si>
  <si>
    <t xml:space="preserve">r/o, House No. A-19, Hasham Appartments, Rafa-Aam, Karachi. </t>
  </si>
  <si>
    <t xml:space="preserve">r/o, House No. T-64, PNT, Colony, Karachi. </t>
  </si>
  <si>
    <t xml:space="preserve">r/o, House No. A-287, Martin Quarters, Karachi. </t>
  </si>
  <si>
    <t xml:space="preserve">Traced (Confined in  District Jail, Faisalabad) </t>
  </si>
  <si>
    <t>FIR No.65 dt.30/01/2016 u/s 365 PPC PS/Airport  District Rawalpindi.</t>
  </si>
  <si>
    <t xml:space="preserve">Traced Person. According to the reports received from the quarters concerned, Abdul Wahab s/o Aslam Khan has returned home. Abdul Wahab also made appearance before the Commission and stated that he remained in confinement for two and half years. </t>
  </si>
  <si>
    <t>FIR No.98/2012  u/s 365/34 PPC PS/Brewery, District Quetta.</t>
  </si>
  <si>
    <t>FIR No.11 dt.27/10/2016  u/s 346 PPC PS/Gulistan District Qila Abdullah.</t>
  </si>
  <si>
    <t xml:space="preserve">
Deleted. The complainant, Muhammad Hashim entered appearance before the Commission on 07.04.2021 whose statement was recorded on oath in which he deposed that case of disappearance of Abdul Kareem had been under investigation that he had not produced any witness of leveled any allegation against any of LEAs/ Intelligence Agency for abduction of Abdul Kareem nor he has any suspicion on any such Agency. All stakeholders have also denied apprehension / custody of Abdul Kareem. Apparently not a case of enforced disappearance. Hence, closed.   
</t>
  </si>
  <si>
    <t>FIR No.05/ dt.29/1/2016  u/s 365/34 PPC PS City,Sui District Dera Bugti.</t>
  </si>
  <si>
    <t>FIR No.255 dt.25/8/2015  u/s 344/34 PPC PS/New Karachi, District Central Karachi.</t>
  </si>
  <si>
    <t xml:space="preserve">Karim Bakhsh, r/o Basti Dirkhana, Wali Chah Malik Din Pur. D.I.Khan. (Mobile No. 0315-9348324) </t>
  </si>
  <si>
    <t xml:space="preserve">Under Investigation (KP) D.I.Khan  </t>
  </si>
  <si>
    <t>Under Investigation (Punjab)  Rawalpindi</t>
  </si>
  <si>
    <t xml:space="preserve">Qamar-un-Nisa, r/o House No. 18, Block No. X,Street No.03, Madina Town , Faisalabad. (Mobile No. 0336-4277778) </t>
  </si>
  <si>
    <t xml:space="preserve">Mst. Zulaikha, r/o Hub Choki, Akram Colony, Street No. 08, Near Hurri Plaza, Balochistan. </t>
  </si>
  <si>
    <t>FIR No.87 dt.01/02/2016 u/s 365 PPC PS/Pirwadhai  District Rawalpindi.</t>
  </si>
  <si>
    <t>Deleted. In this case, there are concurrent findings/ conclusion by JIT and PTF that the Missing Person has gone on his own. All stakeholders have denied arrest/custody of Farhad Ali s/o Abdul Hakim. The complainant   also submitted that there is no allegation against any LEAs/Intelligence Agency. No further action is required. The case is closed.</t>
  </si>
  <si>
    <t xml:space="preserve">Under Investigation (FATA) </t>
  </si>
  <si>
    <t>FIR No.91
dt: 07/02/2016
u/s 365 PPC
PS/Shah Qabool,Peshawar.</t>
  </si>
  <si>
    <t>FIR No.80
dt: 27/1/2016
u/s 365 PPC
PS/Mingora District Swat.</t>
  </si>
  <si>
    <t>FIR No.233
dt: 18/2/2016
u/s 365/380 PPC
PS/Nishtar Colony,Lahore.</t>
  </si>
  <si>
    <t>Traced Person. Returned to Home and available at         Rana Chowk, Mandi Bahauddin. Appeared before the Commission on 21.9.2017. Stated that he remained in captivity for two years and then released.</t>
  </si>
  <si>
    <t xml:space="preserve">Muhammad Rafique </t>
  </si>
  <si>
    <t>Traced Person. Returned to Home and available at  P.O Loi Sum Tehsil Touagai, Bajour Agency as informed at the hearing on 16.8.2016.</t>
  </si>
  <si>
    <t xml:space="preserve">Deleted. In this case 13 meetings of JIT were held. In the last meeting on 15.11.2020 it may concluded that it is not a case of enforced disappearance as the Missing Person was suffering from some Psychological disease was under treatment. Father of the Missing Person who was present at the hearing on 14.11.2020 concluded the facts narrated in JIT report. Hence not a case of enforced disappearnce, the case is closed. </t>
  </si>
  <si>
    <t>Ttaced Person.  (On Bail)</t>
  </si>
  <si>
    <t>Traced Person.  Jail Custody.</t>
  </si>
  <si>
    <t>Traced Person. Shah Jahan has been traced and he is confined in FC (CTC)  under Action (in aid of Civil Regulation 2011) as informed at the hearing on 17.5.17.</t>
  </si>
  <si>
    <t>Traced Person. Returned to Home and available at         (House No. C-24, Jacob Line, Karachi)</t>
  </si>
  <si>
    <t xml:space="preserve">r/o, House No. 385, 100 Quarter, Korangi, Karachi. </t>
  </si>
  <si>
    <t>Returned to Home and available at         ( House No. D-118, Shah Rasool Colony, Clifton, Near Madina Medical General Store, Karachi.)</t>
  </si>
  <si>
    <t>Deleted. After investigation into this case it was concluded by JIT as well as PTF that it is not a case of enforced disappearance and the Missing Person has gone on his own. The Commission examined at various hearings, witnesses and other metrial available on record and arrived at the same conclusion. The complainant also deposed in his statement recorded on oath  that his information was based on heresay. Hence not a case of enforced disappearance.</t>
  </si>
  <si>
    <t xml:space="preserve">Traced Person. Returned to home as confirmed by SSP (Inv) Rawalpindi at the hearing on 18.3.16. </t>
  </si>
  <si>
    <t>Syed Al  Ibrar s/o Sahib Gul</t>
  </si>
  <si>
    <t xml:space="preserve">Mr. Zahoor Khan r/o Muhallah Gulabad Nowshera, Khurd Khat Kilay, Tehsil &amp; District Nowshera. (Mobile No. 0301-3154925). </t>
  </si>
  <si>
    <t>Traced Person. Returned to Home and available at         House No. 368, Block-G, Sabza Zar Scheme, Lahore as informed at the hearing on 28.7.16.</t>
  </si>
  <si>
    <t>Ghulam  Farooq, r/o Houe No. CB-193, Madni Colony, Near Masjid Rehmania, Janjhwal, Tehsil &amp; District Attock. (Mobile No. 0336-5236305 &amp; 0321-50812611)</t>
  </si>
  <si>
    <t xml:space="preserve">  Traced Person. Muhammad Afzal has returned to home. He entered appearance before the Commission on 04/09/2018 and submitted that he returned home after two years and nine months. He could not give further details regarding place of detention and persons involved in his disappearance. </t>
  </si>
  <si>
    <t>Returned to Home and available at         (B-82, Sector 11-B, North Karachi)</t>
  </si>
  <si>
    <t>Returned to Home and available at         (House No. B-77, Block C,North Nazimabad, Karachi)</t>
  </si>
  <si>
    <t>Returned to Home and available at         (Flat No. 03, C-2, Waseem Center Nagin Chowrangi, Karachi.)</t>
  </si>
  <si>
    <t xml:space="preserve">Deleted .The case has been closed due to non-prosecutions as the Complainant neither extended co-operation to the Investigation Officer nor attended hearings held on 26.11.2019 despite notice. He also remained absent at JIT meetings. </t>
  </si>
  <si>
    <t xml:space="preserve">Deleted. Not a case of Enforced Disappearances as the contents of the FIR No: 223/2016 dated 5.9.2016 does not implicate ans of the LEAs. </t>
  </si>
  <si>
    <t>FIR No.408
dt: 15/3/2016
u/s 365 PPC
P.S/Akora Khattak District Nowshera.</t>
  </si>
  <si>
    <t>FIR No.196
dt: 11/3/2016
u/s 365 PPC
P.S/Faisal Town,Lahore.</t>
  </si>
  <si>
    <t xml:space="preserve">Closed. The complainant remained absent at the hearing held in this case, which has been categorized as that of voluntary disappearance by JIT, Dr. FTD. Reps of MI and ISI have submitted that found check was carried out which reveled that Faridullah Khan was neither arrested nor held in custody. Accordingly the case is closed for being not a case of enforced disappearance. </t>
  </si>
  <si>
    <t xml:space="preserve">Wali Muhammad s/o Ghulam Nabi </t>
  </si>
  <si>
    <t xml:space="preserve">Deleted. Investigation into this case that there is no allegation against LEAs by father of the Missing Person, he was not involved in any illegal activities, all LEAs/ CTD have denied apprehension/ abduction and there is no eye witness of the custody of Muhammad Zubair Khan, therefore the Commission agrees with the conclusion of JIT that he has gone on his own. The case is closed.  </t>
  </si>
  <si>
    <t>Muhammad Nasir  s/o Noor Muhammad</t>
  </si>
  <si>
    <t>Sohaib Kamil, r/o 46,  D.O.H.S, Phase -II, Malir Cantt, Karachi. (Mobile No. 0333-2157588)</t>
  </si>
  <si>
    <t>Muhammad Badi Zaman, r/o  House No 1822, Krishan Pura Dur-us-Salam, GT Road Peshawar City. (Mobile No. 0333-8033389)</t>
  </si>
  <si>
    <t xml:space="preserve"> 3167-I 4402-I</t>
  </si>
  <si>
    <t xml:space="preserve">Deleted. The complainant (Kashif Imran) and two persons (Muhammad Aqeel &amp; Amjad) who lodged FIR in the case have disposed in their statements that they had not lodged LEAs for disappearance of Abdul Qayyum. Neither could they produce any eye witness. All stake holders have submitted report that Abdul Qayyum was neither arrested not in their custody. Hence not a case of enforced disappearance. </t>
  </si>
  <si>
    <t xml:space="preserve">              </t>
  </si>
  <si>
    <t xml:space="preserve">Traced Person. It was informed at the hearing in this Commission by brother of Saeed Zaman is custody of security forces , where  he met the latter. </t>
  </si>
  <si>
    <t xml:space="preserve">Deleted. Mr. Fazal Ahmed Jan, SP (Inv), Kohat is in attendance, whose statement has been recorded on oath. He deposed that JIT meeting was held on 17.07.2020 which was attended by Aziz-ur-Rehman, who is a father of Noor Rehman. He stated that his son was drug-addict and he often remained in the company of drug-addicts; however, he had no links with any organization. Accordingly, after three meetings the case has been categorized as of Missing Person has gone on his own. Hence not a case of enforced disappearance. The case is closed. 
</t>
  </si>
  <si>
    <t xml:space="preserve"> Kohat </t>
  </si>
  <si>
    <t xml:space="preserve">Under Investigation (KP) Peshawar
</t>
  </si>
  <si>
    <t xml:space="preserve">Mst. Mah Jabeen, r/o House No. 255-E, Qasba Colony, Mangopir Road, Karachi. </t>
  </si>
  <si>
    <t>Traced Person. Confined in  Jail.</t>
  </si>
  <si>
    <t xml:space="preserve">Under Investigation (KP) Swat
</t>
  </si>
  <si>
    <t xml:space="preserve">Shakir Ali Shah </t>
  </si>
  <si>
    <t>Traced Person. Returned to Home and available at         (Gulshan Iqbal, Metrowel, Block I, House No. 3945, Karachi, East)</t>
  </si>
  <si>
    <t>Traced Person. Returned to Home as informed at the hearing on 24.8.16. Available at  (Ward No. 03, Chowk Azam, Rauf Clothes House, Ghani Market, Layyah)</t>
  </si>
  <si>
    <t>Returned to Home and available at         (Methar Ghundai, P.O, Mather, Tehsil &amp; District Takht Bhai, Mardan)</t>
  </si>
  <si>
    <t xml:space="preserve">Under Investigation (KP) Peshawar </t>
  </si>
  <si>
    <t>Syed  Amir Alam s/o Syed Abdul Hakeem</t>
  </si>
  <si>
    <t>Returned to Home and available at         ( House No. 84-85/B, unit No.09, Latifabad, Hydreabad)</t>
  </si>
  <si>
    <t>Traced Person. Confined in  Jail Crime No. 120/16.</t>
  </si>
  <si>
    <t xml:space="preserve">Deleted  (Police Officer, Kashif Muhammad submitted that complainant is not interested to pursue this matter) </t>
  </si>
  <si>
    <t>r/o,  Flat No. C-22, 2nd Floor, Foundation Blessing, Block No. 02, Karachi.</t>
  </si>
  <si>
    <t>r/o, House No. 7/218, Naseemabad, Bonga  City Court, Karachi.</t>
  </si>
  <si>
    <t>Traced Person. Confined in  Jail Crime No. 45/2016.</t>
  </si>
  <si>
    <t>Traced Person.  (On Bail)</t>
  </si>
  <si>
    <t>r/o, 2nd  Floor, Mughal Manzil, Laloo Gagoo Street, Punkha Line, Karachi.</t>
  </si>
  <si>
    <t>Athar  Khan s/o Umeed Khan</t>
  </si>
  <si>
    <t xml:space="preserve">Ghulam Mohiuddin </t>
  </si>
  <si>
    <t xml:space="preserve">r/o, UC- 16, Usmanabad, Lyari, Karachi. </t>
  </si>
  <si>
    <t>Traced Person. SP (Inv), Saddar Divission, Lahore, submitted report  that  Dr. Javed Iqbal Chaudhry has Returned to Home and available at his house.</t>
  </si>
  <si>
    <t xml:space="preserve">Sakhi Gul, r/o Koko Khail, Abdal Khail, Ghondi, Dakhana Jamrud. </t>
  </si>
  <si>
    <t xml:space="preserve">Under Investigation (Quetta) </t>
  </si>
  <si>
    <t xml:space="preserve">Traced (Confined in  Internment Center, Kohat) </t>
  </si>
  <si>
    <t>Jamal-ud-Din  s/o Muhammad Hashim</t>
  </si>
  <si>
    <t xml:space="preserve">Jan Bahadur, r/o P.O Dagi, Mohallal ZangiKhel, District Swabi. (Mobile No. 0311-5993766) </t>
  </si>
  <si>
    <t>Traced Person SSP (Inv), Faisalabad ,submitted that Missing Person, Haris Ahmed  is Confined at District Jail, Bahawalpur)</t>
  </si>
  <si>
    <t>Waqar Ahmed Khan, r/o Village  Chanat, Tehsil Dherkot, District Bagh, AJ&amp;K. (Mobile No. 0332-5772543)</t>
  </si>
  <si>
    <t xml:space="preserve">Traced Person. Farman Ellahi who is Uncle of Abdul Jabbar is present. His statement has been recorded on oath. He has stated that Abdul Jabbar returned to home in February, 2019 and at present he is available at his native residence. </t>
  </si>
  <si>
    <t xml:space="preserve">Traced Person. DSP, Shahrah Faisal Submitted that Missing Person is Returned to Home and available at House No. A-169, Ground Floor, Block No. C, Gulshan Jamil, Rashid Minhas Road, Karachi. </t>
  </si>
  <si>
    <t>17/05/2016</t>
  </si>
  <si>
    <t>Returned to Home and available at         (House No. 208, Sector No. 7/C, Orangi Town, Karachi.)</t>
  </si>
  <si>
    <t xml:space="preserve">r/o,House No. 3470/S-6, Sector No. 11/1/2, Orangi Town, Karachi. </t>
  </si>
  <si>
    <t xml:space="preserve">r/o, House No. A-377, Sector No.03, North Karachi. </t>
  </si>
  <si>
    <t xml:space="preserve">Shakeel Ahmed s/o Munir Khan </t>
  </si>
  <si>
    <t>Traced Person. DPO, Bannu, submitted report  that Shakeel Ahmed has Returned to Home and available at Tehsil kabal, District Swat.</t>
  </si>
  <si>
    <t xml:space="preserve">Deleted, The case remained under investigation and several hearings were held by the Commission. Meanwhile, JIT and PTF forwarded concurrent findings that the Missing Person Muhammad Afzal had gone on his own. Accordingly, the case stands deleted. </t>
  </si>
  <si>
    <t xml:space="preserve">r/o, Quarter Near Masjid Tayyaba, Malir, Karachi. </t>
  </si>
  <si>
    <t>Returned to Home and available at         (Yousaf Goth, Orangi Town, Karachi)</t>
  </si>
  <si>
    <t>Returned to Home and available at         (225/L, Phase I, Defence Houseing Authority, Lahore)</t>
  </si>
  <si>
    <t xml:space="preserve">Deleted . The case has been heard by the Commission at a number of hearings the last one was held on 4.11.2019. JIT has time and again concluded that it is a case of kidnapping due to personal enmity ISI, MI, FC (South) and CTD reported that Ziaullah was not in their custody. Hence the case is deleted not being a case of enforced disappearance. </t>
  </si>
  <si>
    <t xml:space="preserve">Deleted. In this case there are concurrent findings if JIT as well as PTF that it is a case of Voluntary Disappearance. Rep of ISI, MI and CTD have submitted reports which are to the extent that Syed Ahmed Shehzad is not in their custody. Father of the complainant admitted that his son could not be traced despite meaningful efforts by the Commission. Since the case does not fall within the ambit of the Enforced Disappearance therefore further proceeding by the Commission will be a futile exercise. The case accordingly stands closed. </t>
  </si>
  <si>
    <t>Amanullah Panhyer, r/o  Village Bagodaro, P.O Bozdar Wada,District Khairpur,Sindh. (Mobile No. 0301-2664817)</t>
  </si>
  <si>
    <t>18/05/2016</t>
  </si>
  <si>
    <t>19/05/2016</t>
  </si>
  <si>
    <t>20/05/2016</t>
  </si>
  <si>
    <t>21/05/2016</t>
  </si>
  <si>
    <t>Traced (Confined in  Jail Custody)</t>
  </si>
  <si>
    <t xml:space="preserve">Under Investigation (Punjab) Attock </t>
  </si>
  <si>
    <t>23/05/2016</t>
  </si>
  <si>
    <t>Returned to Home and available at         ( Flat No. 1214, Mohallah Khatri Para, District Tando Allah Yar)</t>
  </si>
  <si>
    <t>25/05/2016</t>
  </si>
  <si>
    <t xml:space="preserve">Traced Person. Abid Ali has reportedly been killed in encounter by CTD, Multan. Family members informed accordingly case is being referred by Secretary/ Cabinet &amp; Secretary Punjab for further action. </t>
  </si>
  <si>
    <t>Traced Person. Rep of MI, submitted that Missing Person, Muhammad Shahood  is Confined at Internment Center, Alizai, Jurram Agency as informed at the hearing on 10.5.17</t>
  </si>
  <si>
    <t>26/05/2016</t>
  </si>
  <si>
    <t>28/05/2016</t>
  </si>
  <si>
    <t>Returned to Home and available at         P.O Bhurchh Basoha, Tehsil Kharian, District Gujrat.</t>
  </si>
  <si>
    <t xml:space="preserve">Deleted. JIT/PTF categorized the case as that of Personal enmity. The complainant neither apprised the JIT no attended hearing in this Commission despite notice dated 22.03.2021 and 21.08.2021. The case is closed being not a case of enforced disappearance. </t>
  </si>
  <si>
    <t>02/06/2016</t>
  </si>
  <si>
    <t>06/06/2016</t>
  </si>
  <si>
    <t xml:space="preserve">Deleted. It was informed at the hearing held in this Commission on 11/7/2019 that Raheel Razaq is involved in Criminal Case Vide FIR No. 76/2014 dated 14/6/2014 u/s 365 PS, City Court. Reportedly  he has been abducted due to personal enmity. </t>
  </si>
  <si>
    <t xml:space="preserve">Traced Person. It was informed at the hearing in this Commission on 21-2-2019 that Ghulam Ghous returned to home. The report submitted by the Police Officer Syed Safdar Ali Shah SDPO, Surjani Town, Karachi is placed on record. </t>
  </si>
  <si>
    <t>(Traced Person)Returned to Home and available at         ( House No. R-912, Block No. 09, Dastageer, F.B Area, Karachi)</t>
  </si>
  <si>
    <t xml:space="preserve">Syed Naveed Hussain s/o Syed Mukhtar Hussain </t>
  </si>
  <si>
    <t>09/06/2016</t>
  </si>
  <si>
    <t>10/06/2016</t>
  </si>
  <si>
    <t xml:space="preserve">Under Investigation (Sindh) </t>
  </si>
  <si>
    <t>13/06/2016</t>
  </si>
  <si>
    <t>14/03/2016</t>
  </si>
  <si>
    <t>18/06/2016</t>
  </si>
  <si>
    <t>Returned to Home and available at         (Mohallah FC Area, Liquat No. 05, Liquatabad, Karachi)</t>
  </si>
  <si>
    <t>Traced Person. Sultan Asghar f/o Missing Person, submitted report  that Rizwan Ullah has Returned to Home and available at  Nawasi Village, Ghalo Chana, Tehsil &amp; District Hangu.</t>
  </si>
  <si>
    <t>Deleted. Not a Case of Enforced Disappearance Missing Person was affiliated with Lashkar-e-Islam as  mentioned in the report submitted by IB.</t>
  </si>
  <si>
    <t>Muhammad Ashraf, r/o  Chak No. 217, Gojar Pind, P.O Khas, Tehsil Sumandari, District Faisalabad. (Mobile No. 0305-7164943)</t>
  </si>
  <si>
    <t>21/06/2016</t>
  </si>
  <si>
    <t xml:space="preserve">Under Investigation (ICT) 
</t>
  </si>
  <si>
    <t>22/06/2016</t>
  </si>
  <si>
    <t xml:space="preserve">Under Investigation (Punjab) Attock
</t>
  </si>
  <si>
    <t>Sartaj Alam, r/o House no. 471, Street No. 51, G-9/1, Islamabad.  (Mobile No. 0423-2103230  &amp; 0333-8484830)</t>
  </si>
  <si>
    <t xml:space="preserve">r/o, House No. 11-1/2, Block No. J, Orangi Town, Karachi. </t>
  </si>
  <si>
    <t>23/06/2016</t>
  </si>
  <si>
    <t xml:space="preserve">Traced Person. It was informed at the hearing held in this Commission on 10/07/2018 that Muhammad Tariq Siddiqui has returned to home. He appeared before the Commission on the said date. The statement of the traced person has been recorded u/s 164 CrPC, which is available on record. The report submitted by DSP, Khalid Javed, Kemari Division Investigation, South Zone Karachi is placed on record. 
</t>
  </si>
  <si>
    <t xml:space="preserve">Under Investigation (Punjab) Faisalabad
</t>
  </si>
  <si>
    <t>25/06/2016</t>
  </si>
  <si>
    <t xml:space="preserve">Mst. Amina Malik, r/o House No. 1164/b, Latifabad, Peoples Colony, Unit No. 4/B, Hyderabad. </t>
  </si>
  <si>
    <t>Returned to Home and available at         (House No. 1164/b, Latifabad, Peoples Colony, Unit No. 4/B, Hyderabad)</t>
  </si>
  <si>
    <t xml:space="preserve">Under Investigation (Sindh) Karachi
</t>
  </si>
  <si>
    <t>Chandan s/o  Nebo Charan</t>
  </si>
  <si>
    <t>Traced Person. DSP, Bilawal Haq submitted that Chandan has returned to home and available at  Lane (Village Dedrai, U.C Nagar Parkar, Tehsil Nagar Parkar, District Tharparkar)</t>
  </si>
  <si>
    <t xml:space="preserve">Farooq Lodhi, r/o A-407, Savana City,Block -B-13-D-3, Gulshan-e-Iqbal, Karachi. </t>
  </si>
  <si>
    <t>28/06/2016</t>
  </si>
  <si>
    <t>04/07/2016</t>
  </si>
  <si>
    <t xml:space="preserve">Under Investigation (Sindh) Karachi 
</t>
  </si>
  <si>
    <t>11/07/2016</t>
  </si>
  <si>
    <t>Behram Ullah, r/o Umer Khel, Kurram Agency.  (Mobile No. 0300-3953541 &amp; 0300-5223992)</t>
  </si>
  <si>
    <t xml:space="preserve">Traced Person. Muhammad Sohail Ahmed has been traced. Rashid Mehmood brother of Muhammad Sohail Ahmed is present. His statement has been recorded on oath. He has affirmed that Muhammad Sohail Ahmed returned home two days before Eid-ul-Azha. He further stated that Muhammad Saeed Ahmed occasionally goes to Levies Center at Shah Kas and reports there. He however could not give further details about the control command purpose of Levies Center Shah Kas. As Muhammad Sohail Ahmed has been traced.
</t>
  </si>
  <si>
    <t xml:space="preserve">Under Investigation (KP) Charsadda
</t>
  </si>
  <si>
    <t xml:space="preserve">Mst. Neelam Bibi, r/o Mohallah Saddari Khel, Pirpiyal, Nowshera. (Mobile No. 0331-5439968) </t>
  </si>
  <si>
    <t>FIR No.13      dt.4/1/2017                   u/s 365 PPC  ,PS/Sardheri,District Charsadda.</t>
  </si>
  <si>
    <t>FIR No.96      dt.15/3/2016                   u/s 365 PPC  ,PS/Gumbat,Kohat</t>
  </si>
  <si>
    <t xml:space="preserve">Under Investigation (KP) 
Kohat
</t>
  </si>
  <si>
    <t>2311</t>
  </si>
  <si>
    <t>13/07/2016</t>
  </si>
  <si>
    <t xml:space="preserve">Under Investigation (Sindh) Karachi
</t>
  </si>
  <si>
    <t xml:space="preserve">Traced (Returned to Home) </t>
  </si>
  <si>
    <t xml:space="preserve">Mst. Rukshana, r/o House No. 23/5, Near Hanfia Norani Masjid, New Karachi. </t>
  </si>
  <si>
    <t>20/07/2016</t>
  </si>
  <si>
    <t>Abdul Ghaffar Khan, r/o Village Nasia Balla, P.O Khazana, Charsadda Road, District  Peshawar. (Mobile No. 0304-9020277)</t>
  </si>
  <si>
    <t xml:space="preserve">Traced Person. Confined in  Internment Center, Kohat as informed by Rep of MI at the hearing on 7.11.16. </t>
  </si>
  <si>
    <t>25/07/2016</t>
  </si>
  <si>
    <t xml:space="preserve">Salman Khan, r/o Mohallah Kooz Ahmed Khel, Village &amp; P.O Sheikh Jana, Tehsil &amp; District Swabi. </t>
  </si>
  <si>
    <t xml:space="preserve">Ellahi Bukhsh, r/o House No. D-15, Nago Shah Bhai Khan, Chari, Hyderabad. </t>
  </si>
  <si>
    <t xml:space="preserve">Under Investigation (KP)  D.I.Khan
</t>
  </si>
  <si>
    <t>Traced Person. Standing Council, Kurram Agency, submitted report  that Missing Person Dost Muhammad has been Killed by Taliban. In support he submitted statement's of elders of area. No one appeared in his behalf at the hearing.</t>
  </si>
  <si>
    <t xml:space="preserve">Under Investigation (KP) Peshawar 
</t>
  </si>
  <si>
    <t>Returned to Home and available at         (Ghari Mosam Khan, Bahadur Kaly, Tehsil &amp; District, Peshawar)</t>
  </si>
  <si>
    <t xml:space="preserve">Under Investigation (KP) Kohat
</t>
  </si>
  <si>
    <t>27/07/2016</t>
  </si>
  <si>
    <t xml:space="preserve">r/o, House No. 6/541, Liaquatabad, Karachi. </t>
  </si>
  <si>
    <t>Returned to Home and available at         ( House No. 2/2, B One Area, Liaquatabad, Karachi)</t>
  </si>
  <si>
    <t>Returned to Home and available at         (House No. 29, Minhas Plaza, Liaquatabad, Karachi.)</t>
  </si>
  <si>
    <t xml:space="preserve">Kamal Ahmed s/o Rizwan Ahmed </t>
  </si>
  <si>
    <t>Traced Person. Dead Body recovered. Missing Person was Killed during an encounter with CTD  in the Jurisdiction of Multan.</t>
  </si>
  <si>
    <t>30/07/2016</t>
  </si>
  <si>
    <t xml:space="preserve">Deleted. The Commission held hearing in this case on 4.11.2019 In the FIR there is no allegation against any LEAs. According to the reports submitted by the Reps of ISI, MI, FC (South) Special Branch and CTD, the missing person is not held in custody. JIT has categorized the case as the Missing Person has gone on his own. In view of these facts the case does not fall within the ambit of enforced disappearance. </t>
  </si>
  <si>
    <t xml:space="preserve">Under Investigation (KP)  Peshawar
</t>
  </si>
  <si>
    <t xml:space="preserve">Traced Person. Father of the Missing Person appeared before the Commission on 08/08/2018 and submitted that his son has returned to home. </t>
  </si>
  <si>
    <t>08/06/2016</t>
  </si>
  <si>
    <t xml:space="preserve">Under Investigation (ICT) 
</t>
  </si>
  <si>
    <t xml:space="preserve">Traced Person. According  to letter received from Nighat Ehsan, Sister of Rashid Kamal, he has returned home at Multan on 22/08/2018. IO of the case is present. He has also affirmed that Rashid Kamal has returned  to home.
</t>
  </si>
  <si>
    <t>Returned to Home and available at         143/F, Block No. 02, PECHS, Kashmir Road, Karachi.</t>
  </si>
  <si>
    <t xml:space="preserve">Traced Person. It has been intimated at the hearing on 30/10/2018 that Safraz Khan has been traced. He is presently confined in the Internment Center Paithom. Family members of Safraz Khan shall be facilitated to see him in the Internment Center as per rules and procedures. </t>
  </si>
  <si>
    <t>11/08/2016</t>
  </si>
  <si>
    <t xml:space="preserve">Under Investigation (Sindh)  Karachi
</t>
  </si>
  <si>
    <t xml:space="preserve">Under Investigation (Punjab)  Multan
</t>
  </si>
  <si>
    <t>Mst.Hina Iqbal, r/o House No. P-103, Street No. 07, Phase No. 05, Near Car Chowk, Gulraiz Houseing Society  Rawalpindi.(Mobile No.0345-5056248)</t>
  </si>
  <si>
    <t xml:space="preserve">Under Investigation (Punjab) Faislabad  
</t>
  </si>
  <si>
    <t>12/08/2016</t>
  </si>
  <si>
    <t xml:space="preserve">Under Investigation (KP) Swabi
</t>
  </si>
  <si>
    <t>17/08/2016</t>
  </si>
  <si>
    <t>18/08/2016</t>
  </si>
  <si>
    <t>Mst. Safia Yasmeen, r/o  Khurah, P.O Khass, Tehsil &amp; District Khushab. (Mobile No. 0332-7737586)</t>
  </si>
  <si>
    <t xml:space="preserve">Traced Person. Mukhtar Ahmed has been traced. He is presently confined in the Internment Center Fort Salop as per report of MI. Family members allowed to see him in the Center. 
</t>
  </si>
  <si>
    <t xml:space="preserve">Under Investigation (Punjab) Mianwali
</t>
  </si>
  <si>
    <t>Returned to Home and available at         (Galgala, P.O Nari South, Tehsil Tonsa Sharif, District, Dera Ghazi Khan)</t>
  </si>
  <si>
    <t xml:space="preserve">Traced Person.  Muhammad Zubair has been traced.  Muhammad Tahir b/o Muhammad Zubair entered appearance before the Commission on 08/05/2018 affirmed that Muhammad Zubair has returned home. </t>
  </si>
  <si>
    <t>29/08/2016</t>
  </si>
  <si>
    <t>Traced Person. Returned to Home and available at         (House No. D-79, Musarat Colony, Malir City, Karachi.)</t>
  </si>
  <si>
    <t>29/08/2017</t>
  </si>
  <si>
    <t>29/08/2018</t>
  </si>
  <si>
    <t>29/08/2019</t>
  </si>
  <si>
    <t>Traced Person. Returned to Home and available at         (House no. 404,51-B, Korangi, Karachi..)</t>
  </si>
  <si>
    <t>Traced Person. Confined in  the Internment Center, Lakki Marwat as informed by Rep of MI at the hearing on 7.11.2016.</t>
  </si>
  <si>
    <t>Traced Person. Confined in  District Jail, Kohat as informed by Rep of MI at the hearing on 7.11.2016. Father facilitated to see him.</t>
  </si>
  <si>
    <t xml:space="preserve">Under Investigation (KP)
Hangu
</t>
  </si>
  <si>
    <t>Traced Person. Returned to Home and available at         (House No. 29/C, Street No. 02, Rachana Town, Feroz Wala, Shadara Town, Lahore. Appeared before the Commission on 26.10.2016.</t>
  </si>
  <si>
    <t xml:space="preserve">Under Investigation (KP)
Charsadda
</t>
  </si>
  <si>
    <t>31/08/2016</t>
  </si>
  <si>
    <t xml:space="preserve">Traced Person.  Saleem Ullah has reportedly been killed in encounter by CTD, Multan. Family members informed accordingly case is being referred by Secretary/ Cabinet &amp; Secretary Punjab for further action.
</t>
  </si>
  <si>
    <t>05/09/2016</t>
  </si>
  <si>
    <t>Traced Person. Confined in  the Internment Center, Kohat as informed at the hearing on 5.12.16 by Rep of MI.</t>
  </si>
  <si>
    <t>09/09/2016</t>
  </si>
  <si>
    <t xml:space="preserve">Under Investigation (Punjab) Muzaffargarh
</t>
  </si>
  <si>
    <t>Traced Person. SP (Inv), Islamabad, submitted report  that Muhammad Anwar Khan has Returned to Home and available at his given address. Confrmed by his brother Arifullah at the hearing on 13.9.2017.</t>
  </si>
  <si>
    <t>15/09/2016</t>
  </si>
  <si>
    <t xml:space="preserve">Deleted. JIT and PTF conclude that the Missing Person had gone on hi own. There was no eye witness of the abduction. Brother of the Missing Person also appeared and stated that there was no allegation against any LEA or Security Agencies. All stakeholders have denied his arrest / custody o. Hence, the case does not fall within the ambit of enforced disappearance. </t>
  </si>
  <si>
    <t xml:space="preserve">Under Investigation (KP) Hangu
</t>
  </si>
  <si>
    <t>Returned to Home and available at         (Kuli Haji Nazar, Gardi Jungle, District Chaghai, Balochistan)</t>
  </si>
  <si>
    <t xml:space="preserve">Under Investigation (FATA) 
</t>
  </si>
  <si>
    <t>02</t>
  </si>
  <si>
    <t xml:space="preserve">Under Investigation (KP Mardan) 
</t>
  </si>
  <si>
    <t>20/09/2016</t>
  </si>
  <si>
    <t>Traced Person. DSP (Inv), Peshawar, submitted report  that Muhammad Kumal has Returned to Home and available at his house in Umer Zai, Orkazai Agency, Ali Khel, Tehsil &amp; District Kohat as informed by I.O of the case at the hearing on 20.9.2017.</t>
  </si>
  <si>
    <t>22/09/2016</t>
  </si>
  <si>
    <t>Saif Ullah Jan  s/o Mosam Khan</t>
  </si>
  <si>
    <t>23/09/2016</t>
  </si>
  <si>
    <t>Traced Person. Returned to Home and available at         (Iqbal Nagar, Kanwari Colony, Mangopir, Side, Karachi)</t>
  </si>
  <si>
    <t>Qandeel-ur-Rehman  Malik s/o Muhammad Masood-ur-Rehman Malik</t>
  </si>
  <si>
    <t xml:space="preserve">Traced Person. Muhammad Masood-ur-Rehman Malik f/o missing person appeared before the Commission on 1.10.2019, whose statement has been recorded on oath. According to him Muhammad Qandeel-ur-Rehman has returned to home. </t>
  </si>
  <si>
    <t>26/09/2016</t>
  </si>
  <si>
    <t>29/09/2016</t>
  </si>
  <si>
    <t xml:space="preserve">Deleted. Joint Investigation Team and Provincial Task Force concluded that the Missing Person has gone on his own. At the hearing held in this Commission on 24.4.2020, Zafar Khan (Complainant) appeared. He confirmed that he has not levelled any allegation against any of LEAs / Intelligence Agencies. Accordingly the case is not of enforced disappearance, hence closed. </t>
  </si>
  <si>
    <t xml:space="preserve">Traced Person. It was informed at the hearing held in this Commission on 9/7/2019 that Abdul Rauf is confined in Internment Center Char Bagh Army Camp, Swat. Family members have been allowed to meet him subject to prescribed procedure and all legal exceptions. </t>
  </si>
  <si>
    <t xml:space="preserve">Deleted. After investigation, JIT an PTF submitted conclusive reports that the Missing Person Dawood Shah had gone on his own. All stakeholders denied his arrest/ custody. The complainant Sair-ur-Rehman was called twice for recording his statement but he did not turn up. Apparently not a case of enforced disappearance. The case is closed.   </t>
  </si>
  <si>
    <t>03/10/2016</t>
  </si>
  <si>
    <t>Traced Person. Returned to Home and available at          House No. 640-N Sabaza Zar, Multan Road, Lahore as confirmed by his father at the hearing held on 20.11.17.</t>
  </si>
  <si>
    <t>06/10/2016</t>
  </si>
  <si>
    <t xml:space="preserve">Deleted. In the instant case JIT as well as PTF categorized the case as Missing Person has gone on his own. Aurangzeb (Complainant) also entered appearance before the Commission, whose statement was recorded on oath in which he deposed that he did not level allegation against any LEAs / Intelligence Agency. According, the case is closed. </t>
  </si>
  <si>
    <t xml:space="preserve">Deleted. The statement of the complainant indicated that his son Arshad Khan was mentally retarred and had gone on his own to Balochistan and returned but once again disappeared, Hence JIT, PTF the Commission arrived at conclusion that the case does not fall within the ambit of enforced disappearance, hence closed.   </t>
  </si>
  <si>
    <t>13/10/2016</t>
  </si>
  <si>
    <t>Traced Person. SHO PS Saddar, Wah, Rawalpindi appeared for hearing before the Commission submitted that Tallah Rafique had returned home. As per progress report dated 28.6.2018 which was submitted by him. Foregoing  in view, the case is closed.</t>
  </si>
  <si>
    <t>Returned to Home and available at         (Mohallah Siraye Khola, Zahoor Market, Near Tablaghee Markaz, Texila)</t>
  </si>
  <si>
    <t>14/10/2016</t>
  </si>
  <si>
    <t>15/10/2016</t>
  </si>
  <si>
    <t>Returned to Home and available at         ( House No. 186, Street No. 06, Kala Kot, Chakiwara, Liyari, Karachi. (Mobile No. 0321-2079925)</t>
  </si>
  <si>
    <t xml:space="preserve">Deleted. The case was categorized as of Kidnapping due to personal enmity by JIT on 11.11.2019. There is no eye witness of the occurrence. LEAs/ CTD have denied apprehension / custody of Saif-ul-Islam. Hence the case dose not fall within the purview of enforced disappearance.    </t>
  </si>
  <si>
    <t>18/10/2016</t>
  </si>
  <si>
    <t>22/10/2016</t>
  </si>
  <si>
    <t xml:space="preserve">Traced Person. On 13.12.2017 , the Commission observed that the dead body was identified by father of Syed Mir, however in the interest of Justice and for the sake of abundant caution, it was directed that DNA be got conducted to remove the suspicion lurking in the mind of his mother. </t>
  </si>
  <si>
    <t>24/10/2016</t>
  </si>
  <si>
    <t>FIR No.1003 dt.31/10/2016 u/s 302/364/34 PPC  PS/MRS,Kohat District Kohat.</t>
  </si>
  <si>
    <t>25/10/2016</t>
  </si>
  <si>
    <t>FIR No.1338 dt.26/11/2016  u/s 302/364/34 PPC  PS/West Cantt., Peshawar.</t>
  </si>
  <si>
    <t>31/10/2016</t>
  </si>
  <si>
    <t>Returned to Home and available at         Mohallah New Gulzar-e-Quaid, Airport, Link Road, Gangal, P.O Chakala, Rawalpindi.</t>
  </si>
  <si>
    <t>Traced Person. I.O, submitted report  that Missing Person has Returned to Home and available at his house Mian House, tariq Road, Mohallah Virk Park,Qamar Street, Sheikhupura.</t>
  </si>
  <si>
    <t>FIR No.713 dt.16/11/2016 u/s 365 PPC  PS/Saddar District Bannu..</t>
  </si>
  <si>
    <t xml:space="preserve">Under Investigation (KP) Bannu </t>
  </si>
  <si>
    <t>FIR No.317 dt.12/11/2016 u/s 365 PPC  PS/Hazro District Attock.</t>
  </si>
  <si>
    <t>FIR No.673 dt.9/11/2016 u/s 365 PPC  PS/Par Hoti,Mardan.</t>
  </si>
  <si>
    <t xml:space="preserve">Traced Person. Syed Nadeem Bacha has been traced. He has returned home. Father of traced person is present. He has affirmed that his son has returned home on Eid-ul-Fitar and is present at home. He further submitted that due to illness he could not make appearance before the Commission. </t>
  </si>
  <si>
    <t>FIR No.773 dt.19/11/2016 u/s 365 PPC  PS/Kalu Khan District Swabi.</t>
  </si>
  <si>
    <t>01/11/2016</t>
  </si>
  <si>
    <t xml:space="preserve">Deleted. It is stated in the report of SP, District Diamer that on 16.7.2016 a group of boys including the missing person while travelling back from Hunza to Lahore by a car, bearing Registration No. LWA-842, reportedly met an accident and fell into the Indus River due to massive land sliding at Tata Pani area on KKH in the jurisdiction of PS Goherabad. The complainant Asad Khan and Irshad Akram have given Affidavits placed on record that the missing persons have not been kidnapped by anyone and they have no objection if case is closed. Keeping in view the circumstances of the case, statement as mentioned hereinabove and report of JIT, the matter hardly falls within the ambit of enforced disappearance as there is no allegation against any of LEAs/ Intelligence Agencies , therefore further proceedings by the Commission are closed. </t>
  </si>
  <si>
    <t>03/11/2016</t>
  </si>
  <si>
    <t>Under Investigation (KP) Lakki  Marwat</t>
  </si>
  <si>
    <t>Syed Maratab Ali Shah s/o  Syed Ali Ahmed Shah Kazmi</t>
  </si>
  <si>
    <t>Asad Ali Shah, r/o  House No. 1250, Street No, 3G, G-10/4, Islamabad. (Mobile No. 0300-9253056 &amp; 0333-2519955)</t>
  </si>
  <si>
    <t>09/11/2016</t>
  </si>
  <si>
    <t>FIR No.98/2012  u/s 365/34 PPC,PS/Brewery,Quetta</t>
  </si>
  <si>
    <t>Under Investigation (KP)  Kark</t>
  </si>
  <si>
    <t xml:space="preserve">Deleted. In the Proforma for Missing Person there is no allegation against any LEAs/ Intelligence Agency. In the case 9 JIT meetings were convened and in the last three JIT reports dated 28.3.2019, 2.7.2019 and 11.11.2019 the case was categorized as of Missing Person has gone on his own. PTF also endorsed to findings of JIT. All LEAs/ CTD have categorical denied apprehension custody of Ghulam Ali. Hence the case dose not fall within the purview of enforced disappearance.   
</t>
  </si>
  <si>
    <t>10/11/2016</t>
  </si>
  <si>
    <t xml:space="preserve">Deleted. A joint investigation team consisting on Mr. Yaeeen Khan DSP, Inayat Khan, DSP (Inv), Lal Zada Inspector and Shehzad Mir ASI was constituted by CPO, Peshawar. Mr. Yaseen Khan DSP alongwith Lal Zada Inspector is present and submitted copy of progress report (Mark-A) which has been placed on record for perusal of the Commission. In the concluding Para of the report it is mentioned that notables of the area have not verified burial and Nimaz-e-Janaza of Muhabbat Shah. Prima facie it is not a case of enforced disappearance rather a case of personal enmity. The case therefore does not fall in the ambit of CoIoED, hence the case is closed. </t>
  </si>
  <si>
    <t xml:space="preserve">Traced Person. Habib-ur-Rehman has been traced. According to report received from Rep of MI, Habib-ur-Rehman is confined in the Internment Center Kohat since 30.4.2019. Father of Habib-ur-Rehman was affirmed that he has already met his son.
</t>
  </si>
  <si>
    <t xml:space="preserve">Traced Person. It was informed at the hearing held in this Commission on 10/07/2018 that Gul Shad was arrested and presently confined in Central Jail Kohat. He was arrested and later released on bail by competent Court of Jurisdiction. 
</t>
  </si>
  <si>
    <t>Returned to Home and available at         (Shamozai Chongi, Tehsil &amp; District Swat)</t>
  </si>
  <si>
    <t xml:space="preserve">Under Investigation 
</t>
  </si>
  <si>
    <t xml:space="preserve">Under Investigation (FATA)  
</t>
  </si>
  <si>
    <t>Deleted. Mr. Arif Javed, SP (Inv), Manshera has submitted that  last meeting of the JIT was held on 1.10.2019 and the case has again been categorized as missing person has gone on his own. Complainant Fazal Ahmed has appeared whose statement has been recorded on oath. According to him his son Rehmat Ullah went missing in the last week of November 2013 from his shop at Manshera and he did not produce any witness of the occurrence to the effect that his son was picked up by any Government Agency rather some unknown person demanded five lac and fifty thousand rupees for release of his son. He has further stated that his son Rehmat Ullah was not associated with any of Banned Organization. Not a case of enforced disappearance, hence closed.</t>
  </si>
  <si>
    <t xml:space="preserve">Under Investigation (KP) Peshawar
</t>
  </si>
  <si>
    <t>17/11/2016</t>
  </si>
  <si>
    <t>Ameen Gul s/o  Gul Shah</t>
  </si>
  <si>
    <t>Traced Person. SP (Inv), Nowshera, submitted report  that Missing Person has Returned to Home and available at  Village Jaroba, Mohallah Malik Meri, P.O Spain Khak, Tehsil &amp; District Nowshera.</t>
  </si>
  <si>
    <t xml:space="preserve">Under Investigation (Punjab) Attock
</t>
  </si>
  <si>
    <t xml:space="preserve">Under Investigation (Balochistan) 
</t>
  </si>
  <si>
    <t>Traced Person. Returned to Home and available at          his given address in Tehsil Kahrore Paka District Lodhran. Also appeared before the Commission on 22.8.17. Could not share details of his abduction.</t>
  </si>
  <si>
    <t>19/11/2016</t>
  </si>
  <si>
    <t>28/11/2016</t>
  </si>
  <si>
    <t xml:space="preserve">Deleted. In view of the statement and circumstances of the matter, does not fall within the ambit of enforced disappearance therefore the same be deleted from the list of enforced disappeared persons. </t>
  </si>
  <si>
    <t>Mantaha  s/o Noor Rehman Safi</t>
  </si>
  <si>
    <t xml:space="preserve">Under Investigation (KP) Swat
</t>
  </si>
  <si>
    <t>30/11/2016</t>
  </si>
  <si>
    <t>Naik Muhammad, r/o Killi Mula, Abdul Habbas, Kardi Jangal,  Tehsil Dalbandin District Chaghi. (Mobile No. 0344-4448750 &amp; 0344-8012819)</t>
  </si>
  <si>
    <t xml:space="preserve">Under Investigation (Balochistan) 
</t>
  </si>
  <si>
    <t xml:space="preserve">Traced Person. It was informed at the hearing held in this Commission on 05/09/2018 by DPO, Jehlum that Zia-ur-Rehman has been traced and returned to home. </t>
  </si>
  <si>
    <t xml:space="preserve">Under Investigation (Sindh)  Karachi
</t>
  </si>
  <si>
    <t xml:space="preserve">Under Investigation (KP)  Swat
</t>
  </si>
  <si>
    <t>02/12/2016</t>
  </si>
  <si>
    <t xml:space="preserve">Under Investigation (KP)  Peshawar
</t>
  </si>
  <si>
    <t>05/12/2016</t>
  </si>
  <si>
    <t>Returned to Home and available at         (House No. 144, Block- D, Unit No. 05, Latifabad, Hyderabad)</t>
  </si>
  <si>
    <t>07/12/2016</t>
  </si>
  <si>
    <t>Returned to Home and available at         Defence Housing Society, Karachi.</t>
  </si>
  <si>
    <t xml:space="preserve">Deleted  (SHO, Shah Faisal Colony,  submitted that complainant is not interested to Pursue this matter) </t>
  </si>
  <si>
    <t>Returned to Home and available at         (UC No. 05, Pak Colony, Karachi)</t>
  </si>
  <si>
    <t>Returned to Home and available at         (UC No. 30, Baldia Town, Karachi)</t>
  </si>
  <si>
    <t xml:space="preserve">Muhammad Ameen </t>
  </si>
  <si>
    <t>Traced Person. DSP, Jahan Khan Niazi , submitted that Missing Person is Returned to Home and available at         (House No. R-40, Ayaz Town, Block-02, Gulshan-e-Iqbal, Karachi.)</t>
  </si>
  <si>
    <t>Akhtar Manan s/o  Fazal Rahim</t>
  </si>
  <si>
    <t xml:space="preserve">Under Investigation (Punjab)  Dera Ghazi Khan
</t>
  </si>
  <si>
    <t xml:space="preserve">Under Investigation (Balochistan)  
</t>
  </si>
  <si>
    <t>08/12/2016</t>
  </si>
  <si>
    <t xml:space="preserve">Traced Person. Zia-ul-Haq farooqi Bacha has been traced. According to the report received from Rep of MI, Zia-ul-Haq Farooqi Bacha is presently confined in the Internment Center Paithom. Abdul Haq b/o traced person is present. He has been apprised of status of the case. </t>
  </si>
  <si>
    <t>14/12/2016</t>
  </si>
  <si>
    <t xml:space="preserve">Traced Person. According to report received from DPO, Khushab, Mustaffez-ur-Rehman has returned to home on 15/02/2018. </t>
  </si>
  <si>
    <t>Traced Person. Confined in  the Internment Center Fiaaghat as informed at the hearing on 3.2.2017 by SP (Inv) Swat.</t>
  </si>
  <si>
    <t>15/12/2016</t>
  </si>
  <si>
    <t>Bakhat  Akbar, r/o Mohallah Dakhnai, Kanjoo, District Swat. (Mobile No. 0345-1575032)</t>
  </si>
  <si>
    <t xml:space="preserve">Traced person. None has enterned appeared on behalf of the complainant. Shaukat has been traced. According to the report received from Rep of MI, Shaukat Ali is presently confined in the Internment Center Paaithom. SP (Inv), Swat is present. He has been apprised of status of the case. </t>
  </si>
  <si>
    <t>16/12/2016</t>
  </si>
  <si>
    <t>22/12/2016</t>
  </si>
  <si>
    <t xml:space="preserve">Traced Person. Saifat Ullah has been traced. He is confined in APA Jamrud Havalat. Hadyat Ullah brother of missing person appeared before the Commission and stated that he has already met him. </t>
  </si>
  <si>
    <t>Traced Person. Rep of MI submitted that  Younas Khan is Confined in Internment Center, Kohat under Action (in aid of Civil Power) Regulation 2011. Family Members have been allowed to meet him.</t>
  </si>
  <si>
    <t xml:space="preserve">Deleted. In view of conclusive report submitted by DIG, AJ&amp;K and the statement of ISI, MI , DSP and investigation officer there is no stretch of imagination that it is a case of enforced disappearance, therefore further further proceedings by the Commission would be a futile exercise . All out efforts were made by Alpine Club of Pakistan, Pak Army Police and mountaineers to locate the missing persons or their dead bodied but could not succeed. It appears from the above-mentioned statement and investigation report that these three persons and become victims of cracks of glaciers while climbing over Sarwali Choti mountain at district Neelam. The case accordingly stands disposed of as deleted. </t>
  </si>
  <si>
    <t>Traced Person. Returned to Home and available at          his given address in Jhelum. His father appeared before the Commission on 23.8.17 and confirmed.</t>
  </si>
  <si>
    <t>23/11/2016</t>
  </si>
  <si>
    <t>23/12/2016</t>
  </si>
  <si>
    <t xml:space="preserve">Traced Person. Khan Agha b/o Dil Agha appeared whose statement has been recorded on oath. According to him, his brother Dil Agha has been traced and presently he is under treatment in a hospital at Kabul, Afghanistan. </t>
  </si>
  <si>
    <t>29/12/2016</t>
  </si>
  <si>
    <t xml:space="preserve">Traced Person. Muhammad Ilyas has been traced. He is presently confined in Internment Center Fizaghat. DSP Aftab has entered appearance. His statement has been recorded on oath. He has produced report which has been placed on record. </t>
  </si>
  <si>
    <t>30/12/2016</t>
  </si>
  <si>
    <t>Mst. Jameela Begum, r/o  House No. A-290, PIA Housing Society, Phase No. 01, Ghulstan-e-Johar, Block No. 09, Karachi. (Mobile No. 0324-2890529)</t>
  </si>
  <si>
    <t>Traced Person. DSP, Jahan Khan Niazi , submitted that Missing Person is Returned to Home and available at         (House No. A-290, PIA Housing Society, Phase No. 01, Ghulstan-e-Johar, Block No. 09, Karachi)</t>
  </si>
  <si>
    <t>04/01/2017</t>
  </si>
  <si>
    <t>05/01/2017</t>
  </si>
  <si>
    <t>Traced Person. Confined in  Internment Center Kohat as informed at the hearing on 20.3.17 by Rep of MI.</t>
  </si>
  <si>
    <t xml:space="preserve">Traced (Confined in  Internment Center Kohat) </t>
  </si>
  <si>
    <t>Mehboob-ur-Rehman  s/o Abdul Salam Awan</t>
  </si>
  <si>
    <t>09/01/2017</t>
  </si>
  <si>
    <t xml:space="preserve">Traced Person. Umar Yar has entered appeared appearance before the Commission, accordingly his name be deleted from the list of Enforced Disappeared Persons and case consigned to record. </t>
  </si>
  <si>
    <t xml:space="preserve">Deleted. In the instant case as many as 9 JIT meetings were held and the case was categorized as a case of Missing Person has gone on his own by the JIT in all its reports. Matter was also taken up by PTF on 1.10.2019 and the PTF also categorized the case as that of Missing Person has gone on his own. During the course of investigation statements of 5 witnesses have been recorded and according to Police none of them is EW of the occurrence. Hence, the case is closed. </t>
  </si>
  <si>
    <t>10/01/2017</t>
  </si>
  <si>
    <t>14/01/2017</t>
  </si>
  <si>
    <t xml:space="preserve">Under Investigation (GB) </t>
  </si>
  <si>
    <t xml:space="preserve">Deleted. The Commission held a number of hearing in this case. The Commission has perused completed record which shows that in the FIR  and no allegation against any LEAs/ Agency. Hence not a case of enforced disappearance. Case is closed.  </t>
  </si>
  <si>
    <t>23/01/2017</t>
  </si>
  <si>
    <t>Traced Person. SP (Inv), Faisalabad, submitted   that Missing Person Muhammad Sajid has Returned to Home and available at his house in Chak No. 463/G-B, P.O Khas, Tehsil Samundri, Distt: Faisalabad.</t>
  </si>
  <si>
    <t>Arshad Ali,  r/o Mazar Colony, Street No. 09, House No. 36, Tehsil Taxila, District Rawalpindi. (Mobile No. 0302-5997992)</t>
  </si>
  <si>
    <t xml:space="preserve">Deleted. The complainant was lodged by Muhammad Shah brother of the Missing Person . Gul Nabi . At the hearing held on 14.3.2017 his brother Ameen apppeared before the Commission, who stated that Gul Nabi was a driver, he went out for job but did not return. There is no allegation against any LEA neither any witness of any occurance of abduction. Hence not a case of  emforced disappearance. </t>
  </si>
  <si>
    <t xml:space="preserve">Muhammad Anwar, r/o House No. 145, Mohallah Orangi Town, Sector No. 12/2, Karachi. </t>
  </si>
  <si>
    <t>Traced Person. A. Sattar Kashmri, DSP, Tando Allah Yar, submitted report  that Missing Person has Returned to Home and available at his given address. The fact was confirmed by his wife over mobile.</t>
  </si>
  <si>
    <t xml:space="preserve">Traced Person. Abdul Akhtar has been traced. Rep of MI is present. He has submitted that Abdul Akbar is presently confined in the Internment Center Lakki Marwat. Muhammad Ashraf brother of Abdul Akbar is present. He has been apprised  of status of the case. 
</t>
  </si>
  <si>
    <t>Traced Person. Confined in  the Internment Center Fizaghat as informed at the hearing on 9.3.2017 by Rep of MI. Wife confirmed.</t>
  </si>
  <si>
    <t>24/01/2017</t>
  </si>
  <si>
    <t xml:space="preserve">r/o, House No. F-1000, Sector No. 10, Orangi Town, Karachi. </t>
  </si>
  <si>
    <t xml:space="preserve">Traced Person. SDPO, Naizmabad submitted report  that Missing Person has Returned to Home and available at his house in House No. F-1000, Sector No. 10, Orangi Town, Karachi. </t>
  </si>
  <si>
    <t xml:space="preserve">Under Investigation (KP)  D.I.Khan
</t>
  </si>
  <si>
    <t>28/01/2017</t>
  </si>
  <si>
    <t>Traced (Confined in  Central Prison, Karachi)</t>
  </si>
  <si>
    <t xml:space="preserve">r/o, P.O Pir Baba, Village Bhai, Tehsil Gadezai, Bonair. </t>
  </si>
  <si>
    <t>Traced Person. Brother of Iqbal Hussain Khan , submitted at the hearing on 19.7.2017 that Missing Person, Iqbal Hussain Khan  is Confined at Central Paithom, Swat)</t>
  </si>
  <si>
    <t>30/01/2017</t>
  </si>
  <si>
    <t>31/01/2017</t>
  </si>
  <si>
    <t xml:space="preserve">Deleted. Report submitted on the hearing on 23.5.2018 indicates that after his disappearance Kamal-ud-Din contacted his mother on his cell phone and informed her that he will return after 2/3 days but thereafter his whereabouts are not know and the cell phone is also off. In the Performa of Missing Persons it is not alleged that he was taken away by any of the LEAs. The case is closed as it does not fall within the domain of enforced disappearance.
</t>
  </si>
  <si>
    <t xml:space="preserve">Traced Person. Tahir Mehmood entered appearance before the Commission on 27/06/2018 at Lahore. He submitted that the disappeared himself under compelling circumstances.  </t>
  </si>
  <si>
    <t xml:space="preserve">Traced Person. It was informed at the hearing held on 05/07/2018 that Syed Samar Abbas has been traced. He has returned to home. SHO Ps, Ramna affirmed that Syed Samar Abbas has returned to home. </t>
  </si>
  <si>
    <t xml:space="preserve">Under Investigation (Punjab) Bahawalpur
</t>
  </si>
  <si>
    <t>03/02/2017</t>
  </si>
  <si>
    <t>Returned to Home and available at         (House No. A-47, Rafa-e-Aam, Co-Operative Society, Malir Halt, Karachi)</t>
  </si>
  <si>
    <t>Traced Person. SP (Inv), Lahore, submitted at the hearing on 20.9.17  that Muhammad Tahir has Returned to Home and available at his house in Chak No. 154, District Sargodha.</t>
  </si>
  <si>
    <t xml:space="preserve">Traced Person. DPO, Sheikhupura, submitted at the hearing on 25.8.17  that Zaman Ahmed has Returned to Home and available at his house in  Siddiqui Colony, Near Jamia Farooqi, Sheikhupura. </t>
  </si>
  <si>
    <t xml:space="preserve">Under Investigation (KP) Peshawar
</t>
  </si>
  <si>
    <t xml:space="preserve">Akhtar Imran s/o Wajid Ali </t>
  </si>
  <si>
    <t xml:space="preserve">Traced Person. Akhtar Imam has been traced and returned to home. Both are present before the Commission. Statement of Akhtar Imam has been recorded on oath. 
</t>
  </si>
  <si>
    <t>04/02/2017</t>
  </si>
  <si>
    <t xml:space="preserve">Traced Person. Wajid Ali has been traced and returned to home. Both are present before the Commission. Statement of Wajid Ali has been recorded on oath. 
</t>
  </si>
  <si>
    <t>Traced Person. DSP/CTD, Sargodha, submitted report  that Missing Person Asad Abbas Aheer has Returned to Home.</t>
  </si>
  <si>
    <t>09/02/2017</t>
  </si>
  <si>
    <t xml:space="preserve">Traced Person. Abdul Rehman brother of missing person appeared before the Commission on 12/12/2018 and submitted that his brother Meherwan was confined in Internment Center Ghalani in Mohmand Agency. Accordingly the case is closed. </t>
  </si>
  <si>
    <t xml:space="preserve">Under Investigation (Punjab) Gujranwala
</t>
  </si>
  <si>
    <t>Syed Amjad Abbas Shah s/o Syed Ijaz Hussain  Shah</t>
  </si>
  <si>
    <t>Traced Person. DPO, Khushab, submitted report  that Missing Person Syed Amjad Abbas Shah has Returned  Home and available at his house in Ward No. 7, Shah Pur, Tehsil Shah Pur, District Sargodha.</t>
  </si>
  <si>
    <t>13/09/2017</t>
  </si>
  <si>
    <t xml:space="preserve">Under Investigation (KP) Mardan 
</t>
  </si>
  <si>
    <t>Traced Person. DSP Lasbela reported at the hearing on  7.12.17 that Khalid Bin Waleed has been killed in police encounter in area of PS Malir Karachi.</t>
  </si>
  <si>
    <t>15/02/2017</t>
  </si>
  <si>
    <t>Under Investigation (KP)
 D.I.Khan</t>
  </si>
  <si>
    <t>18/01/2017</t>
  </si>
  <si>
    <t>Traced Person. SP (Inv), Hangu, submitted report at the hearing on 27.12.17  that Safiad Zaman has Returned to Home and available at his house in Dowaba Maind Bazar, Tehsil Tal, District Hangu.</t>
  </si>
  <si>
    <t>Muhammad Asif s/o  Hamesh Gul</t>
  </si>
  <si>
    <t xml:space="preserve">Under Investigation (Punjab)
Bahawalnagar
</t>
  </si>
  <si>
    <t>Saleem, r/o 26 No. Chungi, Minar Wali Masjid, Hussain  Street, Islamabad. (Mobile No. 0343-8825510 &amp; 0335-0460606)</t>
  </si>
  <si>
    <t>Returned to Home and available at         House No. 23, Street No. 03, Sector No. E, Manzoor Colony, Karachi</t>
  </si>
  <si>
    <t>Traced Person. Inspector Altaf, representative of Home Department, Submitted that the Missing Person is Returned to Home and available at        House No. 115, Street No. 28, Khayban-e-Saher, Phase No. 06, DHA, Karachi</t>
  </si>
  <si>
    <t xml:space="preserve"> Mst. Asma Bano, r/o C-2, Farwa Home, Block No. 03, Karachi. (Mobile No. 0321-8224818)</t>
  </si>
  <si>
    <t xml:space="preserve">Under Investigation (Sindh) Karachi
</t>
  </si>
  <si>
    <t>Returned to Home and available at         C-2, Farwa Home, Block No. 03, Karachi.</t>
  </si>
  <si>
    <t>22/01/2017</t>
  </si>
  <si>
    <t xml:space="preserve">Under Investigation (KP) Hangu 
</t>
  </si>
  <si>
    <t xml:space="preserve">Hamid Jamal s/o Muhammad Jamal </t>
  </si>
  <si>
    <t>25/02/2017</t>
  </si>
  <si>
    <t>Traced Person. SSP (Inv), Multan Submitted at the hearing on 21.8.17 that Zeeshan Abbass has Returned to Home and available at          Basti Shaheed Abad, Mehmood Kot, Tehsil Kot Adu, District Muzaffagrah</t>
  </si>
  <si>
    <t>27/02/2017</t>
  </si>
  <si>
    <t>28/02/2017</t>
  </si>
  <si>
    <t>Traced Person.  Bilal Khan has reportedly been killed in encounter by CTD, Multan. Family members informed accordingly case is being referred by Secretary/ Cabinet &amp; Secretary Punjab for further action.</t>
  </si>
  <si>
    <t xml:space="preserve">Traced Person. Akhtar Imran has been traced. Father of traced person is present. He has affirmed that his son has returned to home and present at home. t
</t>
  </si>
  <si>
    <t xml:space="preserve">Traced Person. Muhammad Nisar Jaffari has been traced. Rep of MI is present, who has submitted report dated 2.5.2019, which stated that the case of Muhammad Nisar Jaffari is pending trial for (FGCM) on espionage charges, his brother has apprised of the status of the case. 
</t>
  </si>
  <si>
    <t xml:space="preserve">Deleted. Mubasshir Ahmed, complainant entered appearance on 1.2.2021 whose statement was recorded on oath, in which he stated that no allegation whatsoever was levelled against any LEAs/ Intelligence Agency in the complaint. H deposed that no evidence has come on record which may suggest that Nasir Mehmood Khan was abducted by any LEA/ Intelligence Agency. Since the case does not fall within the ambit of enforced disappearance, therefore the case was closed. </t>
  </si>
  <si>
    <t>03/03/2017</t>
  </si>
  <si>
    <t xml:space="preserve">Traced Person. CPO, Rawalpindi submitted report  that Missing Person has Returned to Home and available at his house in New Ghala Mandi, Gujar Khan. </t>
  </si>
  <si>
    <t>10/03/2017</t>
  </si>
  <si>
    <t xml:space="preserve">Under Investigation (KP) Swabi
</t>
  </si>
  <si>
    <t>Traced Person. Returned to Home as informed by I.O. at the hearing on 4.7.17 and available at         House No. 04, Street No. 1, Shadab Colony, Jhang Sadar.</t>
  </si>
  <si>
    <t xml:space="preserve">Lahore </t>
  </si>
  <si>
    <t xml:space="preserve">Traced Person. Kotoray has been traced and entered appearance before the Commission on 08/05/2018. He submitted that he went to Karachi on his own will and he was not abducted by anybody. 
</t>
  </si>
  <si>
    <t>Traced Person. SP (Inv), Islamabad has submitted at the hearing on 29.5.17  that Muhammad Waqas has returned and presently residing at his home.</t>
  </si>
  <si>
    <t>Traced Person. Returned to Home and available at         his given address.</t>
  </si>
  <si>
    <t xml:space="preserve">Traced Person. It was informed at the hearing held in this Commission on 11.6.2019 that Muhammad Ashraf Memon has returned to home. The report submitted by the Police Officer SDPO, Airport, Karachi is placed on record. </t>
  </si>
  <si>
    <t>13/03/2017</t>
  </si>
  <si>
    <t xml:space="preserve">Deleted. Not a case of enforced disappearances as theMissing Person is involved in case FIR No. 79/2016 PS, CTD, Multan and declared absconder by competent Court of jurisdiction. </t>
  </si>
  <si>
    <t xml:space="preserve">Traced Person. It was informed ta the hearing held in this Commission on 8/7/2019 that dead body of Missing Person Abdul Aziz was recovered which was handed over to legal heirs for burial. He was killed in encounter with the LEAs, CTD, Punjab Sheikhupura. </t>
  </si>
  <si>
    <t xml:space="preserve">Traced Person. It was informed at the hearing on 25/04/2018 that Muhammad Sajid was involved in Crime No. 74/16 at PS CTD, Multan. He has been decladre Proclaimed Offender by Court of Jurisdiction . </t>
  </si>
  <si>
    <t xml:space="preserve">Under Investigation (Punjab) Rawalpindi
</t>
  </si>
  <si>
    <t xml:space="preserve">Under Investigation (KPK) Lower Dir
</t>
  </si>
  <si>
    <t xml:space="preserve">Under Investigation (Punjab)  Gujranwala
</t>
  </si>
  <si>
    <t>Traced Person. DPO, Bannu, submitted report  that Missing Person has Returned to Home and available at his Faizabad, P.O Nawagai, Tehsil Mandanr, HQ, Daggar, District Bonair.</t>
  </si>
  <si>
    <t>15/03/2017</t>
  </si>
  <si>
    <t xml:space="preserve">Under Investigation (KP) D.I.Khan
</t>
  </si>
  <si>
    <t xml:space="preserve">Traced Person. Wali Muhammad father of Muhammad Amir has entered appearance before the Commission, whose statement has been recorded on oath. He has deposed that Muhammad Amir is his son and he filed complaint regarding his disappearance before the Commission in the year 2017. He was informed on 21.12.2019 that Muhammad Amir is detained in the Internment Center Lakki Marwat. He also stated that he went there along with his other son and met him in the aforesaid Internment Center. He further added that his complaint may be filed.  
</t>
  </si>
  <si>
    <t xml:space="preserve">Under Investigation (Punjab) Sahiwal
</t>
  </si>
  <si>
    <t>20/03/2017</t>
  </si>
  <si>
    <t>Awal Khan,  Sharab Kor, P.O Sando Khel, Tehsil Mohmand Agency, District Mohmand Agency. (Mobile No. 0301-8821922 &amp; 0305-9306952).</t>
  </si>
  <si>
    <t>Trace Person. SP (Inv),Faisalabad, submitted report  that  Muhammad Yasir is presently Confined in Central Jail, Multan in case FIR No: 54 dated 7.12.17 u/s 4/5 ESA r/w 7-ATA PS CTD, Multan.</t>
  </si>
  <si>
    <t xml:space="preserve">Saleem Javeed s/o Mehrab Gul </t>
  </si>
  <si>
    <t xml:space="preserve">Traced Person. SP (Inv), Tank appeared before the Commission on 11.2.2021 and submitted that Sheram Gul returned home. He further deposed that as per Sheram Gul statement he was not abducted by anybody rather he went to Karachi on his own and later returned home. </t>
  </si>
  <si>
    <t xml:space="preserve">Under Investigation (KP) Charsadda
</t>
  </si>
  <si>
    <t>Traced Person. Rep of MI, submitted at the hearing on 3.8.17 that  Shah Wazir  is Confined in Internment Center, Lakki Marwat under Action (in aid of Civil Regulation 2011)</t>
  </si>
  <si>
    <t>Traced Person. I.O, submitted report  that Muhammad Yaqoob has Returned  and available at his home. Appeared before the Commission on 8.2.2018.</t>
  </si>
  <si>
    <t>22/03/2017</t>
  </si>
  <si>
    <t>25/03/2017</t>
  </si>
  <si>
    <t xml:space="preserve">Mst. Maqsood Jan, r/o Mera Beri, P.O Golra Sharif, Islamabad. </t>
  </si>
  <si>
    <t xml:space="preserve">Deleted. Amir Shahzad b/o  Azhar Mehmood is present, whose statement has been recorded on oath. According to him Azhar Mehmood was suffering from mental ailment and was brought to spiritual leader namely Pir Nasar Ullah for treatment at Gujranwala and disappeared in mysterious circumstances. He further stated that his brother has not been picked up by any LEAs/intelligence agencies. 
</t>
  </si>
  <si>
    <t>Traced Person. DPO, Sargodha, submitted at the hearing on 31.10.17 that Umar Farooq has Returned to Home and available at   Street No. 04, Suleman Pura, Bahawal, District Sargodha. His brother confirmed.</t>
  </si>
  <si>
    <t xml:space="preserve">Deleted. Not a case of Enforced Disappearances as it revolves around dispute on a piece of land. </t>
  </si>
  <si>
    <t>Faizan Basir, r/o Sanj P.O Khas, Murree  District Rawalpindi. ( Mobile No. 03124724466</t>
  </si>
  <si>
    <t>27/03/2017</t>
  </si>
  <si>
    <t>29/03/2017</t>
  </si>
  <si>
    <t xml:space="preserve">Under Investigation (KP) Peshawar 
</t>
  </si>
  <si>
    <t>30/03/2017</t>
  </si>
  <si>
    <t xml:space="preserve">Deleted. In the instant case JIT as well as PTF categorized the case as Missing Person has gone on his own. ISI, MI, FC and CTD have denied apprehension/ custody of the Missing Person is not in their custody. Shah Bahadur (Complainant) also entered appearance before the Commission, whose statement was recorded on oath, in which he deposed that he did not level against any LEAs/ Intelligence Agency. Hence not a case of enforced disappearance. Accordingly, the case is closed. </t>
  </si>
  <si>
    <t>Mst. Tasleema Bibi, r/o Zeri  Gul Sheraki, Amal Khel, Dara Adam Khel, F.R, Kohat. (Mobile No. 0305-5398813 &amp; 0303-9283132)</t>
  </si>
  <si>
    <t xml:space="preserve">Traced Person. It has been informed at the hearing on 25/10/2018 that Sami Ullah has been traced. He is presently confined in the Internment Center Fizaghat. IO o the case is present. He has been apprised of status if the case. Family members of Sami Ullah shall be facilitated to see him in the Internment Center as per rules and procedure. </t>
  </si>
  <si>
    <t>01/04/2017</t>
  </si>
  <si>
    <t>Traced Person. Rep of FATA, Sectt, submitted report  that Missing Person has Returned to Home and available at his house in  Ayakor, P.O Sandu Khel, Tehsil Safi, District Mohmand Agency.</t>
  </si>
  <si>
    <t xml:space="preserve">Under Investigation (Punjab) Faisalabad 
</t>
  </si>
  <si>
    <t>Traced Person. Rep of MI , submitted at the hearing on 15.8.17 that  Mujahideen  is Confined in Internment Center Lakki Marwat under Action (in aid of Civil Regulation 2011)</t>
  </si>
  <si>
    <t xml:space="preserve">Deleted. In this case JIT as well PTF concluded the case to be of Missing Person ha gone on his own including IB, CTD denied arrest and detention of Midrar-ud-Din. Statement of Misbauddin (Brother) was recorded on oath in which he deposed that he had no allegation against any LEA. Hence, not a case of enforced disappearance and closed. </t>
  </si>
  <si>
    <t>10/04/2017</t>
  </si>
  <si>
    <t xml:space="preserve">Deleted. Mst. Samina Miraj, aunt of the Missing Person has appeared, whose statement has been recorded on oath. She has deposed that her nephew Yasir Arafat disappeared on 27.5.2016. She also stated that she lodged FIR regarding his disappearance in Police Station Whadat Colony, Lahore in which he nominated three persons namely Faheem Khan, Rizwan and Needo. She further added that in the complaint she has not leveled and allegation against LEAs/Intelligence Agencies. Hence, not a case of enforced disappearance. </t>
  </si>
  <si>
    <t>11/04/2017</t>
  </si>
  <si>
    <t>Traced Person. Returned to Home and available at          Village Espori, Tehsil Mirali, North Waziristan Agency as informed at the hearing on 21.8.2017.</t>
  </si>
  <si>
    <t>Khandan Khan  s/o Hameed Khan</t>
  </si>
  <si>
    <t>Traced Person. PA Mohmand Agency submitted report  that Missing Person Khandan Khan has Returned to Home and available at his house in Village Sami Khel, Tehsil Haleemzai, Mohmand Agency. Rep of ACS FATA confirmed at the hearing on 19.01.2018.</t>
  </si>
  <si>
    <t>Traced Person. \I.O, submitted report  that Missing Person has Returned to Home and available at his House Baloch Colony, Tehsil &amp; District Bahawalpur.</t>
  </si>
  <si>
    <t>Traced Person. I.O Submitted at the hearing on 24.7.17 that Shahid has Returned to Home and available at         (Jahan Abad, Tilagram, Tehsil Char Bagh, District Swat)</t>
  </si>
  <si>
    <t>13/04/2017</t>
  </si>
  <si>
    <t xml:space="preserve">Under Investigation (KP) Nowshera
</t>
  </si>
  <si>
    <t>Faiz  Ulah Khan s/o Baloch Khan</t>
  </si>
  <si>
    <t xml:space="preserve">Sayor Khan Complainant and step son of Faiz Ullah Khan appeared before the Commission at Quetta on 25.08.2021 and recorded his statement in which he deposed that Faiz Ullah Khan went to give money to somebody who had links with Jehadi organization. He further stated that they were four persons and two of them were killed and two were kidnapped. He further added that during the course of investigation no such evidence came on record that any LEA/ Intelligence Agency was involved in the disappearance of Faiz Ullah Khan. Hence no further action is required, the case is closed.
</t>
  </si>
  <si>
    <t>18/04/2017</t>
  </si>
  <si>
    <t>Sajid Hussain Khan, r/o  Bismillah Town, J.B/ 123, Sadhu Pur, Faisalabad. (Mobile No. 0312-7772480)</t>
  </si>
  <si>
    <t>19/04/2017</t>
  </si>
  <si>
    <t>Traced Person. I.O. submitted report at the hearing on 7.8.17 that Syed Imran Sajad has Returned to Home and available at  Tehsil Kalar Kahar, Village Chakwal. Younger brother confirmed.</t>
  </si>
  <si>
    <t xml:space="preserve">Traced Person. Amir Khan has been traced. He is confined in the District Jail Mardan. Father of Amir Khan is present. He has affirmed that his son is confined in District Jail, Mardan and he has already met him on a few occasions. </t>
  </si>
  <si>
    <t>21/04/2017</t>
  </si>
  <si>
    <t>Traced Person. IO, Ahmed Khan, Submitted report at the hearing on 24.8.17 that  Ahmed Khan has Returned to Home and available at            House No. G-71 Street No. 01, Phase No. 04 Officer Colony, Wah Cantt, Attock.</t>
  </si>
  <si>
    <t xml:space="preserve">Deleted. DSP, HQ, Attock submitted report that meeting of JIT has been conducted on 2.9.2019 and the case has again been categorized as a case of Kidnapping due to personal enmity. Perusal of the entire record shows that no allegation was leveled against LEAs/ Intelligence Agencies by the complainant in the complaint or at any later stage. Hence the case does not fall within the domain of enforced disappearance. Therefore deleted. </t>
  </si>
  <si>
    <t>22/04/2017</t>
  </si>
  <si>
    <t>Traced Person. I.O. submitted report at the hearing on 28.7.17  that  Nasir Iqbal,   is Confined at High Security Prison.</t>
  </si>
  <si>
    <t>24/04/2017</t>
  </si>
  <si>
    <t xml:space="preserve">Deleted. According to CoIoED Regulations 2011, "Enforce Disappearance/Missing Person" means such person as he has been picked up/taken into custody by one of the law enforcement/intelligence agencies, working under the Civilian or military control, in a manner which is contrary to the provision of law. In the instant case, it is concluded after thorough investigation and perusal of record that Ghufran Majeeb was suffering from mental disorder and went missing on his own. </t>
  </si>
  <si>
    <t>25/04/2017</t>
  </si>
  <si>
    <t xml:space="preserve">Deleted. In the instant case five Jit meetings are stated to have been conducted and the case was categorized as “Missing Person” has gone on his own. According to Raja Muhammad Naseer (complainant) his son Hassan Naseer Raja was a student of class- 9 in Government Pilot High School. There is no allegation against any LEAs / Intelligence Agency and according to reports received from ISI, MI and CTD the aforementioned missing person is not in their custody. </t>
  </si>
  <si>
    <t xml:space="preserve">Under Investigation (KP) Bannu
</t>
  </si>
  <si>
    <t xml:space="preserve">Bannu </t>
  </si>
  <si>
    <t>Traced Person. Returned to Home (DSP, Legal, Pak Patan submitted report at the hearing on 25.5.17 that Tahir Rasool has returned to home and available at  House No. 44-F, Arif Wala, District Pakpatan.</t>
  </si>
  <si>
    <t>26/04/2017</t>
  </si>
  <si>
    <t>Traced Person. Brother of Missing person, submitted   that  Inayat Rehman has Returned to Home and available at his given address.</t>
  </si>
  <si>
    <t>27/04/2017</t>
  </si>
  <si>
    <t>Muhammad Bilal, r/o  P.O Zar Gari, Tehsil &amp; District Hangu. (Mobile No. 0306-9062089)</t>
  </si>
  <si>
    <t>Traced Person. Muhammad Bilal brother of Muhammad Jabbar Submitted at the hearing on 29.8.17 that latter has Returned to Home and available at            P.O Zar Gari, Tehsil &amp; District Hangu.</t>
  </si>
  <si>
    <t>Traced Person. SP (Inv), Islamabad, submitted report  that Missing Person has Returned to Home and available at his house in Block No. 33-A, House No. 15, A.G.P.R Colony, G/9-2, Islamabad.</t>
  </si>
  <si>
    <t>Traced Person. SP (Inv), Abbottabad reported at the hearing on 30/04/2018 that Abdul Malik has been awarded life  Improvement by Military Court and he is confined ina Adyala Jail, Rawalpindi.</t>
  </si>
  <si>
    <t xml:space="preserve">Under Investigation (Sindh) Karachi 
</t>
  </si>
  <si>
    <t>28/04/2017</t>
  </si>
  <si>
    <t xml:space="preserve">Under Investigation (KP) Swat  
</t>
  </si>
  <si>
    <t>04/05/2017</t>
  </si>
  <si>
    <t>05/05/2017</t>
  </si>
  <si>
    <t>06/05/2017</t>
  </si>
  <si>
    <t>16/05/2017</t>
  </si>
  <si>
    <t xml:space="preserve">Under Investigation (KP) Malakand
</t>
  </si>
  <si>
    <t xml:space="preserve">Under Investigation (KP) Kohat
</t>
  </si>
  <si>
    <t>Traced Person. SP (Inv), Bannu Submitted report at the hearing on 21.8.17  that Asad Ullah has  Returned to Home and available at          Tehsil Mairan Shah, Village Baigan.</t>
  </si>
  <si>
    <t xml:space="preserve">Traced Person. APA, Bajur Agency submitted report that Missing Person Sajad  has Returned to Home and available at Gutaki Dak Khana Anayat Kulay, Tehsil Mehmend, District Bajor Agency. </t>
  </si>
  <si>
    <t>Hazrat Amin, r/o Village &amp; P/O Bizen  Khel, District &amp; Tehsil Banuu (Mobile No. 0336-9724759)</t>
  </si>
  <si>
    <t xml:space="preserve">Traced Person. Rep of MI mentioned report that Saad Ullah Khan is confined in Internment Center, Lakki Marwat under Action (in aid of Civil) Regulation 2011. Family Members have been allowed to meet him. </t>
  </si>
  <si>
    <t>Muhammad Qayyum s/o Ganeef  Shah</t>
  </si>
  <si>
    <t>Traced Person. Dead body recovered. SP (Inv), Hangu submitted that  Muhammad Qayyum martyred as a result of bomb blast. Their legal heirs have been paid compensation money amounting to Rs/ 300,000/- under "Shuhada Package" through DCO, Hangu.</t>
  </si>
  <si>
    <t>Traced Person. Dead body recovered. SP (Inv), Hangu submitted that  Muhammad Zakria martyred as a result of bomb blast. Their legal heirs have been paid compensation money amounting to Rs/ 300,000/- under "Shuhada Package" through DCO, Hangu.</t>
  </si>
  <si>
    <t xml:space="preserve">Traced Person. Muhammad Idrees Zia  father of Muhammad Awais, confirmed at the hearing on 05/04/2018 that the latter has returned to home. </t>
  </si>
  <si>
    <t xml:space="preserve">Traced Person. JIT informed at the hearing in this Commission on 13/04/2018 that Muhammad Imran is confined in the Internment Center, Lakki Marwat under Action (in aid of Civil) Regulation 2011. Family Members have been allowed to meet him. </t>
  </si>
  <si>
    <t>17/05/2017</t>
  </si>
  <si>
    <t>Traced Person. Inspector, Allah Nawaz, submitted that the Missing Person Muhammad Rizwan has Returned to Home and available at  Village Kiri, Umar Ada, District Tank.</t>
  </si>
  <si>
    <t>6059</t>
  </si>
  <si>
    <t xml:space="preserve">Deleted. Keeping in view the conclusion drawn in the reports of JIT and the affidavits of the aforementioned persons, the case does not fall within the ambit of enforced disappearance. Further proceeding by the Commission would be a futile exercise. </t>
  </si>
  <si>
    <t>Traced Person. Rep of MI, submitted at the hearing on 12.7.2017 that Jahanzeb  is Confined at Internment Center, Lakki Marwat.</t>
  </si>
  <si>
    <t xml:space="preserve">Bahadur Sher </t>
  </si>
  <si>
    <t>Traced Person. SDPO, Sharah-e-Faisal, Syed Shoukat Ali, submitted report  that Missing Person has Returned to Home and available at his house in  House No. 48, Iqbal Abad, Dirh Road, Karachi.</t>
  </si>
  <si>
    <t>Traced Person. Returned to Home and available at          Ghalo Chana, P.O Zar Gari, Tehsil Hangu, District Hangu.</t>
  </si>
  <si>
    <t>18/05/2017</t>
  </si>
  <si>
    <t>Traced Person. CCPO, Peshawar, submitted report  that Missing Person has Returned to Home and available at his house in Charsada Road, Near Deri Form, Maqsood Abad, Peshawar.</t>
  </si>
  <si>
    <t>Traced Person. Brother of Missing Person submitted that Niamat Ullah Khan is presently confined in Internment Center Fort Salop (Khyber Agency) and he has already met  his brother on 20//11/2017.</t>
  </si>
  <si>
    <t>20/05/2017</t>
  </si>
  <si>
    <t>21/05/2017</t>
  </si>
  <si>
    <t xml:space="preserve">Deleted . After having gone through the entire record, Commission is if the view that, Prima facie, case does not fall within the jurisdiction /domain of this Commission being nota a case of Enforced Disappearance. </t>
  </si>
  <si>
    <t>22/05/2017</t>
  </si>
  <si>
    <t>Traced Person. SHO, Sharah-e-Faisal submitted that the Missing Person has Returned to Home and available at       FL-G-16, Noman Grand City, Gulstan-e-Johar, Block No. 17, Karachi.</t>
  </si>
  <si>
    <t>Traced Person.  PTF as well as Brother of Bashir Ahmed submitted that the latter is Confined in District Jail Bannu.</t>
  </si>
  <si>
    <t>23/05/2017</t>
  </si>
  <si>
    <t>Traced Person. Brother of Abdul Hadi Submitted  that Missing Person Abdul Hadi has Returned to Home and available at his house. He did not disclose further details.</t>
  </si>
  <si>
    <t>Traced Person. I.O. submitted report  that Rehmat Ali has Returned to Home and available at his house. The Complainant Shahid Noor confirmed the statement.</t>
  </si>
  <si>
    <t>24/05/2017</t>
  </si>
  <si>
    <t>Traced Person. Inspector, Khushnood Javed, PS Bahaudrabad submitted that Missing Person Danial Arshad was arrested by CTD at Gujranwala  vide Crime No. 19/17.</t>
  </si>
  <si>
    <t>25/05/2017</t>
  </si>
  <si>
    <t>Syed  Naeem Akhtar Shah s/o Syed Bashir Ahmed Shah</t>
  </si>
  <si>
    <t>26/05/2017</t>
  </si>
  <si>
    <t>27/05/2017</t>
  </si>
  <si>
    <t xml:space="preserve">Traced Person. Muneer Ahmed Haqani has been traced. He entered appearance before the Commission on 08/05/2018. He has submitted that he has returned home on 07/03/2018; however he could not given further details regarding his detention. </t>
  </si>
  <si>
    <t xml:space="preserve">Deleted. In the JIT report submitted to the Commission, it has been incorporated that the missing person is involved in crime No. 213 and 381 PPC and the case was registered at PS Hub City. In his case Rasheed Ullah was on bail but thereafter he did not appear before the learned Trial Court and ultimately he was declared P.O. Since Rasheed Ullah is a Proclaimed Offender and therefore , it is not a case of enforced disappearance. </t>
  </si>
  <si>
    <t xml:space="preserve">Deleted. Case received from UNWEG, Closed (Due to incomplete Address) </t>
  </si>
  <si>
    <t xml:space="preserve">Mst. Syeda Tamseel Fatima, </t>
  </si>
  <si>
    <t>29/05/2017</t>
  </si>
  <si>
    <t>30/05/2017</t>
  </si>
  <si>
    <t xml:space="preserve">Traced Person. It was informed at the hearing held in this Commission on 15/10/2018 that Ghulam Raza Jarwar has returned to home. The report submitted by the Police Officer SHO, Tando Ghulam Ali is placed on record. </t>
  </si>
  <si>
    <t>01/06/2017</t>
  </si>
  <si>
    <t>Traced Person. Islam Sher, complainant was present  at the hearing on 18.3.2019. He has been apprised of the status of the case. He has affirmed that family members have already met Lal Sher in the Internment Centre Kohat.</t>
  </si>
  <si>
    <t>Traced Person. SP (Inv), Islamabad, submitted report  that Shehzad Ahmed has Returned to Home and available at his house. His brothe confirmed at the hearing on 11.9.17.</t>
  </si>
  <si>
    <t>05/06/2017</t>
  </si>
  <si>
    <t xml:space="preserve">Deleted. There is no concrete progress in the case except as mentioned in the previous orders passed on different dates by the Commission. JIT meeting was convened on 13.10.2019 and the case has been categorized as of Personal Enmity. The Commission has made all possible efforts to trace the whereabouts of Yasir Malik, which could not be fruitful. It is considered view of the Commission that it is not a case of Enforced Disappearance. </t>
  </si>
  <si>
    <t>06/06/2017</t>
  </si>
  <si>
    <t>Traced Person. SHO, Aziz Bhatti, submitted report  that Missing Person Adeel-ur-Rehman has Returned to Home and available at his house.</t>
  </si>
  <si>
    <t>07/06/2017</t>
  </si>
  <si>
    <t>09/06/2017</t>
  </si>
  <si>
    <t>Traced Person. SP (Inv), Civil Lines, Lahore, submitted report  that Missing Person Dr. Javed Iqbal Chaudhry has Returned to Home and available at his house in Qasim Ali Advocate, Atif Center, room No. 202, 2nd Floor.</t>
  </si>
  <si>
    <t>12/06/2017</t>
  </si>
  <si>
    <t>Traced Person. SP (Inv), Islamabad Submitted that the Missing Person Syed Jawad Hussain has been arrested in case FIR 410 u/s 302/34 PPC 7ATA,  CTD Rawalpindi and presently confined in Adiyala Jail, Rawalpindi.</t>
  </si>
  <si>
    <t xml:space="preserve">Traced Person. Imran Dad AC, Kech is present. He is submitted that Gul Muhammad has returned to home and his statement u/s161 CrPC has been recorded. In view if the above mentioned statement no further action is required to taken by the Commission. </t>
  </si>
  <si>
    <t>15/06/2017</t>
  </si>
  <si>
    <t xml:space="preserve">Traced Person. Waqar Saleem entered appearance before the Commission and submitted that he returned home safely. He, however submitted that he remained in detention for 54 days and thereafter he was released. Foregoing in view, the case is closed. </t>
  </si>
  <si>
    <t xml:space="preserve">Under Investigation (Fata) </t>
  </si>
  <si>
    <t>Traced Person. DPO, D.I.Khan, submitted that Missing Person, Noor Muhammad  is Confined at Internment Center, Lakki Marwat)</t>
  </si>
  <si>
    <t>Gulistasib Muhammad r/o  Top City Property Office, G-11 Markaz, Islamabad (Mobile No. 0301-5572618)</t>
  </si>
  <si>
    <t>Traced Person. SP (Inv), Islamabad, submitted that Missing Person, Muhammad Naveed  is (Returned to Home and available at  Top City Property Office, G-11 Markaz, Islamabad)</t>
  </si>
  <si>
    <t>Traced Person. SI, Sanaullah, PS Darakshan,  submitted report  that Missing Person has Returned to Home and available at his house in P/O Rajan Shah, Tehsil Karor, District Layyah</t>
  </si>
  <si>
    <t>19/06/2017</t>
  </si>
  <si>
    <t>21/06/2017</t>
  </si>
  <si>
    <t>20/06/2017</t>
  </si>
  <si>
    <t>Traced Person. Returned to Home and available at         Qureshi Colony, Railway Road Haripur.</t>
  </si>
  <si>
    <t>Traced Person. Haji Allah Nawaz, Inspector (Legal), Tank, submitted that the Missing Person has Returned to Home and available at  Village Kiri, Umar Ada, District Tank.</t>
  </si>
  <si>
    <t>29/06/2017</t>
  </si>
  <si>
    <t xml:space="preserve">Deleted. This case does not fall within the ambit of enforced disappearance as the lady went out of her home and did not return. </t>
  </si>
  <si>
    <t xml:space="preserve">Traced Person. After thorough investigation reports from all concerned it has been found that Hafeez Ullah was kidnapped by his relative and later killed due to dispute on smuggling and ransom. A sum of Rs. 67,00,000/- will be paid to the family of Hafeez Ullah. The case has been resolved  no further action is required the case is closed. </t>
  </si>
  <si>
    <t xml:space="preserve">Muhammad Faisal s/o Abdul Khaliq </t>
  </si>
  <si>
    <t xml:space="preserve">Traced Person. Abdul Qayyum Advocate, father of the missing person was present at the hearing on 13/12/2018 that his son Shazad Qayyum came back one day before Eid-ul-Fitr. There is no allegation against any of the State Agency/LEAs. </t>
  </si>
  <si>
    <t>Traced Person. Returned to Home and available at          Sector No. G-10/1, Plot No. 3-D, Buland Market, Islamabad.</t>
  </si>
  <si>
    <t xml:space="preserve">Under Investigation  (KP) Peshawar </t>
  </si>
  <si>
    <t xml:space="preserve">Traced Person. Rep of ACS FATA is present at the hearing on 16/10/2018 and submitted that DNA report has been received which is positive and after receiving DNA report the accused was arrested and the case is under trail in the court of AC Lower Orakzai. As the case is under trial so no further action is required to be taken by the Commission. </t>
  </si>
  <si>
    <t xml:space="preserve">Traced Person. Hearing  held in this Commission on 16/08/2018. Muhammad Tayyab has been traced. According to the report received from Rep of MI, Muhammad Tayyab is presently confined in the Internment Center, Paithom. Father of the traced person was present and apprised of status. </t>
  </si>
  <si>
    <t xml:space="preserve">Muhammad Khalil, r/o ZA- 1952-A, Dhoke Mangtal, Rawalpindi. </t>
  </si>
  <si>
    <t>Traced Person. Ashraf Shah, DSP (CIA), Islamabad, Submitted that the Missing Person is Returned to Home and available at           ZA- 1952-A, Dhoke Mangtal, Rawalpindi</t>
  </si>
  <si>
    <t>Traced Person. DSP (Inv), submitted report  that Missing Person has Returned to Home and available at his house in Near Post Office, Mohallah Shakoor Khan, Majhar Bazar, Akhora Khatak, District Nowshera.</t>
  </si>
  <si>
    <t xml:space="preserve">Under Investigation  (KP)  </t>
  </si>
  <si>
    <t>Under Investigation  (KP)  Kohat</t>
  </si>
  <si>
    <t>Under Investigation  (KP)  Swat</t>
  </si>
  <si>
    <t>10/07/2017</t>
  </si>
  <si>
    <t>11/07/2017</t>
  </si>
  <si>
    <t>Traced Person. Barkat Ullah Brother of Missing Person, submitted   that Missing Person has Returned to Home and available at his house in House No. 1001, Mohallah Zindah, Peer Gawalah Road, Rawalpindi.</t>
  </si>
  <si>
    <t>13/07/2017</t>
  </si>
  <si>
    <t>17/07/2017</t>
  </si>
  <si>
    <t xml:space="preserve">Traced Person. It was informed at the hearing on 11/09/2018 that Umair Muhammad Sadiq has been traced. He has returned to home. Ikram-ul-Haq father in-law of traced person has entered appearance and submitted that Umair Muhammad Sadiq returned home on 22/08/2018 and thereafter he went to Karachi. Ilram-ul-Haq did not furnish further details for obvious reasons. </t>
  </si>
  <si>
    <t xml:space="preserve">Syed Ahmed Ali Jaffari, r/o House No. 426, Hussain Abad, Near Imam Bargah Jaffaria, Karachi. </t>
  </si>
  <si>
    <t xml:space="preserve">Traced Person. It was informed at the hearing held in this Commission on 16/07/2018 that Syed  Sheraz Haider Ali is in the custody of Military Intelligence and under investigation on various charges. </t>
  </si>
  <si>
    <t>Traced Person. SHO, Baloch Colony, submitted   that Missing Person has Returned to Home and available at his house in Block 09, Karachi.</t>
  </si>
  <si>
    <t>19/07/2017</t>
  </si>
  <si>
    <t>Qasim, r/o  Behri Sand, UC Pidark, Tehsil Turbat , District Kech. (Mobile No. 0314-2277321)</t>
  </si>
  <si>
    <t>FIR No 36/2017
dt: 17/02/2017 365-A
P.S.City District Quetta</t>
  </si>
  <si>
    <t>24/07/2017</t>
  </si>
  <si>
    <t>27/07/2017</t>
  </si>
  <si>
    <t xml:space="preserve">Muhammad Mauvia </t>
  </si>
  <si>
    <t>r/o,  Mohallah Sharifabad, Ward No. 05, Tehsil Takht Bhai, District Mardan.</t>
  </si>
  <si>
    <t>Traced Person. DSP (Inv) Buner, Submitted that the Missing Person is Returned to Home and available at           Pir Baba, Village Docadda, Tehsil Gadezai, District Bonair.</t>
  </si>
  <si>
    <t>Traced Person. Brother of Missing Person, submitted that the Missing Person has Returned to Home and available at           Village Doshera, Tehsil &amp; District Charsadda.</t>
  </si>
  <si>
    <t>Traced Person. DSP (Inv), Peshawar, submitted report  that Missing Person has Returned to Home and available at his house in Village Dorba Khel, Tehsil Halemzai, Mohmand Agency, FATA.</t>
  </si>
  <si>
    <t xml:space="preserve">Shah Nawaz Khan </t>
  </si>
  <si>
    <t>Traced Person. It has been reported by MI that Kashif Khan is detained in Internment Center  at Ghallani, Mohmand Agency . Under Action (in aid of Civil Power) Regulation 2011. Family Members have been allowed to meet him.</t>
  </si>
  <si>
    <t xml:space="preserve">Traced Person. This case was received from UNWGIED, Geneva. Lt Col Sajid Mehmood , Rep of MI is present and submitted that Maulana Shah Alam Khan is presently detained in Internment Center, Lakki Marwat in accordance with provisions of Action (in Aid of Civil Power) Regulation, 2011. Akhtar Muhammad brother of Maulana Shah Alam Khan is present and he has stated that he met his brother on 28.5.2019 in Internment Center Lakki Marwat. </t>
  </si>
  <si>
    <t xml:space="preserve">Under Investigation (Punjab) </t>
  </si>
  <si>
    <t xml:space="preserve">Traced Person. It was informed at the hearing held in this Commission on 28.10.2019 that Mujhaid Ali has returned to home. He appeared before the Commission and his statement has been recorded on oath. Report submitted by SHO PS Gulshan-e-Iqbal is also placed on record. </t>
  </si>
  <si>
    <t>28/07/2017</t>
  </si>
  <si>
    <t>29/07/2017</t>
  </si>
  <si>
    <t xml:space="preserve">Traced Person. Usman Ullah has returned to home. He appeared before the Commission at the hearing on 03/01/2019 and his statement has been recorded on oath. </t>
  </si>
  <si>
    <t>31/07/2017</t>
  </si>
  <si>
    <t>Mst. Waheeda Bibi, r/o  Bartely, Bartana, Tehsil Mata, District Swat. (Mobile No. 0340-9051145)</t>
  </si>
  <si>
    <t>01/08/2017</t>
  </si>
  <si>
    <t>Under Investigation  (Sindh) Karachi</t>
  </si>
  <si>
    <t>Under Investigation  (Punjab) Bahawalpur</t>
  </si>
  <si>
    <t>02/08/2017</t>
  </si>
  <si>
    <t>Traced Person. Returned to Home and available at          Mohallah Zar gari, Dowaba, Tehsil Tal, District Hangu.</t>
  </si>
  <si>
    <t>04/08/2017</t>
  </si>
  <si>
    <t>Traced Person. SDPO, Sharah-e-Faisal, Syed Shoukat Ali, submitted report  that Missing Person has Returned to Home and available at his house in Flat No. T-16, Sassi Apartments, Gulistan-e-Johar, Block 4-A, Karachi.</t>
  </si>
  <si>
    <t>r/o,  Dawood Residency, Flat No. 108-F, Mohallah Gulzar, Malir , Karachi.</t>
  </si>
  <si>
    <t xml:space="preserve">Traced Person. SHO, Malir, submitted report  that Missing Person has Returned to Home and available at his house in Flat No. 108-F, Mohallah Gulzar, Malir , Karachi. </t>
  </si>
  <si>
    <t xml:space="preserve">Traced Person. It was informed at the hearing held in this Commission on 08/01/2019 that dead body of Missing Person was found as per report submitted by Inspector Ayub he was killed in encounter with LEAs. </t>
  </si>
  <si>
    <t>Under Investigation  (Balochistan)</t>
  </si>
  <si>
    <t>Traced Person. DSP (Legal) Noshki submitted report that Rehman Ameer was  murdered responsibility thereof clamied by BLA.</t>
  </si>
  <si>
    <t>Traced Person. SHO, Qasimabad Submitted that the Missing Person is Returned to Home and available at        House No. 78, Old Wadhat Colony, Shahbaz Village, Qaisamabad, Hyderabad.</t>
  </si>
  <si>
    <t>Sahib  Khan s/o Bahadur Khan</t>
  </si>
  <si>
    <t xml:space="preserve">Deleted. After investigation it has been concluded by JIT and PTF that the Missing Person has been abducted due to personal enmity. The Commission agrees to the conclusion, which is based on facts and thorough investigation. The case is therefore deleted from the list of enforced disappeared persons. </t>
  </si>
  <si>
    <t>Traced Person. Returned to Home and available at         House No. LR-7/24, Parvati Compound, Nashtar Road, Karachi.</t>
  </si>
  <si>
    <t>Traced Person. Returned to Home and available at          House No. R-90, Laal Shahbaz Colony, Sector No. 5-D, Karachi.</t>
  </si>
  <si>
    <t>Traced Person. SHO, Korangi, Jan Muhammad Submitted that the Missing Person Nasir Shah is Returned to Home and available at        House No. MC-246, Malir Khokrapar, Madina Colony, Karachi.</t>
  </si>
  <si>
    <t>Traced Person. Muhammad Mata, SHO, Bakhar, submitted report  that Missing Person has Returned to Home and available at his house in Chak No. 50-TDA, District Bhakar.</t>
  </si>
  <si>
    <t>Under Investigation  (KP) Swat</t>
  </si>
  <si>
    <t xml:space="preserve">Athar Mursaleen </t>
  </si>
  <si>
    <t xml:space="preserve">Traced Person. It was informed at the hearing held in this Commission on 14/01/2019 that Allah Rakhio had returned to home. He is not submitted any application after few days of his abduction. He further stated that his family did not submit any application to the UN. He appeared before the Commission and confirmed the reported position. </t>
  </si>
  <si>
    <t xml:space="preserve">Deleted. At the hearing held in this Commission on 20.2.2021 it was informed by PS Gadap Town that accused Raghib Hashmi was involved in criminal case FIR No. 272/97 u/s 1477/148/307 PPC of Gulzar Hajiri that he is sole absconder and not traceable at given address. He was not arrested and is not in Police custody. Hence the case is closed. </t>
  </si>
  <si>
    <t xml:space="preserve">Deleted. The case has been deleted due to incomplete/fake address as the Police could not locate the complainant/family in the absence of which no further proceedings could be initiated. </t>
  </si>
  <si>
    <t xml:space="preserve">Deleted . The case has been deleted due to incomplete/fake address as the Police could not locate the complainant / family in the absence of which no further proceedings could be initiated. The address given in the UNWG information report is Bangla Bazar, Orangi , Karachi, which is incomplete. The case be re-opened if complete address/ mobile no etc is provided by WGEID. </t>
  </si>
  <si>
    <t xml:space="preserve">Muhammad Ashfaq </t>
  </si>
  <si>
    <t xml:space="preserve">Imtiaz Ahmed </t>
  </si>
  <si>
    <t xml:space="preserve">r/o, Karimpura Road, Peshawar, KPK. </t>
  </si>
  <si>
    <t xml:space="preserve">Abdul Basit </t>
  </si>
  <si>
    <t xml:space="preserve">Traced Person. It was informed at the hearing held in this Commission on 24.10.2019 that Qazi Muhammad Alam has returned to home. He appeared before the Commission. The statement of the traced person has been recorded u/s 164 CrPC, which is available on record. The report submitted by SHO Shah Latif Town, Karachi is placed on record. </t>
  </si>
  <si>
    <t xml:space="preserve">Deleted. The case has been closed due to incomplete address as the Police could not locate the complainant / family in the absence of which no further proceedings could be initiated. The address given in the UNWG Report is Karachi University, Karachi which  is obviously incomplete. </t>
  </si>
  <si>
    <t xml:space="preserve">Traced Person. Syed Jamil Zaidi appeared before the Commission on 18.9.2019 alongwith SHO, PS Surjani Town, District West, Karachi. In written statement SHO submitted that Syed Jamil Zahid was taken away by some unknown persons and released after two /three days on 21.5.2016. The report is placed on record. </t>
  </si>
  <si>
    <t xml:space="preserve">Deleted. The case has been closed due to incomplete address as the Police could not locate the complainant / family in the absence of which no further proceedings could be initiated. The address in the UNWG Report is Clifton, Saddar Town, Karachi is incomplete. SSP, District South, Karachi submitted report that SHO Clifton visited the given address but no family / relatives knowing the missing person. Hence no further investigation is possible. The case is closed. </t>
  </si>
  <si>
    <t xml:space="preserve">Deleted. Naveed Alam, Additional SP, Lasbella appeared before the Commission on 10.1.2020 at Quetta, whose statement has been recorded on oath. He produced copied of relevant documents including report of JIT and orders of the Hon’ble Supreme Court of Pakistan. The case has been categorized by JIT as that of kidnaping for ransom. Hence not a case of enforced disappearance on no allegations has been leveled against any LEA. The case is closed. </t>
  </si>
  <si>
    <t xml:space="preserve">Deleted . In the Report received from WGEID the address of the abductee in mentioned as Karachi, Pakistan. Karachi is a metropolitan city having  large population. It is obviously impossible to locate the family and then trace the whereabouts of disappeared person. The case is accordingly deleted. </t>
  </si>
  <si>
    <t xml:space="preserve">Deleted. The case has been closed due to incomplete/fake address as the Police could not locate the complainant / family in the absence of which no further proceedings could be initiated. The address given in the UNWG Information Report is Karachi, which is obviously incomplete and it is not possible to locate a family in such a thickly populated city.  </t>
  </si>
  <si>
    <t xml:space="preserve">Deleted . In the Report received from WGEID the address of the abductee in mentioned as Layari, Karachi, Pakistan. Karachi is metropolitan city having a large population. It is obviously impossible to locate the family and then trace the whereabouts of disappeared person. The case is accordingly deleted. </t>
  </si>
  <si>
    <t xml:space="preserve">Syed Nadeem Alam </t>
  </si>
  <si>
    <t>Traced Person. DPO, Sahiwal is present. He has submitted that according to investigation Amjad Saleem got killed in encounter with CTD Gujranwala, however dead of the the Missing Person was not received bt the family members for the reasons best  known to the family.</t>
  </si>
  <si>
    <t>07/08/2017</t>
  </si>
  <si>
    <t>Under Investigation  (Punjab) Muzaffargarh</t>
  </si>
  <si>
    <t>Traced Person. Dead Body recovered. Missing Person was Killed during an encounter with  CTD. Addl. IG, CTD Punjab directed to conduct inquiry under CrPC 174 PPC.</t>
  </si>
  <si>
    <t xml:space="preserve">Under Investigation  (ICT) </t>
  </si>
  <si>
    <t xml:space="preserve">Deleted. After taking cognizance of the matter, process was issued to all concerned by the Commission on 10.8.2017. JIT constituted in the case concluded after five meetings that the Missing Person has gone on his own. ICT Task Force also arrived at the same conclusion. Reps of ISI, MI and CTD denied custody of Shahzad. Accordingly the case has been closed being not a case of enforced disappearance, rather Shahzad, who was a drug addict, has gone on his own. </t>
  </si>
  <si>
    <t>Under Investigation  (KP) Malakand</t>
  </si>
  <si>
    <t xml:space="preserve">Rasool Khan, r/o Mamo Khatkey, Peshawar. (Mobile No. 0314-9062626 &amp; 0345-9132084) </t>
  </si>
  <si>
    <t>Traced Person. I.O, submitted report  that Abdul Rehman has Returned to Home and available at his House. Appeared before the Commission on 8.2.2018.</t>
  </si>
  <si>
    <t xml:space="preserve">Traced Person. It was informed at the hearing held in this Commission on 13/08/2018 that Khalid Hussain has returned to home. The report submitted by SDPO, Shadman, Karachi is placed on record.  </t>
  </si>
  <si>
    <t xml:space="preserve">Naeem Khan, r/o Bady Korona, District Charsadda. </t>
  </si>
  <si>
    <t xml:space="preserve">Under Investigation  (KP) Charsadda </t>
  </si>
  <si>
    <t xml:space="preserve">Traced Person. Ahmad Shah has been traced. According to the report furnished at the hearing on 26/12/2018 by Rep of MI, he is presently confined in Internment Center, Paitham. </t>
  </si>
  <si>
    <t>10/08/2017</t>
  </si>
  <si>
    <t xml:space="preserve">Traced Person. Rep of FATA Secretariat, submitted report  that Missing Person has Returned to Home and available at his house in Village Dawani, Tehsil Sada, Lower Kurram Agency. </t>
  </si>
  <si>
    <t>11/08/2017</t>
  </si>
  <si>
    <t xml:space="preserve">Traced Person.  Complainant Nazar-ul-Islam appeared before the Commission at Quetta on 16.9.2019, whose statement has been recorded on oath. According to him, FIR was lodged by him in respect of his son Afnan Islam, who was abducted on 15.3.2017. That his son was set free on 15.9.2019 and returned home. He has further stated that the Police has also recorded statement of his son which he has produced and placed on file. </t>
  </si>
  <si>
    <t xml:space="preserve">Traced Person. At the hearing held on 27-06-2018 Hoonar b/o Jahanzeb Traced Person was present. He affirmed that his brother was confined in Internment Center Paithom and family members had already met him in the Internment Center. </t>
  </si>
  <si>
    <t>12/08/2017</t>
  </si>
  <si>
    <t>Traced Person. SDPO, Hussainabad, Hyderabad, submitted report  that Missing Person Punhal Sario has Returned to Home.</t>
  </si>
  <si>
    <t>Traced Person. I.O, submitted report  that Missing Person Mudassar Malik has Returned to Home.</t>
  </si>
  <si>
    <t xml:space="preserve">Traced Person. According to the reports received form Rep of MI, Atta Ullah is presently confined in the Internment Center Paithom. Family members of Atta UIlah shall be facilitated to see him in the Internment Center as per rules and procedures. </t>
  </si>
  <si>
    <t>Atta-ur-Rehman  s/o Abdul-ur-Rehman</t>
  </si>
  <si>
    <t xml:space="preserve">Deleted. Abdur Rehman father of missing person appeared on 22/11/2018. He moved an application which has been placed on record, in which he requested the Commission to close the case as all possible efforts have been made to find the whereabouts of Atta-ur-Rehman who was mentally upset. </t>
  </si>
  <si>
    <t>16/08/2017</t>
  </si>
  <si>
    <t>Under Investigation  (KP) Lower Dir</t>
  </si>
  <si>
    <t>Traced Person. Returned to Home and available at         illage Ali Pur Farash, District Islamabad.</t>
  </si>
  <si>
    <t>17/08/2017</t>
  </si>
  <si>
    <t>Traced Person. Returned to Home and available at         Mirpur Khas, Sindh.</t>
  </si>
  <si>
    <t>Traced Person. Sub Inspector , Muhammad Younas, submitted report  that Missing Person has Returned to Home and available at his house in Al- Karam Square, Karachi.</t>
  </si>
  <si>
    <t xml:space="preserve">Deleted. Not a case of enforced disappearance as Aziz Ahmed declared absconder in crime vide FIR No. 6/2012 and 159/2016 PS, Khorwah by competent court of jurisdiction. </t>
  </si>
  <si>
    <t xml:space="preserve">Traced Person. Report received from Rep of MI is available on record, perusal whereof shows that Mohib Ullah is interned in the Internment Center Lakki Marwat.  </t>
  </si>
  <si>
    <t>18/08/2017</t>
  </si>
  <si>
    <t>21/08/2017</t>
  </si>
  <si>
    <t>FIR No 594/17
dt: 11/08/2017 365-A
P.S.Multan Cantt District Multan</t>
  </si>
  <si>
    <t>Traced Person. SSP (Inv), Multan, submitted report  that Missing Person Shahid Waseem has Returned to Home and available at his house in Shahid Photo State, Near DPO Office, Khanewal.</t>
  </si>
  <si>
    <t>FIR No 276/17
dt: 03/052017 365-A
P.S.Bhara Khu District Islamabad</t>
  </si>
  <si>
    <t>Traced Person.  It was informed at the hearing on 09/05/2018 that Muhammad Kamran is presently confined in PS/CTD, Karachi. Report qua his arrest by CTD appears in various newspapers. Moreover Muhammad Riaz Abbasi f/o Missing Person confirmed authenticity of the information.</t>
  </si>
  <si>
    <t>22/08/2017</t>
  </si>
  <si>
    <t>23/08/2017</t>
  </si>
  <si>
    <t xml:space="preserve">Ubaid-ur-Rehman, r/o Hussain Khel, Tehsil F.R Kurram, District Kurram Agency. (Mobile No. 0305-9875534) </t>
  </si>
  <si>
    <t>24/08/2017</t>
  </si>
  <si>
    <t xml:space="preserve">Traced Person. Muhammad Aslam has been traced. He has entered appearance before the Commission, whose statement has been recorded in oath. He has deposed that he was abducted on 17th May, 2017 when he was travelling by public transport from Lahore to Allahabad. After a lapse of two and half year they released him and left near Tokhar Niaz Baig. He further added that he cannot recognize the persons who were involved in his abduction. He also submitted that this case may be filed. </t>
  </si>
  <si>
    <t xml:space="preserve">Deleted. It is indicated in the Proforma that Niaz Wali is mentally unsound person. Therefore the instant case hardly falls within the ambit if enforced disappearance. The case to extent of this Commission accordingly, stands disposed of. </t>
  </si>
  <si>
    <t xml:space="preserve">Traced person. It was informed at the hearing on 15/08/2018 Akhtar Zeb had been traced. According to the report received from Rep of MI, Akhtar Zeb was confined in the Internment Center Fizagat. Muhammad Subhan brother of Traced Person was present and apprised of status accordingly. </t>
  </si>
  <si>
    <t>Traced Person. Returned to Home and available at         Sindh University, Housing Society, Phase -I, Jamshoro, Sindh.</t>
  </si>
  <si>
    <t>Traced Person. Returned to Home and available at         C-50, Street No. 11 SUEHS, Phase-I, Jamshoro, Sindh.</t>
  </si>
  <si>
    <t>Under Investigation  (KP) Kohat</t>
  </si>
  <si>
    <t>30/08/2017</t>
  </si>
  <si>
    <t>FIR No 305/2012
dt: 11/08/2017 365-A
P.S.Peerabad  District Karachi</t>
  </si>
  <si>
    <t>Traced Person. SDPO, Manghopir, submitted report  that Missing Person has Returned to Home and available at his House No. R-1-1/12, Qasba Col;ony, Karachi.</t>
  </si>
  <si>
    <t>05/09/2017</t>
  </si>
  <si>
    <t xml:space="preserve">Traced Person. It was informed at the hearing held in this Commission on 9.12.2019 that Muhammad Ali Qureshi has returned to home. Family member Sister of the traced person appeared before the Commission and confirmed the reported position. SDPO, Manghopir, Karachi is also placed on record. </t>
  </si>
  <si>
    <t>Traced Person. SP (Inv) Sargodha, submitted report  that Syed Muhammad Zulqarnain Shah has Returned to Home and available at his house. Statements of family members also recorded.</t>
  </si>
  <si>
    <t>Under Investigation  (KP) Charsadda</t>
  </si>
  <si>
    <t>Under Investigation  (KP) Hangu</t>
  </si>
  <si>
    <t>Traced Person. SP (Inv), ICT, submitted report  that Missing Person has Returned to Home and available at his house in House no. 471, Street No. 51, G-9/1, Islamabad.</t>
  </si>
  <si>
    <t xml:space="preserve">Traced Person. It has been informed at the hearing on 24/10/2018 that Aziz has been traced. Presently he is confined in Internment Center Paithom. None has entered appearance on the behalf of Aziz. IO of the case is present. He has been apprised of the status of the case. Family member of Aziz shall be facilitated to see him in the Internment Center as per rule and procedure. </t>
  </si>
  <si>
    <t xml:space="preserve">Under Investigation  (KP) Swat </t>
  </si>
  <si>
    <t xml:space="preserve">Traced Person. It was informed at the hearing held in this Commission on 22/10/2018 that Inam Ullah Khan has returned to home. The report submitted by Police Officer, SDPO Sachal is placed on record. </t>
  </si>
  <si>
    <t>08/09/2017</t>
  </si>
  <si>
    <t xml:space="preserve">Under Investigation  (FATA) </t>
  </si>
  <si>
    <t>12/09/2017</t>
  </si>
  <si>
    <t xml:space="preserve">Deleted. After investigation, JIT / PTF concluded that the Missing Person has gone on his own. There is no eye witness of any incident of abduction. All stakeholders have denied apprehension / custody of Abdullah s/o Muhammad Nawaz. Hence, not a case of enforced disappearance. The case is closed. </t>
  </si>
  <si>
    <t>Under Investigation  (KP) Mardan</t>
  </si>
  <si>
    <t>Abdul Sattar, r/o  House No. A-17/288, Street No. 03, Saham Road, Rawalpindi Cantt. (Mobile No. 0336-0005153 &amp; 0300-5562986)</t>
  </si>
  <si>
    <t>Traced Person. Abdul Sattar Father of Missing Person, submitted   that Missing Person has Returned to Home and available at his house in House No. A-17/288, Street No. 03, Saham Road, Rawalpindi Cantt</t>
  </si>
  <si>
    <t xml:space="preserve">Traced Person. Wajid-ur-Rasheed has been traced. He appeared before the Commission on 15.1.2021 and his statement was recorded on oath, in which he stated that he was not abducted by anybody rather he went on his own will to his aunt at Kotli and returned home in March 2020. According this case stands disposed of. </t>
  </si>
  <si>
    <t>FIR No 142/17
dt: 23/03/2017 365-A
P.S.Malka Hans  District Pak Patan</t>
  </si>
  <si>
    <t>Traced Person. I.O, submitted report  that Missing Person Naveed Iqbal were Killed in  Police encounter.</t>
  </si>
  <si>
    <t>Under Investigation  (Punjab) Rawalpindi</t>
  </si>
  <si>
    <t xml:space="preserve">Mst. Mumtaz Mai, r/o House No. 01, Street No. 01,Fasial Town, Lahore. (Mobile No. 0300-5409661) </t>
  </si>
  <si>
    <t xml:space="preserve">Traced Person. It was informed at the hearing held in this Commission at Karachi on 09/07/2018 that Mr. Tariq Ahmed Siddiqui has returned to home. The report submitted by SDPO, Gulshan-e- Iqbal district East, Karachi is place on record. </t>
  </si>
  <si>
    <t xml:space="preserve">Deleted. The case has been closed due to non-prosecution as the complainant neither extended co-operation to the Investigation Officer nor attended hearings held on 26.2.2019, 10.4.2019 and 13.11.2019 despite notices. </t>
  </si>
  <si>
    <t xml:space="preserve">Traced Person. It was informed at the hearing on 06/09/2018 that Zakir Ullah was confined in the Internment Center Fizaghat (Swat). Familiy members of  Zakir Ullah shall be facilitated to see him in the Internment Center, subject to completion of all necessary formalities. </t>
  </si>
  <si>
    <t>14/09/2017</t>
  </si>
  <si>
    <t xml:space="preserve">FIR No. 47/18 dated 09.01.2018 u/s 365 PPC Ps Chung </t>
  </si>
  <si>
    <t xml:space="preserve">Traced Person. IO/SI Nasir Hameed appeared on hearing on 10.2.2020, whose statement has been recorded on oath. He has submitted that during the course of investigation it came on record that a case bearing FIR No. 24/17 dated 1.10.2017 u/s 186/324/302/353 PPC r/w ¾  ESA/7ATA PS CTD, Lahore was registered against Ameer Movia and he died as a result of encounter of Sheikhupura. He also added that Shukaat Ali Khan b/o the said Ameer Movia filed a case in this regard before the Judicial Magistrate, Sheikhupura for disinterment and handing over the dead body of his deceased brother. Since the Ameer Moavia is no more in this world, therefore the case stands closed. </t>
  </si>
  <si>
    <t>Mst. Pukhraj Mehmood Zaidi, r/o  KDA, Block OR, Ext 1 A, House No. 84/3, Karachi. (Mobile No. 92971551840321)</t>
  </si>
  <si>
    <t>Mst. Zakia Begum, r/o Mohallah Suji Pura, Bajwa Street,  Ringpura Road, Sialkot. (Mobile No. 0305-8700494 &amp; 0300-7140494)</t>
  </si>
  <si>
    <t>16/09/2017</t>
  </si>
  <si>
    <t xml:space="preserve">Traced Person. Father of Missing Person appeared before the Commission on 10/08/2018 and informed that his son is confined in Kot Lakhpat Jail, Lahore. </t>
  </si>
  <si>
    <t>26/09/2017</t>
  </si>
  <si>
    <t xml:space="preserve">Hearings have been held in this case by the Commission, JIT also held five meetings. The perusal of the complaint , FIR No. 393/16 dated 4.8.2016 statement on oath by father of the Missing Person before the Commission concludes that it is a case of “Kidnapping for ransom” in which the accused person is one Javed. Not being a case of enforced disappearance no further action is required. The case is closed. </t>
  </si>
  <si>
    <t xml:space="preserve">Khan Said s/o Ahmed Said </t>
  </si>
  <si>
    <t xml:space="preserve">Traced Person. Rep of MI informed at the hearing on 26/04/2018 that Khan Said is confined in Internment Center Paithom under Action (in aid of Civil) Regulation 2011. Family Members have been allowed to meet him. </t>
  </si>
  <si>
    <t>Traced Person. Returned to Home. Appeared before the Commission  at the hearing on 24/01/2018.</t>
  </si>
  <si>
    <t xml:space="preserve">Traced Person. Rep of MI appeared before the Commission on 26.10.2020. He has submitted that Mir Sardar Khan is presently interned in Internment Centre Kohat. Family members of Mir Sardar Khan will be allowed to see him as per rules and procedures. </t>
  </si>
  <si>
    <t xml:space="preserve">Traced Person. It was informed at the hearing in this Commission on 25/09/2018 that Munir Ali Khan has returned to home. He appeared before the Commission. The statement of traced person has been recorded u/s 164 CrPC, which is available on record. Family member wife of the traced person appeared before the Commission and confirmed the reported position. The report submitted by the Police Officer, DSP Gulberg is placed on record. </t>
  </si>
  <si>
    <t xml:space="preserve">Traced Person. SP (Inv), Kohat, submitted report  that Missing Person has Returned to Home and available at his house in  Wazir Kilay, Jarma, Near District Jail Kohat. </t>
  </si>
  <si>
    <t>Mst. Noor Jahan, r/o Sadu Sharif, Tehsil Babu Zai, District Swat. (Mobile No. 0342-7000997 &amp;  0348-8117841)</t>
  </si>
  <si>
    <t>12401-1721166-7
Father CNIC:
15602-7807270-3</t>
  </si>
  <si>
    <t xml:space="preserve">Traced Person. It was informed at the hearing held in this Commission on 19/11/2018 that Sami Ullah was interned in the Internment Center, Fort Salop, Khyber Agency. </t>
  </si>
  <si>
    <t xml:space="preserve">Deleted. SSP District Central Karachi appeared before the Commission on 23.10.2019. None appeared for the Missing Person. Report submitted indicates that the family is not reachable as given Mobile No. 0311-8475835 is switched off and nobody resides at the given address. Hence the case is closed due to non-prosecution. </t>
  </si>
  <si>
    <t>Muhammad Saeed, r/o Sur Dhond Fort Slop, Bara,  Khyber Agency. (Mobile No. 0333-8181241)</t>
  </si>
  <si>
    <t>02/10/2017</t>
  </si>
  <si>
    <t>Traced Person. SHO, Mehmoodabad, submitted report  that Missing Person has Returned to Home and available at his house in Sector- B, Street No. 08, House No. 342, Kashmir Colony, Near Bilal Masjid, Karachi</t>
  </si>
  <si>
    <t>Traced Person. I.O, submitted report  that Missing Person Muhammad Farooq has Returned to Home. Appeared before the Commission on 24/01/2018 and got his statement recorded.</t>
  </si>
  <si>
    <t>Rehmat Ullah, r/o  Basti Moavia Nagar, Tehsil Tanusa Sharif, District Dera Ghazi Khan. (Mobile No. 0348-7062637 &amp; 0343-6922734)</t>
  </si>
  <si>
    <t xml:space="preserve">Traced Person. It was informed at the hearing held in this Commission on 13/08/2018 that Ghulam Muhammad has returned to home. He appeared before the Commission. The report submitted by the SDPO, Shadman, Karachi is place on record. </t>
  </si>
  <si>
    <t xml:space="preserve">Deleted. Keeping in view of the JIT report statement of complainant and condition of the alleged missing person being mentally retorted, the case hardly falls within the purview of enforced disappearance. Further proceedings in the instant case by the Commission would be a futile exercise, therefore the case is accordingly dispose of however investigation is required to be continued in accordance with law.  
</t>
  </si>
  <si>
    <t>04/10/2017</t>
  </si>
  <si>
    <t>Mst. Qandara Bibi,  r/o Zareef Kor Tehsil Yak Ghund, District Mohmand Agency. (Mobile No. 0342-5424613 &amp; 0303-8474738)</t>
  </si>
  <si>
    <t xml:space="preserve">Under Investigation (KP)
</t>
  </si>
  <si>
    <t>Traced Person. I.O, submitted report  that Missing Person has Returned to Home and available at his house Ward No. 12, Karor District Layyah.</t>
  </si>
  <si>
    <t xml:space="preserve">Deleted. Adnan SI/Io of the case appeared before the Commission and submitted that he  recorded statement of Dawood Masood and Ali Akbar who are real brothers of Mehad-ul-Islam which depicts that Dawood Massod is out of country at the moment. In the statements it is also mentioned that Mehad-ul-Islam Missing Person was suffering from mental illness and that they have already deposed that Mehad-ul-Islam was not abducted by anybody. Under the circumstances mentioned hereinabove, apparently it is not a case of enforced disappearnce, so the case is closed. </t>
  </si>
  <si>
    <t>07/10/2017</t>
  </si>
  <si>
    <t>Traced Person. Father of Missing Person, submitted   that Syed Muhammad Farhan has Returned to Home and available at  house P-743, Batha Town, Block- N, North Nazimabad, Karachi.</t>
  </si>
  <si>
    <t>Mst. Fahmida Bibi, r/o  Hawaldara Wali Gali, Bahawalpur. (Mobile No. 0303-6630014)</t>
  </si>
  <si>
    <t>Traced Person. Dead Body recovered. Missing Person was Killed during an encounter with  CTD, dead body handed over to legal heirs.</t>
  </si>
  <si>
    <t>10/10/2017</t>
  </si>
  <si>
    <t xml:space="preserve">Deleted. This case is closed for wand of justification as there is no allegation against the law enforcement agencies. </t>
  </si>
  <si>
    <t>Under Investigation (Punjab)
Muzaffargarh</t>
  </si>
  <si>
    <t xml:space="preserve">Traced Person. Mureed Abbas Yazdani appeared before the Commission on 20.1.2021 at Lahore. In his statement he deposed that he was abducted by unknown persons on 7.12.2016. He was set free on 2.3.2020 at Islamabad from where he returned home. </t>
  </si>
  <si>
    <t xml:space="preserve">Traced Person. Complainant Muhammad Khan father of Muhammad Umer Farooq is present whose statement has been recorded on oath. Muhammad Umer Farooq returned home two days prior to the holy month of Ramdan. He further deposed that his son did not identify those persons. </t>
  </si>
  <si>
    <t xml:space="preserve">Traced Person. It was informed at the hearing held in this Commission on 05/11/2018 that Saad Ahmed had returned to home. The report submitted by the Police Officer is placed on record. </t>
  </si>
  <si>
    <t xml:space="preserve">Traced Person. It was informed at the hearing held in this Commission on 11.08.2021 that Syed Muhammad Noman has returned home. Syed Muhammad Zeeshan brother of Missing Person also appeared before the Commission and confirmed the reported position. SDPO, Gulshan-e-Iqbal, Karachi submitted identical report. The case is closed. </t>
  </si>
  <si>
    <t xml:space="preserve">Traced Person. It was informed at the hearing held in this Commission on 01.09.2021 that Muhammad Yameen is involved in Criminal Case vide FIR No. 159/17 dated 30.07.2017 u/s 302/34 PS Korangi, Karachi and confined in Central Jail Karachi. Muhammad Mubeen brother confirmed that he met his brother twice in Jail. Hence, no further action is required. The case is closed. </t>
  </si>
  <si>
    <t xml:space="preserve">Traced Person. It was informed at the hearing held in this Commission on 11.08.2021 that Fazal Wahid is confined in Internment Centre Paitham, District Swat in terms of Action (in aid of Civil) regulations, 2011. Family members have already seen him in the Internment Centre. </t>
  </si>
  <si>
    <t xml:space="preserve">Traced Person. Abdul Hakeem father of missing person appeared before the Commission at the hearing held on 4.11.2019, whose statement has been recorded on oath. He has deposed that Najeeb Ullah his son has returned to home about eight months ago and proceeded to Saudi Arabia four months ago for earning livelihood.  </t>
  </si>
  <si>
    <t xml:space="preserve">Traced Person. At the hearing held on 12/07/2018. Yasir Ali made appearance before the Commission. He remained in detention for 10 months and returned to home on 22/06/2018. Yasir Ali however, did not furnish further details regarding place of detention and persons involve in his disappearance. </t>
  </si>
  <si>
    <t>11/10/2017</t>
  </si>
  <si>
    <t>14/10/2017</t>
  </si>
  <si>
    <t xml:space="preserve">Deleted. It has been reported of the Intelligence Agency that Haider Ali was affiliated with Tehreek-eTaliban and remained involved in all types of terrorist activities that he have escaped to Afghanistan along with other militants. Accordingly, the case is closed. </t>
  </si>
  <si>
    <t>17/10/2017</t>
  </si>
  <si>
    <t>18/10/2017</t>
  </si>
  <si>
    <t>Traced Person. I.O, submitted   that Missing Person Abdul Samad has Returned to Home and available at  House No. B- 209, Sector D/31-PNT Society, Korangi, Karachi.</t>
  </si>
  <si>
    <t xml:space="preserve">Deleted. There are concurrent- findings in this case and PTF that Missing Person has gone on his own. All stakeholders have denied arrest/ custody of Mustafa is no evidence to infer that the case fall within the domain of enforced disappearance. Hence the case is closed. </t>
  </si>
  <si>
    <t>19/10/2017</t>
  </si>
  <si>
    <t xml:space="preserve">Traced Person. Complainant Aziz Ullah Khan b/o Shahenshah has appeared whose statement has been recorded on oath. According to him his brother Shahenshah is detained in the Internment Center Lakki Marwat. He also deposed that he met with his brother during the month of Ramzan. </t>
  </si>
  <si>
    <t>20/10/2017</t>
  </si>
  <si>
    <t xml:space="preserve">Traced Person. It has been intimidated at the hearing on 24/10/2018 that Ameer Jamal has been traced and presently he is confined in Internment Center Paithom. IO of the case is present. He has been apprised of the status of the case. </t>
  </si>
  <si>
    <t xml:space="preserve">Traced Person. At the hearing held on 27-06-2018 Muhammad Arshad was present. He submitted that he had returned to home on 12-05-2018. He further submitted that he was abducted in a Prado Vehicle and his face was ruffled by the abductors, however he could not furnish further details regarding place of detention and the persons involved on his disappearance. </t>
  </si>
  <si>
    <t>23/10/2017</t>
  </si>
  <si>
    <t xml:space="preserve">Mst. Shahida Begum, r/o House No. 06, Street No. D-6, Police Housing Colony, Nasir Bagh Road, Peshawar. </t>
  </si>
  <si>
    <t>Traced Person. SP (Inv) Peshawar, submitted report  that Missing Person has Returned to Home and available at his  House No. 06, Street No. D-6, Police Housing Colony, Nasir Bagh Road, Peshawar.</t>
  </si>
  <si>
    <t>24/10/2017</t>
  </si>
  <si>
    <t>Traced Person. I.O. Circle Officer (Inv), Bannu submitted report  that Missing Person has Returned to Home and available at his house in Jani Khel, District Bannu.</t>
  </si>
  <si>
    <t>26/10/2017</t>
  </si>
  <si>
    <t>FIR No 492/17
dt: 19/10/2017 365-A
P.S.City Mureed Key  District Sheikhupura</t>
  </si>
  <si>
    <t>Traced Person. Returned to Home and available at            Mohallah Ahmed Pura, Sheikh Ansar Street. District Sheikhupura.</t>
  </si>
  <si>
    <t>Traced Person.I.O, submitted report  that Missing Person has Returned to Home and available at his house in Dolat Zardari, Tehsil &amp; District Bannu.</t>
  </si>
  <si>
    <t>30/10/2017</t>
  </si>
  <si>
    <t xml:space="preserve">Hizar Shan, r/o Village Chaneray Safi, Tehsil &amp; District Mohmand Agency. (Mobile No. 0301-5533123) </t>
  </si>
  <si>
    <t xml:space="preserve">Hizar Shan, r/o Village Chaneray Safi, Tehsil &amp; District Mohmand Agency. (Mobile No. 0333-5373631 &amp; 0301-5533123) </t>
  </si>
  <si>
    <t xml:space="preserve">Traced Person. Shahzad Jan has been traced. Father of missing person namely Abdul Ghaffar is present. His statement has been recorded on oath. He has deposed that his son was abducted in 08.5.2017 by unknown persons and was kept in detention in some unknown place. </t>
  </si>
  <si>
    <t>61101-1955360-7
Re-Open</t>
  </si>
  <si>
    <t xml:space="preserve">Under Investigation (KP) Haripur 
</t>
  </si>
  <si>
    <t>Traced Person. DPO, Rajanpur, submitted report  that Missing Person Hamza has Returned to Home and available at his house in Rujhan, District Rajanpur.</t>
  </si>
  <si>
    <t>Traced Person. DPO, Rajanpur, submitted report  that Missing Person Muhammad Yousaf has Returned to Home and available at his house in Rujhan, District Rajanpur.</t>
  </si>
  <si>
    <t>Traced Person. DPO, Rajanpur, submitted report  that Missing Person Haroon has Returned to Home and available at his house in Rujhan, District Rajanpur.</t>
  </si>
  <si>
    <t>Traced Person. Saif Ullah Khan, SP (Inv), Rajanpur, submitted report  that Missing Person has Returned to Home and available at his house in Basti Abdullah, Rujhan, District Rajanpur.</t>
  </si>
  <si>
    <t>Traced Person. DPO, Rajanpur, submitted report  that Missing Person Imran has Returned to Home and available at his house in Basti Abdullah, Rujhan, District Rajanpur.</t>
  </si>
  <si>
    <t>31/10/2017</t>
  </si>
  <si>
    <t>04/11/2017</t>
  </si>
  <si>
    <t>Asghar Ali, r/o Mohallah Toheedabad, Village Shewa, Tehsil Raz, District Swabi. (Mobile No.  0344-9463410)</t>
  </si>
  <si>
    <t xml:space="preserve">Deleted. After investigation and receipt of reports from JIT/PTF concluding that Muhammad Yahya Khan had gone on his own and keeping in view the statement of Asghar Ali (Brother) that no allegation has been leveled against any of the LEAs, the case not found to be a case of enforced disappearance. Hence closed. </t>
  </si>
  <si>
    <t>06/11/2017</t>
  </si>
  <si>
    <t xml:space="preserve">Traced Person. Gulzar Ali appeared before the commission on 27/03/2018. He has returned to home. 
</t>
  </si>
  <si>
    <t xml:space="preserve">Traced Person. Zahir Ullah has been traced. He entered appearance before the Commission and submitted that he went to Karachi on his own and he was not abducted by anybody. However his is no more missing person, his name is accordingly deleted from the list of Enforced Disappeared Persons. </t>
  </si>
  <si>
    <t xml:space="preserve">Traced Person. Ahasn Ashafaq has been traced. He has returned home. Husnain Ashfaq who is real brother of Ahasn Ashfaq entered appearance before the Commission on 20.1.2021 at Lahore, whose statement has been recorded on oath, in which he deposed that Ahsan Ashfaq was not abducted by anybody. He went missing on his own will and returned home on 2.3.2020. Hence, the case is closed. </t>
  </si>
  <si>
    <t xml:space="preserve">Traced Person. Muhammad Tanzeel-ur-Rehman has appeared whose statement has been recorded on oath. According to him, he was picked up and taken away on 20/9/2017 by some unknown persons from Jamia Ubaidia, Faisalabad. He also submitted that he was suspected and interrogated but nothing was established against him, and was released on 14/6/2019. </t>
  </si>
  <si>
    <t xml:space="preserve">Rehamdad Khan, r/o Anzari Mehgan, Tehsil {indial, District Mohmand Agency. (Mobile No. 0306-9247012) </t>
  </si>
  <si>
    <t>Traced Person. CPO, Rawalpindi submitted report that  Ghazan Khan has returned to home. Appeared before the Commission on 15.2.18.</t>
  </si>
  <si>
    <t xml:space="preserve">Traced Person. Habib-ur-Rehman has returned to home. Qadeem Shah son of the missing person appeared on 21/01/2019. His statement has been recorded by the Commission on oath in which he affirmed that his father has returned home. </t>
  </si>
  <si>
    <t xml:space="preserve">Traced Person. Abdul Qadoos Chishti has been traced. He has returned to home. SHO PS City Jampur, Rajanpur furnished report dated 11.10.2019 that Abdul Qadoos got annoyed with his wife, disappeared on his own on 6.7.2019 and later returned to home. It is also mentioned in the report that he was not abducted by anybody. </t>
  </si>
  <si>
    <t>Naveed Mumtaz, r/o  Street No. 01, Mughal Street, Mohallah Islampur, Near Jinnah Grammer School, Jehlum. (Mobile No. 0307-4440281)</t>
  </si>
  <si>
    <t>Traced Person. I.O, submitted report  that Missing Person has Returned to Home and available at his house Street No. 01, Mughal Street, Mohallah Islampur, Near Jinnah Grammer School, Jehlum.</t>
  </si>
  <si>
    <t>Traced Person. DPO, Bannu, submitted report  that Amin-ur-Rehman has Returned to Home and available at Muslim Abad, Tehsil Kabal District, Swat.</t>
  </si>
  <si>
    <t>Traced Person. Returned to Home and available at         Gulshan-e-Mimar, Karachi.</t>
  </si>
  <si>
    <t xml:space="preserve">Traced Person. Returned to Home and available at         House No. B-209, P&amp; T Society, Sector No. 31-D, Korangi Karachi. </t>
  </si>
  <si>
    <t xml:space="preserve">Traced Person. It has been intimated at the hearing on 29/10/2018 that Hadyat Ullah has been traced. He is presently confined in the Internment Center Paithom. IO of the case was present who was apprised of status of the case. Family members of Hadyat Ullah shall be facilitated to see him in the Internment Center as per rules and procedures. </t>
  </si>
  <si>
    <t xml:space="preserve">Traced Person. SI/ IO, PS Noshki submitted report that Kalim Ullah has returned to home on 06/03/2019. He also produced statement of Kaleem Ullah.
</t>
  </si>
  <si>
    <t xml:space="preserve">Amir Khan </t>
  </si>
  <si>
    <t>Traced Person. Dad Muhammad brother of  Ijaz Ahmed appeared before the commission on 05/04/2019 and stated that the latter who disappeared on 03/02/2017 and returned to home on 04/02/2019.He was taken away by unknown persons and kept at unknown place.</t>
  </si>
  <si>
    <t xml:space="preserve">Traced Person. It was informed at the hearing on 31/03/2018 that Abdul Rehman was involved in Crime No. 239/17 at PS Brigade. He has been decladre Proclaimed Offender by Court of Jurisdiction. </t>
  </si>
  <si>
    <t>07/11/2017</t>
  </si>
  <si>
    <t>14/11/2017</t>
  </si>
  <si>
    <t xml:space="preserve">Traced Person. Iftikhar Ahmed son of Nasrullah Khan appeared before the Commission, whose statement has been recorded on oath. He has also produced a copy of statement recorded u/s 164 Cr.PC. There is nothing in his statement regarding involvement of any of the state Agency. According to him he was abducted by his uncle and his sons. </t>
  </si>
  <si>
    <t xml:space="preserve">Deleted. Jamal Khan is an Afghan national and the complaint before the Commission was lodged by one Murad Khan who entered appearance before the Commission at Peshawar on 14.9.2019 and submitted that he was not interested to pursue the case because the entire family of Jamal Khan has gone to Afghanistan. Accordingly the case is closed. </t>
  </si>
  <si>
    <t xml:space="preserve">Deleted. The Commission examined circumstances of the case in details, which indicates that the Missing Person was involved in inflict relations with a female in the Village. The JIT as well as PTF concluded that the Missing Person has gone on his own. Likewise, MI, ISI and local Police have denied his apprehension or custody. Hence does not appear to be a case of enforced disappearance. Hence the case is closed. </t>
  </si>
  <si>
    <t xml:space="preserve">Traced Person. According to the report received from IB, KP at the hearing on 26-06-2018 Rasheed Khan has returned to home. It is also affirmed by Rep of MI who was also present at the hearing. </t>
  </si>
  <si>
    <t xml:space="preserve">Farhad Ali </t>
  </si>
  <si>
    <t>15/11/2017</t>
  </si>
  <si>
    <t>Traced Person. SP (Inv), Saddar Divission, Lahore, submitted report  that Mufti Muhammad Ismail has Returned to Home. He was apprehended on 10.3.2013 but released subsequently.</t>
  </si>
  <si>
    <t>18/11/2017</t>
  </si>
  <si>
    <t xml:space="preserve">Deleted. SHO PS Industrial Area Quetta submitted report at the hearing that no complaint was lodged and no one appeared for lodging FIR. Since neither any complainant has come forward to cooperate with the investigating agency nor complete address has been mentioned in the complaint, therefore the case is closed for want of complete particulars. </t>
  </si>
  <si>
    <t>20/11/2017</t>
  </si>
  <si>
    <t>Traced Person. SHO, A- Section Dadu, submitted report  that Missing Person Amir Punhar Masroor Ahmed has Returned to Home and available at his house in  Azizabad Muhallah, Mondar Naka, Dadu Town, Sindh.</t>
  </si>
  <si>
    <t>21/11/2017</t>
  </si>
  <si>
    <t>Traced Person. SP (Inv), Islamabad, submitted report  that Muhammad Umar Farooq has Returned to Home and available at his house. His uncle appeared and confirmed before the Commission on 12.2.18.</t>
  </si>
  <si>
    <t xml:space="preserve">Deleted. Keeping in view of statement of Mst. Rehmat Bibi and JIT reports, the case hardly falls within the ambit of enforced disappearance; the same may be deleted from the list of enforced disappearance persons. 
</t>
  </si>
  <si>
    <t>22/11/2017</t>
  </si>
  <si>
    <t>Abdul Salam, r/o D- 15, Mohallah Usmania, Dhok Abbasi, Islamabad.  (Mobile No. 0315-5058296)</t>
  </si>
  <si>
    <t>Traced Person. SP (Inv), Islamabad, submitted report  that Missing Person has Returned to Home and available at his house in D- 15, Mohallah Usmania, Dhok Abbasi, Islamabad.</t>
  </si>
  <si>
    <t xml:space="preserve">r/o, Gulistan-e-Johar, Karachi. </t>
  </si>
  <si>
    <t xml:space="preserve">Deleted.  It has been reported that complainant party could not be contacted due to fake address on the flat indicated in the complainant was found locked. The Police report is supported by the statement from one Atteq-ur-Rehman. </t>
  </si>
  <si>
    <t>Traced Person. It was informed at the hearing on 20-06-2018 by Rep of MI that Burhan-ud-Din has been traced. He is presently confined in Internment Center at Kohat. Umar Daraz f/o  Burhan-ud-Din Traced Person was present under Action (in aid of Civil Power) Regulation 2011. Family Members have been allowed to meet him.</t>
  </si>
  <si>
    <t xml:space="preserve">Deleted. Last hearing in the case was held on 4.12.2019. Perusal of the entire record shows that no allegation was leveled against LEAs/Intelligence Agencies by the complainant in the complaint or at any later stage. Circumstances and facts of the case indicate that there is absolutely nothing which can bring the matter within the domain of Enforced Disappearance. </t>
  </si>
  <si>
    <t>Traced Person. It was informed at the hearing on 26-06-2018 that Niaz Muhammad has been traced. According to letter by PA Mohmand Agency that Niaz Muhammad was handed over by Swat Scouts to Political Administration Mohmand Agency. Mr. Nasir Khan Coordinator has entered appearance on behalf of ACS FATA and submitted that Niaz Muhammad’ s  case is under trial.</t>
  </si>
  <si>
    <t xml:space="preserve">Under Investigation (KP) Lower Dir </t>
  </si>
  <si>
    <t xml:space="preserve">Deleted. The case was also categorized as of Missing Person has gone on his own by JIT on 12.11.2019. Reps of ISI, MI and FC denied custody of Saeed Karim. Reports from CTD also denies arrest of Saeed Karim. Accordingly, the case does not fall within the domain of enforced disappearance. Hence closed.  </t>
  </si>
  <si>
    <t>15305-6906266-7
Father CNIC</t>
  </si>
  <si>
    <t>27/11/2017</t>
  </si>
  <si>
    <t xml:space="preserve">Traced Person. Awal Gul entered appearance for the hearing on 07/09/2018 and previously also on two occasions, he was abducted but released. This time he remained in detention for three months and was set free 10/15 days ago. He has submitted that he was taken into custody by CTD, however he could not furnish details regarding persons involved and place where he was detained.
</t>
  </si>
  <si>
    <t>Traced Person. SHO Sarkand  Imam Din submitted that address is incomplete and no one has come forward to lodge any complaint with the Police. Closed (Due to in Complete address.</t>
  </si>
  <si>
    <t>Traced Person. DSP, Aurangzaib Abbasi, submitted report  that Missing Person Farman Ali has Returned to Home and available at his house in  House No. C-48 Para Farm,Colony, Tando Jam, Hyderabad, Taluka, Hyderabad.</t>
  </si>
  <si>
    <t>Traced Person. SIP, Javed, PS Shah Faisal, submitted report  that Missing Person Muhammad Farhan has Returned to Home and available at his house in  House No. 2/135, Shah Faisal Colony, Block No. 02, Karachi.</t>
  </si>
  <si>
    <t xml:space="preserve"> 4484-S 3692-S</t>
  </si>
  <si>
    <t xml:space="preserve">Abdul Ghafoor </t>
  </si>
  <si>
    <t xml:space="preserve">Deleted. It has been reported that family of Mujeeb-ur-Rehman is not Co-operating with the investigation. Moreover he is member of anti-state origination etc. However the case does not fall within the domain of enforced disappearance. </t>
  </si>
  <si>
    <t xml:space="preserve">Traced Person. Bashir Ahmed, Inspector/I.O from turbat is present. He has submitted that Imran s/o Wali Muhammad has returned to home. It is to be noted that the case was received from UNWG. In view if the categoric statement a made by the IO no further action is to be taken by the Commission. 
</t>
  </si>
  <si>
    <t xml:space="preserve">Traced Person On 26.5.2018 SP, Panjgur appeared before the Commission and submitted that the Missing Person himself had gone to Iran to have a job a year before and unable to contact his family members. In view of this report supported by relevant documents it is no more a case of enforced disappearance and the case is closed.
</t>
  </si>
  <si>
    <t xml:space="preserve">Traced Person. Report has been submitted by Mr. Muhammad Rafique DSP/SDPO, Awaran on behalf of SP (Inv) Awaran, which shows that the alleged Missing Person is a Levies Constable and is performing his duty. Such statement is supported by the statement of the alleged Missing Person. Now this is no more a case of enforced disappearance. The matter is filed.
</t>
  </si>
  <si>
    <t xml:space="preserve">Traced Person Mr. Muhammad Rafique, DSP/SDPO Awaran made appearance before the Commission on 25.5.2018 at Quetta and submitted report which shows that Taimoor Naeem s/o Muhammad Naeem and Majid Aslam s/o Muhammad Aslam are employees of HRA and they are performing their duty in the Department. This report is taken on record.
</t>
  </si>
  <si>
    <t xml:space="preserve">Traced Person Mr. Muhammad Rafique, DSP/SDPO Awaran made appearance before the Commission on 25.5.2018 at Quetta and submitted report which shows that Taimoor Naeem s/o Muhammad Naeem and Majid Aslam s/o Muhammad Aslam are employees of HRA and they are performing their duty in the Department. This report is taken on record.)
</t>
  </si>
  <si>
    <t xml:space="preserve">Samood Khan, r/o P.O Box Pir Baba, Village Docadda, Tehsil Gadezai, District Bonair, </t>
  </si>
  <si>
    <t xml:space="preserve">Sher Ali, r/o Baro Khel, Tehsil Haleemzai, Mohmand Agency. </t>
  </si>
  <si>
    <t xml:space="preserve">Under Investigation (Punjab) Multan
</t>
  </si>
  <si>
    <t>Traced Person. SP (Inv), Hangu, submitted report  that Missing Person has Returned to Home and available at his house in Doband, Tehsil &amp; District Hangu.</t>
  </si>
  <si>
    <t>Traced Person. Brother of Missing Person submitted that Arooj Gul has been traced. He further submitted that Arooj Gul  was not abducted by anyone rather than she went on her own to Lahore.</t>
  </si>
  <si>
    <t xml:space="preserve">Traced Person. Nazar Abbas has been traced. He has entered appearance before the Commission on 13.2.2020, whose statement has been recorded on oath. According to him, he was picked up on 27.2.2017 and taken away forcibly by some unknown persons. He also stated that he was taken to some unknown place. He also deposed that on 29.10.2019 he was released. According to him he cannot identify those persons who abducted him, even if they are brought before him. </t>
  </si>
  <si>
    <t xml:space="preserve">Traced Person. It has been informed at the hearing on 23/10/2018 that Sardar Hussain has been traced and he is presently confined in Internment Center Paithom. None has entered appearance on the behalf of Sardar Hussain. IO of the case is present. He has been  apprised of the status of the case. 
</t>
  </si>
  <si>
    <t xml:space="preserve">Traced Person. It was informed at the hearing held on 23/10/2018 that Syed Barkat Ullah is presently confined in Internment center Fizaghat. Family members of Syed Barkat Ullah shall be facilitated to see him in the Internment Center as per rules and procedures. </t>
  </si>
  <si>
    <t>Under Investigation (KP)
Malakand</t>
  </si>
  <si>
    <t>Under Investigation (KP)
Bannu</t>
  </si>
  <si>
    <t xml:space="preserve">Mst. Shazmeina, Madina Colony, D.I. Khan. (Mobile No.0316-0917445) </t>
  </si>
  <si>
    <t>Traced Person. DPO, D.I.Khan, submitted report  that Zafar Ali has Returned to Home and available at Madina Colony, D.I. Khan.</t>
  </si>
  <si>
    <t>Traced Person. SP (Inv), Faisalabad, submitted report  that Iqra has Returned to Home and available at her house. Mst. Suraya Begum, grand mother confirmed.</t>
  </si>
  <si>
    <t>06/12/2017</t>
  </si>
  <si>
    <t xml:space="preserve">Deleted. Jit and PTF concluded in their reports that Kizar Hayat Wattoo ha gone on his own. All stakeholders denied his arrest or apprehension. Neither any allegation levelled against any LEAs/ Intelligence Agencies nor any evidence came on record to infer to enforced disappearance. Hence, the case is closed. </t>
  </si>
  <si>
    <t xml:space="preserve">Due to President CoIoED order case is not to fix for hearing. </t>
  </si>
  <si>
    <t xml:space="preserve">Traced Person. At the hearing held on 30-05-2018. It was informed that Mushtaq Khan has been traced. He appeared before the Commission. However he could not furnish detail regarding the persons involved or place where he was kept in detention. His name is accordingly deleted from the list of Enforced Disappeared Persons. </t>
  </si>
  <si>
    <t xml:space="preserve">Traced Person. JIT reported at the hearing held on 25/09/2018 that Saeed Muhammad has returned to home. I.O has further submitted that Saeed Muhammad is reluctant to enter appearance before the Commission. </t>
  </si>
  <si>
    <t xml:space="preserve"> Manzary is not the father of abullah. Mumtaz Khan is father of Abdullah.</t>
  </si>
  <si>
    <t>Traced Person. Rep of MI submitted that the Missing Person Naseeb Ullah is Confined in Internment Center, Lakki Marwat  under Action (in aid of Civil Power) Regulation 2011. Family Members have been allowed to meet him.</t>
  </si>
  <si>
    <t>07/12/2017</t>
  </si>
  <si>
    <t xml:space="preserve">Traced Person. It was informed at the hearing held in this Commission on 30/07/2018 that Hameed Ullah has returned to home. The report submitted by Zawar Hussain, SDPO, Sohrab Goth, District Malr, Karachi is placed on record. </t>
  </si>
  <si>
    <t>14/12/2017</t>
  </si>
  <si>
    <t>Muhammad Abdullah, r/o  Patoyala Palay, Maal Khel, District South Waziristan Agency. (Mobile No. 0333-9352964)</t>
  </si>
  <si>
    <t xml:space="preserve">Deleted. After receipt of complaint the Commission as well as Reps of all stake holders tried to locate the complainant but failed as no latter was found even in his Mobile Number. Hence the case is deleted due to non-prosecution. </t>
  </si>
  <si>
    <t>Traced Person. SP (Inv), Peshawar submitted report  that Zia Ullah is presently confined in District Jail Kohat in a case u/s 4/5 ESA, 7-ATA.</t>
  </si>
  <si>
    <t xml:space="preserve">Mst. Bakht Bibi, r/o, Usman Khel, P.O Rahimabad, Qambar, Tehsil babu Zai, District Swat. (Mobile No. 0315-8836782) </t>
  </si>
  <si>
    <t xml:space="preserve">Traced Person. It was informed at the hearing held in this Commission on 13.11.2020 that Niaz Muhammad Khan is confined in Internment Center Paithom, District Swat. Family member will be allowed to meet him as per procedure. </t>
  </si>
  <si>
    <t xml:space="preserve">Deleted. After thorough investigation and all reports from Intelligence/Law Enforcement Agencies other circumstances of the case it is concluded that case does not fall within the domain of enforced disappearances.  </t>
  </si>
  <si>
    <t>Traced Person. SP, (Inv), Lahore, submitted report   that Abid Jamsheed has Returned to Home and available at his house. Appeared before the Commission on 9.2.2018.</t>
  </si>
  <si>
    <t xml:space="preserve">Traced Person. DPO, Khanewal is present and submitted that missing person namely Bashir Ahmed s/o Abdullah Jan has returned to home. Accordingly the name Bashir Ahmed be deleted from the list of enforced disappearance. </t>
  </si>
  <si>
    <t>Traced Person. SP, (Inv), Hafizabad, submitted report   that Dalawar Khan has Returned to Home.</t>
  </si>
  <si>
    <t>Mst. Asma Muzaffar, r/o  76-L, Johar Town, Kokhar Chowk, Lahore. (Mobile No. 0335-5633952 &amp; 0335-4947018)</t>
  </si>
  <si>
    <t>Traced Person. SP, (Inv), Hafizabad, submitted report   that Shahid Deen has Returned to Home.</t>
  </si>
  <si>
    <t xml:space="preserve">Muhammad Abdullah, r/o House No. ZB-1038, Mohallah Lala Abad, Khayban-e-Sir Syed Sector- III, Rawalpindi. (Mobile No. 0300-5573200 &amp; 0311-9608336) </t>
  </si>
  <si>
    <t>Traced Person. SP, (Inv), Hafizabad, submitted report   that Saeed Muhammad has Returned to Home and available his house.</t>
  </si>
  <si>
    <t xml:space="preserve">Traced Person. DSP Mian Channu, District Khanewal furnished JIT report dated 1.1.2021 on behalf of DPO Khanewal in which it is mentioned that the Missing Person returned to his home on 4.6.2020. Later Sami Ullah died on 19.7.2020 due to heart attack. All the relevant records have been produced. No further action is required. The case is closed. </t>
  </si>
  <si>
    <t>15/12/2017</t>
  </si>
  <si>
    <t xml:space="preserve">Traced Person. Muhammad Waseem Abbassi returned to home and appeared in person whose statement has been recorded in oath. According to him he had gone to Dubai where he was taken to Jail by Tran Guard Headquarter. He was kept in Jail for one day and thereafter he was deported to Pakistan. </t>
  </si>
  <si>
    <t>Mst. Bakhat Wasela, r/o  Nowelay, Mohallah Bhuran Khel, District Swat. (Mobile No. 0344-9602405)</t>
  </si>
  <si>
    <t xml:space="preserve">Traced Person. As informed at the hearing on 16/10/2018 that Muhammad Zameen is confined in Internment Center Fizghat. Fazal Hayat son of Muhammad Zameen was present who has been appraised of the status of the case. </t>
  </si>
  <si>
    <t>4564-K
&amp;
5434-K</t>
  </si>
  <si>
    <t xml:space="preserve">Deleted. In this case there is no eye witness and accordingly JIT concluded that the Missing Person has gone on his own. All stakeholders law denied arrest and custody of Bakhtiyar Ahmed. The case does not fall within the domain of enforced disappearance. Hence closed. </t>
  </si>
  <si>
    <t>Ms. Saeeda Diep,  Center of Peace and Secular Studies, 802-Al Qadir Heights, New Garden Town, Lahore. Mobile No. 0321-8445072)</t>
  </si>
  <si>
    <t>Deleted. Due to incomplete address  ASI, Mian Muhammad Hussain, PS Steel Town visted the given address and the occupant of the house Dil Murad informed him that no one in the name of Ulfat Altaf had ever resided on the given address.</t>
  </si>
  <si>
    <t xml:space="preserve">Traced Person. Hussain Jan, Deputy Commissioner, Awaran appeared before the Commission on 9.1.2020 at Quetta, whose statement has been recorded on oath. He has stated that Sana Ullah s/o Muhammad Ismail has returned home on 18.3.2019. In this connection, he has also produced Affidavit of Ahmad Khan brother of Sana Ullah, wherein it has been stated that Ssna Ullah has returned home on 18.3.2019 and now a days he is studying in Karachi. </t>
  </si>
  <si>
    <t xml:space="preserve">Traced Person. Hearing was held in this case on 20.2.2021 at Karachi at which it has been confirmed by the Traced Person that he was abducted by unknown persons on 15.11.2017 and released after 16 months ten days. He deposed in his statement that his friend Rafiq, Hassan also set free. </t>
  </si>
  <si>
    <t xml:space="preserve">Traced Person. Hearing was held in this case on 20.2.2021 at Karachi at which it has been confirmed by the Traced Person that he was abducted by unknown persons on 15.11.2017 and released after 16 months ten days. He deposed in his statement that his friend , Rafiq also set free. </t>
  </si>
  <si>
    <t>20/12/2017</t>
  </si>
  <si>
    <t>26/12/2017</t>
  </si>
  <si>
    <t xml:space="preserve">Traced Person. It was informed at the hearing held on 24/04/2018 by SDPO Shahrah-e Faisal that Farhan Ijaz has returned to home. </t>
  </si>
  <si>
    <t xml:space="preserve">Deleted. Not a Case of Enforced Disappearance. </t>
  </si>
  <si>
    <t xml:space="preserve">Closed. The case is pending adjudication before Court of competent jurisdiction. DPO, Sargodha was present at the hearing on 30/08/2018. He has been directed to take care of the case is accordance with law. No further action is required to be taken by the Commission. </t>
  </si>
  <si>
    <t>27/12/2017</t>
  </si>
  <si>
    <t xml:space="preserve">Deleted. The Missing Person Abdul Ghafoor (73 years old) went missing on 28.11.2017. There is no eye witness of his abduction and no allegation against any LEAs/ intelligence Agency. JIT has also concluded that the Missing Person has gone on his own. </t>
  </si>
  <si>
    <t>Manzoor,  r/o Peshawar Mor, Milad Chowk, Dhowk Mustaqeem, Rawalpindi. (Mobile No. 0304-5061460)</t>
  </si>
  <si>
    <t>Traced Person. SP, (Inv), Lahore, submitted report   that Nasir Shahrezai has Returned to Home. He was kept in confinement for one month</t>
  </si>
  <si>
    <t>Deleted. Due to incomplete address  ASI, Mian Muhammad Hussain, PS Steel Town visted the given address and the occupant of the house Dil Murad informed him that no one of the name of Sajjad had ever resided on the given address.</t>
  </si>
  <si>
    <t>r/o,  Kohi Ghot, Pada Bin Qasim Town, Malir, Karachi.</t>
  </si>
  <si>
    <t xml:space="preserve">Traced Person. Faiz Muhammad father of Muhammad Ilyas confirmed at the hearing held in this Commission that his son has returned to home on 9.3.2019. His statement to this effect is available on record. </t>
  </si>
  <si>
    <t xml:space="preserve">Traced Person. It has been intimated at the hearing on 30/10/2018 that Anwar Subhan has been traced. He is presently confined in the Internment Center Paithom. Khaista Khan brother of traced person present. He has been apprised of status of the case. Family members of Anwar Subhan shall be facilitated to see him in the Internment Center as per rule and procedure. </t>
  </si>
  <si>
    <t>Naseer Ahmed, r/o Village Kot  Kat, P.O Gul Reham, Tehsil &amp; Distrrict Tank. (Mobile No. 0344-8993722 &amp; 0344-8953722)</t>
  </si>
  <si>
    <t>28/12/2017</t>
  </si>
  <si>
    <t xml:space="preserve">Deleted. The instant case has been categorized by JIT as well as PTF as Missing Person has gone on his own. During the course of investigation no evidence came on record to infer that it was a case of enforced disappearance. There is no allegation against any LEA/ Intelligence Agency. IB report is not adverse in nature. Reps of ISI MI, FC/KP and CTD denied custody of Shafi Ullah. Hence not a case of enforced disappearance. The case is closed. </t>
  </si>
  <si>
    <t>Iqbal Marjan s/o  Haji Sarwar Jan</t>
  </si>
  <si>
    <t xml:space="preserve"> Traced Person. According to report received from Rep of MI, Saif Ullah case has been earmarked for trial by military Court, which is subject to approval by the Federal Government. Father of Saif Ullah is present. He has been apprised of status of the case. </t>
  </si>
  <si>
    <t>30/12/2017</t>
  </si>
  <si>
    <t>Adil Khan  s/o Khan Muhammad</t>
  </si>
  <si>
    <t>02/01/2018</t>
  </si>
  <si>
    <t xml:space="preserve">Under Investigation (Balochistan)
</t>
  </si>
  <si>
    <t>04/01/2018</t>
  </si>
  <si>
    <t xml:space="preserve">Deleted Hearing held in this case on 25.5.2018. After due consideration the Commission is of the considered opinion that the alleged incident as mentioned in the Proforma was not at all mentioned or disclosed in the earlier documents. Therefore, the Commission agrees with the findings of the JIT that it is not a case of enforce disappearance. 
</t>
  </si>
  <si>
    <t xml:space="preserve">Deleted. According to the report submitted at the hearing on 5.9.2019 by SHO PS, Pindigheb, a case is under trial in the Court of learned Addl. Session Judge Pindigheb against four accused persons i.e Sher Khan, Wasim Hassan, Anwar Abbas and Usman Haider. Hence not a case of enforced disappearance. </t>
  </si>
  <si>
    <t>05/01/2018</t>
  </si>
  <si>
    <t xml:space="preserve">Traced Person. It has been informed at the hearing on 15/11/2018 that Inam Gul was confined in the Ghalani lock-up. Family members have already met Inam Gul.  
</t>
  </si>
  <si>
    <t>08/01/2018</t>
  </si>
  <si>
    <t>Prison; Returned home</t>
  </si>
  <si>
    <t xml:space="preserve">Under Investigation (Punjab) Lahore
</t>
  </si>
  <si>
    <t>Traced Person. DPO, Toba Tek Singh, submitted report  that Muhammad Naveed has Returned to Home and available at his House Chak No. 327, GB, Tehsil Pir Mehal, District Toba Tek Singh.</t>
  </si>
  <si>
    <t xml:space="preserve">Traced Person. Yasir Ali has been traced. He submitted before the Commission that he remained in detention for 10 months and had returned home. He however did not furnish further details regarding place of detention and persons involved in his disappearance for obvious reasons.  </t>
  </si>
  <si>
    <t xml:space="preserve">Deleted. It has been reported that it is not a case of enforced disappearance. Rather Waseem Riaz was murdered and the case was processed at legal forums as per law. Hence, the case is closed. </t>
  </si>
  <si>
    <t xml:space="preserve">Traced Person.  SP (Inv), Swabi has submitted that Hazrat Hussain has been traced and he has returned to home. An affidavit of Hazrat Hussain has also been furnished by SP (Inv), Swabi.
</t>
  </si>
  <si>
    <t>Nabeel  Riaz s/o Muhammad Riaz</t>
  </si>
  <si>
    <t>3</t>
  </si>
  <si>
    <t xml:space="preserve">Traced Person. It was informed a the hearing held in this Commission on 09/01/2019 that Mr. Deedar Ali Shah has returned to home. The report submitted by the Police Officer SDPO, Sachal, Aftab Alam is placed on record. </t>
  </si>
  <si>
    <t>21201-9356190-9
Father CNIC</t>
  </si>
  <si>
    <t xml:space="preserve">Traced Person. Zahoor Ahmed has been traced. Rep of MI was present at the hearing on 25.2.2019. He has submitted that Zahoor Ahmed is being put on trial by military court, however, his case has been held in abeyance due to the reason that enactment pertaining to military courts has not been extended beyond 06.01.2019. </t>
  </si>
  <si>
    <t>11/01/2018</t>
  </si>
  <si>
    <t>12/01/2018</t>
  </si>
  <si>
    <t xml:space="preserve">Traced Person. Rep of  Intelligence Bureau reported at the hearing on 21/05/2018 held in this Commission that Zahid Ullah Khan has returned to home.  </t>
  </si>
  <si>
    <t xml:space="preserve">Muhammad Arif Ullah Khan s/o Zarin Gul </t>
  </si>
  <si>
    <t>Traced Person. Rep of MI informed at the hearing on 02/04/2018 that Muhammad Arif Ullah Khan is confined in Internment Center  Lakki Marwat under Action (in aid of Civil) Regulation 2011. Family Members have been allowed to meet him.</t>
  </si>
  <si>
    <t>13/01/2018</t>
  </si>
  <si>
    <t>15/01/2018</t>
  </si>
  <si>
    <t xml:space="preserve">Traced Person. Muzzam Ali Ahmed has been traced. He has entered appearance before the Commission today, whose statement has been recorded on oath. He has deposed that he was abducted on 26.12.2017 from Sector G-10/4, Islamabad and taken away to some unknow place. He further submitted that he has rendered services for the Government of Pakistan in the national defence system. He further deposed that he played role as an expert/ consultant in providing technical assistance. He further submitted that he had no grudge against any public organization. </t>
  </si>
  <si>
    <t xml:space="preserve">Traced Person. Rehan Mehmood was present before the Commission on 26-06-2018 and submitted that he had gone on his own for Tabligh and came back on 25-06-2018. As Rehan Mehmood has been traced he is no more a missing person. 
</t>
  </si>
  <si>
    <t xml:space="preserve">Traced Person. Muhammad Tayyab b/o missing person appeared before the Commission at the hearing om 13/09/2018 and submitted that Abu Bakar Siddique returned home and subsequently went to Dubai.
</t>
  </si>
  <si>
    <t xml:space="preserve">Under Investigation (Punjab) Manid Bahauddin
</t>
  </si>
  <si>
    <t>Traced Person.  As per JIT report dated 05/03/2018, Sohail Siddique Khan has returned to home and gone to perform Umra.</t>
  </si>
  <si>
    <t xml:space="preserve">Traced Person. Noor-ud-Din father of Ashraf-ud-Din has appeared before the Commission on 2/7/2019, whose statement has been recorded on oath. According to him his son Ashraf-ud-Din had gone to Karachi on his own. He was also seen by his cousin Ameer Hamza after 10 days of the occurrence at Karachi. </t>
  </si>
  <si>
    <t xml:space="preserve">Traced Person. Brother of Hadyat Ullah appeared before the Commission and submitted that Hadyat UIlah has returned to home three months back. </t>
  </si>
  <si>
    <t>Mst. Farzana, r/o  Bara bandi, Tehsil Kabal, District Swat. (Mobile No. 0345-9455458)</t>
  </si>
  <si>
    <t>Muhammad Anwar, r/o Bar Qambar, Sur Kas No. 02, Spain Dhund, P.O Bara, Tehsil Bara, District Khyber Agency. (Mobile No.  0333-9409055 &amp; 0341- 4846710)</t>
  </si>
  <si>
    <t>Traced Person. I.O of the case Shahzeb, PS Sundar, Lahore appeared before the Commission  on 26.8.19 and submitted that Muhammad Anwar the complainant of the case, confirmed that Dilawar Khan has returned to home. He under took to submit affidavit from Dilawar in due course.</t>
  </si>
  <si>
    <t>Abdul Ghaffor s/o  Hameed Khan</t>
  </si>
  <si>
    <t xml:space="preserve">Traced Persom. SP (Inv), Kohat informed at the hearing on 26/04/2018 that Abdul Ghafoor has returned to home. </t>
  </si>
  <si>
    <t xml:space="preserve">Muhammad Anwar, r/o Gujar Town, Tehsil Mashkey, District Awaran, Balochistan. </t>
  </si>
  <si>
    <t>Traced Person. SP, (Inv), Lahore, submitted report   that Saif-ur-Rehman has Returned to Home and available at his   House.</t>
  </si>
  <si>
    <t>17/01/2018</t>
  </si>
  <si>
    <t xml:space="preserve">Deleted. Not a case of enforced disappearance as the case does not fall under the domain of enforced disappearance. </t>
  </si>
  <si>
    <t xml:space="preserve"> 4660-I 1625-I</t>
  </si>
  <si>
    <t xml:space="preserve">Traced Person. SHO PS, Satellite Town was attendance on 12/12/2018 and submit that Nihal Muhammad s/o  Muhammad Rahim had been traced. According to SHO said Nihal did appear before him on 13/07/2018 and stated that he was picked and taken away by four persons, interrogated and thereafter released. </t>
  </si>
  <si>
    <t>18/01/2018</t>
  </si>
  <si>
    <t xml:space="preserve">Traced Person. It was informed at the hearing held in this Commission on 11/12/2018 that Sagheer Ahmed has returned to home. The report submitted by the LEA place on record. </t>
  </si>
  <si>
    <t xml:space="preserve">Deleted. No address has been given and the complainant side has not contacted the investigation set-up the case is therefore, filed for want of complete address. </t>
  </si>
  <si>
    <t xml:space="preserve"> Taced Person. Father of Missing Person Muhammad Illyas  entered appearance before the Commission on  10/07/20418 and submitted that his son Muhammad Younas  has returned to home. </t>
  </si>
  <si>
    <t>Traced Person.  Hamad Ajmal has reportedly been killed in encounter by CTD, Multan. Family members informed accordingly case is being referred by Secretary/ Cabinet &amp; Secretary Punjab for further action.</t>
  </si>
  <si>
    <t>20/01/2018</t>
  </si>
  <si>
    <t xml:space="preserve">Traced Person. Sultan Ahmed has been traced. He is present before the Commission. He has submitted that he remained in detention for eight months, thereafter he was released, however he could not give further details regarding persons involved in his detention and place where je was detained. </t>
  </si>
  <si>
    <t>22/01/2018</t>
  </si>
  <si>
    <t xml:space="preserve"> Traced Person. It was informed at the hearing on 02/07/2018 that Rizwan Hassan has been traced as he is presently confined in district Jail Faisalabad. Father of Rizwan Hassan is present. He also affirmed that Rizwan Hassan is confined in district Jail Faisalabad, where he has already met with him.</t>
  </si>
  <si>
    <t>23/01/2018</t>
  </si>
  <si>
    <t>FIR No. 424 dated 19/06/2017  u/s 365-PPC PS Naurang Ullah, Lakki Marwat</t>
  </si>
  <si>
    <t xml:space="preserve">Deleted . hearing held in this case and record perused there is no allegation in the compliant, nor any evidence has been collected which can suggest that the case falls within the ambit of the enforced disappearance. The accused persons have already discharged by the competent Court of law. Hence, the case is deleted. </t>
  </si>
  <si>
    <t xml:space="preserve">Deleted. After receipt of reports from JIT/PTF concluding that the Missing Person has gone on his own and denial reports from other stakeholders regarding custody of Muhammad Ibrahim the complainant (Father) Shan Afzal was called third (05.04.2021, 23.08.2021 and 13.01.2022) but he remained absent. The case is accordingly closed not being a case of enforced disappearance, hence closed. </t>
  </si>
  <si>
    <t xml:space="preserve">Deleted. After receipt of reports from JIT/PTF concluding that the Missing Person has gone on his own and denial reports from other stakeholders regarding custody of Muhammad Ibrahim the complainant (Father) Haji Raees Khan was called third (05.04.2021, 23.08.2021 and 13.01.2022) but he remained absent. The case is accordingly closed not being a case of enforced disappearance, hence closed. </t>
  </si>
  <si>
    <t xml:space="preserve">Traced Person. It was informed at the hearing held in this Commission on 06/08/2018 that Aqeel Ahmed has returned to home. The report submitted by the Police Officer, SDPO, Sachal , Karachi is placed on record. </t>
  </si>
  <si>
    <t>24/01/2018</t>
  </si>
  <si>
    <t>25/01/2018</t>
  </si>
  <si>
    <t xml:space="preserve">Traced Person. Farman Ullah has been traced. According to the report furnished at the hearing on 26/12/2018 by Rep of MI, he is presently confined in Internment Center, Fiza Gaht. 
</t>
  </si>
  <si>
    <t xml:space="preserve">Traced Person Muhammad Saleem Inspector PS Saddar, Quetta is present and submitted report dated 19.5.2018 which shows that the alleged Missing Person has returned to home. The report is taken on record. 
</t>
  </si>
  <si>
    <t>29/01/2018</t>
  </si>
  <si>
    <t xml:space="preserve">Traced Person. Returned to home Missing Person present before the Commission on 06/08/2018. </t>
  </si>
  <si>
    <t>30/01/2018</t>
  </si>
  <si>
    <t>Mir Akbar Khan  s/o Sanobar</t>
  </si>
  <si>
    <t>01/02/2018</t>
  </si>
  <si>
    <t>06/02/2018</t>
  </si>
  <si>
    <t xml:space="preserve">Dr. Zeeshan Khan, r/o House No. 556, Street No. 13, Sector G-10/1, Islamabad. (Mobile No. 0343-5832018 &amp; 0317-5813006) </t>
  </si>
  <si>
    <t xml:space="preserve">Traced Person.  SP (Inv), Islamabad appeared before the Commission on 07/11/2018 and submitted in a categoric manner that Imran Hameed Khan had returned to home. </t>
  </si>
  <si>
    <t xml:space="preserve">Dr. Khubaib Hasan Ehtesham, r/o House No. 731-G, Street No. 177, Sector G-11/1, Islamabad. (Mobile No. 0334-5046336) </t>
  </si>
  <si>
    <t xml:space="preserve">Dr. Suhail Hasan, r/o House No. 731-5, Street No. 177, G-11/1, Islamabad. (Mobile No. 0334-5046336) </t>
  </si>
  <si>
    <t>Traced Person. Dr. Khubaib Ehtesham is present, whose statement has been recorded on oath. According to him, his daughter in Law namely Mst. Omaima Hasan  has returned to home on 28/09/2018.</t>
  </si>
  <si>
    <t xml:space="preserve">Syed Attique-ur-Rehman, r/o House No. 72, Street No. 159, G-13/3, Islamabad. (Mobile No. 0301-5805625 &amp; 0336-6825135) </t>
  </si>
  <si>
    <t xml:space="preserve">Abdul Ghaffar r/o Habib Ullah Pracha Koilla Sovrange, Quetta   . (Mobile No. 0340-1211312 &amp; 03318374156) </t>
  </si>
  <si>
    <t xml:space="preserve">Munawar Khan, r/o Shaks khumrod khybar Agency . (Mobile No.0314-9062460) </t>
  </si>
  <si>
    <t xml:space="preserve">Traced Person. As Tayyab has been traced, he is no more a missing person. No further action is required to be taken by the Commission. Requirement of Para 2(b) of the Notification/SRO 149(I)/2011 has been fulfilled. Family members of Tayyab shall be facilitated to see him in the Internment Centre as per rules and procedure. After compilation, file to be consigned to record. </t>
  </si>
  <si>
    <t>07/02/2018</t>
  </si>
  <si>
    <t xml:space="preserve">Traced Person. Muhammad Usman Kashmiri has been traced. He has returned home. Taimoor Khan father of Muhammad Usman Kashmiri appeared before the Commission on 6.3.2020 his statement has been recorded on oath. He has deposed that his son has returned home on 1.3.2020 and due to ill health, he could not make appearance before the Commission. He further stated that’s his son has not shared any details. </t>
  </si>
  <si>
    <t>09/02/2018</t>
  </si>
  <si>
    <t>12/02/2018</t>
  </si>
  <si>
    <t xml:space="preserve">Traced Person. Waqas Ahmed has been traced. According to the report received from Rep of MI, Waqas Ahmed is presently confined in the Internment Center Paithom. Zeeshan Ahmed b/o traced person is present. He has been apprised of status of the case. </t>
  </si>
  <si>
    <t xml:space="preserve">Deleted. The Missing Person Muhammad Yousaf has been declared absconder in crime vide FIR No. 165/98, 166/98, 176/98, 30/2003, 353/34, PS Baldia by the competent court of Jurisdiction. </t>
  </si>
  <si>
    <t xml:space="preserve">FIR No. 189/18 dated 10.03.2018 u/s 365 PPC PS Mazang, Lahore </t>
  </si>
  <si>
    <t xml:space="preserve">Traced Person. It was informed at the hearing held in this Commission on 27/06/2018 at Lahore that Ahmed Noor was arrested in a criminal case has been released by Competent Court of Jurisdiction. </t>
  </si>
  <si>
    <t>DY Director (Coord)  NAB</t>
  </si>
  <si>
    <t xml:space="preserve">Traced Person. It was informed at the hearing on 03/08/2018 that Kaleem Ullah has been traced. His statement u/s 164 crPC ha been recorded, copy of the same is available on record, perusal whereof shows that he was abducted by unknown persons in army uniform and subsequently released. </t>
  </si>
  <si>
    <t>Muhammad Sadiq, r/o P.O Shabaqadar  Fort,Tehsil &amp; District Charsadda. (Mobile No. 0301-2796079)</t>
  </si>
  <si>
    <t>Deleted. During the course of inquiry, no clue could be found  to indicate that any LEA/ Intelligence Agency was involved in disappearance of Muhammad Shafique s/o Muhammad Razaq The case has been categorized as of missing person has gone on his own by JIT as well as PTF. The complainant Muhammad Sadiq or his authorized representative was summoned twice for recording statement but none entered appearance despite issuance of notices. All stakeholders have denied arrest/custody of Muhammad Shafique Hence, not a case of enforced disappearance and closed.</t>
  </si>
  <si>
    <t xml:space="preserve">Traced Person. It was reported in this case that an unknown dead body was later identified through NADRA as that of Waqas Hafeez Mirza s/o Muhammad Hafeez FIR No, 12 dated 24.2.2017 u/s 302/324/353/186/148/149 PPC, 7ATA PS CTD, Multan was registered. Wife and sister of Waqas Hafeez Mirza appeared before the Commission on 15.11.2019 whose statement was recorded on oath. They stated that they were satisfied and offered Fateha on the grave shown to them. </t>
  </si>
  <si>
    <t>Ghulam Dastghir  s/o Habib Ullah</t>
  </si>
  <si>
    <t xml:space="preserve">Deleted. The report submitted by SI/IO PS Saddar Quetta indicates that it is a criminal case and this Commission has no jurisdiction to entertain this case, as it is not a case of enforced disappearance. Therefore, it is closed. </t>
  </si>
  <si>
    <t xml:space="preserve">Traced Person. Muhammad Yousaf has returned to home and he along with his wife entered appearance before the Commission on 30/08/2018. Wife of Muhammad Yousaf submitted that 2.1 million have been paid as ransom to one Irfan s/o Idrees. DPO Sargodha has been directed to take care of averment made by wife of Muhammad Yousaf. </t>
  </si>
  <si>
    <t xml:space="preserve">Traced Person. According to the report furnished by DSP Al-Falah, Karachi furnished at the hearing held in this Commission on 16/7/2019. Miraj-ud-Din Khan returned to home as confirmed by his wife. </t>
  </si>
  <si>
    <t xml:space="preserve">Traced Person. It was informed at the hearing held in this Commission on 13/08/2018 that Laraib Khan has returned to home. The report submitted by SDPO, New Karachi is placed on record. </t>
  </si>
  <si>
    <t>Under Investigation  (FATA)</t>
  </si>
  <si>
    <t>FIR No. 636 dated 14/09/2018 u/s 365 PPC, PS Lal Qila  District Dir Lower</t>
  </si>
  <si>
    <t xml:space="preserve">Traced Person. It was informed at the hearing on 25-06-2018 at Lahore that both Missing Persons have returned to home. Asad Aziz Butt entered appearance before the Commission; therefore no further action is required. </t>
  </si>
  <si>
    <t xml:space="preserve">Traced Person. At the hearing held in this case at 02/07/2018 I.O of the case has submitted that Gul Wali and Muhammad Ibrahim have been traced.  Rep of SP (Inv), Islamabad has submitted that Gul Wali and Muhammad Ibrahim have been contacted on telephone who told they are present at home. </t>
  </si>
  <si>
    <t>13/02/2018</t>
  </si>
  <si>
    <t xml:space="preserve">Traced Person. Ghulam Shekham Muhammadi is an Afghan national who has reportedly gone back to Afghanistan DSP (Inv), Peshawar is present. He has submitted that the complainant was contacted who told that Ghulam Shekham  Muhammadi has gone back to Afghanistan. Accordingly the case is closed. </t>
  </si>
  <si>
    <t>Abdul Nabi, r/o  Khujari Bara, , Tehsil Bar Qambar Khel, Ibrahim Khel, Tehsil  Bara, District Khyber Agency. (Mobile No. 0307-0529272)</t>
  </si>
  <si>
    <t>Traced Persom. Rep of MI informed at the hearing on 03/04/2018 that Noor Wahid is confined at Internment Center, Kohat  under Action (in aid of Civil) Regulation 2011. Family Members have been allowed to meet him.</t>
  </si>
  <si>
    <t xml:space="preserve">Traced Person. Rep of MI KP is present. He has submitted that Abdul Malik whose proceedings were conducted on 28/1/2019 is presently confined in Internment Center Lakki Marwat. </t>
  </si>
  <si>
    <t>Under Investigation  (Punjab)</t>
  </si>
  <si>
    <t>Under Investigation  (KP)</t>
  </si>
  <si>
    <t xml:space="preserve">Traced Person. Farooq Jan b/o the Missing Person appeared before the Commission at the hearing held in this case on 25-06-2018 at Lahore and stated that Ajab Khan had returned to home. Accordingly case is closed. </t>
  </si>
  <si>
    <t>15/02/2018</t>
  </si>
  <si>
    <t xml:space="preserve">Traced Person. At the hearing held on 21-06-2018 Saeed Anwar entered appearance himself; however he could not explain necessary details for certain obvious reasons. Accordingly name of Saeed Anwar is deleted from the list of Enforced Disappeared Persons. </t>
  </si>
  <si>
    <t>16/02/2018</t>
  </si>
  <si>
    <t xml:space="preserve">Deleted. The case has been deleted due to incomplete/fake address as the Police could not locate the complainant/family in the absence of which no further proceedings could be initiated. The address given in the complaint is House No. 4822, Sector No. 5/C, Landi No. 06, which is not residence in the name of complainant. </t>
  </si>
  <si>
    <t xml:space="preserve">Ejaz Ahmed, r/o House No. 4822, Sector No. 8/C, Korangi, Karachi. </t>
  </si>
  <si>
    <t>20/02/2018</t>
  </si>
  <si>
    <t xml:space="preserve">Deleted. After through investigation into this case it is concluded that Sher Zada was not abducted by any LEAs/ Intelligence Agency but its off-shoots enmity between the two parties. Investigation Officer submitted that the complainant did not shown keen interest in investigation of the case. The complainant did not appearance before the Commission on 19.9.2020. Hence, the case does not fall within the domain of enforced disappearance. The case is closed. </t>
  </si>
  <si>
    <t>21/02/2018</t>
  </si>
  <si>
    <t>Azim Gul, r/o Masjid Al- Toheed, Street No. C-625, G-10/4,  Islamabad. (Mobile No. 0306-9898425)</t>
  </si>
  <si>
    <t>FIR No.125 dt.22/03/18  u/s 365 PPC PS Ramana District  ICT.</t>
  </si>
  <si>
    <t xml:space="preserve">Traced Person. Qari Zia Ullah traced person entered appearance and stated that he was at Karachi. However the complaint was lodged without his knowledge. Be that as it may, no further action is required to be taken by the Commission. </t>
  </si>
  <si>
    <t xml:space="preserve">Traced Person. Gul Saeed has been traced. Rep of MI is present. He has submitted that Gul Saeed is being put on trial by Military Court; however his case has been held in abeyance due to reason that enactment pertaining to military Courts has not been extended beyond 6.1.2019. Thereafter meeting of the family will be arranged with Gul Saeed. </t>
  </si>
  <si>
    <t xml:space="preserve">Deleted. Sindh Police rep submitted copy of FIR which contains no allegations against LEAs. None appeared for the Missing Person at the hearing held on 23.10.2019. Hence the case is closed. </t>
  </si>
  <si>
    <t>Abdul Wali Khan, r/o  Insaf Shoes, Al- Sheikh Plaza, Railway Workshop Road, Ganj Mandi, Rawalpindi. (Mobile No. 0301-8981550)</t>
  </si>
  <si>
    <t xml:space="preserve">Traced Person. At the hearing held on 25-06-2018 Muhammad Saad b/o Muhammad Esar entered appearance and submitted that his brother Muhammad Esar returned to home on 07-05-2018. Inspector Pervaiz Akhtar PS Shehzad Town also confirmed. </t>
  </si>
  <si>
    <t xml:space="preserve">Traced Person. Ghulam Muhammad has been traced. He is presently confined in the Internment Center Fort Salop, Tribal District Khyber. Mian Ayaz Ahmed father appeared on 17.6.2019, whose statement has been recorded that he met his sin in the aforementioned Internment Center. </t>
  </si>
  <si>
    <t xml:space="preserve">Traced Person. Sheikh Wajhi Ullah Naeem has been traced and returned home. According to statement of his father Naeem Ullah who appeared before the Commission on 19.6.2019. </t>
  </si>
  <si>
    <t xml:space="preserve">Deleted. In the FIR it is alleged that the Missing Persons were allegedly abducted by 8/10 persons on gunpoint. Since there is no allegation against any of the Agency, therefore, for want of jurisdiction the case is closed. </t>
  </si>
  <si>
    <t xml:space="preserve">Deleted. Report submitted at the hearing on 22.5.2018 indicates that the Missing Persons were allegedly abducted by 8/10 persons on gunpoint. As there is no allegation against any of the LEAs, therefore, for want of jurisdiction the case is closed. </t>
  </si>
  <si>
    <t>Muhammad Rafique, r/o House No. 5/483, Lala Musa, Tehsil Kharian. (Mobile  No. 0302-6208565)</t>
  </si>
  <si>
    <t xml:space="preserve">Traced Person. Hearing held on 16/08/2018 accordingly to the report received from Rep of MI, Salah-ud-Din has been traced. He is presently confined in th Internment Center, Paithom. Sultan Zaib father of traced person was present and apprised of status. </t>
  </si>
  <si>
    <t>Shahzad Gul, r/o  Dowaba, Tehsil &amp; District Hangu. (Mobile No. 0336-9070007 &amp; 0306-8502111)</t>
  </si>
  <si>
    <t>24/02/2018</t>
  </si>
  <si>
    <t xml:space="preserve">Bibi Banam Jana, r/o Adam Khel, Tatani Simah Mamo, Tehsil Upper Orakzai Agency. (Mobil No. 0332-5846527) </t>
  </si>
  <si>
    <t xml:space="preserve">Traced Person. It was informed at the hearing held on 18/07/2018 that Raool Janan has returned to home. Rasool Janan entered appearance before the Commission. They have submitted that they remained under detention for one month and returned to home about 20 days ago. </t>
  </si>
  <si>
    <t>26/02/2018</t>
  </si>
  <si>
    <t xml:space="preserve">Traced Person. It was informed at the hearing held on 18/07/2018 that Izat Khan has returned to home. Izat Khan entered appearance before the Commission. Izat Khan has submitted that he remained under detention for one month and returned to home about 20 days ago. </t>
  </si>
  <si>
    <t xml:space="preserve">Under Investigation (KPK) </t>
  </si>
  <si>
    <t xml:space="preserve">Shahid Ullah s/o Rasheed </t>
  </si>
  <si>
    <t xml:space="preserve">Bibi Banam Jana, r/o Qoom Mamozai, Abdul Rahim Khel, Zargaran, Mamozai Kili, Tehsil Upper, Orakzai Agency. (Mobil No. 0332-5846527) </t>
  </si>
  <si>
    <t xml:space="preserve">Traced Person. Yasir-al-Hussani has been traced. He has returned to home but due to ailing health he could not entered appearance before the Commission. </t>
  </si>
  <si>
    <t xml:space="preserve">Traced Person. At the hearing held on 26-01-2018 father of Muhammad Sohail was present and submitted he had returned to home. Accordingly name of Muhammad Sohail is deleted from the list of Enforced Disappeared Person and case consigned to record. </t>
  </si>
  <si>
    <t>27/02/2018</t>
  </si>
  <si>
    <t>28/02/2018</t>
  </si>
  <si>
    <t xml:space="preserve">Traced Person. At the hearing held in this case on 25-06-2018 a report was submitted by CPO, Rawalpindi that Muhammad Zakir has been traced, who went to Karachi on his own and was no abducted by anyone. As Muhammad Zakir has returned home, he is no more a missing person. Accordingly, his name is deleted from the list of enforced disappeared persons. </t>
  </si>
  <si>
    <t>Deleted. SDPO Orangi Town submitted copy of Roznamcha complainant not Interested  to pursue the case. Close accordingly</t>
  </si>
  <si>
    <t>01/03/2018</t>
  </si>
  <si>
    <t xml:space="preserve">Traced Person. Izzat Khan entered appearance before the Commission on 30/08/2018 and submitted that he went to Mohmand Agency on his own and has abducted by anybody. </t>
  </si>
  <si>
    <t xml:space="preserve">Muhammad Rasheed, r/o C-19 Korangi 3 1/2 Meow Colony Korangi, Karachi. (Mobile No. 0310-8099142) </t>
  </si>
  <si>
    <t>02/03/2018</t>
  </si>
  <si>
    <t xml:space="preserve">Traced Person. Abdul Malik entered appearance before the Commission on 12/07/2018. He has submitted that he remained in confinement for seven months and returned to home on 03/05/2018. </t>
  </si>
  <si>
    <t>FIR dated 27/04/2018  PA Khyber Agency.</t>
  </si>
  <si>
    <t xml:space="preserve">Muhammad Salman s/o Fida Muhammad </t>
  </si>
  <si>
    <t xml:space="preserve">Traced Person. IO has produced copy of affidavit of Syed Abdullah Tasawar Gardezi, who is brother of the traced person, wherein he has deposed that his brother Syed Huzafia Tasawar Gardezi had returned  home. </t>
  </si>
  <si>
    <t>Ahmed Hayat, r/o  Saddar Bar Kilay, Tehsil Samar Bagh, District Lower Dir. (Mobile No. 0346-9384489)</t>
  </si>
  <si>
    <t>Muhammad  Sohail s/o Muhammad Saeed</t>
  </si>
  <si>
    <t>Traced Person.  It was informed at the hearing held in this Commission on 06/08/2018 that Muhammad Sohail has returned to home. Family member, Mother of the traced person confirmed the reported position.</t>
  </si>
  <si>
    <t>06/03/2018</t>
  </si>
  <si>
    <t xml:space="preserve">Deleted. No a case of Enforced Disappearance as the Missing Person Abdul Aziz has been declared absconder by the competent court of Jurisdiction.  The case does not fall under the domain of enforced. </t>
  </si>
  <si>
    <t>07/03/2018</t>
  </si>
  <si>
    <t xml:space="preserve">Syed Tabish Shahkar s/o Syed Kamal Shahood </t>
  </si>
  <si>
    <t xml:space="preserve">Traced Person. It was informed at the hearing held in this Commission that Syed Tabish Shahkar has returned to home. The report submitted by the Police Officer SDPO, Manghopir, Karachi is placed on record. </t>
  </si>
  <si>
    <t>Traced Person.  Hafeez Rehman elder brother of Mujeeb-ur-Rehman is present and stated that as a result of registration of case by PS/CTD Karachi against Mujeeb-ur-Rehman he was confined at the moment in the Central Jail Karachi and legal action is under way.</t>
  </si>
  <si>
    <t xml:space="preserve">Traced Person.  Reference hearing dated 28/09/2018. Akbar Khan has been traced. He is present before the Commission. He has submitted that he remained in detention for 18 months, however he could not give further details regarding place of detention and persons involved in his detention. </t>
  </si>
  <si>
    <t xml:space="preserve">Traced Person. Abdul Rauf has been traced, He has returned home. SP (Inv), Peshawar is present. He has furnished report dated 17/10/2018. According to this report Abdul Rauf was not abducted by anybody rather he got annoyed with his family and went to his realities and now he has returned back. </t>
  </si>
  <si>
    <t>08/03/2018</t>
  </si>
  <si>
    <t>Under Investigation  (Sindh)</t>
  </si>
  <si>
    <t xml:space="preserve">Traced Person. It has been intimated at the hearing on 24/10/2018 that Essa Khan is confined in Internment Center Paithom. Zaman Bacha Khan brother of Essa Khan was present who apprised of the status of the case. Family members of Essa Khan shall be facilitated to see him in the Internment Center as per rules and procedures. </t>
  </si>
  <si>
    <t>Under Investigation  (AJ&amp;K)</t>
  </si>
  <si>
    <t xml:space="preserve">Traced Person. It was informed at the hearing on 09/07/2018 that Raja Tasawar Khan has been traced. His case is under trail by Filed General Court Marshal. It has been submitted that case will be decided in the next 30/40 days and thereafter as per decision of FGCM further action will be taken. Wife of Raja Tasawar Khan is present. She has been apprised a status of the case. Rep of MI has been directed to arrange meeting of his wife as per rule and procedure. </t>
  </si>
  <si>
    <t>09/03/2018</t>
  </si>
  <si>
    <t xml:space="preserve">Traced Person. Abdullah Dar appeared before the Commission at Quetta on 16.9.2019. According to him he was picked up and taken away blindfolded in March 2017 from his Shop situated at Al. Madad Chowk, Quetta and kept at some unknown place.That he was set free on 15.9.2019. Statement of Abdullah Dar has also been recorded u/s 161 CrPC, which is placed on record. </t>
  </si>
  <si>
    <t>Traced Person. The traced person appeared before the Commission at the hearing on 30/03/2018. He did not disclose the details of the episode  for obvious reasons.</t>
  </si>
  <si>
    <t xml:space="preserve">FIR No. 326 Dadted 17/04/18 u/s 365 ppc, PS Swabi. </t>
  </si>
  <si>
    <t>Traced Person. Rep of MI informed at the Hearing on 30/03/2018 that Naimat Ullah is confined in Internment Center Malakand  under Action (in aid of Civil Power) Regulation 2011. Family Members have been allowed to meet him.</t>
  </si>
  <si>
    <t>FIR No.115 dt.04/03/2018  u/s 365 PPC PS Batgaram  District Charsadda.</t>
  </si>
  <si>
    <t>Deleted. During the course of inquiry, no clue could be found  to indicate that any LEA/ Intelligence Agency was involved in disappearance of Saeed Ullah s/o Habib-ur-Rehman. The case has been categorized as of missing person has gone on his own by JIT as well as PTF. The complainant Bait Ullah or his authorized representative was summoned twice for recording statement but none entered appearance despite issuance of notices. All stakeholders have denied arrest/custody of Saeed Ullah Hence, not a case of enforced disappearance and closed.</t>
  </si>
  <si>
    <t>10/03/2018</t>
  </si>
  <si>
    <t>12/03/2018</t>
  </si>
  <si>
    <t xml:space="preserve">Deleted . The case has been deleted due to non- prosecution as the complainant is not interested to lodge FIR attends JIT as he filed a petition in the Sindh High Court. </t>
  </si>
  <si>
    <t xml:space="preserve">Traced Person. Hamid Mehmood has been traced. He was present before the Commission at the hearing on 06/10/2018.  However he could not disclose details regarding place of detention and persons involved in his disappearance. </t>
  </si>
  <si>
    <t>Traced Person. Rep of MI informed at the Hearing on 30/03/2018 that Hafiz Attique-ur-Rehman is confined in Internment Center Fizaghat  under Action (in aid of Civil Power) Regulation 2011. Family Members have been allowed to meet him.</t>
  </si>
  <si>
    <t xml:space="preserve">Deleted PTF have categorized the case as “Missing Person gone on his own”. A writ petition filed in Peshawar High Court was also dismissed. Statement of father of Missing Person was also recorded by the Commission in which he concluded that there is no allegation against any agency.  </t>
  </si>
  <si>
    <t xml:space="preserve">Traced Person. Rep of MI appeared on 28.8.2019 and submitted that Muhammad Zaheer after completion of the subject training released on 6.7.2019. </t>
  </si>
  <si>
    <t>Traced Person. SP (Inv), Peshawar submitted statement from Mufti Shah-ud-Din Popalzai that he was never abducted by anyone and  he was returned to home.</t>
  </si>
  <si>
    <t xml:space="preserve">Deleted. DIG (SB)/Focal Person of AJK Police appeared on 12/12/2018 and submitted that Syed Tausique Haider Kazmi committed suicide and from DNA test it has been verified that dead-body belonged him. Accordingly the case is closed. </t>
  </si>
  <si>
    <t xml:space="preserve">Traced Person. Muhammad Ali s/o Ghulam Farooq appeared before the Commission on 17.6.2019, whose statement has been recorded on oath. According to him he had gone to Lahore. </t>
  </si>
  <si>
    <t>14/03/2018</t>
  </si>
  <si>
    <t>15/03/2018</t>
  </si>
  <si>
    <t>Traced Person. Rep of MI informed at the Hearing on 30/03/2018 that Bakhat Buland is confined in Internment Center Lakki Marwat  under Action (in aid of Civil Power) Regulation 2011. Family Members have been allowed to meet him.</t>
  </si>
  <si>
    <t xml:space="preserve">Traced Person. It has been intimated at the hearing on 24/10/2018 that Saeed Ullah has been traced and presently he is confined in the Internment Center Paithom. Najeeb Ullah brother of Saeed Ullah was present and apprised of the status of the case. </t>
  </si>
  <si>
    <t xml:space="preserve">Deleted. The Missing Person Maaz Ullah has been declared absconder. The case does not fall under the domain of enforced, on the basis of facts narrated in the JIT report.  According to ISI report, as well Maaz Ullah was affiliated with Tehreekk-e-Taliban, Pakistan. He remained involved in Terrorist activities. </t>
  </si>
  <si>
    <t>Traced Person. Rep of MI informed at the Hearing on 30/03/2018 that Zafar is confined in Internment Center Lakki Marwat  under Action (in aid of Civil Power) Regulation 2011. Family Members have been allowed to meet him.</t>
  </si>
  <si>
    <t xml:space="preserve">Traced Person. According to report received from Rep of MI Muqadar Khan has been traced and presently he is confined in the Internment Centre at Fizagat. Gul Muhammad b/o Muqadar Khan (Traced Person) is present, who has been apprised of the status of the case. </t>
  </si>
  <si>
    <t xml:space="preserve"> 4860-I 3106-I</t>
  </si>
  <si>
    <t>Traced Person. TJIT report submitted at the hearing on 25/04/2018 which incicates that Ehsan Ullal is confined in Bagran Jail, Afghanistan as the charges of  weling for ISI. His father also confirmed.</t>
  </si>
  <si>
    <t>16/03/2018</t>
  </si>
  <si>
    <t>Ayaz Ahmed, r/o Village Harkarya, Tehsil &amp; P.O Abbas Pur, District Ponch, Azad Kashmir. (Mobile No. 0343-1087910 &amp;  0313-5571434)</t>
  </si>
  <si>
    <t xml:space="preserve">Traced Person. Brother of traced person Muhammad Jawed entered appearance on 28.3.2019 and stated that he met Shahzad Ahmed who was detained in police station Mirpur. He has also deposed that Shehzad Ahmed was produced in the court and he was remanded to Judicial Custody. </t>
  </si>
  <si>
    <t>Habib-ur-Rehman, r/o Hangu Khas Banda. (Mobile No.  0333-9677796 &amp; 0303-8537233)</t>
  </si>
  <si>
    <t xml:space="preserve">Deleted. Facts and circumstance of the matter indicates that this is a case of abduction for ransom, and the case does not fall within the ambit of Enforced Disappearance. Keeping in view the circumstances of the case it is not a case of Enforced Disappearance and does not come in the purview of the Commission. </t>
  </si>
  <si>
    <t>17/03/2018</t>
  </si>
  <si>
    <t>19/03/2018</t>
  </si>
  <si>
    <t xml:space="preserve"> FATA Mohamand</t>
  </si>
  <si>
    <t>Noor Rehman, r/o Ajmal Block Factory Hazro Road  Bhattian, Districk Attock. (Mobile No. 0302-5254238)</t>
  </si>
  <si>
    <t xml:space="preserve">Traced Person. Ajmal Khan has been traced. According to report received from Rep of MI, Ajmal Khan is confined in the Internment Center Kohat. Father of Ajmal Khan has been apprised of the status of the case. </t>
  </si>
  <si>
    <t>20/03/2018</t>
  </si>
  <si>
    <t xml:space="preserve">Deleted. According to Regulations, 2011 Enforced Disappearance means such person as has been picked up/taken into custody by one of the law enforcement /intelligence agencies working under civilian or military control in a manner which is contrary to provisions of law, which is not the position in the case and private persons have been nominated in the FIR. The case is closed. </t>
  </si>
  <si>
    <t xml:space="preserve">Traced Person. It was informed at the hearing held in this case on 20/06/2018 at Sub Officer of the Commission that Muhammd Ramzan s/o Nazir Ahmed has returned to home. </t>
  </si>
  <si>
    <t>Atta-ur-Rehman  s/o Fazli Moola</t>
  </si>
  <si>
    <t xml:space="preserve">Dilbar Khan, r/o Dilazak Road, Adrema Adda, District Peshawar. (Mobile No. 0346-9863471) </t>
  </si>
  <si>
    <t xml:space="preserve">Deleted. In this case there is no eye witness and accordingly JIT concluded that the Missing Person has gone on his own. All stakeholders law denied arrest and custody of Syed Khan. The case does not fall within the domain of enforced disappearance. Hence closed. </t>
  </si>
  <si>
    <t>21/03/2018</t>
  </si>
  <si>
    <t>4879, 5098 &amp; 4881, 5382  to be fixed together on the next date of hearing.</t>
  </si>
  <si>
    <t xml:space="preserve">FIR No.298 Dadted 18/04/18 u/s 365 ppc, PS Topi, District Swabi. </t>
  </si>
  <si>
    <t xml:space="preserve">Deleted. After investigation and receipt of reports from JIT/PTF concluding that Luqman s/o Gul Faraz had gone on his own and keeping in view the statement of  (Brother) that no allegation has been leveled against any of the LEAs, the case not found to be a case of enforced disappearance. Hence closed. </t>
  </si>
  <si>
    <t>26/03/2018</t>
  </si>
  <si>
    <t xml:space="preserve">Deleted. After investigation, JIT an PTF submitted conclusive reports that the Missing Person Aziz-ur-Rehman had gone on his own. All stakeholders denied his arrest/ custody. The complainant Muhammad Hassan was called twice for recording his statement but he did not turn up. Apparently not a case of enforced disappearance. The case is closed.   </t>
  </si>
  <si>
    <t>27/03/2018</t>
  </si>
  <si>
    <t>FIR No. 167/2018    dated 14/04/2018 u/s 365 PPC PS Sadar Khan Pur , Distt Rahim Yar Khan</t>
  </si>
  <si>
    <t xml:space="preserve">Traced Person. Moin-ud-Din b/o Musleh-ud-Din entered appearance and stated that Musleh-ud-Din had returned to home, however no details could be furnished for certain obvious reasons. </t>
  </si>
  <si>
    <t>Shamoon Karimi, r/o  House No. 18/2, 7th Giziri Lane, DHA Phaase No. 04, Karachi. (Mobile No. 0333-2118447)</t>
  </si>
  <si>
    <t xml:space="preserve"> Traced Person. It was informed at the hearing held in this Commission on  14.5.2019 that Ammar Karimi is confined in Internment Center at Fort  Salop. </t>
  </si>
  <si>
    <t>Traced Person. Mujeeb-ur-Rehman s/o Abdul Hakeem  appeared before the Commission on 04/04/2019 and submitted that his father was returned to home on 31/01/2019. He further stated that his farther was kept by unknown persons by unknown palace. IO/SI PS , Qalat also submitted statement of Abdul Hakeem.</t>
  </si>
  <si>
    <t xml:space="preserve">Traced Person. It was informed at the hearing held in this Commission on 20-06-2018 that Mr. Syed Bilal Agha has returned to home. He appeared in person before the Commission. Accordingly his name is deleted from the list of enforced disappeared Person. </t>
  </si>
  <si>
    <t>28/03/2018</t>
  </si>
  <si>
    <t>Traced Person.Rep of MI submitted report at the hearing on 25/04/2018 that Mian Saeed Azam has been awarded death sentence  by Milatary Court. He is confined in Central Jail, Peshawar where his brother, Mian Sakhim Jan met him.</t>
  </si>
  <si>
    <t xml:space="preserve">Deleted. Abdul Tawab father of Abdul Hadi Missing Person is present; whose statement has been recorded on oath. That he logged complaint regarding his disappearance before the Commission in 2018 and deposed that he neither leveled allegation against any LEAs.Intelligence Agency, nor he could produce any evidence during this period on the basis whereof it can be inferred that in the disappearance of his son any LEAs/Intelligence Agency was involved. Reps of ISI, MI and FC (North) have already submitted reports, which are to the extent that Abdul Hadi is not in their custody. Hence, the case is deleted. </t>
  </si>
  <si>
    <t>FIR No. 335 dated 11/05/2018  u/s 365-PPC PS Tordher, Swabi</t>
  </si>
  <si>
    <t xml:space="preserve">Traced Person. Fazal Ameen f/o Muhammad Adil Khan is present and submitted that he met his son twice who is detained in Mardan Jail. According to report submitted by Rep of MI which is to the extent” Punishment awarded by Military Court” now in Mardan Jail. </t>
  </si>
  <si>
    <t>29/03/2018</t>
  </si>
  <si>
    <t>Traced Person.  According to the report submitted by Rep of MI that Raj Wali has been traced. He is presently confined in Internment Center at Ghalani (Mohmand Agency). Family members of Raj Wali shall be facilitated to see him as per rules and procedures under Action (in aid of Civil Power) Regulation 2011. Family Members have been allowed to meet him.</t>
  </si>
  <si>
    <t xml:space="preserve">Traced Person. It was informed at the hearing held in this Commission on 01/10/2018 that Akhtar Ullah has returned to home. The report submitted by the Police Officer, SDPO, Baldia, West Karachi is placed on record. </t>
  </si>
  <si>
    <t>Umar Farooq, r/o 57-WB, Tehsil w District Vehari. (Mobile  No. 0303-7986480)</t>
  </si>
  <si>
    <t xml:space="preserve">Traced Person. It was informed by SP (Inv), Islamabad that Zaheer Abbas has been traced. He has affirmed that Zaheer Abbas was arrested vide case FIR No. 03 dated 05/03/2018 u/s 5 ESA r/w 7ATA, PS, CTD Hazara. However he was granted bail by the Court of Competent Jurisdiction, the relevant report placed on record. </t>
  </si>
  <si>
    <t xml:space="preserve">Traced Person. Ameer Hamza made appearance before the Commission at the hearing on 25-06-2018 and submitted that he went on Tabligh on his own and was not abducted by anybody. However he is no more a missing person. His name is accordingly deleted from the list of Enforced Disappeared Persons. </t>
  </si>
  <si>
    <t>Imdad Khan, r/o  Muhammadi Town, Street No. 03, Islamabad. (Mobile No. 0336-7005589)</t>
  </si>
  <si>
    <t xml:space="preserve">Traced Person. Naimat Ullah had returned to home as confirmed by Imdad Khan Complainant. </t>
  </si>
  <si>
    <t xml:space="preserve">Traced Person.  Jahad Khan has been traced. Rep of MI submitted report at the hearing on 13/12/2019 that according to the verification carried out by Field Unit Jahad Khan is presently available at his residence. Office of the Commission confirmed over telephone from his mother. </t>
  </si>
  <si>
    <t xml:space="preserve">Traced Person. IO of the case informed the Commission at the hearing held at Peshawar on 24.2.2020 that Abdullah has returned home. In this conection statement of Gul Mat Khan who is uncle of the Missing Person/ complainant has also been recorded on oath. He has deposed that Abdullah returned home on 6.2.2020 and today he has gone to Teerah in connection with some family Business so he could not appear before the Commission. </t>
  </si>
  <si>
    <t xml:space="preserve">Traced Person. Abdul Karim entered appearance before the Commission on 30/08/2018 and submitted that he went to Karachi on his own and he was not abducted by anybody. He further submitted that before leaving for Karachi he had informed his wife that he was going to Karachi. Report dated 07/08/2018 has also been received from SP (Inv), Islamabad which is available on record. </t>
  </si>
  <si>
    <t xml:space="preserve">Traced Person. Haleem Gul SI/IO of the case has disclosed at the hearing held in this case on 25.2.2020 at Peshawar, that Mollana Gul Zada has returned home and his statement has been recorded on 17.2.2020 u/s 161 CrPC, copy whereof furnished to the Commission. </t>
  </si>
  <si>
    <t xml:space="preserve">Traced Person. Rep of MI submitted report dated 5.3.2021 that Khalid Khan s/o Muhammad Khan was confined in Internment Centre Ghalani, in terms of Action (in aid of Civil Power Regulation, 2011). The meetings of family members with the said internee will be facilitated as per procedure. </t>
  </si>
  <si>
    <t xml:space="preserve">Traced Person. It was informed at the hearing held in this Commission on 29/05/2018 that Abdul Wahid was arrested and later released on bail by Competent Court of Jurisdiction. </t>
  </si>
  <si>
    <t>02/04/2018</t>
  </si>
  <si>
    <t xml:space="preserve">Muhammad Hanif s/o Ibrahim </t>
  </si>
  <si>
    <t xml:space="preserve">Naveed </t>
  </si>
  <si>
    <t xml:space="preserve">Traced Person. It was informed at the hearing held in this Commission on 29/05/2018 that Naveed was arrested and presently confined in Central Jail, Karachi. </t>
  </si>
  <si>
    <t>Hafiz Muhammad Zubair s/o  Muhammad Raees Khan</t>
  </si>
  <si>
    <t xml:space="preserve">Traced Person. Muhammad Yaqoob Khan has been traced. Eid Muhammad cousin of Missing Person entered appearance and informed that Muhammad Yaqoob Khan has returned to home on 02/08/2018 and he is present at his residence. Eid Muhammad has submitted that Muhammad Yaqoob Khan was taken into custody by LEAs, however he did not furnish further details. </t>
  </si>
  <si>
    <t>04/04/2018</t>
  </si>
  <si>
    <t>Ajmal Khan, r/o Tehisl &amp;  P.O Ugi, District Manshera. (Mobile No. 0342-9554375)</t>
  </si>
  <si>
    <t>FIR No.110 dt.23/04/2018 u/s 365 PPC PS Oghi  District Manshera</t>
  </si>
  <si>
    <t xml:space="preserve">FIR No.366 Dadted 25/04/18 u/s 365 ppc, PS Shabaqadar, District Charsadda. </t>
  </si>
  <si>
    <t>05/04/2018</t>
  </si>
  <si>
    <t xml:space="preserve">Deleted. Taj Rehman appeared before the Commission on 13.9.2019 and submitted that his son Sahil Rehman disappeared in February, 2017. He further submitted that he has never leveled any allegation against LEAs/ Intelligence Agencies regarding disappearance of his son. Hence it is not a case of enforced disappearance. </t>
  </si>
  <si>
    <t>Sharif Hussain Toori, r/o  Ali Zai, Saran Kilay, Tehsil &amp; District Lower Kurram Agency. (Mobile No. 0307-8300463)</t>
  </si>
  <si>
    <t>Traced Person. It was informed at the hearing on 26-06-2018  that Zahid Hussain was confined in Internment Center at Kohat. Family members of Zahid Hussain Shall be facilitated to see him in the Internment  Center subject to completion of legal rules and procedures under Action (in aid of Civil Power) Regulation 2011. Family Members have been allowed to meet him.</t>
  </si>
  <si>
    <t xml:space="preserve">Traced Person. Syed Najam-ul-Hassan Shah has been traced. He was present before the Commission on 25-06-2018 and submitted that was taken away and came back on 02-05-2018, however he did not furnish further details for obvious reasons. </t>
  </si>
  <si>
    <t>FIR dated 25/04/2018  PA Khyber Agency.</t>
  </si>
  <si>
    <t>Mst. Taj Mahal, r/o  Mohallah Zara Khel, Village Odgeram, Tehsil  Babu Zai, District Swat. (Mobile No. 0346-9429028 &amp; 0312-3375495)</t>
  </si>
  <si>
    <t>FIR No.316 dt.04/04/18  u/s 365 PPC PS City District Mardan.</t>
  </si>
  <si>
    <t xml:space="preserve">Traced Person. It was reported at the hearing on 15/01/2019 that Amjad Ali has returned to home and appeared before the JIT. </t>
  </si>
  <si>
    <t>10/04/2018</t>
  </si>
  <si>
    <t xml:space="preserve">Traced Person. It was reported at the hearing on 15/01/2019 that Afsar Ali has returned to home and appeared before the JIT. </t>
  </si>
  <si>
    <t xml:space="preserve">Traced Person. It has been informed by the concerned quarters that Muhammad Ubaid Ullah has returned to home. Accordingly the name is deleted from the list of Enforced Disappeared Persons. </t>
  </si>
  <si>
    <t xml:space="preserve">Traced Person. It was informed at the hearing held in this case on 29/06/2018 at Lahore by SP (Inv), Bahawalpur that Ghulam Arbi has returned to home the further submitted that Ghulam Arbi left his home at his own. </t>
  </si>
  <si>
    <t xml:space="preserve">Traced Person. Jamil Ahmed brother of Muhammad Nadeem entered appearance before the Commission on 29/06/2018 at Lahore and informed that latter has submitted to home. Jamil Ahmed further submitted that his brother left the home at his own. </t>
  </si>
  <si>
    <t xml:space="preserve">Traced Person.  It has been informed at the hearing held in this Commission on 29/10/2018 that Yaqoob Khan has been traced. He is presently confined in Internment Center Fizaghat. Momin Khan brother of Yaqoob Khan was present who was apprised of the status of the case.  </t>
  </si>
  <si>
    <t>FIR  dated 27/04/2018 PA Khyber Agency.</t>
  </si>
  <si>
    <t xml:space="preserve">Traced Person. It was informed at the hearing held in this Commission on 20/07/2018 by the Rep of ISI that Aziz-ur-Rehman has been traced. According to the report Aziz-ur-Rehman is presently confined at Central Jail, Peshawar. Abdul Aziz uncle of missing person was present at the hearing he affirmed that Aziz-ur-Rehman has been traced and he is confined in Central Jail, Peshawar. </t>
  </si>
  <si>
    <t>Abdul  Rehman, r/o P.O Yousaf Khel, Upper Mohmand Agency. (Mobile No. 0343-9907125 &amp; 0302-5514630)</t>
  </si>
  <si>
    <t xml:space="preserve">Traced Person. Rep of DC, South Waziristan informed at the hearing on 17/10/2018 that Abdul Ghaffor has been traced and he is presently confined in Internment Center at Lakki Marwat. Family members of Abdul Ghaffor shall be facilitated to see him in the Internment Center Lakki Marwat as per rules and procedures. </t>
  </si>
  <si>
    <t xml:space="preserve">Deleted. In the instant case three JIT meetings conducted and the case has been categorized as “not a case of enforced disappearance”. Bakhat Buland father of alleged missing person appeared on 9.4.2019, whose statement has been recorded on oath. According to him his sin was taken away by Muhammad Rasool and Mst. Amina against whom the FIR was filed but the above named persons were acquitted by the Court. Hence not a case of enforced disappearance. </t>
  </si>
  <si>
    <t xml:space="preserve">FIR No.169 Dadted 05/05/18 u/s 365 ppc, PS University, District D.I.Khan. </t>
  </si>
  <si>
    <t xml:space="preserve">Traced Person. Rep of MI informed at the hearing on 26/04/2018 that Waseem Khan is confined in Internment Center Kohat under Action (in aid of Civil) Regulation 2011. Family Members have been allowed to meet him. </t>
  </si>
  <si>
    <t>Muhammad Noor Shah, r/o  Dargai Babra, Charfing, Tehsil Nawagi, Bajur Agency. (Mobile No. 0304-9394372)</t>
  </si>
  <si>
    <t xml:space="preserve">Deleted. In the instant case, JIT as well as PTF arrived at concurrent conclusion that Missing Person has gone on his own. Reports from ISI, MI, FC and CTD have denied apprehension / custody of Rafi Ullah. Muhammad Noor Shah (Complainant) also entered appearance, whose statement was recorded on oath in which he deposed that he had neither charged anybody, nor he leveled allegation against any LEAs / Intelligence Agency. Hence, not a case of enforced disappearance. According, the case is closed. </t>
  </si>
  <si>
    <t xml:space="preserve">Deleted. Not a case of enforced disappearance. The case does not fall under the domain of enforced disappearance. </t>
  </si>
  <si>
    <t>Sanobar, r/o Village Bara Bandi, Mohallah Kotkai, District Swat.  (Mobile No. 0302-5705017 &amp; 0349-8333669)</t>
  </si>
  <si>
    <t>Syed  Zahir Ali Shah s/o Syed Ali Shah</t>
  </si>
  <si>
    <t xml:space="preserve">Traced Person. At the hearing held on 12/07/2018. Syed Irfan Ali Shah son of the traced person was present. He affirmed that his father has returned on 06/07/2018 and now hi was present at home. </t>
  </si>
  <si>
    <t>12/04/2018</t>
  </si>
  <si>
    <t xml:space="preserve">Deleted. Not a case of enforced disappearance as concluded at the hearing on 15/05/2018. The conclusion that the case does not fall under the domain of enforced, on the basis of facts narrated in the JIT report. </t>
  </si>
  <si>
    <t xml:space="preserve">Traced Person. It was informed at the hearing held in this Commission on 06/08/2018 that Abdul Rauf has returned to home. Family member of traced person appeared before the Commission and confirmed the reported position. </t>
  </si>
  <si>
    <t>16/04/2018</t>
  </si>
  <si>
    <t xml:space="preserve">Traced Person. DPO Khanewal entered appearance before the Commission on 09/08/2018 and submitted that Arif Zaman has returned to home. </t>
  </si>
  <si>
    <t xml:space="preserve">Traced Person. Fazal Wahid has been traced. According to the report received from Rep of MI, Fazal Wahid is presently confined in the Internment Center Paithom. Wife of traced person is present. She has been apprised of status of the case. </t>
  </si>
  <si>
    <t>FIR No. 10/2017 dated 11/01/2017  u/s 365-PPC PS Chowk Azam Layyah</t>
  </si>
  <si>
    <t xml:space="preserve">Traced Person. IO/ Inspector Akram Javed has appeared before the Commission on 14.2.2020, whose statement has been recorded on oath. In which he stated that during course of investigation, it revealed that Abid Hussain was killed in an encounter with CTD, Gujranwala on 1.9.2018. IO has produced copy of DNA report copy of summon issued to Muhammad Asif by the Police Station for appearance before the Commission, copy of post- mortem report and copy of oath statement given by Muhammad Asif. In view if above no further action is required. The case is closed. </t>
  </si>
  <si>
    <t xml:space="preserve">Traced Person. It was informed at the hearing held in this case on 29/06/2018 at Lahore at which IO was present and stated that Muhammad Rishad has returned to home. </t>
  </si>
  <si>
    <t>Traced Person. DSP (Inv) Manshera and Muhammad Ayaz brother of Sajjad Ahmed appeared before the Commission and their statements were recorded on oath in which they deposed that Sajjad Ahmad s/o Gul Zaman had returned to home. Further deposed that he was not abducted by anyone. Rather he had gone to Karachi on account of some domestic dispute. He was produced before the Magistrate who recorded his statement u/s 164 CrPC.  Hence no further action is required. The case is closed.</t>
  </si>
  <si>
    <t>Traced Person. SP (Inv), Bahawalpur submitted before the Commission at the hearing held in this case on 29/06/2018 at Lahore that Jawad Ahmed was present at home. He left  his abode under certain compelling circumstances.</t>
  </si>
  <si>
    <t>18/04/2018</t>
  </si>
  <si>
    <t xml:space="preserve">Traced Person. It was informed ath the hearing held in this Commission that Naz Mir is confined in Internment Center, Lakki Marwat. Family members have been allowed to meet him subject to prescribed procedure and all legal exceptions. </t>
  </si>
  <si>
    <t xml:space="preserve">Deleted. On 26.5.2018 DSP/Legal Lesbela submitted a  report of JIT which was held on 16.5.2018 in which it is mentioned that the complainant party is not interested to pursue this matter There is no allegation that the alleged Missing Person was taken away by any of the LEAs. Therefore, it is not a case of enforced disappearance. </t>
  </si>
  <si>
    <t xml:space="preserve">Traced Person. It was informed at the hearing held in this Commission on 24/10/2018 that Zia-ul-Mustafa has returned to home. The report submitted by the Police officer SHO, Kumber, Shadad Kot is placed on record. </t>
  </si>
  <si>
    <t xml:space="preserve">Traced Person. It was informed at the hearing held in this Commission on 30/07/2018 that Ghulam-ul-Iqtadar has returned to home. Family member wife of the traced person appeared before the Commission and confirmed the reported position. </t>
  </si>
  <si>
    <t>19/04/2018</t>
  </si>
  <si>
    <t xml:space="preserve">4994-S </t>
  </si>
  <si>
    <t xml:space="preserve">4995-S 2576-S 2264-S </t>
  </si>
  <si>
    <t xml:space="preserve">Deleted. The case has been deleted due to non- prosecution as the complainant neither extended co-operation to the Investigation Officer nor attended hearings held on 05/08/2018, 15/05/2018 &amp; 08/05/2018 and Roznamcha  despite notices. </t>
  </si>
  <si>
    <t xml:space="preserve">Deleted. The case has been deleted due to non-prosecution. The complainant neither extended co-operation to the investigation officer nor attended hearings in this Commission despite notice. The complainant is not interested to lodge FIR attend JIT. </t>
  </si>
  <si>
    <t xml:space="preserve">Traced Person. It was informed at the hearing held in this Commission on 14.1.2020 that Arshad Ali has returned to home. The report submitted by SDPO, Ferozabad, Karachi confirmed the aforesaid position. Similar statement has also been Sindh High Court in WP No. 2554/2016. </t>
  </si>
  <si>
    <t xml:space="preserve">r/o, House No. 8/332, Liquatabad, Karachi. </t>
  </si>
  <si>
    <t xml:space="preserve">Traced Person. It was informed at the hearing held in this Commission on 27.11.2019 that Muhammad Imran has returned to home. He appeared before the Commission on 27.11.2019 at Karachi. The statement of the Traced Person has been recorded u/s 164 CrpC, which is available on record. The report submitted by DSP, Azizabad, Karachi is also placed on record. </t>
  </si>
  <si>
    <t xml:space="preserve">Deleted. Not a case of Enfoirced Disappearacnce as the Missing Person Syed Muhammad Kaleem has been declared absconder in crime Vide FIR No. 27/2015, 309/2015, 311/2015 u/s 302/34, PPC, 353/324, PS, Iqbal Market by the competent Court of Jurisdiction. </t>
  </si>
  <si>
    <t xml:space="preserve">Deleted. Nota a case of enforced disappearance in the light of dated 11/02/2019 the missing person is declared absconder. </t>
  </si>
  <si>
    <t xml:space="preserve">UC No. 21, North Nazimabad, Karachi. </t>
  </si>
  <si>
    <t xml:space="preserve">Traced Person. It was informed at the hearing held in this Commission on 13/08/2018 that Salah-ud-Din has returned to home. The report submitted by SDPO, Shadman, Karachi is place on record. </t>
  </si>
  <si>
    <t xml:space="preserve">Traced Person. It was informed at the hearing held in this Commission on 21-06-2018 that Mr. Muhammad Shakeel has returned to home. The statement of the Cousin has been recorded which is available on record. The report submitted by the Police Officer SHO Korangi is placed on the record. </t>
  </si>
  <si>
    <t xml:space="preserve">Deleted. The case has been deleted due to incomplete/fake address as the Police could not locate the complainant/family in the absence of which no further proceedings could be initiated. The address given in the complainant is UC-32 FB Area, Karachi which is incomplete. </t>
  </si>
  <si>
    <t xml:space="preserve">r/o, Muslim Colony No. 02, Catal Colony, Malir, Karachi. </t>
  </si>
  <si>
    <t xml:space="preserve">Deleted. The case had been deleted due to incomplete/fake address as the Police could not locate the complainant/family in the absence of which no further proceedings could be initiated. The address given in the complaint is Muslim Colony No. 02, which is incomplete. </t>
  </si>
  <si>
    <t xml:space="preserve">Deleted. The case has been deleted due to incomplete/fake address as the Police could not locate the complainant / family in the absence of which no further proceedings could be initiated. The address given in the complaint is Jacob Line, Karachi, which is incomplete. </t>
  </si>
  <si>
    <t xml:space="preserve">Tahir Rehan Lamba </t>
  </si>
  <si>
    <t xml:space="preserve">r/o, House No. 19/25, Near Barick 24, Jannat Ground, Jut Line, Karachi. </t>
  </si>
  <si>
    <t xml:space="preserve">Deleted . The case has been deleted due to incomplete/fake address as the Police could not locate the complainant/ family in the absence of which no further proceedings could be initiated. The address given in the complaint is Jut Line, Karachi. </t>
  </si>
  <si>
    <t xml:space="preserve">Deleted. Hearing held on 15/08/2018 at sub office, Karachi. The case has been deleted due to incomplete fake address as the Police could not locate the complainant family in the absence of which no further proceedings could be initiated. </t>
  </si>
  <si>
    <t xml:space="preserve">Deleted. The case has been deleted due to incomplete fake address as the Police could not locate the complainant/family in the absence of which no further proceedings could be initiated. The address given in the complainant is Malir, Karachi which is thickly populated area and a person/family cannot be located without specific information. </t>
  </si>
  <si>
    <t xml:space="preserve">Traced Person. It was informed at the hearing held in this Commission on 3.9.2019 &amp; 2.3.2020 that Moiz-ud-Din is involved in criminal case vide FIR No, 5/2013 PS Jamshed Quarters, Karachi u/ s302/34 PPC. He was arrested and presently confined in Central Jail, Karachi. </t>
  </si>
  <si>
    <t>20/04/2018</t>
  </si>
  <si>
    <t xml:space="preserve"> r/o UC No. 14, P.I.B Colony, Karachi. (Mobile No. 021-34852202)</t>
  </si>
  <si>
    <t xml:space="preserve">Deleted. The address given in the complainant is UC No. 16, Landhi, Karachi is a thickly populated area and the person/ family cannot be located , without specific information. </t>
  </si>
  <si>
    <t xml:space="preserve">Deleted. Mst. Suhghra Begum mother of Missing Person submitted application dated 24.4.2019 for withdrawl of case has been accepted vide proceddings dated 8.5.2019. Police authorities , however informly intinmated that Muhammad Raees has returned to home. </t>
  </si>
  <si>
    <t xml:space="preserve">Deleted. The Police Officer Concern submitted report on 20/06/2018 that the Complainant was not interested to pursue the case and refused the lodge FIR. He also remained absent at the hearing in this commission. Accordingly the case is closed due to Non Prosecution. </t>
  </si>
  <si>
    <t xml:space="preserve">Traced Person. It was informed at the hearing held in this Commission on 15.1.2020 that Arshad Ali is involved in Criminal Case vide FIR No. 87/19, 88/19 dated 12.7.2019 PS, Sindh Industrial Unit, Karachi. He was arrested and presently confined in Central Jail, Karachi. </t>
  </si>
  <si>
    <t>Kamran Hamid s/o Syed  Hamid Ali</t>
  </si>
  <si>
    <t xml:space="preserve"> Traced Person. It was informed at the hearing in this Commission on 07/08/2018 that Kamran Hamid has returned to home. He appeared before the Commission. The statement of the Traced Person has been recorded u/s 164 CrPC, which is available on record. The report submitted by the Police Officer Nasir Bukharo, SDPO, Ferozabad, Karachi is placed on record. </t>
  </si>
  <si>
    <t xml:space="preserve">Deleted. The case has been deleted due to incomplete/fake address as the Police could not locate the complainant/ family in the absence of which no further proceedings could be initiated. The address give in the complaint is UC No. 11 which is incomplete. </t>
  </si>
  <si>
    <t xml:space="preserve">Deleted. The case has been closed as the complainant / family of the Missing Person did not attend hearings and are not interested to purse this case. The same observation has been made by Sindh High Court while disposing of petition No. D-4569 of 2017. </t>
  </si>
  <si>
    <t xml:space="preserve"> Traced Person. It was informed at the hearing held in this Commission on 07/08/2018 that Ishrat Ullah Khan is involved in Criminal Case vide FIR No. 244/18 , u/s 23-1-A, Ps Defence, Karachi. He was arrested and presently confined in Jail. </t>
  </si>
  <si>
    <t xml:space="preserve">r/o, Islam Nagar, Sector No. 11, Orangi Town, Karachi. </t>
  </si>
  <si>
    <t xml:space="preserve">Traced Person. It was informed at the hearing on 28.5.2019 that Nadeem Ijaz is confined in Malir Jail in criminal charges. </t>
  </si>
  <si>
    <t xml:space="preserve">Traced Person. It was  informed at the hearing held in this Commission on 02/10/2018 that Junaid Jimmy is Criminal Case. He was arrested and presently confined in Central Jail, Karachi. </t>
  </si>
  <si>
    <t xml:space="preserve">r/o, House No. L-35, Sector No. L-1, Surjani Town, Karachi. </t>
  </si>
  <si>
    <t xml:space="preserve">Deleted. Hearing held on 15/08/2018 at sub office Karachi. The case does not fall under the domain of enforced on the basis of facts narrated in JIT report. </t>
  </si>
  <si>
    <t xml:space="preserve">r/o Daba Colony, UC No. 30, Baldia Town, Karachi. </t>
  </si>
  <si>
    <t xml:space="preserve">Deleted. The case has been deleted due to incomplete fake address as the Police could not locate the complainant family in the absence of which no further proceedings could be initiated. The address given in the complaint is Qasba Colony, UC No. 30 which is thickly populated area. </t>
  </si>
  <si>
    <t xml:space="preserve">Deleted. The case had been deleted due to incomplete/fake address as the Police could not locate the complainant/family in the absence of which no further proceedings could be initiated. The address given in the complaint is Shah Latif Town which is incomplete. </t>
  </si>
  <si>
    <t xml:space="preserve">Traced Person. It was informed at the hearing held in this Commission on 07/08/2018 that Rashid has returned to home. He appeared before the Commission. The statement of the Traced Person has been recorded u/s164 CrPC, which is available on record. </t>
  </si>
  <si>
    <t xml:space="preserve"> Traced Person. It was informed at the hearing held in this Commission on 07/08/2018 that Usman is involved in Criminal Case u/s 23 (i) A Ps, Model Colony. He was arrested and later released on bail by competent Court of Jurisdiction. </t>
  </si>
  <si>
    <t xml:space="preserve">Traced Person. It was informed at the hearing held in this Commission on 25/05/2018 that he has returned to home. His statement is placed on record that he was involved in case FIR No. 450/17 and released on bail two months ago. </t>
  </si>
  <si>
    <t xml:space="preserve">Traced Person. It was informed at the hearing held in this Commission on 19.11.2019 that Ameer-ud-Din has returned to home. He appeared before the Commission. The wife of the traced person appeared before the Commission and confirmed the reported position. The report submitted by DSP Al-Falah, Karachi is placed on record. </t>
  </si>
  <si>
    <t xml:space="preserve">Traced Person. It was informed at the hearing held in this Commission on 15/08/2018 that Saeed Ahmed is involved in criminal case vide FIR No. 350/2017, u/s 6/9-C PS, New Karachi. He was arrested and later released on bail by competent Court of Jurisdiction. </t>
  </si>
  <si>
    <t xml:space="preserve">Traced Person. It was informed at the hearing held in this Commission on 08/05/2018 that Illyas isinvolved criminal case vide FIR 375/2017 dated 25/12/2017. He was arrested and later released on bail by competent Court of jurisdiction. </t>
  </si>
  <si>
    <t xml:space="preserve">Deleted. The case has been deleted due to incomplete/fake address as the police could not locate the complainant/family in the absence of which no further proceedings could be initiated. The address given in the complaint is UC No. 24, Orangi Town, Karachi which is thickly populated area. </t>
  </si>
  <si>
    <t xml:space="preserve">Deleted. The case has been deleted due to incomplete/fake address as the Police could not locate the complainant / family in the absence of which no further proceedings could be initiated. The address given in the complaint is UC-21 North Nazimabad is in complete.  </t>
  </si>
  <si>
    <t xml:space="preserve">Traced Person. It was informed at the hearing held in this Commission on 21-06-2018 that Mr. Kashif Ghulam is involved in Criminal Case Vide FIR No. 78/2018 dated 18-02-2018 u/s 23 (i) A PS Awami Colony, Korangi. He was later released on bail by the competent Court of Jurisdiction. </t>
  </si>
  <si>
    <t xml:space="preserve">Daba Colony, UC No. 30, Baldia Town, Karachi. </t>
  </si>
  <si>
    <t xml:space="preserve">Chu Chu Mill Building 3rd Floor, Kharadar, Karachi. </t>
  </si>
  <si>
    <t xml:space="preserve">  Traced Person. It was informed at the hearing held in this Commission on 07/08/2018 that Roman has returned to home. Family member Najma Begum, of the Traced Person confirmed the reported position. The report submitted by the Police Officer SHO Brigade Police Station, Karachi is placed on record. </t>
  </si>
  <si>
    <t>Traced Person. It  was informed at the hearing held in this Commission on 08/05/2018 that Anas-ur-Rehman has returned to home. The statement of the Traced Person has been recorded u/s 164 CrPC, which is available on record. The report submitted by the Police Officer Peer Muhammad Shah is placed on record.</t>
  </si>
  <si>
    <t>(Mobile  No. 0355-3587759)</t>
  </si>
  <si>
    <t xml:space="preserve">Deleted. Hearing held on 15/08/2018 at sub office Karachi. The case has been deleted due to incomplete/fake address as the Police could not locate the complainant family in the absence of which no further proceedings could be initiated. </t>
  </si>
  <si>
    <t>(Mobile  No. 0345-2069471)</t>
  </si>
  <si>
    <t xml:space="preserve">Deleted. Not a case of Enforced Disappearance as the Missing Person has been declared absconder by the competent Court of Jurisdiction. The case does not fall under the domain of enforced.  </t>
  </si>
  <si>
    <t>(Mobile  No. 0315-2585648)</t>
  </si>
  <si>
    <t>(Mobile  No. 0312-3319114)</t>
  </si>
  <si>
    <t>Tariq Asad, r/o House  No. 96, Street No. 40, I-8/2, Islamabad</t>
  </si>
  <si>
    <t xml:space="preserve">Traced Person. At the hearing on 25-06-2018 Ali Akbar f/o Ahmed Hassan Shah entered appearance and submitted that Ahmed Hassan Shah has returned to home on 02-05-2018, however he did not furnish and details thereof. </t>
  </si>
  <si>
    <t>21/04/2018</t>
  </si>
  <si>
    <t xml:space="preserve">Deleted. Persual of the entire record shows that no allegation was leveled against any LEAs/Intelligence Agencies by the complainant in the Proforma for Missing Persons or at any later stage. Rep of ISI, MI and CTD have already submitted reports which are to the extent that Muhammad Zahid is not in their custody. Circumstances and facts of the case indicate that there is absolutely nothing which can bring the matter within the domain of enforced disappearance. Hence the case is closed.  </t>
  </si>
  <si>
    <t xml:space="preserve">Traced Person. Mir Hussain Lehri SSP, Turbat is present, whose statement has been recorded on oath in which he was stated that Asim Amin was abducted by some unknown armed persons from Kech Stadium and taken away blindfolded to some unknown place. Muhammad Asim returned home on 31/07/2018. </t>
  </si>
  <si>
    <t>25/04/2018</t>
  </si>
  <si>
    <t xml:space="preserve">Deleted. The case has been deleted due to incomplete address as the Police could not locate the complainant/family in the absence of which no further proceedings could be initiated. The address given in the  WGEID information report is Raees Goth, Karachi which is incomplete. </t>
  </si>
  <si>
    <t xml:space="preserve">Deleted. Mosam Shah b/o Qasim Shah attended hearing in the Commission and his statement was recorded on oath in which he deposed that his brother was a taxi driver and he went to Peshawar. He doesn’t know that from where and who abducted Qasim Shah. He added that there was no allegation against any LEA/Intelligence Agency in his statement recorded u/s 161 CrPC. Furthermore, there is no eye witness of the occurrence. Hence, it is not a case of enforced disappearance. The case is closed.   </t>
  </si>
  <si>
    <t xml:space="preserve">Traced Person. It was informed at the hearing held in this Commission on 11.6.2019 that Khuhda Khan has returned to home statement of his cousin is recorded. The report submitted by the Police Officer SHO, Airport is placed on record. </t>
  </si>
  <si>
    <t xml:space="preserve">Deleted. The case has thoroughly been examined and entire record perused. Initially a person namely Tanveer-ul-Hassan was arrested by Police but released. There are no circumstance, which could indicate involvement of any LEA there reports are also indicative that Mulazim Hussain was never in there custody. Hence not a case of enforced disappearance. The case is deleted.  </t>
  </si>
  <si>
    <t xml:space="preserve">FIR No. 621 dated 26/07/2018 u/s 365 ppc, District Charsadda. </t>
  </si>
  <si>
    <t xml:space="preserve">Traced Person. Muhammad Siraj has been traced. Tajmeer Khan f/o missing person is present, whose statement has been recorded on oath. In his statement, he has stated that his son has returned to home. </t>
  </si>
  <si>
    <t>2648</t>
  </si>
  <si>
    <t>Syed  Kumel Hassan s/o Syed Ishtiaq Hussain Shah</t>
  </si>
  <si>
    <t xml:space="preserve">Traced Person. A report has been submitted by CPO, Rawalpindi accordingly to which Syed Kumel Hassan has been arrested by CTD Police Faisalabad in Case FIR No. 13 dated 29-04-2018 u/s 4/5 ESA r/w 7ATA and he is presently confined in Shahpur Jail, District Sargodha. Father of Missing Person was present who affirmed that he was already met his son in Jail. </t>
  </si>
  <si>
    <t>Spain Bat Khan, r/o Satar Mandan, Papoza Khel, Peshawar. (Mobile  No. 0300-8023890)</t>
  </si>
  <si>
    <t xml:space="preserve">Traced Person. It was informed at the hearing held in this Commission on 11.6.2019 that Syed Muhammad Mustafa has returned to home statement of his father is placed on record. The report submitted by the Police Officer DSP, Suchal is also placed on record. </t>
  </si>
  <si>
    <t>28/04/2018</t>
  </si>
  <si>
    <t>09/05/2018</t>
  </si>
  <si>
    <t xml:space="preserve">Traced Person. At the hearing held in the case on 21-06-2018. SP (Inv), Swat was present and submitted that Abdul Wahab was presently confined in District Jail Kohat. Accordingly the name of Abdul Wahab is deleted from the list of Enforced Disappeared Persons. </t>
  </si>
  <si>
    <t xml:space="preserve">Traced Person. It was informed at the hearing held in this Commission that Muhammad Imran has returned to home. The facts were confirmed by Intelligence Agency in its report submitted to the Commission.  </t>
  </si>
  <si>
    <t xml:space="preserve">Traced Person. Muhammad Imran entered appeared before the Commission at the hearing on 29/08/2018. He has submitted that he remained I detention for about five and half  years, however he could not give further details regarding place of detention and persons involved in his detention. </t>
  </si>
  <si>
    <t xml:space="preserve">Deleted. Ali Asghar son of Ali Raza Kazmi has appeared before the Commission, whose statement has been recorded on oath. According to him Ali Raza Kazmi is his father, who disappeared on 13.7.2008 when he went to Naidhu stop on his motor bike. He also submitted that FIR regarding his disappearance was lodged on 24.7.2008 against unknown persons and in the FIR no allegation was leveled against any LEAs/ Intelligence Agency. He further added that on 30.4.2018 a complaint was sent before the Commission wherein no LEAs/ Intelligence Agency was nominated. During the course of investigation by Police, he nominated some persons namely Muhammad Azeem, Khawar, Muhammad Khalil, Mian Muhammad Asif Balhi, Sheikh Waqar and Abdul Ghaffar, who were associated with investigation, but of no avail. Reps of ISS, MI and CTD have already submitted written reports which are to extent that Ali Raza Kazmi is not in their custody. Hence, not a case of enforced disappearance. </t>
  </si>
  <si>
    <t xml:space="preserve">Traced Person. Abdullah Alam has appeared in person whose statement has been recorded on oath. According to him he had gone to Afghanistan on his own. He has further submitted that he got Jihadi training for one month. He has also stated that he did not take part in Jihad and came back on week ago. </t>
  </si>
  <si>
    <t xml:space="preserve">Traced Person. It was informed at the hearing on 28.5.2019 that Nabeel Akhtar has returned available at home. </t>
  </si>
  <si>
    <t xml:space="preserve">Traced Person. It was informed at the hearing held in this Commission on 24/10/2018 that Mehar Alam has returned to home. The report submitted by the Police Officer SHO, Awami Colony is placed on record. </t>
  </si>
  <si>
    <t xml:space="preserve">Traced Person. Sohbat Khan has appeared before the Commission in person. He stated on oath that he was arrested by the army in 2018 and remained with army for eight months. He has further stated that thereafter he was handed over to Political Administration and kept Levy’s center and thereafter sent to Central Jail Peshawar. According to him he was tried by the Court. </t>
  </si>
  <si>
    <t>Traced Person.  It was informed at the hearing held in the case on 21-06-2018. SP (Inv), Swat submitted that Suleman was confined in District Jail Kohat. Accordingly the name of Suleman is deleted from the list of Enforced Disappeared Persons.</t>
  </si>
  <si>
    <t>11/05/2018</t>
  </si>
  <si>
    <t xml:space="preserve">FIR No. 307/1/8 dated 23/06/18 u/s PPC 365, PS Race Course, Districtd Lahore. </t>
  </si>
  <si>
    <t xml:space="preserve">Deleted. In this case JIT as well as PTF concluded that the Missing Person has gone on his own. Last hearing held on 10.2.2020 complainant appeared, whose statement has been recorded on oath. He has deposed that he has filed his complaint before Commission and Majid Azad Khan remained contact with his brother Rashid Azad Khan through emails after a considerable time even after his disappearance. There is no allegation against any LEAs/Intelligence Agency in the complaint. He has also stated that last meeting was received during the year 2018. It is also stated that Majid Azad Khan approached NADRA office Karachi for issuance of his smart ID Card. Since there is absolutely no evidence which can suggest that it is case of enforced disappearance, therefore the case stands closed. </t>
  </si>
  <si>
    <t>12/05/2018</t>
  </si>
  <si>
    <t xml:space="preserve">Deleted. Keeping in view the facts and circumstances of the case, matter hardly fall within the ambit of Enforced Disappearance, therefore further proceedings in the matter would be a futile exercise. Case is accordingly disposed of and the file after compilation be consigned to record. </t>
  </si>
  <si>
    <t xml:space="preserve">Traced Person. It was informed at the hearing held in this Commission on 27.1.2019 that Rizwan Ali has returned to home. Statement of the Traced Person has been recorded u/s 164 CrPC, which is available on record. The report submitted by DSP, New Town, Karachi is also placed on record. </t>
  </si>
  <si>
    <t>FIR No. 190 dated 07/05/2018   u/s 365-PPC PS Ara Bazar, District Rawalpindi</t>
  </si>
  <si>
    <t>14/05/2018</t>
  </si>
  <si>
    <t xml:space="preserve">Deleted. The case I already closed as it has already been investigated vide ID No. 1476-K and deleted as Missing Person is a proclaimed offender. No further action is needed. The case is closed. </t>
  </si>
  <si>
    <t xml:space="preserve">Traced Person. It was  informed at the hearing held in this Commission at Karachi on 27/06/2018 that Mr. Hamayun is involved in Criminal case vide FIR No. 60/14, 6/14, 65/14 dated u/s 324, 353, 427, 34, PPC. He was arrested and presently confined in Central Prison Sukkur. </t>
  </si>
  <si>
    <t xml:space="preserve">Traced Person. SP (Inv) Tank appeared before the Commission on 17.12.2019 and submitted JIT report dated on 3.12.2019. In Para-14 of the JIT report is mentioned that Hazrat Ullah has returned home and he is no more a missing person. He also submitted statements of Hazrat Ullah (Traced Person) and Ali Marjan (Complainant) recorded u/s 164 CrPC. </t>
  </si>
  <si>
    <t>Izat Khan s/o  Noor Jan</t>
  </si>
  <si>
    <t>Nazir Khan s/o Yadat  Khan</t>
  </si>
  <si>
    <t>Muntazir Khan, r/oVillage Gagara, Bonair. (Mobile  No. 0341-9003499)</t>
  </si>
  <si>
    <t xml:space="preserve">Deleted. Muntazir Shah Cousin of Nazir Khan Missing Person is present, whose statement has been recorded on oath. He has deposed that Nazir Khan is his cousin, who disappeared in year 2008/2009 from his home. He also stated that he had lodged complaint regarding his disappearance before the Commission in the year 2018. He further submitted that he did not level against any LEAs/Intelligence Agency in the complaint regarding disappearance of Nazir Khan Missing Person. He further added that his cousin Nazir Khan burnt/died in a blast incident of mini-truck, and after getting reliable information, he fully believe that his cousin is no more in this world. Foregoing in view the case is closed. </t>
  </si>
  <si>
    <t xml:space="preserve">Traced Person. Nadeem Shah has appeared on behalf of Ismail Shah, whose statement has been recorded on oath. According to his deposition, Ismail Shah is presently detained in Jarma Jail, Kohat and the wife of Ismail Shah has been meeting with her husband. </t>
  </si>
  <si>
    <t xml:space="preserve">Traced Person. It was informed at the hearing on 27-06-2018 that Gul Faraz Khan had been traced he was confined in Internment Center at Kohat. Zarwar Khan b/o Gul Faraz Khan was present on the behalf of traced person Gul Faraz Khan. He submitted that family members of Gul Faraz Khan already met him in Internment Center. </t>
  </si>
  <si>
    <t>Abdul Muhammad s/o  Syed Shah Khan</t>
  </si>
  <si>
    <t xml:space="preserve">Traced Person. Izzat Khan brother of Abdul Razaq is present before the Commission on 30/01/2019, whose statement has been recorded on oath. According to him him his brother Abdul Razaq is detained in Central Jail Bahawalpur. He further stated that he met his brother twice in November, 2018. </t>
  </si>
  <si>
    <t>17/05/2018</t>
  </si>
  <si>
    <t xml:space="preserve">Traced Person. Muhammad Yousaf appeared before the Commission on 25.05.2021 and his statement has been recorded on oath he has deposed that he was taken into custody by government functionaries in 2018 and was confined in Landi Kotal Jail. Later, he was set free Landi Kotal Jail and now available at home. </t>
  </si>
  <si>
    <t>Deleted. In this case, there are concurrent findings/ conclusion by JIT and PTF that the Missing Person has gone on his own. All stakeholders have denied arrest/custody of Ghouse-ud-Din. The complainant   also submitted that there is no allegation against any LEAs/Intelligence Agency. No further action is required. The case is closed.</t>
  </si>
  <si>
    <t>Traced Person. It was informed at the hearing on 27-6-2018  that Shah Nawaz Khan has been traced and he was confined  in the Internment Center at Paothom. Family members of Shah Nawaz Khan shall be facilitated to see him in the  Internment Center Paithom by the Commissioner Malakand Division as per rules/ procedure under Action (in aid of Civil Power) Regulation 2011. Family Members have been allowed to meet him.</t>
  </si>
  <si>
    <t xml:space="preserve">Traced Person. It has been informed at the hearing on 24/10/2018 that Anwar Shah is presently confined in the Internment Center Paithom. Rahim Shah Father of traced person was present apprised of the status of the case. Family members of Anwar Shah shall be facilitated to see him in the Internment Center as per rules and procedures. </t>
  </si>
  <si>
    <t>FIR No. 432, dated 13/06/2018     us/ 365 PPC, PS Banr, Swat</t>
  </si>
  <si>
    <t xml:space="preserve">Traced Person. It has been intimidated at the hearing on 29/10/2018 that Azmat Ulah has been traced and presently he is confined in District Jail Kohat, where he is undergoing 20 years RI in the wake of trial by military court. </t>
  </si>
  <si>
    <t>18/05/2018</t>
  </si>
  <si>
    <t xml:space="preserve">Traced Person. Qazi Abdul Baseer (Complainant) is present, whose statement has been recorded on oath. According to his statement, Muhammad Ikram the Missing Person is his cousin and was serving as Constable in Police Department, Islamabad before disappearance. Muhammad Ikram disappeared on 19.11.1995 and complaint was filed before the Commission under suspicion that Muhammd Ikram embraced Shahdat in Bomb blast case, which occurred at the Egyptian Embassy, Islamabad. In the incident as many as 16 persons got killed, including Muhammad Ikram missing person. At the time of incident, Muhammad Ikram was with Constable Abdul Hannan, however, the dead bodies turned into piece of flesh which could not be identified. No further action is required. The case is closed. </t>
  </si>
  <si>
    <t xml:space="preserve">Traced Person. Rep of MI submitted report that name of Molvi Abdul Qadir Shah is approved by KPK Apex Committee for military trial and he will be tried ion Military Court after approval from Federal Government. </t>
  </si>
  <si>
    <t xml:space="preserve">Deleted. According to the report of FIA the Missing Person arrived at JIAP, Karachi from UAE on 10.4.2018. However as per report of I.O further investigation is not possible as no family member is in contact. The case is closed due to non-appearance of family member in JIT meeting and hearing in the Commission. </t>
  </si>
  <si>
    <t xml:space="preserve"> Deleted. The case has been closed due to non-prosecution as the complainant neither extended co-operation to the Investigation Officer nor attend hearings held on 19.11.2018, 24.12.2018, 27.2.2019, 10.4.2019 and 15.1.2020 despite notices in this Commission. </t>
  </si>
  <si>
    <t>21/05/2018</t>
  </si>
  <si>
    <t xml:space="preserve">Deleted. The case has been deleted due to no-persecution. The complainant is not interested to lodge FIR attend JIT as he has filed a petition in the Sindh High Court. </t>
  </si>
  <si>
    <t xml:space="preserve">Traced Person. It was informed at the hearing on 03/07/2018 that Ali Bin Shahid is presently confined in the Internment Center Lakki  Marwat. Family Members of Ali Bin Shahid shall be facilitated to see him in the Internment Center as per rules and procedures. </t>
  </si>
  <si>
    <t>24/05/2018</t>
  </si>
  <si>
    <t>25/05/2018</t>
  </si>
  <si>
    <t>Deleted. At the hearing held in this case on 30.12.2021 report was submitted by PS Boat Basin alongwith application affidavit from Amanullah Khan (Brother) for withdrawal of case as the family was not to lodged FIR.  No further action is required. The case is closed.</t>
  </si>
  <si>
    <t xml:space="preserve">Mst. Naja,-ud-Din, r/o Metrovil-III, Block Number 02, Abu Hassan Asphani Road, Karachi. </t>
  </si>
  <si>
    <t xml:space="preserve">Traced Person. It was informed at the hearing held in this Commission on 07/08/2018 that Afan Bin Najam is involved in Criminal Case vide FIR No. 30/2018. He was arrested and later released on bail by competent Court of Jurisdiction. </t>
  </si>
  <si>
    <t xml:space="preserve">Traced Person. Shahbaz Khaliq has been traced, he appeared before the Commission on 28.10.2020. His statement has been recorded on oath, in which he stated that he was abducted on 25.4.2017 by unknown persons and was kept at an in disclosed location. He was set free in April 2020. During detention he was asked different questions however he was not given any intensive trouble. No further action is required. The case is closed. </t>
  </si>
  <si>
    <t>26/05/2018</t>
  </si>
  <si>
    <t xml:space="preserve">Traced Person. It has been informed at the hearing on 31/10/2018 that Hashmand is confined in Internment Center Paithom. Wife of Hashmand has also affirmed that Hashmand is confined in Internment Center Paithom and family members have already see him. </t>
  </si>
  <si>
    <t>Qasim Khan  s/o Isreal</t>
  </si>
  <si>
    <t xml:space="preserve">Traced Person. Rep of ACs FATA has submitted that Qasim has been handed over by LEA on 28/05/2018 to DC, Mohmand and his case is under trail presently he is confined in Political Lockup Ghalnai. </t>
  </si>
  <si>
    <t>06/06/2018</t>
  </si>
  <si>
    <t xml:space="preserve">Deleted. The case has thoroughly been examined by this Commission. During the course of investigation statements of fourteen witness were recorded u/s 161 CrPC but none of them eye witness of occurrence. 10 JIT meetings were convened and the case was categorized as Missing Person has gone on his own. A consistent stance has been adopted by Reps of ISI and MI that Adnan Shuja is not in their custody. There is nothing adverse against Adnan Shuja in the IB report. The complainant has deposed that there is no allegation against any LEAs/Intelligence Agency. In view of above, the case does not fall under the domain of enforced disappearance, hence deleted. </t>
  </si>
  <si>
    <t xml:space="preserve">Traced Person. SI PS Saddar Bairuni appeared on the behalf of CPO, Rawalpindi and stated that Muhammad Siddique had been traced and was available at his native place i.e. Rahim Yar Khan. </t>
  </si>
  <si>
    <t>12/06/2018</t>
  </si>
  <si>
    <t xml:space="preserve">Traced Person. It has been intimiated at the hearing on 26/10/2018 that Muhammad Hayat Khan has been traced. He is presently confined in the Internment Center Fizaghat. Rehmat Ali son of traced person is present. He has affirmed that his father is confined in the Internment Center Fizaghat and he also met with him in the aforesaid Internment Center. </t>
  </si>
  <si>
    <t xml:space="preserve">Ziarat Gul, r/o Siraj Abad , Kotta, Swabi. (mobile No. 0306-5185433) </t>
  </si>
  <si>
    <t>FIR No. 466 dated 10/07/.2018    u/s 365 PPC    PS M.R.S District Kohat</t>
  </si>
  <si>
    <t xml:space="preserve">Traced Person.  Sohail Khan s/o Abu Bakar appeared before the Commission on 19.6.2019 whose statement has been recorded on oath. According to him he had gone to Riyadh (KSA) on 20.4.2016. He further deposed that he was arrested by Saudi authorities and remained in their custody. </t>
  </si>
  <si>
    <t xml:space="preserve">Traced Person. Asjad Waheed Khan is presently confined in Internment Centre Lakki Marwat as transpired from the report submitted by MI. The family of Asjad Waheed Khan shall be facilitated to see him in the Internment centre as per prescribed procedure.  </t>
  </si>
  <si>
    <t xml:space="preserve">Traced Person. Investigation was conduced by SP (Inv) Model Town, Lahore which culminated into the recovery of Islam Ullah, who appeared before the Commission on 16.4.2019. </t>
  </si>
  <si>
    <t>Traced Person. Muhammad Akram  a relative of Missing Person appeared before the Commission and submitted that Hafiz Zahid Mehmood has returned to home.</t>
  </si>
  <si>
    <t>19/06/2018</t>
  </si>
  <si>
    <t>27/06/2018</t>
  </si>
  <si>
    <t xml:space="preserve">Traced Person. It was informed at the hearing held in this Commission on 25/09/2018 that Abu Bakar has returned to home. The report submitted by the Police Officer SHO, Gulberg is placed on record. </t>
  </si>
  <si>
    <t>22/06/2018</t>
  </si>
  <si>
    <t>Traced Person. It was informed at the hearing held in this Commission on 16/07/2018 that Muslim Khan is confined in Internment Center at Khar. Family members have been allowed to meet him subject to prescribed procedure and all legal exceptions.  Under Action (in aid of Civil Power) Regulation 2011. Family Members have been allowed to meet him.</t>
  </si>
  <si>
    <t xml:space="preserve"> r/o Mohmand , Bajur Agency. (Mobile No. 0333-3339081)</t>
  </si>
  <si>
    <t>Traced Person. It was informed at the hearing held in this Commission on 16/07/2018 that Islam Khan is confined in Internment Center at Khar. Family members have been allowed to meet him subject to prescribed procedure and all legal exceptions.  Under Action (in aid of Civil Power) Regulation 2011. Family Members have been allowed to meet him.</t>
  </si>
  <si>
    <t xml:space="preserve">Traced Person. It was informed at the hearing in this Commission on 04/10/2018 that Mukhtayar Ahmed Shamsi involved in Criminal Case vide FIR No. 38/2018 dated 07/09/2018 u/s 365-A/34 rw7-ATA. He was arrested on 29/08/2018 and presently confined in Central Jail, Karachi. He was arrested and later released on bail by competent Court of Jurisdiction. </t>
  </si>
  <si>
    <t>23/06/2018</t>
  </si>
  <si>
    <t xml:space="preserve">Traced Person.Statement of Muhammad Jawad Tariq, SSP (Inv), Quetta recorded on oath, who produced statement of abductee Muhammad Bahadir recorded u/s 164CrPC in which he stated that a few persons boarded him in a vehicle came at the place of occurrence and he was blindfolded and taken away. The grievance of the complainant has been redressed on the intervention of the Commission as the said missing person had been traced. </t>
  </si>
  <si>
    <t xml:space="preserve">Tall Khan, r/o Sharif khana, darkhana Loi Sam Tehsil Nawagai, District Bajour Agency. (Mobile No. 0301-2280611 &amp; 0300-5852153)
</t>
  </si>
  <si>
    <t xml:space="preserve">Imran Gull s/o Amzar Gull </t>
  </si>
  <si>
    <t xml:space="preserve">Traced Person. SP (Inv), Charsadda submits that JIT meeting was held on 11/2/2019. Imran Gul is stated to has been traced. IO/Inspector Sardar Hussain is present and submitted that Imran Gul has returned to home. He has recorded statement of Imran Gul u/s 161 CrPC by the Judicial Mahistrate-1, Tangi. </t>
  </si>
  <si>
    <t xml:space="preserve">Traced Person. At the hearing held in this case on 16/08/2018, Iftikhar Ahmed brother of Raja Rab Nawaz confirmed that the latter has returned to home on 18/07/2018. </t>
  </si>
  <si>
    <t>FIR No. 228/18 dated 26/06/2018  u/s 365 PPC PS Kaganpur, District Kasur</t>
  </si>
  <si>
    <t xml:space="preserve">Traced Person. Muhammad Ashraf has been traced. He appeared before the Commission on 06/10/2018. He submitted that he was not abducted by anybody and left home on his own without intimating family members. He was submitted that he has returned home after six months. </t>
  </si>
  <si>
    <t>26/06/2018</t>
  </si>
  <si>
    <t xml:space="preserve">Deleted.  Fazal-e-Moula brother of Missing Person submitted an application dated 29-06-2018 that he does not want to pursue his case and therefore, deleted as withdrawn by the complainant. </t>
  </si>
  <si>
    <t xml:space="preserve">Deleted. According to ISI, MI FC (KP) and CTD Feroz Khan is not in their custody. IB reports is not adverse in nature. Concurrent findings have been given by JIT as well as by PTF that the Missing Person has gone on his own. Sher Badshah b/o Feroz Khan appeared before the Commission whose statement was recorded on oath in which he deposed that no allegation was levelled against any LEA/Intelligence Agency. Similarly, during course of investigation no such evidence came on record to infer that it is case of enforced disappearance. Hence the case is closed. </t>
  </si>
  <si>
    <t>28/06/2018</t>
  </si>
  <si>
    <t xml:space="preserve">Muhammad Junaid s/o Bakhtiar Ahmed </t>
  </si>
  <si>
    <t>FIR No. 508 dated 16/07/18 u/s 365 PPC    PS Risal Pur District Nowshera</t>
  </si>
  <si>
    <t xml:space="preserve">Traced Person. Muhammad Junaid has been traced. According to the report received from Rep of MI he is presently confined in Internment Center Paithom. Brother of the missing Person who was present at the hearing on 05/12/2018 has been apprised of status of the case. </t>
  </si>
  <si>
    <t>03/07/2018</t>
  </si>
  <si>
    <t xml:space="preserve">Traced Person. It was informed at the hearing on 13/09/2018 that Usaid Ehsan has been traced. He was present before the Commission. He submitted that nobody abducted him and he went to Karachi on his own. He has returned home on 30/07/2018. </t>
  </si>
  <si>
    <t xml:space="preserve">Traced Person. SHO, PS, New Town Rawalpindi entered appearance on 13/11/2018. He mentioned that Atif Abbass arrested in case FIR No. 23 dated 25/09/2018 u/s 4/5 ESA, 13 A (2)/20/65 AO, 7ATA, PS/CTD, Faisalabad confined in District Jail Faisalabad. </t>
  </si>
  <si>
    <t xml:space="preserve">Traced Person. It was informed at the hearing held in this Commission on 02/10/2018 that Atif Ali has returned to home. Family member (Father) of the traced person appeared before the Commission and confirmed the reported position.  The report submitted by the Police Officer Airport is placed on record. </t>
  </si>
  <si>
    <t xml:space="preserve">Traced Person.  It was informed at the hearing held in this Commission on 16/08/2018 that Muhammad Zameen has been traced. He has returned to home. SP (Inv), Swat submitted JIT report dated 13/08/2018. In para 14 of the report it is mentioned that Muhammad Zameen entered appeared before JIT. </t>
  </si>
  <si>
    <t>Traced Person.   It was informed at the hearing held in this Commission on 16/08/2018 that Muslim Khan is presently confined in the Internment Center Paithom. Under Action (in aid of Civil Power) Regulation 2011. Family Members have been allowed to meet him.</t>
  </si>
  <si>
    <t>Traced Person.   It was informed at the hearing held in this Commission on 16/08/2018 . Accordingly to the report received from Rep of MI, that Akhtar Zaman is presently confined in the Internment Center Paithom.  Under Action (in aid of Civil Power) Regulation 2011. Family Members have been allowed to meet him.</t>
  </si>
  <si>
    <t xml:space="preserve">Traced Person. Zain-ul-Abideen entered appearance before the Commission, however for certain obvious reasons he could  not explain factual aspects of the episode. </t>
  </si>
  <si>
    <t xml:space="preserve">Traced Person. Muhammad Sajid Ali entered appearance  before the Commission, however he could not furnish necessary details for certain obvious reasons. </t>
  </si>
  <si>
    <t xml:space="preserve">Traced Person. Sami Ullah appeared before the Commission. His statement was recorded on oath. He has stated that neither he was abducted nor kept at any place but he had gone on his own to Iran for work and came back on 14/06/2018. </t>
  </si>
  <si>
    <t>FIR No. 64 dated 13/01/2016  u/s 365 PPC    PS Nowshera Kalan District Nowshera</t>
  </si>
  <si>
    <t xml:space="preserve">Deleted. In the instant case seven JIT meetings have been held and in all the JIT reports the case has been categorized as Missing Person has gone on his own. PTF also agreed with the JIT that it is a case of Missing Person has gone on his own. Reps of MI, ISI, FC, KP, North and CTD Mardan region have already submitted reports that Muhammad Tariq was not in their custody. FIR of the said case was also lodged on 13.1.2016 and there is also no LEAs/ Intelligence Agency was nominated regarding disappearance of Muhammad Tariq. Hence, not a case of enforce disappearance. The case is closed. </t>
  </si>
  <si>
    <t xml:space="preserve">Deleted. The case has been deleted due to non-prosecution  as the complainant neither extended co-operation to the investigation officer nor attended hearing held on 21/03/2019. The is even not interested to lodge as per progress report received from PS Liaqatabad, Karachi. </t>
  </si>
  <si>
    <t xml:space="preserve">Traced Person. Muhammad Hashim has been traced. He is presently confined in the Internment Center Fort Salop, Tribal District Khyber as per report. Family members allowed to see him in the Internment Center. </t>
  </si>
  <si>
    <t>05/07/2018</t>
  </si>
  <si>
    <t xml:space="preserve">Traced Person. It was informed at the hearing on 10/10/2018 by the complainant that he has already seen Mujhaid in District Jail Jerma District Kohat. Rep of Home Department KP is present. She has been directed to arrange meeting of the family members with Mujhaid as per rules and procedures. </t>
  </si>
  <si>
    <t xml:space="preserve">Deleted. The circumstance of the case have been discussed in details. Father of the Missing Person attended JIT meetings and hearings in this Commission. In his written statement he confessed that his son was under treatment for some mental disorder and that he has not alleged any LEAs. Efforts have been made, as per report of DSP, Kamran Sub Division, Karachi through usual practice from Edhi Center, Ansar Burni welfare hospitals etc but no clue found. However it is not a case of enforced disappearance. The case is deleted. </t>
  </si>
  <si>
    <t xml:space="preserve">Shahbaz Hussain, r/o Bismillah Autos Motor Work Shop, Near Police Head Quarter, Shikar Pur Road, Sukkur. (Mobile No.0302-3611518) </t>
  </si>
  <si>
    <t xml:space="preserve">Traced Person. It was informed at the hearing in this Commission on 05/12/2018 that Haris Ashraf has returned to home. Father of the traced person and DSP, Saddar  appeared before the Commission and confirmed the reported position. </t>
  </si>
  <si>
    <t>07/07/2018</t>
  </si>
  <si>
    <t xml:space="preserve">Traced Person.  Raja Mustajab has been traced. He has returned to home and appeared before the Commission on 06/11/2018. He has submitted that he came back after 14 days; however he could not give further details. </t>
  </si>
  <si>
    <t>09/07/2018</t>
  </si>
  <si>
    <t xml:space="preserve">Traced Person. Rep of MI appeared for hearing on 15/01/2019 and submit that Imran s/o Khaista Rehman was interned in Internment Center Paitham Swat. Family members of Imran shall be facilitated to meet him in the Internment Center.  </t>
  </si>
  <si>
    <t>10/07/2018</t>
  </si>
  <si>
    <t>Taj-ud-Din, r/o Zawa Dawazi, Pepal Area, P.O Yak Ghund, Tehsil Pandali, District Mohmand Agency. (Mobile No. 0331-4630853 &amp; 0301-8189863  &amp; 0300-8879136).</t>
  </si>
  <si>
    <t>17101-8610056-1
Son CNIC</t>
  </si>
  <si>
    <t>12/07/2018</t>
  </si>
  <si>
    <t>Traced Person. SHO, PS/New Town, Rawalpindi entered appearance and furnished report  that Ali  Haider had returned to home as confirmed by his father.</t>
  </si>
  <si>
    <t>Traced  Person. Hazrat Umar, real brother of Amir Khan, traced person appeared before the Commission on 3.10.2019 whose statement has been recorded on oath in which he has stated that his brother was abducted on 1.4.2018 by two persons in civvies and accompanied by Khasadar Force. That on receipt of a telephone call from Karachi his relative went to Karachi wherefrom he brought Amir Khan back to home who was detained in Landhi Jail.</t>
  </si>
  <si>
    <t>14/07/2018</t>
  </si>
  <si>
    <t xml:space="preserve">Deleted. The point for consideration and determination by the Commission is that as to whether that instant case fall in the ambit if enforced disappearance or otherwise. The answer would be that the case does not fall in the category if enforced disappearance in view of the statement of t5he IO, the travel history  and JIT report. </t>
  </si>
  <si>
    <t>Muhammad Israr s/o Khaista  Muhammad</t>
  </si>
  <si>
    <t>16/07/2018</t>
  </si>
  <si>
    <t xml:space="preserve">Traced Person.It has been intimated at the hearing held on 19/10/2018 that Said Ameer has been traced. He is presently confined in Internment Center Paithom. Radheem Ullah brother of the traced person was present, who was apprised of the status of the case. Family members of Said Ameer shall be facilitated to see him in the Internment Center as per rule and procedures. </t>
  </si>
  <si>
    <t>17/07/2018</t>
  </si>
  <si>
    <t xml:space="preserve">Traced Person. Jaffar Khan f/o Muhammad Waseem appeared before the Commission on 13.3.2020. His statement has been recorded on oath. In his statement he has deposed that presently his son is confined in Central Jail at Quetta and some family members have already met him in the Jail. </t>
  </si>
  <si>
    <t xml:space="preserve">Traced Person. At the hearing held in this Commission. Jaffar Khan father of Missing Person entered appearance and submitted that his son Akhtar Zeb has returned to home. </t>
  </si>
  <si>
    <t>18/07/2018</t>
  </si>
  <si>
    <t xml:space="preserve">Traced Person. Ahmed Ullah has been traced. He has returned home. Muhammad Ajmal SP (Inv), Model Town Lahore appeared before the Commission on 19.6.2019 and submitted that he spoke to brother of Ahmed Ullah namely Afan Ullah who told that his brother has returned to home. </t>
  </si>
  <si>
    <t>20/07/2018</t>
  </si>
  <si>
    <t xml:space="preserve">Traced Person. Khan Ayaz has been traced as presently confined in Mardan District Jail and enacting imprisonment for 14 years. Father of the missing person was present who affirmed that he met his son in Mardan jail. </t>
  </si>
  <si>
    <t>21/07/2018</t>
  </si>
  <si>
    <t xml:space="preserve">Deleted. JIT and PTF categorized the case as Missing Person has gone on his own. All stakeholders have denied arrest or custody of Wanas Khan s/o Janas Khan. The case is closed being not a case of enforced disappearance. </t>
  </si>
  <si>
    <t>26/07/2018</t>
  </si>
  <si>
    <t>Ain Ullah  s/o Bashar Khan</t>
  </si>
  <si>
    <t xml:space="preserve">Kamal Shah s/o Ilam Din </t>
  </si>
  <si>
    <t xml:space="preserve">Traced Person. Hearing was held in this Commission on 19/10/2018. Allo-ud-Din brother of the Traced Person was present who affirmed that his brother has been traced. He was a military deserter and was taken into custody in consequence thereof. </t>
  </si>
  <si>
    <t>27/07/2018</t>
  </si>
  <si>
    <t xml:space="preserve">Deleted. Bilal Mehmood Baig son of Aftab Shehzad Baig has appeared before the Commission on 12.2.2020, whose statement has been recorded on oath. According to him Aftab Shehzad Baig is his father, who disappeared on 2.7.2018. My elder brother Shoaib had lodged an FIR regarding disappearance of father against some unknown persons and in the FIR no LEAs/ Intelligence Agency was nominated. JIT as well as PTF concluded that Missing Person has gone on his own. Hence, not a case of enforced disappearance. The case is closed. </t>
  </si>
  <si>
    <t>30/07/2018</t>
  </si>
  <si>
    <t>01/08/2018</t>
  </si>
  <si>
    <t xml:space="preserve">Deleted. Complainant Akey Khan has appeared in person, whose statement has been recorded on oath. According to him no allegation was levelled against LEAs/Intelligence Agency by him in the application, which was filed before the Commission. He has also stated that he has not expressed any suspicion against any person.  He has further stated that he was not lodged FIR and he also made statement before the Police on 17.09.2018. According to him Sahib Rehman Missing Person was mentally unsound. According to the reports received from Reps of ISI, MI, CTD and FC (South), ground check was carried out which has revealed that the Missing Person has neither been arrested nor held in custody. Accordingly it is not a case of enforced disappearance the case is closed.  </t>
  </si>
  <si>
    <t>02/08/2018</t>
  </si>
  <si>
    <t>FIR No. 697 dated 09/07/2018  u/s 365 PPC PS City, District Kohat</t>
  </si>
  <si>
    <t xml:space="preserve">Traced Person. It was informed at the hearing in this Commission on 12/11/2018 that Rafay Sohail had returned to home. The report submitted by the Police Officer PS, Ferozabad is placed on record. </t>
  </si>
  <si>
    <t xml:space="preserve">Traced Person. It was informed at the hearing in this Commission on 12/11/2018 that Samad Sohail had returned to home. The report submitted by the Police Officer PS, Ferozabad is placed on record. </t>
  </si>
  <si>
    <t xml:space="preserve">Traced Person. Muhammad Osama has been traced. He has returned home. Inspector Legal, DIG (Inv), Lahore appeared before the Commission on 19.6.2019 who submitted report. According to which Muhammad Osama has returned to home. It is also mentioned in the report that he was not abducted by anyone. </t>
  </si>
  <si>
    <t>04/08/2018</t>
  </si>
  <si>
    <t>FIR No. 440 dated 01/09/20186  u/s 365 PPC    PS PS Malan Jabbad, District Swat</t>
  </si>
  <si>
    <t>07/08/2018</t>
  </si>
  <si>
    <t>08/08/2018</t>
  </si>
  <si>
    <t xml:space="preserve">Traced Person. It has been informed at the heaing held on 25/09/2018 that Rehmat Ullah has been traced. He is presently confined in Internment Center Lakki Marwat. I.O of the case was present. He was directed to apprise the complainant of status of the case as the latter was not available before the Commission. Family members of Rehmat Ullah shall be fascinated to see him in the Internment Center as per rule and procedures. </t>
  </si>
  <si>
    <t>10/08/2018</t>
  </si>
  <si>
    <t xml:space="preserve">Deleted. JIT and PTF categorized the case as that if Missing Person has gone on his own. All stakeholders have denied arrest or custody of Syed Sharif. The complainant remained absent of JIT meetings and did not participate in the proceedings dated 15.10.2021, 12.04.2021 and 23.08.2021. The case is closed being not a case of enforced disappearance. </t>
  </si>
  <si>
    <t xml:space="preserve">Traced Person. Assistant Commissioner, Pasni appeared before the Commission on 8.9.2020 on behalf of Deputy Commissioner Gwadar, whose statement was recorded on oath, in which he deposed that Khawaja Khalid Javed returned home on 2.11.2019. He produced statement of Khawaja Muhammad Paras son of the Missing Person stating that the Missing Person reached Hyderabad on 10.11.2019. The case accordingly stands disposed of. </t>
  </si>
  <si>
    <t xml:space="preserve">Traced Person. It has been reported by SP (Inv), Hangu at the hearing on 05/11/2018 that Abdullah is present in Afghanistan and according to the statement of brother the complainant Mst. Abida has gone gone to Afghanistan to meet husband Abdullah. </t>
  </si>
  <si>
    <t xml:space="preserve">Traced Person. According to the statement of Mst. Huma Saeed complainant/mother of Tallah Bin Saeed whose statement has been recorded on oath. Tallah was abducted on 10/11/2017 by unknown persons and he reached home back on one week ago. </t>
  </si>
  <si>
    <t>13/08/2018</t>
  </si>
  <si>
    <t xml:space="preserve">Traced Person. Abdul Samad has been traced. He was present before the Commission at the hearing on 06/10/2018 . He submitted that he has returned home after six months; however he could not give further details about place and the persons involved in his detention for obvious reasons. </t>
  </si>
  <si>
    <t>Traced Person. Mr. Farooq Hussain, Inspector CTD, Gujranwala was present at the hearing on 4.3.2019 and submitted that Mosa Khan s/o Gulab Khan was arrested in case FIR No. 22/2018 u/s 4/5/7/11 HB-12H, ATA 1997 r/w 13/20/65 AO PS CTD, Lahore and  detained in Central Jail, Sahiwal.</t>
  </si>
  <si>
    <t>Ameer Nawaz, r/o Dhera Kilay, P.O Tangi, District Charsadda. (Mobile  No. 0302-8052914)</t>
  </si>
  <si>
    <t xml:space="preserve">Deleted. JOT report dated 11.2.2020 the case has been categorized as a case of Missing Person has gone on his own. The case was also taken up by PTF on 12.2.2020 and the same was categorized gone on his own. IO of the case has submitted that the statement of nine witnesses were recorded u/s 161 Cr.PC but none of them is EW of the occurrence. There is absolutely nothing which can bring the matter within the ambit of Enforced Disappearance. Therefore, further proceeding by the Commission would be a futile exercise. The case is closed. </t>
  </si>
  <si>
    <t xml:space="preserve">Traced Person. It was informed at the hearing in this Commission on 12/11/2018 that Romana Munawar Ghazi returned to home. The report submitted by PS, Ferozabad is placed on record. </t>
  </si>
  <si>
    <t>18/08/2018</t>
  </si>
  <si>
    <t xml:space="preserve">Traced Person. It was informed at the hearing held in this Commission on 05/11/2018 that Abid Hussain had returned to home. The report submitted by the Police Officer PS, Clifton  is placed on record. </t>
  </si>
  <si>
    <t xml:space="preserve">Traced Person.   It has been intimated that Hafiz Muhammad Imran Khan has been traced, who is presently confined in Central Jail, Karachi vide FIR No. 100 dated 19/09/2018 u/s 11-H(I), 11.N/ATA, PS /CTD Karachi. Uzair Rehman son of traced person is present. He has affirmed that his father is confined in the Central Jail, Karachi and he has held meeting with him in the jail. </t>
  </si>
  <si>
    <t xml:space="preserve">Traced Person. It was informed at the hearing held in this Commission on 19/12/2018 that Muhammad Ismail is confined in Internment Center Fort Salop. Family members have been allowed to meet him subject to prescribed procedure and all legal exceptions. </t>
  </si>
  <si>
    <t>Wahid Gul, r/o Bar Qambar Khel, Samar Baba, Tehsil Wada, P.O Bara, Khyber Agency. (Mobile  No. 0310-5420101)</t>
  </si>
  <si>
    <t xml:space="preserve">Traced Person. Muhammad Shahbaz has appeared before the Commission on 17.12.2019, whose statement has been recorded on oath. He has deposed that he was taken into custody from home in the year 2014 and was taken away to some unknown place and released about a month ago. IO/SI has recorded and submitted statement of Muhamamd Shahbaz on Stamp Paper. </t>
  </si>
  <si>
    <t xml:space="preserve">Traced Person. Muhammad Khateeb Khan b/o Muhammad Haseeb appeared on 13/11/2018 and confirmed that his brother Muhammad Haseeb had returned to home. </t>
  </si>
  <si>
    <t>27/08/2018</t>
  </si>
  <si>
    <t xml:space="preserve">Traced Person. At the hearing held in this case on 15.3.2021. It was informed by SDPO, Feraozabad, Karachi that a case vide FIR No. 1/2021 u/s 11H/11I/11J, 11/N, 6/1 7 ATA 1997 dated 1.1.2021 was registered and he was arrested by CTD Multan. Muhammad Umar Mashkai also appeared on 15.3.2021 and he was released on bail by the Court. No further action is required. The case is closed. </t>
  </si>
  <si>
    <t>Saeed Ibrar, r/o  Payan Peer Tab, Banda, District Swabi. (Mobile No. 0316-0095573)</t>
  </si>
  <si>
    <t xml:space="preserve">Traced Person. Falak Naz appeared for hearing on 31/10/2018 and affirmed that Falak Naz has returned to home and present at his residence. In this connection  recorded statement  of Falak Naz Traced Person and furnished copy of the same which has been placed on record. </t>
  </si>
  <si>
    <t xml:space="preserve">Traced Person. Rep of MI is present on 25.3.2019 and submitted that the case of Saif Ullah s/o Saeed Ibrar is pending in military court and proceedings will be commended subject to approval by the Federal Government. </t>
  </si>
  <si>
    <t xml:space="preserve">Deleted. The Complainant Sardar Ali (Brother) appeared before the Commission on 25.06.2021 whose statement was recorded on oath in which he stated that the complaint lodged by his lat mother was based on hessy and he has no evidence in support of enforced disappearance of his brother Muhammad Zareen. In view of above, the case is closed. </t>
  </si>
  <si>
    <t xml:space="preserve">Deleted. The Complainant Sardar Ali (Brother) appeared before the Commission on 25.06.2021 whose statement was recorded on oath in which he stated that the complaint lodged by his lat mother was based on hessy and he has no evidence in support of enforced disappearance of his brother Wazir Zada. In view of above, the case is closed. </t>
  </si>
  <si>
    <t xml:space="preserve">Traced Person. It was informed at the hearing held in this Commission on 11/12/2018 that Muhammad Amjad has returned to home. The report submitted by the LEA is placed on record. </t>
  </si>
  <si>
    <t xml:space="preserve">Traced Person. It has been informed by Rep of MI at the hearing held in this case on 26/09/2018 that Iftikhar Ali has been traced and presently he is confined in Internment Center Lakki Marwat. Family members of Iftikhar Ali shall be facilitated to see him in the Internment Center as per rules and procedures. </t>
  </si>
  <si>
    <t>30/08/2018</t>
  </si>
  <si>
    <t>Naseem Khan,  P.O Lakeray, Tehsil Upper Mohmand, District Mohmand Agency. (Mobile No. 0345-9190063)</t>
  </si>
  <si>
    <t>Mekaiel Khan s/o  Hayat</t>
  </si>
  <si>
    <t xml:space="preserve">Traced Person. According to report dated 3.8.2020 received from Rep of MI, Mekail Khan s/o Hayat is interned in Internment Center Lakki Marwat under Action (aid in Civil Power) Regulations 2011 for FATA/PATA. Ismail Khan appeared for hearing on 8.9.2020 who was apprised of the status of the case. No further action is required . The case is closed. </t>
  </si>
  <si>
    <t xml:space="preserve">Traced Person. Rep of MI is present. He has submitted that a case of Abdul Razzaq has been approved by Ministry of Interior for trial in Military Court. Said Wali and Muhammad Qasim brothers of missing persons have entered appearance before the Commission who have been apprised of status of the case. </t>
  </si>
  <si>
    <t xml:space="preserve">Traced Person. Rep of MI is present. He has submitted that a case of Khair Ullah has been approved by Ministry of Interior for trial in Military Court. Said Wali and Muhammad Qasim brothers of missing persons have entered appearance before the Commission who have been apprised of status of the case. </t>
  </si>
  <si>
    <t xml:space="preserve">Traced Person. Rep of MI is present. He has submitted that a case of Rehmat Shah has been approved by Ministry of Interior for trial in Military Court. Said Wali and Muhammad Qasim brothers of missing persons have entered appearance before the Commission who have been apprised of status of the case. </t>
  </si>
  <si>
    <t>03/09/2018</t>
  </si>
  <si>
    <t xml:space="preserve">Traced Person. Awais Haseeb has been traced. He has returned home and appeared before the Commission on 19.6.2019. His statement has been recorded on oath. He has stated that he was abducted in 10.8.2018 and was set free in November, 2018. </t>
  </si>
  <si>
    <t xml:space="preserve">Deleted. A perusal of the relevant record indicates that Hafiz Muhammad Ismail has submitted a complaint dated 11.5.2018 against that at the complaint no LEAs/ Intelligence Agency was nominated. Father of Missing Person expressed suspicion that his daughter in law is deeply involved in disappearance of Missing Person. Accordingly, not a case of enforced disappearance. Hence, the case is closed. </t>
  </si>
  <si>
    <t xml:space="preserve">Traced Person. Merbhan Shah has been reported to be confined in Central Jail, Peshawar. In this connection statement of Mr. Raees Khan, Rep of ISI has been recorded on oath, who has also produced report. </t>
  </si>
  <si>
    <t>05/09/2018</t>
  </si>
  <si>
    <t xml:space="preserve">Traced Person. Muhammad Atif Baig has been traced. He has returned  Muhammad Wasif Baig Complainant appeared before the Commission on 18.6.2019 , whose statement has been recorded on oath in which he confirmed return of his brother. </t>
  </si>
  <si>
    <t xml:space="preserve">Deleted. The case is deleted as no allegation has been leveled against any of the LEAs. Hence not a case of enforced disappearance. The case is closed. </t>
  </si>
  <si>
    <t xml:space="preserve">Deleted. Reports have been received in case from Sindh Police and Pakistan Navy has been observed that due to absence from duty , Maqsood Khan, Marine Branch Sailor PN was declared absconded and he is wanted by PN, Hence not a case of enforced disappearance and closed. </t>
  </si>
  <si>
    <t>06/09/2018</t>
  </si>
  <si>
    <t xml:space="preserve">Traced Person. Brother of Qasim Khan is present at the hearing on 5.3.2019. He is submitted that he has spoken to his brother, who is presently confined in Political Hawalat Kurram at  Para Chinar. </t>
  </si>
  <si>
    <t xml:space="preserve">Traced Person. Hanzala has been traced. According to report received from Rep of MI Hanzala was put on trail by Military Court and was released 14 years and confined in District Jail, Kohat. </t>
  </si>
  <si>
    <t xml:space="preserve">Traced Person. Accordingly report received at the hearing on 05/11/2018 from DPO, Lower Dir that Subhan Ullah is confined Kohat Jail and his brother has already met him in the aforesaid jail. </t>
  </si>
  <si>
    <t>10/09/2018</t>
  </si>
  <si>
    <t xml:space="preserve">Traced Person. It has been intimated at the hearing on 05/11/2018 that Muhammad Abdul Wahid has returned to home on 06/10/2018. This information has also been affirmed by the complainant who has entered appearance. </t>
  </si>
  <si>
    <t>11/09/2018</t>
  </si>
  <si>
    <t xml:space="preserve">Traced Person. Raja Usman Mehmood has been traced. According to reports received from Rep of MI Raja Usman Mehmood is presently confined in Internment Center Fort Salop (Tribal District Khyber). </t>
  </si>
  <si>
    <t>12/09/2018</t>
  </si>
  <si>
    <t xml:space="preserve">Traced Person. Rizwan Ullah Khan has been traced, he has returned to home. In this connection statements of Aain Khan Sub-Inspector/IO PS Akro and Umar Gul DSP/CTD Nowshera have been recorded on oath. </t>
  </si>
  <si>
    <t xml:space="preserve">FIR No. 338 dated 22/10/2018 u/s 365 PPC, PS Balambat District Dir Lower. </t>
  </si>
  <si>
    <t>15/09/2018</t>
  </si>
  <si>
    <t xml:space="preserve">Traced Person. Father of the traced person Syed Muhammad Umer confirmed return of his son to home, thereafter he requested to close the case. </t>
  </si>
  <si>
    <t xml:space="preserve">Deleted. IO/SI Muhammad Ashraf of PS/Waris Khan, district Rawalpindi appeared before the Commission on 12.9.2019, whose statement has been recorded on oath, in which he submitted that a case against the accused person is under trial in the Court. He further submitted that there is no allegation against any LEAs/Intelligence Agencies by the complainant regarding disappearance of the Missing Person. He has produced copies of FIR bearing No 534 dated 28.7.2018 complete Challan Form and the statement of witnesses recorded u/s 164 Cr.PC. All the documents suggest that it is not a case of enforced disappearance. Hence closed. </t>
  </si>
  <si>
    <t>18/09/2018</t>
  </si>
  <si>
    <t xml:space="preserve">Deleted. IO/SI Muhammad Ashraf of PS/Waris Khan, district Rawalpindi appeared before the Commission on 12.9.2019, whose statement has been recorded on oath, in which he submitted that a case against the accused person is under trial in the Court. He further submitted that there is no allegation any LEAs/Intelligence Agencies by the complainant regarding disappearance of the missing person. He has produced copies of FIR being No 534 dated 28.7.2018 complete Challan Form and the statement of witnesses recorded u/s 164 Cr.PC. All the documents suggest that it is not a case of enforced disappearance. Hence closed. </t>
  </si>
  <si>
    <t xml:space="preserve">Deleted. IO/SI Muhammad Ashraf of PS/Waris Khan,  Rawalpindi appeared before the Commission on 12.9.2019, whose staartement has been recorded on oath, in which he submitted that a case against the accused person is under trial in the Court. He further submitted that there is no allegation any LEAs/Intelligence Agencies by the complainant regarding disappearance of the missing person. He has produced copies of FIR bearing No 534 dated 28.7.2018 complete Challan Form and the statement of witnesses recorded u/s 164 Cr.PC. All the documents suggest that it is not a case of enforced disappearance. Hence closed. </t>
  </si>
  <si>
    <t xml:space="preserve">Traced Person. Wasif Khan has been traced. IO/SI Hadayyar Khan appeared on 10.5.2019 whose statement has been recorded on oath. He has submitted ttah brother of Wasif Khan has intimated on telephone that his brother, Wasif Khan has reached Peshawar. </t>
  </si>
  <si>
    <t xml:space="preserve">Traced Person. It has been intimated at the hearing on 02/11/2018 that Suleman is presently confined in the Internment Center Paithom. I.O of the case is present, who has been apprised of status of the case. </t>
  </si>
  <si>
    <t xml:space="preserve">Traced Person. Reham Akbar has been traced. It has been intimated at the hearing on 19/10/2018 that Reham Akbar is present confined in District Jail Kohat in a criminal case. </t>
  </si>
  <si>
    <t>24/09/2018</t>
  </si>
  <si>
    <t>Amjad Ali, r/o P.O Chamkani, Tehsil &amp; District  Peshawar. (Mobile No. 0333-7675705)</t>
  </si>
  <si>
    <t xml:space="preserve">Traced Person. It has been intimated at the hearing on 31/10/2018 that Khatab has been traced. He is presently confined in the District Jail Kohat in case vide FIR No. 07 dated 03/10/2018 u/s 5 ESA/7ATA, PS/CTD, Kohat. Amjad Ali b/o Khatab is present. He has submitted that he has already met his brother in District Jail, Kohat. </t>
  </si>
  <si>
    <t xml:space="preserve">Traced Person. It has been intimated at the hearing on 02/11/2018 that Ilam Khan is presently confined in Interment center Paithom. Brother of Missing Person has been apprised of the status of the case. </t>
  </si>
  <si>
    <t xml:space="preserve">Deleted. JIT/PTF categorized the case as Missing Person has gone on his own. All stakeholders have denied arrest or custody of Masood-ur-Rehman. The complainant Shabbir Ahmed neither appeared in JIT meetings nor attended the hearing in this Commission. The case is closed being not a case of enforced disappearance. </t>
  </si>
  <si>
    <t xml:space="preserve">Traced Person. It has been intimated at the hearing on 02/11/2018 by Rep of MI that Hazrat Nabi is presently confined in Internment Center Paithom. Tahir Khan son of Hazarat Nabi is present who has been apprised of the status of the case. </t>
  </si>
  <si>
    <t xml:space="preserve">Traced Person. It has been intimated at the hearing on 02/11/2018 that Aqeel Khan is presently confined in Internment Center Paithom. Arsla Khan brother of Aqeel Khan is present. He has been apprised the status of the case. </t>
  </si>
  <si>
    <t xml:space="preserve">Traced Person. Muhammad Afzal DSP, (Legal) Mianwali appeared before the Commission on 06/11/2018 and stated that Tanveer Khan has been traced and he was confined in Adiala Jail Rawalpindi in a criminal case. Farooq Khan cousin of Tanveer Khan was also present and confirmed he met Tanveer Khan. </t>
  </si>
  <si>
    <t xml:space="preserve">Traced Person. Ali Rehman father-in-law of the missing person is present. He has submitted that his family member met with Muhammad Rehman in Internment Center Fizaghat. </t>
  </si>
  <si>
    <t>Atta Ullah, r/o  Buland, Tehsil Nawa Pur, District Khushab. (Mobile No. 0306-8601655)</t>
  </si>
  <si>
    <t xml:space="preserve">Traced Person. It was informed at the hearing held in this case by the Commission at Lahore that Safi Ullah was killed in encounter with CTD Police, Gujranwala. </t>
  </si>
  <si>
    <t>Mst. Sakena Begum, r/o  P.O Abbas Pur, District Ponch, AJ&amp;K. (Mobile No. 0316-5438168)</t>
  </si>
  <si>
    <t xml:space="preserve">Traced Person. Rep of MI is present at the hearing on 01/11/2018 and submitted that Zia Ullah is presently confined in Internment Center Lakki Marwat. Father of Zia Ullah is present, who has affirmed that Zia Ullah is present in Internment Center Lakki Marwat. </t>
  </si>
  <si>
    <t xml:space="preserve">Traced Person. Muhammad Ishaq has entered appearance, whose statement has been recorded on oath. He has deposed that his son Ishaq came to Pakistan from Afghanistan, alongwith 51 bother persons, in the year 2016 and all of them surrendered themselves to Pak Army at Torkham border. He also submitted that children / family members of ishaq were handed over to him by Subedar Shafiq of Pak Army at Torkham and his son is presently confined in the Internment Center Paitham, District Swat, where he met him five times. Rep of MI submitted report indicating that same position. Accordingly, the case is closed. </t>
  </si>
  <si>
    <t xml:space="preserve">Traced Person. Focal Person of MI is present and submitted that Akhtar Rahim is presently confined in the Internment Center Paithom. Family members of Akhtar Rahim shall be facilitated to see him in the Internment Center. </t>
  </si>
  <si>
    <t>28/09/2018</t>
  </si>
  <si>
    <t xml:space="preserve">Deleted. This case is closed for want of justification as there is no allegation against the law enforcement agencies. </t>
  </si>
  <si>
    <t xml:space="preserve">Javed, r/o Futhure Colony, Street No. 05, Landhi  No. 22, Karachi. (Mobile No.0342-1204856) </t>
  </si>
  <si>
    <t xml:space="preserve">Traced Person. It was informed at the hearing held in this Commission on 12/12/2018 that Imran is confined in Internment Center Paithom, District Swat. Family member have been allowed to meet him subject to prescribed procedures and all legal exceptions. </t>
  </si>
  <si>
    <t xml:space="preserve">Traced Person. Sp (Inv), Islamabad appeared before the Commission on 06/11/2018 and submitted that Muhammad Aslam has been traced, he was at Karachi in regular contact with his family. </t>
  </si>
  <si>
    <t>01/10/2018</t>
  </si>
  <si>
    <t>02/10/2018</t>
  </si>
  <si>
    <t>Traced Person. According to report dated 12/11/2018 received from DPO, Sahiwal Muhammad Akbar Rauf was accused in case FIR No. 48 dated 5/10/2017 u/s 302/324/353/186/148/149 PPC, 13 (2)/20/65AO,3/4 encounter  with CTD, Multan and his identification was got conducted confirmed through NADRA</t>
  </si>
  <si>
    <t xml:space="preserve">Traced Person. It was informed at the hearing held in this Commission on 21/03/2019 that Syed Hamid Ali has returned to home vide his statement dated 12/02/2019 placed on record. </t>
  </si>
  <si>
    <t xml:space="preserve">Mushtaq Ali s/o Syed Mishal </t>
  </si>
  <si>
    <t xml:space="preserve">Sheeran Bibi, r/o Kacha Razi Sonmiani, Tehsil Rojhan, District Rajanpur. (Mobile No. 0340-7811321) </t>
  </si>
  <si>
    <t xml:space="preserve">Traced Person. A criminal case had been registered against Abdul Razaq Qasimi and presently he was in the custody of CTD, Faisalabad. </t>
  </si>
  <si>
    <t>03/10/2018</t>
  </si>
  <si>
    <t>5434-K
&amp;
4564-K</t>
  </si>
  <si>
    <t>10/10/2018</t>
  </si>
  <si>
    <t xml:space="preserve">Traced Person. Taimoor Khan has been traced. He has returned home on 07/01/20019. Mamoor Khan father of Taimoor Khan appeared on 21/01/2019 statement of Mamoor Khan has been recorded by the Commission on oath in which he affirmed that his son Taimoor Khan has returned home. </t>
  </si>
  <si>
    <t xml:space="preserve">
Traced Person. Usama Mehmood Khan has been traced. He has returned to home and appeared before the Commission on 19.6.2019 whose statement has been recorded on oath, in which he deposed that he went to Karachi on his own and was not abducted by anyone. 
</t>
  </si>
  <si>
    <t>Muhammad Sadique, r/o Mohallah Rafiq Abad, Street No, 02, Near Thali  Chowk, Rahim Yar Khan. (Mobile No. 0300-7829200)</t>
  </si>
  <si>
    <t xml:space="preserve">Traced Person. It was informed at the hearing held in this Commission on 20/11/2018 that Ali Mauvia has returned to home a confirmed by his father Muhammad Sadiq. </t>
  </si>
  <si>
    <t>5442-P
5475-P</t>
  </si>
  <si>
    <t xml:space="preserve">Traced Person. It has been informed at the hearing on 30/10/2018 that Mian Mukhtar Gul has been traced who has returned to home. In this connection copy of affidavit given by Mst. Shahzadi Parveen wife of the traced person is place on record. </t>
  </si>
  <si>
    <t>11/10/2018</t>
  </si>
  <si>
    <t xml:space="preserve">Traced Person. Nawab Khan has been traced. Mst. Gul Yar Jan mother of Nawab Khan is present. She has affirmed that Nawab  Khan has returned home and presently he is available at home, however due to poor health he could not enter appearance before the Commission. </t>
  </si>
  <si>
    <t>Mst. Nowash Pari, r/o P.O  Lakaray, Tehsil Safi, District Mohmand Agency. (Mobile No. 0304-9306441)</t>
  </si>
  <si>
    <t xml:space="preserve">Traced Person. I.O of the case appeared before the Commission on 17.9.2020 at Lahore and submitted that Muhammad Jamil returned home. In order to substantiate his version and affidavit of son of Muhammad Jamil was also produced perusal whereof shows that Muhammad Jamil was residing at his home. In such view of the matter no further action is required to be taken by the Commission. The case is closed.   </t>
  </si>
  <si>
    <t>FIR No. 994 dated 20/11/2018  u/s 365 PPC PS Cantt , District D.I.Khan</t>
  </si>
  <si>
    <t xml:space="preserve">Traced Person. Aleem Ullah has been traced. According to the report received from MI, he is presently confined at DRC Mishaal where he is undergoing de-radicalization programme and after completion of course in DRC Mishaal he will be released.  </t>
  </si>
  <si>
    <t>Mst. Shamim Akhtar, r/o  P.O Jhangi, Abbottabad. (Mobile No. 0313-5874153)</t>
  </si>
  <si>
    <t xml:space="preserve">Traced Person. Muhammad Afzal has been traced. According to reports received from Rep of MI the case of Muhammad Afzal is pending in military court and proceedings of the same will be commenced subject to extension of military courts. </t>
  </si>
  <si>
    <t>12/10/2018</t>
  </si>
  <si>
    <t xml:space="preserve">Traced Person. Zeeshan Shah has been traced. He has returned to home. He appeared before the Commission on 13.6.2019. His statement has been recorded on oath. </t>
  </si>
  <si>
    <t>15/10/2018</t>
  </si>
  <si>
    <t xml:space="preserve">Traced Person. Ameer Usman father of Muhammad Luqman appeared on 14/11/2018 and informed that his son was confined  at District Jail Faisalabad. </t>
  </si>
  <si>
    <t>16/10/2018</t>
  </si>
  <si>
    <t xml:space="preserve">Deleted. According the complaint and, FIR, there is no allegation against any LEA for abduction of Salman Shahzad Ghuman. Statement of his father and mother has been recorded according to which he went on motorcycle with some friends in 27.9.2018. In view if above circumstances, the JIT slightly concluded that the Missing Person gone at his own. Moreover he has been a telephonic contact with his father. Hence, not a case of enforced disappearance. The case is closed. </t>
  </si>
  <si>
    <t xml:space="preserve">Traced Person. Faqeer Muhammad has been traced. He is in custody of military authorities and his case in abeyance due to the reason that enactment pertaining to military courts has not been extended after 06.01.2019. </t>
  </si>
  <si>
    <t>18/10/2018</t>
  </si>
  <si>
    <t>20/10/2018</t>
  </si>
  <si>
    <t>20/10/2019</t>
  </si>
  <si>
    <t xml:space="preserve">Traced Person. Muhammad Hashim Akram has been traced. He has returned to home. He appeared before the Commission on 13.6.2019. His statement has been recorded on oath. </t>
  </si>
  <si>
    <t>22/10/2019</t>
  </si>
  <si>
    <t xml:space="preserve">Traced  Person. It was informed at the hearing held in this Commission on 21.5.2019 that Rawal has returned to home. The report submitted by the Police Officer SHO Shah Faisal, Karachi is placed on record. </t>
  </si>
  <si>
    <t>23/10/2019</t>
  </si>
  <si>
    <t>FIR No. 961 dated 30/07/2013  u/s 365 PPC, PS Gahaleghi ,District Swat</t>
  </si>
  <si>
    <t>Muhammad Tayyab, r/o Salazgar,  Village Shinger Gul, District Bajur Agency. (Mobile No. 0300-5662246)</t>
  </si>
  <si>
    <t>24/10/2018</t>
  </si>
  <si>
    <t xml:space="preserve">Traced Person. It has been intimated at the hearing on 28/11/2018 that Yousaf has been traced, who is presently confined in the Internment Center Alizai. Family members of Yousaf shall be facilitated to see him the Internment Center. </t>
  </si>
  <si>
    <t>25/10/2018</t>
  </si>
  <si>
    <t>26/10/2018</t>
  </si>
  <si>
    <t xml:space="preserve">21405-0337721-9 </t>
  </si>
  <si>
    <t xml:space="preserve">Traced Person. It was informed at the hearing on 23/7/2019 that Hamza Noor has been returned to home. Report dated 16/5/2019 initiated by SHO, OS Bakka Khle, duly attested by SP (Inv), Bannu is available on record perusal whereof shows that Hamza Noor has returned home. </t>
  </si>
  <si>
    <t>29/10/2018</t>
  </si>
  <si>
    <t>Traced Person. Farhat Ullah has been traced. According to report received from Rep of MI, Farhat Ullah is presently confined in Internment Centre Paithom. SP (Inv) Swabi  has been apprised of the status of the case to inform the complainant.</t>
  </si>
  <si>
    <t>Nasar Ullah, r/o  Kuli Malik Muhammad Hashim, Sir Ghari, Tehsil Gulistan, District Qila Abdullah. (Mobile No. 0307-3731527)</t>
  </si>
  <si>
    <t xml:space="preserve"> Traced Person. Naqeeb Ullah s/o Abdul Majeed has entered appearance before the Commission on 3.3.2020, whose statement has been recorded on oath. He has deposed that on 2.10.2017, he was present at his home situated at Killi Malik Muhammad Hashim, Tehsil Gulistab, Qilla Abdullah. When he came out after Fajar prayer, five persons three in uniforms and two in civvies caught him and took away blindfolded. He has further stated that during detention he was kept at and unknown place. He further stated that the persons who took him along were asking him about his business etc and set him free on 11th February 2020 at Mizan Chowk from where he has returned home. </t>
  </si>
  <si>
    <t>30/10/2018</t>
  </si>
  <si>
    <t xml:space="preserve">Traced Person. Muhammad Rafique s/o Muhammad Sharif entered appearance before the Senior Member in his chamber on 31/12/2018, who stated on oath that Muhammad Atif had returned back and he was neither taken away by any state agency nor abducted, but he had gone his own. </t>
  </si>
  <si>
    <t>31/10/2018</t>
  </si>
  <si>
    <t xml:space="preserve">Traced Person. Rehmat Ullah has been traced. According to report received from Rep of MI Rehmat Ullah is presently confined in Internment Center at Lakki Marwat, Family members of Rehmat Ullah shall be allowed to see himin the Internment Center. </t>
  </si>
  <si>
    <t xml:space="preserve">Traced Person. It was informed at the hearing held in this case by the Commission at Lahore that Muhammad Arif is presently confined in the custody of CTD, Multan. </t>
  </si>
  <si>
    <t>01/11/2018</t>
  </si>
  <si>
    <t xml:space="preserve">Traced Person. According to report received from Rep of MI, Gul Muhammad was put on trial by Military Court at Karachi and was awarded death sentence and thereafter he was sent to District Jail Kohat. </t>
  </si>
  <si>
    <t>02/11/2018</t>
  </si>
  <si>
    <t>Haji Mian Ghazi, r/o  Village Dhaba Karseal, Tehsil &amp; District Mianwali. (Mobile No. 0306-3958524)</t>
  </si>
  <si>
    <t>FIR No133 dated 01/12/2018  u/s 365 PPC, PS Chakrala, District Mianwali</t>
  </si>
  <si>
    <t xml:space="preserve">Deleted. Keeping in view of aforementioned facts and circumstances, name of Hafeez-ur-Rehman be deleted from the list of enforced disappeared persons. </t>
  </si>
  <si>
    <t>05/11/2018</t>
  </si>
  <si>
    <t>05/11/20018</t>
  </si>
  <si>
    <t>09/11/2018</t>
  </si>
  <si>
    <t xml:space="preserve">Traced Person. It was informed at the hearing held in this Commission on 23.5.2019 that Naveed Ahmed has returned to home. The report submitted by the Police Officer SHO KIA, Karachi is placed on record. </t>
  </si>
  <si>
    <t>11/11/2018</t>
  </si>
  <si>
    <t>Traced Person. SP (Inv) Tank appeared before the Commission and submitted that Muhammad Ishaq had returned home and was available at his given address. SP (Inv) Tank intimated that  Muhammad Ishaq appeared before the JIT. No further action is required. The case is closed.</t>
  </si>
  <si>
    <t xml:space="preserve">Traced Person. Lt. Col (Retd) Sajid Mehmood , Rep of MI appeared for hearing on 4.12.2019 and submitted that Khan Farooq Jahanzaib is detained in the Internment Center Lakki Marwat in accordance with provision of Action (in aid of Civil) Regulation. 2011. Jahanzaib father of Farooq is present, who has been apprised of the status of the case. Family members of Khan Zameen shall be facilitated to see him in the Internment Center as per rules and procedures. </t>
  </si>
  <si>
    <t xml:space="preserve">Traced Person. It was informed at the hearing held in this Commission on 24/12/2018 that Muzzam Ali has been arrested PS Malir Cantt, Karachi latter he is on bail. </t>
  </si>
  <si>
    <t xml:space="preserve">
Traced Person. Inam-ul-Haq has been traced. He has returned home. He appeared before the Commission on 20.6.2019. His statement has been recorded on oath in which he stated that after one year rigorous impressment by ATC. He was granted bail by the Hon”ble High Court Rawalpindi Bench. 
</t>
  </si>
  <si>
    <t xml:space="preserve">Traced Person. It was informed at the hearing held in this case by the Commission at Lahore that Syed Rizwan Haider Kazmi had returned to home. </t>
  </si>
  <si>
    <t xml:space="preserve">Traced Person. Lt. Col (Retd) Sajid Mehmood , Rep of MI appeared for hearing on 4.12.2019 and submitted that Khan Zameen s/o Syed Umar Khan is detained in the Internment Center Lakki Marwat in accordance with provision of Action (in aid of Civil) Regulation. 2011. Javed Khan b/o Khan Zameen is present, who has been apprised of the status of the case. Family members of Khan Zameen shall be facilitated to see him in the Internment Center as per rules and procedures. </t>
  </si>
  <si>
    <t xml:space="preserve">Traced Person. Ashraf Ali has been traced. In this connection statement of Aamn Ullah, Police Inspector, Rajanpur Police has been recorded by the Commission that Ashraf Ali was  arrested by CTD, Rajanpur on 31/10/2018 and case vide FIR No. 55 dated 31/10/2018 and he was granted bail later on by the Court. </t>
  </si>
  <si>
    <t>Hameed Ullah Khan, r/o Jalal  Pur Bhattia, Tehsil Pindi Bhattia, District Hafizabad. (Mobile No. 0301-5101514)</t>
  </si>
  <si>
    <t xml:space="preserve">Traced Person. Hameed Ullah brother of Sami Ullah appeared for hearing on 4.3.2019 whose statement has been recorded on oath. According to him his brother Sami Ullah is detained in Central Jail Bahawalpur. </t>
  </si>
  <si>
    <t xml:space="preserve">Traced Person. It has been intimated at the hearing on 31/12/2018. That Khair Zaman is presently confined in the Internment Center Ghalani. Shahzada b/o missing person is present who apprised of status of the case. Family Mmembers of Khair Zaman shall be facilitated to see him in the Internment Center. </t>
  </si>
  <si>
    <t xml:space="preserve">Traced Person. Pursuant of issuance of Production Order in this case on 30-.1-2021 Zakria has returned home. His father appeared before the Commission on 16-06-2021 at Lahore. Hence, no further action is required. The case is closed. </t>
  </si>
  <si>
    <t xml:space="preserve">Traced Person. Sadiq Shah has been traced, who is presently in Rehabilitation Center at Sabaon in Malakand District. Statement of Rahim Shah has been recorded on oath who has affirmed in his statement that his son Sadiq Shah is presently in Rehabilitation Center Sabaon. </t>
  </si>
  <si>
    <t xml:space="preserve">Traced Person. Rep of MI is present at the hearing on 19-2-2019. He has submitted that the case of Muhammad Maqsood Kiyani is under trial by FGCM which will be concluded shortly and thereafter it would be possible for family members to see him in the Jail as per rules and procedures. Mst. Tahira Khalil sister of Muhammad Maqsood Kiyani was apprised of the status of the case. </t>
  </si>
  <si>
    <t xml:space="preserve">Traced Person. It was informed at the hearing held in Sub-Office of the Commission at Karachi that Bux Ali Mugheri has returned to home and presently available at his given address. </t>
  </si>
  <si>
    <t>10/11/2018</t>
  </si>
  <si>
    <t xml:space="preserve"> Traced Person. It was informed at the hearing held in this Commission on 15/7/2019 that Ajaz Tubio has returned to home. He appeared before the Commission on the said date. The report submitted by PS Naseerabad, Karachi is placed on record. </t>
  </si>
  <si>
    <t xml:space="preserve">Traced Person. It was informed at the hearing held in this Commission on 15/7/2019 that Hadyat Lohar has returned to home. He appeared before the Commission on the said date .Report submitted by PS Naseerabad is placed on record.  </t>
  </si>
  <si>
    <t xml:space="preserve">Traced Person. It was informed at the hearing held in this Commission on 16.10.2019 that Khadim Hussain Areejo has returned to home. In this connection, Report No. SDPO/Hussainabad/Hyderabad/2526 dated 10.10.2019 from SDPO, (HA) Hyderabad is placed on record. </t>
  </si>
  <si>
    <t xml:space="preserve">Traced Person. It was informed at the hearing held in this Commission on 16.10.2019 that Shabir Hussain Chandio has returned to home. He appeared before the Commission and his statement has been recorded u/s 164 CrPC, which is available on record. SDPO Khairpur Nathan Shah Report No. SDPO/HR/Cell/4410 dated 16.10.2019 is placed on record. </t>
  </si>
  <si>
    <t xml:space="preserve">5542-S
</t>
  </si>
  <si>
    <t xml:space="preserve">Deleted. SHO, PS Barder, Karachi submitted report at the hearing on 21.1.2020 that Mumtaz Junejo was kidnapped by some private person and the case is under investigation on the FIR no allegation has been  leveled against any of the LEAs. Hence not a case of enforced disappearance. </t>
  </si>
  <si>
    <t xml:space="preserve">r/o Village Noor Muhammad, District Badin. </t>
  </si>
  <si>
    <t xml:space="preserve">Traced Person. It was informed at the hearing held in this Commission on 27.10.202 that Shadi Khan Soomro has returned home. Brother of the traced person appeared before the Commission and confirmed the reported position. The report submitted by SDPO; Badin confirmed the aforesaid position. No further action is required. The case is closed. </t>
  </si>
  <si>
    <t xml:space="preserve">Traced Person. It was informed at the hearing held in this Commission on 6.11.2019 that Mukhtar Almani has returned to home. He appeared before the Commission. The report submitted by SSP, Larkana is placed on record. </t>
  </si>
  <si>
    <t xml:space="preserve">Traced Person. It was informed at the hearing held in this Commission on 28/11/2018 that Bilawal Chandio has returned to home. The report submitted by the Police Officer, SHO Steel Town is placed on record. </t>
  </si>
  <si>
    <t xml:space="preserve">Traced Person. It was informed at the hearing held in this Commission on 27.11.2019 that Naseer Abro has returned to home. He appeared before the Commission and statement of the Traced Person has been recorded u/s 164 CrPC, which is available on record. </t>
  </si>
  <si>
    <t xml:space="preserve">Traced Person. It was informed at the hearing held in this Commission on 16.11.2020 that Shahid Junejo has returned to home. The statement of the Traced Person has been recorded u/s 164 CrpC. The report submitted by SDPO, Dokhri also confirmed return of Shahid Junejo to home. </t>
  </si>
  <si>
    <t xml:space="preserve">Deleted. It was informed at the hearing held in this Commission on 26.11.2019 that Murtaza Solangi is involved in Criminal Case vide FIR No. 16/2013, 31/2014 and 127/2014 u/s ¾, Exp Act, 6-7 ATA PS Rasheed Waggor, PS Badleh and PS Taluka respectively. In the opinion of JIT he is a offender and avoiding his lawful arrest. Accordingly not a case of enforced disappearance. </t>
  </si>
  <si>
    <t xml:space="preserve">Deleted. SHO Bin Qasim PS, Karachi submitted report dated 15.10.2019 that Investigation Officer of the case visited the area but no person with the name of Niaz Lashari was found which was also supported by  statements of Ali Muhammad and Muhammad Aslam. Hence no further action is required. The case is deleted.  </t>
  </si>
  <si>
    <t xml:space="preserve">Traced Person. It was informed at the hearing held in this Commission on 7.11.2019 that Sarwech Noohani has returned to home. He appeared before the Commission and statement of the Traced Person has been recorded u/s 164 CrPC, which is available on record. The report submitted by SP, Jamshore is also placed on record. </t>
  </si>
  <si>
    <t xml:space="preserve">Traced Person. It was informed at the hearing held in this Commission on 28.10.2020 that Hyder Khoso confined in Central Jail, Karachi in pursuance of orders of 8.8.2020. Commanding Officer Malir after receiving year R.I on the charge of deserter from Pak Army act. No further action is required. The case is closed. </t>
  </si>
  <si>
    <t xml:space="preserve">Deleted. The case has been closed due to incomplete address as the Police could not locate the complainant / family in the absence of which no further proceedings could be initiated. The address given in the complaint is Korangi, Karachi which is incomplete as Karachi is a thickly populated area where thousands of persons live in the area. Accordingly, the case is closed. </t>
  </si>
  <si>
    <t>Deedar Amrat  Shabrani s/o Wahid Buz</t>
  </si>
  <si>
    <t xml:space="preserve">Traced Person.  At the hearing held on 25.7.2019. Rep of PS Sachal, Karachi submitted report that he contacted  wife  (Robina) of Deedar Amrat Shabrani who stated that her husband returned to home and she was living with him in Faisalabad. The Police Officers also visited his House No. E-63 Shahnawaz, Scheme No. 33, Karachi and met his brother- in-law Iftikhar Ali who also confirmed the aforementioned position. </t>
  </si>
  <si>
    <t xml:space="preserve">Deleted. The case has been closed due to incomplete/fake address as the Police could not locate the complainant / family in the absence of which no further proceedings could be initiated. In this connection the report from SHO, PS Chakiwara, Karachi is also placed on record. </t>
  </si>
  <si>
    <t xml:space="preserve">Deleted. Perusal of the record FIR and JIT reports six meetings indicate that there is no allegation against any LEAs neither any eye witness of the occurrence. CDRs of Mobile Phone under the of the Missing Person could not lead to any clue to search him whereabouts. The complainant attends JIT meetings but attend JIT meetings but remained absent at the hearings. JIT concluded that Missing Person has gone on his own. The case does not fall within the domain of enforced disappearance. </t>
  </si>
  <si>
    <t xml:space="preserve">Deleted. The case is deleted due to non-prosecution as the complainant has not been attending hearings fixed in his case in this Commission for which notice also issued by SHO, Kotri District Jamshoro. Even otherwise the Missing Person was nominated accused in a large number of cases of terrorism. </t>
  </si>
  <si>
    <t xml:space="preserve">Traced Person. It was informed at the hearing held in this Commission on 26.11.2019 that Naveed Chandio has returned to home. The report submitted by SSP Jamshoro is also placed on record. </t>
  </si>
  <si>
    <t xml:space="preserve">r/o Bhitial Colony, Karachi. </t>
  </si>
  <si>
    <t xml:space="preserve">Deleted. The case has been deleted due to non-prosecution as the complainant neither extended co-operation to the investigation Officer nor attended hearings. The complainant is not Interested to lodged FIR.  </t>
  </si>
  <si>
    <t xml:space="preserve">Deleted. The case has been deleted due to incomplete /fake address as the Police could not locate the complainant /family in the absence of which no further proceedings could be initiated. The address given in the UNWG information report is Malir, Karachi which is incomplete. </t>
  </si>
  <si>
    <t xml:space="preserve">Deleted. After thorough investigation, it has been concluded that accused culprits in the case are private persons and no allegation on LEAs. Accordingly the case is deleted being not within the domain of enforced disappearance. </t>
  </si>
  <si>
    <t xml:space="preserve">Traced Person. Bashir Ahmed has been traced. Rep of MI is present. He has submitted that Bashir Ahmed is presently confined in the Internment Center Lakki Marwat. Saeed Ahmed complainant is present. He has been apprised of the status of the case.  </t>
  </si>
  <si>
    <t>27/11/2018</t>
  </si>
  <si>
    <t xml:space="preserve">Traced Person. SP (Inv), Saddar Division, Lahore submitted that Zeeshan Anwar has been traced and he has returned to home. Zeeshan Anwar was not abducted by anybody rather he went for excursion with his friends. </t>
  </si>
  <si>
    <t xml:space="preserve">FIR No. 578 dated 21/12/2018 u/s 365 PPC PS Tarnol, District Islamabad </t>
  </si>
  <si>
    <t xml:space="preserve">Traced Person. ASI,Badin Police Station submitted report at the hearing on 21.9.2020 that Ali Ahmed s/o Allah Dino has returned home. He produced the statement recorded u/s 161 CrpC. Hence the case is closed.  </t>
  </si>
  <si>
    <t>Muhammad Abbas, r/o  Taulaka Tando Bago, District Badin. (Mobile  No. 0346-2651042)</t>
  </si>
  <si>
    <t>Mashad Deen Khan, r/o  Manzar Khel, Datta Khel, tehsil Datta Khel, District North Waziristan Agency. (Mobile No. 0331-7000951)</t>
  </si>
  <si>
    <t xml:space="preserve">Traced Person. As per report furnished by SP (Inv), Islamabad at the hearing on 31/12/2018 that Muhammad Tahir Khan Dawar has been killed in Afghanistan. Brother of missing person also confirmed. </t>
  </si>
  <si>
    <t>13/11/2018</t>
  </si>
  <si>
    <t>20/11/2018</t>
  </si>
  <si>
    <t>20/11/2019</t>
  </si>
  <si>
    <t xml:space="preserve">FIR No. 356/18 dated 21/12/2018 u/s 365 PPC PS Fareed Nagar ,District Pak Patan </t>
  </si>
  <si>
    <t xml:space="preserve">Traced Person. Mufti Noor Ahmed has been traced. He appeared before the Commission on 27.10.2020 and affirmed that he recorded his statement u/ s164 CrPC. Reports has been received from DPO Pakpatan. According to the report on 11.2.2020 Mufti Noor Ahmed appeared before the IO of the case who got recorded his statement stating therein that his family got lodged the said case against unknown persons and he was not abducted by any person. Hence, the case is closed. </t>
  </si>
  <si>
    <t>22/11/2018</t>
  </si>
  <si>
    <t xml:space="preserve">Traced Person. Sohail Aslam has been traced. He is presently confined in Central Jail, Bahawalpur as confirmed by DSP (Legal) Jhang. Sohail Aslam was arrested in case FIR No. 59 dated 26/11/2018 u/s 4/5 ESA, PS CTD, Multan. </t>
  </si>
  <si>
    <t xml:space="preserve">Traced Person.  Hafiz Muhammad Akmal has been traced. Presently he is confined in Central Jail Faisalabad in case FIR no. 30/18 u/s 7ATA read with 4/5 ESA, 13 (A) PAAO-15/20/65 PS CTD, Faisalabad. </t>
  </si>
  <si>
    <t xml:space="preserve">Traced Person.  Asif Khan Complaint entered appearance on 01/01/2019 and his statement has been recorded on oath, which despites that dead body of Imran Khan was recovered on 05/12/2018 which was identified by him and other family members; subsequently the dead body was buried. </t>
  </si>
  <si>
    <t>Muhammad Mushtaq,  r/o Village Alowey, Tehsil &amp; District Haripur. (Mobile No. 0300-3929016)</t>
  </si>
  <si>
    <t xml:space="preserve">Saif Ullah </t>
  </si>
  <si>
    <t xml:space="preserve">Traced Person. Rehman Gul has been traced. He has returned home and appeared before the Commission on 25.9.2020. His statement was recorded on oath, in which he stated that he was abducted on 21.7.2018 after magrib prayers when he came out of mosque. He has further stated that he was set free on 1.1.2020 and he returned home. He has furnished no details regarding the persons involved and the place of detention. No further is required, the case is closed. </t>
  </si>
  <si>
    <t>Zareef Khan, r/o Mohallah Islamabad, Habeat Garam, Tehsil Batkhela, District Malakand. (Mobile  No. 0344-9897540 &amp; 0346-9466176)</t>
  </si>
  <si>
    <t>Saleh Muhammad, r/o Manzoor Abad, Budhni Road, Dawranpur, Peshawar. (Mobile  No. 0310-9924859)</t>
  </si>
  <si>
    <t xml:space="preserve">Karamat Ullah </t>
  </si>
  <si>
    <t xml:space="preserve">Deleted. JIT and PTF concluded in the reports that the Missing Person had gone on his own. All stakeholders have denied apprehension / custody of Abdul Ghaffar. Hence not a case of enforced disappearance. The case is closed. </t>
  </si>
  <si>
    <t>Mst. Shaheen Parveen, (Mobile  No. 0311-2433309)</t>
  </si>
  <si>
    <t xml:space="preserve">Traced Person. Rep of MI has intimated at the hearing on 11.2.2020 that Hameed Ullah are under trial in the Military Court. Since Hameed Ullah has been traced, they are no more Missing Person. No further action is taken by the Commission at this stage. Complainants may avail remedy before proper forums, if so desired. </t>
  </si>
  <si>
    <t xml:space="preserve">Traced Person. Rep of MI has intimated at the hearing on 11.2.2020 that Mustajab Shah are under trial in the Military Court. Since Mustajab Shah has been traced, they are no more Missing Person. No further action is taken by the Commission at this stage. Complainants may avail remedy before proper forums, if so desired. </t>
  </si>
  <si>
    <t xml:space="preserve">Hafiz Kamran, r/o  Flat No. 4, 03rd Floor, Naghi Complex Civic Center Phase No. 04 , Bahria Town, Islamabad. </t>
  </si>
  <si>
    <t xml:space="preserve">Traced Person. ASI Noor Ullah informed at the hearing on 31/12/2018 that Shaukat Ali has been traced. He met an accident and presently admitted in CMH Rawalpindi. </t>
  </si>
  <si>
    <t xml:space="preserve">Traced Person. Hafiz Muhammad Shoukat has appeared in person, whose statement has been recorded on oath. According to him, on 1st August, 2018 he was picked up and taken away by unknown persons. He has further stated that he was released on 19/5/2019. </t>
  </si>
  <si>
    <t>29/11/2018</t>
  </si>
  <si>
    <t>Sabaz Ali Khan, r/o  House No. A-16, Officer Block, Gulshan-e-Rehman, Kohat Road, Peshawar. (Mobile No. 0334-9221770 &amp; 0300-5764060)</t>
  </si>
  <si>
    <t xml:space="preserve">Traced Person. Father of Muhammad Atif (Traced Person) is present. His statement has been recorded on oath. He has affirmed that his son has returned and now he is undergoing medical treatment at Islamabad. </t>
  </si>
  <si>
    <t xml:space="preserve">FIR No. 778 dated 31/12/2018 u/s 365 PPC PS Banr ,District Swat </t>
  </si>
  <si>
    <t xml:space="preserve">Deleted. There is absoutely no allegation against any LEAs/intelligence agency. JIT has been conducted as many as four meetings but no clue could be ascertained. The case has been categorized as the missing person has gone on his own. Hence the case is deleted. </t>
  </si>
  <si>
    <t>04/12/2018</t>
  </si>
  <si>
    <t>FIR No.  dated  u/s 365 PPC PS Kanju, Mardan</t>
  </si>
  <si>
    <t xml:space="preserve">FIR No. 77dated31/12/2018 u/s 365 PPC PS Banr ,District Swat </t>
  </si>
  <si>
    <t>05/12/2018</t>
  </si>
  <si>
    <t xml:space="preserve">Traced Person. Muhammad Zakir has been appeared for hearing on 13.2.2020 who affirmed that Muhamad Zakir is confined in Internment Center Kohat. Adil Muhammad complainant/ brother of Muhammad Zakir traced person also appeared, who has been apprised of status of the case. He has alos affirmed that family members have already met Muhammad Zakir at Internment Center Kohat. </t>
  </si>
  <si>
    <t xml:space="preserve">Traced Person. SSP (Inv) Rawalpindi submitted report at the hearing held in this case on 4.5.2020 that Muhammad Rashid Khan has returned home. He further submitted that the statement of Traced Person was recorded u/s 164 CrPC by the learned Judicial Magistrate. </t>
  </si>
  <si>
    <t>06/12/2018</t>
  </si>
  <si>
    <t xml:space="preserve">Deleted. The complainant has not levelled allegation against any or the LEAs/ Intelligence Agency in the Missing Person Proforma rather he has submitted that Hassan Iqbal came out from his aunt’s house and disappeared. Statement to this was effect was given by Yasir Hussain b/o Hassan Iqbal who appeared before the Commission on 12.8.2020 and his statement has been recorded on oath. Yasir Hussain has deposed that Hassan Iqbal disappeared from his aunt’s house at Kohat and that no LEAs/ Intelligence Agency was nominated in the complainant. There is no eye witness of the case and no allegation has been levelled against any of LEAs / Intelligence Agency. Hence, not a case of enforced disappearance. The case is closed. </t>
  </si>
  <si>
    <t xml:space="preserve">Traced Person. Hanif Ullah has been trance he has returned home and is present before the Commission on 26/7/2019. His statement has been recorded on oath. In his statement he has deposed that he was abducted by some unknown persons on 5/8/2017 from the vicinity of Charsadda Jail and was kept at an undisclosed place. He was set free on 9/7/2019 and dropped at Ring Road, Peshawar from where he returned home. </t>
  </si>
  <si>
    <t xml:space="preserve">Deleted. After through investigation 7 , meetings of JIT and 2, meetings of PTF it was found that person namely Jawad and others were accused for abduction in the FIR No. 106/2017, u/s 365/34 PPC, PS Madina Colony. As private persons have been accused and there is no allegation against any LEAs, therefore not a case of enforced disappearance. Hence closed. </t>
  </si>
  <si>
    <t xml:space="preserve">Traced Person. According to report received from Rep of MI, Haroon Rasheed is presently confined in Internment Center Fizaghat Family members of Sartaj Hussain shall be facilitated to see him in the Internment Center as per rules and procedure. </t>
  </si>
  <si>
    <t>07/12/2018</t>
  </si>
  <si>
    <t xml:space="preserve">Mst. Amina Bibi, r/o Kalo Khan, District Swabi. </t>
  </si>
  <si>
    <t xml:space="preserve">Traced Person. According to the report received from MI, Haroon Rasheed is presently interned in Internment Centre, Fizaghat. Family members of Haroon Rasheed will be facilitated to see him in Internment Centre, Fizaghat, as per rules and on completion of usual formalities. </t>
  </si>
  <si>
    <t xml:space="preserve">Traced Person. According to the report submitted by Rep of MI at the hearing on 28/12/2018 that Sartaj Husssain is presently confined in Internment Center Paithom. </t>
  </si>
  <si>
    <t xml:space="preserve">Traced Person. In this connection statement of Ameer Bahadur of PS Chuprial district Swat who appeared for hearing on 8.8.2019. His statement has been recorded on oath. According to his statement Ameer Bacha is confined in the Internment Center Paithom, where family members including father and mother have already met him in the aforesaid Internment Center. </t>
  </si>
  <si>
    <t xml:space="preserve">Traced Person. Ameer Nawab has been traced and presently he is in Internment Center Fizaghat. Rep of MI is present. He has affirmed that Ameer Nawab is presently confined in Internment Center Fizaghat. </t>
  </si>
  <si>
    <t xml:space="preserve">Traced Person. Abdulla entered appearance before the Commission on 17.9.2020 at Lahore and stated that he went to karahi at his own. In view of his categoric statement no further action is required to be taken by the Commission. The case is closed.  </t>
  </si>
  <si>
    <t xml:space="preserve">Traced Person. Fayyaz Ahmed Ghani appeared before the Commission on 21/09/2019 where the statement of Fayyaz Ahmed Ghani was recorded by the Commission on oath. In his statement he has submitted that he was abducted by unknown persons on 19/11/2018 and was thereafter kept at some unknown place whereafter he was set free on 16/01/2019 and he is returned to home. </t>
  </si>
  <si>
    <t>Mst. Malik Nawaba, r/o  Ghat Ghari, Tehsil Matta, District Swat. (Mobile No. 0340-2849223 &amp; 0301-8063450)</t>
  </si>
  <si>
    <t>10/12/2018</t>
  </si>
  <si>
    <t xml:space="preserve">Bakhat Rao Khan, r/o Tehsil Char Bagh, District Swat. (Mobile No. 0347-8894381) </t>
  </si>
  <si>
    <t>11/12/2018</t>
  </si>
  <si>
    <t xml:space="preserve">Deleted. The circumstances of the case, as examined in detail by JIT, reports of various stake holders and consideration by the Commission do not suggest it to be a case of enforced disappearance. The case is accordingly closed. </t>
  </si>
  <si>
    <t xml:space="preserve">FIR No. 5/18 dated 02/001/2018 u/s 365 PPC, PS Karor, District Layyah. </t>
  </si>
  <si>
    <t xml:space="preserve">Traced Person. Muhammad Aslam brother of Hafiz Muhammad Akram has appeared before the Commission on 14.2.2020, whose statement has been recorded on oath. He also submitted that the contents of his statement are correct that his brother had died during encounter with CTD, Gujranwala and in this regard all formalities regarding identification of dead- body/ showing his grave have been made according to his satisfaction. Foregoing in view , the case stands closed. </t>
  </si>
  <si>
    <t>12/12/2018</t>
  </si>
  <si>
    <t xml:space="preserve">Traced Person. It has been reported by concerned stakeholders including DPO, D.I.Khan that Naimatullah Khan returned home on 25th of Ramdan Asfand Yar the Complainant also appeared and confirmed. </t>
  </si>
  <si>
    <t xml:space="preserve">Traced Person. It was informed that Mursaleen s/o Abdul Wahab has returned to home and available at given address. The family requested to close the case as their grievance has been redressed. </t>
  </si>
  <si>
    <t>14/12/2018</t>
  </si>
  <si>
    <t>17/12/2018</t>
  </si>
  <si>
    <t xml:space="preserve">Traced Person. SI/IO Akhtar Nawaz appeared before the Commission on 7.10.2019, whose statement has been recorded on oath. According to him, Muhammad Amjad s/o Muhammad Ismail has returned to home. He has stated that statement of Muhammad Amjad has been recorded u/s 164 CrPC which is placed on record. </t>
  </si>
  <si>
    <t xml:space="preserve">FIR No. 05 dated 02/01/2019 u/s 365 PPC PS City District Abbottabad. </t>
  </si>
  <si>
    <t xml:space="preserve">Traced Person. Aslam Khan is Interned in ICM. Badshah Mir father of Aslam who was present at the hearing on 16.1.2021 was informed by the Commission that Aslam Khan was under detention in Internment Centre, Malakand. Family members shall be facilitated to see him as per rules and procedure. </t>
  </si>
  <si>
    <t xml:space="preserve">Deleted. During the course of investigation two persons namely Bilal and Asad Shah were arrested who were subsequently released on bail by the Court. In the instant case JIT meeting was held on 6.2.2019 and the case was categorized as the missing person has gone on his own. The complainant Nadeem Saleem, brother of the Missing Person appeared before the Commission on 9.12.2019, whose statement was recorded on oath. According to him neither there was allegation against any LEA/Intelligence Agency nor he suspected them being involved in the disappearance of his brother. Hence not a case of enforced disappearance. </t>
  </si>
  <si>
    <t xml:space="preserve">Traced Person. Muhammad Umair Mujahid has appeared before the Commission, whose statement has been recorded on oath. According to him, he went with Tableeghi Jamaat and returned to home after 36 days. </t>
  </si>
  <si>
    <t xml:space="preserve">Traced Person. Rep of ISI appeared before the Commission on 8.10.2019 and submitted that the case of Shams-ul-Haq was under process for trial by Military Court, which has been held in abeyance due to reason that the Military Courts are yet to be revived by the Government, as the tenure expired in January, 2019. Abdul Aziz b/o Shams-ul-Haq is present, who has been apprised of status of the case. </t>
  </si>
  <si>
    <t xml:space="preserve">Traced Person. Shoukat Ali is presently confined in Mardan Jail, where he has met him twice. He further submits that mother and brother also met with him in the said Jail. Statement of Mr. Nasir Khan , Rep of ACS FATA has also been recorded on oath. </t>
  </si>
  <si>
    <t>20/12/2018</t>
  </si>
  <si>
    <t xml:space="preserve">Traced Person. SP (Inv) Hangu is present and submits that Syed Ameer Faisal is no more a missing person. Accoding to brother of Syed Ameer Faisal, he met his brother twice at Jandola Center, where he is detained. </t>
  </si>
  <si>
    <t xml:space="preserve">Traced Person. SP (Inv), Hangu is present. He has submitted report wherein it is mentioned that according to Shabbir Hassan brother of Mudassir Hassan has been traced who is presently at Jandola Center, where he had met him twice, </t>
  </si>
  <si>
    <t xml:space="preserve">Ghulam Fareed s/o Muhmood Khan </t>
  </si>
  <si>
    <t xml:space="preserve">R/o Mehla Babu Tehsil Kharan District, Balochistan </t>
  </si>
  <si>
    <t>Shafi UllahR/o Mohallah Moragai, Bara Bnandai, Swat (Mobile No.  0347-4415432 &amp; 0345-4457096)</t>
  </si>
  <si>
    <t xml:space="preserve">Deleted. After receipt of complainant seven TIT meetings, four hearings in this Commission have been held but the complainant remained absent. Same in the position in Sind High Court Petition No. D-5863 of 2015, which has been dismissed for loss of interest. Hence, no further action is required. The case is closed. </t>
  </si>
  <si>
    <t xml:space="preserve"> Traced Person. Syed Ameen has been traced. Sami Ullah Khan who is nephew of Syed Ameen has entered appearance before the Commission on 4.3.2020. His statement has been recorded on oath. He has deposed that Syed Ameen has returned home and he is presently at D.I.Khan. He further submitted that Syed Ameen was not abducted by anybody. </t>
  </si>
  <si>
    <t xml:space="preserve">Deleted. The case has been deleted due to incomplete /fake address as the Police could not locate the complainant /family in the absence of which no further proceedings could be initiated. </t>
  </si>
  <si>
    <t>24/12/2018</t>
  </si>
  <si>
    <t xml:space="preserve">Traced Person. Zahid Ullah has been traced. He has returned to home. Rep of DPO, Nowshera submitted report of JIT meeting, which was convened on 29.8.2019. In Para-14 of the JIT report it is mentioned that Zahid Ullah has returned home. Bother Zakir Ullah also confirmed.  </t>
  </si>
  <si>
    <t xml:space="preserve">Traced Person. Saeed Ullah has been traced. According to report received from MI Dte GHQ, Rawalpindi that saeed Ullah is confined in the Internment Center Lakki Marwat since 25.4.2019. Family members of Saeed Ullah shall be facilitated to see him in the Internment Center. </t>
  </si>
  <si>
    <t>24/12/2020</t>
  </si>
  <si>
    <t>FIR No.131 dated1/4/2019  u/s 364 PPC PS Koral , Islamabad</t>
  </si>
  <si>
    <t xml:space="preserve">Traced Person. Sher Afzal has been traced. He has returned home. Sher Afzal appeared before the Commission on 4.3.2020 and his statement has been recorded on oath. He has deposed that he went to his village located in District Mohmand without intimating anybody. During his absence his brother Saeed Akbar filed application before the Commission regarding his disappearance. </t>
  </si>
  <si>
    <t xml:space="preserve">Traced Person. Habib Salam has been traced. He has returned home. SI Munir Khan of PS Tarnol Islamabad appeared before the Commission on 4.3.2020. His statement has been recorded on oath. He has furnished progress report, copy of application for recording of statement u/s 164 Cr.PC and copy of statement recorded u/s 164 Cr.PC in which the aforesaid position has been confirmed. </t>
  </si>
  <si>
    <t>26/12/2018</t>
  </si>
  <si>
    <t>26/12/2020</t>
  </si>
  <si>
    <t>31/12/2018</t>
  </si>
  <si>
    <t>Mubarik Hussain, r/o Mohallah Koza Palo, Tehsil &amp; District Swat. (Mobile No. 0340-4205892  &amp; 0348-7693909)</t>
  </si>
  <si>
    <t xml:space="preserve">Muhammad Sadiq, r/o Mir Mat Khel, P.O Sira Tandi, District Kark. (Mobile No. 0307-8297512 &amp; 0305-9299321) </t>
  </si>
  <si>
    <t>FIR No.19  dated 17/01/2019 u/s 365 PPC, PS Doaba District Hangu</t>
  </si>
  <si>
    <t xml:space="preserve">Traced Person. Inspector Tariq Mehmood , SHO PS Dhirkot has appeared in person whose statement has been recorded on oath. According to him, dead body of Imtiaz Ahmed Abbasi was found from  river Jehlum from the area of Kotli Sattian and handed over to his brother Ishtiaq Ahmed for burial and subsequently the dead body was buried at village Kals Sarian, PS Dhirkot. </t>
  </si>
  <si>
    <t xml:space="preserve">Deleted. Complainant Muhamamd Ismail appeared before the Commission on 18.9.2019 whose statement has been recorded on oath. There is nothing which may indicate that the case falls within the ambit of enforced disappearance. SSP (Inv) submitted that meeting of JIT was held on 13.8.2019 and the case has been categorized as missing person has gone on his own. Meeting of PTF was held on 7.8.2019 and the PTF did agree with the conclusion drawn by JIT. The case hardly falls within the ambit of enforced disappearance and accordingly closed. </t>
  </si>
  <si>
    <t>Traced Person. Naseeb Ullah , brother of  Ubaid Ullah appeared before the commission on 04/04/2019 and confirmed that latter was returned on 08/03/2019. He further stated that his brother neither identified who picked up nor the place where he was kept.</t>
  </si>
  <si>
    <t xml:space="preserve">Traced Person. Abdul Haleem has appeared before the Commission whose statement has been appeared on oath. According to him he was arrested by CTD. He has also submitted that FIR was registered against him and he was produced before the Court on 8/1/2019. He remained under Judicial Custody and was released on 12/2/2019 on bail. </t>
  </si>
  <si>
    <t>08/01/2019</t>
  </si>
  <si>
    <t xml:space="preserve">Traced Person. Asghar Ali has been traced. He has returned to home, Muhammad Abu Bakar who is son of missing person has entered appearance before the Commission, his statement has been recorded on oath in which he affirmed that his father has  returned to home. </t>
  </si>
  <si>
    <t xml:space="preserve">Traced Person. Abdul Qadeer Khan has been traced. He appeared before the Commission on 8.10.2019 at Lahore. His statement has been recorded on oath. He has stated that he was abducted by some unknown persons on 13.1.2016 and was set free on 3.9.2019. He could not indicate names of the persons involved in his abduction. Similarly he could not give any information regarding the place where he was kept in detention. </t>
  </si>
  <si>
    <t xml:space="preserve">Traced Person. Saeed Abid has been traced. He has returned home. He appeared before the Commission on 25.8.2020. His statement has been recorded on oath. According to his statement, he went to Multan on his own and was not abducted by anybody. He also stated that he did not inform his family members before leaving for Multan. As Saeed Abid has been traced, he is no more a Missing Person, his case is accordingly disposed of. </t>
  </si>
  <si>
    <t>09/01/2019</t>
  </si>
  <si>
    <t xml:space="preserve">Deleted . This case is closed for want of Jurisdiction as there is no allegation against any law enforcement agencies, rather in the FIR No. 194/18 dated 20.8.2018 PS Sharifabad, Karachi some private persons have been nominated for abduction. </t>
  </si>
  <si>
    <t xml:space="preserve">Karachi </t>
  </si>
  <si>
    <t xml:space="preserve">Traced Person. Inspector Akbar Ali/CIO PS Sheikh Maltoon district Mardan is present, whose statement has been recorded on oath. He has affirmed that he contacted brother Aziz telephonically who is at Karachi and told that Shams Rehman has returned to home. 
</t>
  </si>
  <si>
    <t>10/01/2019</t>
  </si>
  <si>
    <t>12/01/2019</t>
  </si>
  <si>
    <t xml:space="preserve">Traced Person. According to report received from Rep of MI Muhammad Rahim s/o ibrahim is detained in Internment Center Paithom. Therefore, he is no more a missing person and no further proceedings are requried to taken by the Commission at this stage. Family members shall be facilitated to see him in rules and procedures. </t>
  </si>
  <si>
    <t>Abdul Waheed , r/o Mira Beri Chontrah, P.O Golrah Sharif Tehsil &amp;  District Islamabad. (Mobile No. 0344-1516914)</t>
  </si>
  <si>
    <t xml:space="preserve">Traced Person. Statement of IO/ASI Fayyaz of PS Shalimar Islamabad has been recorded on oath. He has deposed that Mst. Nabeela has married with one Israr and now they are living as husband and wife. </t>
  </si>
  <si>
    <t>15/01/2019</t>
  </si>
  <si>
    <t>18/01/2019</t>
  </si>
  <si>
    <t>19/01/2019</t>
  </si>
  <si>
    <t xml:space="preserve">Deleted. Hearing on 6.8.2019 refers keeping in view the conclusion drawn by JIT the case does not fall within the ambit of Enforced Disappearance and request of Habib Ullah b/o missing person that the case may be filed. </t>
  </si>
  <si>
    <t>21/01/2019</t>
  </si>
  <si>
    <t xml:space="preserve">Traced Person. It was informed at the hearing held in this Commission on 10.6.2019 that Muhammad Rehman has returned to home. The report submitted by the Police Officer, Malir City, Karachi is placed on record. </t>
  </si>
  <si>
    <t>22/01/2019</t>
  </si>
  <si>
    <t>Traced Person.  Ijaz Ahmed father and Mst. Rifat Parveen mother of Junaid Ijaz entered appearance before the Commission and stated that Ijaz has returned to home and their statements have been recorded on oath. The have also stated that on account of ailment their son (Junaid Ijaz) could not appear before the commission on 28/03/2019.</t>
  </si>
  <si>
    <t>Fazal Subhan, r/o Ismail Khel, Cham, Nawa Kilay, P.O Mingora, Tehsil &amp; District Swat. (Mobile  No. 0333-9504901)</t>
  </si>
  <si>
    <t>23/01/2019</t>
  </si>
  <si>
    <t xml:space="preserve">Traced Person.  SP (Inv), Islamabad is present at the hearing on 28/03/2019 and submitted that Saif-ur-Rehaman has been traced on 01/02/2019. He further submitted that Saif-ur-Rehman was recovered from Edhi Home, Multan and he has returned home safely. Statement of Dr. Mustafa, SP (Inv), Islamabad has been recorded on oath. </t>
  </si>
  <si>
    <t xml:space="preserve"> Traced Person. Fazal Manan has been traced. He is present before the Commission. His statement has been recorded on oath. According to his statement he was present at NADRA Office, Charsadda on 16/1/2009 when he was abducted by some unknown persons. He was kept in some unknown placed and set free on 26/1/2019 at Ring Road, Peshawar. </t>
  </si>
  <si>
    <t>Deleted. Careful scrutiny of record would reveal that the matter did not fall within the ambit of Enforced Disappearance, which has further been supported by the conclusion as arrived at by JIT as well as PTF by whom entire evidence was scrutinized in depth. Wife of Muhammad Umer Farooq had filed an affidavit  stating that her husband had gone on his own. No further action is required. The case is closed.</t>
  </si>
  <si>
    <t xml:space="preserve">Traced Person. Rizwan Ullah has been traced. Sana Ullah complainant appeared before the Commission; whose statement was recorded on oath. He has deposed that his son was abducted on 14.12.2018 and was acquitted by the learned Judge Anti- Terrorism Court No. 1, Rawalpindi. No further action is required. The case is closed. </t>
  </si>
  <si>
    <t>24/01/2019</t>
  </si>
  <si>
    <t xml:space="preserve">Traced Person. Muhammad Khurram Saeed has been traced; He appeared before the Commission on 17.6.2019. His statement has been recorded on oath. He returned home on 9.2.2019. </t>
  </si>
  <si>
    <t>26/01/2019</t>
  </si>
  <si>
    <t>Bakhet Naseeb, r/o Muhala Kotkae, Berbahndi, Tehsil Kabel District Swat. (Mobile  No. 0302-5790308 &amp; 0343-2947797)</t>
  </si>
  <si>
    <t>28/01/2019</t>
  </si>
  <si>
    <t>Rang Mehal, r/o Ingroh deheri Muhala Ameer Khankhaeel Mingorah, Tehsil Babuzai District Swat. (Mobile  No. 0347-8349636)</t>
  </si>
  <si>
    <t>Muhammad Luqman Saeed, r/o House No. 222, Gali No. 26, Ward No.7, Mohala Madeen Shah, Jhang City. Mobile  No. 0348-5505312 &amp; 0313-5177575 &amp; 0340-0676622)</t>
  </si>
  <si>
    <t xml:space="preserve">Traced Person. Rep of MI is present at the hearing on 28/03/2019 and produced report that Usman Saeed  is Interned in Fizaghat Swat. Family members of Usman Saeed shall be facilitated to see him in the Internment Center subject to completion of rules and procedures. </t>
  </si>
  <si>
    <t xml:space="preserve">Traced Person. It was informed at the hearing held in this Commission on 11.6.2019 that Syed Faraz Asghar is involved in Criminal Case vid FIR No. 132/2019 dated 18.5.2019. He is confined in Central Jail, Karachi as per report received. </t>
  </si>
  <si>
    <t xml:space="preserve">Traced Person. Complainant Abdul Jabbar and IO/SI khaleel-ur-Rehman appeared before the Commission at Peshawar on 19.8.2019 and their statements have been recorded in oath. According to Abdul Jabbar his brother Abdul Sattar was abducted on 14.11.2018 and returned home on 25.6.2019. He has further stated that according to his brother, he was abducted by some unknown persons and kept at some unknown place. </t>
  </si>
  <si>
    <t xml:space="preserve">Deleted. In the Proforma for Missing Person there is no allegation against any LEAs/Intelligence Agency. Nobody appears to have seen the occurrence. Reps of ISI, MI, CTD &amp; FC/KP reported that ground check was carried out which that Lawang Shah was neither arrested nor held in custody. Hence not a case of enforced disappearance. </t>
  </si>
  <si>
    <t>07/02/2019</t>
  </si>
  <si>
    <t>Junaid  Ejaz Sathe  S/o Ejaz Ahmed Sathe</t>
  </si>
  <si>
    <t xml:space="preserve">Munir Ahmed s/o Muhammad Shameer </t>
  </si>
  <si>
    <t xml:space="preserve">Traced Person. It was informed at the hearing held in this Commission on 18.6.2019 that Awais Ahmed Shah has returned to home. Statement of his brother is placed on record. </t>
  </si>
  <si>
    <t>Mst. Iqra r/o House No.135, Gali No.3, Sector 19/A, Mohala Ithad town, baldia Town, Navel Colony Tehsil Karachi West. (Mobile No. 0312-0120206 &amp; 0301-2522805 &amp;  0316-2029469).</t>
  </si>
  <si>
    <t xml:space="preserve">Traced Person. Wife of the alleged Missing Person attend the hearing on 21.1.2020, while DSP, Faheem Ahmed Farooqi from Hussain Abad was also present. According to the report of MI the alleged Missing Person Shakeel Ahmed s/o Nazir Ahmed was awarded life imprisonment by Military Court and he is in Military custody at Malir Sub Division. Order issued for meeting of the family with the Traced Person. The case is closed. </t>
  </si>
  <si>
    <t xml:space="preserve">Traced Person. It was informed at the hearing held in this Commission on 30/7/2019 that Muhammad Akmal has returned to home. The report submitted by SHO, Gulshan--Iqbal, Karachi is placed on record. </t>
  </si>
  <si>
    <t xml:space="preserve">Riasat Ali s/o Mulazim Hussain </t>
  </si>
  <si>
    <t xml:space="preserve">Traced Person. It was informed at the hearing held in this Commission on 21.5.2019 that Noor Ali Khan has returned to home. The report submitted by the Police Officer SHO, Landhi, Karachi is placed on record. </t>
  </si>
  <si>
    <t>08/02/2019</t>
  </si>
  <si>
    <t xml:space="preserve">Traced Person. It was informed at the hearing held in this Commission on 12.6.2019 that Muhammad Asif Khan has returned to home, which confirmed the above stated position. </t>
  </si>
  <si>
    <t>09/02/2019</t>
  </si>
  <si>
    <t xml:space="preserve">Muhammad Danish Shaikh s/o Abdul Ghafar Shaikh </t>
  </si>
  <si>
    <t xml:space="preserve">Deleted . This case is closed for want of Jurisdiction as there is no allegation against any law enforcement agencies. According to FIR and investigation report by SDPO, Latifabad, Hyderabad that Muhammad Danish Sheikh went on his own as he was addict after disappearance he walked at some hotel in Karachi as well. </t>
  </si>
  <si>
    <t xml:space="preserve">Deleted. The case has been closed due to non-prosecution by the family who also withdraw their form Hon”ble High Court of Sindh. </t>
  </si>
  <si>
    <t xml:space="preserve">Deleted. Last hearing was held in this case on 19.12.2019. Sher Hayat SI/IO of the case is present. He has submitted that statement of Mst. Tasleem Begum Complainant has been recorded in which she has requested to close the case. IO has furnished copy of the statement to be placed on record. Safaid Shah, who is brother of Tariq Ali Shah missing person, has entered appearance on behalf of the missing person. His statement has been recorded on oath. Safaid Shah has furnished affidavit on behalf of his mother whereby it has been requested to file the case pending before the Commission. No further action is required to be taken by the Commission. </t>
  </si>
  <si>
    <t>11/02/2019</t>
  </si>
  <si>
    <t>r/o Nafisa Bibi  r/o Haji Tahir Noorzai Town, Sabzal road, Quetta. (Mobile No. 0332-3506102).</t>
  </si>
  <si>
    <t>FIR No. 151/2018 u/s  365-34 PPC, P.S Kharotabad, Quetta</t>
  </si>
  <si>
    <t>Muhammad Ameen  r/o Kaka Hareh , P.O Wadha, Tehsil Wadha, District Khuzdar. (Mobile No. 0332-7823323 &amp; 0333-7990480).</t>
  </si>
  <si>
    <t>11201-9395808-7
Son CNIC No.</t>
  </si>
  <si>
    <t xml:space="preserve">Traced Person. Din Akbar has been traced. According to report dated 24.2.2019 received from Rep of MI in which it is shown that Din Akbar is in the Internment Center Lakki Marwat. Father of Din Akbar is present. He has been apprised of the status of the case. </t>
  </si>
  <si>
    <t>12/02/2019</t>
  </si>
  <si>
    <t>Muhammad Naeem, r/o Fruit Mandi,  Bismillah Market, Super High Way, Karachi. (Mobile. No. 0301-2645386)</t>
  </si>
  <si>
    <t xml:space="preserve">Deleted. In the complaint, there is no allegation against any LEAs / Intelligence Agency. The Missing Person went to Quetta from Rawalpindi on 4.10.2015 and confirmed his arrival in Quetta through SMS. However, he has been missing since then. All LEAs/ Intelligence Agencies have denied apprehension/ custody of Tayyab Abbasi. Hence, not a case of enforced disappearance. The case is closed. </t>
  </si>
  <si>
    <t xml:space="preserve">Deleted. During the course of investigation statements of as many as 35 witnesses were recorded u/s 161 CrPC by the I.O. It is stated that neither any LEA/Intelligence Agency was indicated in the FIR nor any evidence has come on record which can suggest that any agency is involved in the disappearance of Raja Faisal Zafar. It is also stated that six persons including four males and two females were nominated by the complainant Zafar Iqbal father of the alleged Missing Person. All of the nominated accused persons are stated to have been arrested by the Police. Hence, not a case of enforced disappearance. </t>
  </si>
  <si>
    <t xml:space="preserve">Traced Person. Dilawar appeared before the Commission on 23/4/2019. According to him he was taken away by some unknown persons from his house on 29/3/2018 and was set free on 07/3/2019. </t>
  </si>
  <si>
    <t>Ameer Khan s/o Noor Muhammad  F/o Missing Person r/o District &amp; Tehsil Palundri Sadhoti, P.O Trarhkhul, villege Balyuman, (House Haji Akber Khan Jundali Wall) . (Mobile No. 0346-5891765)</t>
  </si>
  <si>
    <t>13/02/2019</t>
  </si>
  <si>
    <t xml:space="preserve">Deleted. The case has been described in detail by the JIT in its meeting held on 20.1.2020 which was attended among others by the brother of the Missing Person on 5.5.2019 which the Commission was approached in the year 2019 FIR No. 149/2019 dated 29.10.2019 was lodged on the direction of the Commission. In the FIR no allegation has been leveled against any LEAs there is no any eye witness of the incident. All circumstances narrated that the Missing Person might have gone on his own. It is not a case of enforced disappearance, Hence closed. </t>
  </si>
  <si>
    <t xml:space="preserve">Traced Person. It was informed at the hearing held in this case on 23.08.2021 by  Changaiz Khan s/o Sultan Ali that he was abducted by unknown person s on 16.12.2017. He deposed in his statement that he neither identify the person who abducted him nor the placed where he was detained. Hence, no further action is required. The case is closed. </t>
  </si>
  <si>
    <t xml:space="preserve">Mst. Zaib-un-Nisa, r/oHouse No. 7-5/23, Mohallah Haseenabad, Quetta. (Mobile No. </t>
  </si>
  <si>
    <t xml:space="preserve">Traced Person. It was informed at the hearing held in this case on 23.08.2021 by  Mukhtar Hussain that he was abducted by unknown person s on 16.12.2017. He deposed in his statement that he neither identify the person who abducted him nor the placed where he was detained. Hence, no further action is required. The case is closed. </t>
  </si>
  <si>
    <t xml:space="preserve">Traced Person. It was informed at the hearing held in this case on 23.08.2021 by  Imran Ali that he was abducted by unknown person s on 16.12.2017. He deposed in his statement that he neither identify the person who abducted him nor the placed where he was detained. Hence, no further action is required. The case is closed. </t>
  </si>
  <si>
    <t>15/02/2019</t>
  </si>
  <si>
    <t xml:space="preserve">Traced Person. According to the statement of Habib Khan, father of Adnan Khan, who appeared for hearing on 6.2.2020 and his statement was recorded, the said Adnan Khan was arrested in case FIR No, 01/2020 dated 19.1.2020 u/s Ao 13 (2A), 20/56 r/w 7ATA 4/5 ESA, PS CTD Sargodha and he is confined in district Jail Sargodha. </t>
  </si>
  <si>
    <t xml:space="preserve">Ahmed Mustafa Kanjoo s/o Muhammad Mubarak Khan Kanjoo </t>
  </si>
  <si>
    <t xml:space="preserve">Traced Person. Ahmed Mustafa Kanjoo has been traced. He has returned home. JIT meeting was convened on 22.10.2020 at which it was confirmed by SI/IO of the case that Ahmed Mustafa Kanjoo has returned. No further action is required. The case is closed. </t>
  </si>
  <si>
    <t>20/02/2019</t>
  </si>
  <si>
    <t xml:space="preserve">Traced Person. Sajwal Ishaq complainant has entered appearance before the Commission on 10.2.2020, whose statement has been recorded on oath. He has deposed that Bilawal Hussain is his brother, who was abducted on 15.1.2019. He also stated that his lawyer had informed them on 18.10.2019 that his missing brother Bilawal is confined in Central Jail, Bahawalpur. Thereafter myself, my mother and maternal uncle went to Bahawalpur and met with him in the Jail. He further submitted that his brother has been awarded five years’ punishment by the ATC Court Bahawalpur on 23.1.2020. </t>
  </si>
  <si>
    <t xml:space="preserve">Traced Person. Syed Hamza Hussain has been traced. Noor Ullah Jan Inspector/SHO CTD, Peshawar is present. He has furnished a report dated 9/7/2018. According to this report Syed Hamza Hassan was arrested vide case FIR No. 39 dated 14/6/2019  u/s 5 Exp-15AA-34-11(N)-ATA PS CTDm Peshawar. Remand for three days obtained and thereafter Syed Hamza Hassan was sent to Central Jail, Peshawar. </t>
  </si>
  <si>
    <t>Traced Person. Afsar Zaman, DSP (Inv) Swat has appeared whose statement has been recorded on oath. According to him Rahim Ullah s/o Bakhmal Khan has been traced and presently he is detained in Internment Centre, Paithom, Swat. He submitted affidavit of Mst. Saleha  Bibi confirmed meeting.</t>
  </si>
  <si>
    <t>Traced Person. DPO, District Khyber informed at the hearing in this Commission that Faisal Khan had returned home. Rep of MI also confirmed.  No further action is required. The case is closed.</t>
  </si>
  <si>
    <t>26/02/2019</t>
  </si>
  <si>
    <t xml:space="preserve">Traced Person. Muhammad Hanif s/o Muhammad Anwar appeared before the Commission on 4.11.2020 at Quetta, whose statement was recorded on oath in which he was deposed that he along with Shah Zaib while travelling from Quetta to Qilla Abdullah on 30th July, 2017 were stopped by FC personnel at 11:00 p.m. at Shala Bagh Check post. He has further deposed that both of them were taken into custody by unknown persons, who were in civvies and taken away both of them blindfolded to some unknown place. He stated that he was released on 25.8.2020 near Mach from where he reached home. No further action is required. The case is closed. </t>
  </si>
  <si>
    <t xml:space="preserve">Traced Person. Kamran Siddiqui s/o Muhammad Ayub appeared before the Commission on 3.9.2020, whose statement was recorded on oath. According to him, he was picked up and taken away by some unknown persons who kept him at some unknown place and subsequently set free 4/5 days ago. He has further stated that he was not in a position to identify those persons, who picked him and took away. Since Kamran Siddiqui has been traced and no more a Missing Person, therefore no further proceedings are required to be taken by the Commission. The case is closed. </t>
  </si>
  <si>
    <t>Abudl  Haleem s/o Muhammad Karim</t>
  </si>
  <si>
    <t xml:space="preserve">Deleted. SSP (Inv), Quetta submitted at the hearing on 3.9.2020, that last JIT meeting was held on 20.8.2020, wherein the case was categorized as Missing Person has gone on his own as no eye witness at the incident was available. Muhammad Ismail, f/o Ahmed Zia also entered appeared, whose statement was recorded on oath. He deposed that he had not levelled and allegation against any of LEAs/ Intelligence Agency in his application and FIR. All LEAs / Intelligence Agencies have denied apprehension /custody of Ahmed Zia. Hence not a case of enforced disappearance. The case is closed.  </t>
  </si>
  <si>
    <t xml:space="preserve">Traced Person. Syed Amin Ullah brother of Syed Mohib Ullah appeared before the Commission, whose statement has been recorded on oath. According to him his brother was abducted on 23/6.2019 from Killi Khurramzai by some unknown persons. He has further stated that his brother was set free on 13/4/2019 and returned home. </t>
  </si>
  <si>
    <t>104 dated 01/4/2019  u/s 364 PPC PS Lohi Bher District, Islamabad</t>
  </si>
  <si>
    <t xml:space="preserve">Deleted. Investigation in this case revealed that no allegation has been levelled against any LEAs even by the Complainant. All stakeholders denied his arrest/ apprehension JIT and PTF concluded that the Missing Person gone his own. No EW of any incident of abduction has come on record. Hence, not a case of enforced disappearance. The case is closed. </t>
  </si>
  <si>
    <t>28/02/2019</t>
  </si>
  <si>
    <t xml:space="preserve">FIR No. 164 dated 27/03/2019 u/s 365 PPC, PS Sadiu Sharif, District Swat. </t>
  </si>
  <si>
    <t>Deleted. After thorough investigation, JIT and PTF concluded that the “Missing Person has gone on his own” as no clue could be found to indicate involvement of any Law Enforcement / Intelligence Agency in his disappearance. All stakeholders denied his arrest / custody. The complainant was summoned twice for recording his statement but he did not turn up.  It may also be mentioned that the occurance took place on 7.1.2001 and the complaint was received on 20.2.2019. Hence, the case is closed not being a case of enforced disappearance.</t>
  </si>
  <si>
    <t xml:space="preserve">Deleted. After preliminary investigation and conclusions arrived at JIT/ PTF that the Mission Person had gone on his own. The statement of Mst. Shagufata Bibi (wife of Subhan Ullah) was recorded on oath in which she deposed that she had levelled any allegations against any LEAs.  All stakeholders have denied apprehension / detention of the Mission Person and that was no eye witness of the abduction. Hence, not a case of enforced disappearance. The case is closed. </t>
  </si>
  <si>
    <t xml:space="preserve">Jumma Khan, r/o Rehman Pur, Shuntar, District Astore. </t>
  </si>
  <si>
    <t>Deleted.  Keeping in view the circumstances of the case, statements of father and wife of Muhammad Bilal on Affidavits and the statements of Jumma Khan, Mst. Shabnam and witness Rehmat Din s/o Altaf Shah recorded by IO u/s 161 CrPC and report of SP, Astore the matter hardly falls within the ambit of enforced disappearance as there is no allegation against any LEAs/ Intelligence Agency, therefore further proceedings by the Commission are closed.</t>
  </si>
  <si>
    <t xml:space="preserve">Deleted. The contents of FIR dated 22.12.2017 indicate that it is a case of Kidnapping, JIT concluded that the Missing Person has gone on his own due to criminal record against him. There is no allegation against any LEAs, hence the case is deleted.  </t>
  </si>
  <si>
    <t>01/03/2019</t>
  </si>
  <si>
    <t xml:space="preserve">Deleted. Mr. Asad Nasir, SSP (Inv), Quetta appeared before the Commission and submitted that last JIT meeting was held on 24.12.2029, wherein the case was categorized as Missing Person has gone on his own. The case was also considered by PTF in its meeting held on 20.2.202 and agree with the conclusion drawn by the JIT. All LEAs/ Intelligence Agencies have denied apprehension/ custody of Shahenshah. Hence not a case enforced disappearance. The case is closed.  </t>
  </si>
  <si>
    <t>Mst. Shahmeem  r/o Mohala Khwaidad khal, oud yaghram, tehsil babuzaie, District Swat. (Mobile No. 0343-9636033)</t>
  </si>
  <si>
    <t>Abdul Mateen, c/o Muhammad Younas r/o ,08th Floor NICL Building, Jinnah Avenue, Blue Area, Islamabad. (Mobile No.0334-5133677 &amp;  0336-8866286)</t>
  </si>
  <si>
    <t>02/03/2019</t>
  </si>
  <si>
    <t xml:space="preserve">Traced Person. It was informed at the hearing held in this Commission on 29.09.2021 that Jibran Fareed is confined in Internment Centre in terms of Action (in aid of Civil) Regulations, 2011 Malakand. Muhammad Yasir Fareed brother of Missing Person deposed in his statement dated 25.09.2021 that he met his brother in the Internment Centre. The case is closed.      </t>
  </si>
  <si>
    <t xml:space="preserve">Traced Person. It was informed at the heaing held in this Commission on 30/7/2019 that Hamza Tahir has returned to home. The report submitted by SDPO, Nazimabad, Karachi is placed on record. </t>
  </si>
  <si>
    <t xml:space="preserve">Traced Person. Umer Khursheed Khan has been traced. He is presently confined in District Jail Bahawalpur in case FIR No. 83 dated 21/6/2019 u/s 3/4  ESA r/w A TA PS, CTD, Multan. SHO New Town is present. He has submitted report dated 19/7/2019 which has been placed on record. </t>
  </si>
  <si>
    <t>04/03/2019</t>
  </si>
  <si>
    <t xml:space="preserve">Traced Person. Complainant Muhammad Raza s/o Waliat Khan was present before the Commission on 20.6.2019, whose statement has been recorded on oath. According to him, his brother Muhammad Tufail had gone to Lahore on 4.3.2019 and returned back after about 45 days to home. </t>
  </si>
  <si>
    <t>07/03/2019</t>
  </si>
  <si>
    <t xml:space="preserve">Deleted. The Commission perused the relevant record and found FIR No, 126 dated 8.4.2019 u/s 365 PPC PS, City, Jauharabad district Khushab registered on the report of Mustansar Hussain no allegation was leveled against any LEAs/ Intelligence Agency. A comprehensive report has also been furnished by DPO, Khushab which indicates that the matter does not fall within the domain of enforced disappearance and the incident took place due to some domestic dispute details whereof have been mentioned elaborately in the report. Hence the case is closed. </t>
  </si>
  <si>
    <t xml:space="preserve">Traced Person. Atta Ullah has been traced. He is presently confined in internment Center Lakki Marwat. Ahad Gul father of the traced person is present. His statement has been recorded on oath. He has submitted that his son is confined in internment center Lakki Marwat and he has already met him in the aforementioned Internment Center. </t>
  </si>
  <si>
    <t xml:space="preserve">Traced Person. It is pointed out at the outset by DPO, Kasur that presently Shehzad Asghar is under detention and a case has been registered under Official Secret Act. In view of what has been mentioned hereinabove no further action is required to be taken by the Commission. The name of Shahzad Asghar be deleted from the list of enforced disappearance person and let the law take its own course. </t>
  </si>
  <si>
    <t>08/03/2019</t>
  </si>
  <si>
    <t xml:space="preserve">Traced Person. It was informed at the hearing held in this Commission on 21.5.2019 that Muhammad Amir has returned to home. The report submitted by the Police Officer SHO, Landhi is placed on record. </t>
  </si>
  <si>
    <t xml:space="preserve">Traced Person. It has been informed at the hearing held in this Commission at Quetta that Gul Muhammad s/o Naik Muhammad is confined in Mach Jail. Family informed. The case is closed. </t>
  </si>
  <si>
    <t>Lal Moona r/o Kate Sarghareby, Kalaghai, P.O Lakry, Thesil safi, District Mohammad Agency.  (Mobile No. 0308-2328885 &amp; 0303-9000169).</t>
  </si>
  <si>
    <t>09/03/2019</t>
  </si>
  <si>
    <t xml:space="preserve">Traced Person. Muhammad Usman has been traced. He appeared before the Commission on 4.4.2019. His statement has been recorded on oath. </t>
  </si>
  <si>
    <t xml:space="preserve">Traced Person. It was informed at the hearing on 29/03/2019 that Imran Khan Kiyani has returned to home. He appeared before the Commission and his statement was recorded. </t>
  </si>
  <si>
    <t>11/03/2019</t>
  </si>
  <si>
    <t>12/03/2019</t>
  </si>
  <si>
    <t>Mst. Ghulam Fatima  r/o House No. 1726/468, Mohala Jaam Nagar, Near National Bank, Baldiyah Town, Karachi. (Mobile No. 0312-2196749).</t>
  </si>
  <si>
    <t xml:space="preserve">Traced Person. It was informed at the hearing held in this Commission on 12.6.2019 that Faisal Khan Khan has returned to home. He appeared before the Commission report of PS Baldalia Town also confirm. </t>
  </si>
  <si>
    <t xml:space="preserve">Deleted. It has been reported by Hasin Qambrani Inspector/IO Hub City that in FIR No. 98/2019 dated 12.4.2019 u/s 365/34 PPC was registered at PS Hub City in the complainant of Asif Hussain, there is no allegation for abduction of Dawood Hussain against any of the LEAs. Intelligence Agency. Complainant, Asif Hussain also appeared before the Commission, whose statement has been recorded on oath. He has stated that in his application he has not nominated/indicated any of the LEAs/Intelligence Agency for abduction of Dawood Hussain. Hence, not a case of enforced disappearance. The case is closed.  </t>
  </si>
  <si>
    <t xml:space="preserve">Traced Person. Anwar Shah f/o Abid Ullah appeared before the Commission on 19.12.2019 and his statement was recorded in which he stated that his son disappeared on 15.3.2018 that his returned home on 14.10.2019 who is present at his native residence and due to sickness could not appear before the Commission. He further stated that Abid Ullah went to the Punjab on his own and could not intimate his whereabouts to the family in time. </t>
  </si>
  <si>
    <t>Mst. Fatima Ashir, r/o House No.  NE- 1119, Street 18, Mohallah Dhoke, Hukam Dad, Rawalpindi. (Mobile No. 0345-5249009)</t>
  </si>
  <si>
    <t xml:space="preserve">Traced Person. Ashir Rashid has been traced, he has returned home. Statements of Abid Hussain SHO New Airport and Taimoor Khan SP (Inv) Attock have been recorded. </t>
  </si>
  <si>
    <t>Adnan Qurban, r/o Jhang Chak, Tehsil  Sawawa, District Jehlum . (Mobile No. 0301-2878151)</t>
  </si>
  <si>
    <t>20/03/2019</t>
  </si>
  <si>
    <t xml:space="preserve">Traced Person. It has been reported at the hearing held by the Commission on 3.9.2020 at Quetta that dead body of Ehsan Ullah s/o Saeed Muhammad was handed over to the family on 22.11.2019. In this regard, statement of SSP (Inv), Quetta and Mr. Saeed Muhammad father of Ehsan Ullah who appeared for hearing have been recorded. The later confirmed having received dead body of his son. No further action is required. The case is closed. </t>
  </si>
  <si>
    <t xml:space="preserve"> 5910-I  4830-I 4831-I</t>
  </si>
  <si>
    <t>25/03/2019</t>
  </si>
  <si>
    <t>26/03/2019</t>
  </si>
  <si>
    <t xml:space="preserve">Traced Person. SP (Inv), Kohat appeared before the Commission on 23.11.2020 was recorded on oath, in which he deposed that Naqeeb Ullah reported to local Police on 20.7.2020 regarding his return to home, whose statement was got recorded u/s 161 Cr.PC. Since Naqeeb Ullah has returned home, he is no more a Missing Person. No further action is required. The case is closed. </t>
  </si>
  <si>
    <t xml:space="preserve">Traced Person. Mujhaid Ali s/o Burhan Ullah has been traced, Rep of MI appeared for hearing on 08.07.2020 and submitted that Mujahid Ali was confined in Internment Center Lakki Marwat. None has entered appearance on behalf of Mujhaid Ali. However the family will be informed through later and meeting with the internee will be arrange through proper channel, as per regulation. </t>
  </si>
  <si>
    <t xml:space="preserve">Traced Person. Raja Khawar Afzal has been traced. He appeared before the Commission on 24.5.2019. His statement has been recorded on oath. He has deposed that he was abducted on 23.3.2019 by unknown persons and he was set fee in 28.3.2019. </t>
  </si>
  <si>
    <t xml:space="preserve">Deleted. The complainant did not level any allegation against any Law Enforcement / Intelligence Agency. Similarly, no such evidence came on record that any official remained involved in disappearance of Ameer Zaib. There are concurrent findings given by JIT as well as by PTF that Missing Person has gone on his own. Investigation Agency recorded there statements of witness u/s 161 Cr.PC but none of them is EW of the occurrence. According to reports received from Rep of ISI, MI and CTD, Ameer Zaib is not in their custody. Accordingly, the case does not fall within the ambit of enforced disappearance. Hence closed. </t>
  </si>
  <si>
    <t>27/03/2019</t>
  </si>
  <si>
    <t>Deleted. During the course of inquiry, no clue could be found  to indicate that any LEA/ Intelligence Agency was involved in disappearance of Faheem Akbar s/o Aziz Akbar The case has been categorized as the Missing Person has gone on his on by JIT as well as PTF. In the case statements of Five witnesses were recorded but none of them was eye witness of the occurance. All stakeholders have denied arrest/custody of Faheem Akbar. Hence, not a case of enforced disappearance and closed.</t>
  </si>
  <si>
    <t>Deleted. After investigation and considration by JIT, PTF and hearing in the Commission it has been concluded that the case does not fall within the ambit of enforced disappearance on his arrest/ custody has been denied by all stakeholders. The statement of his brother has also been recorded in which he confirmed that there was no allegation against LEA/Intelligence Agency.  No further action is required. The case is closed.</t>
  </si>
  <si>
    <t>28/03/2019</t>
  </si>
  <si>
    <t>FIR No. 231 dated 1/5/2019 u/s 365 PPC PS,  Banr, Swat</t>
  </si>
  <si>
    <t xml:space="preserve">Traced Person. It was informed at the hearing held in this case on 23.08.2021 by Muhammad Amir Ali Changzai that he was abducted by unknown person s on 16.12.2017. He deposed in his statement that he neither identify the person who abducted him nor the placed where he was detained. Hence, no further action is required. The case is closed. </t>
  </si>
  <si>
    <t>30/03/2019</t>
  </si>
  <si>
    <t xml:space="preserve">Traced Person. Tariq Zaman , who is uncle of Sami Ullah has entered appearance on 23/7/2019, whose statement has been recorded on oath. He has stated that Sami Ullah is presently confined in Internment Center Lakki Marwat and his father, mother and brother met him in the said Internment Center. </t>
  </si>
  <si>
    <t xml:space="preserve">Traced Person. Zafar Iqbal, Rep of Home Department, Balochistan is in attendance, whose statement has been recorded on oath. According to him Hafiz Muhammad Yahya has returned home on 12/2/2019. In this connection he has produced report of SSP (Inv), Khuzdar. </t>
  </si>
  <si>
    <t xml:space="preserve">Traced Person. It was informed at the hearing held in  this Commission on 31/7/2019 that faisal is involved in Criminal Case vide Fir No. 49/19 dated 29/1/2019, PS Eid Gah, Karachi. He was arrested and later released on bail by Competent Court of Jurisdiction. Statement of  mother were recorded and placed on record. </t>
  </si>
  <si>
    <t xml:space="preserve">Traced Person. Waheed Ullah brother of Shahzad Khan appeared before the Commission on 23.12.2019. His statement has been recorded on oath. According to him Shahzad Khan is presently confined in Internment Center Lakki Marwat. He further submitted that he and family members including wife of Shahzad Khan and children have already met him in the Internment Center Lakki Marwat on 11.12.2019 and 18.12.2019. </t>
  </si>
  <si>
    <t>01/04/2019</t>
  </si>
  <si>
    <t>02/04/2019</t>
  </si>
  <si>
    <t xml:space="preserve">Traced Person. Complainant, Ehsan Ullah Khan appeared before the Commission on 20.6.2019, whose statement has been recorded on oath. According to him, Adil Zafar went to Mosque at PSO Pump, Islamabad on 24.10.2018 and came back on 8/9 April, 2019 and he was not abducted by anyone but remained sitting on the Mosque during this period. </t>
  </si>
  <si>
    <t xml:space="preserve">Traced Person. Sohail Ahmed has been traced. He has returned to home and is presently working as Naib Qasid in the office of DC Haripur district, Syed Aziz, SP (Inv) Islamabad and ASI Zulfiqar are present, whose statement have been recorded on oath. </t>
  </si>
  <si>
    <t xml:space="preserve">Traced Person. Hazrat Saeed has been traced. He is present before the Commission on 1/7/2019. He has returned home. He has submitted that he was kidnapped on account if mistaken identify and was released after 50 days. </t>
  </si>
  <si>
    <t xml:space="preserve">Deleted. The Commission has examined the FIR, statements of the IO specially with reference to CDR, which indication location of the Missing Person at place other than Quetta/ Dera Mura Jamali. The Complainant father, whose statement was recorded by the Commission on 2.3.2020 admitted that his sin was not on speaking terms with him and that he remained in contact with his brother, circumstances clearly lead to the conclusion that it is not a case of enforced disappearance. Hence closed.  </t>
  </si>
  <si>
    <t xml:space="preserve">Traced Person. Muhammad Shahid appeared before the Commission on 29.09.2021. His statement was recorded on oath in which he deposed that he was abducted on 27.03.2019 by the Police accompanied by men in civvies. He further deposed that his eyes were muffled, so he could not recognize anybody. He was set free on 28/29 March, 2021 near Hyderabad where from he returned home. No further action is required, the case is closed.    </t>
  </si>
  <si>
    <t xml:space="preserve">Mujhaid Khan s/o Sir Zameen </t>
  </si>
  <si>
    <t>03/04/2019</t>
  </si>
  <si>
    <t xml:space="preserve">Traced Person. Khan Zaman has been traced. He is presently confined in Jandola Jail. Statement of Akhtar Jan complainant who has appeared before the Commission has been recorded on oath. He has deposed that after receiving telephonic information he went to Jandola where he met Khan Zaman. Foregoing in view, the case is closed. </t>
  </si>
  <si>
    <t>Tufail Ahmed, r/o  Chak Faiz Ahmed, P.O Zahir Peer, Tehsil Khanpur, District Rahim Yar Khan. (Mobile No. 0301-7488541)</t>
  </si>
  <si>
    <t xml:space="preserve">Traced Person. Mr. Safdar Pervaz, Inspector CTD Sheikhupura has appeared, whose statement has been recorded in oath. He has deposed that on 8.12.2016 two unknown terrorists killed in an encounter with CTD, Police of district Sheikhupura. For their identification services of NADRA and Punjab Forensic Science Labs Lahore were taken. After due process, the two dead bodies of the unknown terrorists identified as of Rafique Ahmed and Abdul Khaliq. Tufail Ahmed who is father of Rafique Ahmed and maternal uncle of Abdul Khaliq was informed. He came to CTR officer Sheikhupura and was shown pictures of the abovesaid two missing persons. He recognized the photographs of his sons Rafique Ahmed and nephew Abdul Khaliq. Rep of CTD, Sheikhupura produced copies of CTD progress report. Tufail Ahmed also appeared and confirmed the said Position. </t>
  </si>
  <si>
    <t>FIR No.396/19 dated 10/06/2019  u/s 365 PPC, PS Zahir Peer District Rahim Yar Khan</t>
  </si>
  <si>
    <t xml:space="preserve">Traced Person. It was informed at the hearing held in this Commission on 21.5.2019 that Noor Khan has returned to home. The report submitted by the Police Officer SHO Landhi, Karachi is placed on record. </t>
  </si>
  <si>
    <t xml:space="preserve">Traced Person. According to the letter dated 29.5.2019 received form Rep of MI, Ashraf Ali has been awarded 10 years imprisonment by Military Court who is now confined in District Jail, Kohat. Mian Fazal Subhan brother of missing person also affirmed the stated position. </t>
  </si>
  <si>
    <t>09/04/2019</t>
  </si>
  <si>
    <t xml:space="preserve">Traced Person. According to report submitted by SHO PS City, Attock Inam Ullah has been arrested vide FIR No. 8 dated 6.4.2019 u/s 11-EE/11-F/11-G/11-H/11-1/11-J/11-N ATA 1997 PS CTD, Rawalpindi. </t>
  </si>
  <si>
    <t xml:space="preserve">Traced Person. Statement of Intikhab Alam has been recorded on oath. According to him he established contact with Muhammad Ayub Khan father of Imran Ullah on telephone (0300-5836514) who has confirmed that Imran Ullah has returned to home and on account if aliment he is present at his home at a Tall. </t>
  </si>
  <si>
    <t xml:space="preserve">Deleted. This case is closed for want of jurisdiction as in FIR No, 116/18 dated 4.4.2018 PS Guistan-e-Johar, Karachi East. It is occurred that an unknown and a man abducted Wajid Hussain. There is no allegation against any LEAs agency. </t>
  </si>
  <si>
    <t xml:space="preserve">Deleted. As per statement of SHO PS Ferozabad, Karachi Missing Person Amir Ali was suffering from mental disorder. He boarded on train from Lahore to Karachi and thereafter he went missing. As there is no allegation against any LEAs, the case closed and it does not fall in the ambit of enforced disappearance. </t>
  </si>
  <si>
    <t>10/04/2019</t>
  </si>
  <si>
    <t>FIR No.60 dated 28/4/2019  u/s 364 PPC PS New Air Port District Attock</t>
  </si>
  <si>
    <t xml:space="preserve">Traced Person. Saif-ur-Rehman father of the Hazrat Ali is present. He has submitted that his son Hazrat Ali has returned home. His statement has been recorded on the oath. According to his statement Hazrat Ali was abducted by some unknown persons who has returned home after 15 days. </t>
  </si>
  <si>
    <t xml:space="preserve">Traced Person. Focal Person of MI appeared before the Commission who submitted report dated 17.11.2020 wherein name of Ammar Abbasi ID No. 5978-A appears at Sr. No. 12 and his missing dated has been indicate as of 30.10.2017. In report stance of MI is to extent that Ammar Abbasi is interned in the Internment Centre Fizaghat. No further action is required. Family will be facilitated to see him subject to prescribed procedure. </t>
  </si>
  <si>
    <t>Rifat Ullah Khan  s/o Pio Din</t>
  </si>
  <si>
    <t xml:space="preserve">Deleted.  It is evident from the complaint/application which has been filed after a lapse of five years after disappearance, but there is nothing which can suggest that it is a case of enforced disappearance as no allegation has been levelled against any LEAs/Intelligence Agency. Hence the case is deleted. </t>
  </si>
  <si>
    <t>11/04/2019</t>
  </si>
  <si>
    <t>12/04/2019</t>
  </si>
  <si>
    <t xml:space="preserve">Traced Person. SP (Inv) Swat submitted an application from Mst. Noor Jahan, mother of Riaz stating that during the course of investigation Riaz was actively involved in militancy, providing assistance to militants fighting against the state. During the course of investigation, the complainant also produced an affidavit that her son Riaz died in an encounter with Security Forced at Al-Puri district Shangala during insurgency and buried there. Mst. Noor Jahan also appeared before the Commission on 11.7.2019 and submitted that she is interested in property and not in tracing the whereabouts of her son. As the fate of Riaz is now known, hence no further action is required. The case is closed. </t>
  </si>
  <si>
    <t xml:space="preserve">Traced Person. Bilal Ahmed entered appearance before the Commission on 17.9.2020 at Lahore but he was reluctant to furnish details of the episode for certain obvious reasons which hardly need any elaboration or explanation. Ms. Shahhida Noreen SP (Inv). Sahiwal and Mian Ashiq IO of the case also appeared and confirmed the aforesaid position. </t>
  </si>
  <si>
    <t>FIR No. 309/09 dated 22/12/2019  U/S 365 PPC PS Civil Line, District Quetta</t>
  </si>
  <si>
    <t xml:space="preserve">Traced Person. Aqal Khan has been traced. He has returned home on 20.4.2019. Abid Hussain SHO appeared before the Commission on 9.5.2019. He also produced affidavit on behalf of Shakir Ullah f/o missing person and report from DPO, Attock to this effect. </t>
  </si>
  <si>
    <t>13/04/2019</t>
  </si>
  <si>
    <t xml:space="preserve">Traced Person. Aziz Ullah entered appearance before the Commission on 7.9.2020 at Quetta, whose statement has been recorded on oath, in which he deposed that he was kidnapped by unknown persons in winter of 2018, who kept him ta an unknown place and after 14 months 12 days he was set free. He further deposed that he could not identify those people who abducted him. Since Aziz Ullah has been traced no further proceedings are required. The case is closed.  </t>
  </si>
  <si>
    <t xml:space="preserve">Traced Person. Syed Javed Iqbal Gharishin, SSP (Inv) appeared whose statement has been recorded on oath. According to him Abdul Shakoor has returned home in 20/4/2019. He has produced statement of Abdul Malik brother of Abdul Shakoor. </t>
  </si>
  <si>
    <t xml:space="preserve">Traced Person. DSP, Kharan entered appeared before the Commission on 12.9.2020, whose statement was recorded on oath in which he deposed that Muhammad Arif s/o Khda-e-Nazar returned to home on 13.1.2020. He produced copy of SP Kharan report dated 12.9.2020 and report of SHO PS Kharan dated 22.8.2020 wherein it was stated that Muhammad Arif returned to home on 13.1.2020. Foregoing in view , the case is closed.   </t>
  </si>
  <si>
    <t xml:space="preserve">Traced Person. It was informed at the hearing held Sub-office Commission at Karachi on 11.9.2019 that  dead body of the Missing Person Muhammad Shoaib was recovered which was handed over for burial to his brother Javed Ghufran. As per report dated 27.1.2018 from Commandant Border Military Police (BMP) Dera Ghazi Khan received through the SSP, Investigation West-II Karachi on 21.8.2018 that at about 05:30 hours on special information Border Military Police alongwith Rangers reachd Dera Kora Moza Jhong in the limit of PS Lkhani Tehsil Tonsa suddenly 5/6 unknown accused persons started firing upon security persons who also fired in their defense. After firing two dead bodies were found and one of them was identified through a slip recovered from his pocket, as Muhammad Shoaib Ghufran @ Dawood s/o Muhammad Ghufran r/o, Mujhaidabad colony, Nazimabad, Karachi. </t>
  </si>
  <si>
    <t xml:space="preserve">Traced Person. Shahid Nizam appeared before the Commission at the hearing on 24.12.2019. The statement of brother of the Traced Person has also been recorded. Father of Shahid Nizam also appeared before the Commission. SHO Sh. Noor Jahan also submitted his report. </t>
  </si>
  <si>
    <t xml:space="preserve">Traced Person. It was informed at the hearing held in this case on 28.5.2019 that Momin Khan Momin and Mohsin Khan (Case No. 6017-S) has returned to home. In this connection, the statement of Mst. Nadia Khan d/o Momin Khan who appeared in PS Gulistan-e-Johar, Karachi is available on record. </t>
  </si>
  <si>
    <t>15/04/2019</t>
  </si>
  <si>
    <t xml:space="preserve">Traced Person. Gul Ahmad, DSP/Khuzdar entered appearance before the Commission on 19.9.2019 and produced statements of wife, sons, daughters &amp; SHO PS City, Khuzdar confirming that Saqib Ali has returned to home. </t>
  </si>
  <si>
    <t xml:space="preserve">Deleted. A hearing was held in this case on 11.9.2019. None appeared on behalf of the family. Inspector Naseer of PS Surjani, Karachi, submitted report of JIT which shows that the alleged missing person had gone on his own. The record shows that he had affiliation with the Tailban and was involved in criminal cases. Notice was served on the complainant side. Copy of the notice has been produced which shows the complainant party has lost interest. Keeping in view the facts and circumstances of this case, it appears that it is no more a case of enforced disappearance and matter is filed. </t>
  </si>
  <si>
    <t xml:space="preserve">Traced Person. It was informed at the hearing held in this Commission on 12.6.2019 that Muhammad Bilal is confined in Internment Center Swat, KPK. Family members have been allowed to meet him. </t>
  </si>
  <si>
    <t>16/04/2019</t>
  </si>
  <si>
    <t xml:space="preserve">Traced Person. Rep of MI appeared for hearing on 10.2.2020, who has affirmed that Umar Hayat is presently confined in the Internment Center Lakki Marwat. Arshad Iqbal who is present on behalf of Umer Hayat has been apprised of the status of the case. Family members of Umer Hayat shall be facilitated to see him in the said Internment Center. </t>
  </si>
  <si>
    <t>17/04/2019</t>
  </si>
  <si>
    <t>19/04/2019</t>
  </si>
  <si>
    <t xml:space="preserve">Traced Person. It was informed at the hearing held in this Commission on 21.5.2019 that Syed Ahmed Arfat has returned to home. The report submitted by the Police Officer SHO, Landhi is placed on record. </t>
  </si>
  <si>
    <t xml:space="preserve">Deleted. According to the report submitted by PS Bin Qasim, Karachi the complainant Rashida Parveen w/o the Missing Person Hafiz Muhammad Jameel was contacted SIP who informed him that his husband was a driver and Zain owner of the Toller LCA-192 took her husband from his home on 16.6.2019 and did not come back. Hence not a case of enforced disappearance. However Police will continue further investigation as per law. </t>
  </si>
  <si>
    <t>Mst. Ayesha Naz, r/o House  No. 276, Landhi No. 3/12, Karachi. (Mobile No. 0313-2626474 &amp; 0322-2459584)</t>
  </si>
  <si>
    <t xml:space="preserve">Traced Person. It was informed at the hearing held in this Commission on 21.5.2019 that Muhammad Rashid Sabari has returned to home. The report submitted by the Police Officer SHO Landhi, Karachi is placed on record. </t>
  </si>
  <si>
    <t xml:space="preserve">Traced Person. It was informed at the hearing held in this Commission on 29.1.2020 that Muhammad Afzal Sheikh has returned home. SHO, PS Surjani Town, Karachi submitted report to confirm the aforesaid position. </t>
  </si>
  <si>
    <t>FIR No. 547/18 dated 13/10/2018  u/s 365 PPC, PS Mustafa Town District Lahore</t>
  </si>
  <si>
    <t xml:space="preserve">Traced Person. Khurram Ayub has been traced. He has returned to home. Father of missing person appeared before the Commission on 18.6.2019 whose statement has been recorded in oath. According to which Khurram Ayub disappeared on his own became of domestic dispute. </t>
  </si>
  <si>
    <t>Traced Person. It was informed at the hearing held in this case  that Muhamamd Ilyyas was arrested in case FIR No 74/2018 u/s 23 (i) (a), Sindh Arms Acts, PS CTD, Karachi. Later he was released on bail by competent Court of Law. Presently he is at home. His statement is placed on record.</t>
  </si>
  <si>
    <t xml:space="preserve">Moin Aziz Mirza </t>
  </si>
  <si>
    <t xml:space="preserve">Traced Person.It was informed at the hearing held in this Commission on 21.11.2019 that Moin Aziz Mirza has returned to home. The statement of the wife of the Traced Person has been recorded u/s 164 CrPC, which is available on record. The report submitted by SHO Darakshana, Karachi is also placed on record.  </t>
  </si>
  <si>
    <t xml:space="preserve">Traced Person. It was informed at the hearing held in this Commission on 21.5.2019 that Junaid Khan has returned to home. The report submitted by the Police Officer SHO Landhi, Karachi is placed on record. </t>
  </si>
  <si>
    <t xml:space="preserve">Traced Person. It was informed at the hearing held in this Commission on 12.6.2019 that Shahzad is confined in Central Jail as per report of PS Mangopir, Karachi. </t>
  </si>
  <si>
    <t xml:space="preserve">Traced Person. It was informed at the hearing held in this Commission on 25.6.2019 that Muhammad Bilal has returned to home. The report submitted by the Police Officer SHO, Khawaja Ameer Nagari, Karachi. </t>
  </si>
  <si>
    <t xml:space="preserve">Traced Person. It was informed at the hearing held in this Commission on 14.5.2019 that Muhammad Shah Rakuh Sheikh has returned to home. The report submitted by the Police Officer SHO, PS Garden is place on record. </t>
  </si>
  <si>
    <t xml:space="preserve">Traced Person. It was informed at the hearing held in this Commission on 14.5.2019 that Muhammad Faheem Rao has returned to home. The report submitted by the Police Officer SHO, PS Garden is place on record. </t>
  </si>
  <si>
    <t xml:space="preserve">Traced Person. It was informed at the hearing on 28.5.2019 that Waheed Ullah has been arrested by CTD and currently on judicial remand. </t>
  </si>
  <si>
    <t xml:space="preserve">FIR No. 114/2019 dated   20.6.2019 u/s 365 PPC PS A/Section Kand Kot </t>
  </si>
  <si>
    <t>27/04/2019</t>
  </si>
  <si>
    <t>30 April, 2019</t>
  </si>
  <si>
    <t>04/05/2019</t>
  </si>
  <si>
    <t xml:space="preserve">Traced Person. SP (Inv), Peshawar is present who has furnished report No.  11/2/Oprs, dated Peshawar 28/6/2019 on behalf of SSP (Operation) Peshawar. According to this report Mst. Najma has returned to home and the complainant is not interested to pursue the case further. </t>
  </si>
  <si>
    <t xml:space="preserve">Traced Person. SP (Inv), Peshawar is presently who submitted report dated 25/6/2019 on behalf of ASP Hayatabad Sub-Division Peshawar. According to this report Yasir Shamas has been attested by CTD vide case FIR No. 25 dated 1/5/2019 u/s 11N21 (i) ATA-302-324-353-427-120B-3/4/5 EXP-15AA-7ATA statement of Yasir Shamas has been recorded u/s 164 CrpC copy whereof is available with the report. 
</t>
  </si>
  <si>
    <t>06/05/2019</t>
  </si>
  <si>
    <t xml:space="preserve"> Traced Person. Safaraz Ahmed s/o Muhammad Umer has entered appearance before the Commission on 4.3.2020 at Quetta, whose statement has been recorded on oath. He has deposed that on 12.2.2019, when he was going to D.I. Khan from Peshawar by Bus, he was loaded from the bus at D.I.Khan Cantt by some unknown place. He further deposed that he was set free on 6.1.2020 at Karachi from where he has returned home. He has further deposed that since his memory is weak, therefore he cannot say anything with certainly that he can identify those persons who abducted him, even if they are brought before him. He has requested that the case may be closed. </t>
  </si>
  <si>
    <t xml:space="preserve">Deleted. Abdul Rasheed s/o Bari Dad brother of Abdul Hameed appeared before the Commission at Quetta whose statement was recorded on oath, in which he stated that Shahid and Jehanzeb are involved in the abduction of his brother. He has further deposed that he has no suspicion regarding abduction of his brother on any other person or Government Agency. Mr. Naveed Alam, Addl SP, Lasbella has submitted JIT report dated  14.9.2019, wherein the JIT has categorized the case as Kidnapping due to personal enmity. Hence the case does not fall within the domain of enforced disappearance, therefore deleted. </t>
  </si>
  <si>
    <t xml:space="preserve">Traced Person. It has been informed at the hearing held in this Commission at Quetta that Muhammad Khalid s/o Mir Badil Khan is confined in Mach Jail. Family informed. The case is closed. </t>
  </si>
  <si>
    <t xml:space="preserve">Deleted. The complainant Qudrat Ullah appeared before the Commission on 29.3.2021, whose statement has been recorded on oath, in which he deposed that complaint was lodged by him in the Commission. He further deposed that he has not levelled any allegation against any of LEAs/ Intelligence Agency in the complaint. Accordingly, not a case of enforced disappearance, Hence the case is closed. </t>
  </si>
  <si>
    <t>07/05/2019</t>
  </si>
  <si>
    <t xml:space="preserve">Traced Person. It was informed at the hearing held in this Commission on 18.5.2022 that dead body of Missing Person Farooq Jamal was recovered. Reported SDPO Quaid Abad Sub- Division submitted report that Zahir Shah (Brother-in-law) confirmed in his statement that he identified dead body of Farooq Jamal at Cheepa Centre and that the dead body was buried in Chakara Goth Graveyard, Korangi. He was killed in an encounter with Pak Rangers Sindh, Karachi. Hence no further action is required. The case is closed. </t>
  </si>
  <si>
    <t xml:space="preserve">Traced Person. As per report SDPO, Gulbhar, Karachi dead body of Shahid Kaleem was recovered on 6/12/2020 dated 07/07/2012 u/s 302/201/202/34 PPC PS Sarjani Town has been registered. Mst. Ali Shahid wife of Shahid Kaleem was also present and affirmed that dead body of Shahid Kaleem was recovered, identified and later on burial was carried out. </t>
  </si>
  <si>
    <t>Dolat Khan r/o Mohallah Chara Baba, P.O  Ghaligay, Ghaligay, District Swat. (Mobile No. 0343-9634509 &amp; 0300-9070839)</t>
  </si>
  <si>
    <t xml:space="preserve">Muhammad Saleem-ur-Rehman s/o Anees-ur-Rehman </t>
  </si>
  <si>
    <t xml:space="preserve">6073-K </t>
  </si>
  <si>
    <t xml:space="preserve">Traced Person. Farman Ullah has been traced. According to the report dated 29-5-2019 receiver from Rep of MI, Farman Ullah is presently confined in the Internment Center Fizaghat. </t>
  </si>
  <si>
    <t xml:space="preserve">Traced Person. Saboor Ahmed Khan has been traced he has returned home. Ijaz Ali DSP (Inv), Peshawar is present. His statement has been receded on oath. According to his statement Saboor Ahmed Khan has returned to home. </t>
  </si>
  <si>
    <t>Deleted. During the course of inquiry, no clue could be found that any LEA/ Intelligence Agency was involved in disappearance of Qari Rooh Ullah Shah. The case has been categorized as of missing person has gone on his own by JIT as well as PTF. The complainant mst. Bas Bibi  or her authorized representative was summoned twice for recording statement but none entered appearance despite issuance of notices. All stakeholders have denied arrest/custody of Qari Rooh Ullah Shah. Hence, not a case of enforced disappearance. The case is closed.</t>
  </si>
  <si>
    <t>08/05/2019</t>
  </si>
  <si>
    <t>Umer Jelan r/o Village KabalGram, P.O  Martong, District Shangala. (Mobile No. 0340-4594492).</t>
  </si>
  <si>
    <t xml:space="preserve">Traced Person. Iftikhar has been traced. According to reports dated 06.07.2020 and 24.07.2020 received from Rep of MI, Iftikhar is presently confined in the Internment Centre Lakki Marwat. Bacha Khan f/o Iftikhar was present, who was apprised of the status of the case. He may avail remedy if any in accordance with law. Family member of Iftikhar will be facilitated to see him in the Internment Centre as per rules and procedure. </t>
  </si>
  <si>
    <t xml:space="preserve">Traced Person. Muhammad Younas has been traced, he has returned to home and appeared before the Commission on 13/7/2019. His statement has been recorded on oath by the Commission. According to his statement he was forcibly abducted by unknown persons on 7/3/2019 and was set free after 20/25 days. </t>
  </si>
  <si>
    <t xml:space="preserve">Deleted. The complainant did not extend co-operation to the Investigation Officer nor attend the hearings in the Commission. Intelligence Agencies have denied apprehension/ custody of Maaz. Moreover, as per report he was active member of TTS during Army Operation in Swat. Therefore there is every likelihood that he escaped to Afghanistan. The case does not fall within the ambit of enforced disappearance and is deleted. </t>
  </si>
  <si>
    <t>Fir No. 969 dated 08/10/2019  u/s 365 PPC, PS City ,District Mardan</t>
  </si>
  <si>
    <t xml:space="preserve">Traced Person. It was informed at the hearing held in this Commission on 15.6.2020 that Mr. Syed Kamran Haider Zaidi has returned home. The report submitted by SDPO New Town, Karachi indicates that he was arrested by CTD and later granted bail by Trial Court. </t>
  </si>
  <si>
    <t>09/05/2019</t>
  </si>
  <si>
    <t xml:space="preserve">Traced Person. Muhammad Iqbal has been traced. According to the report dated 29.5.2019 received from Rep of MI, Muhammad Iqbal is presently confined in the Internment Center Fizaghat. </t>
  </si>
  <si>
    <t xml:space="preserve">Traced  Person. Khan Shabbir, DO/CTD Attock is present and submitted that Sher Hassan is undergoing sentence of 25 years awarded by ATC, Rawalpindi and presently detained in Adiyala Jail, Rawalpindi. Father of missing person also confirmed. </t>
  </si>
  <si>
    <t xml:space="preserve">Traced Person. It was informed at the hearing held in this Commission on 29.1.2020 that Faiz-ur-Rehman has returned home. SHO, PS Pakistan Bazar, Karachi also submitted report which confirms the aforesaid position. </t>
  </si>
  <si>
    <t xml:space="preserve">Traced Person. It was informed at the hearing held in this Commission on New Karachi also submitted report which confirms the aforesaid position. </t>
  </si>
  <si>
    <t xml:space="preserve">Deleted. The complainant did not attend the hearings held in this case. In the FIR lodged after six years of disappearance no LEAs/ Intelligence Agency has been nominated. JIT concluded that the Missing Person has gone on his own. Hence the case is closed. </t>
  </si>
  <si>
    <t xml:space="preserve">Deleted. The case does not fall within the domain of enforced disappearance as a person namely Abdul Samad Barohi  has been nominated by the complainant in FIR No. 196/18 dated 13.12.2018 PS, Shahdad Pur, District Sangarh. </t>
  </si>
  <si>
    <t xml:space="preserve">Deleted . The missing person Mushtaq is fugitive from law and declared absconder by component Court of Jurisdiction. Thereafter the case does not fall within the domain of enforced disappearance. </t>
  </si>
  <si>
    <t xml:space="preserve">Mst. Salkan w/o Fazal Molla r/o Mohalla Nahrabad, Koza Bundi, Swat. (Mobile No. 0301-5087321). </t>
  </si>
  <si>
    <t xml:space="preserve">Deleted. The case has been deleted due to incomplete/fake address as the Police could not locate the complainant/ family in the absence of which no further proceedings could be initiated. The address given in the complaint is Swat which is incomplete. </t>
  </si>
  <si>
    <t>14/05/2019</t>
  </si>
  <si>
    <t xml:space="preserve">Traced Person. Father of the traced person Moulvi Muhammad Rangeen informed vide letter dated 2.5.2019 that he met his son Ayaz in the Internment Center Fort Salop. None appeared for hearing on 19.8.2019. Accordingly the case is closed as Muhammad Ayaz has been traced. </t>
  </si>
  <si>
    <t>Ghulam Muhammad r/o Sialkot Lari Adda.  (Mobile No. 0301-4021988 &amp; 0302-9499415 &amp; 0304-1122160).</t>
  </si>
  <si>
    <t xml:space="preserve">Traced Person. According to report dated 26.11.2020 received from Rep of MI Mujeeb-ur-Rehman Missing Person is confined in Internment Centre Ghallani since 3.11.2017. Family members of Mujeeb-ur-Rehman will be facilitated to see him in the Internment Centre as per rules and procedures. </t>
  </si>
  <si>
    <t>15/05/2019</t>
  </si>
  <si>
    <t>Mst Khaida r/o  House No. 88, Sector 13-D1, Jmali Town, Gulshan-e-Iqbal, Karachi. (Mobile No. 0345-2672881 &amp; 0308-2989359 &amp; 0347-6260270 &amp; 0316-1001937).</t>
  </si>
  <si>
    <t xml:space="preserve">FIR No. 106 dated. 17.4.2019 u/s 365/154 PPC, P.S Liaqatabad , Karachi  </t>
  </si>
  <si>
    <t>Traced Person. It was informed at the hearing held in this Commission on 5.8.2019 that Mr. Sohail is involved in Criminal Case vide FIR No. 122/2019 dated 11.5.2019  u/s 23(i) A, Sindh Arms Act  PS Kala Kot, Karachi. He was arrested and presently confined in Central Jail, Karachi.</t>
  </si>
  <si>
    <t>18/05/2019</t>
  </si>
  <si>
    <t xml:space="preserve">Muhammad Naseem, r/o B-784, Satellite Town, Rawalpindi. (Mobile No. 0333-5281537 &amp; 0300-9508710) </t>
  </si>
  <si>
    <t>20/05/2019</t>
  </si>
  <si>
    <t xml:space="preserve">Traced Person. It was informed at the hearing held in this Commission on 25.6.2019 that Muhammad Jameel has returned to home. The report submitted by the Police Officer SHO, KIA, Karachi. </t>
  </si>
  <si>
    <t>21/05/2019</t>
  </si>
  <si>
    <t xml:space="preserve">Traced Person. Rana Muhammad Ashraf appeared and his statement has been recorded on oath. According to him, he was picked up and taken away blind folded on 16/5/2019 to some unknown place. He also state that he was released on the next date i.e. 17/5/2019. </t>
  </si>
  <si>
    <t>23/05/2019</t>
  </si>
  <si>
    <t>Traced Person. Mr. Muhammad Abu Bakar has returned to home and appeared before the Commission on 31.8.2019 at Lahore. District Police Officer, Khushab also confirmed vide his Report No.  12281 dated 18.6.2019 that Muhammad Abu Bakar has been acquitted by ATC, Court on 8.7.2019.</t>
  </si>
  <si>
    <t>24/05/2019</t>
  </si>
  <si>
    <t xml:space="preserve">Traced Person. A report submitted by SHO PS, K.I.A, Karachi indicates that Muhammad Farooq Akram has returned home. A statement from Sobia Akram, sister of the Traced Person has also been produced at the hearing held on 10.8.2020. </t>
  </si>
  <si>
    <t>28/05/2019</t>
  </si>
  <si>
    <t xml:space="preserve">Subhan Allah son of Nooran Noor has appeared before the Commission, whose statement has been recorded in oath. According to him he was picked up and taken away blind- folded on 1.5.2019 by some unknown persons. He has further stated that he was kept for five days in a place and thereafter four months in another place. He was released on 29.12.2019. According to him he cannot identify the persons who took him away if they are brought before him. </t>
  </si>
  <si>
    <t>30/05/2019</t>
  </si>
  <si>
    <t xml:space="preserve">Traced Person. Muhammad Safdar Bashir has been traced. Report dated 8.9.2019 has been received on behalf of SSP/Regional Officer CTD, Rawalpindi. According to his report, Muhamamd Safdar Bashir has been arrested in case FIR No. 33 dated 23.6.2019 u/s 4/5 ESA read with 7ATA PS/CTD, Faisalabad. Copy of the FIR is also enclosed with the report, which is placed on record. </t>
  </si>
  <si>
    <t>31/05/2019</t>
  </si>
  <si>
    <t xml:space="preserve">31st May, 2019 </t>
  </si>
  <si>
    <t xml:space="preserve">Traced Person. It was informed at the hearing held in this Commission on 18.9.2019 that Muhammad Saeed has returned to home. He appeared before the Commission. The statement of the Traced Person has been recorded u/s 164 CrPC, which is available on record. The Mother and Brother of the traced person appeared before the Commission and confirmed the reported position. In this connection written statement submitted by Angoree Begum is placed on record. </t>
  </si>
  <si>
    <t>10/06/2019</t>
  </si>
  <si>
    <t xml:space="preserve">1st June, 2019 </t>
  </si>
  <si>
    <t xml:space="preserve">Traced Person. Yasir Abbas has been traced. Rep of CTD appeared for hearing on 16.9.2019 and furnished report dated 7.9.2019. According to this report Yasir Abbas has been arrested in case FIR No. 22, dated 21.6.2019 u/s 295-A, 298-A 11-W, 9/ATA PS, CTD, Rawalpindi. Copy of FIR is also enclosed with the report. Nasir Abbas s/o Yasir Abbas was also present. His statement has been recorded on oath. He has affirmed that Yasir Abbas has been traced, who has returned home after getting bail in case registered by CTD, Rawalpindi. </t>
  </si>
  <si>
    <t xml:space="preserve">Traced Person. Muhammad Umer Farooq has been traced. H has returned to home. Abrar-ul-Haq maternal uncle of Muhammad Umer Farooq is present. He has affirmed that Muhammad Umer Farooq has returned home. He further submitted that Muhammad Umer Farooq could not enter appearance before the Commission due to personal reasons. </t>
  </si>
  <si>
    <t xml:space="preserve">Traced Person.Mir Hussain Lehri, SSP, Kech entered appearance before the Commission on 20.9.2019 at Quetta, whose statement has been recorded on oath. He has deposed that Abdul Razzaq has returned to home and presently he is studying in Balochistan University. He has further stated that he contacted him on telephone who has confirmed that he has returned home. Report submitted by SSP, Kech is placed on record. </t>
  </si>
  <si>
    <t>11/06/2019</t>
  </si>
  <si>
    <t xml:space="preserve">Traced Person. During investigation by the Commission the Police could not locate the family as the address given in the report was Gulshan-e-Iqbal, Karachi which was incomplete. However, UNWGEID reported vide letter dated 4.3.2020 that source has informed that Rehman Dil Peer Bukhsh has been release4d and he has reached home safely. In view of above no further action is required the case is closed. </t>
  </si>
  <si>
    <t xml:space="preserve">Traced Person. It has been reported by WGEID that on the basis of the information provided by the source the alleged Missing Person was released (Case No. 10009095). Earlier to the investigation Agency could not locate the complainant as no address was given the report of WGEID. The case is closed. </t>
  </si>
  <si>
    <t>13/06/2019</t>
  </si>
  <si>
    <t>Muhammad Hanif, r/o Mohalla Bocha Khel, Village &amp; P.O  Brah Bandi, Swat. (Mobile No. 0348-9597059 &amp; 0300-5748750).</t>
  </si>
  <si>
    <t>14/06/2019</t>
  </si>
  <si>
    <t xml:space="preserve">Traced Person. Hameed Ullah entered appearance before the Commission on 12.9.202 at Quetta, whose statement has been recorded on oath. He deposed that he was picked up blindfolded and taken away probably on 10.10.2018 by unknown persons to an unknown place. That he was set free in between 6/7 Ramzan this year. He requested to close his case. Accordingly, the case stands disposed of. </t>
  </si>
  <si>
    <t>17/06/2019</t>
  </si>
  <si>
    <t xml:space="preserve"> Traced Person. Statement of Mst. Farkhanda Jaben the complainant, whose statement has been recorded on oath at the hearing on 30.12.2019. She has deposed that Anees Mehmood (Traced Person who  is her brother has returned home on 26.7.2019 and thereafter he went to Saudi Arabia where he was employed. Accordingly Anees Mehmood is no more a missing person, his case closed. </t>
  </si>
  <si>
    <t>18/06/2019</t>
  </si>
  <si>
    <t xml:space="preserve">Traced Person. Syed Hakeem Hussain has been traced. He appeared before the Commission. His statement has been recorded on oath. According to his statement he was abducted by unknown persons on 11.6.2019, whose faces were muffled. He was set free on 2.8.2019. He further submitted that he could not identify the persons involved and place where he was kept during the detention. </t>
  </si>
  <si>
    <t>19/06/2019</t>
  </si>
  <si>
    <t>21/06/2019</t>
  </si>
  <si>
    <t xml:space="preserve">Traced Person. Dolat Khan  complainant has appeared , whose statement has been recorded on oath. According to him Shah Wali, in case FIR No. 27/19 PS, CTD/Gujranwala is presently confined in District Jail Gujranwala. He also stated that he met his brother Shah Wali twice in Jail. </t>
  </si>
  <si>
    <t>22/06/2019</t>
  </si>
  <si>
    <t>Naimat Ullah 
s/o Sona Khan</t>
  </si>
  <si>
    <t>25/06/2019</t>
  </si>
  <si>
    <t xml:space="preserve">Deleted. It has been reported by ISI that Anwar Hussain was active member of TTS during Arms Operation in Swat and belongs to a hardcore .There is possibility to he might have escaped to Afghanistan. The family did not attend the hearings held in this Commission. </t>
  </si>
  <si>
    <t>Deleted. During the course of inquiry, no clue could be found  to indicate that any LEA/ Intelligence Agency was involved in disappearance of Muhammad Imran s/o Fida Muhammad The case has been categorized as the Missing Person has gone on his on by JIT as well as PTF. In the case statements of three witnesses were recorded but none of them was eye witness of the occurance. All stakeholders have denied arrest/custody of Muhammad Imran. Hence, not a case of enforced disappearance and closed.</t>
  </si>
  <si>
    <t>27/06/2019</t>
  </si>
  <si>
    <t xml:space="preserve">Traced Person. Rep of MI informed the hearing held on 22.1.2020 is presently confined in the Internment Center Kohat. The said information be communicated  to the complainant enabling him/ family members to see Hidayat Ullah in the Internment Center Kohat after completion if necessary prescribed formalities. </t>
  </si>
  <si>
    <t xml:space="preserve">30th  June, 2019 </t>
  </si>
  <si>
    <t xml:space="preserve">Farhad Khan s/o Sher Rehman </t>
  </si>
  <si>
    <t xml:space="preserve">FIR No 420.  dated 27.6.2019 u/s 365 PPC, P.S Shabqadar, District Charsadda </t>
  </si>
  <si>
    <t>01/07/2019</t>
  </si>
  <si>
    <t>Hafiz Muhammad Zeeshan 
s/o Khushi Muhammad</t>
  </si>
  <si>
    <t>Sikandar Hayat 
s/o Umer Hayat</t>
  </si>
  <si>
    <t xml:space="preserve">Deleted. JIT and PTF concluded in their reports that Sikandar Hayat has gone on his own. All stakeholders denied his arrest or apprehension. Neither any allegation levelled against any LEAs/ Intelligence Agencies nor any evidence came on record to infer to enforced disappearance. Hence, the case is closed. </t>
  </si>
  <si>
    <t>02/07/2019</t>
  </si>
  <si>
    <t xml:space="preserve">Muhammad Umair s/o Ali Akbar </t>
  </si>
  <si>
    <t xml:space="preserve">Deleted. There is no allegation against any LEAs/ Intelligence Agencies. All the seven persons who have been nominated in the FIR are private persons.The Commisssion have also perused the complaint and the application dated 2.8.2019 but there is absolutely nothing which can bring the matter within the ambit of enforced disappearance. </t>
  </si>
  <si>
    <t xml:space="preserve">Deleted. After investigation in this case and reports of JIT and PTF and DPO D.I. Khan it is concluded that Abdul Rehman s/o Peer Ghulam is a proclaimed offender vide History Sheet hearing No. 982/PAO cannot be a treated as the Missing Peson. Hence not a case of enforced disappearance. The case is closed. </t>
  </si>
  <si>
    <t>04/07/2019</t>
  </si>
  <si>
    <t>05/07/2019</t>
  </si>
  <si>
    <t xml:space="preserve">Hamza Al-Abbasi s/o Masood Ahmed Al-Abbasi </t>
  </si>
  <si>
    <t xml:space="preserve">Traced Person. It was informed at the hearing held in this Commission on 28.10.2020 that Hamza Ali Abbasi has returned home. The report submitted by DSP, Clifton, Karachi confirmed the aforesaid position. No further action is required. The case is closed. </t>
  </si>
  <si>
    <t xml:space="preserve">Traced Person. Javed Ahmed has entered appearance before the Commission on 15.11.2019 at Lahore. As the missing person is traced, therefore no further action is required to be taken by the Commission. </t>
  </si>
  <si>
    <t xml:space="preserve">Traced Person. Sulman has entered appearance before the Commission on 15.11.2019 at Lahore. As the missing person is traced, therefore no further action is required to be taken by the Commission. </t>
  </si>
  <si>
    <t>06/07/2019</t>
  </si>
  <si>
    <t xml:space="preserve">Orang Zaib s/o Muhammad Haleem </t>
  </si>
  <si>
    <t>Traced Person. District Police Officer, Mandi Bahauddin appeared before the Commission on 31.8.2019 and submitted statement of  Bushra Pareen wife of the Missing Person, who appeared before the DPO on 1.8.2019 along with traced person Orangzeb, who has returned to home.</t>
  </si>
  <si>
    <t xml:space="preserve">Traced Person. Muhamamd Azan has been traced. He has returned to home. Iftikhar Ahmed appeared before the Commission on 6.9.2019. His statement has been recorded on oath in which he stated that Muhammad Azan disappeared on 4.3.2019 and returned home on 19.9.2019. </t>
  </si>
  <si>
    <t xml:space="preserve">Traced Person. Mirza Abdul Ghafoor Baig has been traced. He has been arrested by CTD, Multan and presently confined in the District Jail Bahawalpur due to his involvement  in case FIRs No. 64 and 66 dated 12.6.2019 u/s 11-F (2) (6), 11-H, 11-1, 11-J, 11-N, 11-W (2) ATA 1997. Copies of FIRs have been furnished by SSP (Inv), Rawalpindi, which have been placed on record. </t>
  </si>
  <si>
    <t>08/07/2019</t>
  </si>
  <si>
    <t xml:space="preserve">Traced Person. Mirza Saleem Baig has been traced. He has been arrested by CTD, Multan and presently confined in district Jail Bahawalpur due to his involvement  in case FIRs No. 64 and 66 dated 12.6.2019 u/s 11-F (2) (6), 11-H, 11-1, 11-J, 11-N, 11-W (2) ATA 1997. Copies of FIRs have been furnished by SSP (Inv), Rawalpindi, which have been placed on record. </t>
  </si>
  <si>
    <t>Sher Bahadur, r/o Najmeel Shah, Khanzaad Gaan, P.O Yousaf Khel, Uper Mohmand Agency.  (Mobile No. 0346-4292414).</t>
  </si>
  <si>
    <t>11/07/2019</t>
  </si>
  <si>
    <t xml:space="preserve">Traced Person. Mr. Hazrat Wali Kakar, AC Pashin submitted JIT report dated 26.8.2020, wherein it has been stated that Najeeb Ullah has returned home. Najeeb Ullah s/o Allah Nazar has entered appearance before the Commission whose statement has been recorded on oath. Since Najeeb ullah has been traced and no more a Missing Person, therefore, no further proceedings are required to be taken by the Commission. Hence, the case is closed. </t>
  </si>
  <si>
    <t xml:space="preserve">Traced Person. Mukhtar Zaman has been traced. He has returned to home and appeared before the Commission. His statement has been recorded on oath. He has stated that that he was abducted on  4.7.2019 and set free after 10 days. </t>
  </si>
  <si>
    <t>12/07/2019</t>
  </si>
  <si>
    <t>Deleted. At the hearing held in this case Assistant Commissioner, Dasht District Mastung appeared and provided with profs that the Missing Person of Abdul Hanan is a criminal case rather than enforced disappearance.  No further action is required. The case is closed.</t>
  </si>
  <si>
    <t xml:space="preserve">Deleted. Statement of complainant Talal Muhammad has been recorded on oath among others. According to him Muhammad Bilal has neither been abducted nor arrested by any LEA/intelligence Agency. According to Section 2 (d) of the Regulation 2011 Enforced Disappearance/Missing Person means such person as he been picked up/taken into custody by one of the LEA/Intelligence Agency, working under civilian or military control, in a manner which is contrary to the provision of law. Keeping in view the above mentioned facts and circumstances the case does not fall within the ambit of enforced disappearance. </t>
  </si>
  <si>
    <t>13/07/2019</t>
  </si>
  <si>
    <t xml:space="preserve">Traced Person. Bakhat Wali has been traced. He has returned home. Khan Zali complainant appeared before the Commission on 23.9.2020, at Peshawar, whose statement was recorded on oath. According to his statement, Bakhat Wali who is nephew of the complainant disappeared on 20.6.2019 and returned home on 28.8.2020. Bakhat Wali could not disclose any details regarding the persons involved and the place where he was kept in detention. No further action is required . The case is closed. </t>
  </si>
  <si>
    <t xml:space="preserve">Traced Person. It has been informed at the hearing held in this Commission at Quetta that Abdul Sattar s/o Jalal Khan is confined in Mach Jail. Family informed. The case is closed. </t>
  </si>
  <si>
    <t>17/07/2019</t>
  </si>
  <si>
    <t xml:space="preserve">Atta-ur-Rehman, r/o, House No. 741-742, P.O Chowk Yadgar Mohallah Mullah Baro, Peshawar. (Mobile No. 0333-9126224) </t>
  </si>
  <si>
    <t xml:space="preserve">Traced Person. Atta-ur-Rehman complainant entered appearance before the Commission on 5.3.2021 and his statement was recorded on oath in which he deposed that he established contact with Muhammad Khan on 5th February, 2021 and further stated that Mukamal Khan had gone to Europe via Iran. He requested that the case may be closed. </t>
  </si>
  <si>
    <t xml:space="preserve">Traced Person. Shahab-ud-Din is confined in Internment Center Kohat as reported by MI at the hearing on 26.2.2020. Father of Shahab-ud-Din also confirmed. Family members of Shahab-ud-Din shall be facilitated to see him in the Internment Center Kohat as per rules and procedure. </t>
  </si>
  <si>
    <t xml:space="preserve">Deleted. The case has been closed due to incomplete address as the Police could not locate the complainant / family in which absence of which no further proceedings could be initiated. The address given in the UNWG information report is Clifton, Defence, Karachi which is incomplete. In t6he report submitted by SHO, PS Clifton, Karachi it has been submitted that no report is enter in this PS regarding the disappearance of Asif Hussain Siddiqui. When contacted by the investigation officer, one Mukesh Kuwar was found residing at the given address. Hence, the case is closed. </t>
  </si>
  <si>
    <t>23/07/2019</t>
  </si>
  <si>
    <t xml:space="preserve">Traced Person. It was informed at the hearing held in this Commission on 19.8.2019 that Tanzeem Ahmed Khan was arrested by PS Gadap City, Karachi in case FIR No. 58/2019 dated 25.2.2019 and presently confined in Centeral Jail, Karachi. Report of SHO concerned is available on record. </t>
  </si>
  <si>
    <t xml:space="preserve">Deleted. The case has been closed due to incomplete address as the Police could not locate the complainant / family in the absence of which no further proceedings could be initiated. The address given in the UNWG information report is Village in Jaro, which could be found SHO Eidgah Police Station in the Jurisdiction whereof the incident stated to have occurred submitted report that no incidence of abduction was reported to the Police. Even District Police Officer, Awaran could not locate the family. WGEID may provide further information to proceed further in the matter. </t>
  </si>
  <si>
    <t>Traced Person. Tehsildar Khuzdar entered appearance before the Commission on 19.9.2019 at Quetta, whose statement has been recorded on oath. Statement of Khair Jan Traced Person has also been recorded. Statement of Deputy Commissioner Khuzdar is also on record  in which he stated that Khair Jan was taken away by Army Personnel and he was set free after 3 / 4 months.</t>
  </si>
  <si>
    <t>FIR No. 434 dated 7.8.2019 u/ s  365 PPC PS Mattani Peshawar</t>
  </si>
  <si>
    <t xml:space="preserve">Deleted. Complainant Mughal Baz appeared before the Commission on 3.3.32021 and stated that there is no allegation any of LEAs/ Intelligence Agency and that the sole purpose for making application to the Commission was to carry out investigation. Not being a case of enforced disappearance, it stands deleted. </t>
  </si>
  <si>
    <t xml:space="preserve">Traced Person. It was informed at the hearing held in this Commission on 22.8.2019 that Mirza Arslan Baig has returned to home. In this connection statement of Mst. Shehnaz Naseem w/o Mirza Kawar Hussain is available in record stating that her son who went missing in 2015 returned to home after one month. However she could not inform the Police in time. </t>
  </si>
  <si>
    <t>24/07/2019</t>
  </si>
  <si>
    <t xml:space="preserve">WGEID </t>
  </si>
  <si>
    <t xml:space="preserve">Deleted. The case has been closed due to incomplete /fake address as the Police could not locate the complainant / family in the absence of which no further proceedings could be initiated. The address given in the UNWG information report is Flat No. 602 Gulshan-e-Johar, Karachi. However, SHO PS Mehmoodabad submitted in his report that efforts were made to traced the family for further investigation but could not succeed. Hence the case is closed. </t>
  </si>
  <si>
    <t xml:space="preserve">Deleted. The case has been deleted due to incomplete/fake address as the Police could not locate the complainant/ family in the absence of which no further proceedings could be initiated. SHO, Samanabad, Karachi submitted report that ASI visited the address given in WGEID report and recorded statements of Naseem Ejaz s/o Ejaz Wali who deposed that he was living at this address for the last 20 years and no persons with the name Abdul Khalid Khan over residual at the address. Hence the case is closed. </t>
  </si>
  <si>
    <t xml:space="preserve">Deleted. The case has been deleted due to incomplete/fake address as the Police could not locate the complainant/ family in the absence of which no further proceedings could be initiated. SHO, Samanabad, Karachi submitted report that ASI visited the address given in WGEID report and recorded statements of Naseem Ejaz s/o Ejaz Wali who deposed that he was living at this address for the last 20 years and no persons with the name Shahood Ansari over residual at the address. Hence the case is closed. </t>
  </si>
  <si>
    <t xml:space="preserve">Deleted. The case has been deleted due to incomplete/fake address as the Police could not locate the complainant/ family in the absence of which no further proceedings could be initiated. SHO, Samanabad, Karachi submitted report that ASI visited the address given in WGEID report and recorded statements of Naseem Ejaz s/o Ejaz Wali who deposed that he was living at this address for the last 20 years and no persons with the name Arshad Ansari over residual at the address. Hence the case is closed. </t>
  </si>
  <si>
    <t xml:space="preserve">Traced Person. It was informed at the hearing held in this Commission on 22.8.2019 that Shakeel nabi Bux was arrested by PS Super Market, Karachi in case FIR No. 122/2015 dated 22.8.2015 and later released on bail by competent Court of jurisdiction. In this connection report of SHO PS, PIB Colony, Karachi and statement of Shakeel Nabi Bux are available on record. </t>
  </si>
  <si>
    <t xml:space="preserve"> Traced Person. It was informed at the hearing held in this Commission on 19.9.2019 that Wasi Haider is involved in Criminal Case vide FIR No, 119/ 2015, PS Industrial Area. He was arrested and later released on bail by competent Court of Jurisdiction. The report dated 19.9.2019 submitted by SHO Brigade, Police Station, Karachi is placed on record.</t>
  </si>
  <si>
    <t xml:space="preserve">Traced Person. It was informed at the hearing held in this Commission on 19.9.2019 that Alam Wahab has returned to home. The statement of the Traced Person has been recorded u/s 164 CrpC, which is available on record. The report submitted by SHO, Surjani Town, Karachi is also placed on record. </t>
  </si>
  <si>
    <t xml:space="preserve">Deleted. The address given in the Report received from WGEID is House No. 64/14 Sector 11-D, New Karachi. As per report submitted by SHO PS New, Karachi. The statement of the neighbors of Muhammad Raees Qureshi was recorded who apprised that no person with the name of Muhammad Raees Qureshi ever resided at this house. The case is therefore deleted as correct address of the Missing Person is not available. </t>
  </si>
  <si>
    <t xml:space="preserve">Traced Person. It was informed at the hearing held in this Commission on 19.9.2018 that Imran Naseem has returned to home. SHO Paposh Nagar, PS, Karachi submitted his statement in which he deposed that he was arrested by  Mehmoodabad Police four years ago under the provision of Sind Arms Act. Later he was acquitted by competent Court of Jurisdiction. </t>
  </si>
  <si>
    <t xml:space="preserve"> Deleted. SHO, Awami Colony, Karachi submitted report at the hearing on 28.1.2020 that  the Investigation Officer visit the given address, met and recorded the statement of on Muhammad Mehboob Khan s/o Muhammad Ayub Khan (Mobile No. 0335-3080183) which despite that no person with the name of Muhammad Ijaz s/o Muhammad Idrees, ever resided in this house. No report complaint is entered in the record of PS regarding Missing Person Muhammad Ijaz. Hence, no further investigation is possible and the case is closed. </t>
  </si>
  <si>
    <t xml:space="preserve">Traced Person. It was informed at the hearing held in this Commission on 5.11.2019 that Fawad Ahmed Razmi Hussain has returned to home. He appeared before the Commission and his statement has been recorded u/s 164 CrPC, which is available on record. The report submitted by SHO Super Market, Karachi is also placed on record. </t>
  </si>
  <si>
    <t xml:space="preserve">Traced Person. The statement of the Traced Person recorded u/s 164 CrPC has been furnished by SHO, NKIA, Karachi. It has been mentioned in the statement that there were taken into custody by some Agency in the year 20105 and released after 2/3 days. </t>
  </si>
  <si>
    <t xml:space="preserve">Traced Person. The statement of the Traced Person recorded u/s 164 CrPC has been furnished by SHO, NKIA, Karachi. It has been mentioned in the statement that there were taken into custody by some Agency in the year 2015 and released after 2/3 days. </t>
  </si>
  <si>
    <t xml:space="preserve">Traced Person. The statement of the Traced Person recorded u/s 164 CrPC has been furnished by SHO, NKIA, Karachi. It has been mentioned in the statement that they were taken into custody by some Agency in the year 2015 and released after 2/3 days. </t>
  </si>
  <si>
    <t xml:space="preserve">House No. L-424, Sector 5-D, Maymarbad, Surjani Taown, Karachi. </t>
  </si>
  <si>
    <t xml:space="preserve">Traced Person. It was informed at the hearing held in this Commission on 14.11.2019 that Aslam Rehman has returned to home. He appeared before the Commission. The statement of the Traced Person has been recorded u/s 164 CrPC which is available on record. The report submitted by SHO, Surjani Town, Karachi is also placed on record. </t>
  </si>
  <si>
    <t xml:space="preserve">Deleted. The address given in the Report received form UN-WGEID is House No. 10/2, Sector 5-D, Nazimabad, Karachi. The Investigation Officer of PS Paposh Nagar, Karachi visited the house where he met Mr. Muhammad Iqbal Sohail (Mobile No. 0348-8707382) who is the owner of the house. He stated, in the statement recorded by I.O that Wasi Tariq Qamar never resided in this house. Hence no further action is required. Case is closed. </t>
  </si>
  <si>
    <t xml:space="preserve">House No. L-36, FC-5, Surjani Town, Karachi. </t>
  </si>
  <si>
    <t xml:space="preserve">Deleted. After the last hearing in this case on 21.1.2020 the case has been deleted due to incomplete address. SHO PS Surjani Town, Karachi has intimated in his report dated 21.1.2020 that the address mentioned in WGEID Report i.e L-36 FC-5 Surjani Town, Karachi is incomplete and family could not be located . Hence no further action is required. The case is deleted. </t>
  </si>
  <si>
    <t xml:space="preserve">House No. 78/4, Sector 5-G, New Karachi. </t>
  </si>
  <si>
    <t xml:space="preserve">Deleted. At the hearing held in this case at Sub-Office, Karachi on 201.2020 report was submitted by SHO, NKIA, District Central Karachi that where the given address was visited on individual namely Niaz Ahmed s/o Muhammad Rizwan (CNIC No. 62101-9304707-5)  was found residing there with his family since birth. He also stated that he knew any person namely Khurram Ahmed Shakri. Hence, no further action is possible. The case is deleted. </t>
  </si>
  <si>
    <t xml:space="preserve">Sanober Cottage Sector 11-K, North Karachi. </t>
  </si>
  <si>
    <t xml:space="preserve">House  No. 1504, Street No. 02, Sector 51-C, Korangi Karachi. </t>
  </si>
  <si>
    <t xml:space="preserve">Traced Person. Mr. Hazrat Wali Kakar, AC Pashin entered appearance before the Commission and submitted that Syed Ahmed Shah has been traced. Since Syed Ahmed Shah has been traced and no more a Missing Person, therefore no further proceeding are required to be taken by the Commission. Hence , the case is closed. </t>
  </si>
  <si>
    <t>25/07/2019</t>
  </si>
  <si>
    <t xml:space="preserve">Traced Person. Risaldar Liquat Ali, Tehsil Jao appeared before the Commission on 6.11.2019, whose statement has been recorded on oath. He has stated that according to his information Muhammad Farooq was arrested sometime back and later on he was released and thereafter he and his family members disappeared from their native place and gone some unknown place, while Muhammad Farooq had gone to Dubai. Rep of IB has produced copy of travel history of Muhammad Farooq s/o Lakhoo according to which he has left for Dubai form Jinnah International Airport Karachi on 2.10.2018 on Passport No. GX8965731. </t>
  </si>
  <si>
    <t xml:space="preserve">Traced Person. Mr. Muhammad Akbar Raisani SSP/Focal Person, IGP Balochistan appeared before the Commission at Quetta on 6.11.2019, whose statement has been recorded on oath. Statement of Risaldar Liquat Ali, Levies Awaran has also been recorded on oath, who has produced letter No. 4018 dated 24.9.2019 of Chairman Municipal Committee Gajjar Tehsil Mashkay, District Awaran, wherein it has been certified that Ghulam Rasool s/o Pahr Deen disappeared on 4.2.2016 and recovered on 24.1.2018 and thereafter he alongwith his family migrated to Iran and now ad days he is residing in Iran. </t>
  </si>
  <si>
    <t>Traced Person. Mir Husain Lehri, SSP, Kech entered appearance before the Commission on 20.9.2019 at Quetta , whose statement has been recorded on oath. He has produced statement of Muhammad Assa f/o Hammal Assa duly verified by Tehsildar Tump to the effect that Muhammad Assa has returned to home. SSP Kech further submitted in his report that  Hammal Assa remained missing for a few days and now returned to home.</t>
  </si>
  <si>
    <t>26/07/2019</t>
  </si>
  <si>
    <t xml:space="preserve">Traced Person. Syed Akhtar Shah appeared before the Commission on 29.3.2021, whose statement has been recorded on oath. He has deposed that on 11th August, 2016, when he was working in his Medical Store situated in Mustang Bazar some armed persons came and abducted him blindfolded and taken to some unknown place. He has further submitted that he was set free on 9.2.2021 and reached home. He has further deposed that he cannot identify those persons who took him away. No further action is required. The case is closed. </t>
  </si>
  <si>
    <t>FIR No. 1103 dated 19.8.2019  u/s 365 PPC, PS Faqeerabad, Peshawar.</t>
  </si>
  <si>
    <t xml:space="preserve">Deleted. Muhammad Alam Khan brother of Noor Ullah has appeared before the Commission on 6.1.2020 at Quetta, whose statement has been recorded on oath. He has deposed that Noor Ullah disappeared on 29.12.2008, when he was going to Mandi and his motorcycle was received by him from the Police Station, Satellite Town. He has further deposed that in his complaint made before the Commission there in no allegation against any LEAs/Intelligence Agency and that he has not leveled and allegation against any Government Agency during the past 11 years. Accordingly to Regulation 2 (d) “Enforced Disappearance/ Missing Person” means such persons as he has been picked up/taken into custody by one of the law enforcement/ Intelligence Agencies, working under the civilian or military control, in a manner which is contrary to provision of Law. Keeping in view the circumstances of the case, the case hardly falls within the ambit of enforced disappearance, therefore closed. </t>
  </si>
  <si>
    <t xml:space="preserve">Traced Person. SSP (Inv), Quetta informed at the hearing held in this case at Quetta in 16.9.2019 that private person are involved in the murder of Imtiaz Ahmed, whose dead body which was recovered from a well/karez on 20.7.2019 was handed over to the complainant / family after identification by them. </t>
  </si>
  <si>
    <t>29/07/2019</t>
  </si>
  <si>
    <t>21406-6264758-2
Mother CNIC No.</t>
  </si>
  <si>
    <t xml:space="preserve">Traced Person. Ahmed Said entered appearance before the Commission, whose statement was recorded on oath, in which he deposed that he surrendered himself to Pak Army and after keeping in detention for five months, they handed over him to Police. Thereafter he remained in detention in Dagar Jail about one year and in the meanwhile his case remained under trial Anti-Terrorism Court at Swat which acquitted him. Now he was at home and earning his live hood. </t>
  </si>
  <si>
    <t xml:space="preserve">Traced Person. Farman Khan has been traced, he has returned to home. In this connection a report dated 30.10.2019 from IB has been received which is available on record, perusal whereof shows that Farman Khan has returned to home. File be consigned to record after compilation. </t>
  </si>
  <si>
    <t xml:space="preserve">Traced Person. It was informed at the hearing held in this Commission on 26.11.2019 that Shafi-ur-Rehman has returned to home. Rep of Intelligence Bureau (IB) submitted in his report that as per ground check, the subject missing person is fasadi minded and belongs to poor family. Reportedly, he had links with Inayat @ ghenat @ Malangy late group of Dardar Mamozai of Upper Orakzai. According to information, he has been declared “Grey” by JIT and sent to Bannu Prison. However after 18th month’s imprisonment he was released and returned to home. </t>
  </si>
  <si>
    <t>30/07/2019</t>
  </si>
  <si>
    <t xml:space="preserve">Traced Person. Rep of Intelligence Bureau submitted his report that individual got Jihadi training from TTM that he was picked by Mohammad Rifles he was imprisoned for 6 years. In February, 2019 he was released from Mardan Jail and presently he is at his native area. SDPO, District Mohmand also confirmed the position as stated herein before.  </t>
  </si>
  <si>
    <t>Traced Person. Mian Shaukat Bacha has been traced. Inspector /IO Muhammad Rafique appeared before the Commission on 30.9.2019. His statement has been recorded on oath. According to his statement Mian Shaukat Bacha has returned to home and is presently at Saudi Arab.  Mian Pir Baash Bacha, father of Missing Person was also present, who confirmed the said position.</t>
  </si>
  <si>
    <t xml:space="preserve">Traced Person.  Qaiser Ali has been traced. He has returned home. Hidayat-ur-Rehman, Inspector/IO of the case appeared before the Commission on 19.9.2019, who has furnished letter No. 748-S, dated  6.9.2019 on behalf of DSP (Inv) wherein it is mentioned that Qaiser Ali has returned home. </t>
  </si>
  <si>
    <t xml:space="preserve">Traced Person. Qaiser Ali s/o Namdar Khan has been traced. He has returned to home. Inspector Hidyat-ur-Rehman appeared before the Commission and  produced letter No. 8578/GB dated 17.9.2019 from DPO, Swabi who confirmed that Qaiser Ali was present in his native Village. </t>
  </si>
  <si>
    <t xml:space="preserve">Traced Person. Abdul Rasheed b/o Abdul Rahman Traced Person appeared before the Commission on 17.2.2021. His statement was recorded on oath in which he deposed that his brother was missing since 3.2.2015. He further stated that he met Abdul Rahman in the Internment Centre at Malakand three month ago. Hence, the case is closed. </t>
  </si>
  <si>
    <t xml:space="preserve">Traced Person. Inspector/ SHO CTD, Lahore appeared before the Commission on 03.08.2021 his statement was recorded on oath in which he affirmed that Umer Farooq died in Police encounter vide case FIR No. 15 dated10.01.2015 u/s 324/353 PPC 13/20/65 AO read with 7 ATA, 3/4/6 ESA, PS Barki, Lahore. Ashraf Khan brother of Umar Farooq confirmed the position stated in the reports and deposed that he and parents visited grave of Umar Farooq and they not want disinterment of the grave. </t>
  </si>
  <si>
    <t xml:space="preserve">Traced Person. Ulfat Zaman has appeared in person before the Commission, whose statement has been recorded on oath. According to him he was picked up and taken away blind-folded from his house on 6.3.2019, detained in the Central Jail Attock for a period of three months and then set free. </t>
  </si>
  <si>
    <t>31/07/2019</t>
  </si>
  <si>
    <t xml:space="preserve">Traced Person. Ghulam Rasool, Inspector/IO of the case entered appearance before the Commission on 20.9.2019 at Quetta. He has produced statement of Muhammad Arif s/o Qadir Baloch Traced Person recorded by the Police on 5.9.2019 u/s 161 Cr.PC wherein he has stated that he was abducted five months ago alongwith three other persons namely Zubair, Sudheer and Nadir Ali, by the persons some of them were armed in two Vigo vehicles who took them away blindfolded. He further stated that he was set free after three months at Raees Goth, Karachi, from where he has reached home. </t>
  </si>
  <si>
    <t xml:space="preserve">Traced Person. It was informed at the hearing held in this Commission on 23.8.2019 that Abid Jan has returned to home. In this connection, statement dated 19.8.2019 by Muhammad Abid Jan is available on record stating that he got annoyed with home maters and left the home with his brother Aqib Khan however returned to home after a few days. </t>
  </si>
  <si>
    <t>01/08/2019</t>
  </si>
  <si>
    <t>02/08/2019</t>
  </si>
  <si>
    <t xml:space="preserve">Traced Person. Rep of MI appeared before the Commission at Peshawar on 14.9.2019 and submitted report that Rafte Gul is confined in Internment Center Alizai. Fazal Gul, complainant was also present. He has been apprised of status of the case. Family members of Rafte Gul shall be facilitated to see him in the Internment Center Alizai as per rules and procedures. </t>
  </si>
  <si>
    <t>03/08/2019</t>
  </si>
  <si>
    <t xml:space="preserve">Traced Person. It was informed at the hearing held in this Commission on 08.07.2020 that Qari Muhammad Noman has returned home. The statement of the Traced Person has been recorded u/s 164 CrPC, which is available on record. The aforesaid position has also been confirmed in the report submitted by SHO, Shahreh-e-Faisal, Karachi. </t>
  </si>
  <si>
    <t>05/08/2019</t>
  </si>
  <si>
    <t>06/08/2019</t>
  </si>
  <si>
    <t>Muhammad Nageen Khan, r/o Medan Kamber, Tehsil Lal Qilla, Midan, P.O Kamber, District Upper Dir, KPK. (Mobile No.  0308-8473885 &amp; 0301-8182277).</t>
  </si>
  <si>
    <t xml:space="preserve">Deleted. It has been observed that in the Proforma / Complaint there is no allegation against any LEAs/ Intelligence Agency. During the course of investigation no clue could be found that any LEAs/ Intelligence Agency was involved in disappearance of Syed Zameer. The case has been categorized as "Missing Person" has gone on his own by JIT as well as PTF. The complainant was summoned twice for recoring his statement but none entered appearance despite issuance of notices. Hence no further action is requiured. The case is closed. </t>
  </si>
  <si>
    <t>08/08/2019</t>
  </si>
  <si>
    <t>Traced Person. Syed Akhtar Hussain Bukhari has been traced. In this connection, I.O  has produced statement recorded by Magistrate Islamabad u/s 164 CrPC, Affidavit given by father of the Traced Person Syed Akhtar Hussain Bukhari recorded u/s 161 CrPC and copy of Daily Entry No. 8 dated 8.12.2019 PS Karachi Company, have also been furnished. The case is disposed of.</t>
  </si>
  <si>
    <t>09/08/2019</t>
  </si>
  <si>
    <t xml:space="preserve">Deleted. The case does not fall within the ambit of enforced disappearance as Noor Aman Khan was suffering from mental ailment and went on his own, therefore further proceedings by the Commission will be a futile exercise. However Police will continue its investigation in accordance with law. The case is accordingly closed. </t>
  </si>
  <si>
    <t>10/08/2019</t>
  </si>
  <si>
    <t>21/08/2019</t>
  </si>
  <si>
    <t xml:space="preserve">Traced Person. Muhammad Usman Latif has been traced. He has returned home. Abdul Latif father of Muhammad Usman Latif appeared before the Commission on 10.1.2020, whose statement has been recorded on oath. He has stated that his son was abducted on 6.7.2019 while travailing by taxi from Kahuta to Rawalpindi by unknown armed persons. He was kept at some at some unknown place, however, he has returned home on 16.12.20149. He was set free at Kahuta. He has also stated that his son in not in a proper health. He has alos requested to take legal action against the froup involved in disappearance of his son. However, he could not furnish further details. </t>
  </si>
  <si>
    <t>Muhammad Sibtain s/o  Muhammad Ramzan</t>
  </si>
  <si>
    <t>Fozia Bibi, r/o  House No. 67, Street No. 08, Rajput Colony, Jahangir Road, Rawalpindi. (Mobile No. 0315-5258233)</t>
  </si>
  <si>
    <t xml:space="preserve"> Traced Person. Abid Hussain, who is relative of Saif-ur-Rehman has appeared before the Commission on 10.3.2020, whose statement has been recorded on oath. He has deposed that Saif-ur-Rehman has returned home on 7.3.2020 and presently he has gone to his native village Khanaspur, Ayubia. </t>
  </si>
  <si>
    <t>26/08/2019</t>
  </si>
  <si>
    <t xml:space="preserve">Traced Person. Abdullah entered appearance before the Commission on 12.9.2020 at Quetta, whose statement has been recorded on oath, in which he deposed that he was picked up blindfolded and taken away probably on 10.10.2018 by unknown persons who kept him in a room at an unknown place. That he was set free on 19th March this year at Noshki. He requested that since he had returned home back his case might be closed. The case is disposed of. </t>
  </si>
  <si>
    <t>27/08/2019</t>
  </si>
  <si>
    <t xml:space="preserve">Deleted. SP (Inv), Jehlum has submitted that the meeting of JIT was held in 24.10.2019 and the case has been categorized as “the Missing Person has gone on his own”. Statement of SP (Inv) has been recorded on oath. In his statement SP (Inv) has deposed that Hafiz Sageer Ahmed Qadri was suffering from mental disease and previously also he disappeared on 2/3 occasions and later on returned home. The complainant and daughter of the Missing Person also confirmed. Hence not a case of enforced disappearance. </t>
  </si>
  <si>
    <t xml:space="preserve">Traced Person. Muhammad Essa has been traced. He has returned home on 31.12.2019. IO/ ASI Muhammad Raees of PS/ Karachi Company, Islamabad appeared before the Commission on 3.3.2020, whose statement has been recorded on oath. He has deposed that statement of Muhammad Essa has been recorded u/s 161 Cr.PC. He has furnished copy of same for record/ perusal of the Commission. According to the statement of IO, Muhammad Essa has returned home on 31.12.2019. </t>
  </si>
  <si>
    <t xml:space="preserve">Traced Person. Muhammad Afzal, complainant is present, whose statement has been recorded on oath. He has deposed that Mst. Zarqa Bibi is his aunt. He has stated that he has learnt through people of village that Mst. Zarqa Bibi along with other family members was lifted and taken away forcibly on 15.6.2019, but after two days other family members were released, while Mst. Zarqa Bibi was kept in detention. Now she has also been set free about one week ago and has returned to home. </t>
  </si>
  <si>
    <t xml:space="preserve">Deleted. In this case JIT / PTf concluded that the Missing Person has gone on his own. Muhammad Iqbal (Brother) appeared before the Commission on 12.07.2021 and concluded that no allegation was levelled against any LEAs / Intelligence Agency. Accordingly, the case does not fall within the ambit of enforced disappearance. Hence, the case is closed. </t>
  </si>
  <si>
    <t>28/08/2019</t>
  </si>
  <si>
    <t xml:space="preserve"> Traced Person. The dead body of Muhammad Jamil was found. At the last meeting of the JIT was held on 16.1.2020 and in the JIT report it is mentioned that, “According to his medical reports reasons of his death is declared as died due to cardiac attack”.</t>
  </si>
  <si>
    <t xml:space="preserve">Traced Person. Mudasir Hafeez has been traced and appeared before the Commission on 12.10.2019. His statement has been recorded on oath. He has deposed that he was not abducted by anybody; rather he went to one of his relatives at his own and came back on 10.9.2019. </t>
  </si>
  <si>
    <t xml:space="preserve">Traced Person. Anwar Ali has been traced. Rep of MI appeared for hearing on 12.2.2020 affirmed that Anwar Ali is presently confined in the Internment Center Paitham, District Swat. Family members of Anwar Ali shall be facilitated to see him in the said Internment Center as per rules and procedures. </t>
  </si>
  <si>
    <t>31/08/2019</t>
  </si>
  <si>
    <t xml:space="preserve">Traced Person. The complainant Ibrar-ul-Haq appeared before the Commission on 1.10.2019, whose statement has been recorded on oath. According to him, his nephew Muhammad Umer Farooq has returned to home on 17.9.2019. He has also stated that Muhammad Umer Farooq did not identify those persons nor the place where he was kept. He has requested for closing the case. </t>
  </si>
  <si>
    <t>03/09/2019</t>
  </si>
  <si>
    <t>04/09/2019</t>
  </si>
  <si>
    <t>Traced Person. IO of the case stated that on 6.10.2019 it was transpired that one of alleged missing person namely Muhammad Ayub Khan Afridi had been murdered, whose dead body was found within the territorial jurisdiction of PS/Hangu City. The dead body of Muhammad Ayub Khan Afiridi  was found and the case u/s 302 PPC has already lodged with the concerned Police Station, therefore he in no more a missing person.</t>
  </si>
  <si>
    <t>06/09/2019</t>
  </si>
  <si>
    <t xml:space="preserve">FIR No. 439 dated 19.3.2019 U/s 365 PPC Ps East Cantt </t>
  </si>
  <si>
    <t xml:space="preserve">Mst.Sonia Mehwish, r/o House No. 123, Mohalla Hassan Colony, Nazimabad No.2,Karachi. (Mobile No. 0323-2299173 &amp; 0324-2426800). </t>
  </si>
  <si>
    <t xml:space="preserve">Deleted. After through investigation discussion at the hearings in the presence of brother of the Missing Person. It has been concluded that it is a case of kidnapping for ransom of Rs. 1,800,000/-. Hence not a case of enforced disappearance and stands closed. </t>
  </si>
  <si>
    <t xml:space="preserve">Traced Person. Yasin Ali SI of PS Sabzi Mandi appeared before the Commission. He furnished report dated 3.3.2020 along with statement of Javed Khan s/o Abdul Sattar recorded u/s 164 Cr.PC stating that Javed Khan was not abducted by anybody, rather he went to Lahore on his own and came back. Adil Khan complainant and Javed Khan Traced Person were also present, whose statement has also been recorded on oath. </t>
  </si>
  <si>
    <t xml:space="preserve">Deleted. After receipt of JIT/PTF report hearing was held on 27.12.2019 at which submitted affidavit and deposed that his son disappeared on his own will and nobody abducted him. Waheed Gul complainant further submitted in the affidavit that his complaint may be filed. Since the case does not fall within the ambit of the Enforced Disappearance therefore further proceedings by the Commission would be a futile exercise. The case is accordingly closed, however the investigation agency shall deal the case in accordance with law. </t>
  </si>
  <si>
    <t>11/09/2019</t>
  </si>
  <si>
    <t xml:space="preserve">Traced Person. Asim Iftikhar, SP CIA, Lahore attend appearance before the Commission on 21.1.2020 along with the traced person. No further action is required to be taken by the Commission. Name of Syed Kashif Hussain Abidi be deleted from the list of enforced disappearance. </t>
  </si>
  <si>
    <t>11/9/2019</t>
  </si>
  <si>
    <t>13/09/2019</t>
  </si>
  <si>
    <t>19/09/2019</t>
  </si>
  <si>
    <t xml:space="preserve"> Traced Person. Muhammad Ali uncle of Muhamamd Hussain has appeared whose statement has been recorded ion oath. According to him his nephew Muhammad Hussain is detained in Internment Center Malakand. He has also state that he along with mother and brothers of Muhammad Hussain met with him on 24.9.2019. Muhammad Hussain was in good condition. Family members shall be facilitated to see him in the Internment Center in accordance with rules and procedure. </t>
  </si>
  <si>
    <t>21/09/2019</t>
  </si>
  <si>
    <t>23/09/2019</t>
  </si>
  <si>
    <t xml:space="preserve">Deleted. IO/SI of the case entered appearance, whose statement has been recorded on oath. He has deposed that in case FIR No. 141 dated 15.04.2019 u/s 365 PPC, PS/ UStarzai District Kohat. No such evidence came on record that any LEAs/ Intelligence Agency was involved in abduction/ disappearance of Zaheer Abbas. He also submitted that during the course of investigation, it revealed that a group of swindlers, comprising three persons namely Mansoor Ali, Shahzad and Ghulam Shabbir, is found involved in the instant case, against whom challan u/s 420/34 PPC was submitted before the relevant Court. Hence it is not a case of enforced disappearance and stand closed. </t>
  </si>
  <si>
    <t>24/09/2019</t>
  </si>
  <si>
    <t xml:space="preserve"> Traced Person. Muhammad Aslam Khan father of Sami Ullah has appeared whose statement has been recorded ion oath. He has deposed that Sami Ullah was disappeared from house on 1.8.2018, who has returned home on 28.11.2019. He has further deposed that Sami Ullah has told to him that he was picked up and taken away blindfolded by some unknown persons due to suspicion. Statement of Sami Ullah was got recorded u/s 164 Cr.PC before Judicial Magistrate Sorab. </t>
  </si>
  <si>
    <t>26/09/2019</t>
  </si>
  <si>
    <t>Traced Person. Focal Person, Balochistan Police DSP(Inv), Quetta and father of Allah Noor appeared before the Commission on 1.4.2022 at Quetta. All confirmed that Allah Noor had returned home.  No further action is required. The case is closed.</t>
  </si>
  <si>
    <t xml:space="preserve">Traced Person. Abdul Ghani s/o Rasool Bux appeared before the Commission at Quetta on 25.08.2021, whose statement was recorded on oath in which he deposed that he was abducted on 13.03.2019 by 5/6 muffled faces unknown persons who kept him at some unknown place and set free on 8.04.2021. No further action is required. The case is closed. </t>
  </si>
  <si>
    <t xml:space="preserve">Traced Person. Muhammad Shah s/o Jalat Khan appeared before the Commission at Quetta on 4.11.2019, whose statement has been recorded on oath. According to him he was picked up and taken away by four persons blindfolded to some unknown place. He has further stated that after 73 days he was set free and he returned to home. </t>
  </si>
  <si>
    <t xml:space="preserve">Mustafa Hussain s/o Yousaf Hussain </t>
  </si>
  <si>
    <t>30/09/2019</t>
  </si>
  <si>
    <t xml:space="preserve">Traced Person. The cognizance of the issue was taken by the Commission and various directions were issued to  all the stakeholders by means of letter dated 30.9.2019. Mr Ahmad Nawaz, Addl. SP , Sheikhupura  has entered appearance before the Commission on 15.11.2019 and stated that Agha Muhammad Kumail has returned to home. </t>
  </si>
  <si>
    <t xml:space="preserve">Traced Person. Muhammad Waseem Abbasi has been traced. He has returned home. Abdul Manan Abbasi, who is brother of Muhammad Waseem Abbasi entered appearance before the Commission on 10.1.2020, whose statement has been recorded on oath. He has deposed that his brother Muhammad Waseem Abbasi disappeared on 11.9.2019 from his home at Murree and returned home on 11.12.2019. Report dated 10.1.2020 has alos been received from CPO, Rawalpindi which confirms the aforesaid position. </t>
  </si>
  <si>
    <t>01/10/2019</t>
  </si>
  <si>
    <t>04/10/2019</t>
  </si>
  <si>
    <t xml:space="preserve">Traced Person. IO/SI Abdul Khaliq has appeared before the Commission on 27.2.2020, whose statement has been recorded on oath. According to him Israr Ahmed has returned home and in his regard statement of Israr Ahmed and his father Muhammad Akhlaq were recorded u/s 164 Cr.PC. He has produced copies of the statements . He further submitted that Israr Ahmed went to Karachi without intimation to his family members. </t>
  </si>
  <si>
    <t xml:space="preserve">Traced Person. Mir Wais has been traced. Rep of MI appeaed for hearing on 13.2.2020, who has affirmed that Mir Wais is confined in Internment Center, Lakki Marwat. Saeed Muhammad complainant/ brother of Mir Wais also appeared, who has apprised of status of the case. He also affirmed that family members have already met Mir Wais at Internment Center Lakki Marwat. </t>
  </si>
  <si>
    <t xml:space="preserve">Traced Person. Muhammad Feroz Shah has been traced. Rep of MI appeared before the Commission on 17.12.2019 and furnished report dated 17.12.2019 intimating that Muhammad Feroz Shah s/o Khursheed Anwar Khan was confined in the Internment Center Fizaghat, District, Swat. Family members shall be facilitated to see him in the Internment Center as per rules and procedures. </t>
  </si>
  <si>
    <t>07/10/2019</t>
  </si>
  <si>
    <t>09/10/2019</t>
  </si>
  <si>
    <t xml:space="preserve">Traced Person. Abid Hussain has been traced. Haq Nawaz, the complainant, who is brother of Abid Hussain is present. His statement has been recorded on oath. He deposed that his brother Abid Hussain has been traced. He is presently at Bashir Town, Phool Nagar, Qasur, where he is working in Tiens, a Chinese Medicines Company. He is in contact with him telephonically. He further stated that his brother disappeared on his own, he was not abducted by anybody. </t>
  </si>
  <si>
    <t xml:space="preserve">Traced Person. The cognizance of the issue was taken by the Commission and various directions were issued to all the stakeholder by means of letter of even number dated 10.10.2019. Talah Rahim Traced Person has entered appearance before the Commission on 15.11.2019 at Lahore and stated that he went in his own. In view of what has been mentioned hereinabove no further action is required to be taken by the Commission. </t>
  </si>
  <si>
    <t>10/10/2019</t>
  </si>
  <si>
    <t xml:space="preserve">Traced Person. The cognizance of the issue was taken by the Commission on 10.10.2019 and various directions were issued to all the stakeholders by means of letter of even number dated 10.10.2019. A written report in this regard has been furnished perusal whereof shows that Abdul Rehman has returned back and left the house on his own. Accordingly it was not a case of enforced disappearance. </t>
  </si>
  <si>
    <t xml:space="preserve">Muhammad Yafis Naveed Hashmi s/o Muhammad Naveed Hashmi </t>
  </si>
  <si>
    <t xml:space="preserve">Traced Person. Rep of MI appeared before the Commission on 3.2.2021 submitted report dated 8.2.2021. According to this report Qaisar Inayat Abbasi is confined in Internment Centre Malakand. In terms of Action (in aid of Civil Power Regulation, 2011. The case is closed. </t>
  </si>
  <si>
    <t>11/10/2019</t>
  </si>
  <si>
    <t>14/10/2019</t>
  </si>
  <si>
    <t xml:space="preserve">Traced Person. Rahim Ullah has been traced and entered appearance before the Commission on 4.3.2020. His statement has been recorded on oath. He has deposed that he was abducted on 30.8.2019 by some unknown persons and was set free after four months and five days. He, however could not give further details regarding persons involved and the place of detention. </t>
  </si>
  <si>
    <t>16/10/2019</t>
  </si>
  <si>
    <t xml:space="preserve">Traced Person. Fida Hussain has been traced he has returned home. Muhammad Hussain b/o  Fida Hussain traced person has entered appearance before the Commission on 19.12.2019, his statement has been recorded on oath. He has stated that his brother disappeared on 13.10.2019 at Chakdara check-post who returned on 8.12.2019. Due to illness he could not make appearance before the Commission. </t>
  </si>
  <si>
    <t xml:space="preserve"> Traced Person. Kabir Hussain Shah appeared before the Commission on 12.12.2019, whose statement has been recorded on oath, in which he stated that neither he was abducted nor taken away by any person. He further added that on account of business crisis he had gone to Karachi, and his father lodged complaint in his absence against some unknown persons. He submitted that he came back from Karachi on 20.11.2019. </t>
  </si>
  <si>
    <t>18/10/2019</t>
  </si>
  <si>
    <t xml:space="preserve">Fir No.332, Dated 05.10.19, u/s 365 PPC, P.S Lohi Bher, Islamabad.
</t>
  </si>
  <si>
    <t>19/10/2019</t>
  </si>
  <si>
    <t>21/10/2019</t>
  </si>
  <si>
    <t xml:space="preserve">Deleted. After a number of hearings, it has been concluded that the Missing Person was a drug addict, he had no links with Jihadi Organisation, all agencies have denied his apprehension/custody. Accordingly, the case does not fall within the domain of enforced disappearance. Hence closed.  </t>
  </si>
  <si>
    <t>25/10/2019</t>
  </si>
  <si>
    <t xml:space="preserve">Traced Person. It was informed at the hearing held in this Commission on 19.11.2019 that Amir Hussain has returned to home. The statement of the Traced Person has been recorded u/s 164 CrPC in which he has stated that he went to Faisalabad, Punjab at his own and none abducted him which is available on record. Wife of the traced person also appeared before the Commission and confirmed the reported position. </t>
  </si>
  <si>
    <t xml:space="preserve">Traced Person. Hamid Mehmood complainant / cousin of Muhammad Imran has appeared before the Commission on 19.12.2019, whose, statement has been recorded on oath. He has deposed that Muhammad Imran is his cousin, who disappeared on 29.8.2019. Later he came to known from his native tow district Khushab that Muhammad Imran was missing on his own due to some family affairs. He has also submitted and affidavit before the Commission duly attested by the Oath Commissioner that Muhammad Imran is no more a missing person. </t>
  </si>
  <si>
    <t xml:space="preserve">Traced Person. Mir Hussain Lehri, SSP, Kech has appeared before the Commission on 100.1.2020 at Quetta, whose statement has been recorded on oath. He has stated that Aqeel Ahmad who was picked up from his shop of spare parts at Mand Soro on 19.1.2019, was released two months ago and has returned home. It has further been stated that now a days he has gone to Karachi in connection with his business. </t>
  </si>
  <si>
    <t>29/10/2019</t>
  </si>
  <si>
    <t xml:space="preserve">Traced Person. Muhammad Amin, Naib Tehsildar District Kech has appeared before the Commission on 10.1.2020 at Quetta, whose statement has been recorded on oath. He has stated that Faiz Muhammad s/o Muhammad Yousaf who kidnapped on 20 March, 2019 has returned home six months ago. He has produced letter No. 407/JB dated 7 Jan, 2020 from DC, Turbat and Memo No. 11/RB dated 2 Jan, 2020 from Tehsildar Turbat confirming the aforesaid position. </t>
  </si>
  <si>
    <t xml:space="preserve">Traced Person. Abdul Waheed has appeared before the Commission on 8.1.2020 at Quetta, whose statement has been recorded on oath. He has stated that on 11th July, 2018, when he was going to Dolu Baba Chishma for taking bath, he was intercepted by some men in a vehicle and they took him away to an unknown place and set fee on 6.7.2019. He further stated that he cannot identify those persons who picked up and taken away, even if they are brought him. </t>
  </si>
  <si>
    <t xml:space="preserve">Traced Person. Haji Juma Khan Kurd appeared before the Commission on 03.04.2021, whose statement was recorded on oath in which it was deposed that Abdul Hai Khan Kurd returned home. No further action is required. The case is closed. </t>
  </si>
  <si>
    <t xml:space="preserve">Traced Person. Ruhul Ameen father of missing person has appeared, before the Commission on 16.12.2019, whose statement has been recorded in oath. He deposed that his son Waqar-ul-Ameen disappeared on 20.12.2017. FIR was lodged in Police Station Nishtar Colony, Lahore on his repot. After 100 days of his disappearance, he was informed that his has been detained in Kot Lakhpat Jail as a result of registration of three FIRs against him, but he has been acquitted by the Anti. Terrorist Court from three of the cases. Father of the Missing Person has further added that now his son has returned home. </t>
  </si>
  <si>
    <t xml:space="preserve">Traced Person. According to report of MI, Muhammad Ibrahim is detained in the Internment Center Fizaghat. The complainant is required to avail further remedy in accordance with law and rules if so desired. </t>
  </si>
  <si>
    <t xml:space="preserve">Deleted. After thorough investigation by DIG (East), Karachi and SP (Inv), Quetta it is concluded that neither the place of occurrence nor eye witness of the abduction has been intimated by the complaint. Therefore, the case does not fall within the ambit of enforced disappearance. The case is closed.      </t>
  </si>
  <si>
    <t>Ghulam Qadir, r/o Kuladand Bala, Umarzai,  Anel, District Charsadda. (Mobile No. 0332-5316382).</t>
  </si>
  <si>
    <t>30/10/2019</t>
  </si>
  <si>
    <t xml:space="preserve">Traced Person. According to report of MI, Muhammad Abu Bakar is detained in the Internment Center Fizaghat. The complainant is required to avail further remedy in accordance with law and rules if so desired. </t>
  </si>
  <si>
    <t xml:space="preserve">Janat Gul, r/o District Lower Dir,Tehsil Tehmadara, Serai bali, District Lower Dir. (Mobile No. 0348-8708448) </t>
  </si>
  <si>
    <t xml:space="preserve">  Traced Person. Nawaz Ahmed appeared before the Commission on 13.12.2019, whose statement recorded on oath. A letter bearing No. NP (IBD)-174/INV/1464 dated 6.11.2019 has also been received from Mr. Atif Sultan TI (M) Naval Provost Marshal stating that “ Apropos reference, missing report pertaining to Ishaq Muhammad Police Constable of Pakistan Navy was lodged at your kind office on 25 October, 2019 for further legal formalities. It is informed that  captioned individual concerned back safely on 30 October, 2019.</t>
  </si>
  <si>
    <t xml:space="preserve">Traced Person. Mr. Sohaib Ashraf, DPO Bahawalpur is present, whose statement has been recorded in oath. He has deposed that Muhammad Awais was released from Central Jail Bahawalpur on 25.4.2019. He also stated that since Muhammad Awais was wanted to CTD, Lahore in FIR No. 13/23/2019 dated 20.4.2019, therefore the said Muhammad Awais was taken into custody by CTD Lahore after getting his transit remand from ATC Court, Bahawalpur. DPO Bahawalpur further submitted that Muhammad Awais was presently confined in PS/ Shahdara, Lahore in the aforesaid FIR and the case is pending adjudication before the Court of ATC, Lahore. </t>
  </si>
  <si>
    <t>FIR No. 664 dated 21.12.19  u/s 365 PPC PS Shaikh Maltoon, Mardan</t>
  </si>
  <si>
    <t>31/10/2019</t>
  </si>
  <si>
    <t xml:space="preserve">Traced Person. According to report of MI, Gul Zaman is detained in the Internment Center Fizaghat. The complainant is required to avail further remedy in accordance with law and rules if so desired. </t>
  </si>
  <si>
    <t xml:space="preserve">Traced Person. According to reports of MI, Muhammad Naeem is detained in the Internment Center Fizaghat. The complainant is required to avail further remedy in accordance with law and rules if so desired. </t>
  </si>
  <si>
    <t>04/11/2019</t>
  </si>
  <si>
    <t xml:space="preserve">Traced Person. Ayaz Arif b/o Jamal Abdul Nasir appeared before the Commission on 20.2.2021 and his statement was recorded on oath in which he deposed that he submitted application that his brother disappeared on 15.10.2019. He further deposed that Jamal Abdul Nasir has returned home by himself. </t>
  </si>
  <si>
    <t xml:space="preserve">Traced Person. Qurban Ali uncle of Ali Raza appeared before the Commission on 6.1.2020 at Quetta, whose statement has been recorded on oath in which he has stated that there nominated accused namely Abdul Rasheed, Muhammad Qasim and Ghulam are involved in the abduction of Ali Raza and they are facing trial. He has further stated that he has not leveled against any LEAs/ Intelligence Agency. Hence, not a case of enforced disappearance. </t>
  </si>
  <si>
    <t xml:space="preserve">Deleted. Keeping in view the conclusion drawn by JIT, affidavit furnished by Ubaid-ur-Rehman brother In-Law of Mohyiadin travel history furnished by IO and progress report given by it, IO is confirmed that Mohayiadin has gone to Afghanistan. There is no reason to continue the case further. Hence for the present the case is closed and in case anything new is brought to the notice of the Commission further action will be taken in accordance with law. </t>
  </si>
  <si>
    <t xml:space="preserve">Traced Person. Muhammad Suleman has been traced. He appeared before the Commission on 23.9.2020 at Peshawar. His statement has been recorded on oath in which he stated that he was taken away by some unknown persons on 15.6.2019 and was set free at Rashakai Interchabge on 25.2.2020 form Rashakai he returned home. He however could not gibe further details regarding the persons involved and the place of detention. No further action is required. The case is closed. </t>
  </si>
  <si>
    <t>06/11/2019</t>
  </si>
  <si>
    <t>07/11/2019</t>
  </si>
  <si>
    <t xml:space="preserve">Traced Person. Abu Zar has been traced, he is presently confined in District Jail, Sargodha. Siraj IO /SI of PS Agha Jani Shah (AMJS) District Peshawar is present whose statement has been recorded on oath. He has deposed that father of the Missing Person came to Police Station AMJS and lodged report vide DD Sr. No. 7 dated 25/12/2019 and disclosed that his son was arrested by CTD Faisalabad in case No, 591 (59) dated 17.12.2019 u/s 7ATA r/w 4/5 ESA PS CTD Faisalabad and is presently confined in District Jail Sargodha. IB has also reported that An Zar is confined in District Jail Sargodha. </t>
  </si>
  <si>
    <t xml:space="preserve">Traced Person. It was informed at the hearing held in this Commission on 10.07.2020 through report of JIT that Tamraiz Khan appeared before JIT on 06.07.2020 in his statement recorded u/s 164 CrPC he stated that he went to go Karachi with his friends and returned on 18.03.2020. No further action is required. The case is closed. </t>
  </si>
  <si>
    <t>08/11/2019</t>
  </si>
  <si>
    <t xml:space="preserve">Deleted. Despite issuance of notices on 07.04.2021 and 20.08.2021 Radi Gul, complainant did not turn up. In these   circumstances the case is closed as not being a case of enforced disappearance. </t>
  </si>
  <si>
    <t>09/11/2019</t>
  </si>
  <si>
    <t>11/11/2019</t>
  </si>
  <si>
    <t>13/11/2019</t>
  </si>
  <si>
    <t xml:space="preserve">Traced Person. Syed Murtaza Jan b/o Syed Kaleem Shah appeared before the Commission on 7.11.2020, whose statement was recorded on oath, in which he deposed that Syed Kaleem Shah returned to home two days back. He further stated that Syed Kaleem Shah went to Afghanistan and the he used to go to that country for labour in the past. That he was not kidnapped by anyone but himself went to Afghanistan. No further action is required. The case is closed. </t>
  </si>
  <si>
    <t>14/11/2019</t>
  </si>
  <si>
    <t xml:space="preserve">Traced Person. Taimoor Khan has been traced. He is presently confined in the Internment Center Lakki Marwat. Muhammad Latif Khan father of Missing Person also deposed that his son was confined in the Internment Center Lakki Marwat, where his son Shoaib Khan met him twice. Similarly according to report received from Rep of MI, Taimoor Khan is confined in the Internment Center Lakki Marwat. </t>
  </si>
  <si>
    <t xml:space="preserve">Deleted. The JIT meeting was held on 17.3.2020 the case was categorized as Missing Person has gone on his own. Reports of ISI, MI and CTD are to the extent that Muhammad Suleman was not in their custody. The complainant Muhammad Yahya also appeared before the Commission whose statement was recorded on oath in which he deposed that he had not levelled any allegation against any LEA/ Intelligence Agency. Hence not a case of enforced disappearance. </t>
  </si>
  <si>
    <t>16/11/2019</t>
  </si>
  <si>
    <t xml:space="preserve">Traced Person. Farman Khan Traced Person appeared before the Commission on 17.9.2020 at Lahore and stated in a categoric manner that he was never abducted by anyone. Be that as it may no further action is required to be taken by the Commission. The case is closed. </t>
  </si>
  <si>
    <t>19/11/2019</t>
  </si>
  <si>
    <t xml:space="preserve">Deleted. Circumstance and facts of the case indicate that there is absolutely nothing on the basis whereof it can ne inferred that the matter does fall within the domain of Enforced Disappearance. According to Regulation 2011 ‘Enforced Disappearance Missing Person means such persons as has been picked up/ taken into custody by one of law enforcement/ Intelligence agencies, working under civilian or military control, in a manner which is contrary to the provision of law.  Since the case does not fall within the ambit of the Enforced Disappearance, therefore no further proceeding is required to be taken by the Commission. The case is accordingly closed. </t>
  </si>
  <si>
    <t>02/12/2019</t>
  </si>
  <si>
    <t>03/12/2019</t>
  </si>
  <si>
    <t xml:space="preserve">Traced Person. It was informed at the hearing held in this case of Peshawar on 15.9.2020 that Shair Abbas did not disappear rather his brother namely Himat Khan disappeared, who also returned home also appeared before the Commission.  </t>
  </si>
  <si>
    <t xml:space="preserve">Muhammad Suleman s/o Muhammad Yousaf </t>
  </si>
  <si>
    <t xml:space="preserve">Traced Person. Muhammad Yousaf father of Muhammad Suleman has appeared before the Commission on 28.2.2020, whose statement has been recorded on oath. He has deposed that he had lodged report of disappearance regarding his sn Muhammad Suleman, whos has returned home on 4.2.2020. He also submitted that his son was student of category-V at madressah and gobe thrice to Afghanistan. He was arrested with arms at the border by the FC. He further submitted that in this regard he has also got recorded his statement before the local Police. </t>
  </si>
  <si>
    <t>04/12/2019</t>
  </si>
  <si>
    <t>Internment centre; Released</t>
  </si>
  <si>
    <t xml:space="preserve">Traced Person. The Cognizance of the issue was taken by the Commission and directions were issued by means of letter dated 4.11.2019 to trace the whereabouts of Danyal Waleed. He has entered appearance before the Commission on 16.9.2020 at Lahore, however he was somewhat reluctant to highlight the factual aspects of the episode for certain obvious reasons. Be that as it may no further action is required to be taken by the Commission. </t>
  </si>
  <si>
    <t xml:space="preserve">Traced Person. Azeem Tariq Baig has entered appearance before the Commission on 21.1.2020 and highlighted factual aspects of the episode, but with somewhat hesitation for obvious reasons.  In view of the presence of Azeem Tariq Baig no further action is required to be taken by the Commission. Accordingly name of Azeem Tariq Baig be deleted from the list of Enforced Disappearance persons. </t>
  </si>
  <si>
    <t xml:space="preserve">Traced Person. Fazal Rabbi has been traced. He has returned home. Fazal Khan Complainant is present whose statement has been recorded on oath. He has deposed that Fazal Rabbi has returned home on 13.12.2019 and presently he is at Lahore. He further stated that Fazal Rabbi was set free near Karachi Airport safely. </t>
  </si>
  <si>
    <t>06/12/2019</t>
  </si>
  <si>
    <t xml:space="preserve">Traced Person. Syed Noor Ali entered appearance before the Commission on 1.9.2020, whose statement was recorded on oath. He deposed that on 16th November, 2018 when he was going from home to his shop, he was picked up, boarded in a vehicle and taken away by some unknown persons, who kept him in a room at unknown place from where he was set free after 14 months on 20.1.2020. Since Syed Noor Ali has been traced and he is no more a Missing Person, therefore, no further proceedings are required to be taken by the Commission. The case is closed. </t>
  </si>
  <si>
    <t>09/12/2019</t>
  </si>
  <si>
    <t>11/12/2019</t>
  </si>
  <si>
    <t>Traced Person. It has been reported that Ashraf Shahzad s/o Chaudhry Sain Muhammad is confined in Central Jail, Faisalabad in FIR No. ESA 4/5 1908, 7ATA, 1997  CTD, Fasilabad. Family of Ashraf Shahzad also confirmed. The case is closed.</t>
  </si>
  <si>
    <t>13/12/2019</t>
  </si>
  <si>
    <t xml:space="preserve">Traced Person. Elder brother of Muhammad Iftikhar namely appeared before the Commission at Lahore on 16.9.2020. He further stated that Muhammad Iftikhar is at home who could not make appearance before the Commission on account of ailment. Be that as it mat in view of his categoric statement no further action is required to be taken by the Commission. </t>
  </si>
  <si>
    <t>14/12/2019</t>
  </si>
  <si>
    <t xml:space="preserve">Traced Person. A careful scrutiny of record presented at the hearing held on 12.08.2021 reveal that Muhammad Ali Ahmed was trailed u/s 59 r/w Section 3 of Official Secret Act 1923 which culminated into his conviction as informed by the Commanding Officer concerned in black and white. In such view of the matter no further action is required to be taken by the Commission. </t>
  </si>
  <si>
    <t xml:space="preserve">Traced Person. Naqi Ullah b/o Nasrullah (missing person) is present and submitted that as a result of registration of criminal case against Nasrullah by means of FIR No. 60/19 dated 20.12.2019 PS /CTD Faisalabad, he is presently confined in the district Jail Sargodha. A written report in this regard has also been received from DPO, Sheikhupura. </t>
  </si>
  <si>
    <t xml:space="preserve">Traced Person, It has been submitted at the hearing on 17.6.2020 that Muhammad Idrees Khattak s/o Ilyas Khattak is in military custody under Pakistan Army Act Sec, 2(1) (d), official Secret Act 1923. Legal proceedings are under process.  According to the case stands disposed of. </t>
  </si>
  <si>
    <t>18/12/2019</t>
  </si>
  <si>
    <t>19/12/2019</t>
  </si>
  <si>
    <t xml:space="preserve">Traced Person. Mr. Zafar Mehmood b/o traced person and Rep of MI were in attendance on 15.6.2020, and submitted that the case in respect of Muhammad Ishtiaq s/o Barkat Ali is under trial in Field General Martial (FGCM). In this connection, MI has also submitted written report. Since Muhammad Ishtiaq has been traced, therefore no further action is required. </t>
  </si>
  <si>
    <t>21/12/2019</t>
  </si>
  <si>
    <t xml:space="preserve">Deleted. The case was thoroughly discussed at the hearing held in this case on 6.10.2020 . Circumstances and facts of the case indicate that there is absolutely nothing which can bring the matter within the domain of enforced disappearance. All stakeholders have submitted reports that Ghous-ud-Din was neither abducted nor in custody. Since the case does not fall within the ambit of enforced disappearance, therefore further proceeding by the Commission would be a futile exercise. The case is accordingly closed. </t>
  </si>
  <si>
    <t>27/12/2019</t>
  </si>
  <si>
    <t xml:space="preserve">Deleted. After thorough investigation it has been found that the address given in the complainant is fake as some other person is residing in House No. 129, Gulshan-e-Hydari, Karachi. No further proceedings are called for. The case is closed. </t>
  </si>
  <si>
    <t>28/12/2019</t>
  </si>
  <si>
    <t>01/01/2020</t>
  </si>
  <si>
    <t xml:space="preserve"> Traced Person. Waseem Ahmed s/o Muhammad Riaz is stated to be detained in District Jail Dera Ghazi Khan in case FIR No, 8 dated 20.7.2020 u/s 13/2/a/20/65, ATA/1997, 4/5 ESA PS CTD, District Dera Ghazi Khan, therefore, further proceedings are not required to be taken by the Commission at this stage. Father of the Traced Person has met him in District Jail Dera Ghazi Khan Accordingly, the case is closed. </t>
  </si>
  <si>
    <t xml:space="preserve">Hazrat Bilal s/o Abdal Muhammad </t>
  </si>
  <si>
    <t xml:space="preserve">Traced Person. It was informed at the hearing held in this Commission on 10.8.2020 that Majid Ullah is involved in Criminal Case Vide FIR no. 08/2020 dated 10.7.2020 u/s 11-U, 11I, 11N, ATA CTD, Faisalabad. He was arrested and presently confined in PS, CTD, Faisalabad. No further action is required. The case is closed. </t>
  </si>
  <si>
    <t>02/01/2020</t>
  </si>
  <si>
    <t xml:space="preserve">Traced Person. Mr Adam f/o Jameel Ahmed entered appearance before the Commission on 7.9.2020, whose statement has been recorded on oath in which he deposed that his son Jameel Ahmed who was abducted from Kalat was set free after nine months from where he recached home. He further requested that since his son returned home, therefore the case may be consigned to record. Since Jameel Ahmed has been traced and he is no more a Missing Person, therefore no further proceedings are required to be taken by the Commission at this stage. The case accordingly stands dispose of. </t>
  </si>
  <si>
    <t xml:space="preserve">Traced Person. SSP (Inv), Quetta appeared before the Commission on 1.9.2020 and submitted that Muhammad Gul has been traced. He further submitted that JIT meeting was held on 13.8.2020 at which the traced person appeared himself. Mr. Muhammad Gul also entered appearance before the Commission, whose statement was recorded on oath. Since Muhammad Gul has been traced and no more a Missing Person, therefore no further proceedings are required to be taken by the Commission at this stage. The case is closed. </t>
  </si>
  <si>
    <t xml:space="preserve">Deleted. The Commission has examined the JIT reports which concluded that the Missing Person has gone on his own. FIR in which no allegation against any LEAs any statement of the complainant Misal Khan f/o Zohaib Khan. The obvious conclusion is that it is not a case of enforced disappearance. Hence the case is closed. </t>
  </si>
  <si>
    <t xml:space="preserve">Deleted. In this case JIT and PTF concluded that the Missing Person has gone on his own. All stakeholders denied apprehension / custody of Anzer Gul. Bahadur Khan (Brother) was also recorded his statement on oath in which he stated that he had not levelled any allegation against LEAs. Hence not a case of enforced disappearance. </t>
  </si>
  <si>
    <t>03/01/2020</t>
  </si>
  <si>
    <t xml:space="preserve">Traced Person. It was informed at the hearing held in this Commission on 23.1.2020 that Rafique Ahmed has returned to home. The statement of the traced person has been recorded u/s 164 CrPC. In the statement he has conferred that Rafique Ahmed was not abducted by anyone and he went on his own. </t>
  </si>
  <si>
    <t xml:space="preserve">Traced Person. It was informed at the hearing held in this Commission on 23.1.2020 that Saddam Hussain has returned home. He wants missing on 19.12.2019 and returned to home on 1.1.2020. Ghulam Akbar (Brother) submitted in his statement that his brother was not abducted by anyone rather went on his own. </t>
  </si>
  <si>
    <t xml:space="preserve">FIR No. 04/2020 dated 01/01/2020 u/s 365 PPC PS Barakahu District Islamabad. </t>
  </si>
  <si>
    <t xml:space="preserve">Traced Person. Rep of MI appeared before the Commission for hearing on 19.04.2021 and submitted that "Suspect Molana Kizar Ahmed s/o Azmat Ali was in military custody and his field General Court Martial (FGCM) under Pakistan Army Act on espionage chages was under process. Muhammad Ilyas s/o Molana Kizar Ahmed was present and apprised of the status of the case. </t>
  </si>
  <si>
    <t>04/01/2020</t>
  </si>
  <si>
    <t>07/01/2020</t>
  </si>
  <si>
    <t>Asad  Iqbal Butt, r/o HRCP Sindh, Unit#8. First Floor, Ilaco House, Abdullah Haroon Road, Saddar, Karrachi, Pakistan (Mobile No. 0324-2292989).</t>
  </si>
  <si>
    <t>Asad  Iqbal Butt, r/o HRCP Sindh, Unit#8. First Floor, Ilaco House, Abdullah Haroon Road, Saddar, Karrachi, Pakistan (Mobile No. 0324-2292989)</t>
  </si>
  <si>
    <t xml:space="preserve">Traced person. It was found at the hearing on 23.1.2020, through letter dated 2.1.2020 of Human Rights Commission of Pakistan that she has returned home. </t>
  </si>
  <si>
    <t xml:space="preserve">Traced Person. It was informed at the hearing held in this Commission on 09.07.2020 that Fazal Badshah has returned home.  The statement of the Traced Person has been recorded u/s 164 CrPC. The report submitted by DSP, Clifton, Karachi and confirms the aforesaid position. </t>
  </si>
  <si>
    <t xml:space="preserve">Traced Person. SP (Inv), Peshawar appeared before the Commission and submitted that dead body of the Missing Person was found in the area of PS Akbar Pura on 10.6.2020. Since the dead body of Syed Rehman was identified and received, therefore no further action is required. The case is closed. </t>
  </si>
  <si>
    <t xml:space="preserve">Traced Person. It was informed at the hearing held in this Commission on 09.08.2021 that Faiz-ul-Rehman has returned home. Muhammad Nadeem brother of the traced person appeared before the Commission and confirmed the reported position as stated in the report of SDPO, Quaidabad Sub-Division, Karachi. </t>
  </si>
  <si>
    <t xml:space="preserve">Muhammad Uzair s/o Shaikh Muhammad Attique </t>
  </si>
  <si>
    <t xml:space="preserve"> Traced Person. It was informed at the hearing in this Commission on 17.3.2020 that Muhammad Uzair has returned to home. The report submitted and confirmed by the Police Officer SDPO, Azizabad, Karachi. Mrs. Reshma confirmed the aforesaid position. </t>
  </si>
  <si>
    <t>09/01/2020</t>
  </si>
  <si>
    <t xml:space="preserve">Traced Person. Sami Ullah has been traced. He appeared before the Commission on 2.3.2020. His statement has been recorded in oath. He has submitted that he was not abducted by anybody. On 27.12.2019 he went to Rawalpindi where his friend lives. He further stated that he returned home on 19.1.2020. </t>
  </si>
  <si>
    <t xml:space="preserve">Traced Person. Focal Person of FC/KP (N) is in attendance. Report dated 6.3.2020 has been received from HQ Frontier Corps KP (N) Peshawar wherein it is mentioned that Bismillah Khan s/o Gul Taan is confined in Internment Centre at Khar. MI report dated 23.10.2020 also confirms. Family members of Bismillah Khan will be facilitated to see him in the Internment Centre as per rules and procedure. </t>
  </si>
  <si>
    <t>11/01/2020</t>
  </si>
  <si>
    <t xml:space="preserve">Traced Person. Muhammad Khan has been traced. According to the statement received from Rep of MI in tabulated from, Muhammad Khan is presently confined in the Internment Centre Malakand. Family members of Muhammad Khan be facilitated to see him in the Internment Centre as per rule and procedure. </t>
  </si>
  <si>
    <t>13/01/2020</t>
  </si>
  <si>
    <t xml:space="preserve">Traced Person. The case was fixed for hearing on 25.8.2020 when Inspector Yaha PS Nasir Bagh, Peshawar entered appearance and submitted that Ishaque has returned to home. Statement of Inspector Ishaque has been recorded on oath. He has also produced copy of statement of Ishaque s/o Shad Rehman recorded u/s 164 Cr.PC by Mr. Slaeem-ur-Rehman Judicial Magistrate-III, Peshawar. Foregoing in view the case stands disposed of.  </t>
  </si>
  <si>
    <t xml:space="preserve">Deleted. In this case JIT has concluded that the Missing Person has gone on his own. As per investigation, he went missing from a mosque, where the Tableghi Jamat group was staying. There is no allegation against any LEA/Intelligence Agency. Hence not a case of enforced disappearance. The case is closed. </t>
  </si>
  <si>
    <t>15/01/2020</t>
  </si>
  <si>
    <t>17/01/2020</t>
  </si>
  <si>
    <t>20/01/2020</t>
  </si>
  <si>
    <t xml:space="preserve">Traced Person. Nasir Ullah s/o Jameer Ullah has entered appearance before the Commission on 28/04/2021 whose statement has been recorded on oath. He has deposed that he was abducted  on 30/11/2019 by unknown persons who kept at an unknown place. He has further deposed that he cannot identify the persons who abducted him. He has also stated that he was set free at Nowshera about 20/22 days ago and he returned home. No further action is required. The case is closed. </t>
  </si>
  <si>
    <t xml:space="preserve">Traced Person. Abdul Qadoos s/o Qasim Mansoor appeared before the Commission on 25.9.2020, whose statement was recorded on oath, in which he deposed that on 18.1.2020, while he was sitting at Teepu Market a Wagon was arrived and two persons sitting therin asked him to board in theri Vehicle, who took him to an unknown place and detained him there. Further deposed that he was set free on 11.9.2020 at Jillania Chowk Islamabad from where he returned tom home. No further action is required. The case is closed. </t>
  </si>
  <si>
    <t xml:space="preserve">Traced Person. It was informed at the hearing held in this Commission on 2.9.2020 that Sher Jan has returned home. The statement of the traced person has been recorded u/s 164 CrPC, which is placed on record. The report submitted by SHO, PS Airport, Karachi is placed on record. </t>
  </si>
  <si>
    <t>22/01/2020</t>
  </si>
  <si>
    <t>24/01/2020</t>
  </si>
  <si>
    <t xml:space="preserve">Traced Person IO/SI Zulfiqar Ali appeared before the Commission on 10.3.2020, whose statement has been recorded on oath. He has deposed that during the course of verification, it revealed that Faisal Shahzad has returned home. IO also submitted that he has also recorded statement of Faisal Shehzad which he presented before the Commission. According to the statement he had left home on his own due to domestic problems and now has returned home. </t>
  </si>
  <si>
    <t xml:space="preserve">Traced Person. Muhammad Imtiaz Anwar has been traced. He has returned home. Muhammad Ashraf, Inspector/ SHO PS Industrial area, Islamabad appeared before the Commission on 5.3.2020, whose statement has been recorded in oath. According to his statement Muhammad Imtiaz Anwar has returned home and presently he is Palandari AJ&amp;K. Due to rain in the area he has shown his inability to come to Islamabad, however and application has been received from the complainant whereby he has intimated that Muhammad Imtiaz Anwar has returned home. </t>
  </si>
  <si>
    <t xml:space="preserve">Traced Person. Ibrahim Khan has been traced. He has returned home and entered appearance before the Commission on 6.3.2020. His statement has been recorded on oath. He has deposed that he went to Peshawar on his own on 17.1.2020 and returned home on 29.1.2020. He also stated that he was not abducted by anybody. Abdullah complainant is also present and he also requested to close the case. </t>
  </si>
  <si>
    <t>03/02/2020</t>
  </si>
  <si>
    <t xml:space="preserve">Traced Person. Syed Abdul Rasheed s/o Syed Abdul Wajid appeared before the Commission on 06.04.2021 whose statement was recorded on oath in which he denied about his abduction and stated that de to some domestic scuffle with his brothers he himself left for Chaman and thereafter went to Afghanistan for labuor. In view of foregoing no further action is required. The case is closed. </t>
  </si>
  <si>
    <t xml:space="preserve">Traced Person. It was informed at the hearing held in this Commission on 17.2.2020 that Junaid Khadim is involved in criminal case vide FIR No. 20/2020 dated 20.1.2020. He was arrested and presently confined in Central Jail, Karachi. </t>
  </si>
  <si>
    <t>04/02/2020</t>
  </si>
  <si>
    <t xml:space="preserve">Traced Person. Khaista Rehman f/I Shafi Ullah traced person appeared before the Commission on 23.10.2020. His statement has been recorded on oath, in which he has deposed that his son has been traced and presently his son is in the internment Centre at Lakki Marwat. He further stated that he met his son on 30.9.2020 in the Internment Centre Lakki Marwat. In addition, report dated 23.10.2020 has been received from Rep of MI whereby presence of Shafi Ullah has been confirmed in Internment Centre at Lakki Marwat. Hence the case is closed. </t>
  </si>
  <si>
    <t xml:space="preserve">Traced Person. Moaz s/o Abdul Manaf has been traced. He is in attendance before the Commission and his statement has been recorded on oath. In his statement he could not furnish any details of his abduction except that some unknown persons who were in Civvies took him away from Shiwa Adda District, Swabi, who set him free after seven months. </t>
  </si>
  <si>
    <t>16202-7862006-5
Father CNIC</t>
  </si>
  <si>
    <t>07/02/2020</t>
  </si>
  <si>
    <t>08/02/2020</t>
  </si>
  <si>
    <t xml:space="preserve">Deleted. The case was discussed thoroughly at the hearing held on 10.07.2020/ It was observed that both JIT and PTF arrived at the conclusion that it is a case of kidnapping due to personal enmity. In facts five accused persons have been named in FIR No. 149 dated 21.02.2020 u/s 365 PPC PS Haripur. The does not fall in the ambit of enforced disappearance, hence closed. </t>
  </si>
  <si>
    <t xml:space="preserve">Traced Person. Muhammad Irfan has been traced. He appeared before the Commission on 2.3.2020. His statement has been recorded on oath. Muhammad Irfan has deposed that he was not abducted by anybody and he went to Lahore on his own will because his business was np to mark, Muhammad Imran complainant/ brother of Muhammad Irfan is present. He also requested to close the case as Muhammad Irfan has returned to home. </t>
  </si>
  <si>
    <t xml:space="preserve">Muhammad Din, r/o Village Kaian, Darra Haji Peer, Forward Kahuta, Branch of Motanwali, District Haveli, Azad Jammu &amp; Kashmir. (Mobile No. 0340-1509211). </t>
  </si>
  <si>
    <t>11/02/2020</t>
  </si>
  <si>
    <t xml:space="preserve">FIR No. 33/2020, Dated 12.03.2020, u/s 364PC, P.S City Bhamber, District Bhamber </t>
  </si>
  <si>
    <t>13/02/2020</t>
  </si>
  <si>
    <t>Traced Person.  District Bajour In-charge appeared before the Commission his statement was recorded on oath in which he deposed that Shah Faisal returned home. He furnished Shah Faisal’s statement. JIT report Para-13 in which it was mentioned that Shah Faisal was taken into custody by CTD and thereafter he was granted bail by ATC Timargara</t>
  </si>
  <si>
    <t xml:space="preserve">Traced Person. Mian Doran Shah, elder brother of Mehboob Shah appeared before the Commission on 16.9.2020 at Lahore and conceded that he met Mehboob Shah who was confined at internment Centre Lakki Marwat. Be that as it may in view of categoric statement of Mian Doran Shah no further action is required to be taken by the Commission. </t>
  </si>
  <si>
    <t>15/02/2020</t>
  </si>
  <si>
    <t>17/02/2020</t>
  </si>
  <si>
    <t xml:space="preserve">Traced Person. Hameed Gul was abducted in June, 2017 from Peshawar Airport, where he arrived from Musqat. There was no specific allegation against LEAs/Intelligence Agency. Case vide FIR No. 371 dated 13.7.2020 u/s 365 PPC Ps West Cant, Peshawar was registered. IO/SI Khizer Hayat appeared before the Commission and furnished report duly attested by SP (Inv), Peshawar that Hameed Gul was confined in Jandola Jail, North Waziristan and family members have met him in the Jail.  </t>
  </si>
  <si>
    <t>18/02/2020</t>
  </si>
  <si>
    <t>19/02/2020</t>
  </si>
  <si>
    <t xml:space="preserve">Traced person. Zahoor Ahmed appeared before the Commission on 27.11.2020, whose statement was recorded on oath, in which he stated that Abdul Qadoos has returned home. He has submitted that Abdul Qadoos was not taken away by any LEAs/Intelligence Agency and he went on his own. No further action is required. The case is closed. </t>
  </si>
  <si>
    <t>20/02/2020</t>
  </si>
  <si>
    <t>35403-7849413-5
Army No. 7114427</t>
  </si>
  <si>
    <t xml:space="preserve">Traced Person. Muzamil Hussain b/o Muhammad Shafique appeared before the Commission at Islamabad and his statement was recorded on oath in which he described suspicion that one Liaquat had killed his father. In his complaint/ statement he did not level any allegation against any LEA/ Intelligence Agency. All stakeholders have denied arrest/custody of Muhammad Shafique. Hence not a case of enforced disappearance. The case is closed.   </t>
  </si>
  <si>
    <t>21201-5446754-3
Father CNIC</t>
  </si>
  <si>
    <t>15602-4791668-9
Father CNIC</t>
  </si>
  <si>
    <t>21/02/2020</t>
  </si>
  <si>
    <t>24/02/2020</t>
  </si>
  <si>
    <t>42201-1584618-5
Brother CNIC</t>
  </si>
  <si>
    <t xml:space="preserve">Traced Person. It was informed at the hearing held in this Commission on 09.08.2021 that Usman Ali has returned home. The statement of the traced person appeared before the Commission and confirmed the reported position. DSP, Sukhar Sub-Division Malir also confirmed in his report. </t>
  </si>
  <si>
    <t xml:space="preserve">Traced Person. Habib Ullah has been traced. He is present before the Commission. His statement has been recorded on oath. According to his statement he was abducted on 26.01.2020 form Peshawar and was released after 5 months and 10 days. As Habib Ullah is no mora a missing person, hence no action is required. </t>
  </si>
  <si>
    <t>25/02/2020</t>
  </si>
  <si>
    <t>Traced Person. SP (Inv), Peshawar and father of Saeed Ahmad appeared before the Commission and informed that Saeed Ahmad was arrested by CTD, Faisalabad vide FIR dated 11.1.2021 u/s 4/5 ESA7-ATA of 1997. He was produced before the District Court , Faisalabad.  No further action is required. The case is closed.</t>
  </si>
  <si>
    <t>26/02/2020</t>
  </si>
  <si>
    <t>28/02/2020</t>
  </si>
  <si>
    <t>02/03/2020</t>
  </si>
  <si>
    <t>Ayesha Ashraf, r/o Ward No. 11, House No. 3155, Mohalla Islam Abad, Chunian, District  Kasur. (Mobile No. 0300-4389448).</t>
  </si>
  <si>
    <t xml:space="preserve">Traced Person. Mehar Inam Bari Traced Persson entered appearance before the Commission on 16.9.2020 at Lahore, however he was somewhat reluctant to furnish certain details qua the episode for obvious reasons. Be that as it may no further action is required to be taken by the Commission.   </t>
  </si>
  <si>
    <t xml:space="preserve">Traced Person. Sher Khan SI/ IO of the case appeared before the Commission on 16.9.2020 at Lahore and submitted that at the moment Haris Khan Missing Person was present at home who could not attend the Commission due to ailment. Be that it may in view of  categoric statement as made by the IO before the Commission no further action is required to be taken by the Commission.  </t>
  </si>
  <si>
    <t>07/03/2020</t>
  </si>
  <si>
    <t xml:space="preserve">Traced Person. Azhar Rehman entered appearance before the Commission on 16.9.202 at Lahore, however he was somewhat reluctant to furnish certain details qua the episode for obvious reasons. In view of what has been stated hereinabove no further action is required to be taken by the Commission.  </t>
  </si>
  <si>
    <t>10/03/2020</t>
  </si>
  <si>
    <t xml:space="preserve">Traced Person. Haseeb-ur-Rehman complainant appeared before the Commission on 14.9.2020 at Peshawar, whose statement was recorded on oath, in which he submitted that dead-body of Akbar Bilal was recovered during the night between 27/28 May, 2020 that he identified the dead-body and carried out burial. He further stated that he did not want to pursue the case further before the Commission. Accordingly, the case is closed.  </t>
  </si>
  <si>
    <t xml:space="preserve">Traced Person. It was informed at the hearing held in this Commission on 09.07.2020 that Muhammad Azeem Hanif has returned home. He appeared before the Commission along with his family members. The statement of the Traced Person has been recorded u/s 164 CrPC, which is available on record. The report submitted by SDPO, Liaqatabad also confirms the aforesaid position. </t>
  </si>
  <si>
    <t>11/03/2020</t>
  </si>
  <si>
    <t>FIR No. 41/2016. &amp;&amp;
FIR No. 393 dated 29.07.2020 u/s 365 PPC, PS Akora</t>
  </si>
  <si>
    <t>12/03/2020</t>
  </si>
  <si>
    <t>17101-5991000-9
Father CNIC</t>
  </si>
  <si>
    <t>17/03/2020</t>
  </si>
  <si>
    <t>31/03/2020</t>
  </si>
  <si>
    <t>Deleted. After through investigation the case has been concluded on that of Missing Person has gone on his own as he was abducted by some relatives due to dispute over a woman. All opportunities afforded to the complainant but there is no evidence to indicate the case as that of enforced disappearance.  No further action is required. The case is closed.</t>
  </si>
  <si>
    <t xml:space="preserve">Traced Person. SSP (Inv), Quetta appeared before the Commission and submitted that Ganj Bakhsh had been traced. SHO PS Saryab, Quetta also appeared whose statement was recorded on oath. Confirming that Ganj Bakhsh s/o Lal Bakhsh returned to home and now a days staying at his home at Khuzdar. He produced copies of relevant documents of Ganj Bakhsh u/s 161 CrpC, duly attested. </t>
  </si>
  <si>
    <t xml:space="preserve"> Traced Person. SSP (Inv), Quetta appeared before the Commission at 1.9.2020 and submitted that Jeand Baloch had been traced. He further submitted that JIT meeting was held on 13.8.2020 at which Jeand Baloch appeared himself.  Mr. Jeand Baloch also entered appearance before the Commission, whose statement was also recorded on oath. </t>
  </si>
  <si>
    <t xml:space="preserve">r/o, Lanjar Village in Tehsil Jhao, District Awaran, Balochistan, Pakistan. </t>
  </si>
  <si>
    <t xml:space="preserve">r/o, Sandum, Geshkor, District Awaran, Balochistan, Pakistan. </t>
  </si>
  <si>
    <t xml:space="preserve">Traced Person. Usman Ghani DSP (Legal) Lasbella appeared before the Commission on 10.9.2020 at Quetta, whose statement was recorded on oath, in which he deposed that Najeem Ahmed returned home on 7.2.2020. In support of his statement he produced statement of Najeem Ahmed. Report of SHO PS Hab City and report of SSP, Lasbela. As stated above the complaint was received from UNWGEID, it has been informed that as per information from the source the person has been released and WGEID has clarified the case in its 121 session. Accordingly, the case stands disposed of and file after compilation, be consigned to record.  </t>
  </si>
  <si>
    <t xml:space="preserve">Traced Person. The case was fixed for hearing on 9.9.2020 but neither anyone on behalf of Missing Person nor D.C Panjgur has appeared. As stated above, the complainant was received from UNWGEID. As per subsequently report received from UNWGEID, it has been informed that as per information form the source the person has been released and WGEID has clarified the case in its 121 Session. Accordingly, the case stands disposed of. </t>
  </si>
  <si>
    <t xml:space="preserve">Deleted. SP Barkhan was in attendance for the hearing on 22.10.2021 whose statement was recorded on oath. He has submitted that in the instant case three Jit meetings were held and the case was concluded as Kidnapping due to personal enmity for which reasons were recorded by JIT which indicate that it was a family matter. Accordingly, the case does not fall the ambit of enforced disappearance. The case is closed. </t>
  </si>
  <si>
    <t>18/03/2020</t>
  </si>
  <si>
    <t>20/03/2020</t>
  </si>
  <si>
    <t>FIR No. 564, dated 13.06.2020, u/s 365 PPC, P.S  Lahor, Swabi</t>
  </si>
  <si>
    <t>27/03/2020</t>
  </si>
  <si>
    <t xml:space="preserve">Traced Person. It has been informed at the hearing held in this Commission on 1.6.2020 that Imran Khan has returned home. The report submitted by SHO, PS Sharah-e-Faisal , Karachi has confirmed the aforesaid position vide report dated 19.3.2020. </t>
  </si>
  <si>
    <t xml:space="preserve">Traced Person. Zawar Hussain SI/Io of the case appeared before the Commission on 16.9.2020 at Lahore and submitted in a categoric manner that Abdul Ahad had returned back and presently residing at his home. The case is closed.  </t>
  </si>
  <si>
    <t>01/04/2020</t>
  </si>
  <si>
    <t>10/04/2020</t>
  </si>
  <si>
    <t xml:space="preserve">Traced Person. Syed Talawat Hussain has been traced. Rep of MI appeared before the Commission on 06.04.2021. He was submitted that Syed Talawat Hussain was facing trial by FGCM on espionage charges. Syed Rasheed Hussain brother also entered appearance, who was apprised of status of the case. No further action is required. The case is closed. </t>
  </si>
  <si>
    <t xml:space="preserve">Traced Person. Shams-ul-Haq b/o Missing Person and SDPO, Karachi appeared before the Commission on 18.2.2021 whose statements was recorded on oath in which he deposed that his brother Abdul Aziz Chang was abducted on 31.2.2021 and he was released on 1.1.2021. No further action is required. The case is closed. </t>
  </si>
  <si>
    <t>22/04/2020</t>
  </si>
  <si>
    <t>Mehboob Jahangir s/o Muhammad  Jahangir</t>
  </si>
  <si>
    <t xml:space="preserve">Traced Person. Mehboob Jahangir appeared before the Commission on 26.8.2020 and submitted that he returned home last week. He, however , could not furnish any details regarding persons involved and the place where JIT report also confirmed the aforesaid position. </t>
  </si>
  <si>
    <t xml:space="preserve">Traced Person. It was informed at the hearing held on 15-06-2021 at Lahore by the Investigation Officer that Ikram Ullah who is nominated accuse in various FIRs has been released on bail. Hence, no further action is required. The case is closed. </t>
  </si>
  <si>
    <t>05/05/2020</t>
  </si>
  <si>
    <t>06/05/2020</t>
  </si>
  <si>
    <t>07/05/2020</t>
  </si>
  <si>
    <t xml:space="preserve">Traced Person. Saeed Ulah has been traced he appeared before the Commission on 15.9.2020 at Peshawar, whose statement was recorded on oath. He has stated that he was taken into custody from Army check posy Bara Gate, Peshawar. Later he was set free at Quetta after about 5 months and wherefrom he returned home by bus. He has requested to close the case.  </t>
  </si>
  <si>
    <t xml:space="preserve">Sajad Ali s/o Wadan Ali </t>
  </si>
  <si>
    <t xml:space="preserve">Traced Person. Sajid Ali appeared before the Commission on 28.12.2020, whose statement recorded on oath, in which he deposed that he willingly went to Karachi on 14.11.2020 and returned home on 14.12.2020. He further added that application of his abduction was lodged with the Commission by his brother by concocting a story himself. No further action is required, the case is closed. </t>
  </si>
  <si>
    <t>12/05/2020</t>
  </si>
  <si>
    <t>19/05/2020</t>
  </si>
  <si>
    <t xml:space="preserve">Traced person. The case was fixed for hearing on 26.8.2020 when Qaiser Khan, SI, PS Agha Mirjani Shah, Peshawar entered appearance and submitted that Hazrat Bilal s/o Zahir Khan returned home his statement was recorded on oath. A report of confirmation from the applicant was also submitted by SP (Inv), Peshawar. </t>
  </si>
  <si>
    <t xml:space="preserve">Traced Person. Faheem Naeem has been traced. He has returned home as informed by the complainant who appeared before the Commission. He further stated that Faheem Naeem had gone to Gilgit along with his friends and returned home on 21.05.2020. </t>
  </si>
  <si>
    <t>20/05/2020</t>
  </si>
  <si>
    <t xml:space="preserve">Traced Person. Muhammad Naeem Khan appeared before the Commission at the hearing held on 15-06-2021. He was reluctant to indicate facts of the episode. Hence no further action is required. The case is closed. </t>
  </si>
  <si>
    <t>Gul Nazeer Khan, r/o Rangeena Goundi, Kadukor, P.O Zareef Kor, Tehsil Yakagand, District Mohmand.  (Mobile No. 0321-9184071).</t>
  </si>
  <si>
    <t xml:space="preserve">Deleted. Gul Nazeer Khan s/o Muhammad Nazeer appeared before the Commission on 18.4.2022 and deposed in his statement that his son was taken away by TTM Commander Noor Raees not abducted by Security Forces. Hence, not a case of enforced disappearance.  </t>
  </si>
  <si>
    <t>FATA
Mohmand</t>
  </si>
  <si>
    <t xml:space="preserve">Traced Person. Investigation Officer PS Dargai Malakand appeared before the Commission on 11.08.2021 and was recorded his statement on oath in which he deposed that Haji Abdul Rauf returned home. He produced statement of Haji Abdul Rauf. Ac Malakand also confirmed in his report submitted to the Commission. </t>
  </si>
  <si>
    <t xml:space="preserve">Traced Person. Mr. Muhammad Amin Naib Tehsildar, Rep of Deputy Commissioner Kech appeared before the Commission on 9.9.2020, whose statement was recorded on oath in which he deposed that Ghulam Ahmed was abducted by unknown persons on 24.4.2020 and was set free after two months. He also produced statement of Mst. Mehrang mother of Missing Person . Statement of Nawaz Ali Secretary Union Council Tump is submitted of his statement and JIT report dated 7.9.2020. The case accordingly stands dispose of. </t>
  </si>
  <si>
    <t>03/06/2020</t>
  </si>
  <si>
    <t xml:space="preserve">Traced Person. Rep of CTD, Quetta appeared before the Commission on 11.2.2021 at Quetta whose statement was recorded on oath, in which he deposed that Sana ullah s/o Muhammad Ishaque was arrested by CTD Chaman in case FIR No. 48/2020 u/s 4/5 ESA, 7 ATA PS CTD, Quetta and presently confined in Chaman Jail, where he is facing trail. </t>
  </si>
  <si>
    <t xml:space="preserve">Traced Person. Additional SP (Inv) Sheikhupura appeared before the Commission and submitted that Abdul Razaq returned home and entered appearance along with his elder brother before JIT. Accordingly, in view of this categoric statement given by Additional SP (Inv), Sheikhupura no further action is required to be taken by the Commission. The case is closed. </t>
  </si>
  <si>
    <t>17/06/2020</t>
  </si>
  <si>
    <t>27/06/2020</t>
  </si>
  <si>
    <t>Fazal Khan, r/o  Kashmiri Mohalla, Near Old Gala Mandi, Talagang, District Chakwal. (Mobile No. 0301-8929459 &amp; 0300-5780735).</t>
  </si>
  <si>
    <t xml:space="preserve">Traced Person. Muhammad Shabbir appeared before the Commission on 13.8.2020 and his statement was recorded on oath, in which he deposed that he was not abducted by anybody rather he went to his native village inn District Mohamand on his own and came back on 30.7.2020. As Muhammad Shabbir has been traced, he is no more a Missing Person, his case is accordingly closed. </t>
  </si>
  <si>
    <t xml:space="preserve">Traced Person. Muhammad Idrees f/o Muhammad Atif Traced Person entered appearance before the Commission on 14.9.2020, whose statement was recorded on oath. In his statement he deposed that Muhammad Atif has returned home on 11.9.2020/ As Muhammad Atif has been traced, he is no more a Missing Person and no further action is required to be taken by the Commission. The case is closed. </t>
  </si>
  <si>
    <t xml:space="preserve">Traced Person. DIG (Inv), Peshawar appeared before the Commission on 31.05.2021. Statement of ASI/ IO has been recorded by the Commission on oath in which he has deposed that Ali Haider has returned home. He produced statement of Ali Haider recorded u/s 164 CrPC. The case is closed. </t>
  </si>
  <si>
    <t>01/07/2020</t>
  </si>
  <si>
    <t xml:space="preserve">House No. 3, Street No. 01, Scoiety Walley Abad, Tehsil Gojra, District Toba Tek Singh. </t>
  </si>
  <si>
    <t xml:space="preserve"> Traced Person. The cognizance of the Issue was taken on 1st July, 2020 by the Commission and direction were issued by means of letter dated 1.7.2020 to traced and whereabouts of Muhammad Akarm. He has entered appearance before the Commission on 16.9.2020 at Lahore, he was some what reluctant to explain the factual position for certain obvious reasons. Be that as it may no further action is required to be taken by the Commission. The case is closed. </t>
  </si>
  <si>
    <t>02/07/2020</t>
  </si>
  <si>
    <t xml:space="preserve">Traced Person. Bilal Ahmed Nasar Missing Person entered appearance before the Commission, whose statement has been recorded on oath. He deposed that he left home himself on 17th June, 2020 and went to Khuzdar fort picnic and remained at a picnic point located at the distance of three hours drive from Khuzdar. He further deposed that mobile signals were not available at the place, therefore he could not inform to his home. He has further added that he left home without intimation, therefore his brother reported the matter to the Police. He further added that he was neither kidnapped by any one nor  taken away. Since Bila Ahmed Nasar has been traced and no more a Missing Person,  therefore no further proceedings are required to be taken by the Commission. Hence, the case is closed. </t>
  </si>
  <si>
    <t>Deleted. In this case JIT and PTF concluded that the Missing Person has gone his own. Denial report have been received from all stakeholders. Moreover, father and brother of the Missing Person deposed in his statement before the Commission that Missing Person has not alleged involvement of any LEAs/ Intelligence Agency.  No further action is required. The case is closed.</t>
  </si>
  <si>
    <t>03/07/2020</t>
  </si>
  <si>
    <t>04/07/2020</t>
  </si>
  <si>
    <t xml:space="preserve">Traced Person. Report of MI reported that Abdullah Saleh Ali is confined in Internment Centre, Lakki Marwat in terms of Action (in aid of Civil) Regulations, 2011. Father of the traced person who was present at the hearing informed. Family members will be facilitated to see him accordance with law. </t>
  </si>
  <si>
    <t xml:space="preserve">Traced Person. Rep of CTD Khushab appeared before the Commission on 28.10.2020. He has presented report No. 5011 dated 22.9.2020. According to this report Muhammad Abdullah s/o Abdul Rehman is in the custody of NAB, Islamabad. SP (Inv) Khushab also appeared and produced copy of letter No. 464/14/IW-2/NAB Rawalpindi/15844 dated 8.9.2020 from Muhammad Saleem Ahmed Khan Addl. Director confirming the aforesaid position. The case is closed. </t>
  </si>
  <si>
    <t>11/07/2020</t>
  </si>
  <si>
    <t xml:space="preserve">Traced Person. Muhammad Ashraf TASI/IO Hinjerwal appeared before the Commission on 28.8.2020. His statement was recorded on oath. According to his statement Syed Qaisar Abbas Shah has been traced and presently confined in Dera Ghazi Khan Jail where his mother has already met him. As Syed Qaiser Abbas Shah has been traced, he is no more a Missing Person, his case is closed accordingly disposed of. </t>
  </si>
  <si>
    <t xml:space="preserve">Under InvestigationTraced Person. Complainant and DSP (Upper Dir) appeared for hearing before the Commission on 24.06.2021. It was informed that Sana Ullah has returned home. Further stated that he went to Karachi as his own and nobody abducted him. The case is closed. </t>
  </si>
  <si>
    <t>14/07/2020</t>
  </si>
  <si>
    <t xml:space="preserve">Traced Person. Muhammad Ayub entered appearance before the Commission on 17.9.2020 at Lahore, however he was reluctant to highlight the factual aspects of the episode for certain obvious reasons. Be that as it may no further action is required to be taken by the Commission. The case is closed.  </t>
  </si>
  <si>
    <t xml:space="preserve">Traced Person. Report if General Headquarters, General Staff Branch, MI Directorate dated 30.7.2020 was received on 4.8.2020 wherein it is indicated that Saif Ullah s/o Abdul Wakeel is interned in the Internment Centre at Alizai. Shah Wazir b/o Saif Ullah was present at the hearing on 13.8.202 apprised of the status of the case. </t>
  </si>
  <si>
    <t xml:space="preserve">Traced Person. Munir Ahmed, Assistant Commissioner Nall appeared before the Commission on 8.2.2021 at Quetta on the behalf of DC Khuzdar and submitted that Muhammad Azum has been traced on 12.1.2021. He further deposed that Muhammad Azum was arrested in case FIR No. 4/2020 dated 29.3.2020 u/s 124-A and 153-A PPC Levies Thana Graisah , District Khuzdar and presently he is confined in Judicial Lockup at Central Jail Khuzdar. </t>
  </si>
  <si>
    <t xml:space="preserve">Traced Person. Zahid Hussain s/o Naik Muhammad entered appearance before the Commission on 8.9.2020 at Quetta, whose statement has been recorded on oath, in which he stated that he was picked up blindfolded, therefore he was unable identify those persons who picked him and taken away. Later he was released and he reached home on 31.7.2020. The case is closed. </t>
  </si>
  <si>
    <t>15/07/2020</t>
  </si>
  <si>
    <t xml:space="preserve">Traced Person. I.O of the case submitted at the hearing on 19.9.2020 that Amad Jamal has returned home. In this connection he produced copy of the daily diary entry No. 7 dated 17.9.2020 of PS Mathra. The complainant did not appear before the Commission. In view of report and categoric statement, no furthr action is required . The case is closed. </t>
  </si>
  <si>
    <t xml:space="preserve">Traced Person. It was informed at the hearing held in this Commission on 2.9.2020 that Dawood Jan has returned home. The statement of the traced person has been recorded u/s 164 CrPC, which is placed on record. The report submitted by the Police Officer SHO, Airport is placed on record.  </t>
  </si>
  <si>
    <t>18/07/2020</t>
  </si>
  <si>
    <t>20/07/2020</t>
  </si>
  <si>
    <t xml:space="preserve">Deleted. The case has been categorized as “the Missing Person has gone on his own” by JIT as well as PTF. Muhammad Khan father of Gull Bashar appeared before the Commission at Islamabad and recorded his statement on oath in which he conceded no allegation was leveled against any LEAs/Intelligence Agency. Moreover, no clue could be found that any LEA/Intelligence Agency was involved in disappearance of Gull Bashar. All stakeholders have denied arrest/ detention of Gull Bashar. Hence not a case of enforced disappearance. The case is closed. </t>
  </si>
  <si>
    <t xml:space="preserve">Traced Person. MI Directorate report dated 30.7.2020 indicates that Muhammad Ejaz s/o Abdul Khaliq is interned in the Internment Centre Lakki Marwat. Abdul Razzaq uncle of Traced Person was present before the Commission and apprised of the status of the case. No further action is required. The case is closed. </t>
  </si>
  <si>
    <t>21/07/2020</t>
  </si>
  <si>
    <t xml:space="preserve">Traced Person. It was informed at the hearing held on 16-06-2021 that Muhammad Sajjad was arrested by Security Forces under offered Secrete Act and law will takes its own causes. No further action is required. The case is closed. </t>
  </si>
  <si>
    <t xml:space="preserve">Traced Person. It was informed at the hearing in this Commission on 30.11.2020 that Mehfooz Ismail Notkani has returned home. The report submitted by SDPO Shaheed Fazil, Karachi confirms the aforesaid position. </t>
  </si>
  <si>
    <t xml:space="preserve">Deleted. After issuance of process to all concerned the case was under investigation by all concerned including a JIT meeting by DC Kech Manzoor Ahmad father of the Waqar Baloch appeared before the Commission on 5.11.202 at Quetta, whose statement was recorded on oath. He deposed that on 20.6.2020 Waqar Baloch was present at home and went out on a phone call. That he waited for him and on the next night Waqar Baloch sent a message that he will return home after 2/3 days that thereafter his cell phone was switched of. He further deposed that his mobile phone at a Chishma after three days of his missing. That no any Government Agency was involved in the abduction of Waqar Baloch. In view of above circumstances. The case does not fall within the domain of enforced disappearance. </t>
  </si>
  <si>
    <t xml:space="preserve">Traced Person. Sheeraz Khan appeared before the Commission on 22.11.2021 and his statement has been recorded on oath in which he has deposed that he was taken into custody on 17.12.2018 from Pak – Afghan border. He further revealed that he was confined in Lakki Marwat Jail/ ICL he was released on 12.02.2021. No further action is required. The case is closed. </t>
  </si>
  <si>
    <t xml:space="preserve">Traced Person. It was informed at the hearing held in this Commission on 29.9.2020 at Sub-Office, Karachi that Shafqat Hussain Malik has returned home. Statement of the Traced Person was recorded. SHO Police Station A, Ghotki also confirmed in his report. </t>
  </si>
  <si>
    <t xml:space="preserve">Traced Person. Mazawar Khan s/o Karim Khan entered appearance before the Commission whose statement was recorded on oath in which he stated that he was abducted on 14/15 of last Ramzan and set free after three and half months. He further deposed that he was kidnapped by unknown men in uniform who kept him at Miran Shah. DPO North Waziristan also confirmed in his report submitted to the Commission. </t>
  </si>
  <si>
    <t>23/07/2020</t>
  </si>
  <si>
    <t xml:space="preserve">Traced Person. Abdullah s/o Arsaal Khan appeared before the Commission at the hearing held on 15-06-2021. He was reluctant to indicate facts of the episode. Hence no further action is required. The case is closed. </t>
  </si>
  <si>
    <t>25/07/2020</t>
  </si>
  <si>
    <t xml:space="preserve">Traced Person. SSP (Inv), Rawalpindi appeared before the Commission on 9.9.2020 and submitted report that Muhammad Umer Iftikhar Butt has returned home safely. SSP (Inv), Rawalpindi has also presented written statements of Muhammad Umer Iftikhar Butt and Wajid Ali Butt along with report dated 28.8.2020 from SHO PS Race Course, Rawalpindi. Accordingly, the case is closed.  </t>
  </si>
  <si>
    <t>27/07/2020</t>
  </si>
  <si>
    <t xml:space="preserve">Deleted. SDPO Sohrab Goth, Karachi appeared before the Commission on 17.2.2021 and submitted that the case does not fall within the ambit of enforced disappearance as no allegation has been levelled against any LEA/ intelligence Agency. Nawat Khan also entered appearance and confirmed that contents of his statement. Hence, no further action is required, the case is closed. </t>
  </si>
  <si>
    <t>28/07/2020</t>
  </si>
  <si>
    <t xml:space="preserve">Traced Person. SSP (Inv), Rawalpindi appeared before the Commission on 9.9.2020 and submitted report that Muhammad Talah was arrested by CTD, D.G.Khan vide FIR No. 15/20 dated 7.9.2020 PS CTD D.G.Khan. Mother of the Traced Person was apprised of the status of case and advice to seek remedy as per law. The case is closed. </t>
  </si>
  <si>
    <t>29/07/2020</t>
  </si>
  <si>
    <t xml:space="preserve">Traced Person. Rep of MI has submitted that Wali Ullah s/o Badshah Mir Wazir is Interned in Internment Centre Lakki Marwat under AA-CPR 2011 since 2nd October, 2019. Since Wali Ullah has been traced and is no more a Missing Person, therefore no further action is required to be taken by the Commission. The family be facilitated to see him in the Internment Centre as per rules and procedures. </t>
  </si>
  <si>
    <t>30/07/2020</t>
  </si>
  <si>
    <t xml:space="preserve">Deleted. The address of the Missing Person in the report received from UN-WGEID is shown as H. No. 5342, Sector No. 15/16, Street No. 14 Gulshan-e-Mazdoor, Hub River Road, Baldia Town, Karachi. However, SHO PS Baldia Town has reported that none with the name of Aurangzeb or his family ever resided in the said house. Statement from an adjacent affirming the above said position. Hence no further action is possible. The case is closed. </t>
  </si>
  <si>
    <t>03/08/2020</t>
  </si>
  <si>
    <t xml:space="preserve">Traced Person. Mustajab Ahmed appeared before the Commission on 28.12.2020, whose statement was recorded on oath, in which he deposed that on 25.7.2020, he himself went to Meharabadi to see his friends and that he was not kidnapped by anyone. He further deposed that he returned home on 1.12.2020. Accordingly, the case is closed. </t>
  </si>
  <si>
    <t>05/08/2020</t>
  </si>
  <si>
    <t xml:space="preserve">Mst. Haseeba Qambrani, Mohalla Kalaye Sharifabad, Qambrani Road, Near Qambrani Departmental Store, Quetta. (Mobile No. 0333-0329497) </t>
  </si>
  <si>
    <t xml:space="preserve">Traced Person. SDPO Shahrah Faisal, Karachi appeared before the Commission at Karachi on 17.2.2021 and submitted that Ghulam Mahdi has returned home. </t>
  </si>
  <si>
    <t>08/08/2020</t>
  </si>
  <si>
    <t>10/08/2020</t>
  </si>
  <si>
    <t xml:space="preserve">Traced Person. Muhammad Kashif appeared before the Commission on 10.1.2021. In the statement he deposed that he was kidnapped on 3.7.2019 at mughrab time from Cricket Club G-10/4, Islamabad and kept him there for 18 months and five days and set free at Khana Pul from where he reached home.  </t>
  </si>
  <si>
    <t>17/08/2020</t>
  </si>
  <si>
    <t xml:space="preserve">34401-4330510-9 </t>
  </si>
  <si>
    <t xml:space="preserve">Traced Person. Mr. Faisal SSP (Inv), Rawalpindi which transpired that Missing Person Muhammad Arif was arrested in case FIR No.338 dated 24.8.2020 u/s 13/2 (a) PAO 2015 PS Fateh Shah, District Vehari and send to Judicial lock up District Vehari on 25.8.2020. Hence, no further action is required. The case is closed.  </t>
  </si>
  <si>
    <t>20/08/2020</t>
  </si>
  <si>
    <t xml:space="preserve">Traced Person. Rep of MI has submitted that Saif-ur-Rehman s/o Barot Khan is Interned in Internment Centre Lakki Marwat under AA-CPR 2011 since 2020. Since Saif-ur-Rehman has been traced and is no more a missing person, therefore no further action is required to be taken by the Commission. The family be facilitated to see him in the Internment Centre as per rules and procedure. </t>
  </si>
  <si>
    <t>22/08/2020</t>
  </si>
  <si>
    <t xml:space="preserve">Traced Person. Nisar Afzal Awan has been traced and appeared before the Commission on 26.10.2020. His statement has been recorded on oath in which he has deposed that he was abducted on 3.6.2020 by unknown persons and was kept at an unknown location. On 20.10.2020 he was set free at Barki Road and thereafter he returned home. Accordingly the case is closed. </t>
  </si>
  <si>
    <t>24/08/2020</t>
  </si>
  <si>
    <t xml:space="preserve">Traced Person. SSP (Inv), Quetta has submitted that JIT meeting was held on 26.10.2020, wherein it has transpired that Shah Faisal was arrested in case FIR No. 36/20 u/s 13/D Arms Ord: of PS CTD, Quetta and presently he was in Judicial custody. Complainant Ghulam Mustafa appeared before the Commission on 2.11.2020 at Quetta, whose statement was recorded on oath in which he deposed that he met Shah Faisal on Thursday at District Jail, Quetta. No further action is required. The case is closed. </t>
  </si>
  <si>
    <t>25/08/2020</t>
  </si>
  <si>
    <t xml:space="preserve">Traced Person. Ali Ahmed has been traced. He appeared before the Commission on 26.9.2020 at Peshawar, but reluctant about his statement, however he furnished written version which indicates that he was taken into the custody for custody and released on 2.9.2020. No further action is required . The case is closed. </t>
  </si>
  <si>
    <t>26/08/2020</t>
  </si>
  <si>
    <t>27/08/2020</t>
  </si>
  <si>
    <t>31/08/2020</t>
  </si>
  <si>
    <t>01/09/2020</t>
  </si>
  <si>
    <t>03/09/2020</t>
  </si>
  <si>
    <t xml:space="preserve">Traced Person. Shah wali has been traced. He appeared before the Commission on 6.11.2020. His statemen was recorded on oath, in which he stated that he was abducted by unknown persons on 28.8.2020. He was kept at an unknown place and was set free on 3.11.2020 near Golra Morr, Islamabad. Dawood Khan complainant also appeared and requested that the case before the Commission may be closed. </t>
  </si>
  <si>
    <t xml:space="preserve">Mukhtiar Ali Bhayo s/o Jiand </t>
  </si>
  <si>
    <t xml:space="preserve">Traced Person. ASP, Kashmore, Sindh appeared before the Commission on 17.2.2021 and submitted that Mukhtiar Ali Bhayo was confined in District Jail Shaikarpur and facing trail before the Court of law. </t>
  </si>
  <si>
    <t>12/09/2020</t>
  </si>
  <si>
    <t xml:space="preserve">Traced Person. A report dated 19.10.2020 has been received from DPO, Sargodha in which it is stated that on application of Syed Aqeel Abbas s/o Nazar Hussain Shah, case FIR No. 316 dated 23.8.2020 u/s 365-B PPC PS Mid Ranjha, Sargodha was registered regarding abduction of his sister Mst Sadaf Zahra. During investigation, Sadaf Zahra was recovered. On 17.9.2020 Mst. Sadaf Zahra was produced before the learned Illaqaa Magistrate, she refused to get her medically examine. Her statement u/s 164 CrPC was recorded and in the light of her statement cancellation report in the case was prepared on 20.9.2020. No further action is required. The case is closed. </t>
  </si>
  <si>
    <t>07/09/2020</t>
  </si>
  <si>
    <t>Traced Person. Complainant, Mirza Ijaz Ahmed Mughal appeared before the Commission whose statement was recorded on oath in which he deposed that his son Mirza Muhammad Bilal had returned home on 03.10.2020. He further deposed that Mirza Muhammad Bilal was not abducted by any one rather he went to his own will.  No further action is required. The case is closed</t>
  </si>
  <si>
    <t>09/09/2020</t>
  </si>
  <si>
    <t>14301-8335840-3
Passport No. AW6918404</t>
  </si>
  <si>
    <t>Traced Person. Muhammad Yousaf has been traced. According to report received from Rep of MI, he was presently confined in the Internment Centre Lakki Marwat. Family members of Muhammad Yousaf shall be facilitated to see him in the Internment Centre  as per rules and procedure.</t>
  </si>
  <si>
    <t xml:space="preserve">Traced Person. At the hearing held in this case at 15-06-2021 at Lahore it was submitted by Rep of MI that Seerat Ullah was confined in Internment Centre Lakki Marwat in terms of Action (in aid of Civil) Regulations, 2011. Family shall be facilitated to see him as per procedure. </t>
  </si>
  <si>
    <t>11/09/2020</t>
  </si>
  <si>
    <t xml:space="preserve">Deleted. JIT and PTF concluded that Syed Sadat Shah has gone on his own. All stakeholders have denied apprehension / custody of the disappeared person. At the hearing on 31.08.2021 the complainant appeared before the Commission, where statement was recorded on oath. He has stated that he has not levelled any allegation any LEA / Intelligence Agency. Hence not a case of enforced disappearance. The case is closed. </t>
  </si>
  <si>
    <t>21/09/2020</t>
  </si>
  <si>
    <t xml:space="preserve">Traced Person. Abdul Bari s/o Rehmat Ullah appeared before the Commission on 06.04.2021 whose statement was recorded on oath in which he deposed that as a result of raid on 11.05.2018 he was taken into custody from his home and he was set free in January, 2021. As Abdul Bari has been traced , the case is closed. </t>
  </si>
  <si>
    <t xml:space="preserve">Sibghat Ullah, r/o Muslimabad, Airport Road, P.S Airport, Quetta. (Mobile No. 0336-7772333 &amp; 0312-8229217). </t>
  </si>
  <si>
    <t xml:space="preserve">Traced Person. Ahmad s/o Abdul Salam appeared before the Commission on 06.04.2021 whose statement was recorded on oath in which he deposed that he was picked up and taken away by unknown persons in civvies on 09th May, 2018 from Airport Road Quetta who kept him in a room for investigation. He further deposed that he was released him after two and half years on 23.11.2020 at Quetta from where he has returned home. </t>
  </si>
  <si>
    <t>Deleted. During the course of inquiry, no clue could be found that any LEA/ Intelligence Agency was involved in disappearance of Dofat. The case has been categorized as of missing person has gone on his own by JIT as well as PTF. The complainant Asif Khan  or his authorized representative was summoned twice for recording statement but none entered appearance despite issuance of notices. All stakeholders have denied arrest/custody of Dofat. Hence, not a case of enforced disappearance. The case is closed.</t>
  </si>
  <si>
    <t>32102-2737623-5
Father CNIC</t>
  </si>
  <si>
    <t>23/09/2020</t>
  </si>
  <si>
    <t xml:space="preserve">Traced Person. Bakht Shah Zeb has been traced. Pan Jan who is father of Bakht Shah Zeb appeared before the Commission on 28.3.2022 whose statement was recorded on oath in which he deposed that Bakht Shah Zeb who is real son had returned home and due to ailment, he could not enter appearance before the Commission. No further action is required. The case is closed. </t>
  </si>
  <si>
    <t xml:space="preserve">Traced Person. SP (Inv), ICT appeared before the Commission on 9.2.2021 and informed that Eaz Khan has returned home. Statement of Eaz Khan u/s 164 Cr.PC on 4.2.2021 before the Court if AC/MIC Shalimar, Islamabad. </t>
  </si>
  <si>
    <t>25/09/2020</t>
  </si>
  <si>
    <t xml:space="preserve">Traced Person. Rep of MI has submitted report according to which Gul Raif Khan s/o Sharif Khan is interned in the Internment Centre, Lakki Marwat. The family members of the Internee will be allowed metting with him subject to completion of legal formalities and Covid- 19 precautionary measures. No further action is required. The case is closed. </t>
  </si>
  <si>
    <t>28/09/2020</t>
  </si>
  <si>
    <t xml:space="preserve">Traced Person. Focal Person of MI is present and submitted that Bashta Khan is interned in the Internment Centre Lakki Marwat. Since Bashta Khan has been traced and is stated to be detained in the Internment Centre Lakki Marwat, therefore, visitation of the family members shall be facilitated in accordance with rules and procedure. </t>
  </si>
  <si>
    <t>29/09/2020</t>
  </si>
  <si>
    <t xml:space="preserve">Mehmood, r/o Tortangi, Macha Mada Khel, Tehsil Datta Khel, District North Waziristan. (Mobile No. 0334-8759872). </t>
  </si>
  <si>
    <t xml:space="preserve">Traced Person. Hafeez Ullah appeared before the Commission. His statement was recorded on oath. As Hafeez Ullah has returned to home, hence the case is closed. </t>
  </si>
  <si>
    <t>Traced Person. Zia Hassan SP (Inv), Bannu has appeared  before the Commission, whose statement has been recorded on oat, in which they submitted that Mahroof Khan has returned to home.</t>
  </si>
  <si>
    <t>Muhammad Habib, r/o Koki Khel,  Tor Khel, Sawa Kamar, P.O Jamroo, District Khyber Agency. (Mobile No. 0301-5244252).</t>
  </si>
  <si>
    <t>30/09/2020</t>
  </si>
  <si>
    <t>01/10/2020</t>
  </si>
  <si>
    <t xml:space="preserve">Deleted. After thorough investigation and a hearing in the case on 7.11.2020 that Adeesh Kumar is hiding himself due to fear of Hindu community and the family on account of embracing Islam and he was not kidnapped by anyone. Hence no further action is required. The case is closed. </t>
  </si>
  <si>
    <t xml:space="preserve">Traced Person. Wajid Khan b/o the Missing Person appeared before the Commission on 23.11.2020, whose statement was recorded on oath. According to him he met his brother in the Jerma Jail Kohat. MI also confirmed in its reports. Hence the case is closed. </t>
  </si>
  <si>
    <t xml:space="preserve">Traced Person. Kareem Khan f/o the Missing Person appeared before the Commission on 23.11.2020, whose statement was recorded on oath. According to him he met his brother in the Jerma Jail Kohat. MI also confirmed in its reports. Hence the case is closed. </t>
  </si>
  <si>
    <t xml:space="preserve">Traced Person. DSP (Legal) Sheikhupura entered appearance before the Commission on 27.09.2021 whose statement was recorded on oath in which he stated that Muhammad Tahir Raza, whose real name was Abdul Manan son of Sharf-ud-Din was arrested by CTD Police Lahore vide FIR No. 23/21 dated 16.08.2021 u/s 4/5 ESA 7 ATA r/w 13 (2A)/20/65/AO. As the Missing Person has been traced no further action is required. The case is closed.    </t>
  </si>
  <si>
    <t xml:space="preserve">Traced Person. It was informed at the hearing in this Commission on 22.10.2020 that Mohib Ali Ghauri has returned home. The statement of the traced person has been recorded u/s 164 CrPC, in which he stated that he was blind folded by a few unknown persons on 4.9.2020 and released on 12.10.2020 that he was present at his home. The report submitted by SDPO, Chalgari, Hyderabad. </t>
  </si>
  <si>
    <t>07/10/2020</t>
  </si>
  <si>
    <t>UNWGED &amp;
HRCP</t>
  </si>
  <si>
    <t>Syed Jabbir Hussain  Shah, r/o Dhok Jhandi Syeda, Pindh Begwal, Islamabad. (Mobile No. 0346-5002871 &amp; 0336-5619278).</t>
  </si>
  <si>
    <t xml:space="preserve">Traced Person. Jabbar Hussain Shah brother in-law of Shabbir Hussain Shah appeared before the Commission on 24.11.2020. His statement has been recorded on oath, in which he deposed that Shabbir Hussain Shah disappeared on 12.9.2020. On 12.10.2020 he received a telephonic call informing him regarding burial of Shabbir Hussain Shah. On 14.10.2020 Shabbir Hussain Shah’s dead body was disinterred and identified by him with the help of shoes, clothes, wristwatch, wallet, hands and feet whereas his face was not identifiable. He further deposed that after full satisfaction the dead body was reburied. He requested to close the case in the Commission. Hence no further action is required. The case is closed. </t>
  </si>
  <si>
    <t>08/10/2020</t>
  </si>
  <si>
    <t xml:space="preserve">Traced Person. According to summarized account of proceedings of Missing Person case held in the Commission received from Rep MI, Kamal Deen is interned in Internment Centre at Alizai. Mr Ali Hassan SP (Inv) Orakzai is present who has appirmed that Kamal Deen has returned home. No further action is required. The case is closed. </t>
  </si>
  <si>
    <t xml:space="preserve">Traced Person. Muhammad Ahmad s/o Ghulam Qadir has appeared, whose statement has been recorded on oath. He has deposed that he was abducted on 9.6.2020 at 11 P.M at Balkasar by unknown persons when he was travelling from Lahore to Islamabad. He has further deposed that he was boarded on a double cabin vehicle and taken to some unknown place. He has also deposed that on 7.1.2020 he was sent to DG Khan Jail form where he was released on bail. Family of Muhammad Ahmad confirmed the aforesaid position. </t>
  </si>
  <si>
    <t>09/10/2020</t>
  </si>
  <si>
    <t xml:space="preserve">Traced Person. Complainant Sher Muhammad Manglo father  of Missing Person appeared before the Commission at Karachi on 17.2.2021, whose statement recorded on oath in which he deposed that his son Shahzad Ali Manglo has returned home on 30.11.2020. Statement of Shahzad Ali Manglo Traced Person was also got recorded u/s 164 CrPC. </t>
  </si>
  <si>
    <t>14/10/2020</t>
  </si>
  <si>
    <t>Anwar-ul-Haq, r/o Village &amp; Tehsil  Kabal, District Swat, KPK. (Mobile No. 0347-3085835).</t>
  </si>
  <si>
    <t>19/10/2020</t>
  </si>
  <si>
    <t xml:space="preserve">Traced Person. Fiaz Khan appeared before the Commission on 14.1.2021, whose statement was recorded on oath, in which he deposed that he was called someone at Airport Housing Society for welding work from where he was abducted blindfolded by unknown persons on 4.10.2020. He further deposed that after abduction he was kept at some unknown place wherefrom, he was set free on 3 / 4 December, 2020 and returned. </t>
  </si>
  <si>
    <t>Karam Bakhsh, r/o Tafic, Tatanoo Bhandi, Tehsil Kabal,  District Swat. (Mobile No. 0346-3160232 &amp; 0346-98822694).</t>
  </si>
  <si>
    <t>20/10/2020</t>
  </si>
  <si>
    <t xml:space="preserve">Traced Person. MI Dte has intimated that Riaz Ahmed is confined in Internment Centre Kohat in terms of Action (in aid of Civil Power) Regulations 2011. Family will be facilitated to see him as per procedure. </t>
  </si>
  <si>
    <t xml:space="preserve">Traced Person. As Rehmat Ali has been traced, he is no more a Missing Person. No further action is required to be taken by the Commission. Requirement of para 2(b) of the Notification/SRO 149 (I)/2011 has been fulfilled. Family members of Rehmat Ali shall be facilitated to see him in the Internment Centre as per rules and procedure. </t>
  </si>
  <si>
    <t>Ali Muhammad, r/o Airport Road,  P.O Quetta Shaikh Khandah, Tehsil &amp; District Quetta. (Mobile No. 0347-3912081 &amp; 0317-4746465).</t>
  </si>
  <si>
    <t xml:space="preserve">Deleted. On the basis of thorough investigation statement of father of the Missing Person before the Commission on 13.2.2021 and reports of JIT it is concluded that the domain of enforced disappearance. Hence the case is closed. </t>
  </si>
  <si>
    <t>26/10/2020</t>
  </si>
  <si>
    <t xml:space="preserve">Traced Person. It was informed at the hearing held in this Commission on 09.09.2021 that Usman Ullah has returned home. He appeared before the Commission and his statement was recorded in which he deposed that he was abducted by unknown persons on 05.02.2020 who released him 10/12 days before Ramzan-ul-Mubarak. No further action is required, the case is closed. </t>
  </si>
  <si>
    <t xml:space="preserve">Traced Person. DSP (Inv) East, Karachi appeared before the Commission on 17.2.2021 and submitted report that Faqeer Muhammad returned home and presently available with their friends at Islamabad. </t>
  </si>
  <si>
    <t xml:space="preserve">Traced Person. DSP (Inv) East, Karachi appeared before the Commission on 17.2.2021 and submitted report that Waseem Haider returned home and presently available with their friends at Islamabad. </t>
  </si>
  <si>
    <t xml:space="preserve">Traced Person. It was informed at the hearing held in this Commission on 23.11.2020 that Muhammad Ali Suleman has returned home. The statement of the Traced Person has been recorded u/s 164 CrPC, which is available on record. The report submitted and confirmed by SHO, PS Joharibad, Karachi confirms the aforesaid position. </t>
  </si>
  <si>
    <t>27/10/2020</t>
  </si>
  <si>
    <t xml:space="preserve">Sami Ullah s/o Shams-ur-Rehman </t>
  </si>
  <si>
    <t xml:space="preserve">Traced Person. Muhammad Alam as per report of MI and statement of mother of Traced Person is confined at Internment Centre Ghalanai, District Mohamand. No further action is required. The case is closed. </t>
  </si>
  <si>
    <t>31/10/2020</t>
  </si>
  <si>
    <t xml:space="preserve">Traced Person. Complainant Dad Muhammad father of Majid Ahmad appeared before the Commission at Quetta on 27.08.2021 whose statement was recorded on oath in which he deposed that Majid Ahmad was abducted on 31.05.2019 and has returned home on 20.07.2021. No further action is required, the case is closed. </t>
  </si>
  <si>
    <t xml:space="preserve">Traced Person.  Rep of MI appeared and produced report that Muhammad Zaman was confined in the Internment Centre Kohat under Action (in aid of Civil) Regulation, 2011. Family will be facilitated to see him as per rule and procedures.  </t>
  </si>
  <si>
    <t>02/11/2020</t>
  </si>
  <si>
    <t>04/11/2020</t>
  </si>
  <si>
    <t>6836-S
7813-S</t>
  </si>
  <si>
    <t>06/11/2020</t>
  </si>
  <si>
    <t xml:space="preserve">Traced Person. SP (Inv) Bajur submitted report that Zia-ud-Din appeared before JIT and submitted that he was arrested by Security Forces and produced before ATC Timergara and released on bail. No further action is required. The case is closed. </t>
  </si>
  <si>
    <t>10/11/2020</t>
  </si>
  <si>
    <t>13/11/2020</t>
  </si>
  <si>
    <t xml:space="preserve">Traced Person. DPO, Bahawalpur submitted report at the hearing held on 12.08.2021 indicating that Khalil Ullah has returned home. No further action is required, the case is closed. </t>
  </si>
  <si>
    <t>18/11/2020</t>
  </si>
  <si>
    <t xml:space="preserve">Traced Person. It was informed by the Investigation Officer at the hearing held in this case on 15-06-2021 at Lahore that Muhammad Atif Baig has returned home as confirmed by his brother. No further action is required. The case is closed. </t>
  </si>
  <si>
    <t xml:space="preserve">Traced Person. Muhammad Zakria appeared before the Commission on 27.08.2021 at Quetta, whose statement was recorded in oath in which he deposed that he was abducted on 28.09.2018 by some men in uniforms and civvies who kept him at some unknown place and set him on 28.05.2021. No further action is required. The case is closed. </t>
  </si>
  <si>
    <t>Muhammad Bilal Aslam, r/o House No. K-36,  Tali Mohallah, Murree Road, Rawalpindi. (Mobile No. 0345-5329965 &amp; 0333-0003294)</t>
  </si>
  <si>
    <t>Traced Person. According to the report submitted at the hearing on 3.12.2021 by DPO, North Waziristan Shamim-ud-Din s/o Nasir Khan r/o Tapi, Tehsil Miranshah, who was missing since 16th June, 2020 has returned home safe and sound.  No further action is required. The case is closed.</t>
  </si>
  <si>
    <t>19/11/2020</t>
  </si>
  <si>
    <t>23/11/2020</t>
  </si>
  <si>
    <t>24/11/2020</t>
  </si>
  <si>
    <t xml:space="preserve">Traced Person. Ashfaq b/o Tasbeeh ullah appeared before the Commission and his statement was recorded on oath in which he deposed that Tasbeeh Ullah was confined in Internment Centre Lakki Marwat. He further disclosed that he and family members have already met Tasbeeh Ullah in the Internment Centre Lakki Marwat. </t>
  </si>
  <si>
    <t>25/11/2020</t>
  </si>
  <si>
    <t xml:space="preserve">Traced Person. Noor Jamal, SP (Inv), Nowshera appeared before the Commission, whose statement was recorded on oath in which he submitted that Ozair Manzoor was sent to district Jail Attock in case FIR No. 416/20 dated 23.11.2020 u/s 496-S PPC, PS Hassan Abdal from where he released on bail and returned home. No further action is required, the case is closed. </t>
  </si>
  <si>
    <t>26/11/2020</t>
  </si>
  <si>
    <t>30/11/2020</t>
  </si>
  <si>
    <t>Ayaz Khan, r/o New Colony, Bartras, P.O  Khar, Aytmaye, Tehsil Salarzai, District Bajurh. (Mobile No. 0307-7525099).</t>
  </si>
  <si>
    <t xml:space="preserve">Traced Person. Zahid Ullah has been traced. He appeared before the Commission. He deposed that he was taken away on 29.9.2020 by Police accompained by men in civvies. He was blind folded and kept at unknown place. After three monts he was set free at a place near Peshawar. He further stated that he is not in a position to identify anybody. The case is closed. </t>
  </si>
  <si>
    <t xml:space="preserve">Traced Person. Additional IG, CTD Punjab submitted report that Farooq Abbas Butt is confined in Dera Ghazi Khan an FIR lodged against him. In view of above no further action is required. The case is closed. </t>
  </si>
  <si>
    <t xml:space="preserve">Traced Person. DSP/SDPO Kotri Hyderabad appeared before the Commission on 20.2.2021. His statement has been recorded on 18.2.2021. Statement of the Traced Person was also produced. </t>
  </si>
  <si>
    <t>01/12/2020</t>
  </si>
  <si>
    <t>43205-1524138-3
Father CNIC</t>
  </si>
  <si>
    <t xml:space="preserve">Traced Person. Qadir Jan has been traced, he appeared before the Commission on 07.04.2021 and his statement was recorded on oath, in which he deposed that he was not kidnapped by anybody rather he went to Karachi on his own will that he returned home on 24.03.2021. </t>
  </si>
  <si>
    <t xml:space="preserve">Traced Person. Faiz-ur-Rehman Afzal entered appearance in person before the Commission on 19.2.2021 and stated that he was arrested by Police on 19.11.2020 kept at some unknown place and he was released on 19.12.2020. The complainant requested to closes the case. </t>
  </si>
  <si>
    <t>02/12/2020</t>
  </si>
  <si>
    <t xml:space="preserve">15602-0541160-9
15602-1116976-7
Father CNIC
</t>
  </si>
  <si>
    <t xml:space="preserve">Traced Person. It was informed at the hearing in this Commission on 12.08.2021 that Khalil Ullah was arrested in Criminal Case vide FIR No. 145/21 dated 10.03.2021 u/s 4/5 ESA 12 7 ATA 1997 PS Steel Town, Karachi and presently on bail granted by Sindh High Court on 17.06.2021. Hence, the case is closed. </t>
  </si>
  <si>
    <t>09/12/2020</t>
  </si>
  <si>
    <t xml:space="preserve">Traced Person. Ali Hamza appeared before the Commission at the hearing held on 15-06-2021 at Lahore. He was reluctant to indicate details of the episode. According no further action is required. The case is closed. </t>
  </si>
  <si>
    <t>21202-7281493-1
Father CNIC</t>
  </si>
  <si>
    <t xml:space="preserve">Traced Person. DSP, AVC/ CIA, Karachi and Nisar Ahmed b/o Traced Person appeared before the Commission on 18.2.2021. The circumstances of the case deposed by both in their statements confirms that it was a case of kidnapping for ransom as the kidnappers released Shah Wazir Khan on payment of rupees 3.5 Million. </t>
  </si>
  <si>
    <t xml:space="preserve">Traced Person. Shahzad Ahmed has been traced. He appeared before the Commission on 21.1.2021 at Lahore. His statement has been recorded on oath. According to which he was abducted on 28.11.2020 at about 11 PM by unknown persons. His face was muffled and was kept at unknown place, where he was not asked any question. On 13.1.2021 during night at about 2/ 3 AM he was set free at Thokar Niaz Baig from where he reached home. The case is closed. </t>
  </si>
  <si>
    <t xml:space="preserve">Traced Person. SP (Inv), Swabi appeared before and submitted that FIR No. 26 dated 27.07.2021 u/s 5 ESA/15AA/7ATA/34 PPC PS CTD, Mardan. He was confined in Central Jail, Mardan. Father of Farhad Khan also confirmed and stated that he met his son in Jail. </t>
  </si>
  <si>
    <t xml:space="preserve">Traced Person.DSP, Tump appeared before the Commission on 8.2.2021 at Quetta, whose statement was recorded on oath, in which he stated that relatives of Zubair Ahmed s/o Gwahram were called on 19.1.2021 for registration of case, who told the Police that Zubair Ahmed has return home four months ago. Zubair Ahmed was arrested by CTD Turbat on 24.4.2020 in case FIR No. 32/20 and released on bail by the Court if competent Jurisdiction. </t>
  </si>
  <si>
    <t>12/12/2020</t>
  </si>
  <si>
    <t>369-0489288
Irani Passport No.</t>
  </si>
  <si>
    <t xml:space="preserve">Traced Person. Rep of MI submitted report that Irfan Khan s/o Muhammad Shah is confined in Internment Centre Lakki Marwat in terms of Action (in aid of Civil Power) Regulations, 2011. Family Members  of Irfan Khan will be facilitated to see him in the Internment Centre as per rules and procedures. </t>
  </si>
  <si>
    <t xml:space="preserve">Bakhtiyar Ali s/o Ali Muhammad </t>
  </si>
  <si>
    <t xml:space="preserve">Arz Muhammad, r/o Ormara, District Gwadar, Balochistan, Pakistan. </t>
  </si>
  <si>
    <t xml:space="preserve">Traced Person. Ghulam Mustafa, Tehsildar Pasni District Gawadar has appeared before the Commission at Quetta on 26.08.2021 whose statement was recorded on oath in which he deposed that Noor Dad s/o Ard Muhammad had returned home on 11.03.2021. Rep of DC Gawadar submitted statement on oath of Noor Dad wherein it has been stated tha5t he was abducted on 27.11.2019 from Uch Area by some unknown persons and he returned home on 11.03.2021. No further action is required, the case is closed. </t>
  </si>
  <si>
    <t xml:space="preserve">Traced Person. It was informed at the hearing held on 14.7.2021 by Focal Person Sindh Police, Karachi that Muhammad Waseem Ahmed involved in seven FIRs registered in PS Jinnah Town, Civil Lines, Gawalmandi Brewary and CTD Quetta under various sections of ATA and Explosive Act. He was arrested and presently confined letter No. 636/3/21-Jail dated 11.3.2021 by Superintendent District Jail Quetta was submitted before the Commission. No further action is required. </t>
  </si>
  <si>
    <t>14/12/2020</t>
  </si>
  <si>
    <t xml:space="preserve">Traced Person. DPO, Vehrai confirmed at the hearing on 16-06-2021 at Lahore that Muhammad Umar Farooq is confined in District Jail, Vehari as a result of FIR in a criminal case against him. No further action is required. The case is closed. </t>
  </si>
  <si>
    <t>16/12/2020</t>
  </si>
  <si>
    <t xml:space="preserve">Traced Person. Abdur Razaq Shair f/o Bashir Ahmed appeared before the Commission on 18.2.2021 and stated that his son was confined in Central Jail, Karachi and facing trail in some cases registered against him. He added that he met Bashir Ahmed in the Jail. </t>
  </si>
  <si>
    <t xml:space="preserve">Traced Person. Abdul Razaq Shair f/o Missing Person appeared before the Commission on 18.2.2021 and his statement recorded on oath in which he deposed that Ghulam Rasool has returned home on 16.1.2021. </t>
  </si>
  <si>
    <t xml:space="preserve">Traced Person. Syed Muhammad Asghar Shah f/o Syed Qasir Abbas appeared before the Commission on 18.2.2021. His statement was recorded on oath in which he deposed that some unknown persons took away on 23/24 November, 2020 at midnight. That on 28.1.2021 they set free near their house at about 7.00 /8.00 PM. Hence, the case is closed. </t>
  </si>
  <si>
    <t xml:space="preserve">Traced Person. Muhammad Tariq Riaz Qureshi appeared before the Commission on 9.2.2021 and his statement was recorded on oath, in which he deposed that on 5.12.2020 he left his house for job. Firstly, he went to Centaurus Mall and thereafter he went to Multan. He returned home on 12/13 December, 2020. He further stated that he was not abducted by anybody. </t>
  </si>
  <si>
    <t xml:space="preserve">Traced Person. Dawood Khan s/o Malik Muhammad Khan appeared before the Commission on 13.2.2021, whose statement was recorded on oath, in which he deposed that he was abducted on 29.9.2020 form bus by some unknown persons who took him blindfolded to some unknown place form further submitted that the persons who abducted could not be identified by him his face/eye were muffled. </t>
  </si>
  <si>
    <t>22/12/2020</t>
  </si>
  <si>
    <t>23/12/2020</t>
  </si>
  <si>
    <t xml:space="preserve">Traced Person. The complainant, Asma Khalid mother / wife of Khalid Haider entered appearance before the commission in case of her other missing son Ashraf Khalid and produced her statement dated 7.9.2021, wherein it has been stated that Khalid Haider contacted her over telephone from Afghanistan and informed that he was in the custody of American Army in Bagram Jail Afghanistan where he has been released. No further action is required. The case is closed. </t>
  </si>
  <si>
    <t>FIR No. 48/21  dated 31.1.2021 u/s 365 PPC PS Dehli Gate, Multan</t>
  </si>
  <si>
    <t xml:space="preserve">Traced Person. Shair Ali Khan entered appearance before the Commission on 26.11.2021. He could not offer any plausible reason of absence from home.  No further action is required. The case is closed. </t>
  </si>
  <si>
    <t>Muhammad Saleem Ahsan, r/o  Sehrab Khan Chok, Mohalla Malkana, Mingorah, Swat. (Mobile No. 0347-9441713 &amp; 0946-721845).</t>
  </si>
  <si>
    <t xml:space="preserve">Traced Person. Obaid Ullah is confined in Internment Centre at Ghallani. His father Fazal Muhammad appeared and confirmed. As Obaid Ullah has been traced, no further action is required. The case is closed. </t>
  </si>
  <si>
    <t xml:space="preserve">Traced Person. Rep of MI submitted report dated 01.09.2021 that Sher Zaman was confined in the Internment Centre at Fizghat. Tahir Aman brother of (Sher Zaman) as also present. His statement was recorded on oath in which he deposed that his brother (Sher Zaman) was confined at Internment Centre Fizaghat and his family met him. Accordingly, the case is closed.  </t>
  </si>
  <si>
    <t>Zahir Muhammad, r/o Batai Aleezahu, P.O  Khar, Tehsil Khar, District Bajaur. (Mobile No. 0348-1198584 &amp; 0347-0193047).</t>
  </si>
  <si>
    <t>28/12/2020</t>
  </si>
  <si>
    <t xml:space="preserve">Traced Person. According to statement received in tabulated from Rep of MI, Muhammad Naeem Khan is interned in Internment Centre Lakki Marwat. Family members of Muhammad Naeem Khan shall be facilitated  to see him in the Internment Centre after completion of procedure. </t>
  </si>
  <si>
    <t>29/12/2020</t>
  </si>
  <si>
    <t xml:space="preserve">Traced Person. Mujkarram Shah appeared before the Commission at the hearing held on 15-06-2021. He was reluctant to indicate facts of the episode. Hence no further action is required. The case is closed. </t>
  </si>
  <si>
    <t>30/12/2020</t>
  </si>
  <si>
    <t xml:space="preserve">Traced Person. Khan Gul appeared before the Commission on 28.1.2021, whose statement was recorded on oath, in which he deposes that he was kidnapped by men in Elite Force/Army uniform in between the night of 20/21 December, 2020 and taken away blindfolded. He also stated that he was released on bail and returned home on 12.10.2020. No further action is required. The case is closed. </t>
  </si>
  <si>
    <t xml:space="preserve">Traced Person. Iftikhar-ur-Haq father of Abdul Wahid appeared before the Commission on 16-06-2021 at Lahore and confirmed that his son had returned home. No further action is required. The case is closed. </t>
  </si>
  <si>
    <t>01/01/2021</t>
  </si>
  <si>
    <t>04/01/2021</t>
  </si>
  <si>
    <t xml:space="preserve">Traced Person. SP (Inv) Sargodha informed at the hearing held in this case at Lahore on 15-06-2021 that Imran Mehmood Butt was in the custody of FIA Peshawar. No further action is required. The case is closed. </t>
  </si>
  <si>
    <t>05/01/2021</t>
  </si>
  <si>
    <t xml:space="preserve">Traced Person. Yaqoob Khan s/o Muhammad Rehman entered appearance before the Commission on 10.08.2021, whose statement was recorded on oath in which stated that he was abducted on 08.12.2020 and set free after 15/16 days. He further deposed that he was kidnapped by unknown men in uniforms and kept him at Norak. DPO North Waziristan also confirmed in his report the return of Yaqoob Khan to home. </t>
  </si>
  <si>
    <t>Traced Person. DSP (Inv), Rawalpindi appeared before the Commission at Islamabad. His statement was recorded on oath in which he deposed that Ghulam Abbas returned home. He also produced report confirming return of Ghulam Abbas. It is stated in the affidavit with that he went for Tableagh and returned.  No further action is required. The case is closed.</t>
  </si>
  <si>
    <t>06/01/2021</t>
  </si>
  <si>
    <t>07/01/2021</t>
  </si>
  <si>
    <t>12/01/2021</t>
  </si>
  <si>
    <t xml:space="preserve">Traced Person. Sarfraz Ahmed s/o Naik Muhammad Bhatti appeared before the Commission on 20.2.2021 and his statement was recorded on oath in which he deposed that he was not abducted by anybody nut he himself went to Larkana due to fatigue with family at NADRA office. </t>
  </si>
  <si>
    <t>42201-0650281-3
Father CNIC</t>
  </si>
  <si>
    <t>14/01/2021</t>
  </si>
  <si>
    <t>21509-3423053-5
Father CNIC</t>
  </si>
  <si>
    <t xml:space="preserve">Traced Person. Asif has been traced who ha been reported to be confined in Internment Centre Pathiam. No further action is required. The case is closed. </t>
  </si>
  <si>
    <t>21/01/2021</t>
  </si>
  <si>
    <t xml:space="preserve">Traced Person. Sheram Ullah has been traced who ha been reported to be confined in Internment Centre Kohat. No further action is required. The case is closed. </t>
  </si>
  <si>
    <t xml:space="preserve">Traced Person. Raees Khan has been traced. Kamran Khan s/o Raees Khan appeared before the Commission, whose statement has been recorded on oath. In his statement he deposed that his father Raees Khan was confined in Central Jail Karachi and he met him three day ago. </t>
  </si>
  <si>
    <t xml:space="preserve">Traced Person. Rep of MI submitted report that "Suspect Sultan Muhammad Khan s/o Muhammad Javed Khan is in military custody under Pakistan Army Act Sec. 2 (1) (d). (Offical Secret Act 1923) Isfand Ali b/o Sultan Muhammad Khan who was present at the hearing on 19.04.2021 was apprised of the status of the case. No further action is required. The case is closed. </t>
  </si>
  <si>
    <t xml:space="preserve">Traced Person. Report of MI submitted report at the hearing on 04-06-2021 that Muslim Khan is confined at Internment Centre Khar. Family members shall be facilitated to see him. No further action is required. The case is closed. </t>
  </si>
  <si>
    <t>22/01/2021</t>
  </si>
  <si>
    <t>27/01/2021</t>
  </si>
  <si>
    <t>32403-6752965-0
Mother CNIC</t>
  </si>
  <si>
    <t xml:space="preserve">Traced Person. Muhammaf Zarar appeared before the Commission at the hearing held on 15-06-2021. He was reluctant to indicate facts of the episode. Hence no further action is required. The case is closed. </t>
  </si>
  <si>
    <t>30/01/2021</t>
  </si>
  <si>
    <t>12102-8317445-9
12102-7104502-1
Father CNIC</t>
  </si>
  <si>
    <t xml:space="preserve">Traced Person. According to the report of MI furnished at the hearing on 28.06.2021 Muhammad Ibrahim is interned in the Internment Centre, Lakki Marwat. The family members of Muhammad Ibrahim be facilitated to see him as per rules and procedure. </t>
  </si>
  <si>
    <t>01/02/2021</t>
  </si>
  <si>
    <t xml:space="preserve">Traced Person. The Complainant Shamas-ud-Din Kakar appeared before the Commission on 29.3.2021. He stated that he has not leveled any allegation against any of LEAs/ Intelligence Agency in the complaint. He has further deposed that one Aslam nominated accused disclosed in his statement given before Levies that Siraj-ud-Din is confined at Rawalpindi Jail. Deputy Commissioner, Pashin has produced JIT report dated 15.3.2021 wherein the case has been categorized as “Kidnapping of Ransom”. In view of the foregoing. No further action is required. The case is closed. </t>
  </si>
  <si>
    <t xml:space="preserve">Traced Person. As per reports of MI and ISI alongwith statement of wife of Muhammad Alam he is confined in the Internment Centre Fizaghat. No further action is required. The case is closed. </t>
  </si>
  <si>
    <t>03/02/2021</t>
  </si>
  <si>
    <t>Father CNIC
15602-1916599-1</t>
  </si>
  <si>
    <t>Deleted. In this case JIT as well as PTF submitted report that the Missing Person has gone on his own. Father of Jawad Ahmed also appeared and deposed in his statement that he has heard that his son was in Afghanistan, however he concluded   that there is no allegation against LEAs/ Intelligence Agency. No further action is required. The case is closed.</t>
  </si>
  <si>
    <t xml:space="preserve">Traced Person. Muhammad Ayon Khan f/o Sohail Ahmed (Traced Person) entered appearance before the Commission at his statement was recorded on oath, in which he deposed that he had met with Sohail Ahmed in the Internment Centre Lakki Marwat on 22.09.2021. No further  action is required, the case is closed.    </t>
  </si>
  <si>
    <t>04/02/2021</t>
  </si>
  <si>
    <t xml:space="preserve">Traced Person. Anwar Ullah s/o Noor Qadir Khan entered appearance before the Commission on 28.6.2021 whose statement has been recorded on oath in which he deposed that he returned home on 10.02.2021. He further deposed that he was taken into the custody by a person namely Faiz Ullah of FIA, who kept him somewhere in Miran Shah and released after two months and 10 days. During cross examination by the Commission he has stated that Faiz Ullah was accompanied by FC personnel. </t>
  </si>
  <si>
    <t>08/02/2021</t>
  </si>
  <si>
    <t xml:space="preserve">Traced Person. DPO, Tank submitted report at the hearing on 10-06-2021 that Amal Noor has returned home on 05-03-2021. Statement of Amal Noor has also been produced in which he has stated that he went somewhere on his own. No further action is required. The case is closed. </t>
  </si>
  <si>
    <t xml:space="preserve">Traced Person. DSP Charsadda appeared before the Commission on 15.3.2022 whose statement was recorded on oath ion which he deposed that Fazal Hadi had retuned home. He submitted a copy of recorded statement u/s 164 CrPC. No further action is required. The case is closed. </t>
  </si>
  <si>
    <t>Muhammad Saeed, r/o House No. KH-61, Dhok Bhar Shah, Mohalla Dakhli Dhama Sayedan,  Rawalpindi. (Mobile No. 0310-5186060 &amp; 0322-5419901 &amp; 0321-5663607).</t>
  </si>
  <si>
    <t>Traced Person. A report dated 10.03.2021 has been received from MI in which it has been intimated that Suspect Umer Saeed s/o Muhammad Saeed is in military custody under Pakistan Army Act 1952 2(1) (d), Offical secret  Act 1923. Foregoing in view , no further action is required . The case is closed.</t>
  </si>
  <si>
    <t>09/02/2021</t>
  </si>
  <si>
    <t xml:space="preserve">Atta-ur-Rehman Lango, r/o P.O &amp; Tehsil Mangchar, District Kalat, Balochistan. (Mobile No. 0334-4148884). </t>
  </si>
  <si>
    <t>12/02/2021</t>
  </si>
  <si>
    <t>Traced Person. SP (Inv), Rawalpindi appeared before the Commission and stated that Mir Khajan has returned home. The Complainant attend JIT meeting at Islamabad and stated that Mir Khajwan went missing and then came back to his home.  No further action is required. The case is closed.</t>
  </si>
  <si>
    <t>15/02/2021</t>
  </si>
  <si>
    <t xml:space="preserve">Deleted.Assistant Commissioner Buleda District Kech appeared before the Commission on 11.2.2021 at Quetta. He submitted that particulars of the Missing Person are incomplete and families could not located despite best efforts. Hence the case is deleted from the list of enforced disappearance persons. </t>
  </si>
  <si>
    <t xml:space="preserve">Noora </t>
  </si>
  <si>
    <t xml:space="preserve">Zafar s/o Izzat </t>
  </si>
  <si>
    <t>22/02/2021</t>
  </si>
  <si>
    <t xml:space="preserve">Traced person. A report / combined statement has been received from Rep of MI wherein the name of Riaz s/o Zameen Shah finds place at Sr. No. 05. According to the report he is Interned in Internment Centre Lakki Marwat. The date of missing and the date he was interned needs clarifications by the Rep of MI. None appeared on behalf of Riaz traced person, however the complainant may be informed of the status of the case. Family members be facilitated to see Riaz in the Internment Centre in accordance with law. </t>
  </si>
  <si>
    <t xml:space="preserve"> Traced Person. DPO Tribal District Khyber is in attendance and submitted that JIT meeting was held on 07.05.2021. He has further stated that Hussain Shah appeared before the JIT and recorded his statement. Hussain Shah (Traced Person) also entered appearance before the Commission on 21.05.2021 and his statement has been recorded on oath. Since Hussain Shah has been traced, therefore, no further action is required. </t>
  </si>
  <si>
    <t>25/02/2021</t>
  </si>
  <si>
    <t>26/02/2021</t>
  </si>
  <si>
    <t>Afghan Citizen Card No.
AC77216537908</t>
  </si>
  <si>
    <t>Brother CNIC No.
56201-1767499-1</t>
  </si>
  <si>
    <t>Uncle CNIC No.
56201-1767499-1</t>
  </si>
  <si>
    <t xml:space="preserve">Traced Person. Akhtar Shah entered appearance before the Commission on 28.05.2021 on behalf of the Superintendent Jail, Kohat, whose statement was recorded on oath in which he mentioned that Kamal Husssain s/o Hussain Faqeer was presently confined in the District Jail, Kohat in case FIR No. 86 dated 19.11.2019 u/s 302/376/109/7ATA/53 CPA, PS Upper Karrum, District Kurram. As the Missing Person has been traced no further action is required. The case is closed. </t>
  </si>
  <si>
    <t>27/02/2021</t>
  </si>
  <si>
    <t xml:space="preserve">Traced Person. Akhtar Shah entered appearance before the Commission on 28.05.2021 on behalf of the Superintendent Jail, Kohat, whose statement was recorded on oath in which he mentioned that Tajmal Hussain s/o Jamal Hussain was presently confined in the District Jail, Kohat in case FIR No. 86 dated 19.11.2019 u/s 302/376/109/7ATA/53 CPA, PS Upper Karrum, District Kurram. As the Missing Person has been traced no further action is required. The case is closed. </t>
  </si>
  <si>
    <t xml:space="preserve">Traced Person. Akhtar Shah entered appearance before the Commission on 28.05.2021 on behalf of the Superintendent Jail, Kohat, whose statement was recorded on oath in which he mentioned that Ajmal Hussain s/o Jamal Hussain was presently confined in the District Jail, Kohat in case FIR No. 86 dated 19.11.2019 u/s 302/376/109/7ATA/53 CPA, PS Upper Karrum, District Kurram. As the Missing Person has been traced no further action is required. The case is closed. </t>
  </si>
  <si>
    <t xml:space="preserve">Traced Person. Akhtar Shah entered appearance before the Commission on 28.05.2021 on behalf of the Superintendent Jail, Kohat, whose statement was recorded on oath in which he mentioned that Shahzad Ali s/o Ashiq Hussain was presently confined in the District Jail, Kohat in case FIR No. 86 dated 19.11.2019 u/s 302/376/109/7ATA/53 CPA, PS Upper Karrum, District Kurram. As the Missing Person has been traced no further action is required. The case is closed. </t>
  </si>
  <si>
    <t xml:space="preserve">Traced Person. Akhtar Shah entered appearance before the Commission on 28.05.2021 on behalf of the Superintendent Jail, Kohat, whose statement was recorded on oath in which he mentioned that Naveed Hussain s/o Iqbal Hussain was presently confined in the District Jail, Kohat in case FIR No. 86 dated 19.11.2019 u/s 302/376/109/7ATA/53 CPA, PS Upper Karrum, District Kurram. As the Missing Person has been traced no further action is required. The case is closed. </t>
  </si>
  <si>
    <t xml:space="preserve">Traced Person. Akhtar Shah entered appearance before the Commission on 28.05.2021 on behalf of the Superintendent Jail, Kohat, whose statement was recorded on oath in which he mentioned that Sajawal Hussain s/o Jamal Hussain was presently confined in the District Jail, Kohat in case FIR No. 86 dated 19.11.2019 u/s 302/376/109/7ATA/53 CPA, PS Upper Karrum, District Kurram. As the Missing Person has been traced no further action is required. The case is closed. </t>
  </si>
  <si>
    <t xml:space="preserve">Traced Person. Akhtar Shah entered appearance before the Commission on 28.05.2021 on behalf of the Superintendent Jail, Kohat, whose statement was recorded on oath in which he mentioned that Adnan Khaider s/o Najaf Ali was presently confined in the District Jail, Kohat in case FIR No. 86 dated 19.11.2019 u/s 302/376/109/7ATA/53 CPA, PS Upper Karrum, District Kurram. As the Missing Person has been traced no further action is required. The case is closed. </t>
  </si>
  <si>
    <t xml:space="preserve">Traced Person. Akhtar Shah entered appearance before the Commission on 28.05.2021 on behalf of the Superintendent Jail, Kohat, whose statement was recorded on oath in which he mentioned that Jamal Hussain s/o Hussain Faqeer Hussain was presently confined in the District Jail, Kohat in case FIR No. 86 dated 19.11.2019 u/s 302/376/109/7ATA/53 CPA, PS Upper Karrum, District Kurram. As the Missing Person has been traced no further action is required. The case is closed. </t>
  </si>
  <si>
    <t>02/03/2021</t>
  </si>
  <si>
    <t xml:space="preserve">Traced Person. It transpired from the scrutiny of proceedings of JIT report presented at the hearing on 13.08.2021 that a case has been registered against Mazhar Abbas by means of FIR No, 18 dated 01.08.2021 u/s 4/5 ESA r/w 7 ATA by PS CTD. No further action is required, the case is closed. </t>
  </si>
  <si>
    <t>03/03/2021</t>
  </si>
  <si>
    <t>06/03/2021</t>
  </si>
  <si>
    <t>08/03/2021</t>
  </si>
  <si>
    <t>09/03/2021</t>
  </si>
  <si>
    <t xml:space="preserve">Traced Person. Zakir s/o Wali Baig appeared before the Commission on 20.05.2021, whose statement was recorded on oath in which he deposed that he was abducted and taken away blindfolded on 05.03.2021 by unknown persons who set him free at Lahore after 45/46 days. He has also produced copy of his statement recorded u/s 164 CrPC. He further deposed that he could not identify the persons who abducted him even if they are brought before him. No further action is required. The case is closed. </t>
  </si>
  <si>
    <t>10/03/2021</t>
  </si>
  <si>
    <t>11/03/2021</t>
  </si>
  <si>
    <t xml:space="preserve">Traced Person. It was informed at the hearing held on 12.08.2021 that Muhammad Farhan was arrested in case FIR No. 18/2021 dated 01.08.2021 u/s 4/5 ESA r/w 7ATA and 13 (2A) by PS CTS Lahore and presently Muhammad Farhan is under Judicial custody. No further action is required. The case is closed. </t>
  </si>
  <si>
    <t>13/03/2021</t>
  </si>
  <si>
    <t>Balochistan /
Mestung</t>
  </si>
  <si>
    <t>24/03/2021</t>
  </si>
  <si>
    <t>Wife CNIC:
15602-3603560-0</t>
  </si>
  <si>
    <t>Mother CNIC:
15602-3603560-0</t>
  </si>
  <si>
    <t xml:space="preserve">Deleted. SDPO Saeedabad sub-Division, Karachi submitted report and statement of the Complainant Mst. Khanas Bibi in which she deposed that she did not know neither the place of occurrence nor and information about the incident of abduction. Hence, she has withdrawn her complaint. No further action is required. The case is closed. </t>
  </si>
  <si>
    <t>26/03/2021</t>
  </si>
  <si>
    <t>27/03/2021</t>
  </si>
  <si>
    <t>29/03/2021</t>
  </si>
  <si>
    <t>21603-7386699-1
Son CNIC</t>
  </si>
  <si>
    <t xml:space="preserve">Traced Person. Mena Bat Khan s/o Hakeem Khan (Traced Person) appeared before the Commission on 13.10.2021 and his statement was recorded on oath in which he deposed that nobody abducted him and he went to Karachi on his own that he was performing job of Chowikdar at Karachi that he returned home 20 days ago and his statement was recorded before the Magistrate. No further action is required. The case is closed. </t>
  </si>
  <si>
    <t>Traced Person. Naib Tehsildar,  District Kech appeared before the Commission on 02.04.2021 at Quetta and submitted verification certificate confirming that  Sagheer s/o Ameer has returned home.</t>
  </si>
  <si>
    <t>18/04/2019</t>
  </si>
  <si>
    <t>Traced Person. Naib Tehsildar,  District Kech appeared before the Commission on 02.04.2021 at Quetta and submitted verification certificate confirming that  Waris s/o Madihan has returned home.</t>
  </si>
  <si>
    <t>Traced Person. Naib Tehsildar,  District Kech appeared before the Commission on 02.04.2021 at Quetta and submitted verification certificate confirming that  Nusrat s/o Jalal has returned home.</t>
  </si>
  <si>
    <t>Traced Person. Naib Tehsildar,  District Kech appeared before the Commission on 02.04.2021 at Quetta and submitted verification certificate confirming that Saqim has returned home.</t>
  </si>
  <si>
    <t>Traced Person. Naib Tehsildar,  District Kech appeared before the Commission on 02.04.2021 at Quetta and submitted verification certificate confirming that  Dil Murad s/o Dur Muhammad has returned home.</t>
  </si>
  <si>
    <t>Traced Person. Naib Tehsildar,  District Kech appeared before the Commission on 02.04.2021 at Quetta and submitted verification certificate confirming that  Qayyum s/o Baitullah has returned home.</t>
  </si>
  <si>
    <t>Traced Person. Naib Tehsildar,  District Kech appeared before the Commission on 02.04.2021 at Quetta and submitted verification certificate confirming that  Brahim s/o Mazar has returned home.</t>
  </si>
  <si>
    <t>Traced Person. Naib Tehsildar,  District Kech appeared before the Commission on 02.04.2021 at Quetta and submitted verification certificate confirming that Ismail s/o Mayar has returned home.</t>
  </si>
  <si>
    <t>Traced Person. Naib Tehsildar,  District Kech appeared before the Commission on 02.04.2021 at Quetta and submitted verification certificate confirming that Chirag has returned home.</t>
  </si>
  <si>
    <t>Traced Person. Naib Tehsildar,  District Kech appeared before the Commission on 02.04.2021 at Quetta and submitted verification certificate confirming that  Abdullah s/o Murad Bakhsh has returned home.</t>
  </si>
  <si>
    <t>Traced Person. Naib Tehsildar,  District Kech appeared before the Commission on 02.04.2021 at Quetta and submitted verification certificate confirming that  Saeed s/o Bahut has returned home.</t>
  </si>
  <si>
    <t>Traced Person. Naib Tehsildar,  District Kech appeared before the Commission on 02.04.2021 at Quetta and submitted verification certificate confirming that  Sadiq s/o Saeed has returned home.</t>
  </si>
  <si>
    <t>Traced Person. Naib Tehsildar,  District Kech appeared before the Commission on 02.04.2021 at Quetta and submitted verification certificate confirming that  Mazar s/o Sayad has returned home.</t>
  </si>
  <si>
    <t>Traced Person. Naib Tehsildar,  District Kech appeared before the Commission on 02.04.2021 at Quetta and submitted verification certificate confirming that  Gul Sher s/o Rahim Bakhsh has returned home.</t>
  </si>
  <si>
    <t>Traced Person. Naib Tehsildar,  District Kech appeared before the Commission on 02.04.2021 at Quetta and submitted verification certificate confirming that  Sudhir s/o Maqbool has returned home.</t>
  </si>
  <si>
    <t>Traced Person. Naib Tehsildar,  District Kech appeared before the Commission on 02.04.2021 at Quetta and submitted verification certificate confirming that  Zubair s/o Muhammad Jan has returned home.</t>
  </si>
  <si>
    <t>Traced Person. Naib Tehsildar,  District Kech appeared before the Commission on 02.04.2021 at Quetta and submitted verification certificate confirming that  Jasim s/o Pir Bakhsh has returned home.</t>
  </si>
  <si>
    <t xml:space="preserve">Siraj </t>
  </si>
  <si>
    <t>Traced Person. Naib Tehsildar,  District Kech appeared before the Commission on 02.04.2021 at Quetta and submitted verification certificate confirming that Israr s/o Sher Muhammad has returned home.</t>
  </si>
  <si>
    <t>Pir Muhammad s/o  Dil Murad</t>
  </si>
  <si>
    <t>Traced Person. Naib Tehsildar,  District Kech appeared before the Commission on 02.04.2021 at Quetta and submitted verification certificate confirming that Junaid s/o Rahim Bakhsh has returned home.</t>
  </si>
  <si>
    <t>Traced Person. Naib Tehsildar,  District Kech appeared before the Commission on 02.04.2021 at Quetta and submitted verification certificate confirming that Gwahram s/o Amin has returned home.</t>
  </si>
  <si>
    <t>Traced Person. Naib Tehsildar,  District Kech appeared before the Commission on 02.04.2021 at Quetta and submitted verification certificate confirming that Rahim Bakhsh s/o Junaid has returned home.</t>
  </si>
  <si>
    <t>Traced Person. Naib Tehsildar,  District Kech appeared before the Commission on 02.04.2021 at Quetta and submitted verification certificate confirming that Aziz s/o Ghafoor has returned home.</t>
  </si>
  <si>
    <t>Traced Person. Naib Tehsildar,  District Kech appeared before the Commission on 02.04.2021 at Quetta and submitted verification certificate confirming that Jameel s/o Dil Murad has returned home.</t>
  </si>
  <si>
    <t>Traced Person. Naib Tehsildar,  District Kech appeared before the Commission on 02.04.2021 at Quetta and submitted verification certificate confirming that Imdad s/o Karim Dad has returned home.</t>
  </si>
  <si>
    <t>Traced Person. Naib Tehsildar,  District Kech appeared before the Commission on 02.04.2021 at Quetta and submitted verification certificate confirming that Bahram s/o Usman has returned home.</t>
  </si>
  <si>
    <t>Traced Person. Naib Tehsildar,  District Kech appeared before the Commission on 02.04.2021 at Quetta and submitted verification certificate confirming that Pervaiz s/o Bahot has returned home.</t>
  </si>
  <si>
    <t>Traced Person. Naib Tehsildar,  District Kech appeared before the Commission on 02.04.2021 at Quetta and submitted verification certificate confirming that Dr. Allah Bakhsh has returned home.</t>
  </si>
  <si>
    <t>Traced Person. Naib Tehsildar,  District Kech appeared before the Commission on 02.04.2021 at Quetta and submitted verification certificate confirming that Ikhlaq s/o Saleh has returned home.</t>
  </si>
  <si>
    <t>Traced Person. Naib Tehsildar,  District Kech appeared before the Commission on 02.04.2021 at Quetta and submitted verification certificate confirming that Qadir Dad s/o Ismail has returned home.</t>
  </si>
  <si>
    <t>Traced Person. Naib Tehsildar,  District Kech appeared before the Commission on 02.04.2021 at Quetta and submitted verification certificate confirming that Latif Mulla s/o Khalil has returned home.</t>
  </si>
  <si>
    <t>Traced Person. Naib Tehsildar,  District Kech appeared before the Commission on 02.04.2021 at Quetta and submitted verification certificate confirming that Nadil s/o Jan Muhammad has returned home.</t>
  </si>
  <si>
    <t xml:space="preserve">Baloch Khan </t>
  </si>
  <si>
    <t>Traced Person. Naib Tehsildar,  District Kech appeared before the Commission on 02.04.2021 at Quetta and submitted verification certificate confirming that Salim s/o Ayub has returned home.</t>
  </si>
  <si>
    <t xml:space="preserve">Tariq s/o Haji Muhammad Kareem </t>
  </si>
  <si>
    <t>Asif s/o  Dr.Sabir</t>
  </si>
  <si>
    <t>Traced Person. Naib Tehsildar,  District Kech appeared before the Commission on 02.04.2021 at Quetta and submitted verification certificate confirming that Ijaz has returned home.</t>
  </si>
  <si>
    <t>Traced Person. Naib Tehsildar,  District Kech appeared before the Commission on 02.04.2021 at Quetta and submitted verification certificate confirming that Hakeem s/o Piri has returned home.</t>
  </si>
  <si>
    <t>Traced Person. Naib Tehsildar,  District Kech appeared before the Commission on 02.04.2021 at Quetta and submitted verification certificate confirming that Wajo s/o Rehmat Ullah has returned home.</t>
  </si>
  <si>
    <t>Traced Person. Naib Tehsildar,  District Kech appeared before the Commission on 02.04.2021 at Quetta and submitted verification certificate confirming that Ibrahim s/o Haji Hayatan Ullah has returned home.</t>
  </si>
  <si>
    <t>Traced Person. Naib Tehsildar,  District Kech appeared before the Commission on 02.04.2021 at Quetta and submitted verification certificate confirming that Farooq s/o Khalid has returned home.</t>
  </si>
  <si>
    <t>Traced Person. Naib Tehsildar,  District Kech appeared before the Commission on 02.04.2021 at Quetta and submitted verification certificate confirming that Dad Dost s/o Muhamamd Bakhsh has returned home.</t>
  </si>
  <si>
    <t>Traced Person. Naib Tehsildar,  District Kech appeared before the Commission on 02.04.2021 at Quetta and submitted verification certificate confirming that Sameer s/o Pashambay has returned home.</t>
  </si>
  <si>
    <t>Traced Person. Naib Tehsildar,  District Kech appeared before the Commission on 02.04.2021 at Quetta and submitted verification certificate confirming that Gazeer has returned home.</t>
  </si>
  <si>
    <t>Traced Person. Naib Tehsildar,  District Kech appeared before the Commission on 02.04.2021 at Quetta and submitted verification certificate confirming that Muhammad Raheem s/o Shay Muhammad has returned home.</t>
  </si>
  <si>
    <t>Traced Person. Naib Tehsildar,  District Kech appeared before the Commission on 02.04.2021 at Quetta and submitted verification certificate confirming that Yasir s/o Abdullah has returned home.</t>
  </si>
  <si>
    <t>Traced Person. Naib Tehsildar,  District Kech appeared before the Commission on 02.04.2021 at Quetta and submitted verification certificate confirming that Taufiq s/o Rafiq has returned home.</t>
  </si>
  <si>
    <t>Traced Person. Naib Tehsildar,  District Kech appeared before the Commission on 02.04.2021 at Quetta and submitted verification certificate confirming that Bahad s/o Nazir has returned home.</t>
  </si>
  <si>
    <t>Traced Person. Naib Tehsildar,  District Kech appeared before the Commission on 02.04.2021 at Quetta and submitted verification certificate confirming that Shaho has returned home.</t>
  </si>
  <si>
    <t>Traced Person. Naib Tehsildar,  District Kech appeared before the Commission on 02.04.2021 at Quetta and submitted verification certificate confirming that Waji has returned home.</t>
  </si>
  <si>
    <t>Traced Person. Naib Tehsildar,  District Kech appeared before the Commission on 02.04.2021 at Quetta and submitted verification certificate confirming that Muhammad Amin has returned home.</t>
  </si>
  <si>
    <t>Traced Person. Naib Tehsildar,  District Kech appeared before the Commission on 02.04.2021 at Quetta and submitted verification certificate confirming that Haji Ali Muhammad s/o Hassan has returned home.</t>
  </si>
  <si>
    <t>Traced Person. Naib Tehsildar,  District Kech appeared before the Commission on 02.04.2021 at Quetta and submitted verification certificate confirming that Adnan s/o Ali Muhammad has returned home.</t>
  </si>
  <si>
    <t xml:space="preserve"> Irshad s/o Mussa</t>
  </si>
  <si>
    <t xml:space="preserve">Bait Ullah </t>
  </si>
  <si>
    <t>Traced Person. Naib Tehsildar,  District Kech appeared before the Commission on 02.04.2021 at Quetta and submitted verification certificate confirming that Waris s/o Ghafoor has returned home.</t>
  </si>
  <si>
    <t>Traced Person. Naib Tehsildar,  District Kech appeared before the Commission on 02.04.2021 at Quetta and submitted verification certificate confirming that Dilpul s/o Dil has returned home.</t>
  </si>
  <si>
    <t>Traced Person. Naib Tehsildar,  District Kech appeared before the Commission on 02.04.2021 at Quetta and submitted verification certificate confirming that Khalil has returned home.</t>
  </si>
  <si>
    <t>Traced Person. Naib Tehsildar,  District Kech appeared before the Commission on 02.04.2021 at Quetta and submitted verification certificate confirming that Saddam s/o Elahi Bakhsh has returned home.</t>
  </si>
  <si>
    <t>Traced Person. Naib Tehsildar,  District Kech appeared before the Commission on 02.04.2021 at Quetta and submitted verification certificate confirming that Ahmed s/o Abdul Kareem has returned home.</t>
  </si>
  <si>
    <t>Traced Person. Naib Tehsildar,  District Kech appeared before the Commission on 02.04.2021 at Quetta and submitted verification certificate confirming that Ghaffar s/o Gazzi has returned home.</t>
  </si>
  <si>
    <t>Traced Person. Naib Tehsildar,  District Kech appeared before the Commission on 02.04.2021 at Quetta and submitted verification certificate confirming that Barkat Khan s/o Ahmed Khan has returned home.</t>
  </si>
  <si>
    <t>Traced Person. Naib Tehsildar,  District Kech appeared before the Commission on 02.04.2021 at Quetta and submitted verification certificate confirming that Arif s/o Rasool Bakhsh has returned home.</t>
  </si>
  <si>
    <t>Traced Person. Naib Tehsildar,  District Kech appeared before the Commission on 02.04.2021 at Quetta and submitted verification certificate confirming that Bashir s/o Haji Hamza has returned home.</t>
  </si>
  <si>
    <t>Traced Person. Naib Tehsildar,  District Kech appeared before the Commission on 02.04.2021 at Quetta and submitted verification certificate confirming that Waris has returned home.</t>
  </si>
  <si>
    <t>Traced Person. Naib Tehsildar,  District Kech appeared before the Commission on 02.04.2021 at Quetta and submitted verification certificate confirming that Basham s/o Ismail has returned home.</t>
  </si>
  <si>
    <t>Traced Person. Naib Tehsildar,  District Kech appeared before the Commission on 02.04.2021 at Quetta and submitted verification certificate confirming that Tufail has returned home.</t>
  </si>
  <si>
    <t>Traced Person. Naib Tehsildar,  District Kech appeared before the Commission on 02.04.2021 at Quetta and submitted verification certificate confirming that Bilal Mulla s/o Haji Ghulam Rasool has returned home.</t>
  </si>
  <si>
    <t>Traced Person. Naib Tehsildar,  District Kech appeared before the Commission on 02.04.2021 at Quetta and submitted verification certificate confirming that Wahag s/o Baiyan has returned home.</t>
  </si>
  <si>
    <t>Traced Person. Naib Tehsildar,  District Kech appeared before the Commission on 02.04.2021 at Quetta and submitted verification certificate confirming that Yousaf s/o Dawood Maulla has returned home.</t>
  </si>
  <si>
    <t>Traced Person. Naib Tehsildar,  District Kech appeared before the Commission on 02.04.2021 at Quetta and submitted verification certificate confirming that Sami Ullah s/o Bahar has returned home.</t>
  </si>
  <si>
    <t>Traced Person. Naib Tehsildar,  District Kech appeared before the Commission on 02.04.2021 at Quetta and submitted verification certificate confirming that Dur Muhammad s/o Ismail has returned home.</t>
  </si>
  <si>
    <t>Traced Person. Naib Tehsildar,  District Kech appeared before the Commission on 02.04.2021 at Quetta and submitted verification certificate confirming that Allah Bakhsh s/o Nugman has returned home.</t>
  </si>
  <si>
    <t>Traced Person. Naib Tehsildar,  District Kech appeared before the Commission on 02.04.2021 at Quetta and submitted verification certificate confirming that Badin s/o Suleman has returned home.</t>
  </si>
  <si>
    <t>Traced Person. Naib Tehsildar,  District Kech appeared before the Commission on 02.04.2021 at Quetta and submitted verification certificate confirming that Salim s/o Chakar has returned home.</t>
  </si>
  <si>
    <t>Traced Person. Naib Tehsildar,  District Kech appeared before the Commission on 02.04.2021 at Quetta and submitted verification certificate confirming that Phulen s/o Abbas has returned home.</t>
  </si>
  <si>
    <t>Traced Person. Naib Tehsildar,  District Kech appeared before the Commission on 02.04.2021 at Quetta and submitted verification certificate confirming that Chakar s/o Asa has returned home.</t>
  </si>
  <si>
    <t>Traced Person. Naib Tehsildar,  District Kech appeared before the Commission on 02.04.2021 at Quetta and submitted verification certificate confirming that Babul s/o Abbas has returned home.</t>
  </si>
  <si>
    <t>Traced Person. Naib Tehsildar,  District Kech appeared before the Commission on 02.04.2021 at Quetta and submitted verification certificate confirming that Shahi s/o Khasso has returned home.</t>
  </si>
  <si>
    <t>Traced Person. Naib Tehsildar,  District Kech appeared before the Commission on 02.04.2021 at Quetta and submitted verification certificate confirming that Fateh Muhammad s/o Wali Dad has returned home.</t>
  </si>
  <si>
    <t>Traced Person. Naib Tehsildar,  District Kech appeared before the Commission on 02.04.2021 at Quetta and submitted verification certificate confirming that Musa s/o Illahi Bakhsh has returned home.</t>
  </si>
  <si>
    <t>Traced Person. Naib Tehsildar,  District Kech appeared before the Commission on 02.04.2021 at Quetta and submitted verification certificate confirming that Ghulab s/o Qadir Bakhsh has returned home.</t>
  </si>
  <si>
    <t>Traced Person. Naib Tehsildar,  District Kech appeared before the Commission on 02.04.2021 at Quetta and submitted verification certificate confirming that Fida s/o Ibrahim has returned home.</t>
  </si>
  <si>
    <t>Traced Person. Naib Tehsildar,  District Kech appeared before the Commission on 02.04.2021 at Quetta and submitted verification certificate confirming that Muhim s/o Ibrahim has returned home.</t>
  </si>
  <si>
    <t>Traced Person. Naib Tehsildar,  District Kech appeared before the Commission on 02.04.2021 at Quetta and submitted verification certificate confirming that Chirag s/o Swali has returned home.</t>
  </si>
  <si>
    <t>Traced Person. Naib Tehsildar,  District Kech appeared before the Commission on 02.04.2021 at Quetta and submitted verification certificate confirming that Sajid s/o Khuda Dad has returned home.</t>
  </si>
  <si>
    <t>Traced Person. Naib Tehsildar,  District Kech appeared before the Commission on 02.04.2021 at Quetta and submitted verification certificate confirming that Chakar s/o Dad Jan has returned home.</t>
  </si>
  <si>
    <t>Traced Person. Naib Tehsildar,  District Kech appeared before the Commission on 02.04.2021 at Quetta and submitted verification certificate confirming that Wasim s/o Ghulam Jan has returned home.</t>
  </si>
  <si>
    <t>Traced Person. Naib Tehsildar,  District Kech appeared before the Commission on 02.04.2021 at Quetta and submitted verification certificate confirming that Ashraf s/o Yousaf has returned home.</t>
  </si>
  <si>
    <t>Traced Person. Naib Tehsildar,  District Kech appeared before the Commission on 02.04.2021 at Quetta and submitted verification certificate confirming that Nadil s/o Gul Muhammad has returned home.</t>
  </si>
  <si>
    <t>Traced Person. Naib Tehsildar,  District Kech appeared before the Commission on 02.04.2021 at Quetta and submitted verification certificate confirming that Ibrahim s/o Hasil has returned home.</t>
  </si>
  <si>
    <t>Traced Person. Naib Tehsildar,  District Kech appeared before the Commission on 02.04.2021 at Quetta and submitted verification certificate confirming that Raja s/o Wajdad has returned home.</t>
  </si>
  <si>
    <t>Traced Person. Naib Tehsildar,  District Kech appeared before the Commission on 02.04.2021 at Quetta and submitted verification certificate confirming that Hassan s/o Ghulam Muhammad has returned home.</t>
  </si>
  <si>
    <t>Traced Person. Naib Tehsildar,  District Kech appeared before the Commission on 02.04.2021 at Quetta and submitted verification certificate confirming that Naseer Ahmed s/o Swali has returned home.</t>
  </si>
  <si>
    <t>Traced Person. Naib Tehsildar,  District Kech appeared before the Commission on 02.04.2021 at Quetta and submitted verification certificate confirming that Rahim Jan s/o Abdullah has returned home.</t>
  </si>
  <si>
    <t>Traced Person. Naib Tehsildar,  District Kech appeared before the Commission on 02.04.2021 at Quetta and submitted verification certificate confirming that Abbas s/o Hamza has returned home.</t>
  </si>
  <si>
    <t>Traced Person. Naib Tehsildar,  District Kech appeared before the Commission on 02.04.2021 at Quetta and submitted verification certificate confirming that Fahim s/o Ghulam has returned home.</t>
  </si>
  <si>
    <t>Traced Person. Naib Tehsildar,  District Kech appeared before the Commission on 02.04.2021 at Quetta and submitted verification certificate confirming that Zubair s/o Murad Bakhsh has returned home.</t>
  </si>
  <si>
    <t>Traced Person. Naib Tehsildar,  District Kech appeared before the Commission on 02.04.2021 at Quetta and submitted verification certificate confirming that Phandi Bughti has returned home.</t>
  </si>
  <si>
    <t>Traced Person. Naib Tehsildar,  District Kech appeared before the Commission on 02.04.2021 at Quetta and submitted verification certificate confirming that Shakir has returned home.</t>
  </si>
  <si>
    <t>Traced Person. Naib Tehsildar,  District Kech appeared before the Commission on 02.04.2021 at Quetta and submitted verification certificate confirming that Shamir s/o Shakir has returned home.</t>
  </si>
  <si>
    <t>Traced Person. Naib Tehsildar,  District Kech appeared before the Commission on 02.04.2021 at Quetta and submitted verification certificate confirming that Baran has returned home.</t>
  </si>
  <si>
    <t>Traced Person. Naib Tehsildar,  District Kech appeared before the Commission on 02.04.2021 at Quetta and submitted verification certificate confirming that Qamber s/o Baran has returned home.</t>
  </si>
  <si>
    <t>Traced Person. Naib Tehsildar,  District Kech appeared before the Commission on 02.04.2021 at Quetta and submitted verification certificate confirming that Pir Muhammad s/o Qadir Bakhsh has returned home.</t>
  </si>
  <si>
    <t>Traced Person. Naib Tehsildar,  District Kech appeared before the Commission on 02.04.2021 at Quetta and submitted verification certificate confirming that Saleem s/o Abbas has returned home.</t>
  </si>
  <si>
    <t>Traced Person. Naib Tehsildar,  District Kech appeared before the Commission on 02.04.2021 at Quetta and submitted verification certificate confirming that Younis s/o Haji Rahim has returned home.</t>
  </si>
  <si>
    <t>Traced Person. Naib Tehsildar,  District Kech appeared before the Commission on 02.04.2021 at Quetta and submitted verification certificate confirming that Naeem s/o Wali Muhammad has returned home.</t>
  </si>
  <si>
    <t>Traced Person. Naib Tehsildar,  District Kech appeared before the Commission on 02.04.2021 at Quetta and submitted verification certificate confirming that Hasil s/o Rahim Jan has returned home.</t>
  </si>
  <si>
    <t>Traced Person. Naib Tehsildar,  District Kech appeared before the Commission on 02.04.2021 at Quetta and submitted verification certificate confirming that Mohsin Mulla has returned home</t>
  </si>
  <si>
    <t>Traced Person. Naib Tehsildar,  District Kech appeared before the Commission on 02.04.2021 at Quetta and submitted verification certificate confirming that Chakar has returned home.</t>
  </si>
  <si>
    <t>Traced Person. Naib Tehsildar,  District Kech appeared before the Commission on 02.04.2021 at Quetta and submitted verification certificate confirming that Imran has returned home.</t>
  </si>
  <si>
    <t>Traced Person. Naib Tehsildar,  District Kech appeared before the Commission on 02.04.2021 at Quetta and submitted verification certificate confirming that Ijaz s/o Kareem Bakhsh has returned home.</t>
  </si>
  <si>
    <t>Traced Person. Naib Tehsildar,  District Kech appeared before the Commission on 02.04.2021 at Quetta and submitted verification certificate confirming that Wajo Chakar s/o Dad Muhamamd has returned home.</t>
  </si>
  <si>
    <t>Traced Person. Naib Tehsildar,  District Kech appeared before the Commission on 02.04.2021 at Quetta and submitted verification certificate confirming that Balach s/o Abdul Majeed has returned home.</t>
  </si>
  <si>
    <t>Traced Person. Naib Tehsildar,  District Kech appeared before the Commission on 02.04.2021 at Quetta and submitted verification certificate confirming that Altaf s/o Iqbal has returned home.</t>
  </si>
  <si>
    <t>Traced Person. Naib Tehsildar,  District Kech appeared before the Commission on 02.04.2021 at Quetta and submitted verification certificate confirming that Abdul Karim s/o Wali Dad has returned home.</t>
  </si>
  <si>
    <t>Traced Person. Naib Tehsildar,  District Kech appeared before the Commission on 02.04.2021 at Quetta and submitted verification certificate confirming that Ali s/o Hamza has returned home.</t>
  </si>
  <si>
    <t>Traced Person. Naib Tehsildar,  District Kech appeared before the Commission on 02.04.2021 at Quetta and submitted verification certificate confirming that Raees s/o Shah Murad has returned home.</t>
  </si>
  <si>
    <t>Traced Person. Naib Tehsildar,  District Kech appeared before the Commission on 02.04.2021 at Quetta and submitted verification certificate confirming that Sadiq s/o Mayar has returned home.</t>
  </si>
  <si>
    <t>Traced Person. Naib Tehsildar,  District Kech appeared before the Commission on 02.04.2021 at Quetta and submitted verification certificate confirming that Azeem s/o Hayatan has returned home.</t>
  </si>
  <si>
    <t>Traced Person. Naib Tehsildar,  District Kech appeared before the Commission on 02.04.2021 at Quetta and submitted verification certificate confirming that Hameed s/o Brahim has returned home.</t>
  </si>
  <si>
    <t>Traced Person. Naib Tehsildar,  District Kech appeared before the Commission on 02.04.2021 at Quetta and submitted verification certificate confirming that Pazeer s/o Majeed has returned home.</t>
  </si>
  <si>
    <t>Traced Person. Naib Tehsildar,  District Kech appeared before the Commission on 02.04.2021 at Quetta and submitted verification certificate confirming that Noor Dad s/o Meeran has returned home.</t>
  </si>
  <si>
    <t>Traced Person. Naib Tehsildar,  District Kech appeared before the Commission on 02.04.2021 at Quetta and submitted verification certificate confirming that Ayub s/o Hameed has returned home.</t>
  </si>
  <si>
    <t>Traced Person. Naib Tehsildar,  District Kech appeared before the Commission on 02.04.2021 at Quetta and submitted verification certificate confirming that Khaliq Gul s/o Gul has returned home.</t>
  </si>
  <si>
    <t>Traced Person. Naib Tehsildar,  District Kech appeared before the Commission on 02.04.2021 at Quetta and submitted verification certificate confirming that Chirag s/o Hassan has returned home.</t>
  </si>
  <si>
    <t>Traced Person. Naib Tehsildar,  District Kech appeared before the Commission on 02.04.2021 at Quetta and submitted verification certificate confirming that Imam s/o Rasheed has returned home.</t>
  </si>
  <si>
    <t>Traced Person. Naib Tehsildar,  District Kech appeared before the Commission on 02.04.2021 at Quetta and submitted verification certificate confirming that Parwaz s/o Muhammad Jan has returned home.</t>
  </si>
  <si>
    <t>Traced Person. Naib Tehsildar,  District Kech appeared before the Commission on 02.04.2021 at Quetta and submitted verification certificate confirming that Iqbal has returned home.</t>
  </si>
  <si>
    <t>Traced Person. Naib Tehsildar,  District Kech appeared before the Commission on 02.04.2021 at Quetta and submitted verification certificate confirming that Sadam s/o Yasin has returned home.</t>
  </si>
  <si>
    <t>Traced Person. Naib Tehsildar,  District Kech appeared before the Commission on 02.04.2021 at Quetta and submitted verification certificate confirming that Basit s/o Rehmat UIlah has returned home.</t>
  </si>
  <si>
    <t>Traced Person. Naib Tehsildar,  District Kech appeared before the Commission on 02.04.2021 at Quetta and submitted verification certificate confirming that Dil Jan s/o Murad Jan has returned home.</t>
  </si>
  <si>
    <t>Traced Person. Naib Tehsildar,  District Kech appeared before the Commission on 02.04.2021 at Quetta and submitted verification certificate confirming that Waris s/o Ismail has returned home.</t>
  </si>
  <si>
    <t>Traced Person. Naib Tehsildar,  District Kech appeared before the Commission on 02.04.2021 at Quetta and submitted verification certificate confirming that Mehboob s/o Shafi Muhammad has returned home.</t>
  </si>
  <si>
    <t>Traced Person. Naib Tehsildar,  District Kech appeared before the Commission on 02.04.2021 at Quetta and submitted verification certificate confirming that Ibrahim s/o Shah Sarwar has returned home.</t>
  </si>
  <si>
    <t>Traced Person. Naib Tehsildar,  District Kech appeared before the Commission on 02.04.2021 at Quetta and submitted verification certificate confirming that Hanif s/o Nabi Bakhsh has returned home.</t>
  </si>
  <si>
    <t>Traced Person. Naib Tehsildar,  District Kech appeared before the Commission on 02.04.2021 at Quetta and submitted verification certificate confirming that Azeem s/o Naguman has returned home.</t>
  </si>
  <si>
    <t>Traced Person. Naib Tehsildar,  District Kech appeared before the Commission on 02.04.2021 at Quetta and submitted verification certificate confirming that Adil s/o Iqbal has returned home.</t>
  </si>
  <si>
    <t>Traced Person. Naib Tehsildar,  District Kech appeared before the Commission on 02.04.2021 at Quetta and submitted verification certificate confirming that Swali s/o Charshambay has returned home.</t>
  </si>
  <si>
    <t>Traced Person. Naib Tehsildar,  District Kech appeared before the Commission on 02.04.2021 at Quetta and submitted verification certificate confirming that Sadiq s/o Haji Ali Muhammad has returned home.</t>
  </si>
  <si>
    <t>Traced Person. Naib Tehsildar,  District Kech appeared before the Commission on 02.04.2021 at Quetta and submitted verification certificate confirming that Kamal s/o Nasir has returned home.</t>
  </si>
  <si>
    <t>Traced Person. Naib Tehsildar,  District Kech appeared before the Commission on 02.04.2021 at Quetta and submitted verification certificate confirming that Muhib s/o Sheikh Abdul Hameed has returned home.</t>
  </si>
  <si>
    <t>Traced Person. Naib Tehsildar,  District Kech appeared before the Commission on 02.04.2021 at Quetta and submitted verification certificate confirming that Khalid s/o Ghulam Qadir has returned home.</t>
  </si>
  <si>
    <t>Traced Person. Naib Tehsildar,  District Kech appeared before the Commission on 02.04.2021 at Quetta and submitted verification certificate confirming that Sameer s/o Murad Jan has returned home.</t>
  </si>
  <si>
    <t>Traced Person. Naib Tehsildar,  District Kech appeared before the Commission on 02.04.2021 at Quetta and submitted verification certificate confirming that Nazeer s/o Ghulam Rasool has returned home.</t>
  </si>
  <si>
    <t>Traced Person. Naib Tehsildar,  District Kech appeared before the Commission on 02.04.2021 at Quetta and submitted verification certificate confirming that Fazal s/o Abdul Qadir has returned home.</t>
  </si>
  <si>
    <t>Traced Person. Naib Tehsildar,  District Kech appeared before the Commission on 02.04.2021 at Quetta and submitted verification certificate confirming that Karim s/o Rafiq has returned home.</t>
  </si>
  <si>
    <t>Traced Person. Naib Tehsildar,  District Kech appeared before the Commission on 02.04.2021 at Quetta and submitted verification certificate confirming that Wahid s/o Sheran has returned home.</t>
  </si>
  <si>
    <t>Traced Person. Naib Tehsildar,  District Kech appeared before the Commission on 02.04.2021 at Quetta and submitted verification certificate confirming that Doda s/o Nizar Muhammad has returned home.</t>
  </si>
  <si>
    <t>Traced Person. Naib Tehsildar,  District Kech appeared before the Commission on 02.04.2021 at Quetta and submitted verification certificate confirming that Faqeer s/o Ali Bakhsh has returned home.</t>
  </si>
  <si>
    <t xml:space="preserve">Sana </t>
  </si>
  <si>
    <t xml:space="preserve">Iqbal Baloch </t>
  </si>
  <si>
    <t>Tump  Area , District Kech</t>
  </si>
  <si>
    <t>Traced Person. Naib Tehsildar,  District Kech appeared before the Commission on 02.04.2021 at Quetta and submitted verification certificate confirming that Asim s/o Gul Muhammad has returned home.</t>
  </si>
  <si>
    <t xml:space="preserve">Muheem s/o Gul Muhammad </t>
  </si>
  <si>
    <t>Traced Person. Naib Tehsildar,  District Kech appeared before the Commission on 02.04.2021 at Quetta and submitted verification certificate confirming that Muheem s/o Gul Muhammad has returned home.</t>
  </si>
  <si>
    <t>Traced Person. Naib Tehsildar,  District Kech appeared before the Commission on 02.04.2021 at Quetta and submitted verification certificate confirming that Saqeer s/o Ameet has returned home.</t>
  </si>
  <si>
    <t>Traced Person. Naib Tehsildar,  District Kech appeared before the Commission on 02.04.2021 at Quetta and submitted verification certificate confirming that Meero s/o Hussain has returned home.</t>
  </si>
  <si>
    <t>Traced Person. Naib Tehsildar,  District Kech appeared before the Commission on 02.04.2021 at Quetta and submitted verification certificate confirming that Imama s/o Hussain has returned home.</t>
  </si>
  <si>
    <t>Traced Person. Naib Tehsildar,  District Kech appeared before the Commission on 02.04.2021 at Quetta and submitted verification certificate confirming that Alim s/o Hussain has returned home.</t>
  </si>
  <si>
    <t>Traced Person. Naib Tehsildar,  District Kech appeared before the Commission on 02.04.2021 at Quetta and submitted verification certificate confirming that Pervaiz s/o Mazar Baloch has returned home.</t>
  </si>
  <si>
    <t>Traced Person. Naib Tehsildar,  District Kech appeared before the Commission on 02.04.2021 at Quetta and submitted verification certificate confirming that Jalal s/o Mazar Baloch has returned home.</t>
  </si>
  <si>
    <t>Traced Person. Naib Tehsildar,  District Kech appeared before the Commission on 02.04.2021 at Quetta and submitted verification certificate confirming that Yousaf s/o Hafeez Ghani has returned home.</t>
  </si>
  <si>
    <t xml:space="preserve">Jan Muhammad s/o Yaqoob </t>
  </si>
  <si>
    <t>Traced Person. Naib Tehsildar,  District Kech appeared before the Commission on 02.04.2021 at Quetta and submitted verification certificate confirming that Tapal has returned home.</t>
  </si>
  <si>
    <t>Traced Person. Naib Tehsildar,  District Kech appeared before the Commission on 02.04.2021 at Quetta and submitted verification certificate confirming that Idrees s/o Dost Muhammad has returned home.</t>
  </si>
  <si>
    <t xml:space="preserve">Fazal s/o Main Purdul </t>
  </si>
  <si>
    <t>Traced Person. Naib Tehsildar,  District Kech appeared before the Commission on 02.04.2021 at Quetta and submitted verification certificate confirming that Fazal s/o Main Purdul has returned home.</t>
  </si>
  <si>
    <t>Traced Person. Naib Tehsildar,  District Kech appeared before the Commission on 02.04.2021 at Quetta and submitted verification certificate confirming that Hameed s/o Ilyas has returned home.</t>
  </si>
  <si>
    <t>Traced Person. Naib Tehsildar,  District Kech appeared before the Commission on 02.04.2021 at Quetta and submitted verification certificate confirming that Tawakal s/o Rasool Bux has returned home.</t>
  </si>
  <si>
    <t>Traced Person. Naib Tehsildar,  District Kech appeared before the Commission on 02.04.2021 at Quetta and submitted verification certificate confirming that Murad s/o Sulaiman has returned home.</t>
  </si>
  <si>
    <t xml:space="preserve">Akthar s/o Siddique </t>
  </si>
  <si>
    <t xml:space="preserve">Sumair s/o Naseer </t>
  </si>
  <si>
    <t>Traced Person. Naib Tehsildar,  District Kech appeared before the Commission on 02.04.2021 at Quetta and submitted verification certificate confirming that Sumair s/o Naseer has returned home.</t>
  </si>
  <si>
    <t>Traced Person. Naib Tehsildar,  District Kech appeared before the Commission on 02.04.2021 at Quetta and submitted verification certificate confirming that Akhtar s/o Ashraf has returned home.</t>
  </si>
  <si>
    <t>Traced Person. Naib Tehsildar,  District Kech appeared before the Commission on 02.04.2021 at Quetta and submitted verification certificate confirming that Zafar s/o Abdul Rehman has returned home.</t>
  </si>
  <si>
    <t>Traced Person. Naib Tehsildar,  District Kech appeared before the Commission on 02.04.2021 at Quetta and submitted verification certificate confirming that Akarm s/o Muhammad Bux has returned home.</t>
  </si>
  <si>
    <t>Traced Person. Naib Tehsildar,  District Kech appeared before the Commission on 02.04.2021 at Quetta and submitted verification certificate confirming that Nagoman s/o Muhammad Jala has returned home.</t>
  </si>
  <si>
    <t xml:space="preserve">Ishfaq s/o Sudair </t>
  </si>
  <si>
    <t>Traced Person. Naib Tehsildar,  District Kech appeared before the Commission on 02.04.2021 at Quetta and submitted verification certificate confirming that Ishfaq s/o Sudair has returned home.</t>
  </si>
  <si>
    <t>Traced Person. Naib Tehsildar,  District Kech appeared before the Commission on 02.04.2021 at Quetta and submitted verification certificate confirming that Ahmed has returned home.</t>
  </si>
  <si>
    <t>Traced Person. Naib Tehsildar,  District Kech appeared before the Commission on 02.04.2021 at Quetta and submitted verification certificate confirming that Aslam s/o Abdul Majeed has returned home.</t>
  </si>
  <si>
    <t>Traced Person. Naib Tehsildar,  District Kech appeared before the Commission on 02.04.2021 at Quetta and submitted verification certificate confirming that Faisal s/o Abdul Khaliq has returned home.</t>
  </si>
  <si>
    <t xml:space="preserve">Farooq </t>
  </si>
  <si>
    <t xml:space="preserve">Amjad </t>
  </si>
  <si>
    <t>Traced Person. Naib Tehsildar,  District Kech appeared before the Commission on 02.04.2021 at Quetta and submitted verification certificate confirming that Amjad has returned home.</t>
  </si>
  <si>
    <t>Traced Person. Naib Tehsildar,  District Kech appeared before the Commission on 02.04.2021 at Quetta and submitted verification certificate confirming that Majid has returned home.</t>
  </si>
  <si>
    <t xml:space="preserve">Abdul Wahid s/o Chaker </t>
  </si>
  <si>
    <t>Traced Person. Naib Tehsildar,  District Kech appeared before the Commission on 02.04.2021 at Quetta and submitted verification certificate confirming that Abdul Wahid s/o Chaker has returned home.</t>
  </si>
  <si>
    <t>Traced Person. Naib Tehsildar,  District Kech appeared before the Commission on 02.04.2021 at Quetta and submitted verification certificate confirming that Haji Wahid Bux s/o Abbas has returned home.</t>
  </si>
  <si>
    <t xml:space="preserve">Mistary Rafeeq s/o Mayar </t>
  </si>
  <si>
    <t>Traced Person. Naib Tehsildar,  District Kech appeared before the Commission on 02.04.2021 at Quetta and submitted verification certificate confirming that Mistary Rafeeq s/o Mayar has returned home.</t>
  </si>
  <si>
    <t xml:space="preserve">Rasheed s/o Murad </t>
  </si>
  <si>
    <t>Traced Person. Naib Tehsildar,  District Kech appeared before the Commission on 02.04.2021 at Quetta and submitted verification certificate confirming that Rasheed s/o Murad has returned home.</t>
  </si>
  <si>
    <t xml:space="preserve">Hashim s/o Shair Shambay </t>
  </si>
  <si>
    <t>Traced Person. Naib Tehsildar,  District Kech appeared before the Commission on 02.04.2021 at Quetta and submitted verification certificate confirming that Hashim s/o Shair Shambay has returned home.</t>
  </si>
  <si>
    <t>Traced Person. Naib Tehsildar,  District Kech appeared before the Commission on 02.04.2021 at Quetta and submitted verification certificate confirming that Nagoman has returned home.</t>
  </si>
  <si>
    <t>Traced Person. Naib Tehsildar,  District Kech appeared before the Commission on 02.04.2021 at Quetta and submitted verification certificate confirming that Hassan has returned home.</t>
  </si>
  <si>
    <t>Traced Person. Naib Tehsildar,  District Kech appeared before the Commission on 02.04.2021 at Quetta and submitted verification certificate confirming that Zubair s/o Nabi Dad has returned home.</t>
  </si>
  <si>
    <t>Traced Person. Naib Tehsildar,  District Kech appeared before the Commission on 02.04.2021 at Quetta and submitted verification certificate confirming that Younas s/o Murad has returned home.</t>
  </si>
  <si>
    <t>Traced Person. Naib Tehsildar,  District Kech appeared before the Commission on 02.04.2021 at Quetta and submitted verification certificate confirming that Asghar has returned home.</t>
  </si>
  <si>
    <t>Traced Person. Naib Tehsildar,  District Kech appeared before the Commission on 02.04.2021 at Quetta and submitted verification certificate confirming that Habeeb s/o Din Muhammad has returned home.</t>
  </si>
  <si>
    <t>Traced Person. Naib Tehsildar,  District Kech appeared before the Commission on 02.04.2021 at Quetta and submitted verification certificate confirming that Ajab s/o Muhammad Bux has returned home.</t>
  </si>
  <si>
    <t>Traced Person. Naib Tehsildar,  District Kech appeared before the Commission on 02.04.2021 at Quetta and submitted verification certificate confirming that Mehboob s/o Ghulam Nigwari has returned home.</t>
  </si>
  <si>
    <t>Traced Person. Naib Tehsildar,  District Kech appeared before the Commission on 02.04.2021 at Quetta and submitted verification certificate confirming that Essa s/o Abdul Rehman has returned home.</t>
  </si>
  <si>
    <t>Traced Person. Naib Tehsildar,  District Kech appeared before the Commission on 02.04.2021 at Quetta and submitted verification certificate confirming that Meraj s/o Abdullah has returned home.</t>
  </si>
  <si>
    <t>Traced Person. Naib Tehsildar,  District Kech appeared before the Commission on 02.04.2021 at Quetta and submitted verification certificate confirming that Javaid s/o Abdullah has returned home.</t>
  </si>
  <si>
    <t>Traced Person. Naib Tehsildar,  District Kech appeared before the Commission on 02.04.2021 at Quetta and submitted verification certificate confirming that Abdul Majeed s/o Qtub has returned home.</t>
  </si>
  <si>
    <t>Traced Person. Naib Tehsildar,  District Kech appeared before the Commission on 02.04.2021 at Quetta and submitted verification certificate confirming that Niaz s/o Muhammad Hayat has returned home.</t>
  </si>
  <si>
    <t>Traced Person. Naib Tehsildar,  District Kech appeared before the Commission on 02.04.2021 at Quetta and submitted verification certificate confirming that Shoiab s/o Muhammad Murad has returned home.</t>
  </si>
  <si>
    <t>Traced Person. Naib Tehsildar,  District Kech appeared before the Commission on 02.04.2021 at Quetta and submitted verification certificate confirming that Abdul Kareem s/o Karam Shah has returned home.</t>
  </si>
  <si>
    <t>Traced Person. Naib Tehsildar,  District Kech appeared before the Commission on 02.04.2021 at Quetta and submitted verification certificate confirming that Naseer s/o Muhammad Bux has returned home.</t>
  </si>
  <si>
    <t>Traced Person. Naib Tehsildar,  District Kech appeared before the Commission on 02.04.2021 at Quetta and submitted verification certificate confirming that Jabir s/o Rasheed has returned home.</t>
  </si>
  <si>
    <t xml:space="preserve">Sameer s/o Jan Muhammad </t>
  </si>
  <si>
    <t>Traced Person. Naib Tehsildar,  District Kech appeared before the Commission on 02.04.2021 at Quetta and submitted verification certificate confirming that Sameer s/o Jan Muhammad has returned home.</t>
  </si>
  <si>
    <t>Traced Person. Naib Tehsildar,  District Kech appeared before the Commission on 02.04.2021 at Quetta and submitted verification certificate confirming that Iqbal s/o Hussain has returned home.</t>
  </si>
  <si>
    <t>Traced Person. Naib Tehsildar,  District Kech appeared before the Commission on 02.04.2021 at Quetta and submitted verification certificate confirming that Hamza s/o Shahdad has returned home.</t>
  </si>
  <si>
    <t>Traced Person. Naib Tehsildar,  District Kech appeared before the Commission on 02.04.2021 at Quetta and submitted verification certificate confirming that Aziz s/o Kareem Bux has returned home.</t>
  </si>
  <si>
    <t xml:space="preserve">Haleem s/o Saqidad </t>
  </si>
  <si>
    <t>Traced Person. Naib Tehsildar,  District Kech appeared before the Commission on 02.04.2021 at Quetta and submitted verification certificate confirming that Haleem s/o Saqidad has returned home.</t>
  </si>
  <si>
    <t>Traced Person. Naib Tehsildar,  District Kech appeared before the Commission on 02.04.2021 at Quetta and submitted verification certificate confirming that Naseem s/o Saqidad has returned home.</t>
  </si>
  <si>
    <t>Traced Person. Naib Tehsildar,  District Kech appeared before the Commission on 02.04.2021 at Quetta and submitted verification certificate confirming that Niaz s/o Ibrahim has returned home.</t>
  </si>
  <si>
    <t>Traced Person. Naib Tehsildar,  District Kech appeared before the Commission on 02.04.2021 at Quetta and submitted verification certificate confirming that Basit s/o Ibrahim has returned home.</t>
  </si>
  <si>
    <t>Traced Person. Naib Tehsildar,  District Kech appeared before the Commission on 02.04.2021 at Quetta and submitted verification certificate confirming that Reyaz s/o Dad Muhammad has returned home.</t>
  </si>
  <si>
    <t xml:space="preserve">Naseem s/o Abdul Kareem </t>
  </si>
  <si>
    <t xml:space="preserve">Majeed s/o Khud e Dad </t>
  </si>
  <si>
    <t>Traced Person. Naib Tehsildar,  District Kech appeared before the Commission on 02.04.2021 at Quetta and submitted verification certificate confirming that Majeed s/o Khud e Dad has returned home.</t>
  </si>
  <si>
    <t>Traced Person. Naib Tehsildar,  District Kech appeared before the Commission on 02.04.2021 at Quetta and submitted verification certificate confirming that Abdul Sattar s/o Raheem has returned home.</t>
  </si>
  <si>
    <t>Traced Person. Naib Tehsildar,  District Kech appeared before the Commission on 02.04.2021 at Quetta and submitted verification certificate confirming that Noor Muhammad s/o Iqbal has returned home</t>
  </si>
  <si>
    <t>Traced Person. Naib Tehsildar,  District Kech appeared before the Commission on 02.04.2021 at Quetta and submitted verification certificate confirming thatFarid Shah s/o Nadir Shah has returned home.</t>
  </si>
  <si>
    <t>Traced Person. Naib Tehsildar,  District Kech appeared before the Commission on 02.04.2021 at Quetta and submitted verification certificate confirming that  Molla Dad s/o Haibtan has returned home.</t>
  </si>
  <si>
    <t xml:space="preserve">Muhammad Jan s/o Behram </t>
  </si>
  <si>
    <t>Traced Person. Naib Tehsildar,  District Kech appeared before the Commission on 02.04.2021 at Quetta and submitted verification certificate confirming that  Muhammad Jan s/o Behram has returned home.</t>
  </si>
  <si>
    <t>Traced Person. Naib Tehsildar,  District Kech appeared before the Commission on 02.04.2021 at Quetta and submitted verification certificate confirming that Majeed s/o Usman has returned home.</t>
  </si>
  <si>
    <t>Traced Person. Naib Tehsildar,  District Kech appeared before the Commission on 02.04.2021 at Quetta and submitted verification certificate confirming that  Khuda Bux s/o Syed Muhammad has returned home.</t>
  </si>
  <si>
    <t>Traced Person. Naib Tehsildar,  District Kech appeared before the Commission on 02.04.2021 at Quetta and submitted verification certificate confirming that  Khalid s/o Shair Muhammad has returned home.</t>
  </si>
  <si>
    <t>Traced Person. Raisaldar Levies,  District Awaran appeared before the Commission on 05.04.2021 at Quetta and submitted verification certificate confirming that Aman Ullah s/o Khoso has returned home.</t>
  </si>
  <si>
    <t>Traced Person. Raisaldar Levies,  District Awaran appeared before the Commission on 05.04.2021 at Quetta and submitted verification certificate confirming that Sabir s/o Fateh Muhammad has returned home.</t>
  </si>
  <si>
    <t>Traced Person. Raisaldar Levies,  District Awaran appeared before the Commission on 05.04.2021 at Quetta and submitted verification certificate confirming that Illahi Bakhsh s/o Fateh Muhammad has returned home.</t>
  </si>
  <si>
    <t>Traced Person. Raisaldar Levies,  District Awaran appeared before the Commission on 05.04.2021 at Quetta and submitted verification certificate confirming that Faqir Jan s/o Syed Muhammad has returned home.</t>
  </si>
  <si>
    <t>Traced Person. Raisaldar Levies,  District Awaran appeared before the Commission on 05.04.2021 at Quetta and submitted verification certificate confirming that Khair Muhammad s/o Noor Muhammad has returned home.</t>
  </si>
  <si>
    <t>Traced Person. Raisaldar Levies,  District Awaran appeared before the Commission on 05.04.2021 at Quetta and submitted verification certificate confirming that Shoaib s/o Azeem has returned home.</t>
  </si>
  <si>
    <t>Traced Person. Raisaldar Levies,  District Awaran appeared before the Commission on 05.04.2021 at Quetta and submitted verification certificate confirming that Jamal s/o Haisho has returned home.</t>
  </si>
  <si>
    <t>Traced Person. Raisaldar Levies,  District Awaran appeared before the Commission on 05.04.2021 at Quetta and submitted verification certificate confirming that Dil Murad s/o Swali has returned home.</t>
  </si>
  <si>
    <t>Traced Person. Raisaldar Levies,  District Awaran appeared before the Commission on 05.04.2021 at Quetta and submitted verification certificate confirming that Rasheed s/o Sardo has returned home.</t>
  </si>
  <si>
    <t>Traced Person. Raisaldar Levies,  District Awaran appeared before the Commission on 05.04.2021 at Quetta and submitted verification certificate confirming that Salam s/o Hasso Mula has returned home.</t>
  </si>
  <si>
    <t>Traced Person. Raisaldar Levies,  District Awaran appeared before the Commission on 05.04.2021 at Quetta and submitted verification certificate confirming that Munir s/o Yousaf has returned home.</t>
  </si>
  <si>
    <t>Traced Person. Raisaldar Levies,  District Awaran appeared before the Commission on 05.04.2021 at Quetta and submitted verification certificate confirming that noora s/o Muhim Khan has returned home.</t>
  </si>
  <si>
    <t>Traced Person. Raisaldar Levies,  District Awaran appeared before the Commission on 05.04.2021 at Quetta and submitted verification certificate confirming that Habib s/o Fateh Muhammad has returned home.</t>
  </si>
  <si>
    <t>Traced Person. Raisaldar Levies,  District Awaran appeared before the Commission on 05.04.2021 at Quetta and submitted verification certificate confirming that Zareef s/o Khuda Bakhsh has returned home.</t>
  </si>
  <si>
    <t>Traced Person. Raisaldar Levies,  District Awaran appeared before the Commission on 05.04.2021 at Quetta and submitted verification certificate confirming that Akram s/o Nasir has returned home.</t>
  </si>
  <si>
    <t>Traced Person. Raisaldar Levies,  District Awaran appeared before the Commission on 05.04.2021 at Quetta and submitted verification certificate confirming that Zabad s/o Sardo has returned home.</t>
  </si>
  <si>
    <t>Traced Person. Raisaldar Levies,  District Awaran appeared before the Commission on 05.04.2021 at Quetta and submitted verification certificate confirming that Shairo s/o Lahdad has returned home.</t>
  </si>
  <si>
    <t>Traced Person. Raisaldar Levies,  District Awaran appeared before the Commission on 05.04.2021 at Quetta and submitted verification certificate confirming that Ramzan s/o Amir Bakhsh has returned home.</t>
  </si>
  <si>
    <t>Traced Person. Raisaldar Levies,  District Awaran appeared before the Commission on 05.04.2021 at Quetta and submitted verification certificate confirming that Mir Jan s/o Mayar has returned home.</t>
  </si>
  <si>
    <t>Traced Person. Raisaldar Levies,  District Awaran appeared before the Commission on 05.04.2021 at Quetta and submitted verification certificate confirming that Babul s/o Muhammad Amin has returned home.</t>
  </si>
  <si>
    <t>Traced Person. Raisaldar Levies,  District Awaran appeared before the Commission on 05.04.2021 at Quetta and submitted verification certificate confirming that Akeel s/o Musa has returned home.</t>
  </si>
  <si>
    <t>Traced Person. Raisaldar Levies,  District Awaran appeared before the Commission on 05.04.2021 at Quetta and submitted verification certificate confirming that Atta s/o Ramzan has returned home.</t>
  </si>
  <si>
    <t>Traced Person. Raisaldar Levies,  District Awaran appeared before the Commission on 05.04.2021 at Quetta and submitted verification certificate confirming that Munir s/o Inam Bakhsh has returned home.</t>
  </si>
  <si>
    <t>Traced Person. Raisaldar Levies,  District Awaran appeared before the Commission on 05.04.2021 at Quetta and submitted verification certificate confirming that Bakhshkok s/o Bara has returned home.</t>
  </si>
  <si>
    <t>Traced Person. Raisaldar Levies,  District Awaran appeared before the Commission on 05.04.2021 at Quetta and submitted verification certificate confirming that Allah Dad s/o Shafi has returned home.n</t>
  </si>
  <si>
    <t>Traced Person. Raisaldar Levies,  District Awaran appeared before the Commission on 05.04.2021 at Quetta and submitted verification certificate confirming that Akram s/o Atta Muhamamd has returned home.</t>
  </si>
  <si>
    <t>Traced Person. Raisaldar Levies,  District Awaran appeared before the Commission on 05.04.2021 at Quetta and submitted verification certificate confirming that Rasheed s/o Muhammad Rahim has returned home.</t>
  </si>
  <si>
    <t>Traced Person. Raisaldar Levies,  District Awaran appeared before the Commission on 05.04.2021 at Quetta and submitted verification certificate confirming that Lal Bakhsh s/o Muhamamd has returned home.</t>
  </si>
  <si>
    <t>Traced Person. Raisaldar Levies,  District Awaran appeared before the Commission on 05.04.2021 at Quetta and submitted verification certificate confirming that Qadir Bakhsh s/o Char Shambay has returned home.</t>
  </si>
  <si>
    <t>Traced Person. Raisaldar Levies,  District Awaran appeared before the Commission on 05.04.2021 at Quetta and submitted verification certificate confirming that Iqbal s/o Mola Bakhsh has returned home.</t>
  </si>
  <si>
    <t>Traced Person. Raisaldar Levies,  District Awaran appeared before the Commission on 05.04.2021 at Quetta and submitted verification certificate confirming that Pathan s/o Faiz Muhamamd has returned home.</t>
  </si>
  <si>
    <t>Traced Person. Raisaldar Levies,  District Awaran appeared before the Commission on 05.04.2021 at Quetta and submitted verification certificate confirming that Jumma s/o Nizar Muhamamd has returned home.</t>
  </si>
  <si>
    <t>Traced Person. Raisaldar Levies,  District Awaran appeared before the Commission on 05.04.2021 at Quetta and submitted verification certificate confirming that Jango s/o Khuda Bakhsh has returned home.</t>
  </si>
  <si>
    <t>Traced Person. Raisaldar Levies,  District Awaran appeared before the Commission on 05.04.2021 at Quetta and submitted verification certificate confirming that Lalok s/o Allo has returned home.</t>
  </si>
  <si>
    <t>Traced Person. Raisaldar Levies,  District Awaran appeared before the Commission on 05.04.2021 at Quetta and submitted verification certificate confirming that Saleem s/o Ghulam Hussain has returned home.</t>
  </si>
  <si>
    <t>Traced Person. Raisaldar Levies,  District Awaran appeared before the Commission on 05.04.2021 at Quetta and submitted verification certificate confirming that Anwar s/o Khuda Bakhsh has returned home.</t>
  </si>
  <si>
    <t>Traced Person. Raisaldar Levies,  District Awaran appeared before the Commission on 05.04.2021 at Quetta and submitted verification certificate confirming that Tasqeer s/o Barhim has returned home.</t>
  </si>
  <si>
    <t>Traced Person. Raisaldar Levies,  District Awaran appeared before the Commission on 05.04.2021 at Quetta and submitted verification certificate confirming that Umeed s/o Khuda Bakhsh has returned home.</t>
  </si>
  <si>
    <t>Traced Person. Raisaldar Levies,  District Awaran appeared before the Commission on 05.04.2021 at Quetta and submitted verification certificate confirming that Naseer s/o Ghulam Qadir has returned home.</t>
  </si>
  <si>
    <t>Traced Person. Raisaldar Levies,  District Awaran appeared before the Commission on 05.04.2021 at Quetta and submitted verification certificate confirming that Sohail s/o Ismail has returned home.</t>
  </si>
  <si>
    <t>Traced Person. Raisaldar Levies,  District Awaran appeared before the Commission on 05.04.2021 at Quetta and submitted verification certificate confirming that Rasool Bakhsh s/o Abdul has returned home.</t>
  </si>
  <si>
    <t>Traced Person. Raisaldar Levies,  District Awaran appeared before the Commission on 05.04.2021 at Quetta and submitted verification certificate confirming that Naseeb has returned home.</t>
  </si>
  <si>
    <t>Traced Person. Raisaldar Levies,  District Awaran appeared before the Commission on 05.04.2021 at Quetta and submitted verification certificate confirming that Waju s/o Bahot has returned home.</t>
  </si>
  <si>
    <t>Traced Person. Raisaldar Levies,  District Awaran appeared before the Commission on 05.04.2021 at Quetta and submitted verification certificate confirming that Daro s/o Ahmed has returned home.</t>
  </si>
  <si>
    <t>Traced Person. Raisaldar Levies,  District Awaran appeared before the Commission on 05.04.2021 at Quetta and submitted verification certificate confirming that Yaqoob s/o Fateh Muhammad has returned home.</t>
  </si>
  <si>
    <t>Traced Person. Raisaldar Levies,  District Awaran appeared before the Commission on 05.04.2021 at Quetta and submitted verification certificate confirming that Naik Muhammad s/o Pir Muhammad has returned home.</t>
  </si>
  <si>
    <t>Traced Person. Raisaldar Levies,  District Awaran appeared before the Commission on 05.04.2021 at Quetta and submitted verification certificate confirming that Ghulam Hussain s/o Bahauddin has returned home.</t>
  </si>
  <si>
    <t>Traced Person. Raisaldar Levies,  District Awaran appeared before the Commission on 05.04.2021 at Quetta and submitted verification certificate confirming that Muhamamd Jan s/o Bahauddin has returned home.</t>
  </si>
  <si>
    <t>Traced Person. Raisaldar Levies,  District Awaran appeared before the Commission on 26.05.2021 at Quetta and submitted verification certificate, duly signed by Deputy Commissioner Awaran confirming that Qadir has returned home.</t>
  </si>
  <si>
    <t>Traced Person. Raisaldar Levies,  District Awaran appeared before the Commission on 26.05.2021 at Quetta and submitted verification certificate, duly signed by Deputy Commissioner Awaran confirming that Rustam has returned home.</t>
  </si>
  <si>
    <t>Traced Person. Raisaldar Levies,  District Awaran appeared before the Commission on 26.05.2021 at Quetta and submitted verification certificate, duly signed by Deputy Commissioner Awaran confirming that Suleman s/o Rustam has returned home.</t>
  </si>
  <si>
    <t>Traced Person. Raisaldar Levies,  District Awaran appeared before the Commission on 05.04.2021 at Quetta and submitted verification certificate confirming that Waseem has returned home.</t>
  </si>
  <si>
    <t>Traced Person. Raisaldar Levies,  District Awaran appeared before the Commission on 05.04.2021 at Quetta and submitted verification certificate confirming that Agol has returned home.</t>
  </si>
  <si>
    <t>Traced Person. Raisaldar Levies,  District Awaran appeared before the Commission on 05.04.2021 at Quetta and submitted verification certificate confirming that Adam s/o Jangiyan has returned home.</t>
  </si>
  <si>
    <t>Traced Person. Raisaldar Levies,  District Awaran appeared before the Commission on 05.04.2021 at Quetta and submitted verification certificate confirming that Bando s/o Wali Dad has returned home.</t>
  </si>
  <si>
    <t>Traced Person. Raisaldar Levies,  District Awaran appeared before the Commission on 05.04.2021 at Quetta and submitted verification certificate confirming that Ghulam Qadir has returned home.</t>
  </si>
  <si>
    <t>Traced Person. Raisaldar Levies,  District Awaran appeared before the Commission on 05.04.2021 at Quetta and submitted verification certificate confirming that Murad Jan has returned home.</t>
  </si>
  <si>
    <t>Traced Person. Raisaldar Levies,  District Awaran appeared before the Commission on 05.04.2021 at Quetta and submitted verification certificate confirming that Noor Din Baloch has returned home.</t>
  </si>
  <si>
    <t>Traced Person. Raisaldar Levies,  District Awaran appeared before the Commission on 05.04.2021 at Quetta and submitted verification certificate confirming that Haji Yar Jan has returned home.</t>
  </si>
  <si>
    <t>Traced Person. Raisaldar Levies,  District Awaran appeared before the Commission on 05.04.2021 at Quetta and submitted verification certificate confirming that Kamal Jan has returned home.</t>
  </si>
  <si>
    <t>Traced Person. Raisaldar Levies,  District Awaran appeared before the Commission on 26.05.2021 at Quetta and submitted verification certificate, duly signed by Deputy Commissioner Awaran confirming that Dad Rehman s/o Ghulam Muhammad has returned home.</t>
  </si>
  <si>
    <t>Traced Person. Raisaldar Levies,  District Awaran appeared before the Commission on 05.04.2021 at Quetta and submitted verification certificate confirming that Jalai s/o Dur Muhammad has returned home.</t>
  </si>
  <si>
    <t>Traced Person. Raisaldar Levies,  District Awaran appeared before the Commission on 05.04.2021 at Quetta and submitted verification certificate confirming that Hameed Ullah s/o Abdul Aziz has returned home.</t>
  </si>
  <si>
    <t>Traced Person. Raisaldar Levies,  District Awaran appeared before the Commission on 05.04.2021 at Quetta and submitted verification certificate confirming that Liwari has returned home.</t>
  </si>
  <si>
    <t>Traced Person. Raisaldar Levies,  District Awaran appeared before the Commission on 05.04.2021 at Quetta and submitted verification certificate confirming that Sardar s/o Dur Muhammad has returned home.</t>
  </si>
  <si>
    <t>Traced Person. Raisaldar Levies,  District Awaran appeared before the Commission on 05.04.2021 at Quetta and submitted verification certificate confirming that Noora Ghulab has returned home.</t>
  </si>
  <si>
    <t>Traced Person. Raisaldar Levies,  District Awaran appeared before the Commission on 05.04.2021 at Quetta and submitted verification certificate confirming that Mehmood has returned home.</t>
  </si>
  <si>
    <t>Traced Person. Raisaldar Levies,  District Awaran appeared before the Commission on 05.04.2021 at Quetta and submitted verification certificate confirming that Nazeem has returned home.</t>
  </si>
  <si>
    <t>Traced Person. Raisaldar Levies,  District Awaran appeared before the Commission on 05.04.2021 at Quetta and submitted verification certificate confirming that Umtaz s/o Sher Muhammad has returned home.</t>
  </si>
  <si>
    <t>Traced Person. Raisaldar Levies,  District Awaran appeared before the Commission on 05.04.2021 at Quetta and submitted verification certificate confirming that Wash Dil has returned home.</t>
  </si>
  <si>
    <t>Traced Person. Raisaldar Levies,  District Awaran appeared before the Commission on 05.04.2021 at Quetta and submitted verification certificate confirming that Hasil has returned home.</t>
  </si>
  <si>
    <t>Traced Person. Raisaldar Levies,  District Awaran appeared before the Commission on 05.04.2021 at Quetta and submitted verification certificate confirming that Haroon has returned home.</t>
  </si>
  <si>
    <t>Traced Person. Raisaldar Levies,  District Awaran appeared before the Commission on 05.04.2021 at Quetta and submitted verification certificate confirming that Noor Bakhsh has returned home.</t>
  </si>
  <si>
    <t>Traced Person. Raisaldar Levies,  District Awaran appeared before the Commission on 05.04.2021 at Quetta and submitted verification certificate confirming that Paindo has returned home.</t>
  </si>
  <si>
    <t>Traced Person. Raisaldar Levies,  District Awaran appeared before the Commission on 05.04.2021 at Quetta and submitted verification certificate confirming that Yaro has returned home.</t>
  </si>
  <si>
    <t xml:space="preserve">Mumtaz </t>
  </si>
  <si>
    <t>Traced Person. Raisaldar Levies,  District Awaran appeared before the Commission on 05.04.2021 at Quetta and submitted verification certificate confirming that Mumtaz has returned home.</t>
  </si>
  <si>
    <t>Traced Person. Raisaldar Levies,  District Awaran appeared before the Commission on 05.04.2021 at Quetta and submitted verification certificate confirming that Zahid has returned home.</t>
  </si>
  <si>
    <t>Traced Person. Raisaldar Levies,  District Awaran appeared before the Commission on 05.04.2021 at Quetta and submitted verification certificate confirming that Akhtar has returned home.</t>
  </si>
  <si>
    <t>Traced Person. Raisaldar Levies,  District Awaran appeared before the Commission on 05.04.2021 at Quetta and submitted verification certificate confirming that Khair Bakhsh has returned home.</t>
  </si>
  <si>
    <t>Traced Person. Raisaldar Levies,  District Awaran appeared before the Commission on 05.04.2021 at Quetta and submitted verification certificate confirming that Sohro has returned home.</t>
  </si>
  <si>
    <t>Traced Person. Raisaldar Levies,  District Awaran appeared before the Commission on 05.04.2021 at Quetta and submitted verification certificate confirming that Nabi  Bakhsh has returned home.</t>
  </si>
  <si>
    <t>Traced Person. Raisaldar Levies,  District Awaran appeared before the Commission on 05.04.2021 at Quetta and submitted verification certificate confirming that Hammal has returned home.</t>
  </si>
  <si>
    <t>Traced Person. Raisaldar Levies,  District Awaran appeared before the Commission on 05.04.2021 at Quetta and submitted verification certificate confirming that Ghulam Jan s/o Dado has returned home.</t>
  </si>
  <si>
    <t xml:space="preserve">Mazar </t>
  </si>
  <si>
    <t>Traced Person. Raisaldar Levies,  District Awaran appeared before the Commission on 05.04.2021 at Quetta and submitted verification certificate confirming that Mazar has returned home.</t>
  </si>
  <si>
    <t>Traced Person. Raisaldar Levies,  District Awaran appeared before the Commission on 05.04.2021 at Quetta and submitted verification certificate confirming that Malang has returned home.</t>
  </si>
  <si>
    <t xml:space="preserve">Rahim Dil </t>
  </si>
  <si>
    <t>Traced Person. Raisaldar Levies,  District Awaran appeared before the Commission on 05.04.2021 at Quetta and submitted verification certificate confirming that Rahim Dil has returned home.</t>
  </si>
  <si>
    <t>Traced Person. Raisaldar Levies,  District Awaran appeared before the Commission on 05.04.2021 at Quetta and submitted verification certificate confirming that Hado has returned home.</t>
  </si>
  <si>
    <t xml:space="preserve">Sher Dil </t>
  </si>
  <si>
    <t>Traced Person. Raisaldar Levies,  District Awaran appeared before the Commission on 05.04.2021 at Quetta and submitted verification certificate confirming that Sher Dil has returned home.</t>
  </si>
  <si>
    <t>Traced Person. Raisaldar Levies,  District Awaran appeared before the Commission on 05.04.2021 at Quetta and submitted verification certificate confirming that Muhammad Ali has returned home.</t>
  </si>
  <si>
    <t>Traced Person. Raisaldar Levies,  District Awaran appeared before the Commission on 05.04.2021 at Quetta and submitted verification certificate confirming that Habib has returned home.</t>
  </si>
  <si>
    <t xml:space="preserve">Hassan </t>
  </si>
  <si>
    <t>Traced Person. Raisaldar Levies,  District Awaran appeared before the Commission on 05.04.2021 at Quetta and submitted verification certificate confirming that Hassan has returned home.</t>
  </si>
  <si>
    <t>Traced Person. Raisaldar Levies,  District Awaran appeared before the Commission on 05.04.2021 at Quetta and submitted verification certificate confirming that Hammal s/o Anwar has returned home.</t>
  </si>
  <si>
    <t>Traced Person. Raisaldar Levies,  District Awaran appeared before the Commission on 05.04.2021 at Quetta and submitted verification certificate confirming that Tamoor Khan has returned home.</t>
  </si>
  <si>
    <t>31/03/2021</t>
  </si>
  <si>
    <t xml:space="preserve">Traced Person. SSP (Inv) Rawalpindi as well as the complainant appeared before the Commission on 17.7.2021 and confirmed that Rehmat Ullah had returned to home. Hence, no further action is required, the case is closed. </t>
  </si>
  <si>
    <t>Fazal Wahab Tajik, r/o Village  Tajik Abad, Tehsil Themargara, District Lower Dir, KPK.</t>
  </si>
  <si>
    <t xml:space="preserve">Nawab Khan, r/o Saifly Kabul Khel, P.O Shewah, Tehsil Shewah, District North Waziristan, KPK. </t>
  </si>
  <si>
    <t xml:space="preserve">Traced Person. Rep of MI has submitted report according to which Farman Ullah s/o Muhammad Aziz Khan is interned in the Internment Centre, Lakki Marwat. The family members of the Internee will be allowed meeting with him subject to completion of legal formalities and Covid- 19 precutainary measeures. Since the Missing Person has been traced, therefore no further action is required. The case is closed. </t>
  </si>
  <si>
    <t xml:space="preserve">Traced Person. Rep of MI and SP (Inv), Bannu submitted reports at the hearing on 11.10.2021 to the effect that Gul Rehman was interned in the Internment Centre Lakki Marwat under Action (in aid of Civil) Regulations, 2011. The family members met in the Centre. No further action is required. The case is closed. </t>
  </si>
  <si>
    <t xml:space="preserve">Traced Person. SP (Inv), Bannu and Shafi Ullah (uncle of the disappeared person) appeared before the Commission on 09-07-2021 and confirmed that Arif Ullah has returned home. A copy of the statement from Arif Ullah and the traced person also furnished. The case is closed. </t>
  </si>
  <si>
    <t>642870
Afghan Card No.</t>
  </si>
  <si>
    <t xml:space="preserve">Traced Person. It was informed by SDPO, Quaidabad Sub- Divission Karachi that as confirmed the Missing Person Minhaj-ud-Din is confined in Central Prision, Mardan, KP as convicted satenced for 14 years R.I for providing funds for illegal activities. He is presently confined in Central Jail, Kohat . Hence no further action is required. The case is closed. </t>
  </si>
  <si>
    <t xml:space="preserve">Traced Person. Rep of CTD Rajanpur informed at the hearing held on 16-06-2021 that an FIR had lodged against Muhammad Abu Bakar and he was confined in District jail, Rajanpur. No further action is required. The case is closed. </t>
  </si>
  <si>
    <t>02/04/2021</t>
  </si>
  <si>
    <t>11101-514550-1
Father CNIC</t>
  </si>
  <si>
    <t xml:space="preserve">Traced Person. Muhammad Ishaq mternal uncle of Rafi Ullah Khan (Traced Persoon) appeared before the Commission on 31.05.2021, whose statement was recorded on oath in which he deposed that his nephew Rafi Ullah Khan had returned home during the last Ramdan. Presently he was hospitilized in Peshawar for treatment of his eyes. The case is closed. </t>
  </si>
  <si>
    <t xml:space="preserve">Traced Person. Muhammad Sajjid Khan appeared before the Commission on 31-05-2021 and his statement was recorded on oath in which he deposed that he was abducted on 19-05-2020 by army personnel. He further submitted that he was not able to identify the persons and place where he was kept during detention. He was set free on 11-04-2021 at Bannu Cantt from where he returned home. The case is closed. </t>
  </si>
  <si>
    <t>06/04/2021</t>
  </si>
  <si>
    <t>r/o Apartment No. 305, 3rd Floor, Block -B, Zaraj Housing Society, Raina Heights, Islamabad.  ( Father Lawer No. Mobile No. 0301-4001367)</t>
  </si>
  <si>
    <t xml:space="preserve">Traced Person. Rep of MI informed at the hearing on 25.05.2021 that Muhammad Fawad is interned in the Internment Centre Ghalani (in aid of Civil) Regulation, 2011. Family shall be facilitated to see him on the Centre subject to prescribed procedure. </t>
  </si>
  <si>
    <t>07/04/2021</t>
  </si>
  <si>
    <t xml:space="preserve">Traced Person. Tanveer Haider has been arrested by CTD, In this connection statement of Shahid Inayat Bhatti, Inspector CTD HQ, Lahore has been recorded on oath who submitted report on behalf of SP (Inv) CTD Punjab, Lahore the the Regional Officer CTD Sargodha has reported that abovesaid missing person was arrested in Case FIR No. 12 u/s 4/5 ESA 7ATA dated 09.08.2021 PS/CTD Loalai Balochistan as Tanveer Haider Khan has been arrested no further action is required. The case is closed .  </t>
  </si>
  <si>
    <t>08/04/2021</t>
  </si>
  <si>
    <t>11101-1514419-3
Father CNIC</t>
  </si>
  <si>
    <t>21501-8135902-7
Brother CNIC</t>
  </si>
  <si>
    <t xml:space="preserve">Traced Person. Shamas-ur-Rehman b/o of Missing Person entered appearance before the Commission on 11.08.2021 whose statement was recorded on oath in which he stated that Javed Ullah was confined in Internment Centre Lakki Marwat where he met twice. SP (Inv), Bannu also submitted report confirming statement brother of Javed Ullah. </t>
  </si>
  <si>
    <t>11101-7434172-1
Father CNIC</t>
  </si>
  <si>
    <t xml:space="preserve">Traced Person. Jamal Inayat entered appearance before the Commission on 25.06.2021 and his statement was recorded on oath in which he deposed that he was abducted on 17-05-2020 from Hussaini Dara Shah Sawarmi Tehsil &amp; District Bannu. He further submitted that he was released on 12th of Ramdan, 2021 at Bannu Cantt from where he returned home. No further action is required. The case is closed. </t>
  </si>
  <si>
    <t xml:space="preserve">Traced Person. Investigation officer of the case appeared before the Commission on 29.04.2021 and submitted statement of Aman Ullah b/o Mohib Ullah in which he stated that Mohib Ullah has been arrested by CTD Lahore, who at present confined in Kot Lakhpat Jail, Lahore and his family members have already met him in the aforesaid Jail. He further deposed that a case vide FIR No, 7 dated 04.04.2021 u/s 4/5 ESA 7ATA/1997, AO 13-22A, 20/65 PS CTD Lahore is registered. Foregoing in view no further action is required. The case is closed. </t>
  </si>
  <si>
    <t xml:space="preserve">Traced Person. SHO, Bin Qasim, Karachi submitted in his report that Abid Noor s/o Bahadur Zaman has been contacted on Mobile No. 0307-7101638. During conversation he informed that he was not abducted by anyone, rather he was living with his family at Mada Khel, Tehsil Datta Khel, District South Waziristan. Hence, no further action is required. The case is closed. </t>
  </si>
  <si>
    <t>23/04/2021</t>
  </si>
  <si>
    <t xml:space="preserve">Traced Person. Presently Naik Muhammad Khan is confined at 44-FF (Army Unit). Shakir UIlah nephew of nail Muhammad Khan appeared and submitted that he already met Naik Muhammad Khan. No further action is required. The Case is closed. </t>
  </si>
  <si>
    <t>26/04/2021</t>
  </si>
  <si>
    <t xml:space="preserve">Traced Person. Muhammad Suhail b/o Salman Khan entered appearance before the Commission, whose statement was recorded on oath in which he deposed that he and his mother have already met Salman Khan on 10-06-2021 in the Internment Centre at Kohat. In view of above, no further action is required. The case is closed. </t>
  </si>
  <si>
    <t>Deleted. In this case, there are concurrent findings/ conclusion by JIT and PTF that the Missing Person has gone on his own. All stakeholders have denied arrest/custody of Asmat Ullah. The complainant  Ali Muhammad also submitted that there is no allegation against any LEAs/Intelligence Agency. No further action is required. The case is closed.</t>
  </si>
  <si>
    <t xml:space="preserve">Traced Person. Saeed Ahmad s/o Mir Moula Bux entered appearance before the Commission whose statement was recorded on oath in which he deposed that he was abducted by a man in civil dress in the year 2017. Now he reached home safely as informed by him in the JIT meetings held on 11.10.2021. No further action is required. The case is closed.  </t>
  </si>
  <si>
    <t>Muhammad Idrees, r/o Mohalla Naluchi, Attique Genrel Store, Tehsil  &amp; District Muzaffarabad. (Mobile No. 0348-9607580).</t>
  </si>
  <si>
    <t xml:space="preserve">Traced Person. It has been informed at the hearing on 27.08.2021 that Iqbal Hussain s/o Malik Safat Ali has returned home. Accordingly, no further action is required. The case is closed. </t>
  </si>
  <si>
    <t>27/04/2021</t>
  </si>
  <si>
    <t>Mushtaq Ali Soomra, r/o House No. 5/619,  Hassan Ali Soomro Road, Wahgan Gate, Shikarpur, Sindh. (Mobile No. 0333-1272110 &amp; 0331-3058535).</t>
  </si>
  <si>
    <t>28/04/2021</t>
  </si>
  <si>
    <t xml:space="preserve">Traced Person. Sabir Yaqoob b/o Asad Muhammad Yaqoob entered appearance before the Commission and his statement was recorded on oath in which he deposed that Asad Muhammad Yaqoob was abducted on 06.04.2021 and at the moment he was confined in Adiala Jail, Rawalpindi where he met Asad Muhammad Yaqoob.     </t>
  </si>
  <si>
    <t xml:space="preserve">Traced Person. According to the report furnished by Rep of MI at the hearing on 28.6.2021 Rehman Ullah is interned in the Internment Centre Lakki Marwat.The family members of Muhammad Ibrahim be facilitated to see him as per rules and procedure. </t>
  </si>
  <si>
    <t>06/05/2021</t>
  </si>
  <si>
    <t>Traced Person. SP (Inv) Islamabad appeared before the Commission on 08.07.2021 and submitted report that Missing Person Aman Jehangir has returned to home. He went to Murree on his own.  Accordingly, the case is closed.</t>
  </si>
  <si>
    <t>Traced Person. Raisaldar Levies,  District Awaran appeared before the Commission on 26.05.2021 at Quetta and submitted verification certificate, duly signed by Deputy Commissioner Awaran confirming that Sameer has returned home.</t>
  </si>
  <si>
    <t>Traced Person. Raisaldar Levies,  District Awaran appeared before the Commission on 26.05.2021 at Quetta and submitted verification certificate, duly signed by Deputy Commissioner Awaran confirming that Khaliq Dad has returned home.</t>
  </si>
  <si>
    <t>Traced Person. Raisaldar Levies,  District Awaran appeared before the Commission on 26.05.2021 at Quetta and submitted verification certificate, duly signed by Deputy Commissioner Awaran confirming that Abdul Nabi has returned home.</t>
  </si>
  <si>
    <t>Traced Person. Raisaldar Levies,  District Awaran appeared before the Commission on 26.05.2021 at Quetta and submitted verification certificate, duly signed by Deputy Commissioner Awaran confirming that Rafiq has returned home.</t>
  </si>
  <si>
    <t>Traced Person. Raisaldar Levies,  District Awaran appeared before the Commission on 26.05.2021 at Quetta and submitted verification certificate, duly signed by Deputy Commissioner Awaran confirming that Gazi Khan has returned home.</t>
  </si>
  <si>
    <t>Traced Person. Raisaldar Levies,  District Awaran appeared before the Commission on 26.05.2021 at Quetta and submitted verification certificate, duly signed by Deputy Commissioner Awaran confirming that Zareef s/o Muhammad has returned home.</t>
  </si>
  <si>
    <t>Traced Person. Raisaldar Levies,  District Awaran appeared before the Commission on 26.05.2021 at Quetta and submitted verification certificate, duly signed by Deputy Commissioner Awaran confirming that Abdul Wahid s/o Rasool Bakhsh has returned home.</t>
  </si>
  <si>
    <t>Traced Person. Raisaldar Levies,  District Awaran appeared before the Commission on 26.05.2021 at Quetta and submitted verification certificate, duly signed by Deputy Commissioner Awaran confirming that Ijaz s/o Noora has returned home.</t>
  </si>
  <si>
    <t>Traced Person. Raisaldar Levies,  District Awaran appeared before the Commission on 26.05.2021 at Quetta and submitted verification certificate, duly signed by Deputy Commissioner Awaran confirming that Pathan has returned home.</t>
  </si>
  <si>
    <t>Traced Person. Raisaldar Levies,  District Awaran appeared before the Commission on 26.05.2021 at Quetta and submitted verification certificate, duly signed by Deputy Commissioner Awaran confirming that Sarwar has returned home.</t>
  </si>
  <si>
    <t>Traced Person. Raisaldar Levies,  District Awaran appeared before the Commission on 26.05.2021 at Quetta and submitted verification certificate, duly signed by Deputy Commissioner Awaran confirming that Achoo s/o Meran has returned home.</t>
  </si>
  <si>
    <t>Traced Person. Raisaldar Levies,  District Awaran appeared before the Commission on 26.05.2021 at Quetta and submitted verification certificate, duly signed by Deputy Commissioner Awaran confirming that Muhammad Noor s/o Shay Muhammad has returned home.</t>
  </si>
  <si>
    <t>Traced Person. Raisaldar Levies,  District Awaran appeared before the Commission on 26.05.2021 at Quetta and submitted verification certificate, duly signed by Deputy Commissioner Awaran confirming that Mussa s/o Qadir Dad has returned home.</t>
  </si>
  <si>
    <t>Traced Person. Raisaldar Levies,  District Awaran appeared before the Commission on 26.05.2021 at Quetta and submitted verification certificate, duly signed by Deputy Commissioner Awaran confirming that Karim Jan s/o Muhamamd Rahim has returned home.</t>
  </si>
  <si>
    <t>Traced Person. Raisaldar Levies,  District Awaran appeared before the Commission on 26.05.2021 at Quetta and submitted verification certificate, duly signed by Deputy Commissioner Awaran confirming that Mazar Mulla s/o Ibrahim has returned home.</t>
  </si>
  <si>
    <t>Traced Person. Raisaldar Levies,  District Awaran appeared before the Commission on 26.05.2021 at Quetta and submitted verification certificate, duly signed by Deputy Commissioner Awaran confirming that Fazal s/o Peerak has returned home.</t>
  </si>
  <si>
    <t>Traced Person. Raisaldar Levies,  District Awaran appeared before the Commission on 26.05.2021 at Quetta and submitted verification certificate, duly signed by Deputy Commissioner Awaran confirming that Samad s/o Eido has returned home.</t>
  </si>
  <si>
    <t>Traced Person. Raisaldar Levies,  District Awaran appeared before the Commission on 26.05.2021 at Quetta and submitted verification certificate, duly signed by Deputy Commissioner Awaran confirming that Bahar s/o Ismail has returned home.</t>
  </si>
  <si>
    <t xml:space="preserve">Barkat s/o Jorak </t>
  </si>
  <si>
    <t>Traced Person. Raisaldar Levies,  District Awaran appeared before the Commission on 26.05.2021 at Quetta and submitted verification certificate, duly signed by Deputy Commissioner Awaran confirming that Barkat s/o Jorak has returned home.</t>
  </si>
  <si>
    <t>Traced Person. Raisaldar Levies,  District Awaran appeared before the Commission on 26.05.2021 at Quetta and submitted verification certificate, duly signed by Deputy Commissioner Awaran confirming that Jorak s/o Muhammad Jan has returned home.</t>
  </si>
  <si>
    <t>Traced Person. Raisaldar Levies,  District Awaran appeared before the Commission on 26.05.2021 at Quetta and submitted verification certificate, duly signed by Deputy Commissioner Awaran confirming that Jumma s/o Haibtan has returned home.</t>
  </si>
  <si>
    <t>Traced Person. Raisaldar Levies,  District Awaran appeared before the Commission on 26.05.2021 at Quetta and submitted verification certificate, duly signed by Deputy Commissioner Awaran confirming that Assa s/o Haibtan has returned home.</t>
  </si>
  <si>
    <t>Traced Person. Raisaldar Levies,  District Awaran appeared before the Commission on 26.05.2021 at Quetta and submitted verification certificate, duly signed by Deputy Commissioner Awaran confirming that Zarin s/o Hassan has returned home.</t>
  </si>
  <si>
    <t>Traced Person. Raisaldar Levies,  District Awaran appeared before the Commission on 26.05.2021 at Quetta and submitted verification certificate, duly signed by Deputy Commissioner Awaran confirming that Ali s/o Zabad has returned home.</t>
  </si>
  <si>
    <t>Traced Person. Raisaldar Levies,  District Awaran appeared before the Commission on 26.05.2021 at Quetta and submitted verification certificate, duly signed by Deputy Commissioner Awaran confirming that Amir Bakhsh has returned home.</t>
  </si>
  <si>
    <t>Traced Person. Raisaldar Levies,  District Awaran appeared before the Commission on 26.05.2021 at Quetta and submitted verification certificate, duly signed by Deputy Commissioner Awaran confirming that Abdullah s/o Umer has returned home.</t>
  </si>
  <si>
    <t>Traced Person. Raisaldar Levies,  District Awaran appeared before the Commission on 26.05.2021 at Quetta and submitted verification certificate, duly signed by Deputy Commissioner Awaran confirming that Zahid s/o Hammal has returned home.</t>
  </si>
  <si>
    <t>Traced Person. Raisaldar Levies,  District Awaran appeared before the Commission on 26.05.2021 at Quetta and submitted verification certificate, duly signed by Deputy Commissioner Awaran confirming that Amin s/o Ismail has returned home.</t>
  </si>
  <si>
    <t>Traced Person. Raisaldar Levies,  District Awaran appeared before the Commission on 26.05.2021 at Quetta and submitted verification certificate, duly signed by Deputy Commissioner Awaran confirming that Zabad s/o Wash Dil has returned home.</t>
  </si>
  <si>
    <t>Traced Person. Raisaldar Levies,  District Awaran appeared before the Commission on 26.05.2021 at Quetta and submitted verification certificate, duly signed by Deputy Commissioner Awaran confirming that Sattar s/o Fateh Muhammad has returned home.</t>
  </si>
  <si>
    <t>Traced Person. Raisaldar Levies,  District Awaran appeared before the Commission on 26.05.2021 at Quetta and submitted verification certificate, duly signed by Deputy Commissioner Awaran confirming that Abdul Razaq s/o Basham has returned home.</t>
  </si>
  <si>
    <t>Traced Person. Raisaldar Levies,  District Awaran appeared before the Commission on 26.05.2021 at Quetta and submitted verification certificate, duly signed by Deputy Commissioner Awaran confirming that Sana Ullah s/o Mosa has returned home.</t>
  </si>
  <si>
    <t>Traced Person. Raisaldar Levies,  District Awaran appeared before the Commission on 26.05.2021 at Quetta and submitted verification certificate, duly signed by Deputy Commissioner Awaran confirming that Pallu s/o Ramzan has returned home.</t>
  </si>
  <si>
    <t>Traced Person. Raisaldar Levies,  District Awaran appeared before the Commission on 26.05.2021 at Quetta and submitted verification certificate, duly signed by Deputy Commissioner Awaran confirming that Abdul Samad s/o Basham has returned home.</t>
  </si>
  <si>
    <t>Traced Person. Raisaldar Levies,  District Awaran appeared before the Commission on 26.05.2021 at Quetta and submitted verification certificate, duly signed by Deputy Commissioner Awaran confirming that Khalil s/o Lal Bakhsh has returned home.</t>
  </si>
  <si>
    <t>Traced Person. Raisaldar Levies,  District Awaran appeared before the Commission on 26.05.2021 at Quetta and submitted verification certificate, duly signed by Deputy Commissioner Awaran confirming that Mehr Ullah s/o Abdul Qadir has returned home.</t>
  </si>
  <si>
    <t>Traced Person. Raisaldar Levies,  District Awaran appeared before the Commission on 26.05.2021 at Quetta and submitted verification certificate, duly signed by Deputy Commissioner Awaran confirming that Umar s/o Murad has returned home.</t>
  </si>
  <si>
    <t>Traced Person. Raisaldar Levies,  District Awaran appeared before the Commission on 26.05.2021 at Quetta and submitted verification certificate, duly signed by Deputy Commissioner Awaran confirming that Saleem s/o Gul Muhammad has returned home.</t>
  </si>
  <si>
    <t>Traced Person. Raisaldar Levies,  District Awaran appeared before the Commission on 26.05.2021 at Quetta and submitted verification certificate, duly signed by Deputy Commissioner Awaran confirming that Qadeer has returned home.</t>
  </si>
  <si>
    <t xml:space="preserve">Sami Ullah </t>
  </si>
  <si>
    <t>Traced Person. Raisaldar Levies,  District Awaran appeared before the Commission on 26.05.2021 at Quetta and submitted verification certificate, duly signed by Deputy Commissioner Awaran confirming that Sami Ullah has returned home.</t>
  </si>
  <si>
    <t>Traced Person. Raisaldar Levies,  District Awaran appeared before the Commission on 26.05.2021 at Quetta and submitted verification certificate, duly signed by Deputy Commissioner Awaran confirming that Umar s/o Ghulam Qadir has returned home.</t>
  </si>
  <si>
    <t>Traced Person. Raisaldar Levies,  District Awaran appeared before the Commission on 26.05.2021 at Quetta and submitted verification certificate, duly signed by Deputy Commissioner Awaran confirming that Meer Jan s/o Sakhi Dad has returned home.</t>
  </si>
  <si>
    <t>Traced Person. Raisaldar Levies,  District Awaran appeared before the Commission on 26.05.2021 at Quetta and submitted verification certificate, duly signed by Deputy Commissioner Awaran confirming that Muhammad Adnad has returned home.</t>
  </si>
  <si>
    <t>Traced Person. Raisaldar Levies,  District Awaran appeared before the Commission on 26.05.2021 at Quetta and submitted verification certificate, duly signed by Deputy Commissioner Awaran confirming that Ganj Bakhsh s/o Lal Jan has returned home.</t>
  </si>
  <si>
    <t>Traced Person. Raisaldar Levies,  District Awaran appeared before the Commission on 26.05.2021 at Quetta and submitted verification certificate, duly signed by Deputy Commissioner Awaran confirming that Rasool Bakhsh has returned home.</t>
  </si>
  <si>
    <t xml:space="preserve">Bilal s/o Abdul Samad </t>
  </si>
  <si>
    <t>Traced Person. Raisaldar Levies,  District Awaran appeared before the Commission on 26.05.2021 at Quetta and submitted verification certificate, duly signed by Deputy Commissioner Awaran confirming that Bilal s/o Abdul Samad has returned home.</t>
  </si>
  <si>
    <t>Traced Person. Raisaldar Levies,  District Awaran appeared before the Commission on 26.05.2021 at Quetta and submitted verification certificate, duly signed by Deputy Commissioner Awaran confirming that Zaheem s/o Samad has returned home.</t>
  </si>
  <si>
    <t>Traced Person. Raisaldar Levies,  District Awaran appeared before the Commission on 26.05.2021 at Quetta and submitted verification certificate, duly signed by Deputy Commissioner Awaran confirming that Khair Bakhsh s/o Muhammad Rahim has returned home.</t>
  </si>
  <si>
    <t>Traced Person. Raisaldar Levies,  District Awaran appeared before the Commission on 26.05.2021 at Quetta and submitted verification certificate, duly signed by Deputy Commissioner Awaran confirming that Noor Bakhsh has returned home.</t>
  </si>
  <si>
    <t>Traced Person. Raisaldar Levies,  District Awaran appeared before the Commission on 26.05.2021 at Quetta and submitted verification certificate, duly signed by Deputy Commissioner Awaran confirming that Rustom s/o Hayat has returned home.</t>
  </si>
  <si>
    <t>Traced Person. Raisaldar Levies,  District Awaran appeared before the Commission on 26.05.2021 at Quetta and submitted verification certificate, duly signed by Deputy Commissioner Awaran confirming that Hafeez Baloch s/o Pendag has returned home.</t>
  </si>
  <si>
    <t>Traced Person. Raisaldar Levies,  District Awaran appeared before the Commission on 26.05.2021 at Quetta and submitted verification certificate, duly signed by Deputy Commissioner Awaran confirming that Rashid has returned home.</t>
  </si>
  <si>
    <t>Traced Person. Raisaldar Levies,  District Awaran appeared before the Commission on 26.05.2021 at Quetta and submitted verification certificate, duly signed by Deputy Commissioner Awaran confirming that Riaz Jan s/o Muhammad Jalal has returned home.</t>
  </si>
  <si>
    <t>Traced Person. Raisaldar Levies,  District Awaran appeared before the Commission on 26.05.2021 at Quetta and submitted verification certificate, duly signed by Deputy Commissioner Awaran confirming that Shoaib s/o Lateef has returned home.</t>
  </si>
  <si>
    <t>Traced Person. Raisaldar Levies,  District Awaran appeared before the Commission on 26.05.2021 at Quetta and submitted verification certificate, duly signed by Deputy Commissioner Awaran confirming that Zafeer s/o yar Muhammad has returned home.</t>
  </si>
  <si>
    <t>Traced Person. Raisaldar Levies,  District Awaran appeared before the Commission on 26.05.2021 at Quetta and submitted verification certificate, duly signed by Deputy Commissioner Awaran confirming that Majeed s/o Gul Muhammad has returned home.</t>
  </si>
  <si>
    <t>Traced Person. Raisaldar Levies,  District Awaran appeared before the Commission on 26.05.2021 at Quetta and submitted verification certificate, duly signed by Deputy Commissioner Awaran confirming that Allah Bakhsh s/o Sabzo has returned home.</t>
  </si>
  <si>
    <t>Traced Person. Raisaldar Levies,  District Awaran appeared before the Commission on 26.05.2021 at Quetta and submitted verification certificate, duly signed by Deputy Commissioner Awaran confirming that Ishaq s/o Bahdo has returned home.</t>
  </si>
  <si>
    <t>Traced Person. Raisaldar Levies,  District Awaran appeared before the Commission on 26.05.2021 at Quetta and submitted verification certificate, duly signed by Deputy Commissioner Awaran confirming that Jumma s/o Mubarik has returned home.</t>
  </si>
  <si>
    <t>Traced Person. Raisaldar Levies,  District Awaran appeared before the Commission on 26.05.2021 at Quetta and submitted verification certificate, duly signed by Deputy Commissioner Awaran confirming that Allah bakhsh s/o Rozi has returned home.</t>
  </si>
  <si>
    <t>Traced Person. Raisaldar Levies,  District Awaran appeared before the Commission on 26.05.2021 at Quetta and submitted verification certificate, duly signed by Deputy Commissioner Awaran confirming that Dil Murad s/o Rehmat has returned home.</t>
  </si>
  <si>
    <t>Traced Person. Raisaldar Levies,  District Awaran appeared before the Commission on 26.05.2021 at Quetta and submitted verification certificate, duly signed by Deputy Commissioner Awaran confirming that Rehmat s/o Khuda Bakhsh has returned home.</t>
  </si>
  <si>
    <t>Traced Person. Raisaldar Levies,  District Awaran appeared before the Commission on 26.05.2021 at Quetta and submitted verification certificate, duly signed by Deputy Commissioner Awaran confirming that Qamber s/o Mureed has returned home.</t>
  </si>
  <si>
    <t>Traced Person. Raisaldar Levies,  District Awaran appeared before the Commission on 26.05.2021 at Quetta and submitted verification certificate, duly signed by Deputy Commissioner Awaran confirming that Jumma s/o Lal Bakhsh has returned home.</t>
  </si>
  <si>
    <t>Traced Person. Raisaldar Levies,  District Awaran appeared before the Commission on 26.05.2021 at Quetta and submitted verification certificate, duly signed by Deputy Commissioner Awaran confirming that Noor Bakhsh s/o Peer Muhammad  has returned home.</t>
  </si>
  <si>
    <t>Traced Person. Raisaldar Levies,  District Awaran appeared before the Commission on 26.05.2021 at Quetta and submitted verification certificate, duly signed by Deputy Commissioner Awaran confirming that Ali Muhammad s/o Sardo has returned home.</t>
  </si>
  <si>
    <t>Traced Person. Raisaldar Levies,  District Awaran appeared before the Commission on 26.05.2021 at Quetta and submitted verification certificate, duly signed by Deputy Commissioner Awaran confirming that Naseer s/o Muhammad has returned home.</t>
  </si>
  <si>
    <t>Traced Person. Raisaldar Levies,  District Awaran appeared before the Commission on 26.05.2021 at Quetta and submitted verification certificate, duly signed by Deputy Commissioner Awaran confirming that Karim Bakhsh s/o Jumma has returned home.</t>
  </si>
  <si>
    <t>Traced Person. Raisaldar Levies,  District Awaran appeared before the Commission on 26.05.2021 at Quetta and submitted verification certificate, duly signed by Deputy Commissioner Awaran confirming that Ali s/o Shah Baig has returned home.</t>
  </si>
  <si>
    <t>Traced Person. Raisaldar Levies,  District Awaran appeared before the Commission on 26.05.2021 at Quetta and submitted verification certificate, duly signed by Deputy Commissioner Awaran confirming that Sajjad s/o Yar Jan has returned home.</t>
  </si>
  <si>
    <t>Traced Person. Raisaldar Levies,  District Awaran appeared before the Commission on 26.05.2021 at Quetta and submitted verification certificate, duly signed by Deputy Commissioner Awaran confirming that Ulfat s/o Altaf has returned home.</t>
  </si>
  <si>
    <t>Traced Person. Raisaldar Levies,  District Awaran appeared before the Commission on 26.05.2021 at Quetta and submitted verification certificate, duly signed by Deputy Commissioner Awaran confirming that Mehrab s/o Ibrahim has returned home.</t>
  </si>
  <si>
    <t>Traced Person. Raisaldar Levies,  District Awaran appeared before the Commission on 26.05.2021 at Quetta and submitted verification certificate, duly signed by Deputy Commissioner Awaran confirming that Abdul Karim s/o Yaqoob has returned home.</t>
  </si>
  <si>
    <t>Traced Person. Raisaldar Levies,  District Awaran appeared before the Commission on 26.05.2021 at Quetta and submitted verification certificate, duly signed by Deputy Commissioner Awaran confirming that Naik Muhammad s/o yaqoob has returned home.</t>
  </si>
  <si>
    <t>Traced Person. Raisaldar Levies,  District Awaran appeared before the Commission on 26.05.2021 at Quetta and submitted verification certificate, duly signed by Deputy Commissioner Awaran confirming that Muhmmad s/o Hammal has returned home.</t>
  </si>
  <si>
    <t>Traced Person. Raisaldar Levies,  District Awaran appeared before the Commission on 26.05.2021 at Quetta and submitted verification certificate, duly signed by Deputy Commissioner Awaran confirming that Karam has returned home.</t>
  </si>
  <si>
    <t>Traced Person. Raisaldar Levies,  District Awaran appeared before the Commission on 26.05.2021 at Quetta and submitted verification certificate, duly signed by Deputy Commissioner Awaran confirming that Ikram-ud-Din has returned home.</t>
  </si>
  <si>
    <t>Traced Person. Raisaldar Levies,  District Awaran appeared before the Commission on 26.05.2021 at Quetta and submitted verification certificate, duly signed by Deputy Commissioner Awaran confirming that Khair Bakhshs s/o Musa has returned home.</t>
  </si>
  <si>
    <t>Traced Person. Raisaldar Levies,  District Awaran appeared before the Commission on 26.05.2021 at Quetta and submitted verification certificate, duly signed by Deputy Commissioner Awaran confirming that Master Sadiq s/o Musa has returned home.</t>
  </si>
  <si>
    <t>Traced Person. Raisaldar Levies,  District Awaran appeared before the Commission on 26.05.2021 at Quetta and submitted verification certificate, duly signed by Deputy Commissioner Awaran confirming that Jamal has returned home</t>
  </si>
  <si>
    <t>Traced Person. Raisaldar Levies,  District Awaran appeared before the Commission on 26.05.2021 at Quetta and submitted verification certificate, duly signed by Deputy Commissioner Awaran confirming that Lal Bakhsh has returned home.</t>
  </si>
  <si>
    <t>Traced Person. Raisaldar Levies,  District Awaran appeared before the Commission on 26.05.2021 at Quetta and submitted verification certificate, duly signed by Deputy Commissioner Awaran confirming that Abdullah has returned home.</t>
  </si>
  <si>
    <t>Traced Person. Raisaldar Levies,  District Awaran appeared before the Commission on 26.05.2021 at Quetta and submitted verification certificate, duly signed by Deputy Commissioner Awaran confirming that Mulla Bakhsh s/o Asso has returned home.</t>
  </si>
  <si>
    <t>Traced Person. Raisaldar Levies,  District Awaran appeared before the Commission on 26.05.2021 at Quetta and submitted verification certificate, duly signed by Deputy Commissioner Awaran confirming that Rashid s/o Lal Muhammad has returned home.</t>
  </si>
  <si>
    <t>Traced Person. Raisaldar Levies,  District Awaran appeared before the Commission on 26.05.2021 at Quetta and submitted verification certificate, duly signed by Deputy Commissioner Awaran confirming that Qadir Bakhsh s/o Tajo has returned home.</t>
  </si>
  <si>
    <t>Traced Person. Raisaldar Levies,  District Awaran appeared before the Commission on 26.05.2021 at Quetta and submitted verification certificate, duly signed by Deputy Commissioner Awaran confirming that Wahid s/o Umer has returned home.</t>
  </si>
  <si>
    <t xml:space="preserve">Traced Person. It was informed at the hearing held in this case at Quetta on 28.08.2021 that Faisal Ali has returned home. No further action is required. The case is closed. </t>
  </si>
  <si>
    <t>25/05/2021</t>
  </si>
  <si>
    <t xml:space="preserve">Traced Person. It was informed at the hearing held in this case at Quetta on 28.08.2021 that Sohail Ahmed s/o Rafiq Ahmed has returned home. No further action is required. The case is closed. </t>
  </si>
  <si>
    <t>Traced Person. SP (Inv) Islamabad appeared before the Commission on 08.07.2021 and submitted report that Missing Person Muhammad Rafique has returned to home. He went to Murree on his own.  Accordingly, the case is closed.</t>
  </si>
  <si>
    <t>26/05/2021</t>
  </si>
  <si>
    <t>Traced Person. Naib Tehsildar, Turbat District Kech appeared before the Commission on 26.05.2021 at Quetta and submitted verification certificate confirming that Lal Muhammad  Muhammad has returned home.</t>
  </si>
  <si>
    <t>Traced Person. Naib Tehsildar, Turbat District Kech appeared before the Commission on 26.05.2021 at Quetta and submitted verification certificate confirming that Khan Muhammad s/o  Khuda Bakhsh returned home.</t>
  </si>
  <si>
    <t>31/05/2021</t>
  </si>
  <si>
    <t xml:space="preserve">Traced Person. Muhammad Ibrahim s/o Abdul Malik has been traced. IO/SI appeared before the Commission whose statement was recorded on oath in which he deposed that Muhammad Ibrahim s/o Abdul Malik had returned home. He produced report  and copy of Affidavit of Abdul Malik. Hence no further action is required. The case is closed.  </t>
  </si>
  <si>
    <t>03/06/2021</t>
  </si>
  <si>
    <t>21509-1186319-7
Father CNIC</t>
  </si>
  <si>
    <t>Dawood  Khan, r/o Sadiqabad, Rawalpindi Servise Road, Gali No 11, House No. SA 582, Sadiqabad, Rawalpindi. (Mobile No. 0304-5585117).</t>
  </si>
  <si>
    <t>07/06/2021</t>
  </si>
  <si>
    <t>Bakhtawr Khan, r/o Garanak, Daryuba Agency, P.O  Daryuba Agency, Tehsil &amp; District Bannu. (Mobile No. 0336-9722433 &amp; 0339-744014).</t>
  </si>
  <si>
    <t>21104-7715134-9
Father CNIC</t>
  </si>
  <si>
    <t xml:space="preserve">Traced Person. Ahmad Shah father of Muhammad Ismail (Traced Person) entered appearance, whose statement was recorded on oath in which he stated that Muhammad Ismail was picked up on 28.12.2020 and presently custody of Bajour Scouts, where his mother, brother and wife already met him. SP (Inv), Bajur submitted report that statement of four family members have been recorded by the Police who have confirmed that Muhammad Ismail was confined in Bajour Scouts Camp, Khar. No further action is taken, the case is closed.   </t>
  </si>
  <si>
    <t xml:space="preserve">Traced Person. Abdul Sami entered appearance before the Commission on 26.11.2021 at Lahore and submitted that he went to Karachi and conceded that he did not inform his family. No further action is required. The case is closed. </t>
  </si>
  <si>
    <t>Traced Person. Rep of MI submitted report on 10.01.2022 that Muhammad Zahid was confined in Internment Centre Paithom. None entered appearance on behalf of Muhammad Zahid (Traced Person). However, SP (Inv), Peshawar was directed to inform the Complainant about confinement of Muhammad Zahid in the Internment Centre Paithom. Family member shall be facilitated to see Muhammad Zahid in the Internment Centre according to rules and procedure.  No further action is required. The case is closed.</t>
  </si>
  <si>
    <t xml:space="preserve">Traced Person. Shahid Ali s/o Ali Ahmad appeared before the Commission on 23.08.2021 whose statement was recorded on oath in which he deposed that he was abducted on 03.03.2021 from Golimar Chowk, Quetta by unknown persons and set free after four months. No further action is required. The case is closed. </t>
  </si>
  <si>
    <t>17/06/2021</t>
  </si>
  <si>
    <t xml:space="preserve">Traced Person. DSP Saddar, Kohat appeared before the Commission and submitted report from DPO, Kohat. Statements of Abdullah (Brother) of Rehmat Janan is confirmed that Missing Person is confined in Internment Centre, Kohat in terms of Action (in aid of Civil), Regulations, 2011. No further action is required. The case is closed. </t>
  </si>
  <si>
    <t xml:space="preserve">Traced Person. Sheraz Ali Khan is present who is father of Akmal Khan (Traced Person). His statement has been recorded on oath, in which he deposed that Akmal Khan was abducted by CTD on 29-05-2021. He was produced before ATC Court on 23-06-2021 and the Court ordered their remand. Subsequently on 05-07-2021 he was released on bail by ATC. Now Akmal Khan was presently available at home. No further action is required. The, case is closed. </t>
  </si>
  <si>
    <t xml:space="preserve">Traced Person. SP (Inv), Peshawar appeared before the Commission whose statement was recorded on oath in which he submitted that Ahsan Ullah returned home. He produced report from the concerned quarters. The case is closed. </t>
  </si>
  <si>
    <t>15302-8358643-3
Father CNIC</t>
  </si>
  <si>
    <t>21104-2160502-1
Brother CNIC</t>
  </si>
  <si>
    <t>19/06/2021</t>
  </si>
  <si>
    <t>Mst. Sara, r/o P.O &amp; P.S Baghban,  Tehsil Nogaye, District Khuzdar. (Mobile No. 0335-8235135).</t>
  </si>
  <si>
    <t>21/06/2021</t>
  </si>
  <si>
    <t>Mst. Khalida, r/o Wahla, Kale Kanak, P.S Baghban,  Tehsil Nogaye, District Khuzdar. (Mobile No. 0335-3540752).</t>
  </si>
  <si>
    <t>Traced Person. Ehsan Ullah b/o  Masood Alam appeared before the Commission on 22.10.2021 his statement was recorded on oath in which he deposed that the complaint was lodged in the Commission by his mother Mst. Rokhana. He further deposed that Masood Alam was confined in Internment Centre at Paithom and himself and his mother have already met him in the said Internment Centre on 22.6.2021 and 12.10.2021. Hence, the case is closed.</t>
  </si>
  <si>
    <t xml:space="preserve">Traced Person. SSP (Inv), Faisalabad entered appearance before the Commission on 25.11.2021 and submitted that Tanveer Hassan has returned home and his statement u/s 164 CrPC has been recorded. Tanveer Hassan also appeared before the Commission. No further action is required. The case is closed. </t>
  </si>
  <si>
    <t>22/06/2021</t>
  </si>
  <si>
    <t>23/06/2021</t>
  </si>
  <si>
    <t xml:space="preserve">Traced Person. DPO, Tank appeared before the Commission on 18.10.2021 and submitted report that Mufti Muhammad Rizwan is confined in Faisalabad Jail for being involved in case FIR No. 21 dated 26.8.2021 u/s 11H, 11-I 11J, 11N ATA 1997, PS/ CTD Faisalabad. No further action is required. The case is closed. </t>
  </si>
  <si>
    <t xml:space="preserve">Traced Person. Rep of MI appeared before the Commission and submitted report that Muhammad Sabir was confined in the Internment Center Fizaghat. Under Action (in aid of Civil) Regulations, 2011. The family shall be facilitated to see him as per rules and procedures. The case is closed. </t>
  </si>
  <si>
    <t>29/06/2021</t>
  </si>
  <si>
    <t xml:space="preserve">Traced Person. Inam Ullah has been traced. Rep of MI submitted report that he was is presently confined in Internment Centre at Malakand under Action (in aid of Civil) Regulations, 2011. Family members of Inam Ullah have been apprised of the position and they shall be facilitated to see him in the Internment Centre Malakand. </t>
  </si>
  <si>
    <t>Traced Person.  Noor Arab Khan (Complainant) entered appearance before the Commission on 2.12.2021 and his statement was recorded on oath. He was apprised of the status of the case that Naseer Khan is confined in Internment Centre at Lakki Marwat. Family members shall be facilitated to see him in the Internment Centre. No further action is required. The case is closed.</t>
  </si>
  <si>
    <t xml:space="preserve">Traced Person. SSP (Inv), Rawalpindi appeared before the Commission on 4.10.2021, whose statement was recorded on oath in which he stated that Syed Abdul Allam Zaidi returned home on 30.6.2021. CPO, Rawalpindi and statement of traced person Syed Abdul Allam Zaidi recorded by Judicial Magistrate u/ s 164 CrPC. The case is closed. </t>
  </si>
  <si>
    <t>14101-0208881-1
Father CNIC</t>
  </si>
  <si>
    <t xml:space="preserve">FIR No. 422, dated 23/07/2021, u/s 365 PPC, P.S Tarnol, Islamabad </t>
  </si>
  <si>
    <t>Traced Person. Nazar Hussain (Traced Person) appeared before the Commission and his statement  was recorded on oath in which he deposed that the Police also recorded his statement and his  son Amjad Mehmood had returned  home on 9.7.2021.  No further action is required. The case is closed.</t>
  </si>
  <si>
    <t>01/07/2021</t>
  </si>
  <si>
    <t xml:space="preserve">Traced Person. Qazi Jameel-ur-Rehman entered appearance before the Commission, whose statement was recorded on oath in which he stated that he was not kidnapped by anyone and went away with his own will and returned home on 03.07.2021. SP/CIA, Rawalpindi also produced report from confirming the return.  </t>
  </si>
  <si>
    <t>03/07/2021</t>
  </si>
  <si>
    <t xml:space="preserve">Traced Person. According to report rece4ived from Rep of MI, Syed Muhammad Zaheer is under trail by Field General Court Martial. Syed Muhammad Ayaz b/o Syed Muhammad Zaheer was present and apprised of status of the case. No further action is required. The case is closed. </t>
  </si>
  <si>
    <t>06/07/2021</t>
  </si>
  <si>
    <t>09/07/2021</t>
  </si>
  <si>
    <t xml:space="preserve">Traced Person. Hafeez Ullah s/o Naik Muhammad Khan (Traced Person) appeared before the Commission on 11.10.2021. He deposed that he was abducted on 13.10.2020 from Tochi River by some unknown persons who took him to an unknown place from where he was released him on 23.03.2021. Hence no further action is required. The case is closed. </t>
  </si>
  <si>
    <t xml:space="preserve">Traced Person. Syed Muhammad Noor s/o Gulla Khan entered appearance before the Commission, whose statement was recorded on oath, in which he deposed that he was kidnapped by unknown persons on 16.02.2021 and took him to Mirali and subsequently set free at Miran Shah two months ago and he returned home. He further deposed that his mother, brother and wife met him at Internment Centre Lakki Marwat. Addl SP Bannu also produced report from DPO, Bannu containing same facts. Hence , the case is closed. </t>
  </si>
  <si>
    <t xml:space="preserve">Muhammad Ayaz, r/o Tappi Plali, P.O &amp; Tehsil Miran Shah, District North Waziristan, KPK. </t>
  </si>
  <si>
    <t xml:space="preserve">Traced Person. SP (Inv), Bannu appeared before the Commission on 11.10.2021 and furnished report of DPO, Bannu in which he deposed that Farid Ullah was confined in the Internment Centre under Action (in aid of Civil) Regulations, 2011.Family members met him in the aforesaid Internment Centre. </t>
  </si>
  <si>
    <t>Enayat Khan, r/o Muhalla Sultan Khel, Zakha Khel, Tehsil  Landi Kotal, District Khyber, KPK.</t>
  </si>
  <si>
    <t xml:space="preserve">Traced Person. It was informed at the hearing held in this case on 04.10.2021 at sub-office of the Commission, Karachi that Yasir s/o Inayat Khan was involved in case FIR No. 115/2017 dated 7.8.2017 u/s 353/324/34 PS CTD, Karachi. He was killed in an encounter with the Police. Fahad s/o Inayat Khan (brother of the deceased) was called to Police Station vide Mobile No. 0346-9720188 who recognized dead body of his brother with the help of photographs and confirmation by in-charge Cheepa Ambulance service Mr. Jamali. Later the family also visited grave of Yasir. Daily dairy and statement of Farhad are available on record. </t>
  </si>
  <si>
    <t xml:space="preserve">Traced Person. SP (Inv), and Rep of MI appeared before the Commission on 11.10.2021 and submitted report that Zardali Khan was confined in Internment Centre Lakki Marwat under Action (in aid of Civil) Regulations, 2011. The family met him in the Internment Centre. No further action is required. The case is closed. </t>
  </si>
  <si>
    <t xml:space="preserve">Traced Person. Zakhel (Traced Person) appeared before the Commission his statement was recorded on oath in which he deposed that he was abducted on 06.07.2021 by 5/6 persons who were in black uniforms and came in a vehicle that after 14 days he was released. No further action is required. The case is closed. </t>
  </si>
  <si>
    <t>12/07/2021</t>
  </si>
  <si>
    <t xml:space="preserve">Traced Person. According to the report submitted by Rep of MI at the hearing on 5.4.2022, Saifullah was interned in Internment Centre Fort Salop. After rehabilitation at DRC Sabaoon, he was set free and he returned home. Hence no further action is required. The case is closed.  </t>
  </si>
  <si>
    <t xml:space="preserve">Traced Person. DSP (Inv), Tank appeared before the Commission on 27.08.2021 and informed that Gul Zaman s/o Sultan Muhammad had returned home. No further action is required. The case is closed. </t>
  </si>
  <si>
    <t xml:space="preserve">Traced Person. IO/SI Muhammad Mushtaq appeared before the Commission who furnished copy of statement of Sajid Masih s/o Gulzar Masih narrated as a I am adult sui-juris and sane person. I understand my welfare and upcoming future. Nobody abducted/kidnapped me. My mother namely Iqbal Bibi registered a false and frivolous case. I have no objection if this case be discharged/ cancelled. The case is closed.   </t>
  </si>
  <si>
    <t xml:space="preserve">Traced Person. Ali Akbar Mengal s/o Wali Muhammad Mengal appeared before the Commission at Quetta on 23.08.2021 in which he deposed that he was abducted by unknown persons on 28.06.2021 who came in two vehicles and kept him at some unknown place and set free on 07.07.2021. No further action is required. The case is closed. </t>
  </si>
  <si>
    <t>1730114107003</t>
  </si>
  <si>
    <t>15/07/2021</t>
  </si>
  <si>
    <t xml:space="preserve">Traced Person. Rep of ISI entered appearance on 24.09.2021, whose statement was recorded on oath. He produced his report that Muhammad Asim was present at his home. Accordingly, the case is closed. </t>
  </si>
  <si>
    <t xml:space="preserve">Traced Person. Ahmed Rahim entered appearance before the Commission on 24.09.2021 and recorded his statement on oath in which he stated that he was arrested by CTD on 11.05.2021 produced in the Court on 13.07.2021, obtained three days Judicial remand and sent to jail on 16.07.2021 from where he was released on bail on 28.07.2021. SP Bannu also confirmed the aforesaid position of the case. Hence, no further action is required. The case is closed. </t>
  </si>
  <si>
    <t>23/07/2021</t>
  </si>
  <si>
    <t xml:space="preserve">Traced Person. Rep of FC, KP (South) appeared before the Commission on 24.09.2021 whose statement was recorded o oath. He produced report that Siddique Khan s/o Doran Khan was confined in Internment Centre Lakki Marwat. Rep of MI also submitted similar report. The case is closed. </t>
  </si>
  <si>
    <t>27/07/2021</t>
  </si>
  <si>
    <t>31/07/2021</t>
  </si>
  <si>
    <t>21702-8509907-5
Brother CNIC</t>
  </si>
  <si>
    <t>04/08/2021</t>
  </si>
  <si>
    <t>05/08/2021</t>
  </si>
  <si>
    <t>21303-2646116-5
Father CNIC</t>
  </si>
  <si>
    <t>09/08/2021</t>
  </si>
  <si>
    <t>11/08/2021</t>
  </si>
  <si>
    <t>12/08/2021</t>
  </si>
  <si>
    <t>16/08/2021</t>
  </si>
  <si>
    <t>21/08/2021</t>
  </si>
  <si>
    <t>27/08/2021</t>
  </si>
  <si>
    <t xml:space="preserve">Traced Person. Asmat Ullah Durrani entered appearance before the Commission on 18.10.2021 whose statement was recorded on oath in which he deposed that he goes to Karachi due to some difference at home. After one and a half month he returned home and that he was not kidnapped by anyone. Hence no further action is required. The case is closed. </t>
  </si>
  <si>
    <t>03/09/2021</t>
  </si>
  <si>
    <t>Traced Person. It was informed at the hearing held in this Commission on 11.01.2022 that Najeeb Baloch had returned to home. The statement of the Traced Person was recorded u/s 164 CrPC. The report submitted by SHO Airport; Karachi also confirmed the reported position.  No further action is required. The case is closed.</t>
  </si>
  <si>
    <t>Deleted. The investigation report submitted by SIP, AVCC, CIA, Karachi indicates that the Missing Person, Ayub Mashi has mentally retorted left the house on 5.12.2020 and din not return. The family also inspected that cousin abducted him to have possession of his house.  There is no allegation against any LEA/Intelligence Agency. Hence, not a case of enforced disappearance. The case is closed.</t>
  </si>
  <si>
    <t>Traced Person. Sadiq Khan appeared before the Commission on 29.12.2021 and his statement was recorded on oath in which he deposed that he went to Lahore on his own and now he had come back. He also stated that he was not abducted any anybody.  No further action is required. The case is closed.</t>
  </si>
  <si>
    <t>04/09/2021</t>
  </si>
  <si>
    <t>06/09/2021</t>
  </si>
  <si>
    <t xml:space="preserve">Traced Person. ASP, Khushab appeared before the Commission on 26.11.2021 and highlighted the factual aspects of the episode. He further submitted that as a result of registration of ca case presently Attique-ur-Rehman is confined in Jail. No further action is required. The case is closed. </t>
  </si>
  <si>
    <t xml:space="preserve">Traced Person. ASP, Khushab appeared before the Commission on 26.11.2021 at Lahore and submitted report that as a result of registration of a case presently Khhubaib Riaz is confined in District Jail, Khushab. No further action is required. The case is closed. </t>
  </si>
  <si>
    <t xml:space="preserve">Traced Person. It was informed at the hearing held in this case on 13.10.2021 that Wahid Shah was confined in the Internment Centre, Kohat under Action (in aid of Civil) Regulations 2011. His mother Bibi Marjan who was also present at the hearing confirmed he meet with her son. No further action is required. The case is closed. </t>
  </si>
  <si>
    <t>08/09/2021</t>
  </si>
  <si>
    <t xml:space="preserve">Traced Person. Rep of FC (North), KP and Rep of MI submitted report that Naseem Zada was confined in Internment Centre Khar, Bajur. Family members shall be facilitated to see Naseem Zada in the Internment Centre Khar, Bajur as per rules and procedure. No further action is required. The case is closed. </t>
  </si>
  <si>
    <t>42101-1222054-3
Father In-Law CNIC No.</t>
  </si>
  <si>
    <t>27/09/2021</t>
  </si>
  <si>
    <t>33203-8563080-4
Father CNIC No.</t>
  </si>
  <si>
    <t xml:space="preserve">Aziz Gul s/o Noor Sali Khan </t>
  </si>
  <si>
    <t xml:space="preserve">Traced Person. SP (Inv), Bajaur appeared before the Commission on 29.11.2021 and affirmed that Aziz Gul was arrested in case FIR No. 49 dated 28.11.2021 u/s 436,3793427 PPC PS Barang. Later he was enlarged on bail on the orders of the District &amp; Session Judge Bajaur. No further action is required. The case is closed. </t>
  </si>
  <si>
    <t xml:space="preserve">Traced Person. Rep of MI appeared on hearing on 29.11.2021 and submitted that Rasool Bayan confined in Internment Centre Lakki Marwat. Mashair Khan real brother of Rasool Bayan also entered appearance, whose statement was recorded on oath in which he affirmed that family members met with him in the Internment Centre on 27.10.2021. No further action is required. The case is closed. </t>
  </si>
  <si>
    <t xml:space="preserve">Traced Person. Mumshali Khan appeared before the Commission on 24.11.2021 at Lahore and submitted that he remained confined by some unknown persons and then released. No further action is required. The case is closed. </t>
  </si>
  <si>
    <t xml:space="preserve">Traced Person. Muhammad Umer entered appearance before the Commission on 25.11.2021 and submitted that he was taken into custody and subsequently released on bail. No further action is required. The case is closed. </t>
  </si>
  <si>
    <t>51602-4123334-4
Mother CNIC</t>
  </si>
  <si>
    <t>Prof. Ghulam  Rabani Baloch, r/o Kale Mehrab Road, District Mestung. (Mobile No. 0331-3760608).</t>
  </si>
  <si>
    <t>Traced Person. Jawad Ahmad Baloch entered appearance before the Commission at Quetta on 18.10.2022 whose statement was recorded on oath in which he deposed that he was a student of Army Public School Quetta. On 15th July, 2021 during vacations during which he was abducted by unknown persons. He produced his statement recorded u/s 164 Cr.PC by the Judicial Magistrate.  No further action is required. The case is closed.</t>
  </si>
  <si>
    <t>28/09/2021</t>
  </si>
  <si>
    <t>Muhammad Ayub, r/o Qoyam  koki Khel, Tapa Mena Khel, P.O Jamrud, District Khyber. (Mobile No. 0342-8939295 &amp; 0300-9327271).</t>
  </si>
  <si>
    <t>30/09/2021</t>
  </si>
  <si>
    <t>Traced Person. According to the report  submitted by CTD (Ops), Malakand Region Swat at hearing held on 26.4.2022 that Wazir Khan was arrested in case FIR No. 20 dated 28.5.2021 u/s 302/120-B/3/4/5 ESA/211/ 7ATA PS CTD Malakand. Later he was sent to Judicial lock up.  No further action is required. The case is closed.</t>
  </si>
  <si>
    <t>02/10/2021</t>
  </si>
  <si>
    <t xml:space="preserve">Deleted. At the hearing held in this case on 29.11.2021 Sami-ur-Rehman appeared and stated that the name of Raheem Ullah was inadvertently mentioned as no person with this name included their family. Hence no further action is required. The case is closed.  </t>
  </si>
  <si>
    <t>Traced Person. Complainant, Hanif Shareef appeared before the Commission on 29.10.2021, whose statement was recorded on oath in which he deposed that Sohail Shareef was confined in Qilla Saif Ullah Jail where he along with his father met hime 2/3  time. No further action is required. The case is closed.</t>
  </si>
  <si>
    <t>Shah Abdul Aziz  r/o Mohalla Thekdaran Shedu, Tehsil &amp; District Nowshera. (Mobile No. 0312-5424242).</t>
  </si>
  <si>
    <t>11101-8443979-9
Brother CNIC No.</t>
  </si>
  <si>
    <t>05/10/2021</t>
  </si>
  <si>
    <t>06/10/2021</t>
  </si>
  <si>
    <t>16/10/2021</t>
  </si>
  <si>
    <t xml:space="preserve">Traced Person. Arslan Qayyum has been traced. He appeared before the Commission on 28.3.2022 his statement was recorded on oath in which he deposed that he was not abducted by anybody rather than he left his home due to finical constraints and unemployment. Subsequently he returned home. </t>
  </si>
  <si>
    <t>21/10/2021</t>
  </si>
  <si>
    <t>21303-8596144-3
Brother CNIC</t>
  </si>
  <si>
    <t xml:space="preserve">Traced Person. Rep of MI submitted report dated 18.3.2022 that Qaiser Aslam had gone to Jamaica from Sialkot. Rep of IB submitted similar report. Father of the Missing Person who also appeared was apprised of the position.  No further action is required. The case is closed. </t>
  </si>
  <si>
    <t>27/10/2021</t>
  </si>
  <si>
    <t>17301-7977533-2
Mother CNIC</t>
  </si>
  <si>
    <t>30/10/2021</t>
  </si>
  <si>
    <t>03/11/2021</t>
  </si>
  <si>
    <t>08/11/2021</t>
  </si>
  <si>
    <t xml:space="preserve">Saeed Ahmed , r/o Mohallah Civil Ward, Mach, District Kachhi. (Mobile No.0333-3607762) </t>
  </si>
  <si>
    <t>09/11/2021</t>
  </si>
  <si>
    <t>10/11/2021</t>
  </si>
  <si>
    <t>17/11/2021</t>
  </si>
  <si>
    <t xml:space="preserve">Muhammad Bakhsh </t>
  </si>
  <si>
    <t>Traced Person. Tehsildar, Gawargo appeared before the Commission on 26.11.2021 on behalf of Deputy Commissioner Panjgur. He submiteed Tasdeeqi Cerificate collected during door to door visit confirming that Ilyas s/o Faiz Muhammad  has returned home. The certificate is duly signed by Deputy Commissioner, District Panjgur. No further action is required. The case is closed.</t>
  </si>
  <si>
    <t>Traced Person. Tehsildar, Gawargo appeared before the Commission on 26.11.2021 on behalf of Deputy Commissioner Panjgur. He submiteed Tasdeeqi Cerificate collected during door to door visit confirming that Peer Bakhsh s/o Issa  has returned home. The certificate is duly signed by Deputy Commissioner, District Panjgur. No further action is required. The case is closed.</t>
  </si>
  <si>
    <t>Traced Person. Tehsildar, Gawargo appeared before the Commission on 26.11.2021 on behalf of Deputy Commissioner Panjgur. He submiteed Tasdeeqi Cerificate collected during door to door visit confirming that Khalid Dad s/o Mengal  has returned home. The certificate is duly signed by Deputy Commissioner, District Panjgur. No further action is required. The case is closed.</t>
  </si>
  <si>
    <t>Traced Person. Tehsildar, Gawargo appeared before the Commission on 26.11.2021 on behalf of Deputy Commissioner Panjgur. He submiteed Tasdeeqi Cerificate collected during door to door visit confirming that Asad s/o Jamal  has returned home. The certificate is duly signed by Deputy Commissioner, District Panjgur. No further action is required. The case is closed.</t>
  </si>
  <si>
    <t>Traced Person. Tehsildar, Gawargo appeared before the Commission on 26.11.2021 on behalf of Deputy Commissioner Panjgur. He submiteed Tasdeeqi Cerificate collected during door to door visit confirming that Issa s/o Raza  has returned home. The certificate is duly signed by Deputy Commissioner, District Panjgur. No further action is required. The case is closed.</t>
  </si>
  <si>
    <t>Traced Person. Tehsildar, Gawargo appeared before the Commission on 26.11.2021 on behalf of Deputy Commissioner Panjgur. He submiteed Tasdeeqi Cerificate collected during door to door visit confirming that Nawaz s/o Atta Muhammad  has returned home. The certificate is duly signed by Deputy Commissioner, District Panjgur. No further action is required. The case is closed.</t>
  </si>
  <si>
    <t>02/12/2021</t>
  </si>
  <si>
    <t>51202-0616798-4
Mother CNIC</t>
  </si>
  <si>
    <t xml:space="preserve">Traced Person. Focal Person, Balochistan Police appeared before the Commission adt Quetta on 23.5.2022 and informed that Shah Bahar Baloch had returned home on 12.5.2022. He produced before the Judicial Magistrate Noshki and his statement was recorded u/s 164 CrPC. Hence no further action is required. The case is closed. </t>
  </si>
  <si>
    <t xml:space="preserve">Traced Person. Focal Person, Balochistan Police appeared before the Commission at Quetta on 23.5.2022 and informed that Shah Beroz Baloch had returned home on 12.5.2022. He produced before the Judicial Magistrate Noshki and his statement was recorded u/s 164 CrPC. Hence no further action is required. The case is closed. </t>
  </si>
  <si>
    <t>54400-2676663-1
Father CNIC</t>
  </si>
  <si>
    <t>06/12/2021</t>
  </si>
  <si>
    <t>Mst. Bibi Haleema w/o Khlifa Lal Muhammad, r/o  Nushki Kaye, Garibabad, Tehsil &amp; District Nushki. (Mobile No. 0342-8010773).</t>
  </si>
  <si>
    <t>07/12/2021</t>
  </si>
  <si>
    <t xml:space="preserve">FIR No. </t>
  </si>
  <si>
    <t xml:space="preserve">Traced Person. Focal Person , Bazlochistan Police appeared before the Commission at Quetta on 23.5.2022 and submitted report that Amir Khan was arrested in case FIR No. 13/22 and confined in Central Jail, Quetta where his family met him. Hence no further action is required. The case is closed. </t>
  </si>
  <si>
    <t>08/12/2021</t>
  </si>
  <si>
    <t xml:space="preserve">Traced Person. Rep of MI submitted report at the hearing held on 20.4.2022 at Islamabad that Muhammad Jawad s/o Zandar Khan is confined in the Internment Centre, Malakand under Actions (in aid of Civil) Regulations, 2011. Family members will be facilitated to see him in the aforesaid Internment Centre. </t>
  </si>
  <si>
    <t>Muhammad Sadiq, r/o Awaz Khel, Khadar Khel, P.O and Tehsil Datta Khel, District  North Waziristan.</t>
  </si>
  <si>
    <t>09/12/2021</t>
  </si>
  <si>
    <t>Traced Person. Muhammad Ayaz b/o Abad Khan entered appearance before the Commission on 20.4.2022 at Islamabad whose statement was recorded on oath in which je deposed that Abad Khan was presently interned in the Internment Centre at Lakki Marwat and his father Momin Khan had met in the Internment Centre twice. Rep of MI submitted that Abad Khan  was confined under Action (in aid of Civil) Regulations, 2011. No further action is required. The case is closed.</t>
  </si>
  <si>
    <t>10/12/2021</t>
  </si>
  <si>
    <t>Noor Dat Khan s/o  Said Akbar</t>
  </si>
  <si>
    <t xml:space="preserve">Traced Person. Jamroz Khan was been traced. Rep of CPO, Rawalpindi appeared before the Commission and his statement was recorded on oath in which he confirmed that Jamroz Khan had returned home.     No further action is required. The case is closed. </t>
  </si>
  <si>
    <t>Traced Person. Shabir Javed appeared before the Commission at Lahore on 10.5.2022 and highlighted details of the unfortune episode. The significant  feature of the case is that he admitted frankly that he could not identify the delinquents/culprits.  No further action is required. The case is closed.</t>
  </si>
  <si>
    <t>16/12/2021</t>
  </si>
  <si>
    <t>Abdur Rehman Khan, r/o House No. 04, Street No. 03, Shah Janal, Lahore. (Mobile No. 0301-8414268).
(Celiba Rahman d/o Missing Person: +491772601746).</t>
  </si>
  <si>
    <t>POC-
27658-6233581-1</t>
  </si>
  <si>
    <t xml:space="preserve">Traced Person. It was informed at the hearing held in this Commission on 28.3.2022 that Muhammad Asif Nadeem is involved in Criminal Case vide FIR No. 8/2022 dated 7.2.2022 u/s 7 ATA PS CTD, Multan. He is presently confined in Central Jail Multan. SDPO, Korangi Karachi also confirmed in his report. No further action is required. The case is closed. </t>
  </si>
  <si>
    <t>22/12/2021</t>
  </si>
  <si>
    <t>Khalil-ur-Rehman, r/o Nar Danish Abad,  P.O and Tehsil Sarye Norzang, District Lakki Marwat, KPK. (Mobile No. 0300-9098395).</t>
  </si>
  <si>
    <t>23/12/2021</t>
  </si>
  <si>
    <t xml:space="preserve">Traced Person. Gul Akbar has been traced. He appeared before the Commission on 28.3.2022 and his statement was recorded on oath in which he deposed that he was abducted on 15.12.2021 at 6.30 PM and was set free on 17.2.2022 at Rawalpindi. He deposed that he was blind folded, therefore he could noy identify anybody involved in his abduction.    No further action is required. The case is closed. </t>
  </si>
  <si>
    <t>Rawalpindi /
ICT</t>
  </si>
  <si>
    <t>23/12/2022</t>
  </si>
  <si>
    <t>23/12/2023</t>
  </si>
  <si>
    <t>23/12/2024</t>
  </si>
  <si>
    <t>23/12/2025</t>
  </si>
  <si>
    <t>23/12/2026</t>
  </si>
  <si>
    <t xml:space="preserve">Traced Person. A hearing was held in this case on 10.12.2021 which was attended by ADC District Sibbi. He informed that Wali Muhammad Marri who was abducted in 2006 was set free after three months and he was present at home. A certificate to this effect was also produced duly signed by DC, Sibbi. </t>
  </si>
  <si>
    <t>Traced Person. Additional Deputy Commissioner Sibbi appeared before the Commission on behalf of DC Sibbi whose statement was recorded on oath in which he stated that Jahangir s/o Shah Gul  returned home. He submitted necessary certificates in this respect. No further action is required. The case is closed.</t>
  </si>
  <si>
    <t>Lalu  Khan s/o Wali Khan</t>
  </si>
  <si>
    <t>Traced Person. Additional Deputy Commissioner Sibbi appeared before the Commission on behalf of DC Sibbi whose statement was recorded on oath in which he stated that Lalu Khan s/o Wali Khan  returned home. He submitted necessary certificates in this respect. No further action is required. The case is closed.</t>
  </si>
  <si>
    <t>Traced Person. Additional Deputy Commissioner Sibbi appeared before the Commission on behalf of DC Sibbi whose statement was recorded on oath in which he stated that Haji Tangi s/o Shah Bux  returned home. He submitted necessary certificates in this respect. No further action is required. The case is closed.</t>
  </si>
  <si>
    <t>Traced Person. Additional Deputy Commissioner Sibbi appeared before the Commission on behalf of DC Sibbi whose statement was recorded on oath in which he stated that Sommer Khan s/o Jawad  returned home. He submitted necessary certificates in this respect. No further action is required. The case is closed.</t>
  </si>
  <si>
    <t>Traced Person. Additional Deputy Commissioner Sibbi appeared before the Commission on behalf of DC Sibbi whose statement was recorded on oath in which he stated that Hasil Khan s/o Nadir Khan  returned home. He submitted necessary certificates in this respect. No further action is required. The case is closed.</t>
  </si>
  <si>
    <t>Traced Person. Additional Deputy Commissioner Sibbi appeared before the Commission on behalf of DC Sibbi whose statement was recorded on oath in which he stated that Ghani Khan s/o Sobedar  returned home. He submitted necessary certificates in this respect. No further action is required. The case is closed.</t>
  </si>
  <si>
    <t>Traced Person. Additional Deputy Commissioner Sibbi appeared before the Commission on behalf of DC Sibbi whose statement was recorded on oath in which he stated that Kol Meer Khan s/o Wali Khan  returned home. He submitted necessary certificates in this respect. No further action is required. The case is closed.</t>
  </si>
  <si>
    <t>Traced Person. Additional Deputy Commissioner Sibbi appeared before the Commission on behalf of DC Sibbi whose statement was recorded on oath in which he stated that Umer Bux s/o Soharab  returned home. He submitted necessary certificates in this respect. No further action is required. The case is closed.</t>
  </si>
  <si>
    <t>01/01/2022</t>
  </si>
  <si>
    <t xml:space="preserve">Hafiz Muhammad Imad Majid  s/o Majid Butt </t>
  </si>
  <si>
    <t>Maaz Ullah s/o Manda Ameen  Jan</t>
  </si>
  <si>
    <t>Traced Person. According to the report dated 25.4.2022 submitted by Rep of MI at the hearing on 25.4.2022, Maaz Ullah was confined in Internment Centre Khar (Bajaur)  in terms of Actions (in aid of Civil Power) Regulations, 2011. Family members of Maaz Ullah shall be facilitated to see him in the Internment Centre. No further action is required. The case is closed.</t>
  </si>
  <si>
    <t xml:space="preserve">Mukhtar Khan s/o Gulab Bashir </t>
  </si>
  <si>
    <t>Jamdad Khan s/o  Bahadur Khan</t>
  </si>
  <si>
    <t>Traced Person. Qismat Khan has been traced. In Para-13 of the JIT report submitted at the hearing it is mentioned that the Missing Person was arrested on 21.1.2022 in terrorism cases by CTD. After completion of 2 days Police Custody, he was sent to Central jail Peshawar. On 7.2.2022  ATC Court III Peshawar granted bail to the accused. Hence, not a case of enforced disappearance. The case is closed.</t>
  </si>
  <si>
    <t>03/01/2022</t>
  </si>
  <si>
    <t>04/01/2022</t>
  </si>
  <si>
    <t>10/01/2022</t>
  </si>
  <si>
    <t>Noor Hameed Khan s/o  Fazal Hameed</t>
  </si>
  <si>
    <t>15/01/2022</t>
  </si>
  <si>
    <t>18/01/2022</t>
  </si>
  <si>
    <t>Traced Person. SSP (Inv), Quetta submitted report at the hearing held in the case  on 05.01.2022 that Mazar Khan Marri has returned to home and his statement was recorded by the Police. No further action is required. The case is closed.</t>
  </si>
  <si>
    <t>Traced Person.  SP (Inv) Quetta appeared before the Commission on 03.01.2022 that the case of Safar Khan s/o Sher Khan had already been deposed of by the Commission vide proceedings in case ID No. 0051-B. Accordingly present case is closed without further action.</t>
  </si>
  <si>
    <t>Traced Person.  SP (Inv) Quetta appeared before the Commission on 03.01.2022 that the case of Faisal Riaz s/o Muhammad Akram had already been deposed of by the Commission vide proceedings in case ID No. 2941-B. Accordingly present case is closed without further action.</t>
  </si>
  <si>
    <t>Traced Person.  SP (Inv) Quetta appeared before the Commission on 03.01.2022 that the case of Manzoor Ahmed s/o Nazir Ahmed had already been deposed of by the Commission vide proceedings in case ID No. 2462-B. Accordingly present case is closed without further action.</t>
  </si>
  <si>
    <t>31/01/2022</t>
  </si>
  <si>
    <t>01/02/2022</t>
  </si>
  <si>
    <t>Sajjid-ur-Rehman, r/o Room No. 229, 
Ministry of Planning
Development &amp; Special Initiatives, Pak Secretariat, Islamabad. (Mobile No. 0302-4535761 &amp; 0321-8546844 &amp; 0303-9521014).</t>
  </si>
  <si>
    <t>02/02/2022</t>
  </si>
  <si>
    <t>08/02/2022</t>
  </si>
  <si>
    <t xml:space="preserve">Ali Mar Gul </t>
  </si>
  <si>
    <t xml:space="preserve">Traced Person. Osama Rehman has been traced. He appeared before the Commission on 28.3.2022 and recorded his statement on oath in which he deposed that he was not abducted by anybody rather he went to Karachi on his own and later returned home.  No further action is required. The case is closed. </t>
  </si>
  <si>
    <t>AC79355732446
Afgan Citizen</t>
  </si>
  <si>
    <t>14/02/2022</t>
  </si>
  <si>
    <t>17/02/2022</t>
  </si>
  <si>
    <t>18/02/2022</t>
  </si>
  <si>
    <t>21201-2148512-4
Mother CNIC</t>
  </si>
  <si>
    <t>19/02/2022</t>
  </si>
  <si>
    <t>21104-3312884-1
Grand Father CNIC</t>
  </si>
  <si>
    <t xml:space="preserve">Traced Person. Rep of MI appeared before the Commission on 09.5.2022 and submitted report that Nasrullah was confined in Internment Centre at Khar District Bajur under Actions (in aid of Civil Power) Regulations, 2011. Family member shall be facilitated to see him in the Internment Centre as per rules and procedures. </t>
  </si>
  <si>
    <t>21501-5447710-7
Father CNIC</t>
  </si>
  <si>
    <t>22/02/2022</t>
  </si>
  <si>
    <t>28/02/2022</t>
  </si>
  <si>
    <t>Traced Person. SP Quaid Abad, Quetta appeared before the Commission on 21.2.2022 on behalf of SSP Inv, Quetta whose statement was recorded in which he stated Dr. Wazir Khan Marri was resident of Harnai. That was disappeared was 29.11.2011. Later he was released after 4/5 months.  Hence no further action is required. The case is closed.</t>
  </si>
  <si>
    <t>03/03/2022</t>
  </si>
  <si>
    <t>Wali Muhammad  Khan s/o Dost  Muhammad Khan</t>
  </si>
  <si>
    <t xml:space="preserve">Traced Person. It was informed at the hearing held in this Commission on 23.5.2022 at Regional Office, Karachi. He was involved in criminal case vide FIR No. 20/22 and 21/22 dated 31.3.2022. family of Abdul Hafeez has been informed accordingly. Hence no further action is required. The case is closed. </t>
  </si>
  <si>
    <t>07/03/2022</t>
  </si>
  <si>
    <t>04/03/2022</t>
  </si>
  <si>
    <t xml:space="preserve">Zubair Khan, Taxila Sarai Allah wali Masjid Pardane Wala Khajoori Wala, Tehsil Taxila, District Rawalpindi. (Mobile No. 0300-0991933 &amp; 0310-8739699) </t>
  </si>
  <si>
    <t>Traced Person. Mirda Ali Khan had been traced. He has returned home. Zubair Khan complainant is present, whose statement was  recorded on oath in which he deposed that previously Mirda Ali Khan was confine in Mardan Jail and after getting bail, he returned home. No further action is required. The case is closed.</t>
  </si>
  <si>
    <t>08/03/2022</t>
  </si>
  <si>
    <t>Chamnaye, r/o Bakshu Pul,  New Ghari, Mansoorabad, Peshawar. (Mobile No. 0331-5499835 &amp; 0342-0192427).</t>
  </si>
  <si>
    <t>12/03/2022</t>
  </si>
  <si>
    <t>Traced Person. It was informed at  the hearing held in this Commission on 20.4.2022 that Ahsan Ali Shah had returned to home. In this connection, SDPO, Shah Faisal Colony, Karachi submitted copy of statement of the Traced Person recorded u/s 164 CrPC. No further action is required. The case is closed.</t>
  </si>
  <si>
    <t>Traced Person. It was informed at  the hearing held in this Commission on 20.4.2022 that Muhammad Anas s/o Hashim had returned to home. In this connection, SDPO, Shah Faisal Colony, Karachi submitted copy of statement of the Traced Person recorded u/s 164 CrPC. No further action is required. The case is closed.</t>
  </si>
  <si>
    <t>Traced Person. Sardar Nawaz Khan f/o Muhammad Hairs Nawaz appeared before the Commission on 23.5.2022 and his statement was recorded on oath in which he deposed that his son Muhammad Haris Nawaz was abducted from his home on 7.1.2022 by a raiding party of CTD. Muhammad Haris  Nawaz was confined at Bannu Cantt Thana and was shifted to Mandan Thana where he was kept for 2/3 days. After obtaining bail from ATC Court Muhammad Haris Nawaz he returned home on 21.5.2022 .Hence no further action is required. The case is closed.</t>
  </si>
  <si>
    <t>11201-0406174-7
Father CNIC</t>
  </si>
  <si>
    <t>Noor Badshah, r/o Mohalla Mohsin Khel,  Near Haigh Secondry School Lakki Marwat, District Lakki Marwat. (Mobile No. 0315-1930819).</t>
  </si>
  <si>
    <t>Traced Person. At the hearing held in this case on 1.3.2022 at Quetta, SP Quaid Abad Quetta informed that the incident occurred on 11.4.2012, while dead body of Muhammad Nabi Marri was found in the Maidan of Killa Firozabad, Sariab Road, Quetta as 28.5.20212. The dead body was handed over to legal heirs after issuance of death certificate by Medical Legal Officer.  Hence no further action is required. The case is closed.</t>
  </si>
  <si>
    <t xml:space="preserve">Jamal-ud Dini PM Office </t>
  </si>
  <si>
    <t xml:space="preserve">Traced Person. Raza Khan s/o Meera Khan appeared before the Commission on 10.3.2022 whose statement was recorded on oath. According to him the year 2014 he was picked up and taken away along with Meera Khan, Mustafa and Shah Bux at Hazar Ganji by 5-6 persons in vehicle. According to him he was taken away blinded folded and releases after 10 days. No further action is required. The case is closed. </t>
  </si>
  <si>
    <t xml:space="preserve">Traced Person. Panzo Khan appeared before the Commission on 9.3.2022 in person. According to him he was abducted from Hazar Ganji blind folded. He further stated that he was released after 6 months. He did not identify those persons who took him away. No further action is required. The case is closed. </t>
  </si>
  <si>
    <t xml:space="preserve">Traced Person. Sain Naseem appeared before the Commission on 9.3.2022 and his statement was recorded on oath. SP Qaid Abad, Quetta also appeared on and submitted report that Said Dad was abducted during the year 2013 and he was released after 6 months. He had produced statement of Sain Dad.No further action is required. The case is closed. </t>
  </si>
  <si>
    <t xml:space="preserve">Traced Person. Sain Dad Marri s/o Syed Gull appeared before the Commission on 9.3.2022 and his statement was recorded on oath. SP Qaid Abad, Quetta also appeared on and submitted report that Said Dad was abducted during the year 2013 and he was released after 6 months. He had produced statement of Sain Dad.No further action is required. The case is closed. </t>
  </si>
  <si>
    <t xml:space="preserve">Traced Person Manda Khan father of Khuda Bux appeared before the Commission on 8.3.2022 and his statement was recorded on oath. SP Qaid Abad, Quetta also appeared and submitted report that Khud Bux Marri was abducted during the year 2013 by some unknown persons and taken to some unknown place. No further action is required. The case is closed. </t>
  </si>
  <si>
    <t xml:space="preserve">Traced Person. Allah Yar Marri appeared before the Commission on 8.3.2022 whose statement was recorded on oath. SP Qaid Abad, Quetta also appeared and submitted report that Allah Yar Marri was picked up and taken away during the year 2013 by some unknown persons. That he was released after 6 months in Marri Camp. He produced statement of Allah Yar Marri. No further action is required. The case is closed. </t>
  </si>
  <si>
    <t xml:space="preserve">Traced Person. Sabaz Ali Marri appeared before the Commission on 8.3.2022 whose statement was recorded on oath. SP Qaid Abad, Quetta also appeared and submitted report that Sabaz Ali was abducted by unknown persons and released after 6 months. He has produced statement of Sabaz Ali Marri. No further action is required. The case is closed. </t>
  </si>
  <si>
    <t xml:space="preserve">Traced Person. Haider Khan Marri appeared before the Commission on 8.3.2022 whose statement was recorded on oath. SP Qaid Abad, Quetta also appeared and submitted report that Haider Khan Marri  was abducted by unknown persons in the year of 2013 and released after 6 months. No further action is required. The case is closed. </t>
  </si>
  <si>
    <t xml:space="preserve">Traced Person. Meera Khan appeared before the Commission on 10.3.2022 whose statement was recorded on oath. SP Qaid Abad, Quetta also appeared and submitted report that Meera Khan was abducted by unknown persons in the year of 2014 and released after 8-10 days. No further action is required. The case is closed. </t>
  </si>
  <si>
    <t xml:space="preserve">Traced Person. Mustafa appeared before the Commission on 10.3.2022 whose statement was recorded on oath. SP Qaid Abad, Quetta also appeared and submitted report that Mustafa was abducted by unknown persons in the year of 2014 from Hazar Ganji and taken away to some unknown place and released after 10 days. No further action is required. The case is closed. </t>
  </si>
  <si>
    <t xml:space="preserve">Shah Bux s/o Dad Muhammad </t>
  </si>
  <si>
    <t xml:space="preserve">Traced Person. Shah Bux appeared before the Commission on 10.3.2022 whose statement was recorded on oath. SP Qaid Abad, Quetta also appeared and submitted report that Shah Bux was abducted by unknown persons in the year of 2014 from Hazar Ganji and taken away to some unknown place and released after 8-10 days. No further action is required. The case is closed. </t>
  </si>
  <si>
    <t xml:space="preserve">Traced Person. Ali Gull appeared before the Commission on 11.3.2022 whose statement was recorded on oath. SP Qaid Abad, Quetta also appeared and submitted report that Abdul Khaliq was abducted by unknown persons in the year of 2016 and released after one month. No further action is required. The case is closed. </t>
  </si>
  <si>
    <t xml:space="preserve">Shambo Khan s/o Muhammad Ali </t>
  </si>
  <si>
    <t xml:space="preserve">Traced Person. Shambo Khan appeared before the Commission on 11.3.2022 whose statement was recorded on oath. SP Qaid Abad, Quetta also appeared and submitted report that Shambo Khan s/o Muhammad Ali was abducted by unknown persons in the year of 2016 by some unknown persons from Hazar Ganji and released after two and half months. No further action is required. The case is closed. </t>
  </si>
  <si>
    <t xml:space="preserve">Traced Person. Aziz Khan appeared before the Commission on 11.3.2022 whose statement was recorded on oath. SP Qaid Abad, Quetta also appeared and submitted report that Aziz Khan was abducted by unknown persons in the year of 2.9.2016 by some unknown persons. He further added that he was released on 1.1.2017. No further action is required. The case is closed. </t>
  </si>
  <si>
    <t xml:space="preserve">Traced Person. SP Qaid Abad appeared before the Commission on 11.3.2022 whose statement was recorded on oath. According to him in the instant case FIR 48/16 PS Sariab District Quetta was lodged on the report of Ghulam Rasool on 5/4/2016 u/s 365 PPC. He further submitted that the case was closed by the Commission on 27.10.2016 being not a case of enforced disappearance vide ID No. 3102-B as Yaseen Bughti was declared absconder in a criminal case . No further action is required. The case is closed. </t>
  </si>
  <si>
    <t xml:space="preserve">Traced Person. Ali Gul Sobidar appeared before the Commission on 11.3.2022 whose statement was recorded on oath. SP Qaid Abad Quetta also appeared and submitted report that Ali Gull was abducted during the year 2016 by some unknown persons taken to some unknown place. He further added that he was released after one month and three days. No further action is required. The case is closed. </t>
  </si>
  <si>
    <t xml:space="preserve">Traced Person. Muhammad Ali appeared before the Commission on 11.3.2022 whose statement was recorded on oath. SP Qaid Abad, Quetta also appeared and submitted report that Muhammad Ali was abducted during year 2016 by some unknown persons from Hazar Ganji taken to some unknown place.No further action is required. The case is closed. </t>
  </si>
  <si>
    <t>Esa  Khan Marri</t>
  </si>
  <si>
    <t xml:space="preserve">Traced Person. Esa Khan Marri appeared before the Commission on 11.3.2022 whose statement was recorded on oath. SP Qaid Abad, Quetta also appeared and submitted  report that Esa Khan was abducted during the year 2016 by some unknown persons from Noshki and taken to some unknown place. No further action is required. The case is closed. </t>
  </si>
  <si>
    <t xml:space="preserve">Traced Person. SP Qaid Abad, Quetta appeared before the Commission on 11.3.2022 whose statement was recorded on oath. According to him FIR No. 47/15 PS Sariab District Quetta was lodged on the report of Asif s/o Muhammad Bux on 15.4.2015 u/s 365 PPC. Dr. Amir Bux Baloch was released and his statement was recorded u/s 161 CrPC. No further action is required. The case is closed. </t>
  </si>
  <si>
    <t>15602-9494461-8
CNIC of Mother</t>
  </si>
  <si>
    <t>17/03/2022</t>
  </si>
  <si>
    <t>21501-2254461-0
Mother CNIC</t>
  </si>
  <si>
    <t xml:space="preserve">Traced Person. Rep of Mi submitted report at the hearing on 24.5.2022 that Said-ud-Din was confined in the Internment Centre Lakki Marwat. SP (Inv) North Waziristan was also present who was directed to intimate family members of Saif-ud-Din as they shall be facilitated to see him in the Internment Centre Lakki Marwat as per rules and procedures. </t>
  </si>
  <si>
    <t>Traced Person. It was informed at  the hearing held in this Commission on 19.4.2022 that Muhammad Iltaf Albani had returned to home. In this connection , SDPO Sharah-e-Faisal, Karachi submitted copy of statement of Anwar Albani (Brother) recorded u/s 164 CrPC. No further action is required. The case is closed.</t>
  </si>
  <si>
    <t>Muhammad Rehman, r/o P.O Hari Chand Tehsil Tangi District Charsadda Jamalabad Farm Hari Chand. (Mobile No.  0348-6667257)</t>
  </si>
  <si>
    <t>Nisar Ahmed, r/o  Hari Chand Bagh Mohalla Rai Mahal District Charsadda Tehsil Tangi P.O Hari Chand  (Mobile No.  0345-9208310 &amp; 0345-9202030)</t>
  </si>
  <si>
    <t xml:space="preserve">Sher Nawaz Khan, r/o Ashkari Ali Khel, District Kark Sabirabad. (Mobile No. 0332-5856426) </t>
  </si>
  <si>
    <t>26/03/2022</t>
  </si>
  <si>
    <t xml:space="preserve">Traced Person. SP Kohlu appeared before the Commission on 14.3.2022 whose statement was recorded on oath in which he deposed that Sari Ahmed Marri s/o Haibtan could not be traced as he is not a resident of a area Kohlu. However, Wadera Shah Nawaz Tehsildar Kohlu also appeared who submitted that Sari Ahmed Marri was resident of Kohlu and presently at Hazar Ganji Quetta. The Said Ahmed also made appearance before the Commission. No further action is required. The case is closed. </t>
  </si>
  <si>
    <t xml:space="preserve">Traced Person. SP Qaid Abad Quetta appeared on behalf of SSP (Inv), Quetta whose statement was recorded on oath. According to him during the course of investigation Ghulam Haider was produced to PS Sariab Quetta by Sobidar Ahsan Ullah FIR No. 46/13 PS New Sariab. Ghulam Haider was trued by ATC-II Quetta and acquitted by the said Court on 29.12.2017.  No further action is required. The case is closed. </t>
  </si>
  <si>
    <t>29/03/2022</t>
  </si>
  <si>
    <t>01/04/2022</t>
  </si>
  <si>
    <t>21105-2168966-1
Brother CNIC</t>
  </si>
  <si>
    <t>02/04/2022</t>
  </si>
  <si>
    <t>Talal Muhammad, r/o House No. 27, Gali Num 05, Zia Masjid, Pindoria, Ishraf Town,  Pindoria, Rawalpindi. (Mobile No. 0300-0515388).</t>
  </si>
  <si>
    <t>Traced Person. R.O, CTD and DSP (Inv) Nasir Abad entered appearance before the Commission at Quetta on 18.4.2022. It was informed that FIR No. 15/22 PS, CTD Nasir Abad u/s 4-5 EXP-7 11Fi 11 Fii-ATA was registered. On 16.3.2022 Abdul Hafeez s/o Muhammad Hassan was produced before the Special Judge ATC Usta Muhammad who remanded him in Police custody for 7 days.  No further action is required. The case is closed.</t>
  </si>
  <si>
    <t>05/04/2022</t>
  </si>
  <si>
    <t xml:space="preserve">Pervaiz Ali Sargani s/o Khair Muhammad </t>
  </si>
  <si>
    <t>09/04/2022</t>
  </si>
  <si>
    <t xml:space="preserve">Traced Person. It was informed at the hearing in this Commission at Karachi on 20.5.2022 that Muhammad Zubair Khan returned to home. He appeared before the Commission and his statement was recorded. The report submitted by SHO Samanabad, Karachi also confirmed.  Hence no further action is required. The case is closed. </t>
  </si>
  <si>
    <t>12/04/2022</t>
  </si>
  <si>
    <t>37405-3139987-1
Father CNIC</t>
  </si>
  <si>
    <t xml:space="preserve">Deleted. The case of Missing Person Takhari Abdul Wahid earlier vide ID No. 1074-B disposed of as a proper Challan against accused culprit was under trail in Court of Law. No further action is required. The case is closed. </t>
  </si>
  <si>
    <t xml:space="preserve">Deleted. The case of Missing Person Dad Muhammad earlier vide ID No. 1075-B disposed of as a proper Challan against accused culprit was under trail in Court of Law. No further action is required. The case is closed. </t>
  </si>
  <si>
    <t>Deleted. Deputy Director, Home Department, Quetta submitted report that the case was earlier disposed of by the Commission vide ID No. 0862 on 20.10.2016. The Missing Person was suffering from mental ailment.  No further action is required. The case is closed.</t>
  </si>
  <si>
    <t>Traced Person. SP (Inv), Mastung submitted report at the hearing on 4.4.2022 that Muhammad Salah was picked up by unknown persons 5/6 years ago that he was released after 17 days. Later as reported by his brother he expired on 24.10.2021.   No further action is required. The case is closed.</t>
  </si>
  <si>
    <t>Traced Person. Munawar Ahmed s/o Muhammad Jan appeared before the Commission on 4.4.2022 in person whose statement was recorded on oath in which he deposed that he was picked up and taken from his shop on 24.3.2017 by muffled persons who were in plain clothes. That he was released after 3 months.  No further action is required. The case is closed.</t>
  </si>
  <si>
    <t>Traced Person. SDPO, Mastung appeared on before the Commission on 7.4.2022 at Quetta on behalf of SP , Mastung whose statement was recorded on oath in which he deposed that Abdul Zakir Bangulzai s/o Abdul Kareem who was abducted on 9.9.2010 returned home.  No further action is required. The case is closed.</t>
  </si>
  <si>
    <t xml:space="preserve">Nisar Ahmed </t>
  </si>
  <si>
    <t>Traced Person. SI/ SHO Mastung appeared before the Commission on 11.4.2022 at Quetta on behalf of SP Mastung whose statement was recorded on oath in which he deposed that  Abdul Zahir was abducted on 18.7.2017 and recovered on 30.8.2018. No further action is required. The case is closed.</t>
  </si>
  <si>
    <t>Traced Person. SDPO, Mastung appeared before the Commission on 14.4.2022 at Quetta on behalf of SP Mastung. According to him Abdullah Shahwani was abducted on 29.8.2013. He submitted  Tasdeeqi Certificate indicating his release.  No further action is required. The case is closed.</t>
  </si>
  <si>
    <t>Traced Persons. Muhammad Ismail Naib Risaldar appeared before the Commission on the behalf of DC Mastung whose statement was recorded on oath. He produced copy of statement of Abu Bakar s/o Muhammad Bakhsh Sarrparah recorded u/s 161 CrPC indicating that he was  returned home on March, 2019. No further action is required. The case is closed.</t>
  </si>
  <si>
    <t>Traced Persons. Muhammad Ismail Naib Risaldar appeared before the Commission on the behalf of DC Mastung whose statement was recorded on oath. He produced copy of statement of Shoaib Sarparah s/o Mir Ghulam Rabbani recorded u/s 161 CrPC indicating that he was  returned home on June 2019. No further action is required. The case is closed.</t>
  </si>
  <si>
    <t>Traced Person. SDPO Mastung appeared before the Commission on 8.4.2022 at Quetta whose statement was recorded on oath in which he reported that Muhammad Azam was abducted between the night of 17/18.4.2013 from his house by unknown persons. That Muhammad Azam was released on 18.5.2013.  No further action is required. The case is closed.</t>
  </si>
  <si>
    <t xml:space="preserve">Norooz Khan </t>
  </si>
  <si>
    <t>Traced Person. SDPO Mastung appeared before the Commission on 8.4.2022 at Quetta whose statement was recorded on oath in which he reported that Norooz Khan was abducted between the night of 17/18.4.2013 from his house by unknown persons. That Muhammad Azam was released on 01.5.2013.  No further action is required. The case is closed.</t>
  </si>
  <si>
    <t>Traced Person. SDPO Mastung appeared before the Commission on 8.4.2022 at Quetta whose statement was recorded on oath in which he reported that Sardar Khan was abducted between the night of 17/18.4.2013 from his house by unknown persons. That Muhammad Azam was released on 01.5.2013.  No further action is required. The case is closed.</t>
  </si>
  <si>
    <t>Traced Person.  Risaldar Levies Dasht appeared before the Commission on 11.4.2022 at Quetta on behalf of DC Mastung whose statement was recorded on oath. According to him Muhammad Baqa who was picked up and taken away by some unknown persons from Kabo Dasht on 2.6.2013 and was released after two weeks. He further stated that he was now present in area of Kabo Dasht. No further action is required. The case is closed.</t>
  </si>
  <si>
    <t>Traced Person.  Risaldar Levies Dasht appeared before the Commission on 11.4.2022 at Quetta on behalf of DC Mastung whose statement was recorded on oath. According to him Muhammad Ishaq who was picked up and taken away by some unknown persons from Kabo Dasht on 2.6.2013 and was released after two weeks. He further stated that he was now present in area of Kabo Dasht. No further action is required. The case is closed.</t>
  </si>
  <si>
    <t>Traced Person.  Risaldar Levies Dasht appeared before the Commission on 11.4.2022 at Quetta on behalf of DC Mastung whose statement was recorded on oath. According to him Attaullah who was picked up and taken away by some unknown persons from Kabo Dasht on 2.6.2013 and was released after two weeks. He further stated that he was now present in area of Kabo Dasht. No further action is required. The case is closed.</t>
  </si>
  <si>
    <t>Traced Person.  Risaldar Levies Dasht appeared before the Commission on 11.4.2022 at Quetta on behalf of DC Mastung whose statement was recorded on oath. According to him Fateh Khan who was picked up and taken away by some unknown persons from Kabo Dasht on 2.6.2013 and was released after two weeks. He further stated that he was now present in area of Kabo Dasht. No further action is required. The case is closed.</t>
  </si>
  <si>
    <t>Traced Person.  Risaldar Levies Dasht appeared before the Commission on 11.4.2022 at Quetta on behalf of DC Mastung whose statement was recorded on oath. According to him Fazal Ahmed who was picked up and taken away by some unknown persons from Kabo Dasht on 2.6.2013 and was released after two weeks. He further stated that he was now present in area of Kabo Dasht. No further action is required. The case is closed.</t>
  </si>
  <si>
    <t>Traced Person.  SDPO, Mastung appeared before the Commission on 12.4.2022 on behalf of SP Mastung whose statement was recorded on oath. According to him Noor Ahmed Bangulzai was abducted on 9.5.2013 and released on 23.7.2018. He produced statement of Niaz Ullah brother of Missing Person u/s 161 CrPC. No further action is required. The case is closed.</t>
  </si>
  <si>
    <t>Traced Person.  SDPO, Mastung appeared before the Commission on 12.4.2022 on behalf of SP Mastung whose statement was recorded on oath. According to him Abdul Samad Bangulzai was abducted on 9.5.2013 and released on 23.7.2018. He produced statement of Gulzar Ahmed brother of Missing Person u/s 161 CrPC. No further action is required. The case is closed</t>
  </si>
  <si>
    <t>Traced Person.  SDPO, Mastung appeared before the Commission on 12.4.2022 on behalf of SP Mastung whose statement was recorded on oath. According to him Abdul malik Bangulzai was abducted on 9.5.2013 and released on 24.7.2018. He produced statement of Niaz Ahmed (Cousin) of Missing Person u/s 161 CrPC. No further action is required. The case is closed.</t>
  </si>
  <si>
    <t>Traced Person.  SDPO, Mastung appeared before the Commission on 12.4.2022 on behalf of SP Mastung whose statement was recorded on oath. According to him Fateh Muhammad Bangulzai had returned home. He produced statement of Muhammad Asghar (Cousin) of Missing Person u/s 161 CrPC. No further action is required. The case is closed.</t>
  </si>
  <si>
    <t>Traced Person.  SDPO, Mastung appeared before the Commission on 12.4.2022 on behalf of SP Mastung whose statement was recorded on oath. According to him Shair Ahmed Bangulzai was abducted on 9.5.2013 and released on 25.7.2018. He produced statement of Muhammad Asghar (Cousin) of Missing Person u/s 161 CrPC. No further action is required. The case is closed.</t>
  </si>
  <si>
    <t>Traced Person.  SDPO, Mastung appeared before the Commission on 12.4.2022 on behalf of SP Mastung whose statement was recorded on oath. According to him Zahoor Ahmed Bangulzai was abducted on 9.5.2013 and released on 25.7.2018. He produced statement of Gulzar (Cousin) of Missing Person u/s 161 CrPC. No further action is required. The case is closed.</t>
  </si>
  <si>
    <t>Traced Person.  Risaldar Lavies Dasht Mastung appeared before the Commission on 13.4.2022 at Quetta on behalf of DC Mastung whose statement was recorded on oath. According to him Ghulam Ali was abducted on 5.9.2013 from the area of Kand Mashore Pahdae and released after eight months. No further action is required. The case is closed.</t>
  </si>
  <si>
    <t>Traced Person.  Risaldar Lavies Dasht Mastung appeared before the Commission on 13.4.2022 at Quetta on behalf of DC Mastung whose statement was recorded on oath. According to him Abdul Mutalib was abducted on 5.9.2013 from the area of Kand Mashore Pahdae and released after eight months. No further action is required. The case is closed.</t>
  </si>
  <si>
    <t>Traced Person. It has been reported by SP (Inv), Noshki at the hearing held on 15.4.2022 that Ahmed s/o Masri Khan  was abducted  by four  unknown persons on 18.8.2017 and returned on 24.8.2018. No further action is required. The case is closed.</t>
  </si>
  <si>
    <t>Traced Person. It has been reported by SP (Inv), Noshki at the hearing held on 15.4.2022 that Ibrahim s/o Umait Khan  was abducted   unknown persons on 18.8.2017 and returned on 7.9.2018. No further action is required. The case is closed.</t>
  </si>
  <si>
    <t>Traced Person. It has been reported by SP (Inv), Noshki at the hearing held on 15.4.2022 that Mirza Khan s/o Umaid Khan  was abducted   unknown persons on 19.12.2009 and returned on 15.9.2019. No further action is required. The case is closed.</t>
  </si>
  <si>
    <t>Traced Person. It has been reported by SP (Inv), Noshki at the hearing held on 15.4.2022 that Mazar Khan was abducted  unknown persons on 19.12.2009 and returned on 15.9.2019. No further action is required. The case is closed.</t>
  </si>
  <si>
    <t xml:space="preserve">Hidayatullah Baloch </t>
  </si>
  <si>
    <t>Traced Person. SDPO, Noshki appeared before the Commission on behalf of SP, Noshki at Quetta on 19.4.2022 and submitted report that Muhamamd Arif  ID No. 8631-B has been traced as returned. He also submitted Tasdeqi Certificate confirming the aforesaid position. No further action is required. The case is closed.</t>
  </si>
  <si>
    <t>Traced Person. DSP Kalat appeared before the Commission at Quetta on 22.4.2022 whose statement was recorded on oath in which he deposed that Rashid Mustafa was abdutced on 2.4.2011 and returned home on 10.4.2011. He also produced Tasdeeqi Certificate which bear signatures of SHO and SP.  No further action is required. The case is closed.</t>
  </si>
  <si>
    <t xml:space="preserve">Qayum Langove </t>
  </si>
  <si>
    <t xml:space="preserve">Traced Person. DSP Noshki appeared before the Commission on 21.4.2022 whose statement was recorded on oat. According to him Zahoor Langove has been traced. He has stated that FIR being No. 98/2013 u/s 147, 148, 149 -365 PPC was registered at PS Noshki. Further he stated that Zahoor Langove returned home and presently he was at Killi Gharib Abad Noshki. </t>
  </si>
  <si>
    <t xml:space="preserve">Abdullah </t>
  </si>
  <si>
    <t xml:space="preserve">Tariq </t>
  </si>
  <si>
    <t>Tahseen Ahmed Abbasi  s/o Muhammad Aksaar</t>
  </si>
  <si>
    <t>FIR No. 196/22, dated 20/2/22, U/C 365 PPC  P.S Barah Koh, ICT</t>
  </si>
  <si>
    <t>Rahim Dad, r/o SN-155 Dhoke Kala Khan,  Ali Akbar, Near Usmania Masjid, Shamsabad, Rawalpindi. (Mobile No. 0323-8234967).</t>
  </si>
  <si>
    <t>18/05/2022</t>
  </si>
  <si>
    <t>54400-9205849-3
Father CNIC</t>
  </si>
  <si>
    <t>51602-1832640-9
Father CNIC</t>
  </si>
  <si>
    <t>53402-1928903-3
Brother CNIC</t>
  </si>
  <si>
    <t>15602-0393187-1
Brother CNIC</t>
  </si>
  <si>
    <t xml:space="preserve">Deleted. A hearing was held on this case at Quetta on 24.5.2022 at which DSP, Kuchlakh, District Quetta informed that the case of the Missing Person was earlier disposed of by the Commission vide ID No. 4125-B on 21.1.2018 for want of complete address. Identical position that has been observed in the present case. Hence not a case of enforced disappearance. The case is closed. </t>
  </si>
  <si>
    <t>21704-1021845-6
Mother CNIC</t>
  </si>
  <si>
    <t>Mst. Akhmara Bibi w/o   Mir Qalam Khan, r/o Tabai Galishai, Tehsil Sararogha,South Waziristan. (0335-1534650).</t>
  </si>
  <si>
    <t>Abdul Moez Khan, r/o House No. 1228, Block 17, FB Area, P.S Jauharabad Federal B Area,  Karachi. (Mobile No. 0305-2170721).</t>
  </si>
  <si>
    <t xml:space="preserve">Traced Person. SSP (Inv) Quetta informed at the hearing held in this case on 30.5.2022 that Bangurah Khan s/o Shahan had been traced as had returned home. He was abducted during the year of 2012 and released after six months but he could not identify those persons who picked hime.  No further action is required. The case is closed. </t>
  </si>
  <si>
    <t>15602-0793433-1
Brother CNIC</t>
  </si>
  <si>
    <t>11101-4350147-3
Father CNIC</t>
  </si>
  <si>
    <t>K</t>
  </si>
  <si>
    <t>45304-5680980-5 
Father CNIC</t>
  </si>
  <si>
    <t>Traced Person. Raisaldar Levies,  District Awaran appeared before the Commission on 26.05.2021 at Quetta and submitted verification certificate, duly signed by Deputy Commissioner Awaran confirming that Hamid Ali s/o Abdullah has returned home.</t>
  </si>
  <si>
    <t>Grand Total</t>
  </si>
  <si>
    <t>Dead</t>
  </si>
  <si>
    <t>Deceased (dead body found)</t>
  </si>
  <si>
    <t>Located</t>
  </si>
  <si>
    <t>Confined</t>
  </si>
  <si>
    <t>Other (deleted)</t>
  </si>
  <si>
    <t>No info</t>
  </si>
  <si>
    <t>Number of cases by Year Missing / Location</t>
  </si>
  <si>
    <t>Location</t>
  </si>
  <si>
    <t>References</t>
  </si>
  <si>
    <t>Year Missing</t>
  </si>
  <si>
    <t>Date of disappearance not known/given</t>
  </si>
  <si>
    <t>"Pakistan was free of the phenomenon of enforced disappearance till the mid-1980s when a large number of Pakistanis joined the ‘jihad’ in Afghanistan. While most of them went there voluntarily and after informing their families, many left their homes without announcement and in some cases their departure was believed to be involuntary. The latter group included students of madressas in Khyber-Pakhtunkhwa..."</t>
  </si>
  <si>
    <t>I.A. Rehman (2012): https://hrcp-web.org/hrcpweb/wp-content/uploads/2020/09/2013-The-Baloch-who-is-not-missing-and-others-who-are.pdf</t>
  </si>
  <si>
    <t>"Early in the 1990s the Mutahida Qaumi Movement (MQM) claimed that over two scores of its activists had disappeared during the military operations carried out to restore order in Karachi. (Some of these complaints are now being investigated by an official commission.)"</t>
  </si>
  <si>
    <t>Following the Sept 11 attacks in 2001, then President Bush issues an ultimatum during a joint meeting of Congress: "Every nation, in every region, now has a decision to make. Either you are with us, or you are with the terrorists." Pakistan joins the Global War on Terror.</t>
  </si>
  <si>
    <t>Insurgency in northwestern Pakistan begins to intensify</t>
  </si>
  <si>
    <t>Fifth insurgency in Balochistan begins</t>
  </si>
  <si>
    <t>Then president Musharraf publishes his memoir, in which he states: "We have captured 689 [suspected members of Al Qaeda] and handed over 369 to the United States. We have earned bounties totalling millions of dollars. Those who habitually accuse us of ‘not doing enough’ on the war on terror should simply ask the CIA how much prize money it has paid to the government in Pakistan.”</t>
  </si>
  <si>
    <t xml:space="preserve">https://www.ft.com/content/bbd820b2-4f3a-11db-b600-0000779e2340
</t>
  </si>
  <si>
    <t>Operation Rah-i-Haq-I in Swat valley and Shangla district
HRCP files a petition in the Supreme Court which includes a list of 240 missing persons whose information it was able to gather.
Defence of Human Rights Organisation (Amina Janjua) also files a petition on behalf of several missing persons.
In March, Musharraf sacks the chief justice. In November, he declares an emergency. Hearings in the Supreme Court are suspended.</t>
  </si>
  <si>
    <t>https://www.dawn.com/news/1112980/chronology-of-military-operations
I.A. Rehman (2012): https://hrcp-web.org/hrcpweb/wp-content/uploads/2020/09/2013-The-Baloch-who-is-not-missing-and-others-who-are.pdf
http://news.bbc.co.uk/1/hi/world/south_asia/6288647.stm
https://www.supremecourt.gov.pk/HR_Cases/1stfinal/CP29of2007__.pdf</t>
  </si>
  <si>
    <t>Operation Rah-i-Haq-II in Swat valley and Shangla
Operation Sirat-i-Mustaqeem in Khyber Agency
Operation Sherdil jointly launched with Frontier Corps in Bajaur Agency</t>
  </si>
  <si>
    <t>Operation Rah-i-Haq-III in Swat valley and Shangla
Operation Black Thunderstorm in Buner, Lower Dir and Shangla district
Operation Brekhna in Mohmand Agency
Operation Rah-i-Rast, commonly known as Swat Operation
Operation Rah-i-Nijat in South Waziristan
More than 2 million people displaced by the conflict.</t>
  </si>
  <si>
    <t>https://www.dawn.com/news/465456/2-2-million-idps-in-pakistan-united-nations</t>
  </si>
  <si>
    <t>First commission of inquiry formed. According to ICJ, its report was never made public.</t>
  </si>
  <si>
    <t xml:space="preserve">May 31, 2011. Body of journalist Saleem Shahzad, who disappeared a few days before, discovered near Islamabad. A judicial commission of inquiry was formed in June. In July, NYT reports that US officials believed ISI was responsible for his abduction and murder.
June 23, 2011: Then president Zardari promulgates the The Actions (in Aid of Civil Power) Regulations, with retroactive effect from January 2008, giving the military broad powers to detain alleged militants in internment centres. </t>
  </si>
  <si>
    <t xml:space="preserve">
https://cpj.org/data/people/saleem-shahzad/
https://www.nytimes.com/2011/07/05/world/asia/05pakistan.html
https://www.dawn.com/news/1506723/view-from-the-courtroom-ordinance-about-internment-centres-triggers-controversy</t>
  </si>
  <si>
    <t>January 2012: Saleem Shahzad commission publishes its report; finds that the perpetrators are 'unknown'.</t>
  </si>
  <si>
    <t>https://www.hrw.org/news/2012/01/30/pakistan-shahzad-commission-results-marred-free-ride-isi</t>
  </si>
  <si>
    <t>October: Families of Balochistan's missing begin long march from Quetta to Islamabad.</t>
  </si>
  <si>
    <t>February: Families complete 2,000km long journey to Islamabad
June: Operation Zarb-e-Azb begins
December: APS massacre. Moratorium on death penalty lifted.</t>
  </si>
  <si>
    <t>January: Military courts established.</t>
  </si>
  <si>
    <t>Operation Radd-ul-Fasaad
January: Four bloggers abducted in (case of Waqas Ahmad Goraya, Salman Haider, Aasim Saeed, Ahmad Raza Naseer) Punjab.</t>
  </si>
  <si>
    <t xml:space="preserve">5 June 2018: Journalist Gul Bukhari abducted in Lahore. Released after a few hours. </t>
  </si>
  <si>
    <t>https://www.dawn.com/news/1412220/journalist-gul-bukhari-home-after-hours-long-abduction-in-lahore</t>
  </si>
  <si>
    <t xml:space="preserve">21 July 2020: Journalist Matiullah Jan abducted in ICT. Released after 12 hours. Despite CCTV footage of the abduction, perpetrators were never identified.
3 September 2020: SECP official (former journalist) Sajid Gondal goes missing from ICT. Is released after 5 days. </t>
  </si>
  <si>
    <t>https://www.bbc.co.uk/news/world-asia-53495426
https://www.dawn.com/news/1578597/missing-secp-official-sajid-gondal-returns-home-after-5-days-is-safe</t>
  </si>
  <si>
    <t>13 June 2022: Journalist Nafees Naeem abducted in Karachi. Released within 24 hours. CCTV footage of abduction exists.
23 June 2022: Islamabad High Court notes the commission has become a liability and failed to justify its existence.</t>
  </si>
  <si>
    <t>https://www.dawn.com/news/1694766/abducted-aaj-news-journalist-nafees-naeem-returns-home-safely
https://www.dawn.com/news/1696397/commission-on-missing-persons-has-become-a-liability-ihc</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</si>
</sst>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dd/mm/yyyy"/>
    <numFmt numFmtId="165" formatCode="d/m/yyyy"/>
    <numFmt numFmtId="166" formatCode="d-m-yyyy"/>
    <numFmt numFmtId="167" formatCode="mmm yyyy"/>
    <numFmt numFmtId="168" formatCode="mmm, yyyy"/>
    <numFmt numFmtId="169" formatCode="mmmm yyyy"/>
    <numFmt numFmtId="170" formatCode="mm/yyyy"/>
    <numFmt numFmtId="171" formatCode="m/yyyy"/>
    <numFmt numFmtId="172" formatCode="mmmm, yyyy"/>
    <numFmt numFmtId="173" formatCode="d/m/yy"/>
    <numFmt numFmtId="174" formatCode="d mmm yy"/>
    <numFmt numFmtId="175" formatCode="d/m"/>
    <numFmt numFmtId="176" formatCode="dd/mm"/>
    <numFmt numFmtId="177" formatCode="dd/mm/yy"/>
    <numFmt numFmtId="178" formatCode="d mmmm, yyyy"/>
    <numFmt numFmtId="179" formatCode="dd-mm-yyyy"/>
    <numFmt numFmtId="180" formatCode="mmm-dd"/>
  </numFmts>
  <fonts count="56">
    <font>
      <sz val="10.0"/>
      <color rgb="FF000000"/>
      <name val="Arial"/>
      <scheme val="minor"/>
    </font>
    <font>
      <sz val="10.0"/>
      <color theme="1"/>
      <name val="Arial"/>
      <scheme val="minor"/>
    </font>
    <font>
      <sz val="10.0"/>
      <color rgb="FF000000"/>
      <name val="Arial"/>
    </font>
    <font>
      <u/>
      <sz val="10.0"/>
      <color rgb="FF000000"/>
      <name val="Arial"/>
    </font>
    <font>
      <u/>
      <sz val="10.0"/>
      <color rgb="FF0000FF"/>
    </font>
    <font>
      <b/>
      <sz val="10.0"/>
      <color theme="1"/>
      <name val="Arial"/>
      <scheme val="minor"/>
    </font>
    <font>
      <b/>
      <color theme="1"/>
      <name val="Arial"/>
      <scheme val="minor"/>
    </font>
    <font>
      <color theme="1"/>
      <name val="Arial"/>
      <scheme val="minor"/>
    </font>
    <font>
      <b/>
      <color rgb="FF1155CC"/>
      <name val="Arial"/>
      <scheme val="minor"/>
    </font>
    <font>
      <b/>
      <u/>
      <color rgb="FF1155CC"/>
    </font>
    <font>
      <b/>
      <sz val="18.0"/>
      <color theme="1"/>
      <name val="Arial"/>
      <scheme val="minor"/>
    </font>
    <font/>
    <font>
      <b/>
      <sz val="12.0"/>
      <color theme="1"/>
      <name val="Arial"/>
      <scheme val="minor"/>
    </font>
    <font>
      <u/>
      <sz val="10.0"/>
      <color rgb="FF0000FF"/>
    </font>
    <font>
      <u/>
      <sz val="10.0"/>
      <color rgb="FF0000FF"/>
    </font>
    <font>
      <b/>
      <sz val="12.0"/>
      <color theme="1"/>
      <name val="Arial"/>
    </font>
    <font>
      <color theme="1"/>
      <name val="Arial"/>
    </font>
    <font>
      <color rgb="FF000000"/>
      <name val="Roboto"/>
    </font>
    <font>
      <color theme="1"/>
      <name val="Roboto"/>
    </font>
    <font>
      <sz val="16.0"/>
      <color theme="1"/>
      <name val="Arial"/>
    </font>
    <font>
      <b/>
      <u/>
      <sz val="26.0"/>
      <color rgb="FFFFFFFF"/>
      <name val="Arial"/>
    </font>
    <font>
      <b/>
      <sz val="12.0"/>
      <color rgb="FFFFFFFF"/>
      <name val="&quot;Times New Roman&quot;"/>
    </font>
    <font>
      <b/>
      <sz val="12.0"/>
      <color rgb="FFFFFFFF"/>
      <name val="Arial"/>
    </font>
    <font>
      <sz val="12.0"/>
      <color rgb="FFC00000"/>
      <name val="&quot;Times New Roman&quot;"/>
    </font>
    <font>
      <b/>
      <sz val="12.0"/>
      <color rgb="FFC00000"/>
      <name val="&quot;Times New Roman&quot;"/>
    </font>
    <font>
      <sz val="12.0"/>
      <color rgb="FF000000"/>
      <name val="&quot;Times New Roman&quot;"/>
    </font>
    <font>
      <b/>
      <sz val="12.0"/>
      <color rgb="FF000000"/>
      <name val="&quot;Times New Roman&quot;"/>
    </font>
    <font>
      <b/>
      <sz val="12.0"/>
      <color rgb="FF000000"/>
      <name val="Arial"/>
    </font>
    <font>
      <sz val="12.0"/>
      <color rgb="FFFF0000"/>
      <name val="&quot;Times New Roman&quot;"/>
    </font>
    <font>
      <b/>
      <sz val="12.0"/>
      <color rgb="FFFF0000"/>
      <name val="&quot;Times New Roman&quot;"/>
    </font>
    <font>
      <b/>
      <sz val="12.0"/>
      <color rgb="FFFF0000"/>
      <name val="Arial"/>
    </font>
    <font>
      <b/>
      <sz val="12.0"/>
      <color theme="1"/>
      <name val="&quot;Times New Roman&quot;"/>
    </font>
    <font>
      <sz val="12.0"/>
      <color theme="1"/>
      <name val="&quot;Times New Roman&quot;"/>
    </font>
    <font>
      <sz val="11.0"/>
      <color rgb="FF993300"/>
      <name val="&quot;Times New Roman&quot;"/>
    </font>
    <font>
      <b/>
      <sz val="11.0"/>
      <color rgb="FFC00000"/>
      <name val="&quot;Times New Roman&quot;"/>
    </font>
    <font>
      <b/>
      <sz val="14.0"/>
      <color rgb="FFFF0000"/>
      <name val="&quot;Times New Roman&quot;"/>
    </font>
    <font>
      <sz val="11.0"/>
      <color rgb="FF000000"/>
      <name val="&quot;Times New Roman&quot;"/>
    </font>
    <font>
      <b/>
      <sz val="12.0"/>
      <color rgb="FFC00000"/>
      <name val="Arial"/>
    </font>
    <font>
      <sz val="11.0"/>
      <color rgb="FFFF0000"/>
      <name val="Calibri"/>
    </font>
    <font>
      <color rgb="FFFF0000"/>
      <name val="Arial"/>
    </font>
    <font>
      <b/>
      <sz val="11.0"/>
      <color rgb="FFFF0000"/>
      <name val="&quot;Times New Roman&quot;"/>
    </font>
    <font>
      <i/>
      <sz val="12.0"/>
      <color theme="1"/>
      <name val="&quot;Times New Roman&quot;"/>
    </font>
    <font>
      <sz val="11.0"/>
      <color rgb="FFFF0000"/>
      <name val="&quot;Times New Roman&quot;"/>
    </font>
    <font>
      <b/>
      <sz val="11.0"/>
      <color rgb="FF000000"/>
      <name val="&quot;Times New Roman&quot;"/>
    </font>
    <font>
      <b/>
      <sz val="12.0"/>
      <color rgb="FF993300"/>
      <name val="&quot;Times New Roman&quot;"/>
    </font>
    <font>
      <sz val="12.0"/>
      <color rgb="FFFF0000"/>
      <name val="Arial"/>
    </font>
    <font>
      <sz val="14.0"/>
      <color rgb="FFFF0000"/>
      <name val="&quot;Times New Roman&quot;"/>
    </font>
    <font>
      <sz val="14.0"/>
      <color theme="1"/>
      <name val="&quot;Times New Roman&quot;"/>
    </font>
    <font>
      <b/>
      <sz val="14.0"/>
      <color rgb="FFFF0000"/>
      <name val="Arial"/>
    </font>
    <font>
      <sz val="11.0"/>
      <color rgb="FF000000"/>
      <name val="Inconsolata"/>
    </font>
    <font>
      <color rgb="FF000000"/>
      <name val="Arial"/>
    </font>
    <font>
      <b/>
      <color theme="1"/>
      <name val="Arial"/>
    </font>
    <font>
      <b/>
      <color rgb="FFFFFFFF"/>
      <name val="Arial"/>
    </font>
    <font>
      <b/>
      <color rgb="FF000000"/>
      <name val="Arial"/>
      <scheme val="minor"/>
    </font>
    <font>
      <b/>
      <color rgb="FFFFFFFF"/>
      <name val="Arial"/>
      <scheme val="minor"/>
    </font>
    <font>
      <i/>
      <color theme="1"/>
      <name val="Arial"/>
      <scheme val="minor"/>
    </font>
  </fonts>
  <fills count="13">
    <fill>
      <patternFill patternType="none"/>
    </fill>
    <fill>
      <patternFill patternType="lightGray"/>
    </fill>
    <fill>
      <patternFill patternType="solid">
        <fgColor rgb="FFCCCCCC"/>
        <bgColor rgb="FFCCCCCC"/>
      </patternFill>
    </fill>
    <fill>
      <patternFill patternType="solid">
        <fgColor rgb="FFFFFFFF"/>
        <bgColor rgb="FFFFFFFF"/>
      </patternFill>
    </fill>
    <fill>
      <patternFill patternType="solid">
        <fgColor rgb="FF0070C0"/>
        <bgColor rgb="FF0070C0"/>
      </patternFill>
    </fill>
    <fill>
      <patternFill patternType="solid">
        <fgColor rgb="FFFFC000"/>
        <bgColor rgb="FFFFC000"/>
      </patternFill>
    </fill>
    <fill>
      <patternFill patternType="solid">
        <fgColor rgb="FFFFFF00"/>
        <bgColor rgb="FFFFFF00"/>
      </patternFill>
    </fill>
    <fill>
      <patternFill patternType="solid">
        <fgColor rgb="FF00B050"/>
        <bgColor rgb="FF00B050"/>
      </patternFill>
    </fill>
    <fill>
      <patternFill patternType="solid">
        <fgColor rgb="FFDEDEDE"/>
        <bgColor rgb="FFDEDEDE"/>
      </patternFill>
    </fill>
    <fill>
      <patternFill patternType="solid">
        <fgColor rgb="FFD9EAD3"/>
        <bgColor rgb="FFD9EAD3"/>
      </patternFill>
    </fill>
    <fill>
      <patternFill patternType="solid">
        <fgColor rgb="FFD9D9D9"/>
        <bgColor rgb="FFD9D9D9"/>
      </patternFill>
    </fill>
    <fill>
      <patternFill patternType="solid">
        <fgColor rgb="FF666666"/>
        <bgColor rgb="FF666666"/>
      </patternFill>
    </fill>
    <fill>
      <patternFill patternType="solid">
        <fgColor rgb="FFEFEFEF"/>
        <bgColor rgb="FFEFEFEF"/>
      </patternFill>
    </fill>
  </fills>
  <borders count="13">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left style="thin">
        <color rgb="FF000000"/>
      </left>
      <bottom style="thin">
        <color rgb="FF000000"/>
      </bottom>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79">
    <xf borderId="0" fillId="0" fontId="0" numFmtId="0" xfId="0" applyAlignment="1" applyFont="1">
      <alignment readingOrder="0" shrinkToFit="0" vertical="bottom" wrapText="0"/>
    </xf>
    <xf borderId="0" fillId="0" fontId="1" numFmtId="0" xfId="0" applyAlignment="1" applyFont="1">
      <alignment readingOrder="0" shrinkToFit="0" vertical="center" wrapText="0"/>
    </xf>
    <xf borderId="0" fillId="0" fontId="1" numFmtId="0" xfId="0" applyAlignment="1" applyFont="1">
      <alignment shrinkToFit="0" vertical="center" wrapText="0"/>
    </xf>
    <xf borderId="0" fillId="0" fontId="1" numFmtId="0" xfId="0" applyAlignment="1" applyFont="1">
      <alignment shrinkToFit="0" vertical="center" wrapText="0"/>
    </xf>
    <xf borderId="0" fillId="0" fontId="1" numFmtId="0" xfId="0" applyFont="1"/>
    <xf borderId="0" fillId="0" fontId="1" numFmtId="0" xfId="0" applyAlignment="1" applyFont="1">
      <alignment readingOrder="0" shrinkToFit="0" vertical="center" wrapText="0"/>
    </xf>
    <xf borderId="0" fillId="0" fontId="2" numFmtId="0" xfId="0" applyAlignment="1" applyFont="1">
      <alignment horizontal="left" readingOrder="0"/>
    </xf>
    <xf borderId="0" fillId="0" fontId="3" numFmtId="0" xfId="0" applyAlignment="1" applyFont="1">
      <alignment horizontal="left" readingOrder="0"/>
    </xf>
    <xf borderId="0" fillId="0" fontId="4" numFmtId="0" xfId="0" applyAlignment="1" applyFont="1">
      <alignment readingOrder="0" shrinkToFit="0" vertical="center" wrapText="0"/>
    </xf>
    <xf borderId="0" fillId="0" fontId="1" numFmtId="0" xfId="0" applyAlignment="1" applyFont="1">
      <alignment readingOrder="0" shrinkToFit="0" vertical="center" wrapText="1"/>
    </xf>
    <xf borderId="0" fillId="0" fontId="1" numFmtId="0" xfId="0" applyAlignment="1" applyFont="1">
      <alignment shrinkToFit="0" vertical="center" wrapText="1"/>
    </xf>
    <xf borderId="0" fillId="0" fontId="5" numFmtId="0" xfId="0" applyAlignment="1" applyFont="1">
      <alignment readingOrder="0"/>
    </xf>
    <xf borderId="0" fillId="0" fontId="1" numFmtId="0" xfId="0" applyAlignment="1" applyFont="1">
      <alignment horizontal="center" readingOrder="0"/>
    </xf>
    <xf borderId="0" fillId="0" fontId="6" numFmtId="0" xfId="0" applyAlignment="1" applyFont="1">
      <alignment horizontal="center" readingOrder="0" shrinkToFit="0" vertical="center" wrapText="1"/>
    </xf>
    <xf borderId="0" fillId="0" fontId="7" numFmtId="0" xfId="0" applyAlignment="1" applyFont="1">
      <alignment horizontal="center" shrinkToFit="0" vertical="center" wrapText="1"/>
    </xf>
    <xf borderId="0" fillId="0" fontId="7" numFmtId="0" xfId="0" applyAlignment="1" applyFont="1">
      <alignment shrinkToFit="0" vertical="center" wrapText="1"/>
    </xf>
    <xf borderId="0" fillId="0" fontId="8" numFmtId="0" xfId="0" applyAlignment="1" applyFont="1">
      <alignment horizontal="center" readingOrder="0" vertical="center"/>
    </xf>
    <xf borderId="0" fillId="0" fontId="9" numFmtId="0" xfId="0" applyAlignment="1" applyFont="1">
      <alignment horizontal="center" readingOrder="0" vertical="center"/>
    </xf>
    <xf borderId="0" fillId="0" fontId="7" numFmtId="0" xfId="0" applyAlignment="1" applyFont="1">
      <alignment readingOrder="0" vertical="center"/>
    </xf>
    <xf borderId="0" fillId="0" fontId="7" numFmtId="0" xfId="0" applyAlignment="1" applyFont="1">
      <alignment vertical="center"/>
    </xf>
    <xf borderId="0" fillId="0" fontId="7" numFmtId="0" xfId="0" applyAlignment="1" applyFont="1">
      <alignment readingOrder="0" shrinkToFit="0" vertical="center" wrapText="1"/>
    </xf>
    <xf borderId="1" fillId="2" fontId="10" numFmtId="0" xfId="0" applyAlignment="1" applyBorder="1" applyFill="1" applyFont="1">
      <alignment horizontal="center" readingOrder="0" shrinkToFit="0" vertical="center" wrapText="1"/>
    </xf>
    <xf borderId="2" fillId="0" fontId="11" numFmtId="0" xfId="0" applyBorder="1" applyFont="1"/>
    <xf borderId="3" fillId="0" fontId="11" numFmtId="0" xfId="0" applyBorder="1" applyFont="1"/>
    <xf borderId="0" fillId="0" fontId="1" numFmtId="0" xfId="0" applyAlignment="1" applyFont="1">
      <alignment readingOrder="0" shrinkToFit="0" vertical="center" wrapText="1"/>
    </xf>
    <xf borderId="1" fillId="2" fontId="12" numFmtId="0" xfId="0" applyAlignment="1" applyBorder="1" applyFont="1">
      <alignment readingOrder="0" shrinkToFit="0" vertical="center" wrapText="1"/>
    </xf>
    <xf quotePrefix="1" borderId="4" fillId="3" fontId="13" numFmtId="0" xfId="0" applyAlignment="1" applyBorder="1" applyFill="1" applyFont="1">
      <alignment readingOrder="0" shrinkToFit="0" vertical="center" wrapText="1"/>
    </xf>
    <xf borderId="5" fillId="0" fontId="11" numFmtId="0" xfId="0" applyBorder="1" applyFont="1"/>
    <xf borderId="2" fillId="2" fontId="12" numFmtId="0" xfId="0" applyAlignment="1" applyBorder="1" applyFont="1">
      <alignment readingOrder="0" shrinkToFit="0" vertical="center" wrapText="1"/>
    </xf>
    <xf borderId="3" fillId="2" fontId="12" numFmtId="0" xfId="0" applyAlignment="1" applyBorder="1" applyFont="1">
      <alignment readingOrder="0" shrinkToFit="0" vertical="center" wrapText="1"/>
    </xf>
    <xf borderId="1" fillId="2" fontId="14" numFmtId="0" xfId="0" applyAlignment="1" applyBorder="1" applyFont="1">
      <alignment readingOrder="0" shrinkToFit="0" vertical="center" wrapText="1"/>
    </xf>
    <xf borderId="6" fillId="2" fontId="12" numFmtId="0" xfId="0" applyAlignment="1" applyBorder="1" applyFont="1">
      <alignment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shrinkToFit="0" vertical="center" wrapText="1"/>
    </xf>
    <xf borderId="6" fillId="2" fontId="7" numFmtId="0" xfId="0" applyAlignment="1" applyBorder="1" applyFont="1">
      <alignment readingOrder="0" shrinkToFit="0" vertical="center" wrapText="1"/>
    </xf>
    <xf borderId="0" fillId="0" fontId="6" numFmtId="0" xfId="0" applyAlignment="1" applyFont="1">
      <alignment shrinkToFit="0" vertical="center" wrapText="1"/>
    </xf>
    <xf borderId="6" fillId="2" fontId="15" numFmtId="0" xfId="0" applyAlignment="1" applyBorder="1" applyFont="1">
      <alignment shrinkToFit="0" vertical="center" wrapText="1"/>
    </xf>
    <xf borderId="0" fillId="0" fontId="6" numFmtId="0" xfId="0" applyAlignment="1" applyFont="1">
      <alignment readingOrder="0" shrinkToFit="0" vertical="center" wrapText="1"/>
    </xf>
    <xf quotePrefix="1" borderId="6" fillId="0" fontId="16" numFmtId="0" xfId="0" applyAlignment="1" applyBorder="1" applyFont="1">
      <alignment readingOrder="0" shrinkToFit="0" vertical="center" wrapText="1"/>
    </xf>
    <xf borderId="6" fillId="0" fontId="7" numFmtId="0" xfId="0" applyAlignment="1" applyBorder="1" applyFont="1">
      <alignment shrinkToFit="0" vertical="center" wrapText="1"/>
    </xf>
    <xf borderId="6" fillId="0" fontId="16" numFmtId="0" xfId="0" applyAlignment="1" applyBorder="1" applyFont="1">
      <alignment shrinkToFit="0" vertical="center" wrapText="1"/>
    </xf>
    <xf borderId="6" fillId="0" fontId="16" numFmtId="0" xfId="0" applyAlignment="1" applyBorder="1" applyFont="1">
      <alignment readingOrder="0" shrinkToFit="0" vertical="center" wrapText="1"/>
    </xf>
    <xf borderId="6" fillId="0" fontId="16" numFmtId="0" xfId="0" applyAlignment="1" applyBorder="1" applyFont="1">
      <alignment shrinkToFit="0" vertical="center" wrapText="1"/>
    </xf>
    <xf borderId="6" fillId="3" fontId="17" numFmtId="0" xfId="0" applyAlignment="1" applyBorder="1" applyFont="1">
      <alignment readingOrder="0" shrinkToFit="0" vertical="center" wrapText="1"/>
    </xf>
    <xf borderId="6" fillId="3" fontId="18" numFmtId="0" xfId="0" applyAlignment="1" applyBorder="1" applyFont="1">
      <alignment shrinkToFit="0" vertical="center" wrapText="1"/>
    </xf>
    <xf borderId="6" fillId="2" fontId="7" numFmtId="0" xfId="0" applyAlignment="1" applyBorder="1" applyFont="1">
      <alignment shrinkToFit="0" vertical="center" wrapText="1"/>
    </xf>
    <xf borderId="0" fillId="0" fontId="16" numFmtId="0" xfId="0" applyAlignment="1" applyFont="1">
      <alignment shrinkToFit="0" vertical="center" wrapText="1"/>
    </xf>
    <xf borderId="0" fillId="0" fontId="19" numFmtId="0" xfId="0" applyAlignment="1" applyFont="1">
      <alignment readingOrder="0"/>
    </xf>
    <xf borderId="0" fillId="3" fontId="17" numFmtId="0" xfId="0" applyAlignment="1" applyFont="1">
      <alignment readingOrder="0"/>
    </xf>
    <xf borderId="0" fillId="0" fontId="19" numFmtId="0" xfId="0" applyFont="1"/>
    <xf borderId="1" fillId="4" fontId="20" numFmtId="0" xfId="0" applyAlignment="1" applyBorder="1" applyFill="1" applyFont="1">
      <alignment horizontal="center" readingOrder="0" shrinkToFit="0" wrapText="0"/>
    </xf>
    <xf borderId="0" fillId="0" fontId="16" numFmtId="0" xfId="0" applyAlignment="1" applyFont="1">
      <alignment shrinkToFit="0" vertical="bottom" wrapText="0"/>
    </xf>
    <xf borderId="7" fillId="4" fontId="21" numFmtId="0" xfId="0" applyAlignment="1" applyBorder="1" applyFont="1">
      <alignment readingOrder="0" shrinkToFit="0" vertical="top" wrapText="0"/>
    </xf>
    <xf borderId="8" fillId="4" fontId="21" numFmtId="0" xfId="0" applyAlignment="1" applyBorder="1" applyFont="1">
      <alignment readingOrder="0" shrinkToFit="0" vertical="top" wrapText="0"/>
    </xf>
    <xf borderId="8" fillId="4" fontId="21" numFmtId="0" xfId="0" applyAlignment="1" applyBorder="1" applyFont="1">
      <alignment horizontal="center" readingOrder="0" shrinkToFit="0" vertical="top" wrapText="0"/>
    </xf>
    <xf borderId="8" fillId="4" fontId="22" numFmtId="0" xfId="0" applyAlignment="1" applyBorder="1" applyFont="1">
      <alignment shrinkToFit="0" vertical="bottom" wrapText="0"/>
    </xf>
    <xf borderId="7" fillId="0" fontId="23" numFmtId="0" xfId="0" applyAlignment="1" applyBorder="1" applyFont="1">
      <alignment horizontal="center" readingOrder="0" shrinkToFit="0" vertical="top" wrapText="0"/>
    </xf>
    <xf borderId="8" fillId="0" fontId="23" numFmtId="0" xfId="0" applyAlignment="1" applyBorder="1" applyFont="1">
      <alignment readingOrder="0" vertical="top"/>
    </xf>
    <xf borderId="8" fillId="0" fontId="24" numFmtId="0" xfId="0" applyAlignment="1" applyBorder="1" applyFont="1">
      <alignment horizontal="center" readingOrder="0" vertical="top"/>
    </xf>
    <xf borderId="8" fillId="0" fontId="23" numFmtId="164" xfId="0" applyAlignment="1" applyBorder="1" applyFont="1" applyNumberFormat="1">
      <alignment readingOrder="0" vertical="top"/>
    </xf>
    <xf borderId="8" fillId="0" fontId="23" numFmtId="0" xfId="0" applyAlignment="1" applyBorder="1" applyFont="1">
      <alignment vertical="top"/>
    </xf>
    <xf borderId="8" fillId="0" fontId="15" numFmtId="0" xfId="0" applyAlignment="1" applyBorder="1" applyFont="1">
      <alignment shrinkToFit="0" vertical="bottom" wrapText="0"/>
    </xf>
    <xf borderId="7" fillId="0" fontId="25" numFmtId="0" xfId="0" applyAlignment="1" applyBorder="1" applyFont="1">
      <alignment horizontal="center" readingOrder="0" shrinkToFit="0" vertical="top" wrapText="0"/>
    </xf>
    <xf borderId="8" fillId="0" fontId="25" numFmtId="0" xfId="0" applyAlignment="1" applyBorder="1" applyFont="1">
      <alignment readingOrder="0" vertical="top"/>
    </xf>
    <xf borderId="8" fillId="0" fontId="26" numFmtId="0" xfId="0" applyAlignment="1" applyBorder="1" applyFont="1">
      <alignment horizontal="center" readingOrder="0" vertical="top"/>
    </xf>
    <xf borderId="8" fillId="0" fontId="25" numFmtId="165" xfId="0" applyAlignment="1" applyBorder="1" applyFont="1" applyNumberFormat="1">
      <alignment readingOrder="0" vertical="top"/>
    </xf>
    <xf borderId="8" fillId="0" fontId="25" numFmtId="0" xfId="0" applyAlignment="1" applyBorder="1" applyFont="1">
      <alignment vertical="top"/>
    </xf>
    <xf borderId="8" fillId="0" fontId="27" numFmtId="0" xfId="0" applyAlignment="1" applyBorder="1" applyFont="1">
      <alignment shrinkToFit="0" vertical="bottom" wrapText="0"/>
    </xf>
    <xf borderId="8" fillId="0" fontId="28" numFmtId="0" xfId="0" applyAlignment="1" applyBorder="1" applyFont="1">
      <alignment readingOrder="0" vertical="top"/>
    </xf>
    <xf borderId="8" fillId="0" fontId="29" numFmtId="0" xfId="0" applyAlignment="1" applyBorder="1" applyFont="1">
      <alignment horizontal="center" readingOrder="0" vertical="top"/>
    </xf>
    <xf borderId="8" fillId="0" fontId="25" numFmtId="164" xfId="0" applyAlignment="1" applyBorder="1" applyFont="1" applyNumberFormat="1">
      <alignment readingOrder="0" vertical="top"/>
    </xf>
    <xf borderId="8" fillId="0" fontId="28" numFmtId="0" xfId="0" applyAlignment="1" applyBorder="1" applyFont="1">
      <alignment vertical="top"/>
    </xf>
    <xf borderId="0" fillId="0" fontId="16" numFmtId="0" xfId="0" applyAlignment="1" applyFont="1">
      <alignment horizontal="left" readingOrder="0" shrinkToFit="0" vertical="top" wrapText="0"/>
    </xf>
    <xf borderId="7" fillId="0" fontId="28" numFmtId="0" xfId="0" applyAlignment="1" applyBorder="1" applyFont="1">
      <alignment readingOrder="0" vertical="top"/>
    </xf>
    <xf borderId="3" fillId="0" fontId="25" numFmtId="0" xfId="0" applyAlignment="1" applyBorder="1" applyFont="1">
      <alignment readingOrder="0" vertical="top"/>
    </xf>
    <xf borderId="7" fillId="0" fontId="28" numFmtId="0" xfId="0" applyAlignment="1" applyBorder="1" applyFont="1">
      <alignment horizontal="center" readingOrder="0" shrinkToFit="0" vertical="top" wrapText="0"/>
    </xf>
    <xf borderId="8" fillId="0" fontId="28" numFmtId="164" xfId="0" applyAlignment="1" applyBorder="1" applyFont="1" applyNumberFormat="1">
      <alignment readingOrder="0" vertical="top"/>
    </xf>
    <xf borderId="8" fillId="0" fontId="30" numFmtId="0" xfId="0" applyAlignment="1" applyBorder="1" applyFont="1">
      <alignment shrinkToFit="0" vertical="bottom" wrapText="0"/>
    </xf>
    <xf borderId="8" fillId="0" fontId="23" numFmtId="165" xfId="0" applyAlignment="1" applyBorder="1" applyFont="1" applyNumberFormat="1">
      <alignment readingOrder="0" vertical="top"/>
    </xf>
    <xf borderId="8" fillId="0" fontId="31" numFmtId="0" xfId="0" applyAlignment="1" applyBorder="1" applyFont="1">
      <alignment horizontal="center" readingOrder="0" vertical="top"/>
    </xf>
    <xf borderId="8" fillId="0" fontId="32" numFmtId="0" xfId="0" applyAlignment="1" applyBorder="1" applyFont="1">
      <alignment readingOrder="0" vertical="top"/>
    </xf>
    <xf borderId="8" fillId="0" fontId="32" numFmtId="164" xfId="0" applyAlignment="1" applyBorder="1" applyFont="1" applyNumberFormat="1">
      <alignment readingOrder="0" vertical="top"/>
    </xf>
    <xf borderId="8" fillId="0" fontId="32" numFmtId="0" xfId="0" applyAlignment="1" applyBorder="1" applyFont="1">
      <alignment vertical="top"/>
    </xf>
    <xf borderId="8" fillId="0" fontId="28" numFmtId="165" xfId="0" applyAlignment="1" applyBorder="1" applyFont="1" applyNumberFormat="1">
      <alignment readingOrder="0" vertical="top"/>
    </xf>
    <xf borderId="8" fillId="3" fontId="28" numFmtId="0" xfId="0" applyAlignment="1" applyBorder="1" applyFont="1">
      <alignment readingOrder="0" vertical="top"/>
    </xf>
    <xf borderId="7" fillId="0" fontId="32" numFmtId="0" xfId="0" applyAlignment="1" applyBorder="1" applyFont="1">
      <alignment horizontal="center" readingOrder="0" shrinkToFit="0" vertical="top" wrapText="0"/>
    </xf>
    <xf borderId="8" fillId="0" fontId="16" numFmtId="0" xfId="0" applyAlignment="1" applyBorder="1" applyFont="1">
      <alignment horizontal="left" readingOrder="0" shrinkToFit="0" vertical="top" wrapText="0"/>
    </xf>
    <xf borderId="8" fillId="0" fontId="29" numFmtId="0" xfId="0" applyAlignment="1" applyBorder="1" applyFont="1">
      <alignment readingOrder="0" vertical="top"/>
    </xf>
    <xf borderId="8" fillId="0" fontId="26" numFmtId="0" xfId="0" applyAlignment="1" applyBorder="1" applyFont="1">
      <alignment readingOrder="0" vertical="top"/>
    </xf>
    <xf borderId="8" fillId="0" fontId="24" numFmtId="0" xfId="0" applyAlignment="1" applyBorder="1" applyFont="1">
      <alignment readingOrder="0" vertical="top"/>
    </xf>
    <xf borderId="8" fillId="0" fontId="24" numFmtId="0" xfId="0" applyAlignment="1" applyBorder="1" applyFont="1">
      <alignment vertical="top"/>
    </xf>
    <xf borderId="8" fillId="0" fontId="25" numFmtId="0" xfId="0" applyAlignment="1" applyBorder="1" applyFont="1">
      <alignment readingOrder="0" shrinkToFit="0" vertical="top" wrapText="0"/>
    </xf>
    <xf borderId="8" fillId="0" fontId="33" numFmtId="0" xfId="0" applyAlignment="1" applyBorder="1" applyFont="1">
      <alignment readingOrder="0" shrinkToFit="0" vertical="top" wrapText="0"/>
    </xf>
    <xf borderId="8" fillId="0" fontId="34" numFmtId="0" xfId="0" applyAlignment="1" applyBorder="1" applyFont="1">
      <alignment shrinkToFit="0" vertical="top" wrapText="0"/>
    </xf>
    <xf borderId="8" fillId="5" fontId="25" numFmtId="0" xfId="0" applyAlignment="1" applyBorder="1" applyFill="1" applyFont="1">
      <alignment readingOrder="0" vertical="top"/>
    </xf>
    <xf borderId="8" fillId="0" fontId="28" numFmtId="0" xfId="0" applyAlignment="1" applyBorder="1" applyFont="1">
      <alignment readingOrder="0" shrinkToFit="0" vertical="top" wrapText="0"/>
    </xf>
    <xf borderId="8" fillId="0" fontId="28" numFmtId="166" xfId="0" applyAlignment="1" applyBorder="1" applyFont="1" applyNumberFormat="1">
      <alignment readingOrder="0" vertical="top"/>
    </xf>
    <xf borderId="8" fillId="0" fontId="28" numFmtId="0" xfId="0" applyAlignment="1" applyBorder="1" applyFont="1">
      <alignment shrinkToFit="0" vertical="top" wrapText="0"/>
    </xf>
    <xf borderId="8" fillId="0" fontId="32" numFmtId="165" xfId="0" applyAlignment="1" applyBorder="1" applyFont="1" applyNumberFormat="1">
      <alignment readingOrder="0" vertical="top"/>
    </xf>
    <xf borderId="8" fillId="0" fontId="25" numFmtId="0" xfId="0" applyAlignment="1" applyBorder="1" applyFont="1">
      <alignment horizontal="left" readingOrder="0" vertical="top"/>
    </xf>
    <xf borderId="8" fillId="0" fontId="35" numFmtId="0" xfId="0" applyAlignment="1" applyBorder="1" applyFont="1">
      <alignment readingOrder="0" vertical="top"/>
    </xf>
    <xf borderId="7" fillId="0" fontId="28" numFmtId="0" xfId="0" applyAlignment="1" applyBorder="1" applyFont="1">
      <alignment vertical="top"/>
    </xf>
    <xf borderId="8" fillId="0" fontId="28" numFmtId="0" xfId="0" applyAlignment="1" applyBorder="1" applyFont="1">
      <alignment horizontal="center" readingOrder="0" vertical="top"/>
    </xf>
    <xf borderId="8" fillId="0" fontId="32" numFmtId="0" xfId="0" applyAlignment="1" applyBorder="1" applyFont="1">
      <alignment shrinkToFit="0" vertical="bottom" wrapText="0"/>
    </xf>
    <xf borderId="0" fillId="0" fontId="32" numFmtId="0" xfId="0" applyAlignment="1" applyFont="1">
      <alignment shrinkToFit="0" vertical="bottom" wrapText="0"/>
    </xf>
    <xf borderId="7" fillId="0" fontId="15" numFmtId="0" xfId="0" applyAlignment="1" applyBorder="1" applyFont="1">
      <alignment shrinkToFit="0" vertical="bottom" wrapText="0"/>
    </xf>
    <xf borderId="3" fillId="0" fontId="23" numFmtId="0" xfId="0" applyAlignment="1" applyBorder="1" applyFont="1">
      <alignment vertical="top"/>
    </xf>
    <xf borderId="8" fillId="0" fontId="28" numFmtId="164" xfId="0" applyAlignment="1" applyBorder="1" applyFont="1" applyNumberFormat="1">
      <alignment horizontal="left" readingOrder="0" vertical="top"/>
    </xf>
    <xf borderId="8" fillId="0" fontId="36" numFmtId="0" xfId="0" applyAlignment="1" applyBorder="1" applyFont="1">
      <alignment readingOrder="0" vertical="top"/>
    </xf>
    <xf borderId="7" fillId="0" fontId="23" numFmtId="0" xfId="0" applyAlignment="1" applyBorder="1" applyFont="1">
      <alignment vertical="top"/>
    </xf>
    <xf borderId="3" fillId="0" fontId="23" numFmtId="0" xfId="0" applyAlignment="1" applyBorder="1" applyFont="1">
      <alignment readingOrder="0" vertical="top"/>
    </xf>
    <xf borderId="3" fillId="0" fontId="28" numFmtId="0" xfId="0" applyAlignment="1" applyBorder="1" applyFont="1">
      <alignment vertical="top"/>
    </xf>
    <xf borderId="8" fillId="0" fontId="37" numFmtId="0" xfId="0" applyAlignment="1" applyBorder="1" applyFont="1">
      <alignment shrinkToFit="0" vertical="bottom" wrapText="0"/>
    </xf>
    <xf borderId="8" fillId="0" fontId="30" numFmtId="0" xfId="0" applyAlignment="1" applyBorder="1" applyFont="1">
      <alignment horizontal="left" readingOrder="0" vertical="top"/>
    </xf>
    <xf borderId="8" fillId="0" fontId="28" numFmtId="0" xfId="0" applyAlignment="1" applyBorder="1" applyFont="1">
      <alignment horizontal="left" readingOrder="0" vertical="top"/>
    </xf>
    <xf borderId="8" fillId="0" fontId="23" numFmtId="0" xfId="0" applyAlignment="1" applyBorder="1" applyFont="1">
      <alignment readingOrder="0" shrinkToFit="0" vertical="top" wrapText="0"/>
    </xf>
    <xf borderId="8" fillId="0" fontId="29" numFmtId="0" xfId="0" applyAlignment="1" applyBorder="1" applyFont="1">
      <alignment vertical="top"/>
    </xf>
    <xf borderId="0" fillId="0" fontId="38" numFmtId="0" xfId="0" applyAlignment="1" applyFont="1">
      <alignment horizontal="left" readingOrder="0" vertical="bottom"/>
    </xf>
    <xf borderId="3" fillId="0" fontId="29" numFmtId="0" xfId="0" applyAlignment="1" applyBorder="1" applyFont="1">
      <alignment horizontal="left" readingOrder="0" vertical="top"/>
    </xf>
    <xf borderId="8" fillId="0" fontId="29" numFmtId="0" xfId="0" applyAlignment="1" applyBorder="1" applyFont="1">
      <alignment horizontal="left" vertical="top"/>
    </xf>
    <xf borderId="8" fillId="3" fontId="32" numFmtId="0" xfId="0" applyAlignment="1" applyBorder="1" applyFont="1">
      <alignment readingOrder="0" vertical="top"/>
    </xf>
    <xf borderId="8" fillId="3" fontId="31" numFmtId="0" xfId="0" applyAlignment="1" applyBorder="1" applyFont="1">
      <alignment horizontal="center" readingOrder="0" vertical="top"/>
    </xf>
    <xf borderId="8" fillId="3" fontId="32" numFmtId="165" xfId="0" applyAlignment="1" applyBorder="1" applyFont="1" applyNumberFormat="1">
      <alignment readingOrder="0" vertical="top"/>
    </xf>
    <xf borderId="8" fillId="3" fontId="32" numFmtId="0" xfId="0" applyAlignment="1" applyBorder="1" applyFont="1">
      <alignment vertical="top"/>
    </xf>
    <xf borderId="8" fillId="0" fontId="31" numFmtId="0" xfId="0" applyAlignment="1" applyBorder="1" applyFont="1">
      <alignment horizontal="left" readingOrder="0" vertical="top"/>
    </xf>
    <xf borderId="8" fillId="6" fontId="25" numFmtId="0" xfId="0" applyAlignment="1" applyBorder="1" applyFill="1" applyFont="1">
      <alignment readingOrder="0" vertical="top"/>
    </xf>
    <xf borderId="8" fillId="0" fontId="29" numFmtId="0" xfId="0" applyAlignment="1" applyBorder="1" applyFont="1">
      <alignment horizontal="left" readingOrder="0" vertical="top"/>
    </xf>
    <xf borderId="8" fillId="0" fontId="25" numFmtId="164" xfId="0" applyAlignment="1" applyBorder="1" applyFont="1" applyNumberFormat="1">
      <alignment readingOrder="0" shrinkToFit="0" vertical="top" wrapText="0"/>
    </xf>
    <xf borderId="3" fillId="0" fontId="28" numFmtId="0" xfId="0" applyAlignment="1" applyBorder="1" applyFont="1">
      <alignment readingOrder="0" vertical="top"/>
    </xf>
    <xf borderId="8" fillId="3" fontId="28" numFmtId="0" xfId="0" applyAlignment="1" applyBorder="1" applyFont="1">
      <alignment horizontal="left" readingOrder="0" vertical="top"/>
    </xf>
    <xf borderId="0" fillId="0" fontId="39" numFmtId="0" xfId="0" applyAlignment="1" applyFont="1">
      <alignment shrinkToFit="0" vertical="bottom" wrapText="0"/>
    </xf>
    <xf borderId="3" fillId="0" fontId="30" numFmtId="0" xfId="0" applyAlignment="1" applyBorder="1" applyFont="1">
      <alignment shrinkToFit="0" vertical="bottom" wrapText="0"/>
    </xf>
    <xf borderId="8" fillId="0" fontId="32" numFmtId="0" xfId="0" applyAlignment="1" applyBorder="1" applyFont="1">
      <alignment horizontal="left" readingOrder="0" vertical="top"/>
    </xf>
    <xf borderId="8" fillId="0" fontId="40" numFmtId="0" xfId="0" applyAlignment="1" applyBorder="1" applyFont="1">
      <alignment shrinkToFit="0" vertical="top" wrapText="0"/>
    </xf>
    <xf borderId="8" fillId="0" fontId="29" numFmtId="0" xfId="0" applyAlignment="1" applyBorder="1" applyFont="1">
      <alignment readingOrder="0" shrinkToFit="0" vertical="top" wrapText="0"/>
    </xf>
    <xf borderId="7" fillId="0" fontId="25" numFmtId="0" xfId="0" applyAlignment="1" applyBorder="1" applyFont="1">
      <alignment vertical="top"/>
    </xf>
    <xf borderId="8" fillId="0" fontId="28" numFmtId="164" xfId="0" applyAlignment="1" applyBorder="1" applyFont="1" applyNumberFormat="1">
      <alignment horizontal="left" readingOrder="0" shrinkToFit="0" vertical="top" wrapText="0"/>
    </xf>
    <xf borderId="8" fillId="0" fontId="16" numFmtId="0" xfId="0" applyAlignment="1" applyBorder="1" applyFont="1">
      <alignment horizontal="left" readingOrder="0" vertical="top"/>
    </xf>
    <xf borderId="8" fillId="0" fontId="32" numFmtId="165" xfId="0" applyAlignment="1" applyBorder="1" applyFont="1" applyNumberFormat="1">
      <alignment horizontal="left" readingOrder="0" shrinkToFit="0" vertical="top" wrapText="0"/>
    </xf>
    <xf borderId="8" fillId="0" fontId="28" numFmtId="165" xfId="0" applyAlignment="1" applyBorder="1" applyFont="1" applyNumberFormat="1">
      <alignment horizontal="left" readingOrder="0" shrinkToFit="0" vertical="top" wrapText="0"/>
    </xf>
    <xf borderId="8" fillId="3" fontId="29" numFmtId="0" xfId="0" applyAlignment="1" applyBorder="1" applyFont="1">
      <alignment horizontal="center" readingOrder="0" vertical="top"/>
    </xf>
    <xf borderId="8" fillId="3" fontId="28" numFmtId="164" xfId="0" applyAlignment="1" applyBorder="1" applyFont="1" applyNumberFormat="1">
      <alignment readingOrder="0" vertical="top"/>
    </xf>
    <xf borderId="8" fillId="3" fontId="28" numFmtId="0" xfId="0" applyAlignment="1" applyBorder="1" applyFont="1">
      <alignment vertical="top"/>
    </xf>
    <xf borderId="8" fillId="3" fontId="32" numFmtId="164" xfId="0" applyAlignment="1" applyBorder="1" applyFont="1" applyNumberFormat="1">
      <alignment readingOrder="0" vertical="top"/>
    </xf>
    <xf borderId="8" fillId="3" fontId="32" numFmtId="0" xfId="0" applyAlignment="1" applyBorder="1" applyFont="1">
      <alignment horizontal="left" vertical="top"/>
    </xf>
    <xf borderId="8" fillId="3" fontId="25" numFmtId="0" xfId="0" applyAlignment="1" applyBorder="1" applyFont="1">
      <alignment horizontal="left" readingOrder="0" vertical="top"/>
    </xf>
    <xf borderId="8" fillId="3" fontId="28" numFmtId="165" xfId="0" applyAlignment="1" applyBorder="1" applyFont="1" applyNumberFormat="1">
      <alignment readingOrder="0" vertical="top"/>
    </xf>
    <xf borderId="8" fillId="3" fontId="25" numFmtId="0" xfId="0" applyAlignment="1" applyBorder="1" applyFont="1">
      <alignment readingOrder="0" vertical="top"/>
    </xf>
    <xf borderId="8" fillId="3" fontId="26" numFmtId="0" xfId="0" applyAlignment="1" applyBorder="1" applyFont="1">
      <alignment horizontal="center" readingOrder="0" vertical="top"/>
    </xf>
    <xf borderId="8" fillId="3" fontId="25" numFmtId="165" xfId="0" applyAlignment="1" applyBorder="1" applyFont="1" applyNumberFormat="1">
      <alignment readingOrder="0" vertical="top"/>
    </xf>
    <xf borderId="8" fillId="3" fontId="25" numFmtId="0" xfId="0" applyAlignment="1" applyBorder="1" applyFont="1">
      <alignment vertical="top"/>
    </xf>
    <xf borderId="8" fillId="3" fontId="25" numFmtId="164" xfId="0" applyAlignment="1" applyBorder="1" applyFont="1" applyNumberFormat="1">
      <alignment readingOrder="0" vertical="top"/>
    </xf>
    <xf borderId="8" fillId="3" fontId="26" numFmtId="0" xfId="0" applyAlignment="1" applyBorder="1" applyFont="1">
      <alignment readingOrder="0" vertical="top"/>
    </xf>
    <xf borderId="8" fillId="3" fontId="29" numFmtId="0" xfId="0" applyAlignment="1" applyBorder="1" applyFont="1">
      <alignment readingOrder="0" vertical="top"/>
    </xf>
    <xf borderId="8" fillId="0" fontId="32" numFmtId="164" xfId="0" applyAlignment="1" applyBorder="1" applyFont="1" applyNumberFormat="1">
      <alignment horizontal="left" readingOrder="0" shrinkToFit="0" vertical="top" wrapText="0"/>
    </xf>
    <xf borderId="8" fillId="3" fontId="25" numFmtId="0" xfId="0" applyAlignment="1" applyBorder="1" applyFont="1">
      <alignment horizontal="left" vertical="top"/>
    </xf>
    <xf borderId="7" fillId="3" fontId="28" numFmtId="0" xfId="0" applyAlignment="1" applyBorder="1" applyFont="1">
      <alignment vertical="top"/>
    </xf>
    <xf borderId="3" fillId="3" fontId="28" numFmtId="0" xfId="0" applyAlignment="1" applyBorder="1" applyFont="1">
      <alignment readingOrder="0" vertical="top"/>
    </xf>
    <xf borderId="3" fillId="3" fontId="28" numFmtId="0" xfId="0" applyAlignment="1" applyBorder="1" applyFont="1">
      <alignment vertical="top"/>
    </xf>
    <xf borderId="8" fillId="0" fontId="25" numFmtId="0" xfId="0" applyAlignment="1" applyBorder="1" applyFont="1">
      <alignment horizontal="left" vertical="top"/>
    </xf>
    <xf borderId="8" fillId="0" fontId="28" numFmtId="0" xfId="0" applyAlignment="1" applyBorder="1" applyFont="1">
      <alignment horizontal="left" vertical="top"/>
    </xf>
    <xf borderId="8" fillId="0" fontId="40" numFmtId="0" xfId="0" applyAlignment="1" applyBorder="1" applyFont="1">
      <alignment readingOrder="0" shrinkToFit="0" vertical="top" wrapText="0"/>
    </xf>
    <xf borderId="8" fillId="0" fontId="41" numFmtId="0" xfId="0" applyAlignment="1" applyBorder="1" applyFont="1">
      <alignment horizontal="left" readingOrder="0" vertical="top"/>
    </xf>
    <xf borderId="7" fillId="0" fontId="32" numFmtId="0" xfId="0" applyAlignment="1" applyBorder="1" applyFont="1">
      <alignment horizontal="right" readingOrder="0" vertical="top"/>
    </xf>
    <xf borderId="8" fillId="0" fontId="32" numFmtId="0" xfId="0" applyAlignment="1" applyBorder="1" applyFont="1">
      <alignment horizontal="right" readingOrder="0" vertical="top"/>
    </xf>
    <xf borderId="8" fillId="0" fontId="42" numFmtId="0" xfId="0" applyAlignment="1" applyBorder="1" applyFont="1">
      <alignment readingOrder="0" vertical="top"/>
    </xf>
    <xf borderId="0" fillId="0" fontId="16" numFmtId="0" xfId="0" applyAlignment="1" applyFont="1">
      <alignment shrinkToFit="0" vertical="bottom" wrapText="0"/>
    </xf>
    <xf borderId="7" fillId="0" fontId="32" numFmtId="0" xfId="0" applyAlignment="1" applyBorder="1" applyFont="1">
      <alignment vertical="top"/>
    </xf>
    <xf borderId="3" fillId="0" fontId="29" numFmtId="0" xfId="0" applyAlignment="1" applyBorder="1" applyFont="1">
      <alignment vertical="top"/>
    </xf>
    <xf borderId="8" fillId="0" fontId="26" numFmtId="0" xfId="0" applyAlignment="1" applyBorder="1" applyFont="1">
      <alignment horizontal="left" vertical="top"/>
    </xf>
    <xf borderId="8" fillId="0" fontId="43" numFmtId="0" xfId="0" applyAlignment="1" applyBorder="1" applyFont="1">
      <alignment shrinkToFit="0" vertical="top" wrapText="0"/>
    </xf>
    <xf borderId="8" fillId="0" fontId="32" numFmtId="164" xfId="0" applyAlignment="1" applyBorder="1" applyFont="1" applyNumberFormat="1">
      <alignment horizontal="left" readingOrder="0" vertical="top"/>
    </xf>
    <xf borderId="8" fillId="0" fontId="28" numFmtId="165" xfId="0" applyAlignment="1" applyBorder="1" applyFont="1" applyNumberFormat="1">
      <alignment horizontal="left" readingOrder="0" vertical="top"/>
    </xf>
    <xf borderId="0" fillId="0" fontId="28" numFmtId="0" xfId="0" applyAlignment="1" applyFont="1">
      <alignment horizontal="left" readingOrder="0" shrinkToFit="0" vertical="bottom" wrapText="0"/>
    </xf>
    <xf borderId="7" fillId="0" fontId="30" numFmtId="0" xfId="0" applyAlignment="1" applyBorder="1" applyFont="1">
      <alignment shrinkToFit="0" vertical="bottom" wrapText="0"/>
    </xf>
    <xf borderId="3" fillId="0" fontId="25" numFmtId="0" xfId="0" applyAlignment="1" applyBorder="1" applyFont="1">
      <alignment vertical="top"/>
    </xf>
    <xf borderId="8" fillId="0" fontId="16" numFmtId="0" xfId="0" applyAlignment="1" applyBorder="1" applyFont="1">
      <alignment horizontal="left" readingOrder="0" vertical="top"/>
    </xf>
    <xf borderId="8" fillId="0" fontId="23" numFmtId="0" xfId="0" applyAlignment="1" applyBorder="1" applyFont="1">
      <alignment horizontal="left" readingOrder="0" vertical="top"/>
    </xf>
    <xf borderId="8" fillId="0" fontId="28" numFmtId="167" xfId="0" applyAlignment="1" applyBorder="1" applyFont="1" applyNumberFormat="1">
      <alignment readingOrder="0" vertical="top"/>
    </xf>
    <xf borderId="8" fillId="0" fontId="25" numFmtId="168" xfId="0" applyAlignment="1" applyBorder="1" applyFont="1" applyNumberFormat="1">
      <alignment readingOrder="0" vertical="top"/>
    </xf>
    <xf borderId="8" fillId="0" fontId="16" numFmtId="0" xfId="0" applyAlignment="1" applyBorder="1" applyFont="1">
      <alignment vertical="top"/>
    </xf>
    <xf borderId="8" fillId="0" fontId="28" numFmtId="169" xfId="0" applyAlignment="1" applyBorder="1" applyFont="1" applyNumberFormat="1">
      <alignment readingOrder="0" vertical="top"/>
    </xf>
    <xf borderId="8" fillId="0" fontId="25" numFmtId="170" xfId="0" applyAlignment="1" applyBorder="1" applyFont="1" applyNumberFormat="1">
      <alignment readingOrder="0" vertical="top"/>
    </xf>
    <xf borderId="8" fillId="0" fontId="28" numFmtId="170" xfId="0" applyAlignment="1" applyBorder="1" applyFont="1" applyNumberFormat="1">
      <alignment readingOrder="0" vertical="top"/>
    </xf>
    <xf borderId="8" fillId="0" fontId="28" numFmtId="168" xfId="0" applyAlignment="1" applyBorder="1" applyFont="1" applyNumberFormat="1">
      <alignment readingOrder="0" vertical="top"/>
    </xf>
    <xf borderId="8" fillId="0" fontId="23" numFmtId="170" xfId="0" applyAlignment="1" applyBorder="1" applyFont="1" applyNumberFormat="1">
      <alignment readingOrder="0" vertical="top"/>
    </xf>
    <xf borderId="8" fillId="0" fontId="26" numFmtId="0" xfId="0" applyAlignment="1" applyBorder="1" applyFont="1">
      <alignment vertical="top"/>
    </xf>
    <xf borderId="7" fillId="0" fontId="23" numFmtId="0" xfId="0" applyAlignment="1" applyBorder="1" applyFont="1">
      <alignment horizontal="center" shrinkToFit="0" vertical="top" wrapText="0"/>
    </xf>
    <xf borderId="8" fillId="0" fontId="28" numFmtId="171" xfId="0" applyAlignment="1" applyBorder="1" applyFont="1" applyNumberFormat="1">
      <alignment readingOrder="0" vertical="top"/>
    </xf>
    <xf borderId="8" fillId="0" fontId="28" numFmtId="0" xfId="0" applyAlignment="1" applyBorder="1" applyFont="1">
      <alignment horizontal="left" shrinkToFit="0" vertical="top" wrapText="0"/>
    </xf>
    <xf borderId="8" fillId="0" fontId="28" numFmtId="172" xfId="0" applyAlignment="1" applyBorder="1" applyFont="1" applyNumberFormat="1">
      <alignment readingOrder="0" vertical="top"/>
    </xf>
    <xf borderId="8" fillId="0" fontId="39" numFmtId="0" xfId="0" applyAlignment="1" applyBorder="1" applyFont="1">
      <alignment shrinkToFit="0" vertical="top" wrapText="0"/>
    </xf>
    <xf borderId="8" fillId="0" fontId="39" numFmtId="0" xfId="0" applyAlignment="1" applyBorder="1" applyFont="1">
      <alignment horizontal="left" readingOrder="0" vertical="top"/>
    </xf>
    <xf borderId="8" fillId="0" fontId="26" numFmtId="0" xfId="0" applyAlignment="1" applyBorder="1" applyFont="1">
      <alignment horizontal="left" readingOrder="0" vertical="top"/>
    </xf>
    <xf borderId="6" fillId="0" fontId="23" numFmtId="0" xfId="0" applyAlignment="1" applyBorder="1" applyFont="1">
      <alignment vertical="top"/>
    </xf>
    <xf borderId="8" fillId="0" fontId="29" numFmtId="164" xfId="0" applyAlignment="1" applyBorder="1" applyFont="1" applyNumberFormat="1">
      <alignment readingOrder="0" vertical="top"/>
    </xf>
    <xf borderId="8" fillId="0" fontId="25" numFmtId="172" xfId="0" applyAlignment="1" applyBorder="1" applyFont="1" applyNumberFormat="1">
      <alignment horizontal="left" readingOrder="0" vertical="top"/>
    </xf>
    <xf borderId="8" fillId="0" fontId="28" numFmtId="173" xfId="0" applyAlignment="1" applyBorder="1" applyFont="1" applyNumberFormat="1">
      <alignment readingOrder="0" vertical="top"/>
    </xf>
    <xf borderId="8" fillId="0" fontId="28" numFmtId="0" xfId="0" applyAlignment="1" applyBorder="1" applyFont="1">
      <alignment shrinkToFit="0" vertical="bottom" wrapText="0"/>
    </xf>
    <xf borderId="8" fillId="0" fontId="16" numFmtId="0" xfId="0" applyAlignment="1" applyBorder="1" applyFont="1">
      <alignment horizontal="left" readingOrder="0" shrinkToFit="0" vertical="top" wrapText="0"/>
    </xf>
    <xf borderId="8" fillId="0" fontId="44" numFmtId="0" xfId="0" applyAlignment="1" applyBorder="1" applyFont="1">
      <alignment readingOrder="0" vertical="top"/>
    </xf>
    <xf borderId="8" fillId="0" fontId="31" numFmtId="0" xfId="0" applyAlignment="1" applyBorder="1" applyFont="1">
      <alignment vertical="top"/>
    </xf>
    <xf borderId="8" fillId="0" fontId="25" numFmtId="173" xfId="0" applyAlignment="1" applyBorder="1" applyFont="1" applyNumberFormat="1">
      <alignment readingOrder="0" vertical="top"/>
    </xf>
    <xf borderId="8" fillId="0" fontId="25" numFmtId="172" xfId="0" applyAlignment="1" applyBorder="1" applyFont="1" applyNumberFormat="1">
      <alignment readingOrder="0" vertical="top"/>
    </xf>
    <xf borderId="8" fillId="0" fontId="29" numFmtId="165" xfId="0" applyAlignment="1" applyBorder="1" applyFont="1" applyNumberFormat="1">
      <alignment readingOrder="0" vertical="top"/>
    </xf>
    <xf borderId="8" fillId="0" fontId="31" numFmtId="0" xfId="0" applyAlignment="1" applyBorder="1" applyFont="1">
      <alignment readingOrder="0" vertical="top"/>
    </xf>
    <xf borderId="6" fillId="0" fontId="28" numFmtId="0" xfId="0" applyAlignment="1" applyBorder="1" applyFont="1">
      <alignment vertical="top"/>
    </xf>
    <xf borderId="7" fillId="0" fontId="29" numFmtId="0" xfId="0" applyAlignment="1" applyBorder="1" applyFont="1">
      <alignment readingOrder="0" vertical="top"/>
    </xf>
    <xf borderId="8" fillId="0" fontId="23" numFmtId="167" xfId="0" applyAlignment="1" applyBorder="1" applyFont="1" applyNumberFormat="1">
      <alignment readingOrder="0" vertical="top"/>
    </xf>
    <xf borderId="8" fillId="0" fontId="25" numFmtId="171" xfId="0" applyAlignment="1" applyBorder="1" applyFont="1" applyNumberFormat="1">
      <alignment readingOrder="0" vertical="top"/>
    </xf>
    <xf borderId="8" fillId="3" fontId="23" numFmtId="0" xfId="0" applyAlignment="1" applyBorder="1" applyFont="1">
      <alignment vertical="top"/>
    </xf>
    <xf borderId="8" fillId="3" fontId="24" numFmtId="0" xfId="0" applyAlignment="1" applyBorder="1" applyFont="1">
      <alignment horizontal="center" readingOrder="0" vertical="top"/>
    </xf>
    <xf borderId="8" fillId="3" fontId="23" numFmtId="0" xfId="0" applyAlignment="1" applyBorder="1" applyFont="1">
      <alignment readingOrder="0" vertical="top"/>
    </xf>
    <xf borderId="8" fillId="3" fontId="23" numFmtId="164" xfId="0" applyAlignment="1" applyBorder="1" applyFont="1" applyNumberFormat="1">
      <alignment readingOrder="0" vertical="top"/>
    </xf>
    <xf borderId="8" fillId="0" fontId="28" numFmtId="174" xfId="0" applyAlignment="1" applyBorder="1" applyFont="1" applyNumberFormat="1">
      <alignment readingOrder="0" vertical="top"/>
    </xf>
    <xf borderId="8" fillId="0" fontId="27" numFmtId="0" xfId="0" applyAlignment="1" applyBorder="1" applyFont="1">
      <alignment horizontal="left" readingOrder="0" shrinkToFit="0" vertical="bottom" wrapText="0"/>
    </xf>
    <xf borderId="0" fillId="0" fontId="32" numFmtId="0" xfId="0" applyAlignment="1" applyFont="1">
      <alignment horizontal="left" readingOrder="0" shrinkToFit="0" vertical="bottom" wrapText="0"/>
    </xf>
    <xf borderId="8" fillId="0" fontId="23" numFmtId="175" xfId="0" applyAlignment="1" applyBorder="1" applyFont="1" applyNumberFormat="1">
      <alignment readingOrder="0" vertical="top"/>
    </xf>
    <xf borderId="8" fillId="0" fontId="23" numFmtId="0" xfId="0" applyAlignment="1" applyBorder="1" applyFont="1">
      <alignment horizontal="center" readingOrder="0" vertical="top"/>
    </xf>
    <xf borderId="8" fillId="0" fontId="26" numFmtId="0" xfId="0" applyAlignment="1" applyBorder="1" applyFont="1">
      <alignment horizontal="center" vertical="top"/>
    </xf>
    <xf borderId="0" fillId="0" fontId="28" numFmtId="0" xfId="0" applyAlignment="1" applyFont="1">
      <alignment shrinkToFit="0" vertical="bottom" wrapText="0"/>
    </xf>
    <xf borderId="8" fillId="0" fontId="28" numFmtId="176" xfId="0" applyAlignment="1" applyBorder="1" applyFont="1" applyNumberFormat="1">
      <alignment readingOrder="0" vertical="top"/>
    </xf>
    <xf borderId="7" fillId="0" fontId="25" numFmtId="0" xfId="0" applyAlignment="1" applyBorder="1" applyFont="1">
      <alignment readingOrder="0" vertical="top"/>
    </xf>
    <xf borderId="8" fillId="0" fontId="16" numFmtId="0" xfId="0" applyAlignment="1" applyBorder="1" applyFont="1">
      <alignment shrinkToFit="0" vertical="top" wrapText="0"/>
    </xf>
    <xf borderId="3" fillId="0" fontId="32" numFmtId="0" xfId="0" applyAlignment="1" applyBorder="1" applyFont="1">
      <alignment readingOrder="0" vertical="top"/>
    </xf>
    <xf borderId="7" fillId="0" fontId="28" numFmtId="164" xfId="0" applyAlignment="1" applyBorder="1" applyFont="1" applyNumberFormat="1">
      <alignment readingOrder="0" vertical="top"/>
    </xf>
    <xf borderId="8" fillId="0" fontId="28" numFmtId="177" xfId="0" applyAlignment="1" applyBorder="1" applyFont="1" applyNumberFormat="1">
      <alignment readingOrder="0" vertical="top"/>
    </xf>
    <xf borderId="8" fillId="0" fontId="23" numFmtId="0" xfId="0" applyAlignment="1" applyBorder="1" applyFont="1">
      <alignment horizontal="left" vertical="top"/>
    </xf>
    <xf borderId="8" fillId="0" fontId="32" numFmtId="0" xfId="0" applyAlignment="1" applyBorder="1" applyFont="1">
      <alignment horizontal="left" vertical="top"/>
    </xf>
    <xf borderId="3" fillId="0" fontId="28" numFmtId="0" xfId="0" applyAlignment="1" applyBorder="1" applyFont="1">
      <alignment shrinkToFit="0" vertical="bottom" wrapText="0"/>
    </xf>
    <xf borderId="8" fillId="0" fontId="28" numFmtId="0" xfId="0" applyAlignment="1" applyBorder="1" applyFont="1">
      <alignment horizontal="left" readingOrder="0" shrinkToFit="0" vertical="bottom" wrapText="0"/>
    </xf>
    <xf borderId="8" fillId="0" fontId="23" numFmtId="0" xfId="0" applyAlignment="1" applyBorder="1" applyFont="1">
      <alignment shrinkToFit="0" vertical="bottom" wrapText="0"/>
    </xf>
    <xf borderId="8" fillId="0" fontId="23" numFmtId="171" xfId="0" applyAlignment="1" applyBorder="1" applyFont="1" applyNumberFormat="1">
      <alignment readingOrder="0" vertical="top"/>
    </xf>
    <xf borderId="7" fillId="0" fontId="23" numFmtId="164" xfId="0" applyAlignment="1" applyBorder="1" applyFont="1" applyNumberFormat="1">
      <alignment readingOrder="0" vertical="top"/>
    </xf>
    <xf borderId="7" fillId="0" fontId="32" numFmtId="0" xfId="0" applyAlignment="1" applyBorder="1" applyFont="1">
      <alignment horizontal="center" shrinkToFit="0" vertical="top" wrapText="0"/>
    </xf>
    <xf borderId="0" fillId="0" fontId="28" numFmtId="0" xfId="0" applyAlignment="1" applyFont="1">
      <alignment vertical="top"/>
    </xf>
    <xf borderId="0" fillId="0" fontId="39" numFmtId="0" xfId="0" applyAlignment="1" applyFont="1">
      <alignment shrinkToFit="0" vertical="top" wrapText="0"/>
    </xf>
    <xf borderId="8" fillId="0" fontId="15" numFmtId="0" xfId="0" applyAlignment="1" applyBorder="1" applyFont="1">
      <alignment horizontal="left" readingOrder="0" vertical="bottom"/>
    </xf>
    <xf borderId="0" fillId="0" fontId="38" numFmtId="0" xfId="0" applyAlignment="1" applyFont="1">
      <alignment horizontal="left" readingOrder="0" vertical="top"/>
    </xf>
    <xf borderId="8" fillId="0" fontId="45" numFmtId="0" xfId="0" applyAlignment="1" applyBorder="1" applyFont="1">
      <alignment shrinkToFit="0" vertical="bottom" wrapText="0"/>
    </xf>
    <xf borderId="8" fillId="0" fontId="28" numFmtId="0" xfId="0" applyAlignment="1" applyBorder="1" applyFont="1">
      <alignment horizontal="center" shrinkToFit="0" vertical="top" wrapText="0"/>
    </xf>
    <xf borderId="8" fillId="0" fontId="32" numFmtId="0" xfId="0" applyAlignment="1" applyBorder="1" applyFont="1">
      <alignment horizontal="center" shrinkToFit="0" vertical="top" wrapText="0"/>
    </xf>
    <xf borderId="8" fillId="0" fontId="25" numFmtId="0" xfId="0" applyAlignment="1" applyBorder="1" applyFont="1">
      <alignment horizontal="center" shrinkToFit="0" vertical="top" wrapText="0"/>
    </xf>
    <xf borderId="8" fillId="0" fontId="29" numFmtId="0" xfId="0" applyAlignment="1" applyBorder="1" applyFont="1">
      <alignment horizontal="center" vertical="top"/>
    </xf>
    <xf borderId="8" fillId="0" fontId="29" numFmtId="165" xfId="0" applyAlignment="1" applyBorder="1" applyFont="1" applyNumberFormat="1">
      <alignment horizontal="center" readingOrder="0" vertical="top"/>
    </xf>
    <xf borderId="7" fillId="0" fontId="28" numFmtId="165" xfId="0" applyAlignment="1" applyBorder="1" applyFont="1" applyNumberFormat="1">
      <alignment readingOrder="0" vertical="top"/>
    </xf>
    <xf borderId="8" fillId="0" fontId="23" numFmtId="0" xfId="0" applyAlignment="1" applyBorder="1" applyFont="1">
      <alignment horizontal="center" shrinkToFit="0" vertical="top" wrapText="0"/>
    </xf>
    <xf borderId="7" fillId="0" fontId="23" numFmtId="165" xfId="0" applyAlignment="1" applyBorder="1" applyFont="1" applyNumberFormat="1">
      <alignment readingOrder="0" vertical="top"/>
    </xf>
    <xf borderId="8" fillId="0" fontId="15" numFmtId="0" xfId="0" applyAlignment="1" applyBorder="1" applyFont="1">
      <alignment vertical="bottom"/>
    </xf>
    <xf borderId="5" fillId="0" fontId="28" numFmtId="0" xfId="0" applyAlignment="1" applyBorder="1" applyFont="1">
      <alignment horizontal="center" shrinkToFit="0" vertical="top" wrapText="0"/>
    </xf>
    <xf borderId="5" fillId="0" fontId="29" numFmtId="0" xfId="0" applyAlignment="1" applyBorder="1" applyFont="1">
      <alignment horizontal="center" readingOrder="0" vertical="top"/>
    </xf>
    <xf borderId="5" fillId="0" fontId="28" numFmtId="0" xfId="0" applyAlignment="1" applyBorder="1" applyFont="1">
      <alignment vertical="top"/>
    </xf>
    <xf borderId="5" fillId="0" fontId="28" numFmtId="0" xfId="0" applyAlignment="1" applyBorder="1" applyFont="1">
      <alignment readingOrder="0" vertical="top"/>
    </xf>
    <xf borderId="5" fillId="0" fontId="28" numFmtId="164" xfId="0" applyAlignment="1" applyBorder="1" applyFont="1" applyNumberFormat="1">
      <alignment readingOrder="0" vertical="top"/>
    </xf>
    <xf borderId="5" fillId="7" fontId="29" numFmtId="0" xfId="0" applyAlignment="1" applyBorder="1" applyFill="1" applyFont="1">
      <alignment readingOrder="0" vertical="top"/>
    </xf>
    <xf borderId="3" fillId="0" fontId="32" numFmtId="0" xfId="0" applyAlignment="1" applyBorder="1" applyFont="1">
      <alignment horizontal="center" shrinkToFit="0" vertical="top" wrapText="0"/>
    </xf>
    <xf borderId="3" fillId="0" fontId="26" numFmtId="0" xfId="0" applyAlignment="1" applyBorder="1" applyFont="1">
      <alignment horizontal="center" readingOrder="0" vertical="top"/>
    </xf>
    <xf borderId="3" fillId="0" fontId="25" numFmtId="164" xfId="0" applyAlignment="1" applyBorder="1" applyFont="1" applyNumberFormat="1">
      <alignment readingOrder="0" vertical="top"/>
    </xf>
    <xf borderId="3" fillId="0" fontId="32" numFmtId="0" xfId="0" applyAlignment="1" applyBorder="1" applyFont="1">
      <alignment vertical="top"/>
    </xf>
    <xf borderId="5" fillId="7" fontId="26" numFmtId="0" xfId="0" applyAlignment="1" applyBorder="1" applyFont="1">
      <alignment readingOrder="0" vertical="top"/>
    </xf>
    <xf borderId="8" fillId="0" fontId="46" numFmtId="0" xfId="0" applyAlignment="1" applyBorder="1" applyFont="1">
      <alignment readingOrder="0" vertical="top"/>
    </xf>
    <xf borderId="8" fillId="7" fontId="32" numFmtId="0" xfId="0" applyAlignment="1" applyBorder="1" applyFont="1">
      <alignment readingOrder="0" vertical="top"/>
    </xf>
    <xf borderId="0" fillId="0" fontId="16" numFmtId="0" xfId="0" applyAlignment="1" applyFont="1">
      <alignment shrinkToFit="0" vertical="top" wrapText="0"/>
    </xf>
    <xf borderId="8" fillId="0" fontId="15" numFmtId="0" xfId="0" applyAlignment="1" applyBorder="1" applyFont="1">
      <alignment horizontal="center" readingOrder="0" vertical="bottom"/>
    </xf>
    <xf borderId="8" fillId="6" fontId="29" numFmtId="0" xfId="0" applyAlignment="1" applyBorder="1" applyFont="1">
      <alignment readingOrder="0" vertical="top"/>
    </xf>
    <xf borderId="9" fillId="0" fontId="29" numFmtId="0" xfId="0" applyAlignment="1" applyBorder="1" applyFont="1">
      <alignment vertical="top"/>
    </xf>
    <xf borderId="7" fillId="0" fontId="29" numFmtId="0" xfId="0" applyAlignment="1" applyBorder="1" applyFont="1">
      <alignment horizontal="center" readingOrder="0" vertical="top"/>
    </xf>
    <xf borderId="3" fillId="0" fontId="28" numFmtId="0" xfId="0" applyAlignment="1" applyBorder="1" applyFont="1">
      <alignment horizontal="center" shrinkToFit="0" vertical="top" wrapText="0"/>
    </xf>
    <xf borderId="8" fillId="0" fontId="32" numFmtId="0" xfId="0" applyAlignment="1" applyBorder="1" applyFont="1">
      <alignment horizontal="center" readingOrder="0" vertical="top"/>
    </xf>
    <xf borderId="8" fillId="0" fontId="31" numFmtId="0" xfId="0" applyAlignment="1" applyBorder="1" applyFont="1">
      <alignment horizontal="center" vertical="top"/>
    </xf>
    <xf borderId="8" fillId="0" fontId="29" numFmtId="178" xfId="0" applyAlignment="1" applyBorder="1" applyFont="1" applyNumberFormat="1">
      <alignment readingOrder="0" vertical="top"/>
    </xf>
    <xf borderId="0" fillId="0" fontId="39" numFmtId="0" xfId="0" applyAlignment="1" applyFont="1">
      <alignment horizontal="left" readingOrder="0" shrinkToFit="0" vertical="top" wrapText="0"/>
    </xf>
    <xf borderId="7" fillId="0" fontId="29" numFmtId="0" xfId="0" applyAlignment="1" applyBorder="1" applyFont="1">
      <alignment vertical="top"/>
    </xf>
    <xf borderId="7" fillId="0" fontId="28" numFmtId="0" xfId="0" applyAlignment="1" applyBorder="1" applyFont="1">
      <alignment horizontal="center" shrinkToFit="0" vertical="top" wrapText="0"/>
    </xf>
    <xf borderId="7" fillId="0" fontId="25" numFmtId="0" xfId="0" applyAlignment="1" applyBorder="1" applyFont="1">
      <alignment horizontal="center" shrinkToFit="0" vertical="top" wrapText="0"/>
    </xf>
    <xf borderId="5" fillId="0" fontId="25" numFmtId="0" xfId="0" applyAlignment="1" applyBorder="1" applyFont="1">
      <alignment readingOrder="0" vertical="top"/>
    </xf>
    <xf borderId="8" fillId="0" fontId="39" numFmtId="164" xfId="0" applyAlignment="1" applyBorder="1" applyFont="1" applyNumberFormat="1">
      <alignment horizontal="left" readingOrder="0" shrinkToFit="0" vertical="top" wrapText="0"/>
    </xf>
    <xf borderId="8" fillId="0" fontId="25" numFmtId="177" xfId="0" applyAlignment="1" applyBorder="1" applyFont="1" applyNumberFormat="1">
      <alignment readingOrder="0" vertical="top"/>
    </xf>
    <xf borderId="3" fillId="0" fontId="28" numFmtId="164" xfId="0" applyAlignment="1" applyBorder="1" applyFont="1" applyNumberFormat="1">
      <alignment readingOrder="0" vertical="top"/>
    </xf>
    <xf borderId="8" fillId="0" fontId="25" numFmtId="179" xfId="0" applyAlignment="1" applyBorder="1" applyFont="1" applyNumberFormat="1">
      <alignment readingOrder="0" vertical="top"/>
    </xf>
    <xf borderId="8" fillId="0" fontId="47" numFmtId="0" xfId="0" applyAlignment="1" applyBorder="1" applyFont="1">
      <alignment vertical="top"/>
    </xf>
    <xf borderId="8" fillId="0" fontId="46" numFmtId="0" xfId="0" applyAlignment="1" applyBorder="1" applyFont="1">
      <alignment vertical="top"/>
    </xf>
    <xf borderId="8" fillId="0" fontId="30" numFmtId="0" xfId="0" applyAlignment="1" applyBorder="1" applyFont="1">
      <alignment readingOrder="0" vertical="top"/>
    </xf>
    <xf borderId="8" fillId="0" fontId="48" numFmtId="0" xfId="0" applyAlignment="1" applyBorder="1" applyFont="1">
      <alignment readingOrder="0" vertical="top"/>
    </xf>
    <xf borderId="8" fillId="0" fontId="28" numFmtId="180" xfId="0" applyAlignment="1" applyBorder="1" applyFont="1" applyNumberFormat="1">
      <alignment readingOrder="0" vertical="top"/>
    </xf>
    <xf borderId="8" fillId="0" fontId="28" numFmtId="179" xfId="0" applyAlignment="1" applyBorder="1" applyFont="1" applyNumberFormat="1">
      <alignment readingOrder="0" vertical="top"/>
    </xf>
    <xf borderId="0" fillId="8" fontId="25" numFmtId="0" xfId="0" applyAlignment="1" applyFill="1" applyFont="1">
      <alignment horizontal="center" vertical="top"/>
    </xf>
    <xf borderId="0" fillId="8" fontId="25" numFmtId="0" xfId="0" applyAlignment="1" applyFont="1">
      <alignment horizontal="left" readingOrder="0" vertical="top"/>
    </xf>
    <xf borderId="0" fillId="8" fontId="25" numFmtId="164" xfId="0" applyAlignment="1" applyFont="1" applyNumberFormat="1">
      <alignment horizontal="left" readingOrder="0" vertical="top"/>
    </xf>
    <xf borderId="0" fillId="8" fontId="25" numFmtId="0" xfId="0" applyAlignment="1" applyFont="1">
      <alignment horizontal="left" vertical="top"/>
    </xf>
    <xf borderId="0" fillId="0" fontId="25" numFmtId="0" xfId="0" applyAlignment="1" applyFont="1">
      <alignment horizontal="center" vertical="top"/>
    </xf>
    <xf borderId="0" fillId="0" fontId="25" numFmtId="0" xfId="0" applyAlignment="1" applyFont="1">
      <alignment horizontal="left" readingOrder="0" vertical="top"/>
    </xf>
    <xf borderId="0" fillId="0" fontId="25" numFmtId="164" xfId="0" applyAlignment="1" applyFont="1" applyNumberFormat="1">
      <alignment horizontal="left" readingOrder="0" vertical="top"/>
    </xf>
    <xf borderId="0" fillId="0" fontId="25" numFmtId="0" xfId="0" applyAlignment="1" applyFont="1">
      <alignment horizontal="left" vertical="top"/>
    </xf>
    <xf borderId="6" fillId="0" fontId="32" numFmtId="0" xfId="0" applyAlignment="1" applyBorder="1" applyFont="1">
      <alignment readingOrder="0" vertical="top"/>
    </xf>
    <xf borderId="7" fillId="0" fontId="32" numFmtId="0" xfId="0" applyAlignment="1" applyBorder="1" applyFont="1">
      <alignment readingOrder="0" vertical="top"/>
    </xf>
    <xf borderId="0" fillId="0" fontId="28" numFmtId="0" xfId="0" applyAlignment="1" applyFont="1">
      <alignment horizontal="left" readingOrder="0" vertical="top"/>
    </xf>
    <xf borderId="0" fillId="0" fontId="28" numFmtId="164" xfId="0" applyAlignment="1" applyFont="1" applyNumberFormat="1">
      <alignment horizontal="left" readingOrder="0" vertical="top"/>
    </xf>
    <xf borderId="7" fillId="0" fontId="39" numFmtId="0" xfId="0" applyAlignment="1" applyBorder="1" applyFont="1">
      <alignment shrinkToFit="0" vertical="bottom" wrapText="0"/>
    </xf>
    <xf borderId="8" fillId="0" fontId="39" numFmtId="0" xfId="0" applyAlignment="1" applyBorder="1" applyFont="1">
      <alignment shrinkToFit="0" vertical="bottom" wrapText="0"/>
    </xf>
    <xf borderId="7" fillId="0" fontId="16" numFmtId="0" xfId="0" applyAlignment="1" applyBorder="1" applyFont="1">
      <alignment shrinkToFit="0" vertical="bottom" wrapText="0"/>
    </xf>
    <xf borderId="8" fillId="0" fontId="16" numFmtId="0" xfId="0" applyAlignment="1" applyBorder="1" applyFont="1">
      <alignment shrinkToFit="0" vertical="bottom" wrapText="0"/>
    </xf>
    <xf borderId="0" fillId="2" fontId="5" numFmtId="0" xfId="0" applyAlignment="1" applyFont="1">
      <alignment horizontal="left" readingOrder="1" shrinkToFit="0" vertical="center" wrapText="1"/>
    </xf>
    <xf borderId="0" fillId="0" fontId="5" numFmtId="0" xfId="0" applyAlignment="1" applyFont="1">
      <alignment horizontal="left" readingOrder="1" shrinkToFit="0" vertical="center" wrapText="1"/>
    </xf>
    <xf borderId="0" fillId="9" fontId="5" numFmtId="0" xfId="0" applyAlignment="1" applyFill="1" applyFont="1">
      <alignment horizontal="left" readingOrder="0" shrinkToFit="0" vertical="center" wrapText="1"/>
    </xf>
    <xf borderId="0" fillId="2" fontId="5" numFmtId="0" xfId="0" applyAlignment="1" applyFont="1">
      <alignment horizontal="left" vertical="center"/>
    </xf>
    <xf borderId="0" fillId="9" fontId="5" numFmtId="0" xfId="0" applyAlignment="1" applyFont="1">
      <alignment horizontal="left" readingOrder="1" shrinkToFit="0" vertical="center" wrapText="1"/>
    </xf>
    <xf borderId="0" fillId="2" fontId="5" numFmtId="0" xfId="0" applyAlignment="1" applyFont="1">
      <alignment horizontal="left" readingOrder="0" shrinkToFit="0" vertical="center" wrapText="1"/>
    </xf>
    <xf borderId="0" fillId="0" fontId="7" numFmtId="0" xfId="0" applyAlignment="1" applyFont="1">
      <alignment horizontal="left" readingOrder="1" shrinkToFit="0" vertical="center" wrapText="1"/>
    </xf>
    <xf borderId="0" fillId="0" fontId="7" numFmtId="0" xfId="0" applyAlignment="1" applyFont="1">
      <alignment horizontal="left" readingOrder="0" shrinkToFit="0" vertical="center" wrapText="1"/>
    </xf>
    <xf borderId="0" fillId="0" fontId="7" numFmtId="164" xfId="0" applyAlignment="1" applyFont="1" applyNumberFormat="1">
      <alignment horizontal="left" vertical="center"/>
    </xf>
    <xf borderId="0" fillId="0" fontId="7" numFmtId="0" xfId="0" applyAlignment="1" applyFont="1">
      <alignment horizontal="left" readingOrder="1" shrinkToFit="0" vertical="center" wrapText="1"/>
    </xf>
    <xf borderId="0" fillId="0" fontId="7" numFmtId="0" xfId="0" applyAlignment="1" applyFont="1">
      <alignment horizontal="left" shrinkToFit="0" vertical="center" wrapText="1"/>
    </xf>
    <xf borderId="0" fillId="0" fontId="7" numFmtId="0" xfId="0" applyAlignment="1" applyFont="1">
      <alignment horizontal="left" readingOrder="0" shrinkToFit="0" vertical="center" wrapText="1"/>
    </xf>
    <xf borderId="0" fillId="0" fontId="7" numFmtId="165" xfId="0" applyAlignment="1" applyFont="1" applyNumberFormat="1">
      <alignment horizontal="left" vertical="center"/>
    </xf>
    <xf borderId="0" fillId="0" fontId="7" numFmtId="0" xfId="0" applyAlignment="1" applyFont="1">
      <alignment horizontal="left" readingOrder="0" shrinkToFit="0" vertical="center" wrapText="1"/>
    </xf>
    <xf borderId="0" fillId="0" fontId="7" numFmtId="0" xfId="0" applyAlignment="1" applyFont="1">
      <alignment horizontal="left" vertical="center"/>
    </xf>
    <xf borderId="0" fillId="0" fontId="7" numFmtId="0" xfId="0" applyAlignment="1" applyFont="1">
      <alignment horizontal="left" shrinkToFit="0" vertical="center" wrapText="1"/>
    </xf>
    <xf borderId="0" fillId="0" fontId="7" numFmtId="166" xfId="0" applyAlignment="1" applyFont="1" applyNumberFormat="1">
      <alignment horizontal="left" vertical="center"/>
    </xf>
    <xf borderId="0" fillId="3" fontId="49" numFmtId="0" xfId="0" applyFont="1"/>
    <xf borderId="0" fillId="0" fontId="7" numFmtId="167" xfId="0" applyAlignment="1" applyFont="1" applyNumberFormat="1">
      <alignment horizontal="left" vertical="center"/>
    </xf>
    <xf borderId="0" fillId="0" fontId="7" numFmtId="168" xfId="0" applyAlignment="1" applyFont="1" applyNumberFormat="1">
      <alignment horizontal="left" vertical="center"/>
    </xf>
    <xf borderId="0" fillId="0" fontId="7" numFmtId="0" xfId="0" applyAlignment="1" applyFont="1">
      <alignment horizontal="left" vertical="center"/>
    </xf>
    <xf borderId="0" fillId="3" fontId="49" numFmtId="0" xfId="0" applyAlignment="1" applyFont="1">
      <alignment readingOrder="0"/>
    </xf>
    <xf borderId="0" fillId="0" fontId="7" numFmtId="169" xfId="0" applyAlignment="1" applyFont="1" applyNumberFormat="1">
      <alignment horizontal="left" vertical="center"/>
    </xf>
    <xf borderId="0" fillId="0" fontId="7" numFmtId="170" xfId="0" applyAlignment="1" applyFont="1" applyNumberFormat="1">
      <alignment horizontal="left" vertical="center"/>
    </xf>
    <xf borderId="0" fillId="0" fontId="7" numFmtId="171" xfId="0" applyAlignment="1" applyFont="1" applyNumberFormat="1">
      <alignment horizontal="left" vertical="center"/>
    </xf>
    <xf borderId="0" fillId="0" fontId="7" numFmtId="172" xfId="0" applyAlignment="1" applyFont="1" applyNumberFormat="1">
      <alignment horizontal="left" vertical="center"/>
    </xf>
    <xf quotePrefix="1" borderId="0" fillId="0" fontId="7" numFmtId="0" xfId="0" applyAlignment="1" applyFont="1">
      <alignment horizontal="left" readingOrder="1" shrinkToFit="0" vertical="center" wrapText="1"/>
    </xf>
    <xf borderId="0" fillId="0" fontId="7" numFmtId="173" xfId="0" applyAlignment="1" applyFont="1" applyNumberFormat="1">
      <alignment horizontal="left" vertical="center"/>
    </xf>
    <xf borderId="0" fillId="3" fontId="50" numFmtId="0" xfId="0" applyAlignment="1" applyFont="1">
      <alignment horizontal="left"/>
    </xf>
    <xf borderId="0" fillId="0" fontId="7" numFmtId="174" xfId="0" applyAlignment="1" applyFont="1" applyNumberFormat="1">
      <alignment horizontal="left" vertical="center"/>
    </xf>
    <xf borderId="0" fillId="0" fontId="7" numFmtId="175" xfId="0" applyAlignment="1" applyFont="1" applyNumberFormat="1">
      <alignment horizontal="left" vertical="center"/>
    </xf>
    <xf borderId="0" fillId="0" fontId="7" numFmtId="176" xfId="0" applyAlignment="1" applyFont="1" applyNumberFormat="1">
      <alignment horizontal="left" vertical="center"/>
    </xf>
    <xf borderId="0" fillId="0" fontId="7" numFmtId="177" xfId="0" applyAlignment="1" applyFont="1" applyNumberFormat="1">
      <alignment horizontal="left" vertical="center"/>
    </xf>
    <xf borderId="0" fillId="3" fontId="17" numFmtId="0" xfId="0" applyFont="1"/>
    <xf borderId="0" fillId="3" fontId="50" numFmtId="0" xfId="0" applyAlignment="1" applyFont="1">
      <alignment horizontal="left" readingOrder="1"/>
    </xf>
    <xf borderId="0" fillId="0" fontId="49" numFmtId="0" xfId="0" applyFont="1"/>
    <xf borderId="0" fillId="0" fontId="7" numFmtId="179" xfId="0" applyAlignment="1" applyFont="1" applyNumberFormat="1">
      <alignment horizontal="left" vertical="center"/>
    </xf>
    <xf borderId="0" fillId="0" fontId="7" numFmtId="180" xfId="0" applyAlignment="1" applyFont="1" applyNumberFormat="1">
      <alignment horizontal="left" vertical="center"/>
    </xf>
    <xf borderId="0" fillId="10" fontId="51" numFmtId="0" xfId="0" applyAlignment="1" applyFill="1" applyFont="1">
      <alignment readingOrder="0" shrinkToFit="0" vertical="center" wrapText="1"/>
    </xf>
    <xf borderId="0" fillId="10" fontId="51" numFmtId="0" xfId="0" applyAlignment="1" applyFont="1">
      <alignment shrinkToFit="0" vertical="center" wrapText="1"/>
    </xf>
    <xf borderId="0" fillId="11" fontId="52" numFmtId="0" xfId="0" applyAlignment="1" applyFill="1" applyFont="1">
      <alignment shrinkToFit="0" vertical="center" wrapText="1"/>
    </xf>
    <xf borderId="9" fillId="12" fontId="16" numFmtId="0" xfId="0" applyAlignment="1" applyBorder="1" applyFill="1" applyFont="1">
      <alignment shrinkToFit="0" vertical="center" wrapText="1"/>
    </xf>
    <xf borderId="9" fillId="3" fontId="16" numFmtId="0" xfId="0" applyAlignment="1" applyBorder="1" applyFont="1">
      <alignment shrinkToFit="0" vertical="center" wrapText="1"/>
    </xf>
    <xf borderId="10" fillId="12" fontId="51" numFmtId="0" xfId="0" applyAlignment="1" applyBorder="1" applyFont="1">
      <alignment shrinkToFit="0" vertical="center" wrapText="1"/>
    </xf>
    <xf borderId="9" fillId="3" fontId="51" numFmtId="0" xfId="0" applyAlignment="1" applyBorder="1" applyFont="1">
      <alignment horizontal="right" shrinkToFit="0" vertical="center" wrapText="1"/>
    </xf>
    <xf borderId="9" fillId="3" fontId="16" numFmtId="0" xfId="0" applyAlignment="1" applyBorder="1" applyFont="1">
      <alignment horizontal="right" readingOrder="0" shrinkToFit="0" vertical="center" wrapText="1"/>
    </xf>
    <xf borderId="8" fillId="3" fontId="51" numFmtId="0" xfId="0" applyAlignment="1" applyBorder="1" applyFont="1">
      <alignment horizontal="right" shrinkToFit="0" vertical="center" wrapText="1"/>
    </xf>
    <xf borderId="4" fillId="12" fontId="16" numFmtId="0" xfId="0" applyAlignment="1" applyBorder="1" applyFont="1">
      <alignment shrinkToFit="0" vertical="center" wrapText="1"/>
    </xf>
    <xf borderId="0" fillId="12" fontId="16" numFmtId="0" xfId="0" applyAlignment="1" applyFont="1">
      <alignment readingOrder="0" shrinkToFit="0" vertical="center" wrapText="1"/>
    </xf>
    <xf borderId="0" fillId="3" fontId="16" numFmtId="0" xfId="0" applyAlignment="1" applyFont="1">
      <alignment horizontal="right" shrinkToFit="0" vertical="center" wrapText="1"/>
    </xf>
    <xf borderId="0" fillId="3" fontId="16" numFmtId="0" xfId="0" applyAlignment="1" applyFont="1">
      <alignment horizontal="right" readingOrder="0" shrinkToFit="0" vertical="center" wrapText="1"/>
    </xf>
    <xf borderId="5" fillId="3" fontId="16" numFmtId="0" xfId="0" applyAlignment="1" applyBorder="1" applyFont="1">
      <alignment horizontal="right" shrinkToFit="0" vertical="center" wrapText="1"/>
    </xf>
    <xf borderId="0" fillId="12" fontId="16" numFmtId="0" xfId="0" applyAlignment="1" applyFont="1">
      <alignment shrinkToFit="0" vertical="center" wrapText="1"/>
    </xf>
    <xf borderId="10" fillId="12" fontId="16" numFmtId="0" xfId="0" applyAlignment="1" applyBorder="1" applyFont="1">
      <alignment shrinkToFit="0" vertical="center" wrapText="1"/>
    </xf>
    <xf borderId="9" fillId="3" fontId="16" numFmtId="0" xfId="0" applyAlignment="1" applyBorder="1" applyFont="1">
      <alignment horizontal="right" shrinkToFit="0" vertical="center" wrapText="1"/>
    </xf>
    <xf borderId="8" fillId="3" fontId="16" numFmtId="0" xfId="0" applyAlignment="1" applyBorder="1" applyFont="1">
      <alignment horizontal="right" shrinkToFit="0" vertical="center" wrapText="1"/>
    </xf>
    <xf borderId="0" fillId="10" fontId="51" numFmtId="0" xfId="0" applyAlignment="1" applyFont="1">
      <alignment horizontal="right" shrinkToFit="0" vertical="center" wrapText="1"/>
    </xf>
    <xf borderId="6" fillId="12" fontId="6" numFmtId="0" xfId="0" applyAlignment="1" applyBorder="1" applyFont="1">
      <alignment horizontal="center" readingOrder="0" shrinkToFit="0" vertical="center" wrapText="1"/>
    </xf>
    <xf borderId="1" fillId="12" fontId="53" numFmtId="0" xfId="0" applyAlignment="1" applyBorder="1" applyFont="1">
      <alignment horizontal="center" readingOrder="0" shrinkToFit="0" vertical="center" wrapText="1"/>
    </xf>
    <xf borderId="11" fillId="12" fontId="6" numFmtId="0" xfId="0" applyAlignment="1" applyBorder="1" applyFont="1">
      <alignment horizontal="center" readingOrder="0" shrinkToFit="0" vertical="center" wrapText="1"/>
    </xf>
    <xf borderId="6" fillId="10" fontId="6" numFmtId="0" xfId="0" applyAlignment="1" applyBorder="1" applyFont="1">
      <alignment horizontal="center" readingOrder="0" shrinkToFit="0" vertical="center" wrapText="1"/>
    </xf>
    <xf borderId="6" fillId="11" fontId="54" numFmtId="0" xfId="0" applyAlignment="1" applyBorder="1" applyFont="1">
      <alignment horizontal="center" shrinkToFit="0" vertical="center" wrapText="1"/>
    </xf>
    <xf borderId="6" fillId="11" fontId="54" numFmtId="0" xfId="0" applyAlignment="1" applyBorder="1" applyFont="1">
      <alignment horizontal="center" readingOrder="0" shrinkToFit="0" vertical="center" wrapText="1"/>
    </xf>
    <xf borderId="7" fillId="0" fontId="11" numFmtId="0" xfId="0" applyBorder="1" applyFont="1"/>
    <xf borderId="6" fillId="0" fontId="7" numFmtId="0" xfId="0" applyAlignment="1" applyBorder="1" applyFont="1">
      <alignment horizontal="right" readingOrder="0" shrinkToFit="0" vertical="center" wrapText="1"/>
    </xf>
    <xf borderId="6" fillId="0" fontId="7" numFmtId="0" xfId="0" applyAlignment="1" applyBorder="1" applyFont="1">
      <alignment horizontal="right" shrinkToFit="0" vertical="center" wrapText="1"/>
    </xf>
    <xf borderId="6" fillId="0" fontId="7" numFmtId="0" xfId="0" applyAlignment="1" applyBorder="1" applyFont="1">
      <alignment horizontal="right" readingOrder="0" shrinkToFit="0" vertical="center" wrapText="1"/>
    </xf>
    <xf borderId="6" fillId="0" fontId="7" numFmtId="0" xfId="0" applyAlignment="1" applyBorder="1" applyFont="1">
      <alignment readingOrder="0" shrinkToFit="0" vertical="center" wrapText="1"/>
    </xf>
    <xf borderId="6" fillId="12" fontId="6" numFmtId="0" xfId="0" applyAlignment="1" applyBorder="1" applyFont="1">
      <alignment horizontal="center" shrinkToFit="0" vertical="center" wrapText="1"/>
    </xf>
    <xf borderId="11" fillId="0" fontId="55"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2" fillId="0" fontId="11" numFmtId="0" xfId="0" applyBorder="1" applyFont="1"/>
    <xf borderId="6" fillId="10" fontId="6" numFmtId="0" xfId="0" applyAlignment="1" applyBorder="1" applyFont="1">
      <alignment horizontal="center" shrinkToFit="0" vertical="center" wrapText="1"/>
    </xf>
    <xf borderId="6" fillId="10" fontId="6" numFmtId="0" xfId="0" applyAlignment="1" applyBorder="1" applyFont="1">
      <alignment shrinkToFit="0" vertical="center" wrapText="1"/>
    </xf>
    <xf borderId="6" fillId="10" fontId="7" numFmtId="0" xfId="0" applyAlignment="1" applyBorder="1" applyFont="1">
      <alignment shrinkToFit="0" vertical="center" wrapText="1"/>
    </xf>
    <xf borderId="0" fillId="10" fontId="7" numFmtId="0" xfId="0" applyAlignment="1" applyFont="1">
      <alignment shrinkToFit="0" vertical="center" wrapText="1"/>
    </xf>
    <xf borderId="0" fillId="0" fontId="6"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5F5F5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gawah.org/acts-of-omission/" TargetMode="External"/><Relationship Id="rId2" Type="http://schemas.openxmlformats.org/officeDocument/2006/relationships/hyperlink" Target="https://www.gawah.org/" TargetMode="External"/><Relationship Id="rId3" Type="http://schemas.openxmlformats.org/officeDocument/2006/relationships/hyperlink" Target="mailto:reem.khurshid@gmail.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5.75"/>
  </cols>
  <sheetData>
    <row r="1">
      <c r="A1" s="1"/>
      <c r="B1" s="1"/>
      <c r="C1" s="2"/>
      <c r="D1" s="2"/>
      <c r="E1" s="3"/>
      <c r="F1" s="4"/>
      <c r="G1" s="4"/>
      <c r="H1" s="4"/>
      <c r="I1" s="4"/>
      <c r="J1" s="4"/>
      <c r="K1" s="4"/>
      <c r="L1" s="4"/>
      <c r="M1" s="4"/>
      <c r="N1" s="4"/>
      <c r="O1" s="4"/>
      <c r="P1" s="4"/>
      <c r="Q1" s="4"/>
      <c r="R1" s="4"/>
      <c r="S1" s="4"/>
      <c r="T1" s="4"/>
      <c r="U1" s="4"/>
      <c r="V1" s="4"/>
      <c r="W1" s="4"/>
      <c r="X1" s="4"/>
      <c r="Y1" s="4"/>
      <c r="Z1" s="4"/>
      <c r="AA1" s="4"/>
    </row>
    <row r="2">
      <c r="A2" s="5"/>
      <c r="B2" s="5" t="s">
        <v>0</v>
      </c>
      <c r="C2" s="2"/>
      <c r="D2" s="2"/>
      <c r="E2" s="3"/>
      <c r="F2" s="4"/>
      <c r="G2" s="4"/>
      <c r="H2" s="4"/>
      <c r="I2" s="4"/>
      <c r="J2" s="4"/>
      <c r="K2" s="4"/>
      <c r="L2" s="4"/>
      <c r="M2" s="4"/>
      <c r="N2" s="4"/>
      <c r="O2" s="4"/>
      <c r="P2" s="4"/>
      <c r="Q2" s="4"/>
      <c r="R2" s="4"/>
      <c r="S2" s="4"/>
      <c r="T2" s="4"/>
      <c r="U2" s="4"/>
      <c r="V2" s="4"/>
      <c r="W2" s="4"/>
      <c r="X2" s="4"/>
      <c r="Y2" s="4"/>
      <c r="Z2" s="4"/>
      <c r="AA2" s="4"/>
    </row>
    <row r="3">
      <c r="A3" s="1"/>
      <c r="B3" s="1"/>
      <c r="C3" s="2"/>
      <c r="D3" s="2"/>
      <c r="E3" s="3"/>
      <c r="F3" s="4"/>
      <c r="G3" s="4"/>
      <c r="H3" s="4"/>
      <c r="I3" s="4"/>
      <c r="J3" s="4"/>
      <c r="K3" s="4"/>
      <c r="L3" s="4"/>
      <c r="M3" s="4"/>
      <c r="N3" s="4"/>
      <c r="O3" s="4"/>
      <c r="P3" s="4"/>
      <c r="Q3" s="4"/>
      <c r="R3" s="4"/>
      <c r="S3" s="4"/>
      <c r="T3" s="4"/>
      <c r="U3" s="4"/>
      <c r="V3" s="4"/>
      <c r="W3" s="4"/>
      <c r="X3" s="4"/>
      <c r="Y3" s="4"/>
      <c r="Z3" s="4"/>
      <c r="AA3" s="4"/>
    </row>
    <row r="4">
      <c r="A4" s="6"/>
      <c r="B4" s="7" t="s">
        <v>1</v>
      </c>
      <c r="C4" s="2"/>
      <c r="D4" s="2"/>
      <c r="E4" s="3"/>
      <c r="F4" s="4"/>
      <c r="G4" s="4"/>
      <c r="H4" s="4"/>
      <c r="I4" s="4"/>
      <c r="J4" s="4"/>
      <c r="K4" s="4"/>
      <c r="L4" s="4"/>
      <c r="M4" s="4"/>
      <c r="N4" s="4"/>
      <c r="O4" s="4"/>
      <c r="P4" s="4"/>
      <c r="Q4" s="4"/>
      <c r="R4" s="4"/>
      <c r="S4" s="4"/>
      <c r="T4" s="4"/>
      <c r="U4" s="4"/>
      <c r="V4" s="4"/>
      <c r="W4" s="4"/>
      <c r="X4" s="4"/>
      <c r="Y4" s="4"/>
      <c r="Z4" s="4"/>
      <c r="AA4" s="4"/>
    </row>
    <row r="5">
      <c r="A5" s="1"/>
      <c r="B5" s="1"/>
      <c r="C5" s="2"/>
      <c r="D5" s="2"/>
      <c r="E5" s="3"/>
      <c r="F5" s="4"/>
      <c r="G5" s="4"/>
      <c r="H5" s="4"/>
      <c r="I5" s="4"/>
      <c r="J5" s="4"/>
      <c r="K5" s="4"/>
      <c r="L5" s="4"/>
      <c r="M5" s="4"/>
      <c r="N5" s="4"/>
      <c r="O5" s="4"/>
      <c r="P5" s="4"/>
      <c r="Q5" s="4"/>
      <c r="R5" s="4"/>
      <c r="S5" s="4"/>
      <c r="T5" s="4"/>
      <c r="U5" s="4"/>
      <c r="V5" s="4"/>
      <c r="W5" s="4"/>
      <c r="X5" s="4"/>
      <c r="Y5" s="4"/>
      <c r="Z5" s="4"/>
      <c r="AA5" s="4"/>
    </row>
    <row r="6">
      <c r="A6" s="5"/>
      <c r="B6" s="8" t="s">
        <v>2</v>
      </c>
      <c r="C6" s="2"/>
      <c r="D6" s="2"/>
      <c r="E6" s="3"/>
      <c r="F6" s="4"/>
      <c r="G6" s="4"/>
      <c r="H6" s="4"/>
      <c r="I6" s="4"/>
      <c r="J6" s="4"/>
      <c r="K6" s="4"/>
      <c r="L6" s="4"/>
      <c r="M6" s="4"/>
      <c r="N6" s="4"/>
      <c r="O6" s="4"/>
      <c r="P6" s="4"/>
      <c r="Q6" s="4"/>
      <c r="R6" s="4"/>
      <c r="S6" s="4"/>
      <c r="T6" s="4"/>
      <c r="U6" s="4"/>
      <c r="V6" s="4"/>
      <c r="W6" s="4"/>
      <c r="X6" s="4"/>
      <c r="Y6" s="4"/>
      <c r="Z6" s="4"/>
      <c r="AA6" s="4"/>
    </row>
    <row r="7">
      <c r="A7" s="1"/>
      <c r="B7" s="1"/>
      <c r="C7" s="2"/>
      <c r="D7" s="2"/>
      <c r="E7" s="3"/>
      <c r="F7" s="4"/>
      <c r="G7" s="4"/>
      <c r="H7" s="4"/>
      <c r="I7" s="4"/>
      <c r="J7" s="4"/>
      <c r="K7" s="4"/>
      <c r="L7" s="4"/>
      <c r="M7" s="4"/>
      <c r="N7" s="4"/>
      <c r="O7" s="4"/>
      <c r="P7" s="4"/>
      <c r="Q7" s="4"/>
      <c r="R7" s="4"/>
      <c r="S7" s="4"/>
      <c r="T7" s="4"/>
      <c r="U7" s="4"/>
      <c r="V7" s="4"/>
      <c r="W7" s="4"/>
      <c r="X7" s="4"/>
      <c r="Y7" s="4"/>
      <c r="Z7" s="4"/>
      <c r="AA7" s="4"/>
    </row>
    <row r="8">
      <c r="A8" s="1"/>
      <c r="B8" s="1" t="s">
        <v>3</v>
      </c>
      <c r="C8" s="2"/>
      <c r="D8" s="2"/>
      <c r="E8" s="3"/>
      <c r="F8" s="4"/>
      <c r="G8" s="4"/>
      <c r="H8" s="4"/>
      <c r="I8" s="4"/>
      <c r="J8" s="4"/>
      <c r="K8" s="4"/>
      <c r="L8" s="4"/>
      <c r="M8" s="4"/>
      <c r="N8" s="4"/>
      <c r="O8" s="4"/>
      <c r="P8" s="4"/>
      <c r="Q8" s="4"/>
      <c r="R8" s="4"/>
      <c r="S8" s="4"/>
      <c r="T8" s="4"/>
      <c r="U8" s="4"/>
      <c r="V8" s="4"/>
      <c r="W8" s="4"/>
      <c r="X8" s="4"/>
      <c r="Y8" s="4"/>
      <c r="Z8" s="4"/>
      <c r="AA8" s="4"/>
    </row>
    <row r="9">
      <c r="A9" s="1"/>
      <c r="B9" s="1"/>
      <c r="C9" s="2"/>
      <c r="D9" s="2"/>
      <c r="E9" s="3"/>
      <c r="F9" s="4"/>
      <c r="G9" s="4"/>
      <c r="H9" s="4"/>
      <c r="I9" s="4"/>
      <c r="J9" s="4"/>
      <c r="K9" s="4"/>
      <c r="L9" s="4"/>
      <c r="M9" s="4"/>
      <c r="N9" s="4"/>
      <c r="O9" s="4"/>
      <c r="P9" s="4"/>
      <c r="Q9" s="4"/>
      <c r="R9" s="4"/>
      <c r="S9" s="4"/>
      <c r="T9" s="4"/>
      <c r="U9" s="4"/>
      <c r="V9" s="4"/>
      <c r="W9" s="4"/>
      <c r="X9" s="4"/>
      <c r="Y9" s="4"/>
      <c r="Z9" s="4"/>
      <c r="AA9" s="4"/>
    </row>
    <row r="10">
      <c r="A10" s="1"/>
      <c r="B10" s="1" t="s">
        <v>4</v>
      </c>
      <c r="C10" s="2"/>
      <c r="D10" s="2"/>
      <c r="E10" s="3"/>
      <c r="F10" s="4"/>
      <c r="G10" s="4"/>
      <c r="H10" s="4"/>
      <c r="I10" s="4"/>
      <c r="J10" s="4"/>
      <c r="K10" s="4"/>
      <c r="L10" s="4"/>
      <c r="M10" s="4"/>
      <c r="N10" s="4"/>
      <c r="O10" s="4"/>
      <c r="P10" s="4"/>
      <c r="Q10" s="4"/>
      <c r="R10" s="4"/>
      <c r="S10" s="4"/>
      <c r="T10" s="4"/>
      <c r="U10" s="4"/>
      <c r="V10" s="4"/>
      <c r="W10" s="4"/>
      <c r="X10" s="4"/>
      <c r="Y10" s="4"/>
      <c r="Z10" s="4"/>
      <c r="AA10" s="4"/>
    </row>
    <row r="11">
      <c r="A11" s="1"/>
      <c r="B11" s="1"/>
      <c r="C11" s="9"/>
      <c r="D11" s="9"/>
      <c r="E11" s="10"/>
      <c r="F11" s="4"/>
      <c r="G11" s="4"/>
      <c r="H11" s="4"/>
      <c r="I11" s="4"/>
      <c r="J11" s="4"/>
      <c r="K11" s="4"/>
      <c r="L11" s="4"/>
      <c r="M11" s="4"/>
      <c r="N11" s="4"/>
      <c r="O11" s="4"/>
      <c r="P11" s="4"/>
      <c r="Q11" s="4"/>
      <c r="R11" s="4"/>
      <c r="S11" s="4"/>
      <c r="T11" s="4"/>
      <c r="U11" s="4"/>
      <c r="V11" s="4"/>
      <c r="W11" s="4"/>
      <c r="X11" s="4"/>
      <c r="Y11" s="4"/>
      <c r="Z11" s="4"/>
      <c r="AA11" s="4"/>
    </row>
    <row r="12">
      <c r="A12" s="5"/>
      <c r="B12" s="8" t="s">
        <v>5</v>
      </c>
      <c r="C12" s="9"/>
      <c r="D12" s="9"/>
      <c r="E12" s="10"/>
      <c r="F12" s="4"/>
      <c r="G12" s="4"/>
      <c r="H12" s="4"/>
      <c r="I12" s="4"/>
      <c r="J12" s="4"/>
      <c r="K12" s="4"/>
      <c r="L12" s="4"/>
      <c r="M12" s="4"/>
      <c r="N12" s="4"/>
      <c r="O12" s="4"/>
      <c r="P12" s="4"/>
      <c r="Q12" s="4"/>
      <c r="R12" s="4"/>
      <c r="S12" s="4"/>
      <c r="T12" s="4"/>
      <c r="U12" s="4"/>
      <c r="V12" s="4"/>
      <c r="W12" s="4"/>
      <c r="X12" s="4"/>
      <c r="Y12" s="4"/>
      <c r="Z12" s="4"/>
      <c r="AA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row>
    <row r="14">
      <c r="A14" s="1"/>
      <c r="B14" s="1" t="s">
        <v>6</v>
      </c>
      <c r="C14" s="4"/>
      <c r="D14" s="4"/>
      <c r="E14" s="4"/>
      <c r="F14" s="4"/>
      <c r="G14" s="4"/>
      <c r="H14" s="4"/>
      <c r="I14" s="4"/>
      <c r="J14" s="4"/>
      <c r="K14" s="4"/>
      <c r="L14" s="4"/>
      <c r="M14" s="4"/>
      <c r="N14" s="4"/>
      <c r="O14" s="4"/>
      <c r="P14" s="4"/>
      <c r="Q14" s="4"/>
      <c r="R14" s="4"/>
      <c r="S14" s="4"/>
      <c r="T14" s="4"/>
      <c r="U14" s="4"/>
      <c r="V14" s="4"/>
      <c r="W14" s="4"/>
      <c r="X14" s="4"/>
      <c r="Y14" s="4"/>
      <c r="Z14" s="4"/>
      <c r="AA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row>
    <row r="16">
      <c r="A16" s="11"/>
      <c r="B16" s="11"/>
      <c r="C16" s="11"/>
      <c r="D16" s="4"/>
      <c r="E16" s="4"/>
      <c r="F16" s="4"/>
      <c r="G16" s="4"/>
      <c r="H16" s="4"/>
      <c r="I16" s="4"/>
      <c r="J16" s="4"/>
      <c r="K16" s="4"/>
      <c r="L16" s="4"/>
      <c r="M16" s="4"/>
      <c r="N16" s="4"/>
      <c r="O16" s="4"/>
      <c r="P16" s="4"/>
      <c r="Q16" s="4"/>
      <c r="R16" s="4"/>
      <c r="S16" s="4"/>
      <c r="T16" s="4"/>
      <c r="U16" s="4"/>
      <c r="V16" s="4"/>
      <c r="W16" s="4"/>
      <c r="X16" s="4"/>
      <c r="Y16" s="4"/>
      <c r="Z16" s="4"/>
      <c r="AA16" s="4"/>
    </row>
    <row r="17">
      <c r="A17" s="12"/>
      <c r="B17" s="12"/>
      <c r="C17" s="4"/>
      <c r="D17" s="4"/>
      <c r="E17" s="4"/>
      <c r="F17" s="4"/>
      <c r="G17" s="4"/>
      <c r="H17" s="4"/>
      <c r="I17" s="4"/>
      <c r="J17" s="4"/>
      <c r="K17" s="4"/>
      <c r="L17" s="4"/>
      <c r="M17" s="4"/>
      <c r="N17" s="4"/>
      <c r="O17" s="4"/>
      <c r="P17" s="4"/>
      <c r="Q17" s="4"/>
      <c r="R17" s="4"/>
      <c r="S17" s="4"/>
      <c r="T17" s="4"/>
      <c r="U17" s="4"/>
      <c r="V17" s="4"/>
      <c r="W17" s="4"/>
      <c r="X17" s="4"/>
      <c r="Y17" s="4"/>
      <c r="Z17" s="4"/>
      <c r="AA17" s="4"/>
    </row>
    <row r="18">
      <c r="A18" s="12"/>
      <c r="B18" s="12"/>
      <c r="C18" s="4"/>
      <c r="D18" s="4"/>
      <c r="E18" s="4"/>
      <c r="F18" s="4"/>
      <c r="G18" s="4"/>
      <c r="H18" s="4"/>
      <c r="I18" s="4"/>
      <c r="J18" s="4"/>
      <c r="K18" s="4"/>
      <c r="L18" s="4"/>
      <c r="M18" s="4"/>
      <c r="N18" s="4"/>
      <c r="O18" s="4"/>
      <c r="P18" s="4"/>
      <c r="Q18" s="4"/>
      <c r="R18" s="4"/>
      <c r="S18" s="4"/>
      <c r="T18" s="4"/>
      <c r="U18" s="4"/>
      <c r="V18" s="4"/>
      <c r="W18" s="4"/>
      <c r="X18" s="4"/>
      <c r="Y18" s="4"/>
      <c r="Z18" s="4"/>
      <c r="AA18" s="4"/>
    </row>
    <row r="19">
      <c r="A19" s="12"/>
      <c r="B19" s="12"/>
      <c r="C19" s="4"/>
      <c r="D19" s="4"/>
      <c r="E19" s="4"/>
      <c r="F19" s="4"/>
      <c r="G19" s="4"/>
      <c r="H19" s="4"/>
      <c r="I19" s="4"/>
      <c r="J19" s="4"/>
      <c r="K19" s="4"/>
      <c r="L19" s="4"/>
      <c r="M19" s="4"/>
      <c r="N19" s="4"/>
      <c r="O19" s="4"/>
      <c r="P19" s="4"/>
      <c r="Q19" s="4"/>
      <c r="R19" s="4"/>
      <c r="S19" s="4"/>
      <c r="T19" s="4"/>
      <c r="U19" s="4"/>
      <c r="V19" s="4"/>
      <c r="W19" s="4"/>
      <c r="X19" s="4"/>
      <c r="Y19" s="4"/>
      <c r="Z19" s="4"/>
      <c r="AA19" s="4"/>
    </row>
    <row r="20">
      <c r="A20" s="12"/>
      <c r="B20" s="12"/>
      <c r="C20" s="4"/>
      <c r="D20" s="4"/>
      <c r="E20" s="4"/>
      <c r="F20" s="4"/>
      <c r="G20" s="4"/>
      <c r="H20" s="4"/>
      <c r="I20" s="4"/>
      <c r="J20" s="4"/>
      <c r="K20" s="4"/>
      <c r="L20" s="4"/>
      <c r="M20" s="4"/>
      <c r="N20" s="4"/>
      <c r="O20" s="4"/>
      <c r="P20" s="4"/>
      <c r="Q20" s="4"/>
      <c r="R20" s="4"/>
      <c r="S20" s="4"/>
      <c r="T20" s="4"/>
      <c r="U20" s="4"/>
      <c r="V20" s="4"/>
      <c r="W20" s="4"/>
      <c r="X20" s="4"/>
      <c r="Y20" s="4"/>
      <c r="Z20" s="4"/>
      <c r="AA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row>
  </sheetData>
  <hyperlinks>
    <hyperlink r:id="rId1" ref="B4"/>
    <hyperlink r:id="rId2" ref="B6"/>
    <hyperlink r:id="rId3" ref="B12"/>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2" max="2" width="15.75"/>
    <col customWidth="1" min="3" max="3" width="18.63"/>
  </cols>
  <sheetData>
    <row r="1" ht="22.5" customHeight="1">
      <c r="A1" s="13"/>
      <c r="B1" s="13" t="s">
        <v>7</v>
      </c>
      <c r="C1" s="13" t="s">
        <v>8</v>
      </c>
      <c r="D1" s="14"/>
      <c r="E1" s="15"/>
      <c r="F1" s="15"/>
      <c r="G1" s="15"/>
      <c r="H1" s="15"/>
      <c r="I1" s="15"/>
      <c r="J1" s="15"/>
      <c r="K1" s="15"/>
      <c r="L1" s="15"/>
      <c r="M1" s="15"/>
      <c r="N1" s="15"/>
      <c r="O1" s="15"/>
      <c r="P1" s="15"/>
      <c r="Q1" s="15"/>
      <c r="R1" s="15"/>
      <c r="S1" s="15"/>
      <c r="T1" s="15"/>
      <c r="U1" s="15"/>
      <c r="V1" s="15"/>
      <c r="W1" s="15"/>
      <c r="X1" s="15"/>
      <c r="Y1" s="15"/>
      <c r="Z1" s="15"/>
      <c r="AA1" s="15"/>
    </row>
    <row r="2" ht="22.5" customHeight="1">
      <c r="A2" s="16"/>
      <c r="B2" s="17" t="s">
        <v>9</v>
      </c>
      <c r="C2" s="18" t="s">
        <v>10</v>
      </c>
      <c r="D2" s="19"/>
      <c r="E2" s="19"/>
      <c r="F2" s="19"/>
      <c r="G2" s="19"/>
      <c r="H2" s="19"/>
      <c r="I2" s="19"/>
      <c r="J2" s="19"/>
      <c r="K2" s="19"/>
      <c r="L2" s="19"/>
      <c r="M2" s="19"/>
      <c r="N2" s="19"/>
      <c r="O2" s="19"/>
      <c r="P2" s="19"/>
      <c r="Q2" s="19"/>
      <c r="R2" s="19"/>
      <c r="S2" s="19"/>
      <c r="T2" s="19"/>
      <c r="U2" s="19"/>
      <c r="V2" s="19"/>
      <c r="W2" s="19"/>
      <c r="X2" s="19"/>
      <c r="Y2" s="19"/>
      <c r="Z2" s="19"/>
      <c r="AA2" s="19"/>
    </row>
    <row r="3" ht="22.5" customHeight="1">
      <c r="A3" s="16"/>
      <c r="B3" s="17" t="s">
        <v>11</v>
      </c>
      <c r="C3" s="18" t="s">
        <v>12</v>
      </c>
      <c r="D3" s="19"/>
      <c r="E3" s="19"/>
      <c r="F3" s="19"/>
      <c r="G3" s="19"/>
      <c r="H3" s="19"/>
      <c r="I3" s="19"/>
      <c r="J3" s="19"/>
      <c r="K3" s="19"/>
      <c r="L3" s="19"/>
      <c r="M3" s="19"/>
      <c r="N3" s="19"/>
      <c r="O3" s="19"/>
      <c r="P3" s="19"/>
      <c r="Q3" s="19"/>
      <c r="R3" s="19"/>
      <c r="S3" s="19"/>
      <c r="T3" s="19"/>
      <c r="U3" s="19"/>
      <c r="V3" s="19"/>
      <c r="W3" s="19"/>
      <c r="X3" s="19"/>
      <c r="Y3" s="19"/>
      <c r="Z3" s="19"/>
      <c r="AA3" s="19"/>
    </row>
    <row r="4" ht="22.5" customHeight="1">
      <c r="A4" s="16"/>
      <c r="B4" s="17">
        <v>1.0</v>
      </c>
      <c r="C4" s="18" t="s">
        <v>13</v>
      </c>
      <c r="D4" s="19"/>
      <c r="E4" s="19"/>
      <c r="F4" s="19"/>
      <c r="G4" s="19"/>
      <c r="H4" s="19"/>
      <c r="I4" s="19"/>
      <c r="J4" s="19"/>
      <c r="K4" s="19"/>
      <c r="L4" s="19"/>
      <c r="M4" s="19"/>
      <c r="N4" s="19"/>
      <c r="O4" s="19"/>
      <c r="P4" s="19"/>
      <c r="Q4" s="19"/>
      <c r="R4" s="19"/>
      <c r="S4" s="19"/>
      <c r="T4" s="19"/>
      <c r="U4" s="19"/>
      <c r="V4" s="19"/>
      <c r="W4" s="19"/>
      <c r="X4" s="19"/>
      <c r="Y4" s="19"/>
      <c r="Z4" s="19"/>
      <c r="AA4" s="19"/>
    </row>
    <row r="5" ht="22.5" customHeight="1">
      <c r="A5" s="16"/>
      <c r="B5" s="17">
        <v>2.0</v>
      </c>
      <c r="C5" s="18" t="s">
        <v>14</v>
      </c>
      <c r="D5" s="19"/>
      <c r="E5" s="19"/>
      <c r="F5" s="19"/>
      <c r="G5" s="19"/>
      <c r="H5" s="19"/>
      <c r="I5" s="19"/>
      <c r="J5" s="19"/>
      <c r="K5" s="19"/>
      <c r="L5" s="19"/>
      <c r="M5" s="19"/>
      <c r="N5" s="19"/>
      <c r="O5" s="19"/>
      <c r="P5" s="19"/>
      <c r="Q5" s="19"/>
      <c r="R5" s="19"/>
      <c r="S5" s="19"/>
      <c r="T5" s="19"/>
      <c r="U5" s="19"/>
      <c r="V5" s="19"/>
      <c r="W5" s="19"/>
      <c r="X5" s="19"/>
      <c r="Y5" s="19"/>
      <c r="Z5" s="19"/>
      <c r="AA5" s="19"/>
    </row>
    <row r="6" ht="22.5" customHeight="1">
      <c r="A6" s="16"/>
      <c r="B6" s="17">
        <v>3.0</v>
      </c>
      <c r="C6" s="18" t="s">
        <v>15</v>
      </c>
      <c r="D6" s="19"/>
      <c r="E6" s="19"/>
      <c r="F6" s="19"/>
      <c r="G6" s="19"/>
      <c r="H6" s="19"/>
      <c r="I6" s="19"/>
      <c r="J6" s="19"/>
      <c r="K6" s="19"/>
      <c r="L6" s="19"/>
      <c r="M6" s="19"/>
      <c r="N6" s="19"/>
      <c r="O6" s="19"/>
      <c r="P6" s="19"/>
      <c r="Q6" s="19"/>
      <c r="R6" s="19"/>
      <c r="S6" s="19"/>
      <c r="T6" s="19"/>
      <c r="U6" s="19"/>
      <c r="V6" s="19"/>
      <c r="W6" s="19"/>
      <c r="X6" s="19"/>
      <c r="Y6" s="19"/>
      <c r="Z6" s="19"/>
      <c r="AA6" s="19"/>
    </row>
    <row r="7" ht="22.5" customHeight="1">
      <c r="A7" s="16"/>
      <c r="B7" s="17">
        <v>4.0</v>
      </c>
      <c r="C7" s="18" t="s">
        <v>16</v>
      </c>
      <c r="D7" s="19"/>
      <c r="E7" s="19"/>
      <c r="F7" s="19"/>
      <c r="G7" s="19"/>
      <c r="H7" s="19"/>
      <c r="I7" s="19"/>
      <c r="J7" s="19"/>
      <c r="K7" s="19"/>
      <c r="L7" s="19"/>
      <c r="M7" s="19"/>
      <c r="N7" s="19"/>
      <c r="O7" s="19"/>
      <c r="P7" s="19"/>
      <c r="Q7" s="19"/>
      <c r="R7" s="19"/>
      <c r="S7" s="19"/>
      <c r="T7" s="19"/>
      <c r="U7" s="19"/>
      <c r="V7" s="19"/>
      <c r="W7" s="19"/>
      <c r="X7" s="19"/>
      <c r="Y7" s="19"/>
      <c r="Z7" s="19"/>
      <c r="AA7" s="19"/>
    </row>
    <row r="8">
      <c r="A8" s="19"/>
      <c r="B8" s="19"/>
      <c r="C8" s="19"/>
      <c r="D8" s="19"/>
      <c r="E8" s="19"/>
      <c r="F8" s="19"/>
      <c r="G8" s="19"/>
      <c r="H8" s="19"/>
      <c r="I8" s="19"/>
      <c r="J8" s="19"/>
      <c r="K8" s="19"/>
      <c r="L8" s="19"/>
      <c r="M8" s="19"/>
      <c r="N8" s="19"/>
      <c r="O8" s="19"/>
      <c r="P8" s="19"/>
      <c r="Q8" s="19"/>
      <c r="R8" s="19"/>
      <c r="S8" s="19"/>
      <c r="T8" s="19"/>
      <c r="U8" s="19"/>
      <c r="V8" s="19"/>
      <c r="W8" s="19"/>
      <c r="X8" s="19"/>
      <c r="Y8" s="19"/>
      <c r="Z8" s="19"/>
      <c r="AA8" s="19"/>
    </row>
    <row r="9">
      <c r="A9" s="19"/>
      <c r="B9" s="19"/>
      <c r="C9" s="19"/>
      <c r="D9" s="19"/>
      <c r="E9" s="19"/>
      <c r="F9" s="19"/>
      <c r="G9" s="19"/>
      <c r="H9" s="19"/>
      <c r="I9" s="19"/>
      <c r="J9" s="19"/>
      <c r="K9" s="19"/>
      <c r="L9" s="19"/>
      <c r="M9" s="19"/>
      <c r="N9" s="19"/>
      <c r="O9" s="19"/>
      <c r="P9" s="19"/>
      <c r="Q9" s="19"/>
      <c r="R9" s="19"/>
      <c r="S9" s="19"/>
      <c r="T9" s="19"/>
      <c r="U9" s="19"/>
      <c r="V9" s="19"/>
      <c r="W9" s="19"/>
      <c r="X9" s="19"/>
      <c r="Y9" s="19"/>
      <c r="Z9" s="19"/>
      <c r="AA9" s="19"/>
    </row>
    <row r="10">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row>
    <row r="11">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row>
    <row r="12">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row>
    <row r="13">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row>
    <row r="14">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row>
    <row r="1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row>
    <row r="16">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row>
    <row r="17">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row>
    <row r="18">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row>
    <row r="19">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row>
    <row r="20">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row>
    <row r="2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row>
    <row r="24">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row>
  </sheetData>
  <hyperlinks>
    <hyperlink display="Cover sheet" location="Cover sheet!A1" ref="B2"/>
    <hyperlink display="Notes" location="Notes!A1" ref="B3"/>
    <hyperlink display="1" location="1!A1" ref="B4"/>
    <hyperlink display="2" location="2!A1" ref="B5"/>
    <hyperlink display="3" location="3!A1" ref="B6"/>
    <hyperlink display="4" location="4!A1" ref="B7"/>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3.5"/>
    <col customWidth="1" min="3" max="3" width="31.5"/>
    <col customWidth="1" min="4" max="4" width="99.88"/>
  </cols>
  <sheetData>
    <row r="1" ht="24.75" customHeight="1">
      <c r="A1" s="20"/>
      <c r="B1" s="21" t="s">
        <v>17</v>
      </c>
      <c r="C1" s="22"/>
      <c r="D1" s="23"/>
      <c r="E1" s="15"/>
      <c r="F1" s="15"/>
      <c r="G1" s="15"/>
      <c r="H1" s="15"/>
      <c r="I1" s="15"/>
      <c r="J1" s="15"/>
      <c r="K1" s="15"/>
      <c r="L1" s="15"/>
      <c r="M1" s="15"/>
      <c r="N1" s="15"/>
      <c r="O1" s="15"/>
      <c r="P1" s="15"/>
      <c r="Q1" s="15"/>
      <c r="R1" s="15"/>
      <c r="S1" s="15"/>
      <c r="T1" s="15"/>
      <c r="U1" s="15"/>
      <c r="V1" s="15"/>
      <c r="W1" s="15"/>
      <c r="X1" s="15"/>
    </row>
    <row r="2">
      <c r="A2" s="20"/>
      <c r="B2" s="24"/>
      <c r="C2" s="24"/>
      <c r="D2" s="24"/>
      <c r="E2" s="15"/>
      <c r="F2" s="15"/>
      <c r="G2" s="15"/>
      <c r="H2" s="15"/>
      <c r="I2" s="15"/>
      <c r="J2" s="15"/>
      <c r="K2" s="15"/>
      <c r="L2" s="15"/>
      <c r="M2" s="15"/>
      <c r="N2" s="15"/>
      <c r="O2" s="15"/>
      <c r="P2" s="15"/>
      <c r="Q2" s="15"/>
      <c r="R2" s="15"/>
      <c r="S2" s="15"/>
      <c r="T2" s="15"/>
      <c r="U2" s="15"/>
      <c r="V2" s="15"/>
      <c r="W2" s="15"/>
      <c r="X2" s="15"/>
    </row>
    <row r="3" ht="21.75" customHeight="1">
      <c r="A3" s="20"/>
      <c r="B3" s="25" t="s">
        <v>18</v>
      </c>
      <c r="C3" s="22"/>
      <c r="D3" s="23"/>
      <c r="E3" s="15"/>
      <c r="F3" s="15"/>
      <c r="G3" s="15"/>
      <c r="H3" s="15"/>
      <c r="I3" s="15"/>
      <c r="J3" s="15"/>
      <c r="K3" s="15"/>
      <c r="L3" s="15"/>
      <c r="M3" s="15"/>
      <c r="N3" s="15"/>
      <c r="O3" s="15"/>
      <c r="P3" s="15"/>
      <c r="Q3" s="15"/>
      <c r="R3" s="15"/>
      <c r="S3" s="15"/>
      <c r="T3" s="15"/>
      <c r="U3" s="15"/>
      <c r="V3" s="15"/>
      <c r="W3" s="15"/>
      <c r="X3" s="15"/>
    </row>
    <row r="4">
      <c r="A4" s="20"/>
      <c r="B4" s="26" t="s">
        <v>19</v>
      </c>
      <c r="D4" s="27"/>
      <c r="E4" s="15"/>
      <c r="F4" s="15"/>
      <c r="G4" s="15"/>
      <c r="H4" s="15"/>
      <c r="I4" s="15"/>
      <c r="J4" s="15"/>
      <c r="K4" s="15"/>
      <c r="L4" s="15"/>
      <c r="M4" s="15"/>
      <c r="N4" s="15"/>
      <c r="O4" s="15"/>
      <c r="P4" s="15"/>
      <c r="Q4" s="15"/>
      <c r="R4" s="15"/>
      <c r="S4" s="15"/>
      <c r="T4" s="15"/>
      <c r="U4" s="15"/>
      <c r="V4" s="15"/>
      <c r="W4" s="15"/>
      <c r="X4" s="15"/>
    </row>
    <row r="5" ht="21.75" customHeight="1">
      <c r="A5" s="20"/>
      <c r="B5" s="25"/>
      <c r="C5" s="28"/>
      <c r="D5" s="29"/>
      <c r="E5" s="15"/>
      <c r="F5" s="15"/>
      <c r="G5" s="15"/>
      <c r="H5" s="15"/>
      <c r="I5" s="15"/>
      <c r="J5" s="15"/>
      <c r="K5" s="15"/>
      <c r="L5" s="15"/>
      <c r="M5" s="15"/>
      <c r="N5" s="15"/>
      <c r="O5" s="15"/>
      <c r="P5" s="15"/>
      <c r="Q5" s="15"/>
      <c r="R5" s="15"/>
      <c r="S5" s="15"/>
      <c r="T5" s="15"/>
      <c r="U5" s="15"/>
      <c r="V5" s="15"/>
      <c r="W5" s="15"/>
      <c r="X5" s="15"/>
    </row>
    <row r="6">
      <c r="A6" s="20"/>
      <c r="B6" s="24"/>
      <c r="C6" s="24"/>
      <c r="D6" s="24"/>
      <c r="E6" s="15"/>
      <c r="F6" s="15"/>
      <c r="G6" s="15"/>
      <c r="H6" s="15"/>
      <c r="I6" s="15"/>
      <c r="J6" s="15"/>
      <c r="K6" s="15"/>
      <c r="L6" s="15"/>
      <c r="M6" s="15"/>
      <c r="N6" s="15"/>
      <c r="O6" s="15"/>
      <c r="P6" s="15"/>
      <c r="Q6" s="15"/>
      <c r="R6" s="15"/>
      <c r="S6" s="15"/>
      <c r="T6" s="15"/>
      <c r="U6" s="15"/>
      <c r="V6" s="15"/>
      <c r="W6" s="15"/>
      <c r="X6" s="15"/>
    </row>
    <row r="7">
      <c r="A7" s="20"/>
      <c r="B7" s="30" t="s">
        <v>20</v>
      </c>
      <c r="C7" s="22"/>
      <c r="D7" s="23"/>
      <c r="E7" s="15"/>
      <c r="F7" s="15"/>
      <c r="G7" s="15"/>
      <c r="H7" s="15"/>
      <c r="I7" s="15"/>
      <c r="J7" s="15"/>
      <c r="K7" s="15"/>
      <c r="L7" s="15"/>
      <c r="M7" s="15"/>
      <c r="N7" s="15"/>
      <c r="O7" s="15"/>
      <c r="P7" s="15"/>
      <c r="Q7" s="15"/>
      <c r="R7" s="15"/>
      <c r="S7" s="15"/>
      <c r="T7" s="15"/>
      <c r="U7" s="15"/>
      <c r="V7" s="15"/>
      <c r="W7" s="15"/>
      <c r="X7" s="15"/>
    </row>
    <row r="8" ht="31.5" customHeight="1">
      <c r="A8" s="20"/>
      <c r="B8" s="31" t="s">
        <v>21</v>
      </c>
      <c r="C8" s="31" t="s">
        <v>22</v>
      </c>
      <c r="D8" s="31" t="s">
        <v>11</v>
      </c>
      <c r="E8" s="15"/>
      <c r="F8" s="15"/>
      <c r="G8" s="15"/>
      <c r="H8" s="15"/>
      <c r="I8" s="15"/>
      <c r="J8" s="15"/>
      <c r="K8" s="15"/>
      <c r="L8" s="15"/>
      <c r="M8" s="15"/>
      <c r="N8" s="15"/>
      <c r="O8" s="15"/>
      <c r="P8" s="15"/>
      <c r="Q8" s="15"/>
      <c r="R8" s="15"/>
      <c r="S8" s="15"/>
      <c r="T8" s="15"/>
      <c r="U8" s="15"/>
      <c r="V8" s="15"/>
      <c r="W8" s="15"/>
      <c r="X8" s="15"/>
    </row>
    <row r="9" ht="24.75" customHeight="1">
      <c r="A9" s="15"/>
      <c r="B9" s="32" t="s">
        <v>23</v>
      </c>
      <c r="C9" s="32" t="s">
        <v>24</v>
      </c>
      <c r="D9" s="32" t="s">
        <v>25</v>
      </c>
      <c r="E9" s="15"/>
      <c r="F9" s="15"/>
      <c r="G9" s="15"/>
      <c r="H9" s="15"/>
      <c r="I9" s="15"/>
      <c r="J9" s="15"/>
      <c r="K9" s="15"/>
      <c r="L9" s="15"/>
      <c r="M9" s="15"/>
      <c r="N9" s="15"/>
      <c r="O9" s="15"/>
      <c r="P9" s="15"/>
      <c r="Q9" s="15"/>
      <c r="R9" s="15"/>
      <c r="S9" s="15"/>
      <c r="T9" s="15"/>
      <c r="U9" s="15"/>
      <c r="V9" s="15"/>
      <c r="W9" s="15"/>
      <c r="X9" s="15"/>
    </row>
    <row r="10" ht="24.75" customHeight="1">
      <c r="A10" s="15"/>
      <c r="B10" s="32" t="s">
        <v>26</v>
      </c>
      <c r="C10" s="32" t="s">
        <v>27</v>
      </c>
      <c r="D10" s="32" t="s">
        <v>28</v>
      </c>
      <c r="E10" s="15"/>
      <c r="F10" s="15"/>
      <c r="G10" s="15"/>
      <c r="H10" s="15"/>
      <c r="I10" s="15"/>
      <c r="J10" s="15"/>
      <c r="K10" s="15"/>
      <c r="L10" s="15"/>
      <c r="M10" s="15"/>
      <c r="N10" s="15"/>
      <c r="O10" s="15"/>
      <c r="P10" s="15"/>
      <c r="Q10" s="15"/>
      <c r="R10" s="15"/>
      <c r="S10" s="15"/>
      <c r="T10" s="15"/>
      <c r="U10" s="15"/>
      <c r="V10" s="15"/>
      <c r="W10" s="15"/>
      <c r="X10" s="15"/>
    </row>
    <row r="11" ht="24.75" customHeight="1">
      <c r="A11" s="15"/>
      <c r="B11" s="32" t="s">
        <v>29</v>
      </c>
      <c r="C11" s="32" t="s">
        <v>30</v>
      </c>
      <c r="D11" s="32" t="s">
        <v>25</v>
      </c>
      <c r="E11" s="15"/>
      <c r="F11" s="15"/>
      <c r="G11" s="15"/>
      <c r="H11" s="15"/>
      <c r="I11" s="15"/>
      <c r="J11" s="15"/>
      <c r="K11" s="15"/>
      <c r="L11" s="15"/>
      <c r="M11" s="15"/>
      <c r="N11" s="15"/>
      <c r="O11" s="15"/>
      <c r="P11" s="15"/>
      <c r="Q11" s="15"/>
      <c r="R11" s="15"/>
      <c r="S11" s="15"/>
      <c r="T11" s="15"/>
      <c r="U11" s="15"/>
      <c r="V11" s="15"/>
      <c r="W11" s="15"/>
      <c r="X11" s="15"/>
    </row>
    <row r="12" ht="24.75" customHeight="1">
      <c r="A12" s="15"/>
      <c r="B12" s="32" t="s">
        <v>31</v>
      </c>
      <c r="C12" s="32" t="s">
        <v>32</v>
      </c>
      <c r="D12" s="32" t="s">
        <v>33</v>
      </c>
      <c r="E12" s="15"/>
      <c r="F12" s="15"/>
      <c r="G12" s="15"/>
      <c r="H12" s="15"/>
      <c r="I12" s="15"/>
      <c r="J12" s="15"/>
      <c r="K12" s="15"/>
      <c r="L12" s="15"/>
      <c r="M12" s="15"/>
      <c r="N12" s="15"/>
      <c r="O12" s="15"/>
      <c r="P12" s="15"/>
      <c r="Q12" s="15"/>
      <c r="R12" s="15"/>
      <c r="S12" s="15"/>
      <c r="T12" s="15"/>
      <c r="U12" s="15"/>
      <c r="V12" s="15"/>
      <c r="W12" s="15"/>
      <c r="X12" s="15"/>
    </row>
    <row r="13" ht="52.5" customHeight="1">
      <c r="A13" s="15"/>
      <c r="B13" s="32" t="s">
        <v>34</v>
      </c>
      <c r="C13" s="32" t="s">
        <v>35</v>
      </c>
      <c r="D13" s="32" t="s">
        <v>36</v>
      </c>
      <c r="E13" s="15"/>
      <c r="F13" s="15"/>
      <c r="G13" s="15"/>
      <c r="H13" s="15"/>
      <c r="I13" s="15"/>
      <c r="J13" s="15"/>
      <c r="K13" s="15"/>
      <c r="L13" s="15"/>
      <c r="M13" s="15"/>
      <c r="N13" s="15"/>
      <c r="O13" s="15"/>
      <c r="P13" s="15"/>
      <c r="Q13" s="15"/>
      <c r="R13" s="15"/>
      <c r="S13" s="15"/>
      <c r="T13" s="15"/>
      <c r="U13" s="15"/>
      <c r="V13" s="15"/>
      <c r="W13" s="15"/>
      <c r="X13" s="15"/>
    </row>
    <row r="14" ht="24.75" customHeight="1">
      <c r="A14" s="15"/>
      <c r="B14" s="32" t="s">
        <v>37</v>
      </c>
      <c r="C14" s="32" t="s">
        <v>38</v>
      </c>
      <c r="D14" s="32" t="s">
        <v>28</v>
      </c>
      <c r="E14" s="15"/>
      <c r="F14" s="15"/>
      <c r="G14" s="15"/>
      <c r="H14" s="15"/>
      <c r="I14" s="15"/>
      <c r="J14" s="15"/>
      <c r="K14" s="15"/>
      <c r="L14" s="15"/>
      <c r="M14" s="15"/>
      <c r="N14" s="15"/>
      <c r="O14" s="15"/>
      <c r="P14" s="15"/>
      <c r="Q14" s="15"/>
      <c r="R14" s="15"/>
      <c r="S14" s="15"/>
      <c r="T14" s="15"/>
      <c r="U14" s="15"/>
      <c r="V14" s="15"/>
      <c r="W14" s="15"/>
      <c r="X14" s="15"/>
    </row>
    <row r="15" ht="24.75" customHeight="1">
      <c r="A15" s="15"/>
      <c r="B15" s="32" t="s">
        <v>39</v>
      </c>
      <c r="C15" s="32" t="s">
        <v>40</v>
      </c>
      <c r="D15" s="32" t="s">
        <v>28</v>
      </c>
      <c r="E15" s="15"/>
      <c r="F15" s="15"/>
      <c r="G15" s="15"/>
      <c r="H15" s="15"/>
      <c r="I15" s="15"/>
      <c r="J15" s="15"/>
      <c r="K15" s="15"/>
      <c r="L15" s="15"/>
      <c r="M15" s="15"/>
      <c r="N15" s="15"/>
      <c r="O15" s="15"/>
      <c r="P15" s="15"/>
      <c r="Q15" s="15"/>
      <c r="R15" s="15"/>
      <c r="S15" s="15"/>
      <c r="T15" s="15"/>
      <c r="U15" s="15"/>
      <c r="V15" s="15"/>
      <c r="W15" s="15"/>
      <c r="X15" s="15"/>
    </row>
    <row r="16" ht="24.75" customHeight="1">
      <c r="A16" s="15"/>
      <c r="B16" s="33" t="s">
        <v>41</v>
      </c>
      <c r="C16" s="33" t="s">
        <v>42</v>
      </c>
      <c r="D16" s="33" t="s">
        <v>43</v>
      </c>
      <c r="E16" s="15"/>
      <c r="F16" s="15"/>
      <c r="G16" s="15"/>
      <c r="H16" s="15"/>
      <c r="I16" s="15"/>
      <c r="J16" s="15"/>
      <c r="K16" s="15"/>
      <c r="L16" s="15"/>
      <c r="M16" s="15"/>
      <c r="N16" s="15"/>
      <c r="O16" s="15"/>
      <c r="P16" s="15"/>
      <c r="Q16" s="15"/>
      <c r="R16" s="15"/>
      <c r="S16" s="15"/>
      <c r="T16" s="15"/>
      <c r="U16" s="15"/>
      <c r="V16" s="15"/>
      <c r="W16" s="15"/>
      <c r="X16" s="15"/>
    </row>
    <row r="17" ht="24.75" customHeight="1">
      <c r="A17" s="15"/>
      <c r="B17" s="32" t="s">
        <v>44</v>
      </c>
      <c r="C17" s="32" t="s">
        <v>45</v>
      </c>
      <c r="D17" s="32" t="s">
        <v>46</v>
      </c>
      <c r="E17" s="15"/>
      <c r="F17" s="15"/>
      <c r="G17" s="15"/>
      <c r="H17" s="15"/>
      <c r="I17" s="15"/>
      <c r="J17" s="15"/>
      <c r="K17" s="15"/>
      <c r="L17" s="15"/>
      <c r="M17" s="15"/>
      <c r="N17" s="15"/>
      <c r="O17" s="15"/>
      <c r="P17" s="15"/>
      <c r="Q17" s="15"/>
      <c r="R17" s="15"/>
      <c r="S17" s="15"/>
      <c r="T17" s="15"/>
      <c r="U17" s="15"/>
      <c r="V17" s="15"/>
      <c r="W17" s="15"/>
      <c r="X17" s="15"/>
    </row>
    <row r="18" ht="24.75" customHeight="1">
      <c r="A18" s="15"/>
      <c r="B18" s="34"/>
      <c r="C18" s="34"/>
      <c r="D18" s="34"/>
      <c r="E18" s="15"/>
      <c r="F18" s="15"/>
      <c r="G18" s="15"/>
      <c r="H18" s="15"/>
      <c r="I18" s="15"/>
      <c r="J18" s="15"/>
      <c r="K18" s="15"/>
      <c r="L18" s="15"/>
      <c r="M18" s="15"/>
      <c r="N18" s="15"/>
      <c r="O18" s="15"/>
      <c r="P18" s="15"/>
      <c r="Q18" s="15"/>
      <c r="R18" s="15"/>
      <c r="S18" s="15"/>
      <c r="T18" s="15"/>
      <c r="U18" s="15"/>
      <c r="V18" s="15"/>
      <c r="W18" s="15"/>
      <c r="X18" s="15"/>
    </row>
    <row r="19" ht="24.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row>
    <row r="20" ht="34.5" customHeight="1">
      <c r="A20" s="35"/>
      <c r="B20" s="31" t="s">
        <v>47</v>
      </c>
      <c r="C20" s="31" t="s">
        <v>48</v>
      </c>
      <c r="D20" s="36" t="s">
        <v>11</v>
      </c>
      <c r="E20" s="37"/>
      <c r="F20" s="35"/>
      <c r="G20" s="35"/>
      <c r="H20" s="35"/>
      <c r="I20" s="35"/>
      <c r="J20" s="35"/>
      <c r="K20" s="35"/>
      <c r="L20" s="35"/>
      <c r="M20" s="35"/>
      <c r="N20" s="35"/>
      <c r="O20" s="35"/>
      <c r="P20" s="35"/>
      <c r="Q20" s="35"/>
      <c r="R20" s="35"/>
      <c r="S20" s="35"/>
      <c r="T20" s="35"/>
      <c r="U20" s="35"/>
      <c r="V20" s="35"/>
      <c r="W20" s="35"/>
      <c r="X20" s="35"/>
    </row>
    <row r="21" ht="24.75" customHeight="1">
      <c r="A21" s="20"/>
      <c r="B21" s="32" t="s">
        <v>49</v>
      </c>
      <c r="C21" s="32"/>
      <c r="D21" s="38" t="s">
        <v>50</v>
      </c>
      <c r="E21" s="15"/>
      <c r="F21" s="15"/>
      <c r="G21" s="15"/>
      <c r="H21" s="15"/>
      <c r="I21" s="15"/>
      <c r="J21" s="15"/>
      <c r="K21" s="15"/>
      <c r="L21" s="15"/>
      <c r="M21" s="15"/>
      <c r="N21" s="15"/>
      <c r="O21" s="15"/>
      <c r="P21" s="15"/>
      <c r="Q21" s="15"/>
      <c r="R21" s="15"/>
      <c r="S21" s="15"/>
      <c r="T21" s="15"/>
      <c r="U21" s="15"/>
      <c r="V21" s="15"/>
      <c r="W21" s="15"/>
      <c r="X21" s="15"/>
    </row>
    <row r="22" ht="24.75" customHeight="1">
      <c r="A22" s="15"/>
      <c r="B22" s="39"/>
      <c r="C22" s="40" t="s">
        <v>51</v>
      </c>
      <c r="D22" s="41" t="s">
        <v>52</v>
      </c>
      <c r="E22" s="15"/>
      <c r="F22" s="15"/>
      <c r="G22" s="15"/>
      <c r="H22" s="15"/>
      <c r="I22" s="15"/>
      <c r="J22" s="15"/>
      <c r="K22" s="15"/>
      <c r="L22" s="15"/>
      <c r="M22" s="15"/>
      <c r="N22" s="15"/>
      <c r="O22" s="15"/>
      <c r="P22" s="15"/>
      <c r="Q22" s="15"/>
      <c r="R22" s="15"/>
      <c r="S22" s="15"/>
      <c r="T22" s="15"/>
      <c r="U22" s="15"/>
      <c r="V22" s="15"/>
      <c r="W22" s="15"/>
      <c r="X22" s="15"/>
    </row>
    <row r="23" ht="24.75" customHeight="1">
      <c r="A23" s="15"/>
      <c r="B23" s="39"/>
      <c r="C23" s="42" t="s">
        <v>53</v>
      </c>
      <c r="D23" s="43" t="s">
        <v>54</v>
      </c>
      <c r="E23" s="15"/>
      <c r="F23" s="15"/>
      <c r="G23" s="15"/>
      <c r="H23" s="15"/>
      <c r="I23" s="15"/>
      <c r="J23" s="15"/>
      <c r="K23" s="15"/>
      <c r="L23" s="15"/>
      <c r="M23" s="15"/>
      <c r="N23" s="15"/>
      <c r="O23" s="15"/>
      <c r="P23" s="15"/>
      <c r="Q23" s="15"/>
      <c r="R23" s="15"/>
      <c r="S23" s="15"/>
      <c r="T23" s="15"/>
      <c r="U23" s="15"/>
      <c r="V23" s="15"/>
      <c r="W23" s="15"/>
      <c r="X23" s="15"/>
    </row>
    <row r="24" ht="24.75" customHeight="1">
      <c r="A24" s="15"/>
      <c r="B24" s="39"/>
      <c r="C24" s="42" t="s">
        <v>55</v>
      </c>
      <c r="D24" s="32" t="s">
        <v>56</v>
      </c>
      <c r="E24" s="15"/>
      <c r="F24" s="15"/>
      <c r="G24" s="15"/>
      <c r="H24" s="15"/>
      <c r="I24" s="15"/>
      <c r="J24" s="15"/>
      <c r="K24" s="15"/>
      <c r="L24" s="15"/>
      <c r="M24" s="15"/>
      <c r="N24" s="15"/>
      <c r="O24" s="15"/>
      <c r="P24" s="15"/>
      <c r="Q24" s="15"/>
      <c r="R24" s="15"/>
      <c r="S24" s="15"/>
      <c r="T24" s="15"/>
      <c r="U24" s="15"/>
      <c r="V24" s="15"/>
      <c r="W24" s="15"/>
      <c r="X24" s="15"/>
    </row>
    <row r="25" ht="24.75" customHeight="1">
      <c r="A25" s="15"/>
      <c r="B25" s="39"/>
      <c r="C25" s="44" t="s">
        <v>57</v>
      </c>
      <c r="D25" s="32" t="s">
        <v>58</v>
      </c>
      <c r="E25" s="15"/>
      <c r="F25" s="15"/>
      <c r="G25" s="15"/>
      <c r="H25" s="15"/>
      <c r="I25" s="15"/>
      <c r="J25" s="15"/>
      <c r="K25" s="15"/>
      <c r="L25" s="15"/>
      <c r="M25" s="15"/>
      <c r="N25" s="15"/>
      <c r="O25" s="15"/>
      <c r="P25" s="15"/>
      <c r="Q25" s="15"/>
      <c r="R25" s="15"/>
      <c r="S25" s="15"/>
      <c r="T25" s="15"/>
      <c r="U25" s="15"/>
      <c r="V25" s="15"/>
      <c r="W25" s="15"/>
      <c r="X25" s="15"/>
    </row>
    <row r="26" ht="24.75" customHeight="1">
      <c r="A26" s="15"/>
      <c r="B26" s="39"/>
      <c r="C26" s="42" t="s">
        <v>59</v>
      </c>
      <c r="D26" s="32" t="s">
        <v>60</v>
      </c>
      <c r="E26" s="15"/>
      <c r="F26" s="15"/>
      <c r="G26" s="15"/>
      <c r="H26" s="15"/>
      <c r="I26" s="15"/>
      <c r="J26" s="15"/>
      <c r="K26" s="15"/>
      <c r="L26" s="15"/>
      <c r="M26" s="15"/>
      <c r="N26" s="15"/>
      <c r="O26" s="15"/>
      <c r="P26" s="15"/>
      <c r="Q26" s="15"/>
      <c r="R26" s="15"/>
      <c r="S26" s="15"/>
      <c r="T26" s="15"/>
      <c r="U26" s="15"/>
      <c r="V26" s="15"/>
      <c r="W26" s="15"/>
      <c r="X26" s="15"/>
    </row>
    <row r="27" ht="24.75" customHeight="1">
      <c r="A27" s="15"/>
      <c r="B27" s="39"/>
      <c r="C27" s="42" t="s">
        <v>61</v>
      </c>
      <c r="D27" s="32" t="s">
        <v>62</v>
      </c>
      <c r="E27" s="15"/>
      <c r="F27" s="15"/>
      <c r="G27" s="15"/>
      <c r="H27" s="15"/>
      <c r="I27" s="15"/>
      <c r="J27" s="15"/>
      <c r="K27" s="15"/>
      <c r="L27" s="15"/>
      <c r="M27" s="15"/>
      <c r="N27" s="15"/>
      <c r="O27" s="15"/>
      <c r="P27" s="15"/>
      <c r="Q27" s="15"/>
      <c r="R27" s="15"/>
      <c r="S27" s="15"/>
      <c r="T27" s="15"/>
      <c r="U27" s="15"/>
      <c r="V27" s="15"/>
      <c r="W27" s="15"/>
      <c r="X27" s="15"/>
    </row>
    <row r="28" ht="24.75" customHeight="1">
      <c r="A28" s="15"/>
      <c r="B28" s="39"/>
      <c r="C28" s="42" t="s">
        <v>63</v>
      </c>
      <c r="D28" s="32" t="s">
        <v>64</v>
      </c>
      <c r="E28" s="15"/>
      <c r="F28" s="15"/>
      <c r="G28" s="15"/>
      <c r="H28" s="15"/>
      <c r="I28" s="15"/>
      <c r="J28" s="15"/>
      <c r="K28" s="15"/>
      <c r="L28" s="15"/>
      <c r="M28" s="15"/>
      <c r="N28" s="15"/>
      <c r="O28" s="15"/>
      <c r="P28" s="15"/>
      <c r="Q28" s="15"/>
      <c r="R28" s="15"/>
      <c r="S28" s="15"/>
      <c r="T28" s="15"/>
      <c r="U28" s="15"/>
      <c r="V28" s="15"/>
      <c r="W28" s="15"/>
      <c r="X28" s="15"/>
    </row>
    <row r="29" ht="24.75" customHeight="1">
      <c r="A29" s="15"/>
      <c r="B29" s="39"/>
      <c r="C29" s="41" t="s">
        <v>65</v>
      </c>
      <c r="D29" s="32" t="s">
        <v>66</v>
      </c>
      <c r="E29" s="15"/>
      <c r="F29" s="15"/>
      <c r="G29" s="15"/>
      <c r="H29" s="15"/>
      <c r="I29" s="15"/>
      <c r="J29" s="15"/>
      <c r="K29" s="15"/>
      <c r="L29" s="15"/>
      <c r="M29" s="15"/>
      <c r="N29" s="15"/>
      <c r="O29" s="15"/>
      <c r="P29" s="15"/>
      <c r="Q29" s="15"/>
      <c r="R29" s="15"/>
      <c r="S29" s="15"/>
      <c r="T29" s="15"/>
      <c r="U29" s="15"/>
      <c r="V29" s="15"/>
      <c r="W29" s="15"/>
      <c r="X29" s="15"/>
    </row>
    <row r="30" ht="24.75" customHeight="1">
      <c r="A30" s="15"/>
      <c r="B30" s="39"/>
      <c r="C30" s="42" t="s">
        <v>67</v>
      </c>
      <c r="D30" s="32" t="s">
        <v>68</v>
      </c>
      <c r="E30" s="15"/>
      <c r="F30" s="15"/>
      <c r="G30" s="15"/>
      <c r="H30" s="15"/>
      <c r="I30" s="15"/>
      <c r="J30" s="15"/>
      <c r="K30" s="15"/>
      <c r="L30" s="15"/>
      <c r="M30" s="15"/>
      <c r="N30" s="15"/>
      <c r="O30" s="15"/>
      <c r="P30" s="15"/>
      <c r="Q30" s="15"/>
      <c r="R30" s="15"/>
      <c r="S30" s="15"/>
      <c r="T30" s="15"/>
      <c r="U30" s="15"/>
      <c r="V30" s="15"/>
      <c r="W30" s="15"/>
      <c r="X30" s="15"/>
    </row>
    <row r="31" ht="24.75" customHeight="1">
      <c r="A31" s="15"/>
      <c r="B31" s="39"/>
      <c r="C31" s="42" t="s">
        <v>69</v>
      </c>
      <c r="D31" s="32"/>
      <c r="E31" s="15"/>
      <c r="F31" s="15"/>
      <c r="G31" s="15"/>
      <c r="H31" s="15"/>
      <c r="I31" s="15"/>
      <c r="J31" s="15"/>
      <c r="K31" s="15"/>
      <c r="L31" s="15"/>
      <c r="M31" s="15"/>
      <c r="N31" s="15"/>
      <c r="O31" s="15"/>
      <c r="P31" s="15"/>
      <c r="Q31" s="15"/>
      <c r="R31" s="15"/>
      <c r="S31" s="15"/>
      <c r="T31" s="15"/>
      <c r="U31" s="15"/>
      <c r="V31" s="15"/>
      <c r="W31" s="15"/>
      <c r="X31" s="15"/>
    </row>
    <row r="32" ht="24.75" customHeight="1">
      <c r="A32" s="15"/>
      <c r="B32" s="39"/>
      <c r="C32" s="40" t="s">
        <v>70</v>
      </c>
      <c r="D32" s="32" t="s">
        <v>71</v>
      </c>
      <c r="E32" s="15"/>
      <c r="F32" s="15"/>
      <c r="G32" s="15"/>
      <c r="H32" s="15"/>
      <c r="I32" s="15"/>
      <c r="J32" s="15"/>
      <c r="K32" s="15"/>
      <c r="L32" s="15"/>
      <c r="M32" s="15"/>
      <c r="N32" s="15"/>
      <c r="O32" s="15"/>
      <c r="P32" s="15"/>
      <c r="Q32" s="15"/>
      <c r="R32" s="15"/>
      <c r="S32" s="15"/>
      <c r="T32" s="15"/>
      <c r="U32" s="15"/>
      <c r="V32" s="15"/>
      <c r="W32" s="15"/>
      <c r="X32" s="15"/>
    </row>
    <row r="33" ht="24.75" customHeight="1">
      <c r="A33" s="15"/>
      <c r="B33" s="39"/>
      <c r="C33" s="42" t="s">
        <v>72</v>
      </c>
      <c r="D33" s="39"/>
      <c r="E33" s="15"/>
      <c r="F33" s="15"/>
      <c r="G33" s="15"/>
      <c r="H33" s="15"/>
      <c r="I33" s="15"/>
      <c r="J33" s="15"/>
      <c r="K33" s="15"/>
      <c r="L33" s="15"/>
      <c r="M33" s="15"/>
      <c r="N33" s="15"/>
      <c r="O33" s="15"/>
      <c r="P33" s="15"/>
      <c r="Q33" s="15"/>
      <c r="R33" s="15"/>
      <c r="S33" s="15"/>
      <c r="T33" s="15"/>
      <c r="U33" s="15"/>
      <c r="V33" s="15"/>
      <c r="W33" s="15"/>
      <c r="X33" s="15"/>
    </row>
    <row r="34" ht="24.75" customHeight="1">
      <c r="A34" s="15"/>
      <c r="B34" s="39"/>
      <c r="C34" s="42" t="s">
        <v>73</v>
      </c>
      <c r="D34" s="32" t="s">
        <v>74</v>
      </c>
      <c r="E34" s="15"/>
      <c r="F34" s="15"/>
      <c r="G34" s="15"/>
      <c r="H34" s="15"/>
      <c r="I34" s="15"/>
      <c r="J34" s="15"/>
      <c r="K34" s="15"/>
      <c r="L34" s="15"/>
      <c r="M34" s="15"/>
      <c r="N34" s="15"/>
      <c r="O34" s="15"/>
      <c r="P34" s="15"/>
      <c r="Q34" s="15"/>
      <c r="R34" s="15"/>
      <c r="S34" s="15"/>
      <c r="T34" s="15"/>
      <c r="U34" s="15"/>
      <c r="V34" s="15"/>
      <c r="W34" s="15"/>
      <c r="X34" s="15"/>
    </row>
    <row r="35" ht="24.75" customHeight="1">
      <c r="A35" s="15"/>
      <c r="B35" s="39"/>
      <c r="C35" s="42" t="s">
        <v>75</v>
      </c>
      <c r="D35" s="32" t="s">
        <v>76</v>
      </c>
      <c r="E35" s="15"/>
      <c r="F35" s="15"/>
      <c r="G35" s="15"/>
      <c r="H35" s="15"/>
      <c r="I35" s="15"/>
      <c r="J35" s="15"/>
      <c r="K35" s="15"/>
      <c r="L35" s="15"/>
      <c r="M35" s="15"/>
      <c r="N35" s="15"/>
      <c r="O35" s="15"/>
      <c r="P35" s="15"/>
      <c r="Q35" s="15"/>
      <c r="R35" s="15"/>
      <c r="S35" s="15"/>
      <c r="T35" s="15"/>
      <c r="U35" s="15"/>
      <c r="V35" s="15"/>
      <c r="W35" s="15"/>
      <c r="X35" s="15"/>
    </row>
    <row r="36" ht="24.75" customHeight="1">
      <c r="A36" s="15"/>
      <c r="B36" s="39"/>
      <c r="C36" s="42" t="s">
        <v>77</v>
      </c>
      <c r="D36" s="32" t="s">
        <v>78</v>
      </c>
      <c r="E36" s="15"/>
      <c r="F36" s="15"/>
      <c r="G36" s="15"/>
      <c r="H36" s="15"/>
      <c r="I36" s="15"/>
      <c r="J36" s="15"/>
      <c r="K36" s="15"/>
      <c r="L36" s="15"/>
      <c r="M36" s="15"/>
      <c r="N36" s="15"/>
      <c r="O36" s="15"/>
      <c r="P36" s="15"/>
      <c r="Q36" s="15"/>
      <c r="R36" s="15"/>
      <c r="S36" s="15"/>
      <c r="T36" s="15"/>
      <c r="U36" s="15"/>
      <c r="V36" s="15"/>
      <c r="W36" s="15"/>
      <c r="X36" s="15"/>
    </row>
    <row r="37" ht="24.75" customHeight="1">
      <c r="A37" s="15"/>
      <c r="B37" s="39"/>
      <c r="C37" s="40" t="s">
        <v>79</v>
      </c>
      <c r="D37" s="32" t="s">
        <v>80</v>
      </c>
      <c r="E37" s="15"/>
      <c r="F37" s="15"/>
      <c r="G37" s="15"/>
      <c r="H37" s="15"/>
      <c r="I37" s="15"/>
      <c r="J37" s="15"/>
      <c r="K37" s="15"/>
      <c r="L37" s="15"/>
      <c r="M37" s="15"/>
      <c r="N37" s="15"/>
      <c r="O37" s="15"/>
      <c r="P37" s="15"/>
      <c r="Q37" s="15"/>
      <c r="R37" s="15"/>
      <c r="S37" s="15"/>
      <c r="T37" s="15"/>
      <c r="U37" s="15"/>
      <c r="V37" s="15"/>
      <c r="W37" s="15"/>
      <c r="X37" s="15"/>
    </row>
    <row r="38" ht="24.75" customHeight="1">
      <c r="A38" s="15"/>
      <c r="B38" s="45"/>
      <c r="C38" s="45"/>
      <c r="D38" s="45"/>
      <c r="E38" s="15"/>
      <c r="F38" s="15"/>
      <c r="G38" s="15"/>
      <c r="H38" s="15"/>
      <c r="I38" s="15"/>
      <c r="J38" s="15"/>
      <c r="K38" s="15"/>
      <c r="L38" s="15"/>
      <c r="M38" s="15"/>
      <c r="N38" s="15"/>
      <c r="O38" s="15"/>
      <c r="P38" s="15"/>
      <c r="Q38" s="15"/>
      <c r="R38" s="15"/>
      <c r="S38" s="15"/>
      <c r="T38" s="15"/>
      <c r="U38" s="15"/>
      <c r="V38" s="15"/>
      <c r="W38" s="15"/>
      <c r="X38" s="15"/>
    </row>
    <row r="39" ht="24.75" customHeight="1">
      <c r="A39" s="20"/>
      <c r="B39" s="32" t="s">
        <v>81</v>
      </c>
      <c r="C39" s="32"/>
      <c r="D39" s="32" t="s">
        <v>82</v>
      </c>
      <c r="E39" s="15"/>
      <c r="F39" s="15"/>
      <c r="G39" s="15"/>
      <c r="H39" s="15"/>
      <c r="I39" s="15"/>
      <c r="J39" s="15"/>
      <c r="K39" s="15"/>
      <c r="L39" s="15"/>
      <c r="M39" s="15"/>
      <c r="N39" s="15"/>
      <c r="O39" s="15"/>
      <c r="P39" s="15"/>
      <c r="Q39" s="15"/>
      <c r="R39" s="15"/>
      <c r="S39" s="15"/>
      <c r="T39" s="15"/>
      <c r="U39" s="15"/>
      <c r="V39" s="15"/>
      <c r="W39" s="15"/>
      <c r="X39" s="15"/>
    </row>
    <row r="40" ht="24.75" customHeight="1">
      <c r="A40" s="20"/>
      <c r="B40" s="32"/>
      <c r="C40" s="32" t="s">
        <v>51</v>
      </c>
      <c r="D40" s="41"/>
      <c r="E40" s="15"/>
      <c r="F40" s="15"/>
      <c r="G40" s="15"/>
      <c r="H40" s="15"/>
      <c r="I40" s="15"/>
      <c r="J40" s="15"/>
      <c r="K40" s="15"/>
      <c r="L40" s="15"/>
      <c r="M40" s="15"/>
      <c r="N40" s="15"/>
      <c r="O40" s="15"/>
      <c r="P40" s="15"/>
      <c r="Q40" s="15"/>
      <c r="R40" s="15"/>
      <c r="S40" s="15"/>
      <c r="T40" s="15"/>
      <c r="U40" s="15"/>
      <c r="V40" s="15"/>
      <c r="W40" s="15"/>
      <c r="X40" s="15"/>
    </row>
    <row r="41" ht="24.75" customHeight="1">
      <c r="A41" s="20"/>
      <c r="B41" s="32"/>
      <c r="C41" s="33" t="s">
        <v>53</v>
      </c>
      <c r="D41" s="41"/>
      <c r="E41" s="15"/>
      <c r="F41" s="15"/>
      <c r="G41" s="15"/>
      <c r="H41" s="15"/>
      <c r="I41" s="15"/>
      <c r="J41" s="15"/>
      <c r="K41" s="15"/>
      <c r="L41" s="15"/>
      <c r="M41" s="15"/>
      <c r="N41" s="15"/>
      <c r="O41" s="15"/>
      <c r="P41" s="15"/>
      <c r="Q41" s="15"/>
      <c r="R41" s="15"/>
      <c r="S41" s="15"/>
      <c r="T41" s="15"/>
      <c r="U41" s="15"/>
      <c r="V41" s="15"/>
      <c r="W41" s="15"/>
      <c r="X41" s="15"/>
    </row>
    <row r="42" ht="24.75" customHeight="1">
      <c r="A42" s="20"/>
      <c r="B42" s="32"/>
      <c r="C42" s="32" t="s">
        <v>57</v>
      </c>
      <c r="D42" s="32"/>
      <c r="E42" s="15"/>
      <c r="F42" s="15"/>
      <c r="G42" s="15"/>
      <c r="H42" s="15"/>
      <c r="I42" s="15"/>
      <c r="J42" s="15"/>
      <c r="K42" s="15"/>
      <c r="L42" s="15"/>
      <c r="M42" s="15"/>
      <c r="N42" s="15"/>
      <c r="O42" s="15"/>
      <c r="P42" s="15"/>
      <c r="Q42" s="15"/>
      <c r="R42" s="15"/>
      <c r="S42" s="15"/>
      <c r="T42" s="15"/>
      <c r="U42" s="15"/>
      <c r="V42" s="15"/>
      <c r="W42" s="15"/>
      <c r="X42" s="15"/>
    </row>
    <row r="43" ht="24.75" customHeight="1">
      <c r="A43" s="20"/>
      <c r="B43" s="32"/>
      <c r="C43" s="32" t="s">
        <v>61</v>
      </c>
      <c r="D43" s="32"/>
      <c r="E43" s="15"/>
      <c r="F43" s="15"/>
      <c r="G43" s="15"/>
      <c r="H43" s="15"/>
      <c r="I43" s="15"/>
      <c r="J43" s="15"/>
      <c r="K43" s="15"/>
      <c r="L43" s="15"/>
      <c r="M43" s="15"/>
      <c r="N43" s="15"/>
      <c r="O43" s="15"/>
      <c r="P43" s="15"/>
      <c r="Q43" s="15"/>
      <c r="R43" s="15"/>
      <c r="S43" s="15"/>
      <c r="T43" s="15"/>
      <c r="U43" s="15"/>
      <c r="V43" s="15"/>
      <c r="W43" s="15"/>
      <c r="X43" s="15"/>
    </row>
    <row r="44" ht="24.75" customHeight="1">
      <c r="A44" s="20"/>
      <c r="B44" s="32"/>
      <c r="C44" s="32" t="s">
        <v>75</v>
      </c>
      <c r="D44" s="32"/>
      <c r="E44" s="15"/>
      <c r="F44" s="15"/>
      <c r="G44" s="15"/>
      <c r="H44" s="15"/>
      <c r="I44" s="15"/>
      <c r="J44" s="15"/>
      <c r="K44" s="15"/>
      <c r="L44" s="15"/>
      <c r="M44" s="15"/>
      <c r="N44" s="15"/>
      <c r="O44" s="15"/>
      <c r="P44" s="15"/>
      <c r="Q44" s="15"/>
      <c r="R44" s="15"/>
      <c r="S44" s="15"/>
      <c r="T44" s="15"/>
      <c r="U44" s="15"/>
      <c r="V44" s="15"/>
      <c r="W44" s="15"/>
      <c r="X44" s="15"/>
    </row>
    <row r="45" ht="24.75" customHeight="1">
      <c r="A45" s="20"/>
      <c r="B45" s="32"/>
      <c r="C45" s="32" t="s">
        <v>83</v>
      </c>
      <c r="D45" s="32" t="s">
        <v>84</v>
      </c>
      <c r="E45" s="15"/>
      <c r="F45" s="15"/>
      <c r="G45" s="15"/>
      <c r="H45" s="15"/>
      <c r="I45" s="15"/>
      <c r="J45" s="15"/>
      <c r="K45" s="15"/>
      <c r="L45" s="15"/>
      <c r="M45" s="15"/>
      <c r="N45" s="15"/>
      <c r="O45" s="15"/>
      <c r="P45" s="15"/>
      <c r="Q45" s="15"/>
      <c r="R45" s="15"/>
      <c r="S45" s="15"/>
      <c r="T45" s="15"/>
      <c r="U45" s="15"/>
      <c r="V45" s="15"/>
      <c r="W45" s="15"/>
      <c r="X45" s="15"/>
    </row>
    <row r="46" ht="24.75" customHeight="1">
      <c r="A46" s="15"/>
      <c r="B46" s="39"/>
      <c r="C46" s="32" t="s">
        <v>85</v>
      </c>
      <c r="D46" s="32" t="s">
        <v>86</v>
      </c>
      <c r="E46" s="15"/>
      <c r="F46" s="15"/>
      <c r="G46" s="15"/>
      <c r="H46" s="15"/>
      <c r="I46" s="15"/>
      <c r="J46" s="15"/>
      <c r="K46" s="15"/>
      <c r="L46" s="15"/>
      <c r="M46" s="15"/>
      <c r="N46" s="15"/>
      <c r="O46" s="15"/>
      <c r="P46" s="15"/>
      <c r="Q46" s="15"/>
      <c r="R46" s="15"/>
      <c r="S46" s="15"/>
      <c r="T46" s="15"/>
      <c r="U46" s="15"/>
      <c r="V46" s="15"/>
      <c r="W46" s="15"/>
      <c r="X46" s="15"/>
    </row>
    <row r="47" ht="24.75" customHeight="1">
      <c r="A47" s="15"/>
      <c r="B47" s="39"/>
      <c r="C47" s="33" t="s">
        <v>87</v>
      </c>
      <c r="D47" s="39"/>
      <c r="E47" s="15"/>
      <c r="F47" s="15"/>
      <c r="G47" s="15"/>
      <c r="H47" s="15"/>
      <c r="I47" s="15"/>
      <c r="J47" s="15"/>
      <c r="K47" s="15"/>
      <c r="L47" s="15"/>
      <c r="M47" s="15"/>
      <c r="N47" s="15"/>
      <c r="O47" s="15"/>
      <c r="P47" s="15"/>
      <c r="Q47" s="15"/>
      <c r="R47" s="15"/>
      <c r="S47" s="15"/>
      <c r="T47" s="15"/>
      <c r="U47" s="15"/>
      <c r="V47" s="15"/>
      <c r="W47" s="15"/>
      <c r="X47" s="15"/>
    </row>
    <row r="48" ht="24.75" customHeight="1">
      <c r="A48" s="15"/>
      <c r="B48" s="39"/>
      <c r="C48" s="33" t="s">
        <v>88</v>
      </c>
      <c r="D48" s="39"/>
      <c r="E48" s="15"/>
      <c r="F48" s="15"/>
      <c r="G48" s="15"/>
      <c r="H48" s="15"/>
      <c r="I48" s="15"/>
      <c r="J48" s="15"/>
      <c r="K48" s="15"/>
      <c r="L48" s="15"/>
      <c r="M48" s="15"/>
      <c r="N48" s="15"/>
      <c r="O48" s="15"/>
      <c r="P48" s="15"/>
      <c r="Q48" s="15"/>
      <c r="R48" s="15"/>
      <c r="S48" s="15"/>
      <c r="T48" s="15"/>
      <c r="U48" s="15"/>
      <c r="V48" s="15"/>
      <c r="W48" s="15"/>
      <c r="X48" s="15"/>
    </row>
    <row r="49" ht="24.75" customHeight="1">
      <c r="A49" s="15"/>
      <c r="B49" s="39"/>
      <c r="C49" s="32" t="s">
        <v>73</v>
      </c>
      <c r="D49" s="41"/>
      <c r="E49" s="15"/>
      <c r="F49" s="15"/>
      <c r="G49" s="15"/>
      <c r="H49" s="15"/>
      <c r="I49" s="15"/>
      <c r="J49" s="15"/>
      <c r="K49" s="15"/>
      <c r="L49" s="15"/>
      <c r="M49" s="15"/>
      <c r="N49" s="15"/>
      <c r="O49" s="15"/>
      <c r="P49" s="15"/>
      <c r="Q49" s="15"/>
      <c r="R49" s="15"/>
      <c r="S49" s="15"/>
      <c r="T49" s="15"/>
      <c r="U49" s="15"/>
      <c r="V49" s="15"/>
      <c r="W49" s="15"/>
      <c r="X49" s="15"/>
    </row>
    <row r="50" ht="24.75" customHeight="1">
      <c r="A50" s="15"/>
      <c r="B50" s="39"/>
      <c r="C50" s="33" t="s">
        <v>89</v>
      </c>
      <c r="D50" s="39"/>
      <c r="E50" s="15"/>
      <c r="F50" s="15"/>
      <c r="G50" s="15"/>
      <c r="H50" s="15"/>
      <c r="I50" s="15"/>
      <c r="J50" s="15"/>
      <c r="K50" s="15"/>
      <c r="L50" s="15"/>
      <c r="M50" s="15"/>
      <c r="N50" s="15"/>
      <c r="O50" s="15"/>
      <c r="P50" s="15"/>
      <c r="Q50" s="15"/>
      <c r="R50" s="15"/>
      <c r="S50" s="15"/>
      <c r="T50" s="15"/>
      <c r="U50" s="15"/>
      <c r="V50" s="15"/>
      <c r="W50" s="15"/>
      <c r="X50" s="15"/>
    </row>
    <row r="51" ht="24.75" customHeight="1">
      <c r="A51" s="15"/>
      <c r="B51" s="39"/>
      <c r="C51" s="33" t="s">
        <v>90</v>
      </c>
      <c r="D51" s="39"/>
      <c r="E51" s="15"/>
      <c r="F51" s="15"/>
      <c r="G51" s="15"/>
      <c r="H51" s="15"/>
      <c r="I51" s="15"/>
      <c r="J51" s="15"/>
      <c r="K51" s="15"/>
      <c r="L51" s="15"/>
      <c r="M51" s="15"/>
      <c r="N51" s="15"/>
      <c r="O51" s="15"/>
      <c r="P51" s="15"/>
      <c r="Q51" s="15"/>
      <c r="R51" s="15"/>
      <c r="S51" s="15"/>
      <c r="T51" s="15"/>
      <c r="U51" s="15"/>
      <c r="V51" s="15"/>
      <c r="W51" s="15"/>
      <c r="X51" s="15"/>
    </row>
    <row r="52" ht="24.75" customHeight="1">
      <c r="A52" s="15"/>
      <c r="B52" s="39"/>
      <c r="C52" s="33" t="s">
        <v>91</v>
      </c>
      <c r="D52" s="32"/>
      <c r="E52" s="15"/>
      <c r="F52" s="15"/>
      <c r="G52" s="15"/>
      <c r="H52" s="15"/>
      <c r="I52" s="15"/>
      <c r="J52" s="15"/>
      <c r="K52" s="15"/>
      <c r="L52" s="15"/>
      <c r="M52" s="15"/>
      <c r="N52" s="15"/>
      <c r="O52" s="15"/>
      <c r="P52" s="15"/>
      <c r="Q52" s="15"/>
      <c r="R52" s="15"/>
      <c r="S52" s="15"/>
      <c r="T52" s="15"/>
      <c r="U52" s="15"/>
      <c r="V52" s="15"/>
      <c r="W52" s="15"/>
      <c r="X52" s="15"/>
    </row>
    <row r="53" ht="24.75" customHeight="1">
      <c r="A53" s="15"/>
      <c r="B53" s="39"/>
      <c r="C53" s="32" t="s">
        <v>92</v>
      </c>
      <c r="D53" s="32"/>
      <c r="E53" s="15"/>
      <c r="F53" s="15"/>
      <c r="G53" s="15"/>
      <c r="H53" s="15"/>
      <c r="I53" s="15"/>
      <c r="J53" s="15"/>
      <c r="K53" s="15"/>
      <c r="L53" s="15"/>
      <c r="M53" s="15"/>
      <c r="N53" s="15"/>
      <c r="O53" s="15"/>
      <c r="P53" s="15"/>
      <c r="Q53" s="15"/>
      <c r="R53" s="15"/>
      <c r="S53" s="15"/>
      <c r="T53" s="15"/>
      <c r="U53" s="15"/>
      <c r="V53" s="15"/>
      <c r="W53" s="15"/>
      <c r="X53" s="15"/>
    </row>
    <row r="54" ht="24.75" customHeight="1">
      <c r="A54" s="15"/>
      <c r="B54" s="39"/>
      <c r="C54" s="32" t="s">
        <v>93</v>
      </c>
      <c r="D54" s="32"/>
      <c r="E54" s="15"/>
      <c r="F54" s="15"/>
      <c r="G54" s="15"/>
      <c r="H54" s="15"/>
      <c r="I54" s="15"/>
      <c r="J54" s="15"/>
      <c r="K54" s="15"/>
      <c r="L54" s="15"/>
      <c r="M54" s="15"/>
      <c r="N54" s="15"/>
      <c r="O54" s="15"/>
      <c r="P54" s="15"/>
      <c r="Q54" s="15"/>
      <c r="R54" s="15"/>
      <c r="S54" s="15"/>
      <c r="T54" s="15"/>
      <c r="U54" s="15"/>
      <c r="V54" s="15"/>
      <c r="W54" s="15"/>
      <c r="X54" s="15"/>
    </row>
    <row r="55" ht="24.75" customHeight="1">
      <c r="A55" s="15"/>
      <c r="B55" s="39"/>
      <c r="C55" s="32" t="s">
        <v>94</v>
      </c>
      <c r="D55" s="32"/>
      <c r="E55" s="15"/>
      <c r="F55" s="15"/>
      <c r="G55" s="15"/>
      <c r="H55" s="15"/>
      <c r="I55" s="15"/>
      <c r="J55" s="15"/>
      <c r="K55" s="15"/>
      <c r="L55" s="15"/>
      <c r="M55" s="15"/>
      <c r="N55" s="15"/>
      <c r="O55" s="15"/>
      <c r="P55" s="15"/>
      <c r="Q55" s="15"/>
      <c r="R55" s="15"/>
      <c r="S55" s="15"/>
      <c r="T55" s="15"/>
      <c r="U55" s="15"/>
      <c r="V55" s="15"/>
      <c r="W55" s="15"/>
      <c r="X55" s="15"/>
    </row>
    <row r="56" ht="24.75" customHeight="1">
      <c r="A56" s="15"/>
      <c r="B56" s="39"/>
      <c r="C56" s="32" t="s">
        <v>95</v>
      </c>
      <c r="D56" s="32"/>
      <c r="E56" s="15"/>
      <c r="F56" s="15"/>
      <c r="G56" s="15"/>
      <c r="H56" s="15"/>
      <c r="I56" s="15"/>
      <c r="J56" s="15"/>
      <c r="K56" s="15"/>
      <c r="L56" s="15"/>
      <c r="M56" s="15"/>
      <c r="N56" s="15"/>
      <c r="O56" s="15"/>
      <c r="P56" s="15"/>
      <c r="Q56" s="15"/>
      <c r="R56" s="15"/>
      <c r="S56" s="15"/>
      <c r="T56" s="15"/>
      <c r="U56" s="15"/>
      <c r="V56" s="15"/>
      <c r="W56" s="15"/>
      <c r="X56" s="15"/>
    </row>
    <row r="57" ht="24.75" customHeight="1">
      <c r="A57" s="15"/>
      <c r="B57" s="39"/>
      <c r="C57" s="32" t="s">
        <v>96</v>
      </c>
      <c r="D57" s="32" t="s">
        <v>97</v>
      </c>
      <c r="E57" s="15"/>
      <c r="F57" s="15"/>
      <c r="G57" s="15"/>
      <c r="H57" s="15"/>
      <c r="I57" s="15"/>
      <c r="J57" s="15"/>
      <c r="K57" s="15"/>
      <c r="L57" s="15"/>
      <c r="M57" s="15"/>
      <c r="N57" s="15"/>
      <c r="O57" s="15"/>
      <c r="P57" s="15"/>
      <c r="Q57" s="15"/>
      <c r="R57" s="15"/>
      <c r="S57" s="15"/>
      <c r="T57" s="15"/>
      <c r="U57" s="15"/>
      <c r="V57" s="15"/>
      <c r="W57" s="15"/>
      <c r="X57" s="15"/>
    </row>
    <row r="58" ht="24.75" customHeight="1">
      <c r="A58" s="15"/>
      <c r="B58" s="39"/>
      <c r="C58" s="32" t="s">
        <v>98</v>
      </c>
      <c r="D58" s="32" t="s">
        <v>99</v>
      </c>
      <c r="E58" s="15"/>
      <c r="F58" s="15"/>
      <c r="G58" s="15"/>
      <c r="H58" s="15"/>
      <c r="I58" s="15"/>
      <c r="J58" s="15"/>
      <c r="K58" s="15"/>
      <c r="L58" s="15"/>
      <c r="M58" s="15"/>
      <c r="N58" s="15"/>
      <c r="O58" s="15"/>
      <c r="P58" s="15"/>
      <c r="Q58" s="15"/>
      <c r="R58" s="15"/>
      <c r="S58" s="15"/>
      <c r="T58" s="15"/>
      <c r="U58" s="15"/>
      <c r="V58" s="15"/>
      <c r="W58" s="15"/>
      <c r="X58" s="15"/>
    </row>
    <row r="59" ht="24.75" customHeight="1">
      <c r="A59" s="15"/>
      <c r="B59" s="39"/>
      <c r="C59" s="32" t="s">
        <v>63</v>
      </c>
      <c r="D59" s="41"/>
      <c r="E59" s="15"/>
      <c r="F59" s="15"/>
      <c r="G59" s="15"/>
      <c r="H59" s="15"/>
      <c r="I59" s="15"/>
      <c r="J59" s="15"/>
      <c r="K59" s="15"/>
      <c r="L59" s="15"/>
      <c r="M59" s="15"/>
      <c r="N59" s="15"/>
      <c r="O59" s="15"/>
      <c r="P59" s="15"/>
      <c r="Q59" s="15"/>
      <c r="R59" s="15"/>
      <c r="S59" s="15"/>
      <c r="T59" s="15"/>
      <c r="U59" s="15"/>
      <c r="V59" s="15"/>
      <c r="W59" s="15"/>
      <c r="X59" s="15"/>
    </row>
    <row r="60" ht="24.75" customHeight="1">
      <c r="A60" s="15"/>
      <c r="B60" s="39"/>
      <c r="C60" s="32" t="s">
        <v>77</v>
      </c>
      <c r="D60" s="39"/>
      <c r="E60" s="15"/>
      <c r="F60" s="15"/>
      <c r="G60" s="15"/>
      <c r="H60" s="15"/>
      <c r="I60" s="15"/>
      <c r="J60" s="15"/>
      <c r="K60" s="15"/>
      <c r="L60" s="15"/>
      <c r="M60" s="15"/>
      <c r="N60" s="15"/>
      <c r="O60" s="15"/>
      <c r="P60" s="15"/>
      <c r="Q60" s="15"/>
      <c r="R60" s="15"/>
      <c r="S60" s="15"/>
      <c r="T60" s="15"/>
      <c r="U60" s="15"/>
      <c r="V60" s="15"/>
      <c r="W60" s="15"/>
      <c r="X60" s="15"/>
    </row>
    <row r="61" ht="24.75" customHeight="1">
      <c r="A61" s="15"/>
      <c r="B61" s="39"/>
      <c r="C61" s="32" t="s">
        <v>79</v>
      </c>
      <c r="D61" s="39"/>
      <c r="E61" s="15"/>
      <c r="F61" s="15"/>
      <c r="G61" s="15"/>
      <c r="H61" s="15"/>
      <c r="I61" s="15"/>
      <c r="J61" s="15"/>
      <c r="K61" s="15"/>
      <c r="L61" s="15"/>
      <c r="M61" s="15"/>
      <c r="N61" s="15"/>
      <c r="O61" s="15"/>
      <c r="P61" s="15"/>
      <c r="Q61" s="15"/>
      <c r="R61" s="15"/>
      <c r="S61" s="15"/>
      <c r="T61" s="15"/>
      <c r="U61" s="15"/>
      <c r="V61" s="15"/>
      <c r="W61" s="15"/>
      <c r="X61" s="15"/>
    </row>
    <row r="62" ht="24.75" customHeight="1">
      <c r="A62" s="20"/>
      <c r="B62" s="34"/>
      <c r="C62" s="34"/>
      <c r="D62" s="45"/>
      <c r="E62" s="15"/>
      <c r="F62" s="15"/>
      <c r="G62" s="15"/>
      <c r="H62" s="15"/>
      <c r="I62" s="15"/>
      <c r="J62" s="15"/>
      <c r="K62" s="15"/>
      <c r="L62" s="15"/>
      <c r="M62" s="15"/>
      <c r="N62" s="15"/>
      <c r="O62" s="15"/>
      <c r="P62" s="15"/>
      <c r="Q62" s="15"/>
      <c r="R62" s="15"/>
      <c r="S62" s="15"/>
      <c r="T62" s="15"/>
      <c r="U62" s="15"/>
      <c r="V62" s="15"/>
      <c r="W62" s="15"/>
      <c r="X62" s="15"/>
    </row>
    <row r="63" ht="24.75" customHeight="1">
      <c r="A63" s="20"/>
      <c r="B63" s="32" t="s">
        <v>100</v>
      </c>
      <c r="C63" s="39"/>
      <c r="D63" s="32" t="s">
        <v>101</v>
      </c>
      <c r="E63" s="15"/>
      <c r="F63" s="15"/>
      <c r="G63" s="15"/>
      <c r="H63" s="15"/>
      <c r="I63" s="15"/>
      <c r="J63" s="15"/>
      <c r="K63" s="15"/>
      <c r="L63" s="15"/>
      <c r="M63" s="15"/>
      <c r="N63" s="15"/>
      <c r="O63" s="15"/>
      <c r="P63" s="15"/>
      <c r="Q63" s="15"/>
      <c r="R63" s="15"/>
      <c r="S63" s="15"/>
      <c r="T63" s="15"/>
      <c r="U63" s="15"/>
      <c r="V63" s="15"/>
      <c r="W63" s="15"/>
      <c r="X63" s="15"/>
    </row>
    <row r="64" ht="24.75" customHeight="1">
      <c r="A64" s="15"/>
      <c r="B64" s="39"/>
      <c r="C64" s="40" t="s">
        <v>102</v>
      </c>
      <c r="D64" s="40"/>
      <c r="E64" s="46"/>
      <c r="F64" s="15"/>
      <c r="G64" s="15"/>
      <c r="H64" s="15"/>
      <c r="I64" s="15"/>
      <c r="J64" s="15"/>
      <c r="K64" s="15"/>
      <c r="L64" s="15"/>
      <c r="M64" s="15"/>
      <c r="N64" s="15"/>
      <c r="O64" s="15"/>
      <c r="P64" s="15"/>
      <c r="Q64" s="15"/>
      <c r="R64" s="15"/>
      <c r="S64" s="15"/>
      <c r="T64" s="15"/>
      <c r="U64" s="15"/>
      <c r="V64" s="15"/>
      <c r="W64" s="15"/>
      <c r="X64" s="15"/>
    </row>
    <row r="65" ht="24.75" customHeight="1">
      <c r="A65" s="15"/>
      <c r="B65" s="39"/>
      <c r="C65" s="40" t="s">
        <v>79</v>
      </c>
      <c r="D65" s="40"/>
      <c r="E65" s="46"/>
      <c r="F65" s="15"/>
      <c r="G65" s="15"/>
      <c r="H65" s="15"/>
      <c r="I65" s="15"/>
      <c r="J65" s="15"/>
      <c r="K65" s="15"/>
      <c r="L65" s="15"/>
      <c r="M65" s="15"/>
      <c r="N65" s="15"/>
      <c r="O65" s="15"/>
      <c r="P65" s="15"/>
      <c r="Q65" s="15"/>
      <c r="R65" s="15"/>
      <c r="S65" s="15"/>
      <c r="T65" s="15"/>
      <c r="U65" s="15"/>
      <c r="V65" s="15"/>
      <c r="W65" s="15"/>
      <c r="X65" s="15"/>
    </row>
    <row r="66" ht="24.75" customHeight="1">
      <c r="A66" s="20"/>
      <c r="B66" s="34"/>
      <c r="C66" s="45"/>
      <c r="D66" s="34"/>
      <c r="E66" s="15"/>
      <c r="F66" s="15"/>
      <c r="G66" s="15"/>
      <c r="H66" s="15"/>
      <c r="I66" s="15"/>
      <c r="J66" s="15"/>
      <c r="K66" s="15"/>
      <c r="L66" s="15"/>
      <c r="M66" s="15"/>
      <c r="N66" s="15"/>
      <c r="O66" s="15"/>
      <c r="P66" s="15"/>
      <c r="Q66" s="15"/>
      <c r="R66" s="15"/>
      <c r="S66" s="15"/>
      <c r="T66" s="15"/>
      <c r="U66" s="15"/>
      <c r="V66" s="15"/>
      <c r="W66" s="15"/>
      <c r="X66" s="15"/>
    </row>
    <row r="67" ht="24.75" customHeight="1">
      <c r="A67" s="20"/>
      <c r="B67" s="32" t="s">
        <v>79</v>
      </c>
      <c r="C67" s="39"/>
      <c r="D67" s="32" t="s">
        <v>103</v>
      </c>
      <c r="E67" s="15"/>
      <c r="F67" s="15"/>
      <c r="G67" s="15"/>
      <c r="H67" s="15"/>
      <c r="I67" s="15"/>
      <c r="J67" s="15"/>
      <c r="K67" s="15"/>
      <c r="L67" s="15"/>
      <c r="M67" s="15"/>
      <c r="N67" s="15"/>
      <c r="O67" s="15"/>
      <c r="P67" s="15"/>
      <c r="Q67" s="15"/>
      <c r="R67" s="15"/>
      <c r="S67" s="15"/>
      <c r="T67" s="15"/>
      <c r="U67" s="15"/>
      <c r="V67" s="15"/>
      <c r="W67" s="15"/>
      <c r="X67" s="15"/>
    </row>
    <row r="68" ht="24.75" customHeight="1">
      <c r="A68" s="15"/>
      <c r="B68" s="39"/>
      <c r="C68" s="32" t="s">
        <v>79</v>
      </c>
      <c r="D68" s="39"/>
      <c r="E68" s="15"/>
      <c r="F68" s="15"/>
      <c r="G68" s="15"/>
      <c r="H68" s="15"/>
      <c r="I68" s="15"/>
      <c r="J68" s="15"/>
      <c r="K68" s="15"/>
      <c r="L68" s="15"/>
      <c r="M68" s="15"/>
      <c r="N68" s="15"/>
      <c r="O68" s="15"/>
      <c r="P68" s="15"/>
      <c r="Q68" s="15"/>
      <c r="R68" s="15"/>
      <c r="S68" s="15"/>
      <c r="T68" s="15"/>
      <c r="U68" s="15"/>
      <c r="V68" s="15"/>
      <c r="W68" s="15"/>
      <c r="X68" s="15"/>
    </row>
    <row r="69" ht="24.75" customHeight="1">
      <c r="A69" s="15"/>
      <c r="B69" s="45"/>
      <c r="C69" s="34"/>
      <c r="D69" s="45"/>
      <c r="E69" s="15"/>
      <c r="F69" s="15"/>
      <c r="G69" s="15"/>
      <c r="H69" s="15"/>
      <c r="I69" s="15"/>
      <c r="J69" s="15"/>
      <c r="K69" s="15"/>
      <c r="L69" s="15"/>
      <c r="M69" s="15"/>
      <c r="N69" s="15"/>
      <c r="O69" s="15"/>
      <c r="P69" s="15"/>
      <c r="Q69" s="15"/>
      <c r="R69" s="15"/>
      <c r="S69" s="15"/>
      <c r="T69" s="15"/>
      <c r="U69" s="15"/>
      <c r="V69" s="15"/>
      <c r="W69" s="15"/>
      <c r="X69" s="15"/>
    </row>
    <row r="70" ht="24.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row>
    <row r="71" ht="24.75" customHeight="1">
      <c r="A71" s="47"/>
      <c r="B71" s="15"/>
      <c r="C71" s="15"/>
      <c r="D71" s="15"/>
      <c r="E71" s="15"/>
      <c r="F71" s="15"/>
      <c r="G71" s="15"/>
      <c r="H71" s="15"/>
      <c r="I71" s="15"/>
      <c r="J71" s="15"/>
      <c r="K71" s="15"/>
      <c r="L71" s="15"/>
      <c r="M71" s="15"/>
      <c r="N71" s="15"/>
      <c r="O71" s="15"/>
      <c r="P71" s="15"/>
      <c r="Q71" s="15"/>
      <c r="R71" s="15"/>
      <c r="S71" s="15"/>
      <c r="T71" s="15"/>
      <c r="U71" s="15"/>
      <c r="V71" s="15"/>
      <c r="W71" s="15"/>
      <c r="X71" s="15"/>
    </row>
    <row r="72" ht="24.75" customHeight="1">
      <c r="A72" s="48"/>
      <c r="B72" s="15"/>
      <c r="C72" s="15"/>
      <c r="D72" s="15"/>
      <c r="E72" s="15"/>
      <c r="F72" s="15"/>
      <c r="G72" s="15"/>
      <c r="H72" s="15"/>
      <c r="I72" s="15"/>
      <c r="J72" s="15"/>
      <c r="K72" s="15"/>
      <c r="L72" s="15"/>
      <c r="M72" s="15"/>
      <c r="N72" s="15"/>
      <c r="O72" s="15"/>
      <c r="P72" s="15"/>
      <c r="Q72" s="15"/>
      <c r="R72" s="15"/>
      <c r="S72" s="15"/>
      <c r="T72" s="15"/>
      <c r="U72" s="15"/>
      <c r="V72" s="15"/>
      <c r="W72" s="15"/>
      <c r="X72" s="15"/>
    </row>
    <row r="73" ht="24.75" customHeight="1">
      <c r="A73" s="49"/>
      <c r="B73" s="15"/>
      <c r="C73" s="15"/>
      <c r="D73" s="15"/>
      <c r="E73" s="15"/>
      <c r="F73" s="15"/>
      <c r="G73" s="15"/>
      <c r="H73" s="15"/>
      <c r="I73" s="15"/>
      <c r="J73" s="15"/>
      <c r="K73" s="15"/>
      <c r="L73" s="15"/>
      <c r="M73" s="15"/>
      <c r="N73" s="15"/>
      <c r="O73" s="15"/>
      <c r="P73" s="15"/>
      <c r="Q73" s="15"/>
      <c r="R73" s="15"/>
      <c r="S73" s="15"/>
      <c r="T73" s="15"/>
      <c r="U73" s="15"/>
      <c r="V73" s="15"/>
      <c r="W73" s="15"/>
      <c r="X73" s="15"/>
    </row>
    <row r="74" ht="24.75" customHeight="1">
      <c r="A74" s="47"/>
      <c r="B74" s="15"/>
      <c r="C74" s="15"/>
      <c r="D74" s="15"/>
      <c r="E74" s="15"/>
      <c r="F74" s="15"/>
      <c r="G74" s="15"/>
      <c r="H74" s="15"/>
      <c r="I74" s="15"/>
      <c r="J74" s="15"/>
      <c r="K74" s="15"/>
      <c r="L74" s="15"/>
      <c r="M74" s="15"/>
      <c r="N74" s="15"/>
      <c r="O74" s="15"/>
      <c r="P74" s="15"/>
      <c r="Q74" s="15"/>
      <c r="R74" s="15"/>
      <c r="S74" s="15"/>
      <c r="T74" s="15"/>
      <c r="U74" s="15"/>
      <c r="V74" s="15"/>
      <c r="W74" s="15"/>
      <c r="X74" s="15"/>
    </row>
    <row r="75" ht="24.75" customHeight="1">
      <c r="A75" s="47"/>
      <c r="B75" s="15"/>
      <c r="C75" s="15"/>
      <c r="D75" s="15"/>
      <c r="E75" s="15"/>
      <c r="F75" s="15"/>
      <c r="G75" s="15"/>
      <c r="H75" s="15"/>
      <c r="I75" s="15"/>
      <c r="J75" s="15"/>
      <c r="K75" s="15"/>
      <c r="L75" s="15"/>
      <c r="M75" s="15"/>
      <c r="N75" s="15"/>
      <c r="O75" s="15"/>
      <c r="P75" s="15"/>
      <c r="Q75" s="15"/>
      <c r="R75" s="15"/>
      <c r="S75" s="15"/>
      <c r="T75" s="15"/>
      <c r="U75" s="15"/>
      <c r="V75" s="15"/>
      <c r="W75" s="15"/>
      <c r="X75" s="15"/>
    </row>
    <row r="76" ht="24.75" customHeight="1">
      <c r="A76" s="47"/>
      <c r="B76" s="15"/>
      <c r="C76" s="15"/>
      <c r="D76" s="15"/>
      <c r="E76" s="15"/>
      <c r="F76" s="15"/>
      <c r="G76" s="15"/>
      <c r="H76" s="15"/>
      <c r="I76" s="15"/>
      <c r="J76" s="15"/>
      <c r="K76" s="15"/>
      <c r="L76" s="15"/>
      <c r="M76" s="15"/>
      <c r="N76" s="15"/>
      <c r="O76" s="15"/>
      <c r="P76" s="15"/>
      <c r="Q76" s="15"/>
      <c r="R76" s="15"/>
      <c r="S76" s="15"/>
      <c r="T76" s="15"/>
      <c r="U76" s="15"/>
      <c r="V76" s="15"/>
      <c r="W76" s="15"/>
      <c r="X76" s="15"/>
    </row>
    <row r="77" ht="24.75" customHeight="1">
      <c r="A77" s="47"/>
      <c r="B77" s="15"/>
      <c r="C77" s="15"/>
      <c r="D77" s="15"/>
      <c r="E77" s="15"/>
      <c r="F77" s="15"/>
      <c r="G77" s="15"/>
      <c r="H77" s="15"/>
      <c r="I77" s="15"/>
      <c r="J77" s="15"/>
      <c r="K77" s="15"/>
      <c r="L77" s="15"/>
      <c r="M77" s="15"/>
      <c r="N77" s="15"/>
      <c r="O77" s="15"/>
      <c r="P77" s="15"/>
      <c r="Q77" s="15"/>
      <c r="R77" s="15"/>
      <c r="S77" s="15"/>
      <c r="T77" s="15"/>
      <c r="U77" s="15"/>
      <c r="V77" s="15"/>
      <c r="W77" s="15"/>
      <c r="X77" s="15"/>
    </row>
    <row r="78" ht="24.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row>
    <row r="79" ht="24.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row>
    <row r="80" ht="24.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row>
    <row r="81" ht="24.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row>
    <row r="82" ht="24.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row>
    <row r="83" ht="24.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row>
    <row r="84" ht="24.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row>
    <row r="85" ht="24.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row>
    <row r="86" ht="24.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row>
    <row r="87" ht="24.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row>
    <row r="88" ht="24.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row>
    <row r="89" ht="24.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row>
    <row r="90" ht="24.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row>
    <row r="91" ht="24.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row>
    <row r="92" ht="24.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row>
    <row r="93" ht="24.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row>
    <row r="94" ht="24.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row>
    <row r="95" ht="24.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row>
    <row r="96" ht="24.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row>
    <row r="97" ht="24.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row>
    <row r="98" ht="24.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row>
    <row r="99" ht="24.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row>
    <row r="100" ht="24.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row>
    <row r="101" ht="24.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row>
    <row r="102" ht="24.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row>
    <row r="103" ht="24.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row>
    <row r="104" ht="24.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row>
    <row r="105" ht="24.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row>
    <row r="106" ht="24.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row>
    <row r="107" ht="24.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row>
    <row r="108" ht="24.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row>
    <row r="109" ht="24.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row>
    <row r="110" ht="24.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row>
    <row r="111" ht="24.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row>
    <row r="112" ht="24.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row>
    <row r="113" ht="24.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row>
    <row r="114" ht="24.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row>
    <row r="115" ht="24.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row>
    <row r="116" ht="24.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row>
    <row r="117" ht="24.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row>
    <row r="118" ht="24.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row>
    <row r="119" ht="24.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row>
    <row r="120" ht="24.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row>
    <row r="121" ht="24.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row>
    <row r="122" ht="24.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row>
    <row r="123" ht="24.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row>
    <row r="124" ht="24.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row>
    <row r="125" ht="24.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row>
    <row r="126" ht="24.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row>
    <row r="127" ht="24.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row>
    <row r="128" ht="24.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row>
    <row r="129" ht="24.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row>
    <row r="130" ht="24.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row>
    <row r="131" ht="24.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row>
    <row r="132" ht="24.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row>
    <row r="133" ht="24.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row>
    <row r="134" ht="24.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row>
    <row r="135" ht="24.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row>
    <row r="136" ht="24.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row>
    <row r="137" ht="24.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row>
    <row r="138" ht="24.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row>
    <row r="139" ht="24.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row>
    <row r="140" ht="24.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row>
    <row r="141" ht="24.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row>
    <row r="142" ht="24.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row>
    <row r="143" ht="24.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row>
    <row r="144" ht="24.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row>
    <row r="145" ht="24.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row>
    <row r="146" ht="24.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row>
    <row r="147" ht="24.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row>
    <row r="148" ht="24.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row>
    <row r="149" ht="24.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row>
    <row r="150" ht="24.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row>
    <row r="151" ht="24.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row>
    <row r="152" ht="24.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row>
    <row r="153" ht="24.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row>
    <row r="154" ht="24.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row>
    <row r="155" ht="24.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row>
    <row r="156" ht="24.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row>
    <row r="157" ht="24.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row>
    <row r="158" ht="24.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row>
    <row r="159" ht="24.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row>
    <row r="160" ht="24.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row>
    <row r="161" ht="24.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row>
    <row r="162" ht="24.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row>
    <row r="163" ht="24.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row>
    <row r="164" ht="24.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row>
    <row r="165" ht="24.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row>
    <row r="166" ht="24.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row>
    <row r="167" ht="24.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row>
    <row r="168" ht="24.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row>
    <row r="169" ht="24.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row>
    <row r="170" ht="24.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row>
    <row r="171" ht="24.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row>
    <row r="172" ht="24.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row>
    <row r="173" ht="24.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row>
    <row r="174" ht="24.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row>
    <row r="175" ht="24.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row>
    <row r="176" ht="24.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row>
    <row r="177" ht="24.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row>
    <row r="178" ht="24.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row>
    <row r="179" ht="24.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row>
    <row r="180" ht="24.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row>
    <row r="181" ht="24.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row>
    <row r="182" ht="24.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row>
    <row r="183" ht="24.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row>
    <row r="184" ht="24.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row>
    <row r="185" ht="24.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row>
    <row r="186" ht="24.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row>
    <row r="187" ht="24.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row>
    <row r="188" ht="24.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row>
    <row r="189" ht="24.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row>
    <row r="190" ht="24.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row>
    <row r="191" ht="24.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row>
    <row r="192" ht="24.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row>
    <row r="193" ht="24.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row>
    <row r="194" ht="24.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row>
    <row r="195" ht="24.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row>
    <row r="196" ht="24.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row>
    <row r="197" ht="24.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row>
    <row r="198" ht="24.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row>
    <row r="199" ht="24.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row>
    <row r="200" ht="24.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row>
    <row r="201" ht="24.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row>
    <row r="202" ht="24.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row>
    <row r="203" ht="24.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row>
    <row r="204" ht="24.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row>
    <row r="205" ht="24.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row>
    <row r="206" ht="24.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row>
    <row r="207" ht="24.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row>
    <row r="208" ht="24.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row>
    <row r="209" ht="24.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row>
    <row r="210" ht="24.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row>
    <row r="211" ht="24.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row>
    <row r="212" ht="24.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row>
    <row r="213" ht="24.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row>
    <row r="214" ht="24.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row>
    <row r="215" ht="24.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row>
    <row r="216" ht="24.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row>
    <row r="217" ht="24.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row>
    <row r="218" ht="24.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row>
    <row r="219" ht="24.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row>
    <row r="220" ht="24.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row>
    <row r="221" ht="24.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row>
    <row r="222" ht="24.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row>
    <row r="223" ht="24.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row>
    <row r="224" ht="24.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row>
    <row r="225" ht="24.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row>
    <row r="226" ht="24.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row>
    <row r="227" ht="24.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row>
    <row r="228" ht="24.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row>
    <row r="229" ht="24.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row>
    <row r="230" ht="24.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row>
    <row r="231" ht="24.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row>
    <row r="232" ht="24.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row>
    <row r="233" ht="24.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row>
    <row r="234" ht="24.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row>
    <row r="235" ht="24.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row>
    <row r="236" ht="24.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row>
    <row r="237" ht="24.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row>
    <row r="238" ht="24.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row>
    <row r="239" ht="24.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row>
    <row r="240" ht="24.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row>
    <row r="241" ht="24.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row>
    <row r="242" ht="24.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row>
    <row r="243" ht="24.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row>
    <row r="244" ht="24.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row>
    <row r="245" ht="24.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row>
    <row r="246" ht="24.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row>
    <row r="247" ht="24.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row>
    <row r="248" ht="24.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row>
    <row r="249" ht="24.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row>
    <row r="250" ht="24.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row>
    <row r="251" ht="24.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row>
    <row r="252" ht="24.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row>
    <row r="253" ht="24.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row>
    <row r="254" ht="24.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row>
    <row r="255" ht="24.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row>
    <row r="256" ht="24.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row>
    <row r="257" ht="24.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row>
    <row r="258" ht="24.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row>
    <row r="259" ht="24.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row>
    <row r="260" ht="24.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row>
    <row r="261" ht="24.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row>
    <row r="262" ht="24.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row>
    <row r="263" ht="24.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row>
    <row r="264" ht="24.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row>
    <row r="265" ht="24.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row>
    <row r="266" ht="24.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row>
    <row r="267" ht="24.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row>
    <row r="268" ht="24.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row>
    <row r="269" ht="24.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row>
    <row r="270" ht="24.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row>
    <row r="271" ht="24.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row>
    <row r="272" ht="24.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row>
    <row r="273" ht="24.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row>
    <row r="274" ht="24.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row>
    <row r="275" ht="24.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row>
    <row r="276" ht="24.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row>
    <row r="277" ht="24.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row>
    <row r="278" ht="24.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row>
    <row r="279" ht="24.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row>
    <row r="280" ht="24.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row>
    <row r="281" ht="24.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row>
    <row r="282" ht="24.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row>
    <row r="283" ht="24.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row>
    <row r="284" ht="24.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row>
    <row r="285" ht="24.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row>
    <row r="286" ht="24.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row>
    <row r="287" ht="24.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row>
    <row r="288" ht="24.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row>
    <row r="289" ht="24.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row>
    <row r="290" ht="24.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row>
    <row r="291" ht="24.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row>
    <row r="292" ht="24.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row>
    <row r="293" ht="24.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row>
    <row r="294" ht="24.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row>
    <row r="295" ht="24.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row>
    <row r="296" ht="24.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row>
    <row r="297" ht="24.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row>
    <row r="298" ht="24.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row>
    <row r="299" ht="24.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row>
    <row r="300" ht="24.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row>
    <row r="301" ht="24.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row>
    <row r="302" ht="24.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row>
    <row r="303" ht="24.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row>
    <row r="304" ht="24.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row>
    <row r="305" ht="24.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row>
    <row r="306" ht="24.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row>
    <row r="307" ht="24.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row>
    <row r="308" ht="24.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row>
    <row r="309" ht="24.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row>
    <row r="310" ht="24.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row>
    <row r="311" ht="24.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row>
    <row r="312" ht="24.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row>
    <row r="313" ht="24.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row>
    <row r="314" ht="24.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row>
    <row r="315" ht="24.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row>
    <row r="316" ht="24.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row>
    <row r="317" ht="24.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row>
    <row r="318" ht="24.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row>
    <row r="319" ht="24.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row>
    <row r="320" ht="24.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row>
    <row r="321" ht="24.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row>
    <row r="322" ht="24.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row>
    <row r="323" ht="24.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row>
    <row r="324" ht="24.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row>
    <row r="325" ht="24.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row>
    <row r="326" ht="24.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row>
    <row r="327" ht="24.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row>
    <row r="328" ht="24.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row>
    <row r="329" ht="24.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row>
    <row r="330" ht="24.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row>
    <row r="331" ht="24.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row>
    <row r="332" ht="24.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row>
    <row r="333" ht="24.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row>
    <row r="334" ht="24.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row>
    <row r="335" ht="24.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row>
    <row r="336" ht="24.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row>
    <row r="337" ht="24.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row>
    <row r="338" ht="24.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row>
    <row r="339" ht="24.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row>
    <row r="340" ht="24.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row>
    <row r="341" ht="24.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row>
    <row r="342" ht="24.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row>
    <row r="343" ht="24.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row>
    <row r="344" ht="24.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row>
    <row r="345" ht="24.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row>
    <row r="346" ht="24.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row>
    <row r="347" ht="24.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row>
    <row r="348" ht="24.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row>
    <row r="349" ht="24.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row>
    <row r="350" ht="24.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row>
    <row r="351" ht="24.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row>
    <row r="352" ht="24.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row>
    <row r="353" ht="24.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row>
    <row r="354" ht="24.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row>
    <row r="355" ht="24.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row>
    <row r="356" ht="24.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row>
    <row r="357" ht="24.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row>
    <row r="358" ht="24.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row>
    <row r="359" ht="24.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row>
    <row r="360" ht="24.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row>
    <row r="361" ht="24.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row>
    <row r="362" ht="24.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row>
    <row r="363" ht="24.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row>
    <row r="364" ht="24.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row>
    <row r="365" ht="24.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row>
    <row r="366" ht="24.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row>
    <row r="367" ht="24.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row>
    <row r="368" ht="24.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row>
    <row r="369" ht="24.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row>
    <row r="370" ht="24.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row>
    <row r="371" ht="24.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row>
    <row r="372" ht="24.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row>
    <row r="373" ht="24.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row>
    <row r="374" ht="24.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row>
    <row r="375" ht="24.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row>
    <row r="376" ht="24.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row>
    <row r="377" ht="24.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row>
    <row r="378" ht="24.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row>
    <row r="379" ht="24.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row>
    <row r="380" ht="24.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row>
    <row r="381" ht="24.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row>
    <row r="382" ht="24.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row>
    <row r="383" ht="24.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row>
    <row r="384" ht="24.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row>
    <row r="385" ht="24.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row>
    <row r="386" ht="24.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row>
    <row r="387" ht="24.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row>
    <row r="388" ht="24.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row>
    <row r="389" ht="24.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row>
    <row r="390" ht="24.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row>
    <row r="391" ht="24.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row>
    <row r="392" ht="24.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row>
    <row r="393" ht="24.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row>
    <row r="394" ht="24.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row>
    <row r="395" ht="24.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row>
    <row r="396" ht="24.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row>
    <row r="397" ht="24.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row>
    <row r="398" ht="24.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row>
    <row r="399" ht="24.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row>
    <row r="400" ht="24.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row>
    <row r="401" ht="24.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row>
    <row r="402" ht="24.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row>
    <row r="403" ht="24.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row>
    <row r="404" ht="24.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row>
    <row r="405" ht="24.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row>
    <row r="406" ht="24.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row>
    <row r="407" ht="24.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row>
    <row r="408" ht="24.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row>
    <row r="409" ht="24.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row>
    <row r="410" ht="24.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row>
    <row r="411" ht="24.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row>
    <row r="412" ht="24.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row>
    <row r="413" ht="24.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row>
    <row r="414" ht="24.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row>
    <row r="415" ht="24.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row>
    <row r="416" ht="24.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row>
    <row r="417" ht="24.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row>
    <row r="418" ht="24.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row>
    <row r="419" ht="24.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row>
    <row r="420" ht="24.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row>
    <row r="421" ht="24.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row>
    <row r="422" ht="24.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row>
    <row r="423" ht="24.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row>
    <row r="424" ht="24.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row>
    <row r="425" ht="24.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row>
    <row r="426" ht="24.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row>
    <row r="427" ht="24.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row>
    <row r="428" ht="24.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row>
    <row r="429" ht="24.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row>
    <row r="430" ht="24.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row>
    <row r="431" ht="24.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row>
    <row r="432" ht="24.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row>
    <row r="433" ht="24.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row>
    <row r="434" ht="24.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row>
    <row r="435" ht="24.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row>
    <row r="436" ht="24.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row>
    <row r="437" ht="24.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row>
    <row r="438" ht="24.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row>
    <row r="439" ht="24.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row>
    <row r="440" ht="24.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row>
    <row r="441" ht="24.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row>
    <row r="442" ht="24.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row>
    <row r="443" ht="24.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row>
    <row r="444" ht="24.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row>
    <row r="445" ht="24.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row>
    <row r="446" ht="24.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row>
    <row r="447" ht="24.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row>
    <row r="448" ht="24.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row>
    <row r="449" ht="24.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row>
    <row r="450" ht="24.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row>
    <row r="451" ht="24.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row>
    <row r="452" ht="24.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row>
    <row r="453" ht="24.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row>
    <row r="454" ht="24.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row>
    <row r="455" ht="24.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row>
    <row r="456" ht="24.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row>
    <row r="457" ht="24.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row>
    <row r="458" ht="24.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row>
    <row r="459" ht="24.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row>
    <row r="460" ht="24.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row>
    <row r="461" ht="24.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row>
    <row r="462" ht="24.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row>
    <row r="463" ht="24.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row>
    <row r="464" ht="24.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row>
    <row r="465" ht="24.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row>
    <row r="466" ht="24.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row>
    <row r="467" ht="24.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row>
    <row r="468" ht="24.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row>
    <row r="469" ht="24.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row>
    <row r="470" ht="24.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row>
    <row r="471" ht="24.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row>
    <row r="472" ht="24.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row>
    <row r="473" ht="24.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row>
    <row r="474" ht="24.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row>
    <row r="475" ht="24.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row>
    <row r="476" ht="24.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row>
    <row r="477" ht="24.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row>
    <row r="478" ht="24.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row>
    <row r="479" ht="24.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row>
    <row r="480" ht="24.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row>
    <row r="481" ht="24.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row>
    <row r="482" ht="24.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row>
    <row r="483" ht="24.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row>
    <row r="484" ht="24.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row>
    <row r="485" ht="24.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row>
    <row r="486" ht="24.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row>
    <row r="487" ht="24.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row>
    <row r="488" ht="24.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row>
    <row r="489" ht="24.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row>
    <row r="490" ht="24.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row>
    <row r="491" ht="24.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row>
    <row r="492" ht="24.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row>
    <row r="493" ht="24.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row>
    <row r="494" ht="24.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row>
    <row r="495" ht="24.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row>
    <row r="496" ht="24.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row>
    <row r="497" ht="24.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row>
    <row r="498" ht="24.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row>
    <row r="499" ht="24.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row>
    <row r="500" ht="24.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row>
    <row r="501" ht="24.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row>
    <row r="502" ht="24.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row>
    <row r="503" ht="24.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row>
    <row r="504" ht="24.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row>
    <row r="505" ht="24.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row>
    <row r="506" ht="24.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row>
    <row r="507" ht="24.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row>
    <row r="508" ht="24.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row>
    <row r="509" ht="24.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row>
    <row r="510" ht="24.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row>
    <row r="511" ht="24.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row>
    <row r="512" ht="24.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row>
    <row r="513" ht="24.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row>
    <row r="514" ht="24.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row>
    <row r="515" ht="24.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row>
    <row r="516" ht="24.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row>
    <row r="517" ht="24.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row>
    <row r="518" ht="24.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row>
    <row r="519" ht="24.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row>
    <row r="520" ht="24.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row>
    <row r="521" ht="24.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row>
    <row r="522" ht="24.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row>
    <row r="523" ht="24.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row>
    <row r="524" ht="24.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row>
    <row r="525" ht="24.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row>
    <row r="526" ht="24.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row>
    <row r="527" ht="24.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row>
    <row r="528" ht="24.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row>
    <row r="529" ht="24.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row>
    <row r="530" ht="24.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row>
    <row r="531" ht="24.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row>
    <row r="532" ht="24.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row>
    <row r="533" ht="24.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row>
    <row r="534" ht="24.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row>
    <row r="535" ht="24.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row>
    <row r="536" ht="24.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row>
    <row r="537" ht="24.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row>
    <row r="538" ht="24.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row>
    <row r="539" ht="24.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row>
    <row r="540" ht="24.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row>
    <row r="541" ht="24.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row>
    <row r="542" ht="24.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row>
    <row r="543" ht="24.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row>
    <row r="544" ht="24.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row>
    <row r="545" ht="24.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row>
    <row r="546" ht="24.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row>
    <row r="547" ht="24.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row>
    <row r="548" ht="24.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row>
    <row r="549" ht="24.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row>
    <row r="550" ht="24.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row>
    <row r="551" ht="24.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row>
    <row r="552" ht="24.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row>
    <row r="553" ht="24.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row>
    <row r="554" ht="24.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row>
    <row r="555" ht="24.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row>
    <row r="556" ht="24.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row>
    <row r="557" ht="24.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row>
    <row r="558" ht="24.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row>
    <row r="559" ht="24.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row>
    <row r="560" ht="24.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row>
    <row r="561" ht="24.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row>
    <row r="562" ht="24.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row>
    <row r="563" ht="24.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row>
    <row r="564" ht="24.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row>
    <row r="565" ht="24.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row>
    <row r="566" ht="24.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row>
    <row r="567" ht="24.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row>
    <row r="568" ht="24.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row>
    <row r="569" ht="24.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row>
    <row r="570" ht="24.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row>
    <row r="571" ht="24.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row>
    <row r="572" ht="24.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row>
    <row r="573" ht="24.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row>
    <row r="574" ht="24.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row>
    <row r="575" ht="24.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row>
    <row r="576" ht="24.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row>
    <row r="577" ht="24.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row>
    <row r="578" ht="24.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row>
    <row r="579" ht="24.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row>
    <row r="580" ht="24.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row>
    <row r="581" ht="24.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row>
    <row r="582" ht="24.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row>
    <row r="583" ht="24.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row>
    <row r="584" ht="24.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row>
    <row r="585" ht="24.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row>
    <row r="586" ht="24.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row>
    <row r="587" ht="24.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row>
    <row r="588" ht="24.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row>
    <row r="589" ht="24.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row>
    <row r="590" ht="24.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row>
    <row r="591" ht="24.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row>
    <row r="592" ht="24.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row>
    <row r="593" ht="24.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row>
    <row r="594" ht="24.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row>
    <row r="595" ht="24.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row>
    <row r="596" ht="24.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row>
    <row r="597" ht="24.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row>
    <row r="598" ht="24.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row>
    <row r="599" ht="24.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row>
    <row r="600" ht="24.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row>
    <row r="601" ht="24.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row>
    <row r="602" ht="24.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row>
    <row r="603" ht="24.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row>
    <row r="604" ht="24.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row>
    <row r="605" ht="24.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row>
    <row r="606" ht="24.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row>
    <row r="607" ht="24.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row>
    <row r="608" ht="24.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row>
    <row r="609" ht="24.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row>
    <row r="610" ht="24.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row>
    <row r="611" ht="24.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row>
    <row r="612" ht="24.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row>
    <row r="613" ht="24.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row>
    <row r="614" ht="24.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row>
    <row r="615" ht="24.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row>
    <row r="616" ht="24.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row>
    <row r="617" ht="24.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row>
    <row r="618" ht="24.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row>
    <row r="619" ht="24.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row>
    <row r="620" ht="24.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row>
    <row r="621" ht="24.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row>
    <row r="622" ht="24.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row>
    <row r="623" ht="24.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row>
    <row r="624" ht="24.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row>
    <row r="625" ht="24.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row>
    <row r="626" ht="24.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row>
    <row r="627" ht="24.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row>
    <row r="628" ht="24.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row>
    <row r="629" ht="24.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row>
    <row r="630" ht="24.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row>
    <row r="631" ht="24.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row>
    <row r="632" ht="24.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row>
    <row r="633" ht="24.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row>
    <row r="634" ht="24.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row>
    <row r="635" ht="24.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row>
    <row r="636" ht="24.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row>
    <row r="637" ht="24.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row>
    <row r="638" ht="24.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row>
    <row r="639" ht="24.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row>
    <row r="640" ht="24.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row>
    <row r="641" ht="24.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row>
    <row r="642" ht="24.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row>
    <row r="643" ht="24.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row>
    <row r="644" ht="24.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row>
    <row r="645" ht="24.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row>
    <row r="646" ht="24.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row>
    <row r="647" ht="24.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row>
    <row r="648" ht="24.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row>
    <row r="649" ht="24.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row>
    <row r="650" ht="24.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row>
    <row r="651" ht="24.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row>
    <row r="652" ht="24.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row>
    <row r="653" ht="24.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row>
    <row r="654" ht="24.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row>
    <row r="655" ht="24.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row>
    <row r="656" ht="24.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row>
    <row r="657" ht="24.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row>
    <row r="658" ht="24.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row>
    <row r="659" ht="24.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row>
    <row r="660" ht="24.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row>
    <row r="661" ht="24.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row>
    <row r="662" ht="24.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row>
    <row r="663" ht="24.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row>
    <row r="664" ht="24.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row>
    <row r="665" ht="24.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row>
    <row r="666" ht="24.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row>
    <row r="667" ht="24.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row>
    <row r="668" ht="24.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row>
    <row r="669" ht="24.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row>
    <row r="670" ht="24.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row>
    <row r="671" ht="24.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row>
    <row r="672" ht="24.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row>
    <row r="673" ht="24.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row>
    <row r="674" ht="24.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row>
    <row r="675" ht="24.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row>
    <row r="676" ht="24.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row>
    <row r="677" ht="24.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row>
    <row r="678" ht="24.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row>
    <row r="679" ht="24.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row>
    <row r="680" ht="24.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row>
    <row r="681" ht="24.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row>
    <row r="682" ht="24.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row>
    <row r="683" ht="24.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row>
    <row r="684" ht="24.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row>
    <row r="685" ht="24.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row>
    <row r="686" ht="24.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row>
    <row r="687" ht="24.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row>
    <row r="688" ht="24.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row>
    <row r="689" ht="24.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row>
    <row r="690" ht="24.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row>
    <row r="691" ht="24.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row>
    <row r="692" ht="24.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row>
    <row r="693" ht="24.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row>
    <row r="694" ht="24.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row>
    <row r="695" ht="24.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row>
    <row r="696" ht="24.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row>
    <row r="697" ht="24.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row>
    <row r="698" ht="24.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row>
    <row r="699" ht="24.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row>
    <row r="700" ht="24.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row>
    <row r="701" ht="24.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row>
    <row r="702" ht="24.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row>
    <row r="703" ht="24.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row>
    <row r="704" ht="24.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row>
    <row r="705" ht="24.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row>
    <row r="706" ht="24.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row>
    <row r="707" ht="24.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row>
    <row r="708" ht="24.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row>
    <row r="709" ht="24.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row>
    <row r="710" ht="24.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row>
    <row r="711" ht="24.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row>
    <row r="712" ht="24.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row>
    <row r="713" ht="24.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row>
    <row r="714" ht="24.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row>
    <row r="715" ht="24.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row>
    <row r="716" ht="24.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row>
    <row r="717" ht="24.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row>
    <row r="718" ht="24.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row>
    <row r="719" ht="24.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row>
    <row r="720" ht="24.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row>
    <row r="721" ht="24.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row>
    <row r="722" ht="24.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row>
    <row r="723" ht="24.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row>
    <row r="724" ht="24.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row>
    <row r="725" ht="24.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row>
    <row r="726" ht="24.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row>
    <row r="727" ht="24.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row>
    <row r="728" ht="24.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row>
    <row r="729" ht="24.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row>
    <row r="730" ht="24.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row>
    <row r="731" ht="24.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row>
    <row r="732" ht="24.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row>
    <row r="733" ht="24.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row>
    <row r="734" ht="24.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row>
    <row r="735" ht="24.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row>
    <row r="736" ht="24.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row>
    <row r="737" ht="24.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row>
    <row r="738" ht="24.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row>
    <row r="739" ht="24.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row>
    <row r="740" ht="24.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row>
    <row r="741" ht="24.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row>
    <row r="742" ht="24.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row>
    <row r="743" ht="24.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row>
    <row r="744" ht="24.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row>
    <row r="745" ht="24.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row>
    <row r="746" ht="24.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row>
    <row r="747" ht="24.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row>
    <row r="748" ht="24.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row>
    <row r="749" ht="24.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row>
    <row r="750" ht="24.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row>
    <row r="751" ht="24.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row>
    <row r="752" ht="24.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row>
    <row r="753" ht="24.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row>
    <row r="754" ht="24.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row>
    <row r="755" ht="24.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row>
    <row r="756" ht="24.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row>
    <row r="757" ht="24.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row>
    <row r="758" ht="24.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row>
    <row r="759" ht="24.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row>
    <row r="760" ht="24.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row>
    <row r="761" ht="24.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row>
    <row r="762" ht="24.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row>
    <row r="763" ht="24.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row>
    <row r="764" ht="24.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row>
    <row r="765" ht="24.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row>
    <row r="766" ht="24.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row>
    <row r="767" ht="24.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row>
    <row r="768" ht="24.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row>
    <row r="769" ht="24.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row>
    <row r="770" ht="24.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row>
    <row r="771" ht="24.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row>
    <row r="772" ht="24.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row>
    <row r="773" ht="24.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row>
    <row r="774" ht="24.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row>
    <row r="775" ht="24.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row>
    <row r="776" ht="24.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row>
    <row r="777" ht="24.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row>
    <row r="778" ht="24.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row>
    <row r="779" ht="24.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row>
    <row r="780" ht="24.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row>
    <row r="781" ht="24.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row>
    <row r="782" ht="24.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row>
    <row r="783" ht="24.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row>
    <row r="784" ht="24.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row>
    <row r="785" ht="24.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row>
    <row r="786" ht="24.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row>
    <row r="787" ht="24.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row>
    <row r="788" ht="24.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row>
    <row r="789" ht="24.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row>
    <row r="790" ht="24.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row>
    <row r="791" ht="24.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row>
    <row r="792" ht="24.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row>
    <row r="793" ht="24.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row>
    <row r="794" ht="24.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row>
    <row r="795" ht="24.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row>
    <row r="796" ht="24.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row>
    <row r="797" ht="24.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row>
    <row r="798" ht="24.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row>
    <row r="799" ht="24.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row>
    <row r="800" ht="24.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row>
    <row r="801" ht="24.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row>
    <row r="802" ht="24.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row>
    <row r="803" ht="24.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row>
    <row r="804" ht="24.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row>
    <row r="805" ht="24.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row>
    <row r="806" ht="24.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row>
    <row r="807" ht="24.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row>
    <row r="808" ht="24.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row>
    <row r="809" ht="24.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row>
    <row r="810" ht="24.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row>
    <row r="811" ht="24.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row>
    <row r="812" ht="24.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row>
    <row r="813" ht="24.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row>
    <row r="814" ht="24.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row>
    <row r="815" ht="24.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row>
    <row r="816" ht="24.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row>
    <row r="817" ht="24.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row>
    <row r="818" ht="24.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row>
    <row r="819" ht="24.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row>
    <row r="820" ht="24.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row>
    <row r="821" ht="24.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row>
    <row r="822" ht="24.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row>
    <row r="823" ht="24.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row>
    <row r="824" ht="24.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row>
    <row r="825" ht="24.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row>
    <row r="826" ht="24.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row>
    <row r="827" ht="24.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row>
    <row r="828" ht="24.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row>
    <row r="829" ht="24.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row>
    <row r="830" ht="24.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row>
    <row r="831" ht="24.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row>
    <row r="832" ht="24.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row>
    <row r="833" ht="24.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row>
    <row r="834" ht="24.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row>
    <row r="835" ht="24.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row>
    <row r="836" ht="24.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row>
    <row r="837" ht="24.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row>
    <row r="838" ht="24.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row>
    <row r="839" ht="24.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row>
    <row r="840" ht="24.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row>
    <row r="841" ht="24.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row>
    <row r="842" ht="24.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row>
    <row r="843" ht="24.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row>
    <row r="844" ht="24.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row>
    <row r="845" ht="24.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row>
    <row r="846" ht="24.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row>
    <row r="847" ht="24.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row>
    <row r="848" ht="24.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row>
    <row r="849" ht="24.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row>
    <row r="850" ht="24.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row>
    <row r="851" ht="24.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row>
    <row r="852" ht="24.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row>
    <row r="853" ht="24.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row>
    <row r="854" ht="24.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row>
    <row r="855" ht="24.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row>
    <row r="856" ht="24.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row>
    <row r="857" ht="24.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row>
    <row r="858" ht="24.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row>
    <row r="859" ht="24.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row>
    <row r="860" ht="24.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row>
    <row r="861" ht="24.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row>
    <row r="862" ht="24.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row>
    <row r="863" ht="24.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row>
    <row r="864" ht="24.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row>
    <row r="865" ht="24.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row>
    <row r="866" ht="24.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row>
    <row r="867" ht="24.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row>
    <row r="868" ht="24.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row>
    <row r="869" ht="24.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row>
    <row r="870" ht="24.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row>
    <row r="871" ht="24.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row>
    <row r="872" ht="24.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row>
    <row r="873" ht="24.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row>
    <row r="874" ht="24.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row>
    <row r="875" ht="24.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row>
    <row r="876" ht="24.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row>
    <row r="877" ht="24.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row>
    <row r="878" ht="24.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row>
    <row r="879" ht="24.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row>
    <row r="880" ht="24.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row>
    <row r="881" ht="24.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row>
    <row r="882" ht="24.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row>
    <row r="883" ht="24.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row>
    <row r="884" ht="24.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row>
    <row r="885" ht="24.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row>
    <row r="886" ht="24.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row>
    <row r="887" ht="24.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row>
    <row r="888" ht="24.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row>
    <row r="889" ht="24.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row>
    <row r="890" ht="24.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row>
    <row r="891" ht="24.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row>
    <row r="892" ht="24.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row>
    <row r="893" ht="24.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row>
    <row r="894" ht="24.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row>
    <row r="895" ht="24.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row>
    <row r="896" ht="24.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row>
    <row r="897" ht="24.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row>
    <row r="898" ht="24.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row>
    <row r="899" ht="24.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row>
    <row r="900" ht="24.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row>
    <row r="901" ht="24.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row>
    <row r="902" ht="24.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row>
    <row r="903" ht="24.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row>
    <row r="904" ht="24.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row>
    <row r="905" ht="24.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row>
    <row r="906" ht="24.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row>
    <row r="907" ht="24.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row>
    <row r="908" ht="24.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row>
    <row r="909" ht="24.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row>
    <row r="910" ht="24.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row>
    <row r="911" ht="24.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row>
    <row r="912" ht="24.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row>
    <row r="913" ht="24.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row>
    <row r="914" ht="24.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row>
    <row r="915" ht="24.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row>
    <row r="916" ht="24.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row>
    <row r="917" ht="24.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row>
    <row r="918" ht="24.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row>
    <row r="919" ht="24.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row>
    <row r="920" ht="24.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row>
    <row r="921" ht="24.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row>
    <row r="922" ht="24.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row>
    <row r="923" ht="24.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row>
    <row r="924" ht="24.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row>
    <row r="925" ht="24.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row>
    <row r="926" ht="24.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row>
    <row r="927" ht="24.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row>
    <row r="928" ht="24.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row>
    <row r="929" ht="24.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row>
    <row r="930" ht="24.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row>
    <row r="931" ht="24.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row>
    <row r="932" ht="24.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row>
    <row r="933" ht="24.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row>
    <row r="934" ht="24.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row>
    <row r="935" ht="24.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row>
    <row r="936" ht="24.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row>
    <row r="937" ht="24.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row>
    <row r="938" ht="24.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row>
    <row r="939" ht="24.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row>
    <row r="940" ht="24.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row>
    <row r="941" ht="24.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row>
    <row r="942" ht="24.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row>
    <row r="943" ht="24.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row>
    <row r="944" ht="24.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row>
    <row r="945" ht="24.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row>
    <row r="946" ht="24.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row>
    <row r="947" ht="24.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row>
    <row r="948" ht="24.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row>
    <row r="949" ht="24.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row>
    <row r="950" ht="24.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row>
    <row r="951" ht="24.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row>
    <row r="952" ht="24.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row>
    <row r="953" ht="24.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row>
    <row r="954" ht="24.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row>
    <row r="955" ht="24.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row>
    <row r="956" ht="24.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row>
    <row r="957" ht="24.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row>
    <row r="958" ht="24.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row>
    <row r="959" ht="24.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row>
    <row r="960" ht="24.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row>
    <row r="961" ht="24.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row>
    <row r="962" ht="24.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row>
    <row r="963" ht="24.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row>
    <row r="964" ht="24.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row>
    <row r="965" ht="24.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row>
    <row r="966" ht="24.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row>
    <row r="967" ht="24.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row>
    <row r="968" ht="24.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row>
    <row r="969" ht="24.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row>
    <row r="970" ht="24.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row>
    <row r="971" ht="24.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row>
    <row r="972" ht="24.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row>
    <row r="973" ht="24.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row>
    <row r="974" ht="24.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row>
    <row r="975" ht="24.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row>
    <row r="976" ht="24.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row>
    <row r="977" ht="24.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row>
    <row r="978" ht="24.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row>
    <row r="979" ht="24.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row>
    <row r="980" ht="24.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row>
    <row r="981" ht="24.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row>
    <row r="982" ht="24.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row>
    <row r="983" ht="24.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row>
    <row r="984" ht="24.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row>
    <row r="985" ht="24.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row>
    <row r="986" ht="24.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row>
    <row r="987" ht="24.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row>
    <row r="988" ht="24.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row>
    <row r="989" ht="24.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row>
    <row r="990" ht="24.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row>
    <row r="991" ht="24.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row>
    <row r="992" ht="24.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row>
    <row r="993" ht="24.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row>
    <row r="994" ht="24.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row>
    <row r="995" ht="24.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row>
    <row r="996" ht="24.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row>
    <row r="997" ht="24.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row>
    <row r="998" ht="24.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row>
    <row r="999" ht="24.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row>
    <row r="1000" ht="24.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row>
    <row r="1001" ht="24.75" customHeight="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row>
    <row r="1002" ht="24.75" customHeight="1">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row>
    <row r="1003" ht="24.75" customHeight="1">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row>
    <row r="1004" ht="24.75" customHeight="1">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row>
    <row r="1005" ht="24.75" customHeight="1">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row>
    <row r="1006" ht="24.75" customHeight="1">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row>
    <row r="1007" ht="24.75" customHeight="1">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row>
    <row r="1008" ht="24.75" customHeight="1">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row>
    <row r="1009" ht="24.75" customHeight="1">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row>
    <row r="1010" ht="24.75" customHeight="1">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row>
    <row r="1011" ht="24.75" customHeight="1">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row>
    <row r="1012" ht="24.75" customHeight="1">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row>
    <row r="1013" ht="24.75" customHeight="1">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row>
    <row r="1014" ht="24.75" customHeight="1">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row>
    <row r="1015" ht="24.75" customHeight="1">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row>
    <row r="1016" ht="24.75" customHeight="1">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row>
    <row r="1017" ht="24.75" customHeight="1">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row>
    <row r="1018" ht="24.75" customHeight="1">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row>
    <row r="1019" ht="24.75" customHeight="1">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row>
    <row r="1020" ht="24.75" customHeight="1">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row>
    <row r="1021" ht="24.75" customHeight="1">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row>
    <row r="1022" ht="24.75" customHeight="1">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row>
    <row r="1023" ht="24.75" customHeight="1">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row>
    <row r="1024" ht="24.75" customHeight="1">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row>
    <row r="1025" ht="24.75" customHeight="1">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row>
    <row r="1026" ht="24.75" customHeight="1">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row>
    <row r="1027" ht="24.75" customHeight="1">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row>
    <row r="1028" ht="24.75" customHeight="1">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row>
    <row r="1029" ht="24.75" customHeight="1">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row>
    <row r="1030" ht="24.75" customHeight="1">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row>
    <row r="1031" ht="24.75" customHeight="1">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row>
    <row r="1032" ht="24.75" customHeight="1">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row>
    <row r="1033" ht="24.75" customHeight="1">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row>
    <row r="1034" ht="24.75" customHeight="1">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row>
    <row r="1035" ht="24.75" customHeight="1">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row>
    <row r="1036" ht="24.75" customHeight="1">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row>
    <row r="1037" ht="24.75" customHeight="1">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row>
  </sheetData>
  <mergeCells count="4">
    <mergeCell ref="B1:D1"/>
    <mergeCell ref="B7:D7"/>
    <mergeCell ref="B4:D4"/>
    <mergeCell ref="B3:D3"/>
  </mergeCells>
  <hyperlinks>
    <hyperlink display="'Year Missing' was extracted from 'Missing Data' column in Sheet 1. The data in this column was very inconsistent; in some cases only YYYY was provided, in others MM/YY, and MM/DD/YY and DD/MM/YY were used interchangeably. In some cases, no date was provided, or the date was unclear; these have been marked as 'NA'. &#10;&#10;NB: 'Year Missing' column may not be highly reliable as there is a likelihood that some dates may have been inputted incorrectly in the original dataset." location="1!A1" ref="B4"/>
    <hyperlink display="Locations disaggregated from 'COIOED No' column in Sheet 1. In a number of cases, no location data was included in 'COIOED No.'. Location data was obtained from other columns, such as 'District', 'FIR', etc . In a handful of cases, only the location of the complainant's address was available. It is uncertain whether this would correspond with the location of the disappearance. Therefore minor discrepancies may exist.  " location="1!A1" ref="B7"/>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sheetData>
    <row r="1">
      <c r="A1" s="50" t="s">
        <v>104</v>
      </c>
      <c r="B1" s="22"/>
      <c r="C1" s="22"/>
      <c r="D1" s="22"/>
      <c r="E1" s="22"/>
      <c r="F1" s="22"/>
      <c r="G1" s="22"/>
      <c r="H1" s="22"/>
      <c r="I1" s="22"/>
      <c r="J1" s="22"/>
      <c r="K1" s="22"/>
      <c r="L1" s="22"/>
      <c r="M1" s="22"/>
      <c r="N1" s="23"/>
      <c r="O1" s="51"/>
    </row>
    <row r="2">
      <c r="A2" s="50" t="s">
        <v>105</v>
      </c>
      <c r="B2" s="22"/>
      <c r="C2" s="22"/>
      <c r="D2" s="22"/>
      <c r="E2" s="22"/>
      <c r="F2" s="22"/>
      <c r="G2" s="22"/>
      <c r="H2" s="22"/>
      <c r="I2" s="22"/>
      <c r="J2" s="22"/>
      <c r="K2" s="22"/>
      <c r="L2" s="22"/>
      <c r="M2" s="22"/>
      <c r="N2" s="23"/>
      <c r="O2" s="51"/>
    </row>
    <row r="3">
      <c r="A3" s="52" t="s">
        <v>106</v>
      </c>
      <c r="B3" s="53" t="s">
        <v>107</v>
      </c>
      <c r="C3" s="53" t="s">
        <v>108</v>
      </c>
      <c r="D3" s="53" t="s">
        <v>109</v>
      </c>
      <c r="E3" s="53" t="s">
        <v>110</v>
      </c>
      <c r="F3" s="53" t="s">
        <v>111</v>
      </c>
      <c r="G3" s="53" t="s">
        <v>112</v>
      </c>
      <c r="H3" s="54" t="s">
        <v>113</v>
      </c>
      <c r="I3" s="53" t="s">
        <v>114</v>
      </c>
      <c r="J3" s="53" t="s">
        <v>115</v>
      </c>
      <c r="K3" s="53" t="s">
        <v>116</v>
      </c>
      <c r="L3" s="53" t="s">
        <v>117</v>
      </c>
      <c r="M3" s="53" t="s">
        <v>118</v>
      </c>
      <c r="N3" s="55"/>
      <c r="O3" s="51"/>
    </row>
    <row r="4">
      <c r="A4" s="56">
        <v>1.0</v>
      </c>
      <c r="B4" s="57">
        <v>103.0</v>
      </c>
      <c r="C4" s="58" t="s">
        <v>119</v>
      </c>
      <c r="D4" s="57" t="s">
        <v>120</v>
      </c>
      <c r="E4" s="57" t="s">
        <v>121</v>
      </c>
      <c r="F4" s="59">
        <v>37257.0</v>
      </c>
      <c r="G4" s="57" t="s">
        <v>122</v>
      </c>
      <c r="H4" s="60"/>
      <c r="I4" s="57" t="s">
        <v>123</v>
      </c>
      <c r="J4" s="57" t="s">
        <v>124</v>
      </c>
      <c r="K4" s="60"/>
      <c r="L4" s="60"/>
      <c r="M4" s="57" t="s">
        <v>125</v>
      </c>
      <c r="N4" s="61"/>
      <c r="O4" s="51"/>
    </row>
    <row r="5">
      <c r="A5" s="62">
        <v>2.0</v>
      </c>
      <c r="B5" s="63">
        <v>125.0</v>
      </c>
      <c r="C5" s="64" t="s">
        <v>126</v>
      </c>
      <c r="D5" s="63" t="s">
        <v>127</v>
      </c>
      <c r="E5" s="63" t="s">
        <v>128</v>
      </c>
      <c r="F5" s="65">
        <v>37182.0</v>
      </c>
      <c r="G5" s="63" t="s">
        <v>129</v>
      </c>
      <c r="H5" s="66"/>
      <c r="I5" s="63" t="s">
        <v>130</v>
      </c>
      <c r="J5" s="63" t="s">
        <v>131</v>
      </c>
      <c r="K5" s="66"/>
      <c r="L5" s="66"/>
      <c r="M5" s="63" t="s">
        <v>27</v>
      </c>
      <c r="N5" s="67"/>
      <c r="O5" s="51"/>
    </row>
    <row r="6">
      <c r="A6" s="56">
        <v>3.0</v>
      </c>
      <c r="B6" s="68">
        <v>154.0</v>
      </c>
      <c r="C6" s="69" t="s">
        <v>132</v>
      </c>
      <c r="D6" s="63" t="s">
        <v>120</v>
      </c>
      <c r="E6" s="63" t="s">
        <v>133</v>
      </c>
      <c r="F6" s="70">
        <v>38162.0</v>
      </c>
      <c r="G6" s="63" t="s">
        <v>134</v>
      </c>
      <c r="H6" s="66"/>
      <c r="I6" s="63" t="s">
        <v>135</v>
      </c>
      <c r="J6" s="63" t="s">
        <v>136</v>
      </c>
      <c r="K6" s="71"/>
      <c r="L6" s="71"/>
      <c r="M6" s="72" t="s">
        <v>125</v>
      </c>
      <c r="N6" s="73" t="s">
        <v>137</v>
      </c>
      <c r="O6" s="51"/>
    </row>
    <row r="7">
      <c r="A7" s="56">
        <v>4.0</v>
      </c>
      <c r="B7" s="63">
        <v>174.0</v>
      </c>
      <c r="C7" s="64" t="s">
        <v>138</v>
      </c>
      <c r="D7" s="63" t="s">
        <v>139</v>
      </c>
      <c r="E7" s="63" t="s">
        <v>140</v>
      </c>
      <c r="F7" s="70">
        <v>38611.0</v>
      </c>
      <c r="G7" s="63" t="s">
        <v>141</v>
      </c>
      <c r="H7" s="66"/>
      <c r="I7" s="63" t="s">
        <v>142</v>
      </c>
      <c r="J7" s="63" t="s">
        <v>136</v>
      </c>
      <c r="K7" s="66"/>
      <c r="L7" s="66"/>
      <c r="M7" s="74" t="s">
        <v>143</v>
      </c>
      <c r="N7" s="61"/>
      <c r="O7" s="51"/>
    </row>
    <row r="8">
      <c r="A8" s="56">
        <v>5.0</v>
      </c>
      <c r="B8" s="57">
        <v>179.0</v>
      </c>
      <c r="C8" s="58" t="s">
        <v>144</v>
      </c>
      <c r="D8" s="57" t="s">
        <v>120</v>
      </c>
      <c r="E8" s="57" t="s">
        <v>145</v>
      </c>
      <c r="F8" s="59">
        <v>38563.0</v>
      </c>
      <c r="G8" s="57" t="s">
        <v>146</v>
      </c>
      <c r="H8" s="60"/>
      <c r="I8" s="57" t="s">
        <v>147</v>
      </c>
      <c r="J8" s="57" t="s">
        <v>148</v>
      </c>
      <c r="K8" s="60"/>
      <c r="L8" s="60"/>
      <c r="M8" s="57" t="s">
        <v>149</v>
      </c>
      <c r="N8" s="61"/>
      <c r="O8" s="51"/>
    </row>
    <row r="9">
      <c r="A9" s="75">
        <v>6.0</v>
      </c>
      <c r="B9" s="68">
        <v>183.0</v>
      </c>
      <c r="C9" s="69" t="s">
        <v>150</v>
      </c>
      <c r="D9" s="68" t="s">
        <v>151</v>
      </c>
      <c r="E9" s="68" t="s">
        <v>152</v>
      </c>
      <c r="F9" s="76">
        <v>38959.0</v>
      </c>
      <c r="G9" s="68" t="s">
        <v>153</v>
      </c>
      <c r="H9" s="71"/>
      <c r="I9" s="68" t="s">
        <v>154</v>
      </c>
      <c r="J9" s="68" t="s">
        <v>155</v>
      </c>
      <c r="K9" s="71"/>
      <c r="L9" s="71"/>
      <c r="M9" s="68" t="s">
        <v>156</v>
      </c>
      <c r="N9" s="77"/>
      <c r="O9" s="51"/>
    </row>
    <row r="10">
      <c r="A10" s="56">
        <v>7.0</v>
      </c>
      <c r="B10" s="57">
        <v>213.0</v>
      </c>
      <c r="C10" s="58" t="s">
        <v>157</v>
      </c>
      <c r="D10" s="57" t="s">
        <v>120</v>
      </c>
      <c r="E10" s="57" t="s">
        <v>158</v>
      </c>
      <c r="F10" s="59">
        <v>37717.0</v>
      </c>
      <c r="G10" s="57" t="s">
        <v>159</v>
      </c>
      <c r="H10" s="60"/>
      <c r="I10" s="60"/>
      <c r="J10" s="57" t="s">
        <v>160</v>
      </c>
      <c r="K10" s="60"/>
      <c r="L10" s="60"/>
      <c r="M10" s="57" t="s">
        <v>27</v>
      </c>
      <c r="N10" s="61"/>
      <c r="O10" s="51"/>
    </row>
    <row r="11">
      <c r="A11" s="56">
        <v>8.0</v>
      </c>
      <c r="B11" s="68">
        <v>258.0</v>
      </c>
      <c r="C11" s="69" t="s">
        <v>161</v>
      </c>
      <c r="D11" s="68" t="s">
        <v>139</v>
      </c>
      <c r="E11" s="68" t="s">
        <v>162</v>
      </c>
      <c r="F11" s="76">
        <v>37995.0</v>
      </c>
      <c r="G11" s="68" t="s">
        <v>163</v>
      </c>
      <c r="H11" s="71"/>
      <c r="I11" s="68" t="s">
        <v>164</v>
      </c>
      <c r="J11" s="68" t="s">
        <v>165</v>
      </c>
      <c r="K11" s="71"/>
      <c r="L11" s="71"/>
      <c r="M11" s="68" t="s">
        <v>166</v>
      </c>
      <c r="N11" s="77"/>
      <c r="O11" s="51"/>
    </row>
    <row r="12">
      <c r="A12" s="56">
        <v>9.0</v>
      </c>
      <c r="B12" s="63">
        <v>280.0</v>
      </c>
      <c r="C12" s="64" t="s">
        <v>167</v>
      </c>
      <c r="D12" s="63" t="s">
        <v>168</v>
      </c>
      <c r="E12" s="63" t="s">
        <v>169</v>
      </c>
      <c r="F12" s="70">
        <v>38611.0</v>
      </c>
      <c r="G12" s="63" t="s">
        <v>170</v>
      </c>
      <c r="H12" s="66"/>
      <c r="I12" s="63" t="s">
        <v>171</v>
      </c>
      <c r="J12" s="63" t="s">
        <v>136</v>
      </c>
      <c r="K12" s="66"/>
      <c r="L12" s="66"/>
      <c r="M12" s="63" t="s">
        <v>143</v>
      </c>
      <c r="N12" s="61"/>
      <c r="O12" s="51"/>
    </row>
    <row r="13">
      <c r="A13" s="56">
        <v>10.0</v>
      </c>
      <c r="B13" s="57">
        <v>283.0</v>
      </c>
      <c r="C13" s="58" t="s">
        <v>172</v>
      </c>
      <c r="D13" s="57" t="s">
        <v>173</v>
      </c>
      <c r="E13" s="57" t="s">
        <v>174</v>
      </c>
      <c r="F13" s="59">
        <v>38563.0</v>
      </c>
      <c r="G13" s="57" t="s">
        <v>175</v>
      </c>
      <c r="H13" s="60"/>
      <c r="I13" s="57" t="s">
        <v>176</v>
      </c>
      <c r="J13" s="57" t="s">
        <v>148</v>
      </c>
      <c r="K13" s="60"/>
      <c r="L13" s="60"/>
      <c r="M13" s="57" t="s">
        <v>143</v>
      </c>
      <c r="N13" s="61"/>
      <c r="O13" s="51"/>
    </row>
    <row r="14">
      <c r="A14" s="56">
        <v>11.0</v>
      </c>
      <c r="B14" s="57">
        <v>333.0</v>
      </c>
      <c r="C14" s="58" t="s">
        <v>177</v>
      </c>
      <c r="D14" s="57" t="s">
        <v>178</v>
      </c>
      <c r="E14" s="57" t="s">
        <v>179</v>
      </c>
      <c r="F14" s="78">
        <v>38274.0</v>
      </c>
      <c r="G14" s="57" t="s">
        <v>180</v>
      </c>
      <c r="H14" s="60"/>
      <c r="I14" s="57" t="s">
        <v>181</v>
      </c>
      <c r="J14" s="57" t="s">
        <v>182</v>
      </c>
      <c r="K14" s="60"/>
      <c r="L14" s="60"/>
      <c r="M14" s="57" t="s">
        <v>156</v>
      </c>
      <c r="N14" s="61"/>
      <c r="O14" s="51"/>
    </row>
    <row r="15">
      <c r="A15" s="56">
        <v>12.0</v>
      </c>
      <c r="B15" s="63">
        <v>343.0</v>
      </c>
      <c r="C15" s="64" t="s">
        <v>183</v>
      </c>
      <c r="D15" s="63" t="s">
        <v>168</v>
      </c>
      <c r="E15" s="63" t="s">
        <v>184</v>
      </c>
      <c r="F15" s="70">
        <v>38172.0</v>
      </c>
      <c r="G15" s="63" t="s">
        <v>185</v>
      </c>
      <c r="H15" s="66"/>
      <c r="I15" s="63" t="s">
        <v>186</v>
      </c>
      <c r="J15" s="63" t="s">
        <v>136</v>
      </c>
      <c r="K15" s="66"/>
      <c r="L15" s="66"/>
      <c r="M15" s="63" t="s">
        <v>125</v>
      </c>
      <c r="N15" s="61"/>
      <c r="O15" s="51"/>
    </row>
    <row r="16">
      <c r="A16" s="56">
        <v>13.0</v>
      </c>
      <c r="B16" s="63">
        <v>505.0</v>
      </c>
      <c r="C16" s="64" t="s">
        <v>187</v>
      </c>
      <c r="D16" s="63" t="s">
        <v>120</v>
      </c>
      <c r="E16" s="63" t="s">
        <v>188</v>
      </c>
      <c r="F16" s="70">
        <v>39155.0</v>
      </c>
      <c r="G16" s="63" t="s">
        <v>189</v>
      </c>
      <c r="H16" s="66"/>
      <c r="I16" s="63" t="s">
        <v>190</v>
      </c>
      <c r="J16" s="63" t="s">
        <v>136</v>
      </c>
      <c r="K16" s="66"/>
      <c r="L16" s="66"/>
      <c r="M16" s="63" t="s">
        <v>27</v>
      </c>
      <c r="N16" s="61"/>
      <c r="O16" s="51"/>
    </row>
    <row r="17">
      <c r="A17" s="56">
        <v>14.0</v>
      </c>
      <c r="B17" s="57">
        <v>516.0</v>
      </c>
      <c r="C17" s="58" t="s">
        <v>191</v>
      </c>
      <c r="D17" s="57" t="s">
        <v>120</v>
      </c>
      <c r="E17" s="57" t="s">
        <v>192</v>
      </c>
      <c r="F17" s="59">
        <v>39163.0</v>
      </c>
      <c r="G17" s="57" t="s">
        <v>193</v>
      </c>
      <c r="H17" s="60"/>
      <c r="I17" s="60"/>
      <c r="J17" s="57" t="s">
        <v>194</v>
      </c>
      <c r="K17" s="60"/>
      <c r="L17" s="60"/>
      <c r="M17" s="57" t="s">
        <v>195</v>
      </c>
      <c r="N17" s="61"/>
      <c r="O17" s="51"/>
    </row>
    <row r="18">
      <c r="A18" s="56">
        <v>15.0</v>
      </c>
      <c r="B18" s="57">
        <v>576.0</v>
      </c>
      <c r="C18" s="58" t="s">
        <v>196</v>
      </c>
      <c r="D18" s="57" t="s">
        <v>197</v>
      </c>
      <c r="E18" s="57" t="s">
        <v>198</v>
      </c>
      <c r="F18" s="59">
        <v>39136.0</v>
      </c>
      <c r="G18" s="57" t="s">
        <v>199</v>
      </c>
      <c r="H18" s="60"/>
      <c r="I18" s="60"/>
      <c r="J18" s="57" t="s">
        <v>200</v>
      </c>
      <c r="K18" s="60"/>
      <c r="L18" s="60"/>
      <c r="M18" s="57" t="s">
        <v>201</v>
      </c>
      <c r="N18" s="61"/>
      <c r="O18" s="51"/>
    </row>
    <row r="19">
      <c r="A19" s="56">
        <v>16.0</v>
      </c>
      <c r="B19" s="57">
        <v>925.0</v>
      </c>
      <c r="C19" s="58" t="s">
        <v>202</v>
      </c>
      <c r="D19" s="57" t="s">
        <v>203</v>
      </c>
      <c r="E19" s="57" t="s">
        <v>204</v>
      </c>
      <c r="F19" s="78">
        <v>40129.0</v>
      </c>
      <c r="G19" s="57" t="s">
        <v>205</v>
      </c>
      <c r="H19" s="60"/>
      <c r="I19" s="63" t="s">
        <v>206</v>
      </c>
      <c r="J19" s="57" t="s">
        <v>207</v>
      </c>
      <c r="K19" s="60"/>
      <c r="L19" s="60"/>
      <c r="M19" s="57" t="s">
        <v>166</v>
      </c>
      <c r="N19" s="61"/>
      <c r="O19" s="51"/>
    </row>
    <row r="20">
      <c r="A20" s="56">
        <v>17.0</v>
      </c>
      <c r="B20" s="57">
        <v>1312.0</v>
      </c>
      <c r="C20" s="58" t="s">
        <v>208</v>
      </c>
      <c r="D20" s="57" t="s">
        <v>120</v>
      </c>
      <c r="E20" s="57" t="s">
        <v>209</v>
      </c>
      <c r="F20" s="78">
        <v>38671.0</v>
      </c>
      <c r="G20" s="57" t="s">
        <v>210</v>
      </c>
      <c r="H20" s="60"/>
      <c r="I20" s="57" t="s">
        <v>211</v>
      </c>
      <c r="J20" s="57" t="s">
        <v>212</v>
      </c>
      <c r="K20" s="60"/>
      <c r="L20" s="60"/>
      <c r="M20" s="57" t="s">
        <v>27</v>
      </c>
      <c r="N20" s="61"/>
      <c r="O20" s="51"/>
    </row>
    <row r="21">
      <c r="A21" s="56">
        <v>18.0</v>
      </c>
      <c r="B21" s="57">
        <v>1712.0</v>
      </c>
      <c r="C21" s="58" t="s">
        <v>213</v>
      </c>
      <c r="D21" s="57" t="s">
        <v>120</v>
      </c>
      <c r="E21" s="57" t="s">
        <v>214</v>
      </c>
      <c r="F21" s="59">
        <v>39966.0</v>
      </c>
      <c r="G21" s="57" t="s">
        <v>215</v>
      </c>
      <c r="H21" s="60"/>
      <c r="I21" s="57" t="s">
        <v>216</v>
      </c>
      <c r="J21" s="57" t="s">
        <v>217</v>
      </c>
      <c r="K21" s="60"/>
      <c r="L21" s="60"/>
      <c r="M21" s="57" t="s">
        <v>27</v>
      </c>
      <c r="N21" s="61"/>
      <c r="O21" s="51"/>
    </row>
    <row r="22">
      <c r="A22" s="56">
        <v>19.0</v>
      </c>
      <c r="B22" s="68">
        <v>2247.0</v>
      </c>
      <c r="C22" s="69" t="s">
        <v>218</v>
      </c>
      <c r="D22" s="68" t="s">
        <v>120</v>
      </c>
      <c r="E22" s="68" t="s">
        <v>219</v>
      </c>
      <c r="F22" s="76">
        <v>37961.0</v>
      </c>
      <c r="G22" s="68" t="s">
        <v>220</v>
      </c>
      <c r="H22" s="71"/>
      <c r="I22" s="68" t="s">
        <v>221</v>
      </c>
      <c r="J22" s="68" t="s">
        <v>222</v>
      </c>
      <c r="K22" s="71"/>
      <c r="L22" s="71"/>
      <c r="M22" s="68" t="s">
        <v>166</v>
      </c>
      <c r="N22" s="61"/>
      <c r="O22" s="51"/>
    </row>
    <row r="23">
      <c r="A23" s="56">
        <v>20.0</v>
      </c>
      <c r="B23" s="63">
        <v>2345.0</v>
      </c>
      <c r="C23" s="79" t="s">
        <v>223</v>
      </c>
      <c r="D23" s="63" t="s">
        <v>120</v>
      </c>
      <c r="E23" s="63" t="s">
        <v>224</v>
      </c>
      <c r="F23" s="70">
        <v>39992.0</v>
      </c>
      <c r="G23" s="63" t="s">
        <v>225</v>
      </c>
      <c r="H23" s="66"/>
      <c r="I23" s="63" t="s">
        <v>226</v>
      </c>
      <c r="J23" s="63" t="s">
        <v>136</v>
      </c>
      <c r="K23" s="66"/>
      <c r="L23" s="66"/>
      <c r="M23" s="63" t="s">
        <v>27</v>
      </c>
      <c r="N23" s="61"/>
      <c r="O23" s="51"/>
    </row>
    <row r="24">
      <c r="A24" s="56">
        <v>21.0</v>
      </c>
      <c r="B24" s="68">
        <v>2403.0</v>
      </c>
      <c r="C24" s="69" t="s">
        <v>227</v>
      </c>
      <c r="D24" s="68" t="s">
        <v>120</v>
      </c>
      <c r="E24" s="68" t="s">
        <v>228</v>
      </c>
      <c r="F24" s="76">
        <v>39899.0</v>
      </c>
      <c r="G24" s="68" t="s">
        <v>229</v>
      </c>
      <c r="H24" s="71"/>
      <c r="I24" s="68" t="s">
        <v>230</v>
      </c>
      <c r="J24" s="68" t="s">
        <v>231</v>
      </c>
      <c r="K24" s="71"/>
      <c r="L24" s="68" t="s">
        <v>232</v>
      </c>
      <c r="M24" s="68" t="s">
        <v>27</v>
      </c>
      <c r="N24" s="61"/>
      <c r="O24" s="51"/>
    </row>
    <row r="25">
      <c r="A25" s="62">
        <v>22.0</v>
      </c>
      <c r="B25" s="63">
        <v>2447.0</v>
      </c>
      <c r="C25" s="64" t="s">
        <v>233</v>
      </c>
      <c r="D25" s="66"/>
      <c r="E25" s="63" t="s">
        <v>234</v>
      </c>
      <c r="F25" s="70">
        <v>40031.0</v>
      </c>
      <c r="G25" s="63" t="s">
        <v>235</v>
      </c>
      <c r="H25" s="66"/>
      <c r="I25" s="63" t="s">
        <v>236</v>
      </c>
      <c r="J25" s="63" t="s">
        <v>237</v>
      </c>
      <c r="K25" s="66"/>
      <c r="L25" s="66"/>
      <c r="M25" s="63" t="s">
        <v>27</v>
      </c>
      <c r="N25" s="67"/>
      <c r="O25" s="51"/>
    </row>
    <row r="26">
      <c r="A26" s="56">
        <v>23.0</v>
      </c>
      <c r="B26" s="57">
        <v>2470.0</v>
      </c>
      <c r="C26" s="58" t="s">
        <v>238</v>
      </c>
      <c r="D26" s="60"/>
      <c r="E26" s="57" t="s">
        <v>239</v>
      </c>
      <c r="F26" s="59">
        <v>39281.0</v>
      </c>
      <c r="G26" s="57" t="s">
        <v>240</v>
      </c>
      <c r="H26" s="60"/>
      <c r="I26" s="57" t="s">
        <v>241</v>
      </c>
      <c r="J26" s="57" t="s">
        <v>148</v>
      </c>
      <c r="K26" s="60"/>
      <c r="L26" s="60"/>
      <c r="M26" s="68" t="s">
        <v>27</v>
      </c>
      <c r="N26" s="61"/>
      <c r="O26" s="51"/>
    </row>
    <row r="27">
      <c r="A27" s="56">
        <v>24.0</v>
      </c>
      <c r="B27" s="57">
        <v>2495.0</v>
      </c>
      <c r="C27" s="58" t="s">
        <v>242</v>
      </c>
      <c r="D27" s="57" t="s">
        <v>243</v>
      </c>
      <c r="E27" s="57" t="s">
        <v>244</v>
      </c>
      <c r="F27" s="59">
        <v>40124.0</v>
      </c>
      <c r="G27" s="57" t="s">
        <v>245</v>
      </c>
      <c r="H27" s="60"/>
      <c r="I27" s="60"/>
      <c r="J27" s="57" t="s">
        <v>246</v>
      </c>
      <c r="K27" s="60"/>
      <c r="L27" s="60"/>
      <c r="M27" s="57" t="s">
        <v>31</v>
      </c>
      <c r="N27" s="61"/>
      <c r="O27" s="51"/>
    </row>
    <row r="28">
      <c r="A28" s="56">
        <v>25.0</v>
      </c>
      <c r="B28" s="68">
        <v>2522.0</v>
      </c>
      <c r="C28" s="69" t="s">
        <v>247</v>
      </c>
      <c r="D28" s="68" t="s">
        <v>248</v>
      </c>
      <c r="E28" s="68" t="s">
        <v>249</v>
      </c>
      <c r="F28" s="76">
        <v>40050.0</v>
      </c>
      <c r="G28" s="68" t="s">
        <v>250</v>
      </c>
      <c r="H28" s="71"/>
      <c r="I28" s="68" t="s">
        <v>251</v>
      </c>
      <c r="J28" s="68" t="s">
        <v>252</v>
      </c>
      <c r="K28" s="71"/>
      <c r="L28" s="71"/>
      <c r="M28" s="68" t="s">
        <v>27</v>
      </c>
      <c r="N28" s="61"/>
      <c r="O28" s="51"/>
    </row>
    <row r="29">
      <c r="A29" s="56">
        <v>26.0</v>
      </c>
      <c r="B29" s="57">
        <v>2578.0</v>
      </c>
      <c r="C29" s="58" t="s">
        <v>253</v>
      </c>
      <c r="D29" s="60"/>
      <c r="E29" s="57" t="s">
        <v>254</v>
      </c>
      <c r="F29" s="59">
        <v>39508.0</v>
      </c>
      <c r="G29" s="57" t="s">
        <v>255</v>
      </c>
      <c r="H29" s="60"/>
      <c r="I29" s="57" t="s">
        <v>256</v>
      </c>
      <c r="J29" s="57" t="s">
        <v>257</v>
      </c>
      <c r="K29" s="60"/>
      <c r="L29" s="60"/>
      <c r="M29" s="68" t="s">
        <v>27</v>
      </c>
      <c r="N29" s="61"/>
      <c r="O29" s="51"/>
    </row>
    <row r="30">
      <c r="A30" s="75">
        <v>27.0</v>
      </c>
      <c r="B30" s="68">
        <v>2582.0</v>
      </c>
      <c r="C30" s="69" t="s">
        <v>258</v>
      </c>
      <c r="D30" s="68" t="s">
        <v>259</v>
      </c>
      <c r="E30" s="68" t="s">
        <v>260</v>
      </c>
      <c r="F30" s="76">
        <v>40002.0</v>
      </c>
      <c r="G30" s="68" t="s">
        <v>261</v>
      </c>
      <c r="H30" s="71"/>
      <c r="I30" s="68" t="s">
        <v>262</v>
      </c>
      <c r="J30" s="68" t="s">
        <v>263</v>
      </c>
      <c r="K30" s="71"/>
      <c r="L30" s="71"/>
      <c r="M30" s="68" t="s">
        <v>27</v>
      </c>
      <c r="N30" s="77"/>
      <c r="O30" s="51"/>
    </row>
    <row r="31">
      <c r="A31" s="56">
        <v>28.0</v>
      </c>
      <c r="B31" s="63">
        <v>2583.0</v>
      </c>
      <c r="C31" s="64" t="s">
        <v>264</v>
      </c>
      <c r="D31" s="63" t="s">
        <v>248</v>
      </c>
      <c r="E31" s="63" t="s">
        <v>265</v>
      </c>
      <c r="F31" s="70">
        <v>39899.0</v>
      </c>
      <c r="G31" s="63" t="s">
        <v>266</v>
      </c>
      <c r="H31" s="66"/>
      <c r="I31" s="63" t="s">
        <v>267</v>
      </c>
      <c r="J31" s="63" t="s">
        <v>136</v>
      </c>
      <c r="K31" s="66"/>
      <c r="L31" s="66"/>
      <c r="M31" s="63" t="s">
        <v>27</v>
      </c>
      <c r="N31" s="61"/>
      <c r="O31" s="51"/>
    </row>
    <row r="32">
      <c r="A32" s="56">
        <v>29.0</v>
      </c>
      <c r="B32" s="63">
        <v>2614.0</v>
      </c>
      <c r="C32" s="64" t="s">
        <v>268</v>
      </c>
      <c r="D32" s="66"/>
      <c r="E32" s="63" t="s">
        <v>269</v>
      </c>
      <c r="F32" s="65">
        <v>40117.0</v>
      </c>
      <c r="G32" s="63" t="s">
        <v>270</v>
      </c>
      <c r="H32" s="66"/>
      <c r="I32" s="63" t="s">
        <v>271</v>
      </c>
      <c r="J32" s="63" t="s">
        <v>136</v>
      </c>
      <c r="K32" s="66"/>
      <c r="L32" s="66"/>
      <c r="M32" s="63" t="s">
        <v>166</v>
      </c>
      <c r="N32" s="61"/>
      <c r="O32" s="51"/>
    </row>
    <row r="33">
      <c r="A33" s="56">
        <v>30.0</v>
      </c>
      <c r="B33" s="57">
        <v>2616.0</v>
      </c>
      <c r="C33" s="58" t="s">
        <v>272</v>
      </c>
      <c r="D33" s="57" t="s">
        <v>273</v>
      </c>
      <c r="E33" s="57" t="s">
        <v>274</v>
      </c>
      <c r="F33" s="59">
        <v>39987.0</v>
      </c>
      <c r="G33" s="57" t="s">
        <v>275</v>
      </c>
      <c r="H33" s="60"/>
      <c r="I33" s="57" t="s">
        <v>276</v>
      </c>
      <c r="J33" s="57" t="s">
        <v>124</v>
      </c>
      <c r="K33" s="60"/>
      <c r="L33" s="60"/>
      <c r="M33" s="57" t="s">
        <v>143</v>
      </c>
      <c r="N33" s="61"/>
      <c r="O33" s="51"/>
    </row>
    <row r="34">
      <c r="A34" s="56">
        <v>31.0</v>
      </c>
      <c r="B34" s="68">
        <v>2622.0</v>
      </c>
      <c r="C34" s="69" t="s">
        <v>277</v>
      </c>
      <c r="D34" s="71"/>
      <c r="E34" s="68" t="s">
        <v>278</v>
      </c>
      <c r="F34" s="76">
        <v>40030.0</v>
      </c>
      <c r="G34" s="68" t="s">
        <v>279</v>
      </c>
      <c r="H34" s="71"/>
      <c r="I34" s="68" t="s">
        <v>280</v>
      </c>
      <c r="J34" s="68" t="s">
        <v>281</v>
      </c>
      <c r="K34" s="71"/>
      <c r="L34" s="71"/>
      <c r="M34" s="68" t="s">
        <v>282</v>
      </c>
      <c r="N34" s="77"/>
      <c r="O34" s="51"/>
    </row>
    <row r="35">
      <c r="A35" s="56">
        <v>32.0</v>
      </c>
      <c r="B35" s="80">
        <v>2629.0</v>
      </c>
      <c r="C35" s="79" t="s">
        <v>283</v>
      </c>
      <c r="D35" s="80" t="s">
        <v>120</v>
      </c>
      <c r="E35" s="80" t="s">
        <v>284</v>
      </c>
      <c r="F35" s="81">
        <v>39882.0</v>
      </c>
      <c r="G35" s="80" t="s">
        <v>285</v>
      </c>
      <c r="H35" s="82"/>
      <c r="I35" s="80" t="s">
        <v>286</v>
      </c>
      <c r="J35" s="82"/>
      <c r="K35" s="82"/>
      <c r="L35" s="82"/>
      <c r="M35" s="80" t="s">
        <v>166</v>
      </c>
      <c r="N35" s="61"/>
      <c r="O35" s="51"/>
    </row>
    <row r="36">
      <c r="A36" s="56">
        <v>33.0</v>
      </c>
      <c r="B36" s="57">
        <v>2630.0</v>
      </c>
      <c r="C36" s="58" t="s">
        <v>287</v>
      </c>
      <c r="D36" s="57" t="s">
        <v>120</v>
      </c>
      <c r="E36" s="57" t="s">
        <v>288</v>
      </c>
      <c r="F36" s="59">
        <v>39882.0</v>
      </c>
      <c r="G36" s="57" t="s">
        <v>289</v>
      </c>
      <c r="H36" s="60"/>
      <c r="I36" s="63" t="s">
        <v>290</v>
      </c>
      <c r="J36" s="57" t="s">
        <v>291</v>
      </c>
      <c r="K36" s="60"/>
      <c r="L36" s="60"/>
      <c r="M36" s="57" t="s">
        <v>166</v>
      </c>
      <c r="N36" s="61"/>
      <c r="O36" s="51"/>
    </row>
    <row r="37">
      <c r="A37" s="56">
        <v>34.0</v>
      </c>
      <c r="B37" s="57">
        <v>2632.0</v>
      </c>
      <c r="C37" s="58" t="s">
        <v>292</v>
      </c>
      <c r="D37" s="60"/>
      <c r="E37" s="57" t="s">
        <v>293</v>
      </c>
      <c r="F37" s="78">
        <v>40108.0</v>
      </c>
      <c r="G37" s="57" t="s">
        <v>294</v>
      </c>
      <c r="H37" s="60"/>
      <c r="I37" s="63" t="s">
        <v>295</v>
      </c>
      <c r="J37" s="57" t="s">
        <v>296</v>
      </c>
      <c r="K37" s="60"/>
      <c r="L37" s="60"/>
      <c r="M37" s="57" t="s">
        <v>27</v>
      </c>
      <c r="N37" s="61"/>
      <c r="O37" s="51"/>
    </row>
    <row r="38">
      <c r="A38" s="56">
        <v>35.0</v>
      </c>
      <c r="B38" s="68">
        <v>2637.0</v>
      </c>
      <c r="C38" s="69" t="s">
        <v>297</v>
      </c>
      <c r="D38" s="68" t="s">
        <v>120</v>
      </c>
      <c r="E38" s="68" t="s">
        <v>298</v>
      </c>
      <c r="F38" s="76">
        <v>39899.0</v>
      </c>
      <c r="G38" s="68" t="s">
        <v>299</v>
      </c>
      <c r="H38" s="71"/>
      <c r="I38" s="68" t="s">
        <v>300</v>
      </c>
      <c r="J38" s="68" t="s">
        <v>301</v>
      </c>
      <c r="K38" s="71"/>
      <c r="L38" s="71"/>
      <c r="M38" s="68" t="s">
        <v>27</v>
      </c>
      <c r="N38" s="61"/>
      <c r="O38" s="51"/>
    </row>
    <row r="39">
      <c r="A39" s="56">
        <v>36.0</v>
      </c>
      <c r="B39" s="57">
        <v>2641.0</v>
      </c>
      <c r="C39" s="58" t="s">
        <v>302</v>
      </c>
      <c r="D39" s="60"/>
      <c r="E39" s="57" t="s">
        <v>303</v>
      </c>
      <c r="F39" s="59">
        <v>39881.0</v>
      </c>
      <c r="G39" s="57" t="s">
        <v>304</v>
      </c>
      <c r="H39" s="60"/>
      <c r="I39" s="63" t="s">
        <v>305</v>
      </c>
      <c r="J39" s="57" t="s">
        <v>306</v>
      </c>
      <c r="K39" s="60"/>
      <c r="L39" s="60"/>
      <c r="M39" s="57" t="s">
        <v>27</v>
      </c>
      <c r="N39" s="61"/>
      <c r="O39" s="51"/>
    </row>
    <row r="40">
      <c r="A40" s="56">
        <v>37.0</v>
      </c>
      <c r="B40" s="57">
        <v>2651.0</v>
      </c>
      <c r="C40" s="58" t="s">
        <v>307</v>
      </c>
      <c r="D40" s="60"/>
      <c r="E40" s="57" t="s">
        <v>308</v>
      </c>
      <c r="F40" s="59">
        <v>40185.0</v>
      </c>
      <c r="G40" s="57" t="s">
        <v>309</v>
      </c>
      <c r="H40" s="60"/>
      <c r="I40" s="57" t="s">
        <v>310</v>
      </c>
      <c r="J40" s="57" t="s">
        <v>311</v>
      </c>
      <c r="K40" s="60"/>
      <c r="L40" s="60"/>
      <c r="M40" s="60"/>
      <c r="N40" s="61"/>
      <c r="O40" s="51"/>
    </row>
    <row r="41">
      <c r="A41" s="56">
        <v>38.0</v>
      </c>
      <c r="B41" s="57">
        <v>2656.0</v>
      </c>
      <c r="C41" s="58" t="s">
        <v>312</v>
      </c>
      <c r="D41" s="60"/>
      <c r="E41" s="57" t="s">
        <v>313</v>
      </c>
      <c r="F41" s="59">
        <v>40064.0</v>
      </c>
      <c r="G41" s="57" t="s">
        <v>314</v>
      </c>
      <c r="H41" s="60"/>
      <c r="I41" s="63" t="s">
        <v>315</v>
      </c>
      <c r="J41" s="57" t="s">
        <v>316</v>
      </c>
      <c r="K41" s="60"/>
      <c r="L41" s="60"/>
      <c r="M41" s="57" t="s">
        <v>282</v>
      </c>
      <c r="N41" s="61"/>
      <c r="O41" s="51"/>
    </row>
    <row r="42">
      <c r="A42" s="56">
        <v>39.0</v>
      </c>
      <c r="B42" s="57">
        <v>2659.0</v>
      </c>
      <c r="C42" s="58" t="s">
        <v>317</v>
      </c>
      <c r="D42" s="60"/>
      <c r="E42" s="57" t="s">
        <v>318</v>
      </c>
      <c r="F42" s="59">
        <v>39626.0</v>
      </c>
      <c r="G42" s="57" t="s">
        <v>319</v>
      </c>
      <c r="H42" s="60"/>
      <c r="I42" s="57" t="s">
        <v>320</v>
      </c>
      <c r="J42" s="57" t="s">
        <v>321</v>
      </c>
      <c r="K42" s="60"/>
      <c r="L42" s="60"/>
      <c r="M42" s="57" t="s">
        <v>166</v>
      </c>
      <c r="N42" s="61"/>
      <c r="O42" s="51"/>
    </row>
    <row r="43">
      <c r="A43" s="56">
        <v>40.0</v>
      </c>
      <c r="B43" s="63">
        <v>2665.0</v>
      </c>
      <c r="C43" s="64" t="s">
        <v>322</v>
      </c>
      <c r="D43" s="63" t="s">
        <v>323</v>
      </c>
      <c r="E43" s="63" t="s">
        <v>324</v>
      </c>
      <c r="F43" s="65">
        <v>40167.0</v>
      </c>
      <c r="G43" s="63" t="s">
        <v>325</v>
      </c>
      <c r="H43" s="66"/>
      <c r="I43" s="63" t="s">
        <v>326</v>
      </c>
      <c r="J43" s="63" t="s">
        <v>136</v>
      </c>
      <c r="K43" s="66"/>
      <c r="L43" s="66"/>
      <c r="M43" s="63" t="s">
        <v>27</v>
      </c>
      <c r="N43" s="61"/>
      <c r="O43" s="51"/>
    </row>
    <row r="44">
      <c r="A44" s="56">
        <v>41.0</v>
      </c>
      <c r="B44" s="68">
        <v>2667.0</v>
      </c>
      <c r="C44" s="69" t="s">
        <v>327</v>
      </c>
      <c r="D44" s="71"/>
      <c r="E44" s="68" t="s">
        <v>328</v>
      </c>
      <c r="F44" s="76">
        <v>39922.0</v>
      </c>
      <c r="G44" s="68" t="s">
        <v>329</v>
      </c>
      <c r="H44" s="71"/>
      <c r="I44" s="68" t="s">
        <v>330</v>
      </c>
      <c r="J44" s="68" t="s">
        <v>331</v>
      </c>
      <c r="K44" s="71"/>
      <c r="L44" s="71"/>
      <c r="M44" s="68" t="s">
        <v>27</v>
      </c>
      <c r="N44" s="61"/>
      <c r="O44" s="51"/>
    </row>
    <row r="45">
      <c r="A45" s="56">
        <v>42.0</v>
      </c>
      <c r="B45" s="57">
        <v>2674.0</v>
      </c>
      <c r="C45" s="58" t="s">
        <v>332</v>
      </c>
      <c r="D45" s="60"/>
      <c r="E45" s="57" t="s">
        <v>333</v>
      </c>
      <c r="F45" s="59">
        <v>40035.0</v>
      </c>
      <c r="G45" s="57" t="s">
        <v>334</v>
      </c>
      <c r="H45" s="60"/>
      <c r="I45" s="63" t="s">
        <v>335</v>
      </c>
      <c r="J45" s="57" t="s">
        <v>124</v>
      </c>
      <c r="K45" s="60"/>
      <c r="L45" s="60"/>
      <c r="M45" s="68" t="s">
        <v>27</v>
      </c>
      <c r="N45" s="61"/>
      <c r="O45" s="51"/>
    </row>
    <row r="46">
      <c r="A46" s="56">
        <v>43.0</v>
      </c>
      <c r="B46" s="68">
        <v>2687.0</v>
      </c>
      <c r="C46" s="69" t="s">
        <v>336</v>
      </c>
      <c r="D46" s="68" t="s">
        <v>337</v>
      </c>
      <c r="E46" s="68" t="s">
        <v>338</v>
      </c>
      <c r="F46" s="83">
        <v>40133.0</v>
      </c>
      <c r="G46" s="68" t="s">
        <v>339</v>
      </c>
      <c r="H46" s="71"/>
      <c r="I46" s="68" t="s">
        <v>340</v>
      </c>
      <c r="J46" s="68" t="s">
        <v>341</v>
      </c>
      <c r="K46" s="71"/>
      <c r="L46" s="71"/>
      <c r="M46" s="68" t="s">
        <v>27</v>
      </c>
      <c r="N46" s="61"/>
      <c r="O46" s="51"/>
    </row>
    <row r="47">
      <c r="A47" s="56">
        <v>44.0</v>
      </c>
      <c r="B47" s="57">
        <v>2688.0</v>
      </c>
      <c r="C47" s="58" t="s">
        <v>342</v>
      </c>
      <c r="D47" s="60"/>
      <c r="E47" s="57" t="s">
        <v>343</v>
      </c>
      <c r="F47" s="78">
        <v>40141.0</v>
      </c>
      <c r="G47" s="57" t="s">
        <v>344</v>
      </c>
      <c r="H47" s="60"/>
      <c r="I47" s="57" t="s">
        <v>345</v>
      </c>
      <c r="J47" s="57" t="s">
        <v>346</v>
      </c>
      <c r="K47" s="60"/>
      <c r="L47" s="60"/>
      <c r="M47" s="57" t="s">
        <v>125</v>
      </c>
      <c r="N47" s="61"/>
      <c r="O47" s="51"/>
    </row>
    <row r="48">
      <c r="A48" s="56">
        <v>45.0</v>
      </c>
      <c r="B48" s="63">
        <v>2693.0</v>
      </c>
      <c r="C48" s="64" t="s">
        <v>347</v>
      </c>
      <c r="D48" s="66"/>
      <c r="E48" s="63" t="s">
        <v>348</v>
      </c>
      <c r="F48" s="70">
        <v>39937.0</v>
      </c>
      <c r="G48" s="63" t="s">
        <v>349</v>
      </c>
      <c r="H48" s="66"/>
      <c r="I48" s="63" t="s">
        <v>350</v>
      </c>
      <c r="J48" s="63" t="s">
        <v>136</v>
      </c>
      <c r="K48" s="66"/>
      <c r="L48" s="66"/>
      <c r="M48" s="63" t="s">
        <v>125</v>
      </c>
      <c r="N48" s="61"/>
      <c r="O48" s="51"/>
    </row>
    <row r="49">
      <c r="A49" s="56">
        <v>46.0</v>
      </c>
      <c r="B49" s="57">
        <v>2697.0</v>
      </c>
      <c r="C49" s="58" t="s">
        <v>351</v>
      </c>
      <c r="D49" s="60"/>
      <c r="E49" s="57" t="s">
        <v>352</v>
      </c>
      <c r="F49" s="78">
        <v>40170.0</v>
      </c>
      <c r="G49" s="57" t="s">
        <v>353</v>
      </c>
      <c r="H49" s="60"/>
      <c r="I49" s="57" t="s">
        <v>354</v>
      </c>
      <c r="J49" s="57" t="s">
        <v>355</v>
      </c>
      <c r="K49" s="60"/>
      <c r="L49" s="60"/>
      <c r="M49" s="57" t="s">
        <v>356</v>
      </c>
      <c r="N49" s="61"/>
      <c r="O49" s="51"/>
    </row>
    <row r="50">
      <c r="A50" s="56">
        <v>47.0</v>
      </c>
      <c r="B50" s="68">
        <v>3008.0</v>
      </c>
      <c r="C50" s="69" t="s">
        <v>357</v>
      </c>
      <c r="D50" s="68" t="s">
        <v>358</v>
      </c>
      <c r="E50" s="68" t="s">
        <v>359</v>
      </c>
      <c r="F50" s="76">
        <v>39924.0</v>
      </c>
      <c r="G50" s="68" t="s">
        <v>360</v>
      </c>
      <c r="H50" s="71"/>
      <c r="I50" s="68" t="s">
        <v>361</v>
      </c>
      <c r="J50" s="71"/>
      <c r="K50" s="68" t="s">
        <v>137</v>
      </c>
      <c r="L50" s="71"/>
      <c r="M50" s="68" t="s">
        <v>125</v>
      </c>
      <c r="N50" s="61"/>
      <c r="O50" s="51"/>
    </row>
    <row r="51">
      <c r="A51" s="56">
        <v>48.0</v>
      </c>
      <c r="B51" s="68">
        <v>3009.0</v>
      </c>
      <c r="C51" s="69" t="s">
        <v>362</v>
      </c>
      <c r="D51" s="71"/>
      <c r="E51" s="68" t="s">
        <v>363</v>
      </c>
      <c r="F51" s="76">
        <v>39924.0</v>
      </c>
      <c r="G51" s="68" t="s">
        <v>360</v>
      </c>
      <c r="H51" s="71"/>
      <c r="I51" s="68" t="s">
        <v>361</v>
      </c>
      <c r="J51" s="68" t="s">
        <v>136</v>
      </c>
      <c r="K51" s="68" t="s">
        <v>137</v>
      </c>
      <c r="L51" s="71"/>
      <c r="M51" s="68" t="s">
        <v>125</v>
      </c>
      <c r="N51" s="61"/>
      <c r="O51" s="51"/>
    </row>
    <row r="52">
      <c r="A52" s="56">
        <v>49.0</v>
      </c>
      <c r="B52" s="68">
        <v>3012.0</v>
      </c>
      <c r="C52" s="69" t="s">
        <v>364</v>
      </c>
      <c r="D52" s="71"/>
      <c r="E52" s="68" t="s">
        <v>365</v>
      </c>
      <c r="F52" s="76">
        <v>39937.0</v>
      </c>
      <c r="G52" s="68" t="s">
        <v>366</v>
      </c>
      <c r="H52" s="71"/>
      <c r="I52" s="68" t="s">
        <v>367</v>
      </c>
      <c r="J52" s="68" t="s">
        <v>136</v>
      </c>
      <c r="K52" s="68" t="s">
        <v>137</v>
      </c>
      <c r="L52" s="71"/>
      <c r="M52" s="68" t="s">
        <v>368</v>
      </c>
      <c r="N52" s="61"/>
      <c r="O52" s="51"/>
    </row>
    <row r="53">
      <c r="A53" s="56">
        <v>50.0</v>
      </c>
      <c r="B53" s="68">
        <v>3017.0</v>
      </c>
      <c r="C53" s="69" t="s">
        <v>369</v>
      </c>
      <c r="D53" s="68" t="s">
        <v>370</v>
      </c>
      <c r="E53" s="68" t="s">
        <v>371</v>
      </c>
      <c r="F53" s="76">
        <v>40062.0</v>
      </c>
      <c r="G53" s="68" t="s">
        <v>372</v>
      </c>
      <c r="H53" s="71"/>
      <c r="I53" s="68" t="s">
        <v>373</v>
      </c>
      <c r="J53" s="68" t="s">
        <v>136</v>
      </c>
      <c r="K53" s="68" t="s">
        <v>137</v>
      </c>
      <c r="L53" s="71"/>
      <c r="M53" s="68" t="s">
        <v>137</v>
      </c>
      <c r="N53" s="61"/>
      <c r="O53" s="51"/>
    </row>
    <row r="54">
      <c r="A54" s="56">
        <v>51.0</v>
      </c>
      <c r="B54" s="68">
        <v>3018.0</v>
      </c>
      <c r="C54" s="69" t="s">
        <v>374</v>
      </c>
      <c r="D54" s="68" t="s">
        <v>370</v>
      </c>
      <c r="E54" s="68" t="s">
        <v>375</v>
      </c>
      <c r="F54" s="76">
        <v>40062.0</v>
      </c>
      <c r="G54" s="68" t="s">
        <v>376</v>
      </c>
      <c r="H54" s="71"/>
      <c r="I54" s="68" t="s">
        <v>373</v>
      </c>
      <c r="J54" s="68" t="s">
        <v>377</v>
      </c>
      <c r="K54" s="68" t="s">
        <v>137</v>
      </c>
      <c r="L54" s="71"/>
      <c r="M54" s="68" t="s">
        <v>137</v>
      </c>
      <c r="N54" s="61"/>
      <c r="O54" s="51"/>
    </row>
    <row r="55">
      <c r="A55" s="56">
        <v>52.0</v>
      </c>
      <c r="B55" s="68">
        <v>3019.0</v>
      </c>
      <c r="C55" s="69" t="s">
        <v>378</v>
      </c>
      <c r="D55" s="68" t="s">
        <v>370</v>
      </c>
      <c r="E55" s="68" t="s">
        <v>379</v>
      </c>
      <c r="F55" s="76">
        <v>40062.0</v>
      </c>
      <c r="G55" s="68" t="s">
        <v>380</v>
      </c>
      <c r="H55" s="71"/>
      <c r="I55" s="63" t="s">
        <v>381</v>
      </c>
      <c r="J55" s="68" t="s">
        <v>382</v>
      </c>
      <c r="K55" s="68" t="s">
        <v>137</v>
      </c>
      <c r="L55" s="71"/>
      <c r="M55" s="68" t="s">
        <v>137</v>
      </c>
      <c r="N55" s="61"/>
      <c r="O55" s="51"/>
    </row>
    <row r="56">
      <c r="A56" s="56">
        <v>53.0</v>
      </c>
      <c r="B56" s="68">
        <v>3020.0</v>
      </c>
      <c r="C56" s="69" t="s">
        <v>383</v>
      </c>
      <c r="D56" s="68" t="s">
        <v>370</v>
      </c>
      <c r="E56" s="68" t="s">
        <v>384</v>
      </c>
      <c r="F56" s="76">
        <v>40062.0</v>
      </c>
      <c r="G56" s="68" t="s">
        <v>385</v>
      </c>
      <c r="H56" s="71"/>
      <c r="I56" s="63" t="s">
        <v>381</v>
      </c>
      <c r="J56" s="68" t="s">
        <v>382</v>
      </c>
      <c r="K56" s="68" t="s">
        <v>137</v>
      </c>
      <c r="L56" s="71"/>
      <c r="M56" s="68" t="s">
        <v>137</v>
      </c>
      <c r="N56" s="61"/>
      <c r="O56" s="51"/>
    </row>
    <row r="57">
      <c r="A57" s="56">
        <v>54.0</v>
      </c>
      <c r="B57" s="68">
        <v>3021.0</v>
      </c>
      <c r="C57" s="69" t="s">
        <v>386</v>
      </c>
      <c r="D57" s="68" t="s">
        <v>370</v>
      </c>
      <c r="E57" s="68" t="s">
        <v>387</v>
      </c>
      <c r="F57" s="76">
        <v>40062.0</v>
      </c>
      <c r="G57" s="68" t="s">
        <v>372</v>
      </c>
      <c r="H57" s="71"/>
      <c r="I57" s="63" t="s">
        <v>381</v>
      </c>
      <c r="J57" s="68" t="s">
        <v>382</v>
      </c>
      <c r="K57" s="68" t="s">
        <v>137</v>
      </c>
      <c r="L57" s="71"/>
      <c r="M57" s="68" t="s">
        <v>137</v>
      </c>
      <c r="N57" s="61"/>
      <c r="O57" s="51"/>
    </row>
    <row r="58">
      <c r="A58" s="56">
        <v>55.0</v>
      </c>
      <c r="B58" s="68">
        <v>3033.0</v>
      </c>
      <c r="C58" s="69" t="s">
        <v>388</v>
      </c>
      <c r="D58" s="71"/>
      <c r="E58" s="68" t="s">
        <v>389</v>
      </c>
      <c r="F58" s="83">
        <v>40112.0</v>
      </c>
      <c r="G58" s="68" t="s">
        <v>390</v>
      </c>
      <c r="H58" s="71"/>
      <c r="I58" s="68" t="s">
        <v>391</v>
      </c>
      <c r="J58" s="57" t="s">
        <v>392</v>
      </c>
      <c r="K58" s="71"/>
      <c r="L58" s="71"/>
      <c r="M58" s="68" t="s">
        <v>27</v>
      </c>
      <c r="N58" s="77"/>
      <c r="O58" s="51"/>
    </row>
    <row r="59">
      <c r="A59" s="56">
        <v>56.0</v>
      </c>
      <c r="B59" s="57">
        <v>3069.0</v>
      </c>
      <c r="C59" s="58">
        <v>52.0</v>
      </c>
      <c r="D59" s="60"/>
      <c r="E59" s="57" t="s">
        <v>393</v>
      </c>
      <c r="F59" s="59">
        <v>40262.0</v>
      </c>
      <c r="G59" s="57" t="s">
        <v>394</v>
      </c>
      <c r="H59" s="60"/>
      <c r="I59" s="57" t="s">
        <v>395</v>
      </c>
      <c r="J59" s="57" t="s">
        <v>396</v>
      </c>
      <c r="K59" s="60"/>
      <c r="L59" s="60"/>
      <c r="M59" s="60"/>
      <c r="N59" s="61"/>
      <c r="O59" s="51"/>
    </row>
    <row r="60">
      <c r="A60" s="75">
        <v>57.0</v>
      </c>
      <c r="B60" s="68">
        <v>3072.0</v>
      </c>
      <c r="C60" s="69" t="s">
        <v>397</v>
      </c>
      <c r="D60" s="68" t="s">
        <v>398</v>
      </c>
      <c r="E60" s="68" t="s">
        <v>399</v>
      </c>
      <c r="F60" s="76">
        <v>37679.0</v>
      </c>
      <c r="G60" s="68" t="s">
        <v>400</v>
      </c>
      <c r="H60" s="71"/>
      <c r="I60" s="68" t="s">
        <v>401</v>
      </c>
      <c r="J60" s="68" t="s">
        <v>402</v>
      </c>
      <c r="K60" s="71"/>
      <c r="L60" s="71"/>
      <c r="M60" s="68" t="s">
        <v>403</v>
      </c>
      <c r="N60" s="61"/>
      <c r="O60" s="51"/>
    </row>
    <row r="61">
      <c r="A61" s="56">
        <v>58.0</v>
      </c>
      <c r="B61" s="57">
        <v>3078.0</v>
      </c>
      <c r="C61" s="58" t="s">
        <v>404</v>
      </c>
      <c r="D61" s="57" t="s">
        <v>405</v>
      </c>
      <c r="E61" s="57" t="s">
        <v>406</v>
      </c>
      <c r="F61" s="57" t="s">
        <v>407</v>
      </c>
      <c r="G61" s="57" t="s">
        <v>408</v>
      </c>
      <c r="H61" s="60"/>
      <c r="I61" s="60"/>
      <c r="J61" s="57" t="s">
        <v>409</v>
      </c>
      <c r="K61" s="60"/>
      <c r="L61" s="60"/>
      <c r="M61" s="60"/>
      <c r="N61" s="61"/>
      <c r="O61" s="51"/>
    </row>
    <row r="62">
      <c r="A62" s="56">
        <v>59.0</v>
      </c>
      <c r="B62" s="57">
        <v>3079.0</v>
      </c>
      <c r="C62" s="58" t="s">
        <v>410</v>
      </c>
      <c r="D62" s="57" t="s">
        <v>405</v>
      </c>
      <c r="E62" s="57" t="s">
        <v>411</v>
      </c>
      <c r="F62" s="57" t="s">
        <v>407</v>
      </c>
      <c r="G62" s="57" t="s">
        <v>408</v>
      </c>
      <c r="H62" s="60"/>
      <c r="I62" s="60"/>
      <c r="J62" s="57" t="s">
        <v>124</v>
      </c>
      <c r="K62" s="60"/>
      <c r="L62" s="60"/>
      <c r="M62" s="60"/>
      <c r="N62" s="61"/>
      <c r="O62" s="51"/>
    </row>
    <row r="63">
      <c r="A63" s="56">
        <v>60.0</v>
      </c>
      <c r="B63" s="57">
        <v>3089.0</v>
      </c>
      <c r="C63" s="58" t="s">
        <v>412</v>
      </c>
      <c r="D63" s="60"/>
      <c r="E63" s="57" t="s">
        <v>413</v>
      </c>
      <c r="F63" s="59">
        <v>40026.0</v>
      </c>
      <c r="G63" s="57" t="s">
        <v>414</v>
      </c>
      <c r="H63" s="60"/>
      <c r="I63" s="57" t="s">
        <v>415</v>
      </c>
      <c r="J63" s="57" t="s">
        <v>416</v>
      </c>
      <c r="K63" s="60"/>
      <c r="L63" s="60"/>
      <c r="M63" s="60"/>
      <c r="N63" s="61"/>
      <c r="O63" s="51"/>
    </row>
    <row r="64">
      <c r="A64" s="56">
        <v>61.0</v>
      </c>
      <c r="B64" s="68">
        <v>3091.0</v>
      </c>
      <c r="C64" s="69" t="s">
        <v>417</v>
      </c>
      <c r="D64" s="71"/>
      <c r="E64" s="68" t="s">
        <v>418</v>
      </c>
      <c r="F64" s="83">
        <v>40166.0</v>
      </c>
      <c r="G64" s="68" t="s">
        <v>419</v>
      </c>
      <c r="H64" s="71"/>
      <c r="I64" s="68" t="s">
        <v>420</v>
      </c>
      <c r="J64" s="68" t="s">
        <v>421</v>
      </c>
      <c r="K64" s="71"/>
      <c r="L64" s="71"/>
      <c r="M64" s="71"/>
      <c r="N64" s="61"/>
      <c r="O64" s="51"/>
    </row>
    <row r="65">
      <c r="A65" s="56">
        <v>62.0</v>
      </c>
      <c r="B65" s="57">
        <v>3095.0</v>
      </c>
      <c r="C65" s="58" t="s">
        <v>422</v>
      </c>
      <c r="D65" s="60"/>
      <c r="E65" s="57" t="s">
        <v>423</v>
      </c>
      <c r="F65" s="59">
        <v>40058.0</v>
      </c>
      <c r="G65" s="57" t="s">
        <v>424</v>
      </c>
      <c r="H65" s="60"/>
      <c r="I65" s="63" t="s">
        <v>425</v>
      </c>
      <c r="J65" s="57" t="s">
        <v>426</v>
      </c>
      <c r="K65" s="60"/>
      <c r="L65" s="60"/>
      <c r="M65" s="60"/>
      <c r="N65" s="61"/>
      <c r="O65" s="51"/>
    </row>
    <row r="66">
      <c r="A66" s="56">
        <v>63.0</v>
      </c>
      <c r="B66" s="57">
        <v>3107.0</v>
      </c>
      <c r="C66" s="58" t="s">
        <v>427</v>
      </c>
      <c r="D66" s="60"/>
      <c r="E66" s="57" t="s">
        <v>428</v>
      </c>
      <c r="F66" s="59">
        <v>40082.0</v>
      </c>
      <c r="G66" s="57" t="s">
        <v>429</v>
      </c>
      <c r="H66" s="60"/>
      <c r="I66" s="57" t="s">
        <v>430</v>
      </c>
      <c r="J66" s="57" t="s">
        <v>431</v>
      </c>
      <c r="K66" s="60"/>
      <c r="L66" s="60"/>
      <c r="M66" s="60"/>
      <c r="N66" s="61"/>
      <c r="O66" s="51"/>
    </row>
    <row r="67">
      <c r="A67" s="56">
        <v>64.0</v>
      </c>
      <c r="B67" s="71"/>
      <c r="C67" s="69" t="s">
        <v>432</v>
      </c>
      <c r="D67" s="71"/>
      <c r="E67" s="68" t="s">
        <v>433</v>
      </c>
      <c r="F67" s="76">
        <v>39701.0</v>
      </c>
      <c r="G67" s="68" t="s">
        <v>434</v>
      </c>
      <c r="H67" s="71"/>
      <c r="I67" s="71"/>
      <c r="J67" s="68" t="s">
        <v>435</v>
      </c>
      <c r="K67" s="71"/>
      <c r="L67" s="71"/>
      <c r="M67" s="68" t="s">
        <v>143</v>
      </c>
      <c r="N67" s="71"/>
      <c r="O67" s="51"/>
    </row>
    <row r="68">
      <c r="A68" s="56">
        <v>65.0</v>
      </c>
      <c r="B68" s="60"/>
      <c r="C68" s="79" t="s">
        <v>436</v>
      </c>
      <c r="D68" s="60"/>
      <c r="E68" s="80" t="s">
        <v>437</v>
      </c>
      <c r="F68" s="81">
        <v>42021.0</v>
      </c>
      <c r="G68" s="80" t="s">
        <v>438</v>
      </c>
      <c r="H68" s="80" t="s">
        <v>439</v>
      </c>
      <c r="I68" s="80" t="s">
        <v>440</v>
      </c>
      <c r="J68" s="80" t="s">
        <v>136</v>
      </c>
      <c r="K68" s="60"/>
      <c r="L68" s="60"/>
      <c r="M68" s="80" t="s">
        <v>282</v>
      </c>
      <c r="N68" s="61"/>
      <c r="O68" s="51"/>
    </row>
    <row r="69">
      <c r="A69" s="56">
        <v>66.0</v>
      </c>
      <c r="B69" s="57">
        <v>3114.0</v>
      </c>
      <c r="C69" s="58" t="s">
        <v>441</v>
      </c>
      <c r="D69" s="60"/>
      <c r="E69" s="57" t="s">
        <v>442</v>
      </c>
      <c r="F69" s="59">
        <v>40036.0</v>
      </c>
      <c r="G69" s="57" t="s">
        <v>443</v>
      </c>
      <c r="H69" s="60"/>
      <c r="I69" s="57" t="s">
        <v>444</v>
      </c>
      <c r="J69" s="57" t="s">
        <v>445</v>
      </c>
      <c r="K69" s="60"/>
      <c r="L69" s="60"/>
      <c r="M69" s="60"/>
      <c r="N69" s="61"/>
      <c r="O69" s="51"/>
    </row>
    <row r="70">
      <c r="A70" s="56">
        <v>67.0</v>
      </c>
      <c r="B70" s="57">
        <v>3115.0</v>
      </c>
      <c r="C70" s="58" t="s">
        <v>446</v>
      </c>
      <c r="D70" s="60"/>
      <c r="E70" s="57" t="s">
        <v>447</v>
      </c>
      <c r="F70" s="78">
        <v>40136.0</v>
      </c>
      <c r="G70" s="57" t="s">
        <v>448</v>
      </c>
      <c r="H70" s="60"/>
      <c r="I70" s="57" t="s">
        <v>449</v>
      </c>
      <c r="J70" s="57" t="s">
        <v>450</v>
      </c>
      <c r="K70" s="60"/>
      <c r="L70" s="60"/>
      <c r="M70" s="60"/>
      <c r="N70" s="61"/>
      <c r="O70" s="51"/>
    </row>
    <row r="71">
      <c r="A71" s="56">
        <v>68.0</v>
      </c>
      <c r="B71" s="57">
        <v>3117.0</v>
      </c>
      <c r="C71" s="58" t="s">
        <v>451</v>
      </c>
      <c r="D71" s="60"/>
      <c r="E71" s="57" t="s">
        <v>452</v>
      </c>
      <c r="F71" s="59">
        <v>39815.0</v>
      </c>
      <c r="G71" s="57" t="s">
        <v>453</v>
      </c>
      <c r="H71" s="60"/>
      <c r="I71" s="57" t="s">
        <v>454</v>
      </c>
      <c r="J71" s="57" t="s">
        <v>455</v>
      </c>
      <c r="K71" s="60"/>
      <c r="L71" s="60"/>
      <c r="M71" s="60"/>
      <c r="N71" s="61"/>
      <c r="O71" s="51"/>
    </row>
    <row r="72">
      <c r="A72" s="56">
        <v>69.0</v>
      </c>
      <c r="B72" s="57">
        <v>3120.0</v>
      </c>
      <c r="C72" s="58" t="s">
        <v>456</v>
      </c>
      <c r="D72" s="60"/>
      <c r="E72" s="57" t="s">
        <v>457</v>
      </c>
      <c r="F72" s="59">
        <v>37699.0</v>
      </c>
      <c r="G72" s="57" t="s">
        <v>458</v>
      </c>
      <c r="H72" s="60"/>
      <c r="I72" s="63" t="s">
        <v>459</v>
      </c>
      <c r="J72" s="57" t="s">
        <v>460</v>
      </c>
      <c r="K72" s="60"/>
      <c r="L72" s="60"/>
      <c r="M72" s="60"/>
      <c r="N72" s="61"/>
      <c r="O72" s="51"/>
    </row>
    <row r="73">
      <c r="A73" s="56">
        <v>70.0</v>
      </c>
      <c r="B73" s="57">
        <v>3121.0</v>
      </c>
      <c r="C73" s="58" t="s">
        <v>461</v>
      </c>
      <c r="D73" s="60"/>
      <c r="E73" s="57" t="s">
        <v>462</v>
      </c>
      <c r="F73" s="78">
        <v>40100.0</v>
      </c>
      <c r="G73" s="57" t="s">
        <v>463</v>
      </c>
      <c r="H73" s="60"/>
      <c r="I73" s="57" t="s">
        <v>464</v>
      </c>
      <c r="J73" s="57" t="s">
        <v>465</v>
      </c>
      <c r="K73" s="60"/>
      <c r="L73" s="60"/>
      <c r="M73" s="60"/>
      <c r="N73" s="61"/>
      <c r="O73" s="51"/>
    </row>
    <row r="74">
      <c r="A74" s="56">
        <v>71.0</v>
      </c>
      <c r="B74" s="57">
        <v>3125.0</v>
      </c>
      <c r="C74" s="58" t="s">
        <v>466</v>
      </c>
      <c r="D74" s="60"/>
      <c r="E74" s="57" t="s">
        <v>467</v>
      </c>
      <c r="F74" s="59">
        <v>40240.0</v>
      </c>
      <c r="G74" s="57" t="s">
        <v>468</v>
      </c>
      <c r="H74" s="60"/>
      <c r="I74" s="63" t="s">
        <v>469</v>
      </c>
      <c r="J74" s="57" t="s">
        <v>470</v>
      </c>
      <c r="K74" s="60"/>
      <c r="L74" s="60"/>
      <c r="M74" s="60"/>
      <c r="N74" s="61"/>
      <c r="O74" s="51"/>
    </row>
    <row r="75">
      <c r="A75" s="56">
        <v>72.0</v>
      </c>
      <c r="B75" s="57">
        <v>3128.0</v>
      </c>
      <c r="C75" s="58" t="s">
        <v>466</v>
      </c>
      <c r="D75" s="60"/>
      <c r="E75" s="57" t="s">
        <v>471</v>
      </c>
      <c r="F75" s="78">
        <v>40168.0</v>
      </c>
      <c r="G75" s="57" t="s">
        <v>472</v>
      </c>
      <c r="H75" s="60"/>
      <c r="I75" s="63" t="s">
        <v>473</v>
      </c>
      <c r="J75" s="57" t="s">
        <v>474</v>
      </c>
      <c r="K75" s="60"/>
      <c r="L75" s="60"/>
      <c r="M75" s="60"/>
      <c r="N75" s="61"/>
      <c r="O75" s="51"/>
    </row>
    <row r="76">
      <c r="A76" s="56">
        <v>73.0</v>
      </c>
      <c r="B76" s="57">
        <v>3138.0</v>
      </c>
      <c r="C76" s="58" t="s">
        <v>475</v>
      </c>
      <c r="D76" s="60"/>
      <c r="E76" s="57" t="s">
        <v>476</v>
      </c>
      <c r="F76" s="78">
        <v>39008.0</v>
      </c>
      <c r="G76" s="57" t="s">
        <v>477</v>
      </c>
      <c r="H76" s="60"/>
      <c r="I76" s="57" t="s">
        <v>478</v>
      </c>
      <c r="J76" s="57" t="s">
        <v>479</v>
      </c>
      <c r="K76" s="60"/>
      <c r="L76" s="60"/>
      <c r="M76" s="60"/>
      <c r="N76" s="61"/>
      <c r="O76" s="51"/>
    </row>
    <row r="77">
      <c r="A77" s="56">
        <v>74.0</v>
      </c>
      <c r="B77" s="57">
        <v>3141.0</v>
      </c>
      <c r="C77" s="58" t="s">
        <v>480</v>
      </c>
      <c r="D77" s="60"/>
      <c r="E77" s="57" t="s">
        <v>481</v>
      </c>
      <c r="F77" s="59">
        <v>40393.0</v>
      </c>
      <c r="G77" s="57" t="s">
        <v>482</v>
      </c>
      <c r="H77" s="60"/>
      <c r="I77" s="63" t="s">
        <v>483</v>
      </c>
      <c r="J77" s="57" t="s">
        <v>484</v>
      </c>
      <c r="K77" s="60"/>
      <c r="L77" s="60"/>
      <c r="M77" s="60"/>
      <c r="N77" s="61"/>
      <c r="O77" s="51"/>
    </row>
    <row r="78">
      <c r="A78" s="56">
        <v>75.0</v>
      </c>
      <c r="B78" s="57">
        <v>3142.0</v>
      </c>
      <c r="C78" s="58" t="s">
        <v>485</v>
      </c>
      <c r="D78" s="60"/>
      <c r="E78" s="57" t="s">
        <v>486</v>
      </c>
      <c r="F78" s="59">
        <v>38755.0</v>
      </c>
      <c r="G78" s="57" t="s">
        <v>487</v>
      </c>
      <c r="H78" s="60"/>
      <c r="I78" s="57" t="s">
        <v>488</v>
      </c>
      <c r="J78" s="57" t="s">
        <v>148</v>
      </c>
      <c r="K78" s="60"/>
      <c r="L78" s="60"/>
      <c r="M78" s="60"/>
      <c r="N78" s="61"/>
      <c r="O78" s="51"/>
    </row>
    <row r="79">
      <c r="A79" s="56">
        <v>76.0</v>
      </c>
      <c r="B79" s="68">
        <v>3143.0</v>
      </c>
      <c r="C79" s="69" t="s">
        <v>489</v>
      </c>
      <c r="D79" s="71"/>
      <c r="E79" s="68" t="s">
        <v>490</v>
      </c>
      <c r="F79" s="76">
        <v>39844.0</v>
      </c>
      <c r="G79" s="68" t="s">
        <v>491</v>
      </c>
      <c r="H79" s="71"/>
      <c r="I79" s="68" t="s">
        <v>492</v>
      </c>
      <c r="J79" s="68" t="s">
        <v>493</v>
      </c>
      <c r="K79" s="71"/>
      <c r="L79" s="71"/>
      <c r="M79" s="68" t="s">
        <v>27</v>
      </c>
      <c r="N79" s="61"/>
      <c r="O79" s="51"/>
    </row>
    <row r="80">
      <c r="A80" s="56">
        <v>77.0</v>
      </c>
      <c r="B80" s="57">
        <v>3146.0</v>
      </c>
      <c r="C80" s="58" t="s">
        <v>494</v>
      </c>
      <c r="D80" s="60"/>
      <c r="E80" s="57" t="s">
        <v>495</v>
      </c>
      <c r="F80" s="59">
        <v>40210.0</v>
      </c>
      <c r="G80" s="57" t="s">
        <v>496</v>
      </c>
      <c r="H80" s="60"/>
      <c r="I80" s="57" t="s">
        <v>497</v>
      </c>
      <c r="J80" s="57" t="s">
        <v>498</v>
      </c>
      <c r="K80" s="60"/>
      <c r="L80" s="60"/>
      <c r="M80" s="60"/>
      <c r="N80" s="61"/>
      <c r="O80" s="51"/>
    </row>
    <row r="81">
      <c r="A81" s="56">
        <v>78.0</v>
      </c>
      <c r="B81" s="57">
        <v>3149.0</v>
      </c>
      <c r="C81" s="58" t="s">
        <v>499</v>
      </c>
      <c r="D81" s="60"/>
      <c r="E81" s="57" t="s">
        <v>500</v>
      </c>
      <c r="F81" s="59">
        <v>40318.0</v>
      </c>
      <c r="G81" s="57" t="s">
        <v>501</v>
      </c>
      <c r="H81" s="60"/>
      <c r="I81" s="57" t="s">
        <v>502</v>
      </c>
      <c r="J81" s="57" t="s">
        <v>503</v>
      </c>
      <c r="K81" s="60"/>
      <c r="L81" s="60"/>
      <c r="M81" s="60"/>
      <c r="N81" s="61"/>
      <c r="O81" s="51"/>
    </row>
    <row r="82">
      <c r="A82" s="56">
        <v>79.0</v>
      </c>
      <c r="B82" s="68">
        <v>3150.0</v>
      </c>
      <c r="C82" s="69">
        <v>72.0</v>
      </c>
      <c r="D82" s="68" t="s">
        <v>504</v>
      </c>
      <c r="E82" s="68" t="s">
        <v>505</v>
      </c>
      <c r="F82" s="76">
        <v>39995.0</v>
      </c>
      <c r="G82" s="68" t="s">
        <v>506</v>
      </c>
      <c r="H82" s="71"/>
      <c r="I82" s="71"/>
      <c r="J82" s="68" t="s">
        <v>507</v>
      </c>
      <c r="K82" s="71"/>
      <c r="L82" s="71"/>
      <c r="M82" s="71"/>
      <c r="N82" s="61"/>
      <c r="O82" s="51"/>
    </row>
    <row r="83">
      <c r="A83" s="56">
        <v>80.0</v>
      </c>
      <c r="B83" s="57">
        <v>3151.0</v>
      </c>
      <c r="C83" s="58" t="s">
        <v>508</v>
      </c>
      <c r="D83" s="60"/>
      <c r="E83" s="57" t="s">
        <v>509</v>
      </c>
      <c r="F83" s="59">
        <v>39846.0</v>
      </c>
      <c r="G83" s="57" t="s">
        <v>510</v>
      </c>
      <c r="H83" s="60"/>
      <c r="I83" s="57" t="s">
        <v>511</v>
      </c>
      <c r="J83" s="57" t="s">
        <v>148</v>
      </c>
      <c r="K83" s="60"/>
      <c r="L83" s="60"/>
      <c r="M83" s="60"/>
      <c r="N83" s="61"/>
      <c r="O83" s="51"/>
    </row>
    <row r="84">
      <c r="A84" s="56">
        <v>81.0</v>
      </c>
      <c r="B84" s="57">
        <v>3156.0</v>
      </c>
      <c r="C84" s="58" t="s">
        <v>512</v>
      </c>
      <c r="D84" s="60"/>
      <c r="E84" s="57" t="s">
        <v>513</v>
      </c>
      <c r="F84" s="59">
        <v>39886.0</v>
      </c>
      <c r="G84" s="57" t="s">
        <v>514</v>
      </c>
      <c r="H84" s="60"/>
      <c r="I84" s="63" t="s">
        <v>515</v>
      </c>
      <c r="J84" s="57" t="s">
        <v>516</v>
      </c>
      <c r="K84" s="60"/>
      <c r="L84" s="60"/>
      <c r="M84" s="60"/>
      <c r="N84" s="61"/>
      <c r="O84" s="51"/>
    </row>
    <row r="85">
      <c r="A85" s="56">
        <v>82.0</v>
      </c>
      <c r="B85" s="57">
        <v>3182.0</v>
      </c>
      <c r="C85" s="58" t="s">
        <v>517</v>
      </c>
      <c r="D85" s="60"/>
      <c r="E85" s="57" t="s">
        <v>518</v>
      </c>
      <c r="F85" s="59">
        <v>39965.0</v>
      </c>
      <c r="G85" s="57" t="s">
        <v>519</v>
      </c>
      <c r="H85" s="60"/>
      <c r="I85" s="63" t="s">
        <v>520</v>
      </c>
      <c r="J85" s="57" t="s">
        <v>516</v>
      </c>
      <c r="K85" s="60"/>
      <c r="L85" s="60"/>
      <c r="M85" s="60"/>
      <c r="N85" s="61"/>
      <c r="O85" s="51"/>
    </row>
    <row r="86">
      <c r="A86" s="56">
        <v>83.0</v>
      </c>
      <c r="B86" s="57">
        <v>3184.0</v>
      </c>
      <c r="C86" s="58" t="s">
        <v>521</v>
      </c>
      <c r="D86" s="57" t="s">
        <v>522</v>
      </c>
      <c r="E86" s="57" t="s">
        <v>523</v>
      </c>
      <c r="F86" s="78">
        <v>40114.0</v>
      </c>
      <c r="G86" s="57" t="s">
        <v>524</v>
      </c>
      <c r="H86" s="60"/>
      <c r="I86" s="63" t="s">
        <v>525</v>
      </c>
      <c r="J86" s="57" t="s">
        <v>124</v>
      </c>
      <c r="K86" s="60"/>
      <c r="L86" s="60"/>
      <c r="M86" s="60"/>
      <c r="N86" s="61"/>
      <c r="O86" s="51"/>
    </row>
    <row r="87">
      <c r="A87" s="56">
        <v>84.0</v>
      </c>
      <c r="B87" s="63">
        <v>3187.0</v>
      </c>
      <c r="C87" s="64" t="s">
        <v>526</v>
      </c>
      <c r="D87" s="66"/>
      <c r="E87" s="63" t="s">
        <v>527</v>
      </c>
      <c r="F87" s="70">
        <v>40017.0</v>
      </c>
      <c r="G87" s="63" t="s">
        <v>528</v>
      </c>
      <c r="H87" s="66"/>
      <c r="I87" s="63" t="s">
        <v>529</v>
      </c>
      <c r="J87" s="63" t="s">
        <v>136</v>
      </c>
      <c r="K87" s="66"/>
      <c r="L87" s="66"/>
      <c r="M87" s="63" t="s">
        <v>530</v>
      </c>
      <c r="N87" s="61"/>
      <c r="O87" s="51"/>
    </row>
    <row r="88">
      <c r="A88" s="56">
        <v>85.0</v>
      </c>
      <c r="B88" s="57">
        <v>3190.0</v>
      </c>
      <c r="C88" s="58" t="s">
        <v>531</v>
      </c>
      <c r="D88" s="60"/>
      <c r="E88" s="57" t="s">
        <v>532</v>
      </c>
      <c r="F88" s="59">
        <v>40269.0</v>
      </c>
      <c r="G88" s="57" t="s">
        <v>533</v>
      </c>
      <c r="H88" s="60"/>
      <c r="I88" s="63" t="s">
        <v>534</v>
      </c>
      <c r="J88" s="57" t="s">
        <v>124</v>
      </c>
      <c r="K88" s="60"/>
      <c r="L88" s="60"/>
      <c r="M88" s="60"/>
      <c r="N88" s="61"/>
      <c r="O88" s="51"/>
    </row>
    <row r="89">
      <c r="A89" s="56">
        <v>86.0</v>
      </c>
      <c r="B89" s="57">
        <v>3191.0</v>
      </c>
      <c r="C89" s="58" t="s">
        <v>535</v>
      </c>
      <c r="D89" s="60"/>
      <c r="E89" s="57" t="s">
        <v>536</v>
      </c>
      <c r="F89" s="59">
        <v>40269.0</v>
      </c>
      <c r="G89" s="57" t="s">
        <v>533</v>
      </c>
      <c r="H89" s="60"/>
      <c r="I89" s="63" t="s">
        <v>537</v>
      </c>
      <c r="J89" s="57" t="s">
        <v>124</v>
      </c>
      <c r="K89" s="60"/>
      <c r="L89" s="60"/>
      <c r="M89" s="60"/>
      <c r="N89" s="61"/>
      <c r="O89" s="51"/>
    </row>
    <row r="90">
      <c r="A90" s="56">
        <v>87.0</v>
      </c>
      <c r="B90" s="63">
        <v>3192.0</v>
      </c>
      <c r="C90" s="64" t="s">
        <v>538</v>
      </c>
      <c r="D90" s="66"/>
      <c r="E90" s="63" t="s">
        <v>539</v>
      </c>
      <c r="F90" s="70">
        <v>40267.0</v>
      </c>
      <c r="G90" s="63" t="s">
        <v>540</v>
      </c>
      <c r="H90" s="66"/>
      <c r="I90" s="63" t="s">
        <v>541</v>
      </c>
      <c r="J90" s="63" t="s">
        <v>136</v>
      </c>
      <c r="K90" s="66"/>
      <c r="L90" s="66"/>
      <c r="M90" s="63" t="s">
        <v>542</v>
      </c>
      <c r="N90" s="61"/>
      <c r="O90" s="51"/>
    </row>
    <row r="91">
      <c r="A91" s="56">
        <v>88.0</v>
      </c>
      <c r="B91" s="68">
        <v>3193.0</v>
      </c>
      <c r="C91" s="69" t="s">
        <v>543</v>
      </c>
      <c r="D91" s="71"/>
      <c r="E91" s="68" t="s">
        <v>544</v>
      </c>
      <c r="F91" s="76">
        <v>39760.0</v>
      </c>
      <c r="G91" s="68" t="s">
        <v>545</v>
      </c>
      <c r="H91" s="71"/>
      <c r="I91" s="63" t="s">
        <v>546</v>
      </c>
      <c r="J91" s="68" t="s">
        <v>382</v>
      </c>
      <c r="K91" s="71"/>
      <c r="L91" s="71"/>
      <c r="M91" s="68" t="s">
        <v>31</v>
      </c>
      <c r="N91" s="61"/>
      <c r="O91" s="51"/>
    </row>
    <row r="92">
      <c r="A92" s="56">
        <v>89.0</v>
      </c>
      <c r="B92" s="68">
        <v>3209.0</v>
      </c>
      <c r="C92" s="69" t="s">
        <v>547</v>
      </c>
      <c r="D92" s="68" t="s">
        <v>548</v>
      </c>
      <c r="E92" s="68" t="s">
        <v>549</v>
      </c>
      <c r="F92" s="76">
        <v>39920.0</v>
      </c>
      <c r="G92" s="68" t="s">
        <v>550</v>
      </c>
      <c r="H92" s="71"/>
      <c r="I92" s="68" t="s">
        <v>551</v>
      </c>
      <c r="J92" s="68" t="s">
        <v>382</v>
      </c>
      <c r="K92" s="68" t="s">
        <v>137</v>
      </c>
      <c r="L92" s="71"/>
      <c r="M92" s="68" t="s">
        <v>137</v>
      </c>
      <c r="N92" s="61"/>
      <c r="O92" s="51"/>
    </row>
    <row r="93">
      <c r="A93" s="56">
        <v>90.0</v>
      </c>
      <c r="B93" s="57">
        <v>3213.0</v>
      </c>
      <c r="C93" s="58" t="s">
        <v>552</v>
      </c>
      <c r="D93" s="60"/>
      <c r="E93" s="57" t="s">
        <v>553</v>
      </c>
      <c r="F93" s="59">
        <v>40022.0</v>
      </c>
      <c r="G93" s="57" t="s">
        <v>554</v>
      </c>
      <c r="H93" s="60"/>
      <c r="I93" s="60"/>
      <c r="J93" s="57" t="s">
        <v>555</v>
      </c>
      <c r="K93" s="60"/>
      <c r="L93" s="60"/>
      <c r="M93" s="60"/>
      <c r="N93" s="61"/>
      <c r="O93" s="51"/>
    </row>
    <row r="94">
      <c r="A94" s="56">
        <v>91.0</v>
      </c>
      <c r="B94" s="57">
        <v>3214.0</v>
      </c>
      <c r="C94" s="58" t="s">
        <v>556</v>
      </c>
      <c r="D94" s="60"/>
      <c r="E94" s="57" t="s">
        <v>557</v>
      </c>
      <c r="F94" s="59">
        <v>40022.0</v>
      </c>
      <c r="G94" s="57" t="s">
        <v>554</v>
      </c>
      <c r="H94" s="60"/>
      <c r="I94" s="60"/>
      <c r="J94" s="57" t="s">
        <v>555</v>
      </c>
      <c r="K94" s="60"/>
      <c r="L94" s="60"/>
      <c r="M94" s="60"/>
      <c r="N94" s="61"/>
      <c r="O94" s="51"/>
    </row>
    <row r="95">
      <c r="A95" s="56">
        <v>92.0</v>
      </c>
      <c r="B95" s="57">
        <v>3215.0</v>
      </c>
      <c r="C95" s="58" t="s">
        <v>558</v>
      </c>
      <c r="D95" s="60"/>
      <c r="E95" s="57" t="s">
        <v>559</v>
      </c>
      <c r="F95" s="59">
        <v>40022.0</v>
      </c>
      <c r="G95" s="57" t="s">
        <v>554</v>
      </c>
      <c r="H95" s="60"/>
      <c r="I95" s="60"/>
      <c r="J95" s="57" t="s">
        <v>555</v>
      </c>
      <c r="K95" s="60"/>
      <c r="L95" s="60"/>
      <c r="M95" s="60"/>
      <c r="N95" s="61"/>
      <c r="O95" s="51"/>
    </row>
    <row r="96">
      <c r="A96" s="56">
        <v>93.0</v>
      </c>
      <c r="B96" s="57">
        <v>3216.0</v>
      </c>
      <c r="C96" s="58" t="s">
        <v>560</v>
      </c>
      <c r="D96" s="60"/>
      <c r="E96" s="57" t="s">
        <v>561</v>
      </c>
      <c r="F96" s="59">
        <v>40022.0</v>
      </c>
      <c r="G96" s="57" t="s">
        <v>554</v>
      </c>
      <c r="H96" s="60"/>
      <c r="I96" s="60"/>
      <c r="J96" s="57" t="s">
        <v>555</v>
      </c>
      <c r="K96" s="60"/>
      <c r="L96" s="60"/>
      <c r="M96" s="60"/>
      <c r="N96" s="61"/>
      <c r="O96" s="51"/>
    </row>
    <row r="97">
      <c r="A97" s="56">
        <v>94.0</v>
      </c>
      <c r="B97" s="57">
        <v>3217.0</v>
      </c>
      <c r="C97" s="58">
        <v>189.0</v>
      </c>
      <c r="D97" s="60"/>
      <c r="E97" s="57" t="s">
        <v>562</v>
      </c>
      <c r="F97" s="59">
        <v>40022.0</v>
      </c>
      <c r="G97" s="57" t="s">
        <v>554</v>
      </c>
      <c r="H97" s="60"/>
      <c r="I97" s="60"/>
      <c r="J97" s="57" t="s">
        <v>555</v>
      </c>
      <c r="K97" s="60"/>
      <c r="L97" s="60"/>
      <c r="M97" s="60"/>
      <c r="N97" s="61"/>
      <c r="O97" s="51"/>
    </row>
    <row r="98">
      <c r="A98" s="56">
        <v>95.0</v>
      </c>
      <c r="B98" s="57">
        <v>3225.0</v>
      </c>
      <c r="C98" s="58" t="s">
        <v>563</v>
      </c>
      <c r="D98" s="57" t="s">
        <v>564</v>
      </c>
      <c r="E98" s="57" t="s">
        <v>565</v>
      </c>
      <c r="F98" s="78">
        <v>40170.0</v>
      </c>
      <c r="G98" s="57" t="s">
        <v>566</v>
      </c>
      <c r="H98" s="60"/>
      <c r="I98" s="63" t="s">
        <v>567</v>
      </c>
      <c r="J98" s="57" t="s">
        <v>568</v>
      </c>
      <c r="K98" s="60"/>
      <c r="L98" s="60"/>
      <c r="M98" s="60"/>
      <c r="N98" s="61"/>
      <c r="O98" s="51"/>
    </row>
    <row r="99">
      <c r="A99" s="56">
        <v>96.0</v>
      </c>
      <c r="B99" s="57">
        <v>3227.0</v>
      </c>
      <c r="C99" s="58" t="s">
        <v>569</v>
      </c>
      <c r="D99" s="60"/>
      <c r="E99" s="57" t="s">
        <v>570</v>
      </c>
      <c r="F99" s="59">
        <v>40094.0</v>
      </c>
      <c r="G99" s="57" t="s">
        <v>571</v>
      </c>
      <c r="H99" s="60"/>
      <c r="I99" s="84" t="s">
        <v>572</v>
      </c>
      <c r="J99" s="57" t="s">
        <v>573</v>
      </c>
      <c r="K99" s="60"/>
      <c r="L99" s="60"/>
      <c r="M99" s="60"/>
      <c r="N99" s="61"/>
      <c r="O99" s="51"/>
    </row>
    <row r="100">
      <c r="A100" s="56">
        <v>97.0</v>
      </c>
      <c r="B100" s="57">
        <v>3229.0</v>
      </c>
      <c r="C100" s="58" t="s">
        <v>574</v>
      </c>
      <c r="D100" s="57" t="s">
        <v>575</v>
      </c>
      <c r="E100" s="57" t="s">
        <v>576</v>
      </c>
      <c r="F100" s="59">
        <v>39643.0</v>
      </c>
      <c r="G100" s="57" t="s">
        <v>577</v>
      </c>
      <c r="H100" s="60"/>
      <c r="I100" s="68" t="s">
        <v>578</v>
      </c>
      <c r="J100" s="57" t="s">
        <v>148</v>
      </c>
      <c r="K100" s="60"/>
      <c r="L100" s="60"/>
      <c r="M100" s="60"/>
      <c r="N100" s="61"/>
      <c r="O100" s="51"/>
    </row>
    <row r="101">
      <c r="A101" s="56">
        <v>98.0</v>
      </c>
      <c r="B101" s="57">
        <v>3234.0</v>
      </c>
      <c r="C101" s="58" t="s">
        <v>579</v>
      </c>
      <c r="D101" s="60"/>
      <c r="E101" s="57" t="s">
        <v>580</v>
      </c>
      <c r="F101" s="59">
        <v>40076.0</v>
      </c>
      <c r="G101" s="57" t="s">
        <v>581</v>
      </c>
      <c r="H101" s="60"/>
      <c r="I101" s="63" t="s">
        <v>582</v>
      </c>
      <c r="J101" s="57" t="s">
        <v>583</v>
      </c>
      <c r="K101" s="60"/>
      <c r="L101" s="60"/>
      <c r="M101" s="60"/>
      <c r="N101" s="61"/>
      <c r="O101" s="51"/>
    </row>
    <row r="102">
      <c r="A102" s="56">
        <v>99.0</v>
      </c>
      <c r="B102" s="57">
        <v>3237.0</v>
      </c>
      <c r="C102" s="58" t="s">
        <v>584</v>
      </c>
      <c r="D102" s="57" t="s">
        <v>585</v>
      </c>
      <c r="E102" s="57" t="s">
        <v>586</v>
      </c>
      <c r="F102" s="59">
        <v>40179.0</v>
      </c>
      <c r="G102" s="57" t="s">
        <v>587</v>
      </c>
      <c r="H102" s="60"/>
      <c r="I102" s="63" t="s">
        <v>588</v>
      </c>
      <c r="J102" s="57" t="s">
        <v>516</v>
      </c>
      <c r="K102" s="60"/>
      <c r="L102" s="60"/>
      <c r="M102" s="60"/>
      <c r="N102" s="61"/>
      <c r="O102" s="51"/>
    </row>
    <row r="103">
      <c r="A103" s="56">
        <v>100.0</v>
      </c>
      <c r="B103" s="57">
        <v>3238.0</v>
      </c>
      <c r="C103" s="58" t="s">
        <v>589</v>
      </c>
      <c r="D103" s="60"/>
      <c r="E103" s="57" t="s">
        <v>590</v>
      </c>
      <c r="F103" s="59">
        <v>40200.0</v>
      </c>
      <c r="G103" s="57" t="s">
        <v>591</v>
      </c>
      <c r="H103" s="60"/>
      <c r="I103" s="63" t="s">
        <v>592</v>
      </c>
      <c r="J103" s="57" t="s">
        <v>124</v>
      </c>
      <c r="K103" s="60"/>
      <c r="L103" s="60"/>
      <c r="M103" s="60"/>
      <c r="N103" s="61"/>
      <c r="O103" s="51"/>
    </row>
    <row r="104">
      <c r="A104" s="56">
        <v>101.0</v>
      </c>
      <c r="B104" s="57">
        <v>3242.0</v>
      </c>
      <c r="C104" s="58" t="s">
        <v>593</v>
      </c>
      <c r="D104" s="57" t="s">
        <v>594</v>
      </c>
      <c r="E104" s="57" t="s">
        <v>595</v>
      </c>
      <c r="F104" s="59">
        <v>39489.0</v>
      </c>
      <c r="G104" s="57" t="s">
        <v>596</v>
      </c>
      <c r="H104" s="60"/>
      <c r="I104" s="57" t="s">
        <v>597</v>
      </c>
      <c r="J104" s="57" t="s">
        <v>516</v>
      </c>
      <c r="K104" s="60"/>
      <c r="L104" s="60"/>
      <c r="M104" s="60"/>
      <c r="N104" s="61"/>
      <c r="O104" s="51"/>
    </row>
    <row r="105">
      <c r="A105" s="56">
        <v>102.0</v>
      </c>
      <c r="B105" s="57">
        <v>3246.0</v>
      </c>
      <c r="C105" s="58" t="s">
        <v>598</v>
      </c>
      <c r="D105" s="57" t="s">
        <v>599</v>
      </c>
      <c r="E105" s="57" t="s">
        <v>600</v>
      </c>
      <c r="F105" s="59">
        <v>40270.0</v>
      </c>
      <c r="G105" s="57" t="s">
        <v>601</v>
      </c>
      <c r="H105" s="60"/>
      <c r="I105" s="57" t="s">
        <v>602</v>
      </c>
      <c r="J105" s="57" t="s">
        <v>603</v>
      </c>
      <c r="K105" s="60"/>
      <c r="L105" s="60"/>
      <c r="M105" s="60"/>
      <c r="N105" s="61"/>
      <c r="O105" s="51"/>
    </row>
    <row r="106">
      <c r="A106" s="56">
        <v>103.0</v>
      </c>
      <c r="B106" s="57">
        <v>3247.0</v>
      </c>
      <c r="C106" s="58" t="s">
        <v>604</v>
      </c>
      <c r="D106" s="57" t="s">
        <v>605</v>
      </c>
      <c r="E106" s="57" t="s">
        <v>606</v>
      </c>
      <c r="F106" s="57" t="s">
        <v>407</v>
      </c>
      <c r="G106" s="57" t="s">
        <v>607</v>
      </c>
      <c r="H106" s="60"/>
      <c r="I106" s="63" t="s">
        <v>608</v>
      </c>
      <c r="J106" s="57" t="s">
        <v>148</v>
      </c>
      <c r="K106" s="60"/>
      <c r="L106" s="60"/>
      <c r="M106" s="60"/>
      <c r="N106" s="61"/>
      <c r="O106" s="51"/>
    </row>
    <row r="107">
      <c r="A107" s="56">
        <v>104.0</v>
      </c>
      <c r="B107" s="57">
        <v>3248.0</v>
      </c>
      <c r="C107" s="58">
        <v>88.0</v>
      </c>
      <c r="D107" s="57" t="s">
        <v>609</v>
      </c>
      <c r="E107" s="57" t="s">
        <v>610</v>
      </c>
      <c r="F107" s="59">
        <v>40220.0</v>
      </c>
      <c r="G107" s="57" t="s">
        <v>611</v>
      </c>
      <c r="H107" s="60"/>
      <c r="I107" s="60"/>
      <c r="J107" s="57" t="s">
        <v>612</v>
      </c>
      <c r="K107" s="60"/>
      <c r="L107" s="60"/>
      <c r="M107" s="60"/>
      <c r="N107" s="61"/>
      <c r="O107" s="51"/>
    </row>
    <row r="108">
      <c r="A108" s="56">
        <v>105.0</v>
      </c>
      <c r="B108" s="63">
        <v>3254.0</v>
      </c>
      <c r="C108" s="64" t="s">
        <v>613</v>
      </c>
      <c r="D108" s="63" t="s">
        <v>614</v>
      </c>
      <c r="E108" s="63" t="s">
        <v>615</v>
      </c>
      <c r="F108" s="70">
        <v>39869.0</v>
      </c>
      <c r="G108" s="63" t="s">
        <v>616</v>
      </c>
      <c r="H108" s="66"/>
      <c r="I108" s="63" t="s">
        <v>617</v>
      </c>
      <c r="J108" s="63" t="s">
        <v>136</v>
      </c>
      <c r="K108" s="66"/>
      <c r="L108" s="63" t="s">
        <v>618</v>
      </c>
      <c r="M108" s="63" t="s">
        <v>125</v>
      </c>
      <c r="N108" s="61"/>
      <c r="O108" s="51"/>
    </row>
    <row r="109">
      <c r="A109" s="56">
        <v>106.0</v>
      </c>
      <c r="B109" s="57">
        <v>3256.0</v>
      </c>
      <c r="C109" s="58" t="s">
        <v>619</v>
      </c>
      <c r="D109" s="60"/>
      <c r="E109" s="57" t="s">
        <v>620</v>
      </c>
      <c r="F109" s="59">
        <v>40288.0</v>
      </c>
      <c r="G109" s="57" t="s">
        <v>621</v>
      </c>
      <c r="H109" s="60"/>
      <c r="I109" s="60"/>
      <c r="J109" s="57" t="s">
        <v>622</v>
      </c>
      <c r="K109" s="60"/>
      <c r="L109" s="60"/>
      <c r="M109" s="60"/>
      <c r="N109" s="61"/>
      <c r="O109" s="51"/>
    </row>
    <row r="110">
      <c r="A110" s="56">
        <v>107.0</v>
      </c>
      <c r="B110" s="57">
        <v>3257.0</v>
      </c>
      <c r="C110" s="58" t="s">
        <v>623</v>
      </c>
      <c r="D110" s="60"/>
      <c r="E110" s="57" t="s">
        <v>624</v>
      </c>
      <c r="F110" s="59">
        <v>40263.0</v>
      </c>
      <c r="G110" s="57" t="s">
        <v>625</v>
      </c>
      <c r="H110" s="60"/>
      <c r="I110" s="63" t="s">
        <v>626</v>
      </c>
      <c r="J110" s="57" t="s">
        <v>627</v>
      </c>
      <c r="K110" s="60"/>
      <c r="L110" s="60"/>
      <c r="M110" s="60"/>
      <c r="N110" s="61"/>
      <c r="O110" s="51"/>
    </row>
    <row r="111">
      <c r="A111" s="56">
        <v>108.0</v>
      </c>
      <c r="B111" s="63">
        <v>3259.0</v>
      </c>
      <c r="C111" s="64" t="s">
        <v>628</v>
      </c>
      <c r="D111" s="66"/>
      <c r="E111" s="63" t="s">
        <v>629</v>
      </c>
      <c r="F111" s="70">
        <v>40185.0</v>
      </c>
      <c r="G111" s="63" t="s">
        <v>630</v>
      </c>
      <c r="H111" s="66"/>
      <c r="I111" s="63" t="s">
        <v>631</v>
      </c>
      <c r="J111" s="63" t="s">
        <v>136</v>
      </c>
      <c r="K111" s="66"/>
      <c r="L111" s="66"/>
      <c r="M111" s="63" t="s">
        <v>27</v>
      </c>
      <c r="N111" s="61"/>
      <c r="O111" s="51"/>
    </row>
    <row r="112">
      <c r="A112" s="56">
        <v>109.0</v>
      </c>
      <c r="B112" s="57">
        <v>3266.0</v>
      </c>
      <c r="C112" s="58" t="s">
        <v>632</v>
      </c>
      <c r="D112" s="60"/>
      <c r="E112" s="57" t="s">
        <v>633</v>
      </c>
      <c r="F112" s="59">
        <v>40379.0</v>
      </c>
      <c r="G112" s="57" t="s">
        <v>634</v>
      </c>
      <c r="H112" s="60"/>
      <c r="I112" s="63" t="s">
        <v>635</v>
      </c>
      <c r="J112" s="57" t="s">
        <v>636</v>
      </c>
      <c r="K112" s="60"/>
      <c r="L112" s="60"/>
      <c r="M112" s="60"/>
      <c r="N112" s="61"/>
      <c r="O112" s="51"/>
    </row>
    <row r="113">
      <c r="A113" s="56">
        <v>110.0</v>
      </c>
      <c r="B113" s="63">
        <v>3273.0</v>
      </c>
      <c r="C113" s="64" t="s">
        <v>637</v>
      </c>
      <c r="D113" s="63" t="s">
        <v>638</v>
      </c>
      <c r="E113" s="63" t="s">
        <v>639</v>
      </c>
      <c r="F113" s="70">
        <v>40234.0</v>
      </c>
      <c r="G113" s="63" t="s">
        <v>640</v>
      </c>
      <c r="H113" s="66"/>
      <c r="I113" s="63" t="s">
        <v>635</v>
      </c>
      <c r="J113" s="63" t="s">
        <v>136</v>
      </c>
      <c r="K113" s="66"/>
      <c r="L113" s="66"/>
      <c r="M113" s="63" t="s">
        <v>195</v>
      </c>
      <c r="N113" s="61"/>
      <c r="O113" s="51"/>
    </row>
    <row r="114">
      <c r="A114" s="56">
        <v>111.0</v>
      </c>
      <c r="B114" s="57">
        <v>3280.0</v>
      </c>
      <c r="C114" s="58" t="s">
        <v>641</v>
      </c>
      <c r="D114" s="60"/>
      <c r="E114" s="57" t="s">
        <v>642</v>
      </c>
      <c r="F114" s="59">
        <v>39203.0</v>
      </c>
      <c r="G114" s="57" t="s">
        <v>643</v>
      </c>
      <c r="H114" s="60"/>
      <c r="I114" s="63" t="s">
        <v>644</v>
      </c>
      <c r="J114" s="57" t="s">
        <v>382</v>
      </c>
      <c r="K114" s="60"/>
      <c r="L114" s="60"/>
      <c r="M114" s="57" t="s">
        <v>149</v>
      </c>
      <c r="N114" s="61"/>
      <c r="O114" s="51"/>
    </row>
    <row r="115">
      <c r="A115" s="56">
        <v>112.0</v>
      </c>
      <c r="B115" s="57">
        <v>3281.0</v>
      </c>
      <c r="C115" s="58" t="s">
        <v>645</v>
      </c>
      <c r="D115" s="60"/>
      <c r="E115" s="57" t="s">
        <v>646</v>
      </c>
      <c r="F115" s="59">
        <v>40344.0</v>
      </c>
      <c r="G115" s="57" t="s">
        <v>647</v>
      </c>
      <c r="H115" s="60"/>
      <c r="I115" s="63" t="s">
        <v>635</v>
      </c>
      <c r="J115" s="57" t="s">
        <v>648</v>
      </c>
      <c r="K115" s="60"/>
      <c r="L115" s="60"/>
      <c r="M115" s="60"/>
      <c r="N115" s="61"/>
      <c r="O115" s="51"/>
    </row>
    <row r="116">
      <c r="A116" s="56">
        <v>113.0</v>
      </c>
      <c r="B116" s="57">
        <v>3282.0</v>
      </c>
      <c r="C116" s="58" t="s">
        <v>649</v>
      </c>
      <c r="D116" s="57" t="s">
        <v>650</v>
      </c>
      <c r="E116" s="57" t="s">
        <v>651</v>
      </c>
      <c r="F116" s="59">
        <v>40154.0</v>
      </c>
      <c r="G116" s="57" t="s">
        <v>652</v>
      </c>
      <c r="H116" s="60"/>
      <c r="I116" s="63" t="s">
        <v>635</v>
      </c>
      <c r="J116" s="57" t="s">
        <v>653</v>
      </c>
      <c r="K116" s="60"/>
      <c r="L116" s="60"/>
      <c r="M116" s="60"/>
      <c r="N116" s="61"/>
      <c r="O116" s="51"/>
    </row>
    <row r="117">
      <c r="A117" s="56">
        <v>114.0</v>
      </c>
      <c r="B117" s="63">
        <v>3288.0</v>
      </c>
      <c r="C117" s="64" t="s">
        <v>654</v>
      </c>
      <c r="D117" s="66"/>
      <c r="E117" s="63" t="s">
        <v>655</v>
      </c>
      <c r="F117" s="65">
        <v>40134.0</v>
      </c>
      <c r="G117" s="63" t="s">
        <v>656</v>
      </c>
      <c r="H117" s="66"/>
      <c r="I117" s="63" t="s">
        <v>657</v>
      </c>
      <c r="J117" s="63" t="s">
        <v>136</v>
      </c>
      <c r="K117" s="66"/>
      <c r="L117" s="66"/>
      <c r="M117" s="63" t="s">
        <v>201</v>
      </c>
      <c r="N117" s="61"/>
      <c r="O117" s="51"/>
    </row>
    <row r="118">
      <c r="A118" s="56">
        <v>115.0</v>
      </c>
      <c r="B118" s="57">
        <v>3292.0</v>
      </c>
      <c r="C118" s="58" t="s">
        <v>658</v>
      </c>
      <c r="D118" s="57" t="s">
        <v>659</v>
      </c>
      <c r="E118" s="57" t="s">
        <v>660</v>
      </c>
      <c r="F118" s="59">
        <v>40376.0</v>
      </c>
      <c r="G118" s="57" t="s">
        <v>661</v>
      </c>
      <c r="H118" s="60"/>
      <c r="I118" s="63" t="s">
        <v>662</v>
      </c>
      <c r="J118" s="57" t="s">
        <v>663</v>
      </c>
      <c r="K118" s="60"/>
      <c r="L118" s="60"/>
      <c r="M118" s="60"/>
      <c r="N118" s="61"/>
      <c r="O118" s="51"/>
    </row>
    <row r="119">
      <c r="A119" s="56">
        <v>116.0</v>
      </c>
      <c r="B119" s="57">
        <v>3293.0</v>
      </c>
      <c r="C119" s="58" t="s">
        <v>664</v>
      </c>
      <c r="D119" s="60"/>
      <c r="E119" s="57" t="s">
        <v>665</v>
      </c>
      <c r="F119" s="59">
        <v>40360.0</v>
      </c>
      <c r="G119" s="57" t="s">
        <v>666</v>
      </c>
      <c r="H119" s="60"/>
      <c r="I119" s="57" t="s">
        <v>667</v>
      </c>
      <c r="J119" s="57" t="s">
        <v>668</v>
      </c>
      <c r="K119" s="60"/>
      <c r="L119" s="60"/>
      <c r="M119" s="60"/>
      <c r="N119" s="61"/>
      <c r="O119" s="51"/>
    </row>
    <row r="120">
      <c r="A120" s="56">
        <v>117.0</v>
      </c>
      <c r="B120" s="57">
        <v>3295.0</v>
      </c>
      <c r="C120" s="58" t="s">
        <v>669</v>
      </c>
      <c r="D120" s="60"/>
      <c r="E120" s="57" t="s">
        <v>670</v>
      </c>
      <c r="F120" s="59">
        <v>40456.0</v>
      </c>
      <c r="G120" s="57" t="s">
        <v>671</v>
      </c>
      <c r="H120" s="60"/>
      <c r="I120" s="63" t="s">
        <v>672</v>
      </c>
      <c r="J120" s="57" t="s">
        <v>124</v>
      </c>
      <c r="K120" s="60"/>
      <c r="L120" s="60"/>
      <c r="M120" s="60"/>
      <c r="N120" s="61"/>
      <c r="O120" s="51"/>
    </row>
    <row r="121">
      <c r="A121" s="56">
        <v>118.0</v>
      </c>
      <c r="B121" s="57">
        <v>3296.0</v>
      </c>
      <c r="C121" s="58" t="s">
        <v>673</v>
      </c>
      <c r="D121" s="60"/>
      <c r="E121" s="57" t="s">
        <v>674</v>
      </c>
      <c r="F121" s="59">
        <v>40299.0</v>
      </c>
      <c r="G121" s="57" t="s">
        <v>675</v>
      </c>
      <c r="H121" s="60"/>
      <c r="I121" s="63" t="s">
        <v>676</v>
      </c>
      <c r="J121" s="57" t="s">
        <v>677</v>
      </c>
      <c r="K121" s="60"/>
      <c r="L121" s="60"/>
      <c r="M121" s="60"/>
      <c r="N121" s="61"/>
      <c r="O121" s="51"/>
    </row>
    <row r="122">
      <c r="A122" s="56">
        <v>119.0</v>
      </c>
      <c r="B122" s="57">
        <v>3298.0</v>
      </c>
      <c r="C122" s="58" t="s">
        <v>678</v>
      </c>
      <c r="D122" s="60"/>
      <c r="E122" s="57" t="s">
        <v>679</v>
      </c>
      <c r="F122" s="59">
        <v>40379.0</v>
      </c>
      <c r="G122" s="57" t="s">
        <v>680</v>
      </c>
      <c r="H122" s="60"/>
      <c r="I122" s="57" t="s">
        <v>681</v>
      </c>
      <c r="J122" s="57" t="s">
        <v>682</v>
      </c>
      <c r="K122" s="60"/>
      <c r="L122" s="60"/>
      <c r="M122" s="60"/>
      <c r="N122" s="61"/>
      <c r="O122" s="51"/>
    </row>
    <row r="123">
      <c r="A123" s="56">
        <v>120.0</v>
      </c>
      <c r="B123" s="57">
        <v>3302.0</v>
      </c>
      <c r="C123" s="58" t="s">
        <v>683</v>
      </c>
      <c r="D123" s="57" t="s">
        <v>684</v>
      </c>
      <c r="E123" s="57" t="s">
        <v>685</v>
      </c>
      <c r="F123" s="59">
        <v>40027.0</v>
      </c>
      <c r="G123" s="57" t="s">
        <v>686</v>
      </c>
      <c r="H123" s="60"/>
      <c r="I123" s="63" t="s">
        <v>687</v>
      </c>
      <c r="J123" s="57" t="s">
        <v>182</v>
      </c>
      <c r="K123" s="60"/>
      <c r="L123" s="60"/>
      <c r="M123" s="60"/>
      <c r="N123" s="61"/>
      <c r="O123" s="51"/>
    </row>
    <row r="124">
      <c r="A124" s="56">
        <v>121.0</v>
      </c>
      <c r="B124" s="57">
        <v>3303.0</v>
      </c>
      <c r="C124" s="58" t="s">
        <v>688</v>
      </c>
      <c r="D124" s="60"/>
      <c r="E124" s="57" t="s">
        <v>689</v>
      </c>
      <c r="F124" s="59">
        <v>40077.0</v>
      </c>
      <c r="G124" s="57" t="s">
        <v>690</v>
      </c>
      <c r="H124" s="60"/>
      <c r="I124" s="63" t="s">
        <v>691</v>
      </c>
      <c r="J124" s="57" t="s">
        <v>692</v>
      </c>
      <c r="K124" s="60"/>
      <c r="L124" s="60"/>
      <c r="M124" s="60"/>
      <c r="N124" s="61"/>
      <c r="O124" s="51"/>
    </row>
    <row r="125">
      <c r="A125" s="85">
        <v>122.0</v>
      </c>
      <c r="B125" s="80">
        <v>3311.0</v>
      </c>
      <c r="C125" s="79" t="s">
        <v>693</v>
      </c>
      <c r="D125" s="82"/>
      <c r="E125" s="80" t="s">
        <v>694</v>
      </c>
      <c r="F125" s="81">
        <v>40393.0</v>
      </c>
      <c r="G125" s="80" t="s">
        <v>695</v>
      </c>
      <c r="H125" s="82"/>
      <c r="I125" s="80" t="s">
        <v>696</v>
      </c>
      <c r="J125" s="82"/>
      <c r="K125" s="82"/>
      <c r="L125" s="82"/>
      <c r="M125" s="82"/>
      <c r="N125" s="61"/>
      <c r="O125" s="51"/>
    </row>
    <row r="126">
      <c r="A126" s="56">
        <v>123.0</v>
      </c>
      <c r="B126" s="57">
        <v>3312.0</v>
      </c>
      <c r="C126" s="58" t="s">
        <v>697</v>
      </c>
      <c r="D126" s="60"/>
      <c r="E126" s="57" t="s">
        <v>698</v>
      </c>
      <c r="F126" s="59">
        <v>40405.0</v>
      </c>
      <c r="G126" s="57" t="s">
        <v>699</v>
      </c>
      <c r="H126" s="60"/>
      <c r="I126" s="57" t="s">
        <v>700</v>
      </c>
      <c r="J126" s="57" t="s">
        <v>701</v>
      </c>
      <c r="K126" s="60"/>
      <c r="L126" s="60"/>
      <c r="M126" s="60"/>
      <c r="N126" s="61"/>
      <c r="O126" s="51"/>
    </row>
    <row r="127">
      <c r="A127" s="56">
        <v>124.0</v>
      </c>
      <c r="B127" s="57">
        <v>3313.0</v>
      </c>
      <c r="C127" s="58" t="s">
        <v>702</v>
      </c>
      <c r="D127" s="60"/>
      <c r="E127" s="57" t="s">
        <v>703</v>
      </c>
      <c r="F127" s="59">
        <v>40405.0</v>
      </c>
      <c r="G127" s="57" t="s">
        <v>704</v>
      </c>
      <c r="H127" s="60"/>
      <c r="I127" s="57" t="s">
        <v>700</v>
      </c>
      <c r="J127" s="57" t="s">
        <v>701</v>
      </c>
      <c r="K127" s="60"/>
      <c r="L127" s="60"/>
      <c r="M127" s="60"/>
      <c r="N127" s="61"/>
      <c r="O127" s="51"/>
    </row>
    <row r="128">
      <c r="A128" s="56">
        <v>125.0</v>
      </c>
      <c r="B128" s="57">
        <v>3314.0</v>
      </c>
      <c r="C128" s="58" t="s">
        <v>705</v>
      </c>
      <c r="D128" s="60"/>
      <c r="E128" s="57" t="s">
        <v>706</v>
      </c>
      <c r="F128" s="59">
        <v>40405.0</v>
      </c>
      <c r="G128" s="57" t="s">
        <v>707</v>
      </c>
      <c r="H128" s="60"/>
      <c r="I128" s="57" t="s">
        <v>700</v>
      </c>
      <c r="J128" s="57" t="s">
        <v>701</v>
      </c>
      <c r="K128" s="60"/>
      <c r="L128" s="60"/>
      <c r="M128" s="60"/>
      <c r="N128" s="61"/>
      <c r="O128" s="51"/>
    </row>
    <row r="129">
      <c r="A129" s="56">
        <v>126.0</v>
      </c>
      <c r="B129" s="57">
        <v>3316.0</v>
      </c>
      <c r="C129" s="58" t="s">
        <v>708</v>
      </c>
      <c r="D129" s="60"/>
      <c r="E129" s="57" t="s">
        <v>709</v>
      </c>
      <c r="F129" s="59">
        <v>40451.0</v>
      </c>
      <c r="G129" s="57" t="s">
        <v>710</v>
      </c>
      <c r="H129" s="60"/>
      <c r="I129" s="63" t="s">
        <v>711</v>
      </c>
      <c r="J129" s="57" t="s">
        <v>712</v>
      </c>
      <c r="K129" s="60"/>
      <c r="L129" s="60"/>
      <c r="M129" s="60"/>
      <c r="N129" s="61"/>
      <c r="O129" s="51"/>
    </row>
    <row r="130">
      <c r="A130" s="56">
        <v>127.0</v>
      </c>
      <c r="B130" s="57">
        <v>3322.0</v>
      </c>
      <c r="C130" s="58" t="s">
        <v>713</v>
      </c>
      <c r="D130" s="60"/>
      <c r="E130" s="57" t="s">
        <v>714</v>
      </c>
      <c r="F130" s="59">
        <v>39992.0</v>
      </c>
      <c r="G130" s="57" t="s">
        <v>715</v>
      </c>
      <c r="H130" s="60"/>
      <c r="I130" s="63" t="s">
        <v>716</v>
      </c>
      <c r="J130" s="57" t="s">
        <v>717</v>
      </c>
      <c r="K130" s="60"/>
      <c r="L130" s="60"/>
      <c r="M130" s="60"/>
      <c r="N130" s="61"/>
      <c r="O130" s="51"/>
    </row>
    <row r="131">
      <c r="A131" s="56">
        <v>128.0</v>
      </c>
      <c r="B131" s="57">
        <v>3323.0</v>
      </c>
      <c r="C131" s="58" t="s">
        <v>718</v>
      </c>
      <c r="D131" s="57" t="s">
        <v>719</v>
      </c>
      <c r="E131" s="57" t="s">
        <v>720</v>
      </c>
      <c r="F131" s="59">
        <v>39950.0</v>
      </c>
      <c r="G131" s="57" t="s">
        <v>721</v>
      </c>
      <c r="H131" s="57" t="s">
        <v>722</v>
      </c>
      <c r="I131" s="60"/>
      <c r="J131" s="57" t="s">
        <v>717</v>
      </c>
      <c r="K131" s="60"/>
      <c r="L131" s="60"/>
      <c r="M131" s="60"/>
      <c r="N131" s="61"/>
      <c r="O131" s="51"/>
    </row>
    <row r="132">
      <c r="A132" s="56">
        <v>129.0</v>
      </c>
      <c r="B132" s="57">
        <v>3324.0</v>
      </c>
      <c r="C132" s="58" t="s">
        <v>723</v>
      </c>
      <c r="D132" s="57" t="s">
        <v>719</v>
      </c>
      <c r="E132" s="57" t="s">
        <v>724</v>
      </c>
      <c r="F132" s="59">
        <v>39950.0</v>
      </c>
      <c r="G132" s="57" t="s">
        <v>725</v>
      </c>
      <c r="H132" s="57" t="s">
        <v>726</v>
      </c>
      <c r="I132" s="60"/>
      <c r="J132" s="57" t="s">
        <v>717</v>
      </c>
      <c r="K132" s="60"/>
      <c r="L132" s="60"/>
      <c r="M132" s="60"/>
      <c r="N132" s="61"/>
      <c r="O132" s="51"/>
    </row>
    <row r="133">
      <c r="A133" s="56">
        <v>130.0</v>
      </c>
      <c r="B133" s="57">
        <v>3325.0</v>
      </c>
      <c r="C133" s="58" t="s">
        <v>727</v>
      </c>
      <c r="D133" s="57" t="s">
        <v>719</v>
      </c>
      <c r="E133" s="57" t="s">
        <v>728</v>
      </c>
      <c r="F133" s="59">
        <v>39950.0</v>
      </c>
      <c r="G133" s="57" t="s">
        <v>729</v>
      </c>
      <c r="H133" s="57" t="s">
        <v>730</v>
      </c>
      <c r="I133" s="60"/>
      <c r="J133" s="57" t="s">
        <v>717</v>
      </c>
      <c r="K133" s="60"/>
      <c r="L133" s="60"/>
      <c r="M133" s="60"/>
      <c r="N133" s="61"/>
      <c r="O133" s="51"/>
    </row>
    <row r="134">
      <c r="A134" s="56">
        <v>131.0</v>
      </c>
      <c r="B134" s="57">
        <v>3326.0</v>
      </c>
      <c r="C134" s="58" t="s">
        <v>731</v>
      </c>
      <c r="D134" s="57" t="s">
        <v>719</v>
      </c>
      <c r="E134" s="57" t="s">
        <v>732</v>
      </c>
      <c r="F134" s="59">
        <v>39950.0</v>
      </c>
      <c r="G134" s="57" t="s">
        <v>729</v>
      </c>
      <c r="H134" s="57" t="s">
        <v>733</v>
      </c>
      <c r="I134" s="60"/>
      <c r="J134" s="57" t="s">
        <v>717</v>
      </c>
      <c r="K134" s="60"/>
      <c r="L134" s="60"/>
      <c r="M134" s="60"/>
      <c r="N134" s="61"/>
      <c r="O134" s="51"/>
    </row>
    <row r="135">
      <c r="A135" s="56">
        <v>132.0</v>
      </c>
      <c r="B135" s="57">
        <v>3327.0</v>
      </c>
      <c r="C135" s="58" t="s">
        <v>734</v>
      </c>
      <c r="D135" s="57" t="s">
        <v>719</v>
      </c>
      <c r="E135" s="57" t="s">
        <v>735</v>
      </c>
      <c r="F135" s="59">
        <v>39950.0</v>
      </c>
      <c r="G135" s="57" t="s">
        <v>736</v>
      </c>
      <c r="H135" s="57" t="s">
        <v>737</v>
      </c>
      <c r="I135" s="60"/>
      <c r="J135" s="57" t="s">
        <v>717</v>
      </c>
      <c r="K135" s="60"/>
      <c r="L135" s="60"/>
      <c r="M135" s="60"/>
      <c r="N135" s="61"/>
      <c r="O135" s="51"/>
    </row>
    <row r="136">
      <c r="A136" s="56">
        <v>133.0</v>
      </c>
      <c r="B136" s="57">
        <v>3328.0</v>
      </c>
      <c r="C136" s="58" t="s">
        <v>738</v>
      </c>
      <c r="D136" s="57" t="s">
        <v>719</v>
      </c>
      <c r="E136" s="57" t="s">
        <v>739</v>
      </c>
      <c r="F136" s="59">
        <v>39950.0</v>
      </c>
      <c r="G136" s="57" t="s">
        <v>729</v>
      </c>
      <c r="H136" s="60"/>
      <c r="I136" s="60"/>
      <c r="J136" s="57" t="s">
        <v>717</v>
      </c>
      <c r="K136" s="60"/>
      <c r="L136" s="60"/>
      <c r="M136" s="60"/>
      <c r="N136" s="61"/>
      <c r="O136" s="51"/>
    </row>
    <row r="137">
      <c r="A137" s="56">
        <v>134.0</v>
      </c>
      <c r="B137" s="57">
        <v>3330.0</v>
      </c>
      <c r="C137" s="58" t="s">
        <v>740</v>
      </c>
      <c r="D137" s="60"/>
      <c r="E137" s="57" t="s">
        <v>741</v>
      </c>
      <c r="F137" s="59">
        <v>40346.0</v>
      </c>
      <c r="G137" s="57" t="s">
        <v>742</v>
      </c>
      <c r="H137" s="60"/>
      <c r="I137" s="63" t="s">
        <v>743</v>
      </c>
      <c r="J137" s="57" t="s">
        <v>744</v>
      </c>
      <c r="K137" s="60"/>
      <c r="L137" s="60"/>
      <c r="M137" s="60"/>
      <c r="N137" s="61"/>
      <c r="O137" s="51"/>
    </row>
    <row r="138">
      <c r="A138" s="56">
        <v>135.0</v>
      </c>
      <c r="B138" s="57">
        <v>3331.0</v>
      </c>
      <c r="C138" s="58">
        <v>113.0</v>
      </c>
      <c r="D138" s="60"/>
      <c r="E138" s="57" t="s">
        <v>745</v>
      </c>
      <c r="F138" s="78">
        <v>40107.0</v>
      </c>
      <c r="G138" s="57" t="s">
        <v>746</v>
      </c>
      <c r="H138" s="60"/>
      <c r="I138" s="60"/>
      <c r="J138" s="57" t="s">
        <v>747</v>
      </c>
      <c r="K138" s="60"/>
      <c r="L138" s="60"/>
      <c r="M138" s="60"/>
      <c r="N138" s="61"/>
      <c r="O138" s="51"/>
    </row>
    <row r="139">
      <c r="A139" s="56">
        <v>136.0</v>
      </c>
      <c r="B139" s="57">
        <v>3333.0</v>
      </c>
      <c r="C139" s="58">
        <v>114.0</v>
      </c>
      <c r="D139" s="60"/>
      <c r="E139" s="57" t="s">
        <v>748</v>
      </c>
      <c r="F139" s="59">
        <v>40359.0</v>
      </c>
      <c r="G139" s="57" t="s">
        <v>749</v>
      </c>
      <c r="H139" s="60"/>
      <c r="I139" s="60"/>
      <c r="J139" s="57" t="s">
        <v>148</v>
      </c>
      <c r="K139" s="60"/>
      <c r="L139" s="60"/>
      <c r="M139" s="60"/>
      <c r="N139" s="61"/>
      <c r="O139" s="51"/>
    </row>
    <row r="140">
      <c r="A140" s="56">
        <v>137.0</v>
      </c>
      <c r="B140" s="57">
        <v>3340.0</v>
      </c>
      <c r="C140" s="58">
        <v>183.0</v>
      </c>
      <c r="D140" s="60"/>
      <c r="E140" s="57" t="s">
        <v>750</v>
      </c>
      <c r="F140" s="59">
        <v>39996.0</v>
      </c>
      <c r="G140" s="57" t="s">
        <v>751</v>
      </c>
      <c r="H140" s="60"/>
      <c r="I140" s="60"/>
      <c r="J140" s="57" t="s">
        <v>124</v>
      </c>
      <c r="K140" s="60"/>
      <c r="L140" s="60"/>
      <c r="M140" s="60"/>
      <c r="N140" s="61"/>
      <c r="O140" s="51"/>
    </row>
    <row r="141">
      <c r="A141" s="56">
        <v>138.0</v>
      </c>
      <c r="B141" s="68">
        <v>3342.0</v>
      </c>
      <c r="C141" s="69" t="s">
        <v>752</v>
      </c>
      <c r="D141" s="71"/>
      <c r="E141" s="68" t="s">
        <v>753</v>
      </c>
      <c r="F141" s="76">
        <v>40336.0</v>
      </c>
      <c r="G141" s="68" t="s">
        <v>754</v>
      </c>
      <c r="H141" s="71"/>
      <c r="I141" s="68" t="s">
        <v>755</v>
      </c>
      <c r="J141" s="68" t="s">
        <v>756</v>
      </c>
      <c r="K141" s="71"/>
      <c r="L141" s="71"/>
      <c r="M141" s="71"/>
      <c r="N141" s="61"/>
      <c r="O141" s="51"/>
    </row>
    <row r="142">
      <c r="A142" s="56">
        <v>139.0</v>
      </c>
      <c r="B142" s="57">
        <v>3343.0</v>
      </c>
      <c r="C142" s="58" t="s">
        <v>757</v>
      </c>
      <c r="D142" s="60"/>
      <c r="E142" s="57" t="s">
        <v>758</v>
      </c>
      <c r="F142" s="78">
        <v>40509.0</v>
      </c>
      <c r="G142" s="57" t="s">
        <v>759</v>
      </c>
      <c r="H142" s="60"/>
      <c r="I142" s="57" t="s">
        <v>760</v>
      </c>
      <c r="J142" s="57" t="s">
        <v>761</v>
      </c>
      <c r="K142" s="60"/>
      <c r="L142" s="60"/>
      <c r="M142" s="60"/>
      <c r="N142" s="61"/>
      <c r="O142" s="51"/>
    </row>
    <row r="143">
      <c r="A143" s="56">
        <v>140.0</v>
      </c>
      <c r="B143" s="57">
        <v>3345.0</v>
      </c>
      <c r="C143" s="58" t="s">
        <v>762</v>
      </c>
      <c r="D143" s="60"/>
      <c r="E143" s="57" t="s">
        <v>763</v>
      </c>
      <c r="F143" s="59">
        <v>40041.0</v>
      </c>
      <c r="G143" s="57" t="s">
        <v>764</v>
      </c>
      <c r="H143" s="60"/>
      <c r="I143" s="68" t="s">
        <v>765</v>
      </c>
      <c r="J143" s="57" t="s">
        <v>766</v>
      </c>
      <c r="K143" s="60"/>
      <c r="L143" s="60"/>
      <c r="M143" s="60"/>
      <c r="N143" s="61"/>
      <c r="O143" s="51"/>
    </row>
    <row r="144">
      <c r="A144" s="56">
        <v>141.0</v>
      </c>
      <c r="B144" s="57">
        <v>3346.0</v>
      </c>
      <c r="C144" s="58">
        <v>118.0</v>
      </c>
      <c r="D144" s="60"/>
      <c r="E144" s="57" t="s">
        <v>767</v>
      </c>
      <c r="F144" s="59">
        <v>40448.0</v>
      </c>
      <c r="G144" s="57" t="s">
        <v>768</v>
      </c>
      <c r="H144" s="60"/>
      <c r="I144" s="60"/>
      <c r="J144" s="57" t="s">
        <v>769</v>
      </c>
      <c r="K144" s="60"/>
      <c r="L144" s="60"/>
      <c r="M144" s="60"/>
      <c r="N144" s="61"/>
      <c r="O144" s="51"/>
    </row>
    <row r="145">
      <c r="A145" s="56">
        <v>142.0</v>
      </c>
      <c r="B145" s="57">
        <v>3347.0</v>
      </c>
      <c r="C145" s="58" t="s">
        <v>770</v>
      </c>
      <c r="D145" s="60"/>
      <c r="E145" s="57" t="s">
        <v>771</v>
      </c>
      <c r="F145" s="78">
        <v>40471.0</v>
      </c>
      <c r="G145" s="57" t="s">
        <v>772</v>
      </c>
      <c r="H145" s="60"/>
      <c r="I145" s="63" t="s">
        <v>773</v>
      </c>
      <c r="J145" s="57" t="s">
        <v>622</v>
      </c>
      <c r="K145" s="60"/>
      <c r="L145" s="60"/>
      <c r="M145" s="60"/>
      <c r="N145" s="61"/>
      <c r="O145" s="51"/>
    </row>
    <row r="146">
      <c r="A146" s="56">
        <v>143.0</v>
      </c>
      <c r="B146" s="57">
        <v>3348.0</v>
      </c>
      <c r="C146" s="58" t="s">
        <v>774</v>
      </c>
      <c r="D146" s="60"/>
      <c r="E146" s="57" t="s">
        <v>775</v>
      </c>
      <c r="F146" s="59">
        <v>40367.0</v>
      </c>
      <c r="G146" s="57" t="s">
        <v>776</v>
      </c>
      <c r="H146" s="60"/>
      <c r="I146" s="57" t="s">
        <v>777</v>
      </c>
      <c r="J146" s="57" t="s">
        <v>778</v>
      </c>
      <c r="K146" s="60"/>
      <c r="L146" s="60"/>
      <c r="M146" s="60"/>
      <c r="N146" s="61"/>
      <c r="O146" s="51"/>
    </row>
    <row r="147">
      <c r="A147" s="56">
        <v>144.0</v>
      </c>
      <c r="B147" s="57">
        <v>3349.0</v>
      </c>
      <c r="C147" s="58" t="s">
        <v>779</v>
      </c>
      <c r="D147" s="57" t="s">
        <v>780</v>
      </c>
      <c r="E147" s="57" t="s">
        <v>781</v>
      </c>
      <c r="F147" s="59">
        <v>40324.0</v>
      </c>
      <c r="G147" s="57" t="s">
        <v>782</v>
      </c>
      <c r="H147" s="60"/>
      <c r="I147" s="63" t="s">
        <v>783</v>
      </c>
      <c r="J147" s="57" t="s">
        <v>784</v>
      </c>
      <c r="K147" s="60"/>
      <c r="L147" s="60"/>
      <c r="M147" s="60"/>
      <c r="N147" s="61"/>
      <c r="O147" s="51"/>
    </row>
    <row r="148">
      <c r="A148" s="56">
        <v>145.0</v>
      </c>
      <c r="B148" s="57">
        <v>3350.0</v>
      </c>
      <c r="C148" s="58" t="s">
        <v>785</v>
      </c>
      <c r="D148" s="57" t="s">
        <v>786</v>
      </c>
      <c r="E148" s="57" t="s">
        <v>787</v>
      </c>
      <c r="F148" s="59">
        <v>40342.0</v>
      </c>
      <c r="G148" s="57" t="s">
        <v>788</v>
      </c>
      <c r="H148" s="60"/>
      <c r="I148" s="60"/>
      <c r="J148" s="57" t="s">
        <v>789</v>
      </c>
      <c r="K148" s="60"/>
      <c r="L148" s="60"/>
      <c r="M148" s="60"/>
      <c r="N148" s="61"/>
      <c r="O148" s="51"/>
    </row>
    <row r="149">
      <c r="A149" s="56">
        <v>146.0</v>
      </c>
      <c r="B149" s="57">
        <v>3351.0</v>
      </c>
      <c r="C149" s="58" t="s">
        <v>790</v>
      </c>
      <c r="D149" s="60"/>
      <c r="E149" s="57" t="s">
        <v>791</v>
      </c>
      <c r="F149" s="59">
        <v>40393.0</v>
      </c>
      <c r="G149" s="57" t="s">
        <v>792</v>
      </c>
      <c r="H149" s="60"/>
      <c r="I149" s="63" t="s">
        <v>793</v>
      </c>
      <c r="J149" s="57" t="s">
        <v>794</v>
      </c>
      <c r="K149" s="60"/>
      <c r="L149" s="60"/>
      <c r="M149" s="60"/>
      <c r="N149" s="61"/>
      <c r="O149" s="51"/>
    </row>
    <row r="150">
      <c r="A150" s="56">
        <v>147.0</v>
      </c>
      <c r="B150" s="57">
        <v>3352.0</v>
      </c>
      <c r="C150" s="58" t="s">
        <v>795</v>
      </c>
      <c r="D150" s="57" t="s">
        <v>796</v>
      </c>
      <c r="E150" s="57" t="s">
        <v>797</v>
      </c>
      <c r="F150" s="78">
        <v>40465.0</v>
      </c>
      <c r="G150" s="57" t="s">
        <v>798</v>
      </c>
      <c r="H150" s="60"/>
      <c r="I150" s="68" t="s">
        <v>799</v>
      </c>
      <c r="J150" s="57" t="s">
        <v>800</v>
      </c>
      <c r="K150" s="60"/>
      <c r="L150" s="60"/>
      <c r="M150" s="60"/>
      <c r="N150" s="61"/>
      <c r="O150" s="51"/>
    </row>
    <row r="151">
      <c r="A151" s="56">
        <v>148.0</v>
      </c>
      <c r="B151" s="57">
        <v>3353.0</v>
      </c>
      <c r="C151" s="58" t="s">
        <v>801</v>
      </c>
      <c r="D151" s="57" t="s">
        <v>796</v>
      </c>
      <c r="E151" s="57" t="s">
        <v>802</v>
      </c>
      <c r="F151" s="78">
        <v>40533.0</v>
      </c>
      <c r="G151" s="57" t="s">
        <v>803</v>
      </c>
      <c r="H151" s="60"/>
      <c r="I151" s="68" t="s">
        <v>804</v>
      </c>
      <c r="J151" s="57" t="s">
        <v>805</v>
      </c>
      <c r="K151" s="60"/>
      <c r="L151" s="60"/>
      <c r="M151" s="60"/>
      <c r="N151" s="61"/>
      <c r="O151" s="51"/>
    </row>
    <row r="152">
      <c r="A152" s="56">
        <v>149.0</v>
      </c>
      <c r="B152" s="57">
        <v>3354.0</v>
      </c>
      <c r="C152" s="58" t="s">
        <v>806</v>
      </c>
      <c r="D152" s="57" t="s">
        <v>807</v>
      </c>
      <c r="E152" s="57" t="s">
        <v>808</v>
      </c>
      <c r="F152" s="59">
        <v>40235.0</v>
      </c>
      <c r="G152" s="57" t="s">
        <v>809</v>
      </c>
      <c r="H152" s="60"/>
      <c r="I152" s="63" t="s">
        <v>810</v>
      </c>
      <c r="J152" s="57" t="s">
        <v>148</v>
      </c>
      <c r="K152" s="60"/>
      <c r="L152" s="60"/>
      <c r="M152" s="60"/>
      <c r="N152" s="61"/>
      <c r="O152" s="51"/>
    </row>
    <row r="153">
      <c r="A153" s="56">
        <v>150.0</v>
      </c>
      <c r="B153" s="57">
        <v>3355.0</v>
      </c>
      <c r="C153" s="58" t="s">
        <v>811</v>
      </c>
      <c r="D153" s="57" t="s">
        <v>812</v>
      </c>
      <c r="E153" s="57" t="s">
        <v>813</v>
      </c>
      <c r="F153" s="59">
        <v>2010.0</v>
      </c>
      <c r="G153" s="57" t="s">
        <v>809</v>
      </c>
      <c r="H153" s="60"/>
      <c r="I153" s="63" t="s">
        <v>814</v>
      </c>
      <c r="J153" s="57" t="s">
        <v>815</v>
      </c>
      <c r="K153" s="60"/>
      <c r="L153" s="60"/>
      <c r="M153" s="60"/>
      <c r="N153" s="61"/>
      <c r="O153" s="51"/>
    </row>
    <row r="154">
      <c r="A154" s="56">
        <v>151.0</v>
      </c>
      <c r="B154" s="57">
        <v>3356.0</v>
      </c>
      <c r="C154" s="58" t="s">
        <v>816</v>
      </c>
      <c r="D154" s="57" t="s">
        <v>817</v>
      </c>
      <c r="E154" s="57" t="s">
        <v>818</v>
      </c>
      <c r="F154" s="78">
        <v>40114.0</v>
      </c>
      <c r="G154" s="57" t="s">
        <v>819</v>
      </c>
      <c r="H154" s="60"/>
      <c r="I154" s="57" t="s">
        <v>820</v>
      </c>
      <c r="J154" s="57" t="s">
        <v>821</v>
      </c>
      <c r="K154" s="60"/>
      <c r="L154" s="60"/>
      <c r="M154" s="60"/>
      <c r="N154" s="61"/>
      <c r="O154" s="51"/>
    </row>
    <row r="155">
      <c r="A155" s="56">
        <v>152.0</v>
      </c>
      <c r="B155" s="57">
        <v>3357.0</v>
      </c>
      <c r="C155" s="58" t="s">
        <v>822</v>
      </c>
      <c r="D155" s="57" t="s">
        <v>817</v>
      </c>
      <c r="E155" s="57" t="s">
        <v>823</v>
      </c>
      <c r="F155" s="78">
        <v>40114.0</v>
      </c>
      <c r="G155" s="57" t="s">
        <v>819</v>
      </c>
      <c r="H155" s="60"/>
      <c r="I155" s="57" t="s">
        <v>820</v>
      </c>
      <c r="J155" s="57" t="s">
        <v>821</v>
      </c>
      <c r="K155" s="60"/>
      <c r="L155" s="60"/>
      <c r="M155" s="60"/>
      <c r="N155" s="61"/>
      <c r="O155" s="51"/>
    </row>
    <row r="156">
      <c r="A156" s="56">
        <v>153.0</v>
      </c>
      <c r="B156" s="57">
        <v>3358.0</v>
      </c>
      <c r="C156" s="58" t="s">
        <v>824</v>
      </c>
      <c r="D156" s="60"/>
      <c r="E156" s="57" t="s">
        <v>825</v>
      </c>
      <c r="F156" s="78">
        <v>40533.0</v>
      </c>
      <c r="G156" s="57" t="s">
        <v>826</v>
      </c>
      <c r="H156" s="60"/>
      <c r="I156" s="57" t="s">
        <v>827</v>
      </c>
      <c r="J156" s="57" t="s">
        <v>828</v>
      </c>
      <c r="K156" s="60"/>
      <c r="L156" s="60"/>
      <c r="M156" s="60"/>
      <c r="N156" s="61"/>
      <c r="O156" s="51"/>
    </row>
    <row r="157">
      <c r="A157" s="56">
        <v>154.0</v>
      </c>
      <c r="B157" s="57">
        <v>3359.0</v>
      </c>
      <c r="C157" s="58" t="s">
        <v>829</v>
      </c>
      <c r="D157" s="60"/>
      <c r="E157" s="57" t="s">
        <v>830</v>
      </c>
      <c r="F157" s="59">
        <v>40118.0</v>
      </c>
      <c r="G157" s="57" t="s">
        <v>831</v>
      </c>
      <c r="H157" s="60"/>
      <c r="I157" s="63" t="s">
        <v>832</v>
      </c>
      <c r="J157" s="57" t="s">
        <v>148</v>
      </c>
      <c r="K157" s="60"/>
      <c r="L157" s="60"/>
      <c r="M157" s="60"/>
      <c r="N157" s="61"/>
      <c r="O157" s="51"/>
    </row>
    <row r="158">
      <c r="A158" s="56">
        <v>155.0</v>
      </c>
      <c r="B158" s="57">
        <v>3360.0</v>
      </c>
      <c r="C158" s="58" t="s">
        <v>833</v>
      </c>
      <c r="D158" s="60"/>
      <c r="E158" s="57" t="s">
        <v>834</v>
      </c>
      <c r="F158" s="78">
        <v>40523.0</v>
      </c>
      <c r="G158" s="57" t="s">
        <v>835</v>
      </c>
      <c r="H158" s="60"/>
      <c r="I158" s="63" t="s">
        <v>836</v>
      </c>
      <c r="J158" s="57" t="s">
        <v>837</v>
      </c>
      <c r="K158" s="60"/>
      <c r="L158" s="60"/>
      <c r="M158" s="57" t="s">
        <v>137</v>
      </c>
      <c r="N158" s="61"/>
      <c r="O158" s="51"/>
    </row>
    <row r="159">
      <c r="A159" s="56">
        <v>156.0</v>
      </c>
      <c r="B159" s="68">
        <v>3361.0</v>
      </c>
      <c r="C159" s="69">
        <v>133.0</v>
      </c>
      <c r="D159" s="71"/>
      <c r="E159" s="68" t="s">
        <v>838</v>
      </c>
      <c r="F159" s="76">
        <v>40204.0</v>
      </c>
      <c r="G159" s="68" t="s">
        <v>839</v>
      </c>
      <c r="H159" s="71"/>
      <c r="I159" s="63" t="s">
        <v>840</v>
      </c>
      <c r="J159" s="68" t="s">
        <v>841</v>
      </c>
      <c r="K159" s="71"/>
      <c r="L159" s="71"/>
      <c r="M159" s="68" t="s">
        <v>137</v>
      </c>
      <c r="N159" s="61"/>
      <c r="O159" s="51"/>
    </row>
    <row r="160">
      <c r="A160" s="56">
        <v>157.0</v>
      </c>
      <c r="B160" s="63">
        <v>3362.0</v>
      </c>
      <c r="C160" s="63" t="s">
        <v>842</v>
      </c>
      <c r="D160" s="66"/>
      <c r="E160" s="63" t="s">
        <v>843</v>
      </c>
      <c r="F160" s="70">
        <v>40196.0</v>
      </c>
      <c r="G160" s="63" t="s">
        <v>844</v>
      </c>
      <c r="H160" s="63" t="s">
        <v>439</v>
      </c>
      <c r="I160" s="63" t="s">
        <v>845</v>
      </c>
      <c r="J160" s="66"/>
      <c r="K160" s="71"/>
      <c r="L160" s="71"/>
      <c r="M160" s="68" t="s">
        <v>282</v>
      </c>
      <c r="N160" s="61"/>
      <c r="O160" s="51"/>
    </row>
    <row r="161">
      <c r="A161" s="56">
        <v>158.0</v>
      </c>
      <c r="B161" s="63">
        <v>3363.0</v>
      </c>
      <c r="C161" s="63" t="s">
        <v>846</v>
      </c>
      <c r="D161" s="66"/>
      <c r="E161" s="63" t="s">
        <v>847</v>
      </c>
      <c r="F161" s="70">
        <v>40380.0</v>
      </c>
      <c r="G161" s="63" t="s">
        <v>848</v>
      </c>
      <c r="H161" s="66"/>
      <c r="I161" s="63" t="s">
        <v>849</v>
      </c>
      <c r="J161" s="68" t="s">
        <v>850</v>
      </c>
      <c r="K161" s="71"/>
      <c r="L161" s="71"/>
      <c r="M161" s="68" t="s">
        <v>149</v>
      </c>
      <c r="N161" s="61"/>
      <c r="O161" s="51"/>
    </row>
    <row r="162">
      <c r="A162" s="56">
        <v>159.0</v>
      </c>
      <c r="B162" s="63">
        <v>3364.0</v>
      </c>
      <c r="C162" s="64" t="s">
        <v>851</v>
      </c>
      <c r="D162" s="66"/>
      <c r="E162" s="63" t="s">
        <v>852</v>
      </c>
      <c r="F162" s="70">
        <v>40458.0</v>
      </c>
      <c r="G162" s="63" t="s">
        <v>853</v>
      </c>
      <c r="H162" s="66"/>
      <c r="I162" s="63" t="s">
        <v>854</v>
      </c>
      <c r="J162" s="63" t="s">
        <v>136</v>
      </c>
      <c r="K162" s="66"/>
      <c r="L162" s="66"/>
      <c r="M162" s="63" t="s">
        <v>149</v>
      </c>
      <c r="N162" s="61"/>
      <c r="O162" s="51"/>
    </row>
    <row r="163">
      <c r="A163" s="56">
        <v>160.0</v>
      </c>
      <c r="B163" s="63">
        <v>3365.0</v>
      </c>
      <c r="C163" s="64" t="s">
        <v>855</v>
      </c>
      <c r="D163" s="66"/>
      <c r="E163" s="63" t="s">
        <v>856</v>
      </c>
      <c r="F163" s="70">
        <v>39994.0</v>
      </c>
      <c r="G163" s="63" t="s">
        <v>857</v>
      </c>
      <c r="H163" s="66"/>
      <c r="I163" s="63" t="s">
        <v>858</v>
      </c>
      <c r="J163" s="63" t="s">
        <v>136</v>
      </c>
      <c r="K163" s="66"/>
      <c r="L163" s="66"/>
      <c r="M163" s="63" t="s">
        <v>125</v>
      </c>
      <c r="N163" s="61"/>
      <c r="O163" s="51"/>
    </row>
    <row r="164">
      <c r="A164" s="56">
        <v>161.0</v>
      </c>
      <c r="B164" s="57">
        <v>3366.0</v>
      </c>
      <c r="C164" s="58" t="s">
        <v>859</v>
      </c>
      <c r="D164" s="60"/>
      <c r="E164" s="57" t="s">
        <v>860</v>
      </c>
      <c r="F164" s="59">
        <v>39318.0</v>
      </c>
      <c r="G164" s="57" t="s">
        <v>861</v>
      </c>
      <c r="H164" s="60"/>
      <c r="I164" s="63" t="s">
        <v>862</v>
      </c>
      <c r="J164" s="57" t="s">
        <v>148</v>
      </c>
      <c r="K164" s="60"/>
      <c r="L164" s="60"/>
      <c r="M164" s="60"/>
      <c r="N164" s="61"/>
      <c r="O164" s="51"/>
    </row>
    <row r="165">
      <c r="A165" s="56">
        <v>162.0</v>
      </c>
      <c r="B165" s="57">
        <v>3367.0</v>
      </c>
      <c r="C165" s="58">
        <v>139.0</v>
      </c>
      <c r="D165" s="60"/>
      <c r="E165" s="57" t="s">
        <v>863</v>
      </c>
      <c r="F165" s="59">
        <v>38749.0</v>
      </c>
      <c r="G165" s="57" t="s">
        <v>864</v>
      </c>
      <c r="H165" s="60"/>
      <c r="I165" s="63" t="s">
        <v>635</v>
      </c>
      <c r="J165" s="57" t="s">
        <v>865</v>
      </c>
      <c r="K165" s="60"/>
      <c r="L165" s="60"/>
      <c r="M165" s="60"/>
      <c r="N165" s="61"/>
      <c r="O165" s="51"/>
    </row>
    <row r="166">
      <c r="A166" s="75">
        <v>163.0</v>
      </c>
      <c r="B166" s="68">
        <v>3368.0</v>
      </c>
      <c r="C166" s="69" t="s">
        <v>866</v>
      </c>
      <c r="D166" s="71"/>
      <c r="E166" s="68" t="s">
        <v>867</v>
      </c>
      <c r="F166" s="83">
        <v>39376.0</v>
      </c>
      <c r="G166" s="68" t="s">
        <v>868</v>
      </c>
      <c r="H166" s="68" t="s">
        <v>869</v>
      </c>
      <c r="I166" s="68" t="s">
        <v>870</v>
      </c>
      <c r="J166" s="68" t="s">
        <v>871</v>
      </c>
      <c r="K166" s="71"/>
      <c r="L166" s="71"/>
      <c r="M166" s="68" t="s">
        <v>872</v>
      </c>
      <c r="N166" s="77"/>
      <c r="O166" s="51"/>
    </row>
    <row r="167">
      <c r="A167" s="56">
        <v>164.0</v>
      </c>
      <c r="B167" s="57">
        <v>3369.0</v>
      </c>
      <c r="C167" s="58" t="s">
        <v>873</v>
      </c>
      <c r="D167" s="60"/>
      <c r="E167" s="57" t="s">
        <v>874</v>
      </c>
      <c r="F167" s="78">
        <v>39797.0</v>
      </c>
      <c r="G167" s="57" t="s">
        <v>875</v>
      </c>
      <c r="H167" s="60"/>
      <c r="I167" s="63" t="s">
        <v>635</v>
      </c>
      <c r="J167" s="57" t="s">
        <v>876</v>
      </c>
      <c r="K167" s="60"/>
      <c r="L167" s="60"/>
      <c r="M167" s="60"/>
      <c r="N167" s="61"/>
      <c r="O167" s="51"/>
    </row>
    <row r="168">
      <c r="A168" s="56">
        <v>165.0</v>
      </c>
      <c r="B168" s="57">
        <v>3370.0</v>
      </c>
      <c r="C168" s="58">
        <v>142.0</v>
      </c>
      <c r="D168" s="60"/>
      <c r="E168" s="57" t="s">
        <v>877</v>
      </c>
      <c r="F168" s="59">
        <v>40255.0</v>
      </c>
      <c r="G168" s="57" t="s">
        <v>878</v>
      </c>
      <c r="H168" s="60"/>
      <c r="I168" s="86" t="s">
        <v>635</v>
      </c>
      <c r="J168" s="57" t="s">
        <v>879</v>
      </c>
      <c r="K168" s="60"/>
      <c r="L168" s="60"/>
      <c r="M168" s="60"/>
      <c r="N168" s="61"/>
      <c r="O168" s="51"/>
    </row>
    <row r="169">
      <c r="A169" s="56">
        <v>166.0</v>
      </c>
      <c r="B169" s="63">
        <v>3371.0</v>
      </c>
      <c r="C169" s="64" t="s">
        <v>880</v>
      </c>
      <c r="D169" s="66"/>
      <c r="E169" s="63" t="s">
        <v>881</v>
      </c>
      <c r="F169" s="70">
        <v>40152.0</v>
      </c>
      <c r="G169" s="63" t="s">
        <v>882</v>
      </c>
      <c r="H169" s="66"/>
      <c r="I169" s="63" t="s">
        <v>883</v>
      </c>
      <c r="J169" s="63" t="s">
        <v>136</v>
      </c>
      <c r="K169" s="66"/>
      <c r="L169" s="66"/>
      <c r="M169" s="63" t="s">
        <v>884</v>
      </c>
      <c r="N169" s="61"/>
      <c r="O169" s="51"/>
    </row>
    <row r="170">
      <c r="A170" s="56">
        <v>167.0</v>
      </c>
      <c r="B170" s="57">
        <v>3372.0</v>
      </c>
      <c r="C170" s="58" t="s">
        <v>885</v>
      </c>
      <c r="D170" s="60"/>
      <c r="E170" s="57" t="s">
        <v>886</v>
      </c>
      <c r="F170" s="59">
        <v>40262.0</v>
      </c>
      <c r="G170" s="57" t="s">
        <v>887</v>
      </c>
      <c r="H170" s="60"/>
      <c r="I170" s="63" t="s">
        <v>888</v>
      </c>
      <c r="J170" s="57" t="s">
        <v>889</v>
      </c>
      <c r="K170" s="60"/>
      <c r="L170" s="60"/>
      <c r="M170" s="60"/>
      <c r="N170" s="61"/>
      <c r="O170" s="51"/>
    </row>
    <row r="171">
      <c r="A171" s="56">
        <v>168.0</v>
      </c>
      <c r="B171" s="57">
        <v>3373.0</v>
      </c>
      <c r="C171" s="58" t="s">
        <v>890</v>
      </c>
      <c r="D171" s="60"/>
      <c r="E171" s="57" t="s">
        <v>891</v>
      </c>
      <c r="F171" s="78">
        <v>40177.0</v>
      </c>
      <c r="G171" s="57" t="s">
        <v>892</v>
      </c>
      <c r="H171" s="60"/>
      <c r="I171" s="63" t="s">
        <v>893</v>
      </c>
      <c r="J171" s="57" t="s">
        <v>894</v>
      </c>
      <c r="K171" s="60"/>
      <c r="L171" s="60"/>
      <c r="M171" s="60"/>
      <c r="N171" s="61"/>
      <c r="O171" s="51"/>
    </row>
    <row r="172">
      <c r="A172" s="56">
        <v>169.0</v>
      </c>
      <c r="B172" s="57">
        <v>3374.0</v>
      </c>
      <c r="C172" s="58" t="s">
        <v>895</v>
      </c>
      <c r="D172" s="60"/>
      <c r="E172" s="57" t="s">
        <v>896</v>
      </c>
      <c r="F172" s="78">
        <v>40176.0</v>
      </c>
      <c r="G172" s="57" t="s">
        <v>892</v>
      </c>
      <c r="H172" s="60"/>
      <c r="I172" s="63" t="s">
        <v>897</v>
      </c>
      <c r="J172" s="57" t="s">
        <v>898</v>
      </c>
      <c r="K172" s="60"/>
      <c r="L172" s="60"/>
      <c r="M172" s="60"/>
      <c r="N172" s="61"/>
      <c r="O172" s="51"/>
    </row>
    <row r="173">
      <c r="A173" s="56">
        <v>170.0</v>
      </c>
      <c r="B173" s="57">
        <v>3375.0</v>
      </c>
      <c r="C173" s="58">
        <v>147.0</v>
      </c>
      <c r="D173" s="60"/>
      <c r="E173" s="57" t="s">
        <v>899</v>
      </c>
      <c r="F173" s="59">
        <v>39967.0</v>
      </c>
      <c r="G173" s="57" t="s">
        <v>900</v>
      </c>
      <c r="H173" s="60"/>
      <c r="I173" s="63" t="s">
        <v>635</v>
      </c>
      <c r="J173" s="57" t="s">
        <v>901</v>
      </c>
      <c r="K173" s="60"/>
      <c r="L173" s="60"/>
      <c r="M173" s="60"/>
      <c r="N173" s="61"/>
      <c r="O173" s="51"/>
    </row>
    <row r="174">
      <c r="A174" s="56">
        <v>171.0</v>
      </c>
      <c r="B174" s="68">
        <v>3376.0</v>
      </c>
      <c r="C174" s="69" t="s">
        <v>902</v>
      </c>
      <c r="D174" s="71"/>
      <c r="E174" s="68" t="s">
        <v>903</v>
      </c>
      <c r="F174" s="76">
        <v>39827.0</v>
      </c>
      <c r="G174" s="68" t="s">
        <v>904</v>
      </c>
      <c r="H174" s="71"/>
      <c r="I174" s="63" t="s">
        <v>905</v>
      </c>
      <c r="J174" s="68" t="s">
        <v>622</v>
      </c>
      <c r="K174" s="71"/>
      <c r="L174" s="71"/>
      <c r="M174" s="71"/>
      <c r="N174" s="61"/>
      <c r="O174" s="51"/>
    </row>
    <row r="175">
      <c r="A175" s="56">
        <v>172.0</v>
      </c>
      <c r="B175" s="57">
        <v>3377.0</v>
      </c>
      <c r="C175" s="58">
        <v>149.0</v>
      </c>
      <c r="D175" s="60"/>
      <c r="E175" s="57" t="s">
        <v>906</v>
      </c>
      <c r="F175" s="59">
        <v>39979.0</v>
      </c>
      <c r="G175" s="57" t="s">
        <v>907</v>
      </c>
      <c r="H175" s="60"/>
      <c r="I175" s="63" t="s">
        <v>635</v>
      </c>
      <c r="J175" s="68" t="s">
        <v>908</v>
      </c>
      <c r="K175" s="60"/>
      <c r="L175" s="60"/>
      <c r="M175" s="60"/>
      <c r="N175" s="61"/>
      <c r="O175" s="51"/>
    </row>
    <row r="176">
      <c r="A176" s="56">
        <v>173.0</v>
      </c>
      <c r="B176" s="71"/>
      <c r="C176" s="69" t="s">
        <v>909</v>
      </c>
      <c r="D176" s="71"/>
      <c r="E176" s="68" t="s">
        <v>910</v>
      </c>
      <c r="F176" s="76">
        <v>41534.0</v>
      </c>
      <c r="G176" s="68" t="s">
        <v>911</v>
      </c>
      <c r="H176" s="71"/>
      <c r="I176" s="71"/>
      <c r="J176" s="87" t="s">
        <v>912</v>
      </c>
      <c r="K176" s="71"/>
      <c r="L176" s="71"/>
      <c r="M176" s="68" t="s">
        <v>166</v>
      </c>
      <c r="N176" s="71"/>
      <c r="O176" s="51"/>
    </row>
    <row r="177">
      <c r="A177" s="56">
        <v>174.0</v>
      </c>
      <c r="B177" s="57">
        <v>3380.0</v>
      </c>
      <c r="C177" s="58" t="s">
        <v>913</v>
      </c>
      <c r="D177" s="60"/>
      <c r="E177" s="57" t="s">
        <v>914</v>
      </c>
      <c r="F177" s="59">
        <v>40156.0</v>
      </c>
      <c r="G177" s="57" t="s">
        <v>915</v>
      </c>
      <c r="H177" s="60"/>
      <c r="I177" s="63" t="s">
        <v>916</v>
      </c>
      <c r="J177" s="57" t="s">
        <v>917</v>
      </c>
      <c r="K177" s="60"/>
      <c r="L177" s="60"/>
      <c r="M177" s="60"/>
      <c r="N177" s="61"/>
      <c r="O177" s="51"/>
    </row>
    <row r="178">
      <c r="A178" s="56">
        <v>175.0</v>
      </c>
      <c r="B178" s="57">
        <v>3381.0</v>
      </c>
      <c r="C178" s="58" t="s">
        <v>918</v>
      </c>
      <c r="D178" s="60"/>
      <c r="E178" s="57" t="s">
        <v>919</v>
      </c>
      <c r="F178" s="59">
        <v>40368.0</v>
      </c>
      <c r="G178" s="57" t="s">
        <v>920</v>
      </c>
      <c r="H178" s="60"/>
      <c r="I178" s="63" t="s">
        <v>921</v>
      </c>
      <c r="J178" s="57" t="s">
        <v>922</v>
      </c>
      <c r="K178" s="60"/>
      <c r="L178" s="60"/>
      <c r="M178" s="60"/>
      <c r="N178" s="61"/>
      <c r="O178" s="51"/>
    </row>
    <row r="179">
      <c r="A179" s="56">
        <v>176.0</v>
      </c>
      <c r="B179" s="57">
        <v>3382.0</v>
      </c>
      <c r="C179" s="58" t="s">
        <v>923</v>
      </c>
      <c r="D179" s="60"/>
      <c r="E179" s="57" t="s">
        <v>924</v>
      </c>
      <c r="F179" s="59">
        <v>39273.0</v>
      </c>
      <c r="G179" s="57" t="s">
        <v>925</v>
      </c>
      <c r="H179" s="60"/>
      <c r="I179" s="63" t="s">
        <v>926</v>
      </c>
      <c r="J179" s="57" t="s">
        <v>148</v>
      </c>
      <c r="K179" s="60"/>
      <c r="L179" s="60"/>
      <c r="M179" s="60"/>
      <c r="N179" s="61"/>
      <c r="O179" s="51"/>
    </row>
    <row r="180">
      <c r="A180" s="56">
        <v>177.0</v>
      </c>
      <c r="B180" s="57">
        <v>3383.0</v>
      </c>
      <c r="C180" s="58" t="s">
        <v>927</v>
      </c>
      <c r="D180" s="60"/>
      <c r="E180" s="57" t="s">
        <v>928</v>
      </c>
      <c r="F180" s="59">
        <v>40583.0</v>
      </c>
      <c r="G180" s="57" t="s">
        <v>929</v>
      </c>
      <c r="H180" s="60"/>
      <c r="I180" s="57" t="s">
        <v>930</v>
      </c>
      <c r="J180" s="57" t="s">
        <v>931</v>
      </c>
      <c r="K180" s="60"/>
      <c r="L180" s="60"/>
      <c r="M180" s="60"/>
      <c r="N180" s="61"/>
      <c r="O180" s="51"/>
    </row>
    <row r="181">
      <c r="A181" s="56">
        <v>178.0</v>
      </c>
      <c r="B181" s="57">
        <v>3384.0</v>
      </c>
      <c r="C181" s="58" t="s">
        <v>932</v>
      </c>
      <c r="D181" s="60"/>
      <c r="E181" s="57" t="s">
        <v>933</v>
      </c>
      <c r="F181" s="78">
        <v>40112.0</v>
      </c>
      <c r="G181" s="57" t="s">
        <v>934</v>
      </c>
      <c r="H181" s="60"/>
      <c r="I181" s="57" t="s">
        <v>935</v>
      </c>
      <c r="J181" s="57" t="s">
        <v>936</v>
      </c>
      <c r="K181" s="60"/>
      <c r="L181" s="60"/>
      <c r="M181" s="60"/>
      <c r="N181" s="61"/>
      <c r="O181" s="51"/>
    </row>
    <row r="182">
      <c r="A182" s="56">
        <v>179.0</v>
      </c>
      <c r="B182" s="57">
        <v>3385.0</v>
      </c>
      <c r="C182" s="58" t="s">
        <v>937</v>
      </c>
      <c r="D182" s="60"/>
      <c r="E182" s="57" t="s">
        <v>938</v>
      </c>
      <c r="F182" s="59">
        <v>39966.0</v>
      </c>
      <c r="G182" s="57" t="s">
        <v>939</v>
      </c>
      <c r="H182" s="60"/>
      <c r="I182" s="63" t="s">
        <v>635</v>
      </c>
      <c r="J182" s="57" t="s">
        <v>940</v>
      </c>
      <c r="K182" s="60"/>
      <c r="L182" s="60"/>
      <c r="M182" s="57" t="s">
        <v>941</v>
      </c>
      <c r="N182" s="61"/>
      <c r="O182" s="51"/>
    </row>
    <row r="183">
      <c r="A183" s="56">
        <v>180.0</v>
      </c>
      <c r="B183" s="57">
        <v>3386.0</v>
      </c>
      <c r="C183" s="58" t="s">
        <v>942</v>
      </c>
      <c r="D183" s="60"/>
      <c r="E183" s="57" t="s">
        <v>943</v>
      </c>
      <c r="F183" s="59">
        <v>40419.0</v>
      </c>
      <c r="G183" s="57" t="s">
        <v>944</v>
      </c>
      <c r="H183" s="60"/>
      <c r="I183" s="63" t="s">
        <v>945</v>
      </c>
      <c r="J183" s="57" t="s">
        <v>148</v>
      </c>
      <c r="K183" s="60"/>
      <c r="L183" s="60"/>
      <c r="M183" s="60"/>
      <c r="N183" s="61"/>
      <c r="O183" s="51"/>
    </row>
    <row r="184">
      <c r="A184" s="56">
        <v>181.0</v>
      </c>
      <c r="B184" s="57">
        <v>3387.0</v>
      </c>
      <c r="C184" s="58" t="s">
        <v>946</v>
      </c>
      <c r="D184" s="60"/>
      <c r="E184" s="57" t="s">
        <v>947</v>
      </c>
      <c r="F184" s="59">
        <v>40338.0</v>
      </c>
      <c r="G184" s="57" t="s">
        <v>948</v>
      </c>
      <c r="H184" s="60"/>
      <c r="I184" s="63" t="s">
        <v>949</v>
      </c>
      <c r="J184" s="57" t="s">
        <v>950</v>
      </c>
      <c r="K184" s="60"/>
      <c r="L184" s="60"/>
      <c r="M184" s="60"/>
      <c r="N184" s="61"/>
      <c r="O184" s="51"/>
    </row>
    <row r="185">
      <c r="A185" s="56">
        <v>182.0</v>
      </c>
      <c r="B185" s="57">
        <v>3389.0</v>
      </c>
      <c r="C185" s="58" t="s">
        <v>951</v>
      </c>
      <c r="D185" s="60"/>
      <c r="E185" s="57" t="s">
        <v>952</v>
      </c>
      <c r="F185" s="78">
        <v>39413.0</v>
      </c>
      <c r="G185" s="57" t="s">
        <v>953</v>
      </c>
      <c r="H185" s="60"/>
      <c r="I185" s="63" t="s">
        <v>954</v>
      </c>
      <c r="J185" s="57" t="s">
        <v>148</v>
      </c>
      <c r="K185" s="60"/>
      <c r="L185" s="60"/>
      <c r="M185" s="60"/>
      <c r="N185" s="61"/>
      <c r="O185" s="51"/>
    </row>
    <row r="186">
      <c r="A186" s="56">
        <v>183.0</v>
      </c>
      <c r="B186" s="63">
        <v>3390.0</v>
      </c>
      <c r="C186" s="88" t="s">
        <v>955</v>
      </c>
      <c r="D186" s="66"/>
      <c r="E186" s="63" t="s">
        <v>956</v>
      </c>
      <c r="F186" s="70">
        <v>40326.0</v>
      </c>
      <c r="G186" s="63" t="s">
        <v>957</v>
      </c>
      <c r="H186" s="66"/>
      <c r="I186" s="63" t="s">
        <v>958</v>
      </c>
      <c r="J186" s="63" t="s">
        <v>136</v>
      </c>
      <c r="K186" s="71"/>
      <c r="L186" s="71"/>
      <c r="M186" s="88" t="s">
        <v>149</v>
      </c>
      <c r="N186" s="61"/>
      <c r="O186" s="51"/>
    </row>
    <row r="187">
      <c r="A187" s="56">
        <v>184.0</v>
      </c>
      <c r="B187" s="57">
        <v>3391.0</v>
      </c>
      <c r="C187" s="58" t="s">
        <v>959</v>
      </c>
      <c r="D187" s="60"/>
      <c r="E187" s="57" t="s">
        <v>960</v>
      </c>
      <c r="F187" s="59">
        <v>40395.0</v>
      </c>
      <c r="G187" s="57" t="s">
        <v>961</v>
      </c>
      <c r="H187" s="60"/>
      <c r="I187" s="57" t="s">
        <v>962</v>
      </c>
      <c r="J187" s="57" t="s">
        <v>963</v>
      </c>
      <c r="K187" s="60"/>
      <c r="L187" s="60"/>
      <c r="M187" s="60"/>
      <c r="N187" s="61"/>
      <c r="O187" s="51"/>
    </row>
    <row r="188">
      <c r="A188" s="56">
        <v>185.0</v>
      </c>
      <c r="B188" s="57">
        <v>3392.0</v>
      </c>
      <c r="C188" s="58" t="s">
        <v>964</v>
      </c>
      <c r="D188" s="60"/>
      <c r="E188" s="57" t="s">
        <v>965</v>
      </c>
      <c r="F188" s="78">
        <v>40478.0</v>
      </c>
      <c r="G188" s="57" t="s">
        <v>966</v>
      </c>
      <c r="H188" s="60"/>
      <c r="I188" s="57" t="s">
        <v>967</v>
      </c>
      <c r="J188" s="57" t="s">
        <v>968</v>
      </c>
      <c r="K188" s="60"/>
      <c r="L188" s="60"/>
      <c r="M188" s="60"/>
      <c r="N188" s="61"/>
      <c r="O188" s="51"/>
    </row>
    <row r="189">
      <c r="A189" s="56">
        <v>186.0</v>
      </c>
      <c r="B189" s="57">
        <v>3393.0</v>
      </c>
      <c r="C189" s="58" t="s">
        <v>969</v>
      </c>
      <c r="D189" s="60"/>
      <c r="E189" s="57" t="s">
        <v>970</v>
      </c>
      <c r="F189" s="78">
        <v>40102.0</v>
      </c>
      <c r="G189" s="57" t="s">
        <v>971</v>
      </c>
      <c r="H189" s="60"/>
      <c r="I189" s="57" t="s">
        <v>972</v>
      </c>
      <c r="J189" s="57" t="s">
        <v>973</v>
      </c>
      <c r="K189" s="60"/>
      <c r="L189" s="60"/>
      <c r="M189" s="60"/>
      <c r="N189" s="61"/>
      <c r="O189" s="51"/>
    </row>
    <row r="190">
      <c r="A190" s="56">
        <v>187.0</v>
      </c>
      <c r="B190" s="57">
        <v>3394.0</v>
      </c>
      <c r="C190" s="58" t="s">
        <v>974</v>
      </c>
      <c r="D190" s="60"/>
      <c r="E190" s="57" t="s">
        <v>975</v>
      </c>
      <c r="F190" s="78">
        <v>40101.0</v>
      </c>
      <c r="G190" s="57" t="s">
        <v>971</v>
      </c>
      <c r="H190" s="60"/>
      <c r="I190" s="57" t="s">
        <v>976</v>
      </c>
      <c r="J190" s="57" t="s">
        <v>973</v>
      </c>
      <c r="K190" s="60"/>
      <c r="L190" s="60"/>
      <c r="M190" s="60"/>
      <c r="N190" s="61"/>
      <c r="O190" s="51"/>
    </row>
    <row r="191">
      <c r="A191" s="56">
        <v>188.0</v>
      </c>
      <c r="B191" s="57">
        <v>3395.0</v>
      </c>
      <c r="C191" s="58" t="s">
        <v>977</v>
      </c>
      <c r="D191" s="60"/>
      <c r="E191" s="57" t="s">
        <v>978</v>
      </c>
      <c r="F191" s="59">
        <v>39916.0</v>
      </c>
      <c r="G191" s="57" t="s">
        <v>979</v>
      </c>
      <c r="H191" s="60"/>
      <c r="I191" s="57" t="s">
        <v>980</v>
      </c>
      <c r="J191" s="57" t="s">
        <v>148</v>
      </c>
      <c r="K191" s="60"/>
      <c r="L191" s="60"/>
      <c r="M191" s="60"/>
      <c r="N191" s="61"/>
      <c r="O191" s="51"/>
    </row>
    <row r="192">
      <c r="A192" s="56">
        <v>189.0</v>
      </c>
      <c r="B192" s="63">
        <v>3396.0</v>
      </c>
      <c r="C192" s="64" t="s">
        <v>981</v>
      </c>
      <c r="D192" s="66"/>
      <c r="E192" s="63" t="s">
        <v>982</v>
      </c>
      <c r="F192" s="65">
        <v>40141.0</v>
      </c>
      <c r="G192" s="63" t="s">
        <v>983</v>
      </c>
      <c r="H192" s="66"/>
      <c r="I192" s="63" t="s">
        <v>984</v>
      </c>
      <c r="J192" s="63" t="s">
        <v>985</v>
      </c>
      <c r="K192" s="66"/>
      <c r="L192" s="66"/>
      <c r="M192" s="66"/>
      <c r="N192" s="61"/>
      <c r="O192" s="51"/>
    </row>
    <row r="193">
      <c r="A193" s="56">
        <v>190.0</v>
      </c>
      <c r="B193" s="57">
        <v>3397.0</v>
      </c>
      <c r="C193" s="58" t="s">
        <v>986</v>
      </c>
      <c r="D193" s="60"/>
      <c r="E193" s="57" t="s">
        <v>987</v>
      </c>
      <c r="F193" s="59">
        <v>40284.0</v>
      </c>
      <c r="G193" s="57" t="s">
        <v>988</v>
      </c>
      <c r="H193" s="60"/>
      <c r="I193" s="63" t="s">
        <v>989</v>
      </c>
      <c r="J193" s="57" t="s">
        <v>990</v>
      </c>
      <c r="K193" s="60"/>
      <c r="L193" s="60"/>
      <c r="M193" s="60"/>
      <c r="N193" s="61"/>
      <c r="O193" s="51"/>
    </row>
    <row r="194">
      <c r="A194" s="56">
        <v>191.0</v>
      </c>
      <c r="B194" s="57">
        <v>3398.0</v>
      </c>
      <c r="C194" s="58" t="s">
        <v>991</v>
      </c>
      <c r="D194" s="60"/>
      <c r="E194" s="57" t="s">
        <v>992</v>
      </c>
      <c r="F194" s="78">
        <v>40482.0</v>
      </c>
      <c r="G194" s="57" t="s">
        <v>993</v>
      </c>
      <c r="H194" s="60"/>
      <c r="I194" s="57" t="s">
        <v>994</v>
      </c>
      <c r="J194" s="57" t="s">
        <v>995</v>
      </c>
      <c r="K194" s="60"/>
      <c r="L194" s="60"/>
      <c r="M194" s="60"/>
      <c r="N194" s="61"/>
      <c r="O194" s="51"/>
    </row>
    <row r="195">
      <c r="A195" s="56">
        <v>192.0</v>
      </c>
      <c r="B195" s="63">
        <v>3399.0</v>
      </c>
      <c r="C195" s="64" t="s">
        <v>996</v>
      </c>
      <c r="D195" s="66"/>
      <c r="E195" s="63" t="s">
        <v>997</v>
      </c>
      <c r="F195" s="70">
        <v>40353.0</v>
      </c>
      <c r="G195" s="63" t="s">
        <v>998</v>
      </c>
      <c r="H195" s="66"/>
      <c r="I195" s="63" t="s">
        <v>999</v>
      </c>
      <c r="J195" s="63" t="s">
        <v>136</v>
      </c>
      <c r="K195" s="66"/>
      <c r="L195" s="66"/>
      <c r="M195" s="63" t="s">
        <v>149</v>
      </c>
      <c r="N195" s="61"/>
      <c r="O195" s="51"/>
    </row>
    <row r="196">
      <c r="A196" s="56">
        <v>193.0</v>
      </c>
      <c r="B196" s="57">
        <v>3401.0</v>
      </c>
      <c r="C196" s="58">
        <v>170.0</v>
      </c>
      <c r="D196" s="60"/>
      <c r="E196" s="57" t="s">
        <v>1000</v>
      </c>
      <c r="F196" s="78">
        <v>40503.0</v>
      </c>
      <c r="G196" s="57" t="s">
        <v>1001</v>
      </c>
      <c r="H196" s="60"/>
      <c r="I196" s="63" t="s">
        <v>635</v>
      </c>
      <c r="J196" s="57" t="s">
        <v>1002</v>
      </c>
      <c r="K196" s="60"/>
      <c r="L196" s="60"/>
      <c r="M196" s="60"/>
      <c r="N196" s="61"/>
      <c r="O196" s="51"/>
    </row>
    <row r="197">
      <c r="A197" s="56">
        <v>194.0</v>
      </c>
      <c r="B197" s="63">
        <v>3402.0</v>
      </c>
      <c r="C197" s="63" t="s">
        <v>1003</v>
      </c>
      <c r="D197" s="66"/>
      <c r="E197" s="63" t="s">
        <v>1004</v>
      </c>
      <c r="F197" s="70">
        <v>40152.0</v>
      </c>
      <c r="G197" s="63" t="s">
        <v>1005</v>
      </c>
      <c r="H197" s="66"/>
      <c r="I197" s="63" t="s">
        <v>1006</v>
      </c>
      <c r="J197" s="63" t="s">
        <v>136</v>
      </c>
      <c r="K197" s="71"/>
      <c r="L197" s="71"/>
      <c r="M197" s="71"/>
      <c r="N197" s="61"/>
      <c r="O197" s="51"/>
    </row>
    <row r="198">
      <c r="A198" s="56">
        <v>195.0</v>
      </c>
      <c r="B198" s="57">
        <v>3403.0</v>
      </c>
      <c r="C198" s="58" t="s">
        <v>1007</v>
      </c>
      <c r="D198" s="60"/>
      <c r="E198" s="57" t="s">
        <v>1008</v>
      </c>
      <c r="F198" s="59">
        <v>40122.0</v>
      </c>
      <c r="G198" s="57" t="s">
        <v>1009</v>
      </c>
      <c r="H198" s="60"/>
      <c r="I198" s="63" t="s">
        <v>1010</v>
      </c>
      <c r="J198" s="57" t="s">
        <v>1011</v>
      </c>
      <c r="K198" s="60"/>
      <c r="L198" s="60"/>
      <c r="M198" s="60"/>
      <c r="N198" s="61"/>
      <c r="O198" s="51"/>
    </row>
    <row r="199">
      <c r="A199" s="56">
        <v>196.0</v>
      </c>
      <c r="B199" s="71"/>
      <c r="C199" s="69" t="s">
        <v>1012</v>
      </c>
      <c r="D199" s="71"/>
      <c r="E199" s="68" t="s">
        <v>1013</v>
      </c>
      <c r="F199" s="83">
        <v>42703.0</v>
      </c>
      <c r="G199" s="68" t="s">
        <v>1014</v>
      </c>
      <c r="H199" s="71"/>
      <c r="I199" s="71"/>
      <c r="J199" s="68" t="s">
        <v>1015</v>
      </c>
      <c r="K199" s="71"/>
      <c r="L199" s="71"/>
      <c r="M199" s="68" t="s">
        <v>368</v>
      </c>
      <c r="N199" s="71"/>
      <c r="O199" s="51"/>
    </row>
    <row r="200">
      <c r="A200" s="56">
        <v>197.0</v>
      </c>
      <c r="B200" s="63">
        <v>3404.0</v>
      </c>
      <c r="C200" s="64" t="s">
        <v>1016</v>
      </c>
      <c r="D200" s="66"/>
      <c r="E200" s="63" t="s">
        <v>1017</v>
      </c>
      <c r="F200" s="70">
        <v>37339.0</v>
      </c>
      <c r="G200" s="63" t="s">
        <v>1018</v>
      </c>
      <c r="H200" s="66"/>
      <c r="I200" s="63" t="s">
        <v>999</v>
      </c>
      <c r="J200" s="63" t="s">
        <v>136</v>
      </c>
      <c r="K200" s="66"/>
      <c r="L200" s="66"/>
      <c r="M200" s="63" t="s">
        <v>149</v>
      </c>
      <c r="N200" s="61"/>
      <c r="O200" s="51"/>
    </row>
    <row r="201">
      <c r="A201" s="56">
        <v>198.0</v>
      </c>
      <c r="B201" s="57">
        <v>3405.0</v>
      </c>
      <c r="C201" s="58" t="s">
        <v>1019</v>
      </c>
      <c r="D201" s="60"/>
      <c r="E201" s="57" t="s">
        <v>1020</v>
      </c>
      <c r="F201" s="59">
        <v>40304.0</v>
      </c>
      <c r="G201" s="57" t="s">
        <v>1021</v>
      </c>
      <c r="H201" s="60"/>
      <c r="I201" s="60"/>
      <c r="J201" s="57" t="s">
        <v>1022</v>
      </c>
      <c r="K201" s="60"/>
      <c r="L201" s="60"/>
      <c r="M201" s="60"/>
      <c r="N201" s="61"/>
      <c r="O201" s="51"/>
    </row>
    <row r="202">
      <c r="A202" s="56">
        <v>199.0</v>
      </c>
      <c r="B202" s="57">
        <v>3406.0</v>
      </c>
      <c r="C202" s="58" t="s">
        <v>1023</v>
      </c>
      <c r="D202" s="57" t="s">
        <v>1024</v>
      </c>
      <c r="E202" s="57" t="s">
        <v>1025</v>
      </c>
      <c r="F202" s="59">
        <v>38657.0</v>
      </c>
      <c r="G202" s="57" t="s">
        <v>1026</v>
      </c>
      <c r="H202" s="60"/>
      <c r="I202" s="66"/>
      <c r="J202" s="57" t="s">
        <v>148</v>
      </c>
      <c r="K202" s="60"/>
      <c r="L202" s="60"/>
      <c r="M202" s="60"/>
      <c r="N202" s="61"/>
      <c r="O202" s="51"/>
    </row>
    <row r="203">
      <c r="A203" s="56">
        <v>200.0</v>
      </c>
      <c r="B203" s="57">
        <v>3407.0</v>
      </c>
      <c r="C203" s="58" t="s">
        <v>1027</v>
      </c>
      <c r="D203" s="60"/>
      <c r="E203" s="57" t="s">
        <v>1028</v>
      </c>
      <c r="F203" s="59">
        <v>40582.0</v>
      </c>
      <c r="G203" s="57" t="s">
        <v>1029</v>
      </c>
      <c r="H203" s="60"/>
      <c r="I203" s="63" t="s">
        <v>1030</v>
      </c>
      <c r="J203" s="57" t="s">
        <v>1031</v>
      </c>
      <c r="K203" s="60"/>
      <c r="L203" s="60"/>
      <c r="M203" s="60"/>
      <c r="N203" s="61"/>
      <c r="O203" s="51"/>
    </row>
    <row r="204">
      <c r="A204" s="56">
        <v>201.0</v>
      </c>
      <c r="B204" s="57">
        <v>3408.0</v>
      </c>
      <c r="C204" s="58" t="s">
        <v>1032</v>
      </c>
      <c r="D204" s="60"/>
      <c r="E204" s="57" t="s">
        <v>1033</v>
      </c>
      <c r="F204" s="59">
        <v>40568.0</v>
      </c>
      <c r="G204" s="57" t="s">
        <v>1034</v>
      </c>
      <c r="H204" s="60"/>
      <c r="I204" s="63" t="s">
        <v>1035</v>
      </c>
      <c r="J204" s="57" t="s">
        <v>1036</v>
      </c>
      <c r="K204" s="60"/>
      <c r="L204" s="60"/>
      <c r="M204" s="60"/>
      <c r="N204" s="61"/>
      <c r="O204" s="51"/>
    </row>
    <row r="205">
      <c r="A205" s="56">
        <v>202.0</v>
      </c>
      <c r="B205" s="57">
        <v>3409.0</v>
      </c>
      <c r="C205" s="58" t="s">
        <v>1037</v>
      </c>
      <c r="D205" s="60"/>
      <c r="E205" s="57" t="s">
        <v>1038</v>
      </c>
      <c r="F205" s="59">
        <v>40185.0</v>
      </c>
      <c r="G205" s="57" t="s">
        <v>1039</v>
      </c>
      <c r="H205" s="60"/>
      <c r="I205" s="57" t="s">
        <v>1040</v>
      </c>
      <c r="J205" s="57" t="s">
        <v>124</v>
      </c>
      <c r="K205" s="60"/>
      <c r="L205" s="60"/>
      <c r="M205" s="60"/>
      <c r="N205" s="61"/>
      <c r="O205" s="51"/>
    </row>
    <row r="206">
      <c r="A206" s="56">
        <v>203.0</v>
      </c>
      <c r="B206" s="68">
        <v>3410.0</v>
      </c>
      <c r="C206" s="63" t="s">
        <v>1041</v>
      </c>
      <c r="D206" s="66"/>
      <c r="E206" s="63" t="s">
        <v>1042</v>
      </c>
      <c r="F206" s="65">
        <v>40141.0</v>
      </c>
      <c r="G206" s="63" t="s">
        <v>1043</v>
      </c>
      <c r="H206" s="66"/>
      <c r="I206" s="63" t="s">
        <v>1044</v>
      </c>
      <c r="J206" s="63" t="s">
        <v>136</v>
      </c>
      <c r="K206" s="63" t="s">
        <v>137</v>
      </c>
      <c r="L206" s="66"/>
      <c r="M206" s="80" t="s">
        <v>125</v>
      </c>
      <c r="N206" s="66"/>
      <c r="O206" s="51"/>
    </row>
    <row r="207">
      <c r="A207" s="56">
        <v>204.0</v>
      </c>
      <c r="B207" s="63">
        <v>3411.0</v>
      </c>
      <c r="C207" s="88" t="s">
        <v>1045</v>
      </c>
      <c r="D207" s="63" t="s">
        <v>1046</v>
      </c>
      <c r="E207" s="63" t="s">
        <v>1047</v>
      </c>
      <c r="F207" s="70">
        <v>40062.0</v>
      </c>
      <c r="G207" s="63" t="s">
        <v>1048</v>
      </c>
      <c r="H207" s="66"/>
      <c r="I207" s="63" t="s">
        <v>1049</v>
      </c>
      <c r="J207" s="63" t="s">
        <v>136</v>
      </c>
      <c r="K207" s="71"/>
      <c r="L207" s="71"/>
      <c r="M207" s="68" t="s">
        <v>137</v>
      </c>
      <c r="N207" s="61"/>
      <c r="O207" s="51"/>
    </row>
    <row r="208">
      <c r="A208" s="56">
        <v>205.0</v>
      </c>
      <c r="B208" s="57">
        <v>3412.0</v>
      </c>
      <c r="C208" s="58" t="s">
        <v>1050</v>
      </c>
      <c r="D208" s="57" t="s">
        <v>1051</v>
      </c>
      <c r="E208" s="57" t="s">
        <v>1052</v>
      </c>
      <c r="F208" s="59">
        <v>39814.0</v>
      </c>
      <c r="G208" s="57" t="s">
        <v>1053</v>
      </c>
      <c r="H208" s="60"/>
      <c r="I208" s="63" t="s">
        <v>1054</v>
      </c>
      <c r="J208" s="57" t="s">
        <v>1055</v>
      </c>
      <c r="K208" s="60"/>
      <c r="L208" s="60"/>
      <c r="M208" s="60"/>
      <c r="N208" s="61"/>
      <c r="O208" s="51"/>
    </row>
    <row r="209">
      <c r="A209" s="56">
        <v>206.0</v>
      </c>
      <c r="B209" s="63">
        <v>3413.0</v>
      </c>
      <c r="C209" s="64" t="s">
        <v>1056</v>
      </c>
      <c r="D209" s="66"/>
      <c r="E209" s="63" t="s">
        <v>1057</v>
      </c>
      <c r="F209" s="70">
        <v>40353.0</v>
      </c>
      <c r="G209" s="63" t="s">
        <v>1058</v>
      </c>
      <c r="H209" s="66"/>
      <c r="I209" s="63" t="s">
        <v>1059</v>
      </c>
      <c r="J209" s="63" t="s">
        <v>136</v>
      </c>
      <c r="K209" s="66"/>
      <c r="L209" s="66"/>
      <c r="M209" s="66"/>
      <c r="N209" s="61"/>
      <c r="O209" s="51"/>
    </row>
    <row r="210">
      <c r="A210" s="56">
        <v>207.0</v>
      </c>
      <c r="B210" s="68">
        <v>3414.0</v>
      </c>
      <c r="C210" s="69" t="s">
        <v>1060</v>
      </c>
      <c r="D210" s="71"/>
      <c r="E210" s="68" t="s">
        <v>1061</v>
      </c>
      <c r="F210" s="76">
        <v>40585.0</v>
      </c>
      <c r="G210" s="68" t="s">
        <v>1062</v>
      </c>
      <c r="H210" s="71"/>
      <c r="I210" s="68" t="s">
        <v>1063</v>
      </c>
      <c r="J210" s="87" t="s">
        <v>1064</v>
      </c>
      <c r="K210" s="71"/>
      <c r="L210" s="71"/>
      <c r="M210" s="71"/>
      <c r="N210" s="77"/>
      <c r="O210" s="51"/>
    </row>
    <row r="211">
      <c r="A211" s="56">
        <v>208.0</v>
      </c>
      <c r="B211" s="57">
        <v>3415.0</v>
      </c>
      <c r="C211" s="58">
        <v>207.0</v>
      </c>
      <c r="D211" s="60"/>
      <c r="E211" s="57" t="s">
        <v>1065</v>
      </c>
      <c r="F211" s="59">
        <v>40577.0</v>
      </c>
      <c r="G211" s="57" t="s">
        <v>1066</v>
      </c>
      <c r="H211" s="60"/>
      <c r="I211" s="63" t="s">
        <v>635</v>
      </c>
      <c r="J211" s="57" t="s">
        <v>1067</v>
      </c>
      <c r="K211" s="60"/>
      <c r="L211" s="60"/>
      <c r="M211" s="60"/>
      <c r="N211" s="61"/>
      <c r="O211" s="51"/>
    </row>
    <row r="212">
      <c r="A212" s="56">
        <v>209.0</v>
      </c>
      <c r="B212" s="57">
        <v>3416.0</v>
      </c>
      <c r="C212" s="58" t="s">
        <v>1068</v>
      </c>
      <c r="D212" s="60"/>
      <c r="E212" s="57" t="s">
        <v>1069</v>
      </c>
      <c r="F212" s="59">
        <v>40561.0</v>
      </c>
      <c r="G212" s="57" t="s">
        <v>1070</v>
      </c>
      <c r="H212" s="60"/>
      <c r="I212" s="63" t="s">
        <v>1071</v>
      </c>
      <c r="J212" s="89" t="s">
        <v>182</v>
      </c>
      <c r="K212" s="90"/>
      <c r="L212" s="90"/>
      <c r="M212" s="90"/>
      <c r="N212" s="61"/>
      <c r="O212" s="51"/>
    </row>
    <row r="213">
      <c r="A213" s="56">
        <v>210.0</v>
      </c>
      <c r="B213" s="57">
        <v>3417.0</v>
      </c>
      <c r="C213" s="58" t="s">
        <v>1072</v>
      </c>
      <c r="D213" s="60"/>
      <c r="E213" s="57" t="s">
        <v>1073</v>
      </c>
      <c r="F213" s="59">
        <v>2011.0</v>
      </c>
      <c r="G213" s="57" t="s">
        <v>1074</v>
      </c>
      <c r="H213" s="60"/>
      <c r="I213" s="63" t="s">
        <v>1075</v>
      </c>
      <c r="J213" s="57" t="s">
        <v>1076</v>
      </c>
      <c r="K213" s="60"/>
      <c r="L213" s="60"/>
      <c r="M213" s="60"/>
      <c r="N213" s="61"/>
      <c r="O213" s="51"/>
    </row>
    <row r="214">
      <c r="A214" s="56">
        <v>211.0</v>
      </c>
      <c r="B214" s="57">
        <v>3418.0</v>
      </c>
      <c r="C214" s="58">
        <v>210.0</v>
      </c>
      <c r="D214" s="60"/>
      <c r="E214" s="57" t="s">
        <v>1077</v>
      </c>
      <c r="F214" s="59">
        <v>40727.0</v>
      </c>
      <c r="G214" s="57" t="s">
        <v>1078</v>
      </c>
      <c r="H214" s="60"/>
      <c r="I214" s="63" t="s">
        <v>635</v>
      </c>
      <c r="J214" s="57" t="s">
        <v>1079</v>
      </c>
      <c r="K214" s="60"/>
      <c r="L214" s="60"/>
      <c r="M214" s="60"/>
      <c r="N214" s="61"/>
      <c r="O214" s="51"/>
    </row>
    <row r="215">
      <c r="A215" s="56">
        <v>212.0</v>
      </c>
      <c r="B215" s="57">
        <v>3419.0</v>
      </c>
      <c r="C215" s="58" t="s">
        <v>1080</v>
      </c>
      <c r="D215" s="60"/>
      <c r="E215" s="57" t="s">
        <v>1081</v>
      </c>
      <c r="F215" s="59">
        <v>40574.0</v>
      </c>
      <c r="G215" s="57" t="s">
        <v>1082</v>
      </c>
      <c r="H215" s="60"/>
      <c r="I215" s="63" t="s">
        <v>1083</v>
      </c>
      <c r="J215" s="57" t="s">
        <v>1084</v>
      </c>
      <c r="K215" s="60"/>
      <c r="L215" s="60"/>
      <c r="M215" s="60"/>
      <c r="N215" s="61"/>
      <c r="O215" s="51"/>
    </row>
    <row r="216">
      <c r="A216" s="56">
        <v>213.0</v>
      </c>
      <c r="B216" s="57">
        <v>3420.0</v>
      </c>
      <c r="C216" s="58" t="s">
        <v>1085</v>
      </c>
      <c r="D216" s="60"/>
      <c r="E216" s="57" t="s">
        <v>1086</v>
      </c>
      <c r="F216" s="59">
        <v>40569.0</v>
      </c>
      <c r="G216" s="57" t="s">
        <v>1087</v>
      </c>
      <c r="H216" s="60"/>
      <c r="I216" s="63" t="s">
        <v>1088</v>
      </c>
      <c r="J216" s="57" t="s">
        <v>1089</v>
      </c>
      <c r="K216" s="60"/>
      <c r="L216" s="60"/>
      <c r="M216" s="60"/>
      <c r="N216" s="61"/>
      <c r="O216" s="51"/>
    </row>
    <row r="217">
      <c r="A217" s="56">
        <v>214.0</v>
      </c>
      <c r="B217" s="57">
        <v>3421.0</v>
      </c>
      <c r="C217" s="58" t="s">
        <v>1090</v>
      </c>
      <c r="D217" s="60"/>
      <c r="E217" s="57" t="s">
        <v>1091</v>
      </c>
      <c r="F217" s="59">
        <v>39289.0</v>
      </c>
      <c r="G217" s="57" t="s">
        <v>1092</v>
      </c>
      <c r="H217" s="60"/>
      <c r="I217" s="63" t="s">
        <v>1093</v>
      </c>
      <c r="J217" s="57" t="s">
        <v>1094</v>
      </c>
      <c r="K217" s="60"/>
      <c r="L217" s="60"/>
      <c r="M217" s="60"/>
      <c r="N217" s="61"/>
      <c r="O217" s="51"/>
    </row>
    <row r="218">
      <c r="A218" s="56">
        <v>215.0</v>
      </c>
      <c r="B218" s="57">
        <v>3422.0</v>
      </c>
      <c r="C218" s="58" t="s">
        <v>1095</v>
      </c>
      <c r="D218" s="60"/>
      <c r="E218" s="57" t="s">
        <v>1096</v>
      </c>
      <c r="F218" s="59">
        <v>40068.0</v>
      </c>
      <c r="G218" s="57" t="s">
        <v>1097</v>
      </c>
      <c r="H218" s="60"/>
      <c r="I218" s="63" t="s">
        <v>1098</v>
      </c>
      <c r="J218" s="57" t="s">
        <v>1099</v>
      </c>
      <c r="K218" s="60"/>
      <c r="L218" s="60"/>
      <c r="M218" s="60"/>
      <c r="N218" s="61"/>
      <c r="O218" s="51"/>
    </row>
    <row r="219">
      <c r="A219" s="56">
        <v>216.0</v>
      </c>
      <c r="B219" s="68">
        <v>3423.0</v>
      </c>
      <c r="C219" s="69" t="s">
        <v>1100</v>
      </c>
      <c r="D219" s="71"/>
      <c r="E219" s="68" t="s">
        <v>1101</v>
      </c>
      <c r="F219" s="76">
        <v>39925.0</v>
      </c>
      <c r="G219" s="68" t="s">
        <v>1102</v>
      </c>
      <c r="H219" s="71"/>
      <c r="I219" s="68" t="s">
        <v>1103</v>
      </c>
      <c r="J219" s="68" t="s">
        <v>1104</v>
      </c>
      <c r="K219" s="71"/>
      <c r="L219" s="71"/>
      <c r="M219" s="71"/>
      <c r="N219" s="61"/>
      <c r="O219" s="51"/>
    </row>
    <row r="220">
      <c r="A220" s="56">
        <v>217.0</v>
      </c>
      <c r="B220" s="57">
        <v>3424.0</v>
      </c>
      <c r="C220" s="58" t="s">
        <v>1105</v>
      </c>
      <c r="D220" s="60"/>
      <c r="E220" s="57" t="s">
        <v>1106</v>
      </c>
      <c r="F220" s="59">
        <v>40215.0</v>
      </c>
      <c r="G220" s="57" t="s">
        <v>1107</v>
      </c>
      <c r="H220" s="60"/>
      <c r="I220" s="68" t="s">
        <v>1108</v>
      </c>
      <c r="J220" s="57" t="s">
        <v>1109</v>
      </c>
      <c r="K220" s="60"/>
      <c r="L220" s="60"/>
      <c r="M220" s="60"/>
      <c r="N220" s="61"/>
      <c r="O220" s="51"/>
    </row>
    <row r="221">
      <c r="A221" s="56">
        <v>218.0</v>
      </c>
      <c r="B221" s="57">
        <v>3425.0</v>
      </c>
      <c r="C221" s="58" t="s">
        <v>1110</v>
      </c>
      <c r="D221" s="60"/>
      <c r="E221" s="57" t="s">
        <v>1111</v>
      </c>
      <c r="F221" s="59">
        <v>40215.0</v>
      </c>
      <c r="G221" s="57" t="s">
        <v>1112</v>
      </c>
      <c r="H221" s="60"/>
      <c r="I221" s="68" t="s">
        <v>1113</v>
      </c>
      <c r="J221" s="57" t="s">
        <v>124</v>
      </c>
      <c r="K221" s="60"/>
      <c r="L221" s="60"/>
      <c r="M221" s="60"/>
      <c r="N221" s="61"/>
      <c r="O221" s="51"/>
    </row>
    <row r="222">
      <c r="A222" s="56">
        <v>219.0</v>
      </c>
      <c r="B222" s="68">
        <v>3426.0</v>
      </c>
      <c r="C222" s="69" t="s">
        <v>1114</v>
      </c>
      <c r="D222" s="71"/>
      <c r="E222" s="68" t="s">
        <v>1115</v>
      </c>
      <c r="F222" s="76">
        <v>42005.0</v>
      </c>
      <c r="G222" s="68" t="s">
        <v>1116</v>
      </c>
      <c r="H222" s="71"/>
      <c r="I222" s="63" t="s">
        <v>1117</v>
      </c>
      <c r="J222" s="68" t="s">
        <v>124</v>
      </c>
      <c r="K222" s="71"/>
      <c r="L222" s="71"/>
      <c r="M222" s="71"/>
      <c r="N222" s="61"/>
      <c r="O222" s="51"/>
    </row>
    <row r="223">
      <c r="A223" s="56">
        <v>220.0</v>
      </c>
      <c r="B223" s="68">
        <v>3427.0</v>
      </c>
      <c r="C223" s="69" t="s">
        <v>1118</v>
      </c>
      <c r="D223" s="71"/>
      <c r="E223" s="68" t="s">
        <v>1119</v>
      </c>
      <c r="F223" s="76">
        <v>40196.0</v>
      </c>
      <c r="G223" s="68" t="s">
        <v>1120</v>
      </c>
      <c r="H223" s="71"/>
      <c r="I223" s="63" t="s">
        <v>1121</v>
      </c>
      <c r="J223" s="68" t="s">
        <v>252</v>
      </c>
      <c r="K223" s="71"/>
      <c r="L223" s="71"/>
      <c r="M223" s="71"/>
      <c r="N223" s="61"/>
      <c r="O223" s="51"/>
    </row>
    <row r="224">
      <c r="A224" s="56">
        <v>221.0</v>
      </c>
      <c r="B224" s="68">
        <v>3428.0</v>
      </c>
      <c r="C224" s="69" t="s">
        <v>1122</v>
      </c>
      <c r="D224" s="71"/>
      <c r="E224" s="68" t="s">
        <v>1123</v>
      </c>
      <c r="F224" s="76">
        <v>40447.0</v>
      </c>
      <c r="G224" s="68" t="s">
        <v>1124</v>
      </c>
      <c r="H224" s="71"/>
      <c r="I224" s="68" t="s">
        <v>1125</v>
      </c>
      <c r="J224" s="68" t="s">
        <v>1126</v>
      </c>
      <c r="K224" s="71"/>
      <c r="L224" s="71"/>
      <c r="M224" s="71"/>
      <c r="N224" s="61"/>
      <c r="O224" s="51"/>
    </row>
    <row r="225">
      <c r="A225" s="56">
        <v>222.0</v>
      </c>
      <c r="B225" s="57">
        <v>3429.0</v>
      </c>
      <c r="C225" s="58" t="s">
        <v>1127</v>
      </c>
      <c r="D225" s="60"/>
      <c r="E225" s="57" t="s">
        <v>1128</v>
      </c>
      <c r="F225" s="78">
        <v>40172.0</v>
      </c>
      <c r="G225" s="57" t="s">
        <v>1129</v>
      </c>
      <c r="H225" s="60"/>
      <c r="I225" s="63" t="s">
        <v>1130</v>
      </c>
      <c r="J225" s="57" t="s">
        <v>1131</v>
      </c>
      <c r="K225" s="60"/>
      <c r="L225" s="60"/>
      <c r="M225" s="60"/>
      <c r="N225" s="61"/>
      <c r="O225" s="51"/>
    </row>
    <row r="226">
      <c r="A226" s="56">
        <v>223.0</v>
      </c>
      <c r="B226" s="57">
        <v>3430.0</v>
      </c>
      <c r="C226" s="58" t="s">
        <v>1132</v>
      </c>
      <c r="D226" s="60"/>
      <c r="E226" s="57" t="s">
        <v>1133</v>
      </c>
      <c r="F226" s="78">
        <v>40170.0</v>
      </c>
      <c r="G226" s="57" t="s">
        <v>1134</v>
      </c>
      <c r="H226" s="60"/>
      <c r="I226" s="63" t="s">
        <v>1135</v>
      </c>
      <c r="J226" s="57" t="s">
        <v>1136</v>
      </c>
      <c r="K226" s="60"/>
      <c r="L226" s="60"/>
      <c r="M226" s="60"/>
      <c r="N226" s="61"/>
      <c r="O226" s="51"/>
    </row>
    <row r="227">
      <c r="A227" s="56">
        <v>224.0</v>
      </c>
      <c r="B227" s="57">
        <v>3431.0</v>
      </c>
      <c r="C227" s="58" t="s">
        <v>1137</v>
      </c>
      <c r="D227" s="57" t="s">
        <v>1138</v>
      </c>
      <c r="E227" s="57" t="s">
        <v>1139</v>
      </c>
      <c r="F227" s="59">
        <v>2010.0</v>
      </c>
      <c r="G227" s="57" t="s">
        <v>1140</v>
      </c>
      <c r="H227" s="60"/>
      <c r="I227" s="63" t="s">
        <v>1141</v>
      </c>
      <c r="J227" s="57" t="s">
        <v>148</v>
      </c>
      <c r="K227" s="60"/>
      <c r="L227" s="60"/>
      <c r="M227" s="60"/>
      <c r="N227" s="61"/>
      <c r="O227" s="51"/>
    </row>
    <row r="228">
      <c r="A228" s="56">
        <v>225.0</v>
      </c>
      <c r="B228" s="57">
        <v>3432.0</v>
      </c>
      <c r="C228" s="58" t="s">
        <v>1142</v>
      </c>
      <c r="D228" s="57" t="s">
        <v>1138</v>
      </c>
      <c r="E228" s="57" t="s">
        <v>1143</v>
      </c>
      <c r="F228" s="59">
        <v>2010.0</v>
      </c>
      <c r="G228" s="57" t="s">
        <v>1140</v>
      </c>
      <c r="H228" s="60"/>
      <c r="I228" s="63" t="s">
        <v>1141</v>
      </c>
      <c r="J228" s="57" t="s">
        <v>148</v>
      </c>
      <c r="K228" s="60"/>
      <c r="L228" s="60"/>
      <c r="M228" s="60"/>
      <c r="N228" s="61"/>
      <c r="O228" s="51"/>
    </row>
    <row r="229">
      <c r="A229" s="56">
        <v>226.0</v>
      </c>
      <c r="B229" s="57">
        <v>3433.0</v>
      </c>
      <c r="C229" s="58" t="s">
        <v>1144</v>
      </c>
      <c r="D229" s="57" t="s">
        <v>1138</v>
      </c>
      <c r="E229" s="57" t="s">
        <v>1145</v>
      </c>
      <c r="F229" s="59">
        <v>2010.0</v>
      </c>
      <c r="G229" s="57" t="s">
        <v>1140</v>
      </c>
      <c r="H229" s="60"/>
      <c r="I229" s="63" t="s">
        <v>1141</v>
      </c>
      <c r="J229" s="57" t="s">
        <v>148</v>
      </c>
      <c r="K229" s="60"/>
      <c r="L229" s="60"/>
      <c r="M229" s="60"/>
      <c r="N229" s="61"/>
      <c r="O229" s="51"/>
    </row>
    <row r="230">
      <c r="A230" s="56">
        <v>227.0</v>
      </c>
      <c r="B230" s="57">
        <v>3434.0</v>
      </c>
      <c r="C230" s="58" t="s">
        <v>1146</v>
      </c>
      <c r="D230" s="60"/>
      <c r="E230" s="57" t="s">
        <v>1147</v>
      </c>
      <c r="F230" s="59">
        <v>40043.0</v>
      </c>
      <c r="G230" s="57" t="s">
        <v>1148</v>
      </c>
      <c r="H230" s="60"/>
      <c r="I230" s="63" t="s">
        <v>1149</v>
      </c>
      <c r="J230" s="57" t="s">
        <v>1150</v>
      </c>
      <c r="K230" s="60"/>
      <c r="L230" s="60"/>
      <c r="M230" s="60"/>
      <c r="N230" s="61"/>
      <c r="O230" s="51"/>
    </row>
    <row r="231">
      <c r="A231" s="56">
        <v>228.0</v>
      </c>
      <c r="B231" s="63">
        <v>3435.0</v>
      </c>
      <c r="C231" s="64" t="s">
        <v>1151</v>
      </c>
      <c r="D231" s="66"/>
      <c r="E231" s="63" t="s">
        <v>1152</v>
      </c>
      <c r="F231" s="65">
        <v>39769.0</v>
      </c>
      <c r="G231" s="63" t="s">
        <v>1153</v>
      </c>
      <c r="H231" s="66"/>
      <c r="I231" s="63" t="s">
        <v>1154</v>
      </c>
      <c r="J231" s="63" t="s">
        <v>136</v>
      </c>
      <c r="K231" s="66"/>
      <c r="L231" s="66"/>
      <c r="M231" s="63" t="s">
        <v>530</v>
      </c>
      <c r="N231" s="61"/>
      <c r="O231" s="51"/>
    </row>
    <row r="232">
      <c r="A232" s="56">
        <v>229.0</v>
      </c>
      <c r="B232" s="68">
        <v>3436.0</v>
      </c>
      <c r="C232" s="69" t="s">
        <v>1155</v>
      </c>
      <c r="D232" s="71"/>
      <c r="E232" s="68" t="s">
        <v>1156</v>
      </c>
      <c r="F232" s="76">
        <v>39158.0</v>
      </c>
      <c r="G232" s="68" t="s">
        <v>1157</v>
      </c>
      <c r="H232" s="71"/>
      <c r="I232" s="91" t="s">
        <v>1158</v>
      </c>
      <c r="J232" s="68" t="s">
        <v>252</v>
      </c>
      <c r="K232" s="71"/>
      <c r="L232" s="71"/>
      <c r="M232" s="68" t="s">
        <v>125</v>
      </c>
      <c r="N232" s="61"/>
      <c r="O232" s="51"/>
    </row>
    <row r="233">
      <c r="A233" s="56">
        <v>230.0</v>
      </c>
      <c r="B233" s="68">
        <v>3437.0</v>
      </c>
      <c r="C233" s="69" t="s">
        <v>1159</v>
      </c>
      <c r="D233" s="71"/>
      <c r="E233" s="68" t="s">
        <v>1160</v>
      </c>
      <c r="F233" s="83">
        <v>40157.0</v>
      </c>
      <c r="G233" s="68" t="s">
        <v>1161</v>
      </c>
      <c r="H233" s="71"/>
      <c r="I233" s="63" t="s">
        <v>1162</v>
      </c>
      <c r="J233" s="68" t="s">
        <v>1163</v>
      </c>
      <c r="K233" s="71"/>
      <c r="L233" s="71"/>
      <c r="M233" s="71"/>
      <c r="N233" s="61"/>
      <c r="O233" s="51"/>
    </row>
    <row r="234">
      <c r="A234" s="56">
        <v>231.0</v>
      </c>
      <c r="B234" s="57">
        <v>3438.0</v>
      </c>
      <c r="C234" s="58" t="s">
        <v>1164</v>
      </c>
      <c r="D234" s="60"/>
      <c r="E234" s="57" t="s">
        <v>1165</v>
      </c>
      <c r="F234" s="59">
        <v>40009.0</v>
      </c>
      <c r="G234" s="57" t="s">
        <v>1166</v>
      </c>
      <c r="H234" s="60"/>
      <c r="I234" s="63" t="s">
        <v>1167</v>
      </c>
      <c r="J234" s="57" t="s">
        <v>1168</v>
      </c>
      <c r="K234" s="60"/>
      <c r="L234" s="60"/>
      <c r="M234" s="60"/>
      <c r="N234" s="61"/>
      <c r="O234" s="51"/>
    </row>
    <row r="235">
      <c r="A235" s="56">
        <v>232.0</v>
      </c>
      <c r="B235" s="57">
        <v>3439.0</v>
      </c>
      <c r="C235" s="58" t="s">
        <v>1169</v>
      </c>
      <c r="D235" s="60"/>
      <c r="E235" s="57" t="s">
        <v>1170</v>
      </c>
      <c r="F235" s="59">
        <v>40240.0</v>
      </c>
      <c r="G235" s="57" t="s">
        <v>468</v>
      </c>
      <c r="H235" s="60"/>
      <c r="I235" s="57" t="s">
        <v>1171</v>
      </c>
      <c r="J235" s="57" t="s">
        <v>1172</v>
      </c>
      <c r="K235" s="60"/>
      <c r="L235" s="60"/>
      <c r="M235" s="60"/>
      <c r="N235" s="61"/>
      <c r="O235" s="51"/>
    </row>
    <row r="236">
      <c r="A236" s="56">
        <v>233.0</v>
      </c>
      <c r="B236" s="68">
        <v>3440.0</v>
      </c>
      <c r="C236" s="69" t="s">
        <v>1173</v>
      </c>
      <c r="D236" s="71"/>
      <c r="E236" s="68" t="s">
        <v>1174</v>
      </c>
      <c r="F236" s="76">
        <v>40549.0</v>
      </c>
      <c r="G236" s="68" t="s">
        <v>1175</v>
      </c>
      <c r="H236" s="71"/>
      <c r="I236" s="68" t="s">
        <v>1176</v>
      </c>
      <c r="J236" s="87" t="s">
        <v>1177</v>
      </c>
      <c r="K236" s="71"/>
      <c r="L236" s="71"/>
      <c r="M236" s="71"/>
      <c r="N236" s="77"/>
      <c r="O236" s="51"/>
    </row>
    <row r="237">
      <c r="A237" s="56">
        <v>234.0</v>
      </c>
      <c r="B237" s="63">
        <v>3441.0</v>
      </c>
      <c r="C237" s="64" t="s">
        <v>1178</v>
      </c>
      <c r="D237" s="66"/>
      <c r="E237" s="63" t="s">
        <v>1179</v>
      </c>
      <c r="F237" s="70">
        <v>40615.0</v>
      </c>
      <c r="G237" s="63" t="s">
        <v>1180</v>
      </c>
      <c r="H237" s="66"/>
      <c r="I237" s="63" t="s">
        <v>1181</v>
      </c>
      <c r="J237" s="63" t="s">
        <v>136</v>
      </c>
      <c r="K237" s="66"/>
      <c r="L237" s="66"/>
      <c r="M237" s="63" t="s">
        <v>1182</v>
      </c>
      <c r="N237" s="61"/>
      <c r="O237" s="51"/>
    </row>
    <row r="238">
      <c r="A238" s="56">
        <v>235.0</v>
      </c>
      <c r="B238" s="57">
        <v>3442.0</v>
      </c>
      <c r="C238" s="58" t="s">
        <v>1183</v>
      </c>
      <c r="D238" s="60"/>
      <c r="E238" s="57" t="s">
        <v>1184</v>
      </c>
      <c r="F238" s="59">
        <v>40269.0</v>
      </c>
      <c r="G238" s="57" t="s">
        <v>1185</v>
      </c>
      <c r="H238" s="60"/>
      <c r="I238" s="57" t="s">
        <v>1186</v>
      </c>
      <c r="J238" s="57" t="s">
        <v>1187</v>
      </c>
      <c r="K238" s="60"/>
      <c r="L238" s="60"/>
      <c r="M238" s="60"/>
      <c r="N238" s="61"/>
      <c r="O238" s="51"/>
    </row>
    <row r="239">
      <c r="A239" s="56">
        <v>236.0</v>
      </c>
      <c r="B239" s="57">
        <v>3443.0</v>
      </c>
      <c r="C239" s="58" t="s">
        <v>1188</v>
      </c>
      <c r="D239" s="60"/>
      <c r="E239" s="57" t="s">
        <v>1189</v>
      </c>
      <c r="F239" s="59">
        <v>40578.0</v>
      </c>
      <c r="G239" s="57" t="s">
        <v>1190</v>
      </c>
      <c r="H239" s="60"/>
      <c r="I239" s="57" t="s">
        <v>1191</v>
      </c>
      <c r="J239" s="57" t="s">
        <v>124</v>
      </c>
      <c r="K239" s="60"/>
      <c r="L239" s="60"/>
      <c r="M239" s="60"/>
      <c r="N239" s="61"/>
      <c r="O239" s="51"/>
    </row>
    <row r="240">
      <c r="A240" s="56">
        <v>237.0</v>
      </c>
      <c r="B240" s="57">
        <v>3444.0</v>
      </c>
      <c r="C240" s="58" t="s">
        <v>1192</v>
      </c>
      <c r="D240" s="60"/>
      <c r="E240" s="57" t="s">
        <v>1193</v>
      </c>
      <c r="F240" s="59">
        <v>40587.0</v>
      </c>
      <c r="G240" s="57" t="s">
        <v>1194</v>
      </c>
      <c r="H240" s="60"/>
      <c r="I240" s="63" t="s">
        <v>1195</v>
      </c>
      <c r="J240" s="57" t="s">
        <v>1196</v>
      </c>
      <c r="K240" s="60"/>
      <c r="L240" s="60"/>
      <c r="M240" s="60"/>
      <c r="N240" s="61"/>
      <c r="O240" s="51"/>
    </row>
    <row r="241">
      <c r="A241" s="56">
        <v>238.0</v>
      </c>
      <c r="B241" s="57">
        <v>3445.0</v>
      </c>
      <c r="C241" s="58" t="s">
        <v>1197</v>
      </c>
      <c r="D241" s="60"/>
      <c r="E241" s="57" t="s">
        <v>1198</v>
      </c>
      <c r="F241" s="59">
        <v>40289.0</v>
      </c>
      <c r="G241" s="57" t="s">
        <v>1199</v>
      </c>
      <c r="H241" s="60"/>
      <c r="I241" s="63" t="s">
        <v>1200</v>
      </c>
      <c r="J241" s="57" t="s">
        <v>1201</v>
      </c>
      <c r="K241" s="60"/>
      <c r="L241" s="60"/>
      <c r="M241" s="60"/>
      <c r="N241" s="61"/>
      <c r="O241" s="51"/>
    </row>
    <row r="242">
      <c r="A242" s="56">
        <v>239.0</v>
      </c>
      <c r="B242" s="57">
        <v>3446.0</v>
      </c>
      <c r="C242" s="58">
        <v>238.0</v>
      </c>
      <c r="D242" s="60"/>
      <c r="E242" s="57" t="s">
        <v>1202</v>
      </c>
      <c r="F242" s="59">
        <v>40186.0</v>
      </c>
      <c r="G242" s="57" t="s">
        <v>1203</v>
      </c>
      <c r="H242" s="60"/>
      <c r="I242" s="57" t="s">
        <v>1204</v>
      </c>
      <c r="J242" s="57" t="s">
        <v>1205</v>
      </c>
      <c r="K242" s="60"/>
      <c r="L242" s="60"/>
      <c r="M242" s="60"/>
      <c r="N242" s="61"/>
      <c r="O242" s="51"/>
    </row>
    <row r="243">
      <c r="A243" s="56">
        <v>240.0</v>
      </c>
      <c r="B243" s="57">
        <v>3447.0</v>
      </c>
      <c r="C243" s="58" t="s">
        <v>1206</v>
      </c>
      <c r="D243" s="60"/>
      <c r="E243" s="57" t="s">
        <v>1207</v>
      </c>
      <c r="F243" s="59">
        <v>40618.0</v>
      </c>
      <c r="G243" s="57" t="s">
        <v>1208</v>
      </c>
      <c r="H243" s="60"/>
      <c r="I243" s="63" t="s">
        <v>1209</v>
      </c>
      <c r="J243" s="57" t="s">
        <v>1210</v>
      </c>
      <c r="K243" s="60"/>
      <c r="L243" s="60"/>
      <c r="M243" s="60"/>
      <c r="N243" s="61"/>
      <c r="O243" s="51"/>
    </row>
    <row r="244">
      <c r="A244" s="56">
        <v>241.0</v>
      </c>
      <c r="B244" s="57">
        <v>3448.0</v>
      </c>
      <c r="C244" s="58" t="s">
        <v>1211</v>
      </c>
      <c r="D244" s="60"/>
      <c r="E244" s="57" t="s">
        <v>1212</v>
      </c>
      <c r="F244" s="59">
        <v>40575.0</v>
      </c>
      <c r="G244" s="57" t="s">
        <v>1213</v>
      </c>
      <c r="H244" s="60"/>
      <c r="I244" s="63" t="s">
        <v>1214</v>
      </c>
      <c r="J244" s="57" t="s">
        <v>1215</v>
      </c>
      <c r="K244" s="60"/>
      <c r="L244" s="60"/>
      <c r="M244" s="60"/>
      <c r="N244" s="61"/>
      <c r="O244" s="51"/>
    </row>
    <row r="245">
      <c r="A245" s="56">
        <v>242.0</v>
      </c>
      <c r="B245" s="57">
        <v>3449.0</v>
      </c>
      <c r="C245" s="58">
        <v>241.0</v>
      </c>
      <c r="D245" s="60"/>
      <c r="E245" s="57" t="s">
        <v>1216</v>
      </c>
      <c r="F245" s="59">
        <v>40441.0</v>
      </c>
      <c r="G245" s="57" t="s">
        <v>1217</v>
      </c>
      <c r="H245" s="60"/>
      <c r="I245" s="63" t="s">
        <v>635</v>
      </c>
      <c r="J245" s="57" t="s">
        <v>1218</v>
      </c>
      <c r="K245" s="60"/>
      <c r="L245" s="60"/>
      <c r="M245" s="60"/>
      <c r="N245" s="61"/>
      <c r="O245" s="51"/>
    </row>
    <row r="246">
      <c r="A246" s="56">
        <v>243.0</v>
      </c>
      <c r="B246" s="57">
        <v>3450.0</v>
      </c>
      <c r="C246" s="58" t="s">
        <v>1219</v>
      </c>
      <c r="D246" s="60"/>
      <c r="E246" s="57" t="s">
        <v>1220</v>
      </c>
      <c r="F246" s="59">
        <v>40396.0</v>
      </c>
      <c r="G246" s="57" t="s">
        <v>1221</v>
      </c>
      <c r="H246" s="60"/>
      <c r="I246" s="63" t="s">
        <v>1222</v>
      </c>
      <c r="J246" s="57" t="s">
        <v>1223</v>
      </c>
      <c r="K246" s="60"/>
      <c r="L246" s="60"/>
      <c r="M246" s="60"/>
      <c r="N246" s="61"/>
      <c r="O246" s="51"/>
    </row>
    <row r="247">
      <c r="A247" s="56">
        <v>244.0</v>
      </c>
      <c r="B247" s="57">
        <v>3451.0</v>
      </c>
      <c r="C247" s="58">
        <v>243.0</v>
      </c>
      <c r="D247" s="60"/>
      <c r="E247" s="57" t="s">
        <v>1224</v>
      </c>
      <c r="F247" s="59">
        <v>40452.0</v>
      </c>
      <c r="G247" s="57" t="s">
        <v>1225</v>
      </c>
      <c r="H247" s="60"/>
      <c r="I247" s="63" t="s">
        <v>635</v>
      </c>
      <c r="J247" s="57" t="s">
        <v>1226</v>
      </c>
      <c r="K247" s="60"/>
      <c r="L247" s="60"/>
      <c r="M247" s="60"/>
      <c r="N247" s="61"/>
      <c r="O247" s="51"/>
    </row>
    <row r="248">
      <c r="A248" s="56">
        <v>245.0</v>
      </c>
      <c r="B248" s="57">
        <v>3452.0</v>
      </c>
      <c r="C248" s="58" t="s">
        <v>1227</v>
      </c>
      <c r="D248" s="57" t="s">
        <v>1228</v>
      </c>
      <c r="E248" s="57" t="s">
        <v>1229</v>
      </c>
      <c r="F248" s="78">
        <v>40466.0</v>
      </c>
      <c r="G248" s="57" t="s">
        <v>1230</v>
      </c>
      <c r="H248" s="60"/>
      <c r="I248" s="63" t="s">
        <v>1231</v>
      </c>
      <c r="J248" s="57" t="s">
        <v>1232</v>
      </c>
      <c r="K248" s="60"/>
      <c r="L248" s="60"/>
      <c r="M248" s="60"/>
      <c r="N248" s="61"/>
      <c r="O248" s="51"/>
    </row>
    <row r="249">
      <c r="A249" s="56">
        <v>246.0</v>
      </c>
      <c r="B249" s="57">
        <v>3453.0</v>
      </c>
      <c r="C249" s="58" t="s">
        <v>1233</v>
      </c>
      <c r="D249" s="60"/>
      <c r="E249" s="57" t="s">
        <v>1234</v>
      </c>
      <c r="F249" s="78">
        <v>40496.0</v>
      </c>
      <c r="G249" s="57" t="s">
        <v>1235</v>
      </c>
      <c r="H249" s="60"/>
      <c r="I249" s="63" t="s">
        <v>635</v>
      </c>
      <c r="J249" s="57" t="s">
        <v>1236</v>
      </c>
      <c r="K249" s="60"/>
      <c r="L249" s="60"/>
      <c r="M249" s="60"/>
      <c r="N249" s="61"/>
      <c r="O249" s="51"/>
    </row>
    <row r="250">
      <c r="A250" s="56">
        <v>247.0</v>
      </c>
      <c r="B250" s="57">
        <v>3454.0</v>
      </c>
      <c r="C250" s="58" t="s">
        <v>1237</v>
      </c>
      <c r="D250" s="57" t="s">
        <v>1238</v>
      </c>
      <c r="E250" s="57" t="s">
        <v>1239</v>
      </c>
      <c r="F250" s="59">
        <v>40405.0</v>
      </c>
      <c r="G250" s="57" t="s">
        <v>1240</v>
      </c>
      <c r="H250" s="60"/>
      <c r="I250" s="63" t="s">
        <v>1241</v>
      </c>
      <c r="J250" s="57" t="s">
        <v>1242</v>
      </c>
      <c r="K250" s="60"/>
      <c r="L250" s="60"/>
      <c r="M250" s="60"/>
      <c r="N250" s="61"/>
      <c r="O250" s="51"/>
    </row>
    <row r="251">
      <c r="A251" s="56">
        <v>248.0</v>
      </c>
      <c r="B251" s="68">
        <v>3455.0</v>
      </c>
      <c r="C251" s="69" t="s">
        <v>1243</v>
      </c>
      <c r="D251" s="71"/>
      <c r="E251" s="68" t="s">
        <v>1244</v>
      </c>
      <c r="F251" s="76">
        <v>39920.0</v>
      </c>
      <c r="G251" s="68" t="s">
        <v>1245</v>
      </c>
      <c r="H251" s="71"/>
      <c r="I251" s="63" t="s">
        <v>1246</v>
      </c>
      <c r="J251" s="68" t="s">
        <v>252</v>
      </c>
      <c r="K251" s="71"/>
      <c r="L251" s="71"/>
      <c r="M251" s="68" t="s">
        <v>137</v>
      </c>
      <c r="N251" s="61"/>
      <c r="O251" s="51"/>
    </row>
    <row r="252">
      <c r="A252" s="56">
        <v>249.0</v>
      </c>
      <c r="B252" s="68">
        <v>3456.0</v>
      </c>
      <c r="C252" s="69" t="s">
        <v>1247</v>
      </c>
      <c r="D252" s="71"/>
      <c r="E252" s="68" t="s">
        <v>1248</v>
      </c>
      <c r="F252" s="76">
        <v>39920.0</v>
      </c>
      <c r="G252" s="68" t="s">
        <v>1245</v>
      </c>
      <c r="H252" s="71"/>
      <c r="I252" s="68" t="s">
        <v>1249</v>
      </c>
      <c r="J252" s="68" t="s">
        <v>252</v>
      </c>
      <c r="K252" s="71"/>
      <c r="L252" s="71"/>
      <c r="M252" s="68" t="s">
        <v>137</v>
      </c>
      <c r="N252" s="61"/>
      <c r="O252" s="51"/>
    </row>
    <row r="253">
      <c r="A253" s="56">
        <v>250.0</v>
      </c>
      <c r="B253" s="57">
        <v>3457.0</v>
      </c>
      <c r="C253" s="58" t="s">
        <v>1250</v>
      </c>
      <c r="D253" s="60"/>
      <c r="E253" s="57" t="s">
        <v>1251</v>
      </c>
      <c r="F253" s="78">
        <v>40522.0</v>
      </c>
      <c r="G253" s="57" t="s">
        <v>1252</v>
      </c>
      <c r="H253" s="60"/>
      <c r="I253" s="63" t="s">
        <v>1253</v>
      </c>
      <c r="J253" s="92" t="s">
        <v>1254</v>
      </c>
      <c r="K253" s="93"/>
      <c r="L253" s="93"/>
      <c r="M253" s="93"/>
      <c r="N253" s="61"/>
      <c r="O253" s="51"/>
    </row>
    <row r="254">
      <c r="A254" s="56">
        <v>251.0</v>
      </c>
      <c r="B254" s="57">
        <v>3458.0</v>
      </c>
      <c r="C254" s="58" t="s">
        <v>1255</v>
      </c>
      <c r="D254" s="60"/>
      <c r="E254" s="57" t="s">
        <v>1256</v>
      </c>
      <c r="F254" s="59">
        <v>40611.0</v>
      </c>
      <c r="G254" s="57" t="s">
        <v>1257</v>
      </c>
      <c r="H254" s="60"/>
      <c r="I254" s="63" t="s">
        <v>1258</v>
      </c>
      <c r="J254" s="57" t="s">
        <v>1210</v>
      </c>
      <c r="K254" s="60"/>
      <c r="L254" s="60"/>
      <c r="M254" s="60"/>
      <c r="N254" s="61"/>
      <c r="O254" s="51"/>
    </row>
    <row r="255">
      <c r="A255" s="56">
        <v>252.0</v>
      </c>
      <c r="B255" s="57">
        <v>3459.0</v>
      </c>
      <c r="C255" s="58">
        <v>251.0</v>
      </c>
      <c r="D255" s="60"/>
      <c r="E255" s="57" t="s">
        <v>1259</v>
      </c>
      <c r="F255" s="78">
        <v>40525.0</v>
      </c>
      <c r="G255" s="57" t="s">
        <v>1260</v>
      </c>
      <c r="H255" s="60"/>
      <c r="I255" s="57" t="s">
        <v>1261</v>
      </c>
      <c r="J255" s="57" t="s">
        <v>1262</v>
      </c>
      <c r="K255" s="60"/>
      <c r="L255" s="60"/>
      <c r="M255" s="60"/>
      <c r="N255" s="61"/>
      <c r="O255" s="51"/>
    </row>
    <row r="256">
      <c r="A256" s="56">
        <v>253.0</v>
      </c>
      <c r="B256" s="57">
        <v>3460.0</v>
      </c>
      <c r="C256" s="58">
        <v>252.0</v>
      </c>
      <c r="D256" s="60"/>
      <c r="E256" s="57" t="s">
        <v>1263</v>
      </c>
      <c r="F256" s="59">
        <v>40513.0</v>
      </c>
      <c r="G256" s="57" t="s">
        <v>1264</v>
      </c>
      <c r="H256" s="60"/>
      <c r="I256" s="63" t="s">
        <v>1265</v>
      </c>
      <c r="J256" s="57" t="s">
        <v>1266</v>
      </c>
      <c r="K256" s="60"/>
      <c r="L256" s="60"/>
      <c r="M256" s="60"/>
      <c r="N256" s="61"/>
      <c r="O256" s="51"/>
    </row>
    <row r="257">
      <c r="A257" s="56">
        <v>254.0</v>
      </c>
      <c r="B257" s="57">
        <v>3461.0</v>
      </c>
      <c r="C257" s="58">
        <v>253.0</v>
      </c>
      <c r="D257" s="60"/>
      <c r="E257" s="57" t="s">
        <v>1267</v>
      </c>
      <c r="F257" s="59">
        <v>40155.0</v>
      </c>
      <c r="G257" s="57" t="s">
        <v>1268</v>
      </c>
      <c r="H257" s="60"/>
      <c r="I257" s="63" t="s">
        <v>1269</v>
      </c>
      <c r="J257" s="57" t="s">
        <v>1270</v>
      </c>
      <c r="K257" s="60"/>
      <c r="L257" s="60"/>
      <c r="M257" s="60"/>
      <c r="N257" s="61"/>
      <c r="O257" s="51"/>
    </row>
    <row r="258">
      <c r="A258" s="56">
        <v>255.0</v>
      </c>
      <c r="B258" s="57">
        <v>3462.0</v>
      </c>
      <c r="C258" s="58">
        <v>254.0</v>
      </c>
      <c r="D258" s="60"/>
      <c r="E258" s="57" t="s">
        <v>1271</v>
      </c>
      <c r="F258" s="78">
        <v>40172.0</v>
      </c>
      <c r="G258" s="57" t="s">
        <v>1272</v>
      </c>
      <c r="H258" s="60"/>
      <c r="I258" s="94" t="s">
        <v>1273</v>
      </c>
      <c r="J258" s="57" t="s">
        <v>1274</v>
      </c>
      <c r="K258" s="60"/>
      <c r="L258" s="60"/>
      <c r="M258" s="60"/>
      <c r="N258" s="61"/>
      <c r="O258" s="51"/>
    </row>
    <row r="259">
      <c r="A259" s="56">
        <v>256.0</v>
      </c>
      <c r="B259" s="68">
        <v>3463.0</v>
      </c>
      <c r="C259" s="69" t="s">
        <v>1275</v>
      </c>
      <c r="D259" s="95" t="s">
        <v>1276</v>
      </c>
      <c r="E259" s="68" t="s">
        <v>1277</v>
      </c>
      <c r="F259" s="76">
        <v>35236.0</v>
      </c>
      <c r="G259" s="68" t="s">
        <v>1278</v>
      </c>
      <c r="H259" s="71"/>
      <c r="I259" s="68" t="s">
        <v>1279</v>
      </c>
      <c r="J259" s="68" t="s">
        <v>1280</v>
      </c>
      <c r="K259" s="71"/>
      <c r="L259" s="71"/>
      <c r="M259" s="71"/>
      <c r="N259" s="77"/>
      <c r="O259" s="51"/>
    </row>
    <row r="260">
      <c r="A260" s="56">
        <v>257.0</v>
      </c>
      <c r="B260" s="68">
        <v>3464.0</v>
      </c>
      <c r="C260" s="69" t="s">
        <v>1281</v>
      </c>
      <c r="D260" s="95" t="s">
        <v>1276</v>
      </c>
      <c r="E260" s="68" t="s">
        <v>1282</v>
      </c>
      <c r="F260" s="76">
        <v>35236.0</v>
      </c>
      <c r="G260" s="68" t="s">
        <v>1283</v>
      </c>
      <c r="H260" s="71"/>
      <c r="I260" s="68" t="s">
        <v>1284</v>
      </c>
      <c r="J260" s="87" t="s">
        <v>1285</v>
      </c>
      <c r="K260" s="71"/>
      <c r="L260" s="71"/>
      <c r="M260" s="71"/>
      <c r="N260" s="61"/>
      <c r="O260" s="51"/>
    </row>
    <row r="261">
      <c r="A261" s="56">
        <v>258.0</v>
      </c>
      <c r="B261" s="68">
        <v>3465.0</v>
      </c>
      <c r="C261" s="69" t="s">
        <v>1286</v>
      </c>
      <c r="D261" s="95" t="s">
        <v>1276</v>
      </c>
      <c r="E261" s="68" t="s">
        <v>1287</v>
      </c>
      <c r="F261" s="76">
        <v>35236.0</v>
      </c>
      <c r="G261" s="68" t="s">
        <v>1288</v>
      </c>
      <c r="H261" s="71"/>
      <c r="I261" s="68" t="s">
        <v>1289</v>
      </c>
      <c r="J261" s="68" t="s">
        <v>1280</v>
      </c>
      <c r="K261" s="71"/>
      <c r="L261" s="71"/>
      <c r="M261" s="71"/>
      <c r="N261" s="77"/>
      <c r="O261" s="51"/>
    </row>
    <row r="262">
      <c r="A262" s="56">
        <v>259.0</v>
      </c>
      <c r="B262" s="68">
        <v>3466.0</v>
      </c>
      <c r="C262" s="69" t="s">
        <v>1290</v>
      </c>
      <c r="D262" s="95" t="s">
        <v>1276</v>
      </c>
      <c r="E262" s="68" t="s">
        <v>1291</v>
      </c>
      <c r="F262" s="76">
        <v>35236.0</v>
      </c>
      <c r="G262" s="68" t="s">
        <v>1292</v>
      </c>
      <c r="H262" s="71"/>
      <c r="I262" s="68" t="s">
        <v>1293</v>
      </c>
      <c r="J262" s="68" t="s">
        <v>1280</v>
      </c>
      <c r="K262" s="71"/>
      <c r="L262" s="71"/>
      <c r="M262" s="71"/>
      <c r="N262" s="77"/>
      <c r="O262" s="51"/>
    </row>
    <row r="263">
      <c r="A263" s="56">
        <v>260.0</v>
      </c>
      <c r="B263" s="68">
        <v>3467.0</v>
      </c>
      <c r="C263" s="69">
        <v>259.0</v>
      </c>
      <c r="D263" s="95" t="s">
        <v>1276</v>
      </c>
      <c r="E263" s="68" t="s">
        <v>1294</v>
      </c>
      <c r="F263" s="76">
        <v>34708.0</v>
      </c>
      <c r="G263" s="68" t="s">
        <v>1295</v>
      </c>
      <c r="H263" s="71"/>
      <c r="I263" s="68" t="s">
        <v>1296</v>
      </c>
      <c r="J263" s="68" t="s">
        <v>1280</v>
      </c>
      <c r="K263" s="71"/>
      <c r="L263" s="71"/>
      <c r="M263" s="71"/>
      <c r="N263" s="77"/>
      <c r="O263" s="51"/>
    </row>
    <row r="264">
      <c r="A264" s="56">
        <v>261.0</v>
      </c>
      <c r="B264" s="68">
        <v>3468.0</v>
      </c>
      <c r="C264" s="69" t="s">
        <v>1297</v>
      </c>
      <c r="D264" s="95" t="s">
        <v>1276</v>
      </c>
      <c r="E264" s="68" t="s">
        <v>1298</v>
      </c>
      <c r="F264" s="96">
        <v>35153.0</v>
      </c>
      <c r="G264" s="68" t="s">
        <v>1299</v>
      </c>
      <c r="H264" s="71"/>
      <c r="I264" s="68" t="s">
        <v>1300</v>
      </c>
      <c r="J264" s="68" t="s">
        <v>1280</v>
      </c>
      <c r="K264" s="71"/>
      <c r="L264" s="71"/>
      <c r="M264" s="71"/>
      <c r="N264" s="77"/>
      <c r="O264" s="51"/>
    </row>
    <row r="265">
      <c r="A265" s="56">
        <v>262.0</v>
      </c>
      <c r="B265" s="68">
        <v>3469.0</v>
      </c>
      <c r="C265" s="69" t="s">
        <v>1301</v>
      </c>
      <c r="D265" s="95" t="s">
        <v>1276</v>
      </c>
      <c r="E265" s="68" t="s">
        <v>1302</v>
      </c>
      <c r="F265" s="76">
        <v>35157.0</v>
      </c>
      <c r="G265" s="68" t="s">
        <v>1303</v>
      </c>
      <c r="H265" s="71"/>
      <c r="I265" s="68" t="s">
        <v>1304</v>
      </c>
      <c r="J265" s="68" t="s">
        <v>1280</v>
      </c>
      <c r="K265" s="71"/>
      <c r="L265" s="71"/>
      <c r="M265" s="71"/>
      <c r="N265" s="77"/>
      <c r="O265" s="51"/>
    </row>
    <row r="266">
      <c r="A266" s="56">
        <v>263.0</v>
      </c>
      <c r="B266" s="68">
        <v>3470.0</v>
      </c>
      <c r="C266" s="69" t="s">
        <v>1305</v>
      </c>
      <c r="D266" s="95" t="s">
        <v>1276</v>
      </c>
      <c r="E266" s="68" t="s">
        <v>1306</v>
      </c>
      <c r="F266" s="76">
        <v>35230.0</v>
      </c>
      <c r="G266" s="68" t="s">
        <v>1307</v>
      </c>
      <c r="H266" s="71"/>
      <c r="I266" s="68" t="s">
        <v>1308</v>
      </c>
      <c r="J266" s="68" t="s">
        <v>1280</v>
      </c>
      <c r="K266" s="71"/>
      <c r="L266" s="71"/>
      <c r="M266" s="71"/>
      <c r="N266" s="61"/>
      <c r="O266" s="51"/>
    </row>
    <row r="267">
      <c r="A267" s="56">
        <v>264.0</v>
      </c>
      <c r="B267" s="68">
        <v>3471.0</v>
      </c>
      <c r="C267" s="69" t="s">
        <v>1309</v>
      </c>
      <c r="D267" s="95" t="s">
        <v>1276</v>
      </c>
      <c r="E267" s="68" t="s">
        <v>1310</v>
      </c>
      <c r="F267" s="83">
        <v>34988.0</v>
      </c>
      <c r="G267" s="68" t="s">
        <v>1311</v>
      </c>
      <c r="H267" s="71"/>
      <c r="I267" s="68" t="s">
        <v>1312</v>
      </c>
      <c r="J267" s="87" t="s">
        <v>1313</v>
      </c>
      <c r="K267" s="71"/>
      <c r="L267" s="71"/>
      <c r="M267" s="71"/>
      <c r="N267" s="77"/>
      <c r="O267" s="51"/>
    </row>
    <row r="268">
      <c r="A268" s="56">
        <v>265.0</v>
      </c>
      <c r="B268" s="68">
        <v>3472.0</v>
      </c>
      <c r="C268" s="69" t="s">
        <v>1314</v>
      </c>
      <c r="D268" s="95" t="s">
        <v>1276</v>
      </c>
      <c r="E268" s="68" t="s">
        <v>1315</v>
      </c>
      <c r="F268" s="76">
        <v>35343.0</v>
      </c>
      <c r="G268" s="68" t="s">
        <v>1316</v>
      </c>
      <c r="H268" s="71"/>
      <c r="I268" s="68" t="s">
        <v>1317</v>
      </c>
      <c r="J268" s="87" t="s">
        <v>1318</v>
      </c>
      <c r="K268" s="71"/>
      <c r="L268" s="71"/>
      <c r="M268" s="71"/>
      <c r="N268" s="77"/>
      <c r="O268" s="51"/>
    </row>
    <row r="269">
      <c r="A269" s="56">
        <v>266.0</v>
      </c>
      <c r="B269" s="68">
        <v>3473.0</v>
      </c>
      <c r="C269" s="69" t="s">
        <v>1319</v>
      </c>
      <c r="D269" s="95" t="s">
        <v>1276</v>
      </c>
      <c r="E269" s="68" t="s">
        <v>1320</v>
      </c>
      <c r="F269" s="83">
        <v>34988.0</v>
      </c>
      <c r="G269" s="68" t="s">
        <v>1321</v>
      </c>
      <c r="H269" s="71"/>
      <c r="I269" s="68" t="s">
        <v>1322</v>
      </c>
      <c r="J269" s="87" t="s">
        <v>1323</v>
      </c>
      <c r="K269" s="71"/>
      <c r="L269" s="71"/>
      <c r="M269" s="71"/>
      <c r="N269" s="61"/>
      <c r="O269" s="51"/>
    </row>
    <row r="270">
      <c r="A270" s="56">
        <v>267.0</v>
      </c>
      <c r="B270" s="68">
        <v>3474.0</v>
      </c>
      <c r="C270" s="69" t="s">
        <v>1324</v>
      </c>
      <c r="D270" s="95" t="s">
        <v>1276</v>
      </c>
      <c r="E270" s="68" t="s">
        <v>1325</v>
      </c>
      <c r="F270" s="83">
        <v>34988.0</v>
      </c>
      <c r="G270" s="68" t="s">
        <v>1326</v>
      </c>
      <c r="H270" s="71"/>
      <c r="I270" s="68" t="s">
        <v>1327</v>
      </c>
      <c r="J270" s="68" t="s">
        <v>1280</v>
      </c>
      <c r="K270" s="71"/>
      <c r="L270" s="71"/>
      <c r="M270" s="71"/>
      <c r="N270" s="77"/>
      <c r="O270" s="51"/>
    </row>
    <row r="271">
      <c r="A271" s="56">
        <v>268.0</v>
      </c>
      <c r="B271" s="68">
        <v>3475.0</v>
      </c>
      <c r="C271" s="69" t="s">
        <v>1328</v>
      </c>
      <c r="D271" s="95" t="s">
        <v>1276</v>
      </c>
      <c r="E271" s="68" t="s">
        <v>1329</v>
      </c>
      <c r="F271" s="76">
        <v>34877.0</v>
      </c>
      <c r="G271" s="68" t="s">
        <v>1330</v>
      </c>
      <c r="H271" s="71"/>
      <c r="I271" s="68" t="s">
        <v>1331</v>
      </c>
      <c r="J271" s="68" t="s">
        <v>1280</v>
      </c>
      <c r="K271" s="71"/>
      <c r="L271" s="71"/>
      <c r="M271" s="71"/>
      <c r="N271" s="77"/>
      <c r="O271" s="51"/>
    </row>
    <row r="272">
      <c r="A272" s="56">
        <v>269.0</v>
      </c>
      <c r="B272" s="68">
        <v>3476.0</v>
      </c>
      <c r="C272" s="69" t="s">
        <v>1332</v>
      </c>
      <c r="D272" s="95" t="s">
        <v>1276</v>
      </c>
      <c r="E272" s="68" t="s">
        <v>1333</v>
      </c>
      <c r="F272" s="76">
        <v>34398.0</v>
      </c>
      <c r="G272" s="68" t="s">
        <v>1334</v>
      </c>
      <c r="H272" s="71"/>
      <c r="I272" s="68" t="s">
        <v>1335</v>
      </c>
      <c r="J272" s="68" t="s">
        <v>1280</v>
      </c>
      <c r="K272" s="71"/>
      <c r="L272" s="71"/>
      <c r="M272" s="71"/>
      <c r="N272" s="77"/>
      <c r="O272" s="51"/>
    </row>
    <row r="273">
      <c r="A273" s="56">
        <v>270.0</v>
      </c>
      <c r="B273" s="68">
        <v>3477.0</v>
      </c>
      <c r="C273" s="69" t="s">
        <v>1336</v>
      </c>
      <c r="D273" s="95" t="s">
        <v>1276</v>
      </c>
      <c r="E273" s="68" t="s">
        <v>1337</v>
      </c>
      <c r="F273" s="76">
        <v>35212.0</v>
      </c>
      <c r="G273" s="68" t="s">
        <v>1338</v>
      </c>
      <c r="H273" s="71"/>
      <c r="I273" s="68" t="s">
        <v>1339</v>
      </c>
      <c r="J273" s="68" t="s">
        <v>1280</v>
      </c>
      <c r="K273" s="71"/>
      <c r="L273" s="71"/>
      <c r="M273" s="71"/>
      <c r="N273" s="77"/>
      <c r="O273" s="51"/>
    </row>
    <row r="274">
      <c r="A274" s="56">
        <v>271.0</v>
      </c>
      <c r="B274" s="68">
        <v>3478.0</v>
      </c>
      <c r="C274" s="69" t="s">
        <v>1340</v>
      </c>
      <c r="D274" s="95" t="s">
        <v>1276</v>
      </c>
      <c r="E274" s="68" t="s">
        <v>1341</v>
      </c>
      <c r="F274" s="76">
        <v>34536.0</v>
      </c>
      <c r="G274" s="68" t="s">
        <v>1342</v>
      </c>
      <c r="H274" s="71"/>
      <c r="I274" s="68" t="s">
        <v>1343</v>
      </c>
      <c r="J274" s="68" t="s">
        <v>1280</v>
      </c>
      <c r="K274" s="71"/>
      <c r="L274" s="71"/>
      <c r="M274" s="71"/>
      <c r="N274" s="77"/>
      <c r="O274" s="51"/>
    </row>
    <row r="275">
      <c r="A275" s="56">
        <v>272.0</v>
      </c>
      <c r="B275" s="68">
        <v>3479.0</v>
      </c>
      <c r="C275" s="69" t="s">
        <v>1344</v>
      </c>
      <c r="D275" s="95" t="s">
        <v>1276</v>
      </c>
      <c r="E275" s="68" t="s">
        <v>1345</v>
      </c>
      <c r="F275" s="76">
        <v>34856.0</v>
      </c>
      <c r="G275" s="68" t="s">
        <v>1346</v>
      </c>
      <c r="H275" s="71"/>
      <c r="I275" s="68" t="s">
        <v>1347</v>
      </c>
      <c r="J275" s="87" t="s">
        <v>1323</v>
      </c>
      <c r="K275" s="71"/>
      <c r="L275" s="71"/>
      <c r="M275" s="71"/>
      <c r="N275" s="61"/>
      <c r="O275" s="51"/>
    </row>
    <row r="276">
      <c r="A276" s="56">
        <v>273.0</v>
      </c>
      <c r="B276" s="68">
        <v>3480.0</v>
      </c>
      <c r="C276" s="69" t="s">
        <v>1348</v>
      </c>
      <c r="D276" s="95" t="s">
        <v>1276</v>
      </c>
      <c r="E276" s="68" t="s">
        <v>1349</v>
      </c>
      <c r="F276" s="76">
        <v>34899.0</v>
      </c>
      <c r="G276" s="68" t="s">
        <v>1350</v>
      </c>
      <c r="H276" s="71"/>
      <c r="I276" s="68" t="s">
        <v>1351</v>
      </c>
      <c r="J276" s="68" t="s">
        <v>1280</v>
      </c>
      <c r="K276" s="71"/>
      <c r="L276" s="71"/>
      <c r="M276" s="71"/>
      <c r="N276" s="77"/>
      <c r="O276" s="51"/>
    </row>
    <row r="277">
      <c r="A277" s="56">
        <v>274.0</v>
      </c>
      <c r="B277" s="68">
        <v>3481.0</v>
      </c>
      <c r="C277" s="69" t="s">
        <v>1352</v>
      </c>
      <c r="D277" s="95" t="s">
        <v>1276</v>
      </c>
      <c r="E277" s="68" t="s">
        <v>1353</v>
      </c>
      <c r="F277" s="76">
        <v>34711.0</v>
      </c>
      <c r="G277" s="68" t="s">
        <v>1354</v>
      </c>
      <c r="H277" s="71"/>
      <c r="I277" s="68" t="s">
        <v>1355</v>
      </c>
      <c r="J277" s="68" t="s">
        <v>1280</v>
      </c>
      <c r="K277" s="71"/>
      <c r="L277" s="71"/>
      <c r="M277" s="71"/>
      <c r="N277" s="77"/>
      <c r="O277" s="51"/>
    </row>
    <row r="278">
      <c r="A278" s="56">
        <v>275.0</v>
      </c>
      <c r="B278" s="68">
        <v>3482.0</v>
      </c>
      <c r="C278" s="69" t="s">
        <v>1356</v>
      </c>
      <c r="D278" s="95" t="s">
        <v>1276</v>
      </c>
      <c r="E278" s="68" t="s">
        <v>1357</v>
      </c>
      <c r="F278" s="76">
        <v>34856.0</v>
      </c>
      <c r="G278" s="68" t="s">
        <v>1358</v>
      </c>
      <c r="H278" s="71"/>
      <c r="I278" s="68" t="s">
        <v>1359</v>
      </c>
      <c r="J278" s="68" t="s">
        <v>1280</v>
      </c>
      <c r="K278" s="66"/>
      <c r="L278" s="71"/>
      <c r="M278" s="71"/>
      <c r="N278" s="77"/>
      <c r="O278" s="51"/>
    </row>
    <row r="279">
      <c r="A279" s="56">
        <v>276.0</v>
      </c>
      <c r="B279" s="68">
        <v>3483.0</v>
      </c>
      <c r="C279" s="69" t="s">
        <v>1360</v>
      </c>
      <c r="D279" s="95" t="s">
        <v>1276</v>
      </c>
      <c r="E279" s="68" t="s">
        <v>1361</v>
      </c>
      <c r="F279" s="83">
        <v>34621.0</v>
      </c>
      <c r="G279" s="68" t="s">
        <v>1362</v>
      </c>
      <c r="H279" s="71"/>
      <c r="I279" s="68" t="s">
        <v>1363</v>
      </c>
      <c r="J279" s="68" t="s">
        <v>1280</v>
      </c>
      <c r="K279" s="71"/>
      <c r="L279" s="71"/>
      <c r="M279" s="71"/>
      <c r="N279" s="77"/>
      <c r="O279" s="51"/>
    </row>
    <row r="280">
      <c r="A280" s="56">
        <v>277.0</v>
      </c>
      <c r="B280" s="68">
        <v>3484.0</v>
      </c>
      <c r="C280" s="69" t="s">
        <v>1364</v>
      </c>
      <c r="D280" s="95" t="s">
        <v>1276</v>
      </c>
      <c r="E280" s="68" t="s">
        <v>1365</v>
      </c>
      <c r="F280" s="83">
        <v>33897.0</v>
      </c>
      <c r="G280" s="68" t="s">
        <v>1366</v>
      </c>
      <c r="H280" s="71"/>
      <c r="I280" s="68" t="s">
        <v>1367</v>
      </c>
      <c r="J280" s="68" t="s">
        <v>1368</v>
      </c>
      <c r="K280" s="71"/>
      <c r="L280" s="71"/>
      <c r="M280" s="71"/>
      <c r="N280" s="61"/>
      <c r="O280" s="51"/>
    </row>
    <row r="281">
      <c r="A281" s="56">
        <v>278.0</v>
      </c>
      <c r="B281" s="68">
        <v>3485.0</v>
      </c>
      <c r="C281" s="69" t="s">
        <v>1369</v>
      </c>
      <c r="D281" s="95" t="s">
        <v>1276</v>
      </c>
      <c r="E281" s="68" t="s">
        <v>1370</v>
      </c>
      <c r="F281" s="76">
        <v>35315.0</v>
      </c>
      <c r="G281" s="68" t="s">
        <v>1371</v>
      </c>
      <c r="H281" s="71"/>
      <c r="I281" s="68" t="s">
        <v>1372</v>
      </c>
      <c r="J281" s="68" t="s">
        <v>1280</v>
      </c>
      <c r="K281" s="71"/>
      <c r="L281" s="71"/>
      <c r="M281" s="71"/>
      <c r="N281" s="77"/>
      <c r="O281" s="51"/>
    </row>
    <row r="282">
      <c r="A282" s="56">
        <v>279.0</v>
      </c>
      <c r="B282" s="68">
        <v>3486.0</v>
      </c>
      <c r="C282" s="69" t="s">
        <v>1373</v>
      </c>
      <c r="D282" s="95" t="s">
        <v>1276</v>
      </c>
      <c r="E282" s="68" t="s">
        <v>1374</v>
      </c>
      <c r="F282" s="76">
        <v>34770.0</v>
      </c>
      <c r="G282" s="68" t="s">
        <v>1375</v>
      </c>
      <c r="H282" s="71"/>
      <c r="I282" s="68" t="s">
        <v>1376</v>
      </c>
      <c r="J282" s="87" t="s">
        <v>1323</v>
      </c>
      <c r="K282" s="71"/>
      <c r="L282" s="71"/>
      <c r="M282" s="71"/>
      <c r="N282" s="61"/>
      <c r="O282" s="51"/>
    </row>
    <row r="283">
      <c r="A283" s="56">
        <v>280.0</v>
      </c>
      <c r="B283" s="68">
        <v>3487.0</v>
      </c>
      <c r="C283" s="69" t="s">
        <v>1377</v>
      </c>
      <c r="D283" s="95" t="s">
        <v>1276</v>
      </c>
      <c r="E283" s="68" t="s">
        <v>1378</v>
      </c>
      <c r="F283" s="83">
        <v>34325.0</v>
      </c>
      <c r="G283" s="95" t="s">
        <v>1379</v>
      </c>
      <c r="H283" s="97"/>
      <c r="I283" s="68" t="s">
        <v>1380</v>
      </c>
      <c r="J283" s="68" t="s">
        <v>1280</v>
      </c>
      <c r="K283" s="71"/>
      <c r="L283" s="71"/>
      <c r="M283" s="71"/>
      <c r="N283" s="77"/>
      <c r="O283" s="51"/>
    </row>
    <row r="284">
      <c r="A284" s="56">
        <v>281.0</v>
      </c>
      <c r="B284" s="57">
        <v>3488.0</v>
      </c>
      <c r="C284" s="58">
        <v>280.0</v>
      </c>
      <c r="D284" s="60"/>
      <c r="E284" s="57" t="s">
        <v>1381</v>
      </c>
      <c r="F284" s="59">
        <v>40642.0</v>
      </c>
      <c r="G284" s="57" t="s">
        <v>1382</v>
      </c>
      <c r="H284" s="60"/>
      <c r="I284" s="68" t="s">
        <v>1383</v>
      </c>
      <c r="J284" s="57" t="s">
        <v>1384</v>
      </c>
      <c r="K284" s="60"/>
      <c r="L284" s="60"/>
      <c r="M284" s="60"/>
      <c r="N284" s="61"/>
      <c r="O284" s="51"/>
    </row>
    <row r="285">
      <c r="A285" s="56">
        <v>282.0</v>
      </c>
      <c r="B285" s="57">
        <v>3489.0</v>
      </c>
      <c r="C285" s="58">
        <v>281.0</v>
      </c>
      <c r="D285" s="60"/>
      <c r="E285" s="57" t="s">
        <v>1385</v>
      </c>
      <c r="F285" s="59">
        <v>40229.0</v>
      </c>
      <c r="G285" s="57" t="s">
        <v>1386</v>
      </c>
      <c r="H285" s="60"/>
      <c r="I285" s="68" t="s">
        <v>635</v>
      </c>
      <c r="J285" s="57" t="s">
        <v>1387</v>
      </c>
      <c r="K285" s="60"/>
      <c r="L285" s="60"/>
      <c r="M285" s="60"/>
      <c r="N285" s="61"/>
      <c r="O285" s="51"/>
    </row>
    <row r="286">
      <c r="A286" s="75">
        <v>283.0</v>
      </c>
      <c r="B286" s="68">
        <v>3490.0</v>
      </c>
      <c r="C286" s="69" t="s">
        <v>1388</v>
      </c>
      <c r="D286" s="71"/>
      <c r="E286" s="68" t="s">
        <v>1389</v>
      </c>
      <c r="F286" s="76">
        <v>40009.0</v>
      </c>
      <c r="G286" s="68" t="s">
        <v>1390</v>
      </c>
      <c r="H286" s="71"/>
      <c r="I286" s="68" t="s">
        <v>1391</v>
      </c>
      <c r="J286" s="68" t="s">
        <v>1392</v>
      </c>
      <c r="K286" s="71"/>
      <c r="L286" s="71"/>
      <c r="M286" s="87" t="s">
        <v>1393</v>
      </c>
      <c r="N286" s="61"/>
      <c r="O286" s="51"/>
    </row>
    <row r="287">
      <c r="A287" s="56">
        <v>284.0</v>
      </c>
      <c r="B287" s="71"/>
      <c r="C287" s="69" t="s">
        <v>1394</v>
      </c>
      <c r="D287" s="71"/>
      <c r="E287" s="68" t="s">
        <v>1395</v>
      </c>
      <c r="F287" s="76">
        <v>43101.0</v>
      </c>
      <c r="G287" s="68" t="s">
        <v>1396</v>
      </c>
      <c r="H287" s="71"/>
      <c r="I287" s="71"/>
      <c r="J287" s="68" t="s">
        <v>1397</v>
      </c>
      <c r="K287" s="71"/>
      <c r="L287" s="71"/>
      <c r="M287" s="87" t="s">
        <v>195</v>
      </c>
      <c r="N287" s="77"/>
      <c r="O287" s="51"/>
    </row>
    <row r="288">
      <c r="A288" s="56">
        <v>285.0</v>
      </c>
      <c r="B288" s="68">
        <v>3492.0</v>
      </c>
      <c r="C288" s="69">
        <v>284.0</v>
      </c>
      <c r="D288" s="71"/>
      <c r="E288" s="68" t="s">
        <v>1398</v>
      </c>
      <c r="F288" s="76">
        <v>39886.0</v>
      </c>
      <c r="G288" s="68" t="s">
        <v>1399</v>
      </c>
      <c r="H288" s="71"/>
      <c r="I288" s="68" t="s">
        <v>635</v>
      </c>
      <c r="J288" s="87" t="s">
        <v>1400</v>
      </c>
      <c r="K288" s="71"/>
      <c r="L288" s="71"/>
      <c r="M288" s="71"/>
      <c r="N288" s="61"/>
      <c r="O288" s="51"/>
    </row>
    <row r="289">
      <c r="A289" s="56">
        <v>286.0</v>
      </c>
      <c r="B289" s="57">
        <v>3493.0</v>
      </c>
      <c r="C289" s="58">
        <v>285.0</v>
      </c>
      <c r="D289" s="60"/>
      <c r="E289" s="57" t="s">
        <v>1401</v>
      </c>
      <c r="F289" s="59">
        <v>39886.0</v>
      </c>
      <c r="G289" s="57" t="s">
        <v>1402</v>
      </c>
      <c r="H289" s="60"/>
      <c r="I289" s="63" t="s">
        <v>635</v>
      </c>
      <c r="J289" s="57" t="s">
        <v>1403</v>
      </c>
      <c r="K289" s="60"/>
      <c r="L289" s="60"/>
      <c r="M289" s="60"/>
      <c r="N289" s="61"/>
      <c r="O289" s="51"/>
    </row>
    <row r="290">
      <c r="A290" s="56">
        <v>287.0</v>
      </c>
      <c r="B290" s="57">
        <v>3494.0</v>
      </c>
      <c r="C290" s="58">
        <v>286.0</v>
      </c>
      <c r="D290" s="60"/>
      <c r="E290" s="57" t="s">
        <v>1404</v>
      </c>
      <c r="F290" s="59">
        <v>40610.0</v>
      </c>
      <c r="G290" s="57" t="s">
        <v>1405</v>
      </c>
      <c r="H290" s="60"/>
      <c r="I290" s="63" t="s">
        <v>635</v>
      </c>
      <c r="J290" s="57" t="s">
        <v>1406</v>
      </c>
      <c r="K290" s="60"/>
      <c r="L290" s="60"/>
      <c r="M290" s="60"/>
      <c r="N290" s="61"/>
      <c r="O290" s="51"/>
    </row>
    <row r="291">
      <c r="A291" s="56">
        <v>288.0</v>
      </c>
      <c r="B291" s="71"/>
      <c r="C291" s="69" t="s">
        <v>1407</v>
      </c>
      <c r="D291" s="71"/>
      <c r="E291" s="68" t="s">
        <v>1408</v>
      </c>
      <c r="F291" s="76">
        <v>39995.0</v>
      </c>
      <c r="G291" s="68" t="s">
        <v>1409</v>
      </c>
      <c r="H291" s="71"/>
      <c r="I291" s="71"/>
      <c r="J291" s="68" t="s">
        <v>1410</v>
      </c>
      <c r="K291" s="71"/>
      <c r="L291" s="71"/>
      <c r="M291" s="68" t="s">
        <v>530</v>
      </c>
      <c r="N291" s="71"/>
      <c r="O291" s="51"/>
    </row>
    <row r="292">
      <c r="A292" s="56">
        <v>289.0</v>
      </c>
      <c r="B292" s="63">
        <v>3496.0</v>
      </c>
      <c r="C292" s="64">
        <v>288.0</v>
      </c>
      <c r="D292" s="66"/>
      <c r="E292" s="63" t="s">
        <v>1411</v>
      </c>
      <c r="F292" s="70">
        <v>40004.0</v>
      </c>
      <c r="G292" s="63" t="s">
        <v>1412</v>
      </c>
      <c r="H292" s="66"/>
      <c r="I292" s="63" t="s">
        <v>1383</v>
      </c>
      <c r="J292" s="63" t="s">
        <v>136</v>
      </c>
      <c r="K292" s="66"/>
      <c r="L292" s="66"/>
      <c r="M292" s="66"/>
      <c r="N292" s="61"/>
      <c r="O292" s="51"/>
    </row>
    <row r="293">
      <c r="A293" s="56">
        <v>290.0</v>
      </c>
      <c r="B293" s="57">
        <v>3497.0</v>
      </c>
      <c r="C293" s="58">
        <v>289.0</v>
      </c>
      <c r="D293" s="60"/>
      <c r="E293" s="57" t="s">
        <v>1413</v>
      </c>
      <c r="F293" s="59">
        <v>40458.0</v>
      </c>
      <c r="G293" s="57" t="s">
        <v>1414</v>
      </c>
      <c r="H293" s="60"/>
      <c r="I293" s="57" t="s">
        <v>1415</v>
      </c>
      <c r="J293" s="57" t="s">
        <v>1416</v>
      </c>
      <c r="K293" s="60"/>
      <c r="L293" s="60"/>
      <c r="M293" s="60"/>
      <c r="N293" s="61"/>
      <c r="O293" s="51"/>
    </row>
    <row r="294">
      <c r="A294" s="56">
        <v>291.0</v>
      </c>
      <c r="B294" s="63">
        <v>3498.0</v>
      </c>
      <c r="C294" s="64" t="s">
        <v>1417</v>
      </c>
      <c r="D294" s="66"/>
      <c r="E294" s="63" t="s">
        <v>1418</v>
      </c>
      <c r="F294" s="70">
        <v>40395.0</v>
      </c>
      <c r="G294" s="63" t="s">
        <v>1419</v>
      </c>
      <c r="H294" s="66"/>
      <c r="I294" s="63" t="s">
        <v>1420</v>
      </c>
      <c r="J294" s="63" t="s">
        <v>1421</v>
      </c>
      <c r="K294" s="66"/>
      <c r="L294" s="66"/>
      <c r="M294" s="66"/>
      <c r="N294" s="61"/>
      <c r="O294" s="51"/>
    </row>
    <row r="295">
      <c r="A295" s="56">
        <v>292.0</v>
      </c>
      <c r="B295" s="63">
        <v>3499.0</v>
      </c>
      <c r="C295" s="64" t="s">
        <v>1422</v>
      </c>
      <c r="D295" s="66"/>
      <c r="E295" s="63" t="s">
        <v>1423</v>
      </c>
      <c r="F295" s="70">
        <v>40394.0</v>
      </c>
      <c r="G295" s="63" t="s">
        <v>1424</v>
      </c>
      <c r="H295" s="66"/>
      <c r="I295" s="63" t="s">
        <v>1425</v>
      </c>
      <c r="J295" s="63" t="s">
        <v>1426</v>
      </c>
      <c r="K295" s="66"/>
      <c r="L295" s="66"/>
      <c r="M295" s="66"/>
      <c r="N295" s="61"/>
      <c r="O295" s="51"/>
    </row>
    <row r="296">
      <c r="A296" s="56">
        <v>293.0</v>
      </c>
      <c r="B296" s="66"/>
      <c r="C296" s="64" t="s">
        <v>1427</v>
      </c>
      <c r="D296" s="66"/>
      <c r="E296" s="80" t="s">
        <v>1428</v>
      </c>
      <c r="F296" s="98">
        <v>41597.0</v>
      </c>
      <c r="G296" s="80" t="s">
        <v>1429</v>
      </c>
      <c r="H296" s="82"/>
      <c r="I296" s="66"/>
      <c r="J296" s="63" t="s">
        <v>136</v>
      </c>
      <c r="K296" s="66"/>
      <c r="L296" s="66"/>
      <c r="M296" s="63" t="s">
        <v>542</v>
      </c>
      <c r="N296" s="61"/>
      <c r="O296" s="51"/>
    </row>
    <row r="297">
      <c r="A297" s="56">
        <v>294.0</v>
      </c>
      <c r="B297" s="71"/>
      <c r="C297" s="69" t="s">
        <v>1430</v>
      </c>
      <c r="D297" s="71"/>
      <c r="E297" s="68" t="s">
        <v>1431</v>
      </c>
      <c r="F297" s="83">
        <v>42325.0</v>
      </c>
      <c r="G297" s="68" t="s">
        <v>1432</v>
      </c>
      <c r="H297" s="71"/>
      <c r="I297" s="68" t="s">
        <v>1433</v>
      </c>
      <c r="J297" s="68" t="s">
        <v>1434</v>
      </c>
      <c r="K297" s="71"/>
      <c r="L297" s="71"/>
      <c r="M297" s="68" t="s">
        <v>1435</v>
      </c>
      <c r="N297" s="61"/>
      <c r="O297" s="51"/>
    </row>
    <row r="298">
      <c r="A298" s="56">
        <v>295.0</v>
      </c>
      <c r="B298" s="71"/>
      <c r="C298" s="69" t="s">
        <v>1436</v>
      </c>
      <c r="D298" s="71"/>
      <c r="E298" s="68" t="s">
        <v>1437</v>
      </c>
      <c r="F298" s="76">
        <v>42475.0</v>
      </c>
      <c r="G298" s="68" t="s">
        <v>1438</v>
      </c>
      <c r="H298" s="71"/>
      <c r="I298" s="71"/>
      <c r="J298" s="87" t="s">
        <v>1439</v>
      </c>
      <c r="K298" s="71"/>
      <c r="L298" s="71"/>
      <c r="M298" s="68" t="s">
        <v>125</v>
      </c>
      <c r="N298" s="77"/>
      <c r="O298" s="51"/>
    </row>
    <row r="299">
      <c r="A299" s="56">
        <v>296.0</v>
      </c>
      <c r="B299" s="68">
        <v>3503.0</v>
      </c>
      <c r="C299" s="69">
        <v>295.0</v>
      </c>
      <c r="D299" s="71"/>
      <c r="E299" s="68" t="s">
        <v>1440</v>
      </c>
      <c r="F299" s="83">
        <v>40471.0</v>
      </c>
      <c r="G299" s="68" t="s">
        <v>1441</v>
      </c>
      <c r="H299" s="71"/>
      <c r="I299" s="68" t="s">
        <v>1442</v>
      </c>
      <c r="J299" s="63" t="s">
        <v>136</v>
      </c>
      <c r="K299" s="71"/>
      <c r="L299" s="71"/>
      <c r="M299" s="68" t="s">
        <v>137</v>
      </c>
      <c r="N299" s="61"/>
      <c r="O299" s="51"/>
    </row>
    <row r="300">
      <c r="A300" s="56">
        <v>297.0</v>
      </c>
      <c r="B300" s="63">
        <v>3504.0</v>
      </c>
      <c r="C300" s="64">
        <v>296.0</v>
      </c>
      <c r="D300" s="66"/>
      <c r="E300" s="63" t="s">
        <v>1443</v>
      </c>
      <c r="F300" s="70">
        <v>40438.0</v>
      </c>
      <c r="G300" s="63" t="s">
        <v>1444</v>
      </c>
      <c r="H300" s="66"/>
      <c r="I300" s="63" t="s">
        <v>1445</v>
      </c>
      <c r="J300" s="63" t="s">
        <v>136</v>
      </c>
      <c r="K300" s="66"/>
      <c r="L300" s="66"/>
      <c r="M300" s="68" t="s">
        <v>137</v>
      </c>
      <c r="N300" s="61"/>
      <c r="O300" s="51"/>
    </row>
    <row r="301">
      <c r="A301" s="56">
        <v>298.0</v>
      </c>
      <c r="B301" s="57">
        <v>3505.0</v>
      </c>
      <c r="C301" s="58">
        <v>297.0</v>
      </c>
      <c r="D301" s="60"/>
      <c r="E301" s="57" t="s">
        <v>1446</v>
      </c>
      <c r="F301" s="59">
        <v>40515.0</v>
      </c>
      <c r="G301" s="57" t="s">
        <v>1447</v>
      </c>
      <c r="H301" s="60"/>
      <c r="I301" s="57" t="s">
        <v>1448</v>
      </c>
      <c r="J301" s="57" t="s">
        <v>1449</v>
      </c>
      <c r="K301" s="60"/>
      <c r="L301" s="60"/>
      <c r="M301" s="60"/>
      <c r="N301" s="61"/>
      <c r="O301" s="51"/>
    </row>
    <row r="302">
      <c r="A302" s="56">
        <v>299.0</v>
      </c>
      <c r="B302" s="57">
        <v>3506.0</v>
      </c>
      <c r="C302" s="58">
        <v>298.0</v>
      </c>
      <c r="D302" s="60"/>
      <c r="E302" s="57" t="s">
        <v>1450</v>
      </c>
      <c r="F302" s="59">
        <v>40515.0</v>
      </c>
      <c r="G302" s="57" t="s">
        <v>1451</v>
      </c>
      <c r="H302" s="60"/>
      <c r="I302" s="57" t="s">
        <v>1452</v>
      </c>
      <c r="J302" s="57" t="s">
        <v>1449</v>
      </c>
      <c r="K302" s="60"/>
      <c r="L302" s="60"/>
      <c r="M302" s="60"/>
      <c r="N302" s="61"/>
      <c r="O302" s="51"/>
    </row>
    <row r="303">
      <c r="A303" s="56">
        <v>300.0</v>
      </c>
      <c r="B303" s="57">
        <v>3507.0</v>
      </c>
      <c r="C303" s="58">
        <v>299.0</v>
      </c>
      <c r="D303" s="60"/>
      <c r="E303" s="57" t="s">
        <v>1453</v>
      </c>
      <c r="F303" s="59">
        <v>40450.0</v>
      </c>
      <c r="G303" s="57" t="s">
        <v>1454</v>
      </c>
      <c r="H303" s="60"/>
      <c r="I303" s="57" t="s">
        <v>1455</v>
      </c>
      <c r="J303" s="57" t="s">
        <v>1456</v>
      </c>
      <c r="K303" s="60"/>
      <c r="L303" s="60"/>
      <c r="M303" s="60"/>
      <c r="N303" s="61"/>
      <c r="O303" s="51"/>
    </row>
    <row r="304">
      <c r="A304" s="56">
        <v>301.0</v>
      </c>
      <c r="B304" s="57">
        <v>3508.0</v>
      </c>
      <c r="C304" s="58">
        <v>300.0</v>
      </c>
      <c r="D304" s="60"/>
      <c r="E304" s="57" t="s">
        <v>1457</v>
      </c>
      <c r="F304" s="59">
        <v>40630.0</v>
      </c>
      <c r="G304" s="57" t="s">
        <v>1458</v>
      </c>
      <c r="H304" s="60"/>
      <c r="I304" s="63" t="s">
        <v>1459</v>
      </c>
      <c r="J304" s="57" t="s">
        <v>124</v>
      </c>
      <c r="K304" s="60"/>
      <c r="L304" s="60"/>
      <c r="M304" s="60"/>
      <c r="N304" s="61"/>
      <c r="O304" s="51"/>
    </row>
    <row r="305">
      <c r="A305" s="56">
        <v>302.0</v>
      </c>
      <c r="B305" s="63">
        <v>3509.0</v>
      </c>
      <c r="C305" s="64" t="s">
        <v>1460</v>
      </c>
      <c r="D305" s="66"/>
      <c r="E305" s="63" t="s">
        <v>1461</v>
      </c>
      <c r="F305" s="70">
        <v>40630.0</v>
      </c>
      <c r="G305" s="63" t="s">
        <v>1458</v>
      </c>
      <c r="H305" s="66"/>
      <c r="I305" s="63" t="s">
        <v>1462</v>
      </c>
      <c r="J305" s="63" t="s">
        <v>1421</v>
      </c>
      <c r="K305" s="66"/>
      <c r="L305" s="66"/>
      <c r="M305" s="63" t="s">
        <v>149</v>
      </c>
      <c r="N305" s="61"/>
      <c r="O305" s="51"/>
    </row>
    <row r="306">
      <c r="A306" s="56">
        <v>303.0</v>
      </c>
      <c r="B306" s="57">
        <v>3510.0</v>
      </c>
      <c r="C306" s="58">
        <v>302.0</v>
      </c>
      <c r="D306" s="60"/>
      <c r="E306" s="57" t="s">
        <v>1463</v>
      </c>
      <c r="F306" s="78">
        <v>40499.0</v>
      </c>
      <c r="G306" s="57" t="s">
        <v>1464</v>
      </c>
      <c r="H306" s="60"/>
      <c r="I306" s="63" t="s">
        <v>1222</v>
      </c>
      <c r="J306" s="57" t="s">
        <v>1465</v>
      </c>
      <c r="K306" s="60"/>
      <c r="L306" s="60"/>
      <c r="M306" s="60"/>
      <c r="N306" s="61"/>
      <c r="O306" s="51"/>
    </row>
    <row r="307">
      <c r="A307" s="56">
        <v>304.0</v>
      </c>
      <c r="B307" s="63">
        <v>3511.0</v>
      </c>
      <c r="C307" s="64" t="s">
        <v>1466</v>
      </c>
      <c r="D307" s="66"/>
      <c r="E307" s="63" t="s">
        <v>1467</v>
      </c>
      <c r="F307" s="70">
        <v>40452.0</v>
      </c>
      <c r="G307" s="63" t="s">
        <v>1464</v>
      </c>
      <c r="H307" s="66"/>
      <c r="I307" s="63" t="s">
        <v>1468</v>
      </c>
      <c r="J307" s="63" t="s">
        <v>1469</v>
      </c>
      <c r="K307" s="66"/>
      <c r="L307" s="66"/>
      <c r="M307" s="66"/>
      <c r="N307" s="61"/>
      <c r="O307" s="51"/>
    </row>
    <row r="308">
      <c r="A308" s="56">
        <v>305.0</v>
      </c>
      <c r="B308" s="57">
        <v>3512.0</v>
      </c>
      <c r="C308" s="58">
        <v>304.0</v>
      </c>
      <c r="D308" s="60"/>
      <c r="E308" s="57" t="s">
        <v>1470</v>
      </c>
      <c r="F308" s="59">
        <v>40589.0</v>
      </c>
      <c r="G308" s="57" t="s">
        <v>1471</v>
      </c>
      <c r="H308" s="60"/>
      <c r="I308" s="57" t="s">
        <v>1472</v>
      </c>
      <c r="J308" s="57" t="s">
        <v>1473</v>
      </c>
      <c r="K308" s="60"/>
      <c r="L308" s="60"/>
      <c r="M308" s="60"/>
      <c r="N308" s="61"/>
      <c r="O308" s="51"/>
    </row>
    <row r="309">
      <c r="A309" s="56">
        <v>306.0</v>
      </c>
      <c r="B309" s="57">
        <v>3513.0</v>
      </c>
      <c r="C309" s="58">
        <v>305.0</v>
      </c>
      <c r="D309" s="60"/>
      <c r="E309" s="57" t="s">
        <v>1474</v>
      </c>
      <c r="F309" s="59">
        <v>40566.0</v>
      </c>
      <c r="G309" s="57" t="s">
        <v>1475</v>
      </c>
      <c r="H309" s="60"/>
      <c r="I309" s="63" t="s">
        <v>1476</v>
      </c>
      <c r="J309" s="57" t="s">
        <v>1477</v>
      </c>
      <c r="K309" s="60"/>
      <c r="L309" s="60"/>
      <c r="M309" s="60"/>
      <c r="N309" s="61"/>
      <c r="O309" s="51"/>
    </row>
    <row r="310">
      <c r="A310" s="56">
        <v>307.0</v>
      </c>
      <c r="B310" s="57">
        <v>3514.0</v>
      </c>
      <c r="C310" s="58">
        <v>306.0</v>
      </c>
      <c r="D310" s="60"/>
      <c r="E310" s="57" t="s">
        <v>1478</v>
      </c>
      <c r="F310" s="78">
        <v>40472.0</v>
      </c>
      <c r="G310" s="57" t="s">
        <v>1479</v>
      </c>
      <c r="H310" s="60"/>
      <c r="I310" s="63" t="s">
        <v>1480</v>
      </c>
      <c r="J310" s="57" t="s">
        <v>1481</v>
      </c>
      <c r="K310" s="60"/>
      <c r="L310" s="60"/>
      <c r="M310" s="60"/>
      <c r="N310" s="61"/>
      <c r="O310" s="51"/>
    </row>
    <row r="311">
      <c r="A311" s="56">
        <v>308.0</v>
      </c>
      <c r="B311" s="57">
        <v>3515.0</v>
      </c>
      <c r="C311" s="58">
        <v>307.0</v>
      </c>
      <c r="D311" s="60"/>
      <c r="E311" s="57" t="s">
        <v>1482</v>
      </c>
      <c r="F311" s="59">
        <v>40566.0</v>
      </c>
      <c r="G311" s="57" t="s">
        <v>1483</v>
      </c>
      <c r="H311" s="60"/>
      <c r="I311" s="57" t="s">
        <v>1484</v>
      </c>
      <c r="J311" s="57" t="s">
        <v>1485</v>
      </c>
      <c r="K311" s="60"/>
      <c r="L311" s="60"/>
      <c r="M311" s="60"/>
      <c r="N311" s="61"/>
      <c r="O311" s="51"/>
    </row>
    <row r="312">
      <c r="A312" s="56">
        <v>309.0</v>
      </c>
      <c r="B312" s="63">
        <v>3516.0</v>
      </c>
      <c r="C312" s="64" t="s">
        <v>1486</v>
      </c>
      <c r="D312" s="66"/>
      <c r="E312" s="63" t="s">
        <v>1487</v>
      </c>
      <c r="F312" s="70">
        <v>40372.0</v>
      </c>
      <c r="G312" s="63" t="s">
        <v>1488</v>
      </c>
      <c r="H312" s="66"/>
      <c r="I312" s="63" t="s">
        <v>1489</v>
      </c>
      <c r="J312" s="63" t="s">
        <v>1490</v>
      </c>
      <c r="K312" s="66"/>
      <c r="L312" s="66"/>
      <c r="M312" s="63" t="s">
        <v>27</v>
      </c>
      <c r="N312" s="61"/>
      <c r="O312" s="51"/>
    </row>
    <row r="313">
      <c r="A313" s="56">
        <v>310.0</v>
      </c>
      <c r="B313" s="63">
        <v>3517.0</v>
      </c>
      <c r="C313" s="64" t="s">
        <v>1491</v>
      </c>
      <c r="D313" s="66"/>
      <c r="E313" s="63" t="s">
        <v>1492</v>
      </c>
      <c r="F313" s="70">
        <v>40069.0</v>
      </c>
      <c r="G313" s="63" t="s">
        <v>1493</v>
      </c>
      <c r="H313" s="66"/>
      <c r="I313" s="63" t="s">
        <v>1494</v>
      </c>
      <c r="J313" s="63" t="s">
        <v>1495</v>
      </c>
      <c r="K313" s="66"/>
      <c r="L313" s="63" t="s">
        <v>1496</v>
      </c>
      <c r="M313" s="63" t="s">
        <v>201</v>
      </c>
      <c r="N313" s="61"/>
      <c r="O313" s="51"/>
    </row>
    <row r="314">
      <c r="A314" s="56">
        <v>311.0</v>
      </c>
      <c r="B314" s="66"/>
      <c r="C314" s="64" t="s">
        <v>1497</v>
      </c>
      <c r="D314" s="66"/>
      <c r="E314" s="80" t="s">
        <v>1498</v>
      </c>
      <c r="F314" s="98">
        <v>41984.0</v>
      </c>
      <c r="G314" s="80" t="s">
        <v>1499</v>
      </c>
      <c r="H314" s="80" t="s">
        <v>1500</v>
      </c>
      <c r="I314" s="66"/>
      <c r="J314" s="63" t="s">
        <v>136</v>
      </c>
      <c r="K314" s="66"/>
      <c r="L314" s="66"/>
      <c r="M314" s="63" t="s">
        <v>195</v>
      </c>
      <c r="N314" s="61"/>
      <c r="O314" s="51"/>
    </row>
    <row r="315">
      <c r="A315" s="75">
        <v>312.0</v>
      </c>
      <c r="B315" s="71"/>
      <c r="C315" s="69" t="s">
        <v>1501</v>
      </c>
      <c r="D315" s="71"/>
      <c r="E315" s="68" t="s">
        <v>1502</v>
      </c>
      <c r="F315" s="76">
        <v>42580.0</v>
      </c>
      <c r="G315" s="68" t="s">
        <v>1503</v>
      </c>
      <c r="H315" s="71"/>
      <c r="I315" s="71"/>
      <c r="J315" s="68" t="s">
        <v>1504</v>
      </c>
      <c r="K315" s="71"/>
      <c r="L315" s="71"/>
      <c r="M315" s="68" t="s">
        <v>195</v>
      </c>
      <c r="N315" s="77"/>
      <c r="O315" s="51"/>
    </row>
    <row r="316">
      <c r="A316" s="56">
        <v>313.0</v>
      </c>
      <c r="B316" s="71"/>
      <c r="C316" s="69" t="s">
        <v>1505</v>
      </c>
      <c r="D316" s="71"/>
      <c r="E316" s="68" t="s">
        <v>1506</v>
      </c>
      <c r="F316" s="76">
        <v>42239.0</v>
      </c>
      <c r="G316" s="68" t="s">
        <v>1507</v>
      </c>
      <c r="H316" s="71"/>
      <c r="I316" s="71"/>
      <c r="J316" s="87" t="s">
        <v>1508</v>
      </c>
      <c r="K316" s="71"/>
      <c r="L316" s="71"/>
      <c r="M316" s="68" t="s">
        <v>1509</v>
      </c>
      <c r="N316" s="77"/>
      <c r="O316" s="51"/>
    </row>
    <row r="317">
      <c r="A317" s="56">
        <v>314.0</v>
      </c>
      <c r="B317" s="66"/>
      <c r="C317" s="64" t="s">
        <v>1510</v>
      </c>
      <c r="D317" s="66"/>
      <c r="E317" s="80" t="s">
        <v>1511</v>
      </c>
      <c r="F317" s="81">
        <v>41552.0</v>
      </c>
      <c r="G317" s="80" t="s">
        <v>1512</v>
      </c>
      <c r="H317" s="80" t="s">
        <v>439</v>
      </c>
      <c r="I317" s="66"/>
      <c r="J317" s="63" t="s">
        <v>136</v>
      </c>
      <c r="K317" s="66"/>
      <c r="L317" s="66"/>
      <c r="M317" s="63" t="s">
        <v>195</v>
      </c>
      <c r="N317" s="61"/>
      <c r="O317" s="51"/>
    </row>
    <row r="318">
      <c r="A318" s="56">
        <v>315.0</v>
      </c>
      <c r="B318" s="66"/>
      <c r="C318" s="64" t="s">
        <v>1513</v>
      </c>
      <c r="D318" s="66"/>
      <c r="E318" s="80" t="s">
        <v>1514</v>
      </c>
      <c r="F318" s="81">
        <v>39973.0</v>
      </c>
      <c r="G318" s="80" t="s">
        <v>1515</v>
      </c>
      <c r="H318" s="82"/>
      <c r="I318" s="66"/>
      <c r="J318" s="63" t="s">
        <v>136</v>
      </c>
      <c r="K318" s="66"/>
      <c r="L318" s="66"/>
      <c r="M318" s="63" t="s">
        <v>1516</v>
      </c>
      <c r="N318" s="61"/>
      <c r="O318" s="51"/>
    </row>
    <row r="319">
      <c r="A319" s="56">
        <v>316.0</v>
      </c>
      <c r="B319" s="57">
        <v>3523.0</v>
      </c>
      <c r="C319" s="58">
        <v>315.0</v>
      </c>
      <c r="D319" s="60"/>
      <c r="E319" s="57" t="s">
        <v>1517</v>
      </c>
      <c r="F319" s="59">
        <v>40486.0</v>
      </c>
      <c r="G319" s="57" t="s">
        <v>1518</v>
      </c>
      <c r="H319" s="60"/>
      <c r="I319" s="57" t="s">
        <v>1519</v>
      </c>
      <c r="J319" s="57" t="s">
        <v>1520</v>
      </c>
      <c r="K319" s="60"/>
      <c r="L319" s="60"/>
      <c r="M319" s="60"/>
      <c r="N319" s="61"/>
      <c r="O319" s="51"/>
    </row>
    <row r="320">
      <c r="A320" s="56">
        <v>317.0</v>
      </c>
      <c r="B320" s="60"/>
      <c r="C320" s="79" t="s">
        <v>1521</v>
      </c>
      <c r="D320" s="60"/>
      <c r="E320" s="80" t="s">
        <v>1522</v>
      </c>
      <c r="F320" s="81">
        <v>42790.0</v>
      </c>
      <c r="G320" s="80" t="s">
        <v>1523</v>
      </c>
      <c r="H320" s="82"/>
      <c r="I320" s="60"/>
      <c r="J320" s="80" t="s">
        <v>136</v>
      </c>
      <c r="K320" s="60"/>
      <c r="L320" s="60"/>
      <c r="M320" s="57" t="s">
        <v>125</v>
      </c>
      <c r="N320" s="61"/>
      <c r="O320" s="51"/>
    </row>
    <row r="321">
      <c r="A321" s="56">
        <v>318.0</v>
      </c>
      <c r="B321" s="71"/>
      <c r="C321" s="69" t="s">
        <v>1524</v>
      </c>
      <c r="D321" s="71"/>
      <c r="E321" s="68" t="s">
        <v>1525</v>
      </c>
      <c r="F321" s="76">
        <v>41367.0</v>
      </c>
      <c r="G321" s="68" t="s">
        <v>1526</v>
      </c>
      <c r="H321" s="71"/>
      <c r="I321" s="71"/>
      <c r="J321" s="68" t="s">
        <v>1527</v>
      </c>
      <c r="K321" s="71"/>
      <c r="L321" s="71"/>
      <c r="M321" s="68" t="s">
        <v>1528</v>
      </c>
      <c r="N321" s="77"/>
      <c r="O321" s="51"/>
    </row>
    <row r="322">
      <c r="A322" s="56">
        <v>319.0</v>
      </c>
      <c r="B322" s="57">
        <v>3526.0</v>
      </c>
      <c r="C322" s="58">
        <v>318.0</v>
      </c>
      <c r="D322" s="60"/>
      <c r="E322" s="57" t="s">
        <v>1529</v>
      </c>
      <c r="F322" s="59">
        <v>39924.0</v>
      </c>
      <c r="G322" s="57" t="s">
        <v>1530</v>
      </c>
      <c r="H322" s="60"/>
      <c r="I322" s="99" t="s">
        <v>1531</v>
      </c>
      <c r="J322" s="57" t="s">
        <v>1532</v>
      </c>
      <c r="K322" s="60"/>
      <c r="L322" s="60"/>
      <c r="M322" s="60"/>
      <c r="N322" s="61"/>
      <c r="O322" s="51"/>
    </row>
    <row r="323">
      <c r="A323" s="56">
        <v>320.0</v>
      </c>
      <c r="B323" s="57">
        <v>3527.0</v>
      </c>
      <c r="C323" s="58">
        <v>319.0</v>
      </c>
      <c r="D323" s="60"/>
      <c r="E323" s="57" t="s">
        <v>1533</v>
      </c>
      <c r="F323" s="59">
        <v>39924.0</v>
      </c>
      <c r="G323" s="57" t="s">
        <v>1530</v>
      </c>
      <c r="H323" s="60"/>
      <c r="I323" s="99" t="s">
        <v>1531</v>
      </c>
      <c r="J323" s="57" t="s">
        <v>1532</v>
      </c>
      <c r="K323" s="60"/>
      <c r="L323" s="60"/>
      <c r="M323" s="60"/>
      <c r="N323" s="61"/>
      <c r="O323" s="51"/>
    </row>
    <row r="324">
      <c r="A324" s="56">
        <v>321.0</v>
      </c>
      <c r="B324" s="57">
        <v>3528.0</v>
      </c>
      <c r="C324" s="58">
        <v>320.0</v>
      </c>
      <c r="D324" s="57" t="s">
        <v>1534</v>
      </c>
      <c r="E324" s="57" t="s">
        <v>1535</v>
      </c>
      <c r="F324" s="57" t="s">
        <v>407</v>
      </c>
      <c r="G324" s="57" t="s">
        <v>1536</v>
      </c>
      <c r="H324" s="60"/>
      <c r="I324" s="63" t="s">
        <v>1537</v>
      </c>
      <c r="J324" s="57" t="s">
        <v>1538</v>
      </c>
      <c r="K324" s="60"/>
      <c r="L324" s="60"/>
      <c r="M324" s="60"/>
      <c r="N324" s="61"/>
      <c r="O324" s="51"/>
    </row>
    <row r="325">
      <c r="A325" s="56">
        <v>322.0</v>
      </c>
      <c r="B325" s="57">
        <v>3529.0</v>
      </c>
      <c r="C325" s="58">
        <v>321.0</v>
      </c>
      <c r="D325" s="57" t="s">
        <v>1534</v>
      </c>
      <c r="E325" s="57" t="s">
        <v>1539</v>
      </c>
      <c r="F325" s="57" t="s">
        <v>407</v>
      </c>
      <c r="G325" s="57" t="s">
        <v>1540</v>
      </c>
      <c r="H325" s="60"/>
      <c r="I325" s="63" t="s">
        <v>1537</v>
      </c>
      <c r="J325" s="57" t="s">
        <v>1481</v>
      </c>
      <c r="K325" s="60"/>
      <c r="L325" s="60"/>
      <c r="M325" s="60"/>
      <c r="N325" s="61"/>
      <c r="O325" s="51"/>
    </row>
    <row r="326">
      <c r="A326" s="56">
        <v>323.0</v>
      </c>
      <c r="B326" s="68">
        <v>3530.0</v>
      </c>
      <c r="C326" s="69" t="s">
        <v>1541</v>
      </c>
      <c r="D326" s="68" t="s">
        <v>1542</v>
      </c>
      <c r="E326" s="68" t="s">
        <v>1543</v>
      </c>
      <c r="F326" s="76">
        <v>40318.0</v>
      </c>
      <c r="G326" s="68" t="s">
        <v>1544</v>
      </c>
      <c r="H326" s="71"/>
      <c r="I326" s="68" t="s">
        <v>1545</v>
      </c>
      <c r="J326" s="100" t="s">
        <v>1546</v>
      </c>
      <c r="K326" s="101"/>
      <c r="L326" s="71"/>
      <c r="M326" s="71"/>
      <c r="N326" s="77"/>
      <c r="O326" s="51"/>
    </row>
    <row r="327">
      <c r="A327" s="56">
        <v>324.0</v>
      </c>
      <c r="B327" s="57">
        <v>3531.0</v>
      </c>
      <c r="C327" s="58">
        <v>323.0</v>
      </c>
      <c r="D327" s="60"/>
      <c r="E327" s="57" t="s">
        <v>1547</v>
      </c>
      <c r="F327" s="78">
        <v>40480.0</v>
      </c>
      <c r="G327" s="57" t="s">
        <v>1548</v>
      </c>
      <c r="H327" s="60"/>
      <c r="I327" s="57" t="s">
        <v>1549</v>
      </c>
      <c r="J327" s="57" t="s">
        <v>1550</v>
      </c>
      <c r="K327" s="60"/>
      <c r="L327" s="60"/>
      <c r="M327" s="60"/>
      <c r="N327" s="61"/>
      <c r="O327" s="51"/>
    </row>
    <row r="328">
      <c r="A328" s="56">
        <v>325.0</v>
      </c>
      <c r="B328" s="63">
        <v>3532.0</v>
      </c>
      <c r="C328" s="64" t="s">
        <v>1551</v>
      </c>
      <c r="D328" s="66"/>
      <c r="E328" s="63" t="s">
        <v>1552</v>
      </c>
      <c r="F328" s="70">
        <v>39966.0</v>
      </c>
      <c r="G328" s="63" t="s">
        <v>1553</v>
      </c>
      <c r="H328" s="66"/>
      <c r="I328" s="63" t="s">
        <v>1554</v>
      </c>
      <c r="J328" s="63" t="s">
        <v>1555</v>
      </c>
      <c r="K328" s="66"/>
      <c r="L328" s="66"/>
      <c r="M328" s="63" t="s">
        <v>1393</v>
      </c>
      <c r="N328" s="61"/>
      <c r="O328" s="51"/>
    </row>
    <row r="329">
      <c r="A329" s="56">
        <v>326.0</v>
      </c>
      <c r="B329" s="57">
        <v>3533.0</v>
      </c>
      <c r="C329" s="58">
        <v>325.0</v>
      </c>
      <c r="D329" s="60"/>
      <c r="E329" s="57" t="s">
        <v>1556</v>
      </c>
      <c r="F329" s="59">
        <v>40429.0</v>
      </c>
      <c r="G329" s="57" t="s">
        <v>1557</v>
      </c>
      <c r="H329" s="60"/>
      <c r="I329" s="57" t="s">
        <v>1558</v>
      </c>
      <c r="J329" s="57" t="s">
        <v>1559</v>
      </c>
      <c r="K329" s="60"/>
      <c r="L329" s="60"/>
      <c r="M329" s="60"/>
      <c r="N329" s="61"/>
      <c r="O329" s="51"/>
    </row>
    <row r="330">
      <c r="A330" s="56">
        <v>327.0</v>
      </c>
      <c r="B330" s="57">
        <v>3534.0</v>
      </c>
      <c r="C330" s="58">
        <v>326.0</v>
      </c>
      <c r="D330" s="60"/>
      <c r="E330" s="57" t="s">
        <v>1560</v>
      </c>
      <c r="F330" s="59">
        <v>40582.0</v>
      </c>
      <c r="G330" s="57" t="s">
        <v>1561</v>
      </c>
      <c r="H330" s="60"/>
      <c r="I330" s="57" t="s">
        <v>1562</v>
      </c>
      <c r="J330" s="57" t="s">
        <v>1563</v>
      </c>
      <c r="K330" s="60"/>
      <c r="L330" s="60"/>
      <c r="M330" s="60"/>
      <c r="N330" s="61"/>
      <c r="O330" s="51"/>
    </row>
    <row r="331">
      <c r="A331" s="56">
        <v>328.0</v>
      </c>
      <c r="B331" s="57">
        <v>3535.0</v>
      </c>
      <c r="C331" s="58">
        <v>327.0</v>
      </c>
      <c r="D331" s="60"/>
      <c r="E331" s="57" t="s">
        <v>1564</v>
      </c>
      <c r="F331" s="59">
        <v>39992.0</v>
      </c>
      <c r="G331" s="57" t="s">
        <v>1565</v>
      </c>
      <c r="H331" s="60"/>
      <c r="I331" s="63" t="s">
        <v>1566</v>
      </c>
      <c r="J331" s="57" t="s">
        <v>1567</v>
      </c>
      <c r="K331" s="60"/>
      <c r="L331" s="60"/>
      <c r="M331" s="60"/>
      <c r="N331" s="61"/>
      <c r="O331" s="51"/>
    </row>
    <row r="332">
      <c r="A332" s="56">
        <v>329.0</v>
      </c>
      <c r="B332" s="57">
        <v>3536.0</v>
      </c>
      <c r="C332" s="58">
        <v>328.0</v>
      </c>
      <c r="D332" s="60"/>
      <c r="E332" s="57" t="s">
        <v>1568</v>
      </c>
      <c r="F332" s="59">
        <v>40668.0</v>
      </c>
      <c r="G332" s="57" t="s">
        <v>1569</v>
      </c>
      <c r="H332" s="60"/>
      <c r="I332" s="57" t="s">
        <v>1570</v>
      </c>
      <c r="J332" s="57" t="s">
        <v>1571</v>
      </c>
      <c r="K332" s="60"/>
      <c r="L332" s="60"/>
      <c r="M332" s="60"/>
      <c r="N332" s="61"/>
      <c r="O332" s="51"/>
    </row>
    <row r="333">
      <c r="A333" s="56">
        <v>330.0</v>
      </c>
      <c r="B333" s="57">
        <v>3537.0</v>
      </c>
      <c r="C333" s="58">
        <v>329.0</v>
      </c>
      <c r="D333" s="60"/>
      <c r="E333" s="57" t="s">
        <v>1572</v>
      </c>
      <c r="F333" s="59">
        <v>40687.0</v>
      </c>
      <c r="G333" s="57" t="s">
        <v>1573</v>
      </c>
      <c r="H333" s="60"/>
      <c r="I333" s="57" t="s">
        <v>1574</v>
      </c>
      <c r="J333" s="57" t="s">
        <v>1575</v>
      </c>
      <c r="K333" s="60"/>
      <c r="L333" s="60"/>
      <c r="M333" s="60"/>
      <c r="N333" s="61"/>
      <c r="O333" s="51"/>
    </row>
    <row r="334">
      <c r="A334" s="56">
        <v>331.0</v>
      </c>
      <c r="B334" s="57">
        <v>3538.0</v>
      </c>
      <c r="C334" s="58">
        <v>330.0</v>
      </c>
      <c r="D334" s="60"/>
      <c r="E334" s="57" t="s">
        <v>1576</v>
      </c>
      <c r="F334" s="59">
        <v>40692.0</v>
      </c>
      <c r="G334" s="57" t="s">
        <v>1573</v>
      </c>
      <c r="H334" s="60"/>
      <c r="I334" s="57" t="s">
        <v>1577</v>
      </c>
      <c r="J334" s="57" t="s">
        <v>1578</v>
      </c>
      <c r="K334" s="60"/>
      <c r="L334" s="60"/>
      <c r="M334" s="60"/>
      <c r="N334" s="61"/>
      <c r="O334" s="51"/>
    </row>
    <row r="335">
      <c r="A335" s="56">
        <v>332.0</v>
      </c>
      <c r="B335" s="57">
        <v>3539.0</v>
      </c>
      <c r="C335" s="58">
        <v>331.0</v>
      </c>
      <c r="D335" s="60"/>
      <c r="E335" s="57" t="s">
        <v>1579</v>
      </c>
      <c r="F335" s="59">
        <v>40354.0</v>
      </c>
      <c r="G335" s="57" t="s">
        <v>1580</v>
      </c>
      <c r="H335" s="60"/>
      <c r="I335" s="57" t="s">
        <v>1581</v>
      </c>
      <c r="J335" s="57" t="s">
        <v>1582</v>
      </c>
      <c r="K335" s="60"/>
      <c r="L335" s="60"/>
      <c r="M335" s="60"/>
      <c r="N335" s="61"/>
      <c r="O335" s="51"/>
    </row>
    <row r="336">
      <c r="A336" s="56">
        <v>333.0</v>
      </c>
      <c r="B336" s="57">
        <v>3540.0</v>
      </c>
      <c r="C336" s="58">
        <v>332.0</v>
      </c>
      <c r="D336" s="60"/>
      <c r="E336" s="57" t="s">
        <v>1583</v>
      </c>
      <c r="F336" s="59">
        <v>40391.0</v>
      </c>
      <c r="G336" s="57" t="s">
        <v>1584</v>
      </c>
      <c r="H336" s="60"/>
      <c r="I336" s="57" t="s">
        <v>1585</v>
      </c>
      <c r="J336" s="57" t="s">
        <v>148</v>
      </c>
      <c r="K336" s="60"/>
      <c r="L336" s="60"/>
      <c r="M336" s="60"/>
      <c r="N336" s="61"/>
      <c r="O336" s="51"/>
    </row>
    <row r="337">
      <c r="A337" s="56">
        <v>334.0</v>
      </c>
      <c r="B337" s="57">
        <v>3541.0</v>
      </c>
      <c r="C337" s="58">
        <v>333.0</v>
      </c>
      <c r="D337" s="60"/>
      <c r="E337" s="57" t="s">
        <v>1586</v>
      </c>
      <c r="F337" s="59">
        <v>40391.0</v>
      </c>
      <c r="G337" s="57" t="s">
        <v>1587</v>
      </c>
      <c r="H337" s="60"/>
      <c r="I337" s="57" t="s">
        <v>1585</v>
      </c>
      <c r="J337" s="57" t="s">
        <v>148</v>
      </c>
      <c r="K337" s="60"/>
      <c r="L337" s="60"/>
      <c r="M337" s="60"/>
      <c r="N337" s="61"/>
      <c r="O337" s="51"/>
    </row>
    <row r="338">
      <c r="A338" s="56">
        <v>335.0</v>
      </c>
      <c r="B338" s="57">
        <v>3542.0</v>
      </c>
      <c r="C338" s="58">
        <v>334.0</v>
      </c>
      <c r="D338" s="60"/>
      <c r="E338" s="57" t="s">
        <v>1588</v>
      </c>
      <c r="F338" s="59">
        <v>40391.0</v>
      </c>
      <c r="G338" s="57" t="s">
        <v>1587</v>
      </c>
      <c r="H338" s="60"/>
      <c r="I338" s="57" t="s">
        <v>1585</v>
      </c>
      <c r="J338" s="57" t="s">
        <v>148</v>
      </c>
      <c r="K338" s="60"/>
      <c r="L338" s="60"/>
      <c r="M338" s="60"/>
      <c r="N338" s="61"/>
      <c r="O338" s="51"/>
    </row>
    <row r="339">
      <c r="A339" s="56">
        <v>336.0</v>
      </c>
      <c r="B339" s="68">
        <v>3543.0</v>
      </c>
      <c r="C339" s="68">
        <v>335.0</v>
      </c>
      <c r="D339" s="71"/>
      <c r="E339" s="68" t="s">
        <v>1589</v>
      </c>
      <c r="F339" s="83">
        <v>40540.0</v>
      </c>
      <c r="G339" s="68" t="s">
        <v>1590</v>
      </c>
      <c r="H339" s="71"/>
      <c r="I339" s="63" t="s">
        <v>1591</v>
      </c>
      <c r="J339" s="68" t="s">
        <v>1592</v>
      </c>
      <c r="K339" s="71"/>
      <c r="L339" s="71"/>
      <c r="M339" s="71"/>
      <c r="N339" s="61"/>
      <c r="O339" s="51"/>
    </row>
    <row r="340">
      <c r="A340" s="56">
        <v>337.0</v>
      </c>
      <c r="B340" s="57">
        <v>3544.0</v>
      </c>
      <c r="C340" s="58">
        <v>336.0</v>
      </c>
      <c r="D340" s="60"/>
      <c r="E340" s="57" t="s">
        <v>1593</v>
      </c>
      <c r="F340" s="78">
        <v>40540.0</v>
      </c>
      <c r="G340" s="57" t="s">
        <v>1590</v>
      </c>
      <c r="H340" s="60"/>
      <c r="I340" s="63" t="s">
        <v>635</v>
      </c>
      <c r="J340" s="57" t="s">
        <v>1594</v>
      </c>
      <c r="K340" s="60"/>
      <c r="L340" s="60"/>
      <c r="M340" s="60"/>
      <c r="N340" s="61"/>
      <c r="O340" s="51"/>
    </row>
    <row r="341">
      <c r="A341" s="56">
        <v>338.0</v>
      </c>
      <c r="B341" s="63">
        <v>3545.0</v>
      </c>
      <c r="C341" s="64" t="s">
        <v>1595</v>
      </c>
      <c r="D341" s="63" t="s">
        <v>1596</v>
      </c>
      <c r="E341" s="63" t="s">
        <v>1597</v>
      </c>
      <c r="F341" s="70">
        <v>39844.0</v>
      </c>
      <c r="G341" s="63" t="s">
        <v>1598</v>
      </c>
      <c r="H341" s="66"/>
      <c r="I341" s="63" t="s">
        <v>1599</v>
      </c>
      <c r="J341" s="63" t="s">
        <v>985</v>
      </c>
      <c r="K341" s="66"/>
      <c r="L341" s="66"/>
      <c r="M341" s="63" t="s">
        <v>166</v>
      </c>
      <c r="N341" s="61"/>
      <c r="O341" s="51"/>
    </row>
    <row r="342">
      <c r="A342" s="56">
        <v>339.0</v>
      </c>
      <c r="B342" s="63">
        <v>3546.0</v>
      </c>
      <c r="C342" s="64" t="s">
        <v>1600</v>
      </c>
      <c r="D342" s="66"/>
      <c r="E342" s="63" t="s">
        <v>1601</v>
      </c>
      <c r="F342" s="70">
        <v>40272.0</v>
      </c>
      <c r="G342" s="63" t="s">
        <v>1602</v>
      </c>
      <c r="H342" s="63" t="s">
        <v>1603</v>
      </c>
      <c r="I342" s="63" t="s">
        <v>1604</v>
      </c>
      <c r="J342" s="63" t="s">
        <v>1605</v>
      </c>
      <c r="K342" s="66"/>
      <c r="L342" s="63" t="s">
        <v>1606</v>
      </c>
      <c r="M342" s="63" t="s">
        <v>125</v>
      </c>
      <c r="N342" s="61"/>
      <c r="O342" s="51"/>
    </row>
    <row r="343">
      <c r="A343" s="56">
        <v>340.0</v>
      </c>
      <c r="B343" s="66"/>
      <c r="C343" s="64" t="s">
        <v>1607</v>
      </c>
      <c r="D343" s="66"/>
      <c r="E343" s="80" t="s">
        <v>1608</v>
      </c>
      <c r="F343" s="81">
        <v>42491.0</v>
      </c>
      <c r="G343" s="80" t="s">
        <v>1609</v>
      </c>
      <c r="H343" s="82"/>
      <c r="I343" s="66"/>
      <c r="J343" s="63" t="s">
        <v>136</v>
      </c>
      <c r="K343" s="66"/>
      <c r="L343" s="63" t="s">
        <v>1610</v>
      </c>
      <c r="M343" s="63" t="s">
        <v>542</v>
      </c>
      <c r="N343" s="61"/>
      <c r="O343" s="51"/>
    </row>
    <row r="344">
      <c r="A344" s="56">
        <v>341.0</v>
      </c>
      <c r="B344" s="57">
        <v>3548.0</v>
      </c>
      <c r="C344" s="58">
        <v>340.0</v>
      </c>
      <c r="D344" s="60"/>
      <c r="E344" s="57" t="s">
        <v>1611</v>
      </c>
      <c r="F344" s="59">
        <v>40644.0</v>
      </c>
      <c r="G344" s="57" t="s">
        <v>1612</v>
      </c>
      <c r="H344" s="60"/>
      <c r="I344" s="99" t="s">
        <v>1613</v>
      </c>
      <c r="J344" s="57" t="s">
        <v>1614</v>
      </c>
      <c r="K344" s="60"/>
      <c r="L344" s="60"/>
      <c r="M344" s="60"/>
      <c r="N344" s="61"/>
      <c r="O344" s="51"/>
    </row>
    <row r="345">
      <c r="A345" s="56">
        <v>342.0</v>
      </c>
      <c r="B345" s="57">
        <v>3549.0</v>
      </c>
      <c r="C345" s="58">
        <v>341.0</v>
      </c>
      <c r="D345" s="60"/>
      <c r="E345" s="57" t="s">
        <v>1615</v>
      </c>
      <c r="F345" s="59">
        <v>40644.0</v>
      </c>
      <c r="G345" s="57" t="s">
        <v>1616</v>
      </c>
      <c r="H345" s="60"/>
      <c r="I345" s="99" t="s">
        <v>1613</v>
      </c>
      <c r="J345" s="57" t="s">
        <v>1614</v>
      </c>
      <c r="K345" s="60"/>
      <c r="L345" s="60"/>
      <c r="M345" s="60"/>
      <c r="N345" s="61"/>
      <c r="O345" s="51"/>
    </row>
    <row r="346">
      <c r="A346" s="56">
        <v>343.0</v>
      </c>
      <c r="B346" s="57">
        <v>3550.0</v>
      </c>
      <c r="C346" s="58">
        <v>342.0</v>
      </c>
      <c r="D346" s="60"/>
      <c r="E346" s="57" t="s">
        <v>1617</v>
      </c>
      <c r="F346" s="59">
        <v>40644.0</v>
      </c>
      <c r="G346" s="57" t="s">
        <v>1618</v>
      </c>
      <c r="H346" s="60"/>
      <c r="I346" s="99" t="s">
        <v>1613</v>
      </c>
      <c r="J346" s="57" t="s">
        <v>1614</v>
      </c>
      <c r="K346" s="60"/>
      <c r="L346" s="60"/>
      <c r="M346" s="60"/>
      <c r="N346" s="61"/>
      <c r="O346" s="51"/>
    </row>
    <row r="347">
      <c r="A347" s="56">
        <v>344.0</v>
      </c>
      <c r="B347" s="57">
        <v>3551.0</v>
      </c>
      <c r="C347" s="58">
        <v>343.0</v>
      </c>
      <c r="D347" s="60"/>
      <c r="E347" s="57" t="s">
        <v>1619</v>
      </c>
      <c r="F347" s="59">
        <v>40644.0</v>
      </c>
      <c r="G347" s="57" t="s">
        <v>1620</v>
      </c>
      <c r="H347" s="60"/>
      <c r="I347" s="99" t="s">
        <v>1613</v>
      </c>
      <c r="J347" s="57" t="s">
        <v>1614</v>
      </c>
      <c r="K347" s="60"/>
      <c r="L347" s="60"/>
      <c r="M347" s="60"/>
      <c r="N347" s="61"/>
      <c r="O347" s="51"/>
    </row>
    <row r="348">
      <c r="A348" s="56">
        <v>345.0</v>
      </c>
      <c r="B348" s="57">
        <v>3552.0</v>
      </c>
      <c r="C348" s="58">
        <v>344.0</v>
      </c>
      <c r="D348" s="60"/>
      <c r="E348" s="57" t="s">
        <v>1621</v>
      </c>
      <c r="F348" s="78">
        <v>40105.0</v>
      </c>
      <c r="G348" s="57" t="s">
        <v>1622</v>
      </c>
      <c r="H348" s="60"/>
      <c r="I348" s="57" t="s">
        <v>1623</v>
      </c>
      <c r="J348" s="57" t="s">
        <v>1624</v>
      </c>
      <c r="K348" s="60"/>
      <c r="L348" s="60"/>
      <c r="M348" s="60"/>
      <c r="N348" s="61"/>
      <c r="O348" s="51"/>
    </row>
    <row r="349">
      <c r="A349" s="56">
        <v>346.0</v>
      </c>
      <c r="B349" s="68">
        <v>3553.0</v>
      </c>
      <c r="C349" s="69">
        <v>345.0</v>
      </c>
      <c r="D349" s="71"/>
      <c r="E349" s="68" t="s">
        <v>1625</v>
      </c>
      <c r="F349" s="76">
        <v>40346.0</v>
      </c>
      <c r="G349" s="68" t="s">
        <v>1626</v>
      </c>
      <c r="H349" s="71"/>
      <c r="I349" s="63" t="s">
        <v>1627</v>
      </c>
      <c r="J349" s="68" t="s">
        <v>1628</v>
      </c>
      <c r="K349" s="71"/>
      <c r="L349" s="71"/>
      <c r="M349" s="71"/>
      <c r="N349" s="61"/>
      <c r="O349" s="51"/>
    </row>
    <row r="350">
      <c r="A350" s="56">
        <v>347.0</v>
      </c>
      <c r="B350" s="68">
        <v>3554.0</v>
      </c>
      <c r="C350" s="102">
        <v>346.0</v>
      </c>
      <c r="D350" s="71"/>
      <c r="E350" s="68" t="s">
        <v>1629</v>
      </c>
      <c r="F350" s="76">
        <v>40355.0</v>
      </c>
      <c r="G350" s="68" t="s">
        <v>1630</v>
      </c>
      <c r="H350" s="71"/>
      <c r="I350" s="63" t="s">
        <v>1631</v>
      </c>
      <c r="J350" s="68" t="s">
        <v>252</v>
      </c>
      <c r="K350" s="71"/>
      <c r="L350" s="71"/>
      <c r="M350" s="103"/>
      <c r="N350" s="61"/>
      <c r="O350" s="51"/>
    </row>
    <row r="351">
      <c r="A351" s="56">
        <v>348.0</v>
      </c>
      <c r="B351" s="68">
        <v>3555.0</v>
      </c>
      <c r="C351" s="69">
        <v>347.0</v>
      </c>
      <c r="D351" s="71"/>
      <c r="E351" s="68" t="s">
        <v>1632</v>
      </c>
      <c r="F351" s="76">
        <v>40655.0</v>
      </c>
      <c r="G351" s="68" t="s">
        <v>1633</v>
      </c>
      <c r="H351" s="71"/>
      <c r="I351" s="68" t="s">
        <v>1634</v>
      </c>
      <c r="J351" s="68" t="s">
        <v>1635</v>
      </c>
      <c r="K351" s="71"/>
      <c r="L351" s="71"/>
      <c r="M351" s="71"/>
      <c r="N351" s="61"/>
      <c r="O351" s="51"/>
    </row>
    <row r="352">
      <c r="A352" s="56">
        <v>349.0</v>
      </c>
      <c r="B352" s="68">
        <v>3556.0</v>
      </c>
      <c r="C352" s="69">
        <v>348.0</v>
      </c>
      <c r="D352" s="71"/>
      <c r="E352" s="68" t="s">
        <v>1636</v>
      </c>
      <c r="F352" s="76">
        <v>40083.0</v>
      </c>
      <c r="G352" s="68" t="s">
        <v>1637</v>
      </c>
      <c r="H352" s="71"/>
      <c r="I352" s="68" t="s">
        <v>1638</v>
      </c>
      <c r="J352" s="68" t="s">
        <v>252</v>
      </c>
      <c r="K352" s="71"/>
      <c r="L352" s="71"/>
      <c r="M352" s="68" t="s">
        <v>137</v>
      </c>
      <c r="N352" s="61"/>
      <c r="O352" s="51"/>
    </row>
    <row r="353">
      <c r="A353" s="56">
        <v>350.0</v>
      </c>
      <c r="B353" s="68">
        <v>3557.0</v>
      </c>
      <c r="C353" s="69" t="s">
        <v>1639</v>
      </c>
      <c r="D353" s="71"/>
      <c r="E353" s="68" t="s">
        <v>1640</v>
      </c>
      <c r="F353" s="76">
        <v>40671.0</v>
      </c>
      <c r="G353" s="68" t="s">
        <v>1641</v>
      </c>
      <c r="H353" s="71"/>
      <c r="I353" s="68" t="s">
        <v>1642</v>
      </c>
      <c r="J353" s="68" t="s">
        <v>1643</v>
      </c>
      <c r="K353" s="71"/>
      <c r="L353" s="71"/>
      <c r="M353" s="71"/>
      <c r="N353" s="77"/>
      <c r="O353" s="51"/>
    </row>
    <row r="354">
      <c r="A354" s="56">
        <v>351.0</v>
      </c>
      <c r="B354" s="57">
        <v>3559.0</v>
      </c>
      <c r="C354" s="58">
        <v>351.0</v>
      </c>
      <c r="D354" s="57" t="s">
        <v>1644</v>
      </c>
      <c r="E354" s="57" t="s">
        <v>1645</v>
      </c>
      <c r="F354" s="59">
        <v>40725.0</v>
      </c>
      <c r="G354" s="57" t="s">
        <v>1646</v>
      </c>
      <c r="H354" s="60"/>
      <c r="I354" s="63" t="s">
        <v>1647</v>
      </c>
      <c r="J354" s="57" t="s">
        <v>1648</v>
      </c>
      <c r="K354" s="60"/>
      <c r="L354" s="60"/>
      <c r="M354" s="60"/>
      <c r="N354" s="61"/>
      <c r="O354" s="51"/>
    </row>
    <row r="355">
      <c r="A355" s="56">
        <v>352.0</v>
      </c>
      <c r="B355" s="57">
        <v>3560.0</v>
      </c>
      <c r="C355" s="58">
        <v>352.0</v>
      </c>
      <c r="D355" s="60"/>
      <c r="E355" s="57" t="s">
        <v>1649</v>
      </c>
      <c r="F355" s="59">
        <v>40710.0</v>
      </c>
      <c r="G355" s="57" t="s">
        <v>1650</v>
      </c>
      <c r="H355" s="60"/>
      <c r="I355" s="57" t="s">
        <v>1651</v>
      </c>
      <c r="J355" s="57" t="s">
        <v>1652</v>
      </c>
      <c r="K355" s="60"/>
      <c r="L355" s="60"/>
      <c r="M355" s="60"/>
      <c r="N355" s="61"/>
      <c r="O355" s="51"/>
    </row>
    <row r="356">
      <c r="A356" s="56">
        <v>353.0</v>
      </c>
      <c r="B356" s="63">
        <v>3561.0</v>
      </c>
      <c r="C356" s="64" t="s">
        <v>1653</v>
      </c>
      <c r="D356" s="66"/>
      <c r="E356" s="63" t="s">
        <v>1654</v>
      </c>
      <c r="F356" s="70">
        <v>40012.0</v>
      </c>
      <c r="G356" s="63" t="s">
        <v>1655</v>
      </c>
      <c r="H356" s="66"/>
      <c r="I356" s="63" t="s">
        <v>1656</v>
      </c>
      <c r="J356" s="63" t="s">
        <v>1495</v>
      </c>
      <c r="K356" s="66"/>
      <c r="L356" s="66"/>
      <c r="M356" s="66"/>
      <c r="N356" s="61"/>
      <c r="O356" s="51"/>
    </row>
    <row r="357">
      <c r="A357" s="56">
        <v>354.0</v>
      </c>
      <c r="B357" s="57">
        <v>3562.0</v>
      </c>
      <c r="C357" s="58">
        <v>354.0</v>
      </c>
      <c r="D357" s="60"/>
      <c r="E357" s="57" t="s">
        <v>1657</v>
      </c>
      <c r="F357" s="59">
        <v>40521.0</v>
      </c>
      <c r="G357" s="57" t="s">
        <v>1658</v>
      </c>
      <c r="H357" s="60"/>
      <c r="I357" s="63" t="s">
        <v>635</v>
      </c>
      <c r="J357" s="57" t="s">
        <v>1659</v>
      </c>
      <c r="K357" s="60"/>
      <c r="L357" s="60"/>
      <c r="M357" s="60"/>
      <c r="N357" s="61"/>
      <c r="O357" s="51"/>
    </row>
    <row r="358">
      <c r="A358" s="56">
        <v>355.0</v>
      </c>
      <c r="B358" s="68">
        <v>3563.0</v>
      </c>
      <c r="C358" s="69">
        <v>355.0</v>
      </c>
      <c r="D358" s="68" t="s">
        <v>1660</v>
      </c>
      <c r="E358" s="68" t="s">
        <v>1661</v>
      </c>
      <c r="F358" s="76">
        <v>40408.0</v>
      </c>
      <c r="G358" s="68" t="s">
        <v>1662</v>
      </c>
      <c r="H358" s="71"/>
      <c r="I358" s="63" t="s">
        <v>1663</v>
      </c>
      <c r="J358" s="68" t="s">
        <v>148</v>
      </c>
      <c r="K358" s="71"/>
      <c r="L358" s="71"/>
      <c r="M358" s="68" t="s">
        <v>1664</v>
      </c>
      <c r="N358" s="61"/>
      <c r="O358" s="51"/>
    </row>
    <row r="359">
      <c r="A359" s="56">
        <v>356.0</v>
      </c>
      <c r="B359" s="68">
        <v>3564.0</v>
      </c>
      <c r="C359" s="69">
        <v>356.0</v>
      </c>
      <c r="D359" s="71"/>
      <c r="E359" s="68" t="s">
        <v>1665</v>
      </c>
      <c r="F359" s="76">
        <v>38934.0</v>
      </c>
      <c r="G359" s="68" t="s">
        <v>1666</v>
      </c>
      <c r="H359" s="71"/>
      <c r="I359" s="68" t="s">
        <v>1667</v>
      </c>
      <c r="J359" s="68" t="s">
        <v>1668</v>
      </c>
      <c r="K359" s="71"/>
      <c r="L359" s="71"/>
      <c r="M359" s="71"/>
      <c r="N359" s="61"/>
      <c r="O359" s="51"/>
    </row>
    <row r="360">
      <c r="A360" s="56">
        <v>357.0</v>
      </c>
      <c r="B360" s="57">
        <v>3565.0</v>
      </c>
      <c r="C360" s="58">
        <v>357.0</v>
      </c>
      <c r="D360" s="60"/>
      <c r="E360" s="57" t="s">
        <v>1669</v>
      </c>
      <c r="F360" s="78">
        <v>40466.0</v>
      </c>
      <c r="G360" s="57" t="s">
        <v>1670</v>
      </c>
      <c r="H360" s="60"/>
      <c r="I360" s="57" t="s">
        <v>1671</v>
      </c>
      <c r="J360" s="57" t="s">
        <v>1672</v>
      </c>
      <c r="K360" s="60"/>
      <c r="L360" s="60"/>
      <c r="M360" s="60"/>
      <c r="N360" s="61"/>
      <c r="O360" s="51"/>
    </row>
    <row r="361">
      <c r="A361" s="56">
        <v>358.0</v>
      </c>
      <c r="B361" s="57">
        <v>3566.0</v>
      </c>
      <c r="C361" s="58">
        <v>358.0</v>
      </c>
      <c r="D361" s="60"/>
      <c r="E361" s="57" t="s">
        <v>1673</v>
      </c>
      <c r="F361" s="78">
        <v>40466.0</v>
      </c>
      <c r="G361" s="57" t="s">
        <v>1674</v>
      </c>
      <c r="H361" s="60"/>
      <c r="I361" s="57" t="s">
        <v>1671</v>
      </c>
      <c r="J361" s="57" t="s">
        <v>1672</v>
      </c>
      <c r="K361" s="60"/>
      <c r="L361" s="60"/>
      <c r="M361" s="60"/>
      <c r="N361" s="61"/>
      <c r="O361" s="51"/>
    </row>
    <row r="362">
      <c r="A362" s="56">
        <v>359.0</v>
      </c>
      <c r="B362" s="57">
        <v>3567.0</v>
      </c>
      <c r="C362" s="58">
        <v>359.0</v>
      </c>
      <c r="D362" s="60"/>
      <c r="E362" s="57" t="s">
        <v>1675</v>
      </c>
      <c r="F362" s="59">
        <v>40680.0</v>
      </c>
      <c r="G362" s="57" t="s">
        <v>1676</v>
      </c>
      <c r="H362" s="60"/>
      <c r="I362" s="57" t="s">
        <v>1677</v>
      </c>
      <c r="J362" s="57" t="s">
        <v>1678</v>
      </c>
      <c r="K362" s="60"/>
      <c r="L362" s="60"/>
      <c r="M362" s="60"/>
      <c r="N362" s="61"/>
      <c r="O362" s="51"/>
    </row>
    <row r="363">
      <c r="A363" s="56">
        <v>360.0</v>
      </c>
      <c r="B363" s="57">
        <v>3568.0</v>
      </c>
      <c r="C363" s="58">
        <v>360.0</v>
      </c>
      <c r="D363" s="57" t="s">
        <v>1679</v>
      </c>
      <c r="E363" s="57" t="s">
        <v>1680</v>
      </c>
      <c r="F363" s="59">
        <v>40311.0</v>
      </c>
      <c r="G363" s="57" t="s">
        <v>1681</v>
      </c>
      <c r="H363" s="60"/>
      <c r="I363" s="63" t="s">
        <v>1682</v>
      </c>
      <c r="J363" s="57" t="s">
        <v>1683</v>
      </c>
      <c r="K363" s="60"/>
      <c r="L363" s="60"/>
      <c r="M363" s="60"/>
      <c r="N363" s="61"/>
      <c r="O363" s="51"/>
    </row>
    <row r="364">
      <c r="A364" s="56">
        <v>361.0</v>
      </c>
      <c r="B364" s="63">
        <v>3569.0</v>
      </c>
      <c r="C364" s="64" t="s">
        <v>1684</v>
      </c>
      <c r="D364" s="66"/>
      <c r="E364" s="63" t="s">
        <v>1685</v>
      </c>
      <c r="F364" s="70">
        <v>40032.0</v>
      </c>
      <c r="G364" s="63" t="s">
        <v>1686</v>
      </c>
      <c r="H364" s="66"/>
      <c r="I364" s="63" t="s">
        <v>1687</v>
      </c>
      <c r="J364" s="63" t="s">
        <v>136</v>
      </c>
      <c r="K364" s="66"/>
      <c r="L364" s="66"/>
      <c r="M364" s="63" t="s">
        <v>1182</v>
      </c>
      <c r="N364" s="61"/>
      <c r="O364" s="51"/>
    </row>
    <row r="365">
      <c r="A365" s="56">
        <v>362.0</v>
      </c>
      <c r="B365" s="57">
        <v>3570.0</v>
      </c>
      <c r="C365" s="58">
        <v>362.0</v>
      </c>
      <c r="D365" s="60"/>
      <c r="E365" s="57" t="s">
        <v>1688</v>
      </c>
      <c r="F365" s="59">
        <v>39992.0</v>
      </c>
      <c r="G365" s="57" t="s">
        <v>1689</v>
      </c>
      <c r="H365" s="60"/>
      <c r="I365" s="63" t="s">
        <v>635</v>
      </c>
      <c r="J365" s="57" t="s">
        <v>1690</v>
      </c>
      <c r="K365" s="60"/>
      <c r="L365" s="60"/>
      <c r="M365" s="60"/>
      <c r="N365" s="61"/>
      <c r="O365" s="51"/>
    </row>
    <row r="366">
      <c r="A366" s="56">
        <v>363.0</v>
      </c>
      <c r="B366" s="68">
        <v>3571.0</v>
      </c>
      <c r="C366" s="69">
        <v>363.0</v>
      </c>
      <c r="D366" s="71"/>
      <c r="E366" s="68" t="s">
        <v>1691</v>
      </c>
      <c r="F366" s="76">
        <v>34140.0</v>
      </c>
      <c r="G366" s="68" t="s">
        <v>1692</v>
      </c>
      <c r="H366" s="71"/>
      <c r="I366" s="68" t="s">
        <v>1693</v>
      </c>
      <c r="J366" s="68" t="s">
        <v>1694</v>
      </c>
      <c r="K366" s="71"/>
      <c r="L366" s="71"/>
      <c r="M366" s="71"/>
      <c r="N366" s="61"/>
      <c r="O366" s="51"/>
    </row>
    <row r="367">
      <c r="A367" s="56">
        <v>364.0</v>
      </c>
      <c r="B367" s="63">
        <v>3572.0</v>
      </c>
      <c r="C367" s="64" t="s">
        <v>1695</v>
      </c>
      <c r="D367" s="66"/>
      <c r="E367" s="63" t="s">
        <v>1696</v>
      </c>
      <c r="F367" s="70">
        <v>39966.0</v>
      </c>
      <c r="G367" s="80" t="s">
        <v>1697</v>
      </c>
      <c r="H367" s="82"/>
      <c r="I367" s="91" t="s">
        <v>1698</v>
      </c>
      <c r="J367" s="63" t="s">
        <v>136</v>
      </c>
      <c r="K367" s="66"/>
      <c r="L367" s="66"/>
      <c r="M367" s="63" t="s">
        <v>530</v>
      </c>
      <c r="N367" s="61"/>
      <c r="O367" s="51"/>
    </row>
    <row r="368">
      <c r="A368" s="56">
        <v>365.0</v>
      </c>
      <c r="B368" s="63">
        <v>3573.0</v>
      </c>
      <c r="C368" s="64" t="s">
        <v>1699</v>
      </c>
      <c r="D368" s="63" t="s">
        <v>1700</v>
      </c>
      <c r="E368" s="63" t="s">
        <v>1701</v>
      </c>
      <c r="F368" s="70">
        <v>39966.0</v>
      </c>
      <c r="G368" s="80" t="s">
        <v>1697</v>
      </c>
      <c r="H368" s="82"/>
      <c r="I368" s="63" t="s">
        <v>1702</v>
      </c>
      <c r="J368" s="63" t="s">
        <v>136</v>
      </c>
      <c r="K368" s="66"/>
      <c r="L368" s="66"/>
      <c r="M368" s="63" t="s">
        <v>530</v>
      </c>
      <c r="N368" s="61"/>
      <c r="O368" s="51"/>
    </row>
    <row r="369">
      <c r="A369" s="56">
        <v>366.0</v>
      </c>
      <c r="B369" s="57">
        <v>3574.0</v>
      </c>
      <c r="C369" s="58">
        <v>366.0</v>
      </c>
      <c r="D369" s="60"/>
      <c r="E369" s="57" t="s">
        <v>1703</v>
      </c>
      <c r="F369" s="78">
        <v>40543.0</v>
      </c>
      <c r="G369" s="57" t="s">
        <v>1704</v>
      </c>
      <c r="H369" s="60"/>
      <c r="I369" s="63" t="s">
        <v>1705</v>
      </c>
      <c r="J369" s="57" t="s">
        <v>1706</v>
      </c>
      <c r="K369" s="60"/>
      <c r="L369" s="60"/>
      <c r="M369" s="60"/>
      <c r="N369" s="61"/>
      <c r="O369" s="51"/>
    </row>
    <row r="370">
      <c r="A370" s="56">
        <v>367.0</v>
      </c>
      <c r="B370" s="68">
        <v>3575.0</v>
      </c>
      <c r="C370" s="69">
        <v>367.0</v>
      </c>
      <c r="D370" s="71"/>
      <c r="E370" s="57" t="s">
        <v>1707</v>
      </c>
      <c r="F370" s="57" t="s">
        <v>407</v>
      </c>
      <c r="G370" s="57" t="s">
        <v>1708</v>
      </c>
      <c r="H370" s="60"/>
      <c r="I370" s="63" t="s">
        <v>1709</v>
      </c>
      <c r="J370" s="68" t="s">
        <v>1710</v>
      </c>
      <c r="K370" s="71"/>
      <c r="L370" s="71"/>
      <c r="M370" s="68" t="s">
        <v>1711</v>
      </c>
      <c r="N370" s="61"/>
      <c r="O370" s="51"/>
    </row>
    <row r="371">
      <c r="A371" s="56">
        <v>368.0</v>
      </c>
      <c r="B371" s="57">
        <v>3576.0</v>
      </c>
      <c r="C371" s="58">
        <v>368.0</v>
      </c>
      <c r="D371" s="60"/>
      <c r="E371" s="57" t="s">
        <v>1712</v>
      </c>
      <c r="F371" s="59">
        <v>40007.0</v>
      </c>
      <c r="G371" s="57" t="s">
        <v>1713</v>
      </c>
      <c r="H371" s="60"/>
      <c r="I371" s="99" t="s">
        <v>1714</v>
      </c>
      <c r="J371" s="57" t="s">
        <v>148</v>
      </c>
      <c r="K371" s="60"/>
      <c r="L371" s="60"/>
      <c r="M371" s="60"/>
      <c r="N371" s="61"/>
      <c r="O371" s="51"/>
    </row>
    <row r="372">
      <c r="A372" s="56">
        <v>369.0</v>
      </c>
      <c r="B372" s="57">
        <v>3577.0</v>
      </c>
      <c r="C372" s="58">
        <v>369.0</v>
      </c>
      <c r="D372" s="60"/>
      <c r="E372" s="57" t="s">
        <v>1715</v>
      </c>
      <c r="F372" s="59">
        <v>40007.0</v>
      </c>
      <c r="G372" s="57" t="s">
        <v>1713</v>
      </c>
      <c r="H372" s="60"/>
      <c r="I372" s="99" t="s">
        <v>1714</v>
      </c>
      <c r="J372" s="57" t="s">
        <v>148</v>
      </c>
      <c r="K372" s="60"/>
      <c r="L372" s="60"/>
      <c r="M372" s="60"/>
      <c r="N372" s="61"/>
      <c r="O372" s="51"/>
    </row>
    <row r="373">
      <c r="A373" s="56">
        <v>370.0</v>
      </c>
      <c r="B373" s="57">
        <v>3578.0</v>
      </c>
      <c r="C373" s="58">
        <v>370.0</v>
      </c>
      <c r="D373" s="60"/>
      <c r="E373" s="57" t="s">
        <v>1716</v>
      </c>
      <c r="F373" s="59">
        <v>40653.0</v>
      </c>
      <c r="G373" s="57" t="s">
        <v>1717</v>
      </c>
      <c r="H373" s="60"/>
      <c r="I373" s="63" t="s">
        <v>1718</v>
      </c>
      <c r="J373" s="57" t="s">
        <v>1719</v>
      </c>
      <c r="K373" s="60"/>
      <c r="L373" s="60"/>
      <c r="M373" s="60"/>
      <c r="N373" s="61"/>
      <c r="O373" s="51"/>
    </row>
    <row r="374">
      <c r="A374" s="56">
        <v>371.0</v>
      </c>
      <c r="B374" s="57">
        <v>3579.0</v>
      </c>
      <c r="C374" s="58">
        <v>371.0</v>
      </c>
      <c r="D374" s="60"/>
      <c r="E374" s="57" t="s">
        <v>1720</v>
      </c>
      <c r="F374" s="59">
        <v>39995.0</v>
      </c>
      <c r="G374" s="57" t="s">
        <v>1721</v>
      </c>
      <c r="H374" s="60"/>
      <c r="I374" s="63" t="s">
        <v>1722</v>
      </c>
      <c r="J374" s="57" t="s">
        <v>1723</v>
      </c>
      <c r="K374" s="60"/>
      <c r="L374" s="60"/>
      <c r="M374" s="60"/>
      <c r="N374" s="61"/>
      <c r="O374" s="51"/>
    </row>
    <row r="375">
      <c r="A375" s="56">
        <v>372.0</v>
      </c>
      <c r="B375" s="57">
        <v>3580.0</v>
      </c>
      <c r="C375" s="58">
        <v>372.0</v>
      </c>
      <c r="D375" s="60"/>
      <c r="E375" s="57" t="s">
        <v>1724</v>
      </c>
      <c r="F375" s="59">
        <v>40644.0</v>
      </c>
      <c r="G375" s="57" t="s">
        <v>1725</v>
      </c>
      <c r="H375" s="60"/>
      <c r="I375" s="57" t="s">
        <v>1726</v>
      </c>
      <c r="J375" s="57" t="s">
        <v>148</v>
      </c>
      <c r="K375" s="60"/>
      <c r="L375" s="60"/>
      <c r="M375" s="60"/>
      <c r="N375" s="61"/>
      <c r="O375" s="51"/>
    </row>
    <row r="376">
      <c r="A376" s="56">
        <v>373.0</v>
      </c>
      <c r="B376" s="57">
        <v>3581.0</v>
      </c>
      <c r="C376" s="58">
        <v>373.0</v>
      </c>
      <c r="D376" s="60"/>
      <c r="E376" s="57" t="s">
        <v>1727</v>
      </c>
      <c r="F376" s="59">
        <v>40710.0</v>
      </c>
      <c r="G376" s="57" t="s">
        <v>1728</v>
      </c>
      <c r="H376" s="60"/>
      <c r="I376" s="63" t="s">
        <v>1729</v>
      </c>
      <c r="J376" s="57" t="s">
        <v>1730</v>
      </c>
      <c r="K376" s="60"/>
      <c r="L376" s="60"/>
      <c r="M376" s="60"/>
      <c r="N376" s="61"/>
      <c r="O376" s="51"/>
    </row>
    <row r="377">
      <c r="A377" s="56">
        <v>374.0</v>
      </c>
      <c r="B377" s="57">
        <v>3582.0</v>
      </c>
      <c r="C377" s="58">
        <v>374.0</v>
      </c>
      <c r="D377" s="89" t="s">
        <v>1731</v>
      </c>
      <c r="E377" s="57" t="s">
        <v>1732</v>
      </c>
      <c r="F377" s="59">
        <v>40045.0</v>
      </c>
      <c r="G377" s="57" t="s">
        <v>1733</v>
      </c>
      <c r="H377" s="60"/>
      <c r="I377" s="57" t="s">
        <v>1734</v>
      </c>
      <c r="J377" s="57" t="s">
        <v>252</v>
      </c>
      <c r="K377" s="60"/>
      <c r="L377" s="60"/>
      <c r="M377" s="104"/>
      <c r="N377" s="105"/>
      <c r="O377" s="51"/>
    </row>
    <row r="378">
      <c r="A378" s="56">
        <v>375.0</v>
      </c>
      <c r="B378" s="57">
        <v>3583.0</v>
      </c>
      <c r="C378" s="58">
        <v>375.0</v>
      </c>
      <c r="D378" s="60"/>
      <c r="E378" s="57" t="s">
        <v>1735</v>
      </c>
      <c r="F378" s="59">
        <v>40410.0</v>
      </c>
      <c r="G378" s="57" t="s">
        <v>1736</v>
      </c>
      <c r="H378" s="60"/>
      <c r="I378" s="57" t="s">
        <v>1734</v>
      </c>
      <c r="J378" s="57" t="s">
        <v>252</v>
      </c>
      <c r="K378" s="60"/>
      <c r="L378" s="60"/>
      <c r="M378" s="106"/>
      <c r="N378" s="61"/>
      <c r="O378" s="51"/>
    </row>
    <row r="379">
      <c r="A379" s="56">
        <v>376.0</v>
      </c>
      <c r="B379" s="57">
        <v>3584.0</v>
      </c>
      <c r="C379" s="58">
        <v>376.0</v>
      </c>
      <c r="D379" s="60"/>
      <c r="E379" s="57" t="s">
        <v>1737</v>
      </c>
      <c r="F379" s="59">
        <v>40714.0</v>
      </c>
      <c r="G379" s="57" t="s">
        <v>1738</v>
      </c>
      <c r="H379" s="60"/>
      <c r="I379" s="60"/>
      <c r="J379" s="57" t="s">
        <v>252</v>
      </c>
      <c r="K379" s="60"/>
      <c r="L379" s="60"/>
      <c r="M379" s="60"/>
      <c r="N379" s="61"/>
      <c r="O379" s="51"/>
    </row>
    <row r="380">
      <c r="A380" s="56">
        <v>377.0</v>
      </c>
      <c r="B380" s="57">
        <v>3585.0</v>
      </c>
      <c r="C380" s="58">
        <v>377.0</v>
      </c>
      <c r="D380" s="60"/>
      <c r="E380" s="57" t="s">
        <v>1739</v>
      </c>
      <c r="F380" s="59">
        <v>40714.0</v>
      </c>
      <c r="G380" s="57" t="s">
        <v>1738</v>
      </c>
      <c r="H380" s="60"/>
      <c r="I380" s="60"/>
      <c r="J380" s="57" t="s">
        <v>1740</v>
      </c>
      <c r="K380" s="60"/>
      <c r="L380" s="60"/>
      <c r="M380" s="60"/>
      <c r="N380" s="61"/>
      <c r="O380" s="51"/>
    </row>
    <row r="381">
      <c r="A381" s="56">
        <v>378.0</v>
      </c>
      <c r="B381" s="68">
        <v>3586.0</v>
      </c>
      <c r="C381" s="69" t="s">
        <v>1741</v>
      </c>
      <c r="D381" s="68" t="s">
        <v>1742</v>
      </c>
      <c r="E381" s="68" t="s">
        <v>1743</v>
      </c>
      <c r="F381" s="76">
        <v>40220.0</v>
      </c>
      <c r="G381" s="68" t="s">
        <v>1744</v>
      </c>
      <c r="H381" s="71"/>
      <c r="I381" s="71"/>
      <c r="J381" s="68" t="s">
        <v>1745</v>
      </c>
      <c r="K381" s="71"/>
      <c r="L381" s="71"/>
      <c r="M381" s="71"/>
      <c r="N381" s="77"/>
      <c r="O381" s="51"/>
    </row>
    <row r="382">
      <c r="A382" s="56">
        <v>379.0</v>
      </c>
      <c r="B382" s="57">
        <v>3587.0</v>
      </c>
      <c r="C382" s="58">
        <v>379.0</v>
      </c>
      <c r="D382" s="60"/>
      <c r="E382" s="57" t="s">
        <v>1746</v>
      </c>
      <c r="F382" s="59">
        <v>40722.0</v>
      </c>
      <c r="G382" s="57" t="s">
        <v>1747</v>
      </c>
      <c r="H382" s="60"/>
      <c r="I382" s="60"/>
      <c r="J382" s="57" t="s">
        <v>1748</v>
      </c>
      <c r="K382" s="60"/>
      <c r="L382" s="60"/>
      <c r="M382" s="60"/>
      <c r="N382" s="61"/>
      <c r="O382" s="51"/>
    </row>
    <row r="383">
      <c r="A383" s="56">
        <v>380.0</v>
      </c>
      <c r="B383" s="57">
        <v>3588.0</v>
      </c>
      <c r="C383" s="58">
        <v>380.0</v>
      </c>
      <c r="D383" s="60"/>
      <c r="E383" s="57" t="s">
        <v>1749</v>
      </c>
      <c r="F383" s="59">
        <v>40087.0</v>
      </c>
      <c r="G383" s="57" t="s">
        <v>1750</v>
      </c>
      <c r="H383" s="60"/>
      <c r="I383" s="60"/>
      <c r="J383" s="57" t="s">
        <v>1751</v>
      </c>
      <c r="K383" s="60"/>
      <c r="L383" s="60"/>
      <c r="M383" s="60"/>
      <c r="N383" s="61"/>
      <c r="O383" s="51"/>
    </row>
    <row r="384">
      <c r="A384" s="56">
        <v>381.0</v>
      </c>
      <c r="B384" s="57">
        <v>3589.0</v>
      </c>
      <c r="C384" s="58">
        <v>381.0</v>
      </c>
      <c r="D384" s="57" t="s">
        <v>1752</v>
      </c>
      <c r="E384" s="57" t="s">
        <v>1753</v>
      </c>
      <c r="F384" s="59">
        <v>40457.0</v>
      </c>
      <c r="G384" s="57" t="s">
        <v>1754</v>
      </c>
      <c r="H384" s="60"/>
      <c r="I384" s="60"/>
      <c r="J384" s="57" t="s">
        <v>1755</v>
      </c>
      <c r="K384" s="60"/>
      <c r="L384" s="60"/>
      <c r="M384" s="60"/>
      <c r="N384" s="61"/>
      <c r="O384" s="51"/>
    </row>
    <row r="385">
      <c r="A385" s="56">
        <v>382.0</v>
      </c>
      <c r="B385" s="57">
        <v>3590.0</v>
      </c>
      <c r="C385" s="58">
        <v>382.0</v>
      </c>
      <c r="D385" s="60"/>
      <c r="E385" s="57" t="s">
        <v>1756</v>
      </c>
      <c r="F385" s="59">
        <v>38169.0</v>
      </c>
      <c r="G385" s="57" t="s">
        <v>1757</v>
      </c>
      <c r="H385" s="60"/>
      <c r="I385" s="57" t="s">
        <v>1758</v>
      </c>
      <c r="J385" s="57" t="s">
        <v>148</v>
      </c>
      <c r="K385" s="60"/>
      <c r="L385" s="60"/>
      <c r="M385" s="60"/>
      <c r="N385" s="61"/>
      <c r="O385" s="51"/>
    </row>
    <row r="386">
      <c r="A386" s="56">
        <v>383.0</v>
      </c>
      <c r="B386" s="68">
        <v>3591.0</v>
      </c>
      <c r="C386" s="69">
        <v>383.0</v>
      </c>
      <c r="D386" s="71"/>
      <c r="E386" s="68" t="s">
        <v>1759</v>
      </c>
      <c r="F386" s="76">
        <v>40155.0</v>
      </c>
      <c r="G386" s="68" t="s">
        <v>1760</v>
      </c>
      <c r="H386" s="71"/>
      <c r="I386" s="99" t="s">
        <v>1761</v>
      </c>
      <c r="J386" s="68" t="s">
        <v>1762</v>
      </c>
      <c r="K386" s="71"/>
      <c r="L386" s="71"/>
      <c r="M386" s="68" t="s">
        <v>137</v>
      </c>
      <c r="N386" s="61"/>
      <c r="O386" s="51"/>
    </row>
    <row r="387">
      <c r="A387" s="56">
        <v>384.0</v>
      </c>
      <c r="B387" s="68">
        <v>3592.0</v>
      </c>
      <c r="C387" s="69">
        <v>384.0</v>
      </c>
      <c r="D387" s="71"/>
      <c r="E387" s="68" t="s">
        <v>1763</v>
      </c>
      <c r="F387" s="76">
        <v>40155.0</v>
      </c>
      <c r="G387" s="68" t="s">
        <v>1760</v>
      </c>
      <c r="H387" s="71"/>
      <c r="I387" s="99" t="s">
        <v>1761</v>
      </c>
      <c r="J387" s="68" t="s">
        <v>252</v>
      </c>
      <c r="K387" s="71"/>
      <c r="L387" s="71"/>
      <c r="M387" s="71"/>
      <c r="N387" s="61"/>
      <c r="O387" s="51"/>
    </row>
    <row r="388">
      <c r="A388" s="56">
        <v>385.0</v>
      </c>
      <c r="B388" s="57">
        <v>3593.0</v>
      </c>
      <c r="C388" s="58">
        <v>385.0</v>
      </c>
      <c r="D388" s="60"/>
      <c r="E388" s="57" t="s">
        <v>1764</v>
      </c>
      <c r="F388" s="59">
        <v>39992.0</v>
      </c>
      <c r="G388" s="57" t="s">
        <v>1765</v>
      </c>
      <c r="H388" s="60"/>
      <c r="I388" s="63" t="s">
        <v>1766</v>
      </c>
      <c r="J388" s="57" t="s">
        <v>1767</v>
      </c>
      <c r="K388" s="60"/>
      <c r="L388" s="60"/>
      <c r="M388" s="60"/>
      <c r="N388" s="61"/>
      <c r="O388" s="51"/>
    </row>
    <row r="389">
      <c r="A389" s="56">
        <v>386.0</v>
      </c>
      <c r="B389" s="57">
        <v>3594.0</v>
      </c>
      <c r="C389" s="58">
        <v>386.0</v>
      </c>
      <c r="D389" s="60"/>
      <c r="E389" s="57" t="s">
        <v>1768</v>
      </c>
      <c r="F389" s="59">
        <v>40728.0</v>
      </c>
      <c r="G389" s="57" t="s">
        <v>1769</v>
      </c>
      <c r="H389" s="60"/>
      <c r="I389" s="60"/>
      <c r="J389" s="57" t="s">
        <v>1481</v>
      </c>
      <c r="K389" s="60"/>
      <c r="L389" s="60"/>
      <c r="M389" s="60"/>
      <c r="N389" s="61"/>
      <c r="O389" s="51"/>
    </row>
    <row r="390">
      <c r="A390" s="56">
        <v>387.0</v>
      </c>
      <c r="B390" s="57">
        <v>3595.0</v>
      </c>
      <c r="C390" s="58">
        <v>387.0</v>
      </c>
      <c r="D390" s="57" t="s">
        <v>1770</v>
      </c>
      <c r="E390" s="57" t="s">
        <v>1771</v>
      </c>
      <c r="F390" s="78">
        <v>40098.0</v>
      </c>
      <c r="G390" s="57" t="s">
        <v>1772</v>
      </c>
      <c r="H390" s="60"/>
      <c r="I390" s="60"/>
      <c r="J390" s="57" t="s">
        <v>1773</v>
      </c>
      <c r="K390" s="60"/>
      <c r="L390" s="60"/>
      <c r="M390" s="60"/>
      <c r="N390" s="61"/>
      <c r="O390" s="51"/>
    </row>
    <row r="391">
      <c r="A391" s="56">
        <v>388.0</v>
      </c>
      <c r="B391" s="57">
        <v>3596.0</v>
      </c>
      <c r="C391" s="58">
        <v>388.0</v>
      </c>
      <c r="D391" s="60"/>
      <c r="E391" s="57" t="s">
        <v>1774</v>
      </c>
      <c r="F391" s="59">
        <v>40745.0</v>
      </c>
      <c r="G391" s="57" t="s">
        <v>1775</v>
      </c>
      <c r="H391" s="60"/>
      <c r="I391" s="57" t="s">
        <v>1776</v>
      </c>
      <c r="J391" s="57" t="s">
        <v>1777</v>
      </c>
      <c r="K391" s="60"/>
      <c r="L391" s="60"/>
      <c r="M391" s="60"/>
      <c r="N391" s="61"/>
      <c r="O391" s="51"/>
    </row>
    <row r="392">
      <c r="A392" s="56">
        <v>389.0</v>
      </c>
      <c r="B392" s="57">
        <v>3597.0</v>
      </c>
      <c r="C392" s="58">
        <v>389.0</v>
      </c>
      <c r="D392" s="60"/>
      <c r="E392" s="57" t="s">
        <v>1778</v>
      </c>
      <c r="F392" s="59">
        <v>40751.0</v>
      </c>
      <c r="G392" s="57" t="s">
        <v>1779</v>
      </c>
      <c r="H392" s="60"/>
      <c r="I392" s="57" t="s">
        <v>1780</v>
      </c>
      <c r="J392" s="57" t="s">
        <v>1781</v>
      </c>
      <c r="K392" s="60"/>
      <c r="L392" s="60"/>
      <c r="M392" s="60"/>
      <c r="N392" s="61"/>
      <c r="O392" s="51"/>
    </row>
    <row r="393">
      <c r="A393" s="56">
        <v>390.0</v>
      </c>
      <c r="B393" s="57">
        <v>3598.0</v>
      </c>
      <c r="C393" s="58">
        <v>390.0</v>
      </c>
      <c r="D393" s="60"/>
      <c r="E393" s="57" t="s">
        <v>1782</v>
      </c>
      <c r="F393" s="59">
        <v>40737.0</v>
      </c>
      <c r="G393" s="57" t="s">
        <v>1783</v>
      </c>
      <c r="H393" s="60"/>
      <c r="I393" s="57" t="s">
        <v>1784</v>
      </c>
      <c r="J393" s="57" t="s">
        <v>1785</v>
      </c>
      <c r="K393" s="60"/>
      <c r="L393" s="60"/>
      <c r="M393" s="60"/>
      <c r="N393" s="61"/>
      <c r="O393" s="51"/>
    </row>
    <row r="394">
      <c r="A394" s="56">
        <v>391.0</v>
      </c>
      <c r="B394" s="57">
        <v>3599.0</v>
      </c>
      <c r="C394" s="58">
        <v>391.0</v>
      </c>
      <c r="D394" s="60"/>
      <c r="E394" s="57" t="s">
        <v>1786</v>
      </c>
      <c r="F394" s="59">
        <v>40736.0</v>
      </c>
      <c r="G394" s="57" t="s">
        <v>1787</v>
      </c>
      <c r="H394" s="60"/>
      <c r="I394" s="63" t="s">
        <v>1788</v>
      </c>
      <c r="J394" s="57" t="s">
        <v>1789</v>
      </c>
      <c r="K394" s="60"/>
      <c r="L394" s="60"/>
      <c r="M394" s="60"/>
      <c r="N394" s="61"/>
      <c r="O394" s="51"/>
    </row>
    <row r="395">
      <c r="A395" s="56">
        <v>392.0</v>
      </c>
      <c r="B395" s="63">
        <v>3600.0</v>
      </c>
      <c r="C395" s="64" t="s">
        <v>1790</v>
      </c>
      <c r="D395" s="66"/>
      <c r="E395" s="63" t="s">
        <v>1791</v>
      </c>
      <c r="F395" s="70">
        <v>40318.0</v>
      </c>
      <c r="G395" s="80" t="s">
        <v>1792</v>
      </c>
      <c r="H395" s="82"/>
      <c r="I395" s="63" t="s">
        <v>1793</v>
      </c>
      <c r="J395" s="63" t="s">
        <v>1605</v>
      </c>
      <c r="K395" s="66"/>
      <c r="L395" s="66"/>
      <c r="M395" s="63" t="s">
        <v>125</v>
      </c>
      <c r="N395" s="61"/>
      <c r="O395" s="51"/>
    </row>
    <row r="396">
      <c r="A396" s="56">
        <v>393.0</v>
      </c>
      <c r="B396" s="57">
        <v>3601.0</v>
      </c>
      <c r="C396" s="58">
        <v>393.0</v>
      </c>
      <c r="D396" s="60"/>
      <c r="E396" s="57" t="s">
        <v>1794</v>
      </c>
      <c r="F396" s="59">
        <v>39945.0</v>
      </c>
      <c r="G396" s="57" t="s">
        <v>1795</v>
      </c>
      <c r="H396" s="60"/>
      <c r="I396" s="57" t="s">
        <v>1796</v>
      </c>
      <c r="J396" s="57" t="s">
        <v>1797</v>
      </c>
      <c r="K396" s="60"/>
      <c r="L396" s="60"/>
      <c r="M396" s="60"/>
      <c r="N396" s="61"/>
      <c r="O396" s="51"/>
    </row>
    <row r="397">
      <c r="A397" s="56">
        <v>394.0</v>
      </c>
      <c r="B397" s="63">
        <v>3602.0</v>
      </c>
      <c r="C397" s="64">
        <v>394.0</v>
      </c>
      <c r="D397" s="63" t="s">
        <v>1798</v>
      </c>
      <c r="E397" s="63" t="s">
        <v>1799</v>
      </c>
      <c r="F397" s="70">
        <v>40738.0</v>
      </c>
      <c r="G397" s="80" t="s">
        <v>1800</v>
      </c>
      <c r="H397" s="82"/>
      <c r="I397" s="63" t="s">
        <v>1801</v>
      </c>
      <c r="J397" s="63" t="s">
        <v>136</v>
      </c>
      <c r="K397" s="66"/>
      <c r="L397" s="66"/>
      <c r="M397" s="66"/>
      <c r="N397" s="61"/>
      <c r="O397" s="51"/>
    </row>
    <row r="398">
      <c r="A398" s="56">
        <v>395.0</v>
      </c>
      <c r="B398" s="57">
        <v>3603.0</v>
      </c>
      <c r="C398" s="58">
        <v>395.0</v>
      </c>
      <c r="D398" s="60"/>
      <c r="E398" s="57" t="s">
        <v>1802</v>
      </c>
      <c r="F398" s="59">
        <v>40458.0</v>
      </c>
      <c r="G398" s="57" t="s">
        <v>1803</v>
      </c>
      <c r="H398" s="60"/>
      <c r="I398" s="63" t="s">
        <v>1804</v>
      </c>
      <c r="J398" s="57" t="s">
        <v>1805</v>
      </c>
      <c r="K398" s="60"/>
      <c r="L398" s="60"/>
      <c r="M398" s="60"/>
      <c r="N398" s="61"/>
      <c r="O398" s="51"/>
    </row>
    <row r="399">
      <c r="A399" s="56">
        <v>396.0</v>
      </c>
      <c r="B399" s="68">
        <v>3604.0</v>
      </c>
      <c r="C399" s="69">
        <v>396.0</v>
      </c>
      <c r="D399" s="71"/>
      <c r="E399" s="68" t="s">
        <v>1806</v>
      </c>
      <c r="F399" s="107">
        <v>40090.0</v>
      </c>
      <c r="G399" s="68" t="s">
        <v>1807</v>
      </c>
      <c r="H399" s="71"/>
      <c r="I399" s="80" t="s">
        <v>1808</v>
      </c>
      <c r="J399" s="68" t="s">
        <v>252</v>
      </c>
      <c r="K399" s="71"/>
      <c r="L399" s="71"/>
      <c r="M399" s="71"/>
      <c r="N399" s="61"/>
      <c r="O399" s="51"/>
    </row>
    <row r="400">
      <c r="A400" s="56">
        <v>397.0</v>
      </c>
      <c r="B400" s="57">
        <v>3605.0</v>
      </c>
      <c r="C400" s="58">
        <v>397.0</v>
      </c>
      <c r="D400" s="60"/>
      <c r="E400" s="57" t="s">
        <v>1809</v>
      </c>
      <c r="F400" s="59">
        <v>35186.0</v>
      </c>
      <c r="G400" s="57" t="s">
        <v>1810</v>
      </c>
      <c r="H400" s="60"/>
      <c r="I400" s="57" t="s">
        <v>1811</v>
      </c>
      <c r="J400" s="57" t="s">
        <v>148</v>
      </c>
      <c r="K400" s="60"/>
      <c r="L400" s="60"/>
      <c r="M400" s="60"/>
      <c r="N400" s="61"/>
      <c r="O400" s="51"/>
    </row>
    <row r="401">
      <c r="A401" s="56">
        <v>398.0</v>
      </c>
      <c r="B401" s="57">
        <v>3606.0</v>
      </c>
      <c r="C401" s="58">
        <v>398.0</v>
      </c>
      <c r="D401" s="60"/>
      <c r="E401" s="57" t="s">
        <v>1812</v>
      </c>
      <c r="F401" s="59">
        <v>35186.0</v>
      </c>
      <c r="G401" s="57" t="s">
        <v>1810</v>
      </c>
      <c r="H401" s="60"/>
      <c r="I401" s="57" t="s">
        <v>1811</v>
      </c>
      <c r="J401" s="57" t="s">
        <v>148</v>
      </c>
      <c r="K401" s="60"/>
      <c r="L401" s="60"/>
      <c r="M401" s="60"/>
      <c r="N401" s="61"/>
      <c r="O401" s="51"/>
    </row>
    <row r="402">
      <c r="A402" s="56">
        <v>399.0</v>
      </c>
      <c r="B402" s="57">
        <v>3607.0</v>
      </c>
      <c r="C402" s="58">
        <v>399.0</v>
      </c>
      <c r="D402" s="60"/>
      <c r="E402" s="57" t="s">
        <v>1813</v>
      </c>
      <c r="F402" s="59">
        <v>35186.0</v>
      </c>
      <c r="G402" s="57" t="s">
        <v>1810</v>
      </c>
      <c r="H402" s="60"/>
      <c r="I402" s="57" t="s">
        <v>1811</v>
      </c>
      <c r="J402" s="57" t="s">
        <v>148</v>
      </c>
      <c r="K402" s="60"/>
      <c r="L402" s="60"/>
      <c r="M402" s="60"/>
      <c r="N402" s="61"/>
      <c r="O402" s="51"/>
    </row>
    <row r="403">
      <c r="A403" s="56">
        <v>400.0</v>
      </c>
      <c r="B403" s="57">
        <v>3608.0</v>
      </c>
      <c r="C403" s="58">
        <v>400.0</v>
      </c>
      <c r="D403" s="60"/>
      <c r="E403" s="57" t="s">
        <v>1814</v>
      </c>
      <c r="F403" s="59">
        <v>35186.0</v>
      </c>
      <c r="G403" s="57" t="s">
        <v>1810</v>
      </c>
      <c r="H403" s="60"/>
      <c r="I403" s="57" t="s">
        <v>1811</v>
      </c>
      <c r="J403" s="57" t="s">
        <v>148</v>
      </c>
      <c r="K403" s="60"/>
      <c r="L403" s="60"/>
      <c r="M403" s="60"/>
      <c r="N403" s="61"/>
      <c r="O403" s="51"/>
    </row>
    <row r="404">
      <c r="A404" s="56">
        <v>401.0</v>
      </c>
      <c r="B404" s="57">
        <v>3609.0</v>
      </c>
      <c r="C404" s="58">
        <v>401.0</v>
      </c>
      <c r="D404" s="57" t="s">
        <v>1815</v>
      </c>
      <c r="E404" s="57" t="s">
        <v>1816</v>
      </c>
      <c r="F404" s="59">
        <v>40360.0</v>
      </c>
      <c r="G404" s="57" t="s">
        <v>1817</v>
      </c>
      <c r="H404" s="60"/>
      <c r="I404" s="63" t="s">
        <v>1818</v>
      </c>
      <c r="J404" s="57" t="s">
        <v>1819</v>
      </c>
      <c r="K404" s="60"/>
      <c r="L404" s="60"/>
      <c r="M404" s="60"/>
      <c r="N404" s="61"/>
      <c r="O404" s="51"/>
    </row>
    <row r="405">
      <c r="A405" s="56">
        <v>402.0</v>
      </c>
      <c r="B405" s="63">
        <v>3610.0</v>
      </c>
      <c r="C405" s="64" t="s">
        <v>1820</v>
      </c>
      <c r="D405" s="66"/>
      <c r="E405" s="80" t="s">
        <v>1821</v>
      </c>
      <c r="F405" s="57" t="s">
        <v>407</v>
      </c>
      <c r="G405" s="60"/>
      <c r="H405" s="57" t="s">
        <v>1822</v>
      </c>
      <c r="I405" s="63" t="s">
        <v>1823</v>
      </c>
      <c r="J405" s="63" t="s">
        <v>1824</v>
      </c>
      <c r="K405" s="66"/>
      <c r="L405" s="66"/>
      <c r="M405" s="63" t="s">
        <v>282</v>
      </c>
      <c r="N405" s="61"/>
      <c r="O405" s="51"/>
    </row>
    <row r="406">
      <c r="A406" s="56">
        <v>403.0</v>
      </c>
      <c r="B406" s="57">
        <v>3611.0</v>
      </c>
      <c r="C406" s="58">
        <v>403.0</v>
      </c>
      <c r="D406" s="60"/>
      <c r="E406" s="57" t="s">
        <v>1825</v>
      </c>
      <c r="F406" s="59">
        <v>40291.0</v>
      </c>
      <c r="G406" s="57" t="s">
        <v>1826</v>
      </c>
      <c r="H406" s="57" t="s">
        <v>1827</v>
      </c>
      <c r="I406" s="108" t="s">
        <v>635</v>
      </c>
      <c r="J406" s="57" t="s">
        <v>1828</v>
      </c>
      <c r="K406" s="60"/>
      <c r="L406" s="60"/>
      <c r="M406" s="60"/>
      <c r="N406" s="61"/>
      <c r="O406" s="51"/>
    </row>
    <row r="407">
      <c r="A407" s="56">
        <v>404.0</v>
      </c>
      <c r="B407" s="57">
        <v>3612.0</v>
      </c>
      <c r="C407" s="58">
        <v>404.0</v>
      </c>
      <c r="D407" s="60"/>
      <c r="E407" s="57" t="s">
        <v>1829</v>
      </c>
      <c r="F407" s="59">
        <v>40278.0</v>
      </c>
      <c r="G407" s="57" t="s">
        <v>1826</v>
      </c>
      <c r="H407" s="57" t="s">
        <v>1830</v>
      </c>
      <c r="I407" s="63" t="s">
        <v>1831</v>
      </c>
      <c r="J407" s="57" t="s">
        <v>1832</v>
      </c>
      <c r="K407" s="60"/>
      <c r="L407" s="60"/>
      <c r="M407" s="60"/>
      <c r="N407" s="61"/>
      <c r="O407" s="51"/>
    </row>
    <row r="408">
      <c r="A408" s="56">
        <v>405.0</v>
      </c>
      <c r="B408" s="57">
        <v>3613.0</v>
      </c>
      <c r="C408" s="58">
        <v>405.0</v>
      </c>
      <c r="D408" s="60"/>
      <c r="E408" s="57" t="s">
        <v>1833</v>
      </c>
      <c r="F408" s="78">
        <v>40508.0</v>
      </c>
      <c r="G408" s="57" t="s">
        <v>1834</v>
      </c>
      <c r="H408" s="60"/>
      <c r="I408" s="63" t="s">
        <v>635</v>
      </c>
      <c r="J408" s="57" t="s">
        <v>1835</v>
      </c>
      <c r="K408" s="60"/>
      <c r="L408" s="60"/>
      <c r="M408" s="60"/>
      <c r="N408" s="61"/>
      <c r="O408" s="51"/>
    </row>
    <row r="409">
      <c r="A409" s="56">
        <v>406.0</v>
      </c>
      <c r="B409" s="80">
        <v>3614.0</v>
      </c>
      <c r="C409" s="79" t="s">
        <v>1836</v>
      </c>
      <c r="D409" s="82"/>
      <c r="E409" s="80" t="s">
        <v>1837</v>
      </c>
      <c r="F409" s="81">
        <v>40785.0</v>
      </c>
      <c r="G409" s="80" t="s">
        <v>1838</v>
      </c>
      <c r="H409" s="82"/>
      <c r="I409" s="80" t="s">
        <v>1839</v>
      </c>
      <c r="J409" s="82"/>
      <c r="K409" s="71"/>
      <c r="L409" s="71"/>
      <c r="M409" s="68" t="s">
        <v>1528</v>
      </c>
      <c r="N409" s="61"/>
      <c r="O409" s="51"/>
    </row>
    <row r="410">
      <c r="A410" s="56">
        <v>407.0</v>
      </c>
      <c r="B410" s="57">
        <v>3615.0</v>
      </c>
      <c r="C410" s="58">
        <v>407.0</v>
      </c>
      <c r="D410" s="60"/>
      <c r="E410" s="57" t="s">
        <v>1840</v>
      </c>
      <c r="F410" s="78">
        <v>40174.0</v>
      </c>
      <c r="G410" s="57" t="s">
        <v>1841</v>
      </c>
      <c r="H410" s="60"/>
      <c r="I410" s="63" t="s">
        <v>1842</v>
      </c>
      <c r="J410" s="57" t="s">
        <v>1843</v>
      </c>
      <c r="K410" s="60"/>
      <c r="L410" s="60"/>
      <c r="M410" s="60"/>
      <c r="N410" s="61"/>
      <c r="O410" s="51"/>
    </row>
    <row r="411">
      <c r="A411" s="56">
        <v>408.0</v>
      </c>
      <c r="B411" s="63">
        <v>3616.0</v>
      </c>
      <c r="C411" s="63">
        <v>408.0</v>
      </c>
      <c r="D411" s="66"/>
      <c r="E411" s="63" t="s">
        <v>1844</v>
      </c>
      <c r="F411" s="70">
        <v>39630.0</v>
      </c>
      <c r="G411" s="63" t="s">
        <v>1845</v>
      </c>
      <c r="H411" s="66"/>
      <c r="I411" s="63" t="s">
        <v>1846</v>
      </c>
      <c r="J411" s="63" t="s">
        <v>1847</v>
      </c>
      <c r="K411" s="60"/>
      <c r="L411" s="60"/>
      <c r="M411" s="60"/>
      <c r="N411" s="61"/>
      <c r="O411" s="51"/>
    </row>
    <row r="412">
      <c r="A412" s="56">
        <v>409.0</v>
      </c>
      <c r="B412" s="57">
        <v>3617.0</v>
      </c>
      <c r="C412" s="58">
        <v>409.0</v>
      </c>
      <c r="D412" s="60"/>
      <c r="E412" s="57" t="s">
        <v>1848</v>
      </c>
      <c r="F412" s="78">
        <v>40836.0</v>
      </c>
      <c r="G412" s="57" t="s">
        <v>1849</v>
      </c>
      <c r="H412" s="60"/>
      <c r="I412" s="63" t="s">
        <v>1850</v>
      </c>
      <c r="J412" s="57" t="s">
        <v>1851</v>
      </c>
      <c r="K412" s="60"/>
      <c r="L412" s="60"/>
      <c r="M412" s="60"/>
      <c r="N412" s="61"/>
      <c r="O412" s="51"/>
    </row>
    <row r="413">
      <c r="A413" s="56">
        <v>410.0</v>
      </c>
      <c r="B413" s="57">
        <v>3618.0</v>
      </c>
      <c r="C413" s="58">
        <v>410.0</v>
      </c>
      <c r="D413" s="60"/>
      <c r="E413" s="57" t="s">
        <v>1852</v>
      </c>
      <c r="F413" s="78">
        <v>39069.0</v>
      </c>
      <c r="G413" s="57" t="s">
        <v>1853</v>
      </c>
      <c r="H413" s="60"/>
      <c r="I413" s="63" t="s">
        <v>635</v>
      </c>
      <c r="J413" s="57" t="s">
        <v>1854</v>
      </c>
      <c r="K413" s="60"/>
      <c r="L413" s="60"/>
      <c r="M413" s="60"/>
      <c r="N413" s="61"/>
      <c r="O413" s="51"/>
    </row>
    <row r="414">
      <c r="A414" s="56">
        <v>411.0</v>
      </c>
      <c r="B414" s="57">
        <v>3619.0</v>
      </c>
      <c r="C414" s="58">
        <v>411.0</v>
      </c>
      <c r="D414" s="60"/>
      <c r="E414" s="57" t="s">
        <v>1855</v>
      </c>
      <c r="F414" s="59">
        <v>40551.0</v>
      </c>
      <c r="G414" s="57" t="s">
        <v>1856</v>
      </c>
      <c r="H414" s="60"/>
      <c r="I414" s="63" t="s">
        <v>1857</v>
      </c>
      <c r="J414" s="57" t="s">
        <v>1858</v>
      </c>
      <c r="K414" s="60"/>
      <c r="L414" s="60"/>
      <c r="M414" s="60"/>
      <c r="N414" s="61"/>
      <c r="O414" s="51"/>
    </row>
    <row r="415">
      <c r="A415" s="56">
        <v>412.0</v>
      </c>
      <c r="B415" s="63">
        <v>3620.0</v>
      </c>
      <c r="C415" s="64" t="s">
        <v>1859</v>
      </c>
      <c r="D415" s="63" t="s">
        <v>1860</v>
      </c>
      <c r="E415" s="63" t="s">
        <v>1861</v>
      </c>
      <c r="F415" s="70">
        <v>39687.0</v>
      </c>
      <c r="G415" s="80" t="s">
        <v>1862</v>
      </c>
      <c r="H415" s="82"/>
      <c r="I415" s="63" t="s">
        <v>1863</v>
      </c>
      <c r="J415" s="63" t="s">
        <v>1605</v>
      </c>
      <c r="K415" s="66"/>
      <c r="L415" s="66"/>
      <c r="M415" s="63" t="s">
        <v>125</v>
      </c>
      <c r="N415" s="61"/>
      <c r="O415" s="51"/>
    </row>
    <row r="416">
      <c r="A416" s="56">
        <v>413.0</v>
      </c>
      <c r="B416" s="57">
        <v>3621.0</v>
      </c>
      <c r="C416" s="58">
        <v>413.0</v>
      </c>
      <c r="D416" s="60"/>
      <c r="E416" s="57" t="s">
        <v>1864</v>
      </c>
      <c r="F416" s="59">
        <v>40219.0</v>
      </c>
      <c r="G416" s="57" t="s">
        <v>1865</v>
      </c>
      <c r="H416" s="60"/>
      <c r="I416" s="63" t="s">
        <v>1866</v>
      </c>
      <c r="J416" s="57" t="s">
        <v>1481</v>
      </c>
      <c r="K416" s="60"/>
      <c r="L416" s="60"/>
      <c r="M416" s="60"/>
      <c r="N416" s="61"/>
      <c r="O416" s="51"/>
    </row>
    <row r="417">
      <c r="A417" s="56">
        <v>414.0</v>
      </c>
      <c r="B417" s="63">
        <v>3622.0</v>
      </c>
      <c r="C417" s="64" t="s">
        <v>1867</v>
      </c>
      <c r="D417" s="66"/>
      <c r="E417" s="63" t="s">
        <v>1868</v>
      </c>
      <c r="F417" s="70">
        <v>39948.0</v>
      </c>
      <c r="G417" s="80" t="s">
        <v>1869</v>
      </c>
      <c r="H417" s="80" t="s">
        <v>1870</v>
      </c>
      <c r="I417" s="63" t="s">
        <v>1871</v>
      </c>
      <c r="J417" s="63" t="s">
        <v>1872</v>
      </c>
      <c r="K417" s="66"/>
      <c r="L417" s="66"/>
      <c r="M417" s="63" t="s">
        <v>530</v>
      </c>
      <c r="N417" s="61"/>
      <c r="O417" s="51"/>
    </row>
    <row r="418">
      <c r="A418" s="56">
        <v>415.0</v>
      </c>
      <c r="B418" s="57">
        <v>3623.0</v>
      </c>
      <c r="C418" s="58">
        <v>415.0</v>
      </c>
      <c r="D418" s="60"/>
      <c r="E418" s="57" t="s">
        <v>1873</v>
      </c>
      <c r="F418" s="59">
        <v>40232.0</v>
      </c>
      <c r="G418" s="57" t="s">
        <v>1874</v>
      </c>
      <c r="H418" s="60"/>
      <c r="I418" s="63" t="s">
        <v>1875</v>
      </c>
      <c r="J418" s="57" t="s">
        <v>1876</v>
      </c>
      <c r="K418" s="60"/>
      <c r="L418" s="60"/>
      <c r="M418" s="60"/>
      <c r="N418" s="61"/>
      <c r="O418" s="51"/>
    </row>
    <row r="419">
      <c r="A419" s="56">
        <v>416.0</v>
      </c>
      <c r="B419" s="57">
        <v>3624.0</v>
      </c>
      <c r="C419" s="58">
        <v>416.0</v>
      </c>
      <c r="D419" s="60"/>
      <c r="E419" s="57" t="s">
        <v>1877</v>
      </c>
      <c r="F419" s="59">
        <v>40647.0</v>
      </c>
      <c r="G419" s="57" t="s">
        <v>1878</v>
      </c>
      <c r="H419" s="60"/>
      <c r="I419" s="63" t="s">
        <v>1879</v>
      </c>
      <c r="J419" s="57" t="s">
        <v>1880</v>
      </c>
      <c r="K419" s="60"/>
      <c r="L419" s="60"/>
      <c r="M419" s="60"/>
      <c r="N419" s="61"/>
      <c r="O419" s="51"/>
    </row>
    <row r="420">
      <c r="A420" s="56">
        <v>417.0</v>
      </c>
      <c r="B420" s="57">
        <v>3625.0</v>
      </c>
      <c r="C420" s="58">
        <v>417.0</v>
      </c>
      <c r="D420" s="60"/>
      <c r="E420" s="57" t="s">
        <v>1881</v>
      </c>
      <c r="F420" s="59">
        <v>40759.0</v>
      </c>
      <c r="G420" s="57" t="s">
        <v>1882</v>
      </c>
      <c r="H420" s="60"/>
      <c r="I420" s="63" t="s">
        <v>635</v>
      </c>
      <c r="J420" s="57" t="s">
        <v>1883</v>
      </c>
      <c r="K420" s="60"/>
      <c r="L420" s="60"/>
      <c r="M420" s="60"/>
      <c r="N420" s="61"/>
      <c r="O420" s="51"/>
    </row>
    <row r="421">
      <c r="A421" s="56">
        <v>418.0</v>
      </c>
      <c r="B421" s="57">
        <v>3626.0</v>
      </c>
      <c r="C421" s="58">
        <v>418.0</v>
      </c>
      <c r="D421" s="60"/>
      <c r="E421" s="57" t="s">
        <v>1884</v>
      </c>
      <c r="F421" s="59">
        <v>40567.0</v>
      </c>
      <c r="G421" s="57" t="s">
        <v>1885</v>
      </c>
      <c r="H421" s="60"/>
      <c r="I421" s="63" t="s">
        <v>1886</v>
      </c>
      <c r="J421" s="89" t="s">
        <v>148</v>
      </c>
      <c r="K421" s="90"/>
      <c r="L421" s="90"/>
      <c r="M421" s="90"/>
      <c r="N421" s="61"/>
      <c r="O421" s="51"/>
    </row>
    <row r="422">
      <c r="A422" s="56">
        <v>419.0</v>
      </c>
      <c r="B422" s="57">
        <v>3627.0</v>
      </c>
      <c r="C422" s="58">
        <v>419.0</v>
      </c>
      <c r="D422" s="60"/>
      <c r="E422" s="57" t="s">
        <v>1887</v>
      </c>
      <c r="F422" s="59">
        <v>40436.0</v>
      </c>
      <c r="G422" s="57" t="s">
        <v>1888</v>
      </c>
      <c r="H422" s="60"/>
      <c r="I422" s="63" t="s">
        <v>1889</v>
      </c>
      <c r="J422" s="104"/>
      <c r="K422" s="109"/>
      <c r="L422" s="60"/>
      <c r="M422" s="60"/>
      <c r="N422" s="61"/>
      <c r="O422" s="51"/>
    </row>
    <row r="423">
      <c r="A423" s="56">
        <v>420.0</v>
      </c>
      <c r="B423" s="57">
        <v>3628.0</v>
      </c>
      <c r="C423" s="58">
        <v>420.0</v>
      </c>
      <c r="D423" s="60"/>
      <c r="E423" s="57" t="s">
        <v>1890</v>
      </c>
      <c r="F423" s="59">
        <v>40807.0</v>
      </c>
      <c r="G423" s="57" t="s">
        <v>1891</v>
      </c>
      <c r="H423" s="60"/>
      <c r="I423" s="63" t="s">
        <v>1892</v>
      </c>
      <c r="J423" s="110" t="s">
        <v>1893</v>
      </c>
      <c r="K423" s="60"/>
      <c r="L423" s="60"/>
      <c r="M423" s="60"/>
      <c r="N423" s="61"/>
      <c r="O423" s="51"/>
    </row>
    <row r="424">
      <c r="A424" s="56">
        <v>421.0</v>
      </c>
      <c r="B424" s="68">
        <v>3629.0</v>
      </c>
      <c r="C424" s="69">
        <v>421.0</v>
      </c>
      <c r="D424" s="71"/>
      <c r="E424" s="63" t="s">
        <v>1894</v>
      </c>
      <c r="F424" s="70">
        <v>40729.0</v>
      </c>
      <c r="G424" s="63" t="s">
        <v>1895</v>
      </c>
      <c r="H424" s="66"/>
      <c r="I424" s="63" t="s">
        <v>1896</v>
      </c>
      <c r="J424" s="63" t="s">
        <v>137</v>
      </c>
      <c r="K424" s="71"/>
      <c r="L424" s="71"/>
      <c r="M424" s="68" t="s">
        <v>137</v>
      </c>
      <c r="N424" s="61"/>
      <c r="O424" s="51"/>
    </row>
    <row r="425">
      <c r="A425" s="56">
        <v>422.0</v>
      </c>
      <c r="B425" s="57">
        <v>3630.0</v>
      </c>
      <c r="C425" s="58">
        <v>422.0</v>
      </c>
      <c r="D425" s="60"/>
      <c r="E425" s="57" t="s">
        <v>1897</v>
      </c>
      <c r="F425" s="59">
        <v>40732.0</v>
      </c>
      <c r="G425" s="57" t="s">
        <v>1898</v>
      </c>
      <c r="H425" s="60"/>
      <c r="I425" s="57" t="s">
        <v>1899</v>
      </c>
      <c r="J425" s="57" t="s">
        <v>1900</v>
      </c>
      <c r="K425" s="60"/>
      <c r="L425" s="60"/>
      <c r="M425" s="60"/>
      <c r="N425" s="61"/>
      <c r="O425" s="51"/>
    </row>
    <row r="426">
      <c r="A426" s="56">
        <v>423.0</v>
      </c>
      <c r="B426" s="68">
        <v>3631.0</v>
      </c>
      <c r="C426" s="69">
        <v>423.0</v>
      </c>
      <c r="D426" s="71"/>
      <c r="E426" s="68" t="s">
        <v>1901</v>
      </c>
      <c r="F426" s="76">
        <v>40711.0</v>
      </c>
      <c r="G426" s="68" t="s">
        <v>1902</v>
      </c>
      <c r="H426" s="71"/>
      <c r="I426" s="68" t="s">
        <v>1903</v>
      </c>
      <c r="J426" s="68" t="s">
        <v>1904</v>
      </c>
      <c r="K426" s="71"/>
      <c r="L426" s="71"/>
      <c r="M426" s="71"/>
      <c r="N426" s="61"/>
      <c r="O426" s="51"/>
    </row>
    <row r="427">
      <c r="A427" s="56">
        <v>424.0</v>
      </c>
      <c r="B427" s="68">
        <v>3632.0</v>
      </c>
      <c r="C427" s="69" t="s">
        <v>1905</v>
      </c>
      <c r="D427" s="71"/>
      <c r="E427" s="68" t="s">
        <v>1906</v>
      </c>
      <c r="F427" s="83">
        <v>39793.0</v>
      </c>
      <c r="G427" s="68" t="s">
        <v>1907</v>
      </c>
      <c r="H427" s="71"/>
      <c r="I427" s="68" t="s">
        <v>1908</v>
      </c>
      <c r="J427" s="68" t="s">
        <v>1909</v>
      </c>
      <c r="K427" s="71"/>
      <c r="L427" s="71"/>
      <c r="M427" s="68" t="s">
        <v>1910</v>
      </c>
      <c r="N427" s="61"/>
      <c r="O427" s="51"/>
    </row>
    <row r="428">
      <c r="A428" s="56">
        <v>425.0</v>
      </c>
      <c r="B428" s="57">
        <v>3633.0</v>
      </c>
      <c r="C428" s="58">
        <v>425.0</v>
      </c>
      <c r="D428" s="60"/>
      <c r="E428" s="57" t="s">
        <v>1911</v>
      </c>
      <c r="F428" s="59">
        <v>40780.0</v>
      </c>
      <c r="G428" s="57" t="s">
        <v>1912</v>
      </c>
      <c r="H428" s="60"/>
      <c r="I428" s="63" t="s">
        <v>1913</v>
      </c>
      <c r="J428" s="57" t="s">
        <v>1914</v>
      </c>
      <c r="K428" s="60"/>
      <c r="L428" s="60"/>
      <c r="M428" s="60"/>
      <c r="N428" s="61"/>
      <c r="O428" s="51"/>
    </row>
    <row r="429">
      <c r="A429" s="56">
        <v>426.0</v>
      </c>
      <c r="B429" s="63">
        <v>3634.0</v>
      </c>
      <c r="C429" s="64" t="s">
        <v>1915</v>
      </c>
      <c r="D429" s="66"/>
      <c r="E429" s="63" t="s">
        <v>1916</v>
      </c>
      <c r="F429" s="70">
        <v>40600.0</v>
      </c>
      <c r="G429" s="80" t="s">
        <v>1917</v>
      </c>
      <c r="H429" s="82"/>
      <c r="I429" s="63" t="s">
        <v>1918</v>
      </c>
      <c r="J429" s="63" t="s">
        <v>1919</v>
      </c>
      <c r="K429" s="66"/>
      <c r="L429" s="66"/>
      <c r="M429" s="63" t="s">
        <v>143</v>
      </c>
      <c r="N429" s="61"/>
      <c r="O429" s="51"/>
    </row>
    <row r="430">
      <c r="A430" s="56">
        <v>427.0</v>
      </c>
      <c r="B430" s="68">
        <v>3635.0</v>
      </c>
      <c r="C430" s="69" t="s">
        <v>1920</v>
      </c>
      <c r="D430" s="71"/>
      <c r="E430" s="68" t="s">
        <v>1921</v>
      </c>
      <c r="F430" s="76">
        <v>40785.0</v>
      </c>
      <c r="G430" s="68" t="s">
        <v>1922</v>
      </c>
      <c r="H430" s="71"/>
      <c r="I430" s="68" t="s">
        <v>1839</v>
      </c>
      <c r="J430" s="68" t="s">
        <v>182</v>
      </c>
      <c r="K430" s="71"/>
      <c r="L430" s="71"/>
      <c r="M430" s="68" t="s">
        <v>1528</v>
      </c>
      <c r="N430" s="77"/>
      <c r="O430" s="51"/>
    </row>
    <row r="431">
      <c r="A431" s="56">
        <v>428.0</v>
      </c>
      <c r="B431" s="57">
        <v>3636.0</v>
      </c>
      <c r="C431" s="58">
        <v>428.0</v>
      </c>
      <c r="D431" s="60"/>
      <c r="E431" s="57" t="s">
        <v>1923</v>
      </c>
      <c r="F431" s="59">
        <v>40849.0</v>
      </c>
      <c r="G431" s="57" t="s">
        <v>1924</v>
      </c>
      <c r="H431" s="60"/>
      <c r="I431" s="63" t="s">
        <v>1925</v>
      </c>
      <c r="J431" s="57" t="s">
        <v>1926</v>
      </c>
      <c r="K431" s="60"/>
      <c r="L431" s="60"/>
      <c r="M431" s="60"/>
      <c r="N431" s="61"/>
      <c r="O431" s="51"/>
    </row>
    <row r="432">
      <c r="A432" s="56">
        <v>429.0</v>
      </c>
      <c r="B432" s="57">
        <v>3637.0</v>
      </c>
      <c r="C432" s="58">
        <v>429.0</v>
      </c>
      <c r="D432" s="57" t="s">
        <v>1927</v>
      </c>
      <c r="E432" s="57" t="s">
        <v>1928</v>
      </c>
      <c r="F432" s="59">
        <v>40719.0</v>
      </c>
      <c r="G432" s="57" t="s">
        <v>1929</v>
      </c>
      <c r="H432" s="60"/>
      <c r="I432" s="60"/>
      <c r="J432" s="57" t="s">
        <v>1930</v>
      </c>
      <c r="K432" s="60"/>
      <c r="L432" s="60"/>
      <c r="M432" s="60"/>
      <c r="N432" s="61"/>
      <c r="O432" s="51"/>
    </row>
    <row r="433">
      <c r="A433" s="56">
        <v>430.0</v>
      </c>
      <c r="B433" s="57">
        <v>3638.0</v>
      </c>
      <c r="C433" s="58">
        <v>430.0</v>
      </c>
      <c r="D433" s="60"/>
      <c r="E433" s="57" t="s">
        <v>1931</v>
      </c>
      <c r="F433" s="59">
        <v>40823.0</v>
      </c>
      <c r="G433" s="57" t="s">
        <v>1932</v>
      </c>
      <c r="H433" s="60"/>
      <c r="I433" s="57" t="s">
        <v>1933</v>
      </c>
      <c r="J433" s="57" t="s">
        <v>1934</v>
      </c>
      <c r="K433" s="60"/>
      <c r="L433" s="60"/>
      <c r="M433" s="60"/>
      <c r="N433" s="61"/>
      <c r="O433" s="51"/>
    </row>
    <row r="434">
      <c r="A434" s="56">
        <v>431.0</v>
      </c>
      <c r="B434" s="57">
        <v>3639.0</v>
      </c>
      <c r="C434" s="58">
        <v>431.0</v>
      </c>
      <c r="D434" s="60"/>
      <c r="E434" s="57" t="s">
        <v>1935</v>
      </c>
      <c r="F434" s="59">
        <v>40238.0</v>
      </c>
      <c r="G434" s="57" t="s">
        <v>1936</v>
      </c>
      <c r="H434" s="60"/>
      <c r="I434" s="63" t="s">
        <v>635</v>
      </c>
      <c r="J434" s="57" t="s">
        <v>1937</v>
      </c>
      <c r="K434" s="60"/>
      <c r="L434" s="60"/>
      <c r="M434" s="60"/>
      <c r="N434" s="61"/>
      <c r="O434" s="51"/>
    </row>
    <row r="435">
      <c r="A435" s="56">
        <v>432.0</v>
      </c>
      <c r="B435" s="57">
        <v>3640.0</v>
      </c>
      <c r="C435" s="58">
        <v>432.0</v>
      </c>
      <c r="D435" s="60"/>
      <c r="E435" s="57" t="s">
        <v>1938</v>
      </c>
      <c r="F435" s="59">
        <v>40772.0</v>
      </c>
      <c r="G435" s="57" t="s">
        <v>1939</v>
      </c>
      <c r="H435" s="60"/>
      <c r="I435" s="63" t="s">
        <v>1940</v>
      </c>
      <c r="J435" s="57" t="s">
        <v>1941</v>
      </c>
      <c r="K435" s="60"/>
      <c r="L435" s="60"/>
      <c r="M435" s="60"/>
      <c r="N435" s="61"/>
      <c r="O435" s="51"/>
    </row>
    <row r="436">
      <c r="A436" s="56">
        <v>433.0</v>
      </c>
      <c r="B436" s="57">
        <v>3641.0</v>
      </c>
      <c r="C436" s="58">
        <v>433.0</v>
      </c>
      <c r="D436" s="60"/>
      <c r="E436" s="57" t="s">
        <v>1942</v>
      </c>
      <c r="F436" s="78">
        <v>40864.0</v>
      </c>
      <c r="G436" s="57" t="s">
        <v>1943</v>
      </c>
      <c r="H436" s="60"/>
      <c r="I436" s="63" t="s">
        <v>1944</v>
      </c>
      <c r="J436" s="57" t="s">
        <v>1945</v>
      </c>
      <c r="K436" s="60"/>
      <c r="L436" s="60"/>
      <c r="M436" s="60"/>
      <c r="N436" s="61"/>
      <c r="O436" s="51"/>
    </row>
    <row r="437">
      <c r="A437" s="56">
        <v>434.0</v>
      </c>
      <c r="B437" s="57">
        <v>3642.0</v>
      </c>
      <c r="C437" s="58">
        <v>434.0</v>
      </c>
      <c r="D437" s="57" t="s">
        <v>1946</v>
      </c>
      <c r="E437" s="57" t="s">
        <v>1947</v>
      </c>
      <c r="F437" s="59">
        <v>40823.0</v>
      </c>
      <c r="G437" s="57" t="s">
        <v>1948</v>
      </c>
      <c r="H437" s="60"/>
      <c r="I437" s="63" t="s">
        <v>1949</v>
      </c>
      <c r="J437" s="57" t="s">
        <v>1950</v>
      </c>
      <c r="K437" s="60"/>
      <c r="L437" s="60"/>
      <c r="M437" s="60"/>
      <c r="N437" s="61"/>
      <c r="O437" s="51"/>
    </row>
    <row r="438">
      <c r="A438" s="56">
        <v>435.0</v>
      </c>
      <c r="B438" s="57">
        <v>3643.0</v>
      </c>
      <c r="C438" s="58">
        <v>435.0</v>
      </c>
      <c r="D438" s="57" t="s">
        <v>1951</v>
      </c>
      <c r="E438" s="57" t="s">
        <v>1952</v>
      </c>
      <c r="F438" s="59">
        <v>40823.0</v>
      </c>
      <c r="G438" s="57" t="s">
        <v>1953</v>
      </c>
      <c r="H438" s="60"/>
      <c r="I438" s="63" t="s">
        <v>1949</v>
      </c>
      <c r="J438" s="57" t="s">
        <v>1950</v>
      </c>
      <c r="K438" s="60"/>
      <c r="L438" s="60"/>
      <c r="M438" s="60"/>
      <c r="N438" s="61"/>
      <c r="O438" s="51"/>
    </row>
    <row r="439">
      <c r="A439" s="56">
        <v>436.0</v>
      </c>
      <c r="B439" s="57">
        <v>3644.0</v>
      </c>
      <c r="C439" s="58">
        <v>436.0</v>
      </c>
      <c r="D439" s="57" t="s">
        <v>1954</v>
      </c>
      <c r="E439" s="57" t="s">
        <v>1955</v>
      </c>
      <c r="F439" s="59">
        <v>40764.0</v>
      </c>
      <c r="G439" s="57" t="s">
        <v>1956</v>
      </c>
      <c r="H439" s="60"/>
      <c r="I439" s="63" t="s">
        <v>1957</v>
      </c>
      <c r="J439" s="57" t="s">
        <v>1958</v>
      </c>
      <c r="K439" s="60"/>
      <c r="L439" s="60"/>
      <c r="M439" s="60"/>
      <c r="N439" s="61"/>
      <c r="O439" s="51"/>
    </row>
    <row r="440">
      <c r="A440" s="56">
        <v>437.0</v>
      </c>
      <c r="B440" s="57">
        <v>3646.0</v>
      </c>
      <c r="C440" s="58">
        <v>438.0</v>
      </c>
      <c r="D440" s="57" t="s">
        <v>1959</v>
      </c>
      <c r="E440" s="57" t="s">
        <v>1960</v>
      </c>
      <c r="F440" s="78">
        <v>40845.0</v>
      </c>
      <c r="G440" s="57" t="s">
        <v>1961</v>
      </c>
      <c r="H440" s="60"/>
      <c r="I440" s="63" t="s">
        <v>635</v>
      </c>
      <c r="J440" s="57" t="s">
        <v>1962</v>
      </c>
      <c r="K440" s="60"/>
      <c r="L440" s="60"/>
      <c r="M440" s="60"/>
      <c r="N440" s="61"/>
      <c r="O440" s="51"/>
    </row>
    <row r="441">
      <c r="A441" s="56">
        <v>438.0</v>
      </c>
      <c r="B441" s="57">
        <v>3647.0</v>
      </c>
      <c r="C441" s="58">
        <v>439.0</v>
      </c>
      <c r="D441" s="60"/>
      <c r="E441" s="57" t="s">
        <v>1963</v>
      </c>
      <c r="F441" s="78">
        <v>40839.0</v>
      </c>
      <c r="G441" s="57" t="s">
        <v>1964</v>
      </c>
      <c r="H441" s="60"/>
      <c r="I441" s="63" t="s">
        <v>1965</v>
      </c>
      <c r="J441" s="57" t="s">
        <v>148</v>
      </c>
      <c r="K441" s="60"/>
      <c r="L441" s="60"/>
      <c r="M441" s="60"/>
      <c r="N441" s="61"/>
      <c r="O441" s="51"/>
    </row>
    <row r="442">
      <c r="A442" s="56">
        <v>439.0</v>
      </c>
      <c r="B442" s="63">
        <v>3648.0</v>
      </c>
      <c r="C442" s="64" t="s">
        <v>1966</v>
      </c>
      <c r="D442" s="63" t="s">
        <v>1967</v>
      </c>
      <c r="E442" s="63" t="s">
        <v>1968</v>
      </c>
      <c r="F442" s="70">
        <v>40013.0</v>
      </c>
      <c r="G442" s="80" t="s">
        <v>1969</v>
      </c>
      <c r="H442" s="82"/>
      <c r="I442" s="63" t="s">
        <v>1970</v>
      </c>
      <c r="J442" s="63" t="s">
        <v>1971</v>
      </c>
      <c r="K442" s="66"/>
      <c r="L442" s="66"/>
      <c r="M442" s="63" t="s">
        <v>530</v>
      </c>
      <c r="N442" s="61"/>
      <c r="O442" s="51"/>
    </row>
    <row r="443">
      <c r="A443" s="56">
        <v>440.0</v>
      </c>
      <c r="B443" s="57">
        <v>3649.0</v>
      </c>
      <c r="C443" s="58">
        <v>441.0</v>
      </c>
      <c r="D443" s="57" t="s">
        <v>1967</v>
      </c>
      <c r="E443" s="57" t="s">
        <v>1972</v>
      </c>
      <c r="F443" s="59">
        <v>40013.0</v>
      </c>
      <c r="G443" s="57" t="s">
        <v>1969</v>
      </c>
      <c r="H443" s="60"/>
      <c r="I443" s="63" t="s">
        <v>1970</v>
      </c>
      <c r="J443" s="57" t="s">
        <v>1973</v>
      </c>
      <c r="K443" s="60"/>
      <c r="L443" s="60"/>
      <c r="M443" s="60"/>
      <c r="N443" s="61"/>
      <c r="O443" s="51"/>
    </row>
    <row r="444">
      <c r="A444" s="56">
        <v>441.0</v>
      </c>
      <c r="B444" s="68">
        <v>3650.0</v>
      </c>
      <c r="C444" s="69" t="s">
        <v>1974</v>
      </c>
      <c r="D444" s="71"/>
      <c r="E444" s="68" t="s">
        <v>1975</v>
      </c>
      <c r="F444" s="76">
        <v>39264.0</v>
      </c>
      <c r="G444" s="68" t="s">
        <v>1976</v>
      </c>
      <c r="H444" s="71"/>
      <c r="I444" s="63" t="s">
        <v>1977</v>
      </c>
      <c r="J444" s="68" t="s">
        <v>252</v>
      </c>
      <c r="K444" s="71"/>
      <c r="L444" s="71"/>
      <c r="M444" s="68" t="s">
        <v>143</v>
      </c>
      <c r="N444" s="61"/>
      <c r="O444" s="51"/>
    </row>
    <row r="445">
      <c r="A445" s="56">
        <v>442.0</v>
      </c>
      <c r="B445" s="57">
        <v>3651.0</v>
      </c>
      <c r="C445" s="58">
        <v>443.0</v>
      </c>
      <c r="D445" s="60"/>
      <c r="E445" s="57" t="s">
        <v>1978</v>
      </c>
      <c r="F445" s="78">
        <v>40831.0</v>
      </c>
      <c r="G445" s="57" t="s">
        <v>1979</v>
      </c>
      <c r="H445" s="60"/>
      <c r="I445" s="63" t="s">
        <v>1980</v>
      </c>
      <c r="J445" s="57" t="s">
        <v>1981</v>
      </c>
      <c r="K445" s="60"/>
      <c r="L445" s="60"/>
      <c r="M445" s="60"/>
      <c r="N445" s="61"/>
      <c r="O445" s="51"/>
    </row>
    <row r="446">
      <c r="A446" s="56">
        <v>443.0</v>
      </c>
      <c r="B446" s="68">
        <v>3652.0</v>
      </c>
      <c r="C446" s="69">
        <v>444.0</v>
      </c>
      <c r="D446" s="87" t="s">
        <v>1982</v>
      </c>
      <c r="E446" s="68" t="s">
        <v>1983</v>
      </c>
      <c r="F446" s="76">
        <v>40325.0</v>
      </c>
      <c r="G446" s="68" t="s">
        <v>1984</v>
      </c>
      <c r="H446" s="71"/>
      <c r="I446" s="63" t="s">
        <v>1985</v>
      </c>
      <c r="J446" s="68" t="s">
        <v>252</v>
      </c>
      <c r="K446" s="71"/>
      <c r="L446" s="71"/>
      <c r="M446" s="68" t="s">
        <v>137</v>
      </c>
      <c r="N446" s="61"/>
      <c r="O446" s="51"/>
    </row>
    <row r="447">
      <c r="A447" s="56">
        <v>444.0</v>
      </c>
      <c r="B447" s="57">
        <v>3653.0</v>
      </c>
      <c r="C447" s="58">
        <v>445.0</v>
      </c>
      <c r="D447" s="60"/>
      <c r="E447" s="57" t="s">
        <v>1986</v>
      </c>
      <c r="F447" s="59">
        <v>40772.0</v>
      </c>
      <c r="G447" s="57" t="s">
        <v>1987</v>
      </c>
      <c r="H447" s="60"/>
      <c r="I447" s="63" t="s">
        <v>1273</v>
      </c>
      <c r="J447" s="57" t="s">
        <v>1988</v>
      </c>
      <c r="K447" s="60"/>
      <c r="L447" s="60"/>
      <c r="M447" s="60"/>
      <c r="N447" s="61"/>
      <c r="O447" s="51"/>
    </row>
    <row r="448">
      <c r="A448" s="56">
        <v>445.0</v>
      </c>
      <c r="B448" s="57">
        <v>3654.0</v>
      </c>
      <c r="C448" s="58">
        <v>446.0</v>
      </c>
      <c r="D448" s="60"/>
      <c r="E448" s="57" t="s">
        <v>1989</v>
      </c>
      <c r="F448" s="78">
        <v>40877.0</v>
      </c>
      <c r="G448" s="57" t="s">
        <v>1990</v>
      </c>
      <c r="H448" s="60"/>
      <c r="I448" s="63" t="s">
        <v>1991</v>
      </c>
      <c r="J448" s="57" t="s">
        <v>1992</v>
      </c>
      <c r="K448" s="60"/>
      <c r="L448" s="60"/>
      <c r="M448" s="60"/>
      <c r="N448" s="61"/>
      <c r="O448" s="51"/>
    </row>
    <row r="449">
      <c r="A449" s="56">
        <v>446.0</v>
      </c>
      <c r="B449" s="68">
        <v>3655.0</v>
      </c>
      <c r="C449" s="69">
        <v>447.0</v>
      </c>
      <c r="D449" s="71"/>
      <c r="E449" s="68" t="s">
        <v>1993</v>
      </c>
      <c r="F449" s="83">
        <v>40466.0</v>
      </c>
      <c r="G449" s="68" t="s">
        <v>1994</v>
      </c>
      <c r="H449" s="71"/>
      <c r="I449" s="68" t="s">
        <v>1995</v>
      </c>
      <c r="J449" s="68" t="s">
        <v>1996</v>
      </c>
      <c r="K449" s="71"/>
      <c r="L449" s="71"/>
      <c r="M449" s="71"/>
      <c r="N449" s="61"/>
      <c r="O449" s="51"/>
    </row>
    <row r="450">
      <c r="A450" s="56">
        <v>447.0</v>
      </c>
      <c r="B450" s="68">
        <v>3656.0</v>
      </c>
      <c r="C450" s="69">
        <v>448.0</v>
      </c>
      <c r="D450" s="71"/>
      <c r="E450" s="68" t="s">
        <v>1997</v>
      </c>
      <c r="F450" s="76">
        <v>40423.0</v>
      </c>
      <c r="G450" s="68" t="s">
        <v>1998</v>
      </c>
      <c r="H450" s="71"/>
      <c r="I450" s="63" t="s">
        <v>1999</v>
      </c>
      <c r="J450" s="68" t="s">
        <v>148</v>
      </c>
      <c r="K450" s="71"/>
      <c r="L450" s="71"/>
      <c r="M450" s="68" t="s">
        <v>1711</v>
      </c>
      <c r="N450" s="61"/>
      <c r="O450" s="51"/>
    </row>
    <row r="451">
      <c r="A451" s="56">
        <v>448.0</v>
      </c>
      <c r="B451" s="57">
        <v>3657.0</v>
      </c>
      <c r="C451" s="58">
        <v>449.0</v>
      </c>
      <c r="D451" s="60"/>
      <c r="E451" s="57" t="s">
        <v>2000</v>
      </c>
      <c r="F451" s="78">
        <v>40844.0</v>
      </c>
      <c r="G451" s="57" t="s">
        <v>2001</v>
      </c>
      <c r="H451" s="60"/>
      <c r="I451" s="63" t="s">
        <v>635</v>
      </c>
      <c r="J451" s="57" t="s">
        <v>2002</v>
      </c>
      <c r="K451" s="60"/>
      <c r="L451" s="60"/>
      <c r="M451" s="60"/>
      <c r="N451" s="61"/>
      <c r="O451" s="51"/>
    </row>
    <row r="452">
      <c r="A452" s="56">
        <v>449.0</v>
      </c>
      <c r="B452" s="57">
        <v>3658.0</v>
      </c>
      <c r="C452" s="58">
        <v>450.0</v>
      </c>
      <c r="D452" s="60"/>
      <c r="E452" s="57" t="s">
        <v>2003</v>
      </c>
      <c r="F452" s="78">
        <v>40876.0</v>
      </c>
      <c r="G452" s="57" t="s">
        <v>2004</v>
      </c>
      <c r="H452" s="60"/>
      <c r="I452" s="63" t="s">
        <v>2005</v>
      </c>
      <c r="J452" s="57" t="s">
        <v>2006</v>
      </c>
      <c r="K452" s="60"/>
      <c r="L452" s="60"/>
      <c r="M452" s="60"/>
      <c r="N452" s="61"/>
      <c r="O452" s="51"/>
    </row>
    <row r="453">
      <c r="A453" s="56">
        <v>450.0</v>
      </c>
      <c r="B453" s="68">
        <v>3659.0</v>
      </c>
      <c r="C453" s="69" t="s">
        <v>2007</v>
      </c>
      <c r="D453" s="71"/>
      <c r="E453" s="68" t="s">
        <v>2008</v>
      </c>
      <c r="F453" s="76">
        <v>40676.0</v>
      </c>
      <c r="G453" s="68" t="s">
        <v>2009</v>
      </c>
      <c r="H453" s="71"/>
      <c r="I453" s="68" t="s">
        <v>2010</v>
      </c>
      <c r="J453" s="68" t="s">
        <v>2011</v>
      </c>
      <c r="K453" s="71"/>
      <c r="L453" s="71"/>
      <c r="M453" s="104"/>
      <c r="N453" s="105"/>
      <c r="O453" s="51"/>
    </row>
    <row r="454">
      <c r="A454" s="75">
        <v>451.0</v>
      </c>
      <c r="B454" s="68">
        <v>3660.0</v>
      </c>
      <c r="C454" s="69" t="s">
        <v>2012</v>
      </c>
      <c r="D454" s="71"/>
      <c r="E454" s="68" t="s">
        <v>2013</v>
      </c>
      <c r="F454" s="76">
        <v>40729.0</v>
      </c>
      <c r="G454" s="68" t="s">
        <v>2014</v>
      </c>
      <c r="H454" s="71"/>
      <c r="I454" s="68" t="s">
        <v>2015</v>
      </c>
      <c r="J454" s="68" t="s">
        <v>2016</v>
      </c>
      <c r="K454" s="71"/>
      <c r="L454" s="71"/>
      <c r="M454" s="111"/>
      <c r="N454" s="77"/>
      <c r="O454" s="51"/>
    </row>
    <row r="455">
      <c r="A455" s="56">
        <v>452.0</v>
      </c>
      <c r="B455" s="68">
        <v>3661.0</v>
      </c>
      <c r="C455" s="69">
        <v>453.0</v>
      </c>
      <c r="D455" s="68" t="s">
        <v>2017</v>
      </c>
      <c r="E455" s="68" t="s">
        <v>2018</v>
      </c>
      <c r="F455" s="68" t="s">
        <v>407</v>
      </c>
      <c r="G455" s="68" t="s">
        <v>2019</v>
      </c>
      <c r="H455" s="71"/>
      <c r="I455" s="63" t="s">
        <v>2020</v>
      </c>
      <c r="J455" s="68" t="s">
        <v>2021</v>
      </c>
      <c r="K455" s="71"/>
      <c r="L455" s="71"/>
      <c r="M455" s="71"/>
      <c r="N455" s="61"/>
      <c r="O455" s="51"/>
    </row>
    <row r="456">
      <c r="A456" s="56">
        <v>453.0</v>
      </c>
      <c r="B456" s="63">
        <v>3662.0</v>
      </c>
      <c r="C456" s="64" t="s">
        <v>2022</v>
      </c>
      <c r="D456" s="63" t="s">
        <v>2023</v>
      </c>
      <c r="E456" s="63" t="s">
        <v>2024</v>
      </c>
      <c r="F456" s="70">
        <v>39999.0</v>
      </c>
      <c r="G456" s="80" t="s">
        <v>2025</v>
      </c>
      <c r="H456" s="82"/>
      <c r="I456" s="63" t="s">
        <v>2026</v>
      </c>
      <c r="J456" s="63" t="s">
        <v>1971</v>
      </c>
      <c r="K456" s="66"/>
      <c r="L456" s="66"/>
      <c r="M456" s="63" t="s">
        <v>530</v>
      </c>
      <c r="N456" s="61"/>
      <c r="O456" s="51"/>
    </row>
    <row r="457">
      <c r="A457" s="56">
        <v>454.0</v>
      </c>
      <c r="B457" s="63">
        <v>3663.0</v>
      </c>
      <c r="C457" s="64" t="s">
        <v>2027</v>
      </c>
      <c r="D457" s="63" t="s">
        <v>2023</v>
      </c>
      <c r="E457" s="63" t="s">
        <v>2028</v>
      </c>
      <c r="F457" s="70">
        <v>39999.0</v>
      </c>
      <c r="G457" s="80" t="s">
        <v>2025</v>
      </c>
      <c r="H457" s="82"/>
      <c r="I457" s="63" t="s">
        <v>2026</v>
      </c>
      <c r="J457" s="63" t="s">
        <v>1971</v>
      </c>
      <c r="K457" s="66"/>
      <c r="L457" s="66"/>
      <c r="M457" s="63" t="s">
        <v>530</v>
      </c>
      <c r="N457" s="61"/>
      <c r="O457" s="51"/>
    </row>
    <row r="458">
      <c r="A458" s="56">
        <v>455.0</v>
      </c>
      <c r="B458" s="57">
        <v>3664.0</v>
      </c>
      <c r="C458" s="58">
        <v>456.0</v>
      </c>
      <c r="D458" s="60"/>
      <c r="E458" s="57" t="s">
        <v>2029</v>
      </c>
      <c r="F458" s="59">
        <v>40725.0</v>
      </c>
      <c r="G458" s="57" t="s">
        <v>2030</v>
      </c>
      <c r="H458" s="60"/>
      <c r="I458" s="63" t="s">
        <v>635</v>
      </c>
      <c r="J458" s="57" t="s">
        <v>2031</v>
      </c>
      <c r="K458" s="60"/>
      <c r="L458" s="60"/>
      <c r="M458" s="60"/>
      <c r="N458" s="61"/>
      <c r="O458" s="51"/>
    </row>
    <row r="459">
      <c r="A459" s="56">
        <v>456.0</v>
      </c>
      <c r="B459" s="57">
        <v>3665.0</v>
      </c>
      <c r="C459" s="58">
        <v>457.0</v>
      </c>
      <c r="D459" s="60"/>
      <c r="E459" s="57" t="s">
        <v>2032</v>
      </c>
      <c r="F459" s="78">
        <v>40901.0</v>
      </c>
      <c r="G459" s="57" t="s">
        <v>2033</v>
      </c>
      <c r="H459" s="60"/>
      <c r="I459" s="63" t="s">
        <v>2034</v>
      </c>
      <c r="J459" s="57" t="s">
        <v>2035</v>
      </c>
      <c r="K459" s="60"/>
      <c r="L459" s="60"/>
      <c r="M459" s="60"/>
      <c r="N459" s="61"/>
      <c r="O459" s="51"/>
    </row>
    <row r="460">
      <c r="A460" s="56">
        <v>457.0</v>
      </c>
      <c r="B460" s="57">
        <v>3666.0</v>
      </c>
      <c r="C460" s="58">
        <v>458.0</v>
      </c>
      <c r="D460" s="60"/>
      <c r="E460" s="57" t="s">
        <v>2036</v>
      </c>
      <c r="F460" s="59">
        <v>38961.0</v>
      </c>
      <c r="G460" s="57" t="s">
        <v>2037</v>
      </c>
      <c r="H460" s="60"/>
      <c r="I460" s="57" t="s">
        <v>2038</v>
      </c>
      <c r="J460" s="57" t="s">
        <v>2039</v>
      </c>
      <c r="K460" s="60"/>
      <c r="L460" s="60"/>
      <c r="M460" s="60"/>
      <c r="N460" s="61"/>
      <c r="O460" s="51"/>
    </row>
    <row r="461">
      <c r="A461" s="56">
        <v>458.0</v>
      </c>
      <c r="B461" s="57">
        <v>3667.0</v>
      </c>
      <c r="C461" s="58" t="s">
        <v>2040</v>
      </c>
      <c r="D461" s="60"/>
      <c r="E461" s="57" t="s">
        <v>2041</v>
      </c>
      <c r="F461" s="59">
        <v>39760.0</v>
      </c>
      <c r="G461" s="57" t="s">
        <v>2042</v>
      </c>
      <c r="H461" s="60"/>
      <c r="I461" s="57" t="s">
        <v>2043</v>
      </c>
      <c r="J461" s="57" t="s">
        <v>2044</v>
      </c>
      <c r="K461" s="60"/>
      <c r="L461" s="60"/>
      <c r="M461" s="57" t="s">
        <v>31</v>
      </c>
      <c r="N461" s="112"/>
      <c r="O461" s="51"/>
    </row>
    <row r="462">
      <c r="A462" s="56">
        <v>459.0</v>
      </c>
      <c r="B462" s="57">
        <v>3668.0</v>
      </c>
      <c r="C462" s="58">
        <v>460.0</v>
      </c>
      <c r="D462" s="60"/>
      <c r="E462" s="57" t="s">
        <v>2045</v>
      </c>
      <c r="F462" s="78">
        <v>40860.0</v>
      </c>
      <c r="G462" s="57" t="s">
        <v>2046</v>
      </c>
      <c r="H462" s="60"/>
      <c r="I462" s="63" t="s">
        <v>2047</v>
      </c>
      <c r="J462" s="57" t="s">
        <v>2048</v>
      </c>
      <c r="K462" s="60"/>
      <c r="L462" s="60"/>
      <c r="M462" s="60"/>
      <c r="N462" s="61"/>
      <c r="O462" s="51"/>
    </row>
    <row r="463">
      <c r="A463" s="56">
        <v>460.0</v>
      </c>
      <c r="B463" s="57">
        <v>3669.0</v>
      </c>
      <c r="C463" s="58">
        <v>461.0</v>
      </c>
      <c r="D463" s="60"/>
      <c r="E463" s="57" t="s">
        <v>2049</v>
      </c>
      <c r="F463" s="59">
        <v>40672.0</v>
      </c>
      <c r="G463" s="57" t="s">
        <v>2050</v>
      </c>
      <c r="H463" s="60"/>
      <c r="I463" s="57" t="s">
        <v>2051</v>
      </c>
      <c r="J463" s="57" t="s">
        <v>2052</v>
      </c>
      <c r="K463" s="60"/>
      <c r="L463" s="60"/>
      <c r="M463" s="60"/>
      <c r="N463" s="61"/>
      <c r="O463" s="51"/>
    </row>
    <row r="464">
      <c r="A464" s="56">
        <v>461.0</v>
      </c>
      <c r="B464" s="57">
        <v>3670.0</v>
      </c>
      <c r="C464" s="58">
        <v>462.0</v>
      </c>
      <c r="D464" s="60"/>
      <c r="E464" s="57" t="s">
        <v>2053</v>
      </c>
      <c r="F464" s="59">
        <v>40910.0</v>
      </c>
      <c r="G464" s="57" t="s">
        <v>2054</v>
      </c>
      <c r="H464" s="60"/>
      <c r="I464" s="57" t="s">
        <v>2055</v>
      </c>
      <c r="J464" s="57" t="s">
        <v>2056</v>
      </c>
      <c r="K464" s="60"/>
      <c r="L464" s="60"/>
      <c r="M464" s="60"/>
      <c r="N464" s="61"/>
      <c r="O464" s="51"/>
    </row>
    <row r="465">
      <c r="A465" s="56">
        <v>462.0</v>
      </c>
      <c r="B465" s="57">
        <v>3671.0</v>
      </c>
      <c r="C465" s="58">
        <v>463.0</v>
      </c>
      <c r="D465" s="60"/>
      <c r="E465" s="57" t="s">
        <v>2057</v>
      </c>
      <c r="F465" s="78">
        <v>39412.0</v>
      </c>
      <c r="G465" s="57" t="s">
        <v>2058</v>
      </c>
      <c r="H465" s="60"/>
      <c r="I465" s="57" t="s">
        <v>2059</v>
      </c>
      <c r="J465" s="57" t="s">
        <v>148</v>
      </c>
      <c r="K465" s="60"/>
      <c r="L465" s="60"/>
      <c r="M465" s="60"/>
      <c r="N465" s="61"/>
      <c r="O465" s="51"/>
    </row>
    <row r="466">
      <c r="A466" s="56">
        <v>463.0</v>
      </c>
      <c r="B466" s="57">
        <v>3672.0</v>
      </c>
      <c r="C466" s="58">
        <v>464.0</v>
      </c>
      <c r="D466" s="57" t="s">
        <v>2060</v>
      </c>
      <c r="E466" s="57" t="s">
        <v>2061</v>
      </c>
      <c r="F466" s="59">
        <v>40791.0</v>
      </c>
      <c r="G466" s="57" t="s">
        <v>2062</v>
      </c>
      <c r="H466" s="60"/>
      <c r="I466" s="63" t="s">
        <v>2063</v>
      </c>
      <c r="J466" s="57" t="s">
        <v>2064</v>
      </c>
      <c r="K466" s="60"/>
      <c r="L466" s="60"/>
      <c r="M466" s="60"/>
      <c r="N466" s="61"/>
      <c r="O466" s="51"/>
    </row>
    <row r="467">
      <c r="A467" s="56">
        <v>464.0</v>
      </c>
      <c r="B467" s="57">
        <v>3673.0</v>
      </c>
      <c r="C467" s="58">
        <v>465.0</v>
      </c>
      <c r="D467" s="60"/>
      <c r="E467" s="57" t="s">
        <v>2065</v>
      </c>
      <c r="F467" s="59">
        <v>40683.0</v>
      </c>
      <c r="G467" s="57" t="s">
        <v>2066</v>
      </c>
      <c r="H467" s="60"/>
      <c r="I467" s="63" t="s">
        <v>635</v>
      </c>
      <c r="J467" s="57" t="s">
        <v>2067</v>
      </c>
      <c r="K467" s="60"/>
      <c r="L467" s="60"/>
      <c r="M467" s="60"/>
      <c r="N467" s="61"/>
      <c r="O467" s="51"/>
    </row>
    <row r="468">
      <c r="A468" s="56">
        <v>465.0</v>
      </c>
      <c r="B468" s="57">
        <v>3674.0</v>
      </c>
      <c r="C468" s="58">
        <v>466.0</v>
      </c>
      <c r="D468" s="60"/>
      <c r="E468" s="57" t="s">
        <v>2068</v>
      </c>
      <c r="F468" s="57" t="s">
        <v>407</v>
      </c>
      <c r="G468" s="57" t="s">
        <v>2069</v>
      </c>
      <c r="H468" s="60"/>
      <c r="I468" s="66"/>
      <c r="J468" s="57" t="s">
        <v>2070</v>
      </c>
      <c r="K468" s="60"/>
      <c r="L468" s="60"/>
      <c r="M468" s="60"/>
      <c r="N468" s="61"/>
      <c r="O468" s="51"/>
    </row>
    <row r="469">
      <c r="A469" s="56">
        <v>466.0</v>
      </c>
      <c r="B469" s="63">
        <v>3675.0</v>
      </c>
      <c r="C469" s="64" t="s">
        <v>2071</v>
      </c>
      <c r="D469" s="66"/>
      <c r="E469" s="63" t="s">
        <v>2072</v>
      </c>
      <c r="F469" s="70">
        <v>40592.0</v>
      </c>
      <c r="G469" s="80" t="s">
        <v>2073</v>
      </c>
      <c r="H469" s="82"/>
      <c r="I469" s="63" t="s">
        <v>2074</v>
      </c>
      <c r="J469" s="63" t="s">
        <v>1490</v>
      </c>
      <c r="K469" s="66"/>
      <c r="L469" s="66"/>
      <c r="M469" s="63" t="s">
        <v>27</v>
      </c>
      <c r="N469" s="61"/>
      <c r="O469" s="51"/>
    </row>
    <row r="470">
      <c r="A470" s="56">
        <v>467.0</v>
      </c>
      <c r="B470" s="63">
        <v>3676.0</v>
      </c>
      <c r="C470" s="64" t="s">
        <v>2075</v>
      </c>
      <c r="D470" s="66"/>
      <c r="E470" s="63" t="s">
        <v>2076</v>
      </c>
      <c r="F470" s="70">
        <v>40592.0</v>
      </c>
      <c r="G470" s="80" t="s">
        <v>2073</v>
      </c>
      <c r="H470" s="82"/>
      <c r="I470" s="80" t="s">
        <v>2073</v>
      </c>
      <c r="J470" s="63" t="s">
        <v>1490</v>
      </c>
      <c r="K470" s="66"/>
      <c r="L470" s="66"/>
      <c r="M470" s="63" t="s">
        <v>27</v>
      </c>
      <c r="N470" s="61"/>
      <c r="O470" s="51"/>
    </row>
    <row r="471">
      <c r="A471" s="56">
        <v>468.0</v>
      </c>
      <c r="B471" s="63">
        <v>3677.0</v>
      </c>
      <c r="C471" s="64" t="s">
        <v>2077</v>
      </c>
      <c r="D471" s="66"/>
      <c r="E471" s="63" t="s">
        <v>2078</v>
      </c>
      <c r="F471" s="70">
        <v>40592.0</v>
      </c>
      <c r="G471" s="80" t="s">
        <v>2073</v>
      </c>
      <c r="H471" s="82"/>
      <c r="I471" s="63" t="s">
        <v>2074</v>
      </c>
      <c r="J471" s="63" t="s">
        <v>1490</v>
      </c>
      <c r="K471" s="66"/>
      <c r="L471" s="66"/>
      <c r="M471" s="63" t="s">
        <v>27</v>
      </c>
      <c r="N471" s="61"/>
      <c r="O471" s="51"/>
    </row>
    <row r="472">
      <c r="A472" s="56">
        <v>469.0</v>
      </c>
      <c r="B472" s="57">
        <v>3678.0</v>
      </c>
      <c r="C472" s="58">
        <v>470.0</v>
      </c>
      <c r="D472" s="60"/>
      <c r="E472" s="57" t="s">
        <v>2079</v>
      </c>
      <c r="F472" s="78">
        <v>40507.0</v>
      </c>
      <c r="G472" s="57" t="s">
        <v>2080</v>
      </c>
      <c r="H472" s="60"/>
      <c r="I472" s="57" t="s">
        <v>2081</v>
      </c>
      <c r="J472" s="57" t="s">
        <v>2082</v>
      </c>
      <c r="K472" s="60"/>
      <c r="L472" s="60"/>
      <c r="M472" s="60"/>
      <c r="N472" s="61"/>
      <c r="O472" s="51"/>
    </row>
    <row r="473">
      <c r="A473" s="62">
        <v>470.0</v>
      </c>
      <c r="B473" s="63">
        <v>3679.0</v>
      </c>
      <c r="C473" s="64" t="s">
        <v>2083</v>
      </c>
      <c r="D473" s="63" t="s">
        <v>2084</v>
      </c>
      <c r="E473" s="63" t="s">
        <v>2085</v>
      </c>
      <c r="F473" s="70">
        <v>40618.0</v>
      </c>
      <c r="G473" s="63" t="s">
        <v>2086</v>
      </c>
      <c r="H473" s="66"/>
      <c r="I473" s="63" t="s">
        <v>2087</v>
      </c>
      <c r="J473" s="66"/>
      <c r="K473" s="66"/>
      <c r="L473" s="66"/>
      <c r="M473" s="66"/>
      <c r="N473" s="77"/>
      <c r="O473" s="51"/>
    </row>
    <row r="474">
      <c r="A474" s="56">
        <v>471.0</v>
      </c>
      <c r="B474" s="68">
        <v>3680.0</v>
      </c>
      <c r="C474" s="69">
        <v>472.0</v>
      </c>
      <c r="D474" s="71"/>
      <c r="E474" s="68" t="s">
        <v>2088</v>
      </c>
      <c r="F474" s="83">
        <v>40099.0</v>
      </c>
      <c r="G474" s="68" t="s">
        <v>2089</v>
      </c>
      <c r="H474" s="71"/>
      <c r="I474" s="63" t="s">
        <v>2090</v>
      </c>
      <c r="J474" s="68" t="s">
        <v>2091</v>
      </c>
      <c r="K474" s="71"/>
      <c r="L474" s="71"/>
      <c r="M474" s="71"/>
      <c r="N474" s="61"/>
      <c r="O474" s="51"/>
    </row>
    <row r="475">
      <c r="A475" s="75">
        <v>472.0</v>
      </c>
      <c r="B475" s="68">
        <v>3681.0</v>
      </c>
      <c r="C475" s="69" t="s">
        <v>2092</v>
      </c>
      <c r="D475" s="71"/>
      <c r="E475" s="68" t="s">
        <v>2093</v>
      </c>
      <c r="F475" s="76">
        <v>39950.0</v>
      </c>
      <c r="G475" s="68" t="s">
        <v>2094</v>
      </c>
      <c r="H475" s="71"/>
      <c r="I475" s="68" t="s">
        <v>2095</v>
      </c>
      <c r="J475" s="68" t="s">
        <v>2096</v>
      </c>
      <c r="K475" s="71"/>
      <c r="L475" s="71"/>
      <c r="M475" s="68" t="s">
        <v>2097</v>
      </c>
      <c r="N475" s="77"/>
      <c r="O475" s="51"/>
    </row>
    <row r="476">
      <c r="A476" s="56">
        <v>473.0</v>
      </c>
      <c r="B476" s="57">
        <v>3682.0</v>
      </c>
      <c r="C476" s="58">
        <v>474.0</v>
      </c>
      <c r="D476" s="60"/>
      <c r="E476" s="57" t="s">
        <v>2098</v>
      </c>
      <c r="F476" s="59">
        <v>39885.0</v>
      </c>
      <c r="G476" s="57" t="s">
        <v>2099</v>
      </c>
      <c r="H476" s="60"/>
      <c r="I476" s="63" t="s">
        <v>2100</v>
      </c>
      <c r="J476" s="57" t="s">
        <v>2101</v>
      </c>
      <c r="K476" s="60"/>
      <c r="L476" s="60"/>
      <c r="M476" s="60"/>
      <c r="N476" s="61"/>
      <c r="O476" s="51"/>
    </row>
    <row r="477">
      <c r="A477" s="56">
        <v>474.0</v>
      </c>
      <c r="B477" s="68">
        <v>3683.0</v>
      </c>
      <c r="C477" s="69">
        <v>475.0</v>
      </c>
      <c r="D477" s="71"/>
      <c r="E477" s="68" t="s">
        <v>2102</v>
      </c>
      <c r="F477" s="83">
        <v>40894.0</v>
      </c>
      <c r="G477" s="68" t="s">
        <v>2103</v>
      </c>
      <c r="H477" s="71"/>
      <c r="I477" s="68" t="s">
        <v>2104</v>
      </c>
      <c r="J477" s="68" t="s">
        <v>2105</v>
      </c>
      <c r="K477" s="71"/>
      <c r="L477" s="71"/>
      <c r="M477" s="71"/>
      <c r="N477" s="77"/>
      <c r="O477" s="51"/>
    </row>
    <row r="478">
      <c r="A478" s="56">
        <v>475.0</v>
      </c>
      <c r="B478" s="57">
        <v>3684.0</v>
      </c>
      <c r="C478" s="58">
        <v>476.0</v>
      </c>
      <c r="D478" s="60"/>
      <c r="E478" s="57" t="s">
        <v>2106</v>
      </c>
      <c r="F478" s="59">
        <v>40609.0</v>
      </c>
      <c r="G478" s="57" t="s">
        <v>2107</v>
      </c>
      <c r="H478" s="60"/>
      <c r="I478" s="63" t="s">
        <v>635</v>
      </c>
      <c r="J478" s="57" t="s">
        <v>2108</v>
      </c>
      <c r="K478" s="60"/>
      <c r="L478" s="60"/>
      <c r="M478" s="60"/>
      <c r="N478" s="61"/>
      <c r="O478" s="51"/>
    </row>
    <row r="479">
      <c r="A479" s="56">
        <v>476.0</v>
      </c>
      <c r="B479" s="68">
        <v>3685.0</v>
      </c>
      <c r="C479" s="69">
        <v>477.0</v>
      </c>
      <c r="D479" s="71"/>
      <c r="E479" s="68" t="s">
        <v>2109</v>
      </c>
      <c r="F479" s="76">
        <v>40343.0</v>
      </c>
      <c r="G479" s="68" t="s">
        <v>2110</v>
      </c>
      <c r="H479" s="71"/>
      <c r="I479" s="63" t="s">
        <v>2111</v>
      </c>
      <c r="J479" s="68" t="s">
        <v>2112</v>
      </c>
      <c r="K479" s="71"/>
      <c r="L479" s="71"/>
      <c r="M479" s="71"/>
      <c r="N479" s="61"/>
      <c r="O479" s="51"/>
    </row>
    <row r="480">
      <c r="A480" s="56">
        <v>477.0</v>
      </c>
      <c r="B480" s="57">
        <v>3686.0</v>
      </c>
      <c r="C480" s="58">
        <v>478.0</v>
      </c>
      <c r="D480" s="60"/>
      <c r="E480" s="57" t="s">
        <v>2113</v>
      </c>
      <c r="F480" s="59">
        <v>40773.0</v>
      </c>
      <c r="G480" s="57" t="s">
        <v>2114</v>
      </c>
      <c r="H480" s="60"/>
      <c r="I480" s="63" t="s">
        <v>2115</v>
      </c>
      <c r="J480" s="57" t="s">
        <v>2116</v>
      </c>
      <c r="K480" s="60"/>
      <c r="L480" s="60"/>
      <c r="M480" s="60"/>
      <c r="N480" s="61"/>
      <c r="O480" s="51"/>
    </row>
    <row r="481">
      <c r="A481" s="56">
        <v>478.0</v>
      </c>
      <c r="B481" s="57">
        <v>3687.0</v>
      </c>
      <c r="C481" s="58">
        <v>479.0</v>
      </c>
      <c r="D481" s="60"/>
      <c r="E481" s="57" t="s">
        <v>2117</v>
      </c>
      <c r="F481" s="59">
        <v>40566.0</v>
      </c>
      <c r="G481" s="57" t="s">
        <v>2118</v>
      </c>
      <c r="H481" s="60"/>
      <c r="I481" s="63" t="s">
        <v>2119</v>
      </c>
      <c r="J481" s="57" t="s">
        <v>2120</v>
      </c>
      <c r="K481" s="60"/>
      <c r="L481" s="60"/>
      <c r="M481" s="60"/>
      <c r="N481" s="61"/>
      <c r="O481" s="51"/>
    </row>
    <row r="482">
      <c r="A482" s="56">
        <v>479.0</v>
      </c>
      <c r="B482" s="68">
        <v>3688.0</v>
      </c>
      <c r="C482" s="69">
        <v>480.0</v>
      </c>
      <c r="D482" s="71"/>
      <c r="E482" s="68" t="s">
        <v>2121</v>
      </c>
      <c r="F482" s="76">
        <v>40921.0</v>
      </c>
      <c r="G482" s="68" t="s">
        <v>2122</v>
      </c>
      <c r="H482" s="71"/>
      <c r="I482" s="68" t="s">
        <v>2123</v>
      </c>
      <c r="J482" s="68" t="s">
        <v>2124</v>
      </c>
      <c r="K482" s="71"/>
      <c r="L482" s="71"/>
      <c r="M482" s="71"/>
      <c r="N482" s="61"/>
      <c r="O482" s="51"/>
    </row>
    <row r="483">
      <c r="A483" s="56">
        <v>480.0</v>
      </c>
      <c r="B483" s="68">
        <v>3689.0</v>
      </c>
      <c r="C483" s="69">
        <v>481.0</v>
      </c>
      <c r="D483" s="71"/>
      <c r="E483" s="68" t="s">
        <v>2125</v>
      </c>
      <c r="F483" s="76">
        <v>40916.0</v>
      </c>
      <c r="G483" s="68" t="s">
        <v>2126</v>
      </c>
      <c r="H483" s="71"/>
      <c r="I483" s="63" t="s">
        <v>2127</v>
      </c>
      <c r="J483" s="68" t="s">
        <v>2128</v>
      </c>
      <c r="K483" s="71"/>
      <c r="L483" s="71"/>
      <c r="M483" s="71"/>
      <c r="N483" s="61"/>
      <c r="O483" s="51"/>
    </row>
    <row r="484">
      <c r="A484" s="56">
        <v>481.0</v>
      </c>
      <c r="B484" s="68">
        <v>3690.0</v>
      </c>
      <c r="C484" s="69">
        <v>482.0</v>
      </c>
      <c r="D484" s="71"/>
      <c r="E484" s="68" t="s">
        <v>2129</v>
      </c>
      <c r="F484" s="76">
        <v>39710.0</v>
      </c>
      <c r="G484" s="68" t="s">
        <v>2130</v>
      </c>
      <c r="H484" s="71"/>
      <c r="I484" s="68" t="s">
        <v>2131</v>
      </c>
      <c r="J484" s="68" t="s">
        <v>2132</v>
      </c>
      <c r="K484" s="71"/>
      <c r="L484" s="71"/>
      <c r="M484" s="71"/>
      <c r="N484" s="61"/>
      <c r="O484" s="51"/>
    </row>
    <row r="485">
      <c r="A485" s="56">
        <v>482.0</v>
      </c>
      <c r="B485" s="68">
        <v>3691.0</v>
      </c>
      <c r="C485" s="69">
        <v>483.0</v>
      </c>
      <c r="D485" s="71"/>
      <c r="E485" s="68" t="s">
        <v>2133</v>
      </c>
      <c r="F485" s="83">
        <v>40873.0</v>
      </c>
      <c r="G485" s="68" t="s">
        <v>2134</v>
      </c>
      <c r="H485" s="71"/>
      <c r="I485" s="63" t="s">
        <v>2135</v>
      </c>
      <c r="J485" s="68" t="s">
        <v>2136</v>
      </c>
      <c r="K485" s="71"/>
      <c r="L485" s="66"/>
      <c r="M485" s="66"/>
      <c r="N485" s="61"/>
      <c r="O485" s="51"/>
    </row>
    <row r="486">
      <c r="A486" s="56">
        <v>483.0</v>
      </c>
      <c r="B486" s="68">
        <v>3692.0</v>
      </c>
      <c r="C486" s="69" t="s">
        <v>2137</v>
      </c>
      <c r="D486" s="71"/>
      <c r="E486" s="68" t="s">
        <v>2138</v>
      </c>
      <c r="F486" s="76">
        <v>40749.0</v>
      </c>
      <c r="G486" s="68" t="s">
        <v>2139</v>
      </c>
      <c r="H486" s="71"/>
      <c r="I486" s="68" t="s">
        <v>2140</v>
      </c>
      <c r="J486" s="68" t="s">
        <v>2141</v>
      </c>
      <c r="K486" s="71"/>
      <c r="L486" s="71"/>
      <c r="M486" s="71"/>
      <c r="N486" s="77"/>
      <c r="O486" s="51"/>
    </row>
    <row r="487">
      <c r="A487" s="56">
        <v>484.0</v>
      </c>
      <c r="B487" s="68">
        <v>3693.0</v>
      </c>
      <c r="C487" s="69">
        <v>485.0</v>
      </c>
      <c r="D487" s="71"/>
      <c r="E487" s="68" t="s">
        <v>2142</v>
      </c>
      <c r="F487" s="76">
        <v>40720.0</v>
      </c>
      <c r="G487" s="68" t="s">
        <v>2143</v>
      </c>
      <c r="H487" s="71"/>
      <c r="I487" s="68" t="s">
        <v>2144</v>
      </c>
      <c r="J487" s="68" t="s">
        <v>2145</v>
      </c>
      <c r="K487" s="71"/>
      <c r="L487" s="71"/>
      <c r="M487" s="71"/>
      <c r="N487" s="61"/>
      <c r="O487" s="51"/>
    </row>
    <row r="488">
      <c r="A488" s="56">
        <v>485.0</v>
      </c>
      <c r="B488" s="68">
        <v>3694.0</v>
      </c>
      <c r="C488" s="69" t="s">
        <v>2146</v>
      </c>
      <c r="D488" s="71"/>
      <c r="E488" s="68" t="s">
        <v>2147</v>
      </c>
      <c r="F488" s="83">
        <v>40099.0</v>
      </c>
      <c r="G488" s="68" t="s">
        <v>2148</v>
      </c>
      <c r="H488" s="68" t="s">
        <v>2149</v>
      </c>
      <c r="I488" s="68" t="s">
        <v>2150</v>
      </c>
      <c r="J488" s="68" t="s">
        <v>2151</v>
      </c>
      <c r="K488" s="71"/>
      <c r="L488" s="71"/>
      <c r="M488" s="68" t="s">
        <v>2152</v>
      </c>
      <c r="N488" s="77"/>
      <c r="O488" s="51"/>
    </row>
    <row r="489">
      <c r="A489" s="56">
        <v>486.0</v>
      </c>
      <c r="B489" s="57">
        <v>3695.0</v>
      </c>
      <c r="C489" s="58">
        <v>487.0</v>
      </c>
      <c r="D489" s="57" t="s">
        <v>2153</v>
      </c>
      <c r="E489" s="57" t="s">
        <v>2154</v>
      </c>
      <c r="F489" s="59">
        <v>40885.0</v>
      </c>
      <c r="G489" s="57" t="s">
        <v>2155</v>
      </c>
      <c r="H489" s="60"/>
      <c r="I489" s="57" t="s">
        <v>2156</v>
      </c>
      <c r="J489" s="89" t="s">
        <v>2157</v>
      </c>
      <c r="K489" s="109"/>
      <c r="L489" s="60"/>
      <c r="M489" s="60"/>
      <c r="N489" s="112"/>
      <c r="O489" s="51"/>
    </row>
    <row r="490">
      <c r="A490" s="56">
        <v>487.0</v>
      </c>
      <c r="B490" s="68">
        <v>3696.0</v>
      </c>
      <c r="C490" s="69">
        <v>488.0</v>
      </c>
      <c r="D490" s="71"/>
      <c r="E490" s="68" t="s">
        <v>2158</v>
      </c>
      <c r="F490" s="76">
        <v>40775.0</v>
      </c>
      <c r="G490" s="68" t="s">
        <v>2159</v>
      </c>
      <c r="H490" s="71"/>
      <c r="I490" s="63" t="s">
        <v>2160</v>
      </c>
      <c r="J490" s="68" t="s">
        <v>2161</v>
      </c>
      <c r="K490" s="71"/>
      <c r="L490" s="71"/>
      <c r="M490" s="71"/>
      <c r="N490" s="61"/>
      <c r="O490" s="51"/>
    </row>
    <row r="491">
      <c r="A491" s="56">
        <v>488.0</v>
      </c>
      <c r="B491" s="68">
        <v>3697.0</v>
      </c>
      <c r="C491" s="69">
        <v>489.0</v>
      </c>
      <c r="D491" s="68" t="s">
        <v>2162</v>
      </c>
      <c r="E491" s="68" t="s">
        <v>2163</v>
      </c>
      <c r="F491" s="76">
        <v>40785.0</v>
      </c>
      <c r="G491" s="68" t="s">
        <v>2164</v>
      </c>
      <c r="H491" s="71"/>
      <c r="I491" s="63" t="s">
        <v>2165</v>
      </c>
      <c r="J491" s="68" t="s">
        <v>2166</v>
      </c>
      <c r="K491" s="71"/>
      <c r="L491" s="71"/>
      <c r="M491" s="71"/>
      <c r="N491" s="61"/>
      <c r="O491" s="51"/>
    </row>
    <row r="492">
      <c r="A492" s="56">
        <v>489.0</v>
      </c>
      <c r="B492" s="68">
        <v>3698.0</v>
      </c>
      <c r="C492" s="69">
        <v>490.0</v>
      </c>
      <c r="D492" s="71"/>
      <c r="E492" s="68" t="s">
        <v>2167</v>
      </c>
      <c r="F492" s="76">
        <v>40620.0</v>
      </c>
      <c r="G492" s="68" t="s">
        <v>2168</v>
      </c>
      <c r="H492" s="71"/>
      <c r="I492" s="68" t="s">
        <v>2169</v>
      </c>
      <c r="J492" s="68" t="s">
        <v>2170</v>
      </c>
      <c r="K492" s="71"/>
      <c r="L492" s="71"/>
      <c r="M492" s="71"/>
      <c r="N492" s="61"/>
      <c r="O492" s="51"/>
    </row>
    <row r="493">
      <c r="A493" s="75">
        <v>490.0</v>
      </c>
      <c r="B493" s="68">
        <v>3699.0</v>
      </c>
      <c r="C493" s="69" t="s">
        <v>2171</v>
      </c>
      <c r="D493" s="71"/>
      <c r="E493" s="68" t="s">
        <v>2172</v>
      </c>
      <c r="F493" s="76">
        <v>40091.0</v>
      </c>
      <c r="G493" s="68" t="s">
        <v>2173</v>
      </c>
      <c r="H493" s="71"/>
      <c r="I493" s="68" t="s">
        <v>2174</v>
      </c>
      <c r="J493" s="68" t="s">
        <v>2175</v>
      </c>
      <c r="K493" s="71"/>
      <c r="L493" s="71"/>
      <c r="M493" s="68" t="s">
        <v>530</v>
      </c>
      <c r="N493" s="77"/>
      <c r="O493" s="51"/>
    </row>
    <row r="494">
      <c r="A494" s="56">
        <v>491.0</v>
      </c>
      <c r="B494" s="68">
        <v>3700.0</v>
      </c>
      <c r="C494" s="69">
        <v>492.0</v>
      </c>
      <c r="D494" s="71"/>
      <c r="E494" s="68" t="s">
        <v>2176</v>
      </c>
      <c r="F494" s="83">
        <v>40859.0</v>
      </c>
      <c r="G494" s="68" t="s">
        <v>2177</v>
      </c>
      <c r="H494" s="71"/>
      <c r="I494" s="68" t="s">
        <v>2178</v>
      </c>
      <c r="J494" s="68" t="s">
        <v>761</v>
      </c>
      <c r="K494" s="71"/>
      <c r="L494" s="71"/>
      <c r="M494" s="71"/>
      <c r="N494" s="61"/>
      <c r="O494" s="51"/>
    </row>
    <row r="495">
      <c r="A495" s="56">
        <v>492.0</v>
      </c>
      <c r="B495" s="68">
        <v>3701.0</v>
      </c>
      <c r="C495" s="69">
        <v>493.0</v>
      </c>
      <c r="D495" s="71"/>
      <c r="E495" s="68" t="s">
        <v>2179</v>
      </c>
      <c r="F495" s="76">
        <v>40949.0</v>
      </c>
      <c r="G495" s="68" t="s">
        <v>2180</v>
      </c>
      <c r="H495" s="71"/>
      <c r="I495" s="63" t="s">
        <v>635</v>
      </c>
      <c r="J495" s="68" t="s">
        <v>2181</v>
      </c>
      <c r="K495" s="71"/>
      <c r="L495" s="71"/>
      <c r="M495" s="71"/>
      <c r="N495" s="61"/>
      <c r="O495" s="51"/>
    </row>
    <row r="496">
      <c r="A496" s="56">
        <v>493.0</v>
      </c>
      <c r="B496" s="68">
        <v>3702.0</v>
      </c>
      <c r="C496" s="69">
        <v>494.0</v>
      </c>
      <c r="D496" s="71"/>
      <c r="E496" s="68" t="s">
        <v>2182</v>
      </c>
      <c r="F496" s="76">
        <v>40933.0</v>
      </c>
      <c r="G496" s="68" t="s">
        <v>2183</v>
      </c>
      <c r="H496" s="71"/>
      <c r="I496" s="63" t="s">
        <v>635</v>
      </c>
      <c r="J496" s="68" t="s">
        <v>2184</v>
      </c>
      <c r="K496" s="71"/>
      <c r="L496" s="71"/>
      <c r="M496" s="71"/>
      <c r="N496" s="61"/>
      <c r="O496" s="51"/>
    </row>
    <row r="497">
      <c r="A497" s="56">
        <v>494.0</v>
      </c>
      <c r="B497" s="68">
        <v>3703.0</v>
      </c>
      <c r="C497" s="69">
        <v>495.0</v>
      </c>
      <c r="D497" s="71"/>
      <c r="E497" s="68" t="s">
        <v>2185</v>
      </c>
      <c r="F497" s="76">
        <v>40938.0</v>
      </c>
      <c r="G497" s="68" t="s">
        <v>2186</v>
      </c>
      <c r="H497" s="71"/>
      <c r="I497" s="99" t="s">
        <v>2187</v>
      </c>
      <c r="J497" s="68" t="s">
        <v>2188</v>
      </c>
      <c r="K497" s="71"/>
      <c r="L497" s="71"/>
      <c r="M497" s="71"/>
      <c r="N497" s="61"/>
      <c r="O497" s="51"/>
    </row>
    <row r="498">
      <c r="A498" s="56">
        <v>495.0</v>
      </c>
      <c r="B498" s="68">
        <v>3704.0</v>
      </c>
      <c r="C498" s="69">
        <v>496.0</v>
      </c>
      <c r="D498" s="71"/>
      <c r="E498" s="68" t="s">
        <v>2189</v>
      </c>
      <c r="F498" s="76">
        <v>40938.0</v>
      </c>
      <c r="G498" s="68" t="s">
        <v>2190</v>
      </c>
      <c r="H498" s="71"/>
      <c r="I498" s="99" t="s">
        <v>2187</v>
      </c>
      <c r="J498" s="68" t="s">
        <v>2188</v>
      </c>
      <c r="K498" s="71"/>
      <c r="L498" s="71"/>
      <c r="M498" s="66"/>
      <c r="N498" s="61"/>
      <c r="O498" s="51"/>
    </row>
    <row r="499">
      <c r="A499" s="56">
        <v>496.0</v>
      </c>
      <c r="B499" s="68">
        <v>3705.0</v>
      </c>
      <c r="C499" s="69">
        <v>497.0</v>
      </c>
      <c r="D499" s="71"/>
      <c r="E499" s="68" t="s">
        <v>2191</v>
      </c>
      <c r="F499" s="76">
        <v>40915.0</v>
      </c>
      <c r="G499" s="68" t="s">
        <v>2192</v>
      </c>
      <c r="H499" s="71"/>
      <c r="I499" s="63" t="s">
        <v>635</v>
      </c>
      <c r="J499" s="68" t="s">
        <v>2193</v>
      </c>
      <c r="K499" s="66"/>
      <c r="L499" s="66"/>
      <c r="M499" s="66"/>
      <c r="N499" s="61"/>
      <c r="O499" s="51"/>
    </row>
    <row r="500">
      <c r="A500" s="56">
        <v>497.0</v>
      </c>
      <c r="B500" s="57">
        <v>3706.0</v>
      </c>
      <c r="C500" s="58">
        <v>498.0</v>
      </c>
      <c r="D500" s="60"/>
      <c r="E500" s="57" t="s">
        <v>2194</v>
      </c>
      <c r="F500" s="59">
        <v>40939.0</v>
      </c>
      <c r="G500" s="57" t="s">
        <v>2195</v>
      </c>
      <c r="H500" s="60"/>
      <c r="I500" s="57" t="s">
        <v>635</v>
      </c>
      <c r="J500" s="89" t="s">
        <v>2196</v>
      </c>
      <c r="K500" s="109"/>
      <c r="L500" s="60"/>
      <c r="M500" s="60"/>
      <c r="N500" s="112"/>
      <c r="O500" s="51"/>
    </row>
    <row r="501">
      <c r="A501" s="56">
        <v>498.0</v>
      </c>
      <c r="B501" s="63">
        <v>3707.0</v>
      </c>
      <c r="C501" s="64" t="s">
        <v>2197</v>
      </c>
      <c r="D501" s="66"/>
      <c r="E501" s="63" t="s">
        <v>2198</v>
      </c>
      <c r="F501" s="70">
        <v>40394.0</v>
      </c>
      <c r="G501" s="63" t="s">
        <v>2199</v>
      </c>
      <c r="H501" s="66"/>
      <c r="I501" s="63" t="s">
        <v>2200</v>
      </c>
      <c r="J501" s="63" t="s">
        <v>136</v>
      </c>
      <c r="K501" s="66"/>
      <c r="L501" s="66"/>
      <c r="M501" s="63" t="s">
        <v>2201</v>
      </c>
      <c r="N501" s="77"/>
      <c r="O501" s="51"/>
    </row>
    <row r="502">
      <c r="A502" s="56">
        <v>499.0</v>
      </c>
      <c r="B502" s="68">
        <v>3708.0</v>
      </c>
      <c r="C502" s="69">
        <v>500.0</v>
      </c>
      <c r="D502" s="68" t="s">
        <v>2202</v>
      </c>
      <c r="E502" s="68" t="s">
        <v>2203</v>
      </c>
      <c r="F502" s="76">
        <v>40725.0</v>
      </c>
      <c r="G502" s="68" t="s">
        <v>2204</v>
      </c>
      <c r="H502" s="71"/>
      <c r="I502" s="68" t="s">
        <v>2205</v>
      </c>
      <c r="J502" s="68" t="s">
        <v>2206</v>
      </c>
      <c r="K502" s="71"/>
      <c r="L502" s="71"/>
      <c r="M502" s="71"/>
      <c r="N502" s="77"/>
      <c r="O502" s="51"/>
    </row>
    <row r="503">
      <c r="A503" s="56">
        <v>500.0</v>
      </c>
      <c r="B503" s="68">
        <v>3709.0</v>
      </c>
      <c r="C503" s="69">
        <v>501.0</v>
      </c>
      <c r="D503" s="68" t="s">
        <v>2202</v>
      </c>
      <c r="E503" s="68" t="s">
        <v>2207</v>
      </c>
      <c r="F503" s="76">
        <v>40725.0</v>
      </c>
      <c r="G503" s="68" t="s">
        <v>2208</v>
      </c>
      <c r="H503" s="71"/>
      <c r="I503" s="68" t="s">
        <v>2205</v>
      </c>
      <c r="J503" s="68" t="s">
        <v>2209</v>
      </c>
      <c r="K503" s="71"/>
      <c r="L503" s="71"/>
      <c r="M503" s="71"/>
      <c r="N503" s="61"/>
      <c r="O503" s="51"/>
    </row>
    <row r="504">
      <c r="A504" s="56">
        <v>501.0</v>
      </c>
      <c r="B504" s="68">
        <v>3710.0</v>
      </c>
      <c r="C504" s="69">
        <v>502.0</v>
      </c>
      <c r="D504" s="71"/>
      <c r="E504" s="68" t="s">
        <v>2210</v>
      </c>
      <c r="F504" s="76">
        <v>39784.0</v>
      </c>
      <c r="G504" s="68" t="s">
        <v>2211</v>
      </c>
      <c r="H504" s="71"/>
      <c r="I504" s="68" t="s">
        <v>635</v>
      </c>
      <c r="J504" s="100" t="s">
        <v>2212</v>
      </c>
      <c r="K504" s="101"/>
      <c r="L504" s="71"/>
      <c r="M504" s="71"/>
      <c r="N504" s="77"/>
      <c r="O504" s="51"/>
    </row>
    <row r="505">
      <c r="A505" s="56">
        <v>502.0</v>
      </c>
      <c r="B505" s="68">
        <v>3711.0</v>
      </c>
      <c r="C505" s="69">
        <v>503.0</v>
      </c>
      <c r="D505" s="71"/>
      <c r="E505" s="68" t="s">
        <v>2213</v>
      </c>
      <c r="F505" s="76">
        <v>40211.0</v>
      </c>
      <c r="G505" s="68" t="s">
        <v>2214</v>
      </c>
      <c r="H505" s="68">
        <v>3.0</v>
      </c>
      <c r="I505" s="68" t="s">
        <v>635</v>
      </c>
      <c r="J505" s="100" t="s">
        <v>2215</v>
      </c>
      <c r="K505" s="101"/>
      <c r="L505" s="71"/>
      <c r="M505" s="71"/>
      <c r="N505" s="77"/>
      <c r="O505" s="51"/>
    </row>
    <row r="506">
      <c r="A506" s="56">
        <v>503.0</v>
      </c>
      <c r="B506" s="68">
        <v>3712.0</v>
      </c>
      <c r="C506" s="69">
        <v>504.0</v>
      </c>
      <c r="D506" s="71"/>
      <c r="E506" s="68" t="s">
        <v>2216</v>
      </c>
      <c r="F506" s="76">
        <v>40369.0</v>
      </c>
      <c r="G506" s="68" t="s">
        <v>2217</v>
      </c>
      <c r="H506" s="71"/>
      <c r="I506" s="63" t="s">
        <v>2218</v>
      </c>
      <c r="J506" s="68" t="s">
        <v>124</v>
      </c>
      <c r="K506" s="71"/>
      <c r="L506" s="66"/>
      <c r="M506" s="66"/>
      <c r="N506" s="61"/>
      <c r="O506" s="51"/>
    </row>
    <row r="507">
      <c r="A507" s="56">
        <v>504.0</v>
      </c>
      <c r="B507" s="80">
        <v>3713.0</v>
      </c>
      <c r="C507" s="79">
        <v>505.0</v>
      </c>
      <c r="D507" s="66"/>
      <c r="E507" s="63" t="s">
        <v>2219</v>
      </c>
      <c r="F507" s="70">
        <v>40071.0</v>
      </c>
      <c r="G507" s="63" t="s">
        <v>2220</v>
      </c>
      <c r="H507" s="66"/>
      <c r="I507" s="63" t="s">
        <v>2221</v>
      </c>
      <c r="J507" s="66"/>
      <c r="K507" s="71"/>
      <c r="L507" s="66"/>
      <c r="M507" s="63" t="s">
        <v>201</v>
      </c>
      <c r="N507" s="61"/>
      <c r="O507" s="51"/>
    </row>
    <row r="508">
      <c r="A508" s="56">
        <v>505.0</v>
      </c>
      <c r="B508" s="68">
        <v>3714.0</v>
      </c>
      <c r="C508" s="69">
        <v>506.0</v>
      </c>
      <c r="D508" s="71"/>
      <c r="E508" s="68" t="s">
        <v>2222</v>
      </c>
      <c r="F508" s="76">
        <v>40549.0</v>
      </c>
      <c r="G508" s="68" t="s">
        <v>2223</v>
      </c>
      <c r="H508" s="71"/>
      <c r="I508" s="68" t="s">
        <v>2224</v>
      </c>
      <c r="J508" s="68" t="s">
        <v>2225</v>
      </c>
      <c r="K508" s="71"/>
      <c r="L508" s="66"/>
      <c r="M508" s="66"/>
      <c r="N508" s="61"/>
      <c r="O508" s="51"/>
    </row>
    <row r="509">
      <c r="A509" s="56">
        <v>506.0</v>
      </c>
      <c r="B509" s="63">
        <v>3715.0</v>
      </c>
      <c r="C509" s="64" t="s">
        <v>2226</v>
      </c>
      <c r="D509" s="66"/>
      <c r="E509" s="63" t="s">
        <v>2227</v>
      </c>
      <c r="F509" s="70">
        <v>40327.0</v>
      </c>
      <c r="G509" s="63" t="s">
        <v>2228</v>
      </c>
      <c r="H509" s="66"/>
      <c r="I509" s="63" t="s">
        <v>2229</v>
      </c>
      <c r="J509" s="63" t="s">
        <v>2230</v>
      </c>
      <c r="K509" s="66"/>
      <c r="L509" s="66"/>
      <c r="M509" s="63" t="s">
        <v>1509</v>
      </c>
      <c r="N509" s="61"/>
      <c r="O509" s="51"/>
    </row>
    <row r="510">
      <c r="A510" s="56">
        <v>507.0</v>
      </c>
      <c r="B510" s="68">
        <v>3716.0</v>
      </c>
      <c r="C510" s="69">
        <v>508.0</v>
      </c>
      <c r="D510" s="71"/>
      <c r="E510" s="68" t="s">
        <v>2231</v>
      </c>
      <c r="F510" s="76">
        <v>40663.0</v>
      </c>
      <c r="G510" s="68" t="s">
        <v>2232</v>
      </c>
      <c r="H510" s="71"/>
      <c r="I510" s="68" t="s">
        <v>635</v>
      </c>
      <c r="J510" s="68" t="s">
        <v>2233</v>
      </c>
      <c r="K510" s="71"/>
      <c r="L510" s="71"/>
      <c r="M510" s="71"/>
      <c r="N510" s="61"/>
      <c r="O510" s="51"/>
    </row>
    <row r="511">
      <c r="A511" s="56">
        <v>508.0</v>
      </c>
      <c r="B511" s="68">
        <v>3717.0</v>
      </c>
      <c r="C511" s="69">
        <v>509.0</v>
      </c>
      <c r="D511" s="71"/>
      <c r="E511" s="68" t="s">
        <v>2234</v>
      </c>
      <c r="F511" s="76">
        <v>40323.0</v>
      </c>
      <c r="G511" s="68" t="s">
        <v>2235</v>
      </c>
      <c r="H511" s="71"/>
      <c r="I511" s="63" t="s">
        <v>635</v>
      </c>
      <c r="J511" s="68" t="s">
        <v>2236</v>
      </c>
      <c r="K511" s="71"/>
      <c r="L511" s="71"/>
      <c r="M511" s="66"/>
      <c r="N511" s="61"/>
      <c r="O511" s="51"/>
    </row>
    <row r="512">
      <c r="A512" s="56">
        <v>509.0</v>
      </c>
      <c r="B512" s="68">
        <v>3718.0</v>
      </c>
      <c r="C512" s="69">
        <v>510.0</v>
      </c>
      <c r="D512" s="71"/>
      <c r="E512" s="68" t="s">
        <v>2237</v>
      </c>
      <c r="F512" s="76">
        <v>40916.0</v>
      </c>
      <c r="G512" s="68" t="s">
        <v>2238</v>
      </c>
      <c r="H512" s="71"/>
      <c r="I512" s="68" t="s">
        <v>635</v>
      </c>
      <c r="J512" s="100" t="s">
        <v>2239</v>
      </c>
      <c r="K512" s="101"/>
      <c r="L512" s="71"/>
      <c r="M512" s="71"/>
      <c r="N512" s="77"/>
      <c r="O512" s="51"/>
    </row>
    <row r="513">
      <c r="A513" s="56">
        <v>510.0</v>
      </c>
      <c r="B513" s="68">
        <v>3719.0</v>
      </c>
      <c r="C513" s="69">
        <v>511.0</v>
      </c>
      <c r="D513" s="71"/>
      <c r="E513" s="68" t="s">
        <v>2240</v>
      </c>
      <c r="F513" s="76">
        <v>40916.0</v>
      </c>
      <c r="G513" s="68" t="s">
        <v>2241</v>
      </c>
      <c r="H513" s="71"/>
      <c r="I513" s="68" t="s">
        <v>635</v>
      </c>
      <c r="J513" s="100" t="s">
        <v>2239</v>
      </c>
      <c r="K513" s="101"/>
      <c r="L513" s="71"/>
      <c r="M513" s="71"/>
      <c r="N513" s="77"/>
      <c r="O513" s="51"/>
    </row>
    <row r="514">
      <c r="A514" s="56">
        <v>511.0</v>
      </c>
      <c r="B514" s="68">
        <v>3720.0</v>
      </c>
      <c r="C514" s="69">
        <v>512.0</v>
      </c>
      <c r="D514" s="71"/>
      <c r="E514" s="68" t="s">
        <v>2242</v>
      </c>
      <c r="F514" s="76">
        <v>40651.0</v>
      </c>
      <c r="G514" s="68" t="s">
        <v>2243</v>
      </c>
      <c r="H514" s="71"/>
      <c r="I514" s="68" t="s">
        <v>635</v>
      </c>
      <c r="J514" s="100" t="s">
        <v>2239</v>
      </c>
      <c r="K514" s="101"/>
      <c r="L514" s="71"/>
      <c r="M514" s="71"/>
      <c r="N514" s="77"/>
      <c r="O514" s="51"/>
    </row>
    <row r="515">
      <c r="A515" s="56">
        <v>512.0</v>
      </c>
      <c r="B515" s="68">
        <v>3721.0</v>
      </c>
      <c r="C515" s="69">
        <v>513.0</v>
      </c>
      <c r="D515" s="71"/>
      <c r="E515" s="68" t="s">
        <v>2244</v>
      </c>
      <c r="F515" s="76">
        <v>40791.0</v>
      </c>
      <c r="G515" s="68" t="s">
        <v>2245</v>
      </c>
      <c r="H515" s="71"/>
      <c r="I515" s="63" t="s">
        <v>2246</v>
      </c>
      <c r="J515" s="68" t="s">
        <v>2247</v>
      </c>
      <c r="K515" s="66"/>
      <c r="L515" s="66"/>
      <c r="M515" s="66"/>
      <c r="N515" s="61"/>
      <c r="O515" s="51"/>
    </row>
    <row r="516">
      <c r="A516" s="56">
        <v>513.0</v>
      </c>
      <c r="B516" s="68">
        <v>3722.0</v>
      </c>
      <c r="C516" s="69">
        <v>514.0</v>
      </c>
      <c r="D516" s="71"/>
      <c r="E516" s="68" t="s">
        <v>2248</v>
      </c>
      <c r="F516" s="83">
        <v>40129.0</v>
      </c>
      <c r="G516" s="68" t="s">
        <v>2249</v>
      </c>
      <c r="H516" s="71"/>
      <c r="I516" s="68" t="s">
        <v>635</v>
      </c>
      <c r="J516" s="100" t="s">
        <v>2239</v>
      </c>
      <c r="K516" s="101"/>
      <c r="L516" s="71"/>
      <c r="M516" s="71"/>
      <c r="N516" s="77"/>
      <c r="O516" s="51"/>
    </row>
    <row r="517">
      <c r="A517" s="56">
        <v>514.0</v>
      </c>
      <c r="B517" s="68">
        <v>3723.0</v>
      </c>
      <c r="C517" s="69">
        <v>515.0</v>
      </c>
      <c r="D517" s="71"/>
      <c r="E517" s="68" t="s">
        <v>2250</v>
      </c>
      <c r="F517" s="76">
        <v>40917.0</v>
      </c>
      <c r="G517" s="68" t="s">
        <v>2251</v>
      </c>
      <c r="H517" s="71"/>
      <c r="I517" s="68" t="s">
        <v>635</v>
      </c>
      <c r="J517" s="100" t="s">
        <v>2239</v>
      </c>
      <c r="K517" s="101"/>
      <c r="L517" s="71"/>
      <c r="M517" s="71"/>
      <c r="N517" s="77"/>
      <c r="O517" s="51"/>
    </row>
    <row r="518">
      <c r="A518" s="56">
        <v>515.0</v>
      </c>
      <c r="B518" s="68">
        <v>3724.0</v>
      </c>
      <c r="C518" s="69">
        <v>516.0</v>
      </c>
      <c r="D518" s="71"/>
      <c r="E518" s="68" t="s">
        <v>2252</v>
      </c>
      <c r="F518" s="76">
        <v>40089.0</v>
      </c>
      <c r="G518" s="68" t="s">
        <v>2253</v>
      </c>
      <c r="H518" s="71"/>
      <c r="I518" s="68" t="s">
        <v>635</v>
      </c>
      <c r="J518" s="100" t="s">
        <v>2239</v>
      </c>
      <c r="K518" s="101"/>
      <c r="L518" s="71"/>
      <c r="M518" s="71"/>
      <c r="N518" s="77"/>
      <c r="O518" s="51"/>
    </row>
    <row r="519">
      <c r="A519" s="56">
        <v>516.0</v>
      </c>
      <c r="B519" s="68">
        <v>3725.0</v>
      </c>
      <c r="C519" s="69">
        <v>517.0</v>
      </c>
      <c r="D519" s="71"/>
      <c r="E519" s="68" t="s">
        <v>2254</v>
      </c>
      <c r="F519" s="76">
        <v>40963.0</v>
      </c>
      <c r="G519" s="68" t="s">
        <v>2255</v>
      </c>
      <c r="H519" s="71"/>
      <c r="I519" s="68" t="s">
        <v>2256</v>
      </c>
      <c r="J519" s="68" t="s">
        <v>2257</v>
      </c>
      <c r="K519" s="66"/>
      <c r="L519" s="66"/>
      <c r="M519" s="66"/>
      <c r="N519" s="61"/>
      <c r="O519" s="51"/>
    </row>
    <row r="520">
      <c r="A520" s="56">
        <v>517.0</v>
      </c>
      <c r="B520" s="63">
        <v>3726.0</v>
      </c>
      <c r="C520" s="64" t="s">
        <v>2258</v>
      </c>
      <c r="D520" s="66"/>
      <c r="E520" s="63" t="s">
        <v>2259</v>
      </c>
      <c r="F520" s="70">
        <v>40451.0</v>
      </c>
      <c r="G520" s="63" t="s">
        <v>2260</v>
      </c>
      <c r="H520" s="66"/>
      <c r="I520" s="63" t="s">
        <v>2261</v>
      </c>
      <c r="J520" s="63" t="s">
        <v>2262</v>
      </c>
      <c r="K520" s="66"/>
      <c r="L520" s="66"/>
      <c r="M520" s="63" t="s">
        <v>2263</v>
      </c>
      <c r="N520" s="61"/>
      <c r="O520" s="51"/>
    </row>
    <row r="521">
      <c r="A521" s="56">
        <v>518.0</v>
      </c>
      <c r="B521" s="57">
        <v>3727.0</v>
      </c>
      <c r="C521" s="58">
        <v>519.0</v>
      </c>
      <c r="D521" s="60"/>
      <c r="E521" s="57" t="s">
        <v>2264</v>
      </c>
      <c r="F521" s="59">
        <v>40968.0</v>
      </c>
      <c r="G521" s="57" t="s">
        <v>2265</v>
      </c>
      <c r="H521" s="60"/>
      <c r="I521" s="57" t="s">
        <v>2266</v>
      </c>
      <c r="J521" s="57" t="s">
        <v>1481</v>
      </c>
      <c r="K521" s="60"/>
      <c r="L521" s="60"/>
      <c r="M521" s="60"/>
      <c r="N521" s="61"/>
      <c r="O521" s="51"/>
    </row>
    <row r="522">
      <c r="A522" s="56">
        <v>519.0</v>
      </c>
      <c r="B522" s="68">
        <v>3728.0</v>
      </c>
      <c r="C522" s="69">
        <v>520.0</v>
      </c>
      <c r="D522" s="71"/>
      <c r="E522" s="68" t="s">
        <v>2267</v>
      </c>
      <c r="F522" s="76">
        <v>38586.0</v>
      </c>
      <c r="G522" s="68" t="s">
        <v>2268</v>
      </c>
      <c r="H522" s="71"/>
      <c r="I522" s="68" t="s">
        <v>2269</v>
      </c>
      <c r="J522" s="68" t="s">
        <v>148</v>
      </c>
      <c r="K522" s="71"/>
      <c r="L522" s="71"/>
      <c r="M522" s="66"/>
      <c r="N522" s="61"/>
      <c r="O522" s="51"/>
    </row>
    <row r="523">
      <c r="A523" s="56">
        <v>520.0</v>
      </c>
      <c r="B523" s="63">
        <v>3729.0</v>
      </c>
      <c r="C523" s="64" t="s">
        <v>2270</v>
      </c>
      <c r="D523" s="66"/>
      <c r="E523" s="63" t="s">
        <v>2271</v>
      </c>
      <c r="F523" s="70">
        <v>40154.0</v>
      </c>
      <c r="G523" s="63" t="s">
        <v>2272</v>
      </c>
      <c r="H523" s="66"/>
      <c r="I523" s="63" t="s">
        <v>2273</v>
      </c>
      <c r="J523" s="63" t="s">
        <v>1421</v>
      </c>
      <c r="K523" s="66"/>
      <c r="L523" s="66"/>
      <c r="M523" s="63" t="s">
        <v>149</v>
      </c>
      <c r="N523" s="61"/>
      <c r="O523" s="51"/>
    </row>
    <row r="524">
      <c r="A524" s="56">
        <v>521.0</v>
      </c>
      <c r="B524" s="63">
        <v>3730.0</v>
      </c>
      <c r="C524" s="64" t="s">
        <v>2274</v>
      </c>
      <c r="D524" s="71"/>
      <c r="E524" s="63" t="s">
        <v>2275</v>
      </c>
      <c r="F524" s="70">
        <v>40970.0</v>
      </c>
      <c r="G524" s="63" t="s">
        <v>2276</v>
      </c>
      <c r="H524" s="66"/>
      <c r="I524" s="63" t="s">
        <v>2277</v>
      </c>
      <c r="J524" s="63" t="s">
        <v>1762</v>
      </c>
      <c r="K524" s="71"/>
      <c r="L524" s="71"/>
      <c r="M524" s="68" t="s">
        <v>542</v>
      </c>
      <c r="N524" s="61"/>
      <c r="O524" s="51"/>
    </row>
    <row r="525">
      <c r="A525" s="56">
        <v>522.0</v>
      </c>
      <c r="B525" s="63">
        <v>3731.0</v>
      </c>
      <c r="C525" s="64" t="s">
        <v>2278</v>
      </c>
      <c r="D525" s="71"/>
      <c r="E525" s="63" t="s">
        <v>2279</v>
      </c>
      <c r="F525" s="70">
        <v>40970.0</v>
      </c>
      <c r="G525" s="63" t="s">
        <v>2280</v>
      </c>
      <c r="H525" s="66"/>
      <c r="I525" s="63" t="s">
        <v>2277</v>
      </c>
      <c r="J525" s="63" t="s">
        <v>1762</v>
      </c>
      <c r="K525" s="71"/>
      <c r="L525" s="71"/>
      <c r="M525" s="68" t="s">
        <v>542</v>
      </c>
      <c r="N525" s="61"/>
      <c r="O525" s="51"/>
    </row>
    <row r="526">
      <c r="A526" s="56">
        <v>523.0</v>
      </c>
      <c r="B526" s="68">
        <v>3732.0</v>
      </c>
      <c r="C526" s="69">
        <v>524.0</v>
      </c>
      <c r="D526" s="68" t="s">
        <v>2281</v>
      </c>
      <c r="E526" s="68" t="s">
        <v>2282</v>
      </c>
      <c r="F526" s="76">
        <v>40583.0</v>
      </c>
      <c r="G526" s="68" t="s">
        <v>2283</v>
      </c>
      <c r="H526" s="71"/>
      <c r="I526" s="68" t="s">
        <v>2284</v>
      </c>
      <c r="J526" s="68" t="s">
        <v>2285</v>
      </c>
      <c r="K526" s="71"/>
      <c r="L526" s="71"/>
      <c r="M526" s="71"/>
      <c r="N526" s="61"/>
      <c r="O526" s="51"/>
    </row>
    <row r="527">
      <c r="A527" s="56">
        <v>524.0</v>
      </c>
      <c r="B527" s="68">
        <v>3733.0</v>
      </c>
      <c r="C527" s="69" t="s">
        <v>2286</v>
      </c>
      <c r="D527" s="71"/>
      <c r="E527" s="68" t="s">
        <v>2287</v>
      </c>
      <c r="F527" s="76">
        <v>40629.0</v>
      </c>
      <c r="G527" s="68" t="s">
        <v>2288</v>
      </c>
      <c r="H527" s="71"/>
      <c r="I527" s="68" t="s">
        <v>2289</v>
      </c>
      <c r="J527" s="68" t="s">
        <v>2290</v>
      </c>
      <c r="K527" s="71"/>
      <c r="L527" s="71"/>
      <c r="M527" s="68" t="s">
        <v>2291</v>
      </c>
      <c r="N527" s="61"/>
      <c r="O527" s="51"/>
    </row>
    <row r="528">
      <c r="A528" s="56">
        <v>525.0</v>
      </c>
      <c r="B528" s="68">
        <v>3734.0</v>
      </c>
      <c r="C528" s="69">
        <v>526.0</v>
      </c>
      <c r="D528" s="68" t="s">
        <v>2292</v>
      </c>
      <c r="E528" s="68" t="s">
        <v>2198</v>
      </c>
      <c r="F528" s="76">
        <v>40686.0</v>
      </c>
      <c r="G528" s="68" t="s">
        <v>2293</v>
      </c>
      <c r="H528" s="71"/>
      <c r="I528" s="68" t="s">
        <v>2294</v>
      </c>
      <c r="J528" s="68" t="s">
        <v>2295</v>
      </c>
      <c r="K528" s="71"/>
      <c r="L528" s="71"/>
      <c r="M528" s="71"/>
      <c r="N528" s="61"/>
      <c r="O528" s="51"/>
    </row>
    <row r="529">
      <c r="A529" s="56">
        <v>526.0</v>
      </c>
      <c r="B529" s="63">
        <v>3735.0</v>
      </c>
      <c r="C529" s="64" t="s">
        <v>2296</v>
      </c>
      <c r="D529" s="63" t="s">
        <v>2297</v>
      </c>
      <c r="E529" s="63" t="s">
        <v>2298</v>
      </c>
      <c r="F529" s="70">
        <v>40044.0</v>
      </c>
      <c r="G529" s="63" t="s">
        <v>2299</v>
      </c>
      <c r="H529" s="66"/>
      <c r="I529" s="99" t="s">
        <v>2300</v>
      </c>
      <c r="J529" s="63" t="s">
        <v>1971</v>
      </c>
      <c r="K529" s="66"/>
      <c r="L529" s="66"/>
      <c r="M529" s="63" t="s">
        <v>530</v>
      </c>
      <c r="N529" s="61"/>
      <c r="O529" s="51"/>
    </row>
    <row r="530">
      <c r="A530" s="56">
        <v>527.0</v>
      </c>
      <c r="B530" s="63">
        <v>3736.0</v>
      </c>
      <c r="C530" s="64" t="s">
        <v>2301</v>
      </c>
      <c r="D530" s="63" t="s">
        <v>2297</v>
      </c>
      <c r="E530" s="63" t="s">
        <v>2302</v>
      </c>
      <c r="F530" s="70">
        <v>40044.0</v>
      </c>
      <c r="G530" s="63" t="s">
        <v>2303</v>
      </c>
      <c r="H530" s="66"/>
      <c r="I530" s="99" t="s">
        <v>2300</v>
      </c>
      <c r="J530" s="63" t="s">
        <v>1971</v>
      </c>
      <c r="K530" s="66"/>
      <c r="L530" s="66"/>
      <c r="M530" s="63" t="s">
        <v>530</v>
      </c>
      <c r="N530" s="61"/>
      <c r="O530" s="51"/>
    </row>
    <row r="531">
      <c r="A531" s="56">
        <v>528.0</v>
      </c>
      <c r="B531" s="63">
        <v>3737.0</v>
      </c>
      <c r="C531" s="64" t="s">
        <v>2304</v>
      </c>
      <c r="D531" s="63" t="s">
        <v>2297</v>
      </c>
      <c r="E531" s="63" t="s">
        <v>2305</v>
      </c>
      <c r="F531" s="70">
        <v>40044.0</v>
      </c>
      <c r="G531" s="63" t="s">
        <v>2303</v>
      </c>
      <c r="H531" s="66"/>
      <c r="I531" s="99" t="s">
        <v>2300</v>
      </c>
      <c r="J531" s="63" t="s">
        <v>1971</v>
      </c>
      <c r="K531" s="66"/>
      <c r="L531" s="66"/>
      <c r="M531" s="63" t="s">
        <v>530</v>
      </c>
      <c r="N531" s="61"/>
      <c r="O531" s="51"/>
    </row>
    <row r="532">
      <c r="A532" s="56">
        <v>529.0</v>
      </c>
      <c r="B532" s="63">
        <v>3738.0</v>
      </c>
      <c r="C532" s="64" t="s">
        <v>2306</v>
      </c>
      <c r="D532" s="66"/>
      <c r="E532" s="63" t="s">
        <v>2307</v>
      </c>
      <c r="F532" s="70">
        <v>35960.0</v>
      </c>
      <c r="G532" s="63" t="s">
        <v>2308</v>
      </c>
      <c r="H532" s="66"/>
      <c r="I532" s="63" t="s">
        <v>2309</v>
      </c>
      <c r="J532" s="63" t="s">
        <v>2310</v>
      </c>
      <c r="K532" s="66"/>
      <c r="L532" s="66"/>
      <c r="M532" s="63" t="s">
        <v>1711</v>
      </c>
      <c r="N532" s="61"/>
      <c r="O532" s="51"/>
    </row>
    <row r="533">
      <c r="A533" s="56">
        <v>530.0</v>
      </c>
      <c r="B533" s="68">
        <v>3739.0</v>
      </c>
      <c r="C533" s="69">
        <v>531.0</v>
      </c>
      <c r="D533" s="71"/>
      <c r="E533" s="68" t="s">
        <v>2311</v>
      </c>
      <c r="F533" s="76">
        <v>40255.0</v>
      </c>
      <c r="G533" s="68" t="s">
        <v>2312</v>
      </c>
      <c r="H533" s="71"/>
      <c r="I533" s="63" t="s">
        <v>2313</v>
      </c>
      <c r="J533" s="68" t="s">
        <v>2021</v>
      </c>
      <c r="K533" s="71"/>
      <c r="L533" s="71"/>
      <c r="M533" s="71"/>
      <c r="N533" s="61"/>
      <c r="O533" s="51"/>
    </row>
    <row r="534">
      <c r="A534" s="56">
        <v>531.0</v>
      </c>
      <c r="B534" s="68">
        <v>3740.0</v>
      </c>
      <c r="C534" s="69">
        <v>532.0</v>
      </c>
      <c r="D534" s="68" t="s">
        <v>2314</v>
      </c>
      <c r="E534" s="63" t="s">
        <v>2315</v>
      </c>
      <c r="F534" s="65">
        <v>40889.0</v>
      </c>
      <c r="G534" s="63" t="s">
        <v>2316</v>
      </c>
      <c r="H534" s="66"/>
      <c r="I534" s="63" t="s">
        <v>2317</v>
      </c>
      <c r="J534" s="63" t="s">
        <v>1847</v>
      </c>
      <c r="K534" s="71"/>
      <c r="L534" s="71"/>
      <c r="M534" s="63" t="s">
        <v>2318</v>
      </c>
      <c r="N534" s="61"/>
      <c r="O534" s="51"/>
    </row>
    <row r="535">
      <c r="A535" s="56">
        <v>532.0</v>
      </c>
      <c r="B535" s="68">
        <v>3741.0</v>
      </c>
      <c r="C535" s="69">
        <v>533.0</v>
      </c>
      <c r="D535" s="71"/>
      <c r="E535" s="68" t="s">
        <v>2319</v>
      </c>
      <c r="F535" s="83">
        <v>39808.0</v>
      </c>
      <c r="G535" s="68" t="s">
        <v>2320</v>
      </c>
      <c r="H535" s="71"/>
      <c r="I535" s="63" t="s">
        <v>2321</v>
      </c>
      <c r="J535" s="68" t="s">
        <v>148</v>
      </c>
      <c r="K535" s="71"/>
      <c r="L535" s="71"/>
      <c r="M535" s="71"/>
      <c r="N535" s="61"/>
      <c r="O535" s="51"/>
    </row>
    <row r="536">
      <c r="A536" s="56">
        <v>533.0</v>
      </c>
      <c r="B536" s="68">
        <v>3742.0</v>
      </c>
      <c r="C536" s="69">
        <v>534.0</v>
      </c>
      <c r="D536" s="71"/>
      <c r="E536" s="68" t="s">
        <v>2322</v>
      </c>
      <c r="F536" s="76">
        <v>39928.0</v>
      </c>
      <c r="G536" s="68" t="s">
        <v>2323</v>
      </c>
      <c r="H536" s="71"/>
      <c r="I536" s="68" t="s">
        <v>2324</v>
      </c>
      <c r="J536" s="68" t="s">
        <v>252</v>
      </c>
      <c r="K536" s="71"/>
      <c r="L536" s="71"/>
      <c r="M536" s="71"/>
      <c r="N536" s="61"/>
      <c r="O536" s="51"/>
    </row>
    <row r="537">
      <c r="A537" s="56">
        <v>534.0</v>
      </c>
      <c r="B537" s="68">
        <v>3743.0</v>
      </c>
      <c r="C537" s="69">
        <v>535.0</v>
      </c>
      <c r="D537" s="68" t="s">
        <v>2325</v>
      </c>
      <c r="E537" s="68" t="s">
        <v>2326</v>
      </c>
      <c r="F537" s="76">
        <v>39457.0</v>
      </c>
      <c r="G537" s="68" t="s">
        <v>2327</v>
      </c>
      <c r="H537" s="71"/>
      <c r="I537" s="68" t="s">
        <v>635</v>
      </c>
      <c r="J537" s="68" t="s">
        <v>2328</v>
      </c>
      <c r="K537" s="71"/>
      <c r="L537" s="71"/>
      <c r="M537" s="68" t="s">
        <v>137</v>
      </c>
      <c r="N537" s="61"/>
      <c r="O537" s="51"/>
    </row>
    <row r="538">
      <c r="A538" s="56">
        <v>535.0</v>
      </c>
      <c r="B538" s="68">
        <v>3744.0</v>
      </c>
      <c r="C538" s="69">
        <v>536.0</v>
      </c>
      <c r="D538" s="71"/>
      <c r="E538" s="68" t="s">
        <v>2329</v>
      </c>
      <c r="F538" s="76">
        <v>40212.0</v>
      </c>
      <c r="G538" s="68" t="s">
        <v>2330</v>
      </c>
      <c r="H538" s="71"/>
      <c r="I538" s="63" t="s">
        <v>2331</v>
      </c>
      <c r="J538" s="68" t="s">
        <v>2332</v>
      </c>
      <c r="K538" s="71"/>
      <c r="L538" s="71"/>
      <c r="M538" s="66"/>
      <c r="N538" s="61"/>
      <c r="O538" s="51"/>
    </row>
    <row r="539">
      <c r="A539" s="56">
        <v>536.0</v>
      </c>
      <c r="B539" s="68">
        <v>3745.0</v>
      </c>
      <c r="C539" s="69">
        <v>537.0</v>
      </c>
      <c r="D539" s="71"/>
      <c r="E539" s="68" t="s">
        <v>2333</v>
      </c>
      <c r="F539" s="76">
        <v>40296.0</v>
      </c>
      <c r="G539" s="68" t="s">
        <v>2334</v>
      </c>
      <c r="H539" s="71"/>
      <c r="I539" s="63" t="s">
        <v>635</v>
      </c>
      <c r="J539" s="68" t="s">
        <v>2335</v>
      </c>
      <c r="K539" s="71"/>
      <c r="L539" s="71"/>
      <c r="M539" s="66"/>
      <c r="N539" s="61"/>
      <c r="O539" s="51"/>
    </row>
    <row r="540">
      <c r="A540" s="75">
        <v>537.0</v>
      </c>
      <c r="B540" s="68">
        <v>3746.0</v>
      </c>
      <c r="C540" s="69">
        <v>538.0</v>
      </c>
      <c r="D540" s="71"/>
      <c r="E540" s="68" t="s">
        <v>2336</v>
      </c>
      <c r="F540" s="76">
        <v>40800.0</v>
      </c>
      <c r="G540" s="68" t="s">
        <v>2337</v>
      </c>
      <c r="H540" s="71"/>
      <c r="I540" s="68" t="s">
        <v>2338</v>
      </c>
      <c r="J540" s="68" t="s">
        <v>2339</v>
      </c>
      <c r="K540" s="71"/>
      <c r="L540" s="71"/>
      <c r="M540" s="68" t="s">
        <v>149</v>
      </c>
      <c r="N540" s="77"/>
      <c r="O540" s="51"/>
    </row>
    <row r="541">
      <c r="A541" s="56">
        <v>538.0</v>
      </c>
      <c r="B541" s="68">
        <v>3747.0</v>
      </c>
      <c r="C541" s="69">
        <v>539.0</v>
      </c>
      <c r="D541" s="71"/>
      <c r="E541" s="68" t="s">
        <v>2340</v>
      </c>
      <c r="F541" s="76">
        <v>40982.0</v>
      </c>
      <c r="G541" s="68" t="s">
        <v>2341</v>
      </c>
      <c r="H541" s="71"/>
      <c r="I541" s="68" t="s">
        <v>2342</v>
      </c>
      <c r="J541" s="68" t="s">
        <v>124</v>
      </c>
      <c r="K541" s="66"/>
      <c r="L541" s="66"/>
      <c r="M541" s="66"/>
      <c r="N541" s="61"/>
      <c r="O541" s="51"/>
    </row>
    <row r="542">
      <c r="A542" s="56">
        <v>539.0</v>
      </c>
      <c r="B542" s="68">
        <v>3748.0</v>
      </c>
      <c r="C542" s="69">
        <v>540.0</v>
      </c>
      <c r="D542" s="71"/>
      <c r="E542" s="68" t="s">
        <v>2343</v>
      </c>
      <c r="F542" s="76">
        <v>40955.0</v>
      </c>
      <c r="G542" s="68" t="s">
        <v>2344</v>
      </c>
      <c r="H542" s="71"/>
      <c r="I542" s="63" t="s">
        <v>2345</v>
      </c>
      <c r="J542" s="68" t="s">
        <v>148</v>
      </c>
      <c r="K542" s="66"/>
      <c r="L542" s="66"/>
      <c r="M542" s="66"/>
      <c r="N542" s="61"/>
      <c r="O542" s="51"/>
    </row>
    <row r="543">
      <c r="A543" s="56">
        <v>540.0</v>
      </c>
      <c r="B543" s="63">
        <v>3749.0</v>
      </c>
      <c r="C543" s="64">
        <v>541.0</v>
      </c>
      <c r="D543" s="63" t="s">
        <v>2346</v>
      </c>
      <c r="E543" s="63" t="s">
        <v>2347</v>
      </c>
      <c r="F543" s="63" t="s">
        <v>407</v>
      </c>
      <c r="G543" s="63" t="s">
        <v>2348</v>
      </c>
      <c r="H543" s="66"/>
      <c r="I543" s="63" t="s">
        <v>2349</v>
      </c>
      <c r="J543" s="63" t="s">
        <v>1605</v>
      </c>
      <c r="K543" s="66"/>
      <c r="L543" s="66"/>
      <c r="M543" s="63" t="s">
        <v>125</v>
      </c>
      <c r="N543" s="61"/>
      <c r="O543" s="51"/>
    </row>
    <row r="544">
      <c r="A544" s="56">
        <v>541.0</v>
      </c>
      <c r="B544" s="68">
        <v>3750.0</v>
      </c>
      <c r="C544" s="69" t="s">
        <v>2350</v>
      </c>
      <c r="D544" s="68" t="s">
        <v>2351</v>
      </c>
      <c r="E544" s="68" t="s">
        <v>2352</v>
      </c>
      <c r="F544" s="76">
        <v>39827.0</v>
      </c>
      <c r="G544" s="68" t="s">
        <v>2353</v>
      </c>
      <c r="H544" s="71"/>
      <c r="I544" s="63" t="s">
        <v>2354</v>
      </c>
      <c r="J544" s="68" t="s">
        <v>2355</v>
      </c>
      <c r="K544" s="71"/>
      <c r="L544" s="68" t="s">
        <v>1496</v>
      </c>
      <c r="M544" s="68" t="s">
        <v>530</v>
      </c>
      <c r="N544" s="61"/>
      <c r="O544" s="51"/>
    </row>
    <row r="545">
      <c r="A545" s="56">
        <v>542.0</v>
      </c>
      <c r="B545" s="68">
        <v>3751.0</v>
      </c>
      <c r="C545" s="69">
        <v>543.0</v>
      </c>
      <c r="D545" s="68" t="s">
        <v>2356</v>
      </c>
      <c r="E545" s="68" t="s">
        <v>2357</v>
      </c>
      <c r="F545" s="76">
        <v>39965.0</v>
      </c>
      <c r="G545" s="68" t="s">
        <v>2358</v>
      </c>
      <c r="H545" s="71"/>
      <c r="I545" s="68" t="s">
        <v>2359</v>
      </c>
      <c r="J545" s="68" t="s">
        <v>2360</v>
      </c>
      <c r="K545" s="71"/>
      <c r="L545" s="71"/>
      <c r="M545" s="71"/>
      <c r="N545" s="61"/>
      <c r="O545" s="51"/>
    </row>
    <row r="546">
      <c r="A546" s="56">
        <v>543.0</v>
      </c>
      <c r="B546" s="68">
        <v>3752.0</v>
      </c>
      <c r="C546" s="69">
        <v>544.0</v>
      </c>
      <c r="D546" s="68" t="s">
        <v>2361</v>
      </c>
      <c r="E546" s="68" t="s">
        <v>2362</v>
      </c>
      <c r="F546" s="76">
        <v>39925.0</v>
      </c>
      <c r="G546" s="68" t="s">
        <v>2363</v>
      </c>
      <c r="H546" s="71"/>
      <c r="I546" s="68" t="s">
        <v>2364</v>
      </c>
      <c r="J546" s="68" t="s">
        <v>2355</v>
      </c>
      <c r="K546" s="71"/>
      <c r="L546" s="71"/>
      <c r="M546" s="71"/>
      <c r="N546" s="77"/>
      <c r="O546" s="51"/>
    </row>
    <row r="547">
      <c r="A547" s="56">
        <v>544.0</v>
      </c>
      <c r="B547" s="68">
        <v>3753.0</v>
      </c>
      <c r="C547" s="69">
        <v>545.0</v>
      </c>
      <c r="D547" s="68" t="s">
        <v>2365</v>
      </c>
      <c r="E547" s="68" t="s">
        <v>2366</v>
      </c>
      <c r="F547" s="76">
        <v>40752.0</v>
      </c>
      <c r="G547" s="68" t="s">
        <v>2367</v>
      </c>
      <c r="H547" s="71"/>
      <c r="I547" s="68" t="s">
        <v>635</v>
      </c>
      <c r="J547" s="68" t="s">
        <v>2368</v>
      </c>
      <c r="K547" s="71"/>
      <c r="L547" s="71"/>
      <c r="M547" s="68" t="s">
        <v>27</v>
      </c>
      <c r="N547" s="77"/>
      <c r="O547" s="51"/>
    </row>
    <row r="548">
      <c r="A548" s="56">
        <v>545.0</v>
      </c>
      <c r="B548" s="68">
        <v>3754.0</v>
      </c>
      <c r="C548" s="69">
        <v>546.0</v>
      </c>
      <c r="D548" s="68" t="s">
        <v>2365</v>
      </c>
      <c r="E548" s="68" t="s">
        <v>2369</v>
      </c>
      <c r="F548" s="76">
        <v>40752.0</v>
      </c>
      <c r="G548" s="68" t="s">
        <v>2370</v>
      </c>
      <c r="H548" s="71"/>
      <c r="I548" s="68" t="s">
        <v>635</v>
      </c>
      <c r="J548" s="68" t="s">
        <v>2368</v>
      </c>
      <c r="K548" s="71"/>
      <c r="L548" s="71"/>
      <c r="M548" s="68" t="s">
        <v>27</v>
      </c>
      <c r="N548" s="77"/>
      <c r="O548" s="51"/>
    </row>
    <row r="549">
      <c r="A549" s="56">
        <v>546.0</v>
      </c>
      <c r="B549" s="68">
        <v>3755.0</v>
      </c>
      <c r="C549" s="69">
        <v>547.0</v>
      </c>
      <c r="D549" s="68" t="s">
        <v>2371</v>
      </c>
      <c r="E549" s="68" t="s">
        <v>2372</v>
      </c>
      <c r="F549" s="76">
        <v>40937.0</v>
      </c>
      <c r="G549" s="68" t="s">
        <v>2373</v>
      </c>
      <c r="H549" s="71"/>
      <c r="I549" s="63" t="s">
        <v>635</v>
      </c>
      <c r="J549" s="68" t="s">
        <v>2374</v>
      </c>
      <c r="K549" s="71"/>
      <c r="L549" s="71"/>
      <c r="M549" s="71"/>
      <c r="N549" s="61"/>
      <c r="O549" s="51"/>
    </row>
    <row r="550">
      <c r="A550" s="56">
        <v>547.0</v>
      </c>
      <c r="B550" s="68">
        <v>3756.0</v>
      </c>
      <c r="C550" s="69">
        <v>548.0</v>
      </c>
      <c r="D550" s="68" t="s">
        <v>2371</v>
      </c>
      <c r="E550" s="68" t="s">
        <v>2375</v>
      </c>
      <c r="F550" s="76">
        <v>40937.0</v>
      </c>
      <c r="G550" s="68" t="s">
        <v>2376</v>
      </c>
      <c r="H550" s="71"/>
      <c r="I550" s="63" t="s">
        <v>635</v>
      </c>
      <c r="J550" s="68" t="s">
        <v>2374</v>
      </c>
      <c r="K550" s="71"/>
      <c r="L550" s="71"/>
      <c r="M550" s="71"/>
      <c r="N550" s="61"/>
      <c r="O550" s="51"/>
    </row>
    <row r="551">
      <c r="A551" s="56">
        <v>548.0</v>
      </c>
      <c r="B551" s="63">
        <v>3757.0</v>
      </c>
      <c r="C551" s="64">
        <v>549.0</v>
      </c>
      <c r="D551" s="66"/>
      <c r="E551" s="63" t="s">
        <v>2377</v>
      </c>
      <c r="F551" s="70">
        <v>39630.0</v>
      </c>
      <c r="G551" s="63" t="s">
        <v>2378</v>
      </c>
      <c r="H551" s="63" t="s">
        <v>2379</v>
      </c>
      <c r="I551" s="63" t="s">
        <v>2380</v>
      </c>
      <c r="J551" s="63" t="s">
        <v>2381</v>
      </c>
      <c r="K551" s="66"/>
      <c r="L551" s="66"/>
      <c r="M551" s="63" t="s">
        <v>195</v>
      </c>
      <c r="N551" s="61"/>
      <c r="O551" s="51"/>
    </row>
    <row r="552">
      <c r="A552" s="56">
        <v>549.0</v>
      </c>
      <c r="B552" s="68">
        <v>3758.0</v>
      </c>
      <c r="C552" s="69">
        <v>550.0</v>
      </c>
      <c r="D552" s="71"/>
      <c r="E552" s="68" t="s">
        <v>2382</v>
      </c>
      <c r="F552" s="76">
        <v>40180.0</v>
      </c>
      <c r="G552" s="68" t="s">
        <v>2383</v>
      </c>
      <c r="H552" s="71"/>
      <c r="I552" s="68" t="s">
        <v>635</v>
      </c>
      <c r="J552" s="68" t="s">
        <v>2332</v>
      </c>
      <c r="K552" s="71"/>
      <c r="L552" s="71"/>
      <c r="M552" s="71"/>
      <c r="N552" s="61"/>
      <c r="O552" s="51"/>
    </row>
    <row r="553">
      <c r="A553" s="56">
        <v>550.0</v>
      </c>
      <c r="B553" s="68">
        <v>3759.0</v>
      </c>
      <c r="C553" s="69">
        <v>551.0</v>
      </c>
      <c r="D553" s="71"/>
      <c r="E553" s="68" t="s">
        <v>2384</v>
      </c>
      <c r="F553" s="76">
        <v>40576.0</v>
      </c>
      <c r="G553" s="68" t="s">
        <v>2385</v>
      </c>
      <c r="H553" s="71"/>
      <c r="I553" s="63" t="s">
        <v>2386</v>
      </c>
      <c r="J553" s="68" t="s">
        <v>2387</v>
      </c>
      <c r="K553" s="66"/>
      <c r="L553" s="66"/>
      <c r="M553" s="66"/>
      <c r="N553" s="61"/>
      <c r="O553" s="51"/>
    </row>
    <row r="554">
      <c r="A554" s="56">
        <v>551.0</v>
      </c>
      <c r="B554" s="68">
        <v>3760.0</v>
      </c>
      <c r="C554" s="69">
        <v>552.0</v>
      </c>
      <c r="D554" s="71"/>
      <c r="E554" s="68" t="s">
        <v>2388</v>
      </c>
      <c r="F554" s="76">
        <v>40927.0</v>
      </c>
      <c r="G554" s="68" t="s">
        <v>149</v>
      </c>
      <c r="H554" s="71"/>
      <c r="I554" s="63" t="s">
        <v>2389</v>
      </c>
      <c r="J554" s="68" t="s">
        <v>2390</v>
      </c>
      <c r="K554" s="71"/>
      <c r="L554" s="71"/>
      <c r="M554" s="71"/>
      <c r="N554" s="61"/>
      <c r="O554" s="51"/>
    </row>
    <row r="555">
      <c r="A555" s="56">
        <v>552.0</v>
      </c>
      <c r="B555" s="68">
        <v>1808.0</v>
      </c>
      <c r="C555" s="69">
        <v>553.0</v>
      </c>
      <c r="D555" s="71"/>
      <c r="E555" s="68" t="s">
        <v>2391</v>
      </c>
      <c r="F555" s="76">
        <v>40032.0</v>
      </c>
      <c r="G555" s="68" t="s">
        <v>2392</v>
      </c>
      <c r="H555" s="71"/>
      <c r="I555" s="68" t="s">
        <v>2393</v>
      </c>
      <c r="J555" s="68" t="s">
        <v>2394</v>
      </c>
      <c r="K555" s="71"/>
      <c r="L555" s="71"/>
      <c r="M555" s="68" t="s">
        <v>125</v>
      </c>
      <c r="N555" s="61"/>
      <c r="O555" s="51"/>
    </row>
    <row r="556">
      <c r="A556" s="56">
        <v>553.0</v>
      </c>
      <c r="B556" s="68">
        <v>3762.0</v>
      </c>
      <c r="C556" s="69">
        <v>554.0</v>
      </c>
      <c r="D556" s="71"/>
      <c r="E556" s="68" t="s">
        <v>2395</v>
      </c>
      <c r="F556" s="76">
        <v>40990.0</v>
      </c>
      <c r="G556" s="68" t="s">
        <v>2396</v>
      </c>
      <c r="H556" s="71"/>
      <c r="I556" s="68" t="s">
        <v>2397</v>
      </c>
      <c r="J556" s="68" t="s">
        <v>2398</v>
      </c>
      <c r="K556" s="71"/>
      <c r="L556" s="71"/>
      <c r="M556" s="71"/>
      <c r="N556" s="61"/>
      <c r="O556" s="51"/>
    </row>
    <row r="557">
      <c r="A557" s="56">
        <v>554.0</v>
      </c>
      <c r="B557" s="68">
        <v>3763.0</v>
      </c>
      <c r="C557" s="69">
        <v>555.0</v>
      </c>
      <c r="D557" s="71"/>
      <c r="E557" s="68" t="s">
        <v>2399</v>
      </c>
      <c r="F557" s="76">
        <v>40056.0</v>
      </c>
      <c r="G557" s="68" t="s">
        <v>2400</v>
      </c>
      <c r="H557" s="71"/>
      <c r="I557" s="63" t="s">
        <v>635</v>
      </c>
      <c r="J557" s="68" t="s">
        <v>2401</v>
      </c>
      <c r="K557" s="71"/>
      <c r="L557" s="71"/>
      <c r="M557" s="71"/>
      <c r="N557" s="61"/>
      <c r="O557" s="51"/>
    </row>
    <row r="558">
      <c r="A558" s="56">
        <v>555.0</v>
      </c>
      <c r="B558" s="68">
        <v>3764.0</v>
      </c>
      <c r="C558" s="69">
        <v>556.0</v>
      </c>
      <c r="D558" s="71"/>
      <c r="E558" s="68" t="s">
        <v>2402</v>
      </c>
      <c r="F558" s="76">
        <v>40773.0</v>
      </c>
      <c r="G558" s="68" t="s">
        <v>2403</v>
      </c>
      <c r="H558" s="71"/>
      <c r="I558" s="68" t="s">
        <v>2404</v>
      </c>
      <c r="J558" s="100" t="s">
        <v>2405</v>
      </c>
      <c r="K558" s="101"/>
      <c r="L558" s="71"/>
      <c r="M558" s="71"/>
      <c r="N558" s="77"/>
      <c r="O558" s="51"/>
    </row>
    <row r="559">
      <c r="A559" s="56">
        <v>556.0</v>
      </c>
      <c r="B559" s="68">
        <v>3765.0</v>
      </c>
      <c r="C559" s="69">
        <v>557.0</v>
      </c>
      <c r="D559" s="71"/>
      <c r="E559" s="68" t="s">
        <v>2406</v>
      </c>
      <c r="F559" s="83">
        <v>40867.0</v>
      </c>
      <c r="G559" s="68" t="s">
        <v>2407</v>
      </c>
      <c r="H559" s="71"/>
      <c r="I559" s="63" t="s">
        <v>2408</v>
      </c>
      <c r="J559" s="68" t="s">
        <v>2409</v>
      </c>
      <c r="K559" s="71"/>
      <c r="L559" s="71"/>
      <c r="M559" s="71"/>
      <c r="N559" s="61"/>
      <c r="O559" s="51"/>
    </row>
    <row r="560">
      <c r="A560" s="56">
        <v>557.0</v>
      </c>
      <c r="B560" s="68">
        <v>3766.0</v>
      </c>
      <c r="C560" s="69">
        <v>558.0</v>
      </c>
      <c r="D560" s="71"/>
      <c r="E560" s="68" t="s">
        <v>2410</v>
      </c>
      <c r="F560" s="76">
        <v>40783.0</v>
      </c>
      <c r="G560" s="68" t="s">
        <v>2411</v>
      </c>
      <c r="H560" s="71"/>
      <c r="I560" s="68" t="s">
        <v>635</v>
      </c>
      <c r="J560" s="100" t="s">
        <v>2412</v>
      </c>
      <c r="K560" s="101"/>
      <c r="L560" s="71"/>
      <c r="M560" s="71"/>
      <c r="N560" s="77"/>
      <c r="O560" s="51"/>
    </row>
    <row r="561">
      <c r="A561" s="56">
        <v>558.0</v>
      </c>
      <c r="B561" s="63">
        <v>3767.0</v>
      </c>
      <c r="C561" s="64">
        <v>559.0</v>
      </c>
      <c r="D561" s="66"/>
      <c r="E561" s="63" t="s">
        <v>2413</v>
      </c>
      <c r="F561" s="70">
        <v>39995.0</v>
      </c>
      <c r="G561" s="63" t="s">
        <v>2414</v>
      </c>
      <c r="H561" s="66"/>
      <c r="I561" s="63" t="s">
        <v>2415</v>
      </c>
      <c r="J561" s="63" t="s">
        <v>1872</v>
      </c>
      <c r="K561" s="66"/>
      <c r="L561" s="66"/>
      <c r="M561" s="63" t="s">
        <v>530</v>
      </c>
      <c r="N561" s="61"/>
      <c r="O561" s="51"/>
    </row>
    <row r="562">
      <c r="A562" s="56">
        <v>559.0</v>
      </c>
      <c r="B562" s="68">
        <v>3768.0</v>
      </c>
      <c r="C562" s="69">
        <v>560.0</v>
      </c>
      <c r="D562" s="71"/>
      <c r="E562" s="68" t="s">
        <v>2416</v>
      </c>
      <c r="F562" s="76">
        <v>39830.0</v>
      </c>
      <c r="G562" s="68" t="s">
        <v>2417</v>
      </c>
      <c r="H562" s="71"/>
      <c r="I562" s="68" t="s">
        <v>2418</v>
      </c>
      <c r="J562" s="68" t="s">
        <v>2419</v>
      </c>
      <c r="K562" s="71"/>
      <c r="L562" s="71"/>
      <c r="M562" s="68" t="s">
        <v>1393</v>
      </c>
      <c r="N562" s="77"/>
      <c r="O562" s="51"/>
    </row>
    <row r="563">
      <c r="A563" s="56">
        <v>560.0</v>
      </c>
      <c r="B563" s="68">
        <v>3769.0</v>
      </c>
      <c r="C563" s="69">
        <v>561.0</v>
      </c>
      <c r="D563" s="71"/>
      <c r="E563" s="68" t="s">
        <v>2420</v>
      </c>
      <c r="F563" s="76">
        <v>40783.0</v>
      </c>
      <c r="G563" s="68" t="s">
        <v>2421</v>
      </c>
      <c r="H563" s="71"/>
      <c r="I563" s="63" t="s">
        <v>635</v>
      </c>
      <c r="J563" s="68" t="s">
        <v>2422</v>
      </c>
      <c r="K563" s="71"/>
      <c r="L563" s="71"/>
      <c r="M563" s="103"/>
      <c r="N563" s="61"/>
      <c r="O563" s="51"/>
    </row>
    <row r="564">
      <c r="A564" s="56">
        <v>561.0</v>
      </c>
      <c r="B564" s="68">
        <v>3770.0</v>
      </c>
      <c r="C564" s="69">
        <v>562.0</v>
      </c>
      <c r="D564" s="71"/>
      <c r="E564" s="68" t="s">
        <v>2423</v>
      </c>
      <c r="F564" s="76">
        <v>40703.0</v>
      </c>
      <c r="G564" s="68" t="s">
        <v>2424</v>
      </c>
      <c r="H564" s="71"/>
      <c r="I564" s="63" t="s">
        <v>2425</v>
      </c>
      <c r="J564" s="68" t="s">
        <v>2426</v>
      </c>
      <c r="K564" s="71"/>
      <c r="L564" s="71"/>
      <c r="M564" s="71"/>
      <c r="N564" s="61"/>
      <c r="O564" s="51"/>
    </row>
    <row r="565">
      <c r="A565" s="56">
        <v>562.0</v>
      </c>
      <c r="B565" s="68">
        <v>3771.0</v>
      </c>
      <c r="C565" s="69">
        <v>563.0</v>
      </c>
      <c r="D565" s="71"/>
      <c r="E565" s="68" t="s">
        <v>2427</v>
      </c>
      <c r="F565" s="76">
        <v>40773.0</v>
      </c>
      <c r="G565" s="68" t="s">
        <v>2428</v>
      </c>
      <c r="H565" s="71"/>
      <c r="I565" s="63" t="s">
        <v>635</v>
      </c>
      <c r="J565" s="68" t="s">
        <v>2429</v>
      </c>
      <c r="K565" s="71"/>
      <c r="L565" s="71"/>
      <c r="M565" s="71"/>
      <c r="N565" s="61"/>
      <c r="O565" s="51"/>
    </row>
    <row r="566">
      <c r="A566" s="56">
        <v>563.0</v>
      </c>
      <c r="B566" s="68">
        <v>3772.0</v>
      </c>
      <c r="C566" s="69">
        <v>564.0</v>
      </c>
      <c r="D566" s="71"/>
      <c r="E566" s="68" t="s">
        <v>2430</v>
      </c>
      <c r="F566" s="76">
        <v>40856.0</v>
      </c>
      <c r="G566" s="68" t="s">
        <v>2431</v>
      </c>
      <c r="H566" s="71"/>
      <c r="I566" s="63" t="s">
        <v>2432</v>
      </c>
      <c r="J566" s="68" t="s">
        <v>124</v>
      </c>
      <c r="K566" s="71"/>
      <c r="L566" s="71"/>
      <c r="M566" s="71"/>
      <c r="N566" s="61"/>
      <c r="O566" s="51"/>
    </row>
    <row r="567">
      <c r="A567" s="56">
        <v>564.0</v>
      </c>
      <c r="B567" s="63">
        <v>3773.0</v>
      </c>
      <c r="C567" s="64">
        <v>565.0</v>
      </c>
      <c r="D567" s="66"/>
      <c r="E567" s="63" t="s">
        <v>2433</v>
      </c>
      <c r="F567" s="70">
        <v>39853.0</v>
      </c>
      <c r="G567" s="63" t="s">
        <v>2434</v>
      </c>
      <c r="H567" s="66"/>
      <c r="I567" s="63" t="s">
        <v>2435</v>
      </c>
      <c r="J567" s="63" t="s">
        <v>1605</v>
      </c>
      <c r="K567" s="66"/>
      <c r="L567" s="66"/>
      <c r="M567" s="63" t="s">
        <v>125</v>
      </c>
      <c r="N567" s="61"/>
      <c r="O567" s="51"/>
    </row>
    <row r="568">
      <c r="A568" s="56">
        <v>565.0</v>
      </c>
      <c r="B568" s="57">
        <v>3774.0</v>
      </c>
      <c r="C568" s="58">
        <v>566.0</v>
      </c>
      <c r="D568" s="60"/>
      <c r="E568" s="57" t="s">
        <v>2436</v>
      </c>
      <c r="F568" s="59">
        <v>40118.0</v>
      </c>
      <c r="G568" s="57" t="s">
        <v>2437</v>
      </c>
      <c r="H568" s="60"/>
      <c r="I568" s="57" t="s">
        <v>2438</v>
      </c>
      <c r="J568" s="57" t="s">
        <v>2439</v>
      </c>
      <c r="K568" s="60"/>
      <c r="L568" s="60"/>
      <c r="M568" s="60"/>
      <c r="N568" s="112"/>
      <c r="O568" s="51"/>
    </row>
    <row r="569">
      <c r="A569" s="56">
        <v>566.0</v>
      </c>
      <c r="B569" s="68">
        <v>3775.0</v>
      </c>
      <c r="C569" s="69">
        <v>567.0</v>
      </c>
      <c r="D569" s="71"/>
      <c r="E569" s="68" t="s">
        <v>2440</v>
      </c>
      <c r="F569" s="76">
        <v>40398.0</v>
      </c>
      <c r="G569" s="68" t="s">
        <v>2441</v>
      </c>
      <c r="H569" s="71"/>
      <c r="I569" s="68" t="s">
        <v>2442</v>
      </c>
      <c r="J569" s="68" t="s">
        <v>2443</v>
      </c>
      <c r="K569" s="71"/>
      <c r="L569" s="71"/>
      <c r="M569" s="71"/>
      <c r="N569" s="61"/>
      <c r="O569" s="51"/>
    </row>
    <row r="570">
      <c r="A570" s="56">
        <v>567.0</v>
      </c>
      <c r="B570" s="68">
        <v>3776.0</v>
      </c>
      <c r="C570" s="69">
        <v>568.0</v>
      </c>
      <c r="D570" s="71"/>
      <c r="E570" s="68" t="s">
        <v>2444</v>
      </c>
      <c r="F570" s="76">
        <v>39950.0</v>
      </c>
      <c r="G570" s="68" t="s">
        <v>2445</v>
      </c>
      <c r="H570" s="71"/>
      <c r="I570" s="68" t="s">
        <v>635</v>
      </c>
      <c r="J570" s="100" t="s">
        <v>2446</v>
      </c>
      <c r="K570" s="101"/>
      <c r="L570" s="71"/>
      <c r="M570" s="71"/>
      <c r="N570" s="77"/>
      <c r="O570" s="51"/>
    </row>
    <row r="571">
      <c r="A571" s="56">
        <v>568.0</v>
      </c>
      <c r="B571" s="63">
        <v>3777.0</v>
      </c>
      <c r="C571" s="64">
        <v>569.0</v>
      </c>
      <c r="D571" s="66"/>
      <c r="E571" s="63" t="s">
        <v>2447</v>
      </c>
      <c r="F571" s="70">
        <v>40431.0</v>
      </c>
      <c r="G571" s="63" t="s">
        <v>2448</v>
      </c>
      <c r="H571" s="66"/>
      <c r="I571" s="63" t="s">
        <v>635</v>
      </c>
      <c r="J571" s="63" t="s">
        <v>2381</v>
      </c>
      <c r="K571" s="66"/>
      <c r="L571" s="66"/>
      <c r="M571" s="63" t="s">
        <v>195</v>
      </c>
      <c r="N571" s="61"/>
      <c r="O571" s="51"/>
    </row>
    <row r="572">
      <c r="A572" s="56">
        <v>569.0</v>
      </c>
      <c r="B572" s="68">
        <v>3778.0</v>
      </c>
      <c r="C572" s="69">
        <v>570.0</v>
      </c>
      <c r="D572" s="71"/>
      <c r="E572" s="68" t="s">
        <v>2449</v>
      </c>
      <c r="F572" s="76">
        <v>40856.0</v>
      </c>
      <c r="G572" s="68" t="s">
        <v>2450</v>
      </c>
      <c r="H572" s="71"/>
      <c r="I572" s="63" t="s">
        <v>2451</v>
      </c>
      <c r="J572" s="68" t="s">
        <v>2452</v>
      </c>
      <c r="K572" s="71"/>
      <c r="L572" s="71"/>
      <c r="M572" s="71"/>
      <c r="N572" s="61"/>
      <c r="O572" s="51"/>
    </row>
    <row r="573">
      <c r="A573" s="56">
        <v>570.0</v>
      </c>
      <c r="B573" s="68">
        <v>3779.0</v>
      </c>
      <c r="C573" s="69">
        <v>571.0</v>
      </c>
      <c r="D573" s="71"/>
      <c r="E573" s="68" t="s">
        <v>2453</v>
      </c>
      <c r="F573" s="76">
        <v>40763.0</v>
      </c>
      <c r="G573" s="68" t="s">
        <v>2454</v>
      </c>
      <c r="H573" s="71"/>
      <c r="I573" s="63" t="s">
        <v>2455</v>
      </c>
      <c r="J573" s="68" t="s">
        <v>2452</v>
      </c>
      <c r="K573" s="71"/>
      <c r="L573" s="71"/>
      <c r="M573" s="71"/>
      <c r="N573" s="61"/>
      <c r="O573" s="51"/>
    </row>
    <row r="574">
      <c r="A574" s="56">
        <v>571.0</v>
      </c>
      <c r="B574" s="63">
        <v>3780.0</v>
      </c>
      <c r="C574" s="64">
        <v>572.0</v>
      </c>
      <c r="D574" s="66"/>
      <c r="E574" s="63" t="s">
        <v>2456</v>
      </c>
      <c r="F574" s="70">
        <v>40358.0</v>
      </c>
      <c r="G574" s="63" t="s">
        <v>2457</v>
      </c>
      <c r="H574" s="66"/>
      <c r="I574" s="63" t="s">
        <v>2458</v>
      </c>
      <c r="J574" s="63" t="s">
        <v>1495</v>
      </c>
      <c r="K574" s="66"/>
      <c r="L574" s="66"/>
      <c r="M574" s="63" t="s">
        <v>201</v>
      </c>
      <c r="N574" s="61"/>
      <c r="O574" s="51"/>
    </row>
    <row r="575">
      <c r="A575" s="56">
        <v>572.0</v>
      </c>
      <c r="B575" s="68">
        <v>3781.0</v>
      </c>
      <c r="C575" s="69">
        <v>573.0</v>
      </c>
      <c r="D575" s="71"/>
      <c r="E575" s="68" t="s">
        <v>2459</v>
      </c>
      <c r="F575" s="76">
        <v>40002.0</v>
      </c>
      <c r="G575" s="68" t="s">
        <v>2460</v>
      </c>
      <c r="H575" s="71"/>
      <c r="I575" s="68" t="s">
        <v>2461</v>
      </c>
      <c r="J575" s="68" t="s">
        <v>2462</v>
      </c>
      <c r="K575" s="71"/>
      <c r="L575" s="71"/>
      <c r="M575" s="71"/>
      <c r="N575" s="61"/>
      <c r="O575" s="51"/>
    </row>
    <row r="576">
      <c r="A576" s="75">
        <v>573.0</v>
      </c>
      <c r="B576" s="68">
        <v>3782.0</v>
      </c>
      <c r="C576" s="69">
        <v>574.0</v>
      </c>
      <c r="D576" s="71"/>
      <c r="E576" s="68" t="s">
        <v>2463</v>
      </c>
      <c r="F576" s="83">
        <v>40096.0</v>
      </c>
      <c r="G576" s="68" t="s">
        <v>2464</v>
      </c>
      <c r="H576" s="71"/>
      <c r="I576" s="68" t="s">
        <v>2465</v>
      </c>
      <c r="J576" s="68" t="s">
        <v>1392</v>
      </c>
      <c r="K576" s="71"/>
      <c r="L576" s="71"/>
      <c r="M576" s="68" t="s">
        <v>2466</v>
      </c>
      <c r="N576" s="113" t="s">
        <v>2467</v>
      </c>
      <c r="O576" s="51"/>
    </row>
    <row r="577">
      <c r="A577" s="56">
        <v>574.0</v>
      </c>
      <c r="B577" s="68">
        <v>3783.0</v>
      </c>
      <c r="C577" s="69">
        <v>575.0</v>
      </c>
      <c r="D577" s="71"/>
      <c r="E577" s="68" t="s">
        <v>2468</v>
      </c>
      <c r="F577" s="76">
        <v>40575.0</v>
      </c>
      <c r="G577" s="68" t="s">
        <v>2469</v>
      </c>
      <c r="H577" s="71"/>
      <c r="I577" s="63" t="s">
        <v>635</v>
      </c>
      <c r="J577" s="68" t="s">
        <v>2470</v>
      </c>
      <c r="K577" s="71"/>
      <c r="L577" s="71"/>
      <c r="M577" s="71"/>
      <c r="N577" s="61"/>
      <c r="O577" s="51"/>
    </row>
    <row r="578">
      <c r="A578" s="56">
        <v>575.0</v>
      </c>
      <c r="B578" s="68">
        <v>3784.0</v>
      </c>
      <c r="C578" s="69">
        <v>576.0</v>
      </c>
      <c r="D578" s="71"/>
      <c r="E578" s="68" t="s">
        <v>2471</v>
      </c>
      <c r="F578" s="83">
        <v>40888.0</v>
      </c>
      <c r="G578" s="68" t="s">
        <v>2472</v>
      </c>
      <c r="H578" s="71"/>
      <c r="I578" s="63" t="s">
        <v>635</v>
      </c>
      <c r="J578" s="68" t="s">
        <v>2473</v>
      </c>
      <c r="K578" s="71"/>
      <c r="L578" s="71"/>
      <c r="M578" s="68" t="s">
        <v>195</v>
      </c>
      <c r="N578" s="61"/>
      <c r="O578" s="51"/>
    </row>
    <row r="579">
      <c r="A579" s="75">
        <v>576.0</v>
      </c>
      <c r="B579" s="68">
        <v>3785.0</v>
      </c>
      <c r="C579" s="69">
        <v>577.0</v>
      </c>
      <c r="D579" s="71"/>
      <c r="E579" s="68" t="s">
        <v>2474</v>
      </c>
      <c r="F579" s="76">
        <v>40661.0</v>
      </c>
      <c r="G579" s="68" t="s">
        <v>2475</v>
      </c>
      <c r="H579" s="71"/>
      <c r="I579" s="114" t="s">
        <v>2476</v>
      </c>
      <c r="J579" s="68" t="s">
        <v>2477</v>
      </c>
      <c r="K579" s="71"/>
      <c r="L579" s="71"/>
      <c r="M579" s="68" t="s">
        <v>149</v>
      </c>
      <c r="N579" s="77"/>
      <c r="O579" s="51"/>
    </row>
    <row r="580">
      <c r="A580" s="75">
        <v>577.0</v>
      </c>
      <c r="B580" s="68">
        <v>3786.0</v>
      </c>
      <c r="C580" s="69">
        <v>578.0</v>
      </c>
      <c r="D580" s="71"/>
      <c r="E580" s="68" t="s">
        <v>2478</v>
      </c>
      <c r="F580" s="76">
        <v>40661.0</v>
      </c>
      <c r="G580" s="68" t="s">
        <v>2479</v>
      </c>
      <c r="H580" s="71"/>
      <c r="I580" s="114" t="s">
        <v>2476</v>
      </c>
      <c r="J580" s="68" t="s">
        <v>2480</v>
      </c>
      <c r="K580" s="71"/>
      <c r="L580" s="71"/>
      <c r="M580" s="68" t="s">
        <v>149</v>
      </c>
      <c r="N580" s="77"/>
      <c r="O580" s="51"/>
    </row>
    <row r="581">
      <c r="A581" s="56">
        <v>578.0</v>
      </c>
      <c r="B581" s="68">
        <v>3787.0</v>
      </c>
      <c r="C581" s="69">
        <v>579.0</v>
      </c>
      <c r="D581" s="71"/>
      <c r="E581" s="68" t="s">
        <v>2481</v>
      </c>
      <c r="F581" s="76">
        <v>40630.0</v>
      </c>
      <c r="G581" s="68" t="s">
        <v>2482</v>
      </c>
      <c r="H581" s="71"/>
      <c r="I581" s="68" t="s">
        <v>635</v>
      </c>
      <c r="J581" s="68" t="s">
        <v>2483</v>
      </c>
      <c r="K581" s="71"/>
      <c r="L581" s="71"/>
      <c r="M581" s="71"/>
      <c r="N581" s="61"/>
      <c r="O581" s="51"/>
    </row>
    <row r="582">
      <c r="A582" s="56">
        <v>579.0</v>
      </c>
      <c r="B582" s="68">
        <v>3788.0</v>
      </c>
      <c r="C582" s="69">
        <v>580.0</v>
      </c>
      <c r="D582" s="71"/>
      <c r="E582" s="68" t="s">
        <v>2484</v>
      </c>
      <c r="F582" s="76">
        <v>40630.0</v>
      </c>
      <c r="G582" s="68" t="s">
        <v>2485</v>
      </c>
      <c r="H582" s="71"/>
      <c r="I582" s="68" t="s">
        <v>635</v>
      </c>
      <c r="J582" s="68" t="s">
        <v>2483</v>
      </c>
      <c r="K582" s="71"/>
      <c r="L582" s="71"/>
      <c r="M582" s="71"/>
      <c r="N582" s="61"/>
      <c r="O582" s="51"/>
    </row>
    <row r="583">
      <c r="A583" s="56">
        <v>580.0</v>
      </c>
      <c r="B583" s="63">
        <v>3789.0</v>
      </c>
      <c r="C583" s="64">
        <v>581.0</v>
      </c>
      <c r="D583" s="66"/>
      <c r="E583" s="63" t="s">
        <v>2486</v>
      </c>
      <c r="F583" s="70">
        <v>40148.0</v>
      </c>
      <c r="G583" s="63" t="s">
        <v>2487</v>
      </c>
      <c r="H583" s="66"/>
      <c r="I583" s="99" t="s">
        <v>2488</v>
      </c>
      <c r="J583" s="63" t="s">
        <v>1971</v>
      </c>
      <c r="K583" s="66"/>
      <c r="L583" s="66"/>
      <c r="M583" s="63" t="s">
        <v>530</v>
      </c>
      <c r="N583" s="61"/>
      <c r="O583" s="51"/>
    </row>
    <row r="584">
      <c r="A584" s="56">
        <v>581.0</v>
      </c>
      <c r="B584" s="63">
        <v>3790.0</v>
      </c>
      <c r="C584" s="64">
        <v>582.0</v>
      </c>
      <c r="D584" s="66"/>
      <c r="E584" s="63" t="s">
        <v>2489</v>
      </c>
      <c r="F584" s="70">
        <v>40148.0</v>
      </c>
      <c r="G584" s="63" t="s">
        <v>2490</v>
      </c>
      <c r="H584" s="66"/>
      <c r="I584" s="99" t="s">
        <v>2488</v>
      </c>
      <c r="J584" s="63" t="s">
        <v>136</v>
      </c>
      <c r="K584" s="66"/>
      <c r="L584" s="66"/>
      <c r="M584" s="63" t="s">
        <v>530</v>
      </c>
      <c r="N584" s="61"/>
      <c r="O584" s="51"/>
    </row>
    <row r="585">
      <c r="A585" s="56">
        <v>582.0</v>
      </c>
      <c r="B585" s="68">
        <v>3791.0</v>
      </c>
      <c r="C585" s="69">
        <v>583.0</v>
      </c>
      <c r="D585" s="71"/>
      <c r="E585" s="68" t="s">
        <v>2491</v>
      </c>
      <c r="F585" s="76">
        <v>40733.0</v>
      </c>
      <c r="G585" s="68" t="s">
        <v>2492</v>
      </c>
      <c r="H585" s="71"/>
      <c r="I585" s="63" t="s">
        <v>2493</v>
      </c>
      <c r="J585" s="68" t="s">
        <v>2494</v>
      </c>
      <c r="K585" s="71"/>
      <c r="L585" s="71"/>
      <c r="M585" s="71"/>
      <c r="N585" s="61"/>
      <c r="O585" s="51"/>
    </row>
    <row r="586">
      <c r="A586" s="56">
        <v>583.0</v>
      </c>
      <c r="B586" s="68">
        <v>3792.0</v>
      </c>
      <c r="C586" s="69">
        <v>584.0</v>
      </c>
      <c r="D586" s="68" t="s">
        <v>2495</v>
      </c>
      <c r="E586" s="68" t="s">
        <v>2496</v>
      </c>
      <c r="F586" s="76">
        <v>40568.0</v>
      </c>
      <c r="G586" s="68" t="s">
        <v>2497</v>
      </c>
      <c r="H586" s="71"/>
      <c r="I586" s="66"/>
      <c r="J586" s="68" t="s">
        <v>2498</v>
      </c>
      <c r="K586" s="71"/>
      <c r="L586" s="71"/>
      <c r="M586" s="71"/>
      <c r="N586" s="61"/>
      <c r="O586" s="51"/>
    </row>
    <row r="587">
      <c r="A587" s="56">
        <v>584.0</v>
      </c>
      <c r="B587" s="68">
        <v>3793.0</v>
      </c>
      <c r="C587" s="69">
        <v>585.0</v>
      </c>
      <c r="D587" s="71"/>
      <c r="E587" s="68" t="s">
        <v>2499</v>
      </c>
      <c r="F587" s="76">
        <v>40772.0</v>
      </c>
      <c r="G587" s="68" t="s">
        <v>2500</v>
      </c>
      <c r="H587" s="71"/>
      <c r="I587" s="63" t="s">
        <v>2501</v>
      </c>
      <c r="J587" s="68" t="s">
        <v>1988</v>
      </c>
      <c r="K587" s="71"/>
      <c r="L587" s="71"/>
      <c r="M587" s="71"/>
      <c r="N587" s="61"/>
      <c r="O587" s="51"/>
    </row>
    <row r="588">
      <c r="A588" s="56">
        <v>585.0</v>
      </c>
      <c r="B588" s="68">
        <v>3794.0</v>
      </c>
      <c r="C588" s="69">
        <v>586.0</v>
      </c>
      <c r="D588" s="71"/>
      <c r="E588" s="68" t="s">
        <v>2502</v>
      </c>
      <c r="F588" s="76">
        <v>40952.0</v>
      </c>
      <c r="G588" s="68" t="s">
        <v>2503</v>
      </c>
      <c r="H588" s="71"/>
      <c r="I588" s="63" t="s">
        <v>2504</v>
      </c>
      <c r="J588" s="68" t="s">
        <v>148</v>
      </c>
      <c r="K588" s="71"/>
      <c r="L588" s="71"/>
      <c r="M588" s="71"/>
      <c r="N588" s="61"/>
      <c r="O588" s="51"/>
    </row>
    <row r="589">
      <c r="A589" s="56">
        <v>586.0</v>
      </c>
      <c r="B589" s="68">
        <v>3795.0</v>
      </c>
      <c r="C589" s="69">
        <v>587.0</v>
      </c>
      <c r="D589" s="71"/>
      <c r="E589" s="68" t="s">
        <v>2505</v>
      </c>
      <c r="F589" s="76">
        <v>40995.0</v>
      </c>
      <c r="G589" s="68" t="s">
        <v>2506</v>
      </c>
      <c r="H589" s="71"/>
      <c r="I589" s="63" t="s">
        <v>2507</v>
      </c>
      <c r="J589" s="68" t="s">
        <v>2508</v>
      </c>
      <c r="K589" s="71"/>
      <c r="L589" s="71"/>
      <c r="M589" s="71"/>
      <c r="N589" s="61"/>
      <c r="O589" s="51"/>
    </row>
    <row r="590">
      <c r="A590" s="56">
        <v>587.0</v>
      </c>
      <c r="B590" s="68">
        <v>3796.0</v>
      </c>
      <c r="C590" s="69">
        <v>588.0</v>
      </c>
      <c r="D590" s="71"/>
      <c r="E590" s="68" t="s">
        <v>2509</v>
      </c>
      <c r="F590" s="76">
        <v>40953.0</v>
      </c>
      <c r="G590" s="68" t="s">
        <v>2510</v>
      </c>
      <c r="H590" s="71"/>
      <c r="I590" s="63" t="s">
        <v>2511</v>
      </c>
      <c r="J590" s="68" t="s">
        <v>124</v>
      </c>
      <c r="K590" s="71"/>
      <c r="L590" s="71"/>
      <c r="M590" s="71"/>
      <c r="N590" s="61"/>
      <c r="O590" s="51"/>
    </row>
    <row r="591">
      <c r="A591" s="56">
        <v>588.0</v>
      </c>
      <c r="B591" s="63">
        <v>3797.0</v>
      </c>
      <c r="C591" s="64">
        <v>589.0</v>
      </c>
      <c r="D591" s="66"/>
      <c r="E591" s="63" t="s">
        <v>2512</v>
      </c>
      <c r="F591" s="70">
        <v>40387.0</v>
      </c>
      <c r="G591" s="63" t="s">
        <v>2513</v>
      </c>
      <c r="H591" s="66"/>
      <c r="I591" s="63" t="s">
        <v>2514</v>
      </c>
      <c r="J591" s="63" t="s">
        <v>1495</v>
      </c>
      <c r="K591" s="66"/>
      <c r="L591" s="87" t="s">
        <v>2515</v>
      </c>
      <c r="M591" s="63" t="s">
        <v>201</v>
      </c>
      <c r="N591" s="61"/>
      <c r="O591" s="51"/>
    </row>
    <row r="592">
      <c r="A592" s="56">
        <v>589.0</v>
      </c>
      <c r="B592" s="68">
        <v>3798.0</v>
      </c>
      <c r="C592" s="69">
        <v>590.0</v>
      </c>
      <c r="D592" s="71"/>
      <c r="E592" s="68" t="s">
        <v>2516</v>
      </c>
      <c r="F592" s="76">
        <v>33050.0</v>
      </c>
      <c r="G592" s="68" t="s">
        <v>2517</v>
      </c>
      <c r="H592" s="71"/>
      <c r="I592" s="63" t="s">
        <v>2518</v>
      </c>
      <c r="J592" s="68" t="s">
        <v>2519</v>
      </c>
      <c r="K592" s="66"/>
      <c r="L592" s="66"/>
      <c r="M592" s="66"/>
      <c r="N592" s="61"/>
      <c r="O592" s="51"/>
    </row>
    <row r="593">
      <c r="A593" s="56">
        <v>590.0</v>
      </c>
      <c r="B593" s="63">
        <v>3799.0</v>
      </c>
      <c r="C593" s="64">
        <v>591.0</v>
      </c>
      <c r="D593" s="66"/>
      <c r="E593" s="63" t="s">
        <v>2520</v>
      </c>
      <c r="F593" s="70">
        <v>40092.0</v>
      </c>
      <c r="G593" s="63" t="s">
        <v>2521</v>
      </c>
      <c r="H593" s="66"/>
      <c r="I593" s="63" t="s">
        <v>2522</v>
      </c>
      <c r="J593" s="63" t="s">
        <v>1605</v>
      </c>
      <c r="K593" s="66"/>
      <c r="L593" s="63" t="s">
        <v>618</v>
      </c>
      <c r="M593" s="63" t="s">
        <v>125</v>
      </c>
      <c r="N593" s="61"/>
      <c r="O593" s="51"/>
    </row>
    <row r="594">
      <c r="A594" s="56">
        <v>591.0</v>
      </c>
      <c r="B594" s="63">
        <v>3800.0</v>
      </c>
      <c r="C594" s="64">
        <v>592.0</v>
      </c>
      <c r="D594" s="66"/>
      <c r="E594" s="63" t="s">
        <v>2523</v>
      </c>
      <c r="F594" s="70">
        <v>40761.0</v>
      </c>
      <c r="G594" s="63" t="s">
        <v>2524</v>
      </c>
      <c r="H594" s="66"/>
      <c r="I594" s="63" t="s">
        <v>2525</v>
      </c>
      <c r="J594" s="63" t="s">
        <v>2526</v>
      </c>
      <c r="K594" s="66"/>
      <c r="L594" s="66"/>
      <c r="M594" s="63" t="s">
        <v>2527</v>
      </c>
      <c r="N594" s="61"/>
      <c r="O594" s="51"/>
    </row>
    <row r="595">
      <c r="A595" s="56">
        <v>592.0</v>
      </c>
      <c r="B595" s="68">
        <v>3801.0</v>
      </c>
      <c r="C595" s="69">
        <v>593.0</v>
      </c>
      <c r="D595" s="71"/>
      <c r="E595" s="68" t="s">
        <v>2528</v>
      </c>
      <c r="F595" s="76">
        <v>39969.0</v>
      </c>
      <c r="G595" s="68" t="s">
        <v>2529</v>
      </c>
      <c r="H595" s="71"/>
      <c r="I595" s="63" t="s">
        <v>2530</v>
      </c>
      <c r="J595" s="68" t="s">
        <v>2531</v>
      </c>
      <c r="K595" s="71"/>
      <c r="L595" s="71"/>
      <c r="M595" s="71"/>
      <c r="N595" s="61"/>
      <c r="O595" s="51"/>
    </row>
    <row r="596">
      <c r="A596" s="56">
        <v>593.0</v>
      </c>
      <c r="B596" s="68">
        <v>3802.0</v>
      </c>
      <c r="C596" s="69">
        <v>594.0</v>
      </c>
      <c r="D596" s="71"/>
      <c r="E596" s="68" t="s">
        <v>1184</v>
      </c>
      <c r="F596" s="76">
        <v>40755.0</v>
      </c>
      <c r="G596" s="68" t="s">
        <v>2532</v>
      </c>
      <c r="H596" s="71"/>
      <c r="I596" s="63" t="s">
        <v>2533</v>
      </c>
      <c r="J596" s="68" t="s">
        <v>2534</v>
      </c>
      <c r="K596" s="71"/>
      <c r="L596" s="71"/>
      <c r="M596" s="71"/>
      <c r="N596" s="61"/>
      <c r="O596" s="51"/>
    </row>
    <row r="597">
      <c r="A597" s="56">
        <v>594.0</v>
      </c>
      <c r="B597" s="68">
        <v>3803.0</v>
      </c>
      <c r="C597" s="69">
        <v>595.0</v>
      </c>
      <c r="D597" s="71"/>
      <c r="E597" s="68" t="s">
        <v>2535</v>
      </c>
      <c r="F597" s="76">
        <v>40578.0</v>
      </c>
      <c r="G597" s="68" t="s">
        <v>2536</v>
      </c>
      <c r="H597" s="71"/>
      <c r="I597" s="68" t="s">
        <v>2537</v>
      </c>
      <c r="J597" s="68" t="s">
        <v>2538</v>
      </c>
      <c r="K597" s="71"/>
      <c r="L597" s="71"/>
      <c r="M597" s="68" t="s">
        <v>143</v>
      </c>
      <c r="N597" s="77"/>
      <c r="O597" s="51"/>
    </row>
    <row r="598">
      <c r="A598" s="56">
        <v>595.0</v>
      </c>
      <c r="B598" s="68">
        <v>3804.0</v>
      </c>
      <c r="C598" s="69">
        <v>596.0</v>
      </c>
      <c r="D598" s="71"/>
      <c r="E598" s="68" t="s">
        <v>2539</v>
      </c>
      <c r="F598" s="76">
        <v>40619.0</v>
      </c>
      <c r="G598" s="68" t="s">
        <v>2540</v>
      </c>
      <c r="H598" s="71"/>
      <c r="I598" s="63" t="s">
        <v>2541</v>
      </c>
      <c r="J598" s="68" t="s">
        <v>2542</v>
      </c>
      <c r="K598" s="71"/>
      <c r="L598" s="71"/>
      <c r="M598" s="71"/>
      <c r="N598" s="61"/>
      <c r="O598" s="51"/>
    </row>
    <row r="599">
      <c r="A599" s="56">
        <v>596.0</v>
      </c>
      <c r="B599" s="68">
        <v>3805.0</v>
      </c>
      <c r="C599" s="69">
        <v>597.0</v>
      </c>
      <c r="D599" s="71"/>
      <c r="E599" s="68" t="s">
        <v>2543</v>
      </c>
      <c r="F599" s="76">
        <v>40590.0</v>
      </c>
      <c r="G599" s="68" t="s">
        <v>2540</v>
      </c>
      <c r="H599" s="71"/>
      <c r="I599" s="63" t="s">
        <v>2541</v>
      </c>
      <c r="J599" s="68" t="s">
        <v>2544</v>
      </c>
      <c r="K599" s="71"/>
      <c r="L599" s="71"/>
      <c r="M599" s="71"/>
      <c r="N599" s="61"/>
      <c r="O599" s="51"/>
    </row>
    <row r="600">
      <c r="A600" s="56">
        <v>597.0</v>
      </c>
      <c r="B600" s="63">
        <v>3806.0</v>
      </c>
      <c r="C600" s="64">
        <v>598.0</v>
      </c>
      <c r="D600" s="66"/>
      <c r="E600" s="63" t="s">
        <v>2545</v>
      </c>
      <c r="F600" s="70">
        <v>39953.0</v>
      </c>
      <c r="G600" s="63" t="s">
        <v>2546</v>
      </c>
      <c r="H600" s="63" t="s">
        <v>2547</v>
      </c>
      <c r="I600" s="63" t="s">
        <v>2548</v>
      </c>
      <c r="J600" s="63" t="s">
        <v>1971</v>
      </c>
      <c r="K600" s="66"/>
      <c r="L600" s="66"/>
      <c r="M600" s="63" t="s">
        <v>530</v>
      </c>
      <c r="N600" s="61"/>
      <c r="O600" s="51"/>
    </row>
    <row r="601">
      <c r="A601" s="75">
        <v>598.0</v>
      </c>
      <c r="B601" s="68">
        <v>3807.0</v>
      </c>
      <c r="C601" s="69">
        <v>599.0</v>
      </c>
      <c r="D601" s="71"/>
      <c r="E601" s="68" t="s">
        <v>2549</v>
      </c>
      <c r="F601" s="76">
        <v>40080.0</v>
      </c>
      <c r="G601" s="68" t="s">
        <v>2550</v>
      </c>
      <c r="H601" s="71"/>
      <c r="I601" s="68" t="s">
        <v>2551</v>
      </c>
      <c r="J601" s="68" t="s">
        <v>2175</v>
      </c>
      <c r="K601" s="71"/>
      <c r="L601" s="71"/>
      <c r="M601" s="68" t="s">
        <v>2466</v>
      </c>
      <c r="N601" s="77"/>
      <c r="O601" s="51"/>
    </row>
    <row r="602">
      <c r="A602" s="56">
        <v>599.0</v>
      </c>
      <c r="B602" s="68">
        <v>3808.0</v>
      </c>
      <c r="C602" s="69">
        <v>600.0</v>
      </c>
      <c r="D602" s="68" t="s">
        <v>2552</v>
      </c>
      <c r="E602" s="68" t="s">
        <v>2553</v>
      </c>
      <c r="F602" s="76">
        <v>40753.0</v>
      </c>
      <c r="G602" s="68" t="s">
        <v>2554</v>
      </c>
      <c r="H602" s="71"/>
      <c r="I602" s="63" t="s">
        <v>2555</v>
      </c>
      <c r="J602" s="68" t="s">
        <v>2556</v>
      </c>
      <c r="K602" s="71"/>
      <c r="L602" s="71"/>
      <c r="M602" s="71"/>
      <c r="N602" s="61"/>
      <c r="O602" s="51"/>
    </row>
    <row r="603">
      <c r="A603" s="56">
        <v>600.0</v>
      </c>
      <c r="B603" s="63">
        <v>3809.0</v>
      </c>
      <c r="C603" s="64">
        <v>601.0</v>
      </c>
      <c r="D603" s="66"/>
      <c r="E603" s="63" t="s">
        <v>2557</v>
      </c>
      <c r="F603" s="70">
        <v>40379.0</v>
      </c>
      <c r="G603" s="63" t="s">
        <v>2558</v>
      </c>
      <c r="H603" s="66"/>
      <c r="I603" s="63" t="s">
        <v>2559</v>
      </c>
      <c r="J603" s="63" t="s">
        <v>1495</v>
      </c>
      <c r="K603" s="66"/>
      <c r="L603" s="66"/>
      <c r="M603" s="63" t="s">
        <v>201</v>
      </c>
      <c r="N603" s="61"/>
      <c r="O603" s="51"/>
    </row>
    <row r="604">
      <c r="A604" s="75">
        <v>601.0</v>
      </c>
      <c r="B604" s="68">
        <v>3810.0</v>
      </c>
      <c r="C604" s="69">
        <v>602.0</v>
      </c>
      <c r="D604" s="71"/>
      <c r="E604" s="68" t="s">
        <v>2560</v>
      </c>
      <c r="F604" s="76">
        <v>40026.0</v>
      </c>
      <c r="G604" s="68" t="s">
        <v>2561</v>
      </c>
      <c r="H604" s="71"/>
      <c r="I604" s="68" t="s">
        <v>2562</v>
      </c>
      <c r="J604" s="100" t="s">
        <v>1392</v>
      </c>
      <c r="K604" s="101"/>
      <c r="L604" s="71"/>
      <c r="M604" s="68" t="s">
        <v>530</v>
      </c>
      <c r="N604" s="61"/>
      <c r="O604" s="51"/>
    </row>
    <row r="605">
      <c r="A605" s="56">
        <v>602.0</v>
      </c>
      <c r="B605" s="68">
        <v>3811.0</v>
      </c>
      <c r="C605" s="69">
        <v>603.0</v>
      </c>
      <c r="D605" s="71"/>
      <c r="E605" s="68" t="s">
        <v>2563</v>
      </c>
      <c r="F605" s="83">
        <v>40469.0</v>
      </c>
      <c r="G605" s="68" t="s">
        <v>2564</v>
      </c>
      <c r="H605" s="71"/>
      <c r="I605" s="63" t="s">
        <v>2565</v>
      </c>
      <c r="J605" s="68" t="s">
        <v>2566</v>
      </c>
      <c r="K605" s="71"/>
      <c r="L605" s="71"/>
      <c r="M605" s="71"/>
      <c r="N605" s="61"/>
      <c r="O605" s="51"/>
    </row>
    <row r="606">
      <c r="A606" s="56">
        <v>603.0</v>
      </c>
      <c r="B606" s="57">
        <v>3812.0</v>
      </c>
      <c r="C606" s="58">
        <v>604.0</v>
      </c>
      <c r="D606" s="60"/>
      <c r="E606" s="57" t="s">
        <v>2567</v>
      </c>
      <c r="F606" s="59">
        <v>40026.0</v>
      </c>
      <c r="G606" s="57" t="s">
        <v>2568</v>
      </c>
      <c r="H606" s="60"/>
      <c r="I606" s="115" t="s">
        <v>2569</v>
      </c>
      <c r="J606" s="57" t="s">
        <v>2044</v>
      </c>
      <c r="K606" s="60"/>
      <c r="L606" s="60"/>
      <c r="M606" s="57" t="s">
        <v>530</v>
      </c>
      <c r="N606" s="112"/>
      <c r="O606" s="51"/>
    </row>
    <row r="607">
      <c r="A607" s="56">
        <v>604.0</v>
      </c>
      <c r="B607" s="68">
        <v>3813.0</v>
      </c>
      <c r="C607" s="69">
        <v>605.0</v>
      </c>
      <c r="D607" s="71"/>
      <c r="E607" s="68" t="s">
        <v>2570</v>
      </c>
      <c r="F607" s="76">
        <v>40260.0</v>
      </c>
      <c r="G607" s="68" t="s">
        <v>2571</v>
      </c>
      <c r="H607" s="68" t="s">
        <v>2572</v>
      </c>
      <c r="I607" s="63" t="s">
        <v>2573</v>
      </c>
      <c r="J607" s="68" t="s">
        <v>2574</v>
      </c>
      <c r="K607" s="71"/>
      <c r="L607" s="71"/>
      <c r="M607" s="71"/>
      <c r="N607" s="61"/>
      <c r="O607" s="51"/>
    </row>
    <row r="608">
      <c r="A608" s="56">
        <v>605.0</v>
      </c>
      <c r="B608" s="68">
        <v>3814.0</v>
      </c>
      <c r="C608" s="69">
        <v>606.0</v>
      </c>
      <c r="D608" s="71"/>
      <c r="E608" s="68" t="s">
        <v>2575</v>
      </c>
      <c r="F608" s="76">
        <v>41059.0</v>
      </c>
      <c r="G608" s="68" t="s">
        <v>2576</v>
      </c>
      <c r="H608" s="71"/>
      <c r="I608" s="63" t="s">
        <v>2577</v>
      </c>
      <c r="J608" s="68" t="s">
        <v>2578</v>
      </c>
      <c r="K608" s="71"/>
      <c r="L608" s="71"/>
      <c r="M608" s="68" t="s">
        <v>137</v>
      </c>
      <c r="N608" s="61"/>
      <c r="O608" s="51"/>
    </row>
    <row r="609">
      <c r="A609" s="56">
        <v>606.0</v>
      </c>
      <c r="B609" s="68">
        <v>3815.0</v>
      </c>
      <c r="C609" s="69">
        <v>607.0</v>
      </c>
      <c r="D609" s="71"/>
      <c r="E609" s="68" t="s">
        <v>2579</v>
      </c>
      <c r="F609" s="76">
        <v>39995.0</v>
      </c>
      <c r="G609" s="68" t="s">
        <v>2580</v>
      </c>
      <c r="H609" s="71"/>
      <c r="I609" s="63" t="s">
        <v>2581</v>
      </c>
      <c r="J609" s="68" t="s">
        <v>2582</v>
      </c>
      <c r="K609" s="71"/>
      <c r="L609" s="71"/>
      <c r="M609" s="71"/>
      <c r="N609" s="61"/>
      <c r="O609" s="51"/>
    </row>
    <row r="610">
      <c r="A610" s="56">
        <v>607.0</v>
      </c>
      <c r="B610" s="63">
        <v>3816.0</v>
      </c>
      <c r="C610" s="64">
        <v>608.0</v>
      </c>
      <c r="D610" s="66"/>
      <c r="E610" s="63" t="s">
        <v>2583</v>
      </c>
      <c r="F610" s="70">
        <v>40023.0</v>
      </c>
      <c r="G610" s="63" t="s">
        <v>2584</v>
      </c>
      <c r="H610" s="66"/>
      <c r="I610" s="63" t="s">
        <v>2585</v>
      </c>
      <c r="J610" s="63" t="s">
        <v>1971</v>
      </c>
      <c r="K610" s="66"/>
      <c r="L610" s="66"/>
      <c r="M610" s="63" t="s">
        <v>530</v>
      </c>
      <c r="N610" s="61"/>
      <c r="O610" s="51"/>
    </row>
    <row r="611">
      <c r="A611" s="56">
        <v>608.0</v>
      </c>
      <c r="B611" s="63">
        <v>3817.0</v>
      </c>
      <c r="C611" s="64">
        <v>609.0</v>
      </c>
      <c r="D611" s="66"/>
      <c r="E611" s="63" t="s">
        <v>2586</v>
      </c>
      <c r="F611" s="70">
        <v>39970.0</v>
      </c>
      <c r="G611" s="63" t="s">
        <v>2587</v>
      </c>
      <c r="H611" s="66"/>
      <c r="I611" s="63" t="s">
        <v>2588</v>
      </c>
      <c r="J611" s="63" t="s">
        <v>1872</v>
      </c>
      <c r="K611" s="66"/>
      <c r="L611" s="66"/>
      <c r="M611" s="63" t="s">
        <v>530</v>
      </c>
      <c r="N611" s="61"/>
      <c r="O611" s="51"/>
    </row>
    <row r="612">
      <c r="A612" s="56">
        <v>609.0</v>
      </c>
      <c r="B612" s="68">
        <v>3818.0</v>
      </c>
      <c r="C612" s="69">
        <v>610.0</v>
      </c>
      <c r="D612" s="71"/>
      <c r="E612" s="68" t="s">
        <v>2589</v>
      </c>
      <c r="F612" s="76">
        <v>39995.0</v>
      </c>
      <c r="G612" s="68" t="s">
        <v>2580</v>
      </c>
      <c r="H612" s="71"/>
      <c r="I612" s="63" t="s">
        <v>2590</v>
      </c>
      <c r="J612" s="68" t="s">
        <v>2591</v>
      </c>
      <c r="K612" s="71"/>
      <c r="L612" s="71"/>
      <c r="M612" s="71"/>
      <c r="N612" s="61"/>
      <c r="O612" s="51"/>
    </row>
    <row r="613">
      <c r="A613" s="56">
        <v>610.0</v>
      </c>
      <c r="B613" s="68">
        <v>3819.0</v>
      </c>
      <c r="C613" s="68">
        <v>611.0</v>
      </c>
      <c r="D613" s="71"/>
      <c r="E613" s="68" t="s">
        <v>2592</v>
      </c>
      <c r="F613" s="76">
        <v>40642.0</v>
      </c>
      <c r="G613" s="68" t="s">
        <v>2593</v>
      </c>
      <c r="H613" s="71"/>
      <c r="I613" s="68" t="s">
        <v>2594</v>
      </c>
      <c r="J613" s="68" t="s">
        <v>2595</v>
      </c>
      <c r="K613" s="71"/>
      <c r="L613" s="71"/>
      <c r="M613" s="71"/>
      <c r="N613" s="61"/>
      <c r="O613" s="51"/>
    </row>
    <row r="614">
      <c r="A614" s="56">
        <v>611.0</v>
      </c>
      <c r="B614" s="68">
        <v>3820.0</v>
      </c>
      <c r="C614" s="68">
        <v>612.0</v>
      </c>
      <c r="D614" s="71"/>
      <c r="E614" s="68" t="s">
        <v>2596</v>
      </c>
      <c r="F614" s="76">
        <v>40346.0</v>
      </c>
      <c r="G614" s="68" t="s">
        <v>2597</v>
      </c>
      <c r="H614" s="71"/>
      <c r="I614" s="68" t="s">
        <v>2598</v>
      </c>
      <c r="J614" s="68" t="s">
        <v>2599</v>
      </c>
      <c r="K614" s="71"/>
      <c r="L614" s="71"/>
      <c r="M614" s="71"/>
      <c r="N614" s="61"/>
      <c r="O614" s="51"/>
    </row>
    <row r="615">
      <c r="A615" s="56">
        <v>612.0</v>
      </c>
      <c r="B615" s="68">
        <v>3821.0</v>
      </c>
      <c r="C615" s="69">
        <v>613.0</v>
      </c>
      <c r="D615" s="71"/>
      <c r="E615" s="68" t="s">
        <v>2600</v>
      </c>
      <c r="F615" s="76">
        <v>40352.0</v>
      </c>
      <c r="G615" s="68" t="s">
        <v>2601</v>
      </c>
      <c r="H615" s="71"/>
      <c r="I615" s="63" t="s">
        <v>2602</v>
      </c>
      <c r="J615" s="68" t="s">
        <v>2603</v>
      </c>
      <c r="K615" s="71"/>
      <c r="L615" s="71"/>
      <c r="M615" s="71"/>
      <c r="N615" s="61"/>
      <c r="O615" s="51"/>
    </row>
    <row r="616">
      <c r="A616" s="56">
        <v>613.0</v>
      </c>
      <c r="B616" s="63">
        <v>3822.0</v>
      </c>
      <c r="C616" s="64">
        <v>614.0</v>
      </c>
      <c r="D616" s="66"/>
      <c r="E616" s="63" t="s">
        <v>2604</v>
      </c>
      <c r="F616" s="70">
        <v>40051.0</v>
      </c>
      <c r="G616" s="63" t="s">
        <v>2605</v>
      </c>
      <c r="H616" s="66"/>
      <c r="I616" s="63" t="s">
        <v>2602</v>
      </c>
      <c r="J616" s="63" t="s">
        <v>1872</v>
      </c>
      <c r="K616" s="66"/>
      <c r="L616" s="66"/>
      <c r="M616" s="63" t="s">
        <v>530</v>
      </c>
      <c r="N616" s="61"/>
      <c r="O616" s="51"/>
    </row>
    <row r="617">
      <c r="A617" s="56">
        <v>614.0</v>
      </c>
      <c r="B617" s="63">
        <v>3823.0</v>
      </c>
      <c r="C617" s="64">
        <v>615.0</v>
      </c>
      <c r="D617" s="116"/>
      <c r="E617" s="63" t="s">
        <v>2606</v>
      </c>
      <c r="F617" s="65">
        <v>40478.0</v>
      </c>
      <c r="G617" s="63" t="s">
        <v>2607</v>
      </c>
      <c r="H617" s="66"/>
      <c r="I617" s="63" t="s">
        <v>2608</v>
      </c>
      <c r="J617" s="63" t="s">
        <v>1605</v>
      </c>
      <c r="K617" s="66"/>
      <c r="L617" s="66"/>
      <c r="M617" s="63" t="s">
        <v>125</v>
      </c>
      <c r="N617" s="61"/>
      <c r="O617" s="51"/>
    </row>
    <row r="618">
      <c r="A618" s="56">
        <v>615.0</v>
      </c>
      <c r="B618" s="63">
        <v>3824.0</v>
      </c>
      <c r="C618" s="64">
        <v>616.0</v>
      </c>
      <c r="D618" s="116"/>
      <c r="E618" s="63" t="s">
        <v>2609</v>
      </c>
      <c r="F618" s="65">
        <v>40478.0</v>
      </c>
      <c r="G618" s="63" t="s">
        <v>2607</v>
      </c>
      <c r="H618" s="66"/>
      <c r="I618" s="63" t="s">
        <v>2608</v>
      </c>
      <c r="J618" s="63" t="s">
        <v>1605</v>
      </c>
      <c r="K618" s="66"/>
      <c r="L618" s="66"/>
      <c r="M618" s="63" t="s">
        <v>125</v>
      </c>
      <c r="N618" s="61"/>
      <c r="O618" s="51"/>
    </row>
    <row r="619">
      <c r="A619" s="75">
        <v>616.0</v>
      </c>
      <c r="B619" s="68">
        <v>3825.0</v>
      </c>
      <c r="C619" s="69">
        <v>617.0</v>
      </c>
      <c r="D619" s="68" t="s">
        <v>2610</v>
      </c>
      <c r="E619" s="68" t="s">
        <v>2611</v>
      </c>
      <c r="F619" s="76">
        <v>39995.0</v>
      </c>
      <c r="G619" s="68" t="s">
        <v>2612</v>
      </c>
      <c r="H619" s="71"/>
      <c r="I619" s="114" t="s">
        <v>2613</v>
      </c>
      <c r="J619" s="68" t="s">
        <v>1392</v>
      </c>
      <c r="K619" s="71"/>
      <c r="L619" s="71"/>
      <c r="M619" s="68" t="s">
        <v>2466</v>
      </c>
      <c r="N619" s="77"/>
      <c r="O619" s="51"/>
    </row>
    <row r="620">
      <c r="A620" s="56">
        <v>617.0</v>
      </c>
      <c r="B620" s="63">
        <v>3826.0</v>
      </c>
      <c r="C620" s="64">
        <v>618.0</v>
      </c>
      <c r="D620" s="66"/>
      <c r="E620" s="63" t="s">
        <v>2614</v>
      </c>
      <c r="F620" s="70">
        <v>39995.0</v>
      </c>
      <c r="G620" s="63" t="s">
        <v>2615</v>
      </c>
      <c r="H620" s="66"/>
      <c r="I620" s="63" t="s">
        <v>2616</v>
      </c>
      <c r="J620" s="63" t="s">
        <v>1872</v>
      </c>
      <c r="K620" s="66"/>
      <c r="L620" s="66"/>
      <c r="M620" s="63" t="s">
        <v>530</v>
      </c>
      <c r="N620" s="61"/>
      <c r="O620" s="51"/>
    </row>
    <row r="621">
      <c r="A621" s="56">
        <v>618.0</v>
      </c>
      <c r="B621" s="68">
        <v>3827.0</v>
      </c>
      <c r="C621" s="69">
        <v>619.0</v>
      </c>
      <c r="D621" s="71"/>
      <c r="E621" s="68" t="s">
        <v>2617</v>
      </c>
      <c r="F621" s="76">
        <v>39958.0</v>
      </c>
      <c r="G621" s="68" t="s">
        <v>2618</v>
      </c>
      <c r="H621" s="71"/>
      <c r="I621" s="63" t="s">
        <v>2619</v>
      </c>
      <c r="J621" s="68" t="s">
        <v>2620</v>
      </c>
      <c r="K621" s="71"/>
      <c r="L621" s="71"/>
      <c r="M621" s="71"/>
      <c r="N621" s="61"/>
      <c r="O621" s="51"/>
    </row>
    <row r="622">
      <c r="A622" s="56">
        <v>619.0</v>
      </c>
      <c r="B622" s="68">
        <v>3828.0</v>
      </c>
      <c r="C622" s="69">
        <v>620.0</v>
      </c>
      <c r="D622" s="71"/>
      <c r="E622" s="68" t="s">
        <v>2621</v>
      </c>
      <c r="F622" s="76">
        <v>39958.0</v>
      </c>
      <c r="G622" s="68" t="s">
        <v>2618</v>
      </c>
      <c r="H622" s="71"/>
      <c r="I622" s="63" t="s">
        <v>635</v>
      </c>
      <c r="J622" s="68" t="s">
        <v>2622</v>
      </c>
      <c r="K622" s="71"/>
      <c r="L622" s="71"/>
      <c r="M622" s="71"/>
      <c r="N622" s="61"/>
      <c r="O622" s="51"/>
    </row>
    <row r="623">
      <c r="A623" s="56">
        <v>620.0</v>
      </c>
      <c r="B623" s="63">
        <v>3829.0</v>
      </c>
      <c r="C623" s="64" t="s">
        <v>2623</v>
      </c>
      <c r="D623" s="66"/>
      <c r="E623" s="63" t="s">
        <v>2624</v>
      </c>
      <c r="F623" s="70">
        <v>39977.0</v>
      </c>
      <c r="G623" s="63" t="s">
        <v>2625</v>
      </c>
      <c r="H623" s="63" t="s">
        <v>439</v>
      </c>
      <c r="I623" s="63" t="s">
        <v>2626</v>
      </c>
      <c r="J623" s="63" t="s">
        <v>1971</v>
      </c>
      <c r="K623" s="66"/>
      <c r="L623" s="66"/>
      <c r="M623" s="63" t="s">
        <v>530</v>
      </c>
      <c r="N623" s="61"/>
      <c r="O623" s="51"/>
    </row>
    <row r="624">
      <c r="A624" s="56">
        <v>621.0</v>
      </c>
      <c r="B624" s="63">
        <v>3830.0</v>
      </c>
      <c r="C624" s="64" t="s">
        <v>2627</v>
      </c>
      <c r="D624" s="66"/>
      <c r="E624" s="63" t="s">
        <v>2628</v>
      </c>
      <c r="F624" s="70">
        <v>39977.0</v>
      </c>
      <c r="G624" s="63" t="s">
        <v>2629</v>
      </c>
      <c r="H624" s="63" t="s">
        <v>2630</v>
      </c>
      <c r="I624" s="63" t="s">
        <v>2626</v>
      </c>
      <c r="J624" s="63" t="s">
        <v>1971</v>
      </c>
      <c r="K624" s="66"/>
      <c r="L624" s="66"/>
      <c r="M624" s="63" t="s">
        <v>530</v>
      </c>
      <c r="N624" s="61"/>
      <c r="O624" s="51"/>
    </row>
    <row r="625">
      <c r="A625" s="56">
        <v>622.0</v>
      </c>
      <c r="B625" s="68">
        <v>3831.0</v>
      </c>
      <c r="C625" s="69">
        <v>623.0</v>
      </c>
      <c r="D625" s="71"/>
      <c r="E625" s="68" t="s">
        <v>2631</v>
      </c>
      <c r="F625" s="76">
        <v>39969.0</v>
      </c>
      <c r="G625" s="68" t="s">
        <v>2632</v>
      </c>
      <c r="H625" s="71"/>
      <c r="I625" s="91" t="s">
        <v>2633</v>
      </c>
      <c r="J625" s="68" t="s">
        <v>622</v>
      </c>
      <c r="K625" s="71"/>
      <c r="L625" s="71"/>
      <c r="M625" s="71"/>
      <c r="N625" s="61"/>
      <c r="O625" s="51"/>
    </row>
    <row r="626">
      <c r="A626" s="56">
        <v>623.0</v>
      </c>
      <c r="B626" s="68">
        <v>3832.0</v>
      </c>
      <c r="C626" s="69">
        <v>624.0</v>
      </c>
      <c r="D626" s="71"/>
      <c r="E626" s="68" t="s">
        <v>2634</v>
      </c>
      <c r="F626" s="76">
        <v>40967.0</v>
      </c>
      <c r="G626" s="68" t="s">
        <v>2635</v>
      </c>
      <c r="H626" s="71"/>
      <c r="I626" s="68" t="s">
        <v>635</v>
      </c>
      <c r="J626" s="100" t="s">
        <v>2636</v>
      </c>
      <c r="K626" s="101"/>
      <c r="L626" s="71"/>
      <c r="M626" s="71"/>
      <c r="N626" s="77"/>
      <c r="O626" s="51"/>
    </row>
    <row r="627">
      <c r="A627" s="56">
        <v>624.0</v>
      </c>
      <c r="B627" s="68">
        <v>3833.0</v>
      </c>
      <c r="C627" s="69">
        <v>625.0</v>
      </c>
      <c r="D627" s="71"/>
      <c r="E627" s="68" t="s">
        <v>2637</v>
      </c>
      <c r="F627" s="76">
        <v>39266.0</v>
      </c>
      <c r="G627" s="68" t="s">
        <v>2638</v>
      </c>
      <c r="H627" s="71"/>
      <c r="I627" s="68" t="s">
        <v>2639</v>
      </c>
      <c r="J627" s="68" t="s">
        <v>2640</v>
      </c>
      <c r="K627" s="66"/>
      <c r="L627" s="66"/>
      <c r="M627" s="66"/>
      <c r="N627" s="61"/>
      <c r="O627" s="51"/>
    </row>
    <row r="628">
      <c r="A628" s="56">
        <v>625.0</v>
      </c>
      <c r="B628" s="68">
        <v>3834.0</v>
      </c>
      <c r="C628" s="69">
        <v>626.0</v>
      </c>
      <c r="D628" s="71"/>
      <c r="E628" s="68" t="s">
        <v>2641</v>
      </c>
      <c r="F628" s="76">
        <v>39949.0</v>
      </c>
      <c r="G628" s="68" t="s">
        <v>2642</v>
      </c>
      <c r="H628" s="71"/>
      <c r="I628" s="114" t="s">
        <v>2643</v>
      </c>
      <c r="J628" s="68" t="s">
        <v>2644</v>
      </c>
      <c r="K628" s="71"/>
      <c r="L628" s="71"/>
      <c r="M628" s="71"/>
      <c r="N628" s="61"/>
      <c r="O628" s="51"/>
    </row>
    <row r="629">
      <c r="A629" s="56">
        <v>626.0</v>
      </c>
      <c r="B629" s="68">
        <v>3835.0</v>
      </c>
      <c r="C629" s="69">
        <v>627.0</v>
      </c>
      <c r="D629" s="68" t="s">
        <v>2645</v>
      </c>
      <c r="E629" s="68" t="s">
        <v>2646</v>
      </c>
      <c r="F629" s="76">
        <v>40047.0</v>
      </c>
      <c r="G629" s="68" t="s">
        <v>2647</v>
      </c>
      <c r="H629" s="71"/>
      <c r="I629" s="68" t="s">
        <v>2648</v>
      </c>
      <c r="J629" s="87" t="s">
        <v>2649</v>
      </c>
      <c r="K629" s="101"/>
      <c r="L629" s="71"/>
      <c r="M629" s="71"/>
      <c r="N629" s="61"/>
      <c r="O629" s="51"/>
    </row>
    <row r="630">
      <c r="A630" s="56">
        <v>627.0</v>
      </c>
      <c r="B630" s="68">
        <v>3836.0</v>
      </c>
      <c r="C630" s="69">
        <v>628.0</v>
      </c>
      <c r="D630" s="71"/>
      <c r="E630" s="68" t="s">
        <v>2650</v>
      </c>
      <c r="F630" s="76">
        <v>40810.0</v>
      </c>
      <c r="G630" s="68" t="s">
        <v>2651</v>
      </c>
      <c r="H630" s="71"/>
      <c r="I630" s="68" t="s">
        <v>2652</v>
      </c>
      <c r="J630" s="68" t="s">
        <v>2653</v>
      </c>
      <c r="K630" s="71"/>
      <c r="L630" s="71"/>
      <c r="M630" s="71"/>
      <c r="N630" s="61"/>
      <c r="O630" s="51"/>
    </row>
    <row r="631">
      <c r="A631" s="56">
        <v>628.0</v>
      </c>
      <c r="B631" s="63">
        <v>3837.0</v>
      </c>
      <c r="C631" s="64">
        <v>629.0</v>
      </c>
      <c r="D631" s="66"/>
      <c r="E631" s="63" t="s">
        <v>2654</v>
      </c>
      <c r="F631" s="70">
        <v>40679.0</v>
      </c>
      <c r="G631" s="63" t="s">
        <v>2655</v>
      </c>
      <c r="H631" s="66"/>
      <c r="I631" s="63" t="s">
        <v>2656</v>
      </c>
      <c r="J631" s="63" t="s">
        <v>1490</v>
      </c>
      <c r="K631" s="66"/>
      <c r="L631" s="66"/>
      <c r="M631" s="63" t="s">
        <v>27</v>
      </c>
      <c r="N631" s="61"/>
      <c r="O631" s="51"/>
    </row>
    <row r="632">
      <c r="A632" s="56">
        <v>629.0</v>
      </c>
      <c r="B632" s="68">
        <v>3838.0</v>
      </c>
      <c r="C632" s="69">
        <v>630.0</v>
      </c>
      <c r="D632" s="71"/>
      <c r="E632" s="68" t="s">
        <v>2657</v>
      </c>
      <c r="F632" s="76">
        <v>39891.0</v>
      </c>
      <c r="G632" s="68" t="s">
        <v>2658</v>
      </c>
      <c r="H632" s="71"/>
      <c r="I632" s="63" t="s">
        <v>2659</v>
      </c>
      <c r="J632" s="68" t="s">
        <v>2660</v>
      </c>
      <c r="K632" s="71"/>
      <c r="L632" s="71"/>
      <c r="M632" s="71"/>
      <c r="N632" s="61"/>
      <c r="O632" s="51"/>
    </row>
    <row r="633">
      <c r="A633" s="56">
        <v>630.0</v>
      </c>
      <c r="B633" s="68">
        <v>3839.0</v>
      </c>
      <c r="C633" s="69">
        <v>631.0</v>
      </c>
      <c r="D633" s="71"/>
      <c r="E633" s="68" t="s">
        <v>2661</v>
      </c>
      <c r="F633" s="76">
        <v>38173.0</v>
      </c>
      <c r="G633" s="68" t="s">
        <v>2662</v>
      </c>
      <c r="H633" s="71"/>
      <c r="I633" s="63" t="s">
        <v>635</v>
      </c>
      <c r="J633" s="68" t="s">
        <v>2355</v>
      </c>
      <c r="K633" s="71"/>
      <c r="L633" s="71"/>
      <c r="M633" s="104"/>
      <c r="N633" s="105"/>
      <c r="O633" s="51"/>
    </row>
    <row r="634">
      <c r="A634" s="56">
        <v>631.0</v>
      </c>
      <c r="B634" s="68">
        <v>3840.0</v>
      </c>
      <c r="C634" s="69">
        <v>632.0</v>
      </c>
      <c r="D634" s="68" t="s">
        <v>2663</v>
      </c>
      <c r="E634" s="68" t="s">
        <v>2664</v>
      </c>
      <c r="F634" s="76">
        <v>40655.0</v>
      </c>
      <c r="G634" s="68" t="s">
        <v>2665</v>
      </c>
      <c r="H634" s="71"/>
      <c r="I634" s="63" t="s">
        <v>2666</v>
      </c>
      <c r="J634" s="68" t="s">
        <v>2667</v>
      </c>
      <c r="K634" s="71"/>
      <c r="L634" s="71"/>
      <c r="M634" s="111"/>
      <c r="N634" s="61"/>
      <c r="O634" s="51"/>
    </row>
    <row r="635">
      <c r="A635" s="56">
        <v>632.0</v>
      </c>
      <c r="B635" s="68">
        <v>3841.0</v>
      </c>
      <c r="C635" s="69">
        <v>633.0</v>
      </c>
      <c r="D635" s="71"/>
      <c r="E635" s="68" t="s">
        <v>2668</v>
      </c>
      <c r="F635" s="76">
        <v>40656.0</v>
      </c>
      <c r="G635" s="68" t="s">
        <v>2669</v>
      </c>
      <c r="H635" s="71"/>
      <c r="I635" s="63" t="s">
        <v>2670</v>
      </c>
      <c r="J635" s="68" t="s">
        <v>2671</v>
      </c>
      <c r="K635" s="71"/>
      <c r="L635" s="71"/>
      <c r="M635" s="71"/>
      <c r="N635" s="61"/>
      <c r="O635" s="51"/>
    </row>
    <row r="636">
      <c r="A636" s="56">
        <v>633.0</v>
      </c>
      <c r="B636" s="68">
        <v>3842.0</v>
      </c>
      <c r="C636" s="69">
        <v>634.0</v>
      </c>
      <c r="D636" s="71"/>
      <c r="E636" s="68" t="s">
        <v>2672</v>
      </c>
      <c r="F636" s="76">
        <v>40661.0</v>
      </c>
      <c r="G636" s="68" t="s">
        <v>2673</v>
      </c>
      <c r="H636" s="71"/>
      <c r="I636" s="63" t="s">
        <v>2674</v>
      </c>
      <c r="J636" s="68" t="s">
        <v>2675</v>
      </c>
      <c r="K636" s="71"/>
      <c r="L636" s="71"/>
      <c r="M636" s="71"/>
      <c r="N636" s="61"/>
      <c r="O636" s="51"/>
    </row>
    <row r="637">
      <c r="A637" s="56">
        <v>634.0</v>
      </c>
      <c r="B637" s="68">
        <v>3843.0</v>
      </c>
      <c r="C637" s="69">
        <v>635.0</v>
      </c>
      <c r="D637" s="71"/>
      <c r="E637" s="68" t="s">
        <v>2676</v>
      </c>
      <c r="F637" s="76">
        <v>40656.0</v>
      </c>
      <c r="G637" s="68" t="s">
        <v>2673</v>
      </c>
      <c r="H637" s="71"/>
      <c r="I637" s="68" t="s">
        <v>2677</v>
      </c>
      <c r="J637" s="117" t="s">
        <v>2678</v>
      </c>
      <c r="K637" s="101"/>
      <c r="L637" s="71"/>
      <c r="M637" s="68" t="s">
        <v>1664</v>
      </c>
      <c r="N637" s="77"/>
      <c r="O637" s="51"/>
    </row>
    <row r="638">
      <c r="A638" s="56">
        <v>635.0</v>
      </c>
      <c r="B638" s="68">
        <v>3844.0</v>
      </c>
      <c r="C638" s="69">
        <v>636.0</v>
      </c>
      <c r="D638" s="71"/>
      <c r="E638" s="68" t="s">
        <v>2679</v>
      </c>
      <c r="F638" s="76">
        <v>39152.0</v>
      </c>
      <c r="G638" s="68" t="s">
        <v>2680</v>
      </c>
      <c r="H638" s="71"/>
      <c r="I638" s="63" t="s">
        <v>2681</v>
      </c>
      <c r="J638" s="118" t="s">
        <v>2682</v>
      </c>
      <c r="K638" s="119"/>
      <c r="L638" s="119"/>
      <c r="M638" s="119"/>
      <c r="N638" s="61"/>
      <c r="O638" s="51"/>
    </row>
    <row r="639">
      <c r="A639" s="56">
        <v>636.0</v>
      </c>
      <c r="B639" s="68">
        <v>3845.0</v>
      </c>
      <c r="C639" s="69">
        <v>637.0</v>
      </c>
      <c r="D639" s="71"/>
      <c r="E639" s="68" t="s">
        <v>2683</v>
      </c>
      <c r="F639" s="76">
        <v>40756.0</v>
      </c>
      <c r="G639" s="68" t="s">
        <v>2684</v>
      </c>
      <c r="H639" s="71"/>
      <c r="I639" s="63" t="s">
        <v>2685</v>
      </c>
      <c r="J639" s="68" t="s">
        <v>2686</v>
      </c>
      <c r="K639" s="71"/>
      <c r="L639" s="71"/>
      <c r="M639" s="71"/>
      <c r="N639" s="61"/>
      <c r="O639" s="51"/>
    </row>
    <row r="640">
      <c r="A640" s="56">
        <v>637.0</v>
      </c>
      <c r="B640" s="63">
        <v>3846.0</v>
      </c>
      <c r="C640" s="64" t="s">
        <v>2687</v>
      </c>
      <c r="D640" s="66"/>
      <c r="E640" s="63" t="s">
        <v>2688</v>
      </c>
      <c r="F640" s="65">
        <v>40827.0</v>
      </c>
      <c r="G640" s="63" t="s">
        <v>2689</v>
      </c>
      <c r="H640" s="66"/>
      <c r="I640" s="63" t="s">
        <v>2690</v>
      </c>
      <c r="J640" s="63" t="s">
        <v>2691</v>
      </c>
      <c r="K640" s="66"/>
      <c r="L640" s="66"/>
      <c r="M640" s="63" t="s">
        <v>2692</v>
      </c>
      <c r="N640" s="61"/>
      <c r="O640" s="51"/>
    </row>
    <row r="641">
      <c r="A641" s="56">
        <v>638.0</v>
      </c>
      <c r="B641" s="68">
        <v>3847.0</v>
      </c>
      <c r="C641" s="69">
        <v>639.0</v>
      </c>
      <c r="D641" s="68" t="s">
        <v>2693</v>
      </c>
      <c r="E641" s="68" t="s">
        <v>2694</v>
      </c>
      <c r="F641" s="76">
        <v>40226.0</v>
      </c>
      <c r="G641" s="68" t="s">
        <v>2695</v>
      </c>
      <c r="H641" s="71"/>
      <c r="I641" s="63" t="s">
        <v>2696</v>
      </c>
      <c r="J641" s="68" t="s">
        <v>2697</v>
      </c>
      <c r="K641" s="71"/>
      <c r="L641" s="71"/>
      <c r="M641" s="71"/>
      <c r="N641" s="61"/>
      <c r="O641" s="51"/>
    </row>
    <row r="642">
      <c r="A642" s="56">
        <v>639.0</v>
      </c>
      <c r="B642" s="68">
        <v>3848.0</v>
      </c>
      <c r="C642" s="69">
        <v>640.0</v>
      </c>
      <c r="D642" s="71"/>
      <c r="E642" s="68" t="s">
        <v>2698</v>
      </c>
      <c r="F642" s="83">
        <v>40867.0</v>
      </c>
      <c r="G642" s="68" t="s">
        <v>2699</v>
      </c>
      <c r="H642" s="71"/>
      <c r="I642" s="63" t="s">
        <v>2700</v>
      </c>
      <c r="J642" s="68" t="s">
        <v>2701</v>
      </c>
      <c r="K642" s="71"/>
      <c r="L642" s="71"/>
      <c r="M642" s="71"/>
      <c r="N642" s="61"/>
      <c r="O642" s="51"/>
    </row>
    <row r="643">
      <c r="A643" s="56">
        <v>640.0</v>
      </c>
      <c r="B643" s="68">
        <v>3849.0</v>
      </c>
      <c r="C643" s="69">
        <v>641.0</v>
      </c>
      <c r="D643" s="71"/>
      <c r="E643" s="68" t="s">
        <v>2702</v>
      </c>
      <c r="F643" s="76">
        <v>40564.0</v>
      </c>
      <c r="G643" s="68" t="s">
        <v>2703</v>
      </c>
      <c r="H643" s="71"/>
      <c r="I643" s="63" t="s">
        <v>2704</v>
      </c>
      <c r="J643" s="68" t="s">
        <v>2705</v>
      </c>
      <c r="K643" s="71"/>
      <c r="L643" s="71"/>
      <c r="M643" s="71"/>
      <c r="N643" s="61"/>
      <c r="O643" s="51"/>
    </row>
    <row r="644">
      <c r="A644" s="56">
        <v>641.0</v>
      </c>
      <c r="B644" s="68">
        <v>3850.0</v>
      </c>
      <c r="C644" s="69">
        <v>642.0</v>
      </c>
      <c r="D644" s="71"/>
      <c r="E644" s="68" t="s">
        <v>2706</v>
      </c>
      <c r="F644" s="83">
        <v>40129.0</v>
      </c>
      <c r="G644" s="68" t="s">
        <v>2707</v>
      </c>
      <c r="H644" s="71"/>
      <c r="I644" s="68" t="s">
        <v>2708</v>
      </c>
      <c r="J644" s="68" t="s">
        <v>2709</v>
      </c>
      <c r="K644" s="71"/>
      <c r="L644" s="71"/>
      <c r="M644" s="71"/>
      <c r="N644" s="61"/>
      <c r="O644" s="51"/>
    </row>
    <row r="645">
      <c r="A645" s="56">
        <v>642.0</v>
      </c>
      <c r="B645" s="68">
        <v>3851.0</v>
      </c>
      <c r="C645" s="69">
        <v>643.0</v>
      </c>
      <c r="D645" s="71"/>
      <c r="E645" s="68" t="s">
        <v>2710</v>
      </c>
      <c r="F645" s="76">
        <v>40970.0</v>
      </c>
      <c r="G645" s="68" t="s">
        <v>2711</v>
      </c>
      <c r="H645" s="71"/>
      <c r="I645" s="63" t="s">
        <v>2712</v>
      </c>
      <c r="J645" s="68" t="s">
        <v>2713</v>
      </c>
      <c r="K645" s="71"/>
      <c r="L645" s="71"/>
      <c r="M645" s="71"/>
      <c r="N645" s="61"/>
      <c r="O645" s="51"/>
    </row>
    <row r="646">
      <c r="A646" s="56">
        <v>643.0</v>
      </c>
      <c r="B646" s="68">
        <v>3852.0</v>
      </c>
      <c r="C646" s="69">
        <v>644.0</v>
      </c>
      <c r="D646" s="71"/>
      <c r="E646" s="68" t="s">
        <v>2714</v>
      </c>
      <c r="F646" s="76">
        <v>40639.0</v>
      </c>
      <c r="G646" s="68" t="s">
        <v>2715</v>
      </c>
      <c r="H646" s="71"/>
      <c r="I646" s="63" t="s">
        <v>2716</v>
      </c>
      <c r="J646" s="68" t="s">
        <v>2667</v>
      </c>
      <c r="K646" s="71"/>
      <c r="L646" s="71"/>
      <c r="M646" s="71"/>
      <c r="N646" s="61"/>
      <c r="O646" s="51"/>
    </row>
    <row r="647">
      <c r="A647" s="56">
        <v>644.0</v>
      </c>
      <c r="B647" s="68">
        <v>3854.0</v>
      </c>
      <c r="C647" s="69">
        <v>646.0</v>
      </c>
      <c r="D647" s="71"/>
      <c r="E647" s="68" t="s">
        <v>2717</v>
      </c>
      <c r="F647" s="76">
        <v>37347.0</v>
      </c>
      <c r="G647" s="68" t="s">
        <v>2718</v>
      </c>
      <c r="H647" s="71"/>
      <c r="I647" s="63" t="s">
        <v>2719</v>
      </c>
      <c r="J647" s="68" t="s">
        <v>252</v>
      </c>
      <c r="K647" s="71"/>
      <c r="L647" s="71"/>
      <c r="M647" s="71"/>
      <c r="N647" s="61"/>
      <c r="O647" s="51"/>
    </row>
    <row r="648">
      <c r="A648" s="56">
        <v>645.0</v>
      </c>
      <c r="B648" s="68">
        <v>3855.0</v>
      </c>
      <c r="C648" s="69">
        <v>647.0</v>
      </c>
      <c r="D648" s="71"/>
      <c r="E648" s="68" t="s">
        <v>2720</v>
      </c>
      <c r="F648" s="76">
        <v>40313.0</v>
      </c>
      <c r="G648" s="68" t="s">
        <v>2721</v>
      </c>
      <c r="H648" s="71"/>
      <c r="I648" s="63" t="s">
        <v>2722</v>
      </c>
      <c r="J648" s="68" t="s">
        <v>2723</v>
      </c>
      <c r="K648" s="71"/>
      <c r="L648" s="71"/>
      <c r="M648" s="71"/>
      <c r="N648" s="61"/>
      <c r="O648" s="51"/>
    </row>
    <row r="649">
      <c r="A649" s="56">
        <v>646.0</v>
      </c>
      <c r="B649" s="68">
        <v>3856.0</v>
      </c>
      <c r="C649" s="69">
        <v>648.0</v>
      </c>
      <c r="D649" s="71"/>
      <c r="E649" s="68" t="s">
        <v>2724</v>
      </c>
      <c r="F649" s="83">
        <v>40833.0</v>
      </c>
      <c r="G649" s="68" t="s">
        <v>2725</v>
      </c>
      <c r="H649" s="71"/>
      <c r="I649" s="63" t="s">
        <v>2726</v>
      </c>
      <c r="J649" s="68" t="s">
        <v>2727</v>
      </c>
      <c r="K649" s="71"/>
      <c r="L649" s="71"/>
      <c r="M649" s="71"/>
      <c r="N649" s="61"/>
      <c r="O649" s="51"/>
    </row>
    <row r="650">
      <c r="A650" s="56">
        <v>647.0</v>
      </c>
      <c r="B650" s="68">
        <v>3857.0</v>
      </c>
      <c r="C650" s="69">
        <v>649.0</v>
      </c>
      <c r="D650" s="71"/>
      <c r="E650" s="68" t="s">
        <v>2728</v>
      </c>
      <c r="F650" s="76">
        <v>40596.0</v>
      </c>
      <c r="G650" s="68" t="s">
        <v>2729</v>
      </c>
      <c r="H650" s="71"/>
      <c r="I650" s="63" t="s">
        <v>2730</v>
      </c>
      <c r="J650" s="68" t="s">
        <v>2731</v>
      </c>
      <c r="K650" s="71"/>
      <c r="L650" s="71"/>
      <c r="M650" s="71"/>
      <c r="N650" s="61"/>
      <c r="O650" s="51"/>
    </row>
    <row r="651">
      <c r="A651" s="56">
        <v>648.0</v>
      </c>
      <c r="B651" s="68">
        <v>3858.0</v>
      </c>
      <c r="C651" s="69">
        <v>650.0</v>
      </c>
      <c r="D651" s="71"/>
      <c r="E651" s="68" t="s">
        <v>2732</v>
      </c>
      <c r="F651" s="76">
        <v>40651.0</v>
      </c>
      <c r="G651" s="68" t="s">
        <v>2733</v>
      </c>
      <c r="H651" s="71"/>
      <c r="I651" s="63" t="s">
        <v>2734</v>
      </c>
      <c r="J651" s="68" t="s">
        <v>2735</v>
      </c>
      <c r="K651" s="71"/>
      <c r="L651" s="71"/>
      <c r="M651" s="71"/>
      <c r="N651" s="61"/>
      <c r="O651" s="51"/>
    </row>
    <row r="652">
      <c r="A652" s="56">
        <v>649.0</v>
      </c>
      <c r="B652" s="68">
        <v>3859.0</v>
      </c>
      <c r="C652" s="69">
        <v>651.0</v>
      </c>
      <c r="D652" s="71"/>
      <c r="E652" s="68" t="s">
        <v>2736</v>
      </c>
      <c r="F652" s="76">
        <v>38839.0</v>
      </c>
      <c r="G652" s="68" t="s">
        <v>2737</v>
      </c>
      <c r="H652" s="71"/>
      <c r="I652" s="63" t="s">
        <v>2738</v>
      </c>
      <c r="J652" s="68" t="s">
        <v>2739</v>
      </c>
      <c r="K652" s="71"/>
      <c r="L652" s="71"/>
      <c r="M652" s="71"/>
      <c r="N652" s="61"/>
      <c r="O652" s="51"/>
    </row>
    <row r="653">
      <c r="A653" s="56">
        <v>650.0</v>
      </c>
      <c r="B653" s="120">
        <v>3860.0</v>
      </c>
      <c r="C653" s="121">
        <v>652.0</v>
      </c>
      <c r="D653" s="120" t="s">
        <v>2740</v>
      </c>
      <c r="E653" s="120" t="s">
        <v>2741</v>
      </c>
      <c r="F653" s="122">
        <v>40889.0</v>
      </c>
      <c r="G653" s="123"/>
      <c r="H653" s="123"/>
      <c r="I653" s="120" t="s">
        <v>2742</v>
      </c>
      <c r="J653" s="124" t="s">
        <v>137</v>
      </c>
      <c r="K653" s="119"/>
      <c r="L653" s="124" t="s">
        <v>2743</v>
      </c>
      <c r="M653" s="124" t="s">
        <v>149</v>
      </c>
      <c r="N653" s="61"/>
      <c r="O653" s="51"/>
    </row>
    <row r="654">
      <c r="A654" s="56">
        <v>651.0</v>
      </c>
      <c r="B654" s="63">
        <v>3861.0</v>
      </c>
      <c r="C654" s="64">
        <v>653.0</v>
      </c>
      <c r="D654" s="66"/>
      <c r="E654" s="63" t="s">
        <v>2744</v>
      </c>
      <c r="F654" s="70">
        <v>40760.0</v>
      </c>
      <c r="G654" s="63" t="s">
        <v>2745</v>
      </c>
      <c r="H654" s="66"/>
      <c r="I654" s="63" t="s">
        <v>2746</v>
      </c>
      <c r="J654" s="63" t="s">
        <v>2747</v>
      </c>
      <c r="K654" s="66"/>
      <c r="L654" s="66"/>
      <c r="M654" s="63" t="s">
        <v>2748</v>
      </c>
      <c r="N654" s="61"/>
      <c r="O654" s="51"/>
    </row>
    <row r="655">
      <c r="A655" s="56">
        <v>652.0</v>
      </c>
      <c r="B655" s="68">
        <v>3862.0</v>
      </c>
      <c r="C655" s="69">
        <v>654.0</v>
      </c>
      <c r="D655" s="71"/>
      <c r="E655" s="68" t="s">
        <v>2749</v>
      </c>
      <c r="F655" s="83">
        <v>40865.0</v>
      </c>
      <c r="G655" s="68" t="s">
        <v>2750</v>
      </c>
      <c r="H655" s="71"/>
      <c r="I655" s="68" t="s">
        <v>635</v>
      </c>
      <c r="J655" s="68" t="s">
        <v>2751</v>
      </c>
      <c r="K655" s="71"/>
      <c r="L655" s="71"/>
      <c r="M655" s="71"/>
      <c r="N655" s="61"/>
      <c r="O655" s="51"/>
    </row>
    <row r="656">
      <c r="A656" s="56">
        <v>653.0</v>
      </c>
      <c r="B656" s="68">
        <v>3863.0</v>
      </c>
      <c r="C656" s="69">
        <v>655.0</v>
      </c>
      <c r="D656" s="71"/>
      <c r="E656" s="68" t="s">
        <v>2752</v>
      </c>
      <c r="F656" s="76">
        <v>40764.0</v>
      </c>
      <c r="G656" s="68" t="s">
        <v>2753</v>
      </c>
      <c r="H656" s="71"/>
      <c r="I656" s="68" t="s">
        <v>2754</v>
      </c>
      <c r="J656" s="68" t="s">
        <v>2755</v>
      </c>
      <c r="K656" s="71"/>
      <c r="L656" s="71"/>
      <c r="M656" s="71"/>
      <c r="N656" s="61"/>
      <c r="O656" s="51"/>
    </row>
    <row r="657">
      <c r="A657" s="56">
        <v>654.0</v>
      </c>
      <c r="B657" s="68">
        <v>3864.0</v>
      </c>
      <c r="C657" s="69">
        <v>656.0</v>
      </c>
      <c r="D657" s="71"/>
      <c r="E657" s="68" t="s">
        <v>2756</v>
      </c>
      <c r="F657" s="83">
        <v>40099.0</v>
      </c>
      <c r="G657" s="68" t="s">
        <v>2757</v>
      </c>
      <c r="H657" s="71"/>
      <c r="I657" s="68" t="s">
        <v>2758</v>
      </c>
      <c r="J657" s="68" t="s">
        <v>2709</v>
      </c>
      <c r="K657" s="71"/>
      <c r="L657" s="71"/>
      <c r="M657" s="71"/>
      <c r="N657" s="61"/>
      <c r="O657" s="51"/>
    </row>
    <row r="658">
      <c r="A658" s="56">
        <v>655.0</v>
      </c>
      <c r="B658" s="63">
        <v>3865.0</v>
      </c>
      <c r="C658" s="64">
        <v>657.0</v>
      </c>
      <c r="D658" s="66"/>
      <c r="E658" s="63" t="s">
        <v>2759</v>
      </c>
      <c r="F658" s="65">
        <v>40159.0</v>
      </c>
      <c r="G658" s="63" t="s">
        <v>2760</v>
      </c>
      <c r="H658" s="66"/>
      <c r="I658" s="63" t="s">
        <v>2761</v>
      </c>
      <c r="J658" s="63" t="s">
        <v>2762</v>
      </c>
      <c r="K658" s="66"/>
      <c r="L658" s="66"/>
      <c r="M658" s="63" t="s">
        <v>941</v>
      </c>
      <c r="N658" s="61"/>
      <c r="O658" s="51"/>
    </row>
    <row r="659">
      <c r="A659" s="56">
        <v>656.0</v>
      </c>
      <c r="B659" s="68">
        <v>3866.0</v>
      </c>
      <c r="C659" s="69">
        <v>658.0</v>
      </c>
      <c r="D659" s="71"/>
      <c r="E659" s="68" t="s">
        <v>2763</v>
      </c>
      <c r="F659" s="76">
        <v>39127.0</v>
      </c>
      <c r="G659" s="68" t="s">
        <v>2764</v>
      </c>
      <c r="H659" s="71"/>
      <c r="I659" s="63" t="s">
        <v>2765</v>
      </c>
      <c r="J659" s="68" t="s">
        <v>2766</v>
      </c>
      <c r="K659" s="71"/>
      <c r="L659" s="71"/>
      <c r="M659" s="71"/>
      <c r="N659" s="61"/>
      <c r="O659" s="51"/>
    </row>
    <row r="660">
      <c r="A660" s="56">
        <v>657.0</v>
      </c>
      <c r="B660" s="68">
        <v>3867.0</v>
      </c>
      <c r="C660" s="69">
        <v>659.0</v>
      </c>
      <c r="D660" s="71"/>
      <c r="E660" s="68" t="s">
        <v>2767</v>
      </c>
      <c r="F660" s="83">
        <v>40466.0</v>
      </c>
      <c r="G660" s="68" t="s">
        <v>2768</v>
      </c>
      <c r="H660" s="71"/>
      <c r="I660" s="68" t="s">
        <v>2769</v>
      </c>
      <c r="J660" s="68" t="s">
        <v>2770</v>
      </c>
      <c r="K660" s="71"/>
      <c r="L660" s="71"/>
      <c r="M660" s="71"/>
      <c r="N660" s="61"/>
      <c r="O660" s="51"/>
    </row>
    <row r="661">
      <c r="A661" s="56">
        <v>658.0</v>
      </c>
      <c r="B661" s="68">
        <v>3868.0</v>
      </c>
      <c r="C661" s="69">
        <v>660.0</v>
      </c>
      <c r="D661" s="71"/>
      <c r="E661" s="68" t="s">
        <v>2771</v>
      </c>
      <c r="F661" s="83">
        <v>40523.0</v>
      </c>
      <c r="G661" s="68" t="s">
        <v>2772</v>
      </c>
      <c r="H661" s="71"/>
      <c r="I661" s="63" t="s">
        <v>2773</v>
      </c>
      <c r="J661" s="68" t="s">
        <v>2774</v>
      </c>
      <c r="K661" s="71"/>
      <c r="L661" s="71"/>
      <c r="M661" s="71"/>
      <c r="N661" s="61"/>
      <c r="O661" s="51"/>
    </row>
    <row r="662">
      <c r="A662" s="56">
        <v>659.0</v>
      </c>
      <c r="B662" s="68">
        <v>3869.0</v>
      </c>
      <c r="C662" s="69">
        <v>661.0</v>
      </c>
      <c r="D662" s="71"/>
      <c r="E662" s="68" t="s">
        <v>2775</v>
      </c>
      <c r="F662" s="83">
        <v>40523.0</v>
      </c>
      <c r="G662" s="68" t="s">
        <v>2776</v>
      </c>
      <c r="H662" s="71"/>
      <c r="I662" s="63" t="s">
        <v>2777</v>
      </c>
      <c r="J662" s="68" t="s">
        <v>2778</v>
      </c>
      <c r="K662" s="71"/>
      <c r="L662" s="71"/>
      <c r="M662" s="71"/>
      <c r="N662" s="61"/>
      <c r="O662" s="51"/>
    </row>
    <row r="663">
      <c r="A663" s="56">
        <v>660.0</v>
      </c>
      <c r="B663" s="68">
        <v>3870.0</v>
      </c>
      <c r="C663" s="69">
        <v>662.0</v>
      </c>
      <c r="D663" s="71"/>
      <c r="E663" s="68" t="s">
        <v>2779</v>
      </c>
      <c r="F663" s="83">
        <v>40875.0</v>
      </c>
      <c r="G663" s="68" t="s">
        <v>2780</v>
      </c>
      <c r="H663" s="71"/>
      <c r="I663" s="68" t="s">
        <v>2781</v>
      </c>
      <c r="J663" s="68" t="s">
        <v>2770</v>
      </c>
      <c r="K663" s="71"/>
      <c r="L663" s="71"/>
      <c r="M663" s="71"/>
      <c r="N663" s="61"/>
      <c r="O663" s="51"/>
    </row>
    <row r="664">
      <c r="A664" s="56">
        <v>661.0</v>
      </c>
      <c r="B664" s="68">
        <v>3871.0</v>
      </c>
      <c r="C664" s="69">
        <v>663.0</v>
      </c>
      <c r="D664" s="68" t="s">
        <v>2782</v>
      </c>
      <c r="E664" s="68" t="s">
        <v>2783</v>
      </c>
      <c r="F664" s="76">
        <v>40979.0</v>
      </c>
      <c r="G664" s="68" t="s">
        <v>2784</v>
      </c>
      <c r="H664" s="71"/>
      <c r="I664" s="63" t="s">
        <v>2785</v>
      </c>
      <c r="J664" s="68" t="s">
        <v>2786</v>
      </c>
      <c r="K664" s="66"/>
      <c r="L664" s="66"/>
      <c r="M664" s="66"/>
      <c r="N664" s="61"/>
      <c r="O664" s="51"/>
    </row>
    <row r="665">
      <c r="A665" s="56">
        <v>662.0</v>
      </c>
      <c r="B665" s="68">
        <v>3872.0</v>
      </c>
      <c r="C665" s="69">
        <v>664.0</v>
      </c>
      <c r="D665" s="71"/>
      <c r="E665" s="68" t="s">
        <v>2787</v>
      </c>
      <c r="F665" s="76">
        <v>40922.0</v>
      </c>
      <c r="G665" s="68" t="s">
        <v>2788</v>
      </c>
      <c r="H665" s="71"/>
      <c r="I665" s="63" t="s">
        <v>2789</v>
      </c>
      <c r="J665" s="68" t="s">
        <v>2790</v>
      </c>
      <c r="K665" s="71"/>
      <c r="L665" s="71"/>
      <c r="M665" s="71"/>
      <c r="N665" s="61"/>
      <c r="O665" s="51"/>
    </row>
    <row r="666">
      <c r="A666" s="56">
        <v>663.0</v>
      </c>
      <c r="B666" s="68">
        <v>3873.0</v>
      </c>
      <c r="C666" s="69">
        <v>665.0</v>
      </c>
      <c r="D666" s="71"/>
      <c r="E666" s="68" t="s">
        <v>2791</v>
      </c>
      <c r="F666" s="76">
        <v>40809.0</v>
      </c>
      <c r="G666" s="68" t="s">
        <v>2792</v>
      </c>
      <c r="H666" s="71"/>
      <c r="I666" s="68" t="s">
        <v>2793</v>
      </c>
      <c r="J666" s="68" t="s">
        <v>2794</v>
      </c>
      <c r="K666" s="71"/>
      <c r="L666" s="71"/>
      <c r="M666" s="71"/>
      <c r="N666" s="61"/>
      <c r="O666" s="51"/>
    </row>
    <row r="667">
      <c r="A667" s="56">
        <v>664.0</v>
      </c>
      <c r="B667" s="68">
        <v>3874.0</v>
      </c>
      <c r="C667" s="69">
        <v>666.0</v>
      </c>
      <c r="D667" s="71"/>
      <c r="E667" s="68" t="s">
        <v>2795</v>
      </c>
      <c r="F667" s="76">
        <v>40809.0</v>
      </c>
      <c r="G667" s="68" t="s">
        <v>2796</v>
      </c>
      <c r="H667" s="71"/>
      <c r="I667" s="63" t="s">
        <v>2793</v>
      </c>
      <c r="J667" s="68" t="s">
        <v>2797</v>
      </c>
      <c r="K667" s="71"/>
      <c r="L667" s="71"/>
      <c r="M667" s="71"/>
      <c r="N667" s="61"/>
      <c r="O667" s="51"/>
    </row>
    <row r="668">
      <c r="A668" s="56">
        <v>665.0</v>
      </c>
      <c r="B668" s="68">
        <v>3875.0</v>
      </c>
      <c r="C668" s="69">
        <v>667.0</v>
      </c>
      <c r="D668" s="71"/>
      <c r="E668" s="68" t="s">
        <v>2798</v>
      </c>
      <c r="F668" s="76">
        <v>39970.0</v>
      </c>
      <c r="G668" s="68" t="s">
        <v>2799</v>
      </c>
      <c r="H668" s="71"/>
      <c r="I668" s="125" t="s">
        <v>635</v>
      </c>
      <c r="J668" s="68" t="s">
        <v>2800</v>
      </c>
      <c r="K668" s="71"/>
      <c r="L668" s="71"/>
      <c r="M668" s="71"/>
      <c r="N668" s="61"/>
      <c r="O668" s="51"/>
    </row>
    <row r="669">
      <c r="A669" s="56">
        <v>666.0</v>
      </c>
      <c r="B669" s="68">
        <v>3876.0</v>
      </c>
      <c r="C669" s="69">
        <v>668.0</v>
      </c>
      <c r="D669" s="71"/>
      <c r="E669" s="68" t="s">
        <v>2801</v>
      </c>
      <c r="F669" s="76">
        <v>40940.0</v>
      </c>
      <c r="G669" s="68" t="s">
        <v>2802</v>
      </c>
      <c r="H669" s="71"/>
      <c r="I669" s="99" t="s">
        <v>2803</v>
      </c>
      <c r="J669" s="68" t="s">
        <v>2804</v>
      </c>
      <c r="K669" s="71"/>
      <c r="L669" s="71"/>
      <c r="M669" s="71"/>
      <c r="N669" s="61"/>
      <c r="O669" s="51"/>
    </row>
    <row r="670">
      <c r="A670" s="56">
        <v>667.0</v>
      </c>
      <c r="B670" s="68">
        <v>3877.0</v>
      </c>
      <c r="C670" s="69">
        <v>669.0</v>
      </c>
      <c r="D670" s="71"/>
      <c r="E670" s="68" t="s">
        <v>2805</v>
      </c>
      <c r="F670" s="76">
        <v>40940.0</v>
      </c>
      <c r="G670" s="68" t="s">
        <v>2806</v>
      </c>
      <c r="H670" s="71"/>
      <c r="I670" s="99" t="s">
        <v>2803</v>
      </c>
      <c r="J670" s="68" t="s">
        <v>2807</v>
      </c>
      <c r="K670" s="71"/>
      <c r="L670" s="71"/>
      <c r="M670" s="71"/>
      <c r="N670" s="61"/>
      <c r="O670" s="51"/>
    </row>
    <row r="671">
      <c r="A671" s="56">
        <v>668.0</v>
      </c>
      <c r="B671" s="68">
        <v>3878.0</v>
      </c>
      <c r="C671" s="69">
        <v>670.0</v>
      </c>
      <c r="D671" s="71"/>
      <c r="E671" s="68" t="s">
        <v>2808</v>
      </c>
      <c r="F671" s="76">
        <v>40787.0</v>
      </c>
      <c r="G671" s="68" t="s">
        <v>2809</v>
      </c>
      <c r="H671" s="71"/>
      <c r="I671" s="66"/>
      <c r="J671" s="68" t="s">
        <v>2810</v>
      </c>
      <c r="K671" s="71"/>
      <c r="L671" s="71"/>
      <c r="M671" s="71"/>
      <c r="N671" s="61"/>
      <c r="O671" s="51"/>
    </row>
    <row r="672">
      <c r="A672" s="56">
        <v>669.0</v>
      </c>
      <c r="B672" s="68">
        <v>3879.0</v>
      </c>
      <c r="C672" s="69">
        <v>671.0</v>
      </c>
      <c r="D672" s="71"/>
      <c r="E672" s="68" t="s">
        <v>2811</v>
      </c>
      <c r="F672" s="76">
        <v>40583.0</v>
      </c>
      <c r="G672" s="68" t="s">
        <v>2812</v>
      </c>
      <c r="H672" s="71"/>
      <c r="I672" s="63" t="s">
        <v>2813</v>
      </c>
      <c r="J672" s="126" t="s">
        <v>2814</v>
      </c>
      <c r="K672" s="119"/>
      <c r="L672" s="119"/>
      <c r="M672" s="119"/>
      <c r="N672" s="61"/>
      <c r="O672" s="51"/>
    </row>
    <row r="673">
      <c r="A673" s="56">
        <v>670.0</v>
      </c>
      <c r="B673" s="68">
        <v>3880.0</v>
      </c>
      <c r="C673" s="69">
        <v>672.0</v>
      </c>
      <c r="D673" s="71"/>
      <c r="E673" s="68" t="s">
        <v>2815</v>
      </c>
      <c r="F673" s="76">
        <v>35632.0</v>
      </c>
      <c r="G673" s="68" t="s">
        <v>2816</v>
      </c>
      <c r="H673" s="71"/>
      <c r="I673" s="63" t="s">
        <v>2817</v>
      </c>
      <c r="J673" s="68" t="s">
        <v>2818</v>
      </c>
      <c r="K673" s="71"/>
      <c r="L673" s="71"/>
      <c r="M673" s="71"/>
      <c r="N673" s="61"/>
      <c r="O673" s="51"/>
    </row>
    <row r="674">
      <c r="A674" s="56">
        <v>671.0</v>
      </c>
      <c r="B674" s="68">
        <v>3881.0</v>
      </c>
      <c r="C674" s="69" t="s">
        <v>2819</v>
      </c>
      <c r="D674" s="71"/>
      <c r="E674" s="68" t="s">
        <v>2820</v>
      </c>
      <c r="F674" s="76">
        <v>40599.0</v>
      </c>
      <c r="G674" s="68" t="s">
        <v>2821</v>
      </c>
      <c r="H674" s="71"/>
      <c r="I674" s="63" t="s">
        <v>2822</v>
      </c>
      <c r="J674" s="68" t="s">
        <v>2823</v>
      </c>
      <c r="K674" s="71"/>
      <c r="L674" s="71"/>
      <c r="M674" s="71"/>
      <c r="N674" s="61"/>
      <c r="O674" s="51"/>
    </row>
    <row r="675">
      <c r="A675" s="56">
        <v>672.0</v>
      </c>
      <c r="B675" s="68">
        <v>3882.0</v>
      </c>
      <c r="C675" s="69">
        <v>674.0</v>
      </c>
      <c r="D675" s="71"/>
      <c r="E675" s="68" t="s">
        <v>2824</v>
      </c>
      <c r="F675" s="76">
        <v>39992.0</v>
      </c>
      <c r="G675" s="68" t="s">
        <v>2825</v>
      </c>
      <c r="H675" s="71"/>
      <c r="I675" s="63" t="s">
        <v>2826</v>
      </c>
      <c r="J675" s="68" t="s">
        <v>2827</v>
      </c>
      <c r="K675" s="71"/>
      <c r="L675" s="71"/>
      <c r="M675" s="71"/>
      <c r="N675" s="61"/>
      <c r="O675" s="51"/>
    </row>
    <row r="676">
      <c r="A676" s="56">
        <v>673.0</v>
      </c>
      <c r="B676" s="63">
        <v>3883.0</v>
      </c>
      <c r="C676" s="64">
        <v>675.0</v>
      </c>
      <c r="D676" s="66"/>
      <c r="E676" s="63" t="s">
        <v>2828</v>
      </c>
      <c r="F676" s="70">
        <v>40063.0</v>
      </c>
      <c r="G676" s="63" t="s">
        <v>2829</v>
      </c>
      <c r="H676" s="66"/>
      <c r="I676" s="63" t="s">
        <v>2830</v>
      </c>
      <c r="J676" s="63" t="s">
        <v>2831</v>
      </c>
      <c r="K676" s="66"/>
      <c r="L676" s="66"/>
      <c r="M676" s="63" t="s">
        <v>530</v>
      </c>
      <c r="N676" s="61"/>
      <c r="O676" s="51"/>
    </row>
    <row r="677">
      <c r="A677" s="56">
        <v>674.0</v>
      </c>
      <c r="B677" s="63">
        <v>3884.0</v>
      </c>
      <c r="C677" s="64">
        <v>676.0</v>
      </c>
      <c r="D677" s="66"/>
      <c r="E677" s="63" t="s">
        <v>2832</v>
      </c>
      <c r="F677" s="70">
        <v>39569.0</v>
      </c>
      <c r="G677" s="63" t="s">
        <v>2833</v>
      </c>
      <c r="H677" s="63" t="s">
        <v>2834</v>
      </c>
      <c r="I677" s="63" t="s">
        <v>2835</v>
      </c>
      <c r="J677" s="63" t="s">
        <v>2836</v>
      </c>
      <c r="K677" s="66"/>
      <c r="L677" s="66"/>
      <c r="M677" s="63" t="s">
        <v>2152</v>
      </c>
      <c r="N677" s="61"/>
      <c r="O677" s="51"/>
    </row>
    <row r="678">
      <c r="A678" s="56">
        <v>675.0</v>
      </c>
      <c r="B678" s="63">
        <v>3885.0</v>
      </c>
      <c r="C678" s="64">
        <v>677.0</v>
      </c>
      <c r="D678" s="66"/>
      <c r="E678" s="63" t="s">
        <v>2837</v>
      </c>
      <c r="F678" s="70">
        <v>39964.0</v>
      </c>
      <c r="G678" s="63" t="s">
        <v>2838</v>
      </c>
      <c r="H678" s="66"/>
      <c r="I678" s="63" t="s">
        <v>2839</v>
      </c>
      <c r="J678" s="63" t="s">
        <v>1872</v>
      </c>
      <c r="K678" s="66"/>
      <c r="L678" s="66"/>
      <c r="M678" s="63" t="s">
        <v>530</v>
      </c>
      <c r="N678" s="61"/>
      <c r="O678" s="51"/>
    </row>
    <row r="679">
      <c r="A679" s="56">
        <v>676.0</v>
      </c>
      <c r="B679" s="68">
        <v>3886.0</v>
      </c>
      <c r="C679" s="69">
        <v>678.0</v>
      </c>
      <c r="D679" s="71"/>
      <c r="E679" s="68" t="s">
        <v>2840</v>
      </c>
      <c r="F679" s="76">
        <v>40284.0</v>
      </c>
      <c r="G679" s="68" t="s">
        <v>2841</v>
      </c>
      <c r="H679" s="71"/>
      <c r="I679" s="63" t="s">
        <v>2842</v>
      </c>
      <c r="J679" s="68" t="s">
        <v>2774</v>
      </c>
      <c r="K679" s="71"/>
      <c r="L679" s="71"/>
      <c r="M679" s="71"/>
      <c r="N679" s="61"/>
      <c r="O679" s="51"/>
    </row>
    <row r="680">
      <c r="A680" s="56">
        <v>677.0</v>
      </c>
      <c r="B680" s="68">
        <v>3887.0</v>
      </c>
      <c r="C680" s="69">
        <v>679.0</v>
      </c>
      <c r="D680" s="71"/>
      <c r="E680" s="68" t="s">
        <v>2843</v>
      </c>
      <c r="F680" s="76">
        <v>39990.0</v>
      </c>
      <c r="G680" s="68" t="s">
        <v>2844</v>
      </c>
      <c r="H680" s="71"/>
      <c r="I680" s="63" t="s">
        <v>2845</v>
      </c>
      <c r="J680" s="68" t="s">
        <v>2846</v>
      </c>
      <c r="K680" s="71"/>
      <c r="L680" s="71"/>
      <c r="M680" s="71"/>
      <c r="N680" s="61"/>
      <c r="O680" s="51"/>
    </row>
    <row r="681">
      <c r="A681" s="56">
        <v>678.0</v>
      </c>
      <c r="B681" s="57">
        <v>3888.0</v>
      </c>
      <c r="C681" s="58">
        <v>680.0</v>
      </c>
      <c r="D681" s="60"/>
      <c r="E681" s="57" t="s">
        <v>2847</v>
      </c>
      <c r="F681" s="59">
        <v>40081.0</v>
      </c>
      <c r="G681" s="57" t="s">
        <v>2848</v>
      </c>
      <c r="H681" s="60"/>
      <c r="I681" s="57" t="s">
        <v>2849</v>
      </c>
      <c r="J681" s="57" t="s">
        <v>2044</v>
      </c>
      <c r="K681" s="60"/>
      <c r="L681" s="60"/>
      <c r="M681" s="57" t="s">
        <v>530</v>
      </c>
      <c r="N681" s="112"/>
      <c r="O681" s="51"/>
    </row>
    <row r="682">
      <c r="A682" s="56">
        <v>679.0</v>
      </c>
      <c r="B682" s="68">
        <v>3889.0</v>
      </c>
      <c r="C682" s="69">
        <v>681.0</v>
      </c>
      <c r="D682" s="71"/>
      <c r="E682" s="68" t="s">
        <v>2850</v>
      </c>
      <c r="F682" s="76">
        <v>40640.0</v>
      </c>
      <c r="G682" s="68" t="s">
        <v>2851</v>
      </c>
      <c r="H682" s="71"/>
      <c r="I682" s="63" t="s">
        <v>635</v>
      </c>
      <c r="J682" s="68" t="s">
        <v>2852</v>
      </c>
      <c r="K682" s="71"/>
      <c r="L682" s="71"/>
      <c r="M682" s="71"/>
      <c r="N682" s="61"/>
      <c r="O682" s="51"/>
    </row>
    <row r="683">
      <c r="A683" s="56">
        <v>680.0</v>
      </c>
      <c r="B683" s="68">
        <v>3890.0</v>
      </c>
      <c r="C683" s="69">
        <v>682.0</v>
      </c>
      <c r="D683" s="71"/>
      <c r="E683" s="68" t="s">
        <v>2853</v>
      </c>
      <c r="F683" s="76">
        <v>40737.0</v>
      </c>
      <c r="G683" s="68" t="s">
        <v>2854</v>
      </c>
      <c r="H683" s="71"/>
      <c r="I683" s="63" t="s">
        <v>635</v>
      </c>
      <c r="J683" s="68" t="s">
        <v>2855</v>
      </c>
      <c r="K683" s="71"/>
      <c r="L683" s="71"/>
      <c r="M683" s="71"/>
      <c r="N683" s="61"/>
      <c r="O683" s="51"/>
    </row>
    <row r="684">
      <c r="A684" s="75">
        <v>681.0</v>
      </c>
      <c r="B684" s="68">
        <v>3891.0</v>
      </c>
      <c r="C684" s="69">
        <v>683.0</v>
      </c>
      <c r="D684" s="71"/>
      <c r="E684" s="68" t="s">
        <v>2856</v>
      </c>
      <c r="F684" s="76">
        <v>40957.0</v>
      </c>
      <c r="G684" s="68" t="s">
        <v>2857</v>
      </c>
      <c r="H684" s="71"/>
      <c r="I684" s="68" t="s">
        <v>2858</v>
      </c>
      <c r="J684" s="68" t="s">
        <v>2859</v>
      </c>
      <c r="K684" s="71"/>
      <c r="L684" s="71"/>
      <c r="M684" s="68" t="s">
        <v>125</v>
      </c>
      <c r="N684" s="77"/>
      <c r="O684" s="51"/>
    </row>
    <row r="685">
      <c r="A685" s="56">
        <v>682.0</v>
      </c>
      <c r="B685" s="68">
        <v>3892.0</v>
      </c>
      <c r="C685" s="69">
        <v>684.0</v>
      </c>
      <c r="D685" s="71"/>
      <c r="E685" s="68" t="s">
        <v>2860</v>
      </c>
      <c r="F685" s="76">
        <v>40001.0</v>
      </c>
      <c r="G685" s="68" t="s">
        <v>2861</v>
      </c>
      <c r="H685" s="71"/>
      <c r="I685" s="68" t="s">
        <v>2862</v>
      </c>
      <c r="J685" s="68" t="s">
        <v>2044</v>
      </c>
      <c r="K685" s="71"/>
      <c r="L685" s="71"/>
      <c r="M685" s="68" t="s">
        <v>530</v>
      </c>
      <c r="N685" s="77"/>
      <c r="O685" s="51"/>
    </row>
    <row r="686">
      <c r="A686" s="56">
        <v>683.0</v>
      </c>
      <c r="B686" s="68">
        <v>3893.0</v>
      </c>
      <c r="C686" s="69">
        <v>685.0</v>
      </c>
      <c r="D686" s="71"/>
      <c r="E686" s="68" t="s">
        <v>2863</v>
      </c>
      <c r="F686" s="76">
        <v>40193.0</v>
      </c>
      <c r="G686" s="68" t="s">
        <v>2864</v>
      </c>
      <c r="H686" s="71"/>
      <c r="I686" s="63" t="s">
        <v>2865</v>
      </c>
      <c r="J686" s="68" t="s">
        <v>2866</v>
      </c>
      <c r="K686" s="71"/>
      <c r="L686" s="71"/>
      <c r="M686" s="71"/>
      <c r="N686" s="61"/>
      <c r="O686" s="51"/>
    </row>
    <row r="687">
      <c r="A687" s="56">
        <v>684.0</v>
      </c>
      <c r="B687" s="63">
        <v>3894.0</v>
      </c>
      <c r="C687" s="64">
        <v>686.0</v>
      </c>
      <c r="D687" s="66"/>
      <c r="E687" s="63" t="s">
        <v>2867</v>
      </c>
      <c r="F687" s="70">
        <v>40948.0</v>
      </c>
      <c r="G687" s="63" t="s">
        <v>2868</v>
      </c>
      <c r="H687" s="66"/>
      <c r="I687" s="99" t="s">
        <v>2869</v>
      </c>
      <c r="J687" s="63" t="s">
        <v>1762</v>
      </c>
      <c r="K687" s="66"/>
      <c r="L687" s="66"/>
      <c r="M687" s="63" t="s">
        <v>542</v>
      </c>
      <c r="N687" s="61"/>
      <c r="O687" s="51"/>
    </row>
    <row r="688">
      <c r="A688" s="56">
        <v>685.0</v>
      </c>
      <c r="B688" s="63">
        <v>3895.0</v>
      </c>
      <c r="C688" s="64">
        <v>687.0</v>
      </c>
      <c r="D688" s="66"/>
      <c r="E688" s="63" t="s">
        <v>2870</v>
      </c>
      <c r="F688" s="70">
        <v>40234.0</v>
      </c>
      <c r="G688" s="63" t="s">
        <v>2871</v>
      </c>
      <c r="H688" s="66"/>
      <c r="I688" s="63" t="s">
        <v>635</v>
      </c>
      <c r="J688" s="63" t="s">
        <v>2872</v>
      </c>
      <c r="K688" s="66"/>
      <c r="L688" s="66"/>
      <c r="M688" s="63" t="s">
        <v>125</v>
      </c>
      <c r="N688" s="61"/>
      <c r="O688" s="51"/>
    </row>
    <row r="689">
      <c r="A689" s="56">
        <v>686.0</v>
      </c>
      <c r="B689" s="63">
        <v>3896.0</v>
      </c>
      <c r="C689" s="64">
        <v>688.0</v>
      </c>
      <c r="D689" s="66"/>
      <c r="E689" s="63" t="s">
        <v>2873</v>
      </c>
      <c r="F689" s="70">
        <v>40005.0</v>
      </c>
      <c r="G689" s="63" t="s">
        <v>2874</v>
      </c>
      <c r="H689" s="66"/>
      <c r="I689" s="63" t="s">
        <v>2875</v>
      </c>
      <c r="J689" s="63" t="s">
        <v>2876</v>
      </c>
      <c r="K689" s="66"/>
      <c r="L689" s="66"/>
      <c r="M689" s="63" t="s">
        <v>368</v>
      </c>
      <c r="N689" s="61"/>
      <c r="O689" s="51"/>
    </row>
    <row r="690">
      <c r="A690" s="56">
        <v>687.0</v>
      </c>
      <c r="B690" s="68">
        <v>3897.0</v>
      </c>
      <c r="C690" s="69">
        <v>689.0</v>
      </c>
      <c r="D690" s="71"/>
      <c r="E690" s="68" t="s">
        <v>2877</v>
      </c>
      <c r="F690" s="76">
        <v>40005.0</v>
      </c>
      <c r="G690" s="68" t="s">
        <v>2878</v>
      </c>
      <c r="H690" s="71"/>
      <c r="I690" s="63" t="s">
        <v>2879</v>
      </c>
      <c r="J690" s="68" t="s">
        <v>2880</v>
      </c>
      <c r="K690" s="71"/>
      <c r="L690" s="71"/>
      <c r="M690" s="71"/>
      <c r="N690" s="61"/>
      <c r="O690" s="51"/>
    </row>
    <row r="691">
      <c r="A691" s="56">
        <v>688.0</v>
      </c>
      <c r="B691" s="68">
        <v>3898.0</v>
      </c>
      <c r="C691" s="69">
        <v>690.0</v>
      </c>
      <c r="D691" s="68" t="s">
        <v>2881</v>
      </c>
      <c r="E691" s="68" t="s">
        <v>2882</v>
      </c>
      <c r="F691" s="76">
        <v>39887.0</v>
      </c>
      <c r="G691" s="68" t="s">
        <v>2883</v>
      </c>
      <c r="H691" s="71"/>
      <c r="I691" s="63" t="s">
        <v>635</v>
      </c>
      <c r="J691" s="68" t="s">
        <v>2884</v>
      </c>
      <c r="K691" s="71"/>
      <c r="L691" s="71"/>
      <c r="M691" s="71"/>
      <c r="N691" s="61"/>
      <c r="O691" s="51"/>
    </row>
    <row r="692">
      <c r="A692" s="56">
        <v>689.0</v>
      </c>
      <c r="B692" s="68">
        <v>3899.0</v>
      </c>
      <c r="C692" s="69">
        <v>691.0</v>
      </c>
      <c r="D692" s="71"/>
      <c r="E692" s="68" t="s">
        <v>2885</v>
      </c>
      <c r="F692" s="76">
        <v>40909.0</v>
      </c>
      <c r="G692" s="68" t="s">
        <v>2886</v>
      </c>
      <c r="H692" s="71"/>
      <c r="I692" s="63" t="s">
        <v>2887</v>
      </c>
      <c r="J692" s="68" t="s">
        <v>2888</v>
      </c>
      <c r="K692" s="71"/>
      <c r="L692" s="71"/>
      <c r="M692" s="71"/>
      <c r="N692" s="61"/>
      <c r="O692" s="51"/>
    </row>
    <row r="693">
      <c r="A693" s="56">
        <v>690.0</v>
      </c>
      <c r="B693" s="68">
        <v>3900.0</v>
      </c>
      <c r="C693" s="69">
        <v>692.0</v>
      </c>
      <c r="D693" s="71"/>
      <c r="E693" s="68" t="s">
        <v>2889</v>
      </c>
      <c r="F693" s="76">
        <v>40773.0</v>
      </c>
      <c r="G693" s="68" t="s">
        <v>2890</v>
      </c>
      <c r="H693" s="71"/>
      <c r="I693" s="63" t="s">
        <v>2891</v>
      </c>
      <c r="J693" s="68" t="s">
        <v>2892</v>
      </c>
      <c r="K693" s="71"/>
      <c r="L693" s="71"/>
      <c r="M693" s="71"/>
      <c r="N693" s="61"/>
      <c r="O693" s="51"/>
    </row>
    <row r="694">
      <c r="A694" s="56">
        <v>691.0</v>
      </c>
      <c r="B694" s="68">
        <v>3901.0</v>
      </c>
      <c r="C694" s="69">
        <v>693.0</v>
      </c>
      <c r="D694" s="71"/>
      <c r="E694" s="68" t="s">
        <v>2893</v>
      </c>
      <c r="F694" s="76">
        <v>40911.0</v>
      </c>
      <c r="G694" s="68" t="s">
        <v>2894</v>
      </c>
      <c r="H694" s="71"/>
      <c r="I694" s="63" t="s">
        <v>635</v>
      </c>
      <c r="J694" s="68" t="s">
        <v>2895</v>
      </c>
      <c r="K694" s="71"/>
      <c r="L694" s="71"/>
      <c r="M694" s="71"/>
      <c r="N694" s="61"/>
      <c r="O694" s="51"/>
    </row>
    <row r="695">
      <c r="A695" s="56">
        <v>692.0</v>
      </c>
      <c r="B695" s="68">
        <v>3902.0</v>
      </c>
      <c r="C695" s="69">
        <v>694.0</v>
      </c>
      <c r="D695" s="71"/>
      <c r="E695" s="68" t="s">
        <v>2896</v>
      </c>
      <c r="F695" s="76">
        <v>40911.0</v>
      </c>
      <c r="G695" s="68" t="s">
        <v>2897</v>
      </c>
      <c r="H695" s="71"/>
      <c r="I695" s="63" t="s">
        <v>635</v>
      </c>
      <c r="J695" s="68" t="s">
        <v>2898</v>
      </c>
      <c r="K695" s="71"/>
      <c r="L695" s="71"/>
      <c r="M695" s="71"/>
      <c r="N695" s="61"/>
      <c r="O695" s="51"/>
    </row>
    <row r="696">
      <c r="A696" s="56">
        <v>693.0</v>
      </c>
      <c r="B696" s="63">
        <v>3903.0</v>
      </c>
      <c r="C696" s="64">
        <v>695.0</v>
      </c>
      <c r="D696" s="66"/>
      <c r="E696" s="63" t="s">
        <v>2899</v>
      </c>
      <c r="F696" s="70">
        <v>40033.0</v>
      </c>
      <c r="G696" s="63" t="s">
        <v>2900</v>
      </c>
      <c r="H696" s="66"/>
      <c r="I696" s="63" t="s">
        <v>2901</v>
      </c>
      <c r="J696" s="63" t="s">
        <v>2902</v>
      </c>
      <c r="K696" s="66"/>
      <c r="L696" s="66"/>
      <c r="M696" s="63" t="s">
        <v>143</v>
      </c>
      <c r="N696" s="61"/>
      <c r="O696" s="51"/>
    </row>
    <row r="697">
      <c r="A697" s="56">
        <v>694.0</v>
      </c>
      <c r="B697" s="68">
        <v>3904.0</v>
      </c>
      <c r="C697" s="69">
        <v>696.0</v>
      </c>
      <c r="D697" s="71"/>
      <c r="E697" s="68" t="s">
        <v>2903</v>
      </c>
      <c r="F697" s="76">
        <v>40576.0</v>
      </c>
      <c r="G697" s="68" t="s">
        <v>2904</v>
      </c>
      <c r="H697" s="71"/>
      <c r="I697" s="63" t="s">
        <v>2905</v>
      </c>
      <c r="J697" s="68" t="s">
        <v>2906</v>
      </c>
      <c r="K697" s="71"/>
      <c r="L697" s="71"/>
      <c r="M697" s="71"/>
      <c r="N697" s="61"/>
      <c r="O697" s="51"/>
    </row>
    <row r="698">
      <c r="A698" s="56">
        <v>695.0</v>
      </c>
      <c r="B698" s="57">
        <v>3905.0</v>
      </c>
      <c r="C698" s="58">
        <v>697.0</v>
      </c>
      <c r="D698" s="57" t="s">
        <v>2907</v>
      </c>
      <c r="E698" s="57" t="s">
        <v>2908</v>
      </c>
      <c r="F698" s="59">
        <v>39995.0</v>
      </c>
      <c r="G698" s="57" t="s">
        <v>2909</v>
      </c>
      <c r="H698" s="60"/>
      <c r="I698" s="63" t="s">
        <v>635</v>
      </c>
      <c r="J698" s="57" t="s">
        <v>2910</v>
      </c>
      <c r="K698" s="60"/>
      <c r="L698" s="60"/>
      <c r="M698" s="60"/>
      <c r="N698" s="61"/>
      <c r="O698" s="51"/>
    </row>
    <row r="699">
      <c r="A699" s="56">
        <v>696.0</v>
      </c>
      <c r="B699" s="68">
        <v>3906.0</v>
      </c>
      <c r="C699" s="69">
        <v>698.0</v>
      </c>
      <c r="D699" s="71"/>
      <c r="E699" s="68" t="s">
        <v>2911</v>
      </c>
      <c r="F699" s="76">
        <v>41025.0</v>
      </c>
      <c r="G699" s="68" t="s">
        <v>2912</v>
      </c>
      <c r="H699" s="71"/>
      <c r="I699" s="63" t="s">
        <v>2913</v>
      </c>
      <c r="J699" s="68" t="s">
        <v>2914</v>
      </c>
      <c r="K699" s="71"/>
      <c r="L699" s="71"/>
      <c r="M699" s="71"/>
      <c r="N699" s="61"/>
      <c r="O699" s="51"/>
    </row>
    <row r="700">
      <c r="A700" s="56">
        <v>697.0</v>
      </c>
      <c r="B700" s="68">
        <v>3907.0</v>
      </c>
      <c r="C700" s="69">
        <v>699.0</v>
      </c>
      <c r="D700" s="71"/>
      <c r="E700" s="68" t="s">
        <v>2915</v>
      </c>
      <c r="F700" s="76">
        <v>40605.0</v>
      </c>
      <c r="G700" s="68" t="s">
        <v>2916</v>
      </c>
      <c r="H700" s="71"/>
      <c r="I700" s="63" t="s">
        <v>2917</v>
      </c>
      <c r="J700" s="68" t="s">
        <v>2918</v>
      </c>
      <c r="K700" s="71"/>
      <c r="L700" s="71"/>
      <c r="M700" s="71"/>
      <c r="N700" s="61"/>
      <c r="O700" s="51"/>
    </row>
    <row r="701">
      <c r="A701" s="56">
        <v>698.0</v>
      </c>
      <c r="B701" s="68">
        <v>3908.0</v>
      </c>
      <c r="C701" s="69">
        <v>700.0</v>
      </c>
      <c r="D701" s="68" t="s">
        <v>2919</v>
      </c>
      <c r="E701" s="68" t="s">
        <v>2920</v>
      </c>
      <c r="F701" s="76">
        <v>40964.0</v>
      </c>
      <c r="G701" s="68" t="s">
        <v>2921</v>
      </c>
      <c r="H701" s="71"/>
      <c r="I701" s="68" t="s">
        <v>2922</v>
      </c>
      <c r="J701" s="68" t="s">
        <v>2923</v>
      </c>
      <c r="K701" s="71"/>
      <c r="L701" s="71"/>
      <c r="M701" s="71"/>
      <c r="N701" s="61"/>
      <c r="O701" s="51"/>
    </row>
    <row r="702">
      <c r="A702" s="56">
        <v>699.0</v>
      </c>
      <c r="B702" s="68">
        <v>3909.0</v>
      </c>
      <c r="C702" s="69">
        <v>701.0</v>
      </c>
      <c r="D702" s="71"/>
      <c r="E702" s="68" t="s">
        <v>2924</v>
      </c>
      <c r="F702" s="76">
        <v>38378.0</v>
      </c>
      <c r="G702" s="68" t="s">
        <v>2925</v>
      </c>
      <c r="H702" s="71"/>
      <c r="I702" s="63" t="s">
        <v>2926</v>
      </c>
      <c r="J702" s="68" t="s">
        <v>2927</v>
      </c>
      <c r="K702" s="71"/>
      <c r="L702" s="71"/>
      <c r="M702" s="71"/>
      <c r="N702" s="61"/>
      <c r="O702" s="51"/>
    </row>
    <row r="703">
      <c r="A703" s="56">
        <v>700.0</v>
      </c>
      <c r="B703" s="68">
        <v>3910.0</v>
      </c>
      <c r="C703" s="69">
        <v>702.0</v>
      </c>
      <c r="D703" s="71"/>
      <c r="E703" s="68" t="s">
        <v>2928</v>
      </c>
      <c r="F703" s="68" t="s">
        <v>407</v>
      </c>
      <c r="G703" s="68" t="s">
        <v>2929</v>
      </c>
      <c r="H703" s="71"/>
      <c r="I703" s="99" t="s">
        <v>2930</v>
      </c>
      <c r="J703" s="68" t="s">
        <v>2931</v>
      </c>
      <c r="K703" s="71"/>
      <c r="L703" s="71"/>
      <c r="M703" s="71"/>
      <c r="N703" s="61"/>
      <c r="O703" s="51"/>
    </row>
    <row r="704">
      <c r="A704" s="56">
        <v>701.0</v>
      </c>
      <c r="B704" s="68">
        <v>3911.0</v>
      </c>
      <c r="C704" s="69">
        <v>703.0</v>
      </c>
      <c r="D704" s="71"/>
      <c r="E704" s="68" t="s">
        <v>2932</v>
      </c>
      <c r="F704" s="68" t="s">
        <v>407</v>
      </c>
      <c r="G704" s="68" t="s">
        <v>2933</v>
      </c>
      <c r="H704" s="71"/>
      <c r="I704" s="99" t="s">
        <v>2930</v>
      </c>
      <c r="J704" s="68" t="s">
        <v>2931</v>
      </c>
      <c r="K704" s="71"/>
      <c r="L704" s="71"/>
      <c r="M704" s="71"/>
      <c r="N704" s="61"/>
      <c r="O704" s="51"/>
    </row>
    <row r="705">
      <c r="A705" s="56">
        <v>702.0</v>
      </c>
      <c r="B705" s="68">
        <v>3912.0</v>
      </c>
      <c r="C705" s="69">
        <v>704.0</v>
      </c>
      <c r="D705" s="71"/>
      <c r="E705" s="68" t="s">
        <v>2934</v>
      </c>
      <c r="F705" s="68" t="s">
        <v>407</v>
      </c>
      <c r="G705" s="68" t="s">
        <v>2935</v>
      </c>
      <c r="H705" s="71"/>
      <c r="I705" s="99" t="s">
        <v>2930</v>
      </c>
      <c r="J705" s="68" t="s">
        <v>2931</v>
      </c>
      <c r="K705" s="71"/>
      <c r="L705" s="71"/>
      <c r="M705" s="71"/>
      <c r="N705" s="61"/>
      <c r="O705" s="51"/>
    </row>
    <row r="706">
      <c r="A706" s="56">
        <v>703.0</v>
      </c>
      <c r="B706" s="68">
        <v>3913.0</v>
      </c>
      <c r="C706" s="69">
        <v>705.0</v>
      </c>
      <c r="D706" s="68" t="s">
        <v>2936</v>
      </c>
      <c r="E706" s="68" t="s">
        <v>2937</v>
      </c>
      <c r="F706" s="76">
        <v>41019.0</v>
      </c>
      <c r="G706" s="68" t="s">
        <v>2938</v>
      </c>
      <c r="H706" s="68" t="s">
        <v>2939</v>
      </c>
      <c r="I706" s="68" t="s">
        <v>635</v>
      </c>
      <c r="J706" s="87" t="s">
        <v>2940</v>
      </c>
      <c r="K706" s="71"/>
      <c r="L706" s="71"/>
      <c r="M706" s="71"/>
      <c r="N706" s="61"/>
      <c r="O706" s="51"/>
    </row>
    <row r="707">
      <c r="A707" s="56">
        <v>704.0</v>
      </c>
      <c r="B707" s="68">
        <v>3914.0</v>
      </c>
      <c r="C707" s="69">
        <v>706.0</v>
      </c>
      <c r="D707" s="68" t="s">
        <v>2941</v>
      </c>
      <c r="E707" s="68" t="s">
        <v>2942</v>
      </c>
      <c r="F707" s="76">
        <v>40758.0</v>
      </c>
      <c r="G707" s="68" t="s">
        <v>2943</v>
      </c>
      <c r="H707" s="71"/>
      <c r="I707" s="63" t="s">
        <v>2944</v>
      </c>
      <c r="J707" s="68" t="s">
        <v>2945</v>
      </c>
      <c r="K707" s="71"/>
      <c r="L707" s="71"/>
      <c r="M707" s="71"/>
      <c r="N707" s="61"/>
      <c r="O707" s="51"/>
    </row>
    <row r="708">
      <c r="A708" s="56">
        <v>705.0</v>
      </c>
      <c r="B708" s="68">
        <v>3915.0</v>
      </c>
      <c r="C708" s="69">
        <v>707.0</v>
      </c>
      <c r="D708" s="68" t="s">
        <v>2946</v>
      </c>
      <c r="E708" s="68" t="s">
        <v>2947</v>
      </c>
      <c r="F708" s="83">
        <v>40871.0</v>
      </c>
      <c r="G708" s="68" t="s">
        <v>2948</v>
      </c>
      <c r="H708" s="71"/>
      <c r="I708" s="63" t="s">
        <v>2949</v>
      </c>
      <c r="J708" s="68" t="s">
        <v>2950</v>
      </c>
      <c r="K708" s="71"/>
      <c r="L708" s="71"/>
      <c r="M708" s="71"/>
      <c r="N708" s="61"/>
      <c r="O708" s="51"/>
    </row>
    <row r="709">
      <c r="A709" s="56">
        <v>706.0</v>
      </c>
      <c r="B709" s="68">
        <v>3916.0</v>
      </c>
      <c r="C709" s="69">
        <v>708.0</v>
      </c>
      <c r="D709" s="68" t="s">
        <v>2951</v>
      </c>
      <c r="E709" s="68" t="s">
        <v>2952</v>
      </c>
      <c r="F709" s="76">
        <v>39995.0</v>
      </c>
      <c r="G709" s="68" t="s">
        <v>2953</v>
      </c>
      <c r="H709" s="71"/>
      <c r="I709" s="63" t="s">
        <v>2954</v>
      </c>
      <c r="J709" s="68" t="s">
        <v>2955</v>
      </c>
      <c r="K709" s="71"/>
      <c r="L709" s="71"/>
      <c r="M709" s="71"/>
      <c r="N709" s="61"/>
      <c r="O709" s="51"/>
    </row>
    <row r="710">
      <c r="A710" s="56">
        <v>707.0</v>
      </c>
      <c r="B710" s="68">
        <v>3917.0</v>
      </c>
      <c r="C710" s="69">
        <v>709.0</v>
      </c>
      <c r="D710" s="71"/>
      <c r="E710" s="68" t="s">
        <v>2956</v>
      </c>
      <c r="F710" s="76">
        <v>40783.0</v>
      </c>
      <c r="G710" s="68" t="s">
        <v>2957</v>
      </c>
      <c r="H710" s="71"/>
      <c r="I710" s="63" t="s">
        <v>2958</v>
      </c>
      <c r="J710" s="68" t="s">
        <v>2959</v>
      </c>
      <c r="K710" s="71"/>
      <c r="L710" s="71"/>
      <c r="M710" s="71"/>
      <c r="N710" s="61"/>
      <c r="O710" s="51"/>
    </row>
    <row r="711">
      <c r="A711" s="56">
        <v>708.0</v>
      </c>
      <c r="B711" s="68">
        <v>3918.0</v>
      </c>
      <c r="C711" s="69">
        <v>710.0</v>
      </c>
      <c r="D711" s="68" t="s">
        <v>2960</v>
      </c>
      <c r="E711" s="68" t="s">
        <v>2961</v>
      </c>
      <c r="F711" s="76">
        <v>40716.0</v>
      </c>
      <c r="G711" s="68" t="s">
        <v>2962</v>
      </c>
      <c r="H711" s="71"/>
      <c r="I711" s="68" t="s">
        <v>635</v>
      </c>
      <c r="J711" s="68" t="s">
        <v>2963</v>
      </c>
      <c r="K711" s="66"/>
      <c r="L711" s="66"/>
      <c r="M711" s="66"/>
      <c r="N711" s="61"/>
      <c r="O711" s="51"/>
    </row>
    <row r="712">
      <c r="A712" s="56">
        <v>709.0</v>
      </c>
      <c r="B712" s="68">
        <v>3919.0</v>
      </c>
      <c r="C712" s="69">
        <v>711.0</v>
      </c>
      <c r="D712" s="68" t="s">
        <v>2964</v>
      </c>
      <c r="E712" s="68" t="s">
        <v>2965</v>
      </c>
      <c r="F712" s="76">
        <v>40195.0</v>
      </c>
      <c r="G712" s="68" t="s">
        <v>2966</v>
      </c>
      <c r="H712" s="71"/>
      <c r="I712" s="68" t="s">
        <v>2967</v>
      </c>
      <c r="J712" s="68" t="s">
        <v>2968</v>
      </c>
      <c r="K712" s="66"/>
      <c r="L712" s="66"/>
      <c r="M712" s="66"/>
      <c r="N712" s="61"/>
      <c r="O712" s="51"/>
    </row>
    <row r="713">
      <c r="A713" s="56">
        <v>710.0</v>
      </c>
      <c r="B713" s="68">
        <v>3920.0</v>
      </c>
      <c r="C713" s="69">
        <v>712.0</v>
      </c>
      <c r="D713" s="71"/>
      <c r="E713" s="68" t="s">
        <v>2969</v>
      </c>
      <c r="F713" s="76">
        <v>40756.0</v>
      </c>
      <c r="G713" s="68" t="s">
        <v>2970</v>
      </c>
      <c r="H713" s="71"/>
      <c r="I713" s="63" t="s">
        <v>2971</v>
      </c>
      <c r="J713" s="68" t="s">
        <v>2972</v>
      </c>
      <c r="K713" s="71"/>
      <c r="L713" s="71"/>
      <c r="M713" s="71"/>
      <c r="N713" s="61"/>
      <c r="O713" s="51"/>
    </row>
    <row r="714">
      <c r="A714" s="56">
        <v>711.0</v>
      </c>
      <c r="B714" s="68">
        <v>3921.0</v>
      </c>
      <c r="C714" s="69">
        <v>713.0</v>
      </c>
      <c r="D714" s="71"/>
      <c r="E714" s="68" t="s">
        <v>2973</v>
      </c>
      <c r="F714" s="83">
        <v>36146.0</v>
      </c>
      <c r="G714" s="68" t="s">
        <v>2974</v>
      </c>
      <c r="H714" s="71"/>
      <c r="I714" s="68" t="s">
        <v>2975</v>
      </c>
      <c r="J714" s="87" t="s">
        <v>2976</v>
      </c>
      <c r="K714" s="71"/>
      <c r="L714" s="71"/>
      <c r="M714" s="71"/>
      <c r="N714" s="77"/>
      <c r="O714" s="51"/>
    </row>
    <row r="715">
      <c r="A715" s="56">
        <v>712.0</v>
      </c>
      <c r="B715" s="68">
        <v>3922.0</v>
      </c>
      <c r="C715" s="69">
        <v>714.0</v>
      </c>
      <c r="D715" s="71"/>
      <c r="E715" s="68" t="s">
        <v>2977</v>
      </c>
      <c r="F715" s="76">
        <v>40078.0</v>
      </c>
      <c r="G715" s="68" t="s">
        <v>2978</v>
      </c>
      <c r="H715" s="71"/>
      <c r="I715" s="63" t="s">
        <v>2979</v>
      </c>
      <c r="J715" s="68" t="s">
        <v>2980</v>
      </c>
      <c r="K715" s="71"/>
      <c r="L715" s="71"/>
      <c r="M715" s="71"/>
      <c r="N715" s="61"/>
      <c r="O715" s="51"/>
    </row>
    <row r="716">
      <c r="A716" s="56">
        <v>713.0</v>
      </c>
      <c r="B716" s="68">
        <v>3923.0</v>
      </c>
      <c r="C716" s="69">
        <v>715.0</v>
      </c>
      <c r="D716" s="68" t="s">
        <v>2981</v>
      </c>
      <c r="E716" s="68" t="s">
        <v>2982</v>
      </c>
      <c r="F716" s="76">
        <v>40338.0</v>
      </c>
      <c r="G716" s="68" t="s">
        <v>2983</v>
      </c>
      <c r="H716" s="71"/>
      <c r="I716" s="63" t="s">
        <v>2984</v>
      </c>
      <c r="J716" s="68" t="s">
        <v>124</v>
      </c>
      <c r="K716" s="71"/>
      <c r="L716" s="71"/>
      <c r="M716" s="71"/>
      <c r="N716" s="61"/>
      <c r="O716" s="51"/>
    </row>
    <row r="717">
      <c r="A717" s="56">
        <v>714.0</v>
      </c>
      <c r="B717" s="63">
        <v>3924.0</v>
      </c>
      <c r="C717" s="64">
        <v>716.0</v>
      </c>
      <c r="D717" s="63" t="s">
        <v>2985</v>
      </c>
      <c r="E717" s="63" t="s">
        <v>2986</v>
      </c>
      <c r="F717" s="63" t="s">
        <v>407</v>
      </c>
      <c r="G717" s="63" t="s">
        <v>2987</v>
      </c>
      <c r="H717" s="66"/>
      <c r="I717" s="63" t="s">
        <v>2988</v>
      </c>
      <c r="J717" s="63" t="s">
        <v>136</v>
      </c>
      <c r="K717" s="66"/>
      <c r="L717" s="66"/>
      <c r="M717" s="63" t="s">
        <v>2989</v>
      </c>
      <c r="N717" s="61"/>
      <c r="O717" s="51"/>
    </row>
    <row r="718">
      <c r="A718" s="56">
        <v>715.0</v>
      </c>
      <c r="B718" s="63">
        <v>3925.0</v>
      </c>
      <c r="C718" s="64">
        <v>717.0</v>
      </c>
      <c r="D718" s="63" t="s">
        <v>2985</v>
      </c>
      <c r="E718" s="63" t="s">
        <v>2990</v>
      </c>
      <c r="F718" s="63" t="s">
        <v>407</v>
      </c>
      <c r="G718" s="63" t="s">
        <v>2987</v>
      </c>
      <c r="H718" s="66"/>
      <c r="I718" s="63" t="s">
        <v>2991</v>
      </c>
      <c r="J718" s="63" t="s">
        <v>136</v>
      </c>
      <c r="K718" s="66"/>
      <c r="L718" s="66"/>
      <c r="M718" s="63" t="s">
        <v>2989</v>
      </c>
      <c r="N718" s="61"/>
      <c r="O718" s="51"/>
    </row>
    <row r="719">
      <c r="A719" s="56">
        <v>716.0</v>
      </c>
      <c r="B719" s="57">
        <v>3926.0</v>
      </c>
      <c r="C719" s="58">
        <v>718.0</v>
      </c>
      <c r="D719" s="57" t="s">
        <v>2992</v>
      </c>
      <c r="E719" s="57" t="s">
        <v>2993</v>
      </c>
      <c r="F719" s="59">
        <v>39686.0</v>
      </c>
      <c r="G719" s="57" t="s">
        <v>2994</v>
      </c>
      <c r="H719" s="60"/>
      <c r="I719" s="57" t="s">
        <v>2995</v>
      </c>
      <c r="J719" s="89" t="s">
        <v>2996</v>
      </c>
      <c r="K719" s="109"/>
      <c r="L719" s="60"/>
      <c r="M719" s="60"/>
      <c r="N719" s="112"/>
      <c r="O719" s="51"/>
    </row>
    <row r="720">
      <c r="A720" s="56">
        <v>717.0</v>
      </c>
      <c r="B720" s="68">
        <v>3927.0</v>
      </c>
      <c r="C720" s="69">
        <v>719.0</v>
      </c>
      <c r="D720" s="68" t="s">
        <v>2992</v>
      </c>
      <c r="E720" s="68" t="s">
        <v>2997</v>
      </c>
      <c r="F720" s="76">
        <v>40854.0</v>
      </c>
      <c r="G720" s="68" t="s">
        <v>2998</v>
      </c>
      <c r="H720" s="71"/>
      <c r="I720" s="63" t="s">
        <v>2999</v>
      </c>
      <c r="J720" s="68" t="s">
        <v>3000</v>
      </c>
      <c r="K720" s="71"/>
      <c r="L720" s="71"/>
      <c r="M720" s="71"/>
      <c r="N720" s="61"/>
      <c r="O720" s="51"/>
    </row>
    <row r="721">
      <c r="A721" s="56">
        <v>718.0</v>
      </c>
      <c r="B721" s="57">
        <v>3928.0</v>
      </c>
      <c r="C721" s="58">
        <v>720.0</v>
      </c>
      <c r="D721" s="57" t="s">
        <v>3001</v>
      </c>
      <c r="E721" s="57" t="s">
        <v>3002</v>
      </c>
      <c r="F721" s="59">
        <v>40973.0</v>
      </c>
      <c r="G721" s="57" t="s">
        <v>3003</v>
      </c>
      <c r="H721" s="60"/>
      <c r="I721" s="57" t="s">
        <v>3004</v>
      </c>
      <c r="J721" s="89" t="s">
        <v>3005</v>
      </c>
      <c r="K721" s="109"/>
      <c r="L721" s="60"/>
      <c r="M721" s="60"/>
      <c r="N721" s="112"/>
      <c r="O721" s="51"/>
    </row>
    <row r="722">
      <c r="A722" s="56">
        <v>719.0</v>
      </c>
      <c r="B722" s="57">
        <v>3929.0</v>
      </c>
      <c r="C722" s="58">
        <v>721.0</v>
      </c>
      <c r="D722" s="57" t="s">
        <v>3001</v>
      </c>
      <c r="E722" s="57" t="s">
        <v>3006</v>
      </c>
      <c r="F722" s="59">
        <v>40973.0</v>
      </c>
      <c r="G722" s="57" t="s">
        <v>3003</v>
      </c>
      <c r="H722" s="60"/>
      <c r="I722" s="57" t="s">
        <v>3004</v>
      </c>
      <c r="J722" s="57" t="s">
        <v>3005</v>
      </c>
      <c r="K722" s="109"/>
      <c r="L722" s="60"/>
      <c r="M722" s="60"/>
      <c r="N722" s="112"/>
      <c r="O722" s="51"/>
    </row>
    <row r="723">
      <c r="A723" s="56">
        <v>720.0</v>
      </c>
      <c r="B723" s="63">
        <v>3930.0</v>
      </c>
      <c r="C723" s="64">
        <v>722.0</v>
      </c>
      <c r="D723" s="63" t="s">
        <v>3007</v>
      </c>
      <c r="E723" s="63" t="s">
        <v>3008</v>
      </c>
      <c r="F723" s="70">
        <v>39630.0</v>
      </c>
      <c r="G723" s="63" t="s">
        <v>3009</v>
      </c>
      <c r="H723" s="66"/>
      <c r="I723" s="63" t="s">
        <v>3010</v>
      </c>
      <c r="J723" s="63" t="s">
        <v>3011</v>
      </c>
      <c r="K723" s="66"/>
      <c r="L723" s="66"/>
      <c r="M723" s="63" t="s">
        <v>3012</v>
      </c>
      <c r="N723" s="61"/>
      <c r="O723" s="51"/>
    </row>
    <row r="724">
      <c r="A724" s="56">
        <v>721.0</v>
      </c>
      <c r="B724" s="68">
        <v>3931.0</v>
      </c>
      <c r="C724" s="69">
        <v>723.0</v>
      </c>
      <c r="D724" s="71"/>
      <c r="E724" s="68" t="s">
        <v>3013</v>
      </c>
      <c r="F724" s="76">
        <v>41027.0</v>
      </c>
      <c r="G724" s="68" t="s">
        <v>3014</v>
      </c>
      <c r="H724" s="71"/>
      <c r="I724" s="63" t="s">
        <v>3015</v>
      </c>
      <c r="J724" s="68" t="s">
        <v>3016</v>
      </c>
      <c r="K724" s="71"/>
      <c r="L724" s="71"/>
      <c r="M724" s="71"/>
      <c r="N724" s="61"/>
      <c r="O724" s="51"/>
    </row>
    <row r="725">
      <c r="A725" s="56">
        <v>722.0</v>
      </c>
      <c r="B725" s="68">
        <v>3932.0</v>
      </c>
      <c r="C725" s="69">
        <v>724.0</v>
      </c>
      <c r="D725" s="71"/>
      <c r="E725" s="68" t="s">
        <v>3017</v>
      </c>
      <c r="F725" s="83">
        <v>40873.0</v>
      </c>
      <c r="G725" s="68" t="s">
        <v>3018</v>
      </c>
      <c r="H725" s="71"/>
      <c r="I725" s="63" t="s">
        <v>3019</v>
      </c>
      <c r="J725" s="68" t="s">
        <v>3020</v>
      </c>
      <c r="K725" s="71"/>
      <c r="L725" s="71"/>
      <c r="M725" s="71"/>
      <c r="N725" s="61"/>
      <c r="O725" s="51"/>
    </row>
    <row r="726">
      <c r="A726" s="56">
        <v>723.0</v>
      </c>
      <c r="B726" s="68">
        <v>3933.0</v>
      </c>
      <c r="C726" s="69">
        <v>725.0</v>
      </c>
      <c r="D726" s="71"/>
      <c r="E726" s="68" t="s">
        <v>3021</v>
      </c>
      <c r="F726" s="83">
        <v>40129.0</v>
      </c>
      <c r="G726" s="68" t="s">
        <v>3022</v>
      </c>
      <c r="H726" s="71"/>
      <c r="I726" s="63" t="s">
        <v>3023</v>
      </c>
      <c r="J726" s="68" t="s">
        <v>3024</v>
      </c>
      <c r="K726" s="71"/>
      <c r="L726" s="71"/>
      <c r="M726" s="71"/>
      <c r="N726" s="61"/>
      <c r="O726" s="51"/>
    </row>
    <row r="727">
      <c r="A727" s="56">
        <v>724.0</v>
      </c>
      <c r="B727" s="68">
        <v>3934.0</v>
      </c>
      <c r="C727" s="69">
        <v>726.0</v>
      </c>
      <c r="D727" s="71"/>
      <c r="E727" s="68" t="s">
        <v>3025</v>
      </c>
      <c r="F727" s="76">
        <v>41032.0</v>
      </c>
      <c r="G727" s="68" t="s">
        <v>3026</v>
      </c>
      <c r="H727" s="71"/>
      <c r="I727" s="63" t="s">
        <v>3027</v>
      </c>
      <c r="J727" s="68" t="s">
        <v>3028</v>
      </c>
      <c r="K727" s="71"/>
      <c r="L727" s="71"/>
      <c r="M727" s="71"/>
      <c r="N727" s="61"/>
      <c r="O727" s="51"/>
    </row>
    <row r="728">
      <c r="A728" s="56">
        <v>725.0</v>
      </c>
      <c r="B728" s="68">
        <v>3935.0</v>
      </c>
      <c r="C728" s="69">
        <v>727.0</v>
      </c>
      <c r="D728" s="71"/>
      <c r="E728" s="68" t="s">
        <v>3029</v>
      </c>
      <c r="F728" s="76">
        <v>40301.0</v>
      </c>
      <c r="G728" s="68" t="s">
        <v>3030</v>
      </c>
      <c r="H728" s="71"/>
      <c r="I728" s="63" t="s">
        <v>3031</v>
      </c>
      <c r="J728" s="68" t="s">
        <v>3032</v>
      </c>
      <c r="K728" s="71"/>
      <c r="L728" s="71"/>
      <c r="M728" s="71"/>
      <c r="N728" s="61"/>
      <c r="O728" s="51"/>
    </row>
    <row r="729">
      <c r="A729" s="56">
        <v>726.0</v>
      </c>
      <c r="B729" s="68">
        <v>3936.0</v>
      </c>
      <c r="C729" s="69">
        <v>728.0</v>
      </c>
      <c r="D729" s="71"/>
      <c r="E729" s="68" t="s">
        <v>3033</v>
      </c>
      <c r="F729" s="76">
        <v>40662.0</v>
      </c>
      <c r="G729" s="68" t="s">
        <v>3034</v>
      </c>
      <c r="H729" s="71"/>
      <c r="I729" s="68" t="s">
        <v>3035</v>
      </c>
      <c r="J729" s="68" t="s">
        <v>3032</v>
      </c>
      <c r="K729" s="66"/>
      <c r="L729" s="66"/>
      <c r="M729" s="66"/>
      <c r="N729" s="61"/>
      <c r="O729" s="51"/>
    </row>
    <row r="730">
      <c r="A730" s="75">
        <v>727.0</v>
      </c>
      <c r="B730" s="68">
        <v>3937.0</v>
      </c>
      <c r="C730" s="69">
        <v>729.0</v>
      </c>
      <c r="D730" s="71"/>
      <c r="E730" s="68" t="s">
        <v>3036</v>
      </c>
      <c r="F730" s="76">
        <v>40087.0</v>
      </c>
      <c r="G730" s="68" t="s">
        <v>3037</v>
      </c>
      <c r="H730" s="71"/>
      <c r="I730" s="68" t="s">
        <v>3038</v>
      </c>
      <c r="J730" s="68" t="s">
        <v>1392</v>
      </c>
      <c r="K730" s="71"/>
      <c r="L730" s="71"/>
      <c r="M730" s="68" t="s">
        <v>1393</v>
      </c>
      <c r="N730" s="77"/>
      <c r="O730" s="51"/>
    </row>
    <row r="731">
      <c r="A731" s="56">
        <v>728.0</v>
      </c>
      <c r="B731" s="63">
        <v>3938.0</v>
      </c>
      <c r="C731" s="64">
        <v>730.0</v>
      </c>
      <c r="D731" s="66"/>
      <c r="E731" s="63" t="s">
        <v>3039</v>
      </c>
      <c r="F731" s="70">
        <v>40328.0</v>
      </c>
      <c r="G731" s="63" t="s">
        <v>3040</v>
      </c>
      <c r="H731" s="66"/>
      <c r="I731" s="63" t="s">
        <v>3041</v>
      </c>
      <c r="J731" s="63" t="s">
        <v>2230</v>
      </c>
      <c r="K731" s="66"/>
      <c r="L731" s="66"/>
      <c r="M731" s="63" t="s">
        <v>156</v>
      </c>
      <c r="N731" s="61"/>
      <c r="O731" s="51"/>
    </row>
    <row r="732">
      <c r="A732" s="56">
        <v>729.0</v>
      </c>
      <c r="B732" s="68">
        <v>3939.0</v>
      </c>
      <c r="C732" s="69">
        <v>731.0</v>
      </c>
      <c r="D732" s="71"/>
      <c r="E732" s="68" t="s">
        <v>3042</v>
      </c>
      <c r="F732" s="76">
        <v>40316.0</v>
      </c>
      <c r="G732" s="68" t="s">
        <v>3043</v>
      </c>
      <c r="H732" s="71"/>
      <c r="I732" s="63" t="s">
        <v>635</v>
      </c>
      <c r="J732" s="68" t="s">
        <v>3044</v>
      </c>
      <c r="K732" s="71"/>
      <c r="L732" s="71"/>
      <c r="M732" s="71"/>
      <c r="N732" s="61"/>
      <c r="O732" s="51"/>
    </row>
    <row r="733">
      <c r="A733" s="56">
        <v>730.0</v>
      </c>
      <c r="B733" s="68">
        <v>3940.0</v>
      </c>
      <c r="C733" s="69">
        <v>732.0</v>
      </c>
      <c r="D733" s="71"/>
      <c r="E733" s="68" t="s">
        <v>3045</v>
      </c>
      <c r="F733" s="76">
        <v>40316.0</v>
      </c>
      <c r="G733" s="68" t="s">
        <v>3046</v>
      </c>
      <c r="H733" s="71"/>
      <c r="I733" s="63" t="s">
        <v>3047</v>
      </c>
      <c r="J733" s="68" t="s">
        <v>148</v>
      </c>
      <c r="K733" s="66"/>
      <c r="L733" s="66"/>
      <c r="M733" s="66"/>
      <c r="N733" s="61"/>
      <c r="O733" s="51"/>
    </row>
    <row r="734">
      <c r="A734" s="56">
        <v>731.0</v>
      </c>
      <c r="B734" s="68">
        <v>3941.0</v>
      </c>
      <c r="C734" s="69">
        <v>733.0</v>
      </c>
      <c r="D734" s="71"/>
      <c r="E734" s="68" t="s">
        <v>3048</v>
      </c>
      <c r="F734" s="76">
        <v>40063.0</v>
      </c>
      <c r="G734" s="68" t="s">
        <v>3049</v>
      </c>
      <c r="H734" s="71"/>
      <c r="I734" s="68" t="s">
        <v>3050</v>
      </c>
      <c r="J734" s="68" t="s">
        <v>2175</v>
      </c>
      <c r="K734" s="71"/>
      <c r="L734" s="71"/>
      <c r="M734" s="68" t="s">
        <v>1393</v>
      </c>
      <c r="N734" s="77"/>
      <c r="O734" s="51"/>
    </row>
    <row r="735">
      <c r="A735" s="56">
        <v>732.0</v>
      </c>
      <c r="B735" s="63">
        <v>3942.0</v>
      </c>
      <c r="C735" s="64">
        <v>734.0</v>
      </c>
      <c r="D735" s="66"/>
      <c r="E735" s="63" t="s">
        <v>3051</v>
      </c>
      <c r="F735" s="127">
        <v>40092.0</v>
      </c>
      <c r="G735" s="63" t="s">
        <v>3052</v>
      </c>
      <c r="H735" s="63" t="s">
        <v>3053</v>
      </c>
      <c r="I735" s="63" t="s">
        <v>3054</v>
      </c>
      <c r="J735" s="63" t="s">
        <v>1555</v>
      </c>
      <c r="K735" s="66"/>
      <c r="L735" s="63" t="s">
        <v>2743</v>
      </c>
      <c r="M735" s="63" t="s">
        <v>1393</v>
      </c>
      <c r="N735" s="61"/>
      <c r="O735" s="51"/>
    </row>
    <row r="736">
      <c r="A736" s="56">
        <v>733.0</v>
      </c>
      <c r="B736" s="68">
        <v>3943.0</v>
      </c>
      <c r="C736" s="69">
        <v>735.0</v>
      </c>
      <c r="D736" s="71"/>
      <c r="E736" s="68" t="s">
        <v>3055</v>
      </c>
      <c r="F736" s="76">
        <v>39940.0</v>
      </c>
      <c r="G736" s="68" t="s">
        <v>3056</v>
      </c>
      <c r="H736" s="71"/>
      <c r="I736" s="63" t="s">
        <v>3057</v>
      </c>
      <c r="J736" s="68" t="s">
        <v>3058</v>
      </c>
      <c r="K736" s="66"/>
      <c r="L736" s="66"/>
      <c r="M736" s="66"/>
      <c r="N736" s="61"/>
      <c r="O736" s="51"/>
    </row>
    <row r="737">
      <c r="A737" s="56">
        <v>734.0</v>
      </c>
      <c r="B737" s="63">
        <v>3944.0</v>
      </c>
      <c r="C737" s="64">
        <v>736.0</v>
      </c>
      <c r="D737" s="66"/>
      <c r="E737" s="63" t="s">
        <v>3059</v>
      </c>
      <c r="F737" s="70">
        <v>40181.0</v>
      </c>
      <c r="G737" s="63" t="s">
        <v>3060</v>
      </c>
      <c r="H737" s="66"/>
      <c r="I737" s="63" t="s">
        <v>3061</v>
      </c>
      <c r="J737" s="63" t="s">
        <v>1605</v>
      </c>
      <c r="K737" s="66"/>
      <c r="L737" s="66"/>
      <c r="M737" s="63" t="s">
        <v>125</v>
      </c>
      <c r="N737" s="61"/>
      <c r="O737" s="51"/>
    </row>
    <row r="738">
      <c r="A738" s="56">
        <v>735.0</v>
      </c>
      <c r="B738" s="68">
        <v>3945.0</v>
      </c>
      <c r="C738" s="69">
        <v>737.0</v>
      </c>
      <c r="D738" s="71"/>
      <c r="E738" s="68" t="s">
        <v>3062</v>
      </c>
      <c r="F738" s="76">
        <v>40271.0</v>
      </c>
      <c r="G738" s="68" t="s">
        <v>3063</v>
      </c>
      <c r="H738" s="71"/>
      <c r="I738" s="63" t="s">
        <v>3064</v>
      </c>
      <c r="J738" s="68" t="s">
        <v>3065</v>
      </c>
      <c r="K738" s="71"/>
      <c r="L738" s="71"/>
      <c r="M738" s="71"/>
      <c r="N738" s="61"/>
      <c r="O738" s="51"/>
    </row>
    <row r="739">
      <c r="A739" s="56">
        <v>736.0</v>
      </c>
      <c r="B739" s="68">
        <v>3946.0</v>
      </c>
      <c r="C739" s="69">
        <v>738.0</v>
      </c>
      <c r="D739" s="71"/>
      <c r="E739" s="68" t="s">
        <v>3066</v>
      </c>
      <c r="F739" s="83">
        <v>40165.0</v>
      </c>
      <c r="G739" s="68" t="s">
        <v>3067</v>
      </c>
      <c r="H739" s="71"/>
      <c r="I739" s="63" t="s">
        <v>3068</v>
      </c>
      <c r="J739" s="68" t="s">
        <v>3069</v>
      </c>
      <c r="K739" s="71"/>
      <c r="L739" s="71"/>
      <c r="M739" s="71"/>
      <c r="N739" s="61"/>
      <c r="O739" s="51"/>
    </row>
    <row r="740">
      <c r="A740" s="56">
        <v>737.0</v>
      </c>
      <c r="B740" s="63">
        <v>3947.0</v>
      </c>
      <c r="C740" s="64">
        <v>739.0</v>
      </c>
      <c r="D740" s="66"/>
      <c r="E740" s="63" t="s">
        <v>3070</v>
      </c>
      <c r="F740" s="70">
        <v>39611.0</v>
      </c>
      <c r="G740" s="63" t="s">
        <v>3071</v>
      </c>
      <c r="H740" s="66"/>
      <c r="I740" s="63" t="s">
        <v>3072</v>
      </c>
      <c r="J740" s="63" t="s">
        <v>3073</v>
      </c>
      <c r="K740" s="66"/>
      <c r="L740" s="66"/>
      <c r="M740" s="63" t="s">
        <v>2291</v>
      </c>
      <c r="N740" s="61"/>
      <c r="O740" s="51"/>
    </row>
    <row r="741">
      <c r="A741" s="56">
        <v>738.0</v>
      </c>
      <c r="B741" s="68">
        <v>3948.0</v>
      </c>
      <c r="C741" s="69">
        <v>740.0</v>
      </c>
      <c r="D741" s="71"/>
      <c r="E741" s="68" t="s">
        <v>3074</v>
      </c>
      <c r="F741" s="76">
        <v>40571.0</v>
      </c>
      <c r="G741" s="68" t="s">
        <v>3075</v>
      </c>
      <c r="H741" s="71"/>
      <c r="I741" s="68" t="s">
        <v>3076</v>
      </c>
      <c r="J741" s="68" t="s">
        <v>3077</v>
      </c>
      <c r="K741" s="66"/>
      <c r="L741" s="66"/>
      <c r="M741" s="66"/>
      <c r="N741" s="61"/>
      <c r="O741" s="51"/>
    </row>
    <row r="742">
      <c r="A742" s="56">
        <v>739.0</v>
      </c>
      <c r="B742" s="68">
        <v>3949.0</v>
      </c>
      <c r="C742" s="69">
        <v>741.0</v>
      </c>
      <c r="D742" s="71"/>
      <c r="E742" s="68" t="s">
        <v>3078</v>
      </c>
      <c r="F742" s="83">
        <v>40532.0</v>
      </c>
      <c r="G742" s="68" t="s">
        <v>3079</v>
      </c>
      <c r="H742" s="71"/>
      <c r="I742" s="63" t="s">
        <v>3080</v>
      </c>
      <c r="J742" s="68" t="s">
        <v>3081</v>
      </c>
      <c r="K742" s="71"/>
      <c r="L742" s="71"/>
      <c r="M742" s="71"/>
      <c r="N742" s="61"/>
      <c r="O742" s="51"/>
    </row>
    <row r="743">
      <c r="A743" s="56">
        <v>740.0</v>
      </c>
      <c r="B743" s="63">
        <v>3950.0</v>
      </c>
      <c r="C743" s="64">
        <v>742.0</v>
      </c>
      <c r="D743" s="66"/>
      <c r="E743" s="63" t="s">
        <v>3082</v>
      </c>
      <c r="F743" s="70">
        <v>39942.0</v>
      </c>
      <c r="G743" s="63" t="s">
        <v>3083</v>
      </c>
      <c r="H743" s="66"/>
      <c r="I743" s="63" t="s">
        <v>3084</v>
      </c>
      <c r="J743" s="63" t="s">
        <v>1872</v>
      </c>
      <c r="K743" s="66"/>
      <c r="L743" s="66"/>
      <c r="M743" s="63" t="s">
        <v>530</v>
      </c>
      <c r="N743" s="61"/>
      <c r="O743" s="51"/>
    </row>
    <row r="744">
      <c r="A744" s="56">
        <v>741.0</v>
      </c>
      <c r="B744" s="68">
        <v>3951.0</v>
      </c>
      <c r="C744" s="69">
        <v>743.0</v>
      </c>
      <c r="D744" s="71"/>
      <c r="E744" s="68" t="s">
        <v>3085</v>
      </c>
      <c r="F744" s="76">
        <v>40652.0</v>
      </c>
      <c r="G744" s="68" t="s">
        <v>3086</v>
      </c>
      <c r="H744" s="71"/>
      <c r="I744" s="63" t="s">
        <v>3087</v>
      </c>
      <c r="J744" s="68" t="s">
        <v>3088</v>
      </c>
      <c r="K744" s="71"/>
      <c r="L744" s="71"/>
      <c r="M744" s="71"/>
      <c r="N744" s="61"/>
      <c r="O744" s="51"/>
    </row>
    <row r="745">
      <c r="A745" s="56">
        <v>742.0</v>
      </c>
      <c r="B745" s="68">
        <v>3952.0</v>
      </c>
      <c r="C745" s="69">
        <v>744.0</v>
      </c>
      <c r="D745" s="71"/>
      <c r="E745" s="68" t="s">
        <v>3089</v>
      </c>
      <c r="F745" s="76">
        <v>37433.0</v>
      </c>
      <c r="G745" s="68" t="s">
        <v>3090</v>
      </c>
      <c r="H745" s="71"/>
      <c r="I745" s="63" t="s">
        <v>3091</v>
      </c>
      <c r="J745" s="68" t="s">
        <v>3092</v>
      </c>
      <c r="K745" s="71"/>
      <c r="L745" s="71"/>
      <c r="M745" s="71"/>
      <c r="N745" s="61"/>
      <c r="O745" s="51"/>
    </row>
    <row r="746">
      <c r="A746" s="56">
        <v>743.0</v>
      </c>
      <c r="B746" s="68">
        <v>3953.0</v>
      </c>
      <c r="C746" s="69">
        <v>745.0</v>
      </c>
      <c r="D746" s="71"/>
      <c r="E746" s="68" t="s">
        <v>3093</v>
      </c>
      <c r="F746" s="76">
        <v>39991.0</v>
      </c>
      <c r="G746" s="68" t="s">
        <v>3094</v>
      </c>
      <c r="H746" s="71"/>
      <c r="I746" s="63" t="s">
        <v>3095</v>
      </c>
      <c r="J746" s="68" t="s">
        <v>841</v>
      </c>
      <c r="K746" s="71"/>
      <c r="L746" s="71"/>
      <c r="M746" s="71"/>
      <c r="N746" s="61"/>
      <c r="O746" s="51"/>
    </row>
    <row r="747">
      <c r="A747" s="56">
        <v>744.0</v>
      </c>
      <c r="B747" s="63">
        <v>3954.0</v>
      </c>
      <c r="C747" s="64">
        <v>746.0</v>
      </c>
      <c r="D747" s="66"/>
      <c r="E747" s="63" t="s">
        <v>3096</v>
      </c>
      <c r="F747" s="70">
        <v>39916.0</v>
      </c>
      <c r="G747" s="63" t="s">
        <v>3097</v>
      </c>
      <c r="H747" s="63" t="s">
        <v>3098</v>
      </c>
      <c r="I747" s="63" t="s">
        <v>3099</v>
      </c>
      <c r="J747" s="63" t="s">
        <v>1824</v>
      </c>
      <c r="K747" s="66"/>
      <c r="L747" s="66"/>
      <c r="M747" s="63" t="s">
        <v>282</v>
      </c>
      <c r="N747" s="61"/>
      <c r="O747" s="51"/>
    </row>
    <row r="748">
      <c r="A748" s="56">
        <v>745.0</v>
      </c>
      <c r="B748" s="68">
        <v>3955.0</v>
      </c>
      <c r="C748" s="69">
        <v>747.0</v>
      </c>
      <c r="D748" s="71"/>
      <c r="E748" s="68" t="s">
        <v>3100</v>
      </c>
      <c r="F748" s="83">
        <v>40465.0</v>
      </c>
      <c r="G748" s="68" t="s">
        <v>3101</v>
      </c>
      <c r="H748" s="71"/>
      <c r="I748" s="68" t="s">
        <v>3102</v>
      </c>
      <c r="J748" s="68" t="s">
        <v>3103</v>
      </c>
      <c r="K748" s="66"/>
      <c r="L748" s="66"/>
      <c r="M748" s="66"/>
      <c r="N748" s="61"/>
      <c r="O748" s="51"/>
    </row>
    <row r="749">
      <c r="A749" s="56">
        <v>746.0</v>
      </c>
      <c r="B749" s="63">
        <v>3956.0</v>
      </c>
      <c r="C749" s="64">
        <v>748.0</v>
      </c>
      <c r="D749" s="66"/>
      <c r="E749" s="63" t="s">
        <v>3104</v>
      </c>
      <c r="F749" s="70">
        <v>40288.0</v>
      </c>
      <c r="G749" s="63" t="s">
        <v>3105</v>
      </c>
      <c r="H749" s="66"/>
      <c r="I749" s="63" t="s">
        <v>3106</v>
      </c>
      <c r="J749" s="63" t="s">
        <v>2762</v>
      </c>
      <c r="K749" s="66"/>
      <c r="L749" s="66"/>
      <c r="M749" s="63" t="s">
        <v>941</v>
      </c>
      <c r="N749" s="61"/>
      <c r="O749" s="51"/>
    </row>
    <row r="750">
      <c r="A750" s="56">
        <v>747.0</v>
      </c>
      <c r="B750" s="68">
        <v>3957.0</v>
      </c>
      <c r="C750" s="69">
        <v>749.0</v>
      </c>
      <c r="D750" s="71"/>
      <c r="E750" s="68" t="s">
        <v>3107</v>
      </c>
      <c r="F750" s="83">
        <v>40175.0</v>
      </c>
      <c r="G750" s="68" t="s">
        <v>3108</v>
      </c>
      <c r="H750" s="71"/>
      <c r="I750" s="68" t="s">
        <v>3109</v>
      </c>
      <c r="J750" s="68" t="s">
        <v>3110</v>
      </c>
      <c r="K750" s="66"/>
      <c r="L750" s="66"/>
      <c r="M750" s="66"/>
      <c r="N750" s="61"/>
      <c r="O750" s="51"/>
    </row>
    <row r="751">
      <c r="A751" s="56">
        <v>748.0</v>
      </c>
      <c r="B751" s="68">
        <v>3958.0</v>
      </c>
      <c r="C751" s="69">
        <v>750.0</v>
      </c>
      <c r="D751" s="71"/>
      <c r="E751" s="68" t="s">
        <v>3111</v>
      </c>
      <c r="F751" s="76">
        <v>39512.0</v>
      </c>
      <c r="G751" s="68" t="s">
        <v>3112</v>
      </c>
      <c r="H751" s="71"/>
      <c r="I751" s="68" t="s">
        <v>3113</v>
      </c>
      <c r="J751" s="100" t="s">
        <v>3114</v>
      </c>
      <c r="K751" s="101"/>
      <c r="L751" s="71"/>
      <c r="M751" s="71"/>
      <c r="N751" s="77"/>
      <c r="O751" s="51"/>
    </row>
    <row r="752">
      <c r="A752" s="56">
        <v>749.0</v>
      </c>
      <c r="B752" s="63">
        <v>3959.0</v>
      </c>
      <c r="C752" s="64">
        <v>751.0</v>
      </c>
      <c r="D752" s="63" t="s">
        <v>3115</v>
      </c>
      <c r="E752" s="63" t="s">
        <v>3116</v>
      </c>
      <c r="F752" s="70">
        <v>40378.0</v>
      </c>
      <c r="G752" s="63" t="s">
        <v>3117</v>
      </c>
      <c r="H752" s="66"/>
      <c r="I752" s="63" t="s">
        <v>3118</v>
      </c>
      <c r="J752" s="63" t="s">
        <v>1495</v>
      </c>
      <c r="K752" s="66"/>
      <c r="L752" s="66"/>
      <c r="M752" s="63" t="s">
        <v>201</v>
      </c>
      <c r="N752" s="61"/>
      <c r="O752" s="51"/>
    </row>
    <row r="753">
      <c r="A753" s="56">
        <v>750.0</v>
      </c>
      <c r="B753" s="68">
        <v>3960.0</v>
      </c>
      <c r="C753" s="69">
        <v>752.0</v>
      </c>
      <c r="D753" s="68" t="s">
        <v>3119</v>
      </c>
      <c r="E753" s="68" t="s">
        <v>3120</v>
      </c>
      <c r="F753" s="76">
        <v>39887.0</v>
      </c>
      <c r="G753" s="68" t="s">
        <v>3121</v>
      </c>
      <c r="H753" s="71"/>
      <c r="I753" s="68" t="s">
        <v>3122</v>
      </c>
      <c r="J753" s="68" t="s">
        <v>3123</v>
      </c>
      <c r="K753" s="66"/>
      <c r="L753" s="66"/>
      <c r="M753" s="66"/>
      <c r="N753" s="61"/>
      <c r="O753" s="51"/>
    </row>
    <row r="754">
      <c r="A754" s="56">
        <v>751.0</v>
      </c>
      <c r="B754" s="63">
        <v>3961.0</v>
      </c>
      <c r="C754" s="64" t="s">
        <v>3124</v>
      </c>
      <c r="D754" s="66"/>
      <c r="E754" s="63" t="s">
        <v>3125</v>
      </c>
      <c r="F754" s="70">
        <v>40332.0</v>
      </c>
      <c r="G754" s="63" t="s">
        <v>3126</v>
      </c>
      <c r="H754" s="66"/>
      <c r="I754" s="63" t="s">
        <v>3127</v>
      </c>
      <c r="J754" s="63" t="s">
        <v>3128</v>
      </c>
      <c r="K754" s="66"/>
      <c r="L754" s="66"/>
      <c r="M754" s="63" t="s">
        <v>1182</v>
      </c>
      <c r="N754" s="61"/>
      <c r="O754" s="51"/>
    </row>
    <row r="755">
      <c r="A755" s="56">
        <v>752.0</v>
      </c>
      <c r="B755" s="68">
        <v>3962.0</v>
      </c>
      <c r="C755" s="69">
        <v>754.0</v>
      </c>
      <c r="D755" s="71"/>
      <c r="E755" s="68" t="s">
        <v>3129</v>
      </c>
      <c r="F755" s="76">
        <v>39845.0</v>
      </c>
      <c r="G755" s="68" t="s">
        <v>3130</v>
      </c>
      <c r="H755" s="71"/>
      <c r="I755" s="63" t="s">
        <v>3131</v>
      </c>
      <c r="J755" s="68" t="s">
        <v>3132</v>
      </c>
      <c r="K755" s="71"/>
      <c r="L755" s="71"/>
      <c r="M755" s="71"/>
      <c r="N755" s="61"/>
      <c r="O755" s="51"/>
    </row>
    <row r="756">
      <c r="A756" s="56">
        <v>753.0</v>
      </c>
      <c r="B756" s="63">
        <v>3963.0</v>
      </c>
      <c r="C756" s="64">
        <v>755.0</v>
      </c>
      <c r="D756" s="66"/>
      <c r="E756" s="63" t="s">
        <v>3133</v>
      </c>
      <c r="F756" s="70">
        <v>39846.0</v>
      </c>
      <c r="G756" s="63" t="s">
        <v>3134</v>
      </c>
      <c r="H756" s="66"/>
      <c r="I756" s="63" t="s">
        <v>3135</v>
      </c>
      <c r="J756" s="63" t="s">
        <v>2230</v>
      </c>
      <c r="K756" s="66"/>
      <c r="L756" s="66"/>
      <c r="M756" s="63" t="s">
        <v>1509</v>
      </c>
      <c r="N756" s="61"/>
      <c r="O756" s="51"/>
    </row>
    <row r="757">
      <c r="A757" s="56">
        <v>754.0</v>
      </c>
      <c r="B757" s="68">
        <v>3964.0</v>
      </c>
      <c r="C757" s="69">
        <v>756.0</v>
      </c>
      <c r="D757" s="71"/>
      <c r="E757" s="68" t="s">
        <v>3136</v>
      </c>
      <c r="F757" s="76">
        <v>40991.0</v>
      </c>
      <c r="G757" s="68" t="s">
        <v>3137</v>
      </c>
      <c r="H757" s="71"/>
      <c r="I757" s="63" t="s">
        <v>3138</v>
      </c>
      <c r="J757" s="68" t="s">
        <v>3139</v>
      </c>
      <c r="K757" s="68">
        <v>4.0</v>
      </c>
      <c r="L757" s="71"/>
      <c r="M757" s="71"/>
      <c r="N757" s="61"/>
      <c r="O757" s="51"/>
    </row>
    <row r="758">
      <c r="A758" s="56">
        <v>755.0</v>
      </c>
      <c r="B758" s="68">
        <v>3965.0</v>
      </c>
      <c r="C758" s="69">
        <v>757.0</v>
      </c>
      <c r="D758" s="71"/>
      <c r="E758" s="68" t="s">
        <v>3140</v>
      </c>
      <c r="F758" s="83">
        <v>40899.0</v>
      </c>
      <c r="G758" s="68" t="s">
        <v>3141</v>
      </c>
      <c r="H758" s="71"/>
      <c r="I758" s="63" t="s">
        <v>3142</v>
      </c>
      <c r="J758" s="68" t="s">
        <v>3143</v>
      </c>
      <c r="K758" s="71"/>
      <c r="L758" s="71"/>
      <c r="M758" s="71"/>
      <c r="N758" s="61"/>
      <c r="O758" s="51"/>
    </row>
    <row r="759">
      <c r="A759" s="56">
        <v>756.0</v>
      </c>
      <c r="B759" s="68">
        <v>3966.0</v>
      </c>
      <c r="C759" s="69">
        <v>758.0</v>
      </c>
      <c r="D759" s="71"/>
      <c r="E759" s="68" t="s">
        <v>3144</v>
      </c>
      <c r="F759" s="76">
        <v>40179.0</v>
      </c>
      <c r="G759" s="68" t="s">
        <v>3145</v>
      </c>
      <c r="H759" s="71"/>
      <c r="I759" s="68" t="s">
        <v>3146</v>
      </c>
      <c r="J759" s="68" t="s">
        <v>3147</v>
      </c>
      <c r="K759" s="71"/>
      <c r="L759" s="71"/>
      <c r="M759" s="80" t="s">
        <v>125</v>
      </c>
      <c r="N759" s="61"/>
      <c r="O759" s="51"/>
    </row>
    <row r="760">
      <c r="A760" s="56">
        <v>757.0</v>
      </c>
      <c r="B760" s="68">
        <v>3967.0</v>
      </c>
      <c r="C760" s="69">
        <v>759.0</v>
      </c>
      <c r="D760" s="71"/>
      <c r="E760" s="68" t="s">
        <v>3148</v>
      </c>
      <c r="F760" s="76">
        <v>39814.0</v>
      </c>
      <c r="G760" s="68" t="s">
        <v>3149</v>
      </c>
      <c r="H760" s="71"/>
      <c r="I760" s="68" t="s">
        <v>3150</v>
      </c>
      <c r="J760" s="68" t="s">
        <v>3151</v>
      </c>
      <c r="K760" s="66"/>
      <c r="L760" s="66"/>
      <c r="M760" s="66"/>
      <c r="N760" s="61"/>
      <c r="O760" s="51"/>
    </row>
    <row r="761">
      <c r="A761" s="56">
        <v>758.0</v>
      </c>
      <c r="B761" s="68">
        <v>3968.0</v>
      </c>
      <c r="C761" s="69">
        <v>760.0</v>
      </c>
      <c r="D761" s="71"/>
      <c r="E761" s="68" t="s">
        <v>3152</v>
      </c>
      <c r="F761" s="76">
        <v>39391.0</v>
      </c>
      <c r="G761" s="68" t="s">
        <v>3153</v>
      </c>
      <c r="H761" s="71"/>
      <c r="I761" s="63" t="s">
        <v>3154</v>
      </c>
      <c r="J761" s="68" t="s">
        <v>3155</v>
      </c>
      <c r="K761" s="71"/>
      <c r="L761" s="71"/>
      <c r="M761" s="71"/>
      <c r="N761" s="61"/>
      <c r="O761" s="51"/>
    </row>
    <row r="762">
      <c r="A762" s="56">
        <v>759.0</v>
      </c>
      <c r="B762" s="63">
        <v>3969.0</v>
      </c>
      <c r="C762" s="64">
        <v>761.0</v>
      </c>
      <c r="D762" s="66"/>
      <c r="E762" s="63" t="s">
        <v>3156</v>
      </c>
      <c r="F762" s="70">
        <v>39965.0</v>
      </c>
      <c r="G762" s="63" t="s">
        <v>3157</v>
      </c>
      <c r="H762" s="66"/>
      <c r="I762" s="63" t="s">
        <v>3158</v>
      </c>
      <c r="J762" s="63" t="s">
        <v>3159</v>
      </c>
      <c r="K762" s="66"/>
      <c r="L762" s="66"/>
      <c r="M762" s="63" t="s">
        <v>368</v>
      </c>
      <c r="N762" s="61"/>
      <c r="O762" s="51"/>
    </row>
    <row r="763">
      <c r="A763" s="56">
        <v>760.0</v>
      </c>
      <c r="B763" s="68">
        <v>3970.0</v>
      </c>
      <c r="C763" s="69">
        <v>762.0</v>
      </c>
      <c r="D763" s="71"/>
      <c r="E763" s="68" t="s">
        <v>3160</v>
      </c>
      <c r="F763" s="76">
        <v>40575.0</v>
      </c>
      <c r="G763" s="68" t="s">
        <v>3161</v>
      </c>
      <c r="H763" s="71"/>
      <c r="I763" s="63" t="s">
        <v>3162</v>
      </c>
      <c r="J763" s="68" t="s">
        <v>3163</v>
      </c>
      <c r="K763" s="71"/>
      <c r="L763" s="71"/>
      <c r="M763" s="71"/>
      <c r="N763" s="61"/>
      <c r="O763" s="51"/>
    </row>
    <row r="764">
      <c r="A764" s="56">
        <v>761.0</v>
      </c>
      <c r="B764" s="68">
        <v>3971.0</v>
      </c>
      <c r="C764" s="69">
        <v>763.0</v>
      </c>
      <c r="D764" s="68" t="s">
        <v>3164</v>
      </c>
      <c r="E764" s="68" t="s">
        <v>3165</v>
      </c>
      <c r="F764" s="76">
        <v>40793.0</v>
      </c>
      <c r="G764" s="68" t="s">
        <v>3166</v>
      </c>
      <c r="H764" s="71"/>
      <c r="I764" s="63" t="s">
        <v>635</v>
      </c>
      <c r="J764" s="68" t="s">
        <v>3167</v>
      </c>
      <c r="K764" s="71"/>
      <c r="L764" s="71"/>
      <c r="M764" s="71"/>
      <c r="N764" s="61"/>
      <c r="O764" s="51"/>
    </row>
    <row r="765">
      <c r="A765" s="56">
        <v>762.0</v>
      </c>
      <c r="B765" s="68">
        <v>3972.0</v>
      </c>
      <c r="C765" s="69">
        <v>764.0</v>
      </c>
      <c r="D765" s="71"/>
      <c r="E765" s="68" t="s">
        <v>3168</v>
      </c>
      <c r="F765" s="76">
        <v>41014.0</v>
      </c>
      <c r="G765" s="68" t="s">
        <v>3169</v>
      </c>
      <c r="H765" s="71"/>
      <c r="I765" s="63" t="s">
        <v>3170</v>
      </c>
      <c r="J765" s="68" t="s">
        <v>3171</v>
      </c>
      <c r="K765" s="71"/>
      <c r="L765" s="71"/>
      <c r="M765" s="71"/>
      <c r="N765" s="61"/>
      <c r="O765" s="51"/>
    </row>
    <row r="766">
      <c r="A766" s="56">
        <v>763.0</v>
      </c>
      <c r="B766" s="68">
        <v>3973.0</v>
      </c>
      <c r="C766" s="69">
        <v>765.0</v>
      </c>
      <c r="D766" s="71"/>
      <c r="E766" s="68" t="s">
        <v>3172</v>
      </c>
      <c r="F766" s="76">
        <v>40824.0</v>
      </c>
      <c r="G766" s="68" t="s">
        <v>3173</v>
      </c>
      <c r="H766" s="71"/>
      <c r="I766" s="99" t="s">
        <v>3174</v>
      </c>
      <c r="J766" s="68" t="s">
        <v>3175</v>
      </c>
      <c r="K766" s="71"/>
      <c r="L766" s="71"/>
      <c r="M766" s="71"/>
      <c r="N766" s="61"/>
      <c r="O766" s="51"/>
    </row>
    <row r="767">
      <c r="A767" s="56">
        <v>764.0</v>
      </c>
      <c r="B767" s="68">
        <v>3974.0</v>
      </c>
      <c r="C767" s="69">
        <v>766.0</v>
      </c>
      <c r="D767" s="71"/>
      <c r="E767" s="68" t="s">
        <v>3176</v>
      </c>
      <c r="F767" s="76">
        <v>40824.0</v>
      </c>
      <c r="G767" s="68" t="s">
        <v>3173</v>
      </c>
      <c r="H767" s="71"/>
      <c r="I767" s="99" t="s">
        <v>3174</v>
      </c>
      <c r="J767" s="68" t="s">
        <v>3177</v>
      </c>
      <c r="K767" s="71"/>
      <c r="L767" s="71"/>
      <c r="M767" s="71"/>
      <c r="N767" s="61"/>
      <c r="O767" s="51"/>
    </row>
    <row r="768">
      <c r="A768" s="56">
        <v>765.0</v>
      </c>
      <c r="B768" s="63">
        <v>3975.0</v>
      </c>
      <c r="C768" s="64">
        <v>767.0</v>
      </c>
      <c r="D768" s="66"/>
      <c r="E768" s="63" t="s">
        <v>3178</v>
      </c>
      <c r="F768" s="70">
        <v>40195.0</v>
      </c>
      <c r="G768" s="63" t="s">
        <v>3179</v>
      </c>
      <c r="H768" s="66"/>
      <c r="I768" s="63" t="s">
        <v>3180</v>
      </c>
      <c r="J768" s="63" t="s">
        <v>136</v>
      </c>
      <c r="K768" s="66"/>
      <c r="L768" s="66"/>
      <c r="M768" s="63" t="s">
        <v>2989</v>
      </c>
      <c r="N768" s="61"/>
      <c r="O768" s="51"/>
    </row>
    <row r="769">
      <c r="A769" s="56">
        <v>766.0</v>
      </c>
      <c r="B769" s="63">
        <v>3976.0</v>
      </c>
      <c r="C769" s="64">
        <v>768.0</v>
      </c>
      <c r="D769" s="66"/>
      <c r="E769" s="63" t="s">
        <v>3181</v>
      </c>
      <c r="F769" s="70">
        <v>40046.0</v>
      </c>
      <c r="G769" s="63" t="s">
        <v>3182</v>
      </c>
      <c r="H769" s="80" t="s">
        <v>3183</v>
      </c>
      <c r="I769" s="63" t="s">
        <v>3184</v>
      </c>
      <c r="J769" s="63" t="s">
        <v>2836</v>
      </c>
      <c r="K769" s="66"/>
      <c r="L769" s="66"/>
      <c r="M769" s="63" t="s">
        <v>2152</v>
      </c>
      <c r="N769" s="61"/>
      <c r="O769" s="51"/>
    </row>
    <row r="770">
      <c r="A770" s="56">
        <v>767.0</v>
      </c>
      <c r="B770" s="68">
        <v>3977.0</v>
      </c>
      <c r="C770" s="69">
        <v>769.0</v>
      </c>
      <c r="D770" s="71"/>
      <c r="E770" s="68" t="s">
        <v>3185</v>
      </c>
      <c r="F770" s="76">
        <v>40334.0</v>
      </c>
      <c r="G770" s="68" t="s">
        <v>3186</v>
      </c>
      <c r="H770" s="71"/>
      <c r="I770" s="66"/>
      <c r="J770" s="68" t="s">
        <v>3187</v>
      </c>
      <c r="K770" s="71"/>
      <c r="L770" s="71"/>
      <c r="M770" s="71"/>
      <c r="N770" s="61"/>
      <c r="O770" s="51"/>
    </row>
    <row r="771">
      <c r="A771" s="56">
        <v>768.0</v>
      </c>
      <c r="B771" s="63">
        <v>3978.0</v>
      </c>
      <c r="C771" s="64" t="s">
        <v>3188</v>
      </c>
      <c r="D771" s="66"/>
      <c r="E771" s="63" t="s">
        <v>3189</v>
      </c>
      <c r="F771" s="70">
        <v>40046.0</v>
      </c>
      <c r="G771" s="63" t="s">
        <v>3190</v>
      </c>
      <c r="H771" s="63" t="s">
        <v>439</v>
      </c>
      <c r="I771" s="63" t="s">
        <v>3191</v>
      </c>
      <c r="J771" s="63" t="s">
        <v>2836</v>
      </c>
      <c r="K771" s="66"/>
      <c r="L771" s="66"/>
      <c r="M771" s="63" t="s">
        <v>2152</v>
      </c>
      <c r="N771" s="61"/>
      <c r="O771" s="51"/>
    </row>
    <row r="772">
      <c r="A772" s="56">
        <v>769.0</v>
      </c>
      <c r="B772" s="68">
        <v>3979.0</v>
      </c>
      <c r="C772" s="69" t="s">
        <v>3192</v>
      </c>
      <c r="D772" s="71"/>
      <c r="E772" s="68" t="s">
        <v>3193</v>
      </c>
      <c r="F772" s="76">
        <v>40854.0</v>
      </c>
      <c r="G772" s="68" t="s">
        <v>3194</v>
      </c>
      <c r="H772" s="71"/>
      <c r="I772" s="63" t="s">
        <v>3195</v>
      </c>
      <c r="J772" s="68" t="s">
        <v>3196</v>
      </c>
      <c r="K772" s="71"/>
      <c r="L772" s="71"/>
      <c r="M772" s="71"/>
      <c r="N772" s="61"/>
      <c r="O772" s="51"/>
    </row>
    <row r="773">
      <c r="A773" s="56">
        <v>770.0</v>
      </c>
      <c r="B773" s="68">
        <v>3980.0</v>
      </c>
      <c r="C773" s="69">
        <v>772.0</v>
      </c>
      <c r="D773" s="71"/>
      <c r="E773" s="68" t="s">
        <v>3197</v>
      </c>
      <c r="F773" s="76">
        <v>38526.0</v>
      </c>
      <c r="G773" s="68" t="s">
        <v>3198</v>
      </c>
      <c r="H773" s="71"/>
      <c r="I773" s="63" t="s">
        <v>3199</v>
      </c>
      <c r="J773" s="68" t="s">
        <v>3200</v>
      </c>
      <c r="K773" s="71"/>
      <c r="L773" s="71"/>
      <c r="M773" s="71"/>
      <c r="N773" s="61"/>
      <c r="O773" s="51"/>
    </row>
    <row r="774">
      <c r="A774" s="56">
        <v>771.0</v>
      </c>
      <c r="B774" s="68">
        <v>3981.0</v>
      </c>
      <c r="C774" s="69">
        <v>773.0</v>
      </c>
      <c r="D774" s="71"/>
      <c r="E774" s="68" t="s">
        <v>3201</v>
      </c>
      <c r="F774" s="83">
        <v>40838.0</v>
      </c>
      <c r="G774" s="68" t="s">
        <v>3202</v>
      </c>
      <c r="H774" s="71"/>
      <c r="I774" s="114" t="s">
        <v>3203</v>
      </c>
      <c r="J774" s="68" t="s">
        <v>2955</v>
      </c>
      <c r="K774" s="66"/>
      <c r="L774" s="66"/>
      <c r="M774" s="66"/>
      <c r="N774" s="61"/>
      <c r="O774" s="51"/>
    </row>
    <row r="775">
      <c r="A775" s="56">
        <v>772.0</v>
      </c>
      <c r="B775" s="68">
        <v>3982.0</v>
      </c>
      <c r="C775" s="69">
        <v>774.0</v>
      </c>
      <c r="D775" s="71"/>
      <c r="E775" s="68" t="s">
        <v>3204</v>
      </c>
      <c r="F775" s="83">
        <v>40838.0</v>
      </c>
      <c r="G775" s="68" t="s">
        <v>3202</v>
      </c>
      <c r="H775" s="71"/>
      <c r="I775" s="114" t="s">
        <v>3203</v>
      </c>
      <c r="J775" s="68" t="s">
        <v>2955</v>
      </c>
      <c r="K775" s="66"/>
      <c r="L775" s="66"/>
      <c r="M775" s="66"/>
      <c r="N775" s="61"/>
      <c r="O775" s="51"/>
    </row>
    <row r="776">
      <c r="A776" s="56">
        <v>773.0</v>
      </c>
      <c r="B776" s="68">
        <v>3983.0</v>
      </c>
      <c r="C776" s="69">
        <v>775.0</v>
      </c>
      <c r="D776" s="71"/>
      <c r="E776" s="68" t="s">
        <v>3205</v>
      </c>
      <c r="F776" s="76">
        <v>40360.0</v>
      </c>
      <c r="G776" s="68" t="s">
        <v>3202</v>
      </c>
      <c r="H776" s="71"/>
      <c r="I776" s="99" t="s">
        <v>3206</v>
      </c>
      <c r="J776" s="68" t="s">
        <v>3207</v>
      </c>
      <c r="K776" s="71"/>
      <c r="L776" s="71"/>
      <c r="M776" s="71"/>
      <c r="N776" s="61"/>
      <c r="O776" s="51"/>
    </row>
    <row r="777">
      <c r="A777" s="56">
        <v>774.0</v>
      </c>
      <c r="B777" s="63">
        <v>3984.0</v>
      </c>
      <c r="C777" s="64">
        <v>776.0</v>
      </c>
      <c r="D777" s="66"/>
      <c r="E777" s="63" t="s">
        <v>3208</v>
      </c>
      <c r="F777" s="70">
        <v>40273.0</v>
      </c>
      <c r="G777" s="63" t="s">
        <v>3209</v>
      </c>
      <c r="H777" s="66"/>
      <c r="I777" s="99" t="s">
        <v>3210</v>
      </c>
      <c r="J777" s="63" t="s">
        <v>3211</v>
      </c>
      <c r="K777" s="66"/>
      <c r="L777" s="66"/>
      <c r="M777" s="66"/>
      <c r="N777" s="61"/>
      <c r="O777" s="51"/>
    </row>
    <row r="778">
      <c r="A778" s="56">
        <v>775.0</v>
      </c>
      <c r="B778" s="63">
        <v>3985.0</v>
      </c>
      <c r="C778" s="64">
        <v>777.0</v>
      </c>
      <c r="D778" s="66"/>
      <c r="E778" s="63" t="s">
        <v>3212</v>
      </c>
      <c r="F778" s="70">
        <v>40273.0</v>
      </c>
      <c r="G778" s="63" t="s">
        <v>3209</v>
      </c>
      <c r="H778" s="66"/>
      <c r="I778" s="99" t="s">
        <v>3210</v>
      </c>
      <c r="J778" s="63" t="s">
        <v>3211</v>
      </c>
      <c r="K778" s="66"/>
      <c r="L778" s="66"/>
      <c r="M778" s="66"/>
      <c r="N778" s="61"/>
      <c r="O778" s="51"/>
    </row>
    <row r="779">
      <c r="A779" s="56">
        <v>776.0</v>
      </c>
      <c r="B779" s="57">
        <v>3986.0</v>
      </c>
      <c r="C779" s="58">
        <v>778.0</v>
      </c>
      <c r="D779" s="60"/>
      <c r="E779" s="57" t="s">
        <v>3213</v>
      </c>
      <c r="F779" s="59">
        <v>40680.0</v>
      </c>
      <c r="G779" s="57" t="s">
        <v>3214</v>
      </c>
      <c r="H779" s="60"/>
      <c r="I779" s="63" t="s">
        <v>3215</v>
      </c>
      <c r="J779" s="57" t="s">
        <v>252</v>
      </c>
      <c r="K779" s="60"/>
      <c r="L779" s="60"/>
      <c r="M779" s="60"/>
      <c r="N779" s="61"/>
      <c r="O779" s="51"/>
    </row>
    <row r="780">
      <c r="A780" s="75">
        <v>777.0</v>
      </c>
      <c r="B780" s="68">
        <v>3987.0</v>
      </c>
      <c r="C780" s="69">
        <v>779.0</v>
      </c>
      <c r="D780" s="71"/>
      <c r="E780" s="68" t="s">
        <v>3216</v>
      </c>
      <c r="F780" s="83">
        <v>40166.0</v>
      </c>
      <c r="G780" s="68" t="s">
        <v>3217</v>
      </c>
      <c r="H780" s="71"/>
      <c r="I780" s="68" t="s">
        <v>3218</v>
      </c>
      <c r="J780" s="68" t="s">
        <v>1392</v>
      </c>
      <c r="K780" s="71"/>
      <c r="L780" s="71"/>
      <c r="M780" s="68" t="s">
        <v>1393</v>
      </c>
      <c r="N780" s="77"/>
      <c r="O780" s="51"/>
    </row>
    <row r="781">
      <c r="A781" s="56">
        <v>778.0</v>
      </c>
      <c r="B781" s="68">
        <v>3988.0</v>
      </c>
      <c r="C781" s="69">
        <v>780.0</v>
      </c>
      <c r="D781" s="71"/>
      <c r="E781" s="68" t="s">
        <v>3219</v>
      </c>
      <c r="F781" s="76">
        <v>40353.0</v>
      </c>
      <c r="G781" s="68" t="s">
        <v>3220</v>
      </c>
      <c r="H781" s="71"/>
      <c r="I781" s="66"/>
      <c r="J781" s="68" t="s">
        <v>3221</v>
      </c>
      <c r="K781" s="71"/>
      <c r="L781" s="71"/>
      <c r="M781" s="71"/>
      <c r="N781" s="61"/>
      <c r="O781" s="51"/>
    </row>
    <row r="782">
      <c r="A782" s="56">
        <v>779.0</v>
      </c>
      <c r="B782" s="63">
        <v>3989.0</v>
      </c>
      <c r="C782" s="64">
        <v>781.0</v>
      </c>
      <c r="D782" s="66"/>
      <c r="E782" s="63" t="s">
        <v>3222</v>
      </c>
      <c r="F782" s="70">
        <v>39969.0</v>
      </c>
      <c r="G782" s="80" t="s">
        <v>2025</v>
      </c>
      <c r="H782" s="82"/>
      <c r="I782" s="63" t="s">
        <v>3223</v>
      </c>
      <c r="J782" s="63" t="s">
        <v>2831</v>
      </c>
      <c r="K782" s="66"/>
      <c r="L782" s="66"/>
      <c r="M782" s="63" t="s">
        <v>530</v>
      </c>
      <c r="N782" s="61"/>
      <c r="O782" s="51"/>
    </row>
    <row r="783">
      <c r="A783" s="56">
        <v>780.0</v>
      </c>
      <c r="B783" s="68">
        <v>3990.0</v>
      </c>
      <c r="C783" s="69">
        <v>782.0</v>
      </c>
      <c r="D783" s="71"/>
      <c r="E783" s="68" t="s">
        <v>3224</v>
      </c>
      <c r="F783" s="76">
        <v>40552.0</v>
      </c>
      <c r="G783" s="68" t="s">
        <v>3225</v>
      </c>
      <c r="H783" s="71"/>
      <c r="I783" s="63" t="s">
        <v>3226</v>
      </c>
      <c r="J783" s="68" t="s">
        <v>3227</v>
      </c>
      <c r="K783" s="71"/>
      <c r="L783" s="71"/>
      <c r="M783" s="71"/>
      <c r="N783" s="61"/>
      <c r="O783" s="51"/>
    </row>
    <row r="784">
      <c r="A784" s="56">
        <v>781.0</v>
      </c>
      <c r="B784" s="68">
        <v>3991.0</v>
      </c>
      <c r="C784" s="69">
        <v>783.0</v>
      </c>
      <c r="D784" s="71"/>
      <c r="E784" s="68" t="s">
        <v>3228</v>
      </c>
      <c r="F784" s="76">
        <v>40260.0</v>
      </c>
      <c r="G784" s="68" t="s">
        <v>3229</v>
      </c>
      <c r="H784" s="71"/>
      <c r="I784" s="68" t="s">
        <v>635</v>
      </c>
      <c r="J784" s="100" t="s">
        <v>3230</v>
      </c>
      <c r="K784" s="101"/>
      <c r="L784" s="71"/>
      <c r="M784" s="71"/>
      <c r="N784" s="77"/>
      <c r="O784" s="51"/>
    </row>
    <row r="785">
      <c r="A785" s="56">
        <v>782.0</v>
      </c>
      <c r="B785" s="68">
        <v>3992.0</v>
      </c>
      <c r="C785" s="69">
        <v>784.0</v>
      </c>
      <c r="D785" s="71"/>
      <c r="E785" s="68" t="s">
        <v>3231</v>
      </c>
      <c r="F785" s="76">
        <v>40220.0</v>
      </c>
      <c r="G785" s="68" t="s">
        <v>3232</v>
      </c>
      <c r="H785" s="71"/>
      <c r="I785" s="63" t="s">
        <v>3233</v>
      </c>
      <c r="J785" s="68" t="s">
        <v>2774</v>
      </c>
      <c r="K785" s="71"/>
      <c r="L785" s="71"/>
      <c r="M785" s="104"/>
      <c r="N785" s="105"/>
      <c r="O785" s="51"/>
    </row>
    <row r="786">
      <c r="A786" s="56">
        <v>783.0</v>
      </c>
      <c r="B786" s="68">
        <v>3993.0</v>
      </c>
      <c r="C786" s="69">
        <v>785.0</v>
      </c>
      <c r="D786" s="71"/>
      <c r="E786" s="68" t="s">
        <v>3234</v>
      </c>
      <c r="F786" s="76">
        <v>40926.0</v>
      </c>
      <c r="G786" s="68" t="s">
        <v>3235</v>
      </c>
      <c r="H786" s="71"/>
      <c r="I786" s="63" t="s">
        <v>3236</v>
      </c>
      <c r="J786" s="68" t="s">
        <v>3237</v>
      </c>
      <c r="K786" s="71"/>
      <c r="L786" s="71"/>
      <c r="M786" s="128" t="s">
        <v>542</v>
      </c>
      <c r="N786" s="61"/>
      <c r="O786" s="51"/>
    </row>
    <row r="787">
      <c r="A787" s="56">
        <v>784.0</v>
      </c>
      <c r="B787" s="68">
        <v>3994.0</v>
      </c>
      <c r="C787" s="69">
        <v>786.0</v>
      </c>
      <c r="D787" s="68" t="s">
        <v>3238</v>
      </c>
      <c r="E787" s="68" t="s">
        <v>3239</v>
      </c>
      <c r="F787" s="76">
        <v>41060.0</v>
      </c>
      <c r="G787" s="68" t="s">
        <v>3240</v>
      </c>
      <c r="H787" s="71"/>
      <c r="I787" s="63" t="s">
        <v>3241</v>
      </c>
      <c r="J787" s="68" t="s">
        <v>3242</v>
      </c>
      <c r="K787" s="71"/>
      <c r="L787" s="71"/>
      <c r="M787" s="71"/>
      <c r="N787" s="61"/>
      <c r="O787" s="51"/>
    </row>
    <row r="788">
      <c r="A788" s="56">
        <v>785.0</v>
      </c>
      <c r="B788" s="68">
        <v>3995.0</v>
      </c>
      <c r="C788" s="69">
        <v>787.0</v>
      </c>
      <c r="D788" s="71"/>
      <c r="E788" s="68" t="s">
        <v>2798</v>
      </c>
      <c r="F788" s="76">
        <v>39995.0</v>
      </c>
      <c r="G788" s="68" t="s">
        <v>3243</v>
      </c>
      <c r="H788" s="71"/>
      <c r="I788" s="71"/>
      <c r="J788" s="68" t="s">
        <v>3244</v>
      </c>
      <c r="K788" s="66"/>
      <c r="L788" s="66"/>
      <c r="M788" s="66"/>
      <c r="N788" s="61"/>
      <c r="O788" s="51"/>
    </row>
    <row r="789">
      <c r="A789" s="56">
        <v>786.0</v>
      </c>
      <c r="B789" s="63">
        <v>3996.0</v>
      </c>
      <c r="C789" s="64">
        <v>788.0</v>
      </c>
      <c r="D789" s="63" t="s">
        <v>3245</v>
      </c>
      <c r="E789" s="63" t="s">
        <v>3246</v>
      </c>
      <c r="F789" s="70">
        <v>40603.0</v>
      </c>
      <c r="G789" s="80" t="s">
        <v>3247</v>
      </c>
      <c r="H789" s="82"/>
      <c r="I789" s="63" t="s">
        <v>3248</v>
      </c>
      <c r="J789" s="63" t="s">
        <v>3249</v>
      </c>
      <c r="K789" s="66"/>
      <c r="L789" s="66"/>
      <c r="M789" s="63" t="s">
        <v>149</v>
      </c>
      <c r="N789" s="61"/>
      <c r="O789" s="51"/>
    </row>
    <row r="790">
      <c r="A790" s="56">
        <v>787.0</v>
      </c>
      <c r="B790" s="68">
        <v>3997.0</v>
      </c>
      <c r="C790" s="69">
        <v>789.0</v>
      </c>
      <c r="D790" s="71"/>
      <c r="E790" s="68" t="s">
        <v>3250</v>
      </c>
      <c r="F790" s="76">
        <v>41068.0</v>
      </c>
      <c r="G790" s="68" t="s">
        <v>3251</v>
      </c>
      <c r="H790" s="71"/>
      <c r="I790" s="63" t="s">
        <v>3252</v>
      </c>
      <c r="J790" s="68" t="s">
        <v>3253</v>
      </c>
      <c r="K790" s="71"/>
      <c r="L790" s="71"/>
      <c r="M790" s="71"/>
      <c r="N790" s="61"/>
      <c r="O790" s="51"/>
    </row>
    <row r="791">
      <c r="A791" s="56">
        <v>788.0</v>
      </c>
      <c r="B791" s="68">
        <v>3998.0</v>
      </c>
      <c r="C791" s="69">
        <v>790.0</v>
      </c>
      <c r="D791" s="68" t="s">
        <v>3254</v>
      </c>
      <c r="E791" s="68" t="s">
        <v>3255</v>
      </c>
      <c r="F791" s="76">
        <v>40180.0</v>
      </c>
      <c r="G791" s="68" t="s">
        <v>3256</v>
      </c>
      <c r="H791" s="71"/>
      <c r="I791" s="63" t="s">
        <v>635</v>
      </c>
      <c r="J791" s="68" t="s">
        <v>841</v>
      </c>
      <c r="K791" s="71"/>
      <c r="L791" s="71"/>
      <c r="M791" s="104"/>
      <c r="N791" s="105"/>
      <c r="O791" s="51"/>
    </row>
    <row r="792">
      <c r="A792" s="56">
        <v>789.0</v>
      </c>
      <c r="B792" s="68">
        <v>3999.0</v>
      </c>
      <c r="C792" s="69">
        <v>791.0</v>
      </c>
      <c r="D792" s="71"/>
      <c r="E792" s="68" t="s">
        <v>3257</v>
      </c>
      <c r="F792" s="76">
        <v>40720.0</v>
      </c>
      <c r="G792" s="68" t="s">
        <v>3258</v>
      </c>
      <c r="H792" s="71"/>
      <c r="I792" s="63" t="s">
        <v>3259</v>
      </c>
      <c r="J792" s="68" t="s">
        <v>124</v>
      </c>
      <c r="K792" s="71"/>
      <c r="L792" s="71"/>
      <c r="M792" s="111"/>
      <c r="N792" s="61"/>
      <c r="O792" s="51"/>
    </row>
    <row r="793">
      <c r="A793" s="56">
        <v>790.0</v>
      </c>
      <c r="B793" s="68">
        <v>4000.0</v>
      </c>
      <c r="C793" s="69">
        <v>792.0</v>
      </c>
      <c r="D793" s="71"/>
      <c r="E793" s="68" t="s">
        <v>3260</v>
      </c>
      <c r="F793" s="76">
        <v>41017.0</v>
      </c>
      <c r="G793" s="68" t="s">
        <v>3261</v>
      </c>
      <c r="H793" s="71"/>
      <c r="I793" s="63" t="s">
        <v>3262</v>
      </c>
      <c r="J793" s="68" t="s">
        <v>3263</v>
      </c>
      <c r="K793" s="71"/>
      <c r="L793" s="71"/>
      <c r="M793" s="71"/>
      <c r="N793" s="61"/>
      <c r="O793" s="51"/>
    </row>
    <row r="794">
      <c r="A794" s="56">
        <v>791.0</v>
      </c>
      <c r="B794" s="68">
        <v>4001.0</v>
      </c>
      <c r="C794" s="69">
        <v>793.0</v>
      </c>
      <c r="D794" s="71"/>
      <c r="E794" s="68" t="s">
        <v>3264</v>
      </c>
      <c r="F794" s="83">
        <v>40527.0</v>
      </c>
      <c r="G794" s="68" t="s">
        <v>3265</v>
      </c>
      <c r="H794" s="71"/>
      <c r="I794" s="63" t="s">
        <v>3266</v>
      </c>
      <c r="J794" s="68" t="s">
        <v>3267</v>
      </c>
      <c r="K794" s="71"/>
      <c r="L794" s="71"/>
      <c r="M794" s="71"/>
      <c r="N794" s="61"/>
      <c r="O794" s="51"/>
    </row>
    <row r="795">
      <c r="A795" s="56">
        <v>792.0</v>
      </c>
      <c r="B795" s="68">
        <v>4002.0</v>
      </c>
      <c r="C795" s="69">
        <v>794.0</v>
      </c>
      <c r="D795" s="71"/>
      <c r="E795" s="68" t="s">
        <v>3268</v>
      </c>
      <c r="F795" s="76">
        <v>41037.0</v>
      </c>
      <c r="G795" s="68" t="s">
        <v>3269</v>
      </c>
      <c r="H795" s="71"/>
      <c r="I795" s="63" t="s">
        <v>3270</v>
      </c>
      <c r="J795" s="68" t="s">
        <v>1481</v>
      </c>
      <c r="K795" s="71"/>
      <c r="L795" s="71"/>
      <c r="M795" s="71"/>
      <c r="N795" s="61"/>
      <c r="O795" s="51"/>
    </row>
    <row r="796">
      <c r="A796" s="56">
        <v>793.0</v>
      </c>
      <c r="B796" s="68">
        <v>4003.0</v>
      </c>
      <c r="C796" s="69">
        <v>795.0</v>
      </c>
      <c r="D796" s="71"/>
      <c r="E796" s="68" t="s">
        <v>3271</v>
      </c>
      <c r="F796" s="76">
        <v>40091.0</v>
      </c>
      <c r="G796" s="68" t="s">
        <v>3272</v>
      </c>
      <c r="H796" s="71"/>
      <c r="I796" s="68" t="s">
        <v>3273</v>
      </c>
      <c r="J796" s="68" t="s">
        <v>3274</v>
      </c>
      <c r="K796" s="66"/>
      <c r="L796" s="66"/>
      <c r="M796" s="66"/>
      <c r="N796" s="61"/>
      <c r="O796" s="51"/>
    </row>
    <row r="797">
      <c r="A797" s="56">
        <v>794.0</v>
      </c>
      <c r="B797" s="68">
        <v>4004.0</v>
      </c>
      <c r="C797" s="69">
        <v>796.0</v>
      </c>
      <c r="D797" s="68" t="s">
        <v>3275</v>
      </c>
      <c r="E797" s="68" t="s">
        <v>3276</v>
      </c>
      <c r="F797" s="83">
        <v>40889.0</v>
      </c>
      <c r="G797" s="68" t="s">
        <v>3277</v>
      </c>
      <c r="H797" s="71"/>
      <c r="I797" s="63" t="s">
        <v>3278</v>
      </c>
      <c r="J797" s="68" t="s">
        <v>3279</v>
      </c>
      <c r="K797" s="71"/>
      <c r="L797" s="71"/>
      <c r="M797" s="71"/>
      <c r="N797" s="61"/>
      <c r="O797" s="51"/>
    </row>
    <row r="798">
      <c r="A798" s="56">
        <v>795.0</v>
      </c>
      <c r="B798" s="68">
        <v>4005.0</v>
      </c>
      <c r="C798" s="69">
        <v>797.0</v>
      </c>
      <c r="D798" s="71"/>
      <c r="E798" s="68" t="s">
        <v>3280</v>
      </c>
      <c r="F798" s="76">
        <v>41011.0</v>
      </c>
      <c r="G798" s="68" t="s">
        <v>3281</v>
      </c>
      <c r="H798" s="71"/>
      <c r="I798" s="63" t="s">
        <v>3282</v>
      </c>
      <c r="J798" s="68" t="s">
        <v>3283</v>
      </c>
      <c r="K798" s="71"/>
      <c r="L798" s="71"/>
      <c r="M798" s="71"/>
      <c r="N798" s="61"/>
      <c r="O798" s="51"/>
    </row>
    <row r="799">
      <c r="A799" s="56">
        <v>796.0</v>
      </c>
      <c r="B799" s="68">
        <v>4006.0</v>
      </c>
      <c r="C799" s="69">
        <v>798.0</v>
      </c>
      <c r="D799" s="71"/>
      <c r="E799" s="68" t="s">
        <v>3284</v>
      </c>
      <c r="F799" s="83">
        <v>40134.0</v>
      </c>
      <c r="G799" s="68" t="s">
        <v>3285</v>
      </c>
      <c r="H799" s="71"/>
      <c r="I799" s="63" t="s">
        <v>3286</v>
      </c>
      <c r="J799" s="68" t="s">
        <v>3287</v>
      </c>
      <c r="K799" s="71"/>
      <c r="L799" s="71"/>
      <c r="M799" s="71"/>
      <c r="N799" s="61"/>
      <c r="O799" s="51"/>
    </row>
    <row r="800">
      <c r="A800" s="56">
        <v>797.0</v>
      </c>
      <c r="B800" s="63">
        <v>4007.0</v>
      </c>
      <c r="C800" s="64">
        <v>799.0</v>
      </c>
      <c r="D800" s="66"/>
      <c r="E800" s="63" t="s">
        <v>3288</v>
      </c>
      <c r="F800" s="70">
        <v>39923.0</v>
      </c>
      <c r="G800" s="63" t="s">
        <v>3285</v>
      </c>
      <c r="H800" s="66"/>
      <c r="I800" s="63" t="s">
        <v>3289</v>
      </c>
      <c r="J800" s="63" t="s">
        <v>1605</v>
      </c>
      <c r="K800" s="66"/>
      <c r="L800" s="66"/>
      <c r="M800" s="63" t="s">
        <v>125</v>
      </c>
      <c r="N800" s="61"/>
      <c r="O800" s="51"/>
    </row>
    <row r="801">
      <c r="A801" s="56">
        <v>798.0</v>
      </c>
      <c r="B801" s="68">
        <v>4008.0</v>
      </c>
      <c r="C801" s="69">
        <v>800.0</v>
      </c>
      <c r="D801" s="71"/>
      <c r="E801" s="68" t="s">
        <v>3290</v>
      </c>
      <c r="F801" s="76">
        <v>40292.0</v>
      </c>
      <c r="G801" s="68" t="s">
        <v>3291</v>
      </c>
      <c r="H801" s="71"/>
      <c r="I801" s="63" t="s">
        <v>635</v>
      </c>
      <c r="J801" s="68" t="s">
        <v>3292</v>
      </c>
      <c r="K801" s="71"/>
      <c r="L801" s="71"/>
      <c r="M801" s="71"/>
      <c r="N801" s="61"/>
      <c r="O801" s="51"/>
    </row>
    <row r="802">
      <c r="A802" s="56">
        <v>799.0</v>
      </c>
      <c r="B802" s="68">
        <v>4009.0</v>
      </c>
      <c r="C802" s="69">
        <v>801.0</v>
      </c>
      <c r="D802" s="68" t="s">
        <v>3293</v>
      </c>
      <c r="E802" s="68" t="s">
        <v>3294</v>
      </c>
      <c r="F802" s="76">
        <v>40292.0</v>
      </c>
      <c r="G802" s="68" t="s">
        <v>3295</v>
      </c>
      <c r="H802" s="71"/>
      <c r="I802" s="63" t="s">
        <v>635</v>
      </c>
      <c r="J802" s="68" t="s">
        <v>3296</v>
      </c>
      <c r="K802" s="71"/>
      <c r="L802" s="71"/>
      <c r="M802" s="71"/>
      <c r="N802" s="61"/>
      <c r="O802" s="51"/>
    </row>
    <row r="803">
      <c r="A803" s="56">
        <v>800.0</v>
      </c>
      <c r="B803" s="63">
        <v>4010.0</v>
      </c>
      <c r="C803" s="64">
        <v>802.0</v>
      </c>
      <c r="D803" s="66"/>
      <c r="E803" s="63" t="s">
        <v>3297</v>
      </c>
      <c r="F803" s="70">
        <v>41014.0</v>
      </c>
      <c r="G803" s="80" t="s">
        <v>3298</v>
      </c>
      <c r="H803" s="82"/>
      <c r="I803" s="63" t="s">
        <v>3299</v>
      </c>
      <c r="J803" s="63" t="s">
        <v>136</v>
      </c>
      <c r="K803" s="66"/>
      <c r="L803" s="66"/>
      <c r="M803" s="66"/>
      <c r="N803" s="61"/>
      <c r="O803" s="51"/>
    </row>
    <row r="804">
      <c r="A804" s="75">
        <v>801.0</v>
      </c>
      <c r="B804" s="68">
        <v>4011.0</v>
      </c>
      <c r="C804" s="69" t="s">
        <v>3300</v>
      </c>
      <c r="D804" s="71"/>
      <c r="E804" s="68" t="s">
        <v>3301</v>
      </c>
      <c r="F804" s="76">
        <v>40241.0</v>
      </c>
      <c r="G804" s="68" t="s">
        <v>3302</v>
      </c>
      <c r="H804" s="71"/>
      <c r="I804" s="68" t="s">
        <v>3303</v>
      </c>
      <c r="J804" s="68" t="s">
        <v>1392</v>
      </c>
      <c r="K804" s="71"/>
      <c r="L804" s="68" t="s">
        <v>1496</v>
      </c>
      <c r="M804" s="68" t="s">
        <v>1393</v>
      </c>
      <c r="N804" s="61"/>
      <c r="O804" s="51"/>
    </row>
    <row r="805">
      <c r="A805" s="56">
        <v>802.0</v>
      </c>
      <c r="B805" s="63">
        <v>4012.0</v>
      </c>
      <c r="C805" s="64">
        <v>804.0</v>
      </c>
      <c r="D805" s="66"/>
      <c r="E805" s="63" t="s">
        <v>3304</v>
      </c>
      <c r="F805" s="70">
        <v>39964.0</v>
      </c>
      <c r="G805" s="80" t="s">
        <v>3305</v>
      </c>
      <c r="H805" s="82"/>
      <c r="I805" s="99" t="s">
        <v>3306</v>
      </c>
      <c r="J805" s="63" t="s">
        <v>1872</v>
      </c>
      <c r="K805" s="66"/>
      <c r="L805" s="66"/>
      <c r="M805" s="63" t="s">
        <v>530</v>
      </c>
      <c r="N805" s="61"/>
      <c r="O805" s="51"/>
    </row>
    <row r="806">
      <c r="A806" s="56">
        <v>803.0</v>
      </c>
      <c r="B806" s="63">
        <v>4013.0</v>
      </c>
      <c r="C806" s="64">
        <v>805.0</v>
      </c>
      <c r="D806" s="66"/>
      <c r="E806" s="63" t="s">
        <v>3307</v>
      </c>
      <c r="F806" s="70">
        <v>39995.0</v>
      </c>
      <c r="G806" s="80" t="s">
        <v>3308</v>
      </c>
      <c r="H806" s="82"/>
      <c r="I806" s="99" t="s">
        <v>3309</v>
      </c>
      <c r="J806" s="63" t="s">
        <v>1872</v>
      </c>
      <c r="K806" s="66"/>
      <c r="L806" s="66"/>
      <c r="M806" s="63" t="s">
        <v>3310</v>
      </c>
      <c r="N806" s="61"/>
      <c r="O806" s="51"/>
    </row>
    <row r="807">
      <c r="A807" s="56">
        <v>804.0</v>
      </c>
      <c r="B807" s="68">
        <v>4014.0</v>
      </c>
      <c r="C807" s="69">
        <v>806.0</v>
      </c>
      <c r="D807" s="71"/>
      <c r="E807" s="68" t="s">
        <v>3311</v>
      </c>
      <c r="F807" s="76">
        <v>40995.0</v>
      </c>
      <c r="G807" s="68" t="s">
        <v>3312</v>
      </c>
      <c r="H807" s="71"/>
      <c r="I807" s="63" t="s">
        <v>3313</v>
      </c>
      <c r="J807" s="68" t="s">
        <v>3314</v>
      </c>
      <c r="K807" s="71"/>
      <c r="L807" s="71"/>
      <c r="M807" s="71"/>
      <c r="N807" s="61"/>
      <c r="O807" s="51"/>
    </row>
    <row r="808">
      <c r="A808" s="56">
        <v>805.0</v>
      </c>
      <c r="B808" s="68">
        <v>4015.0</v>
      </c>
      <c r="C808" s="69">
        <v>807.0</v>
      </c>
      <c r="D808" s="71"/>
      <c r="E808" s="68" t="s">
        <v>3315</v>
      </c>
      <c r="F808" s="76">
        <v>41056.0</v>
      </c>
      <c r="G808" s="68" t="s">
        <v>3316</v>
      </c>
      <c r="H808" s="71"/>
      <c r="I808" s="68" t="s">
        <v>3317</v>
      </c>
      <c r="J808" s="68" t="s">
        <v>3318</v>
      </c>
      <c r="K808" s="66"/>
      <c r="L808" s="66"/>
      <c r="M808" s="66"/>
      <c r="N808" s="61"/>
      <c r="O808" s="51"/>
    </row>
    <row r="809">
      <c r="A809" s="56">
        <v>806.0</v>
      </c>
      <c r="B809" s="68">
        <v>4016.0</v>
      </c>
      <c r="C809" s="69">
        <v>808.0</v>
      </c>
      <c r="D809" s="68" t="s">
        <v>3319</v>
      </c>
      <c r="E809" s="68" t="s">
        <v>3320</v>
      </c>
      <c r="F809" s="83">
        <v>40468.0</v>
      </c>
      <c r="G809" s="68" t="s">
        <v>3321</v>
      </c>
      <c r="H809" s="71"/>
      <c r="I809" s="63" t="s">
        <v>3322</v>
      </c>
      <c r="J809" s="68" t="s">
        <v>3323</v>
      </c>
      <c r="K809" s="71"/>
      <c r="L809" s="71"/>
      <c r="M809" s="71"/>
      <c r="N809" s="61"/>
      <c r="O809" s="51"/>
    </row>
    <row r="810">
      <c r="A810" s="56">
        <v>807.0</v>
      </c>
      <c r="B810" s="63">
        <v>4017.0</v>
      </c>
      <c r="C810" s="64">
        <v>809.0</v>
      </c>
      <c r="D810" s="63" t="s">
        <v>3319</v>
      </c>
      <c r="E810" s="63" t="s">
        <v>3324</v>
      </c>
      <c r="F810" s="70">
        <v>40998.0</v>
      </c>
      <c r="G810" s="80" t="s">
        <v>3325</v>
      </c>
      <c r="H810" s="82"/>
      <c r="I810" s="63" t="s">
        <v>635</v>
      </c>
      <c r="J810" s="63" t="s">
        <v>3326</v>
      </c>
      <c r="K810" s="66"/>
      <c r="L810" s="66"/>
      <c r="M810" s="63" t="s">
        <v>3327</v>
      </c>
      <c r="N810" s="61"/>
      <c r="O810" s="51"/>
    </row>
    <row r="811">
      <c r="A811" s="56">
        <v>808.0</v>
      </c>
      <c r="B811" s="68">
        <v>4018.0</v>
      </c>
      <c r="C811" s="69">
        <v>810.0</v>
      </c>
      <c r="D811" s="71"/>
      <c r="E811" s="68" t="s">
        <v>3328</v>
      </c>
      <c r="F811" s="76">
        <v>41011.0</v>
      </c>
      <c r="G811" s="68" t="s">
        <v>3329</v>
      </c>
      <c r="H811" s="71"/>
      <c r="I811" s="71"/>
      <c r="J811" s="68" t="s">
        <v>3330</v>
      </c>
      <c r="K811" s="66"/>
      <c r="L811" s="66"/>
      <c r="M811" s="66"/>
      <c r="N811" s="61"/>
      <c r="O811" s="51"/>
    </row>
    <row r="812">
      <c r="A812" s="56">
        <v>809.0</v>
      </c>
      <c r="B812" s="63">
        <v>4019.0</v>
      </c>
      <c r="C812" s="64">
        <v>811.0</v>
      </c>
      <c r="D812" s="66"/>
      <c r="E812" s="63" t="s">
        <v>3331</v>
      </c>
      <c r="F812" s="70">
        <v>39991.0</v>
      </c>
      <c r="G812" s="80" t="s">
        <v>3332</v>
      </c>
      <c r="H812" s="82"/>
      <c r="I812" s="99" t="s">
        <v>3333</v>
      </c>
      <c r="J812" s="63" t="s">
        <v>1971</v>
      </c>
      <c r="K812" s="66"/>
      <c r="L812" s="66"/>
      <c r="M812" s="63" t="s">
        <v>530</v>
      </c>
      <c r="N812" s="61"/>
      <c r="O812" s="51"/>
    </row>
    <row r="813">
      <c r="A813" s="56">
        <v>810.0</v>
      </c>
      <c r="B813" s="63">
        <v>4020.0</v>
      </c>
      <c r="C813" s="64">
        <v>812.0</v>
      </c>
      <c r="D813" s="66"/>
      <c r="E813" s="63" t="s">
        <v>3334</v>
      </c>
      <c r="F813" s="70">
        <v>39991.0</v>
      </c>
      <c r="G813" s="80" t="s">
        <v>3332</v>
      </c>
      <c r="H813" s="82"/>
      <c r="I813" s="99" t="s">
        <v>3333</v>
      </c>
      <c r="J813" s="63" t="s">
        <v>1971</v>
      </c>
      <c r="K813" s="66"/>
      <c r="L813" s="66"/>
      <c r="M813" s="63" t="s">
        <v>530</v>
      </c>
      <c r="N813" s="61"/>
      <c r="O813" s="51"/>
    </row>
    <row r="814">
      <c r="A814" s="56">
        <v>811.0</v>
      </c>
      <c r="B814" s="63">
        <v>4021.0</v>
      </c>
      <c r="C814" s="64">
        <v>813.0</v>
      </c>
      <c r="D814" s="66"/>
      <c r="E814" s="63" t="s">
        <v>3335</v>
      </c>
      <c r="F814" s="70">
        <v>39990.0</v>
      </c>
      <c r="G814" s="80" t="s">
        <v>3336</v>
      </c>
      <c r="H814" s="82"/>
      <c r="I814" s="63" t="s">
        <v>3337</v>
      </c>
      <c r="J814" s="63" t="s">
        <v>136</v>
      </c>
      <c r="K814" s="66"/>
      <c r="L814" s="66"/>
      <c r="M814" s="66"/>
      <c r="N814" s="61"/>
      <c r="O814" s="51"/>
    </row>
    <row r="815">
      <c r="A815" s="56">
        <v>812.0</v>
      </c>
      <c r="B815" s="57">
        <v>4022.0</v>
      </c>
      <c r="C815" s="58">
        <v>814.0</v>
      </c>
      <c r="D815" s="57" t="s">
        <v>3338</v>
      </c>
      <c r="E815" s="57" t="s">
        <v>3339</v>
      </c>
      <c r="F815" s="59">
        <v>39995.0</v>
      </c>
      <c r="G815" s="57" t="s">
        <v>3340</v>
      </c>
      <c r="H815" s="60"/>
      <c r="I815" s="57" t="s">
        <v>3341</v>
      </c>
      <c r="J815" s="57" t="s">
        <v>2044</v>
      </c>
      <c r="K815" s="60"/>
      <c r="L815" s="60"/>
      <c r="M815" s="57" t="s">
        <v>530</v>
      </c>
      <c r="N815" s="112"/>
      <c r="O815" s="51"/>
    </row>
    <row r="816">
      <c r="A816" s="56">
        <v>813.0</v>
      </c>
      <c r="B816" s="68">
        <v>4023.0</v>
      </c>
      <c r="C816" s="69">
        <v>815.0</v>
      </c>
      <c r="D816" s="71"/>
      <c r="E816" s="68" t="s">
        <v>3342</v>
      </c>
      <c r="F816" s="76">
        <v>40940.0</v>
      </c>
      <c r="G816" s="68" t="s">
        <v>3343</v>
      </c>
      <c r="H816" s="71"/>
      <c r="I816" s="63" t="s">
        <v>3344</v>
      </c>
      <c r="J816" s="68" t="s">
        <v>3345</v>
      </c>
      <c r="K816" s="71"/>
      <c r="L816" s="71"/>
      <c r="M816" s="71"/>
      <c r="N816" s="61"/>
      <c r="O816" s="51"/>
    </row>
    <row r="817">
      <c r="A817" s="56">
        <v>814.0</v>
      </c>
      <c r="B817" s="68">
        <v>4024.0</v>
      </c>
      <c r="C817" s="69">
        <v>816.0</v>
      </c>
      <c r="D817" s="71"/>
      <c r="E817" s="68" t="s">
        <v>3346</v>
      </c>
      <c r="F817" s="76">
        <v>40577.0</v>
      </c>
      <c r="G817" s="68" t="s">
        <v>3347</v>
      </c>
      <c r="H817" s="71"/>
      <c r="I817" s="63" t="s">
        <v>3348</v>
      </c>
      <c r="J817" s="68" t="s">
        <v>3349</v>
      </c>
      <c r="K817" s="71"/>
      <c r="L817" s="71"/>
      <c r="M817" s="71"/>
      <c r="N817" s="61"/>
      <c r="O817" s="51"/>
    </row>
    <row r="818">
      <c r="A818" s="56">
        <v>815.0</v>
      </c>
      <c r="B818" s="63">
        <v>4025.0</v>
      </c>
      <c r="C818" s="64">
        <v>817.0</v>
      </c>
      <c r="D818" s="66"/>
      <c r="E818" s="63" t="s">
        <v>3350</v>
      </c>
      <c r="F818" s="70">
        <v>39682.0</v>
      </c>
      <c r="G818" s="80" t="s">
        <v>3351</v>
      </c>
      <c r="H818" s="82"/>
      <c r="I818" s="99" t="s">
        <v>3352</v>
      </c>
      <c r="J818" s="63" t="s">
        <v>1971</v>
      </c>
      <c r="K818" s="66"/>
      <c r="L818" s="66"/>
      <c r="M818" s="63" t="s">
        <v>530</v>
      </c>
      <c r="N818" s="61"/>
      <c r="O818" s="51"/>
    </row>
    <row r="819">
      <c r="A819" s="56">
        <v>816.0</v>
      </c>
      <c r="B819" s="63">
        <v>4026.0</v>
      </c>
      <c r="C819" s="64">
        <v>818.0</v>
      </c>
      <c r="D819" s="66"/>
      <c r="E819" s="63" t="s">
        <v>3353</v>
      </c>
      <c r="F819" s="70">
        <v>39714.0</v>
      </c>
      <c r="G819" s="80" t="s">
        <v>3354</v>
      </c>
      <c r="H819" s="82"/>
      <c r="I819" s="99" t="s">
        <v>3352</v>
      </c>
      <c r="J819" s="63" t="s">
        <v>1971</v>
      </c>
      <c r="K819" s="66"/>
      <c r="L819" s="66"/>
      <c r="M819" s="63" t="s">
        <v>530</v>
      </c>
      <c r="N819" s="61"/>
      <c r="O819" s="51"/>
    </row>
    <row r="820">
      <c r="A820" s="56">
        <v>817.0</v>
      </c>
      <c r="B820" s="68">
        <v>4027.0</v>
      </c>
      <c r="C820" s="69">
        <v>819.0</v>
      </c>
      <c r="D820" s="71"/>
      <c r="E820" s="68" t="s">
        <v>3355</v>
      </c>
      <c r="F820" s="76">
        <v>40427.0</v>
      </c>
      <c r="G820" s="68" t="s">
        <v>3356</v>
      </c>
      <c r="H820" s="71"/>
      <c r="I820" s="68" t="s">
        <v>3357</v>
      </c>
      <c r="J820" s="68" t="s">
        <v>3358</v>
      </c>
      <c r="K820" s="71"/>
      <c r="L820" s="71"/>
      <c r="M820" s="68" t="s">
        <v>872</v>
      </c>
      <c r="N820" s="77"/>
      <c r="O820" s="51"/>
    </row>
    <row r="821">
      <c r="A821" s="56">
        <v>818.0</v>
      </c>
      <c r="B821" s="63">
        <v>4028.0</v>
      </c>
      <c r="C821" s="64">
        <v>820.0</v>
      </c>
      <c r="D821" s="66"/>
      <c r="E821" s="63" t="s">
        <v>3359</v>
      </c>
      <c r="F821" s="70">
        <v>40764.0</v>
      </c>
      <c r="G821" s="80" t="s">
        <v>3360</v>
      </c>
      <c r="H821" s="82"/>
      <c r="I821" s="63" t="s">
        <v>3361</v>
      </c>
      <c r="J821" s="63" t="s">
        <v>3362</v>
      </c>
      <c r="K821" s="66"/>
      <c r="L821" s="66"/>
      <c r="M821" s="63" t="s">
        <v>2989</v>
      </c>
      <c r="N821" s="61"/>
      <c r="O821" s="51"/>
    </row>
    <row r="822">
      <c r="A822" s="56">
        <v>819.0</v>
      </c>
      <c r="B822" s="68">
        <v>4029.0</v>
      </c>
      <c r="C822" s="69">
        <v>821.0</v>
      </c>
      <c r="D822" s="71"/>
      <c r="E822" s="68" t="s">
        <v>3363</v>
      </c>
      <c r="F822" s="76">
        <v>41082.0</v>
      </c>
      <c r="G822" s="68" t="s">
        <v>3364</v>
      </c>
      <c r="H822" s="71"/>
      <c r="I822" s="68" t="s">
        <v>3365</v>
      </c>
      <c r="J822" s="68" t="s">
        <v>3366</v>
      </c>
      <c r="K822" s="66"/>
      <c r="L822" s="66"/>
      <c r="M822" s="66"/>
      <c r="N822" s="61"/>
      <c r="O822" s="51"/>
    </row>
    <row r="823">
      <c r="A823" s="56">
        <v>820.0</v>
      </c>
      <c r="B823" s="68">
        <v>4030.0</v>
      </c>
      <c r="C823" s="69">
        <v>822.0</v>
      </c>
      <c r="D823" s="71"/>
      <c r="E823" s="68" t="s">
        <v>3367</v>
      </c>
      <c r="F823" s="76">
        <v>40960.0</v>
      </c>
      <c r="G823" s="68" t="s">
        <v>3368</v>
      </c>
      <c r="H823" s="71"/>
      <c r="I823" s="91" t="s">
        <v>3369</v>
      </c>
      <c r="J823" s="68" t="s">
        <v>3370</v>
      </c>
      <c r="K823" s="71"/>
      <c r="L823" s="71"/>
      <c r="M823" s="66"/>
      <c r="N823" s="61"/>
      <c r="O823" s="51"/>
    </row>
    <row r="824">
      <c r="A824" s="56">
        <v>821.0</v>
      </c>
      <c r="B824" s="68">
        <v>4031.0</v>
      </c>
      <c r="C824" s="69">
        <v>823.0</v>
      </c>
      <c r="D824" s="71"/>
      <c r="E824" s="68" t="s">
        <v>3371</v>
      </c>
      <c r="F824" s="76">
        <v>40566.0</v>
      </c>
      <c r="G824" s="68" t="s">
        <v>3372</v>
      </c>
      <c r="H824" s="71"/>
      <c r="I824" s="68" t="s">
        <v>3373</v>
      </c>
      <c r="J824" s="68" t="s">
        <v>3374</v>
      </c>
      <c r="K824" s="71"/>
      <c r="L824" s="71"/>
      <c r="M824" s="68" t="s">
        <v>2989</v>
      </c>
      <c r="N824" s="77"/>
      <c r="O824" s="51"/>
    </row>
    <row r="825">
      <c r="A825" s="56">
        <v>822.0</v>
      </c>
      <c r="B825" s="68">
        <v>4032.0</v>
      </c>
      <c r="C825" s="69">
        <v>824.0</v>
      </c>
      <c r="D825" s="71"/>
      <c r="E825" s="68" t="s">
        <v>3375</v>
      </c>
      <c r="F825" s="76">
        <v>37315.0</v>
      </c>
      <c r="G825" s="68" t="s">
        <v>3376</v>
      </c>
      <c r="H825" s="71"/>
      <c r="I825" s="63" t="s">
        <v>3377</v>
      </c>
      <c r="J825" s="68" t="s">
        <v>3378</v>
      </c>
      <c r="K825" s="116"/>
      <c r="L825" s="116"/>
      <c r="M825" s="116"/>
      <c r="N825" s="61"/>
      <c r="O825" s="51"/>
    </row>
    <row r="826">
      <c r="A826" s="56">
        <v>823.0</v>
      </c>
      <c r="B826" s="68">
        <v>4033.0</v>
      </c>
      <c r="C826" s="69">
        <v>825.0</v>
      </c>
      <c r="D826" s="68" t="s">
        <v>3379</v>
      </c>
      <c r="E826" s="68" t="s">
        <v>3380</v>
      </c>
      <c r="F826" s="76">
        <v>40179.0</v>
      </c>
      <c r="G826" s="68" t="s">
        <v>3381</v>
      </c>
      <c r="H826" s="71"/>
      <c r="I826" s="63" t="s">
        <v>635</v>
      </c>
      <c r="J826" s="68" t="s">
        <v>3382</v>
      </c>
      <c r="K826" s="71"/>
      <c r="L826" s="71"/>
      <c r="M826" s="71"/>
      <c r="N826" s="61"/>
      <c r="O826" s="51"/>
    </row>
    <row r="827">
      <c r="A827" s="56">
        <v>824.0</v>
      </c>
      <c r="B827" s="68">
        <v>4034.0</v>
      </c>
      <c r="C827" s="69">
        <v>826.0</v>
      </c>
      <c r="D827" s="71"/>
      <c r="E827" s="68" t="s">
        <v>3383</v>
      </c>
      <c r="F827" s="76">
        <v>41099.0</v>
      </c>
      <c r="G827" s="68" t="s">
        <v>3384</v>
      </c>
      <c r="H827" s="71"/>
      <c r="I827" s="63" t="s">
        <v>3385</v>
      </c>
      <c r="J827" s="68" t="s">
        <v>3386</v>
      </c>
      <c r="K827" s="71"/>
      <c r="L827" s="71"/>
      <c r="M827" s="71"/>
      <c r="N827" s="61"/>
      <c r="O827" s="51"/>
    </row>
    <row r="828">
      <c r="A828" s="56">
        <v>825.0</v>
      </c>
      <c r="B828" s="63">
        <v>4035.0</v>
      </c>
      <c r="C828" s="64">
        <v>827.0</v>
      </c>
      <c r="D828" s="66"/>
      <c r="E828" s="63" t="s">
        <v>3387</v>
      </c>
      <c r="F828" s="70">
        <v>40581.0</v>
      </c>
      <c r="G828" s="80" t="s">
        <v>3388</v>
      </c>
      <c r="H828" s="82"/>
      <c r="I828" s="63" t="s">
        <v>3389</v>
      </c>
      <c r="J828" s="63" t="s">
        <v>3390</v>
      </c>
      <c r="K828" s="66"/>
      <c r="L828" s="66"/>
      <c r="M828" s="63" t="s">
        <v>3391</v>
      </c>
      <c r="N828" s="61"/>
      <c r="O828" s="51"/>
    </row>
    <row r="829">
      <c r="A829" s="56">
        <v>826.0</v>
      </c>
      <c r="B829" s="68">
        <v>4036.0</v>
      </c>
      <c r="C829" s="69">
        <v>828.0</v>
      </c>
      <c r="D829" s="71"/>
      <c r="E829" s="68" t="s">
        <v>3392</v>
      </c>
      <c r="F829" s="76">
        <v>40782.0</v>
      </c>
      <c r="G829" s="68" t="s">
        <v>3393</v>
      </c>
      <c r="H829" s="71"/>
      <c r="I829" s="63" t="s">
        <v>635</v>
      </c>
      <c r="J829" s="68" t="s">
        <v>3394</v>
      </c>
      <c r="K829" s="71"/>
      <c r="L829" s="71"/>
      <c r="M829" s="71"/>
      <c r="N829" s="61"/>
      <c r="O829" s="51"/>
    </row>
    <row r="830">
      <c r="A830" s="56">
        <v>827.0</v>
      </c>
      <c r="B830" s="68">
        <v>4037.0</v>
      </c>
      <c r="C830" s="69">
        <v>829.0</v>
      </c>
      <c r="D830" s="68" t="s">
        <v>3395</v>
      </c>
      <c r="E830" s="68" t="s">
        <v>3396</v>
      </c>
      <c r="F830" s="76">
        <v>40909.0</v>
      </c>
      <c r="G830" s="68" t="s">
        <v>3397</v>
      </c>
      <c r="H830" s="71"/>
      <c r="I830" s="63" t="s">
        <v>3398</v>
      </c>
      <c r="J830" s="68" t="s">
        <v>3399</v>
      </c>
      <c r="K830" s="71"/>
      <c r="L830" s="71"/>
      <c r="M830" s="71"/>
      <c r="N830" s="61"/>
      <c r="O830" s="51"/>
    </row>
    <row r="831">
      <c r="A831" s="56">
        <v>828.0</v>
      </c>
      <c r="B831" s="68">
        <v>4038.0</v>
      </c>
      <c r="C831" s="69">
        <v>830.0</v>
      </c>
      <c r="D831" s="71"/>
      <c r="E831" s="68" t="s">
        <v>3400</v>
      </c>
      <c r="F831" s="76">
        <v>40373.0</v>
      </c>
      <c r="G831" s="68" t="s">
        <v>3401</v>
      </c>
      <c r="H831" s="71"/>
      <c r="I831" s="63" t="s">
        <v>635</v>
      </c>
      <c r="J831" s="68" t="s">
        <v>622</v>
      </c>
      <c r="K831" s="71"/>
      <c r="L831" s="71"/>
      <c r="M831" s="66"/>
      <c r="N831" s="61"/>
      <c r="O831" s="51"/>
    </row>
    <row r="832">
      <c r="A832" s="56">
        <v>829.0</v>
      </c>
      <c r="B832" s="63">
        <v>4039.0</v>
      </c>
      <c r="C832" s="64" t="s">
        <v>3402</v>
      </c>
      <c r="D832" s="66"/>
      <c r="E832" s="63" t="s">
        <v>3403</v>
      </c>
      <c r="F832" s="70">
        <v>41091.0</v>
      </c>
      <c r="G832" s="80" t="s">
        <v>3404</v>
      </c>
      <c r="H832" s="82"/>
      <c r="I832" s="63" t="s">
        <v>3405</v>
      </c>
      <c r="J832" s="63" t="s">
        <v>3406</v>
      </c>
      <c r="K832" s="66"/>
      <c r="L832" s="66"/>
      <c r="M832" s="63" t="s">
        <v>3407</v>
      </c>
      <c r="N832" s="61"/>
      <c r="O832" s="51"/>
    </row>
    <row r="833">
      <c r="A833" s="56">
        <v>830.0</v>
      </c>
      <c r="B833" s="57">
        <v>4040.0</v>
      </c>
      <c r="C833" s="58">
        <v>832.0</v>
      </c>
      <c r="D833" s="57" t="s">
        <v>3408</v>
      </c>
      <c r="E833" s="57" t="s">
        <v>3409</v>
      </c>
      <c r="F833" s="59">
        <v>40849.0</v>
      </c>
      <c r="G833" s="57" t="s">
        <v>3410</v>
      </c>
      <c r="H833" s="60"/>
      <c r="I833" s="63" t="s">
        <v>3411</v>
      </c>
      <c r="J833" s="57" t="s">
        <v>3412</v>
      </c>
      <c r="K833" s="60"/>
      <c r="L833" s="60"/>
      <c r="M833" s="104"/>
      <c r="N833" s="105"/>
      <c r="O833" s="51"/>
    </row>
    <row r="834">
      <c r="A834" s="56">
        <v>831.0</v>
      </c>
      <c r="B834" s="68">
        <v>4041.0</v>
      </c>
      <c r="C834" s="69">
        <v>833.0</v>
      </c>
      <c r="D834" s="71"/>
      <c r="E834" s="68" t="s">
        <v>3413</v>
      </c>
      <c r="F834" s="76">
        <v>41058.0</v>
      </c>
      <c r="G834" s="68" t="s">
        <v>3414</v>
      </c>
      <c r="H834" s="71"/>
      <c r="I834" s="63" t="s">
        <v>3415</v>
      </c>
      <c r="J834" s="68" t="s">
        <v>3416</v>
      </c>
      <c r="K834" s="71"/>
      <c r="L834" s="71"/>
      <c r="M834" s="111"/>
      <c r="N834" s="61"/>
      <c r="O834" s="51"/>
    </row>
    <row r="835">
      <c r="A835" s="56">
        <v>832.0</v>
      </c>
      <c r="B835" s="68">
        <v>4042.0</v>
      </c>
      <c r="C835" s="69">
        <v>834.0</v>
      </c>
      <c r="D835" s="71"/>
      <c r="E835" s="68" t="s">
        <v>3417</v>
      </c>
      <c r="F835" s="76">
        <v>41103.0</v>
      </c>
      <c r="G835" s="68" t="s">
        <v>3418</v>
      </c>
      <c r="H835" s="71"/>
      <c r="I835" s="63" t="s">
        <v>635</v>
      </c>
      <c r="J835" s="68" t="s">
        <v>3419</v>
      </c>
      <c r="K835" s="71"/>
      <c r="L835" s="71"/>
      <c r="M835" s="71"/>
      <c r="N835" s="61"/>
      <c r="O835" s="51"/>
    </row>
    <row r="836">
      <c r="A836" s="56">
        <v>833.0</v>
      </c>
      <c r="B836" s="63">
        <v>4043.0</v>
      </c>
      <c r="C836" s="64" t="s">
        <v>3420</v>
      </c>
      <c r="D836" s="66"/>
      <c r="E836" s="63" t="s">
        <v>3421</v>
      </c>
      <c r="F836" s="70">
        <v>40366.0</v>
      </c>
      <c r="G836" s="80" t="s">
        <v>3422</v>
      </c>
      <c r="H836" s="80" t="s">
        <v>3423</v>
      </c>
      <c r="I836" s="63" t="s">
        <v>3424</v>
      </c>
      <c r="J836" s="63" t="s">
        <v>2230</v>
      </c>
      <c r="K836" s="66"/>
      <c r="L836" s="66"/>
      <c r="M836" s="63" t="s">
        <v>1509</v>
      </c>
      <c r="N836" s="61"/>
      <c r="O836" s="51"/>
    </row>
    <row r="837">
      <c r="A837" s="56">
        <v>834.0</v>
      </c>
      <c r="B837" s="68">
        <v>4044.0</v>
      </c>
      <c r="C837" s="69">
        <v>836.0</v>
      </c>
      <c r="D837" s="71"/>
      <c r="E837" s="68" t="s">
        <v>3425</v>
      </c>
      <c r="F837" s="76">
        <v>41038.0</v>
      </c>
      <c r="G837" s="68" t="s">
        <v>3426</v>
      </c>
      <c r="H837" s="71"/>
      <c r="I837" s="68" t="s">
        <v>3427</v>
      </c>
      <c r="J837" s="68" t="s">
        <v>3428</v>
      </c>
      <c r="K837" s="71"/>
      <c r="L837" s="71"/>
      <c r="M837" s="71"/>
      <c r="N837" s="77"/>
      <c r="O837" s="51"/>
    </row>
    <row r="838">
      <c r="A838" s="56">
        <v>835.0</v>
      </c>
      <c r="B838" s="68">
        <v>4045.0</v>
      </c>
      <c r="C838" s="69">
        <v>837.0</v>
      </c>
      <c r="D838" s="71"/>
      <c r="E838" s="68" t="s">
        <v>3429</v>
      </c>
      <c r="F838" s="76">
        <v>41077.0</v>
      </c>
      <c r="G838" s="68" t="s">
        <v>3430</v>
      </c>
      <c r="H838" s="71"/>
      <c r="I838" s="66"/>
      <c r="J838" s="68" t="s">
        <v>3431</v>
      </c>
      <c r="K838" s="71"/>
      <c r="L838" s="71"/>
      <c r="M838" s="71"/>
      <c r="N838" s="61"/>
      <c r="O838" s="51"/>
    </row>
    <row r="839">
      <c r="A839" s="56">
        <v>836.0</v>
      </c>
      <c r="B839" s="68">
        <v>4046.0</v>
      </c>
      <c r="C839" s="69">
        <v>838.0</v>
      </c>
      <c r="D839" s="71"/>
      <c r="E839" s="68" t="s">
        <v>3432</v>
      </c>
      <c r="F839" s="76">
        <v>40978.0</v>
      </c>
      <c r="G839" s="68" t="s">
        <v>3433</v>
      </c>
      <c r="H839" s="71"/>
      <c r="I839" s="63" t="s">
        <v>3434</v>
      </c>
      <c r="J839" s="68" t="s">
        <v>3435</v>
      </c>
      <c r="K839" s="71"/>
      <c r="L839" s="71"/>
      <c r="M839" s="71"/>
      <c r="N839" s="61"/>
      <c r="O839" s="51"/>
    </row>
    <row r="840">
      <c r="A840" s="56">
        <v>837.0</v>
      </c>
      <c r="B840" s="68">
        <v>4047.0</v>
      </c>
      <c r="C840" s="69">
        <v>839.0</v>
      </c>
      <c r="D840" s="71"/>
      <c r="E840" s="68" t="s">
        <v>3436</v>
      </c>
      <c r="F840" s="76">
        <v>40740.0</v>
      </c>
      <c r="G840" s="68" t="s">
        <v>3437</v>
      </c>
      <c r="H840" s="71"/>
      <c r="I840" s="63" t="s">
        <v>3438</v>
      </c>
      <c r="J840" s="68" t="s">
        <v>3439</v>
      </c>
      <c r="K840" s="71"/>
      <c r="L840" s="71"/>
      <c r="M840" s="71"/>
      <c r="N840" s="61"/>
      <c r="O840" s="51"/>
    </row>
    <row r="841">
      <c r="A841" s="56">
        <v>838.0</v>
      </c>
      <c r="B841" s="68">
        <v>4048.0</v>
      </c>
      <c r="C841" s="69">
        <v>840.0</v>
      </c>
      <c r="D841" s="71"/>
      <c r="E841" s="68" t="s">
        <v>3440</v>
      </c>
      <c r="F841" s="76">
        <v>41080.0</v>
      </c>
      <c r="G841" s="68" t="s">
        <v>3441</v>
      </c>
      <c r="H841" s="71"/>
      <c r="I841" s="63" t="s">
        <v>3442</v>
      </c>
      <c r="J841" s="68" t="s">
        <v>3443</v>
      </c>
      <c r="K841" s="71"/>
      <c r="L841" s="71"/>
      <c r="M841" s="71"/>
      <c r="N841" s="61"/>
      <c r="O841" s="51"/>
    </row>
    <row r="842">
      <c r="A842" s="56">
        <v>839.0</v>
      </c>
      <c r="B842" s="63">
        <v>4049.0</v>
      </c>
      <c r="C842" s="64" t="s">
        <v>3444</v>
      </c>
      <c r="D842" s="66"/>
      <c r="E842" s="63" t="s">
        <v>3445</v>
      </c>
      <c r="F842" s="70">
        <v>40195.0</v>
      </c>
      <c r="G842" s="80" t="s">
        <v>3446</v>
      </c>
      <c r="H842" s="82"/>
      <c r="I842" s="63" t="s">
        <v>3447</v>
      </c>
      <c r="J842" s="63" t="s">
        <v>3362</v>
      </c>
      <c r="K842" s="66"/>
      <c r="L842" s="66"/>
      <c r="M842" s="63" t="s">
        <v>2989</v>
      </c>
      <c r="N842" s="61"/>
      <c r="O842" s="51"/>
    </row>
    <row r="843">
      <c r="A843" s="56">
        <v>840.0</v>
      </c>
      <c r="B843" s="63">
        <v>4050.0</v>
      </c>
      <c r="C843" s="64" t="s">
        <v>3448</v>
      </c>
      <c r="D843" s="66"/>
      <c r="E843" s="63" t="s">
        <v>3449</v>
      </c>
      <c r="F843" s="70">
        <v>40204.0</v>
      </c>
      <c r="G843" s="80" t="s">
        <v>3450</v>
      </c>
      <c r="H843" s="82"/>
      <c r="I843" s="63" t="s">
        <v>3451</v>
      </c>
      <c r="J843" s="63" t="s">
        <v>3362</v>
      </c>
      <c r="K843" s="66"/>
      <c r="L843" s="66"/>
      <c r="M843" s="63" t="s">
        <v>2989</v>
      </c>
      <c r="N843" s="61"/>
      <c r="O843" s="51"/>
    </row>
    <row r="844">
      <c r="A844" s="56">
        <v>841.0</v>
      </c>
      <c r="B844" s="68">
        <v>4051.0</v>
      </c>
      <c r="C844" s="69">
        <v>843.0</v>
      </c>
      <c r="D844" s="71"/>
      <c r="E844" s="68" t="s">
        <v>3452</v>
      </c>
      <c r="F844" s="76">
        <v>41143.0</v>
      </c>
      <c r="G844" s="68" t="s">
        <v>3453</v>
      </c>
      <c r="H844" s="71"/>
      <c r="I844" s="63" t="s">
        <v>3454</v>
      </c>
      <c r="J844" s="68" t="s">
        <v>3455</v>
      </c>
      <c r="K844" s="71"/>
      <c r="L844" s="71"/>
      <c r="M844" s="71"/>
      <c r="N844" s="61"/>
      <c r="O844" s="51"/>
    </row>
    <row r="845">
      <c r="A845" s="56">
        <v>842.0</v>
      </c>
      <c r="B845" s="68">
        <v>4052.0</v>
      </c>
      <c r="C845" s="69">
        <v>844.0</v>
      </c>
      <c r="D845" s="71"/>
      <c r="E845" s="68" t="s">
        <v>3456</v>
      </c>
      <c r="F845" s="83">
        <v>40479.0</v>
      </c>
      <c r="G845" s="68" t="s">
        <v>3457</v>
      </c>
      <c r="H845" s="71"/>
      <c r="I845" s="63" t="s">
        <v>3458</v>
      </c>
      <c r="J845" s="68" t="s">
        <v>3459</v>
      </c>
      <c r="K845" s="71"/>
      <c r="L845" s="71"/>
      <c r="M845" s="71"/>
      <c r="N845" s="61"/>
      <c r="O845" s="51"/>
    </row>
    <row r="846">
      <c r="A846" s="56">
        <v>843.0</v>
      </c>
      <c r="B846" s="68">
        <v>4053.0</v>
      </c>
      <c r="C846" s="69">
        <v>855.0</v>
      </c>
      <c r="D846" s="71"/>
      <c r="E846" s="68" t="s">
        <v>3460</v>
      </c>
      <c r="F846" s="76">
        <v>40983.0</v>
      </c>
      <c r="G846" s="68" t="s">
        <v>3461</v>
      </c>
      <c r="H846" s="71"/>
      <c r="I846" s="63" t="s">
        <v>3462</v>
      </c>
      <c r="J846" s="68" t="s">
        <v>3463</v>
      </c>
      <c r="K846" s="71"/>
      <c r="L846" s="71"/>
      <c r="M846" s="71"/>
      <c r="N846" s="61"/>
      <c r="O846" s="51"/>
    </row>
    <row r="847">
      <c r="A847" s="56">
        <v>844.0</v>
      </c>
      <c r="B847" s="68">
        <v>4054.0</v>
      </c>
      <c r="C847" s="69">
        <v>856.0</v>
      </c>
      <c r="D847" s="68" t="s">
        <v>3464</v>
      </c>
      <c r="E847" s="68" t="s">
        <v>3465</v>
      </c>
      <c r="F847" s="76">
        <v>41064.0</v>
      </c>
      <c r="G847" s="68" t="s">
        <v>3466</v>
      </c>
      <c r="H847" s="71"/>
      <c r="I847" s="63" t="s">
        <v>3467</v>
      </c>
      <c r="J847" s="68" t="s">
        <v>3468</v>
      </c>
      <c r="K847" s="71"/>
      <c r="L847" s="71"/>
      <c r="M847" s="71"/>
      <c r="N847" s="61"/>
      <c r="O847" s="51"/>
    </row>
    <row r="848">
      <c r="A848" s="56">
        <v>845.0</v>
      </c>
      <c r="B848" s="68">
        <v>4055.0</v>
      </c>
      <c r="C848" s="69">
        <v>857.0</v>
      </c>
      <c r="D848" s="68" t="s">
        <v>3469</v>
      </c>
      <c r="E848" s="68" t="s">
        <v>3470</v>
      </c>
      <c r="F848" s="76">
        <v>40850.0</v>
      </c>
      <c r="G848" s="68" t="s">
        <v>3471</v>
      </c>
      <c r="H848" s="71"/>
      <c r="I848" s="63" t="s">
        <v>635</v>
      </c>
      <c r="J848" s="68" t="s">
        <v>3472</v>
      </c>
      <c r="K848" s="71"/>
      <c r="L848" s="71"/>
      <c r="M848" s="71"/>
      <c r="N848" s="61"/>
      <c r="O848" s="51"/>
    </row>
    <row r="849">
      <c r="A849" s="56">
        <v>846.0</v>
      </c>
      <c r="B849" s="68">
        <v>4056.0</v>
      </c>
      <c r="C849" s="69">
        <v>859.0</v>
      </c>
      <c r="D849" s="68" t="s">
        <v>3473</v>
      </c>
      <c r="E849" s="68" t="s">
        <v>3474</v>
      </c>
      <c r="F849" s="83">
        <v>40462.0</v>
      </c>
      <c r="G849" s="68" t="s">
        <v>3475</v>
      </c>
      <c r="H849" s="71"/>
      <c r="I849" s="68" t="s">
        <v>3476</v>
      </c>
      <c r="J849" s="68" t="s">
        <v>3477</v>
      </c>
      <c r="K849" s="71"/>
      <c r="L849" s="71"/>
      <c r="M849" s="71"/>
      <c r="N849" s="61"/>
      <c r="O849" s="51"/>
    </row>
    <row r="850">
      <c r="A850" s="56">
        <v>847.0</v>
      </c>
      <c r="B850" s="63">
        <v>4057.0</v>
      </c>
      <c r="C850" s="64">
        <v>859.0</v>
      </c>
      <c r="D850" s="63" t="s">
        <v>3478</v>
      </c>
      <c r="E850" s="63" t="s">
        <v>3479</v>
      </c>
      <c r="F850" s="70">
        <v>41114.0</v>
      </c>
      <c r="G850" s="80" t="s">
        <v>3480</v>
      </c>
      <c r="H850" s="82"/>
      <c r="I850" s="63" t="s">
        <v>635</v>
      </c>
      <c r="J850" s="63" t="s">
        <v>136</v>
      </c>
      <c r="K850" s="66"/>
      <c r="L850" s="66"/>
      <c r="M850" s="66"/>
      <c r="N850" s="61"/>
      <c r="O850" s="51"/>
    </row>
    <row r="851">
      <c r="A851" s="56">
        <v>848.0</v>
      </c>
      <c r="B851" s="63">
        <v>4058.0</v>
      </c>
      <c r="C851" s="64">
        <v>860.0</v>
      </c>
      <c r="D851" s="63" t="s">
        <v>3481</v>
      </c>
      <c r="E851" s="63" t="s">
        <v>3482</v>
      </c>
      <c r="F851" s="70">
        <v>41085.0</v>
      </c>
      <c r="G851" s="80" t="s">
        <v>3483</v>
      </c>
      <c r="H851" s="82"/>
      <c r="I851" s="63" t="s">
        <v>3484</v>
      </c>
      <c r="J851" s="63" t="s">
        <v>1421</v>
      </c>
      <c r="K851" s="66"/>
      <c r="L851" s="66"/>
      <c r="M851" s="63" t="s">
        <v>149</v>
      </c>
      <c r="N851" s="61"/>
      <c r="O851" s="51"/>
    </row>
    <row r="852">
      <c r="A852" s="56">
        <v>849.0</v>
      </c>
      <c r="B852" s="68">
        <v>4059.0</v>
      </c>
      <c r="C852" s="69">
        <v>861.0</v>
      </c>
      <c r="D852" s="68" t="s">
        <v>3485</v>
      </c>
      <c r="E852" s="68" t="s">
        <v>3486</v>
      </c>
      <c r="F852" s="76">
        <v>40360.0</v>
      </c>
      <c r="G852" s="68" t="s">
        <v>3487</v>
      </c>
      <c r="H852" s="71"/>
      <c r="I852" s="63" t="s">
        <v>3488</v>
      </c>
      <c r="J852" s="71"/>
      <c r="K852" s="71"/>
      <c r="L852" s="71"/>
      <c r="M852" s="68" t="s">
        <v>137</v>
      </c>
      <c r="N852" s="61"/>
      <c r="O852" s="51"/>
    </row>
    <row r="853">
      <c r="A853" s="56">
        <v>850.0</v>
      </c>
      <c r="B853" s="68">
        <v>4060.0</v>
      </c>
      <c r="C853" s="69" t="s">
        <v>3489</v>
      </c>
      <c r="D853" s="68" t="s">
        <v>3490</v>
      </c>
      <c r="E853" s="68" t="s">
        <v>3491</v>
      </c>
      <c r="F853" s="76">
        <v>36617.0</v>
      </c>
      <c r="G853" s="68" t="s">
        <v>3492</v>
      </c>
      <c r="H853" s="71"/>
      <c r="I853" s="68" t="s">
        <v>3493</v>
      </c>
      <c r="J853" s="68" t="s">
        <v>3494</v>
      </c>
      <c r="K853" s="71"/>
      <c r="L853" s="71"/>
      <c r="M853" s="68" t="s">
        <v>27</v>
      </c>
      <c r="N853" s="61"/>
      <c r="O853" s="51"/>
    </row>
    <row r="854">
      <c r="A854" s="56">
        <v>851.0</v>
      </c>
      <c r="B854" s="68">
        <v>4061.0</v>
      </c>
      <c r="C854" s="69">
        <v>863.0</v>
      </c>
      <c r="D854" s="68" t="s">
        <v>3495</v>
      </c>
      <c r="E854" s="68" t="s">
        <v>3496</v>
      </c>
      <c r="F854" s="76">
        <v>41030.0</v>
      </c>
      <c r="G854" s="68" t="s">
        <v>3497</v>
      </c>
      <c r="H854" s="71"/>
      <c r="I854" s="63" t="s">
        <v>3498</v>
      </c>
      <c r="J854" s="68" t="s">
        <v>3499</v>
      </c>
      <c r="K854" s="71"/>
      <c r="L854" s="71"/>
      <c r="M854" s="71"/>
      <c r="N854" s="61"/>
      <c r="O854" s="51"/>
    </row>
    <row r="855">
      <c r="A855" s="56">
        <v>852.0</v>
      </c>
      <c r="B855" s="63">
        <v>4062.0</v>
      </c>
      <c r="C855" s="64">
        <v>864.0</v>
      </c>
      <c r="D855" s="63" t="s">
        <v>3500</v>
      </c>
      <c r="E855" s="63" t="s">
        <v>3501</v>
      </c>
      <c r="F855" s="70">
        <v>39995.0</v>
      </c>
      <c r="G855" s="80" t="s">
        <v>3502</v>
      </c>
      <c r="H855" s="80" t="s">
        <v>3503</v>
      </c>
      <c r="I855" s="99" t="s">
        <v>3504</v>
      </c>
      <c r="J855" s="63" t="s">
        <v>1971</v>
      </c>
      <c r="K855" s="66"/>
      <c r="L855" s="66"/>
      <c r="M855" s="63" t="s">
        <v>530</v>
      </c>
      <c r="N855" s="61"/>
      <c r="O855" s="51"/>
    </row>
    <row r="856">
      <c r="A856" s="56">
        <v>853.0</v>
      </c>
      <c r="B856" s="63">
        <v>4063.0</v>
      </c>
      <c r="C856" s="64">
        <v>865.0</v>
      </c>
      <c r="D856" s="63" t="s">
        <v>3500</v>
      </c>
      <c r="E856" s="63" t="s">
        <v>3505</v>
      </c>
      <c r="F856" s="70">
        <v>39995.0</v>
      </c>
      <c r="G856" s="80" t="s">
        <v>3506</v>
      </c>
      <c r="H856" s="80" t="s">
        <v>3507</v>
      </c>
      <c r="I856" s="99" t="s">
        <v>3504</v>
      </c>
      <c r="J856" s="63" t="s">
        <v>1971</v>
      </c>
      <c r="K856" s="66"/>
      <c r="L856" s="66"/>
      <c r="M856" s="63" t="s">
        <v>530</v>
      </c>
      <c r="N856" s="61"/>
      <c r="O856" s="51"/>
    </row>
    <row r="857">
      <c r="A857" s="56">
        <v>854.0</v>
      </c>
      <c r="B857" s="63">
        <v>4064.0</v>
      </c>
      <c r="C857" s="64">
        <v>866.0</v>
      </c>
      <c r="D857" s="63" t="s">
        <v>3500</v>
      </c>
      <c r="E857" s="63" t="s">
        <v>3508</v>
      </c>
      <c r="F857" s="70">
        <v>39995.0</v>
      </c>
      <c r="G857" s="80" t="s">
        <v>3506</v>
      </c>
      <c r="H857" s="80" t="s">
        <v>3509</v>
      </c>
      <c r="I857" s="99" t="s">
        <v>3504</v>
      </c>
      <c r="J857" s="63" t="s">
        <v>1971</v>
      </c>
      <c r="K857" s="66"/>
      <c r="L857" s="66"/>
      <c r="M857" s="63" t="s">
        <v>530</v>
      </c>
      <c r="N857" s="61"/>
      <c r="O857" s="51"/>
    </row>
    <row r="858">
      <c r="A858" s="56">
        <v>855.0</v>
      </c>
      <c r="B858" s="63">
        <v>4065.0</v>
      </c>
      <c r="C858" s="64">
        <v>867.0</v>
      </c>
      <c r="D858" s="63" t="s">
        <v>3500</v>
      </c>
      <c r="E858" s="63" t="s">
        <v>3510</v>
      </c>
      <c r="F858" s="70">
        <v>39995.0</v>
      </c>
      <c r="G858" s="80" t="s">
        <v>3506</v>
      </c>
      <c r="H858" s="80" t="s">
        <v>3511</v>
      </c>
      <c r="I858" s="99" t="s">
        <v>3504</v>
      </c>
      <c r="J858" s="63" t="s">
        <v>1971</v>
      </c>
      <c r="K858" s="66"/>
      <c r="L858" s="66"/>
      <c r="M858" s="63" t="s">
        <v>530</v>
      </c>
      <c r="N858" s="61"/>
      <c r="O858" s="51"/>
    </row>
    <row r="859">
      <c r="A859" s="56">
        <v>856.0</v>
      </c>
      <c r="B859" s="63">
        <v>4066.0</v>
      </c>
      <c r="C859" s="64">
        <v>868.0</v>
      </c>
      <c r="D859" s="63" t="s">
        <v>3500</v>
      </c>
      <c r="E859" s="63" t="s">
        <v>3512</v>
      </c>
      <c r="F859" s="70">
        <v>39995.0</v>
      </c>
      <c r="G859" s="80" t="s">
        <v>3506</v>
      </c>
      <c r="H859" s="82"/>
      <c r="I859" s="99" t="s">
        <v>3504</v>
      </c>
      <c r="J859" s="63" t="s">
        <v>1971</v>
      </c>
      <c r="K859" s="66"/>
      <c r="L859" s="66"/>
      <c r="M859" s="63" t="s">
        <v>530</v>
      </c>
      <c r="N859" s="61"/>
      <c r="O859" s="51"/>
    </row>
    <row r="860">
      <c r="A860" s="56">
        <v>857.0</v>
      </c>
      <c r="B860" s="63">
        <v>4067.0</v>
      </c>
      <c r="C860" s="64">
        <v>869.0</v>
      </c>
      <c r="D860" s="63" t="s">
        <v>3513</v>
      </c>
      <c r="E860" s="63" t="s">
        <v>3514</v>
      </c>
      <c r="F860" s="70">
        <v>39995.0</v>
      </c>
      <c r="G860" s="80" t="s">
        <v>3506</v>
      </c>
      <c r="H860" s="82"/>
      <c r="I860" s="99" t="s">
        <v>3504</v>
      </c>
      <c r="J860" s="63" t="s">
        <v>1971</v>
      </c>
      <c r="K860" s="66"/>
      <c r="L860" s="66"/>
      <c r="M860" s="63" t="s">
        <v>530</v>
      </c>
      <c r="N860" s="61"/>
      <c r="O860" s="51"/>
    </row>
    <row r="861">
      <c r="A861" s="56">
        <v>858.0</v>
      </c>
      <c r="B861" s="63">
        <v>4068.0</v>
      </c>
      <c r="C861" s="64">
        <v>870.0</v>
      </c>
      <c r="D861" s="63" t="s">
        <v>3500</v>
      </c>
      <c r="E861" s="63" t="s">
        <v>3515</v>
      </c>
      <c r="F861" s="70">
        <v>39995.0</v>
      </c>
      <c r="G861" s="80" t="s">
        <v>3506</v>
      </c>
      <c r="H861" s="82"/>
      <c r="I861" s="99" t="s">
        <v>3516</v>
      </c>
      <c r="J861" s="63" t="s">
        <v>1971</v>
      </c>
      <c r="K861" s="66"/>
      <c r="L861" s="66"/>
      <c r="M861" s="63" t="s">
        <v>530</v>
      </c>
      <c r="N861" s="61"/>
      <c r="O861" s="51"/>
    </row>
    <row r="862">
      <c r="A862" s="56">
        <v>859.0</v>
      </c>
      <c r="B862" s="63">
        <v>4069.0</v>
      </c>
      <c r="C862" s="64">
        <v>871.0</v>
      </c>
      <c r="D862" s="66"/>
      <c r="E862" s="63" t="s">
        <v>3517</v>
      </c>
      <c r="F862" s="70">
        <v>40644.0</v>
      </c>
      <c r="G862" s="80" t="s">
        <v>3518</v>
      </c>
      <c r="H862" s="82"/>
      <c r="I862" s="99" t="s">
        <v>3519</v>
      </c>
      <c r="J862" s="63" t="s">
        <v>136</v>
      </c>
      <c r="K862" s="66"/>
      <c r="L862" s="66"/>
      <c r="M862" s="63" t="s">
        <v>27</v>
      </c>
      <c r="N862" s="61"/>
      <c r="O862" s="51"/>
    </row>
    <row r="863">
      <c r="A863" s="56">
        <v>860.0</v>
      </c>
      <c r="B863" s="68">
        <v>4070.0</v>
      </c>
      <c r="C863" s="69">
        <v>872.0</v>
      </c>
      <c r="D863" s="68" t="s">
        <v>3520</v>
      </c>
      <c r="E863" s="68" t="s">
        <v>3521</v>
      </c>
      <c r="F863" s="76">
        <v>40796.0</v>
      </c>
      <c r="G863" s="68" t="s">
        <v>3522</v>
      </c>
      <c r="H863" s="71"/>
      <c r="I863" s="68" t="s">
        <v>3523</v>
      </c>
      <c r="J863" s="68" t="s">
        <v>3524</v>
      </c>
      <c r="K863" s="71"/>
      <c r="L863" s="71"/>
      <c r="M863" s="71"/>
      <c r="N863" s="61"/>
      <c r="O863" s="51"/>
    </row>
    <row r="864">
      <c r="A864" s="56">
        <v>861.0</v>
      </c>
      <c r="B864" s="68">
        <v>4071.0</v>
      </c>
      <c r="C864" s="69">
        <v>873.0</v>
      </c>
      <c r="D864" s="71"/>
      <c r="E864" s="68" t="s">
        <v>3525</v>
      </c>
      <c r="F864" s="83">
        <v>40908.0</v>
      </c>
      <c r="G864" s="68" t="s">
        <v>3526</v>
      </c>
      <c r="H864" s="71"/>
      <c r="I864" s="63" t="s">
        <v>3527</v>
      </c>
      <c r="J864" s="68" t="s">
        <v>148</v>
      </c>
      <c r="K864" s="71"/>
      <c r="L864" s="71"/>
      <c r="M864" s="68" t="s">
        <v>3528</v>
      </c>
      <c r="N864" s="61"/>
      <c r="O864" s="51"/>
    </row>
    <row r="865">
      <c r="A865" s="56">
        <v>862.0</v>
      </c>
      <c r="B865" s="68">
        <v>4072.0</v>
      </c>
      <c r="C865" s="69">
        <v>874.0</v>
      </c>
      <c r="D865" s="68" t="s">
        <v>3529</v>
      </c>
      <c r="E865" s="68" t="s">
        <v>3530</v>
      </c>
      <c r="F865" s="76">
        <v>39995.0</v>
      </c>
      <c r="G865" s="68" t="s">
        <v>3531</v>
      </c>
      <c r="H865" s="71"/>
      <c r="I865" s="63" t="s">
        <v>3532</v>
      </c>
      <c r="J865" s="68" t="s">
        <v>3533</v>
      </c>
      <c r="K865" s="71"/>
      <c r="L865" s="71"/>
      <c r="M865" s="71"/>
      <c r="N865" s="61"/>
      <c r="O865" s="51"/>
    </row>
    <row r="866">
      <c r="A866" s="56">
        <v>863.0</v>
      </c>
      <c r="B866" s="68">
        <v>4073.0</v>
      </c>
      <c r="C866" s="69">
        <v>875.0</v>
      </c>
      <c r="D866" s="68" t="s">
        <v>3534</v>
      </c>
      <c r="E866" s="68" t="s">
        <v>3535</v>
      </c>
      <c r="F866" s="76">
        <v>41133.0</v>
      </c>
      <c r="G866" s="68" t="s">
        <v>3536</v>
      </c>
      <c r="H866" s="71"/>
      <c r="I866" s="63" t="s">
        <v>3537</v>
      </c>
      <c r="J866" s="68" t="s">
        <v>3538</v>
      </c>
      <c r="K866" s="71"/>
      <c r="L866" s="71"/>
      <c r="M866" s="71"/>
      <c r="N866" s="61"/>
      <c r="O866" s="51"/>
    </row>
    <row r="867">
      <c r="A867" s="56">
        <v>864.0</v>
      </c>
      <c r="B867" s="63">
        <v>4074.0</v>
      </c>
      <c r="C867" s="64" t="s">
        <v>3539</v>
      </c>
      <c r="D867" s="63" t="s">
        <v>3540</v>
      </c>
      <c r="E867" s="63" t="s">
        <v>3541</v>
      </c>
      <c r="F867" s="70">
        <v>40033.0</v>
      </c>
      <c r="G867" s="80" t="s">
        <v>3542</v>
      </c>
      <c r="H867" s="82"/>
      <c r="I867" s="63" t="s">
        <v>3543</v>
      </c>
      <c r="J867" s="63" t="s">
        <v>1971</v>
      </c>
      <c r="K867" s="66"/>
      <c r="L867" s="66"/>
      <c r="M867" s="63" t="s">
        <v>530</v>
      </c>
      <c r="N867" s="61"/>
      <c r="O867" s="51"/>
    </row>
    <row r="868">
      <c r="A868" s="56">
        <v>865.0</v>
      </c>
      <c r="B868" s="68">
        <v>4076.0</v>
      </c>
      <c r="C868" s="69">
        <v>877.0</v>
      </c>
      <c r="D868" s="71"/>
      <c r="E868" s="68" t="s">
        <v>3544</v>
      </c>
      <c r="F868" s="76">
        <v>41139.0</v>
      </c>
      <c r="G868" s="68" t="s">
        <v>3545</v>
      </c>
      <c r="H868" s="71"/>
      <c r="I868" s="99" t="s">
        <v>3546</v>
      </c>
      <c r="J868" s="68" t="s">
        <v>3547</v>
      </c>
      <c r="K868" s="71"/>
      <c r="L868" s="71"/>
      <c r="M868" s="71"/>
      <c r="N868" s="61"/>
      <c r="O868" s="51"/>
    </row>
    <row r="869">
      <c r="A869" s="56">
        <v>866.0</v>
      </c>
      <c r="B869" s="68">
        <v>4077.0</v>
      </c>
      <c r="C869" s="69">
        <v>879.0</v>
      </c>
      <c r="D869" s="71"/>
      <c r="E869" s="68" t="s">
        <v>3548</v>
      </c>
      <c r="F869" s="76">
        <v>41139.0</v>
      </c>
      <c r="G869" s="68" t="s">
        <v>3545</v>
      </c>
      <c r="H869" s="71"/>
      <c r="I869" s="99" t="s">
        <v>3546</v>
      </c>
      <c r="J869" s="68" t="s">
        <v>3547</v>
      </c>
      <c r="K869" s="71"/>
      <c r="L869" s="71"/>
      <c r="M869" s="71"/>
      <c r="N869" s="61"/>
      <c r="O869" s="51"/>
    </row>
    <row r="870">
      <c r="A870" s="56">
        <v>867.0</v>
      </c>
      <c r="B870" s="63">
        <v>4078.0</v>
      </c>
      <c r="C870" s="64" t="s">
        <v>3549</v>
      </c>
      <c r="D870" s="63" t="s">
        <v>3550</v>
      </c>
      <c r="E870" s="63" t="s">
        <v>3551</v>
      </c>
      <c r="F870" s="70">
        <v>40059.0</v>
      </c>
      <c r="G870" s="80" t="s">
        <v>3552</v>
      </c>
      <c r="H870" s="82"/>
      <c r="I870" s="63" t="s">
        <v>3553</v>
      </c>
      <c r="J870" s="63" t="s">
        <v>1971</v>
      </c>
      <c r="K870" s="66"/>
      <c r="L870" s="63" t="s">
        <v>1496</v>
      </c>
      <c r="M870" s="63" t="s">
        <v>530</v>
      </c>
      <c r="N870" s="61"/>
      <c r="O870" s="51"/>
    </row>
    <row r="871">
      <c r="A871" s="56">
        <v>868.0</v>
      </c>
      <c r="B871" s="68">
        <v>4079.0</v>
      </c>
      <c r="C871" s="69">
        <v>881.0</v>
      </c>
      <c r="D871" s="71"/>
      <c r="E871" s="68" t="s">
        <v>3554</v>
      </c>
      <c r="F871" s="76">
        <v>42196.0</v>
      </c>
      <c r="G871" s="68" t="s">
        <v>3555</v>
      </c>
      <c r="H871" s="71"/>
      <c r="I871" s="63" t="s">
        <v>3556</v>
      </c>
      <c r="J871" s="71"/>
      <c r="K871" s="71"/>
      <c r="L871" s="71"/>
      <c r="M871" s="68" t="s">
        <v>137</v>
      </c>
      <c r="N871" s="61"/>
      <c r="O871" s="51"/>
    </row>
    <row r="872">
      <c r="A872" s="56">
        <v>869.0</v>
      </c>
      <c r="B872" s="68">
        <v>4080.0</v>
      </c>
      <c r="C872" s="69">
        <v>882.0</v>
      </c>
      <c r="D872" s="71"/>
      <c r="E872" s="68" t="s">
        <v>3557</v>
      </c>
      <c r="F872" s="76">
        <v>41138.0</v>
      </c>
      <c r="G872" s="68" t="s">
        <v>3558</v>
      </c>
      <c r="H872" s="71"/>
      <c r="I872" s="63" t="s">
        <v>3559</v>
      </c>
      <c r="J872" s="68" t="s">
        <v>3560</v>
      </c>
      <c r="K872" s="71"/>
      <c r="L872" s="71"/>
      <c r="M872" s="71"/>
      <c r="N872" s="61"/>
      <c r="O872" s="51"/>
    </row>
    <row r="873">
      <c r="A873" s="56">
        <v>870.0</v>
      </c>
      <c r="B873" s="68">
        <v>4081.0</v>
      </c>
      <c r="C873" s="69">
        <v>883.0</v>
      </c>
      <c r="D873" s="68" t="s">
        <v>3561</v>
      </c>
      <c r="E873" s="68" t="s">
        <v>3562</v>
      </c>
      <c r="F873" s="76">
        <v>40959.0</v>
      </c>
      <c r="G873" s="68" t="s">
        <v>3563</v>
      </c>
      <c r="H873" s="71"/>
      <c r="I873" s="63" t="s">
        <v>635</v>
      </c>
      <c r="J873" s="68" t="s">
        <v>3564</v>
      </c>
      <c r="K873" s="71"/>
      <c r="L873" s="71"/>
      <c r="M873" s="71"/>
      <c r="N873" s="61"/>
      <c r="O873" s="51"/>
    </row>
    <row r="874">
      <c r="A874" s="56">
        <v>871.0</v>
      </c>
      <c r="B874" s="68">
        <v>4082.0</v>
      </c>
      <c r="C874" s="69">
        <v>884.0</v>
      </c>
      <c r="D874" s="71"/>
      <c r="E874" s="68" t="s">
        <v>3565</v>
      </c>
      <c r="F874" s="83">
        <v>40896.0</v>
      </c>
      <c r="G874" s="68" t="s">
        <v>3566</v>
      </c>
      <c r="H874" s="71"/>
      <c r="I874" s="63" t="s">
        <v>3567</v>
      </c>
      <c r="J874" s="68" t="s">
        <v>3568</v>
      </c>
      <c r="K874" s="71"/>
      <c r="L874" s="71"/>
      <c r="M874" s="104"/>
      <c r="N874" s="105"/>
      <c r="O874" s="51"/>
    </row>
    <row r="875">
      <c r="A875" s="56">
        <v>872.0</v>
      </c>
      <c r="B875" s="68">
        <v>4083.0</v>
      </c>
      <c r="C875" s="69">
        <v>885.0</v>
      </c>
      <c r="D875" s="71"/>
      <c r="E875" s="68" t="s">
        <v>3569</v>
      </c>
      <c r="F875" s="76">
        <v>40118.0</v>
      </c>
      <c r="G875" s="68" t="s">
        <v>3570</v>
      </c>
      <c r="H875" s="71"/>
      <c r="I875" s="68" t="s">
        <v>635</v>
      </c>
      <c r="J875" s="68" t="s">
        <v>3571</v>
      </c>
      <c r="K875" s="71"/>
      <c r="L875" s="71"/>
      <c r="M875" s="111"/>
      <c r="N875" s="61"/>
      <c r="O875" s="51"/>
    </row>
    <row r="876">
      <c r="A876" s="56">
        <v>873.0</v>
      </c>
      <c r="B876" s="63">
        <v>4084.0</v>
      </c>
      <c r="C876" s="64">
        <v>886.0</v>
      </c>
      <c r="D876" s="66"/>
      <c r="E876" s="63" t="s">
        <v>3572</v>
      </c>
      <c r="F876" s="70">
        <v>39784.0</v>
      </c>
      <c r="G876" s="80" t="s">
        <v>3573</v>
      </c>
      <c r="H876" s="82"/>
      <c r="I876" s="63" t="s">
        <v>3574</v>
      </c>
      <c r="J876" s="63" t="s">
        <v>3575</v>
      </c>
      <c r="K876" s="66"/>
      <c r="L876" s="66"/>
      <c r="M876" s="63" t="s">
        <v>2152</v>
      </c>
      <c r="N876" s="61"/>
      <c r="O876" s="51"/>
    </row>
    <row r="877">
      <c r="A877" s="56">
        <v>874.0</v>
      </c>
      <c r="B877" s="68">
        <v>4085.0</v>
      </c>
      <c r="C877" s="69">
        <v>887.0</v>
      </c>
      <c r="D877" s="68" t="s">
        <v>3576</v>
      </c>
      <c r="E877" s="68" t="s">
        <v>3577</v>
      </c>
      <c r="F877" s="76">
        <v>41059.0</v>
      </c>
      <c r="G877" s="68" t="s">
        <v>3578</v>
      </c>
      <c r="H877" s="71"/>
      <c r="I877" s="63" t="s">
        <v>3579</v>
      </c>
      <c r="J877" s="68" t="s">
        <v>3580</v>
      </c>
      <c r="K877" s="71"/>
      <c r="L877" s="71"/>
      <c r="M877" s="71"/>
      <c r="N877" s="61"/>
      <c r="O877" s="51"/>
    </row>
    <row r="878">
      <c r="A878" s="56">
        <v>875.0</v>
      </c>
      <c r="B878" s="68">
        <v>4086.0</v>
      </c>
      <c r="C878" s="69">
        <v>888.0</v>
      </c>
      <c r="D878" s="71"/>
      <c r="E878" s="68" t="s">
        <v>3581</v>
      </c>
      <c r="F878" s="76">
        <v>41131.0</v>
      </c>
      <c r="G878" s="68" t="s">
        <v>3582</v>
      </c>
      <c r="H878" s="71"/>
      <c r="I878" s="63" t="s">
        <v>3583</v>
      </c>
      <c r="J878" s="68" t="s">
        <v>3584</v>
      </c>
      <c r="K878" s="71"/>
      <c r="L878" s="71"/>
      <c r="M878" s="71"/>
      <c r="N878" s="61"/>
      <c r="O878" s="51"/>
    </row>
    <row r="879">
      <c r="A879" s="56">
        <v>876.0</v>
      </c>
      <c r="B879" s="68">
        <v>4087.0</v>
      </c>
      <c r="C879" s="69">
        <v>889.0</v>
      </c>
      <c r="D879" s="71"/>
      <c r="E879" s="68" t="s">
        <v>3585</v>
      </c>
      <c r="F879" s="76">
        <v>41139.0</v>
      </c>
      <c r="G879" s="68" t="s">
        <v>3586</v>
      </c>
      <c r="H879" s="71"/>
      <c r="I879" s="63" t="s">
        <v>3587</v>
      </c>
      <c r="J879" s="68" t="s">
        <v>3588</v>
      </c>
      <c r="K879" s="71"/>
      <c r="L879" s="71"/>
      <c r="M879" s="71"/>
      <c r="N879" s="61"/>
      <c r="O879" s="51"/>
    </row>
    <row r="880">
      <c r="A880" s="56">
        <v>877.0</v>
      </c>
      <c r="B880" s="68">
        <v>4088.0</v>
      </c>
      <c r="C880" s="69">
        <v>890.0</v>
      </c>
      <c r="D880" s="71"/>
      <c r="E880" s="68" t="s">
        <v>3589</v>
      </c>
      <c r="F880" s="76">
        <v>41133.0</v>
      </c>
      <c r="G880" s="68" t="s">
        <v>3590</v>
      </c>
      <c r="H880" s="71"/>
      <c r="I880" s="63" t="s">
        <v>3591</v>
      </c>
      <c r="J880" s="68" t="s">
        <v>3592</v>
      </c>
      <c r="K880" s="71"/>
      <c r="L880" s="71"/>
      <c r="M880" s="71"/>
      <c r="N880" s="61"/>
      <c r="O880" s="51"/>
    </row>
    <row r="881">
      <c r="A881" s="75">
        <v>878.0</v>
      </c>
      <c r="B881" s="68">
        <v>4089.0</v>
      </c>
      <c r="C881" s="69" t="s">
        <v>3593</v>
      </c>
      <c r="D881" s="71"/>
      <c r="E881" s="68" t="s">
        <v>3594</v>
      </c>
      <c r="F881" s="76">
        <v>40258.0</v>
      </c>
      <c r="G881" s="68" t="s">
        <v>3595</v>
      </c>
      <c r="H881" s="71"/>
      <c r="I881" s="68" t="s">
        <v>3596</v>
      </c>
      <c r="J881" s="68" t="s">
        <v>1392</v>
      </c>
      <c r="K881" s="71"/>
      <c r="L881" s="71"/>
      <c r="M881" s="68" t="s">
        <v>530</v>
      </c>
      <c r="N881" s="77"/>
      <c r="O881" s="51"/>
    </row>
    <row r="882">
      <c r="A882" s="56">
        <v>879.0</v>
      </c>
      <c r="B882" s="68">
        <v>4090.0</v>
      </c>
      <c r="C882" s="69">
        <v>892.0</v>
      </c>
      <c r="D882" s="71"/>
      <c r="E882" s="68" t="s">
        <v>3597</v>
      </c>
      <c r="F882" s="76">
        <v>41140.0</v>
      </c>
      <c r="G882" s="68" t="s">
        <v>3598</v>
      </c>
      <c r="H882" s="71"/>
      <c r="I882" s="63" t="s">
        <v>3599</v>
      </c>
      <c r="J882" s="68" t="s">
        <v>3600</v>
      </c>
      <c r="K882" s="71"/>
      <c r="L882" s="71"/>
      <c r="M882" s="71"/>
      <c r="N882" s="61"/>
      <c r="O882" s="51"/>
    </row>
    <row r="883">
      <c r="A883" s="56">
        <v>880.0</v>
      </c>
      <c r="B883" s="63">
        <v>4091.0</v>
      </c>
      <c r="C883" s="64" t="s">
        <v>3601</v>
      </c>
      <c r="D883" s="66"/>
      <c r="E883" s="63" t="s">
        <v>3602</v>
      </c>
      <c r="F883" s="70">
        <v>40360.0</v>
      </c>
      <c r="G883" s="80" t="s">
        <v>3603</v>
      </c>
      <c r="H883" s="82"/>
      <c r="I883" s="63" t="s">
        <v>3604</v>
      </c>
      <c r="J883" s="63" t="s">
        <v>3605</v>
      </c>
      <c r="K883" s="66"/>
      <c r="L883" s="66"/>
      <c r="M883" s="63" t="s">
        <v>31</v>
      </c>
      <c r="N883" s="61"/>
      <c r="O883" s="51"/>
    </row>
    <row r="884">
      <c r="A884" s="56">
        <v>881.0</v>
      </c>
      <c r="B884" s="68">
        <v>4092.0</v>
      </c>
      <c r="C884" s="69">
        <v>894.0</v>
      </c>
      <c r="D884" s="71"/>
      <c r="E884" s="68" t="s">
        <v>3606</v>
      </c>
      <c r="F884" s="76">
        <v>39927.0</v>
      </c>
      <c r="G884" s="68" t="s">
        <v>3607</v>
      </c>
      <c r="H884" s="71"/>
      <c r="I884" s="63" t="s">
        <v>635</v>
      </c>
      <c r="J884" s="68" t="s">
        <v>3608</v>
      </c>
      <c r="K884" s="71"/>
      <c r="L884" s="71"/>
      <c r="M884" s="71"/>
      <c r="N884" s="61"/>
      <c r="O884" s="51"/>
    </row>
    <row r="885">
      <c r="A885" s="56">
        <v>882.0</v>
      </c>
      <c r="B885" s="63">
        <v>4093.0</v>
      </c>
      <c r="C885" s="64">
        <v>895.0</v>
      </c>
      <c r="D885" s="66"/>
      <c r="E885" s="63" t="s">
        <v>3609</v>
      </c>
      <c r="F885" s="63" t="s">
        <v>407</v>
      </c>
      <c r="G885" s="80" t="s">
        <v>3610</v>
      </c>
      <c r="H885" s="82"/>
      <c r="I885" s="66"/>
      <c r="J885" s="63" t="s">
        <v>1490</v>
      </c>
      <c r="K885" s="66"/>
      <c r="L885" s="66"/>
      <c r="M885" s="66"/>
      <c r="N885" s="61"/>
      <c r="O885" s="51"/>
    </row>
    <row r="886">
      <c r="A886" s="56">
        <v>883.0</v>
      </c>
      <c r="B886" s="63">
        <v>4094.0</v>
      </c>
      <c r="C886" s="64">
        <v>896.0</v>
      </c>
      <c r="D886" s="63" t="s">
        <v>3611</v>
      </c>
      <c r="E886" s="63" t="s">
        <v>3612</v>
      </c>
      <c r="F886" s="70">
        <v>40086.0</v>
      </c>
      <c r="G886" s="80" t="s">
        <v>3613</v>
      </c>
      <c r="H886" s="82"/>
      <c r="I886" s="99" t="s">
        <v>3614</v>
      </c>
      <c r="J886" s="63" t="s">
        <v>1971</v>
      </c>
      <c r="K886" s="66"/>
      <c r="L886" s="66"/>
      <c r="M886" s="63" t="s">
        <v>530</v>
      </c>
      <c r="N886" s="61"/>
      <c r="O886" s="51"/>
    </row>
    <row r="887">
      <c r="A887" s="56">
        <v>884.0</v>
      </c>
      <c r="B887" s="63">
        <v>4095.0</v>
      </c>
      <c r="C887" s="64">
        <v>897.0</v>
      </c>
      <c r="D887" s="63" t="s">
        <v>3611</v>
      </c>
      <c r="E887" s="63" t="s">
        <v>3615</v>
      </c>
      <c r="F887" s="70">
        <v>40086.0</v>
      </c>
      <c r="G887" s="80" t="s">
        <v>3616</v>
      </c>
      <c r="H887" s="82"/>
      <c r="I887" s="99" t="s">
        <v>3617</v>
      </c>
      <c r="J887" s="63" t="s">
        <v>1971</v>
      </c>
      <c r="K887" s="66"/>
      <c r="L887" s="66"/>
      <c r="M887" s="63" t="s">
        <v>530</v>
      </c>
      <c r="N887" s="61"/>
      <c r="O887" s="51"/>
    </row>
    <row r="888">
      <c r="A888" s="56">
        <v>885.0</v>
      </c>
      <c r="B888" s="63">
        <v>4096.0</v>
      </c>
      <c r="C888" s="64">
        <v>898.0</v>
      </c>
      <c r="D888" s="66"/>
      <c r="E888" s="63" t="s">
        <v>3618</v>
      </c>
      <c r="F888" s="70">
        <v>38516.0</v>
      </c>
      <c r="G888" s="80" t="s">
        <v>3619</v>
      </c>
      <c r="H888" s="71"/>
      <c r="I888" s="63" t="s">
        <v>3620</v>
      </c>
      <c r="J888" s="63" t="s">
        <v>136</v>
      </c>
      <c r="K888" s="66"/>
      <c r="L888" s="66"/>
      <c r="M888" s="66"/>
      <c r="N888" s="61"/>
      <c r="O888" s="51"/>
    </row>
    <row r="889">
      <c r="A889" s="56">
        <v>886.0</v>
      </c>
      <c r="B889" s="63">
        <v>4097.0</v>
      </c>
      <c r="C889" s="64">
        <v>899.0</v>
      </c>
      <c r="D889" s="63" t="s">
        <v>3621</v>
      </c>
      <c r="E889" s="63" t="s">
        <v>3622</v>
      </c>
      <c r="F889" s="70">
        <v>40001.0</v>
      </c>
      <c r="G889" s="80" t="s">
        <v>3623</v>
      </c>
      <c r="H889" s="82"/>
      <c r="I889" s="99" t="s">
        <v>3624</v>
      </c>
      <c r="J889" s="63" t="s">
        <v>1971</v>
      </c>
      <c r="K889" s="66"/>
      <c r="L889" s="66"/>
      <c r="M889" s="63" t="s">
        <v>530</v>
      </c>
      <c r="N889" s="61"/>
      <c r="O889" s="51"/>
    </row>
    <row r="890">
      <c r="A890" s="56">
        <v>887.0</v>
      </c>
      <c r="B890" s="63">
        <v>4098.0</v>
      </c>
      <c r="C890" s="64">
        <v>900.0</v>
      </c>
      <c r="D890" s="63" t="s">
        <v>3621</v>
      </c>
      <c r="E890" s="63" t="s">
        <v>3625</v>
      </c>
      <c r="F890" s="70">
        <v>40001.0</v>
      </c>
      <c r="G890" s="80" t="s">
        <v>3623</v>
      </c>
      <c r="H890" s="82"/>
      <c r="I890" s="99" t="s">
        <v>3624</v>
      </c>
      <c r="J890" s="63" t="s">
        <v>1971</v>
      </c>
      <c r="K890" s="66"/>
      <c r="L890" s="66"/>
      <c r="M890" s="63" t="s">
        <v>530</v>
      </c>
      <c r="N890" s="61"/>
      <c r="O890" s="51"/>
    </row>
    <row r="891">
      <c r="A891" s="56">
        <v>888.0</v>
      </c>
      <c r="B891" s="68">
        <v>4100.0</v>
      </c>
      <c r="C891" s="69">
        <v>902.0</v>
      </c>
      <c r="D891" s="68" t="s">
        <v>3626</v>
      </c>
      <c r="E891" s="68" t="s">
        <v>3627</v>
      </c>
      <c r="F891" s="76">
        <v>41155.0</v>
      </c>
      <c r="G891" s="68" t="s">
        <v>3628</v>
      </c>
      <c r="H891" s="71"/>
      <c r="I891" s="68" t="s">
        <v>635</v>
      </c>
      <c r="J891" s="100" t="s">
        <v>3629</v>
      </c>
      <c r="K891" s="101"/>
      <c r="L891" s="71"/>
      <c r="M891" s="71"/>
      <c r="N891" s="77"/>
      <c r="O891" s="51"/>
    </row>
    <row r="892">
      <c r="A892" s="56">
        <v>889.0</v>
      </c>
      <c r="B892" s="68">
        <v>4101.0</v>
      </c>
      <c r="C892" s="69">
        <v>903.0</v>
      </c>
      <c r="D892" s="68" t="s">
        <v>3630</v>
      </c>
      <c r="E892" s="68" t="s">
        <v>3631</v>
      </c>
      <c r="F892" s="76">
        <v>40725.0</v>
      </c>
      <c r="G892" s="68" t="s">
        <v>3632</v>
      </c>
      <c r="H892" s="71"/>
      <c r="I892" s="63" t="s">
        <v>3633</v>
      </c>
      <c r="J892" s="68" t="s">
        <v>3634</v>
      </c>
      <c r="K892" s="71"/>
      <c r="L892" s="71"/>
      <c r="M892" s="71"/>
      <c r="N892" s="61"/>
      <c r="O892" s="51"/>
    </row>
    <row r="893">
      <c r="A893" s="56">
        <v>890.0</v>
      </c>
      <c r="B893" s="63">
        <v>4102.0</v>
      </c>
      <c r="C893" s="64" t="s">
        <v>3635</v>
      </c>
      <c r="D893" s="63" t="s">
        <v>3636</v>
      </c>
      <c r="E893" s="63" t="s">
        <v>3637</v>
      </c>
      <c r="F893" s="70">
        <v>40059.0</v>
      </c>
      <c r="G893" s="80" t="s">
        <v>3638</v>
      </c>
      <c r="H893" s="82"/>
      <c r="I893" s="63" t="s">
        <v>3639</v>
      </c>
      <c r="J893" s="63" t="s">
        <v>1872</v>
      </c>
      <c r="K893" s="66"/>
      <c r="L893" s="66"/>
      <c r="M893" s="63" t="s">
        <v>530</v>
      </c>
      <c r="N893" s="61"/>
      <c r="O893" s="51"/>
    </row>
    <row r="894">
      <c r="A894" s="56">
        <v>891.0</v>
      </c>
      <c r="B894" s="63">
        <v>4103.0</v>
      </c>
      <c r="C894" s="64" t="s">
        <v>3640</v>
      </c>
      <c r="D894" s="63" t="s">
        <v>3641</v>
      </c>
      <c r="E894" s="63" t="s">
        <v>3642</v>
      </c>
      <c r="F894" s="70">
        <v>40074.0</v>
      </c>
      <c r="G894" s="80" t="s">
        <v>3643</v>
      </c>
      <c r="H894" s="82"/>
      <c r="I894" s="99" t="s">
        <v>3644</v>
      </c>
      <c r="J894" s="63" t="s">
        <v>1872</v>
      </c>
      <c r="K894" s="66"/>
      <c r="L894" s="66"/>
      <c r="M894" s="66"/>
      <c r="N894" s="61"/>
      <c r="O894" s="51"/>
    </row>
    <row r="895">
      <c r="A895" s="56">
        <v>892.0</v>
      </c>
      <c r="B895" s="63">
        <v>4104.0</v>
      </c>
      <c r="C895" s="64" t="s">
        <v>3645</v>
      </c>
      <c r="D895" s="63" t="s">
        <v>3641</v>
      </c>
      <c r="E895" s="63" t="s">
        <v>3646</v>
      </c>
      <c r="F895" s="70">
        <v>40074.0</v>
      </c>
      <c r="G895" s="80" t="s">
        <v>3643</v>
      </c>
      <c r="H895" s="82"/>
      <c r="I895" s="99" t="s">
        <v>3644</v>
      </c>
      <c r="J895" s="63" t="s">
        <v>1872</v>
      </c>
      <c r="K895" s="66"/>
      <c r="L895" s="66"/>
      <c r="M895" s="66"/>
      <c r="N895" s="61"/>
      <c r="O895" s="51"/>
    </row>
    <row r="896">
      <c r="A896" s="56">
        <v>893.0</v>
      </c>
      <c r="B896" s="63">
        <v>4105.0</v>
      </c>
      <c r="C896" s="64" t="s">
        <v>3647</v>
      </c>
      <c r="D896" s="63" t="s">
        <v>3641</v>
      </c>
      <c r="E896" s="63" t="s">
        <v>3648</v>
      </c>
      <c r="F896" s="70">
        <v>40591.0</v>
      </c>
      <c r="G896" s="80" t="s">
        <v>3643</v>
      </c>
      <c r="H896" s="82"/>
      <c r="I896" s="99" t="s">
        <v>3644</v>
      </c>
      <c r="J896" s="63" t="s">
        <v>1872</v>
      </c>
      <c r="K896" s="66"/>
      <c r="L896" s="66"/>
      <c r="M896" s="66"/>
      <c r="N896" s="61"/>
      <c r="O896" s="51"/>
    </row>
    <row r="897">
      <c r="A897" s="56">
        <v>894.0</v>
      </c>
      <c r="B897" s="63">
        <v>4106.0</v>
      </c>
      <c r="C897" s="64" t="s">
        <v>3649</v>
      </c>
      <c r="D897" s="63" t="s">
        <v>3641</v>
      </c>
      <c r="E897" s="63" t="s">
        <v>3650</v>
      </c>
      <c r="F897" s="70">
        <v>40078.0</v>
      </c>
      <c r="G897" s="80" t="s">
        <v>3643</v>
      </c>
      <c r="H897" s="82"/>
      <c r="I897" s="99" t="s">
        <v>3644</v>
      </c>
      <c r="J897" s="63" t="s">
        <v>1872</v>
      </c>
      <c r="K897" s="66"/>
      <c r="L897" s="66"/>
      <c r="M897" s="66"/>
      <c r="N897" s="61"/>
      <c r="O897" s="51"/>
    </row>
    <row r="898">
      <c r="A898" s="56">
        <v>895.0</v>
      </c>
      <c r="B898" s="68">
        <v>4107.0</v>
      </c>
      <c r="C898" s="69" t="s">
        <v>3651</v>
      </c>
      <c r="D898" s="68" t="s">
        <v>3652</v>
      </c>
      <c r="E898" s="68" t="s">
        <v>3653</v>
      </c>
      <c r="F898" s="76">
        <v>40063.0</v>
      </c>
      <c r="G898" s="68" t="s">
        <v>3654</v>
      </c>
      <c r="H898" s="71"/>
      <c r="I898" s="68" t="s">
        <v>3655</v>
      </c>
      <c r="J898" s="68" t="s">
        <v>3656</v>
      </c>
      <c r="K898" s="71"/>
      <c r="L898" s="71"/>
      <c r="M898" s="71"/>
      <c r="N898" s="61"/>
      <c r="O898" s="51"/>
    </row>
    <row r="899">
      <c r="A899" s="56">
        <v>896.0</v>
      </c>
      <c r="B899" s="68">
        <v>4108.0</v>
      </c>
      <c r="C899" s="69" t="s">
        <v>3657</v>
      </c>
      <c r="D899" s="68" t="s">
        <v>3652</v>
      </c>
      <c r="E899" s="68" t="s">
        <v>3658</v>
      </c>
      <c r="F899" s="76">
        <v>40063.0</v>
      </c>
      <c r="G899" s="68" t="s">
        <v>3654</v>
      </c>
      <c r="H899" s="71"/>
      <c r="I899" s="68" t="s">
        <v>3655</v>
      </c>
      <c r="J899" s="68" t="s">
        <v>3656</v>
      </c>
      <c r="K899" s="71"/>
      <c r="L899" s="71"/>
      <c r="M899" s="71"/>
      <c r="N899" s="61"/>
      <c r="O899" s="51"/>
    </row>
    <row r="900">
      <c r="A900" s="75">
        <v>897.0</v>
      </c>
      <c r="B900" s="68">
        <v>4109.0</v>
      </c>
      <c r="C900" s="69" t="s">
        <v>3659</v>
      </c>
      <c r="D900" s="68" t="s">
        <v>3660</v>
      </c>
      <c r="E900" s="68" t="s">
        <v>3661</v>
      </c>
      <c r="F900" s="76">
        <v>40001.0</v>
      </c>
      <c r="G900" s="68" t="s">
        <v>3662</v>
      </c>
      <c r="H900" s="71"/>
      <c r="I900" s="129" t="s">
        <v>3663</v>
      </c>
      <c r="J900" s="68" t="s">
        <v>1392</v>
      </c>
      <c r="K900" s="71"/>
      <c r="L900" s="71"/>
      <c r="M900" s="68" t="s">
        <v>530</v>
      </c>
      <c r="N900" s="77"/>
      <c r="O900" s="51"/>
    </row>
    <row r="901">
      <c r="A901" s="75">
        <v>898.0</v>
      </c>
      <c r="B901" s="68">
        <v>4110.0</v>
      </c>
      <c r="C901" s="69" t="s">
        <v>3664</v>
      </c>
      <c r="D901" s="68" t="s">
        <v>3660</v>
      </c>
      <c r="E901" s="68" t="s">
        <v>3665</v>
      </c>
      <c r="F901" s="76">
        <v>40001.0</v>
      </c>
      <c r="G901" s="68" t="s">
        <v>3666</v>
      </c>
      <c r="H901" s="71"/>
      <c r="I901" s="114" t="s">
        <v>3663</v>
      </c>
      <c r="J901" s="68" t="s">
        <v>1392</v>
      </c>
      <c r="K901" s="71"/>
      <c r="L901" s="71"/>
      <c r="M901" s="68" t="s">
        <v>530</v>
      </c>
      <c r="N901" s="77"/>
      <c r="O901" s="51"/>
    </row>
    <row r="902">
      <c r="A902" s="56">
        <v>899.0</v>
      </c>
      <c r="B902" s="63">
        <v>4111.0</v>
      </c>
      <c r="C902" s="64" t="s">
        <v>3667</v>
      </c>
      <c r="D902" s="66"/>
      <c r="E902" s="63" t="s">
        <v>3668</v>
      </c>
      <c r="F902" s="70">
        <v>41118.0</v>
      </c>
      <c r="G902" s="80" t="s">
        <v>3669</v>
      </c>
      <c r="H902" s="82"/>
      <c r="I902" s="63" t="s">
        <v>3670</v>
      </c>
      <c r="J902" s="63" t="s">
        <v>2747</v>
      </c>
      <c r="K902" s="66"/>
      <c r="L902" s="66"/>
      <c r="M902" s="63" t="s">
        <v>2748</v>
      </c>
      <c r="N902" s="61"/>
      <c r="O902" s="51"/>
    </row>
    <row r="903">
      <c r="A903" s="56">
        <v>900.0</v>
      </c>
      <c r="B903" s="57">
        <v>4112.0</v>
      </c>
      <c r="C903" s="58">
        <v>914.0</v>
      </c>
      <c r="D903" s="60"/>
      <c r="E903" s="57" t="s">
        <v>3671</v>
      </c>
      <c r="F903" s="59">
        <v>40982.0</v>
      </c>
      <c r="G903" s="57" t="s">
        <v>3672</v>
      </c>
      <c r="H903" s="60"/>
      <c r="I903" s="63" t="s">
        <v>3673</v>
      </c>
      <c r="J903" s="57" t="s">
        <v>3674</v>
      </c>
      <c r="K903" s="60"/>
      <c r="L903" s="60"/>
      <c r="M903" s="60"/>
      <c r="N903" s="61"/>
      <c r="O903" s="51"/>
    </row>
    <row r="904">
      <c r="A904" s="56">
        <v>901.0</v>
      </c>
      <c r="B904" s="68">
        <v>4113.0</v>
      </c>
      <c r="C904" s="69" t="s">
        <v>3675</v>
      </c>
      <c r="D904" s="71"/>
      <c r="E904" s="68" t="s">
        <v>3676</v>
      </c>
      <c r="F904" s="76">
        <v>40072.0</v>
      </c>
      <c r="G904" s="68" t="s">
        <v>3677</v>
      </c>
      <c r="H904" s="71"/>
      <c r="I904" s="68" t="s">
        <v>3678</v>
      </c>
      <c r="J904" s="68" t="s">
        <v>2175</v>
      </c>
      <c r="K904" s="71"/>
      <c r="L904" s="87" t="s">
        <v>3679</v>
      </c>
      <c r="M904" s="68" t="s">
        <v>1393</v>
      </c>
      <c r="N904" s="130"/>
      <c r="O904" s="51"/>
    </row>
    <row r="905">
      <c r="A905" s="56">
        <v>902.0</v>
      </c>
      <c r="B905" s="68">
        <v>4114.0</v>
      </c>
      <c r="C905" s="69" t="s">
        <v>3680</v>
      </c>
      <c r="D905" s="71"/>
      <c r="E905" s="68" t="s">
        <v>3681</v>
      </c>
      <c r="F905" s="76">
        <v>40066.0</v>
      </c>
      <c r="G905" s="68" t="s">
        <v>3682</v>
      </c>
      <c r="H905" s="71"/>
      <c r="I905" s="68" t="s">
        <v>3683</v>
      </c>
      <c r="J905" s="68" t="s">
        <v>2175</v>
      </c>
      <c r="K905" s="71"/>
      <c r="L905" s="71"/>
      <c r="M905" s="68" t="s">
        <v>1393</v>
      </c>
      <c r="N905" s="131"/>
      <c r="O905" s="51"/>
    </row>
    <row r="906">
      <c r="A906" s="56">
        <v>903.0</v>
      </c>
      <c r="B906" s="63">
        <v>4115.0</v>
      </c>
      <c r="C906" s="64" t="s">
        <v>3684</v>
      </c>
      <c r="D906" s="63" t="s">
        <v>3685</v>
      </c>
      <c r="E906" s="63" t="s">
        <v>3686</v>
      </c>
      <c r="F906" s="70">
        <v>41151.0</v>
      </c>
      <c r="G906" s="80" t="s">
        <v>3687</v>
      </c>
      <c r="H906" s="82"/>
      <c r="I906" s="63" t="s">
        <v>3688</v>
      </c>
      <c r="J906" s="63" t="s">
        <v>3689</v>
      </c>
      <c r="K906" s="66"/>
      <c r="L906" s="66"/>
      <c r="M906" s="63" t="s">
        <v>3690</v>
      </c>
      <c r="N906" s="61"/>
      <c r="O906" s="51"/>
    </row>
    <row r="907">
      <c r="A907" s="56">
        <v>904.0</v>
      </c>
      <c r="B907" s="68">
        <v>4116.0</v>
      </c>
      <c r="C907" s="69">
        <v>918.0</v>
      </c>
      <c r="D907" s="71"/>
      <c r="E907" s="68" t="s">
        <v>3691</v>
      </c>
      <c r="F907" s="76">
        <v>41176.0</v>
      </c>
      <c r="G907" s="68" t="s">
        <v>3692</v>
      </c>
      <c r="H907" s="71"/>
      <c r="I907" s="80" t="s">
        <v>3693</v>
      </c>
      <c r="J907" s="68" t="s">
        <v>3694</v>
      </c>
      <c r="K907" s="71"/>
      <c r="L907" s="71"/>
      <c r="M907" s="71"/>
      <c r="N907" s="61"/>
      <c r="O907" s="51"/>
    </row>
    <row r="908">
      <c r="A908" s="56">
        <v>905.0</v>
      </c>
      <c r="B908" s="68">
        <v>4117.0</v>
      </c>
      <c r="C908" s="69">
        <v>919.0</v>
      </c>
      <c r="D908" s="71"/>
      <c r="E908" s="68" t="s">
        <v>3695</v>
      </c>
      <c r="F908" s="76">
        <v>41171.0</v>
      </c>
      <c r="G908" s="68" t="s">
        <v>3696</v>
      </c>
      <c r="H908" s="71"/>
      <c r="I908" s="91" t="s">
        <v>3697</v>
      </c>
      <c r="J908" s="68" t="s">
        <v>2675</v>
      </c>
      <c r="K908" s="71"/>
      <c r="L908" s="71"/>
      <c r="M908" s="66"/>
      <c r="N908" s="61"/>
      <c r="O908" s="51"/>
    </row>
    <row r="909">
      <c r="A909" s="56">
        <v>906.0</v>
      </c>
      <c r="B909" s="68">
        <v>4118.0</v>
      </c>
      <c r="C909" s="69">
        <v>920.0</v>
      </c>
      <c r="D909" s="68" t="s">
        <v>3698</v>
      </c>
      <c r="E909" s="68" t="s">
        <v>3699</v>
      </c>
      <c r="F909" s="83">
        <v>40890.0</v>
      </c>
      <c r="G909" s="68" t="s">
        <v>3700</v>
      </c>
      <c r="H909" s="71"/>
      <c r="I909" s="63" t="s">
        <v>635</v>
      </c>
      <c r="J909" s="68" t="s">
        <v>3701</v>
      </c>
      <c r="K909" s="71"/>
      <c r="L909" s="71"/>
      <c r="M909" s="71"/>
      <c r="N909" s="61"/>
      <c r="O909" s="51"/>
    </row>
    <row r="910">
      <c r="A910" s="56">
        <v>907.0</v>
      </c>
      <c r="B910" s="68">
        <v>4119.0</v>
      </c>
      <c r="C910" s="69">
        <v>921.0</v>
      </c>
      <c r="D910" s="68" t="s">
        <v>3698</v>
      </c>
      <c r="E910" s="68" t="s">
        <v>3702</v>
      </c>
      <c r="F910" s="83">
        <v>40890.0</v>
      </c>
      <c r="G910" s="68" t="s">
        <v>3703</v>
      </c>
      <c r="H910" s="71"/>
      <c r="I910" s="63" t="s">
        <v>635</v>
      </c>
      <c r="J910" s="68" t="s">
        <v>3701</v>
      </c>
      <c r="K910" s="71"/>
      <c r="L910" s="71"/>
      <c r="M910" s="71"/>
      <c r="N910" s="61"/>
      <c r="O910" s="51"/>
    </row>
    <row r="911">
      <c r="A911" s="56">
        <v>908.0</v>
      </c>
      <c r="B911" s="68">
        <v>4120.0</v>
      </c>
      <c r="C911" s="69">
        <v>923.0</v>
      </c>
      <c r="D911" s="68" t="s">
        <v>3698</v>
      </c>
      <c r="E911" s="68" t="s">
        <v>3704</v>
      </c>
      <c r="F911" s="83">
        <v>40890.0</v>
      </c>
      <c r="G911" s="68" t="s">
        <v>3703</v>
      </c>
      <c r="H911" s="71"/>
      <c r="I911" s="63" t="s">
        <v>635</v>
      </c>
      <c r="J911" s="68" t="s">
        <v>3701</v>
      </c>
      <c r="K911" s="71"/>
      <c r="L911" s="71"/>
      <c r="M911" s="71"/>
      <c r="N911" s="61"/>
      <c r="O911" s="51"/>
    </row>
    <row r="912">
      <c r="A912" s="56">
        <v>909.0</v>
      </c>
      <c r="B912" s="68">
        <v>4121.0</v>
      </c>
      <c r="C912" s="69">
        <v>924.0</v>
      </c>
      <c r="D912" s="68" t="s">
        <v>3705</v>
      </c>
      <c r="E912" s="68" t="s">
        <v>3706</v>
      </c>
      <c r="F912" s="76">
        <v>40360.0</v>
      </c>
      <c r="G912" s="68" t="s">
        <v>3707</v>
      </c>
      <c r="H912" s="71"/>
      <c r="I912" s="63" t="s">
        <v>635</v>
      </c>
      <c r="J912" s="68" t="s">
        <v>3708</v>
      </c>
      <c r="K912" s="71"/>
      <c r="L912" s="71"/>
      <c r="M912" s="71"/>
      <c r="N912" s="61"/>
      <c r="O912" s="51"/>
    </row>
    <row r="913">
      <c r="A913" s="75">
        <v>910.0</v>
      </c>
      <c r="B913" s="68">
        <v>4122.0</v>
      </c>
      <c r="C913" s="69" t="s">
        <v>3709</v>
      </c>
      <c r="D913" s="71"/>
      <c r="E913" s="68" t="s">
        <v>3710</v>
      </c>
      <c r="F913" s="83">
        <v>40465.0</v>
      </c>
      <c r="G913" s="68" t="s">
        <v>3711</v>
      </c>
      <c r="H913" s="71"/>
      <c r="I913" s="68" t="s">
        <v>3712</v>
      </c>
      <c r="J913" s="68" t="s">
        <v>3713</v>
      </c>
      <c r="K913" s="71"/>
      <c r="L913" s="71"/>
      <c r="M913" s="68" t="s">
        <v>3714</v>
      </c>
      <c r="N913" s="77"/>
      <c r="O913" s="51"/>
    </row>
    <row r="914">
      <c r="A914" s="56">
        <v>911.0</v>
      </c>
      <c r="B914" s="63">
        <v>4123.0</v>
      </c>
      <c r="C914" s="64" t="s">
        <v>3715</v>
      </c>
      <c r="D914" s="66"/>
      <c r="E914" s="63" t="s">
        <v>3716</v>
      </c>
      <c r="F914" s="70">
        <v>40021.0</v>
      </c>
      <c r="G914" s="80" t="s">
        <v>3717</v>
      </c>
      <c r="H914" s="82"/>
      <c r="I914" s="63" t="s">
        <v>3718</v>
      </c>
      <c r="J914" s="63" t="s">
        <v>1495</v>
      </c>
      <c r="K914" s="66"/>
      <c r="L914" s="66"/>
      <c r="M914" s="63" t="s">
        <v>201</v>
      </c>
      <c r="N914" s="61"/>
      <c r="O914" s="51"/>
    </row>
    <row r="915">
      <c r="A915" s="56">
        <v>912.0</v>
      </c>
      <c r="B915" s="68">
        <v>4124.0</v>
      </c>
      <c r="C915" s="69">
        <v>927.0</v>
      </c>
      <c r="D915" s="68" t="s">
        <v>3719</v>
      </c>
      <c r="E915" s="68" t="s">
        <v>3720</v>
      </c>
      <c r="F915" s="76">
        <v>40695.0</v>
      </c>
      <c r="G915" s="68" t="s">
        <v>3721</v>
      </c>
      <c r="H915" s="71"/>
      <c r="I915" s="63" t="s">
        <v>3722</v>
      </c>
      <c r="J915" s="68" t="s">
        <v>3723</v>
      </c>
      <c r="K915" s="66"/>
      <c r="L915" s="66"/>
      <c r="M915" s="66"/>
      <c r="N915" s="61"/>
      <c r="O915" s="51"/>
    </row>
    <row r="916">
      <c r="A916" s="56">
        <v>913.0</v>
      </c>
      <c r="B916" s="68">
        <v>4125.0</v>
      </c>
      <c r="C916" s="69">
        <v>928.0</v>
      </c>
      <c r="D916" s="71"/>
      <c r="E916" s="68" t="s">
        <v>3724</v>
      </c>
      <c r="F916" s="83">
        <v>41198.0</v>
      </c>
      <c r="G916" s="68" t="s">
        <v>3725</v>
      </c>
      <c r="H916" s="71"/>
      <c r="I916" s="63" t="s">
        <v>3726</v>
      </c>
      <c r="J916" s="68" t="s">
        <v>3727</v>
      </c>
      <c r="K916" s="71"/>
      <c r="L916" s="71"/>
      <c r="M916" s="71"/>
      <c r="N916" s="61"/>
      <c r="O916" s="51"/>
    </row>
    <row r="917">
      <c r="A917" s="56">
        <v>914.0</v>
      </c>
      <c r="B917" s="68">
        <v>4126.0</v>
      </c>
      <c r="C917" s="69">
        <v>929.0</v>
      </c>
      <c r="D917" s="71"/>
      <c r="E917" s="68" t="s">
        <v>3728</v>
      </c>
      <c r="F917" s="83">
        <v>41198.0</v>
      </c>
      <c r="G917" s="68" t="s">
        <v>3725</v>
      </c>
      <c r="H917" s="71"/>
      <c r="I917" s="63" t="s">
        <v>3726</v>
      </c>
      <c r="J917" s="68" t="s">
        <v>3727</v>
      </c>
      <c r="K917" s="71"/>
      <c r="L917" s="71"/>
      <c r="M917" s="71"/>
      <c r="N917" s="61"/>
      <c r="O917" s="51"/>
    </row>
    <row r="918">
      <c r="A918" s="56">
        <v>915.0</v>
      </c>
      <c r="B918" s="68">
        <v>4127.0</v>
      </c>
      <c r="C918" s="69">
        <v>930.0</v>
      </c>
      <c r="D918" s="71"/>
      <c r="E918" s="68" t="s">
        <v>3729</v>
      </c>
      <c r="F918" s="83">
        <v>41193.0</v>
      </c>
      <c r="G918" s="68" t="s">
        <v>3730</v>
      </c>
      <c r="H918" s="71"/>
      <c r="I918" s="63" t="s">
        <v>3731</v>
      </c>
      <c r="J918" s="68" t="s">
        <v>3732</v>
      </c>
      <c r="K918" s="71"/>
      <c r="L918" s="71"/>
      <c r="M918" s="71"/>
      <c r="N918" s="61"/>
      <c r="O918" s="51"/>
    </row>
    <row r="919">
      <c r="A919" s="56">
        <v>916.0</v>
      </c>
      <c r="B919" s="68">
        <v>4128.0</v>
      </c>
      <c r="C919" s="69">
        <v>931.0</v>
      </c>
      <c r="D919" s="71"/>
      <c r="E919" s="68" t="s">
        <v>3733</v>
      </c>
      <c r="F919" s="76">
        <v>41091.0</v>
      </c>
      <c r="G919" s="68" t="s">
        <v>3734</v>
      </c>
      <c r="H919" s="71"/>
      <c r="I919" s="63" t="s">
        <v>3735</v>
      </c>
      <c r="J919" s="68" t="s">
        <v>3736</v>
      </c>
      <c r="K919" s="66"/>
      <c r="L919" s="66"/>
      <c r="M919" s="66"/>
      <c r="N919" s="61"/>
      <c r="O919" s="51"/>
    </row>
    <row r="920">
      <c r="A920" s="56">
        <v>917.0</v>
      </c>
      <c r="B920" s="68">
        <v>4129.0</v>
      </c>
      <c r="C920" s="69">
        <v>932.0</v>
      </c>
      <c r="D920" s="71"/>
      <c r="E920" s="68" t="s">
        <v>3737</v>
      </c>
      <c r="F920" s="83">
        <v>41199.0</v>
      </c>
      <c r="G920" s="68" t="s">
        <v>3738</v>
      </c>
      <c r="H920" s="71"/>
      <c r="I920" s="63" t="s">
        <v>3739</v>
      </c>
      <c r="J920" s="68" t="s">
        <v>3740</v>
      </c>
      <c r="K920" s="71"/>
      <c r="L920" s="71"/>
      <c r="M920" s="71"/>
      <c r="N920" s="61"/>
      <c r="O920" s="51"/>
    </row>
    <row r="921">
      <c r="A921" s="56">
        <v>918.0</v>
      </c>
      <c r="B921" s="68">
        <v>4130.0</v>
      </c>
      <c r="C921" s="69">
        <v>933.0</v>
      </c>
      <c r="D921" s="71"/>
      <c r="E921" s="68" t="s">
        <v>3741</v>
      </c>
      <c r="F921" s="83">
        <v>41195.0</v>
      </c>
      <c r="G921" s="68" t="s">
        <v>3742</v>
      </c>
      <c r="H921" s="71"/>
      <c r="I921" s="63" t="s">
        <v>3743</v>
      </c>
      <c r="J921" s="68" t="s">
        <v>3744</v>
      </c>
      <c r="K921" s="71"/>
      <c r="L921" s="71"/>
      <c r="M921" s="71"/>
      <c r="N921" s="61"/>
      <c r="O921" s="51"/>
    </row>
    <row r="922">
      <c r="A922" s="56">
        <v>919.0</v>
      </c>
      <c r="B922" s="68">
        <v>4131.0</v>
      </c>
      <c r="C922" s="69">
        <v>934.0</v>
      </c>
      <c r="D922" s="71"/>
      <c r="E922" s="68" t="s">
        <v>3745</v>
      </c>
      <c r="F922" s="83">
        <v>41195.0</v>
      </c>
      <c r="G922" s="68" t="s">
        <v>3742</v>
      </c>
      <c r="H922" s="71"/>
      <c r="I922" s="63" t="s">
        <v>3743</v>
      </c>
      <c r="J922" s="68" t="s">
        <v>3744</v>
      </c>
      <c r="K922" s="71"/>
      <c r="L922" s="71"/>
      <c r="M922" s="71"/>
      <c r="N922" s="61"/>
      <c r="O922" s="51"/>
    </row>
    <row r="923">
      <c r="A923" s="56">
        <v>920.0</v>
      </c>
      <c r="B923" s="68">
        <v>4132.0</v>
      </c>
      <c r="C923" s="69">
        <v>935.0</v>
      </c>
      <c r="D923" s="71"/>
      <c r="E923" s="68" t="s">
        <v>3746</v>
      </c>
      <c r="F923" s="83">
        <v>41195.0</v>
      </c>
      <c r="G923" s="68" t="s">
        <v>3742</v>
      </c>
      <c r="H923" s="71"/>
      <c r="I923" s="63" t="s">
        <v>3743</v>
      </c>
      <c r="J923" s="68" t="s">
        <v>3744</v>
      </c>
      <c r="K923" s="71"/>
      <c r="L923" s="71"/>
      <c r="M923" s="71"/>
      <c r="N923" s="61"/>
      <c r="O923" s="51"/>
    </row>
    <row r="924">
      <c r="A924" s="56">
        <v>921.0</v>
      </c>
      <c r="B924" s="68">
        <v>4133.0</v>
      </c>
      <c r="C924" s="69">
        <v>936.0</v>
      </c>
      <c r="D924" s="68" t="s">
        <v>3747</v>
      </c>
      <c r="E924" s="68" t="s">
        <v>3748</v>
      </c>
      <c r="F924" s="76">
        <v>41021.0</v>
      </c>
      <c r="G924" s="68" t="s">
        <v>3749</v>
      </c>
      <c r="H924" s="71"/>
      <c r="I924" s="63" t="s">
        <v>3750</v>
      </c>
      <c r="J924" s="68" t="s">
        <v>3751</v>
      </c>
      <c r="K924" s="71"/>
      <c r="L924" s="71"/>
      <c r="M924" s="71"/>
      <c r="N924" s="61"/>
      <c r="O924" s="51"/>
    </row>
    <row r="925">
      <c r="A925" s="56">
        <v>922.0</v>
      </c>
      <c r="B925" s="68">
        <v>4134.0</v>
      </c>
      <c r="C925" s="69">
        <v>937.0</v>
      </c>
      <c r="D925" s="68" t="s">
        <v>3752</v>
      </c>
      <c r="E925" s="68" t="s">
        <v>3753</v>
      </c>
      <c r="F925" s="76">
        <v>41137.0</v>
      </c>
      <c r="G925" s="68" t="s">
        <v>3754</v>
      </c>
      <c r="H925" s="71"/>
      <c r="I925" s="63" t="s">
        <v>3755</v>
      </c>
      <c r="J925" s="68" t="s">
        <v>3756</v>
      </c>
      <c r="K925" s="71"/>
      <c r="L925" s="71"/>
      <c r="M925" s="71"/>
      <c r="N925" s="61"/>
      <c r="O925" s="51"/>
    </row>
    <row r="926">
      <c r="A926" s="56">
        <v>923.0</v>
      </c>
      <c r="B926" s="68">
        <v>4135.0</v>
      </c>
      <c r="C926" s="69">
        <v>938.0</v>
      </c>
      <c r="D926" s="68" t="s">
        <v>3757</v>
      </c>
      <c r="E926" s="68" t="s">
        <v>3758</v>
      </c>
      <c r="F926" s="76">
        <v>40031.0</v>
      </c>
      <c r="G926" s="68" t="s">
        <v>3759</v>
      </c>
      <c r="H926" s="71"/>
      <c r="I926" s="63" t="s">
        <v>3760</v>
      </c>
      <c r="J926" s="68" t="s">
        <v>3761</v>
      </c>
      <c r="K926" s="71"/>
      <c r="L926" s="71"/>
      <c r="M926" s="71"/>
      <c r="N926" s="61"/>
      <c r="O926" s="51"/>
    </row>
    <row r="927">
      <c r="A927" s="56">
        <v>924.0</v>
      </c>
      <c r="B927" s="68">
        <v>4136.0</v>
      </c>
      <c r="C927" s="69">
        <v>939.0</v>
      </c>
      <c r="D927" s="71"/>
      <c r="E927" s="68" t="s">
        <v>3762</v>
      </c>
      <c r="F927" s="76">
        <v>40384.0</v>
      </c>
      <c r="G927" s="68" t="s">
        <v>3763</v>
      </c>
      <c r="H927" s="71"/>
      <c r="I927" s="68" t="s">
        <v>3764</v>
      </c>
      <c r="J927" s="68" t="s">
        <v>3765</v>
      </c>
      <c r="K927" s="71"/>
      <c r="L927" s="71"/>
      <c r="M927" s="71"/>
      <c r="N927" s="77"/>
      <c r="O927" s="51"/>
    </row>
    <row r="928">
      <c r="A928" s="56">
        <v>925.0</v>
      </c>
      <c r="B928" s="68">
        <v>4137.0</v>
      </c>
      <c r="C928" s="69">
        <v>940.0</v>
      </c>
      <c r="D928" s="68" t="s">
        <v>3766</v>
      </c>
      <c r="E928" s="68" t="s">
        <v>3767</v>
      </c>
      <c r="F928" s="76">
        <v>40617.0</v>
      </c>
      <c r="G928" s="68" t="s">
        <v>3768</v>
      </c>
      <c r="H928" s="71"/>
      <c r="I928" s="63" t="s">
        <v>3769</v>
      </c>
      <c r="J928" s="68" t="s">
        <v>3770</v>
      </c>
      <c r="K928" s="71"/>
      <c r="L928" s="71"/>
      <c r="M928" s="71"/>
      <c r="N928" s="61"/>
      <c r="O928" s="51"/>
    </row>
    <row r="929">
      <c r="A929" s="75">
        <v>926.0</v>
      </c>
      <c r="B929" s="68">
        <v>4138.0</v>
      </c>
      <c r="C929" s="69">
        <v>941.0</v>
      </c>
      <c r="D929" s="71"/>
      <c r="E929" s="68" t="s">
        <v>3771</v>
      </c>
      <c r="F929" s="76">
        <v>40743.0</v>
      </c>
      <c r="G929" s="68" t="s">
        <v>3772</v>
      </c>
      <c r="H929" s="71"/>
      <c r="I929" s="68" t="s">
        <v>3773</v>
      </c>
      <c r="J929" s="68" t="s">
        <v>3774</v>
      </c>
      <c r="K929" s="71"/>
      <c r="L929" s="71"/>
      <c r="M929" s="68" t="s">
        <v>3775</v>
      </c>
      <c r="N929" s="77"/>
      <c r="O929" s="51"/>
    </row>
    <row r="930">
      <c r="A930" s="56">
        <v>927.0</v>
      </c>
      <c r="B930" s="63">
        <v>4139.0</v>
      </c>
      <c r="C930" s="64" t="s">
        <v>3776</v>
      </c>
      <c r="D930" s="63" t="s">
        <v>3777</v>
      </c>
      <c r="E930" s="63" t="s">
        <v>3778</v>
      </c>
      <c r="F930" s="70">
        <v>40452.0</v>
      </c>
      <c r="G930" s="80" t="s">
        <v>3779</v>
      </c>
      <c r="H930" s="82"/>
      <c r="I930" s="63" t="s">
        <v>3780</v>
      </c>
      <c r="J930" s="63" t="s">
        <v>136</v>
      </c>
      <c r="K930" s="66"/>
      <c r="L930" s="66"/>
      <c r="M930" s="63" t="s">
        <v>201</v>
      </c>
      <c r="N930" s="61"/>
      <c r="O930" s="51"/>
    </row>
    <row r="931">
      <c r="A931" s="56">
        <v>928.0</v>
      </c>
      <c r="B931" s="68">
        <v>4140.0</v>
      </c>
      <c r="C931" s="69">
        <v>943.0</v>
      </c>
      <c r="D931" s="68" t="s">
        <v>3781</v>
      </c>
      <c r="E931" s="68" t="s">
        <v>3782</v>
      </c>
      <c r="F931" s="76">
        <v>41122.0</v>
      </c>
      <c r="G931" s="68" t="s">
        <v>3783</v>
      </c>
      <c r="H931" s="71"/>
      <c r="I931" s="63" t="s">
        <v>3784</v>
      </c>
      <c r="J931" s="68" t="s">
        <v>3785</v>
      </c>
      <c r="K931" s="71"/>
      <c r="L931" s="71"/>
      <c r="M931" s="71"/>
      <c r="N931" s="61"/>
      <c r="O931" s="51"/>
    </row>
    <row r="932">
      <c r="A932" s="56">
        <v>929.0</v>
      </c>
      <c r="B932" s="68">
        <v>4141.0</v>
      </c>
      <c r="C932" s="69">
        <v>944.0</v>
      </c>
      <c r="D932" s="68" t="s">
        <v>3786</v>
      </c>
      <c r="E932" s="68" t="s">
        <v>3787</v>
      </c>
      <c r="F932" s="76">
        <v>41090.0</v>
      </c>
      <c r="G932" s="68" t="s">
        <v>3788</v>
      </c>
      <c r="H932" s="71"/>
      <c r="I932" s="63" t="s">
        <v>3789</v>
      </c>
      <c r="J932" s="68" t="s">
        <v>3790</v>
      </c>
      <c r="K932" s="71"/>
      <c r="L932" s="71"/>
      <c r="M932" s="71"/>
      <c r="N932" s="61"/>
      <c r="O932" s="51"/>
    </row>
    <row r="933">
      <c r="A933" s="56">
        <v>930.0</v>
      </c>
      <c r="B933" s="68">
        <v>4142.0</v>
      </c>
      <c r="C933" s="69">
        <v>945.0</v>
      </c>
      <c r="D933" s="71"/>
      <c r="E933" s="68" t="s">
        <v>3791</v>
      </c>
      <c r="F933" s="83">
        <v>41197.0</v>
      </c>
      <c r="G933" s="68" t="s">
        <v>3792</v>
      </c>
      <c r="H933" s="71"/>
      <c r="I933" s="68" t="s">
        <v>3793</v>
      </c>
      <c r="J933" s="68" t="s">
        <v>3794</v>
      </c>
      <c r="K933" s="71"/>
      <c r="L933" s="71"/>
      <c r="M933" s="68" t="s">
        <v>3795</v>
      </c>
      <c r="N933" s="61"/>
      <c r="O933" s="51"/>
    </row>
    <row r="934">
      <c r="A934" s="56">
        <v>931.0</v>
      </c>
      <c r="B934" s="68">
        <v>4143.0</v>
      </c>
      <c r="C934" s="102">
        <v>946.0</v>
      </c>
      <c r="D934" s="71"/>
      <c r="E934" s="68" t="s">
        <v>3796</v>
      </c>
      <c r="F934" s="83">
        <v>41195.0</v>
      </c>
      <c r="G934" s="68" t="s">
        <v>3797</v>
      </c>
      <c r="H934" s="71"/>
      <c r="I934" s="63" t="s">
        <v>3798</v>
      </c>
      <c r="J934" s="68" t="s">
        <v>3799</v>
      </c>
      <c r="K934" s="66"/>
      <c r="L934" s="66"/>
      <c r="M934" s="66"/>
      <c r="N934" s="61"/>
      <c r="O934" s="51"/>
    </row>
    <row r="935">
      <c r="A935" s="56">
        <v>932.0</v>
      </c>
      <c r="B935" s="68">
        <v>4144.0</v>
      </c>
      <c r="C935" s="69">
        <v>947.0</v>
      </c>
      <c r="D935" s="68" t="s">
        <v>3800</v>
      </c>
      <c r="E935" s="68" t="s">
        <v>3801</v>
      </c>
      <c r="F935" s="76">
        <v>41099.0</v>
      </c>
      <c r="G935" s="68" t="s">
        <v>3802</v>
      </c>
      <c r="H935" s="71"/>
      <c r="I935" s="63" t="s">
        <v>3803</v>
      </c>
      <c r="J935" s="68" t="s">
        <v>2675</v>
      </c>
      <c r="K935" s="71"/>
      <c r="L935" s="66"/>
      <c r="M935" s="66"/>
      <c r="N935" s="61"/>
      <c r="O935" s="51"/>
    </row>
    <row r="936">
      <c r="A936" s="56">
        <v>933.0</v>
      </c>
      <c r="B936" s="68">
        <v>4145.0</v>
      </c>
      <c r="C936" s="69">
        <v>948.0</v>
      </c>
      <c r="D936" s="71"/>
      <c r="E936" s="68" t="s">
        <v>3804</v>
      </c>
      <c r="F936" s="76">
        <v>41183.0</v>
      </c>
      <c r="G936" s="68" t="s">
        <v>3805</v>
      </c>
      <c r="H936" s="71"/>
      <c r="I936" s="63" t="s">
        <v>635</v>
      </c>
      <c r="J936" s="68" t="s">
        <v>3806</v>
      </c>
      <c r="K936" s="71"/>
      <c r="L936" s="71"/>
      <c r="M936" s="71"/>
      <c r="N936" s="61"/>
      <c r="O936" s="51"/>
    </row>
    <row r="937">
      <c r="A937" s="56">
        <v>934.0</v>
      </c>
      <c r="B937" s="68">
        <v>4146.0</v>
      </c>
      <c r="C937" s="69">
        <v>949.0</v>
      </c>
      <c r="D937" s="71"/>
      <c r="E937" s="68" t="s">
        <v>3807</v>
      </c>
      <c r="F937" s="76">
        <v>41183.0</v>
      </c>
      <c r="G937" s="68" t="s">
        <v>3805</v>
      </c>
      <c r="H937" s="71"/>
      <c r="I937" s="63" t="s">
        <v>635</v>
      </c>
      <c r="J937" s="68" t="s">
        <v>3806</v>
      </c>
      <c r="K937" s="71"/>
      <c r="L937" s="71"/>
      <c r="M937" s="71"/>
      <c r="N937" s="61"/>
      <c r="O937" s="51"/>
    </row>
    <row r="938">
      <c r="A938" s="56">
        <v>935.0</v>
      </c>
      <c r="B938" s="68">
        <v>4147.0</v>
      </c>
      <c r="C938" s="69">
        <v>950.0</v>
      </c>
      <c r="D938" s="68" t="s">
        <v>3808</v>
      </c>
      <c r="E938" s="68" t="s">
        <v>3809</v>
      </c>
      <c r="F938" s="76">
        <v>41166.0</v>
      </c>
      <c r="G938" s="68" t="s">
        <v>3810</v>
      </c>
      <c r="H938" s="71"/>
      <c r="I938" s="63" t="s">
        <v>635</v>
      </c>
      <c r="J938" s="68" t="s">
        <v>3811</v>
      </c>
      <c r="K938" s="71"/>
      <c r="L938" s="71"/>
      <c r="M938" s="71"/>
      <c r="N938" s="61"/>
      <c r="O938" s="51"/>
    </row>
    <row r="939">
      <c r="A939" s="56">
        <v>936.0</v>
      </c>
      <c r="B939" s="63">
        <v>4148.0</v>
      </c>
      <c r="C939" s="64">
        <v>951.0</v>
      </c>
      <c r="D939" s="66"/>
      <c r="E939" s="63" t="s">
        <v>3812</v>
      </c>
      <c r="F939" s="70">
        <v>41145.0</v>
      </c>
      <c r="G939" s="80" t="s">
        <v>3813</v>
      </c>
      <c r="H939" s="82"/>
      <c r="I939" s="63" t="s">
        <v>3814</v>
      </c>
      <c r="J939" s="63" t="s">
        <v>3815</v>
      </c>
      <c r="K939" s="66"/>
      <c r="L939" s="66"/>
      <c r="M939" s="63" t="s">
        <v>872</v>
      </c>
      <c r="N939" s="61"/>
      <c r="O939" s="51"/>
    </row>
    <row r="940">
      <c r="A940" s="56">
        <v>937.0</v>
      </c>
      <c r="B940" s="63">
        <v>4149.0</v>
      </c>
      <c r="C940" s="64" t="s">
        <v>3816</v>
      </c>
      <c r="D940" s="63" t="s">
        <v>3817</v>
      </c>
      <c r="E940" s="63" t="s">
        <v>3818</v>
      </c>
      <c r="F940" s="65">
        <v>40165.0</v>
      </c>
      <c r="G940" s="80" t="s">
        <v>3819</v>
      </c>
      <c r="H940" s="82"/>
      <c r="I940" s="63" t="s">
        <v>3820</v>
      </c>
      <c r="J940" s="63" t="s">
        <v>1971</v>
      </c>
      <c r="K940" s="66"/>
      <c r="L940" s="63" t="s">
        <v>1496</v>
      </c>
      <c r="M940" s="63" t="s">
        <v>530</v>
      </c>
      <c r="N940" s="61"/>
      <c r="O940" s="51"/>
    </row>
    <row r="941">
      <c r="A941" s="56">
        <v>938.0</v>
      </c>
      <c r="B941" s="63">
        <v>4150.0</v>
      </c>
      <c r="C941" s="64">
        <v>953.0</v>
      </c>
      <c r="D941" s="63" t="s">
        <v>3817</v>
      </c>
      <c r="E941" s="63" t="s">
        <v>3821</v>
      </c>
      <c r="F941" s="65">
        <v>40165.0</v>
      </c>
      <c r="G941" s="80" t="s">
        <v>3819</v>
      </c>
      <c r="H941" s="82"/>
      <c r="I941" s="63" t="s">
        <v>3820</v>
      </c>
      <c r="J941" s="63" t="s">
        <v>1971</v>
      </c>
      <c r="K941" s="66"/>
      <c r="L941" s="66"/>
      <c r="M941" s="63" t="s">
        <v>530</v>
      </c>
      <c r="N941" s="61"/>
      <c r="O941" s="51"/>
    </row>
    <row r="942">
      <c r="A942" s="56">
        <v>939.0</v>
      </c>
      <c r="B942" s="68">
        <v>4151.0</v>
      </c>
      <c r="C942" s="69">
        <v>954.0</v>
      </c>
      <c r="D942" s="68" t="s">
        <v>3822</v>
      </c>
      <c r="E942" s="68" t="s">
        <v>3823</v>
      </c>
      <c r="F942" s="76">
        <v>41120.0</v>
      </c>
      <c r="G942" s="68" t="s">
        <v>3824</v>
      </c>
      <c r="H942" s="71"/>
      <c r="I942" s="68" t="s">
        <v>3825</v>
      </c>
      <c r="J942" s="68" t="s">
        <v>3826</v>
      </c>
      <c r="K942" s="71"/>
      <c r="L942" s="71"/>
      <c r="M942" s="71"/>
      <c r="N942" s="77"/>
      <c r="O942" s="51"/>
    </row>
    <row r="943">
      <c r="A943" s="56">
        <v>940.0</v>
      </c>
      <c r="B943" s="68">
        <v>4152.0</v>
      </c>
      <c r="C943" s="69">
        <v>955.0</v>
      </c>
      <c r="D943" s="68" t="s">
        <v>3827</v>
      </c>
      <c r="E943" s="68" t="s">
        <v>3828</v>
      </c>
      <c r="F943" s="76">
        <v>41115.0</v>
      </c>
      <c r="G943" s="68" t="s">
        <v>3829</v>
      </c>
      <c r="H943" s="71"/>
      <c r="I943" s="63" t="s">
        <v>3830</v>
      </c>
      <c r="J943" s="68" t="s">
        <v>3831</v>
      </c>
      <c r="K943" s="71"/>
      <c r="L943" s="71"/>
      <c r="M943" s="71"/>
      <c r="N943" s="61"/>
      <c r="O943" s="51"/>
    </row>
    <row r="944">
      <c r="A944" s="56">
        <v>941.0</v>
      </c>
      <c r="B944" s="68">
        <v>4153.0</v>
      </c>
      <c r="C944" s="69">
        <v>956.0</v>
      </c>
      <c r="D944" s="68" t="s">
        <v>3832</v>
      </c>
      <c r="E944" s="68" t="s">
        <v>3833</v>
      </c>
      <c r="F944" s="76">
        <v>41214.0</v>
      </c>
      <c r="G944" s="68" t="s">
        <v>3834</v>
      </c>
      <c r="H944" s="71"/>
      <c r="I944" s="63" t="s">
        <v>635</v>
      </c>
      <c r="J944" s="68" t="s">
        <v>3835</v>
      </c>
      <c r="K944" s="71"/>
      <c r="L944" s="71"/>
      <c r="M944" s="71"/>
      <c r="N944" s="61"/>
      <c r="O944" s="51"/>
    </row>
    <row r="945">
      <c r="A945" s="56">
        <v>942.0</v>
      </c>
      <c r="B945" s="63">
        <v>4154.0</v>
      </c>
      <c r="C945" s="64">
        <v>957.0</v>
      </c>
      <c r="D945" s="66"/>
      <c r="E945" s="63" t="s">
        <v>3836</v>
      </c>
      <c r="F945" s="65">
        <v>40166.0</v>
      </c>
      <c r="G945" s="80" t="s">
        <v>3837</v>
      </c>
      <c r="H945" s="82"/>
      <c r="I945" s="63" t="s">
        <v>3838</v>
      </c>
      <c r="J945" s="63" t="s">
        <v>1872</v>
      </c>
      <c r="K945" s="66"/>
      <c r="L945" s="66"/>
      <c r="M945" s="63" t="s">
        <v>530</v>
      </c>
      <c r="N945" s="61"/>
      <c r="O945" s="51"/>
    </row>
    <row r="946">
      <c r="A946" s="56">
        <v>943.0</v>
      </c>
      <c r="B946" s="68">
        <v>4155.0</v>
      </c>
      <c r="C946" s="69">
        <v>958.0</v>
      </c>
      <c r="D946" s="71"/>
      <c r="E946" s="68" t="s">
        <v>3839</v>
      </c>
      <c r="F946" s="76">
        <v>41082.0</v>
      </c>
      <c r="G946" s="68" t="s">
        <v>3840</v>
      </c>
      <c r="H946" s="71"/>
      <c r="I946" s="68" t="s">
        <v>635</v>
      </c>
      <c r="J946" s="68" t="s">
        <v>3841</v>
      </c>
      <c r="K946" s="71"/>
      <c r="L946" s="71"/>
      <c r="M946" s="71"/>
      <c r="N946" s="61"/>
      <c r="O946" s="51"/>
    </row>
    <row r="947">
      <c r="A947" s="56">
        <v>944.0</v>
      </c>
      <c r="B947" s="63">
        <v>4156.0</v>
      </c>
      <c r="C947" s="64">
        <v>959.0</v>
      </c>
      <c r="D947" s="66"/>
      <c r="E947" s="63" t="s">
        <v>3842</v>
      </c>
      <c r="F947" s="70">
        <v>41251.0</v>
      </c>
      <c r="G947" s="80" t="s">
        <v>3843</v>
      </c>
      <c r="H947" s="82"/>
      <c r="I947" s="63" t="s">
        <v>3844</v>
      </c>
      <c r="J947" s="63" t="s">
        <v>1971</v>
      </c>
      <c r="K947" s="66"/>
      <c r="L947" s="66"/>
      <c r="M947" s="63" t="s">
        <v>530</v>
      </c>
      <c r="N947" s="61"/>
      <c r="O947" s="51"/>
    </row>
    <row r="948">
      <c r="A948" s="56">
        <v>945.0</v>
      </c>
      <c r="B948" s="63">
        <v>4157.0</v>
      </c>
      <c r="C948" s="64">
        <v>960.0</v>
      </c>
      <c r="D948" s="66"/>
      <c r="E948" s="63" t="s">
        <v>3845</v>
      </c>
      <c r="F948" s="70">
        <v>41190.0</v>
      </c>
      <c r="G948" s="80" t="s">
        <v>3846</v>
      </c>
      <c r="H948" s="82"/>
      <c r="I948" s="63" t="s">
        <v>3847</v>
      </c>
      <c r="J948" s="63" t="s">
        <v>1971</v>
      </c>
      <c r="K948" s="66"/>
      <c r="L948" s="66"/>
      <c r="M948" s="63" t="s">
        <v>530</v>
      </c>
      <c r="N948" s="61"/>
      <c r="O948" s="51"/>
    </row>
    <row r="949">
      <c r="A949" s="56">
        <v>946.0</v>
      </c>
      <c r="B949" s="68">
        <v>4158.0</v>
      </c>
      <c r="C949" s="69">
        <v>961.0</v>
      </c>
      <c r="D949" s="71"/>
      <c r="E949" s="68" t="s">
        <v>3848</v>
      </c>
      <c r="F949" s="76">
        <v>40961.0</v>
      </c>
      <c r="G949" s="68" t="s">
        <v>3849</v>
      </c>
      <c r="H949" s="71"/>
      <c r="I949" s="63" t="s">
        <v>3850</v>
      </c>
      <c r="J949" s="68" t="s">
        <v>3851</v>
      </c>
      <c r="K949" s="71"/>
      <c r="L949" s="71"/>
      <c r="M949" s="71"/>
      <c r="N949" s="61"/>
      <c r="O949" s="51"/>
    </row>
    <row r="950">
      <c r="A950" s="56">
        <v>947.0</v>
      </c>
      <c r="B950" s="68">
        <v>4159.0</v>
      </c>
      <c r="C950" s="69">
        <v>962.0</v>
      </c>
      <c r="D950" s="71"/>
      <c r="E950" s="68" t="s">
        <v>3852</v>
      </c>
      <c r="F950" s="76">
        <v>40356.0</v>
      </c>
      <c r="G950" s="68" t="s">
        <v>3853</v>
      </c>
      <c r="H950" s="71"/>
      <c r="I950" s="68" t="s">
        <v>3854</v>
      </c>
      <c r="J950" s="87" t="s">
        <v>3855</v>
      </c>
      <c r="K950" s="71"/>
      <c r="L950" s="71"/>
      <c r="M950" s="71"/>
      <c r="N950" s="61"/>
      <c r="O950" s="51"/>
    </row>
    <row r="951">
      <c r="A951" s="56">
        <v>948.0</v>
      </c>
      <c r="B951" s="68">
        <v>4160.0</v>
      </c>
      <c r="C951" s="69">
        <v>963.0</v>
      </c>
      <c r="D951" s="68" t="s">
        <v>3856</v>
      </c>
      <c r="E951" s="68" t="s">
        <v>3857</v>
      </c>
      <c r="F951" s="76">
        <v>40360.0</v>
      </c>
      <c r="G951" s="68" t="s">
        <v>3858</v>
      </c>
      <c r="H951" s="71"/>
      <c r="I951" s="63" t="s">
        <v>3859</v>
      </c>
      <c r="J951" s="68" t="s">
        <v>148</v>
      </c>
      <c r="K951" s="71"/>
      <c r="L951" s="71"/>
      <c r="M951" s="68" t="s">
        <v>542</v>
      </c>
      <c r="N951" s="61"/>
      <c r="O951" s="51"/>
    </row>
    <row r="952">
      <c r="A952" s="56">
        <v>949.0</v>
      </c>
      <c r="B952" s="68">
        <v>4161.0</v>
      </c>
      <c r="C952" s="69">
        <v>964.0</v>
      </c>
      <c r="D952" s="68" t="s">
        <v>3860</v>
      </c>
      <c r="E952" s="68" t="s">
        <v>3861</v>
      </c>
      <c r="F952" s="76">
        <v>39486.0</v>
      </c>
      <c r="G952" s="68" t="s">
        <v>3862</v>
      </c>
      <c r="H952" s="71"/>
      <c r="I952" s="63" t="s">
        <v>3863</v>
      </c>
      <c r="J952" s="68" t="s">
        <v>3864</v>
      </c>
      <c r="K952" s="71"/>
      <c r="L952" s="71"/>
      <c r="M952" s="66"/>
      <c r="N952" s="61"/>
      <c r="O952" s="51"/>
    </row>
    <row r="953">
      <c r="A953" s="56">
        <v>950.0</v>
      </c>
      <c r="B953" s="68">
        <v>4162.0</v>
      </c>
      <c r="C953" s="69">
        <v>965.0</v>
      </c>
      <c r="D953" s="68" t="s">
        <v>3865</v>
      </c>
      <c r="E953" s="68" t="s">
        <v>3866</v>
      </c>
      <c r="F953" s="76">
        <v>41153.0</v>
      </c>
      <c r="G953" s="68" t="s">
        <v>3867</v>
      </c>
      <c r="H953" s="71"/>
      <c r="I953" s="63" t="s">
        <v>3868</v>
      </c>
      <c r="J953" s="68" t="s">
        <v>3869</v>
      </c>
      <c r="K953" s="71"/>
      <c r="L953" s="71"/>
      <c r="M953" s="71"/>
      <c r="N953" s="61"/>
      <c r="O953" s="51"/>
    </row>
    <row r="954">
      <c r="A954" s="56">
        <v>951.0</v>
      </c>
      <c r="B954" s="68">
        <v>4163.0</v>
      </c>
      <c r="C954" s="69">
        <v>966.0</v>
      </c>
      <c r="D954" s="68" t="s">
        <v>3870</v>
      </c>
      <c r="E954" s="68" t="s">
        <v>3871</v>
      </c>
      <c r="F954" s="83">
        <v>41201.0</v>
      </c>
      <c r="G954" s="68" t="s">
        <v>3872</v>
      </c>
      <c r="H954" s="71"/>
      <c r="I954" s="63" t="s">
        <v>3873</v>
      </c>
      <c r="J954" s="68" t="s">
        <v>3874</v>
      </c>
      <c r="K954" s="71"/>
      <c r="L954" s="71"/>
      <c r="M954" s="71"/>
      <c r="N954" s="61"/>
      <c r="O954" s="51"/>
    </row>
    <row r="955">
      <c r="A955" s="56">
        <v>952.0</v>
      </c>
      <c r="B955" s="68">
        <v>4164.0</v>
      </c>
      <c r="C955" s="69">
        <v>967.0</v>
      </c>
      <c r="D955" s="68" t="s">
        <v>3875</v>
      </c>
      <c r="E955" s="68" t="s">
        <v>3876</v>
      </c>
      <c r="F955" s="76">
        <v>39995.0</v>
      </c>
      <c r="G955" s="68" t="s">
        <v>3877</v>
      </c>
      <c r="H955" s="71"/>
      <c r="I955" s="63" t="s">
        <v>3878</v>
      </c>
      <c r="J955" s="68" t="s">
        <v>3879</v>
      </c>
      <c r="K955" s="71"/>
      <c r="L955" s="71"/>
      <c r="M955" s="71"/>
      <c r="N955" s="61"/>
      <c r="O955" s="51"/>
    </row>
    <row r="956">
      <c r="A956" s="56">
        <v>953.0</v>
      </c>
      <c r="B956" s="68">
        <v>4165.0</v>
      </c>
      <c r="C956" s="69">
        <v>968.0</v>
      </c>
      <c r="D956" s="68" t="s">
        <v>3880</v>
      </c>
      <c r="E956" s="68" t="s">
        <v>3881</v>
      </c>
      <c r="F956" s="76">
        <v>40446.0</v>
      </c>
      <c r="G956" s="68" t="s">
        <v>3882</v>
      </c>
      <c r="H956" s="71"/>
      <c r="I956" s="68" t="s">
        <v>635</v>
      </c>
      <c r="J956" s="87" t="s">
        <v>3883</v>
      </c>
      <c r="K956" s="101"/>
      <c r="L956" s="71"/>
      <c r="M956" s="71"/>
      <c r="N956" s="77"/>
      <c r="O956" s="51"/>
    </row>
    <row r="957">
      <c r="A957" s="56">
        <v>954.0</v>
      </c>
      <c r="B957" s="68">
        <v>4166.0</v>
      </c>
      <c r="C957" s="87" t="s">
        <v>3884</v>
      </c>
      <c r="D957" s="68" t="s">
        <v>3885</v>
      </c>
      <c r="E957" s="68" t="s">
        <v>3886</v>
      </c>
      <c r="F957" s="76">
        <v>40245.0</v>
      </c>
      <c r="G957" s="68" t="s">
        <v>3887</v>
      </c>
      <c r="H957" s="71"/>
      <c r="I957" s="132" t="s">
        <v>3888</v>
      </c>
      <c r="J957" s="68" t="s">
        <v>3889</v>
      </c>
      <c r="K957" s="71"/>
      <c r="L957" s="71"/>
      <c r="M957" s="68" t="s">
        <v>27</v>
      </c>
      <c r="N957" s="61"/>
      <c r="O957" s="51"/>
    </row>
    <row r="958">
      <c r="A958" s="56">
        <v>955.0</v>
      </c>
      <c r="B958" s="68">
        <v>4167.0</v>
      </c>
      <c r="C958" s="69" t="s">
        <v>3890</v>
      </c>
      <c r="D958" s="68" t="s">
        <v>3885</v>
      </c>
      <c r="E958" s="68" t="s">
        <v>3891</v>
      </c>
      <c r="F958" s="76">
        <v>40420.0</v>
      </c>
      <c r="G958" s="68" t="s">
        <v>3892</v>
      </c>
      <c r="H958" s="71"/>
      <c r="I958" s="132" t="s">
        <v>3888</v>
      </c>
      <c r="J958" s="68" t="s">
        <v>3889</v>
      </c>
      <c r="K958" s="71"/>
      <c r="L958" s="71"/>
      <c r="M958" s="68" t="s">
        <v>27</v>
      </c>
      <c r="N958" s="61"/>
      <c r="O958" s="51"/>
    </row>
    <row r="959">
      <c r="A959" s="56">
        <v>956.0</v>
      </c>
      <c r="B959" s="68">
        <v>4168.0</v>
      </c>
      <c r="C959" s="69">
        <v>971.0</v>
      </c>
      <c r="D959" s="71"/>
      <c r="E959" s="68" t="s">
        <v>3893</v>
      </c>
      <c r="F959" s="76">
        <v>40444.0</v>
      </c>
      <c r="G959" s="68" t="s">
        <v>3894</v>
      </c>
      <c r="H959" s="71"/>
      <c r="I959" s="68" t="s">
        <v>3895</v>
      </c>
      <c r="J959" s="68" t="s">
        <v>3896</v>
      </c>
      <c r="K959" s="71"/>
      <c r="L959" s="71"/>
      <c r="M959" s="71"/>
      <c r="N959" s="61"/>
      <c r="O959" s="51"/>
    </row>
    <row r="960">
      <c r="A960" s="56">
        <v>957.0</v>
      </c>
      <c r="B960" s="68">
        <v>4169.0</v>
      </c>
      <c r="C960" s="69">
        <v>972.0</v>
      </c>
      <c r="D960" s="68" t="s">
        <v>3897</v>
      </c>
      <c r="E960" s="68" t="s">
        <v>3898</v>
      </c>
      <c r="F960" s="83">
        <v>41234.0</v>
      </c>
      <c r="G960" s="68" t="s">
        <v>3899</v>
      </c>
      <c r="H960" s="71"/>
      <c r="I960" s="63" t="s">
        <v>3900</v>
      </c>
      <c r="J960" s="68" t="s">
        <v>124</v>
      </c>
      <c r="K960" s="71"/>
      <c r="L960" s="71"/>
      <c r="M960" s="71"/>
      <c r="N960" s="61"/>
      <c r="O960" s="51"/>
    </row>
    <row r="961">
      <c r="A961" s="56">
        <v>958.0</v>
      </c>
      <c r="B961" s="68">
        <v>4170.0</v>
      </c>
      <c r="C961" s="69">
        <v>973.0</v>
      </c>
      <c r="D961" s="68" t="s">
        <v>3901</v>
      </c>
      <c r="E961" s="68" t="s">
        <v>3902</v>
      </c>
      <c r="F961" s="76">
        <v>41214.0</v>
      </c>
      <c r="G961" s="68" t="s">
        <v>3903</v>
      </c>
      <c r="H961" s="71"/>
      <c r="I961" s="63" t="s">
        <v>3904</v>
      </c>
      <c r="J961" s="68" t="s">
        <v>3905</v>
      </c>
      <c r="K961" s="71"/>
      <c r="L961" s="71"/>
      <c r="M961" s="71"/>
      <c r="N961" s="61"/>
      <c r="O961" s="51"/>
    </row>
    <row r="962">
      <c r="A962" s="56">
        <v>959.0</v>
      </c>
      <c r="B962" s="68">
        <v>4171.0</v>
      </c>
      <c r="C962" s="69">
        <v>974.0</v>
      </c>
      <c r="D962" s="68" t="s">
        <v>3906</v>
      </c>
      <c r="E962" s="68" t="s">
        <v>3907</v>
      </c>
      <c r="F962" s="76">
        <v>40979.0</v>
      </c>
      <c r="G962" s="68" t="s">
        <v>3908</v>
      </c>
      <c r="H962" s="71"/>
      <c r="I962" s="68" t="s">
        <v>3909</v>
      </c>
      <c r="J962" s="68" t="s">
        <v>3910</v>
      </c>
      <c r="K962" s="71"/>
      <c r="L962" s="71"/>
      <c r="M962" s="71"/>
      <c r="N962" s="61"/>
      <c r="O962" s="51"/>
    </row>
    <row r="963">
      <c r="A963" s="56">
        <v>960.0</v>
      </c>
      <c r="B963" s="68">
        <v>4172.0</v>
      </c>
      <c r="C963" s="69">
        <v>975.0</v>
      </c>
      <c r="D963" s="68" t="s">
        <v>3911</v>
      </c>
      <c r="E963" s="68" t="s">
        <v>3912</v>
      </c>
      <c r="F963" s="76">
        <v>40183.0</v>
      </c>
      <c r="G963" s="68" t="s">
        <v>3913</v>
      </c>
      <c r="H963" s="71"/>
      <c r="I963" s="63" t="s">
        <v>635</v>
      </c>
      <c r="J963" s="68" t="s">
        <v>3914</v>
      </c>
      <c r="K963" s="71"/>
      <c r="L963" s="71"/>
      <c r="M963" s="71"/>
      <c r="N963" s="61"/>
      <c r="O963" s="51"/>
    </row>
    <row r="964">
      <c r="A964" s="56">
        <v>961.0</v>
      </c>
      <c r="B964" s="63">
        <v>4173.0</v>
      </c>
      <c r="C964" s="64">
        <v>976.0</v>
      </c>
      <c r="D964" s="63" t="s">
        <v>3915</v>
      </c>
      <c r="E964" s="63" t="s">
        <v>3916</v>
      </c>
      <c r="F964" s="70">
        <v>39983.0</v>
      </c>
      <c r="G964" s="80" t="s">
        <v>3917</v>
      </c>
      <c r="H964" s="82"/>
      <c r="I964" s="63" t="s">
        <v>3918</v>
      </c>
      <c r="J964" s="63" t="s">
        <v>136</v>
      </c>
      <c r="K964" s="66"/>
      <c r="L964" s="66"/>
      <c r="M964" s="63" t="s">
        <v>530</v>
      </c>
      <c r="N964" s="61"/>
      <c r="O964" s="51"/>
    </row>
    <row r="965">
      <c r="A965" s="56">
        <v>962.0</v>
      </c>
      <c r="B965" s="68">
        <v>4174.0</v>
      </c>
      <c r="C965" s="69">
        <v>977.0</v>
      </c>
      <c r="D965" s="68" t="s">
        <v>3919</v>
      </c>
      <c r="E965" s="68" t="s">
        <v>3920</v>
      </c>
      <c r="F965" s="76">
        <v>41061.0</v>
      </c>
      <c r="G965" s="68" t="s">
        <v>3921</v>
      </c>
      <c r="H965" s="71"/>
      <c r="I965" s="63" t="s">
        <v>635</v>
      </c>
      <c r="J965" s="68" t="s">
        <v>3922</v>
      </c>
      <c r="K965" s="71"/>
      <c r="L965" s="71"/>
      <c r="M965" s="71"/>
      <c r="N965" s="61"/>
      <c r="O965" s="51"/>
    </row>
    <row r="966">
      <c r="A966" s="75">
        <v>963.0</v>
      </c>
      <c r="B966" s="68">
        <v>4175.0</v>
      </c>
      <c r="C966" s="69" t="s">
        <v>3923</v>
      </c>
      <c r="D966" s="68" t="s">
        <v>3924</v>
      </c>
      <c r="E966" s="68" t="s">
        <v>3925</v>
      </c>
      <c r="F966" s="76">
        <v>40356.0</v>
      </c>
      <c r="G966" s="68" t="s">
        <v>3926</v>
      </c>
      <c r="H966" s="71"/>
      <c r="I966" s="68" t="s">
        <v>3927</v>
      </c>
      <c r="J966" s="68" t="s">
        <v>2859</v>
      </c>
      <c r="K966" s="71"/>
      <c r="L966" s="71"/>
      <c r="M966" s="68" t="s">
        <v>125</v>
      </c>
      <c r="N966" s="77"/>
      <c r="O966" s="51"/>
    </row>
    <row r="967">
      <c r="A967" s="56">
        <v>964.0</v>
      </c>
      <c r="B967" s="68">
        <v>4176.0</v>
      </c>
      <c r="C967" s="69">
        <v>979.0</v>
      </c>
      <c r="D967" s="68" t="s">
        <v>3928</v>
      </c>
      <c r="E967" s="68" t="s">
        <v>3929</v>
      </c>
      <c r="F967" s="76">
        <v>41091.0</v>
      </c>
      <c r="G967" s="68" t="s">
        <v>3930</v>
      </c>
      <c r="H967" s="71"/>
      <c r="I967" s="63" t="s">
        <v>635</v>
      </c>
      <c r="J967" s="68" t="s">
        <v>3931</v>
      </c>
      <c r="K967" s="71"/>
      <c r="L967" s="71"/>
      <c r="M967" s="71"/>
      <c r="N967" s="61"/>
      <c r="O967" s="51"/>
    </row>
    <row r="968">
      <c r="A968" s="56">
        <v>965.0</v>
      </c>
      <c r="B968" s="63">
        <v>4177.0</v>
      </c>
      <c r="C968" s="64" t="s">
        <v>3932</v>
      </c>
      <c r="D968" s="88" t="s">
        <v>3933</v>
      </c>
      <c r="E968" s="63" t="s">
        <v>3934</v>
      </c>
      <c r="F968" s="70">
        <v>40854.0</v>
      </c>
      <c r="G968" s="80" t="s">
        <v>3935</v>
      </c>
      <c r="H968" s="82"/>
      <c r="I968" s="63" t="s">
        <v>3936</v>
      </c>
      <c r="J968" s="63" t="s">
        <v>3937</v>
      </c>
      <c r="K968" s="66"/>
      <c r="L968" s="66"/>
      <c r="M968" s="63" t="s">
        <v>125</v>
      </c>
      <c r="N968" s="61"/>
      <c r="O968" s="51"/>
    </row>
    <row r="969">
      <c r="A969" s="56">
        <v>966.0</v>
      </c>
      <c r="B969" s="68">
        <v>4178.0</v>
      </c>
      <c r="C969" s="69">
        <v>981.0</v>
      </c>
      <c r="D969" s="71"/>
      <c r="E969" s="68" t="s">
        <v>3938</v>
      </c>
      <c r="F969" s="76">
        <v>41093.0</v>
      </c>
      <c r="G969" s="68" t="s">
        <v>3939</v>
      </c>
      <c r="H969" s="71"/>
      <c r="I969" s="63" t="s">
        <v>3940</v>
      </c>
      <c r="J969" s="68" t="s">
        <v>3941</v>
      </c>
      <c r="K969" s="71"/>
      <c r="L969" s="71"/>
      <c r="M969" s="71"/>
      <c r="N969" s="61"/>
      <c r="O969" s="51"/>
    </row>
    <row r="970">
      <c r="A970" s="56">
        <v>967.0</v>
      </c>
      <c r="B970" s="68">
        <v>4180.0</v>
      </c>
      <c r="C970" s="69">
        <v>983.0</v>
      </c>
      <c r="D970" s="71"/>
      <c r="E970" s="68" t="s">
        <v>3942</v>
      </c>
      <c r="F970" s="76">
        <v>40360.0</v>
      </c>
      <c r="G970" s="68" t="s">
        <v>3943</v>
      </c>
      <c r="H970" s="71"/>
      <c r="I970" s="68" t="s">
        <v>3944</v>
      </c>
      <c r="J970" s="68" t="s">
        <v>3945</v>
      </c>
      <c r="K970" s="71"/>
      <c r="L970" s="71"/>
      <c r="M970" s="71"/>
      <c r="N970" s="61"/>
      <c r="O970" s="51"/>
    </row>
    <row r="971">
      <c r="A971" s="56">
        <v>968.0</v>
      </c>
      <c r="B971" s="68">
        <v>4181.0</v>
      </c>
      <c r="C971" s="69">
        <v>984.0</v>
      </c>
      <c r="D971" s="71"/>
      <c r="E971" s="68" t="s">
        <v>3946</v>
      </c>
      <c r="F971" s="76">
        <v>40577.0</v>
      </c>
      <c r="G971" s="68" t="s">
        <v>3947</v>
      </c>
      <c r="H971" s="71"/>
      <c r="I971" s="63" t="s">
        <v>3948</v>
      </c>
      <c r="J971" s="68" t="s">
        <v>3949</v>
      </c>
      <c r="K971" s="119"/>
      <c r="L971" s="119"/>
      <c r="M971" s="119"/>
      <c r="N971" s="61"/>
      <c r="O971" s="51"/>
    </row>
    <row r="972">
      <c r="A972" s="56">
        <v>969.0</v>
      </c>
      <c r="B972" s="63">
        <v>4182.0</v>
      </c>
      <c r="C972" s="64" t="s">
        <v>3950</v>
      </c>
      <c r="D972" s="66"/>
      <c r="E972" s="63" t="s">
        <v>3951</v>
      </c>
      <c r="F972" s="70">
        <v>39630.0</v>
      </c>
      <c r="G972" s="80" t="s">
        <v>3952</v>
      </c>
      <c r="H972" s="82"/>
      <c r="I972" s="63" t="s">
        <v>3953</v>
      </c>
      <c r="J972" s="63" t="s">
        <v>1971</v>
      </c>
      <c r="K972" s="66"/>
      <c r="L972" s="66"/>
      <c r="M972" s="63" t="s">
        <v>530</v>
      </c>
      <c r="N972" s="61"/>
      <c r="O972" s="51"/>
    </row>
    <row r="973">
      <c r="A973" s="56">
        <v>970.0</v>
      </c>
      <c r="B973" s="68">
        <v>4183.0</v>
      </c>
      <c r="C973" s="69">
        <v>986.0</v>
      </c>
      <c r="D973" s="71"/>
      <c r="E973" s="68" t="s">
        <v>3954</v>
      </c>
      <c r="F973" s="76">
        <v>41031.0</v>
      </c>
      <c r="G973" s="68" t="s">
        <v>3955</v>
      </c>
      <c r="H973" s="71"/>
      <c r="I973" s="68" t="s">
        <v>3956</v>
      </c>
      <c r="J973" s="68" t="s">
        <v>3957</v>
      </c>
      <c r="K973" s="71"/>
      <c r="L973" s="71"/>
      <c r="M973" s="71"/>
      <c r="N973" s="61"/>
      <c r="O973" s="51"/>
    </row>
    <row r="974">
      <c r="A974" s="56">
        <v>971.0</v>
      </c>
      <c r="B974" s="63">
        <v>4184.0</v>
      </c>
      <c r="C974" s="64" t="s">
        <v>3958</v>
      </c>
      <c r="D974" s="66"/>
      <c r="E974" s="63" t="s">
        <v>3959</v>
      </c>
      <c r="F974" s="70">
        <v>39630.0</v>
      </c>
      <c r="G974" s="80" t="s">
        <v>3960</v>
      </c>
      <c r="H974" s="82"/>
      <c r="I974" s="63" t="s">
        <v>3961</v>
      </c>
      <c r="J974" s="63" t="s">
        <v>1971</v>
      </c>
      <c r="K974" s="66"/>
      <c r="L974" s="66"/>
      <c r="M974" s="63" t="s">
        <v>530</v>
      </c>
      <c r="N974" s="61"/>
      <c r="O974" s="51"/>
    </row>
    <row r="975">
      <c r="A975" s="56">
        <v>972.0</v>
      </c>
      <c r="B975" s="63">
        <v>4185.0</v>
      </c>
      <c r="C975" s="64" t="s">
        <v>3962</v>
      </c>
      <c r="D975" s="66"/>
      <c r="E975" s="63" t="s">
        <v>3963</v>
      </c>
      <c r="F975" s="70">
        <v>39630.0</v>
      </c>
      <c r="G975" s="80" t="s">
        <v>3960</v>
      </c>
      <c r="H975" s="82"/>
      <c r="I975" s="63" t="s">
        <v>3961</v>
      </c>
      <c r="J975" s="63" t="s">
        <v>1971</v>
      </c>
      <c r="K975" s="66"/>
      <c r="L975" s="66"/>
      <c r="M975" s="63" t="s">
        <v>530</v>
      </c>
      <c r="N975" s="61"/>
      <c r="O975" s="51"/>
    </row>
    <row r="976">
      <c r="A976" s="75">
        <v>973.0</v>
      </c>
      <c r="B976" s="68">
        <v>4186.0</v>
      </c>
      <c r="C976" s="69" t="s">
        <v>3964</v>
      </c>
      <c r="D976" s="71"/>
      <c r="E976" s="68" t="s">
        <v>3965</v>
      </c>
      <c r="F976" s="76">
        <v>39630.0</v>
      </c>
      <c r="G976" s="68" t="s">
        <v>3966</v>
      </c>
      <c r="H976" s="71"/>
      <c r="I976" s="68" t="s">
        <v>3967</v>
      </c>
      <c r="J976" s="100" t="s">
        <v>1392</v>
      </c>
      <c r="K976" s="101"/>
      <c r="L976" s="71"/>
      <c r="M976" s="68" t="s">
        <v>530</v>
      </c>
      <c r="N976" s="61"/>
      <c r="O976" s="51"/>
    </row>
    <row r="977">
      <c r="A977" s="75">
        <v>974.0</v>
      </c>
      <c r="B977" s="68">
        <v>4187.0</v>
      </c>
      <c r="C977" s="69">
        <v>990.0</v>
      </c>
      <c r="D977" s="71"/>
      <c r="E977" s="68" t="s">
        <v>3968</v>
      </c>
      <c r="F977" s="76">
        <v>39630.0</v>
      </c>
      <c r="G977" s="68" t="s">
        <v>3969</v>
      </c>
      <c r="H977" s="68" t="s">
        <v>3970</v>
      </c>
      <c r="I977" s="68" t="s">
        <v>3971</v>
      </c>
      <c r="J977" s="100" t="s">
        <v>1392</v>
      </c>
      <c r="K977" s="101"/>
      <c r="L977" s="71"/>
      <c r="M977" s="71"/>
      <c r="N977" s="61"/>
      <c r="O977" s="51"/>
    </row>
    <row r="978">
      <c r="A978" s="75">
        <v>975.0</v>
      </c>
      <c r="B978" s="68">
        <v>4188.0</v>
      </c>
      <c r="C978" s="69">
        <v>991.0</v>
      </c>
      <c r="D978" s="71"/>
      <c r="E978" s="68" t="s">
        <v>3972</v>
      </c>
      <c r="F978" s="76">
        <v>39630.0</v>
      </c>
      <c r="G978" s="68" t="s">
        <v>3969</v>
      </c>
      <c r="H978" s="68" t="s">
        <v>3973</v>
      </c>
      <c r="I978" s="68" t="s">
        <v>3971</v>
      </c>
      <c r="J978" s="100" t="s">
        <v>1392</v>
      </c>
      <c r="K978" s="101"/>
      <c r="L978" s="71"/>
      <c r="M978" s="71"/>
      <c r="N978" s="61"/>
      <c r="O978" s="51"/>
    </row>
    <row r="979">
      <c r="A979" s="75">
        <v>976.0</v>
      </c>
      <c r="B979" s="68">
        <v>4189.0</v>
      </c>
      <c r="C979" s="69">
        <v>992.0</v>
      </c>
      <c r="D979" s="71"/>
      <c r="E979" s="68" t="s">
        <v>3974</v>
      </c>
      <c r="F979" s="76">
        <v>39630.0</v>
      </c>
      <c r="G979" s="68" t="s">
        <v>3969</v>
      </c>
      <c r="H979" s="68" t="s">
        <v>3973</v>
      </c>
      <c r="I979" s="68" t="s">
        <v>3971</v>
      </c>
      <c r="J979" s="100" t="s">
        <v>1392</v>
      </c>
      <c r="K979" s="101"/>
      <c r="L979" s="71"/>
      <c r="M979" s="71"/>
      <c r="N979" s="61"/>
      <c r="O979" s="51"/>
    </row>
    <row r="980">
      <c r="A980" s="75">
        <v>977.0</v>
      </c>
      <c r="B980" s="68">
        <v>4190.0</v>
      </c>
      <c r="C980" s="69">
        <v>993.0</v>
      </c>
      <c r="D980" s="71"/>
      <c r="E980" s="68" t="s">
        <v>3975</v>
      </c>
      <c r="F980" s="76">
        <v>39630.0</v>
      </c>
      <c r="G980" s="68" t="s">
        <v>3969</v>
      </c>
      <c r="H980" s="68" t="s">
        <v>3973</v>
      </c>
      <c r="I980" s="68" t="s">
        <v>3971</v>
      </c>
      <c r="J980" s="100" t="s">
        <v>1392</v>
      </c>
      <c r="K980" s="101"/>
      <c r="L980" s="71"/>
      <c r="M980" s="71"/>
      <c r="N980" s="61"/>
      <c r="O980" s="51"/>
    </row>
    <row r="981">
      <c r="A981" s="56">
        <v>978.0</v>
      </c>
      <c r="B981" s="68">
        <v>4191.0</v>
      </c>
      <c r="C981" s="69">
        <v>994.0</v>
      </c>
      <c r="D981" s="71"/>
      <c r="E981" s="68" t="s">
        <v>3976</v>
      </c>
      <c r="F981" s="76">
        <v>39995.0</v>
      </c>
      <c r="G981" s="68" t="s">
        <v>3977</v>
      </c>
      <c r="H981" s="71"/>
      <c r="I981" s="63" t="s">
        <v>3978</v>
      </c>
      <c r="J981" s="68" t="s">
        <v>3979</v>
      </c>
      <c r="K981" s="71"/>
      <c r="L981" s="71"/>
      <c r="M981" s="71"/>
      <c r="N981" s="61"/>
      <c r="O981" s="51"/>
    </row>
    <row r="982">
      <c r="A982" s="56">
        <v>979.0</v>
      </c>
      <c r="B982" s="63">
        <v>4192.0</v>
      </c>
      <c r="C982" s="64" t="s">
        <v>3980</v>
      </c>
      <c r="D982" s="66"/>
      <c r="E982" s="63" t="s">
        <v>3981</v>
      </c>
      <c r="F982" s="70">
        <v>39995.0</v>
      </c>
      <c r="G982" s="80" t="s">
        <v>3982</v>
      </c>
      <c r="H982" s="80" t="s">
        <v>3983</v>
      </c>
      <c r="I982" s="99" t="s">
        <v>3984</v>
      </c>
      <c r="J982" s="63" t="s">
        <v>1971</v>
      </c>
      <c r="K982" s="66"/>
      <c r="L982" s="66"/>
      <c r="M982" s="63" t="s">
        <v>530</v>
      </c>
      <c r="N982" s="61"/>
      <c r="O982" s="51"/>
    </row>
    <row r="983">
      <c r="A983" s="56">
        <v>980.0</v>
      </c>
      <c r="B983" s="68">
        <v>4193.0</v>
      </c>
      <c r="C983" s="69">
        <v>996.0</v>
      </c>
      <c r="D983" s="71"/>
      <c r="E983" s="68" t="s">
        <v>3985</v>
      </c>
      <c r="F983" s="83">
        <v>41225.0</v>
      </c>
      <c r="G983" s="68" t="s">
        <v>3986</v>
      </c>
      <c r="H983" s="71"/>
      <c r="I983" s="68" t="s">
        <v>3987</v>
      </c>
      <c r="J983" s="68" t="s">
        <v>3988</v>
      </c>
      <c r="K983" s="71"/>
      <c r="L983" s="71"/>
      <c r="M983" s="71"/>
      <c r="N983" s="61"/>
      <c r="O983" s="51"/>
    </row>
    <row r="984">
      <c r="A984" s="56">
        <v>981.0</v>
      </c>
      <c r="B984" s="68">
        <v>4194.0</v>
      </c>
      <c r="C984" s="69">
        <v>997.0</v>
      </c>
      <c r="D984" s="71"/>
      <c r="E984" s="68" t="s">
        <v>3989</v>
      </c>
      <c r="F984" s="76">
        <v>40751.0</v>
      </c>
      <c r="G984" s="68" t="s">
        <v>3990</v>
      </c>
      <c r="H984" s="71"/>
      <c r="I984" s="63" t="s">
        <v>3991</v>
      </c>
      <c r="J984" s="68" t="s">
        <v>3992</v>
      </c>
      <c r="K984" s="71"/>
      <c r="L984" s="71"/>
      <c r="M984" s="71"/>
      <c r="N984" s="61"/>
      <c r="O984" s="51"/>
    </row>
    <row r="985">
      <c r="A985" s="56">
        <v>982.0</v>
      </c>
      <c r="B985" s="63">
        <v>4195.0</v>
      </c>
      <c r="C985" s="64">
        <v>998.0</v>
      </c>
      <c r="D985" s="63" t="s">
        <v>3993</v>
      </c>
      <c r="E985" s="63" t="s">
        <v>3994</v>
      </c>
      <c r="F985" s="70">
        <v>41184.0</v>
      </c>
      <c r="G985" s="80" t="s">
        <v>3995</v>
      </c>
      <c r="H985" s="82"/>
      <c r="I985" s="63" t="s">
        <v>3996</v>
      </c>
      <c r="J985" s="63" t="s">
        <v>136</v>
      </c>
      <c r="K985" s="66"/>
      <c r="L985" s="66"/>
      <c r="M985" s="66"/>
      <c r="N985" s="61"/>
      <c r="O985" s="51"/>
    </row>
    <row r="986">
      <c r="A986" s="56">
        <v>983.0</v>
      </c>
      <c r="B986" s="63">
        <v>4196.0</v>
      </c>
      <c r="C986" s="64" t="s">
        <v>3997</v>
      </c>
      <c r="D986" s="66"/>
      <c r="E986" s="63" t="s">
        <v>3998</v>
      </c>
      <c r="F986" s="65">
        <v>40846.0</v>
      </c>
      <c r="G986" s="80" t="s">
        <v>3999</v>
      </c>
      <c r="H986" s="82"/>
      <c r="I986" s="63" t="s">
        <v>4000</v>
      </c>
      <c r="J986" s="63" t="s">
        <v>136</v>
      </c>
      <c r="K986" s="66"/>
      <c r="L986" s="66"/>
      <c r="M986" s="63" t="s">
        <v>4001</v>
      </c>
      <c r="N986" s="61"/>
      <c r="O986" s="51"/>
    </row>
    <row r="987">
      <c r="A987" s="56">
        <v>984.0</v>
      </c>
      <c r="B987" s="68">
        <v>4197.0</v>
      </c>
      <c r="C987" s="69">
        <v>1000.0</v>
      </c>
      <c r="D987" s="68" t="s">
        <v>4002</v>
      </c>
      <c r="E987" s="68" t="s">
        <v>4003</v>
      </c>
      <c r="F987" s="76">
        <v>40452.0</v>
      </c>
      <c r="G987" s="68" t="s">
        <v>4004</v>
      </c>
      <c r="H987" s="71"/>
      <c r="I987" s="63" t="s">
        <v>4005</v>
      </c>
      <c r="J987" s="68" t="s">
        <v>3770</v>
      </c>
      <c r="K987" s="71"/>
      <c r="L987" s="71"/>
      <c r="M987" s="71"/>
      <c r="N987" s="61"/>
      <c r="O987" s="51"/>
    </row>
    <row r="988">
      <c r="A988" s="56">
        <v>985.0</v>
      </c>
      <c r="B988" s="68">
        <v>4198.0</v>
      </c>
      <c r="C988" s="69">
        <v>1001.0</v>
      </c>
      <c r="D988" s="71"/>
      <c r="E988" s="68" t="s">
        <v>4006</v>
      </c>
      <c r="F988" s="76">
        <v>40725.0</v>
      </c>
      <c r="G988" s="68" t="s">
        <v>4007</v>
      </c>
      <c r="H988" s="71"/>
      <c r="I988" s="63" t="s">
        <v>635</v>
      </c>
      <c r="J988" s="68" t="s">
        <v>4008</v>
      </c>
      <c r="K988" s="71"/>
      <c r="L988" s="71"/>
      <c r="M988" s="71"/>
      <c r="N988" s="61"/>
      <c r="O988" s="51"/>
    </row>
    <row r="989">
      <c r="A989" s="56">
        <v>986.0</v>
      </c>
      <c r="B989" s="68">
        <v>4199.0</v>
      </c>
      <c r="C989" s="69">
        <v>1002.0</v>
      </c>
      <c r="D989" s="71"/>
      <c r="E989" s="68" t="s">
        <v>4009</v>
      </c>
      <c r="F989" s="76">
        <v>41185.0</v>
      </c>
      <c r="G989" s="68" t="s">
        <v>4010</v>
      </c>
      <c r="H989" s="71"/>
      <c r="I989" s="63" t="s">
        <v>4011</v>
      </c>
      <c r="J989" s="68" t="s">
        <v>4012</v>
      </c>
      <c r="K989" s="71"/>
      <c r="L989" s="71"/>
      <c r="M989" s="71"/>
      <c r="N989" s="61"/>
      <c r="O989" s="51"/>
    </row>
    <row r="990">
      <c r="A990" s="56">
        <v>987.0</v>
      </c>
      <c r="B990" s="68">
        <v>4200.0</v>
      </c>
      <c r="C990" s="69">
        <v>1003.0</v>
      </c>
      <c r="D990" s="71"/>
      <c r="E990" s="68" t="s">
        <v>4013</v>
      </c>
      <c r="F990" s="76">
        <v>40975.0</v>
      </c>
      <c r="G990" s="68" t="s">
        <v>4014</v>
      </c>
      <c r="H990" s="71"/>
      <c r="I990" s="63" t="s">
        <v>4015</v>
      </c>
      <c r="J990" s="68" t="s">
        <v>4016</v>
      </c>
      <c r="K990" s="71"/>
      <c r="L990" s="71"/>
      <c r="M990" s="71"/>
      <c r="N990" s="61"/>
      <c r="O990" s="51"/>
    </row>
    <row r="991">
      <c r="A991" s="56">
        <v>988.0</v>
      </c>
      <c r="B991" s="68">
        <v>4201.0</v>
      </c>
      <c r="C991" s="69">
        <v>1004.0</v>
      </c>
      <c r="D991" s="71"/>
      <c r="E991" s="68" t="s">
        <v>4017</v>
      </c>
      <c r="F991" s="83">
        <v>41254.0</v>
      </c>
      <c r="G991" s="68" t="s">
        <v>4018</v>
      </c>
      <c r="H991" s="71"/>
      <c r="I991" s="68" t="s">
        <v>4019</v>
      </c>
      <c r="J991" s="68" t="s">
        <v>4020</v>
      </c>
      <c r="K991" s="71"/>
      <c r="L991" s="71"/>
      <c r="M991" s="68" t="s">
        <v>3690</v>
      </c>
      <c r="N991" s="77"/>
      <c r="O991" s="51"/>
    </row>
    <row r="992">
      <c r="A992" s="56">
        <v>989.0</v>
      </c>
      <c r="B992" s="68">
        <v>4202.0</v>
      </c>
      <c r="C992" s="69">
        <v>1005.0</v>
      </c>
      <c r="D992" s="68" t="s">
        <v>4021</v>
      </c>
      <c r="E992" s="68" t="s">
        <v>4022</v>
      </c>
      <c r="F992" s="76">
        <v>41079.0</v>
      </c>
      <c r="G992" s="68" t="s">
        <v>4023</v>
      </c>
      <c r="H992" s="71"/>
      <c r="I992" s="68" t="s">
        <v>4024</v>
      </c>
      <c r="J992" s="68" t="s">
        <v>4025</v>
      </c>
      <c r="K992" s="71"/>
      <c r="L992" s="71"/>
      <c r="M992" s="71"/>
      <c r="N992" s="61"/>
      <c r="O992" s="51"/>
    </row>
    <row r="993">
      <c r="A993" s="56">
        <v>990.0</v>
      </c>
      <c r="B993" s="68">
        <v>4203.0</v>
      </c>
      <c r="C993" s="69">
        <v>1006.0</v>
      </c>
      <c r="D993" s="68" t="s">
        <v>4026</v>
      </c>
      <c r="E993" s="68" t="s">
        <v>4027</v>
      </c>
      <c r="F993" s="76">
        <v>41171.0</v>
      </c>
      <c r="G993" s="68" t="s">
        <v>4028</v>
      </c>
      <c r="H993" s="71"/>
      <c r="I993" s="68" t="s">
        <v>4029</v>
      </c>
      <c r="J993" s="68" t="s">
        <v>4030</v>
      </c>
      <c r="K993" s="71"/>
      <c r="L993" s="71"/>
      <c r="M993" s="68" t="s">
        <v>2152</v>
      </c>
      <c r="N993" s="77"/>
      <c r="O993" s="51"/>
    </row>
    <row r="994">
      <c r="A994" s="56">
        <v>991.0</v>
      </c>
      <c r="B994" s="68">
        <v>4204.0</v>
      </c>
      <c r="C994" s="69">
        <v>1007.0</v>
      </c>
      <c r="D994" s="71"/>
      <c r="E994" s="68" t="s">
        <v>4031</v>
      </c>
      <c r="F994" s="76">
        <v>40545.0</v>
      </c>
      <c r="G994" s="68" t="s">
        <v>4032</v>
      </c>
      <c r="H994" s="71"/>
      <c r="I994" s="63" t="s">
        <v>4033</v>
      </c>
      <c r="J994" s="68" t="s">
        <v>4034</v>
      </c>
      <c r="K994" s="71"/>
      <c r="L994" s="71"/>
      <c r="M994" s="68" t="s">
        <v>201</v>
      </c>
      <c r="N994" s="61"/>
      <c r="O994" s="51"/>
    </row>
    <row r="995">
      <c r="A995" s="56">
        <v>992.0</v>
      </c>
      <c r="B995" s="68">
        <v>4205.0</v>
      </c>
      <c r="C995" s="69">
        <v>1008.0</v>
      </c>
      <c r="D995" s="71"/>
      <c r="E995" s="68" t="s">
        <v>4035</v>
      </c>
      <c r="F995" s="83">
        <v>41267.0</v>
      </c>
      <c r="G995" s="68" t="s">
        <v>4036</v>
      </c>
      <c r="H995" s="71"/>
      <c r="I995" s="68" t="s">
        <v>635</v>
      </c>
      <c r="J995" s="100" t="s">
        <v>4037</v>
      </c>
      <c r="K995" s="101"/>
      <c r="L995" s="71"/>
      <c r="M995" s="71"/>
      <c r="N995" s="77"/>
      <c r="O995" s="51"/>
    </row>
    <row r="996">
      <c r="A996" s="56">
        <v>993.0</v>
      </c>
      <c r="B996" s="63">
        <v>4206.0</v>
      </c>
      <c r="C996" s="64">
        <v>1009.0</v>
      </c>
      <c r="D996" s="66"/>
      <c r="E996" s="63" t="s">
        <v>4038</v>
      </c>
      <c r="F996" s="65">
        <v>40135.0</v>
      </c>
      <c r="G996" s="80" t="s">
        <v>4039</v>
      </c>
      <c r="H996" s="80" t="s">
        <v>4040</v>
      </c>
      <c r="I996" s="63" t="s">
        <v>4041</v>
      </c>
      <c r="J996" s="63" t="s">
        <v>1872</v>
      </c>
      <c r="K996" s="66"/>
      <c r="L996" s="66"/>
      <c r="M996" s="66"/>
      <c r="N996" s="61"/>
      <c r="O996" s="51"/>
    </row>
    <row r="997">
      <c r="A997" s="56">
        <v>994.0</v>
      </c>
      <c r="B997" s="68">
        <v>4207.0</v>
      </c>
      <c r="C997" s="69">
        <v>1010.0</v>
      </c>
      <c r="D997" s="71"/>
      <c r="E997" s="68" t="s">
        <v>4042</v>
      </c>
      <c r="F997" s="76">
        <v>39964.0</v>
      </c>
      <c r="G997" s="68" t="s">
        <v>4043</v>
      </c>
      <c r="H997" s="71"/>
      <c r="I997" s="63" t="s">
        <v>4044</v>
      </c>
      <c r="J997" s="68" t="s">
        <v>4045</v>
      </c>
      <c r="K997" s="71"/>
      <c r="L997" s="71"/>
      <c r="M997" s="71"/>
      <c r="N997" s="61"/>
      <c r="O997" s="51"/>
    </row>
    <row r="998">
      <c r="A998" s="56">
        <v>995.0</v>
      </c>
      <c r="B998" s="63">
        <v>4208.0</v>
      </c>
      <c r="C998" s="64">
        <v>1011.0</v>
      </c>
      <c r="D998" s="66"/>
      <c r="E998" s="63" t="s">
        <v>4046</v>
      </c>
      <c r="F998" s="70">
        <v>39964.0</v>
      </c>
      <c r="G998" s="80" t="s">
        <v>4047</v>
      </c>
      <c r="H998" s="82"/>
      <c r="I998" s="63" t="s">
        <v>4048</v>
      </c>
      <c r="J998" s="63" t="s">
        <v>1872</v>
      </c>
      <c r="K998" s="66"/>
      <c r="L998" s="66"/>
      <c r="M998" s="66"/>
      <c r="N998" s="61"/>
      <c r="O998" s="51"/>
    </row>
    <row r="999">
      <c r="A999" s="56">
        <v>996.0</v>
      </c>
      <c r="B999" s="63">
        <v>4209.0</v>
      </c>
      <c r="C999" s="64">
        <v>1012.0</v>
      </c>
      <c r="D999" s="66"/>
      <c r="E999" s="63" t="s">
        <v>4049</v>
      </c>
      <c r="F999" s="70">
        <v>40963.0</v>
      </c>
      <c r="G999" s="80" t="s">
        <v>4050</v>
      </c>
      <c r="H999" s="82"/>
      <c r="I999" s="63" t="s">
        <v>4051</v>
      </c>
      <c r="J999" s="63" t="s">
        <v>4052</v>
      </c>
      <c r="K999" s="66"/>
      <c r="L999" s="66"/>
      <c r="M999" s="63" t="s">
        <v>872</v>
      </c>
      <c r="N999" s="61"/>
      <c r="O999" s="51"/>
    </row>
    <row r="1000">
      <c r="A1000" s="75">
        <v>997.0</v>
      </c>
      <c r="B1000" s="68">
        <v>4210.0</v>
      </c>
      <c r="C1000" s="69">
        <v>1013.0</v>
      </c>
      <c r="D1000" s="71"/>
      <c r="E1000" s="68" t="s">
        <v>4053</v>
      </c>
      <c r="F1000" s="76">
        <v>39955.0</v>
      </c>
      <c r="G1000" s="68" t="s">
        <v>4054</v>
      </c>
      <c r="H1000" s="68" t="s">
        <v>4055</v>
      </c>
      <c r="I1000" s="68" t="s">
        <v>4056</v>
      </c>
      <c r="J1000" s="68" t="s">
        <v>4057</v>
      </c>
      <c r="K1000" s="71"/>
      <c r="L1000" s="71"/>
      <c r="M1000" s="68" t="s">
        <v>2097</v>
      </c>
      <c r="N1000" s="77"/>
      <c r="O1000" s="51"/>
    </row>
    <row r="1001">
      <c r="A1001" s="56">
        <v>998.0</v>
      </c>
      <c r="B1001" s="68">
        <v>4211.0</v>
      </c>
      <c r="C1001" s="69">
        <v>1014.0</v>
      </c>
      <c r="D1001" s="71"/>
      <c r="E1001" s="68" t="s">
        <v>4058</v>
      </c>
      <c r="F1001" s="76">
        <v>39243.0</v>
      </c>
      <c r="G1001" s="68" t="s">
        <v>4059</v>
      </c>
      <c r="H1001" s="71"/>
      <c r="I1001" s="68" t="s">
        <v>4060</v>
      </c>
      <c r="J1001" s="68" t="s">
        <v>4061</v>
      </c>
      <c r="K1001" s="71"/>
      <c r="L1001" s="71"/>
      <c r="M1001" s="71"/>
      <c r="N1001" s="77"/>
      <c r="O1001" s="51"/>
    </row>
    <row r="1002">
      <c r="A1002" s="56">
        <v>999.0</v>
      </c>
      <c r="B1002" s="68">
        <v>4212.0</v>
      </c>
      <c r="C1002" s="69">
        <v>1015.0</v>
      </c>
      <c r="D1002" s="68" t="s">
        <v>4062</v>
      </c>
      <c r="E1002" s="68" t="s">
        <v>4063</v>
      </c>
      <c r="F1002" s="76">
        <v>41250.0</v>
      </c>
      <c r="G1002" s="68" t="s">
        <v>4064</v>
      </c>
      <c r="H1002" s="71"/>
      <c r="I1002" s="63" t="s">
        <v>4065</v>
      </c>
      <c r="J1002" s="68" t="s">
        <v>4066</v>
      </c>
      <c r="K1002" s="71"/>
      <c r="L1002" s="71"/>
      <c r="M1002" s="71"/>
      <c r="N1002" s="61"/>
      <c r="O1002" s="51"/>
    </row>
    <row r="1003">
      <c r="A1003" s="56">
        <v>1000.0</v>
      </c>
      <c r="B1003" s="68">
        <v>4213.0</v>
      </c>
      <c r="C1003" s="69">
        <v>1016.0</v>
      </c>
      <c r="D1003" s="68" t="s">
        <v>4067</v>
      </c>
      <c r="E1003" s="68" t="s">
        <v>4068</v>
      </c>
      <c r="F1003" s="76">
        <v>41249.0</v>
      </c>
      <c r="G1003" s="68" t="s">
        <v>4069</v>
      </c>
      <c r="H1003" s="71"/>
      <c r="I1003" s="63" t="s">
        <v>4070</v>
      </c>
      <c r="J1003" s="68" t="s">
        <v>4071</v>
      </c>
      <c r="K1003" s="71"/>
      <c r="L1003" s="71"/>
      <c r="M1003" s="71"/>
      <c r="N1003" s="61"/>
      <c r="O1003" s="51"/>
    </row>
    <row r="1004">
      <c r="A1004" s="56">
        <v>1001.0</v>
      </c>
      <c r="B1004" s="68">
        <v>4214.0</v>
      </c>
      <c r="C1004" s="69">
        <v>1017.0</v>
      </c>
      <c r="D1004" s="68" t="s">
        <v>4072</v>
      </c>
      <c r="E1004" s="68" t="s">
        <v>4073</v>
      </c>
      <c r="F1004" s="76">
        <v>39981.0</v>
      </c>
      <c r="G1004" s="68" t="s">
        <v>4074</v>
      </c>
      <c r="H1004" s="71"/>
      <c r="I1004" s="63" t="s">
        <v>4075</v>
      </c>
      <c r="J1004" s="71"/>
      <c r="K1004" s="71"/>
      <c r="L1004" s="71"/>
      <c r="M1004" s="68" t="s">
        <v>137</v>
      </c>
      <c r="N1004" s="61"/>
      <c r="O1004" s="51"/>
    </row>
    <row r="1005">
      <c r="A1005" s="56">
        <v>1002.0</v>
      </c>
      <c r="B1005" s="68">
        <v>4215.0</v>
      </c>
      <c r="C1005" s="69">
        <v>1018.0</v>
      </c>
      <c r="D1005" s="68" t="s">
        <v>4072</v>
      </c>
      <c r="E1005" s="68" t="s">
        <v>4076</v>
      </c>
      <c r="F1005" s="76">
        <v>39981.0</v>
      </c>
      <c r="G1005" s="68" t="s">
        <v>4074</v>
      </c>
      <c r="H1005" s="71"/>
      <c r="I1005" s="63" t="s">
        <v>4075</v>
      </c>
      <c r="J1005" s="71"/>
      <c r="K1005" s="71"/>
      <c r="L1005" s="71"/>
      <c r="M1005" s="68" t="s">
        <v>137</v>
      </c>
      <c r="N1005" s="61"/>
      <c r="O1005" s="51"/>
    </row>
    <row r="1006">
      <c r="A1006" s="56">
        <v>1003.0</v>
      </c>
      <c r="B1006" s="68">
        <v>4216.0</v>
      </c>
      <c r="C1006" s="69">
        <v>1019.0</v>
      </c>
      <c r="D1006" s="68" t="s">
        <v>4072</v>
      </c>
      <c r="E1006" s="68" t="s">
        <v>4077</v>
      </c>
      <c r="F1006" s="76">
        <v>39981.0</v>
      </c>
      <c r="G1006" s="68" t="s">
        <v>4074</v>
      </c>
      <c r="H1006" s="71"/>
      <c r="I1006" s="63" t="s">
        <v>4075</v>
      </c>
      <c r="J1006" s="71"/>
      <c r="K1006" s="71"/>
      <c r="L1006" s="71"/>
      <c r="M1006" s="68" t="s">
        <v>137</v>
      </c>
      <c r="N1006" s="61"/>
      <c r="O1006" s="51"/>
    </row>
    <row r="1007">
      <c r="A1007" s="56">
        <v>1004.0</v>
      </c>
      <c r="B1007" s="68">
        <v>4217.0</v>
      </c>
      <c r="C1007" s="69">
        <v>1020.0</v>
      </c>
      <c r="D1007" s="68" t="s">
        <v>4072</v>
      </c>
      <c r="E1007" s="68" t="s">
        <v>4078</v>
      </c>
      <c r="F1007" s="76">
        <v>39981.0</v>
      </c>
      <c r="G1007" s="68" t="s">
        <v>4074</v>
      </c>
      <c r="H1007" s="71"/>
      <c r="I1007" s="63" t="s">
        <v>4075</v>
      </c>
      <c r="J1007" s="71"/>
      <c r="K1007" s="71"/>
      <c r="L1007" s="71"/>
      <c r="M1007" s="68" t="s">
        <v>137</v>
      </c>
      <c r="N1007" s="61"/>
      <c r="O1007" s="51"/>
    </row>
    <row r="1008">
      <c r="A1008" s="56">
        <v>1005.0</v>
      </c>
      <c r="B1008" s="68">
        <v>4218.0</v>
      </c>
      <c r="C1008" s="69">
        <v>1021.0</v>
      </c>
      <c r="D1008" s="68" t="s">
        <v>4072</v>
      </c>
      <c r="E1008" s="68" t="s">
        <v>4079</v>
      </c>
      <c r="F1008" s="76">
        <v>40000.0</v>
      </c>
      <c r="G1008" s="68" t="s">
        <v>4074</v>
      </c>
      <c r="H1008" s="71"/>
      <c r="I1008" s="63" t="s">
        <v>635</v>
      </c>
      <c r="J1008" s="71"/>
      <c r="K1008" s="71"/>
      <c r="L1008" s="71"/>
      <c r="M1008" s="68" t="s">
        <v>137</v>
      </c>
      <c r="N1008" s="61"/>
      <c r="O1008" s="51"/>
    </row>
    <row r="1009">
      <c r="A1009" s="56">
        <v>1006.0</v>
      </c>
      <c r="B1009" s="68">
        <v>4219.0</v>
      </c>
      <c r="C1009" s="69">
        <v>1022.0</v>
      </c>
      <c r="D1009" s="68" t="s">
        <v>4072</v>
      </c>
      <c r="E1009" s="68" t="s">
        <v>4080</v>
      </c>
      <c r="F1009" s="76">
        <v>39981.0</v>
      </c>
      <c r="G1009" s="68" t="s">
        <v>4074</v>
      </c>
      <c r="H1009" s="71"/>
      <c r="I1009" s="63" t="s">
        <v>4075</v>
      </c>
      <c r="J1009" s="68" t="s">
        <v>2675</v>
      </c>
      <c r="K1009" s="71"/>
      <c r="L1009" s="71"/>
      <c r="M1009" s="68" t="s">
        <v>137</v>
      </c>
      <c r="N1009" s="61"/>
      <c r="O1009" s="51"/>
    </row>
    <row r="1010">
      <c r="A1010" s="56">
        <v>1007.0</v>
      </c>
      <c r="B1010" s="63">
        <v>4220.0</v>
      </c>
      <c r="C1010" s="64" t="s">
        <v>4081</v>
      </c>
      <c r="D1010" s="63" t="s">
        <v>4082</v>
      </c>
      <c r="E1010" s="63" t="s">
        <v>4083</v>
      </c>
      <c r="F1010" s="70">
        <v>40278.0</v>
      </c>
      <c r="G1010" s="80" t="s">
        <v>4084</v>
      </c>
      <c r="H1010" s="80" t="s">
        <v>4085</v>
      </c>
      <c r="I1010" s="63" t="s">
        <v>4086</v>
      </c>
      <c r="J1010" s="63" t="s">
        <v>1605</v>
      </c>
      <c r="K1010" s="66"/>
      <c r="L1010" s="63" t="s">
        <v>1496</v>
      </c>
      <c r="M1010" s="63" t="s">
        <v>125</v>
      </c>
      <c r="N1010" s="61"/>
      <c r="O1010" s="51"/>
    </row>
    <row r="1011">
      <c r="A1011" s="56">
        <v>1008.0</v>
      </c>
      <c r="B1011" s="68">
        <v>4221.0</v>
      </c>
      <c r="C1011" s="69">
        <v>1024.0</v>
      </c>
      <c r="D1011" s="68" t="s">
        <v>4087</v>
      </c>
      <c r="E1011" s="68" t="s">
        <v>4088</v>
      </c>
      <c r="F1011" s="76">
        <v>36664.0</v>
      </c>
      <c r="G1011" s="68" t="s">
        <v>4089</v>
      </c>
      <c r="H1011" s="71"/>
      <c r="I1011" s="63" t="s">
        <v>4090</v>
      </c>
      <c r="J1011" s="68" t="s">
        <v>4091</v>
      </c>
      <c r="K1011" s="71"/>
      <c r="L1011" s="71"/>
      <c r="M1011" s="71"/>
      <c r="N1011" s="61"/>
      <c r="O1011" s="51"/>
    </row>
    <row r="1012">
      <c r="A1012" s="56">
        <v>1009.0</v>
      </c>
      <c r="B1012" s="68">
        <v>4222.0</v>
      </c>
      <c r="C1012" s="69">
        <v>1025.0</v>
      </c>
      <c r="D1012" s="71"/>
      <c r="E1012" s="68" t="s">
        <v>4092</v>
      </c>
      <c r="F1012" s="76">
        <v>41248.0</v>
      </c>
      <c r="G1012" s="68" t="s">
        <v>4093</v>
      </c>
      <c r="H1012" s="71"/>
      <c r="I1012" s="68" t="s">
        <v>635</v>
      </c>
      <c r="J1012" s="68" t="s">
        <v>4094</v>
      </c>
      <c r="K1012" s="71"/>
      <c r="L1012" s="71"/>
      <c r="M1012" s="68" t="s">
        <v>27</v>
      </c>
      <c r="N1012" s="77"/>
      <c r="O1012" s="51"/>
    </row>
    <row r="1013">
      <c r="A1013" s="56">
        <v>1010.0</v>
      </c>
      <c r="B1013" s="68">
        <v>4223.0</v>
      </c>
      <c r="C1013" s="69">
        <v>1026.0</v>
      </c>
      <c r="D1013" s="71"/>
      <c r="E1013" s="68" t="s">
        <v>4095</v>
      </c>
      <c r="F1013" s="76">
        <v>41153.0</v>
      </c>
      <c r="G1013" s="68" t="s">
        <v>4096</v>
      </c>
      <c r="H1013" s="68" t="s">
        <v>4097</v>
      </c>
      <c r="I1013" s="63" t="s">
        <v>4098</v>
      </c>
      <c r="J1013" s="68" t="s">
        <v>4099</v>
      </c>
      <c r="K1013" s="71"/>
      <c r="L1013" s="71"/>
      <c r="M1013" s="71"/>
      <c r="N1013" s="61"/>
      <c r="O1013" s="51"/>
    </row>
    <row r="1014">
      <c r="A1014" s="56">
        <v>1011.0</v>
      </c>
      <c r="B1014" s="68">
        <v>4224.0</v>
      </c>
      <c r="C1014" s="69">
        <v>1027.0</v>
      </c>
      <c r="D1014" s="71"/>
      <c r="E1014" s="68" t="s">
        <v>4100</v>
      </c>
      <c r="F1014" s="83">
        <v>41200.0</v>
      </c>
      <c r="G1014" s="68" t="s">
        <v>4101</v>
      </c>
      <c r="H1014" s="71"/>
      <c r="I1014" s="63" t="s">
        <v>4102</v>
      </c>
      <c r="J1014" s="68" t="s">
        <v>4103</v>
      </c>
      <c r="K1014" s="71"/>
      <c r="L1014" s="71"/>
      <c r="M1014" s="71"/>
      <c r="N1014" s="61"/>
      <c r="O1014" s="51"/>
    </row>
    <row r="1015">
      <c r="A1015" s="56">
        <v>1012.0</v>
      </c>
      <c r="B1015" s="68">
        <v>4225.0</v>
      </c>
      <c r="C1015" s="69">
        <v>1028.0</v>
      </c>
      <c r="D1015" s="71"/>
      <c r="E1015" s="68" t="s">
        <v>4104</v>
      </c>
      <c r="F1015" s="76">
        <v>41296.0</v>
      </c>
      <c r="G1015" s="68" t="s">
        <v>4105</v>
      </c>
      <c r="H1015" s="71"/>
      <c r="I1015" s="63" t="s">
        <v>4106</v>
      </c>
      <c r="J1015" s="68" t="s">
        <v>4107</v>
      </c>
      <c r="K1015" s="71"/>
      <c r="L1015" s="71"/>
      <c r="M1015" s="71"/>
      <c r="N1015" s="61"/>
      <c r="O1015" s="51"/>
    </row>
    <row r="1016">
      <c r="A1016" s="56">
        <v>1013.0</v>
      </c>
      <c r="B1016" s="68">
        <v>4226.0</v>
      </c>
      <c r="C1016" s="69">
        <v>1029.0</v>
      </c>
      <c r="D1016" s="71"/>
      <c r="E1016" s="68" t="s">
        <v>4108</v>
      </c>
      <c r="F1016" s="76">
        <v>38761.0</v>
      </c>
      <c r="G1016" s="68" t="s">
        <v>4109</v>
      </c>
      <c r="H1016" s="71"/>
      <c r="I1016" s="63" t="s">
        <v>4110</v>
      </c>
      <c r="J1016" s="68" t="s">
        <v>4111</v>
      </c>
      <c r="K1016" s="71"/>
      <c r="L1016" s="71"/>
      <c r="M1016" s="71"/>
      <c r="N1016" s="61"/>
      <c r="O1016" s="51"/>
    </row>
    <row r="1017">
      <c r="A1017" s="56">
        <v>1014.0</v>
      </c>
      <c r="B1017" s="68">
        <v>4227.0</v>
      </c>
      <c r="C1017" s="69">
        <v>1030.0</v>
      </c>
      <c r="D1017" s="68" t="s">
        <v>4112</v>
      </c>
      <c r="E1017" s="68" t="s">
        <v>4113</v>
      </c>
      <c r="F1017" s="68" t="s">
        <v>407</v>
      </c>
      <c r="G1017" s="68" t="s">
        <v>4114</v>
      </c>
      <c r="H1017" s="71"/>
      <c r="I1017" s="63" t="s">
        <v>4115</v>
      </c>
      <c r="J1017" s="68" t="s">
        <v>4116</v>
      </c>
      <c r="K1017" s="71"/>
      <c r="L1017" s="71"/>
      <c r="M1017" s="71"/>
      <c r="N1017" s="61"/>
      <c r="O1017" s="51"/>
    </row>
    <row r="1018">
      <c r="A1018" s="56">
        <v>1015.0</v>
      </c>
      <c r="B1018" s="68">
        <v>4228.0</v>
      </c>
      <c r="C1018" s="69">
        <v>1031.0</v>
      </c>
      <c r="D1018" s="68" t="s">
        <v>4117</v>
      </c>
      <c r="E1018" s="68" t="s">
        <v>4118</v>
      </c>
      <c r="F1018" s="83">
        <v>41194.0</v>
      </c>
      <c r="G1018" s="68" t="s">
        <v>4119</v>
      </c>
      <c r="H1018" s="71"/>
      <c r="I1018" s="68" t="s">
        <v>4120</v>
      </c>
      <c r="J1018" s="87" t="s">
        <v>4121</v>
      </c>
      <c r="K1018" s="71"/>
      <c r="L1018" s="71"/>
      <c r="M1018" s="68" t="s">
        <v>872</v>
      </c>
      <c r="N1018" s="61"/>
      <c r="O1018" s="51"/>
    </row>
    <row r="1019">
      <c r="A1019" s="56">
        <v>1016.0</v>
      </c>
      <c r="B1019" s="68">
        <v>4229.0</v>
      </c>
      <c r="C1019" s="69">
        <v>1032.0</v>
      </c>
      <c r="D1019" s="68" t="s">
        <v>4122</v>
      </c>
      <c r="E1019" s="68" t="s">
        <v>4123</v>
      </c>
      <c r="F1019" s="83">
        <v>41228.0</v>
      </c>
      <c r="G1019" s="68" t="s">
        <v>4124</v>
      </c>
      <c r="H1019" s="71"/>
      <c r="I1019" s="91" t="s">
        <v>4125</v>
      </c>
      <c r="J1019" s="68" t="s">
        <v>4126</v>
      </c>
      <c r="K1019" s="71"/>
      <c r="L1019" s="71"/>
      <c r="M1019" s="71"/>
      <c r="N1019" s="61"/>
      <c r="O1019" s="51"/>
    </row>
    <row r="1020">
      <c r="A1020" s="56">
        <v>1017.0</v>
      </c>
      <c r="B1020" s="68">
        <v>4230.0</v>
      </c>
      <c r="C1020" s="69">
        <v>1033.0</v>
      </c>
      <c r="D1020" s="68" t="s">
        <v>4127</v>
      </c>
      <c r="E1020" s="68" t="s">
        <v>4128</v>
      </c>
      <c r="F1020" s="83">
        <v>41243.0</v>
      </c>
      <c r="G1020" s="68" t="s">
        <v>4129</v>
      </c>
      <c r="H1020" s="68" t="s">
        <v>4130</v>
      </c>
      <c r="I1020" s="63" t="s">
        <v>4131</v>
      </c>
      <c r="J1020" s="68" t="s">
        <v>4132</v>
      </c>
      <c r="K1020" s="71"/>
      <c r="L1020" s="71"/>
      <c r="M1020" s="71"/>
      <c r="N1020" s="61"/>
      <c r="O1020" s="51"/>
    </row>
    <row r="1021">
      <c r="A1021" s="56">
        <v>1018.0</v>
      </c>
      <c r="B1021" s="68">
        <v>4231.0</v>
      </c>
      <c r="C1021" s="69">
        <v>1034.0</v>
      </c>
      <c r="D1021" s="68" t="s">
        <v>4133</v>
      </c>
      <c r="E1021" s="68" t="s">
        <v>4134</v>
      </c>
      <c r="F1021" s="76">
        <v>40912.0</v>
      </c>
      <c r="G1021" s="68" t="s">
        <v>4135</v>
      </c>
      <c r="H1021" s="71"/>
      <c r="I1021" s="63" t="s">
        <v>635</v>
      </c>
      <c r="J1021" s="68" t="s">
        <v>4136</v>
      </c>
      <c r="K1021" s="71"/>
      <c r="L1021" s="71"/>
      <c r="M1021" s="71"/>
      <c r="N1021" s="61"/>
      <c r="O1021" s="51"/>
    </row>
    <row r="1022">
      <c r="A1022" s="56">
        <v>1019.0</v>
      </c>
      <c r="B1022" s="68">
        <v>4232.0</v>
      </c>
      <c r="C1022" s="69">
        <v>1035.0</v>
      </c>
      <c r="D1022" s="68" t="s">
        <v>4137</v>
      </c>
      <c r="E1022" s="68" t="s">
        <v>4138</v>
      </c>
      <c r="F1022" s="83">
        <v>40536.0</v>
      </c>
      <c r="G1022" s="68" t="s">
        <v>4139</v>
      </c>
      <c r="H1022" s="71"/>
      <c r="I1022" s="63" t="s">
        <v>635</v>
      </c>
      <c r="J1022" s="68" t="s">
        <v>4140</v>
      </c>
      <c r="K1022" s="133"/>
      <c r="L1022" s="133"/>
      <c r="M1022" s="133"/>
      <c r="N1022" s="61"/>
      <c r="O1022" s="51"/>
    </row>
    <row r="1023">
      <c r="A1023" s="56">
        <v>1020.0</v>
      </c>
      <c r="B1023" s="63">
        <v>4233.0</v>
      </c>
      <c r="C1023" s="64">
        <v>1036.0</v>
      </c>
      <c r="D1023" s="63" t="s">
        <v>4141</v>
      </c>
      <c r="E1023" s="63" t="s">
        <v>4142</v>
      </c>
      <c r="F1023" s="70">
        <v>40239.0</v>
      </c>
      <c r="G1023" s="80" t="s">
        <v>4143</v>
      </c>
      <c r="H1023" s="82"/>
      <c r="I1023" s="63" t="s">
        <v>4144</v>
      </c>
      <c r="J1023" s="63" t="s">
        <v>3605</v>
      </c>
      <c r="K1023" s="66"/>
      <c r="L1023" s="66"/>
      <c r="M1023" s="63" t="s">
        <v>31</v>
      </c>
      <c r="N1023" s="61"/>
      <c r="O1023" s="51"/>
    </row>
    <row r="1024">
      <c r="A1024" s="56">
        <v>1021.0</v>
      </c>
      <c r="B1024" s="68">
        <v>4234.0</v>
      </c>
      <c r="C1024" s="69">
        <v>1037.0</v>
      </c>
      <c r="D1024" s="68" t="s">
        <v>4145</v>
      </c>
      <c r="E1024" s="68" t="s">
        <v>4146</v>
      </c>
      <c r="F1024" s="76">
        <v>41138.0</v>
      </c>
      <c r="G1024" s="68" t="s">
        <v>4147</v>
      </c>
      <c r="H1024" s="71"/>
      <c r="I1024" s="68" t="s">
        <v>635</v>
      </c>
      <c r="J1024" s="68" t="s">
        <v>4148</v>
      </c>
      <c r="K1024" s="71"/>
      <c r="L1024" s="71"/>
      <c r="M1024" s="71"/>
      <c r="N1024" s="61"/>
      <c r="O1024" s="51"/>
    </row>
    <row r="1025">
      <c r="A1025" s="56">
        <v>1022.0</v>
      </c>
      <c r="B1025" s="63">
        <v>4235.0</v>
      </c>
      <c r="C1025" s="64">
        <v>1038.0</v>
      </c>
      <c r="D1025" s="63" t="s">
        <v>4149</v>
      </c>
      <c r="E1025" s="63" t="s">
        <v>4150</v>
      </c>
      <c r="F1025" s="70">
        <v>40721.0</v>
      </c>
      <c r="G1025" s="80" t="s">
        <v>4151</v>
      </c>
      <c r="H1025" s="82"/>
      <c r="I1025" s="63" t="s">
        <v>4152</v>
      </c>
      <c r="J1025" s="63" t="s">
        <v>4153</v>
      </c>
      <c r="K1025" s="66"/>
      <c r="L1025" s="66"/>
      <c r="M1025" s="63" t="s">
        <v>125</v>
      </c>
      <c r="N1025" s="61"/>
      <c r="O1025" s="51"/>
    </row>
    <row r="1026">
      <c r="A1026" s="56">
        <v>1023.0</v>
      </c>
      <c r="B1026" s="63">
        <v>4236.0</v>
      </c>
      <c r="C1026" s="64">
        <v>1039.0</v>
      </c>
      <c r="D1026" s="63" t="s">
        <v>4154</v>
      </c>
      <c r="E1026" s="63" t="s">
        <v>4155</v>
      </c>
      <c r="F1026" s="70">
        <v>41152.0</v>
      </c>
      <c r="G1026" s="80" t="s">
        <v>4156</v>
      </c>
      <c r="H1026" s="82"/>
      <c r="I1026" s="63" t="s">
        <v>635</v>
      </c>
      <c r="J1026" s="63" t="s">
        <v>136</v>
      </c>
      <c r="K1026" s="66"/>
      <c r="L1026" s="66"/>
      <c r="M1026" s="66"/>
      <c r="N1026" s="61"/>
      <c r="O1026" s="51"/>
    </row>
    <row r="1027">
      <c r="A1027" s="56">
        <v>1024.0</v>
      </c>
      <c r="B1027" s="68">
        <v>4237.0</v>
      </c>
      <c r="C1027" s="69">
        <v>1040.0</v>
      </c>
      <c r="D1027" s="68" t="s">
        <v>4157</v>
      </c>
      <c r="E1027" s="68" t="s">
        <v>4158</v>
      </c>
      <c r="F1027" s="76">
        <v>41123.0</v>
      </c>
      <c r="G1027" s="68" t="s">
        <v>4159</v>
      </c>
      <c r="H1027" s="71"/>
      <c r="I1027" s="68" t="s">
        <v>635</v>
      </c>
      <c r="J1027" s="68" t="s">
        <v>4160</v>
      </c>
      <c r="K1027" s="71"/>
      <c r="L1027" s="71"/>
      <c r="M1027" s="71"/>
      <c r="N1027" s="61"/>
      <c r="O1027" s="51"/>
    </row>
    <row r="1028">
      <c r="A1028" s="56">
        <v>1025.0</v>
      </c>
      <c r="B1028" s="68">
        <v>4238.0</v>
      </c>
      <c r="C1028" s="69">
        <v>1041.0</v>
      </c>
      <c r="D1028" s="68" t="s">
        <v>4161</v>
      </c>
      <c r="E1028" s="68" t="s">
        <v>4162</v>
      </c>
      <c r="F1028" s="76">
        <v>41275.0</v>
      </c>
      <c r="G1028" s="68" t="s">
        <v>4163</v>
      </c>
      <c r="H1028" s="71"/>
      <c r="I1028" s="63" t="s">
        <v>4164</v>
      </c>
      <c r="J1028" s="68" t="s">
        <v>4165</v>
      </c>
      <c r="K1028" s="71"/>
      <c r="L1028" s="71"/>
      <c r="M1028" s="71"/>
      <c r="N1028" s="61"/>
      <c r="O1028" s="51"/>
    </row>
    <row r="1029">
      <c r="A1029" s="56">
        <v>1026.0</v>
      </c>
      <c r="B1029" s="68">
        <v>4239.0</v>
      </c>
      <c r="C1029" s="69">
        <v>1042.0</v>
      </c>
      <c r="D1029" s="68" t="s">
        <v>4166</v>
      </c>
      <c r="E1029" s="68" t="s">
        <v>4167</v>
      </c>
      <c r="F1029" s="76">
        <v>41176.0</v>
      </c>
      <c r="G1029" s="68" t="s">
        <v>4168</v>
      </c>
      <c r="H1029" s="71"/>
      <c r="I1029" s="63" t="s">
        <v>635</v>
      </c>
      <c r="J1029" s="68" t="s">
        <v>4169</v>
      </c>
      <c r="K1029" s="71"/>
      <c r="L1029" s="71"/>
      <c r="M1029" s="71"/>
      <c r="N1029" s="61"/>
      <c r="O1029" s="51"/>
    </row>
    <row r="1030">
      <c r="A1030" s="56">
        <v>1027.0</v>
      </c>
      <c r="B1030" s="68">
        <v>4240.0</v>
      </c>
      <c r="C1030" s="69">
        <v>1043.0</v>
      </c>
      <c r="D1030" s="68" t="s">
        <v>4170</v>
      </c>
      <c r="E1030" s="68" t="s">
        <v>4171</v>
      </c>
      <c r="F1030" s="76">
        <v>40655.0</v>
      </c>
      <c r="G1030" s="68" t="s">
        <v>4151</v>
      </c>
      <c r="H1030" s="71"/>
      <c r="I1030" s="66"/>
      <c r="J1030" s="68" t="s">
        <v>2955</v>
      </c>
      <c r="K1030" s="71"/>
      <c r="L1030" s="71"/>
      <c r="M1030" s="71"/>
      <c r="N1030" s="61"/>
      <c r="O1030" s="51"/>
    </row>
    <row r="1031">
      <c r="A1031" s="56">
        <v>1028.0</v>
      </c>
      <c r="B1031" s="63">
        <v>4241.0</v>
      </c>
      <c r="C1031" s="64">
        <v>1044.0</v>
      </c>
      <c r="D1031" s="63" t="s">
        <v>4172</v>
      </c>
      <c r="E1031" s="63" t="s">
        <v>4173</v>
      </c>
      <c r="F1031" s="70">
        <v>40038.0</v>
      </c>
      <c r="G1031" s="80" t="s">
        <v>4174</v>
      </c>
      <c r="H1031" s="82"/>
      <c r="I1031" s="63" t="s">
        <v>4175</v>
      </c>
      <c r="J1031" s="63" t="s">
        <v>1872</v>
      </c>
      <c r="K1031" s="66"/>
      <c r="L1031" s="66"/>
      <c r="M1031" s="63" t="s">
        <v>530</v>
      </c>
      <c r="N1031" s="61"/>
      <c r="O1031" s="51"/>
    </row>
    <row r="1032">
      <c r="A1032" s="56">
        <v>1029.0</v>
      </c>
      <c r="B1032" s="68">
        <v>4242.0</v>
      </c>
      <c r="C1032" s="69">
        <v>1045.0</v>
      </c>
      <c r="D1032" s="68" t="s">
        <v>4176</v>
      </c>
      <c r="E1032" s="68" t="s">
        <v>4177</v>
      </c>
      <c r="F1032" s="76">
        <v>39976.0</v>
      </c>
      <c r="G1032" s="68" t="s">
        <v>4178</v>
      </c>
      <c r="H1032" s="71"/>
      <c r="I1032" s="63" t="s">
        <v>635</v>
      </c>
      <c r="J1032" s="68" t="s">
        <v>4179</v>
      </c>
      <c r="K1032" s="71"/>
      <c r="L1032" s="71"/>
      <c r="M1032" s="68" t="s">
        <v>137</v>
      </c>
      <c r="N1032" s="61"/>
      <c r="O1032" s="51"/>
    </row>
    <row r="1033">
      <c r="A1033" s="56">
        <v>1030.0</v>
      </c>
      <c r="B1033" s="68">
        <v>4243.0</v>
      </c>
      <c r="C1033" s="69">
        <v>1046.0</v>
      </c>
      <c r="D1033" s="68" t="s">
        <v>4180</v>
      </c>
      <c r="E1033" s="68" t="s">
        <v>4181</v>
      </c>
      <c r="F1033" s="76">
        <v>40286.0</v>
      </c>
      <c r="G1033" s="68" t="s">
        <v>4182</v>
      </c>
      <c r="H1033" s="71"/>
      <c r="I1033" s="63" t="s">
        <v>635</v>
      </c>
      <c r="J1033" s="68" t="s">
        <v>4183</v>
      </c>
      <c r="K1033" s="71"/>
      <c r="L1033" s="71"/>
      <c r="M1033" s="71"/>
      <c r="N1033" s="61"/>
      <c r="O1033" s="51"/>
    </row>
    <row r="1034">
      <c r="A1034" s="56">
        <v>1031.0</v>
      </c>
      <c r="B1034" s="68">
        <v>4244.0</v>
      </c>
      <c r="C1034" s="69">
        <v>1047.0</v>
      </c>
      <c r="D1034" s="71"/>
      <c r="E1034" s="68" t="s">
        <v>4184</v>
      </c>
      <c r="F1034" s="76">
        <v>41321.0</v>
      </c>
      <c r="G1034" s="68" t="s">
        <v>4185</v>
      </c>
      <c r="H1034" s="71"/>
      <c r="I1034" s="63" t="s">
        <v>4186</v>
      </c>
      <c r="J1034" s="68" t="s">
        <v>4187</v>
      </c>
      <c r="K1034" s="71"/>
      <c r="L1034" s="71"/>
      <c r="M1034" s="66"/>
      <c r="N1034" s="61"/>
      <c r="O1034" s="51"/>
    </row>
    <row r="1035">
      <c r="A1035" s="56">
        <v>1032.0</v>
      </c>
      <c r="B1035" s="68">
        <v>4245.0</v>
      </c>
      <c r="C1035" s="69" t="s">
        <v>4188</v>
      </c>
      <c r="D1035" s="71"/>
      <c r="E1035" s="68" t="s">
        <v>4189</v>
      </c>
      <c r="F1035" s="76">
        <v>41295.0</v>
      </c>
      <c r="G1035" s="68" t="s">
        <v>4190</v>
      </c>
      <c r="H1035" s="68" t="s">
        <v>439</v>
      </c>
      <c r="I1035" s="63" t="s">
        <v>4191</v>
      </c>
      <c r="J1035" s="68" t="s">
        <v>1481</v>
      </c>
      <c r="K1035" s="71"/>
      <c r="L1035" s="71"/>
      <c r="M1035" s="66"/>
      <c r="N1035" s="61"/>
      <c r="O1035" s="51"/>
    </row>
    <row r="1036">
      <c r="A1036" s="56">
        <v>1033.0</v>
      </c>
      <c r="B1036" s="68">
        <v>4246.0</v>
      </c>
      <c r="C1036" s="69">
        <v>1049.0</v>
      </c>
      <c r="D1036" s="71"/>
      <c r="E1036" s="68" t="s">
        <v>4192</v>
      </c>
      <c r="F1036" s="76">
        <v>40882.0</v>
      </c>
      <c r="G1036" s="68" t="s">
        <v>4193</v>
      </c>
      <c r="H1036" s="71"/>
      <c r="I1036" s="63" t="s">
        <v>4194</v>
      </c>
      <c r="J1036" s="68" t="s">
        <v>4195</v>
      </c>
      <c r="K1036" s="71"/>
      <c r="L1036" s="71"/>
      <c r="M1036" s="71"/>
      <c r="N1036" s="61"/>
      <c r="O1036" s="51"/>
    </row>
    <row r="1037">
      <c r="A1037" s="75">
        <v>1034.0</v>
      </c>
      <c r="B1037" s="68">
        <v>4247.0</v>
      </c>
      <c r="C1037" s="69">
        <v>1050.0</v>
      </c>
      <c r="D1037" s="71"/>
      <c r="E1037" s="68" t="s">
        <v>4196</v>
      </c>
      <c r="F1037" s="83">
        <v>40102.0</v>
      </c>
      <c r="G1037" s="68" t="s">
        <v>4197</v>
      </c>
      <c r="H1037" s="71"/>
      <c r="I1037" s="68" t="s">
        <v>4198</v>
      </c>
      <c r="J1037" s="68" t="s">
        <v>4199</v>
      </c>
      <c r="K1037" s="71"/>
      <c r="L1037" s="71"/>
      <c r="M1037" s="68" t="s">
        <v>3407</v>
      </c>
      <c r="N1037" s="77"/>
      <c r="O1037" s="51"/>
    </row>
    <row r="1038">
      <c r="A1038" s="56">
        <v>1035.0</v>
      </c>
      <c r="B1038" s="68">
        <v>4248.0</v>
      </c>
      <c r="C1038" s="69">
        <v>1051.0</v>
      </c>
      <c r="D1038" s="71"/>
      <c r="E1038" s="68" t="s">
        <v>4200</v>
      </c>
      <c r="F1038" s="83">
        <v>41180.0</v>
      </c>
      <c r="G1038" s="68" t="s">
        <v>4201</v>
      </c>
      <c r="H1038" s="71"/>
      <c r="I1038" s="68" t="s">
        <v>4202</v>
      </c>
      <c r="J1038" s="68" t="s">
        <v>4203</v>
      </c>
      <c r="K1038" s="71"/>
      <c r="L1038" s="71"/>
      <c r="M1038" s="68" t="s">
        <v>403</v>
      </c>
      <c r="N1038" s="77"/>
      <c r="O1038" s="51"/>
    </row>
    <row r="1039">
      <c r="A1039" s="56">
        <v>1036.0</v>
      </c>
      <c r="B1039" s="68">
        <v>4249.0</v>
      </c>
      <c r="C1039" s="69">
        <v>1052.0</v>
      </c>
      <c r="D1039" s="71"/>
      <c r="E1039" s="68" t="s">
        <v>4204</v>
      </c>
      <c r="F1039" s="76">
        <v>40725.0</v>
      </c>
      <c r="G1039" s="68" t="s">
        <v>4205</v>
      </c>
      <c r="H1039" s="71"/>
      <c r="I1039" s="68" t="s">
        <v>635</v>
      </c>
      <c r="J1039" s="68" t="s">
        <v>4206</v>
      </c>
      <c r="K1039" s="71"/>
      <c r="L1039" s="71"/>
      <c r="M1039" s="71"/>
      <c r="N1039" s="61"/>
      <c r="O1039" s="51"/>
    </row>
    <row r="1040">
      <c r="A1040" s="56">
        <v>1037.0</v>
      </c>
      <c r="B1040" s="68">
        <v>4250.0</v>
      </c>
      <c r="C1040" s="69">
        <v>1053.0</v>
      </c>
      <c r="D1040" s="71"/>
      <c r="E1040" s="68" t="s">
        <v>4207</v>
      </c>
      <c r="F1040" s="76">
        <v>41487.0</v>
      </c>
      <c r="G1040" s="68" t="s">
        <v>4208</v>
      </c>
      <c r="H1040" s="71"/>
      <c r="I1040" s="63" t="s">
        <v>635</v>
      </c>
      <c r="J1040" s="68" t="s">
        <v>4209</v>
      </c>
      <c r="K1040" s="71"/>
      <c r="L1040" s="71"/>
      <c r="M1040" s="71"/>
      <c r="N1040" s="61"/>
      <c r="O1040" s="51"/>
    </row>
    <row r="1041">
      <c r="A1041" s="56">
        <v>1038.0</v>
      </c>
      <c r="B1041" s="63">
        <v>4251.0</v>
      </c>
      <c r="C1041" s="64">
        <v>1054.0</v>
      </c>
      <c r="D1041" s="66"/>
      <c r="E1041" s="63" t="s">
        <v>4210</v>
      </c>
      <c r="F1041" s="65">
        <v>41243.0</v>
      </c>
      <c r="G1041" s="80" t="s">
        <v>4211</v>
      </c>
      <c r="H1041" s="82"/>
      <c r="I1041" s="63" t="s">
        <v>4212</v>
      </c>
      <c r="J1041" s="63" t="s">
        <v>4213</v>
      </c>
      <c r="K1041" s="66"/>
      <c r="L1041" s="66"/>
      <c r="M1041" s="63" t="s">
        <v>4001</v>
      </c>
      <c r="N1041" s="61"/>
      <c r="O1041" s="51"/>
    </row>
    <row r="1042">
      <c r="A1042" s="56">
        <v>1039.0</v>
      </c>
      <c r="B1042" s="68">
        <v>4252.0</v>
      </c>
      <c r="C1042" s="69">
        <v>1055.0</v>
      </c>
      <c r="D1042" s="71"/>
      <c r="E1042" s="68" t="s">
        <v>4214</v>
      </c>
      <c r="F1042" s="83">
        <v>40897.0</v>
      </c>
      <c r="G1042" s="68" t="s">
        <v>4215</v>
      </c>
      <c r="H1042" s="71"/>
      <c r="I1042" s="68" t="s">
        <v>4216</v>
      </c>
      <c r="J1042" s="100" t="s">
        <v>4217</v>
      </c>
      <c r="K1042" s="101"/>
      <c r="L1042" s="71"/>
      <c r="M1042" s="71"/>
      <c r="N1042" s="77"/>
      <c r="O1042" s="51"/>
    </row>
    <row r="1043">
      <c r="A1043" s="56">
        <v>1040.0</v>
      </c>
      <c r="B1043" s="68">
        <v>4253.0</v>
      </c>
      <c r="C1043" s="69">
        <v>1056.0</v>
      </c>
      <c r="D1043" s="71"/>
      <c r="E1043" s="68" t="s">
        <v>4218</v>
      </c>
      <c r="F1043" s="76">
        <v>41277.0</v>
      </c>
      <c r="G1043" s="68" t="s">
        <v>4219</v>
      </c>
      <c r="H1043" s="71"/>
      <c r="I1043" s="68" t="s">
        <v>4220</v>
      </c>
      <c r="J1043" s="126" t="s">
        <v>4221</v>
      </c>
      <c r="K1043" s="119"/>
      <c r="L1043" s="119"/>
      <c r="M1043" s="119"/>
      <c r="N1043" s="61"/>
      <c r="O1043" s="51"/>
    </row>
    <row r="1044">
      <c r="A1044" s="56">
        <v>1041.0</v>
      </c>
      <c r="B1044" s="68">
        <v>4254.0</v>
      </c>
      <c r="C1044" s="69">
        <v>1057.0</v>
      </c>
      <c r="D1044" s="68" t="s">
        <v>4222</v>
      </c>
      <c r="E1044" s="68" t="s">
        <v>4223</v>
      </c>
      <c r="F1044" s="76">
        <v>41340.0</v>
      </c>
      <c r="G1044" s="68" t="s">
        <v>4224</v>
      </c>
      <c r="H1044" s="71"/>
      <c r="I1044" s="71"/>
      <c r="J1044" s="100" t="s">
        <v>4225</v>
      </c>
      <c r="K1044" s="101"/>
      <c r="L1044" s="71"/>
      <c r="M1044" s="71"/>
      <c r="N1044" s="77"/>
      <c r="O1044" s="51"/>
    </row>
    <row r="1045">
      <c r="A1045" s="56">
        <v>1042.0</v>
      </c>
      <c r="B1045" s="63">
        <v>4255.0</v>
      </c>
      <c r="C1045" s="64" t="s">
        <v>4226</v>
      </c>
      <c r="D1045" s="63" t="s">
        <v>4227</v>
      </c>
      <c r="E1045" s="63" t="s">
        <v>4228</v>
      </c>
      <c r="F1045" s="70">
        <v>40590.0</v>
      </c>
      <c r="G1045" s="80" t="s">
        <v>4229</v>
      </c>
      <c r="H1045" s="82"/>
      <c r="I1045" s="63" t="s">
        <v>4230</v>
      </c>
      <c r="J1045" s="63" t="s">
        <v>1421</v>
      </c>
      <c r="K1045" s="66"/>
      <c r="L1045" s="66"/>
      <c r="M1045" s="63" t="s">
        <v>149</v>
      </c>
      <c r="N1045" s="61"/>
      <c r="O1045" s="51"/>
    </row>
    <row r="1046">
      <c r="A1046" s="56">
        <v>1043.0</v>
      </c>
      <c r="B1046" s="68">
        <v>4256.0</v>
      </c>
      <c r="C1046" s="69">
        <v>1059.0</v>
      </c>
      <c r="D1046" s="68" t="s">
        <v>4231</v>
      </c>
      <c r="E1046" s="68" t="s">
        <v>4232</v>
      </c>
      <c r="F1046" s="76">
        <v>41184.0</v>
      </c>
      <c r="G1046" s="68" t="s">
        <v>4233</v>
      </c>
      <c r="H1046" s="71"/>
      <c r="I1046" s="68" t="s">
        <v>4234</v>
      </c>
      <c r="J1046" s="68" t="s">
        <v>4235</v>
      </c>
      <c r="K1046" s="71"/>
      <c r="L1046" s="71"/>
      <c r="M1046" s="71"/>
      <c r="N1046" s="77"/>
      <c r="O1046" s="51"/>
    </row>
    <row r="1047">
      <c r="A1047" s="56">
        <v>1044.0</v>
      </c>
      <c r="B1047" s="63">
        <v>4257.0</v>
      </c>
      <c r="C1047" s="64">
        <v>1060.0</v>
      </c>
      <c r="D1047" s="63" t="s">
        <v>4236</v>
      </c>
      <c r="E1047" s="63" t="s">
        <v>4237</v>
      </c>
      <c r="F1047" s="70">
        <v>41180.0</v>
      </c>
      <c r="G1047" s="80" t="s">
        <v>4238</v>
      </c>
      <c r="H1047" s="82"/>
      <c r="I1047" s="63" t="s">
        <v>4239</v>
      </c>
      <c r="J1047" s="63" t="s">
        <v>4240</v>
      </c>
      <c r="K1047" s="66"/>
      <c r="L1047" s="66"/>
      <c r="M1047" s="66"/>
      <c r="N1047" s="61"/>
      <c r="O1047" s="51"/>
    </row>
    <row r="1048">
      <c r="A1048" s="56">
        <v>1045.0</v>
      </c>
      <c r="B1048" s="63">
        <v>4258.0</v>
      </c>
      <c r="C1048" s="64">
        <v>1061.0</v>
      </c>
      <c r="D1048" s="63" t="s">
        <v>4236</v>
      </c>
      <c r="E1048" s="63" t="s">
        <v>4241</v>
      </c>
      <c r="F1048" s="70">
        <v>41180.0</v>
      </c>
      <c r="G1048" s="80" t="s">
        <v>4238</v>
      </c>
      <c r="H1048" s="82"/>
      <c r="I1048" s="63" t="s">
        <v>4242</v>
      </c>
      <c r="J1048" s="63" t="s">
        <v>136</v>
      </c>
      <c r="K1048" s="66"/>
      <c r="L1048" s="66"/>
      <c r="M1048" s="66"/>
      <c r="N1048" s="61"/>
      <c r="O1048" s="51"/>
    </row>
    <row r="1049">
      <c r="A1049" s="56">
        <v>1046.0</v>
      </c>
      <c r="B1049" s="68">
        <v>4259.0</v>
      </c>
      <c r="C1049" s="69">
        <v>1062.0</v>
      </c>
      <c r="D1049" s="68" t="s">
        <v>4243</v>
      </c>
      <c r="E1049" s="68" t="s">
        <v>4244</v>
      </c>
      <c r="F1049" s="76">
        <v>40344.0</v>
      </c>
      <c r="G1049" s="68" t="s">
        <v>4245</v>
      </c>
      <c r="H1049" s="71"/>
      <c r="I1049" s="68" t="s">
        <v>4246</v>
      </c>
      <c r="J1049" s="68" t="s">
        <v>4247</v>
      </c>
      <c r="K1049" s="71"/>
      <c r="L1049" s="71"/>
      <c r="M1049" s="71"/>
      <c r="N1049" s="77"/>
      <c r="O1049" s="51"/>
    </row>
    <row r="1050">
      <c r="A1050" s="56">
        <v>1047.0</v>
      </c>
      <c r="B1050" s="63">
        <v>4260.0</v>
      </c>
      <c r="C1050" s="64">
        <v>1063.0</v>
      </c>
      <c r="D1050" s="63" t="s">
        <v>4248</v>
      </c>
      <c r="E1050" s="63" t="s">
        <v>4249</v>
      </c>
      <c r="F1050" s="70">
        <v>40932.0</v>
      </c>
      <c r="G1050" s="80" t="s">
        <v>4250</v>
      </c>
      <c r="H1050" s="82"/>
      <c r="I1050" s="63" t="s">
        <v>4251</v>
      </c>
      <c r="J1050" s="63" t="s">
        <v>1490</v>
      </c>
      <c r="K1050" s="66"/>
      <c r="L1050" s="66"/>
      <c r="M1050" s="63" t="s">
        <v>27</v>
      </c>
      <c r="N1050" s="61"/>
      <c r="O1050" s="51"/>
    </row>
    <row r="1051">
      <c r="A1051" s="56">
        <v>1048.0</v>
      </c>
      <c r="B1051" s="63">
        <v>4261.0</v>
      </c>
      <c r="C1051" s="64">
        <v>1064.0</v>
      </c>
      <c r="D1051" s="63" t="s">
        <v>4252</v>
      </c>
      <c r="E1051" s="63" t="s">
        <v>4253</v>
      </c>
      <c r="F1051" s="65">
        <v>40845.0</v>
      </c>
      <c r="G1051" s="80" t="s">
        <v>4254</v>
      </c>
      <c r="H1051" s="82"/>
      <c r="I1051" s="63" t="s">
        <v>4255</v>
      </c>
      <c r="J1051" s="63" t="s">
        <v>1605</v>
      </c>
      <c r="K1051" s="66"/>
      <c r="L1051" s="66"/>
      <c r="M1051" s="63" t="s">
        <v>125</v>
      </c>
      <c r="N1051" s="61"/>
      <c r="O1051" s="51"/>
    </row>
    <row r="1052">
      <c r="A1052" s="75">
        <v>1049.0</v>
      </c>
      <c r="B1052" s="68">
        <v>4262.0</v>
      </c>
      <c r="C1052" s="69">
        <v>1065.0</v>
      </c>
      <c r="D1052" s="68" t="s">
        <v>4256</v>
      </c>
      <c r="E1052" s="68" t="s">
        <v>4257</v>
      </c>
      <c r="F1052" s="76">
        <v>40360.0</v>
      </c>
      <c r="G1052" s="68" t="s">
        <v>4258</v>
      </c>
      <c r="H1052" s="71"/>
      <c r="I1052" s="68" t="s">
        <v>4259</v>
      </c>
      <c r="J1052" s="68" t="s">
        <v>1392</v>
      </c>
      <c r="K1052" s="71"/>
      <c r="L1052" s="71"/>
      <c r="M1052" s="68" t="s">
        <v>530</v>
      </c>
      <c r="N1052" s="77"/>
      <c r="O1052" s="51"/>
    </row>
    <row r="1053">
      <c r="A1053" s="56">
        <v>1050.0</v>
      </c>
      <c r="B1053" s="68">
        <v>4263.0</v>
      </c>
      <c r="C1053" s="69">
        <v>1066.0</v>
      </c>
      <c r="D1053" s="68" t="s">
        <v>4260</v>
      </c>
      <c r="E1053" s="68" t="s">
        <v>4261</v>
      </c>
      <c r="F1053" s="83">
        <v>40503.0</v>
      </c>
      <c r="G1053" s="68" t="s">
        <v>4262</v>
      </c>
      <c r="H1053" s="68" t="s">
        <v>439</v>
      </c>
      <c r="I1053" s="68" t="s">
        <v>635</v>
      </c>
      <c r="J1053" s="68" t="s">
        <v>4263</v>
      </c>
      <c r="K1053" s="71"/>
      <c r="L1053" s="71"/>
      <c r="M1053" s="68" t="s">
        <v>530</v>
      </c>
      <c r="N1053" s="77"/>
      <c r="O1053" s="51"/>
    </row>
    <row r="1054">
      <c r="A1054" s="56">
        <v>1051.0</v>
      </c>
      <c r="B1054" s="68">
        <v>4264.0</v>
      </c>
      <c r="C1054" s="69" t="s">
        <v>4264</v>
      </c>
      <c r="D1054" s="71"/>
      <c r="E1054" s="68" t="s">
        <v>4265</v>
      </c>
      <c r="F1054" s="76">
        <v>38979.0</v>
      </c>
      <c r="G1054" s="68" t="s">
        <v>4266</v>
      </c>
      <c r="H1054" s="71"/>
      <c r="I1054" s="68" t="s">
        <v>4267</v>
      </c>
      <c r="J1054" s="68" t="s">
        <v>4268</v>
      </c>
      <c r="K1054" s="71"/>
      <c r="L1054" s="71"/>
      <c r="M1054" s="134" t="s">
        <v>143</v>
      </c>
      <c r="N1054" s="77"/>
      <c r="O1054" s="51"/>
    </row>
    <row r="1055">
      <c r="A1055" s="56">
        <v>1052.0</v>
      </c>
      <c r="B1055" s="68">
        <v>4265.0</v>
      </c>
      <c r="C1055" s="69">
        <v>1068.0</v>
      </c>
      <c r="D1055" s="71"/>
      <c r="E1055" s="68" t="s">
        <v>4269</v>
      </c>
      <c r="F1055" s="83">
        <v>41272.0</v>
      </c>
      <c r="G1055" s="68" t="s">
        <v>4270</v>
      </c>
      <c r="H1055" s="71"/>
      <c r="I1055" s="68" t="s">
        <v>4271</v>
      </c>
      <c r="J1055" s="68" t="s">
        <v>4272</v>
      </c>
      <c r="K1055" s="71"/>
      <c r="L1055" s="71"/>
      <c r="M1055" s="68" t="s">
        <v>4273</v>
      </c>
      <c r="N1055" s="61"/>
      <c r="O1055" s="51"/>
    </row>
    <row r="1056">
      <c r="A1056" s="56">
        <v>1053.0</v>
      </c>
      <c r="B1056" s="63">
        <v>4266.0</v>
      </c>
      <c r="C1056" s="64">
        <v>1069.0</v>
      </c>
      <c r="D1056" s="63" t="s">
        <v>4274</v>
      </c>
      <c r="E1056" s="63" t="s">
        <v>4275</v>
      </c>
      <c r="F1056" s="70">
        <v>40383.0</v>
      </c>
      <c r="G1056" s="80" t="s">
        <v>4276</v>
      </c>
      <c r="H1056" s="80" t="s">
        <v>4277</v>
      </c>
      <c r="I1056" s="63" t="s">
        <v>635</v>
      </c>
      <c r="J1056" s="63" t="s">
        <v>136</v>
      </c>
      <c r="K1056" s="66"/>
      <c r="L1056" s="66"/>
      <c r="M1056" s="63" t="s">
        <v>125</v>
      </c>
      <c r="N1056" s="61"/>
      <c r="O1056" s="51"/>
    </row>
    <row r="1057">
      <c r="A1057" s="56">
        <v>1054.0</v>
      </c>
      <c r="B1057" s="63">
        <v>4267.0</v>
      </c>
      <c r="C1057" s="64">
        <v>1070.0</v>
      </c>
      <c r="D1057" s="63" t="s">
        <v>4278</v>
      </c>
      <c r="E1057" s="63" t="s">
        <v>4279</v>
      </c>
      <c r="F1057" s="70">
        <v>40699.0</v>
      </c>
      <c r="G1057" s="80" t="s">
        <v>4280</v>
      </c>
      <c r="H1057" s="82"/>
      <c r="I1057" s="63" t="s">
        <v>635</v>
      </c>
      <c r="J1057" s="63" t="s">
        <v>136</v>
      </c>
      <c r="K1057" s="66"/>
      <c r="L1057" s="66"/>
      <c r="M1057" s="66"/>
      <c r="N1057" s="61"/>
      <c r="O1057" s="51"/>
    </row>
    <row r="1058">
      <c r="A1058" s="56">
        <v>1055.0</v>
      </c>
      <c r="B1058" s="68">
        <v>4268.0</v>
      </c>
      <c r="C1058" s="69">
        <v>1071.0</v>
      </c>
      <c r="D1058" s="71"/>
      <c r="E1058" s="68" t="s">
        <v>4281</v>
      </c>
      <c r="F1058" s="76">
        <v>41132.0</v>
      </c>
      <c r="G1058" s="68" t="s">
        <v>4282</v>
      </c>
      <c r="H1058" s="71"/>
      <c r="I1058" s="63" t="s">
        <v>4283</v>
      </c>
      <c r="J1058" s="68" t="s">
        <v>4284</v>
      </c>
      <c r="K1058" s="71"/>
      <c r="L1058" s="71"/>
      <c r="M1058" s="71"/>
      <c r="N1058" s="61"/>
      <c r="O1058" s="51"/>
    </row>
    <row r="1059">
      <c r="A1059" s="56">
        <v>1056.0</v>
      </c>
      <c r="B1059" s="68">
        <v>4269.0</v>
      </c>
      <c r="C1059" s="69">
        <v>1072.0</v>
      </c>
      <c r="D1059" s="71"/>
      <c r="E1059" s="68" t="s">
        <v>4285</v>
      </c>
      <c r="F1059" s="76">
        <v>41292.0</v>
      </c>
      <c r="G1059" s="68" t="s">
        <v>4286</v>
      </c>
      <c r="H1059" s="71"/>
      <c r="I1059" s="63" t="s">
        <v>4287</v>
      </c>
      <c r="J1059" s="68" t="s">
        <v>4288</v>
      </c>
      <c r="K1059" s="71"/>
      <c r="L1059" s="71"/>
      <c r="M1059" s="71"/>
      <c r="N1059" s="61"/>
      <c r="O1059" s="51"/>
    </row>
    <row r="1060">
      <c r="A1060" s="56">
        <v>1057.0</v>
      </c>
      <c r="B1060" s="68">
        <v>4270.0</v>
      </c>
      <c r="C1060" s="69">
        <v>1073.0</v>
      </c>
      <c r="D1060" s="68" t="s">
        <v>4289</v>
      </c>
      <c r="E1060" s="68" t="s">
        <v>4290</v>
      </c>
      <c r="F1060" s="83">
        <v>41268.0</v>
      </c>
      <c r="G1060" s="68" t="s">
        <v>4291</v>
      </c>
      <c r="H1060" s="71"/>
      <c r="I1060" s="68" t="s">
        <v>4292</v>
      </c>
      <c r="J1060" s="68" t="s">
        <v>4293</v>
      </c>
      <c r="K1060" s="71"/>
      <c r="L1060" s="71"/>
      <c r="M1060" s="68" t="s">
        <v>27</v>
      </c>
      <c r="N1060" s="77"/>
      <c r="O1060" s="51"/>
    </row>
    <row r="1061">
      <c r="A1061" s="56">
        <v>1058.0</v>
      </c>
      <c r="B1061" s="68">
        <v>4271.0</v>
      </c>
      <c r="C1061" s="69">
        <v>1074.0</v>
      </c>
      <c r="D1061" s="71"/>
      <c r="E1061" s="68" t="s">
        <v>4294</v>
      </c>
      <c r="F1061" s="76">
        <v>40331.0</v>
      </c>
      <c r="G1061" s="68" t="s">
        <v>4295</v>
      </c>
      <c r="H1061" s="71"/>
      <c r="I1061" s="91" t="s">
        <v>4296</v>
      </c>
      <c r="J1061" s="68" t="s">
        <v>4297</v>
      </c>
      <c r="K1061" s="71"/>
      <c r="L1061" s="71"/>
      <c r="M1061" s="68" t="s">
        <v>27</v>
      </c>
      <c r="N1061" s="61"/>
      <c r="O1061" s="51"/>
    </row>
    <row r="1062">
      <c r="A1062" s="56">
        <v>1059.0</v>
      </c>
      <c r="B1062" s="68">
        <v>4272.0</v>
      </c>
      <c r="C1062" s="69">
        <v>1075.0</v>
      </c>
      <c r="D1062" s="71"/>
      <c r="E1062" s="68" t="s">
        <v>4298</v>
      </c>
      <c r="F1062" s="76">
        <v>40331.0</v>
      </c>
      <c r="G1062" s="68" t="s">
        <v>4295</v>
      </c>
      <c r="H1062" s="71"/>
      <c r="I1062" s="91" t="s">
        <v>4296</v>
      </c>
      <c r="J1062" s="68" t="s">
        <v>4297</v>
      </c>
      <c r="K1062" s="71"/>
      <c r="L1062" s="71"/>
      <c r="M1062" s="68" t="s">
        <v>27</v>
      </c>
      <c r="N1062" s="61"/>
      <c r="O1062" s="51"/>
    </row>
    <row r="1063">
      <c r="A1063" s="56">
        <v>1060.0</v>
      </c>
      <c r="B1063" s="68">
        <v>4273.0</v>
      </c>
      <c r="C1063" s="69">
        <v>1076.0</v>
      </c>
      <c r="D1063" s="71"/>
      <c r="E1063" s="68" t="s">
        <v>4299</v>
      </c>
      <c r="F1063" s="76">
        <v>40383.0</v>
      </c>
      <c r="G1063" s="68" t="s">
        <v>4300</v>
      </c>
      <c r="H1063" s="71"/>
      <c r="I1063" s="63" t="s">
        <v>4301</v>
      </c>
      <c r="J1063" s="68" t="s">
        <v>2675</v>
      </c>
      <c r="K1063" s="71"/>
      <c r="L1063" s="71"/>
      <c r="M1063" s="71"/>
      <c r="N1063" s="61"/>
      <c r="O1063" s="51"/>
    </row>
    <row r="1064">
      <c r="A1064" s="56">
        <v>1061.0</v>
      </c>
      <c r="B1064" s="68">
        <v>4274.0</v>
      </c>
      <c r="C1064" s="69">
        <v>1077.0</v>
      </c>
      <c r="D1064" s="68" t="s">
        <v>4302</v>
      </c>
      <c r="E1064" s="68" t="s">
        <v>4303</v>
      </c>
      <c r="F1064" s="76">
        <v>39614.0</v>
      </c>
      <c r="G1064" s="68" t="s">
        <v>4304</v>
      </c>
      <c r="H1064" s="71"/>
      <c r="I1064" s="63" t="s">
        <v>4305</v>
      </c>
      <c r="J1064" s="68" t="s">
        <v>377</v>
      </c>
      <c r="K1064" s="71"/>
      <c r="L1064" s="71"/>
      <c r="M1064" s="71"/>
      <c r="N1064" s="61"/>
      <c r="O1064" s="51"/>
    </row>
    <row r="1065">
      <c r="A1065" s="56">
        <v>1062.0</v>
      </c>
      <c r="B1065" s="68">
        <v>4275.0</v>
      </c>
      <c r="C1065" s="69">
        <v>1078.0</v>
      </c>
      <c r="D1065" s="71"/>
      <c r="E1065" s="68" t="s">
        <v>4306</v>
      </c>
      <c r="F1065" s="76">
        <v>41181.0</v>
      </c>
      <c r="G1065" s="68" t="s">
        <v>4307</v>
      </c>
      <c r="H1065" s="71"/>
      <c r="I1065" s="68" t="s">
        <v>635</v>
      </c>
      <c r="J1065" s="68" t="s">
        <v>4308</v>
      </c>
      <c r="K1065" s="71"/>
      <c r="L1065" s="71"/>
      <c r="M1065" s="71"/>
      <c r="N1065" s="61"/>
      <c r="O1065" s="51"/>
    </row>
    <row r="1066">
      <c r="A1066" s="56">
        <v>1063.0</v>
      </c>
      <c r="B1066" s="68">
        <v>4276.0</v>
      </c>
      <c r="C1066" s="69">
        <v>1079.0</v>
      </c>
      <c r="D1066" s="71"/>
      <c r="E1066" s="68" t="s">
        <v>4309</v>
      </c>
      <c r="F1066" s="76">
        <v>41348.0</v>
      </c>
      <c r="G1066" s="68" t="s">
        <v>4310</v>
      </c>
      <c r="H1066" s="71"/>
      <c r="I1066" s="68" t="s">
        <v>4311</v>
      </c>
      <c r="J1066" s="87" t="s">
        <v>4312</v>
      </c>
      <c r="K1066" s="71"/>
      <c r="L1066" s="71"/>
      <c r="M1066" s="68" t="s">
        <v>3407</v>
      </c>
      <c r="N1066" s="61"/>
      <c r="O1066" s="51"/>
    </row>
    <row r="1067">
      <c r="A1067" s="56">
        <v>1064.0</v>
      </c>
      <c r="B1067" s="63">
        <v>4277.0</v>
      </c>
      <c r="C1067" s="64">
        <v>1080.0</v>
      </c>
      <c r="D1067" s="66"/>
      <c r="E1067" s="63" t="s">
        <v>4313</v>
      </c>
      <c r="F1067" s="65">
        <v>41263.0</v>
      </c>
      <c r="G1067" s="80" t="s">
        <v>4314</v>
      </c>
      <c r="H1067" s="82"/>
      <c r="I1067" s="63" t="s">
        <v>4315</v>
      </c>
      <c r="J1067" s="63" t="s">
        <v>136</v>
      </c>
      <c r="K1067" s="66"/>
      <c r="L1067" s="66"/>
      <c r="M1067" s="63" t="s">
        <v>125</v>
      </c>
      <c r="N1067" s="61"/>
      <c r="O1067" s="51"/>
    </row>
    <row r="1068">
      <c r="A1068" s="56">
        <v>1065.0</v>
      </c>
      <c r="B1068" s="68">
        <v>4278.0</v>
      </c>
      <c r="C1068" s="69">
        <v>1081.0</v>
      </c>
      <c r="D1068" s="71"/>
      <c r="E1068" s="68" t="s">
        <v>4316</v>
      </c>
      <c r="F1068" s="83">
        <v>40834.0</v>
      </c>
      <c r="G1068" s="68" t="s">
        <v>4317</v>
      </c>
      <c r="H1068" s="71"/>
      <c r="I1068" s="63" t="s">
        <v>4318</v>
      </c>
      <c r="J1068" s="68" t="s">
        <v>4319</v>
      </c>
      <c r="K1068" s="71"/>
      <c r="L1068" s="71"/>
      <c r="M1068" s="71"/>
      <c r="N1068" s="61"/>
      <c r="O1068" s="51"/>
    </row>
    <row r="1069">
      <c r="A1069" s="56">
        <v>1066.0</v>
      </c>
      <c r="B1069" s="63">
        <v>4279.0</v>
      </c>
      <c r="C1069" s="64">
        <v>1082.0</v>
      </c>
      <c r="D1069" s="63" t="s">
        <v>4320</v>
      </c>
      <c r="E1069" s="63" t="s">
        <v>4321</v>
      </c>
      <c r="F1069" s="70">
        <v>39995.0</v>
      </c>
      <c r="G1069" s="80" t="s">
        <v>4322</v>
      </c>
      <c r="H1069" s="82"/>
      <c r="I1069" s="63" t="s">
        <v>4323</v>
      </c>
      <c r="J1069" s="63" t="s">
        <v>1872</v>
      </c>
      <c r="K1069" s="66"/>
      <c r="L1069" s="66"/>
      <c r="M1069" s="66"/>
      <c r="N1069" s="61"/>
      <c r="O1069" s="51"/>
    </row>
    <row r="1070">
      <c r="A1070" s="56">
        <v>1067.0</v>
      </c>
      <c r="B1070" s="63">
        <v>4280.0</v>
      </c>
      <c r="C1070" s="64" t="s">
        <v>4324</v>
      </c>
      <c r="D1070" s="63" t="s">
        <v>4320</v>
      </c>
      <c r="E1070" s="63" t="s">
        <v>4325</v>
      </c>
      <c r="F1070" s="70">
        <v>40725.0</v>
      </c>
      <c r="G1070" s="80" t="s">
        <v>4326</v>
      </c>
      <c r="H1070" s="80" t="s">
        <v>4327</v>
      </c>
      <c r="I1070" s="63" t="s">
        <v>4323</v>
      </c>
      <c r="J1070" s="63" t="s">
        <v>1872</v>
      </c>
      <c r="K1070" s="66"/>
      <c r="L1070" s="63" t="s">
        <v>2743</v>
      </c>
      <c r="M1070" s="63" t="s">
        <v>530</v>
      </c>
      <c r="N1070" s="61"/>
      <c r="O1070" s="51"/>
    </row>
    <row r="1071">
      <c r="A1071" s="56">
        <v>1068.0</v>
      </c>
      <c r="B1071" s="68">
        <v>4281.0</v>
      </c>
      <c r="C1071" s="69">
        <v>1084.0</v>
      </c>
      <c r="D1071" s="68" t="s">
        <v>4328</v>
      </c>
      <c r="E1071" s="68" t="s">
        <v>4329</v>
      </c>
      <c r="F1071" s="68" t="s">
        <v>407</v>
      </c>
      <c r="G1071" s="68" t="s">
        <v>4330</v>
      </c>
      <c r="H1071" s="71"/>
      <c r="I1071" s="63" t="s">
        <v>635</v>
      </c>
      <c r="J1071" s="68" t="s">
        <v>4331</v>
      </c>
      <c r="K1071" s="71"/>
      <c r="L1071" s="71"/>
      <c r="M1071" s="71"/>
      <c r="N1071" s="61"/>
      <c r="O1071" s="51"/>
    </row>
    <row r="1072">
      <c r="A1072" s="56">
        <v>1069.0</v>
      </c>
      <c r="B1072" s="63">
        <v>4282.0</v>
      </c>
      <c r="C1072" s="64" t="s">
        <v>4332</v>
      </c>
      <c r="D1072" s="63" t="s">
        <v>4333</v>
      </c>
      <c r="E1072" s="63" t="s">
        <v>4334</v>
      </c>
      <c r="F1072" s="70">
        <v>39995.0</v>
      </c>
      <c r="G1072" s="80" t="s">
        <v>4335</v>
      </c>
      <c r="H1072" s="80" t="s">
        <v>4336</v>
      </c>
      <c r="I1072" s="63" t="s">
        <v>4337</v>
      </c>
      <c r="J1072" s="63" t="s">
        <v>1971</v>
      </c>
      <c r="K1072" s="66"/>
      <c r="L1072" s="63" t="s">
        <v>1496</v>
      </c>
      <c r="M1072" s="63" t="s">
        <v>530</v>
      </c>
      <c r="N1072" s="61"/>
      <c r="O1072" s="51"/>
    </row>
    <row r="1073">
      <c r="A1073" s="56">
        <v>1070.0</v>
      </c>
      <c r="B1073" s="63">
        <v>4283.0</v>
      </c>
      <c r="C1073" s="64">
        <v>1086.0</v>
      </c>
      <c r="D1073" s="63" t="s">
        <v>4338</v>
      </c>
      <c r="E1073" s="63" t="s">
        <v>4339</v>
      </c>
      <c r="F1073" s="70">
        <v>40026.0</v>
      </c>
      <c r="G1073" s="80" t="s">
        <v>4340</v>
      </c>
      <c r="H1073" s="82"/>
      <c r="I1073" s="63" t="s">
        <v>4341</v>
      </c>
      <c r="J1073" s="63" t="s">
        <v>1872</v>
      </c>
      <c r="K1073" s="104"/>
      <c r="L1073" s="135"/>
      <c r="M1073" s="63" t="s">
        <v>530</v>
      </c>
      <c r="N1073" s="61"/>
      <c r="O1073" s="51"/>
    </row>
    <row r="1074">
      <c r="A1074" s="56">
        <v>1071.0</v>
      </c>
      <c r="B1074" s="68">
        <v>4284.0</v>
      </c>
      <c r="C1074" s="69">
        <v>1087.0</v>
      </c>
      <c r="D1074" s="68" t="s">
        <v>4342</v>
      </c>
      <c r="E1074" s="68" t="s">
        <v>4343</v>
      </c>
      <c r="F1074" s="76">
        <v>40179.0</v>
      </c>
      <c r="G1074" s="68" t="s">
        <v>4344</v>
      </c>
      <c r="H1074" s="71"/>
      <c r="I1074" s="68" t="s">
        <v>4345</v>
      </c>
      <c r="J1074" s="68" t="s">
        <v>4346</v>
      </c>
      <c r="K1074" s="111"/>
      <c r="L1074" s="71"/>
      <c r="M1074" s="71"/>
      <c r="N1074" s="61"/>
      <c r="O1074" s="51"/>
    </row>
    <row r="1075">
      <c r="A1075" s="56">
        <v>1072.0</v>
      </c>
      <c r="B1075" s="68">
        <v>4285.0</v>
      </c>
      <c r="C1075" s="69">
        <v>1088.0</v>
      </c>
      <c r="D1075" s="68" t="s">
        <v>4347</v>
      </c>
      <c r="E1075" s="68" t="s">
        <v>4348</v>
      </c>
      <c r="F1075" s="76">
        <v>40603.0</v>
      </c>
      <c r="G1075" s="68" t="s">
        <v>4349</v>
      </c>
      <c r="H1075" s="71"/>
      <c r="I1075" s="68" t="s">
        <v>4350</v>
      </c>
      <c r="J1075" s="68" t="s">
        <v>3044</v>
      </c>
      <c r="K1075" s="71"/>
      <c r="L1075" s="71"/>
      <c r="M1075" s="71"/>
      <c r="N1075" s="61"/>
      <c r="O1075" s="51"/>
    </row>
    <row r="1076">
      <c r="A1076" s="56">
        <v>1073.0</v>
      </c>
      <c r="B1076" s="68">
        <v>4286.0</v>
      </c>
      <c r="C1076" s="69">
        <v>1089.0</v>
      </c>
      <c r="D1076" s="71"/>
      <c r="E1076" s="68" t="s">
        <v>4351</v>
      </c>
      <c r="F1076" s="83">
        <v>40837.0</v>
      </c>
      <c r="G1076" s="68" t="s">
        <v>4352</v>
      </c>
      <c r="H1076" s="71"/>
      <c r="I1076" s="63" t="s">
        <v>4353</v>
      </c>
      <c r="J1076" s="68" t="s">
        <v>4025</v>
      </c>
      <c r="K1076" s="71"/>
      <c r="L1076" s="71"/>
      <c r="M1076" s="71"/>
      <c r="N1076" s="61"/>
      <c r="O1076" s="51"/>
    </row>
    <row r="1077">
      <c r="A1077" s="56">
        <v>1074.0</v>
      </c>
      <c r="B1077" s="63">
        <v>4287.0</v>
      </c>
      <c r="C1077" s="64">
        <v>1090.0</v>
      </c>
      <c r="D1077" s="63" t="s">
        <v>4354</v>
      </c>
      <c r="E1077" s="63" t="s">
        <v>4355</v>
      </c>
      <c r="F1077" s="70">
        <v>41330.0</v>
      </c>
      <c r="G1077" s="80" t="s">
        <v>4356</v>
      </c>
      <c r="H1077" s="82"/>
      <c r="I1077" s="63" t="s">
        <v>635</v>
      </c>
      <c r="J1077" s="63" t="s">
        <v>136</v>
      </c>
      <c r="K1077" s="66"/>
      <c r="L1077" s="66"/>
      <c r="M1077" s="66"/>
      <c r="N1077" s="61"/>
      <c r="O1077" s="51"/>
    </row>
    <row r="1078">
      <c r="A1078" s="56">
        <v>1075.0</v>
      </c>
      <c r="B1078" s="68">
        <v>4288.0</v>
      </c>
      <c r="C1078" s="69">
        <v>1091.0</v>
      </c>
      <c r="D1078" s="68" t="s">
        <v>4354</v>
      </c>
      <c r="E1078" s="68" t="s">
        <v>4357</v>
      </c>
      <c r="F1078" s="76">
        <v>41330.0</v>
      </c>
      <c r="G1078" s="68" t="s">
        <v>4356</v>
      </c>
      <c r="H1078" s="71"/>
      <c r="I1078" s="68" t="s">
        <v>635</v>
      </c>
      <c r="J1078" s="68" t="s">
        <v>4358</v>
      </c>
      <c r="K1078" s="71"/>
      <c r="L1078" s="71"/>
      <c r="M1078" s="71"/>
      <c r="N1078" s="61"/>
      <c r="O1078" s="51"/>
    </row>
    <row r="1079">
      <c r="A1079" s="56">
        <v>1076.0</v>
      </c>
      <c r="B1079" s="68">
        <v>4289.0</v>
      </c>
      <c r="C1079" s="69">
        <v>1092.0</v>
      </c>
      <c r="D1079" s="68" t="s">
        <v>4354</v>
      </c>
      <c r="E1079" s="68" t="s">
        <v>4359</v>
      </c>
      <c r="F1079" s="76">
        <v>41330.0</v>
      </c>
      <c r="G1079" s="68" t="s">
        <v>4356</v>
      </c>
      <c r="H1079" s="71"/>
      <c r="I1079" s="68" t="s">
        <v>635</v>
      </c>
      <c r="J1079" s="68" t="s">
        <v>4360</v>
      </c>
      <c r="K1079" s="71"/>
      <c r="L1079" s="71"/>
      <c r="M1079" s="71"/>
      <c r="N1079" s="77"/>
      <c r="O1079" s="51"/>
    </row>
    <row r="1080">
      <c r="A1080" s="56">
        <v>1077.0</v>
      </c>
      <c r="B1080" s="68">
        <v>4290.0</v>
      </c>
      <c r="C1080" s="69">
        <v>1093.0</v>
      </c>
      <c r="D1080" s="68" t="s">
        <v>4354</v>
      </c>
      <c r="E1080" s="68" t="s">
        <v>4361</v>
      </c>
      <c r="F1080" s="76">
        <v>41330.0</v>
      </c>
      <c r="G1080" s="68" t="s">
        <v>4356</v>
      </c>
      <c r="H1080" s="71"/>
      <c r="I1080" s="68" t="s">
        <v>635</v>
      </c>
      <c r="J1080" s="68" t="s">
        <v>4362</v>
      </c>
      <c r="K1080" s="71"/>
      <c r="L1080" s="71"/>
      <c r="M1080" s="71"/>
      <c r="N1080" s="77"/>
      <c r="O1080" s="51"/>
    </row>
    <row r="1081">
      <c r="A1081" s="56">
        <v>1078.0</v>
      </c>
      <c r="B1081" s="68">
        <v>4291.0</v>
      </c>
      <c r="C1081" s="69">
        <v>1094.0</v>
      </c>
      <c r="D1081" s="68" t="s">
        <v>4354</v>
      </c>
      <c r="E1081" s="68" t="s">
        <v>4363</v>
      </c>
      <c r="F1081" s="76">
        <v>41330.0</v>
      </c>
      <c r="G1081" s="68" t="s">
        <v>4356</v>
      </c>
      <c r="H1081" s="71"/>
      <c r="I1081" s="68" t="s">
        <v>635</v>
      </c>
      <c r="J1081" s="68" t="s">
        <v>4364</v>
      </c>
      <c r="K1081" s="71"/>
      <c r="L1081" s="71"/>
      <c r="M1081" s="71"/>
      <c r="N1081" s="61"/>
      <c r="O1081" s="51"/>
    </row>
    <row r="1082">
      <c r="A1082" s="56">
        <v>1079.0</v>
      </c>
      <c r="B1082" s="68">
        <v>4292.0</v>
      </c>
      <c r="C1082" s="69">
        <v>1095.0</v>
      </c>
      <c r="D1082" s="68" t="s">
        <v>4354</v>
      </c>
      <c r="E1082" s="68" t="s">
        <v>4365</v>
      </c>
      <c r="F1082" s="76">
        <v>41330.0</v>
      </c>
      <c r="G1082" s="68" t="s">
        <v>4356</v>
      </c>
      <c r="H1082" s="71"/>
      <c r="I1082" s="68" t="s">
        <v>635</v>
      </c>
      <c r="J1082" s="68" t="s">
        <v>4366</v>
      </c>
      <c r="K1082" s="71"/>
      <c r="L1082" s="71"/>
      <c r="M1082" s="71"/>
      <c r="N1082" s="77"/>
      <c r="O1082" s="51"/>
    </row>
    <row r="1083">
      <c r="A1083" s="56">
        <v>1080.0</v>
      </c>
      <c r="B1083" s="68">
        <v>4293.0</v>
      </c>
      <c r="C1083" s="69">
        <v>1096.0</v>
      </c>
      <c r="D1083" s="68" t="s">
        <v>4354</v>
      </c>
      <c r="E1083" s="68" t="s">
        <v>4367</v>
      </c>
      <c r="F1083" s="76">
        <v>41330.0</v>
      </c>
      <c r="G1083" s="68" t="s">
        <v>4356</v>
      </c>
      <c r="H1083" s="71"/>
      <c r="I1083" s="68" t="s">
        <v>635</v>
      </c>
      <c r="J1083" s="68" t="s">
        <v>4368</v>
      </c>
      <c r="K1083" s="71"/>
      <c r="L1083" s="71"/>
      <c r="M1083" s="71"/>
      <c r="N1083" s="61"/>
      <c r="O1083" s="51"/>
    </row>
    <row r="1084">
      <c r="A1084" s="56">
        <v>1081.0</v>
      </c>
      <c r="B1084" s="68">
        <v>4294.0</v>
      </c>
      <c r="C1084" s="69">
        <v>1097.0</v>
      </c>
      <c r="D1084" s="68" t="s">
        <v>4354</v>
      </c>
      <c r="E1084" s="68" t="s">
        <v>4369</v>
      </c>
      <c r="F1084" s="76">
        <v>41330.0</v>
      </c>
      <c r="G1084" s="68" t="s">
        <v>4356</v>
      </c>
      <c r="H1084" s="71"/>
      <c r="I1084" s="68" t="s">
        <v>635</v>
      </c>
      <c r="J1084" s="68" t="s">
        <v>4370</v>
      </c>
      <c r="K1084" s="71"/>
      <c r="L1084" s="71"/>
      <c r="M1084" s="71"/>
      <c r="N1084" s="77"/>
      <c r="O1084" s="51"/>
    </row>
    <row r="1085">
      <c r="A1085" s="56">
        <v>1082.0</v>
      </c>
      <c r="B1085" s="68">
        <v>4295.0</v>
      </c>
      <c r="C1085" s="69">
        <v>1098.0</v>
      </c>
      <c r="D1085" s="68" t="s">
        <v>4354</v>
      </c>
      <c r="E1085" s="68" t="s">
        <v>4371</v>
      </c>
      <c r="F1085" s="76">
        <v>41330.0</v>
      </c>
      <c r="G1085" s="68" t="s">
        <v>4356</v>
      </c>
      <c r="H1085" s="71"/>
      <c r="I1085" s="68" t="s">
        <v>635</v>
      </c>
      <c r="J1085" s="68" t="s">
        <v>4372</v>
      </c>
      <c r="K1085" s="71"/>
      <c r="L1085" s="71"/>
      <c r="M1085" s="71"/>
      <c r="N1085" s="61"/>
      <c r="O1085" s="51"/>
    </row>
    <row r="1086">
      <c r="A1086" s="56">
        <v>1083.0</v>
      </c>
      <c r="B1086" s="68">
        <v>4296.0</v>
      </c>
      <c r="C1086" s="69">
        <v>1099.0</v>
      </c>
      <c r="D1086" s="68" t="s">
        <v>4354</v>
      </c>
      <c r="E1086" s="68" t="s">
        <v>4373</v>
      </c>
      <c r="F1086" s="76">
        <v>41330.0</v>
      </c>
      <c r="G1086" s="68" t="s">
        <v>4356</v>
      </c>
      <c r="H1086" s="71"/>
      <c r="I1086" s="68" t="s">
        <v>635</v>
      </c>
      <c r="J1086" s="68" t="s">
        <v>4374</v>
      </c>
      <c r="K1086" s="71"/>
      <c r="L1086" s="71"/>
      <c r="M1086" s="71"/>
      <c r="N1086" s="77"/>
      <c r="O1086" s="51"/>
    </row>
    <row r="1087">
      <c r="A1087" s="56">
        <v>1084.0</v>
      </c>
      <c r="B1087" s="68">
        <v>4297.0</v>
      </c>
      <c r="C1087" s="69">
        <v>1100.0</v>
      </c>
      <c r="D1087" s="68" t="s">
        <v>4354</v>
      </c>
      <c r="E1087" s="68" t="s">
        <v>4375</v>
      </c>
      <c r="F1087" s="76">
        <v>41330.0</v>
      </c>
      <c r="G1087" s="68" t="s">
        <v>4356</v>
      </c>
      <c r="H1087" s="71"/>
      <c r="I1087" s="68" t="s">
        <v>635</v>
      </c>
      <c r="J1087" s="68" t="s">
        <v>4376</v>
      </c>
      <c r="K1087" s="71"/>
      <c r="L1087" s="71"/>
      <c r="M1087" s="71"/>
      <c r="N1087" s="77"/>
      <c r="O1087" s="51"/>
    </row>
    <row r="1088">
      <c r="A1088" s="56">
        <v>1085.0</v>
      </c>
      <c r="B1088" s="68">
        <v>4298.0</v>
      </c>
      <c r="C1088" s="69">
        <v>1101.0</v>
      </c>
      <c r="D1088" s="68" t="s">
        <v>4354</v>
      </c>
      <c r="E1088" s="68" t="s">
        <v>4377</v>
      </c>
      <c r="F1088" s="76">
        <v>41330.0</v>
      </c>
      <c r="G1088" s="68" t="s">
        <v>4356</v>
      </c>
      <c r="H1088" s="71"/>
      <c r="I1088" s="68" t="s">
        <v>635</v>
      </c>
      <c r="J1088" s="100" t="s">
        <v>4378</v>
      </c>
      <c r="K1088" s="71"/>
      <c r="L1088" s="71"/>
      <c r="M1088" s="71"/>
      <c r="N1088" s="61"/>
      <c r="O1088" s="51"/>
    </row>
    <row r="1089">
      <c r="A1089" s="56">
        <v>1086.0</v>
      </c>
      <c r="B1089" s="68">
        <v>4299.0</v>
      </c>
      <c r="C1089" s="69">
        <v>1102.0</v>
      </c>
      <c r="D1089" s="68" t="s">
        <v>4354</v>
      </c>
      <c r="E1089" s="68" t="s">
        <v>4379</v>
      </c>
      <c r="F1089" s="76">
        <v>41330.0</v>
      </c>
      <c r="G1089" s="68" t="s">
        <v>4356</v>
      </c>
      <c r="H1089" s="71"/>
      <c r="I1089" s="68" t="s">
        <v>635</v>
      </c>
      <c r="J1089" s="68" t="s">
        <v>4380</v>
      </c>
      <c r="K1089" s="71"/>
      <c r="L1089" s="71"/>
      <c r="M1089" s="71"/>
      <c r="N1089" s="61"/>
      <c r="O1089" s="51"/>
    </row>
    <row r="1090">
      <c r="A1090" s="56">
        <v>1087.0</v>
      </c>
      <c r="B1090" s="68">
        <v>4300.0</v>
      </c>
      <c r="C1090" s="69">
        <v>1103.0</v>
      </c>
      <c r="D1090" s="68" t="s">
        <v>4354</v>
      </c>
      <c r="E1090" s="68" t="s">
        <v>4381</v>
      </c>
      <c r="F1090" s="76">
        <v>41330.0</v>
      </c>
      <c r="G1090" s="68" t="s">
        <v>4356</v>
      </c>
      <c r="H1090" s="71"/>
      <c r="I1090" s="68" t="s">
        <v>635</v>
      </c>
      <c r="J1090" s="68" t="s">
        <v>4382</v>
      </c>
      <c r="K1090" s="71"/>
      <c r="L1090" s="71"/>
      <c r="M1090" s="71"/>
      <c r="N1090" s="77"/>
      <c r="O1090" s="51"/>
    </row>
    <row r="1091">
      <c r="A1091" s="56">
        <v>1088.0</v>
      </c>
      <c r="B1091" s="68">
        <v>4301.0</v>
      </c>
      <c r="C1091" s="69">
        <v>1104.0</v>
      </c>
      <c r="D1091" s="68" t="s">
        <v>4354</v>
      </c>
      <c r="E1091" s="68" t="s">
        <v>4383</v>
      </c>
      <c r="F1091" s="76">
        <v>41330.0</v>
      </c>
      <c r="G1091" s="68" t="s">
        <v>4356</v>
      </c>
      <c r="H1091" s="71"/>
      <c r="I1091" s="68" t="s">
        <v>635</v>
      </c>
      <c r="J1091" s="68" t="s">
        <v>4384</v>
      </c>
      <c r="K1091" s="71"/>
      <c r="L1091" s="71"/>
      <c r="M1091" s="68" t="s">
        <v>166</v>
      </c>
      <c r="N1091" s="77"/>
      <c r="O1091" s="51"/>
    </row>
    <row r="1092">
      <c r="A1092" s="56">
        <v>1089.0</v>
      </c>
      <c r="B1092" s="68">
        <v>4302.0</v>
      </c>
      <c r="C1092" s="69">
        <v>1105.0</v>
      </c>
      <c r="D1092" s="68" t="s">
        <v>4354</v>
      </c>
      <c r="E1092" s="68" t="s">
        <v>4385</v>
      </c>
      <c r="F1092" s="76">
        <v>41330.0</v>
      </c>
      <c r="G1092" s="68" t="s">
        <v>4356</v>
      </c>
      <c r="H1092" s="71"/>
      <c r="I1092" s="68" t="s">
        <v>635</v>
      </c>
      <c r="J1092" s="68" t="s">
        <v>4386</v>
      </c>
      <c r="K1092" s="71"/>
      <c r="L1092" s="71"/>
      <c r="M1092" s="68" t="s">
        <v>166</v>
      </c>
      <c r="N1092" s="77"/>
      <c r="O1092" s="51"/>
    </row>
    <row r="1093">
      <c r="A1093" s="56">
        <v>1090.0</v>
      </c>
      <c r="B1093" s="68">
        <v>4303.0</v>
      </c>
      <c r="C1093" s="69">
        <v>1106.0</v>
      </c>
      <c r="D1093" s="68" t="s">
        <v>4354</v>
      </c>
      <c r="E1093" s="68" t="s">
        <v>4387</v>
      </c>
      <c r="F1093" s="76">
        <v>41330.0</v>
      </c>
      <c r="G1093" s="68" t="s">
        <v>4356</v>
      </c>
      <c r="H1093" s="71"/>
      <c r="I1093" s="68" t="s">
        <v>635</v>
      </c>
      <c r="J1093" s="100" t="s">
        <v>4388</v>
      </c>
      <c r="K1093" s="101"/>
      <c r="L1093" s="71"/>
      <c r="M1093" s="71"/>
      <c r="N1093" s="77"/>
      <c r="O1093" s="51"/>
    </row>
    <row r="1094">
      <c r="A1094" s="56">
        <v>1091.0</v>
      </c>
      <c r="B1094" s="68">
        <v>4304.0</v>
      </c>
      <c r="C1094" s="69">
        <v>1107.0</v>
      </c>
      <c r="D1094" s="68" t="s">
        <v>4354</v>
      </c>
      <c r="E1094" s="68" t="s">
        <v>4389</v>
      </c>
      <c r="F1094" s="76">
        <v>41330.0</v>
      </c>
      <c r="G1094" s="68" t="s">
        <v>4356</v>
      </c>
      <c r="H1094" s="71"/>
      <c r="I1094" s="63" t="s">
        <v>635</v>
      </c>
      <c r="J1094" s="68" t="s">
        <v>4390</v>
      </c>
      <c r="K1094" s="71"/>
      <c r="L1094" s="66"/>
      <c r="M1094" s="66"/>
      <c r="N1094" s="61"/>
      <c r="O1094" s="51"/>
    </row>
    <row r="1095">
      <c r="A1095" s="56">
        <v>1092.0</v>
      </c>
      <c r="B1095" s="68">
        <v>4305.0</v>
      </c>
      <c r="C1095" s="69">
        <v>1108.0</v>
      </c>
      <c r="D1095" s="71"/>
      <c r="E1095" s="68" t="s">
        <v>4391</v>
      </c>
      <c r="F1095" s="76">
        <v>41097.0</v>
      </c>
      <c r="G1095" s="68" t="s">
        <v>4392</v>
      </c>
      <c r="H1095" s="71"/>
      <c r="I1095" s="68" t="s">
        <v>4393</v>
      </c>
      <c r="J1095" s="68" t="s">
        <v>4394</v>
      </c>
      <c r="K1095" s="71"/>
      <c r="L1095" s="71"/>
      <c r="M1095" s="68" t="s">
        <v>27</v>
      </c>
      <c r="N1095" s="77"/>
      <c r="O1095" s="51"/>
    </row>
    <row r="1096">
      <c r="A1096" s="56">
        <v>1093.0</v>
      </c>
      <c r="B1096" s="63">
        <v>4306.0</v>
      </c>
      <c r="C1096" s="64">
        <v>1109.0</v>
      </c>
      <c r="D1096" s="66"/>
      <c r="E1096" s="63" t="s">
        <v>4395</v>
      </c>
      <c r="F1096" s="70">
        <v>40616.0</v>
      </c>
      <c r="G1096" s="80" t="s">
        <v>4396</v>
      </c>
      <c r="H1096" s="82"/>
      <c r="I1096" s="63" t="s">
        <v>4397</v>
      </c>
      <c r="J1096" s="63" t="s">
        <v>3390</v>
      </c>
      <c r="K1096" s="66"/>
      <c r="L1096" s="66"/>
      <c r="M1096" s="63" t="s">
        <v>3391</v>
      </c>
      <c r="N1096" s="61"/>
      <c r="O1096" s="51"/>
    </row>
    <row r="1097">
      <c r="A1097" s="56">
        <v>1094.0</v>
      </c>
      <c r="B1097" s="68">
        <v>4307.0</v>
      </c>
      <c r="C1097" s="69">
        <v>1110.0</v>
      </c>
      <c r="D1097" s="68" t="s">
        <v>4398</v>
      </c>
      <c r="E1097" s="68" t="s">
        <v>4399</v>
      </c>
      <c r="F1097" s="76">
        <v>41327.0</v>
      </c>
      <c r="G1097" s="68" t="s">
        <v>4400</v>
      </c>
      <c r="H1097" s="71"/>
      <c r="I1097" s="68" t="s">
        <v>4401</v>
      </c>
      <c r="J1097" s="87" t="s">
        <v>4402</v>
      </c>
      <c r="K1097" s="71"/>
      <c r="L1097" s="71"/>
      <c r="M1097" s="68" t="s">
        <v>166</v>
      </c>
      <c r="N1097" s="77"/>
      <c r="O1097" s="51"/>
    </row>
    <row r="1098">
      <c r="A1098" s="56">
        <v>1095.0</v>
      </c>
      <c r="B1098" s="68">
        <v>4308.0</v>
      </c>
      <c r="C1098" s="69">
        <v>1111.0</v>
      </c>
      <c r="D1098" s="71"/>
      <c r="E1098" s="68" t="s">
        <v>4403</v>
      </c>
      <c r="F1098" s="76">
        <v>41250.0</v>
      </c>
      <c r="G1098" s="68" t="s">
        <v>4404</v>
      </c>
      <c r="H1098" s="71"/>
      <c r="I1098" s="66"/>
      <c r="J1098" s="68" t="s">
        <v>124</v>
      </c>
      <c r="K1098" s="66"/>
      <c r="L1098" s="66"/>
      <c r="M1098" s="66"/>
      <c r="N1098" s="61"/>
      <c r="O1098" s="51"/>
    </row>
    <row r="1099">
      <c r="A1099" s="56">
        <v>1096.0</v>
      </c>
      <c r="B1099" s="63">
        <v>4309.0</v>
      </c>
      <c r="C1099" s="64">
        <v>1112.0</v>
      </c>
      <c r="D1099" s="63" t="s">
        <v>4405</v>
      </c>
      <c r="E1099" s="63" t="s">
        <v>4406</v>
      </c>
      <c r="F1099" s="70">
        <v>40023.0</v>
      </c>
      <c r="G1099" s="80" t="s">
        <v>4407</v>
      </c>
      <c r="H1099" s="82"/>
      <c r="I1099" s="63" t="s">
        <v>4408</v>
      </c>
      <c r="J1099" s="63" t="s">
        <v>1971</v>
      </c>
      <c r="K1099" s="66"/>
      <c r="L1099" s="66"/>
      <c r="M1099" s="63" t="s">
        <v>530</v>
      </c>
      <c r="N1099" s="61"/>
      <c r="O1099" s="51"/>
    </row>
    <row r="1100">
      <c r="A1100" s="56">
        <v>1097.0</v>
      </c>
      <c r="B1100" s="68">
        <v>4310.0</v>
      </c>
      <c r="C1100" s="69">
        <v>1113.0</v>
      </c>
      <c r="D1100" s="68" t="s">
        <v>4409</v>
      </c>
      <c r="E1100" s="68" t="s">
        <v>4410</v>
      </c>
      <c r="F1100" s="76">
        <v>40360.0</v>
      </c>
      <c r="G1100" s="68" t="s">
        <v>4411</v>
      </c>
      <c r="H1100" s="71"/>
      <c r="I1100" s="66"/>
      <c r="J1100" s="68" t="s">
        <v>4412</v>
      </c>
      <c r="K1100" s="71"/>
      <c r="L1100" s="71"/>
      <c r="M1100" s="71"/>
      <c r="N1100" s="61"/>
      <c r="O1100" s="51"/>
    </row>
    <row r="1101">
      <c r="A1101" s="56">
        <v>1098.0</v>
      </c>
      <c r="B1101" s="68">
        <v>4311.0</v>
      </c>
      <c r="C1101" s="69">
        <v>1114.0</v>
      </c>
      <c r="D1101" s="68" t="s">
        <v>4413</v>
      </c>
      <c r="E1101" s="68" t="s">
        <v>4414</v>
      </c>
      <c r="F1101" s="76">
        <v>41358.0</v>
      </c>
      <c r="G1101" s="68" t="s">
        <v>4415</v>
      </c>
      <c r="H1101" s="71"/>
      <c r="I1101" s="66"/>
      <c r="J1101" s="68" t="s">
        <v>4416</v>
      </c>
      <c r="K1101" s="71"/>
      <c r="L1101" s="71"/>
      <c r="M1101" s="71"/>
      <c r="N1101" s="61"/>
      <c r="O1101" s="51"/>
    </row>
    <row r="1102">
      <c r="A1102" s="56">
        <v>1099.0</v>
      </c>
      <c r="B1102" s="68">
        <v>4312.0</v>
      </c>
      <c r="C1102" s="69">
        <v>1115.0</v>
      </c>
      <c r="D1102" s="68" t="s">
        <v>4417</v>
      </c>
      <c r="E1102" s="68" t="s">
        <v>4418</v>
      </c>
      <c r="F1102" s="76">
        <v>41295.0</v>
      </c>
      <c r="G1102" s="68" t="s">
        <v>4419</v>
      </c>
      <c r="H1102" s="71"/>
      <c r="I1102" s="68" t="s">
        <v>635</v>
      </c>
      <c r="J1102" s="100" t="s">
        <v>4420</v>
      </c>
      <c r="K1102" s="101"/>
      <c r="L1102" s="71"/>
      <c r="M1102" s="71"/>
      <c r="N1102" s="77"/>
      <c r="O1102" s="51"/>
    </row>
    <row r="1103">
      <c r="A1103" s="56">
        <v>1100.0</v>
      </c>
      <c r="B1103" s="68">
        <v>4313.0</v>
      </c>
      <c r="C1103" s="69">
        <v>1116.0</v>
      </c>
      <c r="D1103" s="68" t="s">
        <v>4421</v>
      </c>
      <c r="E1103" s="68" t="s">
        <v>4422</v>
      </c>
      <c r="F1103" s="76">
        <v>41343.0</v>
      </c>
      <c r="G1103" s="68" t="s">
        <v>4423</v>
      </c>
      <c r="H1103" s="71"/>
      <c r="I1103" s="68" t="s">
        <v>4424</v>
      </c>
      <c r="J1103" s="68" t="s">
        <v>4425</v>
      </c>
      <c r="K1103" s="71"/>
      <c r="L1103" s="71"/>
      <c r="M1103" s="71"/>
      <c r="N1103" s="77"/>
      <c r="O1103" s="51"/>
    </row>
    <row r="1104">
      <c r="A1104" s="75">
        <v>1101.0</v>
      </c>
      <c r="B1104" s="68">
        <v>4314.0</v>
      </c>
      <c r="C1104" s="69" t="s">
        <v>4426</v>
      </c>
      <c r="D1104" s="68" t="s">
        <v>4427</v>
      </c>
      <c r="E1104" s="68" t="s">
        <v>4428</v>
      </c>
      <c r="F1104" s="83">
        <v>40479.0</v>
      </c>
      <c r="G1104" s="68" t="s">
        <v>4429</v>
      </c>
      <c r="H1104" s="71"/>
      <c r="I1104" s="68" t="s">
        <v>635</v>
      </c>
      <c r="J1104" s="100" t="s">
        <v>4430</v>
      </c>
      <c r="K1104" s="101"/>
      <c r="L1104" s="71"/>
      <c r="M1104" s="68" t="s">
        <v>201</v>
      </c>
      <c r="N1104" s="77"/>
      <c r="O1104" s="130"/>
    </row>
    <row r="1105">
      <c r="A1105" s="56">
        <v>1102.0</v>
      </c>
      <c r="B1105" s="63">
        <v>4315.0</v>
      </c>
      <c r="C1105" s="64">
        <v>1118.0</v>
      </c>
      <c r="D1105" s="63" t="s">
        <v>4431</v>
      </c>
      <c r="E1105" s="63" t="s">
        <v>4432</v>
      </c>
      <c r="F1105" s="70">
        <v>39995.0</v>
      </c>
      <c r="G1105" s="80" t="s">
        <v>4433</v>
      </c>
      <c r="H1105" s="82"/>
      <c r="I1105" s="63" t="s">
        <v>4434</v>
      </c>
      <c r="J1105" s="63" t="s">
        <v>1971</v>
      </c>
      <c r="K1105" s="66"/>
      <c r="L1105" s="66"/>
      <c r="M1105" s="63" t="s">
        <v>530</v>
      </c>
      <c r="N1105" s="61"/>
      <c r="O1105" s="51"/>
    </row>
    <row r="1106">
      <c r="A1106" s="56">
        <v>1103.0</v>
      </c>
      <c r="B1106" s="68">
        <v>4316.0</v>
      </c>
      <c r="C1106" s="69">
        <v>1119.0</v>
      </c>
      <c r="D1106" s="68" t="s">
        <v>4431</v>
      </c>
      <c r="E1106" s="68" t="s">
        <v>4435</v>
      </c>
      <c r="F1106" s="70">
        <v>39995.0</v>
      </c>
      <c r="G1106" s="68" t="s">
        <v>4433</v>
      </c>
      <c r="H1106" s="71"/>
      <c r="I1106" s="63" t="s">
        <v>4434</v>
      </c>
      <c r="J1106" s="68" t="s">
        <v>1481</v>
      </c>
      <c r="K1106" s="71"/>
      <c r="L1106" s="71"/>
      <c r="M1106" s="71"/>
      <c r="N1106" s="61"/>
      <c r="O1106" s="51"/>
    </row>
    <row r="1107">
      <c r="A1107" s="56">
        <v>1104.0</v>
      </c>
      <c r="B1107" s="68">
        <v>4317.0</v>
      </c>
      <c r="C1107" s="69">
        <v>1120.0</v>
      </c>
      <c r="D1107" s="71"/>
      <c r="E1107" s="114" t="s">
        <v>4436</v>
      </c>
      <c r="F1107" s="76">
        <v>41338.0</v>
      </c>
      <c r="G1107" s="68" t="s">
        <v>4437</v>
      </c>
      <c r="H1107" s="71"/>
      <c r="I1107" s="66"/>
      <c r="J1107" s="68" t="s">
        <v>4438</v>
      </c>
      <c r="K1107" s="71"/>
      <c r="L1107" s="71"/>
      <c r="M1107" s="71"/>
      <c r="N1107" s="61"/>
      <c r="O1107" s="51"/>
    </row>
    <row r="1108">
      <c r="A1108" s="56">
        <v>1105.0</v>
      </c>
      <c r="B1108" s="68">
        <v>4318.0</v>
      </c>
      <c r="C1108" s="69">
        <v>1121.0</v>
      </c>
      <c r="D1108" s="71"/>
      <c r="E1108" s="68" t="s">
        <v>4439</v>
      </c>
      <c r="F1108" s="76">
        <v>41338.0</v>
      </c>
      <c r="G1108" s="68" t="s">
        <v>4440</v>
      </c>
      <c r="H1108" s="71"/>
      <c r="I1108" s="66"/>
      <c r="J1108" s="68" t="s">
        <v>4438</v>
      </c>
      <c r="K1108" s="71"/>
      <c r="L1108" s="71"/>
      <c r="M1108" s="71"/>
      <c r="N1108" s="61"/>
      <c r="O1108" s="51"/>
    </row>
    <row r="1109">
      <c r="A1109" s="56">
        <v>1106.0</v>
      </c>
      <c r="B1109" s="68">
        <v>4319.0</v>
      </c>
      <c r="C1109" s="69">
        <v>1122.0</v>
      </c>
      <c r="D1109" s="71"/>
      <c r="E1109" s="68" t="s">
        <v>4441</v>
      </c>
      <c r="F1109" s="76">
        <v>41338.0</v>
      </c>
      <c r="G1109" s="68" t="s">
        <v>4442</v>
      </c>
      <c r="H1109" s="71"/>
      <c r="I1109" s="66"/>
      <c r="J1109" s="68" t="s">
        <v>4438</v>
      </c>
      <c r="K1109" s="71"/>
      <c r="L1109" s="71"/>
      <c r="M1109" s="71"/>
      <c r="N1109" s="61"/>
      <c r="O1109" s="51"/>
    </row>
    <row r="1110">
      <c r="A1110" s="56">
        <v>1107.0</v>
      </c>
      <c r="B1110" s="63">
        <v>4320.0</v>
      </c>
      <c r="C1110" s="64">
        <v>1123.0</v>
      </c>
      <c r="D1110" s="63" t="s">
        <v>4443</v>
      </c>
      <c r="E1110" s="63" t="s">
        <v>4444</v>
      </c>
      <c r="F1110" s="70">
        <v>39904.0</v>
      </c>
      <c r="G1110" s="80" t="s">
        <v>4445</v>
      </c>
      <c r="H1110" s="82"/>
      <c r="I1110" s="63" t="s">
        <v>4446</v>
      </c>
      <c r="J1110" s="63" t="s">
        <v>4447</v>
      </c>
      <c r="K1110" s="66"/>
      <c r="L1110" s="66"/>
      <c r="M1110" s="63" t="s">
        <v>2097</v>
      </c>
      <c r="N1110" s="61"/>
      <c r="O1110" s="51"/>
    </row>
    <row r="1111">
      <c r="A1111" s="56">
        <v>1108.0</v>
      </c>
      <c r="B1111" s="63">
        <v>4321.0</v>
      </c>
      <c r="C1111" s="64">
        <v>1124.0</v>
      </c>
      <c r="D1111" s="63" t="s">
        <v>4443</v>
      </c>
      <c r="E1111" s="63" t="s">
        <v>4448</v>
      </c>
      <c r="F1111" s="70">
        <v>39904.0</v>
      </c>
      <c r="G1111" s="80" t="s">
        <v>4445</v>
      </c>
      <c r="H1111" s="82"/>
      <c r="I1111" s="63" t="s">
        <v>4446</v>
      </c>
      <c r="J1111" s="63" t="s">
        <v>4447</v>
      </c>
      <c r="K1111" s="66"/>
      <c r="L1111" s="66"/>
      <c r="M1111" s="63" t="s">
        <v>2097</v>
      </c>
      <c r="N1111" s="61"/>
      <c r="O1111" s="51"/>
    </row>
    <row r="1112">
      <c r="A1112" s="56">
        <v>1109.0</v>
      </c>
      <c r="B1112" s="68">
        <v>4322.0</v>
      </c>
      <c r="C1112" s="69">
        <v>1125.0</v>
      </c>
      <c r="D1112" s="71"/>
      <c r="E1112" s="68" t="s">
        <v>4449</v>
      </c>
      <c r="F1112" s="76">
        <v>38545.0</v>
      </c>
      <c r="G1112" s="68" t="s">
        <v>4450</v>
      </c>
      <c r="H1112" s="71"/>
      <c r="I1112" s="68" t="s">
        <v>4451</v>
      </c>
      <c r="J1112" s="68" t="s">
        <v>4452</v>
      </c>
      <c r="K1112" s="71"/>
      <c r="L1112" s="71"/>
      <c r="M1112" s="68" t="s">
        <v>403</v>
      </c>
      <c r="N1112" s="61"/>
      <c r="O1112" s="51"/>
    </row>
    <row r="1113">
      <c r="A1113" s="56">
        <v>1110.0</v>
      </c>
      <c r="B1113" s="68">
        <v>4323.0</v>
      </c>
      <c r="C1113" s="69">
        <v>1126.0</v>
      </c>
      <c r="D1113" s="71"/>
      <c r="E1113" s="68" t="s">
        <v>4453</v>
      </c>
      <c r="F1113" s="76">
        <v>41153.0</v>
      </c>
      <c r="G1113" s="68" t="s">
        <v>4454</v>
      </c>
      <c r="H1113" s="71"/>
      <c r="I1113" s="63" t="s">
        <v>4455</v>
      </c>
      <c r="J1113" s="68" t="s">
        <v>4456</v>
      </c>
      <c r="K1113" s="71"/>
      <c r="L1113" s="71"/>
      <c r="M1113" s="71"/>
      <c r="N1113" s="61"/>
      <c r="O1113" s="51"/>
    </row>
    <row r="1114">
      <c r="A1114" s="56">
        <v>1111.0</v>
      </c>
      <c r="B1114" s="68">
        <v>4324.0</v>
      </c>
      <c r="C1114" s="69">
        <v>1127.0</v>
      </c>
      <c r="D1114" s="71"/>
      <c r="E1114" s="68" t="s">
        <v>4457</v>
      </c>
      <c r="F1114" s="83">
        <v>41226.0</v>
      </c>
      <c r="G1114" s="68" t="s">
        <v>4458</v>
      </c>
      <c r="H1114" s="71"/>
      <c r="I1114" s="63" t="s">
        <v>4459</v>
      </c>
      <c r="J1114" s="68" t="s">
        <v>4460</v>
      </c>
      <c r="K1114" s="71"/>
      <c r="L1114" s="71"/>
      <c r="M1114" s="71"/>
      <c r="N1114" s="61"/>
      <c r="O1114" s="51"/>
    </row>
    <row r="1115">
      <c r="A1115" s="56">
        <v>1112.0</v>
      </c>
      <c r="B1115" s="63">
        <v>4325.0</v>
      </c>
      <c r="C1115" s="64">
        <v>1128.0</v>
      </c>
      <c r="D1115" s="66"/>
      <c r="E1115" s="63" t="s">
        <v>4461</v>
      </c>
      <c r="F1115" s="70">
        <v>40122.0</v>
      </c>
      <c r="G1115" s="80" t="s">
        <v>4462</v>
      </c>
      <c r="H1115" s="82"/>
      <c r="I1115" s="63" t="s">
        <v>4463</v>
      </c>
      <c r="J1115" s="63" t="s">
        <v>4464</v>
      </c>
      <c r="K1115" s="66"/>
      <c r="L1115" s="66"/>
      <c r="M1115" s="63" t="s">
        <v>2989</v>
      </c>
      <c r="N1115" s="61"/>
      <c r="O1115" s="51"/>
    </row>
    <row r="1116">
      <c r="A1116" s="56">
        <v>1113.0</v>
      </c>
      <c r="B1116" s="68">
        <v>4326.0</v>
      </c>
      <c r="C1116" s="69">
        <v>1129.0</v>
      </c>
      <c r="D1116" s="71"/>
      <c r="E1116" s="68" t="s">
        <v>4465</v>
      </c>
      <c r="F1116" s="76">
        <v>40270.0</v>
      </c>
      <c r="G1116" s="68" t="s">
        <v>4466</v>
      </c>
      <c r="H1116" s="71"/>
      <c r="I1116" s="63" t="s">
        <v>4467</v>
      </c>
      <c r="J1116" s="68" t="s">
        <v>4468</v>
      </c>
      <c r="K1116" s="71"/>
      <c r="L1116" s="71"/>
      <c r="M1116" s="71"/>
      <c r="N1116" s="61"/>
      <c r="O1116" s="51"/>
    </row>
    <row r="1117">
      <c r="A1117" s="56">
        <v>1114.0</v>
      </c>
      <c r="B1117" s="68">
        <v>4327.0</v>
      </c>
      <c r="C1117" s="69">
        <v>1130.0</v>
      </c>
      <c r="D1117" s="68" t="s">
        <v>4469</v>
      </c>
      <c r="E1117" s="68" t="s">
        <v>4470</v>
      </c>
      <c r="F1117" s="76">
        <v>41191.0</v>
      </c>
      <c r="G1117" s="68" t="s">
        <v>4471</v>
      </c>
      <c r="H1117" s="71"/>
      <c r="I1117" s="63" t="s">
        <v>4472</v>
      </c>
      <c r="J1117" s="68" t="s">
        <v>4473</v>
      </c>
      <c r="K1117" s="71"/>
      <c r="L1117" s="71"/>
      <c r="M1117" s="71"/>
      <c r="N1117" s="61"/>
      <c r="O1117" s="51"/>
    </row>
    <row r="1118">
      <c r="A1118" s="56">
        <v>1115.0</v>
      </c>
      <c r="B1118" s="68">
        <v>4328.0</v>
      </c>
      <c r="C1118" s="69">
        <v>1131.0</v>
      </c>
      <c r="D1118" s="71"/>
      <c r="E1118" s="68" t="s">
        <v>4474</v>
      </c>
      <c r="F1118" s="76">
        <v>40659.0</v>
      </c>
      <c r="G1118" s="68" t="s">
        <v>4475</v>
      </c>
      <c r="H1118" s="71"/>
      <c r="I1118" s="63" t="s">
        <v>4476</v>
      </c>
      <c r="J1118" s="68" t="s">
        <v>4477</v>
      </c>
      <c r="K1118" s="71"/>
      <c r="L1118" s="71"/>
      <c r="M1118" s="71"/>
      <c r="N1118" s="61"/>
      <c r="O1118" s="51"/>
    </row>
    <row r="1119">
      <c r="A1119" s="56">
        <v>1116.0</v>
      </c>
      <c r="B1119" s="68">
        <v>4329.0</v>
      </c>
      <c r="C1119" s="69">
        <v>1132.0</v>
      </c>
      <c r="D1119" s="71"/>
      <c r="E1119" s="68" t="s">
        <v>4478</v>
      </c>
      <c r="F1119" s="76">
        <v>41301.0</v>
      </c>
      <c r="G1119" s="68" t="s">
        <v>4479</v>
      </c>
      <c r="H1119" s="71"/>
      <c r="I1119" s="63" t="s">
        <v>4480</v>
      </c>
      <c r="J1119" s="87" t="s">
        <v>4481</v>
      </c>
      <c r="K1119" s="71"/>
      <c r="L1119" s="71"/>
      <c r="M1119" s="71"/>
      <c r="N1119" s="61"/>
      <c r="O1119" s="51"/>
    </row>
    <row r="1120">
      <c r="A1120" s="56">
        <v>1117.0</v>
      </c>
      <c r="B1120" s="63">
        <v>4330.0</v>
      </c>
      <c r="C1120" s="64" t="s">
        <v>4482</v>
      </c>
      <c r="D1120" s="66"/>
      <c r="E1120" s="63" t="s">
        <v>4483</v>
      </c>
      <c r="F1120" s="70">
        <v>40848.0</v>
      </c>
      <c r="G1120" s="80" t="s">
        <v>4484</v>
      </c>
      <c r="H1120" s="82"/>
      <c r="I1120" s="63" t="s">
        <v>4485</v>
      </c>
      <c r="J1120" s="63" t="s">
        <v>4486</v>
      </c>
      <c r="K1120" s="66"/>
      <c r="L1120" s="66"/>
      <c r="M1120" s="63" t="s">
        <v>4487</v>
      </c>
      <c r="N1120" s="61"/>
      <c r="O1120" s="51"/>
    </row>
    <row r="1121">
      <c r="A1121" s="56">
        <v>1118.0</v>
      </c>
      <c r="B1121" s="63">
        <v>4331.0</v>
      </c>
      <c r="C1121" s="64" t="s">
        <v>4488</v>
      </c>
      <c r="D1121" s="66"/>
      <c r="E1121" s="63" t="s">
        <v>4489</v>
      </c>
      <c r="F1121" s="70">
        <v>40299.0</v>
      </c>
      <c r="G1121" s="80" t="s">
        <v>4490</v>
      </c>
      <c r="H1121" s="80" t="s">
        <v>4491</v>
      </c>
      <c r="I1121" s="63" t="s">
        <v>4492</v>
      </c>
      <c r="J1121" s="63" t="s">
        <v>1971</v>
      </c>
      <c r="K1121" s="66"/>
      <c r="L1121" s="66"/>
      <c r="M1121" s="63" t="s">
        <v>530</v>
      </c>
      <c r="N1121" s="61"/>
      <c r="O1121" s="51"/>
    </row>
    <row r="1122">
      <c r="A1122" s="56">
        <v>1119.0</v>
      </c>
      <c r="B1122" s="68">
        <v>4332.0</v>
      </c>
      <c r="C1122" s="69">
        <v>1135.0</v>
      </c>
      <c r="D1122" s="71"/>
      <c r="E1122" s="68" t="s">
        <v>4493</v>
      </c>
      <c r="F1122" s="76">
        <v>39995.0</v>
      </c>
      <c r="G1122" s="68" t="s">
        <v>4494</v>
      </c>
      <c r="H1122" s="71"/>
      <c r="I1122" s="68" t="s">
        <v>4495</v>
      </c>
      <c r="J1122" s="68" t="s">
        <v>4496</v>
      </c>
      <c r="K1122" s="71"/>
      <c r="L1122" s="71"/>
      <c r="M1122" s="71"/>
      <c r="N1122" s="61"/>
      <c r="O1122" s="51"/>
    </row>
    <row r="1123">
      <c r="A1123" s="56">
        <v>1120.0</v>
      </c>
      <c r="B1123" s="68">
        <v>4333.0</v>
      </c>
      <c r="C1123" s="69">
        <v>1136.0</v>
      </c>
      <c r="D1123" s="71"/>
      <c r="E1123" s="68" t="s">
        <v>4497</v>
      </c>
      <c r="F1123" s="76">
        <v>41162.0</v>
      </c>
      <c r="G1123" s="68" t="s">
        <v>4498</v>
      </c>
      <c r="H1123" s="71"/>
      <c r="I1123" s="63" t="s">
        <v>4499</v>
      </c>
      <c r="J1123" s="68" t="s">
        <v>4500</v>
      </c>
      <c r="K1123" s="71"/>
      <c r="L1123" s="71"/>
      <c r="M1123" s="71"/>
      <c r="N1123" s="61"/>
      <c r="O1123" s="51"/>
    </row>
    <row r="1124">
      <c r="A1124" s="56">
        <v>1121.0</v>
      </c>
      <c r="B1124" s="68">
        <v>4334.0</v>
      </c>
      <c r="C1124" s="69">
        <v>1137.0</v>
      </c>
      <c r="D1124" s="71"/>
      <c r="E1124" s="68" t="s">
        <v>4501</v>
      </c>
      <c r="F1124" s="76">
        <v>41215.0</v>
      </c>
      <c r="G1124" s="68" t="s">
        <v>4502</v>
      </c>
      <c r="H1124" s="71"/>
      <c r="I1124" s="68" t="s">
        <v>4503</v>
      </c>
      <c r="J1124" s="68" t="s">
        <v>4504</v>
      </c>
      <c r="K1124" s="71"/>
      <c r="L1124" s="71"/>
      <c r="M1124" s="71"/>
      <c r="N1124" s="61"/>
      <c r="O1124" s="51"/>
    </row>
    <row r="1125">
      <c r="A1125" s="56">
        <v>1122.0</v>
      </c>
      <c r="B1125" s="68">
        <v>4335.0</v>
      </c>
      <c r="C1125" s="69">
        <v>1138.0</v>
      </c>
      <c r="D1125" s="71"/>
      <c r="E1125" s="68" t="s">
        <v>4505</v>
      </c>
      <c r="F1125" s="76">
        <v>41054.0</v>
      </c>
      <c r="G1125" s="68" t="s">
        <v>4506</v>
      </c>
      <c r="H1125" s="71"/>
      <c r="I1125" s="68" t="s">
        <v>4507</v>
      </c>
      <c r="J1125" s="100" t="s">
        <v>4508</v>
      </c>
      <c r="K1125" s="101"/>
      <c r="L1125" s="71"/>
      <c r="M1125" s="71"/>
      <c r="N1125" s="77"/>
      <c r="O1125" s="51"/>
    </row>
    <row r="1126">
      <c r="A1126" s="56">
        <v>1123.0</v>
      </c>
      <c r="B1126" s="68">
        <v>4336.0</v>
      </c>
      <c r="C1126" s="69">
        <v>1139.0</v>
      </c>
      <c r="D1126" s="68" t="s">
        <v>4509</v>
      </c>
      <c r="E1126" s="68" t="s">
        <v>4510</v>
      </c>
      <c r="F1126" s="76">
        <v>41178.0</v>
      </c>
      <c r="G1126" s="68" t="s">
        <v>4511</v>
      </c>
      <c r="H1126" s="71"/>
      <c r="I1126" s="68" t="s">
        <v>4512</v>
      </c>
      <c r="J1126" s="68" t="s">
        <v>912</v>
      </c>
      <c r="K1126" s="71"/>
      <c r="L1126" s="71"/>
      <c r="M1126" s="71"/>
      <c r="N1126" s="77"/>
      <c r="O1126" s="51"/>
    </row>
    <row r="1127">
      <c r="A1127" s="56">
        <v>1124.0</v>
      </c>
      <c r="B1127" s="68">
        <v>4337.0</v>
      </c>
      <c r="C1127" s="69">
        <v>1140.0</v>
      </c>
      <c r="D1127" s="71"/>
      <c r="E1127" s="68" t="s">
        <v>4513</v>
      </c>
      <c r="F1127" s="76">
        <v>41356.0</v>
      </c>
      <c r="G1127" s="68" t="s">
        <v>4514</v>
      </c>
      <c r="H1127" s="71"/>
      <c r="I1127" s="63" t="s">
        <v>4515</v>
      </c>
      <c r="J1127" s="68" t="s">
        <v>4516</v>
      </c>
      <c r="K1127" s="71"/>
      <c r="L1127" s="71"/>
      <c r="M1127" s="71"/>
      <c r="N1127" s="61"/>
      <c r="O1127" s="51"/>
    </row>
    <row r="1128">
      <c r="A1128" s="56">
        <v>1125.0</v>
      </c>
      <c r="B1128" s="68">
        <v>4338.0</v>
      </c>
      <c r="C1128" s="69">
        <v>1141.0</v>
      </c>
      <c r="D1128" s="71"/>
      <c r="E1128" s="68" t="s">
        <v>4517</v>
      </c>
      <c r="F1128" s="76">
        <v>41150.0</v>
      </c>
      <c r="G1128" s="68" t="s">
        <v>4518</v>
      </c>
      <c r="H1128" s="71"/>
      <c r="I1128" s="63" t="s">
        <v>4519</v>
      </c>
      <c r="J1128" s="68" t="s">
        <v>4520</v>
      </c>
      <c r="K1128" s="71"/>
      <c r="L1128" s="71"/>
      <c r="M1128" s="71"/>
      <c r="N1128" s="61"/>
      <c r="O1128" s="51"/>
    </row>
    <row r="1129">
      <c r="A1129" s="56">
        <v>1126.0</v>
      </c>
      <c r="B1129" s="68">
        <v>4339.0</v>
      </c>
      <c r="C1129" s="69">
        <v>1142.0</v>
      </c>
      <c r="D1129" s="71"/>
      <c r="E1129" s="68" t="s">
        <v>4521</v>
      </c>
      <c r="F1129" s="76">
        <v>41332.0</v>
      </c>
      <c r="G1129" s="68" t="s">
        <v>4522</v>
      </c>
      <c r="H1129" s="71"/>
      <c r="I1129" s="63" t="s">
        <v>4523</v>
      </c>
      <c r="J1129" s="87" t="s">
        <v>4524</v>
      </c>
      <c r="K1129" s="71"/>
      <c r="L1129" s="71"/>
      <c r="M1129" s="71"/>
      <c r="N1129" s="61"/>
      <c r="O1129" s="51"/>
    </row>
    <row r="1130">
      <c r="A1130" s="56">
        <v>1127.0</v>
      </c>
      <c r="B1130" s="68">
        <v>4340.0</v>
      </c>
      <c r="C1130" s="69">
        <v>1143.0</v>
      </c>
      <c r="D1130" s="71"/>
      <c r="E1130" s="68" t="s">
        <v>4525</v>
      </c>
      <c r="F1130" s="136">
        <v>41303.0</v>
      </c>
      <c r="G1130" s="68" t="s">
        <v>4526</v>
      </c>
      <c r="H1130" s="71"/>
      <c r="I1130" s="68" t="s">
        <v>635</v>
      </c>
      <c r="J1130" s="68" t="s">
        <v>4527</v>
      </c>
      <c r="K1130" s="71"/>
      <c r="L1130" s="71"/>
      <c r="M1130" s="66"/>
      <c r="N1130" s="61"/>
      <c r="O1130" s="51"/>
    </row>
    <row r="1131">
      <c r="A1131" s="56">
        <v>1128.0</v>
      </c>
      <c r="B1131" s="68">
        <v>4341.0</v>
      </c>
      <c r="C1131" s="69">
        <v>1144.0</v>
      </c>
      <c r="D1131" s="71"/>
      <c r="E1131" s="68" t="s">
        <v>4528</v>
      </c>
      <c r="F1131" s="136">
        <v>41347.0</v>
      </c>
      <c r="G1131" s="68" t="s">
        <v>4529</v>
      </c>
      <c r="H1131" s="71"/>
      <c r="I1131" s="68" t="s">
        <v>4530</v>
      </c>
      <c r="J1131" s="100" t="s">
        <v>4531</v>
      </c>
      <c r="K1131" s="101"/>
      <c r="L1131" s="71"/>
      <c r="M1131" s="71"/>
      <c r="N1131" s="77"/>
      <c r="O1131" s="51"/>
    </row>
    <row r="1132">
      <c r="A1132" s="56">
        <v>1129.0</v>
      </c>
      <c r="B1132" s="68">
        <v>4342.0</v>
      </c>
      <c r="C1132" s="69">
        <v>1145.0</v>
      </c>
      <c r="D1132" s="71"/>
      <c r="E1132" s="68" t="s">
        <v>4532</v>
      </c>
      <c r="F1132" s="136">
        <v>41347.0</v>
      </c>
      <c r="G1132" s="68" t="s">
        <v>4529</v>
      </c>
      <c r="H1132" s="71"/>
      <c r="I1132" s="68" t="s">
        <v>4530</v>
      </c>
      <c r="J1132" s="100" t="s">
        <v>4531</v>
      </c>
      <c r="K1132" s="101"/>
      <c r="L1132" s="71"/>
      <c r="M1132" s="71"/>
      <c r="N1132" s="77"/>
      <c r="O1132" s="51"/>
    </row>
    <row r="1133">
      <c r="A1133" s="56">
        <v>1130.0</v>
      </c>
      <c r="B1133" s="68">
        <v>4343.0</v>
      </c>
      <c r="C1133" s="69">
        <v>1146.0</v>
      </c>
      <c r="D1133" s="71"/>
      <c r="E1133" s="68" t="s">
        <v>4533</v>
      </c>
      <c r="F1133" s="76">
        <v>40427.0</v>
      </c>
      <c r="G1133" s="68" t="s">
        <v>4534</v>
      </c>
      <c r="H1133" s="71"/>
      <c r="I1133" s="63" t="s">
        <v>4535</v>
      </c>
      <c r="J1133" s="68" t="s">
        <v>4536</v>
      </c>
      <c r="K1133" s="71"/>
      <c r="L1133" s="71"/>
      <c r="M1133" s="68" t="s">
        <v>27</v>
      </c>
      <c r="N1133" s="61"/>
      <c r="O1133" s="51"/>
    </row>
    <row r="1134">
      <c r="A1134" s="56">
        <v>1131.0</v>
      </c>
      <c r="B1134" s="68">
        <v>4344.0</v>
      </c>
      <c r="C1134" s="69">
        <v>1147.0</v>
      </c>
      <c r="D1134" s="68" t="s">
        <v>4537</v>
      </c>
      <c r="E1134" s="68" t="s">
        <v>4538</v>
      </c>
      <c r="F1134" s="76">
        <v>41123.0</v>
      </c>
      <c r="G1134" s="68" t="s">
        <v>4539</v>
      </c>
      <c r="H1134" s="71"/>
      <c r="I1134" s="66"/>
      <c r="J1134" s="68" t="s">
        <v>4540</v>
      </c>
      <c r="K1134" s="71"/>
      <c r="L1134" s="71"/>
      <c r="M1134" s="71"/>
      <c r="N1134" s="61"/>
      <c r="O1134" s="51"/>
    </row>
    <row r="1135">
      <c r="A1135" s="56">
        <v>1132.0</v>
      </c>
      <c r="B1135" s="68">
        <v>4345.0</v>
      </c>
      <c r="C1135" s="69">
        <v>1148.0</v>
      </c>
      <c r="D1135" s="71"/>
      <c r="E1135" s="68" t="s">
        <v>4541</v>
      </c>
      <c r="F1135" s="76">
        <v>40621.0</v>
      </c>
      <c r="G1135" s="68" t="s">
        <v>4542</v>
      </c>
      <c r="H1135" s="71"/>
      <c r="I1135" s="68" t="s">
        <v>4543</v>
      </c>
      <c r="J1135" s="68" t="s">
        <v>4544</v>
      </c>
      <c r="K1135" s="71"/>
      <c r="L1135" s="71"/>
      <c r="M1135" s="71"/>
      <c r="N1135" s="61"/>
      <c r="O1135" s="51"/>
    </row>
    <row r="1136">
      <c r="A1136" s="56">
        <v>1133.0</v>
      </c>
      <c r="B1136" s="68">
        <v>4346.0</v>
      </c>
      <c r="C1136" s="69">
        <v>1149.0</v>
      </c>
      <c r="D1136" s="71"/>
      <c r="E1136" s="68" t="s">
        <v>4545</v>
      </c>
      <c r="F1136" s="76">
        <v>41403.0</v>
      </c>
      <c r="G1136" s="68" t="s">
        <v>4546</v>
      </c>
      <c r="H1136" s="71"/>
      <c r="I1136" s="63" t="s">
        <v>4547</v>
      </c>
      <c r="J1136" s="68" t="s">
        <v>4548</v>
      </c>
      <c r="K1136" s="71"/>
      <c r="L1136" s="71"/>
      <c r="M1136" s="71"/>
      <c r="N1136" s="61"/>
      <c r="O1136" s="51"/>
    </row>
    <row r="1137">
      <c r="A1137" s="56">
        <v>1134.0</v>
      </c>
      <c r="B1137" s="68">
        <v>4347.0</v>
      </c>
      <c r="C1137" s="69" t="s">
        <v>4549</v>
      </c>
      <c r="D1137" s="71"/>
      <c r="E1137" s="68" t="s">
        <v>4550</v>
      </c>
      <c r="F1137" s="76">
        <v>41361.0</v>
      </c>
      <c r="G1137" s="68" t="s">
        <v>4551</v>
      </c>
      <c r="H1137" s="71"/>
      <c r="I1137" s="63" t="s">
        <v>4552</v>
      </c>
      <c r="J1137" s="87" t="s">
        <v>4553</v>
      </c>
      <c r="K1137" s="116"/>
      <c r="L1137" s="68" t="s">
        <v>1496</v>
      </c>
      <c r="M1137" s="116"/>
      <c r="N1137" s="61"/>
      <c r="O1137" s="51"/>
    </row>
    <row r="1138">
      <c r="A1138" s="56">
        <v>1135.0</v>
      </c>
      <c r="B1138" s="68">
        <v>4348.0</v>
      </c>
      <c r="C1138" s="69">
        <v>1151.0</v>
      </c>
      <c r="D1138" s="71"/>
      <c r="E1138" s="68" t="s">
        <v>4554</v>
      </c>
      <c r="F1138" s="76">
        <v>41162.0</v>
      </c>
      <c r="G1138" s="68" t="s">
        <v>4555</v>
      </c>
      <c r="H1138" s="71"/>
      <c r="I1138" s="68" t="s">
        <v>4556</v>
      </c>
      <c r="J1138" s="68" t="s">
        <v>4557</v>
      </c>
      <c r="K1138" s="71"/>
      <c r="L1138" s="71"/>
      <c r="M1138" s="71"/>
      <c r="N1138" s="61"/>
      <c r="O1138" s="51"/>
    </row>
    <row r="1139">
      <c r="A1139" s="56">
        <v>1136.0</v>
      </c>
      <c r="B1139" s="68">
        <v>4349.0</v>
      </c>
      <c r="C1139" s="69">
        <v>1152.0</v>
      </c>
      <c r="D1139" s="68" t="s">
        <v>4558</v>
      </c>
      <c r="E1139" s="68" t="s">
        <v>4559</v>
      </c>
      <c r="F1139" s="76">
        <v>41377.0</v>
      </c>
      <c r="G1139" s="68" t="s">
        <v>4560</v>
      </c>
      <c r="H1139" s="71"/>
      <c r="I1139" s="68" t="s">
        <v>4561</v>
      </c>
      <c r="J1139" s="68" t="s">
        <v>4562</v>
      </c>
      <c r="K1139" s="71"/>
      <c r="L1139" s="71"/>
      <c r="M1139" s="71"/>
      <c r="N1139" s="61"/>
      <c r="O1139" s="51"/>
    </row>
    <row r="1140">
      <c r="A1140" s="56">
        <v>1137.0</v>
      </c>
      <c r="B1140" s="68">
        <v>4350.0</v>
      </c>
      <c r="C1140" s="69">
        <v>1153.0</v>
      </c>
      <c r="D1140" s="71"/>
      <c r="E1140" s="68" t="s">
        <v>4563</v>
      </c>
      <c r="F1140" s="76">
        <v>41303.0</v>
      </c>
      <c r="G1140" s="68" t="s">
        <v>4564</v>
      </c>
      <c r="H1140" s="71"/>
      <c r="I1140" s="68" t="s">
        <v>635</v>
      </c>
      <c r="J1140" s="87" t="s">
        <v>4565</v>
      </c>
      <c r="K1140" s="116"/>
      <c r="L1140" s="116"/>
      <c r="M1140" s="116"/>
      <c r="N1140" s="61"/>
      <c r="O1140" s="51"/>
    </row>
    <row r="1141">
      <c r="A1141" s="56">
        <v>1138.0</v>
      </c>
      <c r="B1141" s="68">
        <v>4351.0</v>
      </c>
      <c r="C1141" s="69">
        <v>1154.0</v>
      </c>
      <c r="D1141" s="71"/>
      <c r="E1141" s="68" t="s">
        <v>4566</v>
      </c>
      <c r="F1141" s="76">
        <v>39995.0</v>
      </c>
      <c r="G1141" s="68" t="s">
        <v>4567</v>
      </c>
      <c r="H1141" s="71"/>
      <c r="I1141" s="63" t="s">
        <v>4568</v>
      </c>
      <c r="J1141" s="68" t="s">
        <v>2675</v>
      </c>
      <c r="K1141" s="71"/>
      <c r="L1141" s="66"/>
      <c r="M1141" s="66"/>
      <c r="N1141" s="61"/>
      <c r="O1141" s="51"/>
    </row>
    <row r="1142">
      <c r="A1142" s="56">
        <v>1139.0</v>
      </c>
      <c r="B1142" s="68">
        <v>4352.0</v>
      </c>
      <c r="C1142" s="69">
        <v>1155.0</v>
      </c>
      <c r="D1142" s="71"/>
      <c r="E1142" s="68" t="s">
        <v>4569</v>
      </c>
      <c r="F1142" s="76">
        <v>39630.0</v>
      </c>
      <c r="G1142" s="68" t="s">
        <v>4570</v>
      </c>
      <c r="H1142" s="71"/>
      <c r="I1142" s="68" t="s">
        <v>4571</v>
      </c>
      <c r="J1142" s="68" t="s">
        <v>4572</v>
      </c>
      <c r="K1142" s="71"/>
      <c r="L1142" s="71"/>
      <c r="M1142" s="71"/>
      <c r="N1142" s="61"/>
      <c r="O1142" s="51"/>
    </row>
    <row r="1143">
      <c r="A1143" s="56">
        <v>1140.0</v>
      </c>
      <c r="B1143" s="68">
        <v>4353.0</v>
      </c>
      <c r="C1143" s="69">
        <v>1156.0</v>
      </c>
      <c r="D1143" s="71"/>
      <c r="E1143" s="68" t="s">
        <v>4573</v>
      </c>
      <c r="F1143" s="76">
        <v>39995.0</v>
      </c>
      <c r="G1143" s="68" t="s">
        <v>4574</v>
      </c>
      <c r="H1143" s="71"/>
      <c r="I1143" s="63" t="s">
        <v>4575</v>
      </c>
      <c r="J1143" s="68" t="s">
        <v>4576</v>
      </c>
      <c r="K1143" s="71"/>
      <c r="L1143" s="66"/>
      <c r="M1143" s="66"/>
      <c r="N1143" s="61"/>
      <c r="O1143" s="51"/>
    </row>
    <row r="1144">
      <c r="A1144" s="56">
        <v>1141.0</v>
      </c>
      <c r="B1144" s="68">
        <v>4354.0</v>
      </c>
      <c r="C1144" s="69">
        <v>1157.0</v>
      </c>
      <c r="D1144" s="71"/>
      <c r="E1144" s="68" t="s">
        <v>4577</v>
      </c>
      <c r="F1144" s="76">
        <v>39630.0</v>
      </c>
      <c r="G1144" s="68" t="s">
        <v>4578</v>
      </c>
      <c r="H1144" s="71"/>
      <c r="I1144" s="68" t="s">
        <v>4579</v>
      </c>
      <c r="J1144" s="68" t="s">
        <v>4572</v>
      </c>
      <c r="K1144" s="71"/>
      <c r="L1144" s="71"/>
      <c r="M1144" s="71"/>
      <c r="N1144" s="61"/>
      <c r="O1144" s="51"/>
    </row>
    <row r="1145">
      <c r="A1145" s="56">
        <v>1142.0</v>
      </c>
      <c r="B1145" s="68">
        <v>4355.0</v>
      </c>
      <c r="C1145" s="69">
        <v>1158.0</v>
      </c>
      <c r="D1145" s="71"/>
      <c r="E1145" s="68" t="s">
        <v>4580</v>
      </c>
      <c r="F1145" s="76">
        <v>39630.0</v>
      </c>
      <c r="G1145" s="68" t="s">
        <v>4578</v>
      </c>
      <c r="H1145" s="71"/>
      <c r="I1145" s="68" t="s">
        <v>4579</v>
      </c>
      <c r="J1145" s="68" t="s">
        <v>4572</v>
      </c>
      <c r="K1145" s="71"/>
      <c r="L1145" s="71"/>
      <c r="M1145" s="71"/>
      <c r="N1145" s="61"/>
      <c r="O1145" s="51"/>
    </row>
    <row r="1146">
      <c r="A1146" s="56">
        <v>1143.0</v>
      </c>
      <c r="B1146" s="68">
        <v>4356.0</v>
      </c>
      <c r="C1146" s="69">
        <v>1159.0</v>
      </c>
      <c r="D1146" s="71"/>
      <c r="E1146" s="68" t="s">
        <v>4581</v>
      </c>
      <c r="F1146" s="76">
        <v>40318.0</v>
      </c>
      <c r="G1146" s="68" t="s">
        <v>4582</v>
      </c>
      <c r="H1146" s="71"/>
      <c r="I1146" s="68" t="s">
        <v>4583</v>
      </c>
      <c r="J1146" s="68" t="s">
        <v>4412</v>
      </c>
      <c r="K1146" s="71"/>
      <c r="L1146" s="71"/>
      <c r="M1146" s="71"/>
      <c r="N1146" s="61"/>
      <c r="O1146" s="51"/>
    </row>
    <row r="1147">
      <c r="A1147" s="56">
        <v>1144.0</v>
      </c>
      <c r="B1147" s="68">
        <v>4357.0</v>
      </c>
      <c r="C1147" s="69">
        <v>1160.0</v>
      </c>
      <c r="D1147" s="71"/>
      <c r="E1147" s="68" t="s">
        <v>4584</v>
      </c>
      <c r="F1147" s="76">
        <v>39845.0</v>
      </c>
      <c r="G1147" s="68" t="s">
        <v>4585</v>
      </c>
      <c r="H1147" s="68" t="s">
        <v>4586</v>
      </c>
      <c r="I1147" s="63" t="s">
        <v>4587</v>
      </c>
      <c r="J1147" s="68" t="s">
        <v>4588</v>
      </c>
      <c r="K1147" s="71"/>
      <c r="L1147" s="71"/>
      <c r="M1147" s="71"/>
      <c r="N1147" s="61"/>
      <c r="O1147" s="51"/>
    </row>
    <row r="1148">
      <c r="A1148" s="56">
        <v>1145.0</v>
      </c>
      <c r="B1148" s="68">
        <v>4358.0</v>
      </c>
      <c r="C1148" s="69">
        <v>1161.0</v>
      </c>
      <c r="D1148" s="71"/>
      <c r="E1148" s="68" t="s">
        <v>4589</v>
      </c>
      <c r="F1148" s="76">
        <v>39995.0</v>
      </c>
      <c r="G1148" s="68" t="s">
        <v>4590</v>
      </c>
      <c r="H1148" s="71"/>
      <c r="I1148" s="68" t="s">
        <v>4591</v>
      </c>
      <c r="J1148" s="68" t="s">
        <v>4592</v>
      </c>
      <c r="K1148" s="71"/>
      <c r="L1148" s="71"/>
      <c r="M1148" s="71"/>
      <c r="N1148" s="61"/>
      <c r="O1148" s="51"/>
    </row>
    <row r="1149">
      <c r="A1149" s="56">
        <v>1146.0</v>
      </c>
      <c r="B1149" s="68">
        <v>4359.0</v>
      </c>
      <c r="C1149" s="69">
        <v>1162.0</v>
      </c>
      <c r="D1149" s="71"/>
      <c r="E1149" s="68" t="s">
        <v>4593</v>
      </c>
      <c r="F1149" s="76">
        <v>40270.0</v>
      </c>
      <c r="G1149" s="68" t="s">
        <v>4594</v>
      </c>
      <c r="H1149" s="71"/>
      <c r="I1149" s="68" t="s">
        <v>4595</v>
      </c>
      <c r="J1149" s="68" t="s">
        <v>4596</v>
      </c>
      <c r="K1149" s="71"/>
      <c r="L1149" s="71"/>
      <c r="M1149" s="71"/>
      <c r="N1149" s="61"/>
      <c r="O1149" s="51"/>
    </row>
    <row r="1150">
      <c r="A1150" s="56">
        <v>1147.0</v>
      </c>
      <c r="B1150" s="68">
        <v>4360.0</v>
      </c>
      <c r="C1150" s="69">
        <v>1163.0</v>
      </c>
      <c r="D1150" s="71"/>
      <c r="E1150" s="68" t="s">
        <v>4597</v>
      </c>
      <c r="F1150" s="76">
        <v>40020.0</v>
      </c>
      <c r="G1150" s="68" t="s">
        <v>4598</v>
      </c>
      <c r="H1150" s="68" t="s">
        <v>4599</v>
      </c>
      <c r="I1150" s="68" t="s">
        <v>4600</v>
      </c>
      <c r="J1150" s="68" t="s">
        <v>4601</v>
      </c>
      <c r="K1150" s="71"/>
      <c r="L1150" s="71"/>
      <c r="M1150" s="71"/>
      <c r="N1150" s="61"/>
      <c r="O1150" s="51"/>
    </row>
    <row r="1151">
      <c r="A1151" s="56">
        <v>1148.0</v>
      </c>
      <c r="B1151" s="63">
        <v>4361.0</v>
      </c>
      <c r="C1151" s="64">
        <v>1164.0</v>
      </c>
      <c r="D1151" s="66"/>
      <c r="E1151" s="63" t="s">
        <v>4602</v>
      </c>
      <c r="F1151" s="70">
        <v>39630.0</v>
      </c>
      <c r="G1151" s="80" t="s">
        <v>4603</v>
      </c>
      <c r="H1151" s="82"/>
      <c r="I1151" s="137" t="s">
        <v>4604</v>
      </c>
      <c r="J1151" s="63" t="s">
        <v>136</v>
      </c>
      <c r="K1151" s="66"/>
      <c r="L1151" s="66"/>
      <c r="M1151" s="66"/>
      <c r="N1151" s="61"/>
      <c r="O1151" s="51"/>
    </row>
    <row r="1152">
      <c r="A1152" s="56">
        <v>1149.0</v>
      </c>
      <c r="B1152" s="68">
        <v>4362.0</v>
      </c>
      <c r="C1152" s="69">
        <v>1165.0</v>
      </c>
      <c r="D1152" s="71"/>
      <c r="E1152" s="68" t="s">
        <v>4605</v>
      </c>
      <c r="F1152" s="76">
        <v>40756.0</v>
      </c>
      <c r="G1152" s="68" t="s">
        <v>4606</v>
      </c>
      <c r="H1152" s="71"/>
      <c r="I1152" s="68" t="s">
        <v>4607</v>
      </c>
      <c r="J1152" s="68" t="s">
        <v>4608</v>
      </c>
      <c r="K1152" s="71"/>
      <c r="L1152" s="71"/>
      <c r="M1152" s="71"/>
      <c r="N1152" s="61"/>
      <c r="O1152" s="51"/>
    </row>
    <row r="1153">
      <c r="A1153" s="56">
        <v>1150.0</v>
      </c>
      <c r="B1153" s="63">
        <v>4363.0</v>
      </c>
      <c r="C1153" s="64">
        <v>1166.0</v>
      </c>
      <c r="D1153" s="66"/>
      <c r="E1153" s="63" t="s">
        <v>4609</v>
      </c>
      <c r="F1153" s="70">
        <v>40045.0</v>
      </c>
      <c r="G1153" s="80" t="s">
        <v>4610</v>
      </c>
      <c r="H1153" s="82"/>
      <c r="I1153" s="63" t="s">
        <v>4611</v>
      </c>
      <c r="J1153" s="63" t="s">
        <v>1971</v>
      </c>
      <c r="K1153" s="66"/>
      <c r="L1153" s="66"/>
      <c r="M1153" s="63" t="s">
        <v>530</v>
      </c>
      <c r="N1153" s="61"/>
      <c r="O1153" s="51"/>
    </row>
    <row r="1154">
      <c r="A1154" s="56">
        <v>1151.0</v>
      </c>
      <c r="B1154" s="68">
        <v>4364.0</v>
      </c>
      <c r="C1154" s="69">
        <v>1167.0</v>
      </c>
      <c r="D1154" s="71"/>
      <c r="E1154" s="68" t="s">
        <v>4612</v>
      </c>
      <c r="F1154" s="76">
        <v>40045.0</v>
      </c>
      <c r="G1154" s="68" t="s">
        <v>4610</v>
      </c>
      <c r="H1154" s="71"/>
      <c r="I1154" s="63" t="s">
        <v>4611</v>
      </c>
      <c r="J1154" s="68" t="s">
        <v>4613</v>
      </c>
      <c r="K1154" s="71"/>
      <c r="L1154" s="71"/>
      <c r="M1154" s="71"/>
      <c r="N1154" s="61"/>
      <c r="O1154" s="51"/>
    </row>
    <row r="1155">
      <c r="A1155" s="56">
        <v>1152.0</v>
      </c>
      <c r="B1155" s="68">
        <v>4365.0</v>
      </c>
      <c r="C1155" s="69">
        <v>1168.0</v>
      </c>
      <c r="D1155" s="71"/>
      <c r="E1155" s="68" t="s">
        <v>4614</v>
      </c>
      <c r="F1155" s="83">
        <v>40536.0</v>
      </c>
      <c r="G1155" s="68" t="s">
        <v>4615</v>
      </c>
      <c r="H1155" s="71"/>
      <c r="I1155" s="68" t="s">
        <v>4616</v>
      </c>
      <c r="J1155" s="68" t="s">
        <v>4617</v>
      </c>
      <c r="K1155" s="71"/>
      <c r="L1155" s="71"/>
      <c r="M1155" s="71"/>
      <c r="N1155" s="61"/>
      <c r="O1155" s="51"/>
    </row>
    <row r="1156">
      <c r="A1156" s="56">
        <v>1153.0</v>
      </c>
      <c r="B1156" s="68">
        <v>4366.0</v>
      </c>
      <c r="C1156" s="69">
        <v>1169.0</v>
      </c>
      <c r="D1156" s="71"/>
      <c r="E1156" s="68" t="s">
        <v>4618</v>
      </c>
      <c r="F1156" s="76">
        <v>39694.0</v>
      </c>
      <c r="G1156" s="68" t="s">
        <v>4619</v>
      </c>
      <c r="H1156" s="68" t="s">
        <v>4620</v>
      </c>
      <c r="I1156" s="68" t="s">
        <v>4621</v>
      </c>
      <c r="J1156" s="68" t="s">
        <v>4319</v>
      </c>
      <c r="K1156" s="71"/>
      <c r="L1156" s="71"/>
      <c r="M1156" s="71"/>
      <c r="N1156" s="61"/>
      <c r="O1156" s="51"/>
    </row>
    <row r="1157">
      <c r="A1157" s="62">
        <v>1154.0</v>
      </c>
      <c r="B1157" s="63">
        <v>4367.0</v>
      </c>
      <c r="C1157" s="64">
        <v>1170.0</v>
      </c>
      <c r="D1157" s="66"/>
      <c r="E1157" s="63" t="s">
        <v>4622</v>
      </c>
      <c r="F1157" s="70">
        <v>40001.0</v>
      </c>
      <c r="G1157" s="63" t="s">
        <v>4623</v>
      </c>
      <c r="H1157" s="63" t="s">
        <v>4624</v>
      </c>
      <c r="I1157" s="63" t="s">
        <v>4625</v>
      </c>
      <c r="J1157" s="63" t="s">
        <v>4626</v>
      </c>
      <c r="K1157" s="63" t="s">
        <v>4627</v>
      </c>
      <c r="L1157" s="66"/>
      <c r="M1157" s="66"/>
      <c r="N1157" s="63" t="s">
        <v>4628</v>
      </c>
      <c r="O1157" s="51"/>
    </row>
    <row r="1158">
      <c r="A1158" s="75">
        <v>1155.0</v>
      </c>
      <c r="B1158" s="68">
        <v>4368.0</v>
      </c>
      <c r="C1158" s="69" t="s">
        <v>4629</v>
      </c>
      <c r="D1158" s="71"/>
      <c r="E1158" s="68" t="s">
        <v>4630</v>
      </c>
      <c r="F1158" s="76">
        <v>39630.0</v>
      </c>
      <c r="G1158" s="68" t="s">
        <v>4631</v>
      </c>
      <c r="H1158" s="71"/>
      <c r="I1158" s="68" t="s">
        <v>4632</v>
      </c>
      <c r="J1158" s="100" t="s">
        <v>1392</v>
      </c>
      <c r="K1158" s="101"/>
      <c r="L1158" s="71"/>
      <c r="M1158" s="68" t="s">
        <v>530</v>
      </c>
      <c r="N1158" s="61"/>
      <c r="O1158" s="51"/>
    </row>
    <row r="1159">
      <c r="A1159" s="56">
        <v>1156.0</v>
      </c>
      <c r="B1159" s="68">
        <v>4369.0</v>
      </c>
      <c r="C1159" s="69">
        <v>1172.0</v>
      </c>
      <c r="D1159" s="68" t="s">
        <v>4633</v>
      </c>
      <c r="E1159" s="68" t="s">
        <v>4634</v>
      </c>
      <c r="F1159" s="76">
        <v>41374.0</v>
      </c>
      <c r="G1159" s="68" t="s">
        <v>4635</v>
      </c>
      <c r="H1159" s="71"/>
      <c r="I1159" s="63" t="s">
        <v>4636</v>
      </c>
      <c r="J1159" s="68" t="s">
        <v>4637</v>
      </c>
      <c r="K1159" s="71"/>
      <c r="L1159" s="71"/>
      <c r="M1159" s="71"/>
      <c r="N1159" s="61"/>
      <c r="O1159" s="51"/>
    </row>
    <row r="1160">
      <c r="A1160" s="56">
        <v>1157.0</v>
      </c>
      <c r="B1160" s="68">
        <v>4370.0</v>
      </c>
      <c r="C1160" s="69">
        <v>1173.0</v>
      </c>
      <c r="D1160" s="68" t="s">
        <v>4638</v>
      </c>
      <c r="E1160" s="68" t="s">
        <v>4639</v>
      </c>
      <c r="F1160" s="76">
        <v>41325.0</v>
      </c>
      <c r="G1160" s="68" t="s">
        <v>4640</v>
      </c>
      <c r="H1160" s="71"/>
      <c r="I1160" s="68" t="s">
        <v>4641</v>
      </c>
      <c r="J1160" s="68" t="s">
        <v>4642</v>
      </c>
      <c r="K1160" s="71"/>
      <c r="L1160" s="71"/>
      <c r="M1160" s="71"/>
      <c r="N1160" s="77"/>
      <c r="O1160" s="51"/>
    </row>
    <row r="1161">
      <c r="A1161" s="56">
        <v>1158.0</v>
      </c>
      <c r="B1161" s="68">
        <v>4371.0</v>
      </c>
      <c r="C1161" s="69">
        <v>1174.0</v>
      </c>
      <c r="D1161" s="68" t="s">
        <v>4643</v>
      </c>
      <c r="E1161" s="68" t="s">
        <v>4644</v>
      </c>
      <c r="F1161" s="76">
        <v>40269.0</v>
      </c>
      <c r="G1161" s="68" t="s">
        <v>4645</v>
      </c>
      <c r="H1161" s="71"/>
      <c r="I1161" s="68" t="s">
        <v>4646</v>
      </c>
      <c r="J1161" s="68" t="s">
        <v>4647</v>
      </c>
      <c r="K1161" s="71"/>
      <c r="L1161" s="71"/>
      <c r="M1161" s="71"/>
      <c r="N1161" s="61"/>
      <c r="O1161" s="51"/>
    </row>
    <row r="1162">
      <c r="A1162" s="56">
        <v>1159.0</v>
      </c>
      <c r="B1162" s="63">
        <v>4372.0</v>
      </c>
      <c r="C1162" s="64">
        <v>1175.0</v>
      </c>
      <c r="D1162" s="63" t="s">
        <v>4648</v>
      </c>
      <c r="E1162" s="63" t="s">
        <v>4649</v>
      </c>
      <c r="F1162" s="70">
        <v>40019.0</v>
      </c>
      <c r="G1162" s="80" t="s">
        <v>4650</v>
      </c>
      <c r="H1162" s="82"/>
      <c r="I1162" s="63" t="s">
        <v>4651</v>
      </c>
      <c r="J1162" s="63" t="s">
        <v>1971</v>
      </c>
      <c r="K1162" s="66"/>
      <c r="L1162" s="66"/>
      <c r="M1162" s="63" t="s">
        <v>530</v>
      </c>
      <c r="N1162" s="61"/>
      <c r="O1162" s="51"/>
    </row>
    <row r="1163">
      <c r="A1163" s="56">
        <v>1160.0</v>
      </c>
      <c r="B1163" s="63">
        <v>4373.0</v>
      </c>
      <c r="C1163" s="64">
        <v>1176.0</v>
      </c>
      <c r="D1163" s="63" t="s">
        <v>4652</v>
      </c>
      <c r="E1163" s="63" t="s">
        <v>4653</v>
      </c>
      <c r="F1163" s="70">
        <v>40019.0</v>
      </c>
      <c r="G1163" s="80" t="s">
        <v>4650</v>
      </c>
      <c r="H1163" s="82"/>
      <c r="I1163" s="63" t="s">
        <v>4651</v>
      </c>
      <c r="J1163" s="63" t="s">
        <v>1971</v>
      </c>
      <c r="K1163" s="66"/>
      <c r="L1163" s="66"/>
      <c r="M1163" s="63" t="s">
        <v>530</v>
      </c>
      <c r="N1163" s="61"/>
      <c r="O1163" s="51"/>
    </row>
    <row r="1164">
      <c r="A1164" s="56">
        <v>1161.0</v>
      </c>
      <c r="B1164" s="68">
        <v>4374.0</v>
      </c>
      <c r="C1164" s="69">
        <v>1177.0</v>
      </c>
      <c r="D1164" s="68" t="s">
        <v>4654</v>
      </c>
      <c r="E1164" s="68" t="s">
        <v>4655</v>
      </c>
      <c r="F1164" s="76">
        <v>41277.0</v>
      </c>
      <c r="G1164" s="68" t="s">
        <v>4656</v>
      </c>
      <c r="H1164" s="71"/>
      <c r="I1164" s="66"/>
      <c r="J1164" s="68" t="s">
        <v>4657</v>
      </c>
      <c r="K1164" s="71"/>
      <c r="L1164" s="71"/>
      <c r="M1164" s="71"/>
      <c r="N1164" s="61"/>
      <c r="O1164" s="51"/>
    </row>
    <row r="1165">
      <c r="A1165" s="56">
        <v>1162.0</v>
      </c>
      <c r="B1165" s="68">
        <v>4375.0</v>
      </c>
      <c r="C1165" s="69">
        <v>1178.0</v>
      </c>
      <c r="D1165" s="71"/>
      <c r="E1165" s="68" t="s">
        <v>4658</v>
      </c>
      <c r="F1165" s="76">
        <v>41518.0</v>
      </c>
      <c r="G1165" s="68" t="s">
        <v>4659</v>
      </c>
      <c r="H1165" s="71"/>
      <c r="I1165" s="68" t="s">
        <v>4660</v>
      </c>
      <c r="J1165" s="68" t="s">
        <v>4661</v>
      </c>
      <c r="K1165" s="71"/>
      <c r="L1165" s="71"/>
      <c r="M1165" s="71"/>
      <c r="N1165" s="61"/>
      <c r="O1165" s="51"/>
    </row>
    <row r="1166">
      <c r="A1166" s="56">
        <v>1163.0</v>
      </c>
      <c r="B1166" s="68">
        <v>4376.0</v>
      </c>
      <c r="C1166" s="69">
        <v>1179.0</v>
      </c>
      <c r="D1166" s="71"/>
      <c r="E1166" s="68" t="s">
        <v>4662</v>
      </c>
      <c r="F1166" s="76">
        <v>41314.0</v>
      </c>
      <c r="G1166" s="68" t="s">
        <v>4663</v>
      </c>
      <c r="H1166" s="71"/>
      <c r="I1166" s="68" t="s">
        <v>4664</v>
      </c>
      <c r="J1166" s="68" t="s">
        <v>4665</v>
      </c>
      <c r="K1166" s="71"/>
      <c r="L1166" s="71"/>
      <c r="M1166" s="71"/>
      <c r="N1166" s="61"/>
      <c r="O1166" s="51"/>
    </row>
    <row r="1167">
      <c r="A1167" s="56">
        <v>1164.0</v>
      </c>
      <c r="B1167" s="68">
        <v>4377.0</v>
      </c>
      <c r="C1167" s="69">
        <v>1180.0</v>
      </c>
      <c r="D1167" s="68" t="s">
        <v>4666</v>
      </c>
      <c r="E1167" s="68" t="s">
        <v>4667</v>
      </c>
      <c r="F1167" s="76">
        <v>41317.0</v>
      </c>
      <c r="G1167" s="68" t="s">
        <v>4668</v>
      </c>
      <c r="H1167" s="71"/>
      <c r="I1167" s="68" t="s">
        <v>635</v>
      </c>
      <c r="J1167" s="68" t="s">
        <v>4669</v>
      </c>
      <c r="K1167" s="71"/>
      <c r="L1167" s="71"/>
      <c r="M1167" s="68" t="s">
        <v>27</v>
      </c>
      <c r="N1167" s="61"/>
      <c r="O1167" s="51"/>
    </row>
    <row r="1168">
      <c r="A1168" s="56">
        <v>1165.0</v>
      </c>
      <c r="B1168" s="68">
        <v>4378.0</v>
      </c>
      <c r="C1168" s="69">
        <v>1181.0</v>
      </c>
      <c r="D1168" s="68" t="s">
        <v>4670</v>
      </c>
      <c r="E1168" s="68" t="s">
        <v>4671</v>
      </c>
      <c r="F1168" s="76">
        <v>41091.0</v>
      </c>
      <c r="G1168" s="68" t="s">
        <v>4672</v>
      </c>
      <c r="H1168" s="71"/>
      <c r="I1168" s="68" t="s">
        <v>635</v>
      </c>
      <c r="J1168" s="68" t="s">
        <v>4673</v>
      </c>
      <c r="K1168" s="71"/>
      <c r="L1168" s="71"/>
      <c r="M1168" s="71"/>
      <c r="N1168" s="77"/>
      <c r="O1168" s="51"/>
    </row>
    <row r="1169">
      <c r="A1169" s="56">
        <v>1166.0</v>
      </c>
      <c r="B1169" s="68">
        <v>4379.0</v>
      </c>
      <c r="C1169" s="69">
        <v>1182.0</v>
      </c>
      <c r="D1169" s="68" t="s">
        <v>4674</v>
      </c>
      <c r="E1169" s="68" t="s">
        <v>4675</v>
      </c>
      <c r="F1169" s="76">
        <v>41357.0</v>
      </c>
      <c r="G1169" s="68" t="s">
        <v>4676</v>
      </c>
      <c r="H1169" s="71"/>
      <c r="I1169" s="68" t="s">
        <v>4677</v>
      </c>
      <c r="J1169" s="68" t="s">
        <v>4678</v>
      </c>
      <c r="K1169" s="71"/>
      <c r="L1169" s="71"/>
      <c r="M1169" s="71"/>
      <c r="N1169" s="77"/>
      <c r="O1169" s="51"/>
    </row>
    <row r="1170">
      <c r="A1170" s="56">
        <v>1167.0</v>
      </c>
      <c r="B1170" s="63">
        <v>4380.0</v>
      </c>
      <c r="C1170" s="64">
        <v>1183.0</v>
      </c>
      <c r="D1170" s="63" t="s">
        <v>4679</v>
      </c>
      <c r="E1170" s="63" t="s">
        <v>4680</v>
      </c>
      <c r="F1170" s="70">
        <v>39995.0</v>
      </c>
      <c r="G1170" s="80" t="s">
        <v>4681</v>
      </c>
      <c r="H1170" s="82"/>
      <c r="I1170" s="63" t="s">
        <v>4682</v>
      </c>
      <c r="J1170" s="63" t="s">
        <v>1971</v>
      </c>
      <c r="K1170" s="66"/>
      <c r="L1170" s="66"/>
      <c r="M1170" s="63" t="s">
        <v>530</v>
      </c>
      <c r="N1170" s="61"/>
      <c r="O1170" s="51"/>
    </row>
    <row r="1171">
      <c r="A1171" s="75">
        <v>1168.0</v>
      </c>
      <c r="B1171" s="68">
        <v>4381.0</v>
      </c>
      <c r="C1171" s="69">
        <v>1184.0</v>
      </c>
      <c r="D1171" s="68" t="s">
        <v>4683</v>
      </c>
      <c r="E1171" s="68" t="s">
        <v>4684</v>
      </c>
      <c r="F1171" s="76">
        <v>39630.0</v>
      </c>
      <c r="G1171" s="68" t="s">
        <v>4685</v>
      </c>
      <c r="H1171" s="71"/>
      <c r="I1171" s="68" t="s">
        <v>4686</v>
      </c>
      <c r="J1171" s="68" t="s">
        <v>1392</v>
      </c>
      <c r="K1171" s="71"/>
      <c r="L1171" s="71"/>
      <c r="M1171" s="68" t="s">
        <v>530</v>
      </c>
      <c r="N1171" s="77"/>
      <c r="O1171" s="51"/>
    </row>
    <row r="1172">
      <c r="A1172" s="75">
        <v>1169.0</v>
      </c>
      <c r="B1172" s="68">
        <v>4382.0</v>
      </c>
      <c r="C1172" s="69">
        <v>1185.0</v>
      </c>
      <c r="D1172" s="68" t="s">
        <v>4683</v>
      </c>
      <c r="E1172" s="68" t="s">
        <v>4687</v>
      </c>
      <c r="F1172" s="76">
        <v>39630.0</v>
      </c>
      <c r="G1172" s="68" t="s">
        <v>4685</v>
      </c>
      <c r="H1172" s="71"/>
      <c r="I1172" s="68" t="s">
        <v>4686</v>
      </c>
      <c r="J1172" s="68" t="s">
        <v>1392</v>
      </c>
      <c r="K1172" s="71"/>
      <c r="L1172" s="71"/>
      <c r="M1172" s="68" t="s">
        <v>530</v>
      </c>
      <c r="N1172" s="77"/>
      <c r="O1172" s="51"/>
    </row>
    <row r="1173">
      <c r="A1173" s="75">
        <v>1170.0</v>
      </c>
      <c r="B1173" s="68">
        <v>4383.0</v>
      </c>
      <c r="C1173" s="69">
        <v>1186.0</v>
      </c>
      <c r="D1173" s="71"/>
      <c r="E1173" s="68" t="s">
        <v>4688</v>
      </c>
      <c r="F1173" s="76">
        <v>39976.0</v>
      </c>
      <c r="G1173" s="68" t="s">
        <v>4689</v>
      </c>
      <c r="H1173" s="71"/>
      <c r="I1173" s="68" t="s">
        <v>4690</v>
      </c>
      <c r="J1173" s="100" t="s">
        <v>1392</v>
      </c>
      <c r="K1173" s="101"/>
      <c r="L1173" s="71"/>
      <c r="M1173" s="68" t="s">
        <v>530</v>
      </c>
      <c r="N1173" s="61"/>
      <c r="O1173" s="51"/>
    </row>
    <row r="1174">
      <c r="A1174" s="56">
        <v>1171.0</v>
      </c>
      <c r="B1174" s="68">
        <v>4384.0</v>
      </c>
      <c r="C1174" s="69">
        <v>1187.0</v>
      </c>
      <c r="D1174" s="71"/>
      <c r="E1174" s="68" t="s">
        <v>4691</v>
      </c>
      <c r="F1174" s="76">
        <v>39995.0</v>
      </c>
      <c r="G1174" s="68" t="s">
        <v>4692</v>
      </c>
      <c r="H1174" s="71"/>
      <c r="I1174" s="63" t="s">
        <v>4693</v>
      </c>
      <c r="J1174" s="68" t="s">
        <v>4694</v>
      </c>
      <c r="K1174" s="71"/>
      <c r="L1174" s="71"/>
      <c r="M1174" s="71"/>
      <c r="N1174" s="61"/>
      <c r="O1174" s="51"/>
    </row>
    <row r="1175">
      <c r="A1175" s="56">
        <v>1172.0</v>
      </c>
      <c r="B1175" s="68">
        <v>4385.0</v>
      </c>
      <c r="C1175" s="69">
        <v>1188.0</v>
      </c>
      <c r="D1175" s="71"/>
      <c r="E1175" s="68" t="s">
        <v>4695</v>
      </c>
      <c r="F1175" s="76">
        <v>39995.0</v>
      </c>
      <c r="G1175" s="68" t="s">
        <v>4692</v>
      </c>
      <c r="H1175" s="71"/>
      <c r="I1175" s="63" t="s">
        <v>4693</v>
      </c>
      <c r="J1175" s="68" t="s">
        <v>4694</v>
      </c>
      <c r="K1175" s="71"/>
      <c r="L1175" s="71"/>
      <c r="M1175" s="71"/>
      <c r="N1175" s="61"/>
      <c r="O1175" s="51"/>
    </row>
    <row r="1176">
      <c r="A1176" s="75">
        <v>1173.0</v>
      </c>
      <c r="B1176" s="68">
        <v>4386.0</v>
      </c>
      <c r="C1176" s="69">
        <v>1189.0</v>
      </c>
      <c r="D1176" s="71"/>
      <c r="E1176" s="68" t="s">
        <v>4696</v>
      </c>
      <c r="F1176" s="76">
        <v>39948.0</v>
      </c>
      <c r="G1176" s="68" t="s">
        <v>4697</v>
      </c>
      <c r="H1176" s="71"/>
      <c r="I1176" s="68" t="s">
        <v>4698</v>
      </c>
      <c r="J1176" s="100" t="s">
        <v>1392</v>
      </c>
      <c r="K1176" s="101"/>
      <c r="L1176" s="71"/>
      <c r="M1176" s="68" t="s">
        <v>530</v>
      </c>
      <c r="N1176" s="61"/>
      <c r="O1176" s="51"/>
    </row>
    <row r="1177">
      <c r="A1177" s="56">
        <v>1174.0</v>
      </c>
      <c r="B1177" s="63">
        <v>4387.0</v>
      </c>
      <c r="C1177" s="64">
        <v>1190.0</v>
      </c>
      <c r="D1177" s="66"/>
      <c r="E1177" s="63" t="s">
        <v>4699</v>
      </c>
      <c r="F1177" s="70">
        <v>40123.0</v>
      </c>
      <c r="G1177" s="80" t="s">
        <v>4700</v>
      </c>
      <c r="H1177" s="82"/>
      <c r="I1177" s="63" t="s">
        <v>4701</v>
      </c>
      <c r="J1177" s="63" t="s">
        <v>1971</v>
      </c>
      <c r="K1177" s="66"/>
      <c r="L1177" s="66"/>
      <c r="M1177" s="63" t="s">
        <v>530</v>
      </c>
      <c r="N1177" s="61"/>
      <c r="O1177" s="51"/>
    </row>
    <row r="1178">
      <c r="A1178" s="56">
        <v>1175.0</v>
      </c>
      <c r="B1178" s="68">
        <v>4388.0</v>
      </c>
      <c r="C1178" s="69">
        <v>1191.0</v>
      </c>
      <c r="D1178" s="71"/>
      <c r="E1178" s="68" t="s">
        <v>4702</v>
      </c>
      <c r="F1178" s="76">
        <v>39995.0</v>
      </c>
      <c r="G1178" s="68" t="s">
        <v>4703</v>
      </c>
      <c r="H1178" s="71"/>
      <c r="I1178" s="132" t="s">
        <v>4704</v>
      </c>
      <c r="J1178" s="68" t="s">
        <v>4705</v>
      </c>
      <c r="K1178" s="71"/>
      <c r="L1178" s="71"/>
      <c r="M1178" s="71"/>
      <c r="N1178" s="61"/>
      <c r="O1178" s="51"/>
    </row>
    <row r="1179">
      <c r="A1179" s="56">
        <v>1176.0</v>
      </c>
      <c r="B1179" s="68">
        <v>4389.0</v>
      </c>
      <c r="C1179" s="69">
        <v>1192.0</v>
      </c>
      <c r="D1179" s="71"/>
      <c r="E1179" s="68" t="s">
        <v>4706</v>
      </c>
      <c r="F1179" s="76">
        <v>40981.0</v>
      </c>
      <c r="G1179" s="68" t="s">
        <v>4707</v>
      </c>
      <c r="H1179" s="71"/>
      <c r="I1179" s="66"/>
      <c r="J1179" s="68" t="s">
        <v>4708</v>
      </c>
      <c r="K1179" s="71"/>
      <c r="L1179" s="71"/>
      <c r="M1179" s="71"/>
      <c r="N1179" s="61"/>
      <c r="O1179" s="51"/>
    </row>
    <row r="1180">
      <c r="A1180" s="56">
        <v>1177.0</v>
      </c>
      <c r="B1180" s="68">
        <v>4390.0</v>
      </c>
      <c r="C1180" s="69">
        <v>1193.0</v>
      </c>
      <c r="D1180" s="71"/>
      <c r="E1180" s="68" t="s">
        <v>4709</v>
      </c>
      <c r="F1180" s="76">
        <v>40981.0</v>
      </c>
      <c r="G1180" s="68" t="s">
        <v>4707</v>
      </c>
      <c r="H1180" s="71"/>
      <c r="I1180" s="66"/>
      <c r="J1180" s="68" t="s">
        <v>4708</v>
      </c>
      <c r="K1180" s="71"/>
      <c r="L1180" s="71"/>
      <c r="M1180" s="71"/>
      <c r="N1180" s="61"/>
      <c r="O1180" s="51"/>
    </row>
    <row r="1181">
      <c r="A1181" s="56">
        <v>1178.0</v>
      </c>
      <c r="B1181" s="68">
        <v>4391.0</v>
      </c>
      <c r="C1181" s="69">
        <v>1194.0</v>
      </c>
      <c r="D1181" s="71"/>
      <c r="E1181" s="68" t="s">
        <v>4710</v>
      </c>
      <c r="F1181" s="76">
        <v>40360.0</v>
      </c>
      <c r="G1181" s="68" t="s">
        <v>4711</v>
      </c>
      <c r="H1181" s="71"/>
      <c r="I1181" s="63" t="s">
        <v>4712</v>
      </c>
      <c r="J1181" s="68" t="s">
        <v>4713</v>
      </c>
      <c r="K1181" s="71"/>
      <c r="L1181" s="71"/>
      <c r="M1181" s="71"/>
      <c r="N1181" s="61"/>
      <c r="O1181" s="51"/>
    </row>
    <row r="1182">
      <c r="A1182" s="75">
        <v>1179.0</v>
      </c>
      <c r="B1182" s="68">
        <v>4392.0</v>
      </c>
      <c r="C1182" s="69" t="s">
        <v>4714</v>
      </c>
      <c r="D1182" s="71"/>
      <c r="E1182" s="68" t="s">
        <v>4715</v>
      </c>
      <c r="F1182" s="76">
        <v>40298.0</v>
      </c>
      <c r="G1182" s="68" t="s">
        <v>4716</v>
      </c>
      <c r="H1182" s="68" t="s">
        <v>439</v>
      </c>
      <c r="I1182" s="68" t="s">
        <v>4717</v>
      </c>
      <c r="J1182" s="68" t="s">
        <v>4718</v>
      </c>
      <c r="K1182" s="71"/>
      <c r="L1182" s="71"/>
      <c r="M1182" s="68" t="s">
        <v>2152</v>
      </c>
      <c r="N1182" s="61"/>
      <c r="O1182" s="51"/>
    </row>
    <row r="1183">
      <c r="A1183" s="56">
        <v>1180.0</v>
      </c>
      <c r="B1183" s="63">
        <v>4393.0</v>
      </c>
      <c r="C1183" s="64">
        <v>1196.0</v>
      </c>
      <c r="D1183" s="66"/>
      <c r="E1183" s="63" t="s">
        <v>4719</v>
      </c>
      <c r="F1183" s="70">
        <v>40155.0</v>
      </c>
      <c r="G1183" s="80" t="s">
        <v>4720</v>
      </c>
      <c r="H1183" s="82"/>
      <c r="I1183" s="63" t="s">
        <v>4721</v>
      </c>
      <c r="J1183" s="63" t="s">
        <v>1971</v>
      </c>
      <c r="K1183" s="66"/>
      <c r="L1183" s="66"/>
      <c r="M1183" s="63" t="s">
        <v>530</v>
      </c>
      <c r="N1183" s="61"/>
      <c r="O1183" s="51"/>
    </row>
    <row r="1184">
      <c r="A1184" s="75">
        <v>1181.0</v>
      </c>
      <c r="B1184" s="68">
        <v>4394.0</v>
      </c>
      <c r="C1184" s="69">
        <v>1197.0</v>
      </c>
      <c r="D1184" s="71"/>
      <c r="E1184" s="68" t="s">
        <v>4722</v>
      </c>
      <c r="F1184" s="76">
        <v>39938.0</v>
      </c>
      <c r="G1184" s="68" t="s">
        <v>4723</v>
      </c>
      <c r="H1184" s="71"/>
      <c r="I1184" s="68" t="s">
        <v>4724</v>
      </c>
      <c r="J1184" s="100" t="s">
        <v>1392</v>
      </c>
      <c r="K1184" s="101"/>
      <c r="L1184" s="71"/>
      <c r="M1184" s="68" t="s">
        <v>530</v>
      </c>
      <c r="N1184" s="61"/>
      <c r="O1184" s="51"/>
    </row>
    <row r="1185">
      <c r="A1185" s="56">
        <v>1182.0</v>
      </c>
      <c r="B1185" s="63">
        <v>4395.0</v>
      </c>
      <c r="C1185" s="64">
        <v>1198.0</v>
      </c>
      <c r="D1185" s="66"/>
      <c r="E1185" s="63" t="s">
        <v>4725</v>
      </c>
      <c r="F1185" s="70">
        <v>39995.0</v>
      </c>
      <c r="G1185" s="80" t="s">
        <v>4726</v>
      </c>
      <c r="H1185" s="82"/>
      <c r="I1185" s="63" t="s">
        <v>4727</v>
      </c>
      <c r="J1185" s="63" t="s">
        <v>1971</v>
      </c>
      <c r="K1185" s="66"/>
      <c r="L1185" s="66"/>
      <c r="M1185" s="63" t="s">
        <v>530</v>
      </c>
      <c r="N1185" s="61"/>
      <c r="O1185" s="51"/>
    </row>
    <row r="1186">
      <c r="A1186" s="56">
        <v>1183.0</v>
      </c>
      <c r="B1186" s="68">
        <v>4396.0</v>
      </c>
      <c r="C1186" s="69">
        <v>1199.0</v>
      </c>
      <c r="D1186" s="68" t="s">
        <v>4728</v>
      </c>
      <c r="E1186" s="68" t="s">
        <v>4729</v>
      </c>
      <c r="F1186" s="76">
        <v>41372.0</v>
      </c>
      <c r="G1186" s="68" t="s">
        <v>4730</v>
      </c>
      <c r="H1186" s="71"/>
      <c r="I1186" s="68" t="s">
        <v>4727</v>
      </c>
      <c r="J1186" s="100" t="s">
        <v>4731</v>
      </c>
      <c r="K1186" s="101"/>
      <c r="L1186" s="71"/>
      <c r="M1186" s="71"/>
      <c r="N1186" s="77"/>
      <c r="O1186" s="51"/>
    </row>
    <row r="1187">
      <c r="A1187" s="56">
        <v>1184.0</v>
      </c>
      <c r="B1187" s="68">
        <v>4397.0</v>
      </c>
      <c r="C1187" s="69">
        <v>1200.0</v>
      </c>
      <c r="D1187" s="68" t="s">
        <v>4732</v>
      </c>
      <c r="E1187" s="68" t="s">
        <v>4733</v>
      </c>
      <c r="F1187" s="76">
        <v>41374.0</v>
      </c>
      <c r="G1187" s="68" t="s">
        <v>4734</v>
      </c>
      <c r="H1187" s="71"/>
      <c r="I1187" s="63" t="s">
        <v>4735</v>
      </c>
      <c r="J1187" s="68" t="s">
        <v>4736</v>
      </c>
      <c r="K1187" s="71"/>
      <c r="L1187" s="71"/>
      <c r="M1187" s="71"/>
      <c r="N1187" s="61"/>
      <c r="O1187" s="51"/>
    </row>
    <row r="1188">
      <c r="A1188" s="56">
        <v>1185.0</v>
      </c>
      <c r="B1188" s="68">
        <v>4398.0</v>
      </c>
      <c r="C1188" s="69">
        <v>1201.0</v>
      </c>
      <c r="D1188" s="68" t="s">
        <v>4732</v>
      </c>
      <c r="E1188" s="68" t="s">
        <v>4737</v>
      </c>
      <c r="F1188" s="76">
        <v>41339.0</v>
      </c>
      <c r="G1188" s="68" t="s">
        <v>4738</v>
      </c>
      <c r="H1188" s="71"/>
      <c r="I1188" s="68" t="s">
        <v>635</v>
      </c>
      <c r="J1188" s="68" t="s">
        <v>4739</v>
      </c>
      <c r="K1188" s="71"/>
      <c r="L1188" s="71"/>
      <c r="M1188" s="71"/>
      <c r="N1188" s="77"/>
      <c r="O1188" s="51"/>
    </row>
    <row r="1189">
      <c r="A1189" s="56">
        <v>1186.0</v>
      </c>
      <c r="B1189" s="57">
        <v>4399.0</v>
      </c>
      <c r="C1189" s="57">
        <v>1202.0</v>
      </c>
      <c r="D1189" s="57" t="s">
        <v>4740</v>
      </c>
      <c r="E1189" s="57" t="s">
        <v>4741</v>
      </c>
      <c r="F1189" s="59">
        <v>41091.0</v>
      </c>
      <c r="G1189" s="57" t="s">
        <v>4742</v>
      </c>
      <c r="H1189" s="60"/>
      <c r="I1189" s="63" t="s">
        <v>635</v>
      </c>
      <c r="J1189" s="57" t="s">
        <v>4743</v>
      </c>
      <c r="K1189" s="60"/>
      <c r="L1189" s="60"/>
      <c r="M1189" s="60"/>
      <c r="N1189" s="61"/>
      <c r="O1189" s="51"/>
    </row>
    <row r="1190">
      <c r="A1190" s="56">
        <v>1187.0</v>
      </c>
      <c r="B1190" s="63">
        <v>4400.0</v>
      </c>
      <c r="C1190" s="64">
        <v>1203.0</v>
      </c>
      <c r="D1190" s="63" t="s">
        <v>4744</v>
      </c>
      <c r="E1190" s="63" t="s">
        <v>4745</v>
      </c>
      <c r="F1190" s="70">
        <v>40211.0</v>
      </c>
      <c r="G1190" s="80" t="s">
        <v>4746</v>
      </c>
      <c r="H1190" s="82"/>
      <c r="I1190" s="63" t="s">
        <v>4747</v>
      </c>
      <c r="J1190" s="63" t="s">
        <v>4748</v>
      </c>
      <c r="K1190" s="66"/>
      <c r="L1190" s="66"/>
      <c r="M1190" s="63" t="s">
        <v>4749</v>
      </c>
      <c r="N1190" s="61"/>
      <c r="O1190" s="51"/>
    </row>
    <row r="1191">
      <c r="A1191" s="56">
        <v>1188.0</v>
      </c>
      <c r="B1191" s="68">
        <v>4401.0</v>
      </c>
      <c r="C1191" s="69">
        <v>1204.0</v>
      </c>
      <c r="D1191" s="68" t="s">
        <v>4750</v>
      </c>
      <c r="E1191" s="68" t="s">
        <v>4751</v>
      </c>
      <c r="F1191" s="76">
        <v>41385.0</v>
      </c>
      <c r="G1191" s="68" t="s">
        <v>4752</v>
      </c>
      <c r="H1191" s="71"/>
      <c r="I1191" s="68" t="s">
        <v>4753</v>
      </c>
      <c r="J1191" s="68" t="s">
        <v>4754</v>
      </c>
      <c r="K1191" s="71"/>
      <c r="L1191" s="71"/>
      <c r="M1191" s="71"/>
      <c r="N1191" s="61"/>
      <c r="O1191" s="51"/>
    </row>
    <row r="1192">
      <c r="A1192" s="56">
        <v>1189.0</v>
      </c>
      <c r="B1192" s="63">
        <v>4402.0</v>
      </c>
      <c r="C1192" s="64">
        <v>1205.0</v>
      </c>
      <c r="D1192" s="63" t="s">
        <v>4755</v>
      </c>
      <c r="E1192" s="63" t="s">
        <v>4756</v>
      </c>
      <c r="F1192" s="70">
        <v>41397.0</v>
      </c>
      <c r="G1192" s="80" t="s">
        <v>4757</v>
      </c>
      <c r="H1192" s="82"/>
      <c r="I1192" s="63" t="s">
        <v>635</v>
      </c>
      <c r="J1192" s="63" t="s">
        <v>136</v>
      </c>
      <c r="K1192" s="66"/>
      <c r="L1192" s="66"/>
      <c r="M1192" s="66"/>
      <c r="N1192" s="61"/>
      <c r="O1192" s="51"/>
    </row>
    <row r="1193">
      <c r="A1193" s="56">
        <v>1190.0</v>
      </c>
      <c r="B1193" s="68">
        <v>4403.0</v>
      </c>
      <c r="C1193" s="69">
        <v>1206.0</v>
      </c>
      <c r="D1193" s="68" t="s">
        <v>4758</v>
      </c>
      <c r="E1193" s="68" t="s">
        <v>4759</v>
      </c>
      <c r="F1193" s="76">
        <v>41151.0</v>
      </c>
      <c r="G1193" s="68" t="s">
        <v>4760</v>
      </c>
      <c r="H1193" s="71"/>
      <c r="I1193" s="68" t="s">
        <v>4761</v>
      </c>
      <c r="J1193" s="68" t="s">
        <v>4762</v>
      </c>
      <c r="K1193" s="71"/>
      <c r="L1193" s="71"/>
      <c r="M1193" s="71"/>
      <c r="N1193" s="77"/>
      <c r="O1193" s="51"/>
    </row>
    <row r="1194">
      <c r="A1194" s="56">
        <v>1191.0</v>
      </c>
      <c r="B1194" s="68">
        <v>4404.0</v>
      </c>
      <c r="C1194" s="69">
        <v>1207.0</v>
      </c>
      <c r="D1194" s="68" t="s">
        <v>4763</v>
      </c>
      <c r="E1194" s="68" t="s">
        <v>4764</v>
      </c>
      <c r="F1194" s="76">
        <v>39630.0</v>
      </c>
      <c r="G1194" s="68" t="s">
        <v>4765</v>
      </c>
      <c r="H1194" s="71"/>
      <c r="I1194" s="68" t="s">
        <v>4766</v>
      </c>
      <c r="J1194" s="68" t="s">
        <v>4767</v>
      </c>
      <c r="K1194" s="71"/>
      <c r="L1194" s="71"/>
      <c r="M1194" s="71"/>
      <c r="N1194" s="77"/>
      <c r="O1194" s="51"/>
    </row>
    <row r="1195">
      <c r="A1195" s="56">
        <v>1192.0</v>
      </c>
      <c r="B1195" s="63">
        <v>4405.0</v>
      </c>
      <c r="C1195" s="64">
        <v>1208.0</v>
      </c>
      <c r="D1195" s="66"/>
      <c r="E1195" s="63" t="s">
        <v>4768</v>
      </c>
      <c r="F1195" s="70">
        <v>40280.0</v>
      </c>
      <c r="G1195" s="80" t="s">
        <v>4769</v>
      </c>
      <c r="H1195" s="82"/>
      <c r="I1195" s="63" t="s">
        <v>635</v>
      </c>
      <c r="J1195" s="63" t="s">
        <v>4770</v>
      </c>
      <c r="K1195" s="66"/>
      <c r="L1195" s="66"/>
      <c r="M1195" s="63" t="s">
        <v>4771</v>
      </c>
      <c r="N1195" s="61"/>
      <c r="O1195" s="51"/>
    </row>
    <row r="1196">
      <c r="A1196" s="56">
        <v>1193.0</v>
      </c>
      <c r="B1196" s="63">
        <v>4406.0</v>
      </c>
      <c r="C1196" s="64">
        <v>1209.0</v>
      </c>
      <c r="D1196" s="66"/>
      <c r="E1196" s="63" t="s">
        <v>4772</v>
      </c>
      <c r="F1196" s="70">
        <v>39667.0</v>
      </c>
      <c r="G1196" s="80" t="s">
        <v>4773</v>
      </c>
      <c r="H1196" s="82"/>
      <c r="I1196" s="63" t="s">
        <v>4774</v>
      </c>
      <c r="J1196" s="63" t="s">
        <v>1971</v>
      </c>
      <c r="K1196" s="66"/>
      <c r="L1196" s="66"/>
      <c r="M1196" s="63" t="s">
        <v>530</v>
      </c>
      <c r="N1196" s="61"/>
      <c r="O1196" s="51"/>
    </row>
    <row r="1197">
      <c r="A1197" s="56">
        <v>1194.0</v>
      </c>
      <c r="B1197" s="63">
        <v>4407.0</v>
      </c>
      <c r="C1197" s="64">
        <v>1210.0</v>
      </c>
      <c r="D1197" s="87" t="s">
        <v>1731</v>
      </c>
      <c r="E1197" s="63" t="s">
        <v>4775</v>
      </c>
      <c r="F1197" s="70">
        <v>41067.0</v>
      </c>
      <c r="G1197" s="80" t="s">
        <v>4776</v>
      </c>
      <c r="H1197" s="82"/>
      <c r="I1197" s="63" t="s">
        <v>4777</v>
      </c>
      <c r="J1197" s="63" t="s">
        <v>1605</v>
      </c>
      <c r="K1197" s="66"/>
      <c r="L1197" s="66"/>
      <c r="M1197" s="63" t="s">
        <v>125</v>
      </c>
      <c r="N1197" s="61"/>
      <c r="O1197" s="51"/>
    </row>
    <row r="1198">
      <c r="A1198" s="56">
        <v>1195.0</v>
      </c>
      <c r="B1198" s="68">
        <v>4408.0</v>
      </c>
      <c r="C1198" s="69">
        <v>1211.0</v>
      </c>
      <c r="D1198" s="71"/>
      <c r="E1198" s="68" t="s">
        <v>4778</v>
      </c>
      <c r="F1198" s="83">
        <v>40096.0</v>
      </c>
      <c r="G1198" s="68" t="s">
        <v>4779</v>
      </c>
      <c r="H1198" s="71"/>
      <c r="I1198" s="63" t="s">
        <v>4780</v>
      </c>
      <c r="J1198" s="68" t="s">
        <v>4781</v>
      </c>
      <c r="K1198" s="71"/>
      <c r="L1198" s="71"/>
      <c r="M1198" s="71"/>
      <c r="N1198" s="61"/>
      <c r="O1198" s="51"/>
    </row>
    <row r="1199">
      <c r="A1199" s="56">
        <v>1196.0</v>
      </c>
      <c r="B1199" s="68">
        <v>4409.0</v>
      </c>
      <c r="C1199" s="69">
        <v>1212.0</v>
      </c>
      <c r="D1199" s="71"/>
      <c r="E1199" s="68" t="s">
        <v>4782</v>
      </c>
      <c r="F1199" s="76">
        <v>41314.0</v>
      </c>
      <c r="G1199" s="68" t="s">
        <v>4783</v>
      </c>
      <c r="H1199" s="71"/>
      <c r="I1199" s="68" t="s">
        <v>4784</v>
      </c>
      <c r="J1199" s="68" t="s">
        <v>4785</v>
      </c>
      <c r="K1199" s="71"/>
      <c r="L1199" s="71"/>
      <c r="M1199" s="71"/>
      <c r="N1199" s="61"/>
      <c r="O1199" s="51"/>
    </row>
    <row r="1200">
      <c r="A1200" s="56">
        <v>1197.0</v>
      </c>
      <c r="B1200" s="68">
        <v>4410.0</v>
      </c>
      <c r="C1200" s="69">
        <v>1213.0</v>
      </c>
      <c r="D1200" s="71"/>
      <c r="E1200" s="68" t="s">
        <v>4786</v>
      </c>
      <c r="F1200" s="76">
        <v>41393.0</v>
      </c>
      <c r="G1200" s="68" t="s">
        <v>4787</v>
      </c>
      <c r="H1200" s="71"/>
      <c r="I1200" s="68" t="s">
        <v>4788</v>
      </c>
      <c r="J1200" s="68" t="s">
        <v>4789</v>
      </c>
      <c r="K1200" s="71"/>
      <c r="L1200" s="71"/>
      <c r="M1200" s="71"/>
      <c r="N1200" s="61"/>
      <c r="O1200" s="51"/>
    </row>
    <row r="1201">
      <c r="A1201" s="56">
        <v>1198.0</v>
      </c>
      <c r="B1201" s="68">
        <v>4411.0</v>
      </c>
      <c r="C1201" s="69">
        <v>1214.0</v>
      </c>
      <c r="D1201" s="71"/>
      <c r="E1201" s="68" t="s">
        <v>4790</v>
      </c>
      <c r="F1201" s="76">
        <v>41393.0</v>
      </c>
      <c r="G1201" s="68" t="s">
        <v>4791</v>
      </c>
      <c r="H1201" s="71"/>
      <c r="I1201" s="68" t="s">
        <v>4788</v>
      </c>
      <c r="J1201" s="68" t="s">
        <v>4792</v>
      </c>
      <c r="K1201" s="71"/>
      <c r="L1201" s="71"/>
      <c r="M1201" s="71"/>
      <c r="N1201" s="61"/>
      <c r="O1201" s="51"/>
    </row>
    <row r="1202">
      <c r="A1202" s="56">
        <v>1199.0</v>
      </c>
      <c r="B1202" s="68">
        <v>4412.0</v>
      </c>
      <c r="C1202" s="69">
        <v>1215.0</v>
      </c>
      <c r="D1202" s="71"/>
      <c r="E1202" s="68" t="s">
        <v>4793</v>
      </c>
      <c r="F1202" s="76">
        <v>41436.0</v>
      </c>
      <c r="G1202" s="68" t="s">
        <v>4794</v>
      </c>
      <c r="H1202" s="71"/>
      <c r="I1202" s="68" t="s">
        <v>4795</v>
      </c>
      <c r="J1202" s="68" t="s">
        <v>4796</v>
      </c>
      <c r="K1202" s="71"/>
      <c r="L1202" s="71"/>
      <c r="M1202" s="71"/>
      <c r="N1202" s="61"/>
      <c r="O1202" s="51"/>
    </row>
    <row r="1203">
      <c r="A1203" s="56">
        <v>1200.0</v>
      </c>
      <c r="B1203" s="63">
        <v>4413.0</v>
      </c>
      <c r="C1203" s="64">
        <v>1216.0</v>
      </c>
      <c r="D1203" s="66"/>
      <c r="E1203" s="63" t="s">
        <v>4797</v>
      </c>
      <c r="F1203" s="70">
        <v>41061.0</v>
      </c>
      <c r="G1203" s="80" t="s">
        <v>4798</v>
      </c>
      <c r="H1203" s="80" t="s">
        <v>4799</v>
      </c>
      <c r="I1203" s="63" t="s">
        <v>4800</v>
      </c>
      <c r="J1203" s="63" t="s">
        <v>4801</v>
      </c>
      <c r="K1203" s="66"/>
      <c r="L1203" s="66"/>
      <c r="M1203" s="63" t="s">
        <v>149</v>
      </c>
      <c r="N1203" s="61"/>
      <c r="O1203" s="51"/>
    </row>
    <row r="1204">
      <c r="A1204" s="56">
        <v>1201.0</v>
      </c>
      <c r="B1204" s="68">
        <v>4414.0</v>
      </c>
      <c r="C1204" s="69">
        <v>1217.0</v>
      </c>
      <c r="D1204" s="71"/>
      <c r="E1204" s="68" t="s">
        <v>4802</v>
      </c>
      <c r="F1204" s="76">
        <v>41292.0</v>
      </c>
      <c r="G1204" s="68" t="s">
        <v>4803</v>
      </c>
      <c r="H1204" s="68" t="s">
        <v>4804</v>
      </c>
      <c r="I1204" s="63" t="s">
        <v>4805</v>
      </c>
      <c r="J1204" s="68" t="s">
        <v>4806</v>
      </c>
      <c r="K1204" s="71"/>
      <c r="L1204" s="71"/>
      <c r="M1204" s="71"/>
      <c r="N1204" s="61"/>
      <c r="O1204" s="51"/>
    </row>
    <row r="1205">
      <c r="A1205" s="56">
        <v>1202.0</v>
      </c>
      <c r="B1205" s="68">
        <v>4415.0</v>
      </c>
      <c r="C1205" s="69">
        <v>1218.0</v>
      </c>
      <c r="D1205" s="71"/>
      <c r="E1205" s="68" t="s">
        <v>4807</v>
      </c>
      <c r="F1205" s="76">
        <v>41430.0</v>
      </c>
      <c r="G1205" s="68" t="s">
        <v>4808</v>
      </c>
      <c r="H1205" s="71"/>
      <c r="I1205" s="68" t="s">
        <v>4809</v>
      </c>
      <c r="J1205" s="68" t="s">
        <v>4810</v>
      </c>
      <c r="K1205" s="71"/>
      <c r="L1205" s="71"/>
      <c r="M1205" s="68" t="s">
        <v>31</v>
      </c>
      <c r="N1205" s="77"/>
      <c r="O1205" s="51"/>
    </row>
    <row r="1206">
      <c r="A1206" s="56">
        <v>1203.0</v>
      </c>
      <c r="B1206" s="68">
        <v>4416.0</v>
      </c>
      <c r="C1206" s="69">
        <v>1219.0</v>
      </c>
      <c r="D1206" s="71"/>
      <c r="E1206" s="68" t="s">
        <v>4811</v>
      </c>
      <c r="F1206" s="76">
        <v>41418.0</v>
      </c>
      <c r="G1206" s="68" t="s">
        <v>4812</v>
      </c>
      <c r="H1206" s="71"/>
      <c r="I1206" s="114" t="s">
        <v>4813</v>
      </c>
      <c r="J1206" s="68" t="s">
        <v>4814</v>
      </c>
      <c r="K1206" s="71"/>
      <c r="L1206" s="71"/>
      <c r="M1206" s="71"/>
      <c r="N1206" s="61"/>
      <c r="O1206" s="51"/>
    </row>
    <row r="1207">
      <c r="A1207" s="56">
        <v>1204.0</v>
      </c>
      <c r="B1207" s="63">
        <v>4417.0</v>
      </c>
      <c r="C1207" s="64">
        <v>1220.0</v>
      </c>
      <c r="D1207" s="63" t="s">
        <v>4815</v>
      </c>
      <c r="E1207" s="63" t="s">
        <v>4816</v>
      </c>
      <c r="F1207" s="65">
        <v>41199.0</v>
      </c>
      <c r="G1207" s="63" t="s">
        <v>4817</v>
      </c>
      <c r="H1207" s="66"/>
      <c r="I1207" s="99" t="s">
        <v>4818</v>
      </c>
      <c r="J1207" s="66"/>
      <c r="K1207" s="66"/>
      <c r="L1207" s="66"/>
      <c r="M1207" s="63" t="s">
        <v>125</v>
      </c>
      <c r="N1207" s="67"/>
      <c r="O1207" s="51"/>
    </row>
    <row r="1208">
      <c r="A1208" s="56">
        <v>1205.0</v>
      </c>
      <c r="B1208" s="68">
        <v>4418.0</v>
      </c>
      <c r="C1208" s="69">
        <v>1221.0</v>
      </c>
      <c r="D1208" s="71"/>
      <c r="E1208" s="68" t="s">
        <v>4819</v>
      </c>
      <c r="F1208" s="76">
        <v>38454.0</v>
      </c>
      <c r="G1208" s="68" t="s">
        <v>4820</v>
      </c>
      <c r="H1208" s="71"/>
      <c r="I1208" s="114" t="s">
        <v>4821</v>
      </c>
      <c r="J1208" s="68" t="s">
        <v>4822</v>
      </c>
      <c r="K1208" s="71"/>
      <c r="L1208" s="71"/>
      <c r="M1208" s="71"/>
      <c r="N1208" s="61"/>
      <c r="O1208" s="51"/>
    </row>
    <row r="1209">
      <c r="A1209" s="56">
        <v>1206.0</v>
      </c>
      <c r="B1209" s="68">
        <v>4419.0</v>
      </c>
      <c r="C1209" s="69">
        <v>1222.0</v>
      </c>
      <c r="D1209" s="71"/>
      <c r="E1209" s="68" t="s">
        <v>4823</v>
      </c>
      <c r="F1209" s="76">
        <v>41312.0</v>
      </c>
      <c r="G1209" s="68" t="s">
        <v>4824</v>
      </c>
      <c r="H1209" s="71"/>
      <c r="I1209" s="114" t="s">
        <v>4825</v>
      </c>
      <c r="J1209" s="68" t="s">
        <v>4826</v>
      </c>
      <c r="K1209" s="71"/>
      <c r="L1209" s="71"/>
      <c r="M1209" s="71"/>
      <c r="N1209" s="61"/>
      <c r="O1209" s="51"/>
    </row>
    <row r="1210">
      <c r="A1210" s="56">
        <v>1207.0</v>
      </c>
      <c r="B1210" s="68">
        <v>4420.0</v>
      </c>
      <c r="C1210" s="69">
        <v>1223.0</v>
      </c>
      <c r="D1210" s="71"/>
      <c r="E1210" s="68" t="s">
        <v>4827</v>
      </c>
      <c r="F1210" s="76">
        <v>41328.0</v>
      </c>
      <c r="G1210" s="68" t="s">
        <v>4828</v>
      </c>
      <c r="H1210" s="71"/>
      <c r="I1210" s="99" t="s">
        <v>635</v>
      </c>
      <c r="J1210" s="68" t="s">
        <v>3864</v>
      </c>
      <c r="K1210" s="66"/>
      <c r="L1210" s="66"/>
      <c r="M1210" s="66"/>
      <c r="N1210" s="61"/>
      <c r="O1210" s="51"/>
    </row>
    <row r="1211">
      <c r="A1211" s="56">
        <v>1208.0</v>
      </c>
      <c r="B1211" s="68">
        <v>4421.0</v>
      </c>
      <c r="C1211" s="69">
        <v>1224.0</v>
      </c>
      <c r="D1211" s="71"/>
      <c r="E1211" s="68" t="s">
        <v>4829</v>
      </c>
      <c r="F1211" s="76">
        <v>41328.0</v>
      </c>
      <c r="G1211" s="68" t="s">
        <v>4828</v>
      </c>
      <c r="H1211" s="71"/>
      <c r="I1211" s="99" t="s">
        <v>635</v>
      </c>
      <c r="J1211" s="68" t="s">
        <v>3864</v>
      </c>
      <c r="K1211" s="66"/>
      <c r="L1211" s="66"/>
      <c r="M1211" s="66"/>
      <c r="N1211" s="61"/>
      <c r="O1211" s="51"/>
    </row>
    <row r="1212">
      <c r="A1212" s="56">
        <v>1209.0</v>
      </c>
      <c r="B1212" s="68">
        <v>4422.0</v>
      </c>
      <c r="C1212" s="69">
        <v>1225.0</v>
      </c>
      <c r="D1212" s="71"/>
      <c r="E1212" s="68" t="s">
        <v>4830</v>
      </c>
      <c r="F1212" s="76">
        <v>41328.0</v>
      </c>
      <c r="G1212" s="68" t="s">
        <v>4828</v>
      </c>
      <c r="H1212" s="71"/>
      <c r="I1212" s="99" t="s">
        <v>635</v>
      </c>
      <c r="J1212" s="68" t="s">
        <v>3864</v>
      </c>
      <c r="K1212" s="66"/>
      <c r="L1212" s="66"/>
      <c r="M1212" s="66"/>
      <c r="N1212" s="61"/>
      <c r="O1212" s="51"/>
    </row>
    <row r="1213">
      <c r="A1213" s="56">
        <v>1210.0</v>
      </c>
      <c r="B1213" s="68">
        <v>4423.0</v>
      </c>
      <c r="C1213" s="69">
        <v>1226.0</v>
      </c>
      <c r="D1213" s="71"/>
      <c r="E1213" s="68" t="s">
        <v>4831</v>
      </c>
      <c r="F1213" s="76">
        <v>41222.0</v>
      </c>
      <c r="G1213" s="68" t="s">
        <v>4832</v>
      </c>
      <c r="H1213" s="71"/>
      <c r="I1213" s="99" t="s">
        <v>4833</v>
      </c>
      <c r="J1213" s="68" t="s">
        <v>4834</v>
      </c>
      <c r="K1213" s="71"/>
      <c r="L1213" s="71"/>
      <c r="M1213" s="71"/>
      <c r="N1213" s="61"/>
      <c r="O1213" s="51"/>
    </row>
    <row r="1214">
      <c r="A1214" s="56">
        <v>1211.0</v>
      </c>
      <c r="B1214" s="68">
        <v>4424.0</v>
      </c>
      <c r="C1214" s="69">
        <v>1227.0</v>
      </c>
      <c r="D1214" s="71"/>
      <c r="E1214" s="68" t="s">
        <v>4835</v>
      </c>
      <c r="F1214" s="76">
        <v>40360.0</v>
      </c>
      <c r="G1214" s="68" t="s">
        <v>4836</v>
      </c>
      <c r="H1214" s="71"/>
      <c r="I1214" s="63" t="s">
        <v>4837</v>
      </c>
      <c r="J1214" s="68" t="s">
        <v>622</v>
      </c>
      <c r="K1214" s="71"/>
      <c r="L1214" s="71"/>
      <c r="M1214" s="71"/>
      <c r="N1214" s="61"/>
      <c r="O1214" s="51"/>
    </row>
    <row r="1215">
      <c r="A1215" s="56">
        <v>1212.0</v>
      </c>
      <c r="B1215" s="68">
        <v>4425.0</v>
      </c>
      <c r="C1215" s="69">
        <v>1228.0</v>
      </c>
      <c r="D1215" s="71"/>
      <c r="E1215" s="68" t="s">
        <v>4838</v>
      </c>
      <c r="F1215" s="76">
        <v>41070.0</v>
      </c>
      <c r="G1215" s="68" t="s">
        <v>4839</v>
      </c>
      <c r="H1215" s="71"/>
      <c r="I1215" s="99" t="s">
        <v>4840</v>
      </c>
      <c r="J1215" s="68" t="s">
        <v>4841</v>
      </c>
      <c r="K1215" s="71"/>
      <c r="L1215" s="71"/>
      <c r="M1215" s="71"/>
      <c r="N1215" s="61"/>
      <c r="O1215" s="51"/>
    </row>
    <row r="1216">
      <c r="A1216" s="56">
        <v>1213.0</v>
      </c>
      <c r="B1216" s="63">
        <v>4426.0</v>
      </c>
      <c r="C1216" s="64">
        <v>1229.0</v>
      </c>
      <c r="D1216" s="63" t="s">
        <v>4842</v>
      </c>
      <c r="E1216" s="63" t="s">
        <v>4843</v>
      </c>
      <c r="F1216" s="70">
        <v>39974.0</v>
      </c>
      <c r="G1216" s="80" t="s">
        <v>4844</v>
      </c>
      <c r="H1216" s="82"/>
      <c r="I1216" s="99" t="s">
        <v>4845</v>
      </c>
      <c r="J1216" s="63" t="s">
        <v>1971</v>
      </c>
      <c r="K1216" s="66"/>
      <c r="L1216" s="66"/>
      <c r="M1216" s="63" t="s">
        <v>530</v>
      </c>
      <c r="N1216" s="61"/>
      <c r="O1216" s="51"/>
    </row>
    <row r="1217">
      <c r="A1217" s="56">
        <v>1214.0</v>
      </c>
      <c r="B1217" s="68">
        <v>4427.0</v>
      </c>
      <c r="C1217" s="69">
        <v>1230.0</v>
      </c>
      <c r="D1217" s="71"/>
      <c r="E1217" s="68" t="s">
        <v>4846</v>
      </c>
      <c r="F1217" s="76">
        <v>39995.0</v>
      </c>
      <c r="G1217" s="68" t="s">
        <v>4847</v>
      </c>
      <c r="H1217" s="71"/>
      <c r="I1217" s="114" t="s">
        <v>635</v>
      </c>
      <c r="J1217" s="68" t="s">
        <v>4848</v>
      </c>
      <c r="K1217" s="71"/>
      <c r="L1217" s="71"/>
      <c r="M1217" s="71"/>
      <c r="N1217" s="61"/>
      <c r="O1217" s="51"/>
    </row>
    <row r="1218">
      <c r="A1218" s="56">
        <v>1215.0</v>
      </c>
      <c r="B1218" s="63">
        <v>4428.0</v>
      </c>
      <c r="C1218" s="64">
        <v>1231.0</v>
      </c>
      <c r="D1218" s="66"/>
      <c r="E1218" s="63" t="s">
        <v>4849</v>
      </c>
      <c r="F1218" s="70">
        <v>40039.0</v>
      </c>
      <c r="G1218" s="80" t="s">
        <v>4850</v>
      </c>
      <c r="H1218" s="82"/>
      <c r="I1218" s="99" t="s">
        <v>4851</v>
      </c>
      <c r="J1218" s="63" t="s">
        <v>1971</v>
      </c>
      <c r="K1218" s="66"/>
      <c r="L1218" s="66"/>
      <c r="M1218" s="63" t="s">
        <v>530</v>
      </c>
      <c r="N1218" s="61"/>
      <c r="O1218" s="51"/>
    </row>
    <row r="1219">
      <c r="A1219" s="56">
        <v>1216.0</v>
      </c>
      <c r="B1219" s="68">
        <v>4429.0</v>
      </c>
      <c r="C1219" s="69">
        <v>1232.0</v>
      </c>
      <c r="D1219" s="71"/>
      <c r="E1219" s="68" t="s">
        <v>4852</v>
      </c>
      <c r="F1219" s="76">
        <v>40360.0</v>
      </c>
      <c r="G1219" s="68" t="s">
        <v>4853</v>
      </c>
      <c r="H1219" s="71"/>
      <c r="I1219" s="114" t="s">
        <v>635</v>
      </c>
      <c r="J1219" s="68" t="s">
        <v>4854</v>
      </c>
      <c r="K1219" s="71"/>
      <c r="L1219" s="71"/>
      <c r="M1219" s="71"/>
      <c r="N1219" s="61"/>
      <c r="O1219" s="51"/>
    </row>
    <row r="1220">
      <c r="A1220" s="56">
        <v>1217.0</v>
      </c>
      <c r="B1220" s="68">
        <v>4430.0</v>
      </c>
      <c r="C1220" s="69">
        <v>1233.0</v>
      </c>
      <c r="D1220" s="71"/>
      <c r="E1220" s="68" t="s">
        <v>4855</v>
      </c>
      <c r="F1220" s="76">
        <v>39995.0</v>
      </c>
      <c r="G1220" s="68" t="s">
        <v>4856</v>
      </c>
      <c r="H1220" s="71"/>
      <c r="I1220" s="99" t="s">
        <v>4857</v>
      </c>
      <c r="J1220" s="68" t="s">
        <v>4858</v>
      </c>
      <c r="K1220" s="71"/>
      <c r="L1220" s="71"/>
      <c r="M1220" s="71"/>
      <c r="N1220" s="61"/>
      <c r="O1220" s="51"/>
    </row>
    <row r="1221">
      <c r="A1221" s="56">
        <v>1218.0</v>
      </c>
      <c r="B1221" s="63">
        <v>4431.0</v>
      </c>
      <c r="C1221" s="64" t="s">
        <v>4859</v>
      </c>
      <c r="D1221" s="66"/>
      <c r="E1221" s="63" t="s">
        <v>4860</v>
      </c>
      <c r="F1221" s="70">
        <v>41414.0</v>
      </c>
      <c r="G1221" s="80" t="s">
        <v>4861</v>
      </c>
      <c r="H1221" s="82"/>
      <c r="I1221" s="99" t="s">
        <v>4862</v>
      </c>
      <c r="J1221" s="63" t="s">
        <v>2230</v>
      </c>
      <c r="K1221" s="66"/>
      <c r="L1221" s="63" t="s">
        <v>1496</v>
      </c>
      <c r="M1221" s="63" t="s">
        <v>1509</v>
      </c>
      <c r="N1221" s="61"/>
      <c r="O1221" s="51"/>
    </row>
    <row r="1222">
      <c r="A1222" s="56">
        <v>1219.0</v>
      </c>
      <c r="B1222" s="63">
        <v>4432.0</v>
      </c>
      <c r="C1222" s="64" t="s">
        <v>4863</v>
      </c>
      <c r="D1222" s="66"/>
      <c r="E1222" s="63" t="s">
        <v>4864</v>
      </c>
      <c r="F1222" s="70">
        <v>41167.0</v>
      </c>
      <c r="G1222" s="80" t="s">
        <v>4865</v>
      </c>
      <c r="H1222" s="82"/>
      <c r="I1222" s="99" t="s">
        <v>4866</v>
      </c>
      <c r="J1222" s="63" t="s">
        <v>2526</v>
      </c>
      <c r="K1222" s="66"/>
      <c r="L1222" s="63" t="s">
        <v>1496</v>
      </c>
      <c r="M1222" s="63" t="s">
        <v>2527</v>
      </c>
      <c r="N1222" s="61"/>
      <c r="O1222" s="51"/>
    </row>
    <row r="1223">
      <c r="A1223" s="56">
        <v>1220.0</v>
      </c>
      <c r="B1223" s="68">
        <v>4433.0</v>
      </c>
      <c r="C1223" s="69">
        <v>1236.0</v>
      </c>
      <c r="D1223" s="71"/>
      <c r="E1223" s="68" t="s">
        <v>4867</v>
      </c>
      <c r="F1223" s="76">
        <v>41155.0</v>
      </c>
      <c r="G1223" s="68" t="s">
        <v>4868</v>
      </c>
      <c r="H1223" s="71"/>
      <c r="I1223" s="99" t="s">
        <v>4869</v>
      </c>
      <c r="J1223" s="68" t="s">
        <v>4870</v>
      </c>
      <c r="K1223" s="71"/>
      <c r="L1223" s="71"/>
      <c r="M1223" s="71"/>
      <c r="N1223" s="61"/>
      <c r="O1223" s="51"/>
    </row>
    <row r="1224">
      <c r="A1224" s="56">
        <v>1221.0</v>
      </c>
      <c r="B1224" s="68">
        <v>4434.0</v>
      </c>
      <c r="C1224" s="69">
        <v>1237.0</v>
      </c>
      <c r="D1224" s="71"/>
      <c r="E1224" s="68" t="s">
        <v>4871</v>
      </c>
      <c r="F1224" s="76">
        <v>41312.0</v>
      </c>
      <c r="G1224" s="68" t="s">
        <v>4872</v>
      </c>
      <c r="H1224" s="71"/>
      <c r="I1224" s="99" t="s">
        <v>4873</v>
      </c>
      <c r="J1224" s="68" t="s">
        <v>4874</v>
      </c>
      <c r="K1224" s="71"/>
      <c r="L1224" s="71"/>
      <c r="M1224" s="71"/>
      <c r="N1224" s="61"/>
      <c r="O1224" s="51"/>
    </row>
    <row r="1225">
      <c r="A1225" s="56">
        <v>1222.0</v>
      </c>
      <c r="B1225" s="68">
        <v>4435.0</v>
      </c>
      <c r="C1225" s="69">
        <v>1238.0</v>
      </c>
      <c r="D1225" s="71"/>
      <c r="E1225" s="68" t="s">
        <v>4875</v>
      </c>
      <c r="F1225" s="76">
        <v>41312.0</v>
      </c>
      <c r="G1225" s="68" t="s">
        <v>4872</v>
      </c>
      <c r="H1225" s="71"/>
      <c r="I1225" s="99" t="s">
        <v>4873</v>
      </c>
      <c r="J1225" s="68" t="s">
        <v>4876</v>
      </c>
      <c r="K1225" s="71"/>
      <c r="L1225" s="71"/>
      <c r="M1225" s="71"/>
      <c r="N1225" s="61"/>
      <c r="O1225" s="51"/>
    </row>
    <row r="1226">
      <c r="A1226" s="56">
        <v>1223.0</v>
      </c>
      <c r="B1226" s="68">
        <v>4436.0</v>
      </c>
      <c r="C1226" s="69">
        <v>1239.0</v>
      </c>
      <c r="D1226" s="71"/>
      <c r="E1226" s="68" t="s">
        <v>4877</v>
      </c>
      <c r="F1226" s="136">
        <v>41417.0</v>
      </c>
      <c r="G1226" s="68" t="s">
        <v>4878</v>
      </c>
      <c r="H1226" s="71"/>
      <c r="I1226" s="99" t="s">
        <v>4879</v>
      </c>
      <c r="J1226" s="68" t="s">
        <v>4880</v>
      </c>
      <c r="K1226" s="71"/>
      <c r="L1226" s="71"/>
      <c r="M1226" s="71"/>
      <c r="N1226" s="61"/>
      <c r="O1226" s="51"/>
    </row>
    <row r="1227">
      <c r="A1227" s="56">
        <v>1224.0</v>
      </c>
      <c r="B1227" s="63">
        <v>4437.0</v>
      </c>
      <c r="C1227" s="64">
        <v>1240.0</v>
      </c>
      <c r="D1227" s="66"/>
      <c r="E1227" s="63" t="s">
        <v>4881</v>
      </c>
      <c r="F1227" s="138">
        <v>40494.0</v>
      </c>
      <c r="G1227" s="63" t="s">
        <v>4882</v>
      </c>
      <c r="H1227" s="71"/>
      <c r="I1227" s="99" t="s">
        <v>4883</v>
      </c>
      <c r="J1227" s="88" t="s">
        <v>4884</v>
      </c>
      <c r="K1227" s="66"/>
      <c r="L1227" s="66"/>
      <c r="M1227" s="66"/>
      <c r="N1227" s="61"/>
      <c r="O1227" s="51"/>
    </row>
    <row r="1228">
      <c r="A1228" s="56">
        <v>1225.0</v>
      </c>
      <c r="B1228" s="63">
        <v>4438.0</v>
      </c>
      <c r="C1228" s="64" t="s">
        <v>4885</v>
      </c>
      <c r="D1228" s="66"/>
      <c r="E1228" s="63" t="s">
        <v>4886</v>
      </c>
      <c r="F1228" s="138">
        <v>40494.0</v>
      </c>
      <c r="G1228" s="63" t="s">
        <v>4887</v>
      </c>
      <c r="H1228" s="66"/>
      <c r="I1228" s="99" t="s">
        <v>4888</v>
      </c>
      <c r="J1228" s="63" t="s">
        <v>4240</v>
      </c>
      <c r="K1228" s="66"/>
      <c r="L1228" s="63" t="s">
        <v>4889</v>
      </c>
      <c r="M1228" s="63" t="s">
        <v>166</v>
      </c>
      <c r="N1228" s="61"/>
      <c r="O1228" s="51"/>
    </row>
    <row r="1229">
      <c r="A1229" s="56">
        <v>1226.0</v>
      </c>
      <c r="B1229" s="68">
        <v>4439.0</v>
      </c>
      <c r="C1229" s="69">
        <v>1242.0</v>
      </c>
      <c r="D1229" s="71"/>
      <c r="E1229" s="68" t="s">
        <v>4890</v>
      </c>
      <c r="F1229" s="136">
        <v>41046.0</v>
      </c>
      <c r="G1229" s="68" t="s">
        <v>4891</v>
      </c>
      <c r="H1229" s="71"/>
      <c r="I1229" s="114" t="s">
        <v>4892</v>
      </c>
      <c r="J1229" s="68" t="s">
        <v>4893</v>
      </c>
      <c r="K1229" s="71"/>
      <c r="L1229" s="71"/>
      <c r="M1229" s="68" t="s">
        <v>31</v>
      </c>
      <c r="N1229" s="61"/>
      <c r="O1229" s="51"/>
    </row>
    <row r="1230">
      <c r="A1230" s="56">
        <v>1227.0</v>
      </c>
      <c r="B1230" s="68">
        <v>4440.0</v>
      </c>
      <c r="C1230" s="69">
        <v>1243.0</v>
      </c>
      <c r="D1230" s="71"/>
      <c r="E1230" s="68" t="s">
        <v>4894</v>
      </c>
      <c r="F1230" s="136">
        <v>38723.0</v>
      </c>
      <c r="G1230" s="68" t="s">
        <v>4895</v>
      </c>
      <c r="H1230" s="71"/>
      <c r="I1230" s="114" t="s">
        <v>4896</v>
      </c>
      <c r="J1230" s="68" t="s">
        <v>4897</v>
      </c>
      <c r="K1230" s="71"/>
      <c r="L1230" s="71"/>
      <c r="M1230" s="71"/>
      <c r="N1230" s="61"/>
      <c r="O1230" s="51"/>
    </row>
    <row r="1231">
      <c r="A1231" s="56">
        <v>1228.0</v>
      </c>
      <c r="B1231" s="68">
        <v>4441.0</v>
      </c>
      <c r="C1231" s="69">
        <v>1244.0</v>
      </c>
      <c r="D1231" s="71"/>
      <c r="E1231" s="68" t="s">
        <v>4898</v>
      </c>
      <c r="F1231" s="139">
        <v>41197.0</v>
      </c>
      <c r="G1231" s="68" t="s">
        <v>4899</v>
      </c>
      <c r="H1231" s="71"/>
      <c r="I1231" s="99" t="s">
        <v>4900</v>
      </c>
      <c r="J1231" s="68" t="s">
        <v>4901</v>
      </c>
      <c r="K1231" s="71"/>
      <c r="L1231" s="71"/>
      <c r="M1231" s="71"/>
      <c r="N1231" s="61"/>
      <c r="O1231" s="51"/>
    </row>
    <row r="1232">
      <c r="A1232" s="56">
        <v>1229.0</v>
      </c>
      <c r="B1232" s="84">
        <v>4442.0</v>
      </c>
      <c r="C1232" s="140">
        <v>1245.0</v>
      </c>
      <c r="D1232" s="84" t="s">
        <v>4902</v>
      </c>
      <c r="E1232" s="84" t="s">
        <v>4903</v>
      </c>
      <c r="F1232" s="141">
        <v>40956.0</v>
      </c>
      <c r="G1232" s="84" t="s">
        <v>4904</v>
      </c>
      <c r="H1232" s="142"/>
      <c r="I1232" s="99" t="s">
        <v>4900</v>
      </c>
      <c r="J1232" s="84" t="s">
        <v>4905</v>
      </c>
      <c r="K1232" s="142"/>
      <c r="L1232" s="142"/>
      <c r="M1232" s="142"/>
      <c r="N1232" s="61"/>
      <c r="O1232" s="51"/>
    </row>
    <row r="1233">
      <c r="A1233" s="56">
        <v>1230.0</v>
      </c>
      <c r="B1233" s="84">
        <v>4443.0</v>
      </c>
      <c r="C1233" s="140">
        <v>1246.0</v>
      </c>
      <c r="D1233" s="84" t="s">
        <v>4906</v>
      </c>
      <c r="E1233" s="84" t="s">
        <v>4907</v>
      </c>
      <c r="F1233" s="141">
        <v>41283.0</v>
      </c>
      <c r="G1233" s="84" t="s">
        <v>4908</v>
      </c>
      <c r="H1233" s="142"/>
      <c r="I1233" s="129" t="s">
        <v>4909</v>
      </c>
      <c r="J1233" s="84" t="s">
        <v>252</v>
      </c>
      <c r="K1233" s="142"/>
      <c r="L1233" s="142"/>
      <c r="M1233" s="84" t="s">
        <v>137</v>
      </c>
      <c r="N1233" s="61"/>
      <c r="O1233" s="51"/>
    </row>
    <row r="1234">
      <c r="A1234" s="56">
        <v>1231.0</v>
      </c>
      <c r="B1234" s="84">
        <v>4444.0</v>
      </c>
      <c r="C1234" s="140">
        <v>1247.0</v>
      </c>
      <c r="D1234" s="84" t="s">
        <v>4910</v>
      </c>
      <c r="E1234" s="84" t="s">
        <v>4911</v>
      </c>
      <c r="F1234" s="141">
        <v>41361.0</v>
      </c>
      <c r="G1234" s="84" t="s">
        <v>4912</v>
      </c>
      <c r="H1234" s="142"/>
      <c r="I1234" s="129" t="s">
        <v>4913</v>
      </c>
      <c r="J1234" s="129" t="s">
        <v>4914</v>
      </c>
      <c r="K1234" s="142"/>
      <c r="L1234" s="142"/>
      <c r="M1234" s="142"/>
      <c r="N1234" s="77"/>
      <c r="O1234" s="51"/>
    </row>
    <row r="1235">
      <c r="A1235" s="85">
        <v>1232.0</v>
      </c>
      <c r="B1235" s="120">
        <v>4445.0</v>
      </c>
      <c r="C1235" s="121">
        <v>1248.0</v>
      </c>
      <c r="D1235" s="120" t="s">
        <v>4915</v>
      </c>
      <c r="E1235" s="120" t="s">
        <v>4916</v>
      </c>
      <c r="F1235" s="143">
        <v>41614.0</v>
      </c>
      <c r="G1235" s="120" t="s">
        <v>4917</v>
      </c>
      <c r="H1235" s="120" t="s">
        <v>4918</v>
      </c>
      <c r="I1235" s="144"/>
      <c r="J1235" s="123"/>
      <c r="K1235" s="123"/>
      <c r="L1235" s="123"/>
      <c r="M1235" s="120" t="s">
        <v>166</v>
      </c>
      <c r="N1235" s="61"/>
      <c r="O1235" s="51"/>
    </row>
    <row r="1236">
      <c r="A1236" s="56">
        <v>1233.0</v>
      </c>
      <c r="B1236" s="84">
        <v>4446.0</v>
      </c>
      <c r="C1236" s="140">
        <v>1249.0</v>
      </c>
      <c r="D1236" s="142"/>
      <c r="E1236" s="84" t="s">
        <v>4919</v>
      </c>
      <c r="F1236" s="141">
        <v>40118.0</v>
      </c>
      <c r="G1236" s="84" t="s">
        <v>4920</v>
      </c>
      <c r="H1236" s="142"/>
      <c r="I1236" s="129" t="s">
        <v>635</v>
      </c>
      <c r="J1236" s="84" t="s">
        <v>2419</v>
      </c>
      <c r="K1236" s="142"/>
      <c r="L1236" s="142"/>
      <c r="M1236" s="84" t="s">
        <v>2097</v>
      </c>
      <c r="N1236" s="77"/>
      <c r="O1236" s="51"/>
    </row>
    <row r="1237">
      <c r="A1237" s="56">
        <v>1234.0</v>
      </c>
      <c r="B1237" s="84">
        <v>4447.0</v>
      </c>
      <c r="C1237" s="140">
        <v>1250.0</v>
      </c>
      <c r="D1237" s="142"/>
      <c r="E1237" s="84" t="s">
        <v>4921</v>
      </c>
      <c r="F1237" s="141">
        <v>41414.0</v>
      </c>
      <c r="G1237" s="84" t="s">
        <v>4922</v>
      </c>
      <c r="H1237" s="142"/>
      <c r="I1237" s="145" t="s">
        <v>4923</v>
      </c>
      <c r="J1237" s="84" t="s">
        <v>2675</v>
      </c>
      <c r="K1237" s="142"/>
      <c r="L1237" s="142"/>
      <c r="M1237" s="84" t="s">
        <v>137</v>
      </c>
      <c r="N1237" s="61"/>
      <c r="O1237" s="51"/>
    </row>
    <row r="1238">
      <c r="A1238" s="56">
        <v>1235.0</v>
      </c>
      <c r="B1238" s="84">
        <v>4448.0</v>
      </c>
      <c r="C1238" s="140">
        <v>1251.0</v>
      </c>
      <c r="D1238" s="142"/>
      <c r="E1238" s="84" t="s">
        <v>4924</v>
      </c>
      <c r="F1238" s="146">
        <v>40498.0</v>
      </c>
      <c r="G1238" s="84" t="s">
        <v>4925</v>
      </c>
      <c r="H1238" s="142"/>
      <c r="I1238" s="145" t="s">
        <v>4926</v>
      </c>
      <c r="J1238" s="84" t="s">
        <v>4927</v>
      </c>
      <c r="K1238" s="142"/>
      <c r="L1238" s="142"/>
      <c r="M1238" s="142"/>
      <c r="N1238" s="61"/>
      <c r="O1238" s="51"/>
    </row>
    <row r="1239">
      <c r="A1239" s="56">
        <v>1236.0</v>
      </c>
      <c r="B1239" s="84">
        <v>4449.0</v>
      </c>
      <c r="C1239" s="140">
        <v>1252.0</v>
      </c>
      <c r="D1239" s="142"/>
      <c r="E1239" s="84" t="s">
        <v>4928</v>
      </c>
      <c r="F1239" s="141">
        <v>41130.0</v>
      </c>
      <c r="G1239" s="84" t="s">
        <v>4929</v>
      </c>
      <c r="H1239" s="142"/>
      <c r="I1239" s="145" t="s">
        <v>4930</v>
      </c>
      <c r="J1239" s="84" t="s">
        <v>4931</v>
      </c>
      <c r="K1239" s="142"/>
      <c r="L1239" s="142"/>
      <c r="M1239" s="142"/>
      <c r="N1239" s="61"/>
      <c r="O1239" s="51"/>
    </row>
    <row r="1240">
      <c r="A1240" s="56">
        <v>1237.0</v>
      </c>
      <c r="B1240" s="147">
        <v>4450.0</v>
      </c>
      <c r="C1240" s="148">
        <v>1253.0</v>
      </c>
      <c r="D1240" s="147" t="s">
        <v>4932</v>
      </c>
      <c r="E1240" s="147" t="s">
        <v>4933</v>
      </c>
      <c r="F1240" s="149">
        <v>40493.0</v>
      </c>
      <c r="G1240" s="120" t="s">
        <v>4934</v>
      </c>
      <c r="H1240" s="123"/>
      <c r="I1240" s="145" t="s">
        <v>4935</v>
      </c>
      <c r="J1240" s="147" t="s">
        <v>4240</v>
      </c>
      <c r="K1240" s="150"/>
      <c r="L1240" s="150"/>
      <c r="M1240" s="150"/>
      <c r="N1240" s="61"/>
      <c r="O1240" s="51"/>
    </row>
    <row r="1241">
      <c r="A1241" s="56">
        <v>1238.0</v>
      </c>
      <c r="B1241" s="84">
        <v>4451.0</v>
      </c>
      <c r="C1241" s="140">
        <v>1254.0</v>
      </c>
      <c r="D1241" s="84" t="s">
        <v>4936</v>
      </c>
      <c r="E1241" s="84" t="s">
        <v>4937</v>
      </c>
      <c r="F1241" s="141">
        <v>40057.0</v>
      </c>
      <c r="G1241" s="84" t="s">
        <v>4938</v>
      </c>
      <c r="H1241" s="142"/>
      <c r="I1241" s="145" t="s">
        <v>4939</v>
      </c>
      <c r="J1241" s="84" t="s">
        <v>2011</v>
      </c>
      <c r="K1241" s="142"/>
      <c r="L1241" s="142"/>
      <c r="M1241" s="142"/>
      <c r="N1241" s="61"/>
      <c r="O1241" s="51"/>
    </row>
    <row r="1242">
      <c r="A1242" s="56">
        <v>1239.0</v>
      </c>
      <c r="B1242" s="84">
        <v>4452.0</v>
      </c>
      <c r="C1242" s="140">
        <v>1255.0</v>
      </c>
      <c r="D1242" s="84" t="s">
        <v>4940</v>
      </c>
      <c r="E1242" s="84" t="s">
        <v>4941</v>
      </c>
      <c r="F1242" s="146">
        <v>40479.0</v>
      </c>
      <c r="G1242" s="84" t="s">
        <v>4942</v>
      </c>
      <c r="H1242" s="142"/>
      <c r="I1242" s="145" t="s">
        <v>4943</v>
      </c>
      <c r="J1242" s="84" t="s">
        <v>4944</v>
      </c>
      <c r="K1242" s="142"/>
      <c r="L1242" s="142"/>
      <c r="M1242" s="142"/>
      <c r="N1242" s="61"/>
      <c r="O1242" s="51"/>
    </row>
    <row r="1243">
      <c r="A1243" s="56">
        <v>1240.0</v>
      </c>
      <c r="B1243" s="84">
        <v>4453.0</v>
      </c>
      <c r="C1243" s="140">
        <v>1256.0</v>
      </c>
      <c r="D1243" s="142"/>
      <c r="E1243" s="84" t="s">
        <v>4945</v>
      </c>
      <c r="F1243" s="141">
        <v>41412.0</v>
      </c>
      <c r="G1243" s="84" t="s">
        <v>4946</v>
      </c>
      <c r="H1243" s="142"/>
      <c r="I1243" s="145" t="s">
        <v>4947</v>
      </c>
      <c r="J1243" s="84" t="s">
        <v>4948</v>
      </c>
      <c r="K1243" s="142"/>
      <c r="L1243" s="142"/>
      <c r="M1243" s="142"/>
      <c r="N1243" s="61"/>
      <c r="O1243" s="51"/>
    </row>
    <row r="1244">
      <c r="A1244" s="56">
        <v>1241.0</v>
      </c>
      <c r="B1244" s="84">
        <v>4454.0</v>
      </c>
      <c r="C1244" s="140">
        <v>1257.0</v>
      </c>
      <c r="D1244" s="84" t="s">
        <v>4949</v>
      </c>
      <c r="E1244" s="84" t="s">
        <v>4950</v>
      </c>
      <c r="F1244" s="141">
        <v>41412.0</v>
      </c>
      <c r="G1244" s="84" t="s">
        <v>4951</v>
      </c>
      <c r="H1244" s="142"/>
      <c r="I1244" s="129" t="s">
        <v>4952</v>
      </c>
      <c r="J1244" s="84" t="s">
        <v>4953</v>
      </c>
      <c r="K1244" s="142"/>
      <c r="L1244" s="142"/>
      <c r="M1244" s="142"/>
      <c r="N1244" s="61"/>
      <c r="O1244" s="51"/>
    </row>
    <row r="1245">
      <c r="A1245" s="56">
        <v>1242.0</v>
      </c>
      <c r="B1245" s="84">
        <v>4455.0</v>
      </c>
      <c r="C1245" s="140">
        <v>1258.0</v>
      </c>
      <c r="D1245" s="84" t="s">
        <v>4949</v>
      </c>
      <c r="E1245" s="84" t="s">
        <v>4954</v>
      </c>
      <c r="F1245" s="141">
        <v>41412.0</v>
      </c>
      <c r="G1245" s="84" t="s">
        <v>4951</v>
      </c>
      <c r="H1245" s="142"/>
      <c r="I1245" s="129" t="s">
        <v>4952</v>
      </c>
      <c r="J1245" s="84" t="s">
        <v>4953</v>
      </c>
      <c r="K1245" s="142"/>
      <c r="L1245" s="142"/>
      <c r="M1245" s="142"/>
      <c r="N1245" s="61"/>
      <c r="O1245" s="51"/>
    </row>
    <row r="1246">
      <c r="A1246" s="56">
        <v>1243.0</v>
      </c>
      <c r="B1246" s="84">
        <v>4456.0</v>
      </c>
      <c r="C1246" s="140" t="s">
        <v>4955</v>
      </c>
      <c r="D1246" s="84" t="s">
        <v>4956</v>
      </c>
      <c r="E1246" s="84" t="s">
        <v>4957</v>
      </c>
      <c r="F1246" s="141">
        <v>41110.0</v>
      </c>
      <c r="G1246" s="84" t="s">
        <v>4958</v>
      </c>
      <c r="H1246" s="142"/>
      <c r="I1246" s="145" t="s">
        <v>4959</v>
      </c>
      <c r="J1246" s="84" t="s">
        <v>4960</v>
      </c>
      <c r="K1246" s="142"/>
      <c r="L1246" s="84" t="s">
        <v>1496</v>
      </c>
      <c r="M1246" s="84" t="s">
        <v>149</v>
      </c>
      <c r="N1246" s="61"/>
      <c r="O1246" s="51"/>
    </row>
    <row r="1247">
      <c r="A1247" s="56">
        <v>1244.0</v>
      </c>
      <c r="B1247" s="147">
        <v>4457.0</v>
      </c>
      <c r="C1247" s="148">
        <v>1260.0</v>
      </c>
      <c r="D1247" s="147" t="s">
        <v>4961</v>
      </c>
      <c r="E1247" s="147" t="s">
        <v>4962</v>
      </c>
      <c r="F1247" s="151">
        <v>39995.0</v>
      </c>
      <c r="G1247" s="120" t="s">
        <v>4963</v>
      </c>
      <c r="H1247" s="120" t="s">
        <v>4964</v>
      </c>
      <c r="I1247" s="145" t="s">
        <v>4965</v>
      </c>
      <c r="J1247" s="147" t="s">
        <v>1971</v>
      </c>
      <c r="K1247" s="150"/>
      <c r="L1247" s="150"/>
      <c r="M1247" s="147" t="s">
        <v>530</v>
      </c>
      <c r="N1247" s="61"/>
      <c r="O1247" s="51"/>
    </row>
    <row r="1248">
      <c r="A1248" s="56">
        <v>1245.0</v>
      </c>
      <c r="B1248" s="84">
        <v>4458.0</v>
      </c>
      <c r="C1248" s="140">
        <v>1261.0</v>
      </c>
      <c r="D1248" s="142"/>
      <c r="E1248" s="84" t="s">
        <v>4966</v>
      </c>
      <c r="F1248" s="141">
        <v>41430.0</v>
      </c>
      <c r="G1248" s="84" t="s">
        <v>4967</v>
      </c>
      <c r="H1248" s="142"/>
      <c r="I1248" s="145" t="s">
        <v>4968</v>
      </c>
      <c r="J1248" s="84" t="s">
        <v>4969</v>
      </c>
      <c r="K1248" s="142"/>
      <c r="L1248" s="142"/>
      <c r="M1248" s="84" t="s">
        <v>2152</v>
      </c>
      <c r="N1248" s="61"/>
      <c r="O1248" s="51"/>
    </row>
    <row r="1249">
      <c r="A1249" s="56">
        <v>1246.0</v>
      </c>
      <c r="B1249" s="147">
        <v>4459.0</v>
      </c>
      <c r="C1249" s="148" t="s">
        <v>4970</v>
      </c>
      <c r="D1249" s="152" t="s">
        <v>4971</v>
      </c>
      <c r="E1249" s="147" t="s">
        <v>4972</v>
      </c>
      <c r="F1249" s="151">
        <v>41343.0</v>
      </c>
      <c r="G1249" s="147" t="s">
        <v>4973</v>
      </c>
      <c r="H1249" s="150"/>
      <c r="I1249" s="145" t="s">
        <v>4974</v>
      </c>
      <c r="J1249" s="147" t="s">
        <v>4240</v>
      </c>
      <c r="K1249" s="150"/>
      <c r="L1249" s="150"/>
      <c r="M1249" s="150"/>
      <c r="N1249" s="61"/>
      <c r="O1249" s="51"/>
    </row>
    <row r="1250">
      <c r="A1250" s="56">
        <v>1247.0</v>
      </c>
      <c r="B1250" s="147">
        <v>4460.0</v>
      </c>
      <c r="C1250" s="148" t="s">
        <v>4975</v>
      </c>
      <c r="D1250" s="152" t="s">
        <v>4971</v>
      </c>
      <c r="E1250" s="147" t="s">
        <v>4976</v>
      </c>
      <c r="F1250" s="151">
        <v>41379.0</v>
      </c>
      <c r="G1250" s="147" t="s">
        <v>4977</v>
      </c>
      <c r="H1250" s="150"/>
      <c r="I1250" s="145" t="s">
        <v>4978</v>
      </c>
      <c r="J1250" s="147" t="s">
        <v>4240</v>
      </c>
      <c r="K1250" s="150"/>
      <c r="L1250" s="147" t="s">
        <v>4979</v>
      </c>
      <c r="M1250" s="150"/>
      <c r="N1250" s="61"/>
      <c r="O1250" s="51"/>
    </row>
    <row r="1251">
      <c r="A1251" s="56">
        <v>1248.0</v>
      </c>
      <c r="B1251" s="84">
        <v>4461.0</v>
      </c>
      <c r="C1251" s="140">
        <v>1264.0</v>
      </c>
      <c r="D1251" s="153" t="s">
        <v>4971</v>
      </c>
      <c r="E1251" s="84" t="s">
        <v>4980</v>
      </c>
      <c r="F1251" s="141">
        <v>41368.0</v>
      </c>
      <c r="G1251" s="84" t="s">
        <v>4981</v>
      </c>
      <c r="H1251" s="142"/>
      <c r="I1251" s="114" t="s">
        <v>4982</v>
      </c>
      <c r="J1251" s="84" t="s">
        <v>4983</v>
      </c>
      <c r="K1251" s="142"/>
      <c r="L1251" s="142"/>
      <c r="M1251" s="142"/>
      <c r="N1251" s="77"/>
      <c r="O1251" s="51"/>
    </row>
    <row r="1252">
      <c r="A1252" s="56">
        <v>1249.0</v>
      </c>
      <c r="B1252" s="147">
        <v>4462.0</v>
      </c>
      <c r="C1252" s="148" t="s">
        <v>4984</v>
      </c>
      <c r="D1252" s="152" t="s">
        <v>4971</v>
      </c>
      <c r="E1252" s="147" t="s">
        <v>4985</v>
      </c>
      <c r="F1252" s="151">
        <v>41406.0</v>
      </c>
      <c r="G1252" s="147" t="s">
        <v>4986</v>
      </c>
      <c r="H1252" s="150"/>
      <c r="I1252" s="145" t="s">
        <v>4987</v>
      </c>
      <c r="J1252" s="147" t="s">
        <v>4240</v>
      </c>
      <c r="K1252" s="150"/>
      <c r="L1252" s="147" t="s">
        <v>4988</v>
      </c>
      <c r="M1252" s="150"/>
      <c r="N1252" s="61"/>
      <c r="O1252" s="51"/>
    </row>
    <row r="1253">
      <c r="A1253" s="56">
        <v>1250.0</v>
      </c>
      <c r="B1253" s="147">
        <v>4463.0</v>
      </c>
      <c r="C1253" s="148" t="s">
        <v>4989</v>
      </c>
      <c r="D1253" s="152" t="s">
        <v>4971</v>
      </c>
      <c r="E1253" s="147" t="s">
        <v>4990</v>
      </c>
      <c r="F1253" s="154">
        <v>41613.0</v>
      </c>
      <c r="G1253" s="147" t="s">
        <v>4991</v>
      </c>
      <c r="H1253" s="150"/>
      <c r="I1253" s="145" t="s">
        <v>4987</v>
      </c>
      <c r="J1253" s="147" t="s">
        <v>4240</v>
      </c>
      <c r="K1253" s="150"/>
      <c r="L1253" s="147" t="s">
        <v>4992</v>
      </c>
      <c r="M1253" s="150"/>
      <c r="N1253" s="61"/>
      <c r="O1253" s="51"/>
    </row>
    <row r="1254">
      <c r="A1254" s="56">
        <v>1251.0</v>
      </c>
      <c r="B1254" s="84">
        <v>4464.0</v>
      </c>
      <c r="C1254" s="140">
        <v>1267.0</v>
      </c>
      <c r="D1254" s="84" t="s">
        <v>4993</v>
      </c>
      <c r="E1254" s="84" t="s">
        <v>4994</v>
      </c>
      <c r="F1254" s="141">
        <v>41163.0</v>
      </c>
      <c r="G1254" s="84" t="s">
        <v>4995</v>
      </c>
      <c r="H1254" s="142"/>
      <c r="I1254" s="155"/>
      <c r="J1254" s="84" t="s">
        <v>4996</v>
      </c>
      <c r="K1254" s="142"/>
      <c r="L1254" s="104"/>
      <c r="M1254" s="156"/>
      <c r="N1254" s="61"/>
      <c r="O1254" s="51"/>
    </row>
    <row r="1255">
      <c r="A1255" s="56">
        <v>1252.0</v>
      </c>
      <c r="B1255" s="84">
        <v>4465.0</v>
      </c>
      <c r="C1255" s="140">
        <v>1268.0</v>
      </c>
      <c r="D1255" s="84" t="s">
        <v>4997</v>
      </c>
      <c r="E1255" s="84" t="s">
        <v>4998</v>
      </c>
      <c r="F1255" s="141">
        <v>41430.0</v>
      </c>
      <c r="G1255" s="84" t="s">
        <v>4999</v>
      </c>
      <c r="H1255" s="142"/>
      <c r="I1255" s="145" t="s">
        <v>635</v>
      </c>
      <c r="J1255" s="104"/>
      <c r="K1255" s="156"/>
      <c r="L1255" s="104"/>
      <c r="M1255" s="156"/>
      <c r="N1255" s="61"/>
      <c r="O1255" s="51"/>
    </row>
    <row r="1256">
      <c r="A1256" s="56">
        <v>1253.0</v>
      </c>
      <c r="B1256" s="84">
        <v>4466.0</v>
      </c>
      <c r="C1256" s="140">
        <v>1269.0</v>
      </c>
      <c r="D1256" s="84" t="s">
        <v>5000</v>
      </c>
      <c r="E1256" s="84" t="s">
        <v>5001</v>
      </c>
      <c r="F1256" s="141">
        <v>41431.0</v>
      </c>
      <c r="G1256" s="84" t="s">
        <v>5002</v>
      </c>
      <c r="H1256" s="142"/>
      <c r="I1256" s="145" t="s">
        <v>635</v>
      </c>
      <c r="J1256" s="157" t="s">
        <v>5003</v>
      </c>
      <c r="K1256" s="142"/>
      <c r="L1256" s="158"/>
      <c r="M1256" s="142"/>
      <c r="N1256" s="61"/>
      <c r="O1256" s="51"/>
    </row>
    <row r="1257">
      <c r="A1257" s="56">
        <v>1254.0</v>
      </c>
      <c r="B1257" s="84">
        <v>4467.0</v>
      </c>
      <c r="C1257" s="140">
        <v>1270.0</v>
      </c>
      <c r="D1257" s="84" t="s">
        <v>5004</v>
      </c>
      <c r="E1257" s="84" t="s">
        <v>5005</v>
      </c>
      <c r="F1257" s="141">
        <v>41244.0</v>
      </c>
      <c r="G1257" s="84" t="s">
        <v>5006</v>
      </c>
      <c r="H1257" s="142"/>
      <c r="I1257" s="129" t="s">
        <v>5007</v>
      </c>
      <c r="J1257" s="84" t="s">
        <v>5008</v>
      </c>
      <c r="K1257" s="142"/>
      <c r="L1257" s="142"/>
      <c r="M1257" s="142"/>
      <c r="N1257" s="61"/>
      <c r="O1257" s="51"/>
    </row>
    <row r="1258">
      <c r="A1258" s="56">
        <v>1255.0</v>
      </c>
      <c r="B1258" s="84">
        <v>4468.0</v>
      </c>
      <c r="C1258" s="140">
        <v>1271.0</v>
      </c>
      <c r="D1258" s="84" t="s">
        <v>5009</v>
      </c>
      <c r="E1258" s="84" t="s">
        <v>5010</v>
      </c>
      <c r="F1258" s="141">
        <v>41426.0</v>
      </c>
      <c r="G1258" s="84" t="s">
        <v>5011</v>
      </c>
      <c r="H1258" s="142"/>
      <c r="I1258" s="129" t="s">
        <v>5012</v>
      </c>
      <c r="J1258" s="84" t="s">
        <v>5013</v>
      </c>
      <c r="K1258" s="142"/>
      <c r="L1258" s="142"/>
      <c r="M1258" s="142"/>
      <c r="N1258" s="61"/>
      <c r="O1258" s="51"/>
    </row>
    <row r="1259">
      <c r="A1259" s="56">
        <v>1256.0</v>
      </c>
      <c r="B1259" s="84">
        <v>4469.0</v>
      </c>
      <c r="C1259" s="140">
        <v>1272.0</v>
      </c>
      <c r="D1259" s="84" t="s">
        <v>5014</v>
      </c>
      <c r="E1259" s="84" t="s">
        <v>5015</v>
      </c>
      <c r="F1259" s="141">
        <v>40640.0</v>
      </c>
      <c r="G1259" s="84" t="s">
        <v>5016</v>
      </c>
      <c r="H1259" s="142"/>
      <c r="I1259" s="129" t="s">
        <v>5017</v>
      </c>
      <c r="J1259" s="84" t="s">
        <v>3044</v>
      </c>
      <c r="K1259" s="142"/>
      <c r="L1259" s="142"/>
      <c r="M1259" s="142"/>
      <c r="N1259" s="61"/>
      <c r="O1259" s="51"/>
    </row>
    <row r="1260">
      <c r="A1260" s="56">
        <v>1257.0</v>
      </c>
      <c r="B1260" s="84">
        <v>4470.0</v>
      </c>
      <c r="C1260" s="140">
        <v>1273.0</v>
      </c>
      <c r="D1260" s="84" t="s">
        <v>5018</v>
      </c>
      <c r="E1260" s="84" t="s">
        <v>5019</v>
      </c>
      <c r="F1260" s="141">
        <v>41294.0</v>
      </c>
      <c r="G1260" s="84" t="s">
        <v>5020</v>
      </c>
      <c r="H1260" s="142"/>
      <c r="I1260" s="155"/>
      <c r="J1260" s="84" t="s">
        <v>5021</v>
      </c>
      <c r="K1260" s="142"/>
      <c r="L1260" s="142"/>
      <c r="M1260" s="142"/>
      <c r="N1260" s="61"/>
      <c r="O1260" s="51"/>
    </row>
    <row r="1261">
      <c r="A1261" s="75">
        <v>1258.0</v>
      </c>
      <c r="B1261" s="84">
        <v>4471.0</v>
      </c>
      <c r="C1261" s="140" t="s">
        <v>5022</v>
      </c>
      <c r="D1261" s="142"/>
      <c r="E1261" s="84" t="s">
        <v>5023</v>
      </c>
      <c r="F1261" s="141">
        <v>41436.0</v>
      </c>
      <c r="G1261" s="84" t="s">
        <v>5024</v>
      </c>
      <c r="H1261" s="84" t="s">
        <v>4716</v>
      </c>
      <c r="I1261" s="129" t="s">
        <v>5025</v>
      </c>
      <c r="J1261" s="84" t="s">
        <v>5026</v>
      </c>
      <c r="K1261" s="142"/>
      <c r="L1261" s="142"/>
      <c r="M1261" s="84" t="s">
        <v>31</v>
      </c>
      <c r="N1261" s="77"/>
      <c r="O1261" s="51"/>
    </row>
    <row r="1262">
      <c r="A1262" s="56">
        <v>1259.0</v>
      </c>
      <c r="B1262" s="84">
        <v>4472.0</v>
      </c>
      <c r="C1262" s="140">
        <v>1275.0</v>
      </c>
      <c r="D1262" s="142"/>
      <c r="E1262" s="84" t="s">
        <v>5027</v>
      </c>
      <c r="F1262" s="141">
        <v>41435.0</v>
      </c>
      <c r="G1262" s="84" t="s">
        <v>5028</v>
      </c>
      <c r="H1262" s="142"/>
      <c r="I1262" s="129" t="s">
        <v>5029</v>
      </c>
      <c r="J1262" s="84" t="s">
        <v>5030</v>
      </c>
      <c r="K1262" s="142"/>
      <c r="L1262" s="142"/>
      <c r="M1262" s="142"/>
      <c r="N1262" s="61"/>
      <c r="O1262" s="51"/>
    </row>
    <row r="1263">
      <c r="A1263" s="56">
        <v>1260.0</v>
      </c>
      <c r="B1263" s="84">
        <v>4473.0</v>
      </c>
      <c r="C1263" s="140" t="s">
        <v>5031</v>
      </c>
      <c r="D1263" s="142"/>
      <c r="E1263" s="84" t="s">
        <v>5032</v>
      </c>
      <c r="F1263" s="141">
        <v>41312.0</v>
      </c>
      <c r="G1263" s="84" t="s">
        <v>2217</v>
      </c>
      <c r="H1263" s="142"/>
      <c r="I1263" s="114" t="s">
        <v>4873</v>
      </c>
      <c r="J1263" s="84" t="s">
        <v>5033</v>
      </c>
      <c r="K1263" s="142"/>
      <c r="L1263" s="84" t="s">
        <v>1496</v>
      </c>
      <c r="M1263" s="84" t="s">
        <v>149</v>
      </c>
      <c r="N1263" s="61"/>
      <c r="O1263" s="51"/>
    </row>
    <row r="1264">
      <c r="A1264" s="56">
        <v>1261.0</v>
      </c>
      <c r="B1264" s="84">
        <v>4474.0</v>
      </c>
      <c r="C1264" s="140">
        <v>1277.0</v>
      </c>
      <c r="D1264" s="142"/>
      <c r="E1264" s="84" t="s">
        <v>5034</v>
      </c>
      <c r="F1264" s="141">
        <v>41014.0</v>
      </c>
      <c r="G1264" s="84" t="s">
        <v>5035</v>
      </c>
      <c r="H1264" s="142"/>
      <c r="I1264" s="129" t="s">
        <v>5036</v>
      </c>
      <c r="J1264" s="84" t="s">
        <v>5037</v>
      </c>
      <c r="K1264" s="142"/>
      <c r="L1264" s="142"/>
      <c r="M1264" s="142"/>
      <c r="N1264" s="61"/>
      <c r="O1264" s="51"/>
    </row>
    <row r="1265">
      <c r="A1265" s="56">
        <v>1262.0</v>
      </c>
      <c r="B1265" s="84">
        <v>4475.0</v>
      </c>
      <c r="C1265" s="140">
        <v>1278.0</v>
      </c>
      <c r="D1265" s="142"/>
      <c r="E1265" s="84" t="s">
        <v>5038</v>
      </c>
      <c r="F1265" s="141">
        <v>41339.0</v>
      </c>
      <c r="G1265" s="84" t="s">
        <v>5039</v>
      </c>
      <c r="H1265" s="142"/>
      <c r="I1265" s="129" t="s">
        <v>5040</v>
      </c>
      <c r="J1265" s="84" t="s">
        <v>5041</v>
      </c>
      <c r="K1265" s="142"/>
      <c r="L1265" s="142"/>
      <c r="M1265" s="142"/>
      <c r="N1265" s="61"/>
      <c r="O1265" s="51"/>
    </row>
    <row r="1266">
      <c r="A1266" s="56">
        <v>1263.0</v>
      </c>
      <c r="B1266" s="84">
        <v>4476.0</v>
      </c>
      <c r="C1266" s="140">
        <v>1279.0</v>
      </c>
      <c r="D1266" s="142"/>
      <c r="E1266" s="84" t="s">
        <v>5042</v>
      </c>
      <c r="F1266" s="141">
        <v>41444.0</v>
      </c>
      <c r="G1266" s="84" t="s">
        <v>5043</v>
      </c>
      <c r="H1266" s="142"/>
      <c r="I1266" s="129" t="s">
        <v>5044</v>
      </c>
      <c r="J1266" s="84" t="s">
        <v>5045</v>
      </c>
      <c r="K1266" s="142"/>
      <c r="L1266" s="142"/>
      <c r="M1266" s="142"/>
      <c r="N1266" s="61"/>
      <c r="O1266" s="51"/>
    </row>
    <row r="1267">
      <c r="A1267" s="56">
        <v>1264.0</v>
      </c>
      <c r="B1267" s="84">
        <v>4477.0</v>
      </c>
      <c r="C1267" s="140">
        <v>1280.0</v>
      </c>
      <c r="D1267" s="142"/>
      <c r="E1267" s="84" t="s">
        <v>5046</v>
      </c>
      <c r="F1267" s="141">
        <v>40851.0</v>
      </c>
      <c r="G1267" s="84" t="s">
        <v>5047</v>
      </c>
      <c r="H1267" s="142"/>
      <c r="I1267" s="145" t="s">
        <v>5048</v>
      </c>
      <c r="J1267" s="84" t="s">
        <v>5049</v>
      </c>
      <c r="K1267" s="142"/>
      <c r="L1267" s="142"/>
      <c r="M1267" s="142"/>
      <c r="N1267" s="61"/>
      <c r="O1267" s="51"/>
    </row>
    <row r="1268">
      <c r="A1268" s="56">
        <v>1265.0</v>
      </c>
      <c r="B1268" s="84">
        <v>4478.0</v>
      </c>
      <c r="C1268" s="140">
        <v>1281.0</v>
      </c>
      <c r="D1268" s="142"/>
      <c r="E1268" s="84" t="s">
        <v>5050</v>
      </c>
      <c r="F1268" s="141">
        <v>40993.0</v>
      </c>
      <c r="G1268" s="84" t="s">
        <v>5051</v>
      </c>
      <c r="H1268" s="142"/>
      <c r="I1268" s="145" t="s">
        <v>635</v>
      </c>
      <c r="J1268" s="84" t="s">
        <v>5052</v>
      </c>
      <c r="K1268" s="142"/>
      <c r="L1268" s="142"/>
      <c r="M1268" s="142"/>
      <c r="N1268" s="61"/>
      <c r="O1268" s="51"/>
    </row>
    <row r="1269">
      <c r="A1269" s="56">
        <v>1266.0</v>
      </c>
      <c r="B1269" s="84">
        <v>4480.0</v>
      </c>
      <c r="C1269" s="140">
        <v>1283.0</v>
      </c>
      <c r="D1269" s="142"/>
      <c r="E1269" s="84" t="s">
        <v>5053</v>
      </c>
      <c r="F1269" s="141">
        <v>40310.0</v>
      </c>
      <c r="G1269" s="84" t="s">
        <v>5054</v>
      </c>
      <c r="H1269" s="142"/>
      <c r="I1269" s="145" t="s">
        <v>5055</v>
      </c>
      <c r="J1269" s="84" t="s">
        <v>5056</v>
      </c>
      <c r="K1269" s="142"/>
      <c r="L1269" s="142"/>
      <c r="M1269" s="84" t="s">
        <v>27</v>
      </c>
      <c r="N1269" s="61"/>
      <c r="O1269" s="51"/>
    </row>
    <row r="1270">
      <c r="A1270" s="56">
        <v>1267.0</v>
      </c>
      <c r="B1270" s="84">
        <v>4481.0</v>
      </c>
      <c r="C1270" s="140">
        <v>1284.0</v>
      </c>
      <c r="D1270" s="84" t="s">
        <v>5057</v>
      </c>
      <c r="E1270" s="84" t="s">
        <v>5058</v>
      </c>
      <c r="F1270" s="141">
        <v>41221.0</v>
      </c>
      <c r="G1270" s="84" t="s">
        <v>5059</v>
      </c>
      <c r="H1270" s="142"/>
      <c r="I1270" s="145" t="s">
        <v>5060</v>
      </c>
      <c r="J1270" s="84" t="s">
        <v>5061</v>
      </c>
      <c r="K1270" s="142"/>
      <c r="L1270" s="142"/>
      <c r="M1270" s="142"/>
      <c r="N1270" s="61"/>
      <c r="O1270" s="51"/>
    </row>
    <row r="1271">
      <c r="A1271" s="56">
        <v>1268.0</v>
      </c>
      <c r="B1271" s="84">
        <v>4482.0</v>
      </c>
      <c r="C1271" s="140">
        <v>1285.0</v>
      </c>
      <c r="D1271" s="84" t="s">
        <v>5062</v>
      </c>
      <c r="E1271" s="84" t="s">
        <v>5063</v>
      </c>
      <c r="F1271" s="141">
        <v>41050.0</v>
      </c>
      <c r="G1271" s="84" t="s">
        <v>5064</v>
      </c>
      <c r="H1271" s="142"/>
      <c r="I1271" s="129" t="s">
        <v>5065</v>
      </c>
      <c r="J1271" s="84" t="s">
        <v>5066</v>
      </c>
      <c r="K1271" s="142"/>
      <c r="L1271" s="142"/>
      <c r="M1271" s="142"/>
      <c r="N1271" s="61"/>
      <c r="O1271" s="51"/>
    </row>
    <row r="1272">
      <c r="A1272" s="56">
        <v>1269.0</v>
      </c>
      <c r="B1272" s="84">
        <v>4483.0</v>
      </c>
      <c r="C1272" s="140">
        <v>1286.0</v>
      </c>
      <c r="D1272" s="84" t="s">
        <v>5067</v>
      </c>
      <c r="E1272" s="84" t="s">
        <v>5068</v>
      </c>
      <c r="F1272" s="146">
        <v>40461.0</v>
      </c>
      <c r="G1272" s="84" t="s">
        <v>5069</v>
      </c>
      <c r="H1272" s="142"/>
      <c r="I1272" s="145" t="s">
        <v>635</v>
      </c>
      <c r="J1272" s="84" t="s">
        <v>5070</v>
      </c>
      <c r="K1272" s="142"/>
      <c r="L1272" s="142"/>
      <c r="M1272" s="142"/>
      <c r="N1272" s="61"/>
      <c r="O1272" s="51"/>
    </row>
    <row r="1273">
      <c r="A1273" s="56">
        <v>1270.0</v>
      </c>
      <c r="B1273" s="84">
        <v>4484.0</v>
      </c>
      <c r="C1273" s="140">
        <v>1287.0</v>
      </c>
      <c r="D1273" s="142"/>
      <c r="E1273" s="84" t="s">
        <v>5071</v>
      </c>
      <c r="F1273" s="141">
        <v>41318.0</v>
      </c>
      <c r="G1273" s="84" t="s">
        <v>5072</v>
      </c>
      <c r="H1273" s="142"/>
      <c r="I1273" s="145" t="s">
        <v>5073</v>
      </c>
      <c r="J1273" s="84" t="s">
        <v>5074</v>
      </c>
      <c r="K1273" s="142"/>
      <c r="L1273" s="142"/>
      <c r="M1273" s="142"/>
      <c r="N1273" s="61"/>
      <c r="O1273" s="51"/>
    </row>
    <row r="1274">
      <c r="A1274" s="75">
        <v>1271.0</v>
      </c>
      <c r="B1274" s="84">
        <v>4485.0</v>
      </c>
      <c r="C1274" s="140">
        <v>1288.0</v>
      </c>
      <c r="D1274" s="142"/>
      <c r="E1274" s="84" t="s">
        <v>5075</v>
      </c>
      <c r="F1274" s="141">
        <v>39995.0</v>
      </c>
      <c r="G1274" s="84" t="s">
        <v>5076</v>
      </c>
      <c r="H1274" s="142"/>
      <c r="I1274" s="129" t="s">
        <v>5077</v>
      </c>
      <c r="J1274" s="100" t="s">
        <v>1392</v>
      </c>
      <c r="K1274" s="156"/>
      <c r="L1274" s="142"/>
      <c r="M1274" s="84" t="s">
        <v>530</v>
      </c>
      <c r="N1274" s="61"/>
      <c r="O1274" s="51"/>
    </row>
    <row r="1275">
      <c r="A1275" s="56">
        <v>1272.0</v>
      </c>
      <c r="B1275" s="84">
        <v>4486.0</v>
      </c>
      <c r="C1275" s="140">
        <v>1289.0</v>
      </c>
      <c r="D1275" s="142"/>
      <c r="E1275" s="84" t="s">
        <v>5078</v>
      </c>
      <c r="F1275" s="141">
        <v>41275.0</v>
      </c>
      <c r="G1275" s="84" t="s">
        <v>5079</v>
      </c>
      <c r="H1275" s="142"/>
      <c r="I1275" s="129" t="s">
        <v>5080</v>
      </c>
      <c r="J1275" s="84" t="s">
        <v>5081</v>
      </c>
      <c r="K1275" s="142"/>
      <c r="L1275" s="142"/>
      <c r="M1275" s="142"/>
      <c r="N1275" s="61"/>
      <c r="O1275" s="51"/>
    </row>
    <row r="1276">
      <c r="A1276" s="56">
        <v>1273.0</v>
      </c>
      <c r="B1276" s="147">
        <v>4487.0</v>
      </c>
      <c r="C1276" s="148">
        <v>1290.0</v>
      </c>
      <c r="D1276" s="150"/>
      <c r="E1276" s="147" t="s">
        <v>5082</v>
      </c>
      <c r="F1276" s="151">
        <v>39995.0</v>
      </c>
      <c r="G1276" s="147" t="s">
        <v>5083</v>
      </c>
      <c r="H1276" s="150"/>
      <c r="I1276" s="145" t="s">
        <v>5084</v>
      </c>
      <c r="J1276" s="147" t="s">
        <v>1971</v>
      </c>
      <c r="K1276" s="150"/>
      <c r="L1276" s="150"/>
      <c r="M1276" s="147" t="s">
        <v>530</v>
      </c>
      <c r="N1276" s="61"/>
      <c r="O1276" s="51"/>
    </row>
    <row r="1277">
      <c r="A1277" s="56">
        <v>1274.0</v>
      </c>
      <c r="B1277" s="84">
        <v>4488.0</v>
      </c>
      <c r="C1277" s="140">
        <v>1291.0</v>
      </c>
      <c r="D1277" s="142"/>
      <c r="E1277" s="84" t="s">
        <v>5085</v>
      </c>
      <c r="F1277" s="141">
        <v>41474.0</v>
      </c>
      <c r="G1277" s="84" t="s">
        <v>5086</v>
      </c>
      <c r="H1277" s="142"/>
      <c r="I1277" s="129" t="s">
        <v>5087</v>
      </c>
      <c r="J1277" s="84" t="s">
        <v>5088</v>
      </c>
      <c r="K1277" s="142"/>
      <c r="L1277" s="142"/>
      <c r="M1277" s="142"/>
      <c r="N1277" s="61"/>
      <c r="O1277" s="51"/>
    </row>
    <row r="1278">
      <c r="A1278" s="56">
        <v>1275.0</v>
      </c>
      <c r="B1278" s="84">
        <v>4489.0</v>
      </c>
      <c r="C1278" s="140">
        <v>1292.0</v>
      </c>
      <c r="D1278" s="142"/>
      <c r="E1278" s="84" t="s">
        <v>5089</v>
      </c>
      <c r="F1278" s="141">
        <v>40514.0</v>
      </c>
      <c r="G1278" s="84" t="s">
        <v>5090</v>
      </c>
      <c r="H1278" s="142"/>
      <c r="I1278" s="145" t="s">
        <v>5091</v>
      </c>
      <c r="J1278" s="68" t="s">
        <v>5092</v>
      </c>
      <c r="K1278" s="116"/>
      <c r="L1278" s="116"/>
      <c r="M1278" s="116"/>
      <c r="N1278" s="61"/>
      <c r="O1278" s="51"/>
    </row>
    <row r="1279">
      <c r="A1279" s="56">
        <v>1276.0</v>
      </c>
      <c r="B1279" s="84">
        <v>4491.0</v>
      </c>
      <c r="C1279" s="140">
        <v>1294.0</v>
      </c>
      <c r="D1279" s="84" t="s">
        <v>5093</v>
      </c>
      <c r="E1279" s="84" t="s">
        <v>5094</v>
      </c>
      <c r="F1279" s="141">
        <v>41365.0</v>
      </c>
      <c r="G1279" s="84" t="s">
        <v>5095</v>
      </c>
      <c r="H1279" s="142"/>
      <c r="I1279" s="145" t="s">
        <v>5096</v>
      </c>
      <c r="J1279" s="84" t="s">
        <v>5097</v>
      </c>
      <c r="K1279" s="142"/>
      <c r="L1279" s="142"/>
      <c r="M1279" s="142"/>
      <c r="N1279" s="61"/>
      <c r="O1279" s="51"/>
    </row>
    <row r="1280">
      <c r="A1280" s="56">
        <v>1277.0</v>
      </c>
      <c r="B1280" s="84">
        <v>4492.0</v>
      </c>
      <c r="C1280" s="140">
        <v>1295.0</v>
      </c>
      <c r="D1280" s="84" t="s">
        <v>5098</v>
      </c>
      <c r="E1280" s="84" t="s">
        <v>5099</v>
      </c>
      <c r="F1280" s="141">
        <v>40723.0</v>
      </c>
      <c r="G1280" s="84" t="s">
        <v>5100</v>
      </c>
      <c r="H1280" s="142"/>
      <c r="I1280" s="145" t="s">
        <v>5101</v>
      </c>
      <c r="J1280" s="84" t="s">
        <v>5102</v>
      </c>
      <c r="K1280" s="142"/>
      <c r="L1280" s="142"/>
      <c r="M1280" s="142"/>
      <c r="N1280" s="61"/>
      <c r="O1280" s="51"/>
    </row>
    <row r="1281">
      <c r="A1281" s="56">
        <v>1278.0</v>
      </c>
      <c r="B1281" s="147">
        <v>4493.0</v>
      </c>
      <c r="C1281" s="148">
        <v>1296.0</v>
      </c>
      <c r="D1281" s="147" t="s">
        <v>5103</v>
      </c>
      <c r="E1281" s="147" t="s">
        <v>5104</v>
      </c>
      <c r="F1281" s="151">
        <v>41473.0</v>
      </c>
      <c r="G1281" s="147" t="s">
        <v>5105</v>
      </c>
      <c r="H1281" s="150"/>
      <c r="I1281" s="155"/>
      <c r="J1281" s="147" t="s">
        <v>136</v>
      </c>
      <c r="K1281" s="150"/>
      <c r="L1281" s="150"/>
      <c r="M1281" s="150"/>
      <c r="N1281" s="61"/>
      <c r="O1281" s="51"/>
    </row>
    <row r="1282">
      <c r="A1282" s="56">
        <v>1279.0</v>
      </c>
      <c r="B1282" s="147">
        <v>4494.0</v>
      </c>
      <c r="C1282" s="148">
        <v>1297.0</v>
      </c>
      <c r="D1282" s="147" t="s">
        <v>5106</v>
      </c>
      <c r="E1282" s="147" t="s">
        <v>5107</v>
      </c>
      <c r="F1282" s="151">
        <v>40077.0</v>
      </c>
      <c r="G1282" s="147" t="s">
        <v>5108</v>
      </c>
      <c r="H1282" s="150"/>
      <c r="I1282" s="155"/>
      <c r="J1282" s="147" t="s">
        <v>136</v>
      </c>
      <c r="K1282" s="150"/>
      <c r="L1282" s="150"/>
      <c r="M1282" s="150"/>
      <c r="N1282" s="61"/>
      <c r="O1282" s="51"/>
    </row>
    <row r="1283">
      <c r="A1283" s="56">
        <v>1280.0</v>
      </c>
      <c r="B1283" s="147">
        <v>4495.0</v>
      </c>
      <c r="C1283" s="148">
        <v>1298.0</v>
      </c>
      <c r="D1283" s="147" t="s">
        <v>5109</v>
      </c>
      <c r="E1283" s="147" t="s">
        <v>5110</v>
      </c>
      <c r="F1283" s="151">
        <v>39995.0</v>
      </c>
      <c r="G1283" s="147" t="s">
        <v>5111</v>
      </c>
      <c r="H1283" s="150"/>
      <c r="I1283" s="145" t="s">
        <v>5112</v>
      </c>
      <c r="J1283" s="147" t="s">
        <v>1971</v>
      </c>
      <c r="K1283" s="150"/>
      <c r="L1283" s="150"/>
      <c r="M1283" s="147" t="s">
        <v>530</v>
      </c>
      <c r="N1283" s="61"/>
      <c r="O1283" s="51"/>
    </row>
    <row r="1284">
      <c r="A1284" s="56">
        <v>1281.0</v>
      </c>
      <c r="B1284" s="68">
        <v>4496.0</v>
      </c>
      <c r="C1284" s="69">
        <v>1299.0</v>
      </c>
      <c r="D1284" s="68" t="s">
        <v>5113</v>
      </c>
      <c r="E1284" s="68" t="s">
        <v>5114</v>
      </c>
      <c r="F1284" s="76">
        <v>41091.0</v>
      </c>
      <c r="G1284" s="68" t="s">
        <v>5115</v>
      </c>
      <c r="H1284" s="71"/>
      <c r="I1284" s="159"/>
      <c r="J1284" s="68" t="s">
        <v>5116</v>
      </c>
      <c r="K1284" s="71"/>
      <c r="L1284" s="71"/>
      <c r="M1284" s="71"/>
      <c r="N1284" s="61"/>
      <c r="O1284" s="51"/>
    </row>
    <row r="1285">
      <c r="A1285" s="56">
        <v>1282.0</v>
      </c>
      <c r="B1285" s="68">
        <v>4497.0</v>
      </c>
      <c r="C1285" s="69">
        <v>1300.0</v>
      </c>
      <c r="D1285" s="71"/>
      <c r="E1285" s="68" t="s">
        <v>5117</v>
      </c>
      <c r="F1285" s="76">
        <v>41449.0</v>
      </c>
      <c r="G1285" s="68" t="s">
        <v>5118</v>
      </c>
      <c r="H1285" s="71"/>
      <c r="I1285" s="159"/>
      <c r="J1285" s="68" t="s">
        <v>5119</v>
      </c>
      <c r="K1285" s="71"/>
      <c r="L1285" s="71"/>
      <c r="M1285" s="71"/>
      <c r="N1285" s="61"/>
      <c r="O1285" s="51"/>
    </row>
    <row r="1286">
      <c r="A1286" s="56">
        <v>1283.0</v>
      </c>
      <c r="B1286" s="68">
        <v>4498.0</v>
      </c>
      <c r="C1286" s="69">
        <v>1301.0</v>
      </c>
      <c r="D1286" s="68" t="s">
        <v>5120</v>
      </c>
      <c r="E1286" s="68" t="s">
        <v>5121</v>
      </c>
      <c r="F1286" s="76">
        <v>39995.0</v>
      </c>
      <c r="G1286" s="68" t="s">
        <v>5122</v>
      </c>
      <c r="H1286" s="71"/>
      <c r="I1286" s="99" t="s">
        <v>5123</v>
      </c>
      <c r="J1286" s="68" t="s">
        <v>841</v>
      </c>
      <c r="K1286" s="71"/>
      <c r="L1286" s="71"/>
      <c r="M1286" s="104"/>
      <c r="N1286" s="105"/>
      <c r="O1286" s="51"/>
    </row>
    <row r="1287">
      <c r="A1287" s="56">
        <v>1284.0</v>
      </c>
      <c r="B1287" s="63">
        <v>4499.0</v>
      </c>
      <c r="C1287" s="64">
        <v>1302.0</v>
      </c>
      <c r="D1287" s="63" t="s">
        <v>5124</v>
      </c>
      <c r="E1287" s="63" t="s">
        <v>5125</v>
      </c>
      <c r="F1287" s="76">
        <v>39995.0</v>
      </c>
      <c r="G1287" s="63" t="s">
        <v>5126</v>
      </c>
      <c r="H1287" s="66"/>
      <c r="I1287" s="99" t="s">
        <v>5127</v>
      </c>
      <c r="J1287" s="63" t="s">
        <v>1971</v>
      </c>
      <c r="K1287" s="66"/>
      <c r="L1287" s="66"/>
      <c r="M1287" s="74" t="s">
        <v>530</v>
      </c>
      <c r="N1287" s="61"/>
      <c r="O1287" s="51"/>
    </row>
    <row r="1288">
      <c r="A1288" s="56">
        <v>1285.0</v>
      </c>
      <c r="B1288" s="63">
        <v>4500.0</v>
      </c>
      <c r="C1288" s="64">
        <v>1303.0</v>
      </c>
      <c r="D1288" s="63" t="s">
        <v>5124</v>
      </c>
      <c r="E1288" s="63" t="s">
        <v>5128</v>
      </c>
      <c r="F1288" s="76">
        <v>39995.0</v>
      </c>
      <c r="G1288" s="63" t="s">
        <v>5126</v>
      </c>
      <c r="H1288" s="66"/>
      <c r="I1288" s="99" t="s">
        <v>5127</v>
      </c>
      <c r="J1288" s="63" t="s">
        <v>1971</v>
      </c>
      <c r="K1288" s="66"/>
      <c r="L1288" s="66"/>
      <c r="M1288" s="63" t="s">
        <v>530</v>
      </c>
      <c r="N1288" s="61"/>
      <c r="O1288" s="51"/>
    </row>
    <row r="1289">
      <c r="A1289" s="56">
        <v>1286.0</v>
      </c>
      <c r="B1289" s="68">
        <v>4501.0</v>
      </c>
      <c r="C1289" s="69">
        <v>1304.0</v>
      </c>
      <c r="D1289" s="71"/>
      <c r="E1289" s="68" t="s">
        <v>5129</v>
      </c>
      <c r="F1289" s="76">
        <v>41161.0</v>
      </c>
      <c r="G1289" s="68" t="s">
        <v>5130</v>
      </c>
      <c r="H1289" s="71"/>
      <c r="I1289" s="99" t="s">
        <v>5131</v>
      </c>
      <c r="J1289" s="68" t="s">
        <v>2675</v>
      </c>
      <c r="K1289" s="71"/>
      <c r="L1289" s="71"/>
      <c r="M1289" s="104"/>
      <c r="N1289" s="105"/>
      <c r="O1289" s="51"/>
    </row>
    <row r="1290">
      <c r="A1290" s="56">
        <v>1287.0</v>
      </c>
      <c r="B1290" s="68">
        <v>4502.0</v>
      </c>
      <c r="C1290" s="69">
        <v>1305.0</v>
      </c>
      <c r="D1290" s="71"/>
      <c r="E1290" s="68" t="s">
        <v>5132</v>
      </c>
      <c r="F1290" s="76">
        <v>41376.0</v>
      </c>
      <c r="G1290" s="68" t="s">
        <v>5133</v>
      </c>
      <c r="H1290" s="71"/>
      <c r="I1290" s="160"/>
      <c r="J1290" s="68" t="s">
        <v>5134</v>
      </c>
      <c r="K1290" s="71"/>
      <c r="L1290" s="71"/>
      <c r="M1290" s="111"/>
      <c r="N1290" s="61"/>
      <c r="O1290" s="51"/>
    </row>
    <row r="1291">
      <c r="A1291" s="56">
        <v>1288.0</v>
      </c>
      <c r="B1291" s="68">
        <v>4503.0</v>
      </c>
      <c r="C1291" s="69">
        <v>1306.0</v>
      </c>
      <c r="D1291" s="71"/>
      <c r="E1291" s="68" t="s">
        <v>5135</v>
      </c>
      <c r="F1291" s="76">
        <v>41367.0</v>
      </c>
      <c r="G1291" s="68" t="s">
        <v>5136</v>
      </c>
      <c r="H1291" s="71"/>
      <c r="I1291" s="114" t="s">
        <v>5137</v>
      </c>
      <c r="J1291" s="68" t="s">
        <v>5138</v>
      </c>
      <c r="K1291" s="71"/>
      <c r="L1291" s="71"/>
      <c r="M1291" s="68" t="s">
        <v>27</v>
      </c>
      <c r="N1291" s="61"/>
      <c r="O1291" s="51"/>
    </row>
    <row r="1292">
      <c r="A1292" s="56">
        <v>1289.0</v>
      </c>
      <c r="B1292" s="68">
        <v>4504.0</v>
      </c>
      <c r="C1292" s="69">
        <v>1307.0</v>
      </c>
      <c r="D1292" s="71"/>
      <c r="E1292" s="68" t="s">
        <v>5139</v>
      </c>
      <c r="F1292" s="76">
        <v>41161.0</v>
      </c>
      <c r="G1292" s="68" t="s">
        <v>5140</v>
      </c>
      <c r="H1292" s="71"/>
      <c r="I1292" s="99" t="s">
        <v>5141</v>
      </c>
      <c r="J1292" s="68" t="s">
        <v>5142</v>
      </c>
      <c r="K1292" s="71"/>
      <c r="L1292" s="71"/>
      <c r="M1292" s="71"/>
      <c r="N1292" s="61"/>
      <c r="O1292" s="51"/>
    </row>
    <row r="1293">
      <c r="A1293" s="56">
        <v>1290.0</v>
      </c>
      <c r="B1293" s="68">
        <v>4505.0</v>
      </c>
      <c r="C1293" s="69">
        <v>1308.0</v>
      </c>
      <c r="D1293" s="71"/>
      <c r="E1293" s="68" t="s">
        <v>5143</v>
      </c>
      <c r="F1293" s="76">
        <v>41492.0</v>
      </c>
      <c r="G1293" s="68" t="s">
        <v>5144</v>
      </c>
      <c r="H1293" s="71"/>
      <c r="I1293" s="99" t="s">
        <v>5145</v>
      </c>
      <c r="J1293" s="68" t="s">
        <v>5146</v>
      </c>
      <c r="K1293" s="71"/>
      <c r="L1293" s="71"/>
      <c r="M1293" s="71"/>
      <c r="N1293" s="61"/>
      <c r="O1293" s="51"/>
    </row>
    <row r="1294">
      <c r="A1294" s="56">
        <v>1291.0</v>
      </c>
      <c r="B1294" s="63">
        <v>4506.0</v>
      </c>
      <c r="C1294" s="64" t="s">
        <v>5147</v>
      </c>
      <c r="D1294" s="66"/>
      <c r="E1294" s="63" t="s">
        <v>5148</v>
      </c>
      <c r="F1294" s="70">
        <v>40551.0</v>
      </c>
      <c r="G1294" s="63" t="s">
        <v>5149</v>
      </c>
      <c r="H1294" s="66"/>
      <c r="I1294" s="99" t="s">
        <v>5150</v>
      </c>
      <c r="J1294" s="63" t="s">
        <v>3362</v>
      </c>
      <c r="K1294" s="66"/>
      <c r="L1294" s="66"/>
      <c r="M1294" s="63" t="s">
        <v>2989</v>
      </c>
      <c r="N1294" s="61"/>
      <c r="O1294" s="51"/>
    </row>
    <row r="1295">
      <c r="A1295" s="56">
        <v>1292.0</v>
      </c>
      <c r="B1295" s="68">
        <v>4507.0</v>
      </c>
      <c r="C1295" s="69">
        <v>1310.0</v>
      </c>
      <c r="D1295" s="68" t="s">
        <v>5151</v>
      </c>
      <c r="E1295" s="68" t="s">
        <v>5152</v>
      </c>
      <c r="F1295" s="68" t="s">
        <v>407</v>
      </c>
      <c r="G1295" s="68" t="s">
        <v>5153</v>
      </c>
      <c r="H1295" s="71"/>
      <c r="I1295" s="99" t="s">
        <v>5154</v>
      </c>
      <c r="J1295" s="68" t="s">
        <v>5155</v>
      </c>
      <c r="K1295" s="71"/>
      <c r="L1295" s="71"/>
      <c r="M1295" s="71"/>
      <c r="N1295" s="61"/>
      <c r="O1295" s="51"/>
    </row>
    <row r="1296">
      <c r="A1296" s="56">
        <v>1293.0</v>
      </c>
      <c r="B1296" s="68">
        <v>4508.0</v>
      </c>
      <c r="C1296" s="69">
        <v>1311.0</v>
      </c>
      <c r="D1296" s="71"/>
      <c r="E1296" s="68" t="s">
        <v>5156</v>
      </c>
      <c r="F1296" s="76">
        <v>41335.0</v>
      </c>
      <c r="G1296" s="68" t="s">
        <v>5157</v>
      </c>
      <c r="H1296" s="71"/>
      <c r="I1296" s="132" t="s">
        <v>5158</v>
      </c>
      <c r="J1296" s="68" t="s">
        <v>5159</v>
      </c>
      <c r="K1296" s="71"/>
      <c r="L1296" s="71"/>
      <c r="M1296" s="71"/>
      <c r="N1296" s="61"/>
      <c r="O1296" s="51"/>
    </row>
    <row r="1297">
      <c r="A1297" s="56">
        <v>1294.0</v>
      </c>
      <c r="B1297" s="63">
        <v>4509.0</v>
      </c>
      <c r="C1297" s="79">
        <v>1312.0</v>
      </c>
      <c r="D1297" s="63" t="s">
        <v>5160</v>
      </c>
      <c r="E1297" s="63" t="s">
        <v>5161</v>
      </c>
      <c r="F1297" s="70">
        <v>40057.0</v>
      </c>
      <c r="G1297" s="63" t="s">
        <v>5162</v>
      </c>
      <c r="H1297" s="63" t="s">
        <v>5163</v>
      </c>
      <c r="I1297" s="99" t="s">
        <v>5164</v>
      </c>
      <c r="J1297" s="63" t="s">
        <v>1971</v>
      </c>
      <c r="K1297" s="66"/>
      <c r="L1297" s="66"/>
      <c r="M1297" s="63" t="s">
        <v>530</v>
      </c>
      <c r="N1297" s="61"/>
      <c r="O1297" s="51"/>
    </row>
    <row r="1298">
      <c r="A1298" s="75">
        <v>1295.0</v>
      </c>
      <c r="B1298" s="68">
        <v>4510.0</v>
      </c>
      <c r="C1298" s="69">
        <v>1313.0</v>
      </c>
      <c r="D1298" s="71"/>
      <c r="E1298" s="68" t="s">
        <v>5165</v>
      </c>
      <c r="F1298" s="76">
        <v>41437.0</v>
      </c>
      <c r="G1298" s="68" t="s">
        <v>5166</v>
      </c>
      <c r="H1298" s="71"/>
      <c r="I1298" s="114" t="s">
        <v>5167</v>
      </c>
      <c r="J1298" s="68" t="s">
        <v>5168</v>
      </c>
      <c r="K1298" s="71"/>
      <c r="L1298" s="71"/>
      <c r="M1298" s="68" t="s">
        <v>31</v>
      </c>
      <c r="N1298" s="77"/>
      <c r="O1298" s="51"/>
    </row>
    <row r="1299">
      <c r="A1299" s="56">
        <v>1296.0</v>
      </c>
      <c r="B1299" s="68">
        <v>4511.0</v>
      </c>
      <c r="C1299" s="69">
        <v>1314.0</v>
      </c>
      <c r="D1299" s="71"/>
      <c r="E1299" s="68" t="s">
        <v>5169</v>
      </c>
      <c r="F1299" s="76">
        <v>41419.0</v>
      </c>
      <c r="G1299" s="68" t="s">
        <v>5170</v>
      </c>
      <c r="H1299" s="71"/>
      <c r="I1299" s="114" t="s">
        <v>5171</v>
      </c>
      <c r="J1299" s="68" t="s">
        <v>5172</v>
      </c>
      <c r="K1299" s="71"/>
      <c r="L1299" s="71"/>
      <c r="M1299" s="71"/>
      <c r="N1299" s="61"/>
      <c r="O1299" s="51"/>
    </row>
    <row r="1300">
      <c r="A1300" s="56">
        <v>1297.0</v>
      </c>
      <c r="B1300" s="68">
        <v>4512.0</v>
      </c>
      <c r="C1300" s="69">
        <v>1315.0</v>
      </c>
      <c r="D1300" s="71"/>
      <c r="E1300" s="68" t="s">
        <v>5173</v>
      </c>
      <c r="F1300" s="76">
        <v>41451.0</v>
      </c>
      <c r="G1300" s="68" t="s">
        <v>5174</v>
      </c>
      <c r="H1300" s="71"/>
      <c r="I1300" s="99" t="s">
        <v>5175</v>
      </c>
      <c r="J1300" s="68" t="s">
        <v>5176</v>
      </c>
      <c r="K1300" s="71"/>
      <c r="L1300" s="71"/>
      <c r="M1300" s="71"/>
      <c r="N1300" s="61"/>
      <c r="O1300" s="51"/>
    </row>
    <row r="1301">
      <c r="A1301" s="56">
        <v>1298.0</v>
      </c>
      <c r="B1301" s="68">
        <v>4513.0</v>
      </c>
      <c r="C1301" s="69">
        <v>1316.0</v>
      </c>
      <c r="D1301" s="71"/>
      <c r="E1301" s="68" t="s">
        <v>5177</v>
      </c>
      <c r="F1301" s="76">
        <v>40725.0</v>
      </c>
      <c r="G1301" s="68" t="s">
        <v>5178</v>
      </c>
      <c r="H1301" s="71"/>
      <c r="I1301" s="99" t="s">
        <v>5179</v>
      </c>
      <c r="J1301" s="68" t="s">
        <v>5180</v>
      </c>
      <c r="K1301" s="71"/>
      <c r="L1301" s="71"/>
      <c r="M1301" s="68" t="s">
        <v>143</v>
      </c>
      <c r="N1301" s="61"/>
      <c r="O1301" s="51"/>
    </row>
    <row r="1302">
      <c r="A1302" s="56">
        <v>1299.0</v>
      </c>
      <c r="B1302" s="68">
        <v>4514.0</v>
      </c>
      <c r="C1302" s="69" t="s">
        <v>5181</v>
      </c>
      <c r="D1302" s="71"/>
      <c r="E1302" s="68" t="s">
        <v>5182</v>
      </c>
      <c r="F1302" s="76">
        <v>41451.0</v>
      </c>
      <c r="G1302" s="68" t="s">
        <v>5183</v>
      </c>
      <c r="H1302" s="71"/>
      <c r="I1302" s="132" t="s">
        <v>5184</v>
      </c>
      <c r="J1302" s="68" t="s">
        <v>5185</v>
      </c>
      <c r="K1302" s="71"/>
      <c r="L1302" s="68" t="s">
        <v>1496</v>
      </c>
      <c r="M1302" s="71"/>
      <c r="N1302" s="61"/>
      <c r="O1302" s="51"/>
    </row>
    <row r="1303">
      <c r="A1303" s="56">
        <v>1300.0</v>
      </c>
      <c r="B1303" s="68">
        <v>4515.0</v>
      </c>
      <c r="C1303" s="69">
        <v>1318.0</v>
      </c>
      <c r="D1303" s="71"/>
      <c r="E1303" s="68" t="s">
        <v>5186</v>
      </c>
      <c r="F1303" s="76">
        <v>41369.0</v>
      </c>
      <c r="G1303" s="68" t="s">
        <v>5187</v>
      </c>
      <c r="H1303" s="71"/>
      <c r="I1303" s="114" t="s">
        <v>635</v>
      </c>
      <c r="J1303" s="68" t="s">
        <v>5188</v>
      </c>
      <c r="K1303" s="71"/>
      <c r="L1303" s="71"/>
      <c r="M1303" s="71"/>
      <c r="N1303" s="77"/>
      <c r="O1303" s="51"/>
    </row>
    <row r="1304">
      <c r="A1304" s="56">
        <v>1301.0</v>
      </c>
      <c r="B1304" s="68">
        <v>4516.0</v>
      </c>
      <c r="C1304" s="69">
        <v>1319.0</v>
      </c>
      <c r="D1304" s="71"/>
      <c r="E1304" s="68" t="s">
        <v>5189</v>
      </c>
      <c r="F1304" s="76">
        <v>40853.0</v>
      </c>
      <c r="G1304" s="68" t="s">
        <v>5190</v>
      </c>
      <c r="H1304" s="71"/>
      <c r="I1304" s="132" t="s">
        <v>5191</v>
      </c>
      <c r="J1304" s="68" t="s">
        <v>5192</v>
      </c>
      <c r="K1304" s="71"/>
      <c r="L1304" s="71"/>
      <c r="M1304" s="71"/>
      <c r="N1304" s="61"/>
      <c r="O1304" s="51"/>
    </row>
    <row r="1305">
      <c r="A1305" s="56">
        <v>1302.0</v>
      </c>
      <c r="B1305" s="68">
        <v>4517.0</v>
      </c>
      <c r="C1305" s="69">
        <v>1320.0</v>
      </c>
      <c r="D1305" s="71"/>
      <c r="E1305" s="68" t="s">
        <v>5193</v>
      </c>
      <c r="F1305" s="76">
        <v>41516.0</v>
      </c>
      <c r="G1305" s="68" t="s">
        <v>5194</v>
      </c>
      <c r="H1305" s="71"/>
      <c r="I1305" s="71"/>
      <c r="J1305" s="68" t="s">
        <v>5195</v>
      </c>
      <c r="K1305" s="71"/>
      <c r="L1305" s="71"/>
      <c r="M1305" s="71"/>
      <c r="N1305" s="61"/>
      <c r="O1305" s="51"/>
    </row>
    <row r="1306">
      <c r="A1306" s="56">
        <v>1303.0</v>
      </c>
      <c r="B1306" s="68">
        <v>4518.0</v>
      </c>
      <c r="C1306" s="69">
        <v>1321.0</v>
      </c>
      <c r="D1306" s="71"/>
      <c r="E1306" s="68" t="s">
        <v>5196</v>
      </c>
      <c r="F1306" s="76">
        <v>41364.0</v>
      </c>
      <c r="G1306" s="68" t="s">
        <v>5197</v>
      </c>
      <c r="H1306" s="71"/>
      <c r="I1306" s="132" t="s">
        <v>5198</v>
      </c>
      <c r="J1306" s="68" t="s">
        <v>5199</v>
      </c>
      <c r="K1306" s="71"/>
      <c r="L1306" s="71"/>
      <c r="M1306" s="71"/>
      <c r="N1306" s="61"/>
      <c r="O1306" s="51"/>
    </row>
    <row r="1307">
      <c r="A1307" s="56">
        <v>1304.0</v>
      </c>
      <c r="B1307" s="68">
        <v>4519.0</v>
      </c>
      <c r="C1307" s="69">
        <v>1322.0</v>
      </c>
      <c r="D1307" s="71"/>
      <c r="E1307" s="68" t="s">
        <v>5200</v>
      </c>
      <c r="F1307" s="76">
        <v>41447.0</v>
      </c>
      <c r="G1307" s="68" t="s">
        <v>5201</v>
      </c>
      <c r="H1307" s="71"/>
      <c r="I1307" s="132" t="s">
        <v>5202</v>
      </c>
      <c r="J1307" s="161" t="s">
        <v>5203</v>
      </c>
      <c r="K1307" s="133"/>
      <c r="L1307" s="133"/>
      <c r="M1307" s="133"/>
      <c r="N1307" s="61"/>
      <c r="O1307" s="51"/>
    </row>
    <row r="1308">
      <c r="A1308" s="56">
        <v>1305.0</v>
      </c>
      <c r="B1308" s="68">
        <v>4520.0</v>
      </c>
      <c r="C1308" s="69">
        <v>1323.0</v>
      </c>
      <c r="D1308" s="71"/>
      <c r="E1308" s="68" t="s">
        <v>5204</v>
      </c>
      <c r="F1308" s="76">
        <v>41348.0</v>
      </c>
      <c r="G1308" s="68" t="s">
        <v>5205</v>
      </c>
      <c r="H1308" s="71"/>
      <c r="I1308" s="114" t="s">
        <v>5206</v>
      </c>
      <c r="J1308" s="114" t="s">
        <v>5207</v>
      </c>
      <c r="K1308" s="71"/>
      <c r="L1308" s="71"/>
      <c r="M1308" s="71"/>
      <c r="N1308" s="77"/>
      <c r="O1308" s="51"/>
    </row>
    <row r="1309">
      <c r="A1309" s="56">
        <v>1306.0</v>
      </c>
      <c r="B1309" s="68">
        <v>4521.0</v>
      </c>
      <c r="C1309" s="69">
        <v>1324.0</v>
      </c>
      <c r="D1309" s="71"/>
      <c r="E1309" s="68" t="s">
        <v>5208</v>
      </c>
      <c r="F1309" s="83">
        <v>40464.0</v>
      </c>
      <c r="G1309" s="68" t="s">
        <v>5209</v>
      </c>
      <c r="H1309" s="71"/>
      <c r="I1309" s="132" t="s">
        <v>635</v>
      </c>
      <c r="J1309" s="87" t="s">
        <v>5210</v>
      </c>
      <c r="K1309" s="116"/>
      <c r="L1309" s="116"/>
      <c r="M1309" s="116"/>
      <c r="N1309" s="61"/>
      <c r="O1309" s="51"/>
    </row>
    <row r="1310">
      <c r="A1310" s="56">
        <v>1307.0</v>
      </c>
      <c r="B1310" s="68">
        <v>4522.0</v>
      </c>
      <c r="C1310" s="69">
        <v>1325.0</v>
      </c>
      <c r="D1310" s="71"/>
      <c r="E1310" s="68" t="s">
        <v>5211</v>
      </c>
      <c r="F1310" s="76">
        <v>41444.0</v>
      </c>
      <c r="G1310" s="68" t="s">
        <v>5212</v>
      </c>
      <c r="H1310" s="71"/>
      <c r="I1310" s="132" t="s">
        <v>635</v>
      </c>
      <c r="J1310" s="161" t="s">
        <v>5213</v>
      </c>
      <c r="K1310" s="133"/>
      <c r="L1310" s="133"/>
      <c r="M1310" s="133"/>
      <c r="N1310" s="61"/>
      <c r="O1310" s="51"/>
    </row>
    <row r="1311">
      <c r="A1311" s="56">
        <v>1308.0</v>
      </c>
      <c r="B1311" s="68">
        <v>4523.0</v>
      </c>
      <c r="C1311" s="69">
        <v>1326.0</v>
      </c>
      <c r="D1311" s="71"/>
      <c r="E1311" s="68" t="s">
        <v>5214</v>
      </c>
      <c r="F1311" s="76">
        <v>41160.0</v>
      </c>
      <c r="G1311" s="68" t="s">
        <v>5215</v>
      </c>
      <c r="H1311" s="71"/>
      <c r="I1311" s="132" t="s">
        <v>5216</v>
      </c>
      <c r="J1311" s="68" t="s">
        <v>5217</v>
      </c>
      <c r="K1311" s="71"/>
      <c r="L1311" s="71"/>
      <c r="M1311" s="71"/>
      <c r="N1311" s="61"/>
      <c r="O1311" s="51"/>
    </row>
    <row r="1312">
      <c r="A1312" s="56">
        <v>1309.0</v>
      </c>
      <c r="B1312" s="68">
        <v>4524.0</v>
      </c>
      <c r="C1312" s="69">
        <v>1327.0</v>
      </c>
      <c r="D1312" s="68" t="s">
        <v>5218</v>
      </c>
      <c r="E1312" s="68" t="s">
        <v>5219</v>
      </c>
      <c r="F1312" s="76">
        <v>41464.0</v>
      </c>
      <c r="G1312" s="68" t="s">
        <v>5220</v>
      </c>
      <c r="H1312" s="71"/>
      <c r="I1312" s="132" t="s">
        <v>5221</v>
      </c>
      <c r="J1312" s="68" t="s">
        <v>5222</v>
      </c>
      <c r="K1312" s="71"/>
      <c r="L1312" s="71"/>
      <c r="M1312" s="104"/>
      <c r="N1312" s="105"/>
      <c r="O1312" s="51"/>
    </row>
    <row r="1313">
      <c r="A1313" s="56">
        <v>1310.0</v>
      </c>
      <c r="B1313" s="68">
        <v>4525.0</v>
      </c>
      <c r="C1313" s="69">
        <v>1328.0</v>
      </c>
      <c r="D1313" s="68" t="s">
        <v>5223</v>
      </c>
      <c r="E1313" s="68" t="s">
        <v>5224</v>
      </c>
      <c r="F1313" s="76">
        <v>41463.0</v>
      </c>
      <c r="G1313" s="68" t="s">
        <v>5225</v>
      </c>
      <c r="H1313" s="71"/>
      <c r="I1313" s="114" t="s">
        <v>5226</v>
      </c>
      <c r="J1313" s="68" t="s">
        <v>5227</v>
      </c>
      <c r="K1313" s="71"/>
      <c r="L1313" s="71"/>
      <c r="M1313" s="128" t="s">
        <v>27</v>
      </c>
      <c r="N1313" s="61"/>
      <c r="O1313" s="51"/>
    </row>
    <row r="1314">
      <c r="A1314" s="56">
        <v>1311.0</v>
      </c>
      <c r="B1314" s="63">
        <v>4526.0</v>
      </c>
      <c r="C1314" s="64">
        <v>1329.0</v>
      </c>
      <c r="D1314" s="63" t="s">
        <v>5228</v>
      </c>
      <c r="E1314" s="63" t="s">
        <v>5229</v>
      </c>
      <c r="F1314" s="70">
        <v>40930.0</v>
      </c>
      <c r="G1314" s="63" t="s">
        <v>5230</v>
      </c>
      <c r="H1314" s="66"/>
      <c r="I1314" s="132" t="s">
        <v>5231</v>
      </c>
      <c r="J1314" s="63" t="s">
        <v>5232</v>
      </c>
      <c r="K1314" s="66"/>
      <c r="L1314" s="66"/>
      <c r="M1314" s="63" t="s">
        <v>1910</v>
      </c>
      <c r="N1314" s="61"/>
      <c r="O1314" s="51"/>
    </row>
    <row r="1315">
      <c r="A1315" s="56">
        <v>1312.0</v>
      </c>
      <c r="B1315" s="68">
        <v>4527.0</v>
      </c>
      <c r="C1315" s="69">
        <v>1330.0</v>
      </c>
      <c r="D1315" s="71"/>
      <c r="E1315" s="68" t="s">
        <v>5233</v>
      </c>
      <c r="F1315" s="76">
        <v>41519.0</v>
      </c>
      <c r="G1315" s="68" t="s">
        <v>5234</v>
      </c>
      <c r="H1315" s="71"/>
      <c r="I1315" s="162" t="s">
        <v>5235</v>
      </c>
      <c r="J1315" s="68" t="s">
        <v>5236</v>
      </c>
      <c r="K1315" s="71"/>
      <c r="L1315" s="71"/>
      <c r="M1315" s="71"/>
      <c r="N1315" s="61"/>
      <c r="O1315" s="51"/>
    </row>
    <row r="1316">
      <c r="A1316" s="56">
        <v>1313.0</v>
      </c>
      <c r="B1316" s="68">
        <v>4528.0</v>
      </c>
      <c r="C1316" s="69">
        <v>1331.0</v>
      </c>
      <c r="D1316" s="71"/>
      <c r="E1316" s="68" t="s">
        <v>5237</v>
      </c>
      <c r="F1316" s="76">
        <v>41486.0</v>
      </c>
      <c r="G1316" s="68" t="s">
        <v>5238</v>
      </c>
      <c r="H1316" s="71"/>
      <c r="I1316" s="132" t="s">
        <v>5239</v>
      </c>
      <c r="J1316" s="68" t="s">
        <v>5240</v>
      </c>
      <c r="K1316" s="71"/>
      <c r="L1316" s="71"/>
      <c r="M1316" s="71"/>
      <c r="N1316" s="61"/>
      <c r="O1316" s="51"/>
    </row>
    <row r="1317">
      <c r="A1317" s="56">
        <v>1314.0</v>
      </c>
      <c r="B1317" s="68">
        <v>4529.0</v>
      </c>
      <c r="C1317" s="69">
        <v>1332.0</v>
      </c>
      <c r="D1317" s="71"/>
      <c r="E1317" s="68" t="s">
        <v>5241</v>
      </c>
      <c r="F1317" s="76">
        <v>41091.0</v>
      </c>
      <c r="G1317" s="68" t="s">
        <v>5242</v>
      </c>
      <c r="H1317" s="71"/>
      <c r="I1317" s="132" t="s">
        <v>5243</v>
      </c>
      <c r="J1317" s="68" t="s">
        <v>5244</v>
      </c>
      <c r="K1317" s="71"/>
      <c r="L1317" s="71"/>
      <c r="M1317" s="71"/>
      <c r="N1317" s="61"/>
      <c r="O1317" s="51"/>
    </row>
    <row r="1318">
      <c r="A1318" s="56">
        <v>1315.0</v>
      </c>
      <c r="B1318" s="68">
        <v>4530.0</v>
      </c>
      <c r="C1318" s="69">
        <v>1333.0</v>
      </c>
      <c r="D1318" s="71"/>
      <c r="E1318" s="68" t="s">
        <v>5245</v>
      </c>
      <c r="F1318" s="76">
        <v>40925.0</v>
      </c>
      <c r="G1318" s="68" t="s">
        <v>5246</v>
      </c>
      <c r="H1318" s="71"/>
      <c r="I1318" s="132" t="s">
        <v>635</v>
      </c>
      <c r="J1318" s="68" t="s">
        <v>5247</v>
      </c>
      <c r="K1318" s="71"/>
      <c r="L1318" s="71"/>
      <c r="M1318" s="71"/>
      <c r="N1318" s="61"/>
      <c r="O1318" s="51"/>
    </row>
    <row r="1319">
      <c r="A1319" s="56">
        <v>1316.0</v>
      </c>
      <c r="B1319" s="68">
        <v>4531.0</v>
      </c>
      <c r="C1319" s="69">
        <v>1334.0</v>
      </c>
      <c r="D1319" s="71"/>
      <c r="E1319" s="68" t="s">
        <v>5248</v>
      </c>
      <c r="F1319" s="76">
        <v>40452.0</v>
      </c>
      <c r="G1319" s="68" t="s">
        <v>5246</v>
      </c>
      <c r="H1319" s="71"/>
      <c r="I1319" s="63" t="s">
        <v>5249</v>
      </c>
      <c r="J1319" s="68" t="s">
        <v>5247</v>
      </c>
      <c r="K1319" s="71"/>
      <c r="L1319" s="71"/>
      <c r="M1319" s="71"/>
      <c r="N1319" s="61"/>
      <c r="O1319" s="51"/>
    </row>
    <row r="1320">
      <c r="A1320" s="56">
        <v>1317.0</v>
      </c>
      <c r="B1320" s="68">
        <v>4532.0</v>
      </c>
      <c r="C1320" s="69">
        <v>1335.0</v>
      </c>
      <c r="D1320" s="68" t="s">
        <v>5250</v>
      </c>
      <c r="E1320" s="68" t="s">
        <v>5251</v>
      </c>
      <c r="F1320" s="76">
        <v>41086.0</v>
      </c>
      <c r="G1320" s="68" t="s">
        <v>5252</v>
      </c>
      <c r="H1320" s="71"/>
      <c r="I1320" s="114" t="s">
        <v>5253</v>
      </c>
      <c r="J1320" s="68" t="s">
        <v>5254</v>
      </c>
      <c r="K1320" s="71"/>
      <c r="L1320" s="71"/>
      <c r="M1320" s="71"/>
      <c r="N1320" s="61"/>
      <c r="O1320" s="51"/>
    </row>
    <row r="1321">
      <c r="A1321" s="56">
        <v>1318.0</v>
      </c>
      <c r="B1321" s="68">
        <v>4533.0</v>
      </c>
      <c r="C1321" s="69">
        <v>1336.0</v>
      </c>
      <c r="D1321" s="68" t="s">
        <v>5255</v>
      </c>
      <c r="E1321" s="68" t="s">
        <v>5256</v>
      </c>
      <c r="F1321" s="76">
        <v>41091.0</v>
      </c>
      <c r="G1321" s="68" t="s">
        <v>5257</v>
      </c>
      <c r="H1321" s="71"/>
      <c r="I1321" s="132" t="s">
        <v>635</v>
      </c>
      <c r="J1321" s="68" t="s">
        <v>5258</v>
      </c>
      <c r="K1321" s="71"/>
      <c r="L1321" s="71"/>
      <c r="M1321" s="71"/>
      <c r="N1321" s="61"/>
      <c r="O1321" s="51"/>
    </row>
    <row r="1322">
      <c r="A1322" s="56">
        <v>1319.0</v>
      </c>
      <c r="B1322" s="57">
        <v>4534.0</v>
      </c>
      <c r="C1322" s="58">
        <v>1337.0</v>
      </c>
      <c r="D1322" s="57" t="s">
        <v>5259</v>
      </c>
      <c r="E1322" s="57" t="s">
        <v>5260</v>
      </c>
      <c r="F1322" s="78">
        <v>41239.0</v>
      </c>
      <c r="G1322" s="57" t="s">
        <v>5261</v>
      </c>
      <c r="H1322" s="60"/>
      <c r="I1322" s="132" t="s">
        <v>5262</v>
      </c>
      <c r="J1322" s="57" t="s">
        <v>5263</v>
      </c>
      <c r="K1322" s="60"/>
      <c r="L1322" s="60"/>
      <c r="M1322" s="104"/>
      <c r="N1322" s="105"/>
      <c r="O1322" s="51"/>
    </row>
    <row r="1323">
      <c r="A1323" s="56">
        <v>1320.0</v>
      </c>
      <c r="B1323" s="68">
        <v>4535.0</v>
      </c>
      <c r="C1323" s="69">
        <v>1338.0</v>
      </c>
      <c r="D1323" s="71"/>
      <c r="E1323" s="68" t="s">
        <v>5264</v>
      </c>
      <c r="F1323" s="76">
        <v>41531.0</v>
      </c>
      <c r="G1323" s="68" t="s">
        <v>5265</v>
      </c>
      <c r="H1323" s="71"/>
      <c r="I1323" s="132" t="s">
        <v>5266</v>
      </c>
      <c r="J1323" s="68" t="s">
        <v>5267</v>
      </c>
      <c r="K1323" s="71"/>
      <c r="L1323" s="71"/>
      <c r="M1323" s="111"/>
      <c r="N1323" s="61"/>
      <c r="O1323" s="51"/>
    </row>
    <row r="1324">
      <c r="A1324" s="56">
        <v>1321.0</v>
      </c>
      <c r="B1324" s="68">
        <v>4536.0</v>
      </c>
      <c r="C1324" s="69">
        <v>1339.0</v>
      </c>
      <c r="D1324" s="71"/>
      <c r="E1324" s="68" t="s">
        <v>5268</v>
      </c>
      <c r="F1324" s="83">
        <v>41225.0</v>
      </c>
      <c r="G1324" s="68" t="s">
        <v>5269</v>
      </c>
      <c r="H1324" s="71"/>
      <c r="I1324" s="132" t="s">
        <v>5270</v>
      </c>
      <c r="J1324" s="68" t="s">
        <v>5271</v>
      </c>
      <c r="K1324" s="71"/>
      <c r="L1324" s="71"/>
      <c r="M1324" s="71"/>
      <c r="N1324" s="61"/>
      <c r="O1324" s="51"/>
    </row>
    <row r="1325">
      <c r="A1325" s="56">
        <v>1322.0</v>
      </c>
      <c r="B1325" s="63">
        <v>4537.0</v>
      </c>
      <c r="C1325" s="64">
        <v>1340.0</v>
      </c>
      <c r="D1325" s="63" t="s">
        <v>5272</v>
      </c>
      <c r="E1325" s="63" t="s">
        <v>5273</v>
      </c>
      <c r="F1325" s="70">
        <v>40011.0</v>
      </c>
      <c r="G1325" s="63" t="s">
        <v>5274</v>
      </c>
      <c r="H1325" s="66"/>
      <c r="I1325" s="132" t="s">
        <v>5275</v>
      </c>
      <c r="J1325" s="63" t="s">
        <v>1971</v>
      </c>
      <c r="K1325" s="66"/>
      <c r="L1325" s="66"/>
      <c r="M1325" s="63" t="s">
        <v>530</v>
      </c>
      <c r="N1325" s="61"/>
      <c r="O1325" s="51"/>
    </row>
    <row r="1326">
      <c r="A1326" s="56">
        <v>1323.0</v>
      </c>
      <c r="B1326" s="68">
        <v>4538.0</v>
      </c>
      <c r="C1326" s="69">
        <v>1341.0</v>
      </c>
      <c r="D1326" s="71"/>
      <c r="E1326" s="68" t="s">
        <v>5276</v>
      </c>
      <c r="F1326" s="76">
        <v>41523.0</v>
      </c>
      <c r="G1326" s="68" t="s">
        <v>5277</v>
      </c>
      <c r="H1326" s="71"/>
      <c r="I1326" s="114" t="s">
        <v>5278</v>
      </c>
      <c r="J1326" s="68" t="s">
        <v>2675</v>
      </c>
      <c r="K1326" s="71"/>
      <c r="L1326" s="68" t="s">
        <v>1496</v>
      </c>
      <c r="M1326" s="71"/>
      <c r="N1326" s="61"/>
      <c r="O1326" s="51"/>
    </row>
    <row r="1327">
      <c r="A1327" s="56">
        <v>1324.0</v>
      </c>
      <c r="B1327" s="68">
        <v>4539.0</v>
      </c>
      <c r="C1327" s="69">
        <v>1342.0</v>
      </c>
      <c r="D1327" s="68" t="s">
        <v>5279</v>
      </c>
      <c r="E1327" s="68" t="s">
        <v>5280</v>
      </c>
      <c r="F1327" s="76">
        <v>41452.0</v>
      </c>
      <c r="G1327" s="68" t="s">
        <v>5281</v>
      </c>
      <c r="H1327" s="71"/>
      <c r="I1327" s="132" t="s">
        <v>635</v>
      </c>
      <c r="J1327" s="68" t="s">
        <v>5282</v>
      </c>
      <c r="K1327" s="71"/>
      <c r="L1327" s="71"/>
      <c r="M1327" s="71"/>
      <c r="N1327" s="61"/>
      <c r="O1327" s="51"/>
    </row>
    <row r="1328">
      <c r="A1328" s="56">
        <v>1325.0</v>
      </c>
      <c r="B1328" s="68">
        <v>4540.0</v>
      </c>
      <c r="C1328" s="69">
        <v>1343.0</v>
      </c>
      <c r="D1328" s="68" t="s">
        <v>5283</v>
      </c>
      <c r="E1328" s="68" t="s">
        <v>5284</v>
      </c>
      <c r="F1328" s="76">
        <v>39823.0</v>
      </c>
      <c r="G1328" s="68" t="s">
        <v>5285</v>
      </c>
      <c r="H1328" s="71"/>
      <c r="I1328" s="132" t="s">
        <v>5286</v>
      </c>
      <c r="J1328" s="68" t="s">
        <v>5287</v>
      </c>
      <c r="K1328" s="71"/>
      <c r="L1328" s="71"/>
      <c r="M1328" s="71"/>
      <c r="N1328" s="61"/>
      <c r="O1328" s="51"/>
    </row>
    <row r="1329">
      <c r="A1329" s="56">
        <v>1326.0</v>
      </c>
      <c r="B1329" s="63">
        <v>4541.0</v>
      </c>
      <c r="C1329" s="63">
        <v>1344.0</v>
      </c>
      <c r="D1329" s="87" t="s">
        <v>1982</v>
      </c>
      <c r="E1329" s="63" t="s">
        <v>5288</v>
      </c>
      <c r="F1329" s="70">
        <v>40521.0</v>
      </c>
      <c r="G1329" s="63" t="s">
        <v>5289</v>
      </c>
      <c r="H1329" s="66"/>
      <c r="I1329" s="132" t="s">
        <v>5290</v>
      </c>
      <c r="J1329" s="63" t="s">
        <v>1605</v>
      </c>
      <c r="K1329" s="66"/>
      <c r="L1329" s="66"/>
      <c r="M1329" s="63" t="s">
        <v>125</v>
      </c>
      <c r="N1329" s="61"/>
      <c r="O1329" s="51"/>
    </row>
    <row r="1330">
      <c r="A1330" s="56">
        <v>1327.0</v>
      </c>
      <c r="B1330" s="68">
        <v>4542.0</v>
      </c>
      <c r="C1330" s="69">
        <v>1345.0</v>
      </c>
      <c r="D1330" s="68" t="s">
        <v>5291</v>
      </c>
      <c r="E1330" s="68" t="s">
        <v>5292</v>
      </c>
      <c r="F1330" s="76">
        <v>41353.0</v>
      </c>
      <c r="G1330" s="68" t="s">
        <v>5293</v>
      </c>
      <c r="H1330" s="71"/>
      <c r="I1330" s="132" t="s">
        <v>5294</v>
      </c>
      <c r="J1330" s="68" t="s">
        <v>5295</v>
      </c>
      <c r="K1330" s="71"/>
      <c r="L1330" s="71"/>
      <c r="M1330" s="71"/>
      <c r="N1330" s="61"/>
      <c r="O1330" s="51"/>
    </row>
    <row r="1331">
      <c r="A1331" s="56">
        <v>1328.0</v>
      </c>
      <c r="B1331" s="68">
        <v>4543.0</v>
      </c>
      <c r="C1331" s="69">
        <v>1346.0</v>
      </c>
      <c r="D1331" s="71"/>
      <c r="E1331" s="68" t="s">
        <v>5296</v>
      </c>
      <c r="F1331" s="76">
        <v>41278.0</v>
      </c>
      <c r="G1331" s="68" t="s">
        <v>5297</v>
      </c>
      <c r="H1331" s="71"/>
      <c r="I1331" s="114" t="s">
        <v>5298</v>
      </c>
      <c r="J1331" s="68" t="s">
        <v>5299</v>
      </c>
      <c r="K1331" s="71"/>
      <c r="L1331" s="71"/>
      <c r="M1331" s="71"/>
      <c r="N1331" s="61"/>
      <c r="O1331" s="51"/>
    </row>
    <row r="1332">
      <c r="A1332" s="56">
        <v>1329.0</v>
      </c>
      <c r="B1332" s="68">
        <v>4544.0</v>
      </c>
      <c r="C1332" s="69">
        <v>1347.0</v>
      </c>
      <c r="D1332" s="71"/>
      <c r="E1332" s="68" t="s">
        <v>5300</v>
      </c>
      <c r="F1332" s="76">
        <v>41418.0</v>
      </c>
      <c r="G1332" s="68" t="s">
        <v>5301</v>
      </c>
      <c r="H1332" s="71"/>
      <c r="I1332" s="114" t="s">
        <v>5302</v>
      </c>
      <c r="J1332" s="68" t="s">
        <v>5303</v>
      </c>
      <c r="K1332" s="71"/>
      <c r="L1332" s="71"/>
      <c r="M1332" s="71"/>
      <c r="N1332" s="61"/>
      <c r="O1332" s="51"/>
    </row>
    <row r="1333">
      <c r="A1333" s="56">
        <v>1330.0</v>
      </c>
      <c r="B1333" s="63">
        <v>4545.0</v>
      </c>
      <c r="C1333" s="64">
        <v>1348.0</v>
      </c>
      <c r="D1333" s="66"/>
      <c r="E1333" s="63" t="s">
        <v>5304</v>
      </c>
      <c r="F1333" s="70">
        <v>40332.0</v>
      </c>
      <c r="G1333" s="63" t="s">
        <v>5305</v>
      </c>
      <c r="H1333" s="66"/>
      <c r="I1333" s="132" t="s">
        <v>635</v>
      </c>
      <c r="J1333" s="63" t="s">
        <v>5306</v>
      </c>
      <c r="K1333" s="66"/>
      <c r="L1333" s="66"/>
      <c r="M1333" s="63" t="s">
        <v>195</v>
      </c>
      <c r="N1333" s="61"/>
      <c r="O1333" s="51"/>
    </row>
    <row r="1334">
      <c r="A1334" s="56">
        <v>1331.0</v>
      </c>
      <c r="B1334" s="68">
        <v>4546.0</v>
      </c>
      <c r="C1334" s="69">
        <v>1349.0</v>
      </c>
      <c r="D1334" s="71"/>
      <c r="E1334" s="68" t="s">
        <v>5307</v>
      </c>
      <c r="F1334" s="76">
        <v>39953.0</v>
      </c>
      <c r="G1334" s="68" t="s">
        <v>5308</v>
      </c>
      <c r="H1334" s="71"/>
      <c r="I1334" s="132" t="s">
        <v>5309</v>
      </c>
      <c r="J1334" s="68" t="s">
        <v>5310</v>
      </c>
      <c r="K1334" s="71"/>
      <c r="L1334" s="71"/>
      <c r="M1334" s="71"/>
      <c r="N1334" s="61"/>
      <c r="O1334" s="51"/>
    </row>
    <row r="1335">
      <c r="A1335" s="56">
        <v>1332.0</v>
      </c>
      <c r="B1335" s="68">
        <v>4547.0</v>
      </c>
      <c r="C1335" s="69">
        <v>1350.0</v>
      </c>
      <c r="D1335" s="71"/>
      <c r="E1335" s="68" t="s">
        <v>5311</v>
      </c>
      <c r="F1335" s="76">
        <v>39912.0</v>
      </c>
      <c r="G1335" s="68" t="s">
        <v>5312</v>
      </c>
      <c r="H1335" s="71"/>
      <c r="I1335" s="132" t="s">
        <v>635</v>
      </c>
      <c r="J1335" s="68" t="s">
        <v>5313</v>
      </c>
      <c r="K1335" s="71"/>
      <c r="L1335" s="68" t="s">
        <v>1496</v>
      </c>
      <c r="M1335" s="68" t="s">
        <v>872</v>
      </c>
      <c r="N1335" s="61"/>
      <c r="O1335" s="51"/>
    </row>
    <row r="1336">
      <c r="A1336" s="56">
        <v>1333.0</v>
      </c>
      <c r="B1336" s="68">
        <v>4548.0</v>
      </c>
      <c r="C1336" s="69" t="s">
        <v>5314</v>
      </c>
      <c r="D1336" s="71"/>
      <c r="E1336" s="68" t="s">
        <v>5315</v>
      </c>
      <c r="F1336" s="76">
        <v>39912.0</v>
      </c>
      <c r="G1336" s="68" t="s">
        <v>5312</v>
      </c>
      <c r="H1336" s="71"/>
      <c r="I1336" s="132" t="s">
        <v>635</v>
      </c>
      <c r="J1336" s="68" t="s">
        <v>5313</v>
      </c>
      <c r="K1336" s="71"/>
      <c r="L1336" s="68" t="s">
        <v>1496</v>
      </c>
      <c r="M1336" s="68" t="s">
        <v>872</v>
      </c>
      <c r="N1336" s="61"/>
      <c r="O1336" s="51"/>
    </row>
    <row r="1337">
      <c r="A1337" s="56">
        <v>1334.0</v>
      </c>
      <c r="B1337" s="68">
        <v>4549.0</v>
      </c>
      <c r="C1337" s="69">
        <v>1352.0</v>
      </c>
      <c r="D1337" s="71"/>
      <c r="E1337" s="68" t="s">
        <v>5316</v>
      </c>
      <c r="F1337" s="76">
        <v>39912.0</v>
      </c>
      <c r="G1337" s="68" t="s">
        <v>5312</v>
      </c>
      <c r="H1337" s="71"/>
      <c r="I1337" s="132" t="s">
        <v>635</v>
      </c>
      <c r="J1337" s="68" t="s">
        <v>5313</v>
      </c>
      <c r="K1337" s="71"/>
      <c r="L1337" s="71"/>
      <c r="M1337" s="71"/>
      <c r="N1337" s="61"/>
      <c r="O1337" s="51"/>
    </row>
    <row r="1338">
      <c r="A1338" s="56">
        <v>1335.0</v>
      </c>
      <c r="B1338" s="68">
        <v>4550.0</v>
      </c>
      <c r="C1338" s="69">
        <v>1353.0</v>
      </c>
      <c r="D1338" s="71"/>
      <c r="E1338" s="68" t="s">
        <v>5317</v>
      </c>
      <c r="F1338" s="76">
        <v>40605.0</v>
      </c>
      <c r="G1338" s="68" t="s">
        <v>5318</v>
      </c>
      <c r="H1338" s="71"/>
      <c r="I1338" s="132" t="s">
        <v>635</v>
      </c>
      <c r="J1338" s="68" t="s">
        <v>5319</v>
      </c>
      <c r="K1338" s="71"/>
      <c r="L1338" s="71"/>
      <c r="M1338" s="71"/>
      <c r="N1338" s="61"/>
      <c r="O1338" s="51"/>
    </row>
    <row r="1339">
      <c r="A1339" s="56">
        <v>1336.0</v>
      </c>
      <c r="B1339" s="68">
        <v>4551.0</v>
      </c>
      <c r="C1339" s="69">
        <v>1354.0</v>
      </c>
      <c r="D1339" s="71"/>
      <c r="E1339" s="68" t="s">
        <v>5320</v>
      </c>
      <c r="F1339" s="76">
        <v>40605.0</v>
      </c>
      <c r="G1339" s="68" t="s">
        <v>5321</v>
      </c>
      <c r="H1339" s="71"/>
      <c r="I1339" s="86" t="s">
        <v>635</v>
      </c>
      <c r="J1339" s="68" t="s">
        <v>5322</v>
      </c>
      <c r="K1339" s="71"/>
      <c r="L1339" s="71"/>
      <c r="M1339" s="71"/>
      <c r="N1339" s="61"/>
      <c r="O1339" s="51"/>
    </row>
    <row r="1340">
      <c r="A1340" s="56">
        <v>1337.0</v>
      </c>
      <c r="B1340" s="68">
        <v>4552.0</v>
      </c>
      <c r="C1340" s="69">
        <v>1355.0</v>
      </c>
      <c r="D1340" s="71"/>
      <c r="E1340" s="68" t="s">
        <v>5323</v>
      </c>
      <c r="F1340" s="76">
        <v>40605.0</v>
      </c>
      <c r="G1340" s="68" t="s">
        <v>5318</v>
      </c>
      <c r="H1340" s="71"/>
      <c r="I1340" s="132" t="s">
        <v>635</v>
      </c>
      <c r="J1340" s="68" t="s">
        <v>5324</v>
      </c>
      <c r="K1340" s="71"/>
      <c r="L1340" s="71"/>
      <c r="M1340" s="71"/>
      <c r="N1340" s="61"/>
      <c r="O1340" s="51"/>
    </row>
    <row r="1341">
      <c r="A1341" s="56">
        <v>1338.0</v>
      </c>
      <c r="B1341" s="63">
        <v>4553.0</v>
      </c>
      <c r="C1341" s="64">
        <v>1356.0</v>
      </c>
      <c r="D1341" s="66"/>
      <c r="E1341" s="63" t="s">
        <v>5325</v>
      </c>
      <c r="F1341" s="70">
        <v>40606.0</v>
      </c>
      <c r="G1341" s="63" t="s">
        <v>5318</v>
      </c>
      <c r="H1341" s="66"/>
      <c r="I1341" s="132" t="s">
        <v>5326</v>
      </c>
      <c r="J1341" s="63" t="s">
        <v>136</v>
      </c>
      <c r="K1341" s="66"/>
      <c r="L1341" s="66"/>
      <c r="M1341" s="66"/>
      <c r="N1341" s="61"/>
      <c r="O1341" s="51"/>
    </row>
    <row r="1342">
      <c r="A1342" s="56">
        <v>1339.0</v>
      </c>
      <c r="B1342" s="68">
        <v>4554.0</v>
      </c>
      <c r="C1342" s="69">
        <v>1357.0</v>
      </c>
      <c r="D1342" s="71"/>
      <c r="E1342" s="68" t="s">
        <v>5327</v>
      </c>
      <c r="F1342" s="76">
        <v>39852.0</v>
      </c>
      <c r="G1342" s="68" t="s">
        <v>5328</v>
      </c>
      <c r="H1342" s="71"/>
      <c r="I1342" s="132" t="s">
        <v>635</v>
      </c>
      <c r="J1342" s="68" t="s">
        <v>5329</v>
      </c>
      <c r="K1342" s="71"/>
      <c r="L1342" s="71"/>
      <c r="M1342" s="71"/>
      <c r="N1342" s="61"/>
      <c r="O1342" s="51"/>
    </row>
    <row r="1343">
      <c r="A1343" s="56">
        <v>1340.0</v>
      </c>
      <c r="B1343" s="68">
        <v>4555.0</v>
      </c>
      <c r="C1343" s="69">
        <v>1358.0</v>
      </c>
      <c r="D1343" s="71"/>
      <c r="E1343" s="68" t="s">
        <v>5330</v>
      </c>
      <c r="F1343" s="76">
        <v>41281.0</v>
      </c>
      <c r="G1343" s="68" t="s">
        <v>5331</v>
      </c>
      <c r="H1343" s="71"/>
      <c r="I1343" s="132" t="s">
        <v>5332</v>
      </c>
      <c r="J1343" s="68" t="s">
        <v>5333</v>
      </c>
      <c r="K1343" s="71"/>
      <c r="L1343" s="71"/>
      <c r="M1343" s="71"/>
      <c r="N1343" s="61"/>
      <c r="O1343" s="51"/>
    </row>
    <row r="1344">
      <c r="A1344" s="163">
        <v>1341.0</v>
      </c>
      <c r="B1344" s="80">
        <v>4556.0</v>
      </c>
      <c r="C1344" s="79">
        <v>1359.0</v>
      </c>
      <c r="D1344" s="82"/>
      <c r="E1344" s="132" t="s">
        <v>5334</v>
      </c>
      <c r="F1344" s="164">
        <v>40307.0</v>
      </c>
      <c r="G1344" s="132" t="s">
        <v>5335</v>
      </c>
      <c r="H1344" s="82"/>
      <c r="I1344" s="132" t="s">
        <v>5336</v>
      </c>
      <c r="J1344" s="132" t="s">
        <v>2355</v>
      </c>
      <c r="K1344" s="82"/>
      <c r="L1344" s="82"/>
      <c r="M1344" s="82"/>
      <c r="N1344" s="82"/>
      <c r="O1344" s="51"/>
    </row>
    <row r="1345">
      <c r="A1345" s="56">
        <v>1342.0</v>
      </c>
      <c r="B1345" s="68">
        <v>4557.0</v>
      </c>
      <c r="C1345" s="69">
        <v>1360.0</v>
      </c>
      <c r="D1345" s="71"/>
      <c r="E1345" s="68" t="s">
        <v>5337</v>
      </c>
      <c r="F1345" s="76">
        <v>41483.0</v>
      </c>
      <c r="G1345" s="68" t="s">
        <v>5338</v>
      </c>
      <c r="H1345" s="71"/>
      <c r="I1345" s="132" t="s">
        <v>5339</v>
      </c>
      <c r="J1345" s="68" t="s">
        <v>5340</v>
      </c>
      <c r="K1345" s="71"/>
      <c r="L1345" s="71"/>
      <c r="M1345" s="71"/>
      <c r="N1345" s="61"/>
      <c r="O1345" s="51"/>
    </row>
    <row r="1346">
      <c r="A1346" s="56">
        <v>1343.0</v>
      </c>
      <c r="B1346" s="68">
        <v>4558.0</v>
      </c>
      <c r="C1346" s="69">
        <v>1361.0</v>
      </c>
      <c r="D1346" s="71"/>
      <c r="E1346" s="68" t="s">
        <v>5341</v>
      </c>
      <c r="F1346" s="76">
        <v>41438.0</v>
      </c>
      <c r="G1346" s="68" t="s">
        <v>5342</v>
      </c>
      <c r="H1346" s="71"/>
      <c r="I1346" s="132" t="s">
        <v>5343</v>
      </c>
      <c r="J1346" s="68" t="s">
        <v>1883</v>
      </c>
      <c r="K1346" s="71"/>
      <c r="L1346" s="71"/>
      <c r="M1346" s="71"/>
      <c r="N1346" s="61"/>
      <c r="O1346" s="51"/>
    </row>
    <row r="1347">
      <c r="A1347" s="56">
        <v>1344.0</v>
      </c>
      <c r="B1347" s="68">
        <v>4559.0</v>
      </c>
      <c r="C1347" s="69">
        <v>1362.0</v>
      </c>
      <c r="D1347" s="71"/>
      <c r="E1347" s="68" t="s">
        <v>5344</v>
      </c>
      <c r="F1347" s="76">
        <v>39544.0</v>
      </c>
      <c r="G1347" s="68" t="s">
        <v>5345</v>
      </c>
      <c r="H1347" s="71"/>
      <c r="I1347" s="132" t="s">
        <v>5346</v>
      </c>
      <c r="J1347" s="68" t="s">
        <v>2675</v>
      </c>
      <c r="K1347" s="71"/>
      <c r="L1347" s="71"/>
      <c r="M1347" s="71"/>
      <c r="N1347" s="61"/>
      <c r="O1347" s="51"/>
    </row>
    <row r="1348">
      <c r="A1348" s="56">
        <v>1345.0</v>
      </c>
      <c r="B1348" s="68">
        <v>4560.0</v>
      </c>
      <c r="C1348" s="69">
        <v>1363.0</v>
      </c>
      <c r="D1348" s="71"/>
      <c r="E1348" s="68" t="s">
        <v>5347</v>
      </c>
      <c r="F1348" s="76">
        <v>41379.0</v>
      </c>
      <c r="G1348" s="68" t="s">
        <v>5348</v>
      </c>
      <c r="H1348" s="71"/>
      <c r="I1348" s="132" t="s">
        <v>5349</v>
      </c>
      <c r="J1348" s="68" t="s">
        <v>5350</v>
      </c>
      <c r="K1348" s="71"/>
      <c r="L1348" s="71"/>
      <c r="M1348" s="71"/>
      <c r="N1348" s="61"/>
      <c r="O1348" s="51"/>
    </row>
    <row r="1349">
      <c r="A1349" s="56">
        <v>1346.0</v>
      </c>
      <c r="B1349" s="68">
        <v>4561.0</v>
      </c>
      <c r="C1349" s="69">
        <v>1364.0</v>
      </c>
      <c r="D1349" s="71"/>
      <c r="E1349" s="68" t="s">
        <v>5351</v>
      </c>
      <c r="F1349" s="76">
        <v>41021.0</v>
      </c>
      <c r="G1349" s="68" t="s">
        <v>5352</v>
      </c>
      <c r="H1349" s="71"/>
      <c r="I1349" s="132" t="s">
        <v>5353</v>
      </c>
      <c r="J1349" s="68" t="s">
        <v>5354</v>
      </c>
      <c r="K1349" s="71"/>
      <c r="L1349" s="71"/>
      <c r="M1349" s="71"/>
      <c r="N1349" s="61"/>
      <c r="O1349" s="51"/>
    </row>
    <row r="1350">
      <c r="A1350" s="56">
        <v>1347.0</v>
      </c>
      <c r="B1350" s="68">
        <v>4562.0</v>
      </c>
      <c r="C1350" s="69">
        <v>1365.0</v>
      </c>
      <c r="D1350" s="71"/>
      <c r="E1350" s="68" t="s">
        <v>5355</v>
      </c>
      <c r="F1350" s="76">
        <v>41021.0</v>
      </c>
      <c r="G1350" s="68" t="s">
        <v>5356</v>
      </c>
      <c r="H1350" s="71"/>
      <c r="I1350" s="71"/>
      <c r="J1350" s="68" t="s">
        <v>5354</v>
      </c>
      <c r="K1350" s="71"/>
      <c r="L1350" s="71"/>
      <c r="M1350" s="68" t="s">
        <v>27</v>
      </c>
      <c r="N1350" s="61"/>
      <c r="O1350" s="51"/>
    </row>
    <row r="1351">
      <c r="A1351" s="56">
        <v>1348.0</v>
      </c>
      <c r="B1351" s="68">
        <v>4563.0</v>
      </c>
      <c r="C1351" s="69">
        <v>1366.0</v>
      </c>
      <c r="D1351" s="71"/>
      <c r="E1351" s="68" t="s">
        <v>5357</v>
      </c>
      <c r="F1351" s="76">
        <v>41146.0</v>
      </c>
      <c r="G1351" s="68" t="s">
        <v>5358</v>
      </c>
      <c r="H1351" s="71"/>
      <c r="I1351" s="132" t="s">
        <v>5359</v>
      </c>
      <c r="J1351" s="68" t="s">
        <v>5360</v>
      </c>
      <c r="K1351" s="71"/>
      <c r="L1351" s="71"/>
      <c r="M1351" s="68" t="s">
        <v>27</v>
      </c>
      <c r="N1351" s="61"/>
      <c r="O1351" s="51"/>
    </row>
    <row r="1352">
      <c r="A1352" s="56">
        <v>1349.0</v>
      </c>
      <c r="B1352" s="68">
        <v>4564.0</v>
      </c>
      <c r="C1352" s="69">
        <v>1367.0</v>
      </c>
      <c r="D1352" s="71"/>
      <c r="E1352" s="68" t="s">
        <v>5361</v>
      </c>
      <c r="F1352" s="76">
        <v>41030.0</v>
      </c>
      <c r="G1352" s="68" t="s">
        <v>5362</v>
      </c>
      <c r="H1352" s="71"/>
      <c r="I1352" s="114" t="s">
        <v>5363</v>
      </c>
      <c r="J1352" s="68" t="s">
        <v>5364</v>
      </c>
      <c r="K1352" s="71"/>
      <c r="L1352" s="71"/>
      <c r="M1352" s="71"/>
      <c r="N1352" s="61"/>
      <c r="O1352" s="51"/>
    </row>
    <row r="1353">
      <c r="A1353" s="75">
        <v>1350.0</v>
      </c>
      <c r="B1353" s="68">
        <v>4565.0</v>
      </c>
      <c r="C1353" s="69">
        <v>1368.0</v>
      </c>
      <c r="D1353" s="87" t="s">
        <v>5365</v>
      </c>
      <c r="E1353" s="68" t="s">
        <v>5366</v>
      </c>
      <c r="F1353" s="76">
        <v>41324.0</v>
      </c>
      <c r="G1353" s="68" t="s">
        <v>5367</v>
      </c>
      <c r="H1353" s="68" t="s">
        <v>439</v>
      </c>
      <c r="I1353" s="114" t="s">
        <v>5368</v>
      </c>
      <c r="J1353" s="68" t="s">
        <v>5369</v>
      </c>
      <c r="K1353" s="71"/>
      <c r="L1353" s="71"/>
      <c r="M1353" s="68" t="s">
        <v>2152</v>
      </c>
      <c r="N1353" s="77"/>
      <c r="O1353" s="51"/>
    </row>
    <row r="1354">
      <c r="A1354" s="75">
        <v>1351.0</v>
      </c>
      <c r="B1354" s="68">
        <v>4566.0</v>
      </c>
      <c r="C1354" s="69">
        <v>1369.0</v>
      </c>
      <c r="D1354" s="87" t="s">
        <v>5365</v>
      </c>
      <c r="E1354" s="68" t="s">
        <v>5370</v>
      </c>
      <c r="F1354" s="76">
        <v>41324.0</v>
      </c>
      <c r="G1354" s="68" t="s">
        <v>5371</v>
      </c>
      <c r="H1354" s="68" t="s">
        <v>5372</v>
      </c>
      <c r="I1354" s="114" t="s">
        <v>5368</v>
      </c>
      <c r="J1354" s="68" t="s">
        <v>5369</v>
      </c>
      <c r="K1354" s="71"/>
      <c r="L1354" s="71"/>
      <c r="M1354" s="68" t="s">
        <v>2152</v>
      </c>
      <c r="N1354" s="77"/>
      <c r="O1354" s="51"/>
    </row>
    <row r="1355">
      <c r="A1355" s="56">
        <v>1352.0</v>
      </c>
      <c r="B1355" s="68">
        <v>4567.0</v>
      </c>
      <c r="C1355" s="69">
        <v>1370.0</v>
      </c>
      <c r="D1355" s="68" t="s">
        <v>5373</v>
      </c>
      <c r="E1355" s="68" t="s">
        <v>5374</v>
      </c>
      <c r="F1355" s="76">
        <v>39417.0</v>
      </c>
      <c r="G1355" s="68" t="s">
        <v>5375</v>
      </c>
      <c r="H1355" s="71"/>
      <c r="I1355" s="114" t="s">
        <v>5376</v>
      </c>
      <c r="J1355" s="165" t="s">
        <v>5377</v>
      </c>
      <c r="K1355" s="71"/>
      <c r="L1355" s="71"/>
      <c r="M1355" s="68" t="s">
        <v>125</v>
      </c>
      <c r="N1355" s="77"/>
      <c r="O1355" s="51"/>
    </row>
    <row r="1356">
      <c r="A1356" s="56">
        <v>1353.0</v>
      </c>
      <c r="B1356" s="68">
        <v>4568.0</v>
      </c>
      <c r="C1356" s="69">
        <v>1371.0</v>
      </c>
      <c r="D1356" s="71"/>
      <c r="E1356" s="68" t="s">
        <v>5378</v>
      </c>
      <c r="F1356" s="76">
        <v>41345.0</v>
      </c>
      <c r="G1356" s="68" t="s">
        <v>5379</v>
      </c>
      <c r="H1356" s="71"/>
      <c r="I1356" s="71"/>
      <c r="J1356" s="68" t="s">
        <v>5380</v>
      </c>
      <c r="K1356" s="71"/>
      <c r="L1356" s="71"/>
      <c r="M1356" s="71"/>
      <c r="N1356" s="61"/>
      <c r="O1356" s="51"/>
    </row>
    <row r="1357">
      <c r="A1357" s="56">
        <v>1354.0</v>
      </c>
      <c r="B1357" s="68">
        <v>4569.0</v>
      </c>
      <c r="C1357" s="69">
        <v>1372.0</v>
      </c>
      <c r="D1357" s="71"/>
      <c r="E1357" s="68" t="s">
        <v>5381</v>
      </c>
      <c r="F1357" s="76">
        <v>37803.0</v>
      </c>
      <c r="G1357" s="68" t="s">
        <v>5382</v>
      </c>
      <c r="H1357" s="71"/>
      <c r="I1357" s="114" t="s">
        <v>635</v>
      </c>
      <c r="J1357" s="68" t="s">
        <v>5383</v>
      </c>
      <c r="K1357" s="71"/>
      <c r="L1357" s="71"/>
      <c r="M1357" s="71"/>
      <c r="N1357" s="61"/>
      <c r="O1357" s="51"/>
    </row>
    <row r="1358">
      <c r="A1358" s="56">
        <v>1355.0</v>
      </c>
      <c r="B1358" s="68">
        <v>4570.0</v>
      </c>
      <c r="C1358" s="69">
        <v>1373.0</v>
      </c>
      <c r="D1358" s="71"/>
      <c r="E1358" s="68" t="s">
        <v>5384</v>
      </c>
      <c r="F1358" s="76">
        <v>39995.0</v>
      </c>
      <c r="G1358" s="68" t="s">
        <v>5385</v>
      </c>
      <c r="H1358" s="71"/>
      <c r="I1358" s="114" t="s">
        <v>5386</v>
      </c>
      <c r="J1358" s="68" t="s">
        <v>5387</v>
      </c>
      <c r="K1358" s="71"/>
      <c r="L1358" s="71"/>
      <c r="M1358" s="71"/>
      <c r="N1358" s="61"/>
      <c r="O1358" s="51"/>
    </row>
    <row r="1359">
      <c r="A1359" s="56">
        <v>1356.0</v>
      </c>
      <c r="B1359" s="63">
        <v>4571.0</v>
      </c>
      <c r="C1359" s="64" t="s">
        <v>5388</v>
      </c>
      <c r="D1359" s="88" t="s">
        <v>4971</v>
      </c>
      <c r="E1359" s="63" t="s">
        <v>5389</v>
      </c>
      <c r="F1359" s="70">
        <v>41554.0</v>
      </c>
      <c r="G1359" s="63" t="s">
        <v>5390</v>
      </c>
      <c r="H1359" s="66"/>
      <c r="I1359" s="132" t="s">
        <v>5391</v>
      </c>
      <c r="J1359" s="63" t="s">
        <v>4240</v>
      </c>
      <c r="K1359" s="66"/>
      <c r="L1359" s="63" t="s">
        <v>5392</v>
      </c>
      <c r="M1359" s="66"/>
      <c r="N1359" s="61"/>
      <c r="O1359" s="51"/>
    </row>
    <row r="1360">
      <c r="A1360" s="56">
        <v>1357.0</v>
      </c>
      <c r="B1360" s="63">
        <v>4572.0</v>
      </c>
      <c r="C1360" s="64" t="s">
        <v>5393</v>
      </c>
      <c r="D1360" s="88" t="s">
        <v>4971</v>
      </c>
      <c r="E1360" s="63" t="s">
        <v>5394</v>
      </c>
      <c r="F1360" s="70">
        <v>41554.0</v>
      </c>
      <c r="G1360" s="63" t="s">
        <v>5395</v>
      </c>
      <c r="H1360" s="66"/>
      <c r="I1360" s="132" t="s">
        <v>5396</v>
      </c>
      <c r="J1360" s="63" t="s">
        <v>4240</v>
      </c>
      <c r="K1360" s="66"/>
      <c r="L1360" s="63" t="s">
        <v>5397</v>
      </c>
      <c r="M1360" s="66"/>
      <c r="N1360" s="61"/>
      <c r="O1360" s="51"/>
    </row>
    <row r="1361">
      <c r="A1361" s="56">
        <v>1358.0</v>
      </c>
      <c r="B1361" s="63">
        <v>4573.0</v>
      </c>
      <c r="C1361" s="64" t="s">
        <v>5398</v>
      </c>
      <c r="D1361" s="88" t="s">
        <v>4971</v>
      </c>
      <c r="E1361" s="63" t="s">
        <v>5399</v>
      </c>
      <c r="F1361" s="70">
        <v>41554.0</v>
      </c>
      <c r="G1361" s="63" t="s">
        <v>5400</v>
      </c>
      <c r="H1361" s="66"/>
      <c r="I1361" s="132" t="s">
        <v>5396</v>
      </c>
      <c r="J1361" s="63" t="s">
        <v>4240</v>
      </c>
      <c r="K1361" s="66"/>
      <c r="L1361" s="63" t="s">
        <v>5401</v>
      </c>
      <c r="M1361" s="66"/>
      <c r="N1361" s="61"/>
      <c r="O1361" s="51"/>
    </row>
    <row r="1362">
      <c r="A1362" s="56">
        <v>1359.0</v>
      </c>
      <c r="B1362" s="68">
        <v>4574.0</v>
      </c>
      <c r="C1362" s="69">
        <v>1377.0</v>
      </c>
      <c r="D1362" s="116"/>
      <c r="E1362" s="68" t="s">
        <v>5402</v>
      </c>
      <c r="F1362" s="76">
        <v>41455.0</v>
      </c>
      <c r="G1362" s="68" t="s">
        <v>5403</v>
      </c>
      <c r="H1362" s="71"/>
      <c r="I1362" s="132" t="s">
        <v>5404</v>
      </c>
      <c r="J1362" s="68" t="s">
        <v>5405</v>
      </c>
      <c r="K1362" s="71"/>
      <c r="L1362" s="71"/>
      <c r="M1362" s="104"/>
      <c r="N1362" s="105"/>
      <c r="O1362" s="51"/>
    </row>
    <row r="1363">
      <c r="A1363" s="56">
        <v>1360.0</v>
      </c>
      <c r="B1363" s="68">
        <v>4575.0</v>
      </c>
      <c r="C1363" s="69">
        <v>1378.0</v>
      </c>
      <c r="D1363" s="68" t="s">
        <v>5406</v>
      </c>
      <c r="E1363" s="68" t="s">
        <v>5407</v>
      </c>
      <c r="F1363" s="76">
        <v>41456.0</v>
      </c>
      <c r="G1363" s="68" t="s">
        <v>5408</v>
      </c>
      <c r="H1363" s="71"/>
      <c r="I1363" s="114" t="s">
        <v>5409</v>
      </c>
      <c r="J1363" s="68" t="s">
        <v>5410</v>
      </c>
      <c r="K1363" s="71"/>
      <c r="L1363" s="71"/>
      <c r="M1363" s="128" t="s">
        <v>2152</v>
      </c>
      <c r="N1363" s="77"/>
      <c r="O1363" s="51"/>
    </row>
    <row r="1364">
      <c r="A1364" s="56">
        <v>1361.0</v>
      </c>
      <c r="B1364" s="68">
        <v>4576.0</v>
      </c>
      <c r="C1364" s="69">
        <v>1379.0</v>
      </c>
      <c r="D1364" s="68" t="s">
        <v>5411</v>
      </c>
      <c r="E1364" s="68" t="s">
        <v>5412</v>
      </c>
      <c r="F1364" s="76">
        <v>41456.0</v>
      </c>
      <c r="G1364" s="68" t="s">
        <v>5413</v>
      </c>
      <c r="H1364" s="71"/>
      <c r="I1364" s="132" t="s">
        <v>5414</v>
      </c>
      <c r="J1364" s="68" t="s">
        <v>5415</v>
      </c>
      <c r="K1364" s="71"/>
      <c r="L1364" s="71"/>
      <c r="M1364" s="71"/>
      <c r="N1364" s="61"/>
      <c r="O1364" s="51"/>
    </row>
    <row r="1365">
      <c r="A1365" s="56">
        <v>1362.0</v>
      </c>
      <c r="B1365" s="68">
        <v>4577.0</v>
      </c>
      <c r="C1365" s="69">
        <v>1380.0</v>
      </c>
      <c r="D1365" s="68" t="s">
        <v>5406</v>
      </c>
      <c r="E1365" s="68" t="s">
        <v>5416</v>
      </c>
      <c r="F1365" s="76">
        <v>41505.0</v>
      </c>
      <c r="G1365" s="68" t="s">
        <v>5417</v>
      </c>
      <c r="H1365" s="71"/>
      <c r="I1365" s="132" t="s">
        <v>635</v>
      </c>
      <c r="J1365" s="68" t="s">
        <v>5418</v>
      </c>
      <c r="K1365" s="71"/>
      <c r="L1365" s="71"/>
      <c r="M1365" s="71"/>
      <c r="N1365" s="61"/>
      <c r="O1365" s="51"/>
    </row>
    <row r="1366">
      <c r="A1366" s="56">
        <v>1363.0</v>
      </c>
      <c r="B1366" s="68">
        <v>4578.0</v>
      </c>
      <c r="C1366" s="69">
        <v>1381.0</v>
      </c>
      <c r="D1366" s="68" t="s">
        <v>5406</v>
      </c>
      <c r="E1366" s="68" t="s">
        <v>5419</v>
      </c>
      <c r="F1366" s="76">
        <v>41505.0</v>
      </c>
      <c r="G1366" s="68" t="s">
        <v>5420</v>
      </c>
      <c r="H1366" s="71"/>
      <c r="I1366" s="132" t="s">
        <v>635</v>
      </c>
      <c r="J1366" s="68" t="s">
        <v>5418</v>
      </c>
      <c r="K1366" s="71"/>
      <c r="L1366" s="71"/>
      <c r="M1366" s="71"/>
      <c r="N1366" s="61"/>
      <c r="O1366" s="51"/>
    </row>
    <row r="1367">
      <c r="A1367" s="56">
        <v>1364.0</v>
      </c>
      <c r="B1367" s="68">
        <v>4579.0</v>
      </c>
      <c r="C1367" s="69">
        <v>1382.0</v>
      </c>
      <c r="D1367" s="68" t="s">
        <v>5406</v>
      </c>
      <c r="E1367" s="68" t="s">
        <v>5421</v>
      </c>
      <c r="F1367" s="76">
        <v>41505.0</v>
      </c>
      <c r="G1367" s="68" t="s">
        <v>5422</v>
      </c>
      <c r="H1367" s="71"/>
      <c r="I1367" s="132" t="s">
        <v>635</v>
      </c>
      <c r="J1367" s="68" t="s">
        <v>5418</v>
      </c>
      <c r="K1367" s="71"/>
      <c r="L1367" s="71"/>
      <c r="M1367" s="71"/>
      <c r="N1367" s="61"/>
      <c r="O1367" s="51"/>
    </row>
    <row r="1368">
      <c r="A1368" s="56">
        <v>1365.0</v>
      </c>
      <c r="B1368" s="63">
        <v>4580.0</v>
      </c>
      <c r="C1368" s="64">
        <v>1383.0</v>
      </c>
      <c r="D1368" s="66"/>
      <c r="E1368" s="63" t="s">
        <v>5423</v>
      </c>
      <c r="F1368" s="65">
        <v>40461.0</v>
      </c>
      <c r="G1368" s="63" t="s">
        <v>5424</v>
      </c>
      <c r="H1368" s="66"/>
      <c r="I1368" s="132" t="s">
        <v>5425</v>
      </c>
      <c r="J1368" s="63" t="s">
        <v>4240</v>
      </c>
      <c r="K1368" s="66"/>
      <c r="L1368" s="66"/>
      <c r="M1368" s="63" t="s">
        <v>166</v>
      </c>
      <c r="N1368" s="61"/>
      <c r="O1368" s="51"/>
    </row>
    <row r="1369">
      <c r="A1369" s="56">
        <v>1366.0</v>
      </c>
      <c r="B1369" s="68">
        <v>4581.0</v>
      </c>
      <c r="C1369" s="69">
        <v>1384.0</v>
      </c>
      <c r="D1369" s="68" t="s">
        <v>5426</v>
      </c>
      <c r="E1369" s="68" t="s">
        <v>5427</v>
      </c>
      <c r="F1369" s="76">
        <v>40881.0</v>
      </c>
      <c r="G1369" s="68" t="s">
        <v>5428</v>
      </c>
      <c r="H1369" s="71"/>
      <c r="I1369" s="132" t="s">
        <v>635</v>
      </c>
      <c r="J1369" s="68" t="s">
        <v>5429</v>
      </c>
      <c r="K1369" s="71"/>
      <c r="L1369" s="71"/>
      <c r="M1369" s="71"/>
      <c r="N1369" s="61"/>
      <c r="O1369" s="51"/>
    </row>
    <row r="1370">
      <c r="A1370" s="56">
        <v>1367.0</v>
      </c>
      <c r="B1370" s="68">
        <v>4582.0</v>
      </c>
      <c r="C1370" s="69">
        <v>1385.0</v>
      </c>
      <c r="D1370" s="71"/>
      <c r="E1370" s="68" t="s">
        <v>5430</v>
      </c>
      <c r="F1370" s="76">
        <v>41414.0</v>
      </c>
      <c r="G1370" s="68" t="s">
        <v>5431</v>
      </c>
      <c r="H1370" s="71"/>
      <c r="I1370" s="132" t="s">
        <v>5432</v>
      </c>
      <c r="J1370" s="68" t="s">
        <v>5433</v>
      </c>
      <c r="K1370" s="71"/>
      <c r="L1370" s="71"/>
      <c r="M1370" s="71"/>
      <c r="N1370" s="61"/>
      <c r="O1370" s="51"/>
    </row>
    <row r="1371">
      <c r="A1371" s="56">
        <v>1368.0</v>
      </c>
      <c r="B1371" s="68">
        <v>4583.0</v>
      </c>
      <c r="C1371" s="69">
        <v>1386.0</v>
      </c>
      <c r="D1371" s="71"/>
      <c r="E1371" s="68" t="s">
        <v>5434</v>
      </c>
      <c r="F1371" s="76">
        <v>41583.0</v>
      </c>
      <c r="G1371" s="68" t="s">
        <v>5435</v>
      </c>
      <c r="H1371" s="71"/>
      <c r="I1371" s="132" t="s">
        <v>5436</v>
      </c>
      <c r="J1371" s="68" t="s">
        <v>5437</v>
      </c>
      <c r="K1371" s="71"/>
      <c r="L1371" s="71"/>
      <c r="M1371" s="71"/>
      <c r="N1371" s="61"/>
      <c r="O1371" s="51"/>
    </row>
    <row r="1372">
      <c r="A1372" s="56">
        <v>1369.0</v>
      </c>
      <c r="B1372" s="63">
        <v>4584.0</v>
      </c>
      <c r="C1372" s="64">
        <v>1387.0</v>
      </c>
      <c r="D1372" s="66"/>
      <c r="E1372" s="63" t="s">
        <v>5438</v>
      </c>
      <c r="F1372" s="70">
        <v>40800.0</v>
      </c>
      <c r="G1372" s="63" t="s">
        <v>5439</v>
      </c>
      <c r="H1372" s="66"/>
      <c r="I1372" s="132" t="s">
        <v>5440</v>
      </c>
      <c r="J1372" s="63" t="s">
        <v>1762</v>
      </c>
      <c r="K1372" s="66"/>
      <c r="L1372" s="66"/>
      <c r="M1372" s="63" t="s">
        <v>542</v>
      </c>
      <c r="N1372" s="61"/>
      <c r="O1372" s="51"/>
    </row>
    <row r="1373">
      <c r="A1373" s="56">
        <v>1370.0</v>
      </c>
      <c r="B1373" s="68">
        <v>4585.0</v>
      </c>
      <c r="C1373" s="69">
        <v>1388.0</v>
      </c>
      <c r="D1373" s="71"/>
      <c r="E1373" s="68" t="s">
        <v>5441</v>
      </c>
      <c r="F1373" s="76">
        <v>41454.0</v>
      </c>
      <c r="G1373" s="68" t="s">
        <v>5442</v>
      </c>
      <c r="H1373" s="71"/>
      <c r="I1373" s="71"/>
      <c r="J1373" s="68" t="s">
        <v>5443</v>
      </c>
      <c r="K1373" s="71"/>
      <c r="L1373" s="71"/>
      <c r="M1373" s="71"/>
      <c r="N1373" s="61"/>
      <c r="O1373" s="51"/>
    </row>
    <row r="1374">
      <c r="A1374" s="56">
        <v>1371.0</v>
      </c>
      <c r="B1374" s="80">
        <v>4586.0</v>
      </c>
      <c r="C1374" s="79">
        <v>1389.0</v>
      </c>
      <c r="D1374" s="82"/>
      <c r="E1374" s="80" t="s">
        <v>5444</v>
      </c>
      <c r="F1374" s="81">
        <v>41454.0</v>
      </c>
      <c r="G1374" s="80" t="s">
        <v>5442</v>
      </c>
      <c r="H1374" s="82"/>
      <c r="I1374" s="82"/>
      <c r="J1374" s="166"/>
      <c r="K1374" s="167"/>
      <c r="L1374" s="82"/>
      <c r="M1374" s="82"/>
      <c r="N1374" s="61"/>
      <c r="O1374" s="51"/>
    </row>
    <row r="1375">
      <c r="A1375" s="56">
        <v>1372.0</v>
      </c>
      <c r="B1375" s="63">
        <v>4587.0</v>
      </c>
      <c r="C1375" s="64">
        <v>1390.0</v>
      </c>
      <c r="D1375" s="63" t="s">
        <v>5445</v>
      </c>
      <c r="E1375" s="63" t="s">
        <v>5446</v>
      </c>
      <c r="F1375" s="70">
        <v>39995.0</v>
      </c>
      <c r="G1375" s="63" t="s">
        <v>5447</v>
      </c>
      <c r="H1375" s="66"/>
      <c r="I1375" s="132" t="s">
        <v>5448</v>
      </c>
      <c r="J1375" s="74" t="s">
        <v>1971</v>
      </c>
      <c r="K1375" s="66"/>
      <c r="L1375" s="66"/>
      <c r="M1375" s="63" t="s">
        <v>530</v>
      </c>
      <c r="N1375" s="61"/>
      <c r="O1375" s="51"/>
    </row>
    <row r="1376">
      <c r="A1376" s="56">
        <v>1373.0</v>
      </c>
      <c r="B1376" s="68">
        <v>4588.0</v>
      </c>
      <c r="C1376" s="69">
        <v>1391.0</v>
      </c>
      <c r="D1376" s="71"/>
      <c r="E1376" s="68" t="s">
        <v>5449</v>
      </c>
      <c r="F1376" s="76">
        <v>40360.0</v>
      </c>
      <c r="G1376" s="68" t="s">
        <v>5450</v>
      </c>
      <c r="H1376" s="71"/>
      <c r="I1376" s="114" t="s">
        <v>5451</v>
      </c>
      <c r="J1376" s="68" t="s">
        <v>5452</v>
      </c>
      <c r="K1376" s="71"/>
      <c r="L1376" s="71"/>
      <c r="M1376" s="71"/>
      <c r="N1376" s="61"/>
      <c r="O1376" s="51"/>
    </row>
    <row r="1377">
      <c r="A1377" s="56">
        <v>1374.0</v>
      </c>
      <c r="B1377" s="68">
        <v>4589.0</v>
      </c>
      <c r="C1377" s="69">
        <v>1392.0</v>
      </c>
      <c r="D1377" s="71"/>
      <c r="E1377" s="68" t="s">
        <v>5453</v>
      </c>
      <c r="F1377" s="76">
        <v>39995.0</v>
      </c>
      <c r="G1377" s="68" t="s">
        <v>5454</v>
      </c>
      <c r="H1377" s="71"/>
      <c r="I1377" s="132" t="s">
        <v>5455</v>
      </c>
      <c r="J1377" s="68" t="s">
        <v>1971</v>
      </c>
      <c r="K1377" s="71"/>
      <c r="L1377" s="71"/>
      <c r="M1377" s="68" t="s">
        <v>137</v>
      </c>
      <c r="N1377" s="61"/>
      <c r="O1377" s="51"/>
    </row>
    <row r="1378">
      <c r="A1378" s="56">
        <v>1375.0</v>
      </c>
      <c r="B1378" s="68">
        <v>4590.0</v>
      </c>
      <c r="C1378" s="69">
        <v>1393.0</v>
      </c>
      <c r="D1378" s="68" t="s">
        <v>5456</v>
      </c>
      <c r="E1378" s="68" t="s">
        <v>5457</v>
      </c>
      <c r="F1378" s="76">
        <v>40301.0</v>
      </c>
      <c r="G1378" s="68" t="s">
        <v>5458</v>
      </c>
      <c r="H1378" s="71"/>
      <c r="I1378" s="114" t="s">
        <v>5459</v>
      </c>
      <c r="J1378" s="68" t="s">
        <v>5460</v>
      </c>
      <c r="K1378" s="71"/>
      <c r="L1378" s="71"/>
      <c r="M1378" s="71"/>
      <c r="N1378" s="61"/>
      <c r="O1378" s="51"/>
    </row>
    <row r="1379">
      <c r="A1379" s="56">
        <v>1376.0</v>
      </c>
      <c r="B1379" s="68">
        <v>4591.0</v>
      </c>
      <c r="C1379" s="69">
        <v>1394.0</v>
      </c>
      <c r="D1379" s="68" t="s">
        <v>5461</v>
      </c>
      <c r="E1379" s="68" t="s">
        <v>5462</v>
      </c>
      <c r="F1379" s="76">
        <v>40151.0</v>
      </c>
      <c r="G1379" s="68" t="s">
        <v>5463</v>
      </c>
      <c r="H1379" s="71"/>
      <c r="I1379" s="114" t="s">
        <v>635</v>
      </c>
      <c r="J1379" s="68" t="s">
        <v>5464</v>
      </c>
      <c r="K1379" s="71"/>
      <c r="L1379" s="71"/>
      <c r="M1379" s="71"/>
      <c r="N1379" s="61"/>
      <c r="O1379" s="51"/>
    </row>
    <row r="1380">
      <c r="A1380" s="56">
        <v>1377.0</v>
      </c>
      <c r="B1380" s="68">
        <v>4592.0</v>
      </c>
      <c r="C1380" s="69">
        <v>1395.0</v>
      </c>
      <c r="D1380" s="68" t="s">
        <v>5465</v>
      </c>
      <c r="E1380" s="68" t="s">
        <v>5466</v>
      </c>
      <c r="F1380" s="76">
        <v>41344.0</v>
      </c>
      <c r="G1380" s="68" t="s">
        <v>5467</v>
      </c>
      <c r="H1380" s="71"/>
      <c r="I1380" s="114" t="s">
        <v>5468</v>
      </c>
      <c r="J1380" s="68" t="s">
        <v>5469</v>
      </c>
      <c r="K1380" s="71"/>
      <c r="L1380" s="71"/>
      <c r="M1380" s="71"/>
      <c r="N1380" s="61"/>
      <c r="O1380" s="51"/>
    </row>
    <row r="1381">
      <c r="A1381" s="56">
        <v>1378.0</v>
      </c>
      <c r="B1381" s="68">
        <v>4593.0</v>
      </c>
      <c r="C1381" s="69">
        <v>1396.0</v>
      </c>
      <c r="D1381" s="68" t="s">
        <v>5470</v>
      </c>
      <c r="E1381" s="68" t="s">
        <v>5471</v>
      </c>
      <c r="F1381" s="76">
        <v>41519.0</v>
      </c>
      <c r="G1381" s="68" t="s">
        <v>5472</v>
      </c>
      <c r="H1381" s="71"/>
      <c r="I1381" s="132" t="s">
        <v>5473</v>
      </c>
      <c r="J1381" s="68" t="s">
        <v>5474</v>
      </c>
      <c r="K1381" s="71"/>
      <c r="L1381" s="71"/>
      <c r="M1381" s="71"/>
      <c r="N1381" s="61"/>
      <c r="O1381" s="51"/>
    </row>
    <row r="1382">
      <c r="A1382" s="56">
        <v>1379.0</v>
      </c>
      <c r="B1382" s="68">
        <v>4594.0</v>
      </c>
      <c r="C1382" s="69">
        <v>1397.0</v>
      </c>
      <c r="D1382" s="68" t="s">
        <v>5475</v>
      </c>
      <c r="E1382" s="68" t="s">
        <v>5476</v>
      </c>
      <c r="F1382" s="76">
        <v>41416.0</v>
      </c>
      <c r="G1382" s="68" t="s">
        <v>5477</v>
      </c>
      <c r="H1382" s="71"/>
      <c r="I1382" s="132" t="s">
        <v>5478</v>
      </c>
      <c r="J1382" s="68" t="s">
        <v>5479</v>
      </c>
      <c r="K1382" s="71"/>
      <c r="L1382" s="71"/>
      <c r="M1382" s="104"/>
      <c r="N1382" s="105"/>
      <c r="O1382" s="51"/>
    </row>
    <row r="1383">
      <c r="A1383" s="56">
        <v>1380.0</v>
      </c>
      <c r="B1383" s="68">
        <v>4595.0</v>
      </c>
      <c r="C1383" s="69">
        <v>1398.0</v>
      </c>
      <c r="D1383" s="71"/>
      <c r="E1383" s="68" t="s">
        <v>5480</v>
      </c>
      <c r="F1383" s="83">
        <v>41589.0</v>
      </c>
      <c r="G1383" s="68" t="s">
        <v>5481</v>
      </c>
      <c r="H1383" s="71"/>
      <c r="I1383" s="114" t="s">
        <v>635</v>
      </c>
      <c r="J1383" s="68" t="s">
        <v>5482</v>
      </c>
      <c r="K1383" s="71"/>
      <c r="L1383" s="71"/>
      <c r="M1383" s="111"/>
      <c r="N1383" s="61"/>
      <c r="O1383" s="51"/>
    </row>
    <row r="1384">
      <c r="A1384" s="56">
        <v>1381.0</v>
      </c>
      <c r="B1384" s="68">
        <v>4596.0</v>
      </c>
      <c r="C1384" s="69">
        <v>1399.0</v>
      </c>
      <c r="D1384" s="71"/>
      <c r="E1384" s="68" t="s">
        <v>5483</v>
      </c>
      <c r="F1384" s="76">
        <v>41392.0</v>
      </c>
      <c r="G1384" s="68" t="s">
        <v>5484</v>
      </c>
      <c r="H1384" s="71"/>
      <c r="I1384" s="82"/>
      <c r="J1384" s="68" t="s">
        <v>5485</v>
      </c>
      <c r="K1384" s="71"/>
      <c r="L1384" s="71"/>
      <c r="M1384" s="71"/>
      <c r="N1384" s="61"/>
      <c r="O1384" s="51"/>
    </row>
    <row r="1385">
      <c r="A1385" s="56">
        <v>1382.0</v>
      </c>
      <c r="B1385" s="68">
        <v>4597.0</v>
      </c>
      <c r="C1385" s="69">
        <v>1400.0</v>
      </c>
      <c r="D1385" s="71"/>
      <c r="E1385" s="68" t="s">
        <v>5486</v>
      </c>
      <c r="F1385" s="76">
        <v>41520.0</v>
      </c>
      <c r="G1385" s="68" t="s">
        <v>5487</v>
      </c>
      <c r="H1385" s="71"/>
      <c r="I1385" s="132" t="s">
        <v>5488</v>
      </c>
      <c r="J1385" s="68" t="s">
        <v>5489</v>
      </c>
      <c r="K1385" s="71"/>
      <c r="L1385" s="71"/>
      <c r="M1385" s="68" t="s">
        <v>149</v>
      </c>
      <c r="N1385" s="61"/>
      <c r="O1385" s="51"/>
    </row>
    <row r="1386">
      <c r="A1386" s="56">
        <v>1383.0</v>
      </c>
      <c r="B1386" s="68">
        <v>4598.0</v>
      </c>
      <c r="C1386" s="69">
        <v>1401.0</v>
      </c>
      <c r="D1386" s="71"/>
      <c r="E1386" s="68" t="s">
        <v>5490</v>
      </c>
      <c r="F1386" s="76">
        <v>41546.0</v>
      </c>
      <c r="G1386" s="68" t="s">
        <v>5491</v>
      </c>
      <c r="H1386" s="71"/>
      <c r="I1386" s="132" t="s">
        <v>5492</v>
      </c>
      <c r="J1386" s="68" t="s">
        <v>5493</v>
      </c>
      <c r="K1386" s="71"/>
      <c r="L1386" s="71"/>
      <c r="M1386" s="71"/>
      <c r="N1386" s="61"/>
      <c r="O1386" s="51"/>
    </row>
    <row r="1387">
      <c r="A1387" s="56">
        <v>1384.0</v>
      </c>
      <c r="B1387" s="68">
        <v>4599.0</v>
      </c>
      <c r="C1387" s="69">
        <v>1402.0</v>
      </c>
      <c r="D1387" s="71"/>
      <c r="E1387" s="68" t="s">
        <v>5494</v>
      </c>
      <c r="F1387" s="76">
        <v>41546.0</v>
      </c>
      <c r="G1387" s="68" t="s">
        <v>5491</v>
      </c>
      <c r="H1387" s="71"/>
      <c r="I1387" s="132" t="s">
        <v>5492</v>
      </c>
      <c r="J1387" s="68" t="s">
        <v>5493</v>
      </c>
      <c r="K1387" s="71"/>
      <c r="L1387" s="71"/>
      <c r="M1387" s="71"/>
      <c r="N1387" s="61"/>
      <c r="O1387" s="51"/>
    </row>
    <row r="1388">
      <c r="A1388" s="56">
        <v>1385.0</v>
      </c>
      <c r="B1388" s="68">
        <v>4600.0</v>
      </c>
      <c r="C1388" s="69">
        <v>1403.0</v>
      </c>
      <c r="D1388" s="71"/>
      <c r="E1388" s="68" t="s">
        <v>5495</v>
      </c>
      <c r="F1388" s="76">
        <v>41546.0</v>
      </c>
      <c r="G1388" s="68" t="s">
        <v>5491</v>
      </c>
      <c r="H1388" s="71"/>
      <c r="I1388" s="132" t="s">
        <v>5492</v>
      </c>
      <c r="J1388" s="68" t="s">
        <v>5493</v>
      </c>
      <c r="K1388" s="71"/>
      <c r="L1388" s="71"/>
      <c r="M1388" s="71"/>
      <c r="N1388" s="61"/>
      <c r="O1388" s="51"/>
    </row>
    <row r="1389">
      <c r="A1389" s="56">
        <v>1386.0</v>
      </c>
      <c r="B1389" s="68">
        <v>4601.0</v>
      </c>
      <c r="C1389" s="69">
        <v>1404.0</v>
      </c>
      <c r="D1389" s="71"/>
      <c r="E1389" s="68" t="s">
        <v>5496</v>
      </c>
      <c r="F1389" s="76">
        <v>41546.0</v>
      </c>
      <c r="G1389" s="68" t="s">
        <v>5491</v>
      </c>
      <c r="H1389" s="71"/>
      <c r="I1389" s="132" t="s">
        <v>5492</v>
      </c>
      <c r="J1389" s="68" t="s">
        <v>5493</v>
      </c>
      <c r="K1389" s="71"/>
      <c r="L1389" s="71"/>
      <c r="M1389" s="71"/>
      <c r="N1389" s="61"/>
      <c r="O1389" s="51"/>
    </row>
    <row r="1390">
      <c r="A1390" s="56">
        <v>1387.0</v>
      </c>
      <c r="B1390" s="68">
        <v>4602.0</v>
      </c>
      <c r="C1390" s="69">
        <v>1405.0</v>
      </c>
      <c r="D1390" s="71"/>
      <c r="E1390" s="68" t="s">
        <v>5497</v>
      </c>
      <c r="F1390" s="76">
        <v>41546.0</v>
      </c>
      <c r="G1390" s="68" t="s">
        <v>5491</v>
      </c>
      <c r="H1390" s="71"/>
      <c r="I1390" s="132" t="s">
        <v>5498</v>
      </c>
      <c r="J1390" s="68" t="s">
        <v>5499</v>
      </c>
      <c r="K1390" s="71"/>
      <c r="L1390" s="71"/>
      <c r="M1390" s="68" t="s">
        <v>125</v>
      </c>
      <c r="N1390" s="61"/>
      <c r="O1390" s="51"/>
    </row>
    <row r="1391">
      <c r="A1391" s="56">
        <v>1388.0</v>
      </c>
      <c r="B1391" s="68">
        <v>4603.0</v>
      </c>
      <c r="C1391" s="69">
        <v>1406.0</v>
      </c>
      <c r="D1391" s="71"/>
      <c r="E1391" s="68" t="s">
        <v>5500</v>
      </c>
      <c r="F1391" s="76">
        <v>41523.0</v>
      </c>
      <c r="G1391" s="68" t="s">
        <v>5501</v>
      </c>
      <c r="H1391" s="71"/>
      <c r="I1391" s="132" t="s">
        <v>5502</v>
      </c>
      <c r="J1391" s="68" t="s">
        <v>5503</v>
      </c>
      <c r="K1391" s="71"/>
      <c r="L1391" s="71"/>
      <c r="M1391" s="71"/>
      <c r="N1391" s="61"/>
      <c r="O1391" s="51"/>
    </row>
    <row r="1392">
      <c r="A1392" s="56">
        <v>1389.0</v>
      </c>
      <c r="B1392" s="68">
        <v>4604.0</v>
      </c>
      <c r="C1392" s="69">
        <v>1407.0</v>
      </c>
      <c r="D1392" s="71"/>
      <c r="E1392" s="68" t="s">
        <v>5504</v>
      </c>
      <c r="F1392" s="76">
        <v>41523.0</v>
      </c>
      <c r="G1392" s="68" t="s">
        <v>5505</v>
      </c>
      <c r="H1392" s="71"/>
      <c r="I1392" s="114" t="s">
        <v>5502</v>
      </c>
      <c r="J1392" s="68" t="s">
        <v>5506</v>
      </c>
      <c r="K1392" s="71"/>
      <c r="L1392" s="71"/>
      <c r="M1392" s="68" t="s">
        <v>149</v>
      </c>
      <c r="N1392" s="77"/>
      <c r="O1392" s="51"/>
    </row>
    <row r="1393">
      <c r="A1393" s="56">
        <v>1390.0</v>
      </c>
      <c r="B1393" s="68">
        <v>4605.0</v>
      </c>
      <c r="C1393" s="69">
        <v>1408.0</v>
      </c>
      <c r="D1393" s="71"/>
      <c r="E1393" s="68" t="s">
        <v>5507</v>
      </c>
      <c r="F1393" s="76">
        <v>41402.0</v>
      </c>
      <c r="G1393" s="68" t="s">
        <v>5508</v>
      </c>
      <c r="H1393" s="71"/>
      <c r="I1393" s="132" t="s">
        <v>635</v>
      </c>
      <c r="J1393" s="68" t="s">
        <v>5509</v>
      </c>
      <c r="K1393" s="71"/>
      <c r="L1393" s="71"/>
      <c r="M1393" s="66"/>
      <c r="N1393" s="61"/>
      <c r="O1393" s="51"/>
    </row>
    <row r="1394">
      <c r="A1394" s="56">
        <v>1391.0</v>
      </c>
      <c r="B1394" s="68">
        <v>4606.0</v>
      </c>
      <c r="C1394" s="69">
        <v>1409.0</v>
      </c>
      <c r="D1394" s="71"/>
      <c r="E1394" s="68" t="s">
        <v>5510</v>
      </c>
      <c r="F1394" s="76">
        <v>41402.0</v>
      </c>
      <c r="G1394" s="68" t="s">
        <v>5508</v>
      </c>
      <c r="H1394" s="71"/>
      <c r="I1394" s="132" t="s">
        <v>635</v>
      </c>
      <c r="J1394" s="68" t="s">
        <v>5509</v>
      </c>
      <c r="K1394" s="71"/>
      <c r="L1394" s="71"/>
      <c r="M1394" s="71"/>
      <c r="N1394" s="61"/>
      <c r="O1394" s="51"/>
    </row>
    <row r="1395">
      <c r="A1395" s="56">
        <v>1392.0</v>
      </c>
      <c r="B1395" s="68">
        <v>4607.0</v>
      </c>
      <c r="C1395" s="69">
        <v>1410.0</v>
      </c>
      <c r="D1395" s="71"/>
      <c r="E1395" s="68" t="s">
        <v>5511</v>
      </c>
      <c r="F1395" s="76">
        <v>41402.0</v>
      </c>
      <c r="G1395" s="68" t="s">
        <v>5508</v>
      </c>
      <c r="H1395" s="71"/>
      <c r="I1395" s="132" t="s">
        <v>635</v>
      </c>
      <c r="J1395" s="68" t="s">
        <v>5509</v>
      </c>
      <c r="K1395" s="71"/>
      <c r="L1395" s="71"/>
      <c r="M1395" s="71"/>
      <c r="N1395" s="61"/>
      <c r="O1395" s="51"/>
    </row>
    <row r="1396">
      <c r="A1396" s="56">
        <v>1393.0</v>
      </c>
      <c r="B1396" s="63">
        <v>4608.0</v>
      </c>
      <c r="C1396" s="64">
        <v>1411.0</v>
      </c>
      <c r="D1396" s="66"/>
      <c r="E1396" s="63" t="s">
        <v>5512</v>
      </c>
      <c r="F1396" s="70">
        <v>41140.0</v>
      </c>
      <c r="G1396" s="63" t="s">
        <v>5513</v>
      </c>
      <c r="H1396" s="66"/>
      <c r="I1396" s="132" t="s">
        <v>5514</v>
      </c>
      <c r="J1396" s="63" t="s">
        <v>3326</v>
      </c>
      <c r="K1396" s="66"/>
      <c r="L1396" s="66"/>
      <c r="M1396" s="63" t="s">
        <v>3327</v>
      </c>
      <c r="N1396" s="61"/>
      <c r="O1396" s="51"/>
    </row>
    <row r="1397">
      <c r="A1397" s="56">
        <v>1394.0</v>
      </c>
      <c r="B1397" s="57">
        <v>4609.0</v>
      </c>
      <c r="C1397" s="58">
        <v>1412.0</v>
      </c>
      <c r="D1397" s="57" t="s">
        <v>5515</v>
      </c>
      <c r="E1397" s="57" t="s">
        <v>5516</v>
      </c>
      <c r="F1397" s="78">
        <v>41567.0</v>
      </c>
      <c r="G1397" s="57" t="s">
        <v>5517</v>
      </c>
      <c r="H1397" s="60"/>
      <c r="I1397" s="132" t="s">
        <v>635</v>
      </c>
      <c r="J1397" s="57" t="s">
        <v>5518</v>
      </c>
      <c r="K1397" s="60"/>
      <c r="L1397" s="60"/>
      <c r="M1397" s="104"/>
      <c r="N1397" s="105"/>
      <c r="O1397" s="51"/>
    </row>
    <row r="1398">
      <c r="A1398" s="56">
        <v>1395.0</v>
      </c>
      <c r="B1398" s="68">
        <v>4610.0</v>
      </c>
      <c r="C1398" s="69">
        <v>1413.0</v>
      </c>
      <c r="D1398" s="68" t="s">
        <v>5515</v>
      </c>
      <c r="E1398" s="68" t="s">
        <v>5519</v>
      </c>
      <c r="F1398" s="83">
        <v>41567.0</v>
      </c>
      <c r="G1398" s="68" t="s">
        <v>5517</v>
      </c>
      <c r="H1398" s="71"/>
      <c r="I1398" s="132" t="s">
        <v>635</v>
      </c>
      <c r="J1398" s="68" t="s">
        <v>5520</v>
      </c>
      <c r="K1398" s="71"/>
      <c r="L1398" s="71"/>
      <c r="M1398" s="104"/>
      <c r="N1398" s="105"/>
      <c r="O1398" s="51"/>
    </row>
    <row r="1399">
      <c r="A1399" s="56">
        <v>1396.0</v>
      </c>
      <c r="B1399" s="68">
        <v>4611.0</v>
      </c>
      <c r="C1399" s="69">
        <v>1414.0</v>
      </c>
      <c r="D1399" s="71"/>
      <c r="E1399" s="68" t="s">
        <v>5521</v>
      </c>
      <c r="F1399" s="76">
        <v>41509.0</v>
      </c>
      <c r="G1399" s="68" t="s">
        <v>5522</v>
      </c>
      <c r="H1399" s="71"/>
      <c r="I1399" s="132" t="s">
        <v>5523</v>
      </c>
      <c r="J1399" s="87" t="s">
        <v>5524</v>
      </c>
      <c r="K1399" s="116"/>
      <c r="L1399" s="116"/>
      <c r="M1399" s="168"/>
      <c r="N1399" s="61"/>
      <c r="O1399" s="51"/>
    </row>
    <row r="1400">
      <c r="A1400" s="56">
        <v>1397.0</v>
      </c>
      <c r="B1400" s="68">
        <v>4612.0</v>
      </c>
      <c r="C1400" s="69">
        <v>1415.0</v>
      </c>
      <c r="D1400" s="71"/>
      <c r="E1400" s="68" t="s">
        <v>5525</v>
      </c>
      <c r="F1400" s="76">
        <v>41513.0</v>
      </c>
      <c r="G1400" s="68" t="s">
        <v>5526</v>
      </c>
      <c r="H1400" s="71"/>
      <c r="I1400" s="132" t="s">
        <v>5527</v>
      </c>
      <c r="J1400" s="68" t="s">
        <v>5528</v>
      </c>
      <c r="K1400" s="66"/>
      <c r="L1400" s="66"/>
      <c r="M1400" s="66"/>
      <c r="N1400" s="61"/>
      <c r="O1400" s="51"/>
    </row>
    <row r="1401">
      <c r="A1401" s="56">
        <v>1398.0</v>
      </c>
      <c r="B1401" s="68">
        <v>4613.0</v>
      </c>
      <c r="C1401" s="69">
        <v>1416.0</v>
      </c>
      <c r="D1401" s="71"/>
      <c r="E1401" s="68" t="s">
        <v>5529</v>
      </c>
      <c r="F1401" s="76">
        <v>41448.0</v>
      </c>
      <c r="G1401" s="68" t="s">
        <v>5530</v>
      </c>
      <c r="H1401" s="71"/>
      <c r="I1401" s="114" t="s">
        <v>5531</v>
      </c>
      <c r="J1401" s="68" t="s">
        <v>5532</v>
      </c>
      <c r="K1401" s="71"/>
      <c r="L1401" s="71"/>
      <c r="M1401" s="68" t="s">
        <v>149</v>
      </c>
      <c r="N1401" s="61"/>
      <c r="O1401" s="51"/>
    </row>
    <row r="1402">
      <c r="A1402" s="56">
        <v>1399.0</v>
      </c>
      <c r="B1402" s="63">
        <v>4614.0</v>
      </c>
      <c r="C1402" s="64">
        <v>1417.0</v>
      </c>
      <c r="D1402" s="66"/>
      <c r="E1402" s="63" t="s">
        <v>5533</v>
      </c>
      <c r="F1402" s="70">
        <v>41438.0</v>
      </c>
      <c r="G1402" s="63" t="s">
        <v>5534</v>
      </c>
      <c r="H1402" s="66"/>
      <c r="I1402" s="132" t="s">
        <v>5535</v>
      </c>
      <c r="J1402" s="63" t="s">
        <v>5536</v>
      </c>
      <c r="K1402" s="66"/>
      <c r="L1402" s="66"/>
      <c r="M1402" s="63" t="s">
        <v>5537</v>
      </c>
      <c r="N1402" s="61"/>
      <c r="O1402" s="51"/>
    </row>
    <row r="1403">
      <c r="A1403" s="75">
        <v>1400.0</v>
      </c>
      <c r="B1403" s="68">
        <v>4615.0</v>
      </c>
      <c r="C1403" s="69">
        <v>1418.0</v>
      </c>
      <c r="D1403" s="68" t="s">
        <v>5538</v>
      </c>
      <c r="E1403" s="68" t="s">
        <v>5539</v>
      </c>
      <c r="F1403" s="76">
        <v>39539.0</v>
      </c>
      <c r="G1403" s="68" t="s">
        <v>5540</v>
      </c>
      <c r="H1403" s="71"/>
      <c r="I1403" s="114" t="s">
        <v>5541</v>
      </c>
      <c r="J1403" s="68" t="s">
        <v>5542</v>
      </c>
      <c r="K1403" s="71"/>
      <c r="L1403" s="71"/>
      <c r="M1403" s="68" t="s">
        <v>4001</v>
      </c>
      <c r="N1403" s="61"/>
      <c r="O1403" s="51"/>
    </row>
    <row r="1404">
      <c r="A1404" s="56">
        <v>1401.0</v>
      </c>
      <c r="B1404" s="63">
        <v>4616.0</v>
      </c>
      <c r="C1404" s="64">
        <v>1419.0</v>
      </c>
      <c r="D1404" s="66"/>
      <c r="E1404" s="63" t="s">
        <v>5543</v>
      </c>
      <c r="F1404" s="70">
        <v>39995.0</v>
      </c>
      <c r="G1404" s="63" t="s">
        <v>5544</v>
      </c>
      <c r="H1404" s="66"/>
      <c r="I1404" s="132" t="s">
        <v>5545</v>
      </c>
      <c r="J1404" s="63" t="s">
        <v>1555</v>
      </c>
      <c r="K1404" s="66"/>
      <c r="L1404" s="66"/>
      <c r="M1404" s="63" t="s">
        <v>1393</v>
      </c>
      <c r="N1404" s="61"/>
      <c r="O1404" s="51"/>
    </row>
    <row r="1405">
      <c r="A1405" s="56">
        <v>1402.0</v>
      </c>
      <c r="B1405" s="63">
        <v>4617.0</v>
      </c>
      <c r="C1405" s="64">
        <v>1420.0</v>
      </c>
      <c r="D1405" s="68" t="s">
        <v>5546</v>
      </c>
      <c r="E1405" s="63" t="s">
        <v>5547</v>
      </c>
      <c r="F1405" s="70">
        <v>40360.0</v>
      </c>
      <c r="G1405" s="63" t="s">
        <v>5548</v>
      </c>
      <c r="H1405" s="66"/>
      <c r="I1405" s="132" t="s">
        <v>5549</v>
      </c>
      <c r="J1405" s="63" t="s">
        <v>5550</v>
      </c>
      <c r="K1405" s="66"/>
      <c r="L1405" s="66"/>
      <c r="M1405" s="63" t="s">
        <v>2152</v>
      </c>
      <c r="N1405" s="61"/>
      <c r="O1405" s="51"/>
    </row>
    <row r="1406">
      <c r="A1406" s="56">
        <v>1403.0</v>
      </c>
      <c r="B1406" s="68">
        <v>4618.0</v>
      </c>
      <c r="C1406" s="69">
        <v>1421.0</v>
      </c>
      <c r="D1406" s="71"/>
      <c r="E1406" s="68" t="s">
        <v>5551</v>
      </c>
      <c r="F1406" s="76">
        <v>39934.0</v>
      </c>
      <c r="G1406" s="68" t="s">
        <v>5552</v>
      </c>
      <c r="H1406" s="71"/>
      <c r="I1406" s="132" t="s">
        <v>5553</v>
      </c>
      <c r="J1406" s="68" t="s">
        <v>5554</v>
      </c>
      <c r="K1406" s="66"/>
      <c r="L1406" s="66"/>
      <c r="M1406" s="66"/>
      <c r="N1406" s="61"/>
      <c r="O1406" s="51"/>
    </row>
    <row r="1407">
      <c r="A1407" s="56">
        <v>1404.0</v>
      </c>
      <c r="B1407" s="68">
        <v>4619.0</v>
      </c>
      <c r="C1407" s="69">
        <v>1422.0</v>
      </c>
      <c r="D1407" s="71"/>
      <c r="E1407" s="68" t="s">
        <v>5555</v>
      </c>
      <c r="F1407" s="76">
        <v>40664.0</v>
      </c>
      <c r="G1407" s="68" t="s">
        <v>5556</v>
      </c>
      <c r="H1407" s="71"/>
      <c r="I1407" s="114" t="s">
        <v>5557</v>
      </c>
      <c r="J1407" s="68" t="s">
        <v>5558</v>
      </c>
      <c r="K1407" s="71"/>
      <c r="L1407" s="71"/>
      <c r="M1407" s="71"/>
      <c r="N1407" s="61"/>
      <c r="O1407" s="51"/>
    </row>
    <row r="1408">
      <c r="A1408" s="56">
        <v>1405.0</v>
      </c>
      <c r="B1408" s="68">
        <v>4620.0</v>
      </c>
      <c r="C1408" s="69">
        <v>1423.0</v>
      </c>
      <c r="D1408" s="71"/>
      <c r="E1408" s="68" t="s">
        <v>5559</v>
      </c>
      <c r="F1408" s="76">
        <v>40664.0</v>
      </c>
      <c r="G1408" s="68" t="s">
        <v>5556</v>
      </c>
      <c r="H1408" s="71"/>
      <c r="I1408" s="114" t="s">
        <v>5557</v>
      </c>
      <c r="J1408" s="68" t="s">
        <v>5560</v>
      </c>
      <c r="K1408" s="71"/>
      <c r="L1408" s="71"/>
      <c r="M1408" s="71"/>
      <c r="N1408" s="61"/>
      <c r="O1408" s="51"/>
    </row>
    <row r="1409">
      <c r="A1409" s="56">
        <v>1406.0</v>
      </c>
      <c r="B1409" s="68">
        <v>4621.0</v>
      </c>
      <c r="C1409" s="69">
        <v>1424.0</v>
      </c>
      <c r="D1409" s="71"/>
      <c r="E1409" s="68" t="s">
        <v>5561</v>
      </c>
      <c r="F1409" s="76">
        <v>41351.0</v>
      </c>
      <c r="G1409" s="68" t="s">
        <v>5562</v>
      </c>
      <c r="H1409" s="71"/>
      <c r="I1409" s="132" t="s">
        <v>5563</v>
      </c>
      <c r="J1409" s="68" t="s">
        <v>5564</v>
      </c>
      <c r="K1409" s="71"/>
      <c r="L1409" s="71"/>
      <c r="M1409" s="71"/>
      <c r="N1409" s="61"/>
      <c r="O1409" s="51"/>
    </row>
    <row r="1410">
      <c r="A1410" s="56">
        <v>1407.0</v>
      </c>
      <c r="B1410" s="63">
        <v>4622.0</v>
      </c>
      <c r="C1410" s="64">
        <v>1425.0</v>
      </c>
      <c r="D1410" s="66"/>
      <c r="E1410" s="63" t="s">
        <v>5565</v>
      </c>
      <c r="F1410" s="70">
        <v>40033.0</v>
      </c>
      <c r="G1410" s="63" t="s">
        <v>5566</v>
      </c>
      <c r="H1410" s="63" t="s">
        <v>5567</v>
      </c>
      <c r="I1410" s="132" t="s">
        <v>5568</v>
      </c>
      <c r="J1410" s="63" t="s">
        <v>5569</v>
      </c>
      <c r="K1410" s="66"/>
      <c r="L1410" s="66"/>
      <c r="M1410" s="63" t="s">
        <v>2152</v>
      </c>
      <c r="N1410" s="61"/>
      <c r="O1410" s="51"/>
    </row>
    <row r="1411">
      <c r="A1411" s="56">
        <v>1408.0</v>
      </c>
      <c r="B1411" s="68">
        <v>4623.0</v>
      </c>
      <c r="C1411" s="69">
        <v>1426.0</v>
      </c>
      <c r="D1411" s="71"/>
      <c r="E1411" s="68" t="s">
        <v>5570</v>
      </c>
      <c r="F1411" s="76">
        <v>40575.0</v>
      </c>
      <c r="G1411" s="68" t="s">
        <v>5571</v>
      </c>
      <c r="H1411" s="71"/>
      <c r="I1411" s="132" t="s">
        <v>5572</v>
      </c>
      <c r="J1411" s="68" t="s">
        <v>5573</v>
      </c>
      <c r="K1411" s="71"/>
      <c r="L1411" s="66"/>
      <c r="M1411" s="66"/>
      <c r="N1411" s="61"/>
      <c r="O1411" s="51"/>
    </row>
    <row r="1412">
      <c r="A1412" s="56">
        <v>1409.0</v>
      </c>
      <c r="B1412" s="63">
        <v>4624.0</v>
      </c>
      <c r="C1412" s="64">
        <v>1427.0</v>
      </c>
      <c r="D1412" s="63" t="s">
        <v>5574</v>
      </c>
      <c r="E1412" s="63" t="s">
        <v>5575</v>
      </c>
      <c r="F1412" s="70">
        <v>39601.0</v>
      </c>
      <c r="G1412" s="63" t="s">
        <v>5576</v>
      </c>
      <c r="H1412" s="63" t="s">
        <v>5577</v>
      </c>
      <c r="I1412" s="132" t="s">
        <v>5578</v>
      </c>
      <c r="J1412" s="63" t="s">
        <v>1971</v>
      </c>
      <c r="K1412" s="66"/>
      <c r="L1412" s="66"/>
      <c r="M1412" s="63" t="s">
        <v>530</v>
      </c>
      <c r="N1412" s="61"/>
      <c r="O1412" s="51"/>
    </row>
    <row r="1413">
      <c r="A1413" s="56">
        <v>1410.0</v>
      </c>
      <c r="B1413" s="68">
        <v>4625.0</v>
      </c>
      <c r="C1413" s="69">
        <v>1428.0</v>
      </c>
      <c r="D1413" s="71"/>
      <c r="E1413" s="68" t="s">
        <v>5579</v>
      </c>
      <c r="F1413" s="76">
        <v>41303.0</v>
      </c>
      <c r="G1413" s="68" t="s">
        <v>5580</v>
      </c>
      <c r="H1413" s="71"/>
      <c r="I1413" s="132" t="s">
        <v>635</v>
      </c>
      <c r="J1413" s="68" t="s">
        <v>5581</v>
      </c>
      <c r="K1413" s="71"/>
      <c r="L1413" s="66"/>
      <c r="M1413" s="66"/>
      <c r="N1413" s="61"/>
      <c r="O1413" s="51"/>
    </row>
    <row r="1414">
      <c r="A1414" s="56">
        <v>1411.0</v>
      </c>
      <c r="B1414" s="68">
        <v>4626.0</v>
      </c>
      <c r="C1414" s="69">
        <v>1429.0</v>
      </c>
      <c r="D1414" s="71"/>
      <c r="E1414" s="68" t="s">
        <v>5582</v>
      </c>
      <c r="F1414" s="76">
        <v>41181.0</v>
      </c>
      <c r="G1414" s="68" t="s">
        <v>5583</v>
      </c>
      <c r="H1414" s="71"/>
      <c r="I1414" s="132" t="s">
        <v>5584</v>
      </c>
      <c r="J1414" s="68" t="s">
        <v>5585</v>
      </c>
      <c r="K1414" s="71"/>
      <c r="L1414" s="71"/>
      <c r="M1414" s="71"/>
      <c r="N1414" s="61"/>
      <c r="O1414" s="51"/>
    </row>
    <row r="1415">
      <c r="A1415" s="56">
        <v>1412.0</v>
      </c>
      <c r="B1415" s="68">
        <v>4627.0</v>
      </c>
      <c r="C1415" s="69">
        <v>1430.0</v>
      </c>
      <c r="D1415" s="71"/>
      <c r="E1415" s="68" t="s">
        <v>5586</v>
      </c>
      <c r="F1415" s="76">
        <v>40739.0</v>
      </c>
      <c r="G1415" s="68" t="s">
        <v>5587</v>
      </c>
      <c r="H1415" s="71"/>
      <c r="I1415" s="132" t="s">
        <v>5588</v>
      </c>
      <c r="J1415" s="68" t="s">
        <v>5589</v>
      </c>
      <c r="K1415" s="71"/>
      <c r="L1415" s="71"/>
      <c r="M1415" s="68" t="s">
        <v>201</v>
      </c>
      <c r="N1415" s="61"/>
      <c r="O1415" s="51"/>
    </row>
    <row r="1416">
      <c r="A1416" s="56">
        <v>1413.0</v>
      </c>
      <c r="B1416" s="68">
        <v>4628.0</v>
      </c>
      <c r="C1416" s="69">
        <v>1431.0</v>
      </c>
      <c r="D1416" s="71"/>
      <c r="E1416" s="68" t="s">
        <v>5590</v>
      </c>
      <c r="F1416" s="76">
        <v>40739.0</v>
      </c>
      <c r="G1416" s="68" t="s">
        <v>5587</v>
      </c>
      <c r="H1416" s="71"/>
      <c r="I1416" s="132" t="s">
        <v>5588</v>
      </c>
      <c r="J1416" s="68" t="s">
        <v>5591</v>
      </c>
      <c r="K1416" s="71"/>
      <c r="L1416" s="71"/>
      <c r="M1416" s="71"/>
      <c r="N1416" s="61"/>
      <c r="O1416" s="51"/>
    </row>
    <row r="1417">
      <c r="A1417" s="56">
        <v>1414.0</v>
      </c>
      <c r="B1417" s="68">
        <v>4629.0</v>
      </c>
      <c r="C1417" s="69">
        <v>1432.0</v>
      </c>
      <c r="D1417" s="71"/>
      <c r="E1417" s="68" t="s">
        <v>5592</v>
      </c>
      <c r="F1417" s="83">
        <v>40461.0</v>
      </c>
      <c r="G1417" s="68" t="s">
        <v>5593</v>
      </c>
      <c r="H1417" s="71"/>
      <c r="I1417" s="132" t="s">
        <v>5594</v>
      </c>
      <c r="J1417" s="68" t="s">
        <v>5595</v>
      </c>
      <c r="K1417" s="71"/>
      <c r="L1417" s="66"/>
      <c r="M1417" s="66"/>
      <c r="N1417" s="61"/>
      <c r="O1417" s="51"/>
    </row>
    <row r="1418">
      <c r="A1418" s="56">
        <v>1415.0</v>
      </c>
      <c r="B1418" s="68">
        <v>4630.0</v>
      </c>
      <c r="C1418" s="69">
        <v>1433.0</v>
      </c>
      <c r="D1418" s="71"/>
      <c r="E1418" s="68" t="s">
        <v>5596</v>
      </c>
      <c r="F1418" s="83">
        <v>41232.0</v>
      </c>
      <c r="G1418" s="68" t="s">
        <v>5597</v>
      </c>
      <c r="H1418" s="71"/>
      <c r="I1418" s="132" t="s">
        <v>5598</v>
      </c>
      <c r="J1418" s="68" t="s">
        <v>5599</v>
      </c>
      <c r="K1418" s="71"/>
      <c r="L1418" s="66"/>
      <c r="M1418" s="66"/>
      <c r="N1418" s="61"/>
      <c r="O1418" s="51"/>
    </row>
    <row r="1419">
      <c r="A1419" s="56">
        <v>1416.0</v>
      </c>
      <c r="B1419" s="68">
        <v>4631.0</v>
      </c>
      <c r="C1419" s="69">
        <v>1434.0</v>
      </c>
      <c r="D1419" s="71"/>
      <c r="E1419" s="68" t="s">
        <v>5600</v>
      </c>
      <c r="F1419" s="76">
        <v>41397.0</v>
      </c>
      <c r="G1419" s="68" t="s">
        <v>5601</v>
      </c>
      <c r="H1419" s="71"/>
      <c r="I1419" s="132" t="s">
        <v>635</v>
      </c>
      <c r="J1419" s="68" t="s">
        <v>5602</v>
      </c>
      <c r="K1419" s="66"/>
      <c r="L1419" s="66"/>
      <c r="M1419" s="66"/>
      <c r="N1419" s="61"/>
      <c r="O1419" s="51"/>
    </row>
    <row r="1420">
      <c r="A1420" s="56">
        <v>1417.0</v>
      </c>
      <c r="B1420" s="68">
        <v>4632.0</v>
      </c>
      <c r="C1420" s="69">
        <v>1435.0</v>
      </c>
      <c r="D1420" s="71"/>
      <c r="E1420" s="68" t="s">
        <v>5603</v>
      </c>
      <c r="F1420" s="83">
        <v>41601.0</v>
      </c>
      <c r="G1420" s="68" t="s">
        <v>5604</v>
      </c>
      <c r="H1420" s="71"/>
      <c r="I1420" s="132" t="s">
        <v>5605</v>
      </c>
      <c r="J1420" s="68" t="s">
        <v>5606</v>
      </c>
      <c r="K1420" s="66"/>
      <c r="L1420" s="66"/>
      <c r="M1420" s="66"/>
      <c r="N1420" s="61"/>
      <c r="O1420" s="51"/>
    </row>
    <row r="1421">
      <c r="A1421" s="56">
        <v>1418.0</v>
      </c>
      <c r="B1421" s="68">
        <v>4633.0</v>
      </c>
      <c r="C1421" s="69">
        <v>1436.0</v>
      </c>
      <c r="D1421" s="71"/>
      <c r="E1421" s="68" t="s">
        <v>5607</v>
      </c>
      <c r="F1421" s="76">
        <v>41536.0</v>
      </c>
      <c r="G1421" s="68" t="s">
        <v>5608</v>
      </c>
      <c r="H1421" s="71"/>
      <c r="I1421" s="132" t="s">
        <v>5609</v>
      </c>
      <c r="J1421" s="68" t="s">
        <v>5610</v>
      </c>
      <c r="K1421" s="71"/>
      <c r="L1421" s="71"/>
      <c r="M1421" s="71"/>
      <c r="N1421" s="61"/>
      <c r="O1421" s="51"/>
    </row>
    <row r="1422">
      <c r="A1422" s="56">
        <v>1419.0</v>
      </c>
      <c r="B1422" s="63">
        <v>4634.0</v>
      </c>
      <c r="C1422" s="64">
        <v>1437.0</v>
      </c>
      <c r="D1422" s="66"/>
      <c r="E1422" s="63" t="s">
        <v>5611</v>
      </c>
      <c r="F1422" s="70">
        <v>40910.0</v>
      </c>
      <c r="G1422" s="63" t="s">
        <v>5612</v>
      </c>
      <c r="H1422" s="66"/>
      <c r="I1422" s="132" t="s">
        <v>5613</v>
      </c>
      <c r="J1422" s="63" t="s">
        <v>5614</v>
      </c>
      <c r="K1422" s="66"/>
      <c r="L1422" s="66"/>
      <c r="M1422" s="63" t="s">
        <v>5615</v>
      </c>
      <c r="N1422" s="61"/>
      <c r="O1422" s="51"/>
    </row>
    <row r="1423">
      <c r="A1423" s="56">
        <v>1420.0</v>
      </c>
      <c r="B1423" s="68">
        <v>4635.0</v>
      </c>
      <c r="C1423" s="69">
        <v>1438.0</v>
      </c>
      <c r="D1423" s="71"/>
      <c r="E1423" s="68" t="s">
        <v>5616</v>
      </c>
      <c r="F1423" s="76">
        <v>41280.0</v>
      </c>
      <c r="G1423" s="68" t="s">
        <v>5617</v>
      </c>
      <c r="H1423" s="71"/>
      <c r="I1423" s="132" t="s">
        <v>5618</v>
      </c>
      <c r="J1423" s="68" t="s">
        <v>5619</v>
      </c>
      <c r="K1423" s="71"/>
      <c r="L1423" s="71"/>
      <c r="M1423" s="71"/>
      <c r="N1423" s="61"/>
      <c r="O1423" s="51"/>
    </row>
    <row r="1424">
      <c r="A1424" s="56">
        <v>1421.0</v>
      </c>
      <c r="B1424" s="68">
        <v>4636.0</v>
      </c>
      <c r="C1424" s="69">
        <v>1439.0</v>
      </c>
      <c r="D1424" s="71"/>
      <c r="E1424" s="68" t="s">
        <v>5620</v>
      </c>
      <c r="F1424" s="76">
        <v>39253.0</v>
      </c>
      <c r="G1424" s="68" t="s">
        <v>5621</v>
      </c>
      <c r="H1424" s="71"/>
      <c r="I1424" s="132" t="s">
        <v>5622</v>
      </c>
      <c r="J1424" s="126" t="s">
        <v>5623</v>
      </c>
      <c r="K1424" s="169"/>
      <c r="L1424" s="169"/>
      <c r="M1424" s="169"/>
      <c r="N1424" s="61"/>
      <c r="O1424" s="51"/>
    </row>
    <row r="1425">
      <c r="A1425" s="56">
        <v>1422.0</v>
      </c>
      <c r="B1425" s="68">
        <v>4637.0</v>
      </c>
      <c r="C1425" s="69">
        <v>1440.0</v>
      </c>
      <c r="D1425" s="71"/>
      <c r="E1425" s="68" t="s">
        <v>5624</v>
      </c>
      <c r="F1425" s="83">
        <v>41636.0</v>
      </c>
      <c r="G1425" s="68" t="s">
        <v>5625</v>
      </c>
      <c r="H1425" s="71"/>
      <c r="I1425" s="132" t="s">
        <v>5626</v>
      </c>
      <c r="J1425" s="68" t="s">
        <v>5627</v>
      </c>
      <c r="K1425" s="66"/>
      <c r="L1425" s="66"/>
      <c r="M1425" s="66"/>
      <c r="N1425" s="61"/>
      <c r="O1425" s="51"/>
    </row>
    <row r="1426">
      <c r="A1426" s="56">
        <v>1423.0</v>
      </c>
      <c r="B1426" s="68">
        <v>4638.0</v>
      </c>
      <c r="C1426" s="69">
        <v>1441.0</v>
      </c>
      <c r="D1426" s="71"/>
      <c r="E1426" s="68" t="s">
        <v>5628</v>
      </c>
      <c r="F1426" s="76">
        <v>41609.0</v>
      </c>
      <c r="G1426" s="68" t="s">
        <v>5629</v>
      </c>
      <c r="H1426" s="71"/>
      <c r="I1426" s="132" t="s">
        <v>5630</v>
      </c>
      <c r="J1426" s="68" t="s">
        <v>5631</v>
      </c>
      <c r="K1426" s="71"/>
      <c r="L1426" s="71"/>
      <c r="M1426" s="71"/>
      <c r="N1426" s="61"/>
      <c r="O1426" s="51"/>
    </row>
    <row r="1427">
      <c r="A1427" s="56">
        <v>1424.0</v>
      </c>
      <c r="B1427" s="68">
        <v>4639.0</v>
      </c>
      <c r="C1427" s="69">
        <v>1442.0</v>
      </c>
      <c r="D1427" s="71"/>
      <c r="E1427" s="68" t="s">
        <v>5632</v>
      </c>
      <c r="F1427" s="83">
        <v>41224.0</v>
      </c>
      <c r="G1427" s="68" t="s">
        <v>5633</v>
      </c>
      <c r="H1427" s="71"/>
      <c r="I1427" s="132" t="s">
        <v>5634</v>
      </c>
      <c r="J1427" s="161" t="s">
        <v>5635</v>
      </c>
      <c r="K1427" s="170"/>
      <c r="L1427" s="170"/>
      <c r="M1427" s="170"/>
      <c r="N1427" s="61"/>
      <c r="O1427" s="51"/>
    </row>
    <row r="1428">
      <c r="A1428" s="56">
        <v>1425.0</v>
      </c>
      <c r="B1428" s="63">
        <v>4640.0</v>
      </c>
      <c r="C1428" s="64">
        <v>1443.0</v>
      </c>
      <c r="D1428" s="66"/>
      <c r="E1428" s="63" t="s">
        <v>5636</v>
      </c>
      <c r="F1428" s="70">
        <v>40452.0</v>
      </c>
      <c r="G1428" s="63" t="s">
        <v>5637</v>
      </c>
      <c r="H1428" s="66"/>
      <c r="I1428" s="132" t="s">
        <v>5638</v>
      </c>
      <c r="J1428" s="63" t="s">
        <v>1872</v>
      </c>
      <c r="K1428" s="66"/>
      <c r="L1428" s="66"/>
      <c r="M1428" s="63" t="s">
        <v>530</v>
      </c>
      <c r="N1428" s="61"/>
      <c r="O1428" s="51"/>
    </row>
    <row r="1429">
      <c r="A1429" s="56">
        <v>1426.0</v>
      </c>
      <c r="B1429" s="68">
        <v>4641.0</v>
      </c>
      <c r="C1429" s="69">
        <v>1444.0</v>
      </c>
      <c r="D1429" s="71"/>
      <c r="E1429" s="68" t="s">
        <v>5639</v>
      </c>
      <c r="F1429" s="76">
        <v>41617.0</v>
      </c>
      <c r="G1429" s="68" t="s">
        <v>5640</v>
      </c>
      <c r="H1429" s="71"/>
      <c r="I1429" s="132" t="s">
        <v>5641</v>
      </c>
      <c r="J1429" s="68" t="s">
        <v>5642</v>
      </c>
      <c r="K1429" s="66"/>
      <c r="L1429" s="66"/>
      <c r="M1429" s="66"/>
      <c r="N1429" s="61"/>
      <c r="O1429" s="51"/>
    </row>
    <row r="1430">
      <c r="A1430" s="56">
        <v>1427.0</v>
      </c>
      <c r="B1430" s="68">
        <v>4642.0</v>
      </c>
      <c r="C1430" s="69">
        <v>1445.0</v>
      </c>
      <c r="D1430" s="71"/>
      <c r="E1430" s="68" t="s">
        <v>5643</v>
      </c>
      <c r="F1430" s="76">
        <v>41617.0</v>
      </c>
      <c r="G1430" s="68" t="s">
        <v>5644</v>
      </c>
      <c r="H1430" s="71"/>
      <c r="I1430" s="132" t="s">
        <v>635</v>
      </c>
      <c r="J1430" s="68" t="s">
        <v>5645</v>
      </c>
      <c r="K1430" s="66"/>
      <c r="L1430" s="66"/>
      <c r="M1430" s="66"/>
      <c r="N1430" s="61"/>
      <c r="O1430" s="51"/>
    </row>
    <row r="1431">
      <c r="A1431" s="56">
        <v>1428.0</v>
      </c>
      <c r="B1431" s="68">
        <v>4643.0</v>
      </c>
      <c r="C1431" s="69">
        <v>1446.0</v>
      </c>
      <c r="D1431" s="71"/>
      <c r="E1431" s="68" t="s">
        <v>5646</v>
      </c>
      <c r="F1431" s="76">
        <v>41390.0</v>
      </c>
      <c r="G1431" s="68" t="s">
        <v>5647</v>
      </c>
      <c r="H1431" s="71"/>
      <c r="I1431" s="132" t="s">
        <v>5648</v>
      </c>
      <c r="J1431" s="68" t="s">
        <v>5649</v>
      </c>
      <c r="K1431" s="71"/>
      <c r="L1431" s="71"/>
      <c r="M1431" s="71"/>
      <c r="N1431" s="61"/>
      <c r="O1431" s="51"/>
    </row>
    <row r="1432">
      <c r="A1432" s="56">
        <v>1429.0</v>
      </c>
      <c r="B1432" s="63">
        <v>4644.0</v>
      </c>
      <c r="C1432" s="64">
        <v>1447.0</v>
      </c>
      <c r="D1432" s="66"/>
      <c r="E1432" s="63" t="s">
        <v>5650</v>
      </c>
      <c r="F1432" s="70">
        <v>39995.0</v>
      </c>
      <c r="G1432" s="63" t="s">
        <v>5651</v>
      </c>
      <c r="H1432" s="66"/>
      <c r="I1432" s="132" t="s">
        <v>5652</v>
      </c>
      <c r="J1432" s="63" t="s">
        <v>5653</v>
      </c>
      <c r="K1432" s="66"/>
      <c r="L1432" s="66"/>
      <c r="M1432" s="66"/>
      <c r="N1432" s="61"/>
      <c r="O1432" s="51"/>
    </row>
    <row r="1433">
      <c r="A1433" s="56">
        <v>1430.0</v>
      </c>
      <c r="B1433" s="63">
        <v>4645.0</v>
      </c>
      <c r="C1433" s="64">
        <v>1448.0</v>
      </c>
      <c r="D1433" s="66"/>
      <c r="E1433" s="63" t="s">
        <v>5654</v>
      </c>
      <c r="F1433" s="70">
        <v>39995.0</v>
      </c>
      <c r="G1433" s="63" t="s">
        <v>5655</v>
      </c>
      <c r="H1433" s="66"/>
      <c r="I1433" s="132" t="s">
        <v>5652</v>
      </c>
      <c r="J1433" s="63" t="s">
        <v>5653</v>
      </c>
      <c r="K1433" s="66"/>
      <c r="L1433" s="66"/>
      <c r="M1433" s="66"/>
      <c r="N1433" s="61"/>
      <c r="O1433" s="51"/>
    </row>
    <row r="1434">
      <c r="A1434" s="56">
        <v>1431.0</v>
      </c>
      <c r="B1434" s="57">
        <v>4646.0</v>
      </c>
      <c r="C1434" s="58">
        <v>1449.0</v>
      </c>
      <c r="D1434" s="60"/>
      <c r="E1434" s="57" t="s">
        <v>5656</v>
      </c>
      <c r="F1434" s="59">
        <v>41126.0</v>
      </c>
      <c r="G1434" s="57" t="s">
        <v>5657</v>
      </c>
      <c r="H1434" s="60"/>
      <c r="I1434" s="132" t="s">
        <v>5658</v>
      </c>
      <c r="J1434" s="57" t="s">
        <v>5659</v>
      </c>
      <c r="K1434" s="60"/>
      <c r="L1434" s="60"/>
      <c r="M1434" s="104"/>
      <c r="N1434" s="105"/>
      <c r="O1434" s="51"/>
    </row>
    <row r="1435">
      <c r="A1435" s="56">
        <v>1432.0</v>
      </c>
      <c r="B1435" s="68">
        <v>4647.0</v>
      </c>
      <c r="C1435" s="69">
        <v>1450.0</v>
      </c>
      <c r="D1435" s="71"/>
      <c r="E1435" s="68" t="s">
        <v>5660</v>
      </c>
      <c r="F1435" s="83">
        <v>40107.0</v>
      </c>
      <c r="G1435" s="68" t="s">
        <v>5661</v>
      </c>
      <c r="H1435" s="68" t="s">
        <v>5662</v>
      </c>
      <c r="I1435" s="132" t="s">
        <v>5663</v>
      </c>
      <c r="J1435" s="68" t="s">
        <v>5664</v>
      </c>
      <c r="K1435" s="71"/>
      <c r="L1435" s="71"/>
      <c r="M1435" s="111"/>
      <c r="N1435" s="61"/>
      <c r="O1435" s="51"/>
    </row>
    <row r="1436">
      <c r="A1436" s="56">
        <v>1433.0</v>
      </c>
      <c r="B1436" s="68">
        <v>4648.0</v>
      </c>
      <c r="C1436" s="69">
        <v>1451.0</v>
      </c>
      <c r="D1436" s="71"/>
      <c r="E1436" s="68" t="s">
        <v>5665</v>
      </c>
      <c r="F1436" s="76">
        <v>39995.0</v>
      </c>
      <c r="G1436" s="68" t="s">
        <v>5666</v>
      </c>
      <c r="H1436" s="71"/>
      <c r="I1436" s="132" t="s">
        <v>5667</v>
      </c>
      <c r="J1436" s="68" t="s">
        <v>5668</v>
      </c>
      <c r="K1436" s="66"/>
      <c r="L1436" s="66"/>
      <c r="M1436" s="66"/>
      <c r="N1436" s="61"/>
      <c r="O1436" s="51"/>
    </row>
    <row r="1437">
      <c r="A1437" s="56">
        <v>1434.0</v>
      </c>
      <c r="B1437" s="68">
        <v>4649.0</v>
      </c>
      <c r="C1437" s="69">
        <v>1452.0</v>
      </c>
      <c r="D1437" s="71"/>
      <c r="E1437" s="68" t="s">
        <v>5669</v>
      </c>
      <c r="F1437" s="76">
        <v>40054.0</v>
      </c>
      <c r="G1437" s="68" t="s">
        <v>5670</v>
      </c>
      <c r="H1437" s="71"/>
      <c r="I1437" s="132" t="s">
        <v>5671</v>
      </c>
      <c r="J1437" s="68" t="s">
        <v>5672</v>
      </c>
      <c r="K1437" s="66"/>
      <c r="L1437" s="66"/>
      <c r="M1437" s="66"/>
      <c r="N1437" s="61"/>
      <c r="O1437" s="51"/>
    </row>
    <row r="1438">
      <c r="A1438" s="56">
        <v>1435.0</v>
      </c>
      <c r="B1438" s="68">
        <v>4650.0</v>
      </c>
      <c r="C1438" s="69">
        <v>1453.0</v>
      </c>
      <c r="D1438" s="71"/>
      <c r="E1438" s="68" t="s">
        <v>5673</v>
      </c>
      <c r="F1438" s="76">
        <v>41451.0</v>
      </c>
      <c r="G1438" s="68" t="s">
        <v>5674</v>
      </c>
      <c r="H1438" s="71"/>
      <c r="I1438" s="132" t="s">
        <v>5675</v>
      </c>
      <c r="J1438" s="68" t="s">
        <v>5676</v>
      </c>
      <c r="K1438" s="71"/>
      <c r="L1438" s="71"/>
      <c r="M1438" s="71"/>
      <c r="N1438" s="61"/>
      <c r="O1438" s="51"/>
    </row>
    <row r="1439">
      <c r="A1439" s="56">
        <v>1436.0</v>
      </c>
      <c r="B1439" s="63">
        <v>4651.0</v>
      </c>
      <c r="C1439" s="64">
        <v>1454.0</v>
      </c>
      <c r="D1439" s="66"/>
      <c r="E1439" s="63" t="s">
        <v>5677</v>
      </c>
      <c r="F1439" s="70">
        <v>40040.0</v>
      </c>
      <c r="G1439" s="63" t="s">
        <v>5678</v>
      </c>
      <c r="H1439" s="66"/>
      <c r="I1439" s="132" t="s">
        <v>635</v>
      </c>
      <c r="J1439" s="63" t="s">
        <v>5679</v>
      </c>
      <c r="K1439" s="66"/>
      <c r="L1439" s="66"/>
      <c r="M1439" s="63" t="s">
        <v>941</v>
      </c>
      <c r="N1439" s="61"/>
      <c r="O1439" s="51"/>
    </row>
    <row r="1440">
      <c r="A1440" s="56">
        <v>1437.0</v>
      </c>
      <c r="B1440" s="68">
        <v>4652.0</v>
      </c>
      <c r="C1440" s="69">
        <v>1455.0</v>
      </c>
      <c r="D1440" s="71"/>
      <c r="E1440" s="68" t="s">
        <v>5680</v>
      </c>
      <c r="F1440" s="76">
        <v>41352.0</v>
      </c>
      <c r="G1440" s="68" t="s">
        <v>5681</v>
      </c>
      <c r="H1440" s="71"/>
      <c r="I1440" s="132" t="s">
        <v>5682</v>
      </c>
      <c r="J1440" s="68" t="s">
        <v>5683</v>
      </c>
      <c r="K1440" s="66"/>
      <c r="L1440" s="66"/>
      <c r="M1440" s="66"/>
      <c r="N1440" s="61"/>
      <c r="O1440" s="51"/>
    </row>
    <row r="1441">
      <c r="A1441" s="56">
        <v>1438.0</v>
      </c>
      <c r="B1441" s="68">
        <v>4653.0</v>
      </c>
      <c r="C1441" s="69">
        <v>1456.0</v>
      </c>
      <c r="D1441" s="71"/>
      <c r="E1441" s="68" t="s">
        <v>5684</v>
      </c>
      <c r="F1441" s="83">
        <v>41206.0</v>
      </c>
      <c r="G1441" s="68" t="s">
        <v>5685</v>
      </c>
      <c r="H1441" s="68" t="s">
        <v>5686</v>
      </c>
      <c r="I1441" s="114" t="s">
        <v>5687</v>
      </c>
      <c r="J1441" s="68" t="s">
        <v>5688</v>
      </c>
      <c r="K1441" s="71"/>
      <c r="L1441" s="71"/>
      <c r="M1441" s="68" t="s">
        <v>143</v>
      </c>
      <c r="N1441" s="61"/>
      <c r="O1441" s="51"/>
    </row>
    <row r="1442">
      <c r="A1442" s="56">
        <v>1439.0</v>
      </c>
      <c r="B1442" s="63">
        <v>4654.0</v>
      </c>
      <c r="C1442" s="64">
        <v>1457.0</v>
      </c>
      <c r="D1442" s="66"/>
      <c r="E1442" s="63" t="s">
        <v>5689</v>
      </c>
      <c r="F1442" s="70">
        <v>41489.0</v>
      </c>
      <c r="G1442" s="63" t="s">
        <v>5690</v>
      </c>
      <c r="H1442" s="66"/>
      <c r="I1442" s="132" t="s">
        <v>5691</v>
      </c>
      <c r="J1442" s="63" t="s">
        <v>5692</v>
      </c>
      <c r="K1442" s="66"/>
      <c r="L1442" s="66"/>
      <c r="M1442" s="63" t="s">
        <v>5537</v>
      </c>
      <c r="N1442" s="61"/>
      <c r="O1442" s="51"/>
    </row>
    <row r="1443">
      <c r="A1443" s="56">
        <v>1440.0</v>
      </c>
      <c r="B1443" s="63">
        <v>4655.0</v>
      </c>
      <c r="C1443" s="64">
        <v>1458.0</v>
      </c>
      <c r="D1443" s="66"/>
      <c r="E1443" s="63" t="s">
        <v>5693</v>
      </c>
      <c r="F1443" s="70">
        <v>41289.0</v>
      </c>
      <c r="G1443" s="63" t="s">
        <v>5694</v>
      </c>
      <c r="H1443" s="66"/>
      <c r="I1443" s="132" t="s">
        <v>5695</v>
      </c>
      <c r="J1443" s="63" t="s">
        <v>5696</v>
      </c>
      <c r="K1443" s="66"/>
      <c r="L1443" s="66"/>
      <c r="M1443" s="63" t="s">
        <v>3407</v>
      </c>
      <c r="N1443" s="61"/>
      <c r="O1443" s="51"/>
    </row>
    <row r="1444">
      <c r="A1444" s="56">
        <v>1441.0</v>
      </c>
      <c r="B1444" s="63">
        <v>4656.0</v>
      </c>
      <c r="C1444" s="64" t="s">
        <v>5697</v>
      </c>
      <c r="D1444" s="66"/>
      <c r="E1444" s="63" t="s">
        <v>5698</v>
      </c>
      <c r="F1444" s="70">
        <v>41508.0</v>
      </c>
      <c r="G1444" s="63" t="s">
        <v>5699</v>
      </c>
      <c r="H1444" s="66"/>
      <c r="I1444" s="132" t="s">
        <v>5700</v>
      </c>
      <c r="J1444" s="63" t="s">
        <v>5701</v>
      </c>
      <c r="K1444" s="66"/>
      <c r="L1444" s="63" t="s">
        <v>1496</v>
      </c>
      <c r="M1444" s="63" t="s">
        <v>5702</v>
      </c>
      <c r="N1444" s="61"/>
      <c r="O1444" s="51"/>
    </row>
    <row r="1445">
      <c r="A1445" s="56">
        <v>1442.0</v>
      </c>
      <c r="B1445" s="68">
        <v>4657.0</v>
      </c>
      <c r="C1445" s="69">
        <v>1460.0</v>
      </c>
      <c r="D1445" s="71"/>
      <c r="E1445" s="68" t="s">
        <v>5703</v>
      </c>
      <c r="F1445" s="76">
        <v>41517.0</v>
      </c>
      <c r="G1445" s="68" t="s">
        <v>5704</v>
      </c>
      <c r="H1445" s="71"/>
      <c r="I1445" s="132" t="s">
        <v>5705</v>
      </c>
      <c r="J1445" s="68" t="s">
        <v>5706</v>
      </c>
      <c r="K1445" s="71"/>
      <c r="L1445" s="71"/>
      <c r="M1445" s="68" t="s">
        <v>5707</v>
      </c>
      <c r="N1445" s="61"/>
      <c r="O1445" s="51"/>
    </row>
    <row r="1446">
      <c r="A1446" s="56">
        <v>1443.0</v>
      </c>
      <c r="B1446" s="63">
        <v>4658.0</v>
      </c>
      <c r="C1446" s="64">
        <v>1461.0</v>
      </c>
      <c r="D1446" s="66"/>
      <c r="E1446" s="63" t="s">
        <v>5708</v>
      </c>
      <c r="F1446" s="65">
        <v>41233.0</v>
      </c>
      <c r="G1446" s="63" t="s">
        <v>5709</v>
      </c>
      <c r="H1446" s="66"/>
      <c r="I1446" s="132" t="s">
        <v>5710</v>
      </c>
      <c r="J1446" s="63" t="s">
        <v>5711</v>
      </c>
      <c r="K1446" s="66"/>
      <c r="L1446" s="66"/>
      <c r="M1446" s="63" t="s">
        <v>5712</v>
      </c>
      <c r="N1446" s="61"/>
      <c r="O1446" s="51"/>
    </row>
    <row r="1447">
      <c r="A1447" s="56">
        <v>1444.0</v>
      </c>
      <c r="B1447" s="57">
        <v>4659.0</v>
      </c>
      <c r="C1447" s="58">
        <v>1462.0</v>
      </c>
      <c r="D1447" s="60"/>
      <c r="E1447" s="57" t="s">
        <v>5713</v>
      </c>
      <c r="F1447" s="59">
        <v>41510.0</v>
      </c>
      <c r="G1447" s="57" t="s">
        <v>5714</v>
      </c>
      <c r="H1447" s="60"/>
      <c r="I1447" s="132" t="s">
        <v>5715</v>
      </c>
      <c r="J1447" s="57" t="s">
        <v>5716</v>
      </c>
      <c r="K1447" s="60"/>
      <c r="L1447" s="60"/>
      <c r="M1447" s="104"/>
      <c r="N1447" s="105"/>
      <c r="O1447" s="51"/>
    </row>
    <row r="1448">
      <c r="A1448" s="56">
        <v>1445.0</v>
      </c>
      <c r="B1448" s="68">
        <v>4660.0</v>
      </c>
      <c r="C1448" s="69">
        <v>1463.0</v>
      </c>
      <c r="D1448" s="71"/>
      <c r="E1448" s="68" t="s">
        <v>5717</v>
      </c>
      <c r="F1448" s="76">
        <v>41500.0</v>
      </c>
      <c r="G1448" s="68" t="s">
        <v>5718</v>
      </c>
      <c r="H1448" s="71"/>
      <c r="I1448" s="132" t="s">
        <v>5719</v>
      </c>
      <c r="J1448" s="68" t="s">
        <v>5720</v>
      </c>
      <c r="K1448" s="71"/>
      <c r="L1448" s="71"/>
      <c r="M1448" s="111"/>
      <c r="N1448" s="61"/>
      <c r="O1448" s="51"/>
    </row>
    <row r="1449">
      <c r="A1449" s="56">
        <v>1446.0</v>
      </c>
      <c r="B1449" s="68">
        <v>4661.0</v>
      </c>
      <c r="C1449" s="69">
        <v>1464.0</v>
      </c>
      <c r="D1449" s="71"/>
      <c r="E1449" s="68" t="s">
        <v>5721</v>
      </c>
      <c r="F1449" s="76">
        <v>40798.0</v>
      </c>
      <c r="G1449" s="68" t="s">
        <v>5722</v>
      </c>
      <c r="H1449" s="71"/>
      <c r="I1449" s="132" t="s">
        <v>5723</v>
      </c>
      <c r="J1449" s="68" t="s">
        <v>5724</v>
      </c>
      <c r="K1449" s="71"/>
      <c r="L1449" s="71"/>
      <c r="M1449" s="66"/>
      <c r="N1449" s="61"/>
      <c r="O1449" s="51"/>
    </row>
    <row r="1450">
      <c r="A1450" s="56">
        <v>1447.0</v>
      </c>
      <c r="B1450" s="63">
        <v>4662.0</v>
      </c>
      <c r="C1450" s="64">
        <v>1465.0</v>
      </c>
      <c r="D1450" s="66"/>
      <c r="E1450" s="63" t="s">
        <v>5725</v>
      </c>
      <c r="F1450" s="70">
        <v>40879.0</v>
      </c>
      <c r="G1450" s="63" t="s">
        <v>5726</v>
      </c>
      <c r="H1450" s="66"/>
      <c r="I1450" s="82"/>
      <c r="J1450" s="63" t="s">
        <v>5679</v>
      </c>
      <c r="K1450" s="66"/>
      <c r="L1450" s="66"/>
      <c r="M1450" s="63" t="s">
        <v>2097</v>
      </c>
      <c r="N1450" s="61"/>
      <c r="O1450" s="51"/>
    </row>
    <row r="1451">
      <c r="A1451" s="163">
        <v>1448.0</v>
      </c>
      <c r="B1451" s="164">
        <v>4663.0</v>
      </c>
      <c r="C1451" s="164">
        <v>1466.0</v>
      </c>
      <c r="D1451" s="132" t="s">
        <v>5727</v>
      </c>
      <c r="E1451" s="132" t="s">
        <v>5728</v>
      </c>
      <c r="F1451" s="171">
        <v>38038.0</v>
      </c>
      <c r="G1451" s="132" t="s">
        <v>5729</v>
      </c>
      <c r="H1451" s="82"/>
      <c r="I1451" s="132" t="s">
        <v>5730</v>
      </c>
      <c r="J1451" s="82"/>
      <c r="K1451" s="82"/>
      <c r="L1451" s="82"/>
      <c r="M1451" s="82"/>
      <c r="N1451" s="61"/>
      <c r="O1451" s="51"/>
    </row>
    <row r="1452">
      <c r="A1452" s="56">
        <v>1449.0</v>
      </c>
      <c r="B1452" s="68">
        <v>4664.0</v>
      </c>
      <c r="C1452" s="69" t="s">
        <v>5731</v>
      </c>
      <c r="D1452" s="68" t="s">
        <v>5732</v>
      </c>
      <c r="E1452" s="68" t="s">
        <v>5733</v>
      </c>
      <c r="F1452" s="76">
        <v>41030.0</v>
      </c>
      <c r="G1452" s="68" t="s">
        <v>5734</v>
      </c>
      <c r="H1452" s="71"/>
      <c r="I1452" s="114" t="s">
        <v>5735</v>
      </c>
      <c r="J1452" s="68" t="s">
        <v>5736</v>
      </c>
      <c r="K1452" s="71"/>
      <c r="L1452" s="71"/>
      <c r="M1452" s="68" t="s">
        <v>201</v>
      </c>
      <c r="N1452" s="77"/>
      <c r="O1452" s="51"/>
    </row>
    <row r="1453">
      <c r="A1453" s="56">
        <v>1450.0</v>
      </c>
      <c r="B1453" s="68">
        <v>4665.0</v>
      </c>
      <c r="C1453" s="69" t="s">
        <v>5737</v>
      </c>
      <c r="D1453" s="71"/>
      <c r="E1453" s="114" t="s">
        <v>5738</v>
      </c>
      <c r="F1453" s="172">
        <v>41591.0</v>
      </c>
      <c r="G1453" s="114" t="s">
        <v>5739</v>
      </c>
      <c r="H1453" s="71"/>
      <c r="I1453" s="114" t="s">
        <v>5740</v>
      </c>
      <c r="J1453" s="114" t="s">
        <v>5741</v>
      </c>
      <c r="K1453" s="71"/>
      <c r="L1453" s="71"/>
      <c r="M1453" s="114" t="s">
        <v>31</v>
      </c>
      <c r="N1453" s="71"/>
      <c r="O1453" s="51"/>
    </row>
    <row r="1454">
      <c r="A1454" s="56">
        <v>1451.0</v>
      </c>
      <c r="B1454" s="68">
        <v>4666.0</v>
      </c>
      <c r="C1454" s="69">
        <v>1469.0</v>
      </c>
      <c r="D1454" s="71"/>
      <c r="E1454" s="68" t="s">
        <v>5742</v>
      </c>
      <c r="F1454" s="83">
        <v>40139.0</v>
      </c>
      <c r="G1454" s="68" t="s">
        <v>5743</v>
      </c>
      <c r="H1454" s="71"/>
      <c r="I1454" s="132" t="s">
        <v>5744</v>
      </c>
      <c r="J1454" s="68" t="s">
        <v>4025</v>
      </c>
      <c r="K1454" s="71"/>
      <c r="L1454" s="71"/>
      <c r="M1454" s="71"/>
      <c r="N1454" s="61"/>
      <c r="O1454" s="51"/>
    </row>
    <row r="1455">
      <c r="A1455" s="56">
        <v>1452.0</v>
      </c>
      <c r="B1455" s="68">
        <v>4667.0</v>
      </c>
      <c r="C1455" s="69">
        <v>1470.0</v>
      </c>
      <c r="D1455" s="71"/>
      <c r="E1455" s="68" t="s">
        <v>5745</v>
      </c>
      <c r="F1455" s="76">
        <v>40054.0</v>
      </c>
      <c r="G1455" s="68" t="s">
        <v>5670</v>
      </c>
      <c r="H1455" s="71"/>
      <c r="I1455" s="132" t="s">
        <v>5746</v>
      </c>
      <c r="J1455" s="68" t="s">
        <v>4025</v>
      </c>
      <c r="K1455" s="71"/>
      <c r="L1455" s="71"/>
      <c r="M1455" s="71"/>
      <c r="N1455" s="61"/>
      <c r="O1455" s="51"/>
    </row>
    <row r="1456">
      <c r="A1456" s="56">
        <v>1453.0</v>
      </c>
      <c r="B1456" s="63">
        <v>4668.0</v>
      </c>
      <c r="C1456" s="64">
        <v>1471.0</v>
      </c>
      <c r="D1456" s="66"/>
      <c r="E1456" s="63" t="s">
        <v>5747</v>
      </c>
      <c r="F1456" s="70">
        <v>39972.0</v>
      </c>
      <c r="G1456" s="63" t="s">
        <v>5748</v>
      </c>
      <c r="H1456" s="66"/>
      <c r="I1456" s="132" t="s">
        <v>5749</v>
      </c>
      <c r="J1456" s="63" t="s">
        <v>1872</v>
      </c>
      <c r="K1456" s="66"/>
      <c r="L1456" s="66"/>
      <c r="M1456" s="63" t="s">
        <v>530</v>
      </c>
      <c r="N1456" s="61"/>
      <c r="O1456" s="51"/>
    </row>
    <row r="1457">
      <c r="A1457" s="56">
        <v>1454.0</v>
      </c>
      <c r="B1457" s="63">
        <v>4669.0</v>
      </c>
      <c r="C1457" s="64">
        <v>1472.0</v>
      </c>
      <c r="D1457" s="66"/>
      <c r="E1457" s="63" t="s">
        <v>5750</v>
      </c>
      <c r="F1457" s="70">
        <v>40069.0</v>
      </c>
      <c r="G1457" s="63" t="s">
        <v>5751</v>
      </c>
      <c r="H1457" s="66"/>
      <c r="I1457" s="132" t="s">
        <v>5752</v>
      </c>
      <c r="J1457" s="63" t="s">
        <v>1872</v>
      </c>
      <c r="K1457" s="66"/>
      <c r="L1457" s="66"/>
      <c r="M1457" s="63" t="s">
        <v>530</v>
      </c>
      <c r="N1457" s="61"/>
      <c r="O1457" s="51"/>
    </row>
    <row r="1458">
      <c r="A1458" s="56">
        <v>1455.0</v>
      </c>
      <c r="B1458" s="68">
        <v>4670.0</v>
      </c>
      <c r="C1458" s="69">
        <v>1473.0</v>
      </c>
      <c r="D1458" s="71"/>
      <c r="E1458" s="68" t="s">
        <v>5753</v>
      </c>
      <c r="F1458" s="76">
        <v>40320.0</v>
      </c>
      <c r="G1458" s="68" t="s">
        <v>5754</v>
      </c>
      <c r="H1458" s="71"/>
      <c r="I1458" s="132" t="s">
        <v>635</v>
      </c>
      <c r="J1458" s="68" t="s">
        <v>5755</v>
      </c>
      <c r="K1458" s="71"/>
      <c r="L1458" s="71"/>
      <c r="M1458" s="71"/>
      <c r="N1458" s="61"/>
      <c r="O1458" s="51"/>
    </row>
    <row r="1459">
      <c r="A1459" s="56">
        <v>1456.0</v>
      </c>
      <c r="B1459" s="68">
        <v>4671.0</v>
      </c>
      <c r="C1459" s="69">
        <v>1474.0</v>
      </c>
      <c r="D1459" s="71"/>
      <c r="E1459" s="68" t="s">
        <v>5756</v>
      </c>
      <c r="F1459" s="76">
        <v>41615.0</v>
      </c>
      <c r="G1459" s="68" t="s">
        <v>5757</v>
      </c>
      <c r="H1459" s="71"/>
      <c r="I1459" s="114" t="s">
        <v>635</v>
      </c>
      <c r="J1459" s="68" t="s">
        <v>5758</v>
      </c>
      <c r="K1459" s="71"/>
      <c r="L1459" s="71"/>
      <c r="M1459" s="71"/>
      <c r="N1459" s="61"/>
      <c r="O1459" s="51"/>
    </row>
    <row r="1460">
      <c r="A1460" s="56">
        <v>1457.0</v>
      </c>
      <c r="B1460" s="68">
        <v>4672.0</v>
      </c>
      <c r="C1460" s="69">
        <v>1475.0</v>
      </c>
      <c r="D1460" s="71"/>
      <c r="E1460" s="68" t="s">
        <v>5759</v>
      </c>
      <c r="F1460" s="83">
        <v>41590.0</v>
      </c>
      <c r="G1460" s="68" t="s">
        <v>5760</v>
      </c>
      <c r="H1460" s="71"/>
      <c r="I1460" s="114" t="s">
        <v>635</v>
      </c>
      <c r="J1460" s="68" t="s">
        <v>5761</v>
      </c>
      <c r="K1460" s="71"/>
      <c r="L1460" s="71"/>
      <c r="M1460" s="71"/>
      <c r="N1460" s="61"/>
      <c r="O1460" s="51"/>
    </row>
    <row r="1461">
      <c r="A1461" s="56">
        <v>1458.0</v>
      </c>
      <c r="B1461" s="68">
        <v>4673.0</v>
      </c>
      <c r="C1461" s="69">
        <v>1476.0</v>
      </c>
      <c r="D1461" s="68" t="s">
        <v>5762</v>
      </c>
      <c r="E1461" s="68" t="s">
        <v>5763</v>
      </c>
      <c r="F1461" s="76">
        <v>40725.0</v>
      </c>
      <c r="G1461" s="68" t="s">
        <v>5764</v>
      </c>
      <c r="H1461" s="71"/>
      <c r="I1461" s="132" t="s">
        <v>5765</v>
      </c>
      <c r="J1461" s="68" t="s">
        <v>5766</v>
      </c>
      <c r="K1461" s="71"/>
      <c r="L1461" s="71"/>
      <c r="M1461" s="68" t="s">
        <v>137</v>
      </c>
      <c r="N1461" s="61"/>
      <c r="O1461" s="51"/>
    </row>
    <row r="1462">
      <c r="A1462" s="56">
        <v>1459.0</v>
      </c>
      <c r="B1462" s="63">
        <v>4674.0</v>
      </c>
      <c r="C1462" s="64" t="s">
        <v>5767</v>
      </c>
      <c r="D1462" s="66"/>
      <c r="E1462" s="63" t="s">
        <v>5768</v>
      </c>
      <c r="F1462" s="70">
        <v>39972.0</v>
      </c>
      <c r="G1462" s="63" t="s">
        <v>5769</v>
      </c>
      <c r="H1462" s="63" t="s">
        <v>5770</v>
      </c>
      <c r="I1462" s="132" t="s">
        <v>5771</v>
      </c>
      <c r="J1462" s="63" t="s">
        <v>1872</v>
      </c>
      <c r="K1462" s="66"/>
      <c r="L1462" s="63" t="s">
        <v>1496</v>
      </c>
      <c r="M1462" s="63" t="s">
        <v>530</v>
      </c>
      <c r="N1462" s="61"/>
      <c r="O1462" s="51"/>
    </row>
    <row r="1463">
      <c r="A1463" s="56">
        <v>1460.0</v>
      </c>
      <c r="B1463" s="63">
        <v>4675.0</v>
      </c>
      <c r="C1463" s="64">
        <v>1478.0</v>
      </c>
      <c r="D1463" s="66"/>
      <c r="E1463" s="63" t="s">
        <v>5772</v>
      </c>
      <c r="F1463" s="70">
        <v>39972.0</v>
      </c>
      <c r="G1463" s="63" t="s">
        <v>5769</v>
      </c>
      <c r="H1463" s="63" t="s">
        <v>5773</v>
      </c>
      <c r="I1463" s="132" t="s">
        <v>5771</v>
      </c>
      <c r="J1463" s="63" t="s">
        <v>1872</v>
      </c>
      <c r="K1463" s="66"/>
      <c r="L1463" s="63" t="s">
        <v>1496</v>
      </c>
      <c r="M1463" s="63" t="s">
        <v>530</v>
      </c>
      <c r="N1463" s="61"/>
      <c r="O1463" s="51"/>
    </row>
    <row r="1464">
      <c r="A1464" s="56">
        <v>1461.0</v>
      </c>
      <c r="B1464" s="68">
        <v>4676.0</v>
      </c>
      <c r="C1464" s="69" t="s">
        <v>5774</v>
      </c>
      <c r="D1464" s="71"/>
      <c r="E1464" s="68" t="s">
        <v>5775</v>
      </c>
      <c r="F1464" s="76">
        <v>39995.0</v>
      </c>
      <c r="G1464" s="68" t="s">
        <v>5776</v>
      </c>
      <c r="H1464" s="71"/>
      <c r="I1464" s="132" t="s">
        <v>635</v>
      </c>
      <c r="J1464" s="68" t="s">
        <v>5777</v>
      </c>
      <c r="K1464" s="71"/>
      <c r="L1464" s="68" t="s">
        <v>1496</v>
      </c>
      <c r="M1464" s="68" t="s">
        <v>530</v>
      </c>
      <c r="N1464" s="61"/>
      <c r="O1464" s="51"/>
    </row>
    <row r="1465">
      <c r="A1465" s="56">
        <v>1462.0</v>
      </c>
      <c r="B1465" s="68">
        <v>4677.0</v>
      </c>
      <c r="C1465" s="69">
        <v>1480.0</v>
      </c>
      <c r="D1465" s="71"/>
      <c r="E1465" s="68" t="s">
        <v>5778</v>
      </c>
      <c r="F1465" s="76">
        <v>41514.0</v>
      </c>
      <c r="G1465" s="68" t="s">
        <v>5779</v>
      </c>
      <c r="H1465" s="71"/>
      <c r="I1465" s="132" t="s">
        <v>5527</v>
      </c>
      <c r="J1465" s="68" t="s">
        <v>5780</v>
      </c>
      <c r="K1465" s="71"/>
      <c r="L1465" s="71"/>
      <c r="M1465" s="71"/>
      <c r="N1465" s="61"/>
      <c r="O1465" s="51"/>
    </row>
    <row r="1466">
      <c r="A1466" s="56">
        <v>1463.0</v>
      </c>
      <c r="B1466" s="63">
        <v>4678.0</v>
      </c>
      <c r="C1466" s="64">
        <v>1481.0</v>
      </c>
      <c r="D1466" s="66"/>
      <c r="E1466" s="63" t="s">
        <v>5781</v>
      </c>
      <c r="F1466" s="70">
        <v>39929.0</v>
      </c>
      <c r="G1466" s="63" t="s">
        <v>5782</v>
      </c>
      <c r="H1466" s="63" t="s">
        <v>5783</v>
      </c>
      <c r="I1466" s="132" t="s">
        <v>5784</v>
      </c>
      <c r="J1466" s="63" t="s">
        <v>1872</v>
      </c>
      <c r="K1466" s="66"/>
      <c r="L1466" s="66"/>
      <c r="M1466" s="63" t="s">
        <v>530</v>
      </c>
      <c r="N1466" s="61"/>
      <c r="O1466" s="51"/>
    </row>
    <row r="1467">
      <c r="A1467" s="56">
        <v>1464.0</v>
      </c>
      <c r="B1467" s="63">
        <v>4679.0</v>
      </c>
      <c r="C1467" s="64">
        <v>1482.0</v>
      </c>
      <c r="D1467" s="66"/>
      <c r="E1467" s="63" t="s">
        <v>5785</v>
      </c>
      <c r="F1467" s="70">
        <v>40054.0</v>
      </c>
      <c r="G1467" s="63" t="s">
        <v>5786</v>
      </c>
      <c r="H1467" s="66"/>
      <c r="I1467" s="132" t="s">
        <v>5787</v>
      </c>
      <c r="J1467" s="63" t="s">
        <v>1872</v>
      </c>
      <c r="K1467" s="66"/>
      <c r="L1467" s="66"/>
      <c r="M1467" s="63" t="s">
        <v>530</v>
      </c>
      <c r="N1467" s="61"/>
      <c r="O1467" s="51"/>
    </row>
    <row r="1468">
      <c r="A1468" s="56">
        <v>1465.0</v>
      </c>
      <c r="B1468" s="68">
        <v>4680.0</v>
      </c>
      <c r="C1468" s="69">
        <v>1483.0</v>
      </c>
      <c r="D1468" s="71"/>
      <c r="E1468" s="68" t="s">
        <v>5788</v>
      </c>
      <c r="F1468" s="76">
        <v>40311.0</v>
      </c>
      <c r="G1468" s="68" t="s">
        <v>5789</v>
      </c>
      <c r="H1468" s="71"/>
      <c r="I1468" s="132" t="s">
        <v>5790</v>
      </c>
      <c r="J1468" s="68" t="s">
        <v>5791</v>
      </c>
      <c r="K1468" s="71"/>
      <c r="L1468" s="71"/>
      <c r="M1468" s="66"/>
      <c r="N1468" s="61"/>
      <c r="O1468" s="51"/>
    </row>
    <row r="1469">
      <c r="A1469" s="56">
        <v>1466.0</v>
      </c>
      <c r="B1469" s="63">
        <v>4681.0</v>
      </c>
      <c r="C1469" s="64">
        <v>1484.0</v>
      </c>
      <c r="D1469" s="66"/>
      <c r="E1469" s="63" t="s">
        <v>5792</v>
      </c>
      <c r="F1469" s="70">
        <v>39953.0</v>
      </c>
      <c r="G1469" s="63" t="s">
        <v>5793</v>
      </c>
      <c r="H1469" s="63" t="s">
        <v>5794</v>
      </c>
      <c r="I1469" s="132" t="s">
        <v>5795</v>
      </c>
      <c r="J1469" s="63" t="s">
        <v>1872</v>
      </c>
      <c r="K1469" s="66"/>
      <c r="L1469" s="66"/>
      <c r="M1469" s="63" t="s">
        <v>530</v>
      </c>
      <c r="N1469" s="61"/>
      <c r="O1469" s="51"/>
    </row>
    <row r="1470">
      <c r="A1470" s="56">
        <v>1467.0</v>
      </c>
      <c r="B1470" s="68">
        <v>4682.0</v>
      </c>
      <c r="C1470" s="69">
        <v>1485.0</v>
      </c>
      <c r="D1470" s="71"/>
      <c r="E1470" s="68" t="s">
        <v>5796</v>
      </c>
      <c r="F1470" s="76">
        <v>40725.0</v>
      </c>
      <c r="G1470" s="68" t="s">
        <v>5797</v>
      </c>
      <c r="H1470" s="71"/>
      <c r="I1470" s="132" t="s">
        <v>5798</v>
      </c>
      <c r="J1470" s="68" t="s">
        <v>5799</v>
      </c>
      <c r="K1470" s="71"/>
      <c r="L1470" s="71"/>
      <c r="M1470" s="71"/>
      <c r="N1470" s="61"/>
      <c r="O1470" s="51"/>
    </row>
    <row r="1471">
      <c r="A1471" s="56">
        <v>1468.0</v>
      </c>
      <c r="B1471" s="63">
        <v>4683.0</v>
      </c>
      <c r="C1471" s="64">
        <v>1486.0</v>
      </c>
      <c r="D1471" s="63" t="s">
        <v>5800</v>
      </c>
      <c r="E1471" s="63" t="s">
        <v>5801</v>
      </c>
      <c r="F1471" s="70">
        <v>41329.0</v>
      </c>
      <c r="G1471" s="63" t="s">
        <v>5802</v>
      </c>
      <c r="H1471" s="66"/>
      <c r="I1471" s="132" t="s">
        <v>5803</v>
      </c>
      <c r="J1471" s="63" t="s">
        <v>1762</v>
      </c>
      <c r="K1471" s="66"/>
      <c r="L1471" s="66"/>
      <c r="M1471" s="63" t="s">
        <v>542</v>
      </c>
      <c r="N1471" s="61"/>
      <c r="O1471" s="51"/>
    </row>
    <row r="1472">
      <c r="A1472" s="56">
        <v>1469.0</v>
      </c>
      <c r="B1472" s="68">
        <v>4684.0</v>
      </c>
      <c r="C1472" s="69">
        <v>1487.0</v>
      </c>
      <c r="D1472" s="68" t="s">
        <v>5804</v>
      </c>
      <c r="E1472" s="68" t="s">
        <v>5805</v>
      </c>
      <c r="F1472" s="76">
        <v>41122.0</v>
      </c>
      <c r="G1472" s="68" t="s">
        <v>5806</v>
      </c>
      <c r="H1472" s="71"/>
      <c r="I1472" s="132" t="s">
        <v>5807</v>
      </c>
      <c r="J1472" s="68" t="s">
        <v>5808</v>
      </c>
      <c r="K1472" s="71"/>
      <c r="L1472" s="71"/>
      <c r="M1472" s="71"/>
      <c r="N1472" s="61"/>
      <c r="O1472" s="51"/>
    </row>
    <row r="1473">
      <c r="A1473" s="56">
        <v>1470.0</v>
      </c>
      <c r="B1473" s="63">
        <v>4685.0</v>
      </c>
      <c r="C1473" s="64">
        <v>1488.0</v>
      </c>
      <c r="D1473" s="63" t="s">
        <v>5809</v>
      </c>
      <c r="E1473" s="63" t="s">
        <v>5810</v>
      </c>
      <c r="F1473" s="70">
        <v>39667.0</v>
      </c>
      <c r="G1473" s="63" t="s">
        <v>5811</v>
      </c>
      <c r="H1473" s="66"/>
      <c r="I1473" s="66"/>
      <c r="J1473" s="63" t="s">
        <v>5679</v>
      </c>
      <c r="K1473" s="66"/>
      <c r="L1473" s="66"/>
      <c r="M1473" s="66"/>
      <c r="N1473" s="61"/>
      <c r="O1473" s="51"/>
    </row>
    <row r="1474">
      <c r="A1474" s="75">
        <v>1471.0</v>
      </c>
      <c r="B1474" s="68">
        <v>4686.0</v>
      </c>
      <c r="C1474" s="69" t="s">
        <v>5812</v>
      </c>
      <c r="D1474" s="68" t="s">
        <v>5813</v>
      </c>
      <c r="E1474" s="68" t="s">
        <v>5814</v>
      </c>
      <c r="F1474" s="76">
        <v>40582.0</v>
      </c>
      <c r="G1474" s="68" t="s">
        <v>5815</v>
      </c>
      <c r="H1474" s="71"/>
      <c r="I1474" s="114" t="s">
        <v>5816</v>
      </c>
      <c r="J1474" s="68" t="s">
        <v>5817</v>
      </c>
      <c r="K1474" s="71"/>
      <c r="L1474" s="68" t="s">
        <v>1496</v>
      </c>
      <c r="M1474" s="173" t="s">
        <v>149</v>
      </c>
      <c r="N1474" s="174"/>
      <c r="O1474" s="51"/>
    </row>
    <row r="1475">
      <c r="A1475" s="56">
        <v>1472.0</v>
      </c>
      <c r="B1475" s="68">
        <v>4687.0</v>
      </c>
      <c r="C1475" s="69">
        <v>1490.0</v>
      </c>
      <c r="D1475" s="71"/>
      <c r="E1475" s="68" t="s">
        <v>5818</v>
      </c>
      <c r="F1475" s="76">
        <v>41281.0</v>
      </c>
      <c r="G1475" s="68" t="s">
        <v>5819</v>
      </c>
      <c r="H1475" s="71"/>
      <c r="I1475" s="99" t="s">
        <v>5820</v>
      </c>
      <c r="J1475" s="68" t="s">
        <v>5821</v>
      </c>
      <c r="K1475" s="71"/>
      <c r="L1475" s="66"/>
      <c r="M1475" s="175"/>
      <c r="N1475" s="61"/>
      <c r="O1475" s="51"/>
    </row>
    <row r="1476">
      <c r="A1476" s="56">
        <v>1473.0</v>
      </c>
      <c r="B1476" s="68">
        <v>4688.0</v>
      </c>
      <c r="C1476" s="69">
        <v>1491.0</v>
      </c>
      <c r="D1476" s="71"/>
      <c r="E1476" s="68" t="s">
        <v>5822</v>
      </c>
      <c r="F1476" s="76">
        <v>40725.0</v>
      </c>
      <c r="G1476" s="68" t="s">
        <v>5823</v>
      </c>
      <c r="H1476" s="71"/>
      <c r="I1476" s="99" t="s">
        <v>5824</v>
      </c>
      <c r="J1476" s="68" t="s">
        <v>5825</v>
      </c>
      <c r="K1476" s="71"/>
      <c r="L1476" s="66"/>
      <c r="M1476" s="66"/>
      <c r="N1476" s="61"/>
      <c r="O1476" s="51"/>
    </row>
    <row r="1477">
      <c r="A1477" s="56">
        <v>1474.0</v>
      </c>
      <c r="B1477" s="68">
        <v>4689.0</v>
      </c>
      <c r="C1477" s="69">
        <v>1492.0</v>
      </c>
      <c r="D1477" s="71"/>
      <c r="E1477" s="68" t="s">
        <v>5826</v>
      </c>
      <c r="F1477" s="76">
        <v>39995.0</v>
      </c>
      <c r="G1477" s="68" t="s">
        <v>5827</v>
      </c>
      <c r="H1477" s="71"/>
      <c r="I1477" s="99" t="s">
        <v>5828</v>
      </c>
      <c r="J1477" s="68" t="s">
        <v>5829</v>
      </c>
      <c r="K1477" s="71"/>
      <c r="L1477" s="66"/>
      <c r="M1477" s="66"/>
      <c r="N1477" s="61"/>
      <c r="O1477" s="51"/>
    </row>
    <row r="1478">
      <c r="A1478" s="56">
        <v>1475.0</v>
      </c>
      <c r="B1478" s="68">
        <v>4690.0</v>
      </c>
      <c r="C1478" s="69">
        <v>1493.0</v>
      </c>
      <c r="D1478" s="68" t="s">
        <v>5830</v>
      </c>
      <c r="E1478" s="68" t="s">
        <v>5831</v>
      </c>
      <c r="F1478" s="76">
        <v>40725.0</v>
      </c>
      <c r="G1478" s="68" t="s">
        <v>5832</v>
      </c>
      <c r="H1478" s="71"/>
      <c r="I1478" s="99" t="s">
        <v>5833</v>
      </c>
      <c r="J1478" s="68" t="s">
        <v>5834</v>
      </c>
      <c r="K1478" s="71"/>
      <c r="L1478" s="71"/>
      <c r="M1478" s="71"/>
      <c r="N1478" s="61"/>
      <c r="O1478" s="51"/>
    </row>
    <row r="1479">
      <c r="A1479" s="56">
        <v>1476.0</v>
      </c>
      <c r="B1479" s="63">
        <v>4691.0</v>
      </c>
      <c r="C1479" s="64">
        <v>1494.0</v>
      </c>
      <c r="D1479" s="63" t="s">
        <v>5835</v>
      </c>
      <c r="E1479" s="63" t="s">
        <v>5836</v>
      </c>
      <c r="F1479" s="70">
        <v>39995.0</v>
      </c>
      <c r="G1479" s="63" t="s">
        <v>5837</v>
      </c>
      <c r="H1479" s="63" t="s">
        <v>5838</v>
      </c>
      <c r="I1479" s="99" t="s">
        <v>5839</v>
      </c>
      <c r="J1479" s="63" t="s">
        <v>3575</v>
      </c>
      <c r="K1479" s="66"/>
      <c r="L1479" s="66"/>
      <c r="M1479" s="63" t="s">
        <v>2152</v>
      </c>
      <c r="N1479" s="61"/>
      <c r="O1479" s="51"/>
    </row>
    <row r="1480">
      <c r="A1480" s="56">
        <v>1477.0</v>
      </c>
      <c r="B1480" s="68">
        <v>4692.0</v>
      </c>
      <c r="C1480" s="69">
        <v>1495.0</v>
      </c>
      <c r="D1480" s="71"/>
      <c r="E1480" s="68" t="s">
        <v>5840</v>
      </c>
      <c r="F1480" s="83">
        <v>41446.0</v>
      </c>
      <c r="G1480" s="68" t="s">
        <v>5841</v>
      </c>
      <c r="H1480" s="71"/>
      <c r="I1480" s="114" t="s">
        <v>635</v>
      </c>
      <c r="J1480" s="68" t="s">
        <v>5842</v>
      </c>
      <c r="K1480" s="71"/>
      <c r="L1480" s="71"/>
      <c r="M1480" s="71"/>
      <c r="N1480" s="77"/>
      <c r="O1480" s="51"/>
    </row>
    <row r="1481">
      <c r="A1481" s="62">
        <v>1478.0</v>
      </c>
      <c r="B1481" s="63">
        <v>4693.0</v>
      </c>
      <c r="C1481" s="64">
        <v>1496.0</v>
      </c>
      <c r="D1481" s="66"/>
      <c r="E1481" s="63" t="s">
        <v>5843</v>
      </c>
      <c r="F1481" s="65">
        <v>41566.0</v>
      </c>
      <c r="G1481" s="63" t="s">
        <v>5844</v>
      </c>
      <c r="H1481" s="66"/>
      <c r="I1481" s="99" t="s">
        <v>5845</v>
      </c>
      <c r="J1481" s="66"/>
      <c r="K1481" s="66"/>
      <c r="L1481" s="66"/>
      <c r="M1481" s="63" t="s">
        <v>27</v>
      </c>
      <c r="N1481" s="77"/>
      <c r="O1481" s="51"/>
    </row>
    <row r="1482">
      <c r="A1482" s="56">
        <v>1479.0</v>
      </c>
      <c r="B1482" s="68">
        <v>4694.0</v>
      </c>
      <c r="C1482" s="69">
        <v>1497.0</v>
      </c>
      <c r="D1482" s="68" t="s">
        <v>5846</v>
      </c>
      <c r="E1482" s="68" t="s">
        <v>5847</v>
      </c>
      <c r="F1482" s="76">
        <v>41343.0</v>
      </c>
      <c r="G1482" s="68" t="s">
        <v>5848</v>
      </c>
      <c r="H1482" s="71"/>
      <c r="I1482" s="99" t="s">
        <v>5849</v>
      </c>
      <c r="J1482" s="68" t="s">
        <v>5850</v>
      </c>
      <c r="K1482" s="71"/>
      <c r="L1482" s="71"/>
      <c r="M1482" s="71"/>
      <c r="N1482" s="61"/>
      <c r="O1482" s="51"/>
    </row>
    <row r="1483">
      <c r="A1483" s="56">
        <v>1480.0</v>
      </c>
      <c r="B1483" s="68">
        <v>4695.0</v>
      </c>
      <c r="C1483" s="69">
        <v>1498.0</v>
      </c>
      <c r="D1483" s="71"/>
      <c r="E1483" s="68" t="s">
        <v>5851</v>
      </c>
      <c r="F1483" s="83">
        <v>40875.0</v>
      </c>
      <c r="G1483" s="68" t="s">
        <v>5852</v>
      </c>
      <c r="H1483" s="71"/>
      <c r="I1483" s="99" t="s">
        <v>635</v>
      </c>
      <c r="J1483" s="68" t="s">
        <v>5853</v>
      </c>
      <c r="K1483" s="71"/>
      <c r="L1483" s="66"/>
      <c r="M1483" s="66"/>
      <c r="N1483" s="61"/>
      <c r="O1483" s="51"/>
    </row>
    <row r="1484">
      <c r="A1484" s="56">
        <v>1481.0</v>
      </c>
      <c r="B1484" s="68">
        <v>4696.0</v>
      </c>
      <c r="C1484" s="69">
        <v>1499.0</v>
      </c>
      <c r="D1484" s="71"/>
      <c r="E1484" s="68" t="s">
        <v>5854</v>
      </c>
      <c r="F1484" s="76">
        <v>40797.0</v>
      </c>
      <c r="G1484" s="68" t="s">
        <v>5855</v>
      </c>
      <c r="H1484" s="71"/>
      <c r="I1484" s="114" t="s">
        <v>635</v>
      </c>
      <c r="J1484" s="68" t="s">
        <v>5856</v>
      </c>
      <c r="K1484" s="71"/>
      <c r="L1484" s="71"/>
      <c r="M1484" s="71"/>
      <c r="N1484" s="61"/>
      <c r="O1484" s="51"/>
    </row>
    <row r="1485">
      <c r="A1485" s="56">
        <v>1482.0</v>
      </c>
      <c r="B1485" s="68">
        <v>4697.0</v>
      </c>
      <c r="C1485" s="69">
        <v>1500.0</v>
      </c>
      <c r="D1485" s="71"/>
      <c r="E1485" s="68" t="s">
        <v>5857</v>
      </c>
      <c r="F1485" s="76">
        <v>40587.0</v>
      </c>
      <c r="G1485" s="68" t="s">
        <v>5858</v>
      </c>
      <c r="H1485" s="71"/>
      <c r="I1485" s="99" t="s">
        <v>5859</v>
      </c>
      <c r="J1485" s="68" t="s">
        <v>5860</v>
      </c>
      <c r="K1485" s="71"/>
      <c r="L1485" s="71"/>
      <c r="M1485" s="66"/>
      <c r="N1485" s="61"/>
      <c r="O1485" s="51"/>
    </row>
    <row r="1486">
      <c r="A1486" s="56">
        <v>1483.0</v>
      </c>
      <c r="B1486" s="68">
        <v>4698.0</v>
      </c>
      <c r="C1486" s="69">
        <v>1501.0</v>
      </c>
      <c r="D1486" s="71"/>
      <c r="E1486" s="68" t="s">
        <v>5861</v>
      </c>
      <c r="F1486" s="76">
        <v>41036.0</v>
      </c>
      <c r="G1486" s="68" t="s">
        <v>5862</v>
      </c>
      <c r="H1486" s="71"/>
      <c r="I1486" s="176" t="s">
        <v>5863</v>
      </c>
      <c r="J1486" s="68" t="s">
        <v>5864</v>
      </c>
      <c r="K1486" s="71"/>
      <c r="L1486" s="71"/>
      <c r="M1486" s="66"/>
      <c r="N1486" s="61"/>
      <c r="O1486" s="51"/>
    </row>
    <row r="1487">
      <c r="A1487" s="56">
        <v>1484.0</v>
      </c>
      <c r="B1487" s="68">
        <v>4699.0</v>
      </c>
      <c r="C1487" s="69">
        <v>1502.0</v>
      </c>
      <c r="D1487" s="71"/>
      <c r="E1487" s="68" t="s">
        <v>5865</v>
      </c>
      <c r="F1487" s="76">
        <v>41036.0</v>
      </c>
      <c r="G1487" s="68" t="s">
        <v>5866</v>
      </c>
      <c r="H1487" s="71"/>
      <c r="I1487" s="176" t="s">
        <v>5867</v>
      </c>
      <c r="J1487" s="68" t="s">
        <v>5864</v>
      </c>
      <c r="K1487" s="71"/>
      <c r="L1487" s="66"/>
      <c r="M1487" s="66"/>
      <c r="N1487" s="61"/>
      <c r="O1487" s="51"/>
    </row>
    <row r="1488">
      <c r="A1488" s="56">
        <v>1485.0</v>
      </c>
      <c r="B1488" s="68">
        <v>4700.0</v>
      </c>
      <c r="C1488" s="69">
        <v>1503.0</v>
      </c>
      <c r="D1488" s="71"/>
      <c r="E1488" s="68" t="s">
        <v>5868</v>
      </c>
      <c r="F1488" s="76">
        <v>41429.0</v>
      </c>
      <c r="G1488" s="68" t="s">
        <v>5869</v>
      </c>
      <c r="H1488" s="71"/>
      <c r="I1488" s="99" t="s">
        <v>5870</v>
      </c>
      <c r="J1488" s="68" t="s">
        <v>5871</v>
      </c>
      <c r="K1488" s="71"/>
      <c r="L1488" s="71"/>
      <c r="M1488" s="71"/>
      <c r="N1488" s="61"/>
      <c r="O1488" s="51"/>
    </row>
    <row r="1489">
      <c r="A1489" s="56">
        <v>1486.0</v>
      </c>
      <c r="B1489" s="63">
        <v>4701.0</v>
      </c>
      <c r="C1489" s="64">
        <v>1504.0</v>
      </c>
      <c r="D1489" s="66"/>
      <c r="E1489" s="63" t="s">
        <v>5872</v>
      </c>
      <c r="F1489" s="70">
        <v>39995.0</v>
      </c>
      <c r="G1489" s="63" t="s">
        <v>5873</v>
      </c>
      <c r="H1489" s="63" t="s">
        <v>5874</v>
      </c>
      <c r="I1489" s="99" t="s">
        <v>5875</v>
      </c>
      <c r="J1489" s="63" t="s">
        <v>1872</v>
      </c>
      <c r="K1489" s="66"/>
      <c r="L1489" s="66"/>
      <c r="M1489" s="66"/>
      <c r="N1489" s="61"/>
      <c r="O1489" s="51"/>
    </row>
    <row r="1490">
      <c r="A1490" s="56">
        <v>1487.0</v>
      </c>
      <c r="B1490" s="68">
        <v>4702.0</v>
      </c>
      <c r="C1490" s="69">
        <v>1505.0</v>
      </c>
      <c r="D1490" s="71"/>
      <c r="E1490" s="68" t="s">
        <v>5876</v>
      </c>
      <c r="F1490" s="76">
        <v>39630.0</v>
      </c>
      <c r="G1490" s="68" t="s">
        <v>5877</v>
      </c>
      <c r="H1490" s="68" t="s">
        <v>5878</v>
      </c>
      <c r="I1490" s="99" t="s">
        <v>5879</v>
      </c>
      <c r="J1490" s="68" t="s">
        <v>5880</v>
      </c>
      <c r="K1490" s="71"/>
      <c r="L1490" s="71"/>
      <c r="M1490" s="71"/>
      <c r="N1490" s="61"/>
      <c r="O1490" s="51"/>
    </row>
    <row r="1491">
      <c r="A1491" s="56">
        <v>1488.0</v>
      </c>
      <c r="B1491" s="68">
        <v>4703.0</v>
      </c>
      <c r="C1491" s="69">
        <v>1506.0</v>
      </c>
      <c r="D1491" s="71"/>
      <c r="E1491" s="68" t="s">
        <v>5881</v>
      </c>
      <c r="F1491" s="76">
        <v>39727.0</v>
      </c>
      <c r="G1491" s="68" t="s">
        <v>5882</v>
      </c>
      <c r="H1491" s="71"/>
      <c r="I1491" s="99" t="s">
        <v>5883</v>
      </c>
      <c r="J1491" s="68" t="s">
        <v>5884</v>
      </c>
      <c r="K1491" s="71"/>
      <c r="L1491" s="71"/>
      <c r="M1491" s="66"/>
      <c r="N1491" s="61"/>
      <c r="O1491" s="51"/>
    </row>
    <row r="1492">
      <c r="A1492" s="56">
        <v>1489.0</v>
      </c>
      <c r="B1492" s="68">
        <v>4704.0</v>
      </c>
      <c r="C1492" s="69">
        <v>1507.0</v>
      </c>
      <c r="D1492" s="71"/>
      <c r="E1492" s="68" t="s">
        <v>5885</v>
      </c>
      <c r="F1492" s="83">
        <v>40503.0</v>
      </c>
      <c r="G1492" s="68" t="s">
        <v>5886</v>
      </c>
      <c r="H1492" s="71"/>
      <c r="I1492" s="99" t="s">
        <v>5887</v>
      </c>
      <c r="J1492" s="68" t="s">
        <v>5888</v>
      </c>
      <c r="K1492" s="71"/>
      <c r="L1492" s="71"/>
      <c r="M1492" s="71"/>
      <c r="N1492" s="61"/>
      <c r="O1492" s="51"/>
    </row>
    <row r="1493">
      <c r="A1493" s="56">
        <v>1490.0</v>
      </c>
      <c r="B1493" s="68">
        <v>4705.0</v>
      </c>
      <c r="C1493" s="69">
        <v>1508.0</v>
      </c>
      <c r="D1493" s="71"/>
      <c r="E1493" s="68" t="s">
        <v>5889</v>
      </c>
      <c r="F1493" s="76">
        <v>39995.0</v>
      </c>
      <c r="G1493" s="68" t="s">
        <v>5890</v>
      </c>
      <c r="H1493" s="71"/>
      <c r="I1493" s="99" t="s">
        <v>635</v>
      </c>
      <c r="J1493" s="68" t="s">
        <v>5891</v>
      </c>
      <c r="K1493" s="71"/>
      <c r="L1493" s="71"/>
      <c r="M1493" s="71"/>
      <c r="N1493" s="61"/>
      <c r="O1493" s="51"/>
    </row>
    <row r="1494">
      <c r="A1494" s="56">
        <v>1491.0</v>
      </c>
      <c r="B1494" s="68">
        <v>4706.0</v>
      </c>
      <c r="C1494" s="69">
        <v>1509.0</v>
      </c>
      <c r="D1494" s="71"/>
      <c r="E1494" s="68" t="s">
        <v>5892</v>
      </c>
      <c r="F1494" s="76">
        <v>40360.0</v>
      </c>
      <c r="G1494" s="68" t="s">
        <v>5893</v>
      </c>
      <c r="H1494" s="71"/>
      <c r="I1494" s="99" t="s">
        <v>5894</v>
      </c>
      <c r="J1494" s="68" t="s">
        <v>5895</v>
      </c>
      <c r="K1494" s="71"/>
      <c r="L1494" s="71"/>
      <c r="M1494" s="66"/>
      <c r="N1494" s="61"/>
      <c r="O1494" s="51"/>
    </row>
    <row r="1495">
      <c r="A1495" s="56">
        <v>1492.0</v>
      </c>
      <c r="B1495" s="68">
        <v>4707.0</v>
      </c>
      <c r="C1495" s="69">
        <v>1510.0</v>
      </c>
      <c r="D1495" s="71"/>
      <c r="E1495" s="68" t="s">
        <v>5896</v>
      </c>
      <c r="F1495" s="76">
        <v>40311.0</v>
      </c>
      <c r="G1495" s="68" t="s">
        <v>5897</v>
      </c>
      <c r="H1495" s="71"/>
      <c r="I1495" s="99" t="s">
        <v>635</v>
      </c>
      <c r="J1495" s="68" t="s">
        <v>5898</v>
      </c>
      <c r="K1495" s="71"/>
      <c r="L1495" s="71"/>
      <c r="M1495" s="66"/>
      <c r="N1495" s="61"/>
      <c r="O1495" s="51"/>
    </row>
    <row r="1496">
      <c r="A1496" s="56">
        <v>1493.0</v>
      </c>
      <c r="B1496" s="68">
        <v>4708.0</v>
      </c>
      <c r="C1496" s="69">
        <v>1511.0</v>
      </c>
      <c r="D1496" s="71"/>
      <c r="E1496" s="68" t="s">
        <v>5899</v>
      </c>
      <c r="F1496" s="76">
        <v>40321.0</v>
      </c>
      <c r="G1496" s="68" t="s">
        <v>5900</v>
      </c>
      <c r="H1496" s="68" t="s">
        <v>5901</v>
      </c>
      <c r="I1496" s="99" t="s">
        <v>5902</v>
      </c>
      <c r="J1496" s="68" t="s">
        <v>5903</v>
      </c>
      <c r="K1496" s="71"/>
      <c r="L1496" s="71"/>
      <c r="M1496" s="71"/>
      <c r="N1496" s="61"/>
      <c r="O1496" s="51"/>
    </row>
    <row r="1497">
      <c r="A1497" s="56">
        <v>1494.0</v>
      </c>
      <c r="B1497" s="68">
        <v>4709.0</v>
      </c>
      <c r="C1497" s="69">
        <v>1512.0</v>
      </c>
      <c r="D1497" s="71"/>
      <c r="E1497" s="68" t="s">
        <v>5904</v>
      </c>
      <c r="F1497" s="76">
        <v>41665.0</v>
      </c>
      <c r="G1497" s="68" t="s">
        <v>5905</v>
      </c>
      <c r="H1497" s="71"/>
      <c r="I1497" s="114" t="s">
        <v>635</v>
      </c>
      <c r="J1497" s="68" t="s">
        <v>5906</v>
      </c>
      <c r="K1497" s="71"/>
      <c r="L1497" s="71"/>
      <c r="M1497" s="71"/>
      <c r="N1497" s="61"/>
      <c r="O1497" s="51"/>
    </row>
    <row r="1498">
      <c r="A1498" s="56">
        <v>1495.0</v>
      </c>
      <c r="B1498" s="68">
        <v>4710.0</v>
      </c>
      <c r="C1498" s="69">
        <v>1513.0</v>
      </c>
      <c r="D1498" s="71"/>
      <c r="E1498" s="68" t="s">
        <v>5907</v>
      </c>
      <c r="F1498" s="76">
        <v>41579.0</v>
      </c>
      <c r="G1498" s="68" t="s">
        <v>5908</v>
      </c>
      <c r="H1498" s="71"/>
      <c r="I1498" s="99" t="s">
        <v>5909</v>
      </c>
      <c r="J1498" s="68" t="s">
        <v>5910</v>
      </c>
      <c r="K1498" s="71"/>
      <c r="L1498" s="71"/>
      <c r="M1498" s="71"/>
      <c r="N1498" s="61"/>
      <c r="O1498" s="51"/>
    </row>
    <row r="1499">
      <c r="A1499" s="56">
        <v>1496.0</v>
      </c>
      <c r="B1499" s="68">
        <v>4711.0</v>
      </c>
      <c r="C1499" s="69">
        <v>1514.0</v>
      </c>
      <c r="D1499" s="71"/>
      <c r="E1499" s="68" t="s">
        <v>5911</v>
      </c>
      <c r="F1499" s="76">
        <v>41046.0</v>
      </c>
      <c r="G1499" s="68" t="s">
        <v>5912</v>
      </c>
      <c r="H1499" s="71"/>
      <c r="I1499" s="95" t="s">
        <v>5913</v>
      </c>
      <c r="J1499" s="68" t="s">
        <v>5914</v>
      </c>
      <c r="K1499" s="71"/>
      <c r="L1499" s="71"/>
      <c r="M1499" s="71"/>
      <c r="N1499" s="61"/>
      <c r="O1499" s="51"/>
    </row>
    <row r="1500">
      <c r="A1500" s="56">
        <v>1497.0</v>
      </c>
      <c r="B1500" s="68">
        <v>4712.0</v>
      </c>
      <c r="C1500" s="69" t="s">
        <v>5915</v>
      </c>
      <c r="D1500" s="71"/>
      <c r="E1500" s="68" t="s">
        <v>5916</v>
      </c>
      <c r="F1500" s="83">
        <v>41562.0</v>
      </c>
      <c r="G1500" s="68" t="s">
        <v>5917</v>
      </c>
      <c r="H1500" s="71"/>
      <c r="I1500" s="114" t="s">
        <v>5918</v>
      </c>
      <c r="J1500" s="68" t="s">
        <v>5919</v>
      </c>
      <c r="K1500" s="71"/>
      <c r="L1500" s="68" t="s">
        <v>1496</v>
      </c>
      <c r="M1500" s="68" t="s">
        <v>2692</v>
      </c>
      <c r="N1500" s="77"/>
      <c r="O1500" s="51"/>
    </row>
    <row r="1501">
      <c r="A1501" s="56">
        <v>1498.0</v>
      </c>
      <c r="B1501" s="68">
        <v>4713.0</v>
      </c>
      <c r="C1501" s="69">
        <v>1516.0</v>
      </c>
      <c r="D1501" s="71"/>
      <c r="E1501" s="68" t="s">
        <v>5920</v>
      </c>
      <c r="F1501" s="83">
        <v>41557.0</v>
      </c>
      <c r="G1501" s="68" t="s">
        <v>5921</v>
      </c>
      <c r="H1501" s="71"/>
      <c r="I1501" s="114" t="s">
        <v>5922</v>
      </c>
      <c r="J1501" s="68" t="s">
        <v>5923</v>
      </c>
      <c r="K1501" s="71"/>
      <c r="L1501" s="71"/>
      <c r="M1501" s="71"/>
      <c r="N1501" s="61"/>
      <c r="O1501" s="51"/>
    </row>
    <row r="1502">
      <c r="A1502" s="56">
        <v>1499.0</v>
      </c>
      <c r="B1502" s="63">
        <v>4714.0</v>
      </c>
      <c r="C1502" s="64">
        <v>1517.0</v>
      </c>
      <c r="D1502" s="66"/>
      <c r="E1502" s="63" t="s">
        <v>5924</v>
      </c>
      <c r="F1502" s="70">
        <v>41030.0</v>
      </c>
      <c r="G1502" s="63" t="s">
        <v>5925</v>
      </c>
      <c r="H1502" s="66"/>
      <c r="I1502" s="99" t="s">
        <v>635</v>
      </c>
      <c r="J1502" s="63" t="s">
        <v>5926</v>
      </c>
      <c r="K1502" s="66"/>
      <c r="L1502" s="66"/>
      <c r="M1502" s="63" t="s">
        <v>2097</v>
      </c>
      <c r="N1502" s="61"/>
      <c r="O1502" s="51"/>
    </row>
    <row r="1503">
      <c r="A1503" s="56">
        <v>1500.0</v>
      </c>
      <c r="B1503" s="63">
        <v>4715.0</v>
      </c>
      <c r="C1503" s="64">
        <v>1518.0</v>
      </c>
      <c r="D1503" s="66"/>
      <c r="E1503" s="63" t="s">
        <v>5927</v>
      </c>
      <c r="F1503" s="70">
        <v>40695.0</v>
      </c>
      <c r="G1503" s="63" t="s">
        <v>5928</v>
      </c>
      <c r="H1503" s="66"/>
      <c r="I1503" s="99" t="s">
        <v>635</v>
      </c>
      <c r="J1503" s="63" t="s">
        <v>5926</v>
      </c>
      <c r="K1503" s="66"/>
      <c r="L1503" s="66"/>
      <c r="M1503" s="63" t="s">
        <v>2097</v>
      </c>
      <c r="N1503" s="61"/>
      <c r="O1503" s="51"/>
    </row>
    <row r="1504">
      <c r="A1504" s="56">
        <v>1501.0</v>
      </c>
      <c r="B1504" s="68">
        <v>4716.0</v>
      </c>
      <c r="C1504" s="69">
        <v>1519.0</v>
      </c>
      <c r="D1504" s="71"/>
      <c r="E1504" s="68" t="s">
        <v>5929</v>
      </c>
      <c r="F1504" s="76">
        <v>40041.0</v>
      </c>
      <c r="G1504" s="68" t="s">
        <v>5930</v>
      </c>
      <c r="H1504" s="71"/>
      <c r="I1504" s="99" t="s">
        <v>5931</v>
      </c>
      <c r="J1504" s="68" t="s">
        <v>252</v>
      </c>
      <c r="K1504" s="71"/>
      <c r="L1504" s="71"/>
      <c r="M1504" s="68" t="s">
        <v>137</v>
      </c>
      <c r="N1504" s="61"/>
      <c r="O1504" s="51"/>
    </row>
    <row r="1505">
      <c r="A1505" s="56">
        <v>1502.0</v>
      </c>
      <c r="B1505" s="68">
        <v>4717.0</v>
      </c>
      <c r="C1505" s="69">
        <v>1520.0</v>
      </c>
      <c r="D1505" s="71"/>
      <c r="E1505" s="68" t="s">
        <v>5932</v>
      </c>
      <c r="F1505" s="76">
        <v>40577.0</v>
      </c>
      <c r="G1505" s="68" t="s">
        <v>5933</v>
      </c>
      <c r="H1505" s="71"/>
      <c r="I1505" s="99" t="s">
        <v>5934</v>
      </c>
      <c r="J1505" s="68" t="s">
        <v>5935</v>
      </c>
      <c r="K1505" s="71"/>
      <c r="L1505" s="71"/>
      <c r="M1505" s="71"/>
      <c r="N1505" s="61"/>
      <c r="O1505" s="51"/>
    </row>
    <row r="1506">
      <c r="A1506" s="56">
        <v>1503.0</v>
      </c>
      <c r="B1506" s="68">
        <v>4718.0</v>
      </c>
      <c r="C1506" s="69">
        <v>1521.0</v>
      </c>
      <c r="D1506" s="71"/>
      <c r="E1506" s="68" t="s">
        <v>5936</v>
      </c>
      <c r="F1506" s="83">
        <v>40130.0</v>
      </c>
      <c r="G1506" s="68" t="s">
        <v>5937</v>
      </c>
      <c r="H1506" s="71"/>
      <c r="I1506" s="99" t="s">
        <v>635</v>
      </c>
      <c r="J1506" s="68" t="s">
        <v>5938</v>
      </c>
      <c r="K1506" s="71"/>
      <c r="L1506" s="71"/>
      <c r="M1506" s="71"/>
      <c r="N1506" s="61"/>
      <c r="O1506" s="51"/>
    </row>
    <row r="1507">
      <c r="A1507" s="56">
        <v>1504.0</v>
      </c>
      <c r="B1507" s="63">
        <v>4719.0</v>
      </c>
      <c r="C1507" s="64">
        <v>1522.0</v>
      </c>
      <c r="D1507" s="66"/>
      <c r="E1507" s="63" t="s">
        <v>5939</v>
      </c>
      <c r="F1507" s="70">
        <v>40817.0</v>
      </c>
      <c r="G1507" s="63" t="s">
        <v>5940</v>
      </c>
      <c r="H1507" s="66"/>
      <c r="I1507" s="159"/>
      <c r="J1507" s="63" t="s">
        <v>5679</v>
      </c>
      <c r="K1507" s="66"/>
      <c r="L1507" s="66"/>
      <c r="M1507" s="66"/>
      <c r="N1507" s="61"/>
      <c r="O1507" s="51"/>
    </row>
    <row r="1508">
      <c r="A1508" s="56">
        <v>1505.0</v>
      </c>
      <c r="B1508" s="68">
        <v>4720.0</v>
      </c>
      <c r="C1508" s="69">
        <v>1523.0</v>
      </c>
      <c r="D1508" s="71"/>
      <c r="E1508" s="68" t="s">
        <v>5941</v>
      </c>
      <c r="F1508" s="76">
        <v>40360.0</v>
      </c>
      <c r="G1508" s="68" t="s">
        <v>5942</v>
      </c>
      <c r="H1508" s="71"/>
      <c r="I1508" s="99" t="s">
        <v>5943</v>
      </c>
      <c r="J1508" s="68" t="s">
        <v>4736</v>
      </c>
      <c r="K1508" s="71"/>
      <c r="L1508" s="71"/>
      <c r="M1508" s="71"/>
      <c r="N1508" s="61"/>
      <c r="O1508" s="51"/>
    </row>
    <row r="1509">
      <c r="A1509" s="56">
        <v>1506.0</v>
      </c>
      <c r="B1509" s="63">
        <v>4721.0</v>
      </c>
      <c r="C1509" s="64">
        <v>1524.0</v>
      </c>
      <c r="D1509" s="66"/>
      <c r="E1509" s="63" t="s">
        <v>5944</v>
      </c>
      <c r="F1509" s="70">
        <v>39995.0</v>
      </c>
      <c r="G1509" s="63" t="s">
        <v>5942</v>
      </c>
      <c r="H1509" s="66"/>
      <c r="I1509" s="99" t="s">
        <v>5945</v>
      </c>
      <c r="J1509" s="63" t="s">
        <v>5946</v>
      </c>
      <c r="K1509" s="66"/>
      <c r="L1509" s="66"/>
      <c r="M1509" s="63" t="s">
        <v>2466</v>
      </c>
      <c r="N1509" s="61"/>
      <c r="O1509" s="51"/>
    </row>
    <row r="1510">
      <c r="A1510" s="56">
        <v>1507.0</v>
      </c>
      <c r="B1510" s="68">
        <v>4722.0</v>
      </c>
      <c r="C1510" s="69">
        <v>1525.0</v>
      </c>
      <c r="D1510" s="71"/>
      <c r="E1510" s="68" t="s">
        <v>5947</v>
      </c>
      <c r="F1510" s="76">
        <v>40360.0</v>
      </c>
      <c r="G1510" s="68" t="s">
        <v>5948</v>
      </c>
      <c r="H1510" s="71"/>
      <c r="I1510" s="99" t="s">
        <v>5949</v>
      </c>
      <c r="J1510" s="68" t="s">
        <v>5950</v>
      </c>
      <c r="K1510" s="71"/>
      <c r="L1510" s="71"/>
      <c r="M1510" s="71"/>
      <c r="N1510" s="61"/>
      <c r="O1510" s="51"/>
    </row>
    <row r="1511">
      <c r="A1511" s="56">
        <v>1508.0</v>
      </c>
      <c r="B1511" s="68">
        <v>4723.0</v>
      </c>
      <c r="C1511" s="69">
        <v>1526.0</v>
      </c>
      <c r="D1511" s="71"/>
      <c r="E1511" s="68" t="s">
        <v>5951</v>
      </c>
      <c r="F1511" s="83">
        <v>40130.0</v>
      </c>
      <c r="G1511" s="68" t="s">
        <v>5937</v>
      </c>
      <c r="H1511" s="68" t="s">
        <v>5952</v>
      </c>
      <c r="I1511" s="99" t="s">
        <v>5953</v>
      </c>
      <c r="J1511" s="68" t="s">
        <v>5954</v>
      </c>
      <c r="K1511" s="66"/>
      <c r="L1511" s="66"/>
      <c r="M1511" s="63" t="s">
        <v>137</v>
      </c>
      <c r="N1511" s="61"/>
      <c r="O1511" s="51"/>
    </row>
    <row r="1512">
      <c r="A1512" s="56">
        <v>1509.0</v>
      </c>
      <c r="B1512" s="68">
        <v>4724.0</v>
      </c>
      <c r="C1512" s="69">
        <v>1527.0</v>
      </c>
      <c r="D1512" s="71"/>
      <c r="E1512" s="68" t="s">
        <v>5955</v>
      </c>
      <c r="F1512" s="76">
        <v>41088.0</v>
      </c>
      <c r="G1512" s="68" t="s">
        <v>5956</v>
      </c>
      <c r="H1512" s="71"/>
      <c r="I1512" s="99" t="s">
        <v>635</v>
      </c>
      <c r="J1512" s="68" t="s">
        <v>5957</v>
      </c>
      <c r="K1512" s="71"/>
      <c r="L1512" s="71"/>
      <c r="M1512" s="66"/>
      <c r="N1512" s="61"/>
      <c r="O1512" s="51"/>
    </row>
    <row r="1513">
      <c r="A1513" s="56">
        <v>1510.0</v>
      </c>
      <c r="B1513" s="68">
        <v>4725.0</v>
      </c>
      <c r="C1513" s="69">
        <v>1528.0</v>
      </c>
      <c r="D1513" s="71"/>
      <c r="E1513" s="68" t="s">
        <v>5958</v>
      </c>
      <c r="F1513" s="76">
        <v>40299.0</v>
      </c>
      <c r="G1513" s="68" t="s">
        <v>5959</v>
      </c>
      <c r="H1513" s="71"/>
      <c r="I1513" s="99" t="s">
        <v>635</v>
      </c>
      <c r="J1513" s="68" t="s">
        <v>5960</v>
      </c>
      <c r="K1513" s="71"/>
      <c r="L1513" s="71"/>
      <c r="M1513" s="66"/>
      <c r="N1513" s="61"/>
      <c r="O1513" s="51"/>
    </row>
    <row r="1514">
      <c r="A1514" s="56">
        <v>1511.0</v>
      </c>
      <c r="B1514" s="68">
        <v>4726.0</v>
      </c>
      <c r="C1514" s="69">
        <v>1529.0</v>
      </c>
      <c r="D1514" s="71"/>
      <c r="E1514" s="68" t="s">
        <v>5961</v>
      </c>
      <c r="F1514" s="83">
        <v>41206.0</v>
      </c>
      <c r="G1514" s="68" t="s">
        <v>5962</v>
      </c>
      <c r="H1514" s="71"/>
      <c r="I1514" s="99" t="s">
        <v>635</v>
      </c>
      <c r="J1514" s="68" t="s">
        <v>5963</v>
      </c>
      <c r="K1514" s="71"/>
      <c r="L1514" s="71"/>
      <c r="M1514" s="71"/>
      <c r="N1514" s="61"/>
      <c r="O1514" s="51"/>
    </row>
    <row r="1515">
      <c r="A1515" s="56">
        <v>1512.0</v>
      </c>
      <c r="B1515" s="68">
        <v>4727.0</v>
      </c>
      <c r="C1515" s="69">
        <v>1530.0</v>
      </c>
      <c r="D1515" s="71"/>
      <c r="E1515" s="68" t="s">
        <v>5964</v>
      </c>
      <c r="F1515" s="76">
        <v>40340.0</v>
      </c>
      <c r="G1515" s="68" t="s">
        <v>5965</v>
      </c>
      <c r="H1515" s="71"/>
      <c r="I1515" s="99" t="s">
        <v>5966</v>
      </c>
      <c r="J1515" s="68" t="s">
        <v>5967</v>
      </c>
      <c r="K1515" s="71"/>
      <c r="L1515" s="71"/>
      <c r="M1515" s="66"/>
      <c r="N1515" s="61"/>
      <c r="O1515" s="51"/>
    </row>
    <row r="1516">
      <c r="A1516" s="56">
        <v>1513.0</v>
      </c>
      <c r="B1516" s="63">
        <v>4728.0</v>
      </c>
      <c r="C1516" s="64">
        <v>1531.0</v>
      </c>
      <c r="D1516" s="66"/>
      <c r="E1516" s="63" t="s">
        <v>5968</v>
      </c>
      <c r="F1516" s="70">
        <v>41091.0</v>
      </c>
      <c r="G1516" s="63" t="s">
        <v>5962</v>
      </c>
      <c r="H1516" s="66"/>
      <c r="I1516" s="99" t="s">
        <v>5969</v>
      </c>
      <c r="J1516" s="63" t="s">
        <v>136</v>
      </c>
      <c r="K1516" s="66"/>
      <c r="L1516" s="66"/>
      <c r="M1516" s="63" t="s">
        <v>530</v>
      </c>
      <c r="N1516" s="61"/>
      <c r="O1516" s="51"/>
    </row>
    <row r="1517">
      <c r="A1517" s="56">
        <v>1514.0</v>
      </c>
      <c r="B1517" s="68">
        <v>4729.0</v>
      </c>
      <c r="C1517" s="69">
        <v>1532.0</v>
      </c>
      <c r="D1517" s="71"/>
      <c r="E1517" s="68" t="s">
        <v>5970</v>
      </c>
      <c r="F1517" s="76">
        <v>40335.0</v>
      </c>
      <c r="G1517" s="68" t="s">
        <v>5971</v>
      </c>
      <c r="H1517" s="71"/>
      <c r="I1517" s="176" t="s">
        <v>5972</v>
      </c>
      <c r="J1517" s="68" t="s">
        <v>5973</v>
      </c>
      <c r="K1517" s="71"/>
      <c r="L1517" s="71"/>
      <c r="M1517" s="71"/>
      <c r="N1517" s="61"/>
      <c r="O1517" s="51"/>
    </row>
    <row r="1518">
      <c r="A1518" s="56">
        <v>1515.0</v>
      </c>
      <c r="B1518" s="68">
        <v>4730.0</v>
      </c>
      <c r="C1518" s="69">
        <v>1533.0</v>
      </c>
      <c r="D1518" s="71"/>
      <c r="E1518" s="68" t="s">
        <v>5974</v>
      </c>
      <c r="F1518" s="76">
        <v>40780.0</v>
      </c>
      <c r="G1518" s="68" t="s">
        <v>5975</v>
      </c>
      <c r="H1518" s="71"/>
      <c r="I1518" s="99" t="s">
        <v>5976</v>
      </c>
      <c r="J1518" s="68" t="s">
        <v>5977</v>
      </c>
      <c r="K1518" s="71"/>
      <c r="L1518" s="71"/>
      <c r="M1518" s="71"/>
      <c r="N1518" s="61"/>
      <c r="O1518" s="51"/>
    </row>
    <row r="1519">
      <c r="A1519" s="56">
        <v>1516.0</v>
      </c>
      <c r="B1519" s="68">
        <v>4731.0</v>
      </c>
      <c r="C1519" s="69">
        <v>1534.0</v>
      </c>
      <c r="D1519" s="71"/>
      <c r="E1519" s="68" t="s">
        <v>5978</v>
      </c>
      <c r="F1519" s="76">
        <v>41435.0</v>
      </c>
      <c r="G1519" s="68" t="s">
        <v>5979</v>
      </c>
      <c r="H1519" s="71"/>
      <c r="I1519" s="159"/>
      <c r="J1519" s="68" t="s">
        <v>5980</v>
      </c>
      <c r="K1519" s="71"/>
      <c r="L1519" s="71"/>
      <c r="M1519" s="71"/>
      <c r="N1519" s="61"/>
      <c r="O1519" s="51"/>
    </row>
    <row r="1520">
      <c r="A1520" s="56">
        <v>1517.0</v>
      </c>
      <c r="B1520" s="68">
        <v>4732.0</v>
      </c>
      <c r="C1520" s="69">
        <v>1535.0</v>
      </c>
      <c r="D1520" s="71"/>
      <c r="E1520" s="68" t="s">
        <v>5981</v>
      </c>
      <c r="F1520" s="76">
        <v>41296.0</v>
      </c>
      <c r="G1520" s="68" t="s">
        <v>5982</v>
      </c>
      <c r="H1520" s="71"/>
      <c r="I1520" s="99" t="s">
        <v>635</v>
      </c>
      <c r="J1520" s="68" t="s">
        <v>5980</v>
      </c>
      <c r="K1520" s="71"/>
      <c r="L1520" s="71"/>
      <c r="M1520" s="71"/>
      <c r="N1520" s="61"/>
      <c r="O1520" s="51"/>
    </row>
    <row r="1521">
      <c r="A1521" s="56">
        <v>1518.0</v>
      </c>
      <c r="B1521" s="68">
        <v>4733.0</v>
      </c>
      <c r="C1521" s="69">
        <v>1536.0</v>
      </c>
      <c r="D1521" s="71"/>
      <c r="E1521" s="68" t="s">
        <v>5983</v>
      </c>
      <c r="F1521" s="76">
        <v>41276.0</v>
      </c>
      <c r="G1521" s="68" t="s">
        <v>5984</v>
      </c>
      <c r="H1521" s="71"/>
      <c r="I1521" s="159"/>
      <c r="J1521" s="68" t="s">
        <v>5985</v>
      </c>
      <c r="K1521" s="71"/>
      <c r="L1521" s="71"/>
      <c r="M1521" s="71"/>
      <c r="N1521" s="61"/>
      <c r="O1521" s="51"/>
    </row>
    <row r="1522">
      <c r="A1522" s="56">
        <v>1519.0</v>
      </c>
      <c r="B1522" s="68">
        <v>4734.0</v>
      </c>
      <c r="C1522" s="69" t="s">
        <v>5986</v>
      </c>
      <c r="D1522" s="71"/>
      <c r="E1522" s="68" t="s">
        <v>5987</v>
      </c>
      <c r="F1522" s="76">
        <v>41519.0</v>
      </c>
      <c r="G1522" s="68" t="s">
        <v>5988</v>
      </c>
      <c r="H1522" s="71"/>
      <c r="I1522" s="99" t="s">
        <v>5989</v>
      </c>
      <c r="J1522" s="68" t="s">
        <v>2774</v>
      </c>
      <c r="K1522" s="71"/>
      <c r="L1522" s="68" t="s">
        <v>1496</v>
      </c>
      <c r="M1522" s="68" t="s">
        <v>5990</v>
      </c>
      <c r="N1522" s="61"/>
      <c r="O1522" s="51"/>
    </row>
    <row r="1523">
      <c r="A1523" s="56">
        <v>1520.0</v>
      </c>
      <c r="B1523" s="57">
        <v>4735.0</v>
      </c>
      <c r="C1523" s="58">
        <v>1538.0</v>
      </c>
      <c r="D1523" s="90"/>
      <c r="E1523" s="57" t="s">
        <v>5991</v>
      </c>
      <c r="F1523" s="78">
        <v>41557.0</v>
      </c>
      <c r="G1523" s="57" t="s">
        <v>5992</v>
      </c>
      <c r="H1523" s="60"/>
      <c r="I1523" s="177" t="s">
        <v>5993</v>
      </c>
      <c r="J1523" s="57" t="s">
        <v>5994</v>
      </c>
      <c r="K1523" s="60"/>
      <c r="L1523" s="60"/>
      <c r="M1523" s="57" t="s">
        <v>143</v>
      </c>
      <c r="N1523" s="112"/>
      <c r="O1523" s="51"/>
    </row>
    <row r="1524">
      <c r="A1524" s="56">
        <v>1521.0</v>
      </c>
      <c r="B1524" s="68">
        <v>4736.0</v>
      </c>
      <c r="C1524" s="69">
        <v>1539.0</v>
      </c>
      <c r="D1524" s="71"/>
      <c r="E1524" s="68" t="s">
        <v>5995</v>
      </c>
      <c r="F1524" s="76">
        <v>41412.0</v>
      </c>
      <c r="G1524" s="68" t="s">
        <v>5996</v>
      </c>
      <c r="H1524" s="71"/>
      <c r="I1524" s="91" t="s">
        <v>5997</v>
      </c>
      <c r="J1524" s="68" t="s">
        <v>5998</v>
      </c>
      <c r="K1524" s="71"/>
      <c r="L1524" s="71"/>
      <c r="M1524" s="71"/>
      <c r="N1524" s="61"/>
      <c r="O1524" s="51"/>
    </row>
    <row r="1525">
      <c r="A1525" s="56">
        <v>1522.0</v>
      </c>
      <c r="B1525" s="63">
        <v>4737.0</v>
      </c>
      <c r="C1525" s="64" t="s">
        <v>5999</v>
      </c>
      <c r="D1525" s="66"/>
      <c r="E1525" s="63" t="s">
        <v>6000</v>
      </c>
      <c r="F1525" s="70">
        <v>41521.0</v>
      </c>
      <c r="G1525" s="63" t="s">
        <v>6001</v>
      </c>
      <c r="H1525" s="66"/>
      <c r="I1525" s="159"/>
      <c r="J1525" s="63" t="s">
        <v>136</v>
      </c>
      <c r="K1525" s="66"/>
      <c r="L1525" s="63" t="s">
        <v>1496</v>
      </c>
      <c r="M1525" s="63" t="s">
        <v>149</v>
      </c>
      <c r="N1525" s="61"/>
      <c r="O1525" s="51"/>
    </row>
    <row r="1526">
      <c r="A1526" s="56">
        <v>1523.0</v>
      </c>
      <c r="B1526" s="68">
        <v>4738.0</v>
      </c>
      <c r="C1526" s="69">
        <v>1541.0</v>
      </c>
      <c r="D1526" s="71"/>
      <c r="E1526" s="68" t="s">
        <v>6002</v>
      </c>
      <c r="F1526" s="83">
        <v>41574.0</v>
      </c>
      <c r="G1526" s="68" t="s">
        <v>6003</v>
      </c>
      <c r="H1526" s="71"/>
      <c r="I1526" s="114" t="s">
        <v>6004</v>
      </c>
      <c r="J1526" s="68" t="s">
        <v>6005</v>
      </c>
      <c r="K1526" s="71"/>
      <c r="L1526" s="71"/>
      <c r="M1526" s="71"/>
      <c r="N1526" s="61"/>
      <c r="O1526" s="51"/>
    </row>
    <row r="1527">
      <c r="A1527" s="56">
        <v>1524.0</v>
      </c>
      <c r="B1527" s="68">
        <v>4739.0</v>
      </c>
      <c r="C1527" s="69">
        <v>1542.0</v>
      </c>
      <c r="D1527" s="71"/>
      <c r="E1527" s="68" t="s">
        <v>6006</v>
      </c>
      <c r="F1527" s="76">
        <v>40818.0</v>
      </c>
      <c r="G1527" s="68" t="s">
        <v>6007</v>
      </c>
      <c r="H1527" s="71"/>
      <c r="I1527" s="114" t="s">
        <v>6008</v>
      </c>
      <c r="J1527" s="68" t="s">
        <v>6009</v>
      </c>
      <c r="K1527" s="71"/>
      <c r="L1527" s="71"/>
      <c r="M1527" s="68" t="s">
        <v>6010</v>
      </c>
      <c r="N1527" s="61"/>
      <c r="O1527" s="51"/>
    </row>
    <row r="1528">
      <c r="A1528" s="56">
        <v>1525.0</v>
      </c>
      <c r="B1528" s="68">
        <v>4740.0</v>
      </c>
      <c r="C1528" s="69">
        <v>1543.0</v>
      </c>
      <c r="D1528" s="71"/>
      <c r="E1528" s="68" t="s">
        <v>6011</v>
      </c>
      <c r="F1528" s="83">
        <v>41201.0</v>
      </c>
      <c r="G1528" s="68" t="s">
        <v>6012</v>
      </c>
      <c r="H1528" s="71"/>
      <c r="I1528" s="114" t="s">
        <v>6013</v>
      </c>
      <c r="J1528" s="68" t="s">
        <v>6014</v>
      </c>
      <c r="K1528" s="71"/>
      <c r="L1528" s="71"/>
      <c r="M1528" s="71"/>
      <c r="N1528" s="61"/>
      <c r="O1528" s="51"/>
    </row>
    <row r="1529">
      <c r="A1529" s="56">
        <v>1526.0</v>
      </c>
      <c r="B1529" s="68">
        <v>4741.0</v>
      </c>
      <c r="C1529" s="69">
        <v>1544.0</v>
      </c>
      <c r="D1529" s="71"/>
      <c r="E1529" s="68" t="s">
        <v>6015</v>
      </c>
      <c r="F1529" s="83">
        <v>41568.0</v>
      </c>
      <c r="G1529" s="68" t="s">
        <v>6016</v>
      </c>
      <c r="H1529" s="71"/>
      <c r="I1529" s="114" t="s">
        <v>6017</v>
      </c>
      <c r="J1529" s="68" t="s">
        <v>6018</v>
      </c>
      <c r="K1529" s="71"/>
      <c r="L1529" s="71"/>
      <c r="M1529" s="71"/>
      <c r="N1529" s="61"/>
      <c r="O1529" s="51"/>
    </row>
    <row r="1530">
      <c r="A1530" s="56">
        <v>1527.0</v>
      </c>
      <c r="B1530" s="68">
        <v>4742.0</v>
      </c>
      <c r="C1530" s="69">
        <v>1545.0</v>
      </c>
      <c r="D1530" s="71"/>
      <c r="E1530" s="68" t="s">
        <v>6019</v>
      </c>
      <c r="F1530" s="83">
        <v>39741.0</v>
      </c>
      <c r="G1530" s="68" t="s">
        <v>6020</v>
      </c>
      <c r="H1530" s="71"/>
      <c r="I1530" s="99" t="s">
        <v>6021</v>
      </c>
      <c r="J1530" s="68" t="s">
        <v>2774</v>
      </c>
      <c r="K1530" s="71"/>
      <c r="L1530" s="71"/>
      <c r="M1530" s="104"/>
      <c r="N1530" s="105"/>
      <c r="O1530" s="51"/>
    </row>
    <row r="1531">
      <c r="A1531" s="56">
        <v>1528.0</v>
      </c>
      <c r="B1531" s="68">
        <v>4743.0</v>
      </c>
      <c r="C1531" s="69">
        <v>1546.0</v>
      </c>
      <c r="D1531" s="71"/>
      <c r="E1531" s="68" t="s">
        <v>6022</v>
      </c>
      <c r="F1531" s="83">
        <v>41571.0</v>
      </c>
      <c r="G1531" s="68" t="s">
        <v>6023</v>
      </c>
      <c r="H1531" s="71"/>
      <c r="I1531" s="99" t="s">
        <v>6024</v>
      </c>
      <c r="J1531" s="68" t="s">
        <v>6025</v>
      </c>
      <c r="K1531" s="71"/>
      <c r="L1531" s="71"/>
      <c r="M1531" s="111"/>
      <c r="N1531" s="61"/>
      <c r="O1531" s="51"/>
    </row>
    <row r="1532">
      <c r="A1532" s="56">
        <v>1529.0</v>
      </c>
      <c r="B1532" s="68">
        <v>4744.0</v>
      </c>
      <c r="C1532" s="69">
        <v>1547.0</v>
      </c>
      <c r="D1532" s="71"/>
      <c r="E1532" s="68" t="s">
        <v>6026</v>
      </c>
      <c r="F1532" s="83">
        <v>41571.0</v>
      </c>
      <c r="G1532" s="68" t="s">
        <v>6023</v>
      </c>
      <c r="H1532" s="71"/>
      <c r="I1532" s="99" t="s">
        <v>6024</v>
      </c>
      <c r="J1532" s="68" t="s">
        <v>6027</v>
      </c>
      <c r="K1532" s="71"/>
      <c r="L1532" s="71"/>
      <c r="M1532" s="71"/>
      <c r="N1532" s="61"/>
      <c r="O1532" s="51"/>
    </row>
    <row r="1533">
      <c r="A1533" s="56">
        <v>1530.0</v>
      </c>
      <c r="B1533" s="68">
        <v>4745.0</v>
      </c>
      <c r="C1533" s="69">
        <v>1548.0</v>
      </c>
      <c r="D1533" s="71"/>
      <c r="E1533" s="68" t="s">
        <v>6028</v>
      </c>
      <c r="F1533" s="68" t="s">
        <v>407</v>
      </c>
      <c r="G1533" s="68" t="s">
        <v>6029</v>
      </c>
      <c r="H1533" s="71"/>
      <c r="I1533" s="99" t="s">
        <v>6030</v>
      </c>
      <c r="J1533" s="68" t="s">
        <v>6031</v>
      </c>
      <c r="K1533" s="71"/>
      <c r="L1533" s="71"/>
      <c r="M1533" s="71"/>
      <c r="N1533" s="61"/>
      <c r="O1533" s="51"/>
    </row>
    <row r="1534">
      <c r="A1534" s="56">
        <v>1531.0</v>
      </c>
      <c r="B1534" s="68">
        <v>4746.0</v>
      </c>
      <c r="C1534" s="69">
        <v>1549.0</v>
      </c>
      <c r="D1534" s="71"/>
      <c r="E1534" s="68" t="s">
        <v>6032</v>
      </c>
      <c r="F1534" s="76">
        <v>41351.0</v>
      </c>
      <c r="G1534" s="68" t="s">
        <v>6033</v>
      </c>
      <c r="H1534" s="71"/>
      <c r="I1534" s="99" t="s">
        <v>6034</v>
      </c>
      <c r="J1534" s="68" t="s">
        <v>6035</v>
      </c>
      <c r="K1534" s="71"/>
      <c r="L1534" s="71"/>
      <c r="M1534" s="71"/>
      <c r="N1534" s="61"/>
      <c r="O1534" s="51"/>
    </row>
    <row r="1535">
      <c r="A1535" s="56">
        <v>1532.0</v>
      </c>
      <c r="B1535" s="68">
        <v>4747.0</v>
      </c>
      <c r="C1535" s="69">
        <v>1550.0</v>
      </c>
      <c r="D1535" s="71"/>
      <c r="E1535" s="68" t="s">
        <v>6036</v>
      </c>
      <c r="F1535" s="76">
        <v>41403.0</v>
      </c>
      <c r="G1535" s="68" t="s">
        <v>6037</v>
      </c>
      <c r="H1535" s="71"/>
      <c r="I1535" s="114" t="s">
        <v>6038</v>
      </c>
      <c r="J1535" s="68" t="s">
        <v>6039</v>
      </c>
      <c r="K1535" s="71"/>
      <c r="L1535" s="71"/>
      <c r="M1535" s="71"/>
      <c r="N1535" s="61"/>
      <c r="O1535" s="51"/>
    </row>
    <row r="1536">
      <c r="A1536" s="56">
        <v>1533.0</v>
      </c>
      <c r="B1536" s="57">
        <v>4748.0</v>
      </c>
      <c r="C1536" s="58">
        <v>1551.0</v>
      </c>
      <c r="D1536" s="60"/>
      <c r="E1536" s="57" t="s">
        <v>6040</v>
      </c>
      <c r="F1536" s="59">
        <v>39422.0</v>
      </c>
      <c r="G1536" s="57" t="s">
        <v>6041</v>
      </c>
      <c r="H1536" s="60"/>
      <c r="I1536" s="99" t="s">
        <v>6042</v>
      </c>
      <c r="J1536" s="57" t="s">
        <v>6043</v>
      </c>
      <c r="K1536" s="60"/>
      <c r="L1536" s="60"/>
      <c r="M1536" s="60"/>
      <c r="N1536" s="61"/>
      <c r="O1536" s="51"/>
    </row>
    <row r="1537">
      <c r="A1537" s="56">
        <v>1534.0</v>
      </c>
      <c r="B1537" s="68">
        <v>4749.0</v>
      </c>
      <c r="C1537" s="69">
        <v>1552.0</v>
      </c>
      <c r="D1537" s="71"/>
      <c r="E1537" s="68" t="s">
        <v>6044</v>
      </c>
      <c r="F1537" s="83">
        <v>41602.0</v>
      </c>
      <c r="G1537" s="68" t="s">
        <v>6045</v>
      </c>
      <c r="H1537" s="71"/>
      <c r="I1537" s="114" t="s">
        <v>6046</v>
      </c>
      <c r="J1537" s="87" t="s">
        <v>6047</v>
      </c>
      <c r="K1537" s="116"/>
      <c r="L1537" s="116"/>
      <c r="M1537" s="116"/>
      <c r="N1537" s="61"/>
      <c r="O1537" s="51"/>
    </row>
    <row r="1538">
      <c r="A1538" s="75">
        <v>1535.0</v>
      </c>
      <c r="B1538" s="68">
        <v>4750.0</v>
      </c>
      <c r="C1538" s="69">
        <v>1553.0</v>
      </c>
      <c r="D1538" s="71"/>
      <c r="E1538" s="68" t="s">
        <v>6048</v>
      </c>
      <c r="F1538" s="68">
        <v>2009.0</v>
      </c>
      <c r="G1538" s="68" t="s">
        <v>6049</v>
      </c>
      <c r="H1538" s="71"/>
      <c r="I1538" s="114" t="s">
        <v>6050</v>
      </c>
      <c r="J1538" s="68" t="s">
        <v>6051</v>
      </c>
      <c r="K1538" s="71"/>
      <c r="L1538" s="71"/>
      <c r="M1538" s="68" t="s">
        <v>4749</v>
      </c>
      <c r="N1538" s="77"/>
      <c r="O1538" s="51"/>
    </row>
    <row r="1539">
      <c r="A1539" s="56">
        <v>1536.0</v>
      </c>
      <c r="B1539" s="63">
        <v>4751.0</v>
      </c>
      <c r="C1539" s="64">
        <v>1554.0</v>
      </c>
      <c r="D1539" s="66"/>
      <c r="E1539" s="63" t="s">
        <v>6052</v>
      </c>
      <c r="F1539" s="63">
        <v>2009.0</v>
      </c>
      <c r="G1539" s="63" t="s">
        <v>6053</v>
      </c>
      <c r="H1539" s="66"/>
      <c r="I1539" s="99" t="s">
        <v>6054</v>
      </c>
      <c r="J1539" s="63" t="s">
        <v>6055</v>
      </c>
      <c r="K1539" s="66"/>
      <c r="L1539" s="66"/>
      <c r="M1539" s="63" t="s">
        <v>530</v>
      </c>
      <c r="N1539" s="61"/>
      <c r="O1539" s="51"/>
    </row>
    <row r="1540">
      <c r="A1540" s="56">
        <v>1537.0</v>
      </c>
      <c r="B1540" s="68">
        <v>4752.0</v>
      </c>
      <c r="C1540" s="69">
        <v>1555.0</v>
      </c>
      <c r="D1540" s="71"/>
      <c r="E1540" s="68" t="s">
        <v>6056</v>
      </c>
      <c r="F1540" s="68">
        <v>2009.0</v>
      </c>
      <c r="G1540" s="68" t="s">
        <v>6057</v>
      </c>
      <c r="H1540" s="71"/>
      <c r="I1540" s="114" t="s">
        <v>635</v>
      </c>
      <c r="J1540" s="68" t="s">
        <v>6058</v>
      </c>
      <c r="K1540" s="71"/>
      <c r="L1540" s="71"/>
      <c r="M1540" s="71"/>
      <c r="N1540" s="61"/>
      <c r="O1540" s="51"/>
    </row>
    <row r="1541">
      <c r="A1541" s="56">
        <v>1538.0</v>
      </c>
      <c r="B1541" s="63">
        <v>4753.0</v>
      </c>
      <c r="C1541" s="64">
        <v>1556.0</v>
      </c>
      <c r="D1541" s="66"/>
      <c r="E1541" s="63" t="s">
        <v>6059</v>
      </c>
      <c r="F1541" s="70">
        <v>40048.0</v>
      </c>
      <c r="G1541" s="63" t="s">
        <v>6060</v>
      </c>
      <c r="H1541" s="66"/>
      <c r="I1541" s="99" t="s">
        <v>635</v>
      </c>
      <c r="J1541" s="63" t="s">
        <v>6061</v>
      </c>
      <c r="K1541" s="66"/>
      <c r="L1541" s="66"/>
      <c r="M1541" s="63" t="s">
        <v>941</v>
      </c>
      <c r="N1541" s="61"/>
      <c r="O1541" s="51"/>
    </row>
    <row r="1542">
      <c r="A1542" s="56">
        <v>1539.0</v>
      </c>
      <c r="B1542" s="68">
        <v>4754.0</v>
      </c>
      <c r="C1542" s="69">
        <v>1557.0</v>
      </c>
      <c r="D1542" s="71"/>
      <c r="E1542" s="68" t="s">
        <v>6062</v>
      </c>
      <c r="F1542" s="68">
        <v>2009.0</v>
      </c>
      <c r="G1542" s="68" t="s">
        <v>6063</v>
      </c>
      <c r="H1542" s="71"/>
      <c r="I1542" s="99" t="s">
        <v>635</v>
      </c>
      <c r="J1542" s="68" t="s">
        <v>6058</v>
      </c>
      <c r="K1542" s="71"/>
      <c r="L1542" s="71"/>
      <c r="M1542" s="66"/>
      <c r="N1542" s="61"/>
      <c r="O1542" s="51"/>
    </row>
    <row r="1543">
      <c r="A1543" s="56">
        <v>1540.0</v>
      </c>
      <c r="B1543" s="68">
        <v>4755.0</v>
      </c>
      <c r="C1543" s="69">
        <v>1558.0</v>
      </c>
      <c r="D1543" s="71"/>
      <c r="E1543" s="68" t="s">
        <v>6064</v>
      </c>
      <c r="F1543" s="68">
        <v>2009.0</v>
      </c>
      <c r="G1543" s="68" t="s">
        <v>6065</v>
      </c>
      <c r="H1543" s="71"/>
      <c r="I1543" s="86" t="s">
        <v>635</v>
      </c>
      <c r="J1543" s="68" t="s">
        <v>6066</v>
      </c>
      <c r="K1543" s="71"/>
      <c r="L1543" s="71"/>
      <c r="M1543" s="66"/>
      <c r="N1543" s="61"/>
      <c r="O1543" s="51"/>
    </row>
    <row r="1544">
      <c r="A1544" s="56">
        <v>1541.0</v>
      </c>
      <c r="B1544" s="57">
        <v>4756.0</v>
      </c>
      <c r="C1544" s="58">
        <v>1559.0</v>
      </c>
      <c r="D1544" s="60"/>
      <c r="E1544" s="57" t="s">
        <v>6067</v>
      </c>
      <c r="F1544" s="60"/>
      <c r="G1544" s="57" t="s">
        <v>6068</v>
      </c>
      <c r="H1544" s="60"/>
      <c r="I1544" s="99" t="s">
        <v>635</v>
      </c>
      <c r="J1544" s="57" t="s">
        <v>6069</v>
      </c>
      <c r="K1544" s="60"/>
      <c r="L1544" s="60"/>
      <c r="M1544" s="104"/>
      <c r="N1544" s="105"/>
      <c r="O1544" s="51"/>
    </row>
    <row r="1545">
      <c r="A1545" s="56">
        <v>1542.0</v>
      </c>
      <c r="B1545" s="63">
        <v>4757.0</v>
      </c>
      <c r="C1545" s="64">
        <v>1560.0</v>
      </c>
      <c r="D1545" s="66"/>
      <c r="E1545" s="63" t="s">
        <v>6070</v>
      </c>
      <c r="F1545" s="63">
        <v>2009.0</v>
      </c>
      <c r="G1545" s="63" t="s">
        <v>6071</v>
      </c>
      <c r="H1545" s="66"/>
      <c r="I1545" s="99" t="s">
        <v>6072</v>
      </c>
      <c r="J1545" s="63" t="s">
        <v>1872</v>
      </c>
      <c r="K1545" s="66"/>
      <c r="L1545" s="66"/>
      <c r="M1545" s="74" t="s">
        <v>530</v>
      </c>
      <c r="N1545" s="61"/>
      <c r="O1545" s="51"/>
    </row>
    <row r="1546">
      <c r="A1546" s="56">
        <v>1543.0</v>
      </c>
      <c r="B1546" s="68">
        <v>4758.0</v>
      </c>
      <c r="C1546" s="69">
        <v>1561.0</v>
      </c>
      <c r="D1546" s="71"/>
      <c r="E1546" s="68" t="s">
        <v>6073</v>
      </c>
      <c r="F1546" s="83">
        <v>41611.0</v>
      </c>
      <c r="G1546" s="68" t="s">
        <v>6074</v>
      </c>
      <c r="H1546" s="71"/>
      <c r="I1546" s="99" t="s">
        <v>6075</v>
      </c>
      <c r="J1546" s="68" t="s">
        <v>6076</v>
      </c>
      <c r="K1546" s="71"/>
      <c r="L1546" s="71"/>
      <c r="M1546" s="71"/>
      <c r="N1546" s="61"/>
      <c r="O1546" s="51"/>
    </row>
    <row r="1547">
      <c r="A1547" s="56">
        <v>1544.0</v>
      </c>
      <c r="B1547" s="68">
        <v>4759.0</v>
      </c>
      <c r="C1547" s="69">
        <v>1562.0</v>
      </c>
      <c r="D1547" s="71"/>
      <c r="E1547" s="68" t="s">
        <v>6077</v>
      </c>
      <c r="F1547" s="76">
        <v>41660.0</v>
      </c>
      <c r="G1547" s="68" t="s">
        <v>6078</v>
      </c>
      <c r="H1547" s="71"/>
      <c r="I1547" s="99" t="s">
        <v>6079</v>
      </c>
      <c r="J1547" s="68" t="s">
        <v>6080</v>
      </c>
      <c r="K1547" s="71"/>
      <c r="L1547" s="71"/>
      <c r="M1547" s="71"/>
      <c r="N1547" s="61"/>
      <c r="O1547" s="51"/>
    </row>
    <row r="1548">
      <c r="A1548" s="56">
        <v>1545.0</v>
      </c>
      <c r="B1548" s="63">
        <v>4760.0</v>
      </c>
      <c r="C1548" s="64" t="s">
        <v>6081</v>
      </c>
      <c r="D1548" s="66"/>
      <c r="E1548" s="63" t="s">
        <v>6082</v>
      </c>
      <c r="F1548" s="70">
        <v>40030.0</v>
      </c>
      <c r="G1548" s="63" t="s">
        <v>6083</v>
      </c>
      <c r="H1548" s="66"/>
      <c r="I1548" s="99" t="s">
        <v>6084</v>
      </c>
      <c r="J1548" s="63" t="s">
        <v>1872</v>
      </c>
      <c r="K1548" s="66"/>
      <c r="L1548" s="63" t="s">
        <v>2743</v>
      </c>
      <c r="M1548" s="63" t="s">
        <v>530</v>
      </c>
      <c r="N1548" s="61"/>
      <c r="O1548" s="51"/>
    </row>
    <row r="1549">
      <c r="A1549" s="56">
        <v>1546.0</v>
      </c>
      <c r="B1549" s="68">
        <v>4761.0</v>
      </c>
      <c r="C1549" s="69">
        <v>1564.0</v>
      </c>
      <c r="D1549" s="71"/>
      <c r="E1549" s="68" t="s">
        <v>6085</v>
      </c>
      <c r="F1549" s="68">
        <v>2011.0</v>
      </c>
      <c r="G1549" s="68" t="s">
        <v>6086</v>
      </c>
      <c r="H1549" s="71"/>
      <c r="I1549" s="114" t="s">
        <v>6087</v>
      </c>
      <c r="J1549" s="68" t="s">
        <v>2419</v>
      </c>
      <c r="K1549" s="71"/>
      <c r="L1549" s="71"/>
      <c r="M1549" s="68" t="s">
        <v>530</v>
      </c>
      <c r="N1549" s="77"/>
      <c r="O1549" s="51"/>
    </row>
    <row r="1550">
      <c r="A1550" s="56">
        <v>1547.0</v>
      </c>
      <c r="B1550" s="68">
        <v>4762.0</v>
      </c>
      <c r="C1550" s="69">
        <v>1565.0</v>
      </c>
      <c r="D1550" s="71"/>
      <c r="E1550" s="68" t="s">
        <v>6088</v>
      </c>
      <c r="F1550" s="83">
        <v>41566.0</v>
      </c>
      <c r="G1550" s="68" t="s">
        <v>6089</v>
      </c>
      <c r="H1550" s="71"/>
      <c r="I1550" s="114" t="s">
        <v>6090</v>
      </c>
      <c r="J1550" s="68" t="s">
        <v>6091</v>
      </c>
      <c r="K1550" s="71"/>
      <c r="L1550" s="71"/>
      <c r="M1550" s="68" t="s">
        <v>2692</v>
      </c>
      <c r="N1550" s="77"/>
      <c r="O1550" s="51"/>
    </row>
    <row r="1551">
      <c r="A1551" s="56">
        <v>1548.0</v>
      </c>
      <c r="B1551" s="68">
        <v>4763.0</v>
      </c>
      <c r="C1551" s="69">
        <v>1566.0</v>
      </c>
      <c r="D1551" s="71"/>
      <c r="E1551" s="68" t="s">
        <v>6092</v>
      </c>
      <c r="F1551" s="76">
        <v>39505.0</v>
      </c>
      <c r="G1551" s="68" t="s">
        <v>6093</v>
      </c>
      <c r="H1551" s="71"/>
      <c r="I1551" s="99" t="s">
        <v>6094</v>
      </c>
      <c r="J1551" s="68" t="s">
        <v>6095</v>
      </c>
      <c r="K1551" s="71"/>
      <c r="L1551" s="71"/>
      <c r="M1551" s="71"/>
      <c r="N1551" s="61"/>
      <c r="O1551" s="51"/>
    </row>
    <row r="1552">
      <c r="A1552" s="56">
        <v>1549.0</v>
      </c>
      <c r="B1552" s="68">
        <v>4764.0</v>
      </c>
      <c r="C1552" s="69">
        <v>1567.0</v>
      </c>
      <c r="D1552" s="71"/>
      <c r="E1552" s="68" t="s">
        <v>6096</v>
      </c>
      <c r="F1552" s="76">
        <v>41288.0</v>
      </c>
      <c r="G1552" s="68" t="s">
        <v>6097</v>
      </c>
      <c r="H1552" s="71"/>
      <c r="I1552" s="99" t="s">
        <v>6098</v>
      </c>
      <c r="J1552" s="126" t="s">
        <v>6099</v>
      </c>
      <c r="K1552" s="119"/>
      <c r="L1552" s="119"/>
      <c r="M1552" s="169"/>
      <c r="N1552" s="61"/>
      <c r="O1552" s="51"/>
    </row>
    <row r="1553">
      <c r="A1553" s="56">
        <v>1550.0</v>
      </c>
      <c r="B1553" s="68">
        <v>4765.0</v>
      </c>
      <c r="C1553" s="69" t="s">
        <v>6100</v>
      </c>
      <c r="D1553" s="71"/>
      <c r="E1553" s="68" t="s">
        <v>6101</v>
      </c>
      <c r="F1553" s="83">
        <v>41562.0</v>
      </c>
      <c r="G1553" s="68" t="s">
        <v>6102</v>
      </c>
      <c r="H1553" s="71"/>
      <c r="I1553" s="114" t="s">
        <v>6103</v>
      </c>
      <c r="J1553" s="68" t="s">
        <v>6104</v>
      </c>
      <c r="K1553" s="71"/>
      <c r="L1553" s="71"/>
      <c r="M1553" s="68" t="s">
        <v>6105</v>
      </c>
      <c r="N1553" s="77"/>
      <c r="O1553" s="51"/>
    </row>
    <row r="1554">
      <c r="A1554" s="56">
        <v>1551.0</v>
      </c>
      <c r="B1554" s="68">
        <v>4766.0</v>
      </c>
      <c r="C1554" s="69">
        <v>1569.0</v>
      </c>
      <c r="D1554" s="71"/>
      <c r="E1554" s="68" t="s">
        <v>6106</v>
      </c>
      <c r="F1554" s="83">
        <v>41625.0</v>
      </c>
      <c r="G1554" s="68" t="s">
        <v>6107</v>
      </c>
      <c r="H1554" s="71"/>
      <c r="I1554" s="99" t="s">
        <v>6108</v>
      </c>
      <c r="J1554" s="68" t="s">
        <v>6109</v>
      </c>
      <c r="K1554" s="71"/>
      <c r="L1554" s="71"/>
      <c r="M1554" s="68" t="s">
        <v>3407</v>
      </c>
      <c r="N1554" s="61"/>
      <c r="O1554" s="51"/>
    </row>
    <row r="1555">
      <c r="A1555" s="56">
        <v>1552.0</v>
      </c>
      <c r="B1555" s="68">
        <v>4767.0</v>
      </c>
      <c r="C1555" s="69">
        <v>1570.0</v>
      </c>
      <c r="D1555" s="71"/>
      <c r="E1555" s="68" t="s">
        <v>6110</v>
      </c>
      <c r="F1555" s="68">
        <v>2009.0</v>
      </c>
      <c r="G1555" s="68" t="s">
        <v>6111</v>
      </c>
      <c r="H1555" s="71"/>
      <c r="I1555" s="176" t="s">
        <v>6112</v>
      </c>
      <c r="J1555" s="68" t="s">
        <v>6113</v>
      </c>
      <c r="K1555" s="71"/>
      <c r="L1555" s="71"/>
      <c r="M1555" s="71"/>
      <c r="N1555" s="61"/>
      <c r="O1555" s="51"/>
    </row>
    <row r="1556">
      <c r="A1556" s="56">
        <v>1553.0</v>
      </c>
      <c r="B1556" s="68">
        <v>4768.0</v>
      </c>
      <c r="C1556" s="69">
        <v>1571.0</v>
      </c>
      <c r="D1556" s="71"/>
      <c r="E1556" s="68" t="s">
        <v>6114</v>
      </c>
      <c r="F1556" s="83">
        <v>40804.0</v>
      </c>
      <c r="G1556" s="68" t="s">
        <v>6115</v>
      </c>
      <c r="H1556" s="71"/>
      <c r="I1556" s="176" t="s">
        <v>6116</v>
      </c>
      <c r="J1556" s="68" t="s">
        <v>6117</v>
      </c>
      <c r="K1556" s="71"/>
      <c r="L1556" s="71"/>
      <c r="M1556" s="71"/>
      <c r="N1556" s="61"/>
      <c r="O1556" s="51"/>
    </row>
    <row r="1557">
      <c r="A1557" s="56">
        <v>1554.0</v>
      </c>
      <c r="B1557" s="68">
        <v>4769.0</v>
      </c>
      <c r="C1557" s="69">
        <v>1572.0</v>
      </c>
      <c r="D1557" s="71"/>
      <c r="E1557" s="68" t="s">
        <v>6118</v>
      </c>
      <c r="F1557" s="178">
        <v>40026.0</v>
      </c>
      <c r="G1557" s="68" t="s">
        <v>6119</v>
      </c>
      <c r="H1557" s="71"/>
      <c r="I1557" s="99" t="s">
        <v>6120</v>
      </c>
      <c r="J1557" s="68" t="s">
        <v>6121</v>
      </c>
      <c r="K1557" s="71"/>
      <c r="L1557" s="71"/>
      <c r="M1557" s="71"/>
      <c r="N1557" s="61"/>
      <c r="O1557" s="51"/>
    </row>
    <row r="1558">
      <c r="A1558" s="56">
        <v>1555.0</v>
      </c>
      <c r="B1558" s="68">
        <v>4770.0</v>
      </c>
      <c r="C1558" s="69" t="s">
        <v>6122</v>
      </c>
      <c r="D1558" s="71"/>
      <c r="E1558" s="68" t="s">
        <v>6123</v>
      </c>
      <c r="F1558" s="83">
        <v>40024.0</v>
      </c>
      <c r="G1558" s="68" t="s">
        <v>6124</v>
      </c>
      <c r="H1558" s="71"/>
      <c r="I1558" s="99" t="s">
        <v>6125</v>
      </c>
      <c r="J1558" s="68" t="s">
        <v>6126</v>
      </c>
      <c r="K1558" s="71"/>
      <c r="L1558" s="68" t="s">
        <v>1496</v>
      </c>
      <c r="M1558" s="68" t="s">
        <v>530</v>
      </c>
      <c r="N1558" s="61"/>
      <c r="O1558" s="51"/>
    </row>
    <row r="1559">
      <c r="A1559" s="56">
        <v>1556.0</v>
      </c>
      <c r="B1559" s="68">
        <v>4771.0</v>
      </c>
      <c r="C1559" s="69">
        <v>1574.0</v>
      </c>
      <c r="D1559" s="71"/>
      <c r="E1559" s="68" t="s">
        <v>6127</v>
      </c>
      <c r="F1559" s="83">
        <v>40188.0</v>
      </c>
      <c r="G1559" s="68" t="s">
        <v>6128</v>
      </c>
      <c r="H1559" s="71"/>
      <c r="I1559" s="114" t="s">
        <v>6129</v>
      </c>
      <c r="J1559" s="68" t="s">
        <v>6130</v>
      </c>
      <c r="K1559" s="71"/>
      <c r="L1559" s="71"/>
      <c r="M1559" s="71"/>
      <c r="N1559" s="61"/>
      <c r="O1559" s="51"/>
    </row>
    <row r="1560">
      <c r="A1560" s="56">
        <v>1557.0</v>
      </c>
      <c r="B1560" s="68">
        <v>4772.0</v>
      </c>
      <c r="C1560" s="69">
        <v>1575.0</v>
      </c>
      <c r="D1560" s="71"/>
      <c r="E1560" s="68" t="s">
        <v>6131</v>
      </c>
      <c r="F1560" s="68">
        <v>2010.0</v>
      </c>
      <c r="G1560" s="68" t="s">
        <v>6132</v>
      </c>
      <c r="H1560" s="71"/>
      <c r="I1560" s="86" t="s">
        <v>635</v>
      </c>
      <c r="J1560" s="68" t="s">
        <v>6133</v>
      </c>
      <c r="K1560" s="71"/>
      <c r="L1560" s="71"/>
      <c r="M1560" s="71"/>
      <c r="N1560" s="61"/>
      <c r="O1560" s="51"/>
    </row>
    <row r="1561">
      <c r="A1561" s="56">
        <v>1558.0</v>
      </c>
      <c r="B1561" s="68">
        <v>4773.0</v>
      </c>
      <c r="C1561" s="69">
        <v>1576.0</v>
      </c>
      <c r="D1561" s="71"/>
      <c r="E1561" s="68" t="s">
        <v>6134</v>
      </c>
      <c r="F1561" s="178">
        <v>40087.0</v>
      </c>
      <c r="G1561" s="68" t="s">
        <v>6135</v>
      </c>
      <c r="H1561" s="71"/>
      <c r="I1561" s="176" t="s">
        <v>6136</v>
      </c>
      <c r="J1561" s="68" t="s">
        <v>6137</v>
      </c>
      <c r="K1561" s="71"/>
      <c r="L1561" s="71"/>
      <c r="M1561" s="71"/>
      <c r="N1561" s="61"/>
      <c r="O1561" s="51"/>
    </row>
    <row r="1562">
      <c r="A1562" s="56">
        <v>1559.0</v>
      </c>
      <c r="B1562" s="68">
        <v>4774.0</v>
      </c>
      <c r="C1562" s="69">
        <v>1577.0</v>
      </c>
      <c r="D1562" s="71"/>
      <c r="E1562" s="68" t="s">
        <v>6138</v>
      </c>
      <c r="F1562" s="83">
        <v>40874.0</v>
      </c>
      <c r="G1562" s="68" t="s">
        <v>6139</v>
      </c>
      <c r="H1562" s="71"/>
      <c r="I1562" s="176" t="s">
        <v>635</v>
      </c>
      <c r="J1562" s="68" t="s">
        <v>6137</v>
      </c>
      <c r="K1562" s="71"/>
      <c r="L1562" s="71"/>
      <c r="M1562" s="71"/>
      <c r="N1562" s="61"/>
      <c r="O1562" s="51"/>
    </row>
    <row r="1563">
      <c r="A1563" s="56">
        <v>1560.0</v>
      </c>
      <c r="B1563" s="68">
        <v>4775.0</v>
      </c>
      <c r="C1563" s="69">
        <v>1578.0</v>
      </c>
      <c r="D1563" s="71"/>
      <c r="E1563" s="68" t="s">
        <v>6140</v>
      </c>
      <c r="F1563" s="83">
        <v>40045.0</v>
      </c>
      <c r="G1563" s="68" t="s">
        <v>6141</v>
      </c>
      <c r="H1563" s="71"/>
      <c r="I1563" s="99" t="s">
        <v>6142</v>
      </c>
      <c r="J1563" s="68" t="s">
        <v>841</v>
      </c>
      <c r="K1563" s="71"/>
      <c r="L1563" s="71"/>
      <c r="M1563" s="68" t="s">
        <v>137</v>
      </c>
      <c r="N1563" s="61"/>
      <c r="O1563" s="51"/>
    </row>
    <row r="1564">
      <c r="A1564" s="56">
        <v>1561.0</v>
      </c>
      <c r="B1564" s="68">
        <v>4776.0</v>
      </c>
      <c r="C1564" s="69">
        <v>1579.0</v>
      </c>
      <c r="D1564" s="71"/>
      <c r="E1564" s="68" t="s">
        <v>6143</v>
      </c>
      <c r="F1564" s="178">
        <v>40057.0</v>
      </c>
      <c r="G1564" s="68" t="s">
        <v>6144</v>
      </c>
      <c r="H1564" s="71"/>
      <c r="I1564" s="176" t="s">
        <v>635</v>
      </c>
      <c r="J1564" s="68" t="s">
        <v>6145</v>
      </c>
      <c r="K1564" s="71"/>
      <c r="L1564" s="71"/>
      <c r="M1564" s="71"/>
      <c r="N1564" s="61"/>
      <c r="O1564" s="51"/>
    </row>
    <row r="1565">
      <c r="A1565" s="56">
        <v>1562.0</v>
      </c>
      <c r="B1565" s="63">
        <v>4777.0</v>
      </c>
      <c r="C1565" s="64">
        <v>1580.0</v>
      </c>
      <c r="D1565" s="66"/>
      <c r="E1565" s="63" t="s">
        <v>6146</v>
      </c>
      <c r="F1565" s="63">
        <v>2009.0</v>
      </c>
      <c r="G1565" s="63" t="s">
        <v>6147</v>
      </c>
      <c r="H1565" s="66"/>
      <c r="I1565" s="99" t="s">
        <v>6148</v>
      </c>
      <c r="J1565" s="63" t="s">
        <v>1872</v>
      </c>
      <c r="K1565" s="66"/>
      <c r="L1565" s="66"/>
      <c r="M1565" s="63" t="s">
        <v>530</v>
      </c>
      <c r="N1565" s="61"/>
      <c r="O1565" s="51"/>
    </row>
    <row r="1566">
      <c r="A1566" s="56">
        <v>1563.0</v>
      </c>
      <c r="B1566" s="68">
        <v>4778.0</v>
      </c>
      <c r="C1566" s="69">
        <v>1581.0</v>
      </c>
      <c r="D1566" s="71"/>
      <c r="E1566" s="68" t="s">
        <v>6149</v>
      </c>
      <c r="F1566" s="71"/>
      <c r="G1566" s="68" t="s">
        <v>6150</v>
      </c>
      <c r="H1566" s="71"/>
      <c r="I1566" s="86" t="s">
        <v>635</v>
      </c>
      <c r="J1566" s="68" t="s">
        <v>6151</v>
      </c>
      <c r="K1566" s="71"/>
      <c r="L1566" s="71"/>
      <c r="M1566" s="71"/>
      <c r="N1566" s="61"/>
      <c r="O1566" s="51"/>
    </row>
    <row r="1567">
      <c r="A1567" s="56">
        <v>1564.0</v>
      </c>
      <c r="B1567" s="68">
        <v>4779.0</v>
      </c>
      <c r="C1567" s="69">
        <v>1582.0</v>
      </c>
      <c r="D1567" s="71"/>
      <c r="E1567" s="68" t="s">
        <v>6152</v>
      </c>
      <c r="F1567" s="71"/>
      <c r="G1567" s="68" t="s">
        <v>6153</v>
      </c>
      <c r="H1567" s="71"/>
      <c r="I1567" s="86" t="s">
        <v>635</v>
      </c>
      <c r="J1567" s="68" t="s">
        <v>6151</v>
      </c>
      <c r="K1567" s="71"/>
      <c r="L1567" s="71"/>
      <c r="M1567" s="71"/>
      <c r="N1567" s="61"/>
      <c r="O1567" s="51"/>
    </row>
    <row r="1568">
      <c r="A1568" s="56">
        <v>1565.0</v>
      </c>
      <c r="B1568" s="68">
        <v>4780.0</v>
      </c>
      <c r="C1568" s="69">
        <v>1583.0</v>
      </c>
      <c r="D1568" s="71"/>
      <c r="E1568" s="68" t="s">
        <v>6154</v>
      </c>
      <c r="F1568" s="83">
        <v>40804.0</v>
      </c>
      <c r="G1568" s="68" t="s">
        <v>6155</v>
      </c>
      <c r="H1568" s="71"/>
      <c r="I1568" s="99" t="s">
        <v>6156</v>
      </c>
      <c r="J1568" s="68" t="s">
        <v>6157</v>
      </c>
      <c r="K1568" s="71"/>
      <c r="L1568" s="71"/>
      <c r="M1568" s="71"/>
      <c r="N1568" s="61"/>
      <c r="O1568" s="51"/>
    </row>
    <row r="1569">
      <c r="A1569" s="56">
        <v>1566.0</v>
      </c>
      <c r="B1569" s="68">
        <v>4781.0</v>
      </c>
      <c r="C1569" s="69">
        <v>1584.0</v>
      </c>
      <c r="D1569" s="71"/>
      <c r="E1569" s="68" t="s">
        <v>6158</v>
      </c>
      <c r="F1569" s="68">
        <v>2009.0</v>
      </c>
      <c r="G1569" s="68" t="s">
        <v>6159</v>
      </c>
      <c r="H1569" s="71"/>
      <c r="I1569" s="99" t="s">
        <v>6160</v>
      </c>
      <c r="J1569" s="68" t="s">
        <v>6161</v>
      </c>
      <c r="K1569" s="71"/>
      <c r="L1569" s="71"/>
      <c r="M1569" s="68" t="s">
        <v>137</v>
      </c>
      <c r="N1569" s="61"/>
      <c r="O1569" s="51"/>
    </row>
    <row r="1570">
      <c r="A1570" s="56">
        <v>1567.0</v>
      </c>
      <c r="B1570" s="68">
        <v>4782.0</v>
      </c>
      <c r="C1570" s="69">
        <v>1585.0</v>
      </c>
      <c r="D1570" s="71"/>
      <c r="E1570" s="68" t="s">
        <v>6162</v>
      </c>
      <c r="F1570" s="68">
        <v>2011.0</v>
      </c>
      <c r="G1570" s="68" t="s">
        <v>6159</v>
      </c>
      <c r="H1570" s="71"/>
      <c r="I1570" s="99" t="s">
        <v>635</v>
      </c>
      <c r="J1570" s="68" t="s">
        <v>6163</v>
      </c>
      <c r="K1570" s="71"/>
      <c r="L1570" s="71"/>
      <c r="M1570" s="71"/>
      <c r="N1570" s="61"/>
      <c r="O1570" s="51"/>
    </row>
    <row r="1571">
      <c r="A1571" s="56">
        <v>1568.0</v>
      </c>
      <c r="B1571" s="68">
        <v>4783.0</v>
      </c>
      <c r="C1571" s="69">
        <v>1586.0</v>
      </c>
      <c r="D1571" s="71"/>
      <c r="E1571" s="68" t="s">
        <v>6164</v>
      </c>
      <c r="F1571" s="68">
        <v>2009.0</v>
      </c>
      <c r="G1571" s="68" t="s">
        <v>6165</v>
      </c>
      <c r="H1571" s="71"/>
      <c r="I1571" s="99" t="s">
        <v>635</v>
      </c>
      <c r="J1571" s="68" t="s">
        <v>6166</v>
      </c>
      <c r="K1571" s="71"/>
      <c r="L1571" s="71"/>
      <c r="M1571" s="71"/>
      <c r="N1571" s="61"/>
      <c r="O1571" s="51"/>
    </row>
    <row r="1572">
      <c r="A1572" s="56">
        <v>1569.0</v>
      </c>
      <c r="B1572" s="68">
        <v>4784.0</v>
      </c>
      <c r="C1572" s="69">
        <v>1587.0</v>
      </c>
      <c r="D1572" s="71"/>
      <c r="E1572" s="68" t="s">
        <v>6167</v>
      </c>
      <c r="F1572" s="68">
        <v>2009.0</v>
      </c>
      <c r="G1572" s="68" t="s">
        <v>6168</v>
      </c>
      <c r="H1572" s="71"/>
      <c r="I1572" s="114" t="s">
        <v>6169</v>
      </c>
      <c r="J1572" s="68" t="s">
        <v>6170</v>
      </c>
      <c r="K1572" s="71"/>
      <c r="L1572" s="71"/>
      <c r="M1572" s="68" t="s">
        <v>530</v>
      </c>
      <c r="N1572" s="61"/>
      <c r="O1572" s="51"/>
    </row>
    <row r="1573">
      <c r="A1573" s="56">
        <v>1570.0</v>
      </c>
      <c r="B1573" s="68">
        <v>4785.0</v>
      </c>
      <c r="C1573" s="69" t="s">
        <v>6171</v>
      </c>
      <c r="D1573" s="71"/>
      <c r="E1573" s="68" t="s">
        <v>6172</v>
      </c>
      <c r="F1573" s="68">
        <v>2009.0</v>
      </c>
      <c r="G1573" s="68" t="s">
        <v>6173</v>
      </c>
      <c r="H1573" s="71"/>
      <c r="I1573" s="114" t="s">
        <v>6174</v>
      </c>
      <c r="J1573" s="68" t="s">
        <v>6175</v>
      </c>
      <c r="K1573" s="71"/>
      <c r="L1573" s="68" t="s">
        <v>1496</v>
      </c>
      <c r="M1573" s="68" t="s">
        <v>530</v>
      </c>
      <c r="N1573" s="61"/>
      <c r="O1573" s="51"/>
    </row>
    <row r="1574">
      <c r="A1574" s="56">
        <v>1571.0</v>
      </c>
      <c r="B1574" s="68">
        <v>4786.0</v>
      </c>
      <c r="C1574" s="69">
        <v>1589.0</v>
      </c>
      <c r="D1574" s="71"/>
      <c r="E1574" s="68" t="s">
        <v>6176</v>
      </c>
      <c r="F1574" s="83">
        <v>40486.0</v>
      </c>
      <c r="G1574" s="68" t="s">
        <v>6177</v>
      </c>
      <c r="H1574" s="71"/>
      <c r="I1574" s="114" t="s">
        <v>635</v>
      </c>
      <c r="J1574" s="68" t="s">
        <v>6178</v>
      </c>
      <c r="K1574" s="71"/>
      <c r="L1574" s="71"/>
      <c r="M1574" s="71"/>
      <c r="N1574" s="61"/>
      <c r="O1574" s="51"/>
    </row>
    <row r="1575">
      <c r="A1575" s="56">
        <v>1572.0</v>
      </c>
      <c r="B1575" s="68">
        <v>4787.0</v>
      </c>
      <c r="C1575" s="69">
        <v>1590.0</v>
      </c>
      <c r="D1575" s="71"/>
      <c r="E1575" s="68" t="s">
        <v>6179</v>
      </c>
      <c r="F1575" s="83">
        <v>40317.0</v>
      </c>
      <c r="G1575" s="68" t="s">
        <v>6180</v>
      </c>
      <c r="H1575" s="71"/>
      <c r="I1575" s="176" t="s">
        <v>635</v>
      </c>
      <c r="J1575" s="68" t="s">
        <v>6181</v>
      </c>
      <c r="K1575" s="71"/>
      <c r="L1575" s="71"/>
      <c r="M1575" s="71"/>
      <c r="N1575" s="61"/>
      <c r="O1575" s="51"/>
    </row>
    <row r="1576">
      <c r="A1576" s="75">
        <v>1573.0</v>
      </c>
      <c r="B1576" s="68">
        <v>4788.0</v>
      </c>
      <c r="C1576" s="69" t="s">
        <v>6182</v>
      </c>
      <c r="D1576" s="71"/>
      <c r="E1576" s="68" t="s">
        <v>6183</v>
      </c>
      <c r="F1576" s="83">
        <v>40140.0</v>
      </c>
      <c r="G1576" s="68" t="s">
        <v>6184</v>
      </c>
      <c r="H1576" s="68" t="s">
        <v>6185</v>
      </c>
      <c r="I1576" s="114" t="s">
        <v>6186</v>
      </c>
      <c r="J1576" s="68" t="s">
        <v>6187</v>
      </c>
      <c r="K1576" s="71"/>
      <c r="L1576" s="71"/>
      <c r="M1576" s="68" t="s">
        <v>872</v>
      </c>
      <c r="N1576" s="77"/>
      <c r="O1576" s="51"/>
    </row>
    <row r="1577">
      <c r="A1577" s="56">
        <v>1574.0</v>
      </c>
      <c r="B1577" s="57">
        <v>4790.0</v>
      </c>
      <c r="C1577" s="58">
        <v>1593.0</v>
      </c>
      <c r="D1577" s="60"/>
      <c r="E1577" s="57" t="s">
        <v>6188</v>
      </c>
      <c r="F1577" s="57">
        <v>2012.0</v>
      </c>
      <c r="G1577" s="57" t="s">
        <v>6189</v>
      </c>
      <c r="H1577" s="60"/>
      <c r="I1577" s="159"/>
      <c r="J1577" s="57" t="s">
        <v>2675</v>
      </c>
      <c r="K1577" s="60"/>
      <c r="L1577" s="104"/>
      <c r="M1577" s="109"/>
      <c r="N1577" s="61"/>
      <c r="O1577" s="51"/>
    </row>
    <row r="1578">
      <c r="A1578" s="56">
        <v>1575.0</v>
      </c>
      <c r="B1578" s="68">
        <v>4791.0</v>
      </c>
      <c r="C1578" s="69">
        <v>1594.0</v>
      </c>
      <c r="D1578" s="71"/>
      <c r="E1578" s="68" t="s">
        <v>6190</v>
      </c>
      <c r="F1578" s="83">
        <v>41490.0</v>
      </c>
      <c r="G1578" s="68" t="s">
        <v>6191</v>
      </c>
      <c r="H1578" s="71"/>
      <c r="I1578" s="99" t="s">
        <v>6192</v>
      </c>
      <c r="J1578" s="68" t="s">
        <v>6193</v>
      </c>
      <c r="K1578" s="71"/>
      <c r="L1578" s="111"/>
      <c r="M1578" s="71"/>
      <c r="N1578" s="61"/>
      <c r="O1578" s="51"/>
    </row>
    <row r="1579">
      <c r="A1579" s="56">
        <v>1576.0</v>
      </c>
      <c r="B1579" s="63">
        <v>4792.0</v>
      </c>
      <c r="C1579" s="64" t="s">
        <v>6194</v>
      </c>
      <c r="D1579" s="66"/>
      <c r="E1579" s="63" t="s">
        <v>6195</v>
      </c>
      <c r="F1579" s="179">
        <v>39508.0</v>
      </c>
      <c r="G1579" s="63" t="s">
        <v>6196</v>
      </c>
      <c r="H1579" s="63" t="s">
        <v>439</v>
      </c>
      <c r="I1579" s="99" t="s">
        <v>6197</v>
      </c>
      <c r="J1579" s="63" t="s">
        <v>5679</v>
      </c>
      <c r="K1579" s="66"/>
      <c r="L1579" s="63" t="s">
        <v>1496</v>
      </c>
      <c r="M1579" s="63" t="s">
        <v>530</v>
      </c>
      <c r="N1579" s="61"/>
      <c r="O1579" s="51"/>
    </row>
    <row r="1580">
      <c r="A1580" s="56">
        <v>1577.0</v>
      </c>
      <c r="B1580" s="68">
        <v>4793.0</v>
      </c>
      <c r="C1580" s="69">
        <v>1596.0</v>
      </c>
      <c r="D1580" s="71"/>
      <c r="E1580" s="68" t="s">
        <v>6198</v>
      </c>
      <c r="F1580" s="83">
        <v>40774.0</v>
      </c>
      <c r="G1580" s="68" t="s">
        <v>6199</v>
      </c>
      <c r="H1580" s="71"/>
      <c r="I1580" s="159"/>
      <c r="J1580" s="68" t="s">
        <v>6200</v>
      </c>
      <c r="K1580" s="71"/>
      <c r="L1580" s="71"/>
      <c r="M1580" s="68" t="s">
        <v>137</v>
      </c>
      <c r="N1580" s="61"/>
      <c r="O1580" s="51"/>
    </row>
    <row r="1581">
      <c r="A1581" s="56">
        <v>1578.0</v>
      </c>
      <c r="B1581" s="68">
        <v>4794.0</v>
      </c>
      <c r="C1581" s="69">
        <v>1597.0</v>
      </c>
      <c r="D1581" s="71"/>
      <c r="E1581" s="68" t="s">
        <v>6201</v>
      </c>
      <c r="F1581" s="68">
        <v>2009.0</v>
      </c>
      <c r="G1581" s="68" t="s">
        <v>6202</v>
      </c>
      <c r="H1581" s="71"/>
      <c r="I1581" s="99" t="s">
        <v>6203</v>
      </c>
      <c r="J1581" s="68" t="s">
        <v>6204</v>
      </c>
      <c r="K1581" s="71"/>
      <c r="L1581" s="71"/>
      <c r="M1581" s="71"/>
      <c r="N1581" s="61"/>
      <c r="O1581" s="51"/>
    </row>
    <row r="1582">
      <c r="A1582" s="75">
        <v>1579.0</v>
      </c>
      <c r="B1582" s="68">
        <v>4795.0</v>
      </c>
      <c r="C1582" s="69" t="s">
        <v>6205</v>
      </c>
      <c r="D1582" s="71"/>
      <c r="E1582" s="68" t="s">
        <v>6206</v>
      </c>
      <c r="F1582" s="68">
        <v>2009.0</v>
      </c>
      <c r="G1582" s="68" t="s">
        <v>6207</v>
      </c>
      <c r="H1582" s="68" t="s">
        <v>439</v>
      </c>
      <c r="I1582" s="114" t="s">
        <v>6208</v>
      </c>
      <c r="J1582" s="68" t="s">
        <v>5369</v>
      </c>
      <c r="K1582" s="71"/>
      <c r="L1582" s="71"/>
      <c r="M1582" s="68" t="s">
        <v>2152</v>
      </c>
      <c r="N1582" s="61"/>
      <c r="O1582" s="51"/>
    </row>
    <row r="1583">
      <c r="A1583" s="56">
        <v>1580.0</v>
      </c>
      <c r="B1583" s="68">
        <v>4796.0</v>
      </c>
      <c r="C1583" s="69">
        <v>1599.0</v>
      </c>
      <c r="D1583" s="71"/>
      <c r="E1583" s="68" t="s">
        <v>6209</v>
      </c>
      <c r="F1583" s="68">
        <v>2010.0</v>
      </c>
      <c r="G1583" s="68" t="s">
        <v>6210</v>
      </c>
      <c r="H1583" s="71"/>
      <c r="I1583" s="180"/>
      <c r="J1583" s="68" t="s">
        <v>6211</v>
      </c>
      <c r="K1583" s="71"/>
      <c r="L1583" s="71"/>
      <c r="M1583" s="71"/>
      <c r="N1583" s="61"/>
      <c r="O1583" s="51"/>
    </row>
    <row r="1584">
      <c r="A1584" s="56">
        <v>1581.0</v>
      </c>
      <c r="B1584" s="63">
        <v>4797.0</v>
      </c>
      <c r="C1584" s="64">
        <v>1600.0</v>
      </c>
      <c r="D1584" s="66"/>
      <c r="E1584" s="63" t="s">
        <v>6212</v>
      </c>
      <c r="F1584" s="63">
        <v>2009.0</v>
      </c>
      <c r="G1584" s="63" t="s">
        <v>6213</v>
      </c>
      <c r="H1584" s="66"/>
      <c r="I1584" s="99" t="s">
        <v>6214</v>
      </c>
      <c r="J1584" s="63" t="s">
        <v>1872</v>
      </c>
      <c r="K1584" s="66"/>
      <c r="L1584" s="66"/>
      <c r="M1584" s="63" t="s">
        <v>530</v>
      </c>
      <c r="N1584" s="61"/>
      <c r="O1584" s="51"/>
    </row>
    <row r="1585">
      <c r="A1585" s="56">
        <v>1582.0</v>
      </c>
      <c r="B1585" s="63">
        <v>4799.0</v>
      </c>
      <c r="C1585" s="64" t="s">
        <v>6215</v>
      </c>
      <c r="D1585" s="66"/>
      <c r="E1585" s="63" t="s">
        <v>6216</v>
      </c>
      <c r="F1585" s="70">
        <v>41385.0</v>
      </c>
      <c r="G1585" s="63" t="s">
        <v>6217</v>
      </c>
      <c r="H1585" s="63" t="s">
        <v>6218</v>
      </c>
      <c r="I1585" s="99" t="s">
        <v>6219</v>
      </c>
      <c r="J1585" s="63" t="s">
        <v>6220</v>
      </c>
      <c r="K1585" s="66"/>
      <c r="L1585" s="66"/>
      <c r="M1585" s="63" t="s">
        <v>872</v>
      </c>
      <c r="N1585" s="61"/>
      <c r="O1585" s="51"/>
    </row>
    <row r="1586">
      <c r="A1586" s="56">
        <v>1583.0</v>
      </c>
      <c r="B1586" s="71"/>
      <c r="C1586" s="69">
        <v>1603.0</v>
      </c>
      <c r="D1586" s="71"/>
      <c r="E1586" s="68" t="s">
        <v>6221</v>
      </c>
      <c r="F1586" s="68">
        <v>2013.0</v>
      </c>
      <c r="G1586" s="68" t="s">
        <v>6222</v>
      </c>
      <c r="H1586" s="71"/>
      <c r="I1586" s="99" t="s">
        <v>6219</v>
      </c>
      <c r="J1586" s="68" t="s">
        <v>6223</v>
      </c>
      <c r="K1586" s="71"/>
      <c r="L1586" s="71"/>
      <c r="M1586" s="71"/>
      <c r="N1586" s="61"/>
      <c r="O1586" s="51"/>
    </row>
    <row r="1587">
      <c r="A1587" s="56">
        <v>1584.0</v>
      </c>
      <c r="B1587" s="71"/>
      <c r="C1587" s="69">
        <v>1604.0</v>
      </c>
      <c r="D1587" s="71"/>
      <c r="E1587" s="68" t="s">
        <v>6224</v>
      </c>
      <c r="F1587" s="83">
        <v>41479.0</v>
      </c>
      <c r="G1587" s="68" t="s">
        <v>6225</v>
      </c>
      <c r="H1587" s="71"/>
      <c r="I1587" s="99" t="s">
        <v>635</v>
      </c>
      <c r="J1587" s="68" t="s">
        <v>6226</v>
      </c>
      <c r="K1587" s="71"/>
      <c r="L1587" s="71"/>
      <c r="M1587" s="71"/>
      <c r="N1587" s="61"/>
      <c r="O1587" s="51"/>
    </row>
    <row r="1588">
      <c r="A1588" s="56">
        <v>1585.0</v>
      </c>
      <c r="B1588" s="71"/>
      <c r="C1588" s="69">
        <v>1605.0</v>
      </c>
      <c r="D1588" s="71"/>
      <c r="E1588" s="68" t="s">
        <v>6227</v>
      </c>
      <c r="F1588" s="71"/>
      <c r="G1588" s="68" t="s">
        <v>6228</v>
      </c>
      <c r="H1588" s="71"/>
      <c r="I1588" s="99" t="s">
        <v>6229</v>
      </c>
      <c r="J1588" s="68" t="s">
        <v>6230</v>
      </c>
      <c r="K1588" s="71"/>
      <c r="L1588" s="71"/>
      <c r="M1588" s="71"/>
      <c r="N1588" s="61"/>
      <c r="O1588" s="51"/>
    </row>
    <row r="1589">
      <c r="A1589" s="56">
        <v>1586.0</v>
      </c>
      <c r="B1589" s="71"/>
      <c r="C1589" s="69">
        <v>1606.0</v>
      </c>
      <c r="D1589" s="71"/>
      <c r="E1589" s="68" t="s">
        <v>6231</v>
      </c>
      <c r="F1589" s="68">
        <v>2010.0</v>
      </c>
      <c r="G1589" s="68" t="s">
        <v>6232</v>
      </c>
      <c r="H1589" s="71"/>
      <c r="I1589" s="86" t="s">
        <v>635</v>
      </c>
      <c r="J1589" s="68" t="s">
        <v>6233</v>
      </c>
      <c r="K1589" s="71"/>
      <c r="L1589" s="71"/>
      <c r="M1589" s="71"/>
      <c r="N1589" s="61"/>
      <c r="O1589" s="51"/>
    </row>
    <row r="1590">
      <c r="A1590" s="56">
        <v>1587.0</v>
      </c>
      <c r="B1590" s="71"/>
      <c r="C1590" s="69">
        <v>1607.0</v>
      </c>
      <c r="D1590" s="71"/>
      <c r="E1590" s="68" t="s">
        <v>6234</v>
      </c>
      <c r="F1590" s="68">
        <v>2010.0</v>
      </c>
      <c r="G1590" s="68" t="s">
        <v>6235</v>
      </c>
      <c r="H1590" s="71"/>
      <c r="I1590" s="86" t="s">
        <v>635</v>
      </c>
      <c r="J1590" s="68" t="s">
        <v>6236</v>
      </c>
      <c r="K1590" s="71"/>
      <c r="L1590" s="71"/>
      <c r="M1590" s="71"/>
      <c r="N1590" s="61"/>
      <c r="O1590" s="51"/>
    </row>
    <row r="1591">
      <c r="A1591" s="56">
        <v>1588.0</v>
      </c>
      <c r="B1591" s="71"/>
      <c r="C1591" s="69">
        <v>1608.0</v>
      </c>
      <c r="D1591" s="71"/>
      <c r="E1591" s="68" t="s">
        <v>6237</v>
      </c>
      <c r="F1591" s="68">
        <v>2012.0</v>
      </c>
      <c r="G1591" s="68" t="s">
        <v>6238</v>
      </c>
      <c r="H1591" s="71"/>
      <c r="I1591" s="86" t="s">
        <v>635</v>
      </c>
      <c r="J1591" s="68" t="s">
        <v>6239</v>
      </c>
      <c r="K1591" s="71"/>
      <c r="L1591" s="71"/>
      <c r="M1591" s="71"/>
      <c r="N1591" s="61"/>
      <c r="O1591" s="51"/>
    </row>
    <row r="1592">
      <c r="A1592" s="56">
        <v>1589.0</v>
      </c>
      <c r="B1592" s="71"/>
      <c r="C1592" s="69">
        <v>1609.0</v>
      </c>
      <c r="D1592" s="71"/>
      <c r="E1592" s="68" t="s">
        <v>6240</v>
      </c>
      <c r="F1592" s="83">
        <v>40901.0</v>
      </c>
      <c r="G1592" s="68" t="s">
        <v>6241</v>
      </c>
      <c r="H1592" s="71"/>
      <c r="I1592" s="86" t="s">
        <v>635</v>
      </c>
      <c r="J1592" s="68" t="s">
        <v>6242</v>
      </c>
      <c r="K1592" s="71"/>
      <c r="L1592" s="71"/>
      <c r="M1592" s="71"/>
      <c r="N1592" s="61"/>
      <c r="O1592" s="51"/>
    </row>
    <row r="1593">
      <c r="A1593" s="56">
        <v>1590.0</v>
      </c>
      <c r="B1593" s="66"/>
      <c r="C1593" s="64" t="s">
        <v>6243</v>
      </c>
      <c r="D1593" s="66"/>
      <c r="E1593" s="63" t="s">
        <v>6244</v>
      </c>
      <c r="F1593" s="66"/>
      <c r="G1593" s="63" t="s">
        <v>6245</v>
      </c>
      <c r="H1593" s="63" t="s">
        <v>6246</v>
      </c>
      <c r="I1593" s="99" t="s">
        <v>6247</v>
      </c>
      <c r="J1593" s="63" t="s">
        <v>3575</v>
      </c>
      <c r="K1593" s="66"/>
      <c r="L1593" s="66"/>
      <c r="M1593" s="63" t="s">
        <v>2152</v>
      </c>
      <c r="N1593" s="61"/>
      <c r="O1593" s="51"/>
    </row>
    <row r="1594">
      <c r="A1594" s="56">
        <v>1591.0</v>
      </c>
      <c r="B1594" s="71"/>
      <c r="C1594" s="69">
        <v>1611.0</v>
      </c>
      <c r="D1594" s="71"/>
      <c r="E1594" s="68" t="s">
        <v>6248</v>
      </c>
      <c r="F1594" s="68">
        <v>2009.0</v>
      </c>
      <c r="G1594" s="68" t="s">
        <v>6249</v>
      </c>
      <c r="H1594" s="71"/>
      <c r="I1594" s="99" t="s">
        <v>6250</v>
      </c>
      <c r="J1594" s="68" t="s">
        <v>6251</v>
      </c>
      <c r="K1594" s="71"/>
      <c r="L1594" s="71"/>
      <c r="M1594" s="71"/>
      <c r="N1594" s="61"/>
      <c r="O1594" s="51"/>
    </row>
    <row r="1595">
      <c r="A1595" s="56">
        <v>1592.0</v>
      </c>
      <c r="B1595" s="71"/>
      <c r="C1595" s="69">
        <v>1612.0</v>
      </c>
      <c r="D1595" s="71"/>
      <c r="E1595" s="68" t="s">
        <v>6252</v>
      </c>
      <c r="F1595" s="68">
        <v>2012.0</v>
      </c>
      <c r="G1595" s="68" t="s">
        <v>6253</v>
      </c>
      <c r="H1595" s="71"/>
      <c r="I1595" s="99" t="s">
        <v>6254</v>
      </c>
      <c r="J1595" s="126" t="s">
        <v>6255</v>
      </c>
      <c r="K1595" s="119"/>
      <c r="L1595" s="119"/>
      <c r="M1595" s="119"/>
      <c r="N1595" s="61"/>
      <c r="O1595" s="51"/>
    </row>
    <row r="1596">
      <c r="A1596" s="56">
        <v>1593.0</v>
      </c>
      <c r="B1596" s="71"/>
      <c r="C1596" s="69">
        <v>1613.0</v>
      </c>
      <c r="D1596" s="71"/>
      <c r="E1596" s="68" t="s">
        <v>6256</v>
      </c>
      <c r="F1596" s="181">
        <v>41365.0</v>
      </c>
      <c r="G1596" s="68" t="s">
        <v>5962</v>
      </c>
      <c r="H1596" s="71"/>
      <c r="I1596" s="99" t="s">
        <v>6257</v>
      </c>
      <c r="J1596" s="68" t="s">
        <v>6258</v>
      </c>
      <c r="K1596" s="71"/>
      <c r="L1596" s="71"/>
      <c r="M1596" s="71"/>
      <c r="N1596" s="61"/>
      <c r="O1596" s="51"/>
    </row>
    <row r="1597">
      <c r="A1597" s="56">
        <v>1594.0</v>
      </c>
      <c r="B1597" s="66"/>
      <c r="C1597" s="64">
        <v>1614.0</v>
      </c>
      <c r="D1597" s="66"/>
      <c r="E1597" s="63" t="s">
        <v>6259</v>
      </c>
      <c r="F1597" s="65">
        <v>40021.0</v>
      </c>
      <c r="G1597" s="63" t="s">
        <v>6260</v>
      </c>
      <c r="H1597" s="66"/>
      <c r="I1597" s="99" t="s">
        <v>6261</v>
      </c>
      <c r="J1597" s="63" t="s">
        <v>6262</v>
      </c>
      <c r="K1597" s="66"/>
      <c r="L1597" s="66"/>
      <c r="M1597" s="63" t="s">
        <v>368</v>
      </c>
      <c r="N1597" s="61"/>
      <c r="O1597" s="51"/>
    </row>
    <row r="1598">
      <c r="A1598" s="56">
        <v>1595.0</v>
      </c>
      <c r="B1598" s="71"/>
      <c r="C1598" s="69">
        <v>1615.0</v>
      </c>
      <c r="D1598" s="71"/>
      <c r="E1598" s="68" t="s">
        <v>6263</v>
      </c>
      <c r="F1598" s="83">
        <v>40038.0</v>
      </c>
      <c r="G1598" s="68" t="s">
        <v>6264</v>
      </c>
      <c r="H1598" s="71"/>
      <c r="I1598" s="99" t="s">
        <v>6265</v>
      </c>
      <c r="J1598" s="68" t="s">
        <v>6266</v>
      </c>
      <c r="K1598" s="71"/>
      <c r="L1598" s="71"/>
      <c r="M1598" s="71"/>
      <c r="N1598" s="61"/>
      <c r="O1598" s="51"/>
    </row>
    <row r="1599">
      <c r="A1599" s="56">
        <v>1596.0</v>
      </c>
      <c r="B1599" s="71"/>
      <c r="C1599" s="69">
        <v>1616.0</v>
      </c>
      <c r="D1599" s="71"/>
      <c r="E1599" s="68" t="s">
        <v>6267</v>
      </c>
      <c r="F1599" s="83">
        <v>40038.0</v>
      </c>
      <c r="G1599" s="68" t="s">
        <v>6268</v>
      </c>
      <c r="H1599" s="71"/>
      <c r="I1599" s="99" t="s">
        <v>6269</v>
      </c>
      <c r="J1599" s="68" t="s">
        <v>6266</v>
      </c>
      <c r="K1599" s="71"/>
      <c r="L1599" s="71"/>
      <c r="M1599" s="71"/>
      <c r="N1599" s="61"/>
      <c r="O1599" s="51"/>
    </row>
    <row r="1600">
      <c r="A1600" s="56">
        <v>1597.0</v>
      </c>
      <c r="B1600" s="71"/>
      <c r="C1600" s="69">
        <v>1617.0</v>
      </c>
      <c r="D1600" s="71"/>
      <c r="E1600" s="68" t="s">
        <v>6270</v>
      </c>
      <c r="F1600" s="68">
        <v>2009.0</v>
      </c>
      <c r="G1600" s="68" t="s">
        <v>6271</v>
      </c>
      <c r="H1600" s="71"/>
      <c r="I1600" s="99" t="s">
        <v>6269</v>
      </c>
      <c r="J1600" s="68" t="s">
        <v>6272</v>
      </c>
      <c r="K1600" s="71"/>
      <c r="L1600" s="71"/>
      <c r="M1600" s="66"/>
      <c r="N1600" s="61"/>
      <c r="O1600" s="51"/>
    </row>
    <row r="1601">
      <c r="A1601" s="56">
        <v>1598.0</v>
      </c>
      <c r="B1601" s="71"/>
      <c r="C1601" s="69">
        <v>1618.0</v>
      </c>
      <c r="D1601" s="71"/>
      <c r="E1601" s="68" t="s">
        <v>6273</v>
      </c>
      <c r="F1601" s="83">
        <v>40158.0</v>
      </c>
      <c r="G1601" s="68" t="s">
        <v>6274</v>
      </c>
      <c r="H1601" s="71"/>
      <c r="I1601" s="114" t="s">
        <v>6275</v>
      </c>
      <c r="J1601" s="68" t="s">
        <v>2675</v>
      </c>
      <c r="K1601" s="71"/>
      <c r="L1601" s="71"/>
      <c r="M1601" s="68" t="s">
        <v>137</v>
      </c>
      <c r="N1601" s="61"/>
      <c r="O1601" s="51"/>
    </row>
    <row r="1602">
      <c r="A1602" s="56">
        <v>1599.0</v>
      </c>
      <c r="B1602" s="71"/>
      <c r="C1602" s="69">
        <v>1619.0</v>
      </c>
      <c r="D1602" s="71"/>
      <c r="E1602" s="68" t="s">
        <v>6276</v>
      </c>
      <c r="F1602" s="83">
        <v>41403.0</v>
      </c>
      <c r="G1602" s="68" t="s">
        <v>6277</v>
      </c>
      <c r="H1602" s="71"/>
      <c r="I1602" s="99" t="s">
        <v>635</v>
      </c>
      <c r="J1602" s="68" t="s">
        <v>6278</v>
      </c>
      <c r="K1602" s="71"/>
      <c r="L1602" s="71"/>
      <c r="M1602" s="71"/>
      <c r="N1602" s="61"/>
      <c r="O1602" s="51"/>
    </row>
    <row r="1603">
      <c r="A1603" s="56">
        <v>1600.0</v>
      </c>
      <c r="B1603" s="71"/>
      <c r="C1603" s="69">
        <v>1620.0</v>
      </c>
      <c r="D1603" s="71"/>
      <c r="E1603" s="68" t="s">
        <v>6279</v>
      </c>
      <c r="F1603" s="68">
        <v>2009.0</v>
      </c>
      <c r="G1603" s="68" t="s">
        <v>6280</v>
      </c>
      <c r="H1603" s="71"/>
      <c r="I1603" s="99" t="s">
        <v>6281</v>
      </c>
      <c r="J1603" s="68" t="s">
        <v>6282</v>
      </c>
      <c r="K1603" s="71"/>
      <c r="L1603" s="66"/>
      <c r="M1603" s="66"/>
      <c r="N1603" s="61"/>
      <c r="O1603" s="51"/>
    </row>
    <row r="1604">
      <c r="A1604" s="56">
        <v>1601.0</v>
      </c>
      <c r="B1604" s="71"/>
      <c r="C1604" s="69">
        <v>1621.0</v>
      </c>
      <c r="D1604" s="71"/>
      <c r="E1604" s="68" t="s">
        <v>6283</v>
      </c>
      <c r="F1604" s="68">
        <v>2009.0</v>
      </c>
      <c r="G1604" s="68" t="s">
        <v>6284</v>
      </c>
      <c r="H1604" s="71"/>
      <c r="I1604" s="86" t="s">
        <v>635</v>
      </c>
      <c r="J1604" s="68" t="s">
        <v>6285</v>
      </c>
      <c r="K1604" s="71"/>
      <c r="L1604" s="66"/>
      <c r="M1604" s="66"/>
      <c r="N1604" s="61"/>
      <c r="O1604" s="51"/>
    </row>
    <row r="1605">
      <c r="A1605" s="56">
        <v>1602.0</v>
      </c>
      <c r="B1605" s="71"/>
      <c r="C1605" s="69">
        <v>1622.0</v>
      </c>
      <c r="D1605" s="71"/>
      <c r="E1605" s="68" t="s">
        <v>6286</v>
      </c>
      <c r="F1605" s="68">
        <v>2010.0</v>
      </c>
      <c r="G1605" s="68" t="s">
        <v>6287</v>
      </c>
      <c r="H1605" s="71"/>
      <c r="I1605" s="99" t="s">
        <v>6288</v>
      </c>
      <c r="J1605" s="68" t="s">
        <v>6289</v>
      </c>
      <c r="K1605" s="71"/>
      <c r="L1605" s="71"/>
      <c r="M1605" s="71"/>
      <c r="N1605" s="61"/>
      <c r="O1605" s="51"/>
    </row>
    <row r="1606">
      <c r="A1606" s="56">
        <v>1603.0</v>
      </c>
      <c r="B1606" s="71"/>
      <c r="C1606" s="69">
        <v>1623.0</v>
      </c>
      <c r="D1606" s="71"/>
      <c r="E1606" s="68" t="s">
        <v>6290</v>
      </c>
      <c r="F1606" s="71"/>
      <c r="G1606" s="68" t="s">
        <v>6291</v>
      </c>
      <c r="H1606" s="71"/>
      <c r="I1606" s="99" t="s">
        <v>6292</v>
      </c>
      <c r="J1606" s="68" t="s">
        <v>6293</v>
      </c>
      <c r="K1606" s="66"/>
      <c r="L1606" s="66"/>
      <c r="M1606" s="66"/>
      <c r="N1606" s="61"/>
      <c r="O1606" s="51"/>
    </row>
    <row r="1607">
      <c r="A1607" s="56">
        <v>1604.0</v>
      </c>
      <c r="B1607" s="66"/>
      <c r="C1607" s="64">
        <v>1624.0</v>
      </c>
      <c r="D1607" s="66"/>
      <c r="E1607" s="63" t="s">
        <v>6294</v>
      </c>
      <c r="F1607" s="65">
        <v>40066.0</v>
      </c>
      <c r="G1607" s="63" t="s">
        <v>6295</v>
      </c>
      <c r="H1607" s="66"/>
      <c r="I1607" s="99" t="s">
        <v>6296</v>
      </c>
      <c r="J1607" s="63" t="s">
        <v>1872</v>
      </c>
      <c r="K1607" s="66"/>
      <c r="L1607" s="66"/>
      <c r="M1607" s="63" t="s">
        <v>530</v>
      </c>
      <c r="N1607" s="61"/>
      <c r="O1607" s="51"/>
    </row>
    <row r="1608">
      <c r="A1608" s="56">
        <v>1605.0</v>
      </c>
      <c r="B1608" s="71"/>
      <c r="C1608" s="69">
        <v>1625.0</v>
      </c>
      <c r="D1608" s="71"/>
      <c r="E1608" s="68" t="s">
        <v>6297</v>
      </c>
      <c r="F1608" s="83">
        <v>40219.0</v>
      </c>
      <c r="G1608" s="68" t="s">
        <v>6298</v>
      </c>
      <c r="H1608" s="71"/>
      <c r="I1608" s="114" t="s">
        <v>6299</v>
      </c>
      <c r="J1608" s="68" t="s">
        <v>6300</v>
      </c>
      <c r="K1608" s="71"/>
      <c r="L1608" s="71"/>
      <c r="M1608" s="68" t="s">
        <v>31</v>
      </c>
      <c r="N1608" s="61"/>
      <c r="O1608" s="51"/>
    </row>
    <row r="1609">
      <c r="A1609" s="56">
        <v>1606.0</v>
      </c>
      <c r="B1609" s="71"/>
      <c r="C1609" s="69">
        <v>1626.0</v>
      </c>
      <c r="D1609" s="71"/>
      <c r="E1609" s="68" t="s">
        <v>6301</v>
      </c>
      <c r="F1609" s="83">
        <v>40076.0</v>
      </c>
      <c r="G1609" s="68" t="s">
        <v>6302</v>
      </c>
      <c r="H1609" s="71"/>
      <c r="I1609" s="99" t="s">
        <v>6303</v>
      </c>
      <c r="J1609" s="68" t="s">
        <v>6304</v>
      </c>
      <c r="K1609" s="71"/>
      <c r="L1609" s="71"/>
      <c r="M1609" s="71"/>
      <c r="N1609" s="61"/>
      <c r="O1609" s="51"/>
    </row>
    <row r="1610">
      <c r="A1610" s="56">
        <v>1607.0</v>
      </c>
      <c r="B1610" s="66"/>
      <c r="C1610" s="64">
        <v>1627.0</v>
      </c>
      <c r="D1610" s="66"/>
      <c r="E1610" s="63" t="s">
        <v>6305</v>
      </c>
      <c r="F1610" s="65">
        <v>40179.0</v>
      </c>
      <c r="G1610" s="63" t="s">
        <v>6306</v>
      </c>
      <c r="H1610" s="66"/>
      <c r="I1610" s="99" t="s">
        <v>6307</v>
      </c>
      <c r="J1610" s="63" t="s">
        <v>2872</v>
      </c>
      <c r="K1610" s="66"/>
      <c r="L1610" s="66"/>
      <c r="M1610" s="63" t="s">
        <v>125</v>
      </c>
      <c r="N1610" s="61"/>
      <c r="O1610" s="51"/>
    </row>
    <row r="1611">
      <c r="A1611" s="56">
        <v>1608.0</v>
      </c>
      <c r="B1611" s="71"/>
      <c r="C1611" s="69">
        <v>1628.0</v>
      </c>
      <c r="D1611" s="71"/>
      <c r="E1611" s="68" t="s">
        <v>6308</v>
      </c>
      <c r="F1611" s="68">
        <v>2008.0</v>
      </c>
      <c r="G1611" s="68" t="s">
        <v>6309</v>
      </c>
      <c r="H1611" s="71"/>
      <c r="I1611" s="99" t="s">
        <v>6310</v>
      </c>
      <c r="J1611" s="68" t="s">
        <v>6311</v>
      </c>
      <c r="K1611" s="71"/>
      <c r="L1611" s="71"/>
      <c r="M1611" s="71"/>
      <c r="N1611" s="61"/>
      <c r="O1611" s="51"/>
    </row>
    <row r="1612">
      <c r="A1612" s="56">
        <v>1609.0</v>
      </c>
      <c r="B1612" s="71"/>
      <c r="C1612" s="69">
        <v>1629.0</v>
      </c>
      <c r="D1612" s="71"/>
      <c r="E1612" s="68" t="s">
        <v>6312</v>
      </c>
      <c r="F1612" s="83">
        <v>40993.0</v>
      </c>
      <c r="G1612" s="68" t="s">
        <v>6313</v>
      </c>
      <c r="H1612" s="71"/>
      <c r="I1612" s="99" t="s">
        <v>6314</v>
      </c>
      <c r="J1612" s="68" t="s">
        <v>6315</v>
      </c>
      <c r="K1612" s="71"/>
      <c r="L1612" s="71"/>
      <c r="M1612" s="66"/>
      <c r="N1612" s="61"/>
      <c r="O1612" s="51"/>
    </row>
    <row r="1613">
      <c r="A1613" s="56">
        <v>1610.0</v>
      </c>
      <c r="B1613" s="66"/>
      <c r="C1613" s="64">
        <v>1630.0</v>
      </c>
      <c r="D1613" s="66"/>
      <c r="E1613" s="63" t="s">
        <v>6316</v>
      </c>
      <c r="F1613" s="63">
        <v>2010.0</v>
      </c>
      <c r="G1613" s="63" t="s">
        <v>6317</v>
      </c>
      <c r="H1613" s="66"/>
      <c r="I1613" s="99" t="s">
        <v>6318</v>
      </c>
      <c r="J1613" s="63" t="s">
        <v>1872</v>
      </c>
      <c r="K1613" s="66"/>
      <c r="L1613" s="66"/>
      <c r="M1613" s="63" t="s">
        <v>530</v>
      </c>
      <c r="N1613" s="61"/>
      <c r="O1613" s="51"/>
    </row>
    <row r="1614">
      <c r="A1614" s="56">
        <v>1611.0</v>
      </c>
      <c r="B1614" s="66"/>
      <c r="C1614" s="64">
        <v>1631.0</v>
      </c>
      <c r="D1614" s="66"/>
      <c r="E1614" s="63" t="s">
        <v>6319</v>
      </c>
      <c r="F1614" s="65">
        <v>40403.0</v>
      </c>
      <c r="G1614" s="63" t="s">
        <v>6320</v>
      </c>
      <c r="H1614" s="66"/>
      <c r="I1614" s="99" t="s">
        <v>6321</v>
      </c>
      <c r="J1614" s="63" t="s">
        <v>6322</v>
      </c>
      <c r="K1614" s="66"/>
      <c r="L1614" s="66"/>
      <c r="M1614" s="63" t="s">
        <v>4749</v>
      </c>
      <c r="N1614" s="61"/>
      <c r="O1614" s="51"/>
    </row>
    <row r="1615">
      <c r="A1615" s="56">
        <v>1612.0</v>
      </c>
      <c r="B1615" s="66"/>
      <c r="C1615" s="64">
        <v>1632.0</v>
      </c>
      <c r="D1615" s="63" t="s">
        <v>6323</v>
      </c>
      <c r="E1615" s="63" t="s">
        <v>6324</v>
      </c>
      <c r="F1615" s="182">
        <v>39995.0</v>
      </c>
      <c r="G1615" s="63" t="s">
        <v>6325</v>
      </c>
      <c r="H1615" s="66"/>
      <c r="I1615" s="99" t="s">
        <v>6326</v>
      </c>
      <c r="J1615" s="63" t="s">
        <v>1872</v>
      </c>
      <c r="K1615" s="66"/>
      <c r="L1615" s="66"/>
      <c r="M1615" s="63" t="s">
        <v>530</v>
      </c>
      <c r="N1615" s="61"/>
      <c r="O1615" s="51"/>
    </row>
    <row r="1616">
      <c r="A1616" s="56">
        <v>1613.0</v>
      </c>
      <c r="B1616" s="71"/>
      <c r="C1616" s="69">
        <v>1633.0</v>
      </c>
      <c r="D1616" s="71"/>
      <c r="E1616" s="68" t="s">
        <v>6327</v>
      </c>
      <c r="F1616" s="183">
        <v>39995.0</v>
      </c>
      <c r="G1616" s="68" t="s">
        <v>6328</v>
      </c>
      <c r="H1616" s="71"/>
      <c r="I1616" s="99" t="s">
        <v>6326</v>
      </c>
      <c r="J1616" s="68" t="s">
        <v>6329</v>
      </c>
      <c r="K1616" s="71"/>
      <c r="L1616" s="71"/>
      <c r="M1616" s="71"/>
      <c r="N1616" s="61"/>
      <c r="O1616" s="51"/>
    </row>
    <row r="1617">
      <c r="A1617" s="56">
        <v>1614.0</v>
      </c>
      <c r="B1617" s="71"/>
      <c r="C1617" s="69">
        <v>1634.0</v>
      </c>
      <c r="D1617" s="71"/>
      <c r="E1617" s="68" t="s">
        <v>6330</v>
      </c>
      <c r="F1617" s="83">
        <v>40974.0</v>
      </c>
      <c r="G1617" s="68" t="s">
        <v>6331</v>
      </c>
      <c r="H1617" s="71"/>
      <c r="I1617" s="99" t="s">
        <v>6332</v>
      </c>
      <c r="J1617" s="68" t="s">
        <v>6333</v>
      </c>
      <c r="K1617" s="71"/>
      <c r="L1617" s="71"/>
      <c r="M1617" s="71"/>
      <c r="N1617" s="61"/>
      <c r="O1617" s="51"/>
    </row>
    <row r="1618">
      <c r="A1618" s="56">
        <v>1615.0</v>
      </c>
      <c r="B1618" s="66"/>
      <c r="C1618" s="64">
        <v>1635.0</v>
      </c>
      <c r="D1618" s="66"/>
      <c r="E1618" s="63" t="s">
        <v>6334</v>
      </c>
      <c r="F1618" s="66"/>
      <c r="G1618" s="63" t="s">
        <v>6335</v>
      </c>
      <c r="H1618" s="66"/>
      <c r="I1618" s="99" t="s">
        <v>6336</v>
      </c>
      <c r="J1618" s="63" t="s">
        <v>6337</v>
      </c>
      <c r="K1618" s="66"/>
      <c r="L1618" s="66"/>
      <c r="M1618" s="63" t="s">
        <v>1393</v>
      </c>
      <c r="N1618" s="61"/>
      <c r="O1618" s="51"/>
    </row>
    <row r="1619">
      <c r="A1619" s="56">
        <v>1616.0</v>
      </c>
      <c r="B1619" s="71"/>
      <c r="C1619" s="69">
        <v>1636.0</v>
      </c>
      <c r="D1619" s="71"/>
      <c r="E1619" s="68" t="s">
        <v>6338</v>
      </c>
      <c r="F1619" s="83">
        <v>40710.0</v>
      </c>
      <c r="G1619" s="68" t="s">
        <v>6339</v>
      </c>
      <c r="H1619" s="71"/>
      <c r="I1619" s="99" t="s">
        <v>6340</v>
      </c>
      <c r="J1619" s="68" t="s">
        <v>6341</v>
      </c>
      <c r="K1619" s="71"/>
      <c r="L1619" s="71"/>
      <c r="M1619" s="71"/>
      <c r="N1619" s="61"/>
      <c r="O1619" s="51"/>
    </row>
    <row r="1620">
      <c r="A1620" s="56">
        <v>1617.0</v>
      </c>
      <c r="B1620" s="71"/>
      <c r="C1620" s="69">
        <v>1637.0</v>
      </c>
      <c r="D1620" s="71"/>
      <c r="E1620" s="68" t="s">
        <v>6342</v>
      </c>
      <c r="F1620" s="83">
        <v>40379.0</v>
      </c>
      <c r="G1620" s="68" t="s">
        <v>6343</v>
      </c>
      <c r="H1620" s="71"/>
      <c r="I1620" s="99" t="s">
        <v>6344</v>
      </c>
      <c r="J1620" s="68" t="s">
        <v>6345</v>
      </c>
      <c r="K1620" s="71"/>
      <c r="L1620" s="71"/>
      <c r="M1620" s="71"/>
      <c r="N1620" s="61"/>
      <c r="O1620" s="51"/>
    </row>
    <row r="1621">
      <c r="A1621" s="56">
        <v>1618.0</v>
      </c>
      <c r="B1621" s="71"/>
      <c r="C1621" s="69">
        <v>1638.0</v>
      </c>
      <c r="D1621" s="71"/>
      <c r="E1621" s="68" t="s">
        <v>6346</v>
      </c>
      <c r="F1621" s="83">
        <v>40857.0</v>
      </c>
      <c r="G1621" s="68" t="s">
        <v>6347</v>
      </c>
      <c r="H1621" s="71"/>
      <c r="I1621" s="99" t="s">
        <v>6348</v>
      </c>
      <c r="J1621" s="68" t="s">
        <v>6349</v>
      </c>
      <c r="K1621" s="71"/>
      <c r="L1621" s="71"/>
      <c r="M1621" s="71"/>
      <c r="N1621" s="61"/>
      <c r="O1621" s="51"/>
    </row>
    <row r="1622">
      <c r="A1622" s="56">
        <v>1619.0</v>
      </c>
      <c r="B1622" s="66"/>
      <c r="C1622" s="64">
        <v>1639.0</v>
      </c>
      <c r="D1622" s="66"/>
      <c r="E1622" s="63" t="s">
        <v>6350</v>
      </c>
      <c r="F1622" s="65">
        <v>40004.0</v>
      </c>
      <c r="G1622" s="63" t="s">
        <v>6351</v>
      </c>
      <c r="H1622" s="66"/>
      <c r="I1622" s="99" t="s">
        <v>6352</v>
      </c>
      <c r="J1622" s="63" t="s">
        <v>1872</v>
      </c>
      <c r="K1622" s="66"/>
      <c r="L1622" s="66"/>
      <c r="M1622" s="63" t="s">
        <v>530</v>
      </c>
      <c r="N1622" s="61"/>
      <c r="O1622" s="51"/>
    </row>
    <row r="1623">
      <c r="A1623" s="56">
        <v>1620.0</v>
      </c>
      <c r="B1623" s="66"/>
      <c r="C1623" s="64" t="s">
        <v>6353</v>
      </c>
      <c r="D1623" s="66"/>
      <c r="E1623" s="63" t="s">
        <v>6354</v>
      </c>
      <c r="F1623" s="65">
        <v>40061.0</v>
      </c>
      <c r="G1623" s="63" t="s">
        <v>6355</v>
      </c>
      <c r="H1623" s="63" t="s">
        <v>6356</v>
      </c>
      <c r="I1623" s="99" t="s">
        <v>6357</v>
      </c>
      <c r="J1623" s="63" t="s">
        <v>1872</v>
      </c>
      <c r="K1623" s="66"/>
      <c r="L1623" s="63" t="s">
        <v>1496</v>
      </c>
      <c r="M1623" s="63" t="s">
        <v>530</v>
      </c>
      <c r="N1623" s="61"/>
      <c r="O1623" s="51"/>
    </row>
    <row r="1624">
      <c r="A1624" s="56">
        <v>1621.0</v>
      </c>
      <c r="B1624" s="66"/>
      <c r="C1624" s="64" t="s">
        <v>6358</v>
      </c>
      <c r="D1624" s="66"/>
      <c r="E1624" s="63" t="s">
        <v>6359</v>
      </c>
      <c r="F1624" s="65">
        <v>40061.0</v>
      </c>
      <c r="G1624" s="63" t="s">
        <v>6355</v>
      </c>
      <c r="H1624" s="63" t="s">
        <v>6360</v>
      </c>
      <c r="I1624" s="99" t="s">
        <v>6357</v>
      </c>
      <c r="J1624" s="63" t="s">
        <v>1872</v>
      </c>
      <c r="K1624" s="66"/>
      <c r="L1624" s="63" t="s">
        <v>1496</v>
      </c>
      <c r="M1624" s="63" t="s">
        <v>530</v>
      </c>
      <c r="N1624" s="61"/>
      <c r="O1624" s="51"/>
    </row>
    <row r="1625">
      <c r="A1625" s="56">
        <v>1622.0</v>
      </c>
      <c r="B1625" s="71"/>
      <c r="C1625" s="69">
        <v>1642.0</v>
      </c>
      <c r="D1625" s="71"/>
      <c r="E1625" s="68" t="s">
        <v>6361</v>
      </c>
      <c r="F1625" s="183">
        <v>40360.0</v>
      </c>
      <c r="G1625" s="68" t="s">
        <v>6362</v>
      </c>
      <c r="H1625" s="71"/>
      <c r="I1625" s="99" t="s">
        <v>6363</v>
      </c>
      <c r="J1625" s="68" t="s">
        <v>2675</v>
      </c>
      <c r="K1625" s="71"/>
      <c r="L1625" s="71"/>
      <c r="M1625" s="68" t="s">
        <v>137</v>
      </c>
      <c r="N1625" s="61"/>
      <c r="O1625" s="51"/>
    </row>
    <row r="1626">
      <c r="A1626" s="56">
        <v>1623.0</v>
      </c>
      <c r="B1626" s="71"/>
      <c r="C1626" s="69">
        <v>1643.0</v>
      </c>
      <c r="D1626" s="71"/>
      <c r="E1626" s="68" t="s">
        <v>6364</v>
      </c>
      <c r="F1626" s="83">
        <v>41232.0</v>
      </c>
      <c r="G1626" s="68" t="s">
        <v>6365</v>
      </c>
      <c r="H1626" s="71"/>
      <c r="I1626" s="99" t="s">
        <v>6366</v>
      </c>
      <c r="J1626" s="68" t="s">
        <v>6367</v>
      </c>
      <c r="K1626" s="71"/>
      <c r="L1626" s="71"/>
      <c r="M1626" s="66"/>
      <c r="N1626" s="61"/>
      <c r="O1626" s="51"/>
    </row>
    <row r="1627">
      <c r="A1627" s="56">
        <v>1624.0</v>
      </c>
      <c r="B1627" s="71"/>
      <c r="C1627" s="69">
        <v>1644.0</v>
      </c>
      <c r="D1627" s="71"/>
      <c r="E1627" s="68" t="s">
        <v>6368</v>
      </c>
      <c r="F1627" s="68" t="s">
        <v>6369</v>
      </c>
      <c r="G1627" s="68" t="s">
        <v>6370</v>
      </c>
      <c r="H1627" s="71"/>
      <c r="I1627" s="99" t="s">
        <v>6371</v>
      </c>
      <c r="J1627" s="68" t="s">
        <v>6372</v>
      </c>
      <c r="K1627" s="71"/>
      <c r="L1627" s="71"/>
      <c r="M1627" s="68" t="s">
        <v>530</v>
      </c>
      <c r="N1627" s="61"/>
      <c r="O1627" s="51"/>
    </row>
    <row r="1628">
      <c r="A1628" s="56">
        <v>1625.0</v>
      </c>
      <c r="B1628" s="71"/>
      <c r="C1628" s="69" t="s">
        <v>6373</v>
      </c>
      <c r="D1628" s="71"/>
      <c r="E1628" s="68" t="s">
        <v>6374</v>
      </c>
      <c r="F1628" s="83">
        <v>40807.0</v>
      </c>
      <c r="G1628" s="68" t="s">
        <v>6375</v>
      </c>
      <c r="H1628" s="71"/>
      <c r="I1628" s="99" t="s">
        <v>6376</v>
      </c>
      <c r="J1628" s="68" t="s">
        <v>6377</v>
      </c>
      <c r="K1628" s="71"/>
      <c r="L1628" s="68" t="s">
        <v>1496</v>
      </c>
      <c r="M1628" s="68" t="s">
        <v>201</v>
      </c>
      <c r="N1628" s="61"/>
      <c r="O1628" s="51"/>
    </row>
    <row r="1629">
      <c r="A1629" s="56">
        <v>1626.0</v>
      </c>
      <c r="B1629" s="66"/>
      <c r="C1629" s="64">
        <v>1646.0</v>
      </c>
      <c r="D1629" s="66"/>
      <c r="E1629" s="63" t="s">
        <v>6378</v>
      </c>
      <c r="F1629" s="65">
        <v>40463.0</v>
      </c>
      <c r="G1629" s="63" t="s">
        <v>6379</v>
      </c>
      <c r="H1629" s="66"/>
      <c r="I1629" s="99" t="s">
        <v>6380</v>
      </c>
      <c r="J1629" s="63" t="s">
        <v>6381</v>
      </c>
      <c r="K1629" s="66"/>
      <c r="L1629" s="66"/>
      <c r="M1629" s="63" t="s">
        <v>201</v>
      </c>
      <c r="N1629" s="61"/>
      <c r="O1629" s="51"/>
    </row>
    <row r="1630">
      <c r="A1630" s="56">
        <v>1627.0</v>
      </c>
      <c r="B1630" s="71"/>
      <c r="C1630" s="69">
        <v>1647.0</v>
      </c>
      <c r="D1630" s="71"/>
      <c r="E1630" s="68" t="s">
        <v>6382</v>
      </c>
      <c r="F1630" s="184">
        <v>40483.0</v>
      </c>
      <c r="G1630" s="68" t="s">
        <v>6383</v>
      </c>
      <c r="H1630" s="71"/>
      <c r="I1630" s="86" t="s">
        <v>635</v>
      </c>
      <c r="J1630" s="68" t="s">
        <v>6384</v>
      </c>
      <c r="K1630" s="71"/>
      <c r="L1630" s="66"/>
      <c r="M1630" s="66"/>
      <c r="N1630" s="61"/>
      <c r="O1630" s="51"/>
    </row>
    <row r="1631">
      <c r="A1631" s="56">
        <v>1628.0</v>
      </c>
      <c r="B1631" s="71"/>
      <c r="C1631" s="69">
        <v>1648.0</v>
      </c>
      <c r="D1631" s="68" t="s">
        <v>6385</v>
      </c>
      <c r="E1631" s="68" t="s">
        <v>6386</v>
      </c>
      <c r="F1631" s="83">
        <v>41675.0</v>
      </c>
      <c r="G1631" s="68" t="s">
        <v>6387</v>
      </c>
      <c r="H1631" s="71"/>
      <c r="I1631" s="63" t="s">
        <v>6388</v>
      </c>
      <c r="J1631" s="68" t="s">
        <v>6389</v>
      </c>
      <c r="K1631" s="71"/>
      <c r="L1631" s="71"/>
      <c r="M1631" s="71"/>
      <c r="N1631" s="61"/>
      <c r="O1631" s="51"/>
    </row>
    <row r="1632">
      <c r="A1632" s="56">
        <v>1629.0</v>
      </c>
      <c r="B1632" s="66"/>
      <c r="C1632" s="64">
        <v>1649.0</v>
      </c>
      <c r="D1632" s="66"/>
      <c r="E1632" s="63" t="s">
        <v>6390</v>
      </c>
      <c r="F1632" s="65">
        <v>40151.0</v>
      </c>
      <c r="G1632" s="63" t="s">
        <v>6391</v>
      </c>
      <c r="H1632" s="63" t="s">
        <v>439</v>
      </c>
      <c r="I1632" s="99" t="s">
        <v>6392</v>
      </c>
      <c r="J1632" s="63" t="s">
        <v>6393</v>
      </c>
      <c r="K1632" s="68" t="s">
        <v>6394</v>
      </c>
      <c r="L1632" s="66"/>
      <c r="M1632" s="63" t="s">
        <v>6395</v>
      </c>
      <c r="N1632" s="61"/>
      <c r="O1632" s="51"/>
    </row>
    <row r="1633">
      <c r="A1633" s="56">
        <v>1630.0</v>
      </c>
      <c r="B1633" s="60"/>
      <c r="C1633" s="58">
        <v>1650.0</v>
      </c>
      <c r="D1633" s="57" t="s">
        <v>6396</v>
      </c>
      <c r="E1633" s="57" t="s">
        <v>6397</v>
      </c>
      <c r="F1633" s="78">
        <v>40912.0</v>
      </c>
      <c r="G1633" s="57" t="s">
        <v>6398</v>
      </c>
      <c r="H1633" s="60"/>
      <c r="I1633" s="99" t="s">
        <v>6399</v>
      </c>
      <c r="J1633" s="63" t="s">
        <v>6393</v>
      </c>
      <c r="K1633" s="60"/>
      <c r="L1633" s="60"/>
      <c r="M1633" s="104"/>
      <c r="N1633" s="105"/>
      <c r="O1633" s="51"/>
    </row>
    <row r="1634">
      <c r="A1634" s="56">
        <v>1631.0</v>
      </c>
      <c r="B1634" s="71"/>
      <c r="C1634" s="69">
        <v>1651.0</v>
      </c>
      <c r="D1634" s="71"/>
      <c r="E1634" s="68" t="s">
        <v>6400</v>
      </c>
      <c r="F1634" s="83">
        <v>41395.0</v>
      </c>
      <c r="G1634" s="68" t="s">
        <v>6401</v>
      </c>
      <c r="H1634" s="71"/>
      <c r="I1634" s="99" t="s">
        <v>635</v>
      </c>
      <c r="J1634" s="68" t="s">
        <v>6402</v>
      </c>
      <c r="K1634" s="71"/>
      <c r="L1634" s="71"/>
      <c r="M1634" s="175"/>
      <c r="N1634" s="61"/>
      <c r="O1634" s="51"/>
    </row>
    <row r="1635">
      <c r="A1635" s="56">
        <v>1632.0</v>
      </c>
      <c r="B1635" s="71"/>
      <c r="C1635" s="69">
        <v>1652.0</v>
      </c>
      <c r="D1635" s="71"/>
      <c r="E1635" s="68" t="s">
        <v>6403</v>
      </c>
      <c r="F1635" s="83">
        <v>41386.0</v>
      </c>
      <c r="G1635" s="68" t="s">
        <v>6404</v>
      </c>
      <c r="H1635" s="71"/>
      <c r="I1635" s="99" t="s">
        <v>6405</v>
      </c>
      <c r="J1635" s="68" t="s">
        <v>6406</v>
      </c>
      <c r="K1635" s="71"/>
      <c r="L1635" s="71"/>
      <c r="M1635" s="66"/>
      <c r="N1635" s="61"/>
      <c r="O1635" s="51"/>
    </row>
    <row r="1636">
      <c r="A1636" s="56">
        <v>1633.0</v>
      </c>
      <c r="B1636" s="71"/>
      <c r="C1636" s="69">
        <v>1653.0</v>
      </c>
      <c r="D1636" s="71"/>
      <c r="E1636" s="68" t="s">
        <v>6407</v>
      </c>
      <c r="F1636" s="83">
        <v>40443.0</v>
      </c>
      <c r="G1636" s="68" t="s">
        <v>6408</v>
      </c>
      <c r="H1636" s="71"/>
      <c r="I1636" s="99" t="s">
        <v>6409</v>
      </c>
      <c r="J1636" s="68" t="s">
        <v>6410</v>
      </c>
      <c r="K1636" s="71"/>
      <c r="L1636" s="71"/>
      <c r="M1636" s="68" t="s">
        <v>195</v>
      </c>
      <c r="N1636" s="61"/>
      <c r="O1636" s="51"/>
    </row>
    <row r="1637">
      <c r="A1637" s="56">
        <v>1634.0</v>
      </c>
      <c r="B1637" s="71"/>
      <c r="C1637" s="69">
        <v>1654.0</v>
      </c>
      <c r="D1637" s="68" t="s">
        <v>6411</v>
      </c>
      <c r="E1637" s="68" t="s">
        <v>6412</v>
      </c>
      <c r="F1637" s="68">
        <v>2008.0</v>
      </c>
      <c r="G1637" s="68" t="s">
        <v>6413</v>
      </c>
      <c r="H1637" s="71"/>
      <c r="I1637" s="99" t="s">
        <v>6414</v>
      </c>
      <c r="J1637" s="68" t="s">
        <v>6415</v>
      </c>
      <c r="K1637" s="71"/>
      <c r="L1637" s="71"/>
      <c r="M1637" s="66"/>
      <c r="N1637" s="61"/>
      <c r="O1637" s="51"/>
    </row>
    <row r="1638">
      <c r="A1638" s="56">
        <v>1635.0</v>
      </c>
      <c r="B1638" s="66"/>
      <c r="C1638" s="64">
        <v>1655.0</v>
      </c>
      <c r="D1638" s="66"/>
      <c r="E1638" s="63" t="s">
        <v>6416</v>
      </c>
      <c r="F1638" s="65">
        <v>40324.0</v>
      </c>
      <c r="G1638" s="63" t="s">
        <v>6417</v>
      </c>
      <c r="H1638" s="63" t="s">
        <v>6418</v>
      </c>
      <c r="I1638" s="99" t="s">
        <v>635</v>
      </c>
      <c r="J1638" s="63" t="s">
        <v>6393</v>
      </c>
      <c r="K1638" s="66"/>
      <c r="L1638" s="66"/>
      <c r="M1638" s="63" t="s">
        <v>6395</v>
      </c>
      <c r="N1638" s="61"/>
      <c r="O1638" s="51"/>
    </row>
    <row r="1639">
      <c r="A1639" s="56">
        <v>1636.0</v>
      </c>
      <c r="B1639" s="66"/>
      <c r="C1639" s="64">
        <v>1656.0</v>
      </c>
      <c r="D1639" s="66"/>
      <c r="E1639" s="63" t="s">
        <v>6419</v>
      </c>
      <c r="F1639" s="65">
        <v>41513.0</v>
      </c>
      <c r="G1639" s="63" t="s">
        <v>6420</v>
      </c>
      <c r="H1639" s="66"/>
      <c r="I1639" s="99" t="s">
        <v>6421</v>
      </c>
      <c r="J1639" s="63" t="s">
        <v>4801</v>
      </c>
      <c r="K1639" s="66"/>
      <c r="L1639" s="66"/>
      <c r="M1639" s="63" t="s">
        <v>149</v>
      </c>
      <c r="N1639" s="61"/>
      <c r="O1639" s="51"/>
    </row>
    <row r="1640">
      <c r="A1640" s="56">
        <v>1637.0</v>
      </c>
      <c r="B1640" s="71"/>
      <c r="C1640" s="69">
        <v>1657.0</v>
      </c>
      <c r="D1640" s="71"/>
      <c r="E1640" s="68" t="s">
        <v>6422</v>
      </c>
      <c r="F1640" s="83">
        <v>40798.0</v>
      </c>
      <c r="G1640" s="68" t="s">
        <v>6423</v>
      </c>
      <c r="H1640" s="71"/>
      <c r="I1640" s="99" t="s">
        <v>635</v>
      </c>
      <c r="J1640" s="68" t="s">
        <v>6424</v>
      </c>
      <c r="K1640" s="66"/>
      <c r="L1640" s="66"/>
      <c r="M1640" s="66"/>
      <c r="N1640" s="61"/>
      <c r="O1640" s="51"/>
    </row>
    <row r="1641">
      <c r="A1641" s="56">
        <v>1638.0</v>
      </c>
      <c r="B1641" s="71"/>
      <c r="C1641" s="69">
        <v>1658.0</v>
      </c>
      <c r="D1641" s="71"/>
      <c r="E1641" s="68" t="s">
        <v>6425</v>
      </c>
      <c r="F1641" s="83">
        <v>40993.0</v>
      </c>
      <c r="G1641" s="68" t="s">
        <v>6426</v>
      </c>
      <c r="H1641" s="71"/>
      <c r="I1641" s="99" t="s">
        <v>635</v>
      </c>
      <c r="J1641" s="68" t="s">
        <v>5853</v>
      </c>
      <c r="K1641" s="66"/>
      <c r="L1641" s="66"/>
      <c r="M1641" s="66"/>
      <c r="N1641" s="61"/>
      <c r="O1641" s="51"/>
    </row>
    <row r="1642">
      <c r="A1642" s="56">
        <v>1639.0</v>
      </c>
      <c r="B1642" s="71"/>
      <c r="C1642" s="69">
        <v>1659.0</v>
      </c>
      <c r="D1642" s="71"/>
      <c r="E1642" s="68" t="s">
        <v>6427</v>
      </c>
      <c r="F1642" s="83">
        <v>40720.0</v>
      </c>
      <c r="G1642" s="68" t="s">
        <v>6428</v>
      </c>
      <c r="H1642" s="71"/>
      <c r="I1642" s="114" t="s">
        <v>635</v>
      </c>
      <c r="J1642" s="68" t="s">
        <v>6429</v>
      </c>
      <c r="K1642" s="71"/>
      <c r="L1642" s="71"/>
      <c r="M1642" s="71"/>
      <c r="N1642" s="61"/>
      <c r="O1642" s="51"/>
    </row>
    <row r="1643">
      <c r="A1643" s="56">
        <v>1640.0</v>
      </c>
      <c r="B1643" s="71"/>
      <c r="C1643" s="69">
        <v>1660.0</v>
      </c>
      <c r="D1643" s="71"/>
      <c r="E1643" s="68" t="s">
        <v>6430</v>
      </c>
      <c r="F1643" s="83">
        <v>41075.0</v>
      </c>
      <c r="G1643" s="68" t="s">
        <v>6431</v>
      </c>
      <c r="H1643" s="71"/>
      <c r="I1643" s="99" t="s">
        <v>6432</v>
      </c>
      <c r="J1643" s="68" t="s">
        <v>6433</v>
      </c>
      <c r="K1643" s="71"/>
      <c r="L1643" s="71"/>
      <c r="M1643" s="71"/>
      <c r="N1643" s="61"/>
      <c r="O1643" s="51"/>
    </row>
    <row r="1644">
      <c r="A1644" s="56">
        <v>1641.0</v>
      </c>
      <c r="B1644" s="71"/>
      <c r="C1644" s="69">
        <v>1661.0</v>
      </c>
      <c r="D1644" s="71"/>
      <c r="E1644" s="68" t="s">
        <v>6434</v>
      </c>
      <c r="F1644" s="83">
        <v>40783.0</v>
      </c>
      <c r="G1644" s="68" t="s">
        <v>6435</v>
      </c>
      <c r="H1644" s="71"/>
      <c r="I1644" s="99" t="s">
        <v>6436</v>
      </c>
      <c r="J1644" s="87" t="s">
        <v>6437</v>
      </c>
      <c r="K1644" s="71"/>
      <c r="L1644" s="66"/>
      <c r="M1644" s="66"/>
      <c r="N1644" s="61"/>
      <c r="O1644" s="51"/>
    </row>
    <row r="1645">
      <c r="A1645" s="56">
        <v>1642.0</v>
      </c>
      <c r="B1645" s="71"/>
      <c r="C1645" s="69">
        <v>1662.0</v>
      </c>
      <c r="D1645" s="71"/>
      <c r="E1645" s="68" t="s">
        <v>6438</v>
      </c>
      <c r="F1645" s="83">
        <v>41072.0</v>
      </c>
      <c r="G1645" s="68" t="s">
        <v>6439</v>
      </c>
      <c r="H1645" s="71"/>
      <c r="I1645" s="99" t="s">
        <v>635</v>
      </c>
      <c r="J1645" s="68" t="s">
        <v>6440</v>
      </c>
      <c r="K1645" s="71"/>
      <c r="L1645" s="71"/>
      <c r="M1645" s="71"/>
      <c r="N1645" s="61"/>
      <c r="O1645" s="51"/>
    </row>
    <row r="1646">
      <c r="A1646" s="56">
        <v>1643.0</v>
      </c>
      <c r="B1646" s="71"/>
      <c r="C1646" s="69">
        <v>1663.0</v>
      </c>
      <c r="D1646" s="71"/>
      <c r="E1646" s="68" t="s">
        <v>6441</v>
      </c>
      <c r="F1646" s="83">
        <v>41689.0</v>
      </c>
      <c r="G1646" s="68" t="s">
        <v>6442</v>
      </c>
      <c r="H1646" s="71"/>
      <c r="I1646" s="99" t="s">
        <v>635</v>
      </c>
      <c r="J1646" s="68" t="s">
        <v>6443</v>
      </c>
      <c r="K1646" s="71"/>
      <c r="L1646" s="71"/>
      <c r="M1646" s="71"/>
      <c r="N1646" s="61"/>
      <c r="O1646" s="51"/>
    </row>
    <row r="1647">
      <c r="A1647" s="56">
        <v>1644.0</v>
      </c>
      <c r="B1647" s="71"/>
      <c r="C1647" s="69">
        <v>1664.0</v>
      </c>
      <c r="D1647" s="71"/>
      <c r="E1647" s="68" t="s">
        <v>6444</v>
      </c>
      <c r="F1647" s="83">
        <v>41689.0</v>
      </c>
      <c r="G1647" s="68" t="s">
        <v>6442</v>
      </c>
      <c r="H1647" s="71"/>
      <c r="I1647" s="99" t="s">
        <v>635</v>
      </c>
      <c r="J1647" s="68" t="s">
        <v>6443</v>
      </c>
      <c r="K1647" s="71"/>
      <c r="L1647" s="66"/>
      <c r="M1647" s="66"/>
      <c r="N1647" s="61"/>
      <c r="O1647" s="51"/>
    </row>
    <row r="1648">
      <c r="A1648" s="56">
        <v>1645.0</v>
      </c>
      <c r="B1648" s="71"/>
      <c r="C1648" s="69">
        <v>1665.0</v>
      </c>
      <c r="D1648" s="71"/>
      <c r="E1648" s="68" t="s">
        <v>6445</v>
      </c>
      <c r="F1648" s="68">
        <v>2011.0</v>
      </c>
      <c r="G1648" s="68" t="s">
        <v>6446</v>
      </c>
      <c r="H1648" s="71"/>
      <c r="I1648" s="99" t="s">
        <v>635</v>
      </c>
      <c r="J1648" s="68" t="s">
        <v>6447</v>
      </c>
      <c r="K1648" s="71"/>
      <c r="L1648" s="66"/>
      <c r="M1648" s="66"/>
      <c r="N1648" s="61"/>
      <c r="O1648" s="51"/>
    </row>
    <row r="1649">
      <c r="A1649" s="56">
        <v>1646.0</v>
      </c>
      <c r="B1649" s="71"/>
      <c r="C1649" s="69">
        <v>1666.0</v>
      </c>
      <c r="D1649" s="71"/>
      <c r="E1649" s="68" t="s">
        <v>6448</v>
      </c>
      <c r="F1649" s="68">
        <v>2011.0</v>
      </c>
      <c r="G1649" s="68" t="s">
        <v>6446</v>
      </c>
      <c r="H1649" s="71"/>
      <c r="I1649" s="99" t="s">
        <v>6449</v>
      </c>
      <c r="J1649" s="68" t="s">
        <v>6447</v>
      </c>
      <c r="K1649" s="71"/>
      <c r="L1649" s="66"/>
      <c r="M1649" s="66"/>
      <c r="N1649" s="61"/>
      <c r="O1649" s="51"/>
    </row>
    <row r="1650">
      <c r="A1650" s="56">
        <v>1647.0</v>
      </c>
      <c r="B1650" s="71"/>
      <c r="C1650" s="69">
        <v>1667.0</v>
      </c>
      <c r="D1650" s="71"/>
      <c r="E1650" s="68" t="s">
        <v>6450</v>
      </c>
      <c r="F1650" s="83">
        <v>41163.0</v>
      </c>
      <c r="G1650" s="68" t="s">
        <v>6451</v>
      </c>
      <c r="H1650" s="71"/>
      <c r="I1650" s="99" t="s">
        <v>635</v>
      </c>
      <c r="J1650" s="68" t="s">
        <v>6452</v>
      </c>
      <c r="K1650" s="71"/>
      <c r="L1650" s="71"/>
      <c r="M1650" s="71"/>
      <c r="N1650" s="61"/>
      <c r="O1650" s="51"/>
    </row>
    <row r="1651">
      <c r="A1651" s="56">
        <v>1648.0</v>
      </c>
      <c r="B1651" s="60"/>
      <c r="C1651" s="58">
        <v>1668.0</v>
      </c>
      <c r="D1651" s="60"/>
      <c r="E1651" s="57" t="s">
        <v>6453</v>
      </c>
      <c r="F1651" s="78">
        <v>41569.0</v>
      </c>
      <c r="G1651" s="57" t="s">
        <v>6454</v>
      </c>
      <c r="H1651" s="60"/>
      <c r="I1651" s="99" t="s">
        <v>635</v>
      </c>
      <c r="J1651" s="57" t="s">
        <v>6455</v>
      </c>
      <c r="K1651" s="60"/>
      <c r="L1651" s="60"/>
      <c r="M1651" s="60"/>
      <c r="N1651" s="61"/>
      <c r="O1651" s="51"/>
    </row>
    <row r="1652">
      <c r="A1652" s="56">
        <v>1649.0</v>
      </c>
      <c r="B1652" s="60"/>
      <c r="C1652" s="58">
        <v>1669.0</v>
      </c>
      <c r="D1652" s="60"/>
      <c r="E1652" s="57" t="s">
        <v>6456</v>
      </c>
      <c r="F1652" s="185">
        <v>41640.0</v>
      </c>
      <c r="G1652" s="57" t="s">
        <v>6457</v>
      </c>
      <c r="H1652" s="60"/>
      <c r="I1652" s="99" t="s">
        <v>6203</v>
      </c>
      <c r="J1652" s="57" t="s">
        <v>6458</v>
      </c>
      <c r="K1652" s="60"/>
      <c r="L1652" s="60"/>
      <c r="M1652" s="60"/>
      <c r="N1652" s="61"/>
      <c r="O1652" s="51"/>
    </row>
    <row r="1653">
      <c r="A1653" s="56">
        <v>1650.0</v>
      </c>
      <c r="B1653" s="71"/>
      <c r="C1653" s="69">
        <v>1670.0</v>
      </c>
      <c r="D1653" s="71"/>
      <c r="E1653" s="68" t="s">
        <v>6459</v>
      </c>
      <c r="F1653" s="83">
        <v>41567.0</v>
      </c>
      <c r="G1653" s="68" t="s">
        <v>6460</v>
      </c>
      <c r="H1653" s="71"/>
      <c r="I1653" s="99" t="s">
        <v>6461</v>
      </c>
      <c r="J1653" s="87" t="s">
        <v>6462</v>
      </c>
      <c r="K1653" s="186"/>
      <c r="L1653" s="186"/>
      <c r="M1653" s="186"/>
      <c r="N1653" s="61"/>
      <c r="O1653" s="51"/>
    </row>
    <row r="1654">
      <c r="A1654" s="56">
        <v>1651.0</v>
      </c>
      <c r="B1654" s="66"/>
      <c r="C1654" s="64">
        <v>1671.0</v>
      </c>
      <c r="D1654" s="66"/>
      <c r="E1654" s="63" t="s">
        <v>6463</v>
      </c>
      <c r="F1654" s="65">
        <v>38261.0</v>
      </c>
      <c r="G1654" s="63" t="s">
        <v>6464</v>
      </c>
      <c r="H1654" s="66"/>
      <c r="I1654" s="99" t="s">
        <v>6465</v>
      </c>
      <c r="J1654" s="63" t="s">
        <v>2526</v>
      </c>
      <c r="K1654" s="66"/>
      <c r="L1654" s="66"/>
      <c r="M1654" s="63" t="s">
        <v>2527</v>
      </c>
      <c r="N1654" s="61"/>
      <c r="O1654" s="51"/>
    </row>
    <row r="1655">
      <c r="A1655" s="56">
        <v>1652.0</v>
      </c>
      <c r="B1655" s="71"/>
      <c r="C1655" s="69">
        <v>1672.0</v>
      </c>
      <c r="D1655" s="71"/>
      <c r="E1655" s="68" t="s">
        <v>6466</v>
      </c>
      <c r="F1655" s="83">
        <v>40141.0</v>
      </c>
      <c r="G1655" s="68" t="s">
        <v>6467</v>
      </c>
      <c r="H1655" s="71"/>
      <c r="I1655" s="99" t="s">
        <v>6468</v>
      </c>
      <c r="J1655" s="68" t="s">
        <v>6469</v>
      </c>
      <c r="K1655" s="71"/>
      <c r="L1655" s="71"/>
      <c r="M1655" s="71"/>
      <c r="N1655" s="61"/>
      <c r="O1655" s="51"/>
    </row>
    <row r="1656">
      <c r="A1656" s="56">
        <v>1653.0</v>
      </c>
      <c r="B1656" s="71"/>
      <c r="C1656" s="69">
        <v>1673.0</v>
      </c>
      <c r="D1656" s="71"/>
      <c r="E1656" s="68" t="s">
        <v>6470</v>
      </c>
      <c r="F1656" s="76">
        <v>41663.0</v>
      </c>
      <c r="G1656" s="68" t="s">
        <v>6471</v>
      </c>
      <c r="H1656" s="71"/>
      <c r="I1656" s="99" t="s">
        <v>6472</v>
      </c>
      <c r="J1656" s="68" t="s">
        <v>6473</v>
      </c>
      <c r="K1656" s="71"/>
      <c r="L1656" s="71"/>
      <c r="M1656" s="66"/>
      <c r="N1656" s="61"/>
      <c r="O1656" s="51"/>
    </row>
    <row r="1657">
      <c r="A1657" s="56">
        <v>1654.0</v>
      </c>
      <c r="B1657" s="60"/>
      <c r="C1657" s="58">
        <v>1674.0</v>
      </c>
      <c r="D1657" s="60"/>
      <c r="E1657" s="57" t="s">
        <v>6474</v>
      </c>
      <c r="F1657" s="78">
        <v>41634.0</v>
      </c>
      <c r="G1657" s="57" t="s">
        <v>6475</v>
      </c>
      <c r="H1657" s="60"/>
      <c r="I1657" s="99" t="s">
        <v>6476</v>
      </c>
      <c r="J1657" s="57" t="s">
        <v>6477</v>
      </c>
      <c r="K1657" s="60"/>
      <c r="L1657" s="60"/>
      <c r="M1657" s="60"/>
      <c r="N1657" s="61"/>
      <c r="O1657" s="51"/>
    </row>
    <row r="1658">
      <c r="A1658" s="56">
        <v>1655.0</v>
      </c>
      <c r="B1658" s="71"/>
      <c r="C1658" s="69">
        <v>1675.0</v>
      </c>
      <c r="D1658" s="71"/>
      <c r="E1658" s="68" t="s">
        <v>6478</v>
      </c>
      <c r="F1658" s="83">
        <v>41130.0</v>
      </c>
      <c r="G1658" s="68" t="s">
        <v>6479</v>
      </c>
      <c r="H1658" s="71"/>
      <c r="I1658" s="99" t="s">
        <v>6480</v>
      </c>
      <c r="J1658" s="68" t="s">
        <v>6481</v>
      </c>
      <c r="K1658" s="71"/>
      <c r="L1658" s="71"/>
      <c r="M1658" s="71"/>
      <c r="N1658" s="61"/>
      <c r="O1658" s="51"/>
    </row>
    <row r="1659">
      <c r="A1659" s="56">
        <v>1656.0</v>
      </c>
      <c r="B1659" s="66"/>
      <c r="C1659" s="64">
        <v>1676.0</v>
      </c>
      <c r="D1659" s="66"/>
      <c r="E1659" s="63" t="s">
        <v>6482</v>
      </c>
      <c r="F1659" s="65">
        <v>41521.0</v>
      </c>
      <c r="G1659" s="63" t="s">
        <v>6483</v>
      </c>
      <c r="H1659" s="66"/>
      <c r="I1659" s="99" t="s">
        <v>6484</v>
      </c>
      <c r="J1659" s="63" t="s">
        <v>6485</v>
      </c>
      <c r="K1659" s="66"/>
      <c r="L1659" s="66"/>
      <c r="M1659" s="63" t="s">
        <v>149</v>
      </c>
      <c r="N1659" s="61"/>
      <c r="O1659" s="51"/>
    </row>
    <row r="1660">
      <c r="A1660" s="56">
        <v>1657.0</v>
      </c>
      <c r="B1660" s="71"/>
      <c r="C1660" s="69">
        <v>1677.0</v>
      </c>
      <c r="D1660" s="71"/>
      <c r="E1660" s="68" t="s">
        <v>6486</v>
      </c>
      <c r="F1660" s="83">
        <v>41660.0</v>
      </c>
      <c r="G1660" s="68" t="s">
        <v>6487</v>
      </c>
      <c r="H1660" s="71"/>
      <c r="I1660" s="63" t="s">
        <v>6488</v>
      </c>
      <c r="J1660" s="68" t="s">
        <v>1481</v>
      </c>
      <c r="K1660" s="71"/>
      <c r="L1660" s="71"/>
      <c r="M1660" s="71"/>
      <c r="N1660" s="61"/>
      <c r="O1660" s="51"/>
    </row>
    <row r="1661">
      <c r="A1661" s="56">
        <v>1658.0</v>
      </c>
      <c r="B1661" s="66"/>
      <c r="C1661" s="64" t="s">
        <v>6489</v>
      </c>
      <c r="D1661" s="66"/>
      <c r="E1661" s="63" t="s">
        <v>6490</v>
      </c>
      <c r="F1661" s="65">
        <v>41265.0</v>
      </c>
      <c r="G1661" s="63" t="s">
        <v>6491</v>
      </c>
      <c r="H1661" s="63" t="s">
        <v>6492</v>
      </c>
      <c r="I1661" s="99" t="s">
        <v>6493</v>
      </c>
      <c r="J1661" s="63" t="s">
        <v>3575</v>
      </c>
      <c r="K1661" s="66"/>
      <c r="L1661" s="63" t="s">
        <v>6494</v>
      </c>
      <c r="M1661" s="63" t="s">
        <v>2152</v>
      </c>
      <c r="N1661" s="61"/>
      <c r="O1661" s="51"/>
    </row>
    <row r="1662">
      <c r="A1662" s="56">
        <v>1659.0</v>
      </c>
      <c r="B1662" s="71"/>
      <c r="C1662" s="69">
        <v>1679.0</v>
      </c>
      <c r="D1662" s="71"/>
      <c r="E1662" s="68" t="s">
        <v>6495</v>
      </c>
      <c r="F1662" s="83">
        <v>40628.0</v>
      </c>
      <c r="G1662" s="68" t="s">
        <v>6496</v>
      </c>
      <c r="H1662" s="68" t="s">
        <v>6497</v>
      </c>
      <c r="I1662" s="63" t="s">
        <v>635</v>
      </c>
      <c r="J1662" s="68" t="s">
        <v>6498</v>
      </c>
      <c r="K1662" s="71"/>
      <c r="L1662" s="71"/>
      <c r="M1662" s="71"/>
      <c r="N1662" s="61"/>
      <c r="O1662" s="51"/>
    </row>
    <row r="1663">
      <c r="A1663" s="56">
        <v>1660.0</v>
      </c>
      <c r="B1663" s="71"/>
      <c r="C1663" s="69">
        <v>1680.0</v>
      </c>
      <c r="D1663" s="71"/>
      <c r="E1663" s="68" t="s">
        <v>6499</v>
      </c>
      <c r="F1663" s="68">
        <v>2009.0</v>
      </c>
      <c r="G1663" s="68" t="s">
        <v>6500</v>
      </c>
      <c r="H1663" s="71"/>
      <c r="I1663" s="63" t="s">
        <v>6501</v>
      </c>
      <c r="J1663" s="68" t="s">
        <v>6345</v>
      </c>
      <c r="K1663" s="66"/>
      <c r="L1663" s="66"/>
      <c r="M1663" s="66"/>
      <c r="N1663" s="61"/>
      <c r="O1663" s="51"/>
    </row>
    <row r="1664">
      <c r="A1664" s="56">
        <v>1661.0</v>
      </c>
      <c r="B1664" s="71"/>
      <c r="C1664" s="69">
        <v>1681.0</v>
      </c>
      <c r="D1664" s="71"/>
      <c r="E1664" s="68" t="s">
        <v>6502</v>
      </c>
      <c r="F1664" s="83">
        <v>40270.0</v>
      </c>
      <c r="G1664" s="68" t="s">
        <v>6503</v>
      </c>
      <c r="H1664" s="71"/>
      <c r="I1664" s="63" t="s">
        <v>635</v>
      </c>
      <c r="J1664" s="68" t="s">
        <v>6289</v>
      </c>
      <c r="K1664" s="71"/>
      <c r="L1664" s="71"/>
      <c r="M1664" s="71"/>
      <c r="N1664" s="61"/>
      <c r="O1664" s="51"/>
    </row>
    <row r="1665">
      <c r="A1665" s="56">
        <v>1662.0</v>
      </c>
      <c r="B1665" s="66"/>
      <c r="C1665" s="64" t="s">
        <v>6504</v>
      </c>
      <c r="D1665" s="66"/>
      <c r="E1665" s="63" t="s">
        <v>6505</v>
      </c>
      <c r="F1665" s="65">
        <v>40044.0</v>
      </c>
      <c r="G1665" s="63" t="s">
        <v>6506</v>
      </c>
      <c r="H1665" s="66"/>
      <c r="I1665" s="63" t="s">
        <v>6507</v>
      </c>
      <c r="J1665" s="63" t="s">
        <v>5653</v>
      </c>
      <c r="K1665" s="66"/>
      <c r="L1665" s="66"/>
      <c r="M1665" s="63" t="s">
        <v>166</v>
      </c>
      <c r="N1665" s="61"/>
      <c r="O1665" s="51"/>
    </row>
    <row r="1666">
      <c r="A1666" s="56">
        <v>1663.0</v>
      </c>
      <c r="B1666" s="71"/>
      <c r="C1666" s="69">
        <v>1683.0</v>
      </c>
      <c r="D1666" s="71"/>
      <c r="E1666" s="68" t="s">
        <v>6508</v>
      </c>
      <c r="F1666" s="68" t="s">
        <v>6509</v>
      </c>
      <c r="G1666" s="68" t="s">
        <v>6510</v>
      </c>
      <c r="H1666" s="71"/>
      <c r="I1666" s="63" t="s">
        <v>6511</v>
      </c>
      <c r="J1666" s="68" t="s">
        <v>6512</v>
      </c>
      <c r="K1666" s="71"/>
      <c r="L1666" s="71"/>
      <c r="M1666" s="104"/>
      <c r="N1666" s="105"/>
      <c r="O1666" s="51"/>
    </row>
    <row r="1667">
      <c r="A1667" s="56">
        <v>1664.0</v>
      </c>
      <c r="B1667" s="71"/>
      <c r="C1667" s="69">
        <v>1684.0</v>
      </c>
      <c r="D1667" s="71"/>
      <c r="E1667" s="68" t="s">
        <v>6513</v>
      </c>
      <c r="F1667" s="68">
        <v>2009.0</v>
      </c>
      <c r="G1667" s="68" t="s">
        <v>6514</v>
      </c>
      <c r="H1667" s="71"/>
      <c r="I1667" s="99" t="s">
        <v>6515</v>
      </c>
      <c r="J1667" s="68" t="s">
        <v>6516</v>
      </c>
      <c r="K1667" s="71"/>
      <c r="L1667" s="71"/>
      <c r="M1667" s="175"/>
      <c r="N1667" s="61"/>
      <c r="O1667" s="51"/>
    </row>
    <row r="1668">
      <c r="A1668" s="56">
        <v>1665.0</v>
      </c>
      <c r="B1668" s="60"/>
      <c r="C1668" s="58">
        <v>1685.0</v>
      </c>
      <c r="D1668" s="89" t="s">
        <v>4971</v>
      </c>
      <c r="E1668" s="57" t="s">
        <v>6517</v>
      </c>
      <c r="F1668" s="78">
        <v>41584.0</v>
      </c>
      <c r="G1668" s="57" t="s">
        <v>6518</v>
      </c>
      <c r="H1668" s="60"/>
      <c r="I1668" s="99" t="s">
        <v>6519</v>
      </c>
      <c r="J1668" s="57" t="s">
        <v>6520</v>
      </c>
      <c r="K1668" s="60"/>
      <c r="L1668" s="60"/>
      <c r="M1668" s="104"/>
      <c r="N1668" s="105"/>
      <c r="O1668" s="51"/>
    </row>
    <row r="1669">
      <c r="A1669" s="56">
        <v>1666.0</v>
      </c>
      <c r="B1669" s="71"/>
      <c r="C1669" s="69">
        <v>1686.0</v>
      </c>
      <c r="D1669" s="87" t="s">
        <v>4971</v>
      </c>
      <c r="E1669" s="68" t="s">
        <v>6521</v>
      </c>
      <c r="F1669" s="83">
        <v>41604.0</v>
      </c>
      <c r="G1669" s="68" t="s">
        <v>6522</v>
      </c>
      <c r="H1669" s="71"/>
      <c r="I1669" s="114" t="s">
        <v>6523</v>
      </c>
      <c r="J1669" s="68" t="s">
        <v>6524</v>
      </c>
      <c r="K1669" s="71"/>
      <c r="L1669" s="71"/>
      <c r="M1669" s="111"/>
      <c r="N1669" s="77"/>
      <c r="O1669" s="51"/>
    </row>
    <row r="1670">
      <c r="A1670" s="56">
        <v>1667.0</v>
      </c>
      <c r="B1670" s="60"/>
      <c r="C1670" s="58" t="s">
        <v>6525</v>
      </c>
      <c r="D1670" s="89" t="s">
        <v>4971</v>
      </c>
      <c r="E1670" s="57" t="s">
        <v>6526</v>
      </c>
      <c r="F1670" s="78">
        <v>41606.0</v>
      </c>
      <c r="G1670" s="57" t="s">
        <v>6527</v>
      </c>
      <c r="H1670" s="60"/>
      <c r="I1670" s="99" t="s">
        <v>6528</v>
      </c>
      <c r="J1670" s="57" t="s">
        <v>6529</v>
      </c>
      <c r="K1670" s="60"/>
      <c r="L1670" s="60"/>
      <c r="M1670" s="104"/>
      <c r="N1670" s="105"/>
      <c r="O1670" s="51"/>
    </row>
    <row r="1671">
      <c r="A1671" s="56">
        <v>1668.0</v>
      </c>
      <c r="B1671" s="66"/>
      <c r="C1671" s="64" t="s">
        <v>6530</v>
      </c>
      <c r="D1671" s="88" t="s">
        <v>4971</v>
      </c>
      <c r="E1671" s="63" t="s">
        <v>6531</v>
      </c>
      <c r="F1671" s="65">
        <v>41606.0</v>
      </c>
      <c r="G1671" s="63" t="s">
        <v>6532</v>
      </c>
      <c r="H1671" s="66"/>
      <c r="I1671" s="99" t="s">
        <v>6533</v>
      </c>
      <c r="J1671" s="66"/>
      <c r="K1671" s="66"/>
      <c r="L1671" s="66"/>
      <c r="M1671" s="175"/>
      <c r="N1671" s="187"/>
      <c r="O1671" s="51"/>
    </row>
    <row r="1672">
      <c r="A1672" s="56">
        <v>1669.0</v>
      </c>
      <c r="B1672" s="66"/>
      <c r="C1672" s="64">
        <v>1689.0</v>
      </c>
      <c r="D1672" s="88" t="s">
        <v>4971</v>
      </c>
      <c r="E1672" s="63" t="s">
        <v>6534</v>
      </c>
      <c r="F1672" s="70">
        <v>41615.0</v>
      </c>
      <c r="G1672" s="63" t="s">
        <v>6535</v>
      </c>
      <c r="H1672" s="66"/>
      <c r="I1672" s="99" t="s">
        <v>6536</v>
      </c>
      <c r="J1672" s="63" t="s">
        <v>5653</v>
      </c>
      <c r="K1672" s="66"/>
      <c r="L1672" s="63" t="s">
        <v>6537</v>
      </c>
      <c r="M1672" s="63" t="s">
        <v>166</v>
      </c>
      <c r="N1672" s="61"/>
      <c r="O1672" s="51"/>
    </row>
    <row r="1673">
      <c r="A1673" s="56">
        <v>1670.0</v>
      </c>
      <c r="B1673" s="60"/>
      <c r="C1673" s="58">
        <v>1690.0</v>
      </c>
      <c r="D1673" s="89" t="s">
        <v>4971</v>
      </c>
      <c r="E1673" s="57" t="s">
        <v>6538</v>
      </c>
      <c r="F1673" s="78">
        <v>41635.0</v>
      </c>
      <c r="G1673" s="57" t="s">
        <v>6539</v>
      </c>
      <c r="H1673" s="60"/>
      <c r="I1673" s="99" t="s">
        <v>6540</v>
      </c>
      <c r="J1673" s="57" t="s">
        <v>6541</v>
      </c>
      <c r="K1673" s="60"/>
      <c r="L1673" s="60"/>
      <c r="M1673" s="104"/>
      <c r="N1673" s="105"/>
      <c r="O1673" s="51"/>
    </row>
    <row r="1674">
      <c r="A1674" s="56">
        <v>1671.0</v>
      </c>
      <c r="B1674" s="60"/>
      <c r="C1674" s="58">
        <v>1691.0</v>
      </c>
      <c r="D1674" s="89" t="s">
        <v>4971</v>
      </c>
      <c r="E1674" s="57" t="s">
        <v>6542</v>
      </c>
      <c r="F1674" s="78">
        <v>41645.0</v>
      </c>
      <c r="G1674" s="57" t="s">
        <v>6543</v>
      </c>
      <c r="H1674" s="60"/>
      <c r="I1674" s="99" t="s">
        <v>635</v>
      </c>
      <c r="J1674" s="57" t="s">
        <v>6520</v>
      </c>
      <c r="K1674" s="60"/>
      <c r="L1674" s="60"/>
      <c r="M1674" s="104"/>
      <c r="N1674" s="105"/>
      <c r="O1674" s="51"/>
    </row>
    <row r="1675">
      <c r="A1675" s="56">
        <v>1672.0</v>
      </c>
      <c r="B1675" s="71"/>
      <c r="C1675" s="69">
        <v>1692.0</v>
      </c>
      <c r="D1675" s="87" t="s">
        <v>4971</v>
      </c>
      <c r="E1675" s="68" t="s">
        <v>6544</v>
      </c>
      <c r="F1675" s="83">
        <v>41645.0</v>
      </c>
      <c r="G1675" s="68" t="s">
        <v>6545</v>
      </c>
      <c r="H1675" s="71"/>
      <c r="I1675" s="114" t="s">
        <v>6546</v>
      </c>
      <c r="J1675" s="68" t="s">
        <v>6547</v>
      </c>
      <c r="K1675" s="71"/>
      <c r="L1675" s="71"/>
      <c r="M1675" s="111"/>
      <c r="N1675" s="77"/>
      <c r="O1675" s="51"/>
    </row>
    <row r="1676">
      <c r="A1676" s="56">
        <v>1673.0</v>
      </c>
      <c r="B1676" s="71"/>
      <c r="C1676" s="69">
        <v>1693.0</v>
      </c>
      <c r="D1676" s="87" t="s">
        <v>4971</v>
      </c>
      <c r="E1676" s="68" t="s">
        <v>6548</v>
      </c>
      <c r="F1676" s="83">
        <v>41669.0</v>
      </c>
      <c r="G1676" s="68" t="s">
        <v>6549</v>
      </c>
      <c r="H1676" s="71"/>
      <c r="I1676" s="99" t="s">
        <v>6550</v>
      </c>
      <c r="J1676" s="68" t="s">
        <v>6551</v>
      </c>
      <c r="K1676" s="71"/>
      <c r="L1676" s="71"/>
      <c r="M1676" s="71"/>
      <c r="N1676" s="61"/>
      <c r="O1676" s="51"/>
    </row>
    <row r="1677">
      <c r="A1677" s="56">
        <v>1674.0</v>
      </c>
      <c r="B1677" s="66"/>
      <c r="C1677" s="64">
        <v>1694.0</v>
      </c>
      <c r="D1677" s="88" t="s">
        <v>4971</v>
      </c>
      <c r="E1677" s="63" t="s">
        <v>6552</v>
      </c>
      <c r="F1677" s="65">
        <v>41677.0</v>
      </c>
      <c r="G1677" s="63" t="s">
        <v>6553</v>
      </c>
      <c r="H1677" s="66"/>
      <c r="I1677" s="99" t="s">
        <v>6554</v>
      </c>
      <c r="J1677" s="63" t="s">
        <v>5653</v>
      </c>
      <c r="K1677" s="66"/>
      <c r="L1677" s="63" t="s">
        <v>6555</v>
      </c>
      <c r="M1677" s="66"/>
      <c r="N1677" s="61"/>
      <c r="O1677" s="51"/>
    </row>
    <row r="1678">
      <c r="A1678" s="56">
        <v>1675.0</v>
      </c>
      <c r="B1678" s="60"/>
      <c r="C1678" s="58">
        <v>1695.0</v>
      </c>
      <c r="D1678" s="89" t="s">
        <v>4971</v>
      </c>
      <c r="E1678" s="57" t="s">
        <v>6556</v>
      </c>
      <c r="F1678" s="78">
        <v>41677.0</v>
      </c>
      <c r="G1678" s="57" t="s">
        <v>6557</v>
      </c>
      <c r="H1678" s="60"/>
      <c r="I1678" s="99" t="s">
        <v>5658</v>
      </c>
      <c r="J1678" s="57" t="s">
        <v>6558</v>
      </c>
      <c r="K1678" s="60"/>
      <c r="L1678" s="60"/>
      <c r="M1678" s="104"/>
      <c r="N1678" s="105"/>
      <c r="O1678" s="51"/>
    </row>
    <row r="1679">
      <c r="A1679" s="56">
        <v>1676.0</v>
      </c>
      <c r="B1679" s="66"/>
      <c r="C1679" s="64" t="s">
        <v>6559</v>
      </c>
      <c r="D1679" s="88" t="s">
        <v>4971</v>
      </c>
      <c r="E1679" s="63" t="s">
        <v>6560</v>
      </c>
      <c r="F1679" s="65">
        <v>41548.0</v>
      </c>
      <c r="G1679" s="63" t="s">
        <v>6561</v>
      </c>
      <c r="H1679" s="66"/>
      <c r="I1679" s="99" t="s">
        <v>6562</v>
      </c>
      <c r="J1679" s="63" t="s">
        <v>5653</v>
      </c>
      <c r="K1679" s="66"/>
      <c r="L1679" s="63" t="s">
        <v>6563</v>
      </c>
      <c r="M1679" s="175"/>
      <c r="N1679" s="61"/>
      <c r="O1679" s="51"/>
    </row>
    <row r="1680">
      <c r="A1680" s="56">
        <v>1677.0</v>
      </c>
      <c r="B1680" s="66"/>
      <c r="C1680" s="64" t="s">
        <v>6564</v>
      </c>
      <c r="D1680" s="88" t="s">
        <v>4971</v>
      </c>
      <c r="E1680" s="63" t="s">
        <v>6565</v>
      </c>
      <c r="F1680" s="65">
        <v>41549.0</v>
      </c>
      <c r="G1680" s="63" t="s">
        <v>6566</v>
      </c>
      <c r="H1680" s="66"/>
      <c r="I1680" s="99" t="s">
        <v>6567</v>
      </c>
      <c r="J1680" s="63" t="s">
        <v>5653</v>
      </c>
      <c r="K1680" s="66"/>
      <c r="L1680" s="66"/>
      <c r="M1680" s="66"/>
      <c r="N1680" s="61"/>
      <c r="O1680" s="51"/>
    </row>
    <row r="1681">
      <c r="A1681" s="56">
        <v>1678.0</v>
      </c>
      <c r="B1681" s="71"/>
      <c r="C1681" s="69" t="s">
        <v>6568</v>
      </c>
      <c r="D1681" s="116"/>
      <c r="E1681" s="68" t="s">
        <v>6569</v>
      </c>
      <c r="F1681" s="83">
        <v>41648.0</v>
      </c>
      <c r="G1681" s="68" t="s">
        <v>6570</v>
      </c>
      <c r="H1681" s="71"/>
      <c r="I1681" s="99" t="s">
        <v>6571</v>
      </c>
      <c r="J1681" s="68" t="s">
        <v>6572</v>
      </c>
      <c r="K1681" s="71"/>
      <c r="L1681" s="71"/>
      <c r="M1681" s="71"/>
      <c r="N1681" s="61"/>
      <c r="O1681" s="51"/>
    </row>
    <row r="1682">
      <c r="A1682" s="56">
        <v>1679.0</v>
      </c>
      <c r="B1682" s="60"/>
      <c r="C1682" s="58" t="s">
        <v>6573</v>
      </c>
      <c r="D1682" s="57" t="s">
        <v>6574</v>
      </c>
      <c r="E1682" s="57" t="s">
        <v>6575</v>
      </c>
      <c r="F1682" s="78">
        <v>40147.0</v>
      </c>
      <c r="G1682" s="57" t="s">
        <v>6576</v>
      </c>
      <c r="H1682" s="60"/>
      <c r="I1682" s="99" t="s">
        <v>6577</v>
      </c>
      <c r="J1682" s="57" t="s">
        <v>6578</v>
      </c>
      <c r="K1682" s="60"/>
      <c r="L1682" s="60"/>
      <c r="M1682" s="60"/>
      <c r="N1682" s="61"/>
      <c r="O1682" s="51"/>
    </row>
    <row r="1683">
      <c r="A1683" s="56">
        <v>1680.0</v>
      </c>
      <c r="B1683" s="66"/>
      <c r="C1683" s="64" t="s">
        <v>6579</v>
      </c>
      <c r="D1683" s="66"/>
      <c r="E1683" s="63" t="s">
        <v>6580</v>
      </c>
      <c r="F1683" s="65">
        <v>39984.0</v>
      </c>
      <c r="G1683" s="63" t="s">
        <v>6581</v>
      </c>
      <c r="H1683" s="66"/>
      <c r="I1683" s="99" t="s">
        <v>6582</v>
      </c>
      <c r="J1683" s="63" t="s">
        <v>2872</v>
      </c>
      <c r="K1683" s="66"/>
      <c r="L1683" s="66"/>
      <c r="M1683" s="63" t="s">
        <v>125</v>
      </c>
      <c r="N1683" s="61"/>
      <c r="O1683" s="51"/>
    </row>
    <row r="1684">
      <c r="A1684" s="56">
        <v>1681.0</v>
      </c>
      <c r="B1684" s="66"/>
      <c r="C1684" s="64" t="s">
        <v>6583</v>
      </c>
      <c r="D1684" s="63" t="s">
        <v>6584</v>
      </c>
      <c r="E1684" s="63" t="s">
        <v>6585</v>
      </c>
      <c r="F1684" s="65">
        <v>39747.0</v>
      </c>
      <c r="G1684" s="63" t="s">
        <v>6586</v>
      </c>
      <c r="H1684" s="63" t="s">
        <v>6587</v>
      </c>
      <c r="I1684" s="99" t="s">
        <v>6588</v>
      </c>
      <c r="J1684" s="63" t="s">
        <v>4052</v>
      </c>
      <c r="K1684" s="66"/>
      <c r="L1684" s="66"/>
      <c r="M1684" s="63" t="s">
        <v>872</v>
      </c>
      <c r="N1684" s="61"/>
      <c r="O1684" s="51"/>
    </row>
    <row r="1685">
      <c r="A1685" s="56">
        <v>1682.0</v>
      </c>
      <c r="B1685" s="71"/>
      <c r="C1685" s="69" t="s">
        <v>6589</v>
      </c>
      <c r="D1685" s="71"/>
      <c r="E1685" s="68" t="s">
        <v>6590</v>
      </c>
      <c r="F1685" s="83">
        <v>41482.0</v>
      </c>
      <c r="G1685" s="68" t="s">
        <v>6591</v>
      </c>
      <c r="H1685" s="71"/>
      <c r="I1685" s="159"/>
      <c r="J1685" s="68" t="s">
        <v>622</v>
      </c>
      <c r="K1685" s="71"/>
      <c r="L1685" s="71"/>
      <c r="M1685" s="71"/>
      <c r="N1685" s="61"/>
      <c r="O1685" s="51"/>
    </row>
    <row r="1686">
      <c r="A1686" s="56">
        <v>1683.0</v>
      </c>
      <c r="B1686" s="60"/>
      <c r="C1686" s="58" t="s">
        <v>6592</v>
      </c>
      <c r="D1686" s="60"/>
      <c r="E1686" s="57" t="s">
        <v>6593</v>
      </c>
      <c r="F1686" s="78">
        <v>41654.0</v>
      </c>
      <c r="G1686" s="57" t="s">
        <v>6594</v>
      </c>
      <c r="H1686" s="60"/>
      <c r="I1686" s="114" t="s">
        <v>6595</v>
      </c>
      <c r="J1686" s="57" t="s">
        <v>6596</v>
      </c>
      <c r="K1686" s="60"/>
      <c r="L1686" s="60"/>
      <c r="M1686" s="60"/>
      <c r="N1686" s="61"/>
      <c r="O1686" s="51"/>
    </row>
    <row r="1687">
      <c r="A1687" s="56">
        <v>1684.0</v>
      </c>
      <c r="B1687" s="71"/>
      <c r="C1687" s="69" t="s">
        <v>6597</v>
      </c>
      <c r="D1687" s="71"/>
      <c r="E1687" s="68" t="s">
        <v>6598</v>
      </c>
      <c r="F1687" s="83">
        <v>41067.0</v>
      </c>
      <c r="G1687" s="68" t="s">
        <v>6599</v>
      </c>
      <c r="H1687" s="71"/>
      <c r="I1687" s="99" t="s">
        <v>6600</v>
      </c>
      <c r="J1687" s="68" t="s">
        <v>6601</v>
      </c>
      <c r="K1687" s="71"/>
      <c r="L1687" s="71"/>
      <c r="M1687" s="66"/>
      <c r="N1687" s="61"/>
      <c r="O1687" s="51"/>
    </row>
    <row r="1688">
      <c r="A1688" s="56">
        <v>1685.0</v>
      </c>
      <c r="B1688" s="66"/>
      <c r="C1688" s="64" t="s">
        <v>6602</v>
      </c>
      <c r="D1688" s="66"/>
      <c r="E1688" s="63" t="s">
        <v>6603</v>
      </c>
      <c r="F1688" s="65">
        <v>41548.0</v>
      </c>
      <c r="G1688" s="63" t="s">
        <v>6604</v>
      </c>
      <c r="H1688" s="66"/>
      <c r="I1688" s="99" t="s">
        <v>6605</v>
      </c>
      <c r="J1688" s="63" t="s">
        <v>2872</v>
      </c>
      <c r="K1688" s="66"/>
      <c r="L1688" s="66"/>
      <c r="M1688" s="63" t="s">
        <v>125</v>
      </c>
      <c r="N1688" s="61"/>
      <c r="O1688" s="51"/>
    </row>
    <row r="1689">
      <c r="A1689" s="56">
        <v>1686.0</v>
      </c>
      <c r="B1689" s="71"/>
      <c r="C1689" s="69" t="s">
        <v>6606</v>
      </c>
      <c r="D1689" s="71"/>
      <c r="E1689" s="68" t="s">
        <v>6607</v>
      </c>
      <c r="F1689" s="83">
        <v>41037.0</v>
      </c>
      <c r="G1689" s="68" t="s">
        <v>6608</v>
      </c>
      <c r="H1689" s="71"/>
      <c r="I1689" s="99" t="s">
        <v>6609</v>
      </c>
      <c r="J1689" s="68" t="s">
        <v>6610</v>
      </c>
      <c r="K1689" s="66"/>
      <c r="L1689" s="66"/>
      <c r="M1689" s="66"/>
      <c r="N1689" s="61"/>
      <c r="O1689" s="51"/>
    </row>
    <row r="1690">
      <c r="A1690" s="56">
        <v>1687.0</v>
      </c>
      <c r="B1690" s="71"/>
      <c r="C1690" s="69" t="s">
        <v>6611</v>
      </c>
      <c r="D1690" s="71"/>
      <c r="E1690" s="68" t="s">
        <v>6612</v>
      </c>
      <c r="F1690" s="83">
        <v>41280.0</v>
      </c>
      <c r="G1690" s="68" t="s">
        <v>6613</v>
      </c>
      <c r="H1690" s="71"/>
      <c r="I1690" s="99" t="s">
        <v>6614</v>
      </c>
      <c r="J1690" s="68" t="s">
        <v>6615</v>
      </c>
      <c r="K1690" s="71"/>
      <c r="L1690" s="71"/>
      <c r="M1690" s="71"/>
      <c r="N1690" s="61"/>
      <c r="O1690" s="51"/>
    </row>
    <row r="1691">
      <c r="A1691" s="56">
        <v>1688.0</v>
      </c>
      <c r="B1691" s="71"/>
      <c r="C1691" s="69" t="s">
        <v>6616</v>
      </c>
      <c r="D1691" s="71"/>
      <c r="E1691" s="68" t="s">
        <v>6617</v>
      </c>
      <c r="F1691" s="83">
        <v>41330.0</v>
      </c>
      <c r="G1691" s="68" t="s">
        <v>6618</v>
      </c>
      <c r="H1691" s="71"/>
      <c r="I1691" s="114" t="s">
        <v>6619</v>
      </c>
      <c r="J1691" s="68" t="s">
        <v>6620</v>
      </c>
      <c r="K1691" s="71"/>
      <c r="L1691" s="71"/>
      <c r="M1691" s="71"/>
      <c r="N1691" s="77"/>
      <c r="O1691" s="51"/>
    </row>
    <row r="1692">
      <c r="A1692" s="56">
        <v>1689.0</v>
      </c>
      <c r="B1692" s="71"/>
      <c r="C1692" s="69" t="s">
        <v>6621</v>
      </c>
      <c r="D1692" s="71"/>
      <c r="E1692" s="68" t="s">
        <v>6622</v>
      </c>
      <c r="F1692" s="83">
        <v>41680.0</v>
      </c>
      <c r="G1692" s="68" t="s">
        <v>6623</v>
      </c>
      <c r="H1692" s="71"/>
      <c r="I1692" s="99" t="s">
        <v>6624</v>
      </c>
      <c r="J1692" s="68" t="s">
        <v>6625</v>
      </c>
      <c r="K1692" s="71"/>
      <c r="L1692" s="71"/>
      <c r="M1692" s="71"/>
      <c r="N1692" s="61"/>
      <c r="O1692" s="51"/>
    </row>
    <row r="1693">
      <c r="A1693" s="56">
        <v>1690.0</v>
      </c>
      <c r="B1693" s="66"/>
      <c r="C1693" s="64" t="s">
        <v>6626</v>
      </c>
      <c r="D1693" s="66"/>
      <c r="E1693" s="63" t="s">
        <v>6627</v>
      </c>
      <c r="F1693" s="65">
        <v>40685.0</v>
      </c>
      <c r="G1693" s="63" t="s">
        <v>6628</v>
      </c>
      <c r="H1693" s="66"/>
      <c r="I1693" s="99" t="s">
        <v>6629</v>
      </c>
      <c r="J1693" s="63" t="s">
        <v>6630</v>
      </c>
      <c r="K1693" s="66"/>
      <c r="L1693" s="66"/>
      <c r="M1693" s="63" t="s">
        <v>143</v>
      </c>
      <c r="N1693" s="61"/>
      <c r="O1693" s="51"/>
    </row>
    <row r="1694">
      <c r="A1694" s="56">
        <v>1691.0</v>
      </c>
      <c r="B1694" s="71"/>
      <c r="C1694" s="69" t="s">
        <v>6631</v>
      </c>
      <c r="D1694" s="71"/>
      <c r="E1694" s="68" t="s">
        <v>6632</v>
      </c>
      <c r="F1694" s="83">
        <v>41039.0</v>
      </c>
      <c r="G1694" s="68" t="s">
        <v>6633</v>
      </c>
      <c r="H1694" s="71"/>
      <c r="I1694" s="99" t="s">
        <v>6634</v>
      </c>
      <c r="J1694" s="68" t="s">
        <v>2675</v>
      </c>
      <c r="K1694" s="71"/>
      <c r="L1694" s="71"/>
      <c r="M1694" s="68" t="s">
        <v>137</v>
      </c>
      <c r="N1694" s="61"/>
      <c r="O1694" s="51"/>
    </row>
    <row r="1695">
      <c r="A1695" s="56">
        <v>1692.0</v>
      </c>
      <c r="B1695" s="71"/>
      <c r="C1695" s="69" t="s">
        <v>6635</v>
      </c>
      <c r="D1695" s="71"/>
      <c r="E1695" s="68" t="s">
        <v>6636</v>
      </c>
      <c r="F1695" s="83">
        <v>41352.0</v>
      </c>
      <c r="G1695" s="68" t="s">
        <v>6637</v>
      </c>
      <c r="H1695" s="71"/>
      <c r="I1695" s="99" t="s">
        <v>6638</v>
      </c>
      <c r="J1695" s="68" t="s">
        <v>6639</v>
      </c>
      <c r="K1695" s="71"/>
      <c r="L1695" s="71"/>
      <c r="M1695" s="71"/>
      <c r="N1695" s="61"/>
      <c r="O1695" s="51"/>
    </row>
    <row r="1696">
      <c r="A1696" s="56">
        <v>1693.0</v>
      </c>
      <c r="B1696" s="71"/>
      <c r="C1696" s="69" t="s">
        <v>6640</v>
      </c>
      <c r="D1696" s="68" t="s">
        <v>6641</v>
      </c>
      <c r="E1696" s="68" t="s">
        <v>6642</v>
      </c>
      <c r="F1696" s="188">
        <v>41183.0</v>
      </c>
      <c r="G1696" s="68" t="s">
        <v>6643</v>
      </c>
      <c r="H1696" s="71"/>
      <c r="I1696" s="114" t="s">
        <v>6644</v>
      </c>
      <c r="J1696" s="68" t="s">
        <v>2774</v>
      </c>
      <c r="K1696" s="71"/>
      <c r="L1696" s="71"/>
      <c r="M1696" s="104"/>
      <c r="N1696" s="105"/>
      <c r="O1696" s="51"/>
    </row>
    <row r="1697">
      <c r="A1697" s="56">
        <v>1694.0</v>
      </c>
      <c r="B1697" s="66"/>
      <c r="C1697" s="64" t="s">
        <v>6645</v>
      </c>
      <c r="D1697" s="63" t="s">
        <v>6646</v>
      </c>
      <c r="E1697" s="63" t="s">
        <v>6647</v>
      </c>
      <c r="F1697" s="65">
        <v>41549.0</v>
      </c>
      <c r="G1697" s="63" t="s">
        <v>6648</v>
      </c>
      <c r="H1697" s="66"/>
      <c r="I1697" s="99" t="s">
        <v>6649</v>
      </c>
      <c r="J1697" s="63" t="s">
        <v>5653</v>
      </c>
      <c r="K1697" s="66"/>
      <c r="L1697" s="63" t="s">
        <v>6650</v>
      </c>
      <c r="M1697" s="175"/>
      <c r="N1697" s="61"/>
      <c r="O1697" s="51"/>
    </row>
    <row r="1698">
      <c r="A1698" s="56">
        <v>1695.0</v>
      </c>
      <c r="B1698" s="60"/>
      <c r="C1698" s="58" t="s">
        <v>6651</v>
      </c>
      <c r="D1698" s="57" t="s">
        <v>6652</v>
      </c>
      <c r="E1698" s="57" t="s">
        <v>6653</v>
      </c>
      <c r="F1698" s="78">
        <v>41576.0</v>
      </c>
      <c r="G1698" s="57" t="s">
        <v>6654</v>
      </c>
      <c r="H1698" s="60"/>
      <c r="I1698" s="99" t="s">
        <v>635</v>
      </c>
      <c r="J1698" s="57" t="s">
        <v>6655</v>
      </c>
      <c r="K1698" s="60"/>
      <c r="L1698" s="60"/>
      <c r="M1698" s="104"/>
      <c r="N1698" s="105"/>
      <c r="O1698" s="51"/>
    </row>
    <row r="1699">
      <c r="A1699" s="56">
        <v>1696.0</v>
      </c>
      <c r="B1699" s="71"/>
      <c r="C1699" s="69" t="s">
        <v>6656</v>
      </c>
      <c r="D1699" s="68" t="s">
        <v>6657</v>
      </c>
      <c r="E1699" s="68" t="s">
        <v>6658</v>
      </c>
      <c r="F1699" s="83">
        <v>41500.0</v>
      </c>
      <c r="G1699" s="68" t="s">
        <v>6659</v>
      </c>
      <c r="H1699" s="71"/>
      <c r="I1699" s="114" t="s">
        <v>6660</v>
      </c>
      <c r="J1699" s="68" t="s">
        <v>6661</v>
      </c>
      <c r="K1699" s="71"/>
      <c r="L1699" s="71"/>
      <c r="M1699" s="111"/>
      <c r="N1699" s="61"/>
      <c r="O1699" s="51"/>
    </row>
    <row r="1700">
      <c r="A1700" s="56">
        <v>1697.0</v>
      </c>
      <c r="B1700" s="60"/>
      <c r="C1700" s="58" t="s">
        <v>6662</v>
      </c>
      <c r="D1700" s="57" t="s">
        <v>6663</v>
      </c>
      <c r="E1700" s="57" t="s">
        <v>6664</v>
      </c>
      <c r="F1700" s="78">
        <v>41436.0</v>
      </c>
      <c r="G1700" s="57" t="s">
        <v>6665</v>
      </c>
      <c r="H1700" s="60"/>
      <c r="I1700" s="114" t="s">
        <v>5658</v>
      </c>
      <c r="J1700" s="57" t="s">
        <v>6666</v>
      </c>
      <c r="K1700" s="60"/>
      <c r="L1700" s="60"/>
      <c r="M1700" s="104"/>
      <c r="N1700" s="105"/>
      <c r="O1700" s="51"/>
    </row>
    <row r="1701">
      <c r="A1701" s="56">
        <v>1698.0</v>
      </c>
      <c r="B1701" s="60"/>
      <c r="C1701" s="58" t="s">
        <v>6667</v>
      </c>
      <c r="D1701" s="57" t="s">
        <v>6668</v>
      </c>
      <c r="E1701" s="57" t="s">
        <v>6669</v>
      </c>
      <c r="F1701" s="78">
        <v>41471.0</v>
      </c>
      <c r="G1701" s="57" t="s">
        <v>6670</v>
      </c>
      <c r="H1701" s="60"/>
      <c r="I1701" s="114" t="s">
        <v>5658</v>
      </c>
      <c r="J1701" s="57" t="s">
        <v>6671</v>
      </c>
      <c r="K1701" s="60"/>
      <c r="L1701" s="60"/>
      <c r="M1701" s="104"/>
      <c r="N1701" s="105"/>
      <c r="O1701" s="51"/>
    </row>
    <row r="1702">
      <c r="A1702" s="56">
        <v>1699.0</v>
      </c>
      <c r="B1702" s="60"/>
      <c r="C1702" s="58" t="s">
        <v>6672</v>
      </c>
      <c r="D1702" s="57" t="s">
        <v>6673</v>
      </c>
      <c r="E1702" s="57" t="s">
        <v>6674</v>
      </c>
      <c r="F1702" s="78">
        <v>41588.0</v>
      </c>
      <c r="G1702" s="57" t="s">
        <v>6675</v>
      </c>
      <c r="H1702" s="60"/>
      <c r="I1702" s="99" t="s">
        <v>635</v>
      </c>
      <c r="J1702" s="57" t="s">
        <v>6676</v>
      </c>
      <c r="K1702" s="60"/>
      <c r="L1702" s="60"/>
      <c r="M1702" s="104"/>
      <c r="N1702" s="105"/>
      <c r="O1702" s="51"/>
    </row>
    <row r="1703">
      <c r="A1703" s="56">
        <v>1700.0</v>
      </c>
      <c r="B1703" s="60"/>
      <c r="C1703" s="58" t="s">
        <v>6677</v>
      </c>
      <c r="D1703" s="57" t="s">
        <v>6673</v>
      </c>
      <c r="E1703" s="57" t="s">
        <v>6678</v>
      </c>
      <c r="F1703" s="78">
        <v>41588.0</v>
      </c>
      <c r="G1703" s="57" t="s">
        <v>6675</v>
      </c>
      <c r="H1703" s="60"/>
      <c r="I1703" s="99" t="s">
        <v>635</v>
      </c>
      <c r="J1703" s="57" t="s">
        <v>6676</v>
      </c>
      <c r="K1703" s="60"/>
      <c r="L1703" s="60"/>
      <c r="M1703" s="104"/>
      <c r="N1703" s="105"/>
      <c r="O1703" s="51"/>
    </row>
    <row r="1704">
      <c r="A1704" s="56">
        <v>1701.0</v>
      </c>
      <c r="B1704" s="60"/>
      <c r="C1704" s="58" t="s">
        <v>6679</v>
      </c>
      <c r="D1704" s="57" t="s">
        <v>6680</v>
      </c>
      <c r="E1704" s="57" t="s">
        <v>6681</v>
      </c>
      <c r="F1704" s="78">
        <v>41557.0</v>
      </c>
      <c r="G1704" s="57" t="s">
        <v>6682</v>
      </c>
      <c r="H1704" s="60"/>
      <c r="I1704" s="99" t="s">
        <v>635</v>
      </c>
      <c r="J1704" s="57" t="s">
        <v>6683</v>
      </c>
      <c r="K1704" s="60"/>
      <c r="L1704" s="60"/>
      <c r="M1704" s="104"/>
      <c r="N1704" s="105"/>
      <c r="O1704" s="51"/>
    </row>
    <row r="1705">
      <c r="A1705" s="56">
        <v>1702.0</v>
      </c>
      <c r="B1705" s="71"/>
      <c r="C1705" s="69" t="s">
        <v>6684</v>
      </c>
      <c r="D1705" s="68" t="s">
        <v>6685</v>
      </c>
      <c r="E1705" s="68" t="s">
        <v>6686</v>
      </c>
      <c r="F1705" s="83">
        <v>41399.0</v>
      </c>
      <c r="G1705" s="68" t="s">
        <v>6687</v>
      </c>
      <c r="H1705" s="71"/>
      <c r="I1705" s="114" t="s">
        <v>6688</v>
      </c>
      <c r="J1705" s="87" t="s">
        <v>6689</v>
      </c>
      <c r="K1705" s="71"/>
      <c r="L1705" s="71"/>
      <c r="M1705" s="111"/>
      <c r="N1705" s="77"/>
      <c r="O1705" s="51"/>
    </row>
    <row r="1706">
      <c r="A1706" s="56">
        <v>1703.0</v>
      </c>
      <c r="B1706" s="60"/>
      <c r="C1706" s="58" t="s">
        <v>6690</v>
      </c>
      <c r="D1706" s="57" t="s">
        <v>6691</v>
      </c>
      <c r="E1706" s="57" t="s">
        <v>6692</v>
      </c>
      <c r="F1706" s="78">
        <v>41646.0</v>
      </c>
      <c r="G1706" s="57" t="s">
        <v>6693</v>
      </c>
      <c r="H1706" s="60"/>
      <c r="I1706" s="99" t="s">
        <v>5658</v>
      </c>
      <c r="J1706" s="87" t="s">
        <v>6694</v>
      </c>
      <c r="K1706" s="60"/>
      <c r="L1706" s="60"/>
      <c r="M1706" s="104"/>
      <c r="N1706" s="105"/>
      <c r="O1706" s="51"/>
    </row>
    <row r="1707">
      <c r="A1707" s="56">
        <v>1704.0</v>
      </c>
      <c r="B1707" s="60"/>
      <c r="C1707" s="58" t="s">
        <v>6695</v>
      </c>
      <c r="D1707" s="57" t="s">
        <v>6691</v>
      </c>
      <c r="E1707" s="57" t="s">
        <v>6696</v>
      </c>
      <c r="F1707" s="78">
        <v>41646.0</v>
      </c>
      <c r="G1707" s="57" t="s">
        <v>6697</v>
      </c>
      <c r="H1707" s="60"/>
      <c r="I1707" s="99" t="s">
        <v>5658</v>
      </c>
      <c r="J1707" s="87" t="s">
        <v>6698</v>
      </c>
      <c r="K1707" s="60"/>
      <c r="L1707" s="60"/>
      <c r="M1707" s="104"/>
      <c r="N1707" s="105"/>
      <c r="O1707" s="51"/>
    </row>
    <row r="1708">
      <c r="A1708" s="56">
        <v>1705.0</v>
      </c>
      <c r="B1708" s="60"/>
      <c r="C1708" s="58" t="s">
        <v>6699</v>
      </c>
      <c r="D1708" s="57" t="s">
        <v>6691</v>
      </c>
      <c r="E1708" s="57" t="s">
        <v>6700</v>
      </c>
      <c r="F1708" s="78">
        <v>41646.0</v>
      </c>
      <c r="G1708" s="57" t="s">
        <v>6701</v>
      </c>
      <c r="H1708" s="60"/>
      <c r="I1708" s="99" t="s">
        <v>5658</v>
      </c>
      <c r="J1708" s="87" t="s">
        <v>6702</v>
      </c>
      <c r="K1708" s="60"/>
      <c r="L1708" s="60"/>
      <c r="M1708" s="104"/>
      <c r="N1708" s="105"/>
      <c r="O1708" s="51"/>
    </row>
    <row r="1709">
      <c r="A1709" s="56">
        <v>1706.0</v>
      </c>
      <c r="B1709" s="60"/>
      <c r="C1709" s="58" t="s">
        <v>6703</v>
      </c>
      <c r="D1709" s="57" t="s">
        <v>6704</v>
      </c>
      <c r="E1709" s="57" t="s">
        <v>6705</v>
      </c>
      <c r="F1709" s="78">
        <v>41275.0</v>
      </c>
      <c r="G1709" s="57" t="s">
        <v>6706</v>
      </c>
      <c r="H1709" s="60"/>
      <c r="I1709" s="99" t="s">
        <v>635</v>
      </c>
      <c r="J1709" s="87" t="s">
        <v>6707</v>
      </c>
      <c r="K1709" s="60"/>
      <c r="L1709" s="60"/>
      <c r="M1709" s="106"/>
      <c r="N1709" s="61"/>
      <c r="O1709" s="51"/>
    </row>
    <row r="1710">
      <c r="A1710" s="56">
        <v>1707.0</v>
      </c>
      <c r="B1710" s="71"/>
      <c r="C1710" s="69" t="s">
        <v>6708</v>
      </c>
      <c r="D1710" s="68" t="s">
        <v>6709</v>
      </c>
      <c r="E1710" s="68" t="s">
        <v>6710</v>
      </c>
      <c r="F1710" s="83">
        <v>41552.0</v>
      </c>
      <c r="G1710" s="68" t="s">
        <v>6711</v>
      </c>
      <c r="H1710" s="71"/>
      <c r="I1710" s="114" t="s">
        <v>6712</v>
      </c>
      <c r="J1710" s="68" t="s">
        <v>6713</v>
      </c>
      <c r="K1710" s="71"/>
      <c r="L1710" s="71"/>
      <c r="M1710" s="71"/>
      <c r="N1710" s="77"/>
      <c r="O1710" s="51"/>
    </row>
    <row r="1711">
      <c r="A1711" s="56">
        <v>1708.0</v>
      </c>
      <c r="B1711" s="60"/>
      <c r="C1711" s="58" t="s">
        <v>6714</v>
      </c>
      <c r="D1711" s="57" t="s">
        <v>6715</v>
      </c>
      <c r="E1711" s="57" t="s">
        <v>6716</v>
      </c>
      <c r="F1711" s="60"/>
      <c r="G1711" s="57" t="s">
        <v>6717</v>
      </c>
      <c r="H1711" s="60"/>
      <c r="I1711" s="99" t="s">
        <v>635</v>
      </c>
      <c r="J1711" s="57" t="s">
        <v>6558</v>
      </c>
      <c r="K1711" s="60"/>
      <c r="L1711" s="60"/>
      <c r="M1711" s="104"/>
      <c r="N1711" s="105"/>
      <c r="O1711" s="51"/>
    </row>
    <row r="1712">
      <c r="A1712" s="56">
        <v>1709.0</v>
      </c>
      <c r="B1712" s="60"/>
      <c r="C1712" s="58" t="s">
        <v>6718</v>
      </c>
      <c r="D1712" s="57" t="s">
        <v>6719</v>
      </c>
      <c r="E1712" s="57" t="s">
        <v>6720</v>
      </c>
      <c r="F1712" s="78">
        <v>41455.0</v>
      </c>
      <c r="G1712" s="57" t="s">
        <v>6721</v>
      </c>
      <c r="H1712" s="60"/>
      <c r="I1712" s="99" t="s">
        <v>635</v>
      </c>
      <c r="J1712" s="57" t="s">
        <v>6722</v>
      </c>
      <c r="K1712" s="60"/>
      <c r="L1712" s="60"/>
      <c r="M1712" s="104"/>
      <c r="N1712" s="105"/>
      <c r="O1712" s="51"/>
    </row>
    <row r="1713">
      <c r="A1713" s="56">
        <v>1710.0</v>
      </c>
      <c r="B1713" s="71"/>
      <c r="C1713" s="69" t="s">
        <v>6723</v>
      </c>
      <c r="D1713" s="68" t="s">
        <v>6724</v>
      </c>
      <c r="E1713" s="68" t="s">
        <v>6725</v>
      </c>
      <c r="F1713" s="83">
        <v>41498.0</v>
      </c>
      <c r="G1713" s="68" t="s">
        <v>6726</v>
      </c>
      <c r="H1713" s="71"/>
      <c r="I1713" s="189"/>
      <c r="J1713" s="68" t="s">
        <v>6727</v>
      </c>
      <c r="K1713" s="71"/>
      <c r="L1713" s="71"/>
      <c r="M1713" s="111"/>
      <c r="N1713" s="61"/>
      <c r="O1713" s="51"/>
    </row>
    <row r="1714">
      <c r="A1714" s="56">
        <v>1711.0</v>
      </c>
      <c r="B1714" s="71"/>
      <c r="C1714" s="69" t="s">
        <v>6728</v>
      </c>
      <c r="D1714" s="71"/>
      <c r="E1714" s="68" t="s">
        <v>6729</v>
      </c>
      <c r="F1714" s="83">
        <v>41716.0</v>
      </c>
      <c r="G1714" s="68" t="s">
        <v>6730</v>
      </c>
      <c r="H1714" s="71"/>
      <c r="I1714" s="114" t="s">
        <v>6731</v>
      </c>
      <c r="J1714" s="68" t="s">
        <v>6732</v>
      </c>
      <c r="K1714" s="71"/>
      <c r="L1714" s="71"/>
      <c r="M1714" s="71"/>
      <c r="N1714" s="61"/>
      <c r="O1714" s="51"/>
    </row>
    <row r="1715">
      <c r="A1715" s="56">
        <v>1712.0</v>
      </c>
      <c r="B1715" s="71"/>
      <c r="C1715" s="69" t="s">
        <v>6733</v>
      </c>
      <c r="D1715" s="71"/>
      <c r="E1715" s="68" t="s">
        <v>6734</v>
      </c>
      <c r="F1715" s="83">
        <v>41716.0</v>
      </c>
      <c r="G1715" s="68" t="s">
        <v>6735</v>
      </c>
      <c r="H1715" s="71"/>
      <c r="I1715" s="114" t="s">
        <v>6731</v>
      </c>
      <c r="J1715" s="68" t="s">
        <v>6732</v>
      </c>
      <c r="K1715" s="71"/>
      <c r="L1715" s="71"/>
      <c r="M1715" s="71"/>
      <c r="N1715" s="61"/>
      <c r="O1715" s="51"/>
    </row>
    <row r="1716">
      <c r="A1716" s="56">
        <v>1713.0</v>
      </c>
      <c r="B1716" s="71"/>
      <c r="C1716" s="69" t="s">
        <v>6736</v>
      </c>
      <c r="D1716" s="68" t="s">
        <v>6737</v>
      </c>
      <c r="E1716" s="68" t="s">
        <v>6738</v>
      </c>
      <c r="F1716" s="83">
        <v>41506.0</v>
      </c>
      <c r="G1716" s="68" t="s">
        <v>6739</v>
      </c>
      <c r="H1716" s="71"/>
      <c r="I1716" s="99" t="s">
        <v>635</v>
      </c>
      <c r="J1716" s="68" t="s">
        <v>6740</v>
      </c>
      <c r="K1716" s="71"/>
      <c r="L1716" s="71"/>
      <c r="M1716" s="71"/>
      <c r="N1716" s="61"/>
      <c r="O1716" s="51"/>
    </row>
    <row r="1717">
      <c r="A1717" s="56">
        <v>1714.0</v>
      </c>
      <c r="B1717" s="60"/>
      <c r="C1717" s="58" t="s">
        <v>6741</v>
      </c>
      <c r="D1717" s="57" t="s">
        <v>6742</v>
      </c>
      <c r="E1717" s="57" t="s">
        <v>6743</v>
      </c>
      <c r="F1717" s="78">
        <v>41617.0</v>
      </c>
      <c r="G1717" s="57" t="s">
        <v>6744</v>
      </c>
      <c r="H1717" s="60"/>
      <c r="I1717" s="99" t="s">
        <v>635</v>
      </c>
      <c r="J1717" s="57" t="s">
        <v>6745</v>
      </c>
      <c r="K1717" s="60"/>
      <c r="L1717" s="60"/>
      <c r="M1717" s="104"/>
      <c r="N1717" s="105"/>
      <c r="O1717" s="51"/>
    </row>
    <row r="1718">
      <c r="A1718" s="56">
        <v>1715.0</v>
      </c>
      <c r="B1718" s="60"/>
      <c r="C1718" s="58" t="s">
        <v>6746</v>
      </c>
      <c r="D1718" s="57" t="s">
        <v>6747</v>
      </c>
      <c r="E1718" s="57" t="s">
        <v>6748</v>
      </c>
      <c r="F1718" s="78">
        <v>41415.0</v>
      </c>
      <c r="G1718" s="57" t="s">
        <v>6749</v>
      </c>
      <c r="H1718" s="60"/>
      <c r="I1718" s="99" t="s">
        <v>635</v>
      </c>
      <c r="J1718" s="57" t="s">
        <v>6750</v>
      </c>
      <c r="K1718" s="60"/>
      <c r="L1718" s="60"/>
      <c r="M1718" s="104"/>
      <c r="N1718" s="105"/>
      <c r="O1718" s="51"/>
    </row>
    <row r="1719">
      <c r="A1719" s="56">
        <v>1716.0</v>
      </c>
      <c r="B1719" s="71"/>
      <c r="C1719" s="69" t="s">
        <v>6751</v>
      </c>
      <c r="D1719" s="68" t="s">
        <v>6752</v>
      </c>
      <c r="E1719" s="68" t="s">
        <v>6753</v>
      </c>
      <c r="F1719" s="83">
        <v>41561.0</v>
      </c>
      <c r="G1719" s="68" t="s">
        <v>6754</v>
      </c>
      <c r="H1719" s="71"/>
      <c r="I1719" s="99" t="s">
        <v>635</v>
      </c>
      <c r="J1719" s="68" t="s">
        <v>6755</v>
      </c>
      <c r="K1719" s="71"/>
      <c r="L1719" s="71"/>
      <c r="M1719" s="111"/>
      <c r="N1719" s="61"/>
      <c r="O1719" s="51"/>
    </row>
    <row r="1720">
      <c r="A1720" s="56">
        <v>1717.0</v>
      </c>
      <c r="B1720" s="71"/>
      <c r="C1720" s="69" t="s">
        <v>6756</v>
      </c>
      <c r="D1720" s="68" t="s">
        <v>6757</v>
      </c>
      <c r="E1720" s="68" t="s">
        <v>6758</v>
      </c>
      <c r="F1720" s="68">
        <v>2013.0</v>
      </c>
      <c r="G1720" s="68" t="s">
        <v>6759</v>
      </c>
      <c r="H1720" s="71"/>
      <c r="I1720" s="99" t="s">
        <v>635</v>
      </c>
      <c r="J1720" s="68" t="s">
        <v>6760</v>
      </c>
      <c r="K1720" s="71"/>
      <c r="L1720" s="71"/>
      <c r="M1720" s="71"/>
      <c r="N1720" s="61"/>
      <c r="O1720" s="51"/>
    </row>
    <row r="1721">
      <c r="A1721" s="56">
        <v>1718.0</v>
      </c>
      <c r="B1721" s="60"/>
      <c r="C1721" s="58" t="s">
        <v>6761</v>
      </c>
      <c r="D1721" s="57" t="s">
        <v>6762</v>
      </c>
      <c r="E1721" s="57" t="s">
        <v>5471</v>
      </c>
      <c r="F1721" s="78">
        <v>41241.0</v>
      </c>
      <c r="G1721" s="57" t="s">
        <v>6763</v>
      </c>
      <c r="H1721" s="60"/>
      <c r="I1721" s="99" t="s">
        <v>635</v>
      </c>
      <c r="J1721" s="57" t="s">
        <v>6558</v>
      </c>
      <c r="K1721" s="60"/>
      <c r="L1721" s="60"/>
      <c r="M1721" s="104"/>
      <c r="N1721" s="105"/>
      <c r="O1721" s="51"/>
    </row>
    <row r="1722">
      <c r="A1722" s="56">
        <v>1719.0</v>
      </c>
      <c r="B1722" s="60"/>
      <c r="C1722" s="58" t="s">
        <v>6764</v>
      </c>
      <c r="D1722" s="57" t="s">
        <v>6765</v>
      </c>
      <c r="E1722" s="57" t="s">
        <v>6766</v>
      </c>
      <c r="F1722" s="78">
        <v>40907.0</v>
      </c>
      <c r="G1722" s="57" t="s">
        <v>6767</v>
      </c>
      <c r="H1722" s="60"/>
      <c r="I1722" s="99" t="s">
        <v>635</v>
      </c>
      <c r="J1722" s="57" t="s">
        <v>6768</v>
      </c>
      <c r="K1722" s="60"/>
      <c r="L1722" s="60"/>
      <c r="M1722" s="104"/>
      <c r="N1722" s="105"/>
      <c r="O1722" s="51"/>
    </row>
    <row r="1723">
      <c r="A1723" s="56">
        <v>1720.0</v>
      </c>
      <c r="B1723" s="60"/>
      <c r="C1723" s="58" t="s">
        <v>6769</v>
      </c>
      <c r="D1723" s="57" t="s">
        <v>6770</v>
      </c>
      <c r="E1723" s="57" t="s">
        <v>6771</v>
      </c>
      <c r="F1723" s="78">
        <v>41569.0</v>
      </c>
      <c r="G1723" s="57" t="s">
        <v>6772</v>
      </c>
      <c r="H1723" s="60"/>
      <c r="I1723" s="99" t="s">
        <v>635</v>
      </c>
      <c r="J1723" s="57" t="s">
        <v>6773</v>
      </c>
      <c r="K1723" s="60"/>
      <c r="L1723" s="60"/>
      <c r="M1723" s="104"/>
      <c r="N1723" s="105"/>
      <c r="O1723" s="51"/>
    </row>
    <row r="1724">
      <c r="A1724" s="56">
        <v>1721.0</v>
      </c>
      <c r="B1724" s="60"/>
      <c r="C1724" s="58" t="s">
        <v>6774</v>
      </c>
      <c r="D1724" s="57" t="s">
        <v>6775</v>
      </c>
      <c r="E1724" s="57" t="s">
        <v>6776</v>
      </c>
      <c r="F1724" s="78">
        <v>41683.0</v>
      </c>
      <c r="G1724" s="57" t="s">
        <v>6777</v>
      </c>
      <c r="H1724" s="60"/>
      <c r="I1724" s="99" t="s">
        <v>5658</v>
      </c>
      <c r="J1724" s="57" t="s">
        <v>6778</v>
      </c>
      <c r="K1724" s="60"/>
      <c r="L1724" s="60"/>
      <c r="M1724" s="104"/>
      <c r="N1724" s="105"/>
      <c r="O1724" s="51"/>
    </row>
    <row r="1725">
      <c r="A1725" s="56">
        <v>1722.0</v>
      </c>
      <c r="B1725" s="60"/>
      <c r="C1725" s="58" t="s">
        <v>6779</v>
      </c>
      <c r="D1725" s="57" t="s">
        <v>6780</v>
      </c>
      <c r="E1725" s="57" t="s">
        <v>6781</v>
      </c>
      <c r="F1725" s="78">
        <v>40814.0</v>
      </c>
      <c r="G1725" s="57" t="s">
        <v>6782</v>
      </c>
      <c r="H1725" s="60"/>
      <c r="I1725" s="99" t="s">
        <v>5658</v>
      </c>
      <c r="J1725" s="57" t="s">
        <v>6778</v>
      </c>
      <c r="K1725" s="60"/>
      <c r="L1725" s="60"/>
      <c r="M1725" s="104"/>
      <c r="N1725" s="105"/>
      <c r="O1725" s="51"/>
    </row>
    <row r="1726">
      <c r="A1726" s="56">
        <v>1723.0</v>
      </c>
      <c r="B1726" s="60"/>
      <c r="C1726" s="58" t="s">
        <v>6783</v>
      </c>
      <c r="D1726" s="57" t="s">
        <v>6784</v>
      </c>
      <c r="E1726" s="57" t="s">
        <v>6785</v>
      </c>
      <c r="F1726" s="78">
        <v>41595.0</v>
      </c>
      <c r="G1726" s="57" t="s">
        <v>6786</v>
      </c>
      <c r="H1726" s="60"/>
      <c r="I1726" s="99" t="s">
        <v>5658</v>
      </c>
      <c r="J1726" s="57" t="s">
        <v>6787</v>
      </c>
      <c r="K1726" s="60"/>
      <c r="L1726" s="60"/>
      <c r="M1726" s="104"/>
      <c r="N1726" s="105"/>
      <c r="O1726" s="51"/>
    </row>
    <row r="1727">
      <c r="A1727" s="56">
        <v>1724.0</v>
      </c>
      <c r="B1727" s="60"/>
      <c r="C1727" s="58" t="s">
        <v>6788</v>
      </c>
      <c r="D1727" s="57" t="s">
        <v>6784</v>
      </c>
      <c r="E1727" s="57" t="s">
        <v>6789</v>
      </c>
      <c r="F1727" s="78">
        <v>41595.0</v>
      </c>
      <c r="G1727" s="57" t="s">
        <v>6790</v>
      </c>
      <c r="H1727" s="60"/>
      <c r="I1727" s="99" t="s">
        <v>5658</v>
      </c>
      <c r="J1727" s="57" t="s">
        <v>6787</v>
      </c>
      <c r="K1727" s="60"/>
      <c r="L1727" s="60"/>
      <c r="M1727" s="104"/>
      <c r="N1727" s="105"/>
      <c r="O1727" s="51"/>
    </row>
    <row r="1728">
      <c r="A1728" s="56">
        <v>1725.0</v>
      </c>
      <c r="B1728" s="60"/>
      <c r="C1728" s="58" t="s">
        <v>6791</v>
      </c>
      <c r="D1728" s="57" t="s">
        <v>6784</v>
      </c>
      <c r="E1728" s="57" t="s">
        <v>6792</v>
      </c>
      <c r="F1728" s="78">
        <v>41595.0</v>
      </c>
      <c r="G1728" s="57" t="s">
        <v>6790</v>
      </c>
      <c r="H1728" s="60"/>
      <c r="I1728" s="99" t="s">
        <v>5658</v>
      </c>
      <c r="J1728" s="57" t="s">
        <v>6793</v>
      </c>
      <c r="K1728" s="60"/>
      <c r="L1728" s="60"/>
      <c r="M1728" s="104"/>
      <c r="N1728" s="105"/>
      <c r="O1728" s="51"/>
    </row>
    <row r="1729">
      <c r="A1729" s="56">
        <v>1726.0</v>
      </c>
      <c r="B1729" s="60"/>
      <c r="C1729" s="58" t="s">
        <v>6794</v>
      </c>
      <c r="D1729" s="57" t="s">
        <v>6795</v>
      </c>
      <c r="E1729" s="57" t="s">
        <v>6796</v>
      </c>
      <c r="F1729" s="78">
        <v>41656.0</v>
      </c>
      <c r="G1729" s="57" t="s">
        <v>6797</v>
      </c>
      <c r="H1729" s="60"/>
      <c r="I1729" s="99" t="s">
        <v>6798</v>
      </c>
      <c r="J1729" s="57" t="s">
        <v>6799</v>
      </c>
      <c r="K1729" s="60"/>
      <c r="L1729" s="60"/>
      <c r="M1729" s="104"/>
      <c r="N1729" s="105"/>
      <c r="O1729" s="51"/>
    </row>
    <row r="1730">
      <c r="A1730" s="56">
        <v>1727.0</v>
      </c>
      <c r="B1730" s="71"/>
      <c r="C1730" s="69" t="s">
        <v>6800</v>
      </c>
      <c r="D1730" s="68" t="s">
        <v>6801</v>
      </c>
      <c r="E1730" s="68" t="s">
        <v>6802</v>
      </c>
      <c r="F1730" s="68">
        <v>2004.0</v>
      </c>
      <c r="G1730" s="68" t="s">
        <v>6803</v>
      </c>
      <c r="H1730" s="71"/>
      <c r="I1730" s="99" t="s">
        <v>6804</v>
      </c>
      <c r="J1730" s="68" t="s">
        <v>137</v>
      </c>
      <c r="K1730" s="71"/>
      <c r="L1730" s="71"/>
      <c r="M1730" s="104"/>
      <c r="N1730" s="105"/>
      <c r="O1730" s="51"/>
    </row>
    <row r="1731">
      <c r="A1731" s="56">
        <v>1728.0</v>
      </c>
      <c r="B1731" s="71"/>
      <c r="C1731" s="69" t="s">
        <v>6805</v>
      </c>
      <c r="D1731" s="68" t="s">
        <v>6806</v>
      </c>
      <c r="E1731" s="68" t="s">
        <v>6807</v>
      </c>
      <c r="F1731" s="83">
        <v>41186.0</v>
      </c>
      <c r="G1731" s="68" t="s">
        <v>6808</v>
      </c>
      <c r="H1731" s="71"/>
      <c r="I1731" s="99" t="s">
        <v>635</v>
      </c>
      <c r="J1731" s="68" t="s">
        <v>1481</v>
      </c>
      <c r="K1731" s="71"/>
      <c r="L1731" s="66"/>
      <c r="M1731" s="175"/>
      <c r="N1731" s="61"/>
      <c r="O1731" s="51"/>
    </row>
    <row r="1732">
      <c r="A1732" s="56">
        <v>1729.0</v>
      </c>
      <c r="B1732" s="66"/>
      <c r="C1732" s="64" t="s">
        <v>6809</v>
      </c>
      <c r="D1732" s="63" t="s">
        <v>6810</v>
      </c>
      <c r="E1732" s="63" t="s">
        <v>6811</v>
      </c>
      <c r="F1732" s="65">
        <v>40641.0</v>
      </c>
      <c r="G1732" s="63" t="s">
        <v>6812</v>
      </c>
      <c r="H1732" s="66"/>
      <c r="I1732" s="99" t="s">
        <v>6813</v>
      </c>
      <c r="J1732" s="63" t="s">
        <v>6814</v>
      </c>
      <c r="K1732" s="66"/>
      <c r="L1732" s="66"/>
      <c r="M1732" s="63" t="s">
        <v>6815</v>
      </c>
      <c r="N1732" s="61"/>
      <c r="O1732" s="51"/>
    </row>
    <row r="1733">
      <c r="A1733" s="56">
        <v>1730.0</v>
      </c>
      <c r="B1733" s="71"/>
      <c r="C1733" s="69" t="s">
        <v>6816</v>
      </c>
      <c r="D1733" s="68" t="s">
        <v>6817</v>
      </c>
      <c r="E1733" s="68" t="s">
        <v>6818</v>
      </c>
      <c r="F1733" s="83">
        <v>39373.0</v>
      </c>
      <c r="G1733" s="68" t="s">
        <v>6819</v>
      </c>
      <c r="H1733" s="71"/>
      <c r="I1733" s="114" t="s">
        <v>6820</v>
      </c>
      <c r="J1733" s="87" t="s">
        <v>6821</v>
      </c>
      <c r="K1733" s="101"/>
      <c r="L1733" s="71"/>
      <c r="M1733" s="71"/>
      <c r="N1733" s="61"/>
      <c r="O1733" s="51"/>
    </row>
    <row r="1734">
      <c r="A1734" s="56">
        <v>1731.0</v>
      </c>
      <c r="B1734" s="71"/>
      <c r="C1734" s="69" t="s">
        <v>6822</v>
      </c>
      <c r="D1734" s="68" t="s">
        <v>6823</v>
      </c>
      <c r="E1734" s="68" t="s">
        <v>6824</v>
      </c>
      <c r="F1734" s="83">
        <v>41221.0</v>
      </c>
      <c r="G1734" s="68" t="s">
        <v>6825</v>
      </c>
      <c r="H1734" s="71"/>
      <c r="I1734" s="99" t="s">
        <v>6826</v>
      </c>
      <c r="J1734" s="68" t="s">
        <v>6827</v>
      </c>
      <c r="K1734" s="71"/>
      <c r="L1734" s="71"/>
      <c r="M1734" s="66"/>
      <c r="N1734" s="61"/>
      <c r="O1734" s="51"/>
    </row>
    <row r="1735">
      <c r="A1735" s="56">
        <v>1732.0</v>
      </c>
      <c r="B1735" s="71"/>
      <c r="C1735" s="69" t="s">
        <v>6828</v>
      </c>
      <c r="D1735" s="68" t="s">
        <v>6829</v>
      </c>
      <c r="E1735" s="68" t="s">
        <v>6830</v>
      </c>
      <c r="F1735" s="83">
        <v>41618.0</v>
      </c>
      <c r="G1735" s="68" t="s">
        <v>6831</v>
      </c>
      <c r="H1735" s="71"/>
      <c r="I1735" s="160"/>
      <c r="J1735" s="68" t="s">
        <v>6832</v>
      </c>
      <c r="K1735" s="71"/>
      <c r="L1735" s="71"/>
      <c r="M1735" s="71"/>
      <c r="N1735" s="61"/>
      <c r="O1735" s="51"/>
    </row>
    <row r="1736">
      <c r="A1736" s="56">
        <v>1733.0</v>
      </c>
      <c r="B1736" s="71"/>
      <c r="C1736" s="69" t="s">
        <v>6833</v>
      </c>
      <c r="D1736" s="68" t="s">
        <v>6834</v>
      </c>
      <c r="E1736" s="68" t="s">
        <v>6835</v>
      </c>
      <c r="F1736" s="83">
        <v>41469.0</v>
      </c>
      <c r="G1736" s="68" t="s">
        <v>6836</v>
      </c>
      <c r="H1736" s="71"/>
      <c r="I1736" s="99" t="s">
        <v>6837</v>
      </c>
      <c r="J1736" s="68" t="s">
        <v>6838</v>
      </c>
      <c r="K1736" s="71"/>
      <c r="L1736" s="71"/>
      <c r="M1736" s="66"/>
      <c r="N1736" s="61"/>
      <c r="O1736" s="51"/>
    </row>
    <row r="1737">
      <c r="A1737" s="56">
        <v>1734.0</v>
      </c>
      <c r="B1737" s="71"/>
      <c r="C1737" s="69" t="s">
        <v>6839</v>
      </c>
      <c r="D1737" s="68" t="s">
        <v>6840</v>
      </c>
      <c r="E1737" s="68" t="s">
        <v>6841</v>
      </c>
      <c r="F1737" s="83">
        <v>41371.0</v>
      </c>
      <c r="G1737" s="68" t="s">
        <v>6842</v>
      </c>
      <c r="H1737" s="71"/>
      <c r="I1737" s="114" t="s">
        <v>6843</v>
      </c>
      <c r="J1737" s="68" t="s">
        <v>6844</v>
      </c>
      <c r="K1737" s="71"/>
      <c r="L1737" s="71"/>
      <c r="M1737" s="71"/>
      <c r="N1737" s="61"/>
      <c r="O1737" s="51"/>
    </row>
    <row r="1738">
      <c r="A1738" s="56">
        <v>1735.0</v>
      </c>
      <c r="B1738" s="60"/>
      <c r="C1738" s="58" t="s">
        <v>6845</v>
      </c>
      <c r="D1738" s="57" t="s">
        <v>6846</v>
      </c>
      <c r="E1738" s="57" t="s">
        <v>6847</v>
      </c>
      <c r="F1738" s="78">
        <v>40547.0</v>
      </c>
      <c r="G1738" s="57" t="s">
        <v>6848</v>
      </c>
      <c r="H1738" s="60"/>
      <c r="I1738" s="99" t="s">
        <v>6849</v>
      </c>
      <c r="J1738" s="57" t="s">
        <v>2675</v>
      </c>
      <c r="K1738" s="60"/>
      <c r="L1738" s="60"/>
      <c r="M1738" s="104"/>
      <c r="N1738" s="105"/>
      <c r="O1738" s="51"/>
    </row>
    <row r="1739">
      <c r="A1739" s="56">
        <v>1736.0</v>
      </c>
      <c r="B1739" s="71"/>
      <c r="C1739" s="69" t="s">
        <v>6850</v>
      </c>
      <c r="D1739" s="68" t="s">
        <v>6851</v>
      </c>
      <c r="E1739" s="68" t="s">
        <v>6852</v>
      </c>
      <c r="F1739" s="83">
        <v>40710.0</v>
      </c>
      <c r="G1739" s="68" t="s">
        <v>6853</v>
      </c>
      <c r="H1739" s="71"/>
      <c r="I1739" s="99" t="s">
        <v>6854</v>
      </c>
      <c r="J1739" s="68" t="s">
        <v>6855</v>
      </c>
      <c r="K1739" s="71"/>
      <c r="L1739" s="71"/>
      <c r="M1739" s="128" t="s">
        <v>2692</v>
      </c>
      <c r="N1739" s="61"/>
      <c r="O1739" s="51"/>
    </row>
    <row r="1740">
      <c r="A1740" s="56">
        <v>1737.0</v>
      </c>
      <c r="B1740" s="71"/>
      <c r="C1740" s="69" t="s">
        <v>6856</v>
      </c>
      <c r="D1740" s="68" t="s">
        <v>6857</v>
      </c>
      <c r="E1740" s="68" t="s">
        <v>6858</v>
      </c>
      <c r="F1740" s="83">
        <v>41170.0</v>
      </c>
      <c r="G1740" s="68" t="s">
        <v>6859</v>
      </c>
      <c r="H1740" s="71"/>
      <c r="I1740" s="114" t="s">
        <v>635</v>
      </c>
      <c r="J1740" s="68" t="s">
        <v>6860</v>
      </c>
      <c r="K1740" s="71"/>
      <c r="L1740" s="71"/>
      <c r="M1740" s="71"/>
      <c r="N1740" s="61"/>
      <c r="O1740" s="51"/>
    </row>
    <row r="1741">
      <c r="A1741" s="56">
        <v>1738.0</v>
      </c>
      <c r="B1741" s="71"/>
      <c r="C1741" s="69" t="s">
        <v>6861</v>
      </c>
      <c r="D1741" s="68" t="s">
        <v>6862</v>
      </c>
      <c r="E1741" s="68" t="s">
        <v>6863</v>
      </c>
      <c r="F1741" s="83">
        <v>41536.0</v>
      </c>
      <c r="G1741" s="68" t="s">
        <v>6864</v>
      </c>
      <c r="H1741" s="71"/>
      <c r="I1741" s="114" t="s">
        <v>635</v>
      </c>
      <c r="J1741" s="68" t="s">
        <v>6865</v>
      </c>
      <c r="K1741" s="71"/>
      <c r="L1741" s="71"/>
      <c r="M1741" s="71"/>
      <c r="N1741" s="61"/>
      <c r="O1741" s="51"/>
    </row>
    <row r="1742">
      <c r="A1742" s="56">
        <v>1739.0</v>
      </c>
      <c r="B1742" s="66"/>
      <c r="C1742" s="64" t="s">
        <v>6866</v>
      </c>
      <c r="D1742" s="63" t="s">
        <v>6867</v>
      </c>
      <c r="E1742" s="63" t="s">
        <v>6868</v>
      </c>
      <c r="F1742" s="63">
        <v>2009.0</v>
      </c>
      <c r="G1742" s="63" t="s">
        <v>6869</v>
      </c>
      <c r="H1742" s="66"/>
      <c r="I1742" s="99" t="s">
        <v>6870</v>
      </c>
      <c r="J1742" s="63" t="s">
        <v>6381</v>
      </c>
      <c r="K1742" s="66"/>
      <c r="L1742" s="66"/>
      <c r="M1742" s="63" t="s">
        <v>201</v>
      </c>
      <c r="N1742" s="61"/>
      <c r="O1742" s="51"/>
    </row>
    <row r="1743">
      <c r="A1743" s="56">
        <v>1740.0</v>
      </c>
      <c r="B1743" s="82"/>
      <c r="C1743" s="79" t="s">
        <v>6871</v>
      </c>
      <c r="D1743" s="80" t="s">
        <v>6872</v>
      </c>
      <c r="E1743" s="80" t="s">
        <v>6873</v>
      </c>
      <c r="F1743" s="98">
        <v>40959.0</v>
      </c>
      <c r="G1743" s="80" t="s">
        <v>6874</v>
      </c>
      <c r="H1743" s="82"/>
      <c r="I1743" s="132" t="s">
        <v>635</v>
      </c>
      <c r="J1743" s="80" t="s">
        <v>1847</v>
      </c>
      <c r="K1743" s="82"/>
      <c r="L1743" s="82"/>
      <c r="M1743" s="80" t="s">
        <v>6875</v>
      </c>
      <c r="N1743" s="61"/>
      <c r="O1743" s="51"/>
    </row>
    <row r="1744">
      <c r="A1744" s="56">
        <v>1741.0</v>
      </c>
      <c r="B1744" s="160"/>
      <c r="C1744" s="69" t="s">
        <v>6876</v>
      </c>
      <c r="D1744" s="114" t="s">
        <v>6877</v>
      </c>
      <c r="E1744" s="114" t="s">
        <v>6878</v>
      </c>
      <c r="F1744" s="172">
        <v>41171.0</v>
      </c>
      <c r="G1744" s="114" t="s">
        <v>6879</v>
      </c>
      <c r="H1744" s="160"/>
      <c r="I1744" s="114" t="s">
        <v>6880</v>
      </c>
      <c r="J1744" s="87" t="s">
        <v>6881</v>
      </c>
      <c r="K1744" s="160"/>
      <c r="L1744" s="160"/>
      <c r="M1744" s="114" t="s">
        <v>3714</v>
      </c>
      <c r="N1744" s="61"/>
      <c r="O1744" s="51"/>
    </row>
    <row r="1745">
      <c r="A1745" s="56">
        <v>1742.0</v>
      </c>
      <c r="B1745" s="71"/>
      <c r="C1745" s="69" t="s">
        <v>6882</v>
      </c>
      <c r="D1745" s="68" t="s">
        <v>6883</v>
      </c>
      <c r="E1745" s="68" t="s">
        <v>6884</v>
      </c>
      <c r="F1745" s="83">
        <v>41236.0</v>
      </c>
      <c r="G1745" s="68" t="s">
        <v>6885</v>
      </c>
      <c r="H1745" s="71"/>
      <c r="I1745" s="99" t="s">
        <v>6886</v>
      </c>
      <c r="J1745" s="68" t="s">
        <v>6887</v>
      </c>
      <c r="K1745" s="71"/>
      <c r="L1745" s="71"/>
      <c r="M1745" s="66"/>
      <c r="N1745" s="61"/>
      <c r="O1745" s="51"/>
    </row>
    <row r="1746">
      <c r="A1746" s="56">
        <v>1743.0</v>
      </c>
      <c r="B1746" s="71"/>
      <c r="C1746" s="69" t="s">
        <v>6888</v>
      </c>
      <c r="D1746" s="68" t="s">
        <v>6889</v>
      </c>
      <c r="E1746" s="68" t="s">
        <v>6890</v>
      </c>
      <c r="F1746" s="76">
        <v>41429.0</v>
      </c>
      <c r="G1746" s="68" t="s">
        <v>6891</v>
      </c>
      <c r="H1746" s="71"/>
      <c r="I1746" s="99" t="s">
        <v>6892</v>
      </c>
      <c r="J1746" s="68" t="s">
        <v>6893</v>
      </c>
      <c r="K1746" s="71"/>
      <c r="L1746" s="71"/>
      <c r="M1746" s="71"/>
      <c r="N1746" s="61"/>
      <c r="O1746" s="51"/>
    </row>
    <row r="1747">
      <c r="A1747" s="56">
        <v>1744.0</v>
      </c>
      <c r="B1747" s="71"/>
      <c r="C1747" s="69" t="s">
        <v>6894</v>
      </c>
      <c r="D1747" s="68" t="s">
        <v>6889</v>
      </c>
      <c r="E1747" s="68" t="s">
        <v>6895</v>
      </c>
      <c r="F1747" s="76">
        <v>41429.0</v>
      </c>
      <c r="G1747" s="68" t="s">
        <v>6891</v>
      </c>
      <c r="H1747" s="71"/>
      <c r="I1747" s="99" t="s">
        <v>6896</v>
      </c>
      <c r="J1747" s="68" t="s">
        <v>766</v>
      </c>
      <c r="K1747" s="71"/>
      <c r="L1747" s="71"/>
      <c r="M1747" s="71"/>
      <c r="N1747" s="61"/>
      <c r="O1747" s="51"/>
    </row>
    <row r="1748">
      <c r="A1748" s="56">
        <v>1745.0</v>
      </c>
      <c r="B1748" s="71"/>
      <c r="C1748" s="69" t="s">
        <v>6897</v>
      </c>
      <c r="D1748" s="68" t="s">
        <v>6898</v>
      </c>
      <c r="E1748" s="68" t="s">
        <v>6899</v>
      </c>
      <c r="F1748" s="190">
        <v>41030.0</v>
      </c>
      <c r="G1748" s="68" t="s">
        <v>6900</v>
      </c>
      <c r="H1748" s="71"/>
      <c r="I1748" s="114" t="s">
        <v>6901</v>
      </c>
      <c r="J1748" s="68" t="s">
        <v>6902</v>
      </c>
      <c r="K1748" s="71"/>
      <c r="L1748" s="71"/>
      <c r="M1748" s="71"/>
      <c r="N1748" s="61"/>
      <c r="O1748" s="51"/>
    </row>
    <row r="1749">
      <c r="A1749" s="56">
        <v>1746.0</v>
      </c>
      <c r="B1749" s="71"/>
      <c r="C1749" s="69" t="s">
        <v>6903</v>
      </c>
      <c r="D1749" s="68" t="s">
        <v>6904</v>
      </c>
      <c r="E1749" s="68" t="s">
        <v>6905</v>
      </c>
      <c r="F1749" s="68">
        <v>2011.0</v>
      </c>
      <c r="G1749" s="68" t="s">
        <v>6906</v>
      </c>
      <c r="H1749" s="71"/>
      <c r="I1749" s="86" t="s">
        <v>635</v>
      </c>
      <c r="J1749" s="68" t="s">
        <v>6907</v>
      </c>
      <c r="K1749" s="66"/>
      <c r="L1749" s="66"/>
      <c r="M1749" s="66"/>
      <c r="N1749" s="61"/>
      <c r="O1749" s="51"/>
    </row>
    <row r="1750">
      <c r="A1750" s="56">
        <v>1747.0</v>
      </c>
      <c r="B1750" s="66"/>
      <c r="C1750" s="64" t="s">
        <v>6908</v>
      </c>
      <c r="D1750" s="63" t="s">
        <v>6909</v>
      </c>
      <c r="E1750" s="63" t="s">
        <v>6910</v>
      </c>
      <c r="F1750" s="63" t="s">
        <v>6911</v>
      </c>
      <c r="G1750" s="63" t="s">
        <v>6912</v>
      </c>
      <c r="H1750" s="66"/>
      <c r="I1750" s="99" t="s">
        <v>6913</v>
      </c>
      <c r="J1750" s="63" t="s">
        <v>1872</v>
      </c>
      <c r="K1750" s="66"/>
      <c r="L1750" s="63" t="s">
        <v>2743</v>
      </c>
      <c r="M1750" s="63" t="s">
        <v>530</v>
      </c>
      <c r="N1750" s="61"/>
      <c r="O1750" s="51"/>
    </row>
    <row r="1751">
      <c r="A1751" s="56">
        <v>1748.0</v>
      </c>
      <c r="B1751" s="71"/>
      <c r="C1751" s="69" t="s">
        <v>6914</v>
      </c>
      <c r="D1751" s="68" t="s">
        <v>6915</v>
      </c>
      <c r="E1751" s="68" t="s">
        <v>6916</v>
      </c>
      <c r="F1751" s="83">
        <v>41592.0</v>
      </c>
      <c r="G1751" s="68" t="s">
        <v>6917</v>
      </c>
      <c r="H1751" s="71"/>
      <c r="I1751" s="99" t="s">
        <v>6918</v>
      </c>
      <c r="J1751" s="68" t="s">
        <v>6919</v>
      </c>
      <c r="K1751" s="71"/>
      <c r="L1751" s="71"/>
      <c r="M1751" s="71"/>
      <c r="N1751" s="61"/>
      <c r="O1751" s="51"/>
    </row>
    <row r="1752">
      <c r="A1752" s="56">
        <v>1749.0</v>
      </c>
      <c r="B1752" s="71"/>
      <c r="C1752" s="69" t="s">
        <v>6920</v>
      </c>
      <c r="D1752" s="68" t="s">
        <v>6921</v>
      </c>
      <c r="E1752" s="68" t="s">
        <v>6922</v>
      </c>
      <c r="F1752" s="83">
        <v>41321.0</v>
      </c>
      <c r="G1752" s="68" t="s">
        <v>6923</v>
      </c>
      <c r="H1752" s="71"/>
      <c r="I1752" s="99" t="s">
        <v>6924</v>
      </c>
      <c r="J1752" s="68" t="s">
        <v>6925</v>
      </c>
      <c r="K1752" s="71"/>
      <c r="L1752" s="66"/>
      <c r="M1752" s="66"/>
      <c r="N1752" s="61"/>
      <c r="O1752" s="51"/>
    </row>
    <row r="1753">
      <c r="A1753" s="56">
        <v>1750.0</v>
      </c>
      <c r="B1753" s="71"/>
      <c r="C1753" s="69" t="s">
        <v>6926</v>
      </c>
      <c r="D1753" s="68" t="s">
        <v>6921</v>
      </c>
      <c r="E1753" s="68" t="s">
        <v>6927</v>
      </c>
      <c r="F1753" s="83">
        <v>41321.0</v>
      </c>
      <c r="G1753" s="68" t="s">
        <v>6923</v>
      </c>
      <c r="H1753" s="71"/>
      <c r="I1753" s="99" t="s">
        <v>6924</v>
      </c>
      <c r="J1753" s="68" t="s">
        <v>6925</v>
      </c>
      <c r="K1753" s="71"/>
      <c r="L1753" s="66"/>
      <c r="M1753" s="66"/>
      <c r="N1753" s="61"/>
      <c r="O1753" s="51"/>
    </row>
    <row r="1754">
      <c r="A1754" s="56">
        <v>1751.0</v>
      </c>
      <c r="B1754" s="71"/>
      <c r="C1754" s="69" t="s">
        <v>6928</v>
      </c>
      <c r="D1754" s="68" t="s">
        <v>6921</v>
      </c>
      <c r="E1754" s="68" t="s">
        <v>6929</v>
      </c>
      <c r="F1754" s="83">
        <v>41321.0</v>
      </c>
      <c r="G1754" s="68" t="s">
        <v>6923</v>
      </c>
      <c r="H1754" s="71"/>
      <c r="I1754" s="99" t="s">
        <v>6924</v>
      </c>
      <c r="J1754" s="68" t="s">
        <v>6925</v>
      </c>
      <c r="K1754" s="71"/>
      <c r="L1754" s="66"/>
      <c r="M1754" s="66"/>
      <c r="N1754" s="61"/>
      <c r="O1754" s="51"/>
    </row>
    <row r="1755">
      <c r="A1755" s="56">
        <v>1752.0</v>
      </c>
      <c r="B1755" s="71"/>
      <c r="C1755" s="69" t="s">
        <v>6930</v>
      </c>
      <c r="D1755" s="68" t="s">
        <v>6921</v>
      </c>
      <c r="E1755" s="68" t="s">
        <v>6931</v>
      </c>
      <c r="F1755" s="83">
        <v>41321.0</v>
      </c>
      <c r="G1755" s="68" t="s">
        <v>6923</v>
      </c>
      <c r="H1755" s="71"/>
      <c r="I1755" s="99" t="s">
        <v>6924</v>
      </c>
      <c r="J1755" s="68" t="s">
        <v>6925</v>
      </c>
      <c r="K1755" s="71"/>
      <c r="L1755" s="66"/>
      <c r="M1755" s="66"/>
      <c r="N1755" s="61"/>
      <c r="O1755" s="51"/>
    </row>
    <row r="1756">
      <c r="A1756" s="56">
        <v>1753.0</v>
      </c>
      <c r="B1756" s="71"/>
      <c r="C1756" s="69" t="s">
        <v>6932</v>
      </c>
      <c r="D1756" s="68" t="s">
        <v>6921</v>
      </c>
      <c r="E1756" s="68" t="s">
        <v>6933</v>
      </c>
      <c r="F1756" s="83">
        <v>41321.0</v>
      </c>
      <c r="G1756" s="68" t="s">
        <v>6923</v>
      </c>
      <c r="H1756" s="71"/>
      <c r="I1756" s="99" t="s">
        <v>6924</v>
      </c>
      <c r="J1756" s="68" t="s">
        <v>6925</v>
      </c>
      <c r="K1756" s="71"/>
      <c r="L1756" s="66"/>
      <c r="M1756" s="66"/>
      <c r="N1756" s="61"/>
      <c r="O1756" s="51"/>
    </row>
    <row r="1757">
      <c r="A1757" s="56">
        <v>1754.0</v>
      </c>
      <c r="B1757" s="71"/>
      <c r="C1757" s="69" t="s">
        <v>6934</v>
      </c>
      <c r="D1757" s="68" t="s">
        <v>6921</v>
      </c>
      <c r="E1757" s="68" t="s">
        <v>6935</v>
      </c>
      <c r="F1757" s="83">
        <v>41321.0</v>
      </c>
      <c r="G1757" s="68" t="s">
        <v>6923</v>
      </c>
      <c r="H1757" s="71"/>
      <c r="I1757" s="99" t="s">
        <v>6924</v>
      </c>
      <c r="J1757" s="68" t="s">
        <v>6925</v>
      </c>
      <c r="K1757" s="71"/>
      <c r="L1757" s="66"/>
      <c r="M1757" s="66"/>
      <c r="N1757" s="61"/>
      <c r="O1757" s="51"/>
    </row>
    <row r="1758">
      <c r="A1758" s="56">
        <v>1755.0</v>
      </c>
      <c r="B1758" s="71"/>
      <c r="C1758" s="69" t="s">
        <v>6936</v>
      </c>
      <c r="D1758" s="68" t="s">
        <v>6937</v>
      </c>
      <c r="E1758" s="68" t="s">
        <v>6938</v>
      </c>
      <c r="F1758" s="83">
        <v>41058.0</v>
      </c>
      <c r="G1758" s="68" t="s">
        <v>6939</v>
      </c>
      <c r="H1758" s="71"/>
      <c r="I1758" s="99" t="s">
        <v>6940</v>
      </c>
      <c r="J1758" s="68" t="s">
        <v>6941</v>
      </c>
      <c r="K1758" s="71"/>
      <c r="L1758" s="66"/>
      <c r="M1758" s="66"/>
      <c r="N1758" s="61"/>
      <c r="O1758" s="51"/>
    </row>
    <row r="1759">
      <c r="A1759" s="56">
        <v>1756.0</v>
      </c>
      <c r="B1759" s="71"/>
      <c r="C1759" s="69" t="s">
        <v>6942</v>
      </c>
      <c r="D1759" s="68" t="s">
        <v>6943</v>
      </c>
      <c r="E1759" s="68" t="s">
        <v>6944</v>
      </c>
      <c r="F1759" s="83">
        <v>41176.0</v>
      </c>
      <c r="G1759" s="68" t="s">
        <v>6945</v>
      </c>
      <c r="H1759" s="71"/>
      <c r="I1759" s="99" t="s">
        <v>6946</v>
      </c>
      <c r="J1759" s="68" t="s">
        <v>6947</v>
      </c>
      <c r="K1759" s="71"/>
      <c r="L1759" s="66"/>
      <c r="M1759" s="66"/>
      <c r="N1759" s="61"/>
      <c r="O1759" s="51"/>
    </row>
    <row r="1760">
      <c r="A1760" s="56">
        <v>1757.0</v>
      </c>
      <c r="B1760" s="71"/>
      <c r="C1760" s="69" t="s">
        <v>6948</v>
      </c>
      <c r="D1760" s="68" t="s">
        <v>6949</v>
      </c>
      <c r="E1760" s="68" t="s">
        <v>6950</v>
      </c>
      <c r="F1760" s="68">
        <v>2011.0</v>
      </c>
      <c r="G1760" s="68" t="s">
        <v>6951</v>
      </c>
      <c r="H1760" s="71"/>
      <c r="I1760" s="99" t="s">
        <v>6952</v>
      </c>
      <c r="J1760" s="68" t="s">
        <v>6953</v>
      </c>
      <c r="K1760" s="71"/>
      <c r="L1760" s="66"/>
      <c r="M1760" s="66"/>
      <c r="N1760" s="61"/>
      <c r="O1760" s="51"/>
    </row>
    <row r="1761">
      <c r="A1761" s="56">
        <v>1758.0</v>
      </c>
      <c r="B1761" s="66"/>
      <c r="C1761" s="64" t="s">
        <v>6954</v>
      </c>
      <c r="D1761" s="63" t="s">
        <v>6955</v>
      </c>
      <c r="E1761" s="63" t="s">
        <v>6956</v>
      </c>
      <c r="F1761" s="70">
        <v>39882.0</v>
      </c>
      <c r="G1761" s="63" t="s">
        <v>6957</v>
      </c>
      <c r="H1761" s="66"/>
      <c r="I1761" s="99" t="s">
        <v>6958</v>
      </c>
      <c r="J1761" s="63" t="s">
        <v>1872</v>
      </c>
      <c r="K1761" s="66"/>
      <c r="L1761" s="66"/>
      <c r="M1761" s="63" t="s">
        <v>530</v>
      </c>
      <c r="N1761" s="61"/>
      <c r="O1761" s="51"/>
    </row>
    <row r="1762">
      <c r="A1762" s="56">
        <v>1759.0</v>
      </c>
      <c r="B1762" s="66"/>
      <c r="C1762" s="64" t="s">
        <v>6959</v>
      </c>
      <c r="D1762" s="63" t="s">
        <v>6960</v>
      </c>
      <c r="E1762" s="63" t="s">
        <v>6961</v>
      </c>
      <c r="F1762" s="66"/>
      <c r="G1762" s="63" t="s">
        <v>6962</v>
      </c>
      <c r="H1762" s="66"/>
      <c r="I1762" s="99" t="s">
        <v>6798</v>
      </c>
      <c r="J1762" s="63" t="s">
        <v>5653</v>
      </c>
      <c r="K1762" s="66"/>
      <c r="L1762" s="66"/>
      <c r="M1762" s="66"/>
      <c r="N1762" s="61"/>
      <c r="O1762" s="51"/>
    </row>
    <row r="1763">
      <c r="A1763" s="56">
        <v>1760.0</v>
      </c>
      <c r="B1763" s="66"/>
      <c r="C1763" s="64" t="s">
        <v>6963</v>
      </c>
      <c r="D1763" s="63" t="s">
        <v>6964</v>
      </c>
      <c r="E1763" s="63" t="s">
        <v>6965</v>
      </c>
      <c r="F1763" s="70">
        <v>39940.0</v>
      </c>
      <c r="G1763" s="63" t="s">
        <v>6966</v>
      </c>
      <c r="H1763" s="66"/>
      <c r="I1763" s="99" t="s">
        <v>6967</v>
      </c>
      <c r="J1763" s="63" t="s">
        <v>1872</v>
      </c>
      <c r="K1763" s="66"/>
      <c r="L1763" s="66"/>
      <c r="M1763" s="63" t="s">
        <v>530</v>
      </c>
      <c r="N1763" s="61"/>
      <c r="O1763" s="51"/>
    </row>
    <row r="1764">
      <c r="A1764" s="56">
        <v>1761.0</v>
      </c>
      <c r="B1764" s="71"/>
      <c r="C1764" s="69" t="s">
        <v>6968</v>
      </c>
      <c r="D1764" s="68" t="s">
        <v>6969</v>
      </c>
      <c r="E1764" s="68" t="s">
        <v>6970</v>
      </c>
      <c r="F1764" s="83">
        <v>36594.0</v>
      </c>
      <c r="G1764" s="68" t="s">
        <v>6971</v>
      </c>
      <c r="H1764" s="71"/>
      <c r="I1764" s="99" t="s">
        <v>6972</v>
      </c>
      <c r="J1764" s="68" t="s">
        <v>6973</v>
      </c>
      <c r="K1764" s="71"/>
      <c r="L1764" s="71"/>
      <c r="M1764" s="71"/>
      <c r="N1764" s="61"/>
      <c r="O1764" s="51"/>
    </row>
    <row r="1765">
      <c r="A1765" s="56">
        <v>1762.0</v>
      </c>
      <c r="B1765" s="71"/>
      <c r="C1765" s="69" t="s">
        <v>6974</v>
      </c>
      <c r="D1765" s="68" t="s">
        <v>6975</v>
      </c>
      <c r="E1765" s="68" t="s">
        <v>6976</v>
      </c>
      <c r="F1765" s="83">
        <v>41541.0</v>
      </c>
      <c r="G1765" s="68" t="s">
        <v>6977</v>
      </c>
      <c r="H1765" s="71"/>
      <c r="I1765" s="159"/>
      <c r="J1765" s="68" t="s">
        <v>6978</v>
      </c>
      <c r="K1765" s="71"/>
      <c r="L1765" s="71"/>
      <c r="M1765" s="68" t="s">
        <v>872</v>
      </c>
      <c r="N1765" s="61"/>
      <c r="O1765" s="51"/>
    </row>
    <row r="1766">
      <c r="A1766" s="56">
        <v>1763.0</v>
      </c>
      <c r="B1766" s="66"/>
      <c r="C1766" s="64" t="s">
        <v>6979</v>
      </c>
      <c r="D1766" s="63" t="s">
        <v>6980</v>
      </c>
      <c r="E1766" s="63" t="s">
        <v>6981</v>
      </c>
      <c r="F1766" s="65">
        <v>40415.0</v>
      </c>
      <c r="G1766" s="63" t="s">
        <v>6982</v>
      </c>
      <c r="H1766" s="66"/>
      <c r="I1766" s="99" t="s">
        <v>6983</v>
      </c>
      <c r="J1766" s="63" t="s">
        <v>6381</v>
      </c>
      <c r="K1766" s="66"/>
      <c r="L1766" s="66"/>
      <c r="M1766" s="63" t="s">
        <v>201</v>
      </c>
      <c r="N1766" s="61"/>
      <c r="O1766" s="51"/>
    </row>
    <row r="1767">
      <c r="A1767" s="56">
        <v>1764.0</v>
      </c>
      <c r="B1767" s="71"/>
      <c r="C1767" s="69" t="s">
        <v>6984</v>
      </c>
      <c r="D1767" s="68" t="s">
        <v>6985</v>
      </c>
      <c r="E1767" s="68" t="s">
        <v>6986</v>
      </c>
      <c r="F1767" s="83">
        <v>41443.0</v>
      </c>
      <c r="G1767" s="68" t="s">
        <v>6987</v>
      </c>
      <c r="H1767" s="71"/>
      <c r="I1767" s="99" t="s">
        <v>6988</v>
      </c>
      <c r="J1767" s="68" t="s">
        <v>6989</v>
      </c>
      <c r="K1767" s="71"/>
      <c r="L1767" s="71"/>
      <c r="M1767" s="71"/>
      <c r="N1767" s="61"/>
      <c r="O1767" s="51"/>
    </row>
    <row r="1768">
      <c r="A1768" s="56">
        <v>1765.0</v>
      </c>
      <c r="B1768" s="66"/>
      <c r="C1768" s="64" t="s">
        <v>6990</v>
      </c>
      <c r="D1768" s="63" t="s">
        <v>6991</v>
      </c>
      <c r="E1768" s="63" t="s">
        <v>6992</v>
      </c>
      <c r="F1768" s="65">
        <v>40464.0</v>
      </c>
      <c r="G1768" s="63" t="s">
        <v>6993</v>
      </c>
      <c r="H1768" s="63" t="s">
        <v>439</v>
      </c>
      <c r="I1768" s="99" t="s">
        <v>6994</v>
      </c>
      <c r="J1768" s="63" t="s">
        <v>1872</v>
      </c>
      <c r="K1768" s="66"/>
      <c r="L1768" s="66"/>
      <c r="M1768" s="66"/>
      <c r="N1768" s="61"/>
      <c r="O1768" s="51"/>
    </row>
    <row r="1769">
      <c r="A1769" s="56">
        <v>1766.0</v>
      </c>
      <c r="B1769" s="71"/>
      <c r="C1769" s="69" t="s">
        <v>6995</v>
      </c>
      <c r="D1769" s="68" t="s">
        <v>6996</v>
      </c>
      <c r="E1769" s="68" t="s">
        <v>6997</v>
      </c>
      <c r="F1769" s="83">
        <v>41024.0</v>
      </c>
      <c r="G1769" s="68" t="s">
        <v>6998</v>
      </c>
      <c r="H1769" s="71"/>
      <c r="I1769" s="99" t="s">
        <v>635</v>
      </c>
      <c r="J1769" s="68" t="s">
        <v>6999</v>
      </c>
      <c r="K1769" s="71"/>
      <c r="L1769" s="71"/>
      <c r="M1769" s="71"/>
      <c r="N1769" s="61"/>
      <c r="O1769" s="51"/>
    </row>
    <row r="1770">
      <c r="A1770" s="56">
        <v>1767.0</v>
      </c>
      <c r="B1770" s="71"/>
      <c r="C1770" s="69" t="s">
        <v>7000</v>
      </c>
      <c r="D1770" s="68" t="s">
        <v>7001</v>
      </c>
      <c r="E1770" s="68" t="s">
        <v>7002</v>
      </c>
      <c r="F1770" s="76">
        <v>40767.0</v>
      </c>
      <c r="G1770" s="68" t="s">
        <v>7003</v>
      </c>
      <c r="H1770" s="71"/>
      <c r="I1770" s="99" t="s">
        <v>7004</v>
      </c>
      <c r="J1770" s="68" t="s">
        <v>7005</v>
      </c>
      <c r="K1770" s="71"/>
      <c r="L1770" s="71"/>
      <c r="M1770" s="71"/>
      <c r="N1770" s="61"/>
      <c r="O1770" s="51"/>
    </row>
    <row r="1771">
      <c r="A1771" s="56">
        <v>1768.0</v>
      </c>
      <c r="B1771" s="66"/>
      <c r="C1771" s="64" t="s">
        <v>7006</v>
      </c>
      <c r="D1771" s="63" t="s">
        <v>7007</v>
      </c>
      <c r="E1771" s="63" t="s">
        <v>7008</v>
      </c>
      <c r="F1771" s="70">
        <v>39854.0</v>
      </c>
      <c r="G1771" s="63" t="s">
        <v>7009</v>
      </c>
      <c r="H1771" s="66"/>
      <c r="I1771" s="99" t="s">
        <v>7010</v>
      </c>
      <c r="J1771" s="63" t="s">
        <v>1872</v>
      </c>
      <c r="K1771" s="66"/>
      <c r="L1771" s="66"/>
      <c r="M1771" s="66"/>
      <c r="N1771" s="61"/>
      <c r="O1771" s="51"/>
    </row>
    <row r="1772">
      <c r="A1772" s="56">
        <v>1769.0</v>
      </c>
      <c r="B1772" s="71"/>
      <c r="C1772" s="69" t="s">
        <v>7011</v>
      </c>
      <c r="D1772" s="68" t="s">
        <v>7012</v>
      </c>
      <c r="E1772" s="68" t="s">
        <v>7013</v>
      </c>
      <c r="F1772" s="83">
        <v>41360.0</v>
      </c>
      <c r="G1772" s="68" t="s">
        <v>7014</v>
      </c>
      <c r="H1772" s="71"/>
      <c r="I1772" s="99" t="s">
        <v>635</v>
      </c>
      <c r="J1772" s="68" t="s">
        <v>7015</v>
      </c>
      <c r="K1772" s="71"/>
      <c r="L1772" s="71"/>
      <c r="M1772" s="71"/>
      <c r="N1772" s="61"/>
      <c r="O1772" s="51"/>
    </row>
    <row r="1773">
      <c r="A1773" s="56">
        <v>1770.0</v>
      </c>
      <c r="B1773" s="66"/>
      <c r="C1773" s="64" t="s">
        <v>7016</v>
      </c>
      <c r="D1773" s="63" t="s">
        <v>7017</v>
      </c>
      <c r="E1773" s="63" t="s">
        <v>7018</v>
      </c>
      <c r="F1773" s="65">
        <v>41389.0</v>
      </c>
      <c r="G1773" s="63" t="s">
        <v>7019</v>
      </c>
      <c r="H1773" s="66"/>
      <c r="I1773" s="99" t="s">
        <v>635</v>
      </c>
      <c r="J1773" s="63" t="s">
        <v>5653</v>
      </c>
      <c r="K1773" s="66"/>
      <c r="L1773" s="66"/>
      <c r="M1773" s="63" t="s">
        <v>40</v>
      </c>
      <c r="N1773" s="61"/>
      <c r="O1773" s="51"/>
    </row>
    <row r="1774">
      <c r="A1774" s="56">
        <v>1771.0</v>
      </c>
      <c r="B1774" s="71"/>
      <c r="C1774" s="69" t="s">
        <v>7020</v>
      </c>
      <c r="D1774" s="68" t="s">
        <v>7021</v>
      </c>
      <c r="E1774" s="68" t="s">
        <v>7022</v>
      </c>
      <c r="F1774" s="83">
        <v>41234.0</v>
      </c>
      <c r="G1774" s="68" t="s">
        <v>7023</v>
      </c>
      <c r="H1774" s="71"/>
      <c r="I1774" s="86" t="s">
        <v>635</v>
      </c>
      <c r="J1774" s="68" t="s">
        <v>7024</v>
      </c>
      <c r="K1774" s="71"/>
      <c r="L1774" s="71"/>
      <c r="M1774" s="71"/>
      <c r="N1774" s="61"/>
      <c r="O1774" s="51"/>
    </row>
    <row r="1775">
      <c r="A1775" s="56">
        <v>1772.0</v>
      </c>
      <c r="B1775" s="71"/>
      <c r="C1775" s="69" t="s">
        <v>7025</v>
      </c>
      <c r="D1775" s="68" t="s">
        <v>7021</v>
      </c>
      <c r="E1775" s="68" t="s">
        <v>7026</v>
      </c>
      <c r="F1775" s="83">
        <v>41240.0</v>
      </c>
      <c r="G1775" s="68" t="s">
        <v>7023</v>
      </c>
      <c r="H1775" s="71"/>
      <c r="I1775" s="86" t="s">
        <v>635</v>
      </c>
      <c r="J1775" s="68" t="s">
        <v>7024</v>
      </c>
      <c r="K1775" s="71"/>
      <c r="L1775" s="71"/>
      <c r="M1775" s="71"/>
      <c r="N1775" s="61"/>
      <c r="O1775" s="51"/>
    </row>
    <row r="1776">
      <c r="A1776" s="56">
        <v>1773.0</v>
      </c>
      <c r="B1776" s="71"/>
      <c r="C1776" s="69" t="s">
        <v>7027</v>
      </c>
      <c r="D1776" s="68" t="s">
        <v>7021</v>
      </c>
      <c r="E1776" s="68" t="s">
        <v>7028</v>
      </c>
      <c r="F1776" s="83">
        <v>41234.0</v>
      </c>
      <c r="G1776" s="68" t="s">
        <v>7023</v>
      </c>
      <c r="H1776" s="71"/>
      <c r="I1776" s="86" t="s">
        <v>635</v>
      </c>
      <c r="J1776" s="68" t="s">
        <v>7024</v>
      </c>
      <c r="K1776" s="71"/>
      <c r="L1776" s="71"/>
      <c r="M1776" s="71"/>
      <c r="N1776" s="61"/>
      <c r="O1776" s="51"/>
    </row>
    <row r="1777">
      <c r="A1777" s="56">
        <v>1774.0</v>
      </c>
      <c r="B1777" s="71"/>
      <c r="C1777" s="69" t="s">
        <v>7029</v>
      </c>
      <c r="D1777" s="68" t="s">
        <v>7021</v>
      </c>
      <c r="E1777" s="68" t="s">
        <v>7030</v>
      </c>
      <c r="F1777" s="83">
        <v>41234.0</v>
      </c>
      <c r="G1777" s="68" t="s">
        <v>7023</v>
      </c>
      <c r="H1777" s="71"/>
      <c r="I1777" s="86" t="s">
        <v>635</v>
      </c>
      <c r="J1777" s="68" t="s">
        <v>7024</v>
      </c>
      <c r="K1777" s="71"/>
      <c r="L1777" s="71"/>
      <c r="M1777" s="71"/>
      <c r="N1777" s="61"/>
      <c r="O1777" s="51"/>
    </row>
    <row r="1778">
      <c r="A1778" s="56">
        <v>1775.0</v>
      </c>
      <c r="B1778" s="71"/>
      <c r="C1778" s="69" t="s">
        <v>7031</v>
      </c>
      <c r="D1778" s="68" t="s">
        <v>7021</v>
      </c>
      <c r="E1778" s="68" t="s">
        <v>7032</v>
      </c>
      <c r="F1778" s="83">
        <v>41234.0</v>
      </c>
      <c r="G1778" s="68" t="s">
        <v>7023</v>
      </c>
      <c r="H1778" s="71"/>
      <c r="I1778" s="86" t="s">
        <v>635</v>
      </c>
      <c r="J1778" s="68" t="s">
        <v>7024</v>
      </c>
      <c r="K1778" s="71"/>
      <c r="L1778" s="71"/>
      <c r="M1778" s="71"/>
      <c r="N1778" s="61"/>
      <c r="O1778" s="51"/>
    </row>
    <row r="1779">
      <c r="A1779" s="56">
        <v>1776.0</v>
      </c>
      <c r="B1779" s="71"/>
      <c r="C1779" s="69" t="s">
        <v>7033</v>
      </c>
      <c r="D1779" s="68" t="s">
        <v>7021</v>
      </c>
      <c r="E1779" s="68" t="s">
        <v>7034</v>
      </c>
      <c r="F1779" s="83">
        <v>41234.0</v>
      </c>
      <c r="G1779" s="68" t="s">
        <v>7023</v>
      </c>
      <c r="H1779" s="71"/>
      <c r="I1779" s="86" t="s">
        <v>635</v>
      </c>
      <c r="J1779" s="68" t="s">
        <v>7024</v>
      </c>
      <c r="K1779" s="71"/>
      <c r="L1779" s="71"/>
      <c r="M1779" s="71"/>
      <c r="N1779" s="61"/>
      <c r="O1779" s="51"/>
    </row>
    <row r="1780">
      <c r="A1780" s="56">
        <v>1777.0</v>
      </c>
      <c r="B1780" s="71"/>
      <c r="C1780" s="69" t="s">
        <v>7035</v>
      </c>
      <c r="D1780" s="68" t="s">
        <v>7021</v>
      </c>
      <c r="E1780" s="68" t="s">
        <v>7036</v>
      </c>
      <c r="F1780" s="83">
        <v>41234.0</v>
      </c>
      <c r="G1780" s="68" t="s">
        <v>7023</v>
      </c>
      <c r="H1780" s="71"/>
      <c r="I1780" s="86" t="s">
        <v>635</v>
      </c>
      <c r="J1780" s="68" t="s">
        <v>7024</v>
      </c>
      <c r="K1780" s="71"/>
      <c r="L1780" s="71"/>
      <c r="M1780" s="71"/>
      <c r="N1780" s="61"/>
      <c r="O1780" s="51"/>
    </row>
    <row r="1781">
      <c r="A1781" s="56">
        <v>1778.0</v>
      </c>
      <c r="B1781" s="71"/>
      <c r="C1781" s="69" t="s">
        <v>7037</v>
      </c>
      <c r="D1781" s="68" t="s">
        <v>7021</v>
      </c>
      <c r="E1781" s="68" t="s">
        <v>7038</v>
      </c>
      <c r="F1781" s="83">
        <v>41234.0</v>
      </c>
      <c r="G1781" s="68" t="s">
        <v>7023</v>
      </c>
      <c r="H1781" s="71"/>
      <c r="I1781" s="86" t="s">
        <v>635</v>
      </c>
      <c r="J1781" s="68" t="s">
        <v>7024</v>
      </c>
      <c r="K1781" s="71"/>
      <c r="L1781" s="71"/>
      <c r="M1781" s="71"/>
      <c r="N1781" s="61"/>
      <c r="O1781" s="51"/>
    </row>
    <row r="1782">
      <c r="A1782" s="56">
        <v>1779.0</v>
      </c>
      <c r="B1782" s="71"/>
      <c r="C1782" s="69" t="s">
        <v>7039</v>
      </c>
      <c r="D1782" s="68" t="s">
        <v>7021</v>
      </c>
      <c r="E1782" s="68" t="s">
        <v>7040</v>
      </c>
      <c r="F1782" s="83">
        <v>41234.0</v>
      </c>
      <c r="G1782" s="68" t="s">
        <v>7023</v>
      </c>
      <c r="H1782" s="71"/>
      <c r="I1782" s="86" t="s">
        <v>635</v>
      </c>
      <c r="J1782" s="68" t="s">
        <v>7024</v>
      </c>
      <c r="K1782" s="71"/>
      <c r="L1782" s="71"/>
      <c r="M1782" s="71"/>
      <c r="N1782" s="61"/>
      <c r="O1782" s="51"/>
    </row>
    <row r="1783">
      <c r="A1783" s="56">
        <v>1780.0</v>
      </c>
      <c r="B1783" s="71"/>
      <c r="C1783" s="69" t="s">
        <v>7041</v>
      </c>
      <c r="D1783" s="68" t="s">
        <v>7021</v>
      </c>
      <c r="E1783" s="68" t="s">
        <v>7042</v>
      </c>
      <c r="F1783" s="83">
        <v>41234.0</v>
      </c>
      <c r="G1783" s="68" t="s">
        <v>7023</v>
      </c>
      <c r="H1783" s="71"/>
      <c r="I1783" s="86" t="s">
        <v>635</v>
      </c>
      <c r="J1783" s="68" t="s">
        <v>7024</v>
      </c>
      <c r="K1783" s="116"/>
      <c r="L1783" s="116"/>
      <c r="M1783" s="116"/>
      <c r="N1783" s="61"/>
      <c r="O1783" s="51"/>
    </row>
    <row r="1784">
      <c r="A1784" s="56">
        <v>1781.0</v>
      </c>
      <c r="B1784" s="71"/>
      <c r="C1784" s="69" t="s">
        <v>7043</v>
      </c>
      <c r="D1784" s="68" t="s">
        <v>7044</v>
      </c>
      <c r="E1784" s="68" t="s">
        <v>7045</v>
      </c>
      <c r="F1784" s="71"/>
      <c r="G1784" s="68" t="s">
        <v>7046</v>
      </c>
      <c r="H1784" s="71"/>
      <c r="I1784" s="99" t="s">
        <v>7047</v>
      </c>
      <c r="J1784" s="68" t="s">
        <v>7048</v>
      </c>
      <c r="K1784" s="71"/>
      <c r="L1784" s="71"/>
      <c r="M1784" s="71"/>
      <c r="N1784" s="61"/>
      <c r="O1784" s="51"/>
    </row>
    <row r="1785">
      <c r="A1785" s="56">
        <v>1782.0</v>
      </c>
      <c r="B1785" s="71"/>
      <c r="C1785" s="69" t="s">
        <v>7049</v>
      </c>
      <c r="D1785" s="68" t="s">
        <v>7050</v>
      </c>
      <c r="E1785" s="68" t="s">
        <v>7051</v>
      </c>
      <c r="F1785" s="76">
        <v>41278.0</v>
      </c>
      <c r="G1785" s="68" t="s">
        <v>7052</v>
      </c>
      <c r="H1785" s="71"/>
      <c r="I1785" s="63" t="s">
        <v>7053</v>
      </c>
      <c r="J1785" s="68" t="s">
        <v>7054</v>
      </c>
      <c r="K1785" s="71"/>
      <c r="L1785" s="71"/>
      <c r="M1785" s="71"/>
      <c r="N1785" s="61"/>
      <c r="O1785" s="51"/>
    </row>
    <row r="1786">
      <c r="A1786" s="56">
        <v>1783.0</v>
      </c>
      <c r="B1786" s="66"/>
      <c r="C1786" s="64" t="s">
        <v>7055</v>
      </c>
      <c r="D1786" s="63" t="s">
        <v>7056</v>
      </c>
      <c r="E1786" s="63" t="s">
        <v>7057</v>
      </c>
      <c r="F1786" s="70">
        <v>39995.0</v>
      </c>
      <c r="G1786" s="63" t="s">
        <v>7058</v>
      </c>
      <c r="H1786" s="66"/>
      <c r="I1786" s="99" t="s">
        <v>7059</v>
      </c>
      <c r="J1786" s="63" t="s">
        <v>1872</v>
      </c>
      <c r="K1786" s="66"/>
      <c r="L1786" s="66"/>
      <c r="M1786" s="63" t="s">
        <v>530</v>
      </c>
      <c r="N1786" s="61"/>
      <c r="O1786" s="51"/>
    </row>
    <row r="1787">
      <c r="A1787" s="56">
        <v>1784.0</v>
      </c>
      <c r="B1787" s="71"/>
      <c r="C1787" s="69" t="s">
        <v>7060</v>
      </c>
      <c r="D1787" s="68" t="s">
        <v>7061</v>
      </c>
      <c r="E1787" s="68" t="s">
        <v>7062</v>
      </c>
      <c r="F1787" s="83">
        <v>40707.0</v>
      </c>
      <c r="G1787" s="68" t="s">
        <v>7063</v>
      </c>
      <c r="H1787" s="71"/>
      <c r="I1787" s="99" t="s">
        <v>7064</v>
      </c>
      <c r="J1787" s="68" t="s">
        <v>7065</v>
      </c>
      <c r="K1787" s="71"/>
      <c r="L1787" s="71"/>
      <c r="M1787" s="71"/>
      <c r="N1787" s="61"/>
      <c r="O1787" s="51"/>
    </row>
    <row r="1788">
      <c r="A1788" s="56">
        <v>1785.0</v>
      </c>
      <c r="B1788" s="66"/>
      <c r="C1788" s="64" t="s">
        <v>7066</v>
      </c>
      <c r="D1788" s="63" t="s">
        <v>7067</v>
      </c>
      <c r="E1788" s="63" t="s">
        <v>7068</v>
      </c>
      <c r="F1788" s="70">
        <v>40026.0</v>
      </c>
      <c r="G1788" s="63" t="s">
        <v>7069</v>
      </c>
      <c r="H1788" s="63" t="s">
        <v>439</v>
      </c>
      <c r="I1788" s="99" t="s">
        <v>7070</v>
      </c>
      <c r="J1788" s="63" t="s">
        <v>7071</v>
      </c>
      <c r="K1788" s="66"/>
      <c r="L1788" s="66"/>
      <c r="M1788" s="63" t="s">
        <v>2152</v>
      </c>
      <c r="N1788" s="61"/>
      <c r="O1788" s="51"/>
    </row>
    <row r="1789">
      <c r="A1789" s="56">
        <v>1786.0</v>
      </c>
      <c r="B1789" s="71"/>
      <c r="C1789" s="69" t="s">
        <v>7072</v>
      </c>
      <c r="D1789" s="68" t="s">
        <v>7073</v>
      </c>
      <c r="E1789" s="68" t="s">
        <v>7074</v>
      </c>
      <c r="F1789" s="76">
        <v>40187.0</v>
      </c>
      <c r="G1789" s="68" t="s">
        <v>7075</v>
      </c>
      <c r="H1789" s="71"/>
      <c r="I1789" s="99" t="s">
        <v>7076</v>
      </c>
      <c r="J1789" s="68" t="s">
        <v>7077</v>
      </c>
      <c r="K1789" s="71"/>
      <c r="L1789" s="71"/>
      <c r="M1789" s="71"/>
      <c r="N1789" s="61"/>
      <c r="O1789" s="51"/>
    </row>
    <row r="1790">
      <c r="A1790" s="56">
        <v>1787.0</v>
      </c>
      <c r="B1790" s="71"/>
      <c r="C1790" s="69" t="s">
        <v>7078</v>
      </c>
      <c r="D1790" s="68" t="s">
        <v>7079</v>
      </c>
      <c r="E1790" s="68" t="s">
        <v>7080</v>
      </c>
      <c r="F1790" s="68">
        <v>2013.0</v>
      </c>
      <c r="G1790" s="68" t="s">
        <v>7081</v>
      </c>
      <c r="H1790" s="71"/>
      <c r="I1790" s="99" t="s">
        <v>7082</v>
      </c>
      <c r="J1790" s="68" t="s">
        <v>7083</v>
      </c>
      <c r="K1790" s="71"/>
      <c r="L1790" s="71"/>
      <c r="M1790" s="71"/>
      <c r="N1790" s="61"/>
      <c r="O1790" s="51"/>
    </row>
    <row r="1791">
      <c r="A1791" s="56">
        <v>1788.0</v>
      </c>
      <c r="B1791" s="71"/>
      <c r="C1791" s="69" t="s">
        <v>7084</v>
      </c>
      <c r="D1791" s="68" t="s">
        <v>7085</v>
      </c>
      <c r="E1791" s="68" t="s">
        <v>7086</v>
      </c>
      <c r="F1791" s="83">
        <v>41292.0</v>
      </c>
      <c r="G1791" s="68" t="s">
        <v>7087</v>
      </c>
      <c r="H1791" s="71"/>
      <c r="I1791" s="99" t="s">
        <v>7088</v>
      </c>
      <c r="J1791" s="68" t="s">
        <v>7089</v>
      </c>
      <c r="K1791" s="71"/>
      <c r="L1791" s="71"/>
      <c r="M1791" s="71"/>
      <c r="N1791" s="61"/>
      <c r="O1791" s="51"/>
    </row>
    <row r="1792">
      <c r="A1792" s="56">
        <v>1789.0</v>
      </c>
      <c r="B1792" s="66"/>
      <c r="C1792" s="64" t="s">
        <v>7090</v>
      </c>
      <c r="D1792" s="66"/>
      <c r="E1792" s="63" t="s">
        <v>7091</v>
      </c>
      <c r="F1792" s="65">
        <v>40071.0</v>
      </c>
      <c r="G1792" s="63" t="s">
        <v>7092</v>
      </c>
      <c r="H1792" s="63" t="s">
        <v>439</v>
      </c>
      <c r="I1792" s="99" t="s">
        <v>7093</v>
      </c>
      <c r="J1792" s="63" t="s">
        <v>3575</v>
      </c>
      <c r="K1792" s="66"/>
      <c r="L1792" s="66"/>
      <c r="M1792" s="63" t="s">
        <v>2152</v>
      </c>
      <c r="N1792" s="61"/>
      <c r="O1792" s="51"/>
    </row>
    <row r="1793">
      <c r="A1793" s="56">
        <v>1790.0</v>
      </c>
      <c r="B1793" s="71"/>
      <c r="C1793" s="69" t="s">
        <v>7094</v>
      </c>
      <c r="D1793" s="71"/>
      <c r="E1793" s="68" t="s">
        <v>7095</v>
      </c>
      <c r="F1793" s="76">
        <v>41376.0</v>
      </c>
      <c r="G1793" s="68" t="s">
        <v>7096</v>
      </c>
      <c r="H1793" s="71"/>
      <c r="I1793" s="159"/>
      <c r="J1793" s="68" t="s">
        <v>7097</v>
      </c>
      <c r="K1793" s="71"/>
      <c r="L1793" s="71"/>
      <c r="M1793" s="66"/>
      <c r="N1793" s="61"/>
      <c r="O1793" s="51"/>
    </row>
    <row r="1794">
      <c r="A1794" s="56">
        <v>1791.0</v>
      </c>
      <c r="B1794" s="71"/>
      <c r="C1794" s="69" t="s">
        <v>7098</v>
      </c>
      <c r="D1794" s="71"/>
      <c r="E1794" s="68" t="s">
        <v>7099</v>
      </c>
      <c r="F1794" s="76">
        <v>41345.0</v>
      </c>
      <c r="G1794" s="68" t="s">
        <v>7100</v>
      </c>
      <c r="H1794" s="71"/>
      <c r="I1794" s="99" t="s">
        <v>7101</v>
      </c>
      <c r="J1794" s="68" t="s">
        <v>841</v>
      </c>
      <c r="K1794" s="71"/>
      <c r="L1794" s="71"/>
      <c r="M1794" s="71"/>
      <c r="N1794" s="61"/>
      <c r="O1794" s="51"/>
    </row>
    <row r="1795">
      <c r="A1795" s="56">
        <v>1792.0</v>
      </c>
      <c r="B1795" s="66"/>
      <c r="C1795" s="64" t="s">
        <v>7102</v>
      </c>
      <c r="D1795" s="66"/>
      <c r="E1795" s="63" t="s">
        <v>7103</v>
      </c>
      <c r="F1795" s="65">
        <v>40105.0</v>
      </c>
      <c r="G1795" s="63" t="s">
        <v>7104</v>
      </c>
      <c r="H1795" s="66"/>
      <c r="I1795" s="99" t="s">
        <v>7105</v>
      </c>
      <c r="J1795" s="63" t="s">
        <v>2872</v>
      </c>
      <c r="K1795" s="66"/>
      <c r="L1795" s="66"/>
      <c r="M1795" s="63" t="s">
        <v>125</v>
      </c>
      <c r="N1795" s="61"/>
      <c r="O1795" s="51"/>
    </row>
    <row r="1796">
      <c r="A1796" s="56">
        <v>1793.0</v>
      </c>
      <c r="B1796" s="71"/>
      <c r="C1796" s="69" t="s">
        <v>7106</v>
      </c>
      <c r="D1796" s="71"/>
      <c r="E1796" s="68" t="s">
        <v>7107</v>
      </c>
      <c r="F1796" s="68">
        <v>2012.0</v>
      </c>
      <c r="G1796" s="68" t="s">
        <v>7108</v>
      </c>
      <c r="H1796" s="71"/>
      <c r="I1796" s="86" t="s">
        <v>635</v>
      </c>
      <c r="J1796" s="68" t="s">
        <v>7109</v>
      </c>
      <c r="K1796" s="71"/>
      <c r="L1796" s="71"/>
      <c r="M1796" s="71"/>
      <c r="N1796" s="61"/>
      <c r="O1796" s="51"/>
    </row>
    <row r="1797">
      <c r="A1797" s="56">
        <v>1794.0</v>
      </c>
      <c r="B1797" s="71"/>
      <c r="C1797" s="69" t="s">
        <v>7110</v>
      </c>
      <c r="D1797" s="71"/>
      <c r="E1797" s="68" t="s">
        <v>7111</v>
      </c>
      <c r="F1797" s="83">
        <v>41669.0</v>
      </c>
      <c r="G1797" s="68" t="s">
        <v>7112</v>
      </c>
      <c r="H1797" s="71"/>
      <c r="I1797" s="114" t="s">
        <v>635</v>
      </c>
      <c r="J1797" s="68" t="s">
        <v>7113</v>
      </c>
      <c r="K1797" s="71"/>
      <c r="L1797" s="71"/>
      <c r="M1797" s="71"/>
      <c r="N1797" s="61"/>
      <c r="O1797" s="51"/>
    </row>
    <row r="1798">
      <c r="A1798" s="56">
        <v>1795.0</v>
      </c>
      <c r="B1798" s="71"/>
      <c r="C1798" s="69" t="s">
        <v>7114</v>
      </c>
      <c r="D1798" s="71"/>
      <c r="E1798" s="68" t="s">
        <v>7115</v>
      </c>
      <c r="F1798" s="76">
        <v>41313.0</v>
      </c>
      <c r="G1798" s="68" t="s">
        <v>7116</v>
      </c>
      <c r="H1798" s="71"/>
      <c r="I1798" s="114" t="s">
        <v>7117</v>
      </c>
      <c r="J1798" s="68" t="s">
        <v>7118</v>
      </c>
      <c r="K1798" s="71"/>
      <c r="L1798" s="71"/>
      <c r="M1798" s="68" t="s">
        <v>368</v>
      </c>
      <c r="N1798" s="77"/>
      <c r="O1798" s="51"/>
    </row>
    <row r="1799">
      <c r="A1799" s="56">
        <v>1796.0</v>
      </c>
      <c r="B1799" s="71"/>
      <c r="C1799" s="69" t="s">
        <v>7119</v>
      </c>
      <c r="D1799" s="68" t="s">
        <v>7120</v>
      </c>
      <c r="E1799" s="68" t="s">
        <v>7121</v>
      </c>
      <c r="F1799" s="83">
        <v>41294.0</v>
      </c>
      <c r="G1799" s="68" t="s">
        <v>7122</v>
      </c>
      <c r="H1799" s="71"/>
      <c r="I1799" s="99" t="s">
        <v>635</v>
      </c>
      <c r="J1799" s="68" t="s">
        <v>7123</v>
      </c>
      <c r="K1799" s="71"/>
      <c r="L1799" s="71"/>
      <c r="M1799" s="71"/>
      <c r="N1799" s="61"/>
      <c r="O1799" s="51"/>
    </row>
    <row r="1800">
      <c r="A1800" s="56">
        <v>1797.0</v>
      </c>
      <c r="B1800" s="71"/>
      <c r="C1800" s="69" t="s">
        <v>7124</v>
      </c>
      <c r="D1800" s="68" t="s">
        <v>7125</v>
      </c>
      <c r="E1800" s="68" t="s">
        <v>7126</v>
      </c>
      <c r="F1800" s="71"/>
      <c r="G1800" s="68" t="s">
        <v>5685</v>
      </c>
      <c r="H1800" s="71"/>
      <c r="I1800" s="99" t="s">
        <v>635</v>
      </c>
      <c r="J1800" s="68" t="s">
        <v>7127</v>
      </c>
      <c r="K1800" s="71"/>
      <c r="L1800" s="71"/>
      <c r="M1800" s="71"/>
      <c r="N1800" s="61"/>
      <c r="O1800" s="51"/>
    </row>
    <row r="1801">
      <c r="A1801" s="56">
        <v>1798.0</v>
      </c>
      <c r="B1801" s="71"/>
      <c r="C1801" s="69" t="s">
        <v>7128</v>
      </c>
      <c r="D1801" s="68" t="s">
        <v>7125</v>
      </c>
      <c r="E1801" s="68" t="s">
        <v>7129</v>
      </c>
      <c r="F1801" s="71"/>
      <c r="G1801" s="68" t="s">
        <v>7130</v>
      </c>
      <c r="H1801" s="71"/>
      <c r="I1801" s="159"/>
      <c r="J1801" s="68" t="s">
        <v>7127</v>
      </c>
      <c r="K1801" s="71"/>
      <c r="L1801" s="71"/>
      <c r="M1801" s="71"/>
      <c r="N1801" s="61"/>
      <c r="O1801" s="51"/>
    </row>
    <row r="1802">
      <c r="A1802" s="56">
        <v>1799.0</v>
      </c>
      <c r="B1802" s="66"/>
      <c r="C1802" s="64" t="s">
        <v>7131</v>
      </c>
      <c r="D1802" s="63" t="s">
        <v>7132</v>
      </c>
      <c r="E1802" s="63" t="s">
        <v>7133</v>
      </c>
      <c r="F1802" s="70">
        <v>40657.0</v>
      </c>
      <c r="G1802" s="63" t="s">
        <v>7134</v>
      </c>
      <c r="H1802" s="66"/>
      <c r="I1802" s="99" t="s">
        <v>7135</v>
      </c>
      <c r="J1802" s="63" t="s">
        <v>1762</v>
      </c>
      <c r="K1802" s="66"/>
      <c r="L1802" s="66"/>
      <c r="M1802" s="63" t="s">
        <v>542</v>
      </c>
      <c r="N1802" s="61"/>
      <c r="O1802" s="51"/>
    </row>
    <row r="1803">
      <c r="A1803" s="56">
        <v>1800.0</v>
      </c>
      <c r="B1803" s="60"/>
      <c r="C1803" s="58" t="s">
        <v>7136</v>
      </c>
      <c r="D1803" s="57" t="s">
        <v>7137</v>
      </c>
      <c r="E1803" s="57" t="s">
        <v>7138</v>
      </c>
      <c r="F1803" s="78">
        <v>41352.0</v>
      </c>
      <c r="G1803" s="57" t="s">
        <v>7139</v>
      </c>
      <c r="H1803" s="60"/>
      <c r="I1803" s="99" t="s">
        <v>7140</v>
      </c>
      <c r="J1803" s="57" t="s">
        <v>7141</v>
      </c>
      <c r="K1803" s="60"/>
      <c r="L1803" s="60"/>
      <c r="M1803" s="60"/>
      <c r="N1803" s="61"/>
      <c r="O1803" s="51"/>
    </row>
    <row r="1804">
      <c r="A1804" s="56">
        <v>1801.0</v>
      </c>
      <c r="B1804" s="71"/>
      <c r="C1804" s="69" t="s">
        <v>7142</v>
      </c>
      <c r="D1804" s="68" t="s">
        <v>7137</v>
      </c>
      <c r="E1804" s="68" t="s">
        <v>7143</v>
      </c>
      <c r="F1804" s="83">
        <v>41352.0</v>
      </c>
      <c r="G1804" s="68" t="s">
        <v>7139</v>
      </c>
      <c r="H1804" s="71"/>
      <c r="I1804" s="99" t="s">
        <v>7140</v>
      </c>
      <c r="J1804" s="57" t="s">
        <v>7141</v>
      </c>
      <c r="K1804" s="71"/>
      <c r="L1804" s="71"/>
      <c r="M1804" s="71"/>
      <c r="N1804" s="61"/>
      <c r="O1804" s="51"/>
    </row>
    <row r="1805">
      <c r="A1805" s="56">
        <v>1802.0</v>
      </c>
      <c r="B1805" s="71"/>
      <c r="C1805" s="69" t="s">
        <v>7144</v>
      </c>
      <c r="D1805" s="68" t="s">
        <v>7137</v>
      </c>
      <c r="E1805" s="68" t="s">
        <v>7145</v>
      </c>
      <c r="F1805" s="83">
        <v>41352.0</v>
      </c>
      <c r="G1805" s="68" t="s">
        <v>7139</v>
      </c>
      <c r="H1805" s="71"/>
      <c r="I1805" s="99" t="s">
        <v>7140</v>
      </c>
      <c r="J1805" s="57" t="s">
        <v>7141</v>
      </c>
      <c r="K1805" s="71"/>
      <c r="L1805" s="71"/>
      <c r="M1805" s="71"/>
      <c r="N1805" s="61"/>
      <c r="O1805" s="51"/>
    </row>
    <row r="1806">
      <c r="A1806" s="56">
        <v>1803.0</v>
      </c>
      <c r="B1806" s="71"/>
      <c r="C1806" s="69" t="s">
        <v>7146</v>
      </c>
      <c r="D1806" s="68" t="s">
        <v>7147</v>
      </c>
      <c r="E1806" s="68" t="s">
        <v>7148</v>
      </c>
      <c r="F1806" s="83">
        <v>40959.0</v>
      </c>
      <c r="G1806" s="68" t="s">
        <v>7149</v>
      </c>
      <c r="H1806" s="71"/>
      <c r="I1806" s="86" t="s">
        <v>635</v>
      </c>
      <c r="J1806" s="68" t="s">
        <v>7150</v>
      </c>
      <c r="K1806" s="71"/>
      <c r="L1806" s="71"/>
      <c r="M1806" s="71"/>
      <c r="N1806" s="61"/>
      <c r="O1806" s="51"/>
    </row>
    <row r="1807">
      <c r="A1807" s="56">
        <v>1804.0</v>
      </c>
      <c r="B1807" s="71"/>
      <c r="C1807" s="69" t="s">
        <v>7151</v>
      </c>
      <c r="D1807" s="68" t="s">
        <v>7152</v>
      </c>
      <c r="E1807" s="68" t="s">
        <v>7153</v>
      </c>
      <c r="F1807" s="83">
        <v>41107.0</v>
      </c>
      <c r="G1807" s="68" t="s">
        <v>7154</v>
      </c>
      <c r="H1807" s="71"/>
      <c r="I1807" s="99" t="s">
        <v>635</v>
      </c>
      <c r="J1807" s="68" t="s">
        <v>7155</v>
      </c>
      <c r="K1807" s="71"/>
      <c r="L1807" s="71"/>
      <c r="M1807" s="71"/>
      <c r="N1807" s="61"/>
      <c r="O1807" s="51"/>
    </row>
    <row r="1808">
      <c r="A1808" s="56">
        <v>1805.0</v>
      </c>
      <c r="B1808" s="71"/>
      <c r="C1808" s="69" t="s">
        <v>7156</v>
      </c>
      <c r="D1808" s="68" t="s">
        <v>7152</v>
      </c>
      <c r="E1808" s="68" t="s">
        <v>7157</v>
      </c>
      <c r="F1808" s="83">
        <v>41107.0</v>
      </c>
      <c r="G1808" s="68" t="s">
        <v>7154</v>
      </c>
      <c r="H1808" s="71"/>
      <c r="I1808" s="99" t="s">
        <v>635</v>
      </c>
      <c r="J1808" s="68" t="s">
        <v>7155</v>
      </c>
      <c r="K1808" s="71"/>
      <c r="L1808" s="71"/>
      <c r="M1808" s="71"/>
      <c r="N1808" s="61"/>
      <c r="O1808" s="51"/>
    </row>
    <row r="1809">
      <c r="A1809" s="56">
        <v>1806.0</v>
      </c>
      <c r="B1809" s="60"/>
      <c r="C1809" s="58" t="s">
        <v>7158</v>
      </c>
      <c r="D1809" s="57" t="s">
        <v>7159</v>
      </c>
      <c r="E1809" s="57" t="s">
        <v>7160</v>
      </c>
      <c r="F1809" s="59">
        <v>41616.0</v>
      </c>
      <c r="G1809" s="57" t="s">
        <v>7161</v>
      </c>
      <c r="H1809" s="60"/>
      <c r="I1809" s="99" t="s">
        <v>635</v>
      </c>
      <c r="J1809" s="57" t="s">
        <v>7162</v>
      </c>
      <c r="K1809" s="60"/>
      <c r="L1809" s="60"/>
      <c r="M1809" s="104"/>
      <c r="N1809" s="105"/>
      <c r="O1809" s="51"/>
    </row>
    <row r="1810">
      <c r="A1810" s="56">
        <v>1807.0</v>
      </c>
      <c r="B1810" s="66"/>
      <c r="C1810" s="64" t="s">
        <v>7163</v>
      </c>
      <c r="D1810" s="63" t="s">
        <v>7164</v>
      </c>
      <c r="E1810" s="63" t="s">
        <v>7165</v>
      </c>
      <c r="F1810" s="63">
        <v>2013.0</v>
      </c>
      <c r="G1810" s="63" t="s">
        <v>7166</v>
      </c>
      <c r="H1810" s="66"/>
      <c r="I1810" s="99" t="s">
        <v>7167</v>
      </c>
      <c r="J1810" s="63" t="s">
        <v>5653</v>
      </c>
      <c r="K1810" s="66"/>
      <c r="L1810" s="66"/>
      <c r="M1810" s="175"/>
      <c r="N1810" s="61"/>
      <c r="O1810" s="51"/>
    </row>
    <row r="1811">
      <c r="A1811" s="75">
        <v>1808.0</v>
      </c>
      <c r="B1811" s="71"/>
      <c r="C1811" s="69" t="s">
        <v>7168</v>
      </c>
      <c r="D1811" s="68" t="s">
        <v>7169</v>
      </c>
      <c r="E1811" s="68" t="s">
        <v>7170</v>
      </c>
      <c r="F1811" s="68">
        <v>2013.0</v>
      </c>
      <c r="G1811" s="68" t="s">
        <v>7171</v>
      </c>
      <c r="H1811" s="71"/>
      <c r="I1811" s="114" t="s">
        <v>7172</v>
      </c>
      <c r="J1811" s="68" t="s">
        <v>7173</v>
      </c>
      <c r="K1811" s="71"/>
      <c r="L1811" s="71"/>
      <c r="M1811" s="68" t="s">
        <v>27</v>
      </c>
      <c r="N1811" s="61"/>
      <c r="O1811" s="51"/>
    </row>
    <row r="1812">
      <c r="A1812" s="56">
        <v>1809.0</v>
      </c>
      <c r="B1812" s="71"/>
      <c r="C1812" s="69" t="s">
        <v>7174</v>
      </c>
      <c r="D1812" s="68" t="s">
        <v>7175</v>
      </c>
      <c r="E1812" s="68" t="s">
        <v>7176</v>
      </c>
      <c r="F1812" s="83">
        <v>41355.0</v>
      </c>
      <c r="G1812" s="68" t="s">
        <v>7177</v>
      </c>
      <c r="H1812" s="71"/>
      <c r="I1812" s="159"/>
      <c r="J1812" s="68" t="s">
        <v>7178</v>
      </c>
      <c r="K1812" s="71"/>
      <c r="L1812" s="71"/>
      <c r="M1812" s="71"/>
      <c r="N1812" s="61"/>
      <c r="O1812" s="51"/>
    </row>
    <row r="1813">
      <c r="A1813" s="56">
        <v>1810.0</v>
      </c>
      <c r="B1813" s="71"/>
      <c r="C1813" s="69" t="s">
        <v>7179</v>
      </c>
      <c r="D1813" s="68" t="s">
        <v>7180</v>
      </c>
      <c r="E1813" s="68" t="s">
        <v>7181</v>
      </c>
      <c r="F1813" s="83">
        <v>40405.0</v>
      </c>
      <c r="G1813" s="68" t="s">
        <v>7182</v>
      </c>
      <c r="H1813" s="71"/>
      <c r="I1813" s="159"/>
      <c r="J1813" s="68" t="s">
        <v>7183</v>
      </c>
      <c r="K1813" s="71"/>
      <c r="L1813" s="66"/>
      <c r="M1813" s="66"/>
      <c r="N1813" s="61"/>
      <c r="O1813" s="51"/>
    </row>
    <row r="1814">
      <c r="A1814" s="56">
        <v>1811.0</v>
      </c>
      <c r="B1814" s="66"/>
      <c r="C1814" s="64" t="s">
        <v>7184</v>
      </c>
      <c r="D1814" s="63" t="s">
        <v>7185</v>
      </c>
      <c r="E1814" s="63" t="s">
        <v>7186</v>
      </c>
      <c r="F1814" s="63">
        <v>2009.0</v>
      </c>
      <c r="G1814" s="63" t="s">
        <v>7187</v>
      </c>
      <c r="H1814" s="63" t="s">
        <v>7188</v>
      </c>
      <c r="I1814" s="99" t="s">
        <v>7189</v>
      </c>
      <c r="J1814" s="63" t="s">
        <v>1872</v>
      </c>
      <c r="K1814" s="66"/>
      <c r="L1814" s="66"/>
      <c r="M1814" s="63" t="s">
        <v>530</v>
      </c>
      <c r="N1814" s="61"/>
      <c r="O1814" s="51"/>
    </row>
    <row r="1815">
      <c r="A1815" s="56">
        <v>1812.0</v>
      </c>
      <c r="B1815" s="71"/>
      <c r="C1815" s="69" t="s">
        <v>7190</v>
      </c>
      <c r="D1815" s="68" t="s">
        <v>7191</v>
      </c>
      <c r="E1815" s="68" t="s">
        <v>7192</v>
      </c>
      <c r="F1815" s="68">
        <v>2012.0</v>
      </c>
      <c r="G1815" s="68" t="s">
        <v>7193</v>
      </c>
      <c r="H1815" s="71"/>
      <c r="I1815" s="99" t="s">
        <v>7194</v>
      </c>
      <c r="J1815" s="68" t="s">
        <v>7195</v>
      </c>
      <c r="K1815" s="71"/>
      <c r="L1815" s="71"/>
      <c r="M1815" s="71"/>
      <c r="N1815" s="61"/>
      <c r="O1815" s="51"/>
    </row>
    <row r="1816">
      <c r="A1816" s="56">
        <v>1813.0</v>
      </c>
      <c r="B1816" s="66"/>
      <c r="C1816" s="64" t="s">
        <v>7196</v>
      </c>
      <c r="D1816" s="63" t="s">
        <v>7197</v>
      </c>
      <c r="E1816" s="63" t="s">
        <v>7198</v>
      </c>
      <c r="F1816" s="65">
        <v>40171.0</v>
      </c>
      <c r="G1816" s="63" t="s">
        <v>7199</v>
      </c>
      <c r="H1816" s="66"/>
      <c r="I1816" s="99" t="s">
        <v>7200</v>
      </c>
      <c r="J1816" s="63" t="s">
        <v>6381</v>
      </c>
      <c r="K1816" s="66"/>
      <c r="L1816" s="66"/>
      <c r="M1816" s="63" t="s">
        <v>201</v>
      </c>
      <c r="N1816" s="61"/>
      <c r="O1816" s="51"/>
    </row>
    <row r="1817">
      <c r="A1817" s="56">
        <v>1814.0</v>
      </c>
      <c r="B1817" s="71"/>
      <c r="C1817" s="69" t="s">
        <v>7201</v>
      </c>
      <c r="D1817" s="68" t="s">
        <v>7202</v>
      </c>
      <c r="E1817" s="68" t="s">
        <v>7203</v>
      </c>
      <c r="F1817" s="68">
        <v>2011.0</v>
      </c>
      <c r="G1817" s="68" t="s">
        <v>7204</v>
      </c>
      <c r="H1817" s="71"/>
      <c r="I1817" s="99" t="s">
        <v>7205</v>
      </c>
      <c r="J1817" s="87" t="s">
        <v>7206</v>
      </c>
      <c r="K1817" s="116"/>
      <c r="L1817" s="116"/>
      <c r="M1817" s="116"/>
      <c r="N1817" s="61"/>
      <c r="O1817" s="51"/>
    </row>
    <row r="1818">
      <c r="A1818" s="56">
        <v>1815.0</v>
      </c>
      <c r="B1818" s="71"/>
      <c r="C1818" s="69" t="s">
        <v>7207</v>
      </c>
      <c r="D1818" s="68" t="s">
        <v>7208</v>
      </c>
      <c r="E1818" s="68" t="s">
        <v>7209</v>
      </c>
      <c r="F1818" s="68">
        <v>2007.0</v>
      </c>
      <c r="G1818" s="68" t="s">
        <v>7210</v>
      </c>
      <c r="H1818" s="71"/>
      <c r="I1818" s="99" t="s">
        <v>7211</v>
      </c>
      <c r="J1818" s="87" t="s">
        <v>7212</v>
      </c>
      <c r="K1818" s="71"/>
      <c r="L1818" s="71"/>
      <c r="M1818" s="71"/>
      <c r="N1818" s="61"/>
      <c r="O1818" s="51"/>
    </row>
    <row r="1819">
      <c r="A1819" s="56">
        <v>1816.0</v>
      </c>
      <c r="B1819" s="66"/>
      <c r="C1819" s="64" t="s">
        <v>7213</v>
      </c>
      <c r="D1819" s="63" t="s">
        <v>7214</v>
      </c>
      <c r="E1819" s="63" t="s">
        <v>7215</v>
      </c>
      <c r="F1819" s="63">
        <v>2009.0</v>
      </c>
      <c r="G1819" s="63" t="s">
        <v>7216</v>
      </c>
      <c r="H1819" s="66"/>
      <c r="I1819" s="99" t="s">
        <v>7217</v>
      </c>
      <c r="J1819" s="63" t="s">
        <v>1872</v>
      </c>
      <c r="K1819" s="66"/>
      <c r="L1819" s="66"/>
      <c r="M1819" s="63" t="s">
        <v>530</v>
      </c>
      <c r="N1819" s="61"/>
      <c r="O1819" s="51"/>
    </row>
    <row r="1820">
      <c r="A1820" s="56">
        <v>1817.0</v>
      </c>
      <c r="B1820" s="71"/>
      <c r="C1820" s="69" t="s">
        <v>7218</v>
      </c>
      <c r="D1820" s="68" t="s">
        <v>7219</v>
      </c>
      <c r="E1820" s="68" t="s">
        <v>7220</v>
      </c>
      <c r="F1820" s="83">
        <v>40712.0</v>
      </c>
      <c r="G1820" s="68" t="s">
        <v>7221</v>
      </c>
      <c r="H1820" s="71"/>
      <c r="I1820" s="86" t="s">
        <v>635</v>
      </c>
      <c r="J1820" s="68" t="s">
        <v>7222</v>
      </c>
      <c r="K1820" s="71"/>
      <c r="L1820" s="71"/>
      <c r="M1820" s="71"/>
      <c r="N1820" s="61"/>
      <c r="O1820" s="51"/>
    </row>
    <row r="1821">
      <c r="A1821" s="56">
        <v>1818.0</v>
      </c>
      <c r="B1821" s="60"/>
      <c r="C1821" s="58" t="s">
        <v>7223</v>
      </c>
      <c r="D1821" s="57" t="s">
        <v>7224</v>
      </c>
      <c r="E1821" s="57" t="s">
        <v>7225</v>
      </c>
      <c r="F1821" s="78">
        <v>41536.0</v>
      </c>
      <c r="G1821" s="57" t="s">
        <v>7226</v>
      </c>
      <c r="H1821" s="60"/>
      <c r="I1821" s="99" t="s">
        <v>5658</v>
      </c>
      <c r="J1821" s="57" t="s">
        <v>7227</v>
      </c>
      <c r="K1821" s="60"/>
      <c r="L1821" s="60"/>
      <c r="M1821" s="104"/>
      <c r="N1821" s="105"/>
      <c r="O1821" s="51"/>
    </row>
    <row r="1822">
      <c r="A1822" s="56">
        <v>1819.0</v>
      </c>
      <c r="B1822" s="71"/>
      <c r="C1822" s="69" t="s">
        <v>7228</v>
      </c>
      <c r="D1822" s="68" t="s">
        <v>7229</v>
      </c>
      <c r="E1822" s="68" t="s">
        <v>7230</v>
      </c>
      <c r="F1822" s="83">
        <v>41428.0</v>
      </c>
      <c r="G1822" s="68" t="s">
        <v>7231</v>
      </c>
      <c r="H1822" s="71"/>
      <c r="I1822" s="114" t="s">
        <v>7232</v>
      </c>
      <c r="J1822" s="68" t="s">
        <v>7233</v>
      </c>
      <c r="K1822" s="71"/>
      <c r="L1822" s="71"/>
      <c r="M1822" s="111"/>
      <c r="N1822" s="77"/>
      <c r="O1822" s="51"/>
    </row>
    <row r="1823">
      <c r="A1823" s="56">
        <v>1820.0</v>
      </c>
      <c r="B1823" s="66"/>
      <c r="C1823" s="64" t="s">
        <v>7234</v>
      </c>
      <c r="D1823" s="63" t="s">
        <v>7235</v>
      </c>
      <c r="E1823" s="63" t="s">
        <v>7236</v>
      </c>
      <c r="F1823" s="65">
        <v>39977.0</v>
      </c>
      <c r="G1823" s="63" t="s">
        <v>7237</v>
      </c>
      <c r="H1823" s="63" t="s">
        <v>7238</v>
      </c>
      <c r="I1823" s="99" t="s">
        <v>7239</v>
      </c>
      <c r="J1823" s="63" t="s">
        <v>6220</v>
      </c>
      <c r="K1823" s="66"/>
      <c r="L1823" s="66"/>
      <c r="M1823" s="63" t="s">
        <v>872</v>
      </c>
      <c r="N1823" s="61"/>
      <c r="O1823" s="51"/>
    </row>
    <row r="1824">
      <c r="A1824" s="56">
        <v>1821.0</v>
      </c>
      <c r="B1824" s="66"/>
      <c r="C1824" s="64" t="s">
        <v>7240</v>
      </c>
      <c r="D1824" s="63" t="s">
        <v>7241</v>
      </c>
      <c r="E1824" s="63" t="s">
        <v>7242</v>
      </c>
      <c r="F1824" s="70">
        <v>40124.0</v>
      </c>
      <c r="G1824" s="63" t="s">
        <v>7243</v>
      </c>
      <c r="H1824" s="66"/>
      <c r="I1824" s="99" t="s">
        <v>7244</v>
      </c>
      <c r="J1824" s="63" t="s">
        <v>1872</v>
      </c>
      <c r="K1824" s="66"/>
      <c r="L1824" s="66"/>
      <c r="M1824" s="63" t="s">
        <v>530</v>
      </c>
      <c r="N1824" s="61"/>
      <c r="O1824" s="51"/>
    </row>
    <row r="1825">
      <c r="A1825" s="56">
        <v>1822.0</v>
      </c>
      <c r="B1825" s="66"/>
      <c r="C1825" s="64" t="s">
        <v>7245</v>
      </c>
      <c r="D1825" s="63" t="s">
        <v>7246</v>
      </c>
      <c r="E1825" s="63" t="s">
        <v>7247</v>
      </c>
      <c r="F1825" s="70">
        <v>41153.0</v>
      </c>
      <c r="G1825" s="63" t="s">
        <v>7248</v>
      </c>
      <c r="H1825" s="66"/>
      <c r="I1825" s="99" t="s">
        <v>7249</v>
      </c>
      <c r="J1825" s="63" t="s">
        <v>7250</v>
      </c>
      <c r="K1825" s="66"/>
      <c r="L1825" s="66"/>
      <c r="M1825" s="63" t="s">
        <v>1393</v>
      </c>
      <c r="N1825" s="61"/>
      <c r="O1825" s="51"/>
    </row>
    <row r="1826">
      <c r="A1826" s="56">
        <v>1823.0</v>
      </c>
      <c r="B1826" s="71"/>
      <c r="C1826" s="69" t="s">
        <v>7251</v>
      </c>
      <c r="D1826" s="68" t="s">
        <v>7252</v>
      </c>
      <c r="E1826" s="68" t="s">
        <v>7253</v>
      </c>
      <c r="F1826" s="83">
        <v>41295.0</v>
      </c>
      <c r="G1826" s="68" t="s">
        <v>7254</v>
      </c>
      <c r="H1826" s="71"/>
      <c r="I1826" s="99" t="s">
        <v>7255</v>
      </c>
      <c r="J1826" s="68" t="s">
        <v>7256</v>
      </c>
      <c r="K1826" s="66"/>
      <c r="L1826" s="66"/>
      <c r="M1826" s="66"/>
      <c r="N1826" s="61"/>
      <c r="O1826" s="51"/>
    </row>
    <row r="1827">
      <c r="A1827" s="56">
        <v>1824.0</v>
      </c>
      <c r="B1827" s="71"/>
      <c r="C1827" s="69" t="s">
        <v>7257</v>
      </c>
      <c r="D1827" s="68" t="s">
        <v>7258</v>
      </c>
      <c r="E1827" s="68" t="s">
        <v>7259</v>
      </c>
      <c r="F1827" s="76">
        <v>39915.0</v>
      </c>
      <c r="G1827" s="68" t="s">
        <v>7260</v>
      </c>
      <c r="H1827" s="71"/>
      <c r="I1827" s="99" t="s">
        <v>7261</v>
      </c>
      <c r="J1827" s="68" t="s">
        <v>7262</v>
      </c>
      <c r="K1827" s="71"/>
      <c r="L1827" s="71"/>
      <c r="M1827" s="71"/>
      <c r="N1827" s="61"/>
      <c r="O1827" s="51"/>
    </row>
    <row r="1828">
      <c r="A1828" s="56">
        <v>1825.0</v>
      </c>
      <c r="B1828" s="71"/>
      <c r="C1828" s="69" t="s">
        <v>7263</v>
      </c>
      <c r="D1828" s="68" t="s">
        <v>7264</v>
      </c>
      <c r="E1828" s="68" t="s">
        <v>7265</v>
      </c>
      <c r="F1828" s="76">
        <v>41552.0</v>
      </c>
      <c r="G1828" s="68" t="s">
        <v>7266</v>
      </c>
      <c r="H1828" s="68" t="s">
        <v>439</v>
      </c>
      <c r="I1828" s="99" t="s">
        <v>7267</v>
      </c>
      <c r="J1828" s="68" t="s">
        <v>7268</v>
      </c>
      <c r="K1828" s="71"/>
      <c r="L1828" s="71"/>
      <c r="M1828" s="66"/>
      <c r="N1828" s="61"/>
      <c r="O1828" s="51"/>
    </row>
    <row r="1829">
      <c r="A1829" s="56">
        <v>1826.0</v>
      </c>
      <c r="B1829" s="66"/>
      <c r="C1829" s="69" t="s">
        <v>7269</v>
      </c>
      <c r="D1829" s="68" t="s">
        <v>7270</v>
      </c>
      <c r="E1829" s="68" t="s">
        <v>7271</v>
      </c>
      <c r="F1829" s="76">
        <v>40673.0</v>
      </c>
      <c r="G1829" s="68" t="s">
        <v>7272</v>
      </c>
      <c r="H1829" s="68" t="s">
        <v>439</v>
      </c>
      <c r="I1829" s="99" t="s">
        <v>7273</v>
      </c>
      <c r="J1829" s="68" t="s">
        <v>7274</v>
      </c>
      <c r="K1829" s="71"/>
      <c r="L1829" s="71"/>
      <c r="M1829" s="71"/>
      <c r="N1829" s="61"/>
      <c r="O1829" s="51"/>
    </row>
    <row r="1830">
      <c r="A1830" s="56">
        <v>1827.0</v>
      </c>
      <c r="B1830" s="71"/>
      <c r="C1830" s="69" t="s">
        <v>7275</v>
      </c>
      <c r="D1830" s="68" t="s">
        <v>7270</v>
      </c>
      <c r="E1830" s="68" t="s">
        <v>7276</v>
      </c>
      <c r="F1830" s="76">
        <v>40673.0</v>
      </c>
      <c r="G1830" s="68" t="s">
        <v>7277</v>
      </c>
      <c r="H1830" s="68" t="s">
        <v>439</v>
      </c>
      <c r="I1830" s="99" t="s">
        <v>7273</v>
      </c>
      <c r="J1830" s="68" t="s">
        <v>5977</v>
      </c>
      <c r="K1830" s="71"/>
      <c r="L1830" s="71"/>
      <c r="M1830" s="71"/>
      <c r="N1830" s="61"/>
      <c r="O1830" s="51"/>
    </row>
    <row r="1831">
      <c r="A1831" s="56">
        <v>1828.0</v>
      </c>
      <c r="B1831" s="66"/>
      <c r="C1831" s="64" t="s">
        <v>7278</v>
      </c>
      <c r="D1831" s="63" t="s">
        <v>7270</v>
      </c>
      <c r="E1831" s="63" t="s">
        <v>7279</v>
      </c>
      <c r="F1831" s="70">
        <v>40673.0</v>
      </c>
      <c r="G1831" s="63" t="s">
        <v>7277</v>
      </c>
      <c r="H1831" s="63" t="s">
        <v>439</v>
      </c>
      <c r="I1831" s="99" t="s">
        <v>7280</v>
      </c>
      <c r="J1831" s="63" t="s">
        <v>3575</v>
      </c>
      <c r="K1831" s="66"/>
      <c r="L1831" s="66"/>
      <c r="M1831" s="63" t="s">
        <v>2152</v>
      </c>
      <c r="N1831" s="61"/>
      <c r="O1831" s="51"/>
    </row>
    <row r="1832">
      <c r="A1832" s="56">
        <v>1829.0</v>
      </c>
      <c r="B1832" s="60"/>
      <c r="C1832" s="58" t="s">
        <v>7281</v>
      </c>
      <c r="D1832" s="57" t="s">
        <v>7282</v>
      </c>
      <c r="E1832" s="57" t="s">
        <v>7283</v>
      </c>
      <c r="F1832" s="59">
        <v>41369.0</v>
      </c>
      <c r="G1832" s="57" t="s">
        <v>7284</v>
      </c>
      <c r="H1832" s="60"/>
      <c r="I1832" s="99" t="s">
        <v>5658</v>
      </c>
      <c r="J1832" s="57" t="s">
        <v>7285</v>
      </c>
      <c r="K1832" s="60"/>
      <c r="L1832" s="60"/>
      <c r="M1832" s="104"/>
      <c r="N1832" s="105"/>
      <c r="O1832" s="51"/>
    </row>
    <row r="1833">
      <c r="A1833" s="56">
        <v>1830.0</v>
      </c>
      <c r="B1833" s="60"/>
      <c r="C1833" s="58" t="s">
        <v>7286</v>
      </c>
      <c r="D1833" s="60"/>
      <c r="E1833" s="57" t="s">
        <v>7287</v>
      </c>
      <c r="F1833" s="59">
        <v>41883.0</v>
      </c>
      <c r="G1833" s="57" t="s">
        <v>7288</v>
      </c>
      <c r="H1833" s="60"/>
      <c r="I1833" s="99" t="s">
        <v>7289</v>
      </c>
      <c r="J1833" s="57" t="s">
        <v>7290</v>
      </c>
      <c r="K1833" s="60"/>
      <c r="L1833" s="60"/>
      <c r="M1833" s="110" t="s">
        <v>1182</v>
      </c>
      <c r="N1833" s="61"/>
      <c r="O1833" s="51"/>
    </row>
    <row r="1834">
      <c r="A1834" s="56">
        <v>1831.0</v>
      </c>
      <c r="B1834" s="71"/>
      <c r="C1834" s="69" t="s">
        <v>7291</v>
      </c>
      <c r="D1834" s="71"/>
      <c r="E1834" s="68" t="s">
        <v>7292</v>
      </c>
      <c r="F1834" s="83">
        <v>41697.0</v>
      </c>
      <c r="G1834" s="68" t="s">
        <v>7293</v>
      </c>
      <c r="H1834" s="71"/>
      <c r="I1834" s="99" t="s">
        <v>7294</v>
      </c>
      <c r="J1834" s="68" t="s">
        <v>7295</v>
      </c>
      <c r="K1834" s="71"/>
      <c r="L1834" s="66"/>
      <c r="M1834" s="66"/>
      <c r="N1834" s="61"/>
      <c r="O1834" s="51"/>
    </row>
    <row r="1835">
      <c r="A1835" s="56">
        <v>1832.0</v>
      </c>
      <c r="B1835" s="60"/>
      <c r="C1835" s="58" t="s">
        <v>7296</v>
      </c>
      <c r="D1835" s="60"/>
      <c r="E1835" s="57" t="s">
        <v>7297</v>
      </c>
      <c r="F1835" s="78">
        <v>41694.0</v>
      </c>
      <c r="G1835" s="57" t="s">
        <v>7298</v>
      </c>
      <c r="H1835" s="60"/>
      <c r="I1835" s="99" t="s">
        <v>635</v>
      </c>
      <c r="J1835" s="57" t="s">
        <v>6558</v>
      </c>
      <c r="K1835" s="60"/>
      <c r="L1835" s="60"/>
      <c r="M1835" s="104"/>
      <c r="N1835" s="105"/>
      <c r="O1835" s="51"/>
    </row>
    <row r="1836">
      <c r="A1836" s="56">
        <v>1833.0</v>
      </c>
      <c r="B1836" s="60"/>
      <c r="C1836" s="58" t="s">
        <v>7299</v>
      </c>
      <c r="D1836" s="60"/>
      <c r="E1836" s="57" t="s">
        <v>7300</v>
      </c>
      <c r="F1836" s="78">
        <v>41694.0</v>
      </c>
      <c r="G1836" s="57" t="s">
        <v>7301</v>
      </c>
      <c r="H1836" s="60"/>
      <c r="I1836" s="99" t="s">
        <v>635</v>
      </c>
      <c r="J1836" s="57" t="s">
        <v>6520</v>
      </c>
      <c r="K1836" s="60"/>
      <c r="L1836" s="60"/>
      <c r="M1836" s="104"/>
      <c r="N1836" s="105"/>
      <c r="O1836" s="51"/>
    </row>
    <row r="1837">
      <c r="A1837" s="56">
        <v>1834.0</v>
      </c>
      <c r="B1837" s="71"/>
      <c r="C1837" s="69" t="s">
        <v>7302</v>
      </c>
      <c r="D1837" s="71"/>
      <c r="E1837" s="68" t="s">
        <v>7303</v>
      </c>
      <c r="F1837" s="83">
        <v>41274.0</v>
      </c>
      <c r="G1837" s="68" t="s">
        <v>7304</v>
      </c>
      <c r="H1837" s="71"/>
      <c r="I1837" s="176" t="s">
        <v>7305</v>
      </c>
      <c r="J1837" s="68" t="s">
        <v>7306</v>
      </c>
      <c r="K1837" s="66"/>
      <c r="L1837" s="66"/>
      <c r="M1837" s="175"/>
      <c r="N1837" s="61"/>
      <c r="O1837" s="51"/>
    </row>
    <row r="1838">
      <c r="A1838" s="56">
        <v>1835.0</v>
      </c>
      <c r="B1838" s="60"/>
      <c r="C1838" s="58" t="s">
        <v>7307</v>
      </c>
      <c r="D1838" s="60"/>
      <c r="E1838" s="57" t="s">
        <v>7308</v>
      </c>
      <c r="F1838" s="78">
        <v>41606.0</v>
      </c>
      <c r="G1838" s="57" t="s">
        <v>7309</v>
      </c>
      <c r="H1838" s="60"/>
      <c r="I1838" s="159"/>
      <c r="J1838" s="57" t="s">
        <v>7310</v>
      </c>
      <c r="K1838" s="60"/>
      <c r="L1838" s="60"/>
      <c r="M1838" s="60"/>
      <c r="N1838" s="61"/>
      <c r="O1838" s="51"/>
    </row>
    <row r="1839">
      <c r="A1839" s="56">
        <v>1836.0</v>
      </c>
      <c r="B1839" s="60"/>
      <c r="C1839" s="58" t="s">
        <v>7311</v>
      </c>
      <c r="D1839" s="60"/>
      <c r="E1839" s="57" t="s">
        <v>7312</v>
      </c>
      <c r="F1839" s="59">
        <v>41286.0</v>
      </c>
      <c r="G1839" s="57" t="s">
        <v>7309</v>
      </c>
      <c r="H1839" s="60"/>
      <c r="I1839" s="159"/>
      <c r="J1839" s="57" t="s">
        <v>7310</v>
      </c>
      <c r="K1839" s="60"/>
      <c r="L1839" s="60"/>
      <c r="M1839" s="60"/>
      <c r="N1839" s="61"/>
      <c r="O1839" s="51"/>
    </row>
    <row r="1840">
      <c r="A1840" s="56">
        <v>1837.0</v>
      </c>
      <c r="B1840" s="71"/>
      <c r="C1840" s="69" t="s">
        <v>7313</v>
      </c>
      <c r="D1840" s="71"/>
      <c r="E1840" s="68" t="s">
        <v>7314</v>
      </c>
      <c r="F1840" s="76">
        <v>41403.0</v>
      </c>
      <c r="G1840" s="68" t="s">
        <v>7315</v>
      </c>
      <c r="H1840" s="71"/>
      <c r="I1840" s="99" t="s">
        <v>7316</v>
      </c>
      <c r="J1840" s="68" t="s">
        <v>7317</v>
      </c>
      <c r="K1840" s="71"/>
      <c r="L1840" s="66"/>
      <c r="M1840" s="66"/>
      <c r="N1840" s="61"/>
      <c r="O1840" s="51"/>
    </row>
    <row r="1841">
      <c r="A1841" s="56">
        <v>1838.0</v>
      </c>
      <c r="B1841" s="66"/>
      <c r="C1841" s="64" t="s">
        <v>7318</v>
      </c>
      <c r="D1841" s="66"/>
      <c r="E1841" s="63" t="s">
        <v>7319</v>
      </c>
      <c r="F1841" s="63">
        <v>2009.0</v>
      </c>
      <c r="G1841" s="63" t="s">
        <v>7320</v>
      </c>
      <c r="H1841" s="63" t="s">
        <v>7321</v>
      </c>
      <c r="I1841" s="99" t="s">
        <v>2488</v>
      </c>
      <c r="J1841" s="63" t="s">
        <v>1872</v>
      </c>
      <c r="K1841" s="66"/>
      <c r="L1841" s="66"/>
      <c r="M1841" s="63" t="s">
        <v>530</v>
      </c>
      <c r="N1841" s="61"/>
      <c r="O1841" s="51"/>
    </row>
    <row r="1842">
      <c r="A1842" s="56">
        <v>1839.0</v>
      </c>
      <c r="B1842" s="71"/>
      <c r="C1842" s="69" t="s">
        <v>7322</v>
      </c>
      <c r="D1842" s="71"/>
      <c r="E1842" s="68" t="s">
        <v>7323</v>
      </c>
      <c r="F1842" s="76">
        <v>41191.0</v>
      </c>
      <c r="G1842" s="68" t="s">
        <v>7324</v>
      </c>
      <c r="H1842" s="71"/>
      <c r="I1842" s="114" t="s">
        <v>7325</v>
      </c>
      <c r="J1842" s="68" t="s">
        <v>7326</v>
      </c>
      <c r="K1842" s="71"/>
      <c r="L1842" s="71"/>
      <c r="M1842" s="68" t="s">
        <v>530</v>
      </c>
      <c r="N1842" s="77"/>
      <c r="O1842" s="51"/>
    </row>
    <row r="1843">
      <c r="A1843" s="56">
        <v>1840.0</v>
      </c>
      <c r="B1843" s="60"/>
      <c r="C1843" s="58" t="s">
        <v>7327</v>
      </c>
      <c r="D1843" s="60"/>
      <c r="E1843" s="57" t="s">
        <v>7328</v>
      </c>
      <c r="F1843" s="60"/>
      <c r="G1843" s="57" t="s">
        <v>7329</v>
      </c>
      <c r="H1843" s="60"/>
      <c r="I1843" s="99" t="s">
        <v>7330</v>
      </c>
      <c r="J1843" s="57" t="s">
        <v>7331</v>
      </c>
      <c r="K1843" s="60"/>
      <c r="L1843" s="60"/>
      <c r="M1843" s="60"/>
      <c r="N1843" s="61"/>
      <c r="O1843" s="51"/>
    </row>
    <row r="1844">
      <c r="A1844" s="56">
        <v>1841.0</v>
      </c>
      <c r="B1844" s="60"/>
      <c r="C1844" s="58" t="s">
        <v>7332</v>
      </c>
      <c r="D1844" s="60"/>
      <c r="E1844" s="57" t="s">
        <v>7333</v>
      </c>
      <c r="F1844" s="78">
        <v>41515.0</v>
      </c>
      <c r="G1844" s="57" t="s">
        <v>7329</v>
      </c>
      <c r="H1844" s="60"/>
      <c r="I1844" s="99" t="s">
        <v>7334</v>
      </c>
      <c r="J1844" s="57" t="s">
        <v>7335</v>
      </c>
      <c r="K1844" s="60"/>
      <c r="L1844" s="60"/>
      <c r="M1844" s="104"/>
      <c r="N1844" s="105"/>
      <c r="O1844" s="51"/>
    </row>
    <row r="1845">
      <c r="A1845" s="56">
        <v>1842.0</v>
      </c>
      <c r="B1845" s="71"/>
      <c r="C1845" s="69" t="s">
        <v>7336</v>
      </c>
      <c r="D1845" s="71"/>
      <c r="E1845" s="68" t="s">
        <v>7337</v>
      </c>
      <c r="F1845" s="76">
        <v>41162.0</v>
      </c>
      <c r="G1845" s="68" t="s">
        <v>7338</v>
      </c>
      <c r="H1845" s="71"/>
      <c r="I1845" s="99" t="s">
        <v>7339</v>
      </c>
      <c r="J1845" s="68" t="s">
        <v>7340</v>
      </c>
      <c r="K1845" s="66"/>
      <c r="L1845" s="66"/>
      <c r="M1845" s="175"/>
      <c r="N1845" s="61"/>
      <c r="O1845" s="51"/>
    </row>
    <row r="1846">
      <c r="A1846" s="75">
        <v>1843.0</v>
      </c>
      <c r="B1846" s="71"/>
      <c r="C1846" s="69" t="s">
        <v>7341</v>
      </c>
      <c r="D1846" s="71"/>
      <c r="E1846" s="68" t="s">
        <v>7342</v>
      </c>
      <c r="F1846" s="83">
        <v>39948.0</v>
      </c>
      <c r="G1846" s="68" t="s">
        <v>7343</v>
      </c>
      <c r="H1846" s="71"/>
      <c r="I1846" s="114" t="s">
        <v>7344</v>
      </c>
      <c r="J1846" s="68" t="s">
        <v>7345</v>
      </c>
      <c r="K1846" s="71"/>
      <c r="L1846" s="71"/>
      <c r="M1846" s="68" t="s">
        <v>530</v>
      </c>
      <c r="N1846" s="77"/>
      <c r="O1846" s="51"/>
    </row>
    <row r="1847">
      <c r="A1847" s="56">
        <v>1844.0</v>
      </c>
      <c r="B1847" s="71"/>
      <c r="C1847" s="69" t="s">
        <v>7346</v>
      </c>
      <c r="D1847" s="71"/>
      <c r="E1847" s="68" t="s">
        <v>7347</v>
      </c>
      <c r="F1847" s="83">
        <v>39959.0</v>
      </c>
      <c r="G1847" s="68" t="s">
        <v>7348</v>
      </c>
      <c r="H1847" s="71"/>
      <c r="I1847" s="99" t="s">
        <v>7349</v>
      </c>
      <c r="J1847" s="68" t="s">
        <v>7350</v>
      </c>
      <c r="K1847" s="71"/>
      <c r="L1847" s="66"/>
      <c r="M1847" s="66"/>
      <c r="N1847" s="61"/>
      <c r="O1847" s="51"/>
    </row>
    <row r="1848">
      <c r="A1848" s="56">
        <v>1845.0</v>
      </c>
      <c r="B1848" s="66"/>
      <c r="C1848" s="64" t="s">
        <v>7351</v>
      </c>
      <c r="D1848" s="66"/>
      <c r="E1848" s="63" t="s">
        <v>7352</v>
      </c>
      <c r="F1848" s="70">
        <v>41582.0</v>
      </c>
      <c r="G1848" s="63" t="s">
        <v>7353</v>
      </c>
      <c r="H1848" s="63" t="s">
        <v>7354</v>
      </c>
      <c r="I1848" s="99" t="s">
        <v>7355</v>
      </c>
      <c r="J1848" s="66"/>
      <c r="K1848" s="66"/>
      <c r="L1848" s="99" t="s">
        <v>7356</v>
      </c>
      <c r="M1848" s="63" t="s">
        <v>6395</v>
      </c>
      <c r="N1848" s="61"/>
      <c r="O1848" s="51"/>
    </row>
    <row r="1849">
      <c r="A1849" s="56">
        <v>1846.0</v>
      </c>
      <c r="B1849" s="71"/>
      <c r="C1849" s="69" t="s">
        <v>7357</v>
      </c>
      <c r="D1849" s="71"/>
      <c r="E1849" s="68" t="s">
        <v>7358</v>
      </c>
      <c r="F1849" s="83">
        <v>41239.0</v>
      </c>
      <c r="G1849" s="68" t="s">
        <v>7359</v>
      </c>
      <c r="H1849" s="71"/>
      <c r="I1849" s="99" t="s">
        <v>7360</v>
      </c>
      <c r="J1849" s="68" t="s">
        <v>7361</v>
      </c>
      <c r="K1849" s="66"/>
      <c r="L1849" s="66"/>
      <c r="M1849" s="66"/>
      <c r="N1849" s="61"/>
      <c r="O1849" s="51"/>
    </row>
    <row r="1850">
      <c r="A1850" s="56">
        <v>1847.0</v>
      </c>
      <c r="B1850" s="71"/>
      <c r="C1850" s="69" t="s">
        <v>7362</v>
      </c>
      <c r="D1850" s="71"/>
      <c r="E1850" s="68" t="s">
        <v>7363</v>
      </c>
      <c r="F1850" s="76">
        <v>39730.0</v>
      </c>
      <c r="G1850" s="68" t="s">
        <v>7364</v>
      </c>
      <c r="H1850" s="71"/>
      <c r="I1850" s="114" t="s">
        <v>7365</v>
      </c>
      <c r="J1850" s="68" t="s">
        <v>7366</v>
      </c>
      <c r="K1850" s="71"/>
      <c r="L1850" s="71"/>
      <c r="M1850" s="68" t="s">
        <v>4749</v>
      </c>
      <c r="N1850" s="77"/>
      <c r="O1850" s="51"/>
    </row>
    <row r="1851">
      <c r="A1851" s="56">
        <v>1848.0</v>
      </c>
      <c r="B1851" s="71"/>
      <c r="C1851" s="69" t="s">
        <v>7367</v>
      </c>
      <c r="D1851" s="71"/>
      <c r="E1851" s="68" t="s">
        <v>7368</v>
      </c>
      <c r="F1851" s="76">
        <v>41792.0</v>
      </c>
      <c r="G1851" s="68" t="s">
        <v>7369</v>
      </c>
      <c r="H1851" s="71"/>
      <c r="I1851" s="99" t="s">
        <v>7370</v>
      </c>
      <c r="J1851" s="68" t="s">
        <v>7371</v>
      </c>
      <c r="K1851" s="71"/>
      <c r="L1851" s="71"/>
      <c r="M1851" s="66"/>
      <c r="N1851" s="61"/>
      <c r="O1851" s="51"/>
    </row>
    <row r="1852">
      <c r="A1852" s="56">
        <v>1849.0</v>
      </c>
      <c r="B1852" s="71"/>
      <c r="C1852" s="69" t="s">
        <v>7372</v>
      </c>
      <c r="D1852" s="71"/>
      <c r="E1852" s="68" t="s">
        <v>7373</v>
      </c>
      <c r="F1852" s="83">
        <v>41668.0</v>
      </c>
      <c r="G1852" s="68" t="s">
        <v>7374</v>
      </c>
      <c r="H1852" s="71"/>
      <c r="I1852" s="99" t="s">
        <v>7375</v>
      </c>
      <c r="J1852" s="68" t="s">
        <v>7376</v>
      </c>
      <c r="K1852" s="71"/>
      <c r="L1852" s="66"/>
      <c r="M1852" s="66"/>
      <c r="N1852" s="61"/>
      <c r="O1852" s="51"/>
    </row>
    <row r="1853">
      <c r="A1853" s="56">
        <v>1850.0</v>
      </c>
      <c r="B1853" s="71"/>
      <c r="C1853" s="69" t="s">
        <v>7377</v>
      </c>
      <c r="D1853" s="71"/>
      <c r="E1853" s="68" t="s">
        <v>7378</v>
      </c>
      <c r="F1853" s="68">
        <v>2013.0</v>
      </c>
      <c r="G1853" s="68" t="s">
        <v>7379</v>
      </c>
      <c r="H1853" s="71"/>
      <c r="I1853" s="114" t="s">
        <v>7380</v>
      </c>
      <c r="J1853" s="68" t="s">
        <v>7381</v>
      </c>
      <c r="K1853" s="71"/>
      <c r="L1853" s="71"/>
      <c r="M1853" s="68" t="s">
        <v>27</v>
      </c>
      <c r="N1853" s="77"/>
      <c r="O1853" s="51"/>
    </row>
    <row r="1854">
      <c r="A1854" s="56">
        <v>1851.0</v>
      </c>
      <c r="B1854" s="71"/>
      <c r="C1854" s="69" t="s">
        <v>7382</v>
      </c>
      <c r="D1854" s="71"/>
      <c r="E1854" s="68" t="s">
        <v>7383</v>
      </c>
      <c r="F1854" s="68">
        <v>2005.0</v>
      </c>
      <c r="G1854" s="68" t="s">
        <v>7384</v>
      </c>
      <c r="H1854" s="71"/>
      <c r="I1854" s="159"/>
      <c r="J1854" s="68" t="s">
        <v>7385</v>
      </c>
      <c r="K1854" s="71"/>
      <c r="L1854" s="71"/>
      <c r="M1854" s="71"/>
      <c r="N1854" s="61"/>
      <c r="O1854" s="51"/>
    </row>
    <row r="1855">
      <c r="A1855" s="56">
        <v>1852.0</v>
      </c>
      <c r="B1855" s="71"/>
      <c r="C1855" s="69" t="s">
        <v>7386</v>
      </c>
      <c r="D1855" s="71"/>
      <c r="E1855" s="68" t="s">
        <v>7387</v>
      </c>
      <c r="F1855" s="83">
        <v>41532.0</v>
      </c>
      <c r="G1855" s="68" t="s">
        <v>7388</v>
      </c>
      <c r="H1855" s="71"/>
      <c r="I1855" s="114" t="s">
        <v>7389</v>
      </c>
      <c r="J1855" s="87" t="s">
        <v>7390</v>
      </c>
      <c r="K1855" s="71"/>
      <c r="L1855" s="71"/>
      <c r="M1855" s="68" t="s">
        <v>4001</v>
      </c>
      <c r="N1855" s="77"/>
      <c r="O1855" s="51"/>
    </row>
    <row r="1856">
      <c r="A1856" s="56">
        <v>1853.0</v>
      </c>
      <c r="B1856" s="71"/>
      <c r="C1856" s="69" t="s">
        <v>7391</v>
      </c>
      <c r="D1856" s="68" t="s">
        <v>7392</v>
      </c>
      <c r="E1856" s="68" t="s">
        <v>7393</v>
      </c>
      <c r="F1856" s="68">
        <v>2011.0</v>
      </c>
      <c r="G1856" s="68" t="s">
        <v>7394</v>
      </c>
      <c r="H1856" s="71"/>
      <c r="I1856" s="99" t="s">
        <v>635</v>
      </c>
      <c r="J1856" s="68" t="s">
        <v>7395</v>
      </c>
      <c r="K1856" s="66"/>
      <c r="L1856" s="66"/>
      <c r="M1856" s="66"/>
      <c r="N1856" s="61"/>
      <c r="O1856" s="51"/>
    </row>
    <row r="1857">
      <c r="A1857" s="56">
        <v>1854.0</v>
      </c>
      <c r="B1857" s="71"/>
      <c r="C1857" s="69" t="s">
        <v>7396</v>
      </c>
      <c r="D1857" s="71"/>
      <c r="E1857" s="68" t="s">
        <v>7397</v>
      </c>
      <c r="F1857" s="76">
        <v>41067.0</v>
      </c>
      <c r="G1857" s="68" t="s">
        <v>7398</v>
      </c>
      <c r="H1857" s="71"/>
      <c r="I1857" s="159"/>
      <c r="J1857" s="68" t="s">
        <v>7399</v>
      </c>
      <c r="K1857" s="71"/>
      <c r="L1857" s="71"/>
      <c r="M1857" s="66"/>
      <c r="N1857" s="61"/>
      <c r="O1857" s="51"/>
    </row>
    <row r="1858">
      <c r="A1858" s="56">
        <v>1855.0</v>
      </c>
      <c r="B1858" s="71"/>
      <c r="C1858" s="69" t="s">
        <v>7400</v>
      </c>
      <c r="D1858" s="71"/>
      <c r="E1858" s="68" t="s">
        <v>7401</v>
      </c>
      <c r="F1858" s="83">
        <v>40630.0</v>
      </c>
      <c r="G1858" s="68" t="s">
        <v>7402</v>
      </c>
      <c r="H1858" s="71"/>
      <c r="I1858" s="159"/>
      <c r="J1858" s="68" t="s">
        <v>7403</v>
      </c>
      <c r="K1858" s="71"/>
      <c r="L1858" s="71"/>
      <c r="M1858" s="66"/>
      <c r="N1858" s="61"/>
      <c r="O1858" s="51"/>
    </row>
    <row r="1859">
      <c r="A1859" s="56">
        <v>1856.0</v>
      </c>
      <c r="B1859" s="66"/>
      <c r="C1859" s="64" t="s">
        <v>7404</v>
      </c>
      <c r="D1859" s="63" t="s">
        <v>7405</v>
      </c>
      <c r="E1859" s="63" t="s">
        <v>7406</v>
      </c>
      <c r="F1859" s="65">
        <v>40009.0</v>
      </c>
      <c r="G1859" s="63" t="s">
        <v>7407</v>
      </c>
      <c r="H1859" s="66"/>
      <c r="I1859" s="99" t="s">
        <v>7408</v>
      </c>
      <c r="J1859" s="63" t="s">
        <v>1872</v>
      </c>
      <c r="K1859" s="66"/>
      <c r="L1859" s="66"/>
      <c r="M1859" s="63" t="s">
        <v>530</v>
      </c>
      <c r="N1859" s="61"/>
      <c r="O1859" s="51"/>
    </row>
    <row r="1860">
      <c r="A1860" s="56">
        <v>1857.0</v>
      </c>
      <c r="B1860" s="60"/>
      <c r="C1860" s="58" t="s">
        <v>7409</v>
      </c>
      <c r="D1860" s="57" t="s">
        <v>7410</v>
      </c>
      <c r="E1860" s="57" t="s">
        <v>7411</v>
      </c>
      <c r="F1860" s="78">
        <v>41688.0</v>
      </c>
      <c r="G1860" s="57" t="s">
        <v>7412</v>
      </c>
      <c r="H1860" s="60"/>
      <c r="I1860" s="99" t="s">
        <v>5658</v>
      </c>
      <c r="J1860" s="57" t="s">
        <v>7413</v>
      </c>
      <c r="K1860" s="60"/>
      <c r="L1860" s="60"/>
      <c r="M1860" s="104"/>
      <c r="N1860" s="105"/>
      <c r="O1860" s="51"/>
    </row>
    <row r="1861">
      <c r="A1861" s="56">
        <v>1858.0</v>
      </c>
      <c r="B1861" s="60"/>
      <c r="C1861" s="58" t="s">
        <v>7414</v>
      </c>
      <c r="D1861" s="57" t="s">
        <v>7415</v>
      </c>
      <c r="E1861" s="57" t="s">
        <v>7416</v>
      </c>
      <c r="F1861" s="78">
        <v>41688.0</v>
      </c>
      <c r="G1861" s="57" t="s">
        <v>7417</v>
      </c>
      <c r="H1861" s="60"/>
      <c r="I1861" s="99" t="s">
        <v>5658</v>
      </c>
      <c r="J1861" s="57" t="s">
        <v>7418</v>
      </c>
      <c r="K1861" s="60"/>
      <c r="L1861" s="60"/>
      <c r="M1861" s="104"/>
      <c r="N1861" s="105"/>
      <c r="O1861" s="51"/>
    </row>
    <row r="1862">
      <c r="A1862" s="56">
        <v>1859.0</v>
      </c>
      <c r="B1862" s="60"/>
      <c r="C1862" s="58" t="s">
        <v>7419</v>
      </c>
      <c r="D1862" s="57" t="s">
        <v>7415</v>
      </c>
      <c r="E1862" s="57" t="s">
        <v>7420</v>
      </c>
      <c r="F1862" s="78">
        <v>41688.0</v>
      </c>
      <c r="G1862" s="57" t="s">
        <v>7421</v>
      </c>
      <c r="H1862" s="60"/>
      <c r="I1862" s="99" t="s">
        <v>5658</v>
      </c>
      <c r="J1862" s="57" t="s">
        <v>7422</v>
      </c>
      <c r="K1862" s="60"/>
      <c r="L1862" s="60"/>
      <c r="M1862" s="104"/>
      <c r="N1862" s="105"/>
      <c r="O1862" s="51"/>
    </row>
    <row r="1863">
      <c r="A1863" s="56">
        <v>1860.0</v>
      </c>
      <c r="B1863" s="71"/>
      <c r="C1863" s="69" t="s">
        <v>7423</v>
      </c>
      <c r="D1863" s="68" t="s">
        <v>7424</v>
      </c>
      <c r="E1863" s="68" t="s">
        <v>7425</v>
      </c>
      <c r="F1863" s="83">
        <v>41505.0</v>
      </c>
      <c r="G1863" s="68" t="s">
        <v>7426</v>
      </c>
      <c r="H1863" s="71"/>
      <c r="I1863" s="99" t="s">
        <v>635</v>
      </c>
      <c r="J1863" s="68" t="s">
        <v>7427</v>
      </c>
      <c r="K1863" s="71"/>
      <c r="L1863" s="66"/>
      <c r="M1863" s="175"/>
      <c r="N1863" s="61"/>
      <c r="O1863" s="51"/>
    </row>
    <row r="1864">
      <c r="A1864" s="56">
        <v>1861.0</v>
      </c>
      <c r="B1864" s="71"/>
      <c r="C1864" s="69" t="s">
        <v>7428</v>
      </c>
      <c r="D1864" s="68" t="s">
        <v>7429</v>
      </c>
      <c r="E1864" s="68" t="s">
        <v>7430</v>
      </c>
      <c r="F1864" s="76">
        <v>40644.0</v>
      </c>
      <c r="G1864" s="68" t="s">
        <v>7431</v>
      </c>
      <c r="H1864" s="71"/>
      <c r="I1864" s="176" t="s">
        <v>7432</v>
      </c>
      <c r="J1864" s="68" t="s">
        <v>4025</v>
      </c>
      <c r="K1864" s="71"/>
      <c r="L1864" s="71"/>
      <c r="M1864" s="71"/>
      <c r="N1864" s="61"/>
      <c r="O1864" s="51"/>
    </row>
    <row r="1865">
      <c r="A1865" s="56">
        <v>1862.0</v>
      </c>
      <c r="B1865" s="66"/>
      <c r="C1865" s="64" t="s">
        <v>7433</v>
      </c>
      <c r="D1865" s="63" t="s">
        <v>7434</v>
      </c>
      <c r="E1865" s="63" t="s">
        <v>7435</v>
      </c>
      <c r="F1865" s="70">
        <v>39909.0</v>
      </c>
      <c r="G1865" s="63" t="s">
        <v>7436</v>
      </c>
      <c r="H1865" s="66"/>
      <c r="I1865" s="99" t="s">
        <v>7437</v>
      </c>
      <c r="J1865" s="63" t="s">
        <v>1872</v>
      </c>
      <c r="K1865" s="66"/>
      <c r="L1865" s="66"/>
      <c r="M1865" s="63" t="s">
        <v>530</v>
      </c>
      <c r="N1865" s="61"/>
      <c r="O1865" s="51"/>
    </row>
    <row r="1866">
      <c r="A1866" s="56">
        <v>1863.0</v>
      </c>
      <c r="B1866" s="66"/>
      <c r="C1866" s="64" t="s">
        <v>7438</v>
      </c>
      <c r="D1866" s="63" t="s">
        <v>7439</v>
      </c>
      <c r="E1866" s="63" t="s">
        <v>7440</v>
      </c>
      <c r="F1866" s="70">
        <v>40360.0</v>
      </c>
      <c r="G1866" s="63" t="s">
        <v>7441</v>
      </c>
      <c r="H1866" s="63" t="s">
        <v>439</v>
      </c>
      <c r="I1866" s="99" t="s">
        <v>635</v>
      </c>
      <c r="J1866" s="63" t="s">
        <v>7442</v>
      </c>
      <c r="K1866" s="66"/>
      <c r="L1866" s="66"/>
      <c r="M1866" s="63" t="s">
        <v>282</v>
      </c>
      <c r="N1866" s="61"/>
      <c r="O1866" s="51"/>
    </row>
    <row r="1867">
      <c r="A1867" s="56">
        <v>1864.0</v>
      </c>
      <c r="B1867" s="71"/>
      <c r="C1867" s="69" t="s">
        <v>7443</v>
      </c>
      <c r="D1867" s="68" t="s">
        <v>7439</v>
      </c>
      <c r="E1867" s="68" t="s">
        <v>7444</v>
      </c>
      <c r="F1867" s="76">
        <v>40185.0</v>
      </c>
      <c r="G1867" s="68" t="s">
        <v>7441</v>
      </c>
      <c r="H1867" s="63" t="s">
        <v>439</v>
      </c>
      <c r="I1867" s="160"/>
      <c r="J1867" s="87" t="s">
        <v>7445</v>
      </c>
      <c r="K1867" s="71"/>
      <c r="L1867" s="71"/>
      <c r="M1867" s="68" t="s">
        <v>282</v>
      </c>
      <c r="N1867" s="77"/>
      <c r="O1867" s="51"/>
    </row>
    <row r="1868">
      <c r="A1868" s="56">
        <v>1865.0</v>
      </c>
      <c r="B1868" s="71"/>
      <c r="C1868" s="69" t="s">
        <v>7446</v>
      </c>
      <c r="D1868" s="68" t="s">
        <v>7439</v>
      </c>
      <c r="E1868" s="68" t="s">
        <v>7447</v>
      </c>
      <c r="F1868" s="76">
        <v>40185.0</v>
      </c>
      <c r="G1868" s="68" t="s">
        <v>7441</v>
      </c>
      <c r="H1868" s="68" t="s">
        <v>7448</v>
      </c>
      <c r="I1868" s="191"/>
      <c r="J1868" s="87" t="s">
        <v>7445</v>
      </c>
      <c r="K1868" s="71"/>
      <c r="L1868" s="71"/>
      <c r="M1868" s="68" t="s">
        <v>282</v>
      </c>
      <c r="N1868" s="77"/>
      <c r="O1868" s="51"/>
    </row>
    <row r="1869">
      <c r="A1869" s="56">
        <v>1866.0</v>
      </c>
      <c r="B1869" s="71"/>
      <c r="C1869" s="69" t="s">
        <v>7449</v>
      </c>
      <c r="D1869" s="68" t="s">
        <v>7439</v>
      </c>
      <c r="E1869" s="68" t="s">
        <v>7450</v>
      </c>
      <c r="F1869" s="76">
        <v>40185.0</v>
      </c>
      <c r="G1869" s="68" t="s">
        <v>7441</v>
      </c>
      <c r="H1869" s="68" t="s">
        <v>7451</v>
      </c>
      <c r="I1869" s="191"/>
      <c r="J1869" s="87" t="s">
        <v>7445</v>
      </c>
      <c r="K1869" s="71"/>
      <c r="L1869" s="71"/>
      <c r="M1869" s="68" t="s">
        <v>282</v>
      </c>
      <c r="N1869" s="77"/>
      <c r="O1869" s="51"/>
    </row>
    <row r="1870">
      <c r="A1870" s="56">
        <v>1867.0</v>
      </c>
      <c r="B1870" s="71"/>
      <c r="C1870" s="69" t="s">
        <v>7452</v>
      </c>
      <c r="D1870" s="68" t="s">
        <v>7453</v>
      </c>
      <c r="E1870" s="68" t="s">
        <v>7454</v>
      </c>
      <c r="F1870" s="83">
        <v>41271.0</v>
      </c>
      <c r="G1870" s="68" t="s">
        <v>7455</v>
      </c>
      <c r="H1870" s="71"/>
      <c r="I1870" s="99" t="s">
        <v>7456</v>
      </c>
      <c r="J1870" s="68" t="s">
        <v>7457</v>
      </c>
      <c r="K1870" s="71"/>
      <c r="L1870" s="71"/>
      <c r="M1870" s="66"/>
      <c r="N1870" s="61"/>
      <c r="O1870" s="51"/>
    </row>
    <row r="1871">
      <c r="A1871" s="56">
        <v>1868.0</v>
      </c>
      <c r="B1871" s="71"/>
      <c r="C1871" s="69" t="s">
        <v>7458</v>
      </c>
      <c r="D1871" s="68" t="s">
        <v>7459</v>
      </c>
      <c r="E1871" s="68" t="s">
        <v>7460</v>
      </c>
      <c r="F1871" s="83">
        <v>41530.0</v>
      </c>
      <c r="G1871" s="68" t="s">
        <v>7461</v>
      </c>
      <c r="H1871" s="71"/>
      <c r="I1871" s="114" t="s">
        <v>7462</v>
      </c>
      <c r="J1871" s="68" t="s">
        <v>7463</v>
      </c>
      <c r="K1871" s="71"/>
      <c r="L1871" s="71"/>
      <c r="M1871" s="68" t="s">
        <v>530</v>
      </c>
      <c r="N1871" s="77"/>
      <c r="O1871" s="51"/>
    </row>
    <row r="1872">
      <c r="A1872" s="56">
        <v>1869.0</v>
      </c>
      <c r="B1872" s="71"/>
      <c r="C1872" s="69" t="s">
        <v>7464</v>
      </c>
      <c r="D1872" s="68" t="s">
        <v>7465</v>
      </c>
      <c r="E1872" s="68" t="s">
        <v>7466</v>
      </c>
      <c r="F1872" s="71"/>
      <c r="G1872" s="68" t="s">
        <v>7467</v>
      </c>
      <c r="H1872" s="71"/>
      <c r="I1872" s="114" t="s">
        <v>7468</v>
      </c>
      <c r="J1872" s="68" t="s">
        <v>7469</v>
      </c>
      <c r="K1872" s="71"/>
      <c r="L1872" s="71"/>
      <c r="M1872" s="71"/>
      <c r="N1872" s="61"/>
      <c r="O1872" s="51"/>
    </row>
    <row r="1873">
      <c r="A1873" s="56">
        <v>1870.0</v>
      </c>
      <c r="B1873" s="71"/>
      <c r="C1873" s="69" t="s">
        <v>7470</v>
      </c>
      <c r="D1873" s="68" t="s">
        <v>7471</v>
      </c>
      <c r="E1873" s="68" t="s">
        <v>7472</v>
      </c>
      <c r="F1873" s="83">
        <v>41193.0</v>
      </c>
      <c r="G1873" s="68" t="s">
        <v>7473</v>
      </c>
      <c r="H1873" s="71"/>
      <c r="I1873" s="99" t="s">
        <v>7474</v>
      </c>
      <c r="J1873" s="68" t="s">
        <v>7475</v>
      </c>
      <c r="K1873" s="71"/>
      <c r="L1873" s="71"/>
      <c r="M1873" s="71"/>
      <c r="N1873" s="61"/>
      <c r="O1873" s="51"/>
    </row>
    <row r="1874">
      <c r="A1874" s="56">
        <v>1871.0</v>
      </c>
      <c r="B1874" s="60"/>
      <c r="C1874" s="58" t="s">
        <v>7476</v>
      </c>
      <c r="D1874" s="57" t="s">
        <v>7477</v>
      </c>
      <c r="E1874" s="57" t="s">
        <v>7478</v>
      </c>
      <c r="F1874" s="59">
        <v>41640.0</v>
      </c>
      <c r="G1874" s="57" t="s">
        <v>7479</v>
      </c>
      <c r="H1874" s="60"/>
      <c r="I1874" s="99" t="s">
        <v>5658</v>
      </c>
      <c r="J1874" s="57" t="s">
        <v>7480</v>
      </c>
      <c r="K1874" s="60"/>
      <c r="L1874" s="60"/>
      <c r="M1874" s="104"/>
      <c r="N1874" s="105"/>
      <c r="O1874" s="51"/>
    </row>
    <row r="1875">
      <c r="A1875" s="56">
        <v>1872.0</v>
      </c>
      <c r="B1875" s="71"/>
      <c r="C1875" s="69" t="s">
        <v>7481</v>
      </c>
      <c r="D1875" s="68" t="s">
        <v>7477</v>
      </c>
      <c r="E1875" s="68" t="s">
        <v>7482</v>
      </c>
      <c r="F1875" s="76">
        <v>41640.0</v>
      </c>
      <c r="G1875" s="68" t="s">
        <v>7479</v>
      </c>
      <c r="H1875" s="71"/>
      <c r="I1875" s="99" t="s">
        <v>5658</v>
      </c>
      <c r="J1875" s="68" t="s">
        <v>7483</v>
      </c>
      <c r="K1875" s="71"/>
      <c r="L1875" s="71"/>
      <c r="M1875" s="104"/>
      <c r="N1875" s="105"/>
      <c r="O1875" s="51"/>
    </row>
    <row r="1876">
      <c r="A1876" s="56">
        <v>1873.0</v>
      </c>
      <c r="B1876" s="60"/>
      <c r="C1876" s="58" t="s">
        <v>7484</v>
      </c>
      <c r="D1876" s="57" t="s">
        <v>7477</v>
      </c>
      <c r="E1876" s="57" t="s">
        <v>7485</v>
      </c>
      <c r="F1876" s="59">
        <v>41640.0</v>
      </c>
      <c r="G1876" s="57" t="s">
        <v>7479</v>
      </c>
      <c r="H1876" s="60"/>
      <c r="I1876" s="99" t="s">
        <v>5658</v>
      </c>
      <c r="J1876" s="57" t="s">
        <v>7486</v>
      </c>
      <c r="K1876" s="60"/>
      <c r="L1876" s="60"/>
      <c r="M1876" s="104"/>
      <c r="N1876" s="105"/>
      <c r="O1876" s="51"/>
    </row>
    <row r="1877">
      <c r="A1877" s="56">
        <v>1874.0</v>
      </c>
      <c r="B1877" s="60"/>
      <c r="C1877" s="58" t="s">
        <v>7487</v>
      </c>
      <c r="D1877" s="57" t="s">
        <v>7477</v>
      </c>
      <c r="E1877" s="57" t="s">
        <v>7488</v>
      </c>
      <c r="F1877" s="59">
        <v>41640.0</v>
      </c>
      <c r="G1877" s="57" t="s">
        <v>7479</v>
      </c>
      <c r="H1877" s="60"/>
      <c r="I1877" s="99" t="s">
        <v>5658</v>
      </c>
      <c r="J1877" s="57" t="s">
        <v>7489</v>
      </c>
      <c r="K1877" s="60"/>
      <c r="L1877" s="60"/>
      <c r="M1877" s="104"/>
      <c r="N1877" s="105"/>
      <c r="O1877" s="51"/>
    </row>
    <row r="1878">
      <c r="A1878" s="56">
        <v>1875.0</v>
      </c>
      <c r="B1878" s="71"/>
      <c r="C1878" s="69" t="s">
        <v>7490</v>
      </c>
      <c r="D1878" s="68" t="s">
        <v>7491</v>
      </c>
      <c r="E1878" s="68" t="s">
        <v>7492</v>
      </c>
      <c r="F1878" s="83">
        <v>41057.0</v>
      </c>
      <c r="G1878" s="68" t="s">
        <v>7493</v>
      </c>
      <c r="H1878" s="71"/>
      <c r="I1878" s="114" t="s">
        <v>7494</v>
      </c>
      <c r="J1878" s="68" t="s">
        <v>7495</v>
      </c>
      <c r="K1878" s="71"/>
      <c r="L1878" s="71"/>
      <c r="M1878" s="111"/>
      <c r="N1878" s="61"/>
      <c r="O1878" s="51"/>
    </row>
    <row r="1879">
      <c r="A1879" s="56">
        <v>1876.0</v>
      </c>
      <c r="B1879" s="71"/>
      <c r="C1879" s="69" t="s">
        <v>7496</v>
      </c>
      <c r="D1879" s="68" t="s">
        <v>7497</v>
      </c>
      <c r="E1879" s="68" t="s">
        <v>7498</v>
      </c>
      <c r="F1879" s="76">
        <v>40455.0</v>
      </c>
      <c r="G1879" s="68" t="s">
        <v>7499</v>
      </c>
      <c r="H1879" s="71"/>
      <c r="I1879" s="99" t="s">
        <v>7500</v>
      </c>
      <c r="J1879" s="68" t="s">
        <v>7501</v>
      </c>
      <c r="K1879" s="71"/>
      <c r="L1879" s="71"/>
      <c r="M1879" s="68" t="s">
        <v>137</v>
      </c>
      <c r="N1879" s="61"/>
      <c r="O1879" s="51"/>
    </row>
    <row r="1880">
      <c r="A1880" s="56">
        <v>1877.0</v>
      </c>
      <c r="B1880" s="60"/>
      <c r="C1880" s="58" t="s">
        <v>7502</v>
      </c>
      <c r="D1880" s="57" t="s">
        <v>7503</v>
      </c>
      <c r="E1880" s="57" t="s">
        <v>7504</v>
      </c>
      <c r="F1880" s="78">
        <v>41637.0</v>
      </c>
      <c r="G1880" s="57" t="s">
        <v>7505</v>
      </c>
      <c r="H1880" s="60"/>
      <c r="I1880" s="99" t="s">
        <v>5658</v>
      </c>
      <c r="J1880" s="57" t="s">
        <v>7506</v>
      </c>
      <c r="K1880" s="60"/>
      <c r="L1880" s="60"/>
      <c r="M1880" s="104"/>
      <c r="N1880" s="105"/>
      <c r="O1880" s="51"/>
    </row>
    <row r="1881">
      <c r="A1881" s="56">
        <v>1878.0</v>
      </c>
      <c r="B1881" s="60"/>
      <c r="C1881" s="58" t="s">
        <v>7507</v>
      </c>
      <c r="D1881" s="57" t="s">
        <v>7508</v>
      </c>
      <c r="E1881" s="57" t="s">
        <v>7509</v>
      </c>
      <c r="F1881" s="78">
        <v>41512.0</v>
      </c>
      <c r="G1881" s="57" t="s">
        <v>7510</v>
      </c>
      <c r="H1881" s="60"/>
      <c r="I1881" s="99" t="s">
        <v>5658</v>
      </c>
      <c r="J1881" s="57" t="s">
        <v>6558</v>
      </c>
      <c r="K1881" s="60"/>
      <c r="L1881" s="60"/>
      <c r="M1881" s="104"/>
      <c r="N1881" s="105"/>
      <c r="O1881" s="51"/>
    </row>
    <row r="1882">
      <c r="A1882" s="56">
        <v>1879.0</v>
      </c>
      <c r="B1882" s="60"/>
      <c r="C1882" s="58" t="s">
        <v>7511</v>
      </c>
      <c r="D1882" s="57" t="s">
        <v>7512</v>
      </c>
      <c r="E1882" s="57" t="s">
        <v>7513</v>
      </c>
      <c r="F1882" s="78">
        <v>41657.0</v>
      </c>
      <c r="G1882" s="57" t="s">
        <v>7514</v>
      </c>
      <c r="H1882" s="60"/>
      <c r="I1882" s="99" t="s">
        <v>6798</v>
      </c>
      <c r="J1882" s="57" t="s">
        <v>7515</v>
      </c>
      <c r="K1882" s="60"/>
      <c r="L1882" s="60"/>
      <c r="M1882" s="104"/>
      <c r="N1882" s="105"/>
      <c r="O1882" s="51"/>
    </row>
    <row r="1883">
      <c r="A1883" s="56">
        <v>1880.0</v>
      </c>
      <c r="B1883" s="60"/>
      <c r="C1883" s="58" t="s">
        <v>7516</v>
      </c>
      <c r="D1883" s="57" t="s">
        <v>7512</v>
      </c>
      <c r="E1883" s="57" t="s">
        <v>7517</v>
      </c>
      <c r="F1883" s="78">
        <v>41657.0</v>
      </c>
      <c r="G1883" s="57" t="s">
        <v>7514</v>
      </c>
      <c r="H1883" s="60"/>
      <c r="I1883" s="99" t="s">
        <v>635</v>
      </c>
      <c r="J1883" s="57" t="s">
        <v>7518</v>
      </c>
      <c r="K1883" s="60"/>
      <c r="L1883" s="60"/>
      <c r="M1883" s="106"/>
      <c r="N1883" s="61"/>
      <c r="O1883" s="51"/>
    </row>
    <row r="1884">
      <c r="A1884" s="56">
        <v>1881.0</v>
      </c>
      <c r="B1884" s="66"/>
      <c r="C1884" s="64" t="s">
        <v>7519</v>
      </c>
      <c r="D1884" s="63" t="s">
        <v>7520</v>
      </c>
      <c r="E1884" s="63" t="s">
        <v>7521</v>
      </c>
      <c r="F1884" s="70">
        <v>41529.0</v>
      </c>
      <c r="G1884" s="63" t="s">
        <v>7522</v>
      </c>
      <c r="H1884" s="66"/>
      <c r="I1884" s="99" t="s">
        <v>635</v>
      </c>
      <c r="J1884" s="63" t="s">
        <v>7523</v>
      </c>
      <c r="K1884" s="66"/>
      <c r="L1884" s="66"/>
      <c r="M1884" s="66"/>
      <c r="N1884" s="61"/>
      <c r="O1884" s="51"/>
    </row>
    <row r="1885">
      <c r="A1885" s="56">
        <v>1882.0</v>
      </c>
      <c r="B1885" s="66"/>
      <c r="C1885" s="64" t="s">
        <v>7524</v>
      </c>
      <c r="D1885" s="63" t="s">
        <v>7525</v>
      </c>
      <c r="E1885" s="63" t="s">
        <v>7526</v>
      </c>
      <c r="F1885" s="70">
        <v>41401.0</v>
      </c>
      <c r="G1885" s="63" t="s">
        <v>7527</v>
      </c>
      <c r="H1885" s="66"/>
      <c r="I1885" s="99" t="s">
        <v>7528</v>
      </c>
      <c r="J1885" s="63" t="s">
        <v>7529</v>
      </c>
      <c r="K1885" s="66"/>
      <c r="L1885" s="66"/>
      <c r="M1885" s="63" t="s">
        <v>7530</v>
      </c>
      <c r="N1885" s="61"/>
      <c r="O1885" s="51"/>
    </row>
    <row r="1886">
      <c r="A1886" s="56">
        <v>1883.0</v>
      </c>
      <c r="B1886" s="60"/>
      <c r="C1886" s="58" t="s">
        <v>7531</v>
      </c>
      <c r="D1886" s="57" t="s">
        <v>7532</v>
      </c>
      <c r="E1886" s="57" t="s">
        <v>7533</v>
      </c>
      <c r="F1886" s="78">
        <v>41533.0</v>
      </c>
      <c r="G1886" s="57" t="s">
        <v>7534</v>
      </c>
      <c r="H1886" s="60"/>
      <c r="I1886" s="99" t="s">
        <v>635</v>
      </c>
      <c r="J1886" s="57" t="s">
        <v>7535</v>
      </c>
      <c r="K1886" s="60"/>
      <c r="L1886" s="60"/>
      <c r="M1886" s="104"/>
      <c r="N1886" s="105"/>
      <c r="O1886" s="51"/>
    </row>
    <row r="1887">
      <c r="A1887" s="56">
        <v>1884.0</v>
      </c>
      <c r="B1887" s="71"/>
      <c r="C1887" s="69" t="s">
        <v>7536</v>
      </c>
      <c r="D1887" s="68" t="s">
        <v>7537</v>
      </c>
      <c r="E1887" s="68" t="s">
        <v>7538</v>
      </c>
      <c r="F1887" s="83">
        <v>41355.0</v>
      </c>
      <c r="G1887" s="68" t="s">
        <v>7539</v>
      </c>
      <c r="H1887" s="71"/>
      <c r="I1887" s="99" t="s">
        <v>635</v>
      </c>
      <c r="J1887" s="68" t="s">
        <v>7540</v>
      </c>
      <c r="K1887" s="71"/>
      <c r="L1887" s="71"/>
      <c r="M1887" s="111"/>
      <c r="N1887" s="61"/>
      <c r="O1887" s="51"/>
    </row>
    <row r="1888">
      <c r="A1888" s="56">
        <v>1885.0</v>
      </c>
      <c r="B1888" s="66"/>
      <c r="C1888" s="64" t="s">
        <v>7541</v>
      </c>
      <c r="D1888" s="63" t="s">
        <v>7542</v>
      </c>
      <c r="E1888" s="63" t="s">
        <v>7543</v>
      </c>
      <c r="F1888" s="65">
        <v>40386.0</v>
      </c>
      <c r="G1888" s="63" t="s">
        <v>7544</v>
      </c>
      <c r="H1888" s="66"/>
      <c r="I1888" s="99" t="s">
        <v>7545</v>
      </c>
      <c r="J1888" s="63" t="s">
        <v>2747</v>
      </c>
      <c r="K1888" s="66"/>
      <c r="L1888" s="66"/>
      <c r="M1888" s="63" t="s">
        <v>2748</v>
      </c>
      <c r="N1888" s="61"/>
      <c r="O1888" s="51"/>
    </row>
    <row r="1889">
      <c r="A1889" s="56">
        <v>1886.0</v>
      </c>
      <c r="B1889" s="71"/>
      <c r="C1889" s="69" t="s">
        <v>7546</v>
      </c>
      <c r="D1889" s="68" t="s">
        <v>7547</v>
      </c>
      <c r="E1889" s="68" t="s">
        <v>7548</v>
      </c>
      <c r="F1889" s="83">
        <v>40435.0</v>
      </c>
      <c r="G1889" s="68" t="s">
        <v>7549</v>
      </c>
      <c r="H1889" s="71"/>
      <c r="I1889" s="114" t="s">
        <v>7550</v>
      </c>
      <c r="J1889" s="68" t="s">
        <v>7551</v>
      </c>
      <c r="K1889" s="71"/>
      <c r="L1889" s="71"/>
      <c r="M1889" s="71"/>
      <c r="N1889" s="61"/>
      <c r="O1889" s="51"/>
    </row>
    <row r="1890">
      <c r="A1890" s="56">
        <v>1887.0</v>
      </c>
      <c r="B1890" s="71"/>
      <c r="C1890" s="68" t="s">
        <v>7552</v>
      </c>
      <c r="D1890" s="68" t="s">
        <v>7553</v>
      </c>
      <c r="E1890" s="68" t="s">
        <v>7554</v>
      </c>
      <c r="F1890" s="83">
        <v>39499.0</v>
      </c>
      <c r="G1890" s="68" t="s">
        <v>7555</v>
      </c>
      <c r="H1890" s="71"/>
      <c r="I1890" s="99" t="s">
        <v>7556</v>
      </c>
      <c r="J1890" s="68" t="s">
        <v>7557</v>
      </c>
      <c r="K1890" s="71"/>
      <c r="L1890" s="71"/>
      <c r="M1890" s="71"/>
      <c r="N1890" s="61"/>
      <c r="O1890" s="51"/>
    </row>
    <row r="1891">
      <c r="A1891" s="56">
        <v>1888.0</v>
      </c>
      <c r="B1891" s="71"/>
      <c r="C1891" s="69" t="s">
        <v>7558</v>
      </c>
      <c r="D1891" s="68" t="s">
        <v>7559</v>
      </c>
      <c r="E1891" s="68" t="s">
        <v>7560</v>
      </c>
      <c r="F1891" s="83">
        <v>34563.0</v>
      </c>
      <c r="G1891" s="68" t="s">
        <v>7561</v>
      </c>
      <c r="H1891" s="71"/>
      <c r="I1891" s="114" t="s">
        <v>7562</v>
      </c>
      <c r="J1891" s="68" t="s">
        <v>7563</v>
      </c>
      <c r="K1891" s="71"/>
      <c r="L1891" s="71"/>
      <c r="M1891" s="71"/>
      <c r="N1891" s="61"/>
      <c r="O1891" s="51"/>
    </row>
    <row r="1892">
      <c r="A1892" s="56">
        <v>1889.0</v>
      </c>
      <c r="B1892" s="60"/>
      <c r="C1892" s="58" t="s">
        <v>7564</v>
      </c>
      <c r="D1892" s="57" t="s">
        <v>7565</v>
      </c>
      <c r="E1892" s="57" t="s">
        <v>7566</v>
      </c>
      <c r="F1892" s="59">
        <v>41671.0</v>
      </c>
      <c r="G1892" s="57" t="s">
        <v>7567</v>
      </c>
      <c r="H1892" s="60"/>
      <c r="I1892" s="99" t="s">
        <v>635</v>
      </c>
      <c r="J1892" s="57" t="s">
        <v>7568</v>
      </c>
      <c r="K1892" s="60"/>
      <c r="L1892" s="60"/>
      <c r="M1892" s="104"/>
      <c r="N1892" s="105"/>
      <c r="O1892" s="51"/>
    </row>
    <row r="1893">
      <c r="A1893" s="56">
        <v>1890.0</v>
      </c>
      <c r="B1893" s="60"/>
      <c r="C1893" s="58" t="s">
        <v>7569</v>
      </c>
      <c r="D1893" s="57" t="s">
        <v>7570</v>
      </c>
      <c r="E1893" s="57" t="s">
        <v>7571</v>
      </c>
      <c r="F1893" s="59">
        <v>41344.0</v>
      </c>
      <c r="G1893" s="57" t="s">
        <v>7572</v>
      </c>
      <c r="H1893" s="60"/>
      <c r="I1893" s="99" t="s">
        <v>635</v>
      </c>
      <c r="J1893" s="57" t="s">
        <v>7573</v>
      </c>
      <c r="K1893" s="60"/>
      <c r="L1893" s="60"/>
      <c r="M1893" s="104"/>
      <c r="N1893" s="105"/>
      <c r="O1893" s="51"/>
    </row>
    <row r="1894">
      <c r="A1894" s="56">
        <v>1891.0</v>
      </c>
      <c r="B1894" s="60"/>
      <c r="C1894" s="58" t="s">
        <v>7574</v>
      </c>
      <c r="D1894" s="57" t="s">
        <v>7570</v>
      </c>
      <c r="E1894" s="57" t="s">
        <v>7575</v>
      </c>
      <c r="F1894" s="59">
        <v>41344.0</v>
      </c>
      <c r="G1894" s="57" t="s">
        <v>7572</v>
      </c>
      <c r="H1894" s="60"/>
      <c r="I1894" s="99" t="s">
        <v>635</v>
      </c>
      <c r="J1894" s="57" t="s">
        <v>7573</v>
      </c>
      <c r="K1894" s="60"/>
      <c r="L1894" s="60"/>
      <c r="M1894" s="104"/>
      <c r="N1894" s="105"/>
      <c r="O1894" s="51"/>
    </row>
    <row r="1895">
      <c r="A1895" s="56">
        <v>1892.0</v>
      </c>
      <c r="B1895" s="60"/>
      <c r="C1895" s="58" t="s">
        <v>7576</v>
      </c>
      <c r="D1895" s="57" t="s">
        <v>7577</v>
      </c>
      <c r="E1895" s="57" t="s">
        <v>7578</v>
      </c>
      <c r="F1895" s="78">
        <v>41624.0</v>
      </c>
      <c r="G1895" s="57" t="s">
        <v>7579</v>
      </c>
      <c r="H1895" s="60"/>
      <c r="I1895" s="99" t="s">
        <v>635</v>
      </c>
      <c r="J1895" s="57" t="s">
        <v>7580</v>
      </c>
      <c r="K1895" s="60"/>
      <c r="L1895" s="60"/>
      <c r="M1895" s="104"/>
      <c r="N1895" s="105"/>
      <c r="O1895" s="51"/>
    </row>
    <row r="1896">
      <c r="A1896" s="56">
        <v>1893.0</v>
      </c>
      <c r="B1896" s="71"/>
      <c r="C1896" s="69" t="s">
        <v>7581</v>
      </c>
      <c r="D1896" s="68" t="s">
        <v>7582</v>
      </c>
      <c r="E1896" s="68" t="s">
        <v>7583</v>
      </c>
      <c r="F1896" s="83">
        <v>41453.0</v>
      </c>
      <c r="G1896" s="68" t="s">
        <v>7584</v>
      </c>
      <c r="H1896" s="71"/>
      <c r="I1896" s="99" t="s">
        <v>7585</v>
      </c>
      <c r="J1896" s="68" t="s">
        <v>7586</v>
      </c>
      <c r="K1896" s="71"/>
      <c r="L1896" s="71"/>
      <c r="M1896" s="111"/>
      <c r="N1896" s="61"/>
      <c r="O1896" s="51"/>
    </row>
    <row r="1897">
      <c r="A1897" s="56">
        <v>1894.0</v>
      </c>
      <c r="B1897" s="71"/>
      <c r="C1897" s="69" t="s">
        <v>7587</v>
      </c>
      <c r="D1897" s="68" t="s">
        <v>7588</v>
      </c>
      <c r="E1897" s="68" t="s">
        <v>7589</v>
      </c>
      <c r="F1897" s="83">
        <v>41652.0</v>
      </c>
      <c r="G1897" s="68" t="s">
        <v>7590</v>
      </c>
      <c r="H1897" s="71"/>
      <c r="I1897" s="99" t="s">
        <v>635</v>
      </c>
      <c r="J1897" s="68" t="s">
        <v>7591</v>
      </c>
      <c r="K1897" s="71"/>
      <c r="L1897" s="71"/>
      <c r="M1897" s="71"/>
      <c r="N1897" s="61"/>
      <c r="O1897" s="51"/>
    </row>
    <row r="1898">
      <c r="A1898" s="56">
        <v>1895.0</v>
      </c>
      <c r="B1898" s="71"/>
      <c r="C1898" s="69" t="s">
        <v>7592</v>
      </c>
      <c r="D1898" s="68" t="s">
        <v>7593</v>
      </c>
      <c r="E1898" s="68" t="s">
        <v>7594</v>
      </c>
      <c r="F1898" s="184">
        <v>41579.0</v>
      </c>
      <c r="G1898" s="68" t="s">
        <v>7595</v>
      </c>
      <c r="H1898" s="71"/>
      <c r="I1898" s="114" t="s">
        <v>635</v>
      </c>
      <c r="J1898" s="68" t="s">
        <v>7596</v>
      </c>
      <c r="K1898" s="71"/>
      <c r="L1898" s="71"/>
      <c r="M1898" s="71"/>
      <c r="N1898" s="61"/>
      <c r="O1898" s="51"/>
    </row>
    <row r="1899">
      <c r="A1899" s="56">
        <v>1896.0</v>
      </c>
      <c r="B1899" s="71"/>
      <c r="C1899" s="69" t="s">
        <v>7597</v>
      </c>
      <c r="D1899" s="68" t="s">
        <v>7598</v>
      </c>
      <c r="E1899" s="68" t="s">
        <v>7599</v>
      </c>
      <c r="F1899" s="76">
        <v>39516.0</v>
      </c>
      <c r="G1899" s="68" t="s">
        <v>7600</v>
      </c>
      <c r="H1899" s="71"/>
      <c r="I1899" s="99" t="s">
        <v>7601</v>
      </c>
      <c r="J1899" s="68" t="s">
        <v>2774</v>
      </c>
      <c r="K1899" s="71"/>
      <c r="L1899" s="71"/>
      <c r="M1899" s="104"/>
      <c r="N1899" s="105"/>
      <c r="O1899" s="51"/>
    </row>
    <row r="1900">
      <c r="A1900" s="56">
        <v>1897.0</v>
      </c>
      <c r="B1900" s="60"/>
      <c r="C1900" s="58" t="s">
        <v>7602</v>
      </c>
      <c r="D1900" s="57" t="s">
        <v>7603</v>
      </c>
      <c r="E1900" s="57" t="s">
        <v>7604</v>
      </c>
      <c r="F1900" s="59">
        <v>41529.0</v>
      </c>
      <c r="G1900" s="57" t="s">
        <v>7605</v>
      </c>
      <c r="H1900" s="60"/>
      <c r="I1900" s="99" t="s">
        <v>635</v>
      </c>
      <c r="J1900" s="57" t="s">
        <v>7606</v>
      </c>
      <c r="K1900" s="60"/>
      <c r="L1900" s="60"/>
      <c r="M1900" s="104"/>
      <c r="N1900" s="105"/>
      <c r="O1900" s="51"/>
    </row>
    <row r="1901">
      <c r="A1901" s="56">
        <v>1898.0</v>
      </c>
      <c r="B1901" s="71"/>
      <c r="C1901" s="69" t="s">
        <v>7607</v>
      </c>
      <c r="D1901" s="68" t="s">
        <v>7608</v>
      </c>
      <c r="E1901" s="68" t="s">
        <v>7609</v>
      </c>
      <c r="F1901" s="83">
        <v>40715.0</v>
      </c>
      <c r="G1901" s="68" t="s">
        <v>7610</v>
      </c>
      <c r="H1901" s="71"/>
      <c r="I1901" s="99" t="s">
        <v>7611</v>
      </c>
      <c r="J1901" s="68" t="s">
        <v>7612</v>
      </c>
      <c r="K1901" s="71"/>
      <c r="L1901" s="71"/>
      <c r="M1901" s="111"/>
      <c r="N1901" s="61"/>
      <c r="O1901" s="51"/>
    </row>
    <row r="1902">
      <c r="A1902" s="56">
        <v>1899.0</v>
      </c>
      <c r="B1902" s="71"/>
      <c r="C1902" s="69" t="s">
        <v>7613</v>
      </c>
      <c r="D1902" s="68" t="s">
        <v>7614</v>
      </c>
      <c r="E1902" s="68" t="s">
        <v>7615</v>
      </c>
      <c r="F1902" s="76">
        <v>41488.0</v>
      </c>
      <c r="G1902" s="68" t="s">
        <v>7616</v>
      </c>
      <c r="H1902" s="71"/>
      <c r="I1902" s="159"/>
      <c r="J1902" s="68" t="s">
        <v>7617</v>
      </c>
      <c r="K1902" s="71"/>
      <c r="L1902" s="71"/>
      <c r="M1902" s="66"/>
      <c r="N1902" s="61"/>
      <c r="O1902" s="51"/>
    </row>
    <row r="1903">
      <c r="A1903" s="56">
        <v>1900.0</v>
      </c>
      <c r="B1903" s="60"/>
      <c r="C1903" s="58" t="s">
        <v>7618</v>
      </c>
      <c r="D1903" s="57" t="s">
        <v>7619</v>
      </c>
      <c r="E1903" s="57" t="s">
        <v>7620</v>
      </c>
      <c r="F1903" s="78">
        <v>41627.0</v>
      </c>
      <c r="G1903" s="57" t="s">
        <v>7621</v>
      </c>
      <c r="H1903" s="60"/>
      <c r="I1903" s="99" t="s">
        <v>7622</v>
      </c>
      <c r="J1903" s="57" t="s">
        <v>7623</v>
      </c>
      <c r="K1903" s="60"/>
      <c r="L1903" s="60"/>
      <c r="M1903" s="104"/>
      <c r="N1903" s="105"/>
      <c r="O1903" s="51"/>
    </row>
    <row r="1904">
      <c r="A1904" s="56">
        <v>1901.0</v>
      </c>
      <c r="B1904" s="71"/>
      <c r="C1904" s="69" t="s">
        <v>7624</v>
      </c>
      <c r="D1904" s="68" t="s">
        <v>7625</v>
      </c>
      <c r="E1904" s="68" t="s">
        <v>7626</v>
      </c>
      <c r="F1904" s="83">
        <v>41547.0</v>
      </c>
      <c r="G1904" s="68" t="s">
        <v>7627</v>
      </c>
      <c r="H1904" s="71"/>
      <c r="I1904" s="99" t="s">
        <v>635</v>
      </c>
      <c r="J1904" s="68" t="s">
        <v>148</v>
      </c>
      <c r="K1904" s="71"/>
      <c r="L1904" s="71"/>
      <c r="M1904" s="175"/>
      <c r="N1904" s="61"/>
      <c r="O1904" s="51"/>
    </row>
    <row r="1905">
      <c r="A1905" s="56">
        <v>1902.0</v>
      </c>
      <c r="B1905" s="71"/>
      <c r="C1905" s="69" t="s">
        <v>7628</v>
      </c>
      <c r="D1905" s="68" t="s">
        <v>7629</v>
      </c>
      <c r="E1905" s="68" t="s">
        <v>7630</v>
      </c>
      <c r="F1905" s="76">
        <v>40488.0</v>
      </c>
      <c r="G1905" s="68" t="s">
        <v>7631</v>
      </c>
      <c r="H1905" s="71"/>
      <c r="I1905" s="99" t="s">
        <v>7632</v>
      </c>
      <c r="J1905" s="68" t="s">
        <v>2675</v>
      </c>
      <c r="K1905" s="71"/>
      <c r="L1905" s="71"/>
      <c r="M1905" s="71"/>
      <c r="N1905" s="61"/>
      <c r="O1905" s="51"/>
    </row>
    <row r="1906">
      <c r="A1906" s="56">
        <v>1903.0</v>
      </c>
      <c r="B1906" s="71"/>
      <c r="C1906" s="69" t="s">
        <v>7633</v>
      </c>
      <c r="D1906" s="68" t="s">
        <v>7634</v>
      </c>
      <c r="E1906" s="68" t="s">
        <v>7635</v>
      </c>
      <c r="F1906" s="83">
        <v>41045.0</v>
      </c>
      <c r="G1906" s="68" t="s">
        <v>7636</v>
      </c>
      <c r="H1906" s="71"/>
      <c r="I1906" s="99" t="s">
        <v>7637</v>
      </c>
      <c r="J1906" s="68" t="s">
        <v>7638</v>
      </c>
      <c r="K1906" s="71"/>
      <c r="L1906" s="71"/>
      <c r="M1906" s="71"/>
      <c r="N1906" s="61"/>
      <c r="O1906" s="51"/>
    </row>
    <row r="1907">
      <c r="A1907" s="56">
        <v>1904.0</v>
      </c>
      <c r="B1907" s="71"/>
      <c r="C1907" s="69" t="s">
        <v>7639</v>
      </c>
      <c r="D1907" s="68" t="s">
        <v>7640</v>
      </c>
      <c r="E1907" s="68" t="s">
        <v>7641</v>
      </c>
      <c r="F1907" s="83">
        <v>41292.0</v>
      </c>
      <c r="G1907" s="68" t="s">
        <v>7642</v>
      </c>
      <c r="H1907" s="71"/>
      <c r="I1907" s="99" t="s">
        <v>7643</v>
      </c>
      <c r="J1907" s="68" t="s">
        <v>7644</v>
      </c>
      <c r="K1907" s="71"/>
      <c r="L1907" s="71"/>
      <c r="M1907" s="71"/>
      <c r="N1907" s="61"/>
      <c r="O1907" s="51"/>
    </row>
    <row r="1908">
      <c r="A1908" s="56">
        <v>1905.0</v>
      </c>
      <c r="B1908" s="71"/>
      <c r="C1908" s="69" t="s">
        <v>7645</v>
      </c>
      <c r="D1908" s="68" t="s">
        <v>7646</v>
      </c>
      <c r="E1908" s="68" t="s">
        <v>7647</v>
      </c>
      <c r="F1908" s="83">
        <v>40860.0</v>
      </c>
      <c r="G1908" s="68" t="s">
        <v>7648</v>
      </c>
      <c r="H1908" s="71"/>
      <c r="I1908" s="99" t="s">
        <v>7649</v>
      </c>
      <c r="J1908" s="68" t="s">
        <v>7650</v>
      </c>
      <c r="K1908" s="71"/>
      <c r="L1908" s="71"/>
      <c r="M1908" s="68" t="s">
        <v>143</v>
      </c>
      <c r="N1908" s="61"/>
      <c r="O1908" s="51"/>
    </row>
    <row r="1909">
      <c r="A1909" s="56">
        <v>1906.0</v>
      </c>
      <c r="B1909" s="71"/>
      <c r="C1909" s="69" t="s">
        <v>7651</v>
      </c>
      <c r="D1909" s="68" t="s">
        <v>7652</v>
      </c>
      <c r="E1909" s="68" t="s">
        <v>7653</v>
      </c>
      <c r="F1909" s="76">
        <v>41732.0</v>
      </c>
      <c r="G1909" s="68" t="s">
        <v>7654</v>
      </c>
      <c r="H1909" s="71"/>
      <c r="I1909" s="99" t="s">
        <v>7655</v>
      </c>
      <c r="J1909" s="68" t="s">
        <v>7656</v>
      </c>
      <c r="K1909" s="71"/>
      <c r="L1909" s="71"/>
      <c r="M1909" s="66"/>
      <c r="N1909" s="61"/>
      <c r="O1909" s="51"/>
    </row>
    <row r="1910">
      <c r="A1910" s="56">
        <v>1907.0</v>
      </c>
      <c r="B1910" s="60"/>
      <c r="C1910" s="58" t="s">
        <v>7657</v>
      </c>
      <c r="D1910" s="57" t="s">
        <v>7658</v>
      </c>
      <c r="E1910" s="57" t="s">
        <v>7659</v>
      </c>
      <c r="F1910" s="59">
        <v>41436.0</v>
      </c>
      <c r="G1910" s="57" t="s">
        <v>7660</v>
      </c>
      <c r="H1910" s="60"/>
      <c r="I1910" s="99" t="s">
        <v>635</v>
      </c>
      <c r="J1910" s="57" t="s">
        <v>7661</v>
      </c>
      <c r="K1910" s="60"/>
      <c r="L1910" s="60"/>
      <c r="M1910" s="104"/>
      <c r="N1910" s="105"/>
      <c r="O1910" s="51"/>
    </row>
    <row r="1911">
      <c r="A1911" s="56">
        <v>1908.0</v>
      </c>
      <c r="B1911" s="71"/>
      <c r="C1911" s="69" t="s">
        <v>7662</v>
      </c>
      <c r="D1911" s="68" t="s">
        <v>7663</v>
      </c>
      <c r="E1911" s="68" t="s">
        <v>7664</v>
      </c>
      <c r="F1911" s="76">
        <v>41034.0</v>
      </c>
      <c r="G1911" s="68" t="s">
        <v>7665</v>
      </c>
      <c r="H1911" s="71"/>
      <c r="I1911" s="159"/>
      <c r="J1911" s="68" t="s">
        <v>7666</v>
      </c>
      <c r="K1911" s="71"/>
      <c r="L1911" s="71"/>
      <c r="M1911" s="111"/>
      <c r="N1911" s="61"/>
      <c r="O1911" s="51"/>
    </row>
    <row r="1912">
      <c r="A1912" s="56">
        <v>1909.0</v>
      </c>
      <c r="B1912" s="71"/>
      <c r="C1912" s="69" t="s">
        <v>7667</v>
      </c>
      <c r="D1912" s="68" t="s">
        <v>7663</v>
      </c>
      <c r="E1912" s="68" t="s">
        <v>7668</v>
      </c>
      <c r="F1912" s="76">
        <v>41034.0</v>
      </c>
      <c r="G1912" s="68" t="s">
        <v>7665</v>
      </c>
      <c r="H1912" s="71"/>
      <c r="I1912" s="99" t="s">
        <v>635</v>
      </c>
      <c r="J1912" s="68" t="s">
        <v>7666</v>
      </c>
      <c r="K1912" s="71"/>
      <c r="L1912" s="71"/>
      <c r="M1912" s="71"/>
      <c r="N1912" s="61"/>
      <c r="O1912" s="51"/>
    </row>
    <row r="1913">
      <c r="A1913" s="56">
        <v>1910.0</v>
      </c>
      <c r="B1913" s="60"/>
      <c r="C1913" s="58" t="s">
        <v>7669</v>
      </c>
      <c r="D1913" s="57" t="s">
        <v>7670</v>
      </c>
      <c r="E1913" s="57" t="s">
        <v>7671</v>
      </c>
      <c r="F1913" s="78">
        <v>41635.0</v>
      </c>
      <c r="G1913" s="57" t="s">
        <v>7672</v>
      </c>
      <c r="H1913" s="60"/>
      <c r="I1913" s="99" t="s">
        <v>635</v>
      </c>
      <c r="J1913" s="57" t="s">
        <v>7673</v>
      </c>
      <c r="K1913" s="60"/>
      <c r="L1913" s="60"/>
      <c r="M1913" s="104"/>
      <c r="N1913" s="105"/>
      <c r="O1913" s="51"/>
    </row>
    <row r="1914">
      <c r="A1914" s="56">
        <v>1911.0</v>
      </c>
      <c r="B1914" s="71"/>
      <c r="C1914" s="69" t="s">
        <v>7674</v>
      </c>
      <c r="D1914" s="68" t="s">
        <v>7675</v>
      </c>
      <c r="E1914" s="68" t="s">
        <v>7676</v>
      </c>
      <c r="F1914" s="76">
        <v>41367.0</v>
      </c>
      <c r="G1914" s="68" t="s">
        <v>7677</v>
      </c>
      <c r="H1914" s="71"/>
      <c r="I1914" s="99" t="s">
        <v>7678</v>
      </c>
      <c r="J1914" s="68" t="s">
        <v>7679</v>
      </c>
      <c r="K1914" s="71"/>
      <c r="L1914" s="71"/>
      <c r="M1914" s="175"/>
      <c r="N1914" s="61"/>
      <c r="O1914" s="51"/>
    </row>
    <row r="1915">
      <c r="A1915" s="56">
        <v>1912.0</v>
      </c>
      <c r="B1915" s="66"/>
      <c r="C1915" s="64" t="s">
        <v>7680</v>
      </c>
      <c r="D1915" s="63" t="s">
        <v>7681</v>
      </c>
      <c r="E1915" s="63" t="s">
        <v>7682</v>
      </c>
      <c r="F1915" s="63">
        <v>2009.0</v>
      </c>
      <c r="G1915" s="63" t="s">
        <v>7683</v>
      </c>
      <c r="H1915" s="66"/>
      <c r="I1915" s="99" t="s">
        <v>7684</v>
      </c>
      <c r="J1915" s="63" t="s">
        <v>7071</v>
      </c>
      <c r="K1915" s="66"/>
      <c r="L1915" s="66"/>
      <c r="M1915" s="63" t="s">
        <v>2152</v>
      </c>
      <c r="N1915" s="61"/>
      <c r="O1915" s="51"/>
    </row>
    <row r="1916">
      <c r="A1916" s="56">
        <v>1913.0</v>
      </c>
      <c r="B1916" s="60"/>
      <c r="C1916" s="58" t="s">
        <v>7685</v>
      </c>
      <c r="D1916" s="57" t="s">
        <v>7686</v>
      </c>
      <c r="E1916" s="57" t="s">
        <v>7687</v>
      </c>
      <c r="F1916" s="59">
        <v>41467.0</v>
      </c>
      <c r="G1916" s="57" t="s">
        <v>7688</v>
      </c>
      <c r="H1916" s="60"/>
      <c r="I1916" s="99" t="s">
        <v>7689</v>
      </c>
      <c r="J1916" s="57" t="s">
        <v>7690</v>
      </c>
      <c r="K1916" s="60"/>
      <c r="L1916" s="60"/>
      <c r="M1916" s="104"/>
      <c r="N1916" s="105"/>
      <c r="O1916" s="51"/>
    </row>
    <row r="1917">
      <c r="A1917" s="56">
        <v>1914.0</v>
      </c>
      <c r="B1917" s="66"/>
      <c r="C1917" s="64" t="s">
        <v>7691</v>
      </c>
      <c r="D1917" s="63" t="s">
        <v>7692</v>
      </c>
      <c r="E1917" s="63" t="s">
        <v>7693</v>
      </c>
      <c r="F1917" s="65">
        <v>40803.0</v>
      </c>
      <c r="G1917" s="63" t="s">
        <v>7694</v>
      </c>
      <c r="H1917" s="66"/>
      <c r="I1917" s="99" t="s">
        <v>7695</v>
      </c>
      <c r="J1917" s="63" t="s">
        <v>1872</v>
      </c>
      <c r="K1917" s="66"/>
      <c r="L1917" s="66"/>
      <c r="M1917" s="175"/>
      <c r="N1917" s="61"/>
      <c r="O1917" s="51"/>
    </row>
    <row r="1918">
      <c r="A1918" s="56">
        <v>1915.0</v>
      </c>
      <c r="B1918" s="71"/>
      <c r="C1918" s="69" t="s">
        <v>7696</v>
      </c>
      <c r="D1918" s="68" t="s">
        <v>7697</v>
      </c>
      <c r="E1918" s="68" t="s">
        <v>7698</v>
      </c>
      <c r="F1918" s="83">
        <v>41622.0</v>
      </c>
      <c r="G1918" s="68" t="s">
        <v>7699</v>
      </c>
      <c r="H1918" s="71"/>
      <c r="I1918" s="192" t="s">
        <v>7700</v>
      </c>
      <c r="J1918" s="68" t="s">
        <v>7701</v>
      </c>
      <c r="K1918" s="71"/>
      <c r="L1918" s="68" t="s">
        <v>166</v>
      </c>
      <c r="M1918" s="71"/>
      <c r="N1918" s="77"/>
      <c r="O1918" s="51"/>
    </row>
    <row r="1919">
      <c r="A1919" s="56">
        <v>1916.0</v>
      </c>
      <c r="B1919" s="71"/>
      <c r="C1919" s="69" t="s">
        <v>7702</v>
      </c>
      <c r="D1919" s="68" t="s">
        <v>7703</v>
      </c>
      <c r="E1919" s="68" t="s">
        <v>7704</v>
      </c>
      <c r="F1919" s="68">
        <v>2012.0</v>
      </c>
      <c r="G1919" s="68" t="s">
        <v>7705</v>
      </c>
      <c r="H1919" s="71"/>
      <c r="I1919" s="99" t="s">
        <v>635</v>
      </c>
      <c r="J1919" s="68" t="s">
        <v>7706</v>
      </c>
      <c r="K1919" s="71"/>
      <c r="L1919" s="71"/>
      <c r="M1919" s="71"/>
      <c r="N1919" s="61"/>
      <c r="O1919" s="51"/>
    </row>
    <row r="1920">
      <c r="A1920" s="56">
        <v>1917.0</v>
      </c>
      <c r="B1920" s="60"/>
      <c r="C1920" s="58" t="s">
        <v>7707</v>
      </c>
      <c r="D1920" s="57" t="s">
        <v>7708</v>
      </c>
      <c r="E1920" s="57" t="s">
        <v>7709</v>
      </c>
      <c r="F1920" s="59">
        <v>41404.0</v>
      </c>
      <c r="G1920" s="57" t="s">
        <v>7710</v>
      </c>
      <c r="H1920" s="60"/>
      <c r="I1920" s="99" t="s">
        <v>7711</v>
      </c>
      <c r="J1920" s="57" t="s">
        <v>7712</v>
      </c>
      <c r="K1920" s="60"/>
      <c r="L1920" s="60"/>
      <c r="M1920" s="104"/>
      <c r="N1920" s="105"/>
      <c r="O1920" s="51"/>
    </row>
    <row r="1921">
      <c r="A1921" s="56">
        <v>1918.0</v>
      </c>
      <c r="B1921" s="71"/>
      <c r="C1921" s="69" t="s">
        <v>7713</v>
      </c>
      <c r="D1921" s="68" t="s">
        <v>7714</v>
      </c>
      <c r="E1921" s="68" t="s">
        <v>7715</v>
      </c>
      <c r="F1921" s="71"/>
      <c r="G1921" s="68" t="s">
        <v>7716</v>
      </c>
      <c r="H1921" s="71"/>
      <c r="I1921" s="99" t="s">
        <v>7717</v>
      </c>
      <c r="J1921" s="68" t="s">
        <v>7718</v>
      </c>
      <c r="K1921" s="71"/>
      <c r="L1921" s="71"/>
      <c r="M1921" s="175"/>
      <c r="N1921" s="61"/>
      <c r="O1921" s="51"/>
    </row>
    <row r="1922">
      <c r="A1922" s="56">
        <v>1919.0</v>
      </c>
      <c r="B1922" s="71"/>
      <c r="C1922" s="69" t="s">
        <v>7719</v>
      </c>
      <c r="D1922" s="68" t="s">
        <v>7720</v>
      </c>
      <c r="E1922" s="68" t="s">
        <v>7721</v>
      </c>
      <c r="F1922" s="68">
        <v>2011.0</v>
      </c>
      <c r="G1922" s="68" t="s">
        <v>7722</v>
      </c>
      <c r="H1922" s="71"/>
      <c r="I1922" s="99" t="s">
        <v>635</v>
      </c>
      <c r="J1922" s="68" t="s">
        <v>7723</v>
      </c>
      <c r="K1922" s="71"/>
      <c r="L1922" s="71"/>
      <c r="M1922" s="66"/>
      <c r="N1922" s="61"/>
      <c r="O1922" s="51"/>
    </row>
    <row r="1923">
      <c r="A1923" s="56">
        <v>1920.0</v>
      </c>
      <c r="B1923" s="71"/>
      <c r="C1923" s="69" t="s">
        <v>7724</v>
      </c>
      <c r="D1923" s="68" t="s">
        <v>7725</v>
      </c>
      <c r="E1923" s="68" t="s">
        <v>7726</v>
      </c>
      <c r="F1923" s="83">
        <v>41319.0</v>
      </c>
      <c r="G1923" s="68" t="s">
        <v>7727</v>
      </c>
      <c r="H1923" s="71"/>
      <c r="I1923" s="99" t="s">
        <v>7728</v>
      </c>
      <c r="J1923" s="68" t="s">
        <v>7729</v>
      </c>
      <c r="K1923" s="71"/>
      <c r="L1923" s="71"/>
      <c r="M1923" s="66"/>
      <c r="N1923" s="61"/>
      <c r="O1923" s="51"/>
    </row>
    <row r="1924">
      <c r="A1924" s="56">
        <v>1921.0</v>
      </c>
      <c r="B1924" s="66"/>
      <c r="C1924" s="64" t="s">
        <v>7730</v>
      </c>
      <c r="D1924" s="63" t="s">
        <v>7731</v>
      </c>
      <c r="E1924" s="63" t="s">
        <v>7732</v>
      </c>
      <c r="F1924" s="65">
        <v>40011.0</v>
      </c>
      <c r="G1924" s="63" t="s">
        <v>7733</v>
      </c>
      <c r="H1924" s="66"/>
      <c r="I1924" s="99" t="s">
        <v>7734</v>
      </c>
      <c r="J1924" s="63" t="s">
        <v>1872</v>
      </c>
      <c r="K1924" s="66"/>
      <c r="L1924" s="66"/>
      <c r="M1924" s="66"/>
      <c r="N1924" s="61"/>
      <c r="O1924" s="51"/>
    </row>
    <row r="1925">
      <c r="A1925" s="56">
        <v>1922.0</v>
      </c>
      <c r="B1925" s="71"/>
      <c r="C1925" s="69" t="s">
        <v>7735</v>
      </c>
      <c r="D1925" s="68" t="s">
        <v>7736</v>
      </c>
      <c r="E1925" s="68" t="s">
        <v>7737</v>
      </c>
      <c r="F1925" s="68">
        <v>2010.0</v>
      </c>
      <c r="G1925" s="68" t="s">
        <v>7738</v>
      </c>
      <c r="H1925" s="71"/>
      <c r="I1925" s="99" t="s">
        <v>635</v>
      </c>
      <c r="J1925" s="68" t="s">
        <v>7739</v>
      </c>
      <c r="K1925" s="71"/>
      <c r="L1925" s="66"/>
      <c r="M1925" s="66"/>
      <c r="N1925" s="61"/>
      <c r="O1925" s="51"/>
    </row>
    <row r="1926">
      <c r="A1926" s="56">
        <v>1923.0</v>
      </c>
      <c r="B1926" s="60"/>
      <c r="C1926" s="58" t="s">
        <v>7740</v>
      </c>
      <c r="D1926" s="57" t="s">
        <v>7741</v>
      </c>
      <c r="E1926" s="57" t="s">
        <v>7742</v>
      </c>
      <c r="F1926" s="78">
        <v>41659.0</v>
      </c>
      <c r="G1926" s="57" t="s">
        <v>7743</v>
      </c>
      <c r="H1926" s="60"/>
      <c r="I1926" s="99" t="s">
        <v>7744</v>
      </c>
      <c r="J1926" s="57" t="s">
        <v>7745</v>
      </c>
      <c r="K1926" s="60"/>
      <c r="L1926" s="60"/>
      <c r="M1926" s="104"/>
      <c r="N1926" s="105"/>
      <c r="O1926" s="51"/>
    </row>
    <row r="1927">
      <c r="A1927" s="56">
        <v>1924.0</v>
      </c>
      <c r="B1927" s="66"/>
      <c r="C1927" s="64" t="s">
        <v>7746</v>
      </c>
      <c r="D1927" s="63" t="s">
        <v>7747</v>
      </c>
      <c r="E1927" s="63" t="s">
        <v>7748</v>
      </c>
      <c r="F1927" s="70">
        <v>39822.0</v>
      </c>
      <c r="G1927" s="63" t="s">
        <v>7749</v>
      </c>
      <c r="H1927" s="66"/>
      <c r="I1927" s="99" t="s">
        <v>7750</v>
      </c>
      <c r="J1927" s="63" t="s">
        <v>1872</v>
      </c>
      <c r="K1927" s="66"/>
      <c r="L1927" s="66"/>
      <c r="M1927" s="175"/>
      <c r="N1927" s="61"/>
      <c r="O1927" s="51"/>
    </row>
    <row r="1928">
      <c r="A1928" s="56">
        <v>1925.0</v>
      </c>
      <c r="B1928" s="71"/>
      <c r="C1928" s="69" t="s">
        <v>7751</v>
      </c>
      <c r="D1928" s="68" t="s">
        <v>7752</v>
      </c>
      <c r="E1928" s="68" t="s">
        <v>7753</v>
      </c>
      <c r="F1928" s="76">
        <v>41338.0</v>
      </c>
      <c r="G1928" s="68" t="s">
        <v>7754</v>
      </c>
      <c r="H1928" s="71"/>
      <c r="I1928" s="159"/>
      <c r="J1928" s="68" t="s">
        <v>1481</v>
      </c>
      <c r="K1928" s="71"/>
      <c r="L1928" s="71"/>
      <c r="M1928" s="71"/>
      <c r="N1928" s="61"/>
      <c r="O1928" s="51"/>
    </row>
    <row r="1929">
      <c r="A1929" s="56">
        <v>1926.0</v>
      </c>
      <c r="B1929" s="71"/>
      <c r="C1929" s="69" t="s">
        <v>7755</v>
      </c>
      <c r="D1929" s="68" t="s">
        <v>7756</v>
      </c>
      <c r="E1929" s="68" t="s">
        <v>7757</v>
      </c>
      <c r="F1929" s="68">
        <v>2012.0</v>
      </c>
      <c r="G1929" s="68" t="s">
        <v>7758</v>
      </c>
      <c r="H1929" s="71"/>
      <c r="I1929" s="114" t="s">
        <v>7759</v>
      </c>
      <c r="J1929" s="68" t="s">
        <v>7760</v>
      </c>
      <c r="K1929" s="71"/>
      <c r="L1929" s="71"/>
      <c r="M1929" s="71"/>
      <c r="N1929" s="61"/>
      <c r="O1929" s="51"/>
    </row>
    <row r="1930">
      <c r="A1930" s="56">
        <v>1927.0</v>
      </c>
      <c r="B1930" s="71"/>
      <c r="C1930" s="69" t="s">
        <v>7761</v>
      </c>
      <c r="D1930" s="68" t="s">
        <v>7762</v>
      </c>
      <c r="E1930" s="68" t="s">
        <v>7763</v>
      </c>
      <c r="F1930" s="190">
        <v>41122.0</v>
      </c>
      <c r="G1930" s="68" t="s">
        <v>7764</v>
      </c>
      <c r="H1930" s="71"/>
      <c r="I1930" s="99" t="s">
        <v>7765</v>
      </c>
      <c r="J1930" s="68" t="s">
        <v>7766</v>
      </c>
      <c r="K1930" s="71"/>
      <c r="L1930" s="71"/>
      <c r="M1930" s="66"/>
      <c r="N1930" s="61"/>
      <c r="O1930" s="51"/>
    </row>
    <row r="1931">
      <c r="A1931" s="56">
        <v>1928.0</v>
      </c>
      <c r="B1931" s="66"/>
      <c r="C1931" s="64" t="s">
        <v>7767</v>
      </c>
      <c r="D1931" s="63" t="s">
        <v>7768</v>
      </c>
      <c r="E1931" s="63" t="s">
        <v>7769</v>
      </c>
      <c r="F1931" s="63">
        <v>2009.0</v>
      </c>
      <c r="G1931" s="63" t="s">
        <v>7770</v>
      </c>
      <c r="H1931" s="66"/>
      <c r="I1931" s="99" t="s">
        <v>7771</v>
      </c>
      <c r="J1931" s="63" t="s">
        <v>1872</v>
      </c>
      <c r="K1931" s="66"/>
      <c r="L1931" s="66"/>
      <c r="M1931" s="66"/>
      <c r="N1931" s="61"/>
      <c r="O1931" s="51"/>
    </row>
    <row r="1932">
      <c r="A1932" s="56">
        <v>1929.0</v>
      </c>
      <c r="B1932" s="71"/>
      <c r="C1932" s="69" t="s">
        <v>7772</v>
      </c>
      <c r="D1932" s="68" t="s">
        <v>7773</v>
      </c>
      <c r="E1932" s="68" t="s">
        <v>7774</v>
      </c>
      <c r="F1932" s="83">
        <v>40959.0</v>
      </c>
      <c r="G1932" s="68" t="s">
        <v>7775</v>
      </c>
      <c r="H1932" s="71"/>
      <c r="I1932" s="99" t="s">
        <v>635</v>
      </c>
      <c r="J1932" s="68" t="s">
        <v>7776</v>
      </c>
      <c r="K1932" s="71"/>
      <c r="L1932" s="71"/>
      <c r="M1932" s="66"/>
      <c r="N1932" s="61"/>
      <c r="O1932" s="51"/>
    </row>
    <row r="1933">
      <c r="A1933" s="56">
        <v>1930.0</v>
      </c>
      <c r="B1933" s="71"/>
      <c r="C1933" s="69" t="s">
        <v>7777</v>
      </c>
      <c r="D1933" s="68" t="s">
        <v>7778</v>
      </c>
      <c r="E1933" s="68" t="s">
        <v>7779</v>
      </c>
      <c r="F1933" s="76">
        <v>40065.0</v>
      </c>
      <c r="G1933" s="68" t="s">
        <v>7780</v>
      </c>
      <c r="H1933" s="71"/>
      <c r="I1933" s="114" t="s">
        <v>7781</v>
      </c>
      <c r="J1933" s="68" t="s">
        <v>7782</v>
      </c>
      <c r="K1933" s="71"/>
      <c r="L1933" s="71"/>
      <c r="M1933" s="71"/>
      <c r="N1933" s="61"/>
      <c r="O1933" s="51"/>
    </row>
    <row r="1934">
      <c r="A1934" s="75">
        <v>1931.0</v>
      </c>
      <c r="B1934" s="71"/>
      <c r="C1934" s="69" t="s">
        <v>7783</v>
      </c>
      <c r="D1934" s="68" t="s">
        <v>7784</v>
      </c>
      <c r="E1934" s="68" t="s">
        <v>7785</v>
      </c>
      <c r="F1934" s="83">
        <v>40625.0</v>
      </c>
      <c r="G1934" s="68" t="s">
        <v>7786</v>
      </c>
      <c r="H1934" s="71"/>
      <c r="I1934" s="114" t="s">
        <v>7787</v>
      </c>
      <c r="J1934" s="100" t="s">
        <v>4430</v>
      </c>
      <c r="K1934" s="101"/>
      <c r="L1934" s="71"/>
      <c r="M1934" s="68" t="s">
        <v>201</v>
      </c>
      <c r="N1934" s="77"/>
      <c r="O1934" s="130"/>
    </row>
    <row r="1935">
      <c r="A1935" s="56">
        <v>1932.0</v>
      </c>
      <c r="B1935" s="71"/>
      <c r="C1935" s="69" t="s">
        <v>7788</v>
      </c>
      <c r="D1935" s="68" t="s">
        <v>7789</v>
      </c>
      <c r="E1935" s="68" t="s">
        <v>7790</v>
      </c>
      <c r="F1935" s="76">
        <v>41457.0</v>
      </c>
      <c r="G1935" s="68" t="s">
        <v>7791</v>
      </c>
      <c r="H1935" s="71"/>
      <c r="I1935" s="114" t="s">
        <v>7792</v>
      </c>
      <c r="J1935" s="68" t="s">
        <v>7793</v>
      </c>
      <c r="K1935" s="71"/>
      <c r="L1935" s="71"/>
      <c r="M1935" s="71"/>
      <c r="N1935" s="61"/>
      <c r="O1935" s="51"/>
    </row>
    <row r="1936">
      <c r="A1936" s="75">
        <v>1933.0</v>
      </c>
      <c r="B1936" s="71"/>
      <c r="C1936" s="69" t="s">
        <v>7794</v>
      </c>
      <c r="D1936" s="68" t="s">
        <v>7795</v>
      </c>
      <c r="E1936" s="68" t="s">
        <v>7796</v>
      </c>
      <c r="F1936" s="83">
        <v>41267.0</v>
      </c>
      <c r="G1936" s="68" t="s">
        <v>7797</v>
      </c>
      <c r="H1936" s="68" t="s">
        <v>7798</v>
      </c>
      <c r="I1936" s="114" t="s">
        <v>7799</v>
      </c>
      <c r="J1936" s="68" t="s">
        <v>2175</v>
      </c>
      <c r="K1936" s="71"/>
      <c r="L1936" s="71"/>
      <c r="M1936" s="68" t="s">
        <v>2152</v>
      </c>
      <c r="N1936" s="77"/>
      <c r="O1936" s="51"/>
    </row>
    <row r="1937">
      <c r="A1937" s="56">
        <v>1934.0</v>
      </c>
      <c r="B1937" s="71"/>
      <c r="C1937" s="69" t="s">
        <v>7800</v>
      </c>
      <c r="D1937" s="68" t="s">
        <v>7801</v>
      </c>
      <c r="E1937" s="68" t="s">
        <v>7802</v>
      </c>
      <c r="F1937" s="76">
        <v>41369.0</v>
      </c>
      <c r="G1937" s="68" t="s">
        <v>7803</v>
      </c>
      <c r="H1937" s="71"/>
      <c r="I1937" s="99" t="s">
        <v>7804</v>
      </c>
      <c r="J1937" s="68" t="s">
        <v>7805</v>
      </c>
      <c r="K1937" s="71"/>
      <c r="L1937" s="66"/>
      <c r="M1937" s="66"/>
      <c r="N1937" s="61"/>
      <c r="O1937" s="51"/>
    </row>
    <row r="1938">
      <c r="A1938" s="56">
        <v>1935.0</v>
      </c>
      <c r="B1938" s="66"/>
      <c r="C1938" s="64" t="s">
        <v>7806</v>
      </c>
      <c r="D1938" s="63" t="s">
        <v>7807</v>
      </c>
      <c r="E1938" s="63" t="s">
        <v>7808</v>
      </c>
      <c r="F1938" s="63">
        <v>2013.0</v>
      </c>
      <c r="G1938" s="63" t="s">
        <v>7809</v>
      </c>
      <c r="H1938" s="66"/>
      <c r="I1938" s="99" t="s">
        <v>7810</v>
      </c>
      <c r="J1938" s="63" t="s">
        <v>1872</v>
      </c>
      <c r="K1938" s="66"/>
      <c r="L1938" s="66"/>
      <c r="M1938" s="66"/>
      <c r="N1938" s="61"/>
      <c r="O1938" s="51"/>
    </row>
    <row r="1939">
      <c r="A1939" s="56">
        <v>1936.0</v>
      </c>
      <c r="B1939" s="71"/>
      <c r="C1939" s="69" t="s">
        <v>7811</v>
      </c>
      <c r="D1939" s="68" t="s">
        <v>7812</v>
      </c>
      <c r="E1939" s="68" t="s">
        <v>7813</v>
      </c>
      <c r="F1939" s="83">
        <v>39782.0</v>
      </c>
      <c r="G1939" s="68" t="s">
        <v>7814</v>
      </c>
      <c r="H1939" s="71"/>
      <c r="I1939" s="99" t="s">
        <v>635</v>
      </c>
      <c r="J1939" s="68" t="s">
        <v>7815</v>
      </c>
      <c r="K1939" s="71"/>
      <c r="L1939" s="71"/>
      <c r="M1939" s="66"/>
      <c r="N1939" s="61"/>
      <c r="O1939" s="51"/>
    </row>
    <row r="1940">
      <c r="A1940" s="56">
        <v>1937.0</v>
      </c>
      <c r="B1940" s="60"/>
      <c r="C1940" s="58" t="s">
        <v>7816</v>
      </c>
      <c r="D1940" s="57" t="s">
        <v>7817</v>
      </c>
      <c r="E1940" s="57" t="s">
        <v>7818</v>
      </c>
      <c r="F1940" s="78">
        <v>41606.0</v>
      </c>
      <c r="G1940" s="57" t="s">
        <v>7819</v>
      </c>
      <c r="H1940" s="60"/>
      <c r="I1940" s="99" t="s">
        <v>635</v>
      </c>
      <c r="J1940" s="57" t="s">
        <v>7820</v>
      </c>
      <c r="K1940" s="60"/>
      <c r="L1940" s="60"/>
      <c r="M1940" s="104"/>
      <c r="N1940" s="105"/>
      <c r="O1940" s="51"/>
    </row>
    <row r="1941">
      <c r="A1941" s="56">
        <v>1938.0</v>
      </c>
      <c r="B1941" s="71"/>
      <c r="C1941" s="69" t="s">
        <v>7821</v>
      </c>
      <c r="D1941" s="68" t="s">
        <v>7817</v>
      </c>
      <c r="E1941" s="68" t="s">
        <v>7822</v>
      </c>
      <c r="F1941" s="83">
        <v>41606.0</v>
      </c>
      <c r="G1941" s="68" t="s">
        <v>7819</v>
      </c>
      <c r="H1941" s="71"/>
      <c r="I1941" s="99" t="s">
        <v>635</v>
      </c>
      <c r="J1941" s="68" t="s">
        <v>7823</v>
      </c>
      <c r="K1941" s="71"/>
      <c r="L1941" s="71"/>
      <c r="M1941" s="111"/>
      <c r="N1941" s="61"/>
      <c r="O1941" s="51"/>
    </row>
    <row r="1942">
      <c r="A1942" s="56">
        <v>1939.0</v>
      </c>
      <c r="B1942" s="71"/>
      <c r="C1942" s="69" t="s">
        <v>7824</v>
      </c>
      <c r="D1942" s="68" t="s">
        <v>7817</v>
      </c>
      <c r="E1942" s="68" t="s">
        <v>7825</v>
      </c>
      <c r="F1942" s="83">
        <v>41606.0</v>
      </c>
      <c r="G1942" s="68" t="s">
        <v>7819</v>
      </c>
      <c r="H1942" s="71"/>
      <c r="I1942" s="99" t="s">
        <v>635</v>
      </c>
      <c r="J1942" s="68" t="s">
        <v>7823</v>
      </c>
      <c r="K1942" s="71"/>
      <c r="L1942" s="71"/>
      <c r="M1942" s="71"/>
      <c r="N1942" s="61"/>
      <c r="O1942" s="51"/>
    </row>
    <row r="1943">
      <c r="A1943" s="56">
        <v>1940.0</v>
      </c>
      <c r="B1943" s="71"/>
      <c r="C1943" s="69" t="s">
        <v>7826</v>
      </c>
      <c r="D1943" s="68" t="s">
        <v>7827</v>
      </c>
      <c r="E1943" s="68" t="s">
        <v>7828</v>
      </c>
      <c r="F1943" s="83">
        <v>41635.0</v>
      </c>
      <c r="G1943" s="68" t="s">
        <v>7829</v>
      </c>
      <c r="H1943" s="71"/>
      <c r="I1943" s="99" t="s">
        <v>7830</v>
      </c>
      <c r="J1943" s="68" t="s">
        <v>148</v>
      </c>
      <c r="K1943" s="71"/>
      <c r="L1943" s="71"/>
      <c r="M1943" s="66"/>
      <c r="N1943" s="61"/>
      <c r="O1943" s="51"/>
    </row>
    <row r="1944">
      <c r="A1944" s="56">
        <v>1941.0</v>
      </c>
      <c r="B1944" s="71"/>
      <c r="C1944" s="69" t="s">
        <v>7831</v>
      </c>
      <c r="D1944" s="68" t="s">
        <v>7832</v>
      </c>
      <c r="E1944" s="68" t="s">
        <v>7833</v>
      </c>
      <c r="F1944" s="83">
        <v>41572.0</v>
      </c>
      <c r="G1944" s="68" t="s">
        <v>7834</v>
      </c>
      <c r="H1944" s="71"/>
      <c r="I1944" s="99" t="s">
        <v>7835</v>
      </c>
      <c r="J1944" s="68" t="s">
        <v>148</v>
      </c>
      <c r="K1944" s="71"/>
      <c r="L1944" s="71"/>
      <c r="M1944" s="66"/>
      <c r="N1944" s="61"/>
      <c r="O1944" s="51"/>
    </row>
    <row r="1945">
      <c r="A1945" s="56">
        <v>1942.0</v>
      </c>
      <c r="B1945" s="71"/>
      <c r="C1945" s="69" t="s">
        <v>7836</v>
      </c>
      <c r="D1945" s="68" t="s">
        <v>7837</v>
      </c>
      <c r="E1945" s="68" t="s">
        <v>7838</v>
      </c>
      <c r="F1945" s="83">
        <v>39961.0</v>
      </c>
      <c r="G1945" s="68" t="s">
        <v>7839</v>
      </c>
      <c r="H1945" s="68" t="s">
        <v>7840</v>
      </c>
      <c r="I1945" s="99" t="s">
        <v>635</v>
      </c>
      <c r="J1945" s="68" t="s">
        <v>3237</v>
      </c>
      <c r="K1945" s="71"/>
      <c r="L1945" s="71"/>
      <c r="M1945" s="68" t="s">
        <v>137</v>
      </c>
      <c r="N1945" s="61"/>
      <c r="O1945" s="51"/>
    </row>
    <row r="1946">
      <c r="A1946" s="56">
        <v>1943.0</v>
      </c>
      <c r="B1946" s="60"/>
      <c r="C1946" s="58" t="s">
        <v>7841</v>
      </c>
      <c r="D1946" s="57" t="s">
        <v>7842</v>
      </c>
      <c r="E1946" s="57" t="s">
        <v>7843</v>
      </c>
      <c r="F1946" s="59">
        <v>41345.0</v>
      </c>
      <c r="G1946" s="57" t="s">
        <v>7844</v>
      </c>
      <c r="H1946" s="60"/>
      <c r="I1946" s="99" t="s">
        <v>635</v>
      </c>
      <c r="J1946" s="57" t="s">
        <v>7845</v>
      </c>
      <c r="K1946" s="60"/>
      <c r="L1946" s="60"/>
      <c r="M1946" s="104"/>
      <c r="N1946" s="105"/>
      <c r="O1946" s="51"/>
    </row>
    <row r="1947">
      <c r="A1947" s="56">
        <v>1944.0</v>
      </c>
      <c r="B1947" s="71"/>
      <c r="C1947" s="69" t="s">
        <v>7846</v>
      </c>
      <c r="D1947" s="71"/>
      <c r="E1947" s="68" t="s">
        <v>7847</v>
      </c>
      <c r="F1947" s="76">
        <v>41761.0</v>
      </c>
      <c r="G1947" s="68" t="s">
        <v>7848</v>
      </c>
      <c r="H1947" s="71"/>
      <c r="I1947" s="114" t="s">
        <v>7849</v>
      </c>
      <c r="J1947" s="68" t="s">
        <v>7850</v>
      </c>
      <c r="K1947" s="71"/>
      <c r="L1947" s="71"/>
      <c r="M1947" s="111"/>
      <c r="N1947" s="61"/>
      <c r="O1947" s="51"/>
    </row>
    <row r="1948">
      <c r="A1948" s="56">
        <v>1945.0</v>
      </c>
      <c r="B1948" s="71"/>
      <c r="C1948" s="69" t="s">
        <v>7851</v>
      </c>
      <c r="D1948" s="71"/>
      <c r="E1948" s="68" t="s">
        <v>7852</v>
      </c>
      <c r="F1948" s="76">
        <v>41763.0</v>
      </c>
      <c r="G1948" s="68" t="s">
        <v>7853</v>
      </c>
      <c r="H1948" s="71"/>
      <c r="I1948" s="99" t="s">
        <v>635</v>
      </c>
      <c r="J1948" s="68" t="s">
        <v>7854</v>
      </c>
      <c r="K1948" s="71"/>
      <c r="L1948" s="71"/>
      <c r="M1948" s="71"/>
      <c r="N1948" s="61"/>
      <c r="O1948" s="51"/>
    </row>
    <row r="1949">
      <c r="A1949" s="56">
        <v>1946.0</v>
      </c>
      <c r="B1949" s="71"/>
      <c r="C1949" s="69" t="s">
        <v>7855</v>
      </c>
      <c r="D1949" s="71"/>
      <c r="E1949" s="68" t="s">
        <v>7856</v>
      </c>
      <c r="F1949" s="83">
        <v>41721.0</v>
      </c>
      <c r="G1949" s="68" t="s">
        <v>7857</v>
      </c>
      <c r="H1949" s="71"/>
      <c r="I1949" s="99" t="s">
        <v>7858</v>
      </c>
      <c r="J1949" s="68" t="s">
        <v>7859</v>
      </c>
      <c r="K1949" s="71"/>
      <c r="L1949" s="71"/>
      <c r="M1949" s="66"/>
      <c r="N1949" s="61"/>
      <c r="O1949" s="51"/>
    </row>
    <row r="1950">
      <c r="A1950" s="56">
        <v>1947.0</v>
      </c>
      <c r="B1950" s="71"/>
      <c r="C1950" s="69" t="s">
        <v>7860</v>
      </c>
      <c r="D1950" s="71"/>
      <c r="E1950" s="68" t="s">
        <v>7861</v>
      </c>
      <c r="F1950" s="83">
        <v>41274.0</v>
      </c>
      <c r="G1950" s="68" t="s">
        <v>7862</v>
      </c>
      <c r="H1950" s="71"/>
      <c r="I1950" s="99" t="s">
        <v>7863</v>
      </c>
      <c r="J1950" s="68" t="s">
        <v>7864</v>
      </c>
      <c r="K1950" s="71"/>
      <c r="L1950" s="71"/>
      <c r="M1950" s="66"/>
      <c r="N1950" s="61"/>
      <c r="O1950" s="51"/>
    </row>
    <row r="1951">
      <c r="A1951" s="56">
        <v>1948.0</v>
      </c>
      <c r="B1951" s="66"/>
      <c r="C1951" s="64" t="s">
        <v>7865</v>
      </c>
      <c r="D1951" s="66"/>
      <c r="E1951" s="63" t="s">
        <v>7866</v>
      </c>
      <c r="F1951" s="70">
        <v>40513.0</v>
      </c>
      <c r="G1951" s="63" t="s">
        <v>7867</v>
      </c>
      <c r="H1951" s="66"/>
      <c r="I1951" s="99" t="s">
        <v>7868</v>
      </c>
      <c r="J1951" s="63" t="s">
        <v>6381</v>
      </c>
      <c r="K1951" s="66"/>
      <c r="L1951" s="63" t="s">
        <v>1496</v>
      </c>
      <c r="M1951" s="63" t="s">
        <v>201</v>
      </c>
      <c r="N1951" s="61"/>
      <c r="O1951" s="51"/>
    </row>
    <row r="1952">
      <c r="A1952" s="56">
        <v>1949.0</v>
      </c>
      <c r="B1952" s="66"/>
      <c r="C1952" s="64" t="s">
        <v>7869</v>
      </c>
      <c r="D1952" s="66"/>
      <c r="E1952" s="63" t="s">
        <v>7870</v>
      </c>
      <c r="F1952" s="65">
        <v>41202.0</v>
      </c>
      <c r="G1952" s="63" t="s">
        <v>7871</v>
      </c>
      <c r="H1952" s="66"/>
      <c r="I1952" s="99" t="s">
        <v>7872</v>
      </c>
      <c r="J1952" s="63" t="s">
        <v>1872</v>
      </c>
      <c r="K1952" s="66"/>
      <c r="L1952" s="66"/>
      <c r="M1952" s="66"/>
      <c r="N1952" s="61"/>
      <c r="O1952" s="51"/>
    </row>
    <row r="1953">
      <c r="A1953" s="56">
        <v>1950.0</v>
      </c>
      <c r="B1953" s="71"/>
      <c r="C1953" s="69" t="s">
        <v>7873</v>
      </c>
      <c r="D1953" s="71"/>
      <c r="E1953" s="68" t="s">
        <v>7874</v>
      </c>
      <c r="F1953" s="76">
        <v>41344.0</v>
      </c>
      <c r="G1953" s="68" t="s">
        <v>7875</v>
      </c>
      <c r="H1953" s="71"/>
      <c r="I1953" s="160"/>
      <c r="J1953" s="68" t="s">
        <v>7876</v>
      </c>
      <c r="K1953" s="71"/>
      <c r="L1953" s="71"/>
      <c r="M1953" s="71"/>
      <c r="N1953" s="61"/>
      <c r="O1953" s="51"/>
    </row>
    <row r="1954">
      <c r="A1954" s="56">
        <v>1951.0</v>
      </c>
      <c r="B1954" s="66"/>
      <c r="C1954" s="64" t="s">
        <v>7877</v>
      </c>
      <c r="D1954" s="66"/>
      <c r="E1954" s="63" t="s">
        <v>7878</v>
      </c>
      <c r="F1954" s="65">
        <v>35945.0</v>
      </c>
      <c r="G1954" s="63" t="s">
        <v>7879</v>
      </c>
      <c r="H1954" s="66"/>
      <c r="I1954" s="159"/>
      <c r="J1954" s="63" t="s">
        <v>7523</v>
      </c>
      <c r="K1954" s="66"/>
      <c r="L1954" s="66"/>
      <c r="M1954" s="66"/>
      <c r="N1954" s="61"/>
      <c r="O1954" s="51"/>
    </row>
    <row r="1955">
      <c r="A1955" s="56">
        <v>1952.0</v>
      </c>
      <c r="B1955" s="71"/>
      <c r="C1955" s="69" t="s">
        <v>7880</v>
      </c>
      <c r="D1955" s="71"/>
      <c r="E1955" s="68" t="s">
        <v>7881</v>
      </c>
      <c r="F1955" s="83">
        <v>40526.0</v>
      </c>
      <c r="G1955" s="68" t="s">
        <v>7882</v>
      </c>
      <c r="H1955" s="71"/>
      <c r="I1955" s="176" t="s">
        <v>635</v>
      </c>
      <c r="J1955" s="68" t="s">
        <v>7883</v>
      </c>
      <c r="K1955" s="66"/>
      <c r="L1955" s="66"/>
      <c r="M1955" s="66"/>
      <c r="N1955" s="61"/>
      <c r="O1955" s="51"/>
    </row>
    <row r="1956">
      <c r="A1956" s="56">
        <v>1953.0</v>
      </c>
      <c r="B1956" s="71"/>
      <c r="C1956" s="69" t="s">
        <v>7884</v>
      </c>
      <c r="D1956" s="71"/>
      <c r="E1956" s="68" t="s">
        <v>7885</v>
      </c>
      <c r="F1956" s="83">
        <v>41530.0</v>
      </c>
      <c r="G1956" s="68" t="s">
        <v>7886</v>
      </c>
      <c r="H1956" s="71"/>
      <c r="I1956" s="99" t="s">
        <v>7887</v>
      </c>
      <c r="J1956" s="68" t="s">
        <v>7888</v>
      </c>
      <c r="K1956" s="66"/>
      <c r="L1956" s="66"/>
      <c r="M1956" s="66"/>
      <c r="N1956" s="61"/>
      <c r="O1956" s="51"/>
    </row>
    <row r="1957">
      <c r="A1957" s="56">
        <v>1954.0</v>
      </c>
      <c r="B1957" s="60"/>
      <c r="C1957" s="58" t="s">
        <v>7889</v>
      </c>
      <c r="D1957" s="57" t="s">
        <v>7890</v>
      </c>
      <c r="E1957" s="57" t="s">
        <v>7891</v>
      </c>
      <c r="F1957" s="59">
        <v>41975.0</v>
      </c>
      <c r="G1957" s="57" t="s">
        <v>7892</v>
      </c>
      <c r="H1957" s="60"/>
      <c r="I1957" s="99" t="s">
        <v>635</v>
      </c>
      <c r="J1957" s="57" t="s">
        <v>7893</v>
      </c>
      <c r="K1957" s="60"/>
      <c r="L1957" s="60"/>
      <c r="M1957" s="104"/>
      <c r="N1957" s="105"/>
      <c r="O1957" s="51"/>
    </row>
    <row r="1958">
      <c r="A1958" s="56">
        <v>1955.0</v>
      </c>
      <c r="B1958" s="60"/>
      <c r="C1958" s="58" t="s">
        <v>7894</v>
      </c>
      <c r="D1958" s="57" t="s">
        <v>7890</v>
      </c>
      <c r="E1958" s="57" t="s">
        <v>7895</v>
      </c>
      <c r="F1958" s="59">
        <v>41975.0</v>
      </c>
      <c r="G1958" s="57" t="s">
        <v>7892</v>
      </c>
      <c r="H1958" s="60"/>
      <c r="I1958" s="99" t="s">
        <v>635</v>
      </c>
      <c r="J1958" s="57" t="s">
        <v>7896</v>
      </c>
      <c r="K1958" s="60"/>
      <c r="L1958" s="60"/>
      <c r="M1958" s="104"/>
      <c r="N1958" s="105"/>
      <c r="O1958" s="51"/>
    </row>
    <row r="1959">
      <c r="A1959" s="56">
        <v>1956.0</v>
      </c>
      <c r="B1959" s="60"/>
      <c r="C1959" s="58" t="s">
        <v>7897</v>
      </c>
      <c r="D1959" s="57" t="s">
        <v>7890</v>
      </c>
      <c r="E1959" s="57" t="s">
        <v>7898</v>
      </c>
      <c r="F1959" s="59">
        <v>41975.0</v>
      </c>
      <c r="G1959" s="57" t="s">
        <v>7892</v>
      </c>
      <c r="H1959" s="60"/>
      <c r="I1959" s="99" t="s">
        <v>635</v>
      </c>
      <c r="J1959" s="57" t="s">
        <v>7896</v>
      </c>
      <c r="K1959" s="60"/>
      <c r="L1959" s="60"/>
      <c r="M1959" s="104"/>
      <c r="N1959" s="105"/>
      <c r="O1959" s="51"/>
    </row>
    <row r="1960">
      <c r="A1960" s="56">
        <v>1957.0</v>
      </c>
      <c r="B1960" s="71"/>
      <c r="C1960" s="69" t="s">
        <v>7899</v>
      </c>
      <c r="D1960" s="71"/>
      <c r="E1960" s="68" t="s">
        <v>7900</v>
      </c>
      <c r="F1960" s="76">
        <v>41641.0</v>
      </c>
      <c r="G1960" s="68" t="s">
        <v>7901</v>
      </c>
      <c r="H1960" s="71"/>
      <c r="I1960" s="99" t="s">
        <v>7902</v>
      </c>
      <c r="J1960" s="68" t="s">
        <v>7903</v>
      </c>
      <c r="K1960" s="71"/>
      <c r="L1960" s="71"/>
      <c r="M1960" s="175"/>
      <c r="N1960" s="61"/>
      <c r="O1960" s="51"/>
    </row>
    <row r="1961">
      <c r="A1961" s="56">
        <v>1958.0</v>
      </c>
      <c r="B1961" s="71"/>
      <c r="C1961" s="69" t="s">
        <v>7904</v>
      </c>
      <c r="D1961" s="71"/>
      <c r="E1961" s="68" t="s">
        <v>7905</v>
      </c>
      <c r="F1961" s="83">
        <v>41421.0</v>
      </c>
      <c r="G1961" s="68" t="s">
        <v>7906</v>
      </c>
      <c r="H1961" s="71"/>
      <c r="I1961" s="159"/>
      <c r="J1961" s="68" t="s">
        <v>7907</v>
      </c>
      <c r="K1961" s="71"/>
      <c r="L1961" s="71"/>
      <c r="M1961" s="68" t="s">
        <v>542</v>
      </c>
      <c r="N1961" s="61"/>
      <c r="O1961" s="51"/>
    </row>
    <row r="1962">
      <c r="A1962" s="56">
        <v>1959.0</v>
      </c>
      <c r="B1962" s="71"/>
      <c r="C1962" s="69" t="s">
        <v>7908</v>
      </c>
      <c r="D1962" s="71"/>
      <c r="E1962" s="68" t="s">
        <v>7909</v>
      </c>
      <c r="F1962" s="76">
        <v>40725.0</v>
      </c>
      <c r="G1962" s="68" t="s">
        <v>7910</v>
      </c>
      <c r="H1962" s="71"/>
      <c r="I1962" s="99" t="s">
        <v>7911</v>
      </c>
      <c r="J1962" s="68" t="s">
        <v>7912</v>
      </c>
      <c r="K1962" s="71"/>
      <c r="L1962" s="71"/>
      <c r="M1962" s="104"/>
      <c r="N1962" s="105"/>
      <c r="O1962" s="51"/>
    </row>
    <row r="1963">
      <c r="A1963" s="75">
        <v>1960.0</v>
      </c>
      <c r="B1963" s="71"/>
      <c r="C1963" s="69" t="s">
        <v>7913</v>
      </c>
      <c r="D1963" s="68" t="s">
        <v>7914</v>
      </c>
      <c r="E1963" s="68" t="s">
        <v>7915</v>
      </c>
      <c r="F1963" s="71"/>
      <c r="G1963" s="68" t="s">
        <v>7916</v>
      </c>
      <c r="H1963" s="68" t="s">
        <v>439</v>
      </c>
      <c r="I1963" s="114" t="s">
        <v>7917</v>
      </c>
      <c r="J1963" s="68" t="s">
        <v>5369</v>
      </c>
      <c r="K1963" s="71"/>
      <c r="L1963" s="71"/>
      <c r="M1963" s="128" t="s">
        <v>2152</v>
      </c>
      <c r="N1963" s="77"/>
      <c r="O1963" s="51"/>
    </row>
    <row r="1964">
      <c r="A1964" s="56">
        <v>1961.0</v>
      </c>
      <c r="B1964" s="66"/>
      <c r="C1964" s="64" t="s">
        <v>7918</v>
      </c>
      <c r="D1964" s="66"/>
      <c r="E1964" s="63" t="s">
        <v>7919</v>
      </c>
      <c r="F1964" s="65">
        <v>40191.0</v>
      </c>
      <c r="G1964" s="63" t="s">
        <v>7920</v>
      </c>
      <c r="H1964" s="66"/>
      <c r="I1964" s="99" t="s">
        <v>7921</v>
      </c>
      <c r="J1964" s="63" t="s">
        <v>6381</v>
      </c>
      <c r="K1964" s="66"/>
      <c r="L1964" s="66"/>
      <c r="M1964" s="63" t="s">
        <v>201</v>
      </c>
      <c r="N1964" s="61"/>
      <c r="O1964" s="51"/>
    </row>
    <row r="1965">
      <c r="A1965" s="56">
        <v>1962.0</v>
      </c>
      <c r="B1965" s="71"/>
      <c r="C1965" s="69" t="s">
        <v>7922</v>
      </c>
      <c r="D1965" s="71"/>
      <c r="E1965" s="68" t="s">
        <v>7923</v>
      </c>
      <c r="F1965" s="83">
        <v>41022.0</v>
      </c>
      <c r="G1965" s="68" t="s">
        <v>7924</v>
      </c>
      <c r="H1965" s="71"/>
      <c r="I1965" s="86" t="s">
        <v>635</v>
      </c>
      <c r="J1965" s="68" t="s">
        <v>7925</v>
      </c>
      <c r="K1965" s="71"/>
      <c r="L1965" s="66"/>
      <c r="M1965" s="66"/>
      <c r="N1965" s="61"/>
      <c r="O1965" s="51"/>
    </row>
    <row r="1966">
      <c r="A1966" s="56">
        <v>1963.0</v>
      </c>
      <c r="B1966" s="71"/>
      <c r="C1966" s="69" t="s">
        <v>7926</v>
      </c>
      <c r="D1966" s="71"/>
      <c r="E1966" s="68" t="s">
        <v>7927</v>
      </c>
      <c r="F1966" s="83">
        <v>41541.0</v>
      </c>
      <c r="G1966" s="68" t="s">
        <v>7928</v>
      </c>
      <c r="H1966" s="71"/>
      <c r="I1966" s="99" t="s">
        <v>7929</v>
      </c>
      <c r="J1966" s="68" t="s">
        <v>7930</v>
      </c>
      <c r="K1966" s="71"/>
      <c r="L1966" s="71"/>
      <c r="M1966" s="68" t="s">
        <v>872</v>
      </c>
      <c r="N1966" s="61"/>
      <c r="O1966" s="51"/>
    </row>
    <row r="1967">
      <c r="A1967" s="56">
        <v>1964.0</v>
      </c>
      <c r="B1967" s="116"/>
      <c r="C1967" s="69" t="s">
        <v>7931</v>
      </c>
      <c r="D1967" s="68" t="s">
        <v>7932</v>
      </c>
      <c r="E1967" s="68" t="s">
        <v>7933</v>
      </c>
      <c r="F1967" s="83">
        <v>35421.0</v>
      </c>
      <c r="G1967" s="68" t="s">
        <v>7934</v>
      </c>
      <c r="H1967" s="71"/>
      <c r="I1967" s="99" t="s">
        <v>7935</v>
      </c>
      <c r="J1967" s="68" t="s">
        <v>7936</v>
      </c>
      <c r="K1967" s="71"/>
      <c r="L1967" s="71"/>
      <c r="M1967" s="71"/>
      <c r="N1967" s="61"/>
      <c r="O1967" s="51"/>
    </row>
    <row r="1968">
      <c r="A1968" s="56">
        <v>1965.0</v>
      </c>
      <c r="B1968" s="71"/>
      <c r="C1968" s="69" t="s">
        <v>7937</v>
      </c>
      <c r="D1968" s="71"/>
      <c r="E1968" s="68" t="s">
        <v>7938</v>
      </c>
      <c r="F1968" s="76">
        <v>40216.0</v>
      </c>
      <c r="G1968" s="68" t="s">
        <v>7939</v>
      </c>
      <c r="H1968" s="71"/>
      <c r="I1968" s="99" t="s">
        <v>7940</v>
      </c>
      <c r="J1968" s="68" t="s">
        <v>7941</v>
      </c>
      <c r="K1968" s="71"/>
      <c r="L1968" s="71"/>
      <c r="M1968" s="71"/>
      <c r="N1968" s="61"/>
      <c r="O1968" s="51"/>
    </row>
    <row r="1969">
      <c r="A1969" s="56">
        <v>1966.0</v>
      </c>
      <c r="B1969" s="71"/>
      <c r="C1969" s="69" t="s">
        <v>7942</v>
      </c>
      <c r="D1969" s="71"/>
      <c r="E1969" s="68" t="s">
        <v>7943</v>
      </c>
      <c r="F1969" s="83">
        <v>41749.0</v>
      </c>
      <c r="G1969" s="68" t="s">
        <v>7944</v>
      </c>
      <c r="H1969" s="71"/>
      <c r="I1969" s="99" t="s">
        <v>7945</v>
      </c>
      <c r="J1969" s="68" t="s">
        <v>7946</v>
      </c>
      <c r="K1969" s="71"/>
      <c r="L1969" s="71"/>
      <c r="M1969" s="68" t="s">
        <v>4001</v>
      </c>
      <c r="N1969" s="61"/>
      <c r="O1969" s="51"/>
    </row>
    <row r="1970">
      <c r="A1970" s="56">
        <v>1967.0</v>
      </c>
      <c r="B1970" s="71"/>
      <c r="C1970" s="69" t="s">
        <v>7947</v>
      </c>
      <c r="D1970" s="71"/>
      <c r="E1970" s="68" t="s">
        <v>7948</v>
      </c>
      <c r="F1970" s="68">
        <v>2012.0</v>
      </c>
      <c r="G1970" s="68" t="s">
        <v>7949</v>
      </c>
      <c r="H1970" s="71"/>
      <c r="I1970" s="114" t="s">
        <v>7950</v>
      </c>
      <c r="J1970" s="68" t="s">
        <v>7951</v>
      </c>
      <c r="K1970" s="71"/>
      <c r="L1970" s="71"/>
      <c r="M1970" s="71"/>
      <c r="N1970" s="61"/>
      <c r="O1970" s="51"/>
    </row>
    <row r="1971">
      <c r="A1971" s="56">
        <v>1968.0</v>
      </c>
      <c r="B1971" s="71"/>
      <c r="C1971" s="69" t="s">
        <v>7952</v>
      </c>
      <c r="D1971" s="71"/>
      <c r="E1971" s="68" t="s">
        <v>7953</v>
      </c>
      <c r="F1971" s="68">
        <v>2012.0</v>
      </c>
      <c r="G1971" s="68" t="s">
        <v>7949</v>
      </c>
      <c r="H1971" s="71"/>
      <c r="I1971" s="114" t="s">
        <v>7950</v>
      </c>
      <c r="J1971" s="68" t="s">
        <v>7951</v>
      </c>
      <c r="K1971" s="71"/>
      <c r="L1971" s="71"/>
      <c r="M1971" s="71"/>
      <c r="N1971" s="61"/>
      <c r="O1971" s="51"/>
    </row>
    <row r="1972">
      <c r="A1972" s="56">
        <v>1969.0</v>
      </c>
      <c r="B1972" s="71"/>
      <c r="C1972" s="69" t="s">
        <v>7954</v>
      </c>
      <c r="D1972" s="71"/>
      <c r="E1972" s="68" t="s">
        <v>7955</v>
      </c>
      <c r="F1972" s="76">
        <v>39546.0</v>
      </c>
      <c r="G1972" s="68" t="s">
        <v>7956</v>
      </c>
      <c r="H1972" s="71"/>
      <c r="I1972" s="99" t="s">
        <v>635</v>
      </c>
      <c r="J1972" s="68" t="s">
        <v>7957</v>
      </c>
      <c r="K1972" s="71"/>
      <c r="L1972" s="71"/>
      <c r="M1972" s="71"/>
      <c r="N1972" s="61"/>
      <c r="O1972" s="51"/>
    </row>
    <row r="1973">
      <c r="A1973" s="56">
        <v>1970.0</v>
      </c>
      <c r="B1973" s="71"/>
      <c r="C1973" s="69" t="s">
        <v>7958</v>
      </c>
      <c r="D1973" s="71"/>
      <c r="E1973" s="68" t="s">
        <v>7959</v>
      </c>
      <c r="F1973" s="68">
        <v>2009.0</v>
      </c>
      <c r="G1973" s="68" t="s">
        <v>7960</v>
      </c>
      <c r="H1973" s="71"/>
      <c r="I1973" s="99" t="s">
        <v>635</v>
      </c>
      <c r="J1973" s="68" t="s">
        <v>7961</v>
      </c>
      <c r="K1973" s="71"/>
      <c r="L1973" s="71"/>
      <c r="M1973" s="66"/>
      <c r="N1973" s="61"/>
      <c r="O1973" s="51"/>
    </row>
    <row r="1974">
      <c r="A1974" s="56">
        <v>1971.0</v>
      </c>
      <c r="B1974" s="71"/>
      <c r="C1974" s="69" t="s">
        <v>7962</v>
      </c>
      <c r="D1974" s="71"/>
      <c r="E1974" s="68" t="s">
        <v>7963</v>
      </c>
      <c r="F1974" s="76">
        <v>40973.0</v>
      </c>
      <c r="G1974" s="68" t="s">
        <v>7964</v>
      </c>
      <c r="H1974" s="71"/>
      <c r="I1974" s="114" t="s">
        <v>7965</v>
      </c>
      <c r="J1974" s="68" t="s">
        <v>7966</v>
      </c>
      <c r="K1974" s="71"/>
      <c r="L1974" s="71"/>
      <c r="M1974" s="71"/>
      <c r="N1974" s="61"/>
      <c r="O1974" s="51"/>
    </row>
    <row r="1975">
      <c r="A1975" s="56">
        <v>1972.0</v>
      </c>
      <c r="B1975" s="71"/>
      <c r="C1975" s="69" t="s">
        <v>7967</v>
      </c>
      <c r="D1975" s="71"/>
      <c r="E1975" s="68" t="s">
        <v>7968</v>
      </c>
      <c r="F1975" s="83">
        <v>40968.0</v>
      </c>
      <c r="G1975" s="68" t="s">
        <v>7969</v>
      </c>
      <c r="H1975" s="71"/>
      <c r="I1975" s="99" t="s">
        <v>7970</v>
      </c>
      <c r="J1975" s="68" t="s">
        <v>5977</v>
      </c>
      <c r="K1975" s="71"/>
      <c r="L1975" s="71"/>
      <c r="M1975" s="71"/>
      <c r="N1975" s="61"/>
      <c r="O1975" s="51"/>
    </row>
    <row r="1976">
      <c r="A1976" s="56">
        <v>1973.0</v>
      </c>
      <c r="B1976" s="71"/>
      <c r="C1976" s="69" t="s">
        <v>7971</v>
      </c>
      <c r="D1976" s="71"/>
      <c r="E1976" s="68" t="s">
        <v>7972</v>
      </c>
      <c r="F1976" s="68">
        <v>2003.0</v>
      </c>
      <c r="G1976" s="68" t="s">
        <v>7973</v>
      </c>
      <c r="H1976" s="71"/>
      <c r="I1976" s="114" t="s">
        <v>7974</v>
      </c>
      <c r="J1976" s="68" t="s">
        <v>841</v>
      </c>
      <c r="K1976" s="71"/>
      <c r="L1976" s="71"/>
      <c r="M1976" s="68" t="s">
        <v>137</v>
      </c>
      <c r="N1976" s="61"/>
      <c r="O1976" s="51"/>
    </row>
    <row r="1977">
      <c r="A1977" s="56">
        <v>1974.0</v>
      </c>
      <c r="B1977" s="71"/>
      <c r="C1977" s="69" t="s">
        <v>7975</v>
      </c>
      <c r="D1977" s="71"/>
      <c r="E1977" s="68" t="s">
        <v>7976</v>
      </c>
      <c r="F1977" s="83">
        <v>41668.0</v>
      </c>
      <c r="G1977" s="68" t="s">
        <v>7977</v>
      </c>
      <c r="H1977" s="71"/>
      <c r="I1977" s="99" t="s">
        <v>7978</v>
      </c>
      <c r="J1977" s="68" t="s">
        <v>7979</v>
      </c>
      <c r="K1977" s="71"/>
      <c r="L1977" s="71"/>
      <c r="M1977" s="71"/>
      <c r="N1977" s="61"/>
      <c r="O1977" s="51"/>
    </row>
    <row r="1978">
      <c r="A1978" s="56">
        <v>1975.0</v>
      </c>
      <c r="B1978" s="71"/>
      <c r="C1978" s="69" t="s">
        <v>7980</v>
      </c>
      <c r="D1978" s="71"/>
      <c r="E1978" s="68" t="s">
        <v>7981</v>
      </c>
      <c r="F1978" s="83">
        <v>41388.0</v>
      </c>
      <c r="G1978" s="68" t="s">
        <v>7982</v>
      </c>
      <c r="H1978" s="71"/>
      <c r="I1978" s="114" t="s">
        <v>635</v>
      </c>
      <c r="J1978" s="68" t="s">
        <v>7983</v>
      </c>
      <c r="K1978" s="71"/>
      <c r="L1978" s="71"/>
      <c r="M1978" s="71"/>
      <c r="N1978" s="61"/>
      <c r="O1978" s="51"/>
    </row>
    <row r="1979">
      <c r="A1979" s="56">
        <v>1976.0</v>
      </c>
      <c r="B1979" s="66"/>
      <c r="C1979" s="64" t="s">
        <v>7984</v>
      </c>
      <c r="D1979" s="66"/>
      <c r="E1979" s="63" t="s">
        <v>7985</v>
      </c>
      <c r="F1979" s="63">
        <v>2009.0</v>
      </c>
      <c r="G1979" s="63" t="s">
        <v>7986</v>
      </c>
      <c r="H1979" s="66"/>
      <c r="I1979" s="99" t="s">
        <v>7987</v>
      </c>
      <c r="J1979" s="63" t="s">
        <v>7988</v>
      </c>
      <c r="K1979" s="66"/>
      <c r="L1979" s="66"/>
      <c r="M1979" s="63" t="s">
        <v>530</v>
      </c>
      <c r="N1979" s="61"/>
      <c r="O1979" s="51"/>
    </row>
    <row r="1980">
      <c r="A1980" s="56">
        <v>1977.0</v>
      </c>
      <c r="B1980" s="71"/>
      <c r="C1980" s="69" t="s">
        <v>7989</v>
      </c>
      <c r="D1980" s="71"/>
      <c r="E1980" s="68" t="s">
        <v>7990</v>
      </c>
      <c r="F1980" s="76">
        <v>41275.0</v>
      </c>
      <c r="G1980" s="68" t="s">
        <v>7991</v>
      </c>
      <c r="H1980" s="71"/>
      <c r="I1980" s="99" t="s">
        <v>7992</v>
      </c>
      <c r="J1980" s="68" t="s">
        <v>7993</v>
      </c>
      <c r="K1980" s="71"/>
      <c r="L1980" s="71"/>
      <c r="M1980" s="66"/>
      <c r="N1980" s="61"/>
      <c r="O1980" s="51"/>
    </row>
    <row r="1981">
      <c r="A1981" s="56">
        <v>1978.0</v>
      </c>
      <c r="B1981" s="71"/>
      <c r="C1981" s="69" t="s">
        <v>7994</v>
      </c>
      <c r="D1981" s="71"/>
      <c r="E1981" s="68" t="s">
        <v>7995</v>
      </c>
      <c r="F1981" s="68">
        <v>2012.0</v>
      </c>
      <c r="G1981" s="68" t="s">
        <v>7996</v>
      </c>
      <c r="H1981" s="71"/>
      <c r="I1981" s="114" t="s">
        <v>635</v>
      </c>
      <c r="J1981" s="68" t="s">
        <v>7997</v>
      </c>
      <c r="K1981" s="71"/>
      <c r="L1981" s="71"/>
      <c r="M1981" s="71"/>
      <c r="N1981" s="61"/>
      <c r="O1981" s="51"/>
    </row>
    <row r="1982">
      <c r="A1982" s="56">
        <v>1979.0</v>
      </c>
      <c r="B1982" s="71"/>
      <c r="C1982" s="69" t="s">
        <v>7998</v>
      </c>
      <c r="D1982" s="71"/>
      <c r="E1982" s="68" t="s">
        <v>7999</v>
      </c>
      <c r="F1982" s="76">
        <v>40885.0</v>
      </c>
      <c r="G1982" s="68" t="s">
        <v>8000</v>
      </c>
      <c r="H1982" s="71"/>
      <c r="I1982" s="99" t="s">
        <v>8001</v>
      </c>
      <c r="J1982" s="68" t="s">
        <v>8002</v>
      </c>
      <c r="K1982" s="71"/>
      <c r="L1982" s="71"/>
      <c r="M1982" s="71"/>
      <c r="N1982" s="61"/>
      <c r="O1982" s="51"/>
    </row>
    <row r="1983">
      <c r="A1983" s="56">
        <v>1980.0</v>
      </c>
      <c r="B1983" s="71"/>
      <c r="C1983" s="69" t="s">
        <v>8003</v>
      </c>
      <c r="D1983" s="71"/>
      <c r="E1983" s="68" t="s">
        <v>8004</v>
      </c>
      <c r="F1983" s="68">
        <v>2012.0</v>
      </c>
      <c r="G1983" s="68" t="s">
        <v>7986</v>
      </c>
      <c r="H1983" s="71"/>
      <c r="I1983" s="99" t="s">
        <v>635</v>
      </c>
      <c r="J1983" s="68" t="s">
        <v>8005</v>
      </c>
      <c r="K1983" s="71"/>
      <c r="L1983" s="66"/>
      <c r="M1983" s="66"/>
      <c r="N1983" s="61"/>
      <c r="O1983" s="51"/>
    </row>
    <row r="1984">
      <c r="A1984" s="56">
        <v>1981.0</v>
      </c>
      <c r="B1984" s="66"/>
      <c r="C1984" s="64" t="s">
        <v>8006</v>
      </c>
      <c r="D1984" s="66"/>
      <c r="E1984" s="63" t="s">
        <v>8007</v>
      </c>
      <c r="F1984" s="63">
        <v>2009.0</v>
      </c>
      <c r="G1984" s="63" t="s">
        <v>8008</v>
      </c>
      <c r="H1984" s="66"/>
      <c r="I1984" s="91" t="s">
        <v>8009</v>
      </c>
      <c r="J1984" s="63" t="s">
        <v>7988</v>
      </c>
      <c r="K1984" s="66"/>
      <c r="L1984" s="66"/>
      <c r="M1984" s="66"/>
      <c r="N1984" s="61"/>
      <c r="O1984" s="51"/>
    </row>
    <row r="1985">
      <c r="A1985" s="56">
        <v>1982.0</v>
      </c>
      <c r="B1985" s="66"/>
      <c r="C1985" s="64" t="s">
        <v>8010</v>
      </c>
      <c r="D1985" s="66"/>
      <c r="E1985" s="63" t="s">
        <v>8011</v>
      </c>
      <c r="F1985" s="65">
        <v>40169.0</v>
      </c>
      <c r="G1985" s="63" t="s">
        <v>8012</v>
      </c>
      <c r="H1985" s="66"/>
      <c r="I1985" s="91" t="s">
        <v>8013</v>
      </c>
      <c r="J1985" s="63" t="s">
        <v>7988</v>
      </c>
      <c r="K1985" s="66"/>
      <c r="L1985" s="66"/>
      <c r="M1985" s="66"/>
      <c r="N1985" s="61"/>
      <c r="O1985" s="51"/>
    </row>
    <row r="1986">
      <c r="A1986" s="56">
        <v>1983.0</v>
      </c>
      <c r="B1986" s="66"/>
      <c r="C1986" s="64" t="s">
        <v>8014</v>
      </c>
      <c r="D1986" s="66"/>
      <c r="E1986" s="63" t="s">
        <v>8015</v>
      </c>
      <c r="F1986" s="65">
        <v>40167.0</v>
      </c>
      <c r="G1986" s="63" t="s">
        <v>8012</v>
      </c>
      <c r="H1986" s="66"/>
      <c r="I1986" s="91" t="s">
        <v>8013</v>
      </c>
      <c r="J1986" s="63" t="s">
        <v>7988</v>
      </c>
      <c r="K1986" s="66"/>
      <c r="L1986" s="66"/>
      <c r="M1986" s="66"/>
      <c r="N1986" s="61"/>
      <c r="O1986" s="51"/>
    </row>
    <row r="1987">
      <c r="A1987" s="56">
        <v>1984.0</v>
      </c>
      <c r="B1987" s="71"/>
      <c r="C1987" s="69" t="s">
        <v>8016</v>
      </c>
      <c r="D1987" s="71"/>
      <c r="E1987" s="68" t="s">
        <v>8017</v>
      </c>
      <c r="F1987" s="83">
        <v>41205.0</v>
      </c>
      <c r="G1987" s="68" t="s">
        <v>8018</v>
      </c>
      <c r="H1987" s="71"/>
      <c r="I1987" s="114" t="s">
        <v>8019</v>
      </c>
      <c r="J1987" s="68" t="s">
        <v>8020</v>
      </c>
      <c r="K1987" s="71"/>
      <c r="L1987" s="71"/>
      <c r="M1987" s="71"/>
      <c r="N1987" s="61"/>
      <c r="O1987" s="51"/>
    </row>
    <row r="1988">
      <c r="A1988" s="56">
        <v>1985.0</v>
      </c>
      <c r="B1988" s="66"/>
      <c r="C1988" s="64" t="s">
        <v>8021</v>
      </c>
      <c r="D1988" s="66"/>
      <c r="E1988" s="63" t="s">
        <v>8022</v>
      </c>
      <c r="F1988" s="66"/>
      <c r="G1988" s="63" t="s">
        <v>8023</v>
      </c>
      <c r="H1988" s="66"/>
      <c r="I1988" s="99" t="s">
        <v>8024</v>
      </c>
      <c r="J1988" s="63" t="s">
        <v>7988</v>
      </c>
      <c r="K1988" s="66"/>
      <c r="L1988" s="66"/>
      <c r="M1988" s="66"/>
      <c r="N1988" s="61"/>
      <c r="O1988" s="51"/>
    </row>
    <row r="1989">
      <c r="A1989" s="56">
        <v>1986.0</v>
      </c>
      <c r="B1989" s="66"/>
      <c r="C1989" s="64" t="s">
        <v>8025</v>
      </c>
      <c r="D1989" s="66"/>
      <c r="E1989" s="63" t="s">
        <v>8026</v>
      </c>
      <c r="F1989" s="70">
        <v>40003.0</v>
      </c>
      <c r="G1989" s="63" t="s">
        <v>8027</v>
      </c>
      <c r="H1989" s="66"/>
      <c r="I1989" s="99" t="s">
        <v>8028</v>
      </c>
      <c r="J1989" s="63" t="s">
        <v>7988</v>
      </c>
      <c r="K1989" s="66"/>
      <c r="L1989" s="66"/>
      <c r="M1989" s="66"/>
      <c r="N1989" s="61"/>
      <c r="O1989" s="51"/>
    </row>
    <row r="1990">
      <c r="A1990" s="56">
        <v>1987.0</v>
      </c>
      <c r="B1990" s="66"/>
      <c r="C1990" s="64" t="s">
        <v>8029</v>
      </c>
      <c r="D1990" s="66"/>
      <c r="E1990" s="63" t="s">
        <v>8030</v>
      </c>
      <c r="F1990" s="65">
        <v>40071.0</v>
      </c>
      <c r="G1990" s="63" t="s">
        <v>8031</v>
      </c>
      <c r="H1990" s="66"/>
      <c r="I1990" s="99" t="s">
        <v>8032</v>
      </c>
      <c r="J1990" s="63" t="s">
        <v>8033</v>
      </c>
      <c r="K1990" s="66"/>
      <c r="L1990" s="66"/>
      <c r="M1990" s="64" t="s">
        <v>8034</v>
      </c>
      <c r="N1990" s="61"/>
      <c r="O1990" s="51"/>
    </row>
    <row r="1991">
      <c r="A1991" s="56">
        <v>1988.0</v>
      </c>
      <c r="B1991" s="71"/>
      <c r="C1991" s="69" t="s">
        <v>8035</v>
      </c>
      <c r="D1991" s="71"/>
      <c r="E1991" s="68" t="s">
        <v>8036</v>
      </c>
      <c r="F1991" s="68">
        <v>2009.0</v>
      </c>
      <c r="G1991" s="68" t="s">
        <v>8037</v>
      </c>
      <c r="H1991" s="71"/>
      <c r="I1991" s="99" t="s">
        <v>8038</v>
      </c>
      <c r="J1991" s="68" t="s">
        <v>8039</v>
      </c>
      <c r="K1991" s="66"/>
      <c r="L1991" s="66"/>
      <c r="M1991" s="66"/>
      <c r="N1991" s="61"/>
      <c r="O1991" s="51"/>
    </row>
    <row r="1992">
      <c r="A1992" s="56">
        <v>1989.0</v>
      </c>
      <c r="B1992" s="66"/>
      <c r="C1992" s="64" t="s">
        <v>8040</v>
      </c>
      <c r="D1992" s="66"/>
      <c r="E1992" s="63" t="s">
        <v>8041</v>
      </c>
      <c r="F1992" s="70">
        <v>41799.0</v>
      </c>
      <c r="G1992" s="63" t="s">
        <v>8042</v>
      </c>
      <c r="H1992" s="66"/>
      <c r="I1992" s="99" t="s">
        <v>8043</v>
      </c>
      <c r="J1992" s="63" t="s">
        <v>7988</v>
      </c>
      <c r="K1992" s="66"/>
      <c r="L1992" s="66"/>
      <c r="M1992" s="66"/>
      <c r="N1992" s="61"/>
      <c r="O1992" s="51"/>
    </row>
    <row r="1993">
      <c r="A1993" s="56">
        <v>1990.0</v>
      </c>
      <c r="B1993" s="82"/>
      <c r="C1993" s="79" t="s">
        <v>8044</v>
      </c>
      <c r="D1993" s="82"/>
      <c r="E1993" s="80" t="s">
        <v>8045</v>
      </c>
      <c r="F1993" s="81">
        <v>41036.0</v>
      </c>
      <c r="G1993" s="80" t="s">
        <v>8046</v>
      </c>
      <c r="H1993" s="82"/>
      <c r="I1993" s="132" t="s">
        <v>635</v>
      </c>
      <c r="J1993" s="80" t="s">
        <v>1847</v>
      </c>
      <c r="K1993" s="82"/>
      <c r="L1993" s="82"/>
      <c r="M1993" s="82"/>
      <c r="N1993" s="61"/>
      <c r="O1993" s="51"/>
    </row>
    <row r="1994">
      <c r="A1994" s="56">
        <v>1991.0</v>
      </c>
      <c r="B1994" s="71"/>
      <c r="C1994" s="69" t="s">
        <v>8047</v>
      </c>
      <c r="D1994" s="71"/>
      <c r="E1994" s="68" t="s">
        <v>8048</v>
      </c>
      <c r="F1994" s="83">
        <v>40040.0</v>
      </c>
      <c r="G1994" s="68" t="s">
        <v>8049</v>
      </c>
      <c r="H1994" s="71"/>
      <c r="I1994" s="99" t="s">
        <v>635</v>
      </c>
      <c r="J1994" s="87" t="s">
        <v>8050</v>
      </c>
      <c r="K1994" s="71"/>
      <c r="L1994" s="71"/>
      <c r="M1994" s="71"/>
      <c r="N1994" s="61"/>
      <c r="O1994" s="51"/>
    </row>
    <row r="1995">
      <c r="A1995" s="75">
        <v>1992.0</v>
      </c>
      <c r="B1995" s="68" t="s">
        <v>8051</v>
      </c>
      <c r="C1995" s="69" t="s">
        <v>8052</v>
      </c>
      <c r="D1995" s="87" t="s">
        <v>1731</v>
      </c>
      <c r="E1995" s="68" t="s">
        <v>8053</v>
      </c>
      <c r="F1995" s="76">
        <v>39150.0</v>
      </c>
      <c r="G1995" s="68" t="s">
        <v>8054</v>
      </c>
      <c r="H1995" s="71"/>
      <c r="I1995" s="114" t="s">
        <v>8055</v>
      </c>
      <c r="J1995" s="68" t="s">
        <v>8056</v>
      </c>
      <c r="K1995" s="71"/>
      <c r="L1995" s="71"/>
      <c r="M1995" s="68" t="s">
        <v>125</v>
      </c>
      <c r="N1995" s="77"/>
      <c r="O1995" s="51"/>
    </row>
    <row r="1996">
      <c r="A1996" s="56">
        <v>1993.0</v>
      </c>
      <c r="B1996" s="71"/>
      <c r="C1996" s="69" t="s">
        <v>8057</v>
      </c>
      <c r="D1996" s="71"/>
      <c r="E1996" s="68" t="s">
        <v>8058</v>
      </c>
      <c r="F1996" s="83">
        <v>41742.0</v>
      </c>
      <c r="G1996" s="68" t="s">
        <v>8059</v>
      </c>
      <c r="H1996" s="71"/>
      <c r="I1996" s="114" t="s">
        <v>8060</v>
      </c>
      <c r="J1996" s="87" t="s">
        <v>8061</v>
      </c>
      <c r="K1996" s="71"/>
      <c r="L1996" s="71"/>
      <c r="M1996" s="71"/>
      <c r="N1996" s="61"/>
      <c r="O1996" s="51"/>
    </row>
    <row r="1997">
      <c r="A1997" s="56">
        <v>1994.0</v>
      </c>
      <c r="B1997" s="66"/>
      <c r="C1997" s="69" t="s">
        <v>8062</v>
      </c>
      <c r="D1997" s="71"/>
      <c r="E1997" s="68" t="s">
        <v>8063</v>
      </c>
      <c r="F1997" s="83">
        <v>41418.0</v>
      </c>
      <c r="G1997" s="68" t="s">
        <v>8064</v>
      </c>
      <c r="H1997" s="71"/>
      <c r="I1997" s="99" t="s">
        <v>8065</v>
      </c>
      <c r="J1997" s="68" t="s">
        <v>8066</v>
      </c>
      <c r="K1997" s="71"/>
      <c r="L1997" s="71"/>
      <c r="M1997" s="71"/>
      <c r="N1997" s="61"/>
      <c r="O1997" s="51"/>
    </row>
    <row r="1998">
      <c r="A1998" s="56">
        <v>1995.0</v>
      </c>
      <c r="B1998" s="66"/>
      <c r="C1998" s="64" t="s">
        <v>8067</v>
      </c>
      <c r="D1998" s="66"/>
      <c r="E1998" s="63" t="s">
        <v>8068</v>
      </c>
      <c r="F1998" s="65">
        <v>41418.0</v>
      </c>
      <c r="G1998" s="63" t="s">
        <v>8069</v>
      </c>
      <c r="H1998" s="66"/>
      <c r="I1998" s="99" t="s">
        <v>8065</v>
      </c>
      <c r="J1998" s="63" t="s">
        <v>8070</v>
      </c>
      <c r="K1998" s="66"/>
      <c r="L1998" s="66"/>
      <c r="M1998" s="63" t="s">
        <v>4273</v>
      </c>
      <c r="N1998" s="61"/>
      <c r="O1998" s="51"/>
    </row>
    <row r="1999">
      <c r="A1999" s="56">
        <v>1996.0</v>
      </c>
      <c r="B1999" s="71"/>
      <c r="C1999" s="69" t="s">
        <v>8071</v>
      </c>
      <c r="D1999" s="71"/>
      <c r="E1999" s="68" t="s">
        <v>8072</v>
      </c>
      <c r="F1999" s="76">
        <v>41640.0</v>
      </c>
      <c r="G1999" s="68" t="s">
        <v>8073</v>
      </c>
      <c r="H1999" s="71"/>
      <c r="I1999" s="99" t="s">
        <v>635</v>
      </c>
      <c r="J1999" s="68" t="s">
        <v>8074</v>
      </c>
      <c r="K1999" s="66"/>
      <c r="L1999" s="66"/>
      <c r="M1999" s="66"/>
      <c r="N1999" s="61"/>
      <c r="O1999" s="51"/>
    </row>
    <row r="2000">
      <c r="A2000" s="56">
        <v>1997.0</v>
      </c>
      <c r="B2000" s="71"/>
      <c r="C2000" s="69" t="s">
        <v>8075</v>
      </c>
      <c r="D2000" s="71"/>
      <c r="E2000" s="68" t="s">
        <v>8076</v>
      </c>
      <c r="F2000" s="83">
        <v>41569.0</v>
      </c>
      <c r="G2000" s="68" t="s">
        <v>8077</v>
      </c>
      <c r="H2000" s="71"/>
      <c r="I2000" s="99" t="s">
        <v>8078</v>
      </c>
      <c r="J2000" s="68" t="s">
        <v>8079</v>
      </c>
      <c r="K2000" s="71"/>
      <c r="L2000" s="71"/>
      <c r="M2000" s="66"/>
      <c r="N2000" s="61"/>
      <c r="O2000" s="51"/>
    </row>
    <row r="2001">
      <c r="A2001" s="56">
        <v>1998.0</v>
      </c>
      <c r="B2001" s="116"/>
      <c r="C2001" s="69" t="s">
        <v>8080</v>
      </c>
      <c r="D2001" s="116"/>
      <c r="E2001" s="68" t="s">
        <v>8081</v>
      </c>
      <c r="F2001" s="83">
        <v>41605.0</v>
      </c>
      <c r="G2001" s="68" t="s">
        <v>8082</v>
      </c>
      <c r="H2001" s="71"/>
      <c r="I2001" s="193" t="s">
        <v>8083</v>
      </c>
      <c r="J2001" s="68" t="s">
        <v>8084</v>
      </c>
      <c r="K2001" s="71"/>
      <c r="L2001" s="71"/>
      <c r="M2001" s="71"/>
      <c r="N2001" s="61"/>
      <c r="O2001" s="51"/>
    </row>
    <row r="2002">
      <c r="A2002" s="56">
        <v>1999.0</v>
      </c>
      <c r="B2002" s="71"/>
      <c r="C2002" s="69" t="s">
        <v>8085</v>
      </c>
      <c r="D2002" s="71"/>
      <c r="E2002" s="68" t="s">
        <v>8086</v>
      </c>
      <c r="F2002" s="76">
        <v>40856.0</v>
      </c>
      <c r="G2002" s="68" t="s">
        <v>8087</v>
      </c>
      <c r="H2002" s="71"/>
      <c r="I2002" s="114" t="s">
        <v>5859</v>
      </c>
      <c r="J2002" s="68" t="s">
        <v>8088</v>
      </c>
      <c r="K2002" s="71"/>
      <c r="L2002" s="71"/>
      <c r="M2002" s="71"/>
      <c r="N2002" s="61"/>
      <c r="O2002" s="51"/>
    </row>
    <row r="2003">
      <c r="A2003" s="56">
        <v>2000.0</v>
      </c>
      <c r="B2003" s="71"/>
      <c r="C2003" s="69" t="s">
        <v>8089</v>
      </c>
      <c r="D2003" s="71"/>
      <c r="E2003" s="68" t="s">
        <v>8090</v>
      </c>
      <c r="F2003" s="83">
        <v>41718.0</v>
      </c>
      <c r="G2003" s="68" t="s">
        <v>8091</v>
      </c>
      <c r="H2003" s="71"/>
      <c r="I2003" s="114" t="s">
        <v>635</v>
      </c>
      <c r="J2003" s="68" t="s">
        <v>8092</v>
      </c>
      <c r="K2003" s="71"/>
      <c r="L2003" s="71"/>
      <c r="M2003" s="71"/>
      <c r="N2003" s="61"/>
      <c r="O2003" s="51"/>
    </row>
    <row r="2004">
      <c r="A2004" s="56">
        <v>2001.0</v>
      </c>
      <c r="B2004" s="71"/>
      <c r="C2004" s="69" t="s">
        <v>8093</v>
      </c>
      <c r="D2004" s="71"/>
      <c r="E2004" s="68" t="s">
        <v>8094</v>
      </c>
      <c r="F2004" s="68">
        <v>2009.0</v>
      </c>
      <c r="G2004" s="68" t="s">
        <v>8095</v>
      </c>
      <c r="H2004" s="71"/>
      <c r="I2004" s="99" t="s">
        <v>635</v>
      </c>
      <c r="J2004" s="68" t="s">
        <v>8096</v>
      </c>
      <c r="K2004" s="71"/>
      <c r="L2004" s="71"/>
      <c r="M2004" s="66"/>
      <c r="N2004" s="61"/>
      <c r="O2004" s="51"/>
    </row>
    <row r="2005">
      <c r="A2005" s="56">
        <v>2002.0</v>
      </c>
      <c r="B2005" s="71"/>
      <c r="C2005" s="69" t="s">
        <v>8097</v>
      </c>
      <c r="D2005" s="71"/>
      <c r="E2005" s="68" t="s">
        <v>8098</v>
      </c>
      <c r="F2005" s="83">
        <v>41721.0</v>
      </c>
      <c r="G2005" s="68" t="s">
        <v>8099</v>
      </c>
      <c r="H2005" s="71"/>
      <c r="I2005" s="99" t="s">
        <v>8100</v>
      </c>
      <c r="J2005" s="68" t="s">
        <v>8101</v>
      </c>
      <c r="K2005" s="71"/>
      <c r="L2005" s="71"/>
      <c r="M2005" s="71"/>
      <c r="N2005" s="61"/>
      <c r="O2005" s="51"/>
    </row>
    <row r="2006">
      <c r="A2006" s="56">
        <v>2003.0</v>
      </c>
      <c r="B2006" s="60"/>
      <c r="C2006" s="58" t="s">
        <v>8102</v>
      </c>
      <c r="D2006" s="60"/>
      <c r="E2006" s="57" t="s">
        <v>8103</v>
      </c>
      <c r="F2006" s="78">
        <v>41080.0</v>
      </c>
      <c r="G2006" s="57" t="s">
        <v>8104</v>
      </c>
      <c r="H2006" s="60"/>
      <c r="I2006" s="99" t="s">
        <v>8105</v>
      </c>
      <c r="J2006" s="57" t="s">
        <v>8106</v>
      </c>
      <c r="K2006" s="60"/>
      <c r="L2006" s="60"/>
      <c r="M2006" s="104"/>
      <c r="N2006" s="105"/>
      <c r="O2006" s="51"/>
    </row>
    <row r="2007">
      <c r="A2007" s="56">
        <v>2004.0</v>
      </c>
      <c r="B2007" s="71"/>
      <c r="C2007" s="69" t="s">
        <v>8107</v>
      </c>
      <c r="D2007" s="71"/>
      <c r="E2007" s="68" t="s">
        <v>8108</v>
      </c>
      <c r="F2007" s="83">
        <v>41743.0</v>
      </c>
      <c r="G2007" s="68" t="s">
        <v>8109</v>
      </c>
      <c r="H2007" s="71"/>
      <c r="I2007" s="114" t="s">
        <v>8110</v>
      </c>
      <c r="J2007" s="68" t="s">
        <v>8111</v>
      </c>
      <c r="K2007" s="71"/>
      <c r="L2007" s="71"/>
      <c r="M2007" s="111"/>
      <c r="N2007" s="61"/>
      <c r="O2007" s="51"/>
    </row>
    <row r="2008">
      <c r="A2008" s="56">
        <v>2005.0</v>
      </c>
      <c r="B2008" s="66"/>
      <c r="C2008" s="64" t="s">
        <v>8112</v>
      </c>
      <c r="D2008" s="63" t="s">
        <v>8113</v>
      </c>
      <c r="E2008" s="63" t="s">
        <v>8114</v>
      </c>
      <c r="F2008" s="70">
        <v>41856.0</v>
      </c>
      <c r="G2008" s="63" t="s">
        <v>8115</v>
      </c>
      <c r="H2008" s="66"/>
      <c r="I2008" s="99" t="s">
        <v>8116</v>
      </c>
      <c r="J2008" s="63" t="s">
        <v>6381</v>
      </c>
      <c r="K2008" s="66"/>
      <c r="L2008" s="66"/>
      <c r="M2008" s="63" t="s">
        <v>201</v>
      </c>
      <c r="N2008" s="61"/>
      <c r="O2008" s="51"/>
    </row>
    <row r="2009">
      <c r="A2009" s="56">
        <v>2006.0</v>
      </c>
      <c r="B2009" s="66"/>
      <c r="C2009" s="64" t="s">
        <v>8117</v>
      </c>
      <c r="D2009" s="63" t="s">
        <v>8118</v>
      </c>
      <c r="E2009" s="63" t="s">
        <v>8119</v>
      </c>
      <c r="F2009" s="66"/>
      <c r="G2009" s="63" t="s">
        <v>8120</v>
      </c>
      <c r="H2009" s="66"/>
      <c r="I2009" s="99" t="s">
        <v>8116</v>
      </c>
      <c r="J2009" s="63" t="s">
        <v>1872</v>
      </c>
      <c r="K2009" s="66"/>
      <c r="L2009" s="66"/>
      <c r="M2009" s="66"/>
      <c r="N2009" s="61"/>
      <c r="O2009" s="51"/>
    </row>
    <row r="2010">
      <c r="A2010" s="56">
        <v>2007.0</v>
      </c>
      <c r="B2010" s="66"/>
      <c r="C2010" s="64" t="s">
        <v>8121</v>
      </c>
      <c r="D2010" s="63" t="s">
        <v>8122</v>
      </c>
      <c r="E2010" s="63" t="s">
        <v>8123</v>
      </c>
      <c r="F2010" s="63">
        <v>2009.0</v>
      </c>
      <c r="G2010" s="63" t="s">
        <v>8124</v>
      </c>
      <c r="H2010" s="66"/>
      <c r="I2010" s="99" t="s">
        <v>8125</v>
      </c>
      <c r="J2010" s="63" t="s">
        <v>1872</v>
      </c>
      <c r="K2010" s="66"/>
      <c r="L2010" s="66"/>
      <c r="M2010" s="63" t="s">
        <v>530</v>
      </c>
      <c r="N2010" s="61"/>
      <c r="O2010" s="51"/>
    </row>
    <row r="2011">
      <c r="A2011" s="56">
        <v>2008.0</v>
      </c>
      <c r="B2011" s="71"/>
      <c r="C2011" s="69" t="s">
        <v>8126</v>
      </c>
      <c r="D2011" s="68" t="s">
        <v>8127</v>
      </c>
      <c r="E2011" s="68" t="s">
        <v>8128</v>
      </c>
      <c r="F2011" s="83">
        <v>41181.0</v>
      </c>
      <c r="G2011" s="68" t="s">
        <v>8129</v>
      </c>
      <c r="H2011" s="71"/>
      <c r="I2011" s="114" t="s">
        <v>8130</v>
      </c>
      <c r="J2011" s="68" t="s">
        <v>8131</v>
      </c>
      <c r="K2011" s="71"/>
      <c r="L2011" s="71"/>
      <c r="M2011" s="71"/>
      <c r="N2011" s="61"/>
      <c r="O2011" s="51"/>
    </row>
    <row r="2012">
      <c r="A2012" s="56">
        <v>2009.0</v>
      </c>
      <c r="B2012" s="71"/>
      <c r="C2012" s="69" t="s">
        <v>8132</v>
      </c>
      <c r="D2012" s="68" t="s">
        <v>8133</v>
      </c>
      <c r="E2012" s="68" t="s">
        <v>8134</v>
      </c>
      <c r="F2012" s="68">
        <v>2013.0</v>
      </c>
      <c r="G2012" s="68" t="s">
        <v>8135</v>
      </c>
      <c r="H2012" s="71"/>
      <c r="I2012" s="99" t="s">
        <v>8136</v>
      </c>
      <c r="J2012" s="68" t="s">
        <v>8137</v>
      </c>
      <c r="K2012" s="71"/>
      <c r="L2012" s="66"/>
      <c r="M2012" s="66"/>
      <c r="N2012" s="61"/>
      <c r="O2012" s="51"/>
    </row>
    <row r="2013">
      <c r="A2013" s="56">
        <v>2010.0</v>
      </c>
      <c r="B2013" s="71"/>
      <c r="C2013" s="69" t="s">
        <v>8138</v>
      </c>
      <c r="D2013" s="68" t="s">
        <v>8139</v>
      </c>
      <c r="E2013" s="68" t="s">
        <v>8140</v>
      </c>
      <c r="F2013" s="68">
        <v>2012.0</v>
      </c>
      <c r="G2013" s="68" t="s">
        <v>8141</v>
      </c>
      <c r="H2013" s="68" t="s">
        <v>439</v>
      </c>
      <c r="I2013" s="99" t="s">
        <v>8142</v>
      </c>
      <c r="J2013" s="68" t="s">
        <v>8143</v>
      </c>
      <c r="K2013" s="71"/>
      <c r="L2013" s="71"/>
      <c r="M2013" s="71"/>
      <c r="N2013" s="61"/>
      <c r="O2013" s="51"/>
    </row>
    <row r="2014">
      <c r="A2014" s="75">
        <v>2011.0</v>
      </c>
      <c r="B2014" s="71"/>
      <c r="C2014" s="69" t="s">
        <v>8144</v>
      </c>
      <c r="D2014" s="68" t="s">
        <v>8139</v>
      </c>
      <c r="E2014" s="68" t="s">
        <v>8145</v>
      </c>
      <c r="F2014" s="68">
        <v>2009.0</v>
      </c>
      <c r="G2014" s="68" t="s">
        <v>8141</v>
      </c>
      <c r="H2014" s="71"/>
      <c r="I2014" s="114" t="s">
        <v>8146</v>
      </c>
      <c r="J2014" s="68" t="s">
        <v>8147</v>
      </c>
      <c r="K2014" s="71"/>
      <c r="L2014" s="71"/>
      <c r="M2014" s="68" t="s">
        <v>530</v>
      </c>
      <c r="N2014" s="77"/>
      <c r="O2014" s="51"/>
    </row>
    <row r="2015">
      <c r="A2015" s="56">
        <v>2012.0</v>
      </c>
      <c r="B2015" s="71"/>
      <c r="C2015" s="69" t="s">
        <v>8148</v>
      </c>
      <c r="D2015" s="68" t="s">
        <v>8149</v>
      </c>
      <c r="E2015" s="68" t="s">
        <v>8150</v>
      </c>
      <c r="F2015" s="68">
        <v>2010.0</v>
      </c>
      <c r="G2015" s="68" t="s">
        <v>8151</v>
      </c>
      <c r="H2015" s="71"/>
      <c r="I2015" s="114" t="s">
        <v>635</v>
      </c>
      <c r="J2015" s="68" t="s">
        <v>8152</v>
      </c>
      <c r="K2015" s="71"/>
      <c r="L2015" s="71"/>
      <c r="M2015" s="71"/>
      <c r="N2015" s="61"/>
      <c r="O2015" s="51"/>
    </row>
    <row r="2016">
      <c r="A2016" s="56">
        <v>2013.0</v>
      </c>
      <c r="B2016" s="87" t="s">
        <v>3933</v>
      </c>
      <c r="C2016" s="69" t="s">
        <v>8153</v>
      </c>
      <c r="D2016" s="68" t="s">
        <v>8154</v>
      </c>
      <c r="E2016" s="68" t="s">
        <v>8155</v>
      </c>
      <c r="F2016" s="83">
        <v>40418.0</v>
      </c>
      <c r="G2016" s="68" t="s">
        <v>8156</v>
      </c>
      <c r="H2016" s="71"/>
      <c r="I2016" s="114" t="s">
        <v>8157</v>
      </c>
      <c r="J2016" s="68" t="s">
        <v>8158</v>
      </c>
      <c r="K2016" s="71"/>
      <c r="L2016" s="71"/>
      <c r="M2016" s="68" t="s">
        <v>125</v>
      </c>
      <c r="N2016" s="61"/>
      <c r="O2016" s="51"/>
    </row>
    <row r="2017">
      <c r="A2017" s="56">
        <v>2014.0</v>
      </c>
      <c r="B2017" s="71"/>
      <c r="C2017" s="69" t="s">
        <v>8159</v>
      </c>
      <c r="D2017" s="68" t="s">
        <v>8160</v>
      </c>
      <c r="E2017" s="68" t="s">
        <v>8161</v>
      </c>
      <c r="F2017" s="83">
        <v>40015.0</v>
      </c>
      <c r="G2017" s="68" t="s">
        <v>8162</v>
      </c>
      <c r="H2017" s="71"/>
      <c r="I2017" s="99" t="s">
        <v>8163</v>
      </c>
      <c r="J2017" s="68" t="s">
        <v>8164</v>
      </c>
      <c r="K2017" s="71"/>
      <c r="L2017" s="71"/>
      <c r="M2017" s="71"/>
      <c r="N2017" s="61"/>
      <c r="O2017" s="51"/>
    </row>
    <row r="2018">
      <c r="A2018" s="56">
        <v>2015.0</v>
      </c>
      <c r="B2018" s="71"/>
      <c r="C2018" s="69" t="s">
        <v>8165</v>
      </c>
      <c r="D2018" s="68" t="s">
        <v>8166</v>
      </c>
      <c r="E2018" s="68" t="s">
        <v>8167</v>
      </c>
      <c r="F2018" s="76">
        <v>41977.0</v>
      </c>
      <c r="G2018" s="68" t="s">
        <v>8168</v>
      </c>
      <c r="H2018" s="71"/>
      <c r="I2018" s="99" t="s">
        <v>8169</v>
      </c>
      <c r="J2018" s="68" t="s">
        <v>8170</v>
      </c>
      <c r="K2018" s="71"/>
      <c r="L2018" s="71"/>
      <c r="M2018" s="71"/>
      <c r="N2018" s="61"/>
      <c r="O2018" s="51"/>
    </row>
    <row r="2019">
      <c r="A2019" s="56">
        <v>2016.0</v>
      </c>
      <c r="B2019" s="71"/>
      <c r="C2019" s="69" t="s">
        <v>8171</v>
      </c>
      <c r="D2019" s="68" t="s">
        <v>8172</v>
      </c>
      <c r="E2019" s="68" t="s">
        <v>8173</v>
      </c>
      <c r="F2019" s="76">
        <v>41312.0</v>
      </c>
      <c r="G2019" s="68" t="s">
        <v>8174</v>
      </c>
      <c r="H2019" s="71"/>
      <c r="I2019" s="114" t="s">
        <v>8175</v>
      </c>
      <c r="J2019" s="68" t="s">
        <v>8176</v>
      </c>
      <c r="K2019" s="71"/>
      <c r="L2019" s="71"/>
      <c r="M2019" s="71"/>
      <c r="N2019" s="61"/>
      <c r="O2019" s="51"/>
    </row>
    <row r="2020">
      <c r="A2020" s="56">
        <v>2017.0</v>
      </c>
      <c r="B2020" s="71"/>
      <c r="C2020" s="69" t="s">
        <v>8177</v>
      </c>
      <c r="D2020" s="68" t="s">
        <v>8178</v>
      </c>
      <c r="E2020" s="68" t="s">
        <v>8179</v>
      </c>
      <c r="F2020" s="83">
        <v>41139.0</v>
      </c>
      <c r="G2020" s="68" t="s">
        <v>8180</v>
      </c>
      <c r="H2020" s="71"/>
      <c r="I2020" s="114" t="s">
        <v>8181</v>
      </c>
      <c r="J2020" s="68" t="s">
        <v>8182</v>
      </c>
      <c r="K2020" s="71"/>
      <c r="L2020" s="71"/>
      <c r="M2020" s="68" t="s">
        <v>2291</v>
      </c>
      <c r="N2020" s="77"/>
      <c r="O2020" s="51"/>
    </row>
    <row r="2021">
      <c r="A2021" s="56">
        <v>2018.0</v>
      </c>
      <c r="B2021" s="60"/>
      <c r="C2021" s="58" t="s">
        <v>8183</v>
      </c>
      <c r="D2021" s="57" t="s">
        <v>8184</v>
      </c>
      <c r="E2021" s="57" t="s">
        <v>8185</v>
      </c>
      <c r="F2021" s="59">
        <v>41672.0</v>
      </c>
      <c r="G2021" s="57" t="s">
        <v>8186</v>
      </c>
      <c r="H2021" s="60"/>
      <c r="I2021" s="99" t="s">
        <v>635</v>
      </c>
      <c r="J2021" s="57" t="s">
        <v>6778</v>
      </c>
      <c r="K2021" s="60"/>
      <c r="L2021" s="60"/>
      <c r="M2021" s="104"/>
      <c r="N2021" s="105"/>
      <c r="O2021" s="51"/>
    </row>
    <row r="2022">
      <c r="A2022" s="56">
        <v>2019.0</v>
      </c>
      <c r="B2022" s="60"/>
      <c r="C2022" s="58" t="s">
        <v>8187</v>
      </c>
      <c r="D2022" s="57" t="s">
        <v>8184</v>
      </c>
      <c r="E2022" s="57" t="s">
        <v>8188</v>
      </c>
      <c r="F2022" s="59">
        <v>41672.0</v>
      </c>
      <c r="G2022" s="57" t="s">
        <v>8186</v>
      </c>
      <c r="H2022" s="60"/>
      <c r="I2022" s="99" t="s">
        <v>635</v>
      </c>
      <c r="J2022" s="57" t="s">
        <v>6778</v>
      </c>
      <c r="K2022" s="60"/>
      <c r="L2022" s="60"/>
      <c r="M2022" s="104"/>
      <c r="N2022" s="105"/>
      <c r="O2022" s="51"/>
    </row>
    <row r="2023">
      <c r="A2023" s="56">
        <v>2020.0</v>
      </c>
      <c r="B2023" s="71"/>
      <c r="C2023" s="69" t="s">
        <v>8189</v>
      </c>
      <c r="D2023" s="68" t="s">
        <v>8190</v>
      </c>
      <c r="E2023" s="68" t="s">
        <v>8191</v>
      </c>
      <c r="F2023" s="76">
        <v>40640.0</v>
      </c>
      <c r="G2023" s="68" t="s">
        <v>8192</v>
      </c>
      <c r="H2023" s="71"/>
      <c r="I2023" s="114" t="s">
        <v>8193</v>
      </c>
      <c r="J2023" s="68" t="s">
        <v>8194</v>
      </c>
      <c r="K2023" s="71"/>
      <c r="L2023" s="71"/>
      <c r="M2023" s="111"/>
      <c r="N2023" s="61"/>
      <c r="O2023" s="51"/>
    </row>
    <row r="2024">
      <c r="A2024" s="56">
        <v>2021.0</v>
      </c>
      <c r="B2024" s="60"/>
      <c r="C2024" s="58" t="s">
        <v>8195</v>
      </c>
      <c r="D2024" s="57" t="s">
        <v>8196</v>
      </c>
      <c r="E2024" s="57" t="s">
        <v>8197</v>
      </c>
      <c r="F2024" s="57">
        <v>2011.0</v>
      </c>
      <c r="G2024" s="57" t="s">
        <v>8198</v>
      </c>
      <c r="H2024" s="60"/>
      <c r="I2024" s="99" t="s">
        <v>8199</v>
      </c>
      <c r="J2024" s="57" t="s">
        <v>8200</v>
      </c>
      <c r="K2024" s="60"/>
      <c r="L2024" s="60"/>
      <c r="M2024" s="104"/>
      <c r="N2024" s="105"/>
      <c r="O2024" s="51"/>
    </row>
    <row r="2025">
      <c r="A2025" s="56">
        <v>2022.0</v>
      </c>
      <c r="B2025" s="60"/>
      <c r="C2025" s="58" t="s">
        <v>8201</v>
      </c>
      <c r="D2025" s="57" t="s">
        <v>8202</v>
      </c>
      <c r="E2025" s="57" t="s">
        <v>8203</v>
      </c>
      <c r="F2025" s="78">
        <v>41744.0</v>
      </c>
      <c r="G2025" s="57" t="s">
        <v>8204</v>
      </c>
      <c r="H2025" s="60"/>
      <c r="I2025" s="99" t="s">
        <v>635</v>
      </c>
      <c r="J2025" s="57" t="s">
        <v>8205</v>
      </c>
      <c r="K2025" s="60"/>
      <c r="L2025" s="60"/>
      <c r="M2025" s="104"/>
      <c r="N2025" s="105"/>
      <c r="O2025" s="51"/>
    </row>
    <row r="2026">
      <c r="A2026" s="56">
        <v>2023.0</v>
      </c>
      <c r="B2026" s="71"/>
      <c r="C2026" s="69" t="s">
        <v>8206</v>
      </c>
      <c r="D2026" s="71"/>
      <c r="E2026" s="68" t="s">
        <v>8207</v>
      </c>
      <c r="F2026" s="76">
        <v>40980.0</v>
      </c>
      <c r="G2026" s="68" t="s">
        <v>8208</v>
      </c>
      <c r="H2026" s="71"/>
      <c r="I2026" s="99" t="s">
        <v>8209</v>
      </c>
      <c r="J2026" s="68" t="s">
        <v>2355</v>
      </c>
      <c r="K2026" s="71"/>
      <c r="L2026" s="71"/>
      <c r="M2026" s="104"/>
      <c r="N2026" s="105"/>
      <c r="O2026" s="51"/>
    </row>
    <row r="2027">
      <c r="A2027" s="56">
        <v>2024.0</v>
      </c>
      <c r="B2027" s="71"/>
      <c r="C2027" s="69" t="s">
        <v>8210</v>
      </c>
      <c r="D2027" s="71"/>
      <c r="E2027" s="68" t="s">
        <v>8211</v>
      </c>
      <c r="F2027" s="76">
        <v>40980.0</v>
      </c>
      <c r="G2027" s="68" t="s">
        <v>8208</v>
      </c>
      <c r="H2027" s="71"/>
      <c r="I2027" s="99" t="s">
        <v>8209</v>
      </c>
      <c r="J2027" s="68" t="s">
        <v>2355</v>
      </c>
      <c r="K2027" s="71"/>
      <c r="L2027" s="71"/>
      <c r="M2027" s="104"/>
      <c r="N2027" s="105"/>
      <c r="O2027" s="51"/>
    </row>
    <row r="2028">
      <c r="A2028" s="56">
        <v>2025.0</v>
      </c>
      <c r="B2028" s="71"/>
      <c r="C2028" s="69" t="s">
        <v>8212</v>
      </c>
      <c r="D2028" s="68" t="s">
        <v>8213</v>
      </c>
      <c r="E2028" s="68" t="s">
        <v>8150</v>
      </c>
      <c r="F2028" s="83">
        <v>41384.0</v>
      </c>
      <c r="G2028" s="68" t="s">
        <v>8214</v>
      </c>
      <c r="H2028" s="71"/>
      <c r="I2028" s="114" t="s">
        <v>8215</v>
      </c>
      <c r="J2028" s="68" t="s">
        <v>8216</v>
      </c>
      <c r="K2028" s="71"/>
      <c r="L2028" s="71"/>
      <c r="M2028" s="111"/>
      <c r="N2028" s="61"/>
      <c r="O2028" s="51"/>
    </row>
    <row r="2029">
      <c r="A2029" s="56">
        <v>2026.0</v>
      </c>
      <c r="B2029" s="71"/>
      <c r="C2029" s="69" t="s">
        <v>8217</v>
      </c>
      <c r="D2029" s="68" t="s">
        <v>8218</v>
      </c>
      <c r="E2029" s="68" t="s">
        <v>8219</v>
      </c>
      <c r="F2029" s="83">
        <v>41534.0</v>
      </c>
      <c r="G2029" s="68" t="s">
        <v>8220</v>
      </c>
      <c r="H2029" s="71"/>
      <c r="I2029" s="99" t="s">
        <v>8221</v>
      </c>
      <c r="J2029" s="68" t="s">
        <v>8222</v>
      </c>
      <c r="K2029" s="71"/>
      <c r="L2029" s="66"/>
      <c r="M2029" s="66"/>
      <c r="N2029" s="61"/>
      <c r="O2029" s="51"/>
    </row>
    <row r="2030">
      <c r="A2030" s="56">
        <v>2027.0</v>
      </c>
      <c r="B2030" s="66"/>
      <c r="C2030" s="64" t="s">
        <v>8223</v>
      </c>
      <c r="D2030" s="63" t="s">
        <v>8224</v>
      </c>
      <c r="E2030" s="63" t="s">
        <v>8225</v>
      </c>
      <c r="F2030" s="65">
        <v>41510.0</v>
      </c>
      <c r="G2030" s="63" t="s">
        <v>8226</v>
      </c>
      <c r="H2030" s="66"/>
      <c r="I2030" s="99" t="s">
        <v>8227</v>
      </c>
      <c r="J2030" s="63" t="s">
        <v>8228</v>
      </c>
      <c r="K2030" s="66"/>
      <c r="L2030" s="66"/>
      <c r="M2030" s="63" t="s">
        <v>125</v>
      </c>
      <c r="N2030" s="61"/>
      <c r="O2030" s="51"/>
    </row>
    <row r="2031">
      <c r="A2031" s="56">
        <v>2028.0</v>
      </c>
      <c r="B2031" s="71"/>
      <c r="C2031" s="69" t="s">
        <v>8229</v>
      </c>
      <c r="D2031" s="68" t="s">
        <v>8230</v>
      </c>
      <c r="E2031" s="68" t="s">
        <v>8231</v>
      </c>
      <c r="F2031" s="190">
        <v>40330.0</v>
      </c>
      <c r="G2031" s="68" t="s">
        <v>8232</v>
      </c>
      <c r="H2031" s="71"/>
      <c r="I2031" s="114" t="s">
        <v>8233</v>
      </c>
      <c r="J2031" s="68" t="s">
        <v>8234</v>
      </c>
      <c r="K2031" s="71"/>
      <c r="L2031" s="71"/>
      <c r="M2031" s="71"/>
      <c r="N2031" s="61"/>
      <c r="O2031" s="51"/>
    </row>
    <row r="2032">
      <c r="A2032" s="56">
        <v>2029.0</v>
      </c>
      <c r="B2032" s="71"/>
      <c r="C2032" s="69" t="s">
        <v>8235</v>
      </c>
      <c r="D2032" s="68" t="s">
        <v>8236</v>
      </c>
      <c r="E2032" s="68" t="s">
        <v>8237</v>
      </c>
      <c r="F2032" s="83">
        <v>40898.0</v>
      </c>
      <c r="G2032" s="68" t="s">
        <v>8238</v>
      </c>
      <c r="H2032" s="71"/>
      <c r="I2032" s="114" t="s">
        <v>8239</v>
      </c>
      <c r="J2032" s="68" t="s">
        <v>8240</v>
      </c>
      <c r="K2032" s="71"/>
      <c r="L2032" s="71"/>
      <c r="M2032" s="71"/>
      <c r="N2032" s="61"/>
      <c r="O2032" s="51"/>
    </row>
    <row r="2033">
      <c r="A2033" s="56">
        <v>2030.0</v>
      </c>
      <c r="B2033" s="66"/>
      <c r="C2033" s="64" t="s">
        <v>8241</v>
      </c>
      <c r="D2033" s="63" t="s">
        <v>8242</v>
      </c>
      <c r="E2033" s="63" t="s">
        <v>8243</v>
      </c>
      <c r="F2033" s="63">
        <v>2010.0</v>
      </c>
      <c r="G2033" s="63" t="s">
        <v>8244</v>
      </c>
      <c r="H2033" s="66"/>
      <c r="I2033" s="99" t="s">
        <v>8245</v>
      </c>
      <c r="J2033" s="63" t="s">
        <v>6055</v>
      </c>
      <c r="K2033" s="66"/>
      <c r="L2033" s="63" t="s">
        <v>1496</v>
      </c>
      <c r="M2033" s="63" t="s">
        <v>530</v>
      </c>
      <c r="N2033" s="61"/>
      <c r="O2033" s="51"/>
    </row>
    <row r="2034">
      <c r="A2034" s="56">
        <v>2031.0</v>
      </c>
      <c r="B2034" s="71"/>
      <c r="C2034" s="69" t="s">
        <v>8246</v>
      </c>
      <c r="D2034" s="68" t="s">
        <v>8247</v>
      </c>
      <c r="E2034" s="68" t="s">
        <v>8248</v>
      </c>
      <c r="F2034" s="76">
        <v>41671.0</v>
      </c>
      <c r="G2034" s="68" t="s">
        <v>8249</v>
      </c>
      <c r="H2034" s="71"/>
      <c r="I2034" s="114" t="s">
        <v>8250</v>
      </c>
      <c r="J2034" s="68" t="s">
        <v>8251</v>
      </c>
      <c r="K2034" s="71"/>
      <c r="L2034" s="71"/>
      <c r="M2034" s="71"/>
      <c r="N2034" s="61"/>
      <c r="O2034" s="51"/>
    </row>
    <row r="2035">
      <c r="A2035" s="56">
        <v>2032.0</v>
      </c>
      <c r="B2035" s="66"/>
      <c r="C2035" s="64" t="s">
        <v>8252</v>
      </c>
      <c r="D2035" s="63" t="s">
        <v>8247</v>
      </c>
      <c r="E2035" s="63" t="s">
        <v>8253</v>
      </c>
      <c r="F2035" s="70">
        <v>41671.0</v>
      </c>
      <c r="G2035" s="63" t="s">
        <v>8249</v>
      </c>
      <c r="H2035" s="66"/>
      <c r="I2035" s="99" t="s">
        <v>8250</v>
      </c>
      <c r="J2035" s="68" t="s">
        <v>8254</v>
      </c>
      <c r="K2035" s="66"/>
      <c r="L2035" s="66"/>
      <c r="M2035" s="66"/>
      <c r="N2035" s="61"/>
      <c r="O2035" s="51"/>
    </row>
    <row r="2036">
      <c r="A2036" s="56">
        <v>2033.0</v>
      </c>
      <c r="B2036" s="66"/>
      <c r="C2036" s="64" t="s">
        <v>8255</v>
      </c>
      <c r="D2036" s="63" t="s">
        <v>8256</v>
      </c>
      <c r="E2036" s="63" t="s">
        <v>8257</v>
      </c>
      <c r="F2036" s="70">
        <v>39999.0</v>
      </c>
      <c r="G2036" s="63" t="s">
        <v>8258</v>
      </c>
      <c r="H2036" s="66"/>
      <c r="I2036" s="99" t="s">
        <v>8259</v>
      </c>
      <c r="J2036" s="63" t="s">
        <v>6055</v>
      </c>
      <c r="K2036" s="66"/>
      <c r="L2036" s="66"/>
      <c r="M2036" s="63" t="s">
        <v>530</v>
      </c>
      <c r="N2036" s="61"/>
      <c r="O2036" s="51"/>
    </row>
    <row r="2037">
      <c r="A2037" s="56">
        <v>2034.0</v>
      </c>
      <c r="B2037" s="66"/>
      <c r="C2037" s="64" t="s">
        <v>8260</v>
      </c>
      <c r="D2037" s="63" t="s">
        <v>8261</v>
      </c>
      <c r="E2037" s="63" t="s">
        <v>8262</v>
      </c>
      <c r="F2037" s="65">
        <v>40016.0</v>
      </c>
      <c r="G2037" s="63" t="s">
        <v>8263</v>
      </c>
      <c r="H2037" s="66"/>
      <c r="I2037" s="99" t="s">
        <v>8264</v>
      </c>
      <c r="J2037" s="63" t="s">
        <v>8265</v>
      </c>
      <c r="K2037" s="66"/>
      <c r="L2037" s="66"/>
      <c r="M2037" s="63" t="s">
        <v>530</v>
      </c>
      <c r="N2037" s="61"/>
      <c r="O2037" s="51"/>
    </row>
    <row r="2038">
      <c r="A2038" s="56">
        <v>2035.0</v>
      </c>
      <c r="B2038" s="66"/>
      <c r="C2038" s="64" t="s">
        <v>8266</v>
      </c>
      <c r="D2038" s="63" t="s">
        <v>8267</v>
      </c>
      <c r="E2038" s="63" t="s">
        <v>8268</v>
      </c>
      <c r="F2038" s="66"/>
      <c r="G2038" s="63" t="s">
        <v>8269</v>
      </c>
      <c r="H2038" s="66"/>
      <c r="I2038" s="99" t="s">
        <v>8270</v>
      </c>
      <c r="J2038" s="63" t="s">
        <v>6055</v>
      </c>
      <c r="K2038" s="66"/>
      <c r="L2038" s="66"/>
      <c r="M2038" s="63" t="s">
        <v>530</v>
      </c>
      <c r="N2038" s="61"/>
      <c r="O2038" s="51"/>
    </row>
    <row r="2039">
      <c r="A2039" s="56">
        <v>2036.0</v>
      </c>
      <c r="B2039" s="71"/>
      <c r="C2039" s="69" t="s">
        <v>8271</v>
      </c>
      <c r="D2039" s="68" t="s">
        <v>8272</v>
      </c>
      <c r="E2039" s="68" t="s">
        <v>8273</v>
      </c>
      <c r="F2039" s="68">
        <v>2011.0</v>
      </c>
      <c r="G2039" s="68" t="s">
        <v>8274</v>
      </c>
      <c r="H2039" s="71"/>
      <c r="I2039" s="114" t="s">
        <v>8275</v>
      </c>
      <c r="J2039" s="68" t="s">
        <v>3237</v>
      </c>
      <c r="K2039" s="71"/>
      <c r="L2039" s="71"/>
      <c r="M2039" s="68" t="s">
        <v>31</v>
      </c>
      <c r="N2039" s="61"/>
      <c r="O2039" s="51"/>
    </row>
    <row r="2040">
      <c r="A2040" s="56">
        <v>2037.0</v>
      </c>
      <c r="B2040" s="60"/>
      <c r="C2040" s="58" t="s">
        <v>8276</v>
      </c>
      <c r="D2040" s="57" t="s">
        <v>8277</v>
      </c>
      <c r="E2040" s="57" t="s">
        <v>8278</v>
      </c>
      <c r="F2040" s="78">
        <v>41485.0</v>
      </c>
      <c r="G2040" s="57" t="s">
        <v>8279</v>
      </c>
      <c r="H2040" s="60"/>
      <c r="I2040" s="99" t="s">
        <v>8280</v>
      </c>
      <c r="J2040" s="57" t="s">
        <v>8281</v>
      </c>
      <c r="K2040" s="60"/>
      <c r="L2040" s="60"/>
      <c r="M2040" s="104"/>
      <c r="N2040" s="105"/>
      <c r="O2040" s="51"/>
    </row>
    <row r="2041">
      <c r="A2041" s="56">
        <v>2038.0</v>
      </c>
      <c r="B2041" s="60"/>
      <c r="C2041" s="58" t="s">
        <v>8282</v>
      </c>
      <c r="D2041" s="57" t="s">
        <v>8283</v>
      </c>
      <c r="E2041" s="57" t="s">
        <v>8284</v>
      </c>
      <c r="F2041" s="59">
        <v>41977.0</v>
      </c>
      <c r="G2041" s="57" t="s">
        <v>8285</v>
      </c>
      <c r="H2041" s="60"/>
      <c r="I2041" s="99" t="s">
        <v>635</v>
      </c>
      <c r="J2041" s="57" t="s">
        <v>6778</v>
      </c>
      <c r="K2041" s="60"/>
      <c r="L2041" s="104"/>
      <c r="M2041" s="194"/>
      <c r="N2041" s="61"/>
      <c r="O2041" s="51"/>
    </row>
    <row r="2042">
      <c r="A2042" s="56">
        <v>2039.0</v>
      </c>
      <c r="B2042" s="60"/>
      <c r="C2042" s="58" t="s">
        <v>8286</v>
      </c>
      <c r="D2042" s="57" t="s">
        <v>8283</v>
      </c>
      <c r="E2042" s="57" t="s">
        <v>8287</v>
      </c>
      <c r="F2042" s="59">
        <v>41977.0</v>
      </c>
      <c r="G2042" s="57" t="s">
        <v>8285</v>
      </c>
      <c r="H2042" s="60"/>
      <c r="I2042" s="99" t="s">
        <v>635</v>
      </c>
      <c r="J2042" s="57" t="s">
        <v>6778</v>
      </c>
      <c r="K2042" s="60"/>
      <c r="L2042" s="106"/>
      <c r="M2042" s="104"/>
      <c r="N2042" s="105"/>
      <c r="O2042" s="51"/>
    </row>
    <row r="2043">
      <c r="A2043" s="56">
        <v>2040.0</v>
      </c>
      <c r="B2043" s="60"/>
      <c r="C2043" s="58" t="s">
        <v>8288</v>
      </c>
      <c r="D2043" s="57" t="s">
        <v>8283</v>
      </c>
      <c r="E2043" s="57" t="s">
        <v>8289</v>
      </c>
      <c r="F2043" s="59">
        <v>41977.0</v>
      </c>
      <c r="G2043" s="57" t="s">
        <v>8285</v>
      </c>
      <c r="H2043" s="60"/>
      <c r="I2043" s="99" t="s">
        <v>635</v>
      </c>
      <c r="J2043" s="57" t="s">
        <v>8290</v>
      </c>
      <c r="K2043" s="60"/>
      <c r="L2043" s="60"/>
      <c r="M2043" s="104"/>
      <c r="N2043" s="105"/>
      <c r="O2043" s="51"/>
    </row>
    <row r="2044">
      <c r="A2044" s="56">
        <v>2041.0</v>
      </c>
      <c r="B2044" s="60"/>
      <c r="C2044" s="58" t="s">
        <v>8291</v>
      </c>
      <c r="D2044" s="57" t="s">
        <v>8283</v>
      </c>
      <c r="E2044" s="57" t="s">
        <v>8292</v>
      </c>
      <c r="F2044" s="59">
        <v>41977.0</v>
      </c>
      <c r="G2044" s="57" t="s">
        <v>8293</v>
      </c>
      <c r="H2044" s="60"/>
      <c r="I2044" s="99" t="s">
        <v>635</v>
      </c>
      <c r="J2044" s="57" t="s">
        <v>6778</v>
      </c>
      <c r="K2044" s="60"/>
      <c r="L2044" s="60"/>
      <c r="M2044" s="104"/>
      <c r="N2044" s="105"/>
      <c r="O2044" s="51"/>
    </row>
    <row r="2045">
      <c r="A2045" s="56">
        <v>2042.0</v>
      </c>
      <c r="B2045" s="60"/>
      <c r="C2045" s="58" t="s">
        <v>8294</v>
      </c>
      <c r="D2045" s="57" t="s">
        <v>8283</v>
      </c>
      <c r="E2045" s="57" t="s">
        <v>8295</v>
      </c>
      <c r="F2045" s="59">
        <v>41977.0</v>
      </c>
      <c r="G2045" s="57" t="s">
        <v>8293</v>
      </c>
      <c r="H2045" s="60"/>
      <c r="I2045" s="99" t="s">
        <v>635</v>
      </c>
      <c r="J2045" s="57" t="s">
        <v>6778</v>
      </c>
      <c r="K2045" s="60"/>
      <c r="L2045" s="60"/>
      <c r="M2045" s="104"/>
      <c r="N2045" s="105"/>
      <c r="O2045" s="51"/>
    </row>
    <row r="2046">
      <c r="A2046" s="56">
        <v>2043.0</v>
      </c>
      <c r="B2046" s="71"/>
      <c r="C2046" s="69" t="s">
        <v>8296</v>
      </c>
      <c r="D2046" s="68" t="s">
        <v>8297</v>
      </c>
      <c r="E2046" s="68" t="s">
        <v>8298</v>
      </c>
      <c r="F2046" s="68">
        <v>2011.0</v>
      </c>
      <c r="G2046" s="68" t="s">
        <v>8299</v>
      </c>
      <c r="H2046" s="71"/>
      <c r="I2046" s="114" t="s">
        <v>635</v>
      </c>
      <c r="J2046" s="68" t="s">
        <v>8300</v>
      </c>
      <c r="K2046" s="71"/>
      <c r="L2046" s="71"/>
      <c r="M2046" s="111"/>
      <c r="N2046" s="61"/>
      <c r="O2046" s="51"/>
    </row>
    <row r="2047">
      <c r="A2047" s="56">
        <v>2044.0</v>
      </c>
      <c r="B2047" s="66"/>
      <c r="C2047" s="64" t="s">
        <v>8301</v>
      </c>
      <c r="D2047" s="66"/>
      <c r="E2047" s="63" t="s">
        <v>8302</v>
      </c>
      <c r="F2047" s="65">
        <v>40098.0</v>
      </c>
      <c r="G2047" s="63" t="s">
        <v>8303</v>
      </c>
      <c r="H2047" s="66"/>
      <c r="I2047" s="99" t="s">
        <v>8304</v>
      </c>
      <c r="J2047" s="63" t="s">
        <v>6055</v>
      </c>
      <c r="K2047" s="66"/>
      <c r="L2047" s="66"/>
      <c r="M2047" s="63" t="s">
        <v>530</v>
      </c>
      <c r="N2047" s="61"/>
      <c r="O2047" s="51"/>
    </row>
    <row r="2048">
      <c r="A2048" s="56">
        <v>2045.0</v>
      </c>
      <c r="B2048" s="66"/>
      <c r="C2048" s="64" t="s">
        <v>8305</v>
      </c>
      <c r="D2048" s="66"/>
      <c r="E2048" s="63" t="s">
        <v>8306</v>
      </c>
      <c r="F2048" s="70">
        <v>40452.0</v>
      </c>
      <c r="G2048" s="63" t="s">
        <v>8307</v>
      </c>
      <c r="H2048" s="66"/>
      <c r="I2048" s="99" t="s">
        <v>8308</v>
      </c>
      <c r="J2048" s="63" t="s">
        <v>6055</v>
      </c>
      <c r="K2048" s="66"/>
      <c r="L2048" s="66"/>
      <c r="M2048" s="63" t="s">
        <v>530</v>
      </c>
      <c r="N2048" s="61"/>
      <c r="O2048" s="51"/>
    </row>
    <row r="2049">
      <c r="A2049" s="56">
        <v>2046.0</v>
      </c>
      <c r="B2049" s="66"/>
      <c r="C2049" s="64" t="s">
        <v>8309</v>
      </c>
      <c r="D2049" s="66"/>
      <c r="E2049" s="63" t="s">
        <v>8310</v>
      </c>
      <c r="F2049" s="70">
        <v>39882.0</v>
      </c>
      <c r="G2049" s="63" t="s">
        <v>8311</v>
      </c>
      <c r="H2049" s="66"/>
      <c r="I2049" s="99" t="s">
        <v>8312</v>
      </c>
      <c r="J2049" s="63" t="s">
        <v>6055</v>
      </c>
      <c r="K2049" s="66"/>
      <c r="L2049" s="66"/>
      <c r="M2049" s="63" t="s">
        <v>530</v>
      </c>
      <c r="N2049" s="61"/>
      <c r="O2049" s="51"/>
    </row>
    <row r="2050">
      <c r="A2050" s="56">
        <v>2047.0</v>
      </c>
      <c r="B2050" s="71"/>
      <c r="C2050" s="69" t="s">
        <v>8313</v>
      </c>
      <c r="D2050" s="71"/>
      <c r="E2050" s="68" t="s">
        <v>8314</v>
      </c>
      <c r="F2050" s="83">
        <v>40134.0</v>
      </c>
      <c r="G2050" s="68" t="s">
        <v>8315</v>
      </c>
      <c r="H2050" s="71"/>
      <c r="I2050" s="114" t="s">
        <v>8316</v>
      </c>
      <c r="J2050" s="114" t="s">
        <v>8317</v>
      </c>
      <c r="K2050" s="71"/>
      <c r="L2050" s="71"/>
      <c r="M2050" s="68" t="s">
        <v>8318</v>
      </c>
      <c r="N2050" s="77"/>
      <c r="O2050" s="51"/>
    </row>
    <row r="2051">
      <c r="A2051" s="85">
        <v>2048.0</v>
      </c>
      <c r="B2051" s="82"/>
      <c r="C2051" s="79" t="s">
        <v>8319</v>
      </c>
      <c r="D2051" s="82"/>
      <c r="E2051" s="80" t="s">
        <v>8320</v>
      </c>
      <c r="F2051" s="81">
        <v>41153.0</v>
      </c>
      <c r="G2051" s="80" t="s">
        <v>8321</v>
      </c>
      <c r="H2051" s="82"/>
      <c r="I2051" s="132" t="s">
        <v>8322</v>
      </c>
      <c r="J2051" s="82"/>
      <c r="K2051" s="82"/>
      <c r="L2051" s="82"/>
      <c r="M2051" s="82"/>
      <c r="N2051" s="61"/>
      <c r="O2051" s="166"/>
    </row>
    <row r="2052">
      <c r="A2052" s="56">
        <v>2049.0</v>
      </c>
      <c r="B2052" s="71"/>
      <c r="C2052" s="69" t="s">
        <v>8323</v>
      </c>
      <c r="D2052" s="71"/>
      <c r="E2052" s="68" t="s">
        <v>8243</v>
      </c>
      <c r="F2052" s="83">
        <v>40141.0</v>
      </c>
      <c r="G2052" s="68" t="s">
        <v>8324</v>
      </c>
      <c r="H2052" s="71"/>
      <c r="I2052" s="99" t="s">
        <v>8325</v>
      </c>
      <c r="J2052" s="68" t="s">
        <v>2675</v>
      </c>
      <c r="K2052" s="71"/>
      <c r="L2052" s="68" t="s">
        <v>1496</v>
      </c>
      <c r="M2052" s="68" t="s">
        <v>137</v>
      </c>
      <c r="N2052" s="61"/>
      <c r="O2052" s="51"/>
    </row>
    <row r="2053">
      <c r="A2053" s="56">
        <v>2050.0</v>
      </c>
      <c r="B2053" s="66"/>
      <c r="C2053" s="64" t="s">
        <v>8326</v>
      </c>
      <c r="D2053" s="66"/>
      <c r="E2053" s="63" t="s">
        <v>8327</v>
      </c>
      <c r="F2053" s="70">
        <v>41368.0</v>
      </c>
      <c r="G2053" s="63" t="s">
        <v>8328</v>
      </c>
      <c r="H2053" s="66"/>
      <c r="I2053" s="99" t="s">
        <v>8329</v>
      </c>
      <c r="J2053" s="63" t="s">
        <v>8330</v>
      </c>
      <c r="K2053" s="66"/>
      <c r="L2053" s="66"/>
      <c r="M2053" s="63" t="s">
        <v>2989</v>
      </c>
      <c r="N2053" s="61"/>
      <c r="O2053" s="51"/>
    </row>
    <row r="2054">
      <c r="A2054" s="56">
        <v>2051.0</v>
      </c>
      <c r="B2054" s="71"/>
      <c r="C2054" s="69" t="s">
        <v>8331</v>
      </c>
      <c r="D2054" s="71"/>
      <c r="E2054" s="68" t="s">
        <v>8332</v>
      </c>
      <c r="F2054" s="76">
        <v>40695.0</v>
      </c>
      <c r="G2054" s="68" t="s">
        <v>8333</v>
      </c>
      <c r="H2054" s="71"/>
      <c r="I2054" s="99" t="s">
        <v>8334</v>
      </c>
      <c r="J2054" s="68" t="s">
        <v>8335</v>
      </c>
      <c r="K2054" s="71"/>
      <c r="L2054" s="68" t="s">
        <v>1496</v>
      </c>
      <c r="M2054" s="68" t="s">
        <v>195</v>
      </c>
      <c r="N2054" s="61"/>
      <c r="O2054" s="51"/>
    </row>
    <row r="2055">
      <c r="A2055" s="56">
        <v>2052.0</v>
      </c>
      <c r="B2055" s="66"/>
      <c r="C2055" s="64" t="s">
        <v>8336</v>
      </c>
      <c r="D2055" s="66"/>
      <c r="E2055" s="63" t="s">
        <v>8337</v>
      </c>
      <c r="F2055" s="65">
        <v>40038.0</v>
      </c>
      <c r="G2055" s="63" t="s">
        <v>8338</v>
      </c>
      <c r="H2055" s="66"/>
      <c r="I2055" s="91" t="s">
        <v>8339</v>
      </c>
      <c r="J2055" s="63" t="s">
        <v>6055</v>
      </c>
      <c r="K2055" s="66"/>
      <c r="L2055" s="63" t="s">
        <v>1496</v>
      </c>
      <c r="M2055" s="63" t="s">
        <v>530</v>
      </c>
      <c r="N2055" s="61"/>
      <c r="O2055" s="51"/>
    </row>
    <row r="2056">
      <c r="A2056" s="56">
        <v>2053.0</v>
      </c>
      <c r="B2056" s="71"/>
      <c r="C2056" s="69" t="s">
        <v>8340</v>
      </c>
      <c r="D2056" s="71"/>
      <c r="E2056" s="68" t="s">
        <v>8341</v>
      </c>
      <c r="F2056" s="190">
        <v>41518.0</v>
      </c>
      <c r="G2056" s="68" t="s">
        <v>8342</v>
      </c>
      <c r="H2056" s="71"/>
      <c r="I2056" s="91" t="s">
        <v>8343</v>
      </c>
      <c r="J2056" s="87" t="s">
        <v>8344</v>
      </c>
      <c r="K2056" s="71"/>
      <c r="L2056" s="71"/>
      <c r="M2056" s="71"/>
      <c r="N2056" s="61"/>
      <c r="O2056" s="51"/>
    </row>
    <row r="2057">
      <c r="A2057" s="56">
        <v>2054.0</v>
      </c>
      <c r="B2057" s="71"/>
      <c r="C2057" s="69" t="s">
        <v>8345</v>
      </c>
      <c r="D2057" s="71"/>
      <c r="E2057" s="68" t="s">
        <v>8346</v>
      </c>
      <c r="F2057" s="71"/>
      <c r="G2057" s="68" t="s">
        <v>8347</v>
      </c>
      <c r="H2057" s="71"/>
      <c r="I2057" s="91" t="s">
        <v>8348</v>
      </c>
      <c r="J2057" s="68" t="s">
        <v>8349</v>
      </c>
      <c r="K2057" s="71"/>
      <c r="L2057" s="71"/>
      <c r="M2057" s="71"/>
      <c r="N2057" s="61"/>
      <c r="O2057" s="51"/>
    </row>
    <row r="2058">
      <c r="A2058" s="56">
        <v>2055.0</v>
      </c>
      <c r="B2058" s="71"/>
      <c r="C2058" s="69" t="s">
        <v>8350</v>
      </c>
      <c r="D2058" s="71"/>
      <c r="E2058" s="68" t="s">
        <v>8351</v>
      </c>
      <c r="F2058" s="190">
        <v>40026.0</v>
      </c>
      <c r="G2058" s="68" t="s">
        <v>8352</v>
      </c>
      <c r="H2058" s="71"/>
      <c r="I2058" s="91" t="s">
        <v>8353</v>
      </c>
      <c r="J2058" s="68" t="s">
        <v>8354</v>
      </c>
      <c r="K2058" s="71"/>
      <c r="L2058" s="71"/>
      <c r="M2058" s="71"/>
      <c r="N2058" s="61"/>
      <c r="O2058" s="51"/>
    </row>
    <row r="2059">
      <c r="A2059" s="56">
        <v>2056.0</v>
      </c>
      <c r="B2059" s="71"/>
      <c r="C2059" s="69" t="s">
        <v>8355</v>
      </c>
      <c r="D2059" s="71"/>
      <c r="E2059" s="68" t="s">
        <v>8356</v>
      </c>
      <c r="F2059" s="83">
        <v>41267.0</v>
      </c>
      <c r="G2059" s="68" t="s">
        <v>8357</v>
      </c>
      <c r="H2059" s="71"/>
      <c r="I2059" s="91" t="s">
        <v>8358</v>
      </c>
      <c r="J2059" s="87" t="s">
        <v>8359</v>
      </c>
      <c r="K2059" s="71"/>
      <c r="L2059" s="71"/>
      <c r="M2059" s="71"/>
      <c r="N2059" s="61"/>
      <c r="O2059" s="51"/>
    </row>
    <row r="2060">
      <c r="A2060" s="56">
        <v>2057.0</v>
      </c>
      <c r="B2060" s="71"/>
      <c r="C2060" s="69" t="s">
        <v>8360</v>
      </c>
      <c r="D2060" s="71"/>
      <c r="E2060" s="68" t="s">
        <v>8361</v>
      </c>
      <c r="F2060" s="76">
        <v>41765.0</v>
      </c>
      <c r="G2060" s="68" t="s">
        <v>8362</v>
      </c>
      <c r="H2060" s="71"/>
      <c r="I2060" s="114" t="s">
        <v>8363</v>
      </c>
      <c r="J2060" s="68" t="s">
        <v>8364</v>
      </c>
      <c r="K2060" s="71"/>
      <c r="L2060" s="71"/>
      <c r="M2060" s="71"/>
      <c r="N2060" s="61"/>
      <c r="O2060" s="51"/>
    </row>
    <row r="2061">
      <c r="A2061" s="56">
        <v>2058.0</v>
      </c>
      <c r="B2061" s="71"/>
      <c r="C2061" s="69" t="s">
        <v>8365</v>
      </c>
      <c r="D2061" s="71"/>
      <c r="E2061" s="68" t="s">
        <v>8366</v>
      </c>
      <c r="F2061" s="83">
        <v>41698.0</v>
      </c>
      <c r="G2061" s="68" t="s">
        <v>8367</v>
      </c>
      <c r="H2061" s="71"/>
      <c r="I2061" s="95" t="s">
        <v>8368</v>
      </c>
      <c r="J2061" s="68" t="s">
        <v>8369</v>
      </c>
      <c r="K2061" s="71"/>
      <c r="L2061" s="71"/>
      <c r="M2061" s="71"/>
      <c r="N2061" s="61"/>
      <c r="O2061" s="51"/>
    </row>
    <row r="2062">
      <c r="A2062" s="56">
        <v>2059.0</v>
      </c>
      <c r="B2062" s="71"/>
      <c r="C2062" s="69" t="s">
        <v>8370</v>
      </c>
      <c r="D2062" s="71"/>
      <c r="E2062" s="68" t="s">
        <v>8371</v>
      </c>
      <c r="F2062" s="83">
        <v>41698.0</v>
      </c>
      <c r="G2062" s="68" t="s">
        <v>8367</v>
      </c>
      <c r="H2062" s="71"/>
      <c r="I2062" s="95" t="s">
        <v>8368</v>
      </c>
      <c r="J2062" s="68" t="s">
        <v>8369</v>
      </c>
      <c r="K2062" s="71"/>
      <c r="L2062" s="71"/>
      <c r="M2062" s="71"/>
      <c r="N2062" s="61"/>
      <c r="O2062" s="51"/>
    </row>
    <row r="2063">
      <c r="A2063" s="56">
        <v>2060.0</v>
      </c>
      <c r="B2063" s="71"/>
      <c r="C2063" s="69" t="s">
        <v>8372</v>
      </c>
      <c r="D2063" s="71"/>
      <c r="E2063" s="68" t="s">
        <v>8373</v>
      </c>
      <c r="F2063" s="83">
        <v>41086.0</v>
      </c>
      <c r="G2063" s="68" t="s">
        <v>8374</v>
      </c>
      <c r="H2063" s="71"/>
      <c r="I2063" s="114" t="s">
        <v>8375</v>
      </c>
      <c r="J2063" s="68" t="s">
        <v>8376</v>
      </c>
      <c r="K2063" s="71"/>
      <c r="L2063" s="71"/>
      <c r="M2063" s="71"/>
      <c r="N2063" s="77"/>
      <c r="O2063" s="51"/>
    </row>
    <row r="2064">
      <c r="A2064" s="56">
        <v>2061.0</v>
      </c>
      <c r="B2064" s="116"/>
      <c r="C2064" s="69" t="s">
        <v>8377</v>
      </c>
      <c r="D2064" s="116"/>
      <c r="E2064" s="87" t="s">
        <v>8378</v>
      </c>
      <c r="F2064" s="195">
        <v>41316.0</v>
      </c>
      <c r="G2064" s="87" t="s">
        <v>8379</v>
      </c>
      <c r="H2064" s="116"/>
      <c r="I2064" s="126" t="s">
        <v>8380</v>
      </c>
      <c r="J2064" s="87" t="s">
        <v>8381</v>
      </c>
      <c r="K2064" s="116"/>
      <c r="L2064" s="116"/>
      <c r="M2064" s="116"/>
      <c r="N2064" s="61"/>
      <c r="O2064" s="51"/>
    </row>
    <row r="2065">
      <c r="A2065" s="56">
        <v>2062.0</v>
      </c>
      <c r="B2065" s="66"/>
      <c r="C2065" s="64" t="s">
        <v>8382</v>
      </c>
      <c r="D2065" s="66"/>
      <c r="E2065" s="63" t="s">
        <v>8383</v>
      </c>
      <c r="F2065" s="70">
        <v>41704.0</v>
      </c>
      <c r="G2065" s="63" t="s">
        <v>8384</v>
      </c>
      <c r="H2065" s="66"/>
      <c r="I2065" s="99" t="s">
        <v>8385</v>
      </c>
      <c r="J2065" s="66"/>
      <c r="K2065" s="66"/>
      <c r="L2065" s="66"/>
      <c r="M2065" s="66"/>
      <c r="N2065" s="61"/>
      <c r="O2065" s="51"/>
    </row>
    <row r="2066">
      <c r="A2066" s="56">
        <v>2063.0</v>
      </c>
      <c r="B2066" s="60"/>
      <c r="C2066" s="58" t="s">
        <v>8386</v>
      </c>
      <c r="D2066" s="60"/>
      <c r="E2066" s="57" t="s">
        <v>8387</v>
      </c>
      <c r="F2066" s="59">
        <v>40070.0</v>
      </c>
      <c r="G2066" s="57" t="s">
        <v>8388</v>
      </c>
      <c r="H2066" s="60"/>
      <c r="I2066" s="99" t="s">
        <v>8389</v>
      </c>
      <c r="J2066" s="57" t="s">
        <v>8390</v>
      </c>
      <c r="K2066" s="60"/>
      <c r="L2066" s="60"/>
      <c r="M2066" s="104"/>
      <c r="N2066" s="105"/>
      <c r="O2066" s="51"/>
    </row>
    <row r="2067">
      <c r="A2067" s="56">
        <v>2064.0</v>
      </c>
      <c r="B2067" s="71"/>
      <c r="C2067" s="69" t="s">
        <v>8391</v>
      </c>
      <c r="D2067" s="71"/>
      <c r="E2067" s="68" t="s">
        <v>8392</v>
      </c>
      <c r="F2067" s="68">
        <v>2011.0</v>
      </c>
      <c r="G2067" s="68" t="s">
        <v>8393</v>
      </c>
      <c r="H2067" s="71"/>
      <c r="I2067" s="114" t="s">
        <v>8394</v>
      </c>
      <c r="J2067" s="68" t="s">
        <v>8395</v>
      </c>
      <c r="K2067" s="71"/>
      <c r="L2067" s="71"/>
      <c r="M2067" s="128" t="s">
        <v>149</v>
      </c>
      <c r="N2067" s="77"/>
      <c r="O2067" s="51"/>
    </row>
    <row r="2068">
      <c r="A2068" s="56">
        <v>2065.0</v>
      </c>
      <c r="B2068" s="71"/>
      <c r="C2068" s="69" t="s">
        <v>8396</v>
      </c>
      <c r="D2068" s="71"/>
      <c r="E2068" s="68" t="s">
        <v>8397</v>
      </c>
      <c r="F2068" s="68">
        <v>2012.0</v>
      </c>
      <c r="G2068" s="68" t="s">
        <v>8398</v>
      </c>
      <c r="H2068" s="71"/>
      <c r="I2068" s="114" t="s">
        <v>8399</v>
      </c>
      <c r="J2068" s="68" t="s">
        <v>8400</v>
      </c>
      <c r="K2068" s="71"/>
      <c r="L2068" s="71"/>
      <c r="M2068" s="71"/>
      <c r="N2068" s="61"/>
      <c r="O2068" s="51"/>
    </row>
    <row r="2069">
      <c r="A2069" s="56">
        <v>2066.0</v>
      </c>
      <c r="B2069" s="71"/>
      <c r="C2069" s="69" t="s">
        <v>8401</v>
      </c>
      <c r="D2069" s="71"/>
      <c r="E2069" s="68" t="s">
        <v>8402</v>
      </c>
      <c r="F2069" s="83">
        <v>41630.0</v>
      </c>
      <c r="G2069" s="68" t="s">
        <v>8403</v>
      </c>
      <c r="H2069" s="71"/>
      <c r="I2069" s="114" t="s">
        <v>635</v>
      </c>
      <c r="J2069" s="68" t="s">
        <v>8404</v>
      </c>
      <c r="K2069" s="71"/>
      <c r="L2069" s="71"/>
      <c r="M2069" s="71"/>
      <c r="N2069" s="61"/>
      <c r="O2069" s="51"/>
    </row>
    <row r="2070">
      <c r="A2070" s="56">
        <v>2067.0</v>
      </c>
      <c r="B2070" s="66"/>
      <c r="C2070" s="64" t="s">
        <v>8405</v>
      </c>
      <c r="D2070" s="66"/>
      <c r="E2070" s="63" t="s">
        <v>8406</v>
      </c>
      <c r="F2070" s="65">
        <v>40268.0</v>
      </c>
      <c r="G2070" s="63" t="s">
        <v>8407</v>
      </c>
      <c r="H2070" s="66"/>
      <c r="I2070" s="99" t="s">
        <v>8408</v>
      </c>
      <c r="J2070" s="63" t="s">
        <v>8409</v>
      </c>
      <c r="K2070" s="66"/>
      <c r="L2070" s="66"/>
      <c r="M2070" s="63" t="s">
        <v>1393</v>
      </c>
      <c r="N2070" s="61"/>
      <c r="O2070" s="51"/>
    </row>
    <row r="2071">
      <c r="A2071" s="56">
        <v>2068.0</v>
      </c>
      <c r="B2071" s="66"/>
      <c r="C2071" s="64" t="s">
        <v>8410</v>
      </c>
      <c r="D2071" s="66"/>
      <c r="E2071" s="63" t="s">
        <v>8411</v>
      </c>
      <c r="F2071" s="70">
        <v>40483.0</v>
      </c>
      <c r="G2071" s="63" t="s">
        <v>8412</v>
      </c>
      <c r="H2071" s="66"/>
      <c r="I2071" s="99" t="s">
        <v>635</v>
      </c>
      <c r="J2071" s="63" t="s">
        <v>6393</v>
      </c>
      <c r="K2071" s="66"/>
      <c r="L2071" s="66"/>
      <c r="M2071" s="63" t="s">
        <v>195</v>
      </c>
      <c r="N2071" s="61"/>
      <c r="O2071" s="51"/>
    </row>
    <row r="2072">
      <c r="A2072" s="56">
        <v>2069.0</v>
      </c>
      <c r="B2072" s="66"/>
      <c r="C2072" s="64" t="s">
        <v>8413</v>
      </c>
      <c r="D2072" s="66"/>
      <c r="E2072" s="63" t="s">
        <v>8414</v>
      </c>
      <c r="F2072" s="66"/>
      <c r="G2072" s="63" t="s">
        <v>8415</v>
      </c>
      <c r="H2072" s="66"/>
      <c r="I2072" s="99" t="s">
        <v>8416</v>
      </c>
      <c r="J2072" s="63" t="s">
        <v>6055</v>
      </c>
      <c r="K2072" s="66"/>
      <c r="L2072" s="66"/>
      <c r="M2072" s="66"/>
      <c r="N2072" s="61"/>
      <c r="O2072" s="51"/>
    </row>
    <row r="2073">
      <c r="A2073" s="56">
        <v>2070.0</v>
      </c>
      <c r="B2073" s="71"/>
      <c r="C2073" s="69" t="s">
        <v>8417</v>
      </c>
      <c r="D2073" s="71"/>
      <c r="E2073" s="68" t="s">
        <v>8418</v>
      </c>
      <c r="F2073" s="190">
        <v>41760.0</v>
      </c>
      <c r="G2073" s="68" t="s">
        <v>8419</v>
      </c>
      <c r="H2073" s="71"/>
      <c r="I2073" s="99" t="s">
        <v>8420</v>
      </c>
      <c r="J2073" s="68" t="s">
        <v>8421</v>
      </c>
      <c r="K2073" s="71"/>
      <c r="L2073" s="71"/>
      <c r="M2073" s="71"/>
      <c r="N2073" s="61"/>
      <c r="O2073" s="51"/>
    </row>
    <row r="2074">
      <c r="A2074" s="56">
        <v>2071.0</v>
      </c>
      <c r="B2074" s="159"/>
      <c r="C2074" s="193" t="s">
        <v>8422</v>
      </c>
      <c r="D2074" s="159"/>
      <c r="E2074" s="99" t="s">
        <v>8423</v>
      </c>
      <c r="F2074" s="196">
        <v>41760.0</v>
      </c>
      <c r="G2074" s="99" t="s">
        <v>8424</v>
      </c>
      <c r="H2074" s="159"/>
      <c r="I2074" s="99" t="s">
        <v>8420</v>
      </c>
      <c r="J2074" s="159"/>
      <c r="K2074" s="71"/>
      <c r="L2074" s="71"/>
      <c r="M2074" s="104"/>
      <c r="N2074" s="105"/>
      <c r="O2074" s="51"/>
    </row>
    <row r="2075">
      <c r="A2075" s="56">
        <v>2072.0</v>
      </c>
      <c r="B2075" s="71"/>
      <c r="C2075" s="69" t="s">
        <v>8425</v>
      </c>
      <c r="D2075" s="71"/>
      <c r="E2075" s="68" t="s">
        <v>8426</v>
      </c>
      <c r="F2075" s="190">
        <v>41760.0</v>
      </c>
      <c r="G2075" s="68" t="s">
        <v>8427</v>
      </c>
      <c r="H2075" s="71"/>
      <c r="I2075" s="99" t="s">
        <v>8420</v>
      </c>
      <c r="J2075" s="68" t="s">
        <v>8421</v>
      </c>
      <c r="K2075" s="71"/>
      <c r="L2075" s="71"/>
      <c r="M2075" s="111"/>
      <c r="N2075" s="61"/>
      <c r="O2075" s="51"/>
    </row>
    <row r="2076">
      <c r="A2076" s="56">
        <v>2073.0</v>
      </c>
      <c r="B2076" s="71"/>
      <c r="C2076" s="69" t="s">
        <v>8428</v>
      </c>
      <c r="D2076" s="68" t="s">
        <v>8429</v>
      </c>
      <c r="E2076" s="68" t="s">
        <v>8430</v>
      </c>
      <c r="F2076" s="76">
        <v>41914.0</v>
      </c>
      <c r="G2076" s="68" t="s">
        <v>8431</v>
      </c>
      <c r="H2076" s="71"/>
      <c r="I2076" s="114" t="s">
        <v>635</v>
      </c>
      <c r="J2076" s="68" t="s">
        <v>8432</v>
      </c>
      <c r="K2076" s="71"/>
      <c r="L2076" s="71"/>
      <c r="M2076" s="71"/>
      <c r="N2076" s="61"/>
      <c r="O2076" s="51"/>
    </row>
    <row r="2077">
      <c r="A2077" s="56">
        <v>2074.0</v>
      </c>
      <c r="B2077" s="71"/>
      <c r="C2077" s="69" t="s">
        <v>8433</v>
      </c>
      <c r="D2077" s="71"/>
      <c r="E2077" s="68" t="s">
        <v>8434</v>
      </c>
      <c r="F2077" s="83">
        <v>41811.0</v>
      </c>
      <c r="G2077" s="68" t="s">
        <v>8435</v>
      </c>
      <c r="H2077" s="71"/>
      <c r="I2077" s="99" t="s">
        <v>8436</v>
      </c>
      <c r="J2077" s="68" t="s">
        <v>8437</v>
      </c>
      <c r="K2077" s="71"/>
      <c r="L2077" s="71"/>
      <c r="M2077" s="68" t="s">
        <v>356</v>
      </c>
      <c r="N2077" s="61"/>
      <c r="O2077" s="51"/>
    </row>
    <row r="2078">
      <c r="A2078" s="56">
        <v>2075.0</v>
      </c>
      <c r="B2078" s="71"/>
      <c r="C2078" s="69" t="s">
        <v>8438</v>
      </c>
      <c r="D2078" s="71"/>
      <c r="E2078" s="68" t="s">
        <v>8439</v>
      </c>
      <c r="F2078" s="83">
        <v>41812.0</v>
      </c>
      <c r="G2078" s="68" t="s">
        <v>8435</v>
      </c>
      <c r="H2078" s="71"/>
      <c r="I2078" s="99" t="s">
        <v>8436</v>
      </c>
      <c r="J2078" s="68" t="s">
        <v>8437</v>
      </c>
      <c r="K2078" s="71"/>
      <c r="L2078" s="71"/>
      <c r="M2078" s="68" t="s">
        <v>356</v>
      </c>
      <c r="N2078" s="61"/>
      <c r="O2078" s="51"/>
    </row>
    <row r="2079">
      <c r="A2079" s="56">
        <v>2076.0</v>
      </c>
      <c r="B2079" s="71"/>
      <c r="C2079" s="69" t="s">
        <v>8440</v>
      </c>
      <c r="D2079" s="68" t="s">
        <v>8441</v>
      </c>
      <c r="E2079" s="68" t="s">
        <v>8442</v>
      </c>
      <c r="F2079" s="76">
        <v>41519.0</v>
      </c>
      <c r="G2079" s="68" t="s">
        <v>8443</v>
      </c>
      <c r="H2079" s="71"/>
      <c r="I2079" s="114" t="s">
        <v>8444</v>
      </c>
      <c r="J2079" s="68" t="s">
        <v>8445</v>
      </c>
      <c r="K2079" s="71"/>
      <c r="L2079" s="71"/>
      <c r="M2079" s="71"/>
      <c r="N2079" s="61"/>
      <c r="O2079" s="51"/>
    </row>
    <row r="2080">
      <c r="A2080" s="56">
        <v>2077.0</v>
      </c>
      <c r="B2080" s="66"/>
      <c r="C2080" s="64" t="s">
        <v>8446</v>
      </c>
      <c r="D2080" s="63" t="s">
        <v>8447</v>
      </c>
      <c r="E2080" s="63" t="s">
        <v>8448</v>
      </c>
      <c r="F2080" s="65">
        <v>39960.0</v>
      </c>
      <c r="G2080" s="63" t="s">
        <v>8449</v>
      </c>
      <c r="H2080" s="66"/>
      <c r="I2080" s="159"/>
      <c r="J2080" s="63" t="s">
        <v>8450</v>
      </c>
      <c r="K2080" s="66"/>
      <c r="L2080" s="66"/>
      <c r="M2080" s="63" t="s">
        <v>941</v>
      </c>
      <c r="N2080" s="61"/>
      <c r="O2080" s="51"/>
    </row>
    <row r="2081">
      <c r="A2081" s="56">
        <v>2078.0</v>
      </c>
      <c r="B2081" s="71"/>
      <c r="C2081" s="69" t="s">
        <v>8451</v>
      </c>
      <c r="D2081" s="68" t="s">
        <v>8452</v>
      </c>
      <c r="E2081" s="68" t="s">
        <v>8453</v>
      </c>
      <c r="F2081" s="184">
        <v>41548.0</v>
      </c>
      <c r="G2081" s="68" t="s">
        <v>8454</v>
      </c>
      <c r="H2081" s="71"/>
      <c r="I2081" s="114" t="s">
        <v>8455</v>
      </c>
      <c r="J2081" s="68" t="s">
        <v>8456</v>
      </c>
      <c r="K2081" s="71"/>
      <c r="L2081" s="71"/>
      <c r="M2081" s="71"/>
      <c r="N2081" s="61"/>
      <c r="O2081" s="51"/>
    </row>
    <row r="2082">
      <c r="A2082" s="56">
        <v>2079.0</v>
      </c>
      <c r="B2082" s="71"/>
      <c r="C2082" s="69" t="s">
        <v>8457</v>
      </c>
      <c r="D2082" s="68" t="s">
        <v>8452</v>
      </c>
      <c r="E2082" s="68" t="s">
        <v>8458</v>
      </c>
      <c r="F2082" s="184">
        <v>41548.0</v>
      </c>
      <c r="G2082" s="68" t="s">
        <v>8454</v>
      </c>
      <c r="H2082" s="71"/>
      <c r="I2082" s="114" t="s">
        <v>8455</v>
      </c>
      <c r="J2082" s="68" t="s">
        <v>8456</v>
      </c>
      <c r="K2082" s="71"/>
      <c r="L2082" s="71"/>
      <c r="M2082" s="71"/>
      <c r="N2082" s="61"/>
      <c r="O2082" s="51"/>
    </row>
    <row r="2083">
      <c r="A2083" s="56">
        <v>2080.0</v>
      </c>
      <c r="B2083" s="71"/>
      <c r="C2083" s="69" t="s">
        <v>8459</v>
      </c>
      <c r="D2083" s="68" t="s">
        <v>8452</v>
      </c>
      <c r="E2083" s="68" t="s">
        <v>8460</v>
      </c>
      <c r="F2083" s="184">
        <v>41548.0</v>
      </c>
      <c r="G2083" s="68" t="s">
        <v>8454</v>
      </c>
      <c r="H2083" s="71"/>
      <c r="I2083" s="114" t="s">
        <v>8455</v>
      </c>
      <c r="J2083" s="68" t="s">
        <v>8456</v>
      </c>
      <c r="K2083" s="71"/>
      <c r="L2083" s="71"/>
      <c r="M2083" s="71"/>
      <c r="N2083" s="61"/>
      <c r="O2083" s="51"/>
    </row>
    <row r="2084">
      <c r="A2084" s="56">
        <v>2081.0</v>
      </c>
      <c r="B2084" s="71"/>
      <c r="C2084" s="69" t="s">
        <v>8461</v>
      </c>
      <c r="D2084" s="68" t="s">
        <v>8462</v>
      </c>
      <c r="E2084" s="68" t="s">
        <v>8463</v>
      </c>
      <c r="F2084" s="83">
        <v>41117.0</v>
      </c>
      <c r="G2084" s="68" t="s">
        <v>8464</v>
      </c>
      <c r="H2084" s="71"/>
      <c r="I2084" s="114" t="s">
        <v>635</v>
      </c>
      <c r="J2084" s="68" t="s">
        <v>8465</v>
      </c>
      <c r="K2084" s="71"/>
      <c r="L2084" s="71"/>
      <c r="M2084" s="71"/>
      <c r="N2084" s="61"/>
      <c r="O2084" s="51"/>
    </row>
    <row r="2085">
      <c r="A2085" s="56">
        <v>2082.0</v>
      </c>
      <c r="B2085" s="71"/>
      <c r="C2085" s="69" t="s">
        <v>8466</v>
      </c>
      <c r="D2085" s="68" t="s">
        <v>8467</v>
      </c>
      <c r="E2085" s="68" t="s">
        <v>8468</v>
      </c>
      <c r="F2085" s="68">
        <v>2012.0</v>
      </c>
      <c r="G2085" s="68" t="s">
        <v>8469</v>
      </c>
      <c r="H2085" s="71"/>
      <c r="I2085" s="99" t="s">
        <v>8470</v>
      </c>
      <c r="J2085" s="68" t="s">
        <v>8471</v>
      </c>
      <c r="K2085" s="71"/>
      <c r="L2085" s="71"/>
      <c r="M2085" s="71"/>
      <c r="N2085" s="61"/>
      <c r="O2085" s="51"/>
    </row>
    <row r="2086">
      <c r="A2086" s="56">
        <v>2083.0</v>
      </c>
      <c r="B2086" s="66"/>
      <c r="C2086" s="64" t="s">
        <v>8472</v>
      </c>
      <c r="D2086" s="63" t="s">
        <v>8473</v>
      </c>
      <c r="E2086" s="63" t="s">
        <v>8474</v>
      </c>
      <c r="F2086" s="65">
        <v>39978.0</v>
      </c>
      <c r="G2086" s="63" t="s">
        <v>8475</v>
      </c>
      <c r="H2086" s="66"/>
      <c r="I2086" s="99" t="s">
        <v>8476</v>
      </c>
      <c r="J2086" s="63" t="s">
        <v>1872</v>
      </c>
      <c r="K2086" s="66"/>
      <c r="L2086" s="66"/>
      <c r="M2086" s="63" t="s">
        <v>530</v>
      </c>
      <c r="N2086" s="61"/>
      <c r="O2086" s="51"/>
    </row>
    <row r="2087">
      <c r="A2087" s="56">
        <v>2084.0</v>
      </c>
      <c r="B2087" s="71"/>
      <c r="C2087" s="69" t="s">
        <v>8477</v>
      </c>
      <c r="D2087" s="68" t="s">
        <v>8478</v>
      </c>
      <c r="E2087" s="68" t="s">
        <v>8479</v>
      </c>
      <c r="F2087" s="68">
        <v>2011.0</v>
      </c>
      <c r="G2087" s="68" t="s">
        <v>8480</v>
      </c>
      <c r="H2087" s="71"/>
      <c r="I2087" s="99" t="s">
        <v>8481</v>
      </c>
      <c r="J2087" s="68" t="s">
        <v>8482</v>
      </c>
      <c r="K2087" s="71"/>
      <c r="L2087" s="71"/>
      <c r="M2087" s="71"/>
      <c r="N2087" s="61"/>
      <c r="O2087" s="51"/>
    </row>
    <row r="2088">
      <c r="A2088" s="56">
        <v>2085.0</v>
      </c>
      <c r="B2088" s="71"/>
      <c r="C2088" s="69" t="s">
        <v>8483</v>
      </c>
      <c r="D2088" s="68" t="s">
        <v>8484</v>
      </c>
      <c r="E2088" s="68" t="s">
        <v>8485</v>
      </c>
      <c r="F2088" s="68">
        <v>2012.0</v>
      </c>
      <c r="G2088" s="68" t="s">
        <v>8486</v>
      </c>
      <c r="H2088" s="71"/>
      <c r="I2088" s="114" t="s">
        <v>8487</v>
      </c>
      <c r="J2088" s="68" t="s">
        <v>8488</v>
      </c>
      <c r="K2088" s="71"/>
      <c r="L2088" s="71"/>
      <c r="M2088" s="71"/>
      <c r="N2088" s="61"/>
      <c r="O2088" s="51"/>
    </row>
    <row r="2089">
      <c r="A2089" s="56">
        <v>2086.0</v>
      </c>
      <c r="B2089" s="71"/>
      <c r="C2089" s="69" t="s">
        <v>8489</v>
      </c>
      <c r="D2089" s="68" t="s">
        <v>8490</v>
      </c>
      <c r="E2089" s="68" t="s">
        <v>8491</v>
      </c>
      <c r="F2089" s="71"/>
      <c r="G2089" s="68" t="s">
        <v>8492</v>
      </c>
      <c r="H2089" s="71"/>
      <c r="I2089" s="99" t="s">
        <v>8493</v>
      </c>
      <c r="J2089" s="68" t="s">
        <v>8494</v>
      </c>
      <c r="K2089" s="71"/>
      <c r="L2089" s="71"/>
      <c r="M2089" s="68" t="s">
        <v>201</v>
      </c>
      <c r="N2089" s="61"/>
      <c r="O2089" s="51"/>
    </row>
    <row r="2090">
      <c r="A2090" s="56">
        <v>2087.0</v>
      </c>
      <c r="B2090" s="71"/>
      <c r="C2090" s="69" t="s">
        <v>8495</v>
      </c>
      <c r="D2090" s="68" t="s">
        <v>8496</v>
      </c>
      <c r="E2090" s="68" t="s">
        <v>8497</v>
      </c>
      <c r="F2090" s="76">
        <v>41793.0</v>
      </c>
      <c r="G2090" s="68" t="s">
        <v>8498</v>
      </c>
      <c r="H2090" s="71"/>
      <c r="I2090" s="114" t="s">
        <v>635</v>
      </c>
      <c r="J2090" s="68" t="s">
        <v>8499</v>
      </c>
      <c r="K2090" s="71"/>
      <c r="L2090" s="71"/>
      <c r="M2090" s="71"/>
      <c r="N2090" s="61"/>
      <c r="O2090" s="51"/>
    </row>
    <row r="2091">
      <c r="A2091" s="56">
        <v>2088.0</v>
      </c>
      <c r="B2091" s="71"/>
      <c r="C2091" s="69" t="s">
        <v>8500</v>
      </c>
      <c r="D2091" s="68" t="s">
        <v>8496</v>
      </c>
      <c r="E2091" s="68" t="s">
        <v>8501</v>
      </c>
      <c r="F2091" s="76">
        <v>41793.0</v>
      </c>
      <c r="G2091" s="68" t="s">
        <v>8498</v>
      </c>
      <c r="H2091" s="71"/>
      <c r="I2091" s="114" t="s">
        <v>635</v>
      </c>
      <c r="J2091" s="68" t="s">
        <v>8499</v>
      </c>
      <c r="K2091" s="71"/>
      <c r="L2091" s="71"/>
      <c r="M2091" s="71"/>
      <c r="N2091" s="61"/>
      <c r="O2091" s="51"/>
    </row>
    <row r="2092">
      <c r="A2092" s="56">
        <v>2089.0</v>
      </c>
      <c r="B2092" s="66"/>
      <c r="C2092" s="64" t="s">
        <v>8502</v>
      </c>
      <c r="D2092" s="63" t="s">
        <v>8503</v>
      </c>
      <c r="E2092" s="63" t="s">
        <v>8504</v>
      </c>
      <c r="F2092" s="63">
        <v>2010.0</v>
      </c>
      <c r="G2092" s="63" t="s">
        <v>8505</v>
      </c>
      <c r="H2092" s="66"/>
      <c r="I2092" s="99" t="s">
        <v>8506</v>
      </c>
      <c r="J2092" s="63" t="s">
        <v>6055</v>
      </c>
      <c r="K2092" s="66"/>
      <c r="L2092" s="66"/>
      <c r="M2092" s="63" t="s">
        <v>530</v>
      </c>
      <c r="N2092" s="61"/>
      <c r="O2092" s="51"/>
    </row>
    <row r="2093">
      <c r="A2093" s="56">
        <v>2090.0</v>
      </c>
      <c r="B2093" s="71"/>
      <c r="C2093" s="69" t="s">
        <v>8507</v>
      </c>
      <c r="D2093" s="68" t="s">
        <v>8508</v>
      </c>
      <c r="E2093" s="68" t="s">
        <v>8509</v>
      </c>
      <c r="F2093" s="68">
        <v>2010.0</v>
      </c>
      <c r="G2093" s="68" t="s">
        <v>8510</v>
      </c>
      <c r="H2093" s="71"/>
      <c r="I2093" s="99" t="s">
        <v>635</v>
      </c>
      <c r="J2093" s="68" t="s">
        <v>8511</v>
      </c>
      <c r="K2093" s="71"/>
      <c r="L2093" s="71"/>
      <c r="M2093" s="71"/>
      <c r="N2093" s="61"/>
      <c r="O2093" s="51"/>
    </row>
    <row r="2094">
      <c r="A2094" s="56">
        <v>2091.0</v>
      </c>
      <c r="B2094" s="71"/>
      <c r="C2094" s="69" t="s">
        <v>8512</v>
      </c>
      <c r="D2094" s="68" t="s">
        <v>8513</v>
      </c>
      <c r="E2094" s="68" t="s">
        <v>8514</v>
      </c>
      <c r="F2094" s="83">
        <v>41075.0</v>
      </c>
      <c r="G2094" s="68" t="s">
        <v>8515</v>
      </c>
      <c r="H2094" s="71"/>
      <c r="I2094" s="114" t="s">
        <v>8516</v>
      </c>
      <c r="J2094" s="68" t="s">
        <v>8517</v>
      </c>
      <c r="K2094" s="71"/>
      <c r="L2094" s="71"/>
      <c r="M2094" s="71"/>
      <c r="N2094" s="61"/>
      <c r="O2094" s="51"/>
    </row>
    <row r="2095">
      <c r="A2095" s="56">
        <v>2092.0</v>
      </c>
      <c r="B2095" s="66"/>
      <c r="C2095" s="64" t="s">
        <v>8518</v>
      </c>
      <c r="D2095" s="63" t="s">
        <v>8519</v>
      </c>
      <c r="E2095" s="63" t="s">
        <v>8520</v>
      </c>
      <c r="F2095" s="63">
        <v>2010.0</v>
      </c>
      <c r="G2095" s="63" t="s">
        <v>8521</v>
      </c>
      <c r="H2095" s="63" t="s">
        <v>8522</v>
      </c>
      <c r="I2095" s="99" t="s">
        <v>8523</v>
      </c>
      <c r="J2095" s="63" t="s">
        <v>6055</v>
      </c>
      <c r="K2095" s="66"/>
      <c r="L2095" s="66"/>
      <c r="M2095" s="63" t="s">
        <v>530</v>
      </c>
      <c r="N2095" s="61"/>
      <c r="O2095" s="51"/>
    </row>
    <row r="2096">
      <c r="A2096" s="56">
        <v>2093.0</v>
      </c>
      <c r="B2096" s="71"/>
      <c r="C2096" s="69" t="s">
        <v>8524</v>
      </c>
      <c r="D2096" s="68" t="s">
        <v>8525</v>
      </c>
      <c r="E2096" s="68" t="s">
        <v>8526</v>
      </c>
      <c r="F2096" s="76">
        <v>40951.0</v>
      </c>
      <c r="G2096" s="68" t="s">
        <v>8527</v>
      </c>
      <c r="H2096" s="71"/>
      <c r="I2096" s="114" t="s">
        <v>8528</v>
      </c>
      <c r="J2096" s="68" t="s">
        <v>8529</v>
      </c>
      <c r="K2096" s="71"/>
      <c r="L2096" s="71"/>
      <c r="M2096" s="71"/>
      <c r="N2096" s="77"/>
      <c r="O2096" s="51"/>
    </row>
    <row r="2097">
      <c r="A2097" s="56">
        <v>2094.0</v>
      </c>
      <c r="B2097" s="71"/>
      <c r="C2097" s="69" t="s">
        <v>8530</v>
      </c>
      <c r="D2097" s="68" t="s">
        <v>8531</v>
      </c>
      <c r="E2097" s="68" t="s">
        <v>8532</v>
      </c>
      <c r="F2097" s="76">
        <v>41307.0</v>
      </c>
      <c r="G2097" s="68" t="s">
        <v>8533</v>
      </c>
      <c r="H2097" s="71"/>
      <c r="I2097" s="114" t="s">
        <v>635</v>
      </c>
      <c r="J2097" s="68" t="s">
        <v>8534</v>
      </c>
      <c r="K2097" s="71"/>
      <c r="L2097" s="66"/>
      <c r="M2097" s="66"/>
      <c r="N2097" s="61"/>
      <c r="O2097" s="51"/>
    </row>
    <row r="2098">
      <c r="A2098" s="56">
        <v>2095.0</v>
      </c>
      <c r="B2098" s="71"/>
      <c r="C2098" s="69" t="s">
        <v>8535</v>
      </c>
      <c r="D2098" s="68" t="s">
        <v>8536</v>
      </c>
      <c r="E2098" s="68" t="s">
        <v>8537</v>
      </c>
      <c r="F2098" s="76">
        <v>41426.0</v>
      </c>
      <c r="G2098" s="68" t="s">
        <v>8538</v>
      </c>
      <c r="H2098" s="71"/>
      <c r="I2098" s="114" t="s">
        <v>8539</v>
      </c>
      <c r="J2098" s="68" t="s">
        <v>8540</v>
      </c>
      <c r="K2098" s="71"/>
      <c r="L2098" s="71"/>
      <c r="M2098" s="71"/>
      <c r="N2098" s="61"/>
      <c r="O2098" s="51"/>
    </row>
    <row r="2099">
      <c r="A2099" s="56">
        <v>2096.0</v>
      </c>
      <c r="B2099" s="71"/>
      <c r="C2099" s="69" t="s">
        <v>8541</v>
      </c>
      <c r="D2099" s="68" t="s">
        <v>8536</v>
      </c>
      <c r="E2099" s="68" t="s">
        <v>8542</v>
      </c>
      <c r="F2099" s="76">
        <v>41426.0</v>
      </c>
      <c r="G2099" s="68" t="s">
        <v>8538</v>
      </c>
      <c r="H2099" s="71"/>
      <c r="I2099" s="114" t="s">
        <v>8539</v>
      </c>
      <c r="J2099" s="68" t="s">
        <v>8540</v>
      </c>
      <c r="K2099" s="71"/>
      <c r="L2099" s="71"/>
      <c r="M2099" s="71"/>
      <c r="N2099" s="61"/>
      <c r="O2099" s="51"/>
    </row>
    <row r="2100">
      <c r="A2100" s="56">
        <v>2097.0</v>
      </c>
      <c r="B2100" s="66"/>
      <c r="C2100" s="64" t="s">
        <v>8543</v>
      </c>
      <c r="D2100" s="63" t="s">
        <v>8544</v>
      </c>
      <c r="E2100" s="63" t="s">
        <v>8545</v>
      </c>
      <c r="F2100" s="70">
        <v>40050.0</v>
      </c>
      <c r="G2100" s="63" t="s">
        <v>8546</v>
      </c>
      <c r="H2100" s="63" t="s">
        <v>8547</v>
      </c>
      <c r="I2100" s="99" t="s">
        <v>8548</v>
      </c>
      <c r="J2100" s="63" t="s">
        <v>6055</v>
      </c>
      <c r="K2100" s="66"/>
      <c r="L2100" s="63" t="s">
        <v>2743</v>
      </c>
      <c r="M2100" s="63" t="s">
        <v>530</v>
      </c>
      <c r="N2100" s="61"/>
      <c r="O2100" s="51"/>
    </row>
    <row r="2101">
      <c r="A2101" s="56">
        <v>2098.0</v>
      </c>
      <c r="B2101" s="66"/>
      <c r="C2101" s="64" t="s">
        <v>8549</v>
      </c>
      <c r="D2101" s="63" t="s">
        <v>8544</v>
      </c>
      <c r="E2101" s="63" t="s">
        <v>8550</v>
      </c>
      <c r="F2101" s="65">
        <v>40015.0</v>
      </c>
      <c r="G2101" s="63" t="s">
        <v>8551</v>
      </c>
      <c r="H2101" s="66"/>
      <c r="I2101" s="99" t="s">
        <v>8552</v>
      </c>
      <c r="J2101" s="63" t="s">
        <v>6055</v>
      </c>
      <c r="K2101" s="66"/>
      <c r="L2101" s="66"/>
      <c r="M2101" s="63" t="s">
        <v>530</v>
      </c>
      <c r="N2101" s="61"/>
      <c r="O2101" s="51"/>
    </row>
    <row r="2102">
      <c r="A2102" s="56">
        <v>2099.0</v>
      </c>
      <c r="B2102" s="71"/>
      <c r="C2102" s="69" t="s">
        <v>8553</v>
      </c>
      <c r="D2102" s="68" t="s">
        <v>8554</v>
      </c>
      <c r="E2102" s="68" t="s">
        <v>8555</v>
      </c>
      <c r="F2102" s="76">
        <v>41064.0</v>
      </c>
      <c r="G2102" s="68" t="s">
        <v>8556</v>
      </c>
      <c r="H2102" s="71"/>
      <c r="I2102" s="114" t="s">
        <v>8557</v>
      </c>
      <c r="J2102" s="68" t="s">
        <v>8558</v>
      </c>
      <c r="K2102" s="71"/>
      <c r="L2102" s="71"/>
      <c r="M2102" s="71"/>
      <c r="N2102" s="61"/>
      <c r="O2102" s="51"/>
    </row>
    <row r="2103">
      <c r="A2103" s="56">
        <v>2100.0</v>
      </c>
      <c r="B2103" s="71"/>
      <c r="C2103" s="69" t="s">
        <v>8559</v>
      </c>
      <c r="D2103" s="68" t="s">
        <v>8560</v>
      </c>
      <c r="E2103" s="68" t="s">
        <v>8561</v>
      </c>
      <c r="F2103" s="68">
        <v>2011.0</v>
      </c>
      <c r="G2103" s="68" t="s">
        <v>8562</v>
      </c>
      <c r="H2103" s="71"/>
      <c r="I2103" s="160"/>
      <c r="J2103" s="68" t="s">
        <v>8563</v>
      </c>
      <c r="K2103" s="71"/>
      <c r="L2103" s="71"/>
      <c r="M2103" s="71"/>
      <c r="N2103" s="61"/>
      <c r="O2103" s="51"/>
    </row>
    <row r="2104">
      <c r="A2104" s="56">
        <v>2101.0</v>
      </c>
      <c r="B2104" s="71"/>
      <c r="C2104" s="69" t="s">
        <v>8564</v>
      </c>
      <c r="D2104" s="68" t="s">
        <v>8565</v>
      </c>
      <c r="E2104" s="68" t="s">
        <v>8566</v>
      </c>
      <c r="F2104" s="71"/>
      <c r="G2104" s="68" t="s">
        <v>8567</v>
      </c>
      <c r="H2104" s="71"/>
      <c r="I2104" s="159"/>
      <c r="J2104" s="68" t="s">
        <v>8568</v>
      </c>
      <c r="K2104" s="71"/>
      <c r="L2104" s="71"/>
      <c r="M2104" s="71"/>
      <c r="N2104" s="61"/>
      <c r="O2104" s="51"/>
    </row>
    <row r="2105">
      <c r="A2105" s="56">
        <v>2102.0</v>
      </c>
      <c r="B2105" s="71"/>
      <c r="C2105" s="69" t="s">
        <v>8569</v>
      </c>
      <c r="D2105" s="68" t="s">
        <v>8565</v>
      </c>
      <c r="E2105" s="68" t="s">
        <v>8570</v>
      </c>
      <c r="F2105" s="71"/>
      <c r="G2105" s="68" t="s">
        <v>8567</v>
      </c>
      <c r="H2105" s="71"/>
      <c r="I2105" s="159"/>
      <c r="J2105" s="68" t="s">
        <v>8571</v>
      </c>
      <c r="K2105" s="71"/>
      <c r="L2105" s="71"/>
      <c r="M2105" s="71"/>
      <c r="N2105" s="61"/>
      <c r="O2105" s="51"/>
    </row>
    <row r="2106">
      <c r="A2106" s="56">
        <v>2103.0</v>
      </c>
      <c r="B2106" s="71"/>
      <c r="C2106" s="69" t="s">
        <v>8572</v>
      </c>
      <c r="D2106" s="68" t="s">
        <v>8573</v>
      </c>
      <c r="E2106" s="68" t="s">
        <v>8574</v>
      </c>
      <c r="F2106" s="76">
        <v>41887.0</v>
      </c>
      <c r="G2106" s="68" t="s">
        <v>8575</v>
      </c>
      <c r="H2106" s="71"/>
      <c r="I2106" s="114" t="s">
        <v>8576</v>
      </c>
      <c r="J2106" s="68" t="s">
        <v>8577</v>
      </c>
      <c r="K2106" s="71"/>
      <c r="L2106" s="71"/>
      <c r="M2106" s="71"/>
      <c r="N2106" s="61"/>
      <c r="O2106" s="51"/>
    </row>
    <row r="2107">
      <c r="A2107" s="56">
        <v>2104.0</v>
      </c>
      <c r="B2107" s="71"/>
      <c r="C2107" s="69" t="s">
        <v>8578</v>
      </c>
      <c r="D2107" s="68" t="s">
        <v>8579</v>
      </c>
      <c r="E2107" s="68" t="s">
        <v>8580</v>
      </c>
      <c r="F2107" s="76">
        <v>41550.0</v>
      </c>
      <c r="G2107" s="68" t="s">
        <v>8581</v>
      </c>
      <c r="H2107" s="71"/>
      <c r="I2107" s="99" t="s">
        <v>8582</v>
      </c>
      <c r="J2107" s="68" t="s">
        <v>49</v>
      </c>
      <c r="K2107" s="71"/>
      <c r="L2107" s="71"/>
      <c r="M2107" s="71"/>
      <c r="N2107" s="61"/>
      <c r="O2107" s="51"/>
    </row>
    <row r="2108">
      <c r="A2108" s="56">
        <v>2105.0</v>
      </c>
      <c r="B2108" s="71"/>
      <c r="C2108" s="69" t="s">
        <v>8583</v>
      </c>
      <c r="D2108" s="68" t="s">
        <v>8579</v>
      </c>
      <c r="E2108" s="68" t="s">
        <v>8584</v>
      </c>
      <c r="F2108" s="76">
        <v>41550.0</v>
      </c>
      <c r="G2108" s="68" t="s">
        <v>8581</v>
      </c>
      <c r="H2108" s="71"/>
      <c r="I2108" s="99" t="s">
        <v>8582</v>
      </c>
      <c r="J2108" s="68" t="s">
        <v>622</v>
      </c>
      <c r="K2108" s="71"/>
      <c r="L2108" s="71"/>
      <c r="M2108" s="71"/>
      <c r="N2108" s="61"/>
      <c r="O2108" s="51"/>
    </row>
    <row r="2109">
      <c r="A2109" s="56">
        <v>2106.0</v>
      </c>
      <c r="B2109" s="71"/>
      <c r="C2109" s="69" t="s">
        <v>8585</v>
      </c>
      <c r="D2109" s="68" t="s">
        <v>8586</v>
      </c>
      <c r="E2109" s="68" t="s">
        <v>8587</v>
      </c>
      <c r="F2109" s="76">
        <v>41640.0</v>
      </c>
      <c r="G2109" s="68" t="s">
        <v>8588</v>
      </c>
      <c r="H2109" s="71"/>
      <c r="I2109" s="99" t="s">
        <v>635</v>
      </c>
      <c r="J2109" s="68" t="s">
        <v>4736</v>
      </c>
      <c r="K2109" s="71"/>
      <c r="L2109" s="71"/>
      <c r="M2109" s="71"/>
      <c r="N2109" s="61"/>
      <c r="O2109" s="51"/>
    </row>
    <row r="2110">
      <c r="A2110" s="56">
        <v>2107.0</v>
      </c>
      <c r="B2110" s="71"/>
      <c r="C2110" s="69" t="s">
        <v>8589</v>
      </c>
      <c r="D2110" s="71"/>
      <c r="E2110" s="68" t="s">
        <v>8590</v>
      </c>
      <c r="F2110" s="83">
        <v>40345.0</v>
      </c>
      <c r="G2110" s="68" t="s">
        <v>8591</v>
      </c>
      <c r="H2110" s="71"/>
      <c r="I2110" s="99" t="s">
        <v>8592</v>
      </c>
      <c r="J2110" s="68" t="s">
        <v>252</v>
      </c>
      <c r="K2110" s="71"/>
      <c r="L2110" s="71"/>
      <c r="M2110" s="68" t="s">
        <v>137</v>
      </c>
      <c r="N2110" s="61"/>
      <c r="O2110" s="51"/>
    </row>
    <row r="2111">
      <c r="A2111" s="56">
        <v>2108.0</v>
      </c>
      <c r="B2111" s="60"/>
      <c r="C2111" s="58" t="s">
        <v>8593</v>
      </c>
      <c r="D2111" s="57" t="s">
        <v>8594</v>
      </c>
      <c r="E2111" s="57" t="s">
        <v>8595</v>
      </c>
      <c r="F2111" s="78">
        <v>41662.0</v>
      </c>
      <c r="G2111" s="57" t="s">
        <v>8596</v>
      </c>
      <c r="H2111" s="60"/>
      <c r="I2111" s="99" t="s">
        <v>635</v>
      </c>
      <c r="J2111" s="57" t="s">
        <v>8597</v>
      </c>
      <c r="K2111" s="60"/>
      <c r="L2111" s="60"/>
      <c r="M2111" s="104"/>
      <c r="N2111" s="105"/>
      <c r="O2111" s="51"/>
    </row>
    <row r="2112">
      <c r="A2112" s="56">
        <v>2109.0</v>
      </c>
      <c r="B2112" s="60"/>
      <c r="C2112" s="58" t="s">
        <v>8598</v>
      </c>
      <c r="D2112" s="57" t="s">
        <v>8599</v>
      </c>
      <c r="E2112" s="57" t="s">
        <v>8600</v>
      </c>
      <c r="F2112" s="59">
        <v>41701.0</v>
      </c>
      <c r="G2112" s="57" t="s">
        <v>8601</v>
      </c>
      <c r="H2112" s="60"/>
      <c r="I2112" s="99" t="s">
        <v>635</v>
      </c>
      <c r="J2112" s="57" t="s">
        <v>8602</v>
      </c>
      <c r="K2112" s="60"/>
      <c r="L2112" s="60"/>
      <c r="M2112" s="104"/>
      <c r="N2112" s="105"/>
      <c r="O2112" s="51"/>
    </row>
    <row r="2113">
      <c r="A2113" s="56">
        <v>2110.0</v>
      </c>
      <c r="B2113" s="71"/>
      <c r="C2113" s="69" t="s">
        <v>8603</v>
      </c>
      <c r="D2113" s="68" t="s">
        <v>8604</v>
      </c>
      <c r="E2113" s="68" t="s">
        <v>8605</v>
      </c>
      <c r="F2113" s="83">
        <v>41297.0</v>
      </c>
      <c r="G2113" s="68" t="s">
        <v>8606</v>
      </c>
      <c r="H2113" s="71"/>
      <c r="I2113" s="99" t="s">
        <v>8607</v>
      </c>
      <c r="J2113" s="68" t="s">
        <v>4540</v>
      </c>
      <c r="K2113" s="71"/>
      <c r="L2113" s="71"/>
      <c r="M2113" s="111"/>
      <c r="N2113" s="61"/>
      <c r="O2113" s="51"/>
    </row>
    <row r="2114">
      <c r="A2114" s="56">
        <v>2111.0</v>
      </c>
      <c r="B2114" s="71"/>
      <c r="C2114" s="69" t="s">
        <v>8608</v>
      </c>
      <c r="D2114" s="68" t="s">
        <v>8609</v>
      </c>
      <c r="E2114" s="68" t="s">
        <v>8610</v>
      </c>
      <c r="F2114" s="83">
        <v>41387.0</v>
      </c>
      <c r="G2114" s="68" t="s">
        <v>8611</v>
      </c>
      <c r="H2114" s="71"/>
      <c r="I2114" s="99" t="s">
        <v>8612</v>
      </c>
      <c r="J2114" s="68" t="s">
        <v>8613</v>
      </c>
      <c r="K2114" s="71"/>
      <c r="L2114" s="71"/>
      <c r="M2114" s="66"/>
      <c r="N2114" s="61"/>
      <c r="O2114" s="51"/>
    </row>
    <row r="2115">
      <c r="A2115" s="56">
        <v>2112.0</v>
      </c>
      <c r="B2115" s="71"/>
      <c r="C2115" s="69" t="s">
        <v>8614</v>
      </c>
      <c r="D2115" s="68" t="s">
        <v>8615</v>
      </c>
      <c r="E2115" s="68" t="s">
        <v>8616</v>
      </c>
      <c r="F2115" s="76">
        <v>41730.0</v>
      </c>
      <c r="G2115" s="68" t="s">
        <v>8617</v>
      </c>
      <c r="H2115" s="71"/>
      <c r="I2115" s="99" t="s">
        <v>635</v>
      </c>
      <c r="J2115" s="68" t="s">
        <v>1481</v>
      </c>
      <c r="K2115" s="71"/>
      <c r="L2115" s="71"/>
      <c r="M2115" s="71"/>
      <c r="N2115" s="61"/>
      <c r="O2115" s="51"/>
    </row>
    <row r="2116">
      <c r="A2116" s="56">
        <v>2113.0</v>
      </c>
      <c r="B2116" s="66"/>
      <c r="C2116" s="64" t="s">
        <v>8618</v>
      </c>
      <c r="D2116" s="66"/>
      <c r="E2116" s="63" t="s">
        <v>8619</v>
      </c>
      <c r="F2116" s="65">
        <v>41600.0</v>
      </c>
      <c r="G2116" s="63" t="s">
        <v>8620</v>
      </c>
      <c r="H2116" s="66"/>
      <c r="I2116" s="99" t="s">
        <v>8621</v>
      </c>
      <c r="J2116" s="63" t="s">
        <v>8622</v>
      </c>
      <c r="K2116" s="66"/>
      <c r="L2116" s="66"/>
      <c r="M2116" s="63" t="s">
        <v>368</v>
      </c>
      <c r="N2116" s="61"/>
      <c r="O2116" s="51"/>
    </row>
    <row r="2117">
      <c r="A2117" s="56">
        <v>2114.0</v>
      </c>
      <c r="B2117" s="71"/>
      <c r="C2117" s="69" t="s">
        <v>8623</v>
      </c>
      <c r="D2117" s="68" t="s">
        <v>8624</v>
      </c>
      <c r="E2117" s="68" t="s">
        <v>8625</v>
      </c>
      <c r="F2117" s="83">
        <v>40962.0</v>
      </c>
      <c r="G2117" s="68" t="s">
        <v>8626</v>
      </c>
      <c r="H2117" s="71"/>
      <c r="I2117" s="114" t="s">
        <v>635</v>
      </c>
      <c r="J2117" s="68" t="s">
        <v>8627</v>
      </c>
      <c r="K2117" s="71"/>
      <c r="L2117" s="71"/>
      <c r="M2117" s="71"/>
      <c r="N2117" s="61"/>
      <c r="O2117" s="51"/>
    </row>
    <row r="2118">
      <c r="A2118" s="56">
        <v>2115.0</v>
      </c>
      <c r="B2118" s="71"/>
      <c r="C2118" s="69" t="s">
        <v>8628</v>
      </c>
      <c r="D2118" s="71"/>
      <c r="E2118" s="68" t="s">
        <v>8629</v>
      </c>
      <c r="F2118" s="76">
        <v>40788.0</v>
      </c>
      <c r="G2118" s="68" t="s">
        <v>8630</v>
      </c>
      <c r="H2118" s="71"/>
      <c r="I2118" s="99" t="s">
        <v>8631</v>
      </c>
      <c r="J2118" s="68" t="s">
        <v>2774</v>
      </c>
      <c r="K2118" s="71"/>
      <c r="L2118" s="71"/>
      <c r="M2118" s="104"/>
      <c r="N2118" s="105"/>
      <c r="O2118" s="51"/>
    </row>
    <row r="2119">
      <c r="A2119" s="56">
        <v>2116.0</v>
      </c>
      <c r="B2119" s="71"/>
      <c r="C2119" s="69" t="s">
        <v>8632</v>
      </c>
      <c r="D2119" s="71"/>
      <c r="E2119" s="68" t="s">
        <v>8633</v>
      </c>
      <c r="F2119" s="83">
        <v>41813.0</v>
      </c>
      <c r="G2119" s="68" t="s">
        <v>8634</v>
      </c>
      <c r="H2119" s="71"/>
      <c r="I2119" s="114" t="s">
        <v>8635</v>
      </c>
      <c r="J2119" s="68" t="s">
        <v>8636</v>
      </c>
      <c r="K2119" s="71"/>
      <c r="L2119" s="71"/>
      <c r="M2119" s="111"/>
      <c r="N2119" s="61"/>
      <c r="O2119" s="51"/>
    </row>
    <row r="2120">
      <c r="A2120" s="56">
        <v>2117.0</v>
      </c>
      <c r="B2120" s="66"/>
      <c r="C2120" s="64" t="s">
        <v>8637</v>
      </c>
      <c r="D2120" s="63" t="s">
        <v>8638</v>
      </c>
      <c r="E2120" s="63" t="s">
        <v>8639</v>
      </c>
      <c r="F2120" s="70">
        <v>40977.0</v>
      </c>
      <c r="G2120" s="63" t="s">
        <v>8640</v>
      </c>
      <c r="H2120" s="66"/>
      <c r="I2120" s="99" t="s">
        <v>8641</v>
      </c>
      <c r="J2120" s="63" t="s">
        <v>7071</v>
      </c>
      <c r="K2120" s="66"/>
      <c r="L2120" s="66"/>
      <c r="M2120" s="63" t="s">
        <v>2152</v>
      </c>
      <c r="N2120" s="61"/>
      <c r="O2120" s="51"/>
    </row>
    <row r="2121">
      <c r="A2121" s="56">
        <v>2118.0</v>
      </c>
      <c r="B2121" s="66"/>
      <c r="C2121" s="64" t="s">
        <v>8642</v>
      </c>
      <c r="D2121" s="63" t="s">
        <v>8643</v>
      </c>
      <c r="E2121" s="63" t="s">
        <v>8644</v>
      </c>
      <c r="F2121" s="65">
        <v>40157.0</v>
      </c>
      <c r="G2121" s="63" t="s">
        <v>8645</v>
      </c>
      <c r="H2121" s="66"/>
      <c r="I2121" s="99" t="s">
        <v>8646</v>
      </c>
      <c r="J2121" s="63" t="s">
        <v>6055</v>
      </c>
      <c r="K2121" s="66"/>
      <c r="L2121" s="66"/>
      <c r="M2121" s="63" t="s">
        <v>530</v>
      </c>
      <c r="N2121" s="61"/>
      <c r="O2121" s="51"/>
    </row>
    <row r="2122">
      <c r="A2122" s="56">
        <v>2119.0</v>
      </c>
      <c r="B2122" s="71"/>
      <c r="C2122" s="69" t="s">
        <v>8647</v>
      </c>
      <c r="D2122" s="71"/>
      <c r="E2122" s="68" t="s">
        <v>8648</v>
      </c>
      <c r="F2122" s="83">
        <v>41818.0</v>
      </c>
      <c r="G2122" s="68" t="s">
        <v>8649</v>
      </c>
      <c r="H2122" s="71"/>
      <c r="I2122" s="114" t="s">
        <v>8650</v>
      </c>
      <c r="J2122" s="68" t="s">
        <v>8651</v>
      </c>
      <c r="K2122" s="71"/>
      <c r="L2122" s="71"/>
      <c r="M2122" s="71"/>
      <c r="N2122" s="77"/>
      <c r="O2122" s="51"/>
    </row>
    <row r="2123">
      <c r="A2123" s="56">
        <v>2120.0</v>
      </c>
      <c r="B2123" s="60"/>
      <c r="C2123" s="58" t="s">
        <v>8652</v>
      </c>
      <c r="D2123" s="60"/>
      <c r="E2123" s="57" t="s">
        <v>8653</v>
      </c>
      <c r="F2123" s="78">
        <v>41818.0</v>
      </c>
      <c r="G2123" s="57" t="s">
        <v>8654</v>
      </c>
      <c r="H2123" s="60"/>
      <c r="I2123" s="99" t="s">
        <v>8650</v>
      </c>
      <c r="J2123" s="57" t="s">
        <v>8655</v>
      </c>
      <c r="K2123" s="60"/>
      <c r="L2123" s="60"/>
      <c r="M2123" s="104"/>
      <c r="N2123" s="105"/>
      <c r="O2123" s="51"/>
    </row>
    <row r="2124">
      <c r="A2124" s="56">
        <v>2121.0</v>
      </c>
      <c r="B2124" s="60"/>
      <c r="C2124" s="58" t="s">
        <v>8656</v>
      </c>
      <c r="D2124" s="60"/>
      <c r="E2124" s="57" t="s">
        <v>8657</v>
      </c>
      <c r="F2124" s="78">
        <v>41818.0</v>
      </c>
      <c r="G2124" s="57" t="s">
        <v>8658</v>
      </c>
      <c r="H2124" s="60"/>
      <c r="I2124" s="99" t="s">
        <v>8650</v>
      </c>
      <c r="J2124" s="57" t="s">
        <v>8659</v>
      </c>
      <c r="K2124" s="60"/>
      <c r="L2124" s="60"/>
      <c r="M2124" s="104"/>
      <c r="N2124" s="105"/>
      <c r="O2124" s="51"/>
    </row>
    <row r="2125">
      <c r="A2125" s="56">
        <v>2122.0</v>
      </c>
      <c r="B2125" s="60"/>
      <c r="C2125" s="58" t="s">
        <v>8660</v>
      </c>
      <c r="D2125" s="60"/>
      <c r="E2125" s="57" t="s">
        <v>8661</v>
      </c>
      <c r="F2125" s="78">
        <v>41818.0</v>
      </c>
      <c r="G2125" s="57" t="s">
        <v>8662</v>
      </c>
      <c r="H2125" s="60"/>
      <c r="I2125" s="99" t="s">
        <v>8650</v>
      </c>
      <c r="J2125" s="57" t="s">
        <v>8663</v>
      </c>
      <c r="K2125" s="60"/>
      <c r="L2125" s="60"/>
      <c r="M2125" s="104"/>
      <c r="N2125" s="105"/>
      <c r="O2125" s="51"/>
    </row>
    <row r="2126">
      <c r="A2126" s="56">
        <v>2123.0</v>
      </c>
      <c r="B2126" s="60"/>
      <c r="C2126" s="58" t="s">
        <v>8664</v>
      </c>
      <c r="D2126" s="60"/>
      <c r="E2126" s="57" t="s">
        <v>8665</v>
      </c>
      <c r="F2126" s="78">
        <v>41818.0</v>
      </c>
      <c r="G2126" s="57" t="s">
        <v>8666</v>
      </c>
      <c r="H2126" s="60"/>
      <c r="I2126" s="99" t="s">
        <v>8650</v>
      </c>
      <c r="J2126" s="57" t="s">
        <v>8667</v>
      </c>
      <c r="K2126" s="60"/>
      <c r="L2126" s="60"/>
      <c r="M2126" s="104"/>
      <c r="N2126" s="105"/>
      <c r="O2126" s="51"/>
    </row>
    <row r="2127">
      <c r="A2127" s="56">
        <v>2124.0</v>
      </c>
      <c r="B2127" s="60"/>
      <c r="C2127" s="58" t="s">
        <v>8668</v>
      </c>
      <c r="D2127" s="60"/>
      <c r="E2127" s="57" t="s">
        <v>8669</v>
      </c>
      <c r="F2127" s="78">
        <v>41818.0</v>
      </c>
      <c r="G2127" s="57" t="s">
        <v>8670</v>
      </c>
      <c r="H2127" s="60"/>
      <c r="I2127" s="99" t="s">
        <v>8650</v>
      </c>
      <c r="J2127" s="57" t="s">
        <v>8671</v>
      </c>
      <c r="K2127" s="60"/>
      <c r="L2127" s="60"/>
      <c r="M2127" s="104"/>
      <c r="N2127" s="105"/>
      <c r="O2127" s="51"/>
    </row>
    <row r="2128">
      <c r="A2128" s="56">
        <v>2125.0</v>
      </c>
      <c r="B2128" s="60"/>
      <c r="C2128" s="58" t="s">
        <v>8672</v>
      </c>
      <c r="D2128" s="60"/>
      <c r="E2128" s="57" t="s">
        <v>8673</v>
      </c>
      <c r="F2128" s="78">
        <v>41818.0</v>
      </c>
      <c r="G2128" s="57" t="s">
        <v>8674</v>
      </c>
      <c r="H2128" s="60"/>
      <c r="I2128" s="99" t="s">
        <v>8650</v>
      </c>
      <c r="J2128" s="57" t="s">
        <v>8675</v>
      </c>
      <c r="K2128" s="60"/>
      <c r="L2128" s="60"/>
      <c r="M2128" s="104"/>
      <c r="N2128" s="105"/>
      <c r="O2128" s="51"/>
    </row>
    <row r="2129">
      <c r="A2129" s="56">
        <v>2126.0</v>
      </c>
      <c r="B2129" s="66"/>
      <c r="C2129" s="64" t="s">
        <v>8676</v>
      </c>
      <c r="D2129" s="66"/>
      <c r="E2129" s="63" t="s">
        <v>8677</v>
      </c>
      <c r="F2129" s="65">
        <v>40044.0</v>
      </c>
      <c r="G2129" s="63" t="s">
        <v>8678</v>
      </c>
      <c r="H2129" s="66"/>
      <c r="I2129" s="99" t="s">
        <v>8679</v>
      </c>
      <c r="J2129" s="63" t="s">
        <v>6055</v>
      </c>
      <c r="K2129" s="66"/>
      <c r="L2129" s="66"/>
      <c r="M2129" s="74" t="s">
        <v>530</v>
      </c>
      <c r="N2129" s="61"/>
      <c r="O2129" s="51"/>
    </row>
    <row r="2130">
      <c r="A2130" s="56">
        <v>2127.0</v>
      </c>
      <c r="B2130" s="71"/>
      <c r="C2130" s="69" t="s">
        <v>8680</v>
      </c>
      <c r="D2130" s="71"/>
      <c r="E2130" s="68" t="s">
        <v>8681</v>
      </c>
      <c r="F2130" s="197">
        <v>41818.0</v>
      </c>
      <c r="G2130" s="68" t="s">
        <v>8682</v>
      </c>
      <c r="H2130" s="71"/>
      <c r="I2130" s="114" t="s">
        <v>635</v>
      </c>
      <c r="J2130" s="68" t="s">
        <v>8683</v>
      </c>
      <c r="K2130" s="71"/>
      <c r="L2130" s="71"/>
      <c r="M2130" s="71"/>
      <c r="N2130" s="61"/>
      <c r="O2130" s="51"/>
    </row>
    <row r="2131">
      <c r="A2131" s="56">
        <v>2128.0</v>
      </c>
      <c r="B2131" s="71"/>
      <c r="C2131" s="69" t="s">
        <v>8684</v>
      </c>
      <c r="D2131" s="71"/>
      <c r="E2131" s="68" t="s">
        <v>8685</v>
      </c>
      <c r="F2131" s="83">
        <v>41454.0</v>
      </c>
      <c r="G2131" s="68" t="s">
        <v>8686</v>
      </c>
      <c r="H2131" s="71"/>
      <c r="I2131" s="99" t="s">
        <v>8687</v>
      </c>
      <c r="J2131" s="68" t="s">
        <v>8688</v>
      </c>
      <c r="K2131" s="71"/>
      <c r="L2131" s="71"/>
      <c r="M2131" s="71"/>
      <c r="N2131" s="61"/>
      <c r="O2131" s="51"/>
    </row>
    <row r="2132">
      <c r="A2132" s="56">
        <v>2129.0</v>
      </c>
      <c r="B2132" s="71"/>
      <c r="C2132" s="69" t="s">
        <v>8689</v>
      </c>
      <c r="D2132" s="71"/>
      <c r="E2132" s="68" t="s">
        <v>8690</v>
      </c>
      <c r="F2132" s="76">
        <v>41854.0</v>
      </c>
      <c r="G2132" s="68" t="s">
        <v>8691</v>
      </c>
      <c r="H2132" s="71"/>
      <c r="I2132" s="114" t="s">
        <v>8692</v>
      </c>
      <c r="J2132" s="68" t="s">
        <v>8693</v>
      </c>
      <c r="K2132" s="71"/>
      <c r="L2132" s="71"/>
      <c r="M2132" s="71"/>
      <c r="N2132" s="61"/>
      <c r="O2132" s="51"/>
    </row>
    <row r="2133">
      <c r="A2133" s="56">
        <v>2130.0</v>
      </c>
      <c r="B2133" s="71"/>
      <c r="C2133" s="69" t="s">
        <v>8694</v>
      </c>
      <c r="D2133" s="71"/>
      <c r="E2133" s="68" t="s">
        <v>8695</v>
      </c>
      <c r="F2133" s="83">
        <v>41774.0</v>
      </c>
      <c r="G2133" s="68" t="s">
        <v>8696</v>
      </c>
      <c r="H2133" s="71"/>
      <c r="I2133" s="114" t="s">
        <v>8697</v>
      </c>
      <c r="J2133" s="68" t="s">
        <v>8698</v>
      </c>
      <c r="K2133" s="71"/>
      <c r="L2133" s="71"/>
      <c r="M2133" s="71"/>
      <c r="N2133" s="61"/>
      <c r="O2133" s="51"/>
    </row>
    <row r="2134">
      <c r="A2134" s="56">
        <v>2131.0</v>
      </c>
      <c r="B2134" s="71"/>
      <c r="C2134" s="69" t="s">
        <v>8699</v>
      </c>
      <c r="D2134" s="71"/>
      <c r="E2134" s="68" t="s">
        <v>8700</v>
      </c>
      <c r="F2134" s="76">
        <v>40735.0</v>
      </c>
      <c r="G2134" s="68" t="s">
        <v>8701</v>
      </c>
      <c r="H2134" s="71"/>
      <c r="I2134" s="114" t="s">
        <v>8702</v>
      </c>
      <c r="J2134" s="68" t="s">
        <v>8703</v>
      </c>
      <c r="K2134" s="71"/>
      <c r="L2134" s="71"/>
      <c r="M2134" s="68" t="s">
        <v>3327</v>
      </c>
      <c r="N2134" s="77"/>
      <c r="O2134" s="51"/>
    </row>
    <row r="2135">
      <c r="A2135" s="56">
        <v>2132.0</v>
      </c>
      <c r="B2135" s="66"/>
      <c r="C2135" s="64" t="s">
        <v>8704</v>
      </c>
      <c r="D2135" s="66"/>
      <c r="E2135" s="63" t="s">
        <v>8705</v>
      </c>
      <c r="F2135" s="70">
        <v>40457.0</v>
      </c>
      <c r="G2135" s="63" t="s">
        <v>8706</v>
      </c>
      <c r="H2135" s="66"/>
      <c r="I2135" s="99" t="s">
        <v>8707</v>
      </c>
      <c r="J2135" s="63" t="s">
        <v>8708</v>
      </c>
      <c r="K2135" s="66"/>
      <c r="L2135" s="63" t="s">
        <v>1496</v>
      </c>
      <c r="M2135" s="63" t="s">
        <v>4001</v>
      </c>
      <c r="N2135" s="61"/>
      <c r="O2135" s="51"/>
    </row>
    <row r="2136">
      <c r="A2136" s="56">
        <v>2133.0</v>
      </c>
      <c r="B2136" s="66"/>
      <c r="C2136" s="64" t="s">
        <v>8709</v>
      </c>
      <c r="D2136" s="66"/>
      <c r="E2136" s="63" t="s">
        <v>8710</v>
      </c>
      <c r="F2136" s="70">
        <v>40457.0</v>
      </c>
      <c r="G2136" s="63" t="s">
        <v>8711</v>
      </c>
      <c r="H2136" s="66"/>
      <c r="I2136" s="99" t="s">
        <v>8712</v>
      </c>
      <c r="J2136" s="63" t="s">
        <v>8708</v>
      </c>
      <c r="K2136" s="66"/>
      <c r="L2136" s="63" t="s">
        <v>1496</v>
      </c>
      <c r="M2136" s="63" t="s">
        <v>4001</v>
      </c>
      <c r="N2136" s="61"/>
      <c r="O2136" s="51"/>
    </row>
    <row r="2137">
      <c r="A2137" s="56">
        <v>2134.0</v>
      </c>
      <c r="B2137" s="71"/>
      <c r="C2137" s="69" t="s">
        <v>8713</v>
      </c>
      <c r="D2137" s="71"/>
      <c r="E2137" s="68" t="s">
        <v>8714</v>
      </c>
      <c r="F2137" s="83">
        <v>40069.0</v>
      </c>
      <c r="G2137" s="68" t="s">
        <v>8715</v>
      </c>
      <c r="H2137" s="71"/>
      <c r="I2137" s="114" t="s">
        <v>8716</v>
      </c>
      <c r="J2137" s="198"/>
      <c r="K2137" s="68" t="s">
        <v>8717</v>
      </c>
      <c r="L2137" s="71"/>
      <c r="M2137" s="68" t="s">
        <v>530</v>
      </c>
      <c r="N2137" s="77"/>
      <c r="O2137" s="51"/>
    </row>
    <row r="2138">
      <c r="A2138" s="56">
        <v>2135.0</v>
      </c>
      <c r="B2138" s="66"/>
      <c r="C2138" s="64" t="s">
        <v>8718</v>
      </c>
      <c r="D2138" s="66"/>
      <c r="E2138" s="63" t="s">
        <v>8719</v>
      </c>
      <c r="F2138" s="70">
        <v>39850.0</v>
      </c>
      <c r="G2138" s="63" t="s">
        <v>8720</v>
      </c>
      <c r="H2138" s="66"/>
      <c r="I2138" s="99" t="s">
        <v>8721</v>
      </c>
      <c r="J2138" s="103"/>
      <c r="K2138" s="63" t="s">
        <v>6055</v>
      </c>
      <c r="L2138" s="66"/>
      <c r="M2138" s="63" t="s">
        <v>530</v>
      </c>
      <c r="N2138" s="61"/>
      <c r="O2138" s="51"/>
    </row>
    <row r="2139">
      <c r="A2139" s="56">
        <v>2136.0</v>
      </c>
      <c r="B2139" s="71"/>
      <c r="C2139" s="69" t="s">
        <v>8722</v>
      </c>
      <c r="D2139" s="71"/>
      <c r="E2139" s="68" t="s">
        <v>8723</v>
      </c>
      <c r="F2139" s="76">
        <v>40335.0</v>
      </c>
      <c r="G2139" s="68" t="s">
        <v>8724</v>
      </c>
      <c r="H2139" s="71"/>
      <c r="I2139" s="114" t="s">
        <v>8725</v>
      </c>
      <c r="J2139" s="68" t="s">
        <v>8726</v>
      </c>
      <c r="K2139" s="71"/>
      <c r="L2139" s="71"/>
      <c r="M2139" s="68" t="s">
        <v>530</v>
      </c>
      <c r="N2139" s="61"/>
      <c r="O2139" s="51"/>
    </row>
    <row r="2140">
      <c r="A2140" s="56">
        <v>2137.0</v>
      </c>
      <c r="B2140" s="66"/>
      <c r="C2140" s="64" t="s">
        <v>8727</v>
      </c>
      <c r="D2140" s="66"/>
      <c r="E2140" s="63" t="s">
        <v>8728</v>
      </c>
      <c r="F2140" s="70">
        <v>39820.0</v>
      </c>
      <c r="G2140" s="63" t="s">
        <v>8729</v>
      </c>
      <c r="H2140" s="66"/>
      <c r="I2140" s="99" t="s">
        <v>8730</v>
      </c>
      <c r="J2140" s="63" t="s">
        <v>6055</v>
      </c>
      <c r="K2140" s="66"/>
      <c r="L2140" s="63" t="s">
        <v>1496</v>
      </c>
      <c r="M2140" s="63" t="s">
        <v>530</v>
      </c>
      <c r="N2140" s="61"/>
      <c r="O2140" s="51"/>
    </row>
    <row r="2141">
      <c r="A2141" s="56">
        <v>2138.0</v>
      </c>
      <c r="B2141" s="71"/>
      <c r="C2141" s="69" t="s">
        <v>8731</v>
      </c>
      <c r="D2141" s="71"/>
      <c r="E2141" s="68" t="s">
        <v>8732</v>
      </c>
      <c r="F2141" s="83">
        <v>41806.0</v>
      </c>
      <c r="G2141" s="68" t="s">
        <v>8733</v>
      </c>
      <c r="H2141" s="71"/>
      <c r="I2141" s="99" t="s">
        <v>8734</v>
      </c>
      <c r="J2141" s="68" t="s">
        <v>8735</v>
      </c>
      <c r="K2141" s="71"/>
      <c r="L2141" s="71"/>
      <c r="M2141" s="71"/>
      <c r="N2141" s="61"/>
      <c r="O2141" s="51"/>
    </row>
    <row r="2142">
      <c r="A2142" s="56">
        <v>2139.0</v>
      </c>
      <c r="B2142" s="71"/>
      <c r="C2142" s="69" t="s">
        <v>8736</v>
      </c>
      <c r="D2142" s="71"/>
      <c r="E2142" s="68" t="s">
        <v>8737</v>
      </c>
      <c r="F2142" s="83">
        <v>41331.0</v>
      </c>
      <c r="G2142" s="68" t="s">
        <v>8738</v>
      </c>
      <c r="H2142" s="71"/>
      <c r="I2142" s="114" t="s">
        <v>8739</v>
      </c>
      <c r="J2142" s="68" t="s">
        <v>8740</v>
      </c>
      <c r="K2142" s="71"/>
      <c r="L2142" s="71"/>
      <c r="M2142" s="71"/>
      <c r="N2142" s="61"/>
      <c r="O2142" s="51"/>
    </row>
    <row r="2143">
      <c r="A2143" s="75">
        <v>2140.0</v>
      </c>
      <c r="B2143" s="71"/>
      <c r="C2143" s="69" t="s">
        <v>8741</v>
      </c>
      <c r="D2143" s="68" t="s">
        <v>8742</v>
      </c>
      <c r="E2143" s="68" t="s">
        <v>8743</v>
      </c>
      <c r="F2143" s="83">
        <v>40873.0</v>
      </c>
      <c r="G2143" s="68" t="s">
        <v>8744</v>
      </c>
      <c r="H2143" s="68" t="s">
        <v>8745</v>
      </c>
      <c r="I2143" s="114" t="s">
        <v>8746</v>
      </c>
      <c r="J2143" s="68" t="s">
        <v>8747</v>
      </c>
      <c r="K2143" s="71"/>
      <c r="L2143" s="71"/>
      <c r="M2143" s="68" t="s">
        <v>542</v>
      </c>
      <c r="N2143" s="77"/>
      <c r="O2143" s="51"/>
    </row>
    <row r="2144">
      <c r="A2144" s="56">
        <v>2141.0</v>
      </c>
      <c r="B2144" s="66"/>
      <c r="C2144" s="64" t="s">
        <v>8748</v>
      </c>
      <c r="D2144" s="63" t="s">
        <v>8749</v>
      </c>
      <c r="E2144" s="63" t="s">
        <v>8750</v>
      </c>
      <c r="F2144" s="70">
        <v>41612.0</v>
      </c>
      <c r="G2144" s="63" t="s">
        <v>8751</v>
      </c>
      <c r="H2144" s="66"/>
      <c r="I2144" s="199" t="s">
        <v>635</v>
      </c>
      <c r="J2144" s="63" t="s">
        <v>8752</v>
      </c>
      <c r="K2144" s="66"/>
      <c r="L2144" s="66"/>
      <c r="M2144" s="63" t="s">
        <v>542</v>
      </c>
      <c r="N2144" s="61"/>
      <c r="O2144" s="51"/>
    </row>
    <row r="2145">
      <c r="A2145" s="56">
        <v>2142.0</v>
      </c>
      <c r="B2145" s="71"/>
      <c r="C2145" s="69" t="s">
        <v>8753</v>
      </c>
      <c r="D2145" s="68" t="s">
        <v>8754</v>
      </c>
      <c r="E2145" s="68" t="s">
        <v>8755</v>
      </c>
      <c r="F2145" s="71"/>
      <c r="G2145" s="68" t="s">
        <v>8756</v>
      </c>
      <c r="H2145" s="71"/>
      <c r="I2145" s="114" t="s">
        <v>8757</v>
      </c>
      <c r="J2145" s="68" t="s">
        <v>8758</v>
      </c>
      <c r="K2145" s="71"/>
      <c r="L2145" s="71"/>
      <c r="M2145" s="71"/>
      <c r="N2145" s="61"/>
      <c r="O2145" s="51"/>
    </row>
    <row r="2146">
      <c r="A2146" s="56">
        <v>2143.0</v>
      </c>
      <c r="B2146" s="71"/>
      <c r="C2146" s="69" t="s">
        <v>8759</v>
      </c>
      <c r="D2146" s="68" t="s">
        <v>8760</v>
      </c>
      <c r="E2146" s="68" t="s">
        <v>8761</v>
      </c>
      <c r="F2146" s="83">
        <v>41774.0</v>
      </c>
      <c r="G2146" s="68" t="s">
        <v>8762</v>
      </c>
      <c r="H2146" s="71"/>
      <c r="I2146" s="114" t="s">
        <v>8757</v>
      </c>
      <c r="J2146" s="68" t="s">
        <v>8763</v>
      </c>
      <c r="K2146" s="71"/>
      <c r="L2146" s="71"/>
      <c r="M2146" s="71"/>
      <c r="N2146" s="61"/>
      <c r="O2146" s="51"/>
    </row>
    <row r="2147">
      <c r="A2147" s="56">
        <v>2144.0</v>
      </c>
      <c r="B2147" s="71"/>
      <c r="C2147" s="69" t="s">
        <v>8764</v>
      </c>
      <c r="D2147" s="68" t="s">
        <v>8760</v>
      </c>
      <c r="E2147" s="68" t="s">
        <v>8765</v>
      </c>
      <c r="F2147" s="83">
        <v>41774.0</v>
      </c>
      <c r="G2147" s="68" t="s">
        <v>8766</v>
      </c>
      <c r="H2147" s="71"/>
      <c r="I2147" s="114" t="s">
        <v>635</v>
      </c>
      <c r="J2147" s="68" t="s">
        <v>8763</v>
      </c>
      <c r="K2147" s="71"/>
      <c r="L2147" s="71"/>
      <c r="M2147" s="71"/>
      <c r="N2147" s="61"/>
      <c r="O2147" s="51"/>
    </row>
    <row r="2148">
      <c r="A2148" s="56">
        <v>2145.0</v>
      </c>
      <c r="B2148" s="71"/>
      <c r="C2148" s="69" t="s">
        <v>8767</v>
      </c>
      <c r="D2148" s="68" t="s">
        <v>8768</v>
      </c>
      <c r="E2148" s="68" t="s">
        <v>8769</v>
      </c>
      <c r="F2148" s="76">
        <v>40092.0</v>
      </c>
      <c r="G2148" s="68" t="s">
        <v>8770</v>
      </c>
      <c r="H2148" s="71"/>
      <c r="I2148" s="99" t="s">
        <v>8771</v>
      </c>
      <c r="J2148" s="68" t="s">
        <v>8772</v>
      </c>
      <c r="K2148" s="71"/>
      <c r="L2148" s="71"/>
      <c r="M2148" s="71"/>
      <c r="N2148" s="61"/>
      <c r="O2148" s="51"/>
    </row>
    <row r="2149">
      <c r="A2149" s="56">
        <v>2146.0</v>
      </c>
      <c r="B2149" s="71"/>
      <c r="C2149" s="69" t="s">
        <v>8773</v>
      </c>
      <c r="D2149" s="68" t="s">
        <v>8774</v>
      </c>
      <c r="E2149" s="68" t="s">
        <v>8775</v>
      </c>
      <c r="F2149" s="83">
        <v>41299.0</v>
      </c>
      <c r="G2149" s="68" t="s">
        <v>8776</v>
      </c>
      <c r="H2149" s="71"/>
      <c r="I2149" s="99" t="s">
        <v>635</v>
      </c>
      <c r="J2149" s="87" t="s">
        <v>8777</v>
      </c>
      <c r="K2149" s="71"/>
      <c r="L2149" s="71"/>
      <c r="M2149" s="71"/>
      <c r="N2149" s="61"/>
      <c r="O2149" s="51"/>
    </row>
    <row r="2150">
      <c r="A2150" s="56">
        <v>2147.0</v>
      </c>
      <c r="B2150" s="71"/>
      <c r="C2150" s="69" t="s">
        <v>8778</v>
      </c>
      <c r="D2150" s="68" t="s">
        <v>8779</v>
      </c>
      <c r="E2150" s="68" t="s">
        <v>8780</v>
      </c>
      <c r="F2150" s="76">
        <v>41188.0</v>
      </c>
      <c r="G2150" s="68" t="s">
        <v>8781</v>
      </c>
      <c r="H2150" s="71"/>
      <c r="I2150" s="159"/>
      <c r="J2150" s="87" t="s">
        <v>8782</v>
      </c>
      <c r="K2150" s="116"/>
      <c r="L2150" s="116"/>
      <c r="M2150" s="116"/>
      <c r="N2150" s="61"/>
      <c r="O2150" s="51"/>
    </row>
    <row r="2151">
      <c r="A2151" s="56">
        <v>2148.0</v>
      </c>
      <c r="B2151" s="71"/>
      <c r="C2151" s="69" t="s">
        <v>8783</v>
      </c>
      <c r="D2151" s="68" t="s">
        <v>8784</v>
      </c>
      <c r="E2151" s="68" t="s">
        <v>8785</v>
      </c>
      <c r="F2151" s="83">
        <v>41662.0</v>
      </c>
      <c r="G2151" s="68" t="s">
        <v>8786</v>
      </c>
      <c r="H2151" s="71"/>
      <c r="I2151" s="99" t="s">
        <v>8787</v>
      </c>
      <c r="J2151" s="68" t="s">
        <v>8788</v>
      </c>
      <c r="K2151" s="71"/>
      <c r="L2151" s="71"/>
      <c r="M2151" s="66"/>
      <c r="N2151" s="61"/>
      <c r="O2151" s="51"/>
    </row>
    <row r="2152">
      <c r="A2152" s="56">
        <v>2149.0</v>
      </c>
      <c r="B2152" s="71"/>
      <c r="C2152" s="69" t="s">
        <v>8789</v>
      </c>
      <c r="D2152" s="68" t="s">
        <v>8790</v>
      </c>
      <c r="E2152" s="68" t="s">
        <v>8791</v>
      </c>
      <c r="F2152" s="76">
        <v>41312.0</v>
      </c>
      <c r="G2152" s="68" t="s">
        <v>8792</v>
      </c>
      <c r="H2152" s="71"/>
      <c r="I2152" s="99" t="s">
        <v>8793</v>
      </c>
      <c r="J2152" s="68" t="s">
        <v>296</v>
      </c>
      <c r="K2152" s="71"/>
      <c r="L2152" s="71"/>
      <c r="M2152" s="71"/>
      <c r="N2152" s="61"/>
      <c r="O2152" s="51"/>
    </row>
    <row r="2153">
      <c r="A2153" s="56">
        <v>2150.0</v>
      </c>
      <c r="B2153" s="71"/>
      <c r="C2153" s="69" t="s">
        <v>8794</v>
      </c>
      <c r="D2153" s="68" t="s">
        <v>8795</v>
      </c>
      <c r="E2153" s="68" t="s">
        <v>8796</v>
      </c>
      <c r="F2153" s="76">
        <v>41699.0</v>
      </c>
      <c r="G2153" s="68" t="s">
        <v>8797</v>
      </c>
      <c r="H2153" s="71"/>
      <c r="I2153" s="99" t="s">
        <v>635</v>
      </c>
      <c r="J2153" s="68" t="s">
        <v>8798</v>
      </c>
      <c r="K2153" s="71"/>
      <c r="L2153" s="66"/>
      <c r="M2153" s="66"/>
      <c r="N2153" s="61"/>
      <c r="O2153" s="51"/>
    </row>
    <row r="2154">
      <c r="A2154" s="56">
        <v>2151.0</v>
      </c>
      <c r="B2154" s="71"/>
      <c r="C2154" s="69" t="s">
        <v>8799</v>
      </c>
      <c r="D2154" s="68" t="s">
        <v>8800</v>
      </c>
      <c r="E2154" s="68" t="s">
        <v>8801</v>
      </c>
      <c r="F2154" s="76">
        <v>41345.0</v>
      </c>
      <c r="G2154" s="68" t="s">
        <v>8802</v>
      </c>
      <c r="H2154" s="71"/>
      <c r="I2154" s="99" t="s">
        <v>635</v>
      </c>
      <c r="J2154" s="68" t="s">
        <v>148</v>
      </c>
      <c r="K2154" s="71"/>
      <c r="L2154" s="71"/>
      <c r="M2154" s="71"/>
      <c r="N2154" s="61"/>
      <c r="O2154" s="51"/>
    </row>
    <row r="2155">
      <c r="A2155" s="56">
        <v>2152.0</v>
      </c>
      <c r="B2155" s="60"/>
      <c r="C2155" s="58" t="s">
        <v>8803</v>
      </c>
      <c r="D2155" s="60"/>
      <c r="E2155" s="57" t="s">
        <v>8804</v>
      </c>
      <c r="F2155" s="78">
        <v>41818.0</v>
      </c>
      <c r="G2155" s="57" t="s">
        <v>8805</v>
      </c>
      <c r="H2155" s="60"/>
      <c r="I2155" s="99" t="s">
        <v>635</v>
      </c>
      <c r="J2155" s="57" t="s">
        <v>8806</v>
      </c>
      <c r="K2155" s="60"/>
      <c r="L2155" s="60"/>
      <c r="M2155" s="104"/>
      <c r="N2155" s="105"/>
      <c r="O2155" s="51"/>
    </row>
    <row r="2156">
      <c r="A2156" s="56">
        <v>2153.0</v>
      </c>
      <c r="B2156" s="116"/>
      <c r="C2156" s="69" t="s">
        <v>8807</v>
      </c>
      <c r="D2156" s="71"/>
      <c r="E2156" s="68" t="s">
        <v>8808</v>
      </c>
      <c r="F2156" s="76">
        <v>41858.0</v>
      </c>
      <c r="G2156" s="68" t="s">
        <v>8809</v>
      </c>
      <c r="H2156" s="71"/>
      <c r="I2156" s="99" t="s">
        <v>8810</v>
      </c>
      <c r="J2156" s="68" t="s">
        <v>8811</v>
      </c>
      <c r="K2156" s="71"/>
      <c r="L2156" s="71"/>
      <c r="M2156" s="111"/>
      <c r="N2156" s="61"/>
      <c r="O2156" s="51"/>
    </row>
    <row r="2157">
      <c r="A2157" s="56">
        <v>2154.0</v>
      </c>
      <c r="B2157" s="116"/>
      <c r="C2157" s="69" t="s">
        <v>8812</v>
      </c>
      <c r="D2157" s="116"/>
      <c r="E2157" s="68" t="s">
        <v>8813</v>
      </c>
      <c r="F2157" s="76">
        <v>41308.0</v>
      </c>
      <c r="G2157" s="68" t="s">
        <v>8814</v>
      </c>
      <c r="H2157" s="71"/>
      <c r="I2157" s="114" t="s">
        <v>635</v>
      </c>
      <c r="J2157" s="68" t="s">
        <v>8815</v>
      </c>
      <c r="K2157" s="71"/>
      <c r="L2157" s="71"/>
      <c r="M2157" s="71"/>
      <c r="N2157" s="61"/>
      <c r="O2157" s="51"/>
    </row>
    <row r="2158">
      <c r="A2158" s="56">
        <v>2155.0</v>
      </c>
      <c r="B2158" s="90"/>
      <c r="C2158" s="58" t="s">
        <v>8816</v>
      </c>
      <c r="D2158" s="90"/>
      <c r="E2158" s="57" t="s">
        <v>8817</v>
      </c>
      <c r="F2158" s="59">
        <v>41248.0</v>
      </c>
      <c r="G2158" s="57" t="s">
        <v>8818</v>
      </c>
      <c r="H2158" s="60"/>
      <c r="I2158" s="99" t="s">
        <v>8819</v>
      </c>
      <c r="J2158" s="57" t="s">
        <v>8820</v>
      </c>
      <c r="K2158" s="60"/>
      <c r="L2158" s="60"/>
      <c r="M2158" s="60"/>
      <c r="N2158" s="61"/>
      <c r="O2158" s="51"/>
    </row>
    <row r="2159">
      <c r="A2159" s="56">
        <v>2156.0</v>
      </c>
      <c r="B2159" s="116"/>
      <c r="C2159" s="69" t="s">
        <v>8821</v>
      </c>
      <c r="D2159" s="68" t="s">
        <v>8822</v>
      </c>
      <c r="E2159" s="68" t="s">
        <v>8823</v>
      </c>
      <c r="F2159" s="68">
        <v>2009.0</v>
      </c>
      <c r="G2159" s="68" t="s">
        <v>8824</v>
      </c>
      <c r="H2159" s="71"/>
      <c r="I2159" s="99" t="s">
        <v>635</v>
      </c>
      <c r="J2159" s="68" t="s">
        <v>8825</v>
      </c>
      <c r="K2159" s="66"/>
      <c r="L2159" s="66"/>
      <c r="M2159" s="66"/>
      <c r="N2159" s="61"/>
      <c r="O2159" s="51"/>
    </row>
    <row r="2160">
      <c r="A2160" s="56">
        <v>2157.0</v>
      </c>
      <c r="B2160" s="90"/>
      <c r="C2160" s="58" t="s">
        <v>8826</v>
      </c>
      <c r="D2160" s="57" t="s">
        <v>8827</v>
      </c>
      <c r="E2160" s="57" t="s">
        <v>8828</v>
      </c>
      <c r="F2160" s="78">
        <v>41198.0</v>
      </c>
      <c r="G2160" s="57" t="s">
        <v>8829</v>
      </c>
      <c r="H2160" s="60"/>
      <c r="I2160" s="99" t="s">
        <v>8830</v>
      </c>
      <c r="J2160" s="57" t="s">
        <v>8831</v>
      </c>
      <c r="K2160" s="60"/>
      <c r="L2160" s="60"/>
      <c r="M2160" s="60"/>
      <c r="N2160" s="61"/>
      <c r="O2160" s="51"/>
    </row>
    <row r="2161">
      <c r="A2161" s="56">
        <v>2158.0</v>
      </c>
      <c r="B2161" s="186"/>
      <c r="C2161" s="64" t="s">
        <v>8832</v>
      </c>
      <c r="D2161" s="63" t="s">
        <v>8833</v>
      </c>
      <c r="E2161" s="63" t="s">
        <v>8834</v>
      </c>
      <c r="F2161" s="70">
        <v>40941.0</v>
      </c>
      <c r="G2161" s="63" t="s">
        <v>8835</v>
      </c>
      <c r="H2161" s="63" t="s">
        <v>8836</v>
      </c>
      <c r="I2161" s="99" t="s">
        <v>8837</v>
      </c>
      <c r="J2161" s="63" t="s">
        <v>6055</v>
      </c>
      <c r="K2161" s="66"/>
      <c r="L2161" s="66"/>
      <c r="M2161" s="63" t="s">
        <v>530</v>
      </c>
      <c r="N2161" s="57" t="s">
        <v>8838</v>
      </c>
      <c r="O2161" s="51"/>
    </row>
    <row r="2162">
      <c r="A2162" s="56">
        <v>2159.0</v>
      </c>
      <c r="B2162" s="116"/>
      <c r="C2162" s="69" t="s">
        <v>8839</v>
      </c>
      <c r="D2162" s="68" t="s">
        <v>8840</v>
      </c>
      <c r="E2162" s="68" t="s">
        <v>8841</v>
      </c>
      <c r="F2162" s="76">
        <v>41428.0</v>
      </c>
      <c r="G2162" s="68" t="s">
        <v>8842</v>
      </c>
      <c r="H2162" s="71"/>
      <c r="I2162" s="99" t="s">
        <v>8843</v>
      </c>
      <c r="J2162" s="68" t="s">
        <v>8844</v>
      </c>
      <c r="K2162" s="71"/>
      <c r="L2162" s="71"/>
      <c r="M2162" s="71"/>
      <c r="N2162" s="61"/>
      <c r="O2162" s="51"/>
    </row>
    <row r="2163">
      <c r="A2163" s="56">
        <v>2160.0</v>
      </c>
      <c r="B2163" s="116"/>
      <c r="C2163" s="69" t="s">
        <v>8845</v>
      </c>
      <c r="D2163" s="68" t="s">
        <v>8846</v>
      </c>
      <c r="E2163" s="68" t="s">
        <v>8847</v>
      </c>
      <c r="F2163" s="83">
        <v>41596.0</v>
      </c>
      <c r="G2163" s="68" t="s">
        <v>8848</v>
      </c>
      <c r="H2163" s="71"/>
      <c r="I2163" s="99" t="s">
        <v>635</v>
      </c>
      <c r="J2163" s="68" t="s">
        <v>8849</v>
      </c>
      <c r="K2163" s="71"/>
      <c r="L2163" s="71"/>
      <c r="M2163" s="71"/>
      <c r="N2163" s="61"/>
      <c r="O2163" s="51"/>
    </row>
    <row r="2164">
      <c r="A2164" s="75">
        <v>2161.0</v>
      </c>
      <c r="B2164" s="116"/>
      <c r="C2164" s="69" t="s">
        <v>8850</v>
      </c>
      <c r="D2164" s="71"/>
      <c r="E2164" s="114" t="s">
        <v>8851</v>
      </c>
      <c r="F2164" s="172">
        <v>41687.0</v>
      </c>
      <c r="G2164" s="114" t="s">
        <v>8852</v>
      </c>
      <c r="H2164" s="160"/>
      <c r="I2164" s="114" t="s">
        <v>635</v>
      </c>
      <c r="J2164" s="160"/>
      <c r="K2164" s="71"/>
      <c r="L2164" s="71"/>
      <c r="M2164" s="71"/>
      <c r="N2164" s="61"/>
      <c r="O2164" s="51"/>
    </row>
    <row r="2165">
      <c r="A2165" s="56">
        <v>2162.0</v>
      </c>
      <c r="B2165" s="116"/>
      <c r="C2165" s="69" t="s">
        <v>8853</v>
      </c>
      <c r="D2165" s="71"/>
      <c r="E2165" s="68" t="s">
        <v>8854</v>
      </c>
      <c r="F2165" s="76">
        <v>41279.0</v>
      </c>
      <c r="G2165" s="68" t="s">
        <v>8855</v>
      </c>
      <c r="H2165" s="71"/>
      <c r="I2165" s="99" t="s">
        <v>8856</v>
      </c>
      <c r="J2165" s="68" t="s">
        <v>8857</v>
      </c>
      <c r="K2165" s="71"/>
      <c r="L2165" s="71"/>
      <c r="M2165" s="71"/>
      <c r="N2165" s="61"/>
      <c r="O2165" s="51"/>
    </row>
    <row r="2166">
      <c r="A2166" s="56">
        <v>2163.0</v>
      </c>
      <c r="B2166" s="90"/>
      <c r="C2166" s="58" t="s">
        <v>8858</v>
      </c>
      <c r="D2166" s="60"/>
      <c r="E2166" s="57" t="s">
        <v>8859</v>
      </c>
      <c r="F2166" s="78">
        <v>41712.0</v>
      </c>
      <c r="G2166" s="57" t="s">
        <v>8860</v>
      </c>
      <c r="H2166" s="60"/>
      <c r="I2166" s="99" t="s">
        <v>8861</v>
      </c>
      <c r="J2166" s="57" t="s">
        <v>622</v>
      </c>
      <c r="K2166" s="60"/>
      <c r="L2166" s="60"/>
      <c r="M2166" s="60"/>
      <c r="N2166" s="61"/>
      <c r="O2166" s="51"/>
    </row>
    <row r="2167">
      <c r="A2167" s="56">
        <v>2164.0</v>
      </c>
      <c r="B2167" s="186"/>
      <c r="C2167" s="64" t="s">
        <v>8862</v>
      </c>
      <c r="D2167" s="66"/>
      <c r="E2167" s="63" t="s">
        <v>8863</v>
      </c>
      <c r="F2167" s="65">
        <v>41820.0</v>
      </c>
      <c r="G2167" s="63" t="s">
        <v>8864</v>
      </c>
      <c r="H2167" s="66"/>
      <c r="I2167" s="99" t="s">
        <v>8865</v>
      </c>
      <c r="J2167" s="63" t="s">
        <v>5653</v>
      </c>
      <c r="K2167" s="66"/>
      <c r="L2167" s="66"/>
      <c r="M2167" s="66"/>
      <c r="N2167" s="61"/>
      <c r="O2167" s="51"/>
    </row>
    <row r="2168">
      <c r="A2168" s="56">
        <v>2165.0</v>
      </c>
      <c r="B2168" s="90"/>
      <c r="C2168" s="58" t="s">
        <v>8866</v>
      </c>
      <c r="D2168" s="60"/>
      <c r="E2168" s="57" t="s">
        <v>8867</v>
      </c>
      <c r="F2168" s="78">
        <v>41805.0</v>
      </c>
      <c r="G2168" s="57" t="s">
        <v>8868</v>
      </c>
      <c r="H2168" s="60"/>
      <c r="I2168" s="99" t="s">
        <v>8869</v>
      </c>
      <c r="J2168" s="57" t="s">
        <v>8870</v>
      </c>
      <c r="K2168" s="60"/>
      <c r="L2168" s="60"/>
      <c r="M2168" s="60"/>
      <c r="N2168" s="61"/>
      <c r="O2168" s="51"/>
    </row>
    <row r="2169">
      <c r="A2169" s="56">
        <v>2166.0</v>
      </c>
      <c r="B2169" s="90"/>
      <c r="C2169" s="58" t="s">
        <v>8871</v>
      </c>
      <c r="D2169" s="60"/>
      <c r="E2169" s="57" t="s">
        <v>8872</v>
      </c>
      <c r="F2169" s="78">
        <v>41208.0</v>
      </c>
      <c r="G2169" s="57" t="s">
        <v>8873</v>
      </c>
      <c r="H2169" s="60"/>
      <c r="I2169" s="99" t="s">
        <v>8874</v>
      </c>
      <c r="J2169" s="57" t="s">
        <v>8875</v>
      </c>
      <c r="K2169" s="60"/>
      <c r="L2169" s="60"/>
      <c r="M2169" s="60"/>
      <c r="N2169" s="61"/>
      <c r="O2169" s="51"/>
    </row>
    <row r="2170">
      <c r="A2170" s="56">
        <v>2167.0</v>
      </c>
      <c r="B2170" s="116"/>
      <c r="C2170" s="69" t="s">
        <v>8876</v>
      </c>
      <c r="D2170" s="71"/>
      <c r="E2170" s="68" t="s">
        <v>8877</v>
      </c>
      <c r="F2170" s="83">
        <v>41568.0</v>
      </c>
      <c r="G2170" s="68" t="s">
        <v>8878</v>
      </c>
      <c r="H2170" s="71"/>
      <c r="I2170" s="114" t="s">
        <v>8874</v>
      </c>
      <c r="J2170" s="68" t="s">
        <v>8879</v>
      </c>
      <c r="K2170" s="71"/>
      <c r="L2170" s="71"/>
      <c r="M2170" s="71"/>
      <c r="N2170" s="61"/>
      <c r="O2170" s="51"/>
    </row>
    <row r="2171">
      <c r="A2171" s="56">
        <v>2168.0</v>
      </c>
      <c r="B2171" s="116"/>
      <c r="C2171" s="69" t="s">
        <v>8880</v>
      </c>
      <c r="D2171" s="71"/>
      <c r="E2171" s="68" t="s">
        <v>8458</v>
      </c>
      <c r="F2171" s="83">
        <v>41568.0</v>
      </c>
      <c r="G2171" s="68" t="s">
        <v>8881</v>
      </c>
      <c r="H2171" s="71"/>
      <c r="I2171" s="114" t="s">
        <v>8874</v>
      </c>
      <c r="J2171" s="68" t="s">
        <v>8879</v>
      </c>
      <c r="K2171" s="71"/>
      <c r="L2171" s="71"/>
      <c r="M2171" s="71"/>
      <c r="N2171" s="61"/>
      <c r="O2171" s="51"/>
    </row>
    <row r="2172">
      <c r="A2172" s="56">
        <v>2169.0</v>
      </c>
      <c r="B2172" s="186"/>
      <c r="C2172" s="64" t="s">
        <v>8882</v>
      </c>
      <c r="D2172" s="66"/>
      <c r="E2172" s="63" t="s">
        <v>8460</v>
      </c>
      <c r="F2172" s="65">
        <v>41568.0</v>
      </c>
      <c r="G2172" s="63" t="s">
        <v>8881</v>
      </c>
      <c r="H2172" s="66"/>
      <c r="I2172" s="99" t="s">
        <v>8883</v>
      </c>
      <c r="J2172" s="63" t="s">
        <v>8884</v>
      </c>
      <c r="K2172" s="66"/>
      <c r="L2172" s="66"/>
      <c r="M2172" s="66"/>
      <c r="N2172" s="61"/>
      <c r="O2172" s="51"/>
    </row>
    <row r="2173">
      <c r="A2173" s="56">
        <v>2170.0</v>
      </c>
      <c r="B2173" s="186"/>
      <c r="C2173" s="64" t="s">
        <v>8885</v>
      </c>
      <c r="D2173" s="66"/>
      <c r="E2173" s="63" t="s">
        <v>8886</v>
      </c>
      <c r="F2173" s="70">
        <v>40239.0</v>
      </c>
      <c r="G2173" s="63" t="s">
        <v>8887</v>
      </c>
      <c r="H2173" s="66"/>
      <c r="I2173" s="99" t="s">
        <v>635</v>
      </c>
      <c r="J2173" s="63" t="s">
        <v>8888</v>
      </c>
      <c r="K2173" s="66"/>
      <c r="L2173" s="66"/>
      <c r="M2173" s="63" t="s">
        <v>4749</v>
      </c>
      <c r="N2173" s="61"/>
      <c r="O2173" s="51"/>
    </row>
    <row r="2174">
      <c r="A2174" s="56">
        <v>2171.0</v>
      </c>
      <c r="B2174" s="116"/>
      <c r="C2174" s="69" t="s">
        <v>8889</v>
      </c>
      <c r="D2174" s="68" t="s">
        <v>8890</v>
      </c>
      <c r="E2174" s="68" t="s">
        <v>8891</v>
      </c>
      <c r="F2174" s="76">
        <v>40674.0</v>
      </c>
      <c r="G2174" s="68" t="s">
        <v>8892</v>
      </c>
      <c r="H2174" s="71"/>
      <c r="I2174" s="99" t="s">
        <v>8893</v>
      </c>
      <c r="J2174" s="68" t="s">
        <v>8894</v>
      </c>
      <c r="K2174" s="71"/>
      <c r="L2174" s="71"/>
      <c r="M2174" s="71"/>
      <c r="N2174" s="61"/>
      <c r="O2174" s="51"/>
    </row>
    <row r="2175">
      <c r="A2175" s="56">
        <v>2172.0</v>
      </c>
      <c r="B2175" s="186"/>
      <c r="C2175" s="64" t="s">
        <v>8895</v>
      </c>
      <c r="D2175" s="66"/>
      <c r="E2175" s="63" t="s">
        <v>8896</v>
      </c>
      <c r="F2175" s="70">
        <v>41342.0</v>
      </c>
      <c r="G2175" s="63" t="s">
        <v>8897</v>
      </c>
      <c r="H2175" s="66"/>
      <c r="I2175" s="177" t="s">
        <v>8687</v>
      </c>
      <c r="J2175" s="63" t="s">
        <v>4801</v>
      </c>
      <c r="K2175" s="66"/>
      <c r="L2175" s="63" t="s">
        <v>1496</v>
      </c>
      <c r="M2175" s="63" t="s">
        <v>149</v>
      </c>
      <c r="N2175" s="61"/>
      <c r="O2175" s="51"/>
    </row>
    <row r="2176">
      <c r="A2176" s="56">
        <v>2173.0</v>
      </c>
      <c r="B2176" s="186"/>
      <c r="C2176" s="64" t="s">
        <v>8898</v>
      </c>
      <c r="D2176" s="88" t="s">
        <v>8899</v>
      </c>
      <c r="E2176" s="63" t="s">
        <v>8900</v>
      </c>
      <c r="F2176" s="65">
        <v>40871.0</v>
      </c>
      <c r="G2176" s="63" t="s">
        <v>8901</v>
      </c>
      <c r="H2176" s="66"/>
      <c r="I2176" s="99" t="s">
        <v>8902</v>
      </c>
      <c r="J2176" s="63" t="s">
        <v>8228</v>
      </c>
      <c r="K2176" s="66"/>
      <c r="L2176" s="66"/>
      <c r="M2176" s="63" t="s">
        <v>125</v>
      </c>
      <c r="N2176" s="61"/>
      <c r="O2176" s="51"/>
    </row>
    <row r="2177">
      <c r="A2177" s="56">
        <v>2174.0</v>
      </c>
      <c r="B2177" s="186"/>
      <c r="C2177" s="64" t="s">
        <v>8903</v>
      </c>
      <c r="D2177" s="66"/>
      <c r="E2177" s="63" t="s">
        <v>8904</v>
      </c>
      <c r="F2177" s="63">
        <v>2009.0</v>
      </c>
      <c r="G2177" s="63" t="s">
        <v>8905</v>
      </c>
      <c r="H2177" s="66"/>
      <c r="I2177" s="99" t="s">
        <v>8906</v>
      </c>
      <c r="J2177" s="63" t="s">
        <v>8907</v>
      </c>
      <c r="K2177" s="66"/>
      <c r="L2177" s="66"/>
      <c r="M2177" s="63" t="s">
        <v>1516</v>
      </c>
      <c r="N2177" s="61"/>
      <c r="O2177" s="51"/>
    </row>
    <row r="2178">
      <c r="A2178" s="56">
        <v>2175.0</v>
      </c>
      <c r="B2178" s="90"/>
      <c r="C2178" s="58" t="s">
        <v>8908</v>
      </c>
      <c r="D2178" s="60"/>
      <c r="E2178" s="57" t="s">
        <v>8909</v>
      </c>
      <c r="F2178" s="57">
        <v>2013.0</v>
      </c>
      <c r="G2178" s="57" t="s">
        <v>8910</v>
      </c>
      <c r="H2178" s="60"/>
      <c r="I2178" s="99" t="s">
        <v>8906</v>
      </c>
      <c r="J2178" s="200" t="s">
        <v>8911</v>
      </c>
      <c r="K2178" s="60"/>
      <c r="L2178" s="60"/>
      <c r="M2178" s="60"/>
      <c r="N2178" s="61"/>
      <c r="O2178" s="51"/>
    </row>
    <row r="2179">
      <c r="A2179" s="56">
        <v>2176.0</v>
      </c>
      <c r="B2179" s="90"/>
      <c r="C2179" s="58" t="s">
        <v>8912</v>
      </c>
      <c r="D2179" s="60"/>
      <c r="E2179" s="57" t="s">
        <v>8913</v>
      </c>
      <c r="F2179" s="57">
        <v>2012.0</v>
      </c>
      <c r="G2179" s="57" t="s">
        <v>8910</v>
      </c>
      <c r="H2179" s="60"/>
      <c r="I2179" s="99" t="s">
        <v>8914</v>
      </c>
      <c r="J2179" s="200" t="s">
        <v>8915</v>
      </c>
      <c r="K2179" s="60"/>
      <c r="L2179" s="60"/>
      <c r="M2179" s="60"/>
      <c r="N2179" s="61"/>
      <c r="O2179" s="51"/>
    </row>
    <row r="2180">
      <c r="A2180" s="56">
        <v>2177.0</v>
      </c>
      <c r="B2180" s="90"/>
      <c r="C2180" s="58" t="s">
        <v>8916</v>
      </c>
      <c r="D2180" s="60"/>
      <c r="E2180" s="57" t="s">
        <v>8917</v>
      </c>
      <c r="F2180" s="57">
        <v>2010.0</v>
      </c>
      <c r="G2180" s="57" t="s">
        <v>8918</v>
      </c>
      <c r="H2180" s="60"/>
      <c r="I2180" s="99" t="s">
        <v>8914</v>
      </c>
      <c r="J2180" s="200" t="s">
        <v>8919</v>
      </c>
      <c r="K2180" s="60"/>
      <c r="L2180" s="60"/>
      <c r="M2180" s="60"/>
      <c r="N2180" s="61"/>
      <c r="O2180" s="51"/>
    </row>
    <row r="2181">
      <c r="A2181" s="56">
        <v>2178.0</v>
      </c>
      <c r="B2181" s="90"/>
      <c r="C2181" s="58" t="s">
        <v>8920</v>
      </c>
      <c r="D2181" s="60"/>
      <c r="E2181" s="57" t="s">
        <v>8921</v>
      </c>
      <c r="F2181" s="57">
        <v>2012.0</v>
      </c>
      <c r="G2181" s="57" t="s">
        <v>8918</v>
      </c>
      <c r="H2181" s="60"/>
      <c r="I2181" s="99" t="s">
        <v>8914</v>
      </c>
      <c r="J2181" s="57" t="s">
        <v>8922</v>
      </c>
      <c r="K2181" s="60"/>
      <c r="L2181" s="60"/>
      <c r="M2181" s="60"/>
      <c r="N2181" s="61"/>
      <c r="O2181" s="51"/>
    </row>
    <row r="2182">
      <c r="A2182" s="56">
        <v>2179.0</v>
      </c>
      <c r="B2182" s="90"/>
      <c r="C2182" s="58" t="s">
        <v>8923</v>
      </c>
      <c r="D2182" s="60"/>
      <c r="E2182" s="57" t="s">
        <v>8924</v>
      </c>
      <c r="F2182" s="57">
        <v>2012.0</v>
      </c>
      <c r="G2182" s="57" t="s">
        <v>8918</v>
      </c>
      <c r="H2182" s="60"/>
      <c r="I2182" s="99" t="s">
        <v>8914</v>
      </c>
      <c r="J2182" s="200" t="s">
        <v>8919</v>
      </c>
      <c r="K2182" s="60"/>
      <c r="L2182" s="60"/>
      <c r="M2182" s="60"/>
      <c r="N2182" s="61"/>
      <c r="O2182" s="51"/>
    </row>
    <row r="2183">
      <c r="A2183" s="56">
        <v>2180.0</v>
      </c>
      <c r="B2183" s="186"/>
      <c r="C2183" s="64" t="s">
        <v>8925</v>
      </c>
      <c r="D2183" s="66"/>
      <c r="E2183" s="63" t="s">
        <v>8926</v>
      </c>
      <c r="F2183" s="63">
        <v>2012.0</v>
      </c>
      <c r="G2183" s="63" t="s">
        <v>8918</v>
      </c>
      <c r="H2183" s="66"/>
      <c r="I2183" s="99" t="s">
        <v>8914</v>
      </c>
      <c r="J2183" s="63" t="s">
        <v>5679</v>
      </c>
      <c r="K2183" s="66"/>
      <c r="L2183" s="66"/>
      <c r="M2183" s="66"/>
      <c r="N2183" s="61"/>
      <c r="O2183" s="51"/>
    </row>
    <row r="2184">
      <c r="A2184" s="56">
        <v>2181.0</v>
      </c>
      <c r="B2184" s="90"/>
      <c r="C2184" s="58" t="s">
        <v>8927</v>
      </c>
      <c r="D2184" s="60"/>
      <c r="E2184" s="57" t="s">
        <v>8928</v>
      </c>
      <c r="F2184" s="78">
        <v>41816.0</v>
      </c>
      <c r="G2184" s="57" t="s">
        <v>8929</v>
      </c>
      <c r="H2184" s="60"/>
      <c r="I2184" s="99" t="s">
        <v>635</v>
      </c>
      <c r="J2184" s="57" t="s">
        <v>8930</v>
      </c>
      <c r="K2184" s="60"/>
      <c r="L2184" s="60"/>
      <c r="M2184" s="60"/>
      <c r="N2184" s="61"/>
      <c r="O2184" s="51"/>
    </row>
    <row r="2185">
      <c r="A2185" s="56">
        <v>2182.0</v>
      </c>
      <c r="B2185" s="116"/>
      <c r="C2185" s="69" t="s">
        <v>8931</v>
      </c>
      <c r="D2185" s="71"/>
      <c r="E2185" s="68" t="s">
        <v>8932</v>
      </c>
      <c r="F2185" s="83">
        <v>41843.0</v>
      </c>
      <c r="G2185" s="68" t="s">
        <v>8933</v>
      </c>
      <c r="H2185" s="71"/>
      <c r="I2185" s="114" t="s">
        <v>8934</v>
      </c>
      <c r="J2185" s="68" t="s">
        <v>8935</v>
      </c>
      <c r="K2185" s="71"/>
      <c r="L2185" s="71"/>
      <c r="M2185" s="71"/>
      <c r="N2185" s="61"/>
      <c r="O2185" s="51"/>
    </row>
    <row r="2186">
      <c r="A2186" s="56">
        <v>2183.0</v>
      </c>
      <c r="B2186" s="201"/>
      <c r="C2186" s="79" t="s">
        <v>8936</v>
      </c>
      <c r="D2186" s="82"/>
      <c r="E2186" s="80" t="s">
        <v>8937</v>
      </c>
      <c r="F2186" s="81">
        <v>41794.0</v>
      </c>
      <c r="G2186" s="80" t="s">
        <v>8938</v>
      </c>
      <c r="H2186" s="82"/>
      <c r="I2186" s="132" t="s">
        <v>8939</v>
      </c>
      <c r="J2186" s="80" t="s">
        <v>8940</v>
      </c>
      <c r="K2186" s="82"/>
      <c r="L2186" s="80" t="s">
        <v>8941</v>
      </c>
      <c r="M2186" s="71"/>
      <c r="N2186" s="77"/>
      <c r="O2186" s="51"/>
    </row>
    <row r="2187">
      <c r="A2187" s="56">
        <v>2184.0</v>
      </c>
      <c r="B2187" s="201"/>
      <c r="C2187" s="79" t="s">
        <v>8942</v>
      </c>
      <c r="D2187" s="82"/>
      <c r="E2187" s="80" t="s">
        <v>8943</v>
      </c>
      <c r="F2187" s="81">
        <v>41794.0</v>
      </c>
      <c r="G2187" s="80" t="s">
        <v>8938</v>
      </c>
      <c r="H2187" s="82"/>
      <c r="I2187" s="132" t="s">
        <v>8944</v>
      </c>
      <c r="J2187" s="80" t="s">
        <v>8940</v>
      </c>
      <c r="K2187" s="82"/>
      <c r="L2187" s="80" t="s">
        <v>8941</v>
      </c>
      <c r="M2187" s="71"/>
      <c r="N2187" s="61"/>
      <c r="O2187" s="51"/>
    </row>
    <row r="2188">
      <c r="A2188" s="56">
        <v>2185.0</v>
      </c>
      <c r="B2188" s="116"/>
      <c r="C2188" s="69" t="s">
        <v>8945</v>
      </c>
      <c r="D2188" s="71"/>
      <c r="E2188" s="68" t="s">
        <v>8946</v>
      </c>
      <c r="F2188" s="76">
        <v>41706.0</v>
      </c>
      <c r="G2188" s="68" t="s">
        <v>8947</v>
      </c>
      <c r="H2188" s="71"/>
      <c r="I2188" s="114" t="s">
        <v>635</v>
      </c>
      <c r="J2188" s="68" t="s">
        <v>8948</v>
      </c>
      <c r="K2188" s="71"/>
      <c r="L2188" s="71"/>
      <c r="M2188" s="71"/>
      <c r="N2188" s="61"/>
      <c r="O2188" s="51"/>
    </row>
    <row r="2189">
      <c r="A2189" s="56">
        <v>2186.0</v>
      </c>
      <c r="B2189" s="116"/>
      <c r="C2189" s="69" t="s">
        <v>8949</v>
      </c>
      <c r="D2189" s="116"/>
      <c r="E2189" s="87" t="s">
        <v>8950</v>
      </c>
      <c r="F2189" s="195">
        <v>41706.0</v>
      </c>
      <c r="G2189" s="87" t="s">
        <v>8947</v>
      </c>
      <c r="H2189" s="116"/>
      <c r="I2189" s="114" t="s">
        <v>635</v>
      </c>
      <c r="J2189" s="68" t="s">
        <v>8948</v>
      </c>
      <c r="K2189" s="116"/>
      <c r="L2189" s="116"/>
      <c r="M2189" s="116"/>
      <c r="N2189" s="61"/>
      <c r="O2189" s="51"/>
    </row>
    <row r="2190">
      <c r="A2190" s="56">
        <v>2187.0</v>
      </c>
      <c r="B2190" s="116"/>
      <c r="C2190" s="69" t="s">
        <v>8951</v>
      </c>
      <c r="D2190" s="71"/>
      <c r="E2190" s="68" t="s">
        <v>8952</v>
      </c>
      <c r="F2190" s="83">
        <v>41208.0</v>
      </c>
      <c r="G2190" s="68" t="s">
        <v>8953</v>
      </c>
      <c r="H2190" s="71"/>
      <c r="I2190" s="114" t="s">
        <v>8954</v>
      </c>
      <c r="J2190" s="68" t="s">
        <v>8955</v>
      </c>
      <c r="K2190" s="71"/>
      <c r="L2190" s="71"/>
      <c r="M2190" s="68" t="s">
        <v>530</v>
      </c>
      <c r="N2190" s="77"/>
      <c r="O2190" s="51"/>
    </row>
    <row r="2191">
      <c r="A2191" s="56">
        <v>2188.0</v>
      </c>
      <c r="B2191" s="90"/>
      <c r="C2191" s="58" t="s">
        <v>8956</v>
      </c>
      <c r="D2191" s="60"/>
      <c r="E2191" s="57" t="s">
        <v>8957</v>
      </c>
      <c r="F2191" s="59">
        <v>40945.0</v>
      </c>
      <c r="G2191" s="57" t="s">
        <v>8958</v>
      </c>
      <c r="H2191" s="60"/>
      <c r="I2191" s="99" t="s">
        <v>8959</v>
      </c>
      <c r="J2191" s="200" t="s">
        <v>8960</v>
      </c>
      <c r="K2191" s="60"/>
      <c r="L2191" s="60"/>
      <c r="M2191" s="60"/>
      <c r="N2191" s="61"/>
      <c r="O2191" s="51"/>
    </row>
    <row r="2192">
      <c r="A2192" s="56">
        <v>2189.0</v>
      </c>
      <c r="B2192" s="186"/>
      <c r="C2192" s="64" t="s">
        <v>8961</v>
      </c>
      <c r="D2192" s="66"/>
      <c r="E2192" s="63" t="s">
        <v>8962</v>
      </c>
      <c r="F2192" s="65">
        <v>40018.0</v>
      </c>
      <c r="G2192" s="63" t="s">
        <v>8963</v>
      </c>
      <c r="H2192" s="66"/>
      <c r="I2192" s="99" t="s">
        <v>8964</v>
      </c>
      <c r="J2192" s="63" t="s">
        <v>6055</v>
      </c>
      <c r="K2192" s="66"/>
      <c r="L2192" s="66"/>
      <c r="M2192" s="63" t="s">
        <v>530</v>
      </c>
      <c r="N2192" s="61"/>
      <c r="O2192" s="51"/>
    </row>
    <row r="2193">
      <c r="A2193" s="56">
        <v>2190.0</v>
      </c>
      <c r="B2193" s="186"/>
      <c r="C2193" s="64" t="s">
        <v>8965</v>
      </c>
      <c r="D2193" s="66"/>
      <c r="E2193" s="63" t="s">
        <v>8966</v>
      </c>
      <c r="F2193" s="65">
        <v>40018.0</v>
      </c>
      <c r="G2193" s="63" t="s">
        <v>8963</v>
      </c>
      <c r="H2193" s="66"/>
      <c r="I2193" s="99" t="s">
        <v>8964</v>
      </c>
      <c r="J2193" s="63" t="s">
        <v>6055</v>
      </c>
      <c r="K2193" s="66"/>
      <c r="L2193" s="66"/>
      <c r="M2193" s="63" t="s">
        <v>530</v>
      </c>
      <c r="N2193" s="61"/>
      <c r="O2193" s="51"/>
    </row>
    <row r="2194">
      <c r="A2194" s="56">
        <v>2191.0</v>
      </c>
      <c r="B2194" s="90"/>
      <c r="C2194" s="58" t="s">
        <v>8967</v>
      </c>
      <c r="D2194" s="60"/>
      <c r="E2194" s="57" t="s">
        <v>8968</v>
      </c>
      <c r="F2194" s="78">
        <v>40709.0</v>
      </c>
      <c r="G2194" s="57" t="s">
        <v>8969</v>
      </c>
      <c r="H2194" s="60"/>
      <c r="I2194" s="99" t="s">
        <v>8970</v>
      </c>
      <c r="J2194" s="200" t="s">
        <v>8971</v>
      </c>
      <c r="K2194" s="60"/>
      <c r="L2194" s="60"/>
      <c r="M2194" s="60"/>
      <c r="N2194" s="61"/>
      <c r="O2194" s="51"/>
    </row>
    <row r="2195">
      <c r="A2195" s="75">
        <v>2192.0</v>
      </c>
      <c r="B2195" s="116"/>
      <c r="C2195" s="69" t="s">
        <v>8972</v>
      </c>
      <c r="D2195" s="71"/>
      <c r="E2195" s="68" t="s">
        <v>8973</v>
      </c>
      <c r="F2195" s="76">
        <v>41214.0</v>
      </c>
      <c r="G2195" s="68" t="s">
        <v>8974</v>
      </c>
      <c r="H2195" s="68" t="s">
        <v>7798</v>
      </c>
      <c r="I2195" s="114" t="s">
        <v>8975</v>
      </c>
      <c r="J2195" s="68" t="s">
        <v>2175</v>
      </c>
      <c r="K2195" s="71"/>
      <c r="L2195" s="71"/>
      <c r="M2195" s="68" t="s">
        <v>2152</v>
      </c>
      <c r="N2195" s="61"/>
      <c r="O2195" s="51"/>
    </row>
    <row r="2196">
      <c r="A2196" s="56">
        <v>2193.0</v>
      </c>
      <c r="B2196" s="116"/>
      <c r="C2196" s="69" t="s">
        <v>8976</v>
      </c>
      <c r="D2196" s="71"/>
      <c r="E2196" s="68" t="s">
        <v>8977</v>
      </c>
      <c r="F2196" s="76">
        <v>41376.0</v>
      </c>
      <c r="G2196" s="68" t="s">
        <v>8978</v>
      </c>
      <c r="H2196" s="71"/>
      <c r="I2196" s="114" t="s">
        <v>635</v>
      </c>
      <c r="J2196" s="68" t="s">
        <v>8979</v>
      </c>
      <c r="K2196" s="71"/>
      <c r="L2196" s="71"/>
      <c r="M2196" s="71"/>
      <c r="N2196" s="61"/>
      <c r="O2196" s="51"/>
    </row>
    <row r="2197">
      <c r="A2197" s="56">
        <v>2194.0</v>
      </c>
      <c r="B2197" s="186"/>
      <c r="C2197" s="64" t="s">
        <v>8980</v>
      </c>
      <c r="D2197" s="66"/>
      <c r="E2197" s="63" t="s">
        <v>8981</v>
      </c>
      <c r="F2197" s="63">
        <v>2010.0</v>
      </c>
      <c r="G2197" s="63" t="s">
        <v>8982</v>
      </c>
      <c r="H2197" s="66"/>
      <c r="I2197" s="99" t="s">
        <v>8983</v>
      </c>
      <c r="J2197" s="63" t="s">
        <v>6055</v>
      </c>
      <c r="K2197" s="66"/>
      <c r="L2197" s="66"/>
      <c r="M2197" s="63" t="s">
        <v>530</v>
      </c>
      <c r="N2197" s="61"/>
      <c r="O2197" s="51"/>
    </row>
    <row r="2198">
      <c r="A2198" s="56">
        <v>2195.0</v>
      </c>
      <c r="B2198" s="90"/>
      <c r="C2198" s="58" t="s">
        <v>8984</v>
      </c>
      <c r="D2198" s="60"/>
      <c r="E2198" s="57" t="s">
        <v>8985</v>
      </c>
      <c r="F2198" s="57">
        <v>2013.0</v>
      </c>
      <c r="G2198" s="57" t="s">
        <v>8986</v>
      </c>
      <c r="H2198" s="60"/>
      <c r="I2198" s="99" t="s">
        <v>8245</v>
      </c>
      <c r="J2198" s="57" t="s">
        <v>8987</v>
      </c>
      <c r="K2198" s="60"/>
      <c r="L2198" s="60"/>
      <c r="M2198" s="60"/>
      <c r="N2198" s="61"/>
      <c r="O2198" s="51"/>
    </row>
    <row r="2199">
      <c r="A2199" s="56">
        <v>2196.0</v>
      </c>
      <c r="B2199" s="90"/>
      <c r="C2199" s="58" t="s">
        <v>8988</v>
      </c>
      <c r="D2199" s="60"/>
      <c r="E2199" s="57" t="s">
        <v>8989</v>
      </c>
      <c r="F2199" s="57">
        <v>2010.0</v>
      </c>
      <c r="G2199" s="57" t="s">
        <v>8990</v>
      </c>
      <c r="H2199" s="60"/>
      <c r="I2199" s="99" t="s">
        <v>635</v>
      </c>
      <c r="J2199" s="200" t="s">
        <v>8991</v>
      </c>
      <c r="K2199" s="60"/>
      <c r="L2199" s="60"/>
      <c r="M2199" s="60"/>
      <c r="N2199" s="61"/>
      <c r="O2199" s="51"/>
    </row>
    <row r="2200">
      <c r="A2200" s="56">
        <v>2197.0</v>
      </c>
      <c r="B2200" s="116"/>
      <c r="C2200" s="69" t="s">
        <v>8992</v>
      </c>
      <c r="D2200" s="68" t="s">
        <v>8993</v>
      </c>
      <c r="E2200" s="68" t="s">
        <v>8994</v>
      </c>
      <c r="F2200" s="83">
        <v>41441.0</v>
      </c>
      <c r="G2200" s="68" t="s">
        <v>8995</v>
      </c>
      <c r="H2200" s="71"/>
      <c r="I2200" s="114" t="s">
        <v>8996</v>
      </c>
      <c r="J2200" s="68" t="s">
        <v>8997</v>
      </c>
      <c r="K2200" s="71"/>
      <c r="L2200" s="71"/>
      <c r="M2200" s="71"/>
      <c r="N2200" s="61"/>
      <c r="O2200" s="51"/>
    </row>
    <row r="2201">
      <c r="A2201" s="56">
        <v>2198.0</v>
      </c>
      <c r="B2201" s="116"/>
      <c r="C2201" s="69" t="s">
        <v>8998</v>
      </c>
      <c r="D2201" s="71"/>
      <c r="E2201" s="68" t="s">
        <v>8999</v>
      </c>
      <c r="F2201" s="76">
        <v>41982.0</v>
      </c>
      <c r="G2201" s="68" t="s">
        <v>9000</v>
      </c>
      <c r="H2201" s="71"/>
      <c r="I2201" s="114" t="s">
        <v>9001</v>
      </c>
      <c r="J2201" s="68" t="s">
        <v>9002</v>
      </c>
      <c r="K2201" s="71"/>
      <c r="L2201" s="71"/>
      <c r="M2201" s="71"/>
      <c r="N2201" s="61"/>
      <c r="O2201" s="51"/>
    </row>
    <row r="2202">
      <c r="A2202" s="56">
        <v>2199.0</v>
      </c>
      <c r="B2202" s="116"/>
      <c r="C2202" s="69" t="s">
        <v>9003</v>
      </c>
      <c r="D2202" s="68" t="s">
        <v>9004</v>
      </c>
      <c r="E2202" s="68" t="s">
        <v>9005</v>
      </c>
      <c r="F2202" s="76">
        <v>41646.0</v>
      </c>
      <c r="G2202" s="68" t="s">
        <v>9006</v>
      </c>
      <c r="H2202" s="71"/>
      <c r="I2202" s="114" t="s">
        <v>635</v>
      </c>
      <c r="J2202" s="68" t="s">
        <v>9007</v>
      </c>
      <c r="K2202" s="71"/>
      <c r="L2202" s="71"/>
      <c r="M2202" s="71"/>
      <c r="N2202" s="61"/>
      <c r="O2202" s="51"/>
    </row>
    <row r="2203">
      <c r="A2203" s="56">
        <v>2200.0</v>
      </c>
      <c r="B2203" s="116"/>
      <c r="C2203" s="69" t="s">
        <v>9008</v>
      </c>
      <c r="D2203" s="68" t="s">
        <v>9009</v>
      </c>
      <c r="E2203" s="68" t="s">
        <v>9010</v>
      </c>
      <c r="F2203" s="83">
        <v>41807.0</v>
      </c>
      <c r="G2203" s="68" t="s">
        <v>9011</v>
      </c>
      <c r="H2203" s="71"/>
      <c r="I2203" s="99" t="s">
        <v>9012</v>
      </c>
      <c r="J2203" s="68" t="s">
        <v>9013</v>
      </c>
      <c r="K2203" s="66"/>
      <c r="L2203" s="66"/>
      <c r="M2203" s="66"/>
      <c r="N2203" s="61"/>
      <c r="O2203" s="51"/>
    </row>
    <row r="2204">
      <c r="A2204" s="56">
        <v>2201.0</v>
      </c>
      <c r="B2204" s="186"/>
      <c r="C2204" s="64" t="s">
        <v>9014</v>
      </c>
      <c r="D2204" s="66"/>
      <c r="E2204" s="63" t="s">
        <v>9015</v>
      </c>
      <c r="F2204" s="65">
        <v>41811.0</v>
      </c>
      <c r="G2204" s="63" t="s">
        <v>9016</v>
      </c>
      <c r="H2204" s="66"/>
      <c r="I2204" s="99" t="s">
        <v>9017</v>
      </c>
      <c r="J2204" s="63" t="s">
        <v>8070</v>
      </c>
      <c r="K2204" s="66"/>
      <c r="L2204" s="66"/>
      <c r="M2204" s="63" t="s">
        <v>4273</v>
      </c>
      <c r="N2204" s="61"/>
      <c r="O2204" s="51"/>
    </row>
    <row r="2205">
      <c r="A2205" s="56">
        <v>2202.0</v>
      </c>
      <c r="B2205" s="186"/>
      <c r="C2205" s="64" t="s">
        <v>9018</v>
      </c>
      <c r="D2205" s="63" t="s">
        <v>9019</v>
      </c>
      <c r="E2205" s="63" t="s">
        <v>9020</v>
      </c>
      <c r="F2205" s="202">
        <v>41606.0</v>
      </c>
      <c r="G2205" s="63" t="s">
        <v>9021</v>
      </c>
      <c r="H2205" s="66"/>
      <c r="I2205" s="99" t="s">
        <v>9022</v>
      </c>
      <c r="J2205" s="63" t="s">
        <v>5653</v>
      </c>
      <c r="K2205" s="66"/>
      <c r="L2205" s="66"/>
      <c r="M2205" s="66"/>
      <c r="N2205" s="61"/>
      <c r="O2205" s="51"/>
    </row>
    <row r="2206">
      <c r="A2206" s="56">
        <v>2203.0</v>
      </c>
      <c r="B2206" s="186"/>
      <c r="C2206" s="64" t="s">
        <v>9023</v>
      </c>
      <c r="D2206" s="66"/>
      <c r="E2206" s="63" t="s">
        <v>9024</v>
      </c>
      <c r="F2206" s="63">
        <v>2009.0</v>
      </c>
      <c r="G2206" s="63" t="s">
        <v>9025</v>
      </c>
      <c r="H2206" s="66"/>
      <c r="I2206" s="99" t="s">
        <v>9026</v>
      </c>
      <c r="J2206" s="63" t="s">
        <v>6055</v>
      </c>
      <c r="K2206" s="66"/>
      <c r="L2206" s="66"/>
      <c r="M2206" s="63" t="s">
        <v>530</v>
      </c>
      <c r="N2206" s="61"/>
      <c r="O2206" s="51"/>
    </row>
    <row r="2207">
      <c r="A2207" s="56">
        <v>2204.0</v>
      </c>
      <c r="B2207" s="186"/>
      <c r="C2207" s="64" t="s">
        <v>9027</v>
      </c>
      <c r="D2207" s="66"/>
      <c r="E2207" s="63" t="s">
        <v>9028</v>
      </c>
      <c r="F2207" s="65">
        <v>40968.0</v>
      </c>
      <c r="G2207" s="63" t="s">
        <v>9029</v>
      </c>
      <c r="H2207" s="66"/>
      <c r="I2207" s="99" t="s">
        <v>9030</v>
      </c>
      <c r="J2207" s="63" t="s">
        <v>5653</v>
      </c>
      <c r="K2207" s="66"/>
      <c r="L2207" s="66"/>
      <c r="M2207" s="66"/>
      <c r="N2207" s="61"/>
      <c r="O2207" s="51"/>
    </row>
    <row r="2208">
      <c r="A2208" s="56">
        <v>2205.0</v>
      </c>
      <c r="B2208" s="186"/>
      <c r="C2208" s="64" t="s">
        <v>9031</v>
      </c>
      <c r="D2208" s="66"/>
      <c r="E2208" s="63" t="s">
        <v>9032</v>
      </c>
      <c r="F2208" s="70">
        <v>41951.0</v>
      </c>
      <c r="G2208" s="63" t="s">
        <v>9033</v>
      </c>
      <c r="H2208" s="66"/>
      <c r="I2208" s="99" t="s">
        <v>9034</v>
      </c>
      <c r="J2208" s="63" t="s">
        <v>7523</v>
      </c>
      <c r="K2208" s="66"/>
      <c r="L2208" s="66"/>
      <c r="M2208" s="66"/>
      <c r="N2208" s="61"/>
      <c r="O2208" s="51"/>
    </row>
    <row r="2209">
      <c r="A2209" s="56">
        <v>2206.0</v>
      </c>
      <c r="B2209" s="90"/>
      <c r="C2209" s="58" t="s">
        <v>9035</v>
      </c>
      <c r="D2209" s="60"/>
      <c r="E2209" s="57" t="s">
        <v>9036</v>
      </c>
      <c r="F2209" s="59">
        <v>41677.0</v>
      </c>
      <c r="G2209" s="57" t="s">
        <v>9037</v>
      </c>
      <c r="H2209" s="60"/>
      <c r="I2209" s="99" t="s">
        <v>9038</v>
      </c>
      <c r="J2209" s="57" t="s">
        <v>9039</v>
      </c>
      <c r="K2209" s="60"/>
      <c r="L2209" s="60"/>
      <c r="M2209" s="60"/>
      <c r="N2209" s="61"/>
      <c r="O2209" s="51"/>
    </row>
    <row r="2210">
      <c r="A2210" s="56">
        <v>2207.0</v>
      </c>
      <c r="B2210" s="116"/>
      <c r="C2210" s="69" t="s">
        <v>9040</v>
      </c>
      <c r="D2210" s="71"/>
      <c r="E2210" s="68" t="s">
        <v>9041</v>
      </c>
      <c r="F2210" s="83">
        <v>41638.0</v>
      </c>
      <c r="G2210" s="68" t="s">
        <v>9042</v>
      </c>
      <c r="H2210" s="71"/>
      <c r="I2210" s="99" t="s">
        <v>9043</v>
      </c>
      <c r="J2210" s="68" t="s">
        <v>9044</v>
      </c>
      <c r="K2210" s="71"/>
      <c r="L2210" s="71"/>
      <c r="M2210" s="71"/>
      <c r="N2210" s="61"/>
      <c r="O2210" s="51"/>
    </row>
    <row r="2211">
      <c r="A2211" s="56">
        <v>2208.0</v>
      </c>
      <c r="B2211" s="186"/>
      <c r="C2211" s="64" t="s">
        <v>9045</v>
      </c>
      <c r="D2211" s="66"/>
      <c r="E2211" s="63" t="s">
        <v>9046</v>
      </c>
      <c r="F2211" s="65">
        <v>40075.0</v>
      </c>
      <c r="G2211" s="63" t="s">
        <v>9047</v>
      </c>
      <c r="H2211" s="66"/>
      <c r="I2211" s="99" t="s">
        <v>9048</v>
      </c>
      <c r="J2211" s="63" t="s">
        <v>136</v>
      </c>
      <c r="K2211" s="66"/>
      <c r="L2211" s="66"/>
      <c r="M2211" s="63" t="s">
        <v>530</v>
      </c>
      <c r="N2211" s="61"/>
      <c r="O2211" s="51"/>
    </row>
    <row r="2212">
      <c r="A2212" s="56">
        <v>2209.0</v>
      </c>
      <c r="B2212" s="186"/>
      <c r="C2212" s="64" t="s">
        <v>9049</v>
      </c>
      <c r="D2212" s="66"/>
      <c r="E2212" s="63" t="s">
        <v>9050</v>
      </c>
      <c r="F2212" s="65">
        <v>39577.0</v>
      </c>
      <c r="G2212" s="63" t="s">
        <v>9047</v>
      </c>
      <c r="H2212" s="63" t="s">
        <v>9051</v>
      </c>
      <c r="I2212" s="99" t="s">
        <v>9052</v>
      </c>
      <c r="J2212" s="63" t="s">
        <v>9053</v>
      </c>
      <c r="K2212" s="66"/>
      <c r="L2212" s="66"/>
      <c r="M2212" s="63" t="s">
        <v>530</v>
      </c>
      <c r="N2212" s="61"/>
      <c r="O2212" s="51"/>
    </row>
    <row r="2213">
      <c r="A2213" s="56">
        <v>2210.0</v>
      </c>
      <c r="B2213" s="186"/>
      <c r="C2213" s="64" t="s">
        <v>9054</v>
      </c>
      <c r="D2213" s="66"/>
      <c r="E2213" s="63" t="s">
        <v>9055</v>
      </c>
      <c r="F2213" s="65">
        <v>40564.0</v>
      </c>
      <c r="G2213" s="63" t="s">
        <v>9047</v>
      </c>
      <c r="H2213" s="66"/>
      <c r="I2213" s="159"/>
      <c r="J2213" s="63" t="s">
        <v>5653</v>
      </c>
      <c r="K2213" s="66"/>
      <c r="L2213" s="66"/>
      <c r="M2213" s="63" t="s">
        <v>530</v>
      </c>
      <c r="N2213" s="61"/>
      <c r="O2213" s="51"/>
    </row>
    <row r="2214">
      <c r="A2214" s="56">
        <v>2211.0</v>
      </c>
      <c r="B2214" s="90"/>
      <c r="C2214" s="58" t="s">
        <v>9056</v>
      </c>
      <c r="D2214" s="60"/>
      <c r="E2214" s="57" t="s">
        <v>9057</v>
      </c>
      <c r="F2214" s="78">
        <v>40967.0</v>
      </c>
      <c r="G2214" s="57" t="s">
        <v>9058</v>
      </c>
      <c r="H2214" s="60"/>
      <c r="I2214" s="99" t="s">
        <v>635</v>
      </c>
      <c r="J2214" s="57" t="s">
        <v>9059</v>
      </c>
      <c r="K2214" s="60"/>
      <c r="L2214" s="60"/>
      <c r="M2214" s="60"/>
      <c r="N2214" s="61"/>
      <c r="O2214" s="51"/>
    </row>
    <row r="2215">
      <c r="A2215" s="56">
        <v>2212.0</v>
      </c>
      <c r="B2215" s="90"/>
      <c r="C2215" s="58" t="s">
        <v>9060</v>
      </c>
      <c r="D2215" s="60"/>
      <c r="E2215" s="57" t="s">
        <v>9061</v>
      </c>
      <c r="F2215" s="78">
        <v>41784.0</v>
      </c>
      <c r="G2215" s="57" t="s">
        <v>9062</v>
      </c>
      <c r="H2215" s="60"/>
      <c r="I2215" s="99" t="s">
        <v>9063</v>
      </c>
      <c r="J2215" s="57" t="s">
        <v>9064</v>
      </c>
      <c r="K2215" s="60"/>
      <c r="L2215" s="60"/>
      <c r="M2215" s="60"/>
      <c r="N2215" s="61"/>
      <c r="O2215" s="51"/>
    </row>
    <row r="2216">
      <c r="A2216" s="56">
        <v>2213.0</v>
      </c>
      <c r="B2216" s="90"/>
      <c r="C2216" s="58" t="s">
        <v>9065</v>
      </c>
      <c r="D2216" s="60"/>
      <c r="E2216" s="57" t="s">
        <v>9066</v>
      </c>
      <c r="F2216" s="57">
        <v>2008.0</v>
      </c>
      <c r="G2216" s="57" t="s">
        <v>9067</v>
      </c>
      <c r="H2216" s="60"/>
      <c r="I2216" s="99" t="s">
        <v>9068</v>
      </c>
      <c r="J2216" s="57" t="s">
        <v>622</v>
      </c>
      <c r="K2216" s="60"/>
      <c r="L2216" s="60"/>
      <c r="M2216" s="60"/>
      <c r="N2216" s="61"/>
      <c r="O2216" s="51"/>
    </row>
    <row r="2217">
      <c r="A2217" s="56">
        <v>2214.0</v>
      </c>
      <c r="B2217" s="90"/>
      <c r="C2217" s="58" t="s">
        <v>9069</v>
      </c>
      <c r="D2217" s="60"/>
      <c r="E2217" s="57" t="s">
        <v>9070</v>
      </c>
      <c r="F2217" s="78">
        <v>40113.0</v>
      </c>
      <c r="G2217" s="57" t="s">
        <v>9071</v>
      </c>
      <c r="H2217" s="60"/>
      <c r="I2217" s="99" t="s">
        <v>635</v>
      </c>
      <c r="J2217" s="57" t="s">
        <v>9072</v>
      </c>
      <c r="K2217" s="60"/>
      <c r="L2217" s="60"/>
      <c r="M2217" s="60"/>
      <c r="N2217" s="61"/>
      <c r="O2217" s="51"/>
    </row>
    <row r="2218">
      <c r="A2218" s="56">
        <v>2215.0</v>
      </c>
      <c r="B2218" s="186"/>
      <c r="C2218" s="64" t="s">
        <v>9073</v>
      </c>
      <c r="D2218" s="66"/>
      <c r="E2218" s="63" t="s">
        <v>9074</v>
      </c>
      <c r="F2218" s="63">
        <v>2009.0</v>
      </c>
      <c r="G2218" s="63" t="s">
        <v>9075</v>
      </c>
      <c r="H2218" s="66"/>
      <c r="I2218" s="99" t="s">
        <v>9076</v>
      </c>
      <c r="J2218" s="63" t="s">
        <v>9077</v>
      </c>
      <c r="K2218" s="66"/>
      <c r="L2218" s="66"/>
      <c r="M2218" s="63" t="s">
        <v>368</v>
      </c>
      <c r="N2218" s="61"/>
      <c r="O2218" s="51"/>
    </row>
    <row r="2219">
      <c r="A2219" s="56">
        <v>2216.0</v>
      </c>
      <c r="B2219" s="116"/>
      <c r="C2219" s="69" t="s">
        <v>9078</v>
      </c>
      <c r="D2219" s="71"/>
      <c r="E2219" s="68" t="s">
        <v>9079</v>
      </c>
      <c r="F2219" s="76">
        <v>41982.0</v>
      </c>
      <c r="G2219" s="68" t="s">
        <v>9080</v>
      </c>
      <c r="H2219" s="71"/>
      <c r="I2219" s="99" t="s">
        <v>9081</v>
      </c>
      <c r="J2219" s="68" t="s">
        <v>9082</v>
      </c>
      <c r="K2219" s="71"/>
      <c r="L2219" s="71"/>
      <c r="M2219" s="71"/>
      <c r="N2219" s="61"/>
      <c r="O2219" s="51"/>
    </row>
    <row r="2220">
      <c r="A2220" s="56">
        <v>2217.0</v>
      </c>
      <c r="B2220" s="186"/>
      <c r="C2220" s="64" t="s">
        <v>9083</v>
      </c>
      <c r="D2220" s="66"/>
      <c r="E2220" s="63" t="s">
        <v>9084</v>
      </c>
      <c r="F2220" s="65">
        <v>40966.0</v>
      </c>
      <c r="G2220" s="63" t="s">
        <v>9085</v>
      </c>
      <c r="H2220" s="66"/>
      <c r="I2220" s="99" t="s">
        <v>9086</v>
      </c>
      <c r="J2220" s="63" t="s">
        <v>9087</v>
      </c>
      <c r="K2220" s="66"/>
      <c r="L2220" s="66"/>
      <c r="M2220" s="63" t="s">
        <v>2152</v>
      </c>
      <c r="N2220" s="61"/>
      <c r="O2220" s="51"/>
    </row>
    <row r="2221">
      <c r="A2221" s="56">
        <v>2218.0</v>
      </c>
      <c r="B2221" s="90"/>
      <c r="C2221" s="58" t="s">
        <v>9088</v>
      </c>
      <c r="D2221" s="60"/>
      <c r="E2221" s="57" t="s">
        <v>9089</v>
      </c>
      <c r="F2221" s="60"/>
      <c r="G2221" s="57" t="s">
        <v>9090</v>
      </c>
      <c r="H2221" s="60"/>
      <c r="I2221" s="99" t="s">
        <v>9091</v>
      </c>
      <c r="J2221" s="57" t="s">
        <v>9092</v>
      </c>
      <c r="K2221" s="60"/>
      <c r="L2221" s="60"/>
      <c r="M2221" s="60"/>
      <c r="N2221" s="61"/>
      <c r="O2221" s="51"/>
    </row>
    <row r="2222">
      <c r="A2222" s="56">
        <v>2219.0</v>
      </c>
      <c r="B2222" s="116"/>
      <c r="C2222" s="69" t="s">
        <v>9093</v>
      </c>
      <c r="D2222" s="71"/>
      <c r="E2222" s="68" t="s">
        <v>9094</v>
      </c>
      <c r="F2222" s="76">
        <v>41891.0</v>
      </c>
      <c r="G2222" s="68" t="s">
        <v>9095</v>
      </c>
      <c r="H2222" s="71"/>
      <c r="I2222" s="99" t="s">
        <v>9096</v>
      </c>
      <c r="J2222" s="68" t="s">
        <v>9097</v>
      </c>
      <c r="K2222" s="71"/>
      <c r="L2222" s="71"/>
      <c r="M2222" s="71"/>
      <c r="N2222" s="61"/>
      <c r="O2222" s="51"/>
    </row>
    <row r="2223">
      <c r="A2223" s="56">
        <v>2220.0</v>
      </c>
      <c r="B2223" s="116"/>
      <c r="C2223" s="69" t="s">
        <v>9098</v>
      </c>
      <c r="D2223" s="71"/>
      <c r="E2223" s="68" t="s">
        <v>9099</v>
      </c>
      <c r="F2223" s="83">
        <v>41692.0</v>
      </c>
      <c r="G2223" s="68" t="s">
        <v>9100</v>
      </c>
      <c r="H2223" s="71"/>
      <c r="I2223" s="99" t="s">
        <v>9101</v>
      </c>
      <c r="J2223" s="68" t="s">
        <v>9102</v>
      </c>
      <c r="K2223" s="71"/>
      <c r="L2223" s="71"/>
      <c r="M2223" s="71"/>
      <c r="N2223" s="61"/>
      <c r="O2223" s="51"/>
    </row>
    <row r="2224">
      <c r="A2224" s="56">
        <v>2221.0</v>
      </c>
      <c r="B2224" s="116"/>
      <c r="C2224" s="69" t="s">
        <v>9103</v>
      </c>
      <c r="D2224" s="71"/>
      <c r="E2224" s="68" t="s">
        <v>9104</v>
      </c>
      <c r="F2224" s="76">
        <v>40330.0</v>
      </c>
      <c r="G2224" s="68" t="s">
        <v>9105</v>
      </c>
      <c r="H2224" s="71"/>
      <c r="I2224" s="160"/>
      <c r="J2224" s="68" t="s">
        <v>9106</v>
      </c>
      <c r="K2224" s="71"/>
      <c r="L2224" s="71"/>
      <c r="M2224" s="71"/>
      <c r="N2224" s="77"/>
      <c r="O2224" s="51"/>
    </row>
    <row r="2225">
      <c r="A2225" s="56">
        <v>2222.0</v>
      </c>
      <c r="B2225" s="186"/>
      <c r="C2225" s="64" t="s">
        <v>9107</v>
      </c>
      <c r="D2225" s="66"/>
      <c r="E2225" s="63" t="s">
        <v>8644</v>
      </c>
      <c r="F2225" s="182">
        <v>40026.0</v>
      </c>
      <c r="G2225" s="63" t="s">
        <v>9108</v>
      </c>
      <c r="H2225" s="66"/>
      <c r="I2225" s="99" t="s">
        <v>9109</v>
      </c>
      <c r="J2225" s="63" t="s">
        <v>7988</v>
      </c>
      <c r="K2225" s="66"/>
      <c r="L2225" s="66"/>
      <c r="M2225" s="63" t="s">
        <v>530</v>
      </c>
      <c r="N2225" s="61"/>
      <c r="O2225" s="51"/>
    </row>
    <row r="2226">
      <c r="A2226" s="56">
        <v>2223.0</v>
      </c>
      <c r="B2226" s="116"/>
      <c r="C2226" s="69" t="s">
        <v>9110</v>
      </c>
      <c r="D2226" s="71"/>
      <c r="E2226" s="68" t="s">
        <v>9111</v>
      </c>
      <c r="F2226" s="190">
        <v>40026.0</v>
      </c>
      <c r="G2226" s="68" t="s">
        <v>9108</v>
      </c>
      <c r="H2226" s="71"/>
      <c r="I2226" s="159"/>
      <c r="J2226" s="68" t="s">
        <v>9112</v>
      </c>
      <c r="K2226" s="71"/>
      <c r="L2226" s="71"/>
      <c r="M2226" s="68" t="s">
        <v>530</v>
      </c>
      <c r="N2226" s="61"/>
      <c r="O2226" s="51"/>
    </row>
    <row r="2227">
      <c r="A2227" s="56">
        <v>2224.0</v>
      </c>
      <c r="B2227" s="186"/>
      <c r="C2227" s="64" t="s">
        <v>9113</v>
      </c>
      <c r="D2227" s="66"/>
      <c r="E2227" s="63" t="s">
        <v>9114</v>
      </c>
      <c r="F2227" s="203">
        <v>40026.0</v>
      </c>
      <c r="G2227" s="63" t="s">
        <v>9108</v>
      </c>
      <c r="H2227" s="66"/>
      <c r="I2227" s="99" t="s">
        <v>9115</v>
      </c>
      <c r="J2227" s="63" t="s">
        <v>7988</v>
      </c>
      <c r="K2227" s="66"/>
      <c r="L2227" s="66"/>
      <c r="M2227" s="66"/>
      <c r="N2227" s="61"/>
      <c r="O2227" s="51"/>
    </row>
    <row r="2228">
      <c r="A2228" s="56">
        <v>2225.0</v>
      </c>
      <c r="B2228" s="186"/>
      <c r="C2228" s="64" t="s">
        <v>9116</v>
      </c>
      <c r="D2228" s="66"/>
      <c r="E2228" s="63" t="s">
        <v>9117</v>
      </c>
      <c r="F2228" s="65">
        <v>41711.0</v>
      </c>
      <c r="G2228" s="63" t="s">
        <v>9118</v>
      </c>
      <c r="H2228" s="66"/>
      <c r="I2228" s="99" t="s">
        <v>9119</v>
      </c>
      <c r="J2228" s="63" t="s">
        <v>9120</v>
      </c>
      <c r="K2228" s="66"/>
      <c r="L2228" s="66"/>
      <c r="M2228" s="63" t="s">
        <v>143</v>
      </c>
      <c r="N2228" s="61"/>
      <c r="O2228" s="51"/>
    </row>
    <row r="2229">
      <c r="A2229" s="56">
        <v>2226.0</v>
      </c>
      <c r="B2229" s="116"/>
      <c r="C2229" s="69" t="s">
        <v>9121</v>
      </c>
      <c r="D2229" s="71"/>
      <c r="E2229" s="68" t="s">
        <v>9122</v>
      </c>
      <c r="F2229" s="83">
        <v>41839.0</v>
      </c>
      <c r="G2229" s="68" t="s">
        <v>9123</v>
      </c>
      <c r="H2229" s="71"/>
      <c r="I2229" s="99" t="s">
        <v>9124</v>
      </c>
      <c r="J2229" s="68" t="s">
        <v>9125</v>
      </c>
      <c r="K2229" s="71"/>
      <c r="L2229" s="71"/>
      <c r="M2229" s="71"/>
      <c r="N2229" s="61"/>
      <c r="O2229" s="51"/>
    </row>
    <row r="2230">
      <c r="A2230" s="56">
        <v>2227.0</v>
      </c>
      <c r="B2230" s="116"/>
      <c r="C2230" s="69" t="s">
        <v>9126</v>
      </c>
      <c r="D2230" s="71"/>
      <c r="E2230" s="68" t="s">
        <v>9127</v>
      </c>
      <c r="F2230" s="83">
        <v>40655.0</v>
      </c>
      <c r="G2230" s="68" t="s">
        <v>9128</v>
      </c>
      <c r="H2230" s="71"/>
      <c r="I2230" s="99" t="s">
        <v>9129</v>
      </c>
      <c r="J2230" s="68" t="s">
        <v>9130</v>
      </c>
      <c r="K2230" s="71"/>
      <c r="L2230" s="71"/>
      <c r="M2230" s="66"/>
      <c r="N2230" s="61"/>
      <c r="O2230" s="51"/>
    </row>
    <row r="2231">
      <c r="A2231" s="56">
        <v>2228.0</v>
      </c>
      <c r="B2231" s="116"/>
      <c r="C2231" s="69" t="s">
        <v>9131</v>
      </c>
      <c r="D2231" s="71"/>
      <c r="E2231" s="68" t="s">
        <v>9132</v>
      </c>
      <c r="F2231" s="83">
        <v>40655.0</v>
      </c>
      <c r="G2231" s="68" t="s">
        <v>9133</v>
      </c>
      <c r="H2231" s="71"/>
      <c r="I2231" s="99" t="s">
        <v>9129</v>
      </c>
      <c r="J2231" s="68" t="s">
        <v>9130</v>
      </c>
      <c r="K2231" s="71"/>
      <c r="L2231" s="71"/>
      <c r="M2231" s="66"/>
      <c r="N2231" s="61"/>
      <c r="O2231" s="51"/>
    </row>
    <row r="2232">
      <c r="A2232" s="56">
        <v>2229.0</v>
      </c>
      <c r="B2232" s="116"/>
      <c r="C2232" s="69" t="s">
        <v>9134</v>
      </c>
      <c r="D2232" s="71"/>
      <c r="E2232" s="68" t="s">
        <v>9135</v>
      </c>
      <c r="F2232" s="83">
        <v>41893.0</v>
      </c>
      <c r="G2232" s="68" t="s">
        <v>9136</v>
      </c>
      <c r="H2232" s="71"/>
      <c r="I2232" s="114" t="s">
        <v>635</v>
      </c>
      <c r="J2232" s="68" t="s">
        <v>9137</v>
      </c>
      <c r="K2232" s="71"/>
      <c r="L2232" s="71"/>
      <c r="M2232" s="71"/>
      <c r="N2232" s="61"/>
      <c r="O2232" s="51"/>
    </row>
    <row r="2233">
      <c r="A2233" s="56">
        <v>2230.0</v>
      </c>
      <c r="B2233" s="116"/>
      <c r="C2233" s="69" t="s">
        <v>9138</v>
      </c>
      <c r="D2233" s="71"/>
      <c r="E2233" s="68" t="s">
        <v>9139</v>
      </c>
      <c r="F2233" s="83">
        <v>41893.0</v>
      </c>
      <c r="G2233" s="68" t="s">
        <v>9140</v>
      </c>
      <c r="H2233" s="71"/>
      <c r="I2233" s="114" t="s">
        <v>635</v>
      </c>
      <c r="J2233" s="68" t="s">
        <v>9137</v>
      </c>
      <c r="K2233" s="71"/>
      <c r="L2233" s="71"/>
      <c r="M2233" s="71"/>
      <c r="N2233" s="77"/>
      <c r="O2233" s="51"/>
    </row>
    <row r="2234">
      <c r="A2234" s="56">
        <v>2231.0</v>
      </c>
      <c r="B2234" s="116"/>
      <c r="C2234" s="69" t="s">
        <v>9141</v>
      </c>
      <c r="D2234" s="71"/>
      <c r="E2234" s="68" t="s">
        <v>9142</v>
      </c>
      <c r="F2234" s="83">
        <v>41653.0</v>
      </c>
      <c r="G2234" s="68" t="s">
        <v>9143</v>
      </c>
      <c r="H2234" s="71"/>
      <c r="I2234" s="99" t="s">
        <v>9144</v>
      </c>
      <c r="J2234" s="68" t="s">
        <v>9145</v>
      </c>
      <c r="K2234" s="71"/>
      <c r="L2234" s="71"/>
      <c r="M2234" s="68" t="s">
        <v>2748</v>
      </c>
      <c r="N2234" s="61"/>
      <c r="O2234" s="51"/>
    </row>
    <row r="2235">
      <c r="A2235" s="56">
        <v>2232.0</v>
      </c>
      <c r="B2235" s="116"/>
      <c r="C2235" s="69" t="s">
        <v>9146</v>
      </c>
      <c r="D2235" s="71"/>
      <c r="E2235" s="68" t="s">
        <v>9147</v>
      </c>
      <c r="F2235" s="83">
        <v>41830.0</v>
      </c>
      <c r="G2235" s="68" t="s">
        <v>9143</v>
      </c>
      <c r="H2235" s="71"/>
      <c r="I2235" s="99" t="s">
        <v>9144</v>
      </c>
      <c r="J2235" s="68" t="s">
        <v>9145</v>
      </c>
      <c r="K2235" s="71"/>
      <c r="L2235" s="71"/>
      <c r="M2235" s="68" t="s">
        <v>2748</v>
      </c>
      <c r="N2235" s="61"/>
      <c r="O2235" s="51"/>
    </row>
    <row r="2236">
      <c r="A2236" s="56">
        <v>2233.0</v>
      </c>
      <c r="B2236" s="116"/>
      <c r="C2236" s="69" t="s">
        <v>9148</v>
      </c>
      <c r="D2236" s="71"/>
      <c r="E2236" s="68" t="s">
        <v>9149</v>
      </c>
      <c r="F2236" s="83">
        <v>41888.0</v>
      </c>
      <c r="G2236" s="68" t="s">
        <v>9150</v>
      </c>
      <c r="H2236" s="71"/>
      <c r="I2236" s="114" t="s">
        <v>635</v>
      </c>
      <c r="J2236" s="68" t="s">
        <v>9151</v>
      </c>
      <c r="K2236" s="71"/>
      <c r="L2236" s="71"/>
      <c r="M2236" s="71"/>
      <c r="N2236" s="61"/>
      <c r="O2236" s="51"/>
    </row>
    <row r="2237">
      <c r="A2237" s="56">
        <v>2234.0</v>
      </c>
      <c r="B2237" s="186"/>
      <c r="C2237" s="64" t="s">
        <v>9152</v>
      </c>
      <c r="D2237" s="66"/>
      <c r="E2237" s="63" t="s">
        <v>9153</v>
      </c>
      <c r="F2237" s="65">
        <v>41716.0</v>
      </c>
      <c r="G2237" s="63" t="s">
        <v>9154</v>
      </c>
      <c r="H2237" s="66"/>
      <c r="I2237" s="99" t="s">
        <v>9155</v>
      </c>
      <c r="J2237" s="63" t="s">
        <v>9156</v>
      </c>
      <c r="K2237" s="66"/>
      <c r="L2237" s="66"/>
      <c r="M2237" s="63" t="s">
        <v>27</v>
      </c>
      <c r="N2237" s="61"/>
      <c r="O2237" s="51"/>
    </row>
    <row r="2238">
      <c r="A2238" s="56">
        <v>2235.0</v>
      </c>
      <c r="B2238" s="116"/>
      <c r="C2238" s="69" t="s">
        <v>9157</v>
      </c>
      <c r="D2238" s="71"/>
      <c r="E2238" s="68" t="s">
        <v>9158</v>
      </c>
      <c r="F2238" s="76">
        <v>41891.0</v>
      </c>
      <c r="G2238" s="68" t="s">
        <v>9159</v>
      </c>
      <c r="H2238" s="71"/>
      <c r="I2238" s="114" t="s">
        <v>9160</v>
      </c>
      <c r="J2238" s="68" t="s">
        <v>9161</v>
      </c>
      <c r="K2238" s="71"/>
      <c r="L2238" s="71"/>
      <c r="M2238" s="71"/>
      <c r="N2238" s="61"/>
      <c r="O2238" s="51"/>
    </row>
    <row r="2239">
      <c r="A2239" s="56">
        <v>2236.0</v>
      </c>
      <c r="B2239" s="90"/>
      <c r="C2239" s="58" t="s">
        <v>9162</v>
      </c>
      <c r="D2239" s="60"/>
      <c r="E2239" s="57" t="s">
        <v>9163</v>
      </c>
      <c r="F2239" s="78">
        <v>41619.0</v>
      </c>
      <c r="G2239" s="57" t="s">
        <v>9164</v>
      </c>
      <c r="H2239" s="60"/>
      <c r="I2239" s="99" t="s">
        <v>9165</v>
      </c>
      <c r="J2239" s="57" t="s">
        <v>9166</v>
      </c>
      <c r="K2239" s="60"/>
      <c r="L2239" s="60"/>
      <c r="M2239" s="60"/>
      <c r="N2239" s="61"/>
      <c r="O2239" s="51"/>
    </row>
    <row r="2240">
      <c r="A2240" s="56">
        <v>2237.0</v>
      </c>
      <c r="B2240" s="186"/>
      <c r="C2240" s="64" t="s">
        <v>9167</v>
      </c>
      <c r="D2240" s="66"/>
      <c r="E2240" s="63" t="s">
        <v>9168</v>
      </c>
      <c r="F2240" s="65">
        <v>40101.0</v>
      </c>
      <c r="G2240" s="63" t="s">
        <v>9169</v>
      </c>
      <c r="H2240" s="66"/>
      <c r="I2240" s="99" t="s">
        <v>9170</v>
      </c>
      <c r="J2240" s="63" t="s">
        <v>7988</v>
      </c>
      <c r="K2240" s="66"/>
      <c r="L2240" s="66"/>
      <c r="M2240" s="63" t="s">
        <v>530</v>
      </c>
      <c r="N2240" s="61"/>
      <c r="O2240" s="51"/>
    </row>
    <row r="2241">
      <c r="A2241" s="56">
        <v>2238.0</v>
      </c>
      <c r="B2241" s="116"/>
      <c r="C2241" s="69" t="s">
        <v>9171</v>
      </c>
      <c r="D2241" s="71"/>
      <c r="E2241" s="68" t="s">
        <v>9172</v>
      </c>
      <c r="F2241" s="76">
        <v>41889.0</v>
      </c>
      <c r="G2241" s="68" t="s">
        <v>9173</v>
      </c>
      <c r="H2241" s="71"/>
      <c r="I2241" s="99" t="s">
        <v>9174</v>
      </c>
      <c r="J2241" s="68" t="s">
        <v>9175</v>
      </c>
      <c r="K2241" s="71"/>
      <c r="L2241" s="71"/>
      <c r="M2241" s="68" t="s">
        <v>137</v>
      </c>
      <c r="N2241" s="61"/>
      <c r="O2241" s="51"/>
    </row>
    <row r="2242">
      <c r="A2242" s="56">
        <v>2239.0</v>
      </c>
      <c r="B2242" s="116"/>
      <c r="C2242" s="69" t="s">
        <v>9176</v>
      </c>
      <c r="D2242" s="71"/>
      <c r="E2242" s="68" t="s">
        <v>9177</v>
      </c>
      <c r="F2242" s="76">
        <v>41918.0</v>
      </c>
      <c r="G2242" s="68" t="s">
        <v>9173</v>
      </c>
      <c r="H2242" s="71"/>
      <c r="I2242" s="99" t="s">
        <v>9174</v>
      </c>
      <c r="J2242" s="68" t="s">
        <v>9175</v>
      </c>
      <c r="K2242" s="71"/>
      <c r="L2242" s="71"/>
      <c r="M2242" s="68" t="s">
        <v>137</v>
      </c>
      <c r="N2242" s="61"/>
      <c r="O2242" s="51"/>
    </row>
    <row r="2243">
      <c r="A2243" s="56">
        <v>2240.0</v>
      </c>
      <c r="B2243" s="116"/>
      <c r="C2243" s="69" t="s">
        <v>9178</v>
      </c>
      <c r="D2243" s="71"/>
      <c r="E2243" s="68" t="s">
        <v>9179</v>
      </c>
      <c r="F2243" s="76">
        <v>41649.0</v>
      </c>
      <c r="G2243" s="68" t="s">
        <v>9180</v>
      </c>
      <c r="H2243" s="71"/>
      <c r="I2243" s="114" t="s">
        <v>9181</v>
      </c>
      <c r="J2243" s="68" t="s">
        <v>9182</v>
      </c>
      <c r="K2243" s="71"/>
      <c r="L2243" s="71"/>
      <c r="M2243" s="71"/>
      <c r="N2243" s="61"/>
      <c r="O2243" s="51"/>
    </row>
    <row r="2244">
      <c r="A2244" s="56">
        <v>2241.0</v>
      </c>
      <c r="B2244" s="90"/>
      <c r="C2244" s="58" t="s">
        <v>9183</v>
      </c>
      <c r="D2244" s="60"/>
      <c r="E2244" s="57" t="s">
        <v>9184</v>
      </c>
      <c r="F2244" s="78">
        <v>41929.0</v>
      </c>
      <c r="G2244" s="57" t="s">
        <v>9185</v>
      </c>
      <c r="H2244" s="60"/>
      <c r="I2244" s="99" t="s">
        <v>9186</v>
      </c>
      <c r="J2244" s="57" t="s">
        <v>9187</v>
      </c>
      <c r="K2244" s="60"/>
      <c r="L2244" s="60"/>
      <c r="M2244" s="60"/>
      <c r="N2244" s="61"/>
      <c r="O2244" s="51"/>
    </row>
    <row r="2245">
      <c r="A2245" s="56">
        <v>2242.0</v>
      </c>
      <c r="B2245" s="116"/>
      <c r="C2245" s="69" t="s">
        <v>9188</v>
      </c>
      <c r="D2245" s="71"/>
      <c r="E2245" s="68" t="s">
        <v>9189</v>
      </c>
      <c r="F2245" s="76">
        <v>41828.0</v>
      </c>
      <c r="G2245" s="68" t="s">
        <v>9190</v>
      </c>
      <c r="H2245" s="71"/>
      <c r="I2245" s="114" t="s">
        <v>9191</v>
      </c>
      <c r="J2245" s="68" t="s">
        <v>9192</v>
      </c>
      <c r="K2245" s="71"/>
      <c r="L2245" s="71"/>
      <c r="M2245" s="71"/>
      <c r="N2245" s="61"/>
      <c r="O2245" s="51"/>
    </row>
    <row r="2246">
      <c r="A2246" s="56">
        <v>2243.0</v>
      </c>
      <c r="B2246" s="186"/>
      <c r="C2246" s="64" t="s">
        <v>9193</v>
      </c>
      <c r="D2246" s="66"/>
      <c r="E2246" s="63" t="s">
        <v>9194</v>
      </c>
      <c r="F2246" s="65">
        <v>41742.0</v>
      </c>
      <c r="G2246" s="63" t="s">
        <v>9195</v>
      </c>
      <c r="H2246" s="66"/>
      <c r="I2246" s="99" t="s">
        <v>635</v>
      </c>
      <c r="J2246" s="63" t="s">
        <v>5653</v>
      </c>
      <c r="K2246" s="66"/>
      <c r="L2246" s="63" t="s">
        <v>9196</v>
      </c>
      <c r="M2246" s="66"/>
      <c r="N2246" s="61"/>
      <c r="O2246" s="51"/>
    </row>
    <row r="2247">
      <c r="A2247" s="56">
        <v>2244.0</v>
      </c>
      <c r="B2247" s="186"/>
      <c r="C2247" s="64" t="s">
        <v>9197</v>
      </c>
      <c r="D2247" s="66"/>
      <c r="E2247" s="63" t="s">
        <v>9198</v>
      </c>
      <c r="F2247" s="65">
        <v>40983.0</v>
      </c>
      <c r="G2247" s="63" t="s">
        <v>9199</v>
      </c>
      <c r="H2247" s="66"/>
      <c r="I2247" s="99" t="s">
        <v>9200</v>
      </c>
      <c r="J2247" s="63" t="s">
        <v>7071</v>
      </c>
      <c r="K2247" s="66"/>
      <c r="L2247" s="66"/>
      <c r="M2247" s="63" t="s">
        <v>2152</v>
      </c>
      <c r="N2247" s="61"/>
      <c r="O2247" s="51"/>
    </row>
    <row r="2248">
      <c r="A2248" s="56">
        <v>2245.0</v>
      </c>
      <c r="B2248" s="116"/>
      <c r="C2248" s="69" t="s">
        <v>9201</v>
      </c>
      <c r="D2248" s="116"/>
      <c r="E2248" s="87" t="s">
        <v>5260</v>
      </c>
      <c r="F2248" s="204">
        <v>41900.0</v>
      </c>
      <c r="G2248" s="87" t="s">
        <v>9202</v>
      </c>
      <c r="H2248" s="71"/>
      <c r="I2248" s="63" t="s">
        <v>9203</v>
      </c>
      <c r="J2248" s="87" t="s">
        <v>1481</v>
      </c>
      <c r="K2248" s="116"/>
      <c r="L2248" s="116"/>
      <c r="M2248" s="116"/>
      <c r="N2248" s="61"/>
      <c r="O2248" s="51"/>
    </row>
    <row r="2249">
      <c r="A2249" s="56">
        <v>2246.0</v>
      </c>
      <c r="B2249" s="71"/>
      <c r="C2249" s="69" t="s">
        <v>9204</v>
      </c>
      <c r="D2249" s="71"/>
      <c r="E2249" s="68" t="s">
        <v>9205</v>
      </c>
      <c r="F2249" s="68">
        <v>2011.0</v>
      </c>
      <c r="G2249" s="68" t="s">
        <v>9206</v>
      </c>
      <c r="H2249" s="71"/>
      <c r="I2249" s="68" t="s">
        <v>635</v>
      </c>
      <c r="J2249" s="68" t="s">
        <v>9207</v>
      </c>
      <c r="K2249" s="71"/>
      <c r="L2249" s="71"/>
      <c r="M2249" s="71"/>
      <c r="N2249" s="61"/>
      <c r="O2249" s="51"/>
    </row>
    <row r="2250">
      <c r="A2250" s="56">
        <v>2247.0</v>
      </c>
      <c r="B2250" s="71"/>
      <c r="C2250" s="69" t="s">
        <v>9208</v>
      </c>
      <c r="D2250" s="71"/>
      <c r="E2250" s="68" t="s">
        <v>9209</v>
      </c>
      <c r="F2250" s="83">
        <v>41863.0</v>
      </c>
      <c r="G2250" s="68" t="s">
        <v>9210</v>
      </c>
      <c r="H2250" s="71"/>
      <c r="I2250" s="99" t="s">
        <v>9211</v>
      </c>
      <c r="J2250" s="68" t="s">
        <v>9212</v>
      </c>
      <c r="K2250" s="71"/>
      <c r="L2250" s="71"/>
      <c r="M2250" s="68" t="s">
        <v>149</v>
      </c>
      <c r="N2250" s="61"/>
      <c r="O2250" s="51"/>
    </row>
    <row r="2251">
      <c r="A2251" s="56">
        <v>2248.0</v>
      </c>
      <c r="B2251" s="160"/>
      <c r="C2251" s="126" t="s">
        <v>9213</v>
      </c>
      <c r="D2251" s="160"/>
      <c r="E2251" s="114" t="s">
        <v>9214</v>
      </c>
      <c r="F2251" s="172">
        <v>41877.0</v>
      </c>
      <c r="G2251" s="114" t="s">
        <v>9215</v>
      </c>
      <c r="H2251" s="160"/>
      <c r="I2251" s="114" t="s">
        <v>9216</v>
      </c>
      <c r="J2251" s="114" t="s">
        <v>9217</v>
      </c>
      <c r="K2251" s="71"/>
      <c r="L2251" s="71"/>
      <c r="M2251" s="114" t="s">
        <v>143</v>
      </c>
      <c r="N2251" s="77"/>
      <c r="O2251" s="51"/>
    </row>
    <row r="2252">
      <c r="A2252" s="56">
        <v>2249.0</v>
      </c>
      <c r="B2252" s="60"/>
      <c r="C2252" s="58" t="s">
        <v>9218</v>
      </c>
      <c r="D2252" s="60"/>
      <c r="E2252" s="57" t="s">
        <v>9219</v>
      </c>
      <c r="F2252" s="78">
        <v>41893.0</v>
      </c>
      <c r="G2252" s="57" t="s">
        <v>9220</v>
      </c>
      <c r="H2252" s="60"/>
      <c r="I2252" s="63" t="s">
        <v>635</v>
      </c>
      <c r="J2252" s="57" t="s">
        <v>1036</v>
      </c>
      <c r="K2252" s="60"/>
      <c r="L2252" s="60"/>
      <c r="M2252" s="60"/>
      <c r="N2252" s="61"/>
      <c r="O2252" s="51"/>
    </row>
    <row r="2253">
      <c r="A2253" s="56">
        <v>2250.0</v>
      </c>
      <c r="B2253" s="71"/>
      <c r="C2253" s="69" t="s">
        <v>9221</v>
      </c>
      <c r="D2253" s="71"/>
      <c r="E2253" s="68" t="s">
        <v>9222</v>
      </c>
      <c r="F2253" s="83">
        <v>41915.0</v>
      </c>
      <c r="G2253" s="68" t="s">
        <v>9223</v>
      </c>
      <c r="H2253" s="71"/>
      <c r="I2253" s="99" t="s">
        <v>9224</v>
      </c>
      <c r="J2253" s="68" t="s">
        <v>9225</v>
      </c>
      <c r="K2253" s="71"/>
      <c r="L2253" s="71"/>
      <c r="M2253" s="71"/>
      <c r="N2253" s="61"/>
      <c r="O2253" s="51"/>
    </row>
    <row r="2254">
      <c r="A2254" s="56">
        <v>2251.0</v>
      </c>
      <c r="B2254" s="71"/>
      <c r="C2254" s="69" t="s">
        <v>9226</v>
      </c>
      <c r="D2254" s="68" t="s">
        <v>9227</v>
      </c>
      <c r="E2254" s="68" t="s">
        <v>9228</v>
      </c>
      <c r="F2254" s="83">
        <v>41812.0</v>
      </c>
      <c r="G2254" s="68" t="s">
        <v>9229</v>
      </c>
      <c r="H2254" s="71"/>
      <c r="I2254" s="68" t="s">
        <v>9230</v>
      </c>
      <c r="J2254" s="68" t="s">
        <v>9231</v>
      </c>
      <c r="K2254" s="71"/>
      <c r="L2254" s="71"/>
      <c r="M2254" s="71"/>
      <c r="N2254" s="61"/>
      <c r="O2254" s="51"/>
    </row>
    <row r="2255">
      <c r="A2255" s="56">
        <v>2252.0</v>
      </c>
      <c r="B2255" s="60"/>
      <c r="C2255" s="58" t="s">
        <v>9232</v>
      </c>
      <c r="D2255" s="57" t="s">
        <v>9233</v>
      </c>
      <c r="E2255" s="57" t="s">
        <v>9234</v>
      </c>
      <c r="F2255" s="78">
        <v>41774.0</v>
      </c>
      <c r="G2255" s="57" t="s">
        <v>9235</v>
      </c>
      <c r="H2255" s="60"/>
      <c r="I2255" s="63" t="s">
        <v>9236</v>
      </c>
      <c r="J2255" s="57" t="s">
        <v>9237</v>
      </c>
      <c r="K2255" s="60"/>
      <c r="L2255" s="60"/>
      <c r="M2255" s="60"/>
      <c r="N2255" s="61"/>
      <c r="O2255" s="51"/>
    </row>
    <row r="2256">
      <c r="A2256" s="56">
        <v>2253.0</v>
      </c>
      <c r="B2256" s="71"/>
      <c r="C2256" s="69" t="s">
        <v>9238</v>
      </c>
      <c r="D2256" s="68" t="s">
        <v>9239</v>
      </c>
      <c r="E2256" s="68" t="s">
        <v>9240</v>
      </c>
      <c r="F2256" s="68">
        <v>2013.0</v>
      </c>
      <c r="G2256" s="68" t="s">
        <v>9241</v>
      </c>
      <c r="H2256" s="71"/>
      <c r="I2256" s="68" t="s">
        <v>9242</v>
      </c>
      <c r="J2256" s="68" t="s">
        <v>9243</v>
      </c>
      <c r="K2256" s="71"/>
      <c r="L2256" s="71"/>
      <c r="M2256" s="71"/>
      <c r="N2256" s="77"/>
      <c r="O2256" s="51"/>
    </row>
    <row r="2257">
      <c r="A2257" s="75">
        <v>2254.0</v>
      </c>
      <c r="B2257" s="71"/>
      <c r="C2257" s="69" t="s">
        <v>9244</v>
      </c>
      <c r="D2257" s="68" t="s">
        <v>9245</v>
      </c>
      <c r="E2257" s="68" t="s">
        <v>9246</v>
      </c>
      <c r="F2257" s="83">
        <v>40911.0</v>
      </c>
      <c r="G2257" s="68" t="s">
        <v>9247</v>
      </c>
      <c r="H2257" s="71"/>
      <c r="I2257" s="68" t="s">
        <v>9248</v>
      </c>
      <c r="J2257" s="68" t="s">
        <v>2175</v>
      </c>
      <c r="K2257" s="71"/>
      <c r="L2257" s="71"/>
      <c r="M2257" s="68" t="s">
        <v>530</v>
      </c>
      <c r="N2257" s="77"/>
      <c r="O2257" s="51"/>
    </row>
    <row r="2258">
      <c r="A2258" s="56">
        <v>2255.0</v>
      </c>
      <c r="B2258" s="71"/>
      <c r="C2258" s="69" t="s">
        <v>9249</v>
      </c>
      <c r="D2258" s="68" t="s">
        <v>9250</v>
      </c>
      <c r="E2258" s="68" t="s">
        <v>9251</v>
      </c>
      <c r="F2258" s="83">
        <v>41190.0</v>
      </c>
      <c r="G2258" s="68" t="s">
        <v>9252</v>
      </c>
      <c r="H2258" s="71"/>
      <c r="I2258" s="63" t="s">
        <v>635</v>
      </c>
      <c r="J2258" s="68" t="s">
        <v>9253</v>
      </c>
      <c r="K2258" s="71"/>
      <c r="L2258" s="71"/>
      <c r="M2258" s="66"/>
      <c r="N2258" s="61"/>
      <c r="O2258" s="51"/>
    </row>
    <row r="2259">
      <c r="A2259" s="56">
        <v>2256.0</v>
      </c>
      <c r="B2259" s="71"/>
      <c r="C2259" s="69" t="s">
        <v>9254</v>
      </c>
      <c r="D2259" s="68" t="s">
        <v>9255</v>
      </c>
      <c r="E2259" s="68" t="s">
        <v>9256</v>
      </c>
      <c r="F2259" s="83">
        <v>40842.0</v>
      </c>
      <c r="G2259" s="68" t="s">
        <v>9257</v>
      </c>
      <c r="H2259" s="71"/>
      <c r="I2259" s="68" t="s">
        <v>9258</v>
      </c>
      <c r="J2259" s="68" t="s">
        <v>9259</v>
      </c>
      <c r="K2259" s="71"/>
      <c r="L2259" s="71"/>
      <c r="M2259" s="68" t="s">
        <v>9260</v>
      </c>
      <c r="N2259" s="77"/>
      <c r="O2259" s="51"/>
    </row>
    <row r="2260">
      <c r="A2260" s="56">
        <v>2257.0</v>
      </c>
      <c r="B2260" s="60"/>
      <c r="C2260" s="58" t="s">
        <v>9261</v>
      </c>
      <c r="D2260" s="57" t="s">
        <v>9262</v>
      </c>
      <c r="E2260" s="57" t="s">
        <v>9263</v>
      </c>
      <c r="F2260" s="78">
        <v>41613.0</v>
      </c>
      <c r="G2260" s="57" t="s">
        <v>9264</v>
      </c>
      <c r="H2260" s="60"/>
      <c r="I2260" s="63" t="s">
        <v>9265</v>
      </c>
      <c r="J2260" s="57" t="s">
        <v>622</v>
      </c>
      <c r="K2260" s="60"/>
      <c r="L2260" s="60"/>
      <c r="M2260" s="60"/>
      <c r="N2260" s="61"/>
      <c r="O2260" s="51"/>
    </row>
    <row r="2261">
      <c r="A2261" s="56">
        <v>2258.0</v>
      </c>
      <c r="B2261" s="60"/>
      <c r="C2261" s="58" t="s">
        <v>9266</v>
      </c>
      <c r="D2261" s="60"/>
      <c r="E2261" s="57" t="s">
        <v>9267</v>
      </c>
      <c r="F2261" s="60"/>
      <c r="G2261" s="57" t="s">
        <v>9268</v>
      </c>
      <c r="H2261" s="60"/>
      <c r="I2261" s="63" t="s">
        <v>635</v>
      </c>
      <c r="J2261" s="57" t="s">
        <v>9269</v>
      </c>
      <c r="K2261" s="60"/>
      <c r="L2261" s="60"/>
      <c r="M2261" s="60"/>
      <c r="N2261" s="61"/>
      <c r="O2261" s="51"/>
    </row>
    <row r="2262">
      <c r="A2262" s="56">
        <v>2259.0</v>
      </c>
      <c r="B2262" s="60"/>
      <c r="C2262" s="58" t="s">
        <v>9270</v>
      </c>
      <c r="D2262" s="60"/>
      <c r="E2262" s="57" t="s">
        <v>9271</v>
      </c>
      <c r="F2262" s="78">
        <v>41946.0</v>
      </c>
      <c r="G2262" s="57" t="s">
        <v>9272</v>
      </c>
      <c r="H2262" s="60"/>
      <c r="I2262" s="63" t="s">
        <v>9273</v>
      </c>
      <c r="J2262" s="57" t="s">
        <v>9274</v>
      </c>
      <c r="K2262" s="60"/>
      <c r="L2262" s="60"/>
      <c r="M2262" s="60"/>
      <c r="N2262" s="61"/>
      <c r="O2262" s="51"/>
    </row>
    <row r="2263">
      <c r="A2263" s="56">
        <v>2260.0</v>
      </c>
      <c r="B2263" s="71"/>
      <c r="C2263" s="205" t="s">
        <v>9275</v>
      </c>
      <c r="D2263" s="82"/>
      <c r="E2263" s="80" t="s">
        <v>9276</v>
      </c>
      <c r="F2263" s="98">
        <v>41716.0</v>
      </c>
      <c r="G2263" s="80" t="s">
        <v>9277</v>
      </c>
      <c r="H2263" s="82"/>
      <c r="I2263" s="63" t="s">
        <v>9278</v>
      </c>
      <c r="J2263" s="63" t="s">
        <v>9279</v>
      </c>
      <c r="K2263" s="66"/>
      <c r="L2263" s="66"/>
      <c r="M2263" s="63" t="s">
        <v>27</v>
      </c>
      <c r="N2263" s="61"/>
      <c r="O2263" s="51"/>
    </row>
    <row r="2264">
      <c r="A2264" s="56">
        <v>2261.0</v>
      </c>
      <c r="B2264" s="71"/>
      <c r="C2264" s="69" t="s">
        <v>9280</v>
      </c>
      <c r="D2264" s="71"/>
      <c r="E2264" s="68" t="s">
        <v>9281</v>
      </c>
      <c r="F2264" s="83">
        <v>41895.0</v>
      </c>
      <c r="G2264" s="68" t="s">
        <v>9282</v>
      </c>
      <c r="H2264" s="71"/>
      <c r="I2264" s="68" t="s">
        <v>9283</v>
      </c>
      <c r="J2264" s="68" t="s">
        <v>9284</v>
      </c>
      <c r="K2264" s="60"/>
      <c r="L2264" s="60"/>
      <c r="M2264" s="60"/>
      <c r="N2264" s="61"/>
      <c r="O2264" s="51"/>
    </row>
    <row r="2265">
      <c r="A2265" s="56">
        <v>2262.0</v>
      </c>
      <c r="B2265" s="71"/>
      <c r="C2265" s="69" t="s">
        <v>9285</v>
      </c>
      <c r="D2265" s="71"/>
      <c r="E2265" s="68" t="s">
        <v>9286</v>
      </c>
      <c r="F2265" s="83">
        <v>41895.0</v>
      </c>
      <c r="G2265" s="68" t="s">
        <v>9282</v>
      </c>
      <c r="H2265" s="71"/>
      <c r="I2265" s="63" t="s">
        <v>9287</v>
      </c>
      <c r="J2265" s="68" t="s">
        <v>9288</v>
      </c>
      <c r="K2265" s="71"/>
      <c r="L2265" s="71"/>
      <c r="M2265" s="71"/>
      <c r="N2265" s="61"/>
      <c r="O2265" s="51"/>
    </row>
    <row r="2266">
      <c r="A2266" s="56">
        <v>2263.0</v>
      </c>
      <c r="B2266" s="71"/>
      <c r="C2266" s="69" t="s">
        <v>9289</v>
      </c>
      <c r="D2266" s="71"/>
      <c r="E2266" s="68" t="s">
        <v>9290</v>
      </c>
      <c r="F2266" s="83">
        <v>41895.0</v>
      </c>
      <c r="G2266" s="68" t="s">
        <v>9282</v>
      </c>
      <c r="H2266" s="71"/>
      <c r="I2266" s="63" t="s">
        <v>9287</v>
      </c>
      <c r="J2266" s="68" t="s">
        <v>9291</v>
      </c>
      <c r="K2266" s="71"/>
      <c r="L2266" s="71"/>
      <c r="M2266" s="71"/>
      <c r="N2266" s="61"/>
      <c r="O2266" s="51"/>
    </row>
    <row r="2267">
      <c r="A2267" s="56">
        <v>2264.0</v>
      </c>
      <c r="B2267" s="66"/>
      <c r="C2267" s="64" t="s">
        <v>9292</v>
      </c>
      <c r="D2267" s="66"/>
      <c r="E2267" s="63" t="s">
        <v>9293</v>
      </c>
      <c r="F2267" s="65">
        <v>41948.0</v>
      </c>
      <c r="G2267" s="63" t="s">
        <v>9294</v>
      </c>
      <c r="H2267" s="66"/>
      <c r="I2267" s="63" t="s">
        <v>9287</v>
      </c>
      <c r="J2267" s="66"/>
      <c r="K2267" s="66"/>
      <c r="L2267" s="66"/>
      <c r="M2267" s="66"/>
      <c r="N2267" s="61"/>
      <c r="O2267" s="51"/>
    </row>
    <row r="2268">
      <c r="A2268" s="56">
        <v>2265.0</v>
      </c>
      <c r="B2268" s="71"/>
      <c r="C2268" s="69" t="s">
        <v>9295</v>
      </c>
      <c r="D2268" s="71"/>
      <c r="E2268" s="68" t="s">
        <v>9296</v>
      </c>
      <c r="F2268" s="83">
        <v>41277.0</v>
      </c>
      <c r="G2268" s="68" t="s">
        <v>9297</v>
      </c>
      <c r="H2268" s="71"/>
      <c r="I2268" s="71"/>
      <c r="J2268" s="68" t="s">
        <v>9298</v>
      </c>
      <c r="K2268" s="71"/>
      <c r="L2268" s="71"/>
      <c r="M2268" s="71"/>
      <c r="N2268" s="61"/>
      <c r="O2268" s="51"/>
    </row>
    <row r="2269">
      <c r="A2269" s="56">
        <v>2266.0</v>
      </c>
      <c r="B2269" s="71"/>
      <c r="C2269" s="69" t="s">
        <v>9299</v>
      </c>
      <c r="D2269" s="71"/>
      <c r="E2269" s="68" t="s">
        <v>9300</v>
      </c>
      <c r="F2269" s="83">
        <v>41277.0</v>
      </c>
      <c r="G2269" s="68" t="s">
        <v>9297</v>
      </c>
      <c r="H2269" s="71"/>
      <c r="I2269" s="68" t="s">
        <v>635</v>
      </c>
      <c r="J2269" s="68" t="s">
        <v>9298</v>
      </c>
      <c r="K2269" s="71"/>
      <c r="L2269" s="71"/>
      <c r="M2269" s="71"/>
      <c r="N2269" s="61"/>
      <c r="O2269" s="51"/>
    </row>
    <row r="2270">
      <c r="A2270" s="56">
        <v>2267.0</v>
      </c>
      <c r="B2270" s="71"/>
      <c r="C2270" s="69" t="s">
        <v>9301</v>
      </c>
      <c r="D2270" s="71"/>
      <c r="E2270" s="68" t="s">
        <v>9302</v>
      </c>
      <c r="F2270" s="68">
        <v>2008.0</v>
      </c>
      <c r="G2270" s="68" t="s">
        <v>9303</v>
      </c>
      <c r="H2270" s="71"/>
      <c r="I2270" s="68" t="s">
        <v>9304</v>
      </c>
      <c r="J2270" s="68" t="s">
        <v>9305</v>
      </c>
      <c r="K2270" s="71"/>
      <c r="L2270" s="71"/>
      <c r="M2270" s="68" t="s">
        <v>530</v>
      </c>
      <c r="N2270" s="77"/>
      <c r="O2270" s="51"/>
    </row>
    <row r="2271">
      <c r="A2271" s="56">
        <v>2268.0</v>
      </c>
      <c r="B2271" s="66"/>
      <c r="C2271" s="64" t="s">
        <v>9306</v>
      </c>
      <c r="D2271" s="66"/>
      <c r="E2271" s="63" t="s">
        <v>9307</v>
      </c>
      <c r="F2271" s="70">
        <v>39965.0</v>
      </c>
      <c r="G2271" s="80" t="s">
        <v>9308</v>
      </c>
      <c r="H2271" s="82"/>
      <c r="I2271" s="63" t="s">
        <v>9309</v>
      </c>
      <c r="J2271" s="63" t="s">
        <v>5679</v>
      </c>
      <c r="K2271" s="66"/>
      <c r="L2271" s="66"/>
      <c r="M2271" s="63" t="s">
        <v>530</v>
      </c>
      <c r="N2271" s="61"/>
      <c r="O2271" s="51"/>
    </row>
    <row r="2272">
      <c r="A2272" s="75">
        <v>2269.0</v>
      </c>
      <c r="B2272" s="71"/>
      <c r="C2272" s="69" t="s">
        <v>9310</v>
      </c>
      <c r="D2272" s="71"/>
      <c r="E2272" s="68" t="s">
        <v>9311</v>
      </c>
      <c r="F2272" s="68">
        <v>2012.0</v>
      </c>
      <c r="G2272" s="68" t="s">
        <v>9312</v>
      </c>
      <c r="H2272" s="71"/>
      <c r="I2272" s="68" t="s">
        <v>9313</v>
      </c>
      <c r="J2272" s="68" t="s">
        <v>8147</v>
      </c>
      <c r="K2272" s="71"/>
      <c r="L2272" s="71"/>
      <c r="M2272" s="68" t="s">
        <v>530</v>
      </c>
      <c r="N2272" s="77"/>
      <c r="O2272" s="51"/>
    </row>
    <row r="2273">
      <c r="A2273" s="56">
        <v>2270.0</v>
      </c>
      <c r="B2273" s="66"/>
      <c r="C2273" s="64" t="s">
        <v>9314</v>
      </c>
      <c r="D2273" s="66"/>
      <c r="E2273" s="63" t="s">
        <v>9315</v>
      </c>
      <c r="F2273" s="65">
        <v>40011.0</v>
      </c>
      <c r="G2273" s="80" t="s">
        <v>9316</v>
      </c>
      <c r="H2273" s="82"/>
      <c r="I2273" s="63" t="s">
        <v>9317</v>
      </c>
      <c r="J2273" s="63" t="s">
        <v>6055</v>
      </c>
      <c r="K2273" s="66"/>
      <c r="L2273" s="66"/>
      <c r="M2273" s="63" t="s">
        <v>530</v>
      </c>
      <c r="N2273" s="61"/>
      <c r="O2273" s="51"/>
    </row>
    <row r="2274">
      <c r="A2274" s="56">
        <v>2271.0</v>
      </c>
      <c r="B2274" s="60"/>
      <c r="C2274" s="58" t="s">
        <v>9318</v>
      </c>
      <c r="D2274" s="60"/>
      <c r="E2274" s="57" t="s">
        <v>9319</v>
      </c>
      <c r="F2274" s="60"/>
      <c r="G2274" s="57" t="s">
        <v>9320</v>
      </c>
      <c r="H2274" s="60"/>
      <c r="I2274" s="63" t="s">
        <v>635</v>
      </c>
      <c r="J2274" s="57" t="s">
        <v>9321</v>
      </c>
      <c r="K2274" s="60"/>
      <c r="L2274" s="60"/>
      <c r="M2274" s="60"/>
      <c r="N2274" s="61"/>
      <c r="O2274" s="51"/>
    </row>
    <row r="2275">
      <c r="A2275" s="56">
        <v>2272.0</v>
      </c>
      <c r="B2275" s="71"/>
      <c r="C2275" s="69" t="s">
        <v>9322</v>
      </c>
      <c r="D2275" s="71"/>
      <c r="E2275" s="68" t="s">
        <v>9323</v>
      </c>
      <c r="F2275" s="83">
        <v>41791.0</v>
      </c>
      <c r="G2275" s="68" t="s">
        <v>9324</v>
      </c>
      <c r="H2275" s="71"/>
      <c r="I2275" s="63" t="s">
        <v>9325</v>
      </c>
      <c r="J2275" s="68" t="s">
        <v>296</v>
      </c>
      <c r="K2275" s="71"/>
      <c r="L2275" s="71"/>
      <c r="M2275" s="68" t="s">
        <v>40</v>
      </c>
      <c r="N2275" s="61"/>
      <c r="O2275" s="51"/>
    </row>
    <row r="2276">
      <c r="A2276" s="56">
        <v>2273.0</v>
      </c>
      <c r="B2276" s="71"/>
      <c r="C2276" s="69" t="s">
        <v>9326</v>
      </c>
      <c r="D2276" s="71"/>
      <c r="E2276" s="68" t="s">
        <v>9327</v>
      </c>
      <c r="F2276" s="83">
        <v>41390.0</v>
      </c>
      <c r="G2276" s="68" t="s">
        <v>9328</v>
      </c>
      <c r="H2276" s="71"/>
      <c r="I2276" s="63" t="s">
        <v>9329</v>
      </c>
      <c r="J2276" s="68" t="s">
        <v>9330</v>
      </c>
      <c r="K2276" s="71"/>
      <c r="L2276" s="71"/>
      <c r="M2276" s="71"/>
      <c r="N2276" s="61"/>
      <c r="O2276" s="51"/>
    </row>
    <row r="2277">
      <c r="A2277" s="56">
        <v>2274.0</v>
      </c>
      <c r="B2277" s="60"/>
      <c r="C2277" s="58" t="s">
        <v>9331</v>
      </c>
      <c r="D2277" s="60"/>
      <c r="E2277" s="57" t="s">
        <v>9332</v>
      </c>
      <c r="F2277" s="78">
        <v>41910.0</v>
      </c>
      <c r="G2277" s="57" t="s">
        <v>9333</v>
      </c>
      <c r="H2277" s="60"/>
      <c r="I2277" s="63" t="s">
        <v>635</v>
      </c>
      <c r="J2277" s="57" t="s">
        <v>9334</v>
      </c>
      <c r="K2277" s="60"/>
      <c r="L2277" s="60"/>
      <c r="M2277" s="104"/>
      <c r="N2277" s="105"/>
      <c r="O2277" s="51"/>
    </row>
    <row r="2278">
      <c r="A2278" s="56">
        <v>2275.0</v>
      </c>
      <c r="B2278" s="71"/>
      <c r="C2278" s="69" t="s">
        <v>9335</v>
      </c>
      <c r="D2278" s="68" t="s">
        <v>9336</v>
      </c>
      <c r="E2278" s="68" t="s">
        <v>9337</v>
      </c>
      <c r="F2278" s="83">
        <v>41312.0</v>
      </c>
      <c r="G2278" s="68" t="s">
        <v>9338</v>
      </c>
      <c r="H2278" s="71"/>
      <c r="I2278" s="68" t="s">
        <v>9339</v>
      </c>
      <c r="J2278" s="68" t="s">
        <v>9340</v>
      </c>
      <c r="K2278" s="71"/>
      <c r="L2278" s="104"/>
      <c r="M2278" s="206"/>
      <c r="N2278" s="61"/>
      <c r="O2278" s="51"/>
    </row>
    <row r="2279">
      <c r="A2279" s="56">
        <v>2276.0</v>
      </c>
      <c r="B2279" s="71"/>
      <c r="C2279" s="69" t="s">
        <v>9341</v>
      </c>
      <c r="D2279" s="68" t="s">
        <v>9342</v>
      </c>
      <c r="E2279" s="68" t="s">
        <v>9343</v>
      </c>
      <c r="F2279" s="83">
        <v>41606.0</v>
      </c>
      <c r="G2279" s="68" t="s">
        <v>9344</v>
      </c>
      <c r="H2279" s="71"/>
      <c r="I2279" s="68" t="s">
        <v>9345</v>
      </c>
      <c r="J2279" s="68" t="s">
        <v>9346</v>
      </c>
      <c r="K2279" s="71"/>
      <c r="L2279" s="111"/>
      <c r="M2279" s="68" t="s">
        <v>166</v>
      </c>
      <c r="N2279" s="61"/>
      <c r="O2279" s="51"/>
    </row>
    <row r="2280">
      <c r="A2280" s="56">
        <v>2277.0</v>
      </c>
      <c r="B2280" s="71"/>
      <c r="C2280" s="69" t="s">
        <v>9347</v>
      </c>
      <c r="D2280" s="71"/>
      <c r="E2280" s="68" t="s">
        <v>9348</v>
      </c>
      <c r="F2280" s="68">
        <v>2010.0</v>
      </c>
      <c r="G2280" s="68" t="s">
        <v>9349</v>
      </c>
      <c r="H2280" s="71"/>
      <c r="I2280" s="68" t="s">
        <v>9350</v>
      </c>
      <c r="J2280" s="68" t="s">
        <v>9351</v>
      </c>
      <c r="K2280" s="71"/>
      <c r="L2280" s="71"/>
      <c r="M2280" s="71"/>
      <c r="N2280" s="61"/>
      <c r="O2280" s="51"/>
    </row>
    <row r="2281">
      <c r="A2281" s="56">
        <v>2278.0</v>
      </c>
      <c r="B2281" s="66"/>
      <c r="C2281" s="64" t="s">
        <v>9352</v>
      </c>
      <c r="D2281" s="66"/>
      <c r="E2281" s="63" t="s">
        <v>9353</v>
      </c>
      <c r="F2281" s="63">
        <v>2012.0</v>
      </c>
      <c r="G2281" s="80" t="s">
        <v>9354</v>
      </c>
      <c r="H2281" s="82"/>
      <c r="I2281" s="63" t="s">
        <v>9355</v>
      </c>
      <c r="J2281" s="63" t="s">
        <v>7988</v>
      </c>
      <c r="K2281" s="66"/>
      <c r="L2281" s="66"/>
      <c r="M2281" s="63" t="s">
        <v>530</v>
      </c>
      <c r="N2281" s="61"/>
      <c r="O2281" s="51"/>
    </row>
    <row r="2282">
      <c r="A2282" s="56">
        <v>2279.0</v>
      </c>
      <c r="B2282" s="60"/>
      <c r="C2282" s="58" t="s">
        <v>9356</v>
      </c>
      <c r="D2282" s="60"/>
      <c r="E2282" s="57" t="s">
        <v>9357</v>
      </c>
      <c r="F2282" s="78">
        <v>40065.0</v>
      </c>
      <c r="G2282" s="57" t="s">
        <v>9358</v>
      </c>
      <c r="H2282" s="60"/>
      <c r="I2282" s="63" t="s">
        <v>635</v>
      </c>
      <c r="J2282" s="57" t="s">
        <v>9359</v>
      </c>
      <c r="K2282" s="60"/>
      <c r="L2282" s="60"/>
      <c r="M2282" s="60"/>
      <c r="N2282" s="61"/>
      <c r="O2282" s="51"/>
    </row>
    <row r="2283">
      <c r="A2283" s="56">
        <v>2280.0</v>
      </c>
      <c r="B2283" s="71"/>
      <c r="C2283" s="69" t="s">
        <v>9360</v>
      </c>
      <c r="D2283" s="71"/>
      <c r="E2283" s="68" t="s">
        <v>9361</v>
      </c>
      <c r="F2283" s="83">
        <v>40221.0</v>
      </c>
      <c r="G2283" s="68" t="s">
        <v>9362</v>
      </c>
      <c r="H2283" s="71"/>
      <c r="I2283" s="68" t="s">
        <v>635</v>
      </c>
      <c r="J2283" s="68" t="s">
        <v>9363</v>
      </c>
      <c r="K2283" s="71"/>
      <c r="L2283" s="71"/>
      <c r="M2283" s="71"/>
      <c r="N2283" s="61"/>
      <c r="O2283" s="51"/>
    </row>
    <row r="2284">
      <c r="A2284" s="56">
        <v>2281.0</v>
      </c>
      <c r="B2284" s="60"/>
      <c r="C2284" s="58" t="s">
        <v>9364</v>
      </c>
      <c r="D2284" s="60"/>
      <c r="E2284" s="57" t="s">
        <v>9365</v>
      </c>
      <c r="F2284" s="78">
        <v>41054.0</v>
      </c>
      <c r="G2284" s="57" t="s">
        <v>9366</v>
      </c>
      <c r="H2284" s="60"/>
      <c r="I2284" s="63" t="s">
        <v>635</v>
      </c>
      <c r="J2284" s="57" t="s">
        <v>9367</v>
      </c>
      <c r="K2284" s="60"/>
      <c r="L2284" s="60"/>
      <c r="M2284" s="60"/>
      <c r="N2284" s="61"/>
      <c r="O2284" s="51"/>
    </row>
    <row r="2285">
      <c r="A2285" s="56">
        <v>2282.0</v>
      </c>
      <c r="B2285" s="60"/>
      <c r="C2285" s="58" t="s">
        <v>9368</v>
      </c>
      <c r="D2285" s="60"/>
      <c r="E2285" s="57" t="s">
        <v>9369</v>
      </c>
      <c r="F2285" s="78">
        <v>40064.0</v>
      </c>
      <c r="G2285" s="57" t="s">
        <v>9370</v>
      </c>
      <c r="H2285" s="57" t="s">
        <v>9371</v>
      </c>
      <c r="I2285" s="63" t="s">
        <v>635</v>
      </c>
      <c r="J2285" s="57" t="s">
        <v>9372</v>
      </c>
      <c r="K2285" s="60"/>
      <c r="L2285" s="60"/>
      <c r="M2285" s="60"/>
      <c r="N2285" s="61"/>
      <c r="O2285" s="51"/>
    </row>
    <row r="2286">
      <c r="A2286" s="56">
        <v>2283.0</v>
      </c>
      <c r="B2286" s="60"/>
      <c r="C2286" s="58" t="s">
        <v>9373</v>
      </c>
      <c r="D2286" s="60"/>
      <c r="E2286" s="57" t="s">
        <v>9374</v>
      </c>
      <c r="F2286" s="57">
        <v>2010.0</v>
      </c>
      <c r="G2286" s="57" t="s">
        <v>9375</v>
      </c>
      <c r="H2286" s="60"/>
      <c r="I2286" s="63" t="s">
        <v>9376</v>
      </c>
      <c r="J2286" s="57" t="s">
        <v>9377</v>
      </c>
      <c r="K2286" s="60"/>
      <c r="L2286" s="60"/>
      <c r="M2286" s="60"/>
      <c r="N2286" s="61"/>
      <c r="O2286" s="51"/>
    </row>
    <row r="2287">
      <c r="A2287" s="56">
        <v>2284.0</v>
      </c>
      <c r="B2287" s="60"/>
      <c r="C2287" s="58" t="s">
        <v>9378</v>
      </c>
      <c r="D2287" s="60"/>
      <c r="E2287" s="57" t="s">
        <v>9379</v>
      </c>
      <c r="F2287" s="78">
        <v>41509.0</v>
      </c>
      <c r="G2287" s="57" t="s">
        <v>9380</v>
      </c>
      <c r="H2287" s="60"/>
      <c r="I2287" s="63" t="s">
        <v>9381</v>
      </c>
      <c r="J2287" s="57" t="s">
        <v>9382</v>
      </c>
      <c r="K2287" s="60"/>
      <c r="L2287" s="60"/>
      <c r="M2287" s="60"/>
      <c r="N2287" s="61"/>
      <c r="O2287" s="51"/>
    </row>
    <row r="2288">
      <c r="A2288" s="56">
        <v>2285.0</v>
      </c>
      <c r="B2288" s="60"/>
      <c r="C2288" s="58" t="s">
        <v>9383</v>
      </c>
      <c r="D2288" s="60"/>
      <c r="E2288" s="57" t="s">
        <v>9384</v>
      </c>
      <c r="F2288" s="78">
        <v>40981.0</v>
      </c>
      <c r="G2288" s="57" t="s">
        <v>9354</v>
      </c>
      <c r="H2288" s="60"/>
      <c r="I2288" s="66"/>
      <c r="J2288" s="57" t="s">
        <v>622</v>
      </c>
      <c r="K2288" s="60"/>
      <c r="L2288" s="57" t="s">
        <v>2743</v>
      </c>
      <c r="M2288" s="57" t="s">
        <v>166</v>
      </c>
      <c r="N2288" s="61"/>
      <c r="O2288" s="51"/>
    </row>
    <row r="2289">
      <c r="A2289" s="56">
        <v>2286.0</v>
      </c>
      <c r="B2289" s="60"/>
      <c r="C2289" s="58" t="s">
        <v>9385</v>
      </c>
      <c r="D2289" s="60"/>
      <c r="E2289" s="57" t="s">
        <v>9386</v>
      </c>
      <c r="F2289" s="78">
        <v>41285.0</v>
      </c>
      <c r="G2289" s="57" t="s">
        <v>9387</v>
      </c>
      <c r="H2289" s="60"/>
      <c r="I2289" s="63" t="s">
        <v>635</v>
      </c>
      <c r="J2289" s="57" t="s">
        <v>9388</v>
      </c>
      <c r="K2289" s="60"/>
      <c r="L2289" s="60"/>
      <c r="M2289" s="60"/>
      <c r="N2289" s="61"/>
      <c r="O2289" s="51"/>
    </row>
    <row r="2290">
      <c r="A2290" s="56">
        <v>2287.0</v>
      </c>
      <c r="B2290" s="60"/>
      <c r="C2290" s="58" t="s">
        <v>9389</v>
      </c>
      <c r="D2290" s="60"/>
      <c r="E2290" s="57" t="s">
        <v>9390</v>
      </c>
      <c r="F2290" s="78">
        <v>41394.0</v>
      </c>
      <c r="G2290" s="57" t="s">
        <v>9391</v>
      </c>
      <c r="H2290" s="60"/>
      <c r="I2290" s="63" t="s">
        <v>9392</v>
      </c>
      <c r="J2290" s="57" t="s">
        <v>9393</v>
      </c>
      <c r="K2290" s="60"/>
      <c r="L2290" s="60"/>
      <c r="M2290" s="60"/>
      <c r="N2290" s="61"/>
      <c r="O2290" s="51"/>
    </row>
    <row r="2291">
      <c r="A2291" s="56">
        <v>2288.0</v>
      </c>
      <c r="B2291" s="71"/>
      <c r="C2291" s="69" t="s">
        <v>9394</v>
      </c>
      <c r="D2291" s="71"/>
      <c r="E2291" s="68" t="s">
        <v>9395</v>
      </c>
      <c r="F2291" s="83">
        <v>41820.0</v>
      </c>
      <c r="G2291" s="68" t="s">
        <v>9396</v>
      </c>
      <c r="H2291" s="71"/>
      <c r="I2291" s="63" t="s">
        <v>9397</v>
      </c>
      <c r="J2291" s="68" t="s">
        <v>9398</v>
      </c>
      <c r="K2291" s="71"/>
      <c r="L2291" s="71"/>
      <c r="M2291" s="71"/>
      <c r="N2291" s="61"/>
      <c r="O2291" s="51"/>
    </row>
    <row r="2292">
      <c r="A2292" s="56">
        <v>2289.0</v>
      </c>
      <c r="B2292" s="66"/>
      <c r="C2292" s="64" t="s">
        <v>9399</v>
      </c>
      <c r="D2292" s="66"/>
      <c r="E2292" s="63" t="s">
        <v>9400</v>
      </c>
      <c r="F2292" s="65">
        <v>41914.0</v>
      </c>
      <c r="G2292" s="80" t="s">
        <v>9401</v>
      </c>
      <c r="H2292" s="82"/>
      <c r="I2292" s="63" t="s">
        <v>9402</v>
      </c>
      <c r="J2292" s="63" t="s">
        <v>9403</v>
      </c>
      <c r="K2292" s="66"/>
      <c r="L2292" s="66"/>
      <c r="M2292" s="63" t="s">
        <v>125</v>
      </c>
      <c r="N2292" s="61"/>
      <c r="O2292" s="51"/>
    </row>
    <row r="2293">
      <c r="A2293" s="56">
        <v>2290.0</v>
      </c>
      <c r="B2293" s="66"/>
      <c r="C2293" s="64" t="s">
        <v>9404</v>
      </c>
      <c r="D2293" s="66"/>
      <c r="E2293" s="63" t="s">
        <v>9405</v>
      </c>
      <c r="F2293" s="65">
        <v>40643.0</v>
      </c>
      <c r="G2293" s="80" t="s">
        <v>9406</v>
      </c>
      <c r="H2293" s="80" t="s">
        <v>9407</v>
      </c>
      <c r="I2293" s="63" t="s">
        <v>9408</v>
      </c>
      <c r="J2293" s="63" t="s">
        <v>7988</v>
      </c>
      <c r="K2293" s="66"/>
      <c r="L2293" s="66"/>
      <c r="M2293" s="63" t="s">
        <v>530</v>
      </c>
      <c r="N2293" s="61"/>
      <c r="O2293" s="51"/>
    </row>
    <row r="2294">
      <c r="A2294" s="56">
        <v>2291.0</v>
      </c>
      <c r="B2294" s="60"/>
      <c r="C2294" s="58" t="s">
        <v>9409</v>
      </c>
      <c r="D2294" s="60"/>
      <c r="E2294" s="57" t="s">
        <v>9410</v>
      </c>
      <c r="F2294" s="78">
        <v>41228.0</v>
      </c>
      <c r="G2294" s="57" t="s">
        <v>9406</v>
      </c>
      <c r="H2294" s="57" t="s">
        <v>9411</v>
      </c>
      <c r="I2294" s="63" t="s">
        <v>9408</v>
      </c>
      <c r="J2294" s="57" t="s">
        <v>3028</v>
      </c>
      <c r="K2294" s="60"/>
      <c r="L2294" s="60"/>
      <c r="M2294" s="60"/>
      <c r="N2294" s="61"/>
      <c r="O2294" s="51"/>
    </row>
    <row r="2295">
      <c r="A2295" s="56">
        <v>2292.0</v>
      </c>
      <c r="B2295" s="66"/>
      <c r="C2295" s="64" t="s">
        <v>9412</v>
      </c>
      <c r="D2295" s="66"/>
      <c r="E2295" s="63" t="s">
        <v>9413</v>
      </c>
      <c r="F2295" s="65">
        <v>41228.0</v>
      </c>
      <c r="G2295" s="80" t="s">
        <v>9406</v>
      </c>
      <c r="H2295" s="80" t="s">
        <v>439</v>
      </c>
      <c r="I2295" s="63" t="s">
        <v>9408</v>
      </c>
      <c r="J2295" s="63" t="s">
        <v>7988</v>
      </c>
      <c r="K2295" s="66"/>
      <c r="L2295" s="66"/>
      <c r="M2295" s="63" t="s">
        <v>530</v>
      </c>
      <c r="N2295" s="61"/>
      <c r="O2295" s="51"/>
    </row>
    <row r="2296">
      <c r="A2296" s="56">
        <v>2293.0</v>
      </c>
      <c r="B2296" s="60"/>
      <c r="C2296" s="58" t="s">
        <v>9414</v>
      </c>
      <c r="D2296" s="57" t="s">
        <v>9415</v>
      </c>
      <c r="E2296" s="57" t="s">
        <v>9416</v>
      </c>
      <c r="F2296" s="78">
        <v>41275.0</v>
      </c>
      <c r="G2296" s="57" t="s">
        <v>9417</v>
      </c>
      <c r="H2296" s="60"/>
      <c r="I2296" s="63" t="s">
        <v>635</v>
      </c>
      <c r="J2296" s="57" t="s">
        <v>2675</v>
      </c>
      <c r="K2296" s="60"/>
      <c r="L2296" s="60"/>
      <c r="M2296" s="60"/>
      <c r="N2296" s="61"/>
      <c r="O2296" s="51"/>
    </row>
    <row r="2297">
      <c r="A2297" s="56">
        <v>2294.0</v>
      </c>
      <c r="B2297" s="71"/>
      <c r="C2297" s="69" t="s">
        <v>9418</v>
      </c>
      <c r="D2297" s="68" t="s">
        <v>9419</v>
      </c>
      <c r="E2297" s="68" t="s">
        <v>9420</v>
      </c>
      <c r="F2297" s="83">
        <v>41661.0</v>
      </c>
      <c r="G2297" s="68" t="s">
        <v>9421</v>
      </c>
      <c r="H2297" s="71"/>
      <c r="I2297" s="66"/>
      <c r="J2297" s="68" t="s">
        <v>2675</v>
      </c>
      <c r="K2297" s="71"/>
      <c r="L2297" s="71"/>
      <c r="M2297" s="71"/>
      <c r="N2297" s="61"/>
      <c r="O2297" s="51"/>
    </row>
    <row r="2298">
      <c r="A2298" s="56">
        <v>2295.0</v>
      </c>
      <c r="B2298" s="71"/>
      <c r="C2298" s="69" t="s">
        <v>9422</v>
      </c>
      <c r="D2298" s="68" t="s">
        <v>9423</v>
      </c>
      <c r="E2298" s="68" t="s">
        <v>9424</v>
      </c>
      <c r="F2298" s="83">
        <v>41260.0</v>
      </c>
      <c r="G2298" s="68" t="s">
        <v>9425</v>
      </c>
      <c r="H2298" s="71"/>
      <c r="I2298" s="68" t="s">
        <v>635</v>
      </c>
      <c r="J2298" s="68" t="s">
        <v>9426</v>
      </c>
      <c r="K2298" s="71"/>
      <c r="L2298" s="71"/>
      <c r="M2298" s="71"/>
      <c r="N2298" s="61"/>
      <c r="O2298" s="51"/>
    </row>
    <row r="2299">
      <c r="A2299" s="56">
        <v>2296.0</v>
      </c>
      <c r="B2299" s="60"/>
      <c r="C2299" s="58" t="s">
        <v>9427</v>
      </c>
      <c r="D2299" s="57" t="s">
        <v>9428</v>
      </c>
      <c r="E2299" s="57" t="s">
        <v>9429</v>
      </c>
      <c r="F2299" s="57">
        <v>2011.0</v>
      </c>
      <c r="G2299" s="57" t="s">
        <v>9430</v>
      </c>
      <c r="H2299" s="60"/>
      <c r="I2299" s="63" t="s">
        <v>635</v>
      </c>
      <c r="J2299" s="57" t="s">
        <v>9431</v>
      </c>
      <c r="K2299" s="60"/>
      <c r="L2299" s="60"/>
      <c r="M2299" s="60"/>
      <c r="N2299" s="61"/>
      <c r="O2299" s="51"/>
    </row>
    <row r="2300">
      <c r="A2300" s="56">
        <v>2297.0</v>
      </c>
      <c r="B2300" s="60"/>
      <c r="C2300" s="58" t="s">
        <v>9432</v>
      </c>
      <c r="D2300" s="57" t="s">
        <v>9428</v>
      </c>
      <c r="E2300" s="57" t="s">
        <v>9433</v>
      </c>
      <c r="F2300" s="57">
        <v>2011.0</v>
      </c>
      <c r="G2300" s="57" t="s">
        <v>9430</v>
      </c>
      <c r="H2300" s="60"/>
      <c r="I2300" s="63" t="s">
        <v>635</v>
      </c>
      <c r="J2300" s="57" t="s">
        <v>9431</v>
      </c>
      <c r="K2300" s="60"/>
      <c r="L2300" s="60"/>
      <c r="M2300" s="60"/>
      <c r="N2300" s="61"/>
      <c r="O2300" s="51"/>
    </row>
    <row r="2301">
      <c r="A2301" s="56">
        <v>2298.0</v>
      </c>
      <c r="B2301" s="60"/>
      <c r="C2301" s="58" t="s">
        <v>9434</v>
      </c>
      <c r="D2301" s="57" t="s">
        <v>9435</v>
      </c>
      <c r="E2301" s="57" t="s">
        <v>9436</v>
      </c>
      <c r="F2301" s="60"/>
      <c r="G2301" s="57" t="s">
        <v>9437</v>
      </c>
      <c r="H2301" s="60"/>
      <c r="I2301" s="63" t="s">
        <v>635</v>
      </c>
      <c r="J2301" s="57" t="s">
        <v>9438</v>
      </c>
      <c r="K2301" s="60"/>
      <c r="L2301" s="60"/>
      <c r="M2301" s="60"/>
      <c r="N2301" s="61"/>
      <c r="O2301" s="51"/>
    </row>
    <row r="2302">
      <c r="A2302" s="56">
        <v>2299.0</v>
      </c>
      <c r="B2302" s="66"/>
      <c r="C2302" s="64" t="s">
        <v>9439</v>
      </c>
      <c r="D2302" s="63" t="s">
        <v>9440</v>
      </c>
      <c r="E2302" s="63" t="s">
        <v>9441</v>
      </c>
      <c r="F2302" s="65">
        <v>40057.0</v>
      </c>
      <c r="G2302" s="80" t="s">
        <v>9442</v>
      </c>
      <c r="H2302" s="82"/>
      <c r="I2302" s="63" t="s">
        <v>9443</v>
      </c>
      <c r="J2302" s="63" t="s">
        <v>6055</v>
      </c>
      <c r="K2302" s="66"/>
      <c r="L2302" s="66"/>
      <c r="M2302" s="66"/>
      <c r="N2302" s="61"/>
      <c r="O2302" s="51"/>
    </row>
    <row r="2303">
      <c r="A2303" s="56">
        <v>2300.0</v>
      </c>
      <c r="B2303" s="60"/>
      <c r="C2303" s="58" t="s">
        <v>9444</v>
      </c>
      <c r="D2303" s="57" t="s">
        <v>9445</v>
      </c>
      <c r="E2303" s="57" t="s">
        <v>9446</v>
      </c>
      <c r="F2303" s="60"/>
      <c r="G2303" s="57" t="s">
        <v>9447</v>
      </c>
      <c r="H2303" s="60"/>
      <c r="I2303" s="63" t="s">
        <v>635</v>
      </c>
      <c r="J2303" s="57" t="s">
        <v>9448</v>
      </c>
      <c r="K2303" s="60"/>
      <c r="L2303" s="60"/>
      <c r="M2303" s="60"/>
      <c r="N2303" s="61"/>
      <c r="O2303" s="51"/>
    </row>
    <row r="2304">
      <c r="A2304" s="207">
        <v>2301.0</v>
      </c>
      <c r="B2304" s="71"/>
      <c r="C2304" s="69" t="s">
        <v>9449</v>
      </c>
      <c r="D2304" s="68" t="s">
        <v>9450</v>
      </c>
      <c r="E2304" s="68" t="s">
        <v>9451</v>
      </c>
      <c r="F2304" s="71"/>
      <c r="G2304" s="68" t="s">
        <v>9452</v>
      </c>
      <c r="H2304" s="71"/>
      <c r="I2304" s="68" t="s">
        <v>9453</v>
      </c>
      <c r="J2304" s="68" t="s">
        <v>9454</v>
      </c>
      <c r="K2304" s="71"/>
      <c r="L2304" s="71"/>
      <c r="M2304" s="71"/>
      <c r="N2304" s="71"/>
      <c r="O2304" s="51"/>
    </row>
    <row r="2305">
      <c r="A2305" s="56">
        <v>2302.0</v>
      </c>
      <c r="B2305" s="71"/>
      <c r="C2305" s="69" t="s">
        <v>9455</v>
      </c>
      <c r="D2305" s="68" t="s">
        <v>9456</v>
      </c>
      <c r="E2305" s="68" t="s">
        <v>9457</v>
      </c>
      <c r="F2305" s="83">
        <v>41666.0</v>
      </c>
      <c r="G2305" s="68" t="s">
        <v>9458</v>
      </c>
      <c r="H2305" s="71"/>
      <c r="I2305" s="63" t="s">
        <v>635</v>
      </c>
      <c r="J2305" s="68" t="s">
        <v>9459</v>
      </c>
      <c r="K2305" s="71"/>
      <c r="L2305" s="71"/>
      <c r="M2305" s="71"/>
      <c r="N2305" s="61"/>
      <c r="O2305" s="51"/>
    </row>
    <row r="2306">
      <c r="A2306" s="56">
        <v>2303.0</v>
      </c>
      <c r="B2306" s="60"/>
      <c r="C2306" s="58" t="s">
        <v>9460</v>
      </c>
      <c r="D2306" s="57" t="s">
        <v>9461</v>
      </c>
      <c r="E2306" s="57" t="s">
        <v>9462</v>
      </c>
      <c r="F2306" s="78">
        <v>41662.0</v>
      </c>
      <c r="G2306" s="57" t="e">
        <v>#NAME?</v>
      </c>
      <c r="H2306" s="60"/>
      <c r="I2306" s="63" t="s">
        <v>635</v>
      </c>
      <c r="J2306" s="57" t="s">
        <v>9463</v>
      </c>
      <c r="K2306" s="60"/>
      <c r="L2306" s="60"/>
      <c r="M2306" s="104"/>
      <c r="N2306" s="105"/>
      <c r="O2306" s="51"/>
    </row>
    <row r="2307">
      <c r="A2307" s="56">
        <v>2304.0</v>
      </c>
      <c r="B2307" s="71"/>
      <c r="C2307" s="69" t="s">
        <v>9464</v>
      </c>
      <c r="D2307" s="68" t="s">
        <v>9465</v>
      </c>
      <c r="E2307" s="68" t="s">
        <v>9466</v>
      </c>
      <c r="F2307" s="83">
        <v>41585.0</v>
      </c>
      <c r="G2307" s="68" t="s">
        <v>9467</v>
      </c>
      <c r="H2307" s="71"/>
      <c r="I2307" s="63" t="s">
        <v>635</v>
      </c>
      <c r="J2307" s="68" t="s">
        <v>9468</v>
      </c>
      <c r="K2307" s="71"/>
      <c r="L2307" s="71"/>
      <c r="M2307" s="104"/>
      <c r="N2307" s="105"/>
      <c r="O2307" s="51"/>
    </row>
    <row r="2308">
      <c r="A2308" s="56">
        <v>2305.0</v>
      </c>
      <c r="B2308" s="71"/>
      <c r="C2308" s="69" t="s">
        <v>9469</v>
      </c>
      <c r="D2308" s="68" t="s">
        <v>9470</v>
      </c>
      <c r="E2308" s="68" t="s">
        <v>9471</v>
      </c>
      <c r="F2308" s="83">
        <v>41655.0</v>
      </c>
      <c r="G2308" s="68" t="s">
        <v>9472</v>
      </c>
      <c r="H2308" s="71"/>
      <c r="I2308" s="68" t="s">
        <v>635</v>
      </c>
      <c r="J2308" s="68" t="s">
        <v>9473</v>
      </c>
      <c r="K2308" s="71"/>
      <c r="L2308" s="71"/>
      <c r="M2308" s="111"/>
      <c r="N2308" s="77"/>
      <c r="O2308" s="51"/>
    </row>
    <row r="2309">
      <c r="A2309" s="56">
        <v>2306.0</v>
      </c>
      <c r="B2309" s="60"/>
      <c r="C2309" s="58" t="s">
        <v>9474</v>
      </c>
      <c r="D2309" s="57" t="s">
        <v>9475</v>
      </c>
      <c r="E2309" s="57" t="s">
        <v>9476</v>
      </c>
      <c r="F2309" s="78">
        <v>41199.0</v>
      </c>
      <c r="G2309" s="57" t="s">
        <v>9477</v>
      </c>
      <c r="H2309" s="60"/>
      <c r="I2309" s="63" t="s">
        <v>635</v>
      </c>
      <c r="J2309" s="57" t="s">
        <v>9478</v>
      </c>
      <c r="K2309" s="60"/>
      <c r="L2309" s="60"/>
      <c r="M2309" s="60"/>
      <c r="N2309" s="61"/>
      <c r="O2309" s="51"/>
    </row>
    <row r="2310">
      <c r="A2310" s="56">
        <v>2307.0</v>
      </c>
      <c r="B2310" s="71"/>
      <c r="C2310" s="69" t="s">
        <v>9479</v>
      </c>
      <c r="D2310" s="68" t="s">
        <v>9480</v>
      </c>
      <c r="E2310" s="68" t="s">
        <v>9481</v>
      </c>
      <c r="F2310" s="71"/>
      <c r="G2310" s="68" t="s">
        <v>9482</v>
      </c>
      <c r="H2310" s="71"/>
      <c r="I2310" s="68" t="s">
        <v>9258</v>
      </c>
      <c r="J2310" s="68" t="s">
        <v>9483</v>
      </c>
      <c r="K2310" s="71"/>
      <c r="L2310" s="71"/>
      <c r="M2310" s="68" t="s">
        <v>9260</v>
      </c>
      <c r="N2310" s="61"/>
      <c r="O2310" s="51"/>
    </row>
    <row r="2311">
      <c r="A2311" s="56">
        <v>2308.0</v>
      </c>
      <c r="B2311" s="71"/>
      <c r="C2311" s="69" t="s">
        <v>9484</v>
      </c>
      <c r="D2311" s="68" t="s">
        <v>9485</v>
      </c>
      <c r="E2311" s="68" t="s">
        <v>9486</v>
      </c>
      <c r="F2311" s="68">
        <v>2009.0</v>
      </c>
      <c r="G2311" s="68" t="s">
        <v>9487</v>
      </c>
      <c r="H2311" s="71"/>
      <c r="I2311" s="68" t="s">
        <v>9488</v>
      </c>
      <c r="J2311" s="68" t="s">
        <v>9489</v>
      </c>
      <c r="K2311" s="71"/>
      <c r="L2311" s="71"/>
      <c r="M2311" s="68" t="s">
        <v>125</v>
      </c>
      <c r="N2311" s="77"/>
      <c r="O2311" s="51"/>
    </row>
    <row r="2312">
      <c r="A2312" s="56">
        <v>2309.0</v>
      </c>
      <c r="B2312" s="66"/>
      <c r="C2312" s="64" t="s">
        <v>9490</v>
      </c>
      <c r="D2312" s="63" t="s">
        <v>9491</v>
      </c>
      <c r="E2312" s="63" t="s">
        <v>9492</v>
      </c>
      <c r="F2312" s="65">
        <v>41193.0</v>
      </c>
      <c r="G2312" s="80" t="s">
        <v>9493</v>
      </c>
      <c r="H2312" s="82"/>
      <c r="I2312" s="63" t="s">
        <v>635</v>
      </c>
      <c r="J2312" s="63" t="s">
        <v>6393</v>
      </c>
      <c r="K2312" s="71"/>
      <c r="L2312" s="66"/>
      <c r="M2312" s="63" t="s">
        <v>201</v>
      </c>
      <c r="N2312" s="61"/>
      <c r="O2312" s="51"/>
    </row>
    <row r="2313">
      <c r="A2313" s="56">
        <v>2310.0</v>
      </c>
      <c r="B2313" s="60"/>
      <c r="C2313" s="58" t="s">
        <v>9494</v>
      </c>
      <c r="D2313" s="57" t="s">
        <v>9495</v>
      </c>
      <c r="E2313" s="57" t="s">
        <v>9496</v>
      </c>
      <c r="F2313" s="208">
        <v>41153.0</v>
      </c>
      <c r="G2313" s="57" t="s">
        <v>9497</v>
      </c>
      <c r="H2313" s="60"/>
      <c r="I2313" s="63" t="s">
        <v>635</v>
      </c>
      <c r="J2313" s="57" t="s">
        <v>9498</v>
      </c>
      <c r="K2313" s="60"/>
      <c r="L2313" s="60"/>
      <c r="M2313" s="60"/>
      <c r="N2313" s="61"/>
      <c r="O2313" s="51"/>
    </row>
    <row r="2314">
      <c r="A2314" s="56">
        <v>2311.0</v>
      </c>
      <c r="B2314" s="60"/>
      <c r="C2314" s="58" t="s">
        <v>9499</v>
      </c>
      <c r="D2314" s="57" t="s">
        <v>9500</v>
      </c>
      <c r="E2314" s="57" t="s">
        <v>9501</v>
      </c>
      <c r="F2314" s="78">
        <v>40250.0</v>
      </c>
      <c r="G2314" s="57" t="s">
        <v>9502</v>
      </c>
      <c r="H2314" s="60"/>
      <c r="I2314" s="63" t="s">
        <v>635</v>
      </c>
      <c r="J2314" s="57" t="s">
        <v>9478</v>
      </c>
      <c r="K2314" s="60"/>
      <c r="L2314" s="60"/>
      <c r="M2314" s="60"/>
      <c r="N2314" s="61"/>
      <c r="O2314" s="51"/>
    </row>
    <row r="2315">
      <c r="A2315" s="56">
        <v>2312.0</v>
      </c>
      <c r="B2315" s="66"/>
      <c r="C2315" s="64" t="s">
        <v>9503</v>
      </c>
      <c r="D2315" s="63" t="s">
        <v>9504</v>
      </c>
      <c r="E2315" s="63" t="s">
        <v>9505</v>
      </c>
      <c r="F2315" s="63">
        <v>2007.0</v>
      </c>
      <c r="G2315" s="80" t="s">
        <v>9506</v>
      </c>
      <c r="H2315" s="82"/>
      <c r="I2315" s="63" t="s">
        <v>9507</v>
      </c>
      <c r="J2315" s="63" t="s">
        <v>6055</v>
      </c>
      <c r="K2315" s="66"/>
      <c r="L2315" s="66"/>
      <c r="M2315" s="63" t="s">
        <v>530</v>
      </c>
      <c r="N2315" s="61"/>
      <c r="O2315" s="51"/>
    </row>
    <row r="2316">
      <c r="A2316" s="56">
        <v>2313.0</v>
      </c>
      <c r="B2316" s="66"/>
      <c r="C2316" s="64" t="s">
        <v>9508</v>
      </c>
      <c r="D2316" s="63" t="s">
        <v>9509</v>
      </c>
      <c r="E2316" s="63" t="s">
        <v>9510</v>
      </c>
      <c r="F2316" s="65">
        <v>40191.0</v>
      </c>
      <c r="G2316" s="80" t="s">
        <v>9511</v>
      </c>
      <c r="H2316" s="80" t="s">
        <v>9512</v>
      </c>
      <c r="I2316" s="63" t="s">
        <v>9513</v>
      </c>
      <c r="J2316" s="63" t="s">
        <v>9514</v>
      </c>
      <c r="K2316" s="66"/>
      <c r="L2316" s="66"/>
      <c r="M2316" s="63" t="s">
        <v>282</v>
      </c>
      <c r="N2316" s="61"/>
      <c r="O2316" s="51"/>
    </row>
    <row r="2317">
      <c r="A2317" s="56">
        <v>2314.0</v>
      </c>
      <c r="B2317" s="66"/>
      <c r="C2317" s="64" t="s">
        <v>9515</v>
      </c>
      <c r="D2317" s="116"/>
      <c r="E2317" s="63" t="s">
        <v>9516</v>
      </c>
      <c r="F2317" s="65">
        <v>41970.0</v>
      </c>
      <c r="G2317" s="80" t="s">
        <v>9517</v>
      </c>
      <c r="H2317" s="80" t="s">
        <v>439</v>
      </c>
      <c r="I2317" s="63" t="s">
        <v>9518</v>
      </c>
      <c r="J2317" s="63" t="s">
        <v>7071</v>
      </c>
      <c r="K2317" s="66"/>
      <c r="L2317" s="66"/>
      <c r="M2317" s="63" t="s">
        <v>2152</v>
      </c>
      <c r="N2317" s="61"/>
      <c r="O2317" s="51"/>
    </row>
    <row r="2318">
      <c r="A2318" s="56">
        <v>2315.0</v>
      </c>
      <c r="B2318" s="66"/>
      <c r="C2318" s="64" t="s">
        <v>9519</v>
      </c>
      <c r="D2318" s="63" t="s">
        <v>9520</v>
      </c>
      <c r="E2318" s="63" t="s">
        <v>9521</v>
      </c>
      <c r="F2318" s="65">
        <v>41227.0</v>
      </c>
      <c r="G2318" s="80" t="s">
        <v>9522</v>
      </c>
      <c r="H2318" s="80" t="s">
        <v>439</v>
      </c>
      <c r="I2318" s="63" t="s">
        <v>9523</v>
      </c>
      <c r="J2318" s="63" t="s">
        <v>6393</v>
      </c>
      <c r="K2318" s="63" t="s">
        <v>9524</v>
      </c>
      <c r="L2318" s="66"/>
      <c r="M2318" s="63" t="s">
        <v>6395</v>
      </c>
      <c r="N2318" s="61"/>
      <c r="O2318" s="51"/>
    </row>
    <row r="2319">
      <c r="A2319" s="56">
        <v>2316.0</v>
      </c>
      <c r="B2319" s="66"/>
      <c r="C2319" s="64" t="s">
        <v>9525</v>
      </c>
      <c r="D2319" s="63" t="s">
        <v>9526</v>
      </c>
      <c r="E2319" s="63" t="s">
        <v>9527</v>
      </c>
      <c r="F2319" s="63">
        <v>2009.0</v>
      </c>
      <c r="G2319" s="80" t="s">
        <v>9528</v>
      </c>
      <c r="H2319" s="82"/>
      <c r="I2319" s="63" t="s">
        <v>9529</v>
      </c>
      <c r="J2319" s="63" t="s">
        <v>6055</v>
      </c>
      <c r="K2319" s="66"/>
      <c r="L2319" s="66"/>
      <c r="M2319" s="66"/>
      <c r="N2319" s="61"/>
      <c r="O2319" s="51"/>
    </row>
    <row r="2320">
      <c r="A2320" s="56">
        <v>2317.0</v>
      </c>
      <c r="B2320" s="71"/>
      <c r="C2320" s="69" t="s">
        <v>9530</v>
      </c>
      <c r="D2320" s="68" t="s">
        <v>9531</v>
      </c>
      <c r="E2320" s="68" t="s">
        <v>9532</v>
      </c>
      <c r="F2320" s="83">
        <v>41331.0</v>
      </c>
      <c r="G2320" s="68" t="s">
        <v>9533</v>
      </c>
      <c r="H2320" s="71"/>
      <c r="I2320" s="63" t="s">
        <v>9534</v>
      </c>
      <c r="J2320" s="68" t="s">
        <v>9535</v>
      </c>
      <c r="K2320" s="71"/>
      <c r="L2320" s="71"/>
      <c r="M2320" s="71"/>
      <c r="N2320" s="61"/>
      <c r="O2320" s="51"/>
    </row>
    <row r="2321">
      <c r="A2321" s="75">
        <v>2318.0</v>
      </c>
      <c r="B2321" s="71"/>
      <c r="C2321" s="69" t="s">
        <v>9536</v>
      </c>
      <c r="D2321" s="68" t="s">
        <v>9537</v>
      </c>
      <c r="E2321" s="68" t="s">
        <v>9538</v>
      </c>
      <c r="F2321" s="68">
        <v>2008.0</v>
      </c>
      <c r="G2321" s="68" t="s">
        <v>9539</v>
      </c>
      <c r="H2321" s="71"/>
      <c r="I2321" s="68" t="s">
        <v>9540</v>
      </c>
      <c r="J2321" s="68" t="s">
        <v>9541</v>
      </c>
      <c r="K2321" s="71"/>
      <c r="L2321" s="71"/>
      <c r="M2321" s="68" t="s">
        <v>9542</v>
      </c>
      <c r="N2321" s="77"/>
      <c r="O2321" s="51"/>
    </row>
    <row r="2322">
      <c r="A2322" s="56">
        <v>2319.0</v>
      </c>
      <c r="B2322" s="71"/>
      <c r="C2322" s="69" t="s">
        <v>9543</v>
      </c>
      <c r="D2322" s="68" t="s">
        <v>9544</v>
      </c>
      <c r="E2322" s="68" t="s">
        <v>9545</v>
      </c>
      <c r="F2322" s="76">
        <v>41695.0</v>
      </c>
      <c r="G2322" s="68" t="s">
        <v>9546</v>
      </c>
      <c r="H2322" s="71"/>
      <c r="I2322" s="63" t="s">
        <v>9547</v>
      </c>
      <c r="J2322" s="68" t="s">
        <v>9548</v>
      </c>
      <c r="K2322" s="71"/>
      <c r="L2322" s="71"/>
      <c r="M2322" s="71"/>
      <c r="N2322" s="61"/>
      <c r="O2322" s="51"/>
    </row>
    <row r="2323">
      <c r="A2323" s="56">
        <v>2320.0</v>
      </c>
      <c r="B2323" s="71"/>
      <c r="C2323" s="69" t="s">
        <v>9549</v>
      </c>
      <c r="D2323" s="71"/>
      <c r="E2323" s="68" t="s">
        <v>9550</v>
      </c>
      <c r="F2323" s="76">
        <v>41808.0</v>
      </c>
      <c r="G2323" s="68" t="s">
        <v>9551</v>
      </c>
      <c r="H2323" s="71"/>
      <c r="I2323" s="68" t="s">
        <v>635</v>
      </c>
      <c r="J2323" s="68" t="s">
        <v>9552</v>
      </c>
      <c r="K2323" s="71"/>
      <c r="L2323" s="71"/>
      <c r="M2323" s="71"/>
      <c r="N2323" s="77"/>
      <c r="O2323" s="51"/>
    </row>
    <row r="2324">
      <c r="A2324" s="56">
        <v>2321.0</v>
      </c>
      <c r="B2324" s="60"/>
      <c r="C2324" s="58" t="s">
        <v>9553</v>
      </c>
      <c r="D2324" s="60"/>
      <c r="E2324" s="57" t="s">
        <v>9554</v>
      </c>
      <c r="F2324" s="59">
        <v>41979.0</v>
      </c>
      <c r="G2324" s="57" t="s">
        <v>9555</v>
      </c>
      <c r="H2324" s="60"/>
      <c r="I2324" s="63" t="s">
        <v>9556</v>
      </c>
      <c r="J2324" s="57" t="s">
        <v>9557</v>
      </c>
      <c r="K2324" s="60"/>
      <c r="L2324" s="60"/>
      <c r="M2324" s="60"/>
      <c r="N2324" s="61"/>
      <c r="O2324" s="51"/>
    </row>
    <row r="2325">
      <c r="A2325" s="56">
        <v>2322.0</v>
      </c>
      <c r="B2325" s="60"/>
      <c r="C2325" s="58" t="s">
        <v>9558</v>
      </c>
      <c r="D2325" s="57" t="s">
        <v>9559</v>
      </c>
      <c r="E2325" s="57" t="s">
        <v>9560</v>
      </c>
      <c r="F2325" s="57" t="s">
        <v>9561</v>
      </c>
      <c r="G2325" s="57" t="s">
        <v>9562</v>
      </c>
      <c r="H2325" s="60"/>
      <c r="I2325" s="63" t="s">
        <v>9563</v>
      </c>
      <c r="J2325" s="57" t="s">
        <v>9564</v>
      </c>
      <c r="K2325" s="60"/>
      <c r="L2325" s="60"/>
      <c r="M2325" s="60"/>
      <c r="N2325" s="61"/>
      <c r="O2325" s="51"/>
    </row>
    <row r="2326">
      <c r="A2326" s="56">
        <v>2323.0</v>
      </c>
      <c r="B2326" s="71"/>
      <c r="C2326" s="69" t="s">
        <v>9565</v>
      </c>
      <c r="D2326" s="68" t="s">
        <v>9566</v>
      </c>
      <c r="E2326" s="68" t="s">
        <v>9567</v>
      </c>
      <c r="F2326" s="76">
        <v>41813.0</v>
      </c>
      <c r="G2326" s="68" t="s">
        <v>9568</v>
      </c>
      <c r="H2326" s="71"/>
      <c r="I2326" s="68" t="s">
        <v>635</v>
      </c>
      <c r="J2326" s="68" t="s">
        <v>9569</v>
      </c>
      <c r="K2326" s="71"/>
      <c r="L2326" s="71"/>
      <c r="M2326" s="71"/>
      <c r="N2326" s="77"/>
      <c r="O2326" s="51"/>
    </row>
    <row r="2327">
      <c r="A2327" s="56">
        <v>2324.0</v>
      </c>
      <c r="B2327" s="60"/>
      <c r="C2327" s="58" t="s">
        <v>9570</v>
      </c>
      <c r="D2327" s="57" t="s">
        <v>9571</v>
      </c>
      <c r="E2327" s="57" t="s">
        <v>9572</v>
      </c>
      <c r="F2327" s="59">
        <v>41885.0</v>
      </c>
      <c r="G2327" s="57" t="s">
        <v>9573</v>
      </c>
      <c r="H2327" s="60"/>
      <c r="I2327" s="63" t="s">
        <v>9574</v>
      </c>
      <c r="J2327" s="57" t="s">
        <v>9575</v>
      </c>
      <c r="K2327" s="60"/>
      <c r="L2327" s="60"/>
      <c r="M2327" s="60"/>
      <c r="N2327" s="61"/>
      <c r="O2327" s="51"/>
    </row>
    <row r="2328">
      <c r="A2328" s="56">
        <v>2325.0</v>
      </c>
      <c r="B2328" s="66"/>
      <c r="C2328" s="64" t="s">
        <v>9576</v>
      </c>
      <c r="D2328" s="66"/>
      <c r="E2328" s="63" t="s">
        <v>9577</v>
      </c>
      <c r="F2328" s="63">
        <v>2009.0</v>
      </c>
      <c r="G2328" s="80" t="s">
        <v>9578</v>
      </c>
      <c r="H2328" s="82"/>
      <c r="I2328" s="63" t="s">
        <v>9579</v>
      </c>
      <c r="J2328" s="63" t="s">
        <v>9580</v>
      </c>
      <c r="K2328" s="66"/>
      <c r="L2328" s="66"/>
      <c r="M2328" s="63" t="s">
        <v>530</v>
      </c>
      <c r="N2328" s="61"/>
      <c r="O2328" s="51"/>
    </row>
    <row r="2329">
      <c r="A2329" s="56">
        <v>2326.0</v>
      </c>
      <c r="B2329" s="71"/>
      <c r="C2329" s="69" t="s">
        <v>9581</v>
      </c>
      <c r="D2329" s="71"/>
      <c r="E2329" s="68" t="s">
        <v>9582</v>
      </c>
      <c r="F2329" s="68">
        <v>2009.0</v>
      </c>
      <c r="G2329" s="68" t="s">
        <v>9583</v>
      </c>
      <c r="H2329" s="71"/>
      <c r="I2329" s="63" t="s">
        <v>9579</v>
      </c>
      <c r="J2329" s="68" t="s">
        <v>1481</v>
      </c>
      <c r="K2329" s="71"/>
      <c r="L2329" s="71"/>
      <c r="M2329" s="71"/>
      <c r="N2329" s="61"/>
      <c r="O2329" s="51"/>
    </row>
    <row r="2330">
      <c r="A2330" s="56">
        <v>2327.0</v>
      </c>
      <c r="B2330" s="60"/>
      <c r="C2330" s="58" t="s">
        <v>9584</v>
      </c>
      <c r="D2330" s="60"/>
      <c r="E2330" s="57" t="s">
        <v>9585</v>
      </c>
      <c r="F2330" s="57">
        <v>2010.0</v>
      </c>
      <c r="G2330" s="57" t="s">
        <v>9586</v>
      </c>
      <c r="H2330" s="60"/>
      <c r="I2330" s="63" t="s">
        <v>635</v>
      </c>
      <c r="J2330" s="57" t="s">
        <v>9587</v>
      </c>
      <c r="K2330" s="60"/>
      <c r="L2330" s="60"/>
      <c r="M2330" s="60"/>
      <c r="N2330" s="61"/>
      <c r="O2330" s="51"/>
    </row>
    <row r="2331">
      <c r="A2331" s="56">
        <v>2328.0</v>
      </c>
      <c r="B2331" s="60"/>
      <c r="C2331" s="58" t="s">
        <v>9588</v>
      </c>
      <c r="D2331" s="60"/>
      <c r="E2331" s="57" t="s">
        <v>9589</v>
      </c>
      <c r="F2331" s="57">
        <v>2011.0</v>
      </c>
      <c r="G2331" s="57" t="s">
        <v>9590</v>
      </c>
      <c r="H2331" s="60"/>
      <c r="I2331" s="63" t="s">
        <v>635</v>
      </c>
      <c r="J2331" s="57" t="s">
        <v>9591</v>
      </c>
      <c r="K2331" s="60"/>
      <c r="L2331" s="60"/>
      <c r="M2331" s="60"/>
      <c r="N2331" s="61"/>
      <c r="O2331" s="51"/>
    </row>
    <row r="2332">
      <c r="A2332" s="56">
        <v>2329.0</v>
      </c>
      <c r="B2332" s="60"/>
      <c r="C2332" s="58" t="s">
        <v>9592</v>
      </c>
      <c r="D2332" s="60"/>
      <c r="E2332" s="57" t="s">
        <v>9593</v>
      </c>
      <c r="F2332" s="57">
        <v>2009.0</v>
      </c>
      <c r="G2332" s="57" t="s">
        <v>9594</v>
      </c>
      <c r="H2332" s="60"/>
      <c r="I2332" s="63" t="s">
        <v>635</v>
      </c>
      <c r="J2332" s="57" t="s">
        <v>9595</v>
      </c>
      <c r="K2332" s="60"/>
      <c r="L2332" s="60"/>
      <c r="M2332" s="60"/>
      <c r="N2332" s="61"/>
      <c r="O2332" s="51"/>
    </row>
    <row r="2333">
      <c r="A2333" s="56">
        <v>2330.0</v>
      </c>
      <c r="B2333" s="66"/>
      <c r="C2333" s="64" t="s">
        <v>9596</v>
      </c>
      <c r="D2333" s="66"/>
      <c r="E2333" s="63" t="s">
        <v>9597</v>
      </c>
      <c r="F2333" s="70">
        <v>41016.0</v>
      </c>
      <c r="G2333" s="80" t="s">
        <v>9598</v>
      </c>
      <c r="H2333" s="82"/>
      <c r="I2333" s="63" t="s">
        <v>9599</v>
      </c>
      <c r="J2333" s="63" t="s">
        <v>3575</v>
      </c>
      <c r="K2333" s="66"/>
      <c r="L2333" s="63" t="s">
        <v>1496</v>
      </c>
      <c r="M2333" s="63" t="s">
        <v>2152</v>
      </c>
      <c r="N2333" s="61"/>
      <c r="O2333" s="51"/>
    </row>
    <row r="2334">
      <c r="A2334" s="56">
        <v>2331.0</v>
      </c>
      <c r="B2334" s="66"/>
      <c r="C2334" s="64" t="s">
        <v>9600</v>
      </c>
      <c r="D2334" s="66"/>
      <c r="E2334" s="63" t="s">
        <v>9601</v>
      </c>
      <c r="F2334" s="63">
        <v>2012.0</v>
      </c>
      <c r="G2334" s="80" t="s">
        <v>9602</v>
      </c>
      <c r="H2334" s="82"/>
      <c r="I2334" s="63" t="s">
        <v>9603</v>
      </c>
      <c r="J2334" s="63" t="s">
        <v>1872</v>
      </c>
      <c r="K2334" s="66"/>
      <c r="L2334" s="66"/>
      <c r="M2334" s="66"/>
      <c r="N2334" s="61"/>
      <c r="O2334" s="51"/>
    </row>
    <row r="2335">
      <c r="A2335" s="56">
        <v>2332.0</v>
      </c>
      <c r="B2335" s="60"/>
      <c r="C2335" s="58" t="s">
        <v>9604</v>
      </c>
      <c r="D2335" s="60"/>
      <c r="E2335" s="57" t="s">
        <v>9605</v>
      </c>
      <c r="F2335" s="59">
        <v>41653.0</v>
      </c>
      <c r="G2335" s="57" t="s">
        <v>9606</v>
      </c>
      <c r="H2335" s="60"/>
      <c r="I2335" s="66"/>
      <c r="J2335" s="57" t="s">
        <v>9607</v>
      </c>
      <c r="K2335" s="60"/>
      <c r="L2335" s="60"/>
      <c r="M2335" s="60"/>
      <c r="N2335" s="61"/>
      <c r="O2335" s="51"/>
    </row>
    <row r="2336">
      <c r="A2336" s="56">
        <v>2333.0</v>
      </c>
      <c r="B2336" s="66"/>
      <c r="C2336" s="64" t="s">
        <v>9608</v>
      </c>
      <c r="D2336" s="66"/>
      <c r="E2336" s="63" t="s">
        <v>9609</v>
      </c>
      <c r="F2336" s="70">
        <v>40005.0</v>
      </c>
      <c r="G2336" s="80" t="s">
        <v>9610</v>
      </c>
      <c r="H2336" s="82"/>
      <c r="I2336" s="66"/>
      <c r="J2336" s="63" t="s">
        <v>6061</v>
      </c>
      <c r="K2336" s="66"/>
      <c r="L2336" s="66"/>
      <c r="M2336" s="63" t="s">
        <v>941</v>
      </c>
      <c r="N2336" s="61"/>
      <c r="O2336" s="51"/>
    </row>
    <row r="2337">
      <c r="A2337" s="56">
        <v>2334.0</v>
      </c>
      <c r="B2337" s="71"/>
      <c r="C2337" s="69" t="s">
        <v>9611</v>
      </c>
      <c r="D2337" s="71"/>
      <c r="E2337" s="68" t="s">
        <v>9612</v>
      </c>
      <c r="F2337" s="68">
        <v>2012.0</v>
      </c>
      <c r="G2337" s="68" t="s">
        <v>9613</v>
      </c>
      <c r="H2337" s="71"/>
      <c r="I2337" s="68" t="s">
        <v>635</v>
      </c>
      <c r="J2337" s="68" t="s">
        <v>9614</v>
      </c>
      <c r="K2337" s="71"/>
      <c r="L2337" s="71"/>
      <c r="M2337" s="71"/>
      <c r="N2337" s="77"/>
      <c r="O2337" s="51"/>
    </row>
    <row r="2338">
      <c r="A2338" s="56">
        <v>2335.0</v>
      </c>
      <c r="B2338" s="71"/>
      <c r="C2338" s="69" t="s">
        <v>9615</v>
      </c>
      <c r="D2338" s="71"/>
      <c r="E2338" s="68" t="s">
        <v>9616</v>
      </c>
      <c r="F2338" s="68">
        <v>2012.0</v>
      </c>
      <c r="G2338" s="68" t="s">
        <v>9613</v>
      </c>
      <c r="H2338" s="71"/>
      <c r="I2338" s="68" t="s">
        <v>635</v>
      </c>
      <c r="J2338" s="68" t="s">
        <v>9617</v>
      </c>
      <c r="K2338" s="71"/>
      <c r="L2338" s="71"/>
      <c r="M2338" s="71"/>
      <c r="N2338" s="77"/>
      <c r="O2338" s="51"/>
    </row>
    <row r="2339">
      <c r="A2339" s="56">
        <v>2336.0</v>
      </c>
      <c r="B2339" s="71"/>
      <c r="C2339" s="69" t="s">
        <v>9618</v>
      </c>
      <c r="D2339" s="71"/>
      <c r="E2339" s="68" t="s">
        <v>9619</v>
      </c>
      <c r="F2339" s="68">
        <v>2008.0</v>
      </c>
      <c r="G2339" s="68" t="s">
        <v>9620</v>
      </c>
      <c r="H2339" s="71"/>
      <c r="I2339" s="68" t="s">
        <v>635</v>
      </c>
      <c r="J2339" s="68" t="s">
        <v>9621</v>
      </c>
      <c r="K2339" s="71"/>
      <c r="L2339" s="71"/>
      <c r="M2339" s="71"/>
      <c r="N2339" s="61"/>
      <c r="O2339" s="51"/>
    </row>
    <row r="2340">
      <c r="A2340" s="56">
        <v>2337.0</v>
      </c>
      <c r="B2340" s="71"/>
      <c r="C2340" s="69" t="s">
        <v>9622</v>
      </c>
      <c r="D2340" s="71"/>
      <c r="E2340" s="68" t="s">
        <v>9623</v>
      </c>
      <c r="F2340" s="76">
        <v>41883.0</v>
      </c>
      <c r="G2340" s="68" t="s">
        <v>9624</v>
      </c>
      <c r="H2340" s="71"/>
      <c r="I2340" s="63" t="s">
        <v>9625</v>
      </c>
      <c r="J2340" s="68" t="s">
        <v>9626</v>
      </c>
      <c r="K2340" s="71"/>
      <c r="L2340" s="71"/>
      <c r="M2340" s="68" t="s">
        <v>1182</v>
      </c>
      <c r="N2340" s="61"/>
      <c r="O2340" s="51"/>
    </row>
    <row r="2341">
      <c r="A2341" s="56">
        <v>2338.0</v>
      </c>
      <c r="B2341" s="71"/>
      <c r="C2341" s="69" t="s">
        <v>9627</v>
      </c>
      <c r="D2341" s="71"/>
      <c r="E2341" s="68" t="s">
        <v>9628</v>
      </c>
      <c r="F2341" s="76">
        <v>41546.0</v>
      </c>
      <c r="G2341" s="68" t="s">
        <v>9629</v>
      </c>
      <c r="H2341" s="71"/>
      <c r="I2341" s="63" t="s">
        <v>9630</v>
      </c>
      <c r="J2341" s="68" t="s">
        <v>3028</v>
      </c>
      <c r="K2341" s="71"/>
      <c r="L2341" s="71"/>
      <c r="M2341" s="66"/>
      <c r="N2341" s="61"/>
      <c r="O2341" s="51"/>
    </row>
    <row r="2342">
      <c r="A2342" s="56">
        <v>2339.0</v>
      </c>
      <c r="B2342" s="71"/>
      <c r="C2342" s="69" t="s">
        <v>9631</v>
      </c>
      <c r="D2342" s="71"/>
      <c r="E2342" s="68" t="s">
        <v>9632</v>
      </c>
      <c r="F2342" s="83">
        <v>41964.0</v>
      </c>
      <c r="G2342" s="68" t="s">
        <v>9633</v>
      </c>
      <c r="H2342" s="71"/>
      <c r="I2342" s="63" t="s">
        <v>9634</v>
      </c>
      <c r="J2342" s="68" t="s">
        <v>296</v>
      </c>
      <c r="K2342" s="71"/>
      <c r="L2342" s="71"/>
      <c r="M2342" s="71"/>
      <c r="N2342" s="61"/>
      <c r="O2342" s="51"/>
    </row>
    <row r="2343">
      <c r="A2343" s="56">
        <v>2340.0</v>
      </c>
      <c r="B2343" s="66"/>
      <c r="C2343" s="64" t="s">
        <v>9635</v>
      </c>
      <c r="D2343" s="66"/>
      <c r="E2343" s="63" t="s">
        <v>9636</v>
      </c>
      <c r="F2343" s="209">
        <v>40087.0</v>
      </c>
      <c r="G2343" s="80" t="s">
        <v>9637</v>
      </c>
      <c r="H2343" s="82"/>
      <c r="I2343" s="63" t="s">
        <v>9638</v>
      </c>
      <c r="J2343" s="63" t="s">
        <v>1872</v>
      </c>
      <c r="K2343" s="66"/>
      <c r="L2343" s="66"/>
      <c r="M2343" s="63" t="s">
        <v>530</v>
      </c>
      <c r="N2343" s="61"/>
      <c r="O2343" s="51"/>
    </row>
    <row r="2344">
      <c r="A2344" s="56">
        <v>2341.0</v>
      </c>
      <c r="B2344" s="71"/>
      <c r="C2344" s="69" t="s">
        <v>9639</v>
      </c>
      <c r="D2344" s="71"/>
      <c r="E2344" s="68" t="s">
        <v>9640</v>
      </c>
      <c r="F2344" s="68">
        <v>2009.0</v>
      </c>
      <c r="G2344" s="68" t="s">
        <v>9641</v>
      </c>
      <c r="H2344" s="71"/>
      <c r="I2344" s="63" t="s">
        <v>635</v>
      </c>
      <c r="J2344" s="68" t="s">
        <v>3028</v>
      </c>
      <c r="K2344" s="71"/>
      <c r="L2344" s="71"/>
      <c r="M2344" s="66"/>
      <c r="N2344" s="61"/>
      <c r="O2344" s="51"/>
    </row>
    <row r="2345">
      <c r="A2345" s="56">
        <v>2342.0</v>
      </c>
      <c r="B2345" s="60"/>
      <c r="C2345" s="58" t="s">
        <v>9642</v>
      </c>
      <c r="D2345" s="60"/>
      <c r="E2345" s="57" t="s">
        <v>9643</v>
      </c>
      <c r="F2345" s="78">
        <v>41972.0</v>
      </c>
      <c r="G2345" s="57" t="s">
        <v>9644</v>
      </c>
      <c r="H2345" s="60"/>
      <c r="I2345" s="63" t="s">
        <v>9645</v>
      </c>
      <c r="J2345" s="57" t="s">
        <v>9646</v>
      </c>
      <c r="K2345" s="60"/>
      <c r="L2345" s="60"/>
      <c r="M2345" s="57" t="s">
        <v>149</v>
      </c>
      <c r="N2345" s="61"/>
      <c r="O2345" s="51"/>
    </row>
    <row r="2346">
      <c r="A2346" s="56">
        <v>2343.0</v>
      </c>
      <c r="B2346" s="71"/>
      <c r="C2346" s="69" t="s">
        <v>9647</v>
      </c>
      <c r="D2346" s="71"/>
      <c r="E2346" s="68" t="s">
        <v>9648</v>
      </c>
      <c r="F2346" s="76">
        <v>41546.0</v>
      </c>
      <c r="G2346" s="68" t="s">
        <v>9649</v>
      </c>
      <c r="H2346" s="71"/>
      <c r="I2346" s="63" t="s">
        <v>9650</v>
      </c>
      <c r="J2346" s="68" t="s">
        <v>9651</v>
      </c>
      <c r="K2346" s="71"/>
      <c r="L2346" s="71"/>
      <c r="M2346" s="68" t="s">
        <v>3407</v>
      </c>
      <c r="N2346" s="61"/>
      <c r="O2346" s="51"/>
    </row>
    <row r="2347">
      <c r="A2347" s="56">
        <v>2344.0</v>
      </c>
      <c r="B2347" s="71"/>
      <c r="C2347" s="69" t="s">
        <v>9652</v>
      </c>
      <c r="D2347" s="71"/>
      <c r="E2347" s="68" t="s">
        <v>9653</v>
      </c>
      <c r="F2347" s="76">
        <v>41678.0</v>
      </c>
      <c r="G2347" s="68" t="s">
        <v>9654</v>
      </c>
      <c r="H2347" s="71"/>
      <c r="I2347" s="68" t="s">
        <v>9655</v>
      </c>
      <c r="J2347" s="68" t="s">
        <v>9656</v>
      </c>
      <c r="K2347" s="71"/>
      <c r="L2347" s="71"/>
      <c r="M2347" s="68" t="s">
        <v>530</v>
      </c>
      <c r="N2347" s="77"/>
      <c r="O2347" s="51"/>
    </row>
    <row r="2348">
      <c r="A2348" s="56">
        <v>2345.0</v>
      </c>
      <c r="B2348" s="60"/>
      <c r="C2348" s="58" t="s">
        <v>9657</v>
      </c>
      <c r="D2348" s="57" t="s">
        <v>9658</v>
      </c>
      <c r="E2348" s="57" t="s">
        <v>9659</v>
      </c>
      <c r="F2348" s="60"/>
      <c r="G2348" s="57" t="s">
        <v>9660</v>
      </c>
      <c r="H2348" s="60"/>
      <c r="I2348" s="63" t="s">
        <v>635</v>
      </c>
      <c r="J2348" s="57" t="s">
        <v>9661</v>
      </c>
      <c r="K2348" s="60"/>
      <c r="L2348" s="60"/>
      <c r="M2348" s="60"/>
      <c r="N2348" s="61"/>
      <c r="O2348" s="51"/>
    </row>
    <row r="2349">
      <c r="A2349" s="56">
        <v>2346.0</v>
      </c>
      <c r="B2349" s="60"/>
      <c r="C2349" s="58" t="s">
        <v>9662</v>
      </c>
      <c r="D2349" s="60"/>
      <c r="E2349" s="57" t="s">
        <v>9663</v>
      </c>
      <c r="F2349" s="78">
        <v>41949.0</v>
      </c>
      <c r="G2349" s="57" t="s">
        <v>9664</v>
      </c>
      <c r="H2349" s="60"/>
      <c r="I2349" s="63" t="s">
        <v>9665</v>
      </c>
      <c r="J2349" s="57" t="s">
        <v>1481</v>
      </c>
      <c r="K2349" s="60"/>
      <c r="L2349" s="60"/>
      <c r="M2349" s="60"/>
      <c r="N2349" s="61"/>
      <c r="O2349" s="51"/>
    </row>
    <row r="2350">
      <c r="A2350" s="56">
        <v>2347.0</v>
      </c>
      <c r="B2350" s="71"/>
      <c r="C2350" s="69" t="s">
        <v>9666</v>
      </c>
      <c r="D2350" s="71"/>
      <c r="E2350" s="68" t="s">
        <v>9667</v>
      </c>
      <c r="F2350" s="76">
        <v>41740.0</v>
      </c>
      <c r="G2350" s="68" t="s">
        <v>9668</v>
      </c>
      <c r="H2350" s="71"/>
      <c r="I2350" s="68" t="s">
        <v>9669</v>
      </c>
      <c r="J2350" s="68" t="s">
        <v>9670</v>
      </c>
      <c r="K2350" s="71"/>
      <c r="L2350" s="71"/>
      <c r="M2350" s="71"/>
      <c r="N2350" s="61"/>
      <c r="O2350" s="51"/>
    </row>
    <row r="2351">
      <c r="A2351" s="56">
        <v>2348.0</v>
      </c>
      <c r="B2351" s="66"/>
      <c r="C2351" s="64" t="s">
        <v>9671</v>
      </c>
      <c r="D2351" s="66"/>
      <c r="E2351" s="63" t="s">
        <v>9672</v>
      </c>
      <c r="F2351" s="66"/>
      <c r="G2351" s="80" t="s">
        <v>9673</v>
      </c>
      <c r="H2351" s="82"/>
      <c r="I2351" s="63" t="s">
        <v>9674</v>
      </c>
      <c r="J2351" s="63" t="s">
        <v>6393</v>
      </c>
      <c r="K2351" s="66"/>
      <c r="L2351" s="66"/>
      <c r="M2351" s="66"/>
      <c r="N2351" s="61"/>
      <c r="O2351" s="51"/>
    </row>
    <row r="2352">
      <c r="A2352" s="56">
        <v>2349.0</v>
      </c>
      <c r="B2352" s="66"/>
      <c r="C2352" s="64" t="s">
        <v>9675</v>
      </c>
      <c r="D2352" s="66"/>
      <c r="E2352" s="63" t="s">
        <v>9676</v>
      </c>
      <c r="F2352" s="65">
        <v>40144.0</v>
      </c>
      <c r="G2352" s="80" t="s">
        <v>9677</v>
      </c>
      <c r="H2352" s="82"/>
      <c r="I2352" s="63" t="s">
        <v>9678</v>
      </c>
      <c r="J2352" s="63" t="s">
        <v>9679</v>
      </c>
      <c r="K2352" s="66"/>
      <c r="L2352" s="66"/>
      <c r="M2352" s="63" t="s">
        <v>2097</v>
      </c>
      <c r="N2352" s="61"/>
      <c r="O2352" s="51"/>
    </row>
    <row r="2353">
      <c r="A2353" s="56">
        <v>2350.0</v>
      </c>
      <c r="B2353" s="66"/>
      <c r="C2353" s="64" t="s">
        <v>9680</v>
      </c>
      <c r="D2353" s="66"/>
      <c r="E2353" s="63" t="s">
        <v>9681</v>
      </c>
      <c r="F2353" s="182">
        <v>40238.0</v>
      </c>
      <c r="G2353" s="80" t="s">
        <v>9682</v>
      </c>
      <c r="H2353" s="82"/>
      <c r="I2353" s="63" t="s">
        <v>9683</v>
      </c>
      <c r="J2353" s="63" t="s">
        <v>9679</v>
      </c>
      <c r="K2353" s="66"/>
      <c r="L2353" s="66"/>
      <c r="M2353" s="63" t="s">
        <v>2097</v>
      </c>
      <c r="N2353" s="61"/>
      <c r="O2353" s="51"/>
    </row>
    <row r="2354">
      <c r="A2354" s="56">
        <v>2351.0</v>
      </c>
      <c r="B2354" s="66"/>
      <c r="C2354" s="64" t="s">
        <v>9684</v>
      </c>
      <c r="D2354" s="66"/>
      <c r="E2354" s="63" t="s">
        <v>9685</v>
      </c>
      <c r="F2354" s="209">
        <v>40148.0</v>
      </c>
      <c r="G2354" s="80" t="s">
        <v>9686</v>
      </c>
      <c r="H2354" s="82"/>
      <c r="I2354" s="63" t="s">
        <v>9687</v>
      </c>
      <c r="J2354" s="63" t="s">
        <v>9679</v>
      </c>
      <c r="K2354" s="66"/>
      <c r="L2354" s="66"/>
      <c r="M2354" s="63" t="s">
        <v>2097</v>
      </c>
      <c r="N2354" s="61"/>
      <c r="O2354" s="51"/>
    </row>
    <row r="2355">
      <c r="A2355" s="56">
        <v>2352.0</v>
      </c>
      <c r="B2355" s="60"/>
      <c r="C2355" s="58" t="s">
        <v>9688</v>
      </c>
      <c r="D2355" s="60"/>
      <c r="E2355" s="57" t="s">
        <v>9689</v>
      </c>
      <c r="F2355" s="78">
        <v>41983.0</v>
      </c>
      <c r="G2355" s="57" t="s">
        <v>9690</v>
      </c>
      <c r="H2355" s="60"/>
      <c r="I2355" s="63" t="s">
        <v>9687</v>
      </c>
      <c r="J2355" s="57" t="s">
        <v>9691</v>
      </c>
      <c r="K2355" s="60"/>
      <c r="L2355" s="60"/>
      <c r="M2355" s="60"/>
      <c r="N2355" s="61"/>
      <c r="O2355" s="51"/>
    </row>
    <row r="2356">
      <c r="A2356" s="56">
        <v>2353.0</v>
      </c>
      <c r="B2356" s="60"/>
      <c r="C2356" s="58" t="s">
        <v>9692</v>
      </c>
      <c r="D2356" s="60"/>
      <c r="E2356" s="57" t="s">
        <v>9693</v>
      </c>
      <c r="F2356" s="78">
        <v>41983.0</v>
      </c>
      <c r="G2356" s="57" t="s">
        <v>9690</v>
      </c>
      <c r="H2356" s="60"/>
      <c r="I2356" s="63" t="s">
        <v>9258</v>
      </c>
      <c r="J2356" s="57" t="s">
        <v>9691</v>
      </c>
      <c r="K2356" s="60"/>
      <c r="L2356" s="60"/>
      <c r="M2356" s="104"/>
      <c r="N2356" s="105"/>
      <c r="O2356" s="51"/>
    </row>
    <row r="2357">
      <c r="A2357" s="56">
        <v>2354.0</v>
      </c>
      <c r="B2357" s="71"/>
      <c r="C2357" s="69" t="s">
        <v>9694</v>
      </c>
      <c r="D2357" s="71"/>
      <c r="E2357" s="68" t="s">
        <v>9695</v>
      </c>
      <c r="F2357" s="83">
        <v>40842.0</v>
      </c>
      <c r="G2357" s="68" t="s">
        <v>9696</v>
      </c>
      <c r="H2357" s="71"/>
      <c r="I2357" s="68" t="s">
        <v>635</v>
      </c>
      <c r="J2357" s="68" t="s">
        <v>9697</v>
      </c>
      <c r="K2357" s="71"/>
      <c r="L2357" s="71"/>
      <c r="M2357" s="128" t="s">
        <v>9260</v>
      </c>
      <c r="N2357" s="77"/>
      <c r="O2357" s="51"/>
    </row>
    <row r="2358">
      <c r="A2358" s="56">
        <v>2355.0</v>
      </c>
      <c r="B2358" s="60"/>
      <c r="C2358" s="58" t="s">
        <v>9698</v>
      </c>
      <c r="D2358" s="60"/>
      <c r="E2358" s="57" t="s">
        <v>9699</v>
      </c>
      <c r="F2358" s="78">
        <v>41983.0</v>
      </c>
      <c r="G2358" s="57" t="s">
        <v>9700</v>
      </c>
      <c r="H2358" s="60"/>
      <c r="I2358" s="63" t="s">
        <v>9701</v>
      </c>
      <c r="J2358" s="57" t="s">
        <v>9702</v>
      </c>
      <c r="K2358" s="60"/>
      <c r="L2358" s="60"/>
      <c r="M2358" s="60"/>
      <c r="N2358" s="61"/>
      <c r="O2358" s="51"/>
    </row>
    <row r="2359">
      <c r="A2359" s="56">
        <v>2356.0</v>
      </c>
      <c r="B2359" s="71"/>
      <c r="C2359" s="69" t="s">
        <v>9703</v>
      </c>
      <c r="D2359" s="71"/>
      <c r="E2359" s="68" t="s">
        <v>9704</v>
      </c>
      <c r="F2359" s="76">
        <v>41849.0</v>
      </c>
      <c r="G2359" s="68" t="s">
        <v>9705</v>
      </c>
      <c r="H2359" s="71"/>
      <c r="I2359" s="63" t="s">
        <v>9706</v>
      </c>
      <c r="J2359" s="68" t="s">
        <v>9707</v>
      </c>
      <c r="K2359" s="71"/>
      <c r="L2359" s="71"/>
      <c r="M2359" s="71"/>
      <c r="N2359" s="61"/>
      <c r="O2359" s="51"/>
    </row>
    <row r="2360">
      <c r="A2360" s="56">
        <v>2357.0</v>
      </c>
      <c r="B2360" s="66"/>
      <c r="C2360" s="64" t="s">
        <v>9708</v>
      </c>
      <c r="D2360" s="66"/>
      <c r="E2360" s="63" t="s">
        <v>9709</v>
      </c>
      <c r="F2360" s="209">
        <v>41913.0</v>
      </c>
      <c r="G2360" s="80" t="s">
        <v>9710</v>
      </c>
      <c r="H2360" s="82"/>
      <c r="I2360" s="63" t="s">
        <v>9711</v>
      </c>
      <c r="J2360" s="63" t="s">
        <v>2872</v>
      </c>
      <c r="K2360" s="66"/>
      <c r="L2360" s="66"/>
      <c r="M2360" s="63" t="s">
        <v>125</v>
      </c>
      <c r="N2360" s="61"/>
      <c r="O2360" s="51"/>
    </row>
    <row r="2361">
      <c r="A2361" s="56">
        <v>2358.0</v>
      </c>
      <c r="B2361" s="60"/>
      <c r="C2361" s="58" t="s">
        <v>9712</v>
      </c>
      <c r="D2361" s="60"/>
      <c r="E2361" s="57" t="s">
        <v>9713</v>
      </c>
      <c r="F2361" s="59">
        <v>41978.0</v>
      </c>
      <c r="G2361" s="57" t="s">
        <v>9714</v>
      </c>
      <c r="H2361" s="60"/>
      <c r="I2361" s="63" t="s">
        <v>9711</v>
      </c>
      <c r="J2361" s="57" t="s">
        <v>9715</v>
      </c>
      <c r="K2361" s="60"/>
      <c r="L2361" s="60"/>
      <c r="M2361" s="60"/>
      <c r="N2361" s="61"/>
      <c r="O2361" s="51"/>
    </row>
    <row r="2362">
      <c r="A2362" s="56">
        <v>2359.0</v>
      </c>
      <c r="B2362" s="60"/>
      <c r="C2362" s="58" t="s">
        <v>9716</v>
      </c>
      <c r="D2362" s="60"/>
      <c r="E2362" s="57" t="s">
        <v>9717</v>
      </c>
      <c r="F2362" s="59">
        <v>41978.0</v>
      </c>
      <c r="G2362" s="57" t="s">
        <v>9714</v>
      </c>
      <c r="H2362" s="60"/>
      <c r="I2362" s="63" t="s">
        <v>9718</v>
      </c>
      <c r="J2362" s="57" t="s">
        <v>9719</v>
      </c>
      <c r="K2362" s="60"/>
      <c r="L2362" s="60"/>
      <c r="M2362" s="60"/>
      <c r="N2362" s="61"/>
      <c r="O2362" s="51"/>
    </row>
    <row r="2363">
      <c r="A2363" s="56">
        <v>2360.0</v>
      </c>
      <c r="B2363" s="71"/>
      <c r="C2363" s="69" t="s">
        <v>9720</v>
      </c>
      <c r="D2363" s="71"/>
      <c r="E2363" s="68" t="s">
        <v>9721</v>
      </c>
      <c r="F2363" s="83">
        <v>41519.0</v>
      </c>
      <c r="G2363" s="68" t="s">
        <v>9722</v>
      </c>
      <c r="H2363" s="71"/>
      <c r="I2363" s="63" t="s">
        <v>9723</v>
      </c>
      <c r="J2363" s="68" t="s">
        <v>9724</v>
      </c>
      <c r="K2363" s="71"/>
      <c r="L2363" s="71"/>
      <c r="M2363" s="71"/>
      <c r="N2363" s="61"/>
      <c r="O2363" s="51"/>
    </row>
    <row r="2364">
      <c r="A2364" s="75">
        <v>2361.0</v>
      </c>
      <c r="B2364" s="71"/>
      <c r="C2364" s="69" t="s">
        <v>9725</v>
      </c>
      <c r="D2364" s="71"/>
      <c r="E2364" s="68" t="s">
        <v>9726</v>
      </c>
      <c r="F2364" s="83">
        <v>41968.0</v>
      </c>
      <c r="G2364" s="68" t="s">
        <v>9727</v>
      </c>
      <c r="H2364" s="71"/>
      <c r="I2364" s="68" t="s">
        <v>9723</v>
      </c>
      <c r="J2364" s="68" t="s">
        <v>9728</v>
      </c>
      <c r="K2364" s="71"/>
      <c r="L2364" s="71"/>
      <c r="M2364" s="71"/>
      <c r="N2364" s="61"/>
      <c r="O2364" s="51"/>
    </row>
    <row r="2365">
      <c r="A2365" s="56">
        <v>2362.0</v>
      </c>
      <c r="B2365" s="66"/>
      <c r="C2365" s="64" t="s">
        <v>9729</v>
      </c>
      <c r="D2365" s="66"/>
      <c r="E2365" s="63" t="s">
        <v>9730</v>
      </c>
      <c r="F2365" s="65">
        <v>41968.0</v>
      </c>
      <c r="G2365" s="63" t="s">
        <v>9727</v>
      </c>
      <c r="H2365" s="66"/>
      <c r="I2365" s="63" t="s">
        <v>9731</v>
      </c>
      <c r="J2365" s="66"/>
      <c r="K2365" s="66"/>
      <c r="L2365" s="66"/>
      <c r="M2365" s="66"/>
      <c r="N2365" s="61"/>
      <c r="O2365" s="51"/>
    </row>
    <row r="2366">
      <c r="A2366" s="62">
        <v>2363.0</v>
      </c>
      <c r="B2366" s="66"/>
      <c r="C2366" s="64" t="s">
        <v>9732</v>
      </c>
      <c r="D2366" s="66"/>
      <c r="E2366" s="63" t="s">
        <v>9733</v>
      </c>
      <c r="F2366" s="65">
        <v>41124.0</v>
      </c>
      <c r="G2366" s="63" t="s">
        <v>9727</v>
      </c>
      <c r="H2366" s="66"/>
      <c r="I2366" s="63" t="s">
        <v>9731</v>
      </c>
      <c r="J2366" s="66"/>
      <c r="K2366" s="66"/>
      <c r="L2366" s="66"/>
      <c r="M2366" s="66"/>
      <c r="N2366" s="61"/>
      <c r="O2366" s="51"/>
    </row>
    <row r="2367">
      <c r="A2367" s="56">
        <v>2364.0</v>
      </c>
      <c r="B2367" s="71"/>
      <c r="C2367" s="69" t="s">
        <v>9734</v>
      </c>
      <c r="D2367" s="71"/>
      <c r="E2367" s="68" t="s">
        <v>9735</v>
      </c>
      <c r="F2367" s="83">
        <v>41861.0</v>
      </c>
      <c r="G2367" s="68" t="s">
        <v>9736</v>
      </c>
      <c r="H2367" s="71"/>
      <c r="I2367" s="63" t="s">
        <v>9737</v>
      </c>
      <c r="J2367" s="68" t="s">
        <v>9738</v>
      </c>
      <c r="K2367" s="71"/>
      <c r="L2367" s="71"/>
      <c r="M2367" s="71"/>
      <c r="N2367" s="61"/>
      <c r="O2367" s="51"/>
    </row>
    <row r="2368">
      <c r="A2368" s="56">
        <v>2365.0</v>
      </c>
      <c r="B2368" s="71"/>
      <c r="C2368" s="69" t="s">
        <v>9739</v>
      </c>
      <c r="D2368" s="71"/>
      <c r="E2368" s="68" t="s">
        <v>9740</v>
      </c>
      <c r="F2368" s="83">
        <v>41793.0</v>
      </c>
      <c r="G2368" s="68" t="s">
        <v>9741</v>
      </c>
      <c r="H2368" s="71"/>
      <c r="I2368" s="68" t="s">
        <v>9742</v>
      </c>
      <c r="J2368" s="68" t="s">
        <v>9743</v>
      </c>
      <c r="K2368" s="71"/>
      <c r="L2368" s="71"/>
      <c r="M2368" s="71"/>
      <c r="N2368" s="61"/>
      <c r="O2368" s="51"/>
    </row>
    <row r="2369">
      <c r="A2369" s="56">
        <v>2366.0</v>
      </c>
      <c r="B2369" s="71"/>
      <c r="C2369" s="69" t="s">
        <v>9744</v>
      </c>
      <c r="D2369" s="71"/>
      <c r="E2369" s="68" t="s">
        <v>9745</v>
      </c>
      <c r="F2369" s="83">
        <v>41978.0</v>
      </c>
      <c r="G2369" s="68" t="s">
        <v>9746</v>
      </c>
      <c r="H2369" s="71"/>
      <c r="I2369" s="63" t="s">
        <v>9747</v>
      </c>
      <c r="J2369" s="68" t="s">
        <v>9748</v>
      </c>
      <c r="K2369" s="71"/>
      <c r="L2369" s="71"/>
      <c r="M2369" s="71"/>
      <c r="N2369" s="61"/>
      <c r="O2369" s="51"/>
    </row>
    <row r="2370">
      <c r="A2370" s="56">
        <v>2367.0</v>
      </c>
      <c r="B2370" s="71"/>
      <c r="C2370" s="69" t="s">
        <v>9749</v>
      </c>
      <c r="D2370" s="71"/>
      <c r="E2370" s="68" t="s">
        <v>9750</v>
      </c>
      <c r="F2370" s="83">
        <v>41957.0</v>
      </c>
      <c r="G2370" s="68" t="s">
        <v>9751</v>
      </c>
      <c r="H2370" s="71"/>
      <c r="I2370" s="68" t="s">
        <v>9752</v>
      </c>
      <c r="J2370" s="68" t="s">
        <v>9753</v>
      </c>
      <c r="K2370" s="71"/>
      <c r="L2370" s="71"/>
      <c r="M2370" s="71"/>
      <c r="N2370" s="61"/>
      <c r="O2370" s="51"/>
    </row>
    <row r="2371">
      <c r="A2371" s="56">
        <v>2368.0</v>
      </c>
      <c r="B2371" s="71"/>
      <c r="C2371" s="69" t="s">
        <v>9754</v>
      </c>
      <c r="D2371" s="71"/>
      <c r="E2371" s="68" t="s">
        <v>9755</v>
      </c>
      <c r="F2371" s="83">
        <v>41991.0</v>
      </c>
      <c r="G2371" s="68" t="s">
        <v>9756</v>
      </c>
      <c r="H2371" s="71"/>
      <c r="I2371" s="63" t="s">
        <v>9757</v>
      </c>
      <c r="J2371" s="68" t="s">
        <v>9758</v>
      </c>
      <c r="K2371" s="71"/>
      <c r="L2371" s="71"/>
      <c r="M2371" s="68" t="s">
        <v>1910</v>
      </c>
      <c r="N2371" s="61"/>
      <c r="O2371" s="51"/>
    </row>
    <row r="2372">
      <c r="A2372" s="56">
        <v>2369.0</v>
      </c>
      <c r="B2372" s="71"/>
      <c r="C2372" s="69" t="s">
        <v>9759</v>
      </c>
      <c r="D2372" s="71"/>
      <c r="E2372" s="68" t="s">
        <v>9760</v>
      </c>
      <c r="F2372" s="83">
        <v>41945.0</v>
      </c>
      <c r="G2372" s="68" t="s">
        <v>9761</v>
      </c>
      <c r="H2372" s="71"/>
      <c r="I2372" s="66"/>
      <c r="J2372" s="68" t="s">
        <v>9762</v>
      </c>
      <c r="K2372" s="71"/>
      <c r="L2372" s="71"/>
      <c r="M2372" s="104"/>
      <c r="N2372" s="105"/>
      <c r="O2372" s="51"/>
    </row>
    <row r="2373">
      <c r="A2373" s="56">
        <v>2370.0</v>
      </c>
      <c r="B2373" s="71"/>
      <c r="C2373" s="69" t="s">
        <v>9763</v>
      </c>
      <c r="D2373" s="71"/>
      <c r="E2373" s="68" t="s">
        <v>9764</v>
      </c>
      <c r="F2373" s="83">
        <v>40378.0</v>
      </c>
      <c r="G2373" s="68" t="s">
        <v>9765</v>
      </c>
      <c r="H2373" s="71"/>
      <c r="I2373" s="191"/>
      <c r="J2373" s="68" t="s">
        <v>9766</v>
      </c>
      <c r="K2373" s="71"/>
      <c r="L2373" s="71"/>
      <c r="M2373" s="128" t="s">
        <v>27</v>
      </c>
      <c r="N2373" s="61"/>
      <c r="O2373" s="51"/>
    </row>
    <row r="2374">
      <c r="A2374" s="56">
        <v>2371.0</v>
      </c>
      <c r="B2374" s="66"/>
      <c r="C2374" s="64" t="s">
        <v>9767</v>
      </c>
      <c r="D2374" s="66"/>
      <c r="E2374" s="63" t="s">
        <v>9768</v>
      </c>
      <c r="F2374" s="63">
        <v>2009.0</v>
      </c>
      <c r="G2374" s="80" t="s">
        <v>9769</v>
      </c>
      <c r="H2374" s="82"/>
      <c r="I2374" s="63" t="s">
        <v>9770</v>
      </c>
      <c r="J2374" s="63" t="s">
        <v>5679</v>
      </c>
      <c r="K2374" s="66"/>
      <c r="L2374" s="66"/>
      <c r="M2374" s="63" t="s">
        <v>530</v>
      </c>
      <c r="N2374" s="61"/>
      <c r="O2374" s="51"/>
    </row>
    <row r="2375">
      <c r="A2375" s="56">
        <v>2372.0</v>
      </c>
      <c r="B2375" s="71"/>
      <c r="C2375" s="69" t="s">
        <v>9771</v>
      </c>
      <c r="D2375" s="71"/>
      <c r="E2375" s="68" t="s">
        <v>9772</v>
      </c>
      <c r="F2375" s="183">
        <v>41821.0</v>
      </c>
      <c r="G2375" s="68" t="s">
        <v>9773</v>
      </c>
      <c r="H2375" s="71"/>
      <c r="I2375" s="71"/>
      <c r="J2375" s="68" t="s">
        <v>9774</v>
      </c>
      <c r="K2375" s="71"/>
      <c r="L2375" s="71"/>
      <c r="M2375" s="68" t="s">
        <v>27</v>
      </c>
      <c r="N2375" s="77"/>
      <c r="O2375" s="51"/>
    </row>
    <row r="2376">
      <c r="A2376" s="56">
        <v>2373.0</v>
      </c>
      <c r="B2376" s="71"/>
      <c r="C2376" s="69" t="s">
        <v>9775</v>
      </c>
      <c r="D2376" s="71"/>
      <c r="E2376" s="68" t="s">
        <v>9776</v>
      </c>
      <c r="F2376" s="183">
        <v>41821.0</v>
      </c>
      <c r="G2376" s="68" t="s">
        <v>9773</v>
      </c>
      <c r="H2376" s="71"/>
      <c r="I2376" s="68" t="s">
        <v>9777</v>
      </c>
      <c r="J2376" s="68" t="s">
        <v>9778</v>
      </c>
      <c r="K2376" s="71"/>
      <c r="L2376" s="71"/>
      <c r="M2376" s="68" t="s">
        <v>27</v>
      </c>
      <c r="N2376" s="77"/>
      <c r="O2376" s="51"/>
    </row>
    <row r="2377">
      <c r="A2377" s="56">
        <v>2374.0</v>
      </c>
      <c r="B2377" s="66"/>
      <c r="C2377" s="64" t="s">
        <v>9779</v>
      </c>
      <c r="D2377" s="63" t="s">
        <v>9780</v>
      </c>
      <c r="E2377" s="63" t="s">
        <v>9781</v>
      </c>
      <c r="F2377" s="63">
        <v>2011.0</v>
      </c>
      <c r="G2377" s="80" t="s">
        <v>9782</v>
      </c>
      <c r="H2377" s="82"/>
      <c r="I2377" s="63" t="s">
        <v>9777</v>
      </c>
      <c r="J2377" s="63" t="s">
        <v>5679</v>
      </c>
      <c r="K2377" s="66"/>
      <c r="L2377" s="66"/>
      <c r="M2377" s="66"/>
      <c r="N2377" s="61"/>
      <c r="O2377" s="51"/>
    </row>
    <row r="2378">
      <c r="A2378" s="56">
        <v>2375.0</v>
      </c>
      <c r="B2378" s="60"/>
      <c r="C2378" s="58" t="s">
        <v>9783</v>
      </c>
      <c r="D2378" s="57" t="s">
        <v>9784</v>
      </c>
      <c r="E2378" s="57" t="s">
        <v>9785</v>
      </c>
      <c r="F2378" s="78">
        <v>41627.0</v>
      </c>
      <c r="G2378" s="57" t="s">
        <v>9786</v>
      </c>
      <c r="H2378" s="60"/>
      <c r="I2378" s="63" t="s">
        <v>635</v>
      </c>
      <c r="J2378" s="57" t="s">
        <v>9787</v>
      </c>
      <c r="K2378" s="60"/>
      <c r="L2378" s="60"/>
      <c r="M2378" s="60"/>
      <c r="N2378" s="61"/>
      <c r="O2378" s="51"/>
    </row>
    <row r="2379">
      <c r="A2379" s="56">
        <v>2376.0</v>
      </c>
      <c r="B2379" s="60"/>
      <c r="C2379" s="58" t="s">
        <v>9788</v>
      </c>
      <c r="D2379" s="57" t="s">
        <v>9784</v>
      </c>
      <c r="E2379" s="57" t="s">
        <v>9789</v>
      </c>
      <c r="F2379" s="78">
        <v>41627.0</v>
      </c>
      <c r="G2379" s="57" t="s">
        <v>9786</v>
      </c>
      <c r="H2379" s="60"/>
      <c r="I2379" s="63" t="s">
        <v>635</v>
      </c>
      <c r="J2379" s="57" t="s">
        <v>1481</v>
      </c>
      <c r="K2379" s="60"/>
      <c r="L2379" s="60"/>
      <c r="M2379" s="60"/>
      <c r="N2379" s="61"/>
      <c r="O2379" s="51"/>
    </row>
    <row r="2380">
      <c r="A2380" s="56">
        <v>2377.0</v>
      </c>
      <c r="B2380" s="71"/>
      <c r="C2380" s="69" t="s">
        <v>9790</v>
      </c>
      <c r="D2380" s="68" t="s">
        <v>9791</v>
      </c>
      <c r="E2380" s="68" t="s">
        <v>9792</v>
      </c>
      <c r="F2380" s="83">
        <v>41922.0</v>
      </c>
      <c r="G2380" s="68" t="s">
        <v>9793</v>
      </c>
      <c r="H2380" s="71"/>
      <c r="I2380" s="68" t="s">
        <v>635</v>
      </c>
      <c r="J2380" s="68" t="s">
        <v>9794</v>
      </c>
      <c r="K2380" s="71"/>
      <c r="L2380" s="71"/>
      <c r="M2380" s="71"/>
      <c r="N2380" s="77"/>
      <c r="O2380" s="51"/>
    </row>
    <row r="2381">
      <c r="A2381" s="56">
        <v>2378.0</v>
      </c>
      <c r="B2381" s="60"/>
      <c r="C2381" s="58" t="s">
        <v>9795</v>
      </c>
      <c r="D2381" s="57" t="s">
        <v>9796</v>
      </c>
      <c r="E2381" s="57" t="s">
        <v>9797</v>
      </c>
      <c r="F2381" s="59">
        <v>41421.0</v>
      </c>
      <c r="G2381" s="57" t="s">
        <v>9798</v>
      </c>
      <c r="H2381" s="60"/>
      <c r="I2381" s="60"/>
      <c r="J2381" s="57" t="s">
        <v>9799</v>
      </c>
      <c r="K2381" s="60"/>
      <c r="L2381" s="60"/>
      <c r="M2381" s="60"/>
      <c r="N2381" s="61"/>
      <c r="O2381" s="51"/>
    </row>
    <row r="2382">
      <c r="A2382" s="56">
        <v>2379.0</v>
      </c>
      <c r="B2382" s="60"/>
      <c r="C2382" s="58" t="s">
        <v>9800</v>
      </c>
      <c r="D2382" s="57" t="s">
        <v>9801</v>
      </c>
      <c r="E2382" s="57" t="s">
        <v>9802</v>
      </c>
      <c r="F2382" s="59">
        <v>41676.0</v>
      </c>
      <c r="G2382" s="57" t="s">
        <v>9803</v>
      </c>
      <c r="H2382" s="60"/>
      <c r="I2382" s="60"/>
      <c r="J2382" s="57" t="s">
        <v>9804</v>
      </c>
      <c r="K2382" s="60"/>
      <c r="L2382" s="60"/>
      <c r="M2382" s="60"/>
      <c r="N2382" s="61"/>
      <c r="O2382" s="51"/>
    </row>
    <row r="2383">
      <c r="A2383" s="56">
        <v>2380.0</v>
      </c>
      <c r="B2383" s="60"/>
      <c r="C2383" s="58" t="s">
        <v>9805</v>
      </c>
      <c r="D2383" s="57" t="s">
        <v>9801</v>
      </c>
      <c r="E2383" s="57" t="s">
        <v>9806</v>
      </c>
      <c r="F2383" s="59">
        <v>41676.0</v>
      </c>
      <c r="G2383" s="57" t="s">
        <v>9803</v>
      </c>
      <c r="H2383" s="60"/>
      <c r="I2383" s="63" t="s">
        <v>635</v>
      </c>
      <c r="J2383" s="57" t="s">
        <v>9804</v>
      </c>
      <c r="K2383" s="60"/>
      <c r="L2383" s="60"/>
      <c r="M2383" s="104"/>
      <c r="N2383" s="105"/>
      <c r="O2383" s="51"/>
    </row>
    <row r="2384">
      <c r="A2384" s="56">
        <v>2381.0</v>
      </c>
      <c r="B2384" s="71"/>
      <c r="C2384" s="69" t="s">
        <v>9807</v>
      </c>
      <c r="D2384" s="68" t="s">
        <v>9808</v>
      </c>
      <c r="E2384" s="68" t="s">
        <v>9809</v>
      </c>
      <c r="F2384" s="71"/>
      <c r="G2384" s="68" t="s">
        <v>9810</v>
      </c>
      <c r="H2384" s="71"/>
      <c r="I2384" s="71"/>
      <c r="J2384" s="68" t="s">
        <v>9811</v>
      </c>
      <c r="K2384" s="71"/>
      <c r="L2384" s="71"/>
      <c r="M2384" s="111"/>
      <c r="N2384" s="77"/>
      <c r="O2384" s="51"/>
    </row>
    <row r="2385">
      <c r="A2385" s="56">
        <v>2382.0</v>
      </c>
      <c r="B2385" s="66"/>
      <c r="C2385" s="64" t="s">
        <v>9812</v>
      </c>
      <c r="D2385" s="63" t="s">
        <v>9813</v>
      </c>
      <c r="E2385" s="63" t="s">
        <v>9814</v>
      </c>
      <c r="F2385" s="63">
        <v>2013.0</v>
      </c>
      <c r="G2385" s="80" t="s">
        <v>9815</v>
      </c>
      <c r="H2385" s="82"/>
      <c r="I2385" s="66"/>
      <c r="J2385" s="63" t="s">
        <v>5679</v>
      </c>
      <c r="K2385" s="66"/>
      <c r="L2385" s="66"/>
      <c r="M2385" s="66"/>
      <c r="N2385" s="61"/>
      <c r="O2385" s="51"/>
    </row>
    <row r="2386">
      <c r="A2386" s="56">
        <v>2383.0</v>
      </c>
      <c r="B2386" s="66"/>
      <c r="C2386" s="64" t="s">
        <v>9816</v>
      </c>
      <c r="D2386" s="66"/>
      <c r="E2386" s="63" t="s">
        <v>9817</v>
      </c>
      <c r="F2386" s="70">
        <v>40032.0</v>
      </c>
      <c r="G2386" s="80" t="s">
        <v>9818</v>
      </c>
      <c r="H2386" s="82"/>
      <c r="I2386" s="63" t="s">
        <v>9819</v>
      </c>
      <c r="J2386" s="63" t="s">
        <v>2872</v>
      </c>
      <c r="K2386" s="66"/>
      <c r="L2386" s="66"/>
      <c r="M2386" s="63" t="s">
        <v>125</v>
      </c>
      <c r="N2386" s="61"/>
      <c r="O2386" s="51"/>
    </row>
    <row r="2387">
      <c r="A2387" s="56">
        <v>2384.0</v>
      </c>
      <c r="B2387" s="60"/>
      <c r="C2387" s="58" t="s">
        <v>9820</v>
      </c>
      <c r="D2387" s="60"/>
      <c r="E2387" s="57" t="s">
        <v>9821</v>
      </c>
      <c r="F2387" s="59">
        <v>42019.0</v>
      </c>
      <c r="G2387" s="57" t="s">
        <v>9822</v>
      </c>
      <c r="H2387" s="60"/>
      <c r="I2387" s="63" t="s">
        <v>9823</v>
      </c>
      <c r="J2387" s="57" t="s">
        <v>9824</v>
      </c>
      <c r="K2387" s="60"/>
      <c r="L2387" s="60"/>
      <c r="M2387" s="60"/>
      <c r="N2387" s="61"/>
      <c r="O2387" s="51"/>
    </row>
    <row r="2388">
      <c r="A2388" s="56">
        <v>2385.0</v>
      </c>
      <c r="B2388" s="71"/>
      <c r="C2388" s="68" t="s">
        <v>9825</v>
      </c>
      <c r="D2388" s="71"/>
      <c r="E2388" s="63" t="s">
        <v>9826</v>
      </c>
      <c r="F2388" s="65">
        <v>41253.0</v>
      </c>
      <c r="G2388" s="63" t="s">
        <v>9827</v>
      </c>
      <c r="H2388" s="71"/>
      <c r="I2388" s="63" t="s">
        <v>9828</v>
      </c>
      <c r="J2388" s="71"/>
      <c r="K2388" s="71"/>
      <c r="L2388" s="71"/>
      <c r="M2388" s="71"/>
      <c r="N2388" s="61"/>
      <c r="O2388" s="51"/>
    </row>
    <row r="2389">
      <c r="A2389" s="56">
        <v>2386.0</v>
      </c>
      <c r="B2389" s="71"/>
      <c r="C2389" s="69" t="s">
        <v>9829</v>
      </c>
      <c r="D2389" s="71"/>
      <c r="E2389" s="68" t="s">
        <v>9830</v>
      </c>
      <c r="F2389" s="83">
        <v>41996.0</v>
      </c>
      <c r="G2389" s="68" t="s">
        <v>9831</v>
      </c>
      <c r="H2389" s="71"/>
      <c r="I2389" s="63" t="s">
        <v>9832</v>
      </c>
      <c r="J2389" s="68" t="s">
        <v>296</v>
      </c>
      <c r="K2389" s="71"/>
      <c r="L2389" s="71"/>
      <c r="M2389" s="71"/>
      <c r="N2389" s="61"/>
      <c r="O2389" s="51"/>
    </row>
    <row r="2390">
      <c r="A2390" s="56">
        <v>2387.0</v>
      </c>
      <c r="B2390" s="71"/>
      <c r="C2390" s="69" t="s">
        <v>9833</v>
      </c>
      <c r="D2390" s="71"/>
      <c r="E2390" s="68" t="s">
        <v>9834</v>
      </c>
      <c r="F2390" s="83">
        <v>41996.0</v>
      </c>
      <c r="G2390" s="68" t="s">
        <v>9831</v>
      </c>
      <c r="H2390" s="71"/>
      <c r="I2390" s="63" t="s">
        <v>9832</v>
      </c>
      <c r="J2390" s="68" t="s">
        <v>296</v>
      </c>
      <c r="K2390" s="71"/>
      <c r="L2390" s="71"/>
      <c r="M2390" s="71"/>
      <c r="N2390" s="61"/>
      <c r="O2390" s="51"/>
    </row>
    <row r="2391">
      <c r="A2391" s="56">
        <v>2388.0</v>
      </c>
      <c r="B2391" s="71"/>
      <c r="C2391" s="69" t="s">
        <v>9835</v>
      </c>
      <c r="D2391" s="71"/>
      <c r="E2391" s="68" t="s">
        <v>9836</v>
      </c>
      <c r="F2391" s="83">
        <v>41996.0</v>
      </c>
      <c r="G2391" s="68" t="s">
        <v>9831</v>
      </c>
      <c r="H2391" s="71"/>
      <c r="I2391" s="63" t="s">
        <v>9837</v>
      </c>
      <c r="J2391" s="68" t="s">
        <v>296</v>
      </c>
      <c r="K2391" s="71"/>
      <c r="L2391" s="71"/>
      <c r="M2391" s="71"/>
      <c r="N2391" s="61"/>
      <c r="O2391" s="51"/>
    </row>
    <row r="2392">
      <c r="A2392" s="56">
        <v>2389.0</v>
      </c>
      <c r="B2392" s="71"/>
      <c r="C2392" s="69" t="s">
        <v>9838</v>
      </c>
      <c r="D2392" s="71"/>
      <c r="E2392" s="68" t="s">
        <v>9839</v>
      </c>
      <c r="F2392" s="76">
        <v>41556.0</v>
      </c>
      <c r="G2392" s="68" t="s">
        <v>9840</v>
      </c>
      <c r="H2392" s="71"/>
      <c r="I2392" s="63" t="s">
        <v>9841</v>
      </c>
      <c r="J2392" s="68" t="s">
        <v>9842</v>
      </c>
      <c r="K2392" s="71"/>
      <c r="L2392" s="71"/>
      <c r="M2392" s="71"/>
      <c r="N2392" s="61"/>
      <c r="O2392" s="51"/>
    </row>
    <row r="2393">
      <c r="A2393" s="56">
        <v>2390.0</v>
      </c>
      <c r="B2393" s="71"/>
      <c r="C2393" s="69" t="s">
        <v>9843</v>
      </c>
      <c r="D2393" s="71"/>
      <c r="E2393" s="68" t="s">
        <v>9844</v>
      </c>
      <c r="F2393" s="76">
        <v>41556.0</v>
      </c>
      <c r="G2393" s="68" t="s">
        <v>9840</v>
      </c>
      <c r="H2393" s="71"/>
      <c r="I2393" s="63" t="s">
        <v>9841</v>
      </c>
      <c r="J2393" s="68" t="s">
        <v>9842</v>
      </c>
      <c r="K2393" s="71"/>
      <c r="L2393" s="71"/>
      <c r="M2393" s="71"/>
      <c r="N2393" s="61"/>
      <c r="O2393" s="51"/>
    </row>
    <row r="2394">
      <c r="A2394" s="56">
        <v>2391.0</v>
      </c>
      <c r="B2394" s="71"/>
      <c r="C2394" s="69" t="s">
        <v>9845</v>
      </c>
      <c r="D2394" s="71"/>
      <c r="E2394" s="68" t="s">
        <v>9846</v>
      </c>
      <c r="F2394" s="83">
        <v>41954.0</v>
      </c>
      <c r="G2394" s="68" t="s">
        <v>9847</v>
      </c>
      <c r="H2394" s="71"/>
      <c r="I2394" s="63" t="s">
        <v>635</v>
      </c>
      <c r="J2394" s="68" t="s">
        <v>9804</v>
      </c>
      <c r="K2394" s="71"/>
      <c r="L2394" s="71"/>
      <c r="M2394" s="104"/>
      <c r="N2394" s="105"/>
      <c r="O2394" s="51"/>
    </row>
    <row r="2395">
      <c r="A2395" s="56">
        <v>2392.0</v>
      </c>
      <c r="B2395" s="66"/>
      <c r="C2395" s="64" t="s">
        <v>9848</v>
      </c>
      <c r="D2395" s="66"/>
      <c r="E2395" s="63" t="s">
        <v>9849</v>
      </c>
      <c r="F2395" s="70">
        <v>40228.0</v>
      </c>
      <c r="G2395" s="80" t="s">
        <v>9850</v>
      </c>
      <c r="H2395" s="82"/>
      <c r="I2395" s="63" t="s">
        <v>9851</v>
      </c>
      <c r="J2395" s="63" t="s">
        <v>9852</v>
      </c>
      <c r="K2395" s="66"/>
      <c r="L2395" s="66"/>
      <c r="M2395" s="74" t="s">
        <v>1393</v>
      </c>
      <c r="N2395" s="61"/>
      <c r="O2395" s="51"/>
    </row>
    <row r="2396">
      <c r="A2396" s="56">
        <v>2393.0</v>
      </c>
      <c r="B2396" s="71"/>
      <c r="C2396" s="69" t="s">
        <v>9853</v>
      </c>
      <c r="D2396" s="71"/>
      <c r="E2396" s="68" t="s">
        <v>9854</v>
      </c>
      <c r="F2396" s="76">
        <v>42030.0</v>
      </c>
      <c r="G2396" s="68" t="s">
        <v>9855</v>
      </c>
      <c r="H2396" s="71"/>
      <c r="I2396" s="68" t="s">
        <v>635</v>
      </c>
      <c r="J2396" s="68" t="s">
        <v>9856</v>
      </c>
      <c r="K2396" s="71"/>
      <c r="L2396" s="71"/>
      <c r="M2396" s="71"/>
      <c r="N2396" s="77"/>
      <c r="O2396" s="51"/>
    </row>
    <row r="2397">
      <c r="A2397" s="56">
        <v>2394.0</v>
      </c>
      <c r="B2397" s="60"/>
      <c r="C2397" s="58" t="s">
        <v>9857</v>
      </c>
      <c r="D2397" s="60"/>
      <c r="E2397" s="57" t="s">
        <v>9858</v>
      </c>
      <c r="F2397" s="57" t="s">
        <v>9859</v>
      </c>
      <c r="G2397" s="57" t="s">
        <v>9860</v>
      </c>
      <c r="H2397" s="60"/>
      <c r="I2397" s="63" t="s">
        <v>9861</v>
      </c>
      <c r="J2397" s="57" t="s">
        <v>1481</v>
      </c>
      <c r="K2397" s="60"/>
      <c r="L2397" s="60"/>
      <c r="M2397" s="60"/>
      <c r="N2397" s="61"/>
      <c r="O2397" s="51"/>
    </row>
    <row r="2398">
      <c r="A2398" s="56">
        <v>2395.0</v>
      </c>
      <c r="B2398" s="71"/>
      <c r="C2398" s="69" t="s">
        <v>9862</v>
      </c>
      <c r="D2398" s="71"/>
      <c r="E2398" s="68" t="s">
        <v>9863</v>
      </c>
      <c r="F2398" s="76">
        <v>41977.0</v>
      </c>
      <c r="G2398" s="68" t="s">
        <v>9864</v>
      </c>
      <c r="H2398" s="71"/>
      <c r="I2398" s="63" t="s">
        <v>9865</v>
      </c>
      <c r="J2398" s="68" t="s">
        <v>9866</v>
      </c>
      <c r="K2398" s="71"/>
      <c r="L2398" s="71"/>
      <c r="M2398" s="71"/>
      <c r="N2398" s="61"/>
      <c r="O2398" s="51"/>
    </row>
    <row r="2399">
      <c r="A2399" s="56">
        <v>2396.0</v>
      </c>
      <c r="B2399" s="60"/>
      <c r="C2399" s="58" t="s">
        <v>9867</v>
      </c>
      <c r="D2399" s="57" t="s">
        <v>9868</v>
      </c>
      <c r="E2399" s="57" t="s">
        <v>9869</v>
      </c>
      <c r="F2399" s="59">
        <v>40002.0</v>
      </c>
      <c r="G2399" s="57" t="s">
        <v>9870</v>
      </c>
      <c r="H2399" s="60"/>
      <c r="I2399" s="63" t="s">
        <v>635</v>
      </c>
      <c r="J2399" s="57" t="s">
        <v>9871</v>
      </c>
      <c r="K2399" s="60"/>
      <c r="L2399" s="60"/>
      <c r="M2399" s="60"/>
      <c r="N2399" s="61"/>
      <c r="O2399" s="51"/>
    </row>
    <row r="2400">
      <c r="A2400" s="56">
        <v>2397.0</v>
      </c>
      <c r="B2400" s="60"/>
      <c r="C2400" s="58" t="s">
        <v>9872</v>
      </c>
      <c r="D2400" s="57" t="s">
        <v>9868</v>
      </c>
      <c r="E2400" s="57" t="s">
        <v>9873</v>
      </c>
      <c r="F2400" s="59">
        <v>40002.0</v>
      </c>
      <c r="G2400" s="57" t="s">
        <v>9870</v>
      </c>
      <c r="H2400" s="60"/>
      <c r="I2400" s="63" t="s">
        <v>635</v>
      </c>
      <c r="J2400" s="57" t="s">
        <v>9874</v>
      </c>
      <c r="K2400" s="60"/>
      <c r="L2400" s="60"/>
      <c r="M2400" s="60"/>
      <c r="N2400" s="61"/>
      <c r="O2400" s="51"/>
    </row>
    <row r="2401">
      <c r="A2401" s="56">
        <v>2398.0</v>
      </c>
      <c r="B2401" s="71"/>
      <c r="C2401" s="69" t="s">
        <v>9875</v>
      </c>
      <c r="D2401" s="71"/>
      <c r="E2401" s="68" t="s">
        <v>9876</v>
      </c>
      <c r="F2401" s="76">
        <v>40214.0</v>
      </c>
      <c r="G2401" s="68" t="s">
        <v>9877</v>
      </c>
      <c r="H2401" s="71"/>
      <c r="I2401" s="63" t="s">
        <v>635</v>
      </c>
      <c r="J2401" s="68" t="s">
        <v>9878</v>
      </c>
      <c r="K2401" s="71"/>
      <c r="L2401" s="66"/>
      <c r="M2401" s="66"/>
      <c r="N2401" s="61"/>
      <c r="O2401" s="51"/>
    </row>
    <row r="2402">
      <c r="A2402" s="56">
        <v>2399.0</v>
      </c>
      <c r="B2402" s="71"/>
      <c r="C2402" s="69" t="s">
        <v>9879</v>
      </c>
      <c r="D2402" s="71"/>
      <c r="E2402" s="68" t="s">
        <v>9880</v>
      </c>
      <c r="F2402" s="76">
        <v>40618.0</v>
      </c>
      <c r="G2402" s="68" t="s">
        <v>9881</v>
      </c>
      <c r="H2402" s="71"/>
      <c r="I2402" s="68" t="s">
        <v>635</v>
      </c>
      <c r="J2402" s="68" t="s">
        <v>9882</v>
      </c>
      <c r="K2402" s="71"/>
      <c r="L2402" s="71"/>
      <c r="M2402" s="71"/>
      <c r="N2402" s="61"/>
      <c r="O2402" s="51"/>
    </row>
    <row r="2403">
      <c r="A2403" s="56">
        <v>2400.0</v>
      </c>
      <c r="B2403" s="71"/>
      <c r="C2403" s="69" t="s">
        <v>9883</v>
      </c>
      <c r="D2403" s="71"/>
      <c r="E2403" s="68" t="s">
        <v>9884</v>
      </c>
      <c r="F2403" s="76">
        <v>40342.0</v>
      </c>
      <c r="G2403" s="68" t="s">
        <v>9885</v>
      </c>
      <c r="H2403" s="71"/>
      <c r="I2403" s="68" t="s">
        <v>9886</v>
      </c>
      <c r="J2403" s="87" t="s">
        <v>9887</v>
      </c>
      <c r="K2403" s="71"/>
      <c r="L2403" s="71"/>
      <c r="M2403" s="71"/>
      <c r="N2403" s="61"/>
      <c r="O2403" s="51"/>
    </row>
    <row r="2404">
      <c r="A2404" s="56">
        <v>2401.0</v>
      </c>
      <c r="B2404" s="60"/>
      <c r="C2404" s="79" t="s">
        <v>9883</v>
      </c>
      <c r="D2404" s="60"/>
      <c r="E2404" s="57" t="s">
        <v>9888</v>
      </c>
      <c r="F2404" s="78">
        <v>40522.0</v>
      </c>
      <c r="G2404" s="57" t="s">
        <v>9889</v>
      </c>
      <c r="H2404" s="60"/>
      <c r="I2404" s="63" t="s">
        <v>9890</v>
      </c>
      <c r="J2404" s="57" t="s">
        <v>9891</v>
      </c>
      <c r="K2404" s="60"/>
      <c r="L2404" s="60"/>
      <c r="M2404" s="60"/>
      <c r="N2404" s="61"/>
      <c r="O2404" s="51"/>
    </row>
    <row r="2405">
      <c r="A2405" s="56">
        <v>2402.0</v>
      </c>
      <c r="B2405" s="60"/>
      <c r="C2405" s="58" t="s">
        <v>9892</v>
      </c>
      <c r="D2405" s="60"/>
      <c r="E2405" s="57" t="s">
        <v>9893</v>
      </c>
      <c r="F2405" s="78">
        <v>40522.0</v>
      </c>
      <c r="G2405" s="57" t="s">
        <v>9889</v>
      </c>
      <c r="H2405" s="60"/>
      <c r="I2405" s="63" t="s">
        <v>9890</v>
      </c>
      <c r="J2405" s="57" t="s">
        <v>1481</v>
      </c>
      <c r="K2405" s="60"/>
      <c r="L2405" s="60"/>
      <c r="M2405" s="60"/>
      <c r="N2405" s="61"/>
      <c r="O2405" s="51"/>
    </row>
    <row r="2406">
      <c r="A2406" s="56">
        <v>2403.0</v>
      </c>
      <c r="B2406" s="71"/>
      <c r="C2406" s="64" t="s">
        <v>9894</v>
      </c>
      <c r="D2406" s="71"/>
      <c r="E2406" s="63" t="s">
        <v>9895</v>
      </c>
      <c r="F2406" s="63">
        <v>2006.0</v>
      </c>
      <c r="G2406" s="63" t="s">
        <v>9896</v>
      </c>
      <c r="H2406" s="71"/>
      <c r="I2406" s="63" t="s">
        <v>9897</v>
      </c>
      <c r="J2406" s="63" t="s">
        <v>1847</v>
      </c>
      <c r="K2406" s="71"/>
      <c r="L2406" s="71"/>
      <c r="M2406" s="104"/>
      <c r="N2406" s="105"/>
      <c r="O2406" s="51"/>
    </row>
    <row r="2407">
      <c r="A2407" s="56">
        <v>2404.0</v>
      </c>
      <c r="B2407" s="60"/>
      <c r="C2407" s="58" t="s">
        <v>9898</v>
      </c>
      <c r="D2407" s="60"/>
      <c r="E2407" s="57" t="s">
        <v>9899</v>
      </c>
      <c r="F2407" s="59">
        <v>41682.0</v>
      </c>
      <c r="G2407" s="57" t="s">
        <v>9900</v>
      </c>
      <c r="H2407" s="60"/>
      <c r="I2407" s="63" t="s">
        <v>635</v>
      </c>
      <c r="J2407" s="57" t="s">
        <v>9901</v>
      </c>
      <c r="K2407" s="60"/>
      <c r="L2407" s="60"/>
      <c r="M2407" s="104"/>
      <c r="N2407" s="105"/>
      <c r="O2407" s="51"/>
    </row>
    <row r="2408">
      <c r="A2408" s="56">
        <v>2405.0</v>
      </c>
      <c r="B2408" s="71"/>
      <c r="C2408" s="69" t="s">
        <v>9902</v>
      </c>
      <c r="D2408" s="71"/>
      <c r="E2408" s="68" t="s">
        <v>9903</v>
      </c>
      <c r="F2408" s="76">
        <v>40686.0</v>
      </c>
      <c r="G2408" s="68" t="s">
        <v>9904</v>
      </c>
      <c r="H2408" s="71"/>
      <c r="I2408" s="63" t="s">
        <v>9905</v>
      </c>
      <c r="J2408" s="68" t="s">
        <v>9906</v>
      </c>
      <c r="K2408" s="71"/>
      <c r="L2408" s="71"/>
      <c r="M2408" s="111"/>
      <c r="N2408" s="61"/>
      <c r="O2408" s="51"/>
    </row>
    <row r="2409">
      <c r="A2409" s="56">
        <v>2406.0</v>
      </c>
      <c r="B2409" s="66"/>
      <c r="C2409" s="64" t="s">
        <v>9907</v>
      </c>
      <c r="D2409" s="66"/>
      <c r="E2409" s="63" t="s">
        <v>9908</v>
      </c>
      <c r="F2409" s="66"/>
      <c r="G2409" s="80" t="s">
        <v>9909</v>
      </c>
      <c r="H2409" s="82"/>
      <c r="I2409" s="63" t="s">
        <v>9910</v>
      </c>
      <c r="J2409" s="63" t="s">
        <v>1872</v>
      </c>
      <c r="K2409" s="66"/>
      <c r="L2409" s="66"/>
      <c r="M2409" s="63" t="s">
        <v>530</v>
      </c>
      <c r="N2409" s="61"/>
      <c r="O2409" s="51"/>
    </row>
    <row r="2410">
      <c r="A2410" s="56">
        <v>2407.0</v>
      </c>
      <c r="B2410" s="60"/>
      <c r="C2410" s="58" t="s">
        <v>9911</v>
      </c>
      <c r="D2410" s="60"/>
      <c r="E2410" s="57" t="s">
        <v>9912</v>
      </c>
      <c r="F2410" s="78" t="s">
        <v>9913</v>
      </c>
      <c r="G2410" s="57" t="s">
        <v>9914</v>
      </c>
      <c r="H2410" s="60"/>
      <c r="I2410" s="63" t="s">
        <v>9915</v>
      </c>
      <c r="J2410" s="57" t="s">
        <v>9916</v>
      </c>
      <c r="K2410" s="60"/>
      <c r="L2410" s="60"/>
      <c r="M2410" s="60"/>
      <c r="N2410" s="61"/>
      <c r="O2410" s="51"/>
    </row>
    <row r="2411">
      <c r="A2411" s="56">
        <v>2408.0</v>
      </c>
      <c r="B2411" s="71"/>
      <c r="C2411" s="69" t="s">
        <v>9917</v>
      </c>
      <c r="D2411" s="71"/>
      <c r="E2411" s="68" t="s">
        <v>9918</v>
      </c>
      <c r="F2411" s="68">
        <v>2013.0</v>
      </c>
      <c r="G2411" s="68" t="s">
        <v>9919</v>
      </c>
      <c r="H2411" s="71"/>
      <c r="I2411" s="68" t="s">
        <v>9920</v>
      </c>
      <c r="J2411" s="68" t="s">
        <v>9921</v>
      </c>
      <c r="K2411" s="71"/>
      <c r="L2411" s="71"/>
      <c r="M2411" s="71"/>
      <c r="N2411" s="61"/>
      <c r="O2411" s="51"/>
    </row>
    <row r="2412">
      <c r="A2412" s="56">
        <v>2409.0</v>
      </c>
      <c r="B2412" s="60"/>
      <c r="C2412" s="58" t="s">
        <v>9922</v>
      </c>
      <c r="D2412" s="60"/>
      <c r="E2412" s="57" t="s">
        <v>9923</v>
      </c>
      <c r="F2412" s="59">
        <v>41646.0</v>
      </c>
      <c r="G2412" s="57" t="s">
        <v>9924</v>
      </c>
      <c r="H2412" s="60"/>
      <c r="I2412" s="63" t="s">
        <v>635</v>
      </c>
      <c r="J2412" s="57" t="s">
        <v>9925</v>
      </c>
      <c r="K2412" s="60"/>
      <c r="L2412" s="60"/>
      <c r="M2412" s="60"/>
      <c r="N2412" s="61"/>
      <c r="O2412" s="51"/>
    </row>
    <row r="2413">
      <c r="A2413" s="75">
        <v>2410.0</v>
      </c>
      <c r="B2413" s="71"/>
      <c r="C2413" s="69" t="s">
        <v>9926</v>
      </c>
      <c r="D2413" s="71"/>
      <c r="E2413" s="68" t="s">
        <v>9927</v>
      </c>
      <c r="F2413" s="76">
        <v>40349.0</v>
      </c>
      <c r="G2413" s="68" t="s">
        <v>9928</v>
      </c>
      <c r="H2413" s="71"/>
      <c r="I2413" s="68" t="s">
        <v>9929</v>
      </c>
      <c r="J2413" s="100" t="s">
        <v>9930</v>
      </c>
      <c r="K2413" s="101"/>
      <c r="L2413" s="71"/>
      <c r="M2413" s="71"/>
      <c r="N2413" s="68" t="s">
        <v>9931</v>
      </c>
      <c r="O2413" s="130"/>
    </row>
    <row r="2414">
      <c r="A2414" s="56">
        <v>2411.0</v>
      </c>
      <c r="B2414" s="71"/>
      <c r="C2414" s="69" t="s">
        <v>9932</v>
      </c>
      <c r="D2414" s="71"/>
      <c r="E2414" s="68" t="s">
        <v>9933</v>
      </c>
      <c r="F2414" s="83">
        <v>41223.0</v>
      </c>
      <c r="G2414" s="68" t="s">
        <v>9934</v>
      </c>
      <c r="H2414" s="71"/>
      <c r="I2414" s="63" t="s">
        <v>9935</v>
      </c>
      <c r="J2414" s="68" t="s">
        <v>9936</v>
      </c>
      <c r="K2414" s="71"/>
      <c r="L2414" s="71"/>
      <c r="M2414" s="71"/>
      <c r="N2414" s="61"/>
      <c r="O2414" s="51"/>
    </row>
    <row r="2415">
      <c r="A2415" s="56">
        <v>2412.0</v>
      </c>
      <c r="B2415" s="210"/>
      <c r="C2415" s="211" t="s">
        <v>9937</v>
      </c>
      <c r="D2415" s="210"/>
      <c r="E2415" s="212" t="s">
        <v>9938</v>
      </c>
      <c r="F2415" s="213">
        <v>42016.0</v>
      </c>
      <c r="G2415" s="212" t="s">
        <v>9939</v>
      </c>
      <c r="H2415" s="210"/>
      <c r="I2415" s="63" t="s">
        <v>9940</v>
      </c>
      <c r="J2415" s="212" t="s">
        <v>9941</v>
      </c>
      <c r="K2415" s="210"/>
      <c r="L2415" s="210"/>
      <c r="M2415" s="210"/>
      <c r="N2415" s="61"/>
      <c r="O2415" s="51"/>
    </row>
    <row r="2416">
      <c r="A2416" s="56">
        <v>2413.0</v>
      </c>
      <c r="B2416" s="210"/>
      <c r="C2416" s="211" t="s">
        <v>9942</v>
      </c>
      <c r="D2416" s="210"/>
      <c r="E2416" s="212" t="s">
        <v>9943</v>
      </c>
      <c r="F2416" s="213">
        <v>42016.0</v>
      </c>
      <c r="G2416" s="212" t="s">
        <v>9939</v>
      </c>
      <c r="H2416" s="210"/>
      <c r="I2416" s="63" t="s">
        <v>9940</v>
      </c>
      <c r="J2416" s="212" t="s">
        <v>9941</v>
      </c>
      <c r="K2416" s="210"/>
      <c r="L2416" s="210"/>
      <c r="M2416" s="210"/>
      <c r="N2416" s="61"/>
      <c r="O2416" s="51"/>
    </row>
    <row r="2417">
      <c r="A2417" s="56">
        <v>2414.0</v>
      </c>
      <c r="B2417" s="71"/>
      <c r="C2417" s="69" t="s">
        <v>9944</v>
      </c>
      <c r="D2417" s="71"/>
      <c r="E2417" s="68" t="s">
        <v>9945</v>
      </c>
      <c r="F2417" s="76">
        <v>41904.0</v>
      </c>
      <c r="G2417" s="68" t="s">
        <v>9946</v>
      </c>
      <c r="H2417" s="71"/>
      <c r="I2417" s="63" t="s">
        <v>9947</v>
      </c>
      <c r="J2417" s="68" t="s">
        <v>9948</v>
      </c>
      <c r="K2417" s="71"/>
      <c r="L2417" s="71"/>
      <c r="M2417" s="71"/>
      <c r="N2417" s="61"/>
      <c r="O2417" s="51"/>
    </row>
    <row r="2418">
      <c r="A2418" s="56">
        <v>2415.0</v>
      </c>
      <c r="B2418" s="60"/>
      <c r="C2418" s="58" t="s">
        <v>9949</v>
      </c>
      <c r="D2418" s="60"/>
      <c r="E2418" s="57" t="s">
        <v>9950</v>
      </c>
      <c r="F2418" s="78">
        <v>41990.0</v>
      </c>
      <c r="G2418" s="57" t="s">
        <v>9951</v>
      </c>
      <c r="H2418" s="60"/>
      <c r="I2418" s="63" t="s">
        <v>635</v>
      </c>
      <c r="J2418" s="57" t="s">
        <v>1481</v>
      </c>
      <c r="K2418" s="60"/>
      <c r="L2418" s="60"/>
      <c r="M2418" s="60"/>
      <c r="N2418" s="61"/>
      <c r="O2418" s="51"/>
    </row>
    <row r="2419">
      <c r="A2419" s="56">
        <v>2416.0</v>
      </c>
      <c r="B2419" s="66"/>
      <c r="C2419" s="64" t="s">
        <v>9952</v>
      </c>
      <c r="D2419" s="66"/>
      <c r="E2419" s="63" t="s">
        <v>9953</v>
      </c>
      <c r="F2419" s="70">
        <v>39981.0</v>
      </c>
      <c r="G2419" s="80" t="s">
        <v>9954</v>
      </c>
      <c r="H2419" s="80" t="s">
        <v>439</v>
      </c>
      <c r="I2419" s="63" t="s">
        <v>9955</v>
      </c>
      <c r="J2419" s="63" t="s">
        <v>3575</v>
      </c>
      <c r="K2419" s="66"/>
      <c r="L2419" s="66"/>
      <c r="M2419" s="63" t="s">
        <v>2152</v>
      </c>
      <c r="N2419" s="61"/>
      <c r="O2419" s="51"/>
    </row>
    <row r="2420">
      <c r="A2420" s="56">
        <v>2417.0</v>
      </c>
      <c r="B2420" s="66"/>
      <c r="C2420" s="64" t="s">
        <v>9956</v>
      </c>
      <c r="D2420" s="66"/>
      <c r="E2420" s="63" t="s">
        <v>9957</v>
      </c>
      <c r="F2420" s="70">
        <v>41299.0</v>
      </c>
      <c r="G2420" s="80" t="s">
        <v>9958</v>
      </c>
      <c r="H2420" s="82"/>
      <c r="I2420" s="63" t="s">
        <v>9959</v>
      </c>
      <c r="J2420" s="63" t="s">
        <v>2872</v>
      </c>
      <c r="K2420" s="66"/>
      <c r="L2420" s="66"/>
      <c r="M2420" s="63" t="s">
        <v>125</v>
      </c>
      <c r="N2420" s="61"/>
      <c r="O2420" s="51"/>
    </row>
    <row r="2421">
      <c r="A2421" s="56">
        <v>2418.0</v>
      </c>
      <c r="B2421" s="60"/>
      <c r="C2421" s="58" t="s">
        <v>9960</v>
      </c>
      <c r="D2421" s="60"/>
      <c r="E2421" s="57" t="s">
        <v>9961</v>
      </c>
      <c r="F2421" s="59">
        <v>42006.0</v>
      </c>
      <c r="G2421" s="57" t="s">
        <v>9962</v>
      </c>
      <c r="H2421" s="60"/>
      <c r="I2421" s="63" t="s">
        <v>9963</v>
      </c>
      <c r="J2421" s="57" t="s">
        <v>9964</v>
      </c>
      <c r="K2421" s="60"/>
      <c r="L2421" s="60"/>
      <c r="M2421" s="60"/>
      <c r="N2421" s="61"/>
      <c r="O2421" s="51"/>
    </row>
    <row r="2422">
      <c r="A2422" s="56">
        <v>2419.0</v>
      </c>
      <c r="B2422" s="71"/>
      <c r="C2422" s="69" t="s">
        <v>9965</v>
      </c>
      <c r="D2422" s="71"/>
      <c r="E2422" s="68" t="s">
        <v>9966</v>
      </c>
      <c r="F2422" s="76">
        <v>42009.0</v>
      </c>
      <c r="G2422" s="68" t="s">
        <v>9967</v>
      </c>
      <c r="H2422" s="71"/>
      <c r="I2422" s="63" t="s">
        <v>635</v>
      </c>
      <c r="J2422" s="68" t="s">
        <v>9968</v>
      </c>
      <c r="K2422" s="71"/>
      <c r="L2422" s="71"/>
      <c r="M2422" s="71"/>
      <c r="N2422" s="61"/>
      <c r="O2422" s="51"/>
    </row>
    <row r="2423">
      <c r="A2423" s="56">
        <v>2420.0</v>
      </c>
      <c r="B2423" s="71"/>
      <c r="C2423" s="69" t="s">
        <v>9969</v>
      </c>
      <c r="D2423" s="71"/>
      <c r="E2423" s="68" t="s">
        <v>9970</v>
      </c>
      <c r="F2423" s="76">
        <v>42019.0</v>
      </c>
      <c r="G2423" s="68" t="s">
        <v>9971</v>
      </c>
      <c r="H2423" s="71"/>
      <c r="I2423" s="63" t="s">
        <v>635</v>
      </c>
      <c r="J2423" s="68" t="s">
        <v>9968</v>
      </c>
      <c r="K2423" s="71"/>
      <c r="L2423" s="71"/>
      <c r="M2423" s="71"/>
      <c r="N2423" s="61"/>
      <c r="O2423" s="51"/>
    </row>
    <row r="2424">
      <c r="A2424" s="56">
        <v>2421.0</v>
      </c>
      <c r="B2424" s="71"/>
      <c r="C2424" s="69" t="s">
        <v>9972</v>
      </c>
      <c r="D2424" s="71"/>
      <c r="E2424" s="68" t="s">
        <v>9973</v>
      </c>
      <c r="F2424" s="76">
        <v>42019.0</v>
      </c>
      <c r="G2424" s="68" t="s">
        <v>9974</v>
      </c>
      <c r="H2424" s="71"/>
      <c r="I2424" s="63" t="s">
        <v>635</v>
      </c>
      <c r="J2424" s="68" t="s">
        <v>9968</v>
      </c>
      <c r="K2424" s="71"/>
      <c r="L2424" s="71"/>
      <c r="M2424" s="71"/>
      <c r="N2424" s="61"/>
      <c r="O2424" s="51"/>
    </row>
    <row r="2425">
      <c r="A2425" s="56">
        <v>2422.0</v>
      </c>
      <c r="B2425" s="66"/>
      <c r="C2425" s="64" t="s">
        <v>9975</v>
      </c>
      <c r="D2425" s="66"/>
      <c r="E2425" s="63" t="s">
        <v>9976</v>
      </c>
      <c r="F2425" s="70">
        <v>42020.0</v>
      </c>
      <c r="G2425" s="80" t="s">
        <v>9977</v>
      </c>
      <c r="H2425" s="82"/>
      <c r="I2425" s="63" t="s">
        <v>9978</v>
      </c>
      <c r="J2425" s="63" t="s">
        <v>9979</v>
      </c>
      <c r="K2425" s="66"/>
      <c r="L2425" s="63" t="s">
        <v>9980</v>
      </c>
      <c r="M2425" s="66"/>
      <c r="N2425" s="61"/>
      <c r="O2425" s="51"/>
    </row>
    <row r="2426">
      <c r="A2426" s="56">
        <v>2423.0</v>
      </c>
      <c r="B2426" s="66"/>
      <c r="C2426" s="64" t="s">
        <v>9981</v>
      </c>
      <c r="D2426" s="66"/>
      <c r="E2426" s="63" t="s">
        <v>9982</v>
      </c>
      <c r="F2426" s="70">
        <v>42019.0</v>
      </c>
      <c r="G2426" s="63" t="s">
        <v>9983</v>
      </c>
      <c r="H2426" s="66"/>
      <c r="I2426" s="63" t="s">
        <v>9984</v>
      </c>
      <c r="J2426" s="63" t="s">
        <v>9979</v>
      </c>
      <c r="K2426" s="66"/>
      <c r="L2426" s="63" t="s">
        <v>9985</v>
      </c>
      <c r="M2426" s="66"/>
      <c r="N2426" s="61"/>
      <c r="O2426" s="51"/>
    </row>
    <row r="2427">
      <c r="A2427" s="56">
        <v>2424.0</v>
      </c>
      <c r="B2427" s="71"/>
      <c r="C2427" s="69" t="s">
        <v>9986</v>
      </c>
      <c r="D2427" s="71"/>
      <c r="E2427" s="68" t="s">
        <v>9987</v>
      </c>
      <c r="F2427" s="183">
        <v>41730.0</v>
      </c>
      <c r="G2427" s="68" t="s">
        <v>9988</v>
      </c>
      <c r="H2427" s="71"/>
      <c r="I2427" s="63" t="s">
        <v>9989</v>
      </c>
      <c r="J2427" s="68" t="s">
        <v>9990</v>
      </c>
      <c r="K2427" s="71"/>
      <c r="L2427" s="71"/>
      <c r="M2427" s="71"/>
      <c r="N2427" s="61"/>
      <c r="O2427" s="51"/>
    </row>
    <row r="2428">
      <c r="A2428" s="56">
        <v>2425.0</v>
      </c>
      <c r="B2428" s="60"/>
      <c r="C2428" s="58" t="s">
        <v>9991</v>
      </c>
      <c r="D2428" s="60"/>
      <c r="E2428" s="57" t="s">
        <v>9992</v>
      </c>
      <c r="F2428" s="59">
        <v>42029.0</v>
      </c>
      <c r="G2428" s="57" t="s">
        <v>9993</v>
      </c>
      <c r="H2428" s="60"/>
      <c r="I2428" s="63" t="s">
        <v>9994</v>
      </c>
      <c r="J2428" s="57" t="s">
        <v>9995</v>
      </c>
      <c r="K2428" s="60"/>
      <c r="L2428" s="60"/>
      <c r="M2428" s="60"/>
      <c r="N2428" s="61"/>
      <c r="O2428" s="51"/>
    </row>
    <row r="2429">
      <c r="A2429" s="56">
        <v>2426.0</v>
      </c>
      <c r="B2429" s="60"/>
      <c r="C2429" s="58" t="s">
        <v>9996</v>
      </c>
      <c r="D2429" s="60"/>
      <c r="E2429" s="57" t="s">
        <v>9997</v>
      </c>
      <c r="F2429" s="78">
        <v>42000.0</v>
      </c>
      <c r="G2429" s="57" t="s">
        <v>9998</v>
      </c>
      <c r="H2429" s="60"/>
      <c r="I2429" s="63" t="s">
        <v>635</v>
      </c>
      <c r="J2429" s="57" t="s">
        <v>9999</v>
      </c>
      <c r="K2429" s="60"/>
      <c r="L2429" s="60"/>
      <c r="M2429" s="60"/>
      <c r="N2429" s="61"/>
      <c r="O2429" s="51"/>
    </row>
    <row r="2430">
      <c r="A2430" s="56">
        <v>2427.0</v>
      </c>
      <c r="B2430" s="60"/>
      <c r="C2430" s="58" t="s">
        <v>10000</v>
      </c>
      <c r="D2430" s="60"/>
      <c r="E2430" s="57" t="s">
        <v>10001</v>
      </c>
      <c r="F2430" s="78">
        <v>41988.0</v>
      </c>
      <c r="G2430" s="57" t="s">
        <v>10002</v>
      </c>
      <c r="H2430" s="60"/>
      <c r="I2430" s="63" t="s">
        <v>10003</v>
      </c>
      <c r="J2430" s="57" t="s">
        <v>10004</v>
      </c>
      <c r="K2430" s="60"/>
      <c r="L2430" s="60"/>
      <c r="M2430" s="60"/>
      <c r="N2430" s="61"/>
      <c r="O2430" s="51"/>
    </row>
    <row r="2431">
      <c r="A2431" s="56">
        <v>2428.0</v>
      </c>
      <c r="B2431" s="71"/>
      <c r="C2431" s="69" t="s">
        <v>10005</v>
      </c>
      <c r="D2431" s="71"/>
      <c r="E2431" s="68" t="s">
        <v>10006</v>
      </c>
      <c r="F2431" s="68">
        <v>2012.0</v>
      </c>
      <c r="G2431" s="68" t="s">
        <v>10007</v>
      </c>
      <c r="H2431" s="71"/>
      <c r="I2431" s="68" t="s">
        <v>635</v>
      </c>
      <c r="J2431" s="68" t="s">
        <v>10008</v>
      </c>
      <c r="K2431" s="71"/>
      <c r="L2431" s="71"/>
      <c r="M2431" s="71"/>
      <c r="N2431" s="61"/>
      <c r="O2431" s="51"/>
    </row>
    <row r="2432">
      <c r="A2432" s="56">
        <v>2429.0</v>
      </c>
      <c r="B2432" s="71"/>
      <c r="C2432" s="69" t="s">
        <v>10009</v>
      </c>
      <c r="D2432" s="71"/>
      <c r="E2432" s="68" t="s">
        <v>10010</v>
      </c>
      <c r="F2432" s="76">
        <v>41876.0</v>
      </c>
      <c r="G2432" s="68" t="s">
        <v>10011</v>
      </c>
      <c r="H2432" s="71"/>
      <c r="I2432" s="68" t="s">
        <v>10012</v>
      </c>
      <c r="J2432" s="68" t="s">
        <v>10013</v>
      </c>
      <c r="K2432" s="71"/>
      <c r="L2432" s="71"/>
      <c r="M2432" s="71"/>
      <c r="N2432" s="61"/>
      <c r="O2432" s="51"/>
    </row>
    <row r="2433">
      <c r="A2433" s="56">
        <v>2430.0</v>
      </c>
      <c r="B2433" s="60"/>
      <c r="C2433" s="58" t="s">
        <v>10014</v>
      </c>
      <c r="D2433" s="60"/>
      <c r="E2433" s="57" t="s">
        <v>10015</v>
      </c>
      <c r="F2433" s="57">
        <v>2013.0</v>
      </c>
      <c r="G2433" s="57" t="s">
        <v>10016</v>
      </c>
      <c r="H2433" s="60"/>
      <c r="I2433" s="63" t="s">
        <v>635</v>
      </c>
      <c r="J2433" s="57" t="s">
        <v>10017</v>
      </c>
      <c r="K2433" s="60"/>
      <c r="L2433" s="60"/>
      <c r="M2433" s="60"/>
      <c r="N2433" s="61"/>
      <c r="O2433" s="51"/>
    </row>
    <row r="2434">
      <c r="A2434" s="56">
        <v>2431.0</v>
      </c>
      <c r="B2434" s="71"/>
      <c r="C2434" s="69" t="s">
        <v>10018</v>
      </c>
      <c r="D2434" s="71"/>
      <c r="E2434" s="68" t="s">
        <v>10019</v>
      </c>
      <c r="F2434" s="76">
        <v>41818.0</v>
      </c>
      <c r="G2434" s="68" t="s">
        <v>10020</v>
      </c>
      <c r="H2434" s="71"/>
      <c r="I2434" s="63" t="s">
        <v>10021</v>
      </c>
      <c r="J2434" s="68" t="s">
        <v>10022</v>
      </c>
      <c r="K2434" s="71"/>
      <c r="L2434" s="71"/>
      <c r="M2434" s="71"/>
      <c r="N2434" s="61"/>
      <c r="O2434" s="51"/>
    </row>
    <row r="2435">
      <c r="A2435" s="56">
        <v>2432.0</v>
      </c>
      <c r="B2435" s="66"/>
      <c r="C2435" s="64" t="s">
        <v>10023</v>
      </c>
      <c r="D2435" s="66"/>
      <c r="E2435" s="63" t="s">
        <v>10024</v>
      </c>
      <c r="F2435" s="65">
        <v>41957.0</v>
      </c>
      <c r="G2435" s="80" t="s">
        <v>10025</v>
      </c>
      <c r="H2435" s="82"/>
      <c r="I2435" s="63" t="s">
        <v>10026</v>
      </c>
      <c r="J2435" s="63" t="s">
        <v>9979</v>
      </c>
      <c r="K2435" s="66"/>
      <c r="L2435" s="66"/>
      <c r="M2435" s="66"/>
      <c r="N2435" s="61"/>
      <c r="O2435" s="51"/>
    </row>
    <row r="2436">
      <c r="A2436" s="56">
        <v>2433.0</v>
      </c>
      <c r="B2436" s="60"/>
      <c r="C2436" s="58" t="s">
        <v>10027</v>
      </c>
      <c r="D2436" s="60"/>
      <c r="E2436" s="57" t="s">
        <v>10028</v>
      </c>
      <c r="F2436" s="57" t="s">
        <v>10029</v>
      </c>
      <c r="G2436" s="57" t="s">
        <v>10030</v>
      </c>
      <c r="H2436" s="60"/>
      <c r="I2436" s="63" t="s">
        <v>10031</v>
      </c>
      <c r="J2436" s="57" t="s">
        <v>10032</v>
      </c>
      <c r="K2436" s="60"/>
      <c r="L2436" s="60"/>
      <c r="M2436" s="60"/>
      <c r="N2436" s="61"/>
      <c r="O2436" s="51"/>
    </row>
    <row r="2437">
      <c r="A2437" s="56">
        <v>2434.0</v>
      </c>
      <c r="B2437" s="60"/>
      <c r="C2437" s="58" t="s">
        <v>10033</v>
      </c>
      <c r="D2437" s="60"/>
      <c r="E2437" s="57" t="s">
        <v>10034</v>
      </c>
      <c r="F2437" s="59">
        <v>42018.0</v>
      </c>
      <c r="G2437" s="57" t="s">
        <v>10035</v>
      </c>
      <c r="H2437" s="60"/>
      <c r="I2437" s="63" t="s">
        <v>10036</v>
      </c>
      <c r="J2437" s="57" t="s">
        <v>10037</v>
      </c>
      <c r="K2437" s="60"/>
      <c r="L2437" s="60"/>
      <c r="M2437" s="60"/>
      <c r="N2437" s="61"/>
      <c r="O2437" s="51"/>
    </row>
    <row r="2438">
      <c r="A2438" s="56">
        <v>2435.0</v>
      </c>
      <c r="B2438" s="71"/>
      <c r="C2438" s="69" t="s">
        <v>10038</v>
      </c>
      <c r="D2438" s="71"/>
      <c r="E2438" s="68" t="s">
        <v>10039</v>
      </c>
      <c r="F2438" s="76">
        <v>42007.0</v>
      </c>
      <c r="G2438" s="68" t="s">
        <v>10040</v>
      </c>
      <c r="H2438" s="71"/>
      <c r="I2438" s="63" t="s">
        <v>635</v>
      </c>
      <c r="J2438" s="68" t="s">
        <v>10041</v>
      </c>
      <c r="K2438" s="71"/>
      <c r="L2438" s="71"/>
      <c r="M2438" s="71"/>
      <c r="N2438" s="61"/>
      <c r="O2438" s="51"/>
    </row>
    <row r="2439">
      <c r="A2439" s="56">
        <v>2436.0</v>
      </c>
      <c r="B2439" s="60"/>
      <c r="C2439" s="58" t="s">
        <v>10042</v>
      </c>
      <c r="D2439" s="60"/>
      <c r="E2439" s="57" t="s">
        <v>10043</v>
      </c>
      <c r="F2439" s="59">
        <v>42053.0</v>
      </c>
      <c r="G2439" s="57" t="s">
        <v>10044</v>
      </c>
      <c r="H2439" s="60"/>
      <c r="I2439" s="63" t="s">
        <v>10045</v>
      </c>
      <c r="J2439" s="57" t="s">
        <v>10046</v>
      </c>
      <c r="K2439" s="60"/>
      <c r="L2439" s="60"/>
      <c r="M2439" s="60"/>
      <c r="N2439" s="61"/>
      <c r="O2439" s="51"/>
    </row>
    <row r="2440">
      <c r="A2440" s="56">
        <v>2437.0</v>
      </c>
      <c r="B2440" s="71"/>
      <c r="C2440" s="69" t="s">
        <v>10047</v>
      </c>
      <c r="D2440" s="71"/>
      <c r="E2440" s="68" t="s">
        <v>10048</v>
      </c>
      <c r="F2440" s="83">
        <v>41662.0</v>
      </c>
      <c r="G2440" s="68" t="s">
        <v>10049</v>
      </c>
      <c r="H2440" s="71"/>
      <c r="I2440" s="63" t="s">
        <v>10050</v>
      </c>
      <c r="J2440" s="68" t="s">
        <v>10051</v>
      </c>
      <c r="K2440" s="71"/>
      <c r="L2440" s="71"/>
      <c r="M2440" s="71"/>
      <c r="N2440" s="61"/>
      <c r="O2440" s="51"/>
    </row>
    <row r="2441">
      <c r="A2441" s="56">
        <v>2438.0</v>
      </c>
      <c r="B2441" s="71"/>
      <c r="C2441" s="69" t="s">
        <v>10052</v>
      </c>
      <c r="D2441" s="71"/>
      <c r="E2441" s="68" t="s">
        <v>10053</v>
      </c>
      <c r="F2441" s="83">
        <v>41515.0</v>
      </c>
      <c r="G2441" s="68" t="s">
        <v>10054</v>
      </c>
      <c r="H2441" s="71"/>
      <c r="I2441" s="68" t="s">
        <v>10055</v>
      </c>
      <c r="J2441" s="68" t="s">
        <v>10056</v>
      </c>
      <c r="K2441" s="71"/>
      <c r="L2441" s="71"/>
      <c r="M2441" s="68" t="s">
        <v>27</v>
      </c>
      <c r="N2441" s="77"/>
      <c r="O2441" s="51"/>
    </row>
    <row r="2442">
      <c r="A2442" s="75">
        <v>2439.0</v>
      </c>
      <c r="B2442" s="71"/>
      <c r="C2442" s="69" t="s">
        <v>10057</v>
      </c>
      <c r="D2442" s="71"/>
      <c r="E2442" s="68" t="s">
        <v>10058</v>
      </c>
      <c r="F2442" s="83">
        <v>41515.0</v>
      </c>
      <c r="G2442" s="68" t="s">
        <v>10059</v>
      </c>
      <c r="H2442" s="71"/>
      <c r="I2442" s="68" t="s">
        <v>10055</v>
      </c>
      <c r="J2442" s="68" t="s">
        <v>10060</v>
      </c>
      <c r="K2442" s="71"/>
      <c r="L2442" s="71"/>
      <c r="M2442" s="68" t="s">
        <v>27</v>
      </c>
      <c r="N2442" s="77"/>
      <c r="O2442" s="51"/>
    </row>
    <row r="2443">
      <c r="A2443" s="56">
        <v>2440.0</v>
      </c>
      <c r="B2443" s="60"/>
      <c r="C2443" s="58" t="s">
        <v>10061</v>
      </c>
      <c r="D2443" s="60"/>
      <c r="E2443" s="57" t="s">
        <v>10062</v>
      </c>
      <c r="F2443" s="78">
        <v>41713.0</v>
      </c>
      <c r="G2443" s="57" t="s">
        <v>10063</v>
      </c>
      <c r="H2443" s="60"/>
      <c r="I2443" s="63" t="s">
        <v>10064</v>
      </c>
      <c r="J2443" s="57" t="s">
        <v>10065</v>
      </c>
      <c r="K2443" s="60"/>
      <c r="L2443" s="60"/>
      <c r="M2443" s="60"/>
      <c r="N2443" s="61"/>
      <c r="O2443" s="51"/>
    </row>
    <row r="2444">
      <c r="A2444" s="56">
        <v>2441.0</v>
      </c>
      <c r="B2444" s="71"/>
      <c r="C2444" s="69" t="s">
        <v>10066</v>
      </c>
      <c r="D2444" s="71"/>
      <c r="E2444" s="68" t="s">
        <v>10067</v>
      </c>
      <c r="F2444" s="214">
        <v>40263.0</v>
      </c>
      <c r="G2444" s="68" t="s">
        <v>10068</v>
      </c>
      <c r="H2444" s="71"/>
      <c r="I2444" s="63" t="s">
        <v>10069</v>
      </c>
      <c r="J2444" s="68" t="s">
        <v>10070</v>
      </c>
      <c r="K2444" s="71"/>
      <c r="L2444" s="71"/>
      <c r="M2444" s="71"/>
      <c r="N2444" s="61"/>
      <c r="O2444" s="51"/>
    </row>
    <row r="2445">
      <c r="A2445" s="56">
        <v>2442.0</v>
      </c>
      <c r="B2445" s="66"/>
      <c r="C2445" s="64" t="s">
        <v>10071</v>
      </c>
      <c r="D2445" s="66"/>
      <c r="E2445" s="63" t="s">
        <v>10072</v>
      </c>
      <c r="F2445" s="65">
        <v>41907.0</v>
      </c>
      <c r="G2445" s="63" t="s">
        <v>10073</v>
      </c>
      <c r="H2445" s="66"/>
      <c r="I2445" s="63" t="s">
        <v>10074</v>
      </c>
      <c r="J2445" s="63" t="s">
        <v>9156</v>
      </c>
      <c r="K2445" s="66"/>
      <c r="L2445" s="66"/>
      <c r="M2445" s="63" t="s">
        <v>27</v>
      </c>
      <c r="N2445" s="61"/>
      <c r="O2445" s="51"/>
    </row>
    <row r="2446">
      <c r="A2446" s="56">
        <v>2443.0</v>
      </c>
      <c r="B2446" s="71"/>
      <c r="C2446" s="69" t="s">
        <v>10075</v>
      </c>
      <c r="D2446" s="71"/>
      <c r="E2446" s="68" t="s">
        <v>10076</v>
      </c>
      <c r="F2446" s="83">
        <v>41240.0</v>
      </c>
      <c r="G2446" s="68" t="s">
        <v>10077</v>
      </c>
      <c r="H2446" s="71"/>
      <c r="I2446" s="63" t="s">
        <v>10078</v>
      </c>
      <c r="J2446" s="68" t="s">
        <v>10079</v>
      </c>
      <c r="K2446" s="71"/>
      <c r="L2446" s="71"/>
      <c r="M2446" s="68" t="s">
        <v>27</v>
      </c>
      <c r="N2446" s="61"/>
      <c r="O2446" s="51"/>
    </row>
    <row r="2447">
      <c r="A2447" s="56">
        <v>2444.0</v>
      </c>
      <c r="B2447" s="71"/>
      <c r="C2447" s="69" t="s">
        <v>10080</v>
      </c>
      <c r="D2447" s="71"/>
      <c r="E2447" s="68" t="s">
        <v>10081</v>
      </c>
      <c r="F2447" s="83">
        <v>41447.0</v>
      </c>
      <c r="G2447" s="68" t="s">
        <v>10082</v>
      </c>
      <c r="H2447" s="71"/>
      <c r="I2447" s="68" t="s">
        <v>10083</v>
      </c>
      <c r="J2447" s="68" t="s">
        <v>10084</v>
      </c>
      <c r="K2447" s="71"/>
      <c r="L2447" s="71"/>
      <c r="M2447" s="68" t="s">
        <v>27</v>
      </c>
      <c r="N2447" s="61"/>
      <c r="O2447" s="51"/>
    </row>
    <row r="2448">
      <c r="A2448" s="56">
        <v>2445.0</v>
      </c>
      <c r="B2448" s="71"/>
      <c r="C2448" s="69" t="s">
        <v>10085</v>
      </c>
      <c r="D2448" s="71"/>
      <c r="E2448" s="68" t="s">
        <v>10081</v>
      </c>
      <c r="F2448" s="83">
        <v>41447.0</v>
      </c>
      <c r="G2448" s="68" t="s">
        <v>10082</v>
      </c>
      <c r="H2448" s="71"/>
      <c r="I2448" s="63" t="s">
        <v>10083</v>
      </c>
      <c r="J2448" s="68" t="s">
        <v>10084</v>
      </c>
      <c r="K2448" s="71"/>
      <c r="L2448" s="71"/>
      <c r="M2448" s="71"/>
      <c r="N2448" s="61"/>
      <c r="O2448" s="51"/>
    </row>
    <row r="2449">
      <c r="A2449" s="56">
        <v>2446.0</v>
      </c>
      <c r="B2449" s="71"/>
      <c r="C2449" s="69" t="s">
        <v>10086</v>
      </c>
      <c r="D2449" s="71"/>
      <c r="E2449" s="68" t="s">
        <v>10087</v>
      </c>
      <c r="F2449" s="83">
        <v>41901.0</v>
      </c>
      <c r="G2449" s="68" t="s">
        <v>10088</v>
      </c>
      <c r="H2449" s="71"/>
      <c r="I2449" s="63" t="s">
        <v>635</v>
      </c>
      <c r="J2449" s="68" t="s">
        <v>10089</v>
      </c>
      <c r="K2449" s="71"/>
      <c r="L2449" s="71"/>
      <c r="M2449" s="71"/>
      <c r="N2449" s="61"/>
      <c r="O2449" s="51"/>
    </row>
    <row r="2450">
      <c r="A2450" s="56">
        <v>2447.0</v>
      </c>
      <c r="B2450" s="66"/>
      <c r="C2450" s="64" t="s">
        <v>10090</v>
      </c>
      <c r="D2450" s="66"/>
      <c r="E2450" s="63" t="s">
        <v>10091</v>
      </c>
      <c r="F2450" s="65">
        <v>40267.0</v>
      </c>
      <c r="G2450" s="63" t="s">
        <v>10092</v>
      </c>
      <c r="H2450" s="63" t="s">
        <v>10093</v>
      </c>
      <c r="I2450" s="63" t="s">
        <v>10094</v>
      </c>
      <c r="J2450" s="63" t="s">
        <v>10095</v>
      </c>
      <c r="K2450" s="66"/>
      <c r="L2450" s="66"/>
      <c r="M2450" s="63" t="s">
        <v>27</v>
      </c>
      <c r="N2450" s="215" t="s">
        <v>4627</v>
      </c>
      <c r="O2450" s="51"/>
    </row>
    <row r="2451">
      <c r="A2451" s="56">
        <v>2448.0</v>
      </c>
      <c r="B2451" s="60"/>
      <c r="C2451" s="58" t="s">
        <v>10096</v>
      </c>
      <c r="D2451" s="60"/>
      <c r="E2451" s="57" t="s">
        <v>10097</v>
      </c>
      <c r="F2451" s="78">
        <v>41982.0</v>
      </c>
      <c r="G2451" s="57" t="s">
        <v>10098</v>
      </c>
      <c r="H2451" s="60"/>
      <c r="I2451" s="63" t="s">
        <v>635</v>
      </c>
      <c r="J2451" s="57" t="s">
        <v>1481</v>
      </c>
      <c r="K2451" s="60"/>
      <c r="L2451" s="60"/>
      <c r="M2451" s="60"/>
      <c r="N2451" s="61"/>
      <c r="O2451" s="51"/>
    </row>
    <row r="2452">
      <c r="A2452" s="56">
        <v>2449.0</v>
      </c>
      <c r="B2452" s="71"/>
      <c r="C2452" s="69" t="s">
        <v>10099</v>
      </c>
      <c r="D2452" s="71"/>
      <c r="E2452" s="68" t="s">
        <v>10100</v>
      </c>
      <c r="F2452" s="83">
        <v>41648.0</v>
      </c>
      <c r="G2452" s="68" t="s">
        <v>10101</v>
      </c>
      <c r="H2452" s="71"/>
      <c r="I2452" s="63" t="s">
        <v>10102</v>
      </c>
      <c r="J2452" s="68" t="s">
        <v>10103</v>
      </c>
      <c r="K2452" s="71"/>
      <c r="L2452" s="71"/>
      <c r="M2452" s="71"/>
      <c r="N2452" s="61"/>
      <c r="O2452" s="51"/>
    </row>
    <row r="2453">
      <c r="A2453" s="56">
        <v>2450.0</v>
      </c>
      <c r="B2453" s="71"/>
      <c r="C2453" s="69" t="s">
        <v>10104</v>
      </c>
      <c r="D2453" s="71"/>
      <c r="E2453" s="68" t="s">
        <v>10105</v>
      </c>
      <c r="F2453" s="83">
        <v>41531.0</v>
      </c>
      <c r="G2453" s="68" t="s">
        <v>10106</v>
      </c>
      <c r="H2453" s="71"/>
      <c r="I2453" s="68" t="s">
        <v>10107</v>
      </c>
      <c r="J2453" s="68" t="s">
        <v>10108</v>
      </c>
      <c r="K2453" s="71"/>
      <c r="L2453" s="71"/>
      <c r="M2453" s="68" t="s">
        <v>27</v>
      </c>
      <c r="N2453" s="77"/>
      <c r="O2453" s="51"/>
    </row>
    <row r="2454">
      <c r="A2454" s="56">
        <v>2451.0</v>
      </c>
      <c r="B2454" s="71"/>
      <c r="C2454" s="69" t="s">
        <v>10109</v>
      </c>
      <c r="D2454" s="71"/>
      <c r="E2454" s="68" t="s">
        <v>10110</v>
      </c>
      <c r="F2454" s="83">
        <v>41513.0</v>
      </c>
      <c r="G2454" s="68" t="s">
        <v>10111</v>
      </c>
      <c r="H2454" s="71"/>
      <c r="I2454" s="63" t="s">
        <v>10112</v>
      </c>
      <c r="J2454" s="68" t="s">
        <v>10113</v>
      </c>
      <c r="K2454" s="71"/>
      <c r="L2454" s="71"/>
      <c r="M2454" s="71"/>
      <c r="N2454" s="61"/>
      <c r="O2454" s="51"/>
    </row>
    <row r="2455">
      <c r="A2455" s="56">
        <v>2452.0</v>
      </c>
      <c r="B2455" s="71"/>
      <c r="C2455" s="69" t="s">
        <v>10114</v>
      </c>
      <c r="D2455" s="71"/>
      <c r="E2455" s="68" t="s">
        <v>10115</v>
      </c>
      <c r="F2455" s="83">
        <v>41471.0</v>
      </c>
      <c r="G2455" s="68" t="s">
        <v>10116</v>
      </c>
      <c r="H2455" s="71"/>
      <c r="I2455" s="63" t="s">
        <v>10117</v>
      </c>
      <c r="J2455" s="68" t="s">
        <v>10118</v>
      </c>
      <c r="K2455" s="71"/>
      <c r="L2455" s="71"/>
      <c r="M2455" s="71"/>
      <c r="N2455" s="61"/>
      <c r="O2455" s="51"/>
    </row>
    <row r="2456">
      <c r="A2456" s="56">
        <v>2453.0</v>
      </c>
      <c r="B2456" s="82"/>
      <c r="C2456" s="79" t="s">
        <v>10119</v>
      </c>
      <c r="D2456" s="82"/>
      <c r="E2456" s="80" t="s">
        <v>10120</v>
      </c>
      <c r="F2456" s="98">
        <v>41541.0</v>
      </c>
      <c r="G2456" s="80" t="s">
        <v>10121</v>
      </c>
      <c r="H2456" s="82"/>
      <c r="I2456" s="63" t="s">
        <v>10122</v>
      </c>
      <c r="J2456" s="80" t="s">
        <v>9156</v>
      </c>
      <c r="K2456" s="82"/>
      <c r="L2456" s="80" t="s">
        <v>2743</v>
      </c>
      <c r="M2456" s="216" t="s">
        <v>27</v>
      </c>
      <c r="N2456" s="105"/>
      <c r="O2456" s="51"/>
    </row>
    <row r="2457">
      <c r="A2457" s="56">
        <v>2454.0</v>
      </c>
      <c r="B2457" s="71"/>
      <c r="C2457" s="69" t="s">
        <v>10123</v>
      </c>
      <c r="D2457" s="71"/>
      <c r="E2457" s="68" t="s">
        <v>10124</v>
      </c>
      <c r="F2457" s="83">
        <v>41843.0</v>
      </c>
      <c r="G2457" s="68" t="s">
        <v>10125</v>
      </c>
      <c r="H2457" s="71"/>
      <c r="I2457" s="63" t="s">
        <v>10126</v>
      </c>
      <c r="J2457" s="68" t="s">
        <v>10127</v>
      </c>
      <c r="K2457" s="71"/>
      <c r="L2457" s="71"/>
      <c r="M2457" s="128" t="s">
        <v>27</v>
      </c>
      <c r="N2457" s="61"/>
      <c r="O2457" s="51"/>
    </row>
    <row r="2458">
      <c r="A2458" s="56">
        <v>2455.0</v>
      </c>
      <c r="B2458" s="71"/>
      <c r="C2458" s="69" t="s">
        <v>10128</v>
      </c>
      <c r="D2458" s="71"/>
      <c r="E2458" s="68" t="s">
        <v>10129</v>
      </c>
      <c r="F2458" s="83">
        <v>41401.0</v>
      </c>
      <c r="G2458" s="68" t="s">
        <v>10130</v>
      </c>
      <c r="H2458" s="71"/>
      <c r="I2458" s="63" t="s">
        <v>10131</v>
      </c>
      <c r="J2458" s="68" t="s">
        <v>10132</v>
      </c>
      <c r="K2458" s="71"/>
      <c r="L2458" s="71"/>
      <c r="M2458" s="68" t="s">
        <v>27</v>
      </c>
      <c r="N2458" s="61"/>
      <c r="O2458" s="51"/>
    </row>
    <row r="2459">
      <c r="A2459" s="56">
        <v>2456.0</v>
      </c>
      <c r="B2459" s="71"/>
      <c r="C2459" s="69" t="s">
        <v>10133</v>
      </c>
      <c r="D2459" s="71"/>
      <c r="E2459" s="68" t="s">
        <v>10134</v>
      </c>
      <c r="F2459" s="83">
        <v>41591.0</v>
      </c>
      <c r="G2459" s="68" t="s">
        <v>10135</v>
      </c>
      <c r="H2459" s="71"/>
      <c r="I2459" s="68" t="s">
        <v>10136</v>
      </c>
      <c r="J2459" s="68" t="s">
        <v>10137</v>
      </c>
      <c r="K2459" s="71"/>
      <c r="L2459" s="71"/>
      <c r="M2459" s="71"/>
      <c r="N2459" s="61"/>
      <c r="O2459" s="51"/>
    </row>
    <row r="2460">
      <c r="A2460" s="56">
        <v>2457.0</v>
      </c>
      <c r="B2460" s="66"/>
      <c r="C2460" s="64" t="s">
        <v>10138</v>
      </c>
      <c r="D2460" s="66"/>
      <c r="E2460" s="63" t="s">
        <v>10139</v>
      </c>
      <c r="F2460" s="65">
        <v>41775.0</v>
      </c>
      <c r="G2460" s="63" t="s">
        <v>10140</v>
      </c>
      <c r="H2460" s="66"/>
      <c r="I2460" s="63" t="s">
        <v>10141</v>
      </c>
      <c r="J2460" s="63" t="s">
        <v>9156</v>
      </c>
      <c r="K2460" s="66"/>
      <c r="L2460" s="66"/>
      <c r="M2460" s="63" t="s">
        <v>27</v>
      </c>
      <c r="N2460" s="61"/>
      <c r="O2460" s="51"/>
    </row>
    <row r="2461">
      <c r="A2461" s="56">
        <v>2458.0</v>
      </c>
      <c r="B2461" s="71"/>
      <c r="C2461" s="69" t="s">
        <v>10142</v>
      </c>
      <c r="D2461" s="71"/>
      <c r="E2461" s="68" t="s">
        <v>10143</v>
      </c>
      <c r="F2461" s="83">
        <v>42020.0</v>
      </c>
      <c r="G2461" s="68" t="s">
        <v>10144</v>
      </c>
      <c r="H2461" s="71"/>
      <c r="I2461" s="63" t="s">
        <v>10145</v>
      </c>
      <c r="J2461" s="68" t="s">
        <v>10146</v>
      </c>
      <c r="K2461" s="71"/>
      <c r="L2461" s="71"/>
      <c r="M2461" s="68" t="s">
        <v>27</v>
      </c>
      <c r="N2461" s="61"/>
      <c r="O2461" s="51"/>
    </row>
    <row r="2462">
      <c r="A2462" s="56">
        <v>2459.0</v>
      </c>
      <c r="B2462" s="71"/>
      <c r="C2462" s="69" t="s">
        <v>10147</v>
      </c>
      <c r="D2462" s="71"/>
      <c r="E2462" s="68" t="s">
        <v>10148</v>
      </c>
      <c r="F2462" s="83">
        <v>41718.0</v>
      </c>
      <c r="G2462" s="68" t="s">
        <v>10149</v>
      </c>
      <c r="H2462" s="71"/>
      <c r="I2462" s="71"/>
      <c r="J2462" s="68" t="s">
        <v>10150</v>
      </c>
      <c r="K2462" s="71"/>
      <c r="L2462" s="71"/>
      <c r="M2462" s="71"/>
      <c r="N2462" s="61"/>
      <c r="O2462" s="51"/>
    </row>
    <row r="2463">
      <c r="A2463" s="56">
        <v>2460.0</v>
      </c>
      <c r="B2463" s="68" t="s">
        <v>10151</v>
      </c>
      <c r="C2463" s="69" t="s">
        <v>10152</v>
      </c>
      <c r="D2463" s="71"/>
      <c r="E2463" s="68" t="s">
        <v>10153</v>
      </c>
      <c r="F2463" s="83">
        <v>41292.0</v>
      </c>
      <c r="G2463" s="68" t="s">
        <v>10154</v>
      </c>
      <c r="H2463" s="71"/>
      <c r="I2463" s="68" t="s">
        <v>10155</v>
      </c>
      <c r="J2463" s="68" t="s">
        <v>7644</v>
      </c>
      <c r="K2463" s="71"/>
      <c r="L2463" s="71"/>
      <c r="M2463" s="71"/>
      <c r="N2463" s="61"/>
      <c r="O2463" s="51"/>
    </row>
    <row r="2464">
      <c r="A2464" s="56">
        <v>2461.0</v>
      </c>
      <c r="B2464" s="71"/>
      <c r="C2464" s="69" t="s">
        <v>10156</v>
      </c>
      <c r="D2464" s="71"/>
      <c r="E2464" s="68" t="s">
        <v>10157</v>
      </c>
      <c r="F2464" s="83">
        <v>41097.0</v>
      </c>
      <c r="G2464" s="68" t="s">
        <v>10158</v>
      </c>
      <c r="H2464" s="71"/>
      <c r="I2464" s="68" t="s">
        <v>10159</v>
      </c>
      <c r="J2464" s="68" t="s">
        <v>10160</v>
      </c>
      <c r="K2464" s="71"/>
      <c r="L2464" s="71"/>
      <c r="M2464" s="68" t="s">
        <v>27</v>
      </c>
      <c r="N2464" s="61"/>
      <c r="O2464" s="51"/>
    </row>
    <row r="2465">
      <c r="A2465" s="56">
        <v>2462.0</v>
      </c>
      <c r="B2465" s="71"/>
      <c r="C2465" s="69" t="s">
        <v>10161</v>
      </c>
      <c r="D2465" s="71"/>
      <c r="E2465" s="68" t="s">
        <v>10162</v>
      </c>
      <c r="F2465" s="83">
        <v>41958.0</v>
      </c>
      <c r="G2465" s="68" t="s">
        <v>10163</v>
      </c>
      <c r="H2465" s="71"/>
      <c r="I2465" s="63" t="s">
        <v>10164</v>
      </c>
      <c r="J2465" s="68" t="s">
        <v>9968</v>
      </c>
      <c r="K2465" s="71"/>
      <c r="L2465" s="71"/>
      <c r="M2465" s="71"/>
      <c r="N2465" s="61"/>
      <c r="O2465" s="51"/>
    </row>
    <row r="2466">
      <c r="A2466" s="56">
        <v>2463.0</v>
      </c>
      <c r="B2466" s="60"/>
      <c r="C2466" s="58" t="s">
        <v>10165</v>
      </c>
      <c r="D2466" s="60"/>
      <c r="E2466" s="57" t="s">
        <v>10166</v>
      </c>
      <c r="F2466" s="78">
        <v>41940.0</v>
      </c>
      <c r="G2466" s="57" t="s">
        <v>10167</v>
      </c>
      <c r="H2466" s="60"/>
      <c r="I2466" s="63" t="s">
        <v>635</v>
      </c>
      <c r="J2466" s="57" t="s">
        <v>622</v>
      </c>
      <c r="K2466" s="60"/>
      <c r="L2466" s="60"/>
      <c r="M2466" s="60"/>
      <c r="N2466" s="61"/>
      <c r="O2466" s="51"/>
    </row>
    <row r="2467">
      <c r="A2467" s="56">
        <v>2464.0</v>
      </c>
      <c r="B2467" s="60"/>
      <c r="C2467" s="58" t="s">
        <v>10168</v>
      </c>
      <c r="D2467" s="60"/>
      <c r="E2467" s="57" t="s">
        <v>10169</v>
      </c>
      <c r="F2467" s="59">
        <v>41707.0</v>
      </c>
      <c r="G2467" s="57" t="s">
        <v>10170</v>
      </c>
      <c r="H2467" s="60"/>
      <c r="I2467" s="63" t="s">
        <v>635</v>
      </c>
      <c r="J2467" s="57" t="s">
        <v>1481</v>
      </c>
      <c r="K2467" s="60"/>
      <c r="L2467" s="60"/>
      <c r="M2467" s="60"/>
      <c r="N2467" s="61"/>
      <c r="O2467" s="51"/>
    </row>
    <row r="2468">
      <c r="A2468" s="56">
        <v>2465.0</v>
      </c>
      <c r="B2468" s="60"/>
      <c r="C2468" s="58" t="s">
        <v>10171</v>
      </c>
      <c r="D2468" s="60"/>
      <c r="E2468" s="57" t="s">
        <v>10172</v>
      </c>
      <c r="F2468" s="59">
        <v>41981.0</v>
      </c>
      <c r="G2468" s="57" t="s">
        <v>10173</v>
      </c>
      <c r="H2468" s="60"/>
      <c r="I2468" s="63" t="s">
        <v>10174</v>
      </c>
      <c r="J2468" s="57" t="s">
        <v>10175</v>
      </c>
      <c r="K2468" s="60"/>
      <c r="L2468" s="60"/>
      <c r="M2468" s="60"/>
      <c r="N2468" s="61"/>
      <c r="O2468" s="51"/>
    </row>
    <row r="2469">
      <c r="A2469" s="56">
        <v>2466.0</v>
      </c>
      <c r="B2469" s="60"/>
      <c r="C2469" s="58" t="s">
        <v>10176</v>
      </c>
      <c r="D2469" s="60"/>
      <c r="E2469" s="57" t="s">
        <v>10177</v>
      </c>
      <c r="F2469" s="59">
        <v>41981.0</v>
      </c>
      <c r="G2469" s="57" t="s">
        <v>10178</v>
      </c>
      <c r="H2469" s="60"/>
      <c r="I2469" s="66"/>
      <c r="J2469" s="57" t="s">
        <v>10175</v>
      </c>
      <c r="K2469" s="60"/>
      <c r="L2469" s="60"/>
      <c r="M2469" s="60"/>
      <c r="N2469" s="61"/>
      <c r="O2469" s="51"/>
    </row>
    <row r="2470">
      <c r="A2470" s="56">
        <v>2467.0</v>
      </c>
      <c r="B2470" s="60"/>
      <c r="C2470" s="58" t="s">
        <v>10179</v>
      </c>
      <c r="D2470" s="60"/>
      <c r="E2470" s="57" t="s">
        <v>10180</v>
      </c>
      <c r="F2470" s="78">
        <v>41922.0</v>
      </c>
      <c r="G2470" s="57" t="s">
        <v>10181</v>
      </c>
      <c r="H2470" s="60"/>
      <c r="I2470" s="63" t="s">
        <v>635</v>
      </c>
      <c r="J2470" s="57" t="s">
        <v>1481</v>
      </c>
      <c r="K2470" s="60"/>
      <c r="L2470" s="60"/>
      <c r="M2470" s="60"/>
      <c r="N2470" s="61"/>
      <c r="O2470" s="51"/>
    </row>
    <row r="2471">
      <c r="A2471" s="56">
        <v>2468.0</v>
      </c>
      <c r="B2471" s="71"/>
      <c r="C2471" s="69" t="s">
        <v>10182</v>
      </c>
      <c r="D2471" s="71"/>
      <c r="E2471" s="68" t="s">
        <v>10183</v>
      </c>
      <c r="F2471" s="76">
        <v>41582.0</v>
      </c>
      <c r="G2471" s="68" t="s">
        <v>10184</v>
      </c>
      <c r="H2471" s="71"/>
      <c r="I2471" s="63" t="s">
        <v>635</v>
      </c>
      <c r="J2471" s="68" t="s">
        <v>10185</v>
      </c>
      <c r="K2471" s="71"/>
      <c r="L2471" s="71"/>
      <c r="M2471" s="71"/>
      <c r="N2471" s="61"/>
      <c r="O2471" s="51"/>
    </row>
    <row r="2472">
      <c r="A2472" s="56">
        <v>2469.0</v>
      </c>
      <c r="B2472" s="71"/>
      <c r="C2472" s="69" t="s">
        <v>10186</v>
      </c>
      <c r="D2472" s="71"/>
      <c r="E2472" s="68" t="s">
        <v>10187</v>
      </c>
      <c r="F2472" s="76">
        <v>41843.0</v>
      </c>
      <c r="G2472" s="68" t="s">
        <v>10188</v>
      </c>
      <c r="H2472" s="71"/>
      <c r="I2472" s="68" t="s">
        <v>635</v>
      </c>
      <c r="J2472" s="68" t="s">
        <v>10189</v>
      </c>
      <c r="K2472" s="71"/>
      <c r="L2472" s="71"/>
      <c r="M2472" s="71"/>
      <c r="N2472" s="61"/>
      <c r="O2472" s="51"/>
    </row>
    <row r="2473">
      <c r="A2473" s="56">
        <v>2470.0</v>
      </c>
      <c r="B2473" s="60"/>
      <c r="C2473" s="58" t="s">
        <v>10190</v>
      </c>
      <c r="D2473" s="60"/>
      <c r="E2473" s="57" t="s">
        <v>10191</v>
      </c>
      <c r="F2473" s="59">
        <v>42068.0</v>
      </c>
      <c r="G2473" s="57" t="s">
        <v>10192</v>
      </c>
      <c r="H2473" s="60"/>
      <c r="I2473" s="63" t="s">
        <v>10193</v>
      </c>
      <c r="J2473" s="57" t="s">
        <v>10194</v>
      </c>
      <c r="K2473" s="60"/>
      <c r="L2473" s="60"/>
      <c r="M2473" s="60"/>
      <c r="N2473" s="61"/>
      <c r="O2473" s="51"/>
    </row>
    <row r="2474">
      <c r="A2474" s="56">
        <v>2471.0</v>
      </c>
      <c r="B2474" s="71"/>
      <c r="C2474" s="68" t="s">
        <v>10195</v>
      </c>
      <c r="D2474" s="71"/>
      <c r="E2474" s="68" t="s">
        <v>10196</v>
      </c>
      <c r="F2474" s="76">
        <v>42068.0</v>
      </c>
      <c r="G2474" s="68" t="s">
        <v>10192</v>
      </c>
      <c r="H2474" s="71"/>
      <c r="I2474" s="68" t="s">
        <v>10193</v>
      </c>
      <c r="J2474" s="57" t="s">
        <v>10194</v>
      </c>
      <c r="K2474" s="71"/>
      <c r="L2474" s="71"/>
      <c r="M2474" s="71"/>
      <c r="N2474" s="61"/>
      <c r="O2474" s="51"/>
    </row>
    <row r="2475">
      <c r="A2475" s="56">
        <v>2472.0</v>
      </c>
      <c r="B2475" s="60"/>
      <c r="C2475" s="58" t="s">
        <v>10197</v>
      </c>
      <c r="D2475" s="60"/>
      <c r="E2475" s="57" t="s">
        <v>10198</v>
      </c>
      <c r="F2475" s="59">
        <v>42068.0</v>
      </c>
      <c r="G2475" s="57" t="s">
        <v>10192</v>
      </c>
      <c r="H2475" s="60"/>
      <c r="I2475" s="63" t="s">
        <v>10193</v>
      </c>
      <c r="J2475" s="57" t="s">
        <v>10194</v>
      </c>
      <c r="K2475" s="60"/>
      <c r="L2475" s="60"/>
      <c r="M2475" s="60"/>
      <c r="N2475" s="61"/>
      <c r="O2475" s="51"/>
    </row>
    <row r="2476">
      <c r="A2476" s="56">
        <v>2473.0</v>
      </c>
      <c r="B2476" s="60"/>
      <c r="C2476" s="58" t="s">
        <v>10199</v>
      </c>
      <c r="D2476" s="60"/>
      <c r="E2476" s="57" t="s">
        <v>10200</v>
      </c>
      <c r="F2476" s="59">
        <v>42062.0</v>
      </c>
      <c r="G2476" s="57" t="s">
        <v>10201</v>
      </c>
      <c r="H2476" s="60"/>
      <c r="I2476" s="63" t="s">
        <v>10202</v>
      </c>
      <c r="J2476" s="57" t="s">
        <v>10203</v>
      </c>
      <c r="K2476" s="60"/>
      <c r="L2476" s="60"/>
      <c r="M2476" s="60"/>
      <c r="N2476" s="61"/>
      <c r="O2476" s="51"/>
    </row>
    <row r="2477">
      <c r="A2477" s="56">
        <v>2474.0</v>
      </c>
      <c r="B2477" s="71"/>
      <c r="C2477" s="69" t="s">
        <v>10204</v>
      </c>
      <c r="D2477" s="71"/>
      <c r="E2477" s="68" t="s">
        <v>10205</v>
      </c>
      <c r="F2477" s="76">
        <v>40800.0</v>
      </c>
      <c r="G2477" s="68" t="s">
        <v>10206</v>
      </c>
      <c r="H2477" s="71"/>
      <c r="I2477" s="63" t="s">
        <v>10207</v>
      </c>
      <c r="J2477" s="68" t="s">
        <v>10208</v>
      </c>
      <c r="K2477" s="71"/>
      <c r="L2477" s="71"/>
      <c r="M2477" s="71"/>
      <c r="N2477" s="61"/>
      <c r="O2477" s="51"/>
    </row>
    <row r="2478">
      <c r="A2478" s="56">
        <v>2475.0</v>
      </c>
      <c r="B2478" s="71"/>
      <c r="C2478" s="69" t="s">
        <v>10209</v>
      </c>
      <c r="D2478" s="71"/>
      <c r="E2478" s="68" t="s">
        <v>10210</v>
      </c>
      <c r="F2478" s="68" t="s">
        <v>10211</v>
      </c>
      <c r="G2478" s="68" t="s">
        <v>10212</v>
      </c>
      <c r="H2478" s="71"/>
      <c r="I2478" s="63" t="s">
        <v>635</v>
      </c>
      <c r="J2478" s="68" t="s">
        <v>10213</v>
      </c>
      <c r="K2478" s="71"/>
      <c r="L2478" s="71"/>
      <c r="M2478" s="68" t="s">
        <v>195</v>
      </c>
      <c r="N2478" s="61"/>
      <c r="O2478" s="51"/>
    </row>
    <row r="2479">
      <c r="A2479" s="56">
        <v>2476.0</v>
      </c>
      <c r="B2479" s="60"/>
      <c r="C2479" s="58" t="s">
        <v>10214</v>
      </c>
      <c r="D2479" s="60"/>
      <c r="E2479" s="57" t="s">
        <v>10215</v>
      </c>
      <c r="F2479" s="60"/>
      <c r="G2479" s="57" t="s">
        <v>10216</v>
      </c>
      <c r="H2479" s="60"/>
      <c r="I2479" s="63" t="s">
        <v>635</v>
      </c>
      <c r="J2479" s="57" t="s">
        <v>1481</v>
      </c>
      <c r="K2479" s="60"/>
      <c r="L2479" s="60"/>
      <c r="M2479" s="60"/>
      <c r="N2479" s="61"/>
      <c r="O2479" s="51"/>
    </row>
    <row r="2480">
      <c r="A2480" s="56">
        <v>2477.0</v>
      </c>
      <c r="B2480" s="60"/>
      <c r="C2480" s="58" t="s">
        <v>10217</v>
      </c>
      <c r="D2480" s="60"/>
      <c r="E2480" s="57" t="s">
        <v>10218</v>
      </c>
      <c r="F2480" s="60"/>
      <c r="G2480" s="57" t="s">
        <v>10219</v>
      </c>
      <c r="H2480" s="60"/>
      <c r="I2480" s="63" t="s">
        <v>635</v>
      </c>
      <c r="J2480" s="57" t="s">
        <v>1481</v>
      </c>
      <c r="K2480" s="60"/>
      <c r="L2480" s="60"/>
      <c r="M2480" s="60"/>
      <c r="N2480" s="61"/>
      <c r="O2480" s="51"/>
    </row>
    <row r="2481">
      <c r="A2481" s="56">
        <v>2478.0</v>
      </c>
      <c r="B2481" s="60"/>
      <c r="C2481" s="58" t="s">
        <v>10220</v>
      </c>
      <c r="D2481" s="60"/>
      <c r="E2481" s="57" t="s">
        <v>10221</v>
      </c>
      <c r="F2481" s="59">
        <v>42061.0</v>
      </c>
      <c r="G2481" s="57" t="s">
        <v>10222</v>
      </c>
      <c r="H2481" s="60"/>
      <c r="I2481" s="63" t="s">
        <v>635</v>
      </c>
      <c r="J2481" s="57" t="s">
        <v>1481</v>
      </c>
      <c r="K2481" s="60"/>
      <c r="L2481" s="60"/>
      <c r="M2481" s="60"/>
      <c r="N2481" s="61"/>
      <c r="O2481" s="51"/>
    </row>
    <row r="2482">
      <c r="A2482" s="56">
        <v>2479.0</v>
      </c>
      <c r="B2482" s="60"/>
      <c r="C2482" s="58" t="s">
        <v>10223</v>
      </c>
      <c r="D2482" s="60"/>
      <c r="E2482" s="57" t="s">
        <v>10224</v>
      </c>
      <c r="F2482" s="59">
        <v>42061.0</v>
      </c>
      <c r="G2482" s="57" t="s">
        <v>10225</v>
      </c>
      <c r="H2482" s="60"/>
      <c r="I2482" s="63" t="s">
        <v>635</v>
      </c>
      <c r="J2482" s="57" t="s">
        <v>1481</v>
      </c>
      <c r="K2482" s="60"/>
      <c r="L2482" s="60"/>
      <c r="M2482" s="60"/>
      <c r="N2482" s="61"/>
      <c r="O2482" s="51"/>
    </row>
    <row r="2483">
      <c r="A2483" s="56">
        <v>2480.0</v>
      </c>
      <c r="B2483" s="60"/>
      <c r="C2483" s="58" t="s">
        <v>10226</v>
      </c>
      <c r="D2483" s="60"/>
      <c r="E2483" s="57" t="s">
        <v>10227</v>
      </c>
      <c r="F2483" s="59">
        <v>42061.0</v>
      </c>
      <c r="G2483" s="57" t="s">
        <v>10228</v>
      </c>
      <c r="H2483" s="60"/>
      <c r="I2483" s="63" t="s">
        <v>635</v>
      </c>
      <c r="J2483" s="57" t="s">
        <v>4736</v>
      </c>
      <c r="K2483" s="60"/>
      <c r="L2483" s="60"/>
      <c r="M2483" s="60"/>
      <c r="N2483" s="61"/>
      <c r="O2483" s="51"/>
    </row>
    <row r="2484">
      <c r="A2484" s="56">
        <v>2481.0</v>
      </c>
      <c r="B2484" s="60"/>
      <c r="C2484" s="58" t="s">
        <v>10229</v>
      </c>
      <c r="D2484" s="60"/>
      <c r="E2484" s="57" t="s">
        <v>10230</v>
      </c>
      <c r="F2484" s="59">
        <v>42060.0</v>
      </c>
      <c r="G2484" s="57" t="s">
        <v>10231</v>
      </c>
      <c r="H2484" s="60"/>
      <c r="I2484" s="63" t="s">
        <v>635</v>
      </c>
      <c r="J2484" s="57" t="s">
        <v>1481</v>
      </c>
      <c r="K2484" s="60"/>
      <c r="L2484" s="60"/>
      <c r="M2484" s="60"/>
      <c r="N2484" s="61"/>
      <c r="O2484" s="51"/>
    </row>
    <row r="2485">
      <c r="A2485" s="56">
        <v>2482.0</v>
      </c>
      <c r="B2485" s="60"/>
      <c r="C2485" s="58" t="s">
        <v>10232</v>
      </c>
      <c r="D2485" s="60"/>
      <c r="E2485" s="57" t="s">
        <v>10233</v>
      </c>
      <c r="F2485" s="59">
        <v>42059.0</v>
      </c>
      <c r="G2485" s="57" t="s">
        <v>10234</v>
      </c>
      <c r="H2485" s="60"/>
      <c r="I2485" s="63" t="s">
        <v>635</v>
      </c>
      <c r="J2485" s="57" t="s">
        <v>1481</v>
      </c>
      <c r="K2485" s="60"/>
      <c r="L2485" s="60"/>
      <c r="M2485" s="60"/>
      <c r="N2485" s="61"/>
      <c r="O2485" s="51"/>
    </row>
    <row r="2486">
      <c r="A2486" s="56">
        <v>2483.0</v>
      </c>
      <c r="B2486" s="60"/>
      <c r="C2486" s="58" t="s">
        <v>10235</v>
      </c>
      <c r="D2486" s="60"/>
      <c r="E2486" s="57" t="s">
        <v>10236</v>
      </c>
      <c r="F2486" s="59">
        <v>41317.0</v>
      </c>
      <c r="G2486" s="57" t="s">
        <v>10237</v>
      </c>
      <c r="H2486" s="60"/>
      <c r="I2486" s="63" t="s">
        <v>635</v>
      </c>
      <c r="J2486" s="57" t="s">
        <v>1481</v>
      </c>
      <c r="K2486" s="60"/>
      <c r="L2486" s="60"/>
      <c r="M2486" s="60"/>
      <c r="N2486" s="61"/>
      <c r="O2486" s="51"/>
    </row>
    <row r="2487">
      <c r="A2487" s="56">
        <v>2484.0</v>
      </c>
      <c r="B2487" s="71"/>
      <c r="C2487" s="69" t="s">
        <v>10238</v>
      </c>
      <c r="D2487" s="71"/>
      <c r="E2487" s="68" t="s">
        <v>10239</v>
      </c>
      <c r="F2487" s="76">
        <v>42035.0</v>
      </c>
      <c r="G2487" s="68" t="s">
        <v>10240</v>
      </c>
      <c r="H2487" s="71"/>
      <c r="I2487" s="63" t="s">
        <v>10241</v>
      </c>
      <c r="J2487" s="68" t="s">
        <v>10242</v>
      </c>
      <c r="K2487" s="71"/>
      <c r="L2487" s="71"/>
      <c r="M2487" s="68" t="s">
        <v>166</v>
      </c>
      <c r="N2487" s="61"/>
      <c r="O2487" s="51"/>
    </row>
    <row r="2488">
      <c r="A2488" s="56">
        <v>2485.0</v>
      </c>
      <c r="B2488" s="60"/>
      <c r="C2488" s="58" t="s">
        <v>10243</v>
      </c>
      <c r="D2488" s="57" t="s">
        <v>10244</v>
      </c>
      <c r="E2488" s="57" t="s">
        <v>10245</v>
      </c>
      <c r="F2488" s="59">
        <v>42025.0</v>
      </c>
      <c r="G2488" s="57" t="s">
        <v>10246</v>
      </c>
      <c r="H2488" s="60"/>
      <c r="I2488" s="63" t="s">
        <v>10247</v>
      </c>
      <c r="J2488" s="57" t="s">
        <v>1481</v>
      </c>
      <c r="K2488" s="60"/>
      <c r="L2488" s="60"/>
      <c r="M2488" s="60"/>
      <c r="N2488" s="61"/>
      <c r="O2488" s="51"/>
    </row>
    <row r="2489">
      <c r="A2489" s="56">
        <v>2486.0</v>
      </c>
      <c r="B2489" s="60"/>
      <c r="C2489" s="58" t="s">
        <v>10248</v>
      </c>
      <c r="D2489" s="60"/>
      <c r="E2489" s="57" t="s">
        <v>10249</v>
      </c>
      <c r="F2489" s="59">
        <v>42024.0</v>
      </c>
      <c r="G2489" s="57" t="s">
        <v>10250</v>
      </c>
      <c r="H2489" s="60"/>
      <c r="I2489" s="63" t="s">
        <v>635</v>
      </c>
      <c r="J2489" s="57" t="s">
        <v>1481</v>
      </c>
      <c r="K2489" s="60"/>
      <c r="L2489" s="60"/>
      <c r="M2489" s="60"/>
      <c r="N2489" s="61"/>
      <c r="O2489" s="51"/>
    </row>
    <row r="2490">
      <c r="A2490" s="56">
        <v>2487.0</v>
      </c>
      <c r="B2490" s="60"/>
      <c r="C2490" s="58" t="s">
        <v>10251</v>
      </c>
      <c r="D2490" s="60"/>
      <c r="E2490" s="57" t="s">
        <v>10252</v>
      </c>
      <c r="F2490" s="59">
        <v>42024.0</v>
      </c>
      <c r="G2490" s="57" t="s">
        <v>10253</v>
      </c>
      <c r="H2490" s="60"/>
      <c r="I2490" s="63" t="s">
        <v>635</v>
      </c>
      <c r="J2490" s="57" t="s">
        <v>622</v>
      </c>
      <c r="K2490" s="60"/>
      <c r="L2490" s="60"/>
      <c r="M2490" s="60"/>
      <c r="N2490" s="61"/>
      <c r="O2490" s="51"/>
    </row>
    <row r="2491">
      <c r="A2491" s="56">
        <v>2488.0</v>
      </c>
      <c r="B2491" s="71"/>
      <c r="C2491" s="69" t="s">
        <v>10254</v>
      </c>
      <c r="D2491" s="71"/>
      <c r="E2491" s="68" t="s">
        <v>10255</v>
      </c>
      <c r="F2491" s="76">
        <v>42061.0</v>
      </c>
      <c r="G2491" s="68" t="s">
        <v>10256</v>
      </c>
      <c r="H2491" s="71"/>
      <c r="I2491" s="63" t="s">
        <v>10257</v>
      </c>
      <c r="J2491" s="68" t="s">
        <v>10258</v>
      </c>
      <c r="K2491" s="71"/>
      <c r="L2491" s="71"/>
      <c r="M2491" s="71"/>
      <c r="N2491" s="61"/>
      <c r="O2491" s="51"/>
    </row>
    <row r="2492">
      <c r="A2492" s="56">
        <v>2489.0</v>
      </c>
      <c r="B2492" s="60"/>
      <c r="C2492" s="58" t="s">
        <v>10259</v>
      </c>
      <c r="D2492" s="60"/>
      <c r="E2492" s="57" t="s">
        <v>10260</v>
      </c>
      <c r="F2492" s="59">
        <v>42095.0</v>
      </c>
      <c r="G2492" s="57" t="s">
        <v>10261</v>
      </c>
      <c r="H2492" s="60"/>
      <c r="I2492" s="63" t="s">
        <v>10262</v>
      </c>
      <c r="J2492" s="57" t="s">
        <v>10263</v>
      </c>
      <c r="K2492" s="60"/>
      <c r="L2492" s="60"/>
      <c r="M2492" s="60"/>
      <c r="N2492" s="61"/>
      <c r="O2492" s="51"/>
    </row>
    <row r="2493">
      <c r="A2493" s="56">
        <v>2490.0</v>
      </c>
      <c r="B2493" s="71"/>
      <c r="C2493" s="69" t="s">
        <v>10264</v>
      </c>
      <c r="D2493" s="71"/>
      <c r="E2493" s="68" t="s">
        <v>10265</v>
      </c>
      <c r="F2493" s="76">
        <v>41865.0</v>
      </c>
      <c r="G2493" s="68" t="s">
        <v>10266</v>
      </c>
      <c r="H2493" s="71"/>
      <c r="I2493" s="63" t="s">
        <v>10267</v>
      </c>
      <c r="J2493" s="57" t="s">
        <v>10268</v>
      </c>
      <c r="K2493" s="71"/>
      <c r="L2493" s="71"/>
      <c r="M2493" s="71"/>
      <c r="N2493" s="61"/>
      <c r="O2493" s="51"/>
    </row>
    <row r="2494">
      <c r="A2494" s="56">
        <v>2491.0</v>
      </c>
      <c r="B2494" s="60"/>
      <c r="C2494" s="58" t="s">
        <v>10269</v>
      </c>
      <c r="D2494" s="60"/>
      <c r="E2494" s="57" t="s">
        <v>10270</v>
      </c>
      <c r="F2494" s="59">
        <v>41812.0</v>
      </c>
      <c r="G2494" s="57" t="s">
        <v>10271</v>
      </c>
      <c r="H2494" s="60"/>
      <c r="I2494" s="63" t="s">
        <v>10272</v>
      </c>
      <c r="J2494" s="57" t="s">
        <v>10273</v>
      </c>
      <c r="K2494" s="60"/>
      <c r="L2494" s="60"/>
      <c r="M2494" s="60"/>
      <c r="N2494" s="61"/>
      <c r="O2494" s="51"/>
    </row>
    <row r="2495">
      <c r="A2495" s="56">
        <v>2492.0</v>
      </c>
      <c r="B2495" s="66"/>
      <c r="C2495" s="64" t="s">
        <v>10274</v>
      </c>
      <c r="D2495" s="66"/>
      <c r="E2495" s="63" t="s">
        <v>10275</v>
      </c>
      <c r="F2495" s="66"/>
      <c r="G2495" s="63" t="s">
        <v>10276</v>
      </c>
      <c r="H2495" s="66"/>
      <c r="I2495" s="63" t="s">
        <v>10277</v>
      </c>
      <c r="J2495" s="63" t="s">
        <v>10278</v>
      </c>
      <c r="K2495" s="66"/>
      <c r="L2495" s="66"/>
      <c r="M2495" s="63" t="s">
        <v>10279</v>
      </c>
      <c r="N2495" s="61"/>
      <c r="O2495" s="51"/>
    </row>
    <row r="2496">
      <c r="A2496" s="56">
        <v>2493.0</v>
      </c>
      <c r="B2496" s="71"/>
      <c r="C2496" s="69" t="s">
        <v>10280</v>
      </c>
      <c r="D2496" s="71"/>
      <c r="E2496" s="68" t="s">
        <v>10281</v>
      </c>
      <c r="F2496" s="76">
        <v>41611.0</v>
      </c>
      <c r="G2496" s="68" t="s">
        <v>10282</v>
      </c>
      <c r="H2496" s="71"/>
      <c r="I2496" s="63" t="s">
        <v>10283</v>
      </c>
      <c r="J2496" s="68" t="s">
        <v>10284</v>
      </c>
      <c r="K2496" s="71"/>
      <c r="L2496" s="71"/>
      <c r="M2496" s="71"/>
      <c r="N2496" s="61"/>
      <c r="O2496" s="51"/>
    </row>
    <row r="2497">
      <c r="A2497" s="56">
        <v>2494.0</v>
      </c>
      <c r="B2497" s="71"/>
      <c r="C2497" s="69" t="s">
        <v>10285</v>
      </c>
      <c r="D2497" s="71"/>
      <c r="E2497" s="68" t="s">
        <v>10286</v>
      </c>
      <c r="F2497" s="183">
        <v>40026.0</v>
      </c>
      <c r="G2497" s="68" t="s">
        <v>10287</v>
      </c>
      <c r="H2497" s="71"/>
      <c r="I2497" s="68" t="s">
        <v>10288</v>
      </c>
      <c r="J2497" s="68" t="s">
        <v>10289</v>
      </c>
      <c r="K2497" s="71"/>
      <c r="L2497" s="71"/>
      <c r="M2497" s="71"/>
      <c r="N2497" s="61"/>
      <c r="O2497" s="51"/>
    </row>
    <row r="2498">
      <c r="A2498" s="56">
        <v>2495.0</v>
      </c>
      <c r="B2498" s="60"/>
      <c r="C2498" s="58" t="s">
        <v>10290</v>
      </c>
      <c r="D2498" s="60"/>
      <c r="E2498" s="57" t="s">
        <v>10291</v>
      </c>
      <c r="F2498" s="59">
        <v>41729.0</v>
      </c>
      <c r="G2498" s="57" t="s">
        <v>10292</v>
      </c>
      <c r="H2498" s="60"/>
      <c r="I2498" s="63" t="s">
        <v>635</v>
      </c>
      <c r="J2498" s="57" t="s">
        <v>10293</v>
      </c>
      <c r="K2498" s="60"/>
      <c r="L2498" s="60"/>
      <c r="M2498" s="60"/>
      <c r="N2498" s="61"/>
      <c r="O2498" s="51"/>
    </row>
    <row r="2499">
      <c r="A2499" s="56">
        <v>2496.0</v>
      </c>
      <c r="B2499" s="66"/>
      <c r="C2499" s="64" t="s">
        <v>10294</v>
      </c>
      <c r="D2499" s="66"/>
      <c r="E2499" s="63" t="s">
        <v>10295</v>
      </c>
      <c r="F2499" s="70">
        <v>41781.0</v>
      </c>
      <c r="G2499" s="63" t="s">
        <v>10296</v>
      </c>
      <c r="H2499" s="66"/>
      <c r="I2499" s="63" t="s">
        <v>10297</v>
      </c>
      <c r="J2499" s="63" t="s">
        <v>2872</v>
      </c>
      <c r="K2499" s="66"/>
      <c r="L2499" s="66"/>
      <c r="M2499" s="63" t="s">
        <v>125</v>
      </c>
      <c r="N2499" s="61"/>
      <c r="O2499" s="51"/>
    </row>
    <row r="2500">
      <c r="A2500" s="56">
        <v>2497.0</v>
      </c>
      <c r="B2500" s="60"/>
      <c r="C2500" s="58" t="s">
        <v>10298</v>
      </c>
      <c r="D2500" s="60"/>
      <c r="E2500" s="57" t="s">
        <v>10299</v>
      </c>
      <c r="F2500" s="60"/>
      <c r="G2500" s="57" t="s">
        <v>10300</v>
      </c>
      <c r="H2500" s="60"/>
      <c r="I2500" s="63" t="s">
        <v>635</v>
      </c>
      <c r="J2500" s="57" t="s">
        <v>10301</v>
      </c>
      <c r="K2500" s="60"/>
      <c r="L2500" s="60"/>
      <c r="M2500" s="60"/>
      <c r="N2500" s="61"/>
      <c r="O2500" s="51"/>
    </row>
    <row r="2501">
      <c r="A2501" s="56">
        <v>2498.0</v>
      </c>
      <c r="B2501" s="60"/>
      <c r="C2501" s="58" t="s">
        <v>10302</v>
      </c>
      <c r="D2501" s="60"/>
      <c r="E2501" s="57" t="s">
        <v>10303</v>
      </c>
      <c r="F2501" s="59">
        <v>40850.0</v>
      </c>
      <c r="G2501" s="57" t="s">
        <v>10304</v>
      </c>
      <c r="H2501" s="60"/>
      <c r="I2501" s="63" t="s">
        <v>635</v>
      </c>
      <c r="J2501" s="57" t="s">
        <v>10305</v>
      </c>
      <c r="K2501" s="60"/>
      <c r="L2501" s="60"/>
      <c r="M2501" s="60"/>
      <c r="N2501" s="61"/>
      <c r="O2501" s="51"/>
    </row>
    <row r="2502">
      <c r="A2502" s="56">
        <v>2499.0</v>
      </c>
      <c r="B2502" s="60"/>
      <c r="C2502" s="58" t="s">
        <v>10306</v>
      </c>
      <c r="D2502" s="60"/>
      <c r="E2502" s="57" t="s">
        <v>10307</v>
      </c>
      <c r="F2502" s="59">
        <v>42096.0</v>
      </c>
      <c r="G2502" s="57" t="s">
        <v>10308</v>
      </c>
      <c r="H2502" s="60"/>
      <c r="I2502" s="63" t="s">
        <v>10309</v>
      </c>
      <c r="J2502" s="57" t="s">
        <v>10310</v>
      </c>
      <c r="K2502" s="60"/>
      <c r="L2502" s="60"/>
      <c r="M2502" s="60"/>
      <c r="N2502" s="61"/>
      <c r="O2502" s="51"/>
    </row>
    <row r="2503">
      <c r="A2503" s="56">
        <v>2500.0</v>
      </c>
      <c r="B2503" s="60"/>
      <c r="C2503" s="58" t="s">
        <v>10311</v>
      </c>
      <c r="D2503" s="60"/>
      <c r="E2503" s="57" t="s">
        <v>10312</v>
      </c>
      <c r="F2503" s="59">
        <v>42063.0</v>
      </c>
      <c r="G2503" s="57" t="s">
        <v>10313</v>
      </c>
      <c r="H2503" s="60"/>
      <c r="I2503" s="63" t="s">
        <v>10314</v>
      </c>
      <c r="J2503" s="57" t="s">
        <v>10315</v>
      </c>
      <c r="K2503" s="60"/>
      <c r="L2503" s="60"/>
      <c r="M2503" s="60"/>
      <c r="N2503" s="61"/>
      <c r="O2503" s="51"/>
    </row>
    <row r="2504">
      <c r="A2504" s="56">
        <v>2501.0</v>
      </c>
      <c r="B2504" s="66"/>
      <c r="C2504" s="64" t="s">
        <v>10316</v>
      </c>
      <c r="D2504" s="66"/>
      <c r="E2504" s="63" t="s">
        <v>10317</v>
      </c>
      <c r="F2504" s="70">
        <v>42074.0</v>
      </c>
      <c r="G2504" s="63" t="s">
        <v>10318</v>
      </c>
      <c r="H2504" s="66"/>
      <c r="I2504" s="63" t="s">
        <v>10319</v>
      </c>
      <c r="J2504" s="63" t="s">
        <v>10320</v>
      </c>
      <c r="K2504" s="66"/>
      <c r="L2504" s="66"/>
      <c r="M2504" s="63" t="s">
        <v>2748</v>
      </c>
      <c r="N2504" s="61"/>
      <c r="O2504" s="51"/>
    </row>
    <row r="2505">
      <c r="A2505" s="56">
        <v>2502.0</v>
      </c>
      <c r="B2505" s="71"/>
      <c r="C2505" s="69" t="s">
        <v>10321</v>
      </c>
      <c r="D2505" s="71"/>
      <c r="E2505" s="68" t="s">
        <v>10322</v>
      </c>
      <c r="F2505" s="76">
        <v>41951.0</v>
      </c>
      <c r="G2505" s="68" t="s">
        <v>10323</v>
      </c>
      <c r="H2505" s="71"/>
      <c r="I2505" s="80" t="s">
        <v>10324</v>
      </c>
      <c r="J2505" s="68" t="s">
        <v>10325</v>
      </c>
      <c r="K2505" s="71"/>
      <c r="L2505" s="71"/>
      <c r="M2505" s="71"/>
      <c r="N2505" s="61"/>
      <c r="O2505" s="51"/>
    </row>
    <row r="2506">
      <c r="A2506" s="56">
        <v>2503.0</v>
      </c>
      <c r="B2506" s="66"/>
      <c r="C2506" s="64" t="s">
        <v>10326</v>
      </c>
      <c r="D2506" s="66"/>
      <c r="E2506" s="63" t="s">
        <v>10327</v>
      </c>
      <c r="F2506" s="70">
        <v>39968.0</v>
      </c>
      <c r="G2506" s="63" t="s">
        <v>10328</v>
      </c>
      <c r="H2506" s="66"/>
      <c r="I2506" s="80" t="s">
        <v>10329</v>
      </c>
      <c r="J2506" s="63" t="s">
        <v>1872</v>
      </c>
      <c r="K2506" s="66"/>
      <c r="L2506" s="66"/>
      <c r="M2506" s="63" t="s">
        <v>530</v>
      </c>
      <c r="N2506" s="61"/>
      <c r="O2506" s="51"/>
    </row>
    <row r="2507">
      <c r="A2507" s="56">
        <v>2504.0</v>
      </c>
      <c r="B2507" s="66"/>
      <c r="C2507" s="64" t="s">
        <v>10330</v>
      </c>
      <c r="D2507" s="66"/>
      <c r="E2507" s="63" t="s">
        <v>10331</v>
      </c>
      <c r="F2507" s="70">
        <v>39968.0</v>
      </c>
      <c r="G2507" s="63" t="s">
        <v>10328</v>
      </c>
      <c r="H2507" s="66"/>
      <c r="I2507" s="80" t="s">
        <v>10329</v>
      </c>
      <c r="J2507" s="63" t="s">
        <v>1872</v>
      </c>
      <c r="K2507" s="66"/>
      <c r="L2507" s="66"/>
      <c r="M2507" s="63" t="s">
        <v>530</v>
      </c>
      <c r="N2507" s="61"/>
      <c r="O2507" s="51"/>
    </row>
    <row r="2508">
      <c r="A2508" s="56">
        <v>2505.0</v>
      </c>
      <c r="B2508" s="71"/>
      <c r="C2508" s="69" t="s">
        <v>10332</v>
      </c>
      <c r="D2508" s="71"/>
      <c r="E2508" s="68" t="s">
        <v>10333</v>
      </c>
      <c r="F2508" s="76">
        <v>41490.0</v>
      </c>
      <c r="G2508" s="68" t="s">
        <v>10334</v>
      </c>
      <c r="H2508" s="71"/>
      <c r="I2508" s="68" t="s">
        <v>10335</v>
      </c>
      <c r="J2508" s="87" t="s">
        <v>10336</v>
      </c>
      <c r="K2508" s="71"/>
      <c r="L2508" s="71"/>
      <c r="M2508" s="68" t="s">
        <v>368</v>
      </c>
      <c r="N2508" s="77"/>
      <c r="O2508" s="51"/>
    </row>
    <row r="2509">
      <c r="A2509" s="56">
        <v>2506.0</v>
      </c>
      <c r="B2509" s="71"/>
      <c r="C2509" s="69" t="s">
        <v>10337</v>
      </c>
      <c r="D2509" s="71"/>
      <c r="E2509" s="68" t="s">
        <v>10338</v>
      </c>
      <c r="F2509" s="76">
        <v>42025.0</v>
      </c>
      <c r="G2509" s="68" t="s">
        <v>10339</v>
      </c>
      <c r="H2509" s="71"/>
      <c r="I2509" s="63" t="s">
        <v>635</v>
      </c>
      <c r="J2509" s="68" t="s">
        <v>1481</v>
      </c>
      <c r="K2509" s="71"/>
      <c r="L2509" s="71"/>
      <c r="M2509" s="71"/>
      <c r="N2509" s="61"/>
      <c r="O2509" s="51"/>
    </row>
    <row r="2510">
      <c r="A2510" s="56">
        <v>2507.0</v>
      </c>
      <c r="B2510" s="71"/>
      <c r="C2510" s="69" t="s">
        <v>10340</v>
      </c>
      <c r="D2510" s="71"/>
      <c r="E2510" s="68" t="s">
        <v>10341</v>
      </c>
      <c r="F2510" s="68">
        <v>2012.0</v>
      </c>
      <c r="G2510" s="68" t="s">
        <v>10342</v>
      </c>
      <c r="H2510" s="71"/>
      <c r="I2510" s="63" t="s">
        <v>10343</v>
      </c>
      <c r="J2510" s="68" t="s">
        <v>10344</v>
      </c>
      <c r="K2510" s="71"/>
      <c r="L2510" s="71"/>
      <c r="M2510" s="71"/>
      <c r="N2510" s="61"/>
      <c r="O2510" s="51"/>
    </row>
    <row r="2511">
      <c r="A2511" s="56">
        <v>2508.0</v>
      </c>
      <c r="B2511" s="60"/>
      <c r="C2511" s="58" t="s">
        <v>10345</v>
      </c>
      <c r="D2511" s="60"/>
      <c r="E2511" s="57" t="s">
        <v>10346</v>
      </c>
      <c r="F2511" s="59">
        <v>42059.0</v>
      </c>
      <c r="G2511" s="57" t="s">
        <v>10347</v>
      </c>
      <c r="H2511" s="60"/>
      <c r="I2511" s="63" t="s">
        <v>10348</v>
      </c>
      <c r="J2511" s="57" t="s">
        <v>4736</v>
      </c>
      <c r="K2511" s="60"/>
      <c r="L2511" s="60"/>
      <c r="M2511" s="60"/>
      <c r="N2511" s="61"/>
      <c r="O2511" s="51"/>
    </row>
    <row r="2512">
      <c r="A2512" s="56">
        <v>2509.0</v>
      </c>
      <c r="B2512" s="66"/>
      <c r="C2512" s="64" t="s">
        <v>10349</v>
      </c>
      <c r="D2512" s="66"/>
      <c r="E2512" s="63" t="s">
        <v>10350</v>
      </c>
      <c r="F2512" s="63">
        <v>2009.0</v>
      </c>
      <c r="G2512" s="63" t="s">
        <v>10351</v>
      </c>
      <c r="H2512" s="66"/>
      <c r="I2512" s="63" t="s">
        <v>10352</v>
      </c>
      <c r="J2512" s="63" t="s">
        <v>1872</v>
      </c>
      <c r="K2512" s="66"/>
      <c r="L2512" s="66"/>
      <c r="M2512" s="63" t="s">
        <v>530</v>
      </c>
      <c r="N2512" s="61"/>
      <c r="O2512" s="51"/>
    </row>
    <row r="2513">
      <c r="A2513" s="56">
        <v>2510.0</v>
      </c>
      <c r="B2513" s="71"/>
      <c r="C2513" s="69" t="s">
        <v>10353</v>
      </c>
      <c r="D2513" s="71"/>
      <c r="E2513" s="68" t="s">
        <v>10354</v>
      </c>
      <c r="F2513" s="68">
        <v>2009.0</v>
      </c>
      <c r="G2513" s="68" t="s">
        <v>10355</v>
      </c>
      <c r="H2513" s="71"/>
      <c r="I2513" s="63" t="s">
        <v>10356</v>
      </c>
      <c r="J2513" s="68" t="s">
        <v>10357</v>
      </c>
      <c r="K2513" s="71"/>
      <c r="L2513" s="71"/>
      <c r="M2513" s="68" t="s">
        <v>530</v>
      </c>
      <c r="N2513" s="61"/>
      <c r="O2513" s="51"/>
    </row>
    <row r="2514">
      <c r="A2514" s="56">
        <v>2511.0</v>
      </c>
      <c r="B2514" s="60"/>
      <c r="C2514" s="58" t="s">
        <v>10358</v>
      </c>
      <c r="D2514" s="60"/>
      <c r="E2514" s="57" t="s">
        <v>10359</v>
      </c>
      <c r="F2514" s="59">
        <v>42067.0</v>
      </c>
      <c r="G2514" s="57" t="s">
        <v>10360</v>
      </c>
      <c r="H2514" s="60"/>
      <c r="I2514" s="63" t="s">
        <v>635</v>
      </c>
      <c r="J2514" s="57" t="s">
        <v>1481</v>
      </c>
      <c r="K2514" s="60"/>
      <c r="L2514" s="60"/>
      <c r="M2514" s="60"/>
      <c r="N2514" s="61"/>
      <c r="O2514" s="51"/>
    </row>
    <row r="2515">
      <c r="A2515" s="62">
        <v>2512.0</v>
      </c>
      <c r="B2515" s="66"/>
      <c r="C2515" s="64" t="s">
        <v>10361</v>
      </c>
      <c r="D2515" s="66"/>
      <c r="E2515" s="63" t="s">
        <v>10362</v>
      </c>
      <c r="F2515" s="70">
        <v>42040.0</v>
      </c>
      <c r="G2515" s="63" t="s">
        <v>10363</v>
      </c>
      <c r="H2515" s="66"/>
      <c r="I2515" s="63" t="s">
        <v>10364</v>
      </c>
      <c r="J2515" s="66"/>
      <c r="K2515" s="66"/>
      <c r="L2515" s="66"/>
      <c r="M2515" s="63" t="s">
        <v>27</v>
      </c>
      <c r="N2515" s="61"/>
      <c r="O2515" s="51"/>
    </row>
    <row r="2516">
      <c r="A2516" s="56">
        <v>2513.0</v>
      </c>
      <c r="B2516" s="60"/>
      <c r="C2516" s="58" t="s">
        <v>10365</v>
      </c>
      <c r="D2516" s="60"/>
      <c r="E2516" s="57" t="s">
        <v>10366</v>
      </c>
      <c r="F2516" s="59">
        <v>42067.0</v>
      </c>
      <c r="G2516" s="57" t="s">
        <v>10367</v>
      </c>
      <c r="H2516" s="60"/>
      <c r="I2516" s="63" t="s">
        <v>635</v>
      </c>
      <c r="J2516" s="57" t="s">
        <v>1481</v>
      </c>
      <c r="K2516" s="60"/>
      <c r="L2516" s="60"/>
      <c r="M2516" s="60"/>
      <c r="N2516" s="61"/>
      <c r="O2516" s="51"/>
    </row>
    <row r="2517">
      <c r="A2517" s="56">
        <v>2514.0</v>
      </c>
      <c r="B2517" s="60"/>
      <c r="C2517" s="58" t="s">
        <v>10368</v>
      </c>
      <c r="D2517" s="60"/>
      <c r="E2517" s="57" t="s">
        <v>10369</v>
      </c>
      <c r="F2517" s="59">
        <v>42065.0</v>
      </c>
      <c r="G2517" s="57" t="s">
        <v>10370</v>
      </c>
      <c r="H2517" s="60"/>
      <c r="I2517" s="63" t="s">
        <v>635</v>
      </c>
      <c r="J2517" s="57" t="s">
        <v>1481</v>
      </c>
      <c r="K2517" s="60"/>
      <c r="L2517" s="60"/>
      <c r="M2517" s="60"/>
      <c r="N2517" s="61"/>
      <c r="O2517" s="51"/>
    </row>
    <row r="2518">
      <c r="A2518" s="56">
        <v>2515.0</v>
      </c>
      <c r="B2518" s="60"/>
      <c r="C2518" s="58" t="s">
        <v>10371</v>
      </c>
      <c r="D2518" s="60"/>
      <c r="E2518" s="57" t="s">
        <v>10372</v>
      </c>
      <c r="F2518" s="59">
        <v>42064.0</v>
      </c>
      <c r="G2518" s="60"/>
      <c r="H2518" s="60"/>
      <c r="I2518" s="63" t="s">
        <v>635</v>
      </c>
      <c r="J2518" s="57" t="s">
        <v>1481</v>
      </c>
      <c r="K2518" s="60"/>
      <c r="L2518" s="60"/>
      <c r="M2518" s="57" t="s">
        <v>166</v>
      </c>
      <c r="N2518" s="61"/>
      <c r="O2518" s="51"/>
    </row>
    <row r="2519">
      <c r="A2519" s="56">
        <v>2516.0</v>
      </c>
      <c r="B2519" s="66"/>
      <c r="C2519" s="79" t="s">
        <v>10373</v>
      </c>
      <c r="D2519" s="66"/>
      <c r="E2519" s="63" t="s">
        <v>10374</v>
      </c>
      <c r="F2519" s="70">
        <v>42062.0</v>
      </c>
      <c r="G2519" s="66"/>
      <c r="H2519" s="66"/>
      <c r="I2519" s="63" t="s">
        <v>635</v>
      </c>
      <c r="J2519" s="63" t="s">
        <v>136</v>
      </c>
      <c r="K2519" s="66"/>
      <c r="L2519" s="66"/>
      <c r="M2519" s="63" t="s">
        <v>166</v>
      </c>
      <c r="N2519" s="63" t="s">
        <v>4627</v>
      </c>
      <c r="O2519" s="51"/>
    </row>
    <row r="2520">
      <c r="A2520" s="56">
        <v>2517.0</v>
      </c>
      <c r="B2520" s="60"/>
      <c r="C2520" s="58" t="s">
        <v>10375</v>
      </c>
      <c r="D2520" s="60"/>
      <c r="E2520" s="57" t="s">
        <v>10376</v>
      </c>
      <c r="F2520" s="59">
        <v>42058.0</v>
      </c>
      <c r="G2520" s="57" t="s">
        <v>10377</v>
      </c>
      <c r="H2520" s="60"/>
      <c r="I2520" s="63" t="s">
        <v>635</v>
      </c>
      <c r="J2520" s="57" t="s">
        <v>1481</v>
      </c>
      <c r="K2520" s="60"/>
      <c r="L2520" s="60"/>
      <c r="M2520" s="57" t="s">
        <v>166</v>
      </c>
      <c r="N2520" s="61"/>
      <c r="O2520" s="51"/>
    </row>
    <row r="2521">
      <c r="A2521" s="56">
        <v>2518.0</v>
      </c>
      <c r="B2521" s="60"/>
      <c r="C2521" s="58" t="s">
        <v>10378</v>
      </c>
      <c r="D2521" s="60"/>
      <c r="E2521" s="57" t="s">
        <v>10379</v>
      </c>
      <c r="F2521" s="59">
        <v>42057.0</v>
      </c>
      <c r="G2521" s="57" t="s">
        <v>10380</v>
      </c>
      <c r="H2521" s="60"/>
      <c r="I2521" s="63" t="s">
        <v>635</v>
      </c>
      <c r="J2521" s="57" t="s">
        <v>1481</v>
      </c>
      <c r="K2521" s="60"/>
      <c r="L2521" s="60"/>
      <c r="M2521" s="57" t="s">
        <v>166</v>
      </c>
      <c r="N2521" s="61"/>
      <c r="O2521" s="51"/>
    </row>
    <row r="2522">
      <c r="A2522" s="56">
        <v>2519.0</v>
      </c>
      <c r="B2522" s="60"/>
      <c r="C2522" s="58" t="s">
        <v>10381</v>
      </c>
      <c r="D2522" s="60"/>
      <c r="E2522" s="57" t="s">
        <v>10382</v>
      </c>
      <c r="F2522" s="59">
        <v>42057.0</v>
      </c>
      <c r="G2522" s="57" t="s">
        <v>10383</v>
      </c>
      <c r="H2522" s="60"/>
      <c r="I2522" s="63" t="s">
        <v>635</v>
      </c>
      <c r="J2522" s="57" t="s">
        <v>1481</v>
      </c>
      <c r="K2522" s="60"/>
      <c r="L2522" s="60"/>
      <c r="M2522" s="57" t="s">
        <v>166</v>
      </c>
      <c r="N2522" s="61"/>
      <c r="O2522" s="51"/>
    </row>
    <row r="2523">
      <c r="A2523" s="56">
        <v>2520.0</v>
      </c>
      <c r="B2523" s="60"/>
      <c r="C2523" s="58" t="s">
        <v>10384</v>
      </c>
      <c r="D2523" s="60"/>
      <c r="E2523" s="57" t="s">
        <v>10385</v>
      </c>
      <c r="F2523" s="59">
        <v>42050.0</v>
      </c>
      <c r="G2523" s="57" t="s">
        <v>10386</v>
      </c>
      <c r="H2523" s="60"/>
      <c r="I2523" s="63" t="s">
        <v>635</v>
      </c>
      <c r="J2523" s="57" t="s">
        <v>1481</v>
      </c>
      <c r="K2523" s="60"/>
      <c r="L2523" s="60"/>
      <c r="M2523" s="57" t="s">
        <v>166</v>
      </c>
      <c r="N2523" s="61"/>
      <c r="O2523" s="51"/>
    </row>
    <row r="2524">
      <c r="A2524" s="56">
        <v>2521.0</v>
      </c>
      <c r="B2524" s="60"/>
      <c r="C2524" s="58" t="s">
        <v>10387</v>
      </c>
      <c r="D2524" s="60"/>
      <c r="E2524" s="57" t="s">
        <v>10388</v>
      </c>
      <c r="F2524" s="59">
        <v>42039.0</v>
      </c>
      <c r="G2524" s="57" t="s">
        <v>10389</v>
      </c>
      <c r="H2524" s="60"/>
      <c r="I2524" s="63" t="s">
        <v>635</v>
      </c>
      <c r="J2524" s="57" t="s">
        <v>1481</v>
      </c>
      <c r="K2524" s="60"/>
      <c r="L2524" s="60"/>
      <c r="M2524" s="57" t="s">
        <v>166</v>
      </c>
      <c r="N2524" s="61"/>
      <c r="O2524" s="51"/>
    </row>
    <row r="2525">
      <c r="A2525" s="56">
        <v>2522.0</v>
      </c>
      <c r="B2525" s="60"/>
      <c r="C2525" s="58" t="s">
        <v>10390</v>
      </c>
      <c r="D2525" s="60"/>
      <c r="E2525" s="57" t="s">
        <v>10391</v>
      </c>
      <c r="F2525" s="59">
        <v>42102.0</v>
      </c>
      <c r="G2525" s="57" t="s">
        <v>10392</v>
      </c>
      <c r="H2525" s="60"/>
      <c r="I2525" s="63" t="s">
        <v>7849</v>
      </c>
      <c r="J2525" s="57" t="s">
        <v>10393</v>
      </c>
      <c r="K2525" s="60"/>
      <c r="L2525" s="60"/>
      <c r="M2525" s="60"/>
      <c r="N2525" s="61"/>
      <c r="O2525" s="51"/>
    </row>
    <row r="2526">
      <c r="A2526" s="56">
        <v>2523.0</v>
      </c>
      <c r="B2526" s="71"/>
      <c r="C2526" s="69" t="s">
        <v>10394</v>
      </c>
      <c r="D2526" s="71"/>
      <c r="E2526" s="68" t="s">
        <v>10395</v>
      </c>
      <c r="F2526" s="83">
        <v>42002.0</v>
      </c>
      <c r="G2526" s="68" t="s">
        <v>10396</v>
      </c>
      <c r="H2526" s="71"/>
      <c r="I2526" s="68" t="s">
        <v>10397</v>
      </c>
      <c r="J2526" s="68" t="s">
        <v>10398</v>
      </c>
      <c r="K2526" s="71"/>
      <c r="L2526" s="71"/>
      <c r="M2526" s="71"/>
      <c r="N2526" s="61"/>
      <c r="O2526" s="51"/>
    </row>
    <row r="2527">
      <c r="A2527" s="56">
        <v>2524.0</v>
      </c>
      <c r="B2527" s="71"/>
      <c r="C2527" s="69" t="s">
        <v>10399</v>
      </c>
      <c r="D2527" s="71"/>
      <c r="E2527" s="68" t="s">
        <v>10400</v>
      </c>
      <c r="F2527" s="183">
        <v>40330.0</v>
      </c>
      <c r="G2527" s="68" t="s">
        <v>10401</v>
      </c>
      <c r="H2527" s="71"/>
      <c r="I2527" s="68" t="s">
        <v>10402</v>
      </c>
      <c r="J2527" s="68" t="s">
        <v>10403</v>
      </c>
      <c r="K2527" s="71"/>
      <c r="L2527" s="71"/>
      <c r="M2527" s="71"/>
      <c r="N2527" s="61"/>
      <c r="O2527" s="51"/>
    </row>
    <row r="2528">
      <c r="A2528" s="56">
        <v>2525.0</v>
      </c>
      <c r="B2528" s="71"/>
      <c r="C2528" s="69" t="s">
        <v>10404</v>
      </c>
      <c r="D2528" s="71"/>
      <c r="E2528" s="68" t="s">
        <v>10405</v>
      </c>
      <c r="F2528" s="83">
        <v>41228.0</v>
      </c>
      <c r="G2528" s="68" t="s">
        <v>10406</v>
      </c>
      <c r="H2528" s="71"/>
      <c r="I2528" s="63" t="s">
        <v>10407</v>
      </c>
      <c r="J2528" s="68" t="s">
        <v>10408</v>
      </c>
      <c r="K2528" s="71"/>
      <c r="L2528" s="71"/>
      <c r="M2528" s="71"/>
      <c r="N2528" s="61"/>
      <c r="O2528" s="51"/>
    </row>
    <row r="2529">
      <c r="A2529" s="56">
        <v>2526.0</v>
      </c>
      <c r="B2529" s="71"/>
      <c r="C2529" s="69" t="s">
        <v>10409</v>
      </c>
      <c r="D2529" s="68" t="s">
        <v>10410</v>
      </c>
      <c r="E2529" s="68" t="s">
        <v>10411</v>
      </c>
      <c r="F2529" s="76">
        <v>41818.0</v>
      </c>
      <c r="G2529" s="68" t="s">
        <v>10412</v>
      </c>
      <c r="H2529" s="71"/>
      <c r="I2529" s="63" t="s">
        <v>635</v>
      </c>
      <c r="J2529" s="68" t="s">
        <v>10413</v>
      </c>
      <c r="K2529" s="71"/>
      <c r="L2529" s="71"/>
      <c r="M2529" s="68" t="s">
        <v>166</v>
      </c>
      <c r="N2529" s="61"/>
      <c r="O2529" s="51"/>
    </row>
    <row r="2530">
      <c r="A2530" s="56">
        <v>2527.0</v>
      </c>
      <c r="B2530" s="71"/>
      <c r="C2530" s="69" t="s">
        <v>10414</v>
      </c>
      <c r="D2530" s="68" t="s">
        <v>10415</v>
      </c>
      <c r="E2530" s="68" t="s">
        <v>10416</v>
      </c>
      <c r="F2530" s="76">
        <v>41512.0</v>
      </c>
      <c r="G2530" s="68" t="s">
        <v>10417</v>
      </c>
      <c r="H2530" s="71"/>
      <c r="I2530" s="68" t="s">
        <v>635</v>
      </c>
      <c r="J2530" s="68" t="s">
        <v>10418</v>
      </c>
      <c r="K2530" s="71"/>
      <c r="L2530" s="71"/>
      <c r="M2530" s="71"/>
      <c r="N2530" s="61"/>
      <c r="O2530" s="51"/>
    </row>
    <row r="2531">
      <c r="A2531" s="75">
        <v>2528.0</v>
      </c>
      <c r="B2531" s="71"/>
      <c r="C2531" s="69" t="s">
        <v>10419</v>
      </c>
      <c r="D2531" s="68" t="s">
        <v>10420</v>
      </c>
      <c r="E2531" s="68" t="s">
        <v>10421</v>
      </c>
      <c r="F2531" s="76">
        <v>39148.0</v>
      </c>
      <c r="G2531" s="68" t="s">
        <v>10422</v>
      </c>
      <c r="H2531" s="71"/>
      <c r="I2531" s="68" t="s">
        <v>10423</v>
      </c>
      <c r="J2531" s="100" t="s">
        <v>4430</v>
      </c>
      <c r="K2531" s="101"/>
      <c r="L2531" s="71"/>
      <c r="M2531" s="68" t="s">
        <v>143</v>
      </c>
      <c r="N2531" s="77"/>
      <c r="O2531" s="130"/>
    </row>
    <row r="2532">
      <c r="A2532" s="56">
        <v>2529.0</v>
      </c>
      <c r="B2532" s="71"/>
      <c r="C2532" s="69" t="s">
        <v>10424</v>
      </c>
      <c r="D2532" s="68" t="s">
        <v>10425</v>
      </c>
      <c r="E2532" s="68" t="s">
        <v>10426</v>
      </c>
      <c r="F2532" s="83">
        <v>41956.0</v>
      </c>
      <c r="G2532" s="68" t="s">
        <v>10427</v>
      </c>
      <c r="H2532" s="71"/>
      <c r="I2532" s="63" t="s">
        <v>10428</v>
      </c>
      <c r="J2532" s="68" t="s">
        <v>9535</v>
      </c>
      <c r="K2532" s="71"/>
      <c r="L2532" s="71"/>
      <c r="M2532" s="68" t="s">
        <v>166</v>
      </c>
      <c r="N2532" s="61"/>
      <c r="O2532" s="51"/>
    </row>
    <row r="2533">
      <c r="A2533" s="75">
        <v>2530.0</v>
      </c>
      <c r="B2533" s="71"/>
      <c r="C2533" s="69" t="s">
        <v>10429</v>
      </c>
      <c r="D2533" s="71"/>
      <c r="E2533" s="68" t="s">
        <v>10430</v>
      </c>
      <c r="F2533" s="83">
        <v>41233.0</v>
      </c>
      <c r="G2533" s="68" t="s">
        <v>10431</v>
      </c>
      <c r="H2533" s="68" t="s">
        <v>10432</v>
      </c>
      <c r="I2533" s="68" t="s">
        <v>10433</v>
      </c>
      <c r="J2533" s="100" t="s">
        <v>4430</v>
      </c>
      <c r="K2533" s="101"/>
      <c r="L2533" s="71"/>
      <c r="M2533" s="68" t="s">
        <v>5707</v>
      </c>
      <c r="N2533" s="71"/>
      <c r="O2533" s="130"/>
    </row>
    <row r="2534">
      <c r="A2534" s="56">
        <v>2531.0</v>
      </c>
      <c r="B2534" s="60"/>
      <c r="C2534" s="58" t="s">
        <v>10434</v>
      </c>
      <c r="D2534" s="60"/>
      <c r="E2534" s="57" t="s">
        <v>10435</v>
      </c>
      <c r="F2534" s="59">
        <v>41906.0</v>
      </c>
      <c r="G2534" s="57" t="s">
        <v>10436</v>
      </c>
      <c r="H2534" s="60"/>
      <c r="I2534" s="63" t="s">
        <v>635</v>
      </c>
      <c r="J2534" s="57" t="s">
        <v>1481</v>
      </c>
      <c r="K2534" s="60"/>
      <c r="L2534" s="60"/>
      <c r="M2534" s="57" t="s">
        <v>166</v>
      </c>
      <c r="N2534" s="61"/>
      <c r="O2534" s="51"/>
    </row>
    <row r="2535">
      <c r="A2535" s="56">
        <v>2532.0</v>
      </c>
      <c r="B2535" s="60"/>
      <c r="C2535" s="58" t="s">
        <v>10437</v>
      </c>
      <c r="D2535" s="60"/>
      <c r="E2535" s="57" t="s">
        <v>10438</v>
      </c>
      <c r="F2535" s="59">
        <v>41906.0</v>
      </c>
      <c r="G2535" s="57" t="s">
        <v>10439</v>
      </c>
      <c r="H2535" s="60"/>
      <c r="I2535" s="63" t="s">
        <v>635</v>
      </c>
      <c r="J2535" s="57" t="s">
        <v>1481</v>
      </c>
      <c r="K2535" s="60"/>
      <c r="L2535" s="60"/>
      <c r="M2535" s="57" t="s">
        <v>166</v>
      </c>
      <c r="N2535" s="61"/>
      <c r="O2535" s="51"/>
    </row>
    <row r="2536">
      <c r="A2536" s="56">
        <v>2533.0</v>
      </c>
      <c r="B2536" s="60"/>
      <c r="C2536" s="58" t="s">
        <v>10440</v>
      </c>
      <c r="D2536" s="60"/>
      <c r="E2536" s="57" t="s">
        <v>10441</v>
      </c>
      <c r="F2536" s="59">
        <v>41906.0</v>
      </c>
      <c r="G2536" s="57" t="s">
        <v>10442</v>
      </c>
      <c r="H2536" s="60"/>
      <c r="I2536" s="63" t="s">
        <v>635</v>
      </c>
      <c r="J2536" s="57" t="s">
        <v>1481</v>
      </c>
      <c r="K2536" s="60"/>
      <c r="L2536" s="60"/>
      <c r="M2536" s="57" t="s">
        <v>166</v>
      </c>
      <c r="N2536" s="61"/>
      <c r="O2536" s="51"/>
    </row>
    <row r="2537">
      <c r="A2537" s="56">
        <v>2534.0</v>
      </c>
      <c r="B2537" s="60"/>
      <c r="C2537" s="58" t="s">
        <v>10443</v>
      </c>
      <c r="D2537" s="60"/>
      <c r="E2537" s="57" t="s">
        <v>10444</v>
      </c>
      <c r="F2537" s="59">
        <v>41906.0</v>
      </c>
      <c r="G2537" s="60"/>
      <c r="H2537" s="60"/>
      <c r="I2537" s="63" t="s">
        <v>635</v>
      </c>
      <c r="J2537" s="57" t="s">
        <v>1481</v>
      </c>
      <c r="K2537" s="60"/>
      <c r="L2537" s="60"/>
      <c r="M2537" s="57" t="s">
        <v>166</v>
      </c>
      <c r="N2537" s="61"/>
      <c r="O2537" s="51"/>
    </row>
    <row r="2538">
      <c r="A2538" s="56">
        <v>2535.0</v>
      </c>
      <c r="B2538" s="60"/>
      <c r="C2538" s="58" t="s">
        <v>10445</v>
      </c>
      <c r="D2538" s="60"/>
      <c r="E2538" s="57" t="s">
        <v>10446</v>
      </c>
      <c r="F2538" s="60"/>
      <c r="G2538" s="57" t="s">
        <v>10447</v>
      </c>
      <c r="H2538" s="60"/>
      <c r="I2538" s="63" t="s">
        <v>635</v>
      </c>
      <c r="J2538" s="57" t="s">
        <v>1481</v>
      </c>
      <c r="K2538" s="60"/>
      <c r="L2538" s="60"/>
      <c r="M2538" s="57" t="s">
        <v>166</v>
      </c>
      <c r="N2538" s="61"/>
      <c r="O2538" s="51"/>
    </row>
    <row r="2539">
      <c r="A2539" s="56">
        <v>2536.0</v>
      </c>
      <c r="B2539" s="60"/>
      <c r="C2539" s="58" t="s">
        <v>10448</v>
      </c>
      <c r="D2539" s="60"/>
      <c r="E2539" s="57" t="s">
        <v>10449</v>
      </c>
      <c r="F2539" s="60"/>
      <c r="G2539" s="57" t="s">
        <v>10450</v>
      </c>
      <c r="H2539" s="60"/>
      <c r="I2539" s="63" t="s">
        <v>635</v>
      </c>
      <c r="J2539" s="57" t="s">
        <v>9438</v>
      </c>
      <c r="K2539" s="60"/>
      <c r="L2539" s="60"/>
      <c r="M2539" s="57" t="s">
        <v>166</v>
      </c>
      <c r="N2539" s="61"/>
      <c r="O2539" s="51"/>
    </row>
    <row r="2540">
      <c r="A2540" s="56">
        <v>2537.0</v>
      </c>
      <c r="B2540" s="60"/>
      <c r="C2540" s="58" t="s">
        <v>10451</v>
      </c>
      <c r="D2540" s="60"/>
      <c r="E2540" s="57" t="s">
        <v>10452</v>
      </c>
      <c r="F2540" s="60"/>
      <c r="G2540" s="57" t="s">
        <v>10453</v>
      </c>
      <c r="H2540" s="60"/>
      <c r="I2540" s="63" t="s">
        <v>635</v>
      </c>
      <c r="J2540" s="57" t="s">
        <v>1481</v>
      </c>
      <c r="K2540" s="60"/>
      <c r="L2540" s="60"/>
      <c r="M2540" s="57" t="s">
        <v>166</v>
      </c>
      <c r="N2540" s="61"/>
      <c r="O2540" s="51"/>
    </row>
    <row r="2541">
      <c r="A2541" s="56">
        <v>2538.0</v>
      </c>
      <c r="B2541" s="60"/>
      <c r="C2541" s="58" t="s">
        <v>10454</v>
      </c>
      <c r="D2541" s="60"/>
      <c r="E2541" s="57" t="s">
        <v>10455</v>
      </c>
      <c r="F2541" s="60"/>
      <c r="G2541" s="57" t="s">
        <v>10456</v>
      </c>
      <c r="H2541" s="60"/>
      <c r="I2541" s="63" t="s">
        <v>635</v>
      </c>
      <c r="J2541" s="57" t="s">
        <v>1481</v>
      </c>
      <c r="K2541" s="60"/>
      <c r="L2541" s="60"/>
      <c r="M2541" s="57" t="s">
        <v>166</v>
      </c>
      <c r="N2541" s="61"/>
      <c r="O2541" s="51"/>
    </row>
    <row r="2542">
      <c r="A2542" s="56">
        <v>2539.0</v>
      </c>
      <c r="B2542" s="60"/>
      <c r="C2542" s="58" t="s">
        <v>10457</v>
      </c>
      <c r="D2542" s="60"/>
      <c r="E2542" s="57" t="s">
        <v>10458</v>
      </c>
      <c r="F2542" s="60"/>
      <c r="G2542" s="57" t="s">
        <v>10459</v>
      </c>
      <c r="H2542" s="60"/>
      <c r="I2542" s="63" t="s">
        <v>635</v>
      </c>
      <c r="J2542" s="57" t="s">
        <v>1481</v>
      </c>
      <c r="K2542" s="60"/>
      <c r="L2542" s="60"/>
      <c r="M2542" s="57" t="s">
        <v>166</v>
      </c>
      <c r="N2542" s="61"/>
      <c r="O2542" s="51"/>
    </row>
    <row r="2543">
      <c r="A2543" s="56">
        <v>2540.0</v>
      </c>
      <c r="B2543" s="71"/>
      <c r="C2543" s="69" t="s">
        <v>10460</v>
      </c>
      <c r="D2543" s="71"/>
      <c r="E2543" s="68" t="s">
        <v>10461</v>
      </c>
      <c r="F2543" s="71"/>
      <c r="G2543" s="71"/>
      <c r="H2543" s="71"/>
      <c r="I2543" s="63" t="s">
        <v>635</v>
      </c>
      <c r="J2543" s="68" t="s">
        <v>9438</v>
      </c>
      <c r="K2543" s="71"/>
      <c r="L2543" s="71"/>
      <c r="M2543" s="68" t="s">
        <v>166</v>
      </c>
      <c r="N2543" s="61"/>
      <c r="O2543" s="51"/>
    </row>
    <row r="2544">
      <c r="A2544" s="56">
        <v>2541.0</v>
      </c>
      <c r="B2544" s="60"/>
      <c r="C2544" s="58" t="s">
        <v>10462</v>
      </c>
      <c r="D2544" s="60"/>
      <c r="E2544" s="57" t="s">
        <v>10463</v>
      </c>
      <c r="F2544" s="78">
        <v>41960.0</v>
      </c>
      <c r="G2544" s="57" t="s">
        <v>10464</v>
      </c>
      <c r="H2544" s="60"/>
      <c r="I2544" s="63" t="s">
        <v>635</v>
      </c>
      <c r="J2544" s="57" t="s">
        <v>1481</v>
      </c>
      <c r="K2544" s="60"/>
      <c r="L2544" s="60"/>
      <c r="M2544" s="57" t="s">
        <v>166</v>
      </c>
      <c r="N2544" s="61"/>
      <c r="O2544" s="51"/>
    </row>
    <row r="2545">
      <c r="A2545" s="56">
        <v>2542.0</v>
      </c>
      <c r="B2545" s="60"/>
      <c r="C2545" s="58" t="s">
        <v>10465</v>
      </c>
      <c r="D2545" s="60"/>
      <c r="E2545" s="57" t="s">
        <v>10466</v>
      </c>
      <c r="F2545" s="78">
        <v>41960.0</v>
      </c>
      <c r="G2545" s="57" t="s">
        <v>10467</v>
      </c>
      <c r="H2545" s="60"/>
      <c r="I2545" s="63" t="s">
        <v>635</v>
      </c>
      <c r="J2545" s="57" t="s">
        <v>1481</v>
      </c>
      <c r="K2545" s="60"/>
      <c r="L2545" s="60"/>
      <c r="M2545" s="57" t="s">
        <v>166</v>
      </c>
      <c r="N2545" s="61"/>
      <c r="O2545" s="51"/>
    </row>
    <row r="2546">
      <c r="A2546" s="56">
        <v>2543.0</v>
      </c>
      <c r="B2546" s="60"/>
      <c r="C2546" s="58" t="s">
        <v>10468</v>
      </c>
      <c r="D2546" s="60"/>
      <c r="E2546" s="57" t="s">
        <v>10469</v>
      </c>
      <c r="F2546" s="78">
        <v>41960.0</v>
      </c>
      <c r="G2546" s="57" t="s">
        <v>10470</v>
      </c>
      <c r="H2546" s="60"/>
      <c r="I2546" s="63" t="s">
        <v>635</v>
      </c>
      <c r="J2546" s="57" t="s">
        <v>1481</v>
      </c>
      <c r="K2546" s="60"/>
      <c r="L2546" s="60"/>
      <c r="M2546" s="57" t="s">
        <v>166</v>
      </c>
      <c r="N2546" s="61"/>
      <c r="O2546" s="51"/>
    </row>
    <row r="2547">
      <c r="A2547" s="56">
        <v>2544.0</v>
      </c>
      <c r="B2547" s="60"/>
      <c r="C2547" s="58" t="s">
        <v>10471</v>
      </c>
      <c r="D2547" s="60"/>
      <c r="E2547" s="57" t="s">
        <v>10472</v>
      </c>
      <c r="F2547" s="78">
        <v>41960.0</v>
      </c>
      <c r="G2547" s="57" t="s">
        <v>10473</v>
      </c>
      <c r="H2547" s="60"/>
      <c r="I2547" s="63" t="s">
        <v>635</v>
      </c>
      <c r="J2547" s="57" t="s">
        <v>1481</v>
      </c>
      <c r="K2547" s="60"/>
      <c r="L2547" s="60"/>
      <c r="M2547" s="57" t="s">
        <v>166</v>
      </c>
      <c r="N2547" s="61"/>
      <c r="O2547" s="51"/>
    </row>
    <row r="2548">
      <c r="A2548" s="56">
        <v>2545.0</v>
      </c>
      <c r="B2548" s="60"/>
      <c r="C2548" s="58" t="s">
        <v>10474</v>
      </c>
      <c r="D2548" s="60"/>
      <c r="E2548" s="57" t="s">
        <v>10475</v>
      </c>
      <c r="F2548" s="217">
        <v>44911.0</v>
      </c>
      <c r="G2548" s="57" t="s">
        <v>10476</v>
      </c>
      <c r="H2548" s="60"/>
      <c r="I2548" s="63" t="s">
        <v>635</v>
      </c>
      <c r="J2548" s="57" t="s">
        <v>1481</v>
      </c>
      <c r="K2548" s="60"/>
      <c r="L2548" s="60"/>
      <c r="M2548" s="57" t="s">
        <v>166</v>
      </c>
      <c r="N2548" s="61"/>
      <c r="O2548" s="51"/>
    </row>
    <row r="2549">
      <c r="A2549" s="56">
        <v>2546.0</v>
      </c>
      <c r="B2549" s="60"/>
      <c r="C2549" s="58" t="s">
        <v>10477</v>
      </c>
      <c r="D2549" s="60"/>
      <c r="E2549" s="57" t="s">
        <v>10478</v>
      </c>
      <c r="F2549" s="217">
        <v>44910.0</v>
      </c>
      <c r="G2549" s="57" t="s">
        <v>10479</v>
      </c>
      <c r="H2549" s="60"/>
      <c r="I2549" s="63" t="s">
        <v>635</v>
      </c>
      <c r="J2549" s="57" t="s">
        <v>1481</v>
      </c>
      <c r="K2549" s="60"/>
      <c r="L2549" s="60"/>
      <c r="M2549" s="57" t="s">
        <v>166</v>
      </c>
      <c r="N2549" s="61"/>
      <c r="O2549" s="51"/>
    </row>
    <row r="2550">
      <c r="A2550" s="56">
        <v>2547.0</v>
      </c>
      <c r="B2550" s="60"/>
      <c r="C2550" s="58" t="s">
        <v>10480</v>
      </c>
      <c r="D2550" s="60"/>
      <c r="E2550" s="57" t="s">
        <v>10481</v>
      </c>
      <c r="F2550" s="78">
        <v>41988.0</v>
      </c>
      <c r="G2550" s="57" t="s">
        <v>10482</v>
      </c>
      <c r="H2550" s="60"/>
      <c r="I2550" s="63" t="s">
        <v>635</v>
      </c>
      <c r="J2550" s="57" t="s">
        <v>1481</v>
      </c>
      <c r="K2550" s="60"/>
      <c r="L2550" s="60"/>
      <c r="M2550" s="57" t="s">
        <v>166</v>
      </c>
      <c r="N2550" s="61"/>
      <c r="O2550" s="51"/>
    </row>
    <row r="2551">
      <c r="A2551" s="56">
        <v>2548.0</v>
      </c>
      <c r="B2551" s="60"/>
      <c r="C2551" s="58" t="s">
        <v>10483</v>
      </c>
      <c r="D2551" s="60"/>
      <c r="E2551" s="57" t="s">
        <v>10484</v>
      </c>
      <c r="F2551" s="78">
        <v>41988.0</v>
      </c>
      <c r="G2551" s="57" t="s">
        <v>10485</v>
      </c>
      <c r="H2551" s="60"/>
      <c r="I2551" s="63" t="s">
        <v>635</v>
      </c>
      <c r="J2551" s="57" t="s">
        <v>1481</v>
      </c>
      <c r="K2551" s="60"/>
      <c r="L2551" s="60"/>
      <c r="M2551" s="57" t="s">
        <v>166</v>
      </c>
      <c r="N2551" s="61"/>
      <c r="O2551" s="51"/>
    </row>
    <row r="2552">
      <c r="A2552" s="56">
        <v>2549.0</v>
      </c>
      <c r="B2552" s="60"/>
      <c r="C2552" s="58" t="s">
        <v>10486</v>
      </c>
      <c r="D2552" s="60"/>
      <c r="E2552" s="57" t="s">
        <v>10487</v>
      </c>
      <c r="F2552" s="78">
        <v>42002.0</v>
      </c>
      <c r="G2552" s="57" t="s">
        <v>10488</v>
      </c>
      <c r="H2552" s="60"/>
      <c r="I2552" s="63" t="s">
        <v>635</v>
      </c>
      <c r="J2552" s="57" t="s">
        <v>1481</v>
      </c>
      <c r="K2552" s="60"/>
      <c r="L2552" s="60"/>
      <c r="M2552" s="57" t="s">
        <v>166</v>
      </c>
      <c r="N2552" s="61"/>
      <c r="O2552" s="51"/>
    </row>
    <row r="2553">
      <c r="A2553" s="56">
        <v>2550.0</v>
      </c>
      <c r="B2553" s="60"/>
      <c r="C2553" s="58" t="s">
        <v>10489</v>
      </c>
      <c r="D2553" s="60"/>
      <c r="E2553" s="57" t="s">
        <v>10490</v>
      </c>
      <c r="F2553" s="217">
        <v>44912.0</v>
      </c>
      <c r="G2553" s="57" t="s">
        <v>10491</v>
      </c>
      <c r="H2553" s="60"/>
      <c r="I2553" s="63" t="s">
        <v>635</v>
      </c>
      <c r="J2553" s="57" t="s">
        <v>1481</v>
      </c>
      <c r="K2553" s="60"/>
      <c r="L2553" s="60"/>
      <c r="M2553" s="57" t="s">
        <v>166</v>
      </c>
      <c r="N2553" s="61"/>
      <c r="O2553" s="51"/>
    </row>
    <row r="2554">
      <c r="A2554" s="56">
        <v>2551.0</v>
      </c>
      <c r="B2554" s="60"/>
      <c r="C2554" s="58" t="s">
        <v>10492</v>
      </c>
      <c r="D2554" s="60"/>
      <c r="E2554" s="57" t="s">
        <v>10493</v>
      </c>
      <c r="F2554" s="78">
        <v>41999.0</v>
      </c>
      <c r="G2554" s="57" t="s">
        <v>10494</v>
      </c>
      <c r="H2554" s="60"/>
      <c r="I2554" s="63" t="s">
        <v>635</v>
      </c>
      <c r="J2554" s="57" t="s">
        <v>10495</v>
      </c>
      <c r="K2554" s="60"/>
      <c r="L2554" s="60"/>
      <c r="M2554" s="57" t="s">
        <v>166</v>
      </c>
      <c r="N2554" s="61"/>
      <c r="O2554" s="51"/>
    </row>
    <row r="2555">
      <c r="A2555" s="56">
        <v>2552.0</v>
      </c>
      <c r="B2555" s="60"/>
      <c r="C2555" s="58" t="s">
        <v>10496</v>
      </c>
      <c r="D2555" s="60"/>
      <c r="E2555" s="57" t="s">
        <v>10497</v>
      </c>
      <c r="F2555" s="78">
        <v>41999.0</v>
      </c>
      <c r="G2555" s="57" t="s">
        <v>10498</v>
      </c>
      <c r="H2555" s="60"/>
      <c r="I2555" s="63" t="s">
        <v>635</v>
      </c>
      <c r="J2555" s="57" t="s">
        <v>1481</v>
      </c>
      <c r="K2555" s="60"/>
      <c r="L2555" s="60"/>
      <c r="M2555" s="57" t="s">
        <v>166</v>
      </c>
      <c r="N2555" s="61"/>
      <c r="O2555" s="51"/>
    </row>
    <row r="2556">
      <c r="A2556" s="56">
        <v>2553.0</v>
      </c>
      <c r="B2556" s="60"/>
      <c r="C2556" s="218" t="s">
        <v>10499</v>
      </c>
      <c r="D2556" s="60"/>
      <c r="E2556" s="57" t="s">
        <v>10500</v>
      </c>
      <c r="F2556" s="78">
        <v>42000.0</v>
      </c>
      <c r="G2556" s="57" t="s">
        <v>10501</v>
      </c>
      <c r="H2556" s="60"/>
      <c r="I2556" s="63" t="s">
        <v>635</v>
      </c>
      <c r="J2556" s="57" t="s">
        <v>1481</v>
      </c>
      <c r="K2556" s="60"/>
      <c r="L2556" s="60"/>
      <c r="M2556" s="57" t="s">
        <v>166</v>
      </c>
      <c r="N2556" s="61"/>
      <c r="O2556" s="51"/>
    </row>
    <row r="2557">
      <c r="A2557" s="56">
        <v>2554.0</v>
      </c>
      <c r="B2557" s="60"/>
      <c r="C2557" s="58" t="s">
        <v>10502</v>
      </c>
      <c r="D2557" s="60"/>
      <c r="E2557" s="57" t="s">
        <v>10503</v>
      </c>
      <c r="F2557" s="78">
        <v>42002.0</v>
      </c>
      <c r="G2557" s="57" t="s">
        <v>10504</v>
      </c>
      <c r="H2557" s="60"/>
      <c r="I2557" s="63" t="s">
        <v>635</v>
      </c>
      <c r="J2557" s="57" t="s">
        <v>622</v>
      </c>
      <c r="K2557" s="60"/>
      <c r="L2557" s="60"/>
      <c r="M2557" s="57" t="s">
        <v>166</v>
      </c>
      <c r="N2557" s="61"/>
      <c r="O2557" s="51"/>
    </row>
    <row r="2558">
      <c r="A2558" s="56">
        <v>2555.0</v>
      </c>
      <c r="B2558" s="66"/>
      <c r="C2558" s="64" t="s">
        <v>10505</v>
      </c>
      <c r="D2558" s="66"/>
      <c r="E2558" s="63" t="s">
        <v>10506</v>
      </c>
      <c r="F2558" s="70">
        <v>41742.0</v>
      </c>
      <c r="G2558" s="63" t="s">
        <v>10507</v>
      </c>
      <c r="H2558" s="66"/>
      <c r="I2558" s="63" t="s">
        <v>10508</v>
      </c>
      <c r="J2558" s="63" t="s">
        <v>9979</v>
      </c>
      <c r="K2558" s="66"/>
      <c r="L2558" s="66"/>
      <c r="M2558" s="63" t="s">
        <v>166</v>
      </c>
      <c r="N2558" s="61"/>
      <c r="O2558" s="51"/>
    </row>
    <row r="2559">
      <c r="A2559" s="56">
        <v>2556.0</v>
      </c>
      <c r="B2559" s="71"/>
      <c r="C2559" s="69" t="s">
        <v>10509</v>
      </c>
      <c r="D2559" s="71"/>
      <c r="E2559" s="68" t="s">
        <v>10510</v>
      </c>
      <c r="F2559" s="76">
        <v>41906.0</v>
      </c>
      <c r="G2559" s="68" t="s">
        <v>10511</v>
      </c>
      <c r="H2559" s="71"/>
      <c r="I2559" s="63" t="s">
        <v>635</v>
      </c>
      <c r="J2559" s="68" t="s">
        <v>10512</v>
      </c>
      <c r="K2559" s="71"/>
      <c r="L2559" s="71"/>
      <c r="M2559" s="104"/>
      <c r="N2559" s="105"/>
      <c r="O2559" s="51"/>
    </row>
    <row r="2560">
      <c r="A2560" s="56">
        <v>2557.0</v>
      </c>
      <c r="B2560" s="60"/>
      <c r="C2560" s="58" t="s">
        <v>10513</v>
      </c>
      <c r="D2560" s="60"/>
      <c r="E2560" s="57" t="s">
        <v>10514</v>
      </c>
      <c r="F2560" s="59">
        <v>41906.0</v>
      </c>
      <c r="G2560" s="57" t="s">
        <v>10515</v>
      </c>
      <c r="H2560" s="60"/>
      <c r="I2560" s="63" t="s">
        <v>635</v>
      </c>
      <c r="J2560" s="57" t="s">
        <v>1481</v>
      </c>
      <c r="K2560" s="60"/>
      <c r="L2560" s="60"/>
      <c r="M2560" s="110" t="s">
        <v>166</v>
      </c>
      <c r="N2560" s="61"/>
      <c r="O2560" s="51"/>
    </row>
    <row r="2561">
      <c r="A2561" s="56">
        <v>2558.0</v>
      </c>
      <c r="B2561" s="60"/>
      <c r="C2561" s="58" t="s">
        <v>10516</v>
      </c>
      <c r="D2561" s="60"/>
      <c r="E2561" s="57" t="s">
        <v>10517</v>
      </c>
      <c r="F2561" s="78">
        <v>41988.0</v>
      </c>
      <c r="G2561" s="57" t="s">
        <v>10518</v>
      </c>
      <c r="H2561" s="60"/>
      <c r="I2561" s="63" t="s">
        <v>10519</v>
      </c>
      <c r="J2561" s="57" t="s">
        <v>1481</v>
      </c>
      <c r="K2561" s="60"/>
      <c r="L2561" s="60"/>
      <c r="M2561" s="57" t="s">
        <v>166</v>
      </c>
      <c r="N2561" s="61"/>
      <c r="O2561" s="51"/>
    </row>
    <row r="2562">
      <c r="A2562" s="56">
        <v>2559.0</v>
      </c>
      <c r="B2562" s="60"/>
      <c r="C2562" s="58" t="s">
        <v>10520</v>
      </c>
      <c r="D2562" s="60"/>
      <c r="E2562" s="57" t="s">
        <v>10521</v>
      </c>
      <c r="F2562" s="59">
        <v>41906.0</v>
      </c>
      <c r="G2562" s="57" t="s">
        <v>10522</v>
      </c>
      <c r="H2562" s="60"/>
      <c r="I2562" s="63" t="s">
        <v>635</v>
      </c>
      <c r="J2562" s="57" t="s">
        <v>1481</v>
      </c>
      <c r="K2562" s="60"/>
      <c r="L2562" s="60"/>
      <c r="M2562" s="57" t="s">
        <v>166</v>
      </c>
      <c r="N2562" s="61"/>
      <c r="O2562" s="51"/>
    </row>
    <row r="2563">
      <c r="A2563" s="56">
        <v>2560.0</v>
      </c>
      <c r="B2563" s="60"/>
      <c r="C2563" s="58" t="s">
        <v>10523</v>
      </c>
      <c r="D2563" s="60"/>
      <c r="E2563" s="57" t="s">
        <v>10524</v>
      </c>
      <c r="F2563" s="59">
        <v>41906.0</v>
      </c>
      <c r="G2563" s="57" t="s">
        <v>10525</v>
      </c>
      <c r="H2563" s="60"/>
      <c r="I2563" s="63" t="s">
        <v>635</v>
      </c>
      <c r="J2563" s="57" t="s">
        <v>1481</v>
      </c>
      <c r="K2563" s="60"/>
      <c r="L2563" s="60"/>
      <c r="M2563" s="57" t="s">
        <v>166</v>
      </c>
      <c r="N2563" s="61"/>
      <c r="O2563" s="51"/>
    </row>
    <row r="2564">
      <c r="A2564" s="56">
        <v>2561.0</v>
      </c>
      <c r="B2564" s="60"/>
      <c r="C2564" s="58" t="s">
        <v>10526</v>
      </c>
      <c r="D2564" s="89" t="s">
        <v>10527</v>
      </c>
      <c r="E2564" s="57" t="s">
        <v>10528</v>
      </c>
      <c r="F2564" s="59">
        <v>42015.0</v>
      </c>
      <c r="G2564" s="57" t="s">
        <v>10529</v>
      </c>
      <c r="H2564" s="60"/>
      <c r="I2564" s="63" t="s">
        <v>635</v>
      </c>
      <c r="J2564" s="57" t="s">
        <v>1481</v>
      </c>
      <c r="K2564" s="60"/>
      <c r="L2564" s="60"/>
      <c r="M2564" s="57" t="s">
        <v>166</v>
      </c>
      <c r="N2564" s="61"/>
      <c r="O2564" s="51"/>
    </row>
    <row r="2565">
      <c r="A2565" s="56">
        <v>2562.0</v>
      </c>
      <c r="B2565" s="71"/>
      <c r="C2565" s="64" t="s">
        <v>10530</v>
      </c>
      <c r="D2565" s="219"/>
      <c r="E2565" s="63" t="s">
        <v>10531</v>
      </c>
      <c r="F2565" s="70">
        <v>41343.0</v>
      </c>
      <c r="G2565" s="63" t="s">
        <v>10532</v>
      </c>
      <c r="H2565" s="66"/>
      <c r="I2565" s="63" t="s">
        <v>10533</v>
      </c>
      <c r="J2565" s="63" t="s">
        <v>136</v>
      </c>
      <c r="K2565" s="71"/>
      <c r="L2565" s="71"/>
      <c r="M2565" s="220"/>
      <c r="N2565" s="105"/>
      <c r="O2565" s="51"/>
    </row>
    <row r="2566">
      <c r="A2566" s="56">
        <v>2563.0</v>
      </c>
      <c r="B2566" s="66"/>
      <c r="C2566" s="64" t="s">
        <v>10534</v>
      </c>
      <c r="D2566" s="66"/>
      <c r="E2566" s="63" t="s">
        <v>10535</v>
      </c>
      <c r="F2566" s="70">
        <v>39930.0</v>
      </c>
      <c r="G2566" s="63" t="s">
        <v>10536</v>
      </c>
      <c r="H2566" s="66"/>
      <c r="I2566" s="63" t="s">
        <v>10537</v>
      </c>
      <c r="J2566" s="63" t="s">
        <v>1872</v>
      </c>
      <c r="K2566" s="66"/>
      <c r="L2566" s="66"/>
      <c r="M2566" s="74" t="s">
        <v>530</v>
      </c>
      <c r="N2566" s="61"/>
      <c r="O2566" s="51"/>
    </row>
    <row r="2567">
      <c r="A2567" s="56">
        <v>2564.0</v>
      </c>
      <c r="B2567" s="66"/>
      <c r="C2567" s="64" t="s">
        <v>10538</v>
      </c>
      <c r="D2567" s="66"/>
      <c r="E2567" s="63" t="s">
        <v>10539</v>
      </c>
      <c r="F2567" s="63">
        <v>2009.0</v>
      </c>
      <c r="G2567" s="63" t="s">
        <v>10540</v>
      </c>
      <c r="H2567" s="63" t="s">
        <v>10541</v>
      </c>
      <c r="I2567" s="63" t="s">
        <v>635</v>
      </c>
      <c r="J2567" s="63" t="s">
        <v>1872</v>
      </c>
      <c r="K2567" s="66"/>
      <c r="L2567" s="66"/>
      <c r="M2567" s="63" t="s">
        <v>530</v>
      </c>
      <c r="N2567" s="61"/>
      <c r="O2567" s="51"/>
    </row>
    <row r="2568">
      <c r="A2568" s="56">
        <v>2565.0</v>
      </c>
      <c r="B2568" s="60"/>
      <c r="C2568" s="58" t="s">
        <v>10542</v>
      </c>
      <c r="D2568" s="60"/>
      <c r="E2568" s="57" t="s">
        <v>10543</v>
      </c>
      <c r="F2568" s="78">
        <v>42108.0</v>
      </c>
      <c r="G2568" s="57" t="s">
        <v>10544</v>
      </c>
      <c r="H2568" s="60"/>
      <c r="I2568" s="63" t="s">
        <v>10545</v>
      </c>
      <c r="J2568" s="57" t="s">
        <v>10546</v>
      </c>
      <c r="K2568" s="60"/>
      <c r="L2568" s="60"/>
      <c r="M2568" s="60"/>
      <c r="N2568" s="61"/>
      <c r="O2568" s="51"/>
    </row>
    <row r="2569">
      <c r="A2569" s="56">
        <v>2566.0</v>
      </c>
      <c r="B2569" s="60"/>
      <c r="C2569" s="58" t="s">
        <v>10547</v>
      </c>
      <c r="D2569" s="60"/>
      <c r="E2569" s="57" t="s">
        <v>10548</v>
      </c>
      <c r="F2569" s="78">
        <v>42108.0</v>
      </c>
      <c r="G2569" s="57" t="s">
        <v>10549</v>
      </c>
      <c r="H2569" s="60"/>
      <c r="I2569" s="63" t="s">
        <v>10550</v>
      </c>
      <c r="J2569" s="57" t="s">
        <v>10546</v>
      </c>
      <c r="K2569" s="60"/>
      <c r="L2569" s="60"/>
      <c r="M2569" s="60"/>
      <c r="N2569" s="61"/>
      <c r="O2569" s="51"/>
    </row>
    <row r="2570">
      <c r="A2570" s="56">
        <v>2567.0</v>
      </c>
      <c r="B2570" s="60"/>
      <c r="C2570" s="58" t="s">
        <v>10551</v>
      </c>
      <c r="D2570" s="60"/>
      <c r="E2570" s="57" t="s">
        <v>10552</v>
      </c>
      <c r="F2570" s="78">
        <v>42108.0</v>
      </c>
      <c r="G2570" s="57" t="s">
        <v>10553</v>
      </c>
      <c r="H2570" s="60"/>
      <c r="I2570" s="63" t="s">
        <v>10550</v>
      </c>
      <c r="J2570" s="57" t="s">
        <v>10546</v>
      </c>
      <c r="K2570" s="60"/>
      <c r="L2570" s="60"/>
      <c r="M2570" s="60"/>
      <c r="N2570" s="61"/>
      <c r="O2570" s="51"/>
    </row>
    <row r="2571">
      <c r="A2571" s="56">
        <v>2568.0</v>
      </c>
      <c r="B2571" s="66"/>
      <c r="C2571" s="64" t="s">
        <v>10554</v>
      </c>
      <c r="D2571" s="66"/>
      <c r="E2571" s="63" t="s">
        <v>10555</v>
      </c>
      <c r="F2571" s="65">
        <v>40984.0</v>
      </c>
      <c r="G2571" s="63" t="s">
        <v>10556</v>
      </c>
      <c r="H2571" s="66"/>
      <c r="I2571" s="63" t="s">
        <v>10557</v>
      </c>
      <c r="J2571" s="63" t="s">
        <v>6262</v>
      </c>
      <c r="K2571" s="66"/>
      <c r="L2571" s="66"/>
      <c r="M2571" s="63" t="s">
        <v>368</v>
      </c>
      <c r="N2571" s="61"/>
      <c r="O2571" s="51"/>
    </row>
    <row r="2572">
      <c r="A2572" s="56">
        <v>2569.0</v>
      </c>
      <c r="B2572" s="66"/>
      <c r="C2572" s="64" t="s">
        <v>10558</v>
      </c>
      <c r="D2572" s="63" t="s">
        <v>10559</v>
      </c>
      <c r="E2572" s="63" t="s">
        <v>10560</v>
      </c>
      <c r="F2572" s="65">
        <v>40076.0</v>
      </c>
      <c r="G2572" s="63" t="s">
        <v>10561</v>
      </c>
      <c r="H2572" s="66"/>
      <c r="I2572" s="63" t="s">
        <v>10562</v>
      </c>
      <c r="J2572" s="63" t="s">
        <v>6381</v>
      </c>
      <c r="K2572" s="66"/>
      <c r="L2572" s="66"/>
      <c r="M2572" s="63" t="s">
        <v>201</v>
      </c>
      <c r="N2572" s="61"/>
      <c r="O2572" s="51"/>
    </row>
    <row r="2573">
      <c r="A2573" s="56">
        <v>2570.0</v>
      </c>
      <c r="B2573" s="60"/>
      <c r="C2573" s="58" t="s">
        <v>10563</v>
      </c>
      <c r="D2573" s="60"/>
      <c r="E2573" s="57" t="s">
        <v>10564</v>
      </c>
      <c r="F2573" s="78">
        <v>41622.0</v>
      </c>
      <c r="G2573" s="57" t="s">
        <v>10565</v>
      </c>
      <c r="H2573" s="60"/>
      <c r="I2573" s="63" t="s">
        <v>10566</v>
      </c>
      <c r="J2573" s="57" t="s">
        <v>10567</v>
      </c>
      <c r="K2573" s="60"/>
      <c r="L2573" s="60"/>
      <c r="M2573" s="60"/>
      <c r="N2573" s="61"/>
      <c r="O2573" s="51"/>
    </row>
    <row r="2574">
      <c r="A2574" s="56">
        <v>2571.0</v>
      </c>
      <c r="B2574" s="71"/>
      <c r="C2574" s="69" t="s">
        <v>10568</v>
      </c>
      <c r="D2574" s="71"/>
      <c r="E2574" s="68" t="s">
        <v>10569</v>
      </c>
      <c r="F2574" s="83">
        <v>42068.0</v>
      </c>
      <c r="G2574" s="68" t="s">
        <v>10570</v>
      </c>
      <c r="H2574" s="71"/>
      <c r="I2574" s="68" t="s">
        <v>10571</v>
      </c>
      <c r="J2574" s="68" t="s">
        <v>10572</v>
      </c>
      <c r="K2574" s="71"/>
      <c r="L2574" s="71"/>
      <c r="M2574" s="71"/>
      <c r="N2574" s="61"/>
      <c r="O2574" s="51"/>
    </row>
    <row r="2575">
      <c r="A2575" s="56">
        <v>2572.0</v>
      </c>
      <c r="B2575" s="66"/>
      <c r="C2575" s="64" t="s">
        <v>10573</v>
      </c>
      <c r="D2575" s="87" t="s">
        <v>1982</v>
      </c>
      <c r="E2575" s="63" t="s">
        <v>10574</v>
      </c>
      <c r="F2575" s="65">
        <v>41692.0</v>
      </c>
      <c r="G2575" s="63" t="s">
        <v>10575</v>
      </c>
      <c r="H2575" s="66"/>
      <c r="I2575" s="63" t="s">
        <v>10576</v>
      </c>
      <c r="J2575" s="63" t="s">
        <v>10577</v>
      </c>
      <c r="K2575" s="66"/>
      <c r="L2575" s="66"/>
      <c r="M2575" s="63" t="s">
        <v>125</v>
      </c>
      <c r="N2575" s="61"/>
      <c r="O2575" s="51"/>
    </row>
    <row r="2576">
      <c r="A2576" s="56">
        <v>2573.0</v>
      </c>
      <c r="B2576" s="71"/>
      <c r="C2576" s="69" t="s">
        <v>10578</v>
      </c>
      <c r="D2576" s="87" t="s">
        <v>10527</v>
      </c>
      <c r="E2576" s="68" t="s">
        <v>10579</v>
      </c>
      <c r="F2576" s="76">
        <v>42015.0</v>
      </c>
      <c r="G2576" s="68" t="s">
        <v>10580</v>
      </c>
      <c r="H2576" s="71"/>
      <c r="I2576" s="63" t="s">
        <v>635</v>
      </c>
      <c r="J2576" s="68" t="s">
        <v>10581</v>
      </c>
      <c r="K2576" s="71"/>
      <c r="L2576" s="71"/>
      <c r="M2576" s="68" t="s">
        <v>166</v>
      </c>
      <c r="N2576" s="61"/>
      <c r="O2576" s="51"/>
    </row>
    <row r="2577">
      <c r="A2577" s="56">
        <v>2574.0</v>
      </c>
      <c r="B2577" s="60"/>
      <c r="C2577" s="58" t="s">
        <v>10582</v>
      </c>
      <c r="D2577" s="60"/>
      <c r="E2577" s="57" t="s">
        <v>10583</v>
      </c>
      <c r="F2577" s="78">
        <v>42055.0</v>
      </c>
      <c r="G2577" s="57" t="s">
        <v>10584</v>
      </c>
      <c r="H2577" s="60"/>
      <c r="I2577" s="63" t="s">
        <v>635</v>
      </c>
      <c r="J2577" s="57" t="s">
        <v>10585</v>
      </c>
      <c r="K2577" s="60"/>
      <c r="L2577" s="60"/>
      <c r="M2577" s="57" t="s">
        <v>166</v>
      </c>
      <c r="N2577" s="61"/>
      <c r="O2577" s="51"/>
    </row>
    <row r="2578">
      <c r="A2578" s="56">
        <v>2575.0</v>
      </c>
      <c r="B2578" s="60"/>
      <c r="C2578" s="58" t="s">
        <v>10586</v>
      </c>
      <c r="D2578" s="60"/>
      <c r="E2578" s="57" t="s">
        <v>10587</v>
      </c>
      <c r="F2578" s="78">
        <v>41832.0</v>
      </c>
      <c r="G2578" s="57" t="s">
        <v>10588</v>
      </c>
      <c r="H2578" s="60"/>
      <c r="I2578" s="66"/>
      <c r="J2578" s="57" t="s">
        <v>10175</v>
      </c>
      <c r="K2578" s="60"/>
      <c r="L2578" s="60"/>
      <c r="M2578" s="60"/>
      <c r="N2578" s="61"/>
      <c r="O2578" s="51"/>
    </row>
    <row r="2579">
      <c r="A2579" s="56">
        <v>2576.0</v>
      </c>
      <c r="B2579" s="60"/>
      <c r="C2579" s="58" t="s">
        <v>10589</v>
      </c>
      <c r="D2579" s="57" t="s">
        <v>10590</v>
      </c>
      <c r="E2579" s="57" t="s">
        <v>10591</v>
      </c>
      <c r="F2579" s="78">
        <v>41999.0</v>
      </c>
      <c r="G2579" s="57" t="s">
        <v>10592</v>
      </c>
      <c r="H2579" s="60"/>
      <c r="I2579" s="63" t="s">
        <v>635</v>
      </c>
      <c r="J2579" s="57" t="s">
        <v>10593</v>
      </c>
      <c r="K2579" s="60"/>
      <c r="L2579" s="60"/>
      <c r="M2579" s="60"/>
      <c r="N2579" s="61"/>
      <c r="O2579" s="51"/>
    </row>
    <row r="2580">
      <c r="A2580" s="56">
        <v>2577.0</v>
      </c>
      <c r="B2580" s="60"/>
      <c r="C2580" s="58" t="s">
        <v>10594</v>
      </c>
      <c r="D2580" s="57" t="s">
        <v>10595</v>
      </c>
      <c r="E2580" s="57" t="s">
        <v>10596</v>
      </c>
      <c r="F2580" s="78">
        <v>41994.0</v>
      </c>
      <c r="G2580" s="57" t="s">
        <v>10597</v>
      </c>
      <c r="H2580" s="60"/>
      <c r="I2580" s="63" t="s">
        <v>635</v>
      </c>
      <c r="J2580" s="57" t="s">
        <v>622</v>
      </c>
      <c r="K2580" s="60"/>
      <c r="L2580" s="60"/>
      <c r="M2580" s="57" t="s">
        <v>166</v>
      </c>
      <c r="N2580" s="61"/>
      <c r="O2580" s="51"/>
    </row>
    <row r="2581">
      <c r="A2581" s="56">
        <v>2578.0</v>
      </c>
      <c r="B2581" s="71"/>
      <c r="C2581" s="69" t="s">
        <v>10598</v>
      </c>
      <c r="D2581" s="68" t="s">
        <v>10599</v>
      </c>
      <c r="E2581" s="68" t="s">
        <v>10600</v>
      </c>
      <c r="F2581" s="83">
        <v>41864.0</v>
      </c>
      <c r="G2581" s="68" t="s">
        <v>10601</v>
      </c>
      <c r="H2581" s="71"/>
      <c r="I2581" s="63" t="s">
        <v>10602</v>
      </c>
      <c r="J2581" s="68" t="s">
        <v>10603</v>
      </c>
      <c r="K2581" s="71"/>
      <c r="L2581" s="71"/>
      <c r="M2581" s="71"/>
      <c r="N2581" s="61"/>
      <c r="O2581" s="51"/>
    </row>
    <row r="2582">
      <c r="A2582" s="56">
        <v>2579.0</v>
      </c>
      <c r="B2582" s="66"/>
      <c r="C2582" s="64" t="s">
        <v>10604</v>
      </c>
      <c r="D2582" s="63" t="s">
        <v>10605</v>
      </c>
      <c r="E2582" s="63" t="s">
        <v>10606</v>
      </c>
      <c r="F2582" s="70">
        <v>41648.0</v>
      </c>
      <c r="G2582" s="63" t="s">
        <v>10607</v>
      </c>
      <c r="H2582" s="66"/>
      <c r="I2582" s="63" t="s">
        <v>10608</v>
      </c>
      <c r="J2582" s="63" t="s">
        <v>9979</v>
      </c>
      <c r="K2582" s="66"/>
      <c r="L2582" s="66"/>
      <c r="M2582" s="63" t="s">
        <v>166</v>
      </c>
      <c r="N2582" s="61"/>
      <c r="O2582" s="51"/>
    </row>
    <row r="2583">
      <c r="A2583" s="56">
        <v>2580.0</v>
      </c>
      <c r="B2583" s="71"/>
      <c r="C2583" s="69" t="s">
        <v>10609</v>
      </c>
      <c r="D2583" s="68" t="s">
        <v>10610</v>
      </c>
      <c r="E2583" s="68" t="s">
        <v>10611</v>
      </c>
      <c r="F2583" s="83">
        <v>41939.0</v>
      </c>
      <c r="G2583" s="68" t="s">
        <v>10612</v>
      </c>
      <c r="H2583" s="71"/>
      <c r="I2583" s="66"/>
      <c r="J2583" s="68" t="s">
        <v>10613</v>
      </c>
      <c r="K2583" s="71"/>
      <c r="L2583" s="71"/>
      <c r="M2583" s="68" t="s">
        <v>27</v>
      </c>
      <c r="N2583" s="61"/>
      <c r="O2583" s="51"/>
    </row>
    <row r="2584">
      <c r="A2584" s="56">
        <v>2581.0</v>
      </c>
      <c r="B2584" s="66"/>
      <c r="C2584" s="64" t="s">
        <v>10614</v>
      </c>
      <c r="D2584" s="66"/>
      <c r="E2584" s="63" t="s">
        <v>10615</v>
      </c>
      <c r="F2584" s="63">
        <v>2013.0</v>
      </c>
      <c r="G2584" s="63" t="s">
        <v>10616</v>
      </c>
      <c r="H2584" s="66"/>
      <c r="I2584" s="63" t="s">
        <v>10617</v>
      </c>
      <c r="J2584" s="63" t="s">
        <v>2872</v>
      </c>
      <c r="K2584" s="66"/>
      <c r="L2584" s="66"/>
      <c r="M2584" s="63" t="s">
        <v>125</v>
      </c>
      <c r="N2584" s="61"/>
      <c r="O2584" s="51"/>
    </row>
    <row r="2585">
      <c r="A2585" s="56">
        <v>2582.0</v>
      </c>
      <c r="B2585" s="60"/>
      <c r="C2585" s="58" t="s">
        <v>10618</v>
      </c>
      <c r="D2585" s="60"/>
      <c r="E2585" s="57" t="s">
        <v>10619</v>
      </c>
      <c r="F2585" s="59">
        <v>42091.0</v>
      </c>
      <c r="G2585" s="57" t="s">
        <v>10620</v>
      </c>
      <c r="H2585" s="60"/>
      <c r="I2585" s="63" t="s">
        <v>10621</v>
      </c>
      <c r="J2585" s="57" t="s">
        <v>10622</v>
      </c>
      <c r="K2585" s="60"/>
      <c r="L2585" s="60"/>
      <c r="M2585" s="60"/>
      <c r="N2585" s="61"/>
      <c r="O2585" s="51"/>
    </row>
    <row r="2586">
      <c r="A2586" s="56">
        <v>2583.0</v>
      </c>
      <c r="B2586" s="60"/>
      <c r="C2586" s="58" t="s">
        <v>10623</v>
      </c>
      <c r="D2586" s="60"/>
      <c r="E2586" s="57" t="s">
        <v>10624</v>
      </c>
      <c r="F2586" s="59">
        <v>42100.0</v>
      </c>
      <c r="G2586" s="57" t="s">
        <v>10620</v>
      </c>
      <c r="H2586" s="60"/>
      <c r="I2586" s="63" t="s">
        <v>10625</v>
      </c>
      <c r="J2586" s="57" t="s">
        <v>10626</v>
      </c>
      <c r="K2586" s="60"/>
      <c r="L2586" s="60"/>
      <c r="M2586" s="60"/>
      <c r="N2586" s="61"/>
      <c r="O2586" s="51"/>
    </row>
    <row r="2587">
      <c r="A2587" s="56">
        <v>2584.0</v>
      </c>
      <c r="B2587" s="60"/>
      <c r="C2587" s="58" t="s">
        <v>10627</v>
      </c>
      <c r="D2587" s="60"/>
      <c r="E2587" s="57" t="s">
        <v>10628</v>
      </c>
      <c r="F2587" s="59">
        <v>42116.0</v>
      </c>
      <c r="G2587" s="57" t="s">
        <v>10629</v>
      </c>
      <c r="H2587" s="60"/>
      <c r="I2587" s="63" t="s">
        <v>635</v>
      </c>
      <c r="J2587" s="57" t="s">
        <v>1481</v>
      </c>
      <c r="K2587" s="60"/>
      <c r="L2587" s="60"/>
      <c r="M2587" s="57" t="s">
        <v>166</v>
      </c>
      <c r="N2587" s="61"/>
      <c r="O2587" s="51"/>
    </row>
    <row r="2588">
      <c r="A2588" s="56">
        <v>2585.0</v>
      </c>
      <c r="B2588" s="60"/>
      <c r="C2588" s="58" t="s">
        <v>10630</v>
      </c>
      <c r="D2588" s="60"/>
      <c r="E2588" s="57" t="s">
        <v>10631</v>
      </c>
      <c r="F2588" s="59">
        <v>42046.0</v>
      </c>
      <c r="G2588" s="57" t="s">
        <v>10632</v>
      </c>
      <c r="H2588" s="60"/>
      <c r="I2588" s="63" t="s">
        <v>10633</v>
      </c>
      <c r="J2588" s="57" t="s">
        <v>10634</v>
      </c>
      <c r="K2588" s="60"/>
      <c r="L2588" s="60"/>
      <c r="M2588" s="60"/>
      <c r="N2588" s="61"/>
      <c r="O2588" s="51"/>
    </row>
    <row r="2589">
      <c r="A2589" s="56">
        <v>2586.0</v>
      </c>
      <c r="B2589" s="60"/>
      <c r="C2589" s="58" t="s">
        <v>10635</v>
      </c>
      <c r="D2589" s="60"/>
      <c r="E2589" s="57" t="s">
        <v>10636</v>
      </c>
      <c r="F2589" s="78">
        <v>41256.0</v>
      </c>
      <c r="G2589" s="57" t="s">
        <v>10637</v>
      </c>
      <c r="H2589" s="60"/>
      <c r="I2589" s="63" t="s">
        <v>635</v>
      </c>
      <c r="J2589" s="57" t="s">
        <v>10638</v>
      </c>
      <c r="K2589" s="60"/>
      <c r="L2589" s="60"/>
      <c r="M2589" s="57" t="s">
        <v>195</v>
      </c>
      <c r="N2589" s="61"/>
      <c r="O2589" s="51"/>
    </row>
    <row r="2590">
      <c r="A2590" s="56">
        <v>2587.0</v>
      </c>
      <c r="B2590" s="66"/>
      <c r="C2590" s="64" t="s">
        <v>10639</v>
      </c>
      <c r="D2590" s="66"/>
      <c r="E2590" s="63" t="s">
        <v>10640</v>
      </c>
      <c r="F2590" s="70">
        <v>42143.0</v>
      </c>
      <c r="G2590" s="63" t="s">
        <v>10641</v>
      </c>
      <c r="H2590" s="66"/>
      <c r="I2590" s="63" t="s">
        <v>10642</v>
      </c>
      <c r="J2590" s="63" t="s">
        <v>10643</v>
      </c>
      <c r="K2590" s="66"/>
      <c r="L2590" s="66"/>
      <c r="M2590" s="63" t="s">
        <v>31</v>
      </c>
      <c r="N2590" s="61"/>
      <c r="O2590" s="51"/>
    </row>
    <row r="2591">
      <c r="A2591" s="56">
        <v>2588.0</v>
      </c>
      <c r="B2591" s="66"/>
      <c r="C2591" s="64" t="s">
        <v>10644</v>
      </c>
      <c r="D2591" s="66"/>
      <c r="E2591" s="63" t="s">
        <v>10645</v>
      </c>
      <c r="F2591" s="65">
        <v>40101.0</v>
      </c>
      <c r="G2591" s="63" t="s">
        <v>10646</v>
      </c>
      <c r="H2591" s="66"/>
      <c r="I2591" s="63" t="s">
        <v>10647</v>
      </c>
      <c r="J2591" s="63" t="s">
        <v>10643</v>
      </c>
      <c r="K2591" s="66"/>
      <c r="L2591" s="63" t="s">
        <v>10648</v>
      </c>
      <c r="M2591" s="63" t="s">
        <v>166</v>
      </c>
      <c r="N2591" s="61"/>
      <c r="O2591" s="51"/>
    </row>
    <row r="2592">
      <c r="A2592" s="56">
        <v>2589.0</v>
      </c>
      <c r="B2592" s="71"/>
      <c r="C2592" s="69" t="s">
        <v>10649</v>
      </c>
      <c r="D2592" s="71"/>
      <c r="E2592" s="68" t="s">
        <v>10650</v>
      </c>
      <c r="F2592" s="76">
        <v>41369.0</v>
      </c>
      <c r="G2592" s="68" t="s">
        <v>10651</v>
      </c>
      <c r="H2592" s="71"/>
      <c r="I2592" s="68" t="s">
        <v>10652</v>
      </c>
      <c r="J2592" s="68" t="s">
        <v>10653</v>
      </c>
      <c r="K2592" s="71"/>
      <c r="L2592" s="71"/>
      <c r="M2592" s="71"/>
      <c r="N2592" s="61"/>
      <c r="O2592" s="51"/>
    </row>
    <row r="2593">
      <c r="A2593" s="56">
        <v>2590.0</v>
      </c>
      <c r="B2593" s="60"/>
      <c r="C2593" s="58" t="s">
        <v>10654</v>
      </c>
      <c r="D2593" s="60"/>
      <c r="E2593" s="57" t="s">
        <v>10655</v>
      </c>
      <c r="F2593" s="59">
        <v>42123.0</v>
      </c>
      <c r="G2593" s="57" t="s">
        <v>10656</v>
      </c>
      <c r="H2593" s="60"/>
      <c r="I2593" s="63" t="s">
        <v>10657</v>
      </c>
      <c r="J2593" s="57" t="s">
        <v>10658</v>
      </c>
      <c r="K2593" s="60"/>
      <c r="L2593" s="60"/>
      <c r="M2593" s="60"/>
      <c r="N2593" s="61"/>
      <c r="O2593" s="51"/>
    </row>
    <row r="2594">
      <c r="A2594" s="56">
        <v>2591.0</v>
      </c>
      <c r="B2594" s="60"/>
      <c r="C2594" s="58" t="s">
        <v>10659</v>
      </c>
      <c r="D2594" s="60"/>
      <c r="E2594" s="57" t="s">
        <v>10660</v>
      </c>
      <c r="F2594" s="59">
        <v>41705.0</v>
      </c>
      <c r="G2594" s="57" t="s">
        <v>10661</v>
      </c>
      <c r="H2594" s="60"/>
      <c r="I2594" s="63" t="s">
        <v>635</v>
      </c>
      <c r="J2594" s="57" t="s">
        <v>10662</v>
      </c>
      <c r="K2594" s="60"/>
      <c r="L2594" s="60"/>
      <c r="M2594" s="60"/>
      <c r="N2594" s="61"/>
      <c r="O2594" s="51"/>
    </row>
    <row r="2595">
      <c r="A2595" s="75">
        <v>2592.0</v>
      </c>
      <c r="B2595" s="71"/>
      <c r="C2595" s="69" t="s">
        <v>10663</v>
      </c>
      <c r="D2595" s="71"/>
      <c r="E2595" s="68" t="s">
        <v>10664</v>
      </c>
      <c r="F2595" s="76">
        <v>41868.0</v>
      </c>
      <c r="G2595" s="68" t="s">
        <v>10665</v>
      </c>
      <c r="H2595" s="71"/>
      <c r="I2595" s="68" t="s">
        <v>10666</v>
      </c>
      <c r="J2595" s="68" t="s">
        <v>10667</v>
      </c>
      <c r="K2595" s="71"/>
      <c r="L2595" s="71"/>
      <c r="M2595" s="68" t="s">
        <v>2263</v>
      </c>
      <c r="N2595" s="77"/>
      <c r="O2595" s="51"/>
    </row>
    <row r="2596">
      <c r="A2596" s="56">
        <v>2593.0</v>
      </c>
      <c r="B2596" s="71"/>
      <c r="C2596" s="69" t="s">
        <v>10668</v>
      </c>
      <c r="D2596" s="71"/>
      <c r="E2596" s="68" t="s">
        <v>10669</v>
      </c>
      <c r="F2596" s="76">
        <v>42118.0</v>
      </c>
      <c r="G2596" s="68" t="s">
        <v>10670</v>
      </c>
      <c r="H2596" s="71"/>
      <c r="I2596" s="63" t="s">
        <v>635</v>
      </c>
      <c r="J2596" s="68" t="s">
        <v>10671</v>
      </c>
      <c r="K2596" s="71"/>
      <c r="L2596" s="71"/>
      <c r="M2596" s="71"/>
      <c r="N2596" s="61"/>
      <c r="O2596" s="51"/>
    </row>
    <row r="2597">
      <c r="A2597" s="56">
        <v>2594.0</v>
      </c>
      <c r="B2597" s="71"/>
      <c r="C2597" s="69" t="s">
        <v>10672</v>
      </c>
      <c r="D2597" s="71"/>
      <c r="E2597" s="68" t="s">
        <v>10673</v>
      </c>
      <c r="F2597" s="76">
        <v>41750.0</v>
      </c>
      <c r="G2597" s="68" t="s">
        <v>10674</v>
      </c>
      <c r="H2597" s="71"/>
      <c r="I2597" s="63" t="s">
        <v>10675</v>
      </c>
      <c r="J2597" s="68" t="s">
        <v>10676</v>
      </c>
      <c r="K2597" s="71"/>
      <c r="L2597" s="71"/>
      <c r="M2597" s="71"/>
      <c r="N2597" s="61"/>
      <c r="O2597" s="51"/>
    </row>
    <row r="2598">
      <c r="A2598" s="56">
        <v>2595.0</v>
      </c>
      <c r="B2598" s="71"/>
      <c r="C2598" s="69" t="s">
        <v>10677</v>
      </c>
      <c r="D2598" s="71"/>
      <c r="E2598" s="68" t="s">
        <v>10678</v>
      </c>
      <c r="F2598" s="76">
        <v>42061.0</v>
      </c>
      <c r="G2598" s="68" t="s">
        <v>10679</v>
      </c>
      <c r="H2598" s="71"/>
      <c r="I2598" s="68" t="s">
        <v>10680</v>
      </c>
      <c r="J2598" s="68" t="s">
        <v>10681</v>
      </c>
      <c r="K2598" s="71"/>
      <c r="L2598" s="71"/>
      <c r="M2598" s="68" t="s">
        <v>166</v>
      </c>
      <c r="N2598" s="61"/>
      <c r="O2598" s="51"/>
    </row>
    <row r="2599">
      <c r="A2599" s="56">
        <v>2596.0</v>
      </c>
      <c r="B2599" s="71"/>
      <c r="C2599" s="69" t="s">
        <v>10682</v>
      </c>
      <c r="D2599" s="71"/>
      <c r="E2599" s="68" t="s">
        <v>10683</v>
      </c>
      <c r="F2599" s="76">
        <v>42117.0</v>
      </c>
      <c r="G2599" s="68" t="s">
        <v>10684</v>
      </c>
      <c r="H2599" s="71"/>
      <c r="I2599" s="63" t="s">
        <v>10685</v>
      </c>
      <c r="J2599" s="68" t="s">
        <v>10686</v>
      </c>
      <c r="K2599" s="71"/>
      <c r="L2599" s="71"/>
      <c r="M2599" s="68" t="s">
        <v>166</v>
      </c>
      <c r="N2599" s="61"/>
      <c r="O2599" s="51"/>
    </row>
    <row r="2600">
      <c r="A2600" s="56">
        <v>2597.0</v>
      </c>
      <c r="B2600" s="71"/>
      <c r="C2600" s="69" t="s">
        <v>10687</v>
      </c>
      <c r="D2600" s="71"/>
      <c r="E2600" s="68" t="s">
        <v>10688</v>
      </c>
      <c r="F2600" s="76">
        <v>42160.0</v>
      </c>
      <c r="G2600" s="68" t="s">
        <v>10670</v>
      </c>
      <c r="H2600" s="71"/>
      <c r="I2600" s="63" t="s">
        <v>635</v>
      </c>
      <c r="J2600" s="68" t="s">
        <v>10671</v>
      </c>
      <c r="K2600" s="71"/>
      <c r="L2600" s="71"/>
      <c r="M2600" s="71"/>
      <c r="N2600" s="61"/>
      <c r="O2600" s="51"/>
    </row>
    <row r="2601">
      <c r="A2601" s="85">
        <v>2598.0</v>
      </c>
      <c r="B2601" s="82"/>
      <c r="C2601" s="79" t="s">
        <v>10689</v>
      </c>
      <c r="D2601" s="82"/>
      <c r="E2601" s="80" t="s">
        <v>10690</v>
      </c>
      <c r="F2601" s="81">
        <v>41532.0</v>
      </c>
      <c r="G2601" s="80" t="s">
        <v>10691</v>
      </c>
      <c r="H2601" s="82"/>
      <c r="I2601" s="80" t="s">
        <v>10692</v>
      </c>
      <c r="J2601" s="82"/>
      <c r="K2601" s="82"/>
      <c r="L2601" s="82"/>
      <c r="M2601" s="80" t="s">
        <v>166</v>
      </c>
      <c r="N2601" s="61"/>
      <c r="O2601" s="51"/>
    </row>
    <row r="2602">
      <c r="A2602" s="56">
        <v>2599.0</v>
      </c>
      <c r="B2602" s="60"/>
      <c r="C2602" s="58" t="s">
        <v>10693</v>
      </c>
      <c r="D2602" s="60"/>
      <c r="E2602" s="57" t="s">
        <v>10694</v>
      </c>
      <c r="F2602" s="59">
        <v>42017.0</v>
      </c>
      <c r="G2602" s="57" t="s">
        <v>10695</v>
      </c>
      <c r="H2602" s="60"/>
      <c r="I2602" s="63" t="s">
        <v>10696</v>
      </c>
      <c r="J2602" s="57" t="s">
        <v>10697</v>
      </c>
      <c r="K2602" s="60"/>
      <c r="L2602" s="60"/>
      <c r="M2602" s="57" t="s">
        <v>166</v>
      </c>
      <c r="N2602" s="61"/>
      <c r="O2602" s="51"/>
    </row>
    <row r="2603">
      <c r="A2603" s="56">
        <v>2600.0</v>
      </c>
      <c r="B2603" s="71"/>
      <c r="C2603" s="69" t="s">
        <v>10698</v>
      </c>
      <c r="D2603" s="71"/>
      <c r="E2603" s="68" t="s">
        <v>10699</v>
      </c>
      <c r="F2603" s="76">
        <v>42041.0</v>
      </c>
      <c r="G2603" s="68" t="s">
        <v>10700</v>
      </c>
      <c r="H2603" s="71"/>
      <c r="I2603" s="63" t="s">
        <v>635</v>
      </c>
      <c r="J2603" s="68" t="s">
        <v>10701</v>
      </c>
      <c r="K2603" s="71"/>
      <c r="L2603" s="71"/>
      <c r="M2603" s="68" t="s">
        <v>166</v>
      </c>
      <c r="N2603" s="61"/>
      <c r="O2603" s="51"/>
    </row>
    <row r="2604">
      <c r="A2604" s="56">
        <v>2601.0</v>
      </c>
      <c r="B2604" s="71"/>
      <c r="C2604" s="69" t="s">
        <v>10702</v>
      </c>
      <c r="D2604" s="71"/>
      <c r="E2604" s="68" t="s">
        <v>10703</v>
      </c>
      <c r="F2604" s="76">
        <v>42043.0</v>
      </c>
      <c r="G2604" s="68" t="s">
        <v>10704</v>
      </c>
      <c r="H2604" s="71"/>
      <c r="I2604" s="63" t="s">
        <v>635</v>
      </c>
      <c r="J2604" s="68" t="s">
        <v>296</v>
      </c>
      <c r="K2604" s="71"/>
      <c r="L2604" s="71"/>
      <c r="M2604" s="68" t="s">
        <v>166</v>
      </c>
      <c r="N2604" s="61"/>
      <c r="O2604" s="51"/>
    </row>
    <row r="2605">
      <c r="A2605" s="56">
        <v>2602.0</v>
      </c>
      <c r="B2605" s="66"/>
      <c r="C2605" s="64" t="s">
        <v>10705</v>
      </c>
      <c r="D2605" s="66"/>
      <c r="E2605" s="63" t="s">
        <v>10706</v>
      </c>
      <c r="F2605" s="70">
        <v>42059.0</v>
      </c>
      <c r="G2605" s="63" t="s">
        <v>10707</v>
      </c>
      <c r="H2605" s="63" t="s">
        <v>10708</v>
      </c>
      <c r="I2605" s="63" t="s">
        <v>10709</v>
      </c>
      <c r="J2605" s="63" t="s">
        <v>9979</v>
      </c>
      <c r="K2605" s="66"/>
      <c r="L2605" s="63" t="s">
        <v>10710</v>
      </c>
      <c r="M2605" s="63" t="s">
        <v>166</v>
      </c>
      <c r="N2605" s="61"/>
      <c r="O2605" s="51"/>
    </row>
    <row r="2606">
      <c r="A2606" s="56">
        <v>2603.0</v>
      </c>
      <c r="B2606" s="71"/>
      <c r="C2606" s="69" t="s">
        <v>10711</v>
      </c>
      <c r="D2606" s="71"/>
      <c r="E2606" s="68" t="s">
        <v>10712</v>
      </c>
      <c r="F2606" s="107">
        <v>42059.0</v>
      </c>
      <c r="G2606" s="68" t="s">
        <v>10713</v>
      </c>
      <c r="H2606" s="71"/>
      <c r="I2606" s="63" t="s">
        <v>10714</v>
      </c>
      <c r="J2606" s="68" t="s">
        <v>10715</v>
      </c>
      <c r="K2606" s="71"/>
      <c r="L2606" s="71"/>
      <c r="M2606" s="68" t="s">
        <v>166</v>
      </c>
      <c r="N2606" s="61"/>
      <c r="O2606" s="51"/>
    </row>
    <row r="2607">
      <c r="A2607" s="56">
        <v>2604.0</v>
      </c>
      <c r="B2607" s="71"/>
      <c r="C2607" s="69" t="s">
        <v>10716</v>
      </c>
      <c r="D2607" s="71"/>
      <c r="E2607" s="68" t="s">
        <v>10717</v>
      </c>
      <c r="F2607" s="76">
        <v>42081.0</v>
      </c>
      <c r="G2607" s="68" t="s">
        <v>10718</v>
      </c>
      <c r="H2607" s="71"/>
      <c r="I2607" s="68" t="s">
        <v>10719</v>
      </c>
      <c r="J2607" s="87" t="s">
        <v>10720</v>
      </c>
      <c r="K2607" s="71"/>
      <c r="L2607" s="71"/>
      <c r="M2607" s="68" t="s">
        <v>166</v>
      </c>
      <c r="N2607" s="61"/>
      <c r="O2607" s="51"/>
    </row>
    <row r="2608">
      <c r="A2608" s="56">
        <v>2605.0</v>
      </c>
      <c r="B2608" s="71"/>
      <c r="C2608" s="69" t="s">
        <v>10721</v>
      </c>
      <c r="D2608" s="71"/>
      <c r="E2608" s="68" t="s">
        <v>10722</v>
      </c>
      <c r="F2608" s="76">
        <v>42081.0</v>
      </c>
      <c r="G2608" s="68" t="s">
        <v>10723</v>
      </c>
      <c r="H2608" s="71"/>
      <c r="I2608" s="63" t="s">
        <v>10724</v>
      </c>
      <c r="J2608" s="68" t="s">
        <v>10701</v>
      </c>
      <c r="K2608" s="71"/>
      <c r="L2608" s="71"/>
      <c r="M2608" s="68" t="s">
        <v>166</v>
      </c>
      <c r="N2608" s="61"/>
      <c r="O2608" s="51"/>
    </row>
    <row r="2609">
      <c r="A2609" s="56">
        <v>2606.0</v>
      </c>
      <c r="B2609" s="71"/>
      <c r="C2609" s="69" t="s">
        <v>10725</v>
      </c>
      <c r="D2609" s="71"/>
      <c r="E2609" s="68" t="s">
        <v>10726</v>
      </c>
      <c r="F2609" s="76">
        <v>42082.0</v>
      </c>
      <c r="G2609" s="68" t="s">
        <v>10727</v>
      </c>
      <c r="H2609" s="71"/>
      <c r="I2609" s="63" t="s">
        <v>10728</v>
      </c>
      <c r="J2609" s="68" t="s">
        <v>296</v>
      </c>
      <c r="K2609" s="71"/>
      <c r="L2609" s="71"/>
      <c r="M2609" s="68" t="s">
        <v>166</v>
      </c>
      <c r="N2609" s="61"/>
      <c r="O2609" s="51"/>
    </row>
    <row r="2610">
      <c r="A2610" s="56">
        <v>2607.0</v>
      </c>
      <c r="B2610" s="66"/>
      <c r="C2610" s="64" t="s">
        <v>10729</v>
      </c>
      <c r="D2610" s="66"/>
      <c r="E2610" s="63" t="s">
        <v>10730</v>
      </c>
      <c r="F2610" s="70">
        <v>42087.0</v>
      </c>
      <c r="G2610" s="63" t="s">
        <v>10731</v>
      </c>
      <c r="H2610" s="66"/>
      <c r="I2610" s="63" t="s">
        <v>10732</v>
      </c>
      <c r="J2610" s="63" t="s">
        <v>9979</v>
      </c>
      <c r="K2610" s="66"/>
      <c r="L2610" s="63" t="s">
        <v>10733</v>
      </c>
      <c r="M2610" s="63" t="s">
        <v>166</v>
      </c>
      <c r="N2610" s="61"/>
      <c r="O2610" s="51"/>
    </row>
    <row r="2611">
      <c r="A2611" s="56">
        <v>2608.0</v>
      </c>
      <c r="B2611" s="71"/>
      <c r="C2611" s="69" t="s">
        <v>10734</v>
      </c>
      <c r="D2611" s="71"/>
      <c r="E2611" s="68" t="s">
        <v>10735</v>
      </c>
      <c r="F2611" s="76">
        <v>42090.0</v>
      </c>
      <c r="G2611" s="68" t="s">
        <v>10736</v>
      </c>
      <c r="H2611" s="71"/>
      <c r="I2611" s="63" t="s">
        <v>635</v>
      </c>
      <c r="J2611" s="68" t="s">
        <v>10737</v>
      </c>
      <c r="K2611" s="71"/>
      <c r="L2611" s="71"/>
      <c r="M2611" s="68" t="s">
        <v>166</v>
      </c>
      <c r="N2611" s="61"/>
      <c r="O2611" s="51"/>
    </row>
    <row r="2612">
      <c r="A2612" s="56">
        <v>2609.0</v>
      </c>
      <c r="B2612" s="60"/>
      <c r="C2612" s="58" t="s">
        <v>10738</v>
      </c>
      <c r="D2612" s="60"/>
      <c r="E2612" s="57" t="s">
        <v>10739</v>
      </c>
      <c r="F2612" s="59">
        <v>42089.0</v>
      </c>
      <c r="G2612" s="57" t="s">
        <v>10740</v>
      </c>
      <c r="H2612" s="60"/>
      <c r="I2612" s="63" t="s">
        <v>635</v>
      </c>
      <c r="J2612" s="57" t="s">
        <v>10741</v>
      </c>
      <c r="K2612" s="60"/>
      <c r="L2612" s="60"/>
      <c r="M2612" s="57" t="s">
        <v>166</v>
      </c>
      <c r="N2612" s="61"/>
      <c r="O2612" s="51"/>
    </row>
    <row r="2613">
      <c r="A2613" s="56">
        <v>2610.0</v>
      </c>
      <c r="B2613" s="60"/>
      <c r="C2613" s="58" t="s">
        <v>10742</v>
      </c>
      <c r="D2613" s="60"/>
      <c r="E2613" s="57" t="s">
        <v>10743</v>
      </c>
      <c r="F2613" s="59">
        <v>42092.0</v>
      </c>
      <c r="G2613" s="57" t="s">
        <v>10744</v>
      </c>
      <c r="H2613" s="60"/>
      <c r="I2613" s="63" t="s">
        <v>635</v>
      </c>
      <c r="J2613" s="57" t="s">
        <v>10745</v>
      </c>
      <c r="K2613" s="60"/>
      <c r="L2613" s="60"/>
      <c r="M2613" s="57" t="s">
        <v>166</v>
      </c>
      <c r="N2613" s="61"/>
      <c r="O2613" s="51"/>
    </row>
    <row r="2614">
      <c r="A2614" s="56">
        <v>2611.0</v>
      </c>
      <c r="B2614" s="71"/>
      <c r="C2614" s="69" t="s">
        <v>10746</v>
      </c>
      <c r="D2614" s="71"/>
      <c r="E2614" s="68" t="s">
        <v>10747</v>
      </c>
      <c r="F2614" s="76">
        <v>42093.0</v>
      </c>
      <c r="G2614" s="68" t="s">
        <v>10748</v>
      </c>
      <c r="H2614" s="71"/>
      <c r="I2614" s="68" t="s">
        <v>10749</v>
      </c>
      <c r="J2614" s="87" t="s">
        <v>10750</v>
      </c>
      <c r="K2614" s="71"/>
      <c r="L2614" s="71"/>
      <c r="M2614" s="68" t="s">
        <v>166</v>
      </c>
      <c r="N2614" s="61"/>
      <c r="O2614" s="51"/>
    </row>
    <row r="2615">
      <c r="A2615" s="56">
        <v>2612.0</v>
      </c>
      <c r="B2615" s="60"/>
      <c r="C2615" s="58" t="s">
        <v>10751</v>
      </c>
      <c r="D2615" s="60"/>
      <c r="E2615" s="57" t="s">
        <v>10752</v>
      </c>
      <c r="F2615" s="59">
        <v>42093.0</v>
      </c>
      <c r="G2615" s="57" t="s">
        <v>10753</v>
      </c>
      <c r="H2615" s="60"/>
      <c r="I2615" s="63" t="s">
        <v>10754</v>
      </c>
      <c r="J2615" s="57" t="s">
        <v>1481</v>
      </c>
      <c r="K2615" s="60"/>
      <c r="L2615" s="60"/>
      <c r="M2615" s="57" t="s">
        <v>166</v>
      </c>
      <c r="N2615" s="61"/>
      <c r="O2615" s="51"/>
    </row>
    <row r="2616">
      <c r="A2616" s="56">
        <v>2613.0</v>
      </c>
      <c r="B2616" s="60"/>
      <c r="C2616" s="58" t="s">
        <v>10755</v>
      </c>
      <c r="D2616" s="60"/>
      <c r="E2616" s="57" t="s">
        <v>10756</v>
      </c>
      <c r="F2616" s="59">
        <v>42124.0</v>
      </c>
      <c r="G2616" s="57" t="s">
        <v>10757</v>
      </c>
      <c r="H2616" s="60"/>
      <c r="I2616" s="63" t="s">
        <v>635</v>
      </c>
      <c r="J2616" s="57" t="s">
        <v>10741</v>
      </c>
      <c r="K2616" s="60"/>
      <c r="L2616" s="60"/>
      <c r="M2616" s="57" t="s">
        <v>166</v>
      </c>
      <c r="N2616" s="61"/>
      <c r="O2616" s="51"/>
    </row>
    <row r="2617">
      <c r="A2617" s="56">
        <v>2614.0</v>
      </c>
      <c r="B2617" s="60"/>
      <c r="C2617" s="58" t="s">
        <v>10758</v>
      </c>
      <c r="D2617" s="60"/>
      <c r="E2617" s="57" t="s">
        <v>10759</v>
      </c>
      <c r="F2617" s="59">
        <v>42122.0</v>
      </c>
      <c r="G2617" s="57" t="s">
        <v>10760</v>
      </c>
      <c r="H2617" s="60"/>
      <c r="I2617" s="63" t="s">
        <v>10761</v>
      </c>
      <c r="J2617" s="57" t="s">
        <v>2675</v>
      </c>
      <c r="K2617" s="60"/>
      <c r="L2617" s="60"/>
      <c r="M2617" s="104"/>
      <c r="N2617" s="105"/>
      <c r="O2617" s="51"/>
    </row>
    <row r="2618">
      <c r="A2618" s="56">
        <v>2615.0</v>
      </c>
      <c r="B2618" s="60"/>
      <c r="C2618" s="58" t="s">
        <v>10762</v>
      </c>
      <c r="D2618" s="60"/>
      <c r="E2618" s="57" t="s">
        <v>10763</v>
      </c>
      <c r="F2618" s="59">
        <v>42023.0</v>
      </c>
      <c r="G2618" s="57" t="s">
        <v>10764</v>
      </c>
      <c r="H2618" s="60"/>
      <c r="I2618" s="63" t="s">
        <v>635</v>
      </c>
      <c r="J2618" s="57" t="s">
        <v>9438</v>
      </c>
      <c r="K2618" s="60"/>
      <c r="L2618" s="60"/>
      <c r="M2618" s="110" t="s">
        <v>166</v>
      </c>
      <c r="N2618" s="61"/>
      <c r="O2618" s="51"/>
    </row>
    <row r="2619">
      <c r="A2619" s="56">
        <v>2616.0</v>
      </c>
      <c r="B2619" s="71"/>
      <c r="C2619" s="69" t="s">
        <v>10765</v>
      </c>
      <c r="D2619" s="71"/>
      <c r="E2619" s="68" t="s">
        <v>10766</v>
      </c>
      <c r="F2619" s="76">
        <v>42101.0</v>
      </c>
      <c r="G2619" s="68" t="s">
        <v>10767</v>
      </c>
      <c r="H2619" s="71"/>
      <c r="I2619" s="63" t="s">
        <v>10768</v>
      </c>
      <c r="J2619" s="68" t="s">
        <v>10769</v>
      </c>
      <c r="K2619" s="66"/>
      <c r="L2619" s="66"/>
      <c r="M2619" s="66"/>
      <c r="N2619" s="61"/>
      <c r="O2619" s="51"/>
    </row>
    <row r="2620">
      <c r="A2620" s="56">
        <v>2617.0</v>
      </c>
      <c r="B2620" s="60"/>
      <c r="C2620" s="58" t="s">
        <v>10770</v>
      </c>
      <c r="D2620" s="60"/>
      <c r="E2620" s="57" t="s">
        <v>10771</v>
      </c>
      <c r="F2620" s="59">
        <v>42123.0</v>
      </c>
      <c r="G2620" s="57" t="s">
        <v>10772</v>
      </c>
      <c r="H2620" s="60"/>
      <c r="I2620" s="63" t="s">
        <v>635</v>
      </c>
      <c r="J2620" s="57" t="s">
        <v>622</v>
      </c>
      <c r="K2620" s="60"/>
      <c r="L2620" s="60"/>
      <c r="M2620" s="57" t="s">
        <v>166</v>
      </c>
      <c r="N2620" s="61"/>
      <c r="O2620" s="51"/>
    </row>
    <row r="2621">
      <c r="A2621" s="56">
        <v>2618.0</v>
      </c>
      <c r="B2621" s="66"/>
      <c r="C2621" s="64" t="s">
        <v>10773</v>
      </c>
      <c r="D2621" s="66"/>
      <c r="E2621" s="63" t="s">
        <v>10774</v>
      </c>
      <c r="F2621" s="70">
        <v>42093.0</v>
      </c>
      <c r="G2621" s="63" t="s">
        <v>10775</v>
      </c>
      <c r="H2621" s="66"/>
      <c r="I2621" s="63" t="s">
        <v>10776</v>
      </c>
      <c r="J2621" s="63" t="s">
        <v>9979</v>
      </c>
      <c r="K2621" s="66"/>
      <c r="L2621" s="63" t="s">
        <v>10777</v>
      </c>
      <c r="M2621" s="63" t="s">
        <v>166</v>
      </c>
      <c r="N2621" s="61"/>
      <c r="O2621" s="51"/>
    </row>
    <row r="2622">
      <c r="A2622" s="56">
        <v>2619.0</v>
      </c>
      <c r="B2622" s="66"/>
      <c r="C2622" s="64" t="s">
        <v>10778</v>
      </c>
      <c r="D2622" s="66"/>
      <c r="E2622" s="63" t="s">
        <v>10779</v>
      </c>
      <c r="F2622" s="70">
        <v>42090.0</v>
      </c>
      <c r="G2622" s="63" t="s">
        <v>10780</v>
      </c>
      <c r="H2622" s="66"/>
      <c r="I2622" s="63" t="s">
        <v>10781</v>
      </c>
      <c r="J2622" s="63" t="s">
        <v>9979</v>
      </c>
      <c r="K2622" s="66"/>
      <c r="L2622" s="63" t="s">
        <v>10782</v>
      </c>
      <c r="M2622" s="63" t="s">
        <v>166</v>
      </c>
      <c r="N2622" s="61"/>
      <c r="O2622" s="51"/>
    </row>
    <row r="2623">
      <c r="A2623" s="56">
        <v>2620.0</v>
      </c>
      <c r="B2623" s="66"/>
      <c r="C2623" s="64" t="s">
        <v>10783</v>
      </c>
      <c r="D2623" s="66"/>
      <c r="E2623" s="63" t="s">
        <v>10784</v>
      </c>
      <c r="F2623" s="70">
        <v>42068.0</v>
      </c>
      <c r="G2623" s="63" t="s">
        <v>10785</v>
      </c>
      <c r="H2623" s="66"/>
      <c r="I2623" s="63" t="s">
        <v>10786</v>
      </c>
      <c r="J2623" s="66"/>
      <c r="K2623" s="66"/>
      <c r="L2623" s="63" t="s">
        <v>10787</v>
      </c>
      <c r="M2623" s="63" t="s">
        <v>166</v>
      </c>
      <c r="N2623" s="187"/>
      <c r="O2623" s="51"/>
    </row>
    <row r="2624">
      <c r="A2624" s="56">
        <v>2621.0</v>
      </c>
      <c r="B2624" s="71"/>
      <c r="C2624" s="69" t="s">
        <v>10788</v>
      </c>
      <c r="D2624" s="71"/>
      <c r="E2624" s="68" t="s">
        <v>10789</v>
      </c>
      <c r="F2624" s="83">
        <v>42289.0</v>
      </c>
      <c r="G2624" s="68" t="s">
        <v>10790</v>
      </c>
      <c r="H2624" s="71"/>
      <c r="I2624" s="63" t="s">
        <v>10791</v>
      </c>
      <c r="J2624" s="68" t="s">
        <v>10792</v>
      </c>
      <c r="K2624" s="71"/>
      <c r="L2624" s="71"/>
      <c r="M2624" s="68" t="s">
        <v>201</v>
      </c>
      <c r="N2624" s="61"/>
      <c r="O2624" s="51"/>
    </row>
    <row r="2625">
      <c r="A2625" s="56">
        <v>2622.0</v>
      </c>
      <c r="B2625" s="71"/>
      <c r="C2625" s="69" t="s">
        <v>10793</v>
      </c>
      <c r="D2625" s="71"/>
      <c r="E2625" s="68" t="s">
        <v>10794</v>
      </c>
      <c r="F2625" s="76">
        <v>41791.0</v>
      </c>
      <c r="G2625" s="68" t="s">
        <v>10795</v>
      </c>
      <c r="H2625" s="71"/>
      <c r="I2625" s="68" t="s">
        <v>10796</v>
      </c>
      <c r="J2625" s="68" t="s">
        <v>10797</v>
      </c>
      <c r="K2625" s="71"/>
      <c r="L2625" s="71"/>
      <c r="M2625" s="71"/>
      <c r="N2625" s="61"/>
      <c r="O2625" s="51"/>
    </row>
    <row r="2626">
      <c r="A2626" s="56">
        <v>2623.0</v>
      </c>
      <c r="B2626" s="71"/>
      <c r="C2626" s="69" t="s">
        <v>10798</v>
      </c>
      <c r="D2626" s="71"/>
      <c r="E2626" s="68" t="s">
        <v>10799</v>
      </c>
      <c r="F2626" s="83">
        <v>41968.0</v>
      </c>
      <c r="G2626" s="68" t="s">
        <v>10800</v>
      </c>
      <c r="H2626" s="71"/>
      <c r="I2626" s="68" t="s">
        <v>10801</v>
      </c>
      <c r="J2626" s="68" t="s">
        <v>10802</v>
      </c>
      <c r="K2626" s="71"/>
      <c r="L2626" s="71"/>
      <c r="M2626" s="68" t="s">
        <v>530</v>
      </c>
      <c r="N2626" s="77"/>
      <c r="O2626" s="51"/>
    </row>
    <row r="2627">
      <c r="A2627" s="56">
        <v>2624.0</v>
      </c>
      <c r="B2627" s="66"/>
      <c r="C2627" s="64" t="s">
        <v>10803</v>
      </c>
      <c r="D2627" s="66"/>
      <c r="E2627" s="63" t="s">
        <v>10804</v>
      </c>
      <c r="F2627" s="70">
        <v>42102.0</v>
      </c>
      <c r="G2627" s="63" t="s">
        <v>10805</v>
      </c>
      <c r="H2627" s="66"/>
      <c r="I2627" s="63" t="s">
        <v>10806</v>
      </c>
      <c r="J2627" s="63" t="s">
        <v>10807</v>
      </c>
      <c r="K2627" s="66"/>
      <c r="L2627" s="66"/>
      <c r="M2627" s="63" t="s">
        <v>10808</v>
      </c>
      <c r="N2627" s="61"/>
      <c r="O2627" s="51"/>
    </row>
    <row r="2628">
      <c r="A2628" s="56">
        <v>2625.0</v>
      </c>
      <c r="B2628" s="71"/>
      <c r="C2628" s="69" t="s">
        <v>10809</v>
      </c>
      <c r="D2628" s="71"/>
      <c r="E2628" s="68" t="s">
        <v>10810</v>
      </c>
      <c r="F2628" s="76">
        <v>42006.0</v>
      </c>
      <c r="G2628" s="68" t="s">
        <v>10811</v>
      </c>
      <c r="H2628" s="71"/>
      <c r="I2628" s="66"/>
      <c r="J2628" s="68" t="s">
        <v>10812</v>
      </c>
      <c r="K2628" s="71"/>
      <c r="L2628" s="71"/>
      <c r="M2628" s="68" t="s">
        <v>941</v>
      </c>
      <c r="N2628" s="61"/>
      <c r="O2628" s="51"/>
    </row>
    <row r="2629">
      <c r="A2629" s="56">
        <v>2626.0</v>
      </c>
      <c r="B2629" s="66"/>
      <c r="C2629" s="64" t="s">
        <v>10813</v>
      </c>
      <c r="D2629" s="66"/>
      <c r="E2629" s="63" t="s">
        <v>10814</v>
      </c>
      <c r="F2629" s="70">
        <v>42024.0</v>
      </c>
      <c r="G2629" s="63" t="s">
        <v>10815</v>
      </c>
      <c r="H2629" s="66"/>
      <c r="I2629" s="63" t="s">
        <v>10816</v>
      </c>
      <c r="J2629" s="63" t="s">
        <v>10817</v>
      </c>
      <c r="K2629" s="66"/>
      <c r="L2629" s="66"/>
      <c r="M2629" s="63" t="s">
        <v>31</v>
      </c>
      <c r="N2629" s="61"/>
      <c r="O2629" s="51"/>
    </row>
    <row r="2630">
      <c r="A2630" s="56">
        <v>2627.0</v>
      </c>
      <c r="B2630" s="66"/>
      <c r="C2630" s="64" t="s">
        <v>10818</v>
      </c>
      <c r="D2630" s="66"/>
      <c r="E2630" s="63" t="s">
        <v>10819</v>
      </c>
      <c r="F2630" s="70">
        <v>42084.0</v>
      </c>
      <c r="G2630" s="63" t="s">
        <v>10820</v>
      </c>
      <c r="H2630" s="66"/>
      <c r="I2630" s="63" t="s">
        <v>10821</v>
      </c>
      <c r="J2630" s="63" t="s">
        <v>10822</v>
      </c>
      <c r="K2630" s="66"/>
      <c r="L2630" s="66"/>
      <c r="M2630" s="63" t="s">
        <v>143</v>
      </c>
      <c r="N2630" s="61"/>
      <c r="O2630" s="51"/>
    </row>
    <row r="2631">
      <c r="A2631" s="56">
        <v>2628.0</v>
      </c>
      <c r="B2631" s="60"/>
      <c r="C2631" s="58" t="s">
        <v>10823</v>
      </c>
      <c r="D2631" s="60"/>
      <c r="E2631" s="57" t="s">
        <v>10824</v>
      </c>
      <c r="F2631" s="59">
        <v>42082.0</v>
      </c>
      <c r="G2631" s="57" t="s">
        <v>10825</v>
      </c>
      <c r="H2631" s="60"/>
      <c r="I2631" s="63" t="s">
        <v>10826</v>
      </c>
      <c r="J2631" s="57" t="s">
        <v>10827</v>
      </c>
      <c r="K2631" s="60"/>
      <c r="L2631" s="60"/>
      <c r="M2631" s="60"/>
      <c r="N2631" s="61"/>
      <c r="O2631" s="51"/>
    </row>
    <row r="2632">
      <c r="A2632" s="56">
        <v>2629.0</v>
      </c>
      <c r="B2632" s="60"/>
      <c r="C2632" s="58" t="s">
        <v>10828</v>
      </c>
      <c r="D2632" s="60"/>
      <c r="E2632" s="57" t="s">
        <v>10829</v>
      </c>
      <c r="F2632" s="78">
        <v>41996.0</v>
      </c>
      <c r="G2632" s="57" t="s">
        <v>10830</v>
      </c>
      <c r="H2632" s="60"/>
      <c r="I2632" s="63" t="s">
        <v>10831</v>
      </c>
      <c r="J2632" s="57" t="s">
        <v>10832</v>
      </c>
      <c r="K2632" s="60"/>
      <c r="L2632" s="60"/>
      <c r="M2632" s="60"/>
      <c r="N2632" s="61"/>
      <c r="O2632" s="51"/>
    </row>
    <row r="2633">
      <c r="A2633" s="56">
        <v>2630.0</v>
      </c>
      <c r="B2633" s="71"/>
      <c r="C2633" s="69" t="s">
        <v>10833</v>
      </c>
      <c r="D2633" s="71"/>
      <c r="E2633" s="68" t="s">
        <v>10834</v>
      </c>
      <c r="F2633" s="83">
        <v>42002.0</v>
      </c>
      <c r="G2633" s="68" t="s">
        <v>10835</v>
      </c>
      <c r="H2633" s="71"/>
      <c r="I2633" s="63" t="s">
        <v>10836</v>
      </c>
      <c r="J2633" s="68" t="s">
        <v>10837</v>
      </c>
      <c r="K2633" s="71"/>
      <c r="L2633" s="71"/>
      <c r="M2633" s="71"/>
      <c r="N2633" s="61"/>
      <c r="O2633" s="51"/>
    </row>
    <row r="2634">
      <c r="A2634" s="56">
        <v>2631.0</v>
      </c>
      <c r="B2634" s="71"/>
      <c r="C2634" s="69" t="s">
        <v>10838</v>
      </c>
      <c r="D2634" s="71"/>
      <c r="E2634" s="68" t="s">
        <v>10839</v>
      </c>
      <c r="F2634" s="76">
        <v>40808.0</v>
      </c>
      <c r="G2634" s="68" t="s">
        <v>10840</v>
      </c>
      <c r="H2634" s="71"/>
      <c r="I2634" s="68" t="s">
        <v>10841</v>
      </c>
      <c r="J2634" s="68" t="s">
        <v>10842</v>
      </c>
      <c r="K2634" s="71"/>
      <c r="L2634" s="71"/>
      <c r="M2634" s="68" t="s">
        <v>149</v>
      </c>
      <c r="N2634" s="61"/>
      <c r="O2634" s="51"/>
    </row>
    <row r="2635">
      <c r="A2635" s="56">
        <v>2632.0</v>
      </c>
      <c r="B2635" s="71"/>
      <c r="C2635" s="69" t="s">
        <v>10843</v>
      </c>
      <c r="D2635" s="71"/>
      <c r="E2635" s="68" t="s">
        <v>10844</v>
      </c>
      <c r="F2635" s="76">
        <v>41292.0</v>
      </c>
      <c r="G2635" s="68" t="s">
        <v>10845</v>
      </c>
      <c r="H2635" s="71"/>
      <c r="I2635" s="63" t="s">
        <v>10846</v>
      </c>
      <c r="J2635" s="68" t="s">
        <v>10847</v>
      </c>
      <c r="K2635" s="71"/>
      <c r="L2635" s="71"/>
      <c r="M2635" s="71"/>
      <c r="N2635" s="61"/>
      <c r="O2635" s="51"/>
    </row>
    <row r="2636">
      <c r="A2636" s="56">
        <v>2633.0</v>
      </c>
      <c r="B2636" s="66"/>
      <c r="C2636" s="64" t="s">
        <v>10848</v>
      </c>
      <c r="D2636" s="66"/>
      <c r="E2636" s="63" t="s">
        <v>10849</v>
      </c>
      <c r="F2636" s="70">
        <v>41946.0</v>
      </c>
      <c r="G2636" s="63" t="s">
        <v>10850</v>
      </c>
      <c r="H2636" s="66"/>
      <c r="I2636" s="63" t="s">
        <v>10851</v>
      </c>
      <c r="J2636" s="63" t="s">
        <v>10852</v>
      </c>
      <c r="K2636" s="66"/>
      <c r="L2636" s="66"/>
      <c r="M2636" s="63" t="s">
        <v>1664</v>
      </c>
      <c r="N2636" s="61"/>
      <c r="O2636" s="51"/>
    </row>
    <row r="2637">
      <c r="A2637" s="56">
        <v>2634.0</v>
      </c>
      <c r="B2637" s="71"/>
      <c r="C2637" s="69" t="s">
        <v>10853</v>
      </c>
      <c r="D2637" s="71"/>
      <c r="E2637" s="68" t="s">
        <v>10854</v>
      </c>
      <c r="F2637" s="76">
        <v>41982.0</v>
      </c>
      <c r="G2637" s="68" t="s">
        <v>10855</v>
      </c>
      <c r="H2637" s="71"/>
      <c r="I2637" s="68" t="s">
        <v>10856</v>
      </c>
      <c r="J2637" s="68" t="s">
        <v>10857</v>
      </c>
      <c r="K2637" s="71"/>
      <c r="L2637" s="71"/>
      <c r="M2637" s="68" t="s">
        <v>3407</v>
      </c>
      <c r="N2637" s="77"/>
      <c r="O2637" s="51"/>
    </row>
    <row r="2638">
      <c r="A2638" s="56">
        <v>2635.0</v>
      </c>
      <c r="B2638" s="71"/>
      <c r="C2638" s="69" t="s">
        <v>10858</v>
      </c>
      <c r="D2638" s="71"/>
      <c r="E2638" s="68" t="s">
        <v>10859</v>
      </c>
      <c r="F2638" s="76">
        <v>42179.0</v>
      </c>
      <c r="G2638" s="68" t="s">
        <v>10860</v>
      </c>
      <c r="H2638" s="71"/>
      <c r="I2638" s="63" t="s">
        <v>635</v>
      </c>
      <c r="J2638" s="68" t="s">
        <v>10861</v>
      </c>
      <c r="K2638" s="71"/>
      <c r="L2638" s="71"/>
      <c r="M2638" s="71"/>
      <c r="N2638" s="61"/>
      <c r="O2638" s="51"/>
    </row>
    <row r="2639">
      <c r="A2639" s="56">
        <v>2636.0</v>
      </c>
      <c r="B2639" s="60"/>
      <c r="C2639" s="58" t="s">
        <v>10862</v>
      </c>
      <c r="D2639" s="60"/>
      <c r="E2639" s="57" t="s">
        <v>10863</v>
      </c>
      <c r="F2639" s="59">
        <v>42159.0</v>
      </c>
      <c r="G2639" s="57" t="s">
        <v>10864</v>
      </c>
      <c r="H2639" s="60"/>
      <c r="I2639" s="63" t="s">
        <v>635</v>
      </c>
      <c r="J2639" s="57" t="s">
        <v>4736</v>
      </c>
      <c r="K2639" s="60"/>
      <c r="L2639" s="60"/>
      <c r="M2639" s="57" t="s">
        <v>166</v>
      </c>
      <c r="N2639" s="61"/>
      <c r="O2639" s="51"/>
    </row>
    <row r="2640">
      <c r="A2640" s="56">
        <v>2637.0</v>
      </c>
      <c r="B2640" s="66"/>
      <c r="C2640" s="64" t="s">
        <v>10865</v>
      </c>
      <c r="D2640" s="66"/>
      <c r="E2640" s="63" t="s">
        <v>10866</v>
      </c>
      <c r="F2640" s="70">
        <v>41845.0</v>
      </c>
      <c r="G2640" s="63" t="s">
        <v>10867</v>
      </c>
      <c r="H2640" s="66"/>
      <c r="I2640" s="63" t="s">
        <v>10868</v>
      </c>
      <c r="J2640" s="63" t="s">
        <v>2872</v>
      </c>
      <c r="K2640" s="66"/>
      <c r="L2640" s="66"/>
      <c r="M2640" s="63" t="s">
        <v>125</v>
      </c>
      <c r="N2640" s="61"/>
      <c r="O2640" s="51"/>
    </row>
    <row r="2641">
      <c r="A2641" s="56">
        <v>2638.0</v>
      </c>
      <c r="B2641" s="66"/>
      <c r="C2641" s="64" t="s">
        <v>10869</v>
      </c>
      <c r="D2641" s="66"/>
      <c r="E2641" s="63" t="s">
        <v>10870</v>
      </c>
      <c r="F2641" s="70">
        <v>42114.0</v>
      </c>
      <c r="G2641" s="63" t="s">
        <v>10871</v>
      </c>
      <c r="H2641" s="66"/>
      <c r="I2641" s="63" t="s">
        <v>10872</v>
      </c>
      <c r="J2641" s="63" t="s">
        <v>9979</v>
      </c>
      <c r="K2641" s="66"/>
      <c r="L2641" s="63" t="s">
        <v>10873</v>
      </c>
      <c r="M2641" s="63" t="s">
        <v>166</v>
      </c>
      <c r="N2641" s="61"/>
      <c r="O2641" s="51"/>
    </row>
    <row r="2642">
      <c r="A2642" s="56">
        <v>2639.0</v>
      </c>
      <c r="B2642" s="66"/>
      <c r="C2642" s="64" t="s">
        <v>10874</v>
      </c>
      <c r="D2642" s="66"/>
      <c r="E2642" s="63" t="s">
        <v>10875</v>
      </c>
      <c r="F2642" s="70">
        <v>42114.0</v>
      </c>
      <c r="G2642" s="63" t="s">
        <v>10876</v>
      </c>
      <c r="H2642" s="66"/>
      <c r="I2642" s="63" t="s">
        <v>10877</v>
      </c>
      <c r="J2642" s="63" t="s">
        <v>9979</v>
      </c>
      <c r="K2642" s="66"/>
      <c r="L2642" s="63" t="s">
        <v>10878</v>
      </c>
      <c r="M2642" s="63" t="s">
        <v>166</v>
      </c>
      <c r="N2642" s="61"/>
      <c r="O2642" s="51"/>
    </row>
    <row r="2643">
      <c r="A2643" s="56">
        <v>2640.0</v>
      </c>
      <c r="B2643" s="60"/>
      <c r="C2643" s="58" t="s">
        <v>10879</v>
      </c>
      <c r="D2643" s="60"/>
      <c r="E2643" s="57" t="s">
        <v>10880</v>
      </c>
      <c r="F2643" s="59">
        <v>42124.0</v>
      </c>
      <c r="G2643" s="57" t="s">
        <v>10881</v>
      </c>
      <c r="H2643" s="60"/>
      <c r="I2643" s="63" t="s">
        <v>10882</v>
      </c>
      <c r="J2643" s="57" t="s">
        <v>1481</v>
      </c>
      <c r="K2643" s="60"/>
      <c r="L2643" s="60"/>
      <c r="M2643" s="57" t="s">
        <v>166</v>
      </c>
      <c r="N2643" s="61"/>
      <c r="O2643" s="51"/>
    </row>
    <row r="2644">
      <c r="A2644" s="56">
        <v>2641.0</v>
      </c>
      <c r="B2644" s="60"/>
      <c r="C2644" s="58" t="s">
        <v>10883</v>
      </c>
      <c r="D2644" s="60"/>
      <c r="E2644" s="57" t="s">
        <v>10884</v>
      </c>
      <c r="F2644" s="59">
        <v>42130.0</v>
      </c>
      <c r="G2644" s="57" t="s">
        <v>10885</v>
      </c>
      <c r="H2644" s="60"/>
      <c r="I2644" s="63" t="s">
        <v>10886</v>
      </c>
      <c r="J2644" s="57" t="s">
        <v>4736</v>
      </c>
      <c r="K2644" s="60"/>
      <c r="L2644" s="60"/>
      <c r="M2644" s="57" t="s">
        <v>166</v>
      </c>
      <c r="N2644" s="61"/>
      <c r="O2644" s="51"/>
    </row>
    <row r="2645">
      <c r="A2645" s="56">
        <v>2642.0</v>
      </c>
      <c r="B2645" s="60"/>
      <c r="C2645" s="58" t="s">
        <v>10887</v>
      </c>
      <c r="D2645" s="60"/>
      <c r="E2645" s="57" t="s">
        <v>10888</v>
      </c>
      <c r="F2645" s="59">
        <v>42131.0</v>
      </c>
      <c r="G2645" s="57" t="s">
        <v>10889</v>
      </c>
      <c r="H2645" s="60"/>
      <c r="I2645" s="63" t="s">
        <v>635</v>
      </c>
      <c r="J2645" s="57" t="s">
        <v>1481</v>
      </c>
      <c r="K2645" s="60"/>
      <c r="L2645" s="60"/>
      <c r="M2645" s="57" t="s">
        <v>166</v>
      </c>
      <c r="N2645" s="61"/>
      <c r="O2645" s="51"/>
    </row>
    <row r="2646">
      <c r="A2646" s="56">
        <v>2643.0</v>
      </c>
      <c r="B2646" s="60"/>
      <c r="C2646" s="58" t="s">
        <v>10890</v>
      </c>
      <c r="D2646" s="60"/>
      <c r="E2646" s="57" t="s">
        <v>10891</v>
      </c>
      <c r="F2646" s="59">
        <v>42144.0</v>
      </c>
      <c r="G2646" s="57" t="s">
        <v>10892</v>
      </c>
      <c r="H2646" s="60"/>
      <c r="I2646" s="63" t="s">
        <v>635</v>
      </c>
      <c r="J2646" s="57" t="s">
        <v>1481</v>
      </c>
      <c r="K2646" s="60"/>
      <c r="L2646" s="60"/>
      <c r="M2646" s="57" t="s">
        <v>166</v>
      </c>
      <c r="N2646" s="61"/>
      <c r="O2646" s="51"/>
    </row>
    <row r="2647">
      <c r="A2647" s="56">
        <v>2644.0</v>
      </c>
      <c r="B2647" s="60"/>
      <c r="C2647" s="58" t="s">
        <v>10893</v>
      </c>
      <c r="D2647" s="60"/>
      <c r="E2647" s="57" t="s">
        <v>10894</v>
      </c>
      <c r="F2647" s="59">
        <v>42144.0</v>
      </c>
      <c r="G2647" s="57" t="s">
        <v>10895</v>
      </c>
      <c r="H2647" s="60"/>
      <c r="I2647" s="63" t="s">
        <v>635</v>
      </c>
      <c r="J2647" s="57" t="s">
        <v>622</v>
      </c>
      <c r="K2647" s="60"/>
      <c r="L2647" s="60"/>
      <c r="M2647" s="57" t="s">
        <v>166</v>
      </c>
      <c r="N2647" s="61"/>
      <c r="O2647" s="51"/>
    </row>
    <row r="2648">
      <c r="A2648" s="56">
        <v>2645.0</v>
      </c>
      <c r="B2648" s="60"/>
      <c r="C2648" s="58" t="s">
        <v>10896</v>
      </c>
      <c r="D2648" s="60"/>
      <c r="E2648" s="57" t="s">
        <v>10897</v>
      </c>
      <c r="F2648" s="59">
        <v>42164.0</v>
      </c>
      <c r="G2648" s="57" t="s">
        <v>10898</v>
      </c>
      <c r="H2648" s="60"/>
      <c r="I2648" s="63" t="s">
        <v>635</v>
      </c>
      <c r="J2648" s="57" t="s">
        <v>1481</v>
      </c>
      <c r="K2648" s="60"/>
      <c r="L2648" s="60"/>
      <c r="M2648" s="57" t="s">
        <v>166</v>
      </c>
      <c r="N2648" s="61"/>
      <c r="O2648" s="51"/>
    </row>
    <row r="2649">
      <c r="A2649" s="56">
        <v>2646.0</v>
      </c>
      <c r="B2649" s="66"/>
      <c r="C2649" s="64" t="s">
        <v>10899</v>
      </c>
      <c r="D2649" s="66"/>
      <c r="E2649" s="63" t="s">
        <v>10900</v>
      </c>
      <c r="F2649" s="70">
        <v>42149.0</v>
      </c>
      <c r="G2649" s="63" t="s">
        <v>10901</v>
      </c>
      <c r="H2649" s="66"/>
      <c r="I2649" s="63" t="s">
        <v>635</v>
      </c>
      <c r="J2649" s="63" t="s">
        <v>10902</v>
      </c>
      <c r="K2649" s="66"/>
      <c r="L2649" s="66"/>
      <c r="M2649" s="63" t="s">
        <v>166</v>
      </c>
      <c r="N2649" s="77"/>
      <c r="O2649" s="51"/>
    </row>
    <row r="2650">
      <c r="A2650" s="56">
        <v>2647.0</v>
      </c>
      <c r="B2650" s="66"/>
      <c r="C2650" s="64" t="s">
        <v>10903</v>
      </c>
      <c r="D2650" s="66"/>
      <c r="E2650" s="63" t="s">
        <v>10904</v>
      </c>
      <c r="F2650" s="70">
        <v>42124.0</v>
      </c>
      <c r="G2650" s="63" t="s">
        <v>10905</v>
      </c>
      <c r="H2650" s="66"/>
      <c r="I2650" s="63" t="s">
        <v>10906</v>
      </c>
      <c r="J2650" s="63" t="s">
        <v>9979</v>
      </c>
      <c r="K2650" s="66"/>
      <c r="L2650" s="66"/>
      <c r="M2650" s="63" t="s">
        <v>166</v>
      </c>
      <c r="N2650" s="61"/>
      <c r="O2650" s="51"/>
    </row>
    <row r="2651">
      <c r="A2651" s="56">
        <v>2648.0</v>
      </c>
      <c r="B2651" s="60"/>
      <c r="C2651" s="58" t="s">
        <v>10907</v>
      </c>
      <c r="D2651" s="60"/>
      <c r="E2651" s="57" t="s">
        <v>10908</v>
      </c>
      <c r="F2651" s="59">
        <v>42124.0</v>
      </c>
      <c r="G2651" s="57" t="s">
        <v>10909</v>
      </c>
      <c r="H2651" s="60"/>
      <c r="I2651" s="63" t="s">
        <v>635</v>
      </c>
      <c r="J2651" s="57" t="s">
        <v>49</v>
      </c>
      <c r="K2651" s="60"/>
      <c r="L2651" s="60"/>
      <c r="M2651" s="57" t="s">
        <v>166</v>
      </c>
      <c r="N2651" s="61"/>
      <c r="O2651" s="51"/>
    </row>
    <row r="2652">
      <c r="A2652" s="56">
        <v>2649.0</v>
      </c>
      <c r="B2652" s="60"/>
      <c r="C2652" s="58" t="s">
        <v>10910</v>
      </c>
      <c r="D2652" s="60"/>
      <c r="E2652" s="57" t="s">
        <v>10911</v>
      </c>
      <c r="F2652" s="59">
        <v>42124.0</v>
      </c>
      <c r="G2652" s="57" t="s">
        <v>10912</v>
      </c>
      <c r="H2652" s="60"/>
      <c r="I2652" s="63" t="s">
        <v>635</v>
      </c>
      <c r="J2652" s="57" t="s">
        <v>1481</v>
      </c>
      <c r="K2652" s="60"/>
      <c r="L2652" s="60"/>
      <c r="M2652" s="57" t="s">
        <v>166</v>
      </c>
      <c r="N2652" s="61"/>
      <c r="O2652" s="51"/>
    </row>
    <row r="2653">
      <c r="A2653" s="56">
        <v>2650.0</v>
      </c>
      <c r="B2653" s="71"/>
      <c r="C2653" s="69" t="s">
        <v>10913</v>
      </c>
      <c r="D2653" s="71"/>
      <c r="E2653" s="68" t="s">
        <v>10914</v>
      </c>
      <c r="F2653" s="76">
        <v>42123.0</v>
      </c>
      <c r="G2653" s="68" t="s">
        <v>10915</v>
      </c>
      <c r="H2653" s="71"/>
      <c r="I2653" s="63" t="s">
        <v>635</v>
      </c>
      <c r="J2653" s="68" t="s">
        <v>10916</v>
      </c>
      <c r="K2653" s="71"/>
      <c r="L2653" s="71"/>
      <c r="M2653" s="68" t="s">
        <v>166</v>
      </c>
      <c r="N2653" s="61"/>
      <c r="O2653" s="51"/>
    </row>
    <row r="2654">
      <c r="A2654" s="56">
        <v>2651.0</v>
      </c>
      <c r="B2654" s="60"/>
      <c r="C2654" s="58" t="s">
        <v>10917</v>
      </c>
      <c r="D2654" s="60"/>
      <c r="E2654" s="57" t="s">
        <v>10918</v>
      </c>
      <c r="F2654" s="59">
        <v>42122.0</v>
      </c>
      <c r="G2654" s="57" t="s">
        <v>10919</v>
      </c>
      <c r="H2654" s="60"/>
      <c r="I2654" s="63" t="s">
        <v>635</v>
      </c>
      <c r="J2654" s="57" t="s">
        <v>1481</v>
      </c>
      <c r="K2654" s="60"/>
      <c r="L2654" s="60"/>
      <c r="M2654" s="57" t="s">
        <v>166</v>
      </c>
      <c r="N2654" s="61"/>
      <c r="O2654" s="51"/>
    </row>
    <row r="2655">
      <c r="A2655" s="56">
        <v>2652.0</v>
      </c>
      <c r="B2655" s="60"/>
      <c r="C2655" s="58" t="s">
        <v>10920</v>
      </c>
      <c r="D2655" s="60"/>
      <c r="E2655" s="57" t="s">
        <v>10921</v>
      </c>
      <c r="F2655" s="59">
        <v>42122.0</v>
      </c>
      <c r="G2655" s="57" t="s">
        <v>10922</v>
      </c>
      <c r="H2655" s="60"/>
      <c r="I2655" s="63" t="s">
        <v>635</v>
      </c>
      <c r="J2655" s="57" t="s">
        <v>1481</v>
      </c>
      <c r="K2655" s="60"/>
      <c r="L2655" s="60"/>
      <c r="M2655" s="57" t="s">
        <v>166</v>
      </c>
      <c r="N2655" s="61"/>
      <c r="O2655" s="51"/>
    </row>
    <row r="2656">
      <c r="A2656" s="56">
        <v>2653.0</v>
      </c>
      <c r="B2656" s="60"/>
      <c r="C2656" s="58" t="s">
        <v>10923</v>
      </c>
      <c r="D2656" s="60"/>
      <c r="E2656" s="57" t="s">
        <v>10924</v>
      </c>
      <c r="F2656" s="59">
        <v>42152.0</v>
      </c>
      <c r="G2656" s="57" t="s">
        <v>10925</v>
      </c>
      <c r="H2656" s="60"/>
      <c r="I2656" s="63" t="s">
        <v>635</v>
      </c>
      <c r="J2656" s="57" t="s">
        <v>1481</v>
      </c>
      <c r="K2656" s="60"/>
      <c r="L2656" s="60"/>
      <c r="M2656" s="57" t="s">
        <v>166</v>
      </c>
      <c r="N2656" s="61"/>
      <c r="O2656" s="51"/>
    </row>
    <row r="2657">
      <c r="A2657" s="56">
        <v>2654.0</v>
      </c>
      <c r="B2657" s="66"/>
      <c r="C2657" s="64" t="s">
        <v>10926</v>
      </c>
      <c r="D2657" s="66"/>
      <c r="E2657" s="63" t="s">
        <v>10927</v>
      </c>
      <c r="F2657" s="70">
        <v>42122.0</v>
      </c>
      <c r="G2657" s="63" t="s">
        <v>10928</v>
      </c>
      <c r="H2657" s="66"/>
      <c r="I2657" s="63" t="s">
        <v>635</v>
      </c>
      <c r="J2657" s="63" t="s">
        <v>9979</v>
      </c>
      <c r="K2657" s="66"/>
      <c r="L2657" s="63" t="s">
        <v>10929</v>
      </c>
      <c r="M2657" s="63" t="s">
        <v>166</v>
      </c>
      <c r="N2657" s="61"/>
      <c r="O2657" s="51"/>
    </row>
    <row r="2658">
      <c r="A2658" s="56">
        <v>2655.0</v>
      </c>
      <c r="B2658" s="60"/>
      <c r="C2658" s="58" t="s">
        <v>10930</v>
      </c>
      <c r="D2658" s="60"/>
      <c r="E2658" s="57" t="s">
        <v>10931</v>
      </c>
      <c r="F2658" s="59">
        <v>42110.0</v>
      </c>
      <c r="G2658" s="57" t="s">
        <v>10932</v>
      </c>
      <c r="H2658" s="60"/>
      <c r="I2658" s="63" t="s">
        <v>635</v>
      </c>
      <c r="J2658" s="57" t="s">
        <v>10933</v>
      </c>
      <c r="K2658" s="60"/>
      <c r="L2658" s="60"/>
      <c r="M2658" s="57" t="s">
        <v>166</v>
      </c>
      <c r="N2658" s="61"/>
      <c r="O2658" s="51"/>
    </row>
    <row r="2659">
      <c r="A2659" s="56">
        <v>2656.0</v>
      </c>
      <c r="B2659" s="60"/>
      <c r="C2659" s="58" t="s">
        <v>10934</v>
      </c>
      <c r="D2659" s="60"/>
      <c r="E2659" s="57" t="s">
        <v>10935</v>
      </c>
      <c r="F2659" s="59">
        <v>42107.0</v>
      </c>
      <c r="G2659" s="57" t="s">
        <v>10936</v>
      </c>
      <c r="H2659" s="60"/>
      <c r="I2659" s="63" t="s">
        <v>635</v>
      </c>
      <c r="J2659" s="57" t="s">
        <v>622</v>
      </c>
      <c r="K2659" s="60"/>
      <c r="L2659" s="60"/>
      <c r="M2659" s="57" t="s">
        <v>166</v>
      </c>
      <c r="N2659" s="61"/>
      <c r="O2659" s="51"/>
    </row>
    <row r="2660">
      <c r="A2660" s="56">
        <v>2657.0</v>
      </c>
      <c r="B2660" s="71"/>
      <c r="C2660" s="69" t="s">
        <v>10937</v>
      </c>
      <c r="D2660" s="71"/>
      <c r="E2660" s="68" t="s">
        <v>10938</v>
      </c>
      <c r="F2660" s="76">
        <v>42095.0</v>
      </c>
      <c r="G2660" s="68" t="s">
        <v>10939</v>
      </c>
      <c r="H2660" s="71"/>
      <c r="I2660" s="63" t="s">
        <v>10940</v>
      </c>
      <c r="J2660" s="68" t="s">
        <v>4736</v>
      </c>
      <c r="K2660" s="71"/>
      <c r="L2660" s="71"/>
      <c r="M2660" s="68" t="s">
        <v>166</v>
      </c>
      <c r="N2660" s="61"/>
      <c r="O2660" s="51"/>
    </row>
    <row r="2661">
      <c r="A2661" s="56">
        <v>2658.0</v>
      </c>
      <c r="B2661" s="71"/>
      <c r="C2661" s="69" t="s">
        <v>10941</v>
      </c>
      <c r="D2661" s="71"/>
      <c r="E2661" s="68" t="s">
        <v>10942</v>
      </c>
      <c r="F2661" s="76">
        <v>42082.0</v>
      </c>
      <c r="G2661" s="68" t="s">
        <v>10943</v>
      </c>
      <c r="H2661" s="71"/>
      <c r="I2661" s="63" t="s">
        <v>10944</v>
      </c>
      <c r="J2661" s="68" t="s">
        <v>296</v>
      </c>
      <c r="K2661" s="71"/>
      <c r="L2661" s="71"/>
      <c r="M2661" s="68" t="s">
        <v>166</v>
      </c>
      <c r="N2661" s="61"/>
      <c r="O2661" s="51"/>
    </row>
    <row r="2662">
      <c r="A2662" s="56">
        <v>2659.0</v>
      </c>
      <c r="B2662" s="60"/>
      <c r="C2662" s="58" t="s">
        <v>10945</v>
      </c>
      <c r="D2662" s="60"/>
      <c r="E2662" s="57" t="s">
        <v>10946</v>
      </c>
      <c r="F2662" s="59">
        <v>42054.0</v>
      </c>
      <c r="G2662" s="57" t="s">
        <v>10947</v>
      </c>
      <c r="H2662" s="60"/>
      <c r="I2662" s="63" t="s">
        <v>635</v>
      </c>
      <c r="J2662" s="57" t="s">
        <v>10948</v>
      </c>
      <c r="K2662" s="60"/>
      <c r="L2662" s="60"/>
      <c r="M2662" s="57" t="s">
        <v>166</v>
      </c>
      <c r="N2662" s="61"/>
      <c r="O2662" s="51"/>
    </row>
    <row r="2663">
      <c r="A2663" s="56">
        <v>2660.0</v>
      </c>
      <c r="B2663" s="60"/>
      <c r="C2663" s="58" t="s">
        <v>10949</v>
      </c>
      <c r="D2663" s="60"/>
      <c r="E2663" s="57" t="s">
        <v>10950</v>
      </c>
      <c r="F2663" s="59">
        <v>42081.0</v>
      </c>
      <c r="G2663" s="57" t="s">
        <v>10951</v>
      </c>
      <c r="H2663" s="60"/>
      <c r="I2663" s="63" t="s">
        <v>10952</v>
      </c>
      <c r="J2663" s="57" t="s">
        <v>10953</v>
      </c>
      <c r="K2663" s="60"/>
      <c r="L2663" s="60"/>
      <c r="M2663" s="57" t="s">
        <v>31</v>
      </c>
      <c r="N2663" s="61"/>
      <c r="O2663" s="51"/>
    </row>
    <row r="2664">
      <c r="A2664" s="56">
        <v>2661.0</v>
      </c>
      <c r="B2664" s="60"/>
      <c r="C2664" s="58" t="s">
        <v>10954</v>
      </c>
      <c r="D2664" s="60"/>
      <c r="E2664" s="57" t="s">
        <v>10955</v>
      </c>
      <c r="F2664" s="59">
        <v>42081.0</v>
      </c>
      <c r="G2664" s="57" t="s">
        <v>10951</v>
      </c>
      <c r="H2664" s="60"/>
      <c r="I2664" s="63" t="s">
        <v>10956</v>
      </c>
      <c r="J2664" s="57" t="s">
        <v>10953</v>
      </c>
      <c r="K2664" s="60"/>
      <c r="L2664" s="60"/>
      <c r="M2664" s="60"/>
      <c r="N2664" s="61"/>
      <c r="O2664" s="51"/>
    </row>
    <row r="2665">
      <c r="A2665" s="56">
        <v>2662.0</v>
      </c>
      <c r="B2665" s="71"/>
      <c r="C2665" s="69" t="s">
        <v>10957</v>
      </c>
      <c r="D2665" s="71"/>
      <c r="E2665" s="68" t="s">
        <v>10958</v>
      </c>
      <c r="F2665" s="83">
        <v>42004.0</v>
      </c>
      <c r="G2665" s="68" t="s">
        <v>10959</v>
      </c>
      <c r="H2665" s="71"/>
      <c r="I2665" s="63" t="s">
        <v>10960</v>
      </c>
      <c r="J2665" s="68" t="s">
        <v>10961</v>
      </c>
      <c r="K2665" s="71"/>
      <c r="L2665" s="71"/>
      <c r="M2665" s="68" t="s">
        <v>31</v>
      </c>
      <c r="N2665" s="61"/>
      <c r="O2665" s="51"/>
    </row>
    <row r="2666">
      <c r="A2666" s="56">
        <v>2663.0</v>
      </c>
      <c r="B2666" s="71"/>
      <c r="C2666" s="69" t="s">
        <v>10962</v>
      </c>
      <c r="D2666" s="71"/>
      <c r="E2666" s="68" t="s">
        <v>10963</v>
      </c>
      <c r="F2666" s="83">
        <v>41578.0</v>
      </c>
      <c r="G2666" s="68" t="s">
        <v>10964</v>
      </c>
      <c r="H2666" s="71"/>
      <c r="I2666" s="63" t="s">
        <v>10965</v>
      </c>
      <c r="J2666" s="68" t="s">
        <v>10966</v>
      </c>
      <c r="K2666" s="71"/>
      <c r="L2666" s="71"/>
      <c r="M2666" s="71"/>
      <c r="N2666" s="61"/>
      <c r="O2666" s="51"/>
    </row>
    <row r="2667">
      <c r="A2667" s="56">
        <v>2664.0</v>
      </c>
      <c r="B2667" s="71"/>
      <c r="C2667" s="69" t="s">
        <v>10967</v>
      </c>
      <c r="D2667" s="71"/>
      <c r="E2667" s="68" t="s">
        <v>10968</v>
      </c>
      <c r="F2667" s="76">
        <v>41823.0</v>
      </c>
      <c r="G2667" s="68" t="s">
        <v>10969</v>
      </c>
      <c r="H2667" s="71"/>
      <c r="I2667" s="63" t="s">
        <v>10970</v>
      </c>
      <c r="J2667" s="68" t="s">
        <v>2675</v>
      </c>
      <c r="K2667" s="71"/>
      <c r="L2667" s="71"/>
      <c r="M2667" s="68" t="s">
        <v>27</v>
      </c>
      <c r="N2667" s="61"/>
      <c r="O2667" s="51"/>
    </row>
    <row r="2668">
      <c r="A2668" s="56">
        <v>2665.0</v>
      </c>
      <c r="B2668" s="71"/>
      <c r="C2668" s="79" t="s">
        <v>10971</v>
      </c>
      <c r="D2668" s="82"/>
      <c r="E2668" s="80" t="s">
        <v>10972</v>
      </c>
      <c r="F2668" s="81">
        <v>41523.0</v>
      </c>
      <c r="G2668" s="80" t="s">
        <v>10973</v>
      </c>
      <c r="H2668" s="82"/>
      <c r="I2668" s="80" t="s">
        <v>10974</v>
      </c>
      <c r="J2668" s="80" t="s">
        <v>10975</v>
      </c>
      <c r="K2668" s="82"/>
      <c r="L2668" s="82"/>
      <c r="M2668" s="80" t="s">
        <v>27</v>
      </c>
      <c r="N2668" s="61"/>
      <c r="O2668" s="51"/>
    </row>
    <row r="2669">
      <c r="A2669" s="56">
        <v>2666.0</v>
      </c>
      <c r="B2669" s="66"/>
      <c r="C2669" s="64" t="s">
        <v>10976</v>
      </c>
      <c r="D2669" s="66"/>
      <c r="E2669" s="63" t="s">
        <v>10977</v>
      </c>
      <c r="F2669" s="70">
        <v>41670.0</v>
      </c>
      <c r="G2669" s="63" t="s">
        <v>10978</v>
      </c>
      <c r="H2669" s="66"/>
      <c r="I2669" s="63" t="s">
        <v>10979</v>
      </c>
      <c r="J2669" s="63" t="s">
        <v>136</v>
      </c>
      <c r="K2669" s="66"/>
      <c r="L2669" s="66"/>
      <c r="M2669" s="63" t="s">
        <v>2989</v>
      </c>
      <c r="N2669" s="61"/>
      <c r="O2669" s="51"/>
    </row>
    <row r="2670">
      <c r="A2670" s="56">
        <v>2667.0</v>
      </c>
      <c r="B2670" s="60"/>
      <c r="C2670" s="58" t="s">
        <v>10980</v>
      </c>
      <c r="D2670" s="60"/>
      <c r="E2670" s="57" t="s">
        <v>10981</v>
      </c>
      <c r="F2670" s="59">
        <v>42188.0</v>
      </c>
      <c r="G2670" s="57" t="s">
        <v>10982</v>
      </c>
      <c r="H2670" s="60"/>
      <c r="I2670" s="63" t="s">
        <v>10983</v>
      </c>
      <c r="J2670" s="57" t="s">
        <v>10984</v>
      </c>
      <c r="K2670" s="60"/>
      <c r="L2670" s="60"/>
      <c r="M2670" s="60"/>
      <c r="N2670" s="61"/>
      <c r="O2670" s="51"/>
    </row>
    <row r="2671">
      <c r="A2671" s="56">
        <v>2668.0</v>
      </c>
      <c r="B2671" s="60"/>
      <c r="C2671" s="58" t="s">
        <v>10985</v>
      </c>
      <c r="D2671" s="60"/>
      <c r="E2671" s="57" t="s">
        <v>10986</v>
      </c>
      <c r="F2671" s="59">
        <v>42006.0</v>
      </c>
      <c r="G2671" s="57" t="s">
        <v>10987</v>
      </c>
      <c r="H2671" s="60"/>
      <c r="I2671" s="63" t="s">
        <v>10988</v>
      </c>
      <c r="J2671" s="57" t="s">
        <v>10989</v>
      </c>
      <c r="K2671" s="60"/>
      <c r="L2671" s="60"/>
      <c r="M2671" s="60"/>
      <c r="N2671" s="61"/>
      <c r="O2671" s="51"/>
    </row>
    <row r="2672">
      <c r="A2672" s="56">
        <v>2669.0</v>
      </c>
      <c r="B2672" s="71"/>
      <c r="C2672" s="69" t="s">
        <v>10990</v>
      </c>
      <c r="D2672" s="71"/>
      <c r="E2672" s="68" t="s">
        <v>10991</v>
      </c>
      <c r="F2672" s="76">
        <v>41872.0</v>
      </c>
      <c r="G2672" s="68" t="s">
        <v>10992</v>
      </c>
      <c r="H2672" s="71"/>
      <c r="I2672" s="68" t="s">
        <v>10993</v>
      </c>
      <c r="J2672" s="68" t="s">
        <v>10994</v>
      </c>
      <c r="K2672" s="71"/>
      <c r="L2672" s="71"/>
      <c r="M2672" s="71"/>
      <c r="N2672" s="61"/>
      <c r="O2672" s="51"/>
    </row>
    <row r="2673">
      <c r="A2673" s="56">
        <v>2670.0</v>
      </c>
      <c r="B2673" s="71"/>
      <c r="C2673" s="69" t="s">
        <v>10995</v>
      </c>
      <c r="D2673" s="71"/>
      <c r="E2673" s="68" t="s">
        <v>10996</v>
      </c>
      <c r="F2673" s="76">
        <v>41317.0</v>
      </c>
      <c r="G2673" s="68" t="s">
        <v>10997</v>
      </c>
      <c r="H2673" s="71"/>
      <c r="I2673" s="63" t="s">
        <v>10998</v>
      </c>
      <c r="J2673" s="68" t="s">
        <v>10999</v>
      </c>
      <c r="K2673" s="71"/>
      <c r="L2673" s="71"/>
      <c r="M2673" s="71"/>
      <c r="N2673" s="61"/>
      <c r="O2673" s="51"/>
    </row>
    <row r="2674">
      <c r="A2674" s="56">
        <v>2671.0</v>
      </c>
      <c r="B2674" s="71"/>
      <c r="C2674" s="69" t="s">
        <v>11000</v>
      </c>
      <c r="D2674" s="71"/>
      <c r="E2674" s="68" t="s">
        <v>11001</v>
      </c>
      <c r="F2674" s="76">
        <v>41317.0</v>
      </c>
      <c r="G2674" s="68" t="s">
        <v>11002</v>
      </c>
      <c r="H2674" s="71"/>
      <c r="I2674" s="63" t="s">
        <v>11003</v>
      </c>
      <c r="J2674" s="68" t="s">
        <v>10999</v>
      </c>
      <c r="K2674" s="71"/>
      <c r="L2674" s="71"/>
      <c r="M2674" s="71"/>
      <c r="N2674" s="61"/>
      <c r="O2674" s="51"/>
    </row>
    <row r="2675">
      <c r="A2675" s="56">
        <v>2672.0</v>
      </c>
      <c r="B2675" s="60"/>
      <c r="C2675" s="58" t="s">
        <v>11004</v>
      </c>
      <c r="D2675" s="60"/>
      <c r="E2675" s="57" t="s">
        <v>11005</v>
      </c>
      <c r="F2675" s="59">
        <v>42126.0</v>
      </c>
      <c r="G2675" s="57" t="s">
        <v>11006</v>
      </c>
      <c r="H2675" s="60"/>
      <c r="I2675" s="63" t="s">
        <v>11007</v>
      </c>
      <c r="J2675" s="57" t="s">
        <v>11008</v>
      </c>
      <c r="K2675" s="60"/>
      <c r="L2675" s="60"/>
      <c r="M2675" s="60"/>
      <c r="N2675" s="61"/>
      <c r="O2675" s="51"/>
    </row>
    <row r="2676">
      <c r="A2676" s="56">
        <v>2673.0</v>
      </c>
      <c r="B2676" s="71"/>
      <c r="C2676" s="69" t="s">
        <v>11009</v>
      </c>
      <c r="D2676" s="71"/>
      <c r="E2676" s="68" t="s">
        <v>11010</v>
      </c>
      <c r="F2676" s="71"/>
      <c r="G2676" s="68" t="s">
        <v>11011</v>
      </c>
      <c r="H2676" s="71"/>
      <c r="I2676" s="63" t="s">
        <v>635</v>
      </c>
      <c r="J2676" s="68" t="s">
        <v>9535</v>
      </c>
      <c r="K2676" s="71"/>
      <c r="L2676" s="71"/>
      <c r="M2676" s="68" t="s">
        <v>166</v>
      </c>
      <c r="N2676" s="61"/>
      <c r="O2676" s="51"/>
    </row>
    <row r="2677">
      <c r="A2677" s="56">
        <v>2674.0</v>
      </c>
      <c r="B2677" s="71"/>
      <c r="C2677" s="69" t="s">
        <v>11012</v>
      </c>
      <c r="D2677" s="71"/>
      <c r="E2677" s="68" t="s">
        <v>11013</v>
      </c>
      <c r="F2677" s="76">
        <v>42029.0</v>
      </c>
      <c r="G2677" s="68" t="s">
        <v>11014</v>
      </c>
      <c r="H2677" s="71"/>
      <c r="I2677" s="63" t="s">
        <v>635</v>
      </c>
      <c r="J2677" s="68" t="s">
        <v>4736</v>
      </c>
      <c r="K2677" s="71"/>
      <c r="L2677" s="71"/>
      <c r="M2677" s="68" t="s">
        <v>166</v>
      </c>
      <c r="N2677" s="61"/>
      <c r="O2677" s="51"/>
    </row>
    <row r="2678">
      <c r="A2678" s="56">
        <v>2675.0</v>
      </c>
      <c r="B2678" s="71"/>
      <c r="C2678" s="69" t="s">
        <v>11015</v>
      </c>
      <c r="D2678" s="71"/>
      <c r="E2678" s="68" t="s">
        <v>11016</v>
      </c>
      <c r="F2678" s="76">
        <v>42029.0</v>
      </c>
      <c r="G2678" s="68" t="s">
        <v>11017</v>
      </c>
      <c r="H2678" s="71"/>
      <c r="I2678" s="63" t="s">
        <v>11018</v>
      </c>
      <c r="J2678" s="68" t="s">
        <v>11019</v>
      </c>
      <c r="K2678" s="71"/>
      <c r="L2678" s="71"/>
      <c r="M2678" s="71"/>
      <c r="N2678" s="61"/>
      <c r="O2678" s="51"/>
    </row>
    <row r="2679">
      <c r="A2679" s="56">
        <v>2676.0</v>
      </c>
      <c r="B2679" s="71"/>
      <c r="C2679" s="69" t="s">
        <v>11020</v>
      </c>
      <c r="D2679" s="71"/>
      <c r="E2679" s="68" t="s">
        <v>11021</v>
      </c>
      <c r="F2679" s="76">
        <v>42100.0</v>
      </c>
      <c r="G2679" s="68" t="s">
        <v>11022</v>
      </c>
      <c r="H2679" s="71"/>
      <c r="I2679" s="63" t="s">
        <v>635</v>
      </c>
      <c r="J2679" s="68" t="s">
        <v>11023</v>
      </c>
      <c r="K2679" s="71"/>
      <c r="L2679" s="71"/>
      <c r="M2679" s="71"/>
      <c r="N2679" s="61"/>
      <c r="O2679" s="51"/>
    </row>
    <row r="2680">
      <c r="A2680" s="56">
        <v>2677.0</v>
      </c>
      <c r="B2680" s="71"/>
      <c r="C2680" s="69" t="s">
        <v>11024</v>
      </c>
      <c r="D2680" s="71"/>
      <c r="E2680" s="68" t="s">
        <v>11025</v>
      </c>
      <c r="F2680" s="76">
        <v>42100.0</v>
      </c>
      <c r="G2680" s="68" t="s">
        <v>11026</v>
      </c>
      <c r="H2680" s="71"/>
      <c r="I2680" s="63" t="s">
        <v>635</v>
      </c>
      <c r="J2680" s="68" t="s">
        <v>11023</v>
      </c>
      <c r="K2680" s="71"/>
      <c r="L2680" s="71"/>
      <c r="M2680" s="71"/>
      <c r="N2680" s="61"/>
      <c r="O2680" s="51"/>
    </row>
    <row r="2681">
      <c r="A2681" s="56">
        <v>2678.0</v>
      </c>
      <c r="B2681" s="71"/>
      <c r="C2681" s="68" t="s">
        <v>11027</v>
      </c>
      <c r="D2681" s="71"/>
      <c r="E2681" s="68" t="s">
        <v>11028</v>
      </c>
      <c r="F2681" s="76">
        <v>42044.0</v>
      </c>
      <c r="G2681" s="68" t="s">
        <v>11029</v>
      </c>
      <c r="H2681" s="71"/>
      <c r="I2681" s="63" t="s">
        <v>635</v>
      </c>
      <c r="J2681" s="68" t="s">
        <v>11030</v>
      </c>
      <c r="K2681" s="71"/>
      <c r="L2681" s="71"/>
      <c r="M2681" s="71"/>
      <c r="N2681" s="61"/>
      <c r="O2681" s="51"/>
    </row>
    <row r="2682">
      <c r="A2682" s="56">
        <v>2679.0</v>
      </c>
      <c r="B2682" s="71"/>
      <c r="C2682" s="69" t="s">
        <v>11031</v>
      </c>
      <c r="D2682" s="71"/>
      <c r="E2682" s="68" t="s">
        <v>11032</v>
      </c>
      <c r="F2682" s="76">
        <v>40304.0</v>
      </c>
      <c r="G2682" s="68" t="s">
        <v>11033</v>
      </c>
      <c r="H2682" s="71"/>
      <c r="I2682" s="63" t="s">
        <v>11034</v>
      </c>
      <c r="J2682" s="68" t="s">
        <v>11035</v>
      </c>
      <c r="K2682" s="71"/>
      <c r="L2682" s="71"/>
      <c r="M2682" s="68" t="s">
        <v>166</v>
      </c>
      <c r="N2682" s="61"/>
      <c r="O2682" s="51"/>
    </row>
    <row r="2683">
      <c r="A2683" s="56">
        <v>2680.0</v>
      </c>
      <c r="B2683" s="71"/>
      <c r="C2683" s="69" t="s">
        <v>11036</v>
      </c>
      <c r="D2683" s="71"/>
      <c r="E2683" s="68" t="s">
        <v>11037</v>
      </c>
      <c r="F2683" s="76">
        <v>42065.0</v>
      </c>
      <c r="G2683" s="68" t="s">
        <v>11038</v>
      </c>
      <c r="H2683" s="71"/>
      <c r="I2683" s="68" t="s">
        <v>11039</v>
      </c>
      <c r="J2683" s="68" t="s">
        <v>11040</v>
      </c>
      <c r="K2683" s="71"/>
      <c r="L2683" s="71"/>
      <c r="M2683" s="68" t="s">
        <v>27</v>
      </c>
      <c r="N2683" s="77"/>
      <c r="O2683" s="51"/>
    </row>
    <row r="2684">
      <c r="A2684" s="56">
        <v>2681.0</v>
      </c>
      <c r="B2684" s="71"/>
      <c r="C2684" s="69" t="s">
        <v>11041</v>
      </c>
      <c r="D2684" s="71"/>
      <c r="E2684" s="68" t="s">
        <v>11042</v>
      </c>
      <c r="F2684" s="76">
        <v>41795.0</v>
      </c>
      <c r="G2684" s="68" t="s">
        <v>11043</v>
      </c>
      <c r="H2684" s="71"/>
      <c r="I2684" s="63" t="s">
        <v>11039</v>
      </c>
      <c r="J2684" s="68" t="s">
        <v>11044</v>
      </c>
      <c r="K2684" s="71"/>
      <c r="L2684" s="71"/>
      <c r="M2684" s="68" t="s">
        <v>27</v>
      </c>
      <c r="N2684" s="61"/>
      <c r="O2684" s="51"/>
    </row>
    <row r="2685">
      <c r="A2685" s="56">
        <v>2682.0</v>
      </c>
      <c r="B2685" s="66"/>
      <c r="C2685" s="64" t="s">
        <v>11045</v>
      </c>
      <c r="D2685" s="66"/>
      <c r="E2685" s="63" t="s">
        <v>11046</v>
      </c>
      <c r="F2685" s="70">
        <v>40416.0</v>
      </c>
      <c r="G2685" s="63" t="s">
        <v>11047</v>
      </c>
      <c r="H2685" s="66"/>
      <c r="I2685" s="63" t="s">
        <v>11048</v>
      </c>
      <c r="J2685" s="63" t="s">
        <v>11049</v>
      </c>
      <c r="K2685" s="66"/>
      <c r="L2685" s="66"/>
      <c r="M2685" s="63" t="s">
        <v>27</v>
      </c>
      <c r="N2685" s="61"/>
      <c r="O2685" s="51"/>
    </row>
    <row r="2686">
      <c r="A2686" s="56">
        <v>2683.0</v>
      </c>
      <c r="B2686" s="66"/>
      <c r="C2686" s="64" t="s">
        <v>11050</v>
      </c>
      <c r="D2686" s="66"/>
      <c r="E2686" s="63" t="s">
        <v>11051</v>
      </c>
      <c r="F2686" s="70">
        <v>41404.0</v>
      </c>
      <c r="G2686" s="63" t="s">
        <v>11052</v>
      </c>
      <c r="H2686" s="63" t="s">
        <v>11053</v>
      </c>
      <c r="I2686" s="63" t="s">
        <v>635</v>
      </c>
      <c r="J2686" s="63" t="s">
        <v>136</v>
      </c>
      <c r="K2686" s="66"/>
      <c r="L2686" s="66"/>
      <c r="M2686" s="63" t="s">
        <v>530</v>
      </c>
      <c r="N2686" s="61"/>
      <c r="O2686" s="51"/>
    </row>
    <row r="2687">
      <c r="A2687" s="56">
        <v>2684.0</v>
      </c>
      <c r="B2687" s="66"/>
      <c r="C2687" s="64" t="s">
        <v>11054</v>
      </c>
      <c r="D2687" s="66"/>
      <c r="E2687" s="63" t="s">
        <v>11055</v>
      </c>
      <c r="F2687" s="63" t="s">
        <v>11056</v>
      </c>
      <c r="G2687" s="63" t="s">
        <v>11057</v>
      </c>
      <c r="H2687" s="66"/>
      <c r="I2687" s="63" t="s">
        <v>635</v>
      </c>
      <c r="J2687" s="63" t="s">
        <v>1847</v>
      </c>
      <c r="K2687" s="66"/>
      <c r="L2687" s="66"/>
      <c r="M2687" s="63" t="s">
        <v>166</v>
      </c>
      <c r="N2687" s="61"/>
      <c r="O2687" s="51"/>
    </row>
    <row r="2688">
      <c r="A2688" s="56">
        <v>2685.0</v>
      </c>
      <c r="B2688" s="71"/>
      <c r="C2688" s="69" t="s">
        <v>11058</v>
      </c>
      <c r="D2688" s="71"/>
      <c r="E2688" s="68" t="s">
        <v>11059</v>
      </c>
      <c r="F2688" s="76">
        <v>42178.0</v>
      </c>
      <c r="G2688" s="68" t="s">
        <v>11060</v>
      </c>
      <c r="H2688" s="71"/>
      <c r="I2688" s="63" t="s">
        <v>11061</v>
      </c>
      <c r="J2688" s="68" t="s">
        <v>11062</v>
      </c>
      <c r="K2688" s="71"/>
      <c r="L2688" s="71"/>
      <c r="M2688" s="71"/>
      <c r="N2688" s="61"/>
      <c r="O2688" s="51"/>
    </row>
    <row r="2689">
      <c r="A2689" s="56">
        <v>2686.0</v>
      </c>
      <c r="B2689" s="71"/>
      <c r="C2689" s="69" t="s">
        <v>11063</v>
      </c>
      <c r="D2689" s="68" t="s">
        <v>11064</v>
      </c>
      <c r="E2689" s="68" t="s">
        <v>11065</v>
      </c>
      <c r="F2689" s="76">
        <v>41977.0</v>
      </c>
      <c r="G2689" s="68" t="s">
        <v>11066</v>
      </c>
      <c r="H2689" s="71"/>
      <c r="I2689" s="63" t="s">
        <v>11067</v>
      </c>
      <c r="J2689" s="68" t="s">
        <v>11068</v>
      </c>
      <c r="K2689" s="71"/>
      <c r="L2689" s="71"/>
      <c r="M2689" s="68" t="s">
        <v>31</v>
      </c>
      <c r="N2689" s="61"/>
      <c r="O2689" s="51"/>
    </row>
    <row r="2690">
      <c r="A2690" s="56">
        <v>2687.0</v>
      </c>
      <c r="B2690" s="71"/>
      <c r="C2690" s="69" t="s">
        <v>11069</v>
      </c>
      <c r="D2690" s="68" t="s">
        <v>11070</v>
      </c>
      <c r="E2690" s="68" t="s">
        <v>11071</v>
      </c>
      <c r="F2690" s="76">
        <v>41699.0</v>
      </c>
      <c r="G2690" s="68" t="s">
        <v>11072</v>
      </c>
      <c r="H2690" s="71"/>
      <c r="I2690" s="63" t="s">
        <v>635</v>
      </c>
      <c r="J2690" s="68" t="s">
        <v>622</v>
      </c>
      <c r="K2690" s="71"/>
      <c r="L2690" s="71"/>
      <c r="M2690" s="68" t="s">
        <v>166</v>
      </c>
      <c r="N2690" s="61"/>
      <c r="O2690" s="51"/>
    </row>
    <row r="2691">
      <c r="A2691" s="56">
        <v>2688.0</v>
      </c>
      <c r="B2691" s="71"/>
      <c r="C2691" s="69" t="s">
        <v>11073</v>
      </c>
      <c r="D2691" s="68" t="s">
        <v>11074</v>
      </c>
      <c r="E2691" s="68" t="s">
        <v>11075</v>
      </c>
      <c r="F2691" s="76">
        <v>42018.0</v>
      </c>
      <c r="G2691" s="68" t="s">
        <v>11076</v>
      </c>
      <c r="H2691" s="71"/>
      <c r="I2691" s="63" t="s">
        <v>635</v>
      </c>
      <c r="J2691" s="68" t="s">
        <v>622</v>
      </c>
      <c r="K2691" s="71"/>
      <c r="L2691" s="71"/>
      <c r="M2691" s="68" t="s">
        <v>166</v>
      </c>
      <c r="N2691" s="61"/>
      <c r="O2691" s="51"/>
    </row>
    <row r="2692">
      <c r="A2692" s="56">
        <v>2689.0</v>
      </c>
      <c r="B2692" s="71"/>
      <c r="C2692" s="69" t="s">
        <v>11077</v>
      </c>
      <c r="D2692" s="68" t="s">
        <v>11074</v>
      </c>
      <c r="E2692" s="68" t="s">
        <v>11078</v>
      </c>
      <c r="F2692" s="76">
        <v>42018.0</v>
      </c>
      <c r="G2692" s="68" t="s">
        <v>11076</v>
      </c>
      <c r="H2692" s="71"/>
      <c r="I2692" s="63" t="s">
        <v>635</v>
      </c>
      <c r="J2692" s="68" t="s">
        <v>622</v>
      </c>
      <c r="K2692" s="71"/>
      <c r="L2692" s="71"/>
      <c r="M2692" s="68" t="s">
        <v>166</v>
      </c>
      <c r="N2692" s="61"/>
      <c r="O2692" s="51"/>
    </row>
    <row r="2693">
      <c r="A2693" s="56">
        <v>2690.0</v>
      </c>
      <c r="B2693" s="71"/>
      <c r="C2693" s="69" t="s">
        <v>11079</v>
      </c>
      <c r="D2693" s="71"/>
      <c r="E2693" s="68" t="s">
        <v>11080</v>
      </c>
      <c r="F2693" s="76">
        <v>42045.0</v>
      </c>
      <c r="G2693" s="68" t="s">
        <v>11081</v>
      </c>
      <c r="H2693" s="71"/>
      <c r="I2693" s="63" t="s">
        <v>11082</v>
      </c>
      <c r="J2693" s="68" t="s">
        <v>11083</v>
      </c>
      <c r="K2693" s="71"/>
      <c r="L2693" s="71"/>
      <c r="M2693" s="68" t="s">
        <v>166</v>
      </c>
      <c r="N2693" s="61"/>
      <c r="O2693" s="51"/>
    </row>
    <row r="2694">
      <c r="A2694" s="56">
        <v>2691.0</v>
      </c>
      <c r="B2694" s="71"/>
      <c r="C2694" s="69" t="s">
        <v>11084</v>
      </c>
      <c r="D2694" s="71"/>
      <c r="E2694" s="68" t="s">
        <v>11085</v>
      </c>
      <c r="F2694" s="76">
        <v>42014.0</v>
      </c>
      <c r="G2694" s="68" t="s">
        <v>11086</v>
      </c>
      <c r="H2694" s="71"/>
      <c r="I2694" s="63" t="s">
        <v>11087</v>
      </c>
      <c r="J2694" s="68" t="s">
        <v>11088</v>
      </c>
      <c r="K2694" s="71"/>
      <c r="L2694" s="71"/>
      <c r="M2694" s="71"/>
      <c r="N2694" s="61"/>
      <c r="O2694" s="51"/>
    </row>
    <row r="2695">
      <c r="A2695" s="56">
        <v>2692.0</v>
      </c>
      <c r="B2695" s="71"/>
      <c r="C2695" s="69" t="s">
        <v>11089</v>
      </c>
      <c r="D2695" s="68" t="s">
        <v>11090</v>
      </c>
      <c r="E2695" s="68" t="s">
        <v>11091</v>
      </c>
      <c r="F2695" s="83">
        <v>41969.0</v>
      </c>
      <c r="G2695" s="68" t="s">
        <v>11092</v>
      </c>
      <c r="H2695" s="71"/>
      <c r="I2695" s="63" t="s">
        <v>635</v>
      </c>
      <c r="J2695" s="68" t="s">
        <v>9535</v>
      </c>
      <c r="K2695" s="71"/>
      <c r="L2695" s="71"/>
      <c r="M2695" s="68" t="s">
        <v>166</v>
      </c>
      <c r="N2695" s="61"/>
      <c r="O2695" s="51"/>
    </row>
    <row r="2696">
      <c r="A2696" s="56">
        <v>2693.0</v>
      </c>
      <c r="B2696" s="66"/>
      <c r="C2696" s="64" t="s">
        <v>11093</v>
      </c>
      <c r="D2696" s="63" t="s">
        <v>11094</v>
      </c>
      <c r="E2696" s="63" t="s">
        <v>11095</v>
      </c>
      <c r="F2696" s="70">
        <v>41161.0</v>
      </c>
      <c r="G2696" s="63" t="s">
        <v>11096</v>
      </c>
      <c r="H2696" s="63" t="s">
        <v>11097</v>
      </c>
      <c r="I2696" s="63" t="s">
        <v>11098</v>
      </c>
      <c r="J2696" s="63" t="s">
        <v>1872</v>
      </c>
      <c r="K2696" s="66"/>
      <c r="L2696" s="66"/>
      <c r="M2696" s="63" t="s">
        <v>530</v>
      </c>
      <c r="N2696" s="61"/>
      <c r="O2696" s="51"/>
    </row>
    <row r="2697">
      <c r="A2697" s="56">
        <v>2694.0</v>
      </c>
      <c r="B2697" s="66"/>
      <c r="C2697" s="64" t="s">
        <v>11099</v>
      </c>
      <c r="D2697" s="63" t="s">
        <v>11094</v>
      </c>
      <c r="E2697" s="63" t="s">
        <v>11100</v>
      </c>
      <c r="F2697" s="70">
        <v>41160.0</v>
      </c>
      <c r="G2697" s="63" t="s">
        <v>11101</v>
      </c>
      <c r="H2697" s="63" t="s">
        <v>11102</v>
      </c>
      <c r="I2697" s="63" t="s">
        <v>11103</v>
      </c>
      <c r="J2697" s="63" t="s">
        <v>1872</v>
      </c>
      <c r="K2697" s="66"/>
      <c r="L2697" s="63" t="s">
        <v>1496</v>
      </c>
      <c r="M2697" s="63" t="s">
        <v>530</v>
      </c>
      <c r="N2697" s="61"/>
      <c r="O2697" s="51"/>
    </row>
    <row r="2698">
      <c r="A2698" s="62">
        <v>2695.0</v>
      </c>
      <c r="B2698" s="66"/>
      <c r="C2698" s="64" t="s">
        <v>11104</v>
      </c>
      <c r="D2698" s="66"/>
      <c r="E2698" s="63" t="s">
        <v>11105</v>
      </c>
      <c r="F2698" s="65">
        <v>41992.0</v>
      </c>
      <c r="G2698" s="63" t="s">
        <v>11106</v>
      </c>
      <c r="H2698" s="66"/>
      <c r="I2698" s="63" t="s">
        <v>11107</v>
      </c>
      <c r="J2698" s="66"/>
      <c r="K2698" s="66"/>
      <c r="L2698" s="66"/>
      <c r="M2698" s="63" t="s">
        <v>166</v>
      </c>
      <c r="N2698" s="77"/>
      <c r="O2698" s="51"/>
    </row>
    <row r="2699">
      <c r="A2699" s="56">
        <v>2696.0</v>
      </c>
      <c r="B2699" s="71"/>
      <c r="C2699" s="69" t="s">
        <v>11108</v>
      </c>
      <c r="D2699" s="71"/>
      <c r="E2699" s="68" t="s">
        <v>11109</v>
      </c>
      <c r="F2699" s="76">
        <v>42129.0</v>
      </c>
      <c r="G2699" s="68" t="s">
        <v>11110</v>
      </c>
      <c r="H2699" s="71"/>
      <c r="I2699" s="68" t="s">
        <v>11111</v>
      </c>
      <c r="J2699" s="68" t="s">
        <v>11112</v>
      </c>
      <c r="K2699" s="71"/>
      <c r="L2699" s="71"/>
      <c r="M2699" s="71"/>
      <c r="N2699" s="61"/>
      <c r="O2699" s="51"/>
    </row>
    <row r="2700">
      <c r="A2700" s="56">
        <v>2697.0</v>
      </c>
      <c r="B2700" s="71"/>
      <c r="C2700" s="69" t="s">
        <v>11113</v>
      </c>
      <c r="D2700" s="71"/>
      <c r="E2700" s="68" t="s">
        <v>11114</v>
      </c>
      <c r="F2700" s="83">
        <v>41992.0</v>
      </c>
      <c r="G2700" s="68" t="s">
        <v>11115</v>
      </c>
      <c r="H2700" s="71"/>
      <c r="I2700" s="63" t="s">
        <v>635</v>
      </c>
      <c r="J2700" s="68" t="s">
        <v>9535</v>
      </c>
      <c r="K2700" s="71"/>
      <c r="L2700" s="71"/>
      <c r="M2700" s="68" t="s">
        <v>166</v>
      </c>
      <c r="N2700" s="61"/>
      <c r="O2700" s="51"/>
    </row>
    <row r="2701">
      <c r="A2701" s="56">
        <v>2698.0</v>
      </c>
      <c r="B2701" s="71"/>
      <c r="C2701" s="69" t="s">
        <v>11116</v>
      </c>
      <c r="D2701" s="71"/>
      <c r="E2701" s="68" t="s">
        <v>11117</v>
      </c>
      <c r="F2701" s="68">
        <v>2014.0</v>
      </c>
      <c r="G2701" s="68" t="s">
        <v>11118</v>
      </c>
      <c r="H2701" s="71"/>
      <c r="I2701" s="68" t="s">
        <v>635</v>
      </c>
      <c r="J2701" s="68" t="s">
        <v>11119</v>
      </c>
      <c r="K2701" s="71"/>
      <c r="L2701" s="71"/>
      <c r="M2701" s="71"/>
      <c r="N2701" s="61"/>
      <c r="O2701" s="51"/>
    </row>
    <row r="2702">
      <c r="A2702" s="56">
        <v>2699.0</v>
      </c>
      <c r="B2702" s="71"/>
      <c r="C2702" s="69" t="s">
        <v>11120</v>
      </c>
      <c r="D2702" s="68" t="s">
        <v>11121</v>
      </c>
      <c r="E2702" s="68" t="s">
        <v>11122</v>
      </c>
      <c r="F2702" s="76">
        <v>41765.0</v>
      </c>
      <c r="G2702" s="68" t="s">
        <v>11123</v>
      </c>
      <c r="H2702" s="71"/>
      <c r="I2702" s="63" t="s">
        <v>635</v>
      </c>
      <c r="J2702" s="68" t="s">
        <v>9535</v>
      </c>
      <c r="K2702" s="71"/>
      <c r="L2702" s="71"/>
      <c r="M2702" s="68" t="s">
        <v>166</v>
      </c>
      <c r="N2702" s="61"/>
      <c r="O2702" s="51"/>
    </row>
    <row r="2703">
      <c r="A2703" s="56">
        <v>2700.0</v>
      </c>
      <c r="B2703" s="66"/>
      <c r="C2703" s="64" t="s">
        <v>11124</v>
      </c>
      <c r="D2703" s="66"/>
      <c r="E2703" s="63" t="s">
        <v>11125</v>
      </c>
      <c r="F2703" s="65">
        <v>41568.0</v>
      </c>
      <c r="G2703" s="63" t="s">
        <v>11126</v>
      </c>
      <c r="H2703" s="63" t="s">
        <v>11127</v>
      </c>
      <c r="I2703" s="63" t="s">
        <v>11128</v>
      </c>
      <c r="J2703" s="63" t="s">
        <v>4052</v>
      </c>
      <c r="K2703" s="66"/>
      <c r="L2703" s="66"/>
      <c r="M2703" s="63" t="s">
        <v>872</v>
      </c>
      <c r="N2703" s="61"/>
      <c r="O2703" s="51"/>
    </row>
    <row r="2704">
      <c r="A2704" s="56">
        <v>2701.0</v>
      </c>
      <c r="B2704" s="71"/>
      <c r="C2704" s="69" t="s">
        <v>11129</v>
      </c>
      <c r="D2704" s="71"/>
      <c r="E2704" s="68" t="s">
        <v>11130</v>
      </c>
      <c r="F2704" s="76">
        <v>42080.0</v>
      </c>
      <c r="G2704" s="68" t="s">
        <v>11131</v>
      </c>
      <c r="H2704" s="71"/>
      <c r="I2704" s="63" t="s">
        <v>11132</v>
      </c>
      <c r="J2704" s="68" t="s">
        <v>11133</v>
      </c>
      <c r="K2704" s="71"/>
      <c r="L2704" s="71"/>
      <c r="M2704" s="71"/>
      <c r="N2704" s="61"/>
      <c r="O2704" s="51"/>
    </row>
    <row r="2705">
      <c r="A2705" s="56">
        <v>2702.0</v>
      </c>
      <c r="B2705" s="71"/>
      <c r="C2705" s="69" t="s">
        <v>11134</v>
      </c>
      <c r="D2705" s="71"/>
      <c r="E2705" s="68" t="s">
        <v>11135</v>
      </c>
      <c r="F2705" s="76">
        <v>42143.0</v>
      </c>
      <c r="G2705" s="68" t="s">
        <v>11136</v>
      </c>
      <c r="H2705" s="71"/>
      <c r="I2705" s="66"/>
      <c r="J2705" s="68" t="s">
        <v>4045</v>
      </c>
      <c r="K2705" s="71"/>
      <c r="L2705" s="71"/>
      <c r="M2705" s="104"/>
      <c r="N2705" s="105"/>
      <c r="O2705" s="51"/>
    </row>
    <row r="2706">
      <c r="A2706" s="56">
        <v>2703.0</v>
      </c>
      <c r="B2706" s="71"/>
      <c r="C2706" s="69" t="s">
        <v>11137</v>
      </c>
      <c r="D2706" s="71"/>
      <c r="E2706" s="68" t="s">
        <v>11138</v>
      </c>
      <c r="F2706" s="76">
        <v>42134.0</v>
      </c>
      <c r="G2706" s="68" t="s">
        <v>11139</v>
      </c>
      <c r="H2706" s="71"/>
      <c r="I2706" s="63" t="s">
        <v>635</v>
      </c>
      <c r="J2706" s="68" t="s">
        <v>11140</v>
      </c>
      <c r="K2706" s="71"/>
      <c r="L2706" s="71"/>
      <c r="M2706" s="128" t="s">
        <v>166</v>
      </c>
      <c r="N2706" s="61"/>
      <c r="O2706" s="51"/>
    </row>
    <row r="2707">
      <c r="A2707" s="56">
        <v>2704.0</v>
      </c>
      <c r="B2707" s="60"/>
      <c r="C2707" s="58" t="s">
        <v>11141</v>
      </c>
      <c r="D2707" s="60"/>
      <c r="E2707" s="57" t="s">
        <v>11142</v>
      </c>
      <c r="F2707" s="59">
        <v>42131.0</v>
      </c>
      <c r="G2707" s="57" t="s">
        <v>11143</v>
      </c>
      <c r="H2707" s="60"/>
      <c r="I2707" s="63" t="s">
        <v>635</v>
      </c>
      <c r="J2707" s="57" t="s">
        <v>11144</v>
      </c>
      <c r="K2707" s="60"/>
      <c r="L2707" s="60"/>
      <c r="M2707" s="57" t="s">
        <v>166</v>
      </c>
      <c r="N2707" s="61"/>
      <c r="O2707" s="51"/>
    </row>
    <row r="2708">
      <c r="A2708" s="56">
        <v>2705.0</v>
      </c>
      <c r="B2708" s="66"/>
      <c r="C2708" s="64" t="s">
        <v>11145</v>
      </c>
      <c r="D2708" s="66"/>
      <c r="E2708" s="63" t="s">
        <v>11146</v>
      </c>
      <c r="F2708" s="70">
        <v>42130.0</v>
      </c>
      <c r="G2708" s="63" t="s">
        <v>11147</v>
      </c>
      <c r="H2708" s="66"/>
      <c r="I2708" s="63" t="s">
        <v>11148</v>
      </c>
      <c r="J2708" s="63" t="s">
        <v>9979</v>
      </c>
      <c r="K2708" s="66"/>
      <c r="L2708" s="63" t="s">
        <v>11149</v>
      </c>
      <c r="M2708" s="63" t="s">
        <v>166</v>
      </c>
      <c r="N2708" s="61"/>
      <c r="O2708" s="51"/>
    </row>
    <row r="2709">
      <c r="A2709" s="56">
        <v>2706.0</v>
      </c>
      <c r="B2709" s="71"/>
      <c r="C2709" s="69" t="s">
        <v>11150</v>
      </c>
      <c r="D2709" s="71"/>
      <c r="E2709" s="68" t="s">
        <v>11151</v>
      </c>
      <c r="F2709" s="76">
        <v>41705.0</v>
      </c>
      <c r="G2709" s="68" t="s">
        <v>11152</v>
      </c>
      <c r="H2709" s="71"/>
      <c r="I2709" s="63" t="s">
        <v>11153</v>
      </c>
      <c r="J2709" s="68" t="s">
        <v>2774</v>
      </c>
      <c r="K2709" s="71"/>
      <c r="L2709" s="71"/>
      <c r="M2709" s="104"/>
      <c r="N2709" s="105"/>
      <c r="O2709" s="51"/>
    </row>
    <row r="2710">
      <c r="A2710" s="56">
        <v>2707.0</v>
      </c>
      <c r="B2710" s="71"/>
      <c r="C2710" s="69" t="s">
        <v>11154</v>
      </c>
      <c r="D2710" s="71"/>
      <c r="E2710" s="68" t="s">
        <v>11155</v>
      </c>
      <c r="F2710" s="76">
        <v>40969.0</v>
      </c>
      <c r="G2710" s="68" t="s">
        <v>11156</v>
      </c>
      <c r="H2710" s="71"/>
      <c r="I2710" s="68" t="s">
        <v>11157</v>
      </c>
      <c r="J2710" s="68" t="s">
        <v>11158</v>
      </c>
      <c r="K2710" s="71"/>
      <c r="L2710" s="71"/>
      <c r="M2710" s="128" t="s">
        <v>368</v>
      </c>
      <c r="N2710" s="77"/>
      <c r="O2710" s="51"/>
    </row>
    <row r="2711">
      <c r="A2711" s="56">
        <v>2708.0</v>
      </c>
      <c r="B2711" s="60"/>
      <c r="C2711" s="58" t="s">
        <v>11159</v>
      </c>
      <c r="D2711" s="60"/>
      <c r="E2711" s="57" t="s">
        <v>11160</v>
      </c>
      <c r="F2711" s="59">
        <v>42159.0</v>
      </c>
      <c r="G2711" s="57" t="s">
        <v>11161</v>
      </c>
      <c r="H2711" s="60"/>
      <c r="I2711" s="63" t="s">
        <v>11162</v>
      </c>
      <c r="J2711" s="57" t="s">
        <v>11163</v>
      </c>
      <c r="K2711" s="60"/>
      <c r="L2711" s="60"/>
      <c r="M2711" s="60"/>
      <c r="N2711" s="61"/>
      <c r="O2711" s="51"/>
    </row>
    <row r="2712">
      <c r="A2712" s="56">
        <v>2709.0</v>
      </c>
      <c r="B2712" s="71"/>
      <c r="C2712" s="69" t="s">
        <v>11164</v>
      </c>
      <c r="D2712" s="71"/>
      <c r="E2712" s="68" t="s">
        <v>11165</v>
      </c>
      <c r="F2712" s="68">
        <v>2009.0</v>
      </c>
      <c r="G2712" s="68" t="s">
        <v>11166</v>
      </c>
      <c r="H2712" s="71"/>
      <c r="I2712" s="63" t="s">
        <v>11167</v>
      </c>
      <c r="J2712" s="68" t="s">
        <v>11168</v>
      </c>
      <c r="K2712" s="71"/>
      <c r="L2712" s="71"/>
      <c r="M2712" s="71"/>
      <c r="N2712" s="61"/>
      <c r="O2712" s="51"/>
    </row>
    <row r="2713">
      <c r="A2713" s="56">
        <v>2710.0</v>
      </c>
      <c r="B2713" s="60"/>
      <c r="C2713" s="58" t="s">
        <v>11169</v>
      </c>
      <c r="D2713" s="60"/>
      <c r="E2713" s="57" t="s">
        <v>11170</v>
      </c>
      <c r="F2713" s="57">
        <v>2009.0</v>
      </c>
      <c r="G2713" s="57" t="s">
        <v>11171</v>
      </c>
      <c r="H2713" s="60"/>
      <c r="I2713" s="57" t="s">
        <v>11172</v>
      </c>
      <c r="J2713" s="57" t="s">
        <v>11173</v>
      </c>
      <c r="K2713" s="60"/>
      <c r="L2713" s="60"/>
      <c r="M2713" s="57" t="s">
        <v>166</v>
      </c>
      <c r="N2713" s="112"/>
      <c r="O2713" s="51"/>
    </row>
    <row r="2714">
      <c r="A2714" s="56">
        <v>2711.0</v>
      </c>
      <c r="B2714" s="71"/>
      <c r="C2714" s="69" t="s">
        <v>11174</v>
      </c>
      <c r="D2714" s="71"/>
      <c r="E2714" s="68" t="s">
        <v>11175</v>
      </c>
      <c r="F2714" s="83">
        <v>41256.0</v>
      </c>
      <c r="G2714" s="68" t="s">
        <v>11176</v>
      </c>
      <c r="H2714" s="71"/>
      <c r="I2714" s="63" t="s">
        <v>635</v>
      </c>
      <c r="J2714" s="68" t="s">
        <v>11177</v>
      </c>
      <c r="K2714" s="71"/>
      <c r="L2714" s="71"/>
      <c r="M2714" s="68" t="s">
        <v>195</v>
      </c>
      <c r="N2714" s="61"/>
      <c r="O2714" s="51"/>
    </row>
    <row r="2715">
      <c r="A2715" s="56">
        <v>2712.0</v>
      </c>
      <c r="B2715" s="71"/>
      <c r="C2715" s="69" t="s">
        <v>11178</v>
      </c>
      <c r="D2715" s="71"/>
      <c r="E2715" s="68" t="s">
        <v>11179</v>
      </c>
      <c r="F2715" s="76">
        <v>42234.0</v>
      </c>
      <c r="G2715" s="68" t="s">
        <v>11180</v>
      </c>
      <c r="H2715" s="71"/>
      <c r="I2715" s="63" t="s">
        <v>11181</v>
      </c>
      <c r="J2715" s="68" t="s">
        <v>11182</v>
      </c>
      <c r="K2715" s="71"/>
      <c r="L2715" s="71"/>
      <c r="M2715" s="68" t="s">
        <v>149</v>
      </c>
      <c r="N2715" s="61"/>
      <c r="O2715" s="51"/>
    </row>
    <row r="2716">
      <c r="A2716" s="56">
        <v>2713.0</v>
      </c>
      <c r="B2716" s="71"/>
      <c r="C2716" s="69" t="s">
        <v>11183</v>
      </c>
      <c r="D2716" s="71"/>
      <c r="E2716" s="68" t="s">
        <v>11184</v>
      </c>
      <c r="F2716" s="76">
        <v>42049.0</v>
      </c>
      <c r="G2716" s="68" t="s">
        <v>11185</v>
      </c>
      <c r="H2716" s="71"/>
      <c r="I2716" s="63" t="s">
        <v>11186</v>
      </c>
      <c r="J2716" s="68" t="s">
        <v>11187</v>
      </c>
      <c r="K2716" s="71"/>
      <c r="L2716" s="71"/>
      <c r="M2716" s="71"/>
      <c r="N2716" s="61"/>
      <c r="O2716" s="51"/>
    </row>
    <row r="2717">
      <c r="A2717" s="56">
        <v>2714.0</v>
      </c>
      <c r="B2717" s="66"/>
      <c r="C2717" s="64" t="s">
        <v>11188</v>
      </c>
      <c r="D2717" s="66"/>
      <c r="E2717" s="63" t="s">
        <v>11189</v>
      </c>
      <c r="F2717" s="70">
        <v>41397.0</v>
      </c>
      <c r="G2717" s="63" t="s">
        <v>11190</v>
      </c>
      <c r="H2717" s="63" t="s">
        <v>11191</v>
      </c>
      <c r="I2717" s="63" t="s">
        <v>11192</v>
      </c>
      <c r="J2717" s="63" t="s">
        <v>2872</v>
      </c>
      <c r="K2717" s="66"/>
      <c r="L2717" s="80" t="s">
        <v>11193</v>
      </c>
      <c r="M2717" s="63" t="s">
        <v>125</v>
      </c>
      <c r="N2717" s="61"/>
      <c r="O2717" s="51"/>
    </row>
    <row r="2718">
      <c r="A2718" s="56">
        <v>2715.0</v>
      </c>
      <c r="B2718" s="66"/>
      <c r="C2718" s="64" t="s">
        <v>11194</v>
      </c>
      <c r="D2718" s="66"/>
      <c r="E2718" s="63" t="s">
        <v>11195</v>
      </c>
      <c r="F2718" s="70">
        <v>41910.0</v>
      </c>
      <c r="G2718" s="63" t="s">
        <v>11196</v>
      </c>
      <c r="H2718" s="63" t="s">
        <v>11197</v>
      </c>
      <c r="I2718" s="63" t="s">
        <v>635</v>
      </c>
      <c r="J2718" s="63" t="s">
        <v>2381</v>
      </c>
      <c r="K2718" s="66"/>
      <c r="L2718" s="63" t="s">
        <v>11198</v>
      </c>
      <c r="M2718" s="63" t="s">
        <v>6875</v>
      </c>
      <c r="N2718" s="61"/>
      <c r="O2718" s="51"/>
    </row>
    <row r="2719">
      <c r="A2719" s="56">
        <v>2716.0</v>
      </c>
      <c r="B2719" s="66"/>
      <c r="C2719" s="64" t="s">
        <v>11199</v>
      </c>
      <c r="D2719" s="66"/>
      <c r="E2719" s="63" t="s">
        <v>11200</v>
      </c>
      <c r="F2719" s="70">
        <v>40081.0</v>
      </c>
      <c r="G2719" s="63" t="s">
        <v>11201</v>
      </c>
      <c r="H2719" s="66"/>
      <c r="I2719" s="63" t="s">
        <v>11202</v>
      </c>
      <c r="J2719" s="63" t="s">
        <v>2872</v>
      </c>
      <c r="K2719" s="66"/>
      <c r="L2719" s="66"/>
      <c r="M2719" s="63" t="s">
        <v>125</v>
      </c>
      <c r="N2719" s="61"/>
      <c r="O2719" s="51"/>
    </row>
    <row r="2720">
      <c r="A2720" s="56">
        <v>2717.0</v>
      </c>
      <c r="B2720" s="71"/>
      <c r="C2720" s="69" t="s">
        <v>11203</v>
      </c>
      <c r="D2720" s="71"/>
      <c r="E2720" s="68" t="s">
        <v>11204</v>
      </c>
      <c r="F2720" s="76">
        <v>41439.0</v>
      </c>
      <c r="G2720" s="68" t="s">
        <v>11205</v>
      </c>
      <c r="H2720" s="71"/>
      <c r="I2720" s="68" t="s">
        <v>11206</v>
      </c>
      <c r="J2720" s="68" t="s">
        <v>11207</v>
      </c>
      <c r="K2720" s="71"/>
      <c r="L2720" s="71"/>
      <c r="M2720" s="68" t="s">
        <v>166</v>
      </c>
      <c r="N2720" s="77"/>
      <c r="O2720" s="51"/>
    </row>
    <row r="2721">
      <c r="A2721" s="56">
        <v>2718.0</v>
      </c>
      <c r="B2721" s="71"/>
      <c r="C2721" s="69" t="s">
        <v>11208</v>
      </c>
      <c r="D2721" s="71"/>
      <c r="E2721" s="68" t="s">
        <v>11209</v>
      </c>
      <c r="F2721" s="76">
        <v>42157.0</v>
      </c>
      <c r="G2721" s="68" t="s">
        <v>11210</v>
      </c>
      <c r="H2721" s="71"/>
      <c r="I2721" s="63" t="s">
        <v>635</v>
      </c>
      <c r="J2721" s="68" t="s">
        <v>9535</v>
      </c>
      <c r="K2721" s="71"/>
      <c r="L2721" s="71"/>
      <c r="M2721" s="68" t="s">
        <v>166</v>
      </c>
      <c r="N2721" s="61"/>
      <c r="O2721" s="51"/>
    </row>
    <row r="2722">
      <c r="A2722" s="56">
        <v>2719.0</v>
      </c>
      <c r="B2722" s="71"/>
      <c r="C2722" s="69" t="s">
        <v>11211</v>
      </c>
      <c r="D2722" s="71"/>
      <c r="E2722" s="68" t="s">
        <v>11212</v>
      </c>
      <c r="F2722" s="76">
        <v>42129.0</v>
      </c>
      <c r="G2722" s="68" t="s">
        <v>11213</v>
      </c>
      <c r="H2722" s="71"/>
      <c r="I2722" s="63" t="s">
        <v>635</v>
      </c>
      <c r="J2722" s="68" t="s">
        <v>9535</v>
      </c>
      <c r="K2722" s="71"/>
      <c r="L2722" s="71"/>
      <c r="M2722" s="68" t="s">
        <v>166</v>
      </c>
      <c r="N2722" s="61"/>
      <c r="O2722" s="51"/>
    </row>
    <row r="2723">
      <c r="A2723" s="56">
        <v>2720.0</v>
      </c>
      <c r="B2723" s="71"/>
      <c r="C2723" s="69" t="s">
        <v>11214</v>
      </c>
      <c r="D2723" s="71"/>
      <c r="E2723" s="68" t="s">
        <v>11215</v>
      </c>
      <c r="F2723" s="76">
        <v>42147.0</v>
      </c>
      <c r="G2723" s="68" t="s">
        <v>11216</v>
      </c>
      <c r="H2723" s="71"/>
      <c r="I2723" s="63" t="s">
        <v>635</v>
      </c>
      <c r="J2723" s="68" t="s">
        <v>11217</v>
      </c>
      <c r="K2723" s="71"/>
      <c r="L2723" s="71"/>
      <c r="M2723" s="68" t="s">
        <v>166</v>
      </c>
      <c r="N2723" s="61"/>
      <c r="O2723" s="51"/>
    </row>
    <row r="2724">
      <c r="A2724" s="85">
        <v>2721.0</v>
      </c>
      <c r="B2724" s="82"/>
      <c r="C2724" s="79" t="s">
        <v>11218</v>
      </c>
      <c r="D2724" s="82"/>
      <c r="E2724" s="80" t="s">
        <v>11219</v>
      </c>
      <c r="F2724" s="81">
        <v>42149.0</v>
      </c>
      <c r="G2724" s="80" t="s">
        <v>11220</v>
      </c>
      <c r="H2724" s="82"/>
      <c r="I2724" s="80" t="s">
        <v>11221</v>
      </c>
      <c r="J2724" s="82"/>
      <c r="K2724" s="82"/>
      <c r="L2724" s="82"/>
      <c r="M2724" s="80" t="s">
        <v>166</v>
      </c>
      <c r="N2724" s="61"/>
      <c r="O2724" s="51"/>
    </row>
    <row r="2725">
      <c r="A2725" s="56">
        <v>2722.0</v>
      </c>
      <c r="B2725" s="66"/>
      <c r="C2725" s="64" t="s">
        <v>11222</v>
      </c>
      <c r="D2725" s="66"/>
      <c r="E2725" s="63" t="s">
        <v>11223</v>
      </c>
      <c r="F2725" s="70">
        <v>42169.0</v>
      </c>
      <c r="G2725" s="63" t="s">
        <v>11224</v>
      </c>
      <c r="H2725" s="66"/>
      <c r="I2725" s="63" t="s">
        <v>11225</v>
      </c>
      <c r="J2725" s="63" t="s">
        <v>9979</v>
      </c>
      <c r="K2725" s="66"/>
      <c r="L2725" s="63" t="s">
        <v>11226</v>
      </c>
      <c r="M2725" s="63" t="s">
        <v>166</v>
      </c>
      <c r="N2725" s="61"/>
      <c r="O2725" s="51"/>
    </row>
    <row r="2726">
      <c r="A2726" s="56">
        <v>2723.0</v>
      </c>
      <c r="B2726" s="71"/>
      <c r="C2726" s="69" t="s">
        <v>11227</v>
      </c>
      <c r="D2726" s="71"/>
      <c r="E2726" s="68" t="s">
        <v>11228</v>
      </c>
      <c r="F2726" s="76">
        <v>42180.0</v>
      </c>
      <c r="G2726" s="68" t="s">
        <v>11229</v>
      </c>
      <c r="H2726" s="71"/>
      <c r="I2726" s="63" t="s">
        <v>11230</v>
      </c>
      <c r="J2726" s="68" t="s">
        <v>9535</v>
      </c>
      <c r="K2726" s="71"/>
      <c r="L2726" s="71"/>
      <c r="M2726" s="68" t="s">
        <v>166</v>
      </c>
      <c r="N2726" s="61"/>
      <c r="O2726" s="51"/>
    </row>
    <row r="2727">
      <c r="A2727" s="56">
        <v>2724.0</v>
      </c>
      <c r="B2727" s="71"/>
      <c r="C2727" s="69" t="s">
        <v>11231</v>
      </c>
      <c r="D2727" s="71"/>
      <c r="E2727" s="68" t="s">
        <v>11232</v>
      </c>
      <c r="F2727" s="76">
        <v>42192.0</v>
      </c>
      <c r="G2727" s="68" t="s">
        <v>11233</v>
      </c>
      <c r="H2727" s="71"/>
      <c r="I2727" s="63" t="s">
        <v>11234</v>
      </c>
      <c r="J2727" s="68" t="s">
        <v>11235</v>
      </c>
      <c r="K2727" s="71"/>
      <c r="L2727" s="71"/>
      <c r="M2727" s="68" t="s">
        <v>166</v>
      </c>
      <c r="N2727" s="61"/>
      <c r="O2727" s="51"/>
    </row>
    <row r="2728">
      <c r="A2728" s="56">
        <v>2725.0</v>
      </c>
      <c r="B2728" s="66"/>
      <c r="C2728" s="64" t="s">
        <v>11236</v>
      </c>
      <c r="D2728" s="66"/>
      <c r="E2728" s="63" t="s">
        <v>11237</v>
      </c>
      <c r="F2728" s="70">
        <v>42131.0</v>
      </c>
      <c r="G2728" s="63" t="s">
        <v>11238</v>
      </c>
      <c r="H2728" s="66"/>
      <c r="I2728" s="63" t="s">
        <v>11239</v>
      </c>
      <c r="J2728" s="63" t="s">
        <v>9979</v>
      </c>
      <c r="K2728" s="66"/>
      <c r="L2728" s="63" t="s">
        <v>11240</v>
      </c>
      <c r="M2728" s="63" t="s">
        <v>166</v>
      </c>
      <c r="N2728" s="61"/>
      <c r="O2728" s="51"/>
    </row>
    <row r="2729">
      <c r="A2729" s="56">
        <v>2726.0</v>
      </c>
      <c r="B2729" s="71"/>
      <c r="C2729" s="69" t="s">
        <v>11241</v>
      </c>
      <c r="D2729" s="71"/>
      <c r="E2729" s="68" t="s">
        <v>11242</v>
      </c>
      <c r="F2729" s="76">
        <v>42157.0</v>
      </c>
      <c r="G2729" s="68" t="s">
        <v>11243</v>
      </c>
      <c r="H2729" s="71"/>
      <c r="I2729" s="63" t="s">
        <v>635</v>
      </c>
      <c r="J2729" s="68" t="s">
        <v>11244</v>
      </c>
      <c r="K2729" s="71"/>
      <c r="L2729" s="71"/>
      <c r="M2729" s="68" t="s">
        <v>166</v>
      </c>
      <c r="N2729" s="61"/>
      <c r="O2729" s="51"/>
    </row>
    <row r="2730">
      <c r="A2730" s="56">
        <v>2727.0</v>
      </c>
      <c r="B2730" s="71"/>
      <c r="C2730" s="69" t="s">
        <v>11245</v>
      </c>
      <c r="D2730" s="71"/>
      <c r="E2730" s="68" t="s">
        <v>11246</v>
      </c>
      <c r="F2730" s="76">
        <v>42161.0</v>
      </c>
      <c r="G2730" s="68" t="s">
        <v>11247</v>
      </c>
      <c r="H2730" s="71"/>
      <c r="I2730" s="63" t="s">
        <v>11248</v>
      </c>
      <c r="J2730" s="68" t="s">
        <v>296</v>
      </c>
      <c r="K2730" s="71"/>
      <c r="L2730" s="71"/>
      <c r="M2730" s="68" t="s">
        <v>166</v>
      </c>
      <c r="N2730" s="61"/>
      <c r="O2730" s="51"/>
    </row>
    <row r="2731">
      <c r="A2731" s="56">
        <v>2728.0</v>
      </c>
      <c r="B2731" s="71"/>
      <c r="C2731" s="69" t="s">
        <v>11249</v>
      </c>
      <c r="D2731" s="71"/>
      <c r="E2731" s="68" t="s">
        <v>11250</v>
      </c>
      <c r="F2731" s="76">
        <v>42165.0</v>
      </c>
      <c r="G2731" s="68" t="s">
        <v>11251</v>
      </c>
      <c r="H2731" s="71"/>
      <c r="I2731" s="63" t="s">
        <v>11252</v>
      </c>
      <c r="J2731" s="68" t="s">
        <v>9535</v>
      </c>
      <c r="K2731" s="71"/>
      <c r="L2731" s="71"/>
      <c r="M2731" s="68" t="s">
        <v>166</v>
      </c>
      <c r="N2731" s="61"/>
      <c r="O2731" s="51"/>
    </row>
    <row r="2732">
      <c r="A2732" s="56">
        <v>2729.0</v>
      </c>
      <c r="B2732" s="60"/>
      <c r="C2732" s="58" t="s">
        <v>11253</v>
      </c>
      <c r="D2732" s="60"/>
      <c r="E2732" s="57" t="s">
        <v>11254</v>
      </c>
      <c r="F2732" s="59">
        <v>42168.0</v>
      </c>
      <c r="G2732" s="57" t="s">
        <v>11255</v>
      </c>
      <c r="H2732" s="60"/>
      <c r="I2732" s="57" t="s">
        <v>11256</v>
      </c>
      <c r="J2732" s="57" t="s">
        <v>11257</v>
      </c>
      <c r="K2732" s="60"/>
      <c r="L2732" s="60"/>
      <c r="M2732" s="57" t="s">
        <v>166</v>
      </c>
      <c r="N2732" s="112"/>
      <c r="O2732" s="51"/>
    </row>
    <row r="2733">
      <c r="A2733" s="56">
        <v>2730.0</v>
      </c>
      <c r="B2733" s="71"/>
      <c r="C2733" s="69" t="s">
        <v>11258</v>
      </c>
      <c r="D2733" s="71"/>
      <c r="E2733" s="68" t="s">
        <v>11259</v>
      </c>
      <c r="F2733" s="68" t="s">
        <v>11260</v>
      </c>
      <c r="G2733" s="68" t="s">
        <v>11261</v>
      </c>
      <c r="H2733" s="71"/>
      <c r="I2733" s="63" t="s">
        <v>11262</v>
      </c>
      <c r="J2733" s="68" t="s">
        <v>9535</v>
      </c>
      <c r="K2733" s="71"/>
      <c r="L2733" s="71"/>
      <c r="M2733" s="68" t="s">
        <v>166</v>
      </c>
      <c r="N2733" s="61"/>
      <c r="O2733" s="51"/>
    </row>
    <row r="2734">
      <c r="A2734" s="56">
        <v>2731.0</v>
      </c>
      <c r="B2734" s="71"/>
      <c r="C2734" s="69" t="s">
        <v>11263</v>
      </c>
      <c r="D2734" s="71"/>
      <c r="E2734" s="68" t="s">
        <v>11264</v>
      </c>
      <c r="F2734" s="76">
        <v>42187.0</v>
      </c>
      <c r="G2734" s="68" t="s">
        <v>11265</v>
      </c>
      <c r="H2734" s="71"/>
      <c r="I2734" s="63" t="s">
        <v>635</v>
      </c>
      <c r="J2734" s="68" t="s">
        <v>11266</v>
      </c>
      <c r="K2734" s="71"/>
      <c r="L2734" s="71"/>
      <c r="M2734" s="68" t="s">
        <v>166</v>
      </c>
      <c r="N2734" s="61"/>
      <c r="O2734" s="51"/>
    </row>
    <row r="2735">
      <c r="A2735" s="56">
        <v>2732.0</v>
      </c>
      <c r="B2735" s="71"/>
      <c r="C2735" s="69" t="s">
        <v>11267</v>
      </c>
      <c r="D2735" s="71"/>
      <c r="E2735" s="68" t="s">
        <v>11268</v>
      </c>
      <c r="F2735" s="76">
        <v>42187.0</v>
      </c>
      <c r="G2735" s="68" t="s">
        <v>11269</v>
      </c>
      <c r="H2735" s="71"/>
      <c r="I2735" s="63" t="s">
        <v>635</v>
      </c>
      <c r="J2735" s="68" t="s">
        <v>11266</v>
      </c>
      <c r="K2735" s="71"/>
      <c r="L2735" s="71"/>
      <c r="M2735" s="68" t="s">
        <v>166</v>
      </c>
      <c r="N2735" s="61"/>
      <c r="O2735" s="51"/>
    </row>
    <row r="2736">
      <c r="A2736" s="56">
        <v>2733.0</v>
      </c>
      <c r="B2736" s="71"/>
      <c r="C2736" s="69" t="s">
        <v>11270</v>
      </c>
      <c r="D2736" s="71"/>
      <c r="E2736" s="68" t="s">
        <v>11271</v>
      </c>
      <c r="F2736" s="76">
        <v>42190.0</v>
      </c>
      <c r="G2736" s="68" t="s">
        <v>11272</v>
      </c>
      <c r="H2736" s="71"/>
      <c r="I2736" s="63" t="s">
        <v>635</v>
      </c>
      <c r="J2736" s="68" t="s">
        <v>9535</v>
      </c>
      <c r="K2736" s="71"/>
      <c r="L2736" s="71"/>
      <c r="M2736" s="68" t="s">
        <v>166</v>
      </c>
      <c r="N2736" s="61"/>
      <c r="O2736" s="51"/>
    </row>
    <row r="2737">
      <c r="A2737" s="56">
        <v>2734.0</v>
      </c>
      <c r="B2737" s="71"/>
      <c r="C2737" s="69" t="s">
        <v>11273</v>
      </c>
      <c r="D2737" s="71"/>
      <c r="E2737" s="68" t="s">
        <v>11274</v>
      </c>
      <c r="F2737" s="76">
        <v>42207.0</v>
      </c>
      <c r="G2737" s="68" t="s">
        <v>11275</v>
      </c>
      <c r="H2737" s="71"/>
      <c r="I2737" s="63" t="s">
        <v>11276</v>
      </c>
      <c r="J2737" s="68" t="s">
        <v>10697</v>
      </c>
      <c r="K2737" s="71"/>
      <c r="L2737" s="71"/>
      <c r="M2737" s="68" t="s">
        <v>166</v>
      </c>
      <c r="N2737" s="61"/>
      <c r="O2737" s="51"/>
    </row>
    <row r="2738">
      <c r="A2738" s="56">
        <v>2735.0</v>
      </c>
      <c r="B2738" s="71"/>
      <c r="C2738" s="69" t="s">
        <v>11277</v>
      </c>
      <c r="D2738" s="71"/>
      <c r="E2738" s="68" t="s">
        <v>11278</v>
      </c>
      <c r="F2738" s="76">
        <v>42216.0</v>
      </c>
      <c r="G2738" s="68" t="s">
        <v>11279</v>
      </c>
      <c r="H2738" s="71"/>
      <c r="I2738" s="63" t="s">
        <v>11280</v>
      </c>
      <c r="J2738" s="68" t="s">
        <v>9535</v>
      </c>
      <c r="K2738" s="71"/>
      <c r="L2738" s="71"/>
      <c r="M2738" s="68" t="s">
        <v>166</v>
      </c>
      <c r="N2738" s="61"/>
      <c r="O2738" s="51"/>
    </row>
    <row r="2739">
      <c r="A2739" s="56">
        <v>2736.0</v>
      </c>
      <c r="B2739" s="71"/>
      <c r="C2739" s="69" t="s">
        <v>11281</v>
      </c>
      <c r="D2739" s="71"/>
      <c r="E2739" s="68" t="s">
        <v>11282</v>
      </c>
      <c r="F2739" s="76">
        <v>42219.0</v>
      </c>
      <c r="G2739" s="68" t="s">
        <v>11283</v>
      </c>
      <c r="H2739" s="71"/>
      <c r="I2739" s="63" t="s">
        <v>635</v>
      </c>
      <c r="J2739" s="68" t="s">
        <v>9535</v>
      </c>
      <c r="K2739" s="71"/>
      <c r="L2739" s="71"/>
      <c r="M2739" s="68" t="s">
        <v>166</v>
      </c>
      <c r="N2739" s="61"/>
      <c r="O2739" s="51"/>
    </row>
    <row r="2740">
      <c r="A2740" s="56">
        <v>2737.0</v>
      </c>
      <c r="B2740" s="71"/>
      <c r="C2740" s="69" t="s">
        <v>11284</v>
      </c>
      <c r="D2740" s="71"/>
      <c r="E2740" s="68" t="s">
        <v>11285</v>
      </c>
      <c r="F2740" s="76">
        <v>42222.0</v>
      </c>
      <c r="G2740" s="68" t="s">
        <v>11286</v>
      </c>
      <c r="H2740" s="71"/>
      <c r="I2740" s="63" t="s">
        <v>635</v>
      </c>
      <c r="J2740" s="68" t="s">
        <v>11287</v>
      </c>
      <c r="K2740" s="71"/>
      <c r="L2740" s="71"/>
      <c r="M2740" s="68" t="s">
        <v>166</v>
      </c>
      <c r="N2740" s="61"/>
      <c r="O2740" s="51"/>
    </row>
    <row r="2741">
      <c r="A2741" s="56">
        <v>2738.0</v>
      </c>
      <c r="B2741" s="71"/>
      <c r="C2741" s="69" t="s">
        <v>11288</v>
      </c>
      <c r="D2741" s="71"/>
      <c r="E2741" s="68" t="s">
        <v>11289</v>
      </c>
      <c r="F2741" s="76">
        <v>42229.0</v>
      </c>
      <c r="G2741" s="68" t="s">
        <v>11290</v>
      </c>
      <c r="H2741" s="71"/>
      <c r="I2741" s="63" t="s">
        <v>635</v>
      </c>
      <c r="J2741" s="68" t="s">
        <v>10697</v>
      </c>
      <c r="K2741" s="71"/>
      <c r="L2741" s="71"/>
      <c r="M2741" s="68" t="s">
        <v>166</v>
      </c>
      <c r="N2741" s="61"/>
      <c r="O2741" s="51"/>
    </row>
    <row r="2742">
      <c r="A2742" s="56">
        <v>2739.0</v>
      </c>
      <c r="B2742" s="71"/>
      <c r="C2742" s="69" t="s">
        <v>11291</v>
      </c>
      <c r="D2742" s="71"/>
      <c r="E2742" s="68" t="s">
        <v>11292</v>
      </c>
      <c r="F2742" s="76">
        <v>42229.0</v>
      </c>
      <c r="G2742" s="68" t="s">
        <v>11293</v>
      </c>
      <c r="H2742" s="71"/>
      <c r="I2742" s="63" t="s">
        <v>635</v>
      </c>
      <c r="J2742" s="68" t="s">
        <v>10697</v>
      </c>
      <c r="K2742" s="71"/>
      <c r="L2742" s="71"/>
      <c r="M2742" s="68" t="s">
        <v>166</v>
      </c>
      <c r="N2742" s="61"/>
      <c r="O2742" s="51"/>
    </row>
    <row r="2743">
      <c r="A2743" s="56">
        <v>2740.0</v>
      </c>
      <c r="B2743" s="71"/>
      <c r="C2743" s="69" t="s">
        <v>11294</v>
      </c>
      <c r="D2743" s="71"/>
      <c r="E2743" s="68" t="s">
        <v>11295</v>
      </c>
      <c r="F2743" s="76">
        <v>41714.0</v>
      </c>
      <c r="G2743" s="68" t="s">
        <v>11296</v>
      </c>
      <c r="H2743" s="71"/>
      <c r="I2743" s="68" t="s">
        <v>11297</v>
      </c>
      <c r="J2743" s="68" t="s">
        <v>11298</v>
      </c>
      <c r="K2743" s="71"/>
      <c r="L2743" s="71"/>
      <c r="M2743" s="68" t="s">
        <v>27</v>
      </c>
      <c r="N2743" s="77"/>
      <c r="O2743" s="51"/>
    </row>
    <row r="2744">
      <c r="A2744" s="56">
        <v>2741.0</v>
      </c>
      <c r="B2744" s="71"/>
      <c r="C2744" s="69" t="s">
        <v>11299</v>
      </c>
      <c r="D2744" s="71"/>
      <c r="E2744" s="68" t="s">
        <v>11300</v>
      </c>
      <c r="F2744" s="76">
        <v>42207.0</v>
      </c>
      <c r="G2744" s="68" t="s">
        <v>11301</v>
      </c>
      <c r="H2744" s="71"/>
      <c r="I2744" s="63" t="s">
        <v>11302</v>
      </c>
      <c r="J2744" s="68" t="s">
        <v>11303</v>
      </c>
      <c r="K2744" s="71"/>
      <c r="L2744" s="71"/>
      <c r="M2744" s="71"/>
      <c r="N2744" s="61"/>
      <c r="O2744" s="51"/>
    </row>
    <row r="2745">
      <c r="A2745" s="56">
        <v>2742.0</v>
      </c>
      <c r="B2745" s="71"/>
      <c r="C2745" s="69" t="s">
        <v>11304</v>
      </c>
      <c r="D2745" s="71"/>
      <c r="E2745" s="68" t="s">
        <v>11305</v>
      </c>
      <c r="F2745" s="76">
        <v>42167.0</v>
      </c>
      <c r="G2745" s="68" t="s">
        <v>11306</v>
      </c>
      <c r="H2745" s="71"/>
      <c r="I2745" s="63" t="s">
        <v>11307</v>
      </c>
      <c r="J2745" s="68" t="s">
        <v>11308</v>
      </c>
      <c r="K2745" s="71"/>
      <c r="L2745" s="71"/>
      <c r="M2745" s="71"/>
      <c r="N2745" s="61"/>
      <c r="O2745" s="51"/>
    </row>
    <row r="2746">
      <c r="A2746" s="56">
        <v>2743.0</v>
      </c>
      <c r="B2746" s="66"/>
      <c r="C2746" s="64" t="s">
        <v>11309</v>
      </c>
      <c r="D2746" s="66"/>
      <c r="E2746" s="63" t="s">
        <v>11310</v>
      </c>
      <c r="F2746" s="70">
        <v>42237.0</v>
      </c>
      <c r="G2746" s="63" t="s">
        <v>11311</v>
      </c>
      <c r="H2746" s="66"/>
      <c r="I2746" s="63" t="s">
        <v>11312</v>
      </c>
      <c r="J2746" s="63" t="s">
        <v>11313</v>
      </c>
      <c r="K2746" s="66"/>
      <c r="L2746" s="66"/>
      <c r="M2746" s="63" t="s">
        <v>403</v>
      </c>
      <c r="N2746" s="61"/>
      <c r="O2746" s="51"/>
    </row>
    <row r="2747">
      <c r="A2747" s="56">
        <v>2744.0</v>
      </c>
      <c r="B2747" s="71"/>
      <c r="C2747" s="69" t="s">
        <v>11314</v>
      </c>
      <c r="D2747" s="71"/>
      <c r="E2747" s="68" t="s">
        <v>11315</v>
      </c>
      <c r="F2747" s="76">
        <v>42229.0</v>
      </c>
      <c r="G2747" s="68" t="s">
        <v>11316</v>
      </c>
      <c r="H2747" s="71"/>
      <c r="I2747" s="63" t="s">
        <v>11317</v>
      </c>
      <c r="J2747" s="68" t="s">
        <v>11318</v>
      </c>
      <c r="K2747" s="71"/>
      <c r="L2747" s="71"/>
      <c r="M2747" s="71"/>
      <c r="N2747" s="61"/>
      <c r="O2747" s="51"/>
    </row>
    <row r="2748">
      <c r="A2748" s="56">
        <v>2745.0</v>
      </c>
      <c r="B2748" s="71"/>
      <c r="C2748" s="69" t="s">
        <v>11319</v>
      </c>
      <c r="D2748" s="71"/>
      <c r="E2748" s="68" t="s">
        <v>11320</v>
      </c>
      <c r="F2748" s="76">
        <v>41812.0</v>
      </c>
      <c r="G2748" s="68" t="s">
        <v>11321</v>
      </c>
      <c r="H2748" s="71"/>
      <c r="I2748" s="63" t="s">
        <v>11322</v>
      </c>
      <c r="J2748" s="68" t="s">
        <v>11323</v>
      </c>
      <c r="K2748" s="71"/>
      <c r="L2748" s="71"/>
      <c r="M2748" s="68" t="s">
        <v>143</v>
      </c>
      <c r="N2748" s="61"/>
      <c r="O2748" s="51"/>
    </row>
    <row r="2749">
      <c r="A2749" s="56">
        <v>2746.0</v>
      </c>
      <c r="B2749" s="66"/>
      <c r="C2749" s="64" t="s">
        <v>11324</v>
      </c>
      <c r="D2749" s="66"/>
      <c r="E2749" s="63" t="s">
        <v>11325</v>
      </c>
      <c r="F2749" s="70">
        <v>41879.0</v>
      </c>
      <c r="G2749" s="63" t="s">
        <v>11326</v>
      </c>
      <c r="H2749" s="63" t="s">
        <v>11327</v>
      </c>
      <c r="I2749" s="63" t="s">
        <v>11328</v>
      </c>
      <c r="J2749" s="63" t="s">
        <v>10817</v>
      </c>
      <c r="K2749" s="66"/>
      <c r="L2749" s="66"/>
      <c r="M2749" s="63" t="s">
        <v>31</v>
      </c>
      <c r="N2749" s="61"/>
      <c r="O2749" s="51"/>
    </row>
    <row r="2750">
      <c r="A2750" s="56">
        <v>2747.0</v>
      </c>
      <c r="B2750" s="66"/>
      <c r="C2750" s="64" t="s">
        <v>11329</v>
      </c>
      <c r="D2750" s="66"/>
      <c r="E2750" s="63" t="s">
        <v>11330</v>
      </c>
      <c r="F2750" s="70">
        <v>41443.0</v>
      </c>
      <c r="G2750" s="63" t="s">
        <v>11331</v>
      </c>
      <c r="H2750" s="66"/>
      <c r="I2750" s="63" t="s">
        <v>11332</v>
      </c>
      <c r="J2750" s="63" t="s">
        <v>3575</v>
      </c>
      <c r="K2750" s="66"/>
      <c r="L2750" s="66"/>
      <c r="M2750" s="63" t="s">
        <v>2152</v>
      </c>
      <c r="N2750" s="61"/>
      <c r="O2750" s="51"/>
    </row>
    <row r="2751">
      <c r="A2751" s="56">
        <v>2748.0</v>
      </c>
      <c r="B2751" s="71"/>
      <c r="C2751" s="69" t="s">
        <v>11333</v>
      </c>
      <c r="D2751" s="71"/>
      <c r="E2751" s="68" t="s">
        <v>11334</v>
      </c>
      <c r="F2751" s="83">
        <v>41995.0</v>
      </c>
      <c r="G2751" s="68" t="s">
        <v>11335</v>
      </c>
      <c r="H2751" s="71"/>
      <c r="I2751" s="63" t="s">
        <v>11336</v>
      </c>
      <c r="J2751" s="68" t="s">
        <v>11337</v>
      </c>
      <c r="K2751" s="71"/>
      <c r="L2751" s="71"/>
      <c r="M2751" s="71"/>
      <c r="N2751" s="61"/>
      <c r="O2751" s="51"/>
    </row>
    <row r="2752">
      <c r="A2752" s="75">
        <v>2749.0</v>
      </c>
      <c r="B2752" s="71"/>
      <c r="C2752" s="69" t="s">
        <v>11338</v>
      </c>
      <c r="D2752" s="71"/>
      <c r="E2752" s="68" t="s">
        <v>11339</v>
      </c>
      <c r="F2752" s="83">
        <v>41242.0</v>
      </c>
      <c r="G2752" s="68" t="s">
        <v>11340</v>
      </c>
      <c r="H2752" s="68" t="s">
        <v>11341</v>
      </c>
      <c r="I2752" s="68" t="s">
        <v>11342</v>
      </c>
      <c r="J2752" s="68" t="s">
        <v>11343</v>
      </c>
      <c r="K2752" s="71"/>
      <c r="L2752" s="71"/>
      <c r="M2752" s="68" t="s">
        <v>872</v>
      </c>
      <c r="N2752" s="61"/>
      <c r="O2752" s="51"/>
    </row>
    <row r="2753">
      <c r="A2753" s="56">
        <v>2750.0</v>
      </c>
      <c r="B2753" s="66"/>
      <c r="C2753" s="64" t="s">
        <v>11344</v>
      </c>
      <c r="D2753" s="66"/>
      <c r="E2753" s="63" t="s">
        <v>11345</v>
      </c>
      <c r="F2753" s="70">
        <v>40014.0</v>
      </c>
      <c r="G2753" s="63" t="s">
        <v>11346</v>
      </c>
      <c r="H2753" s="66"/>
      <c r="I2753" s="63" t="s">
        <v>11347</v>
      </c>
      <c r="J2753" s="63" t="s">
        <v>6322</v>
      </c>
      <c r="K2753" s="66"/>
      <c r="L2753" s="66"/>
      <c r="M2753" s="63" t="s">
        <v>4749</v>
      </c>
      <c r="N2753" s="61"/>
      <c r="O2753" s="51"/>
    </row>
    <row r="2754">
      <c r="A2754" s="56">
        <v>2751.0</v>
      </c>
      <c r="B2754" s="60"/>
      <c r="C2754" s="58" t="s">
        <v>11348</v>
      </c>
      <c r="D2754" s="60"/>
      <c r="E2754" s="57" t="s">
        <v>11349</v>
      </c>
      <c r="F2754" s="59">
        <v>41812.0</v>
      </c>
      <c r="G2754" s="57" t="s">
        <v>11350</v>
      </c>
      <c r="H2754" s="60"/>
      <c r="I2754" s="63" t="s">
        <v>635</v>
      </c>
      <c r="J2754" s="57" t="s">
        <v>11351</v>
      </c>
      <c r="K2754" s="60"/>
      <c r="L2754" s="60"/>
      <c r="M2754" s="60"/>
      <c r="N2754" s="61"/>
      <c r="O2754" s="51"/>
    </row>
    <row r="2755">
      <c r="A2755" s="56">
        <v>2752.0</v>
      </c>
      <c r="B2755" s="71"/>
      <c r="C2755" s="69" t="s">
        <v>11352</v>
      </c>
      <c r="D2755" s="71"/>
      <c r="E2755" s="68" t="s">
        <v>11353</v>
      </c>
      <c r="F2755" s="76">
        <v>41812.0</v>
      </c>
      <c r="G2755" s="68" t="s">
        <v>11350</v>
      </c>
      <c r="H2755" s="71"/>
      <c r="I2755" s="63" t="s">
        <v>635</v>
      </c>
      <c r="J2755" s="68" t="s">
        <v>11354</v>
      </c>
      <c r="K2755" s="71"/>
      <c r="L2755" s="71"/>
      <c r="M2755" s="68" t="s">
        <v>542</v>
      </c>
      <c r="N2755" s="61"/>
      <c r="O2755" s="51"/>
    </row>
    <row r="2756">
      <c r="A2756" s="56">
        <v>2753.0</v>
      </c>
      <c r="B2756" s="71"/>
      <c r="C2756" s="69" t="s">
        <v>11355</v>
      </c>
      <c r="D2756" s="71"/>
      <c r="E2756" s="68" t="s">
        <v>11356</v>
      </c>
      <c r="F2756" s="76">
        <v>41812.0</v>
      </c>
      <c r="G2756" s="68" t="s">
        <v>11357</v>
      </c>
      <c r="H2756" s="71"/>
      <c r="I2756" s="63" t="s">
        <v>635</v>
      </c>
      <c r="J2756" s="68" t="s">
        <v>11358</v>
      </c>
      <c r="K2756" s="71"/>
      <c r="L2756" s="71"/>
      <c r="M2756" s="71"/>
      <c r="N2756" s="61"/>
      <c r="O2756" s="51"/>
    </row>
    <row r="2757">
      <c r="A2757" s="56">
        <v>2754.0</v>
      </c>
      <c r="B2757" s="71"/>
      <c r="C2757" s="69" t="s">
        <v>11359</v>
      </c>
      <c r="D2757" s="71"/>
      <c r="E2757" s="68" t="s">
        <v>11360</v>
      </c>
      <c r="F2757" s="76">
        <v>41812.0</v>
      </c>
      <c r="G2757" s="68" t="s">
        <v>11361</v>
      </c>
      <c r="H2757" s="71"/>
      <c r="I2757" s="63" t="s">
        <v>635</v>
      </c>
      <c r="J2757" s="68" t="s">
        <v>11354</v>
      </c>
      <c r="K2757" s="71"/>
      <c r="L2757" s="71"/>
      <c r="M2757" s="68" t="s">
        <v>542</v>
      </c>
      <c r="N2757" s="61"/>
      <c r="O2757" s="51"/>
    </row>
    <row r="2758">
      <c r="A2758" s="56">
        <v>2755.0</v>
      </c>
      <c r="B2758" s="71"/>
      <c r="C2758" s="69" t="s">
        <v>11362</v>
      </c>
      <c r="D2758" s="71"/>
      <c r="E2758" s="68" t="s">
        <v>11363</v>
      </c>
      <c r="F2758" s="76">
        <v>41812.0</v>
      </c>
      <c r="G2758" s="68" t="s">
        <v>11364</v>
      </c>
      <c r="H2758" s="71"/>
      <c r="I2758" s="63" t="s">
        <v>635</v>
      </c>
      <c r="J2758" s="68" t="s">
        <v>11354</v>
      </c>
      <c r="K2758" s="71"/>
      <c r="L2758" s="71"/>
      <c r="M2758" s="68" t="s">
        <v>542</v>
      </c>
      <c r="N2758" s="61"/>
      <c r="O2758" s="51"/>
    </row>
    <row r="2759">
      <c r="A2759" s="56">
        <v>2756.0</v>
      </c>
      <c r="B2759" s="60"/>
      <c r="C2759" s="58" t="s">
        <v>11365</v>
      </c>
      <c r="D2759" s="60"/>
      <c r="E2759" s="57" t="s">
        <v>11366</v>
      </c>
      <c r="F2759" s="59">
        <v>41812.0</v>
      </c>
      <c r="G2759" s="57" t="s">
        <v>11367</v>
      </c>
      <c r="H2759" s="60"/>
      <c r="I2759" s="63" t="s">
        <v>635</v>
      </c>
      <c r="J2759" s="57" t="s">
        <v>11368</v>
      </c>
      <c r="K2759" s="60"/>
      <c r="L2759" s="60"/>
      <c r="M2759" s="57" t="s">
        <v>542</v>
      </c>
      <c r="N2759" s="61"/>
      <c r="O2759" s="51"/>
    </row>
    <row r="2760">
      <c r="A2760" s="56">
        <v>2757.0</v>
      </c>
      <c r="B2760" s="71"/>
      <c r="C2760" s="69" t="s">
        <v>11369</v>
      </c>
      <c r="D2760" s="71"/>
      <c r="E2760" s="68" t="s">
        <v>11370</v>
      </c>
      <c r="F2760" s="76">
        <v>41812.0</v>
      </c>
      <c r="G2760" s="68" t="s">
        <v>11371</v>
      </c>
      <c r="H2760" s="71"/>
      <c r="I2760" s="63" t="s">
        <v>635</v>
      </c>
      <c r="J2760" s="68" t="s">
        <v>11372</v>
      </c>
      <c r="K2760" s="71"/>
      <c r="L2760" s="71"/>
      <c r="M2760" s="68" t="s">
        <v>542</v>
      </c>
      <c r="N2760" s="61"/>
      <c r="O2760" s="51"/>
    </row>
    <row r="2761">
      <c r="A2761" s="56">
        <v>2758.0</v>
      </c>
      <c r="B2761" s="60"/>
      <c r="C2761" s="58" t="s">
        <v>11373</v>
      </c>
      <c r="D2761" s="60"/>
      <c r="E2761" s="63" t="s">
        <v>11374</v>
      </c>
      <c r="F2761" s="59">
        <v>41812.0</v>
      </c>
      <c r="G2761" s="57" t="s">
        <v>11375</v>
      </c>
      <c r="H2761" s="60"/>
      <c r="I2761" s="63" t="s">
        <v>635</v>
      </c>
      <c r="J2761" s="57" t="s">
        <v>11376</v>
      </c>
      <c r="K2761" s="60"/>
      <c r="L2761" s="60"/>
      <c r="M2761" s="57" t="s">
        <v>542</v>
      </c>
      <c r="N2761" s="61"/>
      <c r="O2761" s="51"/>
    </row>
    <row r="2762">
      <c r="A2762" s="56">
        <v>2759.0</v>
      </c>
      <c r="B2762" s="71"/>
      <c r="C2762" s="69" t="s">
        <v>11377</v>
      </c>
      <c r="D2762" s="71"/>
      <c r="E2762" s="68" t="s">
        <v>11378</v>
      </c>
      <c r="F2762" s="76">
        <v>41812.0</v>
      </c>
      <c r="G2762" s="68" t="s">
        <v>11379</v>
      </c>
      <c r="H2762" s="71"/>
      <c r="I2762" s="63" t="s">
        <v>635</v>
      </c>
      <c r="J2762" s="68" t="s">
        <v>11354</v>
      </c>
      <c r="K2762" s="71"/>
      <c r="L2762" s="71"/>
      <c r="M2762" s="68" t="s">
        <v>542</v>
      </c>
      <c r="N2762" s="61"/>
      <c r="O2762" s="51"/>
    </row>
    <row r="2763">
      <c r="A2763" s="56">
        <v>2760.0</v>
      </c>
      <c r="B2763" s="71"/>
      <c r="C2763" s="69" t="s">
        <v>11380</v>
      </c>
      <c r="D2763" s="71"/>
      <c r="E2763" s="68" t="s">
        <v>11381</v>
      </c>
      <c r="F2763" s="76">
        <v>41812.0</v>
      </c>
      <c r="G2763" s="68" t="s">
        <v>11382</v>
      </c>
      <c r="H2763" s="71"/>
      <c r="I2763" s="63" t="s">
        <v>635</v>
      </c>
      <c r="J2763" s="68" t="s">
        <v>11383</v>
      </c>
      <c r="K2763" s="71"/>
      <c r="L2763" s="71"/>
      <c r="M2763" s="68" t="s">
        <v>542</v>
      </c>
      <c r="N2763" s="61"/>
      <c r="O2763" s="51"/>
    </row>
    <row r="2764">
      <c r="A2764" s="56">
        <v>2761.0</v>
      </c>
      <c r="B2764" s="71"/>
      <c r="C2764" s="69" t="s">
        <v>11384</v>
      </c>
      <c r="D2764" s="71"/>
      <c r="E2764" s="68" t="s">
        <v>11385</v>
      </c>
      <c r="F2764" s="76">
        <v>41812.0</v>
      </c>
      <c r="G2764" s="68" t="s">
        <v>11386</v>
      </c>
      <c r="H2764" s="71"/>
      <c r="I2764" s="63" t="s">
        <v>635</v>
      </c>
      <c r="J2764" s="68" t="s">
        <v>11387</v>
      </c>
      <c r="K2764" s="71"/>
      <c r="L2764" s="71"/>
      <c r="M2764" s="68" t="s">
        <v>542</v>
      </c>
      <c r="N2764" s="61"/>
      <c r="O2764" s="51"/>
    </row>
    <row r="2765">
      <c r="A2765" s="56">
        <v>2762.0</v>
      </c>
      <c r="B2765" s="71"/>
      <c r="C2765" s="69" t="s">
        <v>11388</v>
      </c>
      <c r="D2765" s="71"/>
      <c r="E2765" s="68" t="s">
        <v>11389</v>
      </c>
      <c r="F2765" s="76">
        <v>41812.0</v>
      </c>
      <c r="G2765" s="68" t="s">
        <v>11390</v>
      </c>
      <c r="H2765" s="71"/>
      <c r="I2765" s="63" t="s">
        <v>635</v>
      </c>
      <c r="J2765" s="68" t="s">
        <v>11391</v>
      </c>
      <c r="K2765" s="71"/>
      <c r="L2765" s="71"/>
      <c r="M2765" s="68" t="s">
        <v>542</v>
      </c>
      <c r="N2765" s="61"/>
      <c r="O2765" s="51"/>
    </row>
    <row r="2766">
      <c r="A2766" s="56">
        <v>2763.0</v>
      </c>
      <c r="B2766" s="71"/>
      <c r="C2766" s="69" t="s">
        <v>11392</v>
      </c>
      <c r="D2766" s="71"/>
      <c r="E2766" s="68" t="s">
        <v>11393</v>
      </c>
      <c r="F2766" s="76">
        <v>41812.0</v>
      </c>
      <c r="G2766" s="68" t="s">
        <v>11394</v>
      </c>
      <c r="H2766" s="71"/>
      <c r="I2766" s="63" t="s">
        <v>635</v>
      </c>
      <c r="J2766" s="68" t="s">
        <v>11354</v>
      </c>
      <c r="K2766" s="71"/>
      <c r="L2766" s="71"/>
      <c r="M2766" s="68" t="s">
        <v>542</v>
      </c>
      <c r="N2766" s="61"/>
      <c r="O2766" s="51"/>
    </row>
    <row r="2767">
      <c r="A2767" s="56">
        <v>2764.0</v>
      </c>
      <c r="B2767" s="66"/>
      <c r="C2767" s="64" t="s">
        <v>11395</v>
      </c>
      <c r="D2767" s="66"/>
      <c r="E2767" s="63" t="s">
        <v>11396</v>
      </c>
      <c r="F2767" s="63">
        <v>2014.0</v>
      </c>
      <c r="G2767" s="63" t="s">
        <v>11397</v>
      </c>
      <c r="H2767" s="66"/>
      <c r="I2767" s="63" t="s">
        <v>11398</v>
      </c>
      <c r="J2767" s="63" t="s">
        <v>6322</v>
      </c>
      <c r="K2767" s="66"/>
      <c r="L2767" s="66"/>
      <c r="M2767" s="63" t="s">
        <v>4749</v>
      </c>
      <c r="N2767" s="61"/>
      <c r="O2767" s="51"/>
    </row>
    <row r="2768">
      <c r="A2768" s="56">
        <v>2765.0</v>
      </c>
      <c r="B2768" s="71"/>
      <c r="C2768" s="69" t="s">
        <v>11399</v>
      </c>
      <c r="D2768" s="71"/>
      <c r="E2768" s="68" t="s">
        <v>11400</v>
      </c>
      <c r="F2768" s="76">
        <v>42210.0</v>
      </c>
      <c r="G2768" s="68" t="s">
        <v>11401</v>
      </c>
      <c r="H2768" s="71"/>
      <c r="I2768" s="68" t="s">
        <v>11402</v>
      </c>
      <c r="J2768" s="68" t="s">
        <v>11403</v>
      </c>
      <c r="K2768" s="71"/>
      <c r="L2768" s="71"/>
      <c r="M2768" s="68" t="s">
        <v>2291</v>
      </c>
      <c r="N2768" s="77"/>
      <c r="O2768" s="51"/>
    </row>
    <row r="2769">
      <c r="A2769" s="56">
        <v>2766.0</v>
      </c>
      <c r="B2769" s="71"/>
      <c r="C2769" s="69" t="s">
        <v>11404</v>
      </c>
      <c r="D2769" s="71"/>
      <c r="E2769" s="68" t="s">
        <v>11405</v>
      </c>
      <c r="F2769" s="221">
        <v>44738.0</v>
      </c>
      <c r="G2769" s="68" t="s">
        <v>11406</v>
      </c>
      <c r="H2769" s="71"/>
      <c r="I2769" s="63" t="s">
        <v>635</v>
      </c>
      <c r="J2769" s="68" t="s">
        <v>622</v>
      </c>
      <c r="K2769" s="71"/>
      <c r="L2769" s="71"/>
      <c r="M2769" s="68" t="s">
        <v>166</v>
      </c>
      <c r="N2769" s="61"/>
      <c r="O2769" s="51"/>
    </row>
    <row r="2770">
      <c r="A2770" s="56">
        <v>2767.0</v>
      </c>
      <c r="B2770" s="71"/>
      <c r="C2770" s="69" t="s">
        <v>11407</v>
      </c>
      <c r="D2770" s="71"/>
      <c r="E2770" s="68" t="s">
        <v>11408</v>
      </c>
      <c r="F2770" s="76">
        <v>42127.0</v>
      </c>
      <c r="G2770" s="68" t="s">
        <v>11409</v>
      </c>
      <c r="H2770" s="71"/>
      <c r="I2770" s="63" t="s">
        <v>635</v>
      </c>
      <c r="J2770" s="68" t="s">
        <v>9535</v>
      </c>
      <c r="K2770" s="71"/>
      <c r="L2770" s="71"/>
      <c r="M2770" s="68" t="s">
        <v>166</v>
      </c>
      <c r="N2770" s="61"/>
      <c r="O2770" s="51"/>
    </row>
    <row r="2771">
      <c r="A2771" s="56">
        <v>2768.0</v>
      </c>
      <c r="B2771" s="71"/>
      <c r="C2771" s="69" t="s">
        <v>11410</v>
      </c>
      <c r="D2771" s="71"/>
      <c r="E2771" s="68" t="s">
        <v>11411</v>
      </c>
      <c r="F2771" s="68">
        <v>2009.0</v>
      </c>
      <c r="G2771" s="68" t="s">
        <v>11412</v>
      </c>
      <c r="H2771" s="71"/>
      <c r="I2771" s="71"/>
      <c r="J2771" s="68" t="s">
        <v>11413</v>
      </c>
      <c r="K2771" s="71"/>
      <c r="L2771" s="71"/>
      <c r="M2771" s="68" t="s">
        <v>530</v>
      </c>
      <c r="N2771" s="61"/>
      <c r="O2771" s="51"/>
    </row>
    <row r="2772">
      <c r="A2772" s="56">
        <v>2769.0</v>
      </c>
      <c r="B2772" s="71"/>
      <c r="C2772" s="69" t="s">
        <v>11414</v>
      </c>
      <c r="D2772" s="71"/>
      <c r="E2772" s="68" t="s">
        <v>11415</v>
      </c>
      <c r="F2772" s="83">
        <v>41555.0</v>
      </c>
      <c r="G2772" s="68" t="s">
        <v>11416</v>
      </c>
      <c r="H2772" s="71"/>
      <c r="I2772" s="63" t="s">
        <v>11417</v>
      </c>
      <c r="J2772" s="68" t="s">
        <v>11418</v>
      </c>
      <c r="K2772" s="71"/>
      <c r="L2772" s="71"/>
      <c r="M2772" s="68" t="s">
        <v>3407</v>
      </c>
      <c r="N2772" s="61"/>
      <c r="O2772" s="51"/>
    </row>
    <row r="2773">
      <c r="A2773" s="56">
        <v>2770.0</v>
      </c>
      <c r="B2773" s="71"/>
      <c r="C2773" s="69" t="s">
        <v>11419</v>
      </c>
      <c r="D2773" s="71"/>
      <c r="E2773" s="68" t="s">
        <v>11420</v>
      </c>
      <c r="F2773" s="68">
        <v>2013.0</v>
      </c>
      <c r="G2773" s="68" t="s">
        <v>11421</v>
      </c>
      <c r="H2773" s="71"/>
      <c r="I2773" s="63" t="s">
        <v>635</v>
      </c>
      <c r="J2773" s="68" t="s">
        <v>11422</v>
      </c>
      <c r="K2773" s="71"/>
      <c r="L2773" s="71"/>
      <c r="M2773" s="68" t="s">
        <v>31</v>
      </c>
      <c r="N2773" s="61"/>
      <c r="O2773" s="51"/>
    </row>
    <row r="2774">
      <c r="A2774" s="56">
        <v>2771.0</v>
      </c>
      <c r="B2774" s="60"/>
      <c r="C2774" s="58" t="s">
        <v>11423</v>
      </c>
      <c r="D2774" s="60"/>
      <c r="E2774" s="57" t="s">
        <v>11424</v>
      </c>
      <c r="F2774" s="59">
        <v>41913.0</v>
      </c>
      <c r="G2774" s="57" t="s">
        <v>11425</v>
      </c>
      <c r="H2774" s="60"/>
      <c r="I2774" s="63" t="s">
        <v>11426</v>
      </c>
      <c r="J2774" s="57" t="s">
        <v>11427</v>
      </c>
      <c r="K2774" s="60"/>
      <c r="L2774" s="60"/>
      <c r="M2774" s="60"/>
      <c r="N2774" s="61"/>
      <c r="O2774" s="51"/>
    </row>
    <row r="2775">
      <c r="A2775" s="56">
        <v>2772.0</v>
      </c>
      <c r="B2775" s="71"/>
      <c r="C2775" s="69" t="s">
        <v>11428</v>
      </c>
      <c r="D2775" s="71"/>
      <c r="E2775" s="68" t="s">
        <v>11429</v>
      </c>
      <c r="F2775" s="76">
        <v>41805.0</v>
      </c>
      <c r="G2775" s="68" t="s">
        <v>11430</v>
      </c>
      <c r="H2775" s="71"/>
      <c r="I2775" s="63" t="s">
        <v>635</v>
      </c>
      <c r="J2775" s="68" t="s">
        <v>11431</v>
      </c>
      <c r="K2775" s="71"/>
      <c r="L2775" s="71"/>
      <c r="M2775" s="68" t="s">
        <v>195</v>
      </c>
      <c r="N2775" s="61"/>
      <c r="O2775" s="51"/>
    </row>
    <row r="2776">
      <c r="A2776" s="56">
        <v>2773.0</v>
      </c>
      <c r="B2776" s="71"/>
      <c r="C2776" s="69" t="s">
        <v>11432</v>
      </c>
      <c r="D2776" s="71"/>
      <c r="E2776" s="68" t="s">
        <v>11433</v>
      </c>
      <c r="F2776" s="76">
        <v>41805.0</v>
      </c>
      <c r="G2776" s="68" t="s">
        <v>11430</v>
      </c>
      <c r="H2776" s="71"/>
      <c r="I2776" s="66"/>
      <c r="J2776" s="68" t="s">
        <v>11431</v>
      </c>
      <c r="K2776" s="71"/>
      <c r="L2776" s="71"/>
      <c r="M2776" s="68" t="s">
        <v>195</v>
      </c>
      <c r="N2776" s="61"/>
      <c r="O2776" s="51"/>
    </row>
    <row r="2777">
      <c r="A2777" s="56">
        <v>2774.0</v>
      </c>
      <c r="B2777" s="60"/>
      <c r="C2777" s="58" t="s">
        <v>11434</v>
      </c>
      <c r="D2777" s="60"/>
      <c r="E2777" s="57" t="s">
        <v>11435</v>
      </c>
      <c r="F2777" s="185">
        <v>42095.0</v>
      </c>
      <c r="G2777" s="57" t="s">
        <v>11436</v>
      </c>
      <c r="H2777" s="60"/>
      <c r="I2777" s="63" t="s">
        <v>11437</v>
      </c>
      <c r="J2777" s="57" t="s">
        <v>11438</v>
      </c>
      <c r="K2777" s="60"/>
      <c r="L2777" s="60"/>
      <c r="M2777" s="60"/>
      <c r="N2777" s="61"/>
      <c r="O2777" s="51"/>
    </row>
    <row r="2778">
      <c r="A2778" s="56">
        <v>2775.0</v>
      </c>
      <c r="B2778" s="66"/>
      <c r="C2778" s="64" t="s">
        <v>11439</v>
      </c>
      <c r="D2778" s="66"/>
      <c r="E2778" s="63" t="s">
        <v>11440</v>
      </c>
      <c r="F2778" s="63">
        <v>2014.0</v>
      </c>
      <c r="G2778" s="63" t="s">
        <v>11441</v>
      </c>
      <c r="H2778" s="66"/>
      <c r="I2778" s="63" t="s">
        <v>11442</v>
      </c>
      <c r="J2778" s="63" t="s">
        <v>2872</v>
      </c>
      <c r="K2778" s="66"/>
      <c r="L2778" s="66"/>
      <c r="M2778" s="63" t="s">
        <v>125</v>
      </c>
      <c r="N2778" s="61"/>
      <c r="O2778" s="51"/>
    </row>
    <row r="2779">
      <c r="A2779" s="56">
        <v>2776.0</v>
      </c>
      <c r="B2779" s="71"/>
      <c r="C2779" s="69" t="s">
        <v>11443</v>
      </c>
      <c r="D2779" s="71"/>
      <c r="E2779" s="68" t="s">
        <v>11444</v>
      </c>
      <c r="F2779" s="76">
        <v>42243.0</v>
      </c>
      <c r="G2779" s="68" t="s">
        <v>11445</v>
      </c>
      <c r="H2779" s="71"/>
      <c r="I2779" s="63" t="s">
        <v>635</v>
      </c>
      <c r="J2779" s="68" t="s">
        <v>9535</v>
      </c>
      <c r="K2779" s="71"/>
      <c r="L2779" s="71"/>
      <c r="M2779" s="68" t="s">
        <v>166</v>
      </c>
      <c r="N2779" s="61"/>
      <c r="O2779" s="51"/>
    </row>
    <row r="2780">
      <c r="A2780" s="56">
        <v>2777.0</v>
      </c>
      <c r="B2780" s="71"/>
      <c r="C2780" s="69" t="s">
        <v>11446</v>
      </c>
      <c r="D2780" s="71"/>
      <c r="E2780" s="68" t="s">
        <v>11447</v>
      </c>
      <c r="F2780" s="76">
        <v>42243.0</v>
      </c>
      <c r="G2780" s="68" t="s">
        <v>11448</v>
      </c>
      <c r="H2780" s="71"/>
      <c r="I2780" s="66"/>
      <c r="J2780" s="68" t="s">
        <v>9535</v>
      </c>
      <c r="K2780" s="71"/>
      <c r="L2780" s="71"/>
      <c r="M2780" s="68" t="s">
        <v>166</v>
      </c>
      <c r="N2780" s="61"/>
      <c r="O2780" s="51"/>
    </row>
    <row r="2781">
      <c r="A2781" s="56">
        <v>2778.0</v>
      </c>
      <c r="B2781" s="71"/>
      <c r="C2781" s="69" t="s">
        <v>11449</v>
      </c>
      <c r="D2781" s="71"/>
      <c r="E2781" s="68" t="s">
        <v>11450</v>
      </c>
      <c r="F2781" s="76">
        <v>42242.0</v>
      </c>
      <c r="G2781" s="68" t="s">
        <v>11451</v>
      </c>
      <c r="H2781" s="71"/>
      <c r="I2781" s="63" t="s">
        <v>635</v>
      </c>
      <c r="J2781" s="68" t="s">
        <v>11452</v>
      </c>
      <c r="K2781" s="71"/>
      <c r="L2781" s="71"/>
      <c r="M2781" s="68" t="s">
        <v>166</v>
      </c>
      <c r="N2781" s="61"/>
      <c r="O2781" s="51"/>
    </row>
    <row r="2782">
      <c r="A2782" s="56">
        <v>2779.0</v>
      </c>
      <c r="B2782" s="71"/>
      <c r="C2782" s="69" t="s">
        <v>11453</v>
      </c>
      <c r="D2782" s="71"/>
      <c r="E2782" s="68" t="s">
        <v>11454</v>
      </c>
      <c r="F2782" s="76">
        <v>42238.0</v>
      </c>
      <c r="G2782" s="68" t="s">
        <v>11455</v>
      </c>
      <c r="H2782" s="71"/>
      <c r="I2782" s="63" t="s">
        <v>635</v>
      </c>
      <c r="J2782" s="68" t="s">
        <v>9535</v>
      </c>
      <c r="K2782" s="71"/>
      <c r="L2782" s="71"/>
      <c r="M2782" s="68" t="s">
        <v>166</v>
      </c>
      <c r="N2782" s="61"/>
      <c r="O2782" s="51"/>
    </row>
    <row r="2783">
      <c r="A2783" s="56">
        <v>2780.0</v>
      </c>
      <c r="B2783" s="71"/>
      <c r="C2783" s="69" t="s">
        <v>11456</v>
      </c>
      <c r="D2783" s="71"/>
      <c r="E2783" s="68" t="s">
        <v>11457</v>
      </c>
      <c r="F2783" s="76">
        <v>42235.0</v>
      </c>
      <c r="G2783" s="68" t="s">
        <v>11458</v>
      </c>
      <c r="H2783" s="71"/>
      <c r="I2783" s="63" t="s">
        <v>635</v>
      </c>
      <c r="J2783" s="68" t="s">
        <v>11452</v>
      </c>
      <c r="K2783" s="71"/>
      <c r="L2783" s="71"/>
      <c r="M2783" s="68" t="s">
        <v>166</v>
      </c>
      <c r="N2783" s="61"/>
      <c r="O2783" s="51"/>
    </row>
    <row r="2784">
      <c r="A2784" s="56">
        <v>2781.0</v>
      </c>
      <c r="B2784" s="71"/>
      <c r="C2784" s="69" t="s">
        <v>11459</v>
      </c>
      <c r="D2784" s="71"/>
      <c r="E2784" s="68" t="s">
        <v>11460</v>
      </c>
      <c r="F2784" s="76">
        <v>42234.0</v>
      </c>
      <c r="G2784" s="68" t="s">
        <v>11461</v>
      </c>
      <c r="H2784" s="71"/>
      <c r="I2784" s="63" t="s">
        <v>635</v>
      </c>
      <c r="J2784" s="68" t="s">
        <v>9535</v>
      </c>
      <c r="K2784" s="71"/>
      <c r="L2784" s="71"/>
      <c r="M2784" s="68" t="s">
        <v>166</v>
      </c>
      <c r="N2784" s="61"/>
      <c r="O2784" s="51"/>
    </row>
    <row r="2785">
      <c r="A2785" s="56">
        <v>2782.0</v>
      </c>
      <c r="B2785" s="71"/>
      <c r="C2785" s="69" t="s">
        <v>11462</v>
      </c>
      <c r="D2785" s="71"/>
      <c r="E2785" s="68" t="s">
        <v>11463</v>
      </c>
      <c r="F2785" s="76">
        <v>42231.0</v>
      </c>
      <c r="G2785" s="68" t="s">
        <v>11464</v>
      </c>
      <c r="H2785" s="71"/>
      <c r="I2785" s="63" t="s">
        <v>635</v>
      </c>
      <c r="J2785" s="68" t="s">
        <v>9535</v>
      </c>
      <c r="K2785" s="71"/>
      <c r="L2785" s="71"/>
      <c r="M2785" s="68" t="s">
        <v>166</v>
      </c>
      <c r="N2785" s="61"/>
      <c r="O2785" s="51"/>
    </row>
    <row r="2786">
      <c r="A2786" s="56">
        <v>2783.0</v>
      </c>
      <c r="B2786" s="71"/>
      <c r="C2786" s="69" t="s">
        <v>11465</v>
      </c>
      <c r="D2786" s="71"/>
      <c r="E2786" s="68" t="s">
        <v>11466</v>
      </c>
      <c r="F2786" s="76">
        <v>42227.0</v>
      </c>
      <c r="G2786" s="68" t="s">
        <v>11467</v>
      </c>
      <c r="H2786" s="71"/>
      <c r="I2786" s="63" t="s">
        <v>635</v>
      </c>
      <c r="J2786" s="68" t="s">
        <v>9535</v>
      </c>
      <c r="K2786" s="71"/>
      <c r="L2786" s="71"/>
      <c r="M2786" s="68" t="s">
        <v>166</v>
      </c>
      <c r="N2786" s="61"/>
      <c r="O2786" s="51"/>
    </row>
    <row r="2787">
      <c r="A2787" s="56">
        <v>2784.0</v>
      </c>
      <c r="B2787" s="71"/>
      <c r="C2787" s="69" t="s">
        <v>11468</v>
      </c>
      <c r="D2787" s="71"/>
      <c r="E2787" s="68" t="s">
        <v>11469</v>
      </c>
      <c r="F2787" s="76">
        <v>42216.0</v>
      </c>
      <c r="G2787" s="68" t="s">
        <v>11470</v>
      </c>
      <c r="H2787" s="71"/>
      <c r="I2787" s="63" t="s">
        <v>11471</v>
      </c>
      <c r="J2787" s="68" t="s">
        <v>9535</v>
      </c>
      <c r="K2787" s="71"/>
      <c r="L2787" s="71"/>
      <c r="M2787" s="68" t="s">
        <v>166</v>
      </c>
      <c r="N2787" s="61"/>
      <c r="O2787" s="51"/>
    </row>
    <row r="2788">
      <c r="A2788" s="56">
        <v>2785.0</v>
      </c>
      <c r="B2788" s="71"/>
      <c r="C2788" s="69" t="s">
        <v>11472</v>
      </c>
      <c r="D2788" s="71"/>
      <c r="E2788" s="68" t="s">
        <v>11473</v>
      </c>
      <c r="F2788" s="76">
        <v>42199.0</v>
      </c>
      <c r="G2788" s="68" t="s">
        <v>11474</v>
      </c>
      <c r="H2788" s="71"/>
      <c r="I2788" s="63" t="s">
        <v>11475</v>
      </c>
      <c r="J2788" s="68" t="s">
        <v>11266</v>
      </c>
      <c r="K2788" s="71"/>
      <c r="L2788" s="71"/>
      <c r="M2788" s="68" t="s">
        <v>166</v>
      </c>
      <c r="N2788" s="61"/>
      <c r="O2788" s="51"/>
    </row>
    <row r="2789">
      <c r="A2789" s="56">
        <v>2786.0</v>
      </c>
      <c r="B2789" s="71"/>
      <c r="C2789" s="69" t="s">
        <v>11476</v>
      </c>
      <c r="D2789" s="71"/>
      <c r="E2789" s="68" t="s">
        <v>11477</v>
      </c>
      <c r="F2789" s="76">
        <v>42145.0</v>
      </c>
      <c r="G2789" s="68" t="s">
        <v>11478</v>
      </c>
      <c r="H2789" s="71"/>
      <c r="I2789" s="63" t="s">
        <v>635</v>
      </c>
      <c r="J2789" s="68" t="s">
        <v>11479</v>
      </c>
      <c r="K2789" s="71"/>
      <c r="L2789" s="71"/>
      <c r="M2789" s="68" t="s">
        <v>166</v>
      </c>
      <c r="N2789" s="61"/>
      <c r="O2789" s="51"/>
    </row>
    <row r="2790">
      <c r="A2790" s="56">
        <v>2787.0</v>
      </c>
      <c r="B2790" s="71"/>
      <c r="C2790" s="69" t="s">
        <v>11480</v>
      </c>
      <c r="D2790" s="71"/>
      <c r="E2790" s="68" t="s">
        <v>11481</v>
      </c>
      <c r="F2790" s="76">
        <v>42134.0</v>
      </c>
      <c r="G2790" s="68" t="s">
        <v>11482</v>
      </c>
      <c r="H2790" s="71"/>
      <c r="I2790" s="63" t="s">
        <v>11483</v>
      </c>
      <c r="J2790" s="68" t="s">
        <v>9535</v>
      </c>
      <c r="K2790" s="71"/>
      <c r="L2790" s="71"/>
      <c r="M2790" s="68" t="s">
        <v>166</v>
      </c>
      <c r="N2790" s="61"/>
      <c r="O2790" s="51"/>
    </row>
    <row r="2791">
      <c r="A2791" s="56">
        <v>2788.0</v>
      </c>
      <c r="B2791" s="71"/>
      <c r="C2791" s="69" t="s">
        <v>11484</v>
      </c>
      <c r="D2791" s="71"/>
      <c r="E2791" s="68" t="s">
        <v>11485</v>
      </c>
      <c r="F2791" s="76">
        <v>42130.0</v>
      </c>
      <c r="G2791" s="68" t="s">
        <v>11486</v>
      </c>
      <c r="H2791" s="71"/>
      <c r="I2791" s="63" t="s">
        <v>635</v>
      </c>
      <c r="J2791" s="68" t="s">
        <v>11479</v>
      </c>
      <c r="K2791" s="71"/>
      <c r="L2791" s="71"/>
      <c r="M2791" s="68" t="s">
        <v>166</v>
      </c>
      <c r="N2791" s="61"/>
      <c r="O2791" s="51"/>
    </row>
    <row r="2792">
      <c r="A2792" s="56">
        <v>2789.0</v>
      </c>
      <c r="B2792" s="71"/>
      <c r="C2792" s="69" t="s">
        <v>11487</v>
      </c>
      <c r="D2792" s="71"/>
      <c r="E2792" s="68" t="s">
        <v>11488</v>
      </c>
      <c r="F2792" s="76">
        <v>42124.0</v>
      </c>
      <c r="G2792" s="68" t="s">
        <v>11489</v>
      </c>
      <c r="H2792" s="71"/>
      <c r="I2792" s="63" t="s">
        <v>11490</v>
      </c>
      <c r="J2792" s="68" t="s">
        <v>9438</v>
      </c>
      <c r="K2792" s="71"/>
      <c r="L2792" s="71"/>
      <c r="M2792" s="68" t="s">
        <v>166</v>
      </c>
      <c r="N2792" s="61"/>
      <c r="O2792" s="51"/>
    </row>
    <row r="2793">
      <c r="A2793" s="56">
        <v>2790.0</v>
      </c>
      <c r="B2793" s="71"/>
      <c r="C2793" s="69" t="s">
        <v>11491</v>
      </c>
      <c r="D2793" s="71"/>
      <c r="E2793" s="68" t="s">
        <v>11492</v>
      </c>
      <c r="F2793" s="76">
        <v>42215.0</v>
      </c>
      <c r="G2793" s="68" t="s">
        <v>11493</v>
      </c>
      <c r="H2793" s="71"/>
      <c r="I2793" s="63" t="s">
        <v>11494</v>
      </c>
      <c r="J2793" s="68" t="s">
        <v>9535</v>
      </c>
      <c r="K2793" s="71"/>
      <c r="L2793" s="71"/>
      <c r="M2793" s="68" t="s">
        <v>166</v>
      </c>
      <c r="N2793" s="61"/>
      <c r="O2793" s="51"/>
    </row>
    <row r="2794">
      <c r="A2794" s="56">
        <v>2791.0</v>
      </c>
      <c r="B2794" s="71"/>
      <c r="C2794" s="69" t="s">
        <v>11495</v>
      </c>
      <c r="D2794" s="71"/>
      <c r="E2794" s="68" t="s">
        <v>11496</v>
      </c>
      <c r="F2794" s="76">
        <v>42048.0</v>
      </c>
      <c r="G2794" s="68" t="s">
        <v>11497</v>
      </c>
      <c r="H2794" s="71"/>
      <c r="I2794" s="63" t="s">
        <v>11498</v>
      </c>
      <c r="J2794" s="68" t="s">
        <v>252</v>
      </c>
      <c r="K2794" s="71"/>
      <c r="L2794" s="71"/>
      <c r="M2794" s="68" t="s">
        <v>166</v>
      </c>
      <c r="N2794" s="61"/>
      <c r="O2794" s="51"/>
    </row>
    <row r="2795">
      <c r="A2795" s="56">
        <v>2792.0</v>
      </c>
      <c r="B2795" s="60"/>
      <c r="C2795" s="58" t="s">
        <v>11499</v>
      </c>
      <c r="D2795" s="60"/>
      <c r="E2795" s="57" t="s">
        <v>11500</v>
      </c>
      <c r="F2795" s="59">
        <v>42257.0</v>
      </c>
      <c r="G2795" s="57" t="s">
        <v>11501</v>
      </c>
      <c r="H2795" s="60"/>
      <c r="I2795" s="63" t="s">
        <v>11502</v>
      </c>
      <c r="J2795" s="57" t="s">
        <v>11503</v>
      </c>
      <c r="K2795" s="60"/>
      <c r="L2795" s="60"/>
      <c r="M2795" s="60"/>
      <c r="N2795" s="61"/>
      <c r="O2795" s="51"/>
    </row>
    <row r="2796">
      <c r="A2796" s="56">
        <v>2793.0</v>
      </c>
      <c r="B2796" s="71"/>
      <c r="C2796" s="69" t="s">
        <v>11504</v>
      </c>
      <c r="D2796" s="71"/>
      <c r="E2796" s="68" t="s">
        <v>11505</v>
      </c>
      <c r="F2796" s="68">
        <v>2012.0</v>
      </c>
      <c r="G2796" s="68" t="s">
        <v>11506</v>
      </c>
      <c r="H2796" s="71"/>
      <c r="I2796" s="68" t="s">
        <v>635</v>
      </c>
      <c r="J2796" s="68" t="s">
        <v>11507</v>
      </c>
      <c r="K2796" s="71"/>
      <c r="L2796" s="71"/>
      <c r="M2796" s="68" t="s">
        <v>530</v>
      </c>
      <c r="N2796" s="61"/>
      <c r="O2796" s="51"/>
    </row>
    <row r="2797">
      <c r="A2797" s="56">
        <v>2794.0</v>
      </c>
      <c r="B2797" s="71"/>
      <c r="C2797" s="69" t="s">
        <v>11508</v>
      </c>
      <c r="D2797" s="71"/>
      <c r="E2797" s="68" t="s">
        <v>11509</v>
      </c>
      <c r="F2797" s="71"/>
      <c r="G2797" s="68" t="s">
        <v>11510</v>
      </c>
      <c r="H2797" s="71"/>
      <c r="I2797" s="63" t="s">
        <v>635</v>
      </c>
      <c r="J2797" s="68" t="s">
        <v>2675</v>
      </c>
      <c r="K2797" s="71"/>
      <c r="L2797" s="71"/>
      <c r="M2797" s="104"/>
      <c r="N2797" s="105"/>
      <c r="O2797" s="51"/>
    </row>
    <row r="2798">
      <c r="A2798" s="56">
        <v>2795.0</v>
      </c>
      <c r="B2798" s="71"/>
      <c r="C2798" s="69" t="s">
        <v>11511</v>
      </c>
      <c r="D2798" s="71"/>
      <c r="E2798" s="68" t="s">
        <v>11512</v>
      </c>
      <c r="F2798" s="76">
        <v>42251.0</v>
      </c>
      <c r="G2798" s="68" t="s">
        <v>11513</v>
      </c>
      <c r="H2798" s="71"/>
      <c r="I2798" s="63" t="s">
        <v>11514</v>
      </c>
      <c r="J2798" s="68" t="s">
        <v>11515</v>
      </c>
      <c r="K2798" s="71"/>
      <c r="L2798" s="71"/>
      <c r="M2798" s="128" t="s">
        <v>31</v>
      </c>
      <c r="N2798" s="61"/>
      <c r="O2798" s="51"/>
    </row>
    <row r="2799">
      <c r="A2799" s="56">
        <v>2796.0</v>
      </c>
      <c r="B2799" s="71"/>
      <c r="C2799" s="69" t="s">
        <v>11516</v>
      </c>
      <c r="D2799" s="71"/>
      <c r="E2799" s="68" t="s">
        <v>11517</v>
      </c>
      <c r="F2799" s="76">
        <v>42256.0</v>
      </c>
      <c r="G2799" s="68" t="s">
        <v>11518</v>
      </c>
      <c r="H2799" s="71"/>
      <c r="I2799" s="63" t="s">
        <v>11519</v>
      </c>
      <c r="J2799" s="68" t="s">
        <v>11520</v>
      </c>
      <c r="K2799" s="71"/>
      <c r="L2799" s="71"/>
      <c r="M2799" s="68" t="s">
        <v>31</v>
      </c>
      <c r="N2799" s="61"/>
      <c r="O2799" s="51"/>
    </row>
    <row r="2800">
      <c r="A2800" s="56">
        <v>2797.0</v>
      </c>
      <c r="B2800" s="71"/>
      <c r="C2800" s="69" t="s">
        <v>11521</v>
      </c>
      <c r="D2800" s="71"/>
      <c r="E2800" s="68" t="s">
        <v>11522</v>
      </c>
      <c r="F2800" s="76">
        <v>40544.0</v>
      </c>
      <c r="G2800" s="68" t="s">
        <v>11523</v>
      </c>
      <c r="H2800" s="71"/>
      <c r="I2800" s="68" t="s">
        <v>635</v>
      </c>
      <c r="J2800" s="68" t="s">
        <v>11524</v>
      </c>
      <c r="K2800" s="71"/>
      <c r="L2800" s="71"/>
      <c r="M2800" s="68" t="s">
        <v>201</v>
      </c>
      <c r="N2800" s="61"/>
      <c r="O2800" s="51"/>
    </row>
    <row r="2801">
      <c r="A2801" s="56">
        <v>2798.0</v>
      </c>
      <c r="B2801" s="71"/>
      <c r="C2801" s="69" t="s">
        <v>11525</v>
      </c>
      <c r="D2801" s="71"/>
      <c r="E2801" s="68" t="s">
        <v>11526</v>
      </c>
      <c r="F2801" s="76">
        <v>42229.0</v>
      </c>
      <c r="G2801" s="68" t="s">
        <v>11527</v>
      </c>
      <c r="H2801" s="71"/>
      <c r="I2801" s="68" t="s">
        <v>11528</v>
      </c>
      <c r="J2801" s="87" t="s">
        <v>11529</v>
      </c>
      <c r="K2801" s="101"/>
      <c r="L2801" s="71"/>
      <c r="M2801" s="68" t="s">
        <v>31</v>
      </c>
      <c r="N2801" s="61"/>
      <c r="O2801" s="51"/>
    </row>
    <row r="2802">
      <c r="A2802" s="56">
        <v>2799.0</v>
      </c>
      <c r="B2802" s="71"/>
      <c r="C2802" s="69" t="s">
        <v>11530</v>
      </c>
      <c r="D2802" s="71"/>
      <c r="E2802" s="68" t="s">
        <v>11531</v>
      </c>
      <c r="F2802" s="76">
        <v>42187.0</v>
      </c>
      <c r="G2802" s="68" t="s">
        <v>11532</v>
      </c>
      <c r="H2802" s="71"/>
      <c r="I2802" s="63" t="s">
        <v>635</v>
      </c>
      <c r="J2802" s="68" t="s">
        <v>11533</v>
      </c>
      <c r="K2802" s="71"/>
      <c r="L2802" s="71"/>
      <c r="M2802" s="71"/>
      <c r="N2802" s="61"/>
      <c r="O2802" s="51"/>
    </row>
    <row r="2803">
      <c r="A2803" s="56">
        <v>2800.0</v>
      </c>
      <c r="B2803" s="71"/>
      <c r="C2803" s="69" t="s">
        <v>11534</v>
      </c>
      <c r="D2803" s="71"/>
      <c r="E2803" s="68" t="s">
        <v>11535</v>
      </c>
      <c r="F2803" s="83">
        <v>41971.0</v>
      </c>
      <c r="G2803" s="68" t="s">
        <v>11536</v>
      </c>
      <c r="H2803" s="71"/>
      <c r="I2803" s="63" t="s">
        <v>11537</v>
      </c>
      <c r="J2803" s="68" t="s">
        <v>11538</v>
      </c>
      <c r="K2803" s="71"/>
      <c r="L2803" s="71"/>
      <c r="M2803" s="71"/>
      <c r="N2803" s="61"/>
      <c r="O2803" s="51"/>
    </row>
    <row r="2804">
      <c r="A2804" s="56">
        <v>2801.0</v>
      </c>
      <c r="B2804" s="71"/>
      <c r="C2804" s="69" t="s">
        <v>11539</v>
      </c>
      <c r="D2804" s="71"/>
      <c r="E2804" s="68" t="s">
        <v>11540</v>
      </c>
      <c r="F2804" s="76">
        <v>41813.0</v>
      </c>
      <c r="G2804" s="68" t="s">
        <v>11541</v>
      </c>
      <c r="H2804" s="71"/>
      <c r="I2804" s="68" t="s">
        <v>11542</v>
      </c>
      <c r="J2804" s="68" t="s">
        <v>11543</v>
      </c>
      <c r="K2804" s="71"/>
      <c r="L2804" s="68" t="s">
        <v>618</v>
      </c>
      <c r="M2804" s="68" t="s">
        <v>125</v>
      </c>
      <c r="N2804" s="61"/>
      <c r="O2804" s="51"/>
    </row>
    <row r="2805">
      <c r="A2805" s="56">
        <v>2802.0</v>
      </c>
      <c r="B2805" s="71"/>
      <c r="C2805" s="69" t="s">
        <v>11544</v>
      </c>
      <c r="D2805" s="71"/>
      <c r="E2805" s="68" t="s">
        <v>11545</v>
      </c>
      <c r="F2805" s="76">
        <v>42150.0</v>
      </c>
      <c r="G2805" s="68" t="s">
        <v>11546</v>
      </c>
      <c r="H2805" s="71"/>
      <c r="I2805" s="63" t="s">
        <v>635</v>
      </c>
      <c r="J2805" s="68" t="s">
        <v>11547</v>
      </c>
      <c r="K2805" s="71"/>
      <c r="L2805" s="71"/>
      <c r="M2805" s="71"/>
      <c r="N2805" s="61"/>
      <c r="O2805" s="51"/>
    </row>
    <row r="2806">
      <c r="A2806" s="56">
        <v>2803.0</v>
      </c>
      <c r="B2806" s="71"/>
      <c r="C2806" s="69" t="s">
        <v>11548</v>
      </c>
      <c r="D2806" s="71"/>
      <c r="E2806" s="68" t="s">
        <v>11549</v>
      </c>
      <c r="F2806" s="76">
        <v>41803.0</v>
      </c>
      <c r="G2806" s="68" t="s">
        <v>11550</v>
      </c>
      <c r="H2806" s="71"/>
      <c r="I2806" s="63" t="s">
        <v>635</v>
      </c>
      <c r="J2806" s="68" t="s">
        <v>11551</v>
      </c>
      <c r="K2806" s="71"/>
      <c r="L2806" s="71"/>
      <c r="M2806" s="71"/>
      <c r="N2806" s="61"/>
      <c r="O2806" s="51"/>
    </row>
    <row r="2807">
      <c r="A2807" s="56">
        <v>2804.0</v>
      </c>
      <c r="B2807" s="71"/>
      <c r="C2807" s="69" t="s">
        <v>11552</v>
      </c>
      <c r="D2807" s="71"/>
      <c r="E2807" s="68" t="s">
        <v>11553</v>
      </c>
      <c r="F2807" s="76">
        <v>42168.0</v>
      </c>
      <c r="G2807" s="68" t="s">
        <v>11554</v>
      </c>
      <c r="H2807" s="71"/>
      <c r="I2807" s="63" t="s">
        <v>635</v>
      </c>
      <c r="J2807" s="68" t="s">
        <v>11555</v>
      </c>
      <c r="K2807" s="71"/>
      <c r="L2807" s="71"/>
      <c r="M2807" s="71"/>
      <c r="N2807" s="61"/>
      <c r="O2807" s="51"/>
    </row>
    <row r="2808">
      <c r="A2808" s="56">
        <v>2805.0</v>
      </c>
      <c r="B2808" s="71"/>
      <c r="C2808" s="69" t="s">
        <v>11556</v>
      </c>
      <c r="D2808" s="71"/>
      <c r="E2808" s="68" t="s">
        <v>11557</v>
      </c>
      <c r="F2808" s="76">
        <v>41801.0</v>
      </c>
      <c r="G2808" s="68" t="s">
        <v>11558</v>
      </c>
      <c r="H2808" s="71"/>
      <c r="I2808" s="63" t="s">
        <v>635</v>
      </c>
      <c r="J2808" s="68" t="s">
        <v>11559</v>
      </c>
      <c r="K2808" s="71"/>
      <c r="L2808" s="71"/>
      <c r="M2808" s="71"/>
      <c r="N2808" s="61"/>
      <c r="O2808" s="51"/>
    </row>
    <row r="2809">
      <c r="A2809" s="56">
        <v>2806.0</v>
      </c>
      <c r="B2809" s="71"/>
      <c r="C2809" s="69" t="s">
        <v>11560</v>
      </c>
      <c r="D2809" s="71"/>
      <c r="E2809" s="68" t="s">
        <v>11561</v>
      </c>
      <c r="F2809" s="76">
        <v>41801.0</v>
      </c>
      <c r="G2809" s="68" t="s">
        <v>11562</v>
      </c>
      <c r="H2809" s="71"/>
      <c r="I2809" s="63" t="s">
        <v>635</v>
      </c>
      <c r="J2809" s="68" t="s">
        <v>11559</v>
      </c>
      <c r="K2809" s="71"/>
      <c r="L2809" s="71"/>
      <c r="M2809" s="71"/>
      <c r="N2809" s="61"/>
      <c r="O2809" s="51"/>
    </row>
    <row r="2810">
      <c r="A2810" s="56">
        <v>2807.0</v>
      </c>
      <c r="B2810" s="71"/>
      <c r="C2810" s="69" t="s">
        <v>11563</v>
      </c>
      <c r="D2810" s="71"/>
      <c r="E2810" s="68" t="s">
        <v>11564</v>
      </c>
      <c r="F2810" s="76">
        <v>41803.0</v>
      </c>
      <c r="G2810" s="68" t="s">
        <v>11565</v>
      </c>
      <c r="H2810" s="71"/>
      <c r="I2810" s="63" t="s">
        <v>635</v>
      </c>
      <c r="J2810" s="68" t="s">
        <v>11559</v>
      </c>
      <c r="K2810" s="71"/>
      <c r="L2810" s="71"/>
      <c r="M2810" s="71"/>
      <c r="N2810" s="61"/>
      <c r="O2810" s="51"/>
    </row>
    <row r="2811">
      <c r="A2811" s="56">
        <v>2808.0</v>
      </c>
      <c r="B2811" s="71"/>
      <c r="C2811" s="69" t="s">
        <v>11566</v>
      </c>
      <c r="D2811" s="71"/>
      <c r="E2811" s="68" t="s">
        <v>11567</v>
      </c>
      <c r="F2811" s="76">
        <v>42161.0</v>
      </c>
      <c r="G2811" s="68" t="s">
        <v>11568</v>
      </c>
      <c r="H2811" s="71"/>
      <c r="I2811" s="63" t="s">
        <v>11569</v>
      </c>
      <c r="J2811" s="68" t="s">
        <v>9535</v>
      </c>
      <c r="K2811" s="71"/>
      <c r="L2811" s="71"/>
      <c r="M2811" s="68" t="s">
        <v>166</v>
      </c>
      <c r="N2811" s="61"/>
      <c r="O2811" s="51"/>
    </row>
    <row r="2812">
      <c r="A2812" s="56">
        <v>2809.0</v>
      </c>
      <c r="B2812" s="71"/>
      <c r="C2812" s="69" t="s">
        <v>11570</v>
      </c>
      <c r="D2812" s="71"/>
      <c r="E2812" s="68" t="s">
        <v>11571</v>
      </c>
      <c r="F2812" s="76">
        <v>42161.0</v>
      </c>
      <c r="G2812" s="68" t="s">
        <v>11568</v>
      </c>
      <c r="H2812" s="71"/>
      <c r="I2812" s="63" t="s">
        <v>11569</v>
      </c>
      <c r="J2812" s="68" t="s">
        <v>4045</v>
      </c>
      <c r="K2812" s="71"/>
      <c r="L2812" s="71"/>
      <c r="M2812" s="104"/>
      <c r="N2812" s="105"/>
      <c r="O2812" s="51"/>
    </row>
    <row r="2813">
      <c r="A2813" s="56">
        <v>2810.0</v>
      </c>
      <c r="B2813" s="71"/>
      <c r="C2813" s="69" t="s">
        <v>11572</v>
      </c>
      <c r="D2813" s="71"/>
      <c r="E2813" s="68" t="s">
        <v>11573</v>
      </c>
      <c r="F2813" s="76">
        <v>41979.0</v>
      </c>
      <c r="G2813" s="68" t="s">
        <v>11574</v>
      </c>
      <c r="H2813" s="71"/>
      <c r="I2813" s="68" t="s">
        <v>11575</v>
      </c>
      <c r="J2813" s="68" t="s">
        <v>11576</v>
      </c>
      <c r="K2813" s="71"/>
      <c r="L2813" s="71"/>
      <c r="M2813" s="111"/>
      <c r="N2813" s="77"/>
      <c r="O2813" s="51"/>
    </row>
    <row r="2814">
      <c r="A2814" s="56">
        <v>2811.0</v>
      </c>
      <c r="B2814" s="71"/>
      <c r="C2814" s="69" t="s">
        <v>11577</v>
      </c>
      <c r="D2814" s="71"/>
      <c r="E2814" s="68" t="s">
        <v>11578</v>
      </c>
      <c r="F2814" s="83">
        <v>41931.0</v>
      </c>
      <c r="G2814" s="68" t="s">
        <v>11579</v>
      </c>
      <c r="H2814" s="71"/>
      <c r="I2814" s="63" t="s">
        <v>635</v>
      </c>
      <c r="J2814" s="68" t="s">
        <v>11580</v>
      </c>
      <c r="K2814" s="71"/>
      <c r="L2814" s="71"/>
      <c r="M2814" s="68" t="s">
        <v>166</v>
      </c>
      <c r="N2814" s="61"/>
      <c r="O2814" s="51"/>
    </row>
    <row r="2815">
      <c r="A2815" s="56">
        <v>2812.0</v>
      </c>
      <c r="B2815" s="71"/>
      <c r="C2815" s="69" t="s">
        <v>11581</v>
      </c>
      <c r="D2815" s="71"/>
      <c r="E2815" s="68" t="s">
        <v>11582</v>
      </c>
      <c r="F2815" s="76">
        <v>42271.0</v>
      </c>
      <c r="G2815" s="68" t="s">
        <v>11583</v>
      </c>
      <c r="H2815" s="71"/>
      <c r="I2815" s="63" t="s">
        <v>635</v>
      </c>
      <c r="J2815" s="68" t="s">
        <v>11584</v>
      </c>
      <c r="K2815" s="71"/>
      <c r="L2815" s="71"/>
      <c r="M2815" s="68" t="s">
        <v>166</v>
      </c>
      <c r="N2815" s="61"/>
      <c r="O2815" s="51"/>
    </row>
    <row r="2816">
      <c r="A2816" s="56">
        <v>2813.0</v>
      </c>
      <c r="B2816" s="71"/>
      <c r="C2816" s="69" t="s">
        <v>11585</v>
      </c>
      <c r="D2816" s="71"/>
      <c r="E2816" s="68" t="s">
        <v>11586</v>
      </c>
      <c r="F2816" s="76">
        <v>42257.0</v>
      </c>
      <c r="G2816" s="68" t="s">
        <v>11587</v>
      </c>
      <c r="H2816" s="71"/>
      <c r="I2816" s="63" t="s">
        <v>635</v>
      </c>
      <c r="J2816" s="68" t="s">
        <v>11584</v>
      </c>
      <c r="K2816" s="71"/>
      <c r="L2816" s="71"/>
      <c r="M2816" s="68" t="s">
        <v>166</v>
      </c>
      <c r="N2816" s="61"/>
      <c r="O2816" s="51"/>
    </row>
    <row r="2817">
      <c r="A2817" s="56">
        <v>2814.0</v>
      </c>
      <c r="B2817" s="66"/>
      <c r="C2817" s="64" t="s">
        <v>11588</v>
      </c>
      <c r="D2817" s="66"/>
      <c r="E2817" s="63" t="s">
        <v>11589</v>
      </c>
      <c r="F2817" s="70">
        <v>42251.0</v>
      </c>
      <c r="G2817" s="63" t="s">
        <v>11590</v>
      </c>
      <c r="H2817" s="66"/>
      <c r="I2817" s="63" t="s">
        <v>11591</v>
      </c>
      <c r="J2817" s="63" t="s">
        <v>9979</v>
      </c>
      <c r="K2817" s="66"/>
      <c r="L2817" s="63" t="s">
        <v>11592</v>
      </c>
      <c r="M2817" s="63" t="s">
        <v>166</v>
      </c>
      <c r="N2817" s="61"/>
      <c r="O2817" s="51"/>
    </row>
    <row r="2818">
      <c r="A2818" s="56">
        <v>2815.0</v>
      </c>
      <c r="B2818" s="66"/>
      <c r="C2818" s="64" t="s">
        <v>11593</v>
      </c>
      <c r="D2818" s="66"/>
      <c r="E2818" s="63" t="s">
        <v>11594</v>
      </c>
      <c r="F2818" s="70">
        <v>42241.0</v>
      </c>
      <c r="G2818" s="63" t="s">
        <v>11595</v>
      </c>
      <c r="H2818" s="66"/>
      <c r="I2818" s="63" t="s">
        <v>11596</v>
      </c>
      <c r="J2818" s="63" t="s">
        <v>9979</v>
      </c>
      <c r="K2818" s="66"/>
      <c r="L2818" s="63" t="s">
        <v>11597</v>
      </c>
      <c r="M2818" s="63" t="s">
        <v>166</v>
      </c>
      <c r="N2818" s="61"/>
      <c r="O2818" s="51"/>
    </row>
    <row r="2819">
      <c r="A2819" s="56">
        <v>2816.0</v>
      </c>
      <c r="B2819" s="71"/>
      <c r="C2819" s="69" t="s">
        <v>11598</v>
      </c>
      <c r="D2819" s="71"/>
      <c r="E2819" s="68" t="s">
        <v>11599</v>
      </c>
      <c r="F2819" s="76">
        <v>42237.0</v>
      </c>
      <c r="G2819" s="68" t="s">
        <v>11600</v>
      </c>
      <c r="H2819" s="71"/>
      <c r="I2819" s="63" t="s">
        <v>635</v>
      </c>
      <c r="J2819" s="68" t="s">
        <v>9535</v>
      </c>
      <c r="K2819" s="71"/>
      <c r="L2819" s="71"/>
      <c r="M2819" s="68" t="s">
        <v>166</v>
      </c>
      <c r="N2819" s="61"/>
      <c r="O2819" s="51"/>
    </row>
    <row r="2820">
      <c r="A2820" s="56">
        <v>2817.0</v>
      </c>
      <c r="B2820" s="71"/>
      <c r="C2820" s="69" t="s">
        <v>11601</v>
      </c>
      <c r="D2820" s="71"/>
      <c r="E2820" s="68" t="s">
        <v>11602</v>
      </c>
      <c r="F2820" s="76">
        <v>42237.0</v>
      </c>
      <c r="G2820" s="68" t="s">
        <v>11603</v>
      </c>
      <c r="H2820" s="71"/>
      <c r="I2820" s="63" t="s">
        <v>635</v>
      </c>
      <c r="J2820" s="68" t="s">
        <v>11584</v>
      </c>
      <c r="K2820" s="71"/>
      <c r="L2820" s="71"/>
      <c r="M2820" s="68" t="s">
        <v>166</v>
      </c>
      <c r="N2820" s="61"/>
      <c r="O2820" s="51"/>
    </row>
    <row r="2821">
      <c r="A2821" s="56">
        <v>2818.0</v>
      </c>
      <c r="B2821" s="71"/>
      <c r="C2821" s="69" t="s">
        <v>11604</v>
      </c>
      <c r="D2821" s="71"/>
      <c r="E2821" s="68" t="s">
        <v>11605</v>
      </c>
      <c r="F2821" s="76">
        <v>42237.0</v>
      </c>
      <c r="G2821" s="68" t="s">
        <v>11606</v>
      </c>
      <c r="H2821" s="71"/>
      <c r="I2821" s="63" t="s">
        <v>635</v>
      </c>
      <c r="J2821" s="68" t="s">
        <v>10737</v>
      </c>
      <c r="K2821" s="71"/>
      <c r="L2821" s="71"/>
      <c r="M2821" s="68" t="s">
        <v>166</v>
      </c>
      <c r="N2821" s="61"/>
      <c r="O2821" s="51"/>
    </row>
    <row r="2822">
      <c r="A2822" s="56">
        <v>2819.0</v>
      </c>
      <c r="B2822" s="71"/>
      <c r="C2822" s="69" t="s">
        <v>11607</v>
      </c>
      <c r="D2822" s="71"/>
      <c r="E2822" s="68" t="s">
        <v>11608</v>
      </c>
      <c r="F2822" s="76">
        <v>42236.0</v>
      </c>
      <c r="G2822" s="68" t="s">
        <v>11609</v>
      </c>
      <c r="H2822" s="71"/>
      <c r="I2822" s="63" t="s">
        <v>635</v>
      </c>
      <c r="J2822" s="68" t="s">
        <v>9535</v>
      </c>
      <c r="K2822" s="71"/>
      <c r="L2822" s="71"/>
      <c r="M2822" s="68" t="s">
        <v>166</v>
      </c>
      <c r="N2822" s="61"/>
      <c r="O2822" s="51"/>
    </row>
    <row r="2823">
      <c r="A2823" s="56">
        <v>2820.0</v>
      </c>
      <c r="B2823" s="66"/>
      <c r="C2823" s="64" t="s">
        <v>11610</v>
      </c>
      <c r="D2823" s="66"/>
      <c r="E2823" s="63" t="s">
        <v>11611</v>
      </c>
      <c r="F2823" s="70">
        <v>42179.0</v>
      </c>
      <c r="G2823" s="63" t="s">
        <v>11612</v>
      </c>
      <c r="H2823" s="66"/>
      <c r="I2823" s="63" t="s">
        <v>11613</v>
      </c>
      <c r="J2823" s="63" t="s">
        <v>9979</v>
      </c>
      <c r="K2823" s="66"/>
      <c r="L2823" s="66"/>
      <c r="M2823" s="63" t="s">
        <v>166</v>
      </c>
      <c r="N2823" s="61"/>
      <c r="O2823" s="51"/>
    </row>
    <row r="2824">
      <c r="A2824" s="56">
        <v>2821.0</v>
      </c>
      <c r="B2824" s="71"/>
      <c r="C2824" s="69" t="s">
        <v>11614</v>
      </c>
      <c r="D2824" s="71"/>
      <c r="E2824" s="68" t="s">
        <v>11615</v>
      </c>
      <c r="F2824" s="76">
        <v>42179.0</v>
      </c>
      <c r="G2824" s="68" t="s">
        <v>11616</v>
      </c>
      <c r="H2824" s="71"/>
      <c r="I2824" s="63" t="s">
        <v>635</v>
      </c>
      <c r="J2824" s="68" t="s">
        <v>11584</v>
      </c>
      <c r="K2824" s="71"/>
      <c r="L2824" s="71"/>
      <c r="M2824" s="68" t="s">
        <v>166</v>
      </c>
      <c r="N2824" s="61"/>
      <c r="O2824" s="51"/>
    </row>
    <row r="2825">
      <c r="A2825" s="56">
        <v>2822.0</v>
      </c>
      <c r="B2825" s="71"/>
      <c r="C2825" s="69" t="s">
        <v>11617</v>
      </c>
      <c r="D2825" s="71"/>
      <c r="E2825" s="68" t="s">
        <v>11618</v>
      </c>
      <c r="F2825" s="76">
        <v>42272.0</v>
      </c>
      <c r="G2825" s="68" t="s">
        <v>11619</v>
      </c>
      <c r="H2825" s="71"/>
      <c r="I2825" s="63" t="s">
        <v>635</v>
      </c>
      <c r="J2825" s="68" t="s">
        <v>11620</v>
      </c>
      <c r="K2825" s="71"/>
      <c r="L2825" s="71"/>
      <c r="M2825" s="68" t="s">
        <v>166</v>
      </c>
      <c r="N2825" s="61"/>
      <c r="O2825" s="51"/>
    </row>
    <row r="2826">
      <c r="A2826" s="56">
        <v>2823.0</v>
      </c>
      <c r="B2826" s="60"/>
      <c r="C2826" s="58" t="s">
        <v>11621</v>
      </c>
      <c r="D2826" s="60"/>
      <c r="E2826" s="57" t="s">
        <v>11622</v>
      </c>
      <c r="F2826" s="59">
        <v>42214.0</v>
      </c>
      <c r="G2826" s="57" t="s">
        <v>11623</v>
      </c>
      <c r="H2826" s="60"/>
      <c r="I2826" s="57" t="s">
        <v>11624</v>
      </c>
      <c r="J2826" s="57" t="s">
        <v>11625</v>
      </c>
      <c r="K2826" s="60"/>
      <c r="L2826" s="60"/>
      <c r="M2826" s="57" t="s">
        <v>166</v>
      </c>
      <c r="N2826" s="112"/>
      <c r="O2826" s="51"/>
    </row>
    <row r="2827">
      <c r="A2827" s="56">
        <v>2824.0</v>
      </c>
      <c r="B2827" s="66"/>
      <c r="C2827" s="64" t="s">
        <v>11626</v>
      </c>
      <c r="D2827" s="66"/>
      <c r="E2827" s="63" t="s">
        <v>11627</v>
      </c>
      <c r="F2827" s="70">
        <v>42095.0</v>
      </c>
      <c r="G2827" s="63" t="s">
        <v>11628</v>
      </c>
      <c r="H2827" s="66"/>
      <c r="I2827" s="63" t="s">
        <v>11629</v>
      </c>
      <c r="J2827" s="63" t="s">
        <v>10817</v>
      </c>
      <c r="K2827" s="66"/>
      <c r="L2827" s="66"/>
      <c r="M2827" s="63" t="s">
        <v>31</v>
      </c>
      <c r="N2827" s="61"/>
      <c r="O2827" s="51"/>
    </row>
    <row r="2828">
      <c r="A2828" s="56">
        <v>2825.0</v>
      </c>
      <c r="B2828" s="66"/>
      <c r="C2828" s="64" t="s">
        <v>11630</v>
      </c>
      <c r="D2828" s="66"/>
      <c r="E2828" s="63" t="s">
        <v>11631</v>
      </c>
      <c r="F2828" s="70">
        <v>40037.0</v>
      </c>
      <c r="G2828" s="63" t="s">
        <v>11632</v>
      </c>
      <c r="H2828" s="63" t="s">
        <v>11633</v>
      </c>
      <c r="I2828" s="63" t="s">
        <v>11634</v>
      </c>
      <c r="J2828" s="63" t="s">
        <v>1872</v>
      </c>
      <c r="K2828" s="66"/>
      <c r="L2828" s="63" t="s">
        <v>2743</v>
      </c>
      <c r="M2828" s="63" t="s">
        <v>530</v>
      </c>
      <c r="N2828" s="61"/>
      <c r="O2828" s="51"/>
    </row>
    <row r="2829">
      <c r="A2829" s="56">
        <v>2826.0</v>
      </c>
      <c r="B2829" s="60"/>
      <c r="C2829" s="58" t="s">
        <v>11635</v>
      </c>
      <c r="D2829" s="57" t="s">
        <v>11636</v>
      </c>
      <c r="E2829" s="57" t="s">
        <v>11637</v>
      </c>
      <c r="F2829" s="59">
        <v>42129.0</v>
      </c>
      <c r="G2829" s="57" t="s">
        <v>11638</v>
      </c>
      <c r="H2829" s="60"/>
      <c r="I2829" s="63" t="s">
        <v>635</v>
      </c>
      <c r="J2829" s="57" t="s">
        <v>11639</v>
      </c>
      <c r="K2829" s="60"/>
      <c r="L2829" s="60"/>
      <c r="M2829" s="60"/>
      <c r="N2829" s="61"/>
      <c r="O2829" s="51"/>
    </row>
    <row r="2830">
      <c r="A2830" s="56">
        <v>2827.0</v>
      </c>
      <c r="B2830" s="71"/>
      <c r="C2830" s="69" t="s">
        <v>11640</v>
      </c>
      <c r="D2830" s="68" t="s">
        <v>11641</v>
      </c>
      <c r="E2830" s="68" t="s">
        <v>11642</v>
      </c>
      <c r="F2830" s="76">
        <v>41737.0</v>
      </c>
      <c r="G2830" s="68" t="s">
        <v>11643</v>
      </c>
      <c r="H2830" s="71"/>
      <c r="I2830" s="63" t="s">
        <v>635</v>
      </c>
      <c r="J2830" s="68" t="s">
        <v>9535</v>
      </c>
      <c r="K2830" s="71"/>
      <c r="L2830" s="71"/>
      <c r="M2830" s="68" t="s">
        <v>166</v>
      </c>
      <c r="N2830" s="61"/>
      <c r="O2830" s="51"/>
    </row>
    <row r="2831">
      <c r="A2831" s="56">
        <v>2828.0</v>
      </c>
      <c r="B2831" s="71"/>
      <c r="C2831" s="69" t="s">
        <v>11644</v>
      </c>
      <c r="D2831" s="68" t="s">
        <v>11645</v>
      </c>
      <c r="E2831" s="68" t="s">
        <v>11646</v>
      </c>
      <c r="F2831" s="76">
        <v>42007.0</v>
      </c>
      <c r="G2831" s="68" t="s">
        <v>11647</v>
      </c>
      <c r="H2831" s="71"/>
      <c r="I2831" s="63" t="s">
        <v>635</v>
      </c>
      <c r="J2831" s="68" t="s">
        <v>9535</v>
      </c>
      <c r="K2831" s="71"/>
      <c r="L2831" s="71"/>
      <c r="M2831" s="68" t="s">
        <v>166</v>
      </c>
      <c r="N2831" s="61"/>
      <c r="O2831" s="51"/>
    </row>
    <row r="2832">
      <c r="A2832" s="56">
        <v>2829.0</v>
      </c>
      <c r="B2832" s="71"/>
      <c r="C2832" s="69" t="s">
        <v>11648</v>
      </c>
      <c r="D2832" s="71"/>
      <c r="E2832" s="68" t="s">
        <v>11649</v>
      </c>
      <c r="F2832" s="76">
        <v>42230.0</v>
      </c>
      <c r="G2832" s="68" t="s">
        <v>11650</v>
      </c>
      <c r="H2832" s="71"/>
      <c r="I2832" s="63" t="s">
        <v>11651</v>
      </c>
      <c r="J2832" s="68" t="s">
        <v>11652</v>
      </c>
      <c r="K2832" s="71"/>
      <c r="L2832" s="71"/>
      <c r="M2832" s="71"/>
      <c r="N2832" s="61"/>
      <c r="O2832" s="51"/>
    </row>
    <row r="2833">
      <c r="A2833" s="56">
        <v>2830.0</v>
      </c>
      <c r="B2833" s="71"/>
      <c r="C2833" s="69" t="s">
        <v>11653</v>
      </c>
      <c r="D2833" s="71"/>
      <c r="E2833" s="68" t="s">
        <v>11654</v>
      </c>
      <c r="F2833" s="76">
        <v>42230.0</v>
      </c>
      <c r="G2833" s="68" t="s">
        <v>11655</v>
      </c>
      <c r="H2833" s="71"/>
      <c r="I2833" s="63" t="s">
        <v>11656</v>
      </c>
      <c r="J2833" s="68" t="s">
        <v>11657</v>
      </c>
      <c r="K2833" s="71"/>
      <c r="L2833" s="71"/>
      <c r="M2833" s="68" t="s">
        <v>2748</v>
      </c>
      <c r="N2833" s="61"/>
      <c r="O2833" s="51"/>
    </row>
    <row r="2834">
      <c r="A2834" s="56">
        <v>2831.0</v>
      </c>
      <c r="B2834" s="71"/>
      <c r="C2834" s="69" t="s">
        <v>11658</v>
      </c>
      <c r="D2834" s="71"/>
      <c r="E2834" s="68" t="s">
        <v>11659</v>
      </c>
      <c r="F2834" s="76">
        <v>42171.0</v>
      </c>
      <c r="G2834" s="68" t="s">
        <v>11660</v>
      </c>
      <c r="H2834" s="71"/>
      <c r="I2834" s="63" t="s">
        <v>11661</v>
      </c>
      <c r="J2834" s="68" t="s">
        <v>11662</v>
      </c>
      <c r="K2834" s="71"/>
      <c r="L2834" s="71"/>
      <c r="M2834" s="71"/>
      <c r="N2834" s="61"/>
      <c r="O2834" s="51"/>
    </row>
    <row r="2835">
      <c r="A2835" s="56">
        <v>2832.0</v>
      </c>
      <c r="B2835" s="71"/>
      <c r="C2835" s="69" t="s">
        <v>11663</v>
      </c>
      <c r="D2835" s="71"/>
      <c r="E2835" s="68" t="s">
        <v>11664</v>
      </c>
      <c r="F2835" s="76">
        <v>42260.0</v>
      </c>
      <c r="G2835" s="68" t="s">
        <v>11665</v>
      </c>
      <c r="H2835" s="66"/>
      <c r="I2835" s="68" t="s">
        <v>11666</v>
      </c>
      <c r="J2835" s="68" t="s">
        <v>11667</v>
      </c>
      <c r="K2835" s="71"/>
      <c r="L2835" s="71"/>
      <c r="M2835" s="68" t="s">
        <v>7530</v>
      </c>
      <c r="N2835" s="77"/>
      <c r="O2835" s="51"/>
    </row>
    <row r="2836">
      <c r="A2836" s="56">
        <v>2833.0</v>
      </c>
      <c r="B2836" s="66"/>
      <c r="C2836" s="64" t="s">
        <v>11668</v>
      </c>
      <c r="D2836" s="66"/>
      <c r="E2836" s="63" t="s">
        <v>11669</v>
      </c>
      <c r="F2836" s="66"/>
      <c r="G2836" s="63" t="s">
        <v>11670</v>
      </c>
      <c r="H2836" s="66"/>
      <c r="I2836" s="63" t="s">
        <v>11671</v>
      </c>
      <c r="J2836" s="63" t="s">
        <v>2872</v>
      </c>
      <c r="K2836" s="66"/>
      <c r="L2836" s="66"/>
      <c r="M2836" s="63" t="s">
        <v>125</v>
      </c>
      <c r="N2836" s="61"/>
      <c r="O2836" s="51"/>
    </row>
    <row r="2837">
      <c r="A2837" s="56">
        <v>2834.0</v>
      </c>
      <c r="B2837" s="66"/>
      <c r="C2837" s="64" t="s">
        <v>11672</v>
      </c>
      <c r="D2837" s="66"/>
      <c r="E2837" s="63" t="s">
        <v>11673</v>
      </c>
      <c r="F2837" s="70">
        <v>42036.0</v>
      </c>
      <c r="G2837" s="63" t="s">
        <v>11674</v>
      </c>
      <c r="H2837" s="66"/>
      <c r="I2837" s="63" t="s">
        <v>11675</v>
      </c>
      <c r="J2837" s="71"/>
      <c r="K2837" s="71"/>
      <c r="L2837" s="71"/>
      <c r="M2837" s="63" t="s">
        <v>872</v>
      </c>
      <c r="N2837" s="61"/>
      <c r="O2837" s="51"/>
    </row>
    <row r="2838">
      <c r="A2838" s="56">
        <v>2835.0</v>
      </c>
      <c r="B2838" s="66"/>
      <c r="C2838" s="64" t="s">
        <v>11676</v>
      </c>
      <c r="D2838" s="66"/>
      <c r="E2838" s="63" t="s">
        <v>11677</v>
      </c>
      <c r="F2838" s="70">
        <v>40004.0</v>
      </c>
      <c r="G2838" s="63" t="s">
        <v>11678</v>
      </c>
      <c r="H2838" s="63" t="s">
        <v>11679</v>
      </c>
      <c r="I2838" s="63" t="s">
        <v>11680</v>
      </c>
      <c r="J2838" s="63" t="s">
        <v>1872</v>
      </c>
      <c r="K2838" s="66"/>
      <c r="L2838" s="66"/>
      <c r="M2838" s="63" t="s">
        <v>530</v>
      </c>
      <c r="N2838" s="61"/>
      <c r="O2838" s="51"/>
    </row>
    <row r="2839">
      <c r="A2839" s="56">
        <v>2836.0</v>
      </c>
      <c r="B2839" s="66"/>
      <c r="C2839" s="64" t="s">
        <v>11681</v>
      </c>
      <c r="D2839" s="66"/>
      <c r="E2839" s="63" t="s">
        <v>11682</v>
      </c>
      <c r="F2839" s="65">
        <v>40145.0</v>
      </c>
      <c r="G2839" s="63" t="s">
        <v>11683</v>
      </c>
      <c r="H2839" s="63" t="s">
        <v>11684</v>
      </c>
      <c r="I2839" s="63" t="s">
        <v>11685</v>
      </c>
      <c r="J2839" s="63" t="s">
        <v>1872</v>
      </c>
      <c r="K2839" s="66"/>
      <c r="L2839" s="66"/>
      <c r="M2839" s="63" t="s">
        <v>530</v>
      </c>
      <c r="N2839" s="61"/>
      <c r="O2839" s="51"/>
    </row>
    <row r="2840">
      <c r="A2840" s="56">
        <v>2837.0</v>
      </c>
      <c r="B2840" s="71"/>
      <c r="C2840" s="69" t="s">
        <v>11686</v>
      </c>
      <c r="D2840" s="71"/>
      <c r="E2840" s="68" t="s">
        <v>11687</v>
      </c>
      <c r="F2840" s="76">
        <v>41812.0</v>
      </c>
      <c r="G2840" s="68" t="s">
        <v>11688</v>
      </c>
      <c r="H2840" s="71"/>
      <c r="I2840" s="63" t="s">
        <v>635</v>
      </c>
      <c r="J2840" s="68" t="s">
        <v>11354</v>
      </c>
      <c r="K2840" s="71"/>
      <c r="L2840" s="71"/>
      <c r="M2840" s="68" t="s">
        <v>542</v>
      </c>
      <c r="N2840" s="61"/>
      <c r="O2840" s="51"/>
    </row>
    <row r="2841">
      <c r="A2841" s="56">
        <v>2838.0</v>
      </c>
      <c r="B2841" s="71"/>
      <c r="C2841" s="69" t="s">
        <v>11689</v>
      </c>
      <c r="D2841" s="71"/>
      <c r="E2841" s="68" t="s">
        <v>11690</v>
      </c>
      <c r="F2841" s="76">
        <v>41812.0</v>
      </c>
      <c r="G2841" s="68" t="s">
        <v>11691</v>
      </c>
      <c r="H2841" s="71"/>
      <c r="I2841" s="63" t="s">
        <v>635</v>
      </c>
      <c r="J2841" s="68" t="s">
        <v>11354</v>
      </c>
      <c r="K2841" s="71"/>
      <c r="L2841" s="71"/>
      <c r="M2841" s="68" t="s">
        <v>542</v>
      </c>
      <c r="N2841" s="61"/>
      <c r="O2841" s="51"/>
    </row>
    <row r="2842">
      <c r="A2842" s="56">
        <v>2839.0</v>
      </c>
      <c r="B2842" s="71"/>
      <c r="C2842" s="69" t="s">
        <v>11692</v>
      </c>
      <c r="D2842" s="71"/>
      <c r="E2842" s="68" t="s">
        <v>11693</v>
      </c>
      <c r="F2842" s="83">
        <v>41989.0</v>
      </c>
      <c r="G2842" s="68" t="s">
        <v>11694</v>
      </c>
      <c r="H2842" s="71"/>
      <c r="I2842" s="68" t="s">
        <v>11695</v>
      </c>
      <c r="J2842" s="68" t="s">
        <v>11696</v>
      </c>
      <c r="K2842" s="71"/>
      <c r="L2842" s="71"/>
      <c r="M2842" s="68" t="s">
        <v>166</v>
      </c>
      <c r="N2842" s="61"/>
      <c r="O2842" s="51"/>
    </row>
    <row r="2843">
      <c r="A2843" s="56">
        <v>2840.0</v>
      </c>
      <c r="B2843" s="71"/>
      <c r="C2843" s="69" t="s">
        <v>11697</v>
      </c>
      <c r="D2843" s="71"/>
      <c r="E2843" s="68" t="s">
        <v>11698</v>
      </c>
      <c r="F2843" s="76">
        <v>42229.0</v>
      </c>
      <c r="G2843" s="68" t="s">
        <v>11699</v>
      </c>
      <c r="H2843" s="71"/>
      <c r="I2843" s="63" t="s">
        <v>11700</v>
      </c>
      <c r="J2843" s="68" t="s">
        <v>11701</v>
      </c>
      <c r="K2843" s="71"/>
      <c r="L2843" s="71"/>
      <c r="M2843" s="71"/>
      <c r="N2843" s="61"/>
      <c r="O2843" s="51"/>
    </row>
    <row r="2844">
      <c r="A2844" s="56">
        <v>2841.0</v>
      </c>
      <c r="B2844" s="71"/>
      <c r="C2844" s="69" t="s">
        <v>11702</v>
      </c>
      <c r="D2844" s="68" t="s">
        <v>11703</v>
      </c>
      <c r="E2844" s="68" t="s">
        <v>11704</v>
      </c>
      <c r="F2844" s="68">
        <v>2012.0</v>
      </c>
      <c r="G2844" s="68" t="s">
        <v>11705</v>
      </c>
      <c r="H2844" s="71"/>
      <c r="I2844" s="63" t="s">
        <v>635</v>
      </c>
      <c r="J2844" s="68" t="s">
        <v>11706</v>
      </c>
      <c r="K2844" s="71"/>
      <c r="L2844" s="71"/>
      <c r="M2844" s="71"/>
      <c r="N2844" s="61"/>
      <c r="O2844" s="51"/>
    </row>
    <row r="2845">
      <c r="A2845" s="56">
        <v>2842.0</v>
      </c>
      <c r="B2845" s="71"/>
      <c r="C2845" s="69" t="s">
        <v>11707</v>
      </c>
      <c r="D2845" s="68" t="s">
        <v>11708</v>
      </c>
      <c r="E2845" s="68" t="s">
        <v>11709</v>
      </c>
      <c r="F2845" s="76">
        <v>42009.0</v>
      </c>
      <c r="G2845" s="68" t="s">
        <v>11710</v>
      </c>
      <c r="H2845" s="71"/>
      <c r="I2845" s="63" t="s">
        <v>11711</v>
      </c>
      <c r="J2845" s="68" t="s">
        <v>9535</v>
      </c>
      <c r="K2845" s="71"/>
      <c r="L2845" s="71"/>
      <c r="M2845" s="68" t="s">
        <v>166</v>
      </c>
      <c r="N2845" s="61"/>
      <c r="O2845" s="51"/>
    </row>
    <row r="2846">
      <c r="A2846" s="56">
        <v>2843.0</v>
      </c>
      <c r="B2846" s="71"/>
      <c r="C2846" s="69" t="s">
        <v>11712</v>
      </c>
      <c r="D2846" s="68" t="s">
        <v>11708</v>
      </c>
      <c r="E2846" s="68" t="s">
        <v>11713</v>
      </c>
      <c r="F2846" s="76">
        <v>42009.0</v>
      </c>
      <c r="G2846" s="68" t="s">
        <v>11710</v>
      </c>
      <c r="H2846" s="71"/>
      <c r="I2846" s="63" t="s">
        <v>11711</v>
      </c>
      <c r="J2846" s="68" t="s">
        <v>9535</v>
      </c>
      <c r="K2846" s="71"/>
      <c r="L2846" s="71"/>
      <c r="M2846" s="68" t="s">
        <v>166</v>
      </c>
      <c r="N2846" s="61"/>
      <c r="O2846" s="51"/>
    </row>
    <row r="2847">
      <c r="A2847" s="56">
        <v>2844.0</v>
      </c>
      <c r="B2847" s="71"/>
      <c r="C2847" s="69" t="s">
        <v>11714</v>
      </c>
      <c r="D2847" s="71"/>
      <c r="E2847" s="68" t="s">
        <v>11715</v>
      </c>
      <c r="F2847" s="76">
        <v>42240.0</v>
      </c>
      <c r="G2847" s="68" t="s">
        <v>11716</v>
      </c>
      <c r="H2847" s="71"/>
      <c r="I2847" s="63" t="s">
        <v>635</v>
      </c>
      <c r="J2847" s="68" t="s">
        <v>9535</v>
      </c>
      <c r="K2847" s="71"/>
      <c r="L2847" s="71"/>
      <c r="M2847" s="68" t="s">
        <v>166</v>
      </c>
      <c r="N2847" s="61"/>
      <c r="O2847" s="51"/>
    </row>
    <row r="2848">
      <c r="A2848" s="56">
        <v>2845.0</v>
      </c>
      <c r="B2848" s="71"/>
      <c r="C2848" s="69" t="s">
        <v>11717</v>
      </c>
      <c r="D2848" s="71"/>
      <c r="E2848" s="68" t="s">
        <v>11718</v>
      </c>
      <c r="F2848" s="76">
        <v>39819.0</v>
      </c>
      <c r="G2848" s="68" t="s">
        <v>11719</v>
      </c>
      <c r="H2848" s="71"/>
      <c r="I2848" s="63" t="s">
        <v>11720</v>
      </c>
      <c r="J2848" s="68" t="s">
        <v>11721</v>
      </c>
      <c r="K2848" s="71"/>
      <c r="L2848" s="71"/>
      <c r="M2848" s="71"/>
      <c r="N2848" s="61"/>
      <c r="O2848" s="51"/>
    </row>
    <row r="2849">
      <c r="A2849" s="56">
        <v>2846.0</v>
      </c>
      <c r="B2849" s="71"/>
      <c r="C2849" s="69" t="s">
        <v>11722</v>
      </c>
      <c r="D2849" s="71"/>
      <c r="E2849" s="68" t="s">
        <v>11723</v>
      </c>
      <c r="F2849" s="83">
        <v>41924.0</v>
      </c>
      <c r="G2849" s="68" t="s">
        <v>11724</v>
      </c>
      <c r="H2849" s="71"/>
      <c r="I2849" s="63" t="s">
        <v>11725</v>
      </c>
      <c r="J2849" s="68" t="s">
        <v>11726</v>
      </c>
      <c r="K2849" s="71"/>
      <c r="L2849" s="71"/>
      <c r="M2849" s="68" t="s">
        <v>27</v>
      </c>
      <c r="N2849" s="61"/>
      <c r="O2849" s="51"/>
    </row>
    <row r="2850">
      <c r="A2850" s="56">
        <v>2847.0</v>
      </c>
      <c r="B2850" s="71"/>
      <c r="C2850" s="69" t="s">
        <v>11727</v>
      </c>
      <c r="D2850" s="71"/>
      <c r="E2850" s="68" t="s">
        <v>11728</v>
      </c>
      <c r="F2850" s="76">
        <v>42277.0</v>
      </c>
      <c r="G2850" s="68" t="s">
        <v>11729</v>
      </c>
      <c r="H2850" s="71"/>
      <c r="I2850" s="63" t="s">
        <v>11725</v>
      </c>
      <c r="J2850" s="68" t="s">
        <v>11730</v>
      </c>
      <c r="K2850" s="71"/>
      <c r="L2850" s="71"/>
      <c r="M2850" s="68" t="s">
        <v>166</v>
      </c>
      <c r="N2850" s="61"/>
      <c r="O2850" s="51"/>
    </row>
    <row r="2851">
      <c r="A2851" s="56">
        <v>2848.0</v>
      </c>
      <c r="B2851" s="71"/>
      <c r="C2851" s="69" t="s">
        <v>11731</v>
      </c>
      <c r="D2851" s="71"/>
      <c r="E2851" s="68" t="s">
        <v>11732</v>
      </c>
      <c r="F2851" s="76">
        <v>41778.0</v>
      </c>
      <c r="G2851" s="68" t="s">
        <v>11733</v>
      </c>
      <c r="H2851" s="71"/>
      <c r="I2851" s="63" t="s">
        <v>11734</v>
      </c>
      <c r="J2851" s="68" t="s">
        <v>11735</v>
      </c>
      <c r="K2851" s="71"/>
      <c r="L2851" s="71"/>
      <c r="M2851" s="71"/>
      <c r="N2851" s="61"/>
      <c r="O2851" s="51"/>
    </row>
    <row r="2852">
      <c r="A2852" s="56">
        <v>2849.0</v>
      </c>
      <c r="B2852" s="66"/>
      <c r="C2852" s="64" t="s">
        <v>11736</v>
      </c>
      <c r="D2852" s="66"/>
      <c r="E2852" s="63" t="s">
        <v>11737</v>
      </c>
      <c r="F2852" s="70">
        <v>40727.0</v>
      </c>
      <c r="G2852" s="63" t="s">
        <v>11738</v>
      </c>
      <c r="H2852" s="66"/>
      <c r="I2852" s="63" t="s">
        <v>11739</v>
      </c>
      <c r="J2852" s="66"/>
      <c r="K2852" s="66"/>
      <c r="L2852" s="66"/>
      <c r="M2852" s="66"/>
      <c r="N2852" s="61"/>
      <c r="O2852" s="51"/>
    </row>
    <row r="2853">
      <c r="A2853" s="56">
        <v>2850.0</v>
      </c>
      <c r="B2853" s="71"/>
      <c r="C2853" s="69" t="s">
        <v>11740</v>
      </c>
      <c r="D2853" s="71"/>
      <c r="E2853" s="68" t="s">
        <v>11741</v>
      </c>
      <c r="F2853" s="76">
        <v>41872.0</v>
      </c>
      <c r="G2853" s="68" t="s">
        <v>11742</v>
      </c>
      <c r="H2853" s="71"/>
      <c r="I2853" s="63" t="s">
        <v>11743</v>
      </c>
      <c r="J2853" s="68" t="s">
        <v>11744</v>
      </c>
      <c r="K2853" s="71"/>
      <c r="L2853" s="71"/>
      <c r="M2853" s="68" t="s">
        <v>2291</v>
      </c>
      <c r="N2853" s="61"/>
      <c r="O2853" s="51"/>
    </row>
    <row r="2854">
      <c r="A2854" s="56">
        <v>2851.0</v>
      </c>
      <c r="B2854" s="66"/>
      <c r="C2854" s="64" t="s">
        <v>11745</v>
      </c>
      <c r="D2854" s="66"/>
      <c r="E2854" s="63" t="s">
        <v>11746</v>
      </c>
      <c r="F2854" s="70">
        <v>41158.0</v>
      </c>
      <c r="G2854" s="63" t="s">
        <v>11747</v>
      </c>
      <c r="H2854" s="63" t="s">
        <v>439</v>
      </c>
      <c r="I2854" s="63" t="s">
        <v>11748</v>
      </c>
      <c r="J2854" s="63" t="s">
        <v>1872</v>
      </c>
      <c r="K2854" s="66"/>
      <c r="L2854" s="66"/>
      <c r="M2854" s="63" t="s">
        <v>530</v>
      </c>
      <c r="N2854" s="61"/>
      <c r="O2854" s="51"/>
    </row>
    <row r="2855">
      <c r="A2855" s="56">
        <v>2852.0</v>
      </c>
      <c r="B2855" s="71"/>
      <c r="C2855" s="69" t="s">
        <v>11749</v>
      </c>
      <c r="D2855" s="71"/>
      <c r="E2855" s="68" t="s">
        <v>11750</v>
      </c>
      <c r="F2855" s="76">
        <v>42166.0</v>
      </c>
      <c r="G2855" s="68" t="s">
        <v>11751</v>
      </c>
      <c r="H2855" s="71"/>
      <c r="I2855" s="63" t="s">
        <v>11752</v>
      </c>
      <c r="J2855" s="68" t="s">
        <v>11753</v>
      </c>
      <c r="K2855" s="71"/>
      <c r="L2855" s="71"/>
      <c r="M2855" s="68" t="s">
        <v>31</v>
      </c>
      <c r="N2855" s="61"/>
      <c r="O2855" s="51"/>
    </row>
    <row r="2856">
      <c r="A2856" s="56">
        <v>2853.0</v>
      </c>
      <c r="B2856" s="71"/>
      <c r="C2856" s="69" t="s">
        <v>11754</v>
      </c>
      <c r="D2856" s="71"/>
      <c r="E2856" s="68" t="s">
        <v>11755</v>
      </c>
      <c r="F2856" s="76">
        <v>42272.0</v>
      </c>
      <c r="G2856" s="68" t="s">
        <v>11756</v>
      </c>
      <c r="H2856" s="71"/>
      <c r="I2856" s="63" t="s">
        <v>635</v>
      </c>
      <c r="J2856" s="68" t="s">
        <v>9535</v>
      </c>
      <c r="K2856" s="71"/>
      <c r="L2856" s="71"/>
      <c r="M2856" s="68" t="s">
        <v>166</v>
      </c>
      <c r="N2856" s="61"/>
      <c r="O2856" s="51"/>
    </row>
    <row r="2857">
      <c r="A2857" s="56">
        <v>2854.0</v>
      </c>
      <c r="B2857" s="71"/>
      <c r="C2857" s="69" t="s">
        <v>11757</v>
      </c>
      <c r="D2857" s="71"/>
      <c r="E2857" s="68" t="s">
        <v>11758</v>
      </c>
      <c r="F2857" s="76">
        <v>42272.0</v>
      </c>
      <c r="G2857" s="68" t="s">
        <v>11759</v>
      </c>
      <c r="H2857" s="71"/>
      <c r="I2857" s="63" t="s">
        <v>635</v>
      </c>
      <c r="J2857" s="68" t="s">
        <v>9535</v>
      </c>
      <c r="K2857" s="71"/>
      <c r="L2857" s="71"/>
      <c r="M2857" s="68" t="s">
        <v>166</v>
      </c>
      <c r="N2857" s="61"/>
      <c r="O2857" s="51"/>
    </row>
    <row r="2858">
      <c r="A2858" s="56">
        <v>2855.0</v>
      </c>
      <c r="B2858" s="71"/>
      <c r="C2858" s="69" t="s">
        <v>11760</v>
      </c>
      <c r="D2858" s="71"/>
      <c r="E2858" s="68" t="s">
        <v>11761</v>
      </c>
      <c r="F2858" s="76">
        <v>42271.0</v>
      </c>
      <c r="G2858" s="68" t="s">
        <v>11762</v>
      </c>
      <c r="H2858" s="71"/>
      <c r="I2858" s="63" t="s">
        <v>635</v>
      </c>
      <c r="J2858" s="68" t="s">
        <v>9535</v>
      </c>
      <c r="K2858" s="71"/>
      <c r="L2858" s="71"/>
      <c r="M2858" s="68" t="s">
        <v>166</v>
      </c>
      <c r="N2858" s="61"/>
      <c r="O2858" s="51"/>
    </row>
    <row r="2859">
      <c r="A2859" s="56">
        <v>2856.0</v>
      </c>
      <c r="B2859" s="71"/>
      <c r="C2859" s="69" t="s">
        <v>11763</v>
      </c>
      <c r="D2859" s="71"/>
      <c r="E2859" s="68" t="s">
        <v>11764</v>
      </c>
      <c r="F2859" s="76">
        <v>42264.0</v>
      </c>
      <c r="G2859" s="68" t="s">
        <v>11765</v>
      </c>
      <c r="H2859" s="71"/>
      <c r="I2859" s="63" t="s">
        <v>635</v>
      </c>
      <c r="J2859" s="68" t="s">
        <v>9535</v>
      </c>
      <c r="K2859" s="71"/>
      <c r="L2859" s="71"/>
      <c r="M2859" s="68" t="s">
        <v>166</v>
      </c>
      <c r="N2859" s="61"/>
      <c r="O2859" s="51"/>
    </row>
    <row r="2860">
      <c r="A2860" s="56">
        <v>2857.0</v>
      </c>
      <c r="B2860" s="71"/>
      <c r="C2860" s="69" t="s">
        <v>11766</v>
      </c>
      <c r="D2860" s="71"/>
      <c r="E2860" s="68" t="s">
        <v>11767</v>
      </c>
      <c r="F2860" s="76">
        <v>42250.0</v>
      </c>
      <c r="G2860" s="68" t="s">
        <v>11768</v>
      </c>
      <c r="H2860" s="71"/>
      <c r="I2860" s="63" t="s">
        <v>11769</v>
      </c>
      <c r="J2860" s="68" t="s">
        <v>9535</v>
      </c>
      <c r="K2860" s="71"/>
      <c r="L2860" s="71"/>
      <c r="M2860" s="68" t="s">
        <v>166</v>
      </c>
      <c r="N2860" s="61"/>
      <c r="O2860" s="51"/>
    </row>
    <row r="2861">
      <c r="A2861" s="56">
        <v>2858.0</v>
      </c>
      <c r="B2861" s="71"/>
      <c r="C2861" s="69" t="s">
        <v>11770</v>
      </c>
      <c r="D2861" s="71"/>
      <c r="E2861" s="68" t="s">
        <v>11771</v>
      </c>
      <c r="F2861" s="76">
        <v>42250.0</v>
      </c>
      <c r="G2861" s="68" t="s">
        <v>11772</v>
      </c>
      <c r="H2861" s="71"/>
      <c r="I2861" s="63" t="s">
        <v>635</v>
      </c>
      <c r="J2861" s="68" t="s">
        <v>6778</v>
      </c>
      <c r="K2861" s="71"/>
      <c r="L2861" s="71"/>
      <c r="M2861" s="104"/>
      <c r="N2861" s="105"/>
      <c r="O2861" s="51"/>
    </row>
    <row r="2862">
      <c r="A2862" s="56">
        <v>2859.0</v>
      </c>
      <c r="B2862" s="71"/>
      <c r="C2862" s="69" t="s">
        <v>11773</v>
      </c>
      <c r="D2862" s="71"/>
      <c r="E2862" s="68" t="s">
        <v>11774</v>
      </c>
      <c r="F2862" s="76">
        <v>42248.0</v>
      </c>
      <c r="G2862" s="68" t="s">
        <v>11775</v>
      </c>
      <c r="H2862" s="71"/>
      <c r="I2862" s="63" t="s">
        <v>11776</v>
      </c>
      <c r="J2862" s="68" t="s">
        <v>11777</v>
      </c>
      <c r="K2862" s="71"/>
      <c r="L2862" s="71"/>
      <c r="M2862" s="128" t="s">
        <v>166</v>
      </c>
      <c r="N2862" s="61"/>
      <c r="O2862" s="51"/>
    </row>
    <row r="2863">
      <c r="A2863" s="56">
        <v>2860.0</v>
      </c>
      <c r="B2863" s="71"/>
      <c r="C2863" s="69" t="s">
        <v>11778</v>
      </c>
      <c r="D2863" s="71"/>
      <c r="E2863" s="68" t="s">
        <v>11779</v>
      </c>
      <c r="F2863" s="76">
        <v>42245.0</v>
      </c>
      <c r="G2863" s="68" t="s">
        <v>11780</v>
      </c>
      <c r="H2863" s="71"/>
      <c r="I2863" s="63" t="s">
        <v>11781</v>
      </c>
      <c r="J2863" s="68" t="s">
        <v>9535</v>
      </c>
      <c r="K2863" s="71"/>
      <c r="L2863" s="71"/>
      <c r="M2863" s="68" t="s">
        <v>166</v>
      </c>
      <c r="N2863" s="61"/>
      <c r="O2863" s="51"/>
    </row>
    <row r="2864">
      <c r="A2864" s="56">
        <v>2861.0</v>
      </c>
      <c r="B2864" s="66"/>
      <c r="C2864" s="64" t="s">
        <v>11782</v>
      </c>
      <c r="D2864" s="66"/>
      <c r="E2864" s="63" t="s">
        <v>11783</v>
      </c>
      <c r="F2864" s="70">
        <v>42242.0</v>
      </c>
      <c r="G2864" s="63" t="s">
        <v>11784</v>
      </c>
      <c r="H2864" s="66"/>
      <c r="I2864" s="63" t="s">
        <v>11785</v>
      </c>
      <c r="J2864" s="63" t="s">
        <v>9979</v>
      </c>
      <c r="K2864" s="66"/>
      <c r="L2864" s="63" t="s">
        <v>11786</v>
      </c>
      <c r="M2864" s="63" t="s">
        <v>166</v>
      </c>
      <c r="N2864" s="61"/>
      <c r="O2864" s="51"/>
    </row>
    <row r="2865">
      <c r="A2865" s="56">
        <v>2862.0</v>
      </c>
      <c r="B2865" s="71"/>
      <c r="C2865" s="69" t="s">
        <v>11787</v>
      </c>
      <c r="D2865" s="71"/>
      <c r="E2865" s="68" t="s">
        <v>11788</v>
      </c>
      <c r="F2865" s="76">
        <v>42233.0</v>
      </c>
      <c r="G2865" s="68" t="s">
        <v>11789</v>
      </c>
      <c r="H2865" s="71"/>
      <c r="I2865" s="68" t="s">
        <v>11790</v>
      </c>
      <c r="J2865" s="68" t="s">
        <v>11791</v>
      </c>
      <c r="K2865" s="71"/>
      <c r="L2865" s="71"/>
      <c r="M2865" s="68" t="s">
        <v>166</v>
      </c>
      <c r="N2865" s="77"/>
      <c r="O2865" s="51"/>
    </row>
    <row r="2866">
      <c r="A2866" s="56">
        <v>2863.0</v>
      </c>
      <c r="B2866" s="71"/>
      <c r="C2866" s="69" t="s">
        <v>11792</v>
      </c>
      <c r="D2866" s="71"/>
      <c r="E2866" s="68" t="s">
        <v>11793</v>
      </c>
      <c r="F2866" s="76">
        <v>42231.0</v>
      </c>
      <c r="G2866" s="68" t="s">
        <v>11794</v>
      </c>
      <c r="H2866" s="71"/>
      <c r="I2866" s="63" t="s">
        <v>635</v>
      </c>
      <c r="J2866" s="68" t="s">
        <v>9535</v>
      </c>
      <c r="K2866" s="71"/>
      <c r="L2866" s="71"/>
      <c r="M2866" s="68" t="s">
        <v>166</v>
      </c>
      <c r="N2866" s="61"/>
      <c r="O2866" s="51"/>
    </row>
    <row r="2867">
      <c r="A2867" s="56">
        <v>2864.0</v>
      </c>
      <c r="B2867" s="66"/>
      <c r="C2867" s="64" t="s">
        <v>11795</v>
      </c>
      <c r="D2867" s="66"/>
      <c r="E2867" s="63" t="s">
        <v>11796</v>
      </c>
      <c r="F2867" s="70">
        <v>42163.0</v>
      </c>
      <c r="G2867" s="63" t="s">
        <v>11797</v>
      </c>
      <c r="H2867" s="66"/>
      <c r="I2867" s="63" t="s">
        <v>11798</v>
      </c>
      <c r="J2867" s="63" t="s">
        <v>9979</v>
      </c>
      <c r="K2867" s="66"/>
      <c r="L2867" s="66"/>
      <c r="M2867" s="63" t="s">
        <v>166</v>
      </c>
      <c r="N2867" s="61"/>
      <c r="O2867" s="51"/>
    </row>
    <row r="2868">
      <c r="A2868" s="56">
        <v>2865.0</v>
      </c>
      <c r="B2868" s="71"/>
      <c r="C2868" s="69" t="s">
        <v>11799</v>
      </c>
      <c r="D2868" s="71"/>
      <c r="E2868" s="68" t="s">
        <v>11800</v>
      </c>
      <c r="F2868" s="76">
        <v>42162.0</v>
      </c>
      <c r="G2868" s="68" t="s">
        <v>11801</v>
      </c>
      <c r="H2868" s="71"/>
      <c r="I2868" s="66"/>
      <c r="J2868" s="68" t="s">
        <v>11802</v>
      </c>
      <c r="K2868" s="71"/>
      <c r="L2868" s="71"/>
      <c r="M2868" s="68" t="s">
        <v>166</v>
      </c>
      <c r="N2868" s="61"/>
      <c r="O2868" s="51"/>
    </row>
    <row r="2869">
      <c r="A2869" s="56">
        <v>2866.0</v>
      </c>
      <c r="B2869" s="71"/>
      <c r="C2869" s="69" t="s">
        <v>11803</v>
      </c>
      <c r="D2869" s="71"/>
      <c r="E2869" s="68" t="s">
        <v>11804</v>
      </c>
      <c r="F2869" s="76">
        <v>42207.0</v>
      </c>
      <c r="G2869" s="68" t="s">
        <v>11805</v>
      </c>
      <c r="H2869" s="71"/>
      <c r="I2869" s="63" t="s">
        <v>635</v>
      </c>
      <c r="J2869" s="68" t="s">
        <v>9535</v>
      </c>
      <c r="K2869" s="71"/>
      <c r="L2869" s="71"/>
      <c r="M2869" s="68" t="s">
        <v>166</v>
      </c>
      <c r="N2869" s="61"/>
      <c r="O2869" s="51"/>
    </row>
    <row r="2870">
      <c r="A2870" s="56">
        <v>2867.0</v>
      </c>
      <c r="B2870" s="66"/>
      <c r="C2870" s="64" t="s">
        <v>11806</v>
      </c>
      <c r="D2870" s="66"/>
      <c r="E2870" s="63" t="s">
        <v>11807</v>
      </c>
      <c r="F2870" s="70">
        <v>41688.0</v>
      </c>
      <c r="G2870" s="63" t="s">
        <v>11808</v>
      </c>
      <c r="H2870" s="66"/>
      <c r="I2870" s="63" t="s">
        <v>11809</v>
      </c>
      <c r="J2870" s="63" t="s">
        <v>2872</v>
      </c>
      <c r="K2870" s="66"/>
      <c r="L2870" s="66"/>
      <c r="M2870" s="63" t="s">
        <v>125</v>
      </c>
      <c r="N2870" s="61"/>
      <c r="O2870" s="51"/>
    </row>
    <row r="2871">
      <c r="A2871" s="56">
        <v>2868.0</v>
      </c>
      <c r="B2871" s="71"/>
      <c r="C2871" s="69" t="s">
        <v>11810</v>
      </c>
      <c r="D2871" s="71"/>
      <c r="E2871" s="68" t="s">
        <v>11811</v>
      </c>
      <c r="F2871" s="68">
        <v>2009.0</v>
      </c>
      <c r="G2871" s="68" t="s">
        <v>11812</v>
      </c>
      <c r="H2871" s="71"/>
      <c r="I2871" s="66"/>
      <c r="J2871" s="68" t="s">
        <v>11813</v>
      </c>
      <c r="K2871" s="71"/>
      <c r="L2871" s="71"/>
      <c r="M2871" s="71"/>
      <c r="N2871" s="61"/>
      <c r="O2871" s="51"/>
    </row>
    <row r="2872">
      <c r="A2872" s="56">
        <v>2869.0</v>
      </c>
      <c r="B2872" s="71"/>
      <c r="C2872" s="69" t="s">
        <v>11814</v>
      </c>
      <c r="D2872" s="71"/>
      <c r="E2872" s="68" t="s">
        <v>11815</v>
      </c>
      <c r="F2872" s="76">
        <v>42098.0</v>
      </c>
      <c r="G2872" s="68" t="s">
        <v>11816</v>
      </c>
      <c r="H2872" s="71"/>
      <c r="I2872" s="63" t="s">
        <v>11817</v>
      </c>
      <c r="J2872" s="68" t="s">
        <v>9535</v>
      </c>
      <c r="K2872" s="71"/>
      <c r="L2872" s="71"/>
      <c r="M2872" s="71"/>
      <c r="N2872" s="61"/>
      <c r="O2872" s="51"/>
    </row>
    <row r="2873">
      <c r="A2873" s="56">
        <v>2870.0</v>
      </c>
      <c r="B2873" s="60"/>
      <c r="C2873" s="58" t="s">
        <v>11818</v>
      </c>
      <c r="D2873" s="60"/>
      <c r="E2873" s="57" t="s">
        <v>11819</v>
      </c>
      <c r="F2873" s="59">
        <v>42098.0</v>
      </c>
      <c r="G2873" s="57" t="s">
        <v>11820</v>
      </c>
      <c r="H2873" s="60"/>
      <c r="I2873" s="57" t="s">
        <v>11817</v>
      </c>
      <c r="J2873" s="57" t="s">
        <v>11821</v>
      </c>
      <c r="K2873" s="60"/>
      <c r="L2873" s="60"/>
      <c r="M2873" s="57" t="s">
        <v>11822</v>
      </c>
      <c r="N2873" s="112"/>
      <c r="O2873" s="51"/>
    </row>
    <row r="2874">
      <c r="A2874" s="56">
        <v>2871.0</v>
      </c>
      <c r="B2874" s="60"/>
      <c r="C2874" s="58" t="s">
        <v>11823</v>
      </c>
      <c r="D2874" s="60"/>
      <c r="E2874" s="57" t="s">
        <v>11824</v>
      </c>
      <c r="F2874" s="59">
        <v>42244.0</v>
      </c>
      <c r="G2874" s="57" t="s">
        <v>11825</v>
      </c>
      <c r="H2874" s="60"/>
      <c r="I2874" s="63" t="s">
        <v>11826</v>
      </c>
      <c r="J2874" s="57" t="s">
        <v>11827</v>
      </c>
      <c r="K2874" s="60"/>
      <c r="L2874" s="60"/>
      <c r="M2874" s="60"/>
      <c r="N2874" s="61"/>
      <c r="O2874" s="51"/>
    </row>
    <row r="2875">
      <c r="A2875" s="56">
        <v>2872.0</v>
      </c>
      <c r="B2875" s="60"/>
      <c r="C2875" s="58" t="s">
        <v>11828</v>
      </c>
      <c r="D2875" s="60"/>
      <c r="E2875" s="57" t="s">
        <v>11829</v>
      </c>
      <c r="F2875" s="185">
        <v>40909.0</v>
      </c>
      <c r="G2875" s="57" t="s">
        <v>11830</v>
      </c>
      <c r="H2875" s="60"/>
      <c r="I2875" s="63" t="s">
        <v>11831</v>
      </c>
      <c r="J2875" s="57" t="s">
        <v>11832</v>
      </c>
      <c r="K2875" s="60"/>
      <c r="L2875" s="60"/>
      <c r="M2875" s="60"/>
      <c r="N2875" s="61"/>
      <c r="O2875" s="51"/>
    </row>
    <row r="2876">
      <c r="A2876" s="56">
        <v>2873.0</v>
      </c>
      <c r="B2876" s="66"/>
      <c r="C2876" s="64" t="s">
        <v>11833</v>
      </c>
      <c r="D2876" s="63" t="s">
        <v>11834</v>
      </c>
      <c r="E2876" s="63" t="s">
        <v>11835</v>
      </c>
      <c r="F2876" s="70">
        <v>40318.0</v>
      </c>
      <c r="G2876" s="63" t="s">
        <v>11836</v>
      </c>
      <c r="H2876" s="66"/>
      <c r="I2876" s="63" t="s">
        <v>11837</v>
      </c>
      <c r="J2876" s="63" t="s">
        <v>11838</v>
      </c>
      <c r="K2876" s="66"/>
      <c r="L2876" s="66"/>
      <c r="M2876" s="63" t="s">
        <v>2989</v>
      </c>
      <c r="N2876" s="61"/>
      <c r="O2876" s="51"/>
    </row>
    <row r="2877">
      <c r="A2877" s="56">
        <v>2874.0</v>
      </c>
      <c r="B2877" s="71"/>
      <c r="C2877" s="69" t="s">
        <v>11839</v>
      </c>
      <c r="D2877" s="68" t="s">
        <v>11840</v>
      </c>
      <c r="E2877" s="68" t="s">
        <v>11841</v>
      </c>
      <c r="F2877" s="76">
        <v>41644.0</v>
      </c>
      <c r="G2877" s="68" t="s">
        <v>11842</v>
      </c>
      <c r="H2877" s="71"/>
      <c r="I2877" s="63" t="s">
        <v>11843</v>
      </c>
      <c r="J2877" s="68" t="s">
        <v>11844</v>
      </c>
      <c r="K2877" s="71"/>
      <c r="L2877" s="71"/>
      <c r="M2877" s="68" t="s">
        <v>941</v>
      </c>
      <c r="N2877" s="61"/>
      <c r="O2877" s="51"/>
    </row>
    <row r="2878">
      <c r="A2878" s="56">
        <v>2875.0</v>
      </c>
      <c r="B2878" s="66"/>
      <c r="C2878" s="64" t="s">
        <v>11845</v>
      </c>
      <c r="D2878" s="66"/>
      <c r="E2878" s="63" t="s">
        <v>11846</v>
      </c>
      <c r="F2878" s="70">
        <v>40247.0</v>
      </c>
      <c r="G2878" s="63" t="s">
        <v>11847</v>
      </c>
      <c r="H2878" s="66"/>
      <c r="I2878" s="63" t="s">
        <v>11848</v>
      </c>
      <c r="J2878" s="63" t="s">
        <v>11849</v>
      </c>
      <c r="K2878" s="66"/>
      <c r="L2878" s="66"/>
      <c r="M2878" s="63" t="s">
        <v>7530</v>
      </c>
      <c r="N2878" s="61"/>
      <c r="O2878" s="51"/>
    </row>
    <row r="2879">
      <c r="A2879" s="56">
        <v>2876.0</v>
      </c>
      <c r="B2879" s="71"/>
      <c r="C2879" s="69" t="s">
        <v>11850</v>
      </c>
      <c r="D2879" s="71"/>
      <c r="E2879" s="68" t="s">
        <v>11851</v>
      </c>
      <c r="F2879" s="76">
        <v>42094.0</v>
      </c>
      <c r="G2879" s="68" t="s">
        <v>11852</v>
      </c>
      <c r="H2879" s="71"/>
      <c r="I2879" s="68" t="s">
        <v>11853</v>
      </c>
      <c r="J2879" s="68" t="s">
        <v>11854</v>
      </c>
      <c r="K2879" s="71"/>
      <c r="L2879" s="68" t="s">
        <v>11855</v>
      </c>
      <c r="M2879" s="68" t="s">
        <v>5707</v>
      </c>
      <c r="N2879" s="77"/>
      <c r="O2879" s="51"/>
    </row>
    <row r="2880">
      <c r="A2880" s="56">
        <v>2877.0</v>
      </c>
      <c r="B2880" s="71"/>
      <c r="C2880" s="69" t="s">
        <v>11856</v>
      </c>
      <c r="D2880" s="71"/>
      <c r="E2880" s="68" t="s">
        <v>11857</v>
      </c>
      <c r="F2880" s="76">
        <v>42128.0</v>
      </c>
      <c r="G2880" s="68" t="s">
        <v>11858</v>
      </c>
      <c r="H2880" s="71"/>
      <c r="I2880" s="68" t="s">
        <v>11859</v>
      </c>
      <c r="J2880" s="68" t="s">
        <v>11860</v>
      </c>
      <c r="K2880" s="71"/>
      <c r="L2880" s="71"/>
      <c r="M2880" s="68" t="s">
        <v>4273</v>
      </c>
      <c r="N2880" s="77"/>
      <c r="O2880" s="51"/>
    </row>
    <row r="2881">
      <c r="A2881" s="56">
        <v>2878.0</v>
      </c>
      <c r="B2881" s="71"/>
      <c r="C2881" s="69" t="s">
        <v>11861</v>
      </c>
      <c r="D2881" s="71"/>
      <c r="E2881" s="68" t="s">
        <v>11862</v>
      </c>
      <c r="F2881" s="76">
        <v>41151.0</v>
      </c>
      <c r="G2881" s="68" t="s">
        <v>11863</v>
      </c>
      <c r="H2881" s="71"/>
      <c r="I2881" s="63" t="s">
        <v>11864</v>
      </c>
      <c r="J2881" s="68" t="s">
        <v>11865</v>
      </c>
      <c r="K2881" s="71"/>
      <c r="L2881" s="71"/>
      <c r="M2881" s="68" t="s">
        <v>125</v>
      </c>
      <c r="N2881" s="61"/>
      <c r="O2881" s="51"/>
    </row>
    <row r="2882">
      <c r="A2882" s="56">
        <v>2879.0</v>
      </c>
      <c r="B2882" s="71"/>
      <c r="C2882" s="69" t="s">
        <v>11866</v>
      </c>
      <c r="D2882" s="71"/>
      <c r="E2882" s="68" t="s">
        <v>11867</v>
      </c>
      <c r="F2882" s="83">
        <v>42319.0</v>
      </c>
      <c r="G2882" s="68" t="s">
        <v>11868</v>
      </c>
      <c r="H2882" s="71"/>
      <c r="I2882" s="68" t="s">
        <v>11869</v>
      </c>
      <c r="J2882" s="68" t="s">
        <v>11870</v>
      </c>
      <c r="K2882" s="71"/>
      <c r="L2882" s="71"/>
      <c r="M2882" s="68" t="s">
        <v>2748</v>
      </c>
      <c r="N2882" s="77"/>
      <c r="O2882" s="51"/>
    </row>
    <row r="2883">
      <c r="A2883" s="56">
        <v>2880.0</v>
      </c>
      <c r="B2883" s="66"/>
      <c r="C2883" s="64" t="s">
        <v>11871</v>
      </c>
      <c r="D2883" s="66"/>
      <c r="E2883" s="63" t="s">
        <v>11872</v>
      </c>
      <c r="F2883" s="70">
        <v>41171.0</v>
      </c>
      <c r="G2883" s="63" t="s">
        <v>11873</v>
      </c>
      <c r="H2883" s="66"/>
      <c r="I2883" s="63" t="s">
        <v>11874</v>
      </c>
      <c r="J2883" s="63" t="s">
        <v>9403</v>
      </c>
      <c r="K2883" s="66"/>
      <c r="L2883" s="63" t="s">
        <v>11875</v>
      </c>
      <c r="M2883" s="63" t="s">
        <v>125</v>
      </c>
      <c r="N2883" s="61"/>
      <c r="O2883" s="51"/>
    </row>
    <row r="2884">
      <c r="A2884" s="56">
        <v>2881.0</v>
      </c>
      <c r="B2884" s="66"/>
      <c r="C2884" s="64" t="s">
        <v>11876</v>
      </c>
      <c r="D2884" s="66"/>
      <c r="E2884" s="63" t="s">
        <v>11877</v>
      </c>
      <c r="F2884" s="63">
        <v>2009.0</v>
      </c>
      <c r="G2884" s="63" t="s">
        <v>11878</v>
      </c>
      <c r="H2884" s="66"/>
      <c r="I2884" s="63" t="s">
        <v>11879</v>
      </c>
      <c r="J2884" s="63" t="s">
        <v>7988</v>
      </c>
      <c r="K2884" s="66"/>
      <c r="L2884" s="66"/>
      <c r="M2884" s="63" t="s">
        <v>530</v>
      </c>
      <c r="N2884" s="61"/>
      <c r="O2884" s="51"/>
    </row>
    <row r="2885">
      <c r="A2885" s="56">
        <v>2882.0</v>
      </c>
      <c r="B2885" s="71"/>
      <c r="C2885" s="69" t="s">
        <v>11880</v>
      </c>
      <c r="D2885" s="71"/>
      <c r="E2885" s="68" t="s">
        <v>11881</v>
      </c>
      <c r="F2885" s="76">
        <v>42230.0</v>
      </c>
      <c r="G2885" s="68" t="s">
        <v>11882</v>
      </c>
      <c r="H2885" s="71"/>
      <c r="I2885" s="63" t="s">
        <v>11883</v>
      </c>
      <c r="J2885" s="68" t="s">
        <v>11884</v>
      </c>
      <c r="K2885" s="71"/>
      <c r="L2885" s="71"/>
      <c r="M2885" s="71"/>
      <c r="N2885" s="61"/>
      <c r="O2885" s="51"/>
    </row>
    <row r="2886">
      <c r="A2886" s="56">
        <v>2883.0</v>
      </c>
      <c r="B2886" s="71"/>
      <c r="C2886" s="69" t="s">
        <v>11885</v>
      </c>
      <c r="D2886" s="71"/>
      <c r="E2886" s="68" t="s">
        <v>11886</v>
      </c>
      <c r="F2886" s="83">
        <v>42296.0</v>
      </c>
      <c r="G2886" s="68" t="s">
        <v>11887</v>
      </c>
      <c r="H2886" s="71"/>
      <c r="I2886" s="63" t="s">
        <v>11888</v>
      </c>
      <c r="J2886" s="68" t="s">
        <v>11889</v>
      </c>
      <c r="K2886" s="71"/>
      <c r="L2886" s="71"/>
      <c r="M2886" s="71"/>
      <c r="N2886" s="61"/>
      <c r="O2886" s="51"/>
    </row>
    <row r="2887">
      <c r="A2887" s="56">
        <v>2884.0</v>
      </c>
      <c r="B2887" s="66"/>
      <c r="C2887" s="64" t="s">
        <v>11890</v>
      </c>
      <c r="D2887" s="66"/>
      <c r="E2887" s="63" t="s">
        <v>11891</v>
      </c>
      <c r="F2887" s="65">
        <v>42096.0</v>
      </c>
      <c r="G2887" s="63" t="s">
        <v>11892</v>
      </c>
      <c r="H2887" s="66"/>
      <c r="I2887" s="63" t="s">
        <v>11893</v>
      </c>
      <c r="J2887" s="63" t="s">
        <v>7988</v>
      </c>
      <c r="K2887" s="66"/>
      <c r="L2887" s="66"/>
      <c r="M2887" s="63" t="s">
        <v>530</v>
      </c>
      <c r="N2887" s="61"/>
      <c r="O2887" s="51"/>
    </row>
    <row r="2888">
      <c r="A2888" s="56">
        <v>2885.0</v>
      </c>
      <c r="B2888" s="60"/>
      <c r="C2888" s="58" t="s">
        <v>11894</v>
      </c>
      <c r="D2888" s="60"/>
      <c r="E2888" s="57" t="s">
        <v>11895</v>
      </c>
      <c r="F2888" s="59">
        <v>42262.0</v>
      </c>
      <c r="G2888" s="57" t="s">
        <v>11896</v>
      </c>
      <c r="H2888" s="60"/>
      <c r="I2888" s="63" t="s">
        <v>11897</v>
      </c>
      <c r="J2888" s="57" t="s">
        <v>11898</v>
      </c>
      <c r="K2888" s="60"/>
      <c r="L2888" s="60"/>
      <c r="M2888" s="60"/>
      <c r="N2888" s="61"/>
      <c r="O2888" s="51"/>
    </row>
    <row r="2889">
      <c r="A2889" s="56">
        <v>2886.0</v>
      </c>
      <c r="B2889" s="71"/>
      <c r="C2889" s="69" t="s">
        <v>11899</v>
      </c>
      <c r="D2889" s="71"/>
      <c r="E2889" s="68" t="s">
        <v>11900</v>
      </c>
      <c r="F2889" s="76">
        <v>42157.0</v>
      </c>
      <c r="G2889" s="68" t="s">
        <v>11901</v>
      </c>
      <c r="H2889" s="71"/>
      <c r="I2889" s="68" t="s">
        <v>11902</v>
      </c>
      <c r="J2889" s="68" t="s">
        <v>11903</v>
      </c>
      <c r="K2889" s="71"/>
      <c r="L2889" s="71"/>
      <c r="M2889" s="68" t="s">
        <v>143</v>
      </c>
      <c r="N2889" s="77"/>
      <c r="O2889" s="51"/>
    </row>
    <row r="2890">
      <c r="A2890" s="56">
        <v>2887.0</v>
      </c>
      <c r="B2890" s="71"/>
      <c r="C2890" s="69" t="s">
        <v>11904</v>
      </c>
      <c r="D2890" s="71"/>
      <c r="E2890" s="68" t="s">
        <v>11905</v>
      </c>
      <c r="F2890" s="76">
        <v>42234.0</v>
      </c>
      <c r="G2890" s="68" t="s">
        <v>11906</v>
      </c>
      <c r="H2890" s="71"/>
      <c r="I2890" s="68" t="s">
        <v>11907</v>
      </c>
      <c r="J2890" s="68" t="s">
        <v>11908</v>
      </c>
      <c r="K2890" s="71"/>
      <c r="L2890" s="71"/>
      <c r="M2890" s="68" t="s">
        <v>166</v>
      </c>
      <c r="N2890" s="77"/>
      <c r="O2890" s="51"/>
    </row>
    <row r="2891">
      <c r="A2891" s="56">
        <v>2888.0</v>
      </c>
      <c r="B2891" s="71"/>
      <c r="C2891" s="69" t="s">
        <v>11909</v>
      </c>
      <c r="D2891" s="68" t="s">
        <v>11910</v>
      </c>
      <c r="E2891" s="68" t="s">
        <v>11911</v>
      </c>
      <c r="F2891" s="76">
        <v>42151.0</v>
      </c>
      <c r="G2891" s="68" t="s">
        <v>11912</v>
      </c>
      <c r="H2891" s="71"/>
      <c r="I2891" s="63" t="s">
        <v>635</v>
      </c>
      <c r="J2891" s="68" t="s">
        <v>11913</v>
      </c>
      <c r="K2891" s="71"/>
      <c r="L2891" s="71"/>
      <c r="M2891" s="71"/>
      <c r="N2891" s="61"/>
      <c r="O2891" s="51"/>
    </row>
    <row r="2892">
      <c r="A2892" s="56">
        <v>2889.0</v>
      </c>
      <c r="B2892" s="71"/>
      <c r="C2892" s="69" t="s">
        <v>11914</v>
      </c>
      <c r="D2892" s="68" t="s">
        <v>11915</v>
      </c>
      <c r="E2892" s="68" t="s">
        <v>11916</v>
      </c>
      <c r="F2892" s="76">
        <v>41743.0</v>
      </c>
      <c r="G2892" s="68" t="s">
        <v>11917</v>
      </c>
      <c r="H2892" s="71"/>
      <c r="I2892" s="63" t="s">
        <v>635</v>
      </c>
      <c r="J2892" s="68" t="s">
        <v>2675</v>
      </c>
      <c r="K2892" s="71"/>
      <c r="L2892" s="71"/>
      <c r="M2892" s="104"/>
      <c r="N2892" s="105"/>
      <c r="O2892" s="51"/>
    </row>
    <row r="2893">
      <c r="A2893" s="56">
        <v>2890.0</v>
      </c>
      <c r="B2893" s="71"/>
      <c r="C2893" s="69" t="s">
        <v>11918</v>
      </c>
      <c r="D2893" s="68" t="s">
        <v>11919</v>
      </c>
      <c r="E2893" s="68" t="s">
        <v>11920</v>
      </c>
      <c r="F2893" s="76">
        <v>42264.0</v>
      </c>
      <c r="G2893" s="68" t="s">
        <v>11921</v>
      </c>
      <c r="H2893" s="71"/>
      <c r="I2893" s="63" t="s">
        <v>635</v>
      </c>
      <c r="J2893" s="68" t="s">
        <v>9535</v>
      </c>
      <c r="K2893" s="71"/>
      <c r="L2893" s="71"/>
      <c r="M2893" s="128" t="s">
        <v>166</v>
      </c>
      <c r="N2893" s="61"/>
      <c r="O2893" s="51"/>
    </row>
    <row r="2894">
      <c r="A2894" s="56">
        <v>2891.0</v>
      </c>
      <c r="B2894" s="71"/>
      <c r="C2894" s="69" t="s">
        <v>11922</v>
      </c>
      <c r="D2894" s="68" t="s">
        <v>11923</v>
      </c>
      <c r="E2894" s="68" t="s">
        <v>11924</v>
      </c>
      <c r="F2894" s="76">
        <v>41112.0</v>
      </c>
      <c r="G2894" s="68" t="s">
        <v>11925</v>
      </c>
      <c r="H2894" s="71"/>
      <c r="I2894" s="63" t="s">
        <v>635</v>
      </c>
      <c r="J2894" s="68" t="s">
        <v>11926</v>
      </c>
      <c r="K2894" s="71"/>
      <c r="L2894" s="71"/>
      <c r="M2894" s="68" t="s">
        <v>201</v>
      </c>
      <c r="N2894" s="61"/>
      <c r="O2894" s="51"/>
    </row>
    <row r="2895">
      <c r="A2895" s="56">
        <v>2892.0</v>
      </c>
      <c r="B2895" s="71"/>
      <c r="C2895" s="69" t="s">
        <v>11927</v>
      </c>
      <c r="D2895" s="71"/>
      <c r="E2895" s="68" t="s">
        <v>11928</v>
      </c>
      <c r="F2895" s="76">
        <v>42268.0</v>
      </c>
      <c r="G2895" s="71"/>
      <c r="H2895" s="71"/>
      <c r="I2895" s="63" t="s">
        <v>635</v>
      </c>
      <c r="J2895" s="68" t="s">
        <v>11584</v>
      </c>
      <c r="K2895" s="71"/>
      <c r="L2895" s="71"/>
      <c r="M2895" s="68" t="s">
        <v>166</v>
      </c>
      <c r="N2895" s="61"/>
      <c r="O2895" s="51"/>
    </row>
    <row r="2896">
      <c r="A2896" s="56">
        <v>2893.0</v>
      </c>
      <c r="B2896" s="71"/>
      <c r="C2896" s="69" t="s">
        <v>11929</v>
      </c>
      <c r="D2896" s="71"/>
      <c r="E2896" s="68" t="s">
        <v>11930</v>
      </c>
      <c r="F2896" s="76">
        <v>42268.0</v>
      </c>
      <c r="G2896" s="68" t="s">
        <v>11931</v>
      </c>
      <c r="H2896" s="71"/>
      <c r="I2896" s="68" t="s">
        <v>11932</v>
      </c>
      <c r="J2896" s="68" t="s">
        <v>11933</v>
      </c>
      <c r="K2896" s="71"/>
      <c r="L2896" s="71"/>
      <c r="M2896" s="68" t="s">
        <v>166</v>
      </c>
      <c r="N2896" s="77"/>
      <c r="O2896" s="51"/>
    </row>
    <row r="2897">
      <c r="A2897" s="56">
        <v>2894.0</v>
      </c>
      <c r="B2897" s="71"/>
      <c r="C2897" s="69" t="s">
        <v>11934</v>
      </c>
      <c r="D2897" s="71"/>
      <c r="E2897" s="68" t="s">
        <v>11935</v>
      </c>
      <c r="F2897" s="76">
        <v>42268.0</v>
      </c>
      <c r="G2897" s="68" t="s">
        <v>11936</v>
      </c>
      <c r="H2897" s="71"/>
      <c r="I2897" s="63" t="s">
        <v>635</v>
      </c>
      <c r="J2897" s="68" t="s">
        <v>9535</v>
      </c>
      <c r="K2897" s="71"/>
      <c r="L2897" s="71"/>
      <c r="M2897" s="68" t="s">
        <v>166</v>
      </c>
      <c r="N2897" s="61"/>
      <c r="O2897" s="51"/>
    </row>
    <row r="2898">
      <c r="A2898" s="56">
        <v>2895.0</v>
      </c>
      <c r="B2898" s="71"/>
      <c r="C2898" s="69" t="s">
        <v>11937</v>
      </c>
      <c r="D2898" s="71"/>
      <c r="E2898" s="68" t="s">
        <v>11938</v>
      </c>
      <c r="F2898" s="76">
        <v>42270.0</v>
      </c>
      <c r="G2898" s="68" t="s">
        <v>11939</v>
      </c>
      <c r="H2898" s="71"/>
      <c r="I2898" s="63" t="s">
        <v>635</v>
      </c>
      <c r="J2898" s="68" t="s">
        <v>11584</v>
      </c>
      <c r="K2898" s="71"/>
      <c r="L2898" s="71"/>
      <c r="M2898" s="68" t="s">
        <v>166</v>
      </c>
      <c r="N2898" s="61"/>
      <c r="O2898" s="51"/>
    </row>
    <row r="2899">
      <c r="A2899" s="56">
        <v>2896.0</v>
      </c>
      <c r="B2899" s="71"/>
      <c r="C2899" s="69" t="s">
        <v>11940</v>
      </c>
      <c r="D2899" s="71"/>
      <c r="E2899" s="68" t="s">
        <v>11941</v>
      </c>
      <c r="F2899" s="76">
        <v>42279.0</v>
      </c>
      <c r="G2899" s="68" t="s">
        <v>11942</v>
      </c>
      <c r="H2899" s="71"/>
      <c r="I2899" s="63" t="s">
        <v>635</v>
      </c>
      <c r="J2899" s="68" t="s">
        <v>9535</v>
      </c>
      <c r="K2899" s="71"/>
      <c r="L2899" s="71"/>
      <c r="M2899" s="68" t="s">
        <v>166</v>
      </c>
      <c r="N2899" s="61"/>
      <c r="O2899" s="51"/>
    </row>
    <row r="2900">
      <c r="A2900" s="56">
        <v>2897.0</v>
      </c>
      <c r="B2900" s="71"/>
      <c r="C2900" s="69" t="s">
        <v>11943</v>
      </c>
      <c r="D2900" s="71"/>
      <c r="E2900" s="68" t="s">
        <v>11944</v>
      </c>
      <c r="F2900" s="76">
        <v>42279.0</v>
      </c>
      <c r="G2900" s="68" t="s">
        <v>11945</v>
      </c>
      <c r="H2900" s="71"/>
      <c r="I2900" s="63" t="s">
        <v>635</v>
      </c>
      <c r="J2900" s="68" t="s">
        <v>11235</v>
      </c>
      <c r="K2900" s="71"/>
      <c r="L2900" s="71"/>
      <c r="M2900" s="68" t="s">
        <v>166</v>
      </c>
      <c r="N2900" s="61"/>
      <c r="O2900" s="51"/>
    </row>
    <row r="2901">
      <c r="A2901" s="56">
        <v>2898.0</v>
      </c>
      <c r="B2901" s="71"/>
      <c r="C2901" s="69" t="s">
        <v>11946</v>
      </c>
      <c r="D2901" s="71"/>
      <c r="E2901" s="68" t="s">
        <v>11947</v>
      </c>
      <c r="F2901" s="76">
        <v>42282.0</v>
      </c>
      <c r="G2901" s="68" t="s">
        <v>11948</v>
      </c>
      <c r="H2901" s="71"/>
      <c r="I2901" s="63" t="s">
        <v>635</v>
      </c>
      <c r="J2901" s="68" t="s">
        <v>9535</v>
      </c>
      <c r="K2901" s="71"/>
      <c r="L2901" s="71"/>
      <c r="M2901" s="68" t="s">
        <v>166</v>
      </c>
      <c r="N2901" s="61"/>
      <c r="O2901" s="51"/>
    </row>
    <row r="2902">
      <c r="A2902" s="56">
        <v>2899.0</v>
      </c>
      <c r="B2902" s="71"/>
      <c r="C2902" s="69" t="s">
        <v>11949</v>
      </c>
      <c r="D2902" s="71"/>
      <c r="E2902" s="68" t="s">
        <v>11950</v>
      </c>
      <c r="F2902" s="76">
        <v>42282.0</v>
      </c>
      <c r="G2902" s="68" t="s">
        <v>11951</v>
      </c>
      <c r="H2902" s="71"/>
      <c r="I2902" s="63" t="s">
        <v>635</v>
      </c>
      <c r="J2902" s="68" t="s">
        <v>9535</v>
      </c>
      <c r="K2902" s="71"/>
      <c r="L2902" s="71"/>
      <c r="M2902" s="68" t="s">
        <v>166</v>
      </c>
      <c r="N2902" s="61"/>
      <c r="O2902" s="51"/>
    </row>
    <row r="2903">
      <c r="A2903" s="56">
        <v>2900.0</v>
      </c>
      <c r="B2903" s="71"/>
      <c r="C2903" s="69" t="s">
        <v>11952</v>
      </c>
      <c r="D2903" s="71"/>
      <c r="E2903" s="68" t="s">
        <v>11953</v>
      </c>
      <c r="F2903" s="76">
        <v>42284.0</v>
      </c>
      <c r="G2903" s="68" t="s">
        <v>11954</v>
      </c>
      <c r="H2903" s="71"/>
      <c r="I2903" s="63" t="s">
        <v>635</v>
      </c>
      <c r="J2903" s="68" t="s">
        <v>9535</v>
      </c>
      <c r="K2903" s="71"/>
      <c r="L2903" s="71"/>
      <c r="M2903" s="68" t="s">
        <v>166</v>
      </c>
      <c r="N2903" s="61"/>
      <c r="O2903" s="51"/>
    </row>
    <row r="2904">
      <c r="A2904" s="56">
        <v>2901.0</v>
      </c>
      <c r="B2904" s="71"/>
      <c r="C2904" s="69" t="s">
        <v>11955</v>
      </c>
      <c r="D2904" s="71"/>
      <c r="E2904" s="68" t="s">
        <v>11956</v>
      </c>
      <c r="F2904" s="76">
        <v>42285.0</v>
      </c>
      <c r="G2904" s="68" t="s">
        <v>11957</v>
      </c>
      <c r="H2904" s="71"/>
      <c r="I2904" s="63" t="s">
        <v>635</v>
      </c>
      <c r="J2904" s="68" t="s">
        <v>11802</v>
      </c>
      <c r="K2904" s="71"/>
      <c r="L2904" s="71"/>
      <c r="M2904" s="68" t="s">
        <v>166</v>
      </c>
      <c r="N2904" s="61"/>
      <c r="O2904" s="51"/>
    </row>
    <row r="2905">
      <c r="A2905" s="56">
        <v>2902.0</v>
      </c>
      <c r="B2905" s="71"/>
      <c r="C2905" s="69" t="s">
        <v>11958</v>
      </c>
      <c r="D2905" s="71"/>
      <c r="E2905" s="68" t="s">
        <v>11959</v>
      </c>
      <c r="F2905" s="76">
        <v>42286.0</v>
      </c>
      <c r="G2905" s="68" t="s">
        <v>11960</v>
      </c>
      <c r="H2905" s="71"/>
      <c r="I2905" s="63" t="s">
        <v>635</v>
      </c>
      <c r="J2905" s="68" t="s">
        <v>9535</v>
      </c>
      <c r="K2905" s="71"/>
      <c r="L2905" s="71"/>
      <c r="M2905" s="68" t="s">
        <v>166</v>
      </c>
      <c r="N2905" s="61"/>
      <c r="O2905" s="51"/>
    </row>
    <row r="2906">
      <c r="A2906" s="56">
        <v>2903.0</v>
      </c>
      <c r="B2906" s="71"/>
      <c r="C2906" s="69" t="s">
        <v>11961</v>
      </c>
      <c r="D2906" s="71"/>
      <c r="E2906" s="68" t="s">
        <v>11962</v>
      </c>
      <c r="F2906" s="83">
        <v>42288.0</v>
      </c>
      <c r="G2906" s="68" t="s">
        <v>11963</v>
      </c>
      <c r="H2906" s="71"/>
      <c r="I2906" s="63" t="s">
        <v>11964</v>
      </c>
      <c r="J2906" s="68" t="s">
        <v>9535</v>
      </c>
      <c r="K2906" s="71"/>
      <c r="L2906" s="71"/>
      <c r="M2906" s="68" t="s">
        <v>166</v>
      </c>
      <c r="N2906" s="61"/>
      <c r="O2906" s="51"/>
    </row>
    <row r="2907">
      <c r="A2907" s="56">
        <v>2904.0</v>
      </c>
      <c r="B2907" s="71"/>
      <c r="C2907" s="69" t="s">
        <v>11965</v>
      </c>
      <c r="D2907" s="71"/>
      <c r="E2907" s="68" t="s">
        <v>11966</v>
      </c>
      <c r="F2907" s="83">
        <v>42288.0</v>
      </c>
      <c r="G2907" s="68" t="s">
        <v>11967</v>
      </c>
      <c r="H2907" s="71"/>
      <c r="I2907" s="63" t="s">
        <v>635</v>
      </c>
      <c r="J2907" s="68" t="s">
        <v>11584</v>
      </c>
      <c r="K2907" s="71"/>
      <c r="L2907" s="71"/>
      <c r="M2907" s="68" t="s">
        <v>166</v>
      </c>
      <c r="N2907" s="61"/>
      <c r="O2907" s="51"/>
    </row>
    <row r="2908">
      <c r="A2908" s="56">
        <v>2905.0</v>
      </c>
      <c r="B2908" s="71"/>
      <c r="C2908" s="69" t="s">
        <v>11968</v>
      </c>
      <c r="D2908" s="71"/>
      <c r="E2908" s="68" t="s">
        <v>11969</v>
      </c>
      <c r="F2908" s="83">
        <v>42289.0</v>
      </c>
      <c r="G2908" s="68" t="s">
        <v>11970</v>
      </c>
      <c r="H2908" s="71"/>
      <c r="I2908" s="68" t="s">
        <v>11971</v>
      </c>
      <c r="J2908" s="68" t="s">
        <v>11972</v>
      </c>
      <c r="K2908" s="71"/>
      <c r="L2908" s="71"/>
      <c r="M2908" s="68" t="s">
        <v>166</v>
      </c>
      <c r="N2908" s="77"/>
      <c r="O2908" s="51"/>
    </row>
    <row r="2909">
      <c r="A2909" s="56">
        <v>2906.0</v>
      </c>
      <c r="B2909" s="71"/>
      <c r="C2909" s="69" t="s">
        <v>11973</v>
      </c>
      <c r="D2909" s="71"/>
      <c r="E2909" s="68" t="s">
        <v>11974</v>
      </c>
      <c r="F2909" s="83">
        <v>42289.0</v>
      </c>
      <c r="G2909" s="68" t="s">
        <v>11975</v>
      </c>
      <c r="H2909" s="71"/>
      <c r="I2909" s="66"/>
      <c r="J2909" s="68" t="s">
        <v>9535</v>
      </c>
      <c r="K2909" s="71"/>
      <c r="L2909" s="71"/>
      <c r="M2909" s="68" t="s">
        <v>166</v>
      </c>
      <c r="N2909" s="61"/>
      <c r="O2909" s="51"/>
    </row>
    <row r="2910">
      <c r="A2910" s="56">
        <v>2907.0</v>
      </c>
      <c r="B2910" s="71"/>
      <c r="C2910" s="69" t="s">
        <v>11976</v>
      </c>
      <c r="D2910" s="71"/>
      <c r="E2910" s="68" t="s">
        <v>11977</v>
      </c>
      <c r="F2910" s="83">
        <v>42290.0</v>
      </c>
      <c r="G2910" s="68" t="s">
        <v>11978</v>
      </c>
      <c r="H2910" s="71"/>
      <c r="I2910" s="66"/>
      <c r="J2910" s="68" t="s">
        <v>9535</v>
      </c>
      <c r="K2910" s="71"/>
      <c r="L2910" s="71"/>
      <c r="M2910" s="68" t="s">
        <v>166</v>
      </c>
      <c r="N2910" s="61"/>
      <c r="O2910" s="51"/>
    </row>
    <row r="2911">
      <c r="A2911" s="56">
        <v>2908.0</v>
      </c>
      <c r="B2911" s="71"/>
      <c r="C2911" s="69" t="s">
        <v>11979</v>
      </c>
      <c r="D2911" s="71"/>
      <c r="E2911" s="68" t="s">
        <v>11980</v>
      </c>
      <c r="F2911" s="83">
        <v>42290.0</v>
      </c>
      <c r="G2911" s="68" t="s">
        <v>11981</v>
      </c>
      <c r="H2911" s="71"/>
      <c r="I2911" s="63" t="s">
        <v>635</v>
      </c>
      <c r="J2911" s="68" t="s">
        <v>11982</v>
      </c>
      <c r="K2911" s="71"/>
      <c r="L2911" s="71"/>
      <c r="M2911" s="104"/>
      <c r="N2911" s="105"/>
      <c r="O2911" s="51"/>
    </row>
    <row r="2912">
      <c r="A2912" s="56">
        <v>2909.0</v>
      </c>
      <c r="B2912" s="71"/>
      <c r="C2912" s="69" t="s">
        <v>11983</v>
      </c>
      <c r="D2912" s="71"/>
      <c r="E2912" s="68" t="s">
        <v>11984</v>
      </c>
      <c r="F2912" s="83">
        <v>42291.0</v>
      </c>
      <c r="G2912" s="68" t="s">
        <v>11985</v>
      </c>
      <c r="H2912" s="71"/>
      <c r="I2912" s="66"/>
      <c r="J2912" s="68" t="s">
        <v>11986</v>
      </c>
      <c r="K2912" s="71"/>
      <c r="L2912" s="71"/>
      <c r="M2912" s="104"/>
      <c r="N2912" s="105"/>
      <c r="O2912" s="51"/>
    </row>
    <row r="2913">
      <c r="A2913" s="56">
        <v>2910.0</v>
      </c>
      <c r="B2913" s="66"/>
      <c r="C2913" s="64" t="s">
        <v>11987</v>
      </c>
      <c r="D2913" s="66"/>
      <c r="E2913" s="63" t="s">
        <v>11988</v>
      </c>
      <c r="F2913" s="65">
        <v>42323.0</v>
      </c>
      <c r="G2913" s="63" t="s">
        <v>11989</v>
      </c>
      <c r="H2913" s="66"/>
      <c r="I2913" s="63" t="s">
        <v>11990</v>
      </c>
      <c r="J2913" s="63" t="s">
        <v>11991</v>
      </c>
      <c r="K2913" s="66"/>
      <c r="L2913" s="66"/>
      <c r="M2913" s="74" t="s">
        <v>1509</v>
      </c>
      <c r="N2913" s="61"/>
      <c r="O2913" s="51"/>
    </row>
    <row r="2914">
      <c r="A2914" s="56">
        <v>2911.0</v>
      </c>
      <c r="B2914" s="66"/>
      <c r="C2914" s="64" t="s">
        <v>11992</v>
      </c>
      <c r="D2914" s="66"/>
      <c r="E2914" s="63" t="s">
        <v>11993</v>
      </c>
      <c r="F2914" s="70">
        <v>41766.0</v>
      </c>
      <c r="G2914" s="63" t="s">
        <v>11994</v>
      </c>
      <c r="H2914" s="66"/>
      <c r="I2914" s="63" t="s">
        <v>11995</v>
      </c>
      <c r="J2914" s="63" t="s">
        <v>9175</v>
      </c>
      <c r="K2914" s="66"/>
      <c r="L2914" s="66"/>
      <c r="M2914" s="63" t="s">
        <v>143</v>
      </c>
      <c r="N2914" s="61"/>
      <c r="O2914" s="51"/>
    </row>
    <row r="2915">
      <c r="A2915" s="56">
        <v>2912.0</v>
      </c>
      <c r="B2915" s="71"/>
      <c r="C2915" s="69" t="s">
        <v>11996</v>
      </c>
      <c r="D2915" s="71"/>
      <c r="E2915" s="68" t="s">
        <v>11997</v>
      </c>
      <c r="F2915" s="76">
        <v>42036.0</v>
      </c>
      <c r="G2915" s="68" t="s">
        <v>11998</v>
      </c>
      <c r="H2915" s="71"/>
      <c r="I2915" s="63" t="s">
        <v>11999</v>
      </c>
      <c r="J2915" s="68" t="s">
        <v>12000</v>
      </c>
      <c r="K2915" s="71"/>
      <c r="L2915" s="71"/>
      <c r="M2915" s="71"/>
      <c r="N2915" s="61"/>
      <c r="O2915" s="51"/>
    </row>
    <row r="2916">
      <c r="A2916" s="56">
        <v>2913.0</v>
      </c>
      <c r="B2916" s="66"/>
      <c r="C2916" s="64" t="s">
        <v>12001</v>
      </c>
      <c r="D2916" s="66"/>
      <c r="E2916" s="63" t="s">
        <v>12002</v>
      </c>
      <c r="F2916" s="70">
        <v>41438.0</v>
      </c>
      <c r="G2916" s="63" t="s">
        <v>12003</v>
      </c>
      <c r="H2916" s="66"/>
      <c r="I2916" s="63" t="s">
        <v>12004</v>
      </c>
      <c r="J2916" s="63" t="s">
        <v>12005</v>
      </c>
      <c r="K2916" s="66"/>
      <c r="L2916" s="66"/>
      <c r="M2916" s="63" t="s">
        <v>12006</v>
      </c>
      <c r="N2916" s="61"/>
      <c r="O2916" s="51"/>
    </row>
    <row r="2917">
      <c r="A2917" s="56">
        <v>2914.0</v>
      </c>
      <c r="B2917" s="71"/>
      <c r="C2917" s="69" t="s">
        <v>12007</v>
      </c>
      <c r="D2917" s="71"/>
      <c r="E2917" s="68" t="s">
        <v>12008</v>
      </c>
      <c r="F2917" s="76">
        <v>42272.0</v>
      </c>
      <c r="G2917" s="68" t="s">
        <v>12009</v>
      </c>
      <c r="H2917" s="71"/>
      <c r="I2917" s="63" t="s">
        <v>635</v>
      </c>
      <c r="J2917" s="68" t="s">
        <v>9535</v>
      </c>
      <c r="K2917" s="71"/>
      <c r="L2917" s="71"/>
      <c r="M2917" s="68" t="s">
        <v>166</v>
      </c>
      <c r="N2917" s="61"/>
      <c r="O2917" s="51"/>
    </row>
    <row r="2918">
      <c r="A2918" s="56">
        <v>2915.0</v>
      </c>
      <c r="B2918" s="71"/>
      <c r="C2918" s="69" t="s">
        <v>12010</v>
      </c>
      <c r="D2918" s="71"/>
      <c r="E2918" s="68" t="s">
        <v>12011</v>
      </c>
      <c r="F2918" s="68">
        <v>2013.0</v>
      </c>
      <c r="G2918" s="68" t="s">
        <v>12012</v>
      </c>
      <c r="H2918" s="71"/>
      <c r="I2918" s="63" t="s">
        <v>12013</v>
      </c>
      <c r="J2918" s="68" t="s">
        <v>12014</v>
      </c>
      <c r="K2918" s="71"/>
      <c r="L2918" s="71"/>
      <c r="M2918" s="68" t="s">
        <v>872</v>
      </c>
      <c r="N2918" s="61"/>
      <c r="O2918" s="51"/>
    </row>
    <row r="2919">
      <c r="A2919" s="56">
        <v>2916.0</v>
      </c>
      <c r="B2919" s="71"/>
      <c r="C2919" s="69" t="s">
        <v>12015</v>
      </c>
      <c r="D2919" s="71"/>
      <c r="E2919" s="68" t="s">
        <v>12016</v>
      </c>
      <c r="F2919" s="83">
        <v>42294.0</v>
      </c>
      <c r="G2919" s="68" t="s">
        <v>12017</v>
      </c>
      <c r="H2919" s="71"/>
      <c r="I2919" s="63" t="s">
        <v>12018</v>
      </c>
      <c r="J2919" s="68" t="s">
        <v>252</v>
      </c>
      <c r="K2919" s="71"/>
      <c r="L2919" s="71"/>
      <c r="M2919" s="68" t="s">
        <v>166</v>
      </c>
      <c r="N2919" s="61"/>
      <c r="O2919" s="51"/>
    </row>
    <row r="2920">
      <c r="A2920" s="56">
        <v>2917.0</v>
      </c>
      <c r="B2920" s="66"/>
      <c r="C2920" s="64" t="s">
        <v>12019</v>
      </c>
      <c r="D2920" s="66"/>
      <c r="E2920" s="63" t="s">
        <v>12020</v>
      </c>
      <c r="F2920" s="70">
        <v>39995.0</v>
      </c>
      <c r="G2920" s="63" t="s">
        <v>12021</v>
      </c>
      <c r="H2920" s="66"/>
      <c r="I2920" s="63" t="s">
        <v>12022</v>
      </c>
      <c r="J2920" s="63" t="s">
        <v>12023</v>
      </c>
      <c r="K2920" s="66"/>
      <c r="L2920" s="66"/>
      <c r="M2920" s="63" t="s">
        <v>4487</v>
      </c>
      <c r="N2920" s="61"/>
      <c r="O2920" s="51"/>
    </row>
    <row r="2921">
      <c r="A2921" s="56">
        <v>2918.0</v>
      </c>
      <c r="B2921" s="66"/>
      <c r="C2921" s="64" t="s">
        <v>12024</v>
      </c>
      <c r="D2921" s="66"/>
      <c r="E2921" s="63" t="s">
        <v>12025</v>
      </c>
      <c r="F2921" s="70">
        <v>39995.0</v>
      </c>
      <c r="G2921" s="63" t="s">
        <v>12026</v>
      </c>
      <c r="H2921" s="66"/>
      <c r="I2921" s="63" t="s">
        <v>12027</v>
      </c>
      <c r="J2921" s="63" t="s">
        <v>12023</v>
      </c>
      <c r="K2921" s="66"/>
      <c r="L2921" s="66"/>
      <c r="M2921" s="63" t="s">
        <v>4487</v>
      </c>
      <c r="N2921" s="61"/>
      <c r="O2921" s="51"/>
    </row>
    <row r="2922">
      <c r="A2922" s="75">
        <v>2919.0</v>
      </c>
      <c r="B2922" s="71"/>
      <c r="C2922" s="69" t="s">
        <v>12028</v>
      </c>
      <c r="D2922" s="71"/>
      <c r="E2922" s="68" t="s">
        <v>12029</v>
      </c>
      <c r="F2922" s="68">
        <v>2013.0</v>
      </c>
      <c r="G2922" s="68" t="s">
        <v>12030</v>
      </c>
      <c r="H2922" s="71"/>
      <c r="I2922" s="68" t="s">
        <v>12031</v>
      </c>
      <c r="J2922" s="68" t="s">
        <v>12032</v>
      </c>
      <c r="K2922" s="71"/>
      <c r="L2922" s="71"/>
      <c r="M2922" s="68" t="s">
        <v>27</v>
      </c>
      <c r="N2922" s="77"/>
      <c r="O2922" s="51"/>
    </row>
    <row r="2923">
      <c r="A2923" s="56">
        <v>2920.0</v>
      </c>
      <c r="B2923" s="71"/>
      <c r="C2923" s="69" t="s">
        <v>12033</v>
      </c>
      <c r="D2923" s="71"/>
      <c r="E2923" s="68" t="s">
        <v>12034</v>
      </c>
      <c r="F2923" s="76">
        <v>42225.0</v>
      </c>
      <c r="G2923" s="68" t="s">
        <v>12035</v>
      </c>
      <c r="H2923" s="71"/>
      <c r="I2923" s="68" t="s">
        <v>12036</v>
      </c>
      <c r="J2923" s="68" t="s">
        <v>12037</v>
      </c>
      <c r="K2923" s="71"/>
      <c r="L2923" s="71"/>
      <c r="M2923" s="68" t="s">
        <v>27</v>
      </c>
      <c r="N2923" s="77"/>
      <c r="O2923" s="51"/>
    </row>
    <row r="2924">
      <c r="A2924" s="56">
        <v>2921.0</v>
      </c>
      <c r="B2924" s="71"/>
      <c r="C2924" s="69" t="s">
        <v>12038</v>
      </c>
      <c r="D2924" s="71"/>
      <c r="E2924" s="68" t="s">
        <v>12039</v>
      </c>
      <c r="F2924" s="76">
        <v>42147.0</v>
      </c>
      <c r="G2924" s="68" t="s">
        <v>12040</v>
      </c>
      <c r="H2924" s="71"/>
      <c r="I2924" s="63" t="s">
        <v>12041</v>
      </c>
      <c r="J2924" s="68" t="s">
        <v>12042</v>
      </c>
      <c r="K2924" s="71"/>
      <c r="L2924" s="71"/>
      <c r="M2924" s="68" t="s">
        <v>27</v>
      </c>
      <c r="N2924" s="61"/>
      <c r="O2924" s="51"/>
    </row>
    <row r="2925">
      <c r="A2925" s="56">
        <v>2922.0</v>
      </c>
      <c r="B2925" s="71"/>
      <c r="C2925" s="69" t="s">
        <v>12043</v>
      </c>
      <c r="D2925" s="71"/>
      <c r="E2925" s="68" t="s">
        <v>12044</v>
      </c>
      <c r="F2925" s="76">
        <v>41843.0</v>
      </c>
      <c r="G2925" s="68" t="s">
        <v>12045</v>
      </c>
      <c r="H2925" s="71"/>
      <c r="I2925" s="63" t="s">
        <v>12046</v>
      </c>
      <c r="J2925" s="68" t="s">
        <v>12047</v>
      </c>
      <c r="K2925" s="71"/>
      <c r="L2925" s="71"/>
      <c r="M2925" s="68" t="s">
        <v>27</v>
      </c>
      <c r="N2925" s="61"/>
      <c r="O2925" s="51"/>
    </row>
    <row r="2926">
      <c r="A2926" s="56">
        <v>2923.0</v>
      </c>
      <c r="B2926" s="71"/>
      <c r="C2926" s="69" t="s">
        <v>12048</v>
      </c>
      <c r="D2926" s="71"/>
      <c r="E2926" s="68" t="s">
        <v>12049</v>
      </c>
      <c r="F2926" s="76">
        <v>42137.0</v>
      </c>
      <c r="G2926" s="68" t="s">
        <v>12050</v>
      </c>
      <c r="H2926" s="71"/>
      <c r="I2926" s="68" t="s">
        <v>12051</v>
      </c>
      <c r="J2926" s="68" t="s">
        <v>12052</v>
      </c>
      <c r="K2926" s="71"/>
      <c r="L2926" s="71"/>
      <c r="M2926" s="68" t="s">
        <v>27</v>
      </c>
      <c r="N2926" s="77"/>
      <c r="O2926" s="51"/>
    </row>
    <row r="2927">
      <c r="A2927" s="56">
        <v>2924.0</v>
      </c>
      <c r="B2927" s="71"/>
      <c r="C2927" s="69" t="s">
        <v>12053</v>
      </c>
      <c r="D2927" s="71"/>
      <c r="E2927" s="68" t="s">
        <v>12054</v>
      </c>
      <c r="F2927" s="76">
        <v>41151.0</v>
      </c>
      <c r="G2927" s="68" t="s">
        <v>12055</v>
      </c>
      <c r="H2927" s="71"/>
      <c r="I2927" s="68" t="s">
        <v>12056</v>
      </c>
      <c r="J2927" s="68" t="s">
        <v>12057</v>
      </c>
      <c r="K2927" s="71"/>
      <c r="L2927" s="71"/>
      <c r="M2927" s="68" t="s">
        <v>27</v>
      </c>
      <c r="N2927" s="61"/>
      <c r="O2927" s="51"/>
    </row>
    <row r="2928">
      <c r="A2928" s="56">
        <v>2925.0</v>
      </c>
      <c r="B2928" s="71"/>
      <c r="C2928" s="69" t="s">
        <v>12058</v>
      </c>
      <c r="D2928" s="71"/>
      <c r="E2928" s="68" t="s">
        <v>12059</v>
      </c>
      <c r="F2928" s="76">
        <v>41901.0</v>
      </c>
      <c r="G2928" s="68" t="s">
        <v>12060</v>
      </c>
      <c r="H2928" s="71"/>
      <c r="I2928" s="66"/>
      <c r="J2928" s="68" t="s">
        <v>12061</v>
      </c>
      <c r="K2928" s="71"/>
      <c r="L2928" s="71"/>
      <c r="M2928" s="68" t="s">
        <v>27</v>
      </c>
      <c r="N2928" s="61"/>
      <c r="O2928" s="51"/>
    </row>
    <row r="2929">
      <c r="A2929" s="222">
        <v>2926.0</v>
      </c>
      <c r="B2929" s="66"/>
      <c r="C2929" s="88" t="s">
        <v>12062</v>
      </c>
      <c r="D2929" s="66"/>
      <c r="E2929" s="63" t="s">
        <v>11151</v>
      </c>
      <c r="F2929" s="63">
        <v>41823.0</v>
      </c>
      <c r="G2929" s="63" t="s">
        <v>12063</v>
      </c>
      <c r="H2929" s="66"/>
      <c r="I2929" s="63" t="s">
        <v>12064</v>
      </c>
      <c r="J2929" s="66"/>
      <c r="K2929" s="66"/>
      <c r="L2929" s="66"/>
      <c r="M2929" s="63" t="s">
        <v>166</v>
      </c>
      <c r="N2929" s="61"/>
      <c r="O2929" s="51"/>
    </row>
    <row r="2930">
      <c r="A2930" s="56">
        <v>2927.0</v>
      </c>
      <c r="B2930" s="71"/>
      <c r="C2930" s="69" t="s">
        <v>12065</v>
      </c>
      <c r="D2930" s="71"/>
      <c r="E2930" s="68" t="s">
        <v>12066</v>
      </c>
      <c r="F2930" s="76">
        <v>40444.0</v>
      </c>
      <c r="G2930" s="68" t="s">
        <v>12067</v>
      </c>
      <c r="H2930" s="71"/>
      <c r="I2930" s="63" t="s">
        <v>12068</v>
      </c>
      <c r="J2930" s="68" t="s">
        <v>12069</v>
      </c>
      <c r="K2930" s="71"/>
      <c r="L2930" s="71"/>
      <c r="M2930" s="68" t="s">
        <v>27</v>
      </c>
      <c r="N2930" s="61"/>
      <c r="O2930" s="51"/>
    </row>
    <row r="2931">
      <c r="A2931" s="56">
        <v>2928.0</v>
      </c>
      <c r="B2931" s="66"/>
      <c r="C2931" s="64" t="s">
        <v>12070</v>
      </c>
      <c r="D2931" s="66"/>
      <c r="E2931" s="63" t="s">
        <v>12071</v>
      </c>
      <c r="F2931" s="63" t="s">
        <v>12072</v>
      </c>
      <c r="G2931" s="63" t="s">
        <v>12073</v>
      </c>
      <c r="H2931" s="66"/>
      <c r="I2931" s="63" t="s">
        <v>12074</v>
      </c>
      <c r="J2931" s="63" t="s">
        <v>11049</v>
      </c>
      <c r="K2931" s="66"/>
      <c r="L2931" s="66"/>
      <c r="M2931" s="63" t="s">
        <v>27</v>
      </c>
      <c r="N2931" s="61"/>
      <c r="O2931" s="51"/>
    </row>
    <row r="2932">
      <c r="A2932" s="56">
        <v>2929.0</v>
      </c>
      <c r="B2932" s="71"/>
      <c r="C2932" s="69" t="s">
        <v>12075</v>
      </c>
      <c r="D2932" s="71"/>
      <c r="E2932" s="68" t="s">
        <v>12076</v>
      </c>
      <c r="F2932" s="83">
        <v>41988.0</v>
      </c>
      <c r="G2932" s="68" t="s">
        <v>12077</v>
      </c>
      <c r="H2932" s="71"/>
      <c r="I2932" s="63" t="s">
        <v>12078</v>
      </c>
      <c r="J2932" s="68" t="s">
        <v>12079</v>
      </c>
      <c r="K2932" s="71"/>
      <c r="L2932" s="71"/>
      <c r="M2932" s="68" t="s">
        <v>27</v>
      </c>
      <c r="N2932" s="61"/>
      <c r="O2932" s="51"/>
    </row>
    <row r="2933">
      <c r="A2933" s="56">
        <v>2930.0</v>
      </c>
      <c r="B2933" s="71"/>
      <c r="C2933" s="69" t="s">
        <v>12080</v>
      </c>
      <c r="D2933" s="71"/>
      <c r="E2933" s="68" t="s">
        <v>12081</v>
      </c>
      <c r="F2933" s="83">
        <v>41988.0</v>
      </c>
      <c r="G2933" s="68" t="s">
        <v>12077</v>
      </c>
      <c r="H2933" s="71"/>
      <c r="I2933" s="63" t="s">
        <v>12078</v>
      </c>
      <c r="J2933" s="68" t="s">
        <v>12079</v>
      </c>
      <c r="K2933" s="71"/>
      <c r="L2933" s="71"/>
      <c r="M2933" s="68" t="s">
        <v>27</v>
      </c>
      <c r="N2933" s="61"/>
      <c r="O2933" s="51"/>
    </row>
    <row r="2934">
      <c r="A2934" s="56">
        <v>2931.0</v>
      </c>
      <c r="B2934" s="66"/>
      <c r="C2934" s="64" t="s">
        <v>12082</v>
      </c>
      <c r="D2934" s="66"/>
      <c r="E2934" s="63" t="s">
        <v>12083</v>
      </c>
      <c r="F2934" s="70">
        <v>41837.0</v>
      </c>
      <c r="G2934" s="63" t="s">
        <v>12084</v>
      </c>
      <c r="H2934" s="66"/>
      <c r="I2934" s="66"/>
      <c r="J2934" s="63" t="s">
        <v>6061</v>
      </c>
      <c r="K2934" s="66"/>
      <c r="L2934" s="66"/>
      <c r="M2934" s="63" t="s">
        <v>941</v>
      </c>
      <c r="N2934" s="61"/>
      <c r="O2934" s="51"/>
    </row>
    <row r="2935">
      <c r="A2935" s="56">
        <v>2932.0</v>
      </c>
      <c r="B2935" s="71"/>
      <c r="C2935" s="69" t="s">
        <v>12085</v>
      </c>
      <c r="D2935" s="71"/>
      <c r="E2935" s="68" t="s">
        <v>12086</v>
      </c>
      <c r="F2935" s="83">
        <v>42306.0</v>
      </c>
      <c r="G2935" s="68" t="s">
        <v>12087</v>
      </c>
      <c r="H2935" s="71"/>
      <c r="I2935" s="63" t="s">
        <v>12088</v>
      </c>
      <c r="J2935" s="68" t="s">
        <v>12089</v>
      </c>
      <c r="K2935" s="71"/>
      <c r="L2935" s="71"/>
      <c r="M2935" s="71"/>
      <c r="N2935" s="61"/>
      <c r="O2935" s="51"/>
    </row>
    <row r="2936">
      <c r="A2936" s="56">
        <v>2933.0</v>
      </c>
      <c r="B2936" s="66"/>
      <c r="C2936" s="64" t="s">
        <v>12090</v>
      </c>
      <c r="D2936" s="66"/>
      <c r="E2936" s="63" t="s">
        <v>12091</v>
      </c>
      <c r="F2936" s="65">
        <v>42350.0</v>
      </c>
      <c r="G2936" s="63" t="s">
        <v>12092</v>
      </c>
      <c r="H2936" s="66"/>
      <c r="I2936" s="63" t="s">
        <v>12093</v>
      </c>
      <c r="J2936" s="63" t="s">
        <v>6262</v>
      </c>
      <c r="K2936" s="66"/>
      <c r="L2936" s="66"/>
      <c r="M2936" s="63" t="s">
        <v>368</v>
      </c>
      <c r="N2936" s="61"/>
      <c r="O2936" s="51"/>
    </row>
    <row r="2937">
      <c r="A2937" s="56">
        <v>2934.0</v>
      </c>
      <c r="B2937" s="71"/>
      <c r="C2937" s="69" t="s">
        <v>12094</v>
      </c>
      <c r="D2937" s="71"/>
      <c r="E2937" s="68" t="s">
        <v>12095</v>
      </c>
      <c r="F2937" s="76">
        <v>40771.0</v>
      </c>
      <c r="G2937" s="68" t="s">
        <v>12096</v>
      </c>
      <c r="H2937" s="71"/>
      <c r="I2937" s="63" t="s">
        <v>12097</v>
      </c>
      <c r="J2937" s="68" t="s">
        <v>12098</v>
      </c>
      <c r="K2937" s="71"/>
      <c r="L2937" s="71"/>
      <c r="M2937" s="71"/>
      <c r="N2937" s="61"/>
      <c r="O2937" s="51"/>
    </row>
    <row r="2938">
      <c r="A2938" s="56">
        <v>2935.0</v>
      </c>
      <c r="B2938" s="71"/>
      <c r="C2938" s="69" t="s">
        <v>12099</v>
      </c>
      <c r="D2938" s="71"/>
      <c r="E2938" s="68" t="s">
        <v>12100</v>
      </c>
      <c r="F2938" s="76">
        <v>42009.0</v>
      </c>
      <c r="G2938" s="68" t="s">
        <v>12101</v>
      </c>
      <c r="H2938" s="71"/>
      <c r="I2938" s="68" t="s">
        <v>12102</v>
      </c>
      <c r="J2938" s="68" t="s">
        <v>12103</v>
      </c>
      <c r="K2938" s="71"/>
      <c r="L2938" s="71"/>
      <c r="M2938" s="68" t="s">
        <v>166</v>
      </c>
      <c r="N2938" s="77"/>
      <c r="O2938" s="51"/>
    </row>
    <row r="2939">
      <c r="A2939" s="56">
        <v>2936.0</v>
      </c>
      <c r="B2939" s="71"/>
      <c r="C2939" s="69" t="s">
        <v>12104</v>
      </c>
      <c r="D2939" s="71"/>
      <c r="E2939" s="68" t="s">
        <v>12105</v>
      </c>
      <c r="F2939" s="76">
        <v>42138.0</v>
      </c>
      <c r="G2939" s="68" t="s">
        <v>12106</v>
      </c>
      <c r="H2939" s="71"/>
      <c r="I2939" s="63" t="s">
        <v>12107</v>
      </c>
      <c r="J2939" s="68" t="s">
        <v>12108</v>
      </c>
      <c r="K2939" s="71"/>
      <c r="L2939" s="71"/>
      <c r="M2939" s="71"/>
      <c r="N2939" s="61"/>
      <c r="O2939" s="51"/>
    </row>
    <row r="2940">
      <c r="A2940" s="56">
        <v>2937.0</v>
      </c>
      <c r="B2940" s="71"/>
      <c r="C2940" s="69" t="s">
        <v>12109</v>
      </c>
      <c r="D2940" s="71"/>
      <c r="E2940" s="68" t="s">
        <v>12110</v>
      </c>
      <c r="F2940" s="76">
        <v>42158.0</v>
      </c>
      <c r="G2940" s="68" t="s">
        <v>12111</v>
      </c>
      <c r="H2940" s="71"/>
      <c r="I2940" s="63" t="s">
        <v>12112</v>
      </c>
      <c r="J2940" s="68" t="s">
        <v>12113</v>
      </c>
      <c r="K2940" s="71"/>
      <c r="L2940" s="71"/>
      <c r="M2940" s="71"/>
      <c r="N2940" s="61"/>
      <c r="O2940" s="51"/>
    </row>
    <row r="2941">
      <c r="A2941" s="56">
        <v>2938.0</v>
      </c>
      <c r="B2941" s="71"/>
      <c r="C2941" s="69" t="s">
        <v>12114</v>
      </c>
      <c r="D2941" s="71"/>
      <c r="E2941" s="68" t="s">
        <v>12115</v>
      </c>
      <c r="F2941" s="76">
        <v>42194.0</v>
      </c>
      <c r="G2941" s="68" t="s">
        <v>12116</v>
      </c>
      <c r="H2941" s="71"/>
      <c r="I2941" s="63" t="s">
        <v>12117</v>
      </c>
      <c r="J2941" s="68" t="s">
        <v>12118</v>
      </c>
      <c r="K2941" s="71"/>
      <c r="L2941" s="71"/>
      <c r="M2941" s="104"/>
      <c r="N2941" s="105"/>
      <c r="O2941" s="51"/>
    </row>
    <row r="2942">
      <c r="A2942" s="56">
        <v>2939.0</v>
      </c>
      <c r="B2942" s="71"/>
      <c r="C2942" s="69" t="s">
        <v>12119</v>
      </c>
      <c r="D2942" s="71"/>
      <c r="E2942" s="68" t="s">
        <v>12120</v>
      </c>
      <c r="F2942" s="76">
        <v>42138.0</v>
      </c>
      <c r="G2942" s="68" t="s">
        <v>12116</v>
      </c>
      <c r="H2942" s="71"/>
      <c r="I2942" s="63" t="s">
        <v>12121</v>
      </c>
      <c r="J2942" s="68" t="s">
        <v>12122</v>
      </c>
      <c r="K2942" s="71"/>
      <c r="L2942" s="71"/>
      <c r="M2942" s="111"/>
      <c r="N2942" s="61"/>
      <c r="O2942" s="51"/>
    </row>
    <row r="2943">
      <c r="A2943" s="56">
        <v>2940.0</v>
      </c>
      <c r="B2943" s="71"/>
      <c r="C2943" s="69" t="s">
        <v>12123</v>
      </c>
      <c r="D2943" s="71"/>
      <c r="E2943" s="68" t="s">
        <v>12124</v>
      </c>
      <c r="F2943" s="76">
        <v>42173.0</v>
      </c>
      <c r="G2943" s="68" t="s">
        <v>12125</v>
      </c>
      <c r="H2943" s="71"/>
      <c r="I2943" s="63" t="s">
        <v>12126</v>
      </c>
      <c r="J2943" s="68" t="s">
        <v>12127</v>
      </c>
      <c r="K2943" s="71"/>
      <c r="L2943" s="71"/>
      <c r="M2943" s="104"/>
      <c r="N2943" s="105"/>
      <c r="O2943" s="51"/>
    </row>
    <row r="2944">
      <c r="A2944" s="56">
        <v>2941.0</v>
      </c>
      <c r="B2944" s="71"/>
      <c r="C2944" s="69" t="s">
        <v>12128</v>
      </c>
      <c r="D2944" s="68" t="s">
        <v>12129</v>
      </c>
      <c r="E2944" s="68" t="s">
        <v>12130</v>
      </c>
      <c r="F2944" s="76">
        <v>42231.0</v>
      </c>
      <c r="G2944" s="68" t="s">
        <v>12131</v>
      </c>
      <c r="H2944" s="71"/>
      <c r="I2944" s="63" t="s">
        <v>635</v>
      </c>
      <c r="J2944" s="68" t="s">
        <v>11452</v>
      </c>
      <c r="K2944" s="71"/>
      <c r="L2944" s="71"/>
      <c r="M2944" s="111"/>
      <c r="N2944" s="61"/>
      <c r="O2944" s="51"/>
    </row>
    <row r="2945">
      <c r="A2945" s="56">
        <v>2942.0</v>
      </c>
      <c r="B2945" s="71"/>
      <c r="C2945" s="69" t="s">
        <v>12132</v>
      </c>
      <c r="D2945" s="68" t="s">
        <v>12133</v>
      </c>
      <c r="E2945" s="68" t="s">
        <v>12134</v>
      </c>
      <c r="F2945" s="76">
        <v>39183.0</v>
      </c>
      <c r="G2945" s="68" t="s">
        <v>12135</v>
      </c>
      <c r="H2945" s="71"/>
      <c r="I2945" s="63" t="s">
        <v>12136</v>
      </c>
      <c r="J2945" s="68" t="s">
        <v>2774</v>
      </c>
      <c r="K2945" s="71"/>
      <c r="L2945" s="104"/>
      <c r="M2945" s="101"/>
      <c r="N2945" s="61"/>
      <c r="O2945" s="51"/>
    </row>
    <row r="2946">
      <c r="A2946" s="56">
        <v>2943.0</v>
      </c>
      <c r="B2946" s="71"/>
      <c r="C2946" s="69" t="s">
        <v>12137</v>
      </c>
      <c r="D2946" s="68" t="s">
        <v>12138</v>
      </c>
      <c r="E2946" s="68" t="s">
        <v>12139</v>
      </c>
      <c r="F2946" s="76">
        <v>42172.0</v>
      </c>
      <c r="G2946" s="68" t="s">
        <v>12140</v>
      </c>
      <c r="H2946" s="71"/>
      <c r="I2946" s="63" t="s">
        <v>635</v>
      </c>
      <c r="J2946" s="68" t="s">
        <v>12141</v>
      </c>
      <c r="K2946" s="71"/>
      <c r="L2946" s="111"/>
      <c r="M2946" s="71"/>
      <c r="N2946" s="61"/>
      <c r="O2946" s="51"/>
    </row>
    <row r="2947">
      <c r="A2947" s="56">
        <v>2944.0</v>
      </c>
      <c r="B2947" s="71"/>
      <c r="C2947" s="69" t="s">
        <v>12142</v>
      </c>
      <c r="D2947" s="71"/>
      <c r="E2947" s="68" t="s">
        <v>12143</v>
      </c>
      <c r="F2947" s="76">
        <v>41164.0</v>
      </c>
      <c r="G2947" s="68" t="s">
        <v>12144</v>
      </c>
      <c r="H2947" s="71"/>
      <c r="I2947" s="63" t="s">
        <v>12145</v>
      </c>
      <c r="J2947" s="68" t="s">
        <v>12146</v>
      </c>
      <c r="K2947" s="71"/>
      <c r="L2947" s="71"/>
      <c r="M2947" s="68" t="s">
        <v>542</v>
      </c>
      <c r="N2947" s="61"/>
      <c r="O2947" s="51"/>
    </row>
    <row r="2948">
      <c r="A2948" s="56">
        <v>2945.0</v>
      </c>
      <c r="B2948" s="71"/>
      <c r="C2948" s="69" t="s">
        <v>12147</v>
      </c>
      <c r="D2948" s="71"/>
      <c r="E2948" s="68" t="s">
        <v>12148</v>
      </c>
      <c r="F2948" s="83">
        <v>42327.0</v>
      </c>
      <c r="G2948" s="68" t="s">
        <v>12149</v>
      </c>
      <c r="H2948" s="71"/>
      <c r="I2948" s="63" t="s">
        <v>635</v>
      </c>
      <c r="J2948" s="68" t="s">
        <v>11584</v>
      </c>
      <c r="K2948" s="71"/>
      <c r="L2948" s="71"/>
      <c r="M2948" s="68" t="s">
        <v>166</v>
      </c>
      <c r="N2948" s="61"/>
      <c r="O2948" s="51"/>
    </row>
    <row r="2949">
      <c r="A2949" s="56">
        <v>2946.0</v>
      </c>
      <c r="B2949" s="71"/>
      <c r="C2949" s="69" t="s">
        <v>12150</v>
      </c>
      <c r="D2949" s="71"/>
      <c r="E2949" s="68" t="s">
        <v>12151</v>
      </c>
      <c r="F2949" s="83">
        <v>42327.0</v>
      </c>
      <c r="G2949" s="68" t="s">
        <v>12152</v>
      </c>
      <c r="H2949" s="71"/>
      <c r="I2949" s="63" t="s">
        <v>635</v>
      </c>
      <c r="J2949" s="68" t="s">
        <v>11584</v>
      </c>
      <c r="K2949" s="71"/>
      <c r="L2949" s="71"/>
      <c r="M2949" s="68" t="s">
        <v>166</v>
      </c>
      <c r="N2949" s="61"/>
      <c r="O2949" s="51"/>
    </row>
    <row r="2950">
      <c r="A2950" s="56">
        <v>2947.0</v>
      </c>
      <c r="B2950" s="71"/>
      <c r="C2950" s="69" t="s">
        <v>12153</v>
      </c>
      <c r="D2950" s="71"/>
      <c r="E2950" s="68" t="s">
        <v>12154</v>
      </c>
      <c r="F2950" s="83">
        <v>42329.0</v>
      </c>
      <c r="G2950" s="68" t="s">
        <v>12155</v>
      </c>
      <c r="H2950" s="71"/>
      <c r="I2950" s="63" t="s">
        <v>635</v>
      </c>
      <c r="J2950" s="68" t="s">
        <v>9535</v>
      </c>
      <c r="K2950" s="71"/>
      <c r="L2950" s="71"/>
      <c r="M2950" s="68" t="s">
        <v>166</v>
      </c>
      <c r="N2950" s="61"/>
      <c r="O2950" s="51"/>
    </row>
    <row r="2951">
      <c r="A2951" s="56">
        <v>2948.0</v>
      </c>
      <c r="B2951" s="71"/>
      <c r="C2951" s="69" t="s">
        <v>12156</v>
      </c>
      <c r="D2951" s="71"/>
      <c r="E2951" s="68" t="s">
        <v>12157</v>
      </c>
      <c r="F2951" s="83">
        <v>42329.0</v>
      </c>
      <c r="G2951" s="71"/>
      <c r="H2951" s="71"/>
      <c r="I2951" s="63" t="s">
        <v>635</v>
      </c>
      <c r="J2951" s="68" t="s">
        <v>12158</v>
      </c>
      <c r="K2951" s="71"/>
      <c r="L2951" s="71"/>
      <c r="M2951" s="68" t="s">
        <v>166</v>
      </c>
      <c r="N2951" s="61"/>
      <c r="O2951" s="51"/>
    </row>
    <row r="2952">
      <c r="A2952" s="56">
        <v>2949.0</v>
      </c>
      <c r="B2952" s="71"/>
      <c r="C2952" s="69" t="s">
        <v>12159</v>
      </c>
      <c r="D2952" s="71"/>
      <c r="E2952" s="68" t="s">
        <v>12160</v>
      </c>
      <c r="F2952" s="83">
        <v>42329.0</v>
      </c>
      <c r="G2952" s="68" t="s">
        <v>12161</v>
      </c>
      <c r="H2952" s="71"/>
      <c r="I2952" s="63" t="s">
        <v>635</v>
      </c>
      <c r="J2952" s="68" t="s">
        <v>9535</v>
      </c>
      <c r="K2952" s="71"/>
      <c r="L2952" s="71"/>
      <c r="M2952" s="68" t="s">
        <v>166</v>
      </c>
      <c r="N2952" s="61"/>
      <c r="O2952" s="51"/>
    </row>
    <row r="2953">
      <c r="A2953" s="56">
        <v>2950.0</v>
      </c>
      <c r="B2953" s="71"/>
      <c r="C2953" s="69" t="s">
        <v>12162</v>
      </c>
      <c r="D2953" s="71"/>
      <c r="E2953" s="68" t="s">
        <v>12163</v>
      </c>
      <c r="F2953" s="83">
        <v>42329.0</v>
      </c>
      <c r="G2953" s="68" t="s">
        <v>12164</v>
      </c>
      <c r="H2953" s="71"/>
      <c r="I2953" s="63" t="s">
        <v>635</v>
      </c>
      <c r="J2953" s="68" t="s">
        <v>9535</v>
      </c>
      <c r="K2953" s="71"/>
      <c r="L2953" s="71"/>
      <c r="M2953" s="68" t="s">
        <v>166</v>
      </c>
      <c r="N2953" s="61"/>
      <c r="O2953" s="51"/>
    </row>
    <row r="2954">
      <c r="A2954" s="56">
        <v>2951.0</v>
      </c>
      <c r="B2954" s="71"/>
      <c r="C2954" s="69" t="s">
        <v>12165</v>
      </c>
      <c r="D2954" s="71"/>
      <c r="E2954" s="68" t="s">
        <v>12166</v>
      </c>
      <c r="F2954" s="83">
        <v>42329.0</v>
      </c>
      <c r="G2954" s="68" t="s">
        <v>12167</v>
      </c>
      <c r="H2954" s="71"/>
      <c r="I2954" s="63" t="s">
        <v>635</v>
      </c>
      <c r="J2954" s="68" t="s">
        <v>11266</v>
      </c>
      <c r="K2954" s="71"/>
      <c r="L2954" s="71"/>
      <c r="M2954" s="68" t="s">
        <v>166</v>
      </c>
      <c r="N2954" s="61"/>
      <c r="O2954" s="51"/>
    </row>
    <row r="2955">
      <c r="A2955" s="56">
        <v>2952.0</v>
      </c>
      <c r="B2955" s="71"/>
      <c r="C2955" s="69" t="s">
        <v>12168</v>
      </c>
      <c r="D2955" s="71"/>
      <c r="E2955" s="68" t="s">
        <v>12169</v>
      </c>
      <c r="F2955" s="83">
        <v>42329.0</v>
      </c>
      <c r="G2955" s="71"/>
      <c r="H2955" s="71"/>
      <c r="I2955" s="63" t="s">
        <v>635</v>
      </c>
      <c r="J2955" s="68" t="s">
        <v>12170</v>
      </c>
      <c r="K2955" s="71"/>
      <c r="L2955" s="71"/>
      <c r="M2955" s="68" t="s">
        <v>166</v>
      </c>
      <c r="N2955" s="61"/>
      <c r="O2955" s="51"/>
    </row>
    <row r="2956">
      <c r="A2956" s="56">
        <v>2953.0</v>
      </c>
      <c r="B2956" s="71"/>
      <c r="C2956" s="69" t="s">
        <v>12171</v>
      </c>
      <c r="D2956" s="71"/>
      <c r="E2956" s="68" t="s">
        <v>12172</v>
      </c>
      <c r="F2956" s="83">
        <v>42329.0</v>
      </c>
      <c r="G2956" s="71"/>
      <c r="H2956" s="71"/>
      <c r="I2956" s="63" t="s">
        <v>635</v>
      </c>
      <c r="J2956" s="68" t="s">
        <v>12158</v>
      </c>
      <c r="K2956" s="71"/>
      <c r="L2956" s="71"/>
      <c r="M2956" s="68" t="s">
        <v>166</v>
      </c>
      <c r="N2956" s="61"/>
      <c r="O2956" s="51"/>
    </row>
    <row r="2957">
      <c r="A2957" s="56">
        <v>2954.0</v>
      </c>
      <c r="B2957" s="71"/>
      <c r="C2957" s="69" t="s">
        <v>12173</v>
      </c>
      <c r="D2957" s="71"/>
      <c r="E2957" s="68" t="s">
        <v>12174</v>
      </c>
      <c r="F2957" s="83">
        <v>42329.0</v>
      </c>
      <c r="G2957" s="68" t="s">
        <v>12175</v>
      </c>
      <c r="H2957" s="71"/>
      <c r="I2957" s="63" t="s">
        <v>635</v>
      </c>
      <c r="J2957" s="68" t="s">
        <v>9438</v>
      </c>
      <c r="K2957" s="71"/>
      <c r="L2957" s="71"/>
      <c r="M2957" s="68" t="s">
        <v>166</v>
      </c>
      <c r="N2957" s="61"/>
      <c r="O2957" s="51"/>
    </row>
    <row r="2958">
      <c r="A2958" s="56">
        <v>2955.0</v>
      </c>
      <c r="B2958" s="71"/>
      <c r="C2958" s="69" t="s">
        <v>12176</v>
      </c>
      <c r="D2958" s="71"/>
      <c r="E2958" s="68" t="s">
        <v>12177</v>
      </c>
      <c r="F2958" s="83">
        <v>42329.0</v>
      </c>
      <c r="G2958" s="68" t="s">
        <v>12178</v>
      </c>
      <c r="H2958" s="71"/>
      <c r="I2958" s="63" t="s">
        <v>635</v>
      </c>
      <c r="J2958" s="68" t="s">
        <v>11584</v>
      </c>
      <c r="K2958" s="71"/>
      <c r="L2958" s="71"/>
      <c r="M2958" s="68" t="s">
        <v>166</v>
      </c>
      <c r="N2958" s="61"/>
      <c r="O2958" s="51"/>
    </row>
    <row r="2959">
      <c r="A2959" s="56">
        <v>2956.0</v>
      </c>
      <c r="B2959" s="71"/>
      <c r="C2959" s="69" t="s">
        <v>12179</v>
      </c>
      <c r="D2959" s="71"/>
      <c r="E2959" s="68" t="s">
        <v>12180</v>
      </c>
      <c r="F2959" s="83">
        <v>42329.0</v>
      </c>
      <c r="G2959" s="68" t="s">
        <v>12181</v>
      </c>
      <c r="H2959" s="71"/>
      <c r="I2959" s="63" t="s">
        <v>635</v>
      </c>
      <c r="J2959" s="68" t="s">
        <v>9535</v>
      </c>
      <c r="K2959" s="71"/>
      <c r="L2959" s="71"/>
      <c r="M2959" s="68" t="s">
        <v>166</v>
      </c>
      <c r="N2959" s="61"/>
      <c r="O2959" s="51"/>
    </row>
    <row r="2960">
      <c r="A2960" s="56">
        <v>2957.0</v>
      </c>
      <c r="B2960" s="71"/>
      <c r="C2960" s="69" t="s">
        <v>12182</v>
      </c>
      <c r="D2960" s="71"/>
      <c r="E2960" s="68" t="s">
        <v>12183</v>
      </c>
      <c r="F2960" s="83">
        <v>42329.0</v>
      </c>
      <c r="G2960" s="68" t="s">
        <v>12184</v>
      </c>
      <c r="H2960" s="71"/>
      <c r="I2960" s="63" t="s">
        <v>635</v>
      </c>
      <c r="J2960" s="68" t="s">
        <v>9535</v>
      </c>
      <c r="K2960" s="71"/>
      <c r="L2960" s="71"/>
      <c r="M2960" s="68" t="s">
        <v>166</v>
      </c>
      <c r="N2960" s="61"/>
      <c r="O2960" s="51"/>
    </row>
    <row r="2961">
      <c r="A2961" s="56">
        <v>2958.0</v>
      </c>
      <c r="B2961" s="71"/>
      <c r="C2961" s="69" t="s">
        <v>12185</v>
      </c>
      <c r="D2961" s="71"/>
      <c r="E2961" s="68" t="s">
        <v>12186</v>
      </c>
      <c r="F2961" s="83">
        <v>42329.0</v>
      </c>
      <c r="G2961" s="68" t="s">
        <v>12187</v>
      </c>
      <c r="H2961" s="71"/>
      <c r="I2961" s="63" t="s">
        <v>635</v>
      </c>
      <c r="J2961" s="68" t="s">
        <v>9535</v>
      </c>
      <c r="K2961" s="71"/>
      <c r="L2961" s="71"/>
      <c r="M2961" s="68" t="s">
        <v>166</v>
      </c>
      <c r="N2961" s="61"/>
      <c r="O2961" s="51"/>
    </row>
    <row r="2962">
      <c r="A2962" s="56">
        <v>2959.0</v>
      </c>
      <c r="B2962" s="71"/>
      <c r="C2962" s="69" t="s">
        <v>12188</v>
      </c>
      <c r="D2962" s="71"/>
      <c r="E2962" s="68" t="s">
        <v>12189</v>
      </c>
      <c r="F2962" s="83">
        <v>42329.0</v>
      </c>
      <c r="G2962" s="68" t="s">
        <v>12190</v>
      </c>
      <c r="H2962" s="71"/>
      <c r="I2962" s="63" t="s">
        <v>635</v>
      </c>
      <c r="J2962" s="68" t="s">
        <v>12191</v>
      </c>
      <c r="K2962" s="71"/>
      <c r="L2962" s="71"/>
      <c r="M2962" s="68" t="s">
        <v>166</v>
      </c>
      <c r="N2962" s="61"/>
      <c r="O2962" s="51"/>
    </row>
    <row r="2963">
      <c r="A2963" s="56">
        <v>2960.0</v>
      </c>
      <c r="B2963" s="71"/>
      <c r="C2963" s="69" t="s">
        <v>12192</v>
      </c>
      <c r="D2963" s="71"/>
      <c r="E2963" s="68" t="s">
        <v>12193</v>
      </c>
      <c r="F2963" s="83">
        <v>42329.0</v>
      </c>
      <c r="G2963" s="68" t="s">
        <v>12194</v>
      </c>
      <c r="H2963" s="71"/>
      <c r="I2963" s="63" t="s">
        <v>635</v>
      </c>
      <c r="J2963" s="68" t="s">
        <v>9901</v>
      </c>
      <c r="K2963" s="71"/>
      <c r="L2963" s="71"/>
      <c r="M2963" s="104"/>
      <c r="N2963" s="105"/>
      <c r="O2963" s="51"/>
    </row>
    <row r="2964">
      <c r="A2964" s="56">
        <v>2961.0</v>
      </c>
      <c r="B2964" s="71"/>
      <c r="C2964" s="69" t="s">
        <v>12195</v>
      </c>
      <c r="D2964" s="71"/>
      <c r="E2964" s="68" t="s">
        <v>12196</v>
      </c>
      <c r="F2964" s="83">
        <v>42329.0</v>
      </c>
      <c r="G2964" s="68" t="s">
        <v>12197</v>
      </c>
      <c r="H2964" s="71"/>
      <c r="I2964" s="63" t="s">
        <v>635</v>
      </c>
      <c r="J2964" s="68" t="s">
        <v>9535</v>
      </c>
      <c r="K2964" s="71"/>
      <c r="L2964" s="71"/>
      <c r="M2964" s="128" t="s">
        <v>166</v>
      </c>
      <c r="N2964" s="61"/>
      <c r="O2964" s="51"/>
    </row>
    <row r="2965">
      <c r="A2965" s="56">
        <v>2962.0</v>
      </c>
      <c r="B2965" s="71"/>
      <c r="C2965" s="69" t="s">
        <v>12198</v>
      </c>
      <c r="D2965" s="71"/>
      <c r="E2965" s="68" t="s">
        <v>12199</v>
      </c>
      <c r="F2965" s="83">
        <v>42329.0</v>
      </c>
      <c r="G2965" s="68" t="s">
        <v>12200</v>
      </c>
      <c r="H2965" s="71"/>
      <c r="I2965" s="63" t="s">
        <v>635</v>
      </c>
      <c r="J2965" s="68" t="s">
        <v>11584</v>
      </c>
      <c r="K2965" s="71"/>
      <c r="L2965" s="71"/>
      <c r="M2965" s="68" t="s">
        <v>166</v>
      </c>
      <c r="N2965" s="61"/>
      <c r="O2965" s="51"/>
    </row>
    <row r="2966">
      <c r="A2966" s="56">
        <v>2963.0</v>
      </c>
      <c r="B2966" s="71"/>
      <c r="C2966" s="69" t="s">
        <v>12201</v>
      </c>
      <c r="D2966" s="71"/>
      <c r="E2966" s="68" t="s">
        <v>12202</v>
      </c>
      <c r="F2966" s="83">
        <v>42329.0</v>
      </c>
      <c r="G2966" s="68" t="s">
        <v>12203</v>
      </c>
      <c r="H2966" s="71"/>
      <c r="I2966" s="66"/>
      <c r="J2966" s="68" t="s">
        <v>9535</v>
      </c>
      <c r="K2966" s="71"/>
      <c r="L2966" s="71"/>
      <c r="M2966" s="68" t="s">
        <v>166</v>
      </c>
      <c r="N2966" s="61"/>
      <c r="O2966" s="51"/>
    </row>
    <row r="2967">
      <c r="A2967" s="56">
        <v>2964.0</v>
      </c>
      <c r="B2967" s="71"/>
      <c r="C2967" s="69" t="s">
        <v>12204</v>
      </c>
      <c r="D2967" s="71"/>
      <c r="E2967" s="68" t="s">
        <v>12205</v>
      </c>
      <c r="F2967" s="83">
        <v>42329.0</v>
      </c>
      <c r="G2967" s="68" t="s">
        <v>12206</v>
      </c>
      <c r="H2967" s="71"/>
      <c r="I2967" s="66"/>
      <c r="J2967" s="68" t="s">
        <v>9535</v>
      </c>
      <c r="K2967" s="71"/>
      <c r="L2967" s="71"/>
      <c r="M2967" s="68" t="s">
        <v>166</v>
      </c>
      <c r="N2967" s="61"/>
      <c r="O2967" s="51"/>
    </row>
    <row r="2968">
      <c r="A2968" s="56">
        <v>2965.0</v>
      </c>
      <c r="B2968" s="71"/>
      <c r="C2968" s="69" t="s">
        <v>12207</v>
      </c>
      <c r="D2968" s="71"/>
      <c r="E2968" s="68" t="s">
        <v>12208</v>
      </c>
      <c r="F2968" s="83">
        <v>42329.0</v>
      </c>
      <c r="G2968" s="68" t="s">
        <v>12209</v>
      </c>
      <c r="H2968" s="71"/>
      <c r="I2968" s="66"/>
      <c r="J2968" s="68" t="s">
        <v>11584</v>
      </c>
      <c r="K2968" s="71"/>
      <c r="L2968" s="71"/>
      <c r="M2968" s="68" t="s">
        <v>166</v>
      </c>
      <c r="N2968" s="61"/>
      <c r="O2968" s="51"/>
    </row>
    <row r="2969">
      <c r="A2969" s="56">
        <v>2966.0</v>
      </c>
      <c r="B2969" s="71"/>
      <c r="C2969" s="69" t="s">
        <v>12210</v>
      </c>
      <c r="D2969" s="71"/>
      <c r="E2969" s="68" t="s">
        <v>12211</v>
      </c>
      <c r="F2969" s="83">
        <v>42329.0</v>
      </c>
      <c r="G2969" s="68" t="s">
        <v>12212</v>
      </c>
      <c r="H2969" s="71"/>
      <c r="I2969" s="66"/>
      <c r="J2969" s="68" t="s">
        <v>11584</v>
      </c>
      <c r="K2969" s="71"/>
      <c r="L2969" s="71"/>
      <c r="M2969" s="68" t="s">
        <v>166</v>
      </c>
      <c r="N2969" s="61"/>
      <c r="O2969" s="51"/>
    </row>
    <row r="2970">
      <c r="A2970" s="56">
        <v>2967.0</v>
      </c>
      <c r="B2970" s="71"/>
      <c r="C2970" s="69" t="s">
        <v>12213</v>
      </c>
      <c r="D2970" s="71"/>
      <c r="E2970" s="68" t="s">
        <v>12214</v>
      </c>
      <c r="F2970" s="83">
        <v>42329.0</v>
      </c>
      <c r="G2970" s="68" t="s">
        <v>12215</v>
      </c>
      <c r="H2970" s="71"/>
      <c r="I2970" s="66"/>
      <c r="J2970" s="68" t="s">
        <v>11584</v>
      </c>
      <c r="K2970" s="71"/>
      <c r="L2970" s="71"/>
      <c r="M2970" s="68" t="s">
        <v>166</v>
      </c>
      <c r="N2970" s="61"/>
      <c r="O2970" s="51"/>
    </row>
    <row r="2971">
      <c r="A2971" s="56">
        <v>2968.0</v>
      </c>
      <c r="B2971" s="71"/>
      <c r="C2971" s="69" t="s">
        <v>12216</v>
      </c>
      <c r="D2971" s="71"/>
      <c r="E2971" s="68" t="s">
        <v>12217</v>
      </c>
      <c r="F2971" s="83">
        <v>42329.0</v>
      </c>
      <c r="G2971" s="71"/>
      <c r="H2971" s="71"/>
      <c r="I2971" s="66"/>
      <c r="J2971" s="68" t="s">
        <v>12158</v>
      </c>
      <c r="K2971" s="71"/>
      <c r="L2971" s="71"/>
      <c r="M2971" s="68" t="s">
        <v>166</v>
      </c>
      <c r="N2971" s="61"/>
      <c r="O2971" s="51"/>
    </row>
    <row r="2972">
      <c r="A2972" s="56">
        <v>2969.0</v>
      </c>
      <c r="B2972" s="71"/>
      <c r="C2972" s="69" t="s">
        <v>12218</v>
      </c>
      <c r="D2972" s="71"/>
      <c r="E2972" s="68" t="s">
        <v>12219</v>
      </c>
      <c r="F2972" s="83">
        <v>42329.0</v>
      </c>
      <c r="G2972" s="68" t="s">
        <v>12220</v>
      </c>
      <c r="H2972" s="71"/>
      <c r="I2972" s="66"/>
      <c r="J2972" s="68" t="s">
        <v>11584</v>
      </c>
      <c r="K2972" s="71"/>
      <c r="L2972" s="71"/>
      <c r="M2972" s="68" t="s">
        <v>166</v>
      </c>
      <c r="N2972" s="61"/>
      <c r="O2972" s="51"/>
    </row>
    <row r="2973">
      <c r="A2973" s="56">
        <v>2970.0</v>
      </c>
      <c r="B2973" s="71"/>
      <c r="C2973" s="69" t="s">
        <v>12221</v>
      </c>
      <c r="D2973" s="71"/>
      <c r="E2973" s="68" t="s">
        <v>12222</v>
      </c>
      <c r="F2973" s="83">
        <v>42329.0</v>
      </c>
      <c r="G2973" s="68" t="s">
        <v>12223</v>
      </c>
      <c r="H2973" s="71"/>
      <c r="I2973" s="66"/>
      <c r="J2973" s="68" t="s">
        <v>9535</v>
      </c>
      <c r="K2973" s="71"/>
      <c r="L2973" s="71"/>
      <c r="M2973" s="68" t="s">
        <v>166</v>
      </c>
      <c r="N2973" s="61"/>
      <c r="O2973" s="51"/>
    </row>
    <row r="2974">
      <c r="A2974" s="56">
        <v>2971.0</v>
      </c>
      <c r="B2974" s="71"/>
      <c r="C2974" s="69" t="s">
        <v>12224</v>
      </c>
      <c r="D2974" s="71"/>
      <c r="E2974" s="68" t="s">
        <v>12225</v>
      </c>
      <c r="F2974" s="83">
        <v>42329.0</v>
      </c>
      <c r="G2974" s="68" t="s">
        <v>12226</v>
      </c>
      <c r="H2974" s="71"/>
      <c r="I2974" s="66"/>
      <c r="J2974" s="68" t="s">
        <v>9535</v>
      </c>
      <c r="K2974" s="71"/>
      <c r="L2974" s="71"/>
      <c r="M2974" s="68" t="s">
        <v>166</v>
      </c>
      <c r="N2974" s="61"/>
      <c r="O2974" s="51"/>
    </row>
    <row r="2975">
      <c r="A2975" s="56">
        <v>2972.0</v>
      </c>
      <c r="B2975" s="71"/>
      <c r="C2975" s="69" t="s">
        <v>12227</v>
      </c>
      <c r="D2975" s="71"/>
      <c r="E2975" s="68" t="s">
        <v>12228</v>
      </c>
      <c r="F2975" s="83">
        <v>42330.0</v>
      </c>
      <c r="G2975" s="68" t="s">
        <v>12229</v>
      </c>
      <c r="H2975" s="71"/>
      <c r="I2975" s="66"/>
      <c r="J2975" s="68" t="s">
        <v>9535</v>
      </c>
      <c r="K2975" s="71"/>
      <c r="L2975" s="71"/>
      <c r="M2975" s="68" t="s">
        <v>166</v>
      </c>
      <c r="N2975" s="61"/>
      <c r="O2975" s="51"/>
    </row>
    <row r="2976">
      <c r="A2976" s="56">
        <v>2973.0</v>
      </c>
      <c r="B2976" s="71"/>
      <c r="C2976" s="69" t="s">
        <v>12230</v>
      </c>
      <c r="D2976" s="71"/>
      <c r="E2976" s="68" t="s">
        <v>12231</v>
      </c>
      <c r="F2976" s="83">
        <v>42330.0</v>
      </c>
      <c r="G2976" s="68" t="s">
        <v>12232</v>
      </c>
      <c r="H2976" s="71"/>
      <c r="I2976" s="66"/>
      <c r="J2976" s="68" t="s">
        <v>9535</v>
      </c>
      <c r="K2976" s="71"/>
      <c r="L2976" s="71"/>
      <c r="M2976" s="68" t="s">
        <v>166</v>
      </c>
      <c r="N2976" s="61"/>
      <c r="O2976" s="51"/>
    </row>
    <row r="2977">
      <c r="A2977" s="56">
        <v>2974.0</v>
      </c>
      <c r="B2977" s="71"/>
      <c r="C2977" s="69" t="s">
        <v>12233</v>
      </c>
      <c r="D2977" s="71"/>
      <c r="E2977" s="68" t="s">
        <v>12234</v>
      </c>
      <c r="F2977" s="83">
        <v>42330.0</v>
      </c>
      <c r="G2977" s="68" t="s">
        <v>12235</v>
      </c>
      <c r="H2977" s="71"/>
      <c r="I2977" s="66"/>
      <c r="J2977" s="68" t="s">
        <v>9535</v>
      </c>
      <c r="K2977" s="71"/>
      <c r="L2977" s="71"/>
      <c r="M2977" s="68" t="s">
        <v>166</v>
      </c>
      <c r="N2977" s="61"/>
      <c r="O2977" s="51"/>
    </row>
    <row r="2978">
      <c r="A2978" s="56">
        <v>2975.0</v>
      </c>
      <c r="B2978" s="71"/>
      <c r="C2978" s="69" t="s">
        <v>12236</v>
      </c>
      <c r="D2978" s="71"/>
      <c r="E2978" s="68" t="s">
        <v>12237</v>
      </c>
      <c r="F2978" s="83">
        <v>42330.0</v>
      </c>
      <c r="G2978" s="68" t="s">
        <v>12238</v>
      </c>
      <c r="H2978" s="71"/>
      <c r="I2978" s="66"/>
      <c r="J2978" s="68" t="s">
        <v>9535</v>
      </c>
      <c r="K2978" s="71"/>
      <c r="L2978" s="71"/>
      <c r="M2978" s="68" t="s">
        <v>166</v>
      </c>
      <c r="N2978" s="61"/>
      <c r="O2978" s="51"/>
    </row>
    <row r="2979">
      <c r="A2979" s="56">
        <v>2976.0</v>
      </c>
      <c r="B2979" s="71"/>
      <c r="C2979" s="69" t="s">
        <v>12239</v>
      </c>
      <c r="D2979" s="71"/>
      <c r="E2979" s="68" t="s">
        <v>12240</v>
      </c>
      <c r="F2979" s="83">
        <v>42330.0</v>
      </c>
      <c r="G2979" s="68" t="s">
        <v>12241</v>
      </c>
      <c r="H2979" s="71"/>
      <c r="I2979" s="66"/>
      <c r="J2979" s="68" t="s">
        <v>11584</v>
      </c>
      <c r="K2979" s="71"/>
      <c r="L2979" s="71"/>
      <c r="M2979" s="68" t="s">
        <v>166</v>
      </c>
      <c r="N2979" s="61"/>
      <c r="O2979" s="51"/>
    </row>
    <row r="2980">
      <c r="A2980" s="56">
        <v>2977.0</v>
      </c>
      <c r="B2980" s="60"/>
      <c r="C2980" s="58" t="s">
        <v>12242</v>
      </c>
      <c r="D2980" s="60"/>
      <c r="E2980" s="57" t="s">
        <v>12243</v>
      </c>
      <c r="F2980" s="185">
        <v>42005.0</v>
      </c>
      <c r="G2980" s="57" t="s">
        <v>12244</v>
      </c>
      <c r="H2980" s="60"/>
      <c r="I2980" s="63" t="s">
        <v>12245</v>
      </c>
      <c r="J2980" s="57" t="s">
        <v>12246</v>
      </c>
      <c r="K2980" s="60"/>
      <c r="L2980" s="60"/>
      <c r="M2980" s="104"/>
      <c r="N2980" s="105"/>
      <c r="O2980" s="51"/>
    </row>
    <row r="2981">
      <c r="A2981" s="56">
        <v>2978.0</v>
      </c>
      <c r="B2981" s="71"/>
      <c r="C2981" s="69" t="s">
        <v>12247</v>
      </c>
      <c r="D2981" s="71"/>
      <c r="E2981" s="68" t="s">
        <v>12248</v>
      </c>
      <c r="F2981" s="76">
        <v>42285.0</v>
      </c>
      <c r="G2981" s="68" t="s">
        <v>12249</v>
      </c>
      <c r="H2981" s="71"/>
      <c r="I2981" s="63" t="s">
        <v>635</v>
      </c>
      <c r="J2981" s="68" t="s">
        <v>12250</v>
      </c>
      <c r="K2981" s="71"/>
      <c r="L2981" s="71"/>
      <c r="M2981" s="111"/>
      <c r="N2981" s="61"/>
      <c r="O2981" s="51"/>
    </row>
    <row r="2982">
      <c r="A2982" s="56">
        <v>2979.0</v>
      </c>
      <c r="B2982" s="60"/>
      <c r="C2982" s="58" t="s">
        <v>12251</v>
      </c>
      <c r="D2982" s="60"/>
      <c r="E2982" s="57" t="s">
        <v>12252</v>
      </c>
      <c r="F2982" s="59">
        <v>42312.0</v>
      </c>
      <c r="G2982" s="57" t="s">
        <v>12253</v>
      </c>
      <c r="H2982" s="60"/>
      <c r="I2982" s="66"/>
      <c r="J2982" s="57" t="s">
        <v>12254</v>
      </c>
      <c r="K2982" s="60"/>
      <c r="L2982" s="60"/>
      <c r="M2982" s="60"/>
      <c r="N2982" s="61"/>
      <c r="O2982" s="51"/>
    </row>
    <row r="2983">
      <c r="A2983" s="56">
        <v>2980.0</v>
      </c>
      <c r="B2983" s="71"/>
      <c r="C2983" s="69" t="s">
        <v>12255</v>
      </c>
      <c r="D2983" s="71"/>
      <c r="E2983" s="68" t="s">
        <v>12256</v>
      </c>
      <c r="F2983" s="83">
        <v>42296.0</v>
      </c>
      <c r="G2983" s="68" t="s">
        <v>12257</v>
      </c>
      <c r="H2983" s="71"/>
      <c r="I2983" s="63" t="s">
        <v>12258</v>
      </c>
      <c r="J2983" s="68" t="s">
        <v>12259</v>
      </c>
      <c r="K2983" s="71"/>
      <c r="L2983" s="71"/>
      <c r="M2983" s="71"/>
      <c r="N2983" s="61"/>
      <c r="O2983" s="51"/>
    </row>
    <row r="2984">
      <c r="A2984" s="56">
        <v>2981.0</v>
      </c>
      <c r="B2984" s="71"/>
      <c r="C2984" s="69" t="s">
        <v>12260</v>
      </c>
      <c r="D2984" s="71"/>
      <c r="E2984" s="68" t="s">
        <v>12261</v>
      </c>
      <c r="F2984" s="83">
        <v>42296.0</v>
      </c>
      <c r="G2984" s="68" t="s">
        <v>12257</v>
      </c>
      <c r="H2984" s="71"/>
      <c r="I2984" s="63" t="s">
        <v>12258</v>
      </c>
      <c r="J2984" s="68" t="s">
        <v>12259</v>
      </c>
      <c r="K2984" s="71"/>
      <c r="L2984" s="71"/>
      <c r="M2984" s="71"/>
      <c r="N2984" s="61"/>
      <c r="O2984" s="51"/>
    </row>
    <row r="2985">
      <c r="A2985" s="56">
        <v>2982.0</v>
      </c>
      <c r="B2985" s="71"/>
      <c r="C2985" s="69" t="s">
        <v>12262</v>
      </c>
      <c r="D2985" s="71"/>
      <c r="E2985" s="68" t="s">
        <v>12263</v>
      </c>
      <c r="F2985" s="83">
        <v>42004.0</v>
      </c>
      <c r="G2985" s="68" t="s">
        <v>12264</v>
      </c>
      <c r="H2985" s="71"/>
      <c r="I2985" s="68" t="s">
        <v>12265</v>
      </c>
      <c r="J2985" s="68" t="s">
        <v>12266</v>
      </c>
      <c r="K2985" s="71"/>
      <c r="L2985" s="71"/>
      <c r="M2985" s="68" t="s">
        <v>143</v>
      </c>
      <c r="N2985" s="77"/>
      <c r="O2985" s="51"/>
    </row>
    <row r="2986">
      <c r="A2986" s="56">
        <v>2983.0</v>
      </c>
      <c r="B2986" s="71"/>
      <c r="C2986" s="69" t="s">
        <v>12267</v>
      </c>
      <c r="D2986" s="71"/>
      <c r="E2986" s="68" t="s">
        <v>12268</v>
      </c>
      <c r="F2986" s="83">
        <v>42297.0</v>
      </c>
      <c r="G2986" s="68" t="s">
        <v>12269</v>
      </c>
      <c r="H2986" s="71"/>
      <c r="I2986" s="68" t="s">
        <v>12270</v>
      </c>
      <c r="J2986" s="68" t="s">
        <v>12271</v>
      </c>
      <c r="K2986" s="71"/>
      <c r="L2986" s="71"/>
      <c r="M2986" s="71"/>
      <c r="N2986" s="77"/>
      <c r="O2986" s="51"/>
    </row>
    <row r="2987">
      <c r="A2987" s="56">
        <v>2984.0</v>
      </c>
      <c r="B2987" s="71"/>
      <c r="C2987" s="69" t="s">
        <v>12272</v>
      </c>
      <c r="D2987" s="71"/>
      <c r="E2987" s="68" t="s">
        <v>12273</v>
      </c>
      <c r="F2987" s="83">
        <v>39767.0</v>
      </c>
      <c r="G2987" s="68" t="s">
        <v>12274</v>
      </c>
      <c r="H2987" s="71"/>
      <c r="I2987" s="63" t="s">
        <v>12275</v>
      </c>
      <c r="J2987" s="68" t="s">
        <v>12276</v>
      </c>
      <c r="K2987" s="71"/>
      <c r="L2987" s="71"/>
      <c r="M2987" s="71"/>
      <c r="N2987" s="61"/>
      <c r="O2987" s="51"/>
    </row>
    <row r="2988">
      <c r="A2988" s="56">
        <v>2985.0</v>
      </c>
      <c r="B2988" s="71"/>
      <c r="C2988" s="69" t="s">
        <v>12277</v>
      </c>
      <c r="D2988" s="71"/>
      <c r="E2988" s="68" t="s">
        <v>12278</v>
      </c>
      <c r="F2988" s="83">
        <v>42348.0</v>
      </c>
      <c r="G2988" s="68" t="s">
        <v>12279</v>
      </c>
      <c r="H2988" s="71"/>
      <c r="I2988" s="63" t="s">
        <v>12280</v>
      </c>
      <c r="J2988" s="68" t="s">
        <v>12281</v>
      </c>
      <c r="K2988" s="71"/>
      <c r="L2988" s="71"/>
      <c r="M2988" s="71"/>
      <c r="N2988" s="61"/>
      <c r="O2988" s="51"/>
    </row>
    <row r="2989">
      <c r="A2989" s="56">
        <v>2986.0</v>
      </c>
      <c r="B2989" s="71"/>
      <c r="C2989" s="69" t="s">
        <v>12282</v>
      </c>
      <c r="D2989" s="71"/>
      <c r="E2989" s="68" t="s">
        <v>12283</v>
      </c>
      <c r="F2989" s="68">
        <v>2013.0</v>
      </c>
      <c r="G2989" s="68" t="s">
        <v>12284</v>
      </c>
      <c r="H2989" s="71"/>
      <c r="I2989" s="66"/>
      <c r="J2989" s="68" t="s">
        <v>12285</v>
      </c>
      <c r="K2989" s="71"/>
      <c r="L2989" s="71"/>
      <c r="M2989" s="71"/>
      <c r="N2989" s="61"/>
      <c r="O2989" s="51"/>
    </row>
    <row r="2990">
      <c r="A2990" s="56">
        <v>2987.0</v>
      </c>
      <c r="B2990" s="66"/>
      <c r="C2990" s="64" t="s">
        <v>12286</v>
      </c>
      <c r="D2990" s="66"/>
      <c r="E2990" s="63" t="s">
        <v>12287</v>
      </c>
      <c r="F2990" s="63">
        <v>2008.0</v>
      </c>
      <c r="G2990" s="63" t="s">
        <v>12288</v>
      </c>
      <c r="H2990" s="66"/>
      <c r="I2990" s="63" t="s">
        <v>12289</v>
      </c>
      <c r="J2990" s="63" t="s">
        <v>11049</v>
      </c>
      <c r="K2990" s="66"/>
      <c r="L2990" s="66"/>
      <c r="M2990" s="63" t="s">
        <v>27</v>
      </c>
      <c r="N2990" s="61"/>
      <c r="O2990" s="51"/>
    </row>
    <row r="2991">
      <c r="A2991" s="56">
        <v>2988.0</v>
      </c>
      <c r="B2991" s="71"/>
      <c r="C2991" s="69" t="s">
        <v>12290</v>
      </c>
      <c r="D2991" s="71"/>
      <c r="E2991" s="68" t="s">
        <v>12291</v>
      </c>
      <c r="F2991" s="68">
        <v>2014.0</v>
      </c>
      <c r="G2991" s="68" t="s">
        <v>12292</v>
      </c>
      <c r="H2991" s="71"/>
      <c r="I2991" s="66"/>
      <c r="J2991" s="68" t="s">
        <v>12293</v>
      </c>
      <c r="K2991" s="71"/>
      <c r="L2991" s="71"/>
      <c r="M2991" s="71"/>
      <c r="N2991" s="61"/>
      <c r="O2991" s="51"/>
    </row>
    <row r="2992">
      <c r="A2992" s="75">
        <v>2989.0</v>
      </c>
      <c r="B2992" s="71"/>
      <c r="C2992" s="69" t="s">
        <v>12294</v>
      </c>
      <c r="D2992" s="71"/>
      <c r="E2992" s="68" t="s">
        <v>12295</v>
      </c>
      <c r="F2992" s="76">
        <v>41888.0</v>
      </c>
      <c r="G2992" s="68" t="s">
        <v>12296</v>
      </c>
      <c r="H2992" s="71"/>
      <c r="I2992" s="68" t="s">
        <v>12297</v>
      </c>
      <c r="J2992" s="68" t="s">
        <v>12298</v>
      </c>
      <c r="K2992" s="71"/>
      <c r="L2992" s="71"/>
      <c r="M2992" s="68" t="s">
        <v>27</v>
      </c>
      <c r="N2992" s="77"/>
      <c r="O2992" s="51"/>
    </row>
    <row r="2993">
      <c r="A2993" s="56">
        <v>2990.0</v>
      </c>
      <c r="B2993" s="71"/>
      <c r="C2993" s="69" t="s">
        <v>12299</v>
      </c>
      <c r="D2993" s="71"/>
      <c r="E2993" s="68" t="s">
        <v>12300</v>
      </c>
      <c r="F2993" s="183">
        <v>41730.0</v>
      </c>
      <c r="G2993" s="68" t="s">
        <v>12301</v>
      </c>
      <c r="H2993" s="71"/>
      <c r="I2993" s="63" t="s">
        <v>12302</v>
      </c>
      <c r="J2993" s="68" t="s">
        <v>12303</v>
      </c>
      <c r="K2993" s="71"/>
      <c r="L2993" s="71"/>
      <c r="M2993" s="71"/>
      <c r="N2993" s="61"/>
      <c r="O2993" s="51"/>
    </row>
    <row r="2994">
      <c r="A2994" s="56">
        <v>2991.0</v>
      </c>
      <c r="B2994" s="71"/>
      <c r="C2994" s="69" t="s">
        <v>12304</v>
      </c>
      <c r="D2994" s="71"/>
      <c r="E2994" s="68" t="s">
        <v>12305</v>
      </c>
      <c r="F2994" s="68">
        <v>2014.0</v>
      </c>
      <c r="G2994" s="68" t="s">
        <v>12306</v>
      </c>
      <c r="H2994" s="71"/>
      <c r="I2994" s="66"/>
      <c r="J2994" s="68" t="s">
        <v>12285</v>
      </c>
      <c r="K2994" s="71"/>
      <c r="L2994" s="71"/>
      <c r="M2994" s="71"/>
      <c r="N2994" s="61"/>
      <c r="O2994" s="51"/>
    </row>
    <row r="2995">
      <c r="A2995" s="56">
        <v>2992.0</v>
      </c>
      <c r="B2995" s="71"/>
      <c r="C2995" s="69" t="s">
        <v>12307</v>
      </c>
      <c r="D2995" s="71"/>
      <c r="E2995" s="68" t="s">
        <v>12308</v>
      </c>
      <c r="F2995" s="83">
        <v>42155.0</v>
      </c>
      <c r="G2995" s="68" t="s">
        <v>12309</v>
      </c>
      <c r="H2995" s="71"/>
      <c r="I2995" s="63" t="s">
        <v>12310</v>
      </c>
      <c r="J2995" s="68" t="s">
        <v>9535</v>
      </c>
      <c r="K2995" s="71"/>
      <c r="L2995" s="71"/>
      <c r="M2995" s="71"/>
      <c r="N2995" s="61"/>
      <c r="O2995" s="51"/>
    </row>
    <row r="2996">
      <c r="A2996" s="56">
        <v>2993.0</v>
      </c>
      <c r="B2996" s="66"/>
      <c r="C2996" s="64" t="s">
        <v>12311</v>
      </c>
      <c r="D2996" s="66"/>
      <c r="E2996" s="63" t="s">
        <v>12312</v>
      </c>
      <c r="F2996" s="70">
        <v>40592.0</v>
      </c>
      <c r="G2996" s="63" t="s">
        <v>12313</v>
      </c>
      <c r="H2996" s="66"/>
      <c r="I2996" s="63" t="s">
        <v>12314</v>
      </c>
      <c r="J2996" s="63" t="s">
        <v>11049</v>
      </c>
      <c r="K2996" s="66"/>
      <c r="L2996" s="66"/>
      <c r="M2996" s="63" t="s">
        <v>27</v>
      </c>
      <c r="N2996" s="61"/>
      <c r="O2996" s="51"/>
    </row>
    <row r="2997">
      <c r="A2997" s="56">
        <v>2994.0</v>
      </c>
      <c r="B2997" s="66"/>
      <c r="C2997" s="64" t="s">
        <v>12315</v>
      </c>
      <c r="D2997" s="66"/>
      <c r="E2997" s="63" t="s">
        <v>12316</v>
      </c>
      <c r="F2997" s="70">
        <v>40067.0</v>
      </c>
      <c r="G2997" s="63" t="s">
        <v>12317</v>
      </c>
      <c r="H2997" s="66"/>
      <c r="I2997" s="66"/>
      <c r="J2997" s="63" t="s">
        <v>12318</v>
      </c>
      <c r="K2997" s="66"/>
      <c r="L2997" s="66"/>
      <c r="M2997" s="63" t="s">
        <v>872</v>
      </c>
      <c r="N2997" s="61"/>
      <c r="O2997" s="51"/>
    </row>
    <row r="2998">
      <c r="A2998" s="56">
        <v>2995.0</v>
      </c>
      <c r="B2998" s="66"/>
      <c r="C2998" s="64" t="s">
        <v>12319</v>
      </c>
      <c r="D2998" s="66"/>
      <c r="E2998" s="63" t="s">
        <v>12320</v>
      </c>
      <c r="F2998" s="70">
        <v>40067.0</v>
      </c>
      <c r="G2998" s="63" t="s">
        <v>12321</v>
      </c>
      <c r="H2998" s="66"/>
      <c r="I2998" s="66"/>
      <c r="J2998" s="63" t="s">
        <v>12318</v>
      </c>
      <c r="K2998" s="66"/>
      <c r="L2998" s="66"/>
      <c r="M2998" s="63" t="s">
        <v>872</v>
      </c>
      <c r="N2998" s="61"/>
      <c r="O2998" s="51"/>
    </row>
    <row r="2999">
      <c r="A2999" s="56">
        <v>2996.0</v>
      </c>
      <c r="B2999" s="66"/>
      <c r="C2999" s="64" t="s">
        <v>12322</v>
      </c>
      <c r="D2999" s="66"/>
      <c r="E2999" s="63" t="s">
        <v>12323</v>
      </c>
      <c r="F2999" s="65">
        <v>42296.0</v>
      </c>
      <c r="G2999" s="63" t="s">
        <v>12324</v>
      </c>
      <c r="H2999" s="66"/>
      <c r="I2999" s="63" t="s">
        <v>12325</v>
      </c>
      <c r="J2999" s="63" t="s">
        <v>9175</v>
      </c>
      <c r="K2999" s="66"/>
      <c r="L2999" s="66"/>
      <c r="M2999" s="63" t="s">
        <v>143</v>
      </c>
      <c r="N2999" s="61"/>
      <c r="O2999" s="51"/>
    </row>
    <row r="3000">
      <c r="A3000" s="56">
        <v>2997.0</v>
      </c>
      <c r="B3000" s="71"/>
      <c r="C3000" s="69" t="s">
        <v>12326</v>
      </c>
      <c r="D3000" s="116"/>
      <c r="E3000" s="68" t="s">
        <v>12327</v>
      </c>
      <c r="F3000" s="76">
        <v>42216.0</v>
      </c>
      <c r="G3000" s="68" t="s">
        <v>12328</v>
      </c>
      <c r="H3000" s="71"/>
      <c r="I3000" s="68" t="s">
        <v>635</v>
      </c>
      <c r="J3000" s="68" t="s">
        <v>12329</v>
      </c>
      <c r="K3000" s="116"/>
      <c r="L3000" s="116"/>
      <c r="M3000" s="68" t="s">
        <v>2748</v>
      </c>
      <c r="N3000" s="77"/>
      <c r="O3000" s="51"/>
    </row>
    <row r="3001">
      <c r="A3001" s="56">
        <v>2998.0</v>
      </c>
      <c r="B3001" s="71"/>
      <c r="C3001" s="69" t="s">
        <v>12330</v>
      </c>
      <c r="D3001" s="71"/>
      <c r="E3001" s="68" t="s">
        <v>12331</v>
      </c>
      <c r="F3001" s="68">
        <v>2014.0</v>
      </c>
      <c r="G3001" s="68" t="s">
        <v>12332</v>
      </c>
      <c r="H3001" s="71"/>
      <c r="I3001" s="63" t="s">
        <v>12333</v>
      </c>
      <c r="J3001" s="68" t="s">
        <v>12334</v>
      </c>
      <c r="K3001" s="71"/>
      <c r="L3001" s="71"/>
      <c r="M3001" s="71"/>
      <c r="N3001" s="61"/>
      <c r="O3001" s="51"/>
    </row>
    <row r="3002">
      <c r="A3002" s="56">
        <v>2999.0</v>
      </c>
      <c r="B3002" s="71"/>
      <c r="C3002" s="69" t="s">
        <v>12335</v>
      </c>
      <c r="D3002" s="71"/>
      <c r="E3002" s="68" t="s">
        <v>12336</v>
      </c>
      <c r="F3002" s="76">
        <v>42231.0</v>
      </c>
      <c r="G3002" s="68" t="s">
        <v>12337</v>
      </c>
      <c r="H3002" s="71"/>
      <c r="I3002" s="66"/>
      <c r="J3002" s="68" t="s">
        <v>2675</v>
      </c>
      <c r="K3002" s="71"/>
      <c r="L3002" s="71"/>
      <c r="M3002" s="71"/>
      <c r="N3002" s="61"/>
      <c r="O3002" s="51"/>
    </row>
    <row r="3003">
      <c r="A3003" s="56">
        <v>3000.0</v>
      </c>
      <c r="B3003" s="66"/>
      <c r="C3003" s="64" t="s">
        <v>12338</v>
      </c>
      <c r="D3003" s="66"/>
      <c r="E3003" s="63" t="s">
        <v>12339</v>
      </c>
      <c r="F3003" s="63">
        <v>2009.0</v>
      </c>
      <c r="G3003" s="63" t="s">
        <v>12340</v>
      </c>
      <c r="H3003" s="66"/>
      <c r="I3003" s="63" t="s">
        <v>12341</v>
      </c>
      <c r="J3003" s="63" t="s">
        <v>1872</v>
      </c>
      <c r="K3003" s="66"/>
      <c r="L3003" s="66"/>
      <c r="M3003" s="63" t="s">
        <v>530</v>
      </c>
      <c r="N3003" s="61"/>
      <c r="O3003" s="51"/>
    </row>
    <row r="3004">
      <c r="A3004" s="56">
        <v>3001.0</v>
      </c>
      <c r="B3004" s="71"/>
      <c r="C3004" s="69" t="s">
        <v>12342</v>
      </c>
      <c r="D3004" s="71"/>
      <c r="E3004" s="68" t="s">
        <v>12343</v>
      </c>
      <c r="F3004" s="83">
        <v>42348.0</v>
      </c>
      <c r="G3004" s="68" t="s">
        <v>12344</v>
      </c>
      <c r="H3004" s="71"/>
      <c r="I3004" s="63" t="s">
        <v>635</v>
      </c>
      <c r="J3004" s="68" t="s">
        <v>12345</v>
      </c>
      <c r="K3004" s="71"/>
      <c r="L3004" s="71"/>
      <c r="M3004" s="71"/>
      <c r="N3004" s="61"/>
      <c r="O3004" s="51"/>
    </row>
    <row r="3005">
      <c r="A3005" s="85">
        <v>3002.0</v>
      </c>
      <c r="B3005" s="82"/>
      <c r="C3005" s="79" t="s">
        <v>12346</v>
      </c>
      <c r="D3005" s="82"/>
      <c r="E3005" s="80" t="s">
        <v>12347</v>
      </c>
      <c r="F3005" s="80">
        <v>2012.0</v>
      </c>
      <c r="G3005" s="80" t="s">
        <v>12348</v>
      </c>
      <c r="H3005" s="82"/>
      <c r="I3005" s="82"/>
      <c r="J3005" s="68" t="s">
        <v>49</v>
      </c>
      <c r="K3005" s="82"/>
      <c r="L3005" s="80" t="s">
        <v>2743</v>
      </c>
      <c r="M3005" s="80" t="s">
        <v>166</v>
      </c>
      <c r="N3005" s="61"/>
      <c r="O3005" s="51"/>
    </row>
    <row r="3006">
      <c r="A3006" s="56">
        <v>3003.0</v>
      </c>
      <c r="B3006" s="71"/>
      <c r="C3006" s="69" t="s">
        <v>12349</v>
      </c>
      <c r="D3006" s="68" t="s">
        <v>12350</v>
      </c>
      <c r="E3006" s="68" t="s">
        <v>12351</v>
      </c>
      <c r="F3006" s="76">
        <v>41976.0</v>
      </c>
      <c r="G3006" s="68" t="s">
        <v>12352</v>
      </c>
      <c r="H3006" s="71"/>
      <c r="I3006" s="63" t="s">
        <v>12353</v>
      </c>
      <c r="J3006" s="68" t="s">
        <v>12354</v>
      </c>
      <c r="K3006" s="71"/>
      <c r="L3006" s="66"/>
      <c r="M3006" s="63" t="s">
        <v>143</v>
      </c>
      <c r="N3006" s="61"/>
      <c r="O3006" s="51"/>
    </row>
    <row r="3007">
      <c r="A3007" s="56">
        <v>3004.0</v>
      </c>
      <c r="B3007" s="71"/>
      <c r="C3007" s="69" t="s">
        <v>12355</v>
      </c>
      <c r="D3007" s="68" t="s">
        <v>12356</v>
      </c>
      <c r="E3007" s="68" t="s">
        <v>12357</v>
      </c>
      <c r="F3007" s="76">
        <v>41524.0</v>
      </c>
      <c r="G3007" s="68" t="s">
        <v>12358</v>
      </c>
      <c r="H3007" s="71"/>
      <c r="I3007" s="63" t="s">
        <v>635</v>
      </c>
      <c r="J3007" s="68" t="s">
        <v>12359</v>
      </c>
      <c r="K3007" s="71"/>
      <c r="L3007" s="71"/>
      <c r="M3007" s="71"/>
      <c r="N3007" s="61"/>
      <c r="O3007" s="51"/>
    </row>
    <row r="3008">
      <c r="A3008" s="56">
        <v>3005.0</v>
      </c>
      <c r="B3008" s="71"/>
      <c r="C3008" s="69" t="s">
        <v>12360</v>
      </c>
      <c r="D3008" s="68" t="s">
        <v>12361</v>
      </c>
      <c r="E3008" s="68" t="s">
        <v>12362</v>
      </c>
      <c r="F3008" s="76">
        <v>42143.0</v>
      </c>
      <c r="G3008" s="68" t="s">
        <v>12363</v>
      </c>
      <c r="H3008" s="71"/>
      <c r="I3008" s="63" t="s">
        <v>635</v>
      </c>
      <c r="J3008" s="68" t="s">
        <v>12364</v>
      </c>
      <c r="K3008" s="71"/>
      <c r="L3008" s="71"/>
      <c r="M3008" s="71"/>
      <c r="N3008" s="61"/>
      <c r="O3008" s="51"/>
    </row>
    <row r="3009">
      <c r="A3009" s="56">
        <v>3006.0</v>
      </c>
      <c r="B3009" s="71"/>
      <c r="C3009" s="69" t="s">
        <v>12365</v>
      </c>
      <c r="D3009" s="68" t="s">
        <v>12366</v>
      </c>
      <c r="E3009" s="68" t="s">
        <v>12367</v>
      </c>
      <c r="F3009" s="76">
        <v>42166.0</v>
      </c>
      <c r="G3009" s="68" t="s">
        <v>12368</v>
      </c>
      <c r="H3009" s="71"/>
      <c r="I3009" s="66"/>
      <c r="J3009" s="68" t="s">
        <v>12369</v>
      </c>
      <c r="K3009" s="71"/>
      <c r="L3009" s="71"/>
      <c r="M3009" s="68" t="s">
        <v>166</v>
      </c>
      <c r="N3009" s="61"/>
      <c r="O3009" s="51"/>
    </row>
    <row r="3010">
      <c r="A3010" s="56">
        <v>3007.0</v>
      </c>
      <c r="B3010" s="71"/>
      <c r="C3010" s="69" t="s">
        <v>12370</v>
      </c>
      <c r="D3010" s="71"/>
      <c r="E3010" s="68" t="s">
        <v>12371</v>
      </c>
      <c r="F3010" s="76">
        <v>42211.0</v>
      </c>
      <c r="G3010" s="68" t="s">
        <v>12372</v>
      </c>
      <c r="H3010" s="71"/>
      <c r="I3010" s="66"/>
      <c r="J3010" s="68" t="s">
        <v>12373</v>
      </c>
      <c r="K3010" s="71"/>
      <c r="L3010" s="71"/>
      <c r="M3010" s="71"/>
      <c r="N3010" s="61"/>
      <c r="O3010" s="51"/>
    </row>
    <row r="3011">
      <c r="A3011" s="75">
        <v>3008.0</v>
      </c>
      <c r="B3011" s="71"/>
      <c r="C3011" s="69" t="s">
        <v>12374</v>
      </c>
      <c r="D3011" s="71"/>
      <c r="E3011" s="68" t="s">
        <v>12375</v>
      </c>
      <c r="F3011" s="76">
        <v>41911.0</v>
      </c>
      <c r="G3011" s="68" t="s">
        <v>12376</v>
      </c>
      <c r="H3011" s="68" t="s">
        <v>12377</v>
      </c>
      <c r="I3011" s="68" t="s">
        <v>12378</v>
      </c>
      <c r="J3011" s="68" t="s">
        <v>12379</v>
      </c>
      <c r="K3011" s="71"/>
      <c r="L3011" s="71"/>
      <c r="M3011" s="68" t="s">
        <v>2152</v>
      </c>
      <c r="N3011" s="77"/>
      <c r="O3011" s="51"/>
    </row>
    <row r="3012">
      <c r="A3012" s="56">
        <v>3009.0</v>
      </c>
      <c r="B3012" s="66"/>
      <c r="C3012" s="64" t="s">
        <v>12380</v>
      </c>
      <c r="D3012" s="66"/>
      <c r="E3012" s="63" t="s">
        <v>12381</v>
      </c>
      <c r="F3012" s="70">
        <v>40038.0</v>
      </c>
      <c r="G3012" s="63" t="s">
        <v>12382</v>
      </c>
      <c r="H3012" s="63" t="s">
        <v>439</v>
      </c>
      <c r="I3012" s="63" t="s">
        <v>635</v>
      </c>
      <c r="J3012" s="63" t="s">
        <v>6393</v>
      </c>
      <c r="K3012" s="66"/>
      <c r="L3012" s="66"/>
      <c r="M3012" s="63" t="s">
        <v>6875</v>
      </c>
      <c r="N3012" s="61"/>
      <c r="O3012" s="51"/>
    </row>
    <row r="3013">
      <c r="A3013" s="56">
        <v>3010.0</v>
      </c>
      <c r="B3013" s="71"/>
      <c r="C3013" s="69" t="s">
        <v>12383</v>
      </c>
      <c r="D3013" s="71"/>
      <c r="E3013" s="68" t="s">
        <v>12384</v>
      </c>
      <c r="F3013" s="68" t="s">
        <v>12385</v>
      </c>
      <c r="G3013" s="68" t="s">
        <v>12386</v>
      </c>
      <c r="H3013" s="71"/>
      <c r="I3013" s="63" t="s">
        <v>12387</v>
      </c>
      <c r="J3013" s="68" t="s">
        <v>12388</v>
      </c>
      <c r="K3013" s="71"/>
      <c r="L3013" s="71"/>
      <c r="M3013" s="71"/>
      <c r="N3013" s="61"/>
      <c r="O3013" s="51"/>
    </row>
    <row r="3014">
      <c r="A3014" s="56">
        <v>3011.0</v>
      </c>
      <c r="B3014" s="71"/>
      <c r="C3014" s="69" t="s">
        <v>12389</v>
      </c>
      <c r="D3014" s="71"/>
      <c r="E3014" s="68" t="s">
        <v>12390</v>
      </c>
      <c r="F3014" s="76">
        <v>42147.0</v>
      </c>
      <c r="G3014" s="68" t="s">
        <v>12391</v>
      </c>
      <c r="H3014" s="71"/>
      <c r="I3014" s="63" t="s">
        <v>12392</v>
      </c>
      <c r="J3014" s="68" t="s">
        <v>12393</v>
      </c>
      <c r="K3014" s="71"/>
      <c r="L3014" s="71"/>
      <c r="M3014" s="71"/>
      <c r="N3014" s="61"/>
      <c r="O3014" s="51"/>
    </row>
    <row r="3015">
      <c r="A3015" s="56">
        <v>3012.0</v>
      </c>
      <c r="B3015" s="71"/>
      <c r="C3015" s="69" t="s">
        <v>12394</v>
      </c>
      <c r="D3015" s="71"/>
      <c r="E3015" s="68" t="s">
        <v>12395</v>
      </c>
      <c r="F3015" s="83">
        <v>42350.0</v>
      </c>
      <c r="G3015" s="68" t="s">
        <v>12396</v>
      </c>
      <c r="H3015" s="71"/>
      <c r="I3015" s="63" t="s">
        <v>12397</v>
      </c>
      <c r="J3015" s="68" t="s">
        <v>12398</v>
      </c>
      <c r="K3015" s="71"/>
      <c r="L3015" s="71"/>
      <c r="M3015" s="68" t="s">
        <v>125</v>
      </c>
      <c r="N3015" s="61"/>
      <c r="O3015" s="51"/>
    </row>
    <row r="3016">
      <c r="A3016" s="56">
        <v>3013.0</v>
      </c>
      <c r="B3016" s="66"/>
      <c r="C3016" s="64" t="s">
        <v>12399</v>
      </c>
      <c r="D3016" s="66"/>
      <c r="E3016" s="63" t="s">
        <v>12400</v>
      </c>
      <c r="F3016" s="70">
        <v>41385.0</v>
      </c>
      <c r="G3016" s="63" t="s">
        <v>12401</v>
      </c>
      <c r="H3016" s="66"/>
      <c r="I3016" s="63" t="s">
        <v>12402</v>
      </c>
      <c r="J3016" s="63" t="s">
        <v>1872</v>
      </c>
      <c r="K3016" s="66"/>
      <c r="L3016" s="66"/>
      <c r="M3016" s="63" t="s">
        <v>530</v>
      </c>
      <c r="N3016" s="61"/>
      <c r="O3016" s="51"/>
    </row>
    <row r="3017">
      <c r="A3017" s="56">
        <v>3014.0</v>
      </c>
      <c r="B3017" s="71"/>
      <c r="C3017" s="69" t="s">
        <v>12403</v>
      </c>
      <c r="D3017" s="71"/>
      <c r="E3017" s="68" t="s">
        <v>12404</v>
      </c>
      <c r="F3017" s="76">
        <v>42236.0</v>
      </c>
      <c r="G3017" s="68" t="s">
        <v>12405</v>
      </c>
      <c r="H3017" s="71"/>
      <c r="I3017" s="63" t="s">
        <v>12406</v>
      </c>
      <c r="J3017" s="68" t="s">
        <v>12407</v>
      </c>
      <c r="K3017" s="71"/>
      <c r="L3017" s="71"/>
      <c r="M3017" s="68" t="s">
        <v>149</v>
      </c>
      <c r="N3017" s="61"/>
      <c r="O3017" s="51"/>
    </row>
    <row r="3018">
      <c r="A3018" s="56">
        <v>3015.0</v>
      </c>
      <c r="B3018" s="71"/>
      <c r="C3018" s="69" t="s">
        <v>12408</v>
      </c>
      <c r="D3018" s="71"/>
      <c r="E3018" s="68" t="s">
        <v>12409</v>
      </c>
      <c r="F3018" s="76">
        <v>42145.0</v>
      </c>
      <c r="G3018" s="68" t="s">
        <v>12410</v>
      </c>
      <c r="H3018" s="71"/>
      <c r="I3018" s="63" t="s">
        <v>635</v>
      </c>
      <c r="J3018" s="68" t="s">
        <v>12411</v>
      </c>
      <c r="K3018" s="71"/>
      <c r="L3018" s="71"/>
      <c r="M3018" s="68" t="s">
        <v>195</v>
      </c>
      <c r="N3018" s="61"/>
      <c r="O3018" s="51"/>
    </row>
    <row r="3019">
      <c r="A3019" s="56">
        <v>3016.0</v>
      </c>
      <c r="B3019" s="71"/>
      <c r="C3019" s="69" t="s">
        <v>12412</v>
      </c>
      <c r="D3019" s="71"/>
      <c r="E3019" s="68" t="s">
        <v>12413</v>
      </c>
      <c r="F3019" s="68" t="s">
        <v>12414</v>
      </c>
      <c r="G3019" s="68" t="s">
        <v>12415</v>
      </c>
      <c r="H3019" s="71"/>
      <c r="I3019" s="68" t="s">
        <v>12416</v>
      </c>
      <c r="J3019" s="68" t="s">
        <v>12417</v>
      </c>
      <c r="K3019" s="71"/>
      <c r="L3019" s="71"/>
      <c r="M3019" s="68" t="s">
        <v>530</v>
      </c>
      <c r="N3019" s="77"/>
      <c r="O3019" s="51"/>
    </row>
    <row r="3020">
      <c r="A3020" s="56">
        <v>3017.0</v>
      </c>
      <c r="B3020" s="71"/>
      <c r="C3020" s="69" t="s">
        <v>12418</v>
      </c>
      <c r="D3020" s="71"/>
      <c r="E3020" s="68" t="s">
        <v>12419</v>
      </c>
      <c r="F3020" s="76">
        <v>42095.0</v>
      </c>
      <c r="G3020" s="68" t="s">
        <v>12420</v>
      </c>
      <c r="H3020" s="71"/>
      <c r="I3020" s="63" t="s">
        <v>12421</v>
      </c>
      <c r="J3020" s="68" t="s">
        <v>12422</v>
      </c>
      <c r="K3020" s="71"/>
      <c r="L3020" s="71"/>
      <c r="M3020" s="68" t="s">
        <v>31</v>
      </c>
      <c r="N3020" s="61"/>
      <c r="O3020" s="51"/>
    </row>
    <row r="3021">
      <c r="A3021" s="56">
        <v>3018.0</v>
      </c>
      <c r="B3021" s="71"/>
      <c r="C3021" s="69" t="s">
        <v>12423</v>
      </c>
      <c r="D3021" s="71"/>
      <c r="E3021" s="68" t="s">
        <v>12424</v>
      </c>
      <c r="F3021" s="83">
        <v>42288.0</v>
      </c>
      <c r="G3021" s="68" t="s">
        <v>12425</v>
      </c>
      <c r="H3021" s="71"/>
      <c r="I3021" s="66"/>
      <c r="J3021" s="68" t="s">
        <v>9891</v>
      </c>
      <c r="K3021" s="71"/>
      <c r="L3021" s="71"/>
      <c r="M3021" s="71"/>
      <c r="N3021" s="61"/>
      <c r="O3021" s="51"/>
    </row>
    <row r="3022">
      <c r="A3022" s="56">
        <v>3019.0</v>
      </c>
      <c r="B3022" s="71"/>
      <c r="C3022" s="69" t="s">
        <v>12426</v>
      </c>
      <c r="D3022" s="71"/>
      <c r="E3022" s="68" t="s">
        <v>12427</v>
      </c>
      <c r="F3022" s="76">
        <v>41808.0</v>
      </c>
      <c r="G3022" s="68" t="s">
        <v>12428</v>
      </c>
      <c r="H3022" s="71"/>
      <c r="I3022" s="63" t="s">
        <v>12429</v>
      </c>
      <c r="J3022" s="68" t="s">
        <v>12430</v>
      </c>
      <c r="K3022" s="71"/>
      <c r="L3022" s="66"/>
      <c r="M3022" s="66"/>
      <c r="N3022" s="61"/>
      <c r="O3022" s="51"/>
    </row>
    <row r="3023">
      <c r="A3023" s="56">
        <v>3020.0</v>
      </c>
      <c r="B3023" s="71"/>
      <c r="C3023" s="69" t="s">
        <v>12431</v>
      </c>
      <c r="D3023" s="71"/>
      <c r="E3023" s="68" t="s">
        <v>12432</v>
      </c>
      <c r="F3023" s="83">
        <v>42295.0</v>
      </c>
      <c r="G3023" s="68" t="s">
        <v>12433</v>
      </c>
      <c r="H3023" s="71"/>
      <c r="I3023" s="66"/>
      <c r="J3023" s="68" t="s">
        <v>296</v>
      </c>
      <c r="K3023" s="71"/>
      <c r="L3023" s="71"/>
      <c r="M3023" s="68" t="s">
        <v>12434</v>
      </c>
      <c r="N3023" s="61"/>
      <c r="O3023" s="51"/>
    </row>
    <row r="3024">
      <c r="A3024" s="56">
        <v>3021.0</v>
      </c>
      <c r="B3024" s="66"/>
      <c r="C3024" s="64" t="s">
        <v>12435</v>
      </c>
      <c r="D3024" s="66"/>
      <c r="E3024" s="63" t="s">
        <v>12436</v>
      </c>
      <c r="F3024" s="70">
        <v>40628.0</v>
      </c>
      <c r="G3024" s="63" t="s">
        <v>12437</v>
      </c>
      <c r="H3024" s="66"/>
      <c r="I3024" s="63" t="s">
        <v>12438</v>
      </c>
      <c r="J3024" s="63" t="s">
        <v>2872</v>
      </c>
      <c r="K3024" s="66"/>
      <c r="L3024" s="66"/>
      <c r="M3024" s="63" t="s">
        <v>125</v>
      </c>
      <c r="N3024" s="61"/>
      <c r="O3024" s="51"/>
    </row>
    <row r="3025">
      <c r="A3025" s="56">
        <v>3022.0</v>
      </c>
      <c r="B3025" s="66"/>
      <c r="C3025" s="64" t="s">
        <v>12439</v>
      </c>
      <c r="D3025" s="66"/>
      <c r="E3025" s="63" t="s">
        <v>12440</v>
      </c>
      <c r="F3025" s="70">
        <v>40628.0</v>
      </c>
      <c r="G3025" s="63" t="s">
        <v>12441</v>
      </c>
      <c r="H3025" s="66"/>
      <c r="I3025" s="63" t="s">
        <v>12438</v>
      </c>
      <c r="J3025" s="63" t="s">
        <v>2872</v>
      </c>
      <c r="K3025" s="66"/>
      <c r="L3025" s="66"/>
      <c r="M3025" s="63" t="s">
        <v>125</v>
      </c>
      <c r="N3025" s="61"/>
      <c r="O3025" s="51"/>
    </row>
    <row r="3026">
      <c r="A3026" s="56">
        <v>3023.0</v>
      </c>
      <c r="B3026" s="71"/>
      <c r="C3026" s="69" t="s">
        <v>12442</v>
      </c>
      <c r="D3026" s="71"/>
      <c r="E3026" s="68" t="s">
        <v>12443</v>
      </c>
      <c r="F3026" s="76">
        <v>42276.0</v>
      </c>
      <c r="G3026" s="68" t="s">
        <v>12444</v>
      </c>
      <c r="H3026" s="71"/>
      <c r="I3026" s="63" t="s">
        <v>12445</v>
      </c>
      <c r="J3026" s="68" t="s">
        <v>12446</v>
      </c>
      <c r="K3026" s="71"/>
      <c r="L3026" s="71"/>
      <c r="M3026" s="71"/>
      <c r="N3026" s="61"/>
      <c r="O3026" s="51"/>
    </row>
    <row r="3027">
      <c r="A3027" s="56">
        <v>3024.0</v>
      </c>
      <c r="B3027" s="66"/>
      <c r="C3027" s="64" t="s">
        <v>12447</v>
      </c>
      <c r="D3027" s="66"/>
      <c r="E3027" s="63" t="s">
        <v>12448</v>
      </c>
      <c r="F3027" s="70">
        <v>39951.0</v>
      </c>
      <c r="G3027" s="63" t="s">
        <v>12449</v>
      </c>
      <c r="H3027" s="63" t="s">
        <v>439</v>
      </c>
      <c r="I3027" s="63" t="s">
        <v>635</v>
      </c>
      <c r="J3027" s="63" t="s">
        <v>6393</v>
      </c>
      <c r="K3027" s="66"/>
      <c r="L3027" s="66"/>
      <c r="M3027" s="63" t="s">
        <v>4487</v>
      </c>
      <c r="N3027" s="61"/>
      <c r="O3027" s="51"/>
    </row>
    <row r="3028">
      <c r="A3028" s="56">
        <v>3025.0</v>
      </c>
      <c r="B3028" s="71"/>
      <c r="C3028" s="69" t="s">
        <v>12450</v>
      </c>
      <c r="D3028" s="71"/>
      <c r="E3028" s="68" t="s">
        <v>12451</v>
      </c>
      <c r="F3028" s="76">
        <v>42387.0</v>
      </c>
      <c r="G3028" s="68" t="s">
        <v>12452</v>
      </c>
      <c r="H3028" s="71"/>
      <c r="I3028" s="63" t="s">
        <v>12453</v>
      </c>
      <c r="J3028" s="68" t="s">
        <v>12454</v>
      </c>
      <c r="K3028" s="71"/>
      <c r="L3028" s="71"/>
      <c r="M3028" s="71"/>
      <c r="N3028" s="61"/>
      <c r="O3028" s="51"/>
    </row>
    <row r="3029">
      <c r="A3029" s="56">
        <v>3026.0</v>
      </c>
      <c r="B3029" s="71"/>
      <c r="C3029" s="69" t="s">
        <v>12455</v>
      </c>
      <c r="D3029" s="68" t="s">
        <v>12456</v>
      </c>
      <c r="E3029" s="68" t="s">
        <v>12457</v>
      </c>
      <c r="F3029" s="83">
        <v>42354.0</v>
      </c>
      <c r="G3029" s="68" t="s">
        <v>12458</v>
      </c>
      <c r="H3029" s="71"/>
      <c r="I3029" s="68" t="s">
        <v>12459</v>
      </c>
      <c r="J3029" s="68" t="s">
        <v>12460</v>
      </c>
      <c r="K3029" s="71"/>
      <c r="L3029" s="71"/>
      <c r="M3029" s="68" t="s">
        <v>149</v>
      </c>
      <c r="N3029" s="61"/>
      <c r="O3029" s="51"/>
    </row>
    <row r="3030">
      <c r="A3030" s="56">
        <v>3027.0</v>
      </c>
      <c r="B3030" s="60"/>
      <c r="C3030" s="58" t="s">
        <v>12461</v>
      </c>
      <c r="D3030" s="60"/>
      <c r="E3030" s="57" t="s">
        <v>12462</v>
      </c>
      <c r="F3030" s="59">
        <v>41471.0</v>
      </c>
      <c r="G3030" s="57" t="s">
        <v>12463</v>
      </c>
      <c r="H3030" s="60"/>
      <c r="I3030" s="63" t="s">
        <v>12464</v>
      </c>
      <c r="J3030" s="57" t="s">
        <v>12465</v>
      </c>
      <c r="K3030" s="60"/>
      <c r="L3030" s="60"/>
      <c r="M3030" s="60"/>
      <c r="N3030" s="61"/>
      <c r="O3030" s="51"/>
    </row>
    <row r="3031">
      <c r="A3031" s="56">
        <v>3028.0</v>
      </c>
      <c r="B3031" s="71"/>
      <c r="C3031" s="69" t="s">
        <v>12466</v>
      </c>
      <c r="D3031" s="71"/>
      <c r="E3031" s="68" t="s">
        <v>12467</v>
      </c>
      <c r="F3031" s="76">
        <v>42241.0</v>
      </c>
      <c r="G3031" s="68" t="s">
        <v>12468</v>
      </c>
      <c r="H3031" s="71"/>
      <c r="I3031" s="66"/>
      <c r="J3031" s="68" t="s">
        <v>11452</v>
      </c>
      <c r="K3031" s="71"/>
      <c r="L3031" s="71"/>
      <c r="M3031" s="71"/>
      <c r="N3031" s="61"/>
      <c r="O3031" s="51"/>
    </row>
    <row r="3032">
      <c r="A3032" s="56">
        <v>3029.0</v>
      </c>
      <c r="B3032" s="71"/>
      <c r="C3032" s="69" t="s">
        <v>12469</v>
      </c>
      <c r="D3032" s="71"/>
      <c r="E3032" s="68" t="s">
        <v>12470</v>
      </c>
      <c r="F3032" s="83">
        <v>42318.0</v>
      </c>
      <c r="G3032" s="68" t="s">
        <v>12471</v>
      </c>
      <c r="H3032" s="71"/>
      <c r="I3032" s="66"/>
      <c r="J3032" s="68" t="s">
        <v>12472</v>
      </c>
      <c r="K3032" s="71"/>
      <c r="L3032" s="71"/>
      <c r="M3032" s="71"/>
      <c r="N3032" s="61"/>
      <c r="O3032" s="51"/>
    </row>
    <row r="3033">
      <c r="A3033" s="56">
        <v>3030.0</v>
      </c>
      <c r="B3033" s="71"/>
      <c r="C3033" s="69" t="s">
        <v>12473</v>
      </c>
      <c r="D3033" s="71"/>
      <c r="E3033" s="68" t="s">
        <v>12474</v>
      </c>
      <c r="F3033" s="76">
        <v>42181.0</v>
      </c>
      <c r="G3033" s="68" t="s">
        <v>12475</v>
      </c>
      <c r="H3033" s="71"/>
      <c r="I3033" s="63" t="s">
        <v>12476</v>
      </c>
      <c r="J3033" s="68" t="s">
        <v>12477</v>
      </c>
      <c r="K3033" s="71"/>
      <c r="L3033" s="71"/>
      <c r="M3033" s="68" t="s">
        <v>143</v>
      </c>
      <c r="N3033" s="61"/>
      <c r="O3033" s="51"/>
    </row>
    <row r="3034">
      <c r="A3034" s="75">
        <v>3031.0</v>
      </c>
      <c r="B3034" s="71"/>
      <c r="C3034" s="69" t="s">
        <v>12478</v>
      </c>
      <c r="D3034" s="71"/>
      <c r="E3034" s="68" t="s">
        <v>12479</v>
      </c>
      <c r="F3034" s="76">
        <v>42150.0</v>
      </c>
      <c r="G3034" s="68" t="s">
        <v>12480</v>
      </c>
      <c r="H3034" s="71"/>
      <c r="I3034" s="68" t="s">
        <v>12481</v>
      </c>
      <c r="J3034" s="68" t="s">
        <v>12482</v>
      </c>
      <c r="K3034" s="71"/>
      <c r="L3034" s="68" t="s">
        <v>12483</v>
      </c>
      <c r="M3034" s="68" t="s">
        <v>166</v>
      </c>
      <c r="N3034" s="61"/>
      <c r="O3034" s="51"/>
    </row>
    <row r="3035">
      <c r="A3035" s="56">
        <v>3032.0</v>
      </c>
      <c r="B3035" s="66"/>
      <c r="C3035" s="64" t="s">
        <v>12484</v>
      </c>
      <c r="D3035" s="66"/>
      <c r="E3035" s="63" t="s">
        <v>12485</v>
      </c>
      <c r="F3035" s="65">
        <v>42305.0</v>
      </c>
      <c r="G3035" s="63" t="s">
        <v>12486</v>
      </c>
      <c r="H3035" s="66"/>
      <c r="I3035" s="63" t="s">
        <v>12487</v>
      </c>
      <c r="J3035" s="63" t="s">
        <v>9979</v>
      </c>
      <c r="K3035" s="66"/>
      <c r="L3035" s="63" t="s">
        <v>12488</v>
      </c>
      <c r="M3035" s="63" t="s">
        <v>166</v>
      </c>
      <c r="N3035" s="61"/>
      <c r="O3035" s="51"/>
    </row>
    <row r="3036">
      <c r="A3036" s="56">
        <v>3033.0</v>
      </c>
      <c r="B3036" s="71"/>
      <c r="C3036" s="69" t="s">
        <v>12489</v>
      </c>
      <c r="D3036" s="71"/>
      <c r="E3036" s="68" t="s">
        <v>12490</v>
      </c>
      <c r="F3036" s="83">
        <v>42337.0</v>
      </c>
      <c r="G3036" s="68" t="s">
        <v>12491</v>
      </c>
      <c r="H3036" s="71"/>
      <c r="I3036" s="66"/>
      <c r="J3036" s="68" t="s">
        <v>11802</v>
      </c>
      <c r="K3036" s="71"/>
      <c r="L3036" s="71"/>
      <c r="M3036" s="68" t="s">
        <v>166</v>
      </c>
      <c r="N3036" s="61"/>
      <c r="O3036" s="51"/>
    </row>
    <row r="3037">
      <c r="A3037" s="56">
        <v>3034.0</v>
      </c>
      <c r="B3037" s="71"/>
      <c r="C3037" s="69" t="s">
        <v>12492</v>
      </c>
      <c r="D3037" s="71"/>
      <c r="E3037" s="68" t="s">
        <v>12493</v>
      </c>
      <c r="F3037" s="83">
        <v>42325.0</v>
      </c>
      <c r="G3037" s="68" t="s">
        <v>12494</v>
      </c>
      <c r="H3037" s="71"/>
      <c r="I3037" s="63" t="s">
        <v>12495</v>
      </c>
      <c r="J3037" s="68" t="s">
        <v>11452</v>
      </c>
      <c r="K3037" s="71"/>
      <c r="L3037" s="71"/>
      <c r="M3037" s="68" t="s">
        <v>166</v>
      </c>
      <c r="N3037" s="61"/>
      <c r="O3037" s="51"/>
    </row>
    <row r="3038">
      <c r="A3038" s="56">
        <v>3035.0</v>
      </c>
      <c r="B3038" s="71"/>
      <c r="C3038" s="69" t="s">
        <v>12496</v>
      </c>
      <c r="D3038" s="71"/>
      <c r="E3038" s="68" t="s">
        <v>12497</v>
      </c>
      <c r="F3038" s="76">
        <v>42313.0</v>
      </c>
      <c r="G3038" s="68" t="s">
        <v>12498</v>
      </c>
      <c r="H3038" s="71"/>
      <c r="I3038" s="63" t="s">
        <v>12499</v>
      </c>
      <c r="J3038" s="68" t="s">
        <v>2774</v>
      </c>
      <c r="K3038" s="71"/>
      <c r="L3038" s="71"/>
      <c r="M3038" s="104"/>
      <c r="N3038" s="105"/>
      <c r="O3038" s="51"/>
    </row>
    <row r="3039">
      <c r="A3039" s="56">
        <v>3036.0</v>
      </c>
      <c r="B3039" s="71"/>
      <c r="C3039" s="69" t="s">
        <v>12500</v>
      </c>
      <c r="D3039" s="71"/>
      <c r="E3039" s="68" t="s">
        <v>12501</v>
      </c>
      <c r="F3039" s="83">
        <v>42303.0</v>
      </c>
      <c r="G3039" s="68" t="s">
        <v>12502</v>
      </c>
      <c r="H3039" s="71"/>
      <c r="I3039" s="66"/>
      <c r="J3039" s="68" t="s">
        <v>11452</v>
      </c>
      <c r="K3039" s="71"/>
      <c r="L3039" s="71"/>
      <c r="M3039" s="128" t="s">
        <v>166</v>
      </c>
      <c r="N3039" s="61"/>
      <c r="O3039" s="51"/>
    </row>
    <row r="3040">
      <c r="A3040" s="62">
        <v>3037.0</v>
      </c>
      <c r="B3040" s="66"/>
      <c r="C3040" s="64" t="s">
        <v>12503</v>
      </c>
      <c r="D3040" s="66"/>
      <c r="E3040" s="63" t="s">
        <v>12504</v>
      </c>
      <c r="F3040" s="65">
        <v>42295.0</v>
      </c>
      <c r="G3040" s="63" t="s">
        <v>12505</v>
      </c>
      <c r="H3040" s="66"/>
      <c r="I3040" s="63" t="s">
        <v>12506</v>
      </c>
      <c r="J3040" s="66"/>
      <c r="K3040" s="66"/>
      <c r="L3040" s="66"/>
      <c r="M3040" s="63" t="s">
        <v>166</v>
      </c>
      <c r="N3040" s="67"/>
      <c r="O3040" s="51"/>
    </row>
    <row r="3041">
      <c r="A3041" s="56">
        <v>3038.0</v>
      </c>
      <c r="B3041" s="71"/>
      <c r="C3041" s="69" t="s">
        <v>12507</v>
      </c>
      <c r="D3041" s="71"/>
      <c r="E3041" s="68" t="s">
        <v>12508</v>
      </c>
      <c r="F3041" s="76">
        <v>42236.0</v>
      </c>
      <c r="G3041" s="68" t="s">
        <v>12509</v>
      </c>
      <c r="H3041" s="71"/>
      <c r="I3041" s="66"/>
      <c r="J3041" s="68" t="s">
        <v>12510</v>
      </c>
      <c r="K3041" s="71"/>
      <c r="L3041" s="71"/>
      <c r="M3041" s="68" t="s">
        <v>166</v>
      </c>
      <c r="N3041" s="61"/>
      <c r="O3041" s="51"/>
    </row>
    <row r="3042">
      <c r="A3042" s="56">
        <v>3039.0</v>
      </c>
      <c r="B3042" s="71"/>
      <c r="C3042" s="69" t="s">
        <v>12511</v>
      </c>
      <c r="D3042" s="71"/>
      <c r="E3042" s="68" t="s">
        <v>12512</v>
      </c>
      <c r="F3042" s="76">
        <v>42161.0</v>
      </c>
      <c r="G3042" s="68" t="s">
        <v>12513</v>
      </c>
      <c r="H3042" s="71"/>
      <c r="I3042" s="66"/>
      <c r="J3042" s="68" t="s">
        <v>12514</v>
      </c>
      <c r="K3042" s="71"/>
      <c r="L3042" s="71"/>
      <c r="M3042" s="68" t="s">
        <v>166</v>
      </c>
      <c r="N3042" s="61"/>
      <c r="O3042" s="51"/>
    </row>
    <row r="3043">
      <c r="A3043" s="56">
        <v>3040.0</v>
      </c>
      <c r="B3043" s="71"/>
      <c r="C3043" s="69" t="s">
        <v>12515</v>
      </c>
      <c r="D3043" s="71"/>
      <c r="E3043" s="68" t="s">
        <v>12516</v>
      </c>
      <c r="F3043" s="76">
        <v>42262.0</v>
      </c>
      <c r="G3043" s="68" t="s">
        <v>12517</v>
      </c>
      <c r="H3043" s="71"/>
      <c r="I3043" s="63" t="s">
        <v>635</v>
      </c>
      <c r="J3043" s="68" t="s">
        <v>12518</v>
      </c>
      <c r="K3043" s="71"/>
      <c r="L3043" s="71"/>
      <c r="M3043" s="68" t="s">
        <v>166</v>
      </c>
      <c r="N3043" s="61"/>
      <c r="O3043" s="51"/>
    </row>
    <row r="3044">
      <c r="A3044" s="56">
        <v>3041.0</v>
      </c>
      <c r="B3044" s="66"/>
      <c r="C3044" s="64" t="s">
        <v>12519</v>
      </c>
      <c r="D3044" s="66"/>
      <c r="E3044" s="63" t="s">
        <v>12520</v>
      </c>
      <c r="F3044" s="70">
        <v>42154.0</v>
      </c>
      <c r="G3044" s="63" t="s">
        <v>12521</v>
      </c>
      <c r="H3044" s="66"/>
      <c r="I3044" s="63" t="s">
        <v>635</v>
      </c>
      <c r="J3044" s="63" t="s">
        <v>9979</v>
      </c>
      <c r="K3044" s="66"/>
      <c r="L3044" s="63" t="s">
        <v>12522</v>
      </c>
      <c r="M3044" s="63" t="s">
        <v>166</v>
      </c>
      <c r="N3044" s="61"/>
      <c r="O3044" s="51"/>
    </row>
    <row r="3045">
      <c r="A3045" s="56">
        <v>3042.0</v>
      </c>
      <c r="B3045" s="71"/>
      <c r="C3045" s="69" t="s">
        <v>12523</v>
      </c>
      <c r="D3045" s="71"/>
      <c r="E3045" s="68" t="s">
        <v>12524</v>
      </c>
      <c r="F3045" s="83">
        <v>42288.0</v>
      </c>
      <c r="G3045" s="68" t="s">
        <v>12525</v>
      </c>
      <c r="H3045" s="71"/>
      <c r="I3045" s="63" t="s">
        <v>635</v>
      </c>
      <c r="J3045" s="68" t="s">
        <v>296</v>
      </c>
      <c r="K3045" s="71"/>
      <c r="L3045" s="71"/>
      <c r="M3045" s="68" t="s">
        <v>166</v>
      </c>
      <c r="N3045" s="61"/>
      <c r="O3045" s="51"/>
    </row>
    <row r="3046">
      <c r="A3046" s="56">
        <v>3043.0</v>
      </c>
      <c r="B3046" s="71"/>
      <c r="C3046" s="69" t="s">
        <v>12526</v>
      </c>
      <c r="D3046" s="71"/>
      <c r="E3046" s="68" t="s">
        <v>12527</v>
      </c>
      <c r="F3046" s="76">
        <v>42262.0</v>
      </c>
      <c r="G3046" s="68" t="s">
        <v>12528</v>
      </c>
      <c r="H3046" s="71"/>
      <c r="I3046" s="63" t="s">
        <v>635</v>
      </c>
      <c r="J3046" s="68" t="s">
        <v>12446</v>
      </c>
      <c r="K3046" s="71"/>
      <c r="L3046" s="71"/>
      <c r="M3046" s="68" t="s">
        <v>166</v>
      </c>
      <c r="N3046" s="61"/>
      <c r="O3046" s="51"/>
    </row>
    <row r="3047">
      <c r="A3047" s="56">
        <v>3044.0</v>
      </c>
      <c r="B3047" s="66"/>
      <c r="C3047" s="64" t="s">
        <v>12529</v>
      </c>
      <c r="D3047" s="66"/>
      <c r="E3047" s="63" t="s">
        <v>12530</v>
      </c>
      <c r="F3047" s="65">
        <v>42292.0</v>
      </c>
      <c r="G3047" s="63" t="s">
        <v>12531</v>
      </c>
      <c r="H3047" s="66"/>
      <c r="I3047" s="63" t="s">
        <v>635</v>
      </c>
      <c r="J3047" s="63" t="s">
        <v>9979</v>
      </c>
      <c r="K3047" s="66"/>
      <c r="L3047" s="63" t="s">
        <v>12532</v>
      </c>
      <c r="M3047" s="63" t="s">
        <v>166</v>
      </c>
      <c r="N3047" s="61"/>
      <c r="O3047" s="51"/>
    </row>
    <row r="3048">
      <c r="A3048" s="56">
        <v>3045.0</v>
      </c>
      <c r="B3048" s="71"/>
      <c r="C3048" s="69" t="s">
        <v>12533</v>
      </c>
      <c r="D3048" s="71"/>
      <c r="E3048" s="68" t="s">
        <v>12534</v>
      </c>
      <c r="F3048" s="83">
        <v>42295.0</v>
      </c>
      <c r="G3048" s="68" t="s">
        <v>12535</v>
      </c>
      <c r="H3048" s="71"/>
      <c r="I3048" s="63" t="s">
        <v>635</v>
      </c>
      <c r="J3048" s="68" t="s">
        <v>296</v>
      </c>
      <c r="K3048" s="71"/>
      <c r="L3048" s="71"/>
      <c r="M3048" s="68" t="s">
        <v>166</v>
      </c>
      <c r="N3048" s="61"/>
      <c r="O3048" s="51"/>
    </row>
    <row r="3049">
      <c r="A3049" s="56">
        <v>3046.0</v>
      </c>
      <c r="B3049" s="71"/>
      <c r="C3049" s="69" t="s">
        <v>12536</v>
      </c>
      <c r="D3049" s="71"/>
      <c r="E3049" s="68" t="s">
        <v>12537</v>
      </c>
      <c r="F3049" s="83">
        <v>42295.0</v>
      </c>
      <c r="G3049" s="68" t="s">
        <v>12538</v>
      </c>
      <c r="H3049" s="71"/>
      <c r="I3049" s="63" t="s">
        <v>635</v>
      </c>
      <c r="J3049" s="68" t="s">
        <v>148</v>
      </c>
      <c r="K3049" s="71"/>
      <c r="L3049" s="71"/>
      <c r="M3049" s="68" t="s">
        <v>166</v>
      </c>
      <c r="N3049" s="61"/>
      <c r="O3049" s="51"/>
    </row>
    <row r="3050">
      <c r="A3050" s="56">
        <v>3047.0</v>
      </c>
      <c r="B3050" s="71"/>
      <c r="C3050" s="69" t="s">
        <v>12539</v>
      </c>
      <c r="D3050" s="71"/>
      <c r="E3050" s="68" t="s">
        <v>12540</v>
      </c>
      <c r="F3050" s="76">
        <v>42007.0</v>
      </c>
      <c r="G3050" s="68" t="s">
        <v>12541</v>
      </c>
      <c r="H3050" s="71"/>
      <c r="I3050" s="68" t="s">
        <v>12542</v>
      </c>
      <c r="J3050" s="68" t="s">
        <v>12543</v>
      </c>
      <c r="K3050" s="71"/>
      <c r="L3050" s="71"/>
      <c r="M3050" s="68" t="s">
        <v>125</v>
      </c>
      <c r="N3050" s="61"/>
      <c r="O3050" s="51"/>
    </row>
    <row r="3051">
      <c r="A3051" s="56">
        <v>3048.0</v>
      </c>
      <c r="B3051" s="71"/>
      <c r="C3051" s="69" t="s">
        <v>12544</v>
      </c>
      <c r="D3051" s="71"/>
      <c r="E3051" s="68" t="s">
        <v>12545</v>
      </c>
      <c r="F3051" s="76">
        <v>42370.0</v>
      </c>
      <c r="G3051" s="68" t="s">
        <v>12546</v>
      </c>
      <c r="H3051" s="71"/>
      <c r="I3051" s="63" t="s">
        <v>635</v>
      </c>
      <c r="J3051" s="68" t="s">
        <v>12250</v>
      </c>
      <c r="K3051" s="71"/>
      <c r="L3051" s="71"/>
      <c r="M3051" s="68" t="s">
        <v>166</v>
      </c>
      <c r="N3051" s="61"/>
      <c r="O3051" s="51"/>
    </row>
    <row r="3052">
      <c r="A3052" s="56">
        <v>3049.0</v>
      </c>
      <c r="B3052" s="71"/>
      <c r="C3052" s="69" t="s">
        <v>12547</v>
      </c>
      <c r="D3052" s="71"/>
      <c r="E3052" s="68" t="s">
        <v>12548</v>
      </c>
      <c r="F3052" s="76">
        <v>42370.0</v>
      </c>
      <c r="G3052" s="68" t="s">
        <v>12546</v>
      </c>
      <c r="H3052" s="71"/>
      <c r="I3052" s="63" t="s">
        <v>635</v>
      </c>
      <c r="J3052" s="68" t="s">
        <v>12549</v>
      </c>
      <c r="K3052" s="71"/>
      <c r="L3052" s="71"/>
      <c r="M3052" s="104"/>
      <c r="N3052" s="105"/>
      <c r="O3052" s="51"/>
    </row>
    <row r="3053">
      <c r="A3053" s="56">
        <v>3050.0</v>
      </c>
      <c r="B3053" s="71"/>
      <c r="C3053" s="69" t="s">
        <v>12550</v>
      </c>
      <c r="D3053" s="71"/>
      <c r="E3053" s="68" t="s">
        <v>12551</v>
      </c>
      <c r="F3053" s="76">
        <v>42370.0</v>
      </c>
      <c r="G3053" s="68" t="s">
        <v>12552</v>
      </c>
      <c r="H3053" s="71"/>
      <c r="I3053" s="63" t="s">
        <v>635</v>
      </c>
      <c r="J3053" s="68" t="s">
        <v>12446</v>
      </c>
      <c r="K3053" s="71"/>
      <c r="L3053" s="71"/>
      <c r="M3053" s="128" t="s">
        <v>166</v>
      </c>
      <c r="N3053" s="61"/>
      <c r="O3053" s="51"/>
    </row>
    <row r="3054">
      <c r="A3054" s="56">
        <v>3051.0</v>
      </c>
      <c r="B3054" s="71"/>
      <c r="C3054" s="69" t="s">
        <v>12553</v>
      </c>
      <c r="D3054" s="71"/>
      <c r="E3054" s="68" t="s">
        <v>12554</v>
      </c>
      <c r="F3054" s="76">
        <v>42370.0</v>
      </c>
      <c r="G3054" s="68" t="s">
        <v>12555</v>
      </c>
      <c r="H3054" s="71"/>
      <c r="I3054" s="63" t="s">
        <v>635</v>
      </c>
      <c r="J3054" s="68" t="s">
        <v>12446</v>
      </c>
      <c r="K3054" s="71"/>
      <c r="L3054" s="71"/>
      <c r="M3054" s="68" t="s">
        <v>166</v>
      </c>
      <c r="N3054" s="61"/>
      <c r="O3054" s="51"/>
    </row>
    <row r="3055">
      <c r="A3055" s="75">
        <v>3052.0</v>
      </c>
      <c r="B3055" s="71"/>
      <c r="C3055" s="69" t="s">
        <v>12556</v>
      </c>
      <c r="D3055" s="71"/>
      <c r="E3055" s="68" t="s">
        <v>12557</v>
      </c>
      <c r="F3055" s="68" t="s">
        <v>12558</v>
      </c>
      <c r="G3055" s="68" t="s">
        <v>12559</v>
      </c>
      <c r="H3055" s="71"/>
      <c r="I3055" s="68" t="s">
        <v>635</v>
      </c>
      <c r="J3055" s="68" t="s">
        <v>12482</v>
      </c>
      <c r="K3055" s="71"/>
      <c r="L3055" s="68" t="s">
        <v>12483</v>
      </c>
      <c r="M3055" s="68" t="s">
        <v>166</v>
      </c>
      <c r="N3055" s="61"/>
      <c r="O3055" s="51"/>
    </row>
    <row r="3056">
      <c r="A3056" s="56">
        <v>3053.0</v>
      </c>
      <c r="B3056" s="71"/>
      <c r="C3056" s="69" t="s">
        <v>12560</v>
      </c>
      <c r="D3056" s="71"/>
      <c r="E3056" s="68" t="s">
        <v>12561</v>
      </c>
      <c r="F3056" s="76">
        <v>42376.0</v>
      </c>
      <c r="G3056" s="68" t="s">
        <v>12562</v>
      </c>
      <c r="H3056" s="71"/>
      <c r="I3056" s="66"/>
      <c r="J3056" s="68" t="s">
        <v>12514</v>
      </c>
      <c r="K3056" s="71"/>
      <c r="L3056" s="71"/>
      <c r="M3056" s="68" t="s">
        <v>166</v>
      </c>
      <c r="N3056" s="61"/>
      <c r="O3056" s="51"/>
    </row>
    <row r="3057">
      <c r="A3057" s="56">
        <v>3054.0</v>
      </c>
      <c r="B3057" s="71"/>
      <c r="C3057" s="69" t="s">
        <v>12563</v>
      </c>
      <c r="D3057" s="71"/>
      <c r="E3057" s="68" t="s">
        <v>12564</v>
      </c>
      <c r="F3057" s="76">
        <v>42376.0</v>
      </c>
      <c r="G3057" s="68" t="s">
        <v>12565</v>
      </c>
      <c r="H3057" s="71"/>
      <c r="I3057" s="66"/>
      <c r="J3057" s="68" t="s">
        <v>296</v>
      </c>
      <c r="K3057" s="71"/>
      <c r="L3057" s="71"/>
      <c r="M3057" s="68" t="s">
        <v>166</v>
      </c>
      <c r="N3057" s="61"/>
      <c r="O3057" s="51"/>
    </row>
    <row r="3058">
      <c r="A3058" s="56">
        <v>3055.0</v>
      </c>
      <c r="B3058" s="71"/>
      <c r="C3058" s="69" t="s">
        <v>12566</v>
      </c>
      <c r="D3058" s="71"/>
      <c r="E3058" s="68" t="s">
        <v>12567</v>
      </c>
      <c r="F3058" s="76">
        <v>42377.0</v>
      </c>
      <c r="G3058" s="68" t="s">
        <v>12568</v>
      </c>
      <c r="H3058" s="71"/>
      <c r="I3058" s="66"/>
      <c r="J3058" s="68" t="s">
        <v>296</v>
      </c>
      <c r="K3058" s="71"/>
      <c r="L3058" s="71"/>
      <c r="M3058" s="68" t="s">
        <v>166</v>
      </c>
      <c r="N3058" s="61"/>
      <c r="O3058" s="51"/>
    </row>
    <row r="3059">
      <c r="A3059" s="56">
        <v>3056.0</v>
      </c>
      <c r="B3059" s="71"/>
      <c r="C3059" s="69" t="s">
        <v>12569</v>
      </c>
      <c r="D3059" s="71"/>
      <c r="E3059" s="68" t="s">
        <v>12570</v>
      </c>
      <c r="F3059" s="76">
        <v>42377.0</v>
      </c>
      <c r="G3059" s="68" t="s">
        <v>12571</v>
      </c>
      <c r="H3059" s="71"/>
      <c r="I3059" s="63" t="s">
        <v>12572</v>
      </c>
      <c r="J3059" s="68" t="s">
        <v>622</v>
      </c>
      <c r="K3059" s="71"/>
      <c r="L3059" s="71"/>
      <c r="M3059" s="68" t="s">
        <v>166</v>
      </c>
      <c r="N3059" s="61"/>
      <c r="O3059" s="51"/>
    </row>
    <row r="3060">
      <c r="A3060" s="56">
        <v>3057.0</v>
      </c>
      <c r="B3060" s="71"/>
      <c r="C3060" s="69" t="s">
        <v>12573</v>
      </c>
      <c r="D3060" s="71"/>
      <c r="E3060" s="68" t="s">
        <v>12574</v>
      </c>
      <c r="F3060" s="76">
        <v>42377.0</v>
      </c>
      <c r="G3060" s="68" t="s">
        <v>12575</v>
      </c>
      <c r="H3060" s="71"/>
      <c r="I3060" s="66"/>
      <c r="J3060" s="68" t="s">
        <v>11452</v>
      </c>
      <c r="K3060" s="71"/>
      <c r="L3060" s="71"/>
      <c r="M3060" s="68" t="s">
        <v>166</v>
      </c>
      <c r="N3060" s="61"/>
      <c r="O3060" s="51"/>
    </row>
    <row r="3061">
      <c r="A3061" s="56">
        <v>3058.0</v>
      </c>
      <c r="B3061" s="71"/>
      <c r="C3061" s="69" t="s">
        <v>12576</v>
      </c>
      <c r="D3061" s="71"/>
      <c r="E3061" s="68" t="s">
        <v>12577</v>
      </c>
      <c r="F3061" s="76">
        <v>42378.0</v>
      </c>
      <c r="G3061" s="68" t="s">
        <v>12578</v>
      </c>
      <c r="H3061" s="71"/>
      <c r="I3061" s="66"/>
      <c r="J3061" s="68" t="s">
        <v>296</v>
      </c>
      <c r="K3061" s="71"/>
      <c r="L3061" s="71"/>
      <c r="M3061" s="68" t="s">
        <v>166</v>
      </c>
      <c r="N3061" s="61"/>
      <c r="O3061" s="51"/>
    </row>
    <row r="3062">
      <c r="A3062" s="56">
        <v>3059.0</v>
      </c>
      <c r="B3062" s="71"/>
      <c r="C3062" s="69" t="s">
        <v>12579</v>
      </c>
      <c r="D3062" s="71"/>
      <c r="E3062" s="68" t="s">
        <v>12580</v>
      </c>
      <c r="F3062" s="76">
        <v>42279.0</v>
      </c>
      <c r="G3062" s="68" t="s">
        <v>12581</v>
      </c>
      <c r="H3062" s="71"/>
      <c r="I3062" s="66"/>
      <c r="J3062" s="68" t="s">
        <v>12582</v>
      </c>
      <c r="K3062" s="71"/>
      <c r="L3062" s="71"/>
      <c r="M3062" s="68" t="s">
        <v>166</v>
      </c>
      <c r="N3062" s="61"/>
      <c r="O3062" s="51"/>
    </row>
    <row r="3063">
      <c r="A3063" s="75">
        <v>3060.0</v>
      </c>
      <c r="B3063" s="71"/>
      <c r="C3063" s="69" t="s">
        <v>12583</v>
      </c>
      <c r="D3063" s="71"/>
      <c r="E3063" s="68" t="s">
        <v>12584</v>
      </c>
      <c r="F3063" s="83">
        <v>42330.0</v>
      </c>
      <c r="G3063" s="68" t="s">
        <v>12585</v>
      </c>
      <c r="H3063" s="71"/>
      <c r="I3063" s="68" t="s">
        <v>12586</v>
      </c>
      <c r="J3063" s="68" t="s">
        <v>12587</v>
      </c>
      <c r="K3063" s="71"/>
      <c r="L3063" s="71"/>
      <c r="M3063" s="220"/>
      <c r="N3063" s="105"/>
      <c r="O3063" s="51"/>
    </row>
    <row r="3064">
      <c r="A3064" s="75">
        <v>3061.0</v>
      </c>
      <c r="B3064" s="71"/>
      <c r="C3064" s="69" t="s">
        <v>12588</v>
      </c>
      <c r="D3064" s="71"/>
      <c r="E3064" s="68" t="s">
        <v>12589</v>
      </c>
      <c r="F3064" s="83">
        <v>42349.0</v>
      </c>
      <c r="G3064" s="68" t="s">
        <v>12590</v>
      </c>
      <c r="H3064" s="71"/>
      <c r="I3064" s="68" t="s">
        <v>635</v>
      </c>
      <c r="J3064" s="68" t="s">
        <v>296</v>
      </c>
      <c r="K3064" s="71"/>
      <c r="L3064" s="71"/>
      <c r="M3064" s="111"/>
      <c r="N3064" s="61"/>
      <c r="O3064" s="51"/>
    </row>
    <row r="3065">
      <c r="A3065" s="56">
        <v>3062.0</v>
      </c>
      <c r="B3065" s="66"/>
      <c r="C3065" s="64" t="s">
        <v>12591</v>
      </c>
      <c r="D3065" s="66"/>
      <c r="E3065" s="63" t="s">
        <v>12592</v>
      </c>
      <c r="F3065" s="70">
        <v>41762.0</v>
      </c>
      <c r="G3065" s="63" t="s">
        <v>12593</v>
      </c>
      <c r="H3065" s="66"/>
      <c r="I3065" s="63" t="s">
        <v>12594</v>
      </c>
      <c r="J3065" s="63" t="s">
        <v>9175</v>
      </c>
      <c r="K3065" s="66"/>
      <c r="L3065" s="66"/>
      <c r="M3065" s="63" t="s">
        <v>143</v>
      </c>
      <c r="N3065" s="61"/>
      <c r="O3065" s="51"/>
    </row>
    <row r="3066">
      <c r="A3066" s="56">
        <v>3063.0</v>
      </c>
      <c r="B3066" s="71"/>
      <c r="C3066" s="69" t="s">
        <v>12595</v>
      </c>
      <c r="D3066" s="71"/>
      <c r="E3066" s="68" t="s">
        <v>12596</v>
      </c>
      <c r="F3066" s="83">
        <v>41943.0</v>
      </c>
      <c r="G3066" s="68" t="s">
        <v>12597</v>
      </c>
      <c r="H3066" s="71"/>
      <c r="I3066" s="68" t="s">
        <v>12598</v>
      </c>
      <c r="J3066" s="68" t="s">
        <v>12599</v>
      </c>
      <c r="K3066" s="71"/>
      <c r="L3066" s="71"/>
      <c r="M3066" s="68" t="s">
        <v>125</v>
      </c>
      <c r="N3066" s="61"/>
      <c r="O3066" s="51"/>
    </row>
    <row r="3067">
      <c r="A3067" s="56">
        <v>3064.0</v>
      </c>
      <c r="B3067" s="66"/>
      <c r="C3067" s="64" t="s">
        <v>12600</v>
      </c>
      <c r="D3067" s="63" t="s">
        <v>12601</v>
      </c>
      <c r="E3067" s="63" t="s">
        <v>12602</v>
      </c>
      <c r="F3067" s="70">
        <v>42055.0</v>
      </c>
      <c r="G3067" s="63" t="s">
        <v>12603</v>
      </c>
      <c r="H3067" s="66"/>
      <c r="I3067" s="63" t="s">
        <v>12604</v>
      </c>
      <c r="J3067" s="63" t="s">
        <v>12605</v>
      </c>
      <c r="K3067" s="66"/>
      <c r="L3067" s="66"/>
      <c r="M3067" s="63" t="s">
        <v>201</v>
      </c>
      <c r="N3067" s="61"/>
      <c r="O3067" s="51"/>
    </row>
    <row r="3068">
      <c r="A3068" s="56">
        <v>3065.0</v>
      </c>
      <c r="B3068" s="66"/>
      <c r="C3068" s="64" t="s">
        <v>12606</v>
      </c>
      <c r="D3068" s="66"/>
      <c r="E3068" s="63" t="s">
        <v>12607</v>
      </c>
      <c r="F3068" s="70">
        <v>41913.0</v>
      </c>
      <c r="G3068" s="63" t="s">
        <v>12608</v>
      </c>
      <c r="H3068" s="66"/>
      <c r="I3068" s="63" t="s">
        <v>12609</v>
      </c>
      <c r="J3068" s="63" t="s">
        <v>9403</v>
      </c>
      <c r="K3068" s="66"/>
      <c r="L3068" s="66"/>
      <c r="M3068" s="63" t="s">
        <v>125</v>
      </c>
      <c r="N3068" s="61"/>
      <c r="O3068" s="51"/>
    </row>
    <row r="3069">
      <c r="A3069" s="75">
        <v>3066.0</v>
      </c>
      <c r="B3069" s="71"/>
      <c r="C3069" s="69" t="s">
        <v>12610</v>
      </c>
      <c r="D3069" s="71"/>
      <c r="E3069" s="68" t="s">
        <v>12611</v>
      </c>
      <c r="F3069" s="83">
        <v>42291.0</v>
      </c>
      <c r="G3069" s="68" t="s">
        <v>12612</v>
      </c>
      <c r="H3069" s="71"/>
      <c r="I3069" s="68" t="s">
        <v>12613</v>
      </c>
      <c r="J3069" s="68" t="s">
        <v>12614</v>
      </c>
      <c r="K3069" s="71"/>
      <c r="L3069" s="71"/>
      <c r="M3069" s="68" t="s">
        <v>2291</v>
      </c>
      <c r="N3069" s="77"/>
      <c r="O3069" s="51"/>
    </row>
    <row r="3070">
      <c r="A3070" s="75">
        <v>3067.0</v>
      </c>
      <c r="B3070" s="71"/>
      <c r="C3070" s="69" t="s">
        <v>12615</v>
      </c>
      <c r="D3070" s="71"/>
      <c r="E3070" s="68" t="s">
        <v>12616</v>
      </c>
      <c r="F3070" s="76">
        <v>42345.0</v>
      </c>
      <c r="G3070" s="68" t="s">
        <v>12617</v>
      </c>
      <c r="H3070" s="71"/>
      <c r="I3070" s="68" t="s">
        <v>12618</v>
      </c>
      <c r="J3070" s="68" t="s">
        <v>12619</v>
      </c>
      <c r="K3070" s="71"/>
      <c r="L3070" s="71"/>
      <c r="M3070" s="68" t="s">
        <v>149</v>
      </c>
      <c r="N3070" s="77"/>
      <c r="O3070" s="51"/>
    </row>
    <row r="3071">
      <c r="A3071" s="75">
        <v>3068.0</v>
      </c>
      <c r="B3071" s="71"/>
      <c r="C3071" s="69" t="s">
        <v>12620</v>
      </c>
      <c r="D3071" s="71"/>
      <c r="E3071" s="68" t="s">
        <v>12621</v>
      </c>
      <c r="F3071" s="76">
        <v>41361.0</v>
      </c>
      <c r="G3071" s="68" t="s">
        <v>12622</v>
      </c>
      <c r="H3071" s="71"/>
      <c r="I3071" s="68" t="s">
        <v>12623</v>
      </c>
      <c r="J3071" s="68" t="s">
        <v>296</v>
      </c>
      <c r="K3071" s="71"/>
      <c r="L3071" s="71"/>
      <c r="M3071" s="71"/>
      <c r="N3071" s="77"/>
      <c r="O3071" s="51"/>
    </row>
    <row r="3072">
      <c r="A3072" s="56">
        <v>3069.0</v>
      </c>
      <c r="B3072" s="66"/>
      <c r="C3072" s="64" t="s">
        <v>12624</v>
      </c>
      <c r="D3072" s="66"/>
      <c r="E3072" s="63" t="s">
        <v>12625</v>
      </c>
      <c r="F3072" s="70">
        <v>41088.0</v>
      </c>
      <c r="G3072" s="63" t="s">
        <v>12626</v>
      </c>
      <c r="H3072" s="66"/>
      <c r="I3072" s="63" t="s">
        <v>12627</v>
      </c>
      <c r="J3072" s="63" t="s">
        <v>2872</v>
      </c>
      <c r="K3072" s="66"/>
      <c r="L3072" s="66"/>
      <c r="M3072" s="63" t="s">
        <v>125</v>
      </c>
      <c r="N3072" s="61"/>
      <c r="O3072" s="51"/>
    </row>
    <row r="3073">
      <c r="A3073" s="75">
        <v>3070.0</v>
      </c>
      <c r="B3073" s="71"/>
      <c r="C3073" s="69" t="s">
        <v>12628</v>
      </c>
      <c r="D3073" s="71"/>
      <c r="E3073" s="68" t="s">
        <v>12629</v>
      </c>
      <c r="F3073" s="76">
        <v>42231.0</v>
      </c>
      <c r="G3073" s="68" t="s">
        <v>12630</v>
      </c>
      <c r="H3073" s="71"/>
      <c r="I3073" s="68" t="s">
        <v>635</v>
      </c>
      <c r="J3073" s="68" t="s">
        <v>296</v>
      </c>
      <c r="K3073" s="71"/>
      <c r="L3073" s="71"/>
      <c r="M3073" s="71"/>
      <c r="N3073" s="61"/>
      <c r="O3073" s="51"/>
    </row>
    <row r="3074">
      <c r="A3074" s="75">
        <v>3071.0</v>
      </c>
      <c r="B3074" s="71"/>
      <c r="C3074" s="69" t="s">
        <v>12631</v>
      </c>
      <c r="D3074" s="71"/>
      <c r="E3074" s="68" t="s">
        <v>12632</v>
      </c>
      <c r="F3074" s="76">
        <v>42231.0</v>
      </c>
      <c r="G3074" s="68" t="s">
        <v>12630</v>
      </c>
      <c r="H3074" s="71"/>
      <c r="I3074" s="68" t="s">
        <v>635</v>
      </c>
      <c r="J3074" s="68" t="s">
        <v>296</v>
      </c>
      <c r="K3074" s="71"/>
      <c r="L3074" s="71"/>
      <c r="M3074" s="71"/>
      <c r="N3074" s="61"/>
      <c r="O3074" s="51"/>
    </row>
    <row r="3075">
      <c r="A3075" s="56">
        <v>3072.0</v>
      </c>
      <c r="B3075" s="71"/>
      <c r="C3075" s="69" t="s">
        <v>12633</v>
      </c>
      <c r="D3075" s="71"/>
      <c r="E3075" s="68" t="s">
        <v>12634</v>
      </c>
      <c r="F3075" s="76">
        <v>42231.0</v>
      </c>
      <c r="G3075" s="68" t="s">
        <v>12635</v>
      </c>
      <c r="H3075" s="71"/>
      <c r="I3075" s="66"/>
      <c r="J3075" s="68" t="s">
        <v>622</v>
      </c>
      <c r="K3075" s="71"/>
      <c r="L3075" s="71"/>
      <c r="M3075" s="71"/>
      <c r="N3075" s="61"/>
      <c r="O3075" s="51"/>
    </row>
    <row r="3076">
      <c r="A3076" s="75">
        <v>3073.0</v>
      </c>
      <c r="B3076" s="71"/>
      <c r="C3076" s="69" t="s">
        <v>12636</v>
      </c>
      <c r="D3076" s="71"/>
      <c r="E3076" s="68" t="s">
        <v>12637</v>
      </c>
      <c r="F3076" s="76">
        <v>41219.0</v>
      </c>
      <c r="G3076" s="68" t="s">
        <v>12638</v>
      </c>
      <c r="H3076" s="71"/>
      <c r="I3076" s="68" t="s">
        <v>12639</v>
      </c>
      <c r="J3076" s="68" t="s">
        <v>12640</v>
      </c>
      <c r="K3076" s="71"/>
      <c r="L3076" s="71"/>
      <c r="M3076" s="68" t="s">
        <v>125</v>
      </c>
      <c r="N3076" s="61"/>
      <c r="O3076" s="51"/>
    </row>
    <row r="3077">
      <c r="A3077" s="75">
        <v>3074.0</v>
      </c>
      <c r="B3077" s="71"/>
      <c r="C3077" s="69" t="s">
        <v>12641</v>
      </c>
      <c r="D3077" s="71"/>
      <c r="E3077" s="68" t="s">
        <v>12642</v>
      </c>
      <c r="F3077" s="83">
        <v>42350.0</v>
      </c>
      <c r="G3077" s="68" t="s">
        <v>12643</v>
      </c>
      <c r="H3077" s="71"/>
      <c r="I3077" s="68" t="s">
        <v>635</v>
      </c>
      <c r="J3077" s="68" t="s">
        <v>12644</v>
      </c>
      <c r="K3077" s="71"/>
      <c r="L3077" s="71"/>
      <c r="M3077" s="71"/>
      <c r="N3077" s="61"/>
      <c r="O3077" s="51"/>
    </row>
    <row r="3078">
      <c r="A3078" s="75">
        <v>3075.0</v>
      </c>
      <c r="B3078" s="71"/>
      <c r="C3078" s="69" t="s">
        <v>12645</v>
      </c>
      <c r="D3078" s="71"/>
      <c r="E3078" s="68" t="s">
        <v>12646</v>
      </c>
      <c r="F3078" s="76">
        <v>42101.0</v>
      </c>
      <c r="G3078" s="68" t="s">
        <v>12643</v>
      </c>
      <c r="H3078" s="71"/>
      <c r="I3078" s="68" t="s">
        <v>12647</v>
      </c>
      <c r="J3078" s="68" t="s">
        <v>12648</v>
      </c>
      <c r="K3078" s="71"/>
      <c r="L3078" s="71"/>
      <c r="M3078" s="68" t="s">
        <v>368</v>
      </c>
      <c r="N3078" s="77"/>
      <c r="O3078" s="51"/>
    </row>
    <row r="3079">
      <c r="A3079" s="56">
        <v>3076.0</v>
      </c>
      <c r="B3079" s="71"/>
      <c r="C3079" s="69" t="s">
        <v>12649</v>
      </c>
      <c r="D3079" s="71"/>
      <c r="E3079" s="68" t="s">
        <v>12650</v>
      </c>
      <c r="F3079" s="83">
        <v>42361.0</v>
      </c>
      <c r="G3079" s="68" t="s">
        <v>12651</v>
      </c>
      <c r="H3079" s="71"/>
      <c r="I3079" s="63" t="s">
        <v>635</v>
      </c>
      <c r="J3079" s="68" t="s">
        <v>12652</v>
      </c>
      <c r="K3079" s="71"/>
      <c r="L3079" s="71"/>
      <c r="M3079" s="71"/>
      <c r="N3079" s="61"/>
      <c r="O3079" s="51"/>
    </row>
    <row r="3080">
      <c r="A3080" s="56">
        <v>3077.0</v>
      </c>
      <c r="B3080" s="71"/>
      <c r="C3080" s="69" t="s">
        <v>12653</v>
      </c>
      <c r="D3080" s="71"/>
      <c r="E3080" s="68" t="s">
        <v>12654</v>
      </c>
      <c r="F3080" s="76">
        <v>42402.0</v>
      </c>
      <c r="G3080" s="68" t="s">
        <v>12655</v>
      </c>
      <c r="H3080" s="71"/>
      <c r="I3080" s="63" t="s">
        <v>12656</v>
      </c>
      <c r="J3080" s="68" t="s">
        <v>4736</v>
      </c>
      <c r="K3080" s="71"/>
      <c r="L3080" s="71"/>
      <c r="M3080" s="68" t="s">
        <v>143</v>
      </c>
      <c r="N3080" s="61"/>
      <c r="O3080" s="51"/>
    </row>
    <row r="3081">
      <c r="A3081" s="75">
        <v>3078.0</v>
      </c>
      <c r="B3081" s="71"/>
      <c r="C3081" s="69" t="s">
        <v>12657</v>
      </c>
      <c r="D3081" s="71"/>
      <c r="E3081" s="68" t="s">
        <v>12658</v>
      </c>
      <c r="F3081" s="76">
        <v>41731.0</v>
      </c>
      <c r="G3081" s="68" t="s">
        <v>12659</v>
      </c>
      <c r="H3081" s="71"/>
      <c r="I3081" s="68" t="s">
        <v>12660</v>
      </c>
      <c r="J3081" s="68" t="s">
        <v>12661</v>
      </c>
      <c r="K3081" s="71"/>
      <c r="L3081" s="71"/>
      <c r="M3081" s="71"/>
      <c r="N3081" s="61"/>
      <c r="O3081" s="51"/>
    </row>
    <row r="3082">
      <c r="A3082" s="75">
        <v>3079.0</v>
      </c>
      <c r="B3082" s="71"/>
      <c r="C3082" s="69" t="s">
        <v>12662</v>
      </c>
      <c r="D3082" s="71"/>
      <c r="E3082" s="68" t="s">
        <v>12663</v>
      </c>
      <c r="F3082" s="76">
        <v>42271.0</v>
      </c>
      <c r="G3082" s="68" t="s">
        <v>12664</v>
      </c>
      <c r="H3082" s="71"/>
      <c r="I3082" s="68" t="s">
        <v>12665</v>
      </c>
      <c r="J3082" s="68" t="s">
        <v>12666</v>
      </c>
      <c r="K3082" s="71"/>
      <c r="L3082" s="71"/>
      <c r="M3082" s="71"/>
      <c r="N3082" s="61"/>
      <c r="O3082" s="51"/>
    </row>
    <row r="3083">
      <c r="A3083" s="56">
        <v>3080.0</v>
      </c>
      <c r="B3083" s="71"/>
      <c r="C3083" s="69" t="s">
        <v>12667</v>
      </c>
      <c r="D3083" s="71"/>
      <c r="E3083" s="68" t="s">
        <v>12668</v>
      </c>
      <c r="F3083" s="76">
        <v>42271.0</v>
      </c>
      <c r="G3083" s="68" t="s">
        <v>12669</v>
      </c>
      <c r="H3083" s="71"/>
      <c r="I3083" s="68" t="s">
        <v>12670</v>
      </c>
      <c r="J3083" s="87" t="s">
        <v>12671</v>
      </c>
      <c r="K3083" s="101"/>
      <c r="L3083" s="71"/>
      <c r="M3083" s="68" t="s">
        <v>2989</v>
      </c>
      <c r="N3083" s="61"/>
      <c r="O3083" s="51"/>
    </row>
    <row r="3084">
      <c r="A3084" s="56">
        <v>3081.0</v>
      </c>
      <c r="B3084" s="71"/>
      <c r="C3084" s="69" t="s">
        <v>12672</v>
      </c>
      <c r="D3084" s="71"/>
      <c r="E3084" s="68" t="s">
        <v>12673</v>
      </c>
      <c r="F3084" s="76">
        <v>42388.0</v>
      </c>
      <c r="G3084" s="68" t="s">
        <v>12674</v>
      </c>
      <c r="H3084" s="71"/>
      <c r="I3084" s="66"/>
      <c r="J3084" s="68" t="s">
        <v>2355</v>
      </c>
      <c r="K3084" s="71"/>
      <c r="L3084" s="71"/>
      <c r="M3084" s="104"/>
      <c r="N3084" s="105"/>
      <c r="O3084" s="51"/>
    </row>
    <row r="3085">
      <c r="A3085" s="75">
        <v>3082.0</v>
      </c>
      <c r="B3085" s="71"/>
      <c r="C3085" s="69" t="s">
        <v>12675</v>
      </c>
      <c r="D3085" s="71"/>
      <c r="E3085" s="68" t="s">
        <v>12676</v>
      </c>
      <c r="F3085" s="76">
        <v>42417.0</v>
      </c>
      <c r="G3085" s="68" t="s">
        <v>12677</v>
      </c>
      <c r="H3085" s="71"/>
      <c r="I3085" s="68" t="s">
        <v>12678</v>
      </c>
      <c r="J3085" s="68" t="s">
        <v>296</v>
      </c>
      <c r="K3085" s="71"/>
      <c r="L3085" s="71"/>
      <c r="M3085" s="111"/>
      <c r="N3085" s="61"/>
      <c r="O3085" s="51"/>
    </row>
    <row r="3086">
      <c r="A3086" s="75">
        <v>3083.0</v>
      </c>
      <c r="B3086" s="71"/>
      <c r="C3086" s="69" t="s">
        <v>12679</v>
      </c>
      <c r="D3086" s="71"/>
      <c r="E3086" s="68" t="s">
        <v>12680</v>
      </c>
      <c r="F3086" s="76">
        <v>42224.0</v>
      </c>
      <c r="G3086" s="68" t="s">
        <v>12681</v>
      </c>
      <c r="H3086" s="71"/>
      <c r="I3086" s="71"/>
      <c r="J3086" s="68" t="s">
        <v>11452</v>
      </c>
      <c r="K3086" s="71"/>
      <c r="L3086" s="71"/>
      <c r="M3086" s="71"/>
      <c r="N3086" s="61"/>
      <c r="O3086" s="51"/>
    </row>
    <row r="3087">
      <c r="A3087" s="75">
        <v>3084.0</v>
      </c>
      <c r="B3087" s="71"/>
      <c r="C3087" s="69" t="s">
        <v>12682</v>
      </c>
      <c r="D3087" s="71"/>
      <c r="E3087" s="68" t="s">
        <v>12683</v>
      </c>
      <c r="F3087" s="83">
        <v>42292.0</v>
      </c>
      <c r="G3087" s="68" t="s">
        <v>12684</v>
      </c>
      <c r="H3087" s="71"/>
      <c r="I3087" s="68" t="s">
        <v>12685</v>
      </c>
      <c r="J3087" s="68" t="s">
        <v>12686</v>
      </c>
      <c r="K3087" s="71"/>
      <c r="L3087" s="71"/>
      <c r="M3087" s="68" t="s">
        <v>149</v>
      </c>
      <c r="N3087" s="61"/>
      <c r="O3087" s="51"/>
    </row>
    <row r="3088">
      <c r="A3088" s="56">
        <v>3085.0</v>
      </c>
      <c r="B3088" s="66"/>
      <c r="C3088" s="64" t="s">
        <v>12687</v>
      </c>
      <c r="D3088" s="66"/>
      <c r="E3088" s="63" t="s">
        <v>12688</v>
      </c>
      <c r="F3088" s="70">
        <v>42166.0</v>
      </c>
      <c r="G3088" s="63" t="s">
        <v>12689</v>
      </c>
      <c r="H3088" s="63" t="s">
        <v>12690</v>
      </c>
      <c r="I3088" s="63" t="s">
        <v>12691</v>
      </c>
      <c r="J3088" s="63" t="s">
        <v>10817</v>
      </c>
      <c r="K3088" s="66"/>
      <c r="L3088" s="66"/>
      <c r="M3088" s="63" t="s">
        <v>31</v>
      </c>
      <c r="N3088" s="61"/>
      <c r="O3088" s="51"/>
    </row>
    <row r="3089">
      <c r="A3089" s="56">
        <v>3086.0</v>
      </c>
      <c r="B3089" s="60"/>
      <c r="C3089" s="58" t="s">
        <v>12692</v>
      </c>
      <c r="D3089" s="60"/>
      <c r="E3089" s="57" t="s">
        <v>12693</v>
      </c>
      <c r="F3089" s="78">
        <v>42367.0</v>
      </c>
      <c r="G3089" s="57" t="s">
        <v>12694</v>
      </c>
      <c r="H3089" s="60"/>
      <c r="I3089" s="63" t="s">
        <v>635</v>
      </c>
      <c r="J3089" s="57" t="s">
        <v>12695</v>
      </c>
      <c r="K3089" s="60"/>
      <c r="L3089" s="60"/>
      <c r="M3089" s="60"/>
      <c r="N3089" s="61"/>
      <c r="O3089" s="51"/>
    </row>
    <row r="3090">
      <c r="A3090" s="56">
        <v>3087.0</v>
      </c>
      <c r="B3090" s="71"/>
      <c r="C3090" s="69" t="s">
        <v>12696</v>
      </c>
      <c r="D3090" s="71"/>
      <c r="E3090" s="68" t="s">
        <v>12697</v>
      </c>
      <c r="F3090" s="76">
        <v>42400.0</v>
      </c>
      <c r="G3090" s="68" t="s">
        <v>12698</v>
      </c>
      <c r="H3090" s="71"/>
      <c r="I3090" s="68" t="s">
        <v>12699</v>
      </c>
      <c r="J3090" s="68" t="s">
        <v>12700</v>
      </c>
      <c r="K3090" s="71"/>
      <c r="L3090" s="71"/>
      <c r="M3090" s="68" t="s">
        <v>2291</v>
      </c>
      <c r="N3090" s="77"/>
      <c r="O3090" s="51"/>
    </row>
    <row r="3091">
      <c r="A3091" s="56">
        <v>3088.0</v>
      </c>
      <c r="B3091" s="71"/>
      <c r="C3091" s="69" t="s">
        <v>12701</v>
      </c>
      <c r="D3091" s="71"/>
      <c r="E3091" s="68" t="s">
        <v>12702</v>
      </c>
      <c r="F3091" s="76">
        <v>42389.0</v>
      </c>
      <c r="G3091" s="68" t="s">
        <v>12703</v>
      </c>
      <c r="H3091" s="71"/>
      <c r="I3091" s="63" t="s">
        <v>635</v>
      </c>
      <c r="J3091" s="68" t="s">
        <v>12704</v>
      </c>
      <c r="K3091" s="71"/>
      <c r="L3091" s="71"/>
      <c r="M3091" s="71"/>
      <c r="N3091" s="61"/>
      <c r="O3091" s="51"/>
    </row>
    <row r="3092">
      <c r="A3092" s="56">
        <v>3089.0</v>
      </c>
      <c r="B3092" s="71"/>
      <c r="C3092" s="69" t="s">
        <v>12705</v>
      </c>
      <c r="D3092" s="71"/>
      <c r="E3092" s="68" t="s">
        <v>12706</v>
      </c>
      <c r="F3092" s="76">
        <v>42389.0</v>
      </c>
      <c r="G3092" s="68" t="s">
        <v>12703</v>
      </c>
      <c r="H3092" s="71"/>
      <c r="I3092" s="63" t="s">
        <v>635</v>
      </c>
      <c r="J3092" s="68" t="s">
        <v>12704</v>
      </c>
      <c r="K3092" s="71"/>
      <c r="L3092" s="71"/>
      <c r="M3092" s="71"/>
      <c r="N3092" s="61"/>
      <c r="O3092" s="51"/>
    </row>
    <row r="3093">
      <c r="A3093" s="56">
        <v>3090.0</v>
      </c>
      <c r="B3093" s="71"/>
      <c r="C3093" s="69" t="s">
        <v>12707</v>
      </c>
      <c r="D3093" s="71"/>
      <c r="E3093" s="68" t="s">
        <v>12708</v>
      </c>
      <c r="F3093" s="76">
        <v>41791.0</v>
      </c>
      <c r="G3093" s="68" t="s">
        <v>12709</v>
      </c>
      <c r="H3093" s="71"/>
      <c r="I3093" s="63" t="s">
        <v>12710</v>
      </c>
      <c r="J3093" s="68" t="s">
        <v>12711</v>
      </c>
      <c r="K3093" s="71"/>
      <c r="L3093" s="71"/>
      <c r="M3093" s="68" t="s">
        <v>166</v>
      </c>
      <c r="N3093" s="61"/>
      <c r="O3093" s="51"/>
    </row>
    <row r="3094">
      <c r="A3094" s="56">
        <v>3091.0</v>
      </c>
      <c r="B3094" s="71"/>
      <c r="C3094" s="69" t="s">
        <v>12712</v>
      </c>
      <c r="D3094" s="71"/>
      <c r="E3094" s="68" t="s">
        <v>12713</v>
      </c>
      <c r="F3094" s="76">
        <v>41791.0</v>
      </c>
      <c r="G3094" s="68" t="s">
        <v>12714</v>
      </c>
      <c r="H3094" s="71"/>
      <c r="I3094" s="63" t="s">
        <v>12710</v>
      </c>
      <c r="J3094" s="68" t="s">
        <v>12715</v>
      </c>
      <c r="K3094" s="71"/>
      <c r="L3094" s="71"/>
      <c r="M3094" s="104"/>
      <c r="N3094" s="105"/>
      <c r="O3094" s="51"/>
    </row>
    <row r="3095">
      <c r="A3095" s="56">
        <v>3092.0</v>
      </c>
      <c r="B3095" s="71"/>
      <c r="C3095" s="69" t="s">
        <v>12716</v>
      </c>
      <c r="D3095" s="71"/>
      <c r="E3095" s="68" t="s">
        <v>12717</v>
      </c>
      <c r="F3095" s="76">
        <v>42267.0</v>
      </c>
      <c r="G3095" s="68" t="s">
        <v>12718</v>
      </c>
      <c r="H3095" s="71"/>
      <c r="I3095" s="63" t="s">
        <v>12719</v>
      </c>
      <c r="J3095" s="68" t="s">
        <v>12720</v>
      </c>
      <c r="K3095" s="71"/>
      <c r="L3095" s="71"/>
      <c r="M3095" s="104"/>
      <c r="N3095" s="105"/>
      <c r="O3095" s="51"/>
    </row>
    <row r="3096">
      <c r="A3096" s="56">
        <v>3093.0</v>
      </c>
      <c r="B3096" s="71"/>
      <c r="C3096" s="69" t="s">
        <v>12721</v>
      </c>
      <c r="D3096" s="71"/>
      <c r="E3096" s="68" t="s">
        <v>12722</v>
      </c>
      <c r="F3096" s="83">
        <v>42355.0</v>
      </c>
      <c r="G3096" s="68" t="s">
        <v>12723</v>
      </c>
      <c r="H3096" s="71"/>
      <c r="I3096" s="66"/>
      <c r="J3096" s="68" t="s">
        <v>296</v>
      </c>
      <c r="K3096" s="71"/>
      <c r="L3096" s="71"/>
      <c r="M3096" s="128" t="s">
        <v>166</v>
      </c>
      <c r="N3096" s="61"/>
      <c r="O3096" s="51"/>
    </row>
    <row r="3097">
      <c r="A3097" s="56">
        <v>3094.0</v>
      </c>
      <c r="B3097" s="71"/>
      <c r="C3097" s="69" t="s">
        <v>12724</v>
      </c>
      <c r="D3097" s="71"/>
      <c r="E3097" s="68" t="s">
        <v>12725</v>
      </c>
      <c r="F3097" s="76">
        <v>42382.0</v>
      </c>
      <c r="G3097" s="68" t="s">
        <v>12726</v>
      </c>
      <c r="H3097" s="71"/>
      <c r="I3097" s="63" t="s">
        <v>635</v>
      </c>
      <c r="J3097" s="68" t="s">
        <v>11452</v>
      </c>
      <c r="K3097" s="71"/>
      <c r="L3097" s="71"/>
      <c r="M3097" s="71"/>
      <c r="N3097" s="61"/>
      <c r="O3097" s="51"/>
    </row>
    <row r="3098">
      <c r="A3098" s="56">
        <v>3095.0</v>
      </c>
      <c r="B3098" s="71"/>
      <c r="C3098" s="69" t="s">
        <v>12727</v>
      </c>
      <c r="D3098" s="71"/>
      <c r="E3098" s="68" t="s">
        <v>12728</v>
      </c>
      <c r="F3098" s="76">
        <v>42383.0</v>
      </c>
      <c r="G3098" s="68" t="s">
        <v>12729</v>
      </c>
      <c r="H3098" s="71"/>
      <c r="I3098" s="63" t="s">
        <v>635</v>
      </c>
      <c r="J3098" s="68" t="s">
        <v>9438</v>
      </c>
      <c r="K3098" s="71"/>
      <c r="L3098" s="71"/>
      <c r="M3098" s="68" t="s">
        <v>166</v>
      </c>
      <c r="N3098" s="61"/>
      <c r="O3098" s="51"/>
    </row>
    <row r="3099">
      <c r="A3099" s="56">
        <v>3096.0</v>
      </c>
      <c r="B3099" s="60"/>
      <c r="C3099" s="58" t="s">
        <v>12730</v>
      </c>
      <c r="D3099" s="60"/>
      <c r="E3099" s="57" t="s">
        <v>12731</v>
      </c>
      <c r="F3099" s="59">
        <v>42383.0</v>
      </c>
      <c r="G3099" s="57" t="s">
        <v>12732</v>
      </c>
      <c r="H3099" s="60"/>
      <c r="I3099" s="63" t="s">
        <v>635</v>
      </c>
      <c r="J3099" s="57" t="s">
        <v>9901</v>
      </c>
      <c r="K3099" s="60"/>
      <c r="L3099" s="60"/>
      <c r="M3099" s="104"/>
      <c r="N3099" s="105"/>
      <c r="O3099" s="51"/>
    </row>
    <row r="3100">
      <c r="A3100" s="56">
        <v>3097.0</v>
      </c>
      <c r="B3100" s="71"/>
      <c r="C3100" s="69" t="s">
        <v>12733</v>
      </c>
      <c r="D3100" s="71"/>
      <c r="E3100" s="68" t="s">
        <v>12734</v>
      </c>
      <c r="F3100" s="76">
        <v>42384.0</v>
      </c>
      <c r="G3100" s="68" t="s">
        <v>12735</v>
      </c>
      <c r="H3100" s="71"/>
      <c r="I3100" s="63" t="s">
        <v>635</v>
      </c>
      <c r="J3100" s="68" t="s">
        <v>296</v>
      </c>
      <c r="K3100" s="71"/>
      <c r="L3100" s="71"/>
      <c r="M3100" s="128" t="s">
        <v>166</v>
      </c>
      <c r="N3100" s="61"/>
      <c r="O3100" s="51"/>
    </row>
    <row r="3101">
      <c r="A3101" s="56">
        <v>3098.0</v>
      </c>
      <c r="B3101" s="71"/>
      <c r="C3101" s="69" t="s">
        <v>12736</v>
      </c>
      <c r="D3101" s="71"/>
      <c r="E3101" s="68" t="s">
        <v>12737</v>
      </c>
      <c r="F3101" s="76">
        <v>42385.0</v>
      </c>
      <c r="G3101" s="68" t="s">
        <v>12738</v>
      </c>
      <c r="H3101" s="71"/>
      <c r="I3101" s="63" t="s">
        <v>635</v>
      </c>
      <c r="J3101" s="68" t="s">
        <v>12739</v>
      </c>
      <c r="K3101" s="71"/>
      <c r="L3101" s="71"/>
      <c r="M3101" s="104"/>
      <c r="N3101" s="105"/>
      <c r="O3101" s="51"/>
    </row>
    <row r="3102">
      <c r="A3102" s="56">
        <v>3099.0</v>
      </c>
      <c r="B3102" s="71"/>
      <c r="C3102" s="69" t="s">
        <v>12740</v>
      </c>
      <c r="D3102" s="71"/>
      <c r="E3102" s="68" t="s">
        <v>12741</v>
      </c>
      <c r="F3102" s="76">
        <v>42385.0</v>
      </c>
      <c r="G3102" s="68" t="s">
        <v>12742</v>
      </c>
      <c r="H3102" s="71"/>
      <c r="I3102" s="68" t="s">
        <v>12743</v>
      </c>
      <c r="J3102" s="68" t="s">
        <v>12744</v>
      </c>
      <c r="K3102" s="71"/>
      <c r="L3102" s="71"/>
      <c r="M3102" s="128" t="s">
        <v>166</v>
      </c>
      <c r="N3102" s="77"/>
      <c r="O3102" s="51"/>
    </row>
    <row r="3103">
      <c r="A3103" s="56">
        <v>3100.0</v>
      </c>
      <c r="B3103" s="71"/>
      <c r="C3103" s="69" t="s">
        <v>12745</v>
      </c>
      <c r="D3103" s="71"/>
      <c r="E3103" s="68" t="s">
        <v>12746</v>
      </c>
      <c r="F3103" s="76">
        <v>42386.0</v>
      </c>
      <c r="G3103" s="68" t="s">
        <v>12747</v>
      </c>
      <c r="H3103" s="71"/>
      <c r="I3103" s="63" t="s">
        <v>635</v>
      </c>
      <c r="J3103" s="68" t="s">
        <v>296</v>
      </c>
      <c r="K3103" s="71"/>
      <c r="L3103" s="71"/>
      <c r="M3103" s="68" t="s">
        <v>166</v>
      </c>
      <c r="N3103" s="61"/>
      <c r="O3103" s="51"/>
    </row>
    <row r="3104">
      <c r="A3104" s="56">
        <v>3101.0</v>
      </c>
      <c r="B3104" s="71"/>
      <c r="C3104" s="69" t="s">
        <v>12748</v>
      </c>
      <c r="D3104" s="71"/>
      <c r="E3104" s="68" t="s">
        <v>12749</v>
      </c>
      <c r="F3104" s="76">
        <v>42387.0</v>
      </c>
      <c r="G3104" s="68" t="s">
        <v>12750</v>
      </c>
      <c r="H3104" s="71"/>
      <c r="I3104" s="63" t="s">
        <v>635</v>
      </c>
      <c r="J3104" s="68" t="s">
        <v>12446</v>
      </c>
      <c r="K3104" s="71"/>
      <c r="L3104" s="71"/>
      <c r="M3104" s="68" t="s">
        <v>166</v>
      </c>
      <c r="N3104" s="61"/>
      <c r="O3104" s="51"/>
    </row>
    <row r="3105">
      <c r="A3105" s="56">
        <v>3102.0</v>
      </c>
      <c r="B3105" s="71"/>
      <c r="C3105" s="69" t="s">
        <v>12751</v>
      </c>
      <c r="D3105" s="71"/>
      <c r="E3105" s="68" t="s">
        <v>12752</v>
      </c>
      <c r="F3105" s="76">
        <v>42387.0</v>
      </c>
      <c r="G3105" s="68" t="s">
        <v>12753</v>
      </c>
      <c r="H3105" s="71"/>
      <c r="I3105" s="63" t="s">
        <v>635</v>
      </c>
      <c r="J3105" s="68" t="s">
        <v>12446</v>
      </c>
      <c r="K3105" s="71"/>
      <c r="L3105" s="71"/>
      <c r="M3105" s="68" t="s">
        <v>166</v>
      </c>
      <c r="N3105" s="61"/>
      <c r="O3105" s="51"/>
    </row>
    <row r="3106">
      <c r="A3106" s="56">
        <v>3103.0</v>
      </c>
      <c r="B3106" s="71"/>
      <c r="C3106" s="69" t="s">
        <v>12754</v>
      </c>
      <c r="D3106" s="71"/>
      <c r="E3106" s="68" t="s">
        <v>12755</v>
      </c>
      <c r="F3106" s="76">
        <v>42391.0</v>
      </c>
      <c r="G3106" s="68" t="s">
        <v>12756</v>
      </c>
      <c r="H3106" s="71"/>
      <c r="I3106" s="63" t="s">
        <v>635</v>
      </c>
      <c r="J3106" s="68" t="s">
        <v>12446</v>
      </c>
      <c r="K3106" s="71"/>
      <c r="L3106" s="71"/>
      <c r="M3106" s="68" t="s">
        <v>166</v>
      </c>
      <c r="N3106" s="61"/>
      <c r="O3106" s="51"/>
    </row>
    <row r="3107">
      <c r="A3107" s="56">
        <v>3104.0</v>
      </c>
      <c r="B3107" s="71"/>
      <c r="C3107" s="69" t="s">
        <v>12757</v>
      </c>
      <c r="D3107" s="71"/>
      <c r="E3107" s="68" t="s">
        <v>12758</v>
      </c>
      <c r="F3107" s="76">
        <v>42391.0</v>
      </c>
      <c r="G3107" s="68" t="s">
        <v>12759</v>
      </c>
      <c r="H3107" s="71"/>
      <c r="I3107" s="63" t="s">
        <v>635</v>
      </c>
      <c r="J3107" s="68" t="s">
        <v>12446</v>
      </c>
      <c r="K3107" s="71"/>
      <c r="L3107" s="71"/>
      <c r="M3107" s="68" t="s">
        <v>166</v>
      </c>
      <c r="N3107" s="61"/>
      <c r="O3107" s="51"/>
    </row>
    <row r="3108">
      <c r="A3108" s="56">
        <v>3105.0</v>
      </c>
      <c r="B3108" s="71"/>
      <c r="C3108" s="69" t="s">
        <v>12760</v>
      </c>
      <c r="D3108" s="71"/>
      <c r="E3108" s="68" t="s">
        <v>12761</v>
      </c>
      <c r="F3108" s="76">
        <v>42392.0</v>
      </c>
      <c r="G3108" s="68" t="s">
        <v>12762</v>
      </c>
      <c r="H3108" s="71"/>
      <c r="I3108" s="63" t="s">
        <v>635</v>
      </c>
      <c r="J3108" s="68" t="s">
        <v>296</v>
      </c>
      <c r="K3108" s="71"/>
      <c r="L3108" s="71"/>
      <c r="M3108" s="68" t="s">
        <v>166</v>
      </c>
      <c r="N3108" s="61"/>
      <c r="O3108" s="51"/>
    </row>
    <row r="3109">
      <c r="A3109" s="56">
        <v>3106.0</v>
      </c>
      <c r="B3109" s="71"/>
      <c r="C3109" s="69" t="s">
        <v>12763</v>
      </c>
      <c r="D3109" s="71"/>
      <c r="E3109" s="68" t="s">
        <v>12764</v>
      </c>
      <c r="F3109" s="76">
        <v>42392.0</v>
      </c>
      <c r="G3109" s="68" t="s">
        <v>12765</v>
      </c>
      <c r="H3109" s="71"/>
      <c r="I3109" s="63" t="s">
        <v>635</v>
      </c>
      <c r="J3109" s="68" t="s">
        <v>12446</v>
      </c>
      <c r="K3109" s="71"/>
      <c r="L3109" s="71"/>
      <c r="M3109" s="68" t="s">
        <v>166</v>
      </c>
      <c r="N3109" s="61"/>
      <c r="O3109" s="51"/>
    </row>
    <row r="3110">
      <c r="A3110" s="56">
        <v>3107.0</v>
      </c>
      <c r="B3110" s="71"/>
      <c r="C3110" s="69" t="s">
        <v>12766</v>
      </c>
      <c r="D3110" s="71"/>
      <c r="E3110" s="68" t="s">
        <v>12767</v>
      </c>
      <c r="F3110" s="76">
        <v>42393.0</v>
      </c>
      <c r="G3110" s="68" t="s">
        <v>12768</v>
      </c>
      <c r="H3110" s="71"/>
      <c r="I3110" s="63" t="s">
        <v>635</v>
      </c>
      <c r="J3110" s="68" t="s">
        <v>12446</v>
      </c>
      <c r="K3110" s="71"/>
      <c r="L3110" s="71"/>
      <c r="M3110" s="68" t="s">
        <v>166</v>
      </c>
      <c r="N3110" s="61"/>
      <c r="O3110" s="51"/>
    </row>
    <row r="3111">
      <c r="A3111" s="56">
        <v>3108.0</v>
      </c>
      <c r="B3111" s="71"/>
      <c r="C3111" s="69" t="s">
        <v>12769</v>
      </c>
      <c r="D3111" s="71"/>
      <c r="E3111" s="68" t="s">
        <v>12770</v>
      </c>
      <c r="F3111" s="76">
        <v>42393.0</v>
      </c>
      <c r="G3111" s="68" t="s">
        <v>12771</v>
      </c>
      <c r="H3111" s="71"/>
      <c r="I3111" s="63" t="s">
        <v>635</v>
      </c>
      <c r="J3111" s="68" t="s">
        <v>6778</v>
      </c>
      <c r="K3111" s="71"/>
      <c r="L3111" s="71"/>
      <c r="M3111" s="104"/>
      <c r="N3111" s="105"/>
      <c r="O3111" s="51"/>
    </row>
    <row r="3112">
      <c r="A3112" s="56">
        <v>3109.0</v>
      </c>
      <c r="B3112" s="71"/>
      <c r="C3112" s="69" t="s">
        <v>12772</v>
      </c>
      <c r="D3112" s="71"/>
      <c r="E3112" s="68" t="s">
        <v>12773</v>
      </c>
      <c r="F3112" s="76">
        <v>42393.0</v>
      </c>
      <c r="G3112" s="68" t="s">
        <v>12774</v>
      </c>
      <c r="H3112" s="71"/>
      <c r="I3112" s="63" t="s">
        <v>635</v>
      </c>
      <c r="J3112" s="68" t="s">
        <v>12250</v>
      </c>
      <c r="K3112" s="71"/>
      <c r="L3112" s="71"/>
      <c r="M3112" s="128" t="s">
        <v>166</v>
      </c>
      <c r="N3112" s="61"/>
      <c r="O3112" s="51"/>
    </row>
    <row r="3113">
      <c r="A3113" s="56">
        <v>3110.0</v>
      </c>
      <c r="B3113" s="60"/>
      <c r="C3113" s="58" t="s">
        <v>12775</v>
      </c>
      <c r="D3113" s="60"/>
      <c r="E3113" s="57" t="s">
        <v>12776</v>
      </c>
      <c r="F3113" s="59">
        <v>42020.0</v>
      </c>
      <c r="G3113" s="57" t="s">
        <v>12777</v>
      </c>
      <c r="H3113" s="60"/>
      <c r="I3113" s="63" t="s">
        <v>12778</v>
      </c>
      <c r="J3113" s="57" t="s">
        <v>12779</v>
      </c>
      <c r="K3113" s="60"/>
      <c r="L3113" s="60"/>
      <c r="M3113" s="60"/>
      <c r="N3113" s="61"/>
      <c r="O3113" s="51"/>
    </row>
    <row r="3114">
      <c r="A3114" s="56">
        <v>3111.0</v>
      </c>
      <c r="B3114" s="71"/>
      <c r="C3114" s="69" t="s">
        <v>12780</v>
      </c>
      <c r="D3114" s="71"/>
      <c r="E3114" s="68" t="s">
        <v>12781</v>
      </c>
      <c r="F3114" s="76">
        <v>42283.0</v>
      </c>
      <c r="G3114" s="68" t="s">
        <v>12782</v>
      </c>
      <c r="H3114" s="71"/>
      <c r="I3114" s="63" t="s">
        <v>12783</v>
      </c>
      <c r="J3114" s="68" t="s">
        <v>12784</v>
      </c>
      <c r="K3114" s="71"/>
      <c r="L3114" s="71"/>
      <c r="M3114" s="68" t="s">
        <v>201</v>
      </c>
      <c r="N3114" s="61"/>
      <c r="O3114" s="51"/>
    </row>
    <row r="3115">
      <c r="A3115" s="56">
        <v>3112.0</v>
      </c>
      <c r="B3115" s="60"/>
      <c r="C3115" s="58" t="s">
        <v>12785</v>
      </c>
      <c r="D3115" s="60"/>
      <c r="E3115" s="57" t="s">
        <v>12786</v>
      </c>
      <c r="F3115" s="78">
        <v>42306.0</v>
      </c>
      <c r="G3115" s="57" t="s">
        <v>12787</v>
      </c>
      <c r="H3115" s="60"/>
      <c r="I3115" s="63" t="s">
        <v>12788</v>
      </c>
      <c r="J3115" s="57" t="s">
        <v>12789</v>
      </c>
      <c r="K3115" s="60"/>
      <c r="L3115" s="60"/>
      <c r="M3115" s="57" t="s">
        <v>1182</v>
      </c>
      <c r="N3115" s="61"/>
      <c r="O3115" s="51"/>
    </row>
    <row r="3116">
      <c r="A3116" s="56">
        <v>3113.0</v>
      </c>
      <c r="B3116" s="71"/>
      <c r="C3116" s="69" t="s">
        <v>12790</v>
      </c>
      <c r="D3116" s="71"/>
      <c r="E3116" s="68" t="s">
        <v>12791</v>
      </c>
      <c r="F3116" s="76">
        <v>41805.0</v>
      </c>
      <c r="G3116" s="68" t="s">
        <v>12792</v>
      </c>
      <c r="H3116" s="71"/>
      <c r="I3116" s="63" t="s">
        <v>635</v>
      </c>
      <c r="J3116" s="68" t="s">
        <v>12793</v>
      </c>
      <c r="K3116" s="71"/>
      <c r="L3116" s="71"/>
      <c r="M3116" s="71"/>
      <c r="N3116" s="61"/>
      <c r="O3116" s="51"/>
    </row>
    <row r="3117">
      <c r="A3117" s="56">
        <v>3114.0</v>
      </c>
      <c r="B3117" s="71"/>
      <c r="C3117" s="69" t="s">
        <v>12794</v>
      </c>
      <c r="D3117" s="71"/>
      <c r="E3117" s="68" t="s">
        <v>12795</v>
      </c>
      <c r="F3117" s="76">
        <v>42344.0</v>
      </c>
      <c r="G3117" s="68" t="s">
        <v>12796</v>
      </c>
      <c r="H3117" s="71"/>
      <c r="I3117" s="63" t="s">
        <v>12797</v>
      </c>
      <c r="J3117" s="68" t="s">
        <v>12798</v>
      </c>
      <c r="K3117" s="71"/>
      <c r="L3117" s="71"/>
      <c r="M3117" s="68" t="s">
        <v>149</v>
      </c>
      <c r="N3117" s="61"/>
      <c r="O3117" s="51"/>
    </row>
    <row r="3118">
      <c r="A3118" s="56">
        <v>3115.0</v>
      </c>
      <c r="B3118" s="66"/>
      <c r="C3118" s="64" t="s">
        <v>12799</v>
      </c>
      <c r="D3118" s="63" t="s">
        <v>12800</v>
      </c>
      <c r="E3118" s="63" t="s">
        <v>12801</v>
      </c>
      <c r="F3118" s="70">
        <v>40029.0</v>
      </c>
      <c r="G3118" s="63" t="s">
        <v>12802</v>
      </c>
      <c r="H3118" s="66"/>
      <c r="I3118" s="63" t="s">
        <v>12803</v>
      </c>
      <c r="J3118" s="63" t="s">
        <v>1872</v>
      </c>
      <c r="K3118" s="66"/>
      <c r="L3118" s="66"/>
      <c r="M3118" s="63" t="s">
        <v>530</v>
      </c>
      <c r="N3118" s="61"/>
      <c r="O3118" s="51"/>
    </row>
    <row r="3119">
      <c r="A3119" s="56">
        <v>3116.0</v>
      </c>
      <c r="B3119" s="66"/>
      <c r="C3119" s="64" t="s">
        <v>12804</v>
      </c>
      <c r="D3119" s="66"/>
      <c r="E3119" s="63" t="s">
        <v>12805</v>
      </c>
      <c r="F3119" s="70">
        <v>42378.0</v>
      </c>
      <c r="G3119" s="63" t="s">
        <v>12806</v>
      </c>
      <c r="H3119" s="66"/>
      <c r="I3119" s="63" t="s">
        <v>12807</v>
      </c>
      <c r="J3119" s="63" t="s">
        <v>6262</v>
      </c>
      <c r="K3119" s="66"/>
      <c r="L3119" s="66"/>
      <c r="M3119" s="63" t="s">
        <v>368</v>
      </c>
      <c r="N3119" s="61"/>
      <c r="O3119" s="51"/>
    </row>
    <row r="3120">
      <c r="A3120" s="56">
        <v>3117.0</v>
      </c>
      <c r="B3120" s="71"/>
      <c r="C3120" s="69" t="s">
        <v>12808</v>
      </c>
      <c r="D3120" s="71"/>
      <c r="E3120" s="68" t="s">
        <v>12809</v>
      </c>
      <c r="F3120" s="76">
        <v>42252.0</v>
      </c>
      <c r="G3120" s="68" t="s">
        <v>12810</v>
      </c>
      <c r="H3120" s="71"/>
      <c r="I3120" s="63" t="s">
        <v>12811</v>
      </c>
      <c r="J3120" s="68" t="s">
        <v>12812</v>
      </c>
      <c r="K3120" s="71"/>
      <c r="L3120" s="71"/>
      <c r="M3120" s="68" t="s">
        <v>27</v>
      </c>
      <c r="N3120" s="61"/>
      <c r="O3120" s="51"/>
    </row>
    <row r="3121">
      <c r="A3121" s="56">
        <v>3118.0</v>
      </c>
      <c r="B3121" s="66"/>
      <c r="C3121" s="64" t="s">
        <v>12813</v>
      </c>
      <c r="D3121" s="66"/>
      <c r="E3121" s="63" t="s">
        <v>12814</v>
      </c>
      <c r="F3121" s="70">
        <v>42250.0</v>
      </c>
      <c r="G3121" s="63" t="s">
        <v>12815</v>
      </c>
      <c r="H3121" s="66"/>
      <c r="I3121" s="63" t="s">
        <v>12816</v>
      </c>
      <c r="J3121" s="63" t="s">
        <v>11838</v>
      </c>
      <c r="K3121" s="66"/>
      <c r="L3121" s="66"/>
      <c r="M3121" s="63" t="s">
        <v>2989</v>
      </c>
      <c r="N3121" s="61"/>
      <c r="O3121" s="51"/>
    </row>
    <row r="3122">
      <c r="A3122" s="56">
        <v>3119.0</v>
      </c>
      <c r="B3122" s="71"/>
      <c r="C3122" s="69" t="s">
        <v>12817</v>
      </c>
      <c r="D3122" s="71"/>
      <c r="E3122" s="68" t="s">
        <v>12818</v>
      </c>
      <c r="F3122" s="76">
        <v>42383.0</v>
      </c>
      <c r="G3122" s="68" t="s">
        <v>12819</v>
      </c>
      <c r="H3122" s="71"/>
      <c r="I3122" s="63" t="s">
        <v>12820</v>
      </c>
      <c r="J3122" s="68" t="s">
        <v>12821</v>
      </c>
      <c r="K3122" s="71"/>
      <c r="L3122" s="71"/>
      <c r="M3122" s="71"/>
      <c r="N3122" s="61"/>
      <c r="O3122" s="51"/>
    </row>
    <row r="3123">
      <c r="A3123" s="56">
        <v>3120.0</v>
      </c>
      <c r="B3123" s="68" t="s">
        <v>12822</v>
      </c>
      <c r="C3123" s="69" t="s">
        <v>12823</v>
      </c>
      <c r="D3123" s="71"/>
      <c r="E3123" s="68" t="s">
        <v>12824</v>
      </c>
      <c r="F3123" s="68">
        <v>2013.0</v>
      </c>
      <c r="G3123" s="68" t="s">
        <v>12825</v>
      </c>
      <c r="H3123" s="71"/>
      <c r="I3123" s="71"/>
      <c r="J3123" s="68" t="s">
        <v>9243</v>
      </c>
      <c r="K3123" s="71"/>
      <c r="L3123" s="71"/>
      <c r="M3123" s="68" t="s">
        <v>125</v>
      </c>
      <c r="N3123" s="77"/>
      <c r="O3123" s="51"/>
    </row>
    <row r="3124">
      <c r="A3124" s="56">
        <v>3121.0</v>
      </c>
      <c r="B3124" s="71"/>
      <c r="C3124" s="69" t="s">
        <v>12826</v>
      </c>
      <c r="D3124" s="71"/>
      <c r="E3124" s="68" t="s">
        <v>12827</v>
      </c>
      <c r="F3124" s="83">
        <v>42348.0</v>
      </c>
      <c r="G3124" s="68" t="s">
        <v>12828</v>
      </c>
      <c r="H3124" s="71"/>
      <c r="I3124" s="63" t="s">
        <v>635</v>
      </c>
      <c r="J3124" s="68" t="s">
        <v>296</v>
      </c>
      <c r="K3124" s="71"/>
      <c r="L3124" s="71"/>
      <c r="M3124" s="71"/>
      <c r="N3124" s="61"/>
      <c r="O3124" s="51"/>
    </row>
    <row r="3125">
      <c r="A3125" s="56">
        <v>3122.0</v>
      </c>
      <c r="B3125" s="71"/>
      <c r="C3125" s="69" t="s">
        <v>12829</v>
      </c>
      <c r="D3125" s="71"/>
      <c r="E3125" s="68" t="s">
        <v>12830</v>
      </c>
      <c r="F3125" s="76">
        <v>42247.0</v>
      </c>
      <c r="G3125" s="68" t="s">
        <v>12831</v>
      </c>
      <c r="H3125" s="71"/>
      <c r="I3125" s="68" t="s">
        <v>12832</v>
      </c>
      <c r="J3125" s="68" t="s">
        <v>12833</v>
      </c>
      <c r="K3125" s="71"/>
      <c r="L3125" s="71"/>
      <c r="M3125" s="68" t="s">
        <v>368</v>
      </c>
      <c r="N3125" s="77"/>
      <c r="O3125" s="51"/>
    </row>
    <row r="3126">
      <c r="A3126" s="56">
        <v>3123.0</v>
      </c>
      <c r="B3126" s="71"/>
      <c r="C3126" s="69" t="s">
        <v>12834</v>
      </c>
      <c r="D3126" s="71"/>
      <c r="E3126" s="68" t="s">
        <v>12835</v>
      </c>
      <c r="F3126" s="76">
        <v>42222.0</v>
      </c>
      <c r="G3126" s="68" t="s">
        <v>12538</v>
      </c>
      <c r="H3126" s="71"/>
      <c r="I3126" s="66"/>
      <c r="J3126" s="68" t="s">
        <v>12836</v>
      </c>
      <c r="K3126" s="71"/>
      <c r="L3126" s="71"/>
      <c r="M3126" s="68" t="s">
        <v>143</v>
      </c>
      <c r="N3126" s="61"/>
      <c r="O3126" s="51"/>
    </row>
    <row r="3127">
      <c r="A3127" s="56">
        <v>3124.0</v>
      </c>
      <c r="B3127" s="71"/>
      <c r="C3127" s="69" t="s">
        <v>12837</v>
      </c>
      <c r="D3127" s="68" t="s">
        <v>12838</v>
      </c>
      <c r="E3127" s="68" t="s">
        <v>12839</v>
      </c>
      <c r="F3127" s="71"/>
      <c r="G3127" s="68" t="s">
        <v>12840</v>
      </c>
      <c r="H3127" s="71"/>
      <c r="I3127" s="63" t="s">
        <v>635</v>
      </c>
      <c r="J3127" s="68" t="s">
        <v>296</v>
      </c>
      <c r="K3127" s="71"/>
      <c r="L3127" s="71"/>
      <c r="M3127" s="71"/>
      <c r="N3127" s="61"/>
      <c r="O3127" s="51"/>
    </row>
    <row r="3128">
      <c r="A3128" s="56">
        <v>3125.0</v>
      </c>
      <c r="B3128" s="71"/>
      <c r="C3128" s="69" t="s">
        <v>12841</v>
      </c>
      <c r="D3128" s="68" t="s">
        <v>12838</v>
      </c>
      <c r="E3128" s="68" t="s">
        <v>12842</v>
      </c>
      <c r="F3128" s="71"/>
      <c r="G3128" s="68" t="s">
        <v>12843</v>
      </c>
      <c r="H3128" s="71"/>
      <c r="I3128" s="63" t="s">
        <v>635</v>
      </c>
      <c r="J3128" s="68" t="s">
        <v>296</v>
      </c>
      <c r="K3128" s="71"/>
      <c r="L3128" s="71"/>
      <c r="M3128" s="71"/>
      <c r="N3128" s="61"/>
      <c r="O3128" s="51"/>
    </row>
    <row r="3129">
      <c r="A3129" s="56">
        <v>3126.0</v>
      </c>
      <c r="B3129" s="71"/>
      <c r="C3129" s="69" t="s">
        <v>12844</v>
      </c>
      <c r="D3129" s="68" t="s">
        <v>12845</v>
      </c>
      <c r="E3129" s="68" t="s">
        <v>12846</v>
      </c>
      <c r="F3129" s="76">
        <v>41861.0</v>
      </c>
      <c r="G3129" s="68" t="s">
        <v>12847</v>
      </c>
      <c r="H3129" s="71"/>
      <c r="I3129" s="68" t="s">
        <v>12848</v>
      </c>
      <c r="J3129" s="68" t="s">
        <v>12849</v>
      </c>
      <c r="K3129" s="71"/>
      <c r="L3129" s="71"/>
      <c r="M3129" s="71"/>
      <c r="N3129" s="61"/>
      <c r="O3129" s="51"/>
    </row>
    <row r="3130">
      <c r="A3130" s="56">
        <v>3127.0</v>
      </c>
      <c r="B3130" s="71"/>
      <c r="C3130" s="69" t="s">
        <v>12850</v>
      </c>
      <c r="D3130" s="68" t="s">
        <v>12851</v>
      </c>
      <c r="E3130" s="68" t="s">
        <v>12852</v>
      </c>
      <c r="F3130" s="76">
        <v>42094.0</v>
      </c>
      <c r="G3130" s="68" t="s">
        <v>12853</v>
      </c>
      <c r="H3130" s="71"/>
      <c r="I3130" s="63" t="s">
        <v>635</v>
      </c>
      <c r="J3130" s="68" t="s">
        <v>296</v>
      </c>
      <c r="K3130" s="71"/>
      <c r="L3130" s="71"/>
      <c r="M3130" s="71"/>
      <c r="N3130" s="61"/>
      <c r="O3130" s="51"/>
    </row>
    <row r="3131">
      <c r="A3131" s="56">
        <v>3128.0</v>
      </c>
      <c r="B3131" s="66"/>
      <c r="C3131" s="64" t="s">
        <v>12854</v>
      </c>
      <c r="D3131" s="63" t="s">
        <v>12855</v>
      </c>
      <c r="E3131" s="63" t="s">
        <v>12856</v>
      </c>
      <c r="F3131" s="70">
        <v>41286.0</v>
      </c>
      <c r="G3131" s="63" t="s">
        <v>12857</v>
      </c>
      <c r="H3131" s="66"/>
      <c r="I3131" s="63" t="s">
        <v>635</v>
      </c>
      <c r="J3131" s="63" t="s">
        <v>6381</v>
      </c>
      <c r="K3131" s="66"/>
      <c r="L3131" s="63" t="s">
        <v>2743</v>
      </c>
      <c r="M3131" s="63" t="s">
        <v>201</v>
      </c>
      <c r="N3131" s="61"/>
      <c r="O3131" s="51"/>
    </row>
    <row r="3132">
      <c r="A3132" s="56">
        <v>3129.0</v>
      </c>
      <c r="B3132" s="66"/>
      <c r="C3132" s="64" t="s">
        <v>12858</v>
      </c>
      <c r="D3132" s="66"/>
      <c r="E3132" s="63" t="s">
        <v>12859</v>
      </c>
      <c r="F3132" s="70">
        <v>42109.0</v>
      </c>
      <c r="G3132" s="63" t="s">
        <v>12860</v>
      </c>
      <c r="H3132" s="66"/>
      <c r="I3132" s="63" t="s">
        <v>12861</v>
      </c>
      <c r="J3132" s="63" t="s">
        <v>6262</v>
      </c>
      <c r="K3132" s="66"/>
      <c r="L3132" s="66"/>
      <c r="M3132" s="63" t="s">
        <v>12862</v>
      </c>
      <c r="N3132" s="61"/>
      <c r="O3132" s="51"/>
    </row>
    <row r="3133">
      <c r="A3133" s="56">
        <v>3130.0</v>
      </c>
      <c r="B3133" s="66"/>
      <c r="C3133" s="64" t="s">
        <v>12863</v>
      </c>
      <c r="D3133" s="66"/>
      <c r="E3133" s="63" t="s">
        <v>12864</v>
      </c>
      <c r="F3133" s="182">
        <v>42217.0</v>
      </c>
      <c r="G3133" s="63" t="s">
        <v>12865</v>
      </c>
      <c r="H3133" s="66"/>
      <c r="I3133" s="63" t="s">
        <v>12866</v>
      </c>
      <c r="J3133" s="63" t="s">
        <v>1872</v>
      </c>
      <c r="K3133" s="66"/>
      <c r="L3133" s="66"/>
      <c r="M3133" s="63" t="s">
        <v>530</v>
      </c>
      <c r="N3133" s="61"/>
      <c r="O3133" s="51"/>
    </row>
    <row r="3134">
      <c r="A3134" s="56">
        <v>3131.0</v>
      </c>
      <c r="B3134" s="71"/>
      <c r="C3134" s="69" t="s">
        <v>12867</v>
      </c>
      <c r="D3134" s="71"/>
      <c r="E3134" s="68" t="s">
        <v>12868</v>
      </c>
      <c r="F3134" s="76">
        <v>42159.0</v>
      </c>
      <c r="G3134" s="68" t="s">
        <v>12869</v>
      </c>
      <c r="H3134" s="71"/>
      <c r="I3134" s="63" t="s">
        <v>12870</v>
      </c>
      <c r="J3134" s="68" t="s">
        <v>12871</v>
      </c>
      <c r="K3134" s="71"/>
      <c r="L3134" s="71"/>
      <c r="M3134" s="71"/>
      <c r="N3134" s="61"/>
      <c r="O3134" s="51"/>
    </row>
    <row r="3135">
      <c r="A3135" s="56">
        <v>3132.0</v>
      </c>
      <c r="B3135" s="71"/>
      <c r="C3135" s="69" t="s">
        <v>12872</v>
      </c>
      <c r="D3135" s="71"/>
      <c r="E3135" s="68" t="s">
        <v>12873</v>
      </c>
      <c r="F3135" s="76">
        <v>42228.0</v>
      </c>
      <c r="G3135" s="68" t="s">
        <v>12874</v>
      </c>
      <c r="H3135" s="71"/>
      <c r="I3135" s="68" t="s">
        <v>12875</v>
      </c>
      <c r="J3135" s="68" t="s">
        <v>12876</v>
      </c>
      <c r="K3135" s="71"/>
      <c r="L3135" s="71"/>
      <c r="M3135" s="68" t="s">
        <v>166</v>
      </c>
      <c r="N3135" s="77"/>
      <c r="O3135" s="51"/>
    </row>
    <row r="3136">
      <c r="A3136" s="56">
        <v>3133.0</v>
      </c>
      <c r="B3136" s="66"/>
      <c r="C3136" s="64" t="s">
        <v>12877</v>
      </c>
      <c r="D3136" s="66"/>
      <c r="E3136" s="63" t="s">
        <v>12878</v>
      </c>
      <c r="F3136" s="65">
        <v>42366.0</v>
      </c>
      <c r="G3136" s="63" t="s">
        <v>12879</v>
      </c>
      <c r="H3136" s="66"/>
      <c r="I3136" s="63" t="s">
        <v>12880</v>
      </c>
      <c r="J3136" s="63" t="s">
        <v>9979</v>
      </c>
      <c r="K3136" s="66"/>
      <c r="L3136" s="66"/>
      <c r="M3136" s="63" t="s">
        <v>166</v>
      </c>
      <c r="N3136" s="61"/>
      <c r="O3136" s="51"/>
    </row>
    <row r="3137">
      <c r="A3137" s="56">
        <v>3134.0</v>
      </c>
      <c r="B3137" s="66"/>
      <c r="C3137" s="64" t="s">
        <v>12881</v>
      </c>
      <c r="D3137" s="66"/>
      <c r="E3137" s="63" t="s">
        <v>12882</v>
      </c>
      <c r="F3137" s="65">
        <v>41816.0</v>
      </c>
      <c r="G3137" s="63" t="s">
        <v>12883</v>
      </c>
      <c r="H3137" s="63" t="s">
        <v>439</v>
      </c>
      <c r="I3137" s="63" t="s">
        <v>12884</v>
      </c>
      <c r="J3137" s="63" t="s">
        <v>12885</v>
      </c>
      <c r="K3137" s="66"/>
      <c r="L3137" s="66"/>
      <c r="M3137" s="63" t="s">
        <v>282</v>
      </c>
      <c r="N3137" s="61"/>
      <c r="O3137" s="51"/>
    </row>
    <row r="3138">
      <c r="A3138" s="56">
        <v>3135.0</v>
      </c>
      <c r="B3138" s="71"/>
      <c r="C3138" s="69" t="s">
        <v>12886</v>
      </c>
      <c r="D3138" s="71"/>
      <c r="E3138" s="68" t="s">
        <v>12887</v>
      </c>
      <c r="F3138" s="83">
        <v>41991.0</v>
      </c>
      <c r="G3138" s="68" t="s">
        <v>12888</v>
      </c>
      <c r="H3138" s="71"/>
      <c r="I3138" s="66"/>
      <c r="J3138" s="68" t="s">
        <v>12889</v>
      </c>
      <c r="K3138" s="71"/>
      <c r="L3138" s="71"/>
      <c r="M3138" s="68" t="s">
        <v>125</v>
      </c>
      <c r="N3138" s="61"/>
      <c r="O3138" s="51"/>
    </row>
    <row r="3139">
      <c r="A3139" s="56">
        <v>3136.0</v>
      </c>
      <c r="B3139" s="71"/>
      <c r="C3139" s="69" t="s">
        <v>12890</v>
      </c>
      <c r="D3139" s="71"/>
      <c r="E3139" s="68" t="s">
        <v>12891</v>
      </c>
      <c r="F3139" s="83">
        <v>42332.0</v>
      </c>
      <c r="G3139" s="68" t="s">
        <v>12892</v>
      </c>
      <c r="H3139" s="71"/>
      <c r="I3139" s="63" t="s">
        <v>635</v>
      </c>
      <c r="J3139" s="68" t="s">
        <v>12893</v>
      </c>
      <c r="K3139" s="71"/>
      <c r="L3139" s="71"/>
      <c r="M3139" s="68" t="s">
        <v>403</v>
      </c>
      <c r="N3139" s="61"/>
      <c r="O3139" s="51"/>
    </row>
    <row r="3140">
      <c r="A3140" s="56">
        <v>3137.0</v>
      </c>
      <c r="B3140" s="71"/>
      <c r="C3140" s="69" t="s">
        <v>12894</v>
      </c>
      <c r="D3140" s="71"/>
      <c r="E3140" s="68" t="s">
        <v>12895</v>
      </c>
      <c r="F3140" s="76">
        <v>40794.0</v>
      </c>
      <c r="G3140" s="68" t="s">
        <v>12896</v>
      </c>
      <c r="H3140" s="71"/>
      <c r="I3140" s="63" t="s">
        <v>635</v>
      </c>
      <c r="J3140" s="68" t="s">
        <v>12897</v>
      </c>
      <c r="K3140" s="71"/>
      <c r="L3140" s="71"/>
      <c r="M3140" s="68" t="s">
        <v>195</v>
      </c>
      <c r="N3140" s="61"/>
      <c r="O3140" s="51"/>
    </row>
    <row r="3141">
      <c r="A3141" s="56">
        <v>3138.0</v>
      </c>
      <c r="B3141" s="60"/>
      <c r="C3141" s="58" t="s">
        <v>12898</v>
      </c>
      <c r="D3141" s="60"/>
      <c r="E3141" s="57" t="s">
        <v>12899</v>
      </c>
      <c r="F3141" s="78">
        <v>40347.0</v>
      </c>
      <c r="G3141" s="57" t="s">
        <v>12900</v>
      </c>
      <c r="H3141" s="60"/>
      <c r="I3141" s="63" t="s">
        <v>12901</v>
      </c>
      <c r="J3141" s="57" t="s">
        <v>2675</v>
      </c>
      <c r="K3141" s="60"/>
      <c r="L3141" s="60"/>
      <c r="M3141" s="104"/>
      <c r="N3141" s="105"/>
      <c r="O3141" s="51"/>
    </row>
    <row r="3142">
      <c r="A3142" s="56">
        <v>3139.0</v>
      </c>
      <c r="B3142" s="71"/>
      <c r="C3142" s="69" t="s">
        <v>12902</v>
      </c>
      <c r="D3142" s="71"/>
      <c r="E3142" s="68" t="s">
        <v>12903</v>
      </c>
      <c r="F3142" s="76">
        <v>42378.0</v>
      </c>
      <c r="G3142" s="68" t="s">
        <v>12904</v>
      </c>
      <c r="H3142" s="71"/>
      <c r="I3142" s="63" t="s">
        <v>11322</v>
      </c>
      <c r="J3142" s="68" t="s">
        <v>12905</v>
      </c>
      <c r="K3142" s="71"/>
      <c r="L3142" s="71"/>
      <c r="M3142" s="111"/>
      <c r="N3142" s="61"/>
      <c r="O3142" s="51"/>
    </row>
    <row r="3143">
      <c r="A3143" s="56">
        <v>3140.0</v>
      </c>
      <c r="B3143" s="71"/>
      <c r="C3143" s="69" t="s">
        <v>12906</v>
      </c>
      <c r="D3143" s="71"/>
      <c r="E3143" s="68" t="s">
        <v>12907</v>
      </c>
      <c r="F3143" s="83">
        <v>41686.0</v>
      </c>
      <c r="G3143" s="68" t="s">
        <v>12908</v>
      </c>
      <c r="H3143" s="71"/>
      <c r="I3143" s="68" t="s">
        <v>12909</v>
      </c>
      <c r="J3143" s="68" t="s">
        <v>12910</v>
      </c>
      <c r="K3143" s="71"/>
      <c r="L3143" s="71"/>
      <c r="M3143" s="68" t="s">
        <v>27</v>
      </c>
      <c r="N3143" s="77"/>
      <c r="O3143" s="51"/>
    </row>
    <row r="3144">
      <c r="A3144" s="56">
        <v>3141.0</v>
      </c>
      <c r="B3144" s="71"/>
      <c r="C3144" s="69" t="s">
        <v>12911</v>
      </c>
      <c r="D3144" s="71"/>
      <c r="E3144" s="68" t="s">
        <v>12912</v>
      </c>
      <c r="F3144" s="83">
        <v>41686.0</v>
      </c>
      <c r="G3144" s="68" t="s">
        <v>12908</v>
      </c>
      <c r="H3144" s="71"/>
      <c r="I3144" s="68" t="s">
        <v>12909</v>
      </c>
      <c r="J3144" s="68" t="s">
        <v>12913</v>
      </c>
      <c r="K3144" s="71"/>
      <c r="L3144" s="71"/>
      <c r="M3144" s="68" t="s">
        <v>27</v>
      </c>
      <c r="N3144" s="77"/>
      <c r="O3144" s="51"/>
    </row>
    <row r="3145">
      <c r="A3145" s="56">
        <v>3142.0</v>
      </c>
      <c r="B3145" s="71"/>
      <c r="C3145" s="69" t="s">
        <v>12914</v>
      </c>
      <c r="D3145" s="71"/>
      <c r="E3145" s="68" t="s">
        <v>12915</v>
      </c>
      <c r="F3145" s="83">
        <v>42356.0</v>
      </c>
      <c r="G3145" s="68" t="s">
        <v>12916</v>
      </c>
      <c r="H3145" s="71"/>
      <c r="I3145" s="63" t="s">
        <v>12917</v>
      </c>
      <c r="J3145" s="68" t="s">
        <v>12918</v>
      </c>
      <c r="K3145" s="71"/>
      <c r="L3145" s="71"/>
      <c r="M3145" s="68" t="s">
        <v>143</v>
      </c>
      <c r="N3145" s="61"/>
      <c r="O3145" s="51"/>
    </row>
    <row r="3146">
      <c r="A3146" s="56">
        <v>3143.0</v>
      </c>
      <c r="B3146" s="71"/>
      <c r="C3146" s="69" t="s">
        <v>12919</v>
      </c>
      <c r="D3146" s="71"/>
      <c r="E3146" s="68" t="s">
        <v>12920</v>
      </c>
      <c r="F3146" s="76">
        <v>42346.0</v>
      </c>
      <c r="G3146" s="68" t="s">
        <v>12921</v>
      </c>
      <c r="H3146" s="71"/>
      <c r="I3146" s="63" t="s">
        <v>12922</v>
      </c>
      <c r="J3146" s="68" t="s">
        <v>12923</v>
      </c>
      <c r="K3146" s="71"/>
      <c r="L3146" s="71"/>
      <c r="M3146" s="71"/>
      <c r="N3146" s="61"/>
      <c r="O3146" s="51"/>
    </row>
    <row r="3147">
      <c r="A3147" s="56">
        <v>3144.0</v>
      </c>
      <c r="B3147" s="71"/>
      <c r="C3147" s="69" t="s">
        <v>12924</v>
      </c>
      <c r="D3147" s="71"/>
      <c r="E3147" s="68" t="s">
        <v>12925</v>
      </c>
      <c r="F3147" s="76">
        <v>42346.0</v>
      </c>
      <c r="G3147" s="68" t="s">
        <v>12921</v>
      </c>
      <c r="H3147" s="71"/>
      <c r="I3147" s="63" t="s">
        <v>12922</v>
      </c>
      <c r="J3147" s="68" t="s">
        <v>12923</v>
      </c>
      <c r="K3147" s="71"/>
      <c r="L3147" s="71"/>
      <c r="M3147" s="71"/>
      <c r="N3147" s="61"/>
      <c r="O3147" s="51"/>
    </row>
    <row r="3148">
      <c r="A3148" s="56">
        <v>3145.0</v>
      </c>
      <c r="B3148" s="60"/>
      <c r="C3148" s="58" t="s">
        <v>12926</v>
      </c>
      <c r="D3148" s="60"/>
      <c r="E3148" s="57" t="s">
        <v>758</v>
      </c>
      <c r="F3148" s="78">
        <v>40509.0</v>
      </c>
      <c r="G3148" s="57" t="s">
        <v>12927</v>
      </c>
      <c r="H3148" s="60"/>
      <c r="I3148" s="63" t="s">
        <v>12928</v>
      </c>
      <c r="J3148" s="57" t="s">
        <v>12929</v>
      </c>
      <c r="K3148" s="60"/>
      <c r="L3148" s="60"/>
      <c r="M3148" s="60"/>
      <c r="N3148" s="61"/>
      <c r="O3148" s="51"/>
    </row>
    <row r="3149">
      <c r="A3149" s="85">
        <v>3146.0</v>
      </c>
      <c r="B3149" s="82"/>
      <c r="C3149" s="79" t="s">
        <v>12930</v>
      </c>
      <c r="D3149" s="82"/>
      <c r="E3149" s="80" t="s">
        <v>12931</v>
      </c>
      <c r="F3149" s="98">
        <v>42352.0</v>
      </c>
      <c r="G3149" s="80" t="s">
        <v>12932</v>
      </c>
      <c r="H3149" s="80" t="s">
        <v>12933</v>
      </c>
      <c r="I3149" s="80" t="s">
        <v>12934</v>
      </c>
      <c r="J3149" s="80" t="s">
        <v>12935</v>
      </c>
      <c r="K3149" s="205" t="s">
        <v>4627</v>
      </c>
      <c r="L3149" s="82"/>
      <c r="M3149" s="80" t="s">
        <v>31</v>
      </c>
      <c r="N3149" s="61"/>
      <c r="O3149" s="51"/>
    </row>
    <row r="3150">
      <c r="A3150" s="56">
        <v>3147.0</v>
      </c>
      <c r="B3150" s="71"/>
      <c r="C3150" s="69" t="s">
        <v>12936</v>
      </c>
      <c r="D3150" s="71"/>
      <c r="E3150" s="68" t="s">
        <v>12937</v>
      </c>
      <c r="F3150" s="68" t="s">
        <v>12938</v>
      </c>
      <c r="G3150" s="68" t="s">
        <v>12939</v>
      </c>
      <c r="H3150" s="71"/>
      <c r="I3150" s="68" t="s">
        <v>12940</v>
      </c>
      <c r="J3150" s="68" t="s">
        <v>12941</v>
      </c>
      <c r="K3150" s="71"/>
      <c r="L3150" s="71"/>
      <c r="M3150" s="68" t="s">
        <v>31</v>
      </c>
      <c r="N3150" s="61"/>
      <c r="O3150" s="51"/>
    </row>
    <row r="3151">
      <c r="A3151" s="56">
        <v>3148.0</v>
      </c>
      <c r="B3151" s="71"/>
      <c r="C3151" s="69" t="s">
        <v>12942</v>
      </c>
      <c r="D3151" s="71"/>
      <c r="E3151" s="68" t="s">
        <v>12943</v>
      </c>
      <c r="F3151" s="76">
        <v>41770.0</v>
      </c>
      <c r="G3151" s="68" t="s">
        <v>12944</v>
      </c>
      <c r="H3151" s="71"/>
      <c r="I3151" s="68" t="s">
        <v>12945</v>
      </c>
      <c r="J3151" s="68" t="s">
        <v>12946</v>
      </c>
      <c r="K3151" s="71"/>
      <c r="L3151" s="71"/>
      <c r="M3151" s="68" t="s">
        <v>12947</v>
      </c>
      <c r="N3151" s="77"/>
      <c r="O3151" s="51"/>
    </row>
    <row r="3152">
      <c r="A3152" s="56">
        <v>3149.0</v>
      </c>
      <c r="B3152" s="68" t="s">
        <v>12948</v>
      </c>
      <c r="C3152" s="69" t="s">
        <v>12949</v>
      </c>
      <c r="D3152" s="71"/>
      <c r="E3152" s="68" t="s">
        <v>4192</v>
      </c>
      <c r="F3152" s="83">
        <v>40675.0</v>
      </c>
      <c r="G3152" s="68" t="s">
        <v>4193</v>
      </c>
      <c r="H3152" s="71"/>
      <c r="I3152" s="66"/>
      <c r="J3152" s="68" t="s">
        <v>12950</v>
      </c>
      <c r="K3152" s="71"/>
      <c r="L3152" s="71"/>
      <c r="M3152" s="71"/>
      <c r="N3152" s="61"/>
      <c r="O3152" s="51"/>
    </row>
    <row r="3153">
      <c r="A3153" s="56">
        <v>3150.0</v>
      </c>
      <c r="B3153" s="71"/>
      <c r="C3153" s="69" t="s">
        <v>12951</v>
      </c>
      <c r="D3153" s="68" t="s">
        <v>12952</v>
      </c>
      <c r="E3153" s="68">
        <v>6360.0</v>
      </c>
      <c r="F3153" s="68">
        <v>2008.0</v>
      </c>
      <c r="G3153" s="68" t="s">
        <v>12953</v>
      </c>
      <c r="H3153" s="71"/>
      <c r="I3153" s="68" t="s">
        <v>635</v>
      </c>
      <c r="J3153" s="68" t="s">
        <v>12954</v>
      </c>
      <c r="K3153" s="71"/>
      <c r="L3153" s="71"/>
      <c r="M3153" s="68" t="s">
        <v>201</v>
      </c>
      <c r="N3153" s="77"/>
      <c r="O3153" s="51"/>
    </row>
    <row r="3154">
      <c r="A3154" s="56">
        <v>3151.0</v>
      </c>
      <c r="B3154" s="71"/>
      <c r="C3154" s="69" t="s">
        <v>12955</v>
      </c>
      <c r="D3154" s="71"/>
      <c r="E3154" s="68" t="s">
        <v>12956</v>
      </c>
      <c r="F3154" s="83">
        <v>42361.0</v>
      </c>
      <c r="G3154" s="68" t="s">
        <v>12953</v>
      </c>
      <c r="H3154" s="71"/>
      <c r="I3154" s="63" t="s">
        <v>635</v>
      </c>
      <c r="J3154" s="68" t="s">
        <v>296</v>
      </c>
      <c r="K3154" s="71"/>
      <c r="L3154" s="71"/>
      <c r="M3154" s="68" t="s">
        <v>282</v>
      </c>
      <c r="N3154" s="61"/>
      <c r="O3154" s="51"/>
    </row>
    <row r="3155">
      <c r="A3155" s="56">
        <v>3152.0</v>
      </c>
      <c r="B3155" s="66"/>
      <c r="C3155" s="64" t="s">
        <v>12957</v>
      </c>
      <c r="D3155" s="66"/>
      <c r="E3155" s="63" t="s">
        <v>12958</v>
      </c>
      <c r="F3155" s="70">
        <v>41858.0</v>
      </c>
      <c r="G3155" s="80" t="s">
        <v>12959</v>
      </c>
      <c r="H3155" s="82"/>
      <c r="I3155" s="63" t="s">
        <v>12960</v>
      </c>
      <c r="J3155" s="63" t="s">
        <v>2872</v>
      </c>
      <c r="K3155" s="66"/>
      <c r="L3155" s="63" t="s">
        <v>618</v>
      </c>
      <c r="M3155" s="63" t="s">
        <v>125</v>
      </c>
      <c r="N3155" s="61"/>
      <c r="O3155" s="51"/>
    </row>
    <row r="3156">
      <c r="A3156" s="56">
        <v>3153.0</v>
      </c>
      <c r="B3156" s="71"/>
      <c r="C3156" s="69" t="s">
        <v>12961</v>
      </c>
      <c r="D3156" s="71"/>
      <c r="E3156" s="68" t="s">
        <v>12962</v>
      </c>
      <c r="F3156" s="83">
        <v>42332.0</v>
      </c>
      <c r="G3156" s="68" t="s">
        <v>12963</v>
      </c>
      <c r="H3156" s="71"/>
      <c r="I3156" s="66"/>
      <c r="J3156" s="68" t="s">
        <v>12964</v>
      </c>
      <c r="K3156" s="71"/>
      <c r="L3156" s="71"/>
      <c r="M3156" s="68" t="s">
        <v>166</v>
      </c>
      <c r="N3156" s="61"/>
      <c r="O3156" s="51"/>
    </row>
    <row r="3157">
      <c r="A3157" s="56">
        <v>3154.0</v>
      </c>
      <c r="B3157" s="66"/>
      <c r="C3157" s="64" t="s">
        <v>12965</v>
      </c>
      <c r="D3157" s="66"/>
      <c r="E3157" s="63" t="s">
        <v>12966</v>
      </c>
      <c r="F3157" s="63">
        <v>2009.0</v>
      </c>
      <c r="G3157" s="80" t="s">
        <v>12967</v>
      </c>
      <c r="H3157" s="80" t="s">
        <v>12968</v>
      </c>
      <c r="I3157" s="63" t="s">
        <v>12969</v>
      </c>
      <c r="J3157" s="63" t="s">
        <v>1872</v>
      </c>
      <c r="K3157" s="66"/>
      <c r="L3157" s="66"/>
      <c r="M3157" s="63" t="s">
        <v>530</v>
      </c>
      <c r="N3157" s="61"/>
      <c r="O3157" s="51"/>
    </row>
    <row r="3158">
      <c r="A3158" s="56">
        <v>3155.0</v>
      </c>
      <c r="B3158" s="71"/>
      <c r="C3158" s="69" t="s">
        <v>12970</v>
      </c>
      <c r="D3158" s="71"/>
      <c r="E3158" s="68" t="s">
        <v>12971</v>
      </c>
      <c r="F3158" s="83">
        <v>41629.0</v>
      </c>
      <c r="G3158" s="68" t="s">
        <v>12972</v>
      </c>
      <c r="H3158" s="71"/>
      <c r="I3158" s="63" t="s">
        <v>12973</v>
      </c>
      <c r="J3158" s="68" t="s">
        <v>12974</v>
      </c>
      <c r="K3158" s="71"/>
      <c r="L3158" s="71"/>
      <c r="M3158" s="68" t="s">
        <v>542</v>
      </c>
      <c r="N3158" s="61"/>
      <c r="O3158" s="51"/>
    </row>
    <row r="3159">
      <c r="A3159" s="56">
        <v>3156.0</v>
      </c>
      <c r="B3159" s="71"/>
      <c r="C3159" s="69" t="s">
        <v>12975</v>
      </c>
      <c r="D3159" s="71"/>
      <c r="E3159" s="68" t="s">
        <v>12976</v>
      </c>
      <c r="F3159" s="76">
        <v>42404.0</v>
      </c>
      <c r="G3159" s="68" t="s">
        <v>12977</v>
      </c>
      <c r="H3159" s="71"/>
      <c r="I3159" s="63" t="s">
        <v>12978</v>
      </c>
      <c r="J3159" s="68" t="s">
        <v>12979</v>
      </c>
      <c r="K3159" s="71"/>
      <c r="L3159" s="71"/>
      <c r="M3159" s="71"/>
      <c r="N3159" s="61"/>
      <c r="O3159" s="51"/>
    </row>
    <row r="3160">
      <c r="A3160" s="56">
        <v>3157.0</v>
      </c>
      <c r="B3160" s="71"/>
      <c r="C3160" s="69" t="s">
        <v>12980</v>
      </c>
      <c r="D3160" s="71"/>
      <c r="E3160" s="68" t="s">
        <v>12981</v>
      </c>
      <c r="F3160" s="83">
        <v>37905.0</v>
      </c>
      <c r="G3160" s="68" t="s">
        <v>12982</v>
      </c>
      <c r="H3160" s="71"/>
      <c r="I3160" s="63" t="s">
        <v>12983</v>
      </c>
      <c r="J3160" s="68" t="s">
        <v>12984</v>
      </c>
      <c r="K3160" s="71"/>
      <c r="L3160" s="71"/>
      <c r="M3160" s="71"/>
      <c r="N3160" s="61"/>
      <c r="O3160" s="51"/>
    </row>
    <row r="3161">
      <c r="A3161" s="56">
        <v>3158.0</v>
      </c>
      <c r="B3161" s="71"/>
      <c r="C3161" s="69" t="s">
        <v>12985</v>
      </c>
      <c r="D3161" s="71"/>
      <c r="E3161" s="68" t="s">
        <v>12986</v>
      </c>
      <c r="F3161" s="83">
        <v>42333.0</v>
      </c>
      <c r="G3161" s="68" t="s">
        <v>12987</v>
      </c>
      <c r="H3161" s="71"/>
      <c r="I3161" s="63" t="s">
        <v>635</v>
      </c>
      <c r="J3161" s="68" t="s">
        <v>12988</v>
      </c>
      <c r="K3161" s="71"/>
      <c r="L3161" s="71"/>
      <c r="M3161" s="68" t="s">
        <v>143</v>
      </c>
      <c r="N3161" s="61"/>
      <c r="O3161" s="51"/>
    </row>
    <row r="3162">
      <c r="A3162" s="56">
        <v>3159.0</v>
      </c>
      <c r="B3162" s="71"/>
      <c r="C3162" s="69" t="s">
        <v>12989</v>
      </c>
      <c r="D3162" s="71"/>
      <c r="E3162" s="68" t="s">
        <v>12990</v>
      </c>
      <c r="F3162" s="76">
        <v>42461.0</v>
      </c>
      <c r="G3162" s="68" t="s">
        <v>12991</v>
      </c>
      <c r="H3162" s="71"/>
      <c r="I3162" s="223"/>
      <c r="J3162" s="68" t="s">
        <v>12964</v>
      </c>
      <c r="K3162" s="71"/>
      <c r="L3162" s="71"/>
      <c r="M3162" s="68" t="s">
        <v>166</v>
      </c>
      <c r="N3162" s="61"/>
      <c r="O3162" s="51"/>
    </row>
    <row r="3163">
      <c r="A3163" s="56">
        <v>3160.0</v>
      </c>
      <c r="B3163" s="60"/>
      <c r="C3163" s="58" t="s">
        <v>12992</v>
      </c>
      <c r="D3163" s="60"/>
      <c r="E3163" s="57" t="s">
        <v>12993</v>
      </c>
      <c r="F3163" s="59">
        <v>42427.0</v>
      </c>
      <c r="G3163" s="57" t="s">
        <v>12994</v>
      </c>
      <c r="H3163" s="60"/>
      <c r="I3163" s="63" t="s">
        <v>12995</v>
      </c>
      <c r="J3163" s="57" t="s">
        <v>12996</v>
      </c>
      <c r="K3163" s="60"/>
      <c r="L3163" s="60"/>
      <c r="M3163" s="60"/>
      <c r="N3163" s="61"/>
      <c r="O3163" s="51"/>
    </row>
    <row r="3164">
      <c r="A3164" s="56">
        <v>3161.0</v>
      </c>
      <c r="B3164" s="71"/>
      <c r="C3164" s="69" t="s">
        <v>12997</v>
      </c>
      <c r="D3164" s="71"/>
      <c r="E3164" s="68" t="s">
        <v>12998</v>
      </c>
      <c r="F3164" s="76">
        <v>42384.0</v>
      </c>
      <c r="G3164" s="68" t="s">
        <v>12999</v>
      </c>
      <c r="H3164" s="71"/>
      <c r="I3164" s="68" t="s">
        <v>635</v>
      </c>
      <c r="J3164" s="68" t="s">
        <v>13000</v>
      </c>
      <c r="K3164" s="71"/>
      <c r="L3164" s="71"/>
      <c r="M3164" s="68" t="s">
        <v>4273</v>
      </c>
      <c r="N3164" s="61"/>
      <c r="O3164" s="51"/>
    </row>
    <row r="3165">
      <c r="A3165" s="56">
        <v>3162.0</v>
      </c>
      <c r="B3165" s="71"/>
      <c r="C3165" s="69" t="s">
        <v>13001</v>
      </c>
      <c r="D3165" s="71"/>
      <c r="E3165" s="68" t="s">
        <v>13002</v>
      </c>
      <c r="F3165" s="76">
        <v>41921.0</v>
      </c>
      <c r="G3165" s="68" t="s">
        <v>13003</v>
      </c>
      <c r="H3165" s="71"/>
      <c r="I3165" s="63" t="s">
        <v>635</v>
      </c>
      <c r="J3165" s="68" t="s">
        <v>13004</v>
      </c>
      <c r="K3165" s="71"/>
      <c r="L3165" s="71"/>
      <c r="M3165" s="68" t="s">
        <v>166</v>
      </c>
      <c r="N3165" s="61"/>
      <c r="O3165" s="51"/>
    </row>
    <row r="3166">
      <c r="A3166" s="56">
        <v>3163.0</v>
      </c>
      <c r="B3166" s="71"/>
      <c r="C3166" s="69" t="s">
        <v>13005</v>
      </c>
      <c r="D3166" s="71"/>
      <c r="E3166" s="68" t="s">
        <v>13006</v>
      </c>
      <c r="F3166" s="76">
        <v>41285.0</v>
      </c>
      <c r="G3166" s="68" t="s">
        <v>13007</v>
      </c>
      <c r="H3166" s="71"/>
      <c r="I3166" s="68" t="s">
        <v>635</v>
      </c>
      <c r="J3166" s="68" t="s">
        <v>13008</v>
      </c>
      <c r="K3166" s="71"/>
      <c r="L3166" s="71"/>
      <c r="M3166" s="68" t="s">
        <v>195</v>
      </c>
      <c r="N3166" s="61"/>
      <c r="O3166" s="51"/>
    </row>
    <row r="3167">
      <c r="A3167" s="56">
        <v>3164.0</v>
      </c>
      <c r="B3167" s="71"/>
      <c r="C3167" s="69" t="s">
        <v>13009</v>
      </c>
      <c r="D3167" s="71"/>
      <c r="E3167" s="68" t="s">
        <v>13010</v>
      </c>
      <c r="F3167" s="83">
        <v>40908.0</v>
      </c>
      <c r="G3167" s="68" t="s">
        <v>13011</v>
      </c>
      <c r="H3167" s="71"/>
      <c r="I3167" s="63" t="s">
        <v>13012</v>
      </c>
      <c r="J3167" s="68" t="s">
        <v>13013</v>
      </c>
      <c r="K3167" s="71"/>
      <c r="L3167" s="71"/>
      <c r="M3167" s="68" t="s">
        <v>201</v>
      </c>
      <c r="N3167" s="61"/>
      <c r="O3167" s="51"/>
    </row>
    <row r="3168">
      <c r="A3168" s="56">
        <v>3165.0</v>
      </c>
      <c r="B3168" s="71"/>
      <c r="C3168" s="69" t="s">
        <v>13014</v>
      </c>
      <c r="D3168" s="71"/>
      <c r="E3168" s="68" t="s">
        <v>13015</v>
      </c>
      <c r="F3168" s="76">
        <v>42472.0</v>
      </c>
      <c r="G3168" s="68" t="s">
        <v>13016</v>
      </c>
      <c r="H3168" s="71"/>
      <c r="I3168" s="63" t="s">
        <v>13017</v>
      </c>
      <c r="J3168" s="68" t="s">
        <v>13018</v>
      </c>
      <c r="K3168" s="71"/>
      <c r="L3168" s="71"/>
      <c r="M3168" s="68" t="s">
        <v>31</v>
      </c>
      <c r="N3168" s="61"/>
      <c r="O3168" s="51"/>
    </row>
    <row r="3169">
      <c r="A3169" s="56">
        <v>3166.0</v>
      </c>
      <c r="B3169" s="66"/>
      <c r="C3169" s="64" t="s">
        <v>13019</v>
      </c>
      <c r="D3169" s="66"/>
      <c r="E3169" s="63" t="s">
        <v>13020</v>
      </c>
      <c r="F3169" s="63">
        <v>2009.0</v>
      </c>
      <c r="G3169" s="80" t="s">
        <v>13021</v>
      </c>
      <c r="H3169" s="82"/>
      <c r="I3169" s="63" t="s">
        <v>635</v>
      </c>
      <c r="J3169" s="66"/>
      <c r="K3169" s="66"/>
      <c r="L3169" s="66"/>
      <c r="M3169" s="63" t="s">
        <v>166</v>
      </c>
      <c r="N3169" s="77"/>
      <c r="O3169" s="51"/>
    </row>
    <row r="3170">
      <c r="A3170" s="56">
        <v>3167.0</v>
      </c>
      <c r="B3170" s="66"/>
      <c r="C3170" s="64" t="s">
        <v>13022</v>
      </c>
      <c r="D3170" s="66"/>
      <c r="E3170" s="63" t="s">
        <v>13023</v>
      </c>
      <c r="F3170" s="63">
        <v>2009.0</v>
      </c>
      <c r="G3170" s="80" t="s">
        <v>13024</v>
      </c>
      <c r="H3170" s="82"/>
      <c r="I3170" s="63" t="s">
        <v>13025</v>
      </c>
      <c r="J3170" s="63" t="s">
        <v>1872</v>
      </c>
      <c r="K3170" s="66"/>
      <c r="L3170" s="66"/>
      <c r="M3170" s="63" t="s">
        <v>530</v>
      </c>
      <c r="N3170" s="61"/>
      <c r="O3170" s="51"/>
    </row>
    <row r="3171">
      <c r="A3171" s="56">
        <v>3168.0</v>
      </c>
      <c r="B3171" s="71"/>
      <c r="C3171" s="69" t="s">
        <v>13026</v>
      </c>
      <c r="D3171" s="71"/>
      <c r="E3171" s="68" t="s">
        <v>13027</v>
      </c>
      <c r="F3171" s="76">
        <v>42274.0</v>
      </c>
      <c r="G3171" s="68" t="s">
        <v>13028</v>
      </c>
      <c r="H3171" s="71"/>
      <c r="I3171" s="63" t="s">
        <v>13029</v>
      </c>
      <c r="J3171" s="68" t="s">
        <v>13030</v>
      </c>
      <c r="K3171" s="71"/>
      <c r="L3171" s="71"/>
      <c r="M3171" s="68" t="s">
        <v>143</v>
      </c>
      <c r="N3171" s="61"/>
      <c r="O3171" s="51"/>
    </row>
    <row r="3172">
      <c r="A3172" s="56">
        <v>3169.0</v>
      </c>
      <c r="B3172" s="71"/>
      <c r="C3172" s="69" t="s">
        <v>13031</v>
      </c>
      <c r="D3172" s="71"/>
      <c r="E3172" s="68" t="s">
        <v>13032</v>
      </c>
      <c r="F3172" s="76">
        <v>42469.0</v>
      </c>
      <c r="G3172" s="68" t="s">
        <v>13033</v>
      </c>
      <c r="H3172" s="71"/>
      <c r="I3172" s="63" t="s">
        <v>635</v>
      </c>
      <c r="J3172" s="68" t="s">
        <v>13034</v>
      </c>
      <c r="K3172" s="71"/>
      <c r="L3172" s="71"/>
      <c r="M3172" s="68" t="s">
        <v>3714</v>
      </c>
      <c r="N3172" s="61"/>
      <c r="O3172" s="51"/>
    </row>
    <row r="3173">
      <c r="A3173" s="56">
        <v>3170.0</v>
      </c>
      <c r="B3173" s="71"/>
      <c r="C3173" s="69" t="s">
        <v>13035</v>
      </c>
      <c r="D3173" s="71"/>
      <c r="E3173" s="68" t="s">
        <v>13036</v>
      </c>
      <c r="F3173" s="76">
        <v>42469.0</v>
      </c>
      <c r="G3173" s="68" t="s">
        <v>13033</v>
      </c>
      <c r="H3173" s="71"/>
      <c r="I3173" s="63" t="s">
        <v>635</v>
      </c>
      <c r="J3173" s="68" t="s">
        <v>13037</v>
      </c>
      <c r="K3173" s="71"/>
      <c r="L3173" s="71"/>
      <c r="M3173" s="68" t="s">
        <v>3714</v>
      </c>
      <c r="N3173" s="61"/>
      <c r="O3173" s="51"/>
    </row>
    <row r="3174">
      <c r="A3174" s="56">
        <v>3171.0</v>
      </c>
      <c r="B3174" s="60"/>
      <c r="C3174" s="58" t="s">
        <v>13038</v>
      </c>
      <c r="D3174" s="57" t="s">
        <v>13039</v>
      </c>
      <c r="E3174" s="57" t="s">
        <v>13040</v>
      </c>
      <c r="F3174" s="59">
        <v>42248.0</v>
      </c>
      <c r="G3174" s="57" t="s">
        <v>13041</v>
      </c>
      <c r="H3174" s="60"/>
      <c r="I3174" s="63" t="s">
        <v>635</v>
      </c>
      <c r="J3174" s="57" t="s">
        <v>13042</v>
      </c>
      <c r="K3174" s="60"/>
      <c r="L3174" s="60"/>
      <c r="M3174" s="60"/>
      <c r="N3174" s="61"/>
      <c r="O3174" s="51"/>
    </row>
    <row r="3175">
      <c r="A3175" s="56">
        <v>3172.0</v>
      </c>
      <c r="B3175" s="71"/>
      <c r="C3175" s="69" t="s">
        <v>13043</v>
      </c>
      <c r="D3175" s="68" t="s">
        <v>13044</v>
      </c>
      <c r="E3175" s="68" t="s">
        <v>13045</v>
      </c>
      <c r="F3175" s="76">
        <v>42251.0</v>
      </c>
      <c r="G3175" s="68" t="s">
        <v>13046</v>
      </c>
      <c r="H3175" s="71"/>
      <c r="I3175" s="66"/>
      <c r="J3175" s="68" t="s">
        <v>296</v>
      </c>
      <c r="K3175" s="71"/>
      <c r="L3175" s="71"/>
      <c r="M3175" s="68" t="s">
        <v>166</v>
      </c>
      <c r="N3175" s="61"/>
      <c r="O3175" s="51"/>
    </row>
    <row r="3176">
      <c r="A3176" s="56">
        <v>3173.0</v>
      </c>
      <c r="B3176" s="66"/>
      <c r="C3176" s="64" t="s">
        <v>13047</v>
      </c>
      <c r="D3176" s="63" t="s">
        <v>13048</v>
      </c>
      <c r="E3176" s="63" t="s">
        <v>13049</v>
      </c>
      <c r="F3176" s="70">
        <v>42086.0</v>
      </c>
      <c r="G3176" s="80" t="s">
        <v>13050</v>
      </c>
      <c r="H3176" s="82"/>
      <c r="I3176" s="63" t="s">
        <v>13051</v>
      </c>
      <c r="J3176" s="63" t="s">
        <v>9979</v>
      </c>
      <c r="K3176" s="66"/>
      <c r="L3176" s="66"/>
      <c r="M3176" s="63" t="s">
        <v>166</v>
      </c>
      <c r="N3176" s="61"/>
      <c r="O3176" s="51"/>
    </row>
    <row r="3177">
      <c r="A3177" s="56">
        <v>3174.0</v>
      </c>
      <c r="B3177" s="71"/>
      <c r="C3177" s="69" t="s">
        <v>13052</v>
      </c>
      <c r="D3177" s="71"/>
      <c r="E3177" s="68" t="s">
        <v>13053</v>
      </c>
      <c r="F3177" s="76">
        <v>42254.0</v>
      </c>
      <c r="G3177" s="68" t="s">
        <v>13054</v>
      </c>
      <c r="H3177" s="71"/>
      <c r="I3177" s="63" t="s">
        <v>13055</v>
      </c>
      <c r="J3177" s="68" t="s">
        <v>13056</v>
      </c>
      <c r="K3177" s="66"/>
      <c r="L3177" s="66"/>
      <c r="M3177" s="63" t="s">
        <v>2152</v>
      </c>
      <c r="N3177" s="61"/>
      <c r="O3177" s="51"/>
    </row>
    <row r="3178">
      <c r="A3178" s="56">
        <v>3175.0</v>
      </c>
      <c r="B3178" s="60"/>
      <c r="C3178" s="58" t="s">
        <v>13057</v>
      </c>
      <c r="D3178" s="60"/>
      <c r="E3178" s="57" t="s">
        <v>13058</v>
      </c>
      <c r="F3178" s="59">
        <v>42397.0</v>
      </c>
      <c r="G3178" s="57" t="s">
        <v>13059</v>
      </c>
      <c r="H3178" s="60"/>
      <c r="I3178" s="63" t="s">
        <v>13060</v>
      </c>
      <c r="J3178" s="57" t="s">
        <v>13061</v>
      </c>
      <c r="K3178" s="60"/>
      <c r="L3178" s="60"/>
      <c r="M3178" s="60"/>
      <c r="N3178" s="61"/>
      <c r="O3178" s="51"/>
    </row>
    <row r="3179">
      <c r="A3179" s="56">
        <v>3176.0</v>
      </c>
      <c r="B3179" s="71"/>
      <c r="C3179" s="69" t="s">
        <v>13062</v>
      </c>
      <c r="D3179" s="71"/>
      <c r="E3179" s="68" t="s">
        <v>13063</v>
      </c>
      <c r="F3179" s="83">
        <v>42331.0</v>
      </c>
      <c r="G3179" s="68" t="s">
        <v>13064</v>
      </c>
      <c r="H3179" s="71"/>
      <c r="I3179" s="63" t="s">
        <v>635</v>
      </c>
      <c r="J3179" s="68" t="s">
        <v>13065</v>
      </c>
      <c r="K3179" s="71"/>
      <c r="L3179" s="71"/>
      <c r="M3179" s="68" t="s">
        <v>5537</v>
      </c>
      <c r="N3179" s="61"/>
      <c r="O3179" s="51"/>
    </row>
    <row r="3180">
      <c r="A3180" s="56">
        <v>3177.0</v>
      </c>
      <c r="B3180" s="71"/>
      <c r="C3180" s="69" t="s">
        <v>13066</v>
      </c>
      <c r="D3180" s="71"/>
      <c r="E3180" s="68" t="s">
        <v>13067</v>
      </c>
      <c r="F3180" s="76">
        <v>42425.0</v>
      </c>
      <c r="G3180" s="68" t="s">
        <v>13068</v>
      </c>
      <c r="H3180" s="71"/>
      <c r="I3180" s="63" t="s">
        <v>13069</v>
      </c>
      <c r="J3180" s="68" t="s">
        <v>13070</v>
      </c>
      <c r="K3180" s="71"/>
      <c r="L3180" s="71"/>
      <c r="M3180" s="71"/>
      <c r="N3180" s="61"/>
      <c r="O3180" s="51"/>
    </row>
    <row r="3181">
      <c r="A3181" s="56">
        <v>3178.0</v>
      </c>
      <c r="B3181" s="71"/>
      <c r="C3181" s="69" t="s">
        <v>13071</v>
      </c>
      <c r="D3181" s="71"/>
      <c r="E3181" s="68" t="s">
        <v>13072</v>
      </c>
      <c r="F3181" s="76">
        <v>42441.0</v>
      </c>
      <c r="G3181" s="68" t="s">
        <v>13073</v>
      </c>
      <c r="H3181" s="71"/>
      <c r="I3181" s="63" t="s">
        <v>13074</v>
      </c>
      <c r="J3181" s="68" t="s">
        <v>13075</v>
      </c>
      <c r="K3181" s="71"/>
      <c r="L3181" s="71"/>
      <c r="M3181" s="68" t="s">
        <v>10808</v>
      </c>
      <c r="N3181" s="61"/>
      <c r="O3181" s="51"/>
    </row>
    <row r="3182">
      <c r="A3182" s="56">
        <v>3179.0</v>
      </c>
      <c r="B3182" s="66"/>
      <c r="C3182" s="64" t="s">
        <v>13076</v>
      </c>
      <c r="D3182" s="66"/>
      <c r="E3182" s="63" t="s">
        <v>13077</v>
      </c>
      <c r="F3182" s="70">
        <v>42098.0</v>
      </c>
      <c r="G3182" s="80" t="s">
        <v>13078</v>
      </c>
      <c r="H3182" s="82"/>
      <c r="I3182" s="63" t="s">
        <v>13079</v>
      </c>
      <c r="J3182" s="63" t="s">
        <v>13080</v>
      </c>
      <c r="K3182" s="66"/>
      <c r="L3182" s="66"/>
      <c r="M3182" s="63" t="s">
        <v>11822</v>
      </c>
      <c r="N3182" s="61"/>
      <c r="O3182" s="51"/>
    </row>
    <row r="3183">
      <c r="A3183" s="56">
        <v>3180.0</v>
      </c>
      <c r="B3183" s="66"/>
      <c r="C3183" s="64" t="s">
        <v>13081</v>
      </c>
      <c r="D3183" s="66"/>
      <c r="E3183" s="63" t="s">
        <v>13082</v>
      </c>
      <c r="F3183" s="65">
        <v>42323.0</v>
      </c>
      <c r="G3183" s="63" t="s">
        <v>13083</v>
      </c>
      <c r="H3183" s="63" t="s">
        <v>13084</v>
      </c>
      <c r="I3183" s="80" t="s">
        <v>635</v>
      </c>
      <c r="J3183" s="66"/>
      <c r="K3183" s="71"/>
      <c r="L3183" s="71"/>
      <c r="M3183" s="216" t="s">
        <v>13085</v>
      </c>
      <c r="N3183" s="105"/>
      <c r="O3183" s="51"/>
    </row>
    <row r="3184">
      <c r="A3184" s="56">
        <v>3181.0</v>
      </c>
      <c r="B3184" s="66"/>
      <c r="C3184" s="64" t="s">
        <v>13086</v>
      </c>
      <c r="D3184" s="66"/>
      <c r="E3184" s="63" t="s">
        <v>13087</v>
      </c>
      <c r="F3184" s="70">
        <v>42311.0</v>
      </c>
      <c r="G3184" s="80" t="s">
        <v>13088</v>
      </c>
      <c r="H3184" s="82"/>
      <c r="I3184" s="63" t="s">
        <v>635</v>
      </c>
      <c r="J3184" s="63" t="s">
        <v>6393</v>
      </c>
      <c r="K3184" s="66"/>
      <c r="L3184" s="66"/>
      <c r="M3184" s="74" t="s">
        <v>195</v>
      </c>
      <c r="N3184" s="61"/>
      <c r="O3184" s="51"/>
    </row>
    <row r="3185">
      <c r="A3185" s="56">
        <v>3182.0</v>
      </c>
      <c r="B3185" s="71"/>
      <c r="C3185" s="69" t="s">
        <v>13089</v>
      </c>
      <c r="D3185" s="71"/>
      <c r="E3185" s="68" t="s">
        <v>13090</v>
      </c>
      <c r="F3185" s="76">
        <v>42412.0</v>
      </c>
      <c r="G3185" s="68" t="s">
        <v>13091</v>
      </c>
      <c r="H3185" s="71"/>
      <c r="I3185" s="63" t="s">
        <v>635</v>
      </c>
      <c r="J3185" s="68" t="s">
        <v>13092</v>
      </c>
      <c r="K3185" s="71"/>
      <c r="L3185" s="71"/>
      <c r="M3185" s="104"/>
      <c r="N3185" s="105"/>
      <c r="O3185" s="51"/>
    </row>
    <row r="3186">
      <c r="A3186" s="56">
        <v>3183.0</v>
      </c>
      <c r="B3186" s="71"/>
      <c r="C3186" s="69" t="s">
        <v>13093</v>
      </c>
      <c r="D3186" s="71"/>
      <c r="E3186" s="68" t="s">
        <v>13094</v>
      </c>
      <c r="F3186" s="76">
        <v>41703.0</v>
      </c>
      <c r="G3186" s="68" t="s">
        <v>10790</v>
      </c>
      <c r="H3186" s="71"/>
      <c r="I3186" s="63" t="s">
        <v>13095</v>
      </c>
      <c r="J3186" s="68" t="s">
        <v>13096</v>
      </c>
      <c r="K3186" s="71"/>
      <c r="L3186" s="71"/>
      <c r="M3186" s="128" t="s">
        <v>125</v>
      </c>
      <c r="N3186" s="61"/>
      <c r="O3186" s="51"/>
    </row>
    <row r="3187">
      <c r="A3187" s="56">
        <v>3184.0</v>
      </c>
      <c r="B3187" s="66"/>
      <c r="C3187" s="64" t="s">
        <v>13097</v>
      </c>
      <c r="D3187" s="66"/>
      <c r="E3187" s="63" t="s">
        <v>13098</v>
      </c>
      <c r="F3187" s="70">
        <v>40976.0</v>
      </c>
      <c r="G3187" s="80" t="s">
        <v>13099</v>
      </c>
      <c r="H3187" s="82"/>
      <c r="I3187" s="63" t="s">
        <v>13100</v>
      </c>
      <c r="J3187" s="63" t="s">
        <v>2872</v>
      </c>
      <c r="K3187" s="66"/>
      <c r="L3187" s="66"/>
      <c r="M3187" s="63" t="s">
        <v>125</v>
      </c>
      <c r="N3187" s="61"/>
      <c r="O3187" s="51"/>
    </row>
    <row r="3188">
      <c r="A3188" s="56">
        <v>3185.0</v>
      </c>
      <c r="B3188" s="66"/>
      <c r="C3188" s="64" t="s">
        <v>13101</v>
      </c>
      <c r="D3188" s="66"/>
      <c r="E3188" s="63" t="s">
        <v>13102</v>
      </c>
      <c r="F3188" s="63">
        <v>2010.0</v>
      </c>
      <c r="G3188" s="80" t="s">
        <v>13103</v>
      </c>
      <c r="H3188" s="82"/>
      <c r="I3188" s="63" t="s">
        <v>13104</v>
      </c>
      <c r="J3188" s="63" t="s">
        <v>1872</v>
      </c>
      <c r="K3188" s="66"/>
      <c r="L3188" s="66"/>
      <c r="M3188" s="63" t="s">
        <v>530</v>
      </c>
      <c r="N3188" s="61"/>
      <c r="O3188" s="51"/>
    </row>
    <row r="3189">
      <c r="A3189" s="56">
        <v>3186.0</v>
      </c>
      <c r="B3189" s="71"/>
      <c r="C3189" s="69" t="s">
        <v>13105</v>
      </c>
      <c r="D3189" s="71"/>
      <c r="E3189" s="68" t="s">
        <v>13106</v>
      </c>
      <c r="F3189" s="76">
        <v>42244.0</v>
      </c>
      <c r="G3189" s="68" t="s">
        <v>13107</v>
      </c>
      <c r="H3189" s="71"/>
      <c r="I3189" s="63" t="s">
        <v>13108</v>
      </c>
      <c r="J3189" s="68" t="s">
        <v>13109</v>
      </c>
      <c r="K3189" s="71"/>
      <c r="L3189" s="71"/>
      <c r="M3189" s="104"/>
      <c r="N3189" s="105"/>
      <c r="O3189" s="51"/>
    </row>
    <row r="3190">
      <c r="A3190" s="56">
        <v>3187.0</v>
      </c>
      <c r="B3190" s="71"/>
      <c r="C3190" s="69" t="s">
        <v>13110</v>
      </c>
      <c r="D3190" s="71"/>
      <c r="E3190" s="68" t="s">
        <v>13111</v>
      </c>
      <c r="F3190" s="76">
        <v>42341.0</v>
      </c>
      <c r="G3190" s="68" t="s">
        <v>13112</v>
      </c>
      <c r="H3190" s="71"/>
      <c r="I3190" s="63" t="s">
        <v>635</v>
      </c>
      <c r="J3190" s="68" t="s">
        <v>6778</v>
      </c>
      <c r="K3190" s="71"/>
      <c r="L3190" s="71"/>
      <c r="M3190" s="104"/>
      <c r="N3190" s="105"/>
      <c r="O3190" s="51"/>
    </row>
    <row r="3191">
      <c r="A3191" s="56">
        <v>3188.0</v>
      </c>
      <c r="B3191" s="71"/>
      <c r="C3191" s="69" t="s">
        <v>13113</v>
      </c>
      <c r="D3191" s="71"/>
      <c r="E3191" s="68" t="s">
        <v>13114</v>
      </c>
      <c r="F3191" s="76">
        <v>42469.0</v>
      </c>
      <c r="G3191" s="68" t="s">
        <v>13115</v>
      </c>
      <c r="H3191" s="71"/>
      <c r="I3191" s="63" t="s">
        <v>635</v>
      </c>
      <c r="J3191" s="68" t="s">
        <v>13116</v>
      </c>
      <c r="K3191" s="71"/>
      <c r="L3191" s="71"/>
      <c r="M3191" s="128" t="s">
        <v>31</v>
      </c>
      <c r="N3191" s="61"/>
      <c r="O3191" s="51"/>
    </row>
    <row r="3192">
      <c r="A3192" s="56">
        <v>3189.0</v>
      </c>
      <c r="B3192" s="71"/>
      <c r="C3192" s="69" t="s">
        <v>13117</v>
      </c>
      <c r="D3192" s="71"/>
      <c r="E3192" s="68" t="s">
        <v>13118</v>
      </c>
      <c r="F3192" s="76">
        <v>42444.0</v>
      </c>
      <c r="G3192" s="68" t="s">
        <v>13119</v>
      </c>
      <c r="H3192" s="71"/>
      <c r="I3192" s="66"/>
      <c r="J3192" s="68" t="s">
        <v>13120</v>
      </c>
      <c r="K3192" s="71"/>
      <c r="L3192" s="71"/>
      <c r="M3192" s="68" t="s">
        <v>166</v>
      </c>
      <c r="N3192" s="61"/>
      <c r="O3192" s="51"/>
    </row>
    <row r="3193">
      <c r="A3193" s="56">
        <v>3190.0</v>
      </c>
      <c r="B3193" s="71"/>
      <c r="C3193" s="69" t="s">
        <v>13121</v>
      </c>
      <c r="D3193" s="71"/>
      <c r="E3193" s="68" t="s">
        <v>13122</v>
      </c>
      <c r="F3193" s="76">
        <v>42446.0</v>
      </c>
      <c r="G3193" s="68" t="s">
        <v>13123</v>
      </c>
      <c r="H3193" s="71"/>
      <c r="I3193" s="66"/>
      <c r="J3193" s="68" t="s">
        <v>11266</v>
      </c>
      <c r="K3193" s="71"/>
      <c r="L3193" s="71"/>
      <c r="M3193" s="68" t="s">
        <v>166</v>
      </c>
      <c r="N3193" s="61"/>
      <c r="O3193" s="51"/>
    </row>
    <row r="3194">
      <c r="A3194" s="56">
        <v>3191.0</v>
      </c>
      <c r="B3194" s="71"/>
      <c r="C3194" s="69" t="s">
        <v>13124</v>
      </c>
      <c r="D3194" s="71"/>
      <c r="E3194" s="68" t="s">
        <v>13125</v>
      </c>
      <c r="F3194" s="76">
        <v>42448.0</v>
      </c>
      <c r="G3194" s="68" t="s">
        <v>13126</v>
      </c>
      <c r="H3194" s="71"/>
      <c r="I3194" s="66"/>
      <c r="J3194" s="68" t="s">
        <v>13127</v>
      </c>
      <c r="K3194" s="71"/>
      <c r="L3194" s="71"/>
      <c r="M3194" s="68" t="s">
        <v>166</v>
      </c>
      <c r="N3194" s="61"/>
      <c r="O3194" s="51"/>
    </row>
    <row r="3195">
      <c r="A3195" s="56">
        <v>3192.0</v>
      </c>
      <c r="B3195" s="71"/>
      <c r="C3195" s="69" t="s">
        <v>13128</v>
      </c>
      <c r="D3195" s="71"/>
      <c r="E3195" s="68" t="s">
        <v>13129</v>
      </c>
      <c r="F3195" s="76">
        <v>42448.0</v>
      </c>
      <c r="G3195" s="68" t="s">
        <v>13130</v>
      </c>
      <c r="H3195" s="71"/>
      <c r="I3195" s="66"/>
      <c r="J3195" s="68" t="s">
        <v>13131</v>
      </c>
      <c r="K3195" s="71"/>
      <c r="L3195" s="71"/>
      <c r="M3195" s="68" t="s">
        <v>166</v>
      </c>
      <c r="N3195" s="61"/>
      <c r="O3195" s="51"/>
    </row>
    <row r="3196">
      <c r="A3196" s="56">
        <v>3193.0</v>
      </c>
      <c r="B3196" s="71"/>
      <c r="C3196" s="69" t="s">
        <v>13132</v>
      </c>
      <c r="D3196" s="71"/>
      <c r="E3196" s="68" t="s">
        <v>13133</v>
      </c>
      <c r="F3196" s="76">
        <v>42450.0</v>
      </c>
      <c r="G3196" s="68" t="s">
        <v>13134</v>
      </c>
      <c r="H3196" s="71"/>
      <c r="I3196" s="63" t="s">
        <v>635</v>
      </c>
      <c r="J3196" s="68" t="s">
        <v>13135</v>
      </c>
      <c r="K3196" s="71"/>
      <c r="L3196" s="71"/>
      <c r="M3196" s="104"/>
      <c r="N3196" s="105"/>
      <c r="O3196" s="51"/>
    </row>
    <row r="3197">
      <c r="A3197" s="56">
        <v>3194.0</v>
      </c>
      <c r="B3197" s="60"/>
      <c r="C3197" s="58" t="s">
        <v>13136</v>
      </c>
      <c r="D3197" s="60"/>
      <c r="E3197" s="57" t="s">
        <v>13137</v>
      </c>
      <c r="F3197" s="59">
        <v>42450.0</v>
      </c>
      <c r="G3197" s="57" t="s">
        <v>13138</v>
      </c>
      <c r="H3197" s="60"/>
      <c r="I3197" s="63" t="s">
        <v>635</v>
      </c>
      <c r="J3197" s="57" t="s">
        <v>13139</v>
      </c>
      <c r="K3197" s="60"/>
      <c r="L3197" s="60"/>
      <c r="M3197" s="104"/>
      <c r="N3197" s="105"/>
      <c r="O3197" s="51"/>
    </row>
    <row r="3198">
      <c r="A3198" s="56">
        <v>3195.0</v>
      </c>
      <c r="B3198" s="71"/>
      <c r="C3198" s="69" t="s">
        <v>13140</v>
      </c>
      <c r="D3198" s="71"/>
      <c r="E3198" s="68" t="s">
        <v>13141</v>
      </c>
      <c r="F3198" s="76">
        <v>42451.0</v>
      </c>
      <c r="G3198" s="68" t="s">
        <v>13142</v>
      </c>
      <c r="H3198" s="71"/>
      <c r="I3198" s="66"/>
      <c r="J3198" s="68" t="s">
        <v>296</v>
      </c>
      <c r="K3198" s="71"/>
      <c r="L3198" s="71"/>
      <c r="M3198" s="128" t="s">
        <v>166</v>
      </c>
      <c r="N3198" s="61"/>
      <c r="O3198" s="51"/>
    </row>
    <row r="3199">
      <c r="A3199" s="56">
        <v>3196.0</v>
      </c>
      <c r="B3199" s="71"/>
      <c r="C3199" s="69" t="s">
        <v>13143</v>
      </c>
      <c r="D3199" s="71"/>
      <c r="E3199" s="68" t="s">
        <v>13144</v>
      </c>
      <c r="F3199" s="76">
        <v>42451.0</v>
      </c>
      <c r="G3199" s="68" t="s">
        <v>13145</v>
      </c>
      <c r="H3199" s="71"/>
      <c r="I3199" s="66"/>
      <c r="J3199" s="68" t="s">
        <v>296</v>
      </c>
      <c r="K3199" s="71"/>
      <c r="L3199" s="71"/>
      <c r="M3199" s="68" t="s">
        <v>166</v>
      </c>
      <c r="N3199" s="61"/>
      <c r="O3199" s="51"/>
    </row>
    <row r="3200">
      <c r="A3200" s="56">
        <v>3197.0</v>
      </c>
      <c r="B3200" s="71"/>
      <c r="C3200" s="69" t="s">
        <v>13146</v>
      </c>
      <c r="D3200" s="71"/>
      <c r="E3200" s="68" t="s">
        <v>13147</v>
      </c>
      <c r="F3200" s="76">
        <v>42451.0</v>
      </c>
      <c r="G3200" s="68" t="s">
        <v>13148</v>
      </c>
      <c r="H3200" s="71"/>
      <c r="I3200" s="63" t="s">
        <v>635</v>
      </c>
      <c r="J3200" s="68" t="s">
        <v>6973</v>
      </c>
      <c r="K3200" s="71"/>
      <c r="L3200" s="71"/>
      <c r="M3200" s="68" t="s">
        <v>166</v>
      </c>
      <c r="N3200" s="61"/>
      <c r="O3200" s="51"/>
    </row>
    <row r="3201">
      <c r="A3201" s="56">
        <v>3198.0</v>
      </c>
      <c r="B3201" s="71"/>
      <c r="C3201" s="69" t="s">
        <v>13149</v>
      </c>
      <c r="D3201" s="71"/>
      <c r="E3201" s="68" t="s">
        <v>13150</v>
      </c>
      <c r="F3201" s="76">
        <v>42451.0</v>
      </c>
      <c r="G3201" s="68" t="s">
        <v>13151</v>
      </c>
      <c r="H3201" s="71"/>
      <c r="I3201" s="66"/>
      <c r="J3201" s="68" t="s">
        <v>13131</v>
      </c>
      <c r="K3201" s="71"/>
      <c r="L3201" s="71"/>
      <c r="M3201" s="68" t="s">
        <v>166</v>
      </c>
      <c r="N3201" s="61"/>
      <c r="O3201" s="51"/>
    </row>
    <row r="3202">
      <c r="A3202" s="56">
        <v>3199.0</v>
      </c>
      <c r="B3202" s="71"/>
      <c r="C3202" s="69" t="s">
        <v>13152</v>
      </c>
      <c r="D3202" s="71"/>
      <c r="E3202" s="68" t="s">
        <v>13153</v>
      </c>
      <c r="F3202" s="76">
        <v>42452.0</v>
      </c>
      <c r="G3202" s="68" t="s">
        <v>13154</v>
      </c>
      <c r="H3202" s="71"/>
      <c r="I3202" s="66"/>
      <c r="J3202" s="68" t="s">
        <v>11266</v>
      </c>
      <c r="K3202" s="71"/>
      <c r="L3202" s="71"/>
      <c r="M3202" s="68" t="s">
        <v>166</v>
      </c>
      <c r="N3202" s="61"/>
      <c r="O3202" s="51"/>
    </row>
    <row r="3203">
      <c r="A3203" s="56">
        <v>3200.0</v>
      </c>
      <c r="B3203" s="71"/>
      <c r="C3203" s="69" t="s">
        <v>13155</v>
      </c>
      <c r="D3203" s="71"/>
      <c r="E3203" s="68" t="s">
        <v>13156</v>
      </c>
      <c r="F3203" s="76">
        <v>42452.0</v>
      </c>
      <c r="G3203" s="68" t="s">
        <v>13157</v>
      </c>
      <c r="H3203" s="71"/>
      <c r="I3203" s="63" t="s">
        <v>635</v>
      </c>
      <c r="J3203" s="68" t="s">
        <v>841</v>
      </c>
      <c r="K3203" s="71"/>
      <c r="L3203" s="71"/>
      <c r="M3203" s="68" t="s">
        <v>166</v>
      </c>
      <c r="N3203" s="61"/>
      <c r="O3203" s="51"/>
    </row>
    <row r="3204">
      <c r="A3204" s="56">
        <v>3201.0</v>
      </c>
      <c r="B3204" s="71"/>
      <c r="C3204" s="69" t="s">
        <v>13158</v>
      </c>
      <c r="D3204" s="71"/>
      <c r="E3204" s="68" t="s">
        <v>13159</v>
      </c>
      <c r="F3204" s="76">
        <v>42452.0</v>
      </c>
      <c r="G3204" s="68" t="s">
        <v>13160</v>
      </c>
      <c r="H3204" s="71"/>
      <c r="I3204" s="63" t="s">
        <v>635</v>
      </c>
      <c r="J3204" s="68" t="s">
        <v>12369</v>
      </c>
      <c r="K3204" s="71"/>
      <c r="L3204" s="71"/>
      <c r="M3204" s="68" t="s">
        <v>166</v>
      </c>
      <c r="N3204" s="61"/>
      <c r="O3204" s="51"/>
    </row>
    <row r="3205">
      <c r="A3205" s="56">
        <v>3202.0</v>
      </c>
      <c r="B3205" s="71"/>
      <c r="C3205" s="69" t="s">
        <v>13161</v>
      </c>
      <c r="D3205" s="71"/>
      <c r="E3205" s="68" t="s">
        <v>13162</v>
      </c>
      <c r="F3205" s="76">
        <v>42452.0</v>
      </c>
      <c r="G3205" s="68" t="s">
        <v>13163</v>
      </c>
      <c r="H3205" s="71"/>
      <c r="I3205" s="66"/>
      <c r="J3205" s="68" t="s">
        <v>13164</v>
      </c>
      <c r="K3205" s="71"/>
      <c r="L3205" s="71"/>
      <c r="M3205" s="68" t="s">
        <v>166</v>
      </c>
      <c r="N3205" s="61"/>
      <c r="O3205" s="51"/>
    </row>
    <row r="3206">
      <c r="A3206" s="56">
        <v>3203.0</v>
      </c>
      <c r="B3206" s="71"/>
      <c r="C3206" s="69" t="s">
        <v>13165</v>
      </c>
      <c r="D3206" s="71"/>
      <c r="E3206" s="68" t="s">
        <v>13166</v>
      </c>
      <c r="F3206" s="76">
        <v>42452.0</v>
      </c>
      <c r="G3206" s="68" t="s">
        <v>13163</v>
      </c>
      <c r="H3206" s="71"/>
      <c r="I3206" s="66"/>
      <c r="J3206" s="68" t="s">
        <v>13164</v>
      </c>
      <c r="K3206" s="71"/>
      <c r="L3206" s="71"/>
      <c r="M3206" s="68" t="s">
        <v>166</v>
      </c>
      <c r="N3206" s="61"/>
      <c r="O3206" s="51"/>
    </row>
    <row r="3207">
      <c r="A3207" s="56">
        <v>3204.0</v>
      </c>
      <c r="B3207" s="71"/>
      <c r="C3207" s="69" t="s">
        <v>13167</v>
      </c>
      <c r="D3207" s="71"/>
      <c r="E3207" s="68" t="s">
        <v>13168</v>
      </c>
      <c r="F3207" s="76">
        <v>42453.0</v>
      </c>
      <c r="G3207" s="68" t="s">
        <v>13169</v>
      </c>
      <c r="H3207" s="71"/>
      <c r="I3207" s="66"/>
      <c r="J3207" s="68" t="s">
        <v>296</v>
      </c>
      <c r="K3207" s="71"/>
      <c r="L3207" s="71"/>
      <c r="M3207" s="68" t="s">
        <v>166</v>
      </c>
      <c r="N3207" s="61"/>
      <c r="O3207" s="51"/>
    </row>
    <row r="3208">
      <c r="A3208" s="56">
        <v>3205.0</v>
      </c>
      <c r="B3208" s="71"/>
      <c r="C3208" s="69" t="s">
        <v>13170</v>
      </c>
      <c r="D3208" s="71"/>
      <c r="E3208" s="68" t="s">
        <v>13171</v>
      </c>
      <c r="F3208" s="76">
        <v>42453.0</v>
      </c>
      <c r="G3208" s="68" t="s">
        <v>13172</v>
      </c>
      <c r="H3208" s="71"/>
      <c r="I3208" s="66"/>
      <c r="J3208" s="68" t="s">
        <v>296</v>
      </c>
      <c r="K3208" s="71"/>
      <c r="L3208" s="71"/>
      <c r="M3208" s="68" t="s">
        <v>166</v>
      </c>
      <c r="N3208" s="61"/>
      <c r="O3208" s="51"/>
    </row>
    <row r="3209">
      <c r="A3209" s="56">
        <v>3206.0</v>
      </c>
      <c r="B3209" s="71"/>
      <c r="C3209" s="69" t="s">
        <v>13173</v>
      </c>
      <c r="D3209" s="71"/>
      <c r="E3209" s="68" t="s">
        <v>13174</v>
      </c>
      <c r="F3209" s="76">
        <v>42454.0</v>
      </c>
      <c r="G3209" s="68" t="s">
        <v>13175</v>
      </c>
      <c r="H3209" s="71"/>
      <c r="I3209" s="66"/>
      <c r="J3209" s="68" t="s">
        <v>12364</v>
      </c>
      <c r="K3209" s="71"/>
      <c r="L3209" s="71"/>
      <c r="M3209" s="68" t="s">
        <v>166</v>
      </c>
      <c r="N3209" s="61"/>
      <c r="O3209" s="51"/>
    </row>
    <row r="3210">
      <c r="A3210" s="56">
        <v>3207.0</v>
      </c>
      <c r="B3210" s="71"/>
      <c r="C3210" s="69" t="s">
        <v>13176</v>
      </c>
      <c r="D3210" s="71"/>
      <c r="E3210" s="68" t="s">
        <v>13177</v>
      </c>
      <c r="F3210" s="76">
        <v>42454.0</v>
      </c>
      <c r="G3210" s="68" t="s">
        <v>13178</v>
      </c>
      <c r="H3210" s="71"/>
      <c r="I3210" s="63" t="s">
        <v>635</v>
      </c>
      <c r="J3210" s="68" t="s">
        <v>12369</v>
      </c>
      <c r="K3210" s="71"/>
      <c r="L3210" s="71"/>
      <c r="M3210" s="68" t="s">
        <v>166</v>
      </c>
      <c r="N3210" s="61"/>
      <c r="O3210" s="51"/>
    </row>
    <row r="3211">
      <c r="A3211" s="56">
        <v>3208.0</v>
      </c>
      <c r="B3211" s="71"/>
      <c r="C3211" s="69" t="s">
        <v>13179</v>
      </c>
      <c r="D3211" s="71"/>
      <c r="E3211" s="68" t="s">
        <v>13180</v>
      </c>
      <c r="F3211" s="76">
        <v>42454.0</v>
      </c>
      <c r="G3211" s="68" t="s">
        <v>13181</v>
      </c>
      <c r="H3211" s="71"/>
      <c r="I3211" s="66"/>
      <c r="J3211" s="68" t="s">
        <v>12964</v>
      </c>
      <c r="K3211" s="71"/>
      <c r="L3211" s="71"/>
      <c r="M3211" s="68" t="s">
        <v>166</v>
      </c>
      <c r="N3211" s="61"/>
      <c r="O3211" s="51"/>
    </row>
    <row r="3212">
      <c r="A3212" s="56">
        <v>3209.0</v>
      </c>
      <c r="B3212" s="71"/>
      <c r="C3212" s="69" t="s">
        <v>13182</v>
      </c>
      <c r="D3212" s="71"/>
      <c r="E3212" s="68" t="s">
        <v>13183</v>
      </c>
      <c r="F3212" s="76">
        <v>42455.0</v>
      </c>
      <c r="G3212" s="68" t="s">
        <v>13184</v>
      </c>
      <c r="H3212" s="71"/>
      <c r="I3212" s="66"/>
      <c r="J3212" s="68" t="s">
        <v>12250</v>
      </c>
      <c r="K3212" s="71"/>
      <c r="L3212" s="71"/>
      <c r="M3212" s="68" t="s">
        <v>166</v>
      </c>
      <c r="N3212" s="61"/>
      <c r="O3212" s="51"/>
    </row>
    <row r="3213">
      <c r="A3213" s="56">
        <v>3210.0</v>
      </c>
      <c r="B3213" s="71"/>
      <c r="C3213" s="69" t="s">
        <v>13185</v>
      </c>
      <c r="D3213" s="71"/>
      <c r="E3213" s="68" t="s">
        <v>13186</v>
      </c>
      <c r="F3213" s="76">
        <v>42455.0</v>
      </c>
      <c r="G3213" s="68" t="s">
        <v>13187</v>
      </c>
      <c r="H3213" s="71"/>
      <c r="I3213" s="66"/>
      <c r="J3213" s="68" t="s">
        <v>12964</v>
      </c>
      <c r="K3213" s="71"/>
      <c r="L3213" s="71"/>
      <c r="M3213" s="68" t="s">
        <v>166</v>
      </c>
      <c r="N3213" s="61"/>
      <c r="O3213" s="51"/>
    </row>
    <row r="3214">
      <c r="A3214" s="56">
        <v>3211.0</v>
      </c>
      <c r="B3214" s="71"/>
      <c r="C3214" s="69" t="s">
        <v>13188</v>
      </c>
      <c r="D3214" s="71"/>
      <c r="E3214" s="68" t="s">
        <v>13189</v>
      </c>
      <c r="F3214" s="76">
        <v>42455.0</v>
      </c>
      <c r="G3214" s="68" t="s">
        <v>13190</v>
      </c>
      <c r="H3214" s="71"/>
      <c r="I3214" s="63" t="s">
        <v>635</v>
      </c>
      <c r="J3214" s="68" t="s">
        <v>6778</v>
      </c>
      <c r="K3214" s="71"/>
      <c r="L3214" s="71"/>
      <c r="M3214" s="104"/>
      <c r="N3214" s="105"/>
      <c r="O3214" s="51"/>
    </row>
    <row r="3215">
      <c r="A3215" s="56">
        <v>3212.0</v>
      </c>
      <c r="B3215" s="71"/>
      <c r="C3215" s="69" t="s">
        <v>13191</v>
      </c>
      <c r="D3215" s="71"/>
      <c r="E3215" s="68" t="s">
        <v>13192</v>
      </c>
      <c r="F3215" s="76">
        <v>42455.0</v>
      </c>
      <c r="G3215" s="68" t="s">
        <v>13193</v>
      </c>
      <c r="H3215" s="71"/>
      <c r="I3215" s="66"/>
      <c r="J3215" s="68" t="s">
        <v>12964</v>
      </c>
      <c r="K3215" s="71"/>
      <c r="L3215" s="71"/>
      <c r="M3215" s="128" t="s">
        <v>166</v>
      </c>
      <c r="N3215" s="61"/>
      <c r="O3215" s="51"/>
    </row>
    <row r="3216">
      <c r="A3216" s="56">
        <v>3213.0</v>
      </c>
      <c r="B3216" s="71"/>
      <c r="C3216" s="69" t="s">
        <v>13194</v>
      </c>
      <c r="D3216" s="71"/>
      <c r="E3216" s="68" t="s">
        <v>13195</v>
      </c>
      <c r="F3216" s="76">
        <v>42455.0</v>
      </c>
      <c r="G3216" s="68" t="s">
        <v>13196</v>
      </c>
      <c r="H3216" s="71"/>
      <c r="I3216" s="66"/>
      <c r="J3216" s="68" t="s">
        <v>12964</v>
      </c>
      <c r="K3216" s="71"/>
      <c r="L3216" s="71"/>
      <c r="M3216" s="68" t="s">
        <v>166</v>
      </c>
      <c r="N3216" s="61"/>
      <c r="O3216" s="51"/>
    </row>
    <row r="3217">
      <c r="A3217" s="56">
        <v>3214.0</v>
      </c>
      <c r="B3217" s="71"/>
      <c r="C3217" s="69" t="s">
        <v>13197</v>
      </c>
      <c r="D3217" s="71"/>
      <c r="E3217" s="68" t="s">
        <v>13198</v>
      </c>
      <c r="F3217" s="76">
        <v>42456.0</v>
      </c>
      <c r="G3217" s="68" t="s">
        <v>13196</v>
      </c>
      <c r="H3217" s="71"/>
      <c r="I3217" s="66"/>
      <c r="J3217" s="68" t="s">
        <v>12964</v>
      </c>
      <c r="K3217" s="71"/>
      <c r="L3217" s="71"/>
      <c r="M3217" s="68" t="s">
        <v>166</v>
      </c>
      <c r="N3217" s="61"/>
      <c r="O3217" s="51"/>
    </row>
    <row r="3218">
      <c r="A3218" s="56">
        <v>3215.0</v>
      </c>
      <c r="B3218" s="71"/>
      <c r="C3218" s="69" t="s">
        <v>13199</v>
      </c>
      <c r="D3218" s="71"/>
      <c r="E3218" s="68" t="s">
        <v>13200</v>
      </c>
      <c r="F3218" s="76">
        <v>42457.0</v>
      </c>
      <c r="G3218" s="68" t="s">
        <v>13201</v>
      </c>
      <c r="H3218" s="71"/>
      <c r="I3218" s="66"/>
      <c r="J3218" s="68" t="s">
        <v>12964</v>
      </c>
      <c r="K3218" s="71"/>
      <c r="L3218" s="71"/>
      <c r="M3218" s="68" t="s">
        <v>166</v>
      </c>
      <c r="N3218" s="61"/>
      <c r="O3218" s="51"/>
    </row>
    <row r="3219">
      <c r="A3219" s="56">
        <v>3216.0</v>
      </c>
      <c r="B3219" s="71"/>
      <c r="C3219" s="69" t="s">
        <v>13202</v>
      </c>
      <c r="D3219" s="71"/>
      <c r="E3219" s="68" t="s">
        <v>13203</v>
      </c>
      <c r="F3219" s="76">
        <v>42458.0</v>
      </c>
      <c r="G3219" s="68" t="s">
        <v>13204</v>
      </c>
      <c r="H3219" s="71"/>
      <c r="I3219" s="66"/>
      <c r="J3219" s="68" t="s">
        <v>11266</v>
      </c>
      <c r="K3219" s="71"/>
      <c r="L3219" s="71"/>
      <c r="M3219" s="68" t="s">
        <v>166</v>
      </c>
      <c r="N3219" s="61"/>
      <c r="O3219" s="51"/>
    </row>
    <row r="3220">
      <c r="A3220" s="56">
        <v>3217.0</v>
      </c>
      <c r="B3220" s="71"/>
      <c r="C3220" s="69" t="s">
        <v>13205</v>
      </c>
      <c r="D3220" s="71"/>
      <c r="E3220" s="68" t="s">
        <v>13206</v>
      </c>
      <c r="F3220" s="76">
        <v>42458.0</v>
      </c>
      <c r="G3220" s="68" t="s">
        <v>13207</v>
      </c>
      <c r="H3220" s="71"/>
      <c r="I3220" s="63" t="s">
        <v>635</v>
      </c>
      <c r="J3220" s="68" t="s">
        <v>12369</v>
      </c>
      <c r="K3220" s="71"/>
      <c r="L3220" s="71"/>
      <c r="M3220" s="68" t="s">
        <v>166</v>
      </c>
      <c r="N3220" s="61"/>
      <c r="O3220" s="51"/>
    </row>
    <row r="3221">
      <c r="A3221" s="56">
        <v>3218.0</v>
      </c>
      <c r="B3221" s="71"/>
      <c r="C3221" s="69" t="s">
        <v>13208</v>
      </c>
      <c r="D3221" s="71"/>
      <c r="E3221" s="68" t="s">
        <v>13209</v>
      </c>
      <c r="F3221" s="76">
        <v>42458.0</v>
      </c>
      <c r="G3221" s="68" t="s">
        <v>13210</v>
      </c>
      <c r="H3221" s="71"/>
      <c r="I3221" s="63" t="s">
        <v>635</v>
      </c>
      <c r="J3221" s="68" t="s">
        <v>13211</v>
      </c>
      <c r="K3221" s="71"/>
      <c r="L3221" s="71"/>
      <c r="M3221" s="68" t="s">
        <v>166</v>
      </c>
      <c r="N3221" s="61"/>
      <c r="O3221" s="51"/>
    </row>
    <row r="3222">
      <c r="A3222" s="56">
        <v>3219.0</v>
      </c>
      <c r="B3222" s="71"/>
      <c r="C3222" s="69" t="s">
        <v>13212</v>
      </c>
      <c r="D3222" s="71"/>
      <c r="E3222" s="68" t="s">
        <v>13213</v>
      </c>
      <c r="F3222" s="76">
        <v>42461.0</v>
      </c>
      <c r="G3222" s="68" t="s">
        <v>13214</v>
      </c>
      <c r="H3222" s="71"/>
      <c r="I3222" s="66"/>
      <c r="J3222" s="68" t="s">
        <v>13215</v>
      </c>
      <c r="K3222" s="71"/>
      <c r="L3222" s="71"/>
      <c r="M3222" s="68" t="s">
        <v>166</v>
      </c>
      <c r="N3222" s="61"/>
      <c r="O3222" s="51"/>
    </row>
    <row r="3223">
      <c r="A3223" s="56">
        <v>3220.0</v>
      </c>
      <c r="B3223" s="71"/>
      <c r="C3223" s="69" t="s">
        <v>13216</v>
      </c>
      <c r="D3223" s="71"/>
      <c r="E3223" s="68" t="s">
        <v>13217</v>
      </c>
      <c r="F3223" s="76">
        <v>42461.0</v>
      </c>
      <c r="G3223" s="68" t="s">
        <v>13214</v>
      </c>
      <c r="H3223" s="71"/>
      <c r="I3223" s="66"/>
      <c r="J3223" s="68" t="s">
        <v>12364</v>
      </c>
      <c r="K3223" s="71"/>
      <c r="L3223" s="71"/>
      <c r="M3223" s="68" t="s">
        <v>166</v>
      </c>
      <c r="N3223" s="61"/>
      <c r="O3223" s="51"/>
    </row>
    <row r="3224">
      <c r="A3224" s="56">
        <v>3221.0</v>
      </c>
      <c r="B3224" s="71"/>
      <c r="C3224" s="69" t="s">
        <v>13218</v>
      </c>
      <c r="D3224" s="71"/>
      <c r="E3224" s="68" t="s">
        <v>13219</v>
      </c>
      <c r="F3224" s="76">
        <v>42461.0</v>
      </c>
      <c r="G3224" s="68" t="s">
        <v>13214</v>
      </c>
      <c r="H3224" s="71"/>
      <c r="I3224" s="66"/>
      <c r="J3224" s="68" t="s">
        <v>12364</v>
      </c>
      <c r="K3224" s="71"/>
      <c r="L3224" s="71"/>
      <c r="M3224" s="68" t="s">
        <v>166</v>
      </c>
      <c r="N3224" s="61"/>
      <c r="O3224" s="51"/>
    </row>
    <row r="3225">
      <c r="A3225" s="56">
        <v>3222.0</v>
      </c>
      <c r="B3225" s="71"/>
      <c r="C3225" s="69" t="s">
        <v>13220</v>
      </c>
      <c r="D3225" s="71"/>
      <c r="E3225" s="68" t="s">
        <v>13221</v>
      </c>
      <c r="F3225" s="76">
        <v>42461.0</v>
      </c>
      <c r="G3225" s="68" t="s">
        <v>13222</v>
      </c>
      <c r="H3225" s="71"/>
      <c r="I3225" s="66"/>
      <c r="J3225" s="68" t="s">
        <v>12364</v>
      </c>
      <c r="K3225" s="71"/>
      <c r="L3225" s="71"/>
      <c r="M3225" s="68" t="s">
        <v>166</v>
      </c>
      <c r="N3225" s="61"/>
      <c r="O3225" s="51"/>
    </row>
    <row r="3226">
      <c r="A3226" s="56">
        <v>3223.0</v>
      </c>
      <c r="B3226" s="71"/>
      <c r="C3226" s="69" t="s">
        <v>13223</v>
      </c>
      <c r="D3226" s="71"/>
      <c r="E3226" s="68" t="s">
        <v>13224</v>
      </c>
      <c r="F3226" s="76">
        <v>42461.0</v>
      </c>
      <c r="G3226" s="68" t="s">
        <v>13222</v>
      </c>
      <c r="H3226" s="71"/>
      <c r="I3226" s="66"/>
      <c r="J3226" s="68" t="s">
        <v>12250</v>
      </c>
      <c r="K3226" s="71"/>
      <c r="L3226" s="71"/>
      <c r="M3226" s="68" t="s">
        <v>166</v>
      </c>
      <c r="N3226" s="61"/>
      <c r="O3226" s="51"/>
    </row>
    <row r="3227">
      <c r="A3227" s="56">
        <v>3224.0</v>
      </c>
      <c r="B3227" s="71"/>
      <c r="C3227" s="69" t="s">
        <v>13225</v>
      </c>
      <c r="D3227" s="71"/>
      <c r="E3227" s="68" t="s">
        <v>13226</v>
      </c>
      <c r="F3227" s="76">
        <v>42461.0</v>
      </c>
      <c r="G3227" s="68" t="s">
        <v>13227</v>
      </c>
      <c r="H3227" s="71"/>
      <c r="I3227" s="66"/>
      <c r="J3227" s="68" t="s">
        <v>12364</v>
      </c>
      <c r="K3227" s="71"/>
      <c r="L3227" s="71"/>
      <c r="M3227" s="68" t="s">
        <v>166</v>
      </c>
      <c r="N3227" s="61"/>
      <c r="O3227" s="51"/>
    </row>
    <row r="3228">
      <c r="A3228" s="56">
        <v>3225.0</v>
      </c>
      <c r="B3228" s="71"/>
      <c r="C3228" s="69" t="s">
        <v>13228</v>
      </c>
      <c r="D3228" s="71"/>
      <c r="E3228" s="68" t="s">
        <v>13229</v>
      </c>
      <c r="F3228" s="76">
        <v>42461.0</v>
      </c>
      <c r="G3228" s="68" t="s">
        <v>13227</v>
      </c>
      <c r="H3228" s="71"/>
      <c r="I3228" s="66"/>
      <c r="J3228" s="68" t="s">
        <v>12364</v>
      </c>
      <c r="K3228" s="71"/>
      <c r="L3228" s="71"/>
      <c r="M3228" s="68" t="s">
        <v>166</v>
      </c>
      <c r="N3228" s="61"/>
      <c r="O3228" s="51"/>
    </row>
    <row r="3229">
      <c r="A3229" s="56">
        <v>3226.0</v>
      </c>
      <c r="B3229" s="71"/>
      <c r="C3229" s="69" t="s">
        <v>13230</v>
      </c>
      <c r="D3229" s="71"/>
      <c r="E3229" s="68" t="s">
        <v>13231</v>
      </c>
      <c r="F3229" s="76">
        <v>42461.0</v>
      </c>
      <c r="G3229" s="68" t="s">
        <v>13227</v>
      </c>
      <c r="H3229" s="71"/>
      <c r="I3229" s="66"/>
      <c r="J3229" s="68" t="s">
        <v>12364</v>
      </c>
      <c r="K3229" s="71"/>
      <c r="L3229" s="71"/>
      <c r="M3229" s="68" t="s">
        <v>166</v>
      </c>
      <c r="N3229" s="61"/>
      <c r="O3229" s="51"/>
    </row>
    <row r="3230">
      <c r="A3230" s="56">
        <v>3227.0</v>
      </c>
      <c r="B3230" s="71"/>
      <c r="C3230" s="69" t="s">
        <v>13232</v>
      </c>
      <c r="D3230" s="71"/>
      <c r="E3230" s="68" t="s">
        <v>13233</v>
      </c>
      <c r="F3230" s="76">
        <v>42461.0</v>
      </c>
      <c r="G3230" s="68" t="s">
        <v>13227</v>
      </c>
      <c r="H3230" s="71"/>
      <c r="I3230" s="66"/>
      <c r="J3230" s="68" t="s">
        <v>12364</v>
      </c>
      <c r="K3230" s="71"/>
      <c r="L3230" s="71"/>
      <c r="M3230" s="68" t="s">
        <v>166</v>
      </c>
      <c r="N3230" s="61"/>
      <c r="O3230" s="51"/>
    </row>
    <row r="3231">
      <c r="A3231" s="56">
        <v>3228.0</v>
      </c>
      <c r="B3231" s="71"/>
      <c r="C3231" s="69" t="s">
        <v>13234</v>
      </c>
      <c r="D3231" s="71"/>
      <c r="E3231" s="68" t="s">
        <v>13235</v>
      </c>
      <c r="F3231" s="76">
        <v>42461.0</v>
      </c>
      <c r="G3231" s="68" t="s">
        <v>13227</v>
      </c>
      <c r="H3231" s="71"/>
      <c r="I3231" s="66"/>
      <c r="J3231" s="68" t="s">
        <v>12250</v>
      </c>
      <c r="K3231" s="71"/>
      <c r="L3231" s="71"/>
      <c r="M3231" s="68" t="s">
        <v>166</v>
      </c>
      <c r="N3231" s="61"/>
      <c r="O3231" s="51"/>
    </row>
    <row r="3232">
      <c r="A3232" s="56">
        <v>3229.0</v>
      </c>
      <c r="B3232" s="71"/>
      <c r="C3232" s="69" t="s">
        <v>13236</v>
      </c>
      <c r="D3232" s="71"/>
      <c r="E3232" s="68" t="s">
        <v>13237</v>
      </c>
      <c r="F3232" s="76">
        <v>42461.0</v>
      </c>
      <c r="G3232" s="68" t="s">
        <v>13227</v>
      </c>
      <c r="H3232" s="71"/>
      <c r="I3232" s="66"/>
      <c r="J3232" s="68" t="s">
        <v>12250</v>
      </c>
      <c r="K3232" s="71"/>
      <c r="L3232" s="71"/>
      <c r="M3232" s="68" t="s">
        <v>166</v>
      </c>
      <c r="N3232" s="61"/>
      <c r="O3232" s="51"/>
    </row>
    <row r="3233">
      <c r="A3233" s="56">
        <v>3230.0</v>
      </c>
      <c r="B3233" s="71"/>
      <c r="C3233" s="69" t="s">
        <v>13238</v>
      </c>
      <c r="D3233" s="71"/>
      <c r="E3233" s="68" t="s">
        <v>13239</v>
      </c>
      <c r="F3233" s="76">
        <v>42461.0</v>
      </c>
      <c r="G3233" s="68" t="s">
        <v>13227</v>
      </c>
      <c r="H3233" s="71"/>
      <c r="I3233" s="66"/>
      <c r="J3233" s="68" t="s">
        <v>12250</v>
      </c>
      <c r="K3233" s="71"/>
      <c r="L3233" s="71"/>
      <c r="M3233" s="68" t="s">
        <v>166</v>
      </c>
      <c r="N3233" s="61"/>
      <c r="O3233" s="51"/>
    </row>
    <row r="3234">
      <c r="A3234" s="56">
        <v>3231.0</v>
      </c>
      <c r="B3234" s="71"/>
      <c r="C3234" s="69" t="s">
        <v>13240</v>
      </c>
      <c r="D3234" s="71"/>
      <c r="E3234" s="68" t="s">
        <v>13241</v>
      </c>
      <c r="F3234" s="76">
        <v>42461.0</v>
      </c>
      <c r="G3234" s="68" t="s">
        <v>13227</v>
      </c>
      <c r="H3234" s="71"/>
      <c r="I3234" s="66"/>
      <c r="J3234" s="68" t="s">
        <v>12250</v>
      </c>
      <c r="K3234" s="71"/>
      <c r="L3234" s="71"/>
      <c r="M3234" s="68" t="s">
        <v>166</v>
      </c>
      <c r="N3234" s="61"/>
      <c r="O3234" s="51"/>
    </row>
    <row r="3235">
      <c r="A3235" s="56">
        <v>3232.0</v>
      </c>
      <c r="B3235" s="71"/>
      <c r="C3235" s="69" t="s">
        <v>13242</v>
      </c>
      <c r="D3235" s="71"/>
      <c r="E3235" s="68" t="s">
        <v>13243</v>
      </c>
      <c r="F3235" s="76">
        <v>42461.0</v>
      </c>
      <c r="G3235" s="68" t="s">
        <v>13227</v>
      </c>
      <c r="H3235" s="71"/>
      <c r="I3235" s="66"/>
      <c r="J3235" s="68" t="s">
        <v>12250</v>
      </c>
      <c r="K3235" s="71"/>
      <c r="L3235" s="71"/>
      <c r="M3235" s="68" t="s">
        <v>166</v>
      </c>
      <c r="N3235" s="61"/>
      <c r="O3235" s="51"/>
    </row>
    <row r="3236">
      <c r="A3236" s="56">
        <v>3233.0</v>
      </c>
      <c r="B3236" s="71"/>
      <c r="C3236" s="69" t="s">
        <v>13244</v>
      </c>
      <c r="D3236" s="71"/>
      <c r="E3236" s="68" t="s">
        <v>13245</v>
      </c>
      <c r="F3236" s="76">
        <v>42461.0</v>
      </c>
      <c r="G3236" s="68" t="s">
        <v>13227</v>
      </c>
      <c r="H3236" s="71"/>
      <c r="I3236" s="66"/>
      <c r="J3236" s="68" t="s">
        <v>12250</v>
      </c>
      <c r="K3236" s="71"/>
      <c r="L3236" s="71"/>
      <c r="M3236" s="68" t="s">
        <v>166</v>
      </c>
      <c r="N3236" s="61"/>
      <c r="O3236" s="51"/>
    </row>
    <row r="3237">
      <c r="A3237" s="56">
        <v>3234.0</v>
      </c>
      <c r="B3237" s="71"/>
      <c r="C3237" s="69" t="s">
        <v>13246</v>
      </c>
      <c r="D3237" s="71"/>
      <c r="E3237" s="68" t="s">
        <v>13247</v>
      </c>
      <c r="F3237" s="76">
        <v>42461.0</v>
      </c>
      <c r="G3237" s="68" t="s">
        <v>13227</v>
      </c>
      <c r="H3237" s="71"/>
      <c r="I3237" s="66"/>
      <c r="J3237" s="68" t="s">
        <v>12250</v>
      </c>
      <c r="K3237" s="71"/>
      <c r="L3237" s="71"/>
      <c r="M3237" s="68" t="s">
        <v>166</v>
      </c>
      <c r="N3237" s="61"/>
      <c r="O3237" s="51"/>
    </row>
    <row r="3238">
      <c r="A3238" s="56">
        <v>3235.0</v>
      </c>
      <c r="B3238" s="71"/>
      <c r="C3238" s="69" t="s">
        <v>13248</v>
      </c>
      <c r="D3238" s="71"/>
      <c r="E3238" s="68" t="s">
        <v>13249</v>
      </c>
      <c r="F3238" s="76">
        <v>42526.0</v>
      </c>
      <c r="G3238" s="68" t="s">
        <v>13250</v>
      </c>
      <c r="H3238" s="71"/>
      <c r="I3238" s="66"/>
      <c r="J3238" s="68" t="s">
        <v>12446</v>
      </c>
      <c r="K3238" s="71"/>
      <c r="L3238" s="71"/>
      <c r="M3238" s="68" t="s">
        <v>166</v>
      </c>
      <c r="N3238" s="61"/>
      <c r="O3238" s="51"/>
    </row>
    <row r="3239">
      <c r="A3239" s="56">
        <v>3236.0</v>
      </c>
      <c r="B3239" s="71"/>
      <c r="C3239" s="69" t="s">
        <v>13251</v>
      </c>
      <c r="D3239" s="71"/>
      <c r="E3239" s="68" t="s">
        <v>13252</v>
      </c>
      <c r="F3239" s="76">
        <v>42461.0</v>
      </c>
      <c r="G3239" s="68" t="s">
        <v>13253</v>
      </c>
      <c r="H3239" s="71"/>
      <c r="I3239" s="66"/>
      <c r="J3239" s="68" t="s">
        <v>296</v>
      </c>
      <c r="K3239" s="71"/>
      <c r="L3239" s="71"/>
      <c r="M3239" s="68" t="s">
        <v>166</v>
      </c>
      <c r="N3239" s="61"/>
      <c r="O3239" s="51"/>
    </row>
    <row r="3240">
      <c r="A3240" s="56">
        <v>3237.0</v>
      </c>
      <c r="B3240" s="71"/>
      <c r="C3240" s="69" t="s">
        <v>13254</v>
      </c>
      <c r="D3240" s="71"/>
      <c r="E3240" s="68" t="s">
        <v>13255</v>
      </c>
      <c r="F3240" s="76">
        <v>42464.0</v>
      </c>
      <c r="G3240" s="68" t="s">
        <v>13256</v>
      </c>
      <c r="H3240" s="71"/>
      <c r="I3240" s="66"/>
      <c r="J3240" s="68" t="s">
        <v>12446</v>
      </c>
      <c r="K3240" s="71"/>
      <c r="L3240" s="71"/>
      <c r="M3240" s="68" t="s">
        <v>166</v>
      </c>
      <c r="N3240" s="61"/>
      <c r="O3240" s="51"/>
    </row>
    <row r="3241">
      <c r="A3241" s="56">
        <v>3238.0</v>
      </c>
      <c r="B3241" s="71"/>
      <c r="C3241" s="69" t="s">
        <v>13257</v>
      </c>
      <c r="D3241" s="71"/>
      <c r="E3241" s="68" t="s">
        <v>13258</v>
      </c>
      <c r="F3241" s="76">
        <v>42465.0</v>
      </c>
      <c r="G3241" s="68" t="s">
        <v>13259</v>
      </c>
      <c r="H3241" s="71"/>
      <c r="I3241" s="66"/>
      <c r="J3241" s="68" t="s">
        <v>12369</v>
      </c>
      <c r="K3241" s="71"/>
      <c r="L3241" s="71"/>
      <c r="M3241" s="68" t="s">
        <v>166</v>
      </c>
      <c r="N3241" s="61"/>
      <c r="O3241" s="51"/>
    </row>
    <row r="3242">
      <c r="A3242" s="56">
        <v>3239.0</v>
      </c>
      <c r="B3242" s="71"/>
      <c r="C3242" s="69" t="s">
        <v>13260</v>
      </c>
      <c r="D3242" s="71"/>
      <c r="E3242" s="68" t="s">
        <v>13261</v>
      </c>
      <c r="F3242" s="76">
        <v>42465.0</v>
      </c>
      <c r="G3242" s="68" t="s">
        <v>13262</v>
      </c>
      <c r="H3242" s="71"/>
      <c r="I3242" s="66"/>
      <c r="J3242" s="68" t="s">
        <v>11620</v>
      </c>
      <c r="K3242" s="71"/>
      <c r="L3242" s="71"/>
      <c r="M3242" s="68" t="s">
        <v>166</v>
      </c>
      <c r="N3242" s="61"/>
      <c r="O3242" s="51"/>
    </row>
    <row r="3243">
      <c r="A3243" s="56">
        <v>3240.0</v>
      </c>
      <c r="B3243" s="71"/>
      <c r="C3243" s="69" t="s">
        <v>13263</v>
      </c>
      <c r="D3243" s="71"/>
      <c r="E3243" s="68" t="s">
        <v>13264</v>
      </c>
      <c r="F3243" s="76">
        <v>42465.0</v>
      </c>
      <c r="G3243" s="68" t="s">
        <v>13265</v>
      </c>
      <c r="H3243" s="71"/>
      <c r="I3243" s="66"/>
      <c r="J3243" s="68" t="s">
        <v>9535</v>
      </c>
      <c r="K3243" s="71"/>
      <c r="L3243" s="71"/>
      <c r="M3243" s="68" t="s">
        <v>166</v>
      </c>
      <c r="N3243" s="61"/>
      <c r="O3243" s="51"/>
    </row>
    <row r="3244">
      <c r="A3244" s="56">
        <v>3241.0</v>
      </c>
      <c r="B3244" s="71"/>
      <c r="C3244" s="69" t="s">
        <v>13266</v>
      </c>
      <c r="D3244" s="71"/>
      <c r="E3244" s="68" t="s">
        <v>13267</v>
      </c>
      <c r="F3244" s="76">
        <v>42465.0</v>
      </c>
      <c r="G3244" s="68" t="s">
        <v>13253</v>
      </c>
      <c r="H3244" s="71"/>
      <c r="I3244" s="66"/>
      <c r="J3244" s="68" t="s">
        <v>9535</v>
      </c>
      <c r="K3244" s="71"/>
      <c r="L3244" s="71"/>
      <c r="M3244" s="68" t="s">
        <v>166</v>
      </c>
      <c r="N3244" s="61"/>
      <c r="O3244" s="51"/>
    </row>
    <row r="3245">
      <c r="A3245" s="56">
        <v>3242.0</v>
      </c>
      <c r="B3245" s="71"/>
      <c r="C3245" s="69" t="s">
        <v>13268</v>
      </c>
      <c r="D3245" s="71"/>
      <c r="E3245" s="68" t="s">
        <v>13269</v>
      </c>
      <c r="F3245" s="76">
        <v>42465.0</v>
      </c>
      <c r="G3245" s="68" t="s">
        <v>13270</v>
      </c>
      <c r="H3245" s="71"/>
      <c r="I3245" s="66"/>
      <c r="J3245" s="68" t="s">
        <v>11266</v>
      </c>
      <c r="K3245" s="71"/>
      <c r="L3245" s="71"/>
      <c r="M3245" s="68" t="s">
        <v>166</v>
      </c>
      <c r="N3245" s="61"/>
      <c r="O3245" s="51"/>
    </row>
    <row r="3246">
      <c r="A3246" s="56">
        <v>3243.0</v>
      </c>
      <c r="B3246" s="71"/>
      <c r="C3246" s="69" t="s">
        <v>13271</v>
      </c>
      <c r="D3246" s="71"/>
      <c r="E3246" s="68" t="s">
        <v>13272</v>
      </c>
      <c r="F3246" s="76">
        <v>42465.0</v>
      </c>
      <c r="G3246" s="68" t="s">
        <v>13273</v>
      </c>
      <c r="H3246" s="71"/>
      <c r="I3246" s="66"/>
      <c r="J3246" s="68" t="s">
        <v>11266</v>
      </c>
      <c r="K3246" s="71"/>
      <c r="L3246" s="71"/>
      <c r="M3246" s="68" t="s">
        <v>166</v>
      </c>
      <c r="N3246" s="61"/>
      <c r="O3246" s="51"/>
    </row>
    <row r="3247">
      <c r="A3247" s="56">
        <v>3244.0</v>
      </c>
      <c r="B3247" s="71"/>
      <c r="C3247" s="69" t="s">
        <v>13274</v>
      </c>
      <c r="D3247" s="71"/>
      <c r="E3247" s="68" t="s">
        <v>13275</v>
      </c>
      <c r="F3247" s="76">
        <v>42465.0</v>
      </c>
      <c r="G3247" s="68" t="s">
        <v>13276</v>
      </c>
      <c r="H3247" s="71"/>
      <c r="I3247" s="66"/>
      <c r="J3247" s="68" t="s">
        <v>9535</v>
      </c>
      <c r="K3247" s="71"/>
      <c r="L3247" s="71"/>
      <c r="M3247" s="68" t="s">
        <v>166</v>
      </c>
      <c r="N3247" s="61"/>
      <c r="O3247" s="51"/>
    </row>
    <row r="3248">
      <c r="A3248" s="56">
        <v>3245.0</v>
      </c>
      <c r="B3248" s="71"/>
      <c r="C3248" s="69" t="s">
        <v>13277</v>
      </c>
      <c r="D3248" s="71"/>
      <c r="E3248" s="68" t="s">
        <v>13278</v>
      </c>
      <c r="F3248" s="76">
        <v>42465.0</v>
      </c>
      <c r="G3248" s="68" t="s">
        <v>13279</v>
      </c>
      <c r="H3248" s="71"/>
      <c r="I3248" s="66"/>
      <c r="J3248" s="68" t="s">
        <v>11452</v>
      </c>
      <c r="K3248" s="71"/>
      <c r="L3248" s="71"/>
      <c r="M3248" s="68" t="s">
        <v>166</v>
      </c>
      <c r="N3248" s="61"/>
      <c r="O3248" s="51"/>
    </row>
    <row r="3249">
      <c r="A3249" s="56">
        <v>3246.0</v>
      </c>
      <c r="B3249" s="71"/>
      <c r="C3249" s="69" t="s">
        <v>13280</v>
      </c>
      <c r="D3249" s="71"/>
      <c r="E3249" s="68" t="s">
        <v>13281</v>
      </c>
      <c r="F3249" s="76">
        <v>42465.0</v>
      </c>
      <c r="G3249" s="68" t="s">
        <v>13282</v>
      </c>
      <c r="H3249" s="71"/>
      <c r="I3249" s="66"/>
      <c r="J3249" s="68" t="s">
        <v>11452</v>
      </c>
      <c r="K3249" s="71"/>
      <c r="L3249" s="71"/>
      <c r="M3249" s="68" t="s">
        <v>166</v>
      </c>
      <c r="N3249" s="61"/>
      <c r="O3249" s="51"/>
    </row>
    <row r="3250">
      <c r="A3250" s="56">
        <v>3247.0</v>
      </c>
      <c r="B3250" s="71"/>
      <c r="C3250" s="69" t="s">
        <v>13283</v>
      </c>
      <c r="D3250" s="71"/>
      <c r="E3250" s="68" t="s">
        <v>13284</v>
      </c>
      <c r="F3250" s="76">
        <v>42466.0</v>
      </c>
      <c r="G3250" s="68" t="s">
        <v>13285</v>
      </c>
      <c r="H3250" s="71"/>
      <c r="I3250" s="66"/>
      <c r="J3250" s="68" t="s">
        <v>12369</v>
      </c>
      <c r="K3250" s="71"/>
      <c r="L3250" s="71"/>
      <c r="M3250" s="68" t="s">
        <v>166</v>
      </c>
      <c r="N3250" s="61"/>
      <c r="O3250" s="51"/>
    </row>
    <row r="3251">
      <c r="A3251" s="56">
        <v>3248.0</v>
      </c>
      <c r="B3251" s="71"/>
      <c r="C3251" s="69" t="s">
        <v>13286</v>
      </c>
      <c r="D3251" s="71"/>
      <c r="E3251" s="68" t="s">
        <v>13287</v>
      </c>
      <c r="F3251" s="76">
        <v>42466.0</v>
      </c>
      <c r="G3251" s="68" t="s">
        <v>13288</v>
      </c>
      <c r="H3251" s="71"/>
      <c r="I3251" s="66"/>
      <c r="J3251" s="68" t="s">
        <v>11266</v>
      </c>
      <c r="K3251" s="71"/>
      <c r="L3251" s="71"/>
      <c r="M3251" s="68" t="s">
        <v>166</v>
      </c>
      <c r="N3251" s="61"/>
      <c r="O3251" s="51"/>
    </row>
    <row r="3252">
      <c r="A3252" s="56">
        <v>3249.0</v>
      </c>
      <c r="B3252" s="71"/>
      <c r="C3252" s="69" t="s">
        <v>13289</v>
      </c>
      <c r="D3252" s="71"/>
      <c r="E3252" s="68" t="s">
        <v>13290</v>
      </c>
      <c r="F3252" s="76">
        <v>42466.0</v>
      </c>
      <c r="G3252" s="68" t="s">
        <v>13291</v>
      </c>
      <c r="H3252" s="71"/>
      <c r="I3252" s="66"/>
      <c r="J3252" s="68" t="s">
        <v>13292</v>
      </c>
      <c r="K3252" s="71"/>
      <c r="L3252" s="71"/>
      <c r="M3252" s="68" t="s">
        <v>166</v>
      </c>
      <c r="N3252" s="61"/>
      <c r="O3252" s="51"/>
    </row>
    <row r="3253">
      <c r="A3253" s="56">
        <v>3250.0</v>
      </c>
      <c r="B3253" s="71"/>
      <c r="C3253" s="69" t="s">
        <v>13293</v>
      </c>
      <c r="D3253" s="71"/>
      <c r="E3253" s="68" t="s">
        <v>13294</v>
      </c>
      <c r="F3253" s="76">
        <v>42345.0</v>
      </c>
      <c r="G3253" s="68" t="s">
        <v>13295</v>
      </c>
      <c r="H3253" s="71"/>
      <c r="I3253" s="63" t="s">
        <v>13296</v>
      </c>
      <c r="J3253" s="68" t="s">
        <v>13297</v>
      </c>
      <c r="K3253" s="71"/>
      <c r="L3253" s="71"/>
      <c r="M3253" s="68" t="s">
        <v>149</v>
      </c>
      <c r="N3253" s="61"/>
      <c r="O3253" s="51"/>
    </row>
    <row r="3254">
      <c r="A3254" s="56">
        <v>3251.0</v>
      </c>
      <c r="B3254" s="71"/>
      <c r="C3254" s="69" t="s">
        <v>13298</v>
      </c>
      <c r="D3254" s="71"/>
      <c r="E3254" s="68" t="s">
        <v>13299</v>
      </c>
      <c r="F3254" s="76">
        <v>42455.0</v>
      </c>
      <c r="G3254" s="68" t="s">
        <v>13300</v>
      </c>
      <c r="H3254" s="71"/>
      <c r="I3254" s="63" t="s">
        <v>13301</v>
      </c>
      <c r="J3254" s="68" t="s">
        <v>13302</v>
      </c>
      <c r="K3254" s="71"/>
      <c r="L3254" s="71"/>
      <c r="M3254" s="68" t="s">
        <v>13303</v>
      </c>
      <c r="N3254" s="61"/>
      <c r="O3254" s="51"/>
    </row>
    <row r="3255">
      <c r="A3255" s="56">
        <v>3252.0</v>
      </c>
      <c r="B3255" s="71"/>
      <c r="C3255" s="69" t="s">
        <v>13304</v>
      </c>
      <c r="D3255" s="71"/>
      <c r="E3255" s="68" t="s">
        <v>13305</v>
      </c>
      <c r="F3255" s="76">
        <v>42467.0</v>
      </c>
      <c r="G3255" s="68" t="s">
        <v>13306</v>
      </c>
      <c r="H3255" s="71"/>
      <c r="I3255" s="63" t="s">
        <v>635</v>
      </c>
      <c r="J3255" s="68" t="s">
        <v>13307</v>
      </c>
      <c r="K3255" s="71"/>
      <c r="L3255" s="71"/>
      <c r="M3255" s="68" t="s">
        <v>2748</v>
      </c>
      <c r="N3255" s="61"/>
      <c r="O3255" s="51"/>
    </row>
    <row r="3256">
      <c r="A3256" s="56">
        <v>3253.0</v>
      </c>
      <c r="B3256" s="71"/>
      <c r="C3256" s="69" t="s">
        <v>13308</v>
      </c>
      <c r="D3256" s="71"/>
      <c r="E3256" s="68" t="s">
        <v>13309</v>
      </c>
      <c r="F3256" s="76">
        <v>40427.0</v>
      </c>
      <c r="G3256" s="68" t="s">
        <v>13310</v>
      </c>
      <c r="H3256" s="71"/>
      <c r="I3256" s="68" t="s">
        <v>13311</v>
      </c>
      <c r="J3256" s="68" t="s">
        <v>13312</v>
      </c>
      <c r="K3256" s="71"/>
      <c r="L3256" s="71"/>
      <c r="M3256" s="68" t="s">
        <v>27</v>
      </c>
      <c r="N3256" s="61"/>
      <c r="O3256" s="51"/>
    </row>
    <row r="3257">
      <c r="A3257" s="56">
        <v>3254.0</v>
      </c>
      <c r="B3257" s="71"/>
      <c r="C3257" s="69" t="s">
        <v>13313</v>
      </c>
      <c r="D3257" s="71"/>
      <c r="E3257" s="68" t="s">
        <v>13314</v>
      </c>
      <c r="F3257" s="76">
        <v>42416.0</v>
      </c>
      <c r="G3257" s="68" t="s">
        <v>13315</v>
      </c>
      <c r="H3257" s="71"/>
      <c r="I3257" s="71"/>
      <c r="J3257" s="68" t="s">
        <v>13316</v>
      </c>
      <c r="K3257" s="71"/>
      <c r="L3257" s="71"/>
      <c r="M3257" s="68" t="s">
        <v>27</v>
      </c>
      <c r="N3257" s="61"/>
      <c r="O3257" s="51"/>
    </row>
    <row r="3258">
      <c r="A3258" s="56">
        <v>3255.0</v>
      </c>
      <c r="B3258" s="71"/>
      <c r="C3258" s="69" t="s">
        <v>13317</v>
      </c>
      <c r="D3258" s="71"/>
      <c r="E3258" s="68" t="s">
        <v>13318</v>
      </c>
      <c r="F3258" s="76">
        <v>42314.0</v>
      </c>
      <c r="G3258" s="68" t="s">
        <v>13319</v>
      </c>
      <c r="H3258" s="71"/>
      <c r="I3258" s="63" t="s">
        <v>635</v>
      </c>
      <c r="J3258" s="68" t="s">
        <v>13320</v>
      </c>
      <c r="K3258" s="71"/>
      <c r="L3258" s="71"/>
      <c r="M3258" s="68" t="s">
        <v>5707</v>
      </c>
      <c r="N3258" s="61"/>
      <c r="O3258" s="51"/>
    </row>
    <row r="3259">
      <c r="A3259" s="56">
        <v>3256.0</v>
      </c>
      <c r="B3259" s="66"/>
      <c r="C3259" s="64" t="s">
        <v>13321</v>
      </c>
      <c r="D3259" s="66"/>
      <c r="E3259" s="63" t="s">
        <v>13322</v>
      </c>
      <c r="F3259" s="63">
        <v>2014.0</v>
      </c>
      <c r="G3259" s="80" t="s">
        <v>13323</v>
      </c>
      <c r="H3259" s="82"/>
      <c r="I3259" s="63" t="s">
        <v>13324</v>
      </c>
      <c r="J3259" s="63" t="s">
        <v>1762</v>
      </c>
      <c r="K3259" s="66"/>
      <c r="L3259" s="66"/>
      <c r="M3259" s="63" t="s">
        <v>542</v>
      </c>
      <c r="N3259" s="61"/>
      <c r="O3259" s="51"/>
    </row>
    <row r="3260">
      <c r="A3260" s="56">
        <v>3257.0</v>
      </c>
      <c r="B3260" s="71"/>
      <c r="C3260" s="69" t="s">
        <v>13325</v>
      </c>
      <c r="D3260" s="71"/>
      <c r="E3260" s="68" t="s">
        <v>13326</v>
      </c>
      <c r="F3260" s="76">
        <v>42467.0</v>
      </c>
      <c r="G3260" s="68" t="s">
        <v>13327</v>
      </c>
      <c r="H3260" s="71"/>
      <c r="I3260" s="66"/>
      <c r="J3260" s="68" t="s">
        <v>9535</v>
      </c>
      <c r="K3260" s="71"/>
      <c r="L3260" s="71"/>
      <c r="M3260" s="68" t="s">
        <v>166</v>
      </c>
      <c r="N3260" s="61"/>
      <c r="O3260" s="51"/>
    </row>
    <row r="3261">
      <c r="A3261" s="56">
        <v>3258.0</v>
      </c>
      <c r="B3261" s="66"/>
      <c r="C3261" s="64" t="s">
        <v>13328</v>
      </c>
      <c r="D3261" s="66"/>
      <c r="E3261" s="63" t="s">
        <v>13329</v>
      </c>
      <c r="F3261" s="70">
        <v>41982.0</v>
      </c>
      <c r="G3261" s="80" t="s">
        <v>13330</v>
      </c>
      <c r="H3261" s="82"/>
      <c r="I3261" s="63" t="s">
        <v>635</v>
      </c>
      <c r="J3261" s="63" t="s">
        <v>6393</v>
      </c>
      <c r="K3261" s="66"/>
      <c r="L3261" s="63" t="s">
        <v>2743</v>
      </c>
      <c r="M3261" s="63" t="s">
        <v>195</v>
      </c>
      <c r="N3261" s="61"/>
      <c r="O3261" s="51"/>
    </row>
    <row r="3262">
      <c r="A3262" s="56">
        <v>3259.0</v>
      </c>
      <c r="B3262" s="66"/>
      <c r="C3262" s="64" t="s">
        <v>13331</v>
      </c>
      <c r="D3262" s="66"/>
      <c r="E3262" s="63" t="s">
        <v>13332</v>
      </c>
      <c r="F3262" s="70">
        <v>41440.0</v>
      </c>
      <c r="G3262" s="80" t="s">
        <v>13333</v>
      </c>
      <c r="H3262" s="82"/>
      <c r="I3262" s="63" t="s">
        <v>13334</v>
      </c>
      <c r="J3262" s="63" t="s">
        <v>13335</v>
      </c>
      <c r="K3262" s="66"/>
      <c r="L3262" s="63" t="s">
        <v>2743</v>
      </c>
      <c r="M3262" s="63" t="s">
        <v>27</v>
      </c>
      <c r="N3262" s="61"/>
      <c r="O3262" s="51"/>
    </row>
    <row r="3263">
      <c r="A3263" s="56">
        <v>3260.0</v>
      </c>
      <c r="B3263" s="71"/>
      <c r="C3263" s="69" t="s">
        <v>13336</v>
      </c>
      <c r="D3263" s="71"/>
      <c r="E3263" s="68" t="s">
        <v>13337</v>
      </c>
      <c r="F3263" s="76">
        <v>41758.0</v>
      </c>
      <c r="G3263" s="68" t="s">
        <v>13338</v>
      </c>
      <c r="H3263" s="71"/>
      <c r="I3263" s="63" t="s">
        <v>13339</v>
      </c>
      <c r="J3263" s="68" t="s">
        <v>13340</v>
      </c>
      <c r="K3263" s="71"/>
      <c r="L3263" s="68" t="s">
        <v>2743</v>
      </c>
      <c r="M3263" s="71"/>
      <c r="N3263" s="61"/>
      <c r="O3263" s="51"/>
    </row>
    <row r="3264">
      <c r="A3264" s="56">
        <v>3261.0</v>
      </c>
      <c r="B3264" s="66"/>
      <c r="C3264" s="64" t="s">
        <v>13341</v>
      </c>
      <c r="D3264" s="66"/>
      <c r="E3264" s="63" t="s">
        <v>13342</v>
      </c>
      <c r="F3264" s="70">
        <v>41781.0</v>
      </c>
      <c r="G3264" s="80" t="s">
        <v>13343</v>
      </c>
      <c r="H3264" s="82"/>
      <c r="I3264" s="63" t="s">
        <v>13344</v>
      </c>
      <c r="J3264" s="63" t="s">
        <v>2872</v>
      </c>
      <c r="K3264" s="66"/>
      <c r="L3264" s="63" t="s">
        <v>2743</v>
      </c>
      <c r="M3264" s="63" t="s">
        <v>125</v>
      </c>
      <c r="N3264" s="61"/>
      <c r="O3264" s="51"/>
    </row>
    <row r="3265">
      <c r="A3265" s="56">
        <v>3262.0</v>
      </c>
      <c r="B3265" s="71"/>
      <c r="C3265" s="69" t="s">
        <v>13345</v>
      </c>
      <c r="D3265" s="71"/>
      <c r="E3265" s="68" t="s">
        <v>13346</v>
      </c>
      <c r="F3265" s="76">
        <v>41902.0</v>
      </c>
      <c r="G3265" s="68" t="s">
        <v>13347</v>
      </c>
      <c r="H3265" s="71"/>
      <c r="I3265" s="68" t="s">
        <v>13348</v>
      </c>
      <c r="J3265" s="87" t="s">
        <v>13349</v>
      </c>
      <c r="K3265" s="71"/>
      <c r="L3265" s="68" t="s">
        <v>2743</v>
      </c>
      <c r="M3265" s="68" t="s">
        <v>201</v>
      </c>
      <c r="N3265" s="77"/>
      <c r="O3265" s="51"/>
    </row>
    <row r="3266">
      <c r="A3266" s="56">
        <v>3263.0</v>
      </c>
      <c r="B3266" s="71"/>
      <c r="C3266" s="69" t="s">
        <v>13350</v>
      </c>
      <c r="D3266" s="71"/>
      <c r="E3266" s="68" t="s">
        <v>13351</v>
      </c>
      <c r="F3266" s="76">
        <v>41721.0</v>
      </c>
      <c r="G3266" s="68" t="s">
        <v>13352</v>
      </c>
      <c r="H3266" s="71"/>
      <c r="I3266" s="63" t="s">
        <v>13353</v>
      </c>
      <c r="J3266" s="68" t="s">
        <v>13354</v>
      </c>
      <c r="K3266" s="71"/>
      <c r="L3266" s="68" t="s">
        <v>2743</v>
      </c>
      <c r="M3266" s="104"/>
      <c r="N3266" s="105"/>
      <c r="O3266" s="51"/>
    </row>
    <row r="3267">
      <c r="A3267" s="56">
        <v>3264.0</v>
      </c>
      <c r="B3267" s="82"/>
      <c r="C3267" s="79" t="s">
        <v>13355</v>
      </c>
      <c r="D3267" s="82"/>
      <c r="E3267" s="80" t="s">
        <v>13356</v>
      </c>
      <c r="F3267" s="81">
        <v>42378.0</v>
      </c>
      <c r="G3267" s="80" t="s">
        <v>13357</v>
      </c>
      <c r="H3267" s="82"/>
      <c r="I3267" s="82"/>
      <c r="J3267" s="80" t="s">
        <v>13358</v>
      </c>
      <c r="K3267" s="82"/>
      <c r="L3267" s="80" t="s">
        <v>2743</v>
      </c>
      <c r="M3267" s="224" t="s">
        <v>27</v>
      </c>
      <c r="N3267" s="61"/>
      <c r="O3267" s="51"/>
    </row>
    <row r="3268">
      <c r="A3268" s="56">
        <v>3265.0</v>
      </c>
      <c r="B3268" s="71"/>
      <c r="C3268" s="69" t="s">
        <v>13359</v>
      </c>
      <c r="D3268" s="71"/>
      <c r="E3268" s="68" t="s">
        <v>13360</v>
      </c>
      <c r="F3268" s="76">
        <v>42488.0</v>
      </c>
      <c r="G3268" s="68" t="s">
        <v>13361</v>
      </c>
      <c r="H3268" s="71"/>
      <c r="I3268" s="63" t="s">
        <v>13362</v>
      </c>
      <c r="J3268" s="68" t="s">
        <v>13363</v>
      </c>
      <c r="K3268" s="71"/>
      <c r="L3268" s="68" t="s">
        <v>2743</v>
      </c>
      <c r="M3268" s="104"/>
      <c r="N3268" s="105"/>
      <c r="O3268" s="51"/>
    </row>
    <row r="3269">
      <c r="A3269" s="56">
        <v>3266.0</v>
      </c>
      <c r="B3269" s="66"/>
      <c r="C3269" s="64" t="s">
        <v>13364</v>
      </c>
      <c r="D3269" s="66"/>
      <c r="E3269" s="63" t="s">
        <v>13365</v>
      </c>
      <c r="F3269" s="70">
        <v>42416.0</v>
      </c>
      <c r="G3269" s="80" t="s">
        <v>13366</v>
      </c>
      <c r="H3269" s="82"/>
      <c r="I3269" s="63" t="s">
        <v>13367</v>
      </c>
      <c r="J3269" s="63" t="s">
        <v>10817</v>
      </c>
      <c r="K3269" s="66"/>
      <c r="L3269" s="63" t="s">
        <v>2743</v>
      </c>
      <c r="M3269" s="74" t="s">
        <v>31</v>
      </c>
      <c r="N3269" s="61"/>
      <c r="O3269" s="51"/>
    </row>
    <row r="3270">
      <c r="A3270" s="56">
        <v>3267.0</v>
      </c>
      <c r="B3270" s="66"/>
      <c r="C3270" s="64" t="s">
        <v>13368</v>
      </c>
      <c r="D3270" s="66"/>
      <c r="E3270" s="63" t="s">
        <v>13369</v>
      </c>
      <c r="F3270" s="70">
        <v>42416.0</v>
      </c>
      <c r="G3270" s="80" t="s">
        <v>13366</v>
      </c>
      <c r="H3270" s="82"/>
      <c r="I3270" s="63" t="s">
        <v>13367</v>
      </c>
      <c r="J3270" s="63" t="s">
        <v>10817</v>
      </c>
      <c r="K3270" s="66"/>
      <c r="L3270" s="63" t="s">
        <v>2743</v>
      </c>
      <c r="M3270" s="63" t="s">
        <v>31</v>
      </c>
      <c r="N3270" s="61"/>
      <c r="O3270" s="51"/>
    </row>
    <row r="3271">
      <c r="A3271" s="56">
        <v>3268.0</v>
      </c>
      <c r="B3271" s="71"/>
      <c r="C3271" s="69" t="s">
        <v>13370</v>
      </c>
      <c r="D3271" s="71"/>
      <c r="E3271" s="68" t="s">
        <v>13371</v>
      </c>
      <c r="F3271" s="76">
        <v>42489.0</v>
      </c>
      <c r="G3271" s="68" t="s">
        <v>13372</v>
      </c>
      <c r="H3271" s="71"/>
      <c r="I3271" s="66"/>
      <c r="J3271" s="68" t="s">
        <v>13373</v>
      </c>
      <c r="K3271" s="71"/>
      <c r="L3271" s="68" t="s">
        <v>2743</v>
      </c>
      <c r="M3271" s="68" t="s">
        <v>2748</v>
      </c>
      <c r="N3271" s="61"/>
      <c r="O3271" s="51"/>
    </row>
    <row r="3272">
      <c r="A3272" s="56">
        <v>3269.0</v>
      </c>
      <c r="B3272" s="71"/>
      <c r="C3272" s="69" t="s">
        <v>13374</v>
      </c>
      <c r="D3272" s="71"/>
      <c r="E3272" s="68" t="s">
        <v>13375</v>
      </c>
      <c r="F3272" s="76">
        <v>42489.0</v>
      </c>
      <c r="G3272" s="68" t="s">
        <v>13372</v>
      </c>
      <c r="H3272" s="71"/>
      <c r="I3272" s="66"/>
      <c r="J3272" s="68" t="s">
        <v>13373</v>
      </c>
      <c r="K3272" s="71"/>
      <c r="L3272" s="68" t="s">
        <v>2743</v>
      </c>
      <c r="M3272" s="68" t="s">
        <v>2748</v>
      </c>
      <c r="N3272" s="61"/>
      <c r="O3272" s="51"/>
    </row>
    <row r="3273">
      <c r="A3273" s="56">
        <v>3270.0</v>
      </c>
      <c r="B3273" s="71"/>
      <c r="C3273" s="69" t="s">
        <v>13376</v>
      </c>
      <c r="D3273" s="71"/>
      <c r="E3273" s="68" t="s">
        <v>13377</v>
      </c>
      <c r="F3273" s="76">
        <v>41975.0</v>
      </c>
      <c r="G3273" s="68" t="s">
        <v>13378</v>
      </c>
      <c r="H3273" s="71"/>
      <c r="I3273" s="63" t="s">
        <v>13379</v>
      </c>
      <c r="J3273" s="68" t="s">
        <v>13380</v>
      </c>
      <c r="K3273" s="71"/>
      <c r="L3273" s="68" t="s">
        <v>2743</v>
      </c>
      <c r="M3273" s="68" t="s">
        <v>5712</v>
      </c>
      <c r="N3273" s="61"/>
      <c r="O3273" s="51"/>
    </row>
    <row r="3274">
      <c r="A3274" s="56">
        <v>3271.0</v>
      </c>
      <c r="B3274" s="71"/>
      <c r="C3274" s="69" t="s">
        <v>13381</v>
      </c>
      <c r="D3274" s="71"/>
      <c r="E3274" s="68" t="s">
        <v>13382</v>
      </c>
      <c r="F3274" s="68">
        <v>2009.0</v>
      </c>
      <c r="G3274" s="68" t="s">
        <v>13383</v>
      </c>
      <c r="H3274" s="71"/>
      <c r="I3274" s="68" t="s">
        <v>13384</v>
      </c>
      <c r="J3274" s="68" t="s">
        <v>2774</v>
      </c>
      <c r="K3274" s="71"/>
      <c r="L3274" s="68" t="s">
        <v>2743</v>
      </c>
      <c r="M3274" s="68" t="s">
        <v>368</v>
      </c>
      <c r="N3274" s="61"/>
      <c r="O3274" s="51"/>
    </row>
    <row r="3275">
      <c r="A3275" s="56">
        <v>3272.0</v>
      </c>
      <c r="B3275" s="66"/>
      <c r="C3275" s="64" t="s">
        <v>13385</v>
      </c>
      <c r="D3275" s="66"/>
      <c r="E3275" s="63" t="s">
        <v>13386</v>
      </c>
      <c r="F3275" s="182">
        <v>40634.0</v>
      </c>
      <c r="G3275" s="80" t="s">
        <v>13387</v>
      </c>
      <c r="H3275" s="80" t="s">
        <v>13388</v>
      </c>
      <c r="I3275" s="66"/>
      <c r="J3275" s="63" t="s">
        <v>4213</v>
      </c>
      <c r="K3275" s="66"/>
      <c r="L3275" s="63" t="s">
        <v>2743</v>
      </c>
      <c r="M3275" s="63" t="s">
        <v>4001</v>
      </c>
      <c r="N3275" s="61"/>
      <c r="O3275" s="51"/>
    </row>
    <row r="3276">
      <c r="A3276" s="56">
        <v>3273.0</v>
      </c>
      <c r="B3276" s="71"/>
      <c r="C3276" s="69" t="s">
        <v>13389</v>
      </c>
      <c r="D3276" s="71"/>
      <c r="E3276" s="68" t="s">
        <v>13390</v>
      </c>
      <c r="F3276" s="76">
        <v>41810.0</v>
      </c>
      <c r="G3276" s="68" t="s">
        <v>13387</v>
      </c>
      <c r="H3276" s="68" t="s">
        <v>13391</v>
      </c>
      <c r="I3276" s="68" t="s">
        <v>13392</v>
      </c>
      <c r="J3276" s="100" t="s">
        <v>13393</v>
      </c>
      <c r="K3276" s="101"/>
      <c r="L3276" s="68" t="s">
        <v>2743</v>
      </c>
      <c r="M3276" s="68" t="s">
        <v>403</v>
      </c>
      <c r="N3276" s="61"/>
      <c r="O3276" s="51"/>
    </row>
    <row r="3277">
      <c r="A3277" s="56">
        <v>3274.0</v>
      </c>
      <c r="B3277" s="71"/>
      <c r="C3277" s="69" t="s">
        <v>13394</v>
      </c>
      <c r="D3277" s="71"/>
      <c r="E3277" s="68" t="s">
        <v>13395</v>
      </c>
      <c r="F3277" s="76">
        <v>42472.0</v>
      </c>
      <c r="G3277" s="68" t="s">
        <v>13396</v>
      </c>
      <c r="H3277" s="82"/>
      <c r="I3277" s="68" t="s">
        <v>13397</v>
      </c>
      <c r="J3277" s="68" t="s">
        <v>13398</v>
      </c>
      <c r="K3277" s="71"/>
      <c r="L3277" s="68" t="s">
        <v>2743</v>
      </c>
      <c r="M3277" s="68" t="s">
        <v>2291</v>
      </c>
      <c r="N3277" s="77"/>
      <c r="O3277" s="51"/>
    </row>
    <row r="3278">
      <c r="A3278" s="56">
        <v>3275.0</v>
      </c>
      <c r="B3278" s="71"/>
      <c r="C3278" s="69" t="s">
        <v>13399</v>
      </c>
      <c r="D3278" s="71"/>
      <c r="E3278" s="68" t="s">
        <v>13400</v>
      </c>
      <c r="F3278" s="76">
        <v>42449.0</v>
      </c>
      <c r="G3278" s="68" t="s">
        <v>13401</v>
      </c>
      <c r="H3278" s="71"/>
      <c r="I3278" s="63" t="s">
        <v>13402</v>
      </c>
      <c r="J3278" s="68" t="s">
        <v>13403</v>
      </c>
      <c r="K3278" s="71"/>
      <c r="L3278" s="68" t="s">
        <v>2743</v>
      </c>
      <c r="M3278" s="68" t="s">
        <v>143</v>
      </c>
      <c r="N3278" s="61"/>
      <c r="O3278" s="51"/>
    </row>
    <row r="3279">
      <c r="A3279" s="56">
        <v>3276.0</v>
      </c>
      <c r="B3279" s="71"/>
      <c r="C3279" s="69" t="s">
        <v>13404</v>
      </c>
      <c r="D3279" s="71"/>
      <c r="E3279" s="68" t="s">
        <v>13405</v>
      </c>
      <c r="F3279" s="76">
        <v>42254.0</v>
      </c>
      <c r="G3279" s="68" t="s">
        <v>13406</v>
      </c>
      <c r="H3279" s="71"/>
      <c r="I3279" s="63" t="s">
        <v>13407</v>
      </c>
      <c r="J3279" s="68" t="s">
        <v>13408</v>
      </c>
      <c r="K3279" s="71"/>
      <c r="L3279" s="68" t="s">
        <v>2743</v>
      </c>
      <c r="M3279" s="71"/>
      <c r="N3279" s="61"/>
      <c r="O3279" s="51"/>
    </row>
    <row r="3280">
      <c r="A3280" s="56">
        <v>3277.0</v>
      </c>
      <c r="B3280" s="71"/>
      <c r="C3280" s="69" t="s">
        <v>13409</v>
      </c>
      <c r="D3280" s="71"/>
      <c r="E3280" s="68" t="s">
        <v>13410</v>
      </c>
      <c r="F3280" s="76">
        <v>42242.0</v>
      </c>
      <c r="G3280" s="68" t="s">
        <v>13411</v>
      </c>
      <c r="H3280" s="71"/>
      <c r="I3280" s="63" t="s">
        <v>13412</v>
      </c>
      <c r="J3280" s="68" t="s">
        <v>13413</v>
      </c>
      <c r="K3280" s="71"/>
      <c r="L3280" s="68" t="s">
        <v>2743</v>
      </c>
      <c r="M3280" s="68" t="s">
        <v>166</v>
      </c>
      <c r="N3280" s="61"/>
      <c r="O3280" s="51"/>
    </row>
    <row r="3281">
      <c r="A3281" s="56">
        <v>3278.0</v>
      </c>
      <c r="B3281" s="71"/>
      <c r="C3281" s="69" t="s">
        <v>13414</v>
      </c>
      <c r="D3281" s="71"/>
      <c r="E3281" s="68" t="s">
        <v>13415</v>
      </c>
      <c r="F3281" s="76">
        <v>42402.0</v>
      </c>
      <c r="G3281" s="68" t="s">
        <v>13416</v>
      </c>
      <c r="H3281" s="71"/>
      <c r="I3281" s="66"/>
      <c r="J3281" s="68" t="s">
        <v>9535</v>
      </c>
      <c r="K3281" s="71"/>
      <c r="L3281" s="68" t="s">
        <v>2743</v>
      </c>
      <c r="M3281" s="68" t="s">
        <v>166</v>
      </c>
      <c r="N3281" s="61"/>
      <c r="O3281" s="51"/>
    </row>
    <row r="3282">
      <c r="A3282" s="56">
        <v>3279.0</v>
      </c>
      <c r="B3282" s="71"/>
      <c r="C3282" s="69" t="s">
        <v>13417</v>
      </c>
      <c r="D3282" s="71"/>
      <c r="E3282" s="68" t="s">
        <v>13418</v>
      </c>
      <c r="F3282" s="76">
        <v>42403.0</v>
      </c>
      <c r="G3282" s="68" t="s">
        <v>13419</v>
      </c>
      <c r="H3282" s="71"/>
      <c r="I3282" s="68" t="s">
        <v>13420</v>
      </c>
      <c r="J3282" s="68" t="s">
        <v>13421</v>
      </c>
      <c r="K3282" s="71"/>
      <c r="L3282" s="68" t="s">
        <v>2743</v>
      </c>
      <c r="M3282" s="68" t="s">
        <v>149</v>
      </c>
      <c r="N3282" s="61"/>
      <c r="O3282" s="51"/>
    </row>
    <row r="3283">
      <c r="A3283" s="56">
        <v>3280.0</v>
      </c>
      <c r="B3283" s="71"/>
      <c r="C3283" s="69" t="s">
        <v>13422</v>
      </c>
      <c r="D3283" s="71"/>
      <c r="E3283" s="68" t="s">
        <v>13284</v>
      </c>
      <c r="F3283" s="76">
        <v>42465.0</v>
      </c>
      <c r="G3283" s="68" t="s">
        <v>13423</v>
      </c>
      <c r="H3283" s="71"/>
      <c r="I3283" s="66"/>
      <c r="J3283" s="68" t="s">
        <v>11266</v>
      </c>
      <c r="K3283" s="76">
        <v>42507.0</v>
      </c>
      <c r="L3283" s="68" t="s">
        <v>13424</v>
      </c>
      <c r="M3283" s="68" t="s">
        <v>166</v>
      </c>
      <c r="N3283" s="61"/>
      <c r="O3283" s="51"/>
    </row>
    <row r="3284">
      <c r="A3284" s="56">
        <v>3281.0</v>
      </c>
      <c r="B3284" s="71"/>
      <c r="C3284" s="69" t="s">
        <v>13425</v>
      </c>
      <c r="D3284" s="71"/>
      <c r="E3284" s="68" t="s">
        <v>13426</v>
      </c>
      <c r="F3284" s="76">
        <v>42466.0</v>
      </c>
      <c r="G3284" s="68" t="s">
        <v>13427</v>
      </c>
      <c r="H3284" s="71"/>
      <c r="I3284" s="66"/>
      <c r="J3284" s="68" t="s">
        <v>9535</v>
      </c>
      <c r="K3284" s="76">
        <v>42507.0</v>
      </c>
      <c r="L3284" s="68" t="s">
        <v>13424</v>
      </c>
      <c r="M3284" s="68" t="s">
        <v>166</v>
      </c>
      <c r="N3284" s="61"/>
      <c r="O3284" s="51"/>
    </row>
    <row r="3285">
      <c r="A3285" s="56">
        <v>3282.0</v>
      </c>
      <c r="B3285" s="71"/>
      <c r="C3285" s="69" t="s">
        <v>13428</v>
      </c>
      <c r="D3285" s="71"/>
      <c r="E3285" s="68" t="s">
        <v>13429</v>
      </c>
      <c r="F3285" s="76">
        <v>42473.0</v>
      </c>
      <c r="G3285" s="68" t="s">
        <v>13430</v>
      </c>
      <c r="H3285" s="71"/>
      <c r="I3285" s="66"/>
      <c r="J3285" s="68" t="s">
        <v>12369</v>
      </c>
      <c r="K3285" s="76">
        <v>42507.0</v>
      </c>
      <c r="L3285" s="68" t="s">
        <v>13424</v>
      </c>
      <c r="M3285" s="68" t="s">
        <v>166</v>
      </c>
      <c r="N3285" s="61"/>
      <c r="O3285" s="51"/>
    </row>
    <row r="3286">
      <c r="A3286" s="56">
        <v>3283.0</v>
      </c>
      <c r="B3286" s="71"/>
      <c r="C3286" s="69" t="s">
        <v>13431</v>
      </c>
      <c r="D3286" s="71"/>
      <c r="E3286" s="68" t="s">
        <v>13432</v>
      </c>
      <c r="F3286" s="76">
        <v>42473.0</v>
      </c>
      <c r="G3286" s="68" t="s">
        <v>13433</v>
      </c>
      <c r="H3286" s="71"/>
      <c r="I3286" s="66"/>
      <c r="J3286" s="68" t="s">
        <v>13434</v>
      </c>
      <c r="K3286" s="76">
        <v>42507.0</v>
      </c>
      <c r="L3286" s="68" t="s">
        <v>13424</v>
      </c>
      <c r="M3286" s="68" t="s">
        <v>166</v>
      </c>
      <c r="N3286" s="61"/>
      <c r="O3286" s="51"/>
    </row>
    <row r="3287">
      <c r="A3287" s="56">
        <v>3284.0</v>
      </c>
      <c r="B3287" s="71"/>
      <c r="C3287" s="69" t="s">
        <v>13435</v>
      </c>
      <c r="D3287" s="71"/>
      <c r="E3287" s="68" t="s">
        <v>13436</v>
      </c>
      <c r="F3287" s="76">
        <v>42474.0</v>
      </c>
      <c r="G3287" s="68" t="s">
        <v>13437</v>
      </c>
      <c r="H3287" s="71"/>
      <c r="I3287" s="63" t="s">
        <v>635</v>
      </c>
      <c r="J3287" s="68" t="s">
        <v>13438</v>
      </c>
      <c r="K3287" s="76">
        <v>42507.0</v>
      </c>
      <c r="L3287" s="68" t="s">
        <v>13424</v>
      </c>
      <c r="M3287" s="68" t="s">
        <v>166</v>
      </c>
      <c r="N3287" s="61"/>
      <c r="O3287" s="51"/>
    </row>
    <row r="3288">
      <c r="A3288" s="56">
        <v>3285.0</v>
      </c>
      <c r="B3288" s="71"/>
      <c r="C3288" s="69" t="s">
        <v>13439</v>
      </c>
      <c r="D3288" s="71"/>
      <c r="E3288" s="68" t="s">
        <v>13440</v>
      </c>
      <c r="F3288" s="76">
        <v>42535.0</v>
      </c>
      <c r="G3288" s="68" t="s">
        <v>13441</v>
      </c>
      <c r="H3288" s="71"/>
      <c r="I3288" s="66"/>
      <c r="J3288" s="68" t="s">
        <v>9535</v>
      </c>
      <c r="K3288" s="76">
        <v>42507.0</v>
      </c>
      <c r="L3288" s="68" t="s">
        <v>13424</v>
      </c>
      <c r="M3288" s="68" t="s">
        <v>166</v>
      </c>
      <c r="N3288" s="61"/>
      <c r="O3288" s="51"/>
    </row>
    <row r="3289">
      <c r="A3289" s="56">
        <v>3286.0</v>
      </c>
      <c r="B3289" s="71"/>
      <c r="C3289" s="69" t="s">
        <v>13442</v>
      </c>
      <c r="D3289" s="71"/>
      <c r="E3289" s="68" t="s">
        <v>13443</v>
      </c>
      <c r="F3289" s="76">
        <v>42535.0</v>
      </c>
      <c r="G3289" s="68" t="s">
        <v>13444</v>
      </c>
      <c r="H3289" s="71"/>
      <c r="I3289" s="66"/>
      <c r="J3289" s="68" t="s">
        <v>13445</v>
      </c>
      <c r="K3289" s="76">
        <v>42507.0</v>
      </c>
      <c r="L3289" s="68" t="s">
        <v>13424</v>
      </c>
      <c r="M3289" s="104"/>
      <c r="N3289" s="105"/>
      <c r="O3289" s="51"/>
    </row>
    <row r="3290">
      <c r="A3290" s="56">
        <v>3287.0</v>
      </c>
      <c r="B3290" s="71"/>
      <c r="C3290" s="69" t="s">
        <v>13446</v>
      </c>
      <c r="D3290" s="71"/>
      <c r="E3290" s="68" t="s">
        <v>13447</v>
      </c>
      <c r="F3290" s="76">
        <v>42475.0</v>
      </c>
      <c r="G3290" s="68" t="s">
        <v>13448</v>
      </c>
      <c r="H3290" s="71"/>
      <c r="I3290" s="63" t="s">
        <v>635</v>
      </c>
      <c r="J3290" s="68" t="s">
        <v>6778</v>
      </c>
      <c r="K3290" s="76">
        <v>42507.0</v>
      </c>
      <c r="L3290" s="68" t="s">
        <v>13424</v>
      </c>
      <c r="M3290" s="104"/>
      <c r="N3290" s="105"/>
      <c r="O3290" s="51"/>
    </row>
    <row r="3291">
      <c r="A3291" s="56">
        <v>3288.0</v>
      </c>
      <c r="B3291" s="71"/>
      <c r="C3291" s="69" t="s">
        <v>13449</v>
      </c>
      <c r="D3291" s="71"/>
      <c r="E3291" s="68" t="s">
        <v>13450</v>
      </c>
      <c r="F3291" s="76">
        <v>42475.0</v>
      </c>
      <c r="G3291" s="68" t="s">
        <v>13451</v>
      </c>
      <c r="H3291" s="71"/>
      <c r="I3291" s="63" t="s">
        <v>635</v>
      </c>
      <c r="J3291" s="68" t="s">
        <v>6778</v>
      </c>
      <c r="K3291" s="76">
        <v>42507.0</v>
      </c>
      <c r="L3291" s="68" t="s">
        <v>13424</v>
      </c>
      <c r="M3291" s="104"/>
      <c r="N3291" s="105"/>
      <c r="O3291" s="51"/>
    </row>
    <row r="3292">
      <c r="A3292" s="56">
        <v>3289.0</v>
      </c>
      <c r="B3292" s="71"/>
      <c r="C3292" s="69" t="s">
        <v>13452</v>
      </c>
      <c r="D3292" s="71"/>
      <c r="E3292" s="68" t="s">
        <v>13453</v>
      </c>
      <c r="F3292" s="76">
        <v>42475.0</v>
      </c>
      <c r="G3292" s="68" t="s">
        <v>13454</v>
      </c>
      <c r="H3292" s="71"/>
      <c r="I3292" s="63" t="s">
        <v>635</v>
      </c>
      <c r="J3292" s="68" t="s">
        <v>6778</v>
      </c>
      <c r="K3292" s="76">
        <v>42507.0</v>
      </c>
      <c r="L3292" s="68" t="s">
        <v>13424</v>
      </c>
      <c r="M3292" s="104"/>
      <c r="N3292" s="105"/>
      <c r="O3292" s="51"/>
    </row>
    <row r="3293">
      <c r="A3293" s="56">
        <v>3290.0</v>
      </c>
      <c r="B3293" s="71"/>
      <c r="C3293" s="69" t="s">
        <v>13455</v>
      </c>
      <c r="D3293" s="71"/>
      <c r="E3293" s="68" t="s">
        <v>13456</v>
      </c>
      <c r="F3293" s="76">
        <v>42475.0</v>
      </c>
      <c r="G3293" s="68" t="s">
        <v>13457</v>
      </c>
      <c r="H3293" s="71"/>
      <c r="I3293" s="66"/>
      <c r="J3293" s="68" t="s">
        <v>9535</v>
      </c>
      <c r="K3293" s="76">
        <v>42507.0</v>
      </c>
      <c r="L3293" s="68" t="s">
        <v>13424</v>
      </c>
      <c r="M3293" s="128" t="s">
        <v>166</v>
      </c>
      <c r="N3293" s="61"/>
      <c r="O3293" s="51"/>
    </row>
    <row r="3294">
      <c r="A3294" s="56">
        <v>3291.0</v>
      </c>
      <c r="B3294" s="71"/>
      <c r="C3294" s="69" t="s">
        <v>13458</v>
      </c>
      <c r="D3294" s="71"/>
      <c r="E3294" s="68" t="s">
        <v>13459</v>
      </c>
      <c r="F3294" s="76">
        <v>42475.0</v>
      </c>
      <c r="G3294" s="68" t="s">
        <v>13460</v>
      </c>
      <c r="H3294" s="71"/>
      <c r="I3294" s="63" t="s">
        <v>635</v>
      </c>
      <c r="J3294" s="68" t="s">
        <v>13461</v>
      </c>
      <c r="K3294" s="76">
        <v>42507.0</v>
      </c>
      <c r="L3294" s="68" t="s">
        <v>13424</v>
      </c>
      <c r="M3294" s="68" t="s">
        <v>166</v>
      </c>
      <c r="N3294" s="61"/>
      <c r="O3294" s="51"/>
    </row>
    <row r="3295">
      <c r="A3295" s="56">
        <v>3292.0</v>
      </c>
      <c r="B3295" s="71"/>
      <c r="C3295" s="69" t="s">
        <v>13462</v>
      </c>
      <c r="D3295" s="71"/>
      <c r="E3295" s="68" t="s">
        <v>13463</v>
      </c>
      <c r="F3295" s="76">
        <v>42475.0</v>
      </c>
      <c r="G3295" s="68" t="s">
        <v>13464</v>
      </c>
      <c r="H3295" s="71"/>
      <c r="I3295" s="66"/>
      <c r="J3295" s="68" t="s">
        <v>13465</v>
      </c>
      <c r="K3295" s="76">
        <v>42507.0</v>
      </c>
      <c r="L3295" s="68" t="s">
        <v>13424</v>
      </c>
      <c r="M3295" s="68" t="s">
        <v>166</v>
      </c>
      <c r="N3295" s="61"/>
      <c r="O3295" s="51"/>
    </row>
    <row r="3296">
      <c r="A3296" s="56">
        <v>3293.0</v>
      </c>
      <c r="B3296" s="71"/>
      <c r="C3296" s="69" t="s">
        <v>13466</v>
      </c>
      <c r="D3296" s="71"/>
      <c r="E3296" s="68" t="s">
        <v>13467</v>
      </c>
      <c r="F3296" s="76">
        <v>42475.0</v>
      </c>
      <c r="G3296" s="68" t="s">
        <v>13468</v>
      </c>
      <c r="H3296" s="71"/>
      <c r="I3296" s="63" t="s">
        <v>635</v>
      </c>
      <c r="J3296" s="68" t="s">
        <v>9901</v>
      </c>
      <c r="K3296" s="76">
        <v>42507.0</v>
      </c>
      <c r="L3296" s="68" t="s">
        <v>13424</v>
      </c>
      <c r="M3296" s="104"/>
      <c r="N3296" s="105"/>
      <c r="O3296" s="51"/>
    </row>
    <row r="3297">
      <c r="A3297" s="56">
        <v>3294.0</v>
      </c>
      <c r="B3297" s="71"/>
      <c r="C3297" s="69" t="s">
        <v>13469</v>
      </c>
      <c r="D3297" s="71"/>
      <c r="E3297" s="68" t="s">
        <v>13470</v>
      </c>
      <c r="F3297" s="76">
        <v>42476.0</v>
      </c>
      <c r="G3297" s="68" t="s">
        <v>13471</v>
      </c>
      <c r="H3297" s="71"/>
      <c r="I3297" s="66"/>
      <c r="J3297" s="68" t="s">
        <v>11266</v>
      </c>
      <c r="K3297" s="76">
        <v>42507.0</v>
      </c>
      <c r="L3297" s="68" t="s">
        <v>13424</v>
      </c>
      <c r="M3297" s="128" t="s">
        <v>166</v>
      </c>
      <c r="N3297" s="61"/>
      <c r="O3297" s="51"/>
    </row>
    <row r="3298">
      <c r="A3298" s="56">
        <v>3295.0</v>
      </c>
      <c r="B3298" s="71"/>
      <c r="C3298" s="69" t="s">
        <v>13472</v>
      </c>
      <c r="D3298" s="71"/>
      <c r="E3298" s="68" t="s">
        <v>13473</v>
      </c>
      <c r="F3298" s="76">
        <v>42476.0</v>
      </c>
      <c r="G3298" s="68" t="s">
        <v>13474</v>
      </c>
      <c r="H3298" s="71"/>
      <c r="I3298" s="66"/>
      <c r="J3298" s="68" t="s">
        <v>13434</v>
      </c>
      <c r="K3298" s="76">
        <v>42507.0</v>
      </c>
      <c r="L3298" s="68" t="s">
        <v>13424</v>
      </c>
      <c r="M3298" s="68" t="s">
        <v>166</v>
      </c>
      <c r="N3298" s="61"/>
      <c r="O3298" s="51"/>
    </row>
    <row r="3299">
      <c r="A3299" s="56">
        <v>3296.0</v>
      </c>
      <c r="B3299" s="71"/>
      <c r="C3299" s="69" t="s">
        <v>13475</v>
      </c>
      <c r="D3299" s="71"/>
      <c r="E3299" s="68" t="s">
        <v>13476</v>
      </c>
      <c r="F3299" s="76">
        <v>42476.0</v>
      </c>
      <c r="G3299" s="68" t="s">
        <v>13477</v>
      </c>
      <c r="H3299" s="71"/>
      <c r="I3299" s="66"/>
      <c r="J3299" s="68" t="s">
        <v>9535</v>
      </c>
      <c r="K3299" s="76">
        <v>42507.0</v>
      </c>
      <c r="L3299" s="68" t="s">
        <v>13424</v>
      </c>
      <c r="M3299" s="68" t="s">
        <v>166</v>
      </c>
      <c r="N3299" s="61"/>
      <c r="O3299" s="51"/>
    </row>
    <row r="3300">
      <c r="A3300" s="56">
        <v>3297.0</v>
      </c>
      <c r="B3300" s="71"/>
      <c r="C3300" s="69" t="s">
        <v>13478</v>
      </c>
      <c r="D3300" s="71"/>
      <c r="E3300" s="68" t="s">
        <v>13479</v>
      </c>
      <c r="F3300" s="76">
        <v>42476.0</v>
      </c>
      <c r="G3300" s="68" t="s">
        <v>13480</v>
      </c>
      <c r="H3300" s="71"/>
      <c r="I3300" s="63" t="s">
        <v>635</v>
      </c>
      <c r="J3300" s="68" t="s">
        <v>6973</v>
      </c>
      <c r="K3300" s="76">
        <v>42507.0</v>
      </c>
      <c r="L3300" s="68" t="s">
        <v>13424</v>
      </c>
      <c r="M3300" s="68" t="s">
        <v>166</v>
      </c>
      <c r="N3300" s="61"/>
      <c r="O3300" s="51"/>
    </row>
    <row r="3301">
      <c r="A3301" s="56">
        <v>3298.0</v>
      </c>
      <c r="B3301" s="71"/>
      <c r="C3301" s="69" t="s">
        <v>13481</v>
      </c>
      <c r="D3301" s="71"/>
      <c r="E3301" s="68" t="s">
        <v>13482</v>
      </c>
      <c r="F3301" s="76">
        <v>42476.0</v>
      </c>
      <c r="G3301" s="68" t="s">
        <v>13483</v>
      </c>
      <c r="H3301" s="71"/>
      <c r="I3301" s="63" t="s">
        <v>635</v>
      </c>
      <c r="J3301" s="68" t="s">
        <v>6973</v>
      </c>
      <c r="K3301" s="76">
        <v>42507.0</v>
      </c>
      <c r="L3301" s="68" t="s">
        <v>13424</v>
      </c>
      <c r="M3301" s="68" t="s">
        <v>166</v>
      </c>
      <c r="N3301" s="61"/>
      <c r="O3301" s="51"/>
    </row>
    <row r="3302">
      <c r="A3302" s="56">
        <v>3299.0</v>
      </c>
      <c r="B3302" s="71"/>
      <c r="C3302" s="69" t="s">
        <v>13484</v>
      </c>
      <c r="D3302" s="71"/>
      <c r="E3302" s="68" t="s">
        <v>13485</v>
      </c>
      <c r="F3302" s="76">
        <v>42478.0</v>
      </c>
      <c r="G3302" s="68" t="s">
        <v>13486</v>
      </c>
      <c r="H3302" s="71"/>
      <c r="I3302" s="66"/>
      <c r="J3302" s="68" t="s">
        <v>9968</v>
      </c>
      <c r="K3302" s="76">
        <v>42507.0</v>
      </c>
      <c r="L3302" s="68" t="s">
        <v>13424</v>
      </c>
      <c r="M3302" s="68" t="s">
        <v>166</v>
      </c>
      <c r="N3302" s="61"/>
      <c r="O3302" s="51"/>
    </row>
    <row r="3303">
      <c r="A3303" s="56">
        <v>3300.0</v>
      </c>
      <c r="B3303" s="71"/>
      <c r="C3303" s="69" t="s">
        <v>13487</v>
      </c>
      <c r="D3303" s="71"/>
      <c r="E3303" s="68" t="s">
        <v>13488</v>
      </c>
      <c r="F3303" s="76">
        <v>42478.0</v>
      </c>
      <c r="G3303" s="68" t="s">
        <v>13489</v>
      </c>
      <c r="H3303" s="71"/>
      <c r="I3303" s="66"/>
      <c r="J3303" s="68" t="s">
        <v>9968</v>
      </c>
      <c r="K3303" s="76">
        <v>42507.0</v>
      </c>
      <c r="L3303" s="68" t="s">
        <v>13424</v>
      </c>
      <c r="M3303" s="68" t="s">
        <v>166</v>
      </c>
      <c r="N3303" s="61"/>
      <c r="O3303" s="51"/>
    </row>
    <row r="3304">
      <c r="A3304" s="56">
        <v>3301.0</v>
      </c>
      <c r="B3304" s="71"/>
      <c r="C3304" s="69" t="s">
        <v>13490</v>
      </c>
      <c r="D3304" s="71"/>
      <c r="E3304" s="68" t="s">
        <v>13491</v>
      </c>
      <c r="F3304" s="76">
        <v>42478.0</v>
      </c>
      <c r="G3304" s="68" t="s">
        <v>13492</v>
      </c>
      <c r="H3304" s="71"/>
      <c r="I3304" s="63" t="s">
        <v>635</v>
      </c>
      <c r="J3304" s="68" t="s">
        <v>6973</v>
      </c>
      <c r="K3304" s="76">
        <v>42507.0</v>
      </c>
      <c r="L3304" s="68" t="s">
        <v>13424</v>
      </c>
      <c r="M3304" s="68" t="s">
        <v>166</v>
      </c>
      <c r="N3304" s="61"/>
      <c r="O3304" s="51"/>
    </row>
    <row r="3305">
      <c r="A3305" s="56">
        <v>3302.0</v>
      </c>
      <c r="B3305" s="71"/>
      <c r="C3305" s="69" t="s">
        <v>13493</v>
      </c>
      <c r="D3305" s="71"/>
      <c r="E3305" s="68" t="s">
        <v>13494</v>
      </c>
      <c r="F3305" s="76">
        <v>42479.0</v>
      </c>
      <c r="G3305" s="68" t="s">
        <v>13495</v>
      </c>
      <c r="H3305" s="71"/>
      <c r="I3305" s="66"/>
      <c r="J3305" s="68" t="s">
        <v>9968</v>
      </c>
      <c r="K3305" s="76">
        <v>42507.0</v>
      </c>
      <c r="L3305" s="68" t="s">
        <v>13424</v>
      </c>
      <c r="M3305" s="68" t="s">
        <v>166</v>
      </c>
      <c r="N3305" s="61"/>
      <c r="O3305" s="51"/>
    </row>
    <row r="3306">
      <c r="A3306" s="56">
        <v>3303.0</v>
      </c>
      <c r="B3306" s="71"/>
      <c r="C3306" s="69" t="s">
        <v>13496</v>
      </c>
      <c r="D3306" s="71"/>
      <c r="E3306" s="68" t="s">
        <v>13497</v>
      </c>
      <c r="F3306" s="76">
        <v>42479.0</v>
      </c>
      <c r="G3306" s="68" t="s">
        <v>13498</v>
      </c>
      <c r="H3306" s="71"/>
      <c r="I3306" s="66"/>
      <c r="J3306" s="68" t="s">
        <v>6973</v>
      </c>
      <c r="K3306" s="76">
        <v>42507.0</v>
      </c>
      <c r="L3306" s="68" t="s">
        <v>13424</v>
      </c>
      <c r="M3306" s="68" t="s">
        <v>166</v>
      </c>
      <c r="N3306" s="61"/>
      <c r="O3306" s="51"/>
    </row>
    <row r="3307">
      <c r="A3307" s="56">
        <v>3304.0</v>
      </c>
      <c r="B3307" s="60"/>
      <c r="C3307" s="58" t="s">
        <v>13499</v>
      </c>
      <c r="D3307" s="60"/>
      <c r="E3307" s="57" t="s">
        <v>13500</v>
      </c>
      <c r="F3307" s="59">
        <v>42453.0</v>
      </c>
      <c r="G3307" s="57" t="s">
        <v>13501</v>
      </c>
      <c r="H3307" s="60"/>
      <c r="I3307" s="63" t="s">
        <v>13502</v>
      </c>
      <c r="J3307" s="57" t="s">
        <v>13503</v>
      </c>
      <c r="K3307" s="59">
        <v>42507.0</v>
      </c>
      <c r="L3307" s="57" t="s">
        <v>2743</v>
      </c>
      <c r="M3307" s="60"/>
      <c r="N3307" s="61"/>
      <c r="O3307" s="51"/>
    </row>
    <row r="3308">
      <c r="A3308" s="56">
        <v>3305.0</v>
      </c>
      <c r="B3308" s="71"/>
      <c r="C3308" s="69" t="s">
        <v>13504</v>
      </c>
      <c r="D3308" s="71"/>
      <c r="E3308" s="68" t="s">
        <v>13505</v>
      </c>
      <c r="F3308" s="83">
        <v>41929.0</v>
      </c>
      <c r="G3308" s="68" t="s">
        <v>13506</v>
      </c>
      <c r="H3308" s="71"/>
      <c r="I3308" s="63" t="s">
        <v>13507</v>
      </c>
      <c r="J3308" s="68" t="s">
        <v>13508</v>
      </c>
      <c r="K3308" s="76">
        <v>42507.0</v>
      </c>
      <c r="L3308" s="68" t="s">
        <v>2743</v>
      </c>
      <c r="M3308" s="71"/>
      <c r="N3308" s="61"/>
      <c r="O3308" s="51"/>
    </row>
    <row r="3309">
      <c r="A3309" s="56">
        <v>3306.0</v>
      </c>
      <c r="B3309" s="71"/>
      <c r="C3309" s="69" t="s">
        <v>13509</v>
      </c>
      <c r="D3309" s="71"/>
      <c r="E3309" s="68" t="s">
        <v>13510</v>
      </c>
      <c r="F3309" s="76">
        <v>42156.0</v>
      </c>
      <c r="G3309" s="68" t="s">
        <v>13511</v>
      </c>
      <c r="H3309" s="71"/>
      <c r="I3309" s="68" t="s">
        <v>13512</v>
      </c>
      <c r="J3309" s="68" t="s">
        <v>13513</v>
      </c>
      <c r="K3309" s="76">
        <v>42507.0</v>
      </c>
      <c r="L3309" s="68" t="s">
        <v>2743</v>
      </c>
      <c r="M3309" s="68" t="s">
        <v>542</v>
      </c>
      <c r="N3309" s="61"/>
      <c r="O3309" s="51"/>
    </row>
    <row r="3310">
      <c r="A3310" s="56">
        <v>3307.0</v>
      </c>
      <c r="B3310" s="71"/>
      <c r="C3310" s="69" t="s">
        <v>13514</v>
      </c>
      <c r="D3310" s="71"/>
      <c r="E3310" s="68" t="s">
        <v>13515</v>
      </c>
      <c r="F3310" s="83">
        <v>42327.0</v>
      </c>
      <c r="G3310" s="68" t="s">
        <v>13516</v>
      </c>
      <c r="H3310" s="71"/>
      <c r="I3310" s="68" t="s">
        <v>13517</v>
      </c>
      <c r="J3310" s="68" t="s">
        <v>13518</v>
      </c>
      <c r="K3310" s="76">
        <v>42507.0</v>
      </c>
      <c r="L3310" s="68" t="s">
        <v>2743</v>
      </c>
      <c r="M3310" s="68" t="s">
        <v>143</v>
      </c>
      <c r="N3310" s="61"/>
      <c r="O3310" s="51"/>
    </row>
    <row r="3311">
      <c r="A3311" s="56">
        <v>3308.0</v>
      </c>
      <c r="B3311" s="71"/>
      <c r="C3311" s="69" t="s">
        <v>13519</v>
      </c>
      <c r="D3311" s="68" t="s">
        <v>13520</v>
      </c>
      <c r="E3311" s="68" t="s">
        <v>13521</v>
      </c>
      <c r="F3311" s="83">
        <v>42328.0</v>
      </c>
      <c r="G3311" s="68" t="s">
        <v>13522</v>
      </c>
      <c r="H3311" s="71"/>
      <c r="I3311" s="66"/>
      <c r="J3311" s="68" t="s">
        <v>9968</v>
      </c>
      <c r="K3311" s="76">
        <v>42507.0</v>
      </c>
      <c r="L3311" s="68" t="s">
        <v>13523</v>
      </c>
      <c r="M3311" s="68" t="s">
        <v>166</v>
      </c>
      <c r="N3311" s="61"/>
      <c r="O3311" s="51"/>
    </row>
    <row r="3312">
      <c r="A3312" s="56">
        <v>3309.0</v>
      </c>
      <c r="B3312" s="71"/>
      <c r="C3312" s="69" t="s">
        <v>13524</v>
      </c>
      <c r="D3312" s="68" t="s">
        <v>13525</v>
      </c>
      <c r="E3312" s="68" t="s">
        <v>13526</v>
      </c>
      <c r="F3312" s="71"/>
      <c r="G3312" s="68" t="s">
        <v>13527</v>
      </c>
      <c r="H3312" s="71"/>
      <c r="I3312" s="63" t="s">
        <v>635</v>
      </c>
      <c r="J3312" s="68" t="s">
        <v>9979</v>
      </c>
      <c r="K3312" s="76">
        <v>42507.0</v>
      </c>
      <c r="L3312" s="68" t="s">
        <v>13523</v>
      </c>
      <c r="M3312" s="68" t="s">
        <v>2355</v>
      </c>
      <c r="N3312" s="61"/>
      <c r="O3312" s="51"/>
    </row>
    <row r="3313">
      <c r="A3313" s="56">
        <v>3310.0</v>
      </c>
      <c r="B3313" s="71"/>
      <c r="C3313" s="69" t="s">
        <v>13528</v>
      </c>
      <c r="D3313" s="71"/>
      <c r="E3313" s="68" t="s">
        <v>13529</v>
      </c>
      <c r="F3313" s="76">
        <v>42480.0</v>
      </c>
      <c r="G3313" s="68" t="s">
        <v>13530</v>
      </c>
      <c r="H3313" s="71"/>
      <c r="I3313" s="63" t="s">
        <v>635</v>
      </c>
      <c r="J3313" s="68" t="s">
        <v>13531</v>
      </c>
      <c r="K3313" s="76">
        <v>42507.0</v>
      </c>
      <c r="L3313" s="104"/>
      <c r="M3313" s="73" t="s">
        <v>166</v>
      </c>
      <c r="N3313" s="61"/>
      <c r="O3313" s="51"/>
    </row>
    <row r="3314">
      <c r="A3314" s="56">
        <v>3311.0</v>
      </c>
      <c r="B3314" s="71"/>
      <c r="C3314" s="69" t="s">
        <v>13532</v>
      </c>
      <c r="D3314" s="71"/>
      <c r="E3314" s="68" t="s">
        <v>13533</v>
      </c>
      <c r="F3314" s="76">
        <v>42522.0</v>
      </c>
      <c r="G3314" s="68" t="s">
        <v>13534</v>
      </c>
      <c r="H3314" s="71"/>
      <c r="I3314" s="63" t="s">
        <v>13535</v>
      </c>
      <c r="J3314" s="68" t="s">
        <v>13536</v>
      </c>
      <c r="K3314" s="76">
        <v>42507.0</v>
      </c>
      <c r="L3314" s="128" t="s">
        <v>13523</v>
      </c>
      <c r="M3314" s="104"/>
      <c r="N3314" s="105"/>
      <c r="O3314" s="51"/>
    </row>
    <row r="3315">
      <c r="A3315" s="56">
        <v>3312.0</v>
      </c>
      <c r="B3315" s="66"/>
      <c r="C3315" s="64" t="s">
        <v>13537</v>
      </c>
      <c r="D3315" s="66"/>
      <c r="E3315" s="63" t="s">
        <v>13538</v>
      </c>
      <c r="F3315" s="70">
        <v>40592.0</v>
      </c>
      <c r="G3315" s="80" t="s">
        <v>13539</v>
      </c>
      <c r="H3315" s="82"/>
      <c r="I3315" s="63" t="s">
        <v>13540</v>
      </c>
      <c r="J3315" s="63" t="s">
        <v>13541</v>
      </c>
      <c r="K3315" s="70">
        <v>42507.0</v>
      </c>
      <c r="L3315" s="63" t="s">
        <v>13542</v>
      </c>
      <c r="M3315" s="74" t="s">
        <v>27</v>
      </c>
      <c r="N3315" s="61"/>
      <c r="O3315" s="51"/>
    </row>
    <row r="3316">
      <c r="A3316" s="56">
        <v>3313.0</v>
      </c>
      <c r="B3316" s="71"/>
      <c r="C3316" s="69" t="s">
        <v>13543</v>
      </c>
      <c r="D3316" s="71"/>
      <c r="E3316" s="68" t="s">
        <v>13544</v>
      </c>
      <c r="F3316" s="76">
        <v>40592.0</v>
      </c>
      <c r="G3316" s="68" t="s">
        <v>13539</v>
      </c>
      <c r="H3316" s="71"/>
      <c r="I3316" s="68" t="s">
        <v>13540</v>
      </c>
      <c r="J3316" s="87" t="s">
        <v>13545</v>
      </c>
      <c r="K3316" s="76">
        <v>42507.0</v>
      </c>
      <c r="L3316" s="68" t="s">
        <v>13542</v>
      </c>
      <c r="M3316" s="68" t="s">
        <v>27</v>
      </c>
      <c r="N3316" s="61"/>
      <c r="O3316" s="51"/>
    </row>
    <row r="3317">
      <c r="A3317" s="56">
        <v>3314.0</v>
      </c>
      <c r="B3317" s="71"/>
      <c r="C3317" s="69" t="s">
        <v>13546</v>
      </c>
      <c r="D3317" s="71"/>
      <c r="E3317" s="68" t="s">
        <v>13547</v>
      </c>
      <c r="F3317" s="76">
        <v>42209.0</v>
      </c>
      <c r="G3317" s="68" t="s">
        <v>13548</v>
      </c>
      <c r="H3317" s="71"/>
      <c r="I3317" s="63" t="s">
        <v>635</v>
      </c>
      <c r="J3317" s="68" t="s">
        <v>13549</v>
      </c>
      <c r="K3317" s="76">
        <v>42507.0</v>
      </c>
      <c r="L3317" s="68" t="s">
        <v>13542</v>
      </c>
      <c r="M3317" s="71"/>
      <c r="N3317" s="61"/>
      <c r="O3317" s="51"/>
    </row>
    <row r="3318">
      <c r="A3318" s="56">
        <v>3315.0</v>
      </c>
      <c r="B3318" s="71"/>
      <c r="C3318" s="69" t="s">
        <v>13550</v>
      </c>
      <c r="D3318" s="71"/>
      <c r="E3318" s="68" t="s">
        <v>13551</v>
      </c>
      <c r="F3318" s="83">
        <v>41940.0</v>
      </c>
      <c r="G3318" s="68" t="s">
        <v>13552</v>
      </c>
      <c r="H3318" s="82"/>
      <c r="I3318" s="68" t="s">
        <v>13553</v>
      </c>
      <c r="J3318" s="68" t="s">
        <v>13554</v>
      </c>
      <c r="K3318" s="76">
        <v>42507.0</v>
      </c>
      <c r="L3318" s="68" t="s">
        <v>2743</v>
      </c>
      <c r="M3318" s="68" t="s">
        <v>31</v>
      </c>
      <c r="N3318" s="77"/>
      <c r="O3318" s="51"/>
    </row>
    <row r="3319">
      <c r="A3319" s="56">
        <v>3316.0</v>
      </c>
      <c r="B3319" s="66"/>
      <c r="C3319" s="64" t="s">
        <v>13555</v>
      </c>
      <c r="D3319" s="66"/>
      <c r="E3319" s="63" t="s">
        <v>13556</v>
      </c>
      <c r="F3319" s="70">
        <v>42460.0</v>
      </c>
      <c r="G3319" s="223"/>
      <c r="H3319" s="223"/>
      <c r="I3319" s="63" t="s">
        <v>13557</v>
      </c>
      <c r="J3319" s="63" t="s">
        <v>9979</v>
      </c>
      <c r="K3319" s="70">
        <v>42507.0</v>
      </c>
      <c r="L3319" s="63" t="s">
        <v>13558</v>
      </c>
      <c r="M3319" s="63" t="s">
        <v>166</v>
      </c>
      <c r="N3319" s="61"/>
      <c r="O3319" s="51"/>
    </row>
    <row r="3320">
      <c r="A3320" s="56">
        <v>3317.0</v>
      </c>
      <c r="B3320" s="71"/>
      <c r="C3320" s="69" t="s">
        <v>13559</v>
      </c>
      <c r="D3320" s="71"/>
      <c r="E3320" s="68" t="s">
        <v>13560</v>
      </c>
      <c r="F3320" s="76">
        <v>41824.0</v>
      </c>
      <c r="G3320" s="68" t="s">
        <v>13561</v>
      </c>
      <c r="H3320" s="71"/>
      <c r="I3320" s="68" t="s">
        <v>13562</v>
      </c>
      <c r="J3320" s="68" t="s">
        <v>912</v>
      </c>
      <c r="K3320" s="76">
        <v>42508.0</v>
      </c>
      <c r="L3320" s="68" t="s">
        <v>2743</v>
      </c>
      <c r="M3320" s="68" t="s">
        <v>166</v>
      </c>
      <c r="N3320" s="77"/>
      <c r="O3320" s="51"/>
    </row>
    <row r="3321">
      <c r="A3321" s="56">
        <v>3318.0</v>
      </c>
      <c r="B3321" s="66"/>
      <c r="C3321" s="64" t="s">
        <v>13563</v>
      </c>
      <c r="D3321" s="66"/>
      <c r="E3321" s="63" t="s">
        <v>13564</v>
      </c>
      <c r="F3321" s="63">
        <v>2009.0</v>
      </c>
      <c r="G3321" s="80" t="s">
        <v>13565</v>
      </c>
      <c r="H3321" s="82"/>
      <c r="I3321" s="63" t="s">
        <v>635</v>
      </c>
      <c r="J3321" s="63" t="s">
        <v>9979</v>
      </c>
      <c r="K3321" s="70">
        <v>42509.0</v>
      </c>
      <c r="L3321" s="63" t="s">
        <v>2743</v>
      </c>
      <c r="M3321" s="63" t="s">
        <v>166</v>
      </c>
      <c r="N3321" s="61"/>
      <c r="O3321" s="51"/>
    </row>
    <row r="3322">
      <c r="A3322" s="56">
        <v>3319.0</v>
      </c>
      <c r="B3322" s="71"/>
      <c r="C3322" s="69" t="s">
        <v>13566</v>
      </c>
      <c r="D3322" s="71"/>
      <c r="E3322" s="68" t="s">
        <v>13567</v>
      </c>
      <c r="F3322" s="76">
        <v>42466.0</v>
      </c>
      <c r="G3322" s="68" t="s">
        <v>13568</v>
      </c>
      <c r="H3322" s="71"/>
      <c r="I3322" s="66"/>
      <c r="J3322" s="68" t="s">
        <v>9968</v>
      </c>
      <c r="K3322" s="76">
        <v>42509.0</v>
      </c>
      <c r="L3322" s="68" t="s">
        <v>13424</v>
      </c>
      <c r="M3322" s="68" t="s">
        <v>166</v>
      </c>
      <c r="N3322" s="61"/>
      <c r="O3322" s="51"/>
    </row>
    <row r="3323">
      <c r="A3323" s="56">
        <v>3320.0</v>
      </c>
      <c r="B3323" s="71"/>
      <c r="C3323" s="69" t="s">
        <v>13569</v>
      </c>
      <c r="D3323" s="71"/>
      <c r="E3323" s="68" t="s">
        <v>13570</v>
      </c>
      <c r="F3323" s="76">
        <v>42464.0</v>
      </c>
      <c r="G3323" s="68" t="s">
        <v>13571</v>
      </c>
      <c r="H3323" s="71"/>
      <c r="I3323" s="63" t="s">
        <v>635</v>
      </c>
      <c r="J3323" s="68" t="s">
        <v>6973</v>
      </c>
      <c r="K3323" s="76">
        <v>42509.0</v>
      </c>
      <c r="L3323" s="68" t="s">
        <v>13424</v>
      </c>
      <c r="M3323" s="68" t="s">
        <v>166</v>
      </c>
      <c r="N3323" s="61"/>
      <c r="O3323" s="51"/>
    </row>
    <row r="3324">
      <c r="A3324" s="56">
        <v>3321.0</v>
      </c>
      <c r="B3324" s="71"/>
      <c r="C3324" s="69" t="s">
        <v>13572</v>
      </c>
      <c r="D3324" s="71"/>
      <c r="E3324" s="68" t="s">
        <v>13573</v>
      </c>
      <c r="F3324" s="76">
        <v>42528.0</v>
      </c>
      <c r="G3324" s="68" t="s">
        <v>13574</v>
      </c>
      <c r="H3324" s="71"/>
      <c r="I3324" s="63" t="s">
        <v>635</v>
      </c>
      <c r="J3324" s="68" t="s">
        <v>6973</v>
      </c>
      <c r="K3324" s="76">
        <v>42509.0</v>
      </c>
      <c r="L3324" s="68" t="s">
        <v>13424</v>
      </c>
      <c r="M3324" s="68" t="s">
        <v>166</v>
      </c>
      <c r="N3324" s="61"/>
      <c r="O3324" s="51"/>
    </row>
    <row r="3325">
      <c r="A3325" s="56">
        <v>3322.0</v>
      </c>
      <c r="B3325" s="71"/>
      <c r="C3325" s="69" t="s">
        <v>13575</v>
      </c>
      <c r="D3325" s="71"/>
      <c r="E3325" s="68" t="s">
        <v>13576</v>
      </c>
      <c r="F3325" s="76">
        <v>42528.0</v>
      </c>
      <c r="G3325" s="68" t="s">
        <v>13577</v>
      </c>
      <c r="H3325" s="71"/>
      <c r="I3325" s="66"/>
      <c r="J3325" s="68" t="s">
        <v>11266</v>
      </c>
      <c r="K3325" s="76">
        <v>42509.0</v>
      </c>
      <c r="L3325" s="68" t="s">
        <v>13424</v>
      </c>
      <c r="M3325" s="68" t="s">
        <v>166</v>
      </c>
      <c r="N3325" s="61"/>
      <c r="O3325" s="51"/>
    </row>
    <row r="3326">
      <c r="A3326" s="56">
        <v>3323.0</v>
      </c>
      <c r="B3326" s="71"/>
      <c r="C3326" s="69" t="s">
        <v>13578</v>
      </c>
      <c r="D3326" s="71"/>
      <c r="E3326" s="68" t="s">
        <v>13579</v>
      </c>
      <c r="F3326" s="76">
        <v>42470.0</v>
      </c>
      <c r="G3326" s="68" t="s">
        <v>13580</v>
      </c>
      <c r="H3326" s="71"/>
      <c r="I3326" s="66"/>
      <c r="J3326" s="68" t="s">
        <v>11266</v>
      </c>
      <c r="K3326" s="76">
        <v>42509.0</v>
      </c>
      <c r="L3326" s="68" t="s">
        <v>13424</v>
      </c>
      <c r="M3326" s="68" t="s">
        <v>166</v>
      </c>
      <c r="N3326" s="61"/>
      <c r="O3326" s="51"/>
    </row>
    <row r="3327">
      <c r="A3327" s="56">
        <v>3324.0</v>
      </c>
      <c r="B3327" s="71"/>
      <c r="C3327" s="69" t="s">
        <v>13581</v>
      </c>
      <c r="D3327" s="71"/>
      <c r="E3327" s="68" t="s">
        <v>13582</v>
      </c>
      <c r="F3327" s="76">
        <v>42470.0</v>
      </c>
      <c r="G3327" s="68" t="s">
        <v>13583</v>
      </c>
      <c r="H3327" s="71"/>
      <c r="I3327" s="66"/>
      <c r="J3327" s="68" t="s">
        <v>9968</v>
      </c>
      <c r="K3327" s="76">
        <v>42509.0</v>
      </c>
      <c r="L3327" s="68" t="s">
        <v>13424</v>
      </c>
      <c r="M3327" s="68" t="s">
        <v>166</v>
      </c>
      <c r="N3327" s="61"/>
      <c r="O3327" s="51"/>
    </row>
    <row r="3328">
      <c r="A3328" s="56">
        <v>3325.0</v>
      </c>
      <c r="B3328" s="71"/>
      <c r="C3328" s="69" t="s">
        <v>13584</v>
      </c>
      <c r="D3328" s="71"/>
      <c r="E3328" s="68" t="s">
        <v>13585</v>
      </c>
      <c r="F3328" s="76">
        <v>42472.0</v>
      </c>
      <c r="G3328" s="68" t="s">
        <v>13586</v>
      </c>
      <c r="H3328" s="71"/>
      <c r="I3328" s="66"/>
      <c r="J3328" s="68" t="s">
        <v>12250</v>
      </c>
      <c r="K3328" s="76">
        <v>42509.0</v>
      </c>
      <c r="L3328" s="68" t="s">
        <v>13424</v>
      </c>
      <c r="M3328" s="68" t="s">
        <v>166</v>
      </c>
      <c r="N3328" s="61"/>
      <c r="O3328" s="51"/>
    </row>
    <row r="3329">
      <c r="A3329" s="56">
        <v>3326.0</v>
      </c>
      <c r="B3329" s="71"/>
      <c r="C3329" s="69" t="s">
        <v>13587</v>
      </c>
      <c r="D3329" s="71"/>
      <c r="E3329" s="68" t="s">
        <v>13588</v>
      </c>
      <c r="F3329" s="76">
        <v>42472.0</v>
      </c>
      <c r="G3329" s="68" t="s">
        <v>13589</v>
      </c>
      <c r="H3329" s="71"/>
      <c r="I3329" s="66"/>
      <c r="J3329" s="68" t="s">
        <v>12369</v>
      </c>
      <c r="K3329" s="76">
        <v>42510.0</v>
      </c>
      <c r="L3329" s="68" t="s">
        <v>13424</v>
      </c>
      <c r="M3329" s="68" t="s">
        <v>166</v>
      </c>
      <c r="N3329" s="61"/>
      <c r="O3329" s="51"/>
    </row>
    <row r="3330">
      <c r="A3330" s="56">
        <v>3327.0</v>
      </c>
      <c r="B3330" s="71"/>
      <c r="C3330" s="69" t="s">
        <v>13590</v>
      </c>
      <c r="D3330" s="71"/>
      <c r="E3330" s="68" t="s">
        <v>13591</v>
      </c>
      <c r="F3330" s="76">
        <v>42423.0</v>
      </c>
      <c r="G3330" s="68" t="s">
        <v>13592</v>
      </c>
      <c r="H3330" s="71"/>
      <c r="I3330" s="68" t="s">
        <v>635</v>
      </c>
      <c r="J3330" s="68" t="s">
        <v>13593</v>
      </c>
      <c r="K3330" s="76">
        <v>42511.0</v>
      </c>
      <c r="L3330" s="68" t="s">
        <v>13594</v>
      </c>
      <c r="M3330" s="68" t="s">
        <v>2748</v>
      </c>
      <c r="N3330" s="61"/>
      <c r="O3330" s="51"/>
    </row>
    <row r="3331">
      <c r="A3331" s="56">
        <v>3328.0</v>
      </c>
      <c r="B3331" s="71"/>
      <c r="C3331" s="69" t="s">
        <v>13595</v>
      </c>
      <c r="D3331" s="71"/>
      <c r="E3331" s="68" t="s">
        <v>13596</v>
      </c>
      <c r="F3331" s="76">
        <v>42423.0</v>
      </c>
      <c r="G3331" s="68" t="s">
        <v>13592</v>
      </c>
      <c r="H3331" s="71"/>
      <c r="I3331" s="68" t="s">
        <v>635</v>
      </c>
      <c r="J3331" s="68" t="s">
        <v>13593</v>
      </c>
      <c r="K3331" s="76">
        <v>42511.0</v>
      </c>
      <c r="L3331" s="68" t="s">
        <v>13594</v>
      </c>
      <c r="M3331" s="68" t="s">
        <v>2748</v>
      </c>
      <c r="N3331" s="61"/>
      <c r="O3331" s="51"/>
    </row>
    <row r="3332">
      <c r="A3332" s="56">
        <v>3329.0</v>
      </c>
      <c r="B3332" s="71"/>
      <c r="C3332" s="69" t="s">
        <v>13597</v>
      </c>
      <c r="D3332" s="71"/>
      <c r="E3332" s="68" t="s">
        <v>13598</v>
      </c>
      <c r="F3332" s="76">
        <v>42423.0</v>
      </c>
      <c r="G3332" s="68" t="s">
        <v>13592</v>
      </c>
      <c r="H3332" s="71"/>
      <c r="I3332" s="68" t="s">
        <v>635</v>
      </c>
      <c r="J3332" s="68" t="s">
        <v>13593</v>
      </c>
      <c r="K3332" s="76">
        <v>42511.0</v>
      </c>
      <c r="L3332" s="68" t="s">
        <v>13594</v>
      </c>
      <c r="M3332" s="68" t="s">
        <v>2748</v>
      </c>
      <c r="N3332" s="61"/>
      <c r="O3332" s="51"/>
    </row>
    <row r="3333">
      <c r="A3333" s="56">
        <v>3330.0</v>
      </c>
      <c r="B3333" s="71"/>
      <c r="C3333" s="69" t="s">
        <v>13599</v>
      </c>
      <c r="D3333" s="71"/>
      <c r="E3333" s="68" t="s">
        <v>13600</v>
      </c>
      <c r="F3333" s="76">
        <v>42423.0</v>
      </c>
      <c r="G3333" s="68" t="s">
        <v>13592</v>
      </c>
      <c r="H3333" s="71"/>
      <c r="I3333" s="68" t="s">
        <v>635</v>
      </c>
      <c r="J3333" s="68" t="s">
        <v>13593</v>
      </c>
      <c r="K3333" s="76">
        <v>42511.0</v>
      </c>
      <c r="L3333" s="68" t="s">
        <v>13594</v>
      </c>
      <c r="M3333" s="68" t="s">
        <v>2748</v>
      </c>
      <c r="N3333" s="61"/>
      <c r="O3333" s="51"/>
    </row>
    <row r="3334">
      <c r="A3334" s="56">
        <v>3331.0</v>
      </c>
      <c r="B3334" s="71"/>
      <c r="C3334" s="69" t="s">
        <v>13601</v>
      </c>
      <c r="D3334" s="71"/>
      <c r="E3334" s="68" t="s">
        <v>13602</v>
      </c>
      <c r="F3334" s="76">
        <v>42423.0</v>
      </c>
      <c r="G3334" s="68" t="s">
        <v>13592</v>
      </c>
      <c r="H3334" s="71"/>
      <c r="I3334" s="68" t="s">
        <v>635</v>
      </c>
      <c r="J3334" s="68" t="s">
        <v>13593</v>
      </c>
      <c r="K3334" s="76">
        <v>42511.0</v>
      </c>
      <c r="L3334" s="68" t="s">
        <v>13594</v>
      </c>
      <c r="M3334" s="68" t="s">
        <v>2748</v>
      </c>
      <c r="N3334" s="61"/>
      <c r="O3334" s="51"/>
    </row>
    <row r="3335">
      <c r="A3335" s="56">
        <v>3332.0</v>
      </c>
      <c r="B3335" s="66"/>
      <c r="C3335" s="64" t="s">
        <v>13603</v>
      </c>
      <c r="D3335" s="66"/>
      <c r="E3335" s="63" t="s">
        <v>13604</v>
      </c>
      <c r="F3335" s="70">
        <v>41901.0</v>
      </c>
      <c r="G3335" s="80" t="s">
        <v>13605</v>
      </c>
      <c r="H3335" s="80" t="s">
        <v>13606</v>
      </c>
      <c r="I3335" s="63" t="s">
        <v>635</v>
      </c>
      <c r="J3335" s="63" t="s">
        <v>6393</v>
      </c>
      <c r="K3335" s="70">
        <v>42511.0</v>
      </c>
      <c r="L3335" s="63" t="s">
        <v>13594</v>
      </c>
      <c r="M3335" s="63" t="s">
        <v>13085</v>
      </c>
      <c r="N3335" s="61"/>
      <c r="O3335" s="51"/>
    </row>
    <row r="3336">
      <c r="A3336" s="56">
        <v>3333.0</v>
      </c>
      <c r="B3336" s="71"/>
      <c r="C3336" s="69" t="s">
        <v>13607</v>
      </c>
      <c r="D3336" s="71"/>
      <c r="E3336" s="68" t="s">
        <v>13608</v>
      </c>
      <c r="F3336" s="76">
        <v>42493.0</v>
      </c>
      <c r="G3336" s="68" t="s">
        <v>13609</v>
      </c>
      <c r="H3336" s="71"/>
      <c r="I3336" s="63" t="s">
        <v>635</v>
      </c>
      <c r="J3336" s="68" t="s">
        <v>13610</v>
      </c>
      <c r="K3336" s="76">
        <v>42511.0</v>
      </c>
      <c r="L3336" s="68" t="s">
        <v>13594</v>
      </c>
      <c r="M3336" s="68" t="s">
        <v>13611</v>
      </c>
      <c r="N3336" s="61"/>
      <c r="O3336" s="51"/>
    </row>
    <row r="3337">
      <c r="A3337" s="56">
        <v>3334.0</v>
      </c>
      <c r="B3337" s="66"/>
      <c r="C3337" s="64" t="s">
        <v>13612</v>
      </c>
      <c r="D3337" s="66"/>
      <c r="E3337" s="63" t="s">
        <v>13613</v>
      </c>
      <c r="F3337" s="70">
        <v>42423.0</v>
      </c>
      <c r="G3337" s="80" t="s">
        <v>13614</v>
      </c>
      <c r="H3337" s="82"/>
      <c r="I3337" s="63" t="s">
        <v>13615</v>
      </c>
      <c r="J3337" s="63" t="s">
        <v>13616</v>
      </c>
      <c r="K3337" s="70">
        <v>42511.0</v>
      </c>
      <c r="L3337" s="63" t="s">
        <v>13594</v>
      </c>
      <c r="M3337" s="63" t="s">
        <v>2291</v>
      </c>
      <c r="N3337" s="61"/>
      <c r="O3337" s="51"/>
    </row>
    <row r="3338">
      <c r="A3338" s="56">
        <v>3335.0</v>
      </c>
      <c r="B3338" s="66"/>
      <c r="C3338" s="64" t="s">
        <v>13617</v>
      </c>
      <c r="D3338" s="66"/>
      <c r="E3338" s="63" t="s">
        <v>13618</v>
      </c>
      <c r="F3338" s="70">
        <v>42405.0</v>
      </c>
      <c r="G3338" s="80" t="s">
        <v>13619</v>
      </c>
      <c r="H3338" s="80" t="s">
        <v>13620</v>
      </c>
      <c r="I3338" s="63" t="s">
        <v>13621</v>
      </c>
      <c r="J3338" s="63" t="s">
        <v>3575</v>
      </c>
      <c r="K3338" s="70">
        <v>42511.0</v>
      </c>
      <c r="L3338" s="63" t="s">
        <v>13594</v>
      </c>
      <c r="M3338" s="63" t="s">
        <v>2152</v>
      </c>
      <c r="N3338" s="61"/>
      <c r="O3338" s="51"/>
    </row>
    <row r="3339">
      <c r="A3339" s="56">
        <v>3336.0</v>
      </c>
      <c r="B3339" s="71"/>
      <c r="C3339" s="69" t="s">
        <v>13622</v>
      </c>
      <c r="D3339" s="71"/>
      <c r="E3339" s="68" t="s">
        <v>13623</v>
      </c>
      <c r="F3339" s="76">
        <v>41684.0</v>
      </c>
      <c r="G3339" s="68" t="s">
        <v>13624</v>
      </c>
      <c r="H3339" s="68" t="s">
        <v>13625</v>
      </c>
      <c r="I3339" s="68" t="s">
        <v>13626</v>
      </c>
      <c r="J3339" s="68" t="s">
        <v>13627</v>
      </c>
      <c r="K3339" s="76">
        <v>42511.0</v>
      </c>
      <c r="L3339" s="68" t="s">
        <v>2743</v>
      </c>
      <c r="M3339" s="68" t="s">
        <v>4749</v>
      </c>
      <c r="N3339" s="61"/>
      <c r="O3339" s="51"/>
    </row>
    <row r="3340">
      <c r="A3340" s="56">
        <v>3337.0</v>
      </c>
      <c r="B3340" s="71"/>
      <c r="C3340" s="69" t="s">
        <v>13628</v>
      </c>
      <c r="D3340" s="71"/>
      <c r="E3340" s="68" t="s">
        <v>13629</v>
      </c>
      <c r="F3340" s="76">
        <v>42512.0</v>
      </c>
      <c r="G3340" s="68" t="s">
        <v>13630</v>
      </c>
      <c r="H3340" s="71"/>
      <c r="I3340" s="66"/>
      <c r="J3340" s="68" t="s">
        <v>13631</v>
      </c>
      <c r="K3340" s="76">
        <v>42513.0</v>
      </c>
      <c r="L3340" s="68" t="s">
        <v>2743</v>
      </c>
      <c r="M3340" s="68" t="s">
        <v>143</v>
      </c>
      <c r="N3340" s="61"/>
      <c r="O3340" s="51"/>
    </row>
    <row r="3341">
      <c r="A3341" s="56">
        <v>3338.0</v>
      </c>
      <c r="B3341" s="71"/>
      <c r="C3341" s="69" t="s">
        <v>13632</v>
      </c>
      <c r="D3341" s="71"/>
      <c r="E3341" s="68" t="s">
        <v>13633</v>
      </c>
      <c r="F3341" s="76">
        <v>42503.0</v>
      </c>
      <c r="G3341" s="68" t="s">
        <v>13634</v>
      </c>
      <c r="H3341" s="71"/>
      <c r="I3341" s="63" t="s">
        <v>13635</v>
      </c>
      <c r="J3341" s="68" t="s">
        <v>13636</v>
      </c>
      <c r="K3341" s="76">
        <v>42515.0</v>
      </c>
      <c r="L3341" s="104"/>
      <c r="M3341" s="73" t="s">
        <v>12434</v>
      </c>
      <c r="N3341" s="61"/>
      <c r="O3341" s="51"/>
    </row>
    <row r="3342">
      <c r="A3342" s="56">
        <v>3339.0</v>
      </c>
      <c r="B3342" s="71"/>
      <c r="C3342" s="69" t="s">
        <v>13637</v>
      </c>
      <c r="D3342" s="71"/>
      <c r="E3342" s="68" t="s">
        <v>13638</v>
      </c>
      <c r="F3342" s="76">
        <v>42443.0</v>
      </c>
      <c r="G3342" s="68" t="s">
        <v>13639</v>
      </c>
      <c r="H3342" s="71"/>
      <c r="I3342" s="66"/>
      <c r="J3342" s="68" t="s">
        <v>13640</v>
      </c>
      <c r="K3342" s="76">
        <v>42515.0</v>
      </c>
      <c r="L3342" s="128" t="s">
        <v>2743</v>
      </c>
      <c r="M3342" s="68" t="s">
        <v>143</v>
      </c>
      <c r="N3342" s="61"/>
      <c r="O3342" s="51"/>
    </row>
    <row r="3343">
      <c r="A3343" s="56">
        <v>3340.0</v>
      </c>
      <c r="B3343" s="71"/>
      <c r="C3343" s="69" t="s">
        <v>13641</v>
      </c>
      <c r="D3343" s="71"/>
      <c r="E3343" s="68" t="s">
        <v>13642</v>
      </c>
      <c r="F3343" s="76">
        <v>42467.0</v>
      </c>
      <c r="G3343" s="68" t="s">
        <v>13643</v>
      </c>
      <c r="H3343" s="71"/>
      <c r="I3343" s="63" t="s">
        <v>13644</v>
      </c>
      <c r="J3343" s="68" t="s">
        <v>13645</v>
      </c>
      <c r="K3343" s="76">
        <v>42515.0</v>
      </c>
      <c r="L3343" s="68" t="s">
        <v>2743</v>
      </c>
      <c r="M3343" s="71"/>
      <c r="N3343" s="61"/>
      <c r="O3343" s="51"/>
    </row>
    <row r="3344">
      <c r="A3344" s="56">
        <v>3341.0</v>
      </c>
      <c r="B3344" s="71"/>
      <c r="C3344" s="69" t="s">
        <v>13646</v>
      </c>
      <c r="D3344" s="71"/>
      <c r="E3344" s="68" t="s">
        <v>13647</v>
      </c>
      <c r="F3344" s="76">
        <v>41895.0</v>
      </c>
      <c r="G3344" s="68" t="s">
        <v>13648</v>
      </c>
      <c r="H3344" s="71"/>
      <c r="I3344" s="68" t="s">
        <v>13649</v>
      </c>
      <c r="J3344" s="68" t="s">
        <v>13650</v>
      </c>
      <c r="K3344" s="76">
        <v>42515.0</v>
      </c>
      <c r="L3344" s="68" t="s">
        <v>2743</v>
      </c>
      <c r="M3344" s="68" t="s">
        <v>149</v>
      </c>
      <c r="N3344" s="77"/>
      <c r="O3344" s="51"/>
    </row>
    <row r="3345">
      <c r="A3345" s="56">
        <v>3342.0</v>
      </c>
      <c r="B3345" s="71"/>
      <c r="C3345" s="69" t="s">
        <v>13651</v>
      </c>
      <c r="D3345" s="71"/>
      <c r="E3345" s="68" t="s">
        <v>13652</v>
      </c>
      <c r="F3345" s="76">
        <v>42393.0</v>
      </c>
      <c r="G3345" s="68" t="s">
        <v>13653</v>
      </c>
      <c r="H3345" s="71"/>
      <c r="I3345" s="71"/>
      <c r="J3345" s="87" t="s">
        <v>13654</v>
      </c>
      <c r="K3345" s="225">
        <v>42515.0</v>
      </c>
      <c r="L3345" s="68" t="s">
        <v>2743</v>
      </c>
      <c r="M3345" s="68" t="s">
        <v>125</v>
      </c>
      <c r="N3345" s="61"/>
      <c r="O3345" s="51"/>
    </row>
    <row r="3346">
      <c r="A3346" s="56">
        <v>3343.0</v>
      </c>
      <c r="B3346" s="71"/>
      <c r="C3346" s="69" t="s">
        <v>13655</v>
      </c>
      <c r="D3346" s="71"/>
      <c r="E3346" s="68" t="s">
        <v>13656</v>
      </c>
      <c r="F3346" s="68">
        <v>2015.0</v>
      </c>
      <c r="G3346" s="68" t="s">
        <v>13657</v>
      </c>
      <c r="H3346" s="71"/>
      <c r="I3346" s="63" t="s">
        <v>13658</v>
      </c>
      <c r="J3346" s="68" t="s">
        <v>13659</v>
      </c>
      <c r="K3346" s="76">
        <v>42515.0</v>
      </c>
      <c r="L3346" s="68" t="s">
        <v>2743</v>
      </c>
      <c r="M3346" s="68" t="s">
        <v>125</v>
      </c>
      <c r="N3346" s="61"/>
      <c r="O3346" s="51"/>
    </row>
    <row r="3347">
      <c r="A3347" s="56">
        <v>3344.0</v>
      </c>
      <c r="B3347" s="71"/>
      <c r="C3347" s="69" t="s">
        <v>13660</v>
      </c>
      <c r="D3347" s="71"/>
      <c r="E3347" s="68" t="s">
        <v>13661</v>
      </c>
      <c r="F3347" s="76">
        <v>42505.0</v>
      </c>
      <c r="G3347" s="68" t="s">
        <v>13662</v>
      </c>
      <c r="H3347" s="71"/>
      <c r="I3347" s="66"/>
      <c r="J3347" s="68" t="s">
        <v>13434</v>
      </c>
      <c r="K3347" s="76">
        <v>42516.0</v>
      </c>
      <c r="L3347" s="68" t="s">
        <v>13663</v>
      </c>
      <c r="M3347" s="68" t="s">
        <v>40</v>
      </c>
      <c r="N3347" s="61"/>
      <c r="O3347" s="51"/>
    </row>
    <row r="3348">
      <c r="A3348" s="56">
        <v>3345.0</v>
      </c>
      <c r="B3348" s="66"/>
      <c r="C3348" s="64" t="s">
        <v>13664</v>
      </c>
      <c r="D3348" s="66"/>
      <c r="E3348" s="63" t="s">
        <v>13665</v>
      </c>
      <c r="F3348" s="70">
        <v>42012.0</v>
      </c>
      <c r="G3348" s="80" t="s">
        <v>13666</v>
      </c>
      <c r="H3348" s="82"/>
      <c r="I3348" s="63" t="s">
        <v>13667</v>
      </c>
      <c r="J3348" s="63" t="s">
        <v>2872</v>
      </c>
      <c r="K3348" s="70">
        <v>42518.0</v>
      </c>
      <c r="L3348" s="63" t="s">
        <v>2743</v>
      </c>
      <c r="M3348" s="63" t="s">
        <v>125</v>
      </c>
      <c r="N3348" s="61"/>
      <c r="O3348" s="51"/>
    </row>
    <row r="3349">
      <c r="A3349" s="56">
        <v>3346.0</v>
      </c>
      <c r="B3349" s="60"/>
      <c r="C3349" s="58" t="s">
        <v>13668</v>
      </c>
      <c r="D3349" s="60"/>
      <c r="E3349" s="57" t="s">
        <v>13669</v>
      </c>
      <c r="F3349" s="59">
        <v>42286.0</v>
      </c>
      <c r="G3349" s="57" t="s">
        <v>13670</v>
      </c>
      <c r="H3349" s="60"/>
      <c r="I3349" s="57" t="s">
        <v>13671</v>
      </c>
      <c r="J3349" s="57" t="s">
        <v>13672</v>
      </c>
      <c r="K3349" s="59">
        <v>42518.0</v>
      </c>
      <c r="L3349" s="57" t="s">
        <v>2743</v>
      </c>
      <c r="M3349" s="57" t="s">
        <v>403</v>
      </c>
      <c r="N3349" s="112"/>
      <c r="O3349" s="51"/>
    </row>
    <row r="3350">
      <c r="A3350" s="56">
        <v>3347.0</v>
      </c>
      <c r="B3350" s="71"/>
      <c r="C3350" s="69" t="s">
        <v>13673</v>
      </c>
      <c r="D3350" s="71"/>
      <c r="E3350" s="68" t="s">
        <v>13674</v>
      </c>
      <c r="F3350" s="83">
        <v>42353.0</v>
      </c>
      <c r="G3350" s="68" t="s">
        <v>13675</v>
      </c>
      <c r="H3350" s="71"/>
      <c r="I3350" s="63" t="s">
        <v>13676</v>
      </c>
      <c r="J3350" s="68" t="s">
        <v>13677</v>
      </c>
      <c r="K3350" s="76">
        <v>42518.0</v>
      </c>
      <c r="L3350" s="68" t="s">
        <v>13678</v>
      </c>
      <c r="M3350" s="104"/>
      <c r="N3350" s="105"/>
      <c r="O3350" s="51"/>
    </row>
    <row r="3351">
      <c r="A3351" s="75">
        <v>3348.0</v>
      </c>
      <c r="B3351" s="71"/>
      <c r="C3351" s="69" t="s">
        <v>13679</v>
      </c>
      <c r="D3351" s="71"/>
      <c r="E3351" s="68" t="s">
        <v>13680</v>
      </c>
      <c r="F3351" s="226">
        <v>42457.0</v>
      </c>
      <c r="G3351" s="68" t="s">
        <v>13681</v>
      </c>
      <c r="H3351" s="71"/>
      <c r="I3351" s="68" t="s">
        <v>13682</v>
      </c>
      <c r="J3351" s="68" t="s">
        <v>13683</v>
      </c>
      <c r="K3351" s="76">
        <v>42523.0</v>
      </c>
      <c r="L3351" s="68" t="s">
        <v>2743</v>
      </c>
      <c r="M3351" s="128" t="s">
        <v>125</v>
      </c>
      <c r="N3351" s="77"/>
      <c r="O3351" s="51"/>
    </row>
    <row r="3352">
      <c r="A3352" s="56">
        <v>3349.0</v>
      </c>
      <c r="B3352" s="71"/>
      <c r="C3352" s="69" t="s">
        <v>13684</v>
      </c>
      <c r="D3352" s="68" t="s">
        <v>13685</v>
      </c>
      <c r="E3352" s="68" t="s">
        <v>13686</v>
      </c>
      <c r="F3352" s="76">
        <v>42151.0</v>
      </c>
      <c r="G3352" s="68" t="s">
        <v>13687</v>
      </c>
      <c r="H3352" s="71"/>
      <c r="I3352" s="66"/>
      <c r="J3352" s="68" t="s">
        <v>13688</v>
      </c>
      <c r="K3352" s="76">
        <v>42523.0</v>
      </c>
      <c r="L3352" s="68" t="s">
        <v>13689</v>
      </c>
      <c r="M3352" s="68" t="s">
        <v>166</v>
      </c>
      <c r="N3352" s="61"/>
      <c r="O3352" s="51"/>
    </row>
    <row r="3353">
      <c r="A3353" s="56">
        <v>3350.0</v>
      </c>
      <c r="B3353" s="71"/>
      <c r="C3353" s="69" t="s">
        <v>13690</v>
      </c>
      <c r="D3353" s="68" t="s">
        <v>13691</v>
      </c>
      <c r="E3353" s="68" t="s">
        <v>13692</v>
      </c>
      <c r="F3353" s="83">
        <v>41954.0</v>
      </c>
      <c r="G3353" s="68" t="s">
        <v>13693</v>
      </c>
      <c r="H3353" s="71"/>
      <c r="I3353" s="66"/>
      <c r="J3353" s="68" t="s">
        <v>13694</v>
      </c>
      <c r="K3353" s="76">
        <v>42523.0</v>
      </c>
      <c r="L3353" s="68" t="s">
        <v>13689</v>
      </c>
      <c r="M3353" s="68" t="s">
        <v>542</v>
      </c>
      <c r="N3353" s="61"/>
      <c r="O3353" s="51"/>
    </row>
    <row r="3354">
      <c r="A3354" s="56">
        <v>3351.0</v>
      </c>
      <c r="B3354" s="71"/>
      <c r="C3354" s="69" t="s">
        <v>13695</v>
      </c>
      <c r="D3354" s="71"/>
      <c r="E3354" s="68" t="s">
        <v>13696</v>
      </c>
      <c r="F3354" s="76">
        <v>41351.0</v>
      </c>
      <c r="G3354" s="68" t="s">
        <v>13697</v>
      </c>
      <c r="H3354" s="71"/>
      <c r="I3354" s="66"/>
      <c r="J3354" s="87" t="s">
        <v>13698</v>
      </c>
      <c r="K3354" s="76">
        <v>42523.0</v>
      </c>
      <c r="L3354" s="68" t="s">
        <v>2743</v>
      </c>
      <c r="M3354" s="68" t="s">
        <v>4487</v>
      </c>
      <c r="N3354" s="61"/>
      <c r="O3354" s="51"/>
    </row>
    <row r="3355">
      <c r="A3355" s="56">
        <v>3352.0</v>
      </c>
      <c r="B3355" s="71"/>
      <c r="C3355" s="69" t="s">
        <v>13699</v>
      </c>
      <c r="D3355" s="71"/>
      <c r="E3355" s="68" t="s">
        <v>13700</v>
      </c>
      <c r="F3355" s="83">
        <v>42361.0</v>
      </c>
      <c r="G3355" s="68" t="s">
        <v>13701</v>
      </c>
      <c r="H3355" s="71"/>
      <c r="I3355" s="63" t="s">
        <v>13702</v>
      </c>
      <c r="J3355" s="68" t="s">
        <v>13703</v>
      </c>
      <c r="K3355" s="76">
        <v>42527.0</v>
      </c>
      <c r="L3355" s="68" t="s">
        <v>2743</v>
      </c>
      <c r="M3355" s="68" t="s">
        <v>143</v>
      </c>
      <c r="N3355" s="61"/>
      <c r="O3355" s="51"/>
    </row>
    <row r="3356">
      <c r="A3356" s="56">
        <v>3353.0</v>
      </c>
      <c r="B3356" s="60"/>
      <c r="C3356" s="58" t="s">
        <v>13704</v>
      </c>
      <c r="D3356" s="60"/>
      <c r="E3356" s="57" t="s">
        <v>13705</v>
      </c>
      <c r="F3356" s="59">
        <v>41176.0</v>
      </c>
      <c r="G3356" s="57" t="s">
        <v>13706</v>
      </c>
      <c r="H3356" s="60"/>
      <c r="I3356" s="63" t="s">
        <v>13707</v>
      </c>
      <c r="J3356" s="57" t="s">
        <v>2774</v>
      </c>
      <c r="K3356" s="59">
        <v>42527.0</v>
      </c>
      <c r="L3356" s="57" t="s">
        <v>13708</v>
      </c>
      <c r="M3356" s="57" t="s">
        <v>166</v>
      </c>
      <c r="N3356" s="61"/>
      <c r="O3356" s="51"/>
    </row>
    <row r="3357">
      <c r="A3357" s="56">
        <v>3354.0</v>
      </c>
      <c r="B3357" s="71"/>
      <c r="C3357" s="69" t="s">
        <v>13709</v>
      </c>
      <c r="D3357" s="71"/>
      <c r="E3357" s="68" t="s">
        <v>13710</v>
      </c>
      <c r="F3357" s="76">
        <v>41738.0</v>
      </c>
      <c r="G3357" s="68" t="s">
        <v>13711</v>
      </c>
      <c r="H3357" s="71"/>
      <c r="I3357" s="68" t="s">
        <v>13712</v>
      </c>
      <c r="J3357" s="68" t="s">
        <v>13713</v>
      </c>
      <c r="K3357" s="76">
        <v>42527.0</v>
      </c>
      <c r="L3357" s="68" t="s">
        <v>13708</v>
      </c>
      <c r="M3357" s="68" t="s">
        <v>166</v>
      </c>
      <c r="N3357" s="77"/>
      <c r="O3357" s="51"/>
    </row>
    <row r="3358">
      <c r="A3358" s="56">
        <v>3355.0</v>
      </c>
      <c r="B3358" s="71"/>
      <c r="C3358" s="69" t="s">
        <v>13714</v>
      </c>
      <c r="D3358" s="71"/>
      <c r="E3358" s="68" t="s">
        <v>13715</v>
      </c>
      <c r="F3358" s="83">
        <v>42367.0</v>
      </c>
      <c r="G3358" s="68" t="s">
        <v>13716</v>
      </c>
      <c r="H3358" s="71"/>
      <c r="I3358" s="68" t="s">
        <v>13717</v>
      </c>
      <c r="J3358" s="68" t="s">
        <v>13718</v>
      </c>
      <c r="K3358" s="76">
        <v>42527.0</v>
      </c>
      <c r="L3358" s="68" t="s">
        <v>13708</v>
      </c>
      <c r="M3358" s="68" t="s">
        <v>166</v>
      </c>
      <c r="N3358" s="77"/>
      <c r="O3358" s="51"/>
    </row>
    <row r="3359">
      <c r="A3359" s="56">
        <v>3356.0</v>
      </c>
      <c r="B3359" s="71"/>
      <c r="C3359" s="69" t="s">
        <v>13719</v>
      </c>
      <c r="D3359" s="71"/>
      <c r="E3359" s="68" t="s">
        <v>13720</v>
      </c>
      <c r="F3359" s="76">
        <v>42382.0</v>
      </c>
      <c r="G3359" s="68" t="s">
        <v>13721</v>
      </c>
      <c r="H3359" s="71"/>
      <c r="I3359" s="63" t="s">
        <v>635</v>
      </c>
      <c r="J3359" s="68" t="s">
        <v>13722</v>
      </c>
      <c r="K3359" s="76">
        <v>42527.0</v>
      </c>
      <c r="L3359" s="68" t="s">
        <v>13708</v>
      </c>
      <c r="M3359" s="68" t="s">
        <v>166</v>
      </c>
      <c r="N3359" s="61"/>
      <c r="O3359" s="51"/>
    </row>
    <row r="3360">
      <c r="A3360" s="56">
        <v>3357.0</v>
      </c>
      <c r="B3360" s="71"/>
      <c r="C3360" s="69" t="s">
        <v>13723</v>
      </c>
      <c r="D3360" s="71"/>
      <c r="E3360" s="68" t="s">
        <v>13724</v>
      </c>
      <c r="F3360" s="76">
        <v>42394.0</v>
      </c>
      <c r="G3360" s="68" t="s">
        <v>13725</v>
      </c>
      <c r="H3360" s="71"/>
      <c r="I3360" s="68" t="s">
        <v>13726</v>
      </c>
      <c r="J3360" s="87" t="s">
        <v>13727</v>
      </c>
      <c r="K3360" s="76">
        <v>42527.0</v>
      </c>
      <c r="L3360" s="68" t="s">
        <v>13708</v>
      </c>
      <c r="M3360" s="68" t="s">
        <v>166</v>
      </c>
      <c r="N3360" s="77"/>
      <c r="O3360" s="51"/>
    </row>
    <row r="3361">
      <c r="A3361" s="56">
        <v>3358.0</v>
      </c>
      <c r="B3361" s="71"/>
      <c r="C3361" s="69" t="s">
        <v>13728</v>
      </c>
      <c r="D3361" s="71"/>
      <c r="E3361" s="68" t="s">
        <v>13729</v>
      </c>
      <c r="F3361" s="76">
        <v>42459.0</v>
      </c>
      <c r="G3361" s="68" t="s">
        <v>13730</v>
      </c>
      <c r="H3361" s="71"/>
      <c r="I3361" s="63" t="s">
        <v>635</v>
      </c>
      <c r="J3361" s="68" t="s">
        <v>13731</v>
      </c>
      <c r="K3361" s="76">
        <v>42527.0</v>
      </c>
      <c r="L3361" s="104"/>
      <c r="M3361" s="73" t="s">
        <v>166</v>
      </c>
      <c r="N3361" s="61"/>
      <c r="O3361" s="51"/>
    </row>
    <row r="3362">
      <c r="A3362" s="56">
        <v>3359.0</v>
      </c>
      <c r="B3362" s="71"/>
      <c r="C3362" s="69" t="s">
        <v>13732</v>
      </c>
      <c r="D3362" s="71"/>
      <c r="E3362" s="68" t="s">
        <v>13733</v>
      </c>
      <c r="F3362" s="76">
        <v>42460.0</v>
      </c>
      <c r="G3362" s="68" t="s">
        <v>13734</v>
      </c>
      <c r="H3362" s="71"/>
      <c r="I3362" s="63" t="s">
        <v>635</v>
      </c>
      <c r="J3362" s="68" t="s">
        <v>13735</v>
      </c>
      <c r="K3362" s="76">
        <v>42527.0</v>
      </c>
      <c r="L3362" s="128" t="s">
        <v>13708</v>
      </c>
      <c r="M3362" s="68" t="s">
        <v>166</v>
      </c>
      <c r="N3362" s="61"/>
      <c r="O3362" s="51"/>
    </row>
    <row r="3363">
      <c r="A3363" s="56">
        <v>3360.0</v>
      </c>
      <c r="B3363" s="71"/>
      <c r="C3363" s="69" t="s">
        <v>13736</v>
      </c>
      <c r="D3363" s="71"/>
      <c r="E3363" s="68" t="s">
        <v>13737</v>
      </c>
      <c r="F3363" s="76">
        <v>42459.0</v>
      </c>
      <c r="G3363" s="68" t="s">
        <v>13738</v>
      </c>
      <c r="H3363" s="71"/>
      <c r="I3363" s="63" t="s">
        <v>13739</v>
      </c>
      <c r="J3363" s="68" t="s">
        <v>13740</v>
      </c>
      <c r="K3363" s="76">
        <v>42530.0</v>
      </c>
      <c r="L3363" s="68" t="s">
        <v>2743</v>
      </c>
      <c r="M3363" s="68" t="s">
        <v>143</v>
      </c>
      <c r="N3363" s="61"/>
      <c r="O3363" s="51"/>
    </row>
    <row r="3364">
      <c r="A3364" s="56">
        <v>3361.0</v>
      </c>
      <c r="B3364" s="71"/>
      <c r="C3364" s="69" t="s">
        <v>13741</v>
      </c>
      <c r="D3364" s="71"/>
      <c r="E3364" s="68" t="s">
        <v>13742</v>
      </c>
      <c r="F3364" s="76">
        <v>42160.0</v>
      </c>
      <c r="G3364" s="68" t="s">
        <v>13743</v>
      </c>
      <c r="H3364" s="71"/>
      <c r="I3364" s="68" t="s">
        <v>13744</v>
      </c>
      <c r="J3364" s="68" t="s">
        <v>13745</v>
      </c>
      <c r="K3364" s="76">
        <v>42531.0</v>
      </c>
      <c r="L3364" s="68" t="s">
        <v>2743</v>
      </c>
      <c r="M3364" s="68" t="s">
        <v>143</v>
      </c>
      <c r="N3364" s="77"/>
      <c r="O3364" s="51"/>
    </row>
    <row r="3365">
      <c r="A3365" s="56">
        <v>3362.0</v>
      </c>
      <c r="B3365" s="66"/>
      <c r="C3365" s="64" t="s">
        <v>13746</v>
      </c>
      <c r="D3365" s="63" t="s">
        <v>13747</v>
      </c>
      <c r="E3365" s="63" t="s">
        <v>13748</v>
      </c>
      <c r="F3365" s="70">
        <v>41479.0</v>
      </c>
      <c r="G3365" s="80" t="s">
        <v>13749</v>
      </c>
      <c r="H3365" s="82"/>
      <c r="I3365" s="63" t="s">
        <v>13750</v>
      </c>
      <c r="J3365" s="63" t="s">
        <v>5653</v>
      </c>
      <c r="K3365" s="70">
        <v>42531.0</v>
      </c>
      <c r="L3365" s="63" t="s">
        <v>13689</v>
      </c>
      <c r="M3365" s="63" t="s">
        <v>40</v>
      </c>
      <c r="N3365" s="61"/>
      <c r="O3365" s="51"/>
    </row>
    <row r="3366">
      <c r="A3366" s="56">
        <v>3363.0</v>
      </c>
      <c r="B3366" s="66"/>
      <c r="C3366" s="64" t="s">
        <v>13751</v>
      </c>
      <c r="D3366" s="66"/>
      <c r="E3366" s="63" t="s">
        <v>13752</v>
      </c>
      <c r="F3366" s="70">
        <v>42130.0</v>
      </c>
      <c r="G3366" s="80" t="s">
        <v>13753</v>
      </c>
      <c r="H3366" s="80" t="s">
        <v>13754</v>
      </c>
      <c r="I3366" s="63" t="s">
        <v>13755</v>
      </c>
      <c r="J3366" s="63" t="s">
        <v>3575</v>
      </c>
      <c r="K3366" s="70">
        <v>42534.0</v>
      </c>
      <c r="L3366" s="63" t="s">
        <v>13678</v>
      </c>
      <c r="M3366" s="63" t="s">
        <v>2152</v>
      </c>
      <c r="N3366" s="61"/>
      <c r="O3366" s="51"/>
    </row>
    <row r="3367">
      <c r="A3367" s="56">
        <v>3364.0</v>
      </c>
      <c r="B3367" s="60"/>
      <c r="C3367" s="58" t="s">
        <v>13756</v>
      </c>
      <c r="D3367" s="60"/>
      <c r="E3367" s="57" t="s">
        <v>13757</v>
      </c>
      <c r="F3367" s="78">
        <v>42361.0</v>
      </c>
      <c r="G3367" s="57" t="s">
        <v>13758</v>
      </c>
      <c r="H3367" s="60"/>
      <c r="I3367" s="63" t="s">
        <v>13759</v>
      </c>
      <c r="J3367" s="57" t="s">
        <v>13760</v>
      </c>
      <c r="K3367" s="59">
        <v>42443.0</v>
      </c>
      <c r="L3367" s="57" t="s">
        <v>2743</v>
      </c>
      <c r="M3367" s="60"/>
      <c r="N3367" s="61"/>
      <c r="O3367" s="51"/>
    </row>
    <row r="3368">
      <c r="A3368" s="56">
        <v>3365.0</v>
      </c>
      <c r="B3368" s="71"/>
      <c r="C3368" s="69" t="s">
        <v>13761</v>
      </c>
      <c r="D3368" s="68" t="s">
        <v>13762</v>
      </c>
      <c r="E3368" s="68" t="s">
        <v>13763</v>
      </c>
      <c r="F3368" s="76">
        <v>42104.0</v>
      </c>
      <c r="G3368" s="68" t="s">
        <v>13764</v>
      </c>
      <c r="H3368" s="71"/>
      <c r="I3368" s="63" t="s">
        <v>635</v>
      </c>
      <c r="J3368" s="68" t="s">
        <v>9979</v>
      </c>
      <c r="K3368" s="76">
        <v>42539.0</v>
      </c>
      <c r="L3368" s="68" t="s">
        <v>13765</v>
      </c>
      <c r="M3368" s="68" t="s">
        <v>166</v>
      </c>
      <c r="N3368" s="61"/>
      <c r="O3368" s="51"/>
    </row>
    <row r="3369">
      <c r="A3369" s="85">
        <v>3366.0</v>
      </c>
      <c r="B3369" s="82"/>
      <c r="C3369" s="79" t="s">
        <v>13766</v>
      </c>
      <c r="D3369" s="80" t="s">
        <v>13767</v>
      </c>
      <c r="E3369" s="80" t="s">
        <v>13768</v>
      </c>
      <c r="F3369" s="80">
        <v>2009.0</v>
      </c>
      <c r="G3369" s="80" t="s">
        <v>13769</v>
      </c>
      <c r="H3369" s="82"/>
      <c r="I3369" s="80" t="s">
        <v>635</v>
      </c>
      <c r="J3369" s="80" t="s">
        <v>9979</v>
      </c>
      <c r="K3369" s="81">
        <v>42539.0</v>
      </c>
      <c r="L3369" s="80" t="s">
        <v>13770</v>
      </c>
      <c r="M3369" s="82"/>
      <c r="N3369" s="61"/>
      <c r="O3369" s="51"/>
    </row>
    <row r="3370">
      <c r="A3370" s="56">
        <v>3367.0</v>
      </c>
      <c r="B3370" s="66"/>
      <c r="C3370" s="64" t="s">
        <v>13771</v>
      </c>
      <c r="D3370" s="63" t="s">
        <v>13772</v>
      </c>
      <c r="E3370" s="63" t="s">
        <v>13773</v>
      </c>
      <c r="F3370" s="70">
        <v>40795.0</v>
      </c>
      <c r="G3370" s="80" t="s">
        <v>13774</v>
      </c>
      <c r="H3370" s="82"/>
      <c r="I3370" s="63" t="s">
        <v>13775</v>
      </c>
      <c r="J3370" s="63" t="s">
        <v>2872</v>
      </c>
      <c r="K3370" s="70">
        <v>42539.0</v>
      </c>
      <c r="L3370" s="63" t="s">
        <v>13770</v>
      </c>
      <c r="M3370" s="63" t="s">
        <v>125</v>
      </c>
      <c r="N3370" s="61"/>
      <c r="O3370" s="51"/>
    </row>
    <row r="3371">
      <c r="A3371" s="56">
        <v>3368.0</v>
      </c>
      <c r="B3371" s="71"/>
      <c r="C3371" s="69" t="s">
        <v>13776</v>
      </c>
      <c r="D3371" s="68" t="s">
        <v>13772</v>
      </c>
      <c r="E3371" s="68" t="s">
        <v>13777</v>
      </c>
      <c r="F3371" s="83">
        <v>42320.0</v>
      </c>
      <c r="G3371" s="68" t="s">
        <v>13778</v>
      </c>
      <c r="H3371" s="71"/>
      <c r="I3371" s="68" t="s">
        <v>13779</v>
      </c>
      <c r="J3371" s="68" t="s">
        <v>13780</v>
      </c>
      <c r="K3371" s="76">
        <v>42539.0</v>
      </c>
      <c r="L3371" s="68" t="s">
        <v>13770</v>
      </c>
      <c r="M3371" s="68" t="s">
        <v>282</v>
      </c>
      <c r="N3371" s="61"/>
      <c r="O3371" s="51"/>
    </row>
    <row r="3372">
      <c r="A3372" s="56">
        <v>3369.0</v>
      </c>
      <c r="B3372" s="71"/>
      <c r="C3372" s="69" t="s">
        <v>13781</v>
      </c>
      <c r="D3372" s="68" t="s">
        <v>13782</v>
      </c>
      <c r="E3372" s="68" t="s">
        <v>13783</v>
      </c>
      <c r="F3372" s="71"/>
      <c r="G3372" s="68" t="s">
        <v>13784</v>
      </c>
      <c r="H3372" s="71"/>
      <c r="I3372" s="63" t="s">
        <v>635</v>
      </c>
      <c r="J3372" s="68" t="s">
        <v>13785</v>
      </c>
      <c r="K3372" s="76">
        <v>42539.0</v>
      </c>
      <c r="L3372" s="68" t="s">
        <v>13770</v>
      </c>
      <c r="M3372" s="68" t="s">
        <v>13786</v>
      </c>
      <c r="N3372" s="61"/>
      <c r="O3372" s="51"/>
    </row>
    <row r="3373">
      <c r="A3373" s="56">
        <v>3370.0</v>
      </c>
      <c r="B3373" s="71"/>
      <c r="C3373" s="69" t="s">
        <v>13787</v>
      </c>
      <c r="D3373" s="68" t="s">
        <v>13788</v>
      </c>
      <c r="E3373" s="68" t="s">
        <v>13789</v>
      </c>
      <c r="F3373" s="68">
        <v>2008.0</v>
      </c>
      <c r="G3373" s="68" t="s">
        <v>13790</v>
      </c>
      <c r="H3373" s="71"/>
      <c r="I3373" s="63" t="s">
        <v>635</v>
      </c>
      <c r="J3373" s="68" t="s">
        <v>13791</v>
      </c>
      <c r="K3373" s="76">
        <v>42539.0</v>
      </c>
      <c r="L3373" s="68" t="s">
        <v>13770</v>
      </c>
      <c r="M3373" s="68" t="s">
        <v>195</v>
      </c>
      <c r="N3373" s="61"/>
      <c r="O3373" s="51"/>
    </row>
    <row r="3374">
      <c r="A3374" s="56">
        <v>3371.0</v>
      </c>
      <c r="B3374" s="71"/>
      <c r="C3374" s="69" t="s">
        <v>13792</v>
      </c>
      <c r="D3374" s="71"/>
      <c r="E3374" s="68" t="s">
        <v>13793</v>
      </c>
      <c r="F3374" s="76">
        <v>42497.0</v>
      </c>
      <c r="G3374" s="68" t="s">
        <v>13794</v>
      </c>
      <c r="H3374" s="71"/>
      <c r="I3374" s="68" t="s">
        <v>13795</v>
      </c>
      <c r="J3374" s="68" t="s">
        <v>13796</v>
      </c>
      <c r="K3374" s="71"/>
      <c r="L3374" s="71"/>
      <c r="M3374" s="71"/>
      <c r="N3374" s="61"/>
      <c r="O3374" s="51"/>
    </row>
    <row r="3375">
      <c r="A3375" s="56">
        <v>3372.0</v>
      </c>
      <c r="B3375" s="71"/>
      <c r="C3375" s="69" t="s">
        <v>13797</v>
      </c>
      <c r="D3375" s="71"/>
      <c r="E3375" s="68" t="s">
        <v>13798</v>
      </c>
      <c r="F3375" s="83">
        <v>41927.0</v>
      </c>
      <c r="G3375" s="68" t="s">
        <v>13799</v>
      </c>
      <c r="H3375" s="71"/>
      <c r="I3375" s="68" t="s">
        <v>13800</v>
      </c>
      <c r="J3375" s="68" t="s">
        <v>13801</v>
      </c>
      <c r="K3375" s="76">
        <v>42542.0</v>
      </c>
      <c r="L3375" s="68" t="s">
        <v>2743</v>
      </c>
      <c r="M3375" s="68" t="s">
        <v>282</v>
      </c>
      <c r="N3375" s="61"/>
      <c r="O3375" s="51"/>
    </row>
    <row r="3376">
      <c r="A3376" s="56">
        <v>3373.0</v>
      </c>
      <c r="B3376" s="66"/>
      <c r="C3376" s="64" t="s">
        <v>13802</v>
      </c>
      <c r="D3376" s="66"/>
      <c r="E3376" s="63" t="s">
        <v>13803</v>
      </c>
      <c r="F3376" s="70">
        <v>42443.0</v>
      </c>
      <c r="G3376" s="80" t="s">
        <v>13804</v>
      </c>
      <c r="H3376" s="82"/>
      <c r="I3376" s="63" t="s">
        <v>13805</v>
      </c>
      <c r="J3376" s="63" t="s">
        <v>10817</v>
      </c>
      <c r="K3376" s="70">
        <v>42542.0</v>
      </c>
      <c r="L3376" s="63" t="s">
        <v>2743</v>
      </c>
      <c r="M3376" s="63" t="s">
        <v>31</v>
      </c>
      <c r="N3376" s="61"/>
      <c r="O3376" s="51"/>
    </row>
    <row r="3377">
      <c r="A3377" s="56">
        <v>3374.0</v>
      </c>
      <c r="B3377" s="66"/>
      <c r="C3377" s="64" t="s">
        <v>13806</v>
      </c>
      <c r="D3377" s="66"/>
      <c r="E3377" s="63" t="s">
        <v>13807</v>
      </c>
      <c r="F3377" s="70">
        <v>40970.0</v>
      </c>
      <c r="G3377" s="80" t="s">
        <v>13808</v>
      </c>
      <c r="H3377" s="82"/>
      <c r="I3377" s="63" t="s">
        <v>13809</v>
      </c>
      <c r="J3377" s="63" t="s">
        <v>2872</v>
      </c>
      <c r="K3377" s="70">
        <v>42542.0</v>
      </c>
      <c r="L3377" s="63" t="s">
        <v>13810</v>
      </c>
      <c r="M3377" s="63" t="s">
        <v>125</v>
      </c>
      <c r="N3377" s="61"/>
      <c r="O3377" s="51"/>
    </row>
    <row r="3378">
      <c r="A3378" s="56">
        <v>3375.0</v>
      </c>
      <c r="B3378" s="71"/>
      <c r="C3378" s="69" t="s">
        <v>13811</v>
      </c>
      <c r="D3378" s="71"/>
      <c r="E3378" s="68" t="s">
        <v>13812</v>
      </c>
      <c r="F3378" s="76">
        <v>42500.0</v>
      </c>
      <c r="G3378" s="68" t="s">
        <v>13813</v>
      </c>
      <c r="H3378" s="71"/>
      <c r="I3378" s="63" t="s">
        <v>13814</v>
      </c>
      <c r="J3378" s="68" t="s">
        <v>13815</v>
      </c>
      <c r="K3378" s="76">
        <v>42543.0</v>
      </c>
      <c r="L3378" s="68" t="s">
        <v>13594</v>
      </c>
      <c r="M3378" s="71"/>
      <c r="N3378" s="61"/>
      <c r="O3378" s="51"/>
    </row>
    <row r="3379">
      <c r="A3379" s="56">
        <v>3376.0</v>
      </c>
      <c r="B3379" s="71"/>
      <c r="C3379" s="69" t="s">
        <v>13816</v>
      </c>
      <c r="D3379" s="71"/>
      <c r="E3379" s="68" t="s">
        <v>13817</v>
      </c>
      <c r="F3379" s="76">
        <v>42345.0</v>
      </c>
      <c r="G3379" s="68" t="s">
        <v>13818</v>
      </c>
      <c r="H3379" s="71"/>
      <c r="I3379" s="63" t="s">
        <v>13819</v>
      </c>
      <c r="J3379" s="68" t="s">
        <v>13820</v>
      </c>
      <c r="K3379" s="76">
        <v>42543.0</v>
      </c>
      <c r="L3379" s="68" t="s">
        <v>13594</v>
      </c>
      <c r="M3379" s="68" t="s">
        <v>403</v>
      </c>
      <c r="N3379" s="61"/>
      <c r="O3379" s="51"/>
    </row>
    <row r="3380">
      <c r="A3380" s="56">
        <v>3377.0</v>
      </c>
      <c r="B3380" s="66"/>
      <c r="C3380" s="64" t="s">
        <v>13821</v>
      </c>
      <c r="D3380" s="66"/>
      <c r="E3380" s="63" t="s">
        <v>13822</v>
      </c>
      <c r="F3380" s="65">
        <v>41997.0</v>
      </c>
      <c r="G3380" s="80" t="s">
        <v>13823</v>
      </c>
      <c r="H3380" s="82"/>
      <c r="I3380" s="63" t="s">
        <v>13824</v>
      </c>
      <c r="J3380" s="63" t="s">
        <v>13616</v>
      </c>
      <c r="K3380" s="70">
        <v>42543.0</v>
      </c>
      <c r="L3380" s="66"/>
      <c r="M3380" s="63" t="s">
        <v>2291</v>
      </c>
      <c r="N3380" s="61"/>
      <c r="O3380" s="51"/>
    </row>
    <row r="3381">
      <c r="A3381" s="56">
        <v>3378.0</v>
      </c>
      <c r="B3381" s="71"/>
      <c r="C3381" s="69" t="s">
        <v>13825</v>
      </c>
      <c r="D3381" s="71"/>
      <c r="E3381" s="68" t="s">
        <v>13826</v>
      </c>
      <c r="F3381" s="76">
        <v>41366.0</v>
      </c>
      <c r="G3381" s="68" t="s">
        <v>13827</v>
      </c>
      <c r="H3381" s="71"/>
      <c r="I3381" s="63" t="s">
        <v>13828</v>
      </c>
      <c r="J3381" s="68" t="s">
        <v>13829</v>
      </c>
      <c r="K3381" s="76">
        <v>42543.0</v>
      </c>
      <c r="L3381" s="68" t="s">
        <v>13594</v>
      </c>
      <c r="M3381" s="68" t="s">
        <v>872</v>
      </c>
      <c r="N3381" s="61"/>
      <c r="O3381" s="51"/>
    </row>
    <row r="3382">
      <c r="A3382" s="56">
        <v>3379.0</v>
      </c>
      <c r="B3382" s="71"/>
      <c r="C3382" s="69" t="s">
        <v>13830</v>
      </c>
      <c r="D3382" s="71"/>
      <c r="E3382" s="68" t="s">
        <v>13831</v>
      </c>
      <c r="F3382" s="76">
        <v>42499.0</v>
      </c>
      <c r="G3382" s="68" t="s">
        <v>13832</v>
      </c>
      <c r="H3382" s="71"/>
      <c r="I3382" s="63" t="s">
        <v>635</v>
      </c>
      <c r="J3382" s="68" t="s">
        <v>9968</v>
      </c>
      <c r="K3382" s="76">
        <v>42543.0</v>
      </c>
      <c r="L3382" s="68" t="s">
        <v>13594</v>
      </c>
      <c r="M3382" s="68" t="s">
        <v>166</v>
      </c>
      <c r="N3382" s="61"/>
      <c r="O3382" s="51"/>
    </row>
    <row r="3383">
      <c r="A3383" s="56">
        <v>3380.0</v>
      </c>
      <c r="B3383" s="71"/>
      <c r="C3383" s="69" t="s">
        <v>13833</v>
      </c>
      <c r="D3383" s="71"/>
      <c r="E3383" s="68" t="s">
        <v>13834</v>
      </c>
      <c r="F3383" s="76">
        <v>42514.0</v>
      </c>
      <c r="G3383" s="68" t="s">
        <v>13835</v>
      </c>
      <c r="H3383" s="71"/>
      <c r="I3383" s="63" t="s">
        <v>635</v>
      </c>
      <c r="J3383" s="68" t="s">
        <v>6973</v>
      </c>
      <c r="K3383" s="76">
        <v>42544.0</v>
      </c>
      <c r="L3383" s="68" t="s">
        <v>13836</v>
      </c>
      <c r="M3383" s="68" t="s">
        <v>166</v>
      </c>
      <c r="N3383" s="61"/>
      <c r="O3383" s="51"/>
    </row>
    <row r="3384">
      <c r="A3384" s="56">
        <v>3381.0</v>
      </c>
      <c r="B3384" s="71"/>
      <c r="C3384" s="69" t="s">
        <v>13837</v>
      </c>
      <c r="D3384" s="71"/>
      <c r="E3384" s="68" t="s">
        <v>13838</v>
      </c>
      <c r="F3384" s="76">
        <v>42514.0</v>
      </c>
      <c r="G3384" s="68" t="s">
        <v>13839</v>
      </c>
      <c r="H3384" s="71"/>
      <c r="I3384" s="68" t="s">
        <v>13840</v>
      </c>
      <c r="J3384" s="68" t="s">
        <v>13841</v>
      </c>
      <c r="K3384" s="76">
        <v>42544.0</v>
      </c>
      <c r="L3384" s="68" t="s">
        <v>13836</v>
      </c>
      <c r="M3384" s="68" t="s">
        <v>166</v>
      </c>
      <c r="N3384" s="77"/>
      <c r="O3384" s="51"/>
    </row>
    <row r="3385">
      <c r="A3385" s="56">
        <v>3382.0</v>
      </c>
      <c r="B3385" s="71"/>
      <c r="C3385" s="69" t="s">
        <v>13842</v>
      </c>
      <c r="D3385" s="71"/>
      <c r="E3385" s="68" t="s">
        <v>13843</v>
      </c>
      <c r="F3385" s="76">
        <v>42515.0</v>
      </c>
      <c r="G3385" s="68" t="s">
        <v>13844</v>
      </c>
      <c r="H3385" s="71"/>
      <c r="I3385" s="63" t="s">
        <v>635</v>
      </c>
      <c r="J3385" s="68" t="s">
        <v>12369</v>
      </c>
      <c r="K3385" s="76">
        <v>42544.0</v>
      </c>
      <c r="L3385" s="68" t="s">
        <v>13836</v>
      </c>
      <c r="M3385" s="68" t="s">
        <v>166</v>
      </c>
      <c r="N3385" s="61"/>
      <c r="O3385" s="51"/>
    </row>
    <row r="3386">
      <c r="A3386" s="56">
        <v>3383.0</v>
      </c>
      <c r="B3386" s="71"/>
      <c r="C3386" s="69" t="s">
        <v>13845</v>
      </c>
      <c r="D3386" s="71"/>
      <c r="E3386" s="68" t="s">
        <v>13846</v>
      </c>
      <c r="F3386" s="76">
        <v>42515.0</v>
      </c>
      <c r="G3386" s="68" t="s">
        <v>13847</v>
      </c>
      <c r="H3386" s="71"/>
      <c r="I3386" s="63" t="s">
        <v>635</v>
      </c>
      <c r="J3386" s="68" t="s">
        <v>13848</v>
      </c>
      <c r="K3386" s="76">
        <v>42544.0</v>
      </c>
      <c r="L3386" s="68" t="s">
        <v>13836</v>
      </c>
      <c r="M3386" s="68" t="s">
        <v>166</v>
      </c>
      <c r="N3386" s="61"/>
      <c r="O3386" s="51"/>
    </row>
    <row r="3387">
      <c r="A3387" s="56">
        <v>3384.0</v>
      </c>
      <c r="B3387" s="71"/>
      <c r="C3387" s="69" t="s">
        <v>13849</v>
      </c>
      <c r="D3387" s="71"/>
      <c r="E3387" s="68" t="s">
        <v>13850</v>
      </c>
      <c r="F3387" s="76">
        <v>42524.0</v>
      </c>
      <c r="G3387" s="68" t="s">
        <v>13851</v>
      </c>
      <c r="H3387" s="71"/>
      <c r="I3387" s="63" t="s">
        <v>635</v>
      </c>
      <c r="J3387" s="68" t="s">
        <v>13852</v>
      </c>
      <c r="K3387" s="76">
        <v>42544.0</v>
      </c>
      <c r="L3387" s="68" t="s">
        <v>13836</v>
      </c>
      <c r="M3387" s="68" t="s">
        <v>166</v>
      </c>
      <c r="N3387" s="61"/>
      <c r="O3387" s="51"/>
    </row>
    <row r="3388">
      <c r="A3388" s="56">
        <v>3385.0</v>
      </c>
      <c r="B3388" s="71"/>
      <c r="C3388" s="69" t="s">
        <v>13853</v>
      </c>
      <c r="D3388" s="71"/>
      <c r="E3388" s="68" t="s">
        <v>13854</v>
      </c>
      <c r="F3388" s="76">
        <v>42524.0</v>
      </c>
      <c r="G3388" s="68" t="s">
        <v>13851</v>
      </c>
      <c r="H3388" s="71"/>
      <c r="I3388" s="63" t="s">
        <v>635</v>
      </c>
      <c r="J3388" s="68" t="s">
        <v>12369</v>
      </c>
      <c r="K3388" s="76">
        <v>42544.0</v>
      </c>
      <c r="L3388" s="68" t="s">
        <v>13836</v>
      </c>
      <c r="M3388" s="68" t="s">
        <v>166</v>
      </c>
      <c r="N3388" s="61"/>
      <c r="O3388" s="51"/>
    </row>
    <row r="3389">
      <c r="A3389" s="56">
        <v>3386.0</v>
      </c>
      <c r="B3389" s="71"/>
      <c r="C3389" s="69" t="s">
        <v>13855</v>
      </c>
      <c r="D3389" s="71"/>
      <c r="E3389" s="68" t="s">
        <v>13856</v>
      </c>
      <c r="F3389" s="76">
        <v>42524.0</v>
      </c>
      <c r="G3389" s="68" t="s">
        <v>13851</v>
      </c>
      <c r="H3389" s="71"/>
      <c r="I3389" s="63" t="s">
        <v>635</v>
      </c>
      <c r="J3389" s="68" t="s">
        <v>13857</v>
      </c>
      <c r="K3389" s="76">
        <v>42544.0</v>
      </c>
      <c r="L3389" s="68" t="s">
        <v>13836</v>
      </c>
      <c r="M3389" s="68" t="s">
        <v>166</v>
      </c>
      <c r="N3389" s="61"/>
      <c r="O3389" s="51"/>
    </row>
    <row r="3390">
      <c r="A3390" s="56">
        <v>3387.0</v>
      </c>
      <c r="B3390" s="71"/>
      <c r="C3390" s="69" t="s">
        <v>13858</v>
      </c>
      <c r="D3390" s="71"/>
      <c r="E3390" s="68" t="s">
        <v>13859</v>
      </c>
      <c r="F3390" s="76">
        <v>42524.0</v>
      </c>
      <c r="G3390" s="68" t="s">
        <v>13860</v>
      </c>
      <c r="H3390" s="71"/>
      <c r="I3390" s="63" t="s">
        <v>635</v>
      </c>
      <c r="J3390" s="68" t="s">
        <v>13861</v>
      </c>
      <c r="K3390" s="76">
        <v>42544.0</v>
      </c>
      <c r="L3390" s="68" t="s">
        <v>13836</v>
      </c>
      <c r="M3390" s="68" t="s">
        <v>166</v>
      </c>
      <c r="N3390" s="61"/>
      <c r="O3390" s="51"/>
    </row>
    <row r="3391">
      <c r="A3391" s="56">
        <v>3388.0</v>
      </c>
      <c r="B3391" s="71"/>
      <c r="C3391" s="69" t="s">
        <v>13862</v>
      </c>
      <c r="D3391" s="71"/>
      <c r="E3391" s="68" t="s">
        <v>13863</v>
      </c>
      <c r="F3391" s="76">
        <v>42524.0</v>
      </c>
      <c r="G3391" s="68" t="s">
        <v>13864</v>
      </c>
      <c r="H3391" s="71"/>
      <c r="I3391" s="63" t="s">
        <v>635</v>
      </c>
      <c r="J3391" s="68" t="s">
        <v>11802</v>
      </c>
      <c r="K3391" s="76">
        <v>42544.0</v>
      </c>
      <c r="L3391" s="68" t="s">
        <v>13836</v>
      </c>
      <c r="M3391" s="68" t="s">
        <v>166</v>
      </c>
      <c r="N3391" s="61"/>
      <c r="O3391" s="51"/>
    </row>
    <row r="3392">
      <c r="A3392" s="56">
        <v>3389.0</v>
      </c>
      <c r="B3392" s="71"/>
      <c r="C3392" s="69" t="s">
        <v>13865</v>
      </c>
      <c r="D3392" s="71"/>
      <c r="E3392" s="68" t="s">
        <v>13866</v>
      </c>
      <c r="F3392" s="76">
        <v>42529.0</v>
      </c>
      <c r="G3392" s="68" t="s">
        <v>13867</v>
      </c>
      <c r="H3392" s="71"/>
      <c r="I3392" s="63" t="s">
        <v>635</v>
      </c>
      <c r="J3392" s="68" t="s">
        <v>11802</v>
      </c>
      <c r="K3392" s="76">
        <v>42544.0</v>
      </c>
      <c r="L3392" s="68" t="s">
        <v>13836</v>
      </c>
      <c r="M3392" s="68" t="s">
        <v>166</v>
      </c>
      <c r="N3392" s="61"/>
      <c r="O3392" s="51"/>
    </row>
    <row r="3393">
      <c r="A3393" s="56">
        <v>3390.0</v>
      </c>
      <c r="B3393" s="71"/>
      <c r="C3393" s="69" t="s">
        <v>13868</v>
      </c>
      <c r="D3393" s="71"/>
      <c r="E3393" s="68" t="s">
        <v>13869</v>
      </c>
      <c r="F3393" s="76">
        <v>42530.0</v>
      </c>
      <c r="G3393" s="68" t="s">
        <v>13870</v>
      </c>
      <c r="H3393" s="71"/>
      <c r="I3393" s="63" t="s">
        <v>635</v>
      </c>
      <c r="J3393" s="68" t="s">
        <v>10769</v>
      </c>
      <c r="K3393" s="76">
        <v>42544.0</v>
      </c>
      <c r="L3393" s="68" t="s">
        <v>13836</v>
      </c>
      <c r="M3393" s="68" t="s">
        <v>166</v>
      </c>
      <c r="N3393" s="61"/>
      <c r="O3393" s="51"/>
    </row>
    <row r="3394">
      <c r="A3394" s="56">
        <v>3391.0</v>
      </c>
      <c r="B3394" s="71"/>
      <c r="C3394" s="69" t="s">
        <v>13871</v>
      </c>
      <c r="D3394" s="71"/>
      <c r="E3394" s="68" t="s">
        <v>13872</v>
      </c>
      <c r="F3394" s="76">
        <v>42530.0</v>
      </c>
      <c r="G3394" s="68" t="s">
        <v>13870</v>
      </c>
      <c r="H3394" s="71"/>
      <c r="I3394" s="63" t="s">
        <v>635</v>
      </c>
      <c r="J3394" s="68" t="s">
        <v>6973</v>
      </c>
      <c r="K3394" s="76">
        <v>42544.0</v>
      </c>
      <c r="L3394" s="68" t="s">
        <v>13836</v>
      </c>
      <c r="M3394" s="68" t="s">
        <v>166</v>
      </c>
      <c r="N3394" s="61"/>
      <c r="O3394" s="51"/>
    </row>
    <row r="3395">
      <c r="A3395" s="56">
        <v>3392.0</v>
      </c>
      <c r="B3395" s="71"/>
      <c r="C3395" s="69" t="s">
        <v>13873</v>
      </c>
      <c r="D3395" s="71"/>
      <c r="E3395" s="68" t="s">
        <v>13874</v>
      </c>
      <c r="F3395" s="76">
        <v>42530.0</v>
      </c>
      <c r="G3395" s="68" t="s">
        <v>13870</v>
      </c>
      <c r="H3395" s="71"/>
      <c r="I3395" s="63" t="s">
        <v>635</v>
      </c>
      <c r="J3395" s="68" t="s">
        <v>6973</v>
      </c>
      <c r="K3395" s="76">
        <v>42544.0</v>
      </c>
      <c r="L3395" s="68" t="s">
        <v>13836</v>
      </c>
      <c r="M3395" s="68" t="s">
        <v>166</v>
      </c>
      <c r="N3395" s="61"/>
      <c r="O3395" s="51"/>
    </row>
    <row r="3396">
      <c r="A3396" s="56">
        <v>3393.0</v>
      </c>
      <c r="B3396" s="60"/>
      <c r="C3396" s="58" t="s">
        <v>13875</v>
      </c>
      <c r="D3396" s="60"/>
      <c r="E3396" s="57" t="s">
        <v>13876</v>
      </c>
      <c r="F3396" s="78">
        <v>42300.0</v>
      </c>
      <c r="G3396" s="57" t="s">
        <v>13877</v>
      </c>
      <c r="H3396" s="60"/>
      <c r="I3396" s="63" t="s">
        <v>13878</v>
      </c>
      <c r="J3396" s="57" t="s">
        <v>13879</v>
      </c>
      <c r="K3396" s="59">
        <v>42544.0</v>
      </c>
      <c r="L3396" s="57" t="s">
        <v>2743</v>
      </c>
      <c r="M3396" s="60"/>
      <c r="N3396" s="61"/>
      <c r="O3396" s="51"/>
    </row>
    <row r="3397">
      <c r="A3397" s="56">
        <v>3394.0</v>
      </c>
      <c r="B3397" s="66"/>
      <c r="C3397" s="64" t="s">
        <v>13880</v>
      </c>
      <c r="D3397" s="66"/>
      <c r="E3397" s="63" t="s">
        <v>13881</v>
      </c>
      <c r="F3397" s="63">
        <v>2012.0</v>
      </c>
      <c r="G3397" s="80" t="s">
        <v>13882</v>
      </c>
      <c r="H3397" s="82"/>
      <c r="I3397" s="63" t="s">
        <v>13883</v>
      </c>
      <c r="J3397" s="63" t="s">
        <v>10320</v>
      </c>
      <c r="K3397" s="70">
        <v>42546.0</v>
      </c>
      <c r="L3397" s="63" t="s">
        <v>13884</v>
      </c>
      <c r="M3397" s="63" t="s">
        <v>2748</v>
      </c>
      <c r="N3397" s="61"/>
      <c r="O3397" s="51"/>
    </row>
    <row r="3398">
      <c r="A3398" s="56">
        <v>3395.0</v>
      </c>
      <c r="B3398" s="71"/>
      <c r="C3398" s="69" t="s">
        <v>13885</v>
      </c>
      <c r="D3398" s="68" t="s">
        <v>13886</v>
      </c>
      <c r="E3398" s="68" t="s">
        <v>13887</v>
      </c>
      <c r="F3398" s="83">
        <v>42349.0</v>
      </c>
      <c r="G3398" s="68" t="s">
        <v>13888</v>
      </c>
      <c r="H3398" s="71"/>
      <c r="I3398" s="63" t="s">
        <v>635</v>
      </c>
      <c r="J3398" s="68" t="s">
        <v>13889</v>
      </c>
      <c r="K3398" s="76">
        <v>42546.0</v>
      </c>
      <c r="L3398" s="68" t="s">
        <v>13890</v>
      </c>
      <c r="M3398" s="68" t="s">
        <v>166</v>
      </c>
      <c r="N3398" s="61"/>
      <c r="O3398" s="51"/>
    </row>
    <row r="3399">
      <c r="A3399" s="56">
        <v>3396.0</v>
      </c>
      <c r="B3399" s="71"/>
      <c r="C3399" s="69" t="s">
        <v>13891</v>
      </c>
      <c r="D3399" s="68" t="s">
        <v>13892</v>
      </c>
      <c r="E3399" s="68" t="s">
        <v>13893</v>
      </c>
      <c r="F3399" s="76">
        <v>40950.0</v>
      </c>
      <c r="G3399" s="68" t="s">
        <v>13894</v>
      </c>
      <c r="H3399" s="71"/>
      <c r="I3399" s="63" t="s">
        <v>635</v>
      </c>
      <c r="J3399" s="68" t="s">
        <v>13895</v>
      </c>
      <c r="K3399" s="76">
        <v>42546.0</v>
      </c>
      <c r="L3399" s="104"/>
      <c r="M3399" s="73" t="s">
        <v>12947</v>
      </c>
      <c r="N3399" s="61"/>
      <c r="O3399" s="51"/>
    </row>
    <row r="3400">
      <c r="A3400" s="56">
        <v>3397.0</v>
      </c>
      <c r="B3400" s="71"/>
      <c r="C3400" s="69" t="s">
        <v>13896</v>
      </c>
      <c r="D3400" s="68" t="s">
        <v>13897</v>
      </c>
      <c r="E3400" s="68" t="s">
        <v>13898</v>
      </c>
      <c r="F3400" s="76">
        <v>42144.0</v>
      </c>
      <c r="G3400" s="68" t="s">
        <v>13899</v>
      </c>
      <c r="H3400" s="71"/>
      <c r="I3400" s="63" t="s">
        <v>635</v>
      </c>
      <c r="J3400" s="68" t="s">
        <v>9979</v>
      </c>
      <c r="K3400" s="76">
        <v>42546.0</v>
      </c>
      <c r="L3400" s="128" t="s">
        <v>13900</v>
      </c>
      <c r="M3400" s="68" t="s">
        <v>166</v>
      </c>
      <c r="N3400" s="61"/>
      <c r="O3400" s="51"/>
    </row>
    <row r="3401">
      <c r="A3401" s="56">
        <v>3398.0</v>
      </c>
      <c r="B3401" s="71"/>
      <c r="C3401" s="69" t="s">
        <v>13901</v>
      </c>
      <c r="D3401" s="68" t="s">
        <v>13902</v>
      </c>
      <c r="E3401" s="68" t="s">
        <v>13903</v>
      </c>
      <c r="F3401" s="76">
        <v>40922.0</v>
      </c>
      <c r="G3401" s="68" t="s">
        <v>13904</v>
      </c>
      <c r="H3401" s="71"/>
      <c r="I3401" s="63" t="s">
        <v>13905</v>
      </c>
      <c r="J3401" s="68" t="s">
        <v>13906</v>
      </c>
      <c r="K3401" s="76">
        <v>42546.0</v>
      </c>
      <c r="L3401" s="68" t="s">
        <v>13890</v>
      </c>
      <c r="M3401" s="68" t="s">
        <v>2291</v>
      </c>
      <c r="N3401" s="61"/>
      <c r="O3401" s="51"/>
    </row>
    <row r="3402">
      <c r="A3402" s="56">
        <v>3399.0</v>
      </c>
      <c r="B3402" s="66"/>
      <c r="C3402" s="64" t="s">
        <v>13907</v>
      </c>
      <c r="D3402" s="63" t="s">
        <v>13908</v>
      </c>
      <c r="E3402" s="63" t="s">
        <v>13909</v>
      </c>
      <c r="F3402" s="70">
        <v>41870.0</v>
      </c>
      <c r="G3402" s="80" t="s">
        <v>13910</v>
      </c>
      <c r="H3402" s="82"/>
      <c r="I3402" s="66"/>
      <c r="J3402" s="63" t="s">
        <v>9979</v>
      </c>
      <c r="K3402" s="70">
        <v>42546.0</v>
      </c>
      <c r="L3402" s="63" t="s">
        <v>13890</v>
      </c>
      <c r="M3402" s="63" t="s">
        <v>166</v>
      </c>
      <c r="N3402" s="61"/>
      <c r="O3402" s="51"/>
    </row>
    <row r="3403">
      <c r="A3403" s="56">
        <v>3400.0</v>
      </c>
      <c r="B3403" s="71"/>
      <c r="C3403" s="69" t="s">
        <v>13911</v>
      </c>
      <c r="D3403" s="68" t="s">
        <v>13912</v>
      </c>
      <c r="E3403" s="68" t="s">
        <v>13913</v>
      </c>
      <c r="F3403" s="76">
        <v>42156.0</v>
      </c>
      <c r="G3403" s="68" t="s">
        <v>13914</v>
      </c>
      <c r="H3403" s="71"/>
      <c r="I3403" s="63" t="s">
        <v>635</v>
      </c>
      <c r="J3403" s="68" t="s">
        <v>9979</v>
      </c>
      <c r="K3403" s="76">
        <v>42546.0</v>
      </c>
      <c r="L3403" s="68" t="s">
        <v>13890</v>
      </c>
      <c r="M3403" s="68" t="s">
        <v>13915</v>
      </c>
      <c r="N3403" s="61"/>
      <c r="O3403" s="51"/>
    </row>
    <row r="3404">
      <c r="A3404" s="56">
        <v>3401.0</v>
      </c>
      <c r="B3404" s="71"/>
      <c r="C3404" s="69" t="s">
        <v>13916</v>
      </c>
      <c r="D3404" s="68" t="s">
        <v>13917</v>
      </c>
      <c r="E3404" s="68" t="s">
        <v>13918</v>
      </c>
      <c r="F3404" s="76">
        <v>42128.0</v>
      </c>
      <c r="G3404" s="68" t="s">
        <v>13919</v>
      </c>
      <c r="H3404" s="71"/>
      <c r="I3404" s="66"/>
      <c r="J3404" s="68" t="s">
        <v>13920</v>
      </c>
      <c r="K3404" s="76">
        <v>42546.0</v>
      </c>
      <c r="L3404" s="68" t="s">
        <v>13890</v>
      </c>
      <c r="M3404" s="68" t="s">
        <v>166</v>
      </c>
      <c r="N3404" s="61"/>
      <c r="O3404" s="51"/>
    </row>
    <row r="3405">
      <c r="A3405" s="56">
        <v>3402.0</v>
      </c>
      <c r="B3405" s="71"/>
      <c r="C3405" s="69" t="s">
        <v>13921</v>
      </c>
      <c r="D3405" s="68" t="s">
        <v>13922</v>
      </c>
      <c r="E3405" s="68" t="s">
        <v>13923</v>
      </c>
      <c r="F3405" s="221">
        <v>44804.0</v>
      </c>
      <c r="G3405" s="68" t="s">
        <v>13924</v>
      </c>
      <c r="H3405" s="71"/>
      <c r="I3405" s="63" t="s">
        <v>635</v>
      </c>
      <c r="J3405" s="68" t="s">
        <v>13925</v>
      </c>
      <c r="K3405" s="76">
        <v>42546.0</v>
      </c>
      <c r="L3405" s="68" t="s">
        <v>13890</v>
      </c>
      <c r="M3405" s="68" t="s">
        <v>166</v>
      </c>
      <c r="N3405" s="61"/>
      <c r="O3405" s="51"/>
    </row>
    <row r="3406">
      <c r="A3406" s="56">
        <v>3403.0</v>
      </c>
      <c r="B3406" s="71"/>
      <c r="C3406" s="69" t="s">
        <v>13926</v>
      </c>
      <c r="D3406" s="71"/>
      <c r="E3406" s="68" t="s">
        <v>13927</v>
      </c>
      <c r="F3406" s="221">
        <v>44636.0</v>
      </c>
      <c r="G3406" s="68" t="s">
        <v>13928</v>
      </c>
      <c r="H3406" s="71"/>
      <c r="I3406" s="63" t="s">
        <v>13929</v>
      </c>
      <c r="J3406" s="68" t="s">
        <v>13930</v>
      </c>
      <c r="K3406" s="76">
        <v>42546.0</v>
      </c>
      <c r="L3406" s="68" t="s">
        <v>2743</v>
      </c>
      <c r="M3406" s="68" t="s">
        <v>530</v>
      </c>
      <c r="N3406" s="61"/>
      <c r="O3406" s="51"/>
    </row>
    <row r="3407">
      <c r="A3407" s="56">
        <v>3404.0</v>
      </c>
      <c r="B3407" s="71"/>
      <c r="C3407" s="69" t="s">
        <v>13931</v>
      </c>
      <c r="D3407" s="68" t="s">
        <v>13932</v>
      </c>
      <c r="E3407" s="68" t="s">
        <v>13933</v>
      </c>
      <c r="F3407" s="76">
        <v>42446.0</v>
      </c>
      <c r="G3407" s="68" t="s">
        <v>13934</v>
      </c>
      <c r="H3407" s="71"/>
      <c r="I3407" s="63" t="s">
        <v>635</v>
      </c>
      <c r="J3407" s="68" t="s">
        <v>13935</v>
      </c>
      <c r="K3407" s="76">
        <v>42546.0</v>
      </c>
      <c r="L3407" s="68" t="s">
        <v>13890</v>
      </c>
      <c r="M3407" s="71"/>
      <c r="N3407" s="61"/>
      <c r="O3407" s="51"/>
    </row>
    <row r="3408">
      <c r="A3408" s="56">
        <v>3405.0</v>
      </c>
      <c r="B3408" s="71"/>
      <c r="C3408" s="69" t="s">
        <v>13936</v>
      </c>
      <c r="D3408" s="71"/>
      <c r="E3408" s="68" t="s">
        <v>13937</v>
      </c>
      <c r="F3408" s="76">
        <v>42311.0</v>
      </c>
      <c r="G3408" s="68" t="s">
        <v>13938</v>
      </c>
      <c r="H3408" s="71"/>
      <c r="I3408" s="63" t="s">
        <v>635</v>
      </c>
      <c r="J3408" s="68" t="s">
        <v>13939</v>
      </c>
      <c r="K3408" s="76">
        <v>42549.0</v>
      </c>
      <c r="L3408" s="68" t="s">
        <v>2743</v>
      </c>
      <c r="M3408" s="71"/>
      <c r="N3408" s="61"/>
      <c r="O3408" s="51"/>
    </row>
    <row r="3409">
      <c r="A3409" s="56">
        <v>3406.0</v>
      </c>
      <c r="B3409" s="71"/>
      <c r="C3409" s="69" t="s">
        <v>13940</v>
      </c>
      <c r="D3409" s="71"/>
      <c r="E3409" s="68" t="s">
        <v>13941</v>
      </c>
      <c r="F3409" s="76">
        <v>42411.0</v>
      </c>
      <c r="G3409" s="68" t="s">
        <v>13942</v>
      </c>
      <c r="H3409" s="71"/>
      <c r="I3409" s="63" t="s">
        <v>13943</v>
      </c>
      <c r="J3409" s="68" t="s">
        <v>13944</v>
      </c>
      <c r="K3409" s="76">
        <v>42549.0</v>
      </c>
      <c r="L3409" s="68" t="s">
        <v>2743</v>
      </c>
      <c r="M3409" s="71"/>
      <c r="N3409" s="61"/>
      <c r="O3409" s="51"/>
    </row>
    <row r="3410">
      <c r="A3410" s="56">
        <v>3407.0</v>
      </c>
      <c r="B3410" s="71"/>
      <c r="C3410" s="69" t="s">
        <v>13945</v>
      </c>
      <c r="D3410" s="71"/>
      <c r="E3410" s="68" t="s">
        <v>13946</v>
      </c>
      <c r="F3410" s="76">
        <v>42411.0</v>
      </c>
      <c r="G3410" s="68" t="s">
        <v>13942</v>
      </c>
      <c r="H3410" s="71"/>
      <c r="I3410" s="63" t="s">
        <v>13943</v>
      </c>
      <c r="J3410" s="68" t="s">
        <v>13944</v>
      </c>
      <c r="K3410" s="76">
        <v>42549.0</v>
      </c>
      <c r="L3410" s="68" t="s">
        <v>2743</v>
      </c>
      <c r="M3410" s="71"/>
      <c r="N3410" s="61"/>
      <c r="O3410" s="51"/>
    </row>
    <row r="3411">
      <c r="A3411" s="56">
        <v>3408.0</v>
      </c>
      <c r="B3411" s="71"/>
      <c r="C3411" s="69" t="s">
        <v>13947</v>
      </c>
      <c r="D3411" s="71"/>
      <c r="E3411" s="68" t="s">
        <v>13948</v>
      </c>
      <c r="F3411" s="76">
        <v>42529.0</v>
      </c>
      <c r="G3411" s="68" t="s">
        <v>13949</v>
      </c>
      <c r="H3411" s="71"/>
      <c r="I3411" s="63" t="s">
        <v>635</v>
      </c>
      <c r="J3411" s="68" t="s">
        <v>6973</v>
      </c>
      <c r="K3411" s="76">
        <v>42555.0</v>
      </c>
      <c r="L3411" s="68" t="s">
        <v>13836</v>
      </c>
      <c r="M3411" s="68" t="s">
        <v>166</v>
      </c>
      <c r="N3411" s="61"/>
      <c r="O3411" s="51"/>
    </row>
    <row r="3412">
      <c r="A3412" s="56">
        <v>3409.0</v>
      </c>
      <c r="B3412" s="71"/>
      <c r="C3412" s="69" t="s">
        <v>13950</v>
      </c>
      <c r="D3412" s="71"/>
      <c r="E3412" s="68" t="s">
        <v>13951</v>
      </c>
      <c r="F3412" s="76">
        <v>42533.0</v>
      </c>
      <c r="G3412" s="68" t="s">
        <v>13952</v>
      </c>
      <c r="H3412" s="71"/>
      <c r="I3412" s="63" t="s">
        <v>635</v>
      </c>
      <c r="J3412" s="68" t="s">
        <v>13953</v>
      </c>
      <c r="K3412" s="76">
        <v>42555.0</v>
      </c>
      <c r="L3412" s="68" t="s">
        <v>13836</v>
      </c>
      <c r="M3412" s="68" t="s">
        <v>166</v>
      </c>
      <c r="N3412" s="61"/>
      <c r="O3412" s="51"/>
    </row>
    <row r="3413">
      <c r="A3413" s="56">
        <v>3410.0</v>
      </c>
      <c r="B3413" s="71"/>
      <c r="C3413" s="69" t="s">
        <v>13954</v>
      </c>
      <c r="D3413" s="71"/>
      <c r="E3413" s="68" t="s">
        <v>13955</v>
      </c>
      <c r="F3413" s="76">
        <v>42533.0</v>
      </c>
      <c r="G3413" s="68" t="s">
        <v>13956</v>
      </c>
      <c r="H3413" s="71"/>
      <c r="I3413" s="63" t="s">
        <v>635</v>
      </c>
      <c r="J3413" s="68" t="s">
        <v>9979</v>
      </c>
      <c r="K3413" s="76">
        <v>42555.0</v>
      </c>
      <c r="L3413" s="68" t="s">
        <v>13836</v>
      </c>
      <c r="M3413" s="68" t="s">
        <v>13957</v>
      </c>
      <c r="N3413" s="61"/>
      <c r="O3413" s="51"/>
    </row>
    <row r="3414">
      <c r="A3414" s="56">
        <v>3411.0</v>
      </c>
      <c r="B3414" s="71"/>
      <c r="C3414" s="69" t="s">
        <v>13958</v>
      </c>
      <c r="D3414" s="71"/>
      <c r="E3414" s="68" t="s">
        <v>13959</v>
      </c>
      <c r="F3414" s="76">
        <v>42535.0</v>
      </c>
      <c r="G3414" s="68" t="s">
        <v>13960</v>
      </c>
      <c r="H3414" s="71"/>
      <c r="I3414" s="63" t="s">
        <v>635</v>
      </c>
      <c r="J3414" s="68" t="s">
        <v>13961</v>
      </c>
      <c r="K3414" s="76">
        <v>42555.0</v>
      </c>
      <c r="L3414" s="68" t="s">
        <v>13836</v>
      </c>
      <c r="M3414" s="68" t="s">
        <v>166</v>
      </c>
      <c r="N3414" s="61"/>
      <c r="O3414" s="51"/>
    </row>
    <row r="3415">
      <c r="A3415" s="56">
        <v>3412.0</v>
      </c>
      <c r="B3415" s="71"/>
      <c r="C3415" s="69" t="s">
        <v>13962</v>
      </c>
      <c r="D3415" s="71"/>
      <c r="E3415" s="68" t="s">
        <v>13963</v>
      </c>
      <c r="F3415" s="76">
        <v>42536.0</v>
      </c>
      <c r="G3415" s="68" t="s">
        <v>13964</v>
      </c>
      <c r="H3415" s="71"/>
      <c r="I3415" s="63" t="s">
        <v>635</v>
      </c>
      <c r="J3415" s="68" t="s">
        <v>12369</v>
      </c>
      <c r="K3415" s="76">
        <v>42555.0</v>
      </c>
      <c r="L3415" s="68" t="s">
        <v>13836</v>
      </c>
      <c r="M3415" s="68" t="s">
        <v>166</v>
      </c>
      <c r="N3415" s="61"/>
      <c r="O3415" s="51"/>
    </row>
    <row r="3416">
      <c r="A3416" s="56">
        <v>3413.0</v>
      </c>
      <c r="B3416" s="71"/>
      <c r="C3416" s="69" t="s">
        <v>13965</v>
      </c>
      <c r="D3416" s="71"/>
      <c r="E3416" s="68" t="s">
        <v>13966</v>
      </c>
      <c r="F3416" s="76">
        <v>42536.0</v>
      </c>
      <c r="G3416" s="68" t="s">
        <v>13967</v>
      </c>
      <c r="H3416" s="71"/>
      <c r="I3416" s="63" t="s">
        <v>635</v>
      </c>
      <c r="J3416" s="68" t="s">
        <v>12369</v>
      </c>
      <c r="K3416" s="76">
        <v>42555.0</v>
      </c>
      <c r="L3416" s="68" t="s">
        <v>13836</v>
      </c>
      <c r="M3416" s="68" t="s">
        <v>166</v>
      </c>
      <c r="N3416" s="61"/>
      <c r="O3416" s="51"/>
    </row>
    <row r="3417">
      <c r="A3417" s="56">
        <v>3414.0</v>
      </c>
      <c r="B3417" s="71"/>
      <c r="C3417" s="69" t="s">
        <v>13968</v>
      </c>
      <c r="D3417" s="71"/>
      <c r="E3417" s="68" t="s">
        <v>13969</v>
      </c>
      <c r="F3417" s="76">
        <v>42536.0</v>
      </c>
      <c r="G3417" s="68" t="s">
        <v>13970</v>
      </c>
      <c r="H3417" s="71"/>
      <c r="I3417" s="63" t="s">
        <v>635</v>
      </c>
      <c r="J3417" s="68" t="s">
        <v>12369</v>
      </c>
      <c r="K3417" s="76">
        <v>42555.0</v>
      </c>
      <c r="L3417" s="68" t="s">
        <v>13836</v>
      </c>
      <c r="M3417" s="68" t="s">
        <v>166</v>
      </c>
      <c r="N3417" s="61"/>
      <c r="O3417" s="51"/>
    </row>
    <row r="3418">
      <c r="A3418" s="56">
        <v>3415.0</v>
      </c>
      <c r="B3418" s="71"/>
      <c r="C3418" s="69" t="s">
        <v>13971</v>
      </c>
      <c r="D3418" s="71"/>
      <c r="E3418" s="68" t="s">
        <v>13972</v>
      </c>
      <c r="F3418" s="76">
        <v>42537.0</v>
      </c>
      <c r="G3418" s="68" t="s">
        <v>13973</v>
      </c>
      <c r="H3418" s="71"/>
      <c r="I3418" s="63" t="s">
        <v>635</v>
      </c>
      <c r="J3418" s="68" t="s">
        <v>6973</v>
      </c>
      <c r="K3418" s="76">
        <v>42555.0</v>
      </c>
      <c r="L3418" s="68" t="s">
        <v>13836</v>
      </c>
      <c r="M3418" s="68" t="s">
        <v>166</v>
      </c>
      <c r="N3418" s="61"/>
      <c r="O3418" s="51"/>
    </row>
    <row r="3419">
      <c r="A3419" s="56">
        <v>3416.0</v>
      </c>
      <c r="B3419" s="71"/>
      <c r="C3419" s="69" t="s">
        <v>13974</v>
      </c>
      <c r="D3419" s="71"/>
      <c r="E3419" s="68" t="s">
        <v>13975</v>
      </c>
      <c r="F3419" s="76">
        <v>42537.0</v>
      </c>
      <c r="G3419" s="68" t="s">
        <v>13976</v>
      </c>
      <c r="H3419" s="71"/>
      <c r="I3419" s="63" t="s">
        <v>635</v>
      </c>
      <c r="J3419" s="68" t="s">
        <v>12369</v>
      </c>
      <c r="K3419" s="76">
        <v>42555.0</v>
      </c>
      <c r="L3419" s="68" t="s">
        <v>13836</v>
      </c>
      <c r="M3419" s="68" t="s">
        <v>166</v>
      </c>
      <c r="N3419" s="61"/>
      <c r="O3419" s="51"/>
    </row>
    <row r="3420">
      <c r="A3420" s="56">
        <v>3417.0</v>
      </c>
      <c r="B3420" s="71"/>
      <c r="C3420" s="69" t="s">
        <v>13977</v>
      </c>
      <c r="D3420" s="71"/>
      <c r="E3420" s="68" t="s">
        <v>13978</v>
      </c>
      <c r="F3420" s="76">
        <v>42537.0</v>
      </c>
      <c r="G3420" s="68" t="s">
        <v>13979</v>
      </c>
      <c r="H3420" s="71"/>
      <c r="I3420" s="63" t="s">
        <v>635</v>
      </c>
      <c r="J3420" s="68" t="s">
        <v>841</v>
      </c>
      <c r="K3420" s="76">
        <v>42555.0</v>
      </c>
      <c r="L3420" s="68" t="s">
        <v>13836</v>
      </c>
      <c r="M3420" s="68" t="s">
        <v>166</v>
      </c>
      <c r="N3420" s="61"/>
      <c r="O3420" s="51"/>
    </row>
    <row r="3421">
      <c r="A3421" s="56">
        <v>3418.0</v>
      </c>
      <c r="B3421" s="71"/>
      <c r="C3421" s="69" t="s">
        <v>13980</v>
      </c>
      <c r="D3421" s="71"/>
      <c r="E3421" s="68" t="s">
        <v>13981</v>
      </c>
      <c r="F3421" s="76">
        <v>42538.0</v>
      </c>
      <c r="G3421" s="68" t="s">
        <v>13982</v>
      </c>
      <c r="H3421" s="71"/>
      <c r="I3421" s="63" t="s">
        <v>635</v>
      </c>
      <c r="J3421" s="68" t="s">
        <v>6973</v>
      </c>
      <c r="K3421" s="76">
        <v>42555.0</v>
      </c>
      <c r="L3421" s="68" t="s">
        <v>13836</v>
      </c>
      <c r="M3421" s="68" t="s">
        <v>166</v>
      </c>
      <c r="N3421" s="61"/>
      <c r="O3421" s="51"/>
    </row>
    <row r="3422">
      <c r="A3422" s="56">
        <v>3419.0</v>
      </c>
      <c r="B3422" s="60"/>
      <c r="C3422" s="58" t="s">
        <v>13983</v>
      </c>
      <c r="D3422" s="60"/>
      <c r="E3422" s="57" t="s">
        <v>13984</v>
      </c>
      <c r="F3422" s="78">
        <v>42362.0</v>
      </c>
      <c r="G3422" s="57" t="s">
        <v>13985</v>
      </c>
      <c r="H3422" s="60"/>
      <c r="I3422" s="63" t="s">
        <v>13986</v>
      </c>
      <c r="J3422" s="57" t="s">
        <v>13760</v>
      </c>
      <c r="K3422" s="59">
        <v>42562.0</v>
      </c>
      <c r="L3422" s="57" t="s">
        <v>2743</v>
      </c>
      <c r="M3422" s="60"/>
      <c r="N3422" s="61"/>
      <c r="O3422" s="51"/>
    </row>
    <row r="3423">
      <c r="A3423" s="56">
        <v>3420.0</v>
      </c>
      <c r="B3423" s="71"/>
      <c r="C3423" s="69" t="s">
        <v>13987</v>
      </c>
      <c r="D3423" s="71"/>
      <c r="E3423" s="68" t="s">
        <v>13988</v>
      </c>
      <c r="F3423" s="83">
        <v>42002.0</v>
      </c>
      <c r="G3423" s="68" t="s">
        <v>13989</v>
      </c>
      <c r="H3423" s="71"/>
      <c r="I3423" s="63" t="s">
        <v>635</v>
      </c>
      <c r="J3423" s="68" t="s">
        <v>13990</v>
      </c>
      <c r="K3423" s="76">
        <v>42562.0</v>
      </c>
      <c r="L3423" s="68" t="s">
        <v>2743</v>
      </c>
      <c r="M3423" s="71"/>
      <c r="N3423" s="61"/>
      <c r="O3423" s="51"/>
    </row>
    <row r="3424">
      <c r="A3424" s="56">
        <v>3421.0</v>
      </c>
      <c r="B3424" s="71"/>
      <c r="C3424" s="69" t="s">
        <v>13991</v>
      </c>
      <c r="D3424" s="71"/>
      <c r="E3424" s="68" t="s">
        <v>13992</v>
      </c>
      <c r="F3424" s="76">
        <v>40679.0</v>
      </c>
      <c r="G3424" s="68" t="s">
        <v>13993</v>
      </c>
      <c r="H3424" s="71"/>
      <c r="I3424" s="66"/>
      <c r="J3424" s="68" t="s">
        <v>13994</v>
      </c>
      <c r="K3424" s="76">
        <v>42562.0</v>
      </c>
      <c r="L3424" s="68" t="s">
        <v>2743</v>
      </c>
      <c r="M3424" s="68" t="s">
        <v>201</v>
      </c>
      <c r="N3424" s="61"/>
      <c r="O3424" s="51"/>
    </row>
    <row r="3425">
      <c r="A3425" s="56">
        <v>3422.0</v>
      </c>
      <c r="B3425" s="71"/>
      <c r="C3425" s="69" t="s">
        <v>13995</v>
      </c>
      <c r="D3425" s="71"/>
      <c r="E3425" s="68" t="s">
        <v>13996</v>
      </c>
      <c r="F3425" s="76">
        <v>42465.0</v>
      </c>
      <c r="G3425" s="68" t="s">
        <v>13997</v>
      </c>
      <c r="H3425" s="71"/>
      <c r="I3425" s="68" t="s">
        <v>13998</v>
      </c>
      <c r="J3425" s="68" t="s">
        <v>13999</v>
      </c>
      <c r="K3425" s="76">
        <v>42562.0</v>
      </c>
      <c r="L3425" s="68" t="s">
        <v>2743</v>
      </c>
      <c r="M3425" s="68" t="s">
        <v>31</v>
      </c>
      <c r="N3425" s="61"/>
      <c r="O3425" s="51"/>
    </row>
    <row r="3426">
      <c r="A3426" s="56">
        <v>3423.0</v>
      </c>
      <c r="B3426" s="71"/>
      <c r="C3426" s="69" t="s">
        <v>14000</v>
      </c>
      <c r="D3426" s="71"/>
      <c r="E3426" s="68" t="s">
        <v>14001</v>
      </c>
      <c r="F3426" s="76">
        <v>42028.0</v>
      </c>
      <c r="G3426" s="68" t="s">
        <v>14002</v>
      </c>
      <c r="H3426" s="71"/>
      <c r="I3426" s="68" t="s">
        <v>14003</v>
      </c>
      <c r="J3426" s="68" t="s">
        <v>14004</v>
      </c>
      <c r="K3426" s="76">
        <v>42562.0</v>
      </c>
      <c r="L3426" s="68" t="s">
        <v>13678</v>
      </c>
      <c r="M3426" s="68" t="s">
        <v>125</v>
      </c>
      <c r="N3426" s="77"/>
      <c r="O3426" s="51"/>
    </row>
    <row r="3427">
      <c r="A3427" s="56">
        <v>3424.0</v>
      </c>
      <c r="B3427" s="66"/>
      <c r="C3427" s="64" t="s">
        <v>14005</v>
      </c>
      <c r="D3427" s="66"/>
      <c r="E3427" s="63" t="s">
        <v>14006</v>
      </c>
      <c r="F3427" s="70">
        <v>42248.0</v>
      </c>
      <c r="G3427" s="80" t="s">
        <v>14007</v>
      </c>
      <c r="H3427" s="82"/>
      <c r="I3427" s="63" t="s">
        <v>14008</v>
      </c>
      <c r="J3427" s="63" t="s">
        <v>6262</v>
      </c>
      <c r="K3427" s="70">
        <v>42562.0</v>
      </c>
      <c r="L3427" s="63" t="s">
        <v>14009</v>
      </c>
      <c r="M3427" s="63" t="s">
        <v>368</v>
      </c>
      <c r="N3427" s="61"/>
      <c r="O3427" s="51"/>
    </row>
    <row r="3428">
      <c r="A3428" s="56">
        <v>3425.0</v>
      </c>
      <c r="B3428" s="71"/>
      <c r="C3428" s="69" t="s">
        <v>14010</v>
      </c>
      <c r="D3428" s="71"/>
      <c r="E3428" s="68" t="s">
        <v>14011</v>
      </c>
      <c r="F3428" s="76">
        <v>41537.0</v>
      </c>
      <c r="G3428" s="68" t="s">
        <v>14012</v>
      </c>
      <c r="H3428" s="71"/>
      <c r="I3428" s="63" t="s">
        <v>635</v>
      </c>
      <c r="J3428" s="68" t="s">
        <v>14013</v>
      </c>
      <c r="K3428" s="76">
        <v>42562.0</v>
      </c>
      <c r="L3428" s="68" t="s">
        <v>14009</v>
      </c>
      <c r="M3428" s="71"/>
      <c r="N3428" s="61"/>
      <c r="O3428" s="51"/>
    </row>
    <row r="3429">
      <c r="A3429" s="56">
        <v>3426.0</v>
      </c>
      <c r="B3429" s="66"/>
      <c r="C3429" s="64" t="s">
        <v>14014</v>
      </c>
      <c r="D3429" s="66"/>
      <c r="E3429" s="63" t="s">
        <v>14015</v>
      </c>
      <c r="F3429" s="70">
        <v>41662.0</v>
      </c>
      <c r="G3429" s="80" t="s">
        <v>14016</v>
      </c>
      <c r="H3429" s="82"/>
      <c r="I3429" s="63" t="s">
        <v>14017</v>
      </c>
      <c r="J3429" s="63" t="s">
        <v>6262</v>
      </c>
      <c r="K3429" s="70">
        <v>42562.0</v>
      </c>
      <c r="L3429" s="63" t="s">
        <v>14009</v>
      </c>
      <c r="M3429" s="63" t="s">
        <v>368</v>
      </c>
      <c r="N3429" s="61"/>
      <c r="O3429" s="51"/>
    </row>
    <row r="3430">
      <c r="A3430" s="56">
        <v>3427.0</v>
      </c>
      <c r="B3430" s="66"/>
      <c r="C3430" s="64" t="s">
        <v>14018</v>
      </c>
      <c r="D3430" s="66"/>
      <c r="E3430" s="63" t="s">
        <v>14019</v>
      </c>
      <c r="F3430" s="65">
        <v>42324.0</v>
      </c>
      <c r="G3430" s="80" t="s">
        <v>14020</v>
      </c>
      <c r="H3430" s="82"/>
      <c r="I3430" s="63" t="s">
        <v>14021</v>
      </c>
      <c r="J3430" s="63" t="s">
        <v>14022</v>
      </c>
      <c r="K3430" s="70">
        <v>42562.0</v>
      </c>
      <c r="L3430" s="63" t="s">
        <v>14009</v>
      </c>
      <c r="M3430" s="63" t="s">
        <v>201</v>
      </c>
      <c r="N3430" s="61"/>
      <c r="O3430" s="51"/>
    </row>
    <row r="3431">
      <c r="A3431" s="56">
        <v>3428.0</v>
      </c>
      <c r="B3431" s="71"/>
      <c r="C3431" s="69" t="s">
        <v>14023</v>
      </c>
      <c r="D3431" s="71"/>
      <c r="E3431" s="68" t="s">
        <v>14024</v>
      </c>
      <c r="F3431" s="76">
        <v>42053.0</v>
      </c>
      <c r="G3431" s="68" t="s">
        <v>14025</v>
      </c>
      <c r="H3431" s="71"/>
      <c r="I3431" s="63" t="s">
        <v>635</v>
      </c>
      <c r="J3431" s="68" t="s">
        <v>14026</v>
      </c>
      <c r="K3431" s="68">
        <v>2311.0</v>
      </c>
      <c r="L3431" s="68" t="s">
        <v>14027</v>
      </c>
      <c r="M3431" s="68" t="s">
        <v>14028</v>
      </c>
      <c r="N3431" s="61"/>
      <c r="O3431" s="51"/>
    </row>
    <row r="3432">
      <c r="A3432" s="56">
        <v>3429.0</v>
      </c>
      <c r="B3432" s="71"/>
      <c r="C3432" s="69" t="s">
        <v>14029</v>
      </c>
      <c r="D3432" s="71"/>
      <c r="E3432" s="68" t="s">
        <v>14030</v>
      </c>
      <c r="F3432" s="76">
        <v>42558.0</v>
      </c>
      <c r="G3432" s="68" t="s">
        <v>14031</v>
      </c>
      <c r="H3432" s="71"/>
      <c r="I3432" s="68" t="s">
        <v>635</v>
      </c>
      <c r="J3432" s="68" t="s">
        <v>14032</v>
      </c>
      <c r="K3432" s="76">
        <v>42564.0</v>
      </c>
      <c r="L3432" s="68" t="s">
        <v>2743</v>
      </c>
      <c r="M3432" s="68" t="s">
        <v>31</v>
      </c>
      <c r="N3432" s="61"/>
      <c r="O3432" s="51"/>
    </row>
    <row r="3433">
      <c r="A3433" s="56">
        <v>3430.0</v>
      </c>
      <c r="B3433" s="71"/>
      <c r="C3433" s="69" t="s">
        <v>14033</v>
      </c>
      <c r="D3433" s="68" t="s">
        <v>14034</v>
      </c>
      <c r="E3433" s="68" t="s">
        <v>14035</v>
      </c>
      <c r="F3433" s="76">
        <v>42011.0</v>
      </c>
      <c r="G3433" s="71"/>
      <c r="H3433" s="71"/>
      <c r="I3433" s="63" t="s">
        <v>635</v>
      </c>
      <c r="J3433" s="68" t="s">
        <v>9979</v>
      </c>
      <c r="K3433" s="76">
        <v>42564.0</v>
      </c>
      <c r="L3433" s="68" t="s">
        <v>13890</v>
      </c>
      <c r="M3433" s="68" t="s">
        <v>14036</v>
      </c>
      <c r="N3433" s="61"/>
      <c r="O3433" s="51"/>
    </row>
    <row r="3434">
      <c r="A3434" s="56">
        <v>3431.0</v>
      </c>
      <c r="B3434" s="71"/>
      <c r="C3434" s="69" t="s">
        <v>14037</v>
      </c>
      <c r="D3434" s="68" t="s">
        <v>14038</v>
      </c>
      <c r="E3434" s="68" t="s">
        <v>14039</v>
      </c>
      <c r="F3434" s="83">
        <v>42361.0</v>
      </c>
      <c r="G3434" s="68" t="s">
        <v>14040</v>
      </c>
      <c r="H3434" s="71"/>
      <c r="I3434" s="63" t="s">
        <v>635</v>
      </c>
      <c r="J3434" s="68" t="s">
        <v>12369</v>
      </c>
      <c r="K3434" s="76">
        <v>42564.0</v>
      </c>
      <c r="L3434" s="68" t="s">
        <v>13890</v>
      </c>
      <c r="M3434" s="68" t="s">
        <v>166</v>
      </c>
      <c r="N3434" s="61"/>
      <c r="O3434" s="51"/>
    </row>
    <row r="3435">
      <c r="A3435" s="56">
        <v>3432.0</v>
      </c>
      <c r="B3435" s="71"/>
      <c r="C3435" s="69" t="s">
        <v>14041</v>
      </c>
      <c r="D3435" s="68" t="s">
        <v>14042</v>
      </c>
      <c r="E3435" s="68" t="s">
        <v>14043</v>
      </c>
      <c r="F3435" s="83">
        <v>42294.0</v>
      </c>
      <c r="G3435" s="68" t="s">
        <v>14044</v>
      </c>
      <c r="H3435" s="71"/>
      <c r="I3435" s="63" t="s">
        <v>635</v>
      </c>
      <c r="J3435" s="68" t="s">
        <v>14045</v>
      </c>
      <c r="K3435" s="76">
        <v>42564.0</v>
      </c>
      <c r="L3435" s="68" t="s">
        <v>13890</v>
      </c>
      <c r="M3435" s="68" t="s">
        <v>166</v>
      </c>
      <c r="N3435" s="61"/>
      <c r="O3435" s="51"/>
    </row>
    <row r="3436">
      <c r="A3436" s="56">
        <v>3433.0</v>
      </c>
      <c r="B3436" s="87" t="s">
        <v>14046</v>
      </c>
      <c r="C3436" s="69" t="s">
        <v>14047</v>
      </c>
      <c r="D3436" s="68" t="s">
        <v>14048</v>
      </c>
      <c r="E3436" s="68" t="s">
        <v>14049</v>
      </c>
      <c r="F3436" s="68">
        <v>2008.0</v>
      </c>
      <c r="G3436" s="68" t="s">
        <v>14050</v>
      </c>
      <c r="H3436" s="71"/>
      <c r="I3436" s="68" t="s">
        <v>14051</v>
      </c>
      <c r="J3436" s="68" t="s">
        <v>14052</v>
      </c>
      <c r="K3436" s="76">
        <v>42564.0</v>
      </c>
      <c r="L3436" s="68" t="s">
        <v>13770</v>
      </c>
      <c r="M3436" s="68" t="s">
        <v>137</v>
      </c>
      <c r="N3436" s="77"/>
      <c r="O3436" s="51"/>
    </row>
    <row r="3437">
      <c r="A3437" s="56">
        <v>3434.0</v>
      </c>
      <c r="B3437" s="71"/>
      <c r="C3437" s="69" t="s">
        <v>14053</v>
      </c>
      <c r="D3437" s="68" t="s">
        <v>14054</v>
      </c>
      <c r="E3437" s="68" t="s">
        <v>14055</v>
      </c>
      <c r="F3437" s="76">
        <v>41809.0</v>
      </c>
      <c r="G3437" s="68" t="s">
        <v>14056</v>
      </c>
      <c r="H3437" s="71"/>
      <c r="I3437" s="63" t="s">
        <v>14057</v>
      </c>
      <c r="J3437" s="68" t="s">
        <v>14058</v>
      </c>
      <c r="K3437" s="76">
        <v>42564.0</v>
      </c>
      <c r="L3437" s="68" t="s">
        <v>13890</v>
      </c>
      <c r="M3437" s="68" t="s">
        <v>166</v>
      </c>
      <c r="N3437" s="61"/>
      <c r="O3437" s="51"/>
    </row>
    <row r="3438">
      <c r="A3438" s="56">
        <v>3435.0</v>
      </c>
      <c r="B3438" s="71"/>
      <c r="C3438" s="69" t="s">
        <v>14059</v>
      </c>
      <c r="D3438" s="68" t="s">
        <v>14060</v>
      </c>
      <c r="E3438" s="68" t="s">
        <v>14061</v>
      </c>
      <c r="F3438" s="76">
        <v>42387.0</v>
      </c>
      <c r="G3438" s="68" t="s">
        <v>14062</v>
      </c>
      <c r="H3438" s="71"/>
      <c r="I3438" s="63" t="s">
        <v>635</v>
      </c>
      <c r="J3438" s="68" t="s">
        <v>12369</v>
      </c>
      <c r="K3438" s="76">
        <v>42564.0</v>
      </c>
      <c r="L3438" s="68" t="s">
        <v>13890</v>
      </c>
      <c r="M3438" s="68" t="s">
        <v>166</v>
      </c>
      <c r="N3438" s="61"/>
      <c r="O3438" s="51"/>
    </row>
    <row r="3439">
      <c r="A3439" s="56">
        <v>3436.0</v>
      </c>
      <c r="B3439" s="71"/>
      <c r="C3439" s="69" t="s">
        <v>14063</v>
      </c>
      <c r="D3439" s="71"/>
      <c r="E3439" s="68" t="s">
        <v>14064</v>
      </c>
      <c r="F3439" s="183">
        <v>42401.0</v>
      </c>
      <c r="G3439" s="68" t="s">
        <v>14065</v>
      </c>
      <c r="H3439" s="71"/>
      <c r="I3439" s="68" t="s">
        <v>14066</v>
      </c>
      <c r="J3439" s="87" t="s">
        <v>14067</v>
      </c>
      <c r="K3439" s="225">
        <v>42564.0</v>
      </c>
      <c r="L3439" s="68" t="s">
        <v>2743</v>
      </c>
      <c r="M3439" s="68" t="s">
        <v>7530</v>
      </c>
      <c r="N3439" s="61"/>
      <c r="O3439" s="51"/>
    </row>
    <row r="3440">
      <c r="A3440" s="56">
        <v>3437.0</v>
      </c>
      <c r="B3440" s="71"/>
      <c r="C3440" s="69" t="s">
        <v>14068</v>
      </c>
      <c r="D3440" s="71"/>
      <c r="E3440" s="68" t="s">
        <v>14069</v>
      </c>
      <c r="F3440" s="76">
        <v>42567.0</v>
      </c>
      <c r="G3440" s="68" t="s">
        <v>14070</v>
      </c>
      <c r="H3440" s="71"/>
      <c r="I3440" s="63" t="s">
        <v>635</v>
      </c>
      <c r="J3440" s="68" t="s">
        <v>14071</v>
      </c>
      <c r="K3440" s="76">
        <v>42571.0</v>
      </c>
      <c r="L3440" s="68" t="s">
        <v>13884</v>
      </c>
      <c r="M3440" s="68" t="s">
        <v>12947</v>
      </c>
      <c r="N3440" s="61"/>
      <c r="O3440" s="51"/>
    </row>
    <row r="3441">
      <c r="A3441" s="75">
        <v>3438.0</v>
      </c>
      <c r="B3441" s="71"/>
      <c r="C3441" s="69" t="s">
        <v>14072</v>
      </c>
      <c r="D3441" s="71"/>
      <c r="E3441" s="68" t="s">
        <v>14073</v>
      </c>
      <c r="F3441" s="76">
        <v>42541.0</v>
      </c>
      <c r="G3441" s="68" t="s">
        <v>14074</v>
      </c>
      <c r="H3441" s="71"/>
      <c r="I3441" s="68" t="s">
        <v>635</v>
      </c>
      <c r="J3441" s="68" t="s">
        <v>12369</v>
      </c>
      <c r="K3441" s="76">
        <v>42571.0</v>
      </c>
      <c r="L3441" s="68" t="s">
        <v>13836</v>
      </c>
      <c r="M3441" s="68" t="s">
        <v>166</v>
      </c>
      <c r="N3441" s="61"/>
      <c r="O3441" s="51"/>
    </row>
    <row r="3442">
      <c r="A3442" s="56">
        <v>3439.0</v>
      </c>
      <c r="B3442" s="71"/>
      <c r="C3442" s="69" t="s">
        <v>14075</v>
      </c>
      <c r="D3442" s="71"/>
      <c r="E3442" s="68" t="s">
        <v>14076</v>
      </c>
      <c r="F3442" s="76">
        <v>42541.0</v>
      </c>
      <c r="G3442" s="68" t="s">
        <v>14077</v>
      </c>
      <c r="H3442" s="71"/>
      <c r="I3442" s="63" t="s">
        <v>635</v>
      </c>
      <c r="J3442" s="68" t="s">
        <v>14078</v>
      </c>
      <c r="K3442" s="76">
        <v>42571.0</v>
      </c>
      <c r="L3442" s="68" t="s">
        <v>13836</v>
      </c>
      <c r="M3442" s="68" t="s">
        <v>166</v>
      </c>
      <c r="N3442" s="61"/>
      <c r="O3442" s="51"/>
    </row>
    <row r="3443">
      <c r="A3443" s="56">
        <v>3440.0</v>
      </c>
      <c r="B3443" s="71"/>
      <c r="C3443" s="69" t="s">
        <v>14079</v>
      </c>
      <c r="D3443" s="71"/>
      <c r="E3443" s="68" t="s">
        <v>14080</v>
      </c>
      <c r="F3443" s="76">
        <v>42544.0</v>
      </c>
      <c r="G3443" s="68" t="s">
        <v>14081</v>
      </c>
      <c r="H3443" s="71"/>
      <c r="I3443" s="63" t="s">
        <v>635</v>
      </c>
      <c r="J3443" s="68" t="s">
        <v>12369</v>
      </c>
      <c r="K3443" s="76">
        <v>42571.0</v>
      </c>
      <c r="L3443" s="68" t="s">
        <v>13836</v>
      </c>
      <c r="M3443" s="68" t="s">
        <v>166</v>
      </c>
      <c r="N3443" s="61"/>
      <c r="O3443" s="51"/>
    </row>
    <row r="3444">
      <c r="A3444" s="56">
        <v>3441.0</v>
      </c>
      <c r="B3444" s="71"/>
      <c r="C3444" s="69" t="s">
        <v>14082</v>
      </c>
      <c r="D3444" s="71"/>
      <c r="E3444" s="68" t="s">
        <v>14083</v>
      </c>
      <c r="F3444" s="76">
        <v>42544.0</v>
      </c>
      <c r="G3444" s="68" t="s">
        <v>14084</v>
      </c>
      <c r="H3444" s="71"/>
      <c r="I3444" s="63" t="s">
        <v>635</v>
      </c>
      <c r="J3444" s="68" t="s">
        <v>12369</v>
      </c>
      <c r="K3444" s="76">
        <v>42571.0</v>
      </c>
      <c r="L3444" s="68" t="s">
        <v>13836</v>
      </c>
      <c r="M3444" s="68" t="s">
        <v>166</v>
      </c>
      <c r="N3444" s="61"/>
      <c r="O3444" s="51"/>
    </row>
    <row r="3445">
      <c r="A3445" s="56">
        <v>3442.0</v>
      </c>
      <c r="B3445" s="71"/>
      <c r="C3445" s="69" t="s">
        <v>14085</v>
      </c>
      <c r="D3445" s="71"/>
      <c r="E3445" s="68" t="s">
        <v>14086</v>
      </c>
      <c r="F3445" s="76">
        <v>42544.0</v>
      </c>
      <c r="G3445" s="68" t="s">
        <v>14087</v>
      </c>
      <c r="H3445" s="71"/>
      <c r="I3445" s="63" t="s">
        <v>635</v>
      </c>
      <c r="J3445" s="68" t="s">
        <v>12369</v>
      </c>
      <c r="K3445" s="76">
        <v>42571.0</v>
      </c>
      <c r="L3445" s="68" t="s">
        <v>13836</v>
      </c>
      <c r="M3445" s="68" t="s">
        <v>166</v>
      </c>
      <c r="N3445" s="61"/>
      <c r="O3445" s="51"/>
    </row>
    <row r="3446">
      <c r="A3446" s="56">
        <v>3443.0</v>
      </c>
      <c r="B3446" s="71"/>
      <c r="C3446" s="69" t="s">
        <v>14088</v>
      </c>
      <c r="D3446" s="71"/>
      <c r="E3446" s="68" t="s">
        <v>14089</v>
      </c>
      <c r="F3446" s="76">
        <v>42544.0</v>
      </c>
      <c r="G3446" s="68" t="s">
        <v>14090</v>
      </c>
      <c r="H3446" s="71"/>
      <c r="I3446" s="63" t="s">
        <v>635</v>
      </c>
      <c r="J3446" s="68" t="s">
        <v>12369</v>
      </c>
      <c r="K3446" s="76">
        <v>42571.0</v>
      </c>
      <c r="L3446" s="68" t="s">
        <v>13836</v>
      </c>
      <c r="M3446" s="68" t="s">
        <v>166</v>
      </c>
      <c r="N3446" s="61"/>
      <c r="O3446" s="51"/>
    </row>
    <row r="3447">
      <c r="A3447" s="56">
        <v>3444.0</v>
      </c>
      <c r="B3447" s="71"/>
      <c r="C3447" s="69" t="s">
        <v>14091</v>
      </c>
      <c r="D3447" s="71"/>
      <c r="E3447" s="68" t="s">
        <v>14092</v>
      </c>
      <c r="F3447" s="76">
        <v>42544.0</v>
      </c>
      <c r="G3447" s="68" t="s">
        <v>14093</v>
      </c>
      <c r="H3447" s="71"/>
      <c r="I3447" s="63" t="s">
        <v>635</v>
      </c>
      <c r="J3447" s="68" t="s">
        <v>14094</v>
      </c>
      <c r="K3447" s="76">
        <v>42571.0</v>
      </c>
      <c r="L3447" s="68" t="s">
        <v>13836</v>
      </c>
      <c r="M3447" s="68" t="s">
        <v>166</v>
      </c>
      <c r="N3447" s="61"/>
      <c r="O3447" s="51"/>
    </row>
    <row r="3448">
      <c r="A3448" s="56">
        <v>3445.0</v>
      </c>
      <c r="B3448" s="71"/>
      <c r="C3448" s="69" t="s">
        <v>14095</v>
      </c>
      <c r="D3448" s="71"/>
      <c r="E3448" s="68" t="s">
        <v>14096</v>
      </c>
      <c r="F3448" s="76">
        <v>42542.0</v>
      </c>
      <c r="G3448" s="68" t="s">
        <v>14097</v>
      </c>
      <c r="H3448" s="71"/>
      <c r="I3448" s="63" t="s">
        <v>635</v>
      </c>
      <c r="J3448" s="68" t="s">
        <v>6973</v>
      </c>
      <c r="K3448" s="76">
        <v>42571.0</v>
      </c>
      <c r="L3448" s="68" t="s">
        <v>13836</v>
      </c>
      <c r="M3448" s="68" t="s">
        <v>166</v>
      </c>
      <c r="N3448" s="61"/>
      <c r="O3448" s="51"/>
    </row>
    <row r="3449">
      <c r="A3449" s="56">
        <v>3446.0</v>
      </c>
      <c r="B3449" s="71"/>
      <c r="C3449" s="69" t="s">
        <v>14098</v>
      </c>
      <c r="D3449" s="71"/>
      <c r="E3449" s="68" t="s">
        <v>14099</v>
      </c>
      <c r="F3449" s="76">
        <v>42542.0</v>
      </c>
      <c r="G3449" s="68" t="s">
        <v>14100</v>
      </c>
      <c r="H3449" s="71"/>
      <c r="I3449" s="63" t="s">
        <v>635</v>
      </c>
      <c r="J3449" s="68" t="s">
        <v>6973</v>
      </c>
      <c r="K3449" s="76">
        <v>42571.0</v>
      </c>
      <c r="L3449" s="68" t="s">
        <v>13836</v>
      </c>
      <c r="M3449" s="68" t="s">
        <v>166</v>
      </c>
      <c r="N3449" s="61"/>
      <c r="O3449" s="51"/>
    </row>
    <row r="3450">
      <c r="A3450" s="56">
        <v>3447.0</v>
      </c>
      <c r="B3450" s="71"/>
      <c r="C3450" s="69" t="s">
        <v>14101</v>
      </c>
      <c r="D3450" s="71"/>
      <c r="E3450" s="68" t="s">
        <v>14102</v>
      </c>
      <c r="F3450" s="76">
        <v>42551.0</v>
      </c>
      <c r="G3450" s="68" t="s">
        <v>14103</v>
      </c>
      <c r="H3450" s="71"/>
      <c r="I3450" s="63" t="s">
        <v>635</v>
      </c>
      <c r="J3450" s="68" t="s">
        <v>12369</v>
      </c>
      <c r="K3450" s="76">
        <v>42571.0</v>
      </c>
      <c r="L3450" s="68" t="s">
        <v>13836</v>
      </c>
      <c r="M3450" s="68" t="s">
        <v>166</v>
      </c>
      <c r="N3450" s="61"/>
      <c r="O3450" s="51"/>
    </row>
    <row r="3451">
      <c r="A3451" s="56">
        <v>3448.0</v>
      </c>
      <c r="B3451" s="71"/>
      <c r="C3451" s="69" t="s">
        <v>14104</v>
      </c>
      <c r="D3451" s="71"/>
      <c r="E3451" s="68" t="s">
        <v>14105</v>
      </c>
      <c r="F3451" s="76">
        <v>42549.0</v>
      </c>
      <c r="G3451" s="68" t="s">
        <v>14106</v>
      </c>
      <c r="H3451" s="71"/>
      <c r="I3451" s="63" t="s">
        <v>635</v>
      </c>
      <c r="J3451" s="68" t="s">
        <v>14107</v>
      </c>
      <c r="K3451" s="76">
        <v>42571.0</v>
      </c>
      <c r="L3451" s="68" t="s">
        <v>13836</v>
      </c>
      <c r="M3451" s="68" t="s">
        <v>12947</v>
      </c>
      <c r="N3451" s="61"/>
      <c r="O3451" s="51"/>
    </row>
    <row r="3452">
      <c r="A3452" s="56">
        <v>3449.0</v>
      </c>
      <c r="B3452" s="71"/>
      <c r="C3452" s="69" t="s">
        <v>14108</v>
      </c>
      <c r="D3452" s="71"/>
      <c r="E3452" s="68" t="s">
        <v>14109</v>
      </c>
      <c r="F3452" s="76">
        <v>42547.0</v>
      </c>
      <c r="G3452" s="68" t="s">
        <v>14110</v>
      </c>
      <c r="H3452" s="71"/>
      <c r="I3452" s="63" t="s">
        <v>635</v>
      </c>
      <c r="J3452" s="68" t="s">
        <v>12369</v>
      </c>
      <c r="K3452" s="76">
        <v>42571.0</v>
      </c>
      <c r="L3452" s="68" t="s">
        <v>13836</v>
      </c>
      <c r="M3452" s="68" t="s">
        <v>12947</v>
      </c>
      <c r="N3452" s="61"/>
      <c r="O3452" s="51"/>
    </row>
    <row r="3453">
      <c r="A3453" s="56">
        <v>3450.0</v>
      </c>
      <c r="B3453" s="71"/>
      <c r="C3453" s="69" t="s">
        <v>14111</v>
      </c>
      <c r="D3453" s="71"/>
      <c r="E3453" s="68" t="s">
        <v>14112</v>
      </c>
      <c r="F3453" s="76">
        <v>42549.0</v>
      </c>
      <c r="G3453" s="68" t="s">
        <v>14113</v>
      </c>
      <c r="H3453" s="71"/>
      <c r="I3453" s="63" t="s">
        <v>635</v>
      </c>
      <c r="J3453" s="68" t="s">
        <v>14114</v>
      </c>
      <c r="K3453" s="76">
        <v>42571.0</v>
      </c>
      <c r="L3453" s="68" t="s">
        <v>13836</v>
      </c>
      <c r="M3453" s="68" t="s">
        <v>166</v>
      </c>
      <c r="N3453" s="61"/>
      <c r="O3453" s="51"/>
    </row>
    <row r="3454">
      <c r="A3454" s="56">
        <v>3451.0</v>
      </c>
      <c r="B3454" s="71"/>
      <c r="C3454" s="69" t="s">
        <v>14115</v>
      </c>
      <c r="D3454" s="71"/>
      <c r="E3454" s="68" t="s">
        <v>14116</v>
      </c>
      <c r="F3454" s="76">
        <v>42549.0</v>
      </c>
      <c r="G3454" s="68" t="s">
        <v>14117</v>
      </c>
      <c r="H3454" s="71"/>
      <c r="I3454" s="63" t="s">
        <v>635</v>
      </c>
      <c r="J3454" s="68" t="s">
        <v>14118</v>
      </c>
      <c r="K3454" s="76">
        <v>42571.0</v>
      </c>
      <c r="L3454" s="68" t="s">
        <v>13836</v>
      </c>
      <c r="M3454" s="68" t="s">
        <v>166</v>
      </c>
      <c r="N3454" s="61"/>
      <c r="O3454" s="51"/>
    </row>
    <row r="3455">
      <c r="A3455" s="56">
        <v>3452.0</v>
      </c>
      <c r="B3455" s="71"/>
      <c r="C3455" s="69" t="s">
        <v>14119</v>
      </c>
      <c r="D3455" s="71"/>
      <c r="E3455" s="68" t="s">
        <v>14120</v>
      </c>
      <c r="F3455" s="76">
        <v>42550.0</v>
      </c>
      <c r="G3455" s="68" t="s">
        <v>14121</v>
      </c>
      <c r="H3455" s="71"/>
      <c r="I3455" s="63" t="s">
        <v>635</v>
      </c>
      <c r="J3455" s="68" t="s">
        <v>12369</v>
      </c>
      <c r="K3455" s="76">
        <v>42571.0</v>
      </c>
      <c r="L3455" s="68" t="s">
        <v>13836</v>
      </c>
      <c r="M3455" s="68" t="s">
        <v>166</v>
      </c>
      <c r="N3455" s="61"/>
      <c r="O3455" s="51"/>
    </row>
    <row r="3456">
      <c r="A3456" s="56">
        <v>3453.0</v>
      </c>
      <c r="B3456" s="71"/>
      <c r="C3456" s="69" t="s">
        <v>14122</v>
      </c>
      <c r="D3456" s="71"/>
      <c r="E3456" s="68" t="s">
        <v>14123</v>
      </c>
      <c r="F3456" s="76">
        <v>42550.0</v>
      </c>
      <c r="G3456" s="68" t="s">
        <v>14121</v>
      </c>
      <c r="H3456" s="71"/>
      <c r="I3456" s="63" t="s">
        <v>635</v>
      </c>
      <c r="J3456" s="68" t="s">
        <v>14124</v>
      </c>
      <c r="K3456" s="76">
        <v>42571.0</v>
      </c>
      <c r="L3456" s="68" t="s">
        <v>13836</v>
      </c>
      <c r="M3456" s="68" t="s">
        <v>166</v>
      </c>
      <c r="N3456" s="61"/>
      <c r="O3456" s="51"/>
    </row>
    <row r="3457">
      <c r="A3457" s="56">
        <v>3454.0</v>
      </c>
      <c r="B3457" s="71"/>
      <c r="C3457" s="69" t="s">
        <v>14125</v>
      </c>
      <c r="D3457" s="71"/>
      <c r="E3457" s="68" t="s">
        <v>14126</v>
      </c>
      <c r="F3457" s="76">
        <v>42550.0</v>
      </c>
      <c r="G3457" s="68" t="s">
        <v>14127</v>
      </c>
      <c r="H3457" s="71"/>
      <c r="I3457" s="63" t="s">
        <v>635</v>
      </c>
      <c r="J3457" s="68" t="s">
        <v>14128</v>
      </c>
      <c r="K3457" s="76">
        <v>42571.0</v>
      </c>
      <c r="L3457" s="68" t="s">
        <v>13836</v>
      </c>
      <c r="M3457" s="68" t="s">
        <v>166</v>
      </c>
      <c r="N3457" s="61"/>
      <c r="O3457" s="51"/>
    </row>
    <row r="3458">
      <c r="A3458" s="56">
        <v>3455.0</v>
      </c>
      <c r="B3458" s="71"/>
      <c r="C3458" s="69" t="s">
        <v>14129</v>
      </c>
      <c r="D3458" s="71"/>
      <c r="E3458" s="68" t="s">
        <v>14130</v>
      </c>
      <c r="F3458" s="76">
        <v>42550.0</v>
      </c>
      <c r="G3458" s="68" t="s">
        <v>14127</v>
      </c>
      <c r="H3458" s="71"/>
      <c r="I3458" s="63" t="s">
        <v>635</v>
      </c>
      <c r="J3458" s="68" t="s">
        <v>12369</v>
      </c>
      <c r="K3458" s="76">
        <v>42571.0</v>
      </c>
      <c r="L3458" s="68" t="s">
        <v>13836</v>
      </c>
      <c r="M3458" s="68" t="s">
        <v>166</v>
      </c>
      <c r="N3458" s="61"/>
      <c r="O3458" s="51"/>
    </row>
    <row r="3459">
      <c r="A3459" s="56">
        <v>3456.0</v>
      </c>
      <c r="B3459" s="71"/>
      <c r="C3459" s="69" t="s">
        <v>14131</v>
      </c>
      <c r="D3459" s="71"/>
      <c r="E3459" s="68" t="s">
        <v>14132</v>
      </c>
      <c r="F3459" s="76">
        <v>42548.0</v>
      </c>
      <c r="G3459" s="68" t="s">
        <v>14133</v>
      </c>
      <c r="H3459" s="71"/>
      <c r="I3459" s="63" t="s">
        <v>635</v>
      </c>
      <c r="J3459" s="68" t="s">
        <v>14134</v>
      </c>
      <c r="K3459" s="76">
        <v>42571.0</v>
      </c>
      <c r="L3459" s="68" t="s">
        <v>13836</v>
      </c>
      <c r="M3459" s="68" t="s">
        <v>166</v>
      </c>
      <c r="N3459" s="61"/>
      <c r="O3459" s="51"/>
    </row>
    <row r="3460">
      <c r="A3460" s="56">
        <v>3457.0</v>
      </c>
      <c r="B3460" s="71"/>
      <c r="C3460" s="69" t="s">
        <v>14135</v>
      </c>
      <c r="D3460" s="71"/>
      <c r="E3460" s="68" t="s">
        <v>14136</v>
      </c>
      <c r="F3460" s="76">
        <v>42548.0</v>
      </c>
      <c r="G3460" s="68" t="s">
        <v>14137</v>
      </c>
      <c r="H3460" s="71"/>
      <c r="I3460" s="63" t="s">
        <v>635</v>
      </c>
      <c r="J3460" s="68" t="s">
        <v>12369</v>
      </c>
      <c r="K3460" s="76">
        <v>42571.0</v>
      </c>
      <c r="L3460" s="68" t="s">
        <v>13836</v>
      </c>
      <c r="M3460" s="68" t="s">
        <v>166</v>
      </c>
      <c r="N3460" s="61"/>
      <c r="O3460" s="51"/>
    </row>
    <row r="3461">
      <c r="A3461" s="56">
        <v>3458.0</v>
      </c>
      <c r="B3461" s="71"/>
      <c r="C3461" s="69" t="s">
        <v>14138</v>
      </c>
      <c r="D3461" s="71"/>
      <c r="E3461" s="68" t="s">
        <v>14139</v>
      </c>
      <c r="F3461" s="76">
        <v>42549.0</v>
      </c>
      <c r="G3461" s="68" t="s">
        <v>14140</v>
      </c>
      <c r="H3461" s="71"/>
      <c r="I3461" s="63" t="s">
        <v>635</v>
      </c>
      <c r="J3461" s="68" t="s">
        <v>14124</v>
      </c>
      <c r="K3461" s="76">
        <v>42571.0</v>
      </c>
      <c r="L3461" s="68" t="s">
        <v>13836</v>
      </c>
      <c r="M3461" s="68" t="s">
        <v>166</v>
      </c>
      <c r="N3461" s="61"/>
      <c r="O3461" s="51"/>
    </row>
    <row r="3462">
      <c r="A3462" s="56">
        <v>3459.0</v>
      </c>
      <c r="B3462" s="71"/>
      <c r="C3462" s="69" t="s">
        <v>14141</v>
      </c>
      <c r="D3462" s="71"/>
      <c r="E3462" s="68" t="s">
        <v>14142</v>
      </c>
      <c r="F3462" s="76">
        <v>42552.0</v>
      </c>
      <c r="G3462" s="68" t="s">
        <v>14143</v>
      </c>
      <c r="H3462" s="71"/>
      <c r="I3462" s="63" t="s">
        <v>635</v>
      </c>
      <c r="J3462" s="68" t="s">
        <v>14144</v>
      </c>
      <c r="K3462" s="76">
        <v>42571.0</v>
      </c>
      <c r="L3462" s="68" t="s">
        <v>13836</v>
      </c>
      <c r="M3462" s="68" t="s">
        <v>12947</v>
      </c>
      <c r="N3462" s="61"/>
      <c r="O3462" s="51"/>
    </row>
    <row r="3463">
      <c r="A3463" s="56">
        <v>3460.0</v>
      </c>
      <c r="B3463" s="71"/>
      <c r="C3463" s="69" t="s">
        <v>14145</v>
      </c>
      <c r="D3463" s="71"/>
      <c r="E3463" s="68" t="s">
        <v>14146</v>
      </c>
      <c r="F3463" s="76">
        <v>42548.0</v>
      </c>
      <c r="G3463" s="68" t="s">
        <v>14147</v>
      </c>
      <c r="H3463" s="71"/>
      <c r="I3463" s="63" t="s">
        <v>635</v>
      </c>
      <c r="J3463" s="87" t="s">
        <v>6973</v>
      </c>
      <c r="K3463" s="76">
        <v>42571.0</v>
      </c>
      <c r="L3463" s="68" t="s">
        <v>13836</v>
      </c>
      <c r="M3463" s="68" t="s">
        <v>166</v>
      </c>
      <c r="N3463" s="61"/>
      <c r="O3463" s="51"/>
    </row>
    <row r="3464">
      <c r="A3464" s="56">
        <v>3461.0</v>
      </c>
      <c r="B3464" s="71"/>
      <c r="C3464" s="69" t="s">
        <v>14148</v>
      </c>
      <c r="D3464" s="71"/>
      <c r="E3464" s="68" t="s">
        <v>14149</v>
      </c>
      <c r="F3464" s="76">
        <v>42553.0</v>
      </c>
      <c r="G3464" s="68" t="s">
        <v>14150</v>
      </c>
      <c r="H3464" s="71"/>
      <c r="I3464" s="63" t="s">
        <v>635</v>
      </c>
      <c r="J3464" s="68" t="s">
        <v>14151</v>
      </c>
      <c r="K3464" s="76">
        <v>42571.0</v>
      </c>
      <c r="L3464" s="68" t="s">
        <v>13836</v>
      </c>
      <c r="M3464" s="68" t="s">
        <v>166</v>
      </c>
      <c r="N3464" s="61"/>
      <c r="O3464" s="51"/>
    </row>
    <row r="3465">
      <c r="A3465" s="56">
        <v>3462.0</v>
      </c>
      <c r="B3465" s="71"/>
      <c r="C3465" s="69" t="s">
        <v>14152</v>
      </c>
      <c r="D3465" s="71"/>
      <c r="E3465" s="68" t="s">
        <v>14153</v>
      </c>
      <c r="F3465" s="76">
        <v>42554.0</v>
      </c>
      <c r="G3465" s="68" t="s">
        <v>14154</v>
      </c>
      <c r="H3465" s="71"/>
      <c r="I3465" s="63" t="s">
        <v>635</v>
      </c>
      <c r="J3465" s="68" t="s">
        <v>6973</v>
      </c>
      <c r="K3465" s="76">
        <v>42571.0</v>
      </c>
      <c r="L3465" s="68" t="s">
        <v>13836</v>
      </c>
      <c r="M3465" s="68" t="s">
        <v>166</v>
      </c>
      <c r="N3465" s="61"/>
      <c r="O3465" s="51"/>
    </row>
    <row r="3466">
      <c r="A3466" s="56">
        <v>3463.0</v>
      </c>
      <c r="B3466" s="71"/>
      <c r="C3466" s="69" t="s">
        <v>14155</v>
      </c>
      <c r="D3466" s="71"/>
      <c r="E3466" s="68" t="s">
        <v>14156</v>
      </c>
      <c r="F3466" s="76">
        <v>42552.0</v>
      </c>
      <c r="G3466" s="68" t="s">
        <v>14157</v>
      </c>
      <c r="H3466" s="71"/>
      <c r="I3466" s="63" t="s">
        <v>635</v>
      </c>
      <c r="J3466" s="68" t="s">
        <v>14124</v>
      </c>
      <c r="K3466" s="76">
        <v>42571.0</v>
      </c>
      <c r="L3466" s="68" t="s">
        <v>13836</v>
      </c>
      <c r="M3466" s="68" t="s">
        <v>40</v>
      </c>
      <c r="N3466" s="61"/>
      <c r="O3466" s="51"/>
    </row>
    <row r="3467">
      <c r="A3467" s="56">
        <v>3464.0</v>
      </c>
      <c r="B3467" s="71"/>
      <c r="C3467" s="69" t="s">
        <v>14158</v>
      </c>
      <c r="D3467" s="71"/>
      <c r="E3467" s="68" t="s">
        <v>14159</v>
      </c>
      <c r="F3467" s="76">
        <v>42552.0</v>
      </c>
      <c r="G3467" s="68" t="s">
        <v>14157</v>
      </c>
      <c r="H3467" s="71"/>
      <c r="I3467" s="63" t="s">
        <v>635</v>
      </c>
      <c r="J3467" s="68" t="s">
        <v>14124</v>
      </c>
      <c r="K3467" s="76">
        <v>42571.0</v>
      </c>
      <c r="L3467" s="68" t="s">
        <v>13836</v>
      </c>
      <c r="M3467" s="68" t="s">
        <v>40</v>
      </c>
      <c r="N3467" s="61"/>
      <c r="O3467" s="51"/>
    </row>
    <row r="3468">
      <c r="A3468" s="56">
        <v>3465.0</v>
      </c>
      <c r="B3468" s="66"/>
      <c r="C3468" s="64" t="s">
        <v>14160</v>
      </c>
      <c r="D3468" s="66"/>
      <c r="E3468" s="63" t="s">
        <v>14161</v>
      </c>
      <c r="F3468" s="70">
        <v>41154.0</v>
      </c>
      <c r="G3468" s="80" t="s">
        <v>14162</v>
      </c>
      <c r="H3468" s="82"/>
      <c r="I3468" s="63" t="s">
        <v>635</v>
      </c>
      <c r="J3468" s="63" t="s">
        <v>6393</v>
      </c>
      <c r="K3468" s="70">
        <v>42571.0</v>
      </c>
      <c r="L3468" s="63" t="s">
        <v>2743</v>
      </c>
      <c r="M3468" s="63" t="s">
        <v>195</v>
      </c>
      <c r="N3468" s="61"/>
      <c r="O3468" s="51"/>
    </row>
    <row r="3469">
      <c r="A3469" s="56">
        <v>3466.0</v>
      </c>
      <c r="B3469" s="60"/>
      <c r="C3469" s="58" t="s">
        <v>14163</v>
      </c>
      <c r="D3469" s="60"/>
      <c r="E3469" s="57" t="s">
        <v>14164</v>
      </c>
      <c r="F3469" s="59">
        <v>42564.0</v>
      </c>
      <c r="G3469" s="57" t="s">
        <v>14165</v>
      </c>
      <c r="H3469" s="60"/>
      <c r="I3469" s="63" t="s">
        <v>635</v>
      </c>
      <c r="J3469" s="57" t="s">
        <v>14166</v>
      </c>
      <c r="K3469" s="59">
        <v>42571.0</v>
      </c>
      <c r="L3469" s="57" t="s">
        <v>2743</v>
      </c>
      <c r="M3469" s="60"/>
      <c r="N3469" s="61"/>
      <c r="O3469" s="51"/>
    </row>
    <row r="3470">
      <c r="A3470" s="56">
        <v>3467.0</v>
      </c>
      <c r="B3470" s="60"/>
      <c r="C3470" s="58" t="s">
        <v>14167</v>
      </c>
      <c r="D3470" s="60"/>
      <c r="E3470" s="57" t="s">
        <v>14168</v>
      </c>
      <c r="F3470" s="59">
        <v>41640.0</v>
      </c>
      <c r="G3470" s="57" t="s">
        <v>14169</v>
      </c>
      <c r="H3470" s="60"/>
      <c r="I3470" s="63" t="s">
        <v>635</v>
      </c>
      <c r="J3470" s="57" t="s">
        <v>14170</v>
      </c>
      <c r="K3470" s="59">
        <v>42576.0</v>
      </c>
      <c r="L3470" s="57" t="s">
        <v>2743</v>
      </c>
      <c r="M3470" s="60"/>
      <c r="N3470" s="61"/>
      <c r="O3470" s="51"/>
    </row>
    <row r="3471">
      <c r="A3471" s="56">
        <v>3468.0</v>
      </c>
      <c r="B3471" s="66"/>
      <c r="C3471" s="64" t="s">
        <v>14171</v>
      </c>
      <c r="D3471" s="66"/>
      <c r="E3471" s="63" t="s">
        <v>14172</v>
      </c>
      <c r="F3471" s="70">
        <v>40592.0</v>
      </c>
      <c r="G3471" s="80" t="s">
        <v>14173</v>
      </c>
      <c r="H3471" s="82"/>
      <c r="I3471" s="63" t="s">
        <v>12314</v>
      </c>
      <c r="J3471" s="63" t="s">
        <v>14174</v>
      </c>
      <c r="K3471" s="66"/>
      <c r="L3471" s="66"/>
      <c r="M3471" s="63" t="s">
        <v>27</v>
      </c>
      <c r="N3471" s="61"/>
      <c r="O3471" s="51"/>
    </row>
    <row r="3472">
      <c r="A3472" s="56">
        <v>3469.0</v>
      </c>
      <c r="B3472" s="71"/>
      <c r="C3472" s="69" t="s">
        <v>14175</v>
      </c>
      <c r="D3472" s="68" t="s">
        <v>14176</v>
      </c>
      <c r="E3472" s="68" t="s">
        <v>14177</v>
      </c>
      <c r="F3472" s="76">
        <v>42083.0</v>
      </c>
      <c r="G3472" s="68" t="s">
        <v>14178</v>
      </c>
      <c r="H3472" s="71"/>
      <c r="I3472" s="63" t="s">
        <v>635</v>
      </c>
      <c r="J3472" s="68" t="s">
        <v>14179</v>
      </c>
      <c r="K3472" s="76">
        <v>42576.0</v>
      </c>
      <c r="L3472" s="68" t="s">
        <v>13890</v>
      </c>
      <c r="M3472" s="68" t="s">
        <v>166</v>
      </c>
      <c r="N3472" s="61"/>
      <c r="O3472" s="51"/>
    </row>
    <row r="3473">
      <c r="A3473" s="56">
        <v>3470.0</v>
      </c>
      <c r="B3473" s="71"/>
      <c r="C3473" s="69" t="s">
        <v>14180</v>
      </c>
      <c r="D3473" s="68" t="s">
        <v>14176</v>
      </c>
      <c r="E3473" s="68" t="s">
        <v>14181</v>
      </c>
      <c r="F3473" s="76">
        <v>42083.0</v>
      </c>
      <c r="G3473" s="68" t="s">
        <v>14178</v>
      </c>
      <c r="H3473" s="71"/>
      <c r="I3473" s="63" t="s">
        <v>635</v>
      </c>
      <c r="J3473" s="68" t="s">
        <v>14179</v>
      </c>
      <c r="K3473" s="76">
        <v>42576.0</v>
      </c>
      <c r="L3473" s="68" t="s">
        <v>13890</v>
      </c>
      <c r="M3473" s="68" t="s">
        <v>166</v>
      </c>
      <c r="N3473" s="61"/>
      <c r="O3473" s="51"/>
    </row>
    <row r="3474">
      <c r="A3474" s="56">
        <v>3471.0</v>
      </c>
      <c r="B3474" s="60"/>
      <c r="C3474" s="58" t="s">
        <v>14182</v>
      </c>
      <c r="D3474" s="57" t="s">
        <v>14183</v>
      </c>
      <c r="E3474" s="57" t="s">
        <v>14184</v>
      </c>
      <c r="F3474" s="59">
        <v>42512.0</v>
      </c>
      <c r="G3474" s="57" t="s">
        <v>14185</v>
      </c>
      <c r="H3474" s="60"/>
      <c r="I3474" s="63" t="s">
        <v>635</v>
      </c>
      <c r="J3474" s="57" t="s">
        <v>14186</v>
      </c>
      <c r="K3474" s="59">
        <v>42576.0</v>
      </c>
      <c r="L3474" s="57" t="s">
        <v>13890</v>
      </c>
      <c r="M3474" s="60"/>
      <c r="N3474" s="61"/>
      <c r="O3474" s="51"/>
    </row>
    <row r="3475">
      <c r="A3475" s="56">
        <v>3472.0</v>
      </c>
      <c r="B3475" s="71"/>
      <c r="C3475" s="69" t="s">
        <v>14187</v>
      </c>
      <c r="D3475" s="68" t="s">
        <v>14188</v>
      </c>
      <c r="E3475" s="68" t="s">
        <v>14189</v>
      </c>
      <c r="F3475" s="76">
        <v>42254.0</v>
      </c>
      <c r="G3475" s="68" t="s">
        <v>14190</v>
      </c>
      <c r="H3475" s="71"/>
      <c r="I3475" s="63" t="s">
        <v>14191</v>
      </c>
      <c r="J3475" s="68" t="s">
        <v>14192</v>
      </c>
      <c r="K3475" s="76">
        <v>42576.0</v>
      </c>
      <c r="L3475" s="68" t="s">
        <v>13890</v>
      </c>
      <c r="M3475" s="71"/>
      <c r="N3475" s="61"/>
      <c r="O3475" s="51"/>
    </row>
    <row r="3476">
      <c r="A3476" s="56">
        <v>3473.0</v>
      </c>
      <c r="B3476" s="71"/>
      <c r="C3476" s="69" t="s">
        <v>14193</v>
      </c>
      <c r="D3476" s="68" t="s">
        <v>14194</v>
      </c>
      <c r="E3476" s="68" t="s">
        <v>14195</v>
      </c>
      <c r="F3476" s="76">
        <v>42128.0</v>
      </c>
      <c r="G3476" s="68" t="s">
        <v>14196</v>
      </c>
      <c r="H3476" s="71"/>
      <c r="I3476" s="63" t="s">
        <v>14197</v>
      </c>
      <c r="J3476" s="68" t="s">
        <v>14198</v>
      </c>
      <c r="K3476" s="76">
        <v>42576.0</v>
      </c>
      <c r="L3476" s="68" t="s">
        <v>13890</v>
      </c>
      <c r="M3476" s="68" t="s">
        <v>2748</v>
      </c>
      <c r="N3476" s="61"/>
      <c r="O3476" s="51"/>
    </row>
    <row r="3477">
      <c r="A3477" s="56">
        <v>3474.0</v>
      </c>
      <c r="B3477" s="71"/>
      <c r="C3477" s="69" t="s">
        <v>14199</v>
      </c>
      <c r="D3477" s="68" t="s">
        <v>14200</v>
      </c>
      <c r="E3477" s="68" t="s">
        <v>14201</v>
      </c>
      <c r="F3477" s="76">
        <v>41776.0</v>
      </c>
      <c r="G3477" s="68" t="s">
        <v>14202</v>
      </c>
      <c r="H3477" s="71"/>
      <c r="I3477" s="63" t="s">
        <v>635</v>
      </c>
      <c r="J3477" s="68" t="s">
        <v>9891</v>
      </c>
      <c r="K3477" s="76">
        <v>42576.0</v>
      </c>
      <c r="L3477" s="68" t="s">
        <v>13890</v>
      </c>
      <c r="M3477" s="68" t="s">
        <v>166</v>
      </c>
      <c r="N3477" s="61"/>
      <c r="O3477" s="51"/>
    </row>
    <row r="3478">
      <c r="A3478" s="56">
        <v>3475.0</v>
      </c>
      <c r="B3478" s="60"/>
      <c r="C3478" s="58" t="s">
        <v>14203</v>
      </c>
      <c r="D3478" s="57" t="s">
        <v>14200</v>
      </c>
      <c r="E3478" s="57" t="s">
        <v>14204</v>
      </c>
      <c r="F3478" s="59">
        <v>41776.0</v>
      </c>
      <c r="G3478" s="57" t="s">
        <v>14202</v>
      </c>
      <c r="H3478" s="60"/>
      <c r="I3478" s="63" t="s">
        <v>635</v>
      </c>
      <c r="J3478" s="57" t="s">
        <v>14205</v>
      </c>
      <c r="K3478" s="59">
        <v>42576.0</v>
      </c>
      <c r="L3478" s="57" t="s">
        <v>13890</v>
      </c>
      <c r="M3478" s="104"/>
      <c r="N3478" s="105"/>
      <c r="O3478" s="51"/>
    </row>
    <row r="3479">
      <c r="A3479" s="56">
        <v>3476.0</v>
      </c>
      <c r="B3479" s="71"/>
      <c r="C3479" s="69" t="s">
        <v>14206</v>
      </c>
      <c r="D3479" s="68" t="s">
        <v>14207</v>
      </c>
      <c r="E3479" s="68" t="s">
        <v>14208</v>
      </c>
      <c r="F3479" s="76">
        <v>42075.0</v>
      </c>
      <c r="G3479" s="68" t="s">
        <v>14209</v>
      </c>
      <c r="H3479" s="71"/>
      <c r="I3479" s="63" t="s">
        <v>635</v>
      </c>
      <c r="J3479" s="68" t="s">
        <v>2774</v>
      </c>
      <c r="K3479" s="76">
        <v>42576.0</v>
      </c>
      <c r="L3479" s="68" t="s">
        <v>13890</v>
      </c>
      <c r="M3479" s="104"/>
      <c r="N3479" s="105"/>
      <c r="O3479" s="51"/>
    </row>
    <row r="3480">
      <c r="A3480" s="56">
        <v>3477.0</v>
      </c>
      <c r="B3480" s="71"/>
      <c r="C3480" s="69" t="s">
        <v>14210</v>
      </c>
      <c r="D3480" s="68" t="s">
        <v>14211</v>
      </c>
      <c r="E3480" s="68" t="s">
        <v>14212</v>
      </c>
      <c r="F3480" s="76">
        <v>42401.0</v>
      </c>
      <c r="G3480" s="68" t="s">
        <v>14213</v>
      </c>
      <c r="H3480" s="71"/>
      <c r="I3480" s="63" t="s">
        <v>635</v>
      </c>
      <c r="J3480" s="68" t="s">
        <v>14214</v>
      </c>
      <c r="K3480" s="76">
        <v>42576.0</v>
      </c>
      <c r="L3480" s="68" t="s">
        <v>13890</v>
      </c>
      <c r="M3480" s="128" t="s">
        <v>12947</v>
      </c>
      <c r="N3480" s="61"/>
      <c r="O3480" s="51"/>
    </row>
    <row r="3481">
      <c r="A3481" s="56">
        <v>3478.0</v>
      </c>
      <c r="B3481" s="66"/>
      <c r="C3481" s="64" t="s">
        <v>14215</v>
      </c>
      <c r="D3481" s="63" t="s">
        <v>14216</v>
      </c>
      <c r="E3481" s="63" t="s">
        <v>14217</v>
      </c>
      <c r="F3481" s="70">
        <v>41844.0</v>
      </c>
      <c r="G3481" s="80" t="s">
        <v>14218</v>
      </c>
      <c r="H3481" s="80" t="s">
        <v>14219</v>
      </c>
      <c r="I3481" s="63" t="s">
        <v>14220</v>
      </c>
      <c r="J3481" s="63" t="s">
        <v>12318</v>
      </c>
      <c r="K3481" s="70">
        <v>42576.0</v>
      </c>
      <c r="L3481" s="63" t="s">
        <v>14221</v>
      </c>
      <c r="M3481" s="63" t="s">
        <v>872</v>
      </c>
      <c r="N3481" s="61"/>
      <c r="O3481" s="51"/>
    </row>
    <row r="3482">
      <c r="A3482" s="56">
        <v>3479.0</v>
      </c>
      <c r="B3482" s="71"/>
      <c r="C3482" s="69" t="s">
        <v>14222</v>
      </c>
      <c r="D3482" s="68" t="s">
        <v>14223</v>
      </c>
      <c r="E3482" s="68" t="s">
        <v>14224</v>
      </c>
      <c r="F3482" s="76">
        <v>42407.0</v>
      </c>
      <c r="G3482" s="68" t="s">
        <v>14225</v>
      </c>
      <c r="H3482" s="71"/>
      <c r="I3482" s="71"/>
      <c r="J3482" s="68" t="s">
        <v>14226</v>
      </c>
      <c r="K3482" s="76">
        <v>42576.0</v>
      </c>
      <c r="L3482" s="68" t="s">
        <v>14221</v>
      </c>
      <c r="M3482" s="68" t="s">
        <v>872</v>
      </c>
      <c r="N3482" s="61"/>
      <c r="O3482" s="51"/>
    </row>
    <row r="3483">
      <c r="A3483" s="56">
        <v>3480.0</v>
      </c>
      <c r="B3483" s="71"/>
      <c r="C3483" s="69" t="s">
        <v>14227</v>
      </c>
      <c r="D3483" s="71"/>
      <c r="E3483" s="68" t="s">
        <v>14228</v>
      </c>
      <c r="F3483" s="76">
        <v>40727.0</v>
      </c>
      <c r="G3483" s="68" t="s">
        <v>14229</v>
      </c>
      <c r="H3483" s="71"/>
      <c r="I3483" s="63" t="s">
        <v>635</v>
      </c>
      <c r="J3483" s="68" t="s">
        <v>14230</v>
      </c>
      <c r="K3483" s="76">
        <v>42576.0</v>
      </c>
      <c r="L3483" s="68" t="s">
        <v>13594</v>
      </c>
      <c r="M3483" s="68" t="s">
        <v>195</v>
      </c>
      <c r="N3483" s="61"/>
      <c r="O3483" s="51"/>
    </row>
    <row r="3484">
      <c r="A3484" s="56">
        <v>3481.0</v>
      </c>
      <c r="B3484" s="71"/>
      <c r="C3484" s="69" t="s">
        <v>14231</v>
      </c>
      <c r="D3484" s="71"/>
      <c r="E3484" s="68" t="s">
        <v>14232</v>
      </c>
      <c r="F3484" s="76">
        <v>42439.0</v>
      </c>
      <c r="G3484" s="68" t="s">
        <v>14233</v>
      </c>
      <c r="H3484" s="71"/>
      <c r="I3484" s="63" t="s">
        <v>14234</v>
      </c>
      <c r="J3484" s="68" t="s">
        <v>14235</v>
      </c>
      <c r="K3484" s="76">
        <v>42576.0</v>
      </c>
      <c r="L3484" s="68" t="s">
        <v>14236</v>
      </c>
      <c r="M3484" s="71"/>
      <c r="N3484" s="61"/>
      <c r="O3484" s="51"/>
    </row>
    <row r="3485">
      <c r="A3485" s="56">
        <v>3482.0</v>
      </c>
      <c r="B3485" s="66"/>
      <c r="C3485" s="64" t="s">
        <v>14237</v>
      </c>
      <c r="D3485" s="66"/>
      <c r="E3485" s="63" t="s">
        <v>14238</v>
      </c>
      <c r="F3485" s="70">
        <v>41978.0</v>
      </c>
      <c r="G3485" s="80" t="s">
        <v>14239</v>
      </c>
      <c r="H3485" s="82"/>
      <c r="I3485" s="63" t="s">
        <v>14240</v>
      </c>
      <c r="J3485" s="63" t="s">
        <v>2872</v>
      </c>
      <c r="K3485" s="70">
        <v>42576.0</v>
      </c>
      <c r="L3485" s="63" t="s">
        <v>13770</v>
      </c>
      <c r="M3485" s="63" t="s">
        <v>125</v>
      </c>
      <c r="N3485" s="61"/>
      <c r="O3485" s="51"/>
    </row>
    <row r="3486">
      <c r="A3486" s="56">
        <v>3483.0</v>
      </c>
      <c r="B3486" s="60"/>
      <c r="C3486" s="58" t="s">
        <v>14241</v>
      </c>
      <c r="D3486" s="60"/>
      <c r="E3486" s="57" t="s">
        <v>14242</v>
      </c>
      <c r="F3486" s="78">
        <v>42366.0</v>
      </c>
      <c r="G3486" s="57" t="s">
        <v>14243</v>
      </c>
      <c r="H3486" s="60"/>
      <c r="I3486" s="63" t="s">
        <v>635</v>
      </c>
      <c r="J3486" s="57" t="s">
        <v>14244</v>
      </c>
      <c r="K3486" s="59">
        <v>42576.0</v>
      </c>
      <c r="L3486" s="57" t="s">
        <v>14236</v>
      </c>
      <c r="M3486" s="104"/>
      <c r="N3486" s="105"/>
      <c r="O3486" s="51"/>
    </row>
    <row r="3487">
      <c r="A3487" s="75">
        <v>3484.0</v>
      </c>
      <c r="B3487" s="71"/>
      <c r="C3487" s="69" t="s">
        <v>14245</v>
      </c>
      <c r="D3487" s="71"/>
      <c r="E3487" s="68" t="s">
        <v>14246</v>
      </c>
      <c r="F3487" s="68">
        <v>2012.0</v>
      </c>
      <c r="G3487" s="68" t="s">
        <v>14247</v>
      </c>
      <c r="H3487" s="71"/>
      <c r="I3487" s="68" t="s">
        <v>14248</v>
      </c>
      <c r="J3487" s="68" t="s">
        <v>5369</v>
      </c>
      <c r="K3487" s="76">
        <v>42576.0</v>
      </c>
      <c r="L3487" s="68" t="s">
        <v>14236</v>
      </c>
      <c r="M3487" s="128" t="s">
        <v>2152</v>
      </c>
      <c r="N3487" s="61"/>
      <c r="O3487" s="51"/>
    </row>
    <row r="3488">
      <c r="A3488" s="56">
        <v>3485.0</v>
      </c>
      <c r="B3488" s="66"/>
      <c r="C3488" s="64" t="s">
        <v>14249</v>
      </c>
      <c r="D3488" s="66"/>
      <c r="E3488" s="63" t="s">
        <v>14250</v>
      </c>
      <c r="F3488" s="70">
        <v>41825.0</v>
      </c>
      <c r="G3488" s="80" t="s">
        <v>14251</v>
      </c>
      <c r="H3488" s="82"/>
      <c r="I3488" s="63" t="s">
        <v>14252</v>
      </c>
      <c r="J3488" s="63" t="s">
        <v>6381</v>
      </c>
      <c r="K3488" s="70">
        <v>42576.0</v>
      </c>
      <c r="L3488" s="63" t="s">
        <v>2743</v>
      </c>
      <c r="M3488" s="63" t="s">
        <v>201</v>
      </c>
      <c r="N3488" s="61"/>
      <c r="O3488" s="51"/>
    </row>
    <row r="3489">
      <c r="A3489" s="56">
        <v>3486.0</v>
      </c>
      <c r="B3489" s="71"/>
      <c r="C3489" s="69" t="s">
        <v>14253</v>
      </c>
      <c r="D3489" s="71"/>
      <c r="E3489" s="68" t="s">
        <v>14254</v>
      </c>
      <c r="F3489" s="76">
        <v>42583.0</v>
      </c>
      <c r="G3489" s="68" t="s">
        <v>14255</v>
      </c>
      <c r="H3489" s="71"/>
      <c r="I3489" s="63" t="s">
        <v>635</v>
      </c>
      <c r="J3489" s="68" t="s">
        <v>12369</v>
      </c>
      <c r="K3489" s="76">
        <v>42578.0</v>
      </c>
      <c r="L3489" s="68" t="s">
        <v>14256</v>
      </c>
      <c r="M3489" s="71"/>
      <c r="N3489" s="61"/>
      <c r="O3489" s="51"/>
    </row>
    <row r="3490">
      <c r="A3490" s="56">
        <v>3487.0</v>
      </c>
      <c r="B3490" s="71"/>
      <c r="C3490" s="69" t="s">
        <v>14257</v>
      </c>
      <c r="D3490" s="71"/>
      <c r="E3490" s="68" t="s">
        <v>14258</v>
      </c>
      <c r="F3490" s="76">
        <v>42549.0</v>
      </c>
      <c r="G3490" s="68" t="s">
        <v>14259</v>
      </c>
      <c r="H3490" s="71"/>
      <c r="I3490" s="63" t="s">
        <v>635</v>
      </c>
      <c r="J3490" s="68" t="s">
        <v>14260</v>
      </c>
      <c r="K3490" s="76">
        <v>42578.0</v>
      </c>
      <c r="L3490" s="68" t="s">
        <v>14256</v>
      </c>
      <c r="M3490" s="68" t="s">
        <v>166</v>
      </c>
      <c r="N3490" s="61"/>
      <c r="O3490" s="51"/>
    </row>
    <row r="3491">
      <c r="A3491" s="56">
        <v>3488.0</v>
      </c>
      <c r="B3491" s="71"/>
      <c r="C3491" s="69" t="s">
        <v>14261</v>
      </c>
      <c r="D3491" s="71"/>
      <c r="E3491" s="68" t="s">
        <v>14262</v>
      </c>
      <c r="F3491" s="76">
        <v>42565.0</v>
      </c>
      <c r="G3491" s="68" t="s">
        <v>14263</v>
      </c>
      <c r="H3491" s="71"/>
      <c r="I3491" s="63" t="s">
        <v>635</v>
      </c>
      <c r="J3491" s="68" t="s">
        <v>6973</v>
      </c>
      <c r="K3491" s="76">
        <v>42578.0</v>
      </c>
      <c r="L3491" s="68" t="s">
        <v>14256</v>
      </c>
      <c r="M3491" s="68" t="s">
        <v>166</v>
      </c>
      <c r="N3491" s="61"/>
      <c r="O3491" s="51"/>
    </row>
    <row r="3492">
      <c r="A3492" s="56">
        <v>3489.0</v>
      </c>
      <c r="B3492" s="71"/>
      <c r="C3492" s="69" t="s">
        <v>14264</v>
      </c>
      <c r="D3492" s="71"/>
      <c r="E3492" s="68" t="s">
        <v>14265</v>
      </c>
      <c r="F3492" s="76">
        <v>42568.0</v>
      </c>
      <c r="G3492" s="68" t="s">
        <v>14266</v>
      </c>
      <c r="H3492" s="71"/>
      <c r="I3492" s="63" t="s">
        <v>635</v>
      </c>
      <c r="J3492" s="68" t="s">
        <v>14267</v>
      </c>
      <c r="K3492" s="76">
        <v>42578.0</v>
      </c>
      <c r="L3492" s="68" t="s">
        <v>14256</v>
      </c>
      <c r="M3492" s="68" t="s">
        <v>166</v>
      </c>
      <c r="N3492" s="61"/>
      <c r="O3492" s="51"/>
    </row>
    <row r="3493">
      <c r="A3493" s="56">
        <v>3490.0</v>
      </c>
      <c r="B3493" s="71"/>
      <c r="C3493" s="69" t="s">
        <v>14268</v>
      </c>
      <c r="D3493" s="71"/>
      <c r="E3493" s="68" t="s">
        <v>14269</v>
      </c>
      <c r="F3493" s="76">
        <v>42568.0</v>
      </c>
      <c r="G3493" s="68" t="s">
        <v>14270</v>
      </c>
      <c r="H3493" s="71"/>
      <c r="I3493" s="63" t="s">
        <v>635</v>
      </c>
      <c r="J3493" s="68" t="s">
        <v>14271</v>
      </c>
      <c r="K3493" s="76">
        <v>42578.0</v>
      </c>
      <c r="L3493" s="68" t="s">
        <v>14256</v>
      </c>
      <c r="M3493" s="68" t="s">
        <v>166</v>
      </c>
      <c r="N3493" s="61"/>
      <c r="O3493" s="51"/>
    </row>
    <row r="3494">
      <c r="A3494" s="56">
        <v>3491.0</v>
      </c>
      <c r="B3494" s="71"/>
      <c r="C3494" s="69" t="s">
        <v>14272</v>
      </c>
      <c r="D3494" s="71"/>
      <c r="E3494" s="68" t="s">
        <v>14273</v>
      </c>
      <c r="F3494" s="76">
        <v>42568.0</v>
      </c>
      <c r="G3494" s="68" t="s">
        <v>14274</v>
      </c>
      <c r="H3494" s="71"/>
      <c r="I3494" s="63" t="s">
        <v>635</v>
      </c>
      <c r="J3494" s="68" t="s">
        <v>14124</v>
      </c>
      <c r="K3494" s="76">
        <v>42578.0</v>
      </c>
      <c r="L3494" s="68" t="s">
        <v>14256</v>
      </c>
      <c r="M3494" s="68" t="s">
        <v>166</v>
      </c>
      <c r="N3494" s="61"/>
      <c r="O3494" s="51"/>
    </row>
    <row r="3495">
      <c r="A3495" s="56">
        <v>3492.0</v>
      </c>
      <c r="B3495" s="71"/>
      <c r="C3495" s="69" t="s">
        <v>14275</v>
      </c>
      <c r="D3495" s="71"/>
      <c r="E3495" s="68" t="s">
        <v>14276</v>
      </c>
      <c r="F3495" s="76">
        <v>42568.0</v>
      </c>
      <c r="G3495" s="68" t="s">
        <v>14277</v>
      </c>
      <c r="H3495" s="71"/>
      <c r="I3495" s="63" t="s">
        <v>635</v>
      </c>
      <c r="J3495" s="68" t="s">
        <v>12369</v>
      </c>
      <c r="K3495" s="76">
        <v>42578.0</v>
      </c>
      <c r="L3495" s="68" t="s">
        <v>14256</v>
      </c>
      <c r="M3495" s="68" t="s">
        <v>166</v>
      </c>
      <c r="N3495" s="61"/>
      <c r="O3495" s="51"/>
    </row>
    <row r="3496">
      <c r="A3496" s="56">
        <v>3493.0</v>
      </c>
      <c r="B3496" s="71"/>
      <c r="C3496" s="69" t="s">
        <v>14278</v>
      </c>
      <c r="D3496" s="71"/>
      <c r="E3496" s="68" t="s">
        <v>14279</v>
      </c>
      <c r="F3496" s="76">
        <v>42553.0</v>
      </c>
      <c r="G3496" s="68" t="s">
        <v>14280</v>
      </c>
      <c r="H3496" s="71"/>
      <c r="I3496" s="63" t="s">
        <v>635</v>
      </c>
      <c r="J3496" s="68" t="s">
        <v>12369</v>
      </c>
      <c r="K3496" s="76">
        <v>42578.0</v>
      </c>
      <c r="L3496" s="68" t="s">
        <v>14256</v>
      </c>
      <c r="M3496" s="68" t="s">
        <v>166</v>
      </c>
      <c r="N3496" s="61"/>
      <c r="O3496" s="51"/>
    </row>
    <row r="3497">
      <c r="A3497" s="56">
        <v>3494.0</v>
      </c>
      <c r="B3497" s="71"/>
      <c r="C3497" s="69" t="s">
        <v>14281</v>
      </c>
      <c r="D3497" s="71"/>
      <c r="E3497" s="68" t="s">
        <v>14282</v>
      </c>
      <c r="F3497" s="76">
        <v>42555.0</v>
      </c>
      <c r="G3497" s="68" t="s">
        <v>14283</v>
      </c>
      <c r="H3497" s="71"/>
      <c r="I3497" s="63" t="s">
        <v>635</v>
      </c>
      <c r="J3497" s="68" t="s">
        <v>14284</v>
      </c>
      <c r="K3497" s="76">
        <v>42578.0</v>
      </c>
      <c r="L3497" s="104"/>
      <c r="M3497" s="73" t="s">
        <v>166</v>
      </c>
      <c r="N3497" s="61"/>
      <c r="O3497" s="51"/>
    </row>
    <row r="3498">
      <c r="A3498" s="56">
        <v>3495.0</v>
      </c>
      <c r="B3498" s="71"/>
      <c r="C3498" s="69" t="s">
        <v>14285</v>
      </c>
      <c r="D3498" s="71"/>
      <c r="E3498" s="68" t="s">
        <v>14286</v>
      </c>
      <c r="F3498" s="76">
        <v>42555.0</v>
      </c>
      <c r="G3498" s="68" t="s">
        <v>14287</v>
      </c>
      <c r="H3498" s="71"/>
      <c r="I3498" s="63" t="s">
        <v>635</v>
      </c>
      <c r="J3498" s="68" t="s">
        <v>14288</v>
      </c>
      <c r="K3498" s="76">
        <v>42578.0</v>
      </c>
      <c r="L3498" s="128" t="s">
        <v>14256</v>
      </c>
      <c r="M3498" s="104"/>
      <c r="N3498" s="105"/>
      <c r="O3498" s="51"/>
    </row>
    <row r="3499">
      <c r="A3499" s="56">
        <v>3496.0</v>
      </c>
      <c r="B3499" s="71"/>
      <c r="C3499" s="69" t="s">
        <v>14289</v>
      </c>
      <c r="D3499" s="71"/>
      <c r="E3499" s="68" t="s">
        <v>14290</v>
      </c>
      <c r="F3499" s="76">
        <v>42555.0</v>
      </c>
      <c r="G3499" s="68" t="s">
        <v>14291</v>
      </c>
      <c r="H3499" s="71"/>
      <c r="I3499" s="63" t="s">
        <v>635</v>
      </c>
      <c r="J3499" s="68" t="s">
        <v>14292</v>
      </c>
      <c r="K3499" s="76">
        <v>42578.0</v>
      </c>
      <c r="L3499" s="68" t="s">
        <v>14256</v>
      </c>
      <c r="M3499" s="104"/>
      <c r="N3499" s="105"/>
      <c r="O3499" s="51"/>
    </row>
    <row r="3500">
      <c r="A3500" s="56">
        <v>3497.0</v>
      </c>
      <c r="B3500" s="71"/>
      <c r="C3500" s="69" t="s">
        <v>14293</v>
      </c>
      <c r="D3500" s="71"/>
      <c r="E3500" s="68" t="s">
        <v>14294</v>
      </c>
      <c r="F3500" s="76">
        <v>42560.0</v>
      </c>
      <c r="G3500" s="68" t="s">
        <v>14295</v>
      </c>
      <c r="H3500" s="71"/>
      <c r="I3500" s="63" t="s">
        <v>635</v>
      </c>
      <c r="J3500" s="68" t="s">
        <v>6778</v>
      </c>
      <c r="K3500" s="76">
        <v>42578.0</v>
      </c>
      <c r="L3500" s="68" t="s">
        <v>14256</v>
      </c>
      <c r="M3500" s="104"/>
      <c r="N3500" s="105"/>
      <c r="O3500" s="51"/>
    </row>
    <row r="3501">
      <c r="A3501" s="56">
        <v>3498.0</v>
      </c>
      <c r="B3501" s="71"/>
      <c r="C3501" s="69" t="s">
        <v>14296</v>
      </c>
      <c r="D3501" s="71"/>
      <c r="E3501" s="68" t="s">
        <v>14297</v>
      </c>
      <c r="F3501" s="76">
        <v>42560.0</v>
      </c>
      <c r="G3501" s="68" t="s">
        <v>14295</v>
      </c>
      <c r="H3501" s="71"/>
      <c r="I3501" s="63" t="s">
        <v>635</v>
      </c>
      <c r="J3501" s="68" t="s">
        <v>6778</v>
      </c>
      <c r="K3501" s="76">
        <v>42578.0</v>
      </c>
      <c r="L3501" s="68" t="s">
        <v>14256</v>
      </c>
      <c r="M3501" s="104"/>
      <c r="N3501" s="105"/>
      <c r="O3501" s="51"/>
    </row>
    <row r="3502">
      <c r="A3502" s="56">
        <v>3499.0</v>
      </c>
      <c r="B3502" s="71"/>
      <c r="C3502" s="69" t="s">
        <v>14298</v>
      </c>
      <c r="D3502" s="71"/>
      <c r="E3502" s="68" t="s">
        <v>14299</v>
      </c>
      <c r="F3502" s="76">
        <v>42339.0</v>
      </c>
      <c r="G3502" s="68" t="s">
        <v>14300</v>
      </c>
      <c r="H3502" s="71"/>
      <c r="I3502" s="63" t="s">
        <v>14301</v>
      </c>
      <c r="J3502" s="68" t="s">
        <v>14302</v>
      </c>
      <c r="K3502" s="76">
        <v>42581.0</v>
      </c>
      <c r="L3502" s="68" t="s">
        <v>2743</v>
      </c>
      <c r="M3502" s="128" t="s">
        <v>143</v>
      </c>
      <c r="N3502" s="61"/>
      <c r="O3502" s="51"/>
    </row>
    <row r="3503">
      <c r="A3503" s="56">
        <v>3500.0</v>
      </c>
      <c r="B3503" s="71"/>
      <c r="C3503" s="69" t="s">
        <v>14303</v>
      </c>
      <c r="D3503" s="71"/>
      <c r="E3503" s="68" t="s">
        <v>14304</v>
      </c>
      <c r="F3503" s="76">
        <v>42052.0</v>
      </c>
      <c r="G3503" s="68" t="s">
        <v>14300</v>
      </c>
      <c r="H3503" s="71"/>
      <c r="I3503" s="68" t="s">
        <v>14305</v>
      </c>
      <c r="J3503" s="68" t="s">
        <v>14306</v>
      </c>
      <c r="K3503" s="76">
        <v>42581.0</v>
      </c>
      <c r="L3503" s="68" t="s">
        <v>2743</v>
      </c>
      <c r="M3503" s="68" t="s">
        <v>31</v>
      </c>
      <c r="N3503" s="77"/>
      <c r="O3503" s="51"/>
    </row>
    <row r="3504">
      <c r="A3504" s="56">
        <v>3501.0</v>
      </c>
      <c r="B3504" s="71"/>
      <c r="C3504" s="69" t="s">
        <v>14307</v>
      </c>
      <c r="D3504" s="68" t="s">
        <v>14308</v>
      </c>
      <c r="E3504" s="68" t="s">
        <v>14309</v>
      </c>
      <c r="F3504" s="71"/>
      <c r="G3504" s="68" t="s">
        <v>14310</v>
      </c>
      <c r="H3504" s="71"/>
      <c r="I3504" s="68" t="s">
        <v>635</v>
      </c>
      <c r="J3504" s="87" t="s">
        <v>14311</v>
      </c>
      <c r="K3504" s="76">
        <v>42581.0</v>
      </c>
      <c r="L3504" s="68" t="s">
        <v>13890</v>
      </c>
      <c r="M3504" s="68" t="s">
        <v>27</v>
      </c>
      <c r="N3504" s="61"/>
      <c r="O3504" s="51"/>
    </row>
    <row r="3505">
      <c r="A3505" s="56">
        <v>3502.0</v>
      </c>
      <c r="B3505" s="66"/>
      <c r="C3505" s="64" t="s">
        <v>14312</v>
      </c>
      <c r="D3505" s="66"/>
      <c r="E3505" s="63" t="s">
        <v>14313</v>
      </c>
      <c r="F3505" s="70">
        <v>42453.0</v>
      </c>
      <c r="G3505" s="80" t="s">
        <v>14314</v>
      </c>
      <c r="H3505" s="82"/>
      <c r="I3505" s="66"/>
      <c r="J3505" s="63" t="s">
        <v>2872</v>
      </c>
      <c r="K3505" s="70">
        <v>42555.0</v>
      </c>
      <c r="L3505" s="63" t="s">
        <v>2743</v>
      </c>
      <c r="M3505" s="63" t="s">
        <v>125</v>
      </c>
      <c r="N3505" s="61"/>
      <c r="O3505" s="51"/>
    </row>
    <row r="3506">
      <c r="A3506" s="56">
        <v>3503.0</v>
      </c>
      <c r="B3506" s="71"/>
      <c r="C3506" s="69" t="s">
        <v>14315</v>
      </c>
      <c r="D3506" s="71"/>
      <c r="E3506" s="68" t="s">
        <v>14316</v>
      </c>
      <c r="F3506" s="68" t="s">
        <v>14317</v>
      </c>
      <c r="G3506" s="68" t="s">
        <v>14318</v>
      </c>
      <c r="H3506" s="71"/>
      <c r="I3506" s="63" t="s">
        <v>635</v>
      </c>
      <c r="J3506" s="68" t="s">
        <v>14319</v>
      </c>
      <c r="K3506" s="76">
        <v>42555.0</v>
      </c>
      <c r="L3506" s="68" t="s">
        <v>2743</v>
      </c>
      <c r="M3506" s="71"/>
      <c r="N3506" s="61"/>
      <c r="O3506" s="51"/>
    </row>
    <row r="3507">
      <c r="A3507" s="56">
        <v>3504.0</v>
      </c>
      <c r="B3507" s="71"/>
      <c r="C3507" s="69" t="s">
        <v>14320</v>
      </c>
      <c r="D3507" s="71"/>
      <c r="E3507" s="68" t="s">
        <v>14321</v>
      </c>
      <c r="F3507" s="68" t="s">
        <v>14317</v>
      </c>
      <c r="G3507" s="68" t="s">
        <v>14322</v>
      </c>
      <c r="H3507" s="71"/>
      <c r="I3507" s="63" t="s">
        <v>635</v>
      </c>
      <c r="J3507" s="68" t="s">
        <v>14323</v>
      </c>
      <c r="K3507" s="76">
        <v>42555.0</v>
      </c>
      <c r="L3507" s="68" t="s">
        <v>2743</v>
      </c>
      <c r="M3507" s="71"/>
      <c r="N3507" s="61"/>
      <c r="O3507" s="51"/>
    </row>
    <row r="3508">
      <c r="A3508" s="56">
        <v>3505.0</v>
      </c>
      <c r="B3508" s="71"/>
      <c r="C3508" s="69" t="s">
        <v>14324</v>
      </c>
      <c r="D3508" s="71"/>
      <c r="E3508" s="68" t="s">
        <v>14325</v>
      </c>
      <c r="F3508" s="76">
        <v>42537.0</v>
      </c>
      <c r="G3508" s="68" t="s">
        <v>14326</v>
      </c>
      <c r="H3508" s="71"/>
      <c r="I3508" s="63" t="s">
        <v>14327</v>
      </c>
      <c r="J3508" s="68" t="s">
        <v>14328</v>
      </c>
      <c r="K3508" s="76">
        <v>42555.0</v>
      </c>
      <c r="L3508" s="68" t="s">
        <v>2743</v>
      </c>
      <c r="M3508" s="68" t="s">
        <v>2527</v>
      </c>
      <c r="N3508" s="61"/>
      <c r="O3508" s="51"/>
    </row>
    <row r="3509">
      <c r="A3509" s="56">
        <v>3506.0</v>
      </c>
      <c r="B3509" s="71"/>
      <c r="C3509" s="69" t="s">
        <v>14329</v>
      </c>
      <c r="D3509" s="71"/>
      <c r="E3509" s="68" t="s">
        <v>14330</v>
      </c>
      <c r="F3509" s="76">
        <v>42019.0</v>
      </c>
      <c r="G3509" s="68" t="s">
        <v>14331</v>
      </c>
      <c r="H3509" s="71"/>
      <c r="I3509" s="68" t="s">
        <v>14332</v>
      </c>
      <c r="J3509" s="68" t="s">
        <v>14333</v>
      </c>
      <c r="K3509" s="76">
        <v>42555.0</v>
      </c>
      <c r="L3509" s="68" t="s">
        <v>2743</v>
      </c>
      <c r="M3509" s="68" t="s">
        <v>3795</v>
      </c>
      <c r="N3509" s="77"/>
      <c r="O3509" s="51"/>
    </row>
    <row r="3510">
      <c r="A3510" s="56">
        <v>3507.0</v>
      </c>
      <c r="B3510" s="60"/>
      <c r="C3510" s="58" t="s">
        <v>14334</v>
      </c>
      <c r="D3510" s="60"/>
      <c r="E3510" s="57" t="s">
        <v>14335</v>
      </c>
      <c r="F3510" s="59">
        <v>42537.0</v>
      </c>
      <c r="G3510" s="57" t="s">
        <v>14336</v>
      </c>
      <c r="H3510" s="60"/>
      <c r="I3510" s="63" t="s">
        <v>14337</v>
      </c>
      <c r="J3510" s="57" t="s">
        <v>14338</v>
      </c>
      <c r="K3510" s="59">
        <v>42529.0</v>
      </c>
      <c r="L3510" s="57" t="s">
        <v>2743</v>
      </c>
      <c r="M3510" s="57" t="s">
        <v>149</v>
      </c>
      <c r="N3510" s="61"/>
      <c r="O3510" s="51"/>
    </row>
    <row r="3511">
      <c r="A3511" s="56">
        <v>3508.0</v>
      </c>
      <c r="B3511" s="71"/>
      <c r="C3511" s="69" t="s">
        <v>14339</v>
      </c>
      <c r="D3511" s="71"/>
      <c r="E3511" s="68" t="s">
        <v>14340</v>
      </c>
      <c r="F3511" s="76">
        <v>42388.0</v>
      </c>
      <c r="G3511" s="68" t="s">
        <v>14341</v>
      </c>
      <c r="H3511" s="71"/>
      <c r="I3511" s="63" t="s">
        <v>14342</v>
      </c>
      <c r="J3511" s="68" t="s">
        <v>14343</v>
      </c>
      <c r="K3511" s="76">
        <v>42529.0</v>
      </c>
      <c r="L3511" s="68" t="s">
        <v>2743</v>
      </c>
      <c r="M3511" s="68" t="s">
        <v>13303</v>
      </c>
      <c r="N3511" s="61"/>
      <c r="O3511" s="51"/>
    </row>
    <row r="3512">
      <c r="A3512" s="56">
        <v>3509.0</v>
      </c>
      <c r="B3512" s="66"/>
      <c r="C3512" s="64" t="s">
        <v>14344</v>
      </c>
      <c r="D3512" s="66"/>
      <c r="E3512" s="63" t="s">
        <v>14345</v>
      </c>
      <c r="F3512" s="70">
        <v>41171.0</v>
      </c>
      <c r="G3512" s="80" t="s">
        <v>14346</v>
      </c>
      <c r="H3512" s="82"/>
      <c r="I3512" s="63" t="s">
        <v>14347</v>
      </c>
      <c r="J3512" s="63" t="s">
        <v>10817</v>
      </c>
      <c r="K3512" s="70">
        <v>42529.0</v>
      </c>
      <c r="L3512" s="63" t="s">
        <v>2743</v>
      </c>
      <c r="M3512" s="63" t="s">
        <v>31</v>
      </c>
      <c r="N3512" s="61"/>
      <c r="O3512" s="51"/>
    </row>
    <row r="3513">
      <c r="A3513" s="56">
        <v>3510.0</v>
      </c>
      <c r="B3513" s="71"/>
      <c r="C3513" s="69" t="s">
        <v>14348</v>
      </c>
      <c r="D3513" s="71"/>
      <c r="E3513" s="68" t="s">
        <v>14349</v>
      </c>
      <c r="F3513" s="76">
        <v>42571.0</v>
      </c>
      <c r="G3513" s="68" t="s">
        <v>14350</v>
      </c>
      <c r="H3513" s="71"/>
      <c r="I3513" s="68" t="s">
        <v>14351</v>
      </c>
      <c r="J3513" s="68" t="s">
        <v>14352</v>
      </c>
      <c r="K3513" s="76">
        <v>42529.0</v>
      </c>
      <c r="L3513" s="68" t="s">
        <v>2743</v>
      </c>
      <c r="M3513" s="68" t="s">
        <v>31</v>
      </c>
      <c r="N3513" s="77"/>
      <c r="O3513" s="51"/>
    </row>
    <row r="3514">
      <c r="A3514" s="56">
        <v>3511.0</v>
      </c>
      <c r="B3514" s="71"/>
      <c r="C3514" s="69" t="s">
        <v>14353</v>
      </c>
      <c r="D3514" s="71"/>
      <c r="E3514" s="68" t="s">
        <v>14354</v>
      </c>
      <c r="F3514" s="76">
        <v>42244.0</v>
      </c>
      <c r="G3514" s="68" t="s">
        <v>14355</v>
      </c>
      <c r="H3514" s="71"/>
      <c r="I3514" s="66"/>
      <c r="J3514" s="68" t="s">
        <v>14356</v>
      </c>
      <c r="K3514" s="76">
        <v>42529.0</v>
      </c>
      <c r="L3514" s="68" t="s">
        <v>2743</v>
      </c>
      <c r="M3514" s="104"/>
      <c r="N3514" s="105"/>
      <c r="O3514" s="51"/>
    </row>
    <row r="3515">
      <c r="A3515" s="56">
        <v>3512.0</v>
      </c>
      <c r="B3515" s="66"/>
      <c r="C3515" s="64" t="s">
        <v>14357</v>
      </c>
      <c r="D3515" s="63" t="s">
        <v>14358</v>
      </c>
      <c r="E3515" s="63" t="s">
        <v>14359</v>
      </c>
      <c r="F3515" s="70">
        <v>41395.0</v>
      </c>
      <c r="G3515" s="80" t="s">
        <v>14360</v>
      </c>
      <c r="H3515" s="82"/>
      <c r="I3515" s="63" t="s">
        <v>14361</v>
      </c>
      <c r="J3515" s="68" t="s">
        <v>14362</v>
      </c>
      <c r="K3515" s="70">
        <v>42593.0</v>
      </c>
      <c r="L3515" s="63" t="s">
        <v>13890</v>
      </c>
      <c r="M3515" s="74" t="s">
        <v>530</v>
      </c>
      <c r="N3515" s="61"/>
      <c r="O3515" s="51"/>
    </row>
    <row r="3516">
      <c r="A3516" s="56">
        <v>3513.0</v>
      </c>
      <c r="B3516" s="60"/>
      <c r="C3516" s="58" t="s">
        <v>14363</v>
      </c>
      <c r="D3516" s="57" t="s">
        <v>14364</v>
      </c>
      <c r="E3516" s="57" t="s">
        <v>14365</v>
      </c>
      <c r="F3516" s="59">
        <v>42409.0</v>
      </c>
      <c r="G3516" s="57" t="s">
        <v>14366</v>
      </c>
      <c r="H3516" s="60"/>
      <c r="I3516" s="63" t="s">
        <v>635</v>
      </c>
      <c r="J3516" s="57" t="s">
        <v>14367</v>
      </c>
      <c r="K3516" s="59">
        <v>42593.0</v>
      </c>
      <c r="L3516" s="57" t="s">
        <v>13890</v>
      </c>
      <c r="M3516" s="57" t="s">
        <v>149</v>
      </c>
      <c r="N3516" s="61"/>
      <c r="O3516" s="51"/>
    </row>
    <row r="3517">
      <c r="A3517" s="56">
        <v>3514.0</v>
      </c>
      <c r="B3517" s="71"/>
      <c r="C3517" s="69" t="s">
        <v>14368</v>
      </c>
      <c r="D3517" s="68" t="s">
        <v>14369</v>
      </c>
      <c r="E3517" s="68" t="s">
        <v>14370</v>
      </c>
      <c r="F3517" s="76">
        <v>42275.0</v>
      </c>
      <c r="G3517" s="68" t="s">
        <v>14371</v>
      </c>
      <c r="H3517" s="71"/>
      <c r="I3517" s="66"/>
      <c r="J3517" s="68" t="s">
        <v>9979</v>
      </c>
      <c r="K3517" s="76">
        <v>42593.0</v>
      </c>
      <c r="L3517" s="68" t="s">
        <v>13890</v>
      </c>
      <c r="M3517" s="68" t="s">
        <v>14372</v>
      </c>
      <c r="N3517" s="61"/>
      <c r="O3517" s="51"/>
    </row>
    <row r="3518">
      <c r="A3518" s="56">
        <v>3515.0</v>
      </c>
      <c r="B3518" s="71"/>
      <c r="C3518" s="69" t="s">
        <v>14373</v>
      </c>
      <c r="D3518" s="71"/>
      <c r="E3518" s="68" t="s">
        <v>14374</v>
      </c>
      <c r="F3518" s="76">
        <v>42370.0</v>
      </c>
      <c r="G3518" s="68" t="s">
        <v>14375</v>
      </c>
      <c r="H3518" s="71"/>
      <c r="I3518" s="68" t="s">
        <v>14376</v>
      </c>
      <c r="J3518" s="68" t="s">
        <v>14377</v>
      </c>
      <c r="K3518" s="76">
        <v>42593.0</v>
      </c>
      <c r="L3518" s="68" t="s">
        <v>2743</v>
      </c>
      <c r="M3518" s="68" t="s">
        <v>143</v>
      </c>
      <c r="N3518" s="77"/>
      <c r="O3518" s="51"/>
    </row>
    <row r="3519">
      <c r="A3519" s="56">
        <v>3516.0</v>
      </c>
      <c r="B3519" s="71"/>
      <c r="C3519" s="69" t="s">
        <v>14378</v>
      </c>
      <c r="D3519" s="71"/>
      <c r="E3519" s="68" t="s">
        <v>14379</v>
      </c>
      <c r="F3519" s="76">
        <v>42091.0</v>
      </c>
      <c r="G3519" s="68" t="s">
        <v>14380</v>
      </c>
      <c r="H3519" s="71"/>
      <c r="I3519" s="63" t="s">
        <v>635</v>
      </c>
      <c r="J3519" s="68" t="s">
        <v>14381</v>
      </c>
      <c r="K3519" s="76">
        <v>42593.0</v>
      </c>
      <c r="L3519" s="68" t="s">
        <v>13594</v>
      </c>
      <c r="M3519" s="71"/>
      <c r="N3519" s="61"/>
      <c r="O3519" s="51"/>
    </row>
    <row r="3520">
      <c r="A3520" s="56">
        <v>3517.0</v>
      </c>
      <c r="B3520" s="60"/>
      <c r="C3520" s="58" t="s">
        <v>14382</v>
      </c>
      <c r="D3520" s="60"/>
      <c r="E3520" s="57" t="s">
        <v>14383</v>
      </c>
      <c r="F3520" s="59">
        <v>42400.0</v>
      </c>
      <c r="G3520" s="57" t="s">
        <v>14384</v>
      </c>
      <c r="H3520" s="60"/>
      <c r="I3520" s="63" t="s">
        <v>635</v>
      </c>
      <c r="J3520" s="57" t="s">
        <v>14385</v>
      </c>
      <c r="K3520" s="59">
        <v>42593.0</v>
      </c>
      <c r="L3520" s="57" t="s">
        <v>13594</v>
      </c>
      <c r="M3520" s="60"/>
      <c r="N3520" s="61"/>
      <c r="O3520" s="51"/>
    </row>
    <row r="3521">
      <c r="A3521" s="56">
        <v>3518.0</v>
      </c>
      <c r="B3521" s="66"/>
      <c r="C3521" s="64" t="s">
        <v>14386</v>
      </c>
      <c r="D3521" s="66"/>
      <c r="E3521" s="63" t="s">
        <v>14387</v>
      </c>
      <c r="F3521" s="70">
        <v>42400.0</v>
      </c>
      <c r="G3521" s="80" t="s">
        <v>14388</v>
      </c>
      <c r="H3521" s="82"/>
      <c r="I3521" s="63" t="s">
        <v>14389</v>
      </c>
      <c r="J3521" s="63" t="s">
        <v>8070</v>
      </c>
      <c r="K3521" s="70">
        <v>42593.0</v>
      </c>
      <c r="L3521" s="63" t="s">
        <v>13594</v>
      </c>
      <c r="M3521" s="63" t="s">
        <v>4273</v>
      </c>
      <c r="N3521" s="61"/>
      <c r="O3521" s="51"/>
    </row>
    <row r="3522">
      <c r="A3522" s="56">
        <v>3519.0</v>
      </c>
      <c r="B3522" s="71"/>
      <c r="C3522" s="69" t="s">
        <v>14390</v>
      </c>
      <c r="D3522" s="71"/>
      <c r="E3522" s="68" t="s">
        <v>14391</v>
      </c>
      <c r="F3522" s="76">
        <v>42468.0</v>
      </c>
      <c r="G3522" s="68" t="s">
        <v>14392</v>
      </c>
      <c r="H3522" s="71"/>
      <c r="I3522" s="63" t="s">
        <v>635</v>
      </c>
      <c r="J3522" s="68" t="s">
        <v>14393</v>
      </c>
      <c r="K3522" s="76">
        <v>42593.0</v>
      </c>
      <c r="L3522" s="68" t="s">
        <v>13594</v>
      </c>
      <c r="M3522" s="68" t="s">
        <v>13303</v>
      </c>
      <c r="N3522" s="61"/>
      <c r="O3522" s="51"/>
    </row>
    <row r="3523">
      <c r="A3523" s="56">
        <v>3520.0</v>
      </c>
      <c r="B3523" s="71"/>
      <c r="C3523" s="69" t="s">
        <v>14394</v>
      </c>
      <c r="D3523" s="71"/>
      <c r="E3523" s="68" t="s">
        <v>14395</v>
      </c>
      <c r="F3523" s="76">
        <v>41746.0</v>
      </c>
      <c r="G3523" s="68" t="s">
        <v>14396</v>
      </c>
      <c r="H3523" s="71"/>
      <c r="I3523" s="63" t="s">
        <v>14397</v>
      </c>
      <c r="J3523" s="68" t="s">
        <v>14398</v>
      </c>
      <c r="K3523" s="76">
        <v>42593.0</v>
      </c>
      <c r="L3523" s="68" t="s">
        <v>13594</v>
      </c>
      <c r="M3523" s="71"/>
      <c r="N3523" s="61"/>
      <c r="O3523" s="51"/>
    </row>
    <row r="3524">
      <c r="A3524" s="85">
        <v>3521.0</v>
      </c>
      <c r="B3524" s="82"/>
      <c r="C3524" s="79" t="s">
        <v>14399</v>
      </c>
      <c r="D3524" s="82"/>
      <c r="E3524" s="80" t="s">
        <v>14400</v>
      </c>
      <c r="F3524" s="98">
        <v>40859.0</v>
      </c>
      <c r="G3524" s="80" t="s">
        <v>14401</v>
      </c>
      <c r="H3524" s="82"/>
      <c r="I3524" s="82"/>
      <c r="J3524" s="82"/>
      <c r="K3524" s="81">
        <v>42593.0</v>
      </c>
      <c r="L3524" s="80" t="s">
        <v>13884</v>
      </c>
      <c r="M3524" s="80" t="s">
        <v>166</v>
      </c>
      <c r="N3524" s="61"/>
      <c r="O3524" s="51"/>
    </row>
    <row r="3525">
      <c r="A3525" s="56">
        <v>3522.0</v>
      </c>
      <c r="B3525" s="71"/>
      <c r="C3525" s="69" t="s">
        <v>14402</v>
      </c>
      <c r="D3525" s="71"/>
      <c r="E3525" s="68" t="s">
        <v>14403</v>
      </c>
      <c r="F3525" s="76">
        <v>42544.0</v>
      </c>
      <c r="G3525" s="68" t="s">
        <v>14404</v>
      </c>
      <c r="H3525" s="71"/>
      <c r="I3525" s="68" t="s">
        <v>14405</v>
      </c>
      <c r="J3525" s="87" t="s">
        <v>14406</v>
      </c>
      <c r="K3525" s="76">
        <v>42593.0</v>
      </c>
      <c r="L3525" s="68" t="s">
        <v>13594</v>
      </c>
      <c r="M3525" s="68" t="s">
        <v>143</v>
      </c>
      <c r="N3525" s="61"/>
      <c r="O3525" s="51"/>
    </row>
    <row r="3526">
      <c r="A3526" s="56">
        <v>3523.0</v>
      </c>
      <c r="B3526" s="66"/>
      <c r="C3526" s="64" t="s">
        <v>14407</v>
      </c>
      <c r="D3526" s="66"/>
      <c r="E3526" s="63" t="s">
        <v>14408</v>
      </c>
      <c r="F3526" s="70">
        <v>42237.0</v>
      </c>
      <c r="G3526" s="80" t="s">
        <v>14409</v>
      </c>
      <c r="H3526" s="82"/>
      <c r="I3526" s="63" t="s">
        <v>14410</v>
      </c>
      <c r="J3526" s="63" t="s">
        <v>14411</v>
      </c>
      <c r="K3526" s="70">
        <v>42594.0</v>
      </c>
      <c r="L3526" s="63" t="s">
        <v>13594</v>
      </c>
      <c r="M3526" s="63" t="s">
        <v>2748</v>
      </c>
      <c r="N3526" s="61"/>
      <c r="O3526" s="51"/>
    </row>
    <row r="3527">
      <c r="A3527" s="56">
        <v>3524.0</v>
      </c>
      <c r="B3527" s="66"/>
      <c r="C3527" s="64" t="s">
        <v>14412</v>
      </c>
      <c r="D3527" s="66"/>
      <c r="E3527" s="63" t="s">
        <v>14413</v>
      </c>
      <c r="F3527" s="70">
        <v>40063.0</v>
      </c>
      <c r="G3527" s="80" t="s">
        <v>14414</v>
      </c>
      <c r="H3527" s="82"/>
      <c r="I3527" s="63" t="s">
        <v>14415</v>
      </c>
      <c r="J3527" s="63" t="s">
        <v>6322</v>
      </c>
      <c r="K3527" s="70">
        <v>42594.0</v>
      </c>
      <c r="L3527" s="63" t="s">
        <v>2743</v>
      </c>
      <c r="M3527" s="63" t="s">
        <v>4749</v>
      </c>
      <c r="N3527" s="61"/>
      <c r="O3527" s="51"/>
    </row>
    <row r="3528">
      <c r="A3528" s="56">
        <v>3525.0</v>
      </c>
      <c r="B3528" s="71"/>
      <c r="C3528" s="69" t="s">
        <v>14416</v>
      </c>
      <c r="D3528" s="71"/>
      <c r="E3528" s="68" t="s">
        <v>14417</v>
      </c>
      <c r="F3528" s="68">
        <v>2011.0</v>
      </c>
      <c r="G3528" s="68" t="s">
        <v>14418</v>
      </c>
      <c r="H3528" s="71"/>
      <c r="I3528" s="63" t="s">
        <v>635</v>
      </c>
      <c r="J3528" s="68" t="s">
        <v>14419</v>
      </c>
      <c r="K3528" s="76">
        <v>42599.0</v>
      </c>
      <c r="L3528" s="68" t="s">
        <v>2743</v>
      </c>
      <c r="M3528" s="68" t="s">
        <v>201</v>
      </c>
      <c r="N3528" s="61"/>
      <c r="O3528" s="51"/>
    </row>
    <row r="3529">
      <c r="A3529" s="56">
        <v>3526.0</v>
      </c>
      <c r="B3529" s="71"/>
      <c r="C3529" s="69" t="s">
        <v>14420</v>
      </c>
      <c r="D3529" s="71"/>
      <c r="E3529" s="68" t="s">
        <v>14421</v>
      </c>
      <c r="F3529" s="76">
        <v>42428.0</v>
      </c>
      <c r="G3529" s="68" t="s">
        <v>14422</v>
      </c>
      <c r="H3529" s="71"/>
      <c r="I3529" s="63" t="s">
        <v>14423</v>
      </c>
      <c r="J3529" s="68" t="s">
        <v>9979</v>
      </c>
      <c r="K3529" s="76">
        <v>42600.0</v>
      </c>
      <c r="L3529" s="68" t="s">
        <v>2774</v>
      </c>
      <c r="M3529" s="68" t="s">
        <v>166</v>
      </c>
      <c r="N3529" s="61"/>
      <c r="O3529" s="51"/>
    </row>
    <row r="3530">
      <c r="A3530" s="56">
        <v>3527.0</v>
      </c>
      <c r="B3530" s="66"/>
      <c r="C3530" s="64" t="s">
        <v>14424</v>
      </c>
      <c r="D3530" s="66"/>
      <c r="E3530" s="63" t="s">
        <v>14425</v>
      </c>
      <c r="F3530" s="70">
        <v>42166.0</v>
      </c>
      <c r="G3530" s="80" t="s">
        <v>14426</v>
      </c>
      <c r="H3530" s="82"/>
      <c r="I3530" s="63" t="s">
        <v>14427</v>
      </c>
      <c r="J3530" s="63" t="s">
        <v>9979</v>
      </c>
      <c r="K3530" s="70">
        <v>42600.0</v>
      </c>
      <c r="L3530" s="63" t="s">
        <v>2743</v>
      </c>
      <c r="M3530" s="63" t="s">
        <v>166</v>
      </c>
      <c r="N3530" s="61"/>
      <c r="O3530" s="51"/>
    </row>
    <row r="3531">
      <c r="A3531" s="56">
        <v>3528.0</v>
      </c>
      <c r="B3531" s="71"/>
      <c r="C3531" s="69" t="s">
        <v>14428</v>
      </c>
      <c r="D3531" s="71"/>
      <c r="E3531" s="68" t="s">
        <v>14429</v>
      </c>
      <c r="F3531" s="76">
        <v>42565.0</v>
      </c>
      <c r="G3531" s="68" t="s">
        <v>14430</v>
      </c>
      <c r="H3531" s="71"/>
      <c r="I3531" s="63" t="s">
        <v>635</v>
      </c>
      <c r="J3531" s="68" t="s">
        <v>14431</v>
      </c>
      <c r="K3531" s="76">
        <v>42600.0</v>
      </c>
      <c r="L3531" s="68" t="s">
        <v>2743</v>
      </c>
      <c r="M3531" s="104"/>
      <c r="N3531" s="105"/>
      <c r="O3531" s="51"/>
    </row>
    <row r="3532">
      <c r="A3532" s="56">
        <v>3529.0</v>
      </c>
      <c r="B3532" s="71"/>
      <c r="C3532" s="69" t="s">
        <v>14432</v>
      </c>
      <c r="D3532" s="71"/>
      <c r="E3532" s="68" t="s">
        <v>14433</v>
      </c>
      <c r="F3532" s="83">
        <v>42356.0</v>
      </c>
      <c r="G3532" s="68" t="s">
        <v>14434</v>
      </c>
      <c r="H3532" s="71"/>
      <c r="I3532" s="66"/>
      <c r="J3532" s="68" t="s">
        <v>14435</v>
      </c>
      <c r="K3532" s="76">
        <v>42600.0</v>
      </c>
      <c r="L3532" s="68" t="s">
        <v>13594</v>
      </c>
      <c r="M3532" s="128" t="s">
        <v>13303</v>
      </c>
      <c r="N3532" s="61"/>
      <c r="O3532" s="51"/>
    </row>
    <row r="3533">
      <c r="A3533" s="56">
        <v>3530.0</v>
      </c>
      <c r="B3533" s="71"/>
      <c r="C3533" s="69" t="s">
        <v>14436</v>
      </c>
      <c r="D3533" s="71"/>
      <c r="E3533" s="68" t="s">
        <v>14437</v>
      </c>
      <c r="F3533" s="76">
        <v>42346.0</v>
      </c>
      <c r="G3533" s="68" t="s">
        <v>14434</v>
      </c>
      <c r="H3533" s="71"/>
      <c r="I3533" s="68" t="s">
        <v>14438</v>
      </c>
      <c r="J3533" s="68" t="s">
        <v>14439</v>
      </c>
      <c r="K3533" s="76">
        <v>42600.0</v>
      </c>
      <c r="L3533" s="68" t="s">
        <v>13594</v>
      </c>
      <c r="M3533" s="68" t="s">
        <v>13303</v>
      </c>
      <c r="N3533" s="77"/>
      <c r="O3533" s="51"/>
    </row>
    <row r="3534">
      <c r="A3534" s="56">
        <v>3531.0</v>
      </c>
      <c r="B3534" s="66"/>
      <c r="C3534" s="64" t="s">
        <v>14440</v>
      </c>
      <c r="D3534" s="66"/>
      <c r="E3534" s="63" t="s">
        <v>14441</v>
      </c>
      <c r="F3534" s="70">
        <v>42346.0</v>
      </c>
      <c r="G3534" s="80" t="s">
        <v>14434</v>
      </c>
      <c r="H3534" s="82"/>
      <c r="I3534" s="63" t="s">
        <v>14438</v>
      </c>
      <c r="J3534" s="63" t="s">
        <v>14442</v>
      </c>
      <c r="K3534" s="70">
        <v>42600.0</v>
      </c>
      <c r="L3534" s="63" t="s">
        <v>13594</v>
      </c>
      <c r="M3534" s="63" t="s">
        <v>13303</v>
      </c>
      <c r="N3534" s="61"/>
      <c r="O3534" s="51"/>
    </row>
    <row r="3535">
      <c r="A3535" s="56">
        <v>3532.0</v>
      </c>
      <c r="B3535" s="71"/>
      <c r="C3535" s="69" t="s">
        <v>14443</v>
      </c>
      <c r="D3535" s="71"/>
      <c r="E3535" s="68" t="s">
        <v>14444</v>
      </c>
      <c r="F3535" s="76">
        <v>42467.0</v>
      </c>
      <c r="G3535" s="68" t="s">
        <v>14445</v>
      </c>
      <c r="H3535" s="71"/>
      <c r="I3535" s="63" t="s">
        <v>14446</v>
      </c>
      <c r="J3535" s="68" t="s">
        <v>14447</v>
      </c>
      <c r="K3535" s="76">
        <v>42600.0</v>
      </c>
      <c r="L3535" s="68" t="s">
        <v>13594</v>
      </c>
      <c r="M3535" s="104"/>
      <c r="N3535" s="105"/>
      <c r="O3535" s="51"/>
    </row>
    <row r="3536">
      <c r="A3536" s="56">
        <v>3533.0</v>
      </c>
      <c r="B3536" s="71"/>
      <c r="C3536" s="69" t="s">
        <v>14448</v>
      </c>
      <c r="D3536" s="71"/>
      <c r="E3536" s="68" t="s">
        <v>14449</v>
      </c>
      <c r="F3536" s="71"/>
      <c r="G3536" s="68" t="s">
        <v>14445</v>
      </c>
      <c r="H3536" s="71"/>
      <c r="I3536" s="68" t="s">
        <v>14446</v>
      </c>
      <c r="J3536" s="68" t="s">
        <v>14450</v>
      </c>
      <c r="K3536" s="76">
        <v>42600.0</v>
      </c>
      <c r="L3536" s="68" t="s">
        <v>13594</v>
      </c>
      <c r="M3536" s="128" t="s">
        <v>4273</v>
      </c>
      <c r="N3536" s="77"/>
      <c r="O3536" s="51"/>
    </row>
    <row r="3537">
      <c r="A3537" s="56">
        <v>3534.0</v>
      </c>
      <c r="B3537" s="71"/>
      <c r="C3537" s="69" t="s">
        <v>14451</v>
      </c>
      <c r="D3537" s="71"/>
      <c r="E3537" s="68" t="s">
        <v>14452</v>
      </c>
      <c r="F3537" s="76">
        <v>42513.0</v>
      </c>
      <c r="G3537" s="68" t="s">
        <v>14453</v>
      </c>
      <c r="H3537" s="71"/>
      <c r="I3537" s="63" t="s">
        <v>14454</v>
      </c>
      <c r="J3537" s="68" t="s">
        <v>14455</v>
      </c>
      <c r="K3537" s="76">
        <v>42600.0</v>
      </c>
      <c r="L3537" s="68" t="s">
        <v>2743</v>
      </c>
      <c r="M3537" s="68" t="s">
        <v>14456</v>
      </c>
      <c r="N3537" s="61"/>
      <c r="O3537" s="51"/>
    </row>
    <row r="3538">
      <c r="A3538" s="56">
        <v>3535.0</v>
      </c>
      <c r="B3538" s="60"/>
      <c r="C3538" s="58" t="s">
        <v>14457</v>
      </c>
      <c r="D3538" s="60"/>
      <c r="E3538" s="57" t="s">
        <v>14458</v>
      </c>
      <c r="F3538" s="59">
        <v>42473.0</v>
      </c>
      <c r="G3538" s="177" t="s">
        <v>14459</v>
      </c>
      <c r="H3538" s="227"/>
      <c r="I3538" s="63" t="s">
        <v>14460</v>
      </c>
      <c r="J3538" s="57" t="s">
        <v>14461</v>
      </c>
      <c r="K3538" s="59">
        <v>42600.0</v>
      </c>
      <c r="L3538" s="57" t="s">
        <v>2743</v>
      </c>
      <c r="M3538" s="60"/>
      <c r="N3538" s="61"/>
      <c r="O3538" s="51"/>
    </row>
    <row r="3539">
      <c r="A3539" s="56">
        <v>3536.0</v>
      </c>
      <c r="B3539" s="71"/>
      <c r="C3539" s="69" t="s">
        <v>14462</v>
      </c>
      <c r="D3539" s="71"/>
      <c r="E3539" s="68" t="s">
        <v>14463</v>
      </c>
      <c r="F3539" s="76">
        <v>42586.0</v>
      </c>
      <c r="G3539" s="114" t="s">
        <v>14464</v>
      </c>
      <c r="H3539" s="160"/>
      <c r="I3539" s="63" t="s">
        <v>635</v>
      </c>
      <c r="J3539" s="68" t="s">
        <v>14465</v>
      </c>
      <c r="K3539" s="76">
        <v>42611.0</v>
      </c>
      <c r="L3539" s="68" t="s">
        <v>14256</v>
      </c>
      <c r="M3539" s="68" t="s">
        <v>166</v>
      </c>
      <c r="N3539" s="61"/>
      <c r="O3539" s="51"/>
    </row>
    <row r="3540">
      <c r="A3540" s="56">
        <v>3537.0</v>
      </c>
      <c r="B3540" s="71"/>
      <c r="C3540" s="69" t="s">
        <v>14466</v>
      </c>
      <c r="D3540" s="71"/>
      <c r="E3540" s="68" t="s">
        <v>14467</v>
      </c>
      <c r="F3540" s="76">
        <v>42587.0</v>
      </c>
      <c r="G3540" s="114" t="s">
        <v>14468</v>
      </c>
      <c r="H3540" s="160"/>
      <c r="I3540" s="63" t="s">
        <v>635</v>
      </c>
      <c r="J3540" s="68" t="s">
        <v>14469</v>
      </c>
      <c r="K3540" s="76">
        <v>42976.0</v>
      </c>
      <c r="L3540" s="68" t="s">
        <v>14256</v>
      </c>
      <c r="M3540" s="68" t="s">
        <v>166</v>
      </c>
      <c r="N3540" s="61"/>
      <c r="O3540" s="51"/>
    </row>
    <row r="3541">
      <c r="A3541" s="56">
        <v>3538.0</v>
      </c>
      <c r="B3541" s="71"/>
      <c r="C3541" s="69" t="s">
        <v>14470</v>
      </c>
      <c r="D3541" s="71"/>
      <c r="E3541" s="68" t="s">
        <v>14471</v>
      </c>
      <c r="F3541" s="76">
        <v>42587.0</v>
      </c>
      <c r="G3541" s="114" t="s">
        <v>14468</v>
      </c>
      <c r="H3541" s="160"/>
      <c r="I3541" s="63" t="s">
        <v>635</v>
      </c>
      <c r="J3541" s="68" t="s">
        <v>14469</v>
      </c>
      <c r="K3541" s="76">
        <v>43341.0</v>
      </c>
      <c r="L3541" s="68" t="s">
        <v>14256</v>
      </c>
      <c r="M3541" s="68" t="s">
        <v>166</v>
      </c>
      <c r="N3541" s="61"/>
      <c r="O3541" s="51"/>
    </row>
    <row r="3542">
      <c r="A3542" s="56">
        <v>3539.0</v>
      </c>
      <c r="B3542" s="71"/>
      <c r="C3542" s="69" t="s">
        <v>14472</v>
      </c>
      <c r="D3542" s="71"/>
      <c r="E3542" s="68" t="s">
        <v>14473</v>
      </c>
      <c r="F3542" s="76">
        <v>42587.0</v>
      </c>
      <c r="G3542" s="114" t="s">
        <v>14474</v>
      </c>
      <c r="H3542" s="160"/>
      <c r="I3542" s="63" t="s">
        <v>635</v>
      </c>
      <c r="J3542" s="68" t="s">
        <v>14469</v>
      </c>
      <c r="K3542" s="76">
        <v>43706.0</v>
      </c>
      <c r="L3542" s="68" t="s">
        <v>14256</v>
      </c>
      <c r="M3542" s="68" t="s">
        <v>166</v>
      </c>
      <c r="N3542" s="61"/>
      <c r="O3542" s="51"/>
    </row>
    <row r="3543">
      <c r="A3543" s="56">
        <v>3540.0</v>
      </c>
      <c r="B3543" s="71"/>
      <c r="C3543" s="69" t="s">
        <v>14475</v>
      </c>
      <c r="D3543" s="71"/>
      <c r="E3543" s="68" t="s">
        <v>14476</v>
      </c>
      <c r="F3543" s="76">
        <v>42587.0</v>
      </c>
      <c r="G3543" s="114" t="s">
        <v>14477</v>
      </c>
      <c r="H3543" s="160"/>
      <c r="I3543" s="63" t="s">
        <v>635</v>
      </c>
      <c r="J3543" s="68" t="s">
        <v>14469</v>
      </c>
      <c r="K3543" s="76">
        <v>43706.0</v>
      </c>
      <c r="L3543" s="68" t="s">
        <v>14256</v>
      </c>
      <c r="M3543" s="68" t="s">
        <v>166</v>
      </c>
      <c r="N3543" s="61"/>
      <c r="O3543" s="51"/>
    </row>
    <row r="3544">
      <c r="A3544" s="56">
        <v>3541.0</v>
      </c>
      <c r="B3544" s="71"/>
      <c r="C3544" s="69" t="s">
        <v>14478</v>
      </c>
      <c r="D3544" s="71"/>
      <c r="E3544" s="68" t="s">
        <v>14479</v>
      </c>
      <c r="F3544" s="76">
        <v>42587.0</v>
      </c>
      <c r="G3544" s="114" t="s">
        <v>14480</v>
      </c>
      <c r="H3544" s="160"/>
      <c r="I3544" s="63" t="s">
        <v>635</v>
      </c>
      <c r="J3544" s="68" t="s">
        <v>14481</v>
      </c>
      <c r="K3544" s="76">
        <v>43706.0</v>
      </c>
      <c r="L3544" s="68" t="s">
        <v>14256</v>
      </c>
      <c r="M3544" s="68" t="s">
        <v>166</v>
      </c>
      <c r="N3544" s="61"/>
      <c r="O3544" s="51"/>
    </row>
    <row r="3545">
      <c r="A3545" s="56">
        <v>3542.0</v>
      </c>
      <c r="B3545" s="71"/>
      <c r="C3545" s="69" t="s">
        <v>14482</v>
      </c>
      <c r="D3545" s="71"/>
      <c r="E3545" s="68" t="s">
        <v>14483</v>
      </c>
      <c r="F3545" s="76">
        <v>42587.0</v>
      </c>
      <c r="G3545" s="114" t="s">
        <v>14484</v>
      </c>
      <c r="H3545" s="160"/>
      <c r="I3545" s="63" t="s">
        <v>635</v>
      </c>
      <c r="J3545" s="68" t="s">
        <v>14485</v>
      </c>
      <c r="K3545" s="76">
        <v>43706.0</v>
      </c>
      <c r="L3545" s="68" t="s">
        <v>14256</v>
      </c>
      <c r="M3545" s="68" t="s">
        <v>166</v>
      </c>
      <c r="N3545" s="61"/>
      <c r="O3545" s="51"/>
    </row>
    <row r="3546">
      <c r="A3546" s="56">
        <v>3543.0</v>
      </c>
      <c r="B3546" s="60"/>
      <c r="C3546" s="58" t="s">
        <v>14486</v>
      </c>
      <c r="D3546" s="60"/>
      <c r="E3546" s="57" t="s">
        <v>14487</v>
      </c>
      <c r="F3546" s="59">
        <v>42588.0</v>
      </c>
      <c r="G3546" s="177" t="s">
        <v>14488</v>
      </c>
      <c r="H3546" s="227"/>
      <c r="I3546" s="63" t="s">
        <v>635</v>
      </c>
      <c r="J3546" s="57" t="s">
        <v>9979</v>
      </c>
      <c r="K3546" s="59">
        <v>43706.0</v>
      </c>
      <c r="L3546" s="57" t="s">
        <v>14256</v>
      </c>
      <c r="M3546" s="57" t="s">
        <v>6778</v>
      </c>
      <c r="N3546" s="61"/>
      <c r="O3546" s="51"/>
    </row>
    <row r="3547">
      <c r="A3547" s="56">
        <v>3544.0</v>
      </c>
      <c r="B3547" s="71"/>
      <c r="C3547" s="69" t="s">
        <v>14489</v>
      </c>
      <c r="D3547" s="71"/>
      <c r="E3547" s="68" t="s">
        <v>14490</v>
      </c>
      <c r="F3547" s="76">
        <v>42593.0</v>
      </c>
      <c r="G3547" s="114" t="s">
        <v>14491</v>
      </c>
      <c r="H3547" s="160"/>
      <c r="I3547" s="63" t="s">
        <v>635</v>
      </c>
      <c r="J3547" s="68" t="s">
        <v>14492</v>
      </c>
      <c r="K3547" s="76">
        <v>43706.0</v>
      </c>
      <c r="L3547" s="68" t="s">
        <v>14256</v>
      </c>
      <c r="M3547" s="68" t="s">
        <v>166</v>
      </c>
      <c r="N3547" s="61"/>
      <c r="O3547" s="51"/>
    </row>
    <row r="3548">
      <c r="A3548" s="56">
        <v>3545.0</v>
      </c>
      <c r="B3548" s="71"/>
      <c r="C3548" s="69" t="s">
        <v>14493</v>
      </c>
      <c r="D3548" s="71"/>
      <c r="E3548" s="68" t="s">
        <v>14494</v>
      </c>
      <c r="F3548" s="76">
        <v>42583.0</v>
      </c>
      <c r="G3548" s="114" t="s">
        <v>14495</v>
      </c>
      <c r="H3548" s="160"/>
      <c r="I3548" s="63" t="s">
        <v>635</v>
      </c>
      <c r="J3548" s="68" t="s">
        <v>9979</v>
      </c>
      <c r="K3548" s="76">
        <v>43706.0</v>
      </c>
      <c r="L3548" s="68" t="s">
        <v>14256</v>
      </c>
      <c r="M3548" s="68" t="s">
        <v>6778</v>
      </c>
      <c r="N3548" s="61"/>
      <c r="O3548" s="51"/>
    </row>
    <row r="3549">
      <c r="A3549" s="56">
        <v>3546.0</v>
      </c>
      <c r="B3549" s="71"/>
      <c r="C3549" s="69" t="s">
        <v>14496</v>
      </c>
      <c r="D3549" s="71"/>
      <c r="E3549" s="68" t="s">
        <v>14497</v>
      </c>
      <c r="F3549" s="76">
        <v>42583.0</v>
      </c>
      <c r="G3549" s="114" t="s">
        <v>14498</v>
      </c>
      <c r="H3549" s="160"/>
      <c r="I3549" s="63" t="s">
        <v>635</v>
      </c>
      <c r="J3549" s="68" t="s">
        <v>14499</v>
      </c>
      <c r="K3549" s="76">
        <v>43706.0</v>
      </c>
      <c r="L3549" s="68" t="s">
        <v>14256</v>
      </c>
      <c r="M3549" s="68" t="s">
        <v>166</v>
      </c>
      <c r="N3549" s="61"/>
      <c r="O3549" s="51"/>
    </row>
    <row r="3550">
      <c r="A3550" s="56">
        <v>3547.0</v>
      </c>
      <c r="B3550" s="71"/>
      <c r="C3550" s="69" t="s">
        <v>14500</v>
      </c>
      <c r="D3550" s="71"/>
      <c r="E3550" s="68" t="s">
        <v>14501</v>
      </c>
      <c r="F3550" s="76">
        <v>42584.0</v>
      </c>
      <c r="G3550" s="114" t="s">
        <v>14502</v>
      </c>
      <c r="H3550" s="160"/>
      <c r="I3550" s="63" t="s">
        <v>635</v>
      </c>
      <c r="J3550" s="68" t="s">
        <v>6973</v>
      </c>
      <c r="K3550" s="76">
        <v>43706.0</v>
      </c>
      <c r="L3550" s="68" t="s">
        <v>14256</v>
      </c>
      <c r="M3550" s="68" t="s">
        <v>166</v>
      </c>
      <c r="N3550" s="61"/>
      <c r="O3550" s="51"/>
    </row>
    <row r="3551">
      <c r="A3551" s="56">
        <v>3548.0</v>
      </c>
      <c r="B3551" s="71"/>
      <c r="C3551" s="69" t="s">
        <v>14503</v>
      </c>
      <c r="D3551" s="71"/>
      <c r="E3551" s="68" t="s">
        <v>14504</v>
      </c>
      <c r="F3551" s="76">
        <v>42476.0</v>
      </c>
      <c r="G3551" s="114" t="s">
        <v>14505</v>
      </c>
      <c r="H3551" s="160"/>
      <c r="I3551" s="68" t="s">
        <v>635</v>
      </c>
      <c r="J3551" s="87" t="s">
        <v>14506</v>
      </c>
      <c r="K3551" s="76">
        <v>43706.0</v>
      </c>
      <c r="L3551" s="68" t="s">
        <v>2743</v>
      </c>
      <c r="M3551" s="68" t="s">
        <v>195</v>
      </c>
      <c r="N3551" s="77"/>
      <c r="O3551" s="51"/>
    </row>
    <row r="3552">
      <c r="A3552" s="56">
        <v>3549.0</v>
      </c>
      <c r="B3552" s="71"/>
      <c r="C3552" s="69" t="s">
        <v>14507</v>
      </c>
      <c r="D3552" s="71"/>
      <c r="E3552" s="68" t="s">
        <v>14508</v>
      </c>
      <c r="F3552" s="83">
        <v>42001.0</v>
      </c>
      <c r="G3552" s="114" t="s">
        <v>14509</v>
      </c>
      <c r="H3552" s="160"/>
      <c r="I3552" s="71"/>
      <c r="J3552" s="68" t="s">
        <v>14510</v>
      </c>
      <c r="K3552" s="76">
        <v>43706.0</v>
      </c>
      <c r="L3552" s="68" t="s">
        <v>2743</v>
      </c>
      <c r="M3552" s="68" t="s">
        <v>125</v>
      </c>
      <c r="N3552" s="61"/>
      <c r="O3552" s="51"/>
    </row>
    <row r="3553">
      <c r="A3553" s="56">
        <v>3550.0</v>
      </c>
      <c r="B3553" s="60"/>
      <c r="C3553" s="58" t="s">
        <v>14511</v>
      </c>
      <c r="D3553" s="60"/>
      <c r="E3553" s="57" t="s">
        <v>14512</v>
      </c>
      <c r="F3553" s="59">
        <v>40663.0</v>
      </c>
      <c r="G3553" s="177" t="s">
        <v>14513</v>
      </c>
      <c r="H3553" s="227"/>
      <c r="I3553" s="66"/>
      <c r="J3553" s="57" t="s">
        <v>14514</v>
      </c>
      <c r="K3553" s="59">
        <v>43706.0</v>
      </c>
      <c r="L3553" s="57" t="s">
        <v>2743</v>
      </c>
      <c r="M3553" s="60"/>
      <c r="N3553" s="61"/>
      <c r="O3553" s="51"/>
    </row>
    <row r="3554">
      <c r="A3554" s="56">
        <v>3551.0</v>
      </c>
      <c r="B3554" s="60"/>
      <c r="C3554" s="58" t="s">
        <v>14515</v>
      </c>
      <c r="D3554" s="60"/>
      <c r="E3554" s="57" t="s">
        <v>14516</v>
      </c>
      <c r="F3554" s="59">
        <v>40642.0</v>
      </c>
      <c r="G3554" s="177" t="s">
        <v>14517</v>
      </c>
      <c r="H3554" s="227"/>
      <c r="I3554" s="63" t="s">
        <v>635</v>
      </c>
      <c r="J3554" s="57" t="s">
        <v>14518</v>
      </c>
      <c r="K3554" s="59">
        <v>43706.0</v>
      </c>
      <c r="L3554" s="57" t="s">
        <v>2743</v>
      </c>
      <c r="M3554" s="60"/>
      <c r="N3554" s="61"/>
      <c r="O3554" s="51"/>
    </row>
    <row r="3555">
      <c r="A3555" s="56">
        <v>3552.0</v>
      </c>
      <c r="B3555" s="66"/>
      <c r="C3555" s="64" t="s">
        <v>14519</v>
      </c>
      <c r="D3555" s="66"/>
      <c r="E3555" s="63" t="s">
        <v>14520</v>
      </c>
      <c r="F3555" s="65">
        <v>42000.0</v>
      </c>
      <c r="G3555" s="132" t="s">
        <v>14521</v>
      </c>
      <c r="H3555" s="132" t="s">
        <v>439</v>
      </c>
      <c r="I3555" s="63" t="s">
        <v>14522</v>
      </c>
      <c r="J3555" s="63" t="s">
        <v>9514</v>
      </c>
      <c r="K3555" s="70">
        <v>43706.0</v>
      </c>
      <c r="L3555" s="63" t="s">
        <v>2743</v>
      </c>
      <c r="M3555" s="63" t="s">
        <v>282</v>
      </c>
      <c r="N3555" s="61"/>
      <c r="O3555" s="51"/>
    </row>
    <row r="3556">
      <c r="A3556" s="56">
        <v>3553.0</v>
      </c>
      <c r="B3556" s="71"/>
      <c r="C3556" s="69" t="s">
        <v>14523</v>
      </c>
      <c r="D3556" s="71"/>
      <c r="E3556" s="68" t="s">
        <v>14524</v>
      </c>
      <c r="F3556" s="76">
        <v>41950.0</v>
      </c>
      <c r="G3556" s="114" t="s">
        <v>14525</v>
      </c>
      <c r="H3556" s="160"/>
      <c r="I3556" s="63" t="s">
        <v>14526</v>
      </c>
      <c r="J3556" s="68" t="s">
        <v>14527</v>
      </c>
      <c r="K3556" s="76">
        <v>43706.0</v>
      </c>
      <c r="L3556" s="68" t="s">
        <v>2743</v>
      </c>
      <c r="M3556" s="71"/>
      <c r="N3556" s="61"/>
      <c r="O3556" s="51"/>
    </row>
    <row r="3557">
      <c r="A3557" s="56">
        <v>3554.0</v>
      </c>
      <c r="B3557" s="60"/>
      <c r="C3557" s="58" t="s">
        <v>14528</v>
      </c>
      <c r="D3557" s="60"/>
      <c r="E3557" s="57" t="s">
        <v>14529</v>
      </c>
      <c r="F3557" s="59">
        <v>42578.0</v>
      </c>
      <c r="G3557" s="177" t="s">
        <v>14530</v>
      </c>
      <c r="H3557" s="227"/>
      <c r="I3557" s="63" t="s">
        <v>14531</v>
      </c>
      <c r="J3557" s="57" t="s">
        <v>14532</v>
      </c>
      <c r="K3557" s="59">
        <v>43706.0</v>
      </c>
      <c r="L3557" s="57" t="s">
        <v>2743</v>
      </c>
      <c r="M3557" s="57" t="s">
        <v>149</v>
      </c>
      <c r="N3557" s="61"/>
      <c r="O3557" s="51"/>
    </row>
    <row r="3558">
      <c r="A3558" s="56">
        <v>3555.0</v>
      </c>
      <c r="B3558" s="66"/>
      <c r="C3558" s="64" t="s">
        <v>14533</v>
      </c>
      <c r="D3558" s="66"/>
      <c r="E3558" s="63" t="s">
        <v>14534</v>
      </c>
      <c r="F3558" s="70">
        <v>42229.0</v>
      </c>
      <c r="G3558" s="132" t="s">
        <v>14535</v>
      </c>
      <c r="H3558" s="228"/>
      <c r="I3558" s="63" t="s">
        <v>14536</v>
      </c>
      <c r="J3558" s="63" t="s">
        <v>8622</v>
      </c>
      <c r="K3558" s="70">
        <v>43706.0</v>
      </c>
      <c r="L3558" s="63" t="s">
        <v>2743</v>
      </c>
      <c r="M3558" s="63" t="s">
        <v>368</v>
      </c>
      <c r="N3558" s="61"/>
      <c r="O3558" s="51"/>
    </row>
    <row r="3559">
      <c r="A3559" s="56">
        <v>3556.0</v>
      </c>
      <c r="B3559" s="66"/>
      <c r="C3559" s="64" t="s">
        <v>14537</v>
      </c>
      <c r="D3559" s="66"/>
      <c r="E3559" s="63" t="s">
        <v>14538</v>
      </c>
      <c r="F3559" s="70">
        <v>41398.0</v>
      </c>
      <c r="G3559" s="132" t="s">
        <v>14539</v>
      </c>
      <c r="H3559" s="132" t="s">
        <v>14540</v>
      </c>
      <c r="I3559" s="63" t="s">
        <v>635</v>
      </c>
      <c r="J3559" s="63" t="s">
        <v>6393</v>
      </c>
      <c r="K3559" s="70">
        <v>42613.0</v>
      </c>
      <c r="L3559" s="63" t="s">
        <v>2743</v>
      </c>
      <c r="M3559" s="63" t="s">
        <v>195</v>
      </c>
      <c r="N3559" s="61"/>
      <c r="O3559" s="51"/>
    </row>
    <row r="3560">
      <c r="A3560" s="56">
        <v>3557.0</v>
      </c>
      <c r="B3560" s="71"/>
      <c r="C3560" s="69" t="s">
        <v>14541</v>
      </c>
      <c r="D3560" s="71"/>
      <c r="E3560" s="68" t="s">
        <v>14542</v>
      </c>
      <c r="F3560" s="76">
        <v>42170.0</v>
      </c>
      <c r="G3560" s="114" t="s">
        <v>14543</v>
      </c>
      <c r="H3560" s="160"/>
      <c r="I3560" s="68" t="s">
        <v>14544</v>
      </c>
      <c r="J3560" s="68" t="s">
        <v>14545</v>
      </c>
      <c r="K3560" s="76">
        <v>42618.0</v>
      </c>
      <c r="L3560" s="68" t="s">
        <v>2743</v>
      </c>
      <c r="M3560" s="68" t="s">
        <v>31</v>
      </c>
      <c r="N3560" s="77"/>
      <c r="O3560" s="51"/>
    </row>
    <row r="3561">
      <c r="A3561" s="56">
        <v>3558.0</v>
      </c>
      <c r="B3561" s="71"/>
      <c r="C3561" s="69" t="s">
        <v>14546</v>
      </c>
      <c r="D3561" s="71"/>
      <c r="E3561" s="68" t="s">
        <v>14547</v>
      </c>
      <c r="F3561" s="76">
        <v>41864.0</v>
      </c>
      <c r="G3561" s="114" t="s">
        <v>14548</v>
      </c>
      <c r="H3561" s="160"/>
      <c r="I3561" s="63" t="s">
        <v>14549</v>
      </c>
      <c r="J3561" s="68" t="s">
        <v>14550</v>
      </c>
      <c r="K3561" s="76">
        <v>42618.0</v>
      </c>
      <c r="L3561" s="68" t="s">
        <v>2743</v>
      </c>
      <c r="M3561" s="71"/>
      <c r="N3561" s="61"/>
      <c r="O3561" s="51"/>
    </row>
    <row r="3562">
      <c r="A3562" s="56">
        <v>3559.0</v>
      </c>
      <c r="B3562" s="71"/>
      <c r="C3562" s="69" t="s">
        <v>14551</v>
      </c>
      <c r="D3562" s="71"/>
      <c r="E3562" s="68" t="s">
        <v>14552</v>
      </c>
      <c r="F3562" s="76">
        <v>42604.0</v>
      </c>
      <c r="G3562" s="114" t="s">
        <v>14553</v>
      </c>
      <c r="H3562" s="160"/>
      <c r="I3562" s="63" t="s">
        <v>635</v>
      </c>
      <c r="J3562" s="68" t="s">
        <v>14554</v>
      </c>
      <c r="K3562" s="76">
        <v>42622.0</v>
      </c>
      <c r="L3562" s="71"/>
      <c r="M3562" s="68" t="s">
        <v>2748</v>
      </c>
      <c r="N3562" s="61"/>
      <c r="O3562" s="51"/>
    </row>
    <row r="3563">
      <c r="A3563" s="56">
        <v>3560.0</v>
      </c>
      <c r="B3563" s="71"/>
      <c r="C3563" s="69" t="s">
        <v>14555</v>
      </c>
      <c r="D3563" s="71"/>
      <c r="E3563" s="68" t="s">
        <v>14556</v>
      </c>
      <c r="F3563" s="76">
        <v>42533.0</v>
      </c>
      <c r="G3563" s="114" t="s">
        <v>14557</v>
      </c>
      <c r="H3563" s="160"/>
      <c r="I3563" s="63" t="s">
        <v>14558</v>
      </c>
      <c r="J3563" s="68" t="s">
        <v>14559</v>
      </c>
      <c r="K3563" s="76">
        <v>42622.0</v>
      </c>
      <c r="L3563" s="68" t="s">
        <v>2743</v>
      </c>
      <c r="M3563" s="68" t="s">
        <v>166</v>
      </c>
      <c r="N3563" s="61"/>
      <c r="O3563" s="51"/>
    </row>
    <row r="3564">
      <c r="A3564" s="56">
        <v>3561.0</v>
      </c>
      <c r="B3564" s="66"/>
      <c r="C3564" s="64" t="s">
        <v>14560</v>
      </c>
      <c r="D3564" s="66"/>
      <c r="E3564" s="63" t="s">
        <v>14561</v>
      </c>
      <c r="F3564" s="70">
        <v>42497.0</v>
      </c>
      <c r="G3564" s="132" t="s">
        <v>14562</v>
      </c>
      <c r="H3564" s="228"/>
      <c r="I3564" s="63" t="s">
        <v>14563</v>
      </c>
      <c r="J3564" s="63" t="s">
        <v>14564</v>
      </c>
      <c r="K3564" s="70">
        <v>42622.0</v>
      </c>
      <c r="L3564" s="63" t="s">
        <v>2743</v>
      </c>
      <c r="M3564" s="63" t="s">
        <v>3795</v>
      </c>
      <c r="N3564" s="61"/>
      <c r="O3564" s="51"/>
    </row>
    <row r="3565">
      <c r="A3565" s="56">
        <v>3562.0</v>
      </c>
      <c r="B3565" s="66"/>
      <c r="C3565" s="64" t="s">
        <v>14565</v>
      </c>
      <c r="D3565" s="66"/>
      <c r="E3565" s="63" t="s">
        <v>14566</v>
      </c>
      <c r="F3565" s="70">
        <v>42497.0</v>
      </c>
      <c r="G3565" s="132" t="s">
        <v>14567</v>
      </c>
      <c r="H3565" s="228"/>
      <c r="I3565" s="63" t="s">
        <v>14563</v>
      </c>
      <c r="J3565" s="63" t="s">
        <v>14564</v>
      </c>
      <c r="K3565" s="70">
        <v>42622.0</v>
      </c>
      <c r="L3565" s="63" t="s">
        <v>2743</v>
      </c>
      <c r="M3565" s="63" t="s">
        <v>3795</v>
      </c>
      <c r="N3565" s="61"/>
      <c r="O3565" s="51"/>
    </row>
    <row r="3566">
      <c r="A3566" s="56">
        <v>3563.0</v>
      </c>
      <c r="B3566" s="66"/>
      <c r="C3566" s="64" t="s">
        <v>14568</v>
      </c>
      <c r="D3566" s="66"/>
      <c r="E3566" s="63" t="s">
        <v>14569</v>
      </c>
      <c r="F3566" s="70">
        <v>42432.0</v>
      </c>
      <c r="G3566" s="132" t="s">
        <v>14562</v>
      </c>
      <c r="H3566" s="228"/>
      <c r="I3566" s="66"/>
      <c r="J3566" s="63" t="s">
        <v>14564</v>
      </c>
      <c r="K3566" s="70">
        <v>42622.0</v>
      </c>
      <c r="L3566" s="63" t="s">
        <v>2743</v>
      </c>
      <c r="M3566" s="63" t="s">
        <v>3795</v>
      </c>
      <c r="N3566" s="61"/>
      <c r="O3566" s="51"/>
    </row>
    <row r="3567">
      <c r="A3567" s="56">
        <v>3564.0</v>
      </c>
      <c r="B3567" s="71"/>
      <c r="C3567" s="69" t="s">
        <v>14570</v>
      </c>
      <c r="D3567" s="71"/>
      <c r="E3567" s="68" t="s">
        <v>14571</v>
      </c>
      <c r="F3567" s="76">
        <v>42600.0</v>
      </c>
      <c r="G3567" s="114" t="s">
        <v>14572</v>
      </c>
      <c r="H3567" s="160"/>
      <c r="I3567" s="63" t="s">
        <v>14573</v>
      </c>
      <c r="J3567" s="68" t="s">
        <v>14574</v>
      </c>
      <c r="K3567" s="76">
        <v>42622.0</v>
      </c>
      <c r="L3567" s="68" t="s">
        <v>2743</v>
      </c>
      <c r="M3567" s="68" t="s">
        <v>143</v>
      </c>
      <c r="N3567" s="61"/>
      <c r="O3567" s="51"/>
    </row>
    <row r="3568">
      <c r="A3568" s="56">
        <v>3565.0</v>
      </c>
      <c r="B3568" s="71"/>
      <c r="C3568" s="69" t="s">
        <v>14575</v>
      </c>
      <c r="D3568" s="71"/>
      <c r="E3568" s="68" t="s">
        <v>14576</v>
      </c>
      <c r="F3568" s="76">
        <v>42534.0</v>
      </c>
      <c r="G3568" s="114" t="s">
        <v>14577</v>
      </c>
      <c r="H3568" s="160"/>
      <c r="I3568" s="63" t="s">
        <v>14578</v>
      </c>
      <c r="J3568" s="68" t="s">
        <v>14579</v>
      </c>
      <c r="K3568" s="76">
        <v>42628.0</v>
      </c>
      <c r="L3568" s="68" t="s">
        <v>2743</v>
      </c>
      <c r="M3568" s="68" t="s">
        <v>31</v>
      </c>
      <c r="N3568" s="61"/>
      <c r="O3568" s="51"/>
    </row>
    <row r="3569">
      <c r="A3569" s="75">
        <v>3566.0</v>
      </c>
      <c r="B3569" s="71"/>
      <c r="C3569" s="69" t="s">
        <v>14580</v>
      </c>
      <c r="D3569" s="71"/>
      <c r="E3569" s="68" t="s">
        <v>14581</v>
      </c>
      <c r="F3569" s="76">
        <v>42011.0</v>
      </c>
      <c r="G3569" s="114" t="s">
        <v>14582</v>
      </c>
      <c r="H3569" s="160"/>
      <c r="I3569" s="68" t="s">
        <v>14583</v>
      </c>
      <c r="J3569" s="68" t="s">
        <v>14584</v>
      </c>
      <c r="K3569" s="76">
        <v>42628.0</v>
      </c>
      <c r="L3569" s="68" t="s">
        <v>2743</v>
      </c>
      <c r="M3569" s="68" t="s">
        <v>368</v>
      </c>
      <c r="N3569" s="61"/>
      <c r="O3569" s="51"/>
    </row>
    <row r="3570">
      <c r="A3570" s="56">
        <v>3567.0</v>
      </c>
      <c r="B3570" s="66"/>
      <c r="C3570" s="64" t="s">
        <v>14585</v>
      </c>
      <c r="D3570" s="66"/>
      <c r="E3570" s="63" t="s">
        <v>14586</v>
      </c>
      <c r="F3570" s="70">
        <v>42031.0</v>
      </c>
      <c r="G3570" s="132" t="s">
        <v>14587</v>
      </c>
      <c r="H3570" s="132" t="s">
        <v>14588</v>
      </c>
      <c r="I3570" s="63" t="s">
        <v>14589</v>
      </c>
      <c r="J3570" s="63" t="s">
        <v>7442</v>
      </c>
      <c r="K3570" s="70">
        <v>42628.0</v>
      </c>
      <c r="L3570" s="63" t="s">
        <v>2743</v>
      </c>
      <c r="M3570" s="63" t="s">
        <v>282</v>
      </c>
      <c r="N3570" s="61"/>
      <c r="O3570" s="51"/>
    </row>
    <row r="3571">
      <c r="A3571" s="56">
        <v>3568.0</v>
      </c>
      <c r="B3571" s="60"/>
      <c r="C3571" s="58" t="s">
        <v>14590</v>
      </c>
      <c r="D3571" s="60"/>
      <c r="E3571" s="57" t="s">
        <v>14591</v>
      </c>
      <c r="F3571" s="59">
        <v>42597.0</v>
      </c>
      <c r="G3571" s="177" t="s">
        <v>14592</v>
      </c>
      <c r="H3571" s="227"/>
      <c r="I3571" s="63" t="s">
        <v>14593</v>
      </c>
      <c r="J3571" s="57" t="s">
        <v>14594</v>
      </c>
      <c r="K3571" s="59">
        <v>42628.0</v>
      </c>
      <c r="L3571" s="57" t="s">
        <v>2743</v>
      </c>
      <c r="M3571" s="60"/>
      <c r="N3571" s="61"/>
      <c r="O3571" s="51"/>
    </row>
    <row r="3572">
      <c r="A3572" s="56">
        <v>3569.0</v>
      </c>
      <c r="B3572" s="71"/>
      <c r="C3572" s="69" t="s">
        <v>14595</v>
      </c>
      <c r="D3572" s="71"/>
      <c r="E3572" s="68" t="s">
        <v>14596</v>
      </c>
      <c r="F3572" s="188">
        <v>42339.0</v>
      </c>
      <c r="G3572" s="114" t="s">
        <v>14597</v>
      </c>
      <c r="H3572" s="160"/>
      <c r="I3572" s="66"/>
      <c r="J3572" s="68" t="s">
        <v>14598</v>
      </c>
      <c r="K3572" s="76">
        <v>42628.0</v>
      </c>
      <c r="L3572" s="68" t="s">
        <v>2743</v>
      </c>
      <c r="M3572" s="104"/>
      <c r="N3572" s="105"/>
      <c r="O3572" s="51"/>
    </row>
    <row r="3573">
      <c r="A3573" s="56">
        <v>3570.0</v>
      </c>
      <c r="B3573" s="66"/>
      <c r="C3573" s="64" t="s">
        <v>14599</v>
      </c>
      <c r="D3573" s="66"/>
      <c r="E3573" s="63" t="s">
        <v>14600</v>
      </c>
      <c r="F3573" s="65">
        <v>40164.0</v>
      </c>
      <c r="G3573" s="132" t="s">
        <v>14601</v>
      </c>
      <c r="H3573" s="132" t="s">
        <v>14602</v>
      </c>
      <c r="I3573" s="63" t="s">
        <v>635</v>
      </c>
      <c r="J3573" s="63" t="s">
        <v>6393</v>
      </c>
      <c r="K3573" s="63">
        <v>2.0</v>
      </c>
      <c r="L3573" s="63" t="s">
        <v>2743</v>
      </c>
      <c r="M3573" s="74" t="s">
        <v>195</v>
      </c>
      <c r="N3573" s="61"/>
      <c r="O3573" s="51"/>
    </row>
    <row r="3574">
      <c r="A3574" s="56">
        <v>3571.0</v>
      </c>
      <c r="B3574" s="87" t="s">
        <v>14046</v>
      </c>
      <c r="C3574" s="69" t="s">
        <v>14603</v>
      </c>
      <c r="D3574" s="71"/>
      <c r="E3574" s="68" t="s">
        <v>14604</v>
      </c>
      <c r="F3574" s="68">
        <v>2008.0</v>
      </c>
      <c r="G3574" s="114" t="s">
        <v>14605</v>
      </c>
      <c r="H3574" s="160"/>
      <c r="I3574" s="71"/>
      <c r="J3574" s="68" t="s">
        <v>14606</v>
      </c>
      <c r="K3574" s="76">
        <v>42628.0</v>
      </c>
      <c r="L3574" s="68" t="s">
        <v>2743</v>
      </c>
      <c r="M3574" s="68" t="s">
        <v>137</v>
      </c>
      <c r="N3574" s="77"/>
      <c r="O3574" s="51"/>
    </row>
    <row r="3575">
      <c r="A3575" s="56">
        <v>3572.0</v>
      </c>
      <c r="B3575" s="71"/>
      <c r="C3575" s="69" t="s">
        <v>14607</v>
      </c>
      <c r="D3575" s="71"/>
      <c r="E3575" s="68" t="s">
        <v>14608</v>
      </c>
      <c r="F3575" s="76">
        <v>42381.0</v>
      </c>
      <c r="G3575" s="114" t="s">
        <v>14609</v>
      </c>
      <c r="H3575" s="160"/>
      <c r="I3575" s="63" t="s">
        <v>14610</v>
      </c>
      <c r="J3575" s="68" t="s">
        <v>14611</v>
      </c>
      <c r="K3575" s="76">
        <v>42628.0</v>
      </c>
      <c r="L3575" s="68" t="s">
        <v>14612</v>
      </c>
      <c r="M3575" s="71"/>
      <c r="N3575" s="61"/>
      <c r="O3575" s="51"/>
    </row>
    <row r="3576">
      <c r="A3576" s="56">
        <v>3573.0</v>
      </c>
      <c r="B3576" s="71"/>
      <c r="C3576" s="69" t="s">
        <v>14613</v>
      </c>
      <c r="D3576" s="71"/>
      <c r="E3576" s="68" t="s">
        <v>14614</v>
      </c>
      <c r="F3576" s="76">
        <v>42616.0</v>
      </c>
      <c r="G3576" s="114" t="s">
        <v>14615</v>
      </c>
      <c r="H3576" s="160"/>
      <c r="I3576" s="63" t="s">
        <v>14616</v>
      </c>
      <c r="J3576" s="68" t="s">
        <v>14617</v>
      </c>
      <c r="K3576" s="76">
        <v>42633.0</v>
      </c>
      <c r="L3576" s="68" t="s">
        <v>2743</v>
      </c>
      <c r="M3576" s="71"/>
      <c r="N3576" s="61"/>
      <c r="O3576" s="51"/>
    </row>
    <row r="3577">
      <c r="A3577" s="56">
        <v>3574.0</v>
      </c>
      <c r="B3577" s="71"/>
      <c r="C3577" s="69" t="s">
        <v>14618</v>
      </c>
      <c r="D3577" s="71"/>
      <c r="E3577" s="68" t="s">
        <v>14619</v>
      </c>
      <c r="F3577" s="76">
        <v>42612.0</v>
      </c>
      <c r="G3577" s="114" t="s">
        <v>14620</v>
      </c>
      <c r="H3577" s="160"/>
      <c r="I3577" s="63" t="s">
        <v>14621</v>
      </c>
      <c r="J3577" s="68" t="s">
        <v>14622</v>
      </c>
      <c r="K3577" s="76">
        <v>42633.0</v>
      </c>
      <c r="L3577" s="68" t="s">
        <v>2743</v>
      </c>
      <c r="M3577" s="68" t="s">
        <v>125</v>
      </c>
      <c r="N3577" s="61"/>
      <c r="O3577" s="51"/>
    </row>
    <row r="3578">
      <c r="A3578" s="56">
        <v>3575.0</v>
      </c>
      <c r="B3578" s="66"/>
      <c r="C3578" s="64" t="s">
        <v>14623</v>
      </c>
      <c r="D3578" s="66"/>
      <c r="E3578" s="63" t="s">
        <v>14624</v>
      </c>
      <c r="F3578" s="70">
        <v>42445.0</v>
      </c>
      <c r="G3578" s="132" t="s">
        <v>14625</v>
      </c>
      <c r="H3578" s="228"/>
      <c r="I3578" s="63" t="s">
        <v>14626</v>
      </c>
      <c r="J3578" s="63" t="s">
        <v>14564</v>
      </c>
      <c r="K3578" s="70">
        <v>42635.0</v>
      </c>
      <c r="L3578" s="63" t="s">
        <v>2743</v>
      </c>
      <c r="M3578" s="63" t="s">
        <v>3795</v>
      </c>
      <c r="N3578" s="61"/>
      <c r="O3578" s="51"/>
    </row>
    <row r="3579">
      <c r="A3579" s="56">
        <v>3576.0</v>
      </c>
      <c r="B3579" s="66"/>
      <c r="C3579" s="64" t="s">
        <v>14627</v>
      </c>
      <c r="D3579" s="66"/>
      <c r="E3579" s="63" t="s">
        <v>14628</v>
      </c>
      <c r="F3579" s="70">
        <v>42445.0</v>
      </c>
      <c r="G3579" s="132" t="s">
        <v>14625</v>
      </c>
      <c r="H3579" s="228"/>
      <c r="I3579" s="63" t="s">
        <v>14626</v>
      </c>
      <c r="J3579" s="63" t="s">
        <v>14564</v>
      </c>
      <c r="K3579" s="70">
        <v>42635.0</v>
      </c>
      <c r="L3579" s="63" t="s">
        <v>2743</v>
      </c>
      <c r="M3579" s="63" t="s">
        <v>3795</v>
      </c>
      <c r="N3579" s="61"/>
      <c r="O3579" s="51"/>
    </row>
    <row r="3580">
      <c r="A3580" s="56">
        <v>3577.0</v>
      </c>
      <c r="B3580" s="71"/>
      <c r="C3580" s="69" t="s">
        <v>14629</v>
      </c>
      <c r="D3580" s="71"/>
      <c r="E3580" s="68" t="s">
        <v>14630</v>
      </c>
      <c r="F3580" s="76">
        <v>42445.0</v>
      </c>
      <c r="G3580" s="114" t="s">
        <v>14625</v>
      </c>
      <c r="H3580" s="160"/>
      <c r="I3580" s="68" t="s">
        <v>14626</v>
      </c>
      <c r="J3580" s="117" t="s">
        <v>14631</v>
      </c>
      <c r="K3580" s="225">
        <v>42635.0</v>
      </c>
      <c r="L3580" s="68" t="s">
        <v>2743</v>
      </c>
      <c r="M3580" s="68" t="s">
        <v>3795</v>
      </c>
      <c r="N3580" s="77"/>
      <c r="O3580" s="51"/>
    </row>
    <row r="3581">
      <c r="A3581" s="56">
        <v>3578.0</v>
      </c>
      <c r="B3581" s="71"/>
      <c r="C3581" s="69" t="s">
        <v>14632</v>
      </c>
      <c r="D3581" s="71"/>
      <c r="E3581" s="68" t="s">
        <v>14633</v>
      </c>
      <c r="F3581" s="76">
        <v>42538.0</v>
      </c>
      <c r="G3581" s="114" t="s">
        <v>14634</v>
      </c>
      <c r="H3581" s="160"/>
      <c r="I3581" s="63" t="s">
        <v>14635</v>
      </c>
      <c r="J3581" s="128" t="s">
        <v>14636</v>
      </c>
      <c r="K3581" s="76">
        <v>42635.0</v>
      </c>
      <c r="L3581" s="68" t="s">
        <v>2743</v>
      </c>
      <c r="M3581" s="68" t="s">
        <v>149</v>
      </c>
      <c r="N3581" s="61"/>
      <c r="O3581" s="51"/>
    </row>
    <row r="3582">
      <c r="A3582" s="56">
        <v>3579.0</v>
      </c>
      <c r="B3582" s="66"/>
      <c r="C3582" s="64" t="s">
        <v>14637</v>
      </c>
      <c r="D3582" s="66"/>
      <c r="E3582" s="63" t="s">
        <v>14638</v>
      </c>
      <c r="F3582" s="70">
        <v>42423.0</v>
      </c>
      <c r="G3582" s="132" t="s">
        <v>14639</v>
      </c>
      <c r="H3582" s="228"/>
      <c r="I3582" s="63" t="s">
        <v>14640</v>
      </c>
      <c r="J3582" s="63" t="s">
        <v>12023</v>
      </c>
      <c r="K3582" s="70">
        <v>42636.0</v>
      </c>
      <c r="L3582" s="63" t="s">
        <v>2743</v>
      </c>
      <c r="M3582" s="63" t="s">
        <v>4487</v>
      </c>
      <c r="N3582" s="61"/>
      <c r="O3582" s="51"/>
    </row>
    <row r="3583">
      <c r="A3583" s="56">
        <v>3580.0</v>
      </c>
      <c r="B3583" s="71"/>
      <c r="C3583" s="69" t="s">
        <v>14641</v>
      </c>
      <c r="D3583" s="71"/>
      <c r="E3583" s="68" t="s">
        <v>14642</v>
      </c>
      <c r="F3583" s="76">
        <v>40515.0</v>
      </c>
      <c r="G3583" s="114" t="s">
        <v>14643</v>
      </c>
      <c r="H3583" s="160"/>
      <c r="I3583" s="63" t="s">
        <v>14644</v>
      </c>
      <c r="J3583" s="68" t="s">
        <v>14645</v>
      </c>
      <c r="K3583" s="76">
        <v>42636.0</v>
      </c>
      <c r="L3583" s="68" t="s">
        <v>2743</v>
      </c>
      <c r="M3583" s="68" t="s">
        <v>166</v>
      </c>
      <c r="N3583" s="61"/>
      <c r="O3583" s="51"/>
    </row>
    <row r="3584">
      <c r="A3584" s="56">
        <v>3581.0</v>
      </c>
      <c r="B3584" s="71"/>
      <c r="C3584" s="69" t="s">
        <v>14646</v>
      </c>
      <c r="D3584" s="71"/>
      <c r="E3584" s="68" t="s">
        <v>14647</v>
      </c>
      <c r="F3584" s="76">
        <v>42370.0</v>
      </c>
      <c r="G3584" s="114" t="s">
        <v>14648</v>
      </c>
      <c r="H3584" s="160"/>
      <c r="I3584" s="68" t="s">
        <v>14649</v>
      </c>
      <c r="J3584" s="87" t="s">
        <v>14650</v>
      </c>
      <c r="K3584" s="76">
        <v>42639.0</v>
      </c>
      <c r="L3584" s="68" t="s">
        <v>2743</v>
      </c>
      <c r="M3584" s="68" t="s">
        <v>143</v>
      </c>
      <c r="N3584" s="61"/>
      <c r="O3584" s="51"/>
    </row>
    <row r="3585">
      <c r="A3585" s="56">
        <v>3582.0</v>
      </c>
      <c r="B3585" s="66"/>
      <c r="C3585" s="64" t="s">
        <v>14651</v>
      </c>
      <c r="D3585" s="66"/>
      <c r="E3585" s="63" t="s">
        <v>14652</v>
      </c>
      <c r="F3585" s="70">
        <v>42006.0</v>
      </c>
      <c r="G3585" s="132" t="s">
        <v>14653</v>
      </c>
      <c r="H3585" s="228"/>
      <c r="I3585" s="66"/>
      <c r="J3585" s="63" t="s">
        <v>4801</v>
      </c>
      <c r="K3585" s="70">
        <v>42639.0</v>
      </c>
      <c r="L3585" s="63" t="s">
        <v>2743</v>
      </c>
      <c r="M3585" s="63" t="s">
        <v>149</v>
      </c>
      <c r="N3585" s="61"/>
      <c r="O3585" s="51"/>
    </row>
    <row r="3586">
      <c r="A3586" s="56">
        <v>3583.0</v>
      </c>
      <c r="B3586" s="71"/>
      <c r="C3586" s="69" t="s">
        <v>14654</v>
      </c>
      <c r="D3586" s="71"/>
      <c r="E3586" s="68" t="s">
        <v>14655</v>
      </c>
      <c r="F3586" s="76">
        <v>42006.0</v>
      </c>
      <c r="G3586" s="114" t="s">
        <v>14653</v>
      </c>
      <c r="H3586" s="160"/>
      <c r="I3586" s="66"/>
      <c r="J3586" s="68" t="s">
        <v>14656</v>
      </c>
      <c r="K3586" s="76">
        <v>42639.0</v>
      </c>
      <c r="L3586" s="68" t="s">
        <v>2743</v>
      </c>
      <c r="M3586" s="104"/>
      <c r="N3586" s="105"/>
      <c r="O3586" s="51"/>
    </row>
    <row r="3587">
      <c r="A3587" s="56">
        <v>3584.0</v>
      </c>
      <c r="B3587" s="71"/>
      <c r="C3587" s="69" t="s">
        <v>14657</v>
      </c>
      <c r="D3587" s="71"/>
      <c r="E3587" s="68" t="s">
        <v>14658</v>
      </c>
      <c r="F3587" s="76">
        <v>42437.0</v>
      </c>
      <c r="G3587" s="114" t="s">
        <v>14659</v>
      </c>
      <c r="H3587" s="160"/>
      <c r="I3587" s="66"/>
      <c r="J3587" s="68" t="s">
        <v>14660</v>
      </c>
      <c r="K3587" s="76">
        <v>42642.0</v>
      </c>
      <c r="L3587" s="68" t="s">
        <v>13594</v>
      </c>
      <c r="M3587" s="111"/>
      <c r="N3587" s="61"/>
      <c r="O3587" s="51"/>
    </row>
    <row r="3588">
      <c r="A3588" s="56">
        <v>3585.0</v>
      </c>
      <c r="B3588" s="71"/>
      <c r="C3588" s="69" t="s">
        <v>14661</v>
      </c>
      <c r="D3588" s="71"/>
      <c r="E3588" s="68" t="s">
        <v>14662</v>
      </c>
      <c r="F3588" s="76">
        <v>41658.0</v>
      </c>
      <c r="G3588" s="114" t="s">
        <v>14663</v>
      </c>
      <c r="H3588" s="160"/>
      <c r="I3588" s="63" t="s">
        <v>635</v>
      </c>
      <c r="J3588" s="68" t="s">
        <v>14664</v>
      </c>
      <c r="K3588" s="76">
        <v>42642.0</v>
      </c>
      <c r="L3588" s="68" t="s">
        <v>13594</v>
      </c>
      <c r="M3588" s="71"/>
      <c r="N3588" s="61"/>
      <c r="O3588" s="51"/>
    </row>
    <row r="3589">
      <c r="A3589" s="75">
        <v>3586.0</v>
      </c>
      <c r="B3589" s="71"/>
      <c r="C3589" s="69" t="s">
        <v>14665</v>
      </c>
      <c r="D3589" s="71"/>
      <c r="E3589" s="68" t="s">
        <v>14666</v>
      </c>
      <c r="F3589" s="76">
        <v>42544.0</v>
      </c>
      <c r="G3589" s="114" t="s">
        <v>14667</v>
      </c>
      <c r="H3589" s="160"/>
      <c r="I3589" s="68" t="s">
        <v>14668</v>
      </c>
      <c r="J3589" s="68" t="s">
        <v>14669</v>
      </c>
      <c r="K3589" s="76">
        <v>42642.0</v>
      </c>
      <c r="L3589" s="68" t="s">
        <v>13594</v>
      </c>
      <c r="M3589" s="68" t="s">
        <v>4749</v>
      </c>
      <c r="N3589" s="77"/>
      <c r="O3589" s="51"/>
    </row>
    <row r="3590">
      <c r="A3590" s="56">
        <v>3587.0</v>
      </c>
      <c r="B3590" s="71"/>
      <c r="C3590" s="69" t="s">
        <v>14670</v>
      </c>
      <c r="D3590" s="71"/>
      <c r="E3590" s="68" t="s">
        <v>14671</v>
      </c>
      <c r="F3590" s="76">
        <v>41385.0</v>
      </c>
      <c r="G3590" s="114" t="s">
        <v>14672</v>
      </c>
      <c r="H3590" s="160"/>
      <c r="I3590" s="68" t="s">
        <v>14673</v>
      </c>
      <c r="J3590" s="68" t="s">
        <v>14674</v>
      </c>
      <c r="K3590" s="76">
        <v>42642.0</v>
      </c>
      <c r="L3590" s="68" t="s">
        <v>13594</v>
      </c>
      <c r="M3590" s="68" t="s">
        <v>166</v>
      </c>
      <c r="N3590" s="77"/>
      <c r="O3590" s="51"/>
    </row>
    <row r="3591">
      <c r="A3591" s="56">
        <v>3588.0</v>
      </c>
      <c r="B3591" s="71"/>
      <c r="C3591" s="69" t="s">
        <v>14675</v>
      </c>
      <c r="D3591" s="71"/>
      <c r="E3591" s="68" t="s">
        <v>14676</v>
      </c>
      <c r="F3591" s="76">
        <v>42592.0</v>
      </c>
      <c r="G3591" s="114" t="s">
        <v>14677</v>
      </c>
      <c r="H3591" s="160"/>
      <c r="I3591" s="68" t="s">
        <v>14678</v>
      </c>
      <c r="J3591" s="68" t="s">
        <v>14679</v>
      </c>
      <c r="K3591" s="76">
        <v>42642.0</v>
      </c>
      <c r="L3591" s="68" t="s">
        <v>13594</v>
      </c>
      <c r="M3591" s="68" t="s">
        <v>368</v>
      </c>
      <c r="N3591" s="61"/>
      <c r="O3591" s="51"/>
    </row>
    <row r="3592">
      <c r="A3592" s="56">
        <v>3589.0</v>
      </c>
      <c r="B3592" s="66"/>
      <c r="C3592" s="64" t="s">
        <v>14680</v>
      </c>
      <c r="D3592" s="66"/>
      <c r="E3592" s="63" t="s">
        <v>14681</v>
      </c>
      <c r="F3592" s="70">
        <v>41352.0</v>
      </c>
      <c r="G3592" s="132" t="s">
        <v>14682</v>
      </c>
      <c r="H3592" s="132" t="s">
        <v>439</v>
      </c>
      <c r="I3592" s="63" t="s">
        <v>14683</v>
      </c>
      <c r="J3592" s="63" t="s">
        <v>3575</v>
      </c>
      <c r="K3592" s="70">
        <v>42642.0</v>
      </c>
      <c r="L3592" s="63" t="s">
        <v>13594</v>
      </c>
      <c r="M3592" s="63" t="s">
        <v>2152</v>
      </c>
      <c r="N3592" s="61"/>
      <c r="O3592" s="51"/>
    </row>
    <row r="3593">
      <c r="A3593" s="56">
        <v>3590.0</v>
      </c>
      <c r="B3593" s="60"/>
      <c r="C3593" s="58" t="s">
        <v>14684</v>
      </c>
      <c r="D3593" s="60"/>
      <c r="E3593" s="57" t="s">
        <v>14685</v>
      </c>
      <c r="F3593" s="59">
        <v>41822.0</v>
      </c>
      <c r="G3593" s="177" t="s">
        <v>14686</v>
      </c>
      <c r="H3593" s="227"/>
      <c r="I3593" s="63" t="s">
        <v>14687</v>
      </c>
      <c r="J3593" s="57" t="s">
        <v>14688</v>
      </c>
      <c r="K3593" s="59">
        <v>42642.0</v>
      </c>
      <c r="L3593" s="57" t="s">
        <v>2743</v>
      </c>
      <c r="M3593" s="60"/>
      <c r="N3593" s="61"/>
      <c r="O3593" s="51"/>
    </row>
    <row r="3594">
      <c r="A3594" s="56">
        <v>3591.0</v>
      </c>
      <c r="B3594" s="71"/>
      <c r="C3594" s="69" t="s">
        <v>14689</v>
      </c>
      <c r="D3594" s="71"/>
      <c r="E3594" s="68" t="s">
        <v>14690</v>
      </c>
      <c r="F3594" s="83">
        <v>42304.0</v>
      </c>
      <c r="G3594" s="114" t="s">
        <v>14691</v>
      </c>
      <c r="H3594" s="160"/>
      <c r="I3594" s="63" t="s">
        <v>14692</v>
      </c>
      <c r="J3594" s="68" t="s">
        <v>14693</v>
      </c>
      <c r="K3594" s="76">
        <v>42646.0</v>
      </c>
      <c r="L3594" s="68" t="s">
        <v>2743</v>
      </c>
      <c r="M3594" s="71"/>
      <c r="N3594" s="61"/>
      <c r="O3594" s="51"/>
    </row>
    <row r="3595">
      <c r="A3595" s="56">
        <v>3592.0</v>
      </c>
      <c r="B3595" s="71"/>
      <c r="C3595" s="69" t="s">
        <v>14694</v>
      </c>
      <c r="D3595" s="71"/>
      <c r="E3595" s="68" t="s">
        <v>14695</v>
      </c>
      <c r="F3595" s="76">
        <v>42382.0</v>
      </c>
      <c r="G3595" s="114" t="s">
        <v>14696</v>
      </c>
      <c r="H3595" s="160"/>
      <c r="I3595" s="63" t="s">
        <v>14697</v>
      </c>
      <c r="J3595" s="68" t="s">
        <v>14698</v>
      </c>
      <c r="K3595" s="76">
        <v>42649.0</v>
      </c>
      <c r="L3595" s="68" t="s">
        <v>2743</v>
      </c>
      <c r="M3595" s="68" t="s">
        <v>149</v>
      </c>
      <c r="N3595" s="61"/>
      <c r="O3595" s="51"/>
    </row>
    <row r="3596">
      <c r="A3596" s="75">
        <v>3593.0</v>
      </c>
      <c r="B3596" s="71"/>
      <c r="C3596" s="69" t="s">
        <v>14699</v>
      </c>
      <c r="D3596" s="71"/>
      <c r="E3596" s="68" t="s">
        <v>14700</v>
      </c>
      <c r="F3596" s="76">
        <v>42236.0</v>
      </c>
      <c r="G3596" s="114" t="s">
        <v>14701</v>
      </c>
      <c r="H3596" s="160"/>
      <c r="I3596" s="68" t="s">
        <v>14702</v>
      </c>
      <c r="J3596" s="68" t="s">
        <v>14703</v>
      </c>
      <c r="K3596" s="76">
        <v>42649.0</v>
      </c>
      <c r="L3596" s="68" t="s">
        <v>2743</v>
      </c>
      <c r="M3596" s="68" t="s">
        <v>125</v>
      </c>
      <c r="N3596" s="77"/>
      <c r="O3596" s="51"/>
    </row>
    <row r="3597">
      <c r="A3597" s="56">
        <v>3594.0</v>
      </c>
      <c r="B3597" s="66"/>
      <c r="C3597" s="64" t="s">
        <v>14704</v>
      </c>
      <c r="D3597" s="66"/>
      <c r="E3597" s="63" t="s">
        <v>14705</v>
      </c>
      <c r="F3597" s="63">
        <v>2009.0</v>
      </c>
      <c r="G3597" s="132" t="s">
        <v>14706</v>
      </c>
      <c r="H3597" s="228"/>
      <c r="I3597" s="63" t="s">
        <v>14707</v>
      </c>
      <c r="J3597" s="63" t="s">
        <v>9580</v>
      </c>
      <c r="K3597" s="70">
        <v>42649.0</v>
      </c>
      <c r="L3597" s="63" t="s">
        <v>2743</v>
      </c>
      <c r="M3597" s="63" t="s">
        <v>530</v>
      </c>
      <c r="N3597" s="61"/>
      <c r="O3597" s="51"/>
    </row>
    <row r="3598">
      <c r="A3598" s="56">
        <v>3595.0</v>
      </c>
      <c r="B3598" s="71"/>
      <c r="C3598" s="69" t="s">
        <v>14708</v>
      </c>
      <c r="D3598" s="71"/>
      <c r="E3598" s="68" t="s">
        <v>14709</v>
      </c>
      <c r="F3598" s="76">
        <v>42443.0</v>
      </c>
      <c r="G3598" s="114" t="s">
        <v>14710</v>
      </c>
      <c r="H3598" s="160"/>
      <c r="I3598" s="63" t="s">
        <v>14711</v>
      </c>
      <c r="J3598" s="68" t="s">
        <v>14712</v>
      </c>
      <c r="K3598" s="76">
        <v>42649.0</v>
      </c>
      <c r="L3598" s="68" t="s">
        <v>2743</v>
      </c>
      <c r="M3598" s="68" t="s">
        <v>2152</v>
      </c>
      <c r="N3598" s="61"/>
      <c r="O3598" s="51"/>
    </row>
    <row r="3599">
      <c r="A3599" s="222">
        <v>3596.0</v>
      </c>
      <c r="B3599" s="66"/>
      <c r="C3599" s="63" t="s">
        <v>14713</v>
      </c>
      <c r="D3599" s="66"/>
      <c r="E3599" s="63" t="s">
        <v>14714</v>
      </c>
      <c r="F3599" s="182">
        <v>41334.0</v>
      </c>
      <c r="G3599" s="63" t="s">
        <v>14715</v>
      </c>
      <c r="H3599" s="66"/>
      <c r="I3599" s="63" t="s">
        <v>14716</v>
      </c>
      <c r="J3599" s="63" t="s">
        <v>14717</v>
      </c>
      <c r="K3599" s="70">
        <v>42649.0</v>
      </c>
      <c r="L3599" s="63" t="s">
        <v>2743</v>
      </c>
      <c r="M3599" s="63" t="s">
        <v>530</v>
      </c>
      <c r="N3599" s="61"/>
      <c r="O3599" s="51"/>
    </row>
    <row r="3600">
      <c r="A3600" s="56">
        <v>3597.0</v>
      </c>
      <c r="B3600" s="71"/>
      <c r="C3600" s="69" t="s">
        <v>14718</v>
      </c>
      <c r="D3600" s="71"/>
      <c r="E3600" s="68" t="s">
        <v>14719</v>
      </c>
      <c r="F3600" s="76">
        <v>42509.0</v>
      </c>
      <c r="G3600" s="114" t="s">
        <v>14720</v>
      </c>
      <c r="H3600" s="160"/>
      <c r="I3600" s="68" t="s">
        <v>14721</v>
      </c>
      <c r="J3600" s="68" t="s">
        <v>14722</v>
      </c>
      <c r="K3600" s="76">
        <v>42649.0</v>
      </c>
      <c r="L3600" s="68" t="s">
        <v>2743</v>
      </c>
      <c r="M3600" s="68" t="s">
        <v>125</v>
      </c>
      <c r="N3600" s="61"/>
      <c r="O3600" s="51"/>
    </row>
    <row r="3601">
      <c r="A3601" s="75">
        <v>3598.0</v>
      </c>
      <c r="B3601" s="71"/>
      <c r="C3601" s="69" t="s">
        <v>14723</v>
      </c>
      <c r="D3601" s="71"/>
      <c r="E3601" s="68" t="s">
        <v>14724</v>
      </c>
      <c r="F3601" s="76">
        <v>41760.0</v>
      </c>
      <c r="G3601" s="114" t="s">
        <v>14725</v>
      </c>
      <c r="H3601" s="160"/>
      <c r="I3601" s="68" t="s">
        <v>14726</v>
      </c>
      <c r="J3601" s="68" t="s">
        <v>14727</v>
      </c>
      <c r="K3601" s="76">
        <v>42649.0</v>
      </c>
      <c r="L3601" s="68" t="s">
        <v>2743</v>
      </c>
      <c r="M3601" s="68" t="s">
        <v>201</v>
      </c>
      <c r="N3601" s="77"/>
      <c r="O3601" s="51"/>
    </row>
    <row r="3602">
      <c r="A3602" s="56">
        <v>3599.0</v>
      </c>
      <c r="B3602" s="71"/>
      <c r="C3602" s="69" t="s">
        <v>14728</v>
      </c>
      <c r="D3602" s="71"/>
      <c r="E3602" s="68" t="s">
        <v>14729</v>
      </c>
      <c r="F3602" s="83">
        <v>40895.0</v>
      </c>
      <c r="G3602" s="114" t="s">
        <v>14730</v>
      </c>
      <c r="H3602" s="160"/>
      <c r="I3602" s="63" t="s">
        <v>635</v>
      </c>
      <c r="J3602" s="68" t="s">
        <v>14731</v>
      </c>
      <c r="K3602" s="83">
        <v>42656.0</v>
      </c>
      <c r="L3602" s="68" t="s">
        <v>2743</v>
      </c>
      <c r="M3602" s="68" t="s">
        <v>195</v>
      </c>
      <c r="N3602" s="61"/>
      <c r="O3602" s="51"/>
    </row>
    <row r="3603">
      <c r="A3603" s="56">
        <v>3600.0</v>
      </c>
      <c r="B3603" s="71"/>
      <c r="C3603" s="69" t="s">
        <v>14732</v>
      </c>
      <c r="D3603" s="71"/>
      <c r="E3603" s="68" t="s">
        <v>14733</v>
      </c>
      <c r="F3603" s="76">
        <v>42538.0</v>
      </c>
      <c r="G3603" s="114" t="s">
        <v>14734</v>
      </c>
      <c r="H3603" s="160"/>
      <c r="I3603" s="63" t="s">
        <v>14635</v>
      </c>
      <c r="J3603" s="68" t="s">
        <v>14735</v>
      </c>
      <c r="K3603" s="83">
        <v>42656.0</v>
      </c>
      <c r="L3603" s="68" t="s">
        <v>2743</v>
      </c>
      <c r="M3603" s="68" t="s">
        <v>149</v>
      </c>
      <c r="N3603" s="61"/>
      <c r="O3603" s="51"/>
    </row>
    <row r="3604">
      <c r="A3604" s="56">
        <v>3601.0</v>
      </c>
      <c r="B3604" s="60"/>
      <c r="C3604" s="58" t="s">
        <v>14736</v>
      </c>
      <c r="D3604" s="60"/>
      <c r="E3604" s="57" t="s">
        <v>14737</v>
      </c>
      <c r="F3604" s="59">
        <v>42600.0</v>
      </c>
      <c r="G3604" s="177" t="s">
        <v>14738</v>
      </c>
      <c r="H3604" s="227"/>
      <c r="I3604" s="66"/>
      <c r="J3604" s="57" t="s">
        <v>14739</v>
      </c>
      <c r="K3604" s="78">
        <v>42656.0</v>
      </c>
      <c r="L3604" s="57" t="s">
        <v>13594</v>
      </c>
      <c r="M3604" s="60"/>
      <c r="N3604" s="61"/>
      <c r="O3604" s="51"/>
    </row>
    <row r="3605">
      <c r="A3605" s="56">
        <v>3602.0</v>
      </c>
      <c r="B3605" s="71"/>
      <c r="C3605" s="69" t="s">
        <v>14740</v>
      </c>
      <c r="D3605" s="71"/>
      <c r="E3605" s="68" t="s">
        <v>14741</v>
      </c>
      <c r="F3605" s="76">
        <v>42594.0</v>
      </c>
      <c r="G3605" s="114" t="s">
        <v>14738</v>
      </c>
      <c r="H3605" s="160"/>
      <c r="I3605" s="71"/>
      <c r="J3605" s="68" t="s">
        <v>14742</v>
      </c>
      <c r="K3605" s="83">
        <v>42656.0</v>
      </c>
      <c r="L3605" s="68" t="s">
        <v>13594</v>
      </c>
      <c r="M3605" s="68" t="s">
        <v>149</v>
      </c>
      <c r="N3605" s="61"/>
      <c r="O3605" s="51"/>
    </row>
    <row r="3606">
      <c r="A3606" s="56">
        <v>3603.0</v>
      </c>
      <c r="B3606" s="71"/>
      <c r="C3606" s="69" t="s">
        <v>14743</v>
      </c>
      <c r="D3606" s="71"/>
      <c r="E3606" s="68" t="s">
        <v>14744</v>
      </c>
      <c r="F3606" s="83">
        <v>41983.0</v>
      </c>
      <c r="G3606" s="114" t="s">
        <v>14745</v>
      </c>
      <c r="H3606" s="160"/>
      <c r="I3606" s="68" t="s">
        <v>14746</v>
      </c>
      <c r="J3606" s="68" t="s">
        <v>14747</v>
      </c>
      <c r="K3606" s="83">
        <v>42656.0</v>
      </c>
      <c r="L3606" s="68" t="s">
        <v>13594</v>
      </c>
      <c r="M3606" s="68" t="s">
        <v>143</v>
      </c>
      <c r="N3606" s="77"/>
      <c r="O3606" s="51"/>
    </row>
    <row r="3607">
      <c r="A3607" s="56">
        <v>3604.0</v>
      </c>
      <c r="B3607" s="60"/>
      <c r="C3607" s="58" t="s">
        <v>14748</v>
      </c>
      <c r="D3607" s="60"/>
      <c r="E3607" s="57" t="s">
        <v>14749</v>
      </c>
      <c r="F3607" s="59">
        <v>42636.0</v>
      </c>
      <c r="G3607" s="177" t="s">
        <v>14750</v>
      </c>
      <c r="H3607" s="227"/>
      <c r="I3607" s="63" t="s">
        <v>14751</v>
      </c>
      <c r="J3607" s="57" t="s">
        <v>14752</v>
      </c>
      <c r="K3607" s="78">
        <v>42656.0</v>
      </c>
      <c r="L3607" s="57" t="s">
        <v>2743</v>
      </c>
      <c r="M3607" s="60"/>
      <c r="N3607" s="61"/>
      <c r="O3607" s="51"/>
    </row>
    <row r="3608">
      <c r="A3608" s="56">
        <v>3605.0</v>
      </c>
      <c r="B3608" s="71"/>
      <c r="C3608" s="69" t="s">
        <v>14753</v>
      </c>
      <c r="D3608" s="71"/>
      <c r="E3608" s="68" t="s">
        <v>14754</v>
      </c>
      <c r="F3608" s="83">
        <v>42294.0</v>
      </c>
      <c r="G3608" s="114" t="s">
        <v>14755</v>
      </c>
      <c r="H3608" s="160"/>
      <c r="I3608" s="66"/>
      <c r="J3608" s="68" t="s">
        <v>14756</v>
      </c>
      <c r="K3608" s="83">
        <v>42656.0</v>
      </c>
      <c r="L3608" s="68" t="s">
        <v>2743</v>
      </c>
      <c r="M3608" s="104"/>
      <c r="N3608" s="105"/>
      <c r="O3608" s="51"/>
    </row>
    <row r="3609">
      <c r="A3609" s="56">
        <v>3606.0</v>
      </c>
      <c r="B3609" s="71"/>
      <c r="C3609" s="69" t="s">
        <v>14757</v>
      </c>
      <c r="D3609" s="71"/>
      <c r="E3609" s="68" t="s">
        <v>14758</v>
      </c>
      <c r="F3609" s="76">
        <v>42440.0</v>
      </c>
      <c r="G3609" s="114" t="s">
        <v>14759</v>
      </c>
      <c r="H3609" s="160"/>
      <c r="I3609" s="63" t="s">
        <v>14760</v>
      </c>
      <c r="J3609" s="68" t="s">
        <v>14761</v>
      </c>
      <c r="K3609" s="83">
        <v>42657.0</v>
      </c>
      <c r="L3609" s="68" t="s">
        <v>2743</v>
      </c>
      <c r="M3609" s="111"/>
      <c r="N3609" s="61"/>
      <c r="O3609" s="51"/>
    </row>
    <row r="3610">
      <c r="A3610" s="56">
        <v>3607.0</v>
      </c>
      <c r="B3610" s="71"/>
      <c r="C3610" s="69" t="s">
        <v>14762</v>
      </c>
      <c r="D3610" s="71"/>
      <c r="E3610" s="68" t="s">
        <v>14763</v>
      </c>
      <c r="F3610" s="188">
        <v>42339.0</v>
      </c>
      <c r="G3610" s="114" t="s">
        <v>14764</v>
      </c>
      <c r="H3610" s="160"/>
      <c r="I3610" s="63" t="s">
        <v>14765</v>
      </c>
      <c r="J3610" s="68" t="s">
        <v>10413</v>
      </c>
      <c r="K3610" s="83">
        <v>42658.0</v>
      </c>
      <c r="L3610" s="68" t="s">
        <v>2743</v>
      </c>
      <c r="M3610" s="68" t="s">
        <v>40</v>
      </c>
      <c r="N3610" s="61"/>
      <c r="O3610" s="51"/>
    </row>
    <row r="3611">
      <c r="A3611" s="56">
        <v>3608.0</v>
      </c>
      <c r="B3611" s="71"/>
      <c r="C3611" s="69" t="s">
        <v>14766</v>
      </c>
      <c r="D3611" s="71"/>
      <c r="E3611" s="68" t="s">
        <v>14767</v>
      </c>
      <c r="F3611" s="76">
        <v>42942.0</v>
      </c>
      <c r="G3611" s="114" t="s">
        <v>14768</v>
      </c>
      <c r="H3611" s="160"/>
      <c r="I3611" s="63" t="s">
        <v>14769</v>
      </c>
      <c r="J3611" s="68" t="s">
        <v>14770</v>
      </c>
      <c r="K3611" s="83">
        <v>42658.0</v>
      </c>
      <c r="L3611" s="68" t="s">
        <v>2743</v>
      </c>
      <c r="M3611" s="104"/>
      <c r="N3611" s="105"/>
      <c r="O3611" s="51"/>
    </row>
    <row r="3612">
      <c r="A3612" s="56">
        <v>3609.0</v>
      </c>
      <c r="B3612" s="71"/>
      <c r="C3612" s="69" t="s">
        <v>14771</v>
      </c>
      <c r="D3612" s="71"/>
      <c r="E3612" s="68" t="s">
        <v>14772</v>
      </c>
      <c r="F3612" s="76">
        <v>40487.0</v>
      </c>
      <c r="G3612" s="114" t="s">
        <v>14773</v>
      </c>
      <c r="H3612" s="160"/>
      <c r="I3612" s="68" t="s">
        <v>14774</v>
      </c>
      <c r="J3612" s="68" t="s">
        <v>14775</v>
      </c>
      <c r="K3612" s="83">
        <v>42661.0</v>
      </c>
      <c r="L3612" s="68" t="s">
        <v>2743</v>
      </c>
      <c r="M3612" s="128" t="s">
        <v>125</v>
      </c>
      <c r="N3612" s="77"/>
      <c r="O3612" s="51"/>
    </row>
    <row r="3613">
      <c r="A3613" s="56">
        <v>3610.0</v>
      </c>
      <c r="B3613" s="71"/>
      <c r="C3613" s="69" t="s">
        <v>14776</v>
      </c>
      <c r="D3613" s="71"/>
      <c r="E3613" s="68" t="s">
        <v>14777</v>
      </c>
      <c r="F3613" s="76">
        <v>41774.0</v>
      </c>
      <c r="G3613" s="114" t="s">
        <v>14778</v>
      </c>
      <c r="H3613" s="160"/>
      <c r="I3613" s="63" t="s">
        <v>635</v>
      </c>
      <c r="J3613" s="68" t="s">
        <v>14779</v>
      </c>
      <c r="K3613" s="83">
        <v>42665.0</v>
      </c>
      <c r="L3613" s="68" t="s">
        <v>2743</v>
      </c>
      <c r="M3613" s="71"/>
      <c r="N3613" s="61"/>
      <c r="O3613" s="51"/>
    </row>
    <row r="3614">
      <c r="A3614" s="56">
        <v>3611.0</v>
      </c>
      <c r="B3614" s="71"/>
      <c r="C3614" s="69" t="s">
        <v>14780</v>
      </c>
      <c r="D3614" s="71"/>
      <c r="E3614" s="68" t="s">
        <v>14781</v>
      </c>
      <c r="F3614" s="76">
        <v>42621.0</v>
      </c>
      <c r="G3614" s="114" t="s">
        <v>14782</v>
      </c>
      <c r="H3614" s="160"/>
      <c r="I3614" s="68" t="s">
        <v>14783</v>
      </c>
      <c r="J3614" s="68" t="s">
        <v>14784</v>
      </c>
      <c r="K3614" s="83">
        <v>42667.0</v>
      </c>
      <c r="L3614" s="68" t="s">
        <v>2743</v>
      </c>
      <c r="M3614" s="68" t="s">
        <v>143</v>
      </c>
      <c r="N3614" s="77"/>
      <c r="O3614" s="51"/>
    </row>
    <row r="3615">
      <c r="A3615" s="56">
        <v>3612.0</v>
      </c>
      <c r="B3615" s="71"/>
      <c r="C3615" s="69" t="s">
        <v>14785</v>
      </c>
      <c r="D3615" s="71"/>
      <c r="E3615" s="68" t="s">
        <v>14786</v>
      </c>
      <c r="F3615" s="76">
        <v>42634.0</v>
      </c>
      <c r="G3615" s="114" t="s">
        <v>14787</v>
      </c>
      <c r="H3615" s="160"/>
      <c r="I3615" s="63" t="s">
        <v>14788</v>
      </c>
      <c r="J3615" s="68" t="s">
        <v>14789</v>
      </c>
      <c r="K3615" s="83">
        <v>42667.0</v>
      </c>
      <c r="L3615" s="68" t="s">
        <v>2743</v>
      </c>
      <c r="M3615" s="71"/>
      <c r="N3615" s="61"/>
      <c r="O3615" s="51"/>
    </row>
    <row r="3616">
      <c r="A3616" s="56">
        <v>3613.0</v>
      </c>
      <c r="B3616" s="71"/>
      <c r="C3616" s="69" t="s">
        <v>14790</v>
      </c>
      <c r="D3616" s="71"/>
      <c r="E3616" s="68" t="s">
        <v>14791</v>
      </c>
      <c r="F3616" s="76">
        <v>42610.0</v>
      </c>
      <c r="G3616" s="114" t="s">
        <v>14792</v>
      </c>
      <c r="H3616" s="160"/>
      <c r="I3616" s="63" t="s">
        <v>14793</v>
      </c>
      <c r="J3616" s="68" t="s">
        <v>14794</v>
      </c>
      <c r="K3616" s="83">
        <v>42668.0</v>
      </c>
      <c r="L3616" s="68" t="s">
        <v>2743</v>
      </c>
      <c r="M3616" s="71"/>
      <c r="N3616" s="61"/>
      <c r="O3616" s="51"/>
    </row>
    <row r="3617">
      <c r="A3617" s="56">
        <v>3614.0</v>
      </c>
      <c r="B3617" s="66"/>
      <c r="C3617" s="64" t="s">
        <v>14795</v>
      </c>
      <c r="D3617" s="66"/>
      <c r="E3617" s="63" t="s">
        <v>14796</v>
      </c>
      <c r="F3617" s="65">
        <v>41966.0</v>
      </c>
      <c r="G3617" s="132" t="s">
        <v>14797</v>
      </c>
      <c r="H3617" s="228"/>
      <c r="I3617" s="63" t="s">
        <v>14798</v>
      </c>
      <c r="J3617" s="63" t="s">
        <v>2872</v>
      </c>
      <c r="K3617" s="65">
        <v>42674.0</v>
      </c>
      <c r="L3617" s="63" t="s">
        <v>13594</v>
      </c>
      <c r="M3617" s="63" t="s">
        <v>125</v>
      </c>
      <c r="N3617" s="61"/>
      <c r="O3617" s="51"/>
    </row>
    <row r="3618">
      <c r="A3618" s="56">
        <v>3615.0</v>
      </c>
      <c r="B3618" s="71"/>
      <c r="C3618" s="69" t="s">
        <v>14799</v>
      </c>
      <c r="D3618" s="71"/>
      <c r="E3618" s="68" t="s">
        <v>14800</v>
      </c>
      <c r="F3618" s="76">
        <v>42622.0</v>
      </c>
      <c r="G3618" s="114" t="s">
        <v>14801</v>
      </c>
      <c r="H3618" s="160"/>
      <c r="I3618" s="63" t="s">
        <v>14802</v>
      </c>
      <c r="J3618" s="68" t="s">
        <v>14803</v>
      </c>
      <c r="K3618" s="83">
        <v>42674.0</v>
      </c>
      <c r="L3618" s="68" t="s">
        <v>13594</v>
      </c>
      <c r="M3618" s="104"/>
      <c r="N3618" s="105"/>
      <c r="O3618" s="51"/>
    </row>
    <row r="3619">
      <c r="A3619" s="56">
        <v>3616.0</v>
      </c>
      <c r="B3619" s="71"/>
      <c r="C3619" s="69" t="s">
        <v>14804</v>
      </c>
      <c r="D3619" s="71"/>
      <c r="E3619" s="68" t="s">
        <v>14805</v>
      </c>
      <c r="F3619" s="76">
        <v>42538.0</v>
      </c>
      <c r="G3619" s="114" t="s">
        <v>14806</v>
      </c>
      <c r="H3619" s="160"/>
      <c r="I3619" s="68" t="s">
        <v>14635</v>
      </c>
      <c r="J3619" s="68" t="s">
        <v>14807</v>
      </c>
      <c r="K3619" s="83">
        <v>42674.0</v>
      </c>
      <c r="L3619" s="68" t="s">
        <v>2743</v>
      </c>
      <c r="M3619" s="128" t="s">
        <v>149</v>
      </c>
      <c r="N3619" s="61"/>
      <c r="O3619" s="51"/>
    </row>
    <row r="3620">
      <c r="A3620" s="56">
        <v>3617.0</v>
      </c>
      <c r="B3620" s="71"/>
      <c r="C3620" s="69" t="s">
        <v>14808</v>
      </c>
      <c r="D3620" s="71"/>
      <c r="E3620" s="68" t="s">
        <v>14809</v>
      </c>
      <c r="F3620" s="76">
        <v>42593.0</v>
      </c>
      <c r="G3620" s="114" t="s">
        <v>14810</v>
      </c>
      <c r="H3620" s="160"/>
      <c r="I3620" s="66"/>
      <c r="J3620" s="68" t="s">
        <v>14811</v>
      </c>
      <c r="K3620" s="83">
        <v>42674.0</v>
      </c>
      <c r="L3620" s="68" t="s">
        <v>2743</v>
      </c>
      <c r="M3620" s="68" t="s">
        <v>5707</v>
      </c>
      <c r="N3620" s="61"/>
      <c r="O3620" s="51"/>
    </row>
    <row r="3621">
      <c r="A3621" s="56">
        <v>3618.0</v>
      </c>
      <c r="B3621" s="66"/>
      <c r="C3621" s="64" t="s">
        <v>14812</v>
      </c>
      <c r="D3621" s="66"/>
      <c r="E3621" s="63" t="s">
        <v>14813</v>
      </c>
      <c r="F3621" s="70">
        <v>40973.0</v>
      </c>
      <c r="G3621" s="132" t="s">
        <v>14814</v>
      </c>
      <c r="H3621" s="228"/>
      <c r="I3621" s="63" t="s">
        <v>14815</v>
      </c>
      <c r="J3621" s="63" t="s">
        <v>1762</v>
      </c>
      <c r="K3621" s="65">
        <v>42674.0</v>
      </c>
      <c r="L3621" s="63" t="s">
        <v>2743</v>
      </c>
      <c r="M3621" s="63" t="s">
        <v>542</v>
      </c>
      <c r="N3621" s="61"/>
      <c r="O3621" s="51"/>
    </row>
    <row r="3622">
      <c r="A3622" s="56">
        <v>3619.0</v>
      </c>
      <c r="B3622" s="71"/>
      <c r="C3622" s="69" t="s">
        <v>14816</v>
      </c>
      <c r="D3622" s="71"/>
      <c r="E3622" s="68" t="s">
        <v>14817</v>
      </c>
      <c r="F3622" s="76">
        <v>42454.0</v>
      </c>
      <c r="G3622" s="114" t="s">
        <v>14818</v>
      </c>
      <c r="H3622" s="160"/>
      <c r="I3622" s="63" t="s">
        <v>14819</v>
      </c>
      <c r="J3622" s="68" t="s">
        <v>14820</v>
      </c>
      <c r="K3622" s="83">
        <v>42674.0</v>
      </c>
      <c r="L3622" s="68" t="s">
        <v>2743</v>
      </c>
      <c r="M3622" s="71"/>
      <c r="N3622" s="61"/>
      <c r="O3622" s="51"/>
    </row>
    <row r="3623">
      <c r="A3623" s="56">
        <v>3620.0</v>
      </c>
      <c r="B3623" s="71"/>
      <c r="C3623" s="69" t="s">
        <v>14821</v>
      </c>
      <c r="D3623" s="71"/>
      <c r="E3623" s="68" t="s">
        <v>14822</v>
      </c>
      <c r="F3623" s="76">
        <v>42343.0</v>
      </c>
      <c r="G3623" s="114" t="s">
        <v>14823</v>
      </c>
      <c r="H3623" s="160"/>
      <c r="I3623" s="68" t="s">
        <v>14824</v>
      </c>
      <c r="J3623" s="68" t="s">
        <v>14825</v>
      </c>
      <c r="K3623" s="83">
        <v>42674.0</v>
      </c>
      <c r="L3623" s="68" t="s">
        <v>2743</v>
      </c>
      <c r="M3623" s="68" t="s">
        <v>2152</v>
      </c>
      <c r="N3623" s="61"/>
      <c r="O3623" s="51"/>
    </row>
    <row r="3624">
      <c r="A3624" s="56">
        <v>3621.0</v>
      </c>
      <c r="B3624" s="71"/>
      <c r="C3624" s="69" t="s">
        <v>14826</v>
      </c>
      <c r="D3624" s="71"/>
      <c r="E3624" s="68" t="s">
        <v>14827</v>
      </c>
      <c r="F3624" s="76">
        <v>42623.0</v>
      </c>
      <c r="G3624" s="114" t="s">
        <v>14828</v>
      </c>
      <c r="H3624" s="160"/>
      <c r="I3624" s="63" t="s">
        <v>14829</v>
      </c>
      <c r="J3624" s="68" t="s">
        <v>14830</v>
      </c>
      <c r="K3624" s="83">
        <v>42674.0</v>
      </c>
      <c r="L3624" s="68" t="s">
        <v>2743</v>
      </c>
      <c r="M3624" s="71"/>
      <c r="N3624" s="61"/>
      <c r="O3624" s="51"/>
    </row>
    <row r="3625">
      <c r="A3625" s="56">
        <v>3622.0</v>
      </c>
      <c r="B3625" s="71"/>
      <c r="C3625" s="69" t="s">
        <v>14831</v>
      </c>
      <c r="D3625" s="71"/>
      <c r="E3625" s="68" t="s">
        <v>14832</v>
      </c>
      <c r="F3625" s="76">
        <v>42418.0</v>
      </c>
      <c r="G3625" s="114" t="s">
        <v>14833</v>
      </c>
      <c r="H3625" s="160"/>
      <c r="I3625" s="63" t="s">
        <v>635</v>
      </c>
      <c r="J3625" s="68" t="s">
        <v>6558</v>
      </c>
      <c r="K3625" s="76">
        <v>42675.0</v>
      </c>
      <c r="L3625" s="104"/>
      <c r="M3625" s="73" t="s">
        <v>166</v>
      </c>
      <c r="N3625" s="61"/>
      <c r="O3625" s="51"/>
    </row>
    <row r="3626">
      <c r="A3626" s="56">
        <v>3623.0</v>
      </c>
      <c r="B3626" s="71"/>
      <c r="C3626" s="69" t="s">
        <v>14834</v>
      </c>
      <c r="D3626" s="71"/>
      <c r="E3626" s="68" t="s">
        <v>14835</v>
      </c>
      <c r="F3626" s="76">
        <v>42562.0</v>
      </c>
      <c r="G3626" s="114" t="s">
        <v>14836</v>
      </c>
      <c r="H3626" s="160"/>
      <c r="I3626" s="68" t="s">
        <v>14837</v>
      </c>
      <c r="J3626" s="87" t="s">
        <v>14838</v>
      </c>
      <c r="K3626" s="76">
        <v>42677.0</v>
      </c>
      <c r="L3626" s="128" t="s">
        <v>2743</v>
      </c>
      <c r="M3626" s="68" t="s">
        <v>3528</v>
      </c>
      <c r="N3626" s="61"/>
      <c r="O3626" s="51"/>
    </row>
    <row r="3627">
      <c r="A3627" s="56">
        <v>3624.0</v>
      </c>
      <c r="B3627" s="71"/>
      <c r="C3627" s="69" t="s">
        <v>14839</v>
      </c>
      <c r="D3627" s="71"/>
      <c r="E3627" s="68" t="s">
        <v>14840</v>
      </c>
      <c r="F3627" s="76">
        <v>42562.0</v>
      </c>
      <c r="G3627" s="114" t="s">
        <v>14841</v>
      </c>
      <c r="H3627" s="160"/>
      <c r="I3627" s="68" t="s">
        <v>14837</v>
      </c>
      <c r="J3627" s="87" t="s">
        <v>14838</v>
      </c>
      <c r="K3627" s="76">
        <v>42677.0</v>
      </c>
      <c r="L3627" s="68" t="s">
        <v>2743</v>
      </c>
      <c r="M3627" s="68" t="s">
        <v>3528</v>
      </c>
      <c r="N3627" s="61"/>
      <c r="O3627" s="51"/>
    </row>
    <row r="3628">
      <c r="A3628" s="56">
        <v>3625.0</v>
      </c>
      <c r="B3628" s="71"/>
      <c r="C3628" s="69" t="s">
        <v>14842</v>
      </c>
      <c r="D3628" s="71"/>
      <c r="E3628" s="68" t="s">
        <v>14843</v>
      </c>
      <c r="F3628" s="76">
        <v>42562.0</v>
      </c>
      <c r="G3628" s="114" t="s">
        <v>14844</v>
      </c>
      <c r="H3628" s="160"/>
      <c r="I3628" s="68" t="s">
        <v>14837</v>
      </c>
      <c r="J3628" s="87" t="s">
        <v>14838</v>
      </c>
      <c r="K3628" s="76">
        <v>42677.0</v>
      </c>
      <c r="L3628" s="68" t="s">
        <v>2743</v>
      </c>
      <c r="M3628" s="68" t="s">
        <v>3528</v>
      </c>
      <c r="N3628" s="61"/>
      <c r="O3628" s="51"/>
    </row>
    <row r="3629">
      <c r="A3629" s="56">
        <v>3626.0</v>
      </c>
      <c r="B3629" s="66"/>
      <c r="C3629" s="64" t="s">
        <v>14845</v>
      </c>
      <c r="D3629" s="66"/>
      <c r="E3629" s="63" t="s">
        <v>14846</v>
      </c>
      <c r="F3629" s="70">
        <v>41686.0</v>
      </c>
      <c r="G3629" s="132" t="s">
        <v>14847</v>
      </c>
      <c r="H3629" s="228"/>
      <c r="I3629" s="63" t="s">
        <v>14848</v>
      </c>
      <c r="J3629" s="63" t="s">
        <v>11849</v>
      </c>
      <c r="K3629" s="70">
        <v>42677.0</v>
      </c>
      <c r="L3629" s="63" t="s">
        <v>2743</v>
      </c>
      <c r="M3629" s="63" t="s">
        <v>7530</v>
      </c>
      <c r="N3629" s="61"/>
      <c r="O3629" s="51"/>
    </row>
    <row r="3630">
      <c r="A3630" s="56">
        <v>3627.0</v>
      </c>
      <c r="B3630" s="71"/>
      <c r="C3630" s="69" t="s">
        <v>14849</v>
      </c>
      <c r="D3630" s="71"/>
      <c r="E3630" s="68" t="s">
        <v>14850</v>
      </c>
      <c r="F3630" s="76">
        <v>42675.0</v>
      </c>
      <c r="G3630" s="114" t="s">
        <v>14851</v>
      </c>
      <c r="H3630" s="160"/>
      <c r="I3630" s="63" t="s">
        <v>14852</v>
      </c>
      <c r="J3630" s="68" t="s">
        <v>14853</v>
      </c>
      <c r="K3630" s="76">
        <v>42677.0</v>
      </c>
      <c r="L3630" s="68" t="s">
        <v>2743</v>
      </c>
      <c r="M3630" s="71"/>
      <c r="N3630" s="61"/>
      <c r="O3630" s="51"/>
    </row>
    <row r="3631">
      <c r="A3631" s="56">
        <v>3628.0</v>
      </c>
      <c r="B3631" s="71"/>
      <c r="C3631" s="69" t="s">
        <v>14854</v>
      </c>
      <c r="D3631" s="71"/>
      <c r="E3631" s="68" t="s">
        <v>14855</v>
      </c>
      <c r="F3631" s="83">
        <v>42660.0</v>
      </c>
      <c r="G3631" s="114" t="s">
        <v>14851</v>
      </c>
      <c r="H3631" s="160"/>
      <c r="I3631" s="63" t="s">
        <v>14856</v>
      </c>
      <c r="J3631" s="68" t="s">
        <v>14857</v>
      </c>
      <c r="K3631" s="76">
        <v>42677.0</v>
      </c>
      <c r="L3631" s="68" t="s">
        <v>2743</v>
      </c>
      <c r="M3631" s="71"/>
      <c r="N3631" s="61"/>
      <c r="O3631" s="51"/>
    </row>
    <row r="3632">
      <c r="A3632" s="56">
        <v>3629.0</v>
      </c>
      <c r="B3632" s="71"/>
      <c r="C3632" s="69" t="s">
        <v>14858</v>
      </c>
      <c r="D3632" s="71"/>
      <c r="E3632" s="68" t="s">
        <v>14859</v>
      </c>
      <c r="F3632" s="76">
        <v>42676.0</v>
      </c>
      <c r="G3632" s="114" t="s">
        <v>14860</v>
      </c>
      <c r="H3632" s="160"/>
      <c r="I3632" s="63" t="s">
        <v>14861</v>
      </c>
      <c r="J3632" s="68" t="s">
        <v>14862</v>
      </c>
      <c r="K3632" s="76">
        <v>42677.0</v>
      </c>
      <c r="L3632" s="68" t="s">
        <v>2743</v>
      </c>
      <c r="M3632" s="71"/>
      <c r="N3632" s="61"/>
      <c r="O3632" s="51"/>
    </row>
    <row r="3633">
      <c r="A3633" s="56">
        <v>3630.0</v>
      </c>
      <c r="B3633" s="60"/>
      <c r="C3633" s="58" t="s">
        <v>14863</v>
      </c>
      <c r="D3633" s="60"/>
      <c r="E3633" s="57" t="s">
        <v>14864</v>
      </c>
      <c r="F3633" s="59">
        <v>42562.0</v>
      </c>
      <c r="G3633" s="177" t="s">
        <v>14865</v>
      </c>
      <c r="H3633" s="227"/>
      <c r="I3633" s="63" t="s">
        <v>14866</v>
      </c>
      <c r="J3633" s="57" t="s">
        <v>14867</v>
      </c>
      <c r="K3633" s="59">
        <v>42683.0</v>
      </c>
      <c r="L3633" s="57" t="s">
        <v>14256</v>
      </c>
      <c r="M3633" s="57" t="s">
        <v>166</v>
      </c>
      <c r="N3633" s="61"/>
      <c r="O3633" s="51"/>
    </row>
    <row r="3634">
      <c r="A3634" s="56">
        <v>3631.0</v>
      </c>
      <c r="B3634" s="66"/>
      <c r="C3634" s="64" t="s">
        <v>14868</v>
      </c>
      <c r="D3634" s="66"/>
      <c r="E3634" s="63" t="s">
        <v>14869</v>
      </c>
      <c r="F3634" s="70">
        <v>42647.0</v>
      </c>
      <c r="G3634" s="228"/>
      <c r="H3634" s="228"/>
      <c r="I3634" s="63" t="s">
        <v>14870</v>
      </c>
      <c r="J3634" s="63" t="s">
        <v>11049</v>
      </c>
      <c r="K3634" s="70">
        <v>42683.0</v>
      </c>
      <c r="L3634" s="63" t="s">
        <v>14256</v>
      </c>
      <c r="M3634" s="63" t="s">
        <v>27</v>
      </c>
      <c r="N3634" s="61"/>
      <c r="O3634" s="51"/>
    </row>
    <row r="3635">
      <c r="A3635" s="56">
        <v>3632.0</v>
      </c>
      <c r="B3635" s="66"/>
      <c r="C3635" s="64" t="s">
        <v>14871</v>
      </c>
      <c r="D3635" s="66"/>
      <c r="E3635" s="63" t="s">
        <v>14872</v>
      </c>
      <c r="F3635" s="65">
        <v>41993.0</v>
      </c>
      <c r="G3635" s="132" t="s">
        <v>14873</v>
      </c>
      <c r="H3635" s="228"/>
      <c r="I3635" s="63" t="s">
        <v>14874</v>
      </c>
      <c r="J3635" s="63" t="s">
        <v>14875</v>
      </c>
      <c r="K3635" s="70">
        <v>42683.0</v>
      </c>
      <c r="L3635" s="63" t="s">
        <v>2743</v>
      </c>
      <c r="M3635" s="63" t="s">
        <v>1528</v>
      </c>
      <c r="N3635" s="61"/>
      <c r="O3635" s="51"/>
    </row>
    <row r="3636">
      <c r="A3636" s="56">
        <v>3633.0</v>
      </c>
      <c r="B3636" s="71"/>
      <c r="C3636" s="69" t="s">
        <v>14876</v>
      </c>
      <c r="D3636" s="71"/>
      <c r="E3636" s="68" t="s">
        <v>14877</v>
      </c>
      <c r="F3636" s="83">
        <v>41929.0</v>
      </c>
      <c r="G3636" s="114" t="s">
        <v>14878</v>
      </c>
      <c r="H3636" s="160"/>
      <c r="I3636" s="68" t="s">
        <v>14879</v>
      </c>
      <c r="J3636" s="68" t="s">
        <v>14880</v>
      </c>
      <c r="K3636" s="83">
        <v>42684.0</v>
      </c>
      <c r="L3636" s="68" t="s">
        <v>2743</v>
      </c>
      <c r="M3636" s="68" t="s">
        <v>125</v>
      </c>
      <c r="N3636" s="77"/>
      <c r="O3636" s="51"/>
    </row>
    <row r="3637">
      <c r="A3637" s="56">
        <v>3634.0</v>
      </c>
      <c r="B3637" s="71"/>
      <c r="C3637" s="69" t="s">
        <v>14881</v>
      </c>
      <c r="D3637" s="71"/>
      <c r="E3637" s="68" t="s">
        <v>14882</v>
      </c>
      <c r="F3637" s="76">
        <v>41945.0</v>
      </c>
      <c r="G3637" s="114" t="s">
        <v>14883</v>
      </c>
      <c r="H3637" s="160"/>
      <c r="I3637" s="63" t="s">
        <v>14884</v>
      </c>
      <c r="J3637" s="68" t="s">
        <v>14885</v>
      </c>
      <c r="K3637" s="83">
        <v>42684.0</v>
      </c>
      <c r="L3637" s="68" t="s">
        <v>2743</v>
      </c>
      <c r="M3637" s="68" t="s">
        <v>282</v>
      </c>
      <c r="N3637" s="61"/>
      <c r="O3637" s="51"/>
    </row>
    <row r="3638">
      <c r="A3638" s="56">
        <v>3635.0</v>
      </c>
      <c r="B3638" s="66"/>
      <c r="C3638" s="64" t="s">
        <v>14886</v>
      </c>
      <c r="D3638" s="66"/>
      <c r="E3638" s="63" t="s">
        <v>14887</v>
      </c>
      <c r="F3638" s="70">
        <v>42582.0</v>
      </c>
      <c r="G3638" s="132" t="s">
        <v>14888</v>
      </c>
      <c r="H3638" s="228"/>
      <c r="I3638" s="63" t="s">
        <v>14889</v>
      </c>
      <c r="J3638" s="63" t="s">
        <v>2872</v>
      </c>
      <c r="K3638" s="65">
        <v>42684.0</v>
      </c>
      <c r="L3638" s="63" t="s">
        <v>2743</v>
      </c>
      <c r="M3638" s="63" t="s">
        <v>125</v>
      </c>
      <c r="N3638" s="61"/>
      <c r="O3638" s="51"/>
    </row>
    <row r="3639">
      <c r="A3639" s="56">
        <v>3636.0</v>
      </c>
      <c r="B3639" s="71"/>
      <c r="C3639" s="69" t="s">
        <v>14890</v>
      </c>
      <c r="D3639" s="71"/>
      <c r="E3639" s="68" t="s">
        <v>14891</v>
      </c>
      <c r="F3639" s="76">
        <v>42196.0</v>
      </c>
      <c r="G3639" s="114" t="s">
        <v>14892</v>
      </c>
      <c r="H3639" s="160"/>
      <c r="I3639" s="68" t="s">
        <v>14893</v>
      </c>
      <c r="J3639" s="68" t="s">
        <v>14894</v>
      </c>
      <c r="K3639" s="83">
        <v>42684.0</v>
      </c>
      <c r="L3639" s="68" t="s">
        <v>2743</v>
      </c>
      <c r="M3639" s="68" t="s">
        <v>125</v>
      </c>
      <c r="N3639" s="77"/>
      <c r="O3639" s="51"/>
    </row>
    <row r="3640">
      <c r="A3640" s="56">
        <v>3637.0</v>
      </c>
      <c r="B3640" s="71"/>
      <c r="C3640" s="69" t="s">
        <v>14895</v>
      </c>
      <c r="D3640" s="71"/>
      <c r="E3640" s="68" t="s">
        <v>14896</v>
      </c>
      <c r="F3640" s="76">
        <v>42161.0</v>
      </c>
      <c r="G3640" s="114" t="s">
        <v>14897</v>
      </c>
      <c r="H3640" s="160"/>
      <c r="I3640" s="68" t="s">
        <v>14898</v>
      </c>
      <c r="J3640" s="68" t="s">
        <v>14899</v>
      </c>
      <c r="K3640" s="83">
        <v>42684.0</v>
      </c>
      <c r="L3640" s="68" t="s">
        <v>2743</v>
      </c>
      <c r="M3640" s="68" t="s">
        <v>125</v>
      </c>
      <c r="N3640" s="77"/>
      <c r="O3640" s="51"/>
    </row>
    <row r="3641">
      <c r="A3641" s="56">
        <v>3638.0</v>
      </c>
      <c r="B3641" s="71"/>
      <c r="C3641" s="69" t="s">
        <v>14900</v>
      </c>
      <c r="D3641" s="71"/>
      <c r="E3641" s="68" t="s">
        <v>14901</v>
      </c>
      <c r="F3641" s="76">
        <v>41300.0</v>
      </c>
      <c r="G3641" s="114" t="s">
        <v>14902</v>
      </c>
      <c r="H3641" s="160"/>
      <c r="I3641" s="68" t="s">
        <v>14903</v>
      </c>
      <c r="J3641" s="68" t="s">
        <v>14904</v>
      </c>
      <c r="K3641" s="83">
        <v>42684.0</v>
      </c>
      <c r="L3641" s="68" t="s">
        <v>2743</v>
      </c>
      <c r="M3641" s="68" t="s">
        <v>166</v>
      </c>
      <c r="N3641" s="77"/>
      <c r="O3641" s="51"/>
    </row>
    <row r="3642">
      <c r="A3642" s="56">
        <v>3639.0</v>
      </c>
      <c r="B3642" s="71"/>
      <c r="C3642" s="69" t="s">
        <v>14905</v>
      </c>
      <c r="D3642" s="71"/>
      <c r="E3642" s="68" t="s">
        <v>14906</v>
      </c>
      <c r="F3642" s="76">
        <v>40206.0</v>
      </c>
      <c r="G3642" s="114" t="s">
        <v>14907</v>
      </c>
      <c r="H3642" s="160"/>
      <c r="I3642" s="63" t="s">
        <v>635</v>
      </c>
      <c r="J3642" s="68" t="s">
        <v>14908</v>
      </c>
      <c r="K3642" s="83">
        <v>42684.0</v>
      </c>
      <c r="L3642" s="68" t="s">
        <v>1496</v>
      </c>
      <c r="M3642" s="68" t="s">
        <v>530</v>
      </c>
      <c r="N3642" s="61"/>
      <c r="O3642" s="51"/>
    </row>
    <row r="3643">
      <c r="A3643" s="56">
        <v>3640.0</v>
      </c>
      <c r="B3643" s="66"/>
      <c r="C3643" s="64" t="s">
        <v>14909</v>
      </c>
      <c r="D3643" s="66"/>
      <c r="E3643" s="63" t="s">
        <v>14910</v>
      </c>
      <c r="F3643" s="70">
        <v>40206.0</v>
      </c>
      <c r="G3643" s="132" t="s">
        <v>14907</v>
      </c>
      <c r="H3643" s="228"/>
      <c r="I3643" s="63" t="s">
        <v>635</v>
      </c>
      <c r="J3643" s="63" t="s">
        <v>136</v>
      </c>
      <c r="K3643" s="65">
        <v>42684.0</v>
      </c>
      <c r="L3643" s="63" t="s">
        <v>14911</v>
      </c>
      <c r="M3643" s="63" t="s">
        <v>2989</v>
      </c>
      <c r="N3643" s="61"/>
      <c r="O3643" s="51"/>
    </row>
    <row r="3644">
      <c r="A3644" s="56">
        <v>3641.0</v>
      </c>
      <c r="B3644" s="66"/>
      <c r="C3644" s="64" t="s">
        <v>14912</v>
      </c>
      <c r="D3644" s="66"/>
      <c r="E3644" s="63" t="s">
        <v>14913</v>
      </c>
      <c r="F3644" s="70">
        <v>42055.0</v>
      </c>
      <c r="G3644" s="132" t="s">
        <v>14914</v>
      </c>
      <c r="H3644" s="132" t="s">
        <v>14915</v>
      </c>
      <c r="I3644" s="63" t="s">
        <v>635</v>
      </c>
      <c r="J3644" s="63" t="s">
        <v>6393</v>
      </c>
      <c r="K3644" s="65">
        <v>42684.0</v>
      </c>
      <c r="L3644" s="63" t="s">
        <v>14911</v>
      </c>
      <c r="M3644" s="63" t="s">
        <v>6875</v>
      </c>
      <c r="N3644" s="61"/>
      <c r="O3644" s="51"/>
    </row>
    <row r="3645">
      <c r="A3645" s="56">
        <v>3642.0</v>
      </c>
      <c r="B3645" s="71"/>
      <c r="C3645" s="69" t="s">
        <v>14916</v>
      </c>
      <c r="D3645" s="71"/>
      <c r="E3645" s="68" t="s">
        <v>14917</v>
      </c>
      <c r="F3645" s="83">
        <v>42325.0</v>
      </c>
      <c r="G3645" s="114" t="s">
        <v>14918</v>
      </c>
      <c r="H3645" s="160"/>
      <c r="I3645" s="63" t="s">
        <v>635</v>
      </c>
      <c r="J3645" s="68" t="s">
        <v>2355</v>
      </c>
      <c r="K3645" s="83">
        <v>42684.0</v>
      </c>
      <c r="L3645" s="68" t="s">
        <v>14911</v>
      </c>
      <c r="M3645" s="104"/>
      <c r="N3645" s="105"/>
      <c r="O3645" s="51"/>
    </row>
    <row r="3646">
      <c r="A3646" s="56">
        <v>3643.0</v>
      </c>
      <c r="B3646" s="71"/>
      <c r="C3646" s="69" t="s">
        <v>14919</v>
      </c>
      <c r="D3646" s="71"/>
      <c r="E3646" s="68" t="s">
        <v>14920</v>
      </c>
      <c r="F3646" s="68">
        <v>2013.0</v>
      </c>
      <c r="G3646" s="114" t="s">
        <v>14921</v>
      </c>
      <c r="H3646" s="160"/>
      <c r="I3646" s="68" t="s">
        <v>14922</v>
      </c>
      <c r="J3646" s="87" t="s">
        <v>14923</v>
      </c>
      <c r="K3646" s="83">
        <v>42684.0</v>
      </c>
      <c r="L3646" s="68" t="s">
        <v>2743</v>
      </c>
      <c r="M3646" s="128" t="s">
        <v>3714</v>
      </c>
      <c r="N3646" s="61"/>
      <c r="O3646" s="51"/>
    </row>
    <row r="3647">
      <c r="A3647" s="56">
        <v>3644.0</v>
      </c>
      <c r="B3647" s="66"/>
      <c r="C3647" s="64" t="s">
        <v>14924</v>
      </c>
      <c r="D3647" s="66"/>
      <c r="E3647" s="63" t="s">
        <v>14925</v>
      </c>
      <c r="F3647" s="65">
        <v>41195.0</v>
      </c>
      <c r="G3647" s="132" t="s">
        <v>14926</v>
      </c>
      <c r="H3647" s="228"/>
      <c r="I3647" s="63" t="s">
        <v>14927</v>
      </c>
      <c r="J3647" s="63" t="s">
        <v>2872</v>
      </c>
      <c r="K3647" s="65">
        <v>42691.0</v>
      </c>
      <c r="L3647" s="63" t="s">
        <v>2743</v>
      </c>
      <c r="M3647" s="63" t="s">
        <v>125</v>
      </c>
      <c r="N3647" s="61"/>
      <c r="O3647" s="51"/>
    </row>
    <row r="3648">
      <c r="A3648" s="56">
        <v>3645.0</v>
      </c>
      <c r="B3648" s="66"/>
      <c r="C3648" s="64" t="s">
        <v>14928</v>
      </c>
      <c r="D3648" s="66"/>
      <c r="E3648" s="63" t="s">
        <v>14929</v>
      </c>
      <c r="F3648" s="70">
        <v>42144.0</v>
      </c>
      <c r="G3648" s="132" t="s">
        <v>14930</v>
      </c>
      <c r="H3648" s="228"/>
      <c r="I3648" s="63" t="s">
        <v>14931</v>
      </c>
      <c r="J3648" s="63" t="s">
        <v>2872</v>
      </c>
      <c r="K3648" s="65">
        <v>42691.0</v>
      </c>
      <c r="L3648" s="63" t="s">
        <v>2743</v>
      </c>
      <c r="M3648" s="63" t="s">
        <v>125</v>
      </c>
      <c r="N3648" s="61"/>
      <c r="O3648" s="51"/>
    </row>
    <row r="3649">
      <c r="A3649" s="56">
        <v>3646.0</v>
      </c>
      <c r="B3649" s="71"/>
      <c r="C3649" s="69" t="s">
        <v>14932</v>
      </c>
      <c r="D3649" s="71"/>
      <c r="E3649" s="68" t="s">
        <v>14933</v>
      </c>
      <c r="F3649" s="68">
        <v>2015.0</v>
      </c>
      <c r="G3649" s="114" t="s">
        <v>14934</v>
      </c>
      <c r="H3649" s="160"/>
      <c r="I3649" s="66"/>
      <c r="J3649" s="68" t="s">
        <v>14935</v>
      </c>
      <c r="K3649" s="83">
        <v>42691.0</v>
      </c>
      <c r="L3649" s="68" t="s">
        <v>2743</v>
      </c>
      <c r="M3649" s="71"/>
      <c r="N3649" s="61"/>
      <c r="O3649" s="51"/>
    </row>
    <row r="3650">
      <c r="A3650" s="56">
        <v>3647.0</v>
      </c>
      <c r="B3650" s="60"/>
      <c r="C3650" s="58" t="s">
        <v>14936</v>
      </c>
      <c r="D3650" s="60"/>
      <c r="E3650" s="57" t="s">
        <v>14937</v>
      </c>
      <c r="F3650" s="59">
        <v>42340.0</v>
      </c>
      <c r="G3650" s="177" t="s">
        <v>14938</v>
      </c>
      <c r="H3650" s="227"/>
      <c r="I3650" s="63" t="s">
        <v>14939</v>
      </c>
      <c r="J3650" s="57" t="s">
        <v>14940</v>
      </c>
      <c r="K3650" s="78">
        <v>42691.0</v>
      </c>
      <c r="L3650" s="57" t="s">
        <v>2743</v>
      </c>
      <c r="M3650" s="57" t="s">
        <v>2989</v>
      </c>
      <c r="N3650" s="61"/>
      <c r="O3650" s="51"/>
    </row>
    <row r="3651">
      <c r="A3651" s="56">
        <v>3648.0</v>
      </c>
      <c r="B3651" s="71"/>
      <c r="C3651" s="69" t="s">
        <v>14941</v>
      </c>
      <c r="D3651" s="71"/>
      <c r="E3651" s="68" t="s">
        <v>14942</v>
      </c>
      <c r="F3651" s="83">
        <v>42670.0</v>
      </c>
      <c r="G3651" s="114" t="s">
        <v>14943</v>
      </c>
      <c r="H3651" s="160"/>
      <c r="I3651" s="63" t="s">
        <v>635</v>
      </c>
      <c r="J3651" s="68" t="s">
        <v>14944</v>
      </c>
      <c r="K3651" s="83">
        <v>42691.0</v>
      </c>
      <c r="L3651" s="68" t="s">
        <v>2743</v>
      </c>
      <c r="M3651" s="71"/>
      <c r="N3651" s="61"/>
      <c r="O3651" s="51"/>
    </row>
    <row r="3652">
      <c r="A3652" s="56">
        <v>3649.0</v>
      </c>
      <c r="B3652" s="66"/>
      <c r="C3652" s="64" t="s">
        <v>14945</v>
      </c>
      <c r="D3652" s="66"/>
      <c r="E3652" s="63" t="s">
        <v>14946</v>
      </c>
      <c r="F3652" s="70">
        <v>39114.0</v>
      </c>
      <c r="G3652" s="132" t="s">
        <v>14947</v>
      </c>
      <c r="H3652" s="228"/>
      <c r="I3652" s="63" t="s">
        <v>14948</v>
      </c>
      <c r="J3652" s="63" t="s">
        <v>13616</v>
      </c>
      <c r="K3652" s="65">
        <v>42691.0</v>
      </c>
      <c r="L3652" s="63" t="s">
        <v>2743</v>
      </c>
      <c r="M3652" s="63" t="s">
        <v>2291</v>
      </c>
      <c r="N3652" s="61"/>
      <c r="O3652" s="51"/>
    </row>
    <row r="3653">
      <c r="A3653" s="56">
        <v>3650.0</v>
      </c>
      <c r="B3653" s="71"/>
      <c r="C3653" s="69" t="s">
        <v>14949</v>
      </c>
      <c r="D3653" s="71"/>
      <c r="E3653" s="68" t="s">
        <v>14950</v>
      </c>
      <c r="F3653" s="83">
        <v>42689.0</v>
      </c>
      <c r="G3653" s="114" t="s">
        <v>14951</v>
      </c>
      <c r="H3653" s="160"/>
      <c r="I3653" s="63" t="s">
        <v>635</v>
      </c>
      <c r="J3653" s="68" t="s">
        <v>14952</v>
      </c>
      <c r="K3653" s="83">
        <v>42691.0</v>
      </c>
      <c r="L3653" s="68" t="s">
        <v>2743</v>
      </c>
      <c r="M3653" s="71"/>
      <c r="N3653" s="61"/>
      <c r="O3653" s="51"/>
    </row>
    <row r="3654">
      <c r="A3654" s="56">
        <v>3651.0</v>
      </c>
      <c r="B3654" s="71"/>
      <c r="C3654" s="69" t="s">
        <v>14953</v>
      </c>
      <c r="D3654" s="71"/>
      <c r="E3654" s="68" t="s">
        <v>14954</v>
      </c>
      <c r="F3654" s="76">
        <v>42106.0</v>
      </c>
      <c r="G3654" s="114" t="s">
        <v>14955</v>
      </c>
      <c r="H3654" s="160"/>
      <c r="I3654" s="63" t="s">
        <v>14956</v>
      </c>
      <c r="J3654" s="68" t="s">
        <v>14302</v>
      </c>
      <c r="K3654" s="83">
        <v>42691.0</v>
      </c>
      <c r="L3654" s="68" t="s">
        <v>2743</v>
      </c>
      <c r="M3654" s="68" t="s">
        <v>143</v>
      </c>
      <c r="N3654" s="61"/>
      <c r="O3654" s="51"/>
    </row>
    <row r="3655">
      <c r="A3655" s="56">
        <v>3652.0</v>
      </c>
      <c r="B3655" s="71"/>
      <c r="C3655" s="69" t="s">
        <v>14957</v>
      </c>
      <c r="D3655" s="71"/>
      <c r="E3655" s="68" t="s">
        <v>14958</v>
      </c>
      <c r="F3655" s="83">
        <v>42673.0</v>
      </c>
      <c r="G3655" s="114" t="s">
        <v>14959</v>
      </c>
      <c r="H3655" s="160"/>
      <c r="I3655" s="71"/>
      <c r="J3655" s="114" t="s">
        <v>14960</v>
      </c>
      <c r="K3655" s="83">
        <v>42691.0</v>
      </c>
      <c r="L3655" s="68" t="s">
        <v>2743</v>
      </c>
      <c r="M3655" s="68" t="s">
        <v>14456</v>
      </c>
      <c r="N3655" s="77"/>
      <c r="O3655" s="51"/>
    </row>
    <row r="3656">
      <c r="A3656" s="56">
        <v>3653.0</v>
      </c>
      <c r="B3656" s="71"/>
      <c r="C3656" s="69" t="s">
        <v>14961</v>
      </c>
      <c r="D3656" s="71"/>
      <c r="E3656" s="68" t="s">
        <v>14962</v>
      </c>
      <c r="F3656" s="76">
        <v>42556.0</v>
      </c>
      <c r="G3656" s="114" t="s">
        <v>14963</v>
      </c>
      <c r="H3656" s="160"/>
      <c r="I3656" s="63" t="s">
        <v>635</v>
      </c>
      <c r="J3656" s="68" t="s">
        <v>14964</v>
      </c>
      <c r="K3656" s="83">
        <v>42691.0</v>
      </c>
      <c r="L3656" s="68" t="s">
        <v>2743</v>
      </c>
      <c r="M3656" s="71"/>
      <c r="N3656" s="61"/>
      <c r="O3656" s="51"/>
    </row>
    <row r="3657">
      <c r="A3657" s="56">
        <v>3654.0</v>
      </c>
      <c r="B3657" s="71"/>
      <c r="C3657" s="69" t="s">
        <v>14965</v>
      </c>
      <c r="D3657" s="71"/>
      <c r="E3657" s="68" t="s">
        <v>14966</v>
      </c>
      <c r="F3657" s="76">
        <v>41168.0</v>
      </c>
      <c r="G3657" s="114" t="s">
        <v>14967</v>
      </c>
      <c r="H3657" s="160"/>
      <c r="I3657" s="68" t="s">
        <v>635</v>
      </c>
      <c r="J3657" s="68" t="s">
        <v>2021</v>
      </c>
      <c r="K3657" s="83">
        <v>42691.0</v>
      </c>
      <c r="L3657" s="68" t="s">
        <v>14968</v>
      </c>
      <c r="M3657" s="68" t="s">
        <v>27</v>
      </c>
      <c r="N3657" s="77"/>
      <c r="O3657" s="51"/>
    </row>
    <row r="3658">
      <c r="A3658" s="56">
        <v>3655.0</v>
      </c>
      <c r="B3658" s="66"/>
      <c r="C3658" s="64" t="s">
        <v>14969</v>
      </c>
      <c r="D3658" s="66"/>
      <c r="E3658" s="63" t="s">
        <v>14970</v>
      </c>
      <c r="F3658" s="70">
        <v>40592.0</v>
      </c>
      <c r="G3658" s="132" t="s">
        <v>14971</v>
      </c>
      <c r="H3658" s="228"/>
      <c r="I3658" s="63" t="s">
        <v>14972</v>
      </c>
      <c r="J3658" s="63" t="s">
        <v>11049</v>
      </c>
      <c r="K3658" s="65">
        <v>42691.0</v>
      </c>
      <c r="L3658" s="63" t="s">
        <v>14968</v>
      </c>
      <c r="M3658" s="63" t="s">
        <v>27</v>
      </c>
      <c r="N3658" s="61"/>
      <c r="O3658" s="51"/>
    </row>
    <row r="3659">
      <c r="A3659" s="56">
        <v>3656.0</v>
      </c>
      <c r="B3659" s="66"/>
      <c r="C3659" s="64" t="s">
        <v>14973</v>
      </c>
      <c r="D3659" s="66"/>
      <c r="E3659" s="63" t="s">
        <v>14974</v>
      </c>
      <c r="F3659" s="70">
        <v>40434.0</v>
      </c>
      <c r="G3659" s="132" t="s">
        <v>14975</v>
      </c>
      <c r="H3659" s="228"/>
      <c r="I3659" s="63" t="s">
        <v>14976</v>
      </c>
      <c r="J3659" s="63" t="s">
        <v>11049</v>
      </c>
      <c r="K3659" s="65">
        <v>42691.0</v>
      </c>
      <c r="L3659" s="63" t="s">
        <v>14968</v>
      </c>
      <c r="M3659" s="63" t="s">
        <v>27</v>
      </c>
      <c r="N3659" s="61"/>
      <c r="O3659" s="51"/>
    </row>
    <row r="3660">
      <c r="A3660" s="56">
        <v>3657.0</v>
      </c>
      <c r="B3660" s="71"/>
      <c r="C3660" s="69" t="s">
        <v>14977</v>
      </c>
      <c r="D3660" s="71"/>
      <c r="E3660" s="68" t="s">
        <v>14978</v>
      </c>
      <c r="F3660" s="76">
        <v>40436.0</v>
      </c>
      <c r="G3660" s="114" t="s">
        <v>14979</v>
      </c>
      <c r="H3660" s="160"/>
      <c r="I3660" s="71"/>
      <c r="J3660" s="68" t="s">
        <v>14980</v>
      </c>
      <c r="K3660" s="83">
        <v>42691.0</v>
      </c>
      <c r="L3660" s="68" t="s">
        <v>14968</v>
      </c>
      <c r="M3660" s="68" t="s">
        <v>27</v>
      </c>
      <c r="N3660" s="61"/>
      <c r="O3660" s="51"/>
    </row>
    <row r="3661">
      <c r="A3661" s="56">
        <v>3658.0</v>
      </c>
      <c r="B3661" s="71"/>
      <c r="C3661" s="69" t="s">
        <v>14981</v>
      </c>
      <c r="D3661" s="71"/>
      <c r="E3661" s="68" t="s">
        <v>14982</v>
      </c>
      <c r="F3661" s="76">
        <v>42508.0</v>
      </c>
      <c r="G3661" s="114" t="s">
        <v>11825</v>
      </c>
      <c r="H3661" s="160"/>
      <c r="I3661" s="66"/>
      <c r="J3661" s="68" t="s">
        <v>14983</v>
      </c>
      <c r="K3661" s="83">
        <v>42693.0</v>
      </c>
      <c r="L3661" s="68" t="s">
        <v>2743</v>
      </c>
      <c r="M3661" s="68" t="s">
        <v>14984</v>
      </c>
      <c r="N3661" s="61"/>
      <c r="O3661" s="51"/>
    </row>
    <row r="3662">
      <c r="A3662" s="56">
        <v>3659.0</v>
      </c>
      <c r="B3662" s="66"/>
      <c r="C3662" s="64" t="s">
        <v>14985</v>
      </c>
      <c r="D3662" s="66"/>
      <c r="E3662" s="63" t="s">
        <v>14986</v>
      </c>
      <c r="F3662" s="70">
        <v>41487.0</v>
      </c>
      <c r="G3662" s="132" t="s">
        <v>14987</v>
      </c>
      <c r="H3662" s="228"/>
      <c r="I3662" s="63" t="s">
        <v>14988</v>
      </c>
      <c r="J3662" s="63" t="s">
        <v>6262</v>
      </c>
      <c r="K3662" s="65">
        <v>42702.0</v>
      </c>
      <c r="L3662" s="63" t="s">
        <v>2743</v>
      </c>
      <c r="M3662" s="63" t="s">
        <v>368</v>
      </c>
      <c r="N3662" s="61"/>
      <c r="O3662" s="51"/>
    </row>
    <row r="3663">
      <c r="A3663" s="56">
        <v>3660.0</v>
      </c>
      <c r="B3663" s="71"/>
      <c r="C3663" s="69" t="s">
        <v>14989</v>
      </c>
      <c r="D3663" s="71"/>
      <c r="E3663" s="68" t="s">
        <v>14990</v>
      </c>
      <c r="F3663" s="76">
        <v>42676.0</v>
      </c>
      <c r="G3663" s="114" t="s">
        <v>14991</v>
      </c>
      <c r="H3663" s="160"/>
      <c r="I3663" s="68" t="s">
        <v>14992</v>
      </c>
      <c r="J3663" s="68" t="s">
        <v>14993</v>
      </c>
      <c r="K3663" s="83">
        <v>42702.0</v>
      </c>
      <c r="L3663" s="68" t="s">
        <v>2743</v>
      </c>
      <c r="M3663" s="68" t="s">
        <v>2318</v>
      </c>
      <c r="N3663" s="77"/>
      <c r="O3663" s="51"/>
    </row>
    <row r="3664">
      <c r="A3664" s="56">
        <v>3661.0</v>
      </c>
      <c r="B3664" s="71"/>
      <c r="C3664" s="69" t="s">
        <v>14994</v>
      </c>
      <c r="D3664" s="71"/>
      <c r="E3664" s="68" t="s">
        <v>14995</v>
      </c>
      <c r="F3664" s="76">
        <v>42344.0</v>
      </c>
      <c r="G3664" s="114" t="s">
        <v>14996</v>
      </c>
      <c r="H3664" s="160"/>
      <c r="I3664" s="66"/>
      <c r="J3664" s="68" t="s">
        <v>14997</v>
      </c>
      <c r="K3664" s="83">
        <v>42702.0</v>
      </c>
      <c r="L3664" s="68" t="s">
        <v>2743</v>
      </c>
      <c r="M3664" s="68" t="s">
        <v>143</v>
      </c>
      <c r="N3664" s="61"/>
      <c r="O3664" s="51"/>
    </row>
    <row r="3665">
      <c r="A3665" s="56">
        <v>3662.0</v>
      </c>
      <c r="B3665" s="71"/>
      <c r="C3665" s="69" t="s">
        <v>14998</v>
      </c>
      <c r="D3665" s="71"/>
      <c r="E3665" s="68" t="s">
        <v>14999</v>
      </c>
      <c r="F3665" s="76">
        <v>42344.0</v>
      </c>
      <c r="G3665" s="114" t="s">
        <v>14996</v>
      </c>
      <c r="H3665" s="160"/>
      <c r="I3665" s="66"/>
      <c r="J3665" s="68" t="s">
        <v>14997</v>
      </c>
      <c r="K3665" s="83">
        <v>42702.0</v>
      </c>
      <c r="L3665" s="68" t="s">
        <v>2743</v>
      </c>
      <c r="M3665" s="68" t="s">
        <v>143</v>
      </c>
      <c r="N3665" s="61"/>
      <c r="O3665" s="51"/>
    </row>
    <row r="3666">
      <c r="A3666" s="56">
        <v>3663.0</v>
      </c>
      <c r="B3666" s="66"/>
      <c r="C3666" s="64" t="s">
        <v>15000</v>
      </c>
      <c r="D3666" s="66"/>
      <c r="E3666" s="63" t="s">
        <v>15001</v>
      </c>
      <c r="F3666" s="63">
        <v>2010.0</v>
      </c>
      <c r="G3666" s="132" t="s">
        <v>15002</v>
      </c>
      <c r="H3666" s="228"/>
      <c r="I3666" s="63" t="s">
        <v>15003</v>
      </c>
      <c r="J3666" s="63" t="s">
        <v>1872</v>
      </c>
      <c r="K3666" s="65">
        <v>42702.0</v>
      </c>
      <c r="L3666" s="63" t="s">
        <v>2743</v>
      </c>
      <c r="M3666" s="63" t="s">
        <v>530</v>
      </c>
      <c r="N3666" s="61"/>
      <c r="O3666" s="51"/>
    </row>
    <row r="3667">
      <c r="A3667" s="56">
        <v>3664.0</v>
      </c>
      <c r="B3667" s="71"/>
      <c r="C3667" s="68" t="s">
        <v>15004</v>
      </c>
      <c r="D3667" s="71"/>
      <c r="E3667" s="68" t="s">
        <v>15005</v>
      </c>
      <c r="F3667" s="76">
        <v>40391.0</v>
      </c>
      <c r="G3667" s="68" t="s">
        <v>15006</v>
      </c>
      <c r="H3667" s="71"/>
      <c r="I3667" s="66"/>
      <c r="J3667" s="68" t="s">
        <v>148</v>
      </c>
      <c r="K3667" s="83">
        <v>42702.0</v>
      </c>
      <c r="L3667" s="68" t="s">
        <v>15007</v>
      </c>
      <c r="M3667" s="68" t="s">
        <v>166</v>
      </c>
      <c r="N3667" s="61"/>
      <c r="O3667" s="51"/>
    </row>
    <row r="3668">
      <c r="A3668" s="56">
        <v>3665.0</v>
      </c>
      <c r="B3668" s="71"/>
      <c r="C3668" s="69" t="s">
        <v>15008</v>
      </c>
      <c r="D3668" s="71"/>
      <c r="E3668" s="68" t="s">
        <v>15009</v>
      </c>
      <c r="F3668" s="83">
        <v>42331.0</v>
      </c>
      <c r="G3668" s="114" t="s">
        <v>15010</v>
      </c>
      <c r="H3668" s="160"/>
      <c r="I3668" s="63" t="s">
        <v>15011</v>
      </c>
      <c r="J3668" s="68" t="s">
        <v>14302</v>
      </c>
      <c r="K3668" s="83">
        <v>42704.0</v>
      </c>
      <c r="L3668" s="68" t="s">
        <v>2743</v>
      </c>
      <c r="M3668" s="68" t="s">
        <v>4273</v>
      </c>
      <c r="N3668" s="61"/>
      <c r="O3668" s="51"/>
    </row>
    <row r="3669">
      <c r="A3669" s="56">
        <v>3666.0</v>
      </c>
      <c r="B3669" s="71"/>
      <c r="C3669" s="69" t="s">
        <v>15012</v>
      </c>
      <c r="D3669" s="71"/>
      <c r="E3669" s="68" t="s">
        <v>15013</v>
      </c>
      <c r="F3669" s="76">
        <v>42681.0</v>
      </c>
      <c r="G3669" s="114" t="s">
        <v>15014</v>
      </c>
      <c r="H3669" s="160"/>
      <c r="I3669" s="63" t="s">
        <v>14852</v>
      </c>
      <c r="J3669" s="68" t="s">
        <v>15015</v>
      </c>
      <c r="K3669" s="83">
        <v>42704.0</v>
      </c>
      <c r="L3669" s="68" t="s">
        <v>2743</v>
      </c>
      <c r="M3669" s="71"/>
      <c r="N3669" s="61"/>
      <c r="O3669" s="51"/>
    </row>
    <row r="3670">
      <c r="A3670" s="56">
        <v>3667.0</v>
      </c>
      <c r="B3670" s="71"/>
      <c r="C3670" s="69" t="s">
        <v>15016</v>
      </c>
      <c r="D3670" s="71"/>
      <c r="E3670" s="68" t="s">
        <v>15017</v>
      </c>
      <c r="F3670" s="83">
        <v>42688.0</v>
      </c>
      <c r="G3670" s="114" t="s">
        <v>15018</v>
      </c>
      <c r="H3670" s="160"/>
      <c r="I3670" s="66"/>
      <c r="J3670" s="68" t="s">
        <v>15019</v>
      </c>
      <c r="K3670" s="83">
        <v>42704.0</v>
      </c>
      <c r="L3670" s="71"/>
      <c r="M3670" s="71"/>
      <c r="N3670" s="61"/>
      <c r="O3670" s="51"/>
    </row>
    <row r="3671">
      <c r="A3671" s="56">
        <v>3668.0</v>
      </c>
      <c r="B3671" s="71"/>
      <c r="C3671" s="69" t="s">
        <v>15020</v>
      </c>
      <c r="D3671" s="71"/>
      <c r="E3671" s="68" t="s">
        <v>15021</v>
      </c>
      <c r="F3671" s="68">
        <v>2015.0</v>
      </c>
      <c r="G3671" s="114" t="s">
        <v>15022</v>
      </c>
      <c r="H3671" s="160"/>
      <c r="I3671" s="71"/>
      <c r="J3671" s="68" t="s">
        <v>15023</v>
      </c>
      <c r="K3671" s="83">
        <v>42704.0</v>
      </c>
      <c r="L3671" s="68" t="s">
        <v>14911</v>
      </c>
      <c r="M3671" s="68" t="s">
        <v>27</v>
      </c>
      <c r="N3671" s="61"/>
      <c r="O3671" s="51"/>
    </row>
    <row r="3672">
      <c r="A3672" s="56">
        <v>3669.0</v>
      </c>
      <c r="B3672" s="66"/>
      <c r="C3672" s="64" t="s">
        <v>15024</v>
      </c>
      <c r="D3672" s="66"/>
      <c r="E3672" s="63" t="s">
        <v>15025</v>
      </c>
      <c r="F3672" s="65">
        <v>42356.0</v>
      </c>
      <c r="G3672" s="132" t="s">
        <v>15026</v>
      </c>
      <c r="H3672" s="228"/>
      <c r="I3672" s="66"/>
      <c r="J3672" s="63" t="s">
        <v>11049</v>
      </c>
      <c r="K3672" s="65">
        <v>42704.0</v>
      </c>
      <c r="L3672" s="63" t="s">
        <v>14911</v>
      </c>
      <c r="M3672" s="63" t="s">
        <v>27</v>
      </c>
      <c r="N3672" s="61"/>
      <c r="O3672" s="51"/>
    </row>
    <row r="3673">
      <c r="A3673" s="56">
        <v>3670.0</v>
      </c>
      <c r="B3673" s="71"/>
      <c r="C3673" s="69" t="s">
        <v>15027</v>
      </c>
      <c r="D3673" s="71"/>
      <c r="E3673" s="68" t="s">
        <v>15028</v>
      </c>
      <c r="F3673" s="83">
        <v>42654.0</v>
      </c>
      <c r="G3673" s="114" t="s">
        <v>15029</v>
      </c>
      <c r="H3673" s="160"/>
      <c r="I3673" s="68" t="s">
        <v>15030</v>
      </c>
      <c r="J3673" s="68" t="s">
        <v>15031</v>
      </c>
      <c r="K3673" s="83">
        <v>42704.0</v>
      </c>
      <c r="L3673" s="68" t="s">
        <v>14911</v>
      </c>
      <c r="M3673" s="68" t="s">
        <v>2263</v>
      </c>
      <c r="N3673" s="77"/>
      <c r="O3673" s="51"/>
    </row>
    <row r="3674">
      <c r="A3674" s="56">
        <v>3671.0</v>
      </c>
      <c r="B3674" s="66"/>
      <c r="C3674" s="64" t="s">
        <v>15032</v>
      </c>
      <c r="D3674" s="66"/>
      <c r="E3674" s="63" t="s">
        <v>15033</v>
      </c>
      <c r="F3674" s="70">
        <v>42058.0</v>
      </c>
      <c r="G3674" s="132" t="s">
        <v>15034</v>
      </c>
      <c r="H3674" s="228"/>
      <c r="I3674" s="63" t="s">
        <v>15035</v>
      </c>
      <c r="J3674" s="63" t="s">
        <v>9979</v>
      </c>
      <c r="K3674" s="65">
        <v>42704.0</v>
      </c>
      <c r="L3674" s="63" t="s">
        <v>14911</v>
      </c>
      <c r="M3674" s="63" t="s">
        <v>166</v>
      </c>
      <c r="N3674" s="61"/>
      <c r="O3674" s="51"/>
    </row>
    <row r="3675">
      <c r="A3675" s="56">
        <v>3672.0</v>
      </c>
      <c r="B3675" s="66"/>
      <c r="C3675" s="64" t="s">
        <v>15036</v>
      </c>
      <c r="D3675" s="66"/>
      <c r="E3675" s="63" t="s">
        <v>15037</v>
      </c>
      <c r="F3675" s="182">
        <v>39508.0</v>
      </c>
      <c r="G3675" s="63" t="s">
        <v>6196</v>
      </c>
      <c r="H3675" s="63" t="s">
        <v>439</v>
      </c>
      <c r="I3675" s="63" t="s">
        <v>15038</v>
      </c>
      <c r="J3675" s="63" t="s">
        <v>1872</v>
      </c>
      <c r="K3675" s="70">
        <v>42706.0</v>
      </c>
      <c r="L3675" s="63" t="s">
        <v>1496</v>
      </c>
      <c r="M3675" s="63" t="s">
        <v>530</v>
      </c>
      <c r="N3675" s="61"/>
      <c r="O3675" s="51"/>
    </row>
    <row r="3676">
      <c r="A3676" s="56">
        <v>3673.0</v>
      </c>
      <c r="B3676" s="66"/>
      <c r="C3676" s="64" t="s">
        <v>15039</v>
      </c>
      <c r="D3676" s="66"/>
      <c r="E3676" s="63" t="s">
        <v>15040</v>
      </c>
      <c r="F3676" s="65">
        <v>40172.0</v>
      </c>
      <c r="G3676" s="63" t="s">
        <v>15041</v>
      </c>
      <c r="H3676" s="66"/>
      <c r="I3676" s="63" t="s">
        <v>15042</v>
      </c>
      <c r="J3676" s="63" t="s">
        <v>2872</v>
      </c>
      <c r="K3676" s="70">
        <v>42709.0</v>
      </c>
      <c r="L3676" s="63" t="s">
        <v>2743</v>
      </c>
      <c r="M3676" s="63" t="s">
        <v>125</v>
      </c>
      <c r="N3676" s="61"/>
      <c r="O3676" s="51"/>
    </row>
    <row r="3677">
      <c r="A3677" s="56">
        <v>3674.0</v>
      </c>
      <c r="B3677" s="71"/>
      <c r="C3677" s="69" t="s">
        <v>15043</v>
      </c>
      <c r="D3677" s="71"/>
      <c r="E3677" s="68" t="s">
        <v>15044</v>
      </c>
      <c r="F3677" s="76">
        <v>42513.0</v>
      </c>
      <c r="G3677" s="68" t="s">
        <v>15045</v>
      </c>
      <c r="H3677" s="71"/>
      <c r="I3677" s="63" t="s">
        <v>635</v>
      </c>
      <c r="J3677" s="68" t="s">
        <v>15046</v>
      </c>
      <c r="K3677" s="76">
        <v>42711.0</v>
      </c>
      <c r="L3677" s="68" t="s">
        <v>14256</v>
      </c>
      <c r="M3677" s="66"/>
      <c r="N3677" s="61"/>
      <c r="O3677" s="51"/>
    </row>
    <row r="3678">
      <c r="A3678" s="56">
        <v>3675.0</v>
      </c>
      <c r="B3678" s="71"/>
      <c r="C3678" s="69" t="s">
        <v>15047</v>
      </c>
      <c r="D3678" s="71"/>
      <c r="E3678" s="68" t="s">
        <v>15048</v>
      </c>
      <c r="F3678" s="76">
        <v>42494.0</v>
      </c>
      <c r="G3678" s="68" t="s">
        <v>15049</v>
      </c>
      <c r="H3678" s="71"/>
      <c r="I3678" s="63" t="s">
        <v>15050</v>
      </c>
      <c r="J3678" s="68" t="s">
        <v>15051</v>
      </c>
      <c r="K3678" s="76">
        <v>42711.0</v>
      </c>
      <c r="L3678" s="68" t="s">
        <v>14256</v>
      </c>
      <c r="M3678" s="66"/>
      <c r="N3678" s="61"/>
      <c r="O3678" s="51"/>
    </row>
    <row r="3679">
      <c r="A3679" s="56">
        <v>3676.0</v>
      </c>
      <c r="B3679" s="71"/>
      <c r="C3679" s="69" t="s">
        <v>15052</v>
      </c>
      <c r="D3679" s="71"/>
      <c r="E3679" s="68" t="s">
        <v>15053</v>
      </c>
      <c r="F3679" s="76">
        <v>42583.0</v>
      </c>
      <c r="G3679" s="68" t="s">
        <v>15054</v>
      </c>
      <c r="H3679" s="71"/>
      <c r="I3679" s="66"/>
      <c r="J3679" s="68" t="s">
        <v>15055</v>
      </c>
      <c r="K3679" s="76">
        <v>42711.0</v>
      </c>
      <c r="L3679" s="68" t="s">
        <v>14256</v>
      </c>
      <c r="M3679" s="66"/>
      <c r="N3679" s="61"/>
      <c r="O3679" s="51"/>
    </row>
    <row r="3680">
      <c r="A3680" s="56">
        <v>3677.0</v>
      </c>
      <c r="B3680" s="71"/>
      <c r="C3680" s="69" t="s">
        <v>15056</v>
      </c>
      <c r="D3680" s="71"/>
      <c r="E3680" s="68" t="s">
        <v>15057</v>
      </c>
      <c r="F3680" s="76">
        <v>42583.0</v>
      </c>
      <c r="G3680" s="68" t="s">
        <v>15058</v>
      </c>
      <c r="H3680" s="71"/>
      <c r="I3680" s="63" t="s">
        <v>635</v>
      </c>
      <c r="J3680" s="68" t="s">
        <v>15059</v>
      </c>
      <c r="K3680" s="76">
        <v>42711.0</v>
      </c>
      <c r="L3680" s="68" t="s">
        <v>14256</v>
      </c>
      <c r="M3680" s="66"/>
      <c r="N3680" s="61"/>
      <c r="O3680" s="51"/>
    </row>
    <row r="3681">
      <c r="A3681" s="56">
        <v>3678.0</v>
      </c>
      <c r="B3681" s="71"/>
      <c r="C3681" s="69" t="s">
        <v>15060</v>
      </c>
      <c r="D3681" s="71"/>
      <c r="E3681" s="68" t="s">
        <v>15061</v>
      </c>
      <c r="F3681" s="76">
        <v>42584.0</v>
      </c>
      <c r="G3681" s="68" t="s">
        <v>15062</v>
      </c>
      <c r="H3681" s="71"/>
      <c r="I3681" s="63" t="s">
        <v>635</v>
      </c>
      <c r="J3681" s="68" t="s">
        <v>15063</v>
      </c>
      <c r="K3681" s="76">
        <v>42711.0</v>
      </c>
      <c r="L3681" s="68" t="s">
        <v>14256</v>
      </c>
      <c r="M3681" s="66"/>
      <c r="N3681" s="61"/>
      <c r="O3681" s="51"/>
    </row>
    <row r="3682">
      <c r="A3682" s="56">
        <v>3679.0</v>
      </c>
      <c r="B3682" s="71"/>
      <c r="C3682" s="69" t="s">
        <v>15064</v>
      </c>
      <c r="D3682" s="71"/>
      <c r="E3682" s="68" t="s">
        <v>15065</v>
      </c>
      <c r="F3682" s="76">
        <v>42584.0</v>
      </c>
      <c r="G3682" s="68" t="s">
        <v>15062</v>
      </c>
      <c r="H3682" s="71"/>
      <c r="I3682" s="63" t="s">
        <v>635</v>
      </c>
      <c r="J3682" s="68" t="s">
        <v>6558</v>
      </c>
      <c r="K3682" s="76">
        <v>42711.0</v>
      </c>
      <c r="L3682" s="68" t="s">
        <v>14256</v>
      </c>
      <c r="M3682" s="66"/>
      <c r="N3682" s="61"/>
      <c r="O3682" s="51"/>
    </row>
    <row r="3683">
      <c r="A3683" s="56">
        <v>3680.0</v>
      </c>
      <c r="B3683" s="71"/>
      <c r="C3683" s="69" t="s">
        <v>15066</v>
      </c>
      <c r="D3683" s="71"/>
      <c r="E3683" s="68" t="s">
        <v>15067</v>
      </c>
      <c r="F3683" s="76">
        <v>42584.0</v>
      </c>
      <c r="G3683" s="68" t="s">
        <v>15068</v>
      </c>
      <c r="H3683" s="71"/>
      <c r="I3683" s="63" t="s">
        <v>635</v>
      </c>
      <c r="J3683" s="68" t="s">
        <v>6778</v>
      </c>
      <c r="K3683" s="76">
        <v>42711.0</v>
      </c>
      <c r="L3683" s="68" t="s">
        <v>14256</v>
      </c>
      <c r="M3683" s="66"/>
      <c r="N3683" s="61"/>
      <c r="O3683" s="51"/>
    </row>
    <row r="3684">
      <c r="A3684" s="56">
        <v>3681.0</v>
      </c>
      <c r="B3684" s="71"/>
      <c r="C3684" s="69" t="s">
        <v>15069</v>
      </c>
      <c r="D3684" s="71"/>
      <c r="E3684" s="68" t="s">
        <v>15070</v>
      </c>
      <c r="F3684" s="76">
        <v>42584.0</v>
      </c>
      <c r="G3684" s="68" t="s">
        <v>15068</v>
      </c>
      <c r="H3684" s="71"/>
      <c r="I3684" s="63" t="s">
        <v>635</v>
      </c>
      <c r="J3684" s="68" t="s">
        <v>6778</v>
      </c>
      <c r="K3684" s="76">
        <v>42711.0</v>
      </c>
      <c r="L3684" s="68" t="s">
        <v>14256</v>
      </c>
      <c r="M3684" s="66"/>
      <c r="N3684" s="61"/>
      <c r="O3684" s="51"/>
    </row>
    <row r="3685">
      <c r="A3685" s="56">
        <v>3682.0</v>
      </c>
      <c r="B3685" s="71"/>
      <c r="C3685" s="69" t="s">
        <v>15071</v>
      </c>
      <c r="D3685" s="71"/>
      <c r="E3685" s="68" t="s">
        <v>15072</v>
      </c>
      <c r="F3685" s="76">
        <v>42586.0</v>
      </c>
      <c r="G3685" s="68" t="s">
        <v>15073</v>
      </c>
      <c r="H3685" s="71"/>
      <c r="I3685" s="63" t="s">
        <v>635</v>
      </c>
      <c r="J3685" s="68" t="s">
        <v>15074</v>
      </c>
      <c r="K3685" s="76">
        <v>42711.0</v>
      </c>
      <c r="L3685" s="104"/>
      <c r="M3685" s="135"/>
      <c r="N3685" s="61"/>
      <c r="O3685" s="51"/>
    </row>
    <row r="3686">
      <c r="A3686" s="56">
        <v>3683.0</v>
      </c>
      <c r="B3686" s="71"/>
      <c r="C3686" s="69" t="s">
        <v>15075</v>
      </c>
      <c r="D3686" s="71"/>
      <c r="E3686" s="68">
        <v>3549.0</v>
      </c>
      <c r="F3686" s="76">
        <v>42585.0</v>
      </c>
      <c r="G3686" s="68" t="s">
        <v>15076</v>
      </c>
      <c r="H3686" s="71"/>
      <c r="I3686" s="66"/>
      <c r="J3686" s="114" t="s">
        <v>6778</v>
      </c>
      <c r="K3686" s="76">
        <v>42711.0</v>
      </c>
      <c r="L3686" s="229"/>
      <c r="M3686" s="66"/>
      <c r="N3686" s="61"/>
      <c r="O3686" s="51"/>
    </row>
    <row r="3687">
      <c r="A3687" s="56">
        <v>3684.0</v>
      </c>
      <c r="B3687" s="71"/>
      <c r="C3687" s="69" t="s">
        <v>15077</v>
      </c>
      <c r="D3687" s="71"/>
      <c r="E3687" s="68" t="s">
        <v>15078</v>
      </c>
      <c r="F3687" s="76">
        <v>42586.0</v>
      </c>
      <c r="G3687" s="68" t="s">
        <v>15079</v>
      </c>
      <c r="H3687" s="71"/>
      <c r="I3687" s="63" t="s">
        <v>635</v>
      </c>
      <c r="J3687" s="230" t="s">
        <v>15059</v>
      </c>
      <c r="K3687" s="76">
        <v>42711.0</v>
      </c>
      <c r="L3687" s="198"/>
      <c r="M3687" s="66"/>
      <c r="N3687" s="61"/>
      <c r="O3687" s="51"/>
    </row>
    <row r="3688">
      <c r="A3688" s="56">
        <v>3685.0</v>
      </c>
      <c r="B3688" s="60"/>
      <c r="C3688" s="58" t="s">
        <v>15080</v>
      </c>
      <c r="D3688" s="60"/>
      <c r="E3688" s="57" t="s">
        <v>15081</v>
      </c>
      <c r="F3688" s="59">
        <v>42587.0</v>
      </c>
      <c r="G3688" s="57" t="s">
        <v>15082</v>
      </c>
      <c r="H3688" s="60"/>
      <c r="I3688" s="66"/>
      <c r="J3688" s="57" t="s">
        <v>148</v>
      </c>
      <c r="K3688" s="59">
        <v>42711.0</v>
      </c>
      <c r="L3688" s="231"/>
      <c r="M3688" s="63" t="s">
        <v>166</v>
      </c>
      <c r="N3688" s="61"/>
      <c r="O3688" s="51"/>
    </row>
    <row r="3689">
      <c r="A3689" s="56">
        <v>3686.0</v>
      </c>
      <c r="B3689" s="71"/>
      <c r="C3689" s="69" t="s">
        <v>15083</v>
      </c>
      <c r="D3689" s="71"/>
      <c r="E3689" s="68" t="s">
        <v>15084</v>
      </c>
      <c r="F3689" s="76">
        <v>42588.0</v>
      </c>
      <c r="G3689" s="68" t="s">
        <v>15085</v>
      </c>
      <c r="H3689" s="71"/>
      <c r="I3689" s="66"/>
      <c r="J3689" s="230" t="s">
        <v>6778</v>
      </c>
      <c r="K3689" s="76">
        <v>42711.0</v>
      </c>
      <c r="L3689" s="198"/>
      <c r="M3689" s="66"/>
      <c r="N3689" s="61"/>
      <c r="O3689" s="51"/>
    </row>
    <row r="3690">
      <c r="A3690" s="56">
        <v>3687.0</v>
      </c>
      <c r="B3690" s="71"/>
      <c r="C3690" s="69" t="s">
        <v>15086</v>
      </c>
      <c r="D3690" s="71"/>
      <c r="E3690" s="68" t="s">
        <v>15087</v>
      </c>
      <c r="F3690" s="76">
        <v>42588.0</v>
      </c>
      <c r="G3690" s="68" t="s">
        <v>15088</v>
      </c>
      <c r="H3690" s="71"/>
      <c r="I3690" s="63" t="s">
        <v>635</v>
      </c>
      <c r="J3690" s="68" t="s">
        <v>15089</v>
      </c>
      <c r="K3690" s="76">
        <v>42711.0</v>
      </c>
      <c r="L3690" s="198"/>
      <c r="M3690" s="63" t="s">
        <v>166</v>
      </c>
      <c r="N3690" s="61"/>
      <c r="O3690" s="51"/>
    </row>
    <row r="3691">
      <c r="A3691" s="56">
        <v>3688.0</v>
      </c>
      <c r="B3691" s="60"/>
      <c r="C3691" s="58" t="s">
        <v>15090</v>
      </c>
      <c r="D3691" s="60"/>
      <c r="E3691" s="57" t="s">
        <v>15005</v>
      </c>
      <c r="F3691" s="59">
        <v>40391.0</v>
      </c>
      <c r="G3691" s="57" t="s">
        <v>15091</v>
      </c>
      <c r="H3691" s="60"/>
      <c r="I3691" s="66"/>
      <c r="J3691" s="57" t="s">
        <v>148</v>
      </c>
      <c r="K3691" s="59">
        <v>42711.0</v>
      </c>
      <c r="L3691" s="231"/>
      <c r="M3691" s="63" t="s">
        <v>166</v>
      </c>
      <c r="N3691" s="61"/>
      <c r="O3691" s="51"/>
    </row>
    <row r="3692">
      <c r="A3692" s="56">
        <v>3689.0</v>
      </c>
      <c r="B3692" s="71"/>
      <c r="C3692" s="69" t="s">
        <v>15092</v>
      </c>
      <c r="D3692" s="71"/>
      <c r="E3692" s="68" t="s">
        <v>15093</v>
      </c>
      <c r="F3692" s="76">
        <v>42614.0</v>
      </c>
      <c r="G3692" s="68" t="s">
        <v>15094</v>
      </c>
      <c r="H3692" s="71"/>
      <c r="I3692" s="63" t="s">
        <v>635</v>
      </c>
      <c r="J3692" s="68" t="s">
        <v>15095</v>
      </c>
      <c r="K3692" s="76">
        <v>42711.0</v>
      </c>
      <c r="L3692" s="198"/>
      <c r="M3692" s="63" t="s">
        <v>166</v>
      </c>
      <c r="N3692" s="61"/>
      <c r="O3692" s="51"/>
    </row>
    <row r="3693">
      <c r="A3693" s="56">
        <v>3690.0</v>
      </c>
      <c r="B3693" s="71"/>
      <c r="C3693" s="69" t="s">
        <v>15096</v>
      </c>
      <c r="D3693" s="71"/>
      <c r="E3693" s="68" t="s">
        <v>15097</v>
      </c>
      <c r="F3693" s="76">
        <v>42563.0</v>
      </c>
      <c r="G3693" s="68" t="s">
        <v>15098</v>
      </c>
      <c r="H3693" s="71"/>
      <c r="I3693" s="68" t="s">
        <v>15099</v>
      </c>
      <c r="J3693" s="68" t="s">
        <v>15100</v>
      </c>
      <c r="K3693" s="76">
        <v>42711.0</v>
      </c>
      <c r="L3693" s="198"/>
      <c r="M3693" s="63" t="s">
        <v>125</v>
      </c>
      <c r="N3693" s="61"/>
      <c r="O3693" s="51"/>
    </row>
    <row r="3694">
      <c r="A3694" s="56">
        <v>3691.0</v>
      </c>
      <c r="B3694" s="66"/>
      <c r="C3694" s="64" t="s">
        <v>15101</v>
      </c>
      <c r="D3694" s="66"/>
      <c r="E3694" s="63" t="s">
        <v>15102</v>
      </c>
      <c r="F3694" s="70">
        <v>42435.0</v>
      </c>
      <c r="G3694" s="63" t="s">
        <v>15103</v>
      </c>
      <c r="H3694" s="66"/>
      <c r="I3694" s="66"/>
      <c r="J3694" s="63" t="s">
        <v>10807</v>
      </c>
      <c r="K3694" s="70">
        <v>42711.0</v>
      </c>
      <c r="L3694" s="103"/>
      <c r="M3694" s="63" t="s">
        <v>10808</v>
      </c>
      <c r="N3694" s="61"/>
      <c r="O3694" s="51"/>
    </row>
    <row r="3695">
      <c r="A3695" s="56">
        <v>3692.0</v>
      </c>
      <c r="B3695" s="66"/>
      <c r="C3695" s="64" t="s">
        <v>15104</v>
      </c>
      <c r="D3695" s="66"/>
      <c r="E3695" s="63" t="s">
        <v>15105</v>
      </c>
      <c r="F3695" s="70">
        <v>40592.0</v>
      </c>
      <c r="G3695" s="63" t="s">
        <v>15106</v>
      </c>
      <c r="H3695" s="66"/>
      <c r="I3695" s="63" t="s">
        <v>15107</v>
      </c>
      <c r="J3695" s="63" t="s">
        <v>11049</v>
      </c>
      <c r="K3695" s="70">
        <v>42711.0</v>
      </c>
      <c r="L3695" s="103"/>
      <c r="M3695" s="63" t="s">
        <v>27</v>
      </c>
      <c r="N3695" s="61"/>
      <c r="O3695" s="51"/>
    </row>
    <row r="3696">
      <c r="A3696" s="56">
        <v>3693.0</v>
      </c>
      <c r="B3696" s="66"/>
      <c r="C3696" s="64" t="s">
        <v>15108</v>
      </c>
      <c r="D3696" s="66"/>
      <c r="E3696" s="63" t="s">
        <v>15109</v>
      </c>
      <c r="F3696" s="70">
        <v>40434.0</v>
      </c>
      <c r="G3696" s="63" t="s">
        <v>15110</v>
      </c>
      <c r="H3696" s="66"/>
      <c r="I3696" s="63" t="s">
        <v>15107</v>
      </c>
      <c r="J3696" s="63" t="s">
        <v>11049</v>
      </c>
      <c r="K3696" s="70">
        <v>42711.0</v>
      </c>
      <c r="L3696" s="103"/>
      <c r="M3696" s="63" t="s">
        <v>27</v>
      </c>
      <c r="N3696" s="61"/>
      <c r="O3696" s="51"/>
    </row>
    <row r="3697">
      <c r="A3697" s="56">
        <v>3694.0</v>
      </c>
      <c r="B3697" s="66"/>
      <c r="C3697" s="64" t="s">
        <v>15111</v>
      </c>
      <c r="D3697" s="66"/>
      <c r="E3697" s="63" t="s">
        <v>15112</v>
      </c>
      <c r="F3697" s="70">
        <v>40434.0</v>
      </c>
      <c r="G3697" s="63" t="s">
        <v>15110</v>
      </c>
      <c r="H3697" s="66"/>
      <c r="I3697" s="63" t="s">
        <v>15107</v>
      </c>
      <c r="J3697" s="63" t="s">
        <v>11049</v>
      </c>
      <c r="K3697" s="70">
        <v>42711.0</v>
      </c>
      <c r="L3697" s="103"/>
      <c r="M3697" s="63" t="s">
        <v>27</v>
      </c>
      <c r="N3697" s="61"/>
      <c r="O3697" s="51"/>
    </row>
    <row r="3698">
      <c r="A3698" s="56">
        <v>3695.0</v>
      </c>
      <c r="B3698" s="71"/>
      <c r="C3698" s="69" t="s">
        <v>15113</v>
      </c>
      <c r="D3698" s="71"/>
      <c r="E3698" s="68" t="s">
        <v>15114</v>
      </c>
      <c r="F3698" s="76">
        <v>42403.0</v>
      </c>
      <c r="G3698" s="68" t="s">
        <v>15115</v>
      </c>
      <c r="H3698" s="71"/>
      <c r="I3698" s="68" t="s">
        <v>15116</v>
      </c>
      <c r="J3698" s="68" t="s">
        <v>15117</v>
      </c>
      <c r="K3698" s="76">
        <v>42712.0</v>
      </c>
      <c r="L3698" s="198"/>
      <c r="M3698" s="63" t="s">
        <v>125</v>
      </c>
      <c r="N3698" s="61"/>
      <c r="O3698" s="51"/>
    </row>
    <row r="3699">
      <c r="A3699" s="56">
        <v>3696.0</v>
      </c>
      <c r="B3699" s="71"/>
      <c r="C3699" s="69" t="s">
        <v>15118</v>
      </c>
      <c r="D3699" s="71"/>
      <c r="E3699" s="68" t="s">
        <v>15119</v>
      </c>
      <c r="F3699" s="76">
        <v>40965.0</v>
      </c>
      <c r="G3699" s="68" t="s">
        <v>15120</v>
      </c>
      <c r="H3699" s="71"/>
      <c r="I3699" s="68" t="s">
        <v>15121</v>
      </c>
      <c r="J3699" s="68" t="s">
        <v>15122</v>
      </c>
      <c r="K3699" s="83">
        <v>42718.0</v>
      </c>
      <c r="L3699" s="230" t="s">
        <v>2743</v>
      </c>
      <c r="M3699" s="63" t="s">
        <v>2152</v>
      </c>
      <c r="N3699" s="77"/>
      <c r="O3699" s="51"/>
    </row>
    <row r="3700">
      <c r="A3700" s="56">
        <v>3697.0</v>
      </c>
      <c r="B3700" s="71"/>
      <c r="C3700" s="69" t="s">
        <v>15123</v>
      </c>
      <c r="D3700" s="71"/>
      <c r="E3700" s="68" t="s">
        <v>15124</v>
      </c>
      <c r="F3700" s="76">
        <v>42609.0</v>
      </c>
      <c r="G3700" s="68" t="s">
        <v>15125</v>
      </c>
      <c r="H3700" s="71"/>
      <c r="I3700" s="68" t="s">
        <v>15126</v>
      </c>
      <c r="J3700" s="68" t="s">
        <v>15127</v>
      </c>
      <c r="K3700" s="83">
        <v>42718.0</v>
      </c>
      <c r="L3700" s="68" t="s">
        <v>2743</v>
      </c>
      <c r="M3700" s="63" t="s">
        <v>1435</v>
      </c>
      <c r="N3700" s="77"/>
      <c r="O3700" s="51"/>
    </row>
    <row r="3701">
      <c r="A3701" s="56">
        <v>3698.0</v>
      </c>
      <c r="B3701" s="71"/>
      <c r="C3701" s="69" t="s">
        <v>15128</v>
      </c>
      <c r="D3701" s="71"/>
      <c r="E3701" s="68" t="s">
        <v>15129</v>
      </c>
      <c r="F3701" s="68">
        <v>2012.0</v>
      </c>
      <c r="G3701" s="68" t="s">
        <v>15130</v>
      </c>
      <c r="H3701" s="71"/>
      <c r="I3701" s="63" t="s">
        <v>635</v>
      </c>
      <c r="J3701" s="68" t="s">
        <v>15131</v>
      </c>
      <c r="K3701" s="83">
        <v>42719.0</v>
      </c>
      <c r="L3701" s="68" t="s">
        <v>2743</v>
      </c>
      <c r="M3701" s="66"/>
      <c r="N3701" s="61"/>
      <c r="O3701" s="51"/>
    </row>
    <row r="3702">
      <c r="A3702" s="56">
        <v>3699.0</v>
      </c>
      <c r="B3702" s="71"/>
      <c r="C3702" s="69" t="s">
        <v>15132</v>
      </c>
      <c r="D3702" s="71"/>
      <c r="E3702" s="68" t="s">
        <v>15133</v>
      </c>
      <c r="F3702" s="183">
        <v>40544.0</v>
      </c>
      <c r="G3702" s="68" t="s">
        <v>15134</v>
      </c>
      <c r="H3702" s="71"/>
      <c r="I3702" s="68" t="s">
        <v>15135</v>
      </c>
      <c r="J3702" s="68" t="s">
        <v>15136</v>
      </c>
      <c r="K3702" s="83">
        <v>42719.0</v>
      </c>
      <c r="L3702" s="68" t="s">
        <v>2743</v>
      </c>
      <c r="M3702" s="63" t="s">
        <v>530</v>
      </c>
      <c r="N3702" s="77"/>
      <c r="O3702" s="51"/>
    </row>
    <row r="3703">
      <c r="A3703" s="56">
        <v>3700.0</v>
      </c>
      <c r="B3703" s="71"/>
      <c r="C3703" s="69" t="s">
        <v>15137</v>
      </c>
      <c r="D3703" s="71"/>
      <c r="E3703" s="68" t="s">
        <v>15138</v>
      </c>
      <c r="F3703" s="83">
        <v>42698.0</v>
      </c>
      <c r="G3703" s="68" t="s">
        <v>15139</v>
      </c>
      <c r="H3703" s="71"/>
      <c r="I3703" s="63" t="s">
        <v>15140</v>
      </c>
      <c r="J3703" s="68" t="s">
        <v>15141</v>
      </c>
      <c r="K3703" s="83">
        <v>42720.0</v>
      </c>
      <c r="L3703" s="68" t="s">
        <v>2743</v>
      </c>
      <c r="M3703" s="63" t="s">
        <v>3714</v>
      </c>
      <c r="N3703" s="61"/>
      <c r="O3703" s="51"/>
    </row>
    <row r="3704">
      <c r="A3704" s="56">
        <v>3701.0</v>
      </c>
      <c r="B3704" s="66"/>
      <c r="C3704" s="64" t="s">
        <v>15142</v>
      </c>
      <c r="D3704" s="66"/>
      <c r="E3704" s="63" t="s">
        <v>15143</v>
      </c>
      <c r="F3704" s="65">
        <v>42671.0</v>
      </c>
      <c r="G3704" s="63" t="s">
        <v>15144</v>
      </c>
      <c r="H3704" s="66"/>
      <c r="I3704" s="63" t="s">
        <v>15145</v>
      </c>
      <c r="J3704" s="63" t="s">
        <v>9175</v>
      </c>
      <c r="K3704" s="65">
        <v>42726.0</v>
      </c>
      <c r="L3704" s="63" t="s">
        <v>2743</v>
      </c>
      <c r="M3704" s="63" t="s">
        <v>143</v>
      </c>
      <c r="N3704" s="61"/>
      <c r="O3704" s="51"/>
    </row>
    <row r="3705">
      <c r="A3705" s="56">
        <v>3702.0</v>
      </c>
      <c r="B3705" s="71"/>
      <c r="C3705" s="69" t="s">
        <v>15146</v>
      </c>
      <c r="D3705" s="71"/>
      <c r="E3705" s="68" t="s">
        <v>15147</v>
      </c>
      <c r="F3705" s="76">
        <v>42624.0</v>
      </c>
      <c r="G3705" s="68" t="s">
        <v>15148</v>
      </c>
      <c r="H3705" s="71"/>
      <c r="I3705" s="63" t="s">
        <v>15149</v>
      </c>
      <c r="J3705" s="68" t="s">
        <v>15150</v>
      </c>
      <c r="K3705" s="83">
        <v>42726.0</v>
      </c>
      <c r="L3705" s="68" t="s">
        <v>2743</v>
      </c>
      <c r="M3705" s="66"/>
      <c r="N3705" s="61"/>
      <c r="O3705" s="51"/>
    </row>
    <row r="3706">
      <c r="A3706" s="56">
        <v>3703.0</v>
      </c>
      <c r="B3706" s="71"/>
      <c r="C3706" s="69" t="s">
        <v>15151</v>
      </c>
      <c r="D3706" s="71"/>
      <c r="E3706" s="68" t="s">
        <v>15152</v>
      </c>
      <c r="F3706" s="76">
        <v>42624.0</v>
      </c>
      <c r="G3706" s="68" t="s">
        <v>15153</v>
      </c>
      <c r="H3706" s="71"/>
      <c r="I3706" s="68" t="s">
        <v>15149</v>
      </c>
      <c r="J3706" s="68" t="s">
        <v>15154</v>
      </c>
      <c r="K3706" s="83">
        <v>42726.0</v>
      </c>
      <c r="L3706" s="68" t="s">
        <v>2743</v>
      </c>
      <c r="M3706" s="63" t="s">
        <v>125</v>
      </c>
      <c r="N3706" s="77"/>
      <c r="O3706" s="51"/>
    </row>
    <row r="3707">
      <c r="A3707" s="56">
        <v>3704.0</v>
      </c>
      <c r="B3707" s="82"/>
      <c r="C3707" s="79" t="s">
        <v>15155</v>
      </c>
      <c r="D3707" s="82"/>
      <c r="E3707" s="80" t="s">
        <v>15156</v>
      </c>
      <c r="F3707" s="81">
        <v>42058.0</v>
      </c>
      <c r="G3707" s="80" t="s">
        <v>15157</v>
      </c>
      <c r="H3707" s="80" t="s">
        <v>15158</v>
      </c>
      <c r="I3707" s="80" t="s">
        <v>15159</v>
      </c>
      <c r="J3707" s="80" t="s">
        <v>15160</v>
      </c>
      <c r="K3707" s="98">
        <v>42726.0</v>
      </c>
      <c r="L3707" s="80" t="s">
        <v>2743</v>
      </c>
      <c r="M3707" s="63" t="s">
        <v>125</v>
      </c>
      <c r="N3707" s="80" t="s">
        <v>4627</v>
      </c>
      <c r="O3707" s="51"/>
    </row>
    <row r="3708">
      <c r="A3708" s="56">
        <v>3705.0</v>
      </c>
      <c r="B3708" s="71"/>
      <c r="C3708" s="69" t="s">
        <v>15161</v>
      </c>
      <c r="D3708" s="71"/>
      <c r="E3708" s="68" t="s">
        <v>15162</v>
      </c>
      <c r="F3708" s="76">
        <v>42247.0</v>
      </c>
      <c r="G3708" s="68" t="s">
        <v>15163</v>
      </c>
      <c r="H3708" s="71"/>
      <c r="I3708" s="68" t="s">
        <v>15164</v>
      </c>
      <c r="J3708" s="68" t="s">
        <v>15165</v>
      </c>
      <c r="K3708" s="83">
        <v>42726.0</v>
      </c>
      <c r="L3708" s="68" t="s">
        <v>2743</v>
      </c>
      <c r="M3708" s="68" t="s">
        <v>403</v>
      </c>
      <c r="N3708" s="77"/>
      <c r="O3708" s="51"/>
    </row>
    <row r="3709">
      <c r="A3709" s="56">
        <v>3706.0</v>
      </c>
      <c r="B3709" s="71"/>
      <c r="C3709" s="69" t="s">
        <v>15166</v>
      </c>
      <c r="D3709" s="71"/>
      <c r="E3709" s="68" t="s">
        <v>15167</v>
      </c>
      <c r="F3709" s="76">
        <v>42247.0</v>
      </c>
      <c r="G3709" s="68" t="s">
        <v>15168</v>
      </c>
      <c r="H3709" s="71"/>
      <c r="I3709" s="68" t="s">
        <v>15164</v>
      </c>
      <c r="J3709" s="68" t="s">
        <v>15165</v>
      </c>
      <c r="K3709" s="83">
        <v>42726.0</v>
      </c>
      <c r="L3709" s="68" t="s">
        <v>2743</v>
      </c>
      <c r="M3709" s="68" t="s">
        <v>403</v>
      </c>
      <c r="N3709" s="61"/>
      <c r="O3709" s="51"/>
    </row>
    <row r="3710">
      <c r="A3710" s="56">
        <v>3707.0</v>
      </c>
      <c r="B3710" s="71"/>
      <c r="C3710" s="69" t="s">
        <v>15169</v>
      </c>
      <c r="D3710" s="71"/>
      <c r="E3710" s="68" t="s">
        <v>15170</v>
      </c>
      <c r="F3710" s="76">
        <v>42247.0</v>
      </c>
      <c r="G3710" s="68" t="s">
        <v>15171</v>
      </c>
      <c r="H3710" s="71"/>
      <c r="I3710" s="68" t="s">
        <v>15164</v>
      </c>
      <c r="J3710" s="68" t="s">
        <v>15165</v>
      </c>
      <c r="K3710" s="83">
        <v>42726.0</v>
      </c>
      <c r="L3710" s="68" t="s">
        <v>2743</v>
      </c>
      <c r="M3710" s="68" t="s">
        <v>403</v>
      </c>
      <c r="N3710" s="61"/>
      <c r="O3710" s="51"/>
    </row>
    <row r="3711">
      <c r="A3711" s="56">
        <v>3708.0</v>
      </c>
      <c r="B3711" s="71"/>
      <c r="C3711" s="69" t="s">
        <v>15172</v>
      </c>
      <c r="D3711" s="71"/>
      <c r="E3711" s="68" t="s">
        <v>15173</v>
      </c>
      <c r="F3711" s="83">
        <v>42685.0</v>
      </c>
      <c r="G3711" s="68" t="s">
        <v>15174</v>
      </c>
      <c r="H3711" s="71"/>
      <c r="I3711" s="63" t="s">
        <v>15175</v>
      </c>
      <c r="J3711" s="68" t="s">
        <v>15176</v>
      </c>
      <c r="K3711" s="83">
        <v>42726.0</v>
      </c>
      <c r="L3711" s="68" t="s">
        <v>2743</v>
      </c>
      <c r="M3711" s="68" t="s">
        <v>2263</v>
      </c>
      <c r="N3711" s="61"/>
      <c r="O3711" s="51"/>
    </row>
    <row r="3712">
      <c r="A3712" s="56">
        <v>3709.0</v>
      </c>
      <c r="B3712" s="71"/>
      <c r="C3712" s="69" t="s">
        <v>15177</v>
      </c>
      <c r="D3712" s="71"/>
      <c r="E3712" s="68" t="s">
        <v>15178</v>
      </c>
      <c r="F3712" s="83">
        <v>42659.0</v>
      </c>
      <c r="G3712" s="68" t="s">
        <v>15179</v>
      </c>
      <c r="H3712" s="71"/>
      <c r="I3712" s="63" t="s">
        <v>15180</v>
      </c>
      <c r="J3712" s="68" t="s">
        <v>15181</v>
      </c>
      <c r="K3712" s="83">
        <v>42726.0</v>
      </c>
      <c r="L3712" s="68" t="s">
        <v>2743</v>
      </c>
      <c r="M3712" s="68" t="s">
        <v>3714</v>
      </c>
      <c r="N3712" s="61"/>
      <c r="O3712" s="51"/>
    </row>
    <row r="3713">
      <c r="A3713" s="56">
        <v>3710.0</v>
      </c>
      <c r="B3713" s="71"/>
      <c r="C3713" s="69" t="s">
        <v>15182</v>
      </c>
      <c r="D3713" s="71"/>
      <c r="E3713" s="68" t="s">
        <v>15183</v>
      </c>
      <c r="F3713" s="76">
        <v>40915.0</v>
      </c>
      <c r="G3713" s="68" t="s">
        <v>15184</v>
      </c>
      <c r="H3713" s="71"/>
      <c r="I3713" s="71"/>
      <c r="J3713" s="68" t="s">
        <v>15185</v>
      </c>
      <c r="K3713" s="83">
        <v>42726.0</v>
      </c>
      <c r="L3713" s="68" t="s">
        <v>2743</v>
      </c>
      <c r="M3713" s="68" t="s">
        <v>15186</v>
      </c>
      <c r="N3713" s="61"/>
      <c r="O3713" s="51"/>
    </row>
    <row r="3714">
      <c r="A3714" s="56">
        <v>3711.0</v>
      </c>
      <c r="B3714" s="71"/>
      <c r="C3714" s="69" t="s">
        <v>15187</v>
      </c>
      <c r="D3714" s="71"/>
      <c r="E3714" s="68" t="s">
        <v>15188</v>
      </c>
      <c r="F3714" s="76">
        <v>42561.0</v>
      </c>
      <c r="G3714" s="68" t="s">
        <v>15189</v>
      </c>
      <c r="H3714" s="71"/>
      <c r="I3714" s="63" t="s">
        <v>15190</v>
      </c>
      <c r="J3714" s="68" t="s">
        <v>15191</v>
      </c>
      <c r="K3714" s="83">
        <v>42726.0</v>
      </c>
      <c r="L3714" s="68" t="s">
        <v>14911</v>
      </c>
      <c r="M3714" s="68" t="s">
        <v>872</v>
      </c>
      <c r="N3714" s="61"/>
      <c r="O3714" s="51"/>
    </row>
    <row r="3715">
      <c r="A3715" s="56">
        <v>3712.0</v>
      </c>
      <c r="B3715" s="66"/>
      <c r="C3715" s="64" t="s">
        <v>15192</v>
      </c>
      <c r="D3715" s="66"/>
      <c r="E3715" s="63" t="s">
        <v>15193</v>
      </c>
      <c r="F3715" s="70">
        <v>41656.0</v>
      </c>
      <c r="G3715" s="63" t="s">
        <v>15194</v>
      </c>
      <c r="H3715" s="66"/>
      <c r="I3715" s="63" t="s">
        <v>15195</v>
      </c>
      <c r="J3715" s="63" t="s">
        <v>2872</v>
      </c>
      <c r="K3715" s="65">
        <v>42726.0</v>
      </c>
      <c r="L3715" s="63" t="s">
        <v>14911</v>
      </c>
      <c r="M3715" s="63" t="s">
        <v>125</v>
      </c>
      <c r="N3715" s="61"/>
      <c r="O3715" s="51"/>
    </row>
    <row r="3716">
      <c r="A3716" s="56">
        <v>3713.0</v>
      </c>
      <c r="B3716" s="66"/>
      <c r="C3716" s="64" t="s">
        <v>15196</v>
      </c>
      <c r="D3716" s="66"/>
      <c r="E3716" s="63" t="s">
        <v>15197</v>
      </c>
      <c r="F3716" s="70">
        <v>42284.0</v>
      </c>
      <c r="G3716" s="63" t="s">
        <v>15198</v>
      </c>
      <c r="H3716" s="66"/>
      <c r="I3716" s="63" t="s">
        <v>15199</v>
      </c>
      <c r="J3716" s="63" t="s">
        <v>6262</v>
      </c>
      <c r="K3716" s="65">
        <v>42726.0</v>
      </c>
      <c r="L3716" s="63" t="s">
        <v>14911</v>
      </c>
      <c r="M3716" s="63" t="s">
        <v>368</v>
      </c>
      <c r="N3716" s="61"/>
      <c r="O3716" s="51"/>
    </row>
    <row r="3717">
      <c r="A3717" s="56">
        <v>3714.0</v>
      </c>
      <c r="B3717" s="71"/>
      <c r="C3717" s="69" t="s">
        <v>15200</v>
      </c>
      <c r="D3717" s="71"/>
      <c r="E3717" s="68" t="s">
        <v>15201</v>
      </c>
      <c r="F3717" s="76">
        <v>40330.0</v>
      </c>
      <c r="G3717" s="68" t="s">
        <v>15202</v>
      </c>
      <c r="H3717" s="71"/>
      <c r="I3717" s="71"/>
      <c r="J3717" s="68" t="s">
        <v>15203</v>
      </c>
      <c r="K3717" s="83">
        <v>42726.0</v>
      </c>
      <c r="L3717" s="68" t="s">
        <v>2743</v>
      </c>
      <c r="M3717" s="68" t="s">
        <v>9260</v>
      </c>
      <c r="N3717" s="61"/>
      <c r="O3717" s="51"/>
    </row>
    <row r="3718">
      <c r="A3718" s="56">
        <v>3715.0</v>
      </c>
      <c r="B3718" s="71"/>
      <c r="C3718" s="69" t="s">
        <v>15204</v>
      </c>
      <c r="D3718" s="71"/>
      <c r="E3718" s="68" t="s">
        <v>15205</v>
      </c>
      <c r="F3718" s="83">
        <v>42702.0</v>
      </c>
      <c r="G3718" s="68" t="s">
        <v>15206</v>
      </c>
      <c r="H3718" s="71"/>
      <c r="I3718" s="63" t="s">
        <v>15207</v>
      </c>
      <c r="J3718" s="68" t="s">
        <v>15208</v>
      </c>
      <c r="K3718" s="83">
        <v>42697.0</v>
      </c>
      <c r="L3718" s="68" t="s">
        <v>2743</v>
      </c>
      <c r="M3718" s="68" t="s">
        <v>14456</v>
      </c>
      <c r="N3718" s="61"/>
      <c r="O3718" s="51"/>
    </row>
    <row r="3719">
      <c r="A3719" s="56">
        <v>3716.0</v>
      </c>
      <c r="B3719" s="66"/>
      <c r="C3719" s="64" t="s">
        <v>15209</v>
      </c>
      <c r="D3719" s="66"/>
      <c r="E3719" s="63" t="s">
        <v>15210</v>
      </c>
      <c r="F3719" s="70">
        <v>41831.0</v>
      </c>
      <c r="G3719" s="63" t="s">
        <v>15211</v>
      </c>
      <c r="H3719" s="66"/>
      <c r="I3719" s="63" t="s">
        <v>15212</v>
      </c>
      <c r="J3719" s="63" t="s">
        <v>9175</v>
      </c>
      <c r="K3719" s="65">
        <v>42727.0</v>
      </c>
      <c r="L3719" s="63" t="s">
        <v>2743</v>
      </c>
      <c r="M3719" s="63" t="s">
        <v>143</v>
      </c>
      <c r="N3719" s="61"/>
      <c r="O3719" s="51"/>
    </row>
    <row r="3720">
      <c r="A3720" s="56">
        <v>3717.0</v>
      </c>
      <c r="B3720" s="71"/>
      <c r="C3720" s="69" t="s">
        <v>15213</v>
      </c>
      <c r="D3720" s="71"/>
      <c r="E3720" s="68" t="s">
        <v>15214</v>
      </c>
      <c r="F3720" s="76">
        <v>42559.0</v>
      </c>
      <c r="G3720" s="68" t="s">
        <v>15215</v>
      </c>
      <c r="H3720" s="71"/>
      <c r="I3720" s="68" t="s">
        <v>15216</v>
      </c>
      <c r="J3720" s="68" t="s">
        <v>15217</v>
      </c>
      <c r="K3720" s="83">
        <v>42727.0</v>
      </c>
      <c r="L3720" s="68" t="s">
        <v>2743</v>
      </c>
      <c r="M3720" s="68" t="s">
        <v>2291</v>
      </c>
      <c r="N3720" s="77"/>
      <c r="O3720" s="51"/>
    </row>
    <row r="3721">
      <c r="A3721" s="56">
        <v>3718.0</v>
      </c>
      <c r="B3721" s="71"/>
      <c r="C3721" s="69" t="s">
        <v>15218</v>
      </c>
      <c r="D3721" s="71"/>
      <c r="E3721" s="68" t="s">
        <v>15219</v>
      </c>
      <c r="F3721" s="76">
        <v>42649.0</v>
      </c>
      <c r="G3721" s="68" t="s">
        <v>15220</v>
      </c>
      <c r="H3721" s="71"/>
      <c r="I3721" s="66"/>
      <c r="J3721" s="68" t="s">
        <v>15221</v>
      </c>
      <c r="K3721" s="83">
        <v>42733.0</v>
      </c>
      <c r="L3721" s="68" t="s">
        <v>14256</v>
      </c>
      <c r="M3721" s="71"/>
      <c r="N3721" s="61"/>
      <c r="O3721" s="51"/>
    </row>
    <row r="3722">
      <c r="A3722" s="56">
        <v>3719.0</v>
      </c>
      <c r="B3722" s="71"/>
      <c r="C3722" s="69" t="s">
        <v>15222</v>
      </c>
      <c r="D3722" s="71"/>
      <c r="E3722" s="68" t="s">
        <v>15223</v>
      </c>
      <c r="F3722" s="76">
        <v>41373.0</v>
      </c>
      <c r="G3722" s="68" t="s">
        <v>15224</v>
      </c>
      <c r="H3722" s="71"/>
      <c r="I3722" s="68" t="s">
        <v>635</v>
      </c>
      <c r="J3722" s="68" t="s">
        <v>15225</v>
      </c>
      <c r="K3722" s="83">
        <v>42733.0</v>
      </c>
      <c r="L3722" s="68" t="s">
        <v>2743</v>
      </c>
      <c r="M3722" s="68" t="s">
        <v>166</v>
      </c>
      <c r="N3722" s="77"/>
      <c r="O3722" s="51"/>
    </row>
    <row r="3723">
      <c r="A3723" s="56">
        <v>3720.0</v>
      </c>
      <c r="B3723" s="71"/>
      <c r="C3723" s="69" t="s">
        <v>15226</v>
      </c>
      <c r="D3723" s="71"/>
      <c r="E3723" s="68" t="s">
        <v>15227</v>
      </c>
      <c r="F3723" s="76">
        <v>42611.0</v>
      </c>
      <c r="G3723" s="68" t="s">
        <v>15228</v>
      </c>
      <c r="H3723" s="71"/>
      <c r="I3723" s="68" t="s">
        <v>15229</v>
      </c>
      <c r="J3723" s="68" t="s">
        <v>15230</v>
      </c>
      <c r="K3723" s="83">
        <v>42734.0</v>
      </c>
      <c r="L3723" s="68" t="s">
        <v>2743</v>
      </c>
      <c r="M3723" s="68" t="s">
        <v>125</v>
      </c>
      <c r="N3723" s="61"/>
      <c r="O3723" s="51"/>
    </row>
    <row r="3724">
      <c r="A3724" s="56">
        <v>3721.0</v>
      </c>
      <c r="B3724" s="71"/>
      <c r="C3724" s="69" t="s">
        <v>15231</v>
      </c>
      <c r="D3724" s="71"/>
      <c r="E3724" s="68" t="s">
        <v>15232</v>
      </c>
      <c r="F3724" s="76">
        <v>42611.0</v>
      </c>
      <c r="G3724" s="68" t="s">
        <v>15228</v>
      </c>
      <c r="H3724" s="71"/>
      <c r="I3724" s="63" t="s">
        <v>15229</v>
      </c>
      <c r="J3724" s="68" t="s">
        <v>15233</v>
      </c>
      <c r="K3724" s="83">
        <v>42734.0</v>
      </c>
      <c r="L3724" s="68" t="s">
        <v>2743</v>
      </c>
      <c r="M3724" s="68" t="s">
        <v>125</v>
      </c>
      <c r="N3724" s="61"/>
      <c r="O3724" s="51"/>
    </row>
    <row r="3725">
      <c r="A3725" s="56">
        <v>3722.0</v>
      </c>
      <c r="B3725" s="71"/>
      <c r="C3725" s="69" t="s">
        <v>15234</v>
      </c>
      <c r="D3725" s="71"/>
      <c r="E3725" s="68" t="s">
        <v>15235</v>
      </c>
      <c r="F3725" s="76">
        <v>41430.0</v>
      </c>
      <c r="G3725" s="68" t="s">
        <v>15236</v>
      </c>
      <c r="H3725" s="71"/>
      <c r="I3725" s="63" t="s">
        <v>635</v>
      </c>
      <c r="J3725" s="68" t="s">
        <v>15237</v>
      </c>
      <c r="K3725" s="83">
        <v>42734.0</v>
      </c>
      <c r="L3725" s="68" t="s">
        <v>2743</v>
      </c>
      <c r="M3725" s="68" t="s">
        <v>166</v>
      </c>
      <c r="N3725" s="61"/>
      <c r="O3725" s="51"/>
    </row>
    <row r="3726">
      <c r="A3726" s="56">
        <v>3723.0</v>
      </c>
      <c r="B3726" s="71"/>
      <c r="C3726" s="69" t="s">
        <v>15238</v>
      </c>
      <c r="D3726" s="71"/>
      <c r="E3726" s="68" t="s">
        <v>15239</v>
      </c>
      <c r="F3726" s="76">
        <v>42539.0</v>
      </c>
      <c r="G3726" s="68" t="s">
        <v>15240</v>
      </c>
      <c r="H3726" s="71"/>
      <c r="I3726" s="63" t="s">
        <v>15241</v>
      </c>
      <c r="J3726" s="68" t="s">
        <v>15242</v>
      </c>
      <c r="K3726" s="76">
        <v>42739.0</v>
      </c>
      <c r="L3726" s="68" t="s">
        <v>2743</v>
      </c>
      <c r="M3726" s="71"/>
      <c r="N3726" s="61"/>
      <c r="O3726" s="51"/>
    </row>
    <row r="3727">
      <c r="A3727" s="56">
        <v>3724.0</v>
      </c>
      <c r="B3727" s="71"/>
      <c r="C3727" s="69" t="s">
        <v>15243</v>
      </c>
      <c r="D3727" s="71"/>
      <c r="E3727" s="68" t="s">
        <v>15244</v>
      </c>
      <c r="F3727" s="76">
        <v>42711.0</v>
      </c>
      <c r="G3727" s="68" t="s">
        <v>15245</v>
      </c>
      <c r="H3727" s="71"/>
      <c r="I3727" s="66"/>
      <c r="J3727" s="68" t="s">
        <v>15246</v>
      </c>
      <c r="K3727" s="76">
        <v>42739.0</v>
      </c>
      <c r="L3727" s="68" t="s">
        <v>14911</v>
      </c>
      <c r="M3727" s="71"/>
      <c r="N3727" s="61"/>
      <c r="O3727" s="51"/>
    </row>
    <row r="3728">
      <c r="A3728" s="62">
        <v>3725.0</v>
      </c>
      <c r="B3728" s="66"/>
      <c r="C3728" s="64" t="s">
        <v>15247</v>
      </c>
      <c r="D3728" s="66"/>
      <c r="E3728" s="63" t="s">
        <v>15248</v>
      </c>
      <c r="F3728" s="70">
        <v>41685.0</v>
      </c>
      <c r="G3728" s="63" t="s">
        <v>15249</v>
      </c>
      <c r="H3728" s="66"/>
      <c r="I3728" s="63" t="s">
        <v>15250</v>
      </c>
      <c r="J3728" s="66"/>
      <c r="K3728" s="70">
        <v>42740.0</v>
      </c>
      <c r="L3728" s="63" t="s">
        <v>14911</v>
      </c>
      <c r="M3728" s="63" t="s">
        <v>40</v>
      </c>
      <c r="N3728" s="67"/>
      <c r="O3728" s="51"/>
    </row>
    <row r="3729">
      <c r="A3729" s="56">
        <v>3726.0</v>
      </c>
      <c r="B3729" s="71"/>
      <c r="C3729" s="69" t="s">
        <v>15251</v>
      </c>
      <c r="D3729" s="71"/>
      <c r="E3729" s="68" t="s">
        <v>15252</v>
      </c>
      <c r="F3729" s="76">
        <v>42683.0</v>
      </c>
      <c r="G3729" s="68" t="s">
        <v>15253</v>
      </c>
      <c r="H3729" s="71"/>
      <c r="I3729" s="63" t="s">
        <v>635</v>
      </c>
      <c r="J3729" s="68" t="s">
        <v>15254</v>
      </c>
      <c r="K3729" s="76">
        <v>42740.0</v>
      </c>
      <c r="L3729" s="68" t="s">
        <v>14911</v>
      </c>
      <c r="M3729" s="71"/>
      <c r="N3729" s="61"/>
      <c r="O3729" s="51"/>
    </row>
    <row r="3730">
      <c r="A3730" s="56">
        <v>3727.0</v>
      </c>
      <c r="B3730" s="71"/>
      <c r="C3730" s="69" t="s">
        <v>15255</v>
      </c>
      <c r="D3730" s="71"/>
      <c r="E3730" s="68" t="s">
        <v>15256</v>
      </c>
      <c r="F3730" s="76">
        <v>42593.0</v>
      </c>
      <c r="G3730" s="68" t="s">
        <v>15257</v>
      </c>
      <c r="H3730" s="71"/>
      <c r="I3730" s="63" t="s">
        <v>635</v>
      </c>
      <c r="J3730" s="68" t="s">
        <v>15254</v>
      </c>
      <c r="K3730" s="76">
        <v>42740.0</v>
      </c>
      <c r="L3730" s="68" t="s">
        <v>14911</v>
      </c>
      <c r="M3730" s="71"/>
      <c r="N3730" s="61"/>
      <c r="O3730" s="51"/>
    </row>
    <row r="3731">
      <c r="A3731" s="56">
        <v>3728.0</v>
      </c>
      <c r="B3731" s="71"/>
      <c r="C3731" s="69" t="s">
        <v>15258</v>
      </c>
      <c r="D3731" s="71"/>
      <c r="E3731" s="68" t="s">
        <v>15259</v>
      </c>
      <c r="F3731" s="76">
        <v>42712.0</v>
      </c>
      <c r="G3731" s="68" t="s">
        <v>15260</v>
      </c>
      <c r="H3731" s="71"/>
      <c r="I3731" s="66"/>
      <c r="J3731" s="68" t="s">
        <v>15261</v>
      </c>
      <c r="K3731" s="76">
        <v>42740.0</v>
      </c>
      <c r="L3731" s="68" t="s">
        <v>2743</v>
      </c>
      <c r="M3731" s="68" t="s">
        <v>4001</v>
      </c>
      <c r="N3731" s="61"/>
      <c r="O3731" s="51"/>
    </row>
    <row r="3732">
      <c r="A3732" s="56">
        <v>3729.0</v>
      </c>
      <c r="B3732" s="71"/>
      <c r="C3732" s="69" t="s">
        <v>15262</v>
      </c>
      <c r="D3732" s="71"/>
      <c r="E3732" s="68" t="s">
        <v>15263</v>
      </c>
      <c r="F3732" s="76">
        <v>42540.0</v>
      </c>
      <c r="G3732" s="68" t="s">
        <v>15264</v>
      </c>
      <c r="H3732" s="71"/>
      <c r="I3732" s="63" t="s">
        <v>15265</v>
      </c>
      <c r="J3732" s="68" t="s">
        <v>15266</v>
      </c>
      <c r="K3732" s="76">
        <v>42740.0</v>
      </c>
      <c r="L3732" s="68" t="s">
        <v>2743</v>
      </c>
      <c r="M3732" s="71"/>
      <c r="N3732" s="61"/>
      <c r="O3732" s="51"/>
    </row>
    <row r="3733">
      <c r="A3733" s="56">
        <v>3730.0</v>
      </c>
      <c r="B3733" s="71"/>
      <c r="C3733" s="69" t="s">
        <v>15267</v>
      </c>
      <c r="D3733" s="71"/>
      <c r="E3733" s="68" t="s">
        <v>15268</v>
      </c>
      <c r="F3733" s="76">
        <v>41287.0</v>
      </c>
      <c r="G3733" s="68" t="s">
        <v>15269</v>
      </c>
      <c r="H3733" s="71"/>
      <c r="I3733" s="63" t="s">
        <v>15270</v>
      </c>
      <c r="J3733" s="68" t="s">
        <v>15271</v>
      </c>
      <c r="K3733" s="76">
        <v>42740.0</v>
      </c>
      <c r="L3733" s="68" t="s">
        <v>2743</v>
      </c>
      <c r="M3733" s="68" t="s">
        <v>15272</v>
      </c>
      <c r="N3733" s="61"/>
      <c r="O3733" s="51"/>
    </row>
    <row r="3734">
      <c r="A3734" s="56">
        <v>3731.0</v>
      </c>
      <c r="B3734" s="66"/>
      <c r="C3734" s="64" t="s">
        <v>15273</v>
      </c>
      <c r="D3734" s="66"/>
      <c r="E3734" s="63" t="s">
        <v>15274</v>
      </c>
      <c r="F3734" s="182">
        <v>39965.0</v>
      </c>
      <c r="G3734" s="63" t="s">
        <v>15275</v>
      </c>
      <c r="H3734" s="66"/>
      <c r="I3734" s="63" t="s">
        <v>15276</v>
      </c>
      <c r="J3734" s="63" t="s">
        <v>6381</v>
      </c>
      <c r="K3734" s="70">
        <v>42740.0</v>
      </c>
      <c r="L3734" s="63" t="s">
        <v>2743</v>
      </c>
      <c r="M3734" s="63" t="s">
        <v>201</v>
      </c>
      <c r="N3734" s="61"/>
      <c r="O3734" s="51"/>
    </row>
    <row r="3735">
      <c r="A3735" s="56">
        <v>3732.0</v>
      </c>
      <c r="B3735" s="71"/>
      <c r="C3735" s="69" t="s">
        <v>15277</v>
      </c>
      <c r="D3735" s="71"/>
      <c r="E3735" s="68" t="s">
        <v>15278</v>
      </c>
      <c r="F3735" s="83">
        <v>42691.0</v>
      </c>
      <c r="G3735" s="68" t="s">
        <v>15279</v>
      </c>
      <c r="H3735" s="71"/>
      <c r="I3735" s="68" t="s">
        <v>15280</v>
      </c>
      <c r="J3735" s="68" t="s">
        <v>15281</v>
      </c>
      <c r="K3735" s="76">
        <v>42744.0</v>
      </c>
      <c r="L3735" s="68" t="s">
        <v>2743</v>
      </c>
      <c r="M3735" s="68" t="s">
        <v>872</v>
      </c>
      <c r="N3735" s="61"/>
      <c r="O3735" s="51"/>
    </row>
    <row r="3736">
      <c r="A3736" s="56">
        <v>3733.0</v>
      </c>
      <c r="B3736" s="71"/>
      <c r="C3736" s="69" t="s">
        <v>15282</v>
      </c>
      <c r="D3736" s="71"/>
      <c r="E3736" s="68" t="s">
        <v>15283</v>
      </c>
      <c r="F3736" s="76">
        <v>42499.0</v>
      </c>
      <c r="G3736" s="68" t="s">
        <v>15284</v>
      </c>
      <c r="H3736" s="71"/>
      <c r="I3736" s="68" t="s">
        <v>15285</v>
      </c>
      <c r="J3736" s="68" t="s">
        <v>15286</v>
      </c>
      <c r="K3736" s="76">
        <v>42744.0</v>
      </c>
      <c r="L3736" s="68" t="s">
        <v>14911</v>
      </c>
      <c r="M3736" s="68" t="s">
        <v>31</v>
      </c>
      <c r="N3736" s="77"/>
      <c r="O3736" s="51"/>
    </row>
    <row r="3737">
      <c r="A3737" s="56">
        <v>3734.0</v>
      </c>
      <c r="B3737" s="71"/>
      <c r="C3737" s="69" t="s">
        <v>15287</v>
      </c>
      <c r="D3737" s="71"/>
      <c r="E3737" s="68" t="s">
        <v>15288</v>
      </c>
      <c r="F3737" s="76">
        <v>42499.0</v>
      </c>
      <c r="G3737" s="68" t="s">
        <v>14947</v>
      </c>
      <c r="H3737" s="71"/>
      <c r="I3737" s="63" t="s">
        <v>15289</v>
      </c>
      <c r="J3737" s="68" t="s">
        <v>15290</v>
      </c>
      <c r="K3737" s="76">
        <v>42744.0</v>
      </c>
      <c r="L3737" s="68" t="s">
        <v>14911</v>
      </c>
      <c r="M3737" s="68" t="s">
        <v>31</v>
      </c>
      <c r="N3737" s="61"/>
      <c r="O3737" s="51"/>
    </row>
    <row r="3738">
      <c r="A3738" s="56">
        <v>3735.0</v>
      </c>
      <c r="B3738" s="66"/>
      <c r="C3738" s="64" t="s">
        <v>15291</v>
      </c>
      <c r="D3738" s="66"/>
      <c r="E3738" s="63" t="s">
        <v>15292</v>
      </c>
      <c r="F3738" s="70">
        <v>41299.0</v>
      </c>
      <c r="G3738" s="63" t="s">
        <v>15293</v>
      </c>
      <c r="H3738" s="66"/>
      <c r="I3738" s="63" t="s">
        <v>15294</v>
      </c>
      <c r="J3738" s="63" t="s">
        <v>2872</v>
      </c>
      <c r="K3738" s="70">
        <v>42744.0</v>
      </c>
      <c r="L3738" s="63" t="s">
        <v>14911</v>
      </c>
      <c r="M3738" s="63" t="s">
        <v>125</v>
      </c>
      <c r="N3738" s="61"/>
      <c r="O3738" s="51"/>
    </row>
    <row r="3739">
      <c r="A3739" s="56">
        <v>3736.0</v>
      </c>
      <c r="B3739" s="66"/>
      <c r="C3739" s="64" t="s">
        <v>15295</v>
      </c>
      <c r="D3739" s="66"/>
      <c r="E3739" s="63" t="s">
        <v>15296</v>
      </c>
      <c r="F3739" s="70">
        <v>41299.0</v>
      </c>
      <c r="G3739" s="63" t="s">
        <v>15293</v>
      </c>
      <c r="H3739" s="66"/>
      <c r="I3739" s="63" t="s">
        <v>15294</v>
      </c>
      <c r="J3739" s="63" t="s">
        <v>2872</v>
      </c>
      <c r="K3739" s="70">
        <v>42744.0</v>
      </c>
      <c r="L3739" s="63" t="s">
        <v>14911</v>
      </c>
      <c r="M3739" s="63" t="s">
        <v>125</v>
      </c>
      <c r="N3739" s="61"/>
      <c r="O3739" s="51"/>
    </row>
    <row r="3740">
      <c r="A3740" s="75">
        <v>3737.0</v>
      </c>
      <c r="B3740" s="71"/>
      <c r="C3740" s="69" t="s">
        <v>15297</v>
      </c>
      <c r="D3740" s="71"/>
      <c r="E3740" s="68" t="s">
        <v>15298</v>
      </c>
      <c r="F3740" s="83">
        <v>38272.0</v>
      </c>
      <c r="G3740" s="68" t="s">
        <v>15299</v>
      </c>
      <c r="H3740" s="71"/>
      <c r="I3740" s="68" t="s">
        <v>15300</v>
      </c>
      <c r="J3740" s="68" t="s">
        <v>15301</v>
      </c>
      <c r="K3740" s="76">
        <v>42745.0</v>
      </c>
      <c r="L3740" s="68" t="s">
        <v>2743</v>
      </c>
      <c r="M3740" s="68" t="s">
        <v>2748</v>
      </c>
      <c r="N3740" s="77"/>
      <c r="O3740" s="51"/>
    </row>
    <row r="3741">
      <c r="A3741" s="56">
        <v>3738.0</v>
      </c>
      <c r="B3741" s="66"/>
      <c r="C3741" s="64" t="s">
        <v>15302</v>
      </c>
      <c r="D3741" s="66"/>
      <c r="E3741" s="63" t="s">
        <v>15303</v>
      </c>
      <c r="F3741" s="70">
        <v>42647.0</v>
      </c>
      <c r="G3741" s="63" t="s">
        <v>15304</v>
      </c>
      <c r="H3741" s="66"/>
      <c r="I3741" s="63" t="s">
        <v>14870</v>
      </c>
      <c r="J3741" s="63" t="s">
        <v>13358</v>
      </c>
      <c r="K3741" s="70">
        <v>42749.0</v>
      </c>
      <c r="L3741" s="63" t="s">
        <v>14256</v>
      </c>
      <c r="M3741" s="63" t="s">
        <v>27</v>
      </c>
      <c r="N3741" s="61"/>
      <c r="O3741" s="51"/>
    </row>
    <row r="3742">
      <c r="A3742" s="56">
        <v>3739.0</v>
      </c>
      <c r="B3742" s="71"/>
      <c r="C3742" s="69" t="s">
        <v>15305</v>
      </c>
      <c r="D3742" s="71"/>
      <c r="E3742" s="68" t="s">
        <v>15306</v>
      </c>
      <c r="F3742" s="83">
        <v>42690.0</v>
      </c>
      <c r="G3742" s="68" t="s">
        <v>15307</v>
      </c>
      <c r="H3742" s="71"/>
      <c r="I3742" s="63" t="s">
        <v>635</v>
      </c>
      <c r="J3742" s="68" t="s">
        <v>15308</v>
      </c>
      <c r="K3742" s="76">
        <v>42749.0</v>
      </c>
      <c r="L3742" s="68" t="s">
        <v>2743</v>
      </c>
      <c r="M3742" s="71"/>
      <c r="N3742" s="61"/>
      <c r="O3742" s="51"/>
    </row>
    <row r="3743">
      <c r="A3743" s="56">
        <v>3740.0</v>
      </c>
      <c r="B3743" s="66"/>
      <c r="C3743" s="64" t="s">
        <v>15309</v>
      </c>
      <c r="D3743" s="66"/>
      <c r="E3743" s="63" t="s">
        <v>15310</v>
      </c>
      <c r="F3743" s="70">
        <v>42567.0</v>
      </c>
      <c r="G3743" s="63" t="s">
        <v>15311</v>
      </c>
      <c r="H3743" s="66"/>
      <c r="I3743" s="66"/>
      <c r="J3743" s="63" t="s">
        <v>15312</v>
      </c>
      <c r="K3743" s="70">
        <v>42749.0</v>
      </c>
      <c r="L3743" s="63" t="s">
        <v>2743</v>
      </c>
      <c r="M3743" s="63" t="s">
        <v>3528</v>
      </c>
      <c r="N3743" s="61"/>
      <c r="O3743" s="51"/>
    </row>
    <row r="3744">
      <c r="A3744" s="56">
        <v>3741.0</v>
      </c>
      <c r="B3744" s="66"/>
      <c r="C3744" s="64" t="s">
        <v>15313</v>
      </c>
      <c r="D3744" s="66"/>
      <c r="E3744" s="63" t="s">
        <v>15314</v>
      </c>
      <c r="F3744" s="70">
        <v>42567.0</v>
      </c>
      <c r="G3744" s="63" t="s">
        <v>15315</v>
      </c>
      <c r="H3744" s="66"/>
      <c r="I3744" s="66"/>
      <c r="J3744" s="63" t="s">
        <v>15312</v>
      </c>
      <c r="K3744" s="70">
        <v>42749.0</v>
      </c>
      <c r="L3744" s="63" t="s">
        <v>2743</v>
      </c>
      <c r="M3744" s="63" t="s">
        <v>3528</v>
      </c>
      <c r="N3744" s="61"/>
      <c r="O3744" s="51"/>
    </row>
    <row r="3745">
      <c r="A3745" s="56">
        <v>3742.0</v>
      </c>
      <c r="B3745" s="71"/>
      <c r="C3745" s="69" t="s">
        <v>15316</v>
      </c>
      <c r="D3745" s="71"/>
      <c r="E3745" s="68" t="s">
        <v>15317</v>
      </c>
      <c r="F3745" s="76">
        <v>41381.0</v>
      </c>
      <c r="G3745" s="68" t="s">
        <v>15318</v>
      </c>
      <c r="H3745" s="71"/>
      <c r="I3745" s="68" t="s">
        <v>15319</v>
      </c>
      <c r="J3745" s="87" t="s">
        <v>15320</v>
      </c>
      <c r="K3745" s="76">
        <v>42749.0</v>
      </c>
      <c r="L3745" s="68" t="s">
        <v>2743</v>
      </c>
      <c r="M3745" s="68" t="s">
        <v>27</v>
      </c>
      <c r="N3745" s="61"/>
      <c r="O3745" s="51"/>
    </row>
    <row r="3746">
      <c r="A3746" s="56">
        <v>3743.0</v>
      </c>
      <c r="B3746" s="66"/>
      <c r="C3746" s="64" t="s">
        <v>15321</v>
      </c>
      <c r="D3746" s="66"/>
      <c r="E3746" s="63" t="s">
        <v>15322</v>
      </c>
      <c r="F3746" s="65">
        <v>42719.0</v>
      </c>
      <c r="G3746" s="63" t="s">
        <v>15323</v>
      </c>
      <c r="H3746" s="63" t="s">
        <v>15324</v>
      </c>
      <c r="I3746" s="63" t="s">
        <v>15325</v>
      </c>
      <c r="J3746" s="63" t="s">
        <v>3575</v>
      </c>
      <c r="K3746" s="70">
        <v>42758.0</v>
      </c>
      <c r="L3746" s="63" t="s">
        <v>2743</v>
      </c>
      <c r="M3746" s="63" t="s">
        <v>2152</v>
      </c>
      <c r="N3746" s="61"/>
      <c r="O3746" s="51"/>
    </row>
    <row r="3747">
      <c r="A3747" s="56">
        <v>3744.0</v>
      </c>
      <c r="B3747" s="71"/>
      <c r="C3747" s="69" t="s">
        <v>15326</v>
      </c>
      <c r="D3747" s="71"/>
      <c r="E3747" s="68" t="s">
        <v>15327</v>
      </c>
      <c r="F3747" s="76">
        <v>42539.0</v>
      </c>
      <c r="G3747" s="68" t="s">
        <v>15328</v>
      </c>
      <c r="H3747" s="71"/>
      <c r="I3747" s="63" t="s">
        <v>635</v>
      </c>
      <c r="J3747" s="68" t="s">
        <v>15329</v>
      </c>
      <c r="K3747" s="76">
        <v>42758.0</v>
      </c>
      <c r="L3747" s="68" t="s">
        <v>2743</v>
      </c>
      <c r="M3747" s="71"/>
      <c r="N3747" s="61"/>
      <c r="O3747" s="51"/>
    </row>
    <row r="3748">
      <c r="A3748" s="56">
        <v>3745.0</v>
      </c>
      <c r="B3748" s="71"/>
      <c r="C3748" s="69" t="s">
        <v>15330</v>
      </c>
      <c r="D3748" s="71"/>
      <c r="E3748" s="68" t="s">
        <v>15331</v>
      </c>
      <c r="F3748" s="83">
        <v>42661.0</v>
      </c>
      <c r="G3748" s="68" t="s">
        <v>15332</v>
      </c>
      <c r="H3748" s="71"/>
      <c r="I3748" s="63" t="s">
        <v>635</v>
      </c>
      <c r="J3748" s="68" t="s">
        <v>15333</v>
      </c>
      <c r="K3748" s="76">
        <v>42758.0</v>
      </c>
      <c r="L3748" s="68" t="s">
        <v>2743</v>
      </c>
      <c r="M3748" s="71"/>
      <c r="N3748" s="61"/>
      <c r="O3748" s="51"/>
    </row>
    <row r="3749">
      <c r="A3749" s="56">
        <v>3746.0</v>
      </c>
      <c r="B3749" s="71"/>
      <c r="C3749" s="69" t="s">
        <v>15334</v>
      </c>
      <c r="D3749" s="71"/>
      <c r="E3749" s="68" t="s">
        <v>15335</v>
      </c>
      <c r="F3749" s="76">
        <v>42746.0</v>
      </c>
      <c r="G3749" s="68" t="s">
        <v>15336</v>
      </c>
      <c r="H3749" s="71"/>
      <c r="I3749" s="66"/>
      <c r="J3749" s="68" t="s">
        <v>15337</v>
      </c>
      <c r="K3749" s="76">
        <v>42758.0</v>
      </c>
      <c r="L3749" s="68" t="s">
        <v>2743</v>
      </c>
      <c r="M3749" s="68" t="s">
        <v>2748</v>
      </c>
      <c r="N3749" s="61"/>
      <c r="O3749" s="51"/>
    </row>
    <row r="3750">
      <c r="A3750" s="56">
        <v>3747.0</v>
      </c>
      <c r="B3750" s="71"/>
      <c r="C3750" s="69" t="s">
        <v>15338</v>
      </c>
      <c r="D3750" s="71"/>
      <c r="E3750" s="68" t="s">
        <v>15339</v>
      </c>
      <c r="F3750" s="83">
        <v>42735.0</v>
      </c>
      <c r="G3750" s="68" t="s">
        <v>15340</v>
      </c>
      <c r="H3750" s="71"/>
      <c r="I3750" s="63" t="s">
        <v>635</v>
      </c>
      <c r="J3750" s="68" t="s">
        <v>15341</v>
      </c>
      <c r="K3750" s="76">
        <v>42758.0</v>
      </c>
      <c r="L3750" s="68" t="s">
        <v>2743</v>
      </c>
      <c r="M3750" s="71"/>
      <c r="N3750" s="61"/>
      <c r="O3750" s="51"/>
    </row>
    <row r="3751">
      <c r="A3751" s="56">
        <v>3748.0</v>
      </c>
      <c r="B3751" s="71"/>
      <c r="C3751" s="69" t="s">
        <v>15342</v>
      </c>
      <c r="D3751" s="71"/>
      <c r="E3751" s="68" t="s">
        <v>15343</v>
      </c>
      <c r="F3751" s="76">
        <v>42676.0</v>
      </c>
      <c r="G3751" s="68" t="s">
        <v>15344</v>
      </c>
      <c r="H3751" s="71"/>
      <c r="I3751" s="66"/>
      <c r="J3751" s="68" t="s">
        <v>15345</v>
      </c>
      <c r="K3751" s="76">
        <v>42758.0</v>
      </c>
      <c r="L3751" s="68" t="s">
        <v>14911</v>
      </c>
      <c r="M3751" s="71"/>
      <c r="N3751" s="61"/>
      <c r="O3751" s="51"/>
    </row>
    <row r="3752">
      <c r="A3752" s="56">
        <v>3749.0</v>
      </c>
      <c r="B3752" s="71"/>
      <c r="C3752" s="69" t="s">
        <v>15346</v>
      </c>
      <c r="D3752" s="71"/>
      <c r="E3752" s="68" t="s">
        <v>15347</v>
      </c>
      <c r="F3752" s="76">
        <v>42681.0</v>
      </c>
      <c r="G3752" s="68" t="s">
        <v>15348</v>
      </c>
      <c r="H3752" s="71"/>
      <c r="I3752" s="63" t="s">
        <v>635</v>
      </c>
      <c r="J3752" s="68" t="s">
        <v>15349</v>
      </c>
      <c r="K3752" s="76">
        <v>42758.0</v>
      </c>
      <c r="L3752" s="68" t="s">
        <v>14911</v>
      </c>
      <c r="M3752" s="71"/>
      <c r="N3752" s="61"/>
      <c r="O3752" s="51"/>
    </row>
    <row r="3753">
      <c r="A3753" s="56">
        <v>3750.0</v>
      </c>
      <c r="B3753" s="71"/>
      <c r="C3753" s="69" t="s">
        <v>15350</v>
      </c>
      <c r="D3753" s="71"/>
      <c r="E3753" s="68" t="s">
        <v>15351</v>
      </c>
      <c r="F3753" s="83">
        <v>42290.0</v>
      </c>
      <c r="G3753" s="68" t="s">
        <v>15352</v>
      </c>
      <c r="H3753" s="71"/>
      <c r="I3753" s="68" t="s">
        <v>15353</v>
      </c>
      <c r="J3753" s="87" t="s">
        <v>15354</v>
      </c>
      <c r="K3753" s="225">
        <v>42758.0</v>
      </c>
      <c r="L3753" s="68" t="s">
        <v>14911</v>
      </c>
      <c r="M3753" s="68" t="s">
        <v>7530</v>
      </c>
      <c r="N3753" s="61"/>
      <c r="O3753" s="51"/>
    </row>
    <row r="3754">
      <c r="A3754" s="56">
        <v>3751.0</v>
      </c>
      <c r="B3754" s="71"/>
      <c r="C3754" s="69" t="s">
        <v>15355</v>
      </c>
      <c r="D3754" s="71"/>
      <c r="E3754" s="68" t="s">
        <v>15356</v>
      </c>
      <c r="F3754" s="68">
        <v>2013.0</v>
      </c>
      <c r="G3754" s="68" t="s">
        <v>15357</v>
      </c>
      <c r="H3754" s="71"/>
      <c r="I3754" s="63" t="s">
        <v>635</v>
      </c>
      <c r="J3754" s="68" t="s">
        <v>15358</v>
      </c>
      <c r="K3754" s="76">
        <v>42758.0</v>
      </c>
      <c r="L3754" s="68" t="s">
        <v>14911</v>
      </c>
      <c r="M3754" s="71"/>
      <c r="N3754" s="61"/>
      <c r="O3754" s="51"/>
    </row>
    <row r="3755">
      <c r="A3755" s="56">
        <v>3752.0</v>
      </c>
      <c r="B3755" s="71"/>
      <c r="C3755" s="69" t="s">
        <v>15359</v>
      </c>
      <c r="D3755" s="71"/>
      <c r="E3755" s="68" t="s">
        <v>15360</v>
      </c>
      <c r="F3755" s="76">
        <v>42465.0</v>
      </c>
      <c r="G3755" s="68" t="s">
        <v>15361</v>
      </c>
      <c r="H3755" s="71"/>
      <c r="I3755" s="63" t="s">
        <v>15362</v>
      </c>
      <c r="J3755" s="68" t="s">
        <v>15363</v>
      </c>
      <c r="K3755" s="76">
        <v>42758.0</v>
      </c>
      <c r="L3755" s="68" t="s">
        <v>14911</v>
      </c>
      <c r="M3755" s="68" t="s">
        <v>31</v>
      </c>
      <c r="N3755" s="61"/>
      <c r="O3755" s="51"/>
    </row>
    <row r="3756">
      <c r="A3756" s="56">
        <v>3753.0</v>
      </c>
      <c r="B3756" s="71"/>
      <c r="C3756" s="69" t="s">
        <v>15364</v>
      </c>
      <c r="D3756" s="71"/>
      <c r="E3756" s="68" t="s">
        <v>15365</v>
      </c>
      <c r="F3756" s="76">
        <v>42421.0</v>
      </c>
      <c r="G3756" s="68" t="s">
        <v>15366</v>
      </c>
      <c r="H3756" s="71"/>
      <c r="I3756" s="63" t="s">
        <v>635</v>
      </c>
      <c r="J3756" s="68" t="s">
        <v>15367</v>
      </c>
      <c r="K3756" s="76">
        <v>42758.0</v>
      </c>
      <c r="L3756" s="68" t="s">
        <v>2743</v>
      </c>
      <c r="M3756" s="71"/>
      <c r="N3756" s="61"/>
      <c r="O3756" s="51"/>
    </row>
    <row r="3757">
      <c r="A3757" s="75">
        <v>3754.0</v>
      </c>
      <c r="B3757" s="71"/>
      <c r="C3757" s="69" t="s">
        <v>15368</v>
      </c>
      <c r="D3757" s="71"/>
      <c r="E3757" s="68" t="s">
        <v>15369</v>
      </c>
      <c r="F3757" s="68">
        <v>2009.0</v>
      </c>
      <c r="G3757" s="68" t="s">
        <v>15370</v>
      </c>
      <c r="H3757" s="71"/>
      <c r="I3757" s="68" t="s">
        <v>15371</v>
      </c>
      <c r="J3757" s="68" t="s">
        <v>2175</v>
      </c>
      <c r="K3757" s="76">
        <v>42758.0</v>
      </c>
      <c r="L3757" s="68" t="s">
        <v>2743</v>
      </c>
      <c r="M3757" s="68" t="s">
        <v>530</v>
      </c>
      <c r="N3757" s="77"/>
      <c r="O3757" s="51"/>
    </row>
    <row r="3758">
      <c r="A3758" s="56">
        <v>3755.0</v>
      </c>
      <c r="B3758" s="71"/>
      <c r="C3758" s="69" t="s">
        <v>15372</v>
      </c>
      <c r="D3758" s="71"/>
      <c r="E3758" s="68" t="s">
        <v>15373</v>
      </c>
      <c r="F3758" s="83">
        <v>42349.0</v>
      </c>
      <c r="G3758" s="68" t="s">
        <v>15374</v>
      </c>
      <c r="H3758" s="71"/>
      <c r="I3758" s="68" t="s">
        <v>15375</v>
      </c>
      <c r="J3758" s="68" t="s">
        <v>15376</v>
      </c>
      <c r="K3758" s="76">
        <v>42758.0</v>
      </c>
      <c r="L3758" s="68" t="s">
        <v>2743</v>
      </c>
      <c r="M3758" s="68" t="s">
        <v>149</v>
      </c>
      <c r="N3758" s="77"/>
      <c r="O3758" s="51"/>
    </row>
    <row r="3759">
      <c r="A3759" s="56">
        <v>3756.0</v>
      </c>
      <c r="B3759" s="71"/>
      <c r="C3759" s="69" t="s">
        <v>15377</v>
      </c>
      <c r="D3759" s="71"/>
      <c r="E3759" s="68" t="s">
        <v>15378</v>
      </c>
      <c r="F3759" s="76">
        <v>42553.0</v>
      </c>
      <c r="G3759" s="68" t="s">
        <v>15379</v>
      </c>
      <c r="H3759" s="71"/>
      <c r="I3759" s="68" t="s">
        <v>15380</v>
      </c>
      <c r="J3759" s="68" t="s">
        <v>15381</v>
      </c>
      <c r="K3759" s="76">
        <v>42758.0</v>
      </c>
      <c r="L3759" s="68" t="s">
        <v>2743</v>
      </c>
      <c r="M3759" s="68" t="s">
        <v>149</v>
      </c>
      <c r="N3759" s="77"/>
      <c r="O3759" s="51"/>
    </row>
    <row r="3760">
      <c r="A3760" s="56">
        <v>3757.0</v>
      </c>
      <c r="B3760" s="71"/>
      <c r="C3760" s="69" t="s">
        <v>15382</v>
      </c>
      <c r="D3760" s="71"/>
      <c r="E3760" s="68" t="s">
        <v>15383</v>
      </c>
      <c r="F3760" s="76">
        <v>42504.0</v>
      </c>
      <c r="G3760" s="68" t="s">
        <v>15384</v>
      </c>
      <c r="H3760" s="71"/>
      <c r="I3760" s="63" t="s">
        <v>635</v>
      </c>
      <c r="J3760" s="68" t="s">
        <v>15385</v>
      </c>
      <c r="K3760" s="76">
        <v>42759.0</v>
      </c>
      <c r="L3760" s="68" t="s">
        <v>2743</v>
      </c>
      <c r="M3760" s="71"/>
      <c r="N3760" s="61"/>
      <c r="O3760" s="51"/>
    </row>
    <row r="3761">
      <c r="A3761" s="56">
        <v>3758.0</v>
      </c>
      <c r="B3761" s="71"/>
      <c r="C3761" s="69" t="s">
        <v>15386</v>
      </c>
      <c r="D3761" s="71"/>
      <c r="E3761" s="68" t="s">
        <v>15387</v>
      </c>
      <c r="F3761" s="83">
        <v>42701.0</v>
      </c>
      <c r="G3761" s="68" t="s">
        <v>15388</v>
      </c>
      <c r="H3761" s="71"/>
      <c r="I3761" s="63" t="s">
        <v>635</v>
      </c>
      <c r="J3761" s="68" t="s">
        <v>15389</v>
      </c>
      <c r="K3761" s="76">
        <v>42759.0</v>
      </c>
      <c r="L3761" s="68" t="s">
        <v>2743</v>
      </c>
      <c r="M3761" s="71"/>
      <c r="N3761" s="61"/>
      <c r="O3761" s="51"/>
    </row>
    <row r="3762">
      <c r="A3762" s="56">
        <v>3759.0</v>
      </c>
      <c r="B3762" s="71"/>
      <c r="C3762" s="69" t="s">
        <v>15390</v>
      </c>
      <c r="D3762" s="71"/>
      <c r="E3762" s="68" t="s">
        <v>15391</v>
      </c>
      <c r="F3762" s="76">
        <v>42097.0</v>
      </c>
      <c r="G3762" s="68" t="s">
        <v>15392</v>
      </c>
      <c r="H3762" s="71"/>
      <c r="I3762" s="68" t="s">
        <v>15393</v>
      </c>
      <c r="J3762" s="68" t="s">
        <v>15394</v>
      </c>
      <c r="K3762" s="76">
        <v>42759.0</v>
      </c>
      <c r="L3762" s="68" t="s">
        <v>2743</v>
      </c>
      <c r="M3762" s="68" t="s">
        <v>4487</v>
      </c>
      <c r="N3762" s="61"/>
      <c r="O3762" s="51"/>
    </row>
    <row r="3763">
      <c r="A3763" s="56">
        <v>3760.0</v>
      </c>
      <c r="B3763" s="71"/>
      <c r="C3763" s="69" t="s">
        <v>15395</v>
      </c>
      <c r="D3763" s="71"/>
      <c r="E3763" s="68" t="s">
        <v>15396</v>
      </c>
      <c r="F3763" s="76">
        <v>42097.0</v>
      </c>
      <c r="G3763" s="68" t="s">
        <v>15397</v>
      </c>
      <c r="H3763" s="71"/>
      <c r="I3763" s="68" t="s">
        <v>15393</v>
      </c>
      <c r="J3763" s="68" t="s">
        <v>15394</v>
      </c>
      <c r="K3763" s="76">
        <v>42759.0</v>
      </c>
      <c r="L3763" s="68" t="s">
        <v>2743</v>
      </c>
      <c r="M3763" s="68" t="s">
        <v>4487</v>
      </c>
      <c r="N3763" s="61"/>
      <c r="O3763" s="51"/>
    </row>
    <row r="3764">
      <c r="A3764" s="56">
        <v>3761.0</v>
      </c>
      <c r="B3764" s="71"/>
      <c r="C3764" s="69" t="s">
        <v>15398</v>
      </c>
      <c r="D3764" s="71"/>
      <c r="E3764" s="68" t="s">
        <v>15399</v>
      </c>
      <c r="F3764" s="83">
        <v>42735.0</v>
      </c>
      <c r="G3764" s="68" t="s">
        <v>15400</v>
      </c>
      <c r="H3764" s="71"/>
      <c r="I3764" s="66"/>
      <c r="J3764" s="68" t="s">
        <v>15401</v>
      </c>
      <c r="K3764" s="76">
        <v>42759.0</v>
      </c>
      <c r="L3764" s="68" t="s">
        <v>14256</v>
      </c>
      <c r="M3764" s="68" t="s">
        <v>166</v>
      </c>
      <c r="N3764" s="61"/>
      <c r="O3764" s="51"/>
    </row>
    <row r="3765">
      <c r="A3765" s="56">
        <v>3762.0</v>
      </c>
      <c r="B3765" s="71"/>
      <c r="C3765" s="69" t="s">
        <v>15402</v>
      </c>
      <c r="D3765" s="71"/>
      <c r="E3765" s="68" t="s">
        <v>15403</v>
      </c>
      <c r="F3765" s="76">
        <v>42742.0</v>
      </c>
      <c r="G3765" s="71"/>
      <c r="H3765" s="71"/>
      <c r="I3765" s="63" t="s">
        <v>635</v>
      </c>
      <c r="J3765" s="68" t="s">
        <v>15404</v>
      </c>
      <c r="K3765" s="76">
        <v>42759.0</v>
      </c>
      <c r="L3765" s="68" t="s">
        <v>14256</v>
      </c>
      <c r="M3765" s="68" t="s">
        <v>9762</v>
      </c>
      <c r="N3765" s="61"/>
      <c r="O3765" s="51"/>
    </row>
    <row r="3766">
      <c r="A3766" s="56">
        <v>3763.0</v>
      </c>
      <c r="B3766" s="71"/>
      <c r="C3766" s="69" t="s">
        <v>15405</v>
      </c>
      <c r="D3766" s="71"/>
      <c r="E3766" s="68" t="s">
        <v>15406</v>
      </c>
      <c r="F3766" s="76">
        <v>42742.0</v>
      </c>
      <c r="G3766" s="71"/>
      <c r="H3766" s="71"/>
      <c r="I3766" s="63" t="s">
        <v>15407</v>
      </c>
      <c r="J3766" s="68" t="s">
        <v>15408</v>
      </c>
      <c r="K3766" s="76">
        <v>42759.0</v>
      </c>
      <c r="L3766" s="68" t="s">
        <v>14256</v>
      </c>
      <c r="M3766" s="71"/>
      <c r="N3766" s="61"/>
      <c r="O3766" s="51"/>
    </row>
    <row r="3767">
      <c r="A3767" s="56">
        <v>3764.0</v>
      </c>
      <c r="B3767" s="71"/>
      <c r="C3767" s="69" t="s">
        <v>15409</v>
      </c>
      <c r="D3767" s="71"/>
      <c r="E3767" s="68" t="s">
        <v>15410</v>
      </c>
      <c r="F3767" s="76">
        <v>42742.0</v>
      </c>
      <c r="G3767" s="71"/>
      <c r="H3767" s="71"/>
      <c r="I3767" s="63" t="s">
        <v>15407</v>
      </c>
      <c r="J3767" s="68" t="s">
        <v>15411</v>
      </c>
      <c r="K3767" s="76">
        <v>42759.0</v>
      </c>
      <c r="L3767" s="68" t="s">
        <v>14256</v>
      </c>
      <c r="M3767" s="71"/>
      <c r="N3767" s="61"/>
      <c r="O3767" s="51"/>
    </row>
    <row r="3768">
      <c r="A3768" s="56">
        <v>3765.0</v>
      </c>
      <c r="B3768" s="71"/>
      <c r="C3768" s="68" t="s">
        <v>15412</v>
      </c>
      <c r="D3768" s="71"/>
      <c r="E3768" s="68" t="s">
        <v>15413</v>
      </c>
      <c r="F3768" s="76">
        <v>42742.0</v>
      </c>
      <c r="G3768" s="71"/>
      <c r="H3768" s="71"/>
      <c r="I3768" s="63" t="s">
        <v>15407</v>
      </c>
      <c r="J3768" s="68" t="s">
        <v>15414</v>
      </c>
      <c r="K3768" s="76">
        <v>42759.0</v>
      </c>
      <c r="L3768" s="68" t="s">
        <v>14256</v>
      </c>
      <c r="M3768" s="68" t="s">
        <v>149</v>
      </c>
      <c r="N3768" s="61"/>
      <c r="O3768" s="51"/>
    </row>
    <row r="3769">
      <c r="A3769" s="56">
        <v>3766.0</v>
      </c>
      <c r="B3769" s="71"/>
      <c r="C3769" s="69" t="s">
        <v>15415</v>
      </c>
      <c r="D3769" s="71"/>
      <c r="E3769" s="68" t="s">
        <v>15416</v>
      </c>
      <c r="F3769" s="76">
        <v>42532.0</v>
      </c>
      <c r="G3769" s="68" t="s">
        <v>15417</v>
      </c>
      <c r="H3769" s="71"/>
      <c r="I3769" s="63" t="s">
        <v>15418</v>
      </c>
      <c r="J3769" s="68" t="s">
        <v>15419</v>
      </c>
      <c r="K3769" s="76">
        <v>42759.0</v>
      </c>
      <c r="L3769" s="68" t="s">
        <v>2743</v>
      </c>
      <c r="M3769" s="68" t="s">
        <v>166</v>
      </c>
      <c r="N3769" s="61"/>
      <c r="O3769" s="51"/>
    </row>
    <row r="3770">
      <c r="A3770" s="56">
        <v>3767.0</v>
      </c>
      <c r="B3770" s="66"/>
      <c r="C3770" s="64" t="s">
        <v>15420</v>
      </c>
      <c r="D3770" s="66"/>
      <c r="E3770" s="63" t="s">
        <v>15421</v>
      </c>
      <c r="F3770" s="70">
        <v>41764.0</v>
      </c>
      <c r="G3770" s="63" t="s">
        <v>15422</v>
      </c>
      <c r="H3770" s="63" t="s">
        <v>15423</v>
      </c>
      <c r="I3770" s="63" t="s">
        <v>15424</v>
      </c>
      <c r="J3770" s="63" t="s">
        <v>12318</v>
      </c>
      <c r="K3770" s="70">
        <v>42759.0</v>
      </c>
      <c r="L3770" s="63" t="s">
        <v>2743</v>
      </c>
      <c r="M3770" s="63" t="s">
        <v>872</v>
      </c>
      <c r="N3770" s="61"/>
      <c r="O3770" s="51"/>
    </row>
    <row r="3771">
      <c r="A3771" s="56">
        <v>3768.0</v>
      </c>
      <c r="B3771" s="71"/>
      <c r="C3771" s="69" t="s">
        <v>15425</v>
      </c>
      <c r="D3771" s="71"/>
      <c r="E3771" s="68" t="s">
        <v>15426</v>
      </c>
      <c r="F3771" s="76">
        <v>42440.0</v>
      </c>
      <c r="G3771" s="68" t="s">
        <v>15427</v>
      </c>
      <c r="H3771" s="71"/>
      <c r="I3771" s="63" t="s">
        <v>15428</v>
      </c>
      <c r="J3771" s="68" t="s">
        <v>15429</v>
      </c>
      <c r="K3771" s="76">
        <v>42763.0</v>
      </c>
      <c r="L3771" s="68" t="s">
        <v>2743</v>
      </c>
      <c r="M3771" s="68" t="s">
        <v>13303</v>
      </c>
      <c r="N3771" s="61"/>
      <c r="O3771" s="51"/>
    </row>
    <row r="3772">
      <c r="A3772" s="56">
        <v>3769.0</v>
      </c>
      <c r="B3772" s="71"/>
      <c r="C3772" s="69" t="s">
        <v>15430</v>
      </c>
      <c r="D3772" s="71"/>
      <c r="E3772" s="68" t="s">
        <v>15431</v>
      </c>
      <c r="F3772" s="76">
        <v>42082.0</v>
      </c>
      <c r="G3772" s="68" t="s">
        <v>15432</v>
      </c>
      <c r="H3772" s="71"/>
      <c r="I3772" s="66"/>
      <c r="J3772" s="68" t="s">
        <v>15433</v>
      </c>
      <c r="K3772" s="76">
        <v>42763.0</v>
      </c>
      <c r="L3772" s="68" t="s">
        <v>2743</v>
      </c>
      <c r="M3772" s="68" t="s">
        <v>125</v>
      </c>
      <c r="N3772" s="61"/>
      <c r="O3772" s="51"/>
    </row>
    <row r="3773">
      <c r="A3773" s="56">
        <v>3770.0</v>
      </c>
      <c r="B3773" s="71"/>
      <c r="C3773" s="69" t="s">
        <v>15434</v>
      </c>
      <c r="D3773" s="71"/>
      <c r="E3773" s="68" t="s">
        <v>15435</v>
      </c>
      <c r="F3773" s="76">
        <v>42651.0</v>
      </c>
      <c r="G3773" s="68" t="s">
        <v>15436</v>
      </c>
      <c r="H3773" s="71"/>
      <c r="I3773" s="66"/>
      <c r="J3773" s="68" t="s">
        <v>15437</v>
      </c>
      <c r="K3773" s="76">
        <v>42763.0</v>
      </c>
      <c r="L3773" s="68" t="s">
        <v>14256</v>
      </c>
      <c r="M3773" s="104"/>
      <c r="N3773" s="105"/>
      <c r="O3773" s="51"/>
    </row>
    <row r="3774">
      <c r="A3774" s="56">
        <v>3771.0</v>
      </c>
      <c r="B3774" s="71"/>
      <c r="C3774" s="69" t="s">
        <v>15438</v>
      </c>
      <c r="D3774" s="71"/>
      <c r="E3774" s="68" t="s">
        <v>15439</v>
      </c>
      <c r="F3774" s="76">
        <v>42594.0</v>
      </c>
      <c r="G3774" s="68" t="s">
        <v>15440</v>
      </c>
      <c r="H3774" s="71"/>
      <c r="I3774" s="66"/>
      <c r="J3774" s="68" t="s">
        <v>15441</v>
      </c>
      <c r="K3774" s="76">
        <v>42763.0</v>
      </c>
      <c r="L3774" s="68" t="s">
        <v>14256</v>
      </c>
      <c r="M3774" s="111"/>
      <c r="N3774" s="61"/>
      <c r="O3774" s="51"/>
    </row>
    <row r="3775">
      <c r="A3775" s="56">
        <v>3772.0</v>
      </c>
      <c r="B3775" s="60"/>
      <c r="C3775" s="58" t="s">
        <v>15442</v>
      </c>
      <c r="D3775" s="60"/>
      <c r="E3775" s="57" t="s">
        <v>15443</v>
      </c>
      <c r="F3775" s="78">
        <v>41266.0</v>
      </c>
      <c r="G3775" s="57" t="s">
        <v>15444</v>
      </c>
      <c r="H3775" s="60"/>
      <c r="I3775" s="66"/>
      <c r="J3775" s="57" t="s">
        <v>15445</v>
      </c>
      <c r="K3775" s="59">
        <v>42763.0</v>
      </c>
      <c r="L3775" s="57" t="s">
        <v>14256</v>
      </c>
      <c r="M3775" s="57" t="s">
        <v>2097</v>
      </c>
      <c r="N3775" s="61"/>
      <c r="O3775" s="51"/>
    </row>
    <row r="3776">
      <c r="A3776" s="56">
        <v>3773.0</v>
      </c>
      <c r="B3776" s="71"/>
      <c r="C3776" s="69" t="s">
        <v>15446</v>
      </c>
      <c r="D3776" s="71"/>
      <c r="E3776" s="68" t="s">
        <v>15447</v>
      </c>
      <c r="F3776" s="76">
        <v>42601.0</v>
      </c>
      <c r="G3776" s="68" t="s">
        <v>15448</v>
      </c>
      <c r="H3776" s="71"/>
      <c r="I3776" s="63" t="s">
        <v>15449</v>
      </c>
      <c r="J3776" s="68" t="s">
        <v>15450</v>
      </c>
      <c r="K3776" s="76">
        <v>42765.0</v>
      </c>
      <c r="L3776" s="68" t="s">
        <v>2743</v>
      </c>
      <c r="M3776" s="71"/>
      <c r="N3776" s="61"/>
      <c r="O3776" s="51"/>
    </row>
    <row r="3777">
      <c r="A3777" s="56">
        <v>3774.0</v>
      </c>
      <c r="B3777" s="71"/>
      <c r="C3777" s="69" t="s">
        <v>15451</v>
      </c>
      <c r="D3777" s="71"/>
      <c r="E3777" s="68" t="s">
        <v>15452</v>
      </c>
      <c r="F3777" s="76">
        <v>42381.0</v>
      </c>
      <c r="G3777" s="68" t="s">
        <v>15453</v>
      </c>
      <c r="H3777" s="71"/>
      <c r="I3777" s="63" t="s">
        <v>635</v>
      </c>
      <c r="J3777" s="68" t="s">
        <v>15454</v>
      </c>
      <c r="K3777" s="76">
        <v>42765.0</v>
      </c>
      <c r="L3777" s="68" t="s">
        <v>2743</v>
      </c>
      <c r="M3777" s="71"/>
      <c r="N3777" s="61"/>
      <c r="O3777" s="51"/>
    </row>
    <row r="3778">
      <c r="A3778" s="56">
        <v>3775.0</v>
      </c>
      <c r="B3778" s="71"/>
      <c r="C3778" s="69" t="s">
        <v>15455</v>
      </c>
      <c r="D3778" s="71"/>
      <c r="E3778" s="68" t="s">
        <v>15456</v>
      </c>
      <c r="F3778" s="76">
        <v>42266.0</v>
      </c>
      <c r="G3778" s="68" t="s">
        <v>15457</v>
      </c>
      <c r="H3778" s="71"/>
      <c r="I3778" s="63" t="s">
        <v>15458</v>
      </c>
      <c r="J3778" s="68" t="s">
        <v>15459</v>
      </c>
      <c r="K3778" s="76">
        <v>42766.0</v>
      </c>
      <c r="L3778" s="68" t="s">
        <v>2743</v>
      </c>
      <c r="M3778" s="68" t="s">
        <v>3012</v>
      </c>
      <c r="N3778" s="61"/>
      <c r="O3778" s="51"/>
    </row>
    <row r="3779">
      <c r="A3779" s="56">
        <v>3776.0</v>
      </c>
      <c r="B3779" s="60"/>
      <c r="C3779" s="58" t="s">
        <v>15460</v>
      </c>
      <c r="D3779" s="60"/>
      <c r="E3779" s="57" t="s">
        <v>15461</v>
      </c>
      <c r="F3779" s="232">
        <v>41579.0</v>
      </c>
      <c r="G3779" s="57" t="s">
        <v>15462</v>
      </c>
      <c r="H3779" s="60"/>
      <c r="I3779" s="60"/>
      <c r="J3779" s="68" t="s">
        <v>15463</v>
      </c>
      <c r="K3779" s="59">
        <v>42766.0</v>
      </c>
      <c r="L3779" s="57" t="s">
        <v>2743</v>
      </c>
      <c r="M3779" s="57" t="s">
        <v>15464</v>
      </c>
      <c r="N3779" s="112"/>
      <c r="O3779" s="51"/>
    </row>
    <row r="3780">
      <c r="A3780" s="56">
        <v>3777.0</v>
      </c>
      <c r="B3780" s="71"/>
      <c r="C3780" s="69" t="s">
        <v>15465</v>
      </c>
      <c r="D3780" s="71"/>
      <c r="E3780" s="68" t="s">
        <v>15466</v>
      </c>
      <c r="F3780" s="76">
        <v>41356.0</v>
      </c>
      <c r="G3780" s="68" t="s">
        <v>15467</v>
      </c>
      <c r="H3780" s="68" t="s">
        <v>15468</v>
      </c>
      <c r="I3780" s="71"/>
      <c r="J3780" s="68" t="s">
        <v>15469</v>
      </c>
      <c r="K3780" s="76">
        <v>42766.0</v>
      </c>
      <c r="L3780" s="68" t="s">
        <v>14911</v>
      </c>
      <c r="M3780" s="68" t="s">
        <v>27</v>
      </c>
      <c r="N3780" s="77"/>
      <c r="O3780" s="51"/>
    </row>
    <row r="3781">
      <c r="A3781" s="56">
        <v>3778.0</v>
      </c>
      <c r="B3781" s="71"/>
      <c r="C3781" s="69" t="s">
        <v>15470</v>
      </c>
      <c r="D3781" s="71"/>
      <c r="E3781" s="68" t="s">
        <v>15471</v>
      </c>
      <c r="F3781" s="76">
        <v>41616.0</v>
      </c>
      <c r="G3781" s="68" t="s">
        <v>15472</v>
      </c>
      <c r="H3781" s="71"/>
      <c r="I3781" s="68" t="s">
        <v>15473</v>
      </c>
      <c r="J3781" s="68" t="s">
        <v>15474</v>
      </c>
      <c r="K3781" s="76">
        <v>42766.0</v>
      </c>
      <c r="L3781" s="68" t="s">
        <v>14911</v>
      </c>
      <c r="M3781" s="68" t="s">
        <v>149</v>
      </c>
      <c r="N3781" s="77"/>
      <c r="O3781" s="51"/>
    </row>
    <row r="3782">
      <c r="A3782" s="56">
        <v>3779.0</v>
      </c>
      <c r="B3782" s="71"/>
      <c r="C3782" s="69" t="s">
        <v>15475</v>
      </c>
      <c r="D3782" s="71"/>
      <c r="E3782" s="68" t="s">
        <v>15476</v>
      </c>
      <c r="F3782" s="76">
        <v>42752.0</v>
      </c>
      <c r="G3782" s="68" t="s">
        <v>15477</v>
      </c>
      <c r="H3782" s="71"/>
      <c r="I3782" s="63" t="s">
        <v>635</v>
      </c>
      <c r="J3782" s="68" t="s">
        <v>15478</v>
      </c>
      <c r="K3782" s="76">
        <v>42766.0</v>
      </c>
      <c r="L3782" s="68" t="s">
        <v>14911</v>
      </c>
      <c r="M3782" s="71"/>
      <c r="N3782" s="61"/>
      <c r="O3782" s="51"/>
    </row>
    <row r="3783">
      <c r="A3783" s="56">
        <v>3780.0</v>
      </c>
      <c r="B3783" s="71"/>
      <c r="C3783" s="69" t="s">
        <v>15479</v>
      </c>
      <c r="D3783" s="71"/>
      <c r="E3783" s="68" t="s">
        <v>15480</v>
      </c>
      <c r="F3783" s="76">
        <v>42752.0</v>
      </c>
      <c r="G3783" s="68" t="s">
        <v>15481</v>
      </c>
      <c r="H3783" s="71"/>
      <c r="I3783" s="66"/>
      <c r="J3783" s="68" t="s">
        <v>15482</v>
      </c>
      <c r="K3783" s="76">
        <v>42766.0</v>
      </c>
      <c r="L3783" s="68" t="s">
        <v>14911</v>
      </c>
      <c r="M3783" s="71"/>
      <c r="N3783" s="61"/>
      <c r="O3783" s="51"/>
    </row>
    <row r="3784">
      <c r="A3784" s="56">
        <v>3781.0</v>
      </c>
      <c r="B3784" s="71"/>
      <c r="C3784" s="69" t="s">
        <v>15483</v>
      </c>
      <c r="D3784" s="71"/>
      <c r="E3784" s="68" t="s">
        <v>15484</v>
      </c>
      <c r="F3784" s="76">
        <v>42749.0</v>
      </c>
      <c r="G3784" s="68" t="s">
        <v>15485</v>
      </c>
      <c r="H3784" s="71"/>
      <c r="I3784" s="66"/>
      <c r="J3784" s="68" t="s">
        <v>15486</v>
      </c>
      <c r="K3784" s="76">
        <v>42766.0</v>
      </c>
      <c r="L3784" s="68" t="s">
        <v>14911</v>
      </c>
      <c r="M3784" s="71"/>
      <c r="N3784" s="61"/>
      <c r="O3784" s="51"/>
    </row>
    <row r="3785">
      <c r="A3785" s="56">
        <v>3782.0</v>
      </c>
      <c r="B3785" s="71"/>
      <c r="C3785" s="69" t="s">
        <v>15487</v>
      </c>
      <c r="D3785" s="71"/>
      <c r="E3785" s="68" t="s">
        <v>15488</v>
      </c>
      <c r="F3785" s="76">
        <v>42743.0</v>
      </c>
      <c r="G3785" s="68" t="s">
        <v>15489</v>
      </c>
      <c r="H3785" s="71"/>
      <c r="I3785" s="68" t="s">
        <v>15490</v>
      </c>
      <c r="J3785" s="68" t="s">
        <v>15491</v>
      </c>
      <c r="K3785" s="76">
        <v>42766.0</v>
      </c>
      <c r="L3785" s="68" t="s">
        <v>2743</v>
      </c>
      <c r="M3785" s="68" t="s">
        <v>31</v>
      </c>
      <c r="N3785" s="77"/>
      <c r="O3785" s="51"/>
    </row>
    <row r="3786">
      <c r="A3786" s="56">
        <v>3783.0</v>
      </c>
      <c r="B3786" s="66"/>
      <c r="C3786" s="64" t="s">
        <v>15492</v>
      </c>
      <c r="D3786" s="66"/>
      <c r="E3786" s="63" t="s">
        <v>4786</v>
      </c>
      <c r="F3786" s="70">
        <v>42677.0</v>
      </c>
      <c r="G3786" s="63" t="s">
        <v>15493</v>
      </c>
      <c r="H3786" s="66"/>
      <c r="I3786" s="66"/>
      <c r="J3786" s="63" t="s">
        <v>2526</v>
      </c>
      <c r="K3786" s="70">
        <v>42766.0</v>
      </c>
      <c r="L3786" s="63" t="s">
        <v>2743</v>
      </c>
      <c r="M3786" s="63" t="s">
        <v>2527</v>
      </c>
      <c r="N3786" s="61"/>
      <c r="O3786" s="51"/>
    </row>
    <row r="3787">
      <c r="A3787" s="56">
        <v>3784.0</v>
      </c>
      <c r="B3787" s="71"/>
      <c r="C3787" s="69" t="s">
        <v>15494</v>
      </c>
      <c r="D3787" s="71"/>
      <c r="E3787" s="68" t="s">
        <v>15495</v>
      </c>
      <c r="F3787" s="76">
        <v>42742.0</v>
      </c>
      <c r="G3787" s="68" t="s">
        <v>15496</v>
      </c>
      <c r="H3787" s="71"/>
      <c r="I3787" s="71"/>
      <c r="J3787" s="68" t="s">
        <v>15497</v>
      </c>
      <c r="K3787" s="76">
        <v>42769.0</v>
      </c>
      <c r="L3787" s="68" t="s">
        <v>14911</v>
      </c>
      <c r="M3787" s="68" t="s">
        <v>143</v>
      </c>
      <c r="N3787" s="61"/>
      <c r="O3787" s="51"/>
    </row>
    <row r="3788">
      <c r="A3788" s="56">
        <v>3785.0</v>
      </c>
      <c r="B3788" s="71"/>
      <c r="C3788" s="69" t="s">
        <v>15498</v>
      </c>
      <c r="D3788" s="71"/>
      <c r="E3788" s="68" t="s">
        <v>15499</v>
      </c>
      <c r="F3788" s="76">
        <v>42747.0</v>
      </c>
      <c r="G3788" s="68" t="s">
        <v>15500</v>
      </c>
      <c r="H3788" s="71"/>
      <c r="I3788" s="63" t="s">
        <v>635</v>
      </c>
      <c r="J3788" s="68" t="s">
        <v>15501</v>
      </c>
      <c r="K3788" s="76">
        <v>42769.0</v>
      </c>
      <c r="L3788" s="68" t="s">
        <v>14256</v>
      </c>
      <c r="M3788" s="71"/>
      <c r="N3788" s="61"/>
      <c r="O3788" s="51"/>
    </row>
    <row r="3789">
      <c r="A3789" s="56">
        <v>3786.0</v>
      </c>
      <c r="B3789" s="71"/>
      <c r="C3789" s="69" t="s">
        <v>15502</v>
      </c>
      <c r="D3789" s="71"/>
      <c r="E3789" s="68" t="s">
        <v>15503</v>
      </c>
      <c r="F3789" s="76">
        <v>41476.0</v>
      </c>
      <c r="G3789" s="68" t="s">
        <v>15504</v>
      </c>
      <c r="H3789" s="71"/>
      <c r="I3789" s="63" t="s">
        <v>15505</v>
      </c>
      <c r="J3789" s="68" t="s">
        <v>2774</v>
      </c>
      <c r="K3789" s="76">
        <v>42769.0</v>
      </c>
      <c r="L3789" s="68" t="s">
        <v>2743</v>
      </c>
      <c r="M3789" s="71"/>
      <c r="N3789" s="61"/>
      <c r="O3789" s="51"/>
    </row>
    <row r="3790">
      <c r="A3790" s="56">
        <v>3787.0</v>
      </c>
      <c r="B3790" s="71"/>
      <c r="C3790" s="69" t="s">
        <v>15506</v>
      </c>
      <c r="D3790" s="71"/>
      <c r="E3790" s="68" t="s">
        <v>15507</v>
      </c>
      <c r="F3790" s="76">
        <v>42593.0</v>
      </c>
      <c r="G3790" s="68" t="s">
        <v>15508</v>
      </c>
      <c r="H3790" s="71"/>
      <c r="I3790" s="66"/>
      <c r="J3790" s="68" t="s">
        <v>15509</v>
      </c>
      <c r="K3790" s="76">
        <v>42769.0</v>
      </c>
      <c r="L3790" s="68" t="s">
        <v>2743</v>
      </c>
      <c r="M3790" s="68" t="s">
        <v>149</v>
      </c>
      <c r="N3790" s="61"/>
      <c r="O3790" s="51"/>
    </row>
    <row r="3791">
      <c r="A3791" s="56">
        <v>3788.0</v>
      </c>
      <c r="B3791" s="71"/>
      <c r="C3791" s="69" t="s">
        <v>15510</v>
      </c>
      <c r="D3791" s="71"/>
      <c r="E3791" s="68" t="s">
        <v>15511</v>
      </c>
      <c r="F3791" s="76">
        <v>42242.0</v>
      </c>
      <c r="G3791" s="68" t="s">
        <v>15512</v>
      </c>
      <c r="H3791" s="71"/>
      <c r="I3791" s="63" t="s">
        <v>15513</v>
      </c>
      <c r="J3791" s="68" t="s">
        <v>15514</v>
      </c>
      <c r="K3791" s="76">
        <v>42769.0</v>
      </c>
      <c r="L3791" s="68" t="s">
        <v>2743</v>
      </c>
      <c r="M3791" s="68" t="s">
        <v>5707</v>
      </c>
      <c r="N3791" s="61"/>
      <c r="O3791" s="51"/>
    </row>
    <row r="3792">
      <c r="A3792" s="56">
        <v>3789.0</v>
      </c>
      <c r="B3792" s="66"/>
      <c r="C3792" s="64" t="s">
        <v>15515</v>
      </c>
      <c r="D3792" s="66"/>
      <c r="E3792" s="63" t="s">
        <v>15516</v>
      </c>
      <c r="F3792" s="70">
        <v>42760.0</v>
      </c>
      <c r="G3792" s="63" t="s">
        <v>15517</v>
      </c>
      <c r="H3792" s="66"/>
      <c r="I3792" s="63" t="s">
        <v>15518</v>
      </c>
      <c r="J3792" s="63" t="s">
        <v>2872</v>
      </c>
      <c r="K3792" s="70">
        <v>42769.0</v>
      </c>
      <c r="L3792" s="63" t="s">
        <v>2743</v>
      </c>
      <c r="M3792" s="63" t="s">
        <v>125</v>
      </c>
      <c r="N3792" s="61"/>
      <c r="O3792" s="51"/>
    </row>
    <row r="3793">
      <c r="A3793" s="56">
        <v>3790.0</v>
      </c>
      <c r="B3793" s="66"/>
      <c r="C3793" s="64" t="s">
        <v>15519</v>
      </c>
      <c r="D3793" s="66"/>
      <c r="E3793" s="63" t="s">
        <v>15520</v>
      </c>
      <c r="F3793" s="65">
        <v>41269.0</v>
      </c>
      <c r="G3793" s="63" t="s">
        <v>15521</v>
      </c>
      <c r="H3793" s="66"/>
      <c r="I3793" s="63" t="s">
        <v>15522</v>
      </c>
      <c r="J3793" s="63">
        <v>5312.0</v>
      </c>
      <c r="K3793" s="70">
        <v>42769.0</v>
      </c>
      <c r="L3793" s="63" t="s">
        <v>14911</v>
      </c>
      <c r="M3793" s="63" t="s">
        <v>2152</v>
      </c>
      <c r="N3793" s="61"/>
      <c r="O3793" s="51"/>
    </row>
    <row r="3794">
      <c r="A3794" s="56">
        <v>3791.0</v>
      </c>
      <c r="B3794" s="71"/>
      <c r="C3794" s="69" t="s">
        <v>15523</v>
      </c>
      <c r="D3794" s="71"/>
      <c r="E3794" s="68" t="s">
        <v>15524</v>
      </c>
      <c r="F3794" s="76">
        <v>42741.0</v>
      </c>
      <c r="G3794" s="68" t="s">
        <v>15525</v>
      </c>
      <c r="H3794" s="71"/>
      <c r="I3794" s="63" t="s">
        <v>15526</v>
      </c>
      <c r="J3794" s="68" t="s">
        <v>15527</v>
      </c>
      <c r="K3794" s="76">
        <v>42769.0</v>
      </c>
      <c r="L3794" s="68" t="s">
        <v>14911</v>
      </c>
      <c r="M3794" s="68" t="s">
        <v>31</v>
      </c>
      <c r="N3794" s="61"/>
      <c r="O3794" s="51"/>
    </row>
    <row r="3795">
      <c r="A3795" s="56">
        <v>3792.0</v>
      </c>
      <c r="B3795" s="71"/>
      <c r="C3795" s="69" t="s">
        <v>15528</v>
      </c>
      <c r="D3795" s="71"/>
      <c r="E3795" s="68" t="s">
        <v>15529</v>
      </c>
      <c r="F3795" s="76">
        <v>42749.0</v>
      </c>
      <c r="G3795" s="68" t="s">
        <v>15530</v>
      </c>
      <c r="H3795" s="71"/>
      <c r="I3795" s="63" t="s">
        <v>635</v>
      </c>
      <c r="J3795" s="68" t="s">
        <v>15531</v>
      </c>
      <c r="K3795" s="76">
        <v>42769.0</v>
      </c>
      <c r="L3795" s="68" t="s">
        <v>14911</v>
      </c>
      <c r="M3795" s="71"/>
      <c r="N3795" s="61"/>
      <c r="O3795" s="51"/>
    </row>
    <row r="3796">
      <c r="A3796" s="56">
        <v>3793.0</v>
      </c>
      <c r="B3796" s="71"/>
      <c r="C3796" s="69" t="s">
        <v>15532</v>
      </c>
      <c r="D3796" s="71"/>
      <c r="E3796" s="68" t="s">
        <v>15533</v>
      </c>
      <c r="F3796" s="76">
        <v>42763.0</v>
      </c>
      <c r="G3796" s="68" t="s">
        <v>15534</v>
      </c>
      <c r="H3796" s="71"/>
      <c r="I3796" s="63" t="s">
        <v>15535</v>
      </c>
      <c r="J3796" s="68" t="s">
        <v>15536</v>
      </c>
      <c r="K3796" s="76">
        <v>42769.0</v>
      </c>
      <c r="L3796" s="68" t="s">
        <v>2743</v>
      </c>
      <c r="M3796" s="68" t="s">
        <v>10279</v>
      </c>
      <c r="N3796" s="61"/>
      <c r="O3796" s="51"/>
    </row>
    <row r="3797">
      <c r="A3797" s="56">
        <v>3794.0</v>
      </c>
      <c r="B3797" s="71"/>
      <c r="C3797" s="69" t="s">
        <v>15537</v>
      </c>
      <c r="D3797" s="71"/>
      <c r="E3797" s="68" t="s">
        <v>15538</v>
      </c>
      <c r="F3797" s="76">
        <v>42604.0</v>
      </c>
      <c r="G3797" s="68" t="s">
        <v>15539</v>
      </c>
      <c r="H3797" s="71"/>
      <c r="I3797" s="71"/>
      <c r="J3797" s="68" t="s">
        <v>15540</v>
      </c>
      <c r="K3797" s="76">
        <v>42770.0</v>
      </c>
      <c r="L3797" s="68" t="s">
        <v>2743</v>
      </c>
      <c r="M3797" s="68" t="s">
        <v>5702</v>
      </c>
      <c r="N3797" s="77"/>
      <c r="O3797" s="51"/>
    </row>
    <row r="3798">
      <c r="A3798" s="56">
        <v>3795.0</v>
      </c>
      <c r="B3798" s="71"/>
      <c r="C3798" s="69" t="s">
        <v>15541</v>
      </c>
      <c r="D3798" s="71"/>
      <c r="E3798" s="68" t="s">
        <v>15542</v>
      </c>
      <c r="F3798" s="76">
        <v>42634.0</v>
      </c>
      <c r="G3798" s="68" t="s">
        <v>15539</v>
      </c>
      <c r="H3798" s="71"/>
      <c r="I3798" s="63" t="s">
        <v>15543</v>
      </c>
      <c r="J3798" s="68" t="s">
        <v>15544</v>
      </c>
      <c r="K3798" s="76">
        <v>42770.0</v>
      </c>
      <c r="L3798" s="68" t="s">
        <v>2743</v>
      </c>
      <c r="M3798" s="68" t="s">
        <v>2748</v>
      </c>
      <c r="N3798" s="61"/>
      <c r="O3798" s="51"/>
    </row>
    <row r="3799">
      <c r="A3799" s="56">
        <v>3796.0</v>
      </c>
      <c r="B3799" s="71"/>
      <c r="C3799" s="69" t="s">
        <v>15545</v>
      </c>
      <c r="D3799" s="71"/>
      <c r="E3799" s="68" t="s">
        <v>15546</v>
      </c>
      <c r="F3799" s="71"/>
      <c r="G3799" s="68" t="s">
        <v>15539</v>
      </c>
      <c r="H3799" s="71"/>
      <c r="I3799" s="71"/>
      <c r="J3799" s="68" t="s">
        <v>15547</v>
      </c>
      <c r="K3799" s="76">
        <v>42770.0</v>
      </c>
      <c r="L3799" s="68" t="s">
        <v>2743</v>
      </c>
      <c r="M3799" s="68" t="s">
        <v>5702</v>
      </c>
      <c r="N3799" s="77"/>
      <c r="O3799" s="51"/>
    </row>
    <row r="3800">
      <c r="A3800" s="56">
        <v>3797.0</v>
      </c>
      <c r="B3800" s="71"/>
      <c r="C3800" s="69" t="s">
        <v>15548</v>
      </c>
      <c r="D3800" s="71"/>
      <c r="E3800" s="68" t="s">
        <v>15549</v>
      </c>
      <c r="F3800" s="71"/>
      <c r="G3800" s="68" t="s">
        <v>15539</v>
      </c>
      <c r="H3800" s="71"/>
      <c r="I3800" s="66"/>
      <c r="J3800" s="68" t="s">
        <v>15550</v>
      </c>
      <c r="K3800" s="76">
        <v>42770.0</v>
      </c>
      <c r="L3800" s="68" t="s">
        <v>2743</v>
      </c>
      <c r="M3800" s="68" t="s">
        <v>3407</v>
      </c>
      <c r="N3800" s="61"/>
      <c r="O3800" s="51"/>
    </row>
    <row r="3801">
      <c r="A3801" s="56">
        <v>3798.0</v>
      </c>
      <c r="B3801" s="71"/>
      <c r="C3801" s="69" t="s">
        <v>15551</v>
      </c>
      <c r="D3801" s="71"/>
      <c r="E3801" s="68" t="s">
        <v>15552</v>
      </c>
      <c r="F3801" s="71"/>
      <c r="G3801" s="68" t="s">
        <v>15539</v>
      </c>
      <c r="H3801" s="71"/>
      <c r="I3801" s="68" t="s">
        <v>15553</v>
      </c>
      <c r="J3801" s="87" t="s">
        <v>15554</v>
      </c>
      <c r="K3801" s="76">
        <v>42770.0</v>
      </c>
      <c r="L3801" s="68" t="s">
        <v>2743</v>
      </c>
      <c r="M3801" s="68" t="s">
        <v>5702</v>
      </c>
      <c r="N3801" s="77"/>
      <c r="O3801" s="51"/>
    </row>
    <row r="3802">
      <c r="A3802" s="56">
        <v>3799.0</v>
      </c>
      <c r="B3802" s="66"/>
      <c r="C3802" s="64" t="s">
        <v>15555</v>
      </c>
      <c r="D3802" s="66"/>
      <c r="E3802" s="63" t="s">
        <v>15556</v>
      </c>
      <c r="F3802" s="70">
        <v>42168.0</v>
      </c>
      <c r="G3802" s="63" t="s">
        <v>15557</v>
      </c>
      <c r="H3802" s="66"/>
      <c r="I3802" s="66"/>
      <c r="J3802" s="63" t="s">
        <v>2872</v>
      </c>
      <c r="K3802" s="70">
        <v>42775.0</v>
      </c>
      <c r="L3802" s="63" t="s">
        <v>2743</v>
      </c>
      <c r="M3802" s="63" t="s">
        <v>125</v>
      </c>
      <c r="N3802" s="61"/>
      <c r="O3802" s="51"/>
    </row>
    <row r="3803">
      <c r="A3803" s="56">
        <v>3800.0</v>
      </c>
      <c r="B3803" s="71"/>
      <c r="C3803" s="69" t="s">
        <v>15558</v>
      </c>
      <c r="D3803" s="71"/>
      <c r="E3803" s="68" t="s">
        <v>15559</v>
      </c>
      <c r="F3803" s="76">
        <v>42047.0</v>
      </c>
      <c r="G3803" s="68" t="s">
        <v>15560</v>
      </c>
      <c r="H3803" s="71"/>
      <c r="I3803" s="63" t="s">
        <v>635</v>
      </c>
      <c r="J3803" s="68" t="s">
        <v>15561</v>
      </c>
      <c r="K3803" s="76">
        <v>42775.0</v>
      </c>
      <c r="L3803" s="68" t="s">
        <v>2743</v>
      </c>
      <c r="M3803" s="68" t="s">
        <v>2291</v>
      </c>
      <c r="N3803" s="61"/>
      <c r="O3803" s="51"/>
    </row>
    <row r="3804">
      <c r="A3804" s="56">
        <v>3801.0</v>
      </c>
      <c r="B3804" s="71"/>
      <c r="C3804" s="69" t="s">
        <v>15562</v>
      </c>
      <c r="D3804" s="71"/>
      <c r="E3804" s="68" t="s">
        <v>15563</v>
      </c>
      <c r="F3804" s="76">
        <v>42053.0</v>
      </c>
      <c r="G3804" s="68" t="s">
        <v>15564</v>
      </c>
      <c r="H3804" s="71"/>
      <c r="I3804" s="63" t="s">
        <v>15565</v>
      </c>
      <c r="J3804" s="68" t="s">
        <v>15566</v>
      </c>
      <c r="K3804" s="76">
        <v>42775.0</v>
      </c>
      <c r="L3804" s="68" t="s">
        <v>2743</v>
      </c>
      <c r="M3804" s="71"/>
      <c r="N3804" s="61"/>
      <c r="O3804" s="51"/>
    </row>
    <row r="3805">
      <c r="A3805" s="56">
        <v>3802.0</v>
      </c>
      <c r="B3805" s="71"/>
      <c r="C3805" s="69" t="s">
        <v>15567</v>
      </c>
      <c r="D3805" s="71"/>
      <c r="E3805" s="68" t="s">
        <v>15568</v>
      </c>
      <c r="F3805" s="76">
        <v>40814.0</v>
      </c>
      <c r="G3805" s="68" t="s">
        <v>15569</v>
      </c>
      <c r="H3805" s="71"/>
      <c r="I3805" s="66"/>
      <c r="J3805" s="68" t="s">
        <v>15570</v>
      </c>
      <c r="K3805" s="76">
        <v>42775.0</v>
      </c>
      <c r="L3805" s="68" t="s">
        <v>2743</v>
      </c>
      <c r="M3805" s="71"/>
      <c r="N3805" s="61"/>
      <c r="O3805" s="51"/>
    </row>
    <row r="3806">
      <c r="A3806" s="56">
        <v>3803.0</v>
      </c>
      <c r="B3806" s="71"/>
      <c r="C3806" s="69" t="s">
        <v>15571</v>
      </c>
      <c r="D3806" s="71"/>
      <c r="E3806" s="68" t="s">
        <v>15572</v>
      </c>
      <c r="F3806" s="76">
        <v>42766.0</v>
      </c>
      <c r="G3806" s="68" t="s">
        <v>15573</v>
      </c>
      <c r="H3806" s="71"/>
      <c r="I3806" s="68" t="s">
        <v>15574</v>
      </c>
      <c r="J3806" s="68" t="s">
        <v>15575</v>
      </c>
      <c r="K3806" s="76">
        <v>42775.0</v>
      </c>
      <c r="L3806" s="68" t="s">
        <v>2743</v>
      </c>
      <c r="M3806" s="68" t="s">
        <v>4749</v>
      </c>
      <c r="N3806" s="77"/>
      <c r="O3806" s="51"/>
    </row>
    <row r="3807">
      <c r="A3807" s="56">
        <v>3804.0</v>
      </c>
      <c r="B3807" s="71"/>
      <c r="C3807" s="69" t="s">
        <v>15576</v>
      </c>
      <c r="D3807" s="71"/>
      <c r="E3807" s="68" t="s">
        <v>15577</v>
      </c>
      <c r="F3807" s="76">
        <v>42469.0</v>
      </c>
      <c r="G3807" s="68" t="s">
        <v>15578</v>
      </c>
      <c r="H3807" s="71"/>
      <c r="I3807" s="71"/>
      <c r="J3807" s="68" t="s">
        <v>15579</v>
      </c>
      <c r="K3807" s="76">
        <v>42775.0</v>
      </c>
      <c r="L3807" s="68" t="s">
        <v>2743</v>
      </c>
      <c r="M3807" s="68" t="s">
        <v>143</v>
      </c>
      <c r="N3807" s="61"/>
      <c r="O3807" s="51"/>
    </row>
    <row r="3808">
      <c r="A3808" s="56">
        <v>3805.0</v>
      </c>
      <c r="B3808" s="66"/>
      <c r="C3808" s="64" t="s">
        <v>15580</v>
      </c>
      <c r="D3808" s="66"/>
      <c r="E3808" s="63" t="s">
        <v>15581</v>
      </c>
      <c r="F3808" s="65">
        <v>42332.0</v>
      </c>
      <c r="G3808" s="63" t="s">
        <v>15582</v>
      </c>
      <c r="H3808" s="66"/>
      <c r="I3808" s="63" t="s">
        <v>15583</v>
      </c>
      <c r="J3808" s="63" t="s">
        <v>15584</v>
      </c>
      <c r="K3808" s="63" t="s">
        <v>15585</v>
      </c>
      <c r="L3808" s="63" t="s">
        <v>2743</v>
      </c>
      <c r="M3808" s="63" t="s">
        <v>15586</v>
      </c>
      <c r="N3808" s="61"/>
      <c r="O3808" s="51"/>
    </row>
    <row r="3809">
      <c r="A3809" s="56">
        <v>3806.0</v>
      </c>
      <c r="B3809" s="71"/>
      <c r="C3809" s="69" t="s">
        <v>15587</v>
      </c>
      <c r="D3809" s="71"/>
      <c r="E3809" s="68" t="s">
        <v>15588</v>
      </c>
      <c r="F3809" s="76">
        <v>42640.0</v>
      </c>
      <c r="G3809" s="68" t="s">
        <v>15589</v>
      </c>
      <c r="H3809" s="71"/>
      <c r="I3809" s="71"/>
      <c r="J3809" s="68" t="s">
        <v>15590</v>
      </c>
      <c r="K3809" s="225">
        <v>42991.0</v>
      </c>
      <c r="L3809" s="68" t="s">
        <v>2743</v>
      </c>
      <c r="M3809" s="68" t="s">
        <v>1435</v>
      </c>
      <c r="N3809" s="61"/>
      <c r="O3809" s="51"/>
    </row>
    <row r="3810">
      <c r="A3810" s="56">
        <v>3807.0</v>
      </c>
      <c r="B3810" s="71"/>
      <c r="C3810" s="69" t="s">
        <v>15591</v>
      </c>
      <c r="D3810" s="71"/>
      <c r="E3810" s="68" t="s">
        <v>15592</v>
      </c>
      <c r="F3810" s="83">
        <v>42693.0</v>
      </c>
      <c r="G3810" s="68" t="s">
        <v>15593</v>
      </c>
      <c r="H3810" s="71"/>
      <c r="I3810" s="71"/>
      <c r="J3810" s="87" t="s">
        <v>15594</v>
      </c>
      <c r="K3810" s="76">
        <v>42991.0</v>
      </c>
      <c r="L3810" s="68" t="s">
        <v>2743</v>
      </c>
      <c r="M3810" s="68" t="s">
        <v>5707</v>
      </c>
      <c r="N3810" s="77"/>
      <c r="O3810" s="51"/>
    </row>
    <row r="3811">
      <c r="A3811" s="56">
        <v>3808.0</v>
      </c>
      <c r="B3811" s="66"/>
      <c r="C3811" s="64" t="s">
        <v>15595</v>
      </c>
      <c r="D3811" s="66"/>
      <c r="E3811" s="63" t="s">
        <v>15596</v>
      </c>
      <c r="F3811" s="63">
        <v>2016.0</v>
      </c>
      <c r="G3811" s="63" t="s">
        <v>15597</v>
      </c>
      <c r="H3811" s="63" t="s">
        <v>15598</v>
      </c>
      <c r="I3811" s="63" t="s">
        <v>15599</v>
      </c>
      <c r="J3811" s="63" t="s">
        <v>3575</v>
      </c>
      <c r="K3811" s="70">
        <v>42991.0</v>
      </c>
      <c r="L3811" s="66"/>
      <c r="M3811" s="63" t="s">
        <v>2152</v>
      </c>
      <c r="N3811" s="61"/>
      <c r="O3811" s="51"/>
    </row>
    <row r="3812">
      <c r="A3812" s="56">
        <v>3809.0</v>
      </c>
      <c r="B3812" s="71"/>
      <c r="C3812" s="69" t="s">
        <v>15600</v>
      </c>
      <c r="D3812" s="71"/>
      <c r="E3812" s="68" t="s">
        <v>15601</v>
      </c>
      <c r="F3812" s="76">
        <v>42385.0</v>
      </c>
      <c r="G3812" s="68" t="s">
        <v>15602</v>
      </c>
      <c r="H3812" s="71"/>
      <c r="I3812" s="68" t="s">
        <v>15603</v>
      </c>
      <c r="J3812" s="68" t="s">
        <v>15604</v>
      </c>
      <c r="K3812" s="76">
        <v>42781.0</v>
      </c>
      <c r="L3812" s="68" t="s">
        <v>2743</v>
      </c>
      <c r="M3812" s="68" t="s">
        <v>27</v>
      </c>
      <c r="N3812" s="61"/>
      <c r="O3812" s="51"/>
    </row>
    <row r="3813">
      <c r="A3813" s="56">
        <v>3810.0</v>
      </c>
      <c r="B3813" s="66"/>
      <c r="C3813" s="64" t="s">
        <v>15605</v>
      </c>
      <c r="D3813" s="66"/>
      <c r="E3813" s="63" t="s">
        <v>15606</v>
      </c>
      <c r="F3813" s="70">
        <v>42586.0</v>
      </c>
      <c r="G3813" s="63" t="s">
        <v>15607</v>
      </c>
      <c r="H3813" s="63" t="s">
        <v>15608</v>
      </c>
      <c r="I3813" s="63" t="s">
        <v>15609</v>
      </c>
      <c r="J3813" s="63" t="s">
        <v>15610</v>
      </c>
      <c r="K3813" s="70">
        <v>42753.0</v>
      </c>
      <c r="L3813" s="63" t="s">
        <v>2743</v>
      </c>
      <c r="M3813" s="63" t="s">
        <v>872</v>
      </c>
      <c r="N3813" s="61"/>
      <c r="O3813" s="51"/>
    </row>
    <row r="3814">
      <c r="A3814" s="56">
        <v>3811.0</v>
      </c>
      <c r="B3814" s="71"/>
      <c r="C3814" s="69" t="s">
        <v>15611</v>
      </c>
      <c r="D3814" s="71"/>
      <c r="E3814" s="68" t="s">
        <v>15612</v>
      </c>
      <c r="F3814" s="76">
        <v>42130.0</v>
      </c>
      <c r="G3814" s="68" t="s">
        <v>15613</v>
      </c>
      <c r="H3814" s="71"/>
      <c r="I3814" s="66"/>
      <c r="J3814" s="68" t="s">
        <v>15614</v>
      </c>
      <c r="K3814" s="76">
        <v>42753.0</v>
      </c>
      <c r="L3814" s="68" t="s">
        <v>2743</v>
      </c>
      <c r="M3814" s="68" t="s">
        <v>282</v>
      </c>
      <c r="N3814" s="61"/>
      <c r="O3814" s="51"/>
    </row>
    <row r="3815">
      <c r="A3815" s="56">
        <v>3812.0</v>
      </c>
      <c r="B3815" s="71"/>
      <c r="C3815" s="69" t="s">
        <v>15615</v>
      </c>
      <c r="D3815" s="71"/>
      <c r="E3815" s="68" t="s">
        <v>15616</v>
      </c>
      <c r="F3815" s="76">
        <v>39346.0</v>
      </c>
      <c r="G3815" s="68" t="s">
        <v>15617</v>
      </c>
      <c r="H3815" s="71"/>
      <c r="I3815" s="71"/>
      <c r="J3815" s="68" t="s">
        <v>15618</v>
      </c>
      <c r="K3815" s="225">
        <v>42753.0</v>
      </c>
      <c r="L3815" s="68" t="s">
        <v>2743</v>
      </c>
      <c r="M3815" s="68" t="s">
        <v>143</v>
      </c>
      <c r="N3815" s="77"/>
      <c r="O3815" s="51"/>
    </row>
    <row r="3816">
      <c r="A3816" s="56">
        <v>3813.0</v>
      </c>
      <c r="B3816" s="71"/>
      <c r="C3816" s="69" t="s">
        <v>15619</v>
      </c>
      <c r="D3816" s="71"/>
      <c r="E3816" s="68" t="s">
        <v>15620</v>
      </c>
      <c r="F3816" s="76">
        <v>39346.0</v>
      </c>
      <c r="G3816" s="68" t="s">
        <v>15617</v>
      </c>
      <c r="H3816" s="71"/>
      <c r="I3816" s="71"/>
      <c r="J3816" s="68" t="s">
        <v>15621</v>
      </c>
      <c r="K3816" s="225">
        <v>42753.0</v>
      </c>
      <c r="L3816" s="68" t="s">
        <v>2743</v>
      </c>
      <c r="M3816" s="68" t="s">
        <v>143</v>
      </c>
      <c r="N3816" s="77"/>
      <c r="O3816" s="51"/>
    </row>
    <row r="3817">
      <c r="A3817" s="56">
        <v>3814.0</v>
      </c>
      <c r="B3817" s="71"/>
      <c r="C3817" s="69" t="s">
        <v>15622</v>
      </c>
      <c r="D3817" s="71"/>
      <c r="E3817" s="68" t="s">
        <v>15623</v>
      </c>
      <c r="F3817" s="76">
        <v>42776.0</v>
      </c>
      <c r="G3817" s="68" t="s">
        <v>15624</v>
      </c>
      <c r="H3817" s="71"/>
      <c r="I3817" s="63" t="s">
        <v>15625</v>
      </c>
      <c r="J3817" s="68" t="s">
        <v>15626</v>
      </c>
      <c r="K3817" s="76">
        <v>42753.0</v>
      </c>
      <c r="L3817" s="68" t="s">
        <v>2743</v>
      </c>
      <c r="M3817" s="71"/>
      <c r="N3817" s="61"/>
      <c r="O3817" s="51"/>
    </row>
    <row r="3818">
      <c r="A3818" s="56">
        <v>3815.0</v>
      </c>
      <c r="B3818" s="66"/>
      <c r="C3818" s="64" t="s">
        <v>15627</v>
      </c>
      <c r="D3818" s="66"/>
      <c r="E3818" s="63" t="s">
        <v>15628</v>
      </c>
      <c r="F3818" s="65">
        <v>42329.0</v>
      </c>
      <c r="G3818" s="63" t="s">
        <v>15629</v>
      </c>
      <c r="H3818" s="66"/>
      <c r="I3818" s="63" t="s">
        <v>635</v>
      </c>
      <c r="J3818" s="63" t="s">
        <v>15630</v>
      </c>
      <c r="K3818" s="76">
        <v>42753.0</v>
      </c>
      <c r="L3818" s="63" t="s">
        <v>2743</v>
      </c>
      <c r="M3818" s="63" t="s">
        <v>3012</v>
      </c>
      <c r="N3818" s="61"/>
      <c r="O3818" s="51"/>
    </row>
    <row r="3819">
      <c r="A3819" s="56">
        <v>3816.0</v>
      </c>
      <c r="B3819" s="71"/>
      <c r="C3819" s="69" t="s">
        <v>15631</v>
      </c>
      <c r="D3819" s="71"/>
      <c r="E3819" s="68" t="s">
        <v>15632</v>
      </c>
      <c r="F3819" s="76">
        <v>42770.0</v>
      </c>
      <c r="G3819" s="68" t="s">
        <v>15633</v>
      </c>
      <c r="H3819" s="71"/>
      <c r="I3819" s="68" t="s">
        <v>635</v>
      </c>
      <c r="J3819" s="68" t="s">
        <v>15634</v>
      </c>
      <c r="K3819" s="70">
        <v>42753.0</v>
      </c>
      <c r="L3819" s="68" t="s">
        <v>2743</v>
      </c>
      <c r="M3819" s="68" t="s">
        <v>31</v>
      </c>
      <c r="N3819" s="61"/>
      <c r="O3819" s="51"/>
    </row>
    <row r="3820">
      <c r="A3820" s="56">
        <v>3817.0</v>
      </c>
      <c r="B3820" s="71"/>
      <c r="C3820" s="69" t="s">
        <v>15635</v>
      </c>
      <c r="D3820" s="71"/>
      <c r="E3820" s="68" t="s">
        <v>15636</v>
      </c>
      <c r="F3820" s="76">
        <v>42752.0</v>
      </c>
      <c r="G3820" s="68" t="s">
        <v>15637</v>
      </c>
      <c r="H3820" s="71"/>
      <c r="I3820" s="63" t="s">
        <v>635</v>
      </c>
      <c r="J3820" s="68" t="s">
        <v>15638</v>
      </c>
      <c r="K3820" s="76">
        <v>42753.0</v>
      </c>
      <c r="L3820" s="68" t="s">
        <v>14256</v>
      </c>
      <c r="M3820" s="104"/>
      <c r="N3820" s="105"/>
      <c r="O3820" s="51"/>
    </row>
    <row r="3821">
      <c r="A3821" s="56">
        <v>3818.0</v>
      </c>
      <c r="B3821" s="71"/>
      <c r="C3821" s="69" t="s">
        <v>15639</v>
      </c>
      <c r="D3821" s="71"/>
      <c r="E3821" s="68" t="s">
        <v>15640</v>
      </c>
      <c r="F3821" s="76">
        <v>42748.0</v>
      </c>
      <c r="G3821" s="68" t="s">
        <v>15641</v>
      </c>
      <c r="H3821" s="71"/>
      <c r="I3821" s="63" t="s">
        <v>635</v>
      </c>
      <c r="J3821" s="68" t="s">
        <v>15642</v>
      </c>
      <c r="K3821" s="76">
        <v>42753.0</v>
      </c>
      <c r="L3821" s="68" t="s">
        <v>14256</v>
      </c>
      <c r="M3821" s="128" t="s">
        <v>166</v>
      </c>
      <c r="N3821" s="61"/>
      <c r="O3821" s="51"/>
    </row>
    <row r="3822">
      <c r="A3822" s="56">
        <v>3819.0</v>
      </c>
      <c r="B3822" s="71"/>
      <c r="C3822" s="69" t="s">
        <v>15643</v>
      </c>
      <c r="D3822" s="71"/>
      <c r="E3822" s="68" t="s">
        <v>15644</v>
      </c>
      <c r="F3822" s="76">
        <v>42752.0</v>
      </c>
      <c r="G3822" s="68" t="s">
        <v>15645</v>
      </c>
      <c r="H3822" s="71"/>
      <c r="I3822" s="63" t="s">
        <v>635</v>
      </c>
      <c r="J3822" s="68" t="s">
        <v>15646</v>
      </c>
      <c r="K3822" s="76">
        <v>42753.0</v>
      </c>
      <c r="L3822" s="68" t="s">
        <v>14256</v>
      </c>
      <c r="M3822" s="68" t="s">
        <v>166</v>
      </c>
      <c r="N3822" s="61"/>
      <c r="O3822" s="51"/>
    </row>
    <row r="3823">
      <c r="A3823" s="56">
        <v>3820.0</v>
      </c>
      <c r="B3823" s="60"/>
      <c r="C3823" s="58" t="s">
        <v>15647</v>
      </c>
      <c r="D3823" s="60"/>
      <c r="E3823" s="57" t="s">
        <v>15648</v>
      </c>
      <c r="F3823" s="59">
        <v>42753.0</v>
      </c>
      <c r="G3823" s="57" t="s">
        <v>15649</v>
      </c>
      <c r="H3823" s="60"/>
      <c r="I3823" s="63" t="s">
        <v>635</v>
      </c>
      <c r="J3823" s="57" t="s">
        <v>15650</v>
      </c>
      <c r="K3823" s="59">
        <v>42753.0</v>
      </c>
      <c r="L3823" s="57" t="s">
        <v>14256</v>
      </c>
      <c r="M3823" s="57" t="s">
        <v>166</v>
      </c>
      <c r="N3823" s="61"/>
      <c r="O3823" s="51"/>
    </row>
    <row r="3824">
      <c r="A3824" s="56">
        <v>3821.0</v>
      </c>
      <c r="B3824" s="71"/>
      <c r="C3824" s="69" t="s">
        <v>15651</v>
      </c>
      <c r="D3824" s="71"/>
      <c r="E3824" s="68" t="s">
        <v>15652</v>
      </c>
      <c r="F3824" s="76">
        <v>42605.0</v>
      </c>
      <c r="G3824" s="68" t="s">
        <v>15653</v>
      </c>
      <c r="H3824" s="71"/>
      <c r="I3824" s="63" t="s">
        <v>15654</v>
      </c>
      <c r="J3824" s="68" t="s">
        <v>15655</v>
      </c>
      <c r="K3824" s="76">
        <v>42753.0</v>
      </c>
      <c r="L3824" s="68" t="s">
        <v>2743</v>
      </c>
      <c r="M3824" s="68" t="s">
        <v>166</v>
      </c>
      <c r="N3824" s="61"/>
      <c r="O3824" s="51"/>
    </row>
    <row r="3825">
      <c r="A3825" s="56">
        <v>3822.0</v>
      </c>
      <c r="B3825" s="71"/>
      <c r="C3825" s="69" t="s">
        <v>15656</v>
      </c>
      <c r="D3825" s="71"/>
      <c r="E3825" s="68" t="s">
        <v>15657</v>
      </c>
      <c r="F3825" s="76">
        <v>42739.0</v>
      </c>
      <c r="G3825" s="68" t="s">
        <v>15658</v>
      </c>
      <c r="H3825" s="71"/>
      <c r="I3825" s="63" t="s">
        <v>15659</v>
      </c>
      <c r="J3825" s="68" t="s">
        <v>9979</v>
      </c>
      <c r="K3825" s="76">
        <v>42753.0</v>
      </c>
      <c r="L3825" s="68" t="s">
        <v>2743</v>
      </c>
      <c r="M3825" s="68" t="s">
        <v>15660</v>
      </c>
      <c r="N3825" s="61"/>
      <c r="O3825" s="51"/>
    </row>
    <row r="3826">
      <c r="A3826" s="56">
        <v>3823.0</v>
      </c>
      <c r="B3826" s="71"/>
      <c r="C3826" s="69" t="s">
        <v>15661</v>
      </c>
      <c r="D3826" s="71"/>
      <c r="E3826" s="68" t="s">
        <v>15662</v>
      </c>
      <c r="F3826" s="76">
        <v>42636.0</v>
      </c>
      <c r="G3826" s="68" t="s">
        <v>15663</v>
      </c>
      <c r="H3826" s="71"/>
      <c r="I3826" s="63" t="s">
        <v>15664</v>
      </c>
      <c r="J3826" s="68" t="s">
        <v>15665</v>
      </c>
      <c r="K3826" s="76">
        <v>42757.0</v>
      </c>
      <c r="L3826" s="68" t="s">
        <v>2743</v>
      </c>
      <c r="M3826" s="104"/>
      <c r="N3826" s="105"/>
      <c r="O3826" s="51"/>
    </row>
    <row r="3827">
      <c r="A3827" s="56">
        <v>3824.0</v>
      </c>
      <c r="B3827" s="66"/>
      <c r="C3827" s="64" t="s">
        <v>15666</v>
      </c>
      <c r="D3827" s="66"/>
      <c r="E3827" s="63" t="s">
        <v>15667</v>
      </c>
      <c r="F3827" s="65">
        <v>40146.0</v>
      </c>
      <c r="G3827" s="63" t="s">
        <v>15668</v>
      </c>
      <c r="H3827" s="63" t="s">
        <v>15669</v>
      </c>
      <c r="I3827" s="63" t="s">
        <v>15670</v>
      </c>
      <c r="J3827" s="63" t="s">
        <v>7442</v>
      </c>
      <c r="K3827" s="70">
        <v>42757.0</v>
      </c>
      <c r="L3827" s="63" t="s">
        <v>2743</v>
      </c>
      <c r="M3827" s="74" t="s">
        <v>282</v>
      </c>
      <c r="N3827" s="61"/>
      <c r="O3827" s="51"/>
    </row>
    <row r="3828">
      <c r="A3828" s="56">
        <v>3825.0</v>
      </c>
      <c r="B3828" s="71"/>
      <c r="C3828" s="69" t="s">
        <v>15671</v>
      </c>
      <c r="D3828" s="71"/>
      <c r="E3828" s="68" t="s">
        <v>15672</v>
      </c>
      <c r="F3828" s="76">
        <v>42787.0</v>
      </c>
      <c r="G3828" s="68" t="s">
        <v>15673</v>
      </c>
      <c r="H3828" s="71"/>
      <c r="I3828" s="68" t="s">
        <v>15674</v>
      </c>
      <c r="J3828" s="68" t="s">
        <v>15675</v>
      </c>
      <c r="K3828" s="76">
        <v>42791.0</v>
      </c>
      <c r="L3828" s="68" t="s">
        <v>2743</v>
      </c>
      <c r="M3828" s="68" t="s">
        <v>4273</v>
      </c>
      <c r="N3828" s="61"/>
      <c r="O3828" s="51"/>
    </row>
    <row r="3829">
      <c r="A3829" s="56">
        <v>3826.0</v>
      </c>
      <c r="B3829" s="66"/>
      <c r="C3829" s="64" t="s">
        <v>15676</v>
      </c>
      <c r="D3829" s="66"/>
      <c r="E3829" s="63" t="s">
        <v>15677</v>
      </c>
      <c r="F3829" s="70">
        <v>42271.0</v>
      </c>
      <c r="G3829" s="63" t="s">
        <v>15678</v>
      </c>
      <c r="H3829" s="66"/>
      <c r="I3829" s="66"/>
      <c r="J3829" s="63" t="s">
        <v>5692</v>
      </c>
      <c r="K3829" s="70">
        <v>42791.0</v>
      </c>
      <c r="L3829" s="63" t="s">
        <v>2743</v>
      </c>
      <c r="M3829" s="63" t="s">
        <v>5537</v>
      </c>
      <c r="N3829" s="61"/>
      <c r="O3829" s="51"/>
    </row>
    <row r="3830">
      <c r="A3830" s="56">
        <v>3827.0</v>
      </c>
      <c r="B3830" s="71"/>
      <c r="C3830" s="69" t="s">
        <v>15679</v>
      </c>
      <c r="D3830" s="71"/>
      <c r="E3830" s="68" t="s">
        <v>15680</v>
      </c>
      <c r="F3830" s="76">
        <v>42506.0</v>
      </c>
      <c r="G3830" s="68" t="s">
        <v>15681</v>
      </c>
      <c r="H3830" s="71"/>
      <c r="I3830" s="63" t="s">
        <v>15682</v>
      </c>
      <c r="J3830" s="68" t="s">
        <v>15683</v>
      </c>
      <c r="K3830" s="76">
        <v>42791.0</v>
      </c>
      <c r="L3830" s="68" t="s">
        <v>2743</v>
      </c>
      <c r="M3830" s="68" t="s">
        <v>4273</v>
      </c>
      <c r="N3830" s="61"/>
      <c r="O3830" s="51"/>
    </row>
    <row r="3831">
      <c r="A3831" s="56">
        <v>3828.0</v>
      </c>
      <c r="B3831" s="71"/>
      <c r="C3831" s="69" t="s">
        <v>15684</v>
      </c>
      <c r="D3831" s="71"/>
      <c r="E3831" s="68" t="s">
        <v>15685</v>
      </c>
      <c r="F3831" s="76">
        <v>41654.0</v>
      </c>
      <c r="G3831" s="68" t="s">
        <v>15686</v>
      </c>
      <c r="H3831" s="71"/>
      <c r="I3831" s="66"/>
      <c r="J3831" s="68" t="s">
        <v>15687</v>
      </c>
      <c r="K3831" s="76">
        <v>42791.0</v>
      </c>
      <c r="L3831" s="68" t="s">
        <v>2743</v>
      </c>
      <c r="M3831" s="68" t="s">
        <v>125</v>
      </c>
      <c r="N3831" s="61"/>
      <c r="O3831" s="51"/>
    </row>
    <row r="3832">
      <c r="A3832" s="56">
        <v>3829.0</v>
      </c>
      <c r="B3832" s="71"/>
      <c r="C3832" s="69" t="s">
        <v>15688</v>
      </c>
      <c r="D3832" s="71"/>
      <c r="E3832" s="68" t="s">
        <v>15689</v>
      </c>
      <c r="F3832" s="76">
        <v>41912.0</v>
      </c>
      <c r="G3832" s="68" t="s">
        <v>15690</v>
      </c>
      <c r="H3832" s="71"/>
      <c r="I3832" s="66"/>
      <c r="J3832" s="68" t="s">
        <v>15691</v>
      </c>
      <c r="K3832" s="76">
        <v>42793.0</v>
      </c>
      <c r="L3832" s="68" t="s">
        <v>2743</v>
      </c>
      <c r="M3832" s="71"/>
      <c r="N3832" s="61"/>
      <c r="O3832" s="51"/>
    </row>
    <row r="3833">
      <c r="A3833" s="56">
        <v>3830.0</v>
      </c>
      <c r="B3833" s="71"/>
      <c r="C3833" s="69" t="s">
        <v>15692</v>
      </c>
      <c r="D3833" s="71"/>
      <c r="E3833" s="68" t="s">
        <v>15693</v>
      </c>
      <c r="F3833" s="76">
        <v>41834.0</v>
      </c>
      <c r="G3833" s="68" t="s">
        <v>15694</v>
      </c>
      <c r="H3833" s="71"/>
      <c r="I3833" s="63" t="s">
        <v>15695</v>
      </c>
      <c r="J3833" s="68" t="s">
        <v>2021</v>
      </c>
      <c r="K3833" s="76">
        <v>42793.0</v>
      </c>
      <c r="L3833" s="68" t="s">
        <v>2743</v>
      </c>
      <c r="M3833" s="71"/>
      <c r="N3833" s="61"/>
      <c r="O3833" s="51"/>
    </row>
    <row r="3834">
      <c r="A3834" s="56">
        <v>3831.0</v>
      </c>
      <c r="B3834" s="71"/>
      <c r="C3834" s="69" t="s">
        <v>15696</v>
      </c>
      <c r="D3834" s="71"/>
      <c r="E3834" s="68" t="s">
        <v>15697</v>
      </c>
      <c r="F3834" s="76">
        <v>42770.0</v>
      </c>
      <c r="G3834" s="68" t="s">
        <v>15698</v>
      </c>
      <c r="H3834" s="71"/>
      <c r="I3834" s="68" t="s">
        <v>15699</v>
      </c>
      <c r="J3834" s="68" t="s">
        <v>15700</v>
      </c>
      <c r="K3834" s="76">
        <v>42794.0</v>
      </c>
      <c r="L3834" s="68" t="s">
        <v>2743</v>
      </c>
      <c r="M3834" s="68" t="s">
        <v>14984</v>
      </c>
      <c r="N3834" s="77"/>
      <c r="O3834" s="51"/>
    </row>
    <row r="3835">
      <c r="A3835" s="56">
        <v>3832.0</v>
      </c>
      <c r="B3835" s="71"/>
      <c r="C3835" s="69" t="s">
        <v>15701</v>
      </c>
      <c r="D3835" s="71"/>
      <c r="E3835" s="68" t="s">
        <v>15702</v>
      </c>
      <c r="F3835" s="83">
        <v>42330.0</v>
      </c>
      <c r="G3835" s="68" t="s">
        <v>15703</v>
      </c>
      <c r="H3835" s="71"/>
      <c r="I3835" s="71"/>
      <c r="J3835" s="68" t="s">
        <v>15704</v>
      </c>
      <c r="K3835" s="76">
        <v>42794.0</v>
      </c>
      <c r="L3835" s="68" t="s">
        <v>2743</v>
      </c>
      <c r="M3835" s="68" t="s">
        <v>2263</v>
      </c>
      <c r="N3835" s="77"/>
      <c r="O3835" s="51"/>
    </row>
    <row r="3836">
      <c r="A3836" s="56">
        <v>3833.0</v>
      </c>
      <c r="B3836" s="71"/>
      <c r="C3836" s="69" t="s">
        <v>15705</v>
      </c>
      <c r="D3836" s="71"/>
      <c r="E3836" s="68" t="s">
        <v>15538</v>
      </c>
      <c r="F3836" s="76">
        <v>42606.0</v>
      </c>
      <c r="G3836" s="68" t="s">
        <v>15706</v>
      </c>
      <c r="H3836" s="71"/>
      <c r="I3836" s="71"/>
      <c r="J3836" s="68" t="s">
        <v>15707</v>
      </c>
      <c r="K3836" s="76">
        <v>42794.0</v>
      </c>
      <c r="L3836" s="68" t="s">
        <v>2743</v>
      </c>
      <c r="M3836" s="68" t="s">
        <v>5702</v>
      </c>
      <c r="N3836" s="77"/>
      <c r="O3836" s="51"/>
    </row>
    <row r="3837">
      <c r="A3837" s="56">
        <v>3834.0</v>
      </c>
      <c r="B3837" s="71"/>
      <c r="C3837" s="69" t="s">
        <v>15708</v>
      </c>
      <c r="D3837" s="71"/>
      <c r="E3837" s="68" t="s">
        <v>15709</v>
      </c>
      <c r="F3837" s="76">
        <v>42606.0</v>
      </c>
      <c r="G3837" s="68" t="s">
        <v>15706</v>
      </c>
      <c r="H3837" s="71"/>
      <c r="I3837" s="71"/>
      <c r="J3837" s="68" t="s">
        <v>15710</v>
      </c>
      <c r="K3837" s="76">
        <v>42794.0</v>
      </c>
      <c r="L3837" s="68" t="s">
        <v>2743</v>
      </c>
      <c r="M3837" s="68" t="s">
        <v>5702</v>
      </c>
      <c r="N3837" s="77"/>
      <c r="O3837" s="51"/>
    </row>
    <row r="3838">
      <c r="A3838" s="56">
        <v>3835.0</v>
      </c>
      <c r="B3838" s="71"/>
      <c r="C3838" s="69" t="s">
        <v>15711</v>
      </c>
      <c r="D3838" s="71"/>
      <c r="E3838" s="68" t="s">
        <v>15712</v>
      </c>
      <c r="F3838" s="76">
        <v>42345.0</v>
      </c>
      <c r="G3838" s="68" t="s">
        <v>15713</v>
      </c>
      <c r="H3838" s="71"/>
      <c r="I3838" s="68" t="s">
        <v>635</v>
      </c>
      <c r="J3838" s="68" t="s">
        <v>15714</v>
      </c>
      <c r="K3838" s="76">
        <v>42794.0</v>
      </c>
      <c r="L3838" s="68" t="s">
        <v>2743</v>
      </c>
      <c r="M3838" s="68" t="s">
        <v>872</v>
      </c>
      <c r="N3838" s="77"/>
      <c r="O3838" s="51"/>
    </row>
    <row r="3839">
      <c r="A3839" s="75">
        <v>3836.0</v>
      </c>
      <c r="B3839" s="71"/>
      <c r="C3839" s="69" t="s">
        <v>15715</v>
      </c>
      <c r="D3839" s="71"/>
      <c r="E3839" s="68" t="s">
        <v>15716</v>
      </c>
      <c r="F3839" s="76">
        <v>39205.0</v>
      </c>
      <c r="G3839" s="68" t="s">
        <v>15717</v>
      </c>
      <c r="H3839" s="71"/>
      <c r="I3839" s="68" t="s">
        <v>15718</v>
      </c>
      <c r="J3839" s="68" t="s">
        <v>15719</v>
      </c>
      <c r="K3839" s="76">
        <v>42797.0</v>
      </c>
      <c r="L3839" s="68" t="s">
        <v>2743</v>
      </c>
      <c r="M3839" s="68" t="s">
        <v>143</v>
      </c>
      <c r="N3839" s="77"/>
      <c r="O3839" s="51"/>
    </row>
    <row r="3840">
      <c r="A3840" s="56">
        <v>3837.0</v>
      </c>
      <c r="B3840" s="71"/>
      <c r="C3840" s="69" t="s">
        <v>15720</v>
      </c>
      <c r="D3840" s="71"/>
      <c r="E3840" s="68" t="s">
        <v>15721</v>
      </c>
      <c r="F3840" s="76">
        <v>42794.0</v>
      </c>
      <c r="G3840" s="68" t="s">
        <v>15722</v>
      </c>
      <c r="H3840" s="71"/>
      <c r="I3840" s="66"/>
      <c r="J3840" s="68" t="s">
        <v>15723</v>
      </c>
      <c r="K3840" s="76">
        <v>42804.0</v>
      </c>
      <c r="L3840" s="68" t="s">
        <v>2743</v>
      </c>
      <c r="M3840" s="68" t="s">
        <v>143</v>
      </c>
      <c r="N3840" s="61"/>
      <c r="O3840" s="51"/>
    </row>
    <row r="3841">
      <c r="A3841" s="56">
        <v>3838.0</v>
      </c>
      <c r="B3841" s="66"/>
      <c r="C3841" s="64" t="s">
        <v>15724</v>
      </c>
      <c r="D3841" s="66"/>
      <c r="E3841" s="63" t="s">
        <v>15725</v>
      </c>
      <c r="F3841" s="70">
        <v>42341.0</v>
      </c>
      <c r="G3841" s="63" t="s">
        <v>15726</v>
      </c>
      <c r="H3841" s="66"/>
      <c r="I3841" s="66"/>
      <c r="J3841" s="63" t="s">
        <v>6322</v>
      </c>
      <c r="K3841" s="70">
        <v>42804.0</v>
      </c>
      <c r="L3841" s="63" t="s">
        <v>2743</v>
      </c>
      <c r="M3841" s="63" t="s">
        <v>4749</v>
      </c>
      <c r="N3841" s="61"/>
      <c r="O3841" s="51"/>
    </row>
    <row r="3842">
      <c r="A3842" s="56">
        <v>3839.0</v>
      </c>
      <c r="B3842" s="71"/>
      <c r="C3842" s="69" t="s">
        <v>15727</v>
      </c>
      <c r="D3842" s="71"/>
      <c r="E3842" s="68" t="s">
        <v>15728</v>
      </c>
      <c r="F3842" s="76">
        <v>42796.0</v>
      </c>
      <c r="G3842" s="68" t="s">
        <v>15729</v>
      </c>
      <c r="H3842" s="71"/>
      <c r="I3842" s="63" t="s">
        <v>15730</v>
      </c>
      <c r="J3842" s="68" t="s">
        <v>15731</v>
      </c>
      <c r="K3842" s="76">
        <v>42804.0</v>
      </c>
      <c r="L3842" s="68" t="s">
        <v>2743</v>
      </c>
      <c r="M3842" s="68" t="s">
        <v>149</v>
      </c>
      <c r="N3842" s="61"/>
      <c r="O3842" s="51"/>
    </row>
    <row r="3843">
      <c r="A3843" s="56">
        <v>3840.0</v>
      </c>
      <c r="B3843" s="71"/>
      <c r="C3843" s="69" t="s">
        <v>15732</v>
      </c>
      <c r="D3843" s="71"/>
      <c r="E3843" s="68" t="s">
        <v>15733</v>
      </c>
      <c r="F3843" s="76">
        <v>42035.0</v>
      </c>
      <c r="G3843" s="68" t="s">
        <v>15734</v>
      </c>
      <c r="H3843" s="71"/>
      <c r="I3843" s="63" t="s">
        <v>15735</v>
      </c>
      <c r="J3843" s="68" t="s">
        <v>15736</v>
      </c>
      <c r="K3843" s="76">
        <v>42804.0</v>
      </c>
      <c r="L3843" s="68" t="s">
        <v>2743</v>
      </c>
      <c r="M3843" s="68" t="s">
        <v>125</v>
      </c>
      <c r="N3843" s="61"/>
      <c r="O3843" s="51"/>
    </row>
    <row r="3844">
      <c r="A3844" s="56">
        <v>3841.0</v>
      </c>
      <c r="B3844" s="71"/>
      <c r="C3844" s="69" t="s">
        <v>15737</v>
      </c>
      <c r="D3844" s="71"/>
      <c r="E3844" s="68" t="s">
        <v>15738</v>
      </c>
      <c r="F3844" s="76">
        <v>42780.0</v>
      </c>
      <c r="G3844" s="68" t="s">
        <v>15739</v>
      </c>
      <c r="H3844" s="71"/>
      <c r="I3844" s="68" t="s">
        <v>15740</v>
      </c>
      <c r="J3844" s="68" t="s">
        <v>15741</v>
      </c>
      <c r="K3844" s="76">
        <v>42804.0</v>
      </c>
      <c r="L3844" s="68" t="s">
        <v>2743</v>
      </c>
      <c r="M3844" s="68" t="s">
        <v>4273</v>
      </c>
      <c r="N3844" s="77"/>
      <c r="O3844" s="51"/>
    </row>
    <row r="3845">
      <c r="A3845" s="56">
        <v>3842.0</v>
      </c>
      <c r="B3845" s="71"/>
      <c r="C3845" s="69" t="s">
        <v>15742</v>
      </c>
      <c r="D3845" s="71"/>
      <c r="E3845" s="68" t="s">
        <v>15743</v>
      </c>
      <c r="F3845" s="76">
        <v>42790.0</v>
      </c>
      <c r="G3845" s="68" t="s">
        <v>15744</v>
      </c>
      <c r="H3845" s="71"/>
      <c r="I3845" s="63" t="s">
        <v>15745</v>
      </c>
      <c r="J3845" s="68" t="s">
        <v>15746</v>
      </c>
      <c r="K3845" s="76">
        <v>42804.0</v>
      </c>
      <c r="L3845" s="68" t="s">
        <v>2743</v>
      </c>
      <c r="M3845" s="68" t="s">
        <v>31</v>
      </c>
      <c r="N3845" s="61"/>
      <c r="O3845" s="51"/>
    </row>
    <row r="3846">
      <c r="A3846" s="56">
        <v>3843.0</v>
      </c>
      <c r="B3846" s="71"/>
      <c r="C3846" s="69" t="s">
        <v>15747</v>
      </c>
      <c r="D3846" s="71"/>
      <c r="E3846" s="68" t="s">
        <v>15748</v>
      </c>
      <c r="F3846" s="76">
        <v>42744.0</v>
      </c>
      <c r="G3846" s="68" t="s">
        <v>15749</v>
      </c>
      <c r="H3846" s="71"/>
      <c r="I3846" s="71"/>
      <c r="J3846" s="68" t="s">
        <v>15750</v>
      </c>
      <c r="K3846" s="76">
        <v>42804.0</v>
      </c>
      <c r="L3846" s="68" t="s">
        <v>2743</v>
      </c>
      <c r="M3846" s="68" t="s">
        <v>14984</v>
      </c>
      <c r="N3846" s="61"/>
      <c r="O3846" s="51"/>
    </row>
    <row r="3847">
      <c r="A3847" s="56">
        <v>3844.0</v>
      </c>
      <c r="B3847" s="71"/>
      <c r="C3847" s="69" t="s">
        <v>15751</v>
      </c>
      <c r="D3847" s="71"/>
      <c r="E3847" s="68" t="s">
        <v>15752</v>
      </c>
      <c r="F3847" s="76">
        <v>42457.0</v>
      </c>
      <c r="G3847" s="68" t="s">
        <v>15753</v>
      </c>
      <c r="H3847" s="71"/>
      <c r="I3847" s="66"/>
      <c r="J3847" s="68" t="s">
        <v>15754</v>
      </c>
      <c r="K3847" s="76">
        <v>42804.0</v>
      </c>
      <c r="L3847" s="68" t="s">
        <v>2743</v>
      </c>
      <c r="M3847" s="71"/>
      <c r="N3847" s="61"/>
      <c r="O3847" s="51"/>
    </row>
    <row r="3848">
      <c r="A3848" s="56">
        <v>3845.0</v>
      </c>
      <c r="B3848" s="71"/>
      <c r="C3848" s="69" t="s">
        <v>15755</v>
      </c>
      <c r="D3848" s="71"/>
      <c r="E3848" s="68" t="s">
        <v>15756</v>
      </c>
      <c r="F3848" s="76">
        <v>42505.0</v>
      </c>
      <c r="G3848" s="68" t="s">
        <v>15757</v>
      </c>
      <c r="H3848" s="71"/>
      <c r="I3848" s="63" t="s">
        <v>15758</v>
      </c>
      <c r="J3848" s="68" t="s">
        <v>15759</v>
      </c>
      <c r="K3848" s="76">
        <v>42804.0</v>
      </c>
      <c r="L3848" s="68" t="s">
        <v>2743</v>
      </c>
      <c r="M3848" s="68" t="s">
        <v>27</v>
      </c>
      <c r="N3848" s="61"/>
      <c r="O3848" s="51"/>
    </row>
    <row r="3849">
      <c r="A3849" s="56">
        <v>3846.0</v>
      </c>
      <c r="B3849" s="71"/>
      <c r="C3849" s="69" t="s">
        <v>15760</v>
      </c>
      <c r="D3849" s="71"/>
      <c r="E3849" s="68" t="s">
        <v>15761</v>
      </c>
      <c r="F3849" s="76">
        <v>42755.0</v>
      </c>
      <c r="G3849" s="68" t="s">
        <v>15762</v>
      </c>
      <c r="H3849" s="71"/>
      <c r="I3849" s="71"/>
      <c r="J3849" s="68" t="s">
        <v>15763</v>
      </c>
      <c r="K3849" s="76">
        <v>42804.0</v>
      </c>
      <c r="L3849" s="68" t="s">
        <v>2743</v>
      </c>
      <c r="M3849" s="68" t="s">
        <v>166</v>
      </c>
      <c r="N3849" s="77"/>
      <c r="O3849" s="51"/>
    </row>
    <row r="3850">
      <c r="A3850" s="56">
        <v>3847.0</v>
      </c>
      <c r="B3850" s="71"/>
      <c r="C3850" s="69" t="s">
        <v>15764</v>
      </c>
      <c r="D3850" s="71"/>
      <c r="E3850" s="68" t="s">
        <v>15765</v>
      </c>
      <c r="F3850" s="83">
        <v>42735.0</v>
      </c>
      <c r="G3850" s="68" t="s">
        <v>15766</v>
      </c>
      <c r="H3850" s="71"/>
      <c r="I3850" s="71"/>
      <c r="J3850" s="68" t="s">
        <v>15767</v>
      </c>
      <c r="K3850" s="76">
        <v>42804.0</v>
      </c>
      <c r="L3850" s="68" t="s">
        <v>2743</v>
      </c>
      <c r="M3850" s="68" t="s">
        <v>143</v>
      </c>
      <c r="N3850" s="61"/>
      <c r="O3850" s="51"/>
    </row>
    <row r="3851">
      <c r="A3851" s="56">
        <v>3848.0</v>
      </c>
      <c r="B3851" s="71"/>
      <c r="C3851" s="69" t="s">
        <v>15768</v>
      </c>
      <c r="D3851" s="71"/>
      <c r="E3851" s="68" t="s">
        <v>15769</v>
      </c>
      <c r="F3851" s="76">
        <v>42620.0</v>
      </c>
      <c r="G3851" s="68" t="s">
        <v>15770</v>
      </c>
      <c r="H3851" s="71"/>
      <c r="I3851" s="66"/>
      <c r="J3851" s="68" t="s">
        <v>15771</v>
      </c>
      <c r="K3851" s="76">
        <v>42807.0</v>
      </c>
      <c r="L3851" s="68" t="s">
        <v>14911</v>
      </c>
      <c r="M3851" s="104"/>
      <c r="N3851" s="105"/>
      <c r="O3851" s="51"/>
    </row>
    <row r="3852">
      <c r="A3852" s="56">
        <v>3849.0</v>
      </c>
      <c r="B3852" s="71"/>
      <c r="C3852" s="69" t="s">
        <v>15772</v>
      </c>
      <c r="D3852" s="71"/>
      <c r="E3852" s="68" t="s">
        <v>15773</v>
      </c>
      <c r="F3852" s="76">
        <v>42643.0</v>
      </c>
      <c r="G3852" s="68" t="s">
        <v>15774</v>
      </c>
      <c r="H3852" s="71"/>
      <c r="I3852" s="71"/>
      <c r="J3852" s="87" t="s">
        <v>15775</v>
      </c>
      <c r="K3852" s="225">
        <v>42807.0</v>
      </c>
      <c r="L3852" s="68" t="s">
        <v>14911</v>
      </c>
      <c r="M3852" s="128" t="s">
        <v>166</v>
      </c>
      <c r="N3852" s="61"/>
      <c r="O3852" s="51"/>
    </row>
    <row r="3853">
      <c r="A3853" s="56">
        <v>3850.0</v>
      </c>
      <c r="B3853" s="71"/>
      <c r="C3853" s="69" t="s">
        <v>15776</v>
      </c>
      <c r="D3853" s="71"/>
      <c r="E3853" s="68" t="s">
        <v>15777</v>
      </c>
      <c r="F3853" s="76">
        <v>42643.0</v>
      </c>
      <c r="G3853" s="68" t="s">
        <v>15778</v>
      </c>
      <c r="H3853" s="71"/>
      <c r="I3853" s="68" t="s">
        <v>15779</v>
      </c>
      <c r="J3853" s="68" t="s">
        <v>15780</v>
      </c>
      <c r="K3853" s="76">
        <v>42807.0</v>
      </c>
      <c r="L3853" s="68" t="s">
        <v>14911</v>
      </c>
      <c r="M3853" s="68" t="s">
        <v>166</v>
      </c>
      <c r="N3853" s="77"/>
      <c r="O3853" s="51"/>
    </row>
    <row r="3854">
      <c r="A3854" s="56">
        <v>3851.0</v>
      </c>
      <c r="B3854" s="71"/>
      <c r="C3854" s="69" t="s">
        <v>15781</v>
      </c>
      <c r="D3854" s="71"/>
      <c r="E3854" s="68" t="s">
        <v>15782</v>
      </c>
      <c r="F3854" s="76">
        <v>42643.0</v>
      </c>
      <c r="G3854" s="68" t="s">
        <v>15778</v>
      </c>
      <c r="H3854" s="71"/>
      <c r="I3854" s="68" t="s">
        <v>15783</v>
      </c>
      <c r="J3854" s="68" t="s">
        <v>15784</v>
      </c>
      <c r="K3854" s="76">
        <v>42807.0</v>
      </c>
      <c r="L3854" s="68" t="s">
        <v>14911</v>
      </c>
      <c r="M3854" s="68" t="s">
        <v>166</v>
      </c>
      <c r="N3854" s="77"/>
      <c r="O3854" s="51"/>
    </row>
    <row r="3855">
      <c r="A3855" s="56">
        <v>3852.0</v>
      </c>
      <c r="B3855" s="60"/>
      <c r="C3855" s="58" t="s">
        <v>15785</v>
      </c>
      <c r="D3855" s="60"/>
      <c r="E3855" s="57" t="s">
        <v>15786</v>
      </c>
      <c r="F3855" s="59">
        <v>42783.0</v>
      </c>
      <c r="G3855" s="57" t="s">
        <v>15787</v>
      </c>
      <c r="H3855" s="60"/>
      <c r="I3855" s="66"/>
      <c r="J3855" s="57" t="s">
        <v>15788</v>
      </c>
      <c r="K3855" s="59">
        <v>42807.0</v>
      </c>
      <c r="L3855" s="57" t="s">
        <v>14911</v>
      </c>
      <c r="M3855" s="57" t="s">
        <v>15789</v>
      </c>
      <c r="N3855" s="61"/>
      <c r="O3855" s="51"/>
    </row>
    <row r="3856">
      <c r="A3856" s="56">
        <v>3853.0</v>
      </c>
      <c r="B3856" s="71"/>
      <c r="C3856" s="69" t="s">
        <v>15790</v>
      </c>
      <c r="D3856" s="71"/>
      <c r="E3856" s="68" t="s">
        <v>15791</v>
      </c>
      <c r="F3856" s="76">
        <v>42775.0</v>
      </c>
      <c r="G3856" s="68" t="s">
        <v>15792</v>
      </c>
      <c r="H3856" s="71"/>
      <c r="I3856" s="66"/>
      <c r="J3856" s="68" t="s">
        <v>15793</v>
      </c>
      <c r="K3856" s="76">
        <v>42807.0</v>
      </c>
      <c r="L3856" s="68" t="s">
        <v>14911</v>
      </c>
      <c r="M3856" s="71"/>
      <c r="N3856" s="61"/>
      <c r="O3856" s="51"/>
    </row>
    <row r="3857">
      <c r="A3857" s="56">
        <v>3854.0</v>
      </c>
      <c r="B3857" s="66"/>
      <c r="C3857" s="64" t="s">
        <v>15794</v>
      </c>
      <c r="D3857" s="66"/>
      <c r="E3857" s="63" t="s">
        <v>15795</v>
      </c>
      <c r="F3857" s="65">
        <v>42351.0</v>
      </c>
      <c r="G3857" s="63" t="s">
        <v>15796</v>
      </c>
      <c r="H3857" s="63" t="s">
        <v>15797</v>
      </c>
      <c r="I3857" s="66"/>
      <c r="J3857" s="63" t="s">
        <v>9175</v>
      </c>
      <c r="K3857" s="70">
        <v>42807.0</v>
      </c>
      <c r="L3857" s="63" t="s">
        <v>14911</v>
      </c>
      <c r="M3857" s="63" t="s">
        <v>143</v>
      </c>
      <c r="N3857" s="61"/>
      <c r="O3857" s="51"/>
    </row>
    <row r="3858">
      <c r="A3858" s="56">
        <v>3855.0</v>
      </c>
      <c r="B3858" s="71"/>
      <c r="C3858" s="69" t="s">
        <v>15798</v>
      </c>
      <c r="D3858" s="71"/>
      <c r="E3858" s="68" t="s">
        <v>15799</v>
      </c>
      <c r="F3858" s="83">
        <v>42351.0</v>
      </c>
      <c r="G3858" s="68" t="s">
        <v>15800</v>
      </c>
      <c r="H3858" s="71"/>
      <c r="I3858" s="66"/>
      <c r="J3858" s="68" t="s">
        <v>14302</v>
      </c>
      <c r="K3858" s="76">
        <v>42807.0</v>
      </c>
      <c r="L3858" s="68" t="s">
        <v>14911</v>
      </c>
      <c r="M3858" s="68" t="s">
        <v>143</v>
      </c>
      <c r="N3858" s="61"/>
      <c r="O3858" s="51"/>
    </row>
    <row r="3859">
      <c r="A3859" s="56">
        <v>3856.0</v>
      </c>
      <c r="B3859" s="66"/>
      <c r="C3859" s="64" t="s">
        <v>15801</v>
      </c>
      <c r="D3859" s="66"/>
      <c r="E3859" s="63" t="s">
        <v>15802</v>
      </c>
      <c r="F3859" s="70">
        <v>40083.0</v>
      </c>
      <c r="G3859" s="63" t="s">
        <v>15803</v>
      </c>
      <c r="H3859" s="66"/>
      <c r="I3859" s="66"/>
      <c r="J3859" s="63" t="s">
        <v>15804</v>
      </c>
      <c r="K3859" s="70">
        <v>42807.0</v>
      </c>
      <c r="L3859" s="63" t="s">
        <v>14911</v>
      </c>
      <c r="M3859" s="63" t="s">
        <v>2466</v>
      </c>
      <c r="N3859" s="61"/>
      <c r="O3859" s="51"/>
    </row>
    <row r="3860">
      <c r="A3860" s="56">
        <v>3857.0</v>
      </c>
      <c r="B3860" s="71"/>
      <c r="C3860" s="69" t="s">
        <v>15805</v>
      </c>
      <c r="D3860" s="71"/>
      <c r="E3860" s="68" t="s">
        <v>15806</v>
      </c>
      <c r="F3860" s="221">
        <v>44903.0</v>
      </c>
      <c r="G3860" s="68" t="s">
        <v>15807</v>
      </c>
      <c r="H3860" s="71"/>
      <c r="I3860" s="68" t="s">
        <v>15808</v>
      </c>
      <c r="J3860" s="68" t="s">
        <v>15809</v>
      </c>
      <c r="K3860" s="76">
        <v>42807.0</v>
      </c>
      <c r="L3860" s="68" t="s">
        <v>14911</v>
      </c>
      <c r="M3860" s="68" t="s">
        <v>4001</v>
      </c>
      <c r="N3860" s="61"/>
      <c r="O3860" s="51"/>
    </row>
    <row r="3861">
      <c r="A3861" s="56">
        <v>3858.0</v>
      </c>
      <c r="B3861" s="71"/>
      <c r="C3861" s="69" t="s">
        <v>15810</v>
      </c>
      <c r="D3861" s="71"/>
      <c r="E3861" s="68" t="s">
        <v>15811</v>
      </c>
      <c r="F3861" s="76">
        <v>42738.0</v>
      </c>
      <c r="G3861" s="68" t="s">
        <v>15812</v>
      </c>
      <c r="H3861" s="71"/>
      <c r="I3861" s="66"/>
      <c r="J3861" s="68" t="s">
        <v>15813</v>
      </c>
      <c r="K3861" s="76">
        <v>42807.0</v>
      </c>
      <c r="L3861" s="68" t="s">
        <v>14911</v>
      </c>
      <c r="M3861" s="68" t="s">
        <v>4001</v>
      </c>
      <c r="N3861" s="61"/>
      <c r="O3861" s="51"/>
    </row>
    <row r="3862">
      <c r="A3862" s="56">
        <v>3859.0</v>
      </c>
      <c r="B3862" s="66"/>
      <c r="C3862" s="64" t="s">
        <v>15814</v>
      </c>
      <c r="D3862" s="66"/>
      <c r="E3862" s="63" t="s">
        <v>15815</v>
      </c>
      <c r="F3862" s="70">
        <v>42603.0</v>
      </c>
      <c r="G3862" s="63" t="s">
        <v>15816</v>
      </c>
      <c r="H3862" s="66"/>
      <c r="I3862" s="66"/>
      <c r="J3862" s="63" t="s">
        <v>15584</v>
      </c>
      <c r="K3862" s="70">
        <v>42807.0</v>
      </c>
      <c r="L3862" s="63" t="s">
        <v>14911</v>
      </c>
      <c r="M3862" s="63" t="s">
        <v>15586</v>
      </c>
      <c r="N3862" s="61"/>
      <c r="O3862" s="51"/>
    </row>
    <row r="3863">
      <c r="A3863" s="56">
        <v>3860.0</v>
      </c>
      <c r="B3863" s="71"/>
      <c r="C3863" s="69" t="s">
        <v>15817</v>
      </c>
      <c r="D3863" s="71"/>
      <c r="E3863" s="68" t="s">
        <v>15818</v>
      </c>
      <c r="F3863" s="76">
        <v>42520.0</v>
      </c>
      <c r="G3863" s="68" t="s">
        <v>15819</v>
      </c>
      <c r="H3863" s="71"/>
      <c r="I3863" s="71"/>
      <c r="J3863" s="68" t="s">
        <v>15820</v>
      </c>
      <c r="K3863" s="76">
        <v>42807.0</v>
      </c>
      <c r="L3863" s="68" t="s">
        <v>14911</v>
      </c>
      <c r="M3863" s="68" t="s">
        <v>542</v>
      </c>
      <c r="N3863" s="61"/>
      <c r="O3863" s="51"/>
    </row>
    <row r="3864">
      <c r="A3864" s="56">
        <v>3861.0</v>
      </c>
      <c r="B3864" s="66"/>
      <c r="C3864" s="64" t="s">
        <v>15821</v>
      </c>
      <c r="D3864" s="66"/>
      <c r="E3864" s="63" t="s">
        <v>15822</v>
      </c>
      <c r="F3864" s="70">
        <v>40744.0</v>
      </c>
      <c r="G3864" s="63" t="s">
        <v>15823</v>
      </c>
      <c r="H3864" s="66"/>
      <c r="I3864" s="63" t="s">
        <v>15824</v>
      </c>
      <c r="J3864" s="63" t="s">
        <v>2872</v>
      </c>
      <c r="K3864" s="70">
        <v>42807.0</v>
      </c>
      <c r="L3864" s="63" t="s">
        <v>14911</v>
      </c>
      <c r="M3864" s="63" t="s">
        <v>125</v>
      </c>
      <c r="N3864" s="61"/>
      <c r="O3864" s="51"/>
    </row>
    <row r="3865">
      <c r="A3865" s="56">
        <v>3862.0</v>
      </c>
      <c r="B3865" s="71"/>
      <c r="C3865" s="69" t="s">
        <v>15825</v>
      </c>
      <c r="D3865" s="71"/>
      <c r="E3865" s="68" t="s">
        <v>15826</v>
      </c>
      <c r="F3865" s="76">
        <v>42403.0</v>
      </c>
      <c r="G3865" s="68" t="s">
        <v>15827</v>
      </c>
      <c r="H3865" s="71"/>
      <c r="I3865" s="71"/>
      <c r="J3865" s="68" t="s">
        <v>15828</v>
      </c>
      <c r="K3865" s="76">
        <v>42807.0</v>
      </c>
      <c r="L3865" s="68" t="s">
        <v>14911</v>
      </c>
      <c r="M3865" s="68" t="s">
        <v>125</v>
      </c>
      <c r="N3865" s="61"/>
      <c r="O3865" s="51"/>
    </row>
    <row r="3866">
      <c r="A3866" s="56">
        <v>3863.0</v>
      </c>
      <c r="B3866" s="71"/>
      <c r="C3866" s="69" t="s">
        <v>15829</v>
      </c>
      <c r="D3866" s="71"/>
      <c r="E3866" s="68" t="s">
        <v>15830</v>
      </c>
      <c r="F3866" s="76">
        <v>42403.0</v>
      </c>
      <c r="G3866" s="68" t="s">
        <v>15827</v>
      </c>
      <c r="H3866" s="71"/>
      <c r="I3866" s="68" t="s">
        <v>15831</v>
      </c>
      <c r="J3866" s="68" t="s">
        <v>15828</v>
      </c>
      <c r="K3866" s="76">
        <v>42807.0</v>
      </c>
      <c r="L3866" s="68" t="s">
        <v>14911</v>
      </c>
      <c r="M3866" s="68" t="s">
        <v>125</v>
      </c>
      <c r="N3866" s="61"/>
      <c r="O3866" s="51"/>
    </row>
    <row r="3867">
      <c r="A3867" s="56">
        <v>3864.0</v>
      </c>
      <c r="B3867" s="71"/>
      <c r="C3867" s="69" t="s">
        <v>15832</v>
      </c>
      <c r="D3867" s="71"/>
      <c r="E3867" s="68" t="s">
        <v>15833</v>
      </c>
      <c r="F3867" s="76">
        <v>42612.0</v>
      </c>
      <c r="G3867" s="68" t="s">
        <v>15834</v>
      </c>
      <c r="H3867" s="71"/>
      <c r="I3867" s="66"/>
      <c r="J3867" s="68" t="s">
        <v>15835</v>
      </c>
      <c r="K3867" s="76">
        <v>42807.0</v>
      </c>
      <c r="L3867" s="71"/>
      <c r="M3867" s="68" t="s">
        <v>368</v>
      </c>
      <c r="N3867" s="61"/>
      <c r="O3867" s="51"/>
    </row>
    <row r="3868">
      <c r="A3868" s="56">
        <v>3865.0</v>
      </c>
      <c r="B3868" s="71"/>
      <c r="C3868" s="69" t="s">
        <v>15836</v>
      </c>
      <c r="D3868" s="71"/>
      <c r="E3868" s="68" t="s">
        <v>15837</v>
      </c>
      <c r="F3868" s="76">
        <v>42753.0</v>
      </c>
      <c r="G3868" s="68" t="s">
        <v>15838</v>
      </c>
      <c r="H3868" s="71"/>
      <c r="I3868" s="66"/>
      <c r="J3868" s="68" t="s">
        <v>15839</v>
      </c>
      <c r="K3868" s="76">
        <v>42807.0</v>
      </c>
      <c r="L3868" s="68" t="s">
        <v>13810</v>
      </c>
      <c r="M3868" s="68" t="s">
        <v>156</v>
      </c>
      <c r="N3868" s="61"/>
      <c r="O3868" s="51"/>
    </row>
    <row r="3869">
      <c r="A3869" s="56">
        <v>3866.0</v>
      </c>
      <c r="B3869" s="71"/>
      <c r="C3869" s="69" t="s">
        <v>15840</v>
      </c>
      <c r="D3869" s="71"/>
      <c r="E3869" s="68" t="s">
        <v>15841</v>
      </c>
      <c r="F3869" s="76">
        <v>42740.0</v>
      </c>
      <c r="G3869" s="68" t="s">
        <v>15842</v>
      </c>
      <c r="H3869" s="71"/>
      <c r="I3869" s="68" t="s">
        <v>635</v>
      </c>
      <c r="J3869" s="68" t="s">
        <v>15843</v>
      </c>
      <c r="K3869" s="76">
        <v>42809.0</v>
      </c>
      <c r="L3869" s="68" t="s">
        <v>2743</v>
      </c>
      <c r="M3869" s="68" t="s">
        <v>2989</v>
      </c>
      <c r="N3869" s="77"/>
      <c r="O3869" s="51"/>
    </row>
    <row r="3870">
      <c r="A3870" s="56">
        <v>3867.0</v>
      </c>
      <c r="B3870" s="66"/>
      <c r="C3870" s="64" t="s">
        <v>15844</v>
      </c>
      <c r="D3870" s="66"/>
      <c r="E3870" s="63" t="s">
        <v>15845</v>
      </c>
      <c r="F3870" s="70">
        <v>42404.0</v>
      </c>
      <c r="G3870" s="63" t="s">
        <v>15846</v>
      </c>
      <c r="H3870" s="63" t="s">
        <v>15847</v>
      </c>
      <c r="I3870" s="63" t="s">
        <v>15848</v>
      </c>
      <c r="J3870" s="63" t="s">
        <v>12318</v>
      </c>
      <c r="K3870" s="70">
        <v>42809.0</v>
      </c>
      <c r="L3870" s="63" t="s">
        <v>2743</v>
      </c>
      <c r="M3870" s="63" t="s">
        <v>872</v>
      </c>
      <c r="N3870" s="61"/>
      <c r="O3870" s="51"/>
    </row>
    <row r="3871">
      <c r="A3871" s="56">
        <v>3868.0</v>
      </c>
      <c r="B3871" s="71"/>
      <c r="C3871" s="69" t="s">
        <v>15849</v>
      </c>
      <c r="D3871" s="71"/>
      <c r="E3871" s="68" t="s">
        <v>15850</v>
      </c>
      <c r="F3871" s="76">
        <v>42794.0</v>
      </c>
      <c r="G3871" s="68" t="s">
        <v>15851</v>
      </c>
      <c r="H3871" s="71"/>
      <c r="I3871" s="63" t="s">
        <v>15852</v>
      </c>
      <c r="J3871" s="68" t="s">
        <v>15853</v>
      </c>
      <c r="K3871" s="76">
        <v>42809.0</v>
      </c>
      <c r="L3871" s="68" t="s">
        <v>2743</v>
      </c>
      <c r="M3871" s="71"/>
      <c r="N3871" s="61"/>
      <c r="O3871" s="51"/>
    </row>
    <row r="3872">
      <c r="A3872" s="56">
        <v>3869.0</v>
      </c>
      <c r="B3872" s="71"/>
      <c r="C3872" s="69" t="s">
        <v>15854</v>
      </c>
      <c r="D3872" s="71"/>
      <c r="E3872" s="68" t="s">
        <v>15855</v>
      </c>
      <c r="F3872" s="76">
        <v>37997.0</v>
      </c>
      <c r="G3872" s="68" t="s">
        <v>15856</v>
      </c>
      <c r="H3872" s="71"/>
      <c r="I3872" s="71"/>
      <c r="J3872" s="68" t="s">
        <v>15857</v>
      </c>
      <c r="K3872" s="76">
        <v>42809.0</v>
      </c>
      <c r="L3872" s="68" t="s">
        <v>2743</v>
      </c>
      <c r="M3872" s="68" t="s">
        <v>2748</v>
      </c>
      <c r="N3872" s="77"/>
      <c r="O3872" s="51"/>
    </row>
    <row r="3873">
      <c r="A3873" s="56">
        <v>3870.0</v>
      </c>
      <c r="B3873" s="66"/>
      <c r="C3873" s="64" t="s">
        <v>15858</v>
      </c>
      <c r="D3873" s="66"/>
      <c r="E3873" s="63" t="s">
        <v>15859</v>
      </c>
      <c r="F3873" s="70">
        <v>42643.0</v>
      </c>
      <c r="G3873" s="63" t="s">
        <v>15860</v>
      </c>
      <c r="H3873" s="66"/>
      <c r="I3873" s="66"/>
      <c r="J3873" s="63" t="s">
        <v>15861</v>
      </c>
      <c r="K3873" s="70">
        <v>42809.0</v>
      </c>
      <c r="L3873" s="63" t="s">
        <v>2743</v>
      </c>
      <c r="M3873" s="63" t="s">
        <v>14984</v>
      </c>
      <c r="N3873" s="61"/>
      <c r="O3873" s="51"/>
    </row>
    <row r="3874">
      <c r="A3874" s="56">
        <v>3871.0</v>
      </c>
      <c r="B3874" s="71"/>
      <c r="C3874" s="69" t="s">
        <v>15862</v>
      </c>
      <c r="D3874" s="71"/>
      <c r="E3874" s="68" t="s">
        <v>15863</v>
      </c>
      <c r="F3874" s="76">
        <v>42065.0</v>
      </c>
      <c r="G3874" s="68" t="s">
        <v>15864</v>
      </c>
      <c r="H3874" s="71"/>
      <c r="I3874" s="71"/>
      <c r="J3874" s="68" t="s">
        <v>15865</v>
      </c>
      <c r="K3874" s="76">
        <v>42814.0</v>
      </c>
      <c r="L3874" s="68" t="s">
        <v>2743</v>
      </c>
      <c r="M3874" s="68" t="s">
        <v>282</v>
      </c>
      <c r="N3874" s="61"/>
      <c r="O3874" s="51"/>
    </row>
    <row r="3875">
      <c r="A3875" s="56">
        <v>3872.0</v>
      </c>
      <c r="B3875" s="71"/>
      <c r="C3875" s="69" t="s">
        <v>15866</v>
      </c>
      <c r="D3875" s="71"/>
      <c r="E3875" s="68" t="s">
        <v>15867</v>
      </c>
      <c r="F3875" s="76">
        <v>42796.0</v>
      </c>
      <c r="G3875" s="68" t="s">
        <v>15868</v>
      </c>
      <c r="H3875" s="71"/>
      <c r="I3875" s="71"/>
      <c r="J3875" s="68" t="s">
        <v>15869</v>
      </c>
      <c r="K3875" s="76">
        <v>42814.0</v>
      </c>
      <c r="L3875" s="68" t="s">
        <v>2743</v>
      </c>
      <c r="M3875" s="68" t="s">
        <v>1182</v>
      </c>
      <c r="N3875" s="61"/>
      <c r="O3875" s="51"/>
    </row>
    <row r="3876">
      <c r="A3876" s="56">
        <v>3873.0</v>
      </c>
      <c r="B3876" s="66"/>
      <c r="C3876" s="64" t="s">
        <v>15870</v>
      </c>
      <c r="D3876" s="66"/>
      <c r="E3876" s="63" t="s">
        <v>15871</v>
      </c>
      <c r="F3876" s="70">
        <v>41340.0</v>
      </c>
      <c r="G3876" s="63" t="s">
        <v>15872</v>
      </c>
      <c r="H3876" s="66"/>
      <c r="I3876" s="66"/>
      <c r="J3876" s="63" t="s">
        <v>9175</v>
      </c>
      <c r="K3876" s="70">
        <v>42814.0</v>
      </c>
      <c r="L3876" s="63" t="s">
        <v>14911</v>
      </c>
      <c r="M3876" s="63" t="s">
        <v>143</v>
      </c>
      <c r="N3876" s="61"/>
      <c r="O3876" s="51"/>
    </row>
    <row r="3877">
      <c r="A3877" s="56">
        <v>3874.0</v>
      </c>
      <c r="B3877" s="71"/>
      <c r="C3877" s="69" t="s">
        <v>15873</v>
      </c>
      <c r="D3877" s="71"/>
      <c r="E3877" s="68" t="s">
        <v>15874</v>
      </c>
      <c r="F3877" s="76">
        <v>42600.0</v>
      </c>
      <c r="G3877" s="68" t="s">
        <v>15875</v>
      </c>
      <c r="H3877" s="71"/>
      <c r="I3877" s="71"/>
      <c r="J3877" s="87" t="s">
        <v>15876</v>
      </c>
      <c r="K3877" s="225">
        <v>42814.0</v>
      </c>
      <c r="L3877" s="68" t="s">
        <v>14911</v>
      </c>
      <c r="M3877" s="68" t="s">
        <v>2748</v>
      </c>
      <c r="N3877" s="61"/>
      <c r="O3877" s="51"/>
    </row>
    <row r="3878">
      <c r="A3878" s="75">
        <v>3875.0</v>
      </c>
      <c r="B3878" s="71"/>
      <c r="C3878" s="69" t="s">
        <v>15877</v>
      </c>
      <c r="D3878" s="71"/>
      <c r="E3878" s="68" t="s">
        <v>15878</v>
      </c>
      <c r="F3878" s="76">
        <v>42769.0</v>
      </c>
      <c r="G3878" s="68" t="s">
        <v>15879</v>
      </c>
      <c r="H3878" s="71"/>
      <c r="I3878" s="71"/>
      <c r="J3878" s="68" t="s">
        <v>15880</v>
      </c>
      <c r="K3878" s="76">
        <v>42814.0</v>
      </c>
      <c r="L3878" s="68" t="s">
        <v>14911</v>
      </c>
      <c r="M3878" s="68" t="s">
        <v>941</v>
      </c>
      <c r="N3878" s="61"/>
      <c r="O3878" s="51"/>
    </row>
    <row r="3879">
      <c r="A3879" s="75">
        <v>3876.0</v>
      </c>
      <c r="B3879" s="71"/>
      <c r="C3879" s="69" t="s">
        <v>15881</v>
      </c>
      <c r="D3879" s="71"/>
      <c r="E3879" s="68" t="s">
        <v>15882</v>
      </c>
      <c r="F3879" s="76">
        <v>42742.0</v>
      </c>
      <c r="G3879" s="68" t="s">
        <v>15883</v>
      </c>
      <c r="H3879" s="71"/>
      <c r="I3879" s="68" t="s">
        <v>15884</v>
      </c>
      <c r="J3879" s="68" t="s">
        <v>15885</v>
      </c>
      <c r="K3879" s="76">
        <v>42814.0</v>
      </c>
      <c r="L3879" s="68" t="s">
        <v>2743</v>
      </c>
      <c r="M3879" s="68" t="s">
        <v>4487</v>
      </c>
      <c r="N3879" s="77"/>
      <c r="O3879" s="51"/>
    </row>
    <row r="3880">
      <c r="A3880" s="56">
        <v>3877.0</v>
      </c>
      <c r="B3880" s="66"/>
      <c r="C3880" s="64" t="s">
        <v>15886</v>
      </c>
      <c r="D3880" s="66"/>
      <c r="E3880" s="63" t="s">
        <v>15887</v>
      </c>
      <c r="F3880" s="63">
        <v>2009.0</v>
      </c>
      <c r="G3880" s="63" t="s">
        <v>15888</v>
      </c>
      <c r="H3880" s="66"/>
      <c r="I3880" s="66"/>
      <c r="J3880" s="63" t="s">
        <v>1872</v>
      </c>
      <c r="K3880" s="70">
        <v>42814.0</v>
      </c>
      <c r="L3880" s="63" t="s">
        <v>2743</v>
      </c>
      <c r="M3880" s="63" t="s">
        <v>530</v>
      </c>
      <c r="N3880" s="61"/>
      <c r="O3880" s="51"/>
    </row>
    <row r="3881">
      <c r="A3881" s="56">
        <v>3878.0</v>
      </c>
      <c r="B3881" s="71"/>
      <c r="C3881" s="69" t="s">
        <v>15889</v>
      </c>
      <c r="D3881" s="71"/>
      <c r="E3881" s="68" t="s">
        <v>15890</v>
      </c>
      <c r="F3881" s="76">
        <v>42807.0</v>
      </c>
      <c r="G3881" s="68" t="s">
        <v>15891</v>
      </c>
      <c r="H3881" s="71"/>
      <c r="I3881" s="71"/>
      <c r="J3881" s="68" t="s">
        <v>15892</v>
      </c>
      <c r="K3881" s="76">
        <v>42814.0</v>
      </c>
      <c r="L3881" s="68" t="s">
        <v>2743</v>
      </c>
      <c r="M3881" s="68" t="s">
        <v>4487</v>
      </c>
      <c r="N3881" s="61"/>
      <c r="O3881" s="51"/>
    </row>
    <row r="3882">
      <c r="A3882" s="56">
        <v>3879.0</v>
      </c>
      <c r="B3882" s="66"/>
      <c r="C3882" s="64" t="s">
        <v>15893</v>
      </c>
      <c r="D3882" s="66"/>
      <c r="E3882" s="63" t="s">
        <v>15894</v>
      </c>
      <c r="F3882" s="70">
        <v>42520.0</v>
      </c>
      <c r="G3882" s="63" t="s">
        <v>15895</v>
      </c>
      <c r="H3882" s="66"/>
      <c r="I3882" s="66"/>
      <c r="J3882" s="63" t="s">
        <v>6262</v>
      </c>
      <c r="K3882" s="70">
        <v>42814.0</v>
      </c>
      <c r="L3882" s="63" t="s">
        <v>2743</v>
      </c>
      <c r="M3882" s="63" t="s">
        <v>368</v>
      </c>
      <c r="N3882" s="61"/>
      <c r="O3882" s="51"/>
    </row>
    <row r="3883">
      <c r="A3883" s="56">
        <v>3880.0</v>
      </c>
      <c r="B3883" s="60"/>
      <c r="C3883" s="58" t="s">
        <v>15896</v>
      </c>
      <c r="D3883" s="60"/>
      <c r="E3883" s="57" t="s">
        <v>15897</v>
      </c>
      <c r="F3883" s="59">
        <v>39974.0</v>
      </c>
      <c r="G3883" s="57" t="s">
        <v>15898</v>
      </c>
      <c r="H3883" s="60"/>
      <c r="I3883" s="66"/>
      <c r="J3883" s="57" t="s">
        <v>15899</v>
      </c>
      <c r="K3883" s="59">
        <v>42814.0</v>
      </c>
      <c r="L3883" s="57" t="s">
        <v>2743</v>
      </c>
      <c r="M3883" s="57" t="s">
        <v>2989</v>
      </c>
      <c r="N3883" s="61"/>
      <c r="O3883" s="51"/>
    </row>
    <row r="3884">
      <c r="A3884" s="56">
        <v>3881.0</v>
      </c>
      <c r="B3884" s="71"/>
      <c r="C3884" s="69" t="s">
        <v>15900</v>
      </c>
      <c r="D3884" s="71"/>
      <c r="E3884" s="68" t="s">
        <v>15901</v>
      </c>
      <c r="F3884" s="76">
        <v>42377.0</v>
      </c>
      <c r="G3884" s="68" t="s">
        <v>15902</v>
      </c>
      <c r="H3884" s="71"/>
      <c r="I3884" s="71"/>
      <c r="J3884" s="68" t="s">
        <v>15903</v>
      </c>
      <c r="K3884" s="76">
        <v>42816.0</v>
      </c>
      <c r="L3884" s="68" t="s">
        <v>2743</v>
      </c>
      <c r="M3884" s="68" t="s">
        <v>15904</v>
      </c>
      <c r="N3884" s="61"/>
      <c r="O3884" s="51"/>
    </row>
    <row r="3885">
      <c r="A3885" s="56">
        <v>3882.0</v>
      </c>
      <c r="B3885" s="71"/>
      <c r="C3885" s="69" t="s">
        <v>15905</v>
      </c>
      <c r="D3885" s="71"/>
      <c r="E3885" s="68" t="s">
        <v>15906</v>
      </c>
      <c r="F3885" s="76">
        <v>42805.0</v>
      </c>
      <c r="G3885" s="68" t="s">
        <v>15907</v>
      </c>
      <c r="H3885" s="71"/>
      <c r="I3885" s="66"/>
      <c r="J3885" s="68" t="s">
        <v>15908</v>
      </c>
      <c r="K3885" s="76">
        <v>42819.0</v>
      </c>
      <c r="L3885" s="68" t="s">
        <v>2743</v>
      </c>
      <c r="M3885" s="68" t="s">
        <v>15909</v>
      </c>
      <c r="N3885" s="61"/>
      <c r="O3885" s="51"/>
    </row>
    <row r="3886">
      <c r="A3886" s="56">
        <v>3883.0</v>
      </c>
      <c r="B3886" s="71"/>
      <c r="C3886" s="69" t="s">
        <v>15910</v>
      </c>
      <c r="D3886" s="71"/>
      <c r="E3886" s="68" t="s">
        <v>15911</v>
      </c>
      <c r="F3886" s="68">
        <v>2007.0</v>
      </c>
      <c r="G3886" s="68" t="s">
        <v>15912</v>
      </c>
      <c r="H3886" s="71"/>
      <c r="I3886" s="68" t="s">
        <v>15913</v>
      </c>
      <c r="J3886" s="68" t="s">
        <v>15914</v>
      </c>
      <c r="K3886" s="76">
        <v>42819.0</v>
      </c>
      <c r="L3886" s="68" t="s">
        <v>2743</v>
      </c>
      <c r="M3886" s="68" t="s">
        <v>15586</v>
      </c>
      <c r="N3886" s="77"/>
      <c r="O3886" s="51"/>
    </row>
    <row r="3887">
      <c r="A3887" s="56">
        <v>3884.0</v>
      </c>
      <c r="B3887" s="71"/>
      <c r="C3887" s="69" t="s">
        <v>15915</v>
      </c>
      <c r="D3887" s="71"/>
      <c r="E3887" s="68" t="s">
        <v>15916</v>
      </c>
      <c r="F3887" s="83">
        <v>42723.0</v>
      </c>
      <c r="G3887" s="68" t="s">
        <v>15917</v>
      </c>
      <c r="H3887" s="71"/>
      <c r="I3887" s="66"/>
      <c r="J3887" s="68" t="s">
        <v>15918</v>
      </c>
      <c r="K3887" s="76">
        <v>42819.0</v>
      </c>
      <c r="L3887" s="68" t="s">
        <v>2743</v>
      </c>
      <c r="M3887" s="68" t="s">
        <v>3407</v>
      </c>
      <c r="N3887" s="61"/>
      <c r="O3887" s="51"/>
    </row>
    <row r="3888">
      <c r="A3888" s="56">
        <v>3885.0</v>
      </c>
      <c r="B3888" s="71"/>
      <c r="C3888" s="69" t="s">
        <v>15919</v>
      </c>
      <c r="D3888" s="71"/>
      <c r="E3888" s="68" t="s">
        <v>15920</v>
      </c>
      <c r="F3888" s="68">
        <v>2013.0</v>
      </c>
      <c r="G3888" s="68" t="s">
        <v>15921</v>
      </c>
      <c r="H3888" s="71"/>
      <c r="I3888" s="63" t="s">
        <v>15922</v>
      </c>
      <c r="J3888" s="68" t="s">
        <v>15923</v>
      </c>
      <c r="K3888" s="76">
        <v>42819.0</v>
      </c>
      <c r="L3888" s="68" t="s">
        <v>2743</v>
      </c>
      <c r="M3888" s="68" t="s">
        <v>31</v>
      </c>
      <c r="N3888" s="61"/>
      <c r="O3888" s="51"/>
    </row>
    <row r="3889">
      <c r="A3889" s="56">
        <v>3886.0</v>
      </c>
      <c r="B3889" s="71"/>
      <c r="C3889" s="69" t="s">
        <v>15924</v>
      </c>
      <c r="D3889" s="71"/>
      <c r="E3889" s="68" t="s">
        <v>15925</v>
      </c>
      <c r="F3889" s="76">
        <v>42790.0</v>
      </c>
      <c r="G3889" s="68" t="s">
        <v>15926</v>
      </c>
      <c r="H3889" s="71"/>
      <c r="I3889" s="63" t="s">
        <v>15927</v>
      </c>
      <c r="J3889" s="68" t="s">
        <v>15928</v>
      </c>
      <c r="K3889" s="76">
        <v>42819.0</v>
      </c>
      <c r="L3889" s="68" t="s">
        <v>2743</v>
      </c>
      <c r="M3889" s="71"/>
      <c r="N3889" s="61"/>
      <c r="O3889" s="51"/>
    </row>
    <row r="3890">
      <c r="A3890" s="56">
        <v>3887.0</v>
      </c>
      <c r="B3890" s="71"/>
      <c r="C3890" s="69" t="s">
        <v>15929</v>
      </c>
      <c r="D3890" s="71"/>
      <c r="E3890" s="68" t="s">
        <v>15930</v>
      </c>
      <c r="F3890" s="76">
        <v>42807.0</v>
      </c>
      <c r="G3890" s="68" t="s">
        <v>15931</v>
      </c>
      <c r="H3890" s="71"/>
      <c r="I3890" s="63" t="s">
        <v>635</v>
      </c>
      <c r="J3890" s="68" t="s">
        <v>15932</v>
      </c>
      <c r="K3890" s="76">
        <v>42821.0</v>
      </c>
      <c r="L3890" s="68" t="s">
        <v>2743</v>
      </c>
      <c r="M3890" s="71"/>
      <c r="N3890" s="61"/>
      <c r="O3890" s="51"/>
    </row>
    <row r="3891">
      <c r="A3891" s="56">
        <v>3888.0</v>
      </c>
      <c r="B3891" s="71"/>
      <c r="C3891" s="69" t="s">
        <v>15933</v>
      </c>
      <c r="D3891" s="71"/>
      <c r="E3891" s="68" t="s">
        <v>15934</v>
      </c>
      <c r="F3891" s="76">
        <v>42814.0</v>
      </c>
      <c r="G3891" s="68" t="s">
        <v>15935</v>
      </c>
      <c r="H3891" s="71"/>
      <c r="I3891" s="66"/>
      <c r="J3891" s="68" t="s">
        <v>15936</v>
      </c>
      <c r="K3891" s="76">
        <v>42823.0</v>
      </c>
      <c r="L3891" s="68" t="s">
        <v>2743</v>
      </c>
      <c r="M3891" s="68" t="s">
        <v>31</v>
      </c>
      <c r="N3891" s="61"/>
      <c r="O3891" s="51"/>
    </row>
    <row r="3892">
      <c r="A3892" s="56">
        <v>3889.0</v>
      </c>
      <c r="B3892" s="66"/>
      <c r="C3892" s="64" t="s">
        <v>15937</v>
      </c>
      <c r="D3892" s="66"/>
      <c r="E3892" s="63" t="s">
        <v>15938</v>
      </c>
      <c r="F3892" s="182">
        <v>41699.0</v>
      </c>
      <c r="G3892" s="63" t="s">
        <v>15939</v>
      </c>
      <c r="H3892" s="66"/>
      <c r="I3892" s="66"/>
      <c r="J3892" s="63" t="s">
        <v>2872</v>
      </c>
      <c r="K3892" s="70">
        <v>42824.0</v>
      </c>
      <c r="L3892" s="63" t="s">
        <v>2743</v>
      </c>
      <c r="M3892" s="63" t="s">
        <v>125</v>
      </c>
      <c r="N3892" s="61"/>
      <c r="O3892" s="51"/>
    </row>
    <row r="3893">
      <c r="A3893" s="56">
        <v>3890.0</v>
      </c>
      <c r="B3893" s="71"/>
      <c r="C3893" s="69" t="s">
        <v>15940</v>
      </c>
      <c r="D3893" s="71"/>
      <c r="E3893" s="68" t="s">
        <v>15941</v>
      </c>
      <c r="F3893" s="76">
        <v>42783.0</v>
      </c>
      <c r="G3893" s="68" t="s">
        <v>15942</v>
      </c>
      <c r="H3893" s="71"/>
      <c r="I3893" s="66"/>
      <c r="J3893" s="68" t="s">
        <v>15943</v>
      </c>
      <c r="K3893" s="76">
        <v>42824.0</v>
      </c>
      <c r="L3893" s="68" t="s">
        <v>2743</v>
      </c>
      <c r="M3893" s="68" t="s">
        <v>3714</v>
      </c>
      <c r="N3893" s="61"/>
      <c r="O3893" s="51"/>
    </row>
    <row r="3894">
      <c r="A3894" s="75">
        <v>3891.0</v>
      </c>
      <c r="B3894" s="71"/>
      <c r="C3894" s="69" t="s">
        <v>15944</v>
      </c>
      <c r="D3894" s="71"/>
      <c r="E3894" s="68" t="s">
        <v>15945</v>
      </c>
      <c r="F3894" s="76">
        <v>41660.0</v>
      </c>
      <c r="G3894" s="68" t="s">
        <v>15946</v>
      </c>
      <c r="H3894" s="71"/>
      <c r="I3894" s="71"/>
      <c r="J3894" s="68" t="s">
        <v>15947</v>
      </c>
      <c r="K3894" s="76">
        <v>42824.0</v>
      </c>
      <c r="L3894" s="68" t="s">
        <v>2743</v>
      </c>
      <c r="M3894" s="68" t="s">
        <v>125</v>
      </c>
      <c r="N3894" s="77"/>
      <c r="O3894" s="51"/>
    </row>
    <row r="3895">
      <c r="A3895" s="56">
        <v>3892.0</v>
      </c>
      <c r="B3895" s="66"/>
      <c r="C3895" s="64" t="s">
        <v>15948</v>
      </c>
      <c r="D3895" s="66"/>
      <c r="E3895" s="63" t="s">
        <v>15949</v>
      </c>
      <c r="F3895" s="70">
        <v>41403.0</v>
      </c>
      <c r="G3895" s="63" t="s">
        <v>15950</v>
      </c>
      <c r="H3895" s="66"/>
      <c r="I3895" s="66"/>
      <c r="J3895" s="63" t="s">
        <v>2872</v>
      </c>
      <c r="K3895" s="70">
        <v>42824.0</v>
      </c>
      <c r="L3895" s="63" t="s">
        <v>2743</v>
      </c>
      <c r="M3895" s="63" t="s">
        <v>125</v>
      </c>
      <c r="N3895" s="61"/>
      <c r="O3895" s="51"/>
    </row>
    <row r="3896">
      <c r="A3896" s="56">
        <v>3893.0</v>
      </c>
      <c r="B3896" s="71"/>
      <c r="C3896" s="69" t="s">
        <v>15951</v>
      </c>
      <c r="D3896" s="71"/>
      <c r="E3896" s="68" t="s">
        <v>15952</v>
      </c>
      <c r="F3896" s="76">
        <v>42258.0</v>
      </c>
      <c r="G3896" s="68" t="s">
        <v>15953</v>
      </c>
      <c r="H3896" s="71"/>
      <c r="I3896" s="71"/>
      <c r="J3896" s="68" t="s">
        <v>15954</v>
      </c>
      <c r="K3896" s="76">
        <v>42824.0</v>
      </c>
      <c r="L3896" s="68" t="s">
        <v>2743</v>
      </c>
      <c r="M3896" s="68" t="s">
        <v>542</v>
      </c>
      <c r="N3896" s="77"/>
      <c r="O3896" s="51"/>
    </row>
    <row r="3897">
      <c r="A3897" s="56">
        <v>3894.0</v>
      </c>
      <c r="B3897" s="71"/>
      <c r="C3897" s="69" t="s">
        <v>15955</v>
      </c>
      <c r="D3897" s="71"/>
      <c r="E3897" s="68" t="s">
        <v>15956</v>
      </c>
      <c r="F3897" s="68">
        <v>2009.0</v>
      </c>
      <c r="G3897" s="68" t="s">
        <v>15957</v>
      </c>
      <c r="H3897" s="71"/>
      <c r="I3897" s="71"/>
      <c r="J3897" s="68" t="s">
        <v>15958</v>
      </c>
      <c r="K3897" s="76">
        <v>42824.0</v>
      </c>
      <c r="L3897" s="68" t="s">
        <v>2743</v>
      </c>
      <c r="M3897" s="68" t="s">
        <v>530</v>
      </c>
      <c r="N3897" s="77"/>
      <c r="O3897" s="51"/>
    </row>
    <row r="3898">
      <c r="A3898" s="56">
        <v>3895.0</v>
      </c>
      <c r="B3898" s="71"/>
      <c r="C3898" s="69" t="s">
        <v>15959</v>
      </c>
      <c r="D3898" s="71"/>
      <c r="E3898" s="68" t="s">
        <v>15960</v>
      </c>
      <c r="F3898" s="68">
        <v>2015.0</v>
      </c>
      <c r="G3898" s="68" t="s">
        <v>15961</v>
      </c>
      <c r="H3898" s="71"/>
      <c r="I3898" s="63" t="s">
        <v>15962</v>
      </c>
      <c r="J3898" s="68" t="s">
        <v>15963</v>
      </c>
      <c r="K3898" s="76">
        <v>42826.0</v>
      </c>
      <c r="L3898" s="68" t="s">
        <v>2743</v>
      </c>
      <c r="M3898" s="68" t="s">
        <v>201</v>
      </c>
      <c r="N3898" s="61"/>
      <c r="O3898" s="51"/>
    </row>
    <row r="3899">
      <c r="A3899" s="56">
        <v>3896.0</v>
      </c>
      <c r="B3899" s="71"/>
      <c r="C3899" s="69" t="s">
        <v>15964</v>
      </c>
      <c r="D3899" s="71"/>
      <c r="E3899" s="68" t="s">
        <v>15965</v>
      </c>
      <c r="F3899" s="76">
        <v>42629.0</v>
      </c>
      <c r="G3899" s="68" t="s">
        <v>15966</v>
      </c>
      <c r="H3899" s="71"/>
      <c r="I3899" s="66"/>
      <c r="J3899" s="68" t="s">
        <v>15967</v>
      </c>
      <c r="K3899" s="76">
        <v>42826.0</v>
      </c>
      <c r="L3899" s="68" t="s">
        <v>14911</v>
      </c>
      <c r="M3899" s="68" t="s">
        <v>195</v>
      </c>
      <c r="N3899" s="61"/>
      <c r="O3899" s="51"/>
    </row>
    <row r="3900">
      <c r="A3900" s="56">
        <v>3897.0</v>
      </c>
      <c r="B3900" s="71"/>
      <c r="C3900" s="69" t="s">
        <v>15968</v>
      </c>
      <c r="D3900" s="71"/>
      <c r="E3900" s="68" t="s">
        <v>15969</v>
      </c>
      <c r="F3900" s="76">
        <v>42629.0</v>
      </c>
      <c r="G3900" s="68" t="s">
        <v>15966</v>
      </c>
      <c r="H3900" s="71"/>
      <c r="I3900" s="66"/>
      <c r="J3900" s="68" t="s">
        <v>15967</v>
      </c>
      <c r="K3900" s="76">
        <v>42826.0</v>
      </c>
      <c r="L3900" s="68" t="s">
        <v>14911</v>
      </c>
      <c r="M3900" s="68" t="s">
        <v>195</v>
      </c>
      <c r="N3900" s="61"/>
      <c r="O3900" s="51"/>
    </row>
    <row r="3901">
      <c r="A3901" s="56">
        <v>3898.0</v>
      </c>
      <c r="B3901" s="66"/>
      <c r="C3901" s="64" t="s">
        <v>15970</v>
      </c>
      <c r="D3901" s="66"/>
      <c r="E3901" s="63" t="s">
        <v>15971</v>
      </c>
      <c r="F3901" s="70">
        <v>42782.0</v>
      </c>
      <c r="G3901" s="63" t="s">
        <v>15972</v>
      </c>
      <c r="H3901" s="66"/>
      <c r="I3901" s="66"/>
      <c r="J3901" s="63" t="s">
        <v>10320</v>
      </c>
      <c r="K3901" s="70">
        <v>42826.0</v>
      </c>
      <c r="L3901" s="63" t="s">
        <v>14911</v>
      </c>
      <c r="M3901" s="63" t="s">
        <v>2748</v>
      </c>
      <c r="N3901" s="61"/>
      <c r="O3901" s="51"/>
    </row>
    <row r="3902">
      <c r="A3902" s="56">
        <v>3899.0</v>
      </c>
      <c r="B3902" s="71"/>
      <c r="C3902" s="69" t="s">
        <v>15973</v>
      </c>
      <c r="D3902" s="71"/>
      <c r="E3902" s="68" t="s">
        <v>15974</v>
      </c>
      <c r="F3902" s="76">
        <v>42457.0</v>
      </c>
      <c r="G3902" s="68" t="s">
        <v>15975</v>
      </c>
      <c r="H3902" s="71"/>
      <c r="I3902" s="66"/>
      <c r="J3902" s="68" t="s">
        <v>15976</v>
      </c>
      <c r="K3902" s="76">
        <v>42826.0</v>
      </c>
      <c r="L3902" s="68" t="s">
        <v>2743</v>
      </c>
      <c r="M3902" s="71"/>
      <c r="N3902" s="61"/>
      <c r="O3902" s="51"/>
    </row>
    <row r="3903">
      <c r="A3903" s="75">
        <v>3900.0</v>
      </c>
      <c r="B3903" s="71"/>
      <c r="C3903" s="69" t="s">
        <v>15977</v>
      </c>
      <c r="D3903" s="71"/>
      <c r="E3903" s="68" t="s">
        <v>15978</v>
      </c>
      <c r="F3903" s="76">
        <v>41913.0</v>
      </c>
      <c r="G3903" s="68" t="s">
        <v>15979</v>
      </c>
      <c r="H3903" s="71"/>
      <c r="I3903" s="71"/>
      <c r="J3903" s="68" t="s">
        <v>15980</v>
      </c>
      <c r="K3903" s="76">
        <v>42835.0</v>
      </c>
      <c r="L3903" s="68" t="s">
        <v>2743</v>
      </c>
      <c r="M3903" s="68" t="s">
        <v>2152</v>
      </c>
      <c r="N3903" s="61"/>
      <c r="O3903" s="51"/>
    </row>
    <row r="3904">
      <c r="A3904" s="56">
        <v>3901.0</v>
      </c>
      <c r="B3904" s="71"/>
      <c r="C3904" s="69" t="s">
        <v>15981</v>
      </c>
      <c r="D3904" s="71"/>
      <c r="E3904" s="68" t="s">
        <v>15982</v>
      </c>
      <c r="F3904" s="83">
        <v>42667.0</v>
      </c>
      <c r="G3904" s="68" t="s">
        <v>15983</v>
      </c>
      <c r="H3904" s="71"/>
      <c r="I3904" s="71"/>
      <c r="J3904" s="68" t="s">
        <v>15984</v>
      </c>
      <c r="K3904" s="76">
        <v>42835.0</v>
      </c>
      <c r="L3904" s="68" t="s">
        <v>2743</v>
      </c>
      <c r="M3904" s="68" t="s">
        <v>149</v>
      </c>
      <c r="N3904" s="77"/>
      <c r="O3904" s="51"/>
    </row>
    <row r="3905">
      <c r="A3905" s="56">
        <v>3902.0</v>
      </c>
      <c r="B3905" s="71"/>
      <c r="C3905" s="69" t="s">
        <v>15985</v>
      </c>
      <c r="D3905" s="71"/>
      <c r="E3905" s="68" t="s">
        <v>15986</v>
      </c>
      <c r="F3905" s="76">
        <v>42460.0</v>
      </c>
      <c r="G3905" s="68" t="s">
        <v>15987</v>
      </c>
      <c r="H3905" s="71"/>
      <c r="I3905" s="66"/>
      <c r="J3905" s="68" t="s">
        <v>15988</v>
      </c>
      <c r="K3905" s="76">
        <v>42835.0</v>
      </c>
      <c r="L3905" s="68" t="s">
        <v>2743</v>
      </c>
      <c r="M3905" s="68" t="s">
        <v>149</v>
      </c>
      <c r="N3905" s="61"/>
      <c r="O3905" s="51"/>
    </row>
    <row r="3906">
      <c r="A3906" s="56">
        <v>3903.0</v>
      </c>
      <c r="B3906" s="71"/>
      <c r="C3906" s="69" t="s">
        <v>15989</v>
      </c>
      <c r="D3906" s="71"/>
      <c r="E3906" s="68" t="s">
        <v>15990</v>
      </c>
      <c r="F3906" s="76">
        <v>42517.0</v>
      </c>
      <c r="G3906" s="68" t="s">
        <v>15991</v>
      </c>
      <c r="H3906" s="71"/>
      <c r="I3906" s="71"/>
      <c r="J3906" s="68" t="s">
        <v>15992</v>
      </c>
      <c r="K3906" s="76">
        <v>42835.0</v>
      </c>
      <c r="L3906" s="68" t="s">
        <v>2743</v>
      </c>
      <c r="M3906" s="68" t="s">
        <v>149</v>
      </c>
      <c r="N3906" s="77"/>
      <c r="O3906" s="51"/>
    </row>
    <row r="3907">
      <c r="A3907" s="56">
        <v>3904.0</v>
      </c>
      <c r="B3907" s="60"/>
      <c r="C3907" s="58" t="s">
        <v>15993</v>
      </c>
      <c r="D3907" s="60"/>
      <c r="E3907" s="57" t="s">
        <v>15994</v>
      </c>
      <c r="F3907" s="78">
        <v>42349.0</v>
      </c>
      <c r="G3907" s="57" t="s">
        <v>15995</v>
      </c>
      <c r="H3907" s="60"/>
      <c r="I3907" s="60"/>
      <c r="J3907" s="89" t="s">
        <v>15996</v>
      </c>
      <c r="K3907" s="233">
        <v>42835.0</v>
      </c>
      <c r="L3907" s="57" t="s">
        <v>2743</v>
      </c>
      <c r="M3907" s="57" t="s">
        <v>149</v>
      </c>
      <c r="N3907" s="112"/>
      <c r="O3907" s="51"/>
    </row>
    <row r="3908">
      <c r="A3908" s="56">
        <v>3905.0</v>
      </c>
      <c r="B3908" s="71"/>
      <c r="C3908" s="69" t="s">
        <v>15997</v>
      </c>
      <c r="D3908" s="71"/>
      <c r="E3908" s="68" t="s">
        <v>15998</v>
      </c>
      <c r="F3908" s="76">
        <v>42773.0</v>
      </c>
      <c r="G3908" s="68" t="s">
        <v>15999</v>
      </c>
      <c r="H3908" s="71"/>
      <c r="I3908" s="66"/>
      <c r="J3908" s="68" t="s">
        <v>16000</v>
      </c>
      <c r="K3908" s="76">
        <v>42836.0</v>
      </c>
      <c r="L3908" s="68" t="s">
        <v>14256</v>
      </c>
      <c r="M3908" s="71"/>
      <c r="N3908" s="61"/>
      <c r="O3908" s="51"/>
    </row>
    <row r="3909">
      <c r="A3909" s="56">
        <v>3906.0</v>
      </c>
      <c r="B3909" s="71"/>
      <c r="C3909" s="69" t="s">
        <v>16001</v>
      </c>
      <c r="D3909" s="71"/>
      <c r="E3909" s="68" t="s">
        <v>16002</v>
      </c>
      <c r="F3909" s="83">
        <v>42717.0</v>
      </c>
      <c r="G3909" s="68" t="s">
        <v>16003</v>
      </c>
      <c r="H3909" s="71"/>
      <c r="I3909" s="66"/>
      <c r="J3909" s="68" t="s">
        <v>16004</v>
      </c>
      <c r="K3909" s="76">
        <v>42836.0</v>
      </c>
      <c r="L3909" s="68" t="s">
        <v>14256</v>
      </c>
      <c r="M3909" s="68" t="s">
        <v>542</v>
      </c>
      <c r="N3909" s="61"/>
      <c r="O3909" s="51"/>
    </row>
    <row r="3910">
      <c r="A3910" s="56">
        <v>3907.0</v>
      </c>
      <c r="B3910" s="71"/>
      <c r="C3910" s="69" t="s">
        <v>16005</v>
      </c>
      <c r="D3910" s="71"/>
      <c r="E3910" s="68" t="s">
        <v>16006</v>
      </c>
      <c r="F3910" s="76">
        <v>42768.0</v>
      </c>
      <c r="G3910" s="68" t="s">
        <v>16007</v>
      </c>
      <c r="H3910" s="71"/>
      <c r="I3910" s="71"/>
      <c r="J3910" s="68" t="s">
        <v>16008</v>
      </c>
      <c r="K3910" s="76">
        <v>42836.0</v>
      </c>
      <c r="L3910" s="68" t="s">
        <v>14256</v>
      </c>
      <c r="M3910" s="68" t="s">
        <v>195</v>
      </c>
      <c r="N3910" s="61"/>
      <c r="O3910" s="51"/>
    </row>
    <row r="3911">
      <c r="A3911" s="56">
        <v>3908.0</v>
      </c>
      <c r="B3911" s="71"/>
      <c r="C3911" s="69" t="s">
        <v>16009</v>
      </c>
      <c r="D3911" s="71"/>
      <c r="E3911" s="68" t="s">
        <v>16010</v>
      </c>
      <c r="F3911" s="83">
        <v>42720.0</v>
      </c>
      <c r="G3911" s="68" t="s">
        <v>16011</v>
      </c>
      <c r="H3911" s="71"/>
      <c r="I3911" s="71"/>
      <c r="J3911" s="68" t="s">
        <v>16012</v>
      </c>
      <c r="K3911" s="225">
        <v>42836.0</v>
      </c>
      <c r="L3911" s="68" t="s">
        <v>14256</v>
      </c>
      <c r="M3911" s="68" t="s">
        <v>195</v>
      </c>
      <c r="N3911" s="61"/>
      <c r="O3911" s="51"/>
    </row>
    <row r="3912">
      <c r="A3912" s="56">
        <v>3909.0</v>
      </c>
      <c r="B3912" s="71"/>
      <c r="C3912" s="69" t="s">
        <v>16013</v>
      </c>
      <c r="D3912" s="71"/>
      <c r="E3912" s="68" t="s">
        <v>16014</v>
      </c>
      <c r="F3912" s="76">
        <v>42808.0</v>
      </c>
      <c r="G3912" s="68" t="s">
        <v>16015</v>
      </c>
      <c r="H3912" s="71"/>
      <c r="I3912" s="71"/>
      <c r="J3912" s="68" t="s">
        <v>16016</v>
      </c>
      <c r="K3912" s="76">
        <v>42836.0</v>
      </c>
      <c r="L3912" s="68" t="s">
        <v>2743</v>
      </c>
      <c r="M3912" s="68" t="s">
        <v>2527</v>
      </c>
      <c r="N3912" s="61"/>
      <c r="O3912" s="51"/>
    </row>
    <row r="3913">
      <c r="A3913" s="56">
        <v>3910.0</v>
      </c>
      <c r="B3913" s="60"/>
      <c r="C3913" s="58" t="s">
        <v>16017</v>
      </c>
      <c r="D3913" s="60"/>
      <c r="E3913" s="57" t="s">
        <v>16018</v>
      </c>
      <c r="F3913" s="59">
        <v>42517.0</v>
      </c>
      <c r="G3913" s="57" t="s">
        <v>16019</v>
      </c>
      <c r="H3913" s="60"/>
      <c r="I3913" s="66"/>
      <c r="J3913" s="57" t="s">
        <v>16020</v>
      </c>
      <c r="K3913" s="59">
        <v>42836.0</v>
      </c>
      <c r="L3913" s="57" t="s">
        <v>2743</v>
      </c>
      <c r="M3913" s="57" t="s">
        <v>530</v>
      </c>
      <c r="N3913" s="61"/>
      <c r="O3913" s="51"/>
    </row>
    <row r="3914">
      <c r="A3914" s="56">
        <v>3911.0</v>
      </c>
      <c r="B3914" s="71"/>
      <c r="C3914" s="69" t="s">
        <v>16021</v>
      </c>
      <c r="D3914" s="71"/>
      <c r="E3914" s="68" t="s">
        <v>16022</v>
      </c>
      <c r="F3914" s="76">
        <v>42783.0</v>
      </c>
      <c r="G3914" s="68" t="s">
        <v>16023</v>
      </c>
      <c r="H3914" s="71"/>
      <c r="I3914" s="71"/>
      <c r="J3914" s="68" t="s">
        <v>16024</v>
      </c>
      <c r="K3914" s="76">
        <v>42836.0</v>
      </c>
      <c r="L3914" s="68" t="s">
        <v>2743</v>
      </c>
      <c r="M3914" s="68" t="s">
        <v>542</v>
      </c>
      <c r="N3914" s="61"/>
      <c r="O3914" s="51"/>
    </row>
    <row r="3915">
      <c r="A3915" s="56">
        <v>3912.0</v>
      </c>
      <c r="B3915" s="71"/>
      <c r="C3915" s="69" t="s">
        <v>16025</v>
      </c>
      <c r="D3915" s="71"/>
      <c r="E3915" s="68" t="s">
        <v>16026</v>
      </c>
      <c r="F3915" s="76">
        <v>42639.0</v>
      </c>
      <c r="G3915" s="68" t="s">
        <v>16027</v>
      </c>
      <c r="H3915" s="71"/>
      <c r="I3915" s="66"/>
      <c r="J3915" s="68" t="s">
        <v>16028</v>
      </c>
      <c r="K3915" s="76">
        <v>42838.0</v>
      </c>
      <c r="L3915" s="68" t="s">
        <v>2743</v>
      </c>
      <c r="M3915" s="68" t="s">
        <v>1910</v>
      </c>
      <c r="N3915" s="61"/>
      <c r="O3915" s="51"/>
    </row>
    <row r="3916">
      <c r="A3916" s="56">
        <v>3913.0</v>
      </c>
      <c r="B3916" s="66"/>
      <c r="C3916" s="64" t="s">
        <v>16029</v>
      </c>
      <c r="D3916" s="66"/>
      <c r="E3916" s="63" t="s">
        <v>16030</v>
      </c>
      <c r="F3916" s="70">
        <v>40219.0</v>
      </c>
      <c r="G3916" s="63" t="s">
        <v>16031</v>
      </c>
      <c r="H3916" s="66"/>
      <c r="I3916" s="66"/>
      <c r="J3916" s="63" t="s">
        <v>11838</v>
      </c>
      <c r="K3916" s="70">
        <v>42838.0</v>
      </c>
      <c r="L3916" s="63" t="s">
        <v>2743</v>
      </c>
      <c r="M3916" s="63" t="s">
        <v>2989</v>
      </c>
      <c r="N3916" s="61"/>
      <c r="O3916" s="51"/>
    </row>
    <row r="3917">
      <c r="A3917" s="56">
        <v>3914.0</v>
      </c>
      <c r="B3917" s="66"/>
      <c r="C3917" s="64" t="s">
        <v>16032</v>
      </c>
      <c r="D3917" s="66"/>
      <c r="E3917" s="63" t="s">
        <v>16033</v>
      </c>
      <c r="F3917" s="70">
        <v>42266.0</v>
      </c>
      <c r="G3917" s="63" t="s">
        <v>16034</v>
      </c>
      <c r="H3917" s="66"/>
      <c r="I3917" s="63" t="s">
        <v>16035</v>
      </c>
      <c r="J3917" s="63" t="s">
        <v>6262</v>
      </c>
      <c r="K3917" s="70">
        <v>42838.0</v>
      </c>
      <c r="L3917" s="63" t="s">
        <v>2743</v>
      </c>
      <c r="M3917" s="63" t="s">
        <v>368</v>
      </c>
      <c r="N3917" s="61"/>
      <c r="O3917" s="51"/>
    </row>
    <row r="3918">
      <c r="A3918" s="56">
        <v>3915.0</v>
      </c>
      <c r="B3918" s="71"/>
      <c r="C3918" s="69" t="s">
        <v>16036</v>
      </c>
      <c r="D3918" s="71"/>
      <c r="E3918" s="68" t="s">
        <v>16037</v>
      </c>
      <c r="F3918" s="76">
        <v>42558.0</v>
      </c>
      <c r="G3918" s="68" t="s">
        <v>16038</v>
      </c>
      <c r="H3918" s="71"/>
      <c r="I3918" s="71"/>
      <c r="J3918" s="68" t="s">
        <v>16039</v>
      </c>
      <c r="K3918" s="76">
        <v>42838.0</v>
      </c>
      <c r="L3918" s="68" t="s">
        <v>2743</v>
      </c>
      <c r="M3918" s="68" t="s">
        <v>166</v>
      </c>
      <c r="N3918" s="77"/>
      <c r="O3918" s="51"/>
    </row>
    <row r="3919">
      <c r="A3919" s="75">
        <v>3916.0</v>
      </c>
      <c r="B3919" s="71"/>
      <c r="C3919" s="69" t="s">
        <v>16040</v>
      </c>
      <c r="D3919" s="71"/>
      <c r="E3919" s="68" t="s">
        <v>16041</v>
      </c>
      <c r="F3919" s="76">
        <v>40944.0</v>
      </c>
      <c r="G3919" s="68" t="s">
        <v>16042</v>
      </c>
      <c r="H3919" s="71"/>
      <c r="I3919" s="71"/>
      <c r="J3919" s="68" t="s">
        <v>16043</v>
      </c>
      <c r="K3919" s="76">
        <v>42838.0</v>
      </c>
      <c r="L3919" s="68" t="s">
        <v>2743</v>
      </c>
      <c r="M3919" s="68" t="s">
        <v>125</v>
      </c>
      <c r="N3919" s="77"/>
      <c r="O3919" s="51"/>
    </row>
    <row r="3920">
      <c r="A3920" s="56">
        <v>3917.0</v>
      </c>
      <c r="B3920" s="66"/>
      <c r="C3920" s="64" t="s">
        <v>16044</v>
      </c>
      <c r="D3920" s="66"/>
      <c r="E3920" s="63" t="s">
        <v>16045</v>
      </c>
      <c r="F3920" s="65">
        <v>42704.0</v>
      </c>
      <c r="G3920" s="63" t="s">
        <v>16046</v>
      </c>
      <c r="H3920" s="66"/>
      <c r="I3920" s="63" t="s">
        <v>16047</v>
      </c>
      <c r="J3920" s="63" t="s">
        <v>6322</v>
      </c>
      <c r="K3920" s="70">
        <v>42843.0</v>
      </c>
      <c r="L3920" s="63" t="s">
        <v>2743</v>
      </c>
      <c r="M3920" s="63" t="s">
        <v>4749</v>
      </c>
      <c r="N3920" s="61"/>
      <c r="O3920" s="51"/>
    </row>
    <row r="3921">
      <c r="A3921" s="56">
        <v>3918.0</v>
      </c>
      <c r="B3921" s="71"/>
      <c r="C3921" s="69" t="s">
        <v>16048</v>
      </c>
      <c r="D3921" s="71"/>
      <c r="E3921" s="68" t="s">
        <v>16049</v>
      </c>
      <c r="F3921" s="76">
        <v>42634.0</v>
      </c>
      <c r="G3921" s="68" t="s">
        <v>16050</v>
      </c>
      <c r="H3921" s="71"/>
      <c r="I3921" s="71"/>
      <c r="J3921" s="68" t="s">
        <v>15544</v>
      </c>
      <c r="K3921" s="76">
        <v>42844.0</v>
      </c>
      <c r="L3921" s="68" t="s">
        <v>2743</v>
      </c>
      <c r="M3921" s="68" t="s">
        <v>2748</v>
      </c>
      <c r="N3921" s="61"/>
      <c r="O3921" s="51"/>
    </row>
    <row r="3922">
      <c r="A3922" s="56">
        <v>3919.0</v>
      </c>
      <c r="B3922" s="60"/>
      <c r="C3922" s="58" t="s">
        <v>16051</v>
      </c>
      <c r="D3922" s="60"/>
      <c r="E3922" s="57" t="s">
        <v>16052</v>
      </c>
      <c r="F3922" s="59">
        <v>42479.0</v>
      </c>
      <c r="G3922" s="57" t="s">
        <v>16053</v>
      </c>
      <c r="H3922" s="60"/>
      <c r="I3922" s="66"/>
      <c r="J3922" s="57" t="s">
        <v>16054</v>
      </c>
      <c r="K3922" s="59">
        <v>42844.0</v>
      </c>
      <c r="L3922" s="57" t="s">
        <v>2743</v>
      </c>
      <c r="M3922" s="57" t="s">
        <v>3407</v>
      </c>
      <c r="N3922" s="61"/>
      <c r="O3922" s="51"/>
    </row>
    <row r="3923">
      <c r="A3923" s="56">
        <v>3920.0</v>
      </c>
      <c r="B3923" s="71"/>
      <c r="C3923" s="69" t="s">
        <v>16055</v>
      </c>
      <c r="D3923" s="71"/>
      <c r="E3923" s="68" t="s">
        <v>16056</v>
      </c>
      <c r="F3923" s="183">
        <v>40634.0</v>
      </c>
      <c r="G3923" s="68" t="s">
        <v>16057</v>
      </c>
      <c r="H3923" s="71"/>
      <c r="I3923" s="71"/>
      <c r="J3923" s="68" t="s">
        <v>16058</v>
      </c>
      <c r="K3923" s="225">
        <v>42844.0</v>
      </c>
      <c r="L3923" s="68" t="s">
        <v>2743</v>
      </c>
      <c r="M3923" s="68" t="s">
        <v>125</v>
      </c>
      <c r="N3923" s="61"/>
      <c r="O3923" s="51"/>
    </row>
    <row r="3924">
      <c r="A3924" s="56">
        <v>3921.0</v>
      </c>
      <c r="B3924" s="71"/>
      <c r="C3924" s="69" t="s">
        <v>16059</v>
      </c>
      <c r="D3924" s="71"/>
      <c r="E3924" s="68" t="s">
        <v>16060</v>
      </c>
      <c r="F3924" s="183">
        <v>40634.0</v>
      </c>
      <c r="G3924" s="68" t="s">
        <v>16057</v>
      </c>
      <c r="H3924" s="71"/>
      <c r="I3924" s="71"/>
      <c r="J3924" s="68" t="s">
        <v>16061</v>
      </c>
      <c r="K3924" s="76">
        <v>42844.0</v>
      </c>
      <c r="L3924" s="68" t="s">
        <v>2743</v>
      </c>
      <c r="M3924" s="68" t="s">
        <v>368</v>
      </c>
      <c r="N3924" s="77"/>
      <c r="O3924" s="51"/>
    </row>
    <row r="3925">
      <c r="A3925" s="56">
        <v>3922.0</v>
      </c>
      <c r="B3925" s="66"/>
      <c r="C3925" s="64" t="s">
        <v>16062</v>
      </c>
      <c r="D3925" s="66"/>
      <c r="E3925" s="63" t="s">
        <v>16063</v>
      </c>
      <c r="F3925" s="70">
        <v>39849.0</v>
      </c>
      <c r="G3925" s="63" t="s">
        <v>16064</v>
      </c>
      <c r="H3925" s="63" t="s">
        <v>439</v>
      </c>
      <c r="I3925" s="63" t="s">
        <v>16065</v>
      </c>
      <c r="J3925" s="63" t="s">
        <v>1872</v>
      </c>
      <c r="K3925" s="70">
        <v>42844.0</v>
      </c>
      <c r="L3925" s="63" t="s">
        <v>2743</v>
      </c>
      <c r="M3925" s="63" t="s">
        <v>530</v>
      </c>
      <c r="N3925" s="61"/>
      <c r="O3925" s="51"/>
    </row>
    <row r="3926">
      <c r="A3926" s="56">
        <v>3923.0</v>
      </c>
      <c r="B3926" s="71"/>
      <c r="C3926" s="69" t="s">
        <v>16066</v>
      </c>
      <c r="D3926" s="71"/>
      <c r="E3926" s="68" t="s">
        <v>16067</v>
      </c>
      <c r="F3926" s="76">
        <v>42799.0</v>
      </c>
      <c r="G3926" s="68" t="s">
        <v>16068</v>
      </c>
      <c r="H3926" s="71"/>
      <c r="I3926" s="66"/>
      <c r="J3926" s="68" t="s">
        <v>16069</v>
      </c>
      <c r="K3926" s="76">
        <v>42846.0</v>
      </c>
      <c r="L3926" s="68" t="s">
        <v>14911</v>
      </c>
      <c r="M3926" s="68" t="s">
        <v>15586</v>
      </c>
      <c r="N3926" s="61"/>
      <c r="O3926" s="51"/>
    </row>
    <row r="3927">
      <c r="A3927" s="56">
        <v>3924.0</v>
      </c>
      <c r="B3927" s="71"/>
      <c r="C3927" s="69" t="s">
        <v>16070</v>
      </c>
      <c r="D3927" s="71"/>
      <c r="E3927" s="68" t="s">
        <v>16071</v>
      </c>
      <c r="F3927" s="68">
        <v>2010.0</v>
      </c>
      <c r="G3927" s="68" t="s">
        <v>16072</v>
      </c>
      <c r="H3927" s="71"/>
      <c r="I3927" s="66"/>
      <c r="J3927" s="68" t="s">
        <v>16073</v>
      </c>
      <c r="K3927" s="76">
        <v>42846.0</v>
      </c>
      <c r="L3927" s="68" t="s">
        <v>2743</v>
      </c>
      <c r="M3927" s="68" t="s">
        <v>4487</v>
      </c>
      <c r="N3927" s="61"/>
      <c r="O3927" s="51"/>
    </row>
    <row r="3928">
      <c r="A3928" s="56">
        <v>3925.0</v>
      </c>
      <c r="B3928" s="71"/>
      <c r="C3928" s="69" t="s">
        <v>16074</v>
      </c>
      <c r="D3928" s="71"/>
      <c r="E3928" s="68" t="s">
        <v>16075</v>
      </c>
      <c r="F3928" s="76">
        <v>42799.0</v>
      </c>
      <c r="G3928" s="68" t="s">
        <v>16076</v>
      </c>
      <c r="H3928" s="71"/>
      <c r="I3928" s="71"/>
      <c r="J3928" s="68" t="s">
        <v>16077</v>
      </c>
      <c r="K3928" s="76">
        <v>42846.0</v>
      </c>
      <c r="L3928" s="68" t="s">
        <v>14911</v>
      </c>
      <c r="M3928" s="68" t="s">
        <v>2748</v>
      </c>
      <c r="N3928" s="61"/>
      <c r="O3928" s="51"/>
    </row>
    <row r="3929">
      <c r="A3929" s="56">
        <v>3926.0</v>
      </c>
      <c r="B3929" s="71"/>
      <c r="C3929" s="69" t="s">
        <v>16078</v>
      </c>
      <c r="D3929" s="71"/>
      <c r="E3929" s="68" t="s">
        <v>16079</v>
      </c>
      <c r="F3929" s="76">
        <v>42632.0</v>
      </c>
      <c r="G3929" s="68" t="s">
        <v>16080</v>
      </c>
      <c r="H3929" s="71"/>
      <c r="I3929" s="63" t="s">
        <v>16081</v>
      </c>
      <c r="J3929" s="68" t="s">
        <v>16082</v>
      </c>
      <c r="K3929" s="76">
        <v>42846.0</v>
      </c>
      <c r="L3929" s="68" t="s">
        <v>14911</v>
      </c>
      <c r="M3929" s="68" t="s">
        <v>2291</v>
      </c>
      <c r="N3929" s="61"/>
      <c r="O3929" s="51"/>
    </row>
    <row r="3930">
      <c r="A3930" s="56">
        <v>3927.0</v>
      </c>
      <c r="B3930" s="71"/>
      <c r="C3930" s="69" t="s">
        <v>16083</v>
      </c>
      <c r="D3930" s="71"/>
      <c r="E3930" s="68" t="s">
        <v>16084</v>
      </c>
      <c r="F3930" s="76">
        <v>42652.0</v>
      </c>
      <c r="G3930" s="68" t="s">
        <v>16085</v>
      </c>
      <c r="H3930" s="71"/>
      <c r="I3930" s="68" t="s">
        <v>16086</v>
      </c>
      <c r="J3930" s="87" t="s">
        <v>16087</v>
      </c>
      <c r="K3930" s="76">
        <v>42846.0</v>
      </c>
      <c r="L3930" s="68" t="s">
        <v>2743</v>
      </c>
      <c r="M3930" s="68" t="s">
        <v>2291</v>
      </c>
      <c r="N3930" s="234"/>
      <c r="O3930" s="51"/>
    </row>
    <row r="3931">
      <c r="A3931" s="56">
        <v>3928.0</v>
      </c>
      <c r="B3931" s="66"/>
      <c r="C3931" s="64" t="s">
        <v>16088</v>
      </c>
      <c r="D3931" s="66"/>
      <c r="E3931" s="63" t="s">
        <v>16089</v>
      </c>
      <c r="F3931" s="70">
        <v>42343.0</v>
      </c>
      <c r="G3931" s="63" t="s">
        <v>16090</v>
      </c>
      <c r="H3931" s="66"/>
      <c r="I3931" s="63" t="s">
        <v>16091</v>
      </c>
      <c r="J3931" s="63" t="s">
        <v>9175</v>
      </c>
      <c r="K3931" s="70">
        <v>42846.0</v>
      </c>
      <c r="L3931" s="63" t="s">
        <v>2743</v>
      </c>
      <c r="M3931" s="63" t="s">
        <v>143</v>
      </c>
      <c r="N3931" s="61"/>
      <c r="O3931" s="51"/>
    </row>
    <row r="3932">
      <c r="A3932" s="56">
        <v>3929.0</v>
      </c>
      <c r="B3932" s="66"/>
      <c r="C3932" s="64" t="s">
        <v>16092</v>
      </c>
      <c r="D3932" s="66"/>
      <c r="E3932" s="63" t="s">
        <v>16093</v>
      </c>
      <c r="F3932" s="63">
        <v>2015.0</v>
      </c>
      <c r="G3932" s="63" t="s">
        <v>16094</v>
      </c>
      <c r="H3932" s="66"/>
      <c r="I3932" s="66"/>
      <c r="J3932" s="63" t="s">
        <v>2872</v>
      </c>
      <c r="K3932" s="70">
        <v>42847.0</v>
      </c>
      <c r="L3932" s="63" t="s">
        <v>2743</v>
      </c>
      <c r="M3932" s="63" t="s">
        <v>125</v>
      </c>
      <c r="N3932" s="61"/>
      <c r="O3932" s="51"/>
    </row>
    <row r="3933">
      <c r="A3933" s="56">
        <v>3930.0</v>
      </c>
      <c r="B3933" s="71"/>
      <c r="C3933" s="69" t="s">
        <v>16095</v>
      </c>
      <c r="D3933" s="71"/>
      <c r="E3933" s="68" t="s">
        <v>16096</v>
      </c>
      <c r="F3933" s="83">
        <v>42354.0</v>
      </c>
      <c r="G3933" s="68" t="s">
        <v>16097</v>
      </c>
      <c r="H3933" s="71"/>
      <c r="I3933" s="63" t="s">
        <v>16098</v>
      </c>
      <c r="J3933" s="68" t="s">
        <v>16099</v>
      </c>
      <c r="K3933" s="76">
        <v>42847.0</v>
      </c>
      <c r="L3933" s="68" t="s">
        <v>2743</v>
      </c>
      <c r="M3933" s="68" t="s">
        <v>2291</v>
      </c>
      <c r="N3933" s="61"/>
      <c r="O3933" s="51"/>
    </row>
    <row r="3934">
      <c r="A3934" s="56">
        <v>3931.0</v>
      </c>
      <c r="B3934" s="66"/>
      <c r="C3934" s="64" t="s">
        <v>16100</v>
      </c>
      <c r="D3934" s="66"/>
      <c r="E3934" s="63" t="s">
        <v>9943</v>
      </c>
      <c r="F3934" s="65">
        <v>41998.0</v>
      </c>
      <c r="G3934" s="63" t="s">
        <v>16101</v>
      </c>
      <c r="H3934" s="63" t="s">
        <v>16102</v>
      </c>
      <c r="I3934" s="66"/>
      <c r="J3934" s="63" t="s">
        <v>1872</v>
      </c>
      <c r="K3934" s="70">
        <v>42849.0</v>
      </c>
      <c r="L3934" s="63" t="s">
        <v>2743</v>
      </c>
      <c r="M3934" s="63" t="s">
        <v>530</v>
      </c>
      <c r="N3934" s="61"/>
      <c r="O3934" s="51"/>
    </row>
    <row r="3935">
      <c r="A3935" s="56">
        <v>3932.0</v>
      </c>
      <c r="B3935" s="71"/>
      <c r="C3935" s="69" t="s">
        <v>16103</v>
      </c>
      <c r="D3935" s="71"/>
      <c r="E3935" s="68" t="s">
        <v>16104</v>
      </c>
      <c r="F3935" s="83">
        <v>42715.0</v>
      </c>
      <c r="G3935" s="68" t="s">
        <v>16105</v>
      </c>
      <c r="H3935" s="71"/>
      <c r="I3935" s="71"/>
      <c r="J3935" s="87" t="s">
        <v>16106</v>
      </c>
      <c r="K3935" s="76">
        <v>42850.0</v>
      </c>
      <c r="L3935" s="68" t="s">
        <v>14911</v>
      </c>
      <c r="M3935" s="68" t="s">
        <v>125</v>
      </c>
      <c r="N3935" s="77"/>
      <c r="O3935" s="51"/>
    </row>
    <row r="3936">
      <c r="A3936" s="56">
        <v>3933.0</v>
      </c>
      <c r="B3936" s="66"/>
      <c r="C3936" s="64" t="s">
        <v>16107</v>
      </c>
      <c r="D3936" s="66"/>
      <c r="E3936" s="63" t="s">
        <v>16108</v>
      </c>
      <c r="F3936" s="70">
        <v>41008.0</v>
      </c>
      <c r="G3936" s="63" t="s">
        <v>16109</v>
      </c>
      <c r="H3936" s="66"/>
      <c r="I3936" s="63" t="s">
        <v>16110</v>
      </c>
      <c r="J3936" s="63" t="s">
        <v>9175</v>
      </c>
      <c r="K3936" s="70">
        <v>42850.0</v>
      </c>
      <c r="L3936" s="63" t="s">
        <v>14911</v>
      </c>
      <c r="M3936" s="63" t="s">
        <v>143</v>
      </c>
      <c r="N3936" s="61"/>
      <c r="O3936" s="51"/>
    </row>
    <row r="3937">
      <c r="A3937" s="56">
        <v>3934.0</v>
      </c>
      <c r="B3937" s="66"/>
      <c r="C3937" s="64" t="s">
        <v>16111</v>
      </c>
      <c r="D3937" s="66"/>
      <c r="E3937" s="63" t="s">
        <v>16112</v>
      </c>
      <c r="F3937" s="70">
        <v>42825.0</v>
      </c>
      <c r="G3937" s="63" t="s">
        <v>16113</v>
      </c>
      <c r="H3937" s="66"/>
      <c r="I3937" s="66"/>
      <c r="J3937" s="63" t="s">
        <v>15861</v>
      </c>
      <c r="K3937" s="70">
        <v>42850.0</v>
      </c>
      <c r="L3937" s="63" t="s">
        <v>14911</v>
      </c>
      <c r="M3937" s="63" t="s">
        <v>14984</v>
      </c>
      <c r="N3937" s="61"/>
      <c r="O3937" s="51"/>
    </row>
    <row r="3938">
      <c r="A3938" s="75">
        <v>3935.0</v>
      </c>
      <c r="B3938" s="71"/>
      <c r="C3938" s="69" t="s">
        <v>16114</v>
      </c>
      <c r="D3938" s="71"/>
      <c r="E3938" s="68" t="s">
        <v>16115</v>
      </c>
      <c r="F3938" s="76">
        <v>42835.0</v>
      </c>
      <c r="G3938" s="68" t="s">
        <v>16116</v>
      </c>
      <c r="H3938" s="71"/>
      <c r="I3938" s="71"/>
      <c r="J3938" s="68" t="s">
        <v>16117</v>
      </c>
      <c r="K3938" s="76">
        <v>42850.0</v>
      </c>
      <c r="L3938" s="68" t="s">
        <v>2743</v>
      </c>
      <c r="M3938" s="68" t="s">
        <v>403</v>
      </c>
      <c r="N3938" s="77"/>
      <c r="O3938" s="51"/>
    </row>
    <row r="3939">
      <c r="A3939" s="56">
        <v>3936.0</v>
      </c>
      <c r="B3939" s="66"/>
      <c r="C3939" s="64" t="s">
        <v>16118</v>
      </c>
      <c r="D3939" s="66"/>
      <c r="E3939" s="63" t="s">
        <v>16119</v>
      </c>
      <c r="F3939" s="70">
        <v>42709.0</v>
      </c>
      <c r="G3939" s="63" t="s">
        <v>16120</v>
      </c>
      <c r="H3939" s="66"/>
      <c r="I3939" s="66"/>
      <c r="J3939" s="63" t="s">
        <v>1762</v>
      </c>
      <c r="K3939" s="70">
        <v>42850.0</v>
      </c>
      <c r="L3939" s="63" t="s">
        <v>2743</v>
      </c>
      <c r="M3939" s="63" t="s">
        <v>542</v>
      </c>
      <c r="N3939" s="61"/>
      <c r="O3939" s="51"/>
    </row>
    <row r="3940">
      <c r="A3940" s="56">
        <v>3937.0</v>
      </c>
      <c r="B3940" s="71"/>
      <c r="C3940" s="69" t="s">
        <v>16121</v>
      </c>
      <c r="D3940" s="71"/>
      <c r="E3940" s="68" t="s">
        <v>16122</v>
      </c>
      <c r="F3940" s="76">
        <v>42709.0</v>
      </c>
      <c r="G3940" s="68" t="s">
        <v>16120</v>
      </c>
      <c r="H3940" s="71"/>
      <c r="I3940" s="71"/>
      <c r="J3940" s="68" t="s">
        <v>16123</v>
      </c>
      <c r="K3940" s="76">
        <v>42850.0</v>
      </c>
      <c r="L3940" s="68" t="s">
        <v>2743</v>
      </c>
      <c r="M3940" s="68" t="s">
        <v>542</v>
      </c>
      <c r="N3940" s="77"/>
      <c r="O3940" s="51"/>
    </row>
    <row r="3941">
      <c r="A3941" s="56">
        <v>3938.0</v>
      </c>
      <c r="B3941" s="66"/>
      <c r="C3941" s="64" t="s">
        <v>16124</v>
      </c>
      <c r="D3941" s="66"/>
      <c r="E3941" s="63" t="s">
        <v>16125</v>
      </c>
      <c r="F3941" s="70">
        <v>42079.0</v>
      </c>
      <c r="G3941" s="63" t="s">
        <v>16126</v>
      </c>
      <c r="H3941" s="66"/>
      <c r="I3941" s="63" t="s">
        <v>16127</v>
      </c>
      <c r="J3941" s="63" t="s">
        <v>9175</v>
      </c>
      <c r="K3941" s="70">
        <v>42850.0</v>
      </c>
      <c r="L3941" s="63" t="s">
        <v>2743</v>
      </c>
      <c r="M3941" s="63" t="s">
        <v>143</v>
      </c>
      <c r="N3941" s="61"/>
      <c r="O3941" s="51"/>
    </row>
    <row r="3942">
      <c r="A3942" s="56">
        <v>3939.0</v>
      </c>
      <c r="B3942" s="71"/>
      <c r="C3942" s="69" t="s">
        <v>16128</v>
      </c>
      <c r="D3942" s="71"/>
      <c r="E3942" s="68" t="s">
        <v>16129</v>
      </c>
      <c r="F3942" s="76">
        <v>42645.0</v>
      </c>
      <c r="G3942" s="68" t="s">
        <v>16130</v>
      </c>
      <c r="H3942" s="71"/>
      <c r="I3942" s="63" t="s">
        <v>16131</v>
      </c>
      <c r="J3942" s="68" t="s">
        <v>16132</v>
      </c>
      <c r="K3942" s="76">
        <v>42850.0</v>
      </c>
      <c r="L3942" s="68" t="s">
        <v>2743</v>
      </c>
      <c r="M3942" s="68" t="s">
        <v>4749</v>
      </c>
      <c r="N3942" s="61"/>
      <c r="O3942" s="51"/>
    </row>
    <row r="3943">
      <c r="A3943" s="56">
        <v>3940.0</v>
      </c>
      <c r="B3943" s="71"/>
      <c r="C3943" s="69" t="s">
        <v>16133</v>
      </c>
      <c r="D3943" s="71"/>
      <c r="E3943" s="68" t="s">
        <v>16134</v>
      </c>
      <c r="F3943" s="76">
        <v>42844.0</v>
      </c>
      <c r="G3943" s="68" t="s">
        <v>16135</v>
      </c>
      <c r="H3943" s="71"/>
      <c r="I3943" s="63" t="s">
        <v>635</v>
      </c>
      <c r="J3943" s="68" t="s">
        <v>16136</v>
      </c>
      <c r="K3943" s="76">
        <v>42851.0</v>
      </c>
      <c r="L3943" s="68" t="s">
        <v>2743</v>
      </c>
      <c r="M3943" s="68" t="s">
        <v>15904</v>
      </c>
      <c r="N3943" s="61"/>
      <c r="O3943" s="51"/>
    </row>
    <row r="3944">
      <c r="A3944" s="56">
        <v>3941.0</v>
      </c>
      <c r="B3944" s="71"/>
      <c r="C3944" s="69" t="s">
        <v>16137</v>
      </c>
      <c r="D3944" s="71"/>
      <c r="E3944" s="68" t="s">
        <v>16138</v>
      </c>
      <c r="F3944" s="183">
        <v>42767.0</v>
      </c>
      <c r="G3944" s="68" t="s">
        <v>16139</v>
      </c>
      <c r="H3944" s="71"/>
      <c r="I3944" s="66"/>
      <c r="J3944" s="68" t="s">
        <v>16140</v>
      </c>
      <c r="K3944" s="76">
        <v>42852.0</v>
      </c>
      <c r="L3944" s="68" t="s">
        <v>2743</v>
      </c>
      <c r="M3944" s="68" t="s">
        <v>201</v>
      </c>
      <c r="N3944" s="61"/>
      <c r="O3944" s="51"/>
    </row>
    <row r="3945">
      <c r="A3945" s="56">
        <v>3942.0</v>
      </c>
      <c r="B3945" s="71"/>
      <c r="C3945" s="69" t="s">
        <v>16141</v>
      </c>
      <c r="D3945" s="71"/>
      <c r="E3945" s="68" t="s">
        <v>16142</v>
      </c>
      <c r="F3945" s="76">
        <v>42758.0</v>
      </c>
      <c r="G3945" s="68" t="s">
        <v>16143</v>
      </c>
      <c r="H3945" s="71"/>
      <c r="I3945" s="66"/>
      <c r="J3945" s="68" t="s">
        <v>16144</v>
      </c>
      <c r="K3945" s="76">
        <v>42852.0</v>
      </c>
      <c r="L3945" s="68" t="s">
        <v>2743</v>
      </c>
      <c r="M3945" s="68" t="s">
        <v>282</v>
      </c>
      <c r="N3945" s="61"/>
      <c r="O3945" s="51"/>
    </row>
    <row r="3946">
      <c r="A3946" s="56">
        <v>3943.0</v>
      </c>
      <c r="B3946" s="71"/>
      <c r="C3946" s="69" t="s">
        <v>16145</v>
      </c>
      <c r="D3946" s="71"/>
      <c r="E3946" s="68" t="s">
        <v>16146</v>
      </c>
      <c r="F3946" s="76">
        <v>42343.0</v>
      </c>
      <c r="G3946" s="68" t="s">
        <v>16147</v>
      </c>
      <c r="H3946" s="71"/>
      <c r="I3946" s="66"/>
      <c r="J3946" s="68" t="s">
        <v>16148</v>
      </c>
      <c r="K3946" s="76">
        <v>42852.0</v>
      </c>
      <c r="L3946" s="68" t="s">
        <v>2743</v>
      </c>
      <c r="M3946" s="68" t="s">
        <v>31</v>
      </c>
      <c r="N3946" s="61"/>
      <c r="O3946" s="51"/>
    </row>
    <row r="3947">
      <c r="A3947" s="56">
        <v>3944.0</v>
      </c>
      <c r="B3947" s="71"/>
      <c r="C3947" s="69" t="s">
        <v>16149</v>
      </c>
      <c r="D3947" s="71"/>
      <c r="E3947" s="68" t="s">
        <v>16150</v>
      </c>
      <c r="F3947" s="76">
        <v>42045.0</v>
      </c>
      <c r="G3947" s="68" t="s">
        <v>16151</v>
      </c>
      <c r="H3947" s="71"/>
      <c r="I3947" s="71"/>
      <c r="J3947" s="68" t="s">
        <v>16152</v>
      </c>
      <c r="K3947" s="76">
        <v>42852.0</v>
      </c>
      <c r="L3947" s="68" t="s">
        <v>14911</v>
      </c>
      <c r="M3947" s="68" t="s">
        <v>156</v>
      </c>
      <c r="N3947" s="77"/>
      <c r="O3947" s="51"/>
    </row>
    <row r="3948">
      <c r="A3948" s="56">
        <v>3945.0</v>
      </c>
      <c r="B3948" s="66"/>
      <c r="C3948" s="64" t="s">
        <v>16153</v>
      </c>
      <c r="D3948" s="66"/>
      <c r="E3948" s="63" t="s">
        <v>16154</v>
      </c>
      <c r="F3948" s="70">
        <v>42807.0</v>
      </c>
      <c r="G3948" s="63" t="s">
        <v>16155</v>
      </c>
      <c r="H3948" s="66"/>
      <c r="I3948" s="66"/>
      <c r="J3948" s="63" t="s">
        <v>9979</v>
      </c>
      <c r="K3948" s="70">
        <v>42852.0</v>
      </c>
      <c r="L3948" s="63" t="s">
        <v>16156</v>
      </c>
      <c r="M3948" s="63" t="s">
        <v>166</v>
      </c>
      <c r="N3948" s="61"/>
      <c r="O3948" s="51"/>
    </row>
    <row r="3949">
      <c r="A3949" s="56">
        <v>3946.0</v>
      </c>
      <c r="B3949" s="71"/>
      <c r="C3949" s="69" t="s">
        <v>16157</v>
      </c>
      <c r="D3949" s="71"/>
      <c r="E3949" s="68" t="s">
        <v>16158</v>
      </c>
      <c r="F3949" s="76">
        <v>42838.0</v>
      </c>
      <c r="G3949" s="68" t="s">
        <v>16159</v>
      </c>
      <c r="H3949" s="71"/>
      <c r="I3949" s="66"/>
      <c r="J3949" s="68" t="s">
        <v>16160</v>
      </c>
      <c r="K3949" s="76">
        <v>42853.0</v>
      </c>
      <c r="L3949" s="68" t="s">
        <v>2743</v>
      </c>
      <c r="M3949" s="71"/>
      <c r="N3949" s="61"/>
      <c r="O3949" s="51"/>
    </row>
    <row r="3950">
      <c r="A3950" s="56">
        <v>3947.0</v>
      </c>
      <c r="B3950" s="66"/>
      <c r="C3950" s="64" t="s">
        <v>16161</v>
      </c>
      <c r="D3950" s="66"/>
      <c r="E3950" s="63" t="s">
        <v>16162</v>
      </c>
      <c r="F3950" s="70">
        <v>41251.0</v>
      </c>
      <c r="G3950" s="63" t="s">
        <v>16163</v>
      </c>
      <c r="H3950" s="66"/>
      <c r="I3950" s="66"/>
      <c r="J3950" s="63" t="s">
        <v>1872</v>
      </c>
      <c r="K3950" s="70">
        <v>42859.0</v>
      </c>
      <c r="L3950" s="63" t="s">
        <v>2743</v>
      </c>
      <c r="M3950" s="63" t="s">
        <v>530</v>
      </c>
      <c r="N3950" s="61"/>
      <c r="O3950" s="51"/>
    </row>
    <row r="3951">
      <c r="A3951" s="56">
        <v>3948.0</v>
      </c>
      <c r="B3951" s="71"/>
      <c r="C3951" s="69" t="s">
        <v>16164</v>
      </c>
      <c r="D3951" s="71"/>
      <c r="E3951" s="68" t="s">
        <v>16165</v>
      </c>
      <c r="F3951" s="83">
        <v>42653.0</v>
      </c>
      <c r="G3951" s="68" t="s">
        <v>16166</v>
      </c>
      <c r="H3951" s="71"/>
      <c r="I3951" s="66"/>
      <c r="J3951" s="68" t="s">
        <v>16167</v>
      </c>
      <c r="K3951" s="76">
        <v>42860.0</v>
      </c>
      <c r="L3951" s="68" t="s">
        <v>2743</v>
      </c>
      <c r="M3951" s="68" t="s">
        <v>2152</v>
      </c>
      <c r="N3951" s="61"/>
      <c r="O3951" s="51"/>
    </row>
    <row r="3952">
      <c r="A3952" s="56">
        <v>3949.0</v>
      </c>
      <c r="B3952" s="66"/>
      <c r="C3952" s="64" t="s">
        <v>16168</v>
      </c>
      <c r="D3952" s="66"/>
      <c r="E3952" s="63" t="s">
        <v>16169</v>
      </c>
      <c r="F3952" s="70">
        <v>41477.0</v>
      </c>
      <c r="G3952" s="63" t="s">
        <v>16170</v>
      </c>
      <c r="H3952" s="80" t="s">
        <v>16171</v>
      </c>
      <c r="I3952" s="66"/>
      <c r="J3952" s="63" t="s">
        <v>9979</v>
      </c>
      <c r="K3952" s="70">
        <v>42861.0</v>
      </c>
      <c r="L3952" s="63" t="s">
        <v>2743</v>
      </c>
      <c r="M3952" s="63" t="s">
        <v>125</v>
      </c>
      <c r="N3952" s="61"/>
      <c r="O3952" s="51"/>
    </row>
    <row r="3953">
      <c r="A3953" s="56">
        <v>3950.0</v>
      </c>
      <c r="B3953" s="66"/>
      <c r="C3953" s="64" t="s">
        <v>16172</v>
      </c>
      <c r="D3953" s="66"/>
      <c r="E3953" s="63" t="s">
        <v>16173</v>
      </c>
      <c r="F3953" s="70">
        <v>41757.0</v>
      </c>
      <c r="G3953" s="63" t="s">
        <v>16174</v>
      </c>
      <c r="H3953" s="66"/>
      <c r="I3953" s="66"/>
      <c r="J3953" s="63" t="s">
        <v>2872</v>
      </c>
      <c r="K3953" s="70">
        <v>42861.0</v>
      </c>
      <c r="L3953" s="63" t="s">
        <v>2743</v>
      </c>
      <c r="M3953" s="63" t="s">
        <v>125</v>
      </c>
      <c r="N3953" s="61"/>
      <c r="O3953" s="51"/>
    </row>
    <row r="3954">
      <c r="A3954" s="56">
        <v>3951.0</v>
      </c>
      <c r="B3954" s="66"/>
      <c r="C3954" s="64" t="s">
        <v>16175</v>
      </c>
      <c r="D3954" s="66"/>
      <c r="E3954" s="63" t="s">
        <v>16176</v>
      </c>
      <c r="F3954" s="70">
        <v>42936.0</v>
      </c>
      <c r="G3954" s="63" t="s">
        <v>16177</v>
      </c>
      <c r="H3954" s="66"/>
      <c r="I3954" s="66"/>
      <c r="J3954" s="63" t="s">
        <v>2872</v>
      </c>
      <c r="K3954" s="70">
        <v>42861.0</v>
      </c>
      <c r="L3954" s="63" t="s">
        <v>2743</v>
      </c>
      <c r="M3954" s="63" t="s">
        <v>125</v>
      </c>
      <c r="N3954" s="61"/>
      <c r="O3954" s="51"/>
    </row>
    <row r="3955">
      <c r="A3955" s="56">
        <v>3952.0</v>
      </c>
      <c r="B3955" s="71"/>
      <c r="C3955" s="69" t="s">
        <v>16178</v>
      </c>
      <c r="D3955" s="71"/>
      <c r="E3955" s="68" t="s">
        <v>16179</v>
      </c>
      <c r="F3955" s="76">
        <v>42867.0</v>
      </c>
      <c r="G3955" s="68" t="s">
        <v>16180</v>
      </c>
      <c r="H3955" s="71"/>
      <c r="I3955" s="63" t="s">
        <v>635</v>
      </c>
      <c r="J3955" s="68" t="s">
        <v>16181</v>
      </c>
      <c r="K3955" s="76">
        <v>42871.0</v>
      </c>
      <c r="L3955" s="68" t="s">
        <v>2743</v>
      </c>
      <c r="M3955" s="71"/>
      <c r="N3955" s="61"/>
      <c r="O3955" s="51"/>
    </row>
    <row r="3956">
      <c r="A3956" s="56">
        <v>3953.0</v>
      </c>
      <c r="B3956" s="66"/>
      <c r="C3956" s="64" t="s">
        <v>16182</v>
      </c>
      <c r="D3956" s="66"/>
      <c r="E3956" s="63" t="s">
        <v>16183</v>
      </c>
      <c r="F3956" s="70">
        <v>41823.0</v>
      </c>
      <c r="G3956" s="63" t="s">
        <v>16184</v>
      </c>
      <c r="H3956" s="66"/>
      <c r="I3956" s="66"/>
      <c r="J3956" s="63" t="s">
        <v>2872</v>
      </c>
      <c r="K3956" s="70">
        <v>42871.0</v>
      </c>
      <c r="L3956" s="63" t="s">
        <v>16185</v>
      </c>
      <c r="M3956" s="63" t="s">
        <v>125</v>
      </c>
      <c r="N3956" s="61"/>
      <c r="O3956" s="51"/>
    </row>
    <row r="3957">
      <c r="A3957" s="56">
        <v>3954.0</v>
      </c>
      <c r="B3957" s="66"/>
      <c r="C3957" s="64" t="s">
        <v>16186</v>
      </c>
      <c r="D3957" s="66"/>
      <c r="E3957" s="63" t="s">
        <v>16187</v>
      </c>
      <c r="F3957" s="70">
        <v>42610.0</v>
      </c>
      <c r="G3957" s="63" t="s">
        <v>16188</v>
      </c>
      <c r="H3957" s="66"/>
      <c r="I3957" s="66"/>
      <c r="J3957" s="63" t="s">
        <v>9175</v>
      </c>
      <c r="K3957" s="70">
        <v>42871.0</v>
      </c>
      <c r="L3957" s="63" t="s">
        <v>16185</v>
      </c>
      <c r="M3957" s="63" t="s">
        <v>143</v>
      </c>
      <c r="N3957" s="61"/>
      <c r="O3957" s="51"/>
    </row>
    <row r="3958">
      <c r="A3958" s="56">
        <v>3955.0</v>
      </c>
      <c r="B3958" s="66"/>
      <c r="C3958" s="64" t="s">
        <v>16189</v>
      </c>
      <c r="D3958" s="66"/>
      <c r="E3958" s="63" t="s">
        <v>16190</v>
      </c>
      <c r="F3958" s="70">
        <v>42475.0</v>
      </c>
      <c r="G3958" s="63" t="s">
        <v>16191</v>
      </c>
      <c r="H3958" s="66"/>
      <c r="I3958" s="66"/>
      <c r="J3958" s="63" t="s">
        <v>6061</v>
      </c>
      <c r="K3958" s="70">
        <v>42871.0</v>
      </c>
      <c r="L3958" s="63" t="s">
        <v>2743</v>
      </c>
      <c r="M3958" s="63" t="s">
        <v>941</v>
      </c>
      <c r="N3958" s="61"/>
      <c r="O3958" s="51"/>
    </row>
    <row r="3959">
      <c r="A3959" s="56">
        <v>3956.0</v>
      </c>
      <c r="B3959" s="66"/>
      <c r="C3959" s="64" t="s">
        <v>16192</v>
      </c>
      <c r="D3959" s="66"/>
      <c r="E3959" s="63" t="s">
        <v>16193</v>
      </c>
      <c r="F3959" s="70">
        <v>42046.0</v>
      </c>
      <c r="G3959" s="63" t="s">
        <v>16194</v>
      </c>
      <c r="H3959" s="66"/>
      <c r="I3959" s="63" t="s">
        <v>16195</v>
      </c>
      <c r="J3959" s="63" t="s">
        <v>6381</v>
      </c>
      <c r="K3959" s="70">
        <v>42871.0</v>
      </c>
      <c r="L3959" s="63" t="s">
        <v>2743</v>
      </c>
      <c r="M3959" s="63" t="s">
        <v>201</v>
      </c>
      <c r="N3959" s="61"/>
      <c r="O3959" s="51"/>
    </row>
    <row r="3960">
      <c r="A3960" s="56">
        <v>3957.0</v>
      </c>
      <c r="B3960" s="71"/>
      <c r="C3960" s="69" t="s">
        <v>16196</v>
      </c>
      <c r="D3960" s="71"/>
      <c r="E3960" s="68" t="s">
        <v>16197</v>
      </c>
      <c r="F3960" s="76">
        <v>42823.0</v>
      </c>
      <c r="G3960" s="68" t="s">
        <v>16198</v>
      </c>
      <c r="H3960" s="71"/>
      <c r="I3960" s="66"/>
      <c r="J3960" s="68" t="s">
        <v>16199</v>
      </c>
      <c r="K3960" s="76">
        <v>42871.0</v>
      </c>
      <c r="L3960" s="68" t="s">
        <v>2743</v>
      </c>
      <c r="M3960" s="68" t="s">
        <v>542</v>
      </c>
      <c r="N3960" s="61"/>
      <c r="O3960" s="51"/>
    </row>
    <row r="3961">
      <c r="A3961" s="56">
        <v>3958.0</v>
      </c>
      <c r="B3961" s="71"/>
      <c r="C3961" s="69" t="s">
        <v>16200</v>
      </c>
      <c r="D3961" s="71"/>
      <c r="E3961" s="68" t="s">
        <v>16201</v>
      </c>
      <c r="F3961" s="76">
        <v>42857.0</v>
      </c>
      <c r="G3961" s="68" t="s">
        <v>16202</v>
      </c>
      <c r="H3961" s="71"/>
      <c r="I3961" s="66"/>
      <c r="J3961" s="68" t="s">
        <v>16203</v>
      </c>
      <c r="K3961" s="76">
        <v>42871.0</v>
      </c>
      <c r="L3961" s="68" t="s">
        <v>2743</v>
      </c>
      <c r="M3961" s="68" t="s">
        <v>15904</v>
      </c>
      <c r="N3961" s="61"/>
      <c r="O3961" s="51"/>
    </row>
    <row r="3962">
      <c r="A3962" s="56">
        <v>3959.0</v>
      </c>
      <c r="B3962" s="71"/>
      <c r="C3962" s="69" t="s">
        <v>16204</v>
      </c>
      <c r="D3962" s="71"/>
      <c r="E3962" s="68" t="s">
        <v>16205</v>
      </c>
      <c r="F3962" s="183">
        <v>42005.0</v>
      </c>
      <c r="G3962" s="68" t="s">
        <v>16206</v>
      </c>
      <c r="H3962" s="71"/>
      <c r="I3962" s="71"/>
      <c r="J3962" s="68" t="s">
        <v>16207</v>
      </c>
      <c r="K3962" s="76">
        <v>42871.0</v>
      </c>
      <c r="L3962" s="68" t="s">
        <v>2743</v>
      </c>
      <c r="M3962" s="68" t="s">
        <v>16208</v>
      </c>
      <c r="N3962" s="61"/>
      <c r="O3962" s="51"/>
    </row>
    <row r="3963">
      <c r="A3963" s="56">
        <v>3960.0</v>
      </c>
      <c r="B3963" s="71"/>
      <c r="C3963" s="69" t="s">
        <v>16209</v>
      </c>
      <c r="D3963" s="71"/>
      <c r="E3963" s="68" t="s">
        <v>16210</v>
      </c>
      <c r="F3963" s="83">
        <v>42716.0</v>
      </c>
      <c r="G3963" s="68" t="s">
        <v>16211</v>
      </c>
      <c r="H3963" s="71"/>
      <c r="I3963" s="71"/>
      <c r="J3963" s="68" t="s">
        <v>16212</v>
      </c>
      <c r="K3963" s="76">
        <v>42871.0</v>
      </c>
      <c r="L3963" s="68" t="s">
        <v>2743</v>
      </c>
      <c r="M3963" s="68" t="s">
        <v>542</v>
      </c>
      <c r="N3963" s="77"/>
      <c r="O3963" s="51"/>
    </row>
    <row r="3964">
      <c r="A3964" s="56">
        <v>3961.0</v>
      </c>
      <c r="B3964" s="71"/>
      <c r="C3964" s="69" t="s">
        <v>16213</v>
      </c>
      <c r="D3964" s="71"/>
      <c r="E3964" s="68" t="s">
        <v>16214</v>
      </c>
      <c r="F3964" s="76">
        <v>42848.0</v>
      </c>
      <c r="G3964" s="68" t="s">
        <v>16215</v>
      </c>
      <c r="H3964" s="71"/>
      <c r="I3964" s="66"/>
      <c r="J3964" s="68" t="s">
        <v>16216</v>
      </c>
      <c r="K3964" s="76">
        <v>42871.0</v>
      </c>
      <c r="L3964" s="68" t="s">
        <v>2743</v>
      </c>
      <c r="M3964" s="71"/>
      <c r="N3964" s="61"/>
      <c r="O3964" s="51"/>
    </row>
    <row r="3965">
      <c r="A3965" s="56">
        <v>3962.0</v>
      </c>
      <c r="B3965" s="71"/>
      <c r="C3965" s="69" t="s">
        <v>16217</v>
      </c>
      <c r="D3965" s="71"/>
      <c r="E3965" s="68" t="s">
        <v>16218</v>
      </c>
      <c r="F3965" s="83">
        <v>41253.0</v>
      </c>
      <c r="G3965" s="68" t="s">
        <v>16219</v>
      </c>
      <c r="H3965" s="71"/>
      <c r="I3965" s="71"/>
      <c r="J3965" s="68" t="s">
        <v>16220</v>
      </c>
      <c r="K3965" s="76">
        <v>42871.0</v>
      </c>
      <c r="L3965" s="68" t="s">
        <v>2743</v>
      </c>
      <c r="M3965" s="68" t="s">
        <v>282</v>
      </c>
      <c r="N3965" s="61"/>
      <c r="O3965" s="51"/>
    </row>
    <row r="3966">
      <c r="A3966" s="56">
        <v>3963.0</v>
      </c>
      <c r="B3966" s="71"/>
      <c r="C3966" s="69" t="s">
        <v>16221</v>
      </c>
      <c r="D3966" s="71"/>
      <c r="E3966" s="68" t="s">
        <v>16222</v>
      </c>
      <c r="F3966" s="83">
        <v>41253.0</v>
      </c>
      <c r="G3966" s="68" t="s">
        <v>16219</v>
      </c>
      <c r="H3966" s="71"/>
      <c r="I3966" s="71"/>
      <c r="J3966" s="68" t="s">
        <v>16223</v>
      </c>
      <c r="K3966" s="76">
        <v>42871.0</v>
      </c>
      <c r="L3966" s="68" t="s">
        <v>2743</v>
      </c>
      <c r="M3966" s="71"/>
      <c r="N3966" s="61"/>
      <c r="O3966" s="51"/>
    </row>
    <row r="3967">
      <c r="A3967" s="56">
        <v>3964.0</v>
      </c>
      <c r="B3967" s="71"/>
      <c r="C3967" s="69" t="s">
        <v>16224</v>
      </c>
      <c r="D3967" s="71"/>
      <c r="E3967" s="68" t="s">
        <v>9888</v>
      </c>
      <c r="F3967" s="83">
        <v>40522.0</v>
      </c>
      <c r="G3967" s="68" t="s">
        <v>16225</v>
      </c>
      <c r="H3967" s="71"/>
      <c r="I3967" s="71"/>
      <c r="J3967" s="68" t="s">
        <v>9891</v>
      </c>
      <c r="K3967" s="76">
        <v>42871.0</v>
      </c>
      <c r="L3967" s="68" t="s">
        <v>2743</v>
      </c>
      <c r="M3967" s="68" t="s">
        <v>282</v>
      </c>
      <c r="N3967" s="77"/>
      <c r="O3967" s="51"/>
    </row>
    <row r="3968">
      <c r="A3968" s="56">
        <v>3965.0</v>
      </c>
      <c r="B3968" s="71"/>
      <c r="C3968" s="69" t="s">
        <v>16226</v>
      </c>
      <c r="D3968" s="71"/>
      <c r="E3968" s="68" t="s">
        <v>16227</v>
      </c>
      <c r="F3968" s="76">
        <v>42397.0</v>
      </c>
      <c r="G3968" s="68" t="s">
        <v>16228</v>
      </c>
      <c r="H3968" s="71"/>
      <c r="I3968" s="68" t="s">
        <v>16229</v>
      </c>
      <c r="J3968" s="68" t="s">
        <v>16230</v>
      </c>
      <c r="K3968" s="76">
        <v>42871.0</v>
      </c>
      <c r="L3968" s="68" t="s">
        <v>14911</v>
      </c>
      <c r="M3968" s="68" t="s">
        <v>143</v>
      </c>
      <c r="N3968" s="77"/>
      <c r="O3968" s="51"/>
    </row>
    <row r="3969">
      <c r="A3969" s="56">
        <v>3966.0</v>
      </c>
      <c r="B3969" s="71"/>
      <c r="C3969" s="69" t="s">
        <v>16231</v>
      </c>
      <c r="D3969" s="71"/>
      <c r="E3969" s="68" t="s">
        <v>16232</v>
      </c>
      <c r="F3969" s="183">
        <v>42370.0</v>
      </c>
      <c r="G3969" s="68" t="s">
        <v>16233</v>
      </c>
      <c r="H3969" s="71"/>
      <c r="I3969" s="71"/>
      <c r="J3969" s="68" t="s">
        <v>16234</v>
      </c>
      <c r="K3969" s="76">
        <v>42872.0</v>
      </c>
      <c r="L3969" s="68" t="s">
        <v>2743</v>
      </c>
      <c r="M3969" s="68" t="s">
        <v>4487</v>
      </c>
      <c r="N3969" s="77"/>
      <c r="O3969" s="51"/>
    </row>
    <row r="3970">
      <c r="A3970" s="56">
        <v>3967.0</v>
      </c>
      <c r="B3970" s="71"/>
      <c r="C3970" s="69" t="s">
        <v>16235</v>
      </c>
      <c r="D3970" s="71"/>
      <c r="E3970" s="68" t="s">
        <v>16236</v>
      </c>
      <c r="F3970" s="183">
        <v>42370.0</v>
      </c>
      <c r="G3970" s="68" t="s">
        <v>16233</v>
      </c>
      <c r="H3970" s="71"/>
      <c r="I3970" s="66"/>
      <c r="J3970" s="68" t="s">
        <v>16237</v>
      </c>
      <c r="K3970" s="76">
        <v>42872.0</v>
      </c>
      <c r="L3970" s="68" t="s">
        <v>2743</v>
      </c>
      <c r="M3970" s="68" t="s">
        <v>4487</v>
      </c>
      <c r="N3970" s="61"/>
      <c r="O3970" s="51"/>
    </row>
    <row r="3971">
      <c r="A3971" s="56">
        <v>3968.0</v>
      </c>
      <c r="B3971" s="71"/>
      <c r="C3971" s="69" t="s">
        <v>16238</v>
      </c>
      <c r="D3971" s="71"/>
      <c r="E3971" s="68" t="s">
        <v>16239</v>
      </c>
      <c r="F3971" s="183">
        <v>42736.0</v>
      </c>
      <c r="G3971" s="68" t="s">
        <v>16240</v>
      </c>
      <c r="H3971" s="71"/>
      <c r="I3971" s="66"/>
      <c r="J3971" s="68" t="s">
        <v>16241</v>
      </c>
      <c r="K3971" s="76">
        <v>42872.0</v>
      </c>
      <c r="L3971" s="68" t="s">
        <v>13810</v>
      </c>
      <c r="M3971" s="68" t="s">
        <v>872</v>
      </c>
      <c r="N3971" s="61"/>
      <c r="O3971" s="51"/>
    </row>
    <row r="3972">
      <c r="A3972" s="56">
        <v>3969.0</v>
      </c>
      <c r="B3972" s="66"/>
      <c r="C3972" s="64" t="s">
        <v>16242</v>
      </c>
      <c r="D3972" s="66"/>
      <c r="E3972" s="63" t="s">
        <v>16243</v>
      </c>
      <c r="F3972" s="70">
        <v>39984.0</v>
      </c>
      <c r="G3972" s="63" t="s">
        <v>16244</v>
      </c>
      <c r="H3972" s="66"/>
      <c r="I3972" s="66"/>
      <c r="J3972" s="63" t="s">
        <v>2872</v>
      </c>
      <c r="K3972" s="70">
        <v>42872.0</v>
      </c>
      <c r="L3972" s="63" t="s">
        <v>14256</v>
      </c>
      <c r="M3972" s="63" t="s">
        <v>125</v>
      </c>
      <c r="N3972" s="61"/>
      <c r="O3972" s="51"/>
    </row>
    <row r="3973">
      <c r="A3973" s="56">
        <v>3970.0</v>
      </c>
      <c r="B3973" s="71"/>
      <c r="C3973" s="69" t="s">
        <v>16245</v>
      </c>
      <c r="D3973" s="71"/>
      <c r="E3973" s="68" t="s">
        <v>16246</v>
      </c>
      <c r="F3973" s="83">
        <v>41242.0</v>
      </c>
      <c r="G3973" s="68" t="s">
        <v>16247</v>
      </c>
      <c r="H3973" s="71"/>
      <c r="I3973" s="66"/>
      <c r="J3973" s="68" t="s">
        <v>16248</v>
      </c>
      <c r="K3973" s="76">
        <v>42872.0</v>
      </c>
      <c r="L3973" s="68" t="s">
        <v>14256</v>
      </c>
      <c r="M3973" s="68" t="s">
        <v>149</v>
      </c>
      <c r="N3973" s="61"/>
      <c r="O3973" s="51"/>
    </row>
    <row r="3974">
      <c r="A3974" s="56">
        <v>3971.0</v>
      </c>
      <c r="B3974" s="71"/>
      <c r="C3974" s="69" t="s">
        <v>16249</v>
      </c>
      <c r="D3974" s="71"/>
      <c r="E3974" s="68" t="s">
        <v>16250</v>
      </c>
      <c r="F3974" s="83">
        <v>41242.0</v>
      </c>
      <c r="G3974" s="68">
        <v>6059.0</v>
      </c>
      <c r="H3974" s="71"/>
      <c r="I3974" s="71"/>
      <c r="J3974" s="68" t="s">
        <v>16251</v>
      </c>
      <c r="K3974" s="76">
        <v>42872.0</v>
      </c>
      <c r="L3974" s="68" t="s">
        <v>14256</v>
      </c>
      <c r="M3974" s="68" t="s">
        <v>10808</v>
      </c>
      <c r="N3974" s="77"/>
      <c r="O3974" s="51"/>
    </row>
    <row r="3975">
      <c r="A3975" s="56">
        <v>3972.0</v>
      </c>
      <c r="B3975" s="66"/>
      <c r="C3975" s="64" t="s">
        <v>16252</v>
      </c>
      <c r="D3975" s="66"/>
      <c r="E3975" s="63" t="s">
        <v>16253</v>
      </c>
      <c r="F3975" s="70">
        <v>40003.0</v>
      </c>
      <c r="G3975" s="63" t="s">
        <v>16254</v>
      </c>
      <c r="H3975" s="66"/>
      <c r="I3975" s="66"/>
      <c r="J3975" s="63" t="s">
        <v>2872</v>
      </c>
      <c r="K3975" s="70">
        <v>42872.0</v>
      </c>
      <c r="L3975" s="63" t="s">
        <v>14256</v>
      </c>
      <c r="M3975" s="63" t="s">
        <v>125</v>
      </c>
      <c r="N3975" s="61"/>
      <c r="O3975" s="51"/>
    </row>
    <row r="3976">
      <c r="A3976" s="56">
        <v>3973.0</v>
      </c>
      <c r="B3976" s="71"/>
      <c r="C3976" s="69" t="s">
        <v>16255</v>
      </c>
      <c r="D3976" s="71"/>
      <c r="E3976" s="68" t="s">
        <v>16256</v>
      </c>
      <c r="F3976" s="76">
        <v>41150.0</v>
      </c>
      <c r="G3976" s="71"/>
      <c r="H3976" s="71"/>
      <c r="I3976" s="66"/>
      <c r="J3976" s="68" t="s">
        <v>16257</v>
      </c>
      <c r="K3976" s="76">
        <v>42872.0</v>
      </c>
      <c r="L3976" s="68" t="s">
        <v>14256</v>
      </c>
      <c r="M3976" s="68" t="s">
        <v>149</v>
      </c>
      <c r="N3976" s="61"/>
      <c r="O3976" s="51"/>
    </row>
    <row r="3977">
      <c r="A3977" s="56">
        <v>3974.0</v>
      </c>
      <c r="B3977" s="71"/>
      <c r="C3977" s="69" t="s">
        <v>16258</v>
      </c>
      <c r="D3977" s="71"/>
      <c r="E3977" s="68" t="s">
        <v>16259</v>
      </c>
      <c r="F3977" s="76">
        <v>40003.0</v>
      </c>
      <c r="G3977" s="68" t="s">
        <v>16260</v>
      </c>
      <c r="H3977" s="71"/>
      <c r="I3977" s="66"/>
      <c r="J3977" s="68" t="s">
        <v>16261</v>
      </c>
      <c r="K3977" s="76">
        <v>42872.0</v>
      </c>
      <c r="L3977" s="68" t="s">
        <v>14256</v>
      </c>
      <c r="M3977" s="68" t="s">
        <v>125</v>
      </c>
      <c r="N3977" s="61"/>
      <c r="O3977" s="51"/>
    </row>
    <row r="3978">
      <c r="A3978" s="56">
        <v>3975.0</v>
      </c>
      <c r="B3978" s="66"/>
      <c r="C3978" s="64" t="s">
        <v>16262</v>
      </c>
      <c r="D3978" s="66"/>
      <c r="E3978" s="63" t="s">
        <v>16263</v>
      </c>
      <c r="F3978" s="70">
        <v>40003.0</v>
      </c>
      <c r="G3978" s="63" t="s">
        <v>16264</v>
      </c>
      <c r="H3978" s="66"/>
      <c r="I3978" s="66"/>
      <c r="J3978" s="63" t="s">
        <v>2872</v>
      </c>
      <c r="K3978" s="70">
        <v>42872.0</v>
      </c>
      <c r="L3978" s="63" t="s">
        <v>14256</v>
      </c>
      <c r="M3978" s="63" t="s">
        <v>125</v>
      </c>
      <c r="N3978" s="61"/>
      <c r="O3978" s="51"/>
    </row>
    <row r="3979">
      <c r="A3979" s="56">
        <v>3976.0</v>
      </c>
      <c r="B3979" s="66"/>
      <c r="C3979" s="64" t="s">
        <v>16265</v>
      </c>
      <c r="D3979" s="66"/>
      <c r="E3979" s="63" t="s">
        <v>16266</v>
      </c>
      <c r="F3979" s="63" t="s">
        <v>16267</v>
      </c>
      <c r="G3979" s="63" t="s">
        <v>16268</v>
      </c>
      <c r="H3979" s="66"/>
      <c r="I3979" s="63" t="s">
        <v>16269</v>
      </c>
      <c r="J3979" s="63" t="s">
        <v>6262</v>
      </c>
      <c r="K3979" s="70">
        <v>42872.0</v>
      </c>
      <c r="L3979" s="63" t="s">
        <v>14256</v>
      </c>
      <c r="M3979" s="63" t="s">
        <v>368</v>
      </c>
      <c r="N3979" s="61"/>
      <c r="O3979" s="51"/>
    </row>
    <row r="3980">
      <c r="A3980" s="56">
        <v>3977.0</v>
      </c>
      <c r="B3980" s="60"/>
      <c r="C3980" s="58" t="s">
        <v>16270</v>
      </c>
      <c r="D3980" s="60"/>
      <c r="E3980" s="57" t="s">
        <v>16271</v>
      </c>
      <c r="F3980" s="59">
        <v>42427.0</v>
      </c>
      <c r="G3980" s="57" t="s">
        <v>16272</v>
      </c>
      <c r="H3980" s="60"/>
      <c r="I3980" s="66"/>
      <c r="J3980" s="57" t="s">
        <v>16273</v>
      </c>
      <c r="K3980" s="59">
        <v>42872.0</v>
      </c>
      <c r="L3980" s="57" t="s">
        <v>14256</v>
      </c>
      <c r="M3980" s="57" t="s">
        <v>2097</v>
      </c>
      <c r="N3980" s="61"/>
      <c r="O3980" s="51"/>
    </row>
    <row r="3981">
      <c r="A3981" s="56">
        <v>3978.0</v>
      </c>
      <c r="B3981" s="71"/>
      <c r="C3981" s="69" t="s">
        <v>16274</v>
      </c>
      <c r="D3981" s="71"/>
      <c r="E3981" s="68" t="s">
        <v>16275</v>
      </c>
      <c r="F3981" s="83">
        <v>42335.0</v>
      </c>
      <c r="G3981" s="68" t="s">
        <v>16276</v>
      </c>
      <c r="H3981" s="71"/>
      <c r="I3981" s="63" t="s">
        <v>16277</v>
      </c>
      <c r="J3981" s="68" t="s">
        <v>16278</v>
      </c>
      <c r="K3981" s="76">
        <v>42872.0</v>
      </c>
      <c r="L3981" s="68" t="s">
        <v>14256</v>
      </c>
      <c r="M3981" s="68" t="s">
        <v>4749</v>
      </c>
      <c r="N3981" s="61"/>
      <c r="O3981" s="51"/>
    </row>
    <row r="3982">
      <c r="A3982" s="56">
        <v>3979.0</v>
      </c>
      <c r="B3982" s="71"/>
      <c r="C3982" s="69" t="s">
        <v>16279</v>
      </c>
      <c r="D3982" s="71"/>
      <c r="E3982" s="68" t="s">
        <v>16280</v>
      </c>
      <c r="F3982" s="83">
        <v>42735.0</v>
      </c>
      <c r="G3982" s="68" t="s">
        <v>16281</v>
      </c>
      <c r="H3982" s="71"/>
      <c r="I3982" s="66"/>
      <c r="J3982" s="68" t="s">
        <v>16282</v>
      </c>
      <c r="K3982" s="76">
        <v>42872.0</v>
      </c>
      <c r="L3982" s="68" t="s">
        <v>14256</v>
      </c>
      <c r="M3982" s="68" t="s">
        <v>40</v>
      </c>
      <c r="N3982" s="61"/>
      <c r="O3982" s="51"/>
    </row>
    <row r="3983">
      <c r="A3983" s="56">
        <v>3980.0</v>
      </c>
      <c r="B3983" s="71"/>
      <c r="C3983" s="69" t="s">
        <v>16283</v>
      </c>
      <c r="D3983" s="71"/>
      <c r="E3983" s="68" t="s">
        <v>16284</v>
      </c>
      <c r="F3983" s="76">
        <v>42576.0</v>
      </c>
      <c r="G3983" s="68" t="s">
        <v>16285</v>
      </c>
      <c r="H3983" s="71"/>
      <c r="I3983" s="71"/>
      <c r="J3983" s="68" t="s">
        <v>16286</v>
      </c>
      <c r="K3983" s="76">
        <v>42872.0</v>
      </c>
      <c r="L3983" s="68" t="s">
        <v>2743</v>
      </c>
      <c r="M3983" s="68" t="s">
        <v>282</v>
      </c>
      <c r="N3983" s="61"/>
      <c r="O3983" s="51"/>
    </row>
    <row r="3984">
      <c r="A3984" s="56">
        <v>3981.0</v>
      </c>
      <c r="B3984" s="71"/>
      <c r="C3984" s="69" t="s">
        <v>16287</v>
      </c>
      <c r="D3984" s="71"/>
      <c r="E3984" s="68" t="s">
        <v>16288</v>
      </c>
      <c r="F3984" s="76">
        <v>42773.0</v>
      </c>
      <c r="G3984" s="68" t="s">
        <v>16289</v>
      </c>
      <c r="H3984" s="71"/>
      <c r="I3984" s="66"/>
      <c r="J3984" s="68" t="s">
        <v>16290</v>
      </c>
      <c r="K3984" s="76">
        <v>42873.0</v>
      </c>
      <c r="L3984" s="68" t="s">
        <v>2743</v>
      </c>
      <c r="M3984" s="68" t="s">
        <v>282</v>
      </c>
      <c r="N3984" s="61"/>
      <c r="O3984" s="51"/>
    </row>
    <row r="3985">
      <c r="A3985" s="56">
        <v>3982.0</v>
      </c>
      <c r="B3985" s="71"/>
      <c r="C3985" s="69" t="s">
        <v>16291</v>
      </c>
      <c r="D3985" s="71"/>
      <c r="E3985" s="68" t="s">
        <v>16292</v>
      </c>
      <c r="F3985" s="76">
        <v>42391.0</v>
      </c>
      <c r="G3985" s="68" t="s">
        <v>16293</v>
      </c>
      <c r="H3985" s="71"/>
      <c r="I3985" s="71"/>
      <c r="J3985" s="68" t="s">
        <v>16294</v>
      </c>
      <c r="K3985" s="225">
        <v>42873.0</v>
      </c>
      <c r="L3985" s="68" t="s">
        <v>2743</v>
      </c>
      <c r="M3985" s="68" t="s">
        <v>125</v>
      </c>
      <c r="N3985" s="61"/>
      <c r="O3985" s="51"/>
    </row>
    <row r="3986">
      <c r="A3986" s="56">
        <v>3983.0</v>
      </c>
      <c r="B3986" s="71"/>
      <c r="C3986" s="69" t="s">
        <v>16295</v>
      </c>
      <c r="D3986" s="71"/>
      <c r="E3986" s="68" t="s">
        <v>16296</v>
      </c>
      <c r="F3986" s="76">
        <v>41699.0</v>
      </c>
      <c r="G3986" s="68" t="s">
        <v>16297</v>
      </c>
      <c r="H3986" s="71"/>
      <c r="I3986" s="66"/>
      <c r="J3986" s="68" t="s">
        <v>16298</v>
      </c>
      <c r="K3986" s="76">
        <v>42875.0</v>
      </c>
      <c r="L3986" s="68" t="s">
        <v>2743</v>
      </c>
      <c r="M3986" s="68" t="s">
        <v>156</v>
      </c>
      <c r="N3986" s="61"/>
      <c r="O3986" s="51"/>
    </row>
    <row r="3987">
      <c r="A3987" s="56">
        <v>3984.0</v>
      </c>
      <c r="B3987" s="60"/>
      <c r="C3987" s="58" t="s">
        <v>16299</v>
      </c>
      <c r="D3987" s="60"/>
      <c r="E3987" s="57" t="s">
        <v>16300</v>
      </c>
      <c r="F3987" s="59">
        <v>42425.0</v>
      </c>
      <c r="G3987" s="57" t="s">
        <v>16301</v>
      </c>
      <c r="H3987" s="60"/>
      <c r="I3987" s="60"/>
      <c r="J3987" s="57" t="s">
        <v>16302</v>
      </c>
      <c r="K3987" s="233">
        <v>42875.0</v>
      </c>
      <c r="L3987" s="57" t="s">
        <v>2743</v>
      </c>
      <c r="M3987" s="57" t="s">
        <v>149</v>
      </c>
      <c r="N3987" s="112"/>
      <c r="O3987" s="51"/>
    </row>
    <row r="3988">
      <c r="A3988" s="56">
        <v>3985.0</v>
      </c>
      <c r="B3988" s="71"/>
      <c r="C3988" s="69" t="s">
        <v>16303</v>
      </c>
      <c r="D3988" s="71"/>
      <c r="E3988" s="68" t="s">
        <v>16304</v>
      </c>
      <c r="F3988" s="76">
        <v>42850.0</v>
      </c>
      <c r="G3988" s="71"/>
      <c r="H3988" s="71"/>
      <c r="I3988" s="66"/>
      <c r="J3988" s="68" t="s">
        <v>16305</v>
      </c>
      <c r="K3988" s="76">
        <v>42876.0</v>
      </c>
      <c r="L3988" s="68" t="s">
        <v>14256</v>
      </c>
      <c r="M3988" s="68" t="s">
        <v>40</v>
      </c>
      <c r="N3988" s="61"/>
      <c r="O3988" s="51"/>
    </row>
    <row r="3989">
      <c r="A3989" s="56">
        <v>3986.0</v>
      </c>
      <c r="B3989" s="71"/>
      <c r="C3989" s="69" t="s">
        <v>16306</v>
      </c>
      <c r="D3989" s="71"/>
      <c r="E3989" s="68" t="s">
        <v>16307</v>
      </c>
      <c r="F3989" s="83">
        <v>42660.0</v>
      </c>
      <c r="G3989" s="68" t="s">
        <v>16308</v>
      </c>
      <c r="H3989" s="71"/>
      <c r="I3989" s="68" t="s">
        <v>16309</v>
      </c>
      <c r="J3989" s="68" t="s">
        <v>16310</v>
      </c>
      <c r="K3989" s="76">
        <v>42876.0</v>
      </c>
      <c r="L3989" s="68" t="s">
        <v>2743</v>
      </c>
      <c r="M3989" s="68" t="s">
        <v>31</v>
      </c>
      <c r="N3989" s="77"/>
      <c r="O3989" s="51"/>
    </row>
    <row r="3990">
      <c r="A3990" s="56">
        <v>3987.0</v>
      </c>
      <c r="B3990" s="71"/>
      <c r="C3990" s="69" t="s">
        <v>16311</v>
      </c>
      <c r="D3990" s="71"/>
      <c r="E3990" s="68" t="s">
        <v>16312</v>
      </c>
      <c r="F3990" s="83">
        <v>42660.0</v>
      </c>
      <c r="G3990" s="68" t="s">
        <v>16308</v>
      </c>
      <c r="H3990" s="71"/>
      <c r="I3990" s="68" t="s">
        <v>16309</v>
      </c>
      <c r="J3990" s="68" t="s">
        <v>16310</v>
      </c>
      <c r="K3990" s="76">
        <v>42877.0</v>
      </c>
      <c r="L3990" s="68" t="s">
        <v>2743</v>
      </c>
      <c r="M3990" s="68" t="s">
        <v>31</v>
      </c>
      <c r="N3990" s="77"/>
      <c r="O3990" s="51"/>
    </row>
    <row r="3991">
      <c r="A3991" s="56">
        <v>3988.0</v>
      </c>
      <c r="B3991" s="71"/>
      <c r="C3991" s="69" t="s">
        <v>16313</v>
      </c>
      <c r="D3991" s="71"/>
      <c r="E3991" s="68" t="s">
        <v>16314</v>
      </c>
      <c r="F3991" s="76">
        <v>42863.0</v>
      </c>
      <c r="G3991" s="68" t="s">
        <v>16315</v>
      </c>
      <c r="H3991" s="71"/>
      <c r="I3991" s="66"/>
      <c r="J3991" s="68" t="s">
        <v>16316</v>
      </c>
      <c r="K3991" s="76">
        <v>42877.0</v>
      </c>
      <c r="L3991" s="68" t="s">
        <v>2743</v>
      </c>
      <c r="M3991" s="68" t="s">
        <v>166</v>
      </c>
      <c r="N3991" s="61"/>
      <c r="O3991" s="51"/>
    </row>
    <row r="3992">
      <c r="A3992" s="56">
        <v>3989.0</v>
      </c>
      <c r="B3992" s="71"/>
      <c r="C3992" s="69" t="s">
        <v>16317</v>
      </c>
      <c r="D3992" s="71"/>
      <c r="E3992" s="68" t="s">
        <v>16318</v>
      </c>
      <c r="F3992" s="76">
        <v>42034.0</v>
      </c>
      <c r="G3992" s="68" t="s">
        <v>16319</v>
      </c>
      <c r="H3992" s="71"/>
      <c r="I3992" s="71"/>
      <c r="J3992" s="68" t="s">
        <v>16320</v>
      </c>
      <c r="K3992" s="76">
        <v>42878.0</v>
      </c>
      <c r="L3992" s="68" t="s">
        <v>2743</v>
      </c>
      <c r="M3992" s="68" t="s">
        <v>282</v>
      </c>
      <c r="N3992" s="61"/>
      <c r="O3992" s="51"/>
    </row>
    <row r="3993">
      <c r="A3993" s="56">
        <v>3990.0</v>
      </c>
      <c r="B3993" s="71"/>
      <c r="C3993" s="69" t="s">
        <v>16321</v>
      </c>
      <c r="D3993" s="71"/>
      <c r="E3993" s="68" t="s">
        <v>16322</v>
      </c>
      <c r="F3993" s="76">
        <v>42034.0</v>
      </c>
      <c r="G3993" s="68" t="s">
        <v>16319</v>
      </c>
      <c r="H3993" s="71"/>
      <c r="I3993" s="71"/>
      <c r="J3993" s="68" t="s">
        <v>16323</v>
      </c>
      <c r="K3993" s="76">
        <v>42878.0</v>
      </c>
      <c r="L3993" s="68" t="s">
        <v>2743</v>
      </c>
      <c r="M3993" s="68" t="s">
        <v>282</v>
      </c>
      <c r="N3993" s="61"/>
      <c r="O3993" s="51"/>
    </row>
    <row r="3994">
      <c r="A3994" s="56">
        <v>3991.0</v>
      </c>
      <c r="B3994" s="71"/>
      <c r="C3994" s="69" t="s">
        <v>16324</v>
      </c>
      <c r="D3994" s="71"/>
      <c r="E3994" s="68" t="s">
        <v>16325</v>
      </c>
      <c r="F3994" s="76">
        <v>42034.0</v>
      </c>
      <c r="G3994" s="68" t="s">
        <v>16319</v>
      </c>
      <c r="H3994" s="71"/>
      <c r="I3994" s="71"/>
      <c r="J3994" s="68" t="s">
        <v>16326</v>
      </c>
      <c r="K3994" s="76">
        <v>42878.0</v>
      </c>
      <c r="L3994" s="68" t="s">
        <v>2743</v>
      </c>
      <c r="M3994" s="68" t="s">
        <v>282</v>
      </c>
      <c r="N3994" s="61"/>
      <c r="O3994" s="51"/>
    </row>
    <row r="3995">
      <c r="A3995" s="56">
        <v>3992.0</v>
      </c>
      <c r="B3995" s="71"/>
      <c r="C3995" s="69" t="s">
        <v>16327</v>
      </c>
      <c r="D3995" s="71"/>
      <c r="E3995" s="68" t="s">
        <v>16328</v>
      </c>
      <c r="F3995" s="76">
        <v>42867.0</v>
      </c>
      <c r="G3995" s="68" t="s">
        <v>16329</v>
      </c>
      <c r="H3995" s="71"/>
      <c r="I3995" s="66"/>
      <c r="J3995" s="68" t="s">
        <v>16330</v>
      </c>
      <c r="K3995" s="76">
        <v>42879.0</v>
      </c>
      <c r="L3995" s="68" t="s">
        <v>2743</v>
      </c>
      <c r="M3995" s="68" t="s">
        <v>149</v>
      </c>
      <c r="N3995" s="61"/>
      <c r="O3995" s="51"/>
    </row>
    <row r="3996">
      <c r="A3996" s="56">
        <v>3993.0</v>
      </c>
      <c r="B3996" s="71"/>
      <c r="C3996" s="69" t="s">
        <v>16331</v>
      </c>
      <c r="D3996" s="71"/>
      <c r="E3996" s="68" t="s">
        <v>16332</v>
      </c>
      <c r="F3996" s="76">
        <v>42404.0</v>
      </c>
      <c r="G3996" s="68" t="s">
        <v>16333</v>
      </c>
      <c r="H3996" s="71"/>
      <c r="I3996" s="66"/>
      <c r="J3996" s="68" t="s">
        <v>16334</v>
      </c>
      <c r="K3996" s="76">
        <v>42879.0</v>
      </c>
      <c r="L3996" s="68" t="s">
        <v>2743</v>
      </c>
      <c r="M3996" s="68" t="s">
        <v>4487</v>
      </c>
      <c r="N3996" s="61"/>
      <c r="O3996" s="51"/>
    </row>
    <row r="3997">
      <c r="A3997" s="56">
        <v>3994.0</v>
      </c>
      <c r="B3997" s="60"/>
      <c r="C3997" s="58" t="s">
        <v>16335</v>
      </c>
      <c r="D3997" s="60"/>
      <c r="E3997" s="57" t="s">
        <v>16336</v>
      </c>
      <c r="F3997" s="59">
        <v>42528.0</v>
      </c>
      <c r="G3997" s="57" t="s">
        <v>16337</v>
      </c>
      <c r="H3997" s="60"/>
      <c r="I3997" s="66"/>
      <c r="J3997" s="57" t="s">
        <v>16338</v>
      </c>
      <c r="K3997" s="59">
        <v>42880.0</v>
      </c>
      <c r="L3997" s="57" t="s">
        <v>2743</v>
      </c>
      <c r="M3997" s="57" t="s">
        <v>166</v>
      </c>
      <c r="N3997" s="61"/>
      <c r="O3997" s="51"/>
    </row>
    <row r="3998">
      <c r="A3998" s="56">
        <v>3995.0</v>
      </c>
      <c r="B3998" s="66"/>
      <c r="C3998" s="64" t="s">
        <v>16339</v>
      </c>
      <c r="D3998" s="66"/>
      <c r="E3998" s="63" t="s">
        <v>16340</v>
      </c>
      <c r="F3998" s="70">
        <v>42574.0</v>
      </c>
      <c r="G3998" s="63" t="s">
        <v>16341</v>
      </c>
      <c r="H3998" s="63" t="s">
        <v>16342</v>
      </c>
      <c r="I3998" s="66"/>
      <c r="J3998" s="63" t="s">
        <v>9979</v>
      </c>
      <c r="K3998" s="70">
        <v>42880.0</v>
      </c>
      <c r="L3998" s="63" t="s">
        <v>14256</v>
      </c>
      <c r="M3998" s="63" t="s">
        <v>40</v>
      </c>
      <c r="N3998" s="61"/>
      <c r="O3998" s="51"/>
    </row>
    <row r="3999">
      <c r="A3999" s="56">
        <v>3996.0</v>
      </c>
      <c r="B3999" s="66"/>
      <c r="C3999" s="64" t="s">
        <v>16343</v>
      </c>
      <c r="D3999" s="66"/>
      <c r="E3999" s="63" t="s">
        <v>16344</v>
      </c>
      <c r="F3999" s="70">
        <v>40041.0</v>
      </c>
      <c r="G3999" s="63" t="s">
        <v>16345</v>
      </c>
      <c r="H3999" s="63" t="s">
        <v>16346</v>
      </c>
      <c r="I3999" s="66"/>
      <c r="J3999" s="63" t="s">
        <v>136</v>
      </c>
      <c r="K3999" s="70">
        <v>42880.0</v>
      </c>
      <c r="L3999" s="63" t="s">
        <v>2743</v>
      </c>
      <c r="M3999" s="63" t="s">
        <v>530</v>
      </c>
      <c r="N3999" s="61"/>
      <c r="O3999" s="51"/>
    </row>
    <row r="4000">
      <c r="A4000" s="56">
        <v>3997.0</v>
      </c>
      <c r="B4000" s="71"/>
      <c r="C4000" s="69" t="s">
        <v>16347</v>
      </c>
      <c r="D4000" s="71"/>
      <c r="E4000" s="68" t="s">
        <v>16348</v>
      </c>
      <c r="F4000" s="83">
        <v>42327.0</v>
      </c>
      <c r="G4000" s="68" t="s">
        <v>16349</v>
      </c>
      <c r="H4000" s="71"/>
      <c r="I4000" s="71"/>
      <c r="J4000" s="68" t="s">
        <v>13518</v>
      </c>
      <c r="K4000" s="76">
        <v>42880.0</v>
      </c>
      <c r="L4000" s="68" t="s">
        <v>2743</v>
      </c>
      <c r="M4000" s="68" t="s">
        <v>143</v>
      </c>
      <c r="N4000" s="61"/>
      <c r="O4000" s="51"/>
    </row>
    <row r="4001">
      <c r="A4001" s="56">
        <v>3998.0</v>
      </c>
      <c r="B4001" s="71"/>
      <c r="C4001" s="69" t="s">
        <v>16350</v>
      </c>
      <c r="D4001" s="71"/>
      <c r="E4001" s="68" t="s">
        <v>16351</v>
      </c>
      <c r="F4001" s="76">
        <v>42427.0</v>
      </c>
      <c r="G4001" s="68" t="s">
        <v>16352</v>
      </c>
      <c r="H4001" s="71"/>
      <c r="I4001" s="71"/>
      <c r="J4001" s="68" t="s">
        <v>16353</v>
      </c>
      <c r="K4001" s="225">
        <v>42881.0</v>
      </c>
      <c r="L4001" s="68" t="s">
        <v>2743</v>
      </c>
      <c r="M4001" s="68" t="s">
        <v>1435</v>
      </c>
      <c r="N4001" s="61"/>
      <c r="O4001" s="51"/>
    </row>
    <row r="4002">
      <c r="A4002" s="56">
        <v>3999.0</v>
      </c>
      <c r="B4002" s="66"/>
      <c r="C4002" s="64" t="s">
        <v>16354</v>
      </c>
      <c r="D4002" s="66"/>
      <c r="E4002" s="63" t="s">
        <v>16355</v>
      </c>
      <c r="F4002" s="70">
        <v>42256.0</v>
      </c>
      <c r="G4002" s="63" t="s">
        <v>16356</v>
      </c>
      <c r="H4002" s="66"/>
      <c r="I4002" s="66"/>
      <c r="J4002" s="63" t="s">
        <v>4801</v>
      </c>
      <c r="K4002" s="70">
        <v>42882.0</v>
      </c>
      <c r="L4002" s="63" t="s">
        <v>16185</v>
      </c>
      <c r="M4002" s="63" t="s">
        <v>149</v>
      </c>
      <c r="N4002" s="61"/>
      <c r="O4002" s="51"/>
    </row>
    <row r="4003">
      <c r="A4003" s="56">
        <v>4000.0</v>
      </c>
      <c r="B4003" s="71"/>
      <c r="C4003" s="69" t="s">
        <v>16357</v>
      </c>
      <c r="D4003" s="71"/>
      <c r="E4003" s="68" t="s">
        <v>16358</v>
      </c>
      <c r="F4003" s="76">
        <v>42829.0</v>
      </c>
      <c r="G4003" s="68" t="s">
        <v>16359</v>
      </c>
      <c r="H4003" s="71"/>
      <c r="I4003" s="71"/>
      <c r="J4003" s="68" t="s">
        <v>16360</v>
      </c>
      <c r="K4003" s="76">
        <v>42882.0</v>
      </c>
      <c r="L4003" s="68" t="s">
        <v>16185</v>
      </c>
      <c r="M4003" s="68" t="s">
        <v>4273</v>
      </c>
      <c r="N4003" s="77"/>
      <c r="O4003" s="51"/>
    </row>
    <row r="4004">
      <c r="A4004" s="56">
        <v>4001.0</v>
      </c>
      <c r="B4004" s="71"/>
      <c r="C4004" s="69" t="s">
        <v>16361</v>
      </c>
      <c r="D4004" s="71"/>
      <c r="E4004" s="68" t="s">
        <v>16362</v>
      </c>
      <c r="F4004" s="76">
        <v>42745.0</v>
      </c>
      <c r="G4004" s="68" t="s">
        <v>16363</v>
      </c>
      <c r="H4004" s="71"/>
      <c r="I4004" s="71"/>
      <c r="J4004" s="68" t="s">
        <v>16364</v>
      </c>
      <c r="K4004" s="76">
        <v>42882.0</v>
      </c>
      <c r="L4004" s="68" t="s">
        <v>16185</v>
      </c>
      <c r="M4004" s="68" t="s">
        <v>27</v>
      </c>
      <c r="N4004" s="77"/>
      <c r="O4004" s="51"/>
    </row>
    <row r="4005">
      <c r="A4005" s="56">
        <v>4002.0</v>
      </c>
      <c r="B4005" s="66"/>
      <c r="C4005" s="64" t="s">
        <v>16365</v>
      </c>
      <c r="D4005" s="66"/>
      <c r="E4005" s="63" t="s">
        <v>16366</v>
      </c>
      <c r="F4005" s="70">
        <v>42054.0</v>
      </c>
      <c r="G4005" s="63" t="s">
        <v>16367</v>
      </c>
      <c r="H4005" s="66"/>
      <c r="I4005" s="66"/>
      <c r="J4005" s="63" t="s">
        <v>9979</v>
      </c>
      <c r="K4005" s="70">
        <v>42882.0</v>
      </c>
      <c r="L4005" s="63" t="s">
        <v>16185</v>
      </c>
      <c r="M4005" s="63" t="s">
        <v>166</v>
      </c>
      <c r="N4005" s="61"/>
      <c r="O4005" s="51"/>
    </row>
    <row r="4006">
      <c r="A4006" s="56">
        <v>4003.0</v>
      </c>
      <c r="B4006" s="71"/>
      <c r="C4006" s="69" t="s">
        <v>16368</v>
      </c>
      <c r="D4006" s="71"/>
      <c r="E4006" s="68" t="s">
        <v>16369</v>
      </c>
      <c r="F4006" s="76">
        <v>42386.0</v>
      </c>
      <c r="G4006" s="68" t="s">
        <v>16370</v>
      </c>
      <c r="H4006" s="71"/>
      <c r="I4006" s="66"/>
      <c r="J4006" s="68" t="s">
        <v>16371</v>
      </c>
      <c r="K4006" s="76">
        <v>42882.0</v>
      </c>
      <c r="L4006" s="68" t="s">
        <v>16185</v>
      </c>
      <c r="M4006" s="68" t="s">
        <v>125</v>
      </c>
      <c r="N4006" s="61"/>
      <c r="O4006" s="51"/>
    </row>
    <row r="4007">
      <c r="A4007" s="56">
        <v>4004.0</v>
      </c>
      <c r="B4007" s="71"/>
      <c r="C4007" s="69" t="s">
        <v>16372</v>
      </c>
      <c r="D4007" s="71"/>
      <c r="E4007" s="68" t="s">
        <v>16373</v>
      </c>
      <c r="F4007" s="76">
        <v>42740.0</v>
      </c>
      <c r="G4007" s="68" t="s">
        <v>16374</v>
      </c>
      <c r="H4007" s="71"/>
      <c r="I4007" s="71"/>
      <c r="J4007" s="68" t="s">
        <v>16375</v>
      </c>
      <c r="K4007" s="76">
        <v>42882.0</v>
      </c>
      <c r="L4007" s="68" t="s">
        <v>16185</v>
      </c>
      <c r="M4007" s="68" t="s">
        <v>2466</v>
      </c>
      <c r="N4007" s="77"/>
      <c r="O4007" s="51"/>
    </row>
    <row r="4008">
      <c r="A4008" s="56">
        <v>4005.0</v>
      </c>
      <c r="B4008" s="71"/>
      <c r="C4008" s="69" t="s">
        <v>16376</v>
      </c>
      <c r="D4008" s="71"/>
      <c r="E4008" s="68" t="s">
        <v>16377</v>
      </c>
      <c r="F4008" s="76">
        <v>42869.0</v>
      </c>
      <c r="G4008" s="68" t="s">
        <v>16378</v>
      </c>
      <c r="H4008" s="71"/>
      <c r="I4008" s="66"/>
      <c r="J4008" s="68" t="s">
        <v>16379</v>
      </c>
      <c r="K4008" s="76">
        <v>42882.0</v>
      </c>
      <c r="L4008" s="68" t="s">
        <v>14256</v>
      </c>
      <c r="M4008" s="68" t="s">
        <v>166</v>
      </c>
      <c r="N4008" s="61"/>
      <c r="O4008" s="51"/>
    </row>
    <row r="4009">
      <c r="A4009" s="56">
        <v>4006.0</v>
      </c>
      <c r="B4009" s="60"/>
      <c r="C4009" s="58" t="s">
        <v>16380</v>
      </c>
      <c r="D4009" s="60"/>
      <c r="E4009" s="57" t="s">
        <v>16381</v>
      </c>
      <c r="F4009" s="59">
        <v>42864.0</v>
      </c>
      <c r="G4009" s="57" t="s">
        <v>16382</v>
      </c>
      <c r="H4009" s="60"/>
      <c r="I4009" s="66"/>
      <c r="J4009" s="57" t="s">
        <v>16383</v>
      </c>
      <c r="K4009" s="59">
        <v>42882.0</v>
      </c>
      <c r="L4009" s="57" t="s">
        <v>14256</v>
      </c>
      <c r="M4009" s="57" t="s">
        <v>166</v>
      </c>
      <c r="N4009" s="61"/>
      <c r="O4009" s="51"/>
    </row>
    <row r="4010">
      <c r="A4010" s="56">
        <v>4007.0</v>
      </c>
      <c r="B4010" s="71"/>
      <c r="C4010" s="69" t="s">
        <v>16384</v>
      </c>
      <c r="D4010" s="71"/>
      <c r="E4010" s="68" t="s">
        <v>16385</v>
      </c>
      <c r="F4010" s="76">
        <v>42768.0</v>
      </c>
      <c r="G4010" s="68" t="s">
        <v>16386</v>
      </c>
      <c r="H4010" s="71"/>
      <c r="I4010" s="71"/>
      <c r="J4010" s="68" t="s">
        <v>16387</v>
      </c>
      <c r="K4010" s="76">
        <v>42884.0</v>
      </c>
      <c r="L4010" s="68" t="s">
        <v>2743</v>
      </c>
      <c r="M4010" s="68" t="s">
        <v>166</v>
      </c>
      <c r="N4010" s="77"/>
      <c r="O4010" s="51"/>
    </row>
    <row r="4011">
      <c r="A4011" s="56">
        <v>4008.0</v>
      </c>
      <c r="B4011" s="66"/>
      <c r="C4011" s="64" t="s">
        <v>16388</v>
      </c>
      <c r="D4011" s="66"/>
      <c r="E4011" s="63" t="s">
        <v>16389</v>
      </c>
      <c r="F4011" s="70">
        <v>40973.0</v>
      </c>
      <c r="G4011" s="63" t="s">
        <v>16390</v>
      </c>
      <c r="H4011" s="66"/>
      <c r="I4011" s="66"/>
      <c r="J4011" s="63" t="s">
        <v>1762</v>
      </c>
      <c r="K4011" s="70">
        <v>42885.0</v>
      </c>
      <c r="L4011" s="63" t="s">
        <v>2743</v>
      </c>
      <c r="M4011" s="63" t="s">
        <v>542</v>
      </c>
      <c r="N4011" s="61"/>
      <c r="O4011" s="51"/>
    </row>
    <row r="4012">
      <c r="A4012" s="56">
        <v>4009.0</v>
      </c>
      <c r="B4012" s="71"/>
      <c r="C4012" s="69" t="s">
        <v>16391</v>
      </c>
      <c r="D4012" s="71"/>
      <c r="E4012" s="68" t="s">
        <v>16392</v>
      </c>
      <c r="F4012" s="76">
        <v>42859.0</v>
      </c>
      <c r="G4012" s="68" t="s">
        <v>16393</v>
      </c>
      <c r="H4012" s="71"/>
      <c r="I4012" s="71"/>
      <c r="J4012" s="68" t="s">
        <v>16394</v>
      </c>
      <c r="K4012" s="76">
        <v>42885.0</v>
      </c>
      <c r="L4012" s="68" t="s">
        <v>2743</v>
      </c>
      <c r="M4012" s="68" t="s">
        <v>16395</v>
      </c>
      <c r="N4012" s="77"/>
      <c r="O4012" s="51"/>
    </row>
    <row r="4013">
      <c r="A4013" s="56">
        <v>4010.0</v>
      </c>
      <c r="B4013" s="66"/>
      <c r="C4013" s="64" t="s">
        <v>16396</v>
      </c>
      <c r="D4013" s="66"/>
      <c r="E4013" s="63" t="s">
        <v>16397</v>
      </c>
      <c r="F4013" s="70">
        <v>42430.0</v>
      </c>
      <c r="G4013" s="63" t="s">
        <v>16398</v>
      </c>
      <c r="H4013" s="66"/>
      <c r="I4013" s="66"/>
      <c r="J4013" s="63" t="s">
        <v>11838</v>
      </c>
      <c r="K4013" s="70">
        <v>42887.0</v>
      </c>
      <c r="L4013" s="63" t="s">
        <v>13810</v>
      </c>
      <c r="M4013" s="63" t="s">
        <v>2989</v>
      </c>
      <c r="N4013" s="61"/>
      <c r="O4013" s="51"/>
    </row>
    <row r="4014">
      <c r="A4014" s="56">
        <v>4011.0</v>
      </c>
      <c r="B4014" s="66"/>
      <c r="C4014" s="64" t="s">
        <v>16399</v>
      </c>
      <c r="D4014" s="66"/>
      <c r="E4014" s="63" t="s">
        <v>16400</v>
      </c>
      <c r="F4014" s="70">
        <v>41220.0</v>
      </c>
      <c r="G4014" s="63" t="s">
        <v>16401</v>
      </c>
      <c r="H4014" s="66"/>
      <c r="I4014" s="66"/>
      <c r="J4014" s="63" t="s">
        <v>6381</v>
      </c>
      <c r="K4014" s="70">
        <v>42887.0</v>
      </c>
      <c r="L4014" s="63" t="s">
        <v>2743</v>
      </c>
      <c r="M4014" s="63" t="s">
        <v>201</v>
      </c>
      <c r="N4014" s="61"/>
      <c r="O4014" s="51"/>
    </row>
    <row r="4015">
      <c r="A4015" s="56">
        <v>4012.0</v>
      </c>
      <c r="B4015" s="71"/>
      <c r="C4015" s="69" t="s">
        <v>16402</v>
      </c>
      <c r="D4015" s="71"/>
      <c r="E4015" s="68" t="s">
        <v>16403</v>
      </c>
      <c r="F4015" s="76">
        <v>42037.0</v>
      </c>
      <c r="G4015" s="68" t="s">
        <v>16404</v>
      </c>
      <c r="H4015" s="71"/>
      <c r="I4015" s="71"/>
      <c r="J4015" s="87" t="s">
        <v>16405</v>
      </c>
      <c r="K4015" s="76">
        <v>42887.0</v>
      </c>
      <c r="L4015" s="68" t="s">
        <v>2743</v>
      </c>
      <c r="M4015" s="68" t="s">
        <v>282</v>
      </c>
      <c r="N4015" s="77"/>
      <c r="O4015" s="51"/>
    </row>
    <row r="4016">
      <c r="A4016" s="56">
        <v>4013.0</v>
      </c>
      <c r="B4016" s="71"/>
      <c r="C4016" s="69" t="s">
        <v>16406</v>
      </c>
      <c r="D4016" s="71"/>
      <c r="E4016" s="68" t="s">
        <v>16407</v>
      </c>
      <c r="F4016" s="83">
        <v>42690.0</v>
      </c>
      <c r="G4016" s="68" t="s">
        <v>16408</v>
      </c>
      <c r="H4016" s="71"/>
      <c r="I4016" s="66"/>
      <c r="J4016" s="68" t="s">
        <v>16409</v>
      </c>
      <c r="K4016" s="76">
        <v>42891.0</v>
      </c>
      <c r="L4016" s="68" t="s">
        <v>2743</v>
      </c>
      <c r="M4016" s="68" t="s">
        <v>31</v>
      </c>
      <c r="N4016" s="61"/>
      <c r="O4016" s="51"/>
    </row>
    <row r="4017">
      <c r="A4017" s="75">
        <v>4014.0</v>
      </c>
      <c r="B4017" s="71"/>
      <c r="C4017" s="69" t="s">
        <v>16410</v>
      </c>
      <c r="D4017" s="71"/>
      <c r="E4017" s="68" t="s">
        <v>16411</v>
      </c>
      <c r="F4017" s="76">
        <v>41656.0</v>
      </c>
      <c r="G4017" s="68" t="s">
        <v>16412</v>
      </c>
      <c r="H4017" s="68" t="s">
        <v>16413</v>
      </c>
      <c r="I4017" s="68" t="s">
        <v>16414</v>
      </c>
      <c r="J4017" s="68" t="s">
        <v>16415</v>
      </c>
      <c r="K4017" s="76">
        <v>42891.0</v>
      </c>
      <c r="L4017" s="68" t="s">
        <v>2743</v>
      </c>
      <c r="M4017" s="68" t="s">
        <v>872</v>
      </c>
      <c r="N4017" s="77"/>
      <c r="O4017" s="51"/>
    </row>
    <row r="4018">
      <c r="A4018" s="56">
        <v>4015.0</v>
      </c>
      <c r="B4018" s="66"/>
      <c r="C4018" s="64" t="s">
        <v>16416</v>
      </c>
      <c r="D4018" s="66"/>
      <c r="E4018" s="63" t="s">
        <v>16417</v>
      </c>
      <c r="F4018" s="65">
        <v>41985.0</v>
      </c>
      <c r="G4018" s="63" t="s">
        <v>16418</v>
      </c>
      <c r="H4018" s="66"/>
      <c r="I4018" s="66"/>
      <c r="J4018" s="63" t="s">
        <v>9979</v>
      </c>
      <c r="K4018" s="70">
        <v>42891.0</v>
      </c>
      <c r="L4018" s="63" t="s">
        <v>2743</v>
      </c>
      <c r="M4018" s="63" t="s">
        <v>166</v>
      </c>
      <c r="N4018" s="61"/>
      <c r="O4018" s="51"/>
    </row>
    <row r="4019">
      <c r="A4019" s="56">
        <v>4016.0</v>
      </c>
      <c r="B4019" s="71"/>
      <c r="C4019" s="69" t="s">
        <v>16419</v>
      </c>
      <c r="D4019" s="71"/>
      <c r="E4019" s="68" t="s">
        <v>16420</v>
      </c>
      <c r="F4019" s="83">
        <v>42294.0</v>
      </c>
      <c r="G4019" s="68" t="s">
        <v>16421</v>
      </c>
      <c r="H4019" s="235"/>
      <c r="I4019" s="236"/>
      <c r="J4019" s="207" t="s">
        <v>16422</v>
      </c>
      <c r="K4019" s="76">
        <v>42892.0</v>
      </c>
      <c r="L4019" s="68" t="s">
        <v>2743</v>
      </c>
      <c r="M4019" s="68" t="s">
        <v>3407</v>
      </c>
      <c r="N4019" s="61"/>
      <c r="O4019" s="51"/>
    </row>
    <row r="4020">
      <c r="A4020" s="56">
        <v>4017.0</v>
      </c>
      <c r="B4020" s="71"/>
      <c r="C4020" s="69" t="s">
        <v>16423</v>
      </c>
      <c r="D4020" s="71"/>
      <c r="E4020" s="68" t="s">
        <v>16424</v>
      </c>
      <c r="F4020" s="76">
        <v>42877.0</v>
      </c>
      <c r="G4020" s="71"/>
      <c r="H4020" s="111"/>
      <c r="I4020" s="175"/>
      <c r="J4020" s="68" t="s">
        <v>16425</v>
      </c>
      <c r="K4020" s="76">
        <v>42893.0</v>
      </c>
      <c r="L4020" s="68" t="s">
        <v>14256</v>
      </c>
      <c r="M4020" s="68" t="s">
        <v>166</v>
      </c>
      <c r="N4020" s="61"/>
      <c r="O4020" s="51"/>
    </row>
    <row r="4021">
      <c r="A4021" s="56">
        <v>4018.0</v>
      </c>
      <c r="B4021" s="60"/>
      <c r="C4021" s="58" t="s">
        <v>16426</v>
      </c>
      <c r="D4021" s="60"/>
      <c r="E4021" s="57" t="s">
        <v>16427</v>
      </c>
      <c r="F4021" s="59">
        <v>42872.0</v>
      </c>
      <c r="G4021" s="57" t="s">
        <v>16428</v>
      </c>
      <c r="H4021" s="60"/>
      <c r="I4021" s="66"/>
      <c r="J4021" s="57" t="s">
        <v>16429</v>
      </c>
      <c r="K4021" s="59">
        <v>42893.0</v>
      </c>
      <c r="L4021" s="57" t="s">
        <v>14256</v>
      </c>
      <c r="M4021" s="57" t="s">
        <v>166</v>
      </c>
      <c r="N4021" s="61"/>
      <c r="O4021" s="51"/>
    </row>
    <row r="4022">
      <c r="A4022" s="56">
        <v>4019.0</v>
      </c>
      <c r="B4022" s="60"/>
      <c r="C4022" s="58" t="s">
        <v>16430</v>
      </c>
      <c r="D4022" s="60"/>
      <c r="E4022" s="57" t="s">
        <v>16431</v>
      </c>
      <c r="F4022" s="59">
        <v>42873.0</v>
      </c>
      <c r="G4022" s="57" t="s">
        <v>16432</v>
      </c>
      <c r="H4022" s="60"/>
      <c r="I4022" s="66"/>
      <c r="J4022" s="57" t="s">
        <v>148</v>
      </c>
      <c r="K4022" s="59">
        <v>42893.0</v>
      </c>
      <c r="L4022" s="57" t="s">
        <v>14256</v>
      </c>
      <c r="M4022" s="57" t="s">
        <v>166</v>
      </c>
      <c r="N4022" s="61"/>
      <c r="O4022" s="51"/>
    </row>
    <row r="4023">
      <c r="A4023" s="56">
        <v>4020.0</v>
      </c>
      <c r="B4023" s="71"/>
      <c r="C4023" s="69" t="s">
        <v>16433</v>
      </c>
      <c r="D4023" s="71"/>
      <c r="E4023" s="68" t="s">
        <v>16434</v>
      </c>
      <c r="F4023" s="76">
        <v>41030.0</v>
      </c>
      <c r="G4023" s="68" t="s">
        <v>16435</v>
      </c>
      <c r="H4023" s="71"/>
      <c r="I4023" s="71"/>
      <c r="J4023" s="68" t="s">
        <v>5736</v>
      </c>
      <c r="K4023" s="76">
        <v>42893.0</v>
      </c>
      <c r="L4023" s="68" t="s">
        <v>14256</v>
      </c>
      <c r="M4023" s="68" t="s">
        <v>201</v>
      </c>
      <c r="N4023" s="77"/>
      <c r="O4023" s="51"/>
    </row>
    <row r="4024">
      <c r="A4024" s="56">
        <v>4021.0</v>
      </c>
      <c r="B4024" s="66"/>
      <c r="C4024" s="64" t="s">
        <v>16436</v>
      </c>
      <c r="D4024" s="66"/>
      <c r="E4024" s="63" t="s">
        <v>16437</v>
      </c>
      <c r="F4024" s="65">
        <v>42663.0</v>
      </c>
      <c r="G4024" s="63" t="s">
        <v>16438</v>
      </c>
      <c r="H4024" s="66"/>
      <c r="I4024" s="63" t="s">
        <v>16439</v>
      </c>
      <c r="J4024" s="63" t="s">
        <v>13616</v>
      </c>
      <c r="K4024" s="70">
        <v>42895.0</v>
      </c>
      <c r="L4024" s="63" t="s">
        <v>2743</v>
      </c>
      <c r="M4024" s="63" t="s">
        <v>2291</v>
      </c>
      <c r="N4024" s="61"/>
      <c r="O4024" s="51"/>
    </row>
    <row r="4025">
      <c r="A4025" s="56">
        <v>4022.0</v>
      </c>
      <c r="B4025" s="71"/>
      <c r="C4025" s="69" t="s">
        <v>16440</v>
      </c>
      <c r="D4025" s="71"/>
      <c r="E4025" s="68" t="s">
        <v>16441</v>
      </c>
      <c r="F4025" s="76">
        <v>42893.0</v>
      </c>
      <c r="G4025" s="68" t="s">
        <v>16442</v>
      </c>
      <c r="H4025" s="71"/>
      <c r="I4025" s="66"/>
      <c r="J4025" s="68" t="s">
        <v>16443</v>
      </c>
      <c r="K4025" s="76">
        <v>42895.0</v>
      </c>
      <c r="L4025" s="68" t="s">
        <v>2743</v>
      </c>
      <c r="M4025" s="68" t="s">
        <v>149</v>
      </c>
      <c r="N4025" s="61"/>
      <c r="O4025" s="51"/>
    </row>
    <row r="4026">
      <c r="A4026" s="75">
        <v>4023.0</v>
      </c>
      <c r="B4026" s="71"/>
      <c r="C4026" s="69" t="s">
        <v>16444</v>
      </c>
      <c r="D4026" s="71"/>
      <c r="E4026" s="68" t="s">
        <v>16445</v>
      </c>
      <c r="F4026" s="76">
        <v>42802.0</v>
      </c>
      <c r="G4026" s="71"/>
      <c r="H4026" s="71"/>
      <c r="I4026" s="68" t="s">
        <v>16446</v>
      </c>
      <c r="J4026" s="68" t="s">
        <v>296</v>
      </c>
      <c r="K4026" s="76">
        <v>42898.0</v>
      </c>
      <c r="L4026" s="68" t="s">
        <v>16447</v>
      </c>
      <c r="M4026" s="68" t="s">
        <v>31</v>
      </c>
      <c r="N4026" s="77"/>
      <c r="O4026" s="51"/>
    </row>
    <row r="4027">
      <c r="A4027" s="56">
        <v>4024.0</v>
      </c>
      <c r="B4027" s="71"/>
      <c r="C4027" s="69" t="s">
        <v>16448</v>
      </c>
      <c r="D4027" s="71"/>
      <c r="E4027" s="68" t="s">
        <v>16449</v>
      </c>
      <c r="F4027" s="76">
        <v>42808.0</v>
      </c>
      <c r="G4027" s="71"/>
      <c r="H4027" s="71"/>
      <c r="I4027" s="63" t="s">
        <v>16450</v>
      </c>
      <c r="J4027" s="68" t="s">
        <v>16451</v>
      </c>
      <c r="K4027" s="76">
        <v>42898.0</v>
      </c>
      <c r="L4027" s="68" t="s">
        <v>16447</v>
      </c>
      <c r="M4027" s="68" t="s">
        <v>31</v>
      </c>
      <c r="N4027" s="61"/>
      <c r="O4027" s="51"/>
    </row>
    <row r="4028">
      <c r="A4028" s="56">
        <v>4025.0</v>
      </c>
      <c r="B4028" s="71"/>
      <c r="C4028" s="69" t="s">
        <v>16452</v>
      </c>
      <c r="D4028" s="71"/>
      <c r="E4028" s="68" t="s">
        <v>16453</v>
      </c>
      <c r="F4028" s="76">
        <v>42879.0</v>
      </c>
      <c r="G4028" s="68" t="s">
        <v>16454</v>
      </c>
      <c r="H4028" s="71"/>
      <c r="I4028" s="71"/>
      <c r="J4028" s="68" t="s">
        <v>16455</v>
      </c>
      <c r="K4028" s="76">
        <v>42901.0</v>
      </c>
      <c r="L4028" s="68" t="s">
        <v>16456</v>
      </c>
      <c r="M4028" s="68" t="s">
        <v>27</v>
      </c>
      <c r="N4028" s="77"/>
      <c r="O4028" s="51"/>
    </row>
    <row r="4029">
      <c r="A4029" s="56">
        <v>4026.0</v>
      </c>
      <c r="B4029" s="71"/>
      <c r="C4029" s="69" t="s">
        <v>16457</v>
      </c>
      <c r="D4029" s="71"/>
      <c r="E4029" s="68" t="s">
        <v>16458</v>
      </c>
      <c r="F4029" s="76">
        <v>42875.0</v>
      </c>
      <c r="G4029" s="68" t="s">
        <v>16459</v>
      </c>
      <c r="H4029" s="71"/>
      <c r="I4029" s="68" t="s">
        <v>16460</v>
      </c>
      <c r="J4029" s="68" t="s">
        <v>16461</v>
      </c>
      <c r="K4029" s="76">
        <v>42901.0</v>
      </c>
      <c r="L4029" s="68" t="s">
        <v>2743</v>
      </c>
      <c r="M4029" s="68" t="s">
        <v>143</v>
      </c>
      <c r="N4029" s="61"/>
      <c r="O4029" s="51"/>
    </row>
    <row r="4030">
      <c r="A4030" s="56">
        <v>4027.0</v>
      </c>
      <c r="B4030" s="66"/>
      <c r="C4030" s="64" t="s">
        <v>16462</v>
      </c>
      <c r="D4030" s="66"/>
      <c r="E4030" s="63" t="s">
        <v>16463</v>
      </c>
      <c r="F4030" s="65">
        <v>40492.0</v>
      </c>
      <c r="G4030" s="63" t="s">
        <v>16464</v>
      </c>
      <c r="H4030" s="66"/>
      <c r="I4030" s="66"/>
      <c r="J4030" s="63" t="s">
        <v>16465</v>
      </c>
      <c r="K4030" s="70">
        <v>42901.0</v>
      </c>
      <c r="L4030" s="63" t="s">
        <v>2743</v>
      </c>
      <c r="M4030" s="63" t="s">
        <v>16466</v>
      </c>
      <c r="N4030" s="61"/>
      <c r="O4030" s="51"/>
    </row>
    <row r="4031">
      <c r="A4031" s="56">
        <v>4028.0</v>
      </c>
      <c r="B4031" s="71"/>
      <c r="C4031" s="69" t="s">
        <v>16467</v>
      </c>
      <c r="D4031" s="71"/>
      <c r="E4031" s="68" t="s">
        <v>16468</v>
      </c>
      <c r="F4031" s="76">
        <v>40035.0</v>
      </c>
      <c r="G4031" s="68" t="s">
        <v>16464</v>
      </c>
      <c r="H4031" s="71"/>
      <c r="I4031" s="66"/>
      <c r="J4031" s="68" t="s">
        <v>16469</v>
      </c>
      <c r="K4031" s="76">
        <v>42901.0</v>
      </c>
      <c r="L4031" s="68" t="s">
        <v>2743</v>
      </c>
      <c r="M4031" s="68" t="s">
        <v>872</v>
      </c>
      <c r="N4031" s="61"/>
      <c r="O4031" s="51"/>
    </row>
    <row r="4032">
      <c r="A4032" s="56">
        <v>4029.0</v>
      </c>
      <c r="B4032" s="71"/>
      <c r="C4032" s="69" t="s">
        <v>16470</v>
      </c>
      <c r="D4032" s="71"/>
      <c r="E4032" s="68" t="s">
        <v>16471</v>
      </c>
      <c r="F4032" s="76">
        <v>42867.0</v>
      </c>
      <c r="G4032" s="68" t="s">
        <v>16472</v>
      </c>
      <c r="H4032" s="71"/>
      <c r="I4032" s="66"/>
      <c r="J4032" s="68" t="s">
        <v>16473</v>
      </c>
      <c r="K4032" s="76">
        <v>42901.0</v>
      </c>
      <c r="L4032" s="68" t="s">
        <v>2743</v>
      </c>
      <c r="M4032" s="68" t="s">
        <v>31</v>
      </c>
      <c r="N4032" s="61"/>
      <c r="O4032" s="51"/>
    </row>
    <row r="4033">
      <c r="A4033" s="56">
        <v>4030.0</v>
      </c>
      <c r="B4033" s="71"/>
      <c r="C4033" s="69" t="s">
        <v>16474</v>
      </c>
      <c r="D4033" s="71"/>
      <c r="E4033" s="68" t="s">
        <v>16475</v>
      </c>
      <c r="F4033" s="76">
        <v>42893.0</v>
      </c>
      <c r="G4033" s="68" t="s">
        <v>16476</v>
      </c>
      <c r="H4033" s="71"/>
      <c r="I4033" s="66"/>
      <c r="J4033" s="68" t="s">
        <v>16477</v>
      </c>
      <c r="K4033" s="76">
        <v>42901.0</v>
      </c>
      <c r="L4033" s="68" t="s">
        <v>2743</v>
      </c>
      <c r="M4033" s="68" t="s">
        <v>166</v>
      </c>
      <c r="N4033" s="61"/>
      <c r="O4033" s="51"/>
    </row>
    <row r="4034">
      <c r="A4034" s="56">
        <v>4031.0</v>
      </c>
      <c r="B4034" s="71"/>
      <c r="C4034" s="69" t="s">
        <v>16478</v>
      </c>
      <c r="D4034" s="71"/>
      <c r="E4034" s="68" t="s">
        <v>16479</v>
      </c>
      <c r="F4034" s="76">
        <v>42639.0</v>
      </c>
      <c r="G4034" s="68" t="s">
        <v>16480</v>
      </c>
      <c r="H4034" s="71"/>
      <c r="I4034" s="66"/>
      <c r="J4034" s="68" t="s">
        <v>16481</v>
      </c>
      <c r="K4034" s="76">
        <v>42905.0</v>
      </c>
      <c r="L4034" s="68" t="s">
        <v>2743</v>
      </c>
      <c r="M4034" s="68" t="s">
        <v>2291</v>
      </c>
      <c r="N4034" s="61"/>
      <c r="O4034" s="51"/>
    </row>
    <row r="4035">
      <c r="A4035" s="56">
        <v>4032.0</v>
      </c>
      <c r="B4035" s="71"/>
      <c r="C4035" s="69" t="s">
        <v>16482</v>
      </c>
      <c r="D4035" s="71"/>
      <c r="E4035" s="68" t="s">
        <v>16483</v>
      </c>
      <c r="F4035" s="76">
        <v>42440.0</v>
      </c>
      <c r="G4035" s="68" t="s">
        <v>16484</v>
      </c>
      <c r="H4035" s="71"/>
      <c r="I4035" s="71"/>
      <c r="J4035" s="68" t="s">
        <v>16485</v>
      </c>
      <c r="K4035" s="76">
        <v>42907.0</v>
      </c>
      <c r="L4035" s="68" t="s">
        <v>2743</v>
      </c>
      <c r="M4035" s="68" t="s">
        <v>16486</v>
      </c>
      <c r="N4035" s="77"/>
      <c r="O4035" s="51"/>
    </row>
    <row r="4036">
      <c r="A4036" s="56">
        <v>4033.0</v>
      </c>
      <c r="B4036" s="66"/>
      <c r="C4036" s="64" t="s">
        <v>16487</v>
      </c>
      <c r="D4036" s="66"/>
      <c r="E4036" s="63" t="s">
        <v>16488</v>
      </c>
      <c r="F4036" s="70">
        <v>41689.0</v>
      </c>
      <c r="G4036" s="63" t="s">
        <v>16489</v>
      </c>
      <c r="H4036" s="66"/>
      <c r="I4036" s="66"/>
      <c r="J4036" s="63" t="s">
        <v>11849</v>
      </c>
      <c r="K4036" s="70">
        <v>42906.0</v>
      </c>
      <c r="L4036" s="63" t="s">
        <v>2743</v>
      </c>
      <c r="M4036" s="63" t="s">
        <v>7530</v>
      </c>
      <c r="N4036" s="61"/>
      <c r="O4036" s="51"/>
    </row>
    <row r="4037">
      <c r="A4037" s="56">
        <v>4034.0</v>
      </c>
      <c r="B4037" s="71"/>
      <c r="C4037" s="69" t="s">
        <v>16490</v>
      </c>
      <c r="D4037" s="71"/>
      <c r="E4037" s="68" t="s">
        <v>16491</v>
      </c>
      <c r="F4037" s="76">
        <v>42893.0</v>
      </c>
      <c r="G4037" s="68" t="s">
        <v>16492</v>
      </c>
      <c r="H4037" s="71"/>
      <c r="I4037" s="66"/>
      <c r="J4037" s="68" t="s">
        <v>16493</v>
      </c>
      <c r="K4037" s="76">
        <v>42906.0</v>
      </c>
      <c r="L4037" s="68" t="s">
        <v>2743</v>
      </c>
      <c r="M4037" s="68" t="s">
        <v>10279</v>
      </c>
      <c r="N4037" s="61"/>
      <c r="O4037" s="51"/>
    </row>
    <row r="4038">
      <c r="A4038" s="75">
        <v>4035.0</v>
      </c>
      <c r="B4038" s="71"/>
      <c r="C4038" s="69" t="s">
        <v>16494</v>
      </c>
      <c r="D4038" s="71"/>
      <c r="E4038" s="68" t="s">
        <v>16495</v>
      </c>
      <c r="F4038" s="83">
        <v>41984.0</v>
      </c>
      <c r="G4038" s="68" t="s">
        <v>16496</v>
      </c>
      <c r="H4038" s="71"/>
      <c r="I4038" s="71"/>
      <c r="J4038" s="68" t="s">
        <v>16497</v>
      </c>
      <c r="K4038" s="76">
        <v>42907.0</v>
      </c>
      <c r="L4038" s="68" t="s">
        <v>2743</v>
      </c>
      <c r="M4038" s="68" t="s">
        <v>4749</v>
      </c>
      <c r="N4038" s="77"/>
      <c r="O4038" s="51"/>
    </row>
    <row r="4039">
      <c r="A4039" s="56">
        <v>4036.0</v>
      </c>
      <c r="B4039" s="71"/>
      <c r="C4039" s="69" t="s">
        <v>16498</v>
      </c>
      <c r="D4039" s="71"/>
      <c r="E4039" s="68" t="s">
        <v>16499</v>
      </c>
      <c r="F4039" s="71"/>
      <c r="G4039" s="68" t="s">
        <v>16500</v>
      </c>
      <c r="H4039" s="71"/>
      <c r="I4039" s="66"/>
      <c r="J4039" s="68" t="s">
        <v>16501</v>
      </c>
      <c r="K4039" s="76">
        <v>42907.0</v>
      </c>
      <c r="L4039" s="68" t="s">
        <v>2743</v>
      </c>
      <c r="M4039" s="68" t="s">
        <v>4487</v>
      </c>
      <c r="N4039" s="61"/>
      <c r="O4039" s="51"/>
    </row>
    <row r="4040">
      <c r="A4040" s="56">
        <v>4037.0</v>
      </c>
      <c r="B4040" s="66"/>
      <c r="C4040" s="64" t="s">
        <v>16502</v>
      </c>
      <c r="D4040" s="66"/>
      <c r="E4040" s="63" t="s">
        <v>16503</v>
      </c>
      <c r="F4040" s="70">
        <v>40556.0</v>
      </c>
      <c r="G4040" s="63" t="s">
        <v>16504</v>
      </c>
      <c r="H4040" s="66"/>
      <c r="I4040" s="66"/>
      <c r="J4040" s="63" t="s">
        <v>4801</v>
      </c>
      <c r="K4040" s="70">
        <v>42915.0</v>
      </c>
      <c r="L4040" s="63" t="s">
        <v>2743</v>
      </c>
      <c r="M4040" s="63" t="s">
        <v>149</v>
      </c>
      <c r="N4040" s="61"/>
      <c r="O4040" s="51"/>
    </row>
    <row r="4041">
      <c r="A4041" s="56">
        <v>4038.0</v>
      </c>
      <c r="B4041" s="71"/>
      <c r="C4041" s="69" t="s">
        <v>16505</v>
      </c>
      <c r="D4041" s="71"/>
      <c r="E4041" s="68" t="s">
        <v>16506</v>
      </c>
      <c r="F4041" s="76">
        <v>42839.0</v>
      </c>
      <c r="G4041" s="68" t="s">
        <v>16507</v>
      </c>
      <c r="H4041" s="71"/>
      <c r="I4041" s="71"/>
      <c r="J4041" s="68" t="s">
        <v>16508</v>
      </c>
      <c r="K4041" s="76">
        <v>42915.0</v>
      </c>
      <c r="L4041" s="68" t="s">
        <v>2743</v>
      </c>
      <c r="M4041" s="68" t="s">
        <v>143</v>
      </c>
      <c r="N4041" s="77"/>
      <c r="O4041" s="51"/>
    </row>
    <row r="4042">
      <c r="A4042" s="56">
        <v>4039.0</v>
      </c>
      <c r="B4042" s="71"/>
      <c r="C4042" s="69" t="s">
        <v>16509</v>
      </c>
      <c r="D4042" s="71"/>
      <c r="E4042" s="68" t="s">
        <v>16510</v>
      </c>
      <c r="F4042" s="83">
        <v>42656.0</v>
      </c>
      <c r="G4042" s="68" t="s">
        <v>16511</v>
      </c>
      <c r="H4042" s="71"/>
      <c r="I4042" s="71"/>
      <c r="J4042" s="68" t="s">
        <v>16512</v>
      </c>
      <c r="K4042" s="68" t="s">
        <v>16513</v>
      </c>
      <c r="L4042" s="68" t="s">
        <v>13810</v>
      </c>
      <c r="M4042" s="68" t="s">
        <v>27</v>
      </c>
      <c r="N4042" s="61"/>
      <c r="O4042" s="51"/>
    </row>
    <row r="4043">
      <c r="A4043" s="75">
        <v>4040.0</v>
      </c>
      <c r="B4043" s="71"/>
      <c r="C4043" s="69" t="s">
        <v>16514</v>
      </c>
      <c r="D4043" s="71"/>
      <c r="E4043" s="68" t="s">
        <v>16515</v>
      </c>
      <c r="F4043" s="76">
        <v>42612.0</v>
      </c>
      <c r="G4043" s="68" t="s">
        <v>16516</v>
      </c>
      <c r="H4043" s="71"/>
      <c r="I4043" s="71"/>
      <c r="J4043" s="68" t="s">
        <v>16517</v>
      </c>
      <c r="K4043" s="76">
        <v>42860.0</v>
      </c>
      <c r="L4043" s="68" t="s">
        <v>13810</v>
      </c>
      <c r="M4043" s="68" t="s">
        <v>27</v>
      </c>
      <c r="N4043" s="61"/>
      <c r="O4043" s="51"/>
    </row>
    <row r="4044">
      <c r="A4044" s="56">
        <v>4041.0</v>
      </c>
      <c r="B4044" s="66"/>
      <c r="C4044" s="64" t="s">
        <v>16518</v>
      </c>
      <c r="D4044" s="66"/>
      <c r="E4044" s="63" t="s">
        <v>16519</v>
      </c>
      <c r="F4044" s="65">
        <v>42318.0</v>
      </c>
      <c r="G4044" s="63" t="s">
        <v>16520</v>
      </c>
      <c r="H4044" s="66"/>
      <c r="I4044" s="66"/>
      <c r="J4044" s="63" t="s">
        <v>4801</v>
      </c>
      <c r="K4044" s="70">
        <v>42860.0</v>
      </c>
      <c r="L4044" s="63" t="s">
        <v>16185</v>
      </c>
      <c r="M4044" s="63" t="s">
        <v>149</v>
      </c>
      <c r="N4044" s="61"/>
      <c r="O4044" s="51"/>
    </row>
    <row r="4045">
      <c r="A4045" s="56">
        <v>4042.0</v>
      </c>
      <c r="B4045" s="71"/>
      <c r="C4045" s="69" t="s">
        <v>16521</v>
      </c>
      <c r="D4045" s="71"/>
      <c r="E4045" s="68" t="s">
        <v>16522</v>
      </c>
      <c r="F4045" s="76">
        <v>41843.0</v>
      </c>
      <c r="G4045" s="68" t="s">
        <v>16523</v>
      </c>
      <c r="H4045" s="71"/>
      <c r="I4045" s="71"/>
      <c r="J4045" s="68" t="s">
        <v>16524</v>
      </c>
      <c r="K4045" s="76">
        <v>42860.0</v>
      </c>
      <c r="L4045" s="68" t="s">
        <v>16185</v>
      </c>
      <c r="M4045" s="68" t="s">
        <v>27</v>
      </c>
      <c r="N4045" s="77"/>
      <c r="O4045" s="51"/>
    </row>
    <row r="4046">
      <c r="A4046" s="56">
        <v>4043.0</v>
      </c>
      <c r="B4046" s="71"/>
      <c r="C4046" s="69" t="s">
        <v>16525</v>
      </c>
      <c r="D4046" s="71"/>
      <c r="E4046" s="68" t="s">
        <v>16526</v>
      </c>
      <c r="F4046" s="76">
        <v>42804.0</v>
      </c>
      <c r="G4046" s="68" t="s">
        <v>16527</v>
      </c>
      <c r="H4046" s="71"/>
      <c r="I4046" s="71"/>
      <c r="J4046" s="68" t="s">
        <v>16528</v>
      </c>
      <c r="K4046" s="76">
        <v>42860.0</v>
      </c>
      <c r="L4046" s="68" t="s">
        <v>2743</v>
      </c>
      <c r="M4046" s="68" t="s">
        <v>2989</v>
      </c>
      <c r="N4046" s="61"/>
      <c r="O4046" s="51"/>
    </row>
    <row r="4047">
      <c r="A4047" s="56">
        <v>4044.0</v>
      </c>
      <c r="B4047" s="66"/>
      <c r="C4047" s="64" t="s">
        <v>16529</v>
      </c>
      <c r="D4047" s="66"/>
      <c r="E4047" s="63" t="s">
        <v>16530</v>
      </c>
      <c r="F4047" s="65">
        <v>42348.0</v>
      </c>
      <c r="G4047" s="63" t="s">
        <v>16531</v>
      </c>
      <c r="H4047" s="66"/>
      <c r="I4047" s="66"/>
      <c r="J4047" s="63" t="s">
        <v>2872</v>
      </c>
      <c r="K4047" s="70">
        <v>42860.0</v>
      </c>
      <c r="L4047" s="63" t="s">
        <v>2743</v>
      </c>
      <c r="M4047" s="63" t="s">
        <v>125</v>
      </c>
      <c r="N4047" s="61"/>
      <c r="O4047" s="51"/>
    </row>
    <row r="4048">
      <c r="A4048" s="56">
        <v>4045.0</v>
      </c>
      <c r="B4048" s="71"/>
      <c r="C4048" s="69" t="s">
        <v>16532</v>
      </c>
      <c r="D4048" s="71"/>
      <c r="E4048" s="68" t="s">
        <v>16533</v>
      </c>
      <c r="F4048" s="76">
        <v>42863.0</v>
      </c>
      <c r="G4048" s="68" t="s">
        <v>16534</v>
      </c>
      <c r="H4048" s="71"/>
      <c r="I4048" s="71"/>
      <c r="J4048" s="68" t="s">
        <v>16535</v>
      </c>
      <c r="K4048" s="76">
        <v>42860.0</v>
      </c>
      <c r="L4048" s="68" t="s">
        <v>2743</v>
      </c>
      <c r="M4048" s="68" t="s">
        <v>195</v>
      </c>
      <c r="N4048" s="77"/>
      <c r="O4048" s="51"/>
    </row>
    <row r="4049">
      <c r="A4049" s="56">
        <v>4046.0</v>
      </c>
      <c r="B4049" s="71"/>
      <c r="C4049" s="69" t="s">
        <v>16536</v>
      </c>
      <c r="D4049" s="71"/>
      <c r="E4049" s="68" t="s">
        <v>16537</v>
      </c>
      <c r="F4049" s="83">
        <v>41635.0</v>
      </c>
      <c r="G4049" s="68" t="s">
        <v>16538</v>
      </c>
      <c r="H4049" s="71"/>
      <c r="I4049" s="71"/>
      <c r="J4049" s="68" t="s">
        <v>16539</v>
      </c>
      <c r="K4049" s="76">
        <v>42861.0</v>
      </c>
      <c r="L4049" s="68" t="s">
        <v>2743</v>
      </c>
      <c r="M4049" s="68" t="s">
        <v>941</v>
      </c>
      <c r="N4049" s="77"/>
      <c r="O4049" s="51"/>
    </row>
    <row r="4050">
      <c r="A4050" s="56">
        <v>4047.0</v>
      </c>
      <c r="B4050" s="71"/>
      <c r="C4050" s="69" t="s">
        <v>16540</v>
      </c>
      <c r="D4050" s="71"/>
      <c r="E4050" s="68" t="s">
        <v>15283</v>
      </c>
      <c r="F4050" s="76">
        <v>41696.0</v>
      </c>
      <c r="G4050" s="68" t="s">
        <v>16541</v>
      </c>
      <c r="H4050" s="71"/>
      <c r="I4050" s="71"/>
      <c r="J4050" s="68" t="s">
        <v>16542</v>
      </c>
      <c r="K4050" s="76">
        <v>42861.0</v>
      </c>
      <c r="L4050" s="68" t="s">
        <v>2743</v>
      </c>
      <c r="M4050" s="68" t="s">
        <v>31</v>
      </c>
      <c r="N4050" s="61"/>
      <c r="O4050" s="51"/>
    </row>
    <row r="4051">
      <c r="A4051" s="56">
        <v>4048.0</v>
      </c>
      <c r="B4051" s="71"/>
      <c r="C4051" s="69" t="s">
        <v>16543</v>
      </c>
      <c r="D4051" s="71"/>
      <c r="E4051" s="68" t="s">
        <v>16544</v>
      </c>
      <c r="F4051" s="76">
        <v>42643.0</v>
      </c>
      <c r="G4051" s="68" t="s">
        <v>16545</v>
      </c>
      <c r="H4051" s="71"/>
      <c r="I4051" s="71"/>
      <c r="J4051" s="68" t="s">
        <v>16546</v>
      </c>
      <c r="K4051" s="76">
        <v>42861.0</v>
      </c>
      <c r="L4051" s="68" t="s">
        <v>2743</v>
      </c>
      <c r="M4051" s="68" t="s">
        <v>125</v>
      </c>
      <c r="N4051" s="61"/>
      <c r="O4051" s="51"/>
    </row>
    <row r="4052">
      <c r="A4052" s="56">
        <v>4049.0</v>
      </c>
      <c r="B4052" s="66"/>
      <c r="C4052" s="64" t="s">
        <v>16547</v>
      </c>
      <c r="D4052" s="66"/>
      <c r="E4052" s="63" t="s">
        <v>16548</v>
      </c>
      <c r="F4052" s="65">
        <v>42673.0</v>
      </c>
      <c r="G4052" s="63" t="s">
        <v>16549</v>
      </c>
      <c r="H4052" s="66"/>
      <c r="I4052" s="66"/>
      <c r="J4052" s="63" t="s">
        <v>5679</v>
      </c>
      <c r="K4052" s="70">
        <v>42861.0</v>
      </c>
      <c r="L4052" s="63" t="s">
        <v>2743</v>
      </c>
      <c r="M4052" s="63" t="s">
        <v>125</v>
      </c>
      <c r="N4052" s="61"/>
      <c r="O4052" s="51"/>
    </row>
    <row r="4053">
      <c r="A4053" s="56">
        <v>4050.0</v>
      </c>
      <c r="B4053" s="66"/>
      <c r="C4053" s="64" t="s">
        <v>16550</v>
      </c>
      <c r="D4053" s="66"/>
      <c r="E4053" s="63" t="s">
        <v>16551</v>
      </c>
      <c r="F4053" s="63">
        <v>2010.0</v>
      </c>
      <c r="G4053" s="63" t="s">
        <v>16552</v>
      </c>
      <c r="H4053" s="66"/>
      <c r="I4053" s="66"/>
      <c r="J4053" s="63" t="s">
        <v>6381</v>
      </c>
      <c r="K4053" s="70">
        <v>42861.0</v>
      </c>
      <c r="L4053" s="63" t="s">
        <v>2743</v>
      </c>
      <c r="M4053" s="63" t="s">
        <v>201</v>
      </c>
      <c r="N4053" s="61"/>
      <c r="O4053" s="51"/>
    </row>
    <row r="4054">
      <c r="A4054" s="56">
        <v>4051.0</v>
      </c>
      <c r="B4054" s="66"/>
      <c r="C4054" s="64" t="s">
        <v>16553</v>
      </c>
      <c r="D4054" s="66"/>
      <c r="E4054" s="63" t="s">
        <v>16554</v>
      </c>
      <c r="F4054" s="63">
        <v>2007.0</v>
      </c>
      <c r="G4054" s="63" t="s">
        <v>16555</v>
      </c>
      <c r="H4054" s="66"/>
      <c r="I4054" s="66"/>
      <c r="J4054" s="63" t="s">
        <v>1872</v>
      </c>
      <c r="K4054" s="70">
        <v>42861.0</v>
      </c>
      <c r="L4054" s="63" t="s">
        <v>2743</v>
      </c>
      <c r="M4054" s="63" t="s">
        <v>530</v>
      </c>
      <c r="N4054" s="61"/>
      <c r="O4054" s="51"/>
    </row>
    <row r="4055">
      <c r="A4055" s="56">
        <v>4052.0</v>
      </c>
      <c r="B4055" s="66"/>
      <c r="C4055" s="64" t="s">
        <v>16556</v>
      </c>
      <c r="D4055" s="66"/>
      <c r="E4055" s="63" t="s">
        <v>16557</v>
      </c>
      <c r="F4055" s="70">
        <v>42759.0</v>
      </c>
      <c r="G4055" s="63" t="s">
        <v>16558</v>
      </c>
      <c r="H4055" s="63" t="s">
        <v>16559</v>
      </c>
      <c r="I4055" s="63" t="s">
        <v>16560</v>
      </c>
      <c r="J4055" s="63" t="s">
        <v>10817</v>
      </c>
      <c r="K4055" s="70">
        <v>42926.0</v>
      </c>
      <c r="L4055" s="63" t="s">
        <v>2743</v>
      </c>
      <c r="M4055" s="63" t="s">
        <v>5990</v>
      </c>
      <c r="N4055" s="61"/>
      <c r="O4055" s="51"/>
    </row>
    <row r="4056">
      <c r="A4056" s="56">
        <v>4053.0</v>
      </c>
      <c r="B4056" s="66"/>
      <c r="C4056" s="64" t="s">
        <v>16561</v>
      </c>
      <c r="D4056" s="66"/>
      <c r="E4056" s="63" t="s">
        <v>16562</v>
      </c>
      <c r="F4056" s="70">
        <v>42011.0</v>
      </c>
      <c r="G4056" s="63" t="s">
        <v>16563</v>
      </c>
      <c r="H4056" s="66"/>
      <c r="I4056" s="66"/>
      <c r="J4056" s="63" t="s">
        <v>8033</v>
      </c>
      <c r="K4056" s="70">
        <v>42927.0</v>
      </c>
      <c r="L4056" s="63" t="s">
        <v>2743</v>
      </c>
      <c r="M4056" s="63" t="s">
        <v>3714</v>
      </c>
      <c r="N4056" s="61"/>
      <c r="O4056" s="51"/>
    </row>
    <row r="4057">
      <c r="A4057" s="56">
        <v>4054.0</v>
      </c>
      <c r="B4057" s="71"/>
      <c r="C4057" s="69" t="s">
        <v>16564</v>
      </c>
      <c r="D4057" s="71"/>
      <c r="E4057" s="68" t="s">
        <v>16565</v>
      </c>
      <c r="F4057" s="76">
        <v>42927.0</v>
      </c>
      <c r="G4057" s="68" t="s">
        <v>16566</v>
      </c>
      <c r="H4057" s="71"/>
      <c r="I4057" s="71"/>
      <c r="J4057" s="68" t="s">
        <v>16567</v>
      </c>
      <c r="K4057" s="76">
        <v>42929.0</v>
      </c>
      <c r="L4057" s="68" t="s">
        <v>2743</v>
      </c>
      <c r="M4057" s="68" t="s">
        <v>143</v>
      </c>
      <c r="N4057" s="61"/>
      <c r="O4057" s="51"/>
    </row>
    <row r="4058">
      <c r="A4058" s="56">
        <v>4055.0</v>
      </c>
      <c r="B4058" s="71"/>
      <c r="C4058" s="69" t="s">
        <v>16568</v>
      </c>
      <c r="D4058" s="71"/>
      <c r="E4058" s="68" t="s">
        <v>16569</v>
      </c>
      <c r="F4058" s="76">
        <v>42805.0</v>
      </c>
      <c r="G4058" s="68" t="s">
        <v>16570</v>
      </c>
      <c r="H4058" s="71"/>
      <c r="I4058" s="68" t="s">
        <v>16571</v>
      </c>
      <c r="J4058" s="68" t="s">
        <v>16572</v>
      </c>
      <c r="K4058" s="76">
        <v>42933.0</v>
      </c>
      <c r="L4058" s="68" t="s">
        <v>2743</v>
      </c>
      <c r="M4058" s="68" t="s">
        <v>31</v>
      </c>
      <c r="N4058" s="77"/>
      <c r="O4058" s="51"/>
    </row>
    <row r="4059">
      <c r="A4059" s="56">
        <v>4056.0</v>
      </c>
      <c r="B4059" s="66"/>
      <c r="C4059" s="64" t="s">
        <v>16573</v>
      </c>
      <c r="D4059" s="66"/>
      <c r="E4059" s="63" t="s">
        <v>16574</v>
      </c>
      <c r="F4059" s="70">
        <v>41362.0</v>
      </c>
      <c r="G4059" s="63" t="s">
        <v>16575</v>
      </c>
      <c r="H4059" s="66"/>
      <c r="I4059" s="66"/>
      <c r="J4059" s="63" t="s">
        <v>6381</v>
      </c>
      <c r="K4059" s="70">
        <v>42933.0</v>
      </c>
      <c r="L4059" s="63" t="s">
        <v>2743</v>
      </c>
      <c r="M4059" s="63" t="s">
        <v>201</v>
      </c>
      <c r="N4059" s="61"/>
      <c r="O4059" s="51"/>
    </row>
    <row r="4060">
      <c r="A4060" s="56">
        <v>4057.0</v>
      </c>
      <c r="B4060" s="71"/>
      <c r="C4060" s="69" t="s">
        <v>16576</v>
      </c>
      <c r="D4060" s="71"/>
      <c r="E4060" s="68" t="s">
        <v>16577</v>
      </c>
      <c r="F4060" s="83">
        <v>42733.0</v>
      </c>
      <c r="G4060" s="68" t="s">
        <v>16578</v>
      </c>
      <c r="H4060" s="71"/>
      <c r="I4060" s="68" t="s">
        <v>16579</v>
      </c>
      <c r="J4060" s="68" t="s">
        <v>16580</v>
      </c>
      <c r="K4060" s="76">
        <v>42933.0</v>
      </c>
      <c r="L4060" s="68" t="s">
        <v>2743</v>
      </c>
      <c r="M4060" s="68" t="s">
        <v>31</v>
      </c>
      <c r="N4060" s="77"/>
      <c r="O4060" s="51"/>
    </row>
    <row r="4061">
      <c r="A4061" s="56">
        <v>4058.0</v>
      </c>
      <c r="B4061" s="71"/>
      <c r="C4061" s="69" t="s">
        <v>16581</v>
      </c>
      <c r="D4061" s="71"/>
      <c r="E4061" s="68" t="s">
        <v>16582</v>
      </c>
      <c r="F4061" s="83">
        <v>42690.0</v>
      </c>
      <c r="G4061" s="68" t="s">
        <v>16583</v>
      </c>
      <c r="H4061" s="71"/>
      <c r="I4061" s="71"/>
      <c r="J4061" s="68" t="s">
        <v>16584</v>
      </c>
      <c r="K4061" s="76">
        <v>42933.0</v>
      </c>
      <c r="L4061" s="68" t="s">
        <v>16585</v>
      </c>
      <c r="M4061" s="68" t="s">
        <v>166</v>
      </c>
      <c r="N4061" s="77"/>
      <c r="O4061" s="51"/>
    </row>
    <row r="4062">
      <c r="A4062" s="56">
        <v>4059.0</v>
      </c>
      <c r="B4062" s="71"/>
      <c r="C4062" s="69" t="s">
        <v>16586</v>
      </c>
      <c r="D4062" s="71"/>
      <c r="E4062" s="68" t="s">
        <v>16587</v>
      </c>
      <c r="F4062" s="76">
        <v>42857.0</v>
      </c>
      <c r="G4062" s="68" t="s">
        <v>16588</v>
      </c>
      <c r="H4062" s="71"/>
      <c r="I4062" s="71"/>
      <c r="J4062" s="68" t="s">
        <v>16589</v>
      </c>
      <c r="K4062" s="76">
        <v>42933.0</v>
      </c>
      <c r="L4062" s="68" t="s">
        <v>16585</v>
      </c>
      <c r="M4062" s="68" t="s">
        <v>166</v>
      </c>
      <c r="N4062" s="61"/>
      <c r="O4062" s="51"/>
    </row>
    <row r="4063">
      <c r="A4063" s="56">
        <v>4060.0</v>
      </c>
      <c r="B4063" s="71"/>
      <c r="C4063" s="69" t="s">
        <v>16590</v>
      </c>
      <c r="D4063" s="71"/>
      <c r="E4063" s="68" t="s">
        <v>16591</v>
      </c>
      <c r="F4063" s="76">
        <v>42794.0</v>
      </c>
      <c r="G4063" s="68" t="s">
        <v>16592</v>
      </c>
      <c r="H4063" s="71"/>
      <c r="I4063" s="71"/>
      <c r="J4063" s="68" t="s">
        <v>16593</v>
      </c>
      <c r="K4063" s="76">
        <v>42933.0</v>
      </c>
      <c r="L4063" s="68" t="s">
        <v>16585</v>
      </c>
      <c r="M4063" s="68" t="s">
        <v>166</v>
      </c>
      <c r="N4063" s="61"/>
      <c r="O4063" s="51"/>
    </row>
    <row r="4064">
      <c r="A4064" s="56">
        <v>4061.0</v>
      </c>
      <c r="B4064" s="66"/>
      <c r="C4064" s="64" t="s">
        <v>16594</v>
      </c>
      <c r="D4064" s="66"/>
      <c r="E4064" s="63" t="s">
        <v>16595</v>
      </c>
      <c r="F4064" s="63">
        <v>2009.0</v>
      </c>
      <c r="G4064" s="63" t="s">
        <v>16596</v>
      </c>
      <c r="H4064" s="66"/>
      <c r="I4064" s="66"/>
      <c r="J4064" s="63" t="s">
        <v>1872</v>
      </c>
      <c r="K4064" s="70">
        <v>42933.0</v>
      </c>
      <c r="L4064" s="63" t="s">
        <v>2743</v>
      </c>
      <c r="M4064" s="63" t="s">
        <v>530</v>
      </c>
      <c r="N4064" s="61"/>
      <c r="O4064" s="51"/>
    </row>
    <row r="4065">
      <c r="A4065" s="56">
        <v>4062.0</v>
      </c>
      <c r="B4065" s="66"/>
      <c r="C4065" s="64" t="s">
        <v>16597</v>
      </c>
      <c r="D4065" s="66"/>
      <c r="E4065" s="63" t="s">
        <v>16598</v>
      </c>
      <c r="F4065" s="63">
        <v>2009.0</v>
      </c>
      <c r="G4065" s="63" t="s">
        <v>16599</v>
      </c>
      <c r="H4065" s="66"/>
      <c r="I4065" s="66"/>
      <c r="J4065" s="63" t="s">
        <v>1872</v>
      </c>
      <c r="K4065" s="70">
        <v>42933.0</v>
      </c>
      <c r="L4065" s="63" t="s">
        <v>2743</v>
      </c>
      <c r="M4065" s="63" t="s">
        <v>530</v>
      </c>
      <c r="N4065" s="61"/>
      <c r="O4065" s="51"/>
    </row>
    <row r="4066">
      <c r="A4066" s="56">
        <v>4063.0</v>
      </c>
      <c r="B4066" s="66"/>
      <c r="C4066" s="64" t="s">
        <v>16600</v>
      </c>
      <c r="D4066" s="66"/>
      <c r="E4066" s="63" t="s">
        <v>16601</v>
      </c>
      <c r="F4066" s="70">
        <v>40440.0</v>
      </c>
      <c r="G4066" s="63" t="s">
        <v>16602</v>
      </c>
      <c r="H4066" s="66"/>
      <c r="I4066" s="66"/>
      <c r="J4066" s="63" t="s">
        <v>2872</v>
      </c>
      <c r="K4066" s="70">
        <v>42933.0</v>
      </c>
      <c r="L4066" s="63" t="s">
        <v>2743</v>
      </c>
      <c r="M4066" s="63" t="s">
        <v>125</v>
      </c>
      <c r="N4066" s="61"/>
      <c r="O4066" s="51"/>
    </row>
    <row r="4067">
      <c r="A4067" s="56">
        <v>4064.0</v>
      </c>
      <c r="B4067" s="66"/>
      <c r="C4067" s="64" t="s">
        <v>16603</v>
      </c>
      <c r="D4067" s="66"/>
      <c r="E4067" s="63" t="s">
        <v>16604</v>
      </c>
      <c r="F4067" s="70">
        <v>40440.0</v>
      </c>
      <c r="G4067" s="63" t="s">
        <v>16602</v>
      </c>
      <c r="H4067" s="66"/>
      <c r="I4067" s="66"/>
      <c r="J4067" s="63" t="s">
        <v>2872</v>
      </c>
      <c r="K4067" s="70">
        <v>42933.0</v>
      </c>
      <c r="L4067" s="63" t="s">
        <v>2743</v>
      </c>
      <c r="M4067" s="63" t="s">
        <v>125</v>
      </c>
      <c r="N4067" s="61"/>
      <c r="O4067" s="51"/>
    </row>
    <row r="4068">
      <c r="A4068" s="56">
        <v>4065.0</v>
      </c>
      <c r="B4068" s="66"/>
      <c r="C4068" s="64" t="s">
        <v>16605</v>
      </c>
      <c r="D4068" s="66"/>
      <c r="E4068" s="63" t="s">
        <v>16606</v>
      </c>
      <c r="F4068" s="70">
        <v>41480.0</v>
      </c>
      <c r="G4068" s="63" t="s">
        <v>16607</v>
      </c>
      <c r="H4068" s="66"/>
      <c r="I4068" s="66"/>
      <c r="J4068" s="63" t="s">
        <v>2872</v>
      </c>
      <c r="K4068" s="70">
        <v>42933.0</v>
      </c>
      <c r="L4068" s="63" t="s">
        <v>2743</v>
      </c>
      <c r="M4068" s="63" t="s">
        <v>125</v>
      </c>
      <c r="N4068" s="61"/>
      <c r="O4068" s="51"/>
    </row>
    <row r="4069">
      <c r="A4069" s="56">
        <v>4066.0</v>
      </c>
      <c r="B4069" s="66"/>
      <c r="C4069" s="64" t="s">
        <v>16608</v>
      </c>
      <c r="D4069" s="66"/>
      <c r="E4069" s="63" t="s">
        <v>16609</v>
      </c>
      <c r="F4069" s="63">
        <v>2010.0</v>
      </c>
      <c r="G4069" s="63" t="s">
        <v>16610</v>
      </c>
      <c r="H4069" s="63" t="s">
        <v>16611</v>
      </c>
      <c r="I4069" s="66"/>
      <c r="J4069" s="63" t="s">
        <v>1872</v>
      </c>
      <c r="K4069" s="70">
        <v>42933.0</v>
      </c>
      <c r="L4069" s="63" t="s">
        <v>2743</v>
      </c>
      <c r="M4069" s="63" t="s">
        <v>530</v>
      </c>
      <c r="N4069" s="61"/>
      <c r="O4069" s="51"/>
    </row>
    <row r="4070">
      <c r="A4070" s="56">
        <v>4067.0</v>
      </c>
      <c r="B4070" s="66"/>
      <c r="C4070" s="64" t="s">
        <v>16612</v>
      </c>
      <c r="D4070" s="66"/>
      <c r="E4070" s="63" t="s">
        <v>16613</v>
      </c>
      <c r="F4070" s="70">
        <v>41695.0</v>
      </c>
      <c r="G4070" s="63" t="s">
        <v>16614</v>
      </c>
      <c r="H4070" s="66"/>
      <c r="I4070" s="66"/>
      <c r="J4070" s="63" t="s">
        <v>6322</v>
      </c>
      <c r="K4070" s="70">
        <v>42935.0</v>
      </c>
      <c r="L4070" s="63" t="s">
        <v>2743</v>
      </c>
      <c r="M4070" s="63" t="s">
        <v>4749</v>
      </c>
      <c r="N4070" s="61"/>
      <c r="O4070" s="51"/>
    </row>
    <row r="4071">
      <c r="A4071" s="56">
        <v>4068.0</v>
      </c>
      <c r="B4071" s="66"/>
      <c r="C4071" s="64" t="s">
        <v>16615</v>
      </c>
      <c r="D4071" s="66"/>
      <c r="E4071" s="63" t="s">
        <v>16616</v>
      </c>
      <c r="F4071" s="70">
        <v>41664.0</v>
      </c>
      <c r="G4071" s="63" t="s">
        <v>16617</v>
      </c>
      <c r="H4071" s="66"/>
      <c r="I4071" s="66"/>
      <c r="J4071" s="63" t="s">
        <v>6322</v>
      </c>
      <c r="K4071" s="70">
        <v>42935.0</v>
      </c>
      <c r="L4071" s="63" t="s">
        <v>2743</v>
      </c>
      <c r="M4071" s="63" t="s">
        <v>4749</v>
      </c>
      <c r="N4071" s="61"/>
      <c r="O4071" s="51"/>
    </row>
    <row r="4072">
      <c r="A4072" s="56">
        <v>4069.0</v>
      </c>
      <c r="B4072" s="71"/>
      <c r="C4072" s="69" t="s">
        <v>16618</v>
      </c>
      <c r="D4072" s="71"/>
      <c r="E4072" s="68" t="s">
        <v>16619</v>
      </c>
      <c r="F4072" s="76">
        <v>41890.0</v>
      </c>
      <c r="G4072" s="68" t="s">
        <v>16620</v>
      </c>
      <c r="H4072" s="71"/>
      <c r="I4072" s="71"/>
      <c r="J4072" s="68" t="s">
        <v>16621</v>
      </c>
      <c r="K4072" s="76">
        <v>42935.0</v>
      </c>
      <c r="L4072" s="68" t="s">
        <v>13810</v>
      </c>
      <c r="M4072" s="68" t="s">
        <v>27</v>
      </c>
      <c r="N4072" s="77"/>
      <c r="O4072" s="51"/>
    </row>
    <row r="4073">
      <c r="A4073" s="56">
        <v>4070.0</v>
      </c>
      <c r="B4073" s="71"/>
      <c r="C4073" s="69" t="s">
        <v>16622</v>
      </c>
      <c r="D4073" s="71"/>
      <c r="E4073" s="68" t="s">
        <v>16623</v>
      </c>
      <c r="F4073" s="76">
        <v>42783.0</v>
      </c>
      <c r="G4073" s="68" t="s">
        <v>16624</v>
      </c>
      <c r="H4073" s="71"/>
      <c r="I4073" s="68" t="s">
        <v>16625</v>
      </c>
      <c r="J4073" s="68" t="s">
        <v>16626</v>
      </c>
      <c r="K4073" s="76">
        <v>42935.0</v>
      </c>
      <c r="L4073" s="68" t="s">
        <v>13810</v>
      </c>
      <c r="M4073" s="68" t="s">
        <v>27</v>
      </c>
      <c r="N4073" s="61"/>
      <c r="O4073" s="51"/>
    </row>
    <row r="4074">
      <c r="A4074" s="56">
        <v>4071.0</v>
      </c>
      <c r="B4074" s="66"/>
      <c r="C4074" s="64" t="s">
        <v>16627</v>
      </c>
      <c r="D4074" s="66"/>
      <c r="E4074" s="63" t="s">
        <v>16628</v>
      </c>
      <c r="F4074" s="70">
        <v>42711.0</v>
      </c>
      <c r="G4074" s="63" t="s">
        <v>16629</v>
      </c>
      <c r="H4074" s="63" t="s">
        <v>16630</v>
      </c>
      <c r="I4074" s="66"/>
      <c r="J4074" s="63" t="s">
        <v>6393</v>
      </c>
      <c r="K4074" s="70">
        <v>42940.0</v>
      </c>
      <c r="L4074" s="66"/>
      <c r="M4074" s="63" t="s">
        <v>6875</v>
      </c>
      <c r="N4074" s="61"/>
      <c r="O4074" s="51"/>
    </row>
    <row r="4075">
      <c r="A4075" s="56">
        <v>4072.0</v>
      </c>
      <c r="B4075" s="66"/>
      <c r="C4075" s="64" t="s">
        <v>16631</v>
      </c>
      <c r="D4075" s="66"/>
      <c r="E4075" s="63" t="s">
        <v>16632</v>
      </c>
      <c r="F4075" s="63">
        <v>2009.0</v>
      </c>
      <c r="G4075" s="63" t="s">
        <v>16633</v>
      </c>
      <c r="H4075" s="66"/>
      <c r="I4075" s="66"/>
      <c r="J4075" s="63" t="s">
        <v>1872</v>
      </c>
      <c r="K4075" s="70">
        <v>42940.0</v>
      </c>
      <c r="L4075" s="66"/>
      <c r="M4075" s="63" t="s">
        <v>530</v>
      </c>
      <c r="N4075" s="61"/>
      <c r="O4075" s="51"/>
    </row>
    <row r="4076">
      <c r="A4076" s="56">
        <v>4073.0</v>
      </c>
      <c r="B4076" s="71"/>
      <c r="C4076" s="69" t="s">
        <v>16634</v>
      </c>
      <c r="D4076" s="71"/>
      <c r="E4076" s="68" t="s">
        <v>16635</v>
      </c>
      <c r="F4076" s="76">
        <v>40288.0</v>
      </c>
      <c r="G4076" s="68" t="s">
        <v>16636</v>
      </c>
      <c r="H4076" s="71"/>
      <c r="I4076" s="71"/>
      <c r="J4076" s="87" t="s">
        <v>16637</v>
      </c>
      <c r="K4076" s="76">
        <v>42943.0</v>
      </c>
      <c r="L4076" s="68" t="s">
        <v>14256</v>
      </c>
      <c r="M4076" s="68" t="s">
        <v>941</v>
      </c>
      <c r="N4076" s="77"/>
      <c r="O4076" s="51"/>
    </row>
    <row r="4077">
      <c r="A4077" s="56">
        <v>4074.0</v>
      </c>
      <c r="B4077" s="66"/>
      <c r="C4077" s="64" t="s">
        <v>16638</v>
      </c>
      <c r="D4077" s="66"/>
      <c r="E4077" s="63" t="s">
        <v>16639</v>
      </c>
      <c r="F4077" s="70">
        <v>42405.0</v>
      </c>
      <c r="G4077" s="63" t="s">
        <v>16640</v>
      </c>
      <c r="H4077" s="80" t="s">
        <v>13620</v>
      </c>
      <c r="I4077" s="66"/>
      <c r="J4077" s="63" t="s">
        <v>3575</v>
      </c>
      <c r="K4077" s="70">
        <v>42943.0</v>
      </c>
      <c r="L4077" s="63" t="s">
        <v>14256</v>
      </c>
      <c r="M4077" s="63" t="s">
        <v>2152</v>
      </c>
      <c r="N4077" s="61"/>
      <c r="O4077" s="51"/>
    </row>
    <row r="4078">
      <c r="A4078" s="56">
        <v>4075.0</v>
      </c>
      <c r="B4078" s="71"/>
      <c r="C4078" s="69" t="s">
        <v>16641</v>
      </c>
      <c r="D4078" s="71"/>
      <c r="E4078" s="68" t="s">
        <v>16642</v>
      </c>
      <c r="F4078" s="76">
        <v>42315.0</v>
      </c>
      <c r="G4078" s="68" t="s">
        <v>16643</v>
      </c>
      <c r="H4078" s="71"/>
      <c r="I4078" s="71"/>
      <c r="J4078" s="68" t="s">
        <v>16644</v>
      </c>
      <c r="K4078" s="76">
        <v>42943.0</v>
      </c>
      <c r="L4078" s="68" t="s">
        <v>14256</v>
      </c>
      <c r="M4078" s="68" t="s">
        <v>156</v>
      </c>
      <c r="N4078" s="77"/>
      <c r="O4078" s="51"/>
    </row>
    <row r="4079">
      <c r="A4079" s="56">
        <v>4076.0</v>
      </c>
      <c r="B4079" s="71"/>
      <c r="C4079" s="69" t="s">
        <v>16645</v>
      </c>
      <c r="D4079" s="71"/>
      <c r="E4079" s="68" t="s">
        <v>16646</v>
      </c>
      <c r="F4079" s="83">
        <v>42331.0</v>
      </c>
      <c r="G4079" s="68" t="s">
        <v>16647</v>
      </c>
      <c r="H4079" s="71"/>
      <c r="I4079" s="71"/>
      <c r="J4079" s="68" t="s">
        <v>16648</v>
      </c>
      <c r="K4079" s="76">
        <v>42943.0</v>
      </c>
      <c r="L4079" s="68" t="s">
        <v>14256</v>
      </c>
      <c r="M4079" s="68" t="s">
        <v>2097</v>
      </c>
      <c r="N4079" s="61"/>
      <c r="O4079" s="51"/>
    </row>
    <row r="4080">
      <c r="A4080" s="75">
        <v>4077.0</v>
      </c>
      <c r="B4080" s="71"/>
      <c r="C4080" s="69" t="s">
        <v>16649</v>
      </c>
      <c r="D4080" s="71"/>
      <c r="E4080" s="68" t="s">
        <v>16650</v>
      </c>
      <c r="F4080" s="76">
        <v>42053.0</v>
      </c>
      <c r="G4080" s="68" t="s">
        <v>16651</v>
      </c>
      <c r="H4080" s="71"/>
      <c r="I4080" s="71"/>
      <c r="J4080" s="100" t="s">
        <v>16652</v>
      </c>
      <c r="K4080" s="225">
        <v>42943.0</v>
      </c>
      <c r="L4080" s="68" t="s">
        <v>14256</v>
      </c>
      <c r="M4080" s="68" t="s">
        <v>2097</v>
      </c>
      <c r="N4080" s="77"/>
      <c r="O4080" s="130"/>
    </row>
    <row r="4081">
      <c r="A4081" s="56">
        <v>4078.0</v>
      </c>
      <c r="B4081" s="71"/>
      <c r="C4081" s="69" t="s">
        <v>16653</v>
      </c>
      <c r="D4081" s="71"/>
      <c r="E4081" s="68" t="s">
        <v>16654</v>
      </c>
      <c r="F4081" s="76">
        <v>42188.0</v>
      </c>
      <c r="G4081" s="68" t="s">
        <v>16655</v>
      </c>
      <c r="H4081" s="71"/>
      <c r="I4081" s="71"/>
      <c r="J4081" s="68" t="s">
        <v>16656</v>
      </c>
      <c r="K4081" s="76">
        <v>42943.0</v>
      </c>
      <c r="L4081" s="68" t="s">
        <v>14256</v>
      </c>
      <c r="M4081" s="71"/>
      <c r="N4081" s="61"/>
      <c r="O4081" s="51"/>
    </row>
    <row r="4082">
      <c r="A4082" s="56">
        <v>4079.0</v>
      </c>
      <c r="B4082" s="66"/>
      <c r="C4082" s="64" t="s">
        <v>16657</v>
      </c>
      <c r="D4082" s="66"/>
      <c r="E4082" s="63" t="s">
        <v>16658</v>
      </c>
      <c r="F4082" s="70">
        <v>42632.0</v>
      </c>
      <c r="G4082" s="63" t="s">
        <v>16659</v>
      </c>
      <c r="H4082" s="66"/>
      <c r="I4082" s="66"/>
      <c r="J4082" s="63" t="s">
        <v>2872</v>
      </c>
      <c r="K4082" s="70">
        <v>42943.0</v>
      </c>
      <c r="L4082" s="63" t="s">
        <v>14256</v>
      </c>
      <c r="M4082" s="63" t="s">
        <v>125</v>
      </c>
      <c r="N4082" s="61"/>
      <c r="O4082" s="51"/>
    </row>
    <row r="4083">
      <c r="A4083" s="56">
        <v>4080.0</v>
      </c>
      <c r="B4083" s="71"/>
      <c r="C4083" s="69" t="s">
        <v>16660</v>
      </c>
      <c r="D4083" s="71"/>
      <c r="E4083" s="68" t="s">
        <v>16661</v>
      </c>
      <c r="F4083" s="83">
        <v>42703.0</v>
      </c>
      <c r="G4083" s="68" t="s">
        <v>16662</v>
      </c>
      <c r="H4083" s="71"/>
      <c r="I4083" s="71"/>
      <c r="J4083" s="68" t="s">
        <v>16663</v>
      </c>
      <c r="K4083" s="76">
        <v>42943.0</v>
      </c>
      <c r="L4083" s="68" t="s">
        <v>14256</v>
      </c>
      <c r="M4083" s="68" t="s">
        <v>125</v>
      </c>
      <c r="N4083" s="61"/>
      <c r="O4083" s="51"/>
    </row>
    <row r="4084">
      <c r="A4084" s="56">
        <v>4081.0</v>
      </c>
      <c r="B4084" s="71"/>
      <c r="C4084" s="69" t="s">
        <v>16664</v>
      </c>
      <c r="D4084" s="71"/>
      <c r="E4084" s="68" t="s">
        <v>16665</v>
      </c>
      <c r="F4084" s="76">
        <v>42480.0</v>
      </c>
      <c r="G4084" s="68" t="s">
        <v>16666</v>
      </c>
      <c r="H4084" s="71"/>
      <c r="I4084" s="71"/>
      <c r="J4084" s="68" t="s">
        <v>16667</v>
      </c>
      <c r="K4084" s="76">
        <v>42943.0</v>
      </c>
      <c r="L4084" s="68" t="s">
        <v>14256</v>
      </c>
      <c r="M4084" s="68" t="s">
        <v>27</v>
      </c>
      <c r="N4084" s="61"/>
      <c r="O4084" s="51"/>
    </row>
    <row r="4085">
      <c r="A4085" s="56">
        <v>4082.0</v>
      </c>
      <c r="B4085" s="71"/>
      <c r="C4085" s="69" t="s">
        <v>16668</v>
      </c>
      <c r="D4085" s="71"/>
      <c r="E4085" s="68" t="s">
        <v>16669</v>
      </c>
      <c r="F4085" s="76">
        <v>41499.0</v>
      </c>
      <c r="G4085" s="68" t="s">
        <v>16670</v>
      </c>
      <c r="H4085" s="71"/>
      <c r="I4085" s="71"/>
      <c r="J4085" s="68" t="s">
        <v>16671</v>
      </c>
      <c r="K4085" s="76">
        <v>42943.0</v>
      </c>
      <c r="L4085" s="68" t="s">
        <v>14256</v>
      </c>
      <c r="M4085" s="68" t="s">
        <v>27</v>
      </c>
      <c r="N4085" s="77"/>
      <c r="O4085" s="51"/>
    </row>
    <row r="4086">
      <c r="A4086" s="56">
        <v>4083.0</v>
      </c>
      <c r="B4086" s="71"/>
      <c r="C4086" s="69" t="s">
        <v>16672</v>
      </c>
      <c r="D4086" s="71"/>
      <c r="E4086" s="68" t="s">
        <v>16673</v>
      </c>
      <c r="F4086" s="83">
        <v>42323.0</v>
      </c>
      <c r="G4086" s="68" t="s">
        <v>16674</v>
      </c>
      <c r="H4086" s="71"/>
      <c r="I4086" s="71"/>
      <c r="J4086" s="68" t="s">
        <v>148</v>
      </c>
      <c r="K4086" s="76">
        <v>42943.0</v>
      </c>
      <c r="L4086" s="68" t="s">
        <v>14256</v>
      </c>
      <c r="M4086" s="68" t="s">
        <v>166</v>
      </c>
      <c r="N4086" s="61"/>
      <c r="O4086" s="51"/>
    </row>
    <row r="4087">
      <c r="A4087" s="56">
        <v>4084.0</v>
      </c>
      <c r="B4087" s="71"/>
      <c r="C4087" s="69" t="s">
        <v>16675</v>
      </c>
      <c r="D4087" s="71"/>
      <c r="E4087" s="68" t="s">
        <v>7822</v>
      </c>
      <c r="F4087" s="83">
        <v>42325.0</v>
      </c>
      <c r="G4087" s="68" t="s">
        <v>16676</v>
      </c>
      <c r="H4087" s="71"/>
      <c r="I4087" s="71"/>
      <c r="J4087" s="68" t="s">
        <v>16677</v>
      </c>
      <c r="K4087" s="76">
        <v>42943.0</v>
      </c>
      <c r="L4087" s="68" t="s">
        <v>14256</v>
      </c>
      <c r="M4087" s="68" t="s">
        <v>166</v>
      </c>
      <c r="N4087" s="61"/>
      <c r="O4087" s="51"/>
    </row>
    <row r="4088">
      <c r="A4088" s="56">
        <v>4085.0</v>
      </c>
      <c r="B4088" s="71"/>
      <c r="C4088" s="69" t="s">
        <v>16678</v>
      </c>
      <c r="D4088" s="71"/>
      <c r="E4088" s="68" t="s">
        <v>16679</v>
      </c>
      <c r="F4088" s="76">
        <v>42370.0</v>
      </c>
      <c r="G4088" s="68" t="s">
        <v>16680</v>
      </c>
      <c r="H4088" s="71"/>
      <c r="I4088" s="71"/>
      <c r="J4088" s="68" t="s">
        <v>16681</v>
      </c>
      <c r="K4088" s="76">
        <v>42943.0</v>
      </c>
      <c r="L4088" s="68" t="s">
        <v>14256</v>
      </c>
      <c r="M4088" s="68" t="s">
        <v>195</v>
      </c>
      <c r="N4088" s="77"/>
      <c r="O4088" s="51"/>
    </row>
    <row r="4089">
      <c r="A4089" s="56">
        <v>4086.0</v>
      </c>
      <c r="B4089" s="71"/>
      <c r="C4089" s="69" t="s">
        <v>16682</v>
      </c>
      <c r="D4089" s="71"/>
      <c r="E4089" s="68" t="s">
        <v>16683</v>
      </c>
      <c r="F4089" s="76">
        <v>42609.0</v>
      </c>
      <c r="G4089" s="68" t="s">
        <v>16684</v>
      </c>
      <c r="H4089" s="71"/>
      <c r="I4089" s="68" t="s">
        <v>16685</v>
      </c>
      <c r="J4089" s="68" t="s">
        <v>7523</v>
      </c>
      <c r="K4089" s="76">
        <v>42943.0</v>
      </c>
      <c r="L4089" s="68" t="s">
        <v>14256</v>
      </c>
      <c r="M4089" s="68" t="s">
        <v>143</v>
      </c>
      <c r="N4089" s="61"/>
      <c r="O4089" s="51"/>
    </row>
    <row r="4090">
      <c r="A4090" s="56">
        <v>4087.0</v>
      </c>
      <c r="B4090" s="71"/>
      <c r="C4090" s="69" t="s">
        <v>16686</v>
      </c>
      <c r="D4090" s="71"/>
      <c r="E4090" s="68" t="s">
        <v>16687</v>
      </c>
      <c r="F4090" s="71"/>
      <c r="G4090" s="68" t="s">
        <v>16688</v>
      </c>
      <c r="H4090" s="71"/>
      <c r="I4090" s="71"/>
      <c r="J4090" s="87" t="s">
        <v>16689</v>
      </c>
      <c r="K4090" s="76">
        <v>42943.0</v>
      </c>
      <c r="L4090" s="68" t="s">
        <v>2743</v>
      </c>
      <c r="M4090" s="68" t="s">
        <v>166</v>
      </c>
      <c r="N4090" s="61"/>
      <c r="O4090" s="51"/>
    </row>
    <row r="4091">
      <c r="A4091" s="56">
        <v>4088.0</v>
      </c>
      <c r="B4091" s="66"/>
      <c r="C4091" s="64" t="s">
        <v>16690</v>
      </c>
      <c r="D4091" s="66"/>
      <c r="E4091" s="63" t="s">
        <v>16691</v>
      </c>
      <c r="F4091" s="63">
        <v>2015.0</v>
      </c>
      <c r="G4091" s="63" t="s">
        <v>16692</v>
      </c>
      <c r="H4091" s="63" t="s">
        <v>16693</v>
      </c>
      <c r="I4091" s="66"/>
      <c r="J4091" s="63" t="s">
        <v>6393</v>
      </c>
      <c r="K4091" s="70">
        <v>42943.0</v>
      </c>
      <c r="L4091" s="63" t="s">
        <v>2743</v>
      </c>
      <c r="M4091" s="63" t="s">
        <v>542</v>
      </c>
      <c r="N4091" s="61"/>
      <c r="O4091" s="51"/>
    </row>
    <row r="4092">
      <c r="A4092" s="56">
        <v>4089.0</v>
      </c>
      <c r="B4092" s="66"/>
      <c r="C4092" s="64" t="s">
        <v>16694</v>
      </c>
      <c r="D4092" s="66"/>
      <c r="E4092" s="63" t="s">
        <v>16695</v>
      </c>
      <c r="F4092" s="70">
        <v>42570.0</v>
      </c>
      <c r="G4092" s="63" t="s">
        <v>16696</v>
      </c>
      <c r="H4092" s="66"/>
      <c r="I4092" s="66"/>
      <c r="J4092" s="66"/>
      <c r="K4092" s="70">
        <v>42944.0</v>
      </c>
      <c r="L4092" s="63" t="s">
        <v>14256</v>
      </c>
      <c r="M4092" s="63" t="s">
        <v>166</v>
      </c>
      <c r="N4092" s="61"/>
      <c r="O4092" s="51"/>
    </row>
    <row r="4093">
      <c r="A4093" s="56">
        <v>4090.0</v>
      </c>
      <c r="B4093" s="66"/>
      <c r="C4093" s="64" t="s">
        <v>16697</v>
      </c>
      <c r="D4093" s="66"/>
      <c r="E4093" s="63" t="s">
        <v>16698</v>
      </c>
      <c r="F4093" s="65">
        <v>40510.0</v>
      </c>
      <c r="G4093" s="63" t="s">
        <v>16699</v>
      </c>
      <c r="H4093" s="66"/>
      <c r="I4093" s="66"/>
      <c r="J4093" s="63" t="s">
        <v>9979</v>
      </c>
      <c r="K4093" s="70">
        <v>42945.0</v>
      </c>
      <c r="L4093" s="63" t="s">
        <v>2743</v>
      </c>
      <c r="M4093" s="63" t="s">
        <v>166</v>
      </c>
      <c r="N4093" s="61"/>
      <c r="O4093" s="51"/>
    </row>
    <row r="4094">
      <c r="A4094" s="56">
        <v>4091.0</v>
      </c>
      <c r="B4094" s="71"/>
      <c r="C4094" s="69" t="s">
        <v>16700</v>
      </c>
      <c r="D4094" s="71"/>
      <c r="E4094" s="68" t="s">
        <v>16701</v>
      </c>
      <c r="F4094" s="76">
        <v>42607.0</v>
      </c>
      <c r="G4094" s="68" t="s">
        <v>16702</v>
      </c>
      <c r="H4094" s="71"/>
      <c r="I4094" s="71"/>
      <c r="J4094" s="68" t="s">
        <v>16703</v>
      </c>
      <c r="K4094" s="76">
        <v>42945.0</v>
      </c>
      <c r="L4094" s="68" t="s">
        <v>2743</v>
      </c>
      <c r="M4094" s="68" t="s">
        <v>2466</v>
      </c>
      <c r="N4094" s="77"/>
      <c r="O4094" s="51"/>
    </row>
    <row r="4095">
      <c r="A4095" s="56">
        <v>4092.0</v>
      </c>
      <c r="B4095" s="66"/>
      <c r="C4095" s="64" t="s">
        <v>16704</v>
      </c>
      <c r="D4095" s="66"/>
      <c r="E4095" s="63" t="s">
        <v>16705</v>
      </c>
      <c r="F4095" s="182">
        <v>40909.0</v>
      </c>
      <c r="G4095" s="63" t="s">
        <v>16706</v>
      </c>
      <c r="H4095" s="66"/>
      <c r="I4095" s="66"/>
      <c r="J4095" s="63" t="s">
        <v>6262</v>
      </c>
      <c r="K4095" s="70">
        <v>42947.0</v>
      </c>
      <c r="L4095" s="63" t="s">
        <v>2743</v>
      </c>
      <c r="M4095" s="63" t="s">
        <v>368</v>
      </c>
      <c r="N4095" s="61"/>
      <c r="O4095" s="51"/>
    </row>
    <row r="4096">
      <c r="A4096" s="56">
        <v>4093.0</v>
      </c>
      <c r="B4096" s="66"/>
      <c r="C4096" s="64" t="s">
        <v>16707</v>
      </c>
      <c r="D4096" s="66"/>
      <c r="E4096" s="63" t="s">
        <v>16708</v>
      </c>
      <c r="F4096" s="70">
        <v>39920.0</v>
      </c>
      <c r="G4096" s="63" t="s">
        <v>16709</v>
      </c>
      <c r="H4096" s="66"/>
      <c r="I4096" s="66"/>
      <c r="J4096" s="63" t="s">
        <v>2872</v>
      </c>
      <c r="K4096" s="70">
        <v>42948.0</v>
      </c>
      <c r="L4096" s="63" t="s">
        <v>2743</v>
      </c>
      <c r="M4096" s="63" t="s">
        <v>125</v>
      </c>
      <c r="N4096" s="61"/>
      <c r="O4096" s="51"/>
    </row>
    <row r="4097">
      <c r="A4097" s="56">
        <v>4094.0</v>
      </c>
      <c r="B4097" s="66"/>
      <c r="C4097" s="64" t="s">
        <v>16710</v>
      </c>
      <c r="D4097" s="66"/>
      <c r="E4097" s="63" t="s">
        <v>16711</v>
      </c>
      <c r="F4097" s="70">
        <v>39969.0</v>
      </c>
      <c r="G4097" s="63" t="s">
        <v>16712</v>
      </c>
      <c r="H4097" s="66"/>
      <c r="I4097" s="66"/>
      <c r="J4097" s="63" t="s">
        <v>9979</v>
      </c>
      <c r="K4097" s="70">
        <v>42948.0</v>
      </c>
      <c r="L4097" s="63" t="s">
        <v>2743</v>
      </c>
      <c r="M4097" s="63" t="s">
        <v>166</v>
      </c>
      <c r="N4097" s="237" t="s">
        <v>16713</v>
      </c>
      <c r="O4097" s="51"/>
    </row>
    <row r="4098">
      <c r="A4098" s="56">
        <v>4095.0</v>
      </c>
      <c r="B4098" s="66"/>
      <c r="C4098" s="64" t="s">
        <v>16714</v>
      </c>
      <c r="D4098" s="66"/>
      <c r="E4098" s="63" t="s">
        <v>16715</v>
      </c>
      <c r="F4098" s="70">
        <v>39969.0</v>
      </c>
      <c r="G4098" s="63" t="s">
        <v>16712</v>
      </c>
      <c r="H4098" s="66"/>
      <c r="I4098" s="66"/>
      <c r="J4098" s="63" t="s">
        <v>9979</v>
      </c>
      <c r="K4098" s="70">
        <v>42948.0</v>
      </c>
      <c r="L4098" s="63" t="s">
        <v>2743</v>
      </c>
      <c r="M4098" s="63" t="s">
        <v>166</v>
      </c>
      <c r="N4098" s="61"/>
      <c r="O4098" s="51"/>
    </row>
    <row r="4099">
      <c r="A4099" s="56">
        <v>4096.0</v>
      </c>
      <c r="B4099" s="66"/>
      <c r="C4099" s="64" t="s">
        <v>16716</v>
      </c>
      <c r="D4099" s="66"/>
      <c r="E4099" s="63" t="s">
        <v>16717</v>
      </c>
      <c r="F4099" s="70">
        <v>42766.0</v>
      </c>
      <c r="G4099" s="63" t="s">
        <v>16718</v>
      </c>
      <c r="H4099" s="63" t="s">
        <v>16719</v>
      </c>
      <c r="I4099" s="66"/>
      <c r="J4099" s="63" t="s">
        <v>2526</v>
      </c>
      <c r="K4099" s="70">
        <v>42949.0</v>
      </c>
      <c r="L4099" s="63" t="s">
        <v>2743</v>
      </c>
      <c r="M4099" s="63" t="s">
        <v>2527</v>
      </c>
      <c r="N4099" s="61"/>
      <c r="O4099" s="51"/>
    </row>
    <row r="4100">
      <c r="A4100" s="56">
        <v>4097.0</v>
      </c>
      <c r="B4100" s="71"/>
      <c r="C4100" s="69" t="s">
        <v>16720</v>
      </c>
      <c r="D4100" s="71"/>
      <c r="E4100" s="68" t="s">
        <v>16721</v>
      </c>
      <c r="F4100" s="76">
        <v>42806.0</v>
      </c>
      <c r="G4100" s="68" t="s">
        <v>16722</v>
      </c>
      <c r="H4100" s="71"/>
      <c r="I4100" s="71"/>
      <c r="J4100" s="68" t="s">
        <v>16723</v>
      </c>
      <c r="K4100" s="76">
        <v>42949.0</v>
      </c>
      <c r="L4100" s="68" t="s">
        <v>2743</v>
      </c>
      <c r="M4100" s="68" t="s">
        <v>282</v>
      </c>
      <c r="N4100" s="61"/>
      <c r="O4100" s="51"/>
    </row>
    <row r="4101">
      <c r="A4101" s="56">
        <v>4098.0</v>
      </c>
      <c r="B4101" s="71"/>
      <c r="C4101" s="69" t="s">
        <v>16724</v>
      </c>
      <c r="D4101" s="71"/>
      <c r="E4101" s="68" t="s">
        <v>16725</v>
      </c>
      <c r="F4101" s="83">
        <v>42724.0</v>
      </c>
      <c r="G4101" s="68" t="s">
        <v>16726</v>
      </c>
      <c r="H4101" s="71"/>
      <c r="I4101" s="71"/>
      <c r="J4101" s="68" t="s">
        <v>14302</v>
      </c>
      <c r="K4101" s="76">
        <v>42951.0</v>
      </c>
      <c r="L4101" s="68" t="s">
        <v>2743</v>
      </c>
      <c r="M4101" s="68" t="s">
        <v>1664</v>
      </c>
      <c r="N4101" s="61"/>
      <c r="O4101" s="51"/>
    </row>
    <row r="4102">
      <c r="A4102" s="56">
        <v>4099.0</v>
      </c>
      <c r="B4102" s="71"/>
      <c r="C4102" s="69" t="s">
        <v>16727</v>
      </c>
      <c r="D4102" s="71"/>
      <c r="E4102" s="68" t="s">
        <v>16728</v>
      </c>
      <c r="F4102" s="76">
        <v>38894.0</v>
      </c>
      <c r="G4102" s="68" t="s">
        <v>16729</v>
      </c>
      <c r="H4102" s="71"/>
      <c r="I4102" s="71"/>
      <c r="J4102" s="68" t="s">
        <v>16730</v>
      </c>
      <c r="K4102" s="76">
        <v>42951.0</v>
      </c>
      <c r="L4102" s="68" t="s">
        <v>14256</v>
      </c>
      <c r="M4102" s="68" t="s">
        <v>166</v>
      </c>
      <c r="N4102" s="61"/>
      <c r="O4102" s="51"/>
    </row>
    <row r="4103">
      <c r="A4103" s="56">
        <v>4100.0</v>
      </c>
      <c r="B4103" s="71"/>
      <c r="C4103" s="69" t="s">
        <v>16731</v>
      </c>
      <c r="D4103" s="71"/>
      <c r="E4103" s="68" t="s">
        <v>16732</v>
      </c>
      <c r="F4103" s="76">
        <v>38516.0</v>
      </c>
      <c r="G4103" s="68" t="s">
        <v>16733</v>
      </c>
      <c r="H4103" s="71"/>
      <c r="I4103" s="71"/>
      <c r="J4103" s="87" t="s">
        <v>16734</v>
      </c>
      <c r="K4103" s="76">
        <v>42951.0</v>
      </c>
      <c r="L4103" s="68" t="s">
        <v>14256</v>
      </c>
      <c r="M4103" s="68" t="s">
        <v>4273</v>
      </c>
      <c r="N4103" s="61"/>
      <c r="O4103" s="51"/>
    </row>
    <row r="4104">
      <c r="A4104" s="56">
        <v>4101.0</v>
      </c>
      <c r="B4104" s="71"/>
      <c r="C4104" s="69" t="s">
        <v>16735</v>
      </c>
      <c r="D4104" s="71"/>
      <c r="E4104" s="68" t="s">
        <v>7822</v>
      </c>
      <c r="F4104" s="76">
        <v>39347.0</v>
      </c>
      <c r="G4104" s="68" t="s">
        <v>16736</v>
      </c>
      <c r="H4104" s="71"/>
      <c r="I4104" s="71"/>
      <c r="J4104" s="68" t="s">
        <v>16737</v>
      </c>
      <c r="K4104" s="76">
        <v>42951.0</v>
      </c>
      <c r="L4104" s="68" t="s">
        <v>14256</v>
      </c>
      <c r="M4104" s="68" t="s">
        <v>166</v>
      </c>
      <c r="N4104" s="61"/>
      <c r="O4104" s="51"/>
    </row>
    <row r="4105">
      <c r="A4105" s="56">
        <v>4102.0</v>
      </c>
      <c r="B4105" s="71"/>
      <c r="C4105" s="69" t="s">
        <v>16738</v>
      </c>
      <c r="D4105" s="71"/>
      <c r="E4105" s="68" t="s">
        <v>16739</v>
      </c>
      <c r="F4105" s="76">
        <v>40419.0</v>
      </c>
      <c r="G4105" s="68" t="s">
        <v>16740</v>
      </c>
      <c r="H4105" s="71"/>
      <c r="I4105" s="71"/>
      <c r="J4105" s="68" t="s">
        <v>16741</v>
      </c>
      <c r="K4105" s="76">
        <v>42951.0</v>
      </c>
      <c r="L4105" s="68" t="s">
        <v>14256</v>
      </c>
      <c r="M4105" s="68" t="s">
        <v>27</v>
      </c>
      <c r="N4105" s="61"/>
      <c r="O4105" s="51"/>
    </row>
    <row r="4106">
      <c r="A4106" s="56">
        <v>4103.0</v>
      </c>
      <c r="B4106" s="71"/>
      <c r="C4106" s="69" t="s">
        <v>16742</v>
      </c>
      <c r="D4106" s="71"/>
      <c r="E4106" s="68" t="s">
        <v>16743</v>
      </c>
      <c r="F4106" s="76">
        <v>40454.0</v>
      </c>
      <c r="G4106" s="68" t="s">
        <v>16744</v>
      </c>
      <c r="H4106" s="71"/>
      <c r="I4106" s="71"/>
      <c r="J4106" s="68" t="s">
        <v>16741</v>
      </c>
      <c r="K4106" s="76">
        <v>42951.0</v>
      </c>
      <c r="L4106" s="68" t="s">
        <v>14256</v>
      </c>
      <c r="M4106" s="68" t="s">
        <v>27</v>
      </c>
      <c r="N4106" s="61"/>
      <c r="O4106" s="51"/>
    </row>
    <row r="4107">
      <c r="A4107" s="56">
        <v>4104.0</v>
      </c>
      <c r="B4107" s="71"/>
      <c r="C4107" s="69" t="s">
        <v>16745</v>
      </c>
      <c r="D4107" s="71"/>
      <c r="E4107" s="68" t="s">
        <v>16746</v>
      </c>
      <c r="F4107" s="76">
        <v>39308.0</v>
      </c>
      <c r="G4107" s="68" t="s">
        <v>16747</v>
      </c>
      <c r="H4107" s="71"/>
      <c r="I4107" s="71"/>
      <c r="J4107" s="68" t="s">
        <v>16748</v>
      </c>
      <c r="K4107" s="76">
        <v>42951.0</v>
      </c>
      <c r="L4107" s="68" t="s">
        <v>14256</v>
      </c>
      <c r="M4107" s="68" t="s">
        <v>27</v>
      </c>
      <c r="N4107" s="61"/>
      <c r="O4107" s="51"/>
    </row>
    <row r="4108">
      <c r="A4108" s="56">
        <v>4105.0</v>
      </c>
      <c r="B4108" s="66"/>
      <c r="C4108" s="64" t="s">
        <v>16749</v>
      </c>
      <c r="D4108" s="66"/>
      <c r="E4108" s="63" t="s">
        <v>16750</v>
      </c>
      <c r="F4108" s="70">
        <v>40552.0</v>
      </c>
      <c r="G4108" s="63" t="s">
        <v>16751</v>
      </c>
      <c r="H4108" s="66"/>
      <c r="I4108" s="66"/>
      <c r="J4108" s="63" t="s">
        <v>4801</v>
      </c>
      <c r="K4108" s="70">
        <v>42951.0</v>
      </c>
      <c r="L4108" s="63" t="s">
        <v>14256</v>
      </c>
      <c r="M4108" s="63" t="s">
        <v>149</v>
      </c>
      <c r="N4108" s="61"/>
      <c r="O4108" s="51"/>
    </row>
    <row r="4109">
      <c r="A4109" s="56">
        <v>4106.0</v>
      </c>
      <c r="B4109" s="71"/>
      <c r="C4109" s="69" t="s">
        <v>16752</v>
      </c>
      <c r="D4109" s="71"/>
      <c r="E4109" s="68" t="s">
        <v>16753</v>
      </c>
      <c r="F4109" s="76">
        <v>40763.0</v>
      </c>
      <c r="G4109" s="68" t="s">
        <v>16754</v>
      </c>
      <c r="H4109" s="71"/>
      <c r="I4109" s="71"/>
      <c r="J4109" s="68" t="s">
        <v>16755</v>
      </c>
      <c r="K4109" s="76">
        <v>42951.0</v>
      </c>
      <c r="L4109" s="68" t="s">
        <v>14256</v>
      </c>
      <c r="M4109" s="68" t="s">
        <v>166</v>
      </c>
      <c r="N4109" s="77"/>
      <c r="O4109" s="51"/>
    </row>
    <row r="4110">
      <c r="A4110" s="56">
        <v>4107.0</v>
      </c>
      <c r="B4110" s="71"/>
      <c r="C4110" s="69" t="s">
        <v>16756</v>
      </c>
      <c r="D4110" s="71"/>
      <c r="E4110" s="68" t="s">
        <v>16757</v>
      </c>
      <c r="F4110" s="76">
        <v>40703.0</v>
      </c>
      <c r="G4110" s="68" t="s">
        <v>16758</v>
      </c>
      <c r="H4110" s="71"/>
      <c r="I4110" s="71"/>
      <c r="J4110" s="68" t="s">
        <v>16759</v>
      </c>
      <c r="K4110" s="76">
        <v>42951.0</v>
      </c>
      <c r="L4110" s="68" t="s">
        <v>14256</v>
      </c>
      <c r="M4110" s="68" t="s">
        <v>27</v>
      </c>
      <c r="N4110" s="61"/>
      <c r="O4110" s="51"/>
    </row>
    <row r="4111">
      <c r="A4111" s="56">
        <v>4108.0</v>
      </c>
      <c r="B4111" s="66"/>
      <c r="C4111" s="64" t="s">
        <v>16760</v>
      </c>
      <c r="D4111" s="66"/>
      <c r="E4111" s="63" t="s">
        <v>16761</v>
      </c>
      <c r="F4111" s="70">
        <v>40780.0</v>
      </c>
      <c r="G4111" s="63" t="s">
        <v>16762</v>
      </c>
      <c r="H4111" s="66"/>
      <c r="I4111" s="66"/>
      <c r="J4111" s="63" t="s">
        <v>11049</v>
      </c>
      <c r="K4111" s="70">
        <v>42951.0</v>
      </c>
      <c r="L4111" s="63" t="s">
        <v>14256</v>
      </c>
      <c r="M4111" s="63" t="s">
        <v>27</v>
      </c>
      <c r="N4111" s="61"/>
      <c r="O4111" s="51"/>
    </row>
    <row r="4112">
      <c r="A4112" s="56">
        <v>4109.0</v>
      </c>
      <c r="B4112" s="71"/>
      <c r="C4112" s="69" t="s">
        <v>16763</v>
      </c>
      <c r="D4112" s="71"/>
      <c r="E4112" s="68" t="s">
        <v>16764</v>
      </c>
      <c r="F4112" s="83">
        <v>40904.0</v>
      </c>
      <c r="G4112" s="68" t="s">
        <v>16765</v>
      </c>
      <c r="H4112" s="71"/>
      <c r="I4112" s="71"/>
      <c r="J4112" s="68" t="s">
        <v>16766</v>
      </c>
      <c r="K4112" s="76">
        <v>42951.0</v>
      </c>
      <c r="L4112" s="68" t="s">
        <v>14256</v>
      </c>
      <c r="M4112" s="68" t="s">
        <v>27</v>
      </c>
      <c r="N4112" s="61"/>
      <c r="O4112" s="51"/>
    </row>
    <row r="4113">
      <c r="A4113" s="56">
        <v>4110.0</v>
      </c>
      <c r="B4113" s="71"/>
      <c r="C4113" s="69" t="s">
        <v>16767</v>
      </c>
      <c r="D4113" s="71"/>
      <c r="E4113" s="68" t="s">
        <v>16768</v>
      </c>
      <c r="F4113" s="83">
        <v>40833.0</v>
      </c>
      <c r="G4113" s="68" t="s">
        <v>16769</v>
      </c>
      <c r="H4113" s="71"/>
      <c r="I4113" s="71"/>
      <c r="J4113" s="68" t="s">
        <v>16770</v>
      </c>
      <c r="K4113" s="76">
        <v>42951.0</v>
      </c>
      <c r="L4113" s="68" t="s">
        <v>14256</v>
      </c>
      <c r="M4113" s="68" t="s">
        <v>12947</v>
      </c>
      <c r="N4113" s="61"/>
      <c r="O4113" s="51"/>
    </row>
    <row r="4114">
      <c r="A4114" s="56">
        <v>4111.0</v>
      </c>
      <c r="B4114" s="71"/>
      <c r="C4114" s="69" t="s">
        <v>16771</v>
      </c>
      <c r="D4114" s="71"/>
      <c r="E4114" s="68" t="s">
        <v>16772</v>
      </c>
      <c r="F4114" s="76">
        <v>40244.0</v>
      </c>
      <c r="G4114" s="68" t="s">
        <v>16773</v>
      </c>
      <c r="H4114" s="71"/>
      <c r="I4114" s="71"/>
      <c r="J4114" s="68" t="s">
        <v>16774</v>
      </c>
      <c r="K4114" s="76">
        <v>42951.0</v>
      </c>
      <c r="L4114" s="68" t="s">
        <v>14256</v>
      </c>
      <c r="M4114" s="68" t="s">
        <v>27</v>
      </c>
      <c r="N4114" s="77"/>
      <c r="O4114" s="51"/>
    </row>
    <row r="4115">
      <c r="A4115" s="56">
        <v>4112.0</v>
      </c>
      <c r="B4115" s="71"/>
      <c r="C4115" s="69" t="s">
        <v>16775</v>
      </c>
      <c r="D4115" s="71"/>
      <c r="E4115" s="68" t="s">
        <v>16776</v>
      </c>
      <c r="F4115" s="76">
        <v>42226.0</v>
      </c>
      <c r="G4115" s="68" t="s">
        <v>16777</v>
      </c>
      <c r="H4115" s="71"/>
      <c r="I4115" s="71"/>
      <c r="J4115" s="68" t="s">
        <v>16778</v>
      </c>
      <c r="K4115" s="76">
        <v>42951.0</v>
      </c>
      <c r="L4115" s="68" t="s">
        <v>14256</v>
      </c>
      <c r="M4115" s="68" t="s">
        <v>166</v>
      </c>
      <c r="N4115" s="61"/>
      <c r="O4115" s="51"/>
    </row>
    <row r="4116">
      <c r="A4116" s="56">
        <v>4113.0</v>
      </c>
      <c r="B4116" s="71"/>
      <c r="C4116" s="69" t="s">
        <v>16779</v>
      </c>
      <c r="D4116" s="71"/>
      <c r="E4116" s="68" t="s">
        <v>16780</v>
      </c>
      <c r="F4116" s="76">
        <v>42240.0</v>
      </c>
      <c r="G4116" s="68" t="s">
        <v>16781</v>
      </c>
      <c r="H4116" s="71"/>
      <c r="I4116" s="71"/>
      <c r="J4116" s="68" t="s">
        <v>16782</v>
      </c>
      <c r="K4116" s="76">
        <v>42951.0</v>
      </c>
      <c r="L4116" s="68" t="s">
        <v>14256</v>
      </c>
      <c r="M4116" s="68" t="s">
        <v>166</v>
      </c>
      <c r="N4116" s="61"/>
      <c r="O4116" s="51"/>
    </row>
    <row r="4117">
      <c r="A4117" s="56">
        <v>4114.0</v>
      </c>
      <c r="B4117" s="71"/>
      <c r="C4117" s="69" t="s">
        <v>16783</v>
      </c>
      <c r="D4117" s="71"/>
      <c r="E4117" s="68" t="s">
        <v>16784</v>
      </c>
      <c r="F4117" s="76">
        <v>42243.0</v>
      </c>
      <c r="G4117" s="68" t="s">
        <v>16785</v>
      </c>
      <c r="H4117" s="71"/>
      <c r="I4117" s="71"/>
      <c r="J4117" s="68" t="s">
        <v>16379</v>
      </c>
      <c r="K4117" s="76">
        <v>42951.0</v>
      </c>
      <c r="L4117" s="68" t="s">
        <v>14256</v>
      </c>
      <c r="M4117" s="68" t="s">
        <v>166</v>
      </c>
      <c r="N4117" s="61"/>
      <c r="O4117" s="51"/>
    </row>
    <row r="4118">
      <c r="A4118" s="56">
        <v>4115.0</v>
      </c>
      <c r="B4118" s="71"/>
      <c r="C4118" s="69" t="s">
        <v>16786</v>
      </c>
      <c r="D4118" s="71"/>
      <c r="E4118" s="68" t="s">
        <v>16787</v>
      </c>
      <c r="F4118" s="76">
        <v>42243.0</v>
      </c>
      <c r="G4118" s="68" t="s">
        <v>16788</v>
      </c>
      <c r="H4118" s="71"/>
      <c r="I4118" s="71"/>
      <c r="J4118" s="68" t="s">
        <v>148</v>
      </c>
      <c r="K4118" s="76">
        <v>42951.0</v>
      </c>
      <c r="L4118" s="68" t="s">
        <v>14256</v>
      </c>
      <c r="M4118" s="68" t="s">
        <v>166</v>
      </c>
      <c r="N4118" s="61"/>
      <c r="O4118" s="51"/>
    </row>
    <row r="4119">
      <c r="A4119" s="56">
        <v>4116.0</v>
      </c>
      <c r="B4119" s="71"/>
      <c r="C4119" s="69" t="s">
        <v>16789</v>
      </c>
      <c r="D4119" s="71"/>
      <c r="E4119" s="68" t="s">
        <v>16790</v>
      </c>
      <c r="F4119" s="76">
        <v>42246.0</v>
      </c>
      <c r="G4119" s="68" t="s">
        <v>16791</v>
      </c>
      <c r="H4119" s="71"/>
      <c r="I4119" s="71"/>
      <c r="J4119" s="68" t="s">
        <v>16792</v>
      </c>
      <c r="K4119" s="76">
        <v>42951.0</v>
      </c>
      <c r="L4119" s="68" t="s">
        <v>14256</v>
      </c>
      <c r="M4119" s="68" t="s">
        <v>166</v>
      </c>
      <c r="N4119" s="61"/>
      <c r="O4119" s="51"/>
    </row>
    <row r="4120">
      <c r="A4120" s="56">
        <v>4117.0</v>
      </c>
      <c r="B4120" s="71"/>
      <c r="C4120" s="69" t="s">
        <v>16793</v>
      </c>
      <c r="D4120" s="71"/>
      <c r="E4120" s="68" t="s">
        <v>16794</v>
      </c>
      <c r="F4120" s="76">
        <v>42260.0</v>
      </c>
      <c r="G4120" s="68" t="s">
        <v>16795</v>
      </c>
      <c r="H4120" s="71"/>
      <c r="I4120" s="71"/>
      <c r="J4120" s="68" t="s">
        <v>16796</v>
      </c>
      <c r="K4120" s="76">
        <v>42951.0</v>
      </c>
      <c r="L4120" s="68" t="s">
        <v>14256</v>
      </c>
      <c r="M4120" s="68" t="s">
        <v>166</v>
      </c>
      <c r="N4120" s="61"/>
      <c r="O4120" s="51"/>
    </row>
    <row r="4121">
      <c r="A4121" s="56">
        <v>4118.0</v>
      </c>
      <c r="B4121" s="71"/>
      <c r="C4121" s="69" t="s">
        <v>16797</v>
      </c>
      <c r="D4121" s="71"/>
      <c r="E4121" s="68" t="s">
        <v>16798</v>
      </c>
      <c r="F4121" s="76">
        <v>41356.0</v>
      </c>
      <c r="G4121" s="68" t="s">
        <v>16799</v>
      </c>
      <c r="H4121" s="71"/>
      <c r="I4121" s="71"/>
      <c r="J4121" s="68" t="s">
        <v>16800</v>
      </c>
      <c r="K4121" s="76">
        <v>42951.0</v>
      </c>
      <c r="L4121" s="68" t="s">
        <v>14256</v>
      </c>
      <c r="M4121" s="68" t="s">
        <v>14456</v>
      </c>
      <c r="N4121" s="61"/>
      <c r="O4121" s="51"/>
    </row>
    <row r="4122">
      <c r="A4122" s="56">
        <v>4119.0</v>
      </c>
      <c r="B4122" s="60"/>
      <c r="C4122" s="58" t="s">
        <v>16801</v>
      </c>
      <c r="D4122" s="60"/>
      <c r="E4122" s="57" t="s">
        <v>16802</v>
      </c>
      <c r="F4122" s="59">
        <v>41458.0</v>
      </c>
      <c r="G4122" s="57" t="s">
        <v>16803</v>
      </c>
      <c r="H4122" s="60"/>
      <c r="I4122" s="60"/>
      <c r="J4122" s="57" t="s">
        <v>16804</v>
      </c>
      <c r="K4122" s="233">
        <v>42951.0</v>
      </c>
      <c r="L4122" s="57" t="s">
        <v>14256</v>
      </c>
      <c r="M4122" s="57" t="s">
        <v>1393</v>
      </c>
      <c r="N4122" s="112"/>
      <c r="O4122" s="51"/>
    </row>
    <row r="4123">
      <c r="A4123" s="56">
        <v>4120.0</v>
      </c>
      <c r="B4123" s="66"/>
      <c r="C4123" s="64" t="s">
        <v>16805</v>
      </c>
      <c r="D4123" s="66"/>
      <c r="E4123" s="63" t="s">
        <v>16806</v>
      </c>
      <c r="F4123" s="70">
        <v>40001.0</v>
      </c>
      <c r="G4123" s="63" t="s">
        <v>16807</v>
      </c>
      <c r="H4123" s="63" t="s">
        <v>16808</v>
      </c>
      <c r="I4123" s="66"/>
      <c r="J4123" s="63" t="s">
        <v>1872</v>
      </c>
      <c r="K4123" s="70">
        <v>42951.0</v>
      </c>
      <c r="L4123" s="63" t="s">
        <v>14256</v>
      </c>
      <c r="M4123" s="63" t="s">
        <v>530</v>
      </c>
      <c r="N4123" s="63" t="s">
        <v>16809</v>
      </c>
      <c r="O4123" s="51"/>
    </row>
    <row r="4124">
      <c r="A4124" s="56">
        <v>4121.0</v>
      </c>
      <c r="B4124" s="71"/>
      <c r="C4124" s="69" t="s">
        <v>16810</v>
      </c>
      <c r="D4124" s="71"/>
      <c r="E4124" s="68" t="s">
        <v>16811</v>
      </c>
      <c r="F4124" s="76">
        <v>34857.0</v>
      </c>
      <c r="G4124" s="68" t="s">
        <v>16812</v>
      </c>
      <c r="H4124" s="71"/>
      <c r="I4124" s="71"/>
      <c r="J4124" s="68" t="s">
        <v>16813</v>
      </c>
      <c r="K4124" s="76">
        <v>42951.0</v>
      </c>
      <c r="L4124" s="68" t="s">
        <v>14256</v>
      </c>
      <c r="M4124" s="68" t="s">
        <v>3391</v>
      </c>
      <c r="N4124" s="77"/>
      <c r="O4124" s="51"/>
    </row>
    <row r="4125">
      <c r="A4125" s="56">
        <v>4122.0</v>
      </c>
      <c r="B4125" s="71"/>
      <c r="C4125" s="69" t="s">
        <v>16814</v>
      </c>
      <c r="D4125" s="71"/>
      <c r="E4125" s="68" t="s">
        <v>16815</v>
      </c>
      <c r="F4125" s="76">
        <v>34851.0</v>
      </c>
      <c r="G4125" s="68" t="s">
        <v>16816</v>
      </c>
      <c r="H4125" s="71"/>
      <c r="I4125" s="71"/>
      <c r="J4125" s="68" t="s">
        <v>148</v>
      </c>
      <c r="K4125" s="76">
        <v>42951.0</v>
      </c>
      <c r="L4125" s="68" t="s">
        <v>14256</v>
      </c>
      <c r="M4125" s="68" t="s">
        <v>166</v>
      </c>
      <c r="N4125" s="61"/>
      <c r="O4125" s="51"/>
    </row>
    <row r="4126">
      <c r="A4126" s="56">
        <v>4123.0</v>
      </c>
      <c r="B4126" s="71"/>
      <c r="C4126" s="69" t="s">
        <v>16817</v>
      </c>
      <c r="D4126" s="71"/>
      <c r="E4126" s="68" t="s">
        <v>16818</v>
      </c>
      <c r="F4126" s="76">
        <v>34900.0</v>
      </c>
      <c r="G4126" s="68" t="s">
        <v>16819</v>
      </c>
      <c r="H4126" s="71"/>
      <c r="I4126" s="71"/>
      <c r="J4126" s="68" t="s">
        <v>16820</v>
      </c>
      <c r="K4126" s="76">
        <v>42951.0</v>
      </c>
      <c r="L4126" s="68" t="s">
        <v>14256</v>
      </c>
      <c r="M4126" s="68" t="s">
        <v>166</v>
      </c>
      <c r="N4126" s="61"/>
      <c r="O4126" s="51"/>
    </row>
    <row r="4127">
      <c r="A4127" s="56">
        <v>4124.0</v>
      </c>
      <c r="B4127" s="71"/>
      <c r="C4127" s="69" t="s">
        <v>16821</v>
      </c>
      <c r="D4127" s="71"/>
      <c r="E4127" s="68" t="s">
        <v>16822</v>
      </c>
      <c r="F4127" s="76">
        <v>34900.0</v>
      </c>
      <c r="G4127" s="68" t="s">
        <v>16823</v>
      </c>
      <c r="H4127" s="71"/>
      <c r="I4127" s="71"/>
      <c r="J4127" s="68" t="s">
        <v>148</v>
      </c>
      <c r="K4127" s="76">
        <v>42951.0</v>
      </c>
      <c r="L4127" s="68" t="s">
        <v>14256</v>
      </c>
      <c r="M4127" s="68" t="s">
        <v>166</v>
      </c>
      <c r="N4127" s="61"/>
      <c r="O4127" s="51"/>
    </row>
    <row r="4128">
      <c r="A4128" s="56">
        <v>4125.0</v>
      </c>
      <c r="B4128" s="66"/>
      <c r="C4128" s="64" t="s">
        <v>16824</v>
      </c>
      <c r="D4128" s="66"/>
      <c r="E4128" s="63" t="s">
        <v>16825</v>
      </c>
      <c r="F4128" s="70">
        <v>33455.0</v>
      </c>
      <c r="G4128" s="63" t="s">
        <v>16826</v>
      </c>
      <c r="H4128" s="66"/>
      <c r="I4128" s="66"/>
      <c r="J4128" s="66"/>
      <c r="K4128" s="70">
        <v>42951.0</v>
      </c>
      <c r="L4128" s="63" t="s">
        <v>14256</v>
      </c>
      <c r="M4128" s="66"/>
      <c r="N4128" s="61"/>
      <c r="O4128" s="51"/>
    </row>
    <row r="4129">
      <c r="A4129" s="56">
        <v>4126.0</v>
      </c>
      <c r="B4129" s="71"/>
      <c r="C4129" s="69" t="s">
        <v>16827</v>
      </c>
      <c r="D4129" s="71"/>
      <c r="E4129" s="68" t="s">
        <v>16828</v>
      </c>
      <c r="F4129" s="83">
        <v>34262.0</v>
      </c>
      <c r="G4129" s="68" t="s">
        <v>16829</v>
      </c>
      <c r="H4129" s="71"/>
      <c r="I4129" s="71"/>
      <c r="J4129" s="68" t="s">
        <v>16830</v>
      </c>
      <c r="K4129" s="76">
        <v>42951.0</v>
      </c>
      <c r="L4129" s="68" t="s">
        <v>14256</v>
      </c>
      <c r="M4129" s="71"/>
      <c r="N4129" s="77"/>
      <c r="O4129" s="51"/>
    </row>
    <row r="4130">
      <c r="A4130" s="56">
        <v>4127.0</v>
      </c>
      <c r="B4130" s="66"/>
      <c r="C4130" s="64" t="s">
        <v>16831</v>
      </c>
      <c r="D4130" s="66"/>
      <c r="E4130" s="63" t="s">
        <v>16832</v>
      </c>
      <c r="F4130" s="65">
        <v>33585.0</v>
      </c>
      <c r="G4130" s="63" t="s">
        <v>16833</v>
      </c>
      <c r="H4130" s="66"/>
      <c r="I4130" s="66"/>
      <c r="J4130" s="66"/>
      <c r="K4130" s="70">
        <v>42951.0</v>
      </c>
      <c r="L4130" s="63" t="s">
        <v>14256</v>
      </c>
      <c r="M4130" s="66"/>
      <c r="N4130" s="61"/>
      <c r="O4130" s="51"/>
    </row>
    <row r="4131">
      <c r="A4131" s="56">
        <v>4128.0</v>
      </c>
      <c r="B4131" s="66"/>
      <c r="C4131" s="64" t="s">
        <v>16834</v>
      </c>
      <c r="D4131" s="66"/>
      <c r="E4131" s="63" t="s">
        <v>16835</v>
      </c>
      <c r="F4131" s="70">
        <v>32532.0</v>
      </c>
      <c r="G4131" s="63" t="s">
        <v>16833</v>
      </c>
      <c r="H4131" s="66"/>
      <c r="I4131" s="66"/>
      <c r="J4131" s="66"/>
      <c r="K4131" s="70">
        <v>42951.0</v>
      </c>
      <c r="L4131" s="63" t="s">
        <v>14256</v>
      </c>
      <c r="M4131" s="66"/>
      <c r="N4131" s="61"/>
      <c r="O4131" s="51"/>
    </row>
    <row r="4132">
      <c r="A4132" s="56">
        <v>4129.0</v>
      </c>
      <c r="B4132" s="66"/>
      <c r="C4132" s="64" t="s">
        <v>16836</v>
      </c>
      <c r="D4132" s="66"/>
      <c r="E4132" s="63" t="s">
        <v>16837</v>
      </c>
      <c r="F4132" s="70">
        <v>33041.0</v>
      </c>
      <c r="G4132" s="63" t="s">
        <v>16833</v>
      </c>
      <c r="H4132" s="66"/>
      <c r="I4132" s="66"/>
      <c r="J4132" s="66"/>
      <c r="K4132" s="70">
        <v>42951.0</v>
      </c>
      <c r="L4132" s="63" t="s">
        <v>14256</v>
      </c>
      <c r="M4132" s="66"/>
      <c r="N4132" s="61"/>
      <c r="O4132" s="51"/>
    </row>
    <row r="4133">
      <c r="A4133" s="56">
        <v>4130.0</v>
      </c>
      <c r="B4133" s="66"/>
      <c r="C4133" s="64" t="s">
        <v>16838</v>
      </c>
      <c r="D4133" s="66"/>
      <c r="E4133" s="63" t="s">
        <v>16839</v>
      </c>
      <c r="F4133" s="70">
        <v>31718.0</v>
      </c>
      <c r="G4133" s="63" t="s">
        <v>16833</v>
      </c>
      <c r="H4133" s="66"/>
      <c r="I4133" s="66"/>
      <c r="J4133" s="66"/>
      <c r="K4133" s="70">
        <v>42951.0</v>
      </c>
      <c r="L4133" s="63" t="s">
        <v>14256</v>
      </c>
      <c r="M4133" s="66"/>
      <c r="N4133" s="61"/>
      <c r="O4133" s="51"/>
    </row>
    <row r="4134">
      <c r="A4134" s="56">
        <v>4131.0</v>
      </c>
      <c r="B4134" s="66"/>
      <c r="C4134" s="64" t="s">
        <v>16840</v>
      </c>
      <c r="D4134" s="66"/>
      <c r="E4134" s="63" t="s">
        <v>16841</v>
      </c>
      <c r="F4134" s="70">
        <v>31718.0</v>
      </c>
      <c r="G4134" s="63" t="s">
        <v>16833</v>
      </c>
      <c r="H4134" s="66"/>
      <c r="I4134" s="66"/>
      <c r="J4134" s="66"/>
      <c r="K4134" s="70">
        <v>42951.0</v>
      </c>
      <c r="L4134" s="63" t="s">
        <v>14256</v>
      </c>
      <c r="M4134" s="66"/>
      <c r="N4134" s="61"/>
      <c r="O4134" s="51"/>
    </row>
    <row r="4135">
      <c r="A4135" s="56">
        <v>4132.0</v>
      </c>
      <c r="B4135" s="66"/>
      <c r="C4135" s="64" t="s">
        <v>16842</v>
      </c>
      <c r="D4135" s="66"/>
      <c r="E4135" s="63" t="s">
        <v>16843</v>
      </c>
      <c r="F4135" s="70">
        <v>31718.0</v>
      </c>
      <c r="G4135" s="63" t="s">
        <v>16833</v>
      </c>
      <c r="H4135" s="66"/>
      <c r="I4135" s="66"/>
      <c r="J4135" s="66"/>
      <c r="K4135" s="70">
        <v>42951.0</v>
      </c>
      <c r="L4135" s="63" t="s">
        <v>14256</v>
      </c>
      <c r="M4135" s="66"/>
      <c r="N4135" s="61"/>
      <c r="O4135" s="51"/>
    </row>
    <row r="4136">
      <c r="A4136" s="56">
        <v>4133.0</v>
      </c>
      <c r="B4136" s="66"/>
      <c r="C4136" s="64" t="s">
        <v>16844</v>
      </c>
      <c r="D4136" s="66"/>
      <c r="E4136" s="63" t="s">
        <v>16845</v>
      </c>
      <c r="F4136" s="70">
        <v>31718.0</v>
      </c>
      <c r="G4136" s="63" t="s">
        <v>16833</v>
      </c>
      <c r="H4136" s="66"/>
      <c r="I4136" s="66"/>
      <c r="J4136" s="66"/>
      <c r="K4136" s="70">
        <v>42951.0</v>
      </c>
      <c r="L4136" s="63" t="s">
        <v>14256</v>
      </c>
      <c r="M4136" s="66"/>
      <c r="N4136" s="61"/>
      <c r="O4136" s="51"/>
    </row>
    <row r="4137">
      <c r="A4137" s="56">
        <v>4134.0</v>
      </c>
      <c r="B4137" s="66"/>
      <c r="C4137" s="64" t="s">
        <v>16846</v>
      </c>
      <c r="D4137" s="66"/>
      <c r="E4137" s="63" t="s">
        <v>16847</v>
      </c>
      <c r="F4137" s="70">
        <v>33050.0</v>
      </c>
      <c r="G4137" s="63" t="s">
        <v>16833</v>
      </c>
      <c r="H4137" s="66"/>
      <c r="I4137" s="66"/>
      <c r="J4137" s="66"/>
      <c r="K4137" s="70">
        <v>42951.0</v>
      </c>
      <c r="L4137" s="63" t="s">
        <v>14256</v>
      </c>
      <c r="M4137" s="66"/>
      <c r="N4137" s="61"/>
      <c r="O4137" s="51"/>
    </row>
    <row r="4138">
      <c r="A4138" s="56">
        <v>4135.0</v>
      </c>
      <c r="B4138" s="66"/>
      <c r="C4138" s="64" t="s">
        <v>16848</v>
      </c>
      <c r="D4138" s="66"/>
      <c r="E4138" s="63" t="s">
        <v>16849</v>
      </c>
      <c r="F4138" s="65">
        <v>33203.0</v>
      </c>
      <c r="G4138" s="63" t="s">
        <v>16833</v>
      </c>
      <c r="H4138" s="66"/>
      <c r="I4138" s="66"/>
      <c r="J4138" s="66"/>
      <c r="K4138" s="70">
        <v>42951.0</v>
      </c>
      <c r="L4138" s="63" t="s">
        <v>14256</v>
      </c>
      <c r="M4138" s="66"/>
      <c r="N4138" s="61"/>
      <c r="O4138" s="51"/>
    </row>
    <row r="4139">
      <c r="A4139" s="56">
        <v>4136.0</v>
      </c>
      <c r="B4139" s="66"/>
      <c r="C4139" s="64" t="s">
        <v>16850</v>
      </c>
      <c r="D4139" s="66"/>
      <c r="E4139" s="63" t="s">
        <v>16851</v>
      </c>
      <c r="F4139" s="70">
        <v>31718.0</v>
      </c>
      <c r="G4139" s="63" t="s">
        <v>16833</v>
      </c>
      <c r="H4139" s="66"/>
      <c r="I4139" s="66"/>
      <c r="J4139" s="66"/>
      <c r="K4139" s="70">
        <v>42951.0</v>
      </c>
      <c r="L4139" s="63" t="s">
        <v>14256</v>
      </c>
      <c r="M4139" s="66"/>
      <c r="N4139" s="61"/>
      <c r="O4139" s="51"/>
    </row>
    <row r="4140">
      <c r="A4140" s="56">
        <v>4137.0</v>
      </c>
      <c r="B4140" s="66"/>
      <c r="C4140" s="64" t="s">
        <v>16852</v>
      </c>
      <c r="D4140" s="66"/>
      <c r="E4140" s="63" t="s">
        <v>16853</v>
      </c>
      <c r="F4140" s="70">
        <v>31718.0</v>
      </c>
      <c r="G4140" s="63" t="s">
        <v>16833</v>
      </c>
      <c r="H4140" s="66"/>
      <c r="I4140" s="66"/>
      <c r="J4140" s="66"/>
      <c r="K4140" s="70">
        <v>42951.0</v>
      </c>
      <c r="L4140" s="63" t="s">
        <v>14256</v>
      </c>
      <c r="M4140" s="66"/>
      <c r="N4140" s="61"/>
      <c r="O4140" s="51"/>
    </row>
    <row r="4141">
      <c r="A4141" s="56">
        <v>4138.0</v>
      </c>
      <c r="B4141" s="66"/>
      <c r="C4141" s="64" t="s">
        <v>16854</v>
      </c>
      <c r="D4141" s="66"/>
      <c r="E4141" s="63" t="s">
        <v>16855</v>
      </c>
      <c r="F4141" s="70">
        <v>31718.0</v>
      </c>
      <c r="G4141" s="63" t="s">
        <v>16833</v>
      </c>
      <c r="H4141" s="66"/>
      <c r="I4141" s="66"/>
      <c r="J4141" s="66"/>
      <c r="K4141" s="70">
        <v>42951.0</v>
      </c>
      <c r="L4141" s="63" t="s">
        <v>14256</v>
      </c>
      <c r="M4141" s="66"/>
      <c r="N4141" s="61"/>
      <c r="O4141" s="51"/>
    </row>
    <row r="4142">
      <c r="A4142" s="56">
        <v>4139.0</v>
      </c>
      <c r="B4142" s="66"/>
      <c r="C4142" s="64" t="s">
        <v>16856</v>
      </c>
      <c r="D4142" s="66"/>
      <c r="E4142" s="63" t="s">
        <v>16857</v>
      </c>
      <c r="F4142" s="70">
        <v>33017.0</v>
      </c>
      <c r="G4142" s="63" t="s">
        <v>16833</v>
      </c>
      <c r="H4142" s="66"/>
      <c r="I4142" s="66"/>
      <c r="J4142" s="66"/>
      <c r="K4142" s="70">
        <v>42951.0</v>
      </c>
      <c r="L4142" s="63" t="s">
        <v>14256</v>
      </c>
      <c r="M4142" s="66"/>
      <c r="N4142" s="61"/>
      <c r="O4142" s="51"/>
    </row>
    <row r="4143">
      <c r="A4143" s="56">
        <v>4140.0</v>
      </c>
      <c r="B4143" s="66"/>
      <c r="C4143" s="64" t="s">
        <v>16858</v>
      </c>
      <c r="D4143" s="66"/>
      <c r="E4143" s="63" t="s">
        <v>16859</v>
      </c>
      <c r="F4143" s="70">
        <v>34720.0</v>
      </c>
      <c r="G4143" s="63" t="s">
        <v>16860</v>
      </c>
      <c r="H4143" s="66"/>
      <c r="I4143" s="66"/>
      <c r="J4143" s="66"/>
      <c r="K4143" s="70">
        <v>42951.0</v>
      </c>
      <c r="L4143" s="63" t="s">
        <v>14256</v>
      </c>
      <c r="M4143" s="66"/>
      <c r="N4143" s="61"/>
      <c r="O4143" s="51"/>
    </row>
    <row r="4144">
      <c r="A4144" s="56">
        <v>4141.0</v>
      </c>
      <c r="B4144" s="66"/>
      <c r="C4144" s="64" t="s">
        <v>16861</v>
      </c>
      <c r="D4144" s="66"/>
      <c r="E4144" s="63" t="s">
        <v>16862</v>
      </c>
      <c r="F4144" s="65">
        <v>31346.0</v>
      </c>
      <c r="G4144" s="66"/>
      <c r="H4144" s="66"/>
      <c r="I4144" s="66"/>
      <c r="J4144" s="66"/>
      <c r="K4144" s="70">
        <v>42951.0</v>
      </c>
      <c r="L4144" s="63" t="s">
        <v>14256</v>
      </c>
      <c r="M4144" s="66"/>
      <c r="N4144" s="61"/>
      <c r="O4144" s="51"/>
    </row>
    <row r="4145">
      <c r="A4145" s="56">
        <v>4142.0</v>
      </c>
      <c r="B4145" s="66"/>
      <c r="C4145" s="64" t="s">
        <v>16863</v>
      </c>
      <c r="D4145" s="66"/>
      <c r="E4145" s="63" t="s">
        <v>16864</v>
      </c>
      <c r="F4145" s="65">
        <v>31346.0</v>
      </c>
      <c r="G4145" s="66"/>
      <c r="H4145" s="66"/>
      <c r="I4145" s="66"/>
      <c r="J4145" s="66"/>
      <c r="K4145" s="70">
        <v>42951.0</v>
      </c>
      <c r="L4145" s="63" t="s">
        <v>14256</v>
      </c>
      <c r="M4145" s="66"/>
      <c r="N4145" s="61"/>
      <c r="O4145" s="51"/>
    </row>
    <row r="4146">
      <c r="A4146" s="56">
        <v>4143.0</v>
      </c>
      <c r="B4146" s="66"/>
      <c r="C4146" s="64" t="s">
        <v>16865</v>
      </c>
      <c r="D4146" s="66"/>
      <c r="E4146" s="63" t="s">
        <v>16866</v>
      </c>
      <c r="F4146" s="65">
        <v>31407.0</v>
      </c>
      <c r="G4146" s="66"/>
      <c r="H4146" s="66"/>
      <c r="I4146" s="66"/>
      <c r="J4146" s="66"/>
      <c r="K4146" s="70">
        <v>42951.0</v>
      </c>
      <c r="L4146" s="63" t="s">
        <v>14256</v>
      </c>
      <c r="M4146" s="66"/>
      <c r="N4146" s="61"/>
      <c r="O4146" s="51"/>
    </row>
    <row r="4147">
      <c r="A4147" s="75">
        <v>4144.0</v>
      </c>
      <c r="B4147" s="71"/>
      <c r="C4147" s="69" t="s">
        <v>16867</v>
      </c>
      <c r="D4147" s="71"/>
      <c r="E4147" s="68" t="s">
        <v>16868</v>
      </c>
      <c r="F4147" s="76">
        <v>34871.0</v>
      </c>
      <c r="G4147" s="68" t="s">
        <v>16869</v>
      </c>
      <c r="H4147" s="71"/>
      <c r="I4147" s="71"/>
      <c r="J4147" s="68" t="s">
        <v>16870</v>
      </c>
      <c r="K4147" s="76">
        <v>42951.0</v>
      </c>
      <c r="L4147" s="68" t="s">
        <v>14256</v>
      </c>
      <c r="M4147" s="71"/>
      <c r="N4147" s="77"/>
      <c r="O4147" s="51"/>
    </row>
    <row r="4148">
      <c r="A4148" s="56">
        <v>4145.0</v>
      </c>
      <c r="B4148" s="66"/>
      <c r="C4148" s="64" t="s">
        <v>16871</v>
      </c>
      <c r="D4148" s="66"/>
      <c r="E4148" s="63" t="s">
        <v>16872</v>
      </c>
      <c r="F4148" s="70">
        <v>34870.0</v>
      </c>
      <c r="G4148" s="63" t="s">
        <v>16873</v>
      </c>
      <c r="H4148" s="66"/>
      <c r="I4148" s="66"/>
      <c r="J4148" s="66"/>
      <c r="K4148" s="70">
        <v>42951.0</v>
      </c>
      <c r="L4148" s="63" t="s">
        <v>14256</v>
      </c>
      <c r="M4148" s="66"/>
      <c r="N4148" s="61"/>
      <c r="O4148" s="51"/>
    </row>
    <row r="4149">
      <c r="A4149" s="56">
        <v>4146.0</v>
      </c>
      <c r="B4149" s="66"/>
      <c r="C4149" s="64" t="s">
        <v>16874</v>
      </c>
      <c r="D4149" s="66"/>
      <c r="E4149" s="63" t="s">
        <v>16875</v>
      </c>
      <c r="F4149" s="70">
        <v>34870.0</v>
      </c>
      <c r="G4149" s="63" t="s">
        <v>16876</v>
      </c>
      <c r="H4149" s="66"/>
      <c r="I4149" s="66"/>
      <c r="J4149" s="66"/>
      <c r="K4149" s="70">
        <v>42951.0</v>
      </c>
      <c r="L4149" s="63" t="s">
        <v>14256</v>
      </c>
      <c r="M4149" s="66"/>
      <c r="N4149" s="61"/>
      <c r="O4149" s="51"/>
    </row>
    <row r="4150">
      <c r="A4150" s="56">
        <v>4147.0</v>
      </c>
      <c r="B4150" s="66"/>
      <c r="C4150" s="64" t="s">
        <v>16877</v>
      </c>
      <c r="D4150" s="66"/>
      <c r="E4150" s="63" t="s">
        <v>16878</v>
      </c>
      <c r="F4150" s="70">
        <v>34871.0</v>
      </c>
      <c r="G4150" s="63" t="s">
        <v>16869</v>
      </c>
      <c r="H4150" s="66"/>
      <c r="I4150" s="66"/>
      <c r="J4150" s="66"/>
      <c r="K4150" s="70">
        <v>42951.0</v>
      </c>
      <c r="L4150" s="63" t="s">
        <v>14256</v>
      </c>
      <c r="M4150" s="66"/>
      <c r="N4150" s="61"/>
      <c r="O4150" s="51"/>
    </row>
    <row r="4151">
      <c r="A4151" s="56">
        <v>4148.0</v>
      </c>
      <c r="B4151" s="66"/>
      <c r="C4151" s="64" t="s">
        <v>16879</v>
      </c>
      <c r="D4151" s="66"/>
      <c r="E4151" s="63" t="s">
        <v>16880</v>
      </c>
      <c r="F4151" s="70">
        <v>34871.0</v>
      </c>
      <c r="G4151" s="63" t="s">
        <v>16869</v>
      </c>
      <c r="H4151" s="66"/>
      <c r="I4151" s="66"/>
      <c r="J4151" s="66"/>
      <c r="K4151" s="70">
        <v>42951.0</v>
      </c>
      <c r="L4151" s="63" t="s">
        <v>14256</v>
      </c>
      <c r="M4151" s="66"/>
      <c r="N4151" s="61"/>
      <c r="O4151" s="51"/>
    </row>
    <row r="4152">
      <c r="A4152" s="56">
        <v>4149.0</v>
      </c>
      <c r="B4152" s="71"/>
      <c r="C4152" s="69" t="s">
        <v>16881</v>
      </c>
      <c r="D4152" s="71"/>
      <c r="E4152" s="68" t="s">
        <v>16882</v>
      </c>
      <c r="F4152" s="76">
        <v>34863.0</v>
      </c>
      <c r="G4152" s="68" t="s">
        <v>16883</v>
      </c>
      <c r="H4152" s="71"/>
      <c r="I4152" s="71"/>
      <c r="J4152" s="68" t="s">
        <v>16884</v>
      </c>
      <c r="K4152" s="76">
        <v>42951.0</v>
      </c>
      <c r="L4152" s="68" t="s">
        <v>14256</v>
      </c>
      <c r="M4152" s="71"/>
      <c r="N4152" s="77"/>
      <c r="O4152" s="51"/>
    </row>
    <row r="4153">
      <c r="A4153" s="56">
        <v>4150.0</v>
      </c>
      <c r="B4153" s="71"/>
      <c r="C4153" s="69" t="s">
        <v>16885</v>
      </c>
      <c r="D4153" s="71"/>
      <c r="E4153" s="68" t="s">
        <v>16886</v>
      </c>
      <c r="F4153" s="76">
        <v>34858.0</v>
      </c>
      <c r="G4153" s="68" t="s">
        <v>16887</v>
      </c>
      <c r="H4153" s="71"/>
      <c r="I4153" s="71"/>
      <c r="J4153" s="68" t="s">
        <v>16888</v>
      </c>
      <c r="K4153" s="76">
        <v>42951.0</v>
      </c>
      <c r="L4153" s="68" t="s">
        <v>14256</v>
      </c>
      <c r="M4153" s="68" t="s">
        <v>166</v>
      </c>
      <c r="N4153" s="77"/>
      <c r="O4153" s="51"/>
    </row>
    <row r="4154">
      <c r="A4154" s="56">
        <v>4151.0</v>
      </c>
      <c r="B4154" s="71"/>
      <c r="C4154" s="69" t="s">
        <v>16889</v>
      </c>
      <c r="D4154" s="71"/>
      <c r="E4154" s="68" t="s">
        <v>16890</v>
      </c>
      <c r="F4154" s="71"/>
      <c r="G4154" s="68" t="s">
        <v>16891</v>
      </c>
      <c r="H4154" s="71"/>
      <c r="I4154" s="71"/>
      <c r="J4154" s="238" t="s">
        <v>16892</v>
      </c>
      <c r="K4154" s="225">
        <v>42951.0</v>
      </c>
      <c r="L4154" s="68" t="s">
        <v>14256</v>
      </c>
      <c r="M4154" s="71"/>
      <c r="N4154" s="77"/>
      <c r="O4154" s="51"/>
    </row>
    <row r="4155">
      <c r="A4155" s="56">
        <v>4152.0</v>
      </c>
      <c r="B4155" s="66"/>
      <c r="C4155" s="64" t="s">
        <v>16893</v>
      </c>
      <c r="D4155" s="66"/>
      <c r="E4155" s="63" t="s">
        <v>16894</v>
      </c>
      <c r="F4155" s="70">
        <v>34856.0</v>
      </c>
      <c r="G4155" s="63" t="s">
        <v>16895</v>
      </c>
      <c r="H4155" s="66"/>
      <c r="I4155" s="66"/>
      <c r="J4155" s="175"/>
      <c r="K4155" s="70">
        <v>42951.0</v>
      </c>
      <c r="L4155" s="63" t="s">
        <v>14256</v>
      </c>
      <c r="M4155" s="66"/>
      <c r="N4155" s="61"/>
      <c r="O4155" s="51"/>
    </row>
    <row r="4156">
      <c r="A4156" s="56">
        <v>4153.0</v>
      </c>
      <c r="B4156" s="66"/>
      <c r="C4156" s="64" t="s">
        <v>16896</v>
      </c>
      <c r="D4156" s="66"/>
      <c r="E4156" s="63" t="s">
        <v>16897</v>
      </c>
      <c r="F4156" s="70">
        <v>34837.0</v>
      </c>
      <c r="G4156" s="63" t="s">
        <v>16898</v>
      </c>
      <c r="H4156" s="66"/>
      <c r="I4156" s="66"/>
      <c r="J4156" s="66"/>
      <c r="K4156" s="70">
        <v>42951.0</v>
      </c>
      <c r="L4156" s="63" t="s">
        <v>14256</v>
      </c>
      <c r="M4156" s="66"/>
      <c r="N4156" s="61"/>
      <c r="O4156" s="51"/>
    </row>
    <row r="4157">
      <c r="A4157" s="56">
        <v>4154.0</v>
      </c>
      <c r="B4157" s="66"/>
      <c r="C4157" s="64" t="s">
        <v>16899</v>
      </c>
      <c r="D4157" s="66"/>
      <c r="E4157" s="63" t="s">
        <v>16900</v>
      </c>
      <c r="F4157" s="70">
        <v>34837.0</v>
      </c>
      <c r="G4157" s="63" t="s">
        <v>16891</v>
      </c>
      <c r="H4157" s="66"/>
      <c r="I4157" s="66"/>
      <c r="J4157" s="66"/>
      <c r="K4157" s="70">
        <v>42951.0</v>
      </c>
      <c r="L4157" s="63" t="s">
        <v>14256</v>
      </c>
      <c r="M4157" s="66"/>
      <c r="N4157" s="61"/>
      <c r="O4157" s="51"/>
    </row>
    <row r="4158">
      <c r="A4158" s="56">
        <v>4155.0</v>
      </c>
      <c r="B4158" s="66"/>
      <c r="C4158" s="64" t="s">
        <v>16901</v>
      </c>
      <c r="D4158" s="66"/>
      <c r="E4158" s="63" t="s">
        <v>16902</v>
      </c>
      <c r="F4158" s="70">
        <v>37058.0</v>
      </c>
      <c r="G4158" s="63" t="s">
        <v>16903</v>
      </c>
      <c r="H4158" s="66"/>
      <c r="I4158" s="66"/>
      <c r="J4158" s="66"/>
      <c r="K4158" s="70">
        <v>42951.0</v>
      </c>
      <c r="L4158" s="63" t="s">
        <v>14256</v>
      </c>
      <c r="M4158" s="66"/>
      <c r="N4158" s="61"/>
      <c r="O4158" s="51"/>
    </row>
    <row r="4159">
      <c r="A4159" s="56">
        <v>4156.0</v>
      </c>
      <c r="B4159" s="71"/>
      <c r="C4159" s="69" t="s">
        <v>16904</v>
      </c>
      <c r="D4159" s="71"/>
      <c r="E4159" s="68" t="s">
        <v>16905</v>
      </c>
      <c r="F4159" s="76">
        <v>36539.0</v>
      </c>
      <c r="G4159" s="71"/>
      <c r="H4159" s="71"/>
      <c r="I4159" s="71"/>
      <c r="J4159" s="68" t="s">
        <v>16906</v>
      </c>
      <c r="K4159" s="76">
        <v>42951.0</v>
      </c>
      <c r="L4159" s="68" t="s">
        <v>14256</v>
      </c>
      <c r="M4159" s="71"/>
      <c r="N4159" s="77"/>
      <c r="O4159" s="51"/>
    </row>
    <row r="4160">
      <c r="A4160" s="56">
        <v>4157.0</v>
      </c>
      <c r="B4160" s="71"/>
      <c r="C4160" s="69" t="s">
        <v>16907</v>
      </c>
      <c r="D4160" s="71"/>
      <c r="E4160" s="68" t="s">
        <v>16908</v>
      </c>
      <c r="F4160" s="68">
        <v>2001.0</v>
      </c>
      <c r="G4160" s="71"/>
      <c r="H4160" s="71"/>
      <c r="I4160" s="71"/>
      <c r="J4160" s="68" t="s">
        <v>16906</v>
      </c>
      <c r="K4160" s="76">
        <v>42951.0</v>
      </c>
      <c r="L4160" s="68" t="s">
        <v>14256</v>
      </c>
      <c r="M4160" s="71"/>
      <c r="N4160" s="77"/>
      <c r="O4160" s="51"/>
    </row>
    <row r="4161">
      <c r="A4161" s="56">
        <v>4158.0</v>
      </c>
      <c r="B4161" s="66"/>
      <c r="C4161" s="64" t="s">
        <v>16909</v>
      </c>
      <c r="D4161" s="66"/>
      <c r="E4161" s="63" t="s">
        <v>1349</v>
      </c>
      <c r="F4161" s="70">
        <v>34899.0</v>
      </c>
      <c r="G4161" s="63" t="s">
        <v>16910</v>
      </c>
      <c r="H4161" s="66"/>
      <c r="I4161" s="66"/>
      <c r="J4161" s="66"/>
      <c r="K4161" s="70">
        <v>42951.0</v>
      </c>
      <c r="L4161" s="63" t="s">
        <v>14256</v>
      </c>
      <c r="M4161" s="66"/>
      <c r="N4161" s="61"/>
      <c r="O4161" s="51"/>
    </row>
    <row r="4162">
      <c r="A4162" s="56">
        <v>4159.0</v>
      </c>
      <c r="B4162" s="66"/>
      <c r="C4162" s="64" t="s">
        <v>16911</v>
      </c>
      <c r="D4162" s="66"/>
      <c r="E4162" s="63" t="s">
        <v>16912</v>
      </c>
      <c r="F4162" s="65">
        <v>36160.0</v>
      </c>
      <c r="G4162" s="66"/>
      <c r="H4162" s="66"/>
      <c r="I4162" s="66"/>
      <c r="J4162" s="66"/>
      <c r="K4162" s="70">
        <v>42951.0</v>
      </c>
      <c r="L4162" s="63" t="s">
        <v>14256</v>
      </c>
      <c r="M4162" s="66"/>
      <c r="N4162" s="61"/>
      <c r="O4162" s="51"/>
    </row>
    <row r="4163">
      <c r="A4163" s="56">
        <v>4160.0</v>
      </c>
      <c r="B4163" s="66"/>
      <c r="C4163" s="64" t="s">
        <v>16913</v>
      </c>
      <c r="D4163" s="66"/>
      <c r="E4163" s="63" t="s">
        <v>16914</v>
      </c>
      <c r="F4163" s="65">
        <v>36160.0</v>
      </c>
      <c r="G4163" s="66"/>
      <c r="H4163" s="66"/>
      <c r="I4163" s="66"/>
      <c r="J4163" s="66"/>
      <c r="K4163" s="70">
        <v>42951.0</v>
      </c>
      <c r="L4163" s="63" t="s">
        <v>14256</v>
      </c>
      <c r="M4163" s="66"/>
      <c r="N4163" s="61"/>
      <c r="O4163" s="51"/>
    </row>
    <row r="4164">
      <c r="A4164" s="56">
        <v>4161.0</v>
      </c>
      <c r="B4164" s="66"/>
      <c r="C4164" s="64" t="s">
        <v>16915</v>
      </c>
      <c r="D4164" s="66"/>
      <c r="E4164" s="63" t="s">
        <v>16916</v>
      </c>
      <c r="F4164" s="70">
        <v>37764.0</v>
      </c>
      <c r="G4164" s="63" t="s">
        <v>16917</v>
      </c>
      <c r="H4164" s="66"/>
      <c r="I4164" s="66"/>
      <c r="J4164" s="63" t="s">
        <v>136</v>
      </c>
      <c r="K4164" s="70">
        <v>42951.0</v>
      </c>
      <c r="L4164" s="63" t="s">
        <v>14256</v>
      </c>
      <c r="M4164" s="63" t="s">
        <v>125</v>
      </c>
      <c r="N4164" s="61"/>
      <c r="O4164" s="51"/>
    </row>
    <row r="4165">
      <c r="A4165" s="56">
        <v>4162.0</v>
      </c>
      <c r="B4165" s="66"/>
      <c r="C4165" s="64" t="s">
        <v>16918</v>
      </c>
      <c r="D4165" s="66"/>
      <c r="E4165" s="63" t="s">
        <v>16919</v>
      </c>
      <c r="F4165" s="70">
        <v>38078.0</v>
      </c>
      <c r="G4165" s="63" t="s">
        <v>16920</v>
      </c>
      <c r="H4165" s="66"/>
      <c r="I4165" s="66"/>
      <c r="J4165" s="63" t="s">
        <v>136</v>
      </c>
      <c r="K4165" s="70">
        <v>42951.0</v>
      </c>
      <c r="L4165" s="63" t="s">
        <v>14256</v>
      </c>
      <c r="M4165" s="63" t="s">
        <v>125</v>
      </c>
      <c r="N4165" s="61"/>
      <c r="O4165" s="51"/>
    </row>
    <row r="4166">
      <c r="A4166" s="56">
        <v>4163.0</v>
      </c>
      <c r="B4166" s="66"/>
      <c r="C4166" s="64" t="s">
        <v>16921</v>
      </c>
      <c r="D4166" s="66"/>
      <c r="E4166" s="63" t="s">
        <v>16922</v>
      </c>
      <c r="F4166" s="70">
        <v>38078.0</v>
      </c>
      <c r="G4166" s="63" t="s">
        <v>16920</v>
      </c>
      <c r="H4166" s="66"/>
      <c r="I4166" s="66"/>
      <c r="J4166" s="63" t="s">
        <v>136</v>
      </c>
      <c r="K4166" s="70">
        <v>42951.0</v>
      </c>
      <c r="L4166" s="63" t="s">
        <v>14256</v>
      </c>
      <c r="M4166" s="63" t="s">
        <v>125</v>
      </c>
      <c r="N4166" s="61"/>
      <c r="O4166" s="51"/>
    </row>
    <row r="4167">
      <c r="A4167" s="56">
        <v>4164.0</v>
      </c>
      <c r="B4167" s="71"/>
      <c r="C4167" s="69" t="s">
        <v>16923</v>
      </c>
      <c r="D4167" s="71"/>
      <c r="E4167" s="68" t="s">
        <v>16924</v>
      </c>
      <c r="F4167" s="76">
        <v>38847.0</v>
      </c>
      <c r="G4167" s="68" t="s">
        <v>16925</v>
      </c>
      <c r="H4167" s="71"/>
      <c r="I4167" s="71"/>
      <c r="J4167" s="87" t="s">
        <v>16926</v>
      </c>
      <c r="K4167" s="76">
        <v>42951.0</v>
      </c>
      <c r="L4167" s="68" t="s">
        <v>14256</v>
      </c>
      <c r="M4167" s="71"/>
      <c r="N4167" s="77"/>
      <c r="O4167" s="51"/>
    </row>
    <row r="4168">
      <c r="A4168" s="56">
        <v>4165.0</v>
      </c>
      <c r="B4168" s="71"/>
      <c r="C4168" s="69" t="s">
        <v>16927</v>
      </c>
      <c r="D4168" s="71"/>
      <c r="E4168" s="68" t="s">
        <v>16928</v>
      </c>
      <c r="F4168" s="83">
        <v>38704.0</v>
      </c>
      <c r="G4168" s="68" t="s">
        <v>16929</v>
      </c>
      <c r="H4168" s="71"/>
      <c r="I4168" s="71"/>
      <c r="J4168" s="87" t="s">
        <v>16930</v>
      </c>
      <c r="K4168" s="76">
        <v>42951.0</v>
      </c>
      <c r="L4168" s="68" t="s">
        <v>14256</v>
      </c>
      <c r="M4168" s="68" t="s">
        <v>166</v>
      </c>
      <c r="N4168" s="77"/>
      <c r="O4168" s="51"/>
    </row>
    <row r="4169">
      <c r="A4169" s="56">
        <v>4166.0</v>
      </c>
      <c r="B4169" s="71"/>
      <c r="C4169" s="69" t="s">
        <v>16931</v>
      </c>
      <c r="D4169" s="71"/>
      <c r="E4169" s="68" t="s">
        <v>16932</v>
      </c>
      <c r="F4169" s="76">
        <v>38855.0</v>
      </c>
      <c r="G4169" s="68" t="s">
        <v>16933</v>
      </c>
      <c r="H4169" s="71"/>
      <c r="I4169" s="71"/>
      <c r="J4169" s="87" t="s">
        <v>16934</v>
      </c>
      <c r="K4169" s="76">
        <v>42951.0</v>
      </c>
      <c r="L4169" s="68" t="s">
        <v>14256</v>
      </c>
      <c r="M4169" s="68" t="s">
        <v>166</v>
      </c>
      <c r="N4169" s="77"/>
      <c r="O4169" s="51"/>
    </row>
    <row r="4170">
      <c r="A4170" s="85">
        <v>4167.0</v>
      </c>
      <c r="B4170" s="82"/>
      <c r="C4170" s="79" t="s">
        <v>16935</v>
      </c>
      <c r="D4170" s="82"/>
      <c r="E4170" s="80" t="s">
        <v>16936</v>
      </c>
      <c r="F4170" s="81">
        <v>38833.0</v>
      </c>
      <c r="G4170" s="80" t="s">
        <v>16937</v>
      </c>
      <c r="H4170" s="82"/>
      <c r="I4170" s="82"/>
      <c r="J4170" s="82"/>
      <c r="K4170" s="81">
        <v>42951.0</v>
      </c>
      <c r="L4170" s="80" t="s">
        <v>16938</v>
      </c>
      <c r="M4170" s="80" t="s">
        <v>166</v>
      </c>
      <c r="N4170" s="61"/>
      <c r="O4170" s="51"/>
    </row>
    <row r="4171">
      <c r="A4171" s="56">
        <v>4168.0</v>
      </c>
      <c r="B4171" s="71"/>
      <c r="C4171" s="69" t="s">
        <v>16939</v>
      </c>
      <c r="D4171" s="71"/>
      <c r="E4171" s="68" t="s">
        <v>16940</v>
      </c>
      <c r="F4171" s="76">
        <v>38751.0</v>
      </c>
      <c r="G4171" s="68" t="s">
        <v>16941</v>
      </c>
      <c r="H4171" s="71"/>
      <c r="I4171" s="71"/>
      <c r="J4171" s="68" t="s">
        <v>16942</v>
      </c>
      <c r="K4171" s="76">
        <v>42951.0</v>
      </c>
      <c r="L4171" s="68" t="s">
        <v>14256</v>
      </c>
      <c r="M4171" s="68" t="s">
        <v>166</v>
      </c>
      <c r="N4171" s="77"/>
      <c r="O4171" s="51"/>
    </row>
    <row r="4172">
      <c r="A4172" s="56">
        <v>4169.0</v>
      </c>
      <c r="B4172" s="71"/>
      <c r="C4172" s="69" t="s">
        <v>16943</v>
      </c>
      <c r="D4172" s="71"/>
      <c r="E4172" s="68" t="s">
        <v>16944</v>
      </c>
      <c r="F4172" s="76">
        <v>38814.0</v>
      </c>
      <c r="G4172" s="68" t="s">
        <v>16941</v>
      </c>
      <c r="H4172" s="71"/>
      <c r="I4172" s="71"/>
      <c r="J4172" s="68" t="s">
        <v>16942</v>
      </c>
      <c r="K4172" s="76">
        <v>42951.0</v>
      </c>
      <c r="L4172" s="68" t="s">
        <v>14256</v>
      </c>
      <c r="M4172" s="68" t="s">
        <v>166</v>
      </c>
      <c r="N4172" s="61"/>
      <c r="O4172" s="51"/>
    </row>
    <row r="4173">
      <c r="A4173" s="56">
        <v>4170.0</v>
      </c>
      <c r="B4173" s="71"/>
      <c r="C4173" s="69" t="s">
        <v>16945</v>
      </c>
      <c r="D4173" s="71"/>
      <c r="E4173" s="68" t="s">
        <v>16946</v>
      </c>
      <c r="F4173" s="76">
        <v>38855.0</v>
      </c>
      <c r="G4173" s="68" t="s">
        <v>16947</v>
      </c>
      <c r="H4173" s="71"/>
      <c r="I4173" s="71"/>
      <c r="J4173" s="87" t="s">
        <v>16948</v>
      </c>
      <c r="K4173" s="76">
        <v>42951.0</v>
      </c>
      <c r="L4173" s="68" t="s">
        <v>14256</v>
      </c>
      <c r="M4173" s="68" t="s">
        <v>166</v>
      </c>
      <c r="N4173" s="61"/>
      <c r="O4173" s="51"/>
    </row>
    <row r="4174">
      <c r="A4174" s="56">
        <v>4171.0</v>
      </c>
      <c r="B4174" s="71"/>
      <c r="C4174" s="69" t="s">
        <v>16949</v>
      </c>
      <c r="D4174" s="71"/>
      <c r="E4174" s="68" t="s">
        <v>16950</v>
      </c>
      <c r="F4174" s="76">
        <v>38832.0</v>
      </c>
      <c r="G4174" s="68" t="s">
        <v>16951</v>
      </c>
      <c r="H4174" s="71"/>
      <c r="I4174" s="71"/>
      <c r="J4174" s="87" t="s">
        <v>16952</v>
      </c>
      <c r="K4174" s="76">
        <v>42951.0</v>
      </c>
      <c r="L4174" s="68" t="s">
        <v>14256</v>
      </c>
      <c r="M4174" s="68" t="s">
        <v>166</v>
      </c>
      <c r="N4174" s="61"/>
      <c r="O4174" s="51"/>
    </row>
    <row r="4175">
      <c r="A4175" s="56">
        <v>4172.0</v>
      </c>
      <c r="B4175" s="66"/>
      <c r="C4175" s="64" t="s">
        <v>16953</v>
      </c>
      <c r="D4175" s="66"/>
      <c r="E4175" s="63" t="s">
        <v>16954</v>
      </c>
      <c r="F4175" s="65">
        <v>38711.0</v>
      </c>
      <c r="G4175" s="66"/>
      <c r="H4175" s="66"/>
      <c r="I4175" s="66"/>
      <c r="J4175" s="66"/>
      <c r="K4175" s="70">
        <v>42951.0</v>
      </c>
      <c r="L4175" s="63" t="s">
        <v>14256</v>
      </c>
      <c r="M4175" s="66"/>
      <c r="N4175" s="61"/>
      <c r="O4175" s="51"/>
    </row>
    <row r="4176">
      <c r="A4176" s="56">
        <v>4173.0</v>
      </c>
      <c r="B4176" s="71"/>
      <c r="C4176" s="69" t="s">
        <v>16955</v>
      </c>
      <c r="D4176" s="71"/>
      <c r="E4176" s="68" t="s">
        <v>16956</v>
      </c>
      <c r="F4176" s="76">
        <v>40554.0</v>
      </c>
      <c r="G4176" s="68" t="s">
        <v>16957</v>
      </c>
      <c r="H4176" s="71"/>
      <c r="I4176" s="71"/>
      <c r="J4176" s="68" t="s">
        <v>16958</v>
      </c>
      <c r="K4176" s="76">
        <v>42951.0</v>
      </c>
      <c r="L4176" s="68" t="s">
        <v>14256</v>
      </c>
      <c r="M4176" s="71"/>
      <c r="N4176" s="61"/>
      <c r="O4176" s="51"/>
    </row>
    <row r="4177">
      <c r="A4177" s="56">
        <v>4174.0</v>
      </c>
      <c r="B4177" s="71"/>
      <c r="C4177" s="69" t="s">
        <v>16959</v>
      </c>
      <c r="D4177" s="71"/>
      <c r="E4177" s="68" t="s">
        <v>16960</v>
      </c>
      <c r="F4177" s="76">
        <v>40653.0</v>
      </c>
      <c r="G4177" s="68" t="s">
        <v>16961</v>
      </c>
      <c r="H4177" s="71"/>
      <c r="I4177" s="71"/>
      <c r="J4177" s="68" t="s">
        <v>16962</v>
      </c>
      <c r="K4177" s="76">
        <v>42951.0</v>
      </c>
      <c r="L4177" s="68" t="s">
        <v>14256</v>
      </c>
      <c r="M4177" s="71"/>
      <c r="N4177" s="77"/>
      <c r="O4177" s="51"/>
    </row>
    <row r="4178">
      <c r="A4178" s="56">
        <v>4175.0</v>
      </c>
      <c r="B4178" s="71"/>
      <c r="C4178" s="69" t="s">
        <v>16963</v>
      </c>
      <c r="D4178" s="71"/>
      <c r="E4178" s="68" t="s">
        <v>16964</v>
      </c>
      <c r="F4178" s="76">
        <v>42378.0</v>
      </c>
      <c r="G4178" s="68" t="s">
        <v>16965</v>
      </c>
      <c r="H4178" s="71"/>
      <c r="I4178" s="71"/>
      <c r="J4178" s="87" t="s">
        <v>16966</v>
      </c>
      <c r="K4178" s="76">
        <v>42951.0</v>
      </c>
      <c r="L4178" s="68" t="s">
        <v>14256</v>
      </c>
      <c r="M4178" s="68" t="s">
        <v>166</v>
      </c>
      <c r="N4178" s="61"/>
      <c r="O4178" s="51"/>
    </row>
    <row r="4179">
      <c r="A4179" s="56">
        <v>4176.0</v>
      </c>
      <c r="B4179" s="66"/>
      <c r="C4179" s="64" t="s">
        <v>16967</v>
      </c>
      <c r="D4179" s="66"/>
      <c r="E4179" s="63" t="s">
        <v>16968</v>
      </c>
      <c r="F4179" s="70">
        <v>42236.0</v>
      </c>
      <c r="G4179" s="66"/>
      <c r="H4179" s="66"/>
      <c r="I4179" s="66"/>
      <c r="J4179" s="66"/>
      <c r="K4179" s="70">
        <v>42951.0</v>
      </c>
      <c r="L4179" s="63" t="s">
        <v>14256</v>
      </c>
      <c r="M4179" s="66"/>
      <c r="N4179" s="61"/>
      <c r="O4179" s="51"/>
    </row>
    <row r="4180">
      <c r="A4180" s="56">
        <v>4177.0</v>
      </c>
      <c r="B4180" s="66"/>
      <c r="C4180" s="64" t="s">
        <v>16969</v>
      </c>
      <c r="D4180" s="66"/>
      <c r="E4180" s="63" t="s">
        <v>16970</v>
      </c>
      <c r="F4180" s="70">
        <v>42236.0</v>
      </c>
      <c r="G4180" s="66"/>
      <c r="H4180" s="66"/>
      <c r="I4180" s="66"/>
      <c r="J4180" s="66"/>
      <c r="K4180" s="70">
        <v>42951.0</v>
      </c>
      <c r="L4180" s="63" t="s">
        <v>14256</v>
      </c>
      <c r="M4180" s="66"/>
      <c r="N4180" s="61"/>
      <c r="O4180" s="51"/>
    </row>
    <row r="4181">
      <c r="A4181" s="56">
        <v>4178.0</v>
      </c>
      <c r="B4181" s="71"/>
      <c r="C4181" s="69" t="s">
        <v>16971</v>
      </c>
      <c r="D4181" s="71"/>
      <c r="E4181" s="68" t="s">
        <v>16972</v>
      </c>
      <c r="F4181" s="76">
        <v>42236.0</v>
      </c>
      <c r="G4181" s="71"/>
      <c r="H4181" s="71"/>
      <c r="I4181" s="71"/>
      <c r="J4181" s="87" t="s">
        <v>16973</v>
      </c>
      <c r="K4181" s="76">
        <v>42951.0</v>
      </c>
      <c r="L4181" s="68" t="s">
        <v>14256</v>
      </c>
      <c r="M4181" s="71"/>
      <c r="N4181" s="61"/>
      <c r="O4181" s="51"/>
    </row>
    <row r="4182">
      <c r="A4182" s="56">
        <v>4179.0</v>
      </c>
      <c r="B4182" s="66"/>
      <c r="C4182" s="64" t="s">
        <v>16974</v>
      </c>
      <c r="D4182" s="66"/>
      <c r="E4182" s="63" t="s">
        <v>16975</v>
      </c>
      <c r="F4182" s="70">
        <v>42237.0</v>
      </c>
      <c r="G4182" s="66"/>
      <c r="H4182" s="66"/>
      <c r="I4182" s="66"/>
      <c r="J4182" s="66"/>
      <c r="K4182" s="70">
        <v>42951.0</v>
      </c>
      <c r="L4182" s="63" t="s">
        <v>14256</v>
      </c>
      <c r="M4182" s="66"/>
      <c r="N4182" s="61"/>
      <c r="O4182" s="51"/>
    </row>
    <row r="4183">
      <c r="A4183" s="56">
        <v>4180.0</v>
      </c>
      <c r="B4183" s="66"/>
      <c r="C4183" s="64" t="s">
        <v>16976</v>
      </c>
      <c r="D4183" s="66"/>
      <c r="E4183" s="63" t="s">
        <v>16977</v>
      </c>
      <c r="F4183" s="70">
        <v>42237.0</v>
      </c>
      <c r="G4183" s="66"/>
      <c r="H4183" s="66"/>
      <c r="I4183" s="66"/>
      <c r="J4183" s="66"/>
      <c r="K4183" s="70">
        <v>42951.0</v>
      </c>
      <c r="L4183" s="63" t="s">
        <v>14256</v>
      </c>
      <c r="M4183" s="66"/>
      <c r="N4183" s="61"/>
      <c r="O4183" s="51"/>
    </row>
    <row r="4184">
      <c r="A4184" s="56">
        <v>4181.0</v>
      </c>
      <c r="B4184" s="66"/>
      <c r="C4184" s="64" t="s">
        <v>16978</v>
      </c>
      <c r="D4184" s="66"/>
      <c r="E4184" s="63" t="s">
        <v>16979</v>
      </c>
      <c r="F4184" s="70">
        <v>42238.0</v>
      </c>
      <c r="G4184" s="66"/>
      <c r="H4184" s="66"/>
      <c r="I4184" s="66"/>
      <c r="J4184" s="66"/>
      <c r="K4184" s="70">
        <v>42951.0</v>
      </c>
      <c r="L4184" s="63" t="s">
        <v>14256</v>
      </c>
      <c r="M4184" s="66"/>
      <c r="N4184" s="61"/>
      <c r="O4184" s="51"/>
    </row>
    <row r="4185">
      <c r="A4185" s="56">
        <v>4182.0</v>
      </c>
      <c r="B4185" s="66"/>
      <c r="C4185" s="64" t="s">
        <v>16980</v>
      </c>
      <c r="D4185" s="66"/>
      <c r="E4185" s="63" t="s">
        <v>16981</v>
      </c>
      <c r="F4185" s="70">
        <v>42379.0</v>
      </c>
      <c r="G4185" s="63" t="s">
        <v>16982</v>
      </c>
      <c r="H4185" s="66"/>
      <c r="I4185" s="66"/>
      <c r="J4185" s="66"/>
      <c r="K4185" s="70">
        <v>42951.0</v>
      </c>
      <c r="L4185" s="63" t="s">
        <v>14256</v>
      </c>
      <c r="M4185" s="66"/>
      <c r="N4185" s="61"/>
      <c r="O4185" s="51"/>
    </row>
    <row r="4186">
      <c r="A4186" s="56">
        <v>4183.0</v>
      </c>
      <c r="B4186" s="66"/>
      <c r="C4186" s="64" t="s">
        <v>16983</v>
      </c>
      <c r="D4186" s="66"/>
      <c r="E4186" s="63" t="s">
        <v>16984</v>
      </c>
      <c r="F4186" s="70">
        <v>42380.0</v>
      </c>
      <c r="G4186" s="63" t="s">
        <v>16982</v>
      </c>
      <c r="H4186" s="66"/>
      <c r="I4186" s="66"/>
      <c r="J4186" s="66"/>
      <c r="K4186" s="70">
        <v>42951.0</v>
      </c>
      <c r="L4186" s="63" t="s">
        <v>14256</v>
      </c>
      <c r="M4186" s="66"/>
      <c r="N4186" s="61"/>
      <c r="O4186" s="51"/>
    </row>
    <row r="4187">
      <c r="A4187" s="56">
        <v>4184.0</v>
      </c>
      <c r="B4187" s="66"/>
      <c r="C4187" s="64" t="s">
        <v>16985</v>
      </c>
      <c r="D4187" s="66"/>
      <c r="E4187" s="63" t="s">
        <v>16986</v>
      </c>
      <c r="F4187" s="70">
        <v>42381.0</v>
      </c>
      <c r="G4187" s="66"/>
      <c r="H4187" s="66"/>
      <c r="I4187" s="66"/>
      <c r="J4187" s="66"/>
      <c r="K4187" s="70">
        <v>42951.0</v>
      </c>
      <c r="L4187" s="63" t="s">
        <v>14256</v>
      </c>
      <c r="M4187" s="66"/>
      <c r="N4187" s="61"/>
      <c r="O4187" s="51"/>
    </row>
    <row r="4188">
      <c r="A4188" s="56">
        <v>4185.0</v>
      </c>
      <c r="B4188" s="71"/>
      <c r="C4188" s="69" t="s">
        <v>16987</v>
      </c>
      <c r="D4188" s="71"/>
      <c r="E4188" s="68" t="s">
        <v>16988</v>
      </c>
      <c r="F4188" s="76">
        <v>42381.0</v>
      </c>
      <c r="G4188" s="68" t="s">
        <v>16989</v>
      </c>
      <c r="H4188" s="71"/>
      <c r="I4188" s="71"/>
      <c r="J4188" s="87" t="s">
        <v>16990</v>
      </c>
      <c r="K4188" s="76">
        <v>42951.0</v>
      </c>
      <c r="L4188" s="68" t="s">
        <v>14256</v>
      </c>
      <c r="M4188" s="71"/>
      <c r="N4188" s="61"/>
      <c r="O4188" s="51"/>
    </row>
    <row r="4189">
      <c r="A4189" s="56">
        <v>4186.0</v>
      </c>
      <c r="B4189" s="71"/>
      <c r="C4189" s="69" t="s">
        <v>16991</v>
      </c>
      <c r="D4189" s="71"/>
      <c r="E4189" s="68" t="s">
        <v>16992</v>
      </c>
      <c r="F4189" s="76">
        <v>42384.0</v>
      </c>
      <c r="G4189" s="68" t="s">
        <v>16989</v>
      </c>
      <c r="H4189" s="71"/>
      <c r="I4189" s="71"/>
      <c r="J4189" s="87" t="s">
        <v>16990</v>
      </c>
      <c r="K4189" s="76">
        <v>42951.0</v>
      </c>
      <c r="L4189" s="68" t="s">
        <v>14256</v>
      </c>
      <c r="M4189" s="71"/>
      <c r="N4189" s="77"/>
      <c r="O4189" s="51"/>
    </row>
    <row r="4190">
      <c r="A4190" s="56">
        <v>4187.0</v>
      </c>
      <c r="B4190" s="66"/>
      <c r="C4190" s="64" t="s">
        <v>16993</v>
      </c>
      <c r="D4190" s="66"/>
      <c r="E4190" s="63" t="s">
        <v>16994</v>
      </c>
      <c r="F4190" s="70">
        <v>42385.0</v>
      </c>
      <c r="G4190" s="66"/>
      <c r="H4190" s="66"/>
      <c r="I4190" s="66"/>
      <c r="J4190" s="66"/>
      <c r="K4190" s="70">
        <v>42951.0</v>
      </c>
      <c r="L4190" s="63" t="s">
        <v>14256</v>
      </c>
      <c r="M4190" s="66"/>
      <c r="N4190" s="61"/>
      <c r="O4190" s="51"/>
    </row>
    <row r="4191">
      <c r="A4191" s="56">
        <v>4188.0</v>
      </c>
      <c r="B4191" s="66"/>
      <c r="C4191" s="64" t="s">
        <v>16995</v>
      </c>
      <c r="D4191" s="66"/>
      <c r="E4191" s="63" t="s">
        <v>16996</v>
      </c>
      <c r="F4191" s="70">
        <v>42379.0</v>
      </c>
      <c r="G4191" s="63" t="s">
        <v>16989</v>
      </c>
      <c r="H4191" s="66"/>
      <c r="I4191" s="66"/>
      <c r="J4191" s="66"/>
      <c r="K4191" s="70">
        <v>42951.0</v>
      </c>
      <c r="L4191" s="63" t="s">
        <v>14256</v>
      </c>
      <c r="M4191" s="66"/>
      <c r="N4191" s="61"/>
      <c r="O4191" s="51"/>
    </row>
    <row r="4192">
      <c r="A4192" s="56">
        <v>4189.0</v>
      </c>
      <c r="B4192" s="66"/>
      <c r="C4192" s="64" t="s">
        <v>16997</v>
      </c>
      <c r="D4192" s="66"/>
      <c r="E4192" s="63" t="s">
        <v>16998</v>
      </c>
      <c r="F4192" s="70">
        <v>42481.0</v>
      </c>
      <c r="G4192" s="63" t="s">
        <v>16999</v>
      </c>
      <c r="H4192" s="66"/>
      <c r="I4192" s="66"/>
      <c r="J4192" s="66"/>
      <c r="K4192" s="70">
        <v>42951.0</v>
      </c>
      <c r="L4192" s="63" t="s">
        <v>14256</v>
      </c>
      <c r="M4192" s="66"/>
      <c r="N4192" s="61"/>
      <c r="O4192" s="51"/>
    </row>
    <row r="4193">
      <c r="A4193" s="56">
        <v>4190.0</v>
      </c>
      <c r="B4193" s="66"/>
      <c r="C4193" s="64" t="s">
        <v>17000</v>
      </c>
      <c r="D4193" s="66"/>
      <c r="E4193" s="63" t="s">
        <v>17001</v>
      </c>
      <c r="F4193" s="70">
        <v>42390.0</v>
      </c>
      <c r="G4193" s="63" t="s">
        <v>16999</v>
      </c>
      <c r="H4193" s="66"/>
      <c r="I4193" s="66"/>
      <c r="J4193" s="66"/>
      <c r="K4193" s="70">
        <v>42951.0</v>
      </c>
      <c r="L4193" s="63" t="s">
        <v>14256</v>
      </c>
      <c r="M4193" s="66"/>
      <c r="N4193" s="61"/>
      <c r="O4193" s="51"/>
    </row>
    <row r="4194">
      <c r="A4194" s="56">
        <v>4191.0</v>
      </c>
      <c r="B4194" s="66"/>
      <c r="C4194" s="64" t="s">
        <v>17002</v>
      </c>
      <c r="D4194" s="66"/>
      <c r="E4194" s="63" t="s">
        <v>17003</v>
      </c>
      <c r="F4194" s="70">
        <v>42390.0</v>
      </c>
      <c r="G4194" s="66"/>
      <c r="H4194" s="66"/>
      <c r="I4194" s="66"/>
      <c r="J4194" s="66"/>
      <c r="K4194" s="70">
        <v>42951.0</v>
      </c>
      <c r="L4194" s="63" t="s">
        <v>14256</v>
      </c>
      <c r="M4194" s="66"/>
      <c r="N4194" s="61"/>
      <c r="O4194" s="51"/>
    </row>
    <row r="4195">
      <c r="A4195" s="56">
        <v>4192.0</v>
      </c>
      <c r="B4195" s="66"/>
      <c r="C4195" s="64" t="s">
        <v>17004</v>
      </c>
      <c r="D4195" s="66"/>
      <c r="E4195" s="63" t="s">
        <v>17005</v>
      </c>
      <c r="F4195" s="70">
        <v>42392.0</v>
      </c>
      <c r="G4195" s="63" t="s">
        <v>16982</v>
      </c>
      <c r="H4195" s="66"/>
      <c r="I4195" s="66"/>
      <c r="J4195" s="66"/>
      <c r="K4195" s="70">
        <v>42951.0</v>
      </c>
      <c r="L4195" s="63" t="s">
        <v>14256</v>
      </c>
      <c r="M4195" s="66"/>
      <c r="N4195" s="61"/>
      <c r="O4195" s="51"/>
    </row>
    <row r="4196">
      <c r="A4196" s="56">
        <v>4193.0</v>
      </c>
      <c r="B4196" s="66"/>
      <c r="C4196" s="64" t="s">
        <v>17006</v>
      </c>
      <c r="D4196" s="66"/>
      <c r="E4196" s="63" t="s">
        <v>17007</v>
      </c>
      <c r="F4196" s="70">
        <v>42392.0</v>
      </c>
      <c r="G4196" s="63" t="s">
        <v>17008</v>
      </c>
      <c r="H4196" s="66"/>
      <c r="I4196" s="66"/>
      <c r="J4196" s="66"/>
      <c r="K4196" s="70">
        <v>42951.0</v>
      </c>
      <c r="L4196" s="63" t="s">
        <v>14256</v>
      </c>
      <c r="M4196" s="66"/>
      <c r="N4196" s="61"/>
      <c r="O4196" s="51"/>
    </row>
    <row r="4197">
      <c r="A4197" s="56">
        <v>4194.0</v>
      </c>
      <c r="B4197" s="66"/>
      <c r="C4197" s="64" t="s">
        <v>17009</v>
      </c>
      <c r="D4197" s="66"/>
      <c r="E4197" s="63" t="s">
        <v>17010</v>
      </c>
      <c r="F4197" s="65">
        <v>31346.0</v>
      </c>
      <c r="G4197" s="66"/>
      <c r="H4197" s="66"/>
      <c r="I4197" s="66"/>
      <c r="J4197" s="66"/>
      <c r="K4197" s="70">
        <v>42951.0</v>
      </c>
      <c r="L4197" s="63" t="s">
        <v>14256</v>
      </c>
      <c r="M4197" s="66"/>
      <c r="N4197" s="61"/>
      <c r="O4197" s="51"/>
    </row>
    <row r="4198">
      <c r="A4198" s="56">
        <v>4195.0</v>
      </c>
      <c r="B4198" s="71"/>
      <c r="C4198" s="69" t="s">
        <v>17011</v>
      </c>
      <c r="D4198" s="71"/>
      <c r="E4198" s="68" t="s">
        <v>17012</v>
      </c>
      <c r="F4198" s="76">
        <v>42929.0</v>
      </c>
      <c r="G4198" s="68" t="s">
        <v>17013</v>
      </c>
      <c r="H4198" s="71"/>
      <c r="I4198" s="71"/>
      <c r="J4198" s="238" t="s">
        <v>17014</v>
      </c>
      <c r="K4198" s="225">
        <v>42954.0</v>
      </c>
      <c r="L4198" s="68" t="s">
        <v>14911</v>
      </c>
      <c r="M4198" s="68" t="s">
        <v>14984</v>
      </c>
      <c r="N4198" s="77"/>
      <c r="O4198" s="51"/>
    </row>
    <row r="4199">
      <c r="A4199" s="56">
        <v>4196.0</v>
      </c>
      <c r="B4199" s="82"/>
      <c r="C4199" s="79" t="s">
        <v>17015</v>
      </c>
      <c r="D4199" s="82"/>
      <c r="E4199" s="80" t="s">
        <v>17016</v>
      </c>
      <c r="F4199" s="81">
        <v>42766.0</v>
      </c>
      <c r="G4199" s="80" t="s">
        <v>17017</v>
      </c>
      <c r="H4199" s="82"/>
      <c r="I4199" s="80" t="s">
        <v>17018</v>
      </c>
      <c r="J4199" s="224" t="s">
        <v>14564</v>
      </c>
      <c r="K4199" s="81">
        <v>42954.0</v>
      </c>
      <c r="L4199" s="80" t="s">
        <v>14911</v>
      </c>
      <c r="M4199" s="80" t="s">
        <v>1711</v>
      </c>
      <c r="N4199" s="61"/>
      <c r="O4199" s="51"/>
    </row>
    <row r="4200">
      <c r="A4200" s="56">
        <v>4197.0</v>
      </c>
      <c r="B4200" s="71"/>
      <c r="C4200" s="69" t="s">
        <v>17019</v>
      </c>
      <c r="D4200" s="71"/>
      <c r="E4200" s="68" t="s">
        <v>12384</v>
      </c>
      <c r="F4200" s="76">
        <v>42941.0</v>
      </c>
      <c r="G4200" s="68" t="s">
        <v>17020</v>
      </c>
      <c r="H4200" s="71"/>
      <c r="I4200" s="71"/>
      <c r="J4200" s="68" t="s">
        <v>17021</v>
      </c>
      <c r="K4200" s="76">
        <v>42954.0</v>
      </c>
      <c r="L4200" s="68" t="s">
        <v>14911</v>
      </c>
      <c r="M4200" s="68" t="s">
        <v>10808</v>
      </c>
      <c r="N4200" s="61"/>
      <c r="O4200" s="51"/>
    </row>
    <row r="4201">
      <c r="A4201" s="56">
        <v>4198.0</v>
      </c>
      <c r="B4201" s="71"/>
      <c r="C4201" s="69" t="s">
        <v>17022</v>
      </c>
      <c r="D4201" s="71"/>
      <c r="E4201" s="68" t="s">
        <v>17023</v>
      </c>
      <c r="F4201" s="83">
        <v>42732.0</v>
      </c>
      <c r="G4201" s="68" t="s">
        <v>17024</v>
      </c>
      <c r="H4201" s="71"/>
      <c r="I4201" s="71"/>
      <c r="J4201" s="68" t="s">
        <v>14302</v>
      </c>
      <c r="K4201" s="76">
        <v>42954.0</v>
      </c>
      <c r="L4201" s="68" t="s">
        <v>14911</v>
      </c>
      <c r="M4201" s="68" t="s">
        <v>14984</v>
      </c>
      <c r="N4201" s="61"/>
      <c r="O4201" s="51"/>
    </row>
    <row r="4202">
      <c r="A4202" s="56">
        <v>4199.0</v>
      </c>
      <c r="B4202" s="66"/>
      <c r="C4202" s="64" t="s">
        <v>17025</v>
      </c>
      <c r="D4202" s="66"/>
      <c r="E4202" s="63" t="s">
        <v>17026</v>
      </c>
      <c r="F4202" s="65">
        <v>41972.0</v>
      </c>
      <c r="G4202" s="63" t="s">
        <v>17027</v>
      </c>
      <c r="H4202" s="63" t="s">
        <v>17028</v>
      </c>
      <c r="I4202" s="63" t="s">
        <v>17029</v>
      </c>
      <c r="J4202" s="63" t="s">
        <v>10817</v>
      </c>
      <c r="K4202" s="70">
        <v>42954.0</v>
      </c>
      <c r="L4202" s="63" t="s">
        <v>14911</v>
      </c>
      <c r="M4202" s="63" t="s">
        <v>31</v>
      </c>
      <c r="N4202" s="61"/>
      <c r="O4202" s="51"/>
    </row>
    <row r="4203">
      <c r="A4203" s="56">
        <v>4200.0</v>
      </c>
      <c r="B4203" s="71"/>
      <c r="C4203" s="69" t="s">
        <v>17030</v>
      </c>
      <c r="D4203" s="71"/>
      <c r="E4203" s="68" t="s">
        <v>17031</v>
      </c>
      <c r="F4203" s="76">
        <v>42871.0</v>
      </c>
      <c r="G4203" s="68" t="s">
        <v>17032</v>
      </c>
      <c r="H4203" s="71"/>
      <c r="I4203" s="71"/>
      <c r="J4203" s="68" t="s">
        <v>17033</v>
      </c>
      <c r="K4203" s="76">
        <v>42954.0</v>
      </c>
      <c r="L4203" s="68" t="s">
        <v>14911</v>
      </c>
      <c r="M4203" s="68" t="s">
        <v>31</v>
      </c>
      <c r="N4203" s="61"/>
      <c r="O4203" s="51"/>
    </row>
    <row r="4204">
      <c r="A4204" s="56">
        <v>4201.0</v>
      </c>
      <c r="B4204" s="71"/>
      <c r="C4204" s="69" t="s">
        <v>17034</v>
      </c>
      <c r="D4204" s="71"/>
      <c r="E4204" s="68" t="s">
        <v>17035</v>
      </c>
      <c r="F4204" s="76">
        <v>42563.0</v>
      </c>
      <c r="G4204" s="68" t="s">
        <v>17036</v>
      </c>
      <c r="H4204" s="68" t="s">
        <v>17037</v>
      </c>
      <c r="I4204" s="71"/>
      <c r="J4204" s="68" t="s">
        <v>17038</v>
      </c>
      <c r="K4204" s="76">
        <v>42954.0</v>
      </c>
      <c r="L4204" s="68" t="s">
        <v>14911</v>
      </c>
      <c r="M4204" s="68" t="s">
        <v>31</v>
      </c>
      <c r="N4204" s="77"/>
      <c r="O4204" s="51"/>
    </row>
    <row r="4205">
      <c r="A4205" s="56">
        <v>4202.0</v>
      </c>
      <c r="B4205" s="66"/>
      <c r="C4205" s="64" t="s">
        <v>17039</v>
      </c>
      <c r="D4205" s="66"/>
      <c r="E4205" s="63" t="s">
        <v>17040</v>
      </c>
      <c r="F4205" s="70">
        <v>42277.0</v>
      </c>
      <c r="G4205" s="63" t="s">
        <v>17041</v>
      </c>
      <c r="H4205" s="66"/>
      <c r="I4205" s="66"/>
      <c r="J4205" s="63" t="s">
        <v>6061</v>
      </c>
      <c r="K4205" s="70">
        <v>42954.0</v>
      </c>
      <c r="L4205" s="63" t="s">
        <v>14911</v>
      </c>
      <c r="M4205" s="63" t="s">
        <v>941</v>
      </c>
      <c r="N4205" s="61"/>
      <c r="O4205" s="51"/>
    </row>
    <row r="4206">
      <c r="A4206" s="75">
        <v>4203.0</v>
      </c>
      <c r="B4206" s="71"/>
      <c r="C4206" s="69" t="s">
        <v>17042</v>
      </c>
      <c r="D4206" s="71"/>
      <c r="E4206" s="68" t="s">
        <v>17043</v>
      </c>
      <c r="F4206" s="76">
        <v>42819.0</v>
      </c>
      <c r="G4206" s="68" t="s">
        <v>17044</v>
      </c>
      <c r="H4206" s="71"/>
      <c r="I4206" s="68" t="s">
        <v>17045</v>
      </c>
      <c r="J4206" s="68" t="s">
        <v>17046</v>
      </c>
      <c r="K4206" s="76">
        <v>42954.0</v>
      </c>
      <c r="L4206" s="68" t="s">
        <v>14911</v>
      </c>
      <c r="M4206" s="68" t="s">
        <v>125</v>
      </c>
      <c r="N4206" s="77"/>
      <c r="O4206" s="51"/>
    </row>
    <row r="4207">
      <c r="A4207" s="56">
        <v>4204.0</v>
      </c>
      <c r="B4207" s="71"/>
      <c r="C4207" s="69" t="s">
        <v>17047</v>
      </c>
      <c r="D4207" s="71"/>
      <c r="E4207" s="68" t="s">
        <v>17048</v>
      </c>
      <c r="F4207" s="76">
        <v>41698.0</v>
      </c>
      <c r="G4207" s="68" t="s">
        <v>17049</v>
      </c>
      <c r="H4207" s="71"/>
      <c r="I4207" s="71"/>
      <c r="J4207" s="68" t="s">
        <v>17050</v>
      </c>
      <c r="K4207" s="76">
        <v>42954.0</v>
      </c>
      <c r="L4207" s="68" t="s">
        <v>14911</v>
      </c>
      <c r="M4207" s="68" t="s">
        <v>195</v>
      </c>
      <c r="N4207" s="77"/>
      <c r="O4207" s="51"/>
    </row>
    <row r="4208">
      <c r="A4208" s="56">
        <v>4205.0</v>
      </c>
      <c r="B4208" s="71"/>
      <c r="C4208" s="69" t="s">
        <v>17051</v>
      </c>
      <c r="D4208" s="71"/>
      <c r="E4208" s="68" t="s">
        <v>17052</v>
      </c>
      <c r="F4208" s="76">
        <v>41467.0</v>
      </c>
      <c r="G4208" s="68" t="s">
        <v>17053</v>
      </c>
      <c r="H4208" s="71"/>
      <c r="I4208" s="71"/>
      <c r="J4208" s="68" t="s">
        <v>17054</v>
      </c>
      <c r="K4208" s="76">
        <v>42954.0</v>
      </c>
      <c r="L4208" s="68" t="s">
        <v>14911</v>
      </c>
      <c r="M4208" s="68" t="s">
        <v>542</v>
      </c>
      <c r="N4208" s="61"/>
      <c r="O4208" s="51"/>
    </row>
    <row r="4209">
      <c r="A4209" s="56">
        <v>4206.0</v>
      </c>
      <c r="B4209" s="71"/>
      <c r="C4209" s="69" t="s">
        <v>17055</v>
      </c>
      <c r="D4209" s="71"/>
      <c r="E4209" s="68" t="s">
        <v>17056</v>
      </c>
      <c r="F4209" s="76">
        <v>41846.0</v>
      </c>
      <c r="G4209" s="68" t="s">
        <v>17057</v>
      </c>
      <c r="H4209" s="71"/>
      <c r="I4209" s="71"/>
      <c r="J4209" s="87" t="s">
        <v>17058</v>
      </c>
      <c r="K4209" s="76">
        <v>42954.0</v>
      </c>
      <c r="L4209" s="68" t="s">
        <v>2743</v>
      </c>
      <c r="M4209" s="68" t="s">
        <v>31</v>
      </c>
      <c r="N4209" s="77"/>
      <c r="O4209" s="51"/>
    </row>
    <row r="4210">
      <c r="A4210" s="56">
        <v>4207.0</v>
      </c>
      <c r="B4210" s="71"/>
      <c r="C4210" s="69" t="s">
        <v>17059</v>
      </c>
      <c r="D4210" s="71"/>
      <c r="E4210" s="68" t="s">
        <v>17060</v>
      </c>
      <c r="F4210" s="76">
        <v>42607.0</v>
      </c>
      <c r="G4210" s="68" t="s">
        <v>17061</v>
      </c>
      <c r="H4210" s="71"/>
      <c r="I4210" s="71"/>
      <c r="J4210" s="68" t="s">
        <v>17062</v>
      </c>
      <c r="K4210" s="76">
        <v>42954.0</v>
      </c>
      <c r="L4210" s="68" t="s">
        <v>2743</v>
      </c>
      <c r="M4210" s="68" t="s">
        <v>368</v>
      </c>
      <c r="N4210" s="61"/>
      <c r="O4210" s="51"/>
    </row>
    <row r="4211">
      <c r="A4211" s="56">
        <v>4208.0</v>
      </c>
      <c r="B4211" s="71"/>
      <c r="C4211" s="69" t="s">
        <v>17063</v>
      </c>
      <c r="D4211" s="71"/>
      <c r="E4211" s="68" t="s">
        <v>17064</v>
      </c>
      <c r="F4211" s="76">
        <v>42607.0</v>
      </c>
      <c r="G4211" s="68" t="s">
        <v>17061</v>
      </c>
      <c r="H4211" s="71"/>
      <c r="I4211" s="71"/>
      <c r="J4211" s="68" t="s">
        <v>17065</v>
      </c>
      <c r="K4211" s="76">
        <v>42954.0</v>
      </c>
      <c r="L4211" s="68" t="s">
        <v>2743</v>
      </c>
      <c r="M4211" s="68" t="s">
        <v>368</v>
      </c>
      <c r="N4211" s="61"/>
      <c r="O4211" s="51"/>
    </row>
    <row r="4212">
      <c r="A4212" s="56">
        <v>4209.0</v>
      </c>
      <c r="B4212" s="66"/>
      <c r="C4212" s="64" t="s">
        <v>17066</v>
      </c>
      <c r="D4212" s="66"/>
      <c r="E4212" s="63" t="s">
        <v>17067</v>
      </c>
      <c r="F4212" s="70">
        <v>41461.0</v>
      </c>
      <c r="G4212" s="63" t="s">
        <v>17068</v>
      </c>
      <c r="H4212" s="66"/>
      <c r="I4212" s="66"/>
      <c r="J4212" s="63" t="s">
        <v>2872</v>
      </c>
      <c r="K4212" s="70">
        <v>42954.0</v>
      </c>
      <c r="L4212" s="63" t="s">
        <v>2743</v>
      </c>
      <c r="M4212" s="63" t="s">
        <v>125</v>
      </c>
      <c r="N4212" s="61"/>
      <c r="O4212" s="51"/>
    </row>
    <row r="4213">
      <c r="A4213" s="56">
        <v>4210.0</v>
      </c>
      <c r="B4213" s="66"/>
      <c r="C4213" s="64" t="s">
        <v>17069</v>
      </c>
      <c r="D4213" s="66"/>
      <c r="E4213" s="63" t="s">
        <v>17070</v>
      </c>
      <c r="F4213" s="70">
        <v>41461.0</v>
      </c>
      <c r="G4213" s="63" t="s">
        <v>17071</v>
      </c>
      <c r="H4213" s="66"/>
      <c r="I4213" s="66"/>
      <c r="J4213" s="63" t="s">
        <v>2872</v>
      </c>
      <c r="K4213" s="70">
        <v>42954.0</v>
      </c>
      <c r="L4213" s="63" t="s">
        <v>2743</v>
      </c>
      <c r="M4213" s="63" t="s">
        <v>125</v>
      </c>
      <c r="N4213" s="61"/>
      <c r="O4213" s="51"/>
    </row>
    <row r="4214">
      <c r="A4214" s="56">
        <v>4211.0</v>
      </c>
      <c r="B4214" s="71"/>
      <c r="C4214" s="69" t="s">
        <v>17072</v>
      </c>
      <c r="D4214" s="71"/>
      <c r="E4214" s="68" t="s">
        <v>17073</v>
      </c>
      <c r="F4214" s="76">
        <v>42934.0</v>
      </c>
      <c r="G4214" s="68" t="s">
        <v>17074</v>
      </c>
      <c r="H4214" s="71"/>
      <c r="I4214" s="68" t="s">
        <v>17075</v>
      </c>
      <c r="J4214" s="68" t="s">
        <v>17076</v>
      </c>
      <c r="K4214" s="76">
        <v>42954.0</v>
      </c>
      <c r="L4214" s="68" t="s">
        <v>2743</v>
      </c>
      <c r="M4214" s="68" t="s">
        <v>15904</v>
      </c>
      <c r="N4214" s="61"/>
      <c r="O4214" s="51"/>
    </row>
    <row r="4215">
      <c r="A4215" s="56">
        <v>4212.0</v>
      </c>
      <c r="B4215" s="71"/>
      <c r="C4215" s="69" t="s">
        <v>17077</v>
      </c>
      <c r="D4215" s="71"/>
      <c r="E4215" s="68" t="s">
        <v>17078</v>
      </c>
      <c r="F4215" s="76">
        <v>42935.0</v>
      </c>
      <c r="G4215" s="68" t="s">
        <v>17079</v>
      </c>
      <c r="H4215" s="71"/>
      <c r="I4215" s="71"/>
      <c r="J4215" s="68" t="s">
        <v>17080</v>
      </c>
      <c r="K4215" s="76">
        <v>42954.0</v>
      </c>
      <c r="L4215" s="68" t="s">
        <v>14256</v>
      </c>
      <c r="M4215" s="68" t="s">
        <v>166</v>
      </c>
      <c r="N4215" s="77"/>
      <c r="O4215" s="51"/>
    </row>
    <row r="4216">
      <c r="A4216" s="56">
        <v>4213.0</v>
      </c>
      <c r="B4216" s="71"/>
      <c r="C4216" s="69" t="s">
        <v>17081</v>
      </c>
      <c r="D4216" s="71"/>
      <c r="E4216" s="68" t="s">
        <v>17082</v>
      </c>
      <c r="F4216" s="76">
        <v>42941.0</v>
      </c>
      <c r="G4216" s="68" t="s">
        <v>17083</v>
      </c>
      <c r="H4216" s="71"/>
      <c r="I4216" s="71"/>
      <c r="J4216" s="68" t="s">
        <v>17084</v>
      </c>
      <c r="K4216" s="76">
        <v>42954.0</v>
      </c>
      <c r="L4216" s="68" t="s">
        <v>14256</v>
      </c>
      <c r="M4216" s="68" t="s">
        <v>166</v>
      </c>
      <c r="N4216" s="77"/>
      <c r="O4216" s="51"/>
    </row>
    <row r="4217">
      <c r="A4217" s="56">
        <v>4214.0</v>
      </c>
      <c r="B4217" s="66"/>
      <c r="C4217" s="64" t="s">
        <v>17085</v>
      </c>
      <c r="D4217" s="66"/>
      <c r="E4217" s="63" t="s">
        <v>17086</v>
      </c>
      <c r="F4217" s="70">
        <v>42891.0</v>
      </c>
      <c r="G4217" s="63" t="s">
        <v>17087</v>
      </c>
      <c r="H4217" s="63" t="s">
        <v>17088</v>
      </c>
      <c r="I4217" s="66"/>
      <c r="J4217" s="63" t="s">
        <v>6262</v>
      </c>
      <c r="K4217" s="70">
        <v>42954.0</v>
      </c>
      <c r="L4217" s="63" t="s">
        <v>14256</v>
      </c>
      <c r="M4217" s="63" t="s">
        <v>368</v>
      </c>
      <c r="N4217" s="61"/>
      <c r="O4217" s="51"/>
    </row>
    <row r="4218">
      <c r="A4218" s="56">
        <v>4215.0</v>
      </c>
      <c r="B4218" s="66"/>
      <c r="C4218" s="64" t="s">
        <v>17089</v>
      </c>
      <c r="D4218" s="66"/>
      <c r="E4218" s="63" t="s">
        <v>17090</v>
      </c>
      <c r="F4218" s="70">
        <v>42312.0</v>
      </c>
      <c r="G4218" s="63" t="s">
        <v>17091</v>
      </c>
      <c r="H4218" s="66"/>
      <c r="I4218" s="66"/>
      <c r="J4218" s="63" t="s">
        <v>6262</v>
      </c>
      <c r="K4218" s="70">
        <v>42954.0</v>
      </c>
      <c r="L4218" s="63" t="s">
        <v>14256</v>
      </c>
      <c r="M4218" s="63" t="s">
        <v>368</v>
      </c>
      <c r="N4218" s="61"/>
      <c r="O4218" s="51"/>
    </row>
    <row r="4219">
      <c r="A4219" s="56">
        <v>4216.0</v>
      </c>
      <c r="B4219" s="71"/>
      <c r="C4219" s="69" t="s">
        <v>17092</v>
      </c>
      <c r="D4219" s="71"/>
      <c r="E4219" s="68" t="s">
        <v>17093</v>
      </c>
      <c r="F4219" s="68">
        <v>2016.0</v>
      </c>
      <c r="G4219" s="68" t="s">
        <v>17094</v>
      </c>
      <c r="H4219" s="71"/>
      <c r="I4219" s="71"/>
      <c r="J4219" s="68" t="s">
        <v>17095</v>
      </c>
      <c r="K4219" s="76">
        <v>42954.0</v>
      </c>
      <c r="L4219" s="68" t="s">
        <v>2743</v>
      </c>
      <c r="M4219" s="68" t="s">
        <v>195</v>
      </c>
      <c r="N4219" s="61"/>
      <c r="O4219" s="51"/>
    </row>
    <row r="4220">
      <c r="A4220" s="56">
        <v>4217.0</v>
      </c>
      <c r="B4220" s="71"/>
      <c r="C4220" s="69" t="s">
        <v>17096</v>
      </c>
      <c r="D4220" s="71"/>
      <c r="E4220" s="68" t="s">
        <v>17097</v>
      </c>
      <c r="F4220" s="76">
        <v>42562.0</v>
      </c>
      <c r="G4220" s="68" t="s">
        <v>17098</v>
      </c>
      <c r="H4220" s="71"/>
      <c r="I4220" s="71"/>
      <c r="J4220" s="68" t="s">
        <v>17099</v>
      </c>
      <c r="K4220" s="76">
        <v>42954.0</v>
      </c>
      <c r="L4220" s="68" t="s">
        <v>14256</v>
      </c>
      <c r="M4220" s="68" t="s">
        <v>542</v>
      </c>
      <c r="N4220" s="77"/>
      <c r="O4220" s="51"/>
    </row>
    <row r="4221">
      <c r="A4221" s="56">
        <v>4218.0</v>
      </c>
      <c r="B4221" s="71"/>
      <c r="C4221" s="69" t="s">
        <v>17100</v>
      </c>
      <c r="D4221" s="71"/>
      <c r="E4221" s="68" t="s">
        <v>17101</v>
      </c>
      <c r="F4221" s="76">
        <v>40824.0</v>
      </c>
      <c r="G4221" s="68" t="s">
        <v>17102</v>
      </c>
      <c r="H4221" s="71"/>
      <c r="I4221" s="71"/>
      <c r="J4221" s="68" t="s">
        <v>17103</v>
      </c>
      <c r="K4221" s="76">
        <v>42957.0</v>
      </c>
      <c r="L4221" s="68" t="s">
        <v>2743</v>
      </c>
      <c r="M4221" s="68" t="s">
        <v>9260</v>
      </c>
      <c r="N4221" s="77"/>
      <c r="O4221" s="51"/>
    </row>
    <row r="4222">
      <c r="A4222" s="56">
        <v>4219.0</v>
      </c>
      <c r="B4222" s="71"/>
      <c r="C4222" s="69" t="s">
        <v>17104</v>
      </c>
      <c r="D4222" s="71"/>
      <c r="E4222" s="68" t="s">
        <v>17105</v>
      </c>
      <c r="F4222" s="183">
        <v>41852.0</v>
      </c>
      <c r="G4222" s="68" t="s">
        <v>17106</v>
      </c>
      <c r="H4222" s="71"/>
      <c r="I4222" s="71"/>
      <c r="J4222" s="68" t="s">
        <v>17107</v>
      </c>
      <c r="K4222" s="76">
        <v>42958.0</v>
      </c>
      <c r="L4222" s="68" t="s">
        <v>2743</v>
      </c>
      <c r="M4222" s="68" t="s">
        <v>195</v>
      </c>
      <c r="N4222" s="61"/>
      <c r="O4222" s="51"/>
    </row>
    <row r="4223">
      <c r="A4223" s="56">
        <v>4220.0</v>
      </c>
      <c r="B4223" s="71"/>
      <c r="C4223" s="69" t="s">
        <v>17108</v>
      </c>
      <c r="D4223" s="71"/>
      <c r="E4223" s="68" t="s">
        <v>17109</v>
      </c>
      <c r="F4223" s="68">
        <v>2017.0</v>
      </c>
      <c r="G4223" s="68" t="s">
        <v>17110</v>
      </c>
      <c r="H4223" s="71"/>
      <c r="I4223" s="71"/>
      <c r="J4223" s="87" t="s">
        <v>17111</v>
      </c>
      <c r="K4223" s="76">
        <v>42958.0</v>
      </c>
      <c r="L4223" s="68" t="s">
        <v>2743</v>
      </c>
      <c r="M4223" s="68" t="s">
        <v>27</v>
      </c>
      <c r="N4223" s="61"/>
      <c r="O4223" s="51"/>
    </row>
    <row r="4224">
      <c r="A4224" s="56">
        <v>4221.0</v>
      </c>
      <c r="B4224" s="71"/>
      <c r="C4224" s="69" t="s">
        <v>17112</v>
      </c>
      <c r="D4224" s="71"/>
      <c r="E4224" s="68" t="s">
        <v>17113</v>
      </c>
      <c r="F4224" s="76">
        <v>41752.0</v>
      </c>
      <c r="G4224" s="68" t="s">
        <v>17114</v>
      </c>
      <c r="H4224" s="71"/>
      <c r="I4224" s="71"/>
      <c r="J4224" s="87" t="s">
        <v>17115</v>
      </c>
      <c r="K4224" s="76">
        <v>42958.0</v>
      </c>
      <c r="L4224" s="68" t="s">
        <v>2743</v>
      </c>
      <c r="M4224" s="68" t="s">
        <v>368</v>
      </c>
      <c r="N4224" s="77"/>
      <c r="O4224" s="51"/>
    </row>
    <row r="4225">
      <c r="A4225" s="56">
        <v>4222.0</v>
      </c>
      <c r="B4225" s="71"/>
      <c r="C4225" s="69" t="s">
        <v>17116</v>
      </c>
      <c r="D4225" s="71"/>
      <c r="E4225" s="68" t="s">
        <v>17117</v>
      </c>
      <c r="F4225" s="76">
        <v>42793.0</v>
      </c>
      <c r="G4225" s="68" t="s">
        <v>17118</v>
      </c>
      <c r="H4225" s="71"/>
      <c r="I4225" s="71"/>
      <c r="J4225" s="68" t="s">
        <v>17119</v>
      </c>
      <c r="K4225" s="76">
        <v>42959.0</v>
      </c>
      <c r="L4225" s="68" t="s">
        <v>2743</v>
      </c>
      <c r="M4225" s="68" t="s">
        <v>143</v>
      </c>
      <c r="N4225" s="77"/>
      <c r="O4225" s="51"/>
    </row>
    <row r="4226">
      <c r="A4226" s="56">
        <v>4223.0</v>
      </c>
      <c r="B4226" s="71"/>
      <c r="C4226" s="69" t="s">
        <v>17120</v>
      </c>
      <c r="D4226" s="71"/>
      <c r="E4226" s="68" t="s">
        <v>17121</v>
      </c>
      <c r="F4226" s="71"/>
      <c r="G4226" s="71"/>
      <c r="H4226" s="71"/>
      <c r="I4226" s="71"/>
      <c r="J4226" s="68" t="s">
        <v>17122</v>
      </c>
      <c r="K4226" s="76">
        <v>42959.0</v>
      </c>
      <c r="L4226" s="68" t="s">
        <v>17123</v>
      </c>
      <c r="M4226" s="71"/>
      <c r="N4226" s="61"/>
      <c r="O4226" s="51"/>
    </row>
    <row r="4227">
      <c r="A4227" s="56">
        <v>4224.0</v>
      </c>
      <c r="B4227" s="71"/>
      <c r="C4227" s="69" t="s">
        <v>17124</v>
      </c>
      <c r="D4227" s="71"/>
      <c r="E4227" s="68" t="s">
        <v>17125</v>
      </c>
      <c r="F4227" s="71"/>
      <c r="G4227" s="71"/>
      <c r="H4227" s="71"/>
      <c r="I4227" s="71"/>
      <c r="J4227" s="68" t="s">
        <v>17126</v>
      </c>
      <c r="K4227" s="76">
        <v>42959.0</v>
      </c>
      <c r="L4227" s="68" t="s">
        <v>17123</v>
      </c>
      <c r="M4227" s="68" t="s">
        <v>2263</v>
      </c>
      <c r="N4227" s="61"/>
      <c r="O4227" s="51"/>
    </row>
    <row r="4228">
      <c r="A4228" s="56">
        <v>4225.0</v>
      </c>
      <c r="B4228" s="71"/>
      <c r="C4228" s="69" t="s">
        <v>17127</v>
      </c>
      <c r="D4228" s="71"/>
      <c r="E4228" s="68" t="s">
        <v>17128</v>
      </c>
      <c r="F4228" s="83">
        <v>41965.0</v>
      </c>
      <c r="G4228" s="68" t="s">
        <v>17129</v>
      </c>
      <c r="H4228" s="71"/>
      <c r="I4228" s="71"/>
      <c r="J4228" s="68" t="s">
        <v>17130</v>
      </c>
      <c r="K4228" s="76">
        <v>42959.0</v>
      </c>
      <c r="L4228" s="68" t="s">
        <v>13810</v>
      </c>
      <c r="M4228" s="68" t="s">
        <v>4749</v>
      </c>
      <c r="N4228" s="77"/>
      <c r="O4228" s="51"/>
    </row>
    <row r="4229">
      <c r="A4229" s="56">
        <v>4226.0</v>
      </c>
      <c r="B4229" s="71"/>
      <c r="C4229" s="69" t="s">
        <v>17131</v>
      </c>
      <c r="D4229" s="71"/>
      <c r="E4229" s="68" t="s">
        <v>17132</v>
      </c>
      <c r="F4229" s="83">
        <v>37216.0</v>
      </c>
      <c r="G4229" s="68" t="s">
        <v>17133</v>
      </c>
      <c r="H4229" s="71"/>
      <c r="I4229" s="71"/>
      <c r="J4229" s="68" t="s">
        <v>17134</v>
      </c>
      <c r="K4229" s="76">
        <v>42963.0</v>
      </c>
      <c r="L4229" s="68" t="s">
        <v>2743</v>
      </c>
      <c r="M4229" s="68" t="s">
        <v>14456</v>
      </c>
      <c r="N4229" s="77"/>
      <c r="O4229" s="51"/>
    </row>
    <row r="4230">
      <c r="A4230" s="56">
        <v>4227.0</v>
      </c>
      <c r="B4230" s="66"/>
      <c r="C4230" s="64" t="s">
        <v>17135</v>
      </c>
      <c r="D4230" s="66"/>
      <c r="E4230" s="63" t="s">
        <v>17136</v>
      </c>
      <c r="F4230" s="70">
        <v>40009.0</v>
      </c>
      <c r="G4230" s="63" t="s">
        <v>17137</v>
      </c>
      <c r="H4230" s="66"/>
      <c r="I4230" s="66"/>
      <c r="J4230" s="63" t="s">
        <v>5946</v>
      </c>
      <c r="K4230" s="70">
        <v>42963.0</v>
      </c>
      <c r="L4230" s="63" t="s">
        <v>2743</v>
      </c>
      <c r="M4230" s="63" t="s">
        <v>2466</v>
      </c>
      <c r="N4230" s="61"/>
      <c r="O4230" s="51"/>
    </row>
    <row r="4231">
      <c r="A4231" s="56">
        <v>4228.0</v>
      </c>
      <c r="B4231" s="71"/>
      <c r="C4231" s="69" t="s">
        <v>17138</v>
      </c>
      <c r="D4231" s="71"/>
      <c r="E4231" s="68" t="s">
        <v>17139</v>
      </c>
      <c r="F4231" s="83">
        <v>42704.0</v>
      </c>
      <c r="G4231" s="68" t="s">
        <v>17140</v>
      </c>
      <c r="H4231" s="71"/>
      <c r="I4231" s="71"/>
      <c r="J4231" s="68" t="s">
        <v>17141</v>
      </c>
      <c r="K4231" s="76">
        <v>42963.0</v>
      </c>
      <c r="L4231" s="68" t="s">
        <v>2743</v>
      </c>
      <c r="M4231" s="68" t="s">
        <v>166</v>
      </c>
      <c r="N4231" s="61"/>
      <c r="O4231" s="51"/>
    </row>
    <row r="4232">
      <c r="A4232" s="56">
        <v>4229.0</v>
      </c>
      <c r="B4232" s="71"/>
      <c r="C4232" s="69" t="s">
        <v>17142</v>
      </c>
      <c r="D4232" s="71"/>
      <c r="E4232" s="68" t="s">
        <v>17143</v>
      </c>
      <c r="F4232" s="76">
        <v>42949.0</v>
      </c>
      <c r="G4232" s="68" t="s">
        <v>17144</v>
      </c>
      <c r="H4232" s="71"/>
      <c r="I4232" s="71"/>
      <c r="J4232" s="68" t="s">
        <v>17145</v>
      </c>
      <c r="K4232" s="76">
        <v>42964.0</v>
      </c>
      <c r="L4232" s="68" t="s">
        <v>14256</v>
      </c>
      <c r="M4232" s="68" t="s">
        <v>166</v>
      </c>
      <c r="N4232" s="61"/>
      <c r="O4232" s="51"/>
    </row>
    <row r="4233">
      <c r="A4233" s="56">
        <v>4230.0</v>
      </c>
      <c r="B4233" s="71"/>
      <c r="C4233" s="69" t="s">
        <v>17146</v>
      </c>
      <c r="D4233" s="71"/>
      <c r="E4233" s="68" t="s">
        <v>17147</v>
      </c>
      <c r="F4233" s="76">
        <v>42949.0</v>
      </c>
      <c r="G4233" s="68" t="s">
        <v>17144</v>
      </c>
      <c r="H4233" s="71"/>
      <c r="I4233" s="71"/>
      <c r="J4233" s="68" t="s">
        <v>17148</v>
      </c>
      <c r="K4233" s="76">
        <v>42964.0</v>
      </c>
      <c r="L4233" s="68" t="s">
        <v>14256</v>
      </c>
      <c r="M4233" s="68" t="s">
        <v>166</v>
      </c>
      <c r="N4233" s="61"/>
      <c r="O4233" s="51"/>
    </row>
    <row r="4234">
      <c r="A4234" s="56">
        <v>4231.0</v>
      </c>
      <c r="B4234" s="71"/>
      <c r="C4234" s="69" t="s">
        <v>17149</v>
      </c>
      <c r="D4234" s="71"/>
      <c r="E4234" s="68" t="s">
        <v>17150</v>
      </c>
      <c r="F4234" s="76">
        <v>42949.0</v>
      </c>
      <c r="G4234" s="68" t="s">
        <v>17151</v>
      </c>
      <c r="H4234" s="71"/>
      <c r="I4234" s="71"/>
      <c r="J4234" s="68" t="s">
        <v>17152</v>
      </c>
      <c r="K4234" s="76">
        <v>42964.0</v>
      </c>
      <c r="L4234" s="68" t="s">
        <v>14256</v>
      </c>
      <c r="M4234" s="68" t="s">
        <v>166</v>
      </c>
      <c r="N4234" s="61"/>
      <c r="O4234" s="51"/>
    </row>
    <row r="4235">
      <c r="A4235" s="56">
        <v>4232.0</v>
      </c>
      <c r="B4235" s="71"/>
      <c r="C4235" s="69" t="s">
        <v>17153</v>
      </c>
      <c r="D4235" s="71"/>
      <c r="E4235" s="68" t="s">
        <v>17154</v>
      </c>
      <c r="F4235" s="76">
        <v>42949.0</v>
      </c>
      <c r="G4235" s="68" t="s">
        <v>17155</v>
      </c>
      <c r="H4235" s="71"/>
      <c r="I4235" s="71"/>
      <c r="J4235" s="68" t="s">
        <v>148</v>
      </c>
      <c r="K4235" s="76">
        <v>42964.0</v>
      </c>
      <c r="L4235" s="68" t="s">
        <v>14256</v>
      </c>
      <c r="M4235" s="68" t="s">
        <v>166</v>
      </c>
      <c r="N4235" s="61"/>
      <c r="O4235" s="51"/>
    </row>
    <row r="4236">
      <c r="A4236" s="56">
        <v>4233.0</v>
      </c>
      <c r="B4236" s="71"/>
      <c r="C4236" s="69" t="s">
        <v>17156</v>
      </c>
      <c r="D4236" s="71"/>
      <c r="E4236" s="68" t="s">
        <v>17157</v>
      </c>
      <c r="F4236" s="76">
        <v>42879.0</v>
      </c>
      <c r="G4236" s="68" t="s">
        <v>17158</v>
      </c>
      <c r="H4236" s="71"/>
      <c r="I4236" s="71"/>
      <c r="J4236" s="68" t="s">
        <v>17159</v>
      </c>
      <c r="K4236" s="76">
        <v>42964.0</v>
      </c>
      <c r="L4236" s="68" t="s">
        <v>14256</v>
      </c>
      <c r="M4236" s="68" t="s">
        <v>166</v>
      </c>
      <c r="N4236" s="61"/>
      <c r="O4236" s="51"/>
    </row>
    <row r="4237">
      <c r="A4237" s="56">
        <v>4234.0</v>
      </c>
      <c r="B4237" s="71"/>
      <c r="C4237" s="69" t="s">
        <v>17160</v>
      </c>
      <c r="D4237" s="71"/>
      <c r="E4237" s="68" t="s">
        <v>17161</v>
      </c>
      <c r="F4237" s="71"/>
      <c r="G4237" s="68" t="s">
        <v>17162</v>
      </c>
      <c r="H4237" s="71"/>
      <c r="I4237" s="71"/>
      <c r="J4237" s="68" t="s">
        <v>17163</v>
      </c>
      <c r="K4237" s="76">
        <v>42964.0</v>
      </c>
      <c r="L4237" s="68" t="s">
        <v>14256</v>
      </c>
      <c r="M4237" s="68" t="s">
        <v>166</v>
      </c>
      <c r="N4237" s="77"/>
      <c r="O4237" s="51"/>
    </row>
    <row r="4238">
      <c r="A4238" s="56">
        <v>4235.0</v>
      </c>
      <c r="B4238" s="71"/>
      <c r="C4238" s="69" t="s">
        <v>17164</v>
      </c>
      <c r="D4238" s="71"/>
      <c r="E4238" s="68" t="s">
        <v>17165</v>
      </c>
      <c r="F4238" s="76">
        <v>39936.0</v>
      </c>
      <c r="G4238" s="68" t="s">
        <v>17166</v>
      </c>
      <c r="H4238" s="71"/>
      <c r="I4238" s="71"/>
      <c r="J4238" s="68" t="s">
        <v>17167</v>
      </c>
      <c r="K4238" s="76">
        <v>42965.0</v>
      </c>
      <c r="L4238" s="68" t="s">
        <v>2743</v>
      </c>
      <c r="M4238" s="68" t="s">
        <v>282</v>
      </c>
      <c r="N4238" s="77"/>
      <c r="O4238" s="51"/>
    </row>
    <row r="4239">
      <c r="A4239" s="56">
        <v>4236.0</v>
      </c>
      <c r="B4239" s="66"/>
      <c r="C4239" s="64" t="s">
        <v>17168</v>
      </c>
      <c r="D4239" s="66"/>
      <c r="E4239" s="63" t="s">
        <v>17169</v>
      </c>
      <c r="F4239" s="63">
        <v>2017.0</v>
      </c>
      <c r="G4239" s="63" t="s">
        <v>17170</v>
      </c>
      <c r="H4239" s="63" t="s">
        <v>17171</v>
      </c>
      <c r="I4239" s="63" t="s">
        <v>17172</v>
      </c>
      <c r="J4239" s="63" t="s">
        <v>136</v>
      </c>
      <c r="K4239" s="70">
        <v>42968.0</v>
      </c>
      <c r="L4239" s="63" t="s">
        <v>2743</v>
      </c>
      <c r="M4239" s="63" t="s">
        <v>143</v>
      </c>
      <c r="N4239" s="61"/>
      <c r="O4239" s="51"/>
    </row>
    <row r="4240">
      <c r="A4240" s="56">
        <v>4237.0</v>
      </c>
      <c r="B4240" s="66"/>
      <c r="C4240" s="64" t="s">
        <v>17173</v>
      </c>
      <c r="D4240" s="66"/>
      <c r="E4240" s="63" t="s">
        <v>17174</v>
      </c>
      <c r="F4240" s="70">
        <v>42809.0</v>
      </c>
      <c r="G4240" s="63" t="s">
        <v>17170</v>
      </c>
      <c r="H4240" s="63" t="s">
        <v>17175</v>
      </c>
      <c r="I4240" s="63" t="s">
        <v>17172</v>
      </c>
      <c r="J4240" s="63" t="s">
        <v>136</v>
      </c>
      <c r="K4240" s="70">
        <v>42968.0</v>
      </c>
      <c r="L4240" s="63" t="s">
        <v>2743</v>
      </c>
      <c r="M4240" s="63" t="s">
        <v>143</v>
      </c>
      <c r="N4240" s="61"/>
      <c r="O4240" s="51"/>
    </row>
    <row r="4241">
      <c r="A4241" s="56">
        <v>4238.0</v>
      </c>
      <c r="B4241" s="71"/>
      <c r="C4241" s="69" t="s">
        <v>17176</v>
      </c>
      <c r="D4241" s="71"/>
      <c r="E4241" s="68" t="s">
        <v>17177</v>
      </c>
      <c r="F4241" s="76">
        <v>42939.0</v>
      </c>
      <c r="G4241" s="68" t="s">
        <v>17178</v>
      </c>
      <c r="H4241" s="71"/>
      <c r="I4241" s="68" t="s">
        <v>17179</v>
      </c>
      <c r="J4241" s="68" t="s">
        <v>17180</v>
      </c>
      <c r="K4241" s="76">
        <v>42968.0</v>
      </c>
      <c r="L4241" s="68" t="s">
        <v>2743</v>
      </c>
      <c r="M4241" s="68" t="s">
        <v>4273</v>
      </c>
      <c r="N4241" s="61"/>
      <c r="O4241" s="51"/>
    </row>
    <row r="4242">
      <c r="A4242" s="56">
        <v>4239.0</v>
      </c>
      <c r="B4242" s="66"/>
      <c r="C4242" s="64" t="s">
        <v>17181</v>
      </c>
      <c r="D4242" s="66"/>
      <c r="E4242" s="63" t="s">
        <v>17182</v>
      </c>
      <c r="F4242" s="70">
        <v>42113.0</v>
      </c>
      <c r="G4242" s="63" t="s">
        <v>17183</v>
      </c>
      <c r="H4242" s="66"/>
      <c r="I4242" s="66"/>
      <c r="J4242" s="63" t="s">
        <v>2872</v>
      </c>
      <c r="K4242" s="70">
        <v>42968.0</v>
      </c>
      <c r="L4242" s="63" t="s">
        <v>2743</v>
      </c>
      <c r="M4242" s="63" t="s">
        <v>125</v>
      </c>
      <c r="N4242" s="61"/>
      <c r="O4242" s="51"/>
    </row>
    <row r="4243">
      <c r="A4243" s="56">
        <v>4240.0</v>
      </c>
      <c r="B4243" s="71"/>
      <c r="C4243" s="69" t="s">
        <v>17184</v>
      </c>
      <c r="D4243" s="71"/>
      <c r="E4243" s="68" t="s">
        <v>17185</v>
      </c>
      <c r="F4243" s="76">
        <v>42858.0</v>
      </c>
      <c r="G4243" s="68" t="s">
        <v>17186</v>
      </c>
      <c r="H4243" s="71"/>
      <c r="I4243" s="68" t="s">
        <v>17187</v>
      </c>
      <c r="J4243" s="68" t="s">
        <v>17188</v>
      </c>
      <c r="K4243" s="76">
        <v>42969.0</v>
      </c>
      <c r="L4243" s="68" t="s">
        <v>2743</v>
      </c>
      <c r="M4243" s="68" t="s">
        <v>31</v>
      </c>
      <c r="N4243" s="77"/>
      <c r="O4243" s="51"/>
    </row>
    <row r="4244">
      <c r="A4244" s="56">
        <v>4241.0</v>
      </c>
      <c r="B4244" s="71"/>
      <c r="C4244" s="69" t="s">
        <v>17189</v>
      </c>
      <c r="D4244" s="71"/>
      <c r="E4244" s="68" t="s">
        <v>17190</v>
      </c>
      <c r="F4244" s="83">
        <v>42299.0</v>
      </c>
      <c r="G4244" s="68" t="s">
        <v>17191</v>
      </c>
      <c r="H4244" s="71"/>
      <c r="I4244" s="71"/>
      <c r="J4244" s="68" t="s">
        <v>17192</v>
      </c>
      <c r="K4244" s="76">
        <v>42970.0</v>
      </c>
      <c r="L4244" s="68" t="s">
        <v>2743</v>
      </c>
      <c r="M4244" s="68" t="s">
        <v>195</v>
      </c>
      <c r="N4244" s="61"/>
      <c r="O4244" s="51"/>
    </row>
    <row r="4245">
      <c r="A4245" s="56">
        <v>4242.0</v>
      </c>
      <c r="B4245" s="71"/>
      <c r="C4245" s="69" t="s">
        <v>17193</v>
      </c>
      <c r="D4245" s="71"/>
      <c r="E4245" s="68" t="s">
        <v>17194</v>
      </c>
      <c r="F4245" s="76">
        <v>42942.0</v>
      </c>
      <c r="G4245" s="68" t="s">
        <v>17195</v>
      </c>
      <c r="H4245" s="71"/>
      <c r="I4245" s="71"/>
      <c r="J4245" s="68" t="s">
        <v>17196</v>
      </c>
      <c r="K4245" s="76">
        <v>42970.0</v>
      </c>
      <c r="L4245" s="68" t="s">
        <v>2743</v>
      </c>
      <c r="M4245" s="68" t="s">
        <v>195</v>
      </c>
      <c r="N4245" s="61"/>
      <c r="O4245" s="51"/>
    </row>
    <row r="4246">
      <c r="A4246" s="56">
        <v>4243.0</v>
      </c>
      <c r="B4246" s="71"/>
      <c r="C4246" s="69" t="s">
        <v>17197</v>
      </c>
      <c r="D4246" s="71"/>
      <c r="E4246" s="68" t="s">
        <v>17198</v>
      </c>
      <c r="F4246" s="76">
        <v>42589.0</v>
      </c>
      <c r="G4246" s="68" t="s">
        <v>17199</v>
      </c>
      <c r="H4246" s="71"/>
      <c r="I4246" s="71"/>
      <c r="J4246" s="87" t="s">
        <v>17200</v>
      </c>
      <c r="K4246" s="76">
        <v>42971.0</v>
      </c>
      <c r="L4246" s="68" t="s">
        <v>2743</v>
      </c>
      <c r="M4246" s="68" t="s">
        <v>4749</v>
      </c>
      <c r="N4246" s="77"/>
      <c r="O4246" s="51"/>
    </row>
    <row r="4247">
      <c r="A4247" s="56">
        <v>4244.0</v>
      </c>
      <c r="B4247" s="71"/>
      <c r="C4247" s="69" t="s">
        <v>17201</v>
      </c>
      <c r="D4247" s="71"/>
      <c r="E4247" s="68" t="s">
        <v>17202</v>
      </c>
      <c r="F4247" s="76">
        <v>42872.0</v>
      </c>
      <c r="G4247" s="68" t="s">
        <v>17203</v>
      </c>
      <c r="H4247" s="71"/>
      <c r="I4247" s="71"/>
      <c r="J4247" s="68" t="s">
        <v>17204</v>
      </c>
      <c r="K4247" s="76">
        <v>42971.0</v>
      </c>
      <c r="L4247" s="68" t="s">
        <v>2743</v>
      </c>
      <c r="M4247" s="68" t="s">
        <v>149</v>
      </c>
      <c r="N4247" s="61"/>
      <c r="O4247" s="51"/>
    </row>
    <row r="4248">
      <c r="A4248" s="56">
        <v>4245.0</v>
      </c>
      <c r="B4248" s="71"/>
      <c r="C4248" s="69" t="s">
        <v>17205</v>
      </c>
      <c r="D4248" s="71"/>
      <c r="E4248" s="68" t="s">
        <v>17206</v>
      </c>
      <c r="F4248" s="83">
        <v>41597.0</v>
      </c>
      <c r="G4248" s="68" t="s">
        <v>17207</v>
      </c>
      <c r="H4248" s="71"/>
      <c r="I4248" s="71"/>
      <c r="J4248" s="68" t="s">
        <v>17208</v>
      </c>
      <c r="K4248" s="76">
        <v>42971.0</v>
      </c>
      <c r="L4248" s="68" t="s">
        <v>2743</v>
      </c>
      <c r="M4248" s="68" t="s">
        <v>125</v>
      </c>
      <c r="N4248" s="77"/>
      <c r="O4248" s="51"/>
    </row>
    <row r="4249">
      <c r="A4249" s="56">
        <v>4246.0</v>
      </c>
      <c r="B4249" s="71"/>
      <c r="C4249" s="69" t="s">
        <v>17209</v>
      </c>
      <c r="D4249" s="71"/>
      <c r="E4249" s="68" t="s">
        <v>17210</v>
      </c>
      <c r="F4249" s="76">
        <v>41341.0</v>
      </c>
      <c r="G4249" s="68" t="s">
        <v>17211</v>
      </c>
      <c r="H4249" s="71"/>
      <c r="I4249" s="71"/>
      <c r="J4249" s="68" t="s">
        <v>17212</v>
      </c>
      <c r="K4249" s="76">
        <v>42971.0</v>
      </c>
      <c r="L4249" s="68" t="s">
        <v>13810</v>
      </c>
      <c r="M4249" s="68" t="s">
        <v>2097</v>
      </c>
      <c r="N4249" s="77"/>
      <c r="O4249" s="51"/>
    </row>
    <row r="4250">
      <c r="A4250" s="56">
        <v>4247.0</v>
      </c>
      <c r="B4250" s="71"/>
      <c r="C4250" s="69" t="s">
        <v>17213</v>
      </c>
      <c r="D4250" s="71"/>
      <c r="E4250" s="68" t="s">
        <v>17214</v>
      </c>
      <c r="F4250" s="76">
        <v>42952.0</v>
      </c>
      <c r="G4250" s="68" t="s">
        <v>17215</v>
      </c>
      <c r="H4250" s="71"/>
      <c r="I4250" s="71"/>
      <c r="J4250" s="68" t="s">
        <v>17216</v>
      </c>
      <c r="K4250" s="76">
        <v>42976.0</v>
      </c>
      <c r="L4250" s="68" t="s">
        <v>14256</v>
      </c>
      <c r="M4250" s="68" t="s">
        <v>15789</v>
      </c>
      <c r="N4250" s="61"/>
      <c r="O4250" s="51"/>
    </row>
    <row r="4251">
      <c r="A4251" s="56">
        <v>4248.0</v>
      </c>
      <c r="B4251" s="71"/>
      <c r="C4251" s="69" t="s">
        <v>17217</v>
      </c>
      <c r="D4251" s="71"/>
      <c r="E4251" s="68" t="s">
        <v>17218</v>
      </c>
      <c r="F4251" s="76">
        <v>42952.0</v>
      </c>
      <c r="G4251" s="68" t="s">
        <v>17219</v>
      </c>
      <c r="H4251" s="71"/>
      <c r="I4251" s="71"/>
      <c r="J4251" s="68" t="s">
        <v>17216</v>
      </c>
      <c r="K4251" s="76">
        <v>42976.0</v>
      </c>
      <c r="L4251" s="68" t="s">
        <v>14256</v>
      </c>
      <c r="M4251" s="68" t="s">
        <v>15789</v>
      </c>
      <c r="N4251" s="61"/>
      <c r="O4251" s="51"/>
    </row>
    <row r="4252">
      <c r="A4252" s="56">
        <v>4249.0</v>
      </c>
      <c r="B4252" s="71"/>
      <c r="C4252" s="69" t="s">
        <v>17220</v>
      </c>
      <c r="D4252" s="71"/>
      <c r="E4252" s="68" t="s">
        <v>17221</v>
      </c>
      <c r="F4252" s="76">
        <v>42952.0</v>
      </c>
      <c r="G4252" s="68" t="s">
        <v>17222</v>
      </c>
      <c r="H4252" s="71"/>
      <c r="I4252" s="71"/>
      <c r="J4252" s="68" t="s">
        <v>17223</v>
      </c>
      <c r="K4252" s="76">
        <v>42976.0</v>
      </c>
      <c r="L4252" s="68" t="s">
        <v>14256</v>
      </c>
      <c r="M4252" s="68" t="s">
        <v>15789</v>
      </c>
      <c r="N4252" s="61"/>
      <c r="O4252" s="51"/>
    </row>
    <row r="4253">
      <c r="A4253" s="56">
        <v>4250.0</v>
      </c>
      <c r="B4253" s="66"/>
      <c r="C4253" s="64" t="s">
        <v>17224</v>
      </c>
      <c r="D4253" s="66"/>
      <c r="E4253" s="63" t="s">
        <v>17225</v>
      </c>
      <c r="F4253" s="70">
        <v>41553.0</v>
      </c>
      <c r="G4253" s="63" t="s">
        <v>17226</v>
      </c>
      <c r="H4253" s="66"/>
      <c r="I4253" s="66"/>
      <c r="J4253" s="63" t="s">
        <v>6381</v>
      </c>
      <c r="K4253" s="70">
        <v>42977.0</v>
      </c>
      <c r="L4253" s="63" t="s">
        <v>2743</v>
      </c>
      <c r="M4253" s="63" t="s">
        <v>201</v>
      </c>
      <c r="N4253" s="61"/>
      <c r="O4253" s="51"/>
    </row>
    <row r="4254">
      <c r="A4254" s="56">
        <v>4251.0</v>
      </c>
      <c r="B4254" s="71"/>
      <c r="C4254" s="69" t="s">
        <v>17227</v>
      </c>
      <c r="D4254" s="71"/>
      <c r="E4254" s="68" t="s">
        <v>17228</v>
      </c>
      <c r="F4254" s="76">
        <v>42935.0</v>
      </c>
      <c r="G4254" s="68" t="s">
        <v>17229</v>
      </c>
      <c r="H4254" s="71"/>
      <c r="I4254" s="68" t="s">
        <v>17230</v>
      </c>
      <c r="J4254" s="68" t="s">
        <v>17231</v>
      </c>
      <c r="K4254" s="225">
        <v>42983.0</v>
      </c>
      <c r="L4254" s="68" t="s">
        <v>2743</v>
      </c>
      <c r="M4254" s="68" t="s">
        <v>166</v>
      </c>
      <c r="N4254" s="61"/>
      <c r="O4254" s="51"/>
    </row>
    <row r="4255">
      <c r="A4255" s="56">
        <v>4252.0</v>
      </c>
      <c r="B4255" s="71"/>
      <c r="C4255" s="69" t="s">
        <v>17232</v>
      </c>
      <c r="D4255" s="71"/>
      <c r="E4255" s="68" t="s">
        <v>17233</v>
      </c>
      <c r="F4255" s="76">
        <v>42638.0</v>
      </c>
      <c r="G4255" s="68" t="s">
        <v>17234</v>
      </c>
      <c r="H4255" s="71"/>
      <c r="I4255" s="68" t="s">
        <v>17230</v>
      </c>
      <c r="J4255" s="68" t="s">
        <v>17235</v>
      </c>
      <c r="K4255" s="76">
        <v>42983.0</v>
      </c>
      <c r="L4255" s="68" t="s">
        <v>2743</v>
      </c>
      <c r="M4255" s="68" t="s">
        <v>166</v>
      </c>
      <c r="N4255" s="77"/>
      <c r="O4255" s="51"/>
    </row>
    <row r="4256">
      <c r="A4256" s="56">
        <v>4253.0</v>
      </c>
      <c r="B4256" s="71"/>
      <c r="C4256" s="69" t="s">
        <v>17236</v>
      </c>
      <c r="D4256" s="71"/>
      <c r="E4256" s="68" t="s">
        <v>17237</v>
      </c>
      <c r="F4256" s="76">
        <v>42933.0</v>
      </c>
      <c r="G4256" s="68" t="s">
        <v>17238</v>
      </c>
      <c r="H4256" s="71"/>
      <c r="I4256" s="71"/>
      <c r="J4256" s="68" t="s">
        <v>17239</v>
      </c>
      <c r="K4256" s="225">
        <v>42983.0</v>
      </c>
      <c r="L4256" s="68" t="s">
        <v>2743</v>
      </c>
      <c r="M4256" s="68" t="s">
        <v>3407</v>
      </c>
      <c r="N4256" s="61"/>
      <c r="O4256" s="51"/>
    </row>
    <row r="4257">
      <c r="A4257" s="56">
        <v>4254.0</v>
      </c>
      <c r="B4257" s="71"/>
      <c r="C4257" s="69" t="s">
        <v>17240</v>
      </c>
      <c r="D4257" s="71"/>
      <c r="E4257" s="68" t="s">
        <v>17241</v>
      </c>
      <c r="F4257" s="76">
        <v>42799.0</v>
      </c>
      <c r="G4257" s="68" t="s">
        <v>17242</v>
      </c>
      <c r="H4257" s="71"/>
      <c r="I4257" s="71"/>
      <c r="J4257" s="68" t="s">
        <v>17243</v>
      </c>
      <c r="K4257" s="76">
        <v>42983.0</v>
      </c>
      <c r="L4257" s="68" t="s">
        <v>2743</v>
      </c>
      <c r="M4257" s="68" t="s">
        <v>4749</v>
      </c>
      <c r="N4257" s="77"/>
      <c r="O4257" s="51"/>
    </row>
    <row r="4258">
      <c r="A4258" s="56">
        <v>4255.0</v>
      </c>
      <c r="B4258" s="66"/>
      <c r="C4258" s="64" t="s">
        <v>17244</v>
      </c>
      <c r="D4258" s="66"/>
      <c r="E4258" s="63" t="s">
        <v>17245</v>
      </c>
      <c r="F4258" s="70">
        <v>42548.0</v>
      </c>
      <c r="G4258" s="63" t="s">
        <v>17246</v>
      </c>
      <c r="H4258" s="66"/>
      <c r="I4258" s="66"/>
      <c r="J4258" s="63" t="s">
        <v>6262</v>
      </c>
      <c r="K4258" s="70">
        <v>42983.0</v>
      </c>
      <c r="L4258" s="63" t="s">
        <v>2743</v>
      </c>
      <c r="M4258" s="63" t="s">
        <v>368</v>
      </c>
      <c r="N4258" s="61"/>
      <c r="O4258" s="51"/>
    </row>
    <row r="4259">
      <c r="A4259" s="56">
        <v>4256.0</v>
      </c>
      <c r="B4259" s="66"/>
      <c r="C4259" s="64" t="s">
        <v>17247</v>
      </c>
      <c r="D4259" s="66"/>
      <c r="E4259" s="63" t="s">
        <v>17248</v>
      </c>
      <c r="F4259" s="70">
        <v>39833.0</v>
      </c>
      <c r="G4259" s="63" t="s">
        <v>17249</v>
      </c>
      <c r="H4259" s="63" t="s">
        <v>17250</v>
      </c>
      <c r="I4259" s="66"/>
      <c r="J4259" s="63" t="s">
        <v>7442</v>
      </c>
      <c r="K4259" s="70">
        <v>42983.0</v>
      </c>
      <c r="L4259" s="63" t="s">
        <v>2743</v>
      </c>
      <c r="M4259" s="63" t="s">
        <v>282</v>
      </c>
      <c r="N4259" s="61"/>
      <c r="O4259" s="51"/>
    </row>
    <row r="4260">
      <c r="A4260" s="75">
        <v>4257.0</v>
      </c>
      <c r="B4260" s="71"/>
      <c r="C4260" s="69" t="s">
        <v>17251</v>
      </c>
      <c r="D4260" s="71"/>
      <c r="E4260" s="68" t="s">
        <v>17252</v>
      </c>
      <c r="F4260" s="68">
        <v>2009.0</v>
      </c>
      <c r="G4260" s="68" t="s">
        <v>17253</v>
      </c>
      <c r="H4260" s="68" t="s">
        <v>17254</v>
      </c>
      <c r="I4260" s="68" t="s">
        <v>17255</v>
      </c>
      <c r="J4260" s="68" t="s">
        <v>17256</v>
      </c>
      <c r="K4260" s="76">
        <v>42983.0</v>
      </c>
      <c r="L4260" s="68" t="s">
        <v>2743</v>
      </c>
      <c r="M4260" s="68" t="s">
        <v>530</v>
      </c>
      <c r="N4260" s="77"/>
      <c r="O4260" s="51"/>
    </row>
    <row r="4261">
      <c r="A4261" s="56">
        <v>4258.0</v>
      </c>
      <c r="B4261" s="66"/>
      <c r="C4261" s="64" t="s">
        <v>17257</v>
      </c>
      <c r="D4261" s="66"/>
      <c r="E4261" s="63" t="s">
        <v>17258</v>
      </c>
      <c r="F4261" s="70">
        <v>42131.0</v>
      </c>
      <c r="G4261" s="63" t="s">
        <v>17259</v>
      </c>
      <c r="H4261" s="66"/>
      <c r="I4261" s="63" t="s">
        <v>17260</v>
      </c>
      <c r="J4261" s="63" t="s">
        <v>10817</v>
      </c>
      <c r="K4261" s="70">
        <v>42983.0</v>
      </c>
      <c r="L4261" s="63" t="s">
        <v>2743</v>
      </c>
      <c r="M4261" s="63" t="s">
        <v>31</v>
      </c>
      <c r="N4261" s="61"/>
      <c r="O4261" s="51"/>
    </row>
    <row r="4262">
      <c r="A4262" s="56">
        <v>4259.0</v>
      </c>
      <c r="B4262" s="71"/>
      <c r="C4262" s="69" t="s">
        <v>17261</v>
      </c>
      <c r="D4262" s="71"/>
      <c r="E4262" s="68" t="s">
        <v>13831</v>
      </c>
      <c r="F4262" s="76">
        <v>42499.0</v>
      </c>
      <c r="G4262" s="68" t="s">
        <v>13832</v>
      </c>
      <c r="H4262" s="71"/>
      <c r="I4262" s="71"/>
      <c r="J4262" s="68" t="s">
        <v>17262</v>
      </c>
      <c r="K4262" s="76">
        <v>42983.0</v>
      </c>
      <c r="L4262" s="68" t="s">
        <v>2743</v>
      </c>
      <c r="M4262" s="68" t="s">
        <v>31</v>
      </c>
      <c r="N4262" s="61"/>
      <c r="O4262" s="51"/>
    </row>
    <row r="4263">
      <c r="A4263" s="56">
        <v>4260.0</v>
      </c>
      <c r="B4263" s="71"/>
      <c r="C4263" s="69" t="s">
        <v>17263</v>
      </c>
      <c r="D4263" s="71"/>
      <c r="E4263" s="68" t="s">
        <v>17264</v>
      </c>
      <c r="F4263" s="76">
        <v>39965.0</v>
      </c>
      <c r="G4263" s="68" t="s">
        <v>17265</v>
      </c>
      <c r="H4263" s="71"/>
      <c r="I4263" s="71"/>
      <c r="J4263" s="68" t="s">
        <v>17266</v>
      </c>
      <c r="K4263" s="76">
        <v>42983.0</v>
      </c>
      <c r="L4263" s="68" t="s">
        <v>2743</v>
      </c>
      <c r="M4263" s="68" t="s">
        <v>530</v>
      </c>
      <c r="N4263" s="77"/>
      <c r="O4263" s="51"/>
    </row>
    <row r="4264">
      <c r="A4264" s="56">
        <v>4261.0</v>
      </c>
      <c r="B4264" s="66"/>
      <c r="C4264" s="64" t="s">
        <v>17267</v>
      </c>
      <c r="D4264" s="66"/>
      <c r="E4264" s="63" t="s">
        <v>17268</v>
      </c>
      <c r="F4264" s="63">
        <v>2009.0</v>
      </c>
      <c r="G4264" s="80" t="s">
        <v>17269</v>
      </c>
      <c r="H4264" s="82"/>
      <c r="I4264" s="66"/>
      <c r="J4264" s="63" t="s">
        <v>1872</v>
      </c>
      <c r="K4264" s="70">
        <v>42983.0</v>
      </c>
      <c r="L4264" s="63" t="s">
        <v>2743</v>
      </c>
      <c r="M4264" s="63" t="s">
        <v>530</v>
      </c>
      <c r="N4264" s="61"/>
      <c r="O4264" s="51"/>
    </row>
    <row r="4265">
      <c r="A4265" s="56">
        <v>4262.0</v>
      </c>
      <c r="B4265" s="71"/>
      <c r="C4265" s="69" t="s">
        <v>17270</v>
      </c>
      <c r="D4265" s="71"/>
      <c r="E4265" s="68" t="s">
        <v>17271</v>
      </c>
      <c r="F4265" s="76">
        <v>42952.0</v>
      </c>
      <c r="G4265" s="71"/>
      <c r="H4265" s="71"/>
      <c r="I4265" s="66"/>
      <c r="J4265" s="68" t="s">
        <v>17272</v>
      </c>
      <c r="K4265" s="76">
        <v>42986.0</v>
      </c>
      <c r="L4265" s="68" t="s">
        <v>2743</v>
      </c>
      <c r="M4265" s="68" t="s">
        <v>166</v>
      </c>
      <c r="N4265" s="77"/>
      <c r="O4265" s="51"/>
    </row>
    <row r="4266">
      <c r="A4266" s="56">
        <v>4263.0</v>
      </c>
      <c r="B4266" s="66"/>
      <c r="C4266" s="64" t="s">
        <v>17273</v>
      </c>
      <c r="D4266" s="66"/>
      <c r="E4266" s="63" t="s">
        <v>17274</v>
      </c>
      <c r="F4266" s="70">
        <v>41875.0</v>
      </c>
      <c r="G4266" s="80" t="s">
        <v>17275</v>
      </c>
      <c r="H4266" s="82"/>
      <c r="I4266" s="66"/>
      <c r="J4266" s="63" t="s">
        <v>6393</v>
      </c>
      <c r="K4266" s="70">
        <v>42990.0</v>
      </c>
      <c r="L4266" s="63" t="s">
        <v>14911</v>
      </c>
      <c r="M4266" s="63" t="s">
        <v>195</v>
      </c>
      <c r="N4266" s="61"/>
      <c r="O4266" s="51"/>
    </row>
    <row r="4267">
      <c r="A4267" s="56">
        <v>4264.0</v>
      </c>
      <c r="B4267" s="71"/>
      <c r="C4267" s="69" t="s">
        <v>17276</v>
      </c>
      <c r="D4267" s="71"/>
      <c r="E4267" s="68" t="s">
        <v>17277</v>
      </c>
      <c r="F4267" s="83">
        <v>42653.0</v>
      </c>
      <c r="G4267" s="68" t="s">
        <v>17278</v>
      </c>
      <c r="H4267" s="71"/>
      <c r="I4267" s="71"/>
      <c r="J4267" s="68" t="s">
        <v>17279</v>
      </c>
      <c r="K4267" s="76">
        <v>42990.0</v>
      </c>
      <c r="L4267" s="68" t="s">
        <v>14911</v>
      </c>
      <c r="M4267" s="68" t="s">
        <v>195</v>
      </c>
      <c r="N4267" s="61"/>
      <c r="O4267" s="51"/>
    </row>
    <row r="4268">
      <c r="A4268" s="75">
        <v>4265.0</v>
      </c>
      <c r="B4268" s="71"/>
      <c r="C4268" s="69" t="s">
        <v>17280</v>
      </c>
      <c r="D4268" s="71"/>
      <c r="E4268" s="68" t="s">
        <v>17281</v>
      </c>
      <c r="F4268" s="76">
        <v>42778.0</v>
      </c>
      <c r="G4268" s="68" t="s">
        <v>17282</v>
      </c>
      <c r="H4268" s="71"/>
      <c r="I4268" s="68" t="s">
        <v>17283</v>
      </c>
      <c r="J4268" s="68" t="s">
        <v>17284</v>
      </c>
      <c r="K4268" s="76">
        <v>42990.0</v>
      </c>
      <c r="L4268" s="68" t="s">
        <v>14911</v>
      </c>
      <c r="M4268" s="68" t="s">
        <v>872</v>
      </c>
      <c r="N4268" s="77"/>
      <c r="O4268" s="51"/>
    </row>
    <row r="4269">
      <c r="A4269" s="56">
        <v>4266.0</v>
      </c>
      <c r="B4269" s="71"/>
      <c r="C4269" s="69" t="s">
        <v>17285</v>
      </c>
      <c r="D4269" s="71"/>
      <c r="E4269" s="68" t="s">
        <v>17286</v>
      </c>
      <c r="F4269" s="76">
        <v>42772.0</v>
      </c>
      <c r="G4269" s="68" t="s">
        <v>17287</v>
      </c>
      <c r="H4269" s="71"/>
      <c r="I4269" s="71"/>
      <c r="J4269" s="68" t="s">
        <v>17288</v>
      </c>
      <c r="K4269" s="76">
        <v>42990.0</v>
      </c>
      <c r="L4269" s="68" t="s">
        <v>14911</v>
      </c>
      <c r="M4269" s="68" t="s">
        <v>1516</v>
      </c>
      <c r="N4269" s="77"/>
      <c r="O4269" s="51"/>
    </row>
    <row r="4270">
      <c r="A4270" s="56">
        <v>4267.0</v>
      </c>
      <c r="B4270" s="66"/>
      <c r="C4270" s="64" t="s">
        <v>17289</v>
      </c>
      <c r="D4270" s="66"/>
      <c r="E4270" s="63" t="s">
        <v>17290</v>
      </c>
      <c r="F4270" s="70">
        <v>42762.0</v>
      </c>
      <c r="G4270" s="80" t="s">
        <v>17291</v>
      </c>
      <c r="H4270" s="80" t="s">
        <v>17292</v>
      </c>
      <c r="I4270" s="63" t="s">
        <v>17293</v>
      </c>
      <c r="J4270" s="63" t="s">
        <v>3575</v>
      </c>
      <c r="K4270" s="70">
        <v>42990.0</v>
      </c>
      <c r="L4270" s="63" t="s">
        <v>14911</v>
      </c>
      <c r="M4270" s="63" t="s">
        <v>2152</v>
      </c>
      <c r="N4270" s="61"/>
      <c r="O4270" s="51"/>
    </row>
    <row r="4271">
      <c r="A4271" s="56">
        <v>4268.0</v>
      </c>
      <c r="B4271" s="71"/>
      <c r="C4271" s="69" t="s">
        <v>17294</v>
      </c>
      <c r="D4271" s="71"/>
      <c r="E4271" s="68" t="s">
        <v>17295</v>
      </c>
      <c r="F4271" s="76">
        <v>42926.0</v>
      </c>
      <c r="G4271" s="68" t="s">
        <v>17296</v>
      </c>
      <c r="H4271" s="71"/>
      <c r="I4271" s="71"/>
      <c r="J4271" s="68" t="s">
        <v>17297</v>
      </c>
      <c r="K4271" s="76">
        <v>42990.0</v>
      </c>
      <c r="L4271" s="68" t="s">
        <v>14911</v>
      </c>
      <c r="M4271" s="68" t="s">
        <v>143</v>
      </c>
      <c r="N4271" s="61"/>
      <c r="O4271" s="51"/>
    </row>
    <row r="4272">
      <c r="A4272" s="75">
        <v>4269.0</v>
      </c>
      <c r="B4272" s="71"/>
      <c r="C4272" s="69" t="s">
        <v>17298</v>
      </c>
      <c r="D4272" s="71"/>
      <c r="E4272" s="68" t="s">
        <v>17299</v>
      </c>
      <c r="F4272" s="76">
        <v>41952.0</v>
      </c>
      <c r="G4272" s="68" t="s">
        <v>17300</v>
      </c>
      <c r="H4272" s="68" t="s">
        <v>17301</v>
      </c>
      <c r="I4272" s="71"/>
      <c r="J4272" s="68" t="s">
        <v>17302</v>
      </c>
      <c r="K4272" s="76">
        <v>42990.0</v>
      </c>
      <c r="L4272" s="68" t="s">
        <v>14911</v>
      </c>
      <c r="M4272" s="68" t="s">
        <v>17303</v>
      </c>
      <c r="N4272" s="77"/>
      <c r="O4272" s="51"/>
    </row>
    <row r="4273">
      <c r="A4273" s="56">
        <v>4270.0</v>
      </c>
      <c r="B4273" s="71"/>
      <c r="C4273" s="69" t="s">
        <v>17304</v>
      </c>
      <c r="D4273" s="71"/>
      <c r="E4273" s="68" t="s">
        <v>17305</v>
      </c>
      <c r="F4273" s="83">
        <v>42733.0</v>
      </c>
      <c r="G4273" s="68" t="s">
        <v>17306</v>
      </c>
      <c r="H4273" s="71"/>
      <c r="I4273" s="68" t="s">
        <v>17307</v>
      </c>
      <c r="J4273" s="68" t="s">
        <v>17308</v>
      </c>
      <c r="K4273" s="76">
        <v>42990.0</v>
      </c>
      <c r="L4273" s="68" t="s">
        <v>2743</v>
      </c>
      <c r="M4273" s="68" t="s">
        <v>15904</v>
      </c>
      <c r="N4273" s="61"/>
      <c r="O4273" s="51"/>
    </row>
    <row r="4274">
      <c r="A4274" s="56">
        <v>4271.0</v>
      </c>
      <c r="B4274" s="66"/>
      <c r="C4274" s="64" t="s">
        <v>17309</v>
      </c>
      <c r="D4274" s="66"/>
      <c r="E4274" s="63" t="s">
        <v>17310</v>
      </c>
      <c r="F4274" s="70">
        <v>42397.0</v>
      </c>
      <c r="G4274" s="80" t="s">
        <v>17311</v>
      </c>
      <c r="H4274" s="80" t="s">
        <v>17312</v>
      </c>
      <c r="I4274" s="66"/>
      <c r="J4274" s="63" t="s">
        <v>9175</v>
      </c>
      <c r="K4274" s="70">
        <v>42990.0</v>
      </c>
      <c r="L4274" s="63" t="s">
        <v>14911</v>
      </c>
      <c r="M4274" s="63" t="s">
        <v>143</v>
      </c>
      <c r="N4274" s="61"/>
      <c r="O4274" s="51"/>
    </row>
    <row r="4275">
      <c r="A4275" s="56">
        <v>4272.0</v>
      </c>
      <c r="B4275" s="66"/>
      <c r="C4275" s="64" t="s">
        <v>17313</v>
      </c>
      <c r="D4275" s="66"/>
      <c r="E4275" s="63" t="s">
        <v>17314</v>
      </c>
      <c r="F4275" s="70">
        <v>41434.0</v>
      </c>
      <c r="G4275" s="80" t="s">
        <v>17315</v>
      </c>
      <c r="H4275" s="82"/>
      <c r="I4275" s="66"/>
      <c r="J4275" s="63" t="s">
        <v>4801</v>
      </c>
      <c r="K4275" s="70">
        <v>42990.0</v>
      </c>
      <c r="L4275" s="63" t="s">
        <v>14911</v>
      </c>
      <c r="M4275" s="63" t="s">
        <v>149</v>
      </c>
      <c r="N4275" s="61"/>
      <c r="O4275" s="51"/>
    </row>
    <row r="4276">
      <c r="A4276" s="75">
        <v>4273.0</v>
      </c>
      <c r="B4276" s="71"/>
      <c r="C4276" s="69" t="s">
        <v>17316</v>
      </c>
      <c r="D4276" s="71"/>
      <c r="E4276" s="68" t="s">
        <v>17317</v>
      </c>
      <c r="F4276" s="68">
        <v>2010.0</v>
      </c>
      <c r="G4276" s="68" t="s">
        <v>17318</v>
      </c>
      <c r="H4276" s="71"/>
      <c r="I4276" s="71"/>
      <c r="J4276" s="68" t="s">
        <v>17319</v>
      </c>
      <c r="K4276" s="76">
        <v>42990.0</v>
      </c>
      <c r="L4276" s="68" t="s">
        <v>2743</v>
      </c>
      <c r="M4276" s="68" t="s">
        <v>27</v>
      </c>
      <c r="N4276" s="239"/>
      <c r="O4276" s="51"/>
    </row>
    <row r="4277">
      <c r="A4277" s="56">
        <v>4274.0</v>
      </c>
      <c r="B4277" s="66"/>
      <c r="C4277" s="64" t="s">
        <v>17320</v>
      </c>
      <c r="D4277" s="66"/>
      <c r="E4277" s="63" t="s">
        <v>17321</v>
      </c>
      <c r="F4277" s="70">
        <v>42564.0</v>
      </c>
      <c r="G4277" s="80" t="s">
        <v>17322</v>
      </c>
      <c r="H4277" s="82"/>
      <c r="I4277" s="66"/>
      <c r="J4277" s="63" t="s">
        <v>11049</v>
      </c>
      <c r="K4277" s="70">
        <v>42990.0</v>
      </c>
      <c r="L4277" s="63" t="s">
        <v>2743</v>
      </c>
      <c r="M4277" s="63" t="s">
        <v>27</v>
      </c>
      <c r="N4277" s="61"/>
      <c r="O4277" s="51"/>
    </row>
    <row r="4278">
      <c r="A4278" s="56">
        <v>4275.0</v>
      </c>
      <c r="B4278" s="71"/>
      <c r="C4278" s="69" t="s">
        <v>17323</v>
      </c>
      <c r="D4278" s="71"/>
      <c r="E4278" s="68" t="s">
        <v>17324</v>
      </c>
      <c r="F4278" s="76">
        <v>42836.0</v>
      </c>
      <c r="G4278" s="68" t="s">
        <v>17325</v>
      </c>
      <c r="H4278" s="71"/>
      <c r="I4278" s="71"/>
      <c r="J4278" s="68" t="s">
        <v>17326</v>
      </c>
      <c r="K4278" s="76">
        <v>42990.0</v>
      </c>
      <c r="L4278" s="68" t="s">
        <v>2743</v>
      </c>
      <c r="M4278" s="68" t="s">
        <v>166</v>
      </c>
      <c r="N4278" s="77"/>
      <c r="O4278" s="51"/>
    </row>
    <row r="4279">
      <c r="A4279" s="75">
        <v>4276.0</v>
      </c>
      <c r="B4279" s="71"/>
      <c r="C4279" s="69" t="s">
        <v>17327</v>
      </c>
      <c r="D4279" s="71"/>
      <c r="E4279" s="68" t="s">
        <v>17328</v>
      </c>
      <c r="F4279" s="76">
        <v>42850.0</v>
      </c>
      <c r="G4279" s="68" t="s">
        <v>17329</v>
      </c>
      <c r="H4279" s="71"/>
      <c r="I4279" s="71"/>
      <c r="J4279" s="68" t="s">
        <v>17330</v>
      </c>
      <c r="K4279" s="76">
        <v>42990.0</v>
      </c>
      <c r="L4279" s="68" t="s">
        <v>2743</v>
      </c>
      <c r="M4279" s="68" t="s">
        <v>403</v>
      </c>
      <c r="N4279" s="77"/>
      <c r="O4279" s="51"/>
    </row>
    <row r="4280">
      <c r="A4280" s="56">
        <v>4277.0</v>
      </c>
      <c r="B4280" s="71"/>
      <c r="C4280" s="69" t="s">
        <v>17331</v>
      </c>
      <c r="D4280" s="71"/>
      <c r="E4280" s="68" t="s">
        <v>17332</v>
      </c>
      <c r="F4280" s="71"/>
      <c r="G4280" s="68" t="s">
        <v>17333</v>
      </c>
      <c r="H4280" s="71"/>
      <c r="I4280" s="71"/>
      <c r="J4280" s="87" t="s">
        <v>17334</v>
      </c>
      <c r="K4280" s="76">
        <v>42990.0</v>
      </c>
      <c r="L4280" s="68" t="s">
        <v>2743</v>
      </c>
      <c r="M4280" s="68" t="s">
        <v>166</v>
      </c>
      <c r="N4280" s="77"/>
      <c r="O4280" s="51"/>
    </row>
    <row r="4281">
      <c r="A4281" s="75">
        <v>4278.0</v>
      </c>
      <c r="B4281" s="71"/>
      <c r="C4281" s="69" t="s">
        <v>17335</v>
      </c>
      <c r="D4281" s="71"/>
      <c r="E4281" s="68" t="s">
        <v>17336</v>
      </c>
      <c r="F4281" s="183">
        <v>39995.0</v>
      </c>
      <c r="G4281" s="68" t="s">
        <v>17337</v>
      </c>
      <c r="H4281" s="71"/>
      <c r="I4281" s="71"/>
      <c r="J4281" s="68" t="s">
        <v>1392</v>
      </c>
      <c r="K4281" s="76">
        <v>42990.0</v>
      </c>
      <c r="L4281" s="68" t="s">
        <v>2743</v>
      </c>
      <c r="M4281" s="68" t="s">
        <v>530</v>
      </c>
      <c r="N4281" s="77"/>
      <c r="O4281" s="51"/>
    </row>
    <row r="4282">
      <c r="A4282" s="56">
        <v>4279.0</v>
      </c>
      <c r="B4282" s="66"/>
      <c r="C4282" s="64" t="s">
        <v>17338</v>
      </c>
      <c r="D4282" s="66"/>
      <c r="E4282" s="63" t="s">
        <v>17339</v>
      </c>
      <c r="F4282" s="70">
        <v>42070.0</v>
      </c>
      <c r="G4282" s="80" t="s">
        <v>17340</v>
      </c>
      <c r="H4282" s="82"/>
      <c r="I4282" s="63" t="s">
        <v>17341</v>
      </c>
      <c r="J4282" s="63" t="s">
        <v>10817</v>
      </c>
      <c r="K4282" s="70">
        <v>42990.0</v>
      </c>
      <c r="L4282" s="63" t="s">
        <v>2743</v>
      </c>
      <c r="M4282" s="63" t="s">
        <v>31</v>
      </c>
      <c r="N4282" s="61"/>
      <c r="O4282" s="51"/>
    </row>
    <row r="4283">
      <c r="A4283" s="56">
        <v>4280.0</v>
      </c>
      <c r="B4283" s="66"/>
      <c r="C4283" s="64" t="s">
        <v>17342</v>
      </c>
      <c r="D4283" s="66"/>
      <c r="E4283" s="63" t="s">
        <v>17343</v>
      </c>
      <c r="F4283" s="70">
        <v>42070.0</v>
      </c>
      <c r="G4283" s="80" t="s">
        <v>17344</v>
      </c>
      <c r="H4283" s="80" t="s">
        <v>17345</v>
      </c>
      <c r="I4283" s="63" t="s">
        <v>17346</v>
      </c>
      <c r="J4283" s="63" t="s">
        <v>10817</v>
      </c>
      <c r="K4283" s="70">
        <v>42990.0</v>
      </c>
      <c r="L4283" s="63" t="s">
        <v>2743</v>
      </c>
      <c r="M4283" s="63" t="s">
        <v>31</v>
      </c>
      <c r="N4283" s="61"/>
      <c r="O4283" s="51"/>
    </row>
    <row r="4284">
      <c r="A4284" s="56">
        <v>4281.0</v>
      </c>
      <c r="B4284" s="66"/>
      <c r="C4284" s="64" t="s">
        <v>17347</v>
      </c>
      <c r="D4284" s="66"/>
      <c r="E4284" s="63" t="s">
        <v>17348</v>
      </c>
      <c r="F4284" s="63">
        <v>2009.0</v>
      </c>
      <c r="G4284" s="80" t="s">
        <v>17349</v>
      </c>
      <c r="H4284" s="82"/>
      <c r="I4284" s="66"/>
      <c r="J4284" s="63" t="s">
        <v>10817</v>
      </c>
      <c r="K4284" s="70">
        <v>42990.0</v>
      </c>
      <c r="L4284" s="63" t="s">
        <v>2743</v>
      </c>
      <c r="M4284" s="63" t="s">
        <v>31</v>
      </c>
      <c r="N4284" s="61"/>
      <c r="O4284" s="51"/>
    </row>
    <row r="4285">
      <c r="A4285" s="56">
        <v>4282.0</v>
      </c>
      <c r="B4285" s="66"/>
      <c r="C4285" s="64" t="s">
        <v>17350</v>
      </c>
      <c r="D4285" s="66"/>
      <c r="E4285" s="63" t="s">
        <v>17351</v>
      </c>
      <c r="F4285" s="63">
        <v>2009.0</v>
      </c>
      <c r="G4285" s="80" t="s">
        <v>17349</v>
      </c>
      <c r="H4285" s="82"/>
      <c r="I4285" s="66"/>
      <c r="J4285" s="63" t="s">
        <v>10817</v>
      </c>
      <c r="K4285" s="70">
        <v>42990.0</v>
      </c>
      <c r="L4285" s="63" t="s">
        <v>2743</v>
      </c>
      <c r="M4285" s="63" t="s">
        <v>31</v>
      </c>
      <c r="N4285" s="61"/>
      <c r="O4285" s="51"/>
    </row>
    <row r="4286">
      <c r="A4286" s="56">
        <v>4283.0</v>
      </c>
      <c r="B4286" s="71"/>
      <c r="C4286" s="69" t="s">
        <v>17352</v>
      </c>
      <c r="D4286" s="71"/>
      <c r="E4286" s="68" t="s">
        <v>17353</v>
      </c>
      <c r="F4286" s="68">
        <v>2014.0</v>
      </c>
      <c r="G4286" s="68" t="s">
        <v>17354</v>
      </c>
      <c r="H4286" s="71"/>
      <c r="I4286" s="71"/>
      <c r="J4286" s="68" t="s">
        <v>17355</v>
      </c>
      <c r="K4286" s="76">
        <v>42990.0</v>
      </c>
      <c r="L4286" s="68" t="s">
        <v>2743</v>
      </c>
      <c r="M4286" s="68" t="s">
        <v>2466</v>
      </c>
      <c r="N4286" s="77"/>
      <c r="O4286" s="51"/>
    </row>
    <row r="4287">
      <c r="A4287" s="56">
        <v>4284.0</v>
      </c>
      <c r="B4287" s="66"/>
      <c r="C4287" s="64" t="s">
        <v>17356</v>
      </c>
      <c r="D4287" s="66"/>
      <c r="E4287" s="63" t="s">
        <v>17357</v>
      </c>
      <c r="F4287" s="70">
        <v>42070.0</v>
      </c>
      <c r="G4287" s="80" t="s">
        <v>17358</v>
      </c>
      <c r="H4287" s="82"/>
      <c r="I4287" s="63" t="s">
        <v>17359</v>
      </c>
      <c r="J4287" s="63" t="s">
        <v>10817</v>
      </c>
      <c r="K4287" s="70">
        <v>42992.0</v>
      </c>
      <c r="L4287" s="63" t="s">
        <v>2743</v>
      </c>
      <c r="M4287" s="63" t="s">
        <v>31</v>
      </c>
      <c r="N4287" s="61"/>
      <c r="O4287" s="51"/>
    </row>
    <row r="4288">
      <c r="A4288" s="56">
        <v>4285.0</v>
      </c>
      <c r="B4288" s="71"/>
      <c r="C4288" s="69" t="s">
        <v>17360</v>
      </c>
      <c r="D4288" s="71"/>
      <c r="E4288" s="68" t="s">
        <v>17361</v>
      </c>
      <c r="F4288" s="68">
        <v>2010.0</v>
      </c>
      <c r="G4288" s="68" t="s">
        <v>17362</v>
      </c>
      <c r="H4288" s="71"/>
      <c r="I4288" s="71"/>
      <c r="J4288" s="68" t="s">
        <v>17363</v>
      </c>
      <c r="K4288" s="76">
        <v>42992.0</v>
      </c>
      <c r="L4288" s="68" t="s">
        <v>2743</v>
      </c>
      <c r="M4288" s="68" t="s">
        <v>2748</v>
      </c>
      <c r="N4288" s="61"/>
      <c r="O4288" s="51"/>
    </row>
    <row r="4289">
      <c r="A4289" s="56">
        <v>4286.0</v>
      </c>
      <c r="B4289" s="71"/>
      <c r="C4289" s="69" t="s">
        <v>17364</v>
      </c>
      <c r="D4289" s="71"/>
      <c r="E4289" s="68" t="s">
        <v>17365</v>
      </c>
      <c r="F4289" s="83">
        <v>41269.0</v>
      </c>
      <c r="G4289" s="68" t="s">
        <v>17366</v>
      </c>
      <c r="H4289" s="71"/>
      <c r="I4289" s="71"/>
      <c r="J4289" s="68" t="s">
        <v>17367</v>
      </c>
      <c r="K4289" s="76">
        <v>42992.0</v>
      </c>
      <c r="L4289" s="68" t="s">
        <v>2743</v>
      </c>
      <c r="M4289" s="68" t="s">
        <v>166</v>
      </c>
      <c r="N4289" s="77"/>
      <c r="O4289" s="51"/>
    </row>
    <row r="4290">
      <c r="A4290" s="56">
        <v>4287.0</v>
      </c>
      <c r="B4290" s="71"/>
      <c r="C4290" s="69" t="s">
        <v>17368</v>
      </c>
      <c r="D4290" s="71"/>
      <c r="E4290" s="68" t="s">
        <v>17369</v>
      </c>
      <c r="F4290" s="76">
        <v>42929.0</v>
      </c>
      <c r="G4290" s="68" t="s">
        <v>17370</v>
      </c>
      <c r="H4290" s="71"/>
      <c r="I4290" s="68" t="s">
        <v>17371</v>
      </c>
      <c r="J4290" s="68" t="s">
        <v>17372</v>
      </c>
      <c r="K4290" s="76">
        <v>42992.0</v>
      </c>
      <c r="L4290" s="68" t="s">
        <v>14911</v>
      </c>
      <c r="M4290" s="68" t="s">
        <v>149</v>
      </c>
      <c r="N4290" s="77"/>
      <c r="O4290" s="51"/>
    </row>
    <row r="4291">
      <c r="A4291" s="56">
        <v>4288.0</v>
      </c>
      <c r="B4291" s="71"/>
      <c r="C4291" s="69" t="s">
        <v>17373</v>
      </c>
      <c r="D4291" s="71"/>
      <c r="E4291" s="68" t="s">
        <v>17374</v>
      </c>
      <c r="F4291" s="76">
        <v>42370.0</v>
      </c>
      <c r="G4291" s="68" t="s">
        <v>17375</v>
      </c>
      <c r="H4291" s="71"/>
      <c r="I4291" s="71"/>
      <c r="J4291" s="68" t="s">
        <v>6973</v>
      </c>
      <c r="K4291" s="76">
        <v>42992.0</v>
      </c>
      <c r="L4291" s="68" t="s">
        <v>2743</v>
      </c>
      <c r="M4291" s="68" t="s">
        <v>166</v>
      </c>
      <c r="N4291" s="61"/>
      <c r="O4291" s="51"/>
    </row>
    <row r="4292">
      <c r="A4292" s="56">
        <v>4289.0</v>
      </c>
      <c r="B4292" s="66"/>
      <c r="C4292" s="64" t="s">
        <v>17376</v>
      </c>
      <c r="D4292" s="66"/>
      <c r="E4292" s="63" t="s">
        <v>17377</v>
      </c>
      <c r="F4292" s="70">
        <v>41700.0</v>
      </c>
      <c r="G4292" s="80" t="s">
        <v>17378</v>
      </c>
      <c r="H4292" s="82"/>
      <c r="I4292" s="66"/>
      <c r="J4292" s="63" t="s">
        <v>136</v>
      </c>
      <c r="K4292" s="70">
        <v>42992.0</v>
      </c>
      <c r="L4292" s="63" t="s">
        <v>2743</v>
      </c>
      <c r="M4292" s="88" t="s">
        <v>41</v>
      </c>
      <c r="N4292" s="61"/>
      <c r="O4292" s="51"/>
    </row>
    <row r="4293">
      <c r="A4293" s="56">
        <v>4290.0</v>
      </c>
      <c r="B4293" s="71"/>
      <c r="C4293" s="69" t="s">
        <v>17379</v>
      </c>
      <c r="D4293" s="71"/>
      <c r="E4293" s="68" t="s">
        <v>17380</v>
      </c>
      <c r="F4293" s="76">
        <v>42933.0</v>
      </c>
      <c r="G4293" s="68" t="s">
        <v>17381</v>
      </c>
      <c r="H4293" s="71"/>
      <c r="I4293" s="71"/>
      <c r="J4293" s="238" t="s">
        <v>17382</v>
      </c>
      <c r="K4293" s="225">
        <v>42994.0</v>
      </c>
      <c r="L4293" s="68" t="s">
        <v>2743</v>
      </c>
      <c r="M4293" s="68" t="s">
        <v>1182</v>
      </c>
      <c r="N4293" s="77"/>
      <c r="O4293" s="51"/>
    </row>
    <row r="4294">
      <c r="A4294" s="56">
        <v>4291.0</v>
      </c>
      <c r="B4294" s="71"/>
      <c r="C4294" s="69" t="s">
        <v>17383</v>
      </c>
      <c r="D4294" s="71"/>
      <c r="E4294" s="68" t="s">
        <v>17384</v>
      </c>
      <c r="F4294" s="76">
        <v>42968.0</v>
      </c>
      <c r="G4294" s="68" t="s">
        <v>17385</v>
      </c>
      <c r="H4294" s="71"/>
      <c r="I4294" s="71"/>
      <c r="J4294" s="128" t="s">
        <v>17386</v>
      </c>
      <c r="K4294" s="76">
        <v>42994.0</v>
      </c>
      <c r="L4294" s="68" t="s">
        <v>2743</v>
      </c>
      <c r="M4294" s="68" t="s">
        <v>195</v>
      </c>
      <c r="N4294" s="61"/>
      <c r="O4294" s="51"/>
    </row>
    <row r="4295">
      <c r="A4295" s="56">
        <v>4292.0</v>
      </c>
      <c r="B4295" s="240"/>
      <c r="C4295" s="69" t="s">
        <v>17387</v>
      </c>
      <c r="D4295" s="71"/>
      <c r="E4295" s="68" t="s">
        <v>17388</v>
      </c>
      <c r="F4295" s="183">
        <v>42614.0</v>
      </c>
      <c r="G4295" s="68" t="s">
        <v>17389</v>
      </c>
      <c r="H4295" s="71"/>
      <c r="I4295" s="71"/>
      <c r="J4295" s="68" t="s">
        <v>17390</v>
      </c>
      <c r="K4295" s="76">
        <v>43004.0</v>
      </c>
      <c r="L4295" s="68" t="s">
        <v>2743</v>
      </c>
      <c r="M4295" s="68" t="s">
        <v>149</v>
      </c>
      <c r="N4295" s="77"/>
      <c r="O4295" s="51"/>
    </row>
    <row r="4296">
      <c r="A4296" s="56">
        <v>4293.0</v>
      </c>
      <c r="B4296" s="240"/>
      <c r="C4296" s="69" t="s">
        <v>17391</v>
      </c>
      <c r="D4296" s="71"/>
      <c r="E4296" s="68" t="s">
        <v>17392</v>
      </c>
      <c r="F4296" s="76">
        <v>42458.0</v>
      </c>
      <c r="G4296" s="68" t="s">
        <v>17393</v>
      </c>
      <c r="H4296" s="71"/>
      <c r="I4296" s="71"/>
      <c r="J4296" s="68" t="s">
        <v>17394</v>
      </c>
      <c r="K4296" s="76">
        <v>43004.0</v>
      </c>
      <c r="L4296" s="68" t="s">
        <v>2743</v>
      </c>
      <c r="M4296" s="68" t="s">
        <v>1711</v>
      </c>
      <c r="N4296" s="61"/>
      <c r="O4296" s="51"/>
    </row>
    <row r="4297">
      <c r="A4297" s="56">
        <v>4294.0</v>
      </c>
      <c r="B4297" s="240"/>
      <c r="C4297" s="69" t="s">
        <v>17395</v>
      </c>
      <c r="D4297" s="71"/>
      <c r="E4297" s="68" t="s">
        <v>17396</v>
      </c>
      <c r="F4297" s="76">
        <v>42547.0</v>
      </c>
      <c r="G4297" s="68" t="s">
        <v>17397</v>
      </c>
      <c r="H4297" s="71"/>
      <c r="I4297" s="68" t="s">
        <v>17398</v>
      </c>
      <c r="J4297" s="68" t="s">
        <v>17399</v>
      </c>
      <c r="K4297" s="76">
        <v>43004.0</v>
      </c>
      <c r="L4297" s="68" t="s">
        <v>17400</v>
      </c>
      <c r="M4297" s="68" t="s">
        <v>17401</v>
      </c>
      <c r="N4297" s="61"/>
      <c r="O4297" s="51"/>
    </row>
    <row r="4298">
      <c r="A4298" s="56">
        <v>4295.0</v>
      </c>
      <c r="B4298" s="240"/>
      <c r="C4298" s="69" t="s">
        <v>17402</v>
      </c>
      <c r="D4298" s="71"/>
      <c r="E4298" s="68" t="s">
        <v>17403</v>
      </c>
      <c r="F4298" s="76">
        <v>42133.0</v>
      </c>
      <c r="G4298" s="68" t="s">
        <v>17404</v>
      </c>
      <c r="H4298" s="71"/>
      <c r="I4298" s="71"/>
      <c r="J4298" s="68" t="s">
        <v>17405</v>
      </c>
      <c r="K4298" s="76">
        <v>43004.0</v>
      </c>
      <c r="L4298" s="68" t="s">
        <v>2743</v>
      </c>
      <c r="M4298" s="68" t="s">
        <v>166</v>
      </c>
      <c r="N4298" s="77"/>
      <c r="O4298" s="51"/>
    </row>
    <row r="4299">
      <c r="A4299" s="56">
        <v>4296.0</v>
      </c>
      <c r="B4299" s="240"/>
      <c r="C4299" s="69" t="s">
        <v>17406</v>
      </c>
      <c r="D4299" s="71"/>
      <c r="E4299" s="68" t="s">
        <v>17407</v>
      </c>
      <c r="F4299" s="76">
        <v>42253.0</v>
      </c>
      <c r="G4299" s="68" t="s">
        <v>17408</v>
      </c>
      <c r="H4299" s="71"/>
      <c r="I4299" s="71"/>
      <c r="J4299" s="68" t="s">
        <v>17409</v>
      </c>
      <c r="K4299" s="76">
        <v>43004.0</v>
      </c>
      <c r="L4299" s="68" t="s">
        <v>2743</v>
      </c>
      <c r="M4299" s="68" t="s">
        <v>195</v>
      </c>
      <c r="N4299" s="77"/>
      <c r="O4299" s="51"/>
    </row>
    <row r="4300">
      <c r="A4300" s="56">
        <v>4297.0</v>
      </c>
      <c r="B4300" s="240"/>
      <c r="C4300" s="69" t="s">
        <v>17410</v>
      </c>
      <c r="D4300" s="71"/>
      <c r="E4300" s="68" t="s">
        <v>17411</v>
      </c>
      <c r="F4300" s="76">
        <v>42965.0</v>
      </c>
      <c r="G4300" s="68" t="s">
        <v>17412</v>
      </c>
      <c r="H4300" s="71"/>
      <c r="I4300" s="71"/>
      <c r="J4300" s="68" t="s">
        <v>17413</v>
      </c>
      <c r="K4300" s="225">
        <v>43004.0</v>
      </c>
      <c r="L4300" s="68" t="s">
        <v>2743</v>
      </c>
      <c r="M4300" s="68" t="s">
        <v>40</v>
      </c>
      <c r="N4300" s="61"/>
      <c r="O4300" s="51"/>
    </row>
    <row r="4301">
      <c r="A4301" s="75">
        <v>4298.0</v>
      </c>
      <c r="B4301" s="240"/>
      <c r="C4301" s="69" t="s">
        <v>17414</v>
      </c>
      <c r="D4301" s="71"/>
      <c r="E4301" s="68" t="s">
        <v>17415</v>
      </c>
      <c r="F4301" s="76">
        <v>42880.0</v>
      </c>
      <c r="G4301" s="68" t="s">
        <v>17416</v>
      </c>
      <c r="H4301" s="71"/>
      <c r="I4301" s="71"/>
      <c r="J4301" s="68" t="s">
        <v>17417</v>
      </c>
      <c r="K4301" s="76">
        <v>43004.0</v>
      </c>
      <c r="L4301" s="68" t="s">
        <v>2743</v>
      </c>
      <c r="M4301" s="68" t="s">
        <v>15586</v>
      </c>
      <c r="N4301" s="61"/>
      <c r="O4301" s="51"/>
    </row>
    <row r="4302">
      <c r="A4302" s="56">
        <v>4299.0</v>
      </c>
      <c r="B4302" s="240"/>
      <c r="C4302" s="69" t="s">
        <v>17418</v>
      </c>
      <c r="D4302" s="71"/>
      <c r="E4302" s="68" t="s">
        <v>17419</v>
      </c>
      <c r="F4302" s="76">
        <v>42937.0</v>
      </c>
      <c r="G4302" s="68" t="s">
        <v>17420</v>
      </c>
      <c r="H4302" s="71"/>
      <c r="I4302" s="71"/>
      <c r="J4302" s="68" t="s">
        <v>17421</v>
      </c>
      <c r="K4302" s="76">
        <v>43004.0</v>
      </c>
      <c r="L4302" s="68" t="s">
        <v>2743</v>
      </c>
      <c r="M4302" s="68" t="s">
        <v>166</v>
      </c>
      <c r="N4302" s="77"/>
      <c r="O4302" s="51"/>
    </row>
    <row r="4303">
      <c r="A4303" s="56">
        <v>4300.0</v>
      </c>
      <c r="B4303" s="240"/>
      <c r="C4303" s="69" t="s">
        <v>17422</v>
      </c>
      <c r="D4303" s="71"/>
      <c r="E4303" s="68" t="s">
        <v>17423</v>
      </c>
      <c r="F4303" s="76">
        <v>42964.0</v>
      </c>
      <c r="G4303" s="68" t="s">
        <v>17424</v>
      </c>
      <c r="H4303" s="71"/>
      <c r="I4303" s="71"/>
      <c r="J4303" s="68" t="s">
        <v>17425</v>
      </c>
      <c r="K4303" s="225">
        <v>43004.0</v>
      </c>
      <c r="L4303" s="68" t="s">
        <v>2743</v>
      </c>
      <c r="M4303" s="68" t="s">
        <v>201</v>
      </c>
      <c r="N4303" s="61"/>
      <c r="O4303" s="51"/>
    </row>
    <row r="4304">
      <c r="A4304" s="56">
        <v>4301.0</v>
      </c>
      <c r="B4304" s="241"/>
      <c r="C4304" s="64" t="s">
        <v>17426</v>
      </c>
      <c r="D4304" s="66"/>
      <c r="E4304" s="63" t="s">
        <v>17427</v>
      </c>
      <c r="F4304" s="70">
        <v>41809.0</v>
      </c>
      <c r="G4304" s="80" t="s">
        <v>17428</v>
      </c>
      <c r="H4304" s="82"/>
      <c r="I4304" s="66"/>
      <c r="J4304" s="63" t="s">
        <v>6322</v>
      </c>
      <c r="K4304" s="70">
        <v>43004.0</v>
      </c>
      <c r="L4304" s="63" t="s">
        <v>2743</v>
      </c>
      <c r="M4304" s="63" t="s">
        <v>4749</v>
      </c>
      <c r="N4304" s="61"/>
      <c r="O4304" s="51"/>
    </row>
    <row r="4305">
      <c r="A4305" s="56">
        <v>4302.0</v>
      </c>
      <c r="B4305" s="240"/>
      <c r="C4305" s="69" t="s">
        <v>17429</v>
      </c>
      <c r="D4305" s="71"/>
      <c r="E4305" s="68" t="s">
        <v>17430</v>
      </c>
      <c r="F4305" s="76">
        <v>42164.0</v>
      </c>
      <c r="G4305" s="68" t="s">
        <v>17431</v>
      </c>
      <c r="H4305" s="71"/>
      <c r="I4305" s="71"/>
      <c r="J4305" s="68" t="s">
        <v>17432</v>
      </c>
      <c r="K4305" s="76">
        <v>43004.0</v>
      </c>
      <c r="L4305" s="68" t="s">
        <v>2743</v>
      </c>
      <c r="M4305" s="68" t="s">
        <v>166</v>
      </c>
      <c r="N4305" s="61"/>
      <c r="O4305" s="51"/>
    </row>
    <row r="4306">
      <c r="A4306" s="56">
        <v>4303.0</v>
      </c>
      <c r="B4306" s="241"/>
      <c r="C4306" s="64" t="s">
        <v>17433</v>
      </c>
      <c r="D4306" s="66"/>
      <c r="E4306" s="63" t="s">
        <v>17434</v>
      </c>
      <c r="F4306" s="63">
        <v>2009.0</v>
      </c>
      <c r="G4306" s="80" t="s">
        <v>17435</v>
      </c>
      <c r="H4306" s="80" t="s">
        <v>17436</v>
      </c>
      <c r="I4306" s="66"/>
      <c r="J4306" s="63" t="s">
        <v>1872</v>
      </c>
      <c r="K4306" s="70">
        <v>43004.0</v>
      </c>
      <c r="L4306" s="63" t="s">
        <v>2743</v>
      </c>
      <c r="M4306" s="63" t="s">
        <v>530</v>
      </c>
      <c r="N4306" s="61"/>
      <c r="O4306" s="51"/>
    </row>
    <row r="4307">
      <c r="A4307" s="75">
        <v>4304.0</v>
      </c>
      <c r="B4307" s="240"/>
      <c r="C4307" s="69" t="s">
        <v>17437</v>
      </c>
      <c r="D4307" s="71"/>
      <c r="E4307" s="68" t="s">
        <v>17438</v>
      </c>
      <c r="F4307" s="68">
        <v>2009.0</v>
      </c>
      <c r="G4307" s="68" t="s">
        <v>17439</v>
      </c>
      <c r="H4307" s="68" t="s">
        <v>439</v>
      </c>
      <c r="I4307" s="68" t="s">
        <v>17440</v>
      </c>
      <c r="J4307" s="100" t="s">
        <v>1392</v>
      </c>
      <c r="K4307" s="225">
        <v>43004.0</v>
      </c>
      <c r="L4307" s="68" t="s">
        <v>2743</v>
      </c>
      <c r="M4307" s="68" t="s">
        <v>530</v>
      </c>
      <c r="N4307" s="61"/>
      <c r="O4307" s="51"/>
    </row>
    <row r="4308">
      <c r="A4308" s="56">
        <v>4305.0</v>
      </c>
      <c r="B4308" s="240"/>
      <c r="C4308" s="69" t="s">
        <v>17441</v>
      </c>
      <c r="D4308" s="71"/>
      <c r="E4308" s="68" t="s">
        <v>17442</v>
      </c>
      <c r="F4308" s="68">
        <v>2014.0</v>
      </c>
      <c r="G4308" s="68" t="s">
        <v>17443</v>
      </c>
      <c r="H4308" s="71"/>
      <c r="I4308" s="71"/>
      <c r="J4308" s="68" t="s">
        <v>17444</v>
      </c>
      <c r="K4308" s="76">
        <v>43004.0</v>
      </c>
      <c r="L4308" s="68" t="s">
        <v>2743</v>
      </c>
      <c r="M4308" s="68" t="s">
        <v>166</v>
      </c>
      <c r="N4308" s="61"/>
      <c r="O4308" s="51"/>
    </row>
    <row r="4309">
      <c r="A4309" s="56">
        <v>4306.0</v>
      </c>
      <c r="B4309" s="240"/>
      <c r="C4309" s="69" t="s">
        <v>17445</v>
      </c>
      <c r="D4309" s="71"/>
      <c r="E4309" s="68" t="s">
        <v>17446</v>
      </c>
      <c r="F4309" s="76">
        <v>42807.0</v>
      </c>
      <c r="G4309" s="68" t="s">
        <v>17447</v>
      </c>
      <c r="H4309" s="71"/>
      <c r="I4309" s="71"/>
      <c r="J4309" s="87" t="s">
        <v>17448</v>
      </c>
      <c r="K4309" s="76">
        <v>43004.0</v>
      </c>
      <c r="L4309" s="68" t="s">
        <v>2743</v>
      </c>
      <c r="M4309" s="68" t="s">
        <v>166</v>
      </c>
      <c r="N4309" s="61"/>
      <c r="O4309" s="51"/>
    </row>
    <row r="4310">
      <c r="A4310" s="56">
        <v>4307.0</v>
      </c>
      <c r="B4310" s="241"/>
      <c r="C4310" s="64" t="s">
        <v>17449</v>
      </c>
      <c r="D4310" s="66"/>
      <c r="E4310" s="63" t="s">
        <v>17450</v>
      </c>
      <c r="F4310" s="70">
        <v>39930.0</v>
      </c>
      <c r="G4310" s="80" t="s">
        <v>17451</v>
      </c>
      <c r="H4310" s="82"/>
      <c r="I4310" s="66"/>
      <c r="J4310" s="63" t="s">
        <v>2872</v>
      </c>
      <c r="K4310" s="70">
        <v>43004.0</v>
      </c>
      <c r="L4310" s="63" t="s">
        <v>2743</v>
      </c>
      <c r="M4310" s="63" t="s">
        <v>125</v>
      </c>
      <c r="N4310" s="61"/>
      <c r="O4310" s="51"/>
    </row>
    <row r="4311">
      <c r="A4311" s="56">
        <v>4308.0</v>
      </c>
      <c r="B4311" s="240"/>
      <c r="C4311" s="69" t="s">
        <v>17452</v>
      </c>
      <c r="D4311" s="71"/>
      <c r="E4311" s="68" t="s">
        <v>17453</v>
      </c>
      <c r="F4311" s="83">
        <v>41970.0</v>
      </c>
      <c r="G4311" s="68" t="s">
        <v>17454</v>
      </c>
      <c r="H4311" s="71"/>
      <c r="I4311" s="68" t="s">
        <v>17455</v>
      </c>
      <c r="J4311" s="68" t="s">
        <v>17456</v>
      </c>
      <c r="K4311" s="76">
        <v>43004.0</v>
      </c>
      <c r="L4311" s="68" t="s">
        <v>2743</v>
      </c>
      <c r="M4311" s="68" t="s">
        <v>530</v>
      </c>
      <c r="N4311" s="77"/>
      <c r="O4311" s="51"/>
    </row>
    <row r="4312">
      <c r="A4312" s="56">
        <v>4309.0</v>
      </c>
      <c r="B4312" s="241"/>
      <c r="C4312" s="64" t="s">
        <v>17457</v>
      </c>
      <c r="D4312" s="66"/>
      <c r="E4312" s="63" t="s">
        <v>17458</v>
      </c>
      <c r="F4312" s="65">
        <v>42732.0</v>
      </c>
      <c r="G4312" s="80" t="s">
        <v>17459</v>
      </c>
      <c r="H4312" s="82"/>
      <c r="I4312" s="66"/>
      <c r="J4312" s="63" t="s">
        <v>9175</v>
      </c>
      <c r="K4312" s="70">
        <v>43010.0</v>
      </c>
      <c r="L4312" s="63" t="s">
        <v>17460</v>
      </c>
      <c r="M4312" s="63" t="s">
        <v>143</v>
      </c>
      <c r="N4312" s="61"/>
      <c r="O4312" s="51"/>
    </row>
    <row r="4313">
      <c r="A4313" s="56">
        <v>4310.0</v>
      </c>
      <c r="B4313" s="240"/>
      <c r="C4313" s="69" t="s">
        <v>17461</v>
      </c>
      <c r="D4313" s="71"/>
      <c r="E4313" s="68" t="s">
        <v>17462</v>
      </c>
      <c r="F4313" s="76">
        <v>43006.0</v>
      </c>
      <c r="G4313" s="71"/>
      <c r="H4313" s="71"/>
      <c r="I4313" s="71"/>
      <c r="J4313" s="68" t="s">
        <v>17463</v>
      </c>
      <c r="K4313" s="76">
        <v>43010.0</v>
      </c>
      <c r="L4313" s="68" t="s">
        <v>17123</v>
      </c>
      <c r="M4313" s="71"/>
      <c r="N4313" s="61"/>
      <c r="O4313" s="51"/>
    </row>
    <row r="4314">
      <c r="A4314" s="56">
        <v>4311.0</v>
      </c>
      <c r="B4314" s="240"/>
      <c r="C4314" s="69" t="s">
        <v>17464</v>
      </c>
      <c r="D4314" s="71"/>
      <c r="E4314" s="68" t="s">
        <v>17465</v>
      </c>
      <c r="F4314" s="83">
        <v>42300.0</v>
      </c>
      <c r="G4314" s="68" t="s">
        <v>17466</v>
      </c>
      <c r="H4314" s="71"/>
      <c r="I4314" s="71"/>
      <c r="J4314" s="68" t="s">
        <v>6973</v>
      </c>
      <c r="K4314" s="76">
        <v>43010.0</v>
      </c>
      <c r="L4314" s="68" t="s">
        <v>14911</v>
      </c>
      <c r="M4314" s="68" t="s">
        <v>166</v>
      </c>
      <c r="N4314" s="61"/>
      <c r="O4314" s="51"/>
    </row>
    <row r="4315">
      <c r="A4315" s="56">
        <v>4312.0</v>
      </c>
      <c r="B4315" s="240"/>
      <c r="C4315" s="69" t="s">
        <v>17467</v>
      </c>
      <c r="D4315" s="71"/>
      <c r="E4315" s="68" t="s">
        <v>17468</v>
      </c>
      <c r="F4315" s="76">
        <v>42881.0</v>
      </c>
      <c r="G4315" s="68" t="s">
        <v>17469</v>
      </c>
      <c r="H4315" s="71"/>
      <c r="I4315" s="71"/>
      <c r="J4315" s="68" t="s">
        <v>17470</v>
      </c>
      <c r="K4315" s="76">
        <v>43010.0</v>
      </c>
      <c r="L4315" s="68" t="s">
        <v>14911</v>
      </c>
      <c r="M4315" s="68" t="s">
        <v>166</v>
      </c>
      <c r="N4315" s="61"/>
      <c r="O4315" s="51"/>
    </row>
    <row r="4316">
      <c r="A4316" s="56">
        <v>4313.0</v>
      </c>
      <c r="B4316" s="240"/>
      <c r="C4316" s="69" t="s">
        <v>17471</v>
      </c>
      <c r="D4316" s="71"/>
      <c r="E4316" s="68" t="s">
        <v>17472</v>
      </c>
      <c r="F4316" s="76">
        <v>42860.0</v>
      </c>
      <c r="G4316" s="68" t="s">
        <v>17473</v>
      </c>
      <c r="H4316" s="71"/>
      <c r="I4316" s="71"/>
      <c r="J4316" s="68" t="s">
        <v>17474</v>
      </c>
      <c r="K4316" s="225">
        <v>43010.0</v>
      </c>
      <c r="L4316" s="68" t="s">
        <v>14911</v>
      </c>
      <c r="M4316" s="68" t="s">
        <v>166</v>
      </c>
      <c r="N4316" s="61"/>
      <c r="O4316" s="51"/>
    </row>
    <row r="4317">
      <c r="A4317" s="56">
        <v>4314.0</v>
      </c>
      <c r="B4317" s="240"/>
      <c r="C4317" s="69" t="s">
        <v>17475</v>
      </c>
      <c r="D4317" s="71"/>
      <c r="E4317" s="68" t="s">
        <v>17476</v>
      </c>
      <c r="F4317" s="76">
        <v>42949.0</v>
      </c>
      <c r="G4317" s="68" t="s">
        <v>17477</v>
      </c>
      <c r="H4317" s="71"/>
      <c r="I4317" s="71"/>
      <c r="J4317" s="68" t="s">
        <v>17478</v>
      </c>
      <c r="K4317" s="76">
        <v>43010.0</v>
      </c>
      <c r="L4317" s="68" t="s">
        <v>14911</v>
      </c>
      <c r="M4317" s="68" t="s">
        <v>10808</v>
      </c>
      <c r="N4317" s="61"/>
      <c r="O4317" s="51"/>
    </row>
    <row r="4318">
      <c r="A4318" s="56">
        <v>4315.0</v>
      </c>
      <c r="B4318" s="240"/>
      <c r="C4318" s="69" t="s">
        <v>17479</v>
      </c>
      <c r="D4318" s="71"/>
      <c r="E4318" s="68" t="s">
        <v>17480</v>
      </c>
      <c r="F4318" s="76">
        <v>42881.0</v>
      </c>
      <c r="G4318" s="68" t="s">
        <v>17481</v>
      </c>
      <c r="H4318" s="71"/>
      <c r="I4318" s="71"/>
      <c r="J4318" s="68" t="s">
        <v>17482</v>
      </c>
      <c r="K4318" s="76">
        <v>43010.0</v>
      </c>
      <c r="L4318" s="68" t="s">
        <v>2743</v>
      </c>
      <c r="M4318" s="68" t="s">
        <v>5537</v>
      </c>
      <c r="N4318" s="77"/>
      <c r="O4318" s="51"/>
    </row>
    <row r="4319">
      <c r="A4319" s="56">
        <v>4316.0</v>
      </c>
      <c r="B4319" s="240"/>
      <c r="C4319" s="69" t="s">
        <v>17483</v>
      </c>
      <c r="D4319" s="71"/>
      <c r="E4319" s="68" t="s">
        <v>17484</v>
      </c>
      <c r="F4319" s="76">
        <v>42904.0</v>
      </c>
      <c r="G4319" s="68" t="s">
        <v>17485</v>
      </c>
      <c r="H4319" s="71"/>
      <c r="I4319" s="71"/>
      <c r="J4319" s="68" t="s">
        <v>17486</v>
      </c>
      <c r="K4319" s="76">
        <v>43010.0</v>
      </c>
      <c r="L4319" s="68" t="s">
        <v>2743</v>
      </c>
      <c r="M4319" s="68" t="s">
        <v>166</v>
      </c>
      <c r="N4319" s="77"/>
      <c r="O4319" s="51"/>
    </row>
    <row r="4320">
      <c r="A4320" s="56">
        <v>4317.0</v>
      </c>
      <c r="B4320" s="240"/>
      <c r="C4320" s="69" t="s">
        <v>17487</v>
      </c>
      <c r="D4320" s="71"/>
      <c r="E4320" s="68" t="s">
        <v>17488</v>
      </c>
      <c r="F4320" s="68">
        <v>2008.0</v>
      </c>
      <c r="G4320" s="68" t="s">
        <v>17489</v>
      </c>
      <c r="H4320" s="71"/>
      <c r="I4320" s="71"/>
      <c r="J4320" s="87" t="s">
        <v>17490</v>
      </c>
      <c r="K4320" s="76">
        <v>43010.0</v>
      </c>
      <c r="L4320" s="68" t="s">
        <v>2743</v>
      </c>
      <c r="M4320" s="68" t="s">
        <v>530</v>
      </c>
      <c r="N4320" s="77"/>
      <c r="O4320" s="51"/>
    </row>
    <row r="4321">
      <c r="A4321" s="56">
        <v>4318.0</v>
      </c>
      <c r="B4321" s="240"/>
      <c r="C4321" s="69" t="s">
        <v>17491</v>
      </c>
      <c r="D4321" s="71"/>
      <c r="E4321" s="68" t="s">
        <v>17492</v>
      </c>
      <c r="F4321" s="76">
        <v>42596.0</v>
      </c>
      <c r="G4321" s="68" t="s">
        <v>17493</v>
      </c>
      <c r="H4321" s="71"/>
      <c r="I4321" s="71"/>
      <c r="J4321" s="68" t="s">
        <v>17494</v>
      </c>
      <c r="K4321" s="76">
        <v>43012.0</v>
      </c>
      <c r="L4321" s="68" t="s">
        <v>2743</v>
      </c>
      <c r="M4321" s="68" t="s">
        <v>195</v>
      </c>
      <c r="N4321" s="77"/>
      <c r="O4321" s="51"/>
    </row>
    <row r="4322">
      <c r="A4322" s="56">
        <v>4319.0</v>
      </c>
      <c r="B4322" s="240"/>
      <c r="C4322" s="69" t="s">
        <v>17495</v>
      </c>
      <c r="D4322" s="71"/>
      <c r="E4322" s="68" t="s">
        <v>17496</v>
      </c>
      <c r="F4322" s="76">
        <v>42598.0</v>
      </c>
      <c r="G4322" s="68" t="s">
        <v>17497</v>
      </c>
      <c r="H4322" s="71"/>
      <c r="I4322" s="71"/>
      <c r="J4322" s="68" t="s">
        <v>17498</v>
      </c>
      <c r="K4322" s="76">
        <v>43012.0</v>
      </c>
      <c r="L4322" s="68" t="s">
        <v>2743</v>
      </c>
      <c r="M4322" s="68" t="s">
        <v>195</v>
      </c>
      <c r="N4322" s="61"/>
      <c r="O4322" s="51"/>
    </row>
    <row r="4323">
      <c r="A4323" s="56">
        <v>4320.0</v>
      </c>
      <c r="B4323" s="240"/>
      <c r="C4323" s="69" t="s">
        <v>17499</v>
      </c>
      <c r="D4323" s="71"/>
      <c r="E4323" s="68" t="s">
        <v>17500</v>
      </c>
      <c r="F4323" s="68">
        <v>2016.0</v>
      </c>
      <c r="G4323" s="68" t="s">
        <v>17501</v>
      </c>
      <c r="H4323" s="71"/>
      <c r="I4323" s="71"/>
      <c r="J4323" s="68" t="s">
        <v>17502</v>
      </c>
      <c r="K4323" s="76">
        <v>43012.0</v>
      </c>
      <c r="L4323" s="68" t="s">
        <v>2743</v>
      </c>
      <c r="M4323" s="68" t="s">
        <v>27</v>
      </c>
      <c r="N4323" s="77"/>
      <c r="O4323" s="51"/>
    </row>
    <row r="4324">
      <c r="A4324" s="56">
        <v>4321.0</v>
      </c>
      <c r="B4324" s="241"/>
      <c r="C4324" s="64" t="s">
        <v>17503</v>
      </c>
      <c r="D4324" s="66"/>
      <c r="E4324" s="63" t="s">
        <v>17504</v>
      </c>
      <c r="F4324" s="63">
        <v>2012.0</v>
      </c>
      <c r="G4324" s="80" t="s">
        <v>16019</v>
      </c>
      <c r="H4324" s="82"/>
      <c r="I4324" s="66"/>
      <c r="J4324" s="63" t="s">
        <v>5679</v>
      </c>
      <c r="K4324" s="70">
        <v>43012.0</v>
      </c>
      <c r="L4324" s="63" t="s">
        <v>2743</v>
      </c>
      <c r="M4324" s="63" t="s">
        <v>2152</v>
      </c>
      <c r="N4324" s="61"/>
      <c r="O4324" s="51"/>
    </row>
    <row r="4325">
      <c r="A4325" s="56">
        <v>4322.0</v>
      </c>
      <c r="B4325" s="240"/>
      <c r="C4325" s="69" t="s">
        <v>17505</v>
      </c>
      <c r="D4325" s="71"/>
      <c r="E4325" s="68" t="s">
        <v>17506</v>
      </c>
      <c r="F4325" s="76">
        <v>42966.0</v>
      </c>
      <c r="G4325" s="68" t="s">
        <v>17481</v>
      </c>
      <c r="H4325" s="71"/>
      <c r="I4325" s="71"/>
      <c r="J4325" s="68" t="s">
        <v>17507</v>
      </c>
      <c r="K4325" s="76">
        <v>43012.0</v>
      </c>
      <c r="L4325" s="68" t="s">
        <v>2743</v>
      </c>
      <c r="M4325" s="68" t="s">
        <v>2527</v>
      </c>
      <c r="N4325" s="61"/>
      <c r="O4325" s="51"/>
    </row>
    <row r="4326">
      <c r="A4326" s="56">
        <v>4323.0</v>
      </c>
      <c r="B4326" s="240"/>
      <c r="C4326" s="69" t="s">
        <v>17508</v>
      </c>
      <c r="D4326" s="71"/>
      <c r="E4326" s="68" t="s">
        <v>17509</v>
      </c>
      <c r="F4326" s="76">
        <v>42103.0</v>
      </c>
      <c r="G4326" s="68" t="s">
        <v>17510</v>
      </c>
      <c r="H4326" s="71"/>
      <c r="I4326" s="71"/>
      <c r="J4326" s="68" t="s">
        <v>17511</v>
      </c>
      <c r="K4326" s="76">
        <v>43015.0</v>
      </c>
      <c r="L4326" s="68" t="s">
        <v>2743</v>
      </c>
      <c r="M4326" s="68" t="s">
        <v>149</v>
      </c>
      <c r="N4326" s="77"/>
      <c r="O4326" s="51"/>
    </row>
    <row r="4327">
      <c r="A4327" s="56">
        <v>4324.0</v>
      </c>
      <c r="B4327" s="240"/>
      <c r="C4327" s="69" t="s">
        <v>17512</v>
      </c>
      <c r="D4327" s="71"/>
      <c r="E4327" s="68" t="s">
        <v>17513</v>
      </c>
      <c r="F4327" s="76">
        <v>43004.0</v>
      </c>
      <c r="G4327" s="68" t="s">
        <v>17514</v>
      </c>
      <c r="H4327" s="71"/>
      <c r="I4327" s="71"/>
      <c r="J4327" s="68" t="s">
        <v>17515</v>
      </c>
      <c r="K4327" s="225">
        <v>43015.0</v>
      </c>
      <c r="L4327" s="68" t="s">
        <v>2743</v>
      </c>
      <c r="M4327" s="68" t="s">
        <v>166</v>
      </c>
      <c r="N4327" s="61"/>
      <c r="O4327" s="51"/>
    </row>
    <row r="4328">
      <c r="A4328" s="56">
        <v>4325.0</v>
      </c>
      <c r="B4328" s="242"/>
      <c r="C4328" s="64" t="s">
        <v>17516</v>
      </c>
      <c r="D4328" s="66"/>
      <c r="E4328" s="63" t="s">
        <v>17517</v>
      </c>
      <c r="F4328" s="70">
        <v>42809.0</v>
      </c>
      <c r="G4328" s="63" t="s">
        <v>17518</v>
      </c>
      <c r="H4328" s="66"/>
      <c r="I4328" s="66"/>
      <c r="J4328" s="63" t="s">
        <v>17519</v>
      </c>
      <c r="K4328" s="65">
        <v>43018.0</v>
      </c>
      <c r="L4328" s="63" t="s">
        <v>14911</v>
      </c>
      <c r="M4328" s="63" t="s">
        <v>2527</v>
      </c>
      <c r="N4328" s="61"/>
      <c r="O4328" s="51"/>
    </row>
    <row r="4329">
      <c r="A4329" s="56">
        <v>4326.0</v>
      </c>
      <c r="B4329" s="240"/>
      <c r="C4329" s="69" t="s">
        <v>17520</v>
      </c>
      <c r="D4329" s="71"/>
      <c r="E4329" s="68" t="s">
        <v>17521</v>
      </c>
      <c r="F4329" s="76">
        <v>42120.0</v>
      </c>
      <c r="G4329" s="68" t="s">
        <v>17522</v>
      </c>
      <c r="H4329" s="71"/>
      <c r="I4329" s="71"/>
      <c r="J4329" s="68" t="s">
        <v>17523</v>
      </c>
      <c r="K4329" s="83">
        <v>43018.0</v>
      </c>
      <c r="L4329" s="68" t="s">
        <v>2743</v>
      </c>
      <c r="M4329" s="68" t="s">
        <v>166</v>
      </c>
      <c r="N4329" s="77"/>
      <c r="O4329" s="51"/>
    </row>
    <row r="4330">
      <c r="A4330" s="75">
        <v>4327.0</v>
      </c>
      <c r="B4330" s="240"/>
      <c r="C4330" s="69" t="s">
        <v>17524</v>
      </c>
      <c r="D4330" s="71"/>
      <c r="E4330" s="68" t="s">
        <v>17525</v>
      </c>
      <c r="F4330" s="68">
        <v>2009.0</v>
      </c>
      <c r="G4330" s="68" t="s">
        <v>17526</v>
      </c>
      <c r="H4330" s="68" t="s">
        <v>17527</v>
      </c>
      <c r="I4330" s="68" t="s">
        <v>17528</v>
      </c>
      <c r="J4330" s="68" t="s">
        <v>2175</v>
      </c>
      <c r="K4330" s="83">
        <v>43018.0</v>
      </c>
      <c r="L4330" s="68" t="s">
        <v>2743</v>
      </c>
      <c r="M4330" s="68" t="s">
        <v>530</v>
      </c>
      <c r="N4330" s="61"/>
      <c r="O4330" s="51"/>
    </row>
    <row r="4331">
      <c r="A4331" s="56">
        <v>4328.0</v>
      </c>
      <c r="B4331" s="241"/>
      <c r="C4331" s="64" t="s">
        <v>17529</v>
      </c>
      <c r="D4331" s="66"/>
      <c r="E4331" s="63" t="s">
        <v>17530</v>
      </c>
      <c r="F4331" s="70">
        <v>42782.0</v>
      </c>
      <c r="G4331" s="80" t="s">
        <v>17531</v>
      </c>
      <c r="H4331" s="82"/>
      <c r="I4331" s="66"/>
      <c r="J4331" s="63" t="s">
        <v>17532</v>
      </c>
      <c r="K4331" s="65">
        <v>43018.0</v>
      </c>
      <c r="L4331" s="63" t="s">
        <v>2743</v>
      </c>
      <c r="M4331" s="63" t="s">
        <v>1711</v>
      </c>
      <c r="N4331" s="61"/>
      <c r="O4331" s="51"/>
    </row>
    <row r="4332">
      <c r="A4332" s="56">
        <v>4329.0</v>
      </c>
      <c r="B4332" s="240"/>
      <c r="C4332" s="69" t="s">
        <v>17533</v>
      </c>
      <c r="D4332" s="71"/>
      <c r="E4332" s="68" t="s">
        <v>17534</v>
      </c>
      <c r="F4332" s="76">
        <v>42929.0</v>
      </c>
      <c r="G4332" s="68" t="s">
        <v>17535</v>
      </c>
      <c r="H4332" s="71"/>
      <c r="I4332" s="71"/>
      <c r="J4332" s="68" t="s">
        <v>17536</v>
      </c>
      <c r="K4332" s="83">
        <v>43018.0</v>
      </c>
      <c r="L4332" s="68" t="s">
        <v>2743</v>
      </c>
      <c r="M4332" s="68" t="s">
        <v>143</v>
      </c>
      <c r="N4332" s="77"/>
      <c r="O4332" s="51"/>
    </row>
    <row r="4333">
      <c r="A4333" s="75">
        <v>4330.0</v>
      </c>
      <c r="B4333" s="240"/>
      <c r="C4333" s="69" t="s">
        <v>17537</v>
      </c>
      <c r="D4333" s="71"/>
      <c r="E4333" s="68" t="s">
        <v>17538</v>
      </c>
      <c r="F4333" s="76">
        <v>42711.0</v>
      </c>
      <c r="G4333" s="68" t="s">
        <v>17539</v>
      </c>
      <c r="H4333" s="71"/>
      <c r="I4333" s="71"/>
      <c r="J4333" s="68" t="s">
        <v>17540</v>
      </c>
      <c r="K4333" s="83">
        <v>43018.0</v>
      </c>
      <c r="L4333" s="68" t="s">
        <v>2743</v>
      </c>
      <c r="M4333" s="68" t="s">
        <v>14456</v>
      </c>
      <c r="N4333" s="77"/>
      <c r="O4333" s="51"/>
    </row>
    <row r="4334">
      <c r="A4334" s="56">
        <v>4331.0</v>
      </c>
      <c r="B4334" s="240"/>
      <c r="C4334" s="69" t="s">
        <v>17541</v>
      </c>
      <c r="D4334" s="71"/>
      <c r="E4334" s="68" t="s">
        <v>17542</v>
      </c>
      <c r="F4334" s="76">
        <v>42841.0</v>
      </c>
      <c r="G4334" s="68" t="s">
        <v>17543</v>
      </c>
      <c r="H4334" s="71"/>
      <c r="I4334" s="71"/>
      <c r="J4334" s="68" t="s">
        <v>17544</v>
      </c>
      <c r="K4334" s="83">
        <v>43018.0</v>
      </c>
      <c r="L4334" s="68" t="s">
        <v>2743</v>
      </c>
      <c r="M4334" s="68" t="s">
        <v>143</v>
      </c>
      <c r="N4334" s="77"/>
      <c r="O4334" s="51"/>
    </row>
    <row r="4335">
      <c r="A4335" s="75">
        <v>4332.0</v>
      </c>
      <c r="B4335" s="240"/>
      <c r="C4335" s="69" t="s">
        <v>17545</v>
      </c>
      <c r="D4335" s="71"/>
      <c r="E4335" s="68" t="s">
        <v>17546</v>
      </c>
      <c r="F4335" s="76">
        <v>42950.0</v>
      </c>
      <c r="G4335" s="68" t="s">
        <v>17547</v>
      </c>
      <c r="H4335" s="71"/>
      <c r="I4335" s="71"/>
      <c r="J4335" s="68" t="s">
        <v>17548</v>
      </c>
      <c r="K4335" s="83">
        <v>43018.0</v>
      </c>
      <c r="L4335" s="68" t="s">
        <v>2743</v>
      </c>
      <c r="M4335" s="68" t="s">
        <v>166</v>
      </c>
      <c r="N4335" s="77"/>
      <c r="O4335" s="51"/>
    </row>
    <row r="4336">
      <c r="A4336" s="75">
        <v>4333.0</v>
      </c>
      <c r="B4336" s="240"/>
      <c r="C4336" s="69" t="s">
        <v>17549</v>
      </c>
      <c r="D4336" s="71"/>
      <c r="E4336" s="68" t="s">
        <v>17550</v>
      </c>
      <c r="F4336" s="76">
        <v>42809.0</v>
      </c>
      <c r="G4336" s="68" t="s">
        <v>17551</v>
      </c>
      <c r="H4336" s="71"/>
      <c r="I4336" s="71"/>
      <c r="J4336" s="68" t="s">
        <v>17552</v>
      </c>
      <c r="K4336" s="83">
        <v>43018.0</v>
      </c>
      <c r="L4336" s="68" t="s">
        <v>2743</v>
      </c>
      <c r="M4336" s="68" t="s">
        <v>166</v>
      </c>
      <c r="N4336" s="61"/>
      <c r="O4336" s="51"/>
    </row>
    <row r="4337">
      <c r="A4337" s="75">
        <v>4334.0</v>
      </c>
      <c r="B4337" s="240"/>
      <c r="C4337" s="69" t="s">
        <v>17553</v>
      </c>
      <c r="D4337" s="71"/>
      <c r="E4337" s="68" t="s">
        <v>17554</v>
      </c>
      <c r="F4337" s="76">
        <v>42959.0</v>
      </c>
      <c r="G4337" s="68" t="s">
        <v>17555</v>
      </c>
      <c r="H4337" s="71"/>
      <c r="I4337" s="71"/>
      <c r="J4337" s="68" t="s">
        <v>17556</v>
      </c>
      <c r="K4337" s="83">
        <v>43018.0</v>
      </c>
      <c r="L4337" s="68" t="s">
        <v>2743</v>
      </c>
      <c r="M4337" s="68" t="s">
        <v>166</v>
      </c>
      <c r="N4337" s="77"/>
      <c r="O4337" s="51"/>
    </row>
    <row r="4338">
      <c r="A4338" s="75">
        <v>4335.0</v>
      </c>
      <c r="B4338" s="243"/>
      <c r="C4338" s="69" t="s">
        <v>17557</v>
      </c>
      <c r="D4338" s="71"/>
      <c r="E4338" s="68" t="s">
        <v>17558</v>
      </c>
      <c r="F4338" s="68">
        <v>2014.0</v>
      </c>
      <c r="G4338" s="68" t="s">
        <v>17559</v>
      </c>
      <c r="H4338" s="71"/>
      <c r="I4338" s="71"/>
      <c r="J4338" s="102" t="s">
        <v>17560</v>
      </c>
      <c r="K4338" s="244">
        <v>43018.0</v>
      </c>
      <c r="L4338" s="68" t="s">
        <v>2743</v>
      </c>
      <c r="M4338" s="63" t="s">
        <v>166</v>
      </c>
      <c r="N4338" s="77"/>
      <c r="O4338" s="51"/>
    </row>
    <row r="4339">
      <c r="A4339" s="56">
        <v>4336.0</v>
      </c>
      <c r="B4339" s="240"/>
      <c r="C4339" s="69" t="s">
        <v>17561</v>
      </c>
      <c r="D4339" s="71"/>
      <c r="E4339" s="68" t="s">
        <v>17562</v>
      </c>
      <c r="F4339" s="76">
        <v>42612.0</v>
      </c>
      <c r="G4339" s="68" t="s">
        <v>17563</v>
      </c>
      <c r="H4339" s="68" t="s">
        <v>439</v>
      </c>
      <c r="I4339" s="71"/>
      <c r="J4339" s="87" t="s">
        <v>17564</v>
      </c>
      <c r="K4339" s="83">
        <v>43018.0</v>
      </c>
      <c r="L4339" s="68" t="s">
        <v>2743</v>
      </c>
      <c r="M4339" s="68" t="s">
        <v>195</v>
      </c>
      <c r="N4339" s="61"/>
      <c r="O4339" s="51"/>
    </row>
    <row r="4340">
      <c r="A4340" s="56">
        <v>4337.0</v>
      </c>
      <c r="B4340" s="241"/>
      <c r="C4340" s="64" t="s">
        <v>17565</v>
      </c>
      <c r="D4340" s="66"/>
      <c r="E4340" s="63" t="s">
        <v>17566</v>
      </c>
      <c r="F4340" s="63">
        <v>2009.0</v>
      </c>
      <c r="G4340" s="80" t="s">
        <v>17567</v>
      </c>
      <c r="H4340" s="80" t="s">
        <v>439</v>
      </c>
      <c r="I4340" s="80" t="s">
        <v>17568</v>
      </c>
      <c r="J4340" s="63" t="s">
        <v>6055</v>
      </c>
      <c r="K4340" s="65">
        <v>43018.0</v>
      </c>
      <c r="L4340" s="63" t="s">
        <v>2743</v>
      </c>
      <c r="M4340" s="63" t="s">
        <v>530</v>
      </c>
      <c r="N4340" s="61"/>
      <c r="O4340" s="51"/>
    </row>
    <row r="4341">
      <c r="A4341" s="56">
        <v>4338.0</v>
      </c>
      <c r="B4341" s="241"/>
      <c r="C4341" s="64" t="s">
        <v>17569</v>
      </c>
      <c r="D4341" s="66"/>
      <c r="E4341" s="63" t="s">
        <v>17570</v>
      </c>
      <c r="F4341" s="70">
        <v>41769.0</v>
      </c>
      <c r="G4341" s="80" t="s">
        <v>17571</v>
      </c>
      <c r="H4341" s="82"/>
      <c r="I4341" s="66"/>
      <c r="J4341" s="63" t="s">
        <v>5679</v>
      </c>
      <c r="K4341" s="65">
        <v>43018.0</v>
      </c>
      <c r="L4341" s="63" t="s">
        <v>2743</v>
      </c>
      <c r="M4341" s="63" t="s">
        <v>941</v>
      </c>
      <c r="N4341" s="61"/>
      <c r="O4341" s="51"/>
    </row>
    <row r="4342">
      <c r="A4342" s="56">
        <v>4339.0</v>
      </c>
      <c r="B4342" s="240"/>
      <c r="C4342" s="69" t="s">
        <v>17572</v>
      </c>
      <c r="D4342" s="71"/>
      <c r="E4342" s="68" t="s">
        <v>17573</v>
      </c>
      <c r="F4342" s="76">
        <v>42969.0</v>
      </c>
      <c r="G4342" s="68" t="s">
        <v>17574</v>
      </c>
      <c r="H4342" s="71"/>
      <c r="I4342" s="71"/>
      <c r="J4342" s="68" t="s">
        <v>17575</v>
      </c>
      <c r="K4342" s="83">
        <v>43019.0</v>
      </c>
      <c r="L4342" s="68" t="s">
        <v>14256</v>
      </c>
      <c r="M4342" s="68" t="s">
        <v>2989</v>
      </c>
      <c r="N4342" s="77"/>
      <c r="O4342" s="51"/>
    </row>
    <row r="4343">
      <c r="A4343" s="56">
        <v>4340.0</v>
      </c>
      <c r="B4343" s="240"/>
      <c r="C4343" s="69" t="s">
        <v>17576</v>
      </c>
      <c r="D4343" s="71"/>
      <c r="E4343" s="68" t="s">
        <v>17577</v>
      </c>
      <c r="F4343" s="68">
        <v>2013.0</v>
      </c>
      <c r="G4343" s="68" t="s">
        <v>17578</v>
      </c>
      <c r="H4343" s="71"/>
      <c r="I4343" s="71"/>
      <c r="J4343" s="68" t="s">
        <v>17579</v>
      </c>
      <c r="K4343" s="83">
        <v>43019.0</v>
      </c>
      <c r="L4343" s="68" t="s">
        <v>2743</v>
      </c>
      <c r="M4343" s="68" t="s">
        <v>166</v>
      </c>
      <c r="N4343" s="77"/>
      <c r="O4343" s="51"/>
    </row>
    <row r="4344">
      <c r="A4344" s="56">
        <v>4341.0</v>
      </c>
      <c r="B4344" s="241"/>
      <c r="C4344" s="64" t="s">
        <v>17580</v>
      </c>
      <c r="D4344" s="66"/>
      <c r="E4344" s="63" t="s">
        <v>17581</v>
      </c>
      <c r="F4344" s="63">
        <v>2009.0</v>
      </c>
      <c r="G4344" s="80" t="s">
        <v>17582</v>
      </c>
      <c r="H4344" s="82"/>
      <c r="I4344" s="66"/>
      <c r="J4344" s="63" t="s">
        <v>1872</v>
      </c>
      <c r="K4344" s="65">
        <v>43022.0</v>
      </c>
      <c r="L4344" s="63" t="s">
        <v>2743</v>
      </c>
      <c r="M4344" s="63" t="s">
        <v>530</v>
      </c>
      <c r="N4344" s="61"/>
      <c r="O4344" s="51"/>
    </row>
    <row r="4345">
      <c r="A4345" s="56">
        <v>4342.0</v>
      </c>
      <c r="B4345" s="241"/>
      <c r="C4345" s="64" t="s">
        <v>17583</v>
      </c>
      <c r="D4345" s="66"/>
      <c r="E4345" s="63" t="s">
        <v>17584</v>
      </c>
      <c r="F4345" s="63">
        <v>2009.0</v>
      </c>
      <c r="G4345" s="80" t="s">
        <v>17582</v>
      </c>
      <c r="H4345" s="82"/>
      <c r="I4345" s="66"/>
      <c r="J4345" s="63" t="s">
        <v>1872</v>
      </c>
      <c r="K4345" s="65">
        <v>43022.0</v>
      </c>
      <c r="L4345" s="63" t="s">
        <v>2743</v>
      </c>
      <c r="M4345" s="63" t="s">
        <v>530</v>
      </c>
      <c r="N4345" s="61"/>
      <c r="O4345" s="51"/>
    </row>
    <row r="4346">
      <c r="A4346" s="56">
        <v>4343.0</v>
      </c>
      <c r="B4346" s="241"/>
      <c r="C4346" s="64" t="s">
        <v>17585</v>
      </c>
      <c r="D4346" s="66"/>
      <c r="E4346" s="63" t="s">
        <v>17586</v>
      </c>
      <c r="F4346" s="70">
        <v>40813.0</v>
      </c>
      <c r="G4346" s="80" t="s">
        <v>17587</v>
      </c>
      <c r="H4346" s="82"/>
      <c r="I4346" s="66"/>
      <c r="J4346" s="63" t="s">
        <v>1872</v>
      </c>
      <c r="K4346" s="65">
        <v>43022.0</v>
      </c>
      <c r="L4346" s="63" t="s">
        <v>2743</v>
      </c>
      <c r="M4346" s="63" t="s">
        <v>530</v>
      </c>
      <c r="N4346" s="61"/>
      <c r="O4346" s="51"/>
    </row>
    <row r="4347">
      <c r="A4347" s="56">
        <v>4344.0</v>
      </c>
      <c r="B4347" s="241"/>
      <c r="C4347" s="64" t="s">
        <v>17588</v>
      </c>
      <c r="D4347" s="66"/>
      <c r="E4347" s="63" t="s">
        <v>17589</v>
      </c>
      <c r="F4347" s="63">
        <v>2010.0</v>
      </c>
      <c r="G4347" s="80" t="s">
        <v>17590</v>
      </c>
      <c r="H4347" s="82"/>
      <c r="I4347" s="66"/>
      <c r="J4347" s="63" t="s">
        <v>1872</v>
      </c>
      <c r="K4347" s="65">
        <v>43022.0</v>
      </c>
      <c r="L4347" s="63" t="s">
        <v>2743</v>
      </c>
      <c r="M4347" s="63" t="s">
        <v>530</v>
      </c>
      <c r="N4347" s="61"/>
      <c r="O4347" s="51"/>
    </row>
    <row r="4348">
      <c r="A4348" s="56">
        <v>4345.0</v>
      </c>
      <c r="B4348" s="240"/>
      <c r="C4348" s="69" t="s">
        <v>17591</v>
      </c>
      <c r="D4348" s="71"/>
      <c r="E4348" s="68" t="s">
        <v>17592</v>
      </c>
      <c r="F4348" s="76">
        <v>41974.0</v>
      </c>
      <c r="G4348" s="68" t="s">
        <v>17593</v>
      </c>
      <c r="H4348" s="68" t="s">
        <v>17594</v>
      </c>
      <c r="I4348" s="71"/>
      <c r="J4348" s="68" t="s">
        <v>17595</v>
      </c>
      <c r="K4348" s="83">
        <v>43022.0</v>
      </c>
      <c r="L4348" s="68" t="s">
        <v>2743</v>
      </c>
      <c r="M4348" s="68" t="s">
        <v>166</v>
      </c>
      <c r="N4348" s="77"/>
      <c r="O4348" s="51"/>
    </row>
    <row r="4349">
      <c r="A4349" s="56">
        <v>4346.0</v>
      </c>
      <c r="B4349" s="240"/>
      <c r="C4349" s="69" t="s">
        <v>17596</v>
      </c>
      <c r="D4349" s="71"/>
      <c r="E4349" s="68" t="s">
        <v>17597</v>
      </c>
      <c r="F4349" s="183">
        <v>42767.0</v>
      </c>
      <c r="G4349" s="68" t="s">
        <v>17598</v>
      </c>
      <c r="H4349" s="71"/>
      <c r="I4349" s="71"/>
      <c r="J4349" s="68" t="s">
        <v>17599</v>
      </c>
      <c r="K4349" s="83">
        <v>43022.0</v>
      </c>
      <c r="L4349" s="68" t="s">
        <v>2743</v>
      </c>
      <c r="M4349" s="68" t="s">
        <v>2466</v>
      </c>
      <c r="N4349" s="77"/>
      <c r="O4349" s="51"/>
    </row>
    <row r="4350">
      <c r="A4350" s="56">
        <v>4347.0</v>
      </c>
      <c r="B4350" s="241"/>
      <c r="C4350" s="64" t="s">
        <v>17600</v>
      </c>
      <c r="D4350" s="66"/>
      <c r="E4350" s="63" t="s">
        <v>17601</v>
      </c>
      <c r="F4350" s="63">
        <v>2010.0</v>
      </c>
      <c r="G4350" s="80" t="s">
        <v>17602</v>
      </c>
      <c r="H4350" s="82"/>
      <c r="I4350" s="66"/>
      <c r="J4350" s="63" t="s">
        <v>1872</v>
      </c>
      <c r="K4350" s="65">
        <v>43022.0</v>
      </c>
      <c r="L4350" s="63" t="s">
        <v>2743</v>
      </c>
      <c r="M4350" s="63" t="s">
        <v>530</v>
      </c>
      <c r="N4350" s="61"/>
      <c r="O4350" s="51"/>
    </row>
    <row r="4351">
      <c r="A4351" s="56">
        <v>4348.0</v>
      </c>
      <c r="B4351" s="241"/>
      <c r="C4351" s="64" t="s">
        <v>17603</v>
      </c>
      <c r="D4351" s="66"/>
      <c r="E4351" s="63" t="s">
        <v>17604</v>
      </c>
      <c r="F4351" s="70">
        <v>42430.0</v>
      </c>
      <c r="G4351" s="80" t="s">
        <v>17605</v>
      </c>
      <c r="H4351" s="82"/>
      <c r="I4351" s="66"/>
      <c r="J4351" s="63" t="s">
        <v>10320</v>
      </c>
      <c r="K4351" s="65">
        <v>43025.0</v>
      </c>
      <c r="L4351" s="63" t="s">
        <v>2743</v>
      </c>
      <c r="M4351" s="63" t="s">
        <v>2748</v>
      </c>
      <c r="N4351" s="61"/>
      <c r="O4351" s="51"/>
    </row>
    <row r="4352">
      <c r="A4352" s="56">
        <v>4349.0</v>
      </c>
      <c r="B4352" s="241"/>
      <c r="C4352" s="64" t="s">
        <v>17606</v>
      </c>
      <c r="D4352" s="66"/>
      <c r="E4352" s="63" t="s">
        <v>17607</v>
      </c>
      <c r="F4352" s="70">
        <v>42457.0</v>
      </c>
      <c r="G4352" s="80" t="s">
        <v>17608</v>
      </c>
      <c r="H4352" s="82"/>
      <c r="I4352" s="66"/>
      <c r="J4352" s="63" t="s">
        <v>2872</v>
      </c>
      <c r="K4352" s="65">
        <v>43025.0</v>
      </c>
      <c r="L4352" s="63" t="s">
        <v>2743</v>
      </c>
      <c r="M4352" s="63" t="s">
        <v>125</v>
      </c>
      <c r="N4352" s="61"/>
      <c r="O4352" s="51"/>
    </row>
    <row r="4353">
      <c r="A4353" s="56">
        <v>4350.0</v>
      </c>
      <c r="B4353" s="241"/>
      <c r="C4353" s="64" t="s">
        <v>17609</v>
      </c>
      <c r="D4353" s="66"/>
      <c r="E4353" s="63" t="s">
        <v>17610</v>
      </c>
      <c r="F4353" s="70">
        <v>40040.0</v>
      </c>
      <c r="G4353" s="80" t="s">
        <v>17611</v>
      </c>
      <c r="H4353" s="80" t="s">
        <v>17612</v>
      </c>
      <c r="I4353" s="66"/>
      <c r="J4353" s="63" t="s">
        <v>2872</v>
      </c>
      <c r="K4353" s="65">
        <v>43026.0</v>
      </c>
      <c r="L4353" s="63" t="s">
        <v>2743</v>
      </c>
      <c r="M4353" s="63" t="s">
        <v>125</v>
      </c>
      <c r="N4353" s="61"/>
      <c r="O4353" s="51"/>
    </row>
    <row r="4354">
      <c r="A4354" s="56">
        <v>4351.0</v>
      </c>
      <c r="B4354" s="241"/>
      <c r="C4354" s="64" t="s">
        <v>17613</v>
      </c>
      <c r="D4354" s="66"/>
      <c r="E4354" s="63" t="s">
        <v>17614</v>
      </c>
      <c r="F4354" s="70">
        <v>40039.0</v>
      </c>
      <c r="G4354" s="80" t="s">
        <v>17615</v>
      </c>
      <c r="H4354" s="80" t="s">
        <v>17616</v>
      </c>
      <c r="I4354" s="66"/>
      <c r="J4354" s="63" t="s">
        <v>1872</v>
      </c>
      <c r="K4354" s="65">
        <v>43026.0</v>
      </c>
      <c r="L4354" s="63" t="s">
        <v>2743</v>
      </c>
      <c r="M4354" s="63" t="s">
        <v>530</v>
      </c>
      <c r="N4354" s="61"/>
      <c r="O4354" s="51"/>
    </row>
    <row r="4355">
      <c r="A4355" s="56">
        <v>4352.0</v>
      </c>
      <c r="B4355" s="240"/>
      <c r="C4355" s="69" t="s">
        <v>17617</v>
      </c>
      <c r="D4355" s="71"/>
      <c r="E4355" s="68" t="s">
        <v>17618</v>
      </c>
      <c r="F4355" s="68">
        <v>2013.0</v>
      </c>
      <c r="G4355" s="68" t="s">
        <v>17619</v>
      </c>
      <c r="H4355" s="71"/>
      <c r="I4355" s="71"/>
      <c r="J4355" s="68" t="s">
        <v>17620</v>
      </c>
      <c r="K4355" s="245">
        <v>43026.0</v>
      </c>
      <c r="L4355" s="68" t="s">
        <v>2743</v>
      </c>
      <c r="M4355" s="68" t="s">
        <v>7530</v>
      </c>
      <c r="N4355" s="61"/>
      <c r="O4355" s="51"/>
    </row>
    <row r="4356">
      <c r="A4356" s="56">
        <v>4353.0</v>
      </c>
      <c r="B4356" s="241"/>
      <c r="C4356" s="64" t="s">
        <v>17621</v>
      </c>
      <c r="D4356" s="66"/>
      <c r="E4356" s="63" t="s">
        <v>17622</v>
      </c>
      <c r="F4356" s="70">
        <v>42943.0</v>
      </c>
      <c r="G4356" s="80" t="s">
        <v>17623</v>
      </c>
      <c r="H4356" s="80" t="s">
        <v>17624</v>
      </c>
      <c r="I4356" s="66"/>
      <c r="J4356" s="63" t="s">
        <v>15312</v>
      </c>
      <c r="K4356" s="65">
        <v>43026.0</v>
      </c>
      <c r="L4356" s="63" t="s">
        <v>2743</v>
      </c>
      <c r="M4356" s="63" t="s">
        <v>3528</v>
      </c>
      <c r="N4356" s="61"/>
      <c r="O4356" s="51"/>
    </row>
    <row r="4357">
      <c r="A4357" s="56">
        <v>4354.0</v>
      </c>
      <c r="B4357" s="241"/>
      <c r="C4357" s="64" t="s">
        <v>17625</v>
      </c>
      <c r="D4357" s="66"/>
      <c r="E4357" s="63" t="s">
        <v>17626</v>
      </c>
      <c r="F4357" s="70">
        <v>41022.0</v>
      </c>
      <c r="G4357" s="80" t="s">
        <v>17627</v>
      </c>
      <c r="H4357" s="82"/>
      <c r="I4357" s="66"/>
      <c r="J4357" s="63" t="s">
        <v>6393</v>
      </c>
      <c r="K4357" s="65">
        <v>43026.0</v>
      </c>
      <c r="L4357" s="63" t="s">
        <v>2743</v>
      </c>
      <c r="M4357" s="63" t="s">
        <v>195</v>
      </c>
      <c r="N4357" s="61"/>
      <c r="O4357" s="51"/>
    </row>
    <row r="4358">
      <c r="A4358" s="56">
        <v>4355.0</v>
      </c>
      <c r="B4358" s="240"/>
      <c r="C4358" s="69" t="s">
        <v>17628</v>
      </c>
      <c r="D4358" s="71"/>
      <c r="E4358" s="68" t="s">
        <v>17629</v>
      </c>
      <c r="F4358" s="76">
        <v>42610.0</v>
      </c>
      <c r="G4358" s="68" t="s">
        <v>17630</v>
      </c>
      <c r="H4358" s="71"/>
      <c r="I4358" s="71"/>
      <c r="J4358" s="68" t="s">
        <v>17631</v>
      </c>
      <c r="K4358" s="83">
        <v>43026.0</v>
      </c>
      <c r="L4358" s="68" t="s">
        <v>2743</v>
      </c>
      <c r="M4358" s="68" t="s">
        <v>195</v>
      </c>
      <c r="N4358" s="77"/>
      <c r="O4358" s="51"/>
    </row>
    <row r="4359">
      <c r="A4359" s="56">
        <v>4356.0</v>
      </c>
      <c r="B4359" s="240"/>
      <c r="C4359" s="69" t="s">
        <v>17632</v>
      </c>
      <c r="D4359" s="71"/>
      <c r="E4359" s="68" t="s">
        <v>17633</v>
      </c>
      <c r="F4359" s="76">
        <v>42987.0</v>
      </c>
      <c r="G4359" s="68" t="s">
        <v>17634</v>
      </c>
      <c r="H4359" s="71"/>
      <c r="I4359" s="71"/>
      <c r="J4359" s="68" t="s">
        <v>17635</v>
      </c>
      <c r="K4359" s="245">
        <v>43026.0</v>
      </c>
      <c r="L4359" s="68" t="s">
        <v>2743</v>
      </c>
      <c r="M4359" s="68" t="s">
        <v>166</v>
      </c>
      <c r="N4359" s="61"/>
      <c r="O4359" s="51"/>
    </row>
    <row r="4360">
      <c r="A4360" s="56">
        <v>4357.0</v>
      </c>
      <c r="B4360" s="246"/>
      <c r="C4360" s="58" t="s">
        <v>17636</v>
      </c>
      <c r="D4360" s="60"/>
      <c r="E4360" s="57" t="s">
        <v>17637</v>
      </c>
      <c r="F4360" s="78">
        <v>43019.0</v>
      </c>
      <c r="G4360" s="57" t="s">
        <v>17638</v>
      </c>
      <c r="H4360" s="60"/>
      <c r="I4360" s="60"/>
      <c r="J4360" s="57" t="s">
        <v>17639</v>
      </c>
      <c r="K4360" s="247">
        <v>43026.0</v>
      </c>
      <c r="L4360" s="57" t="s">
        <v>2743</v>
      </c>
      <c r="M4360" s="57" t="s">
        <v>149</v>
      </c>
      <c r="N4360" s="112"/>
      <c r="O4360" s="51"/>
    </row>
    <row r="4361">
      <c r="A4361" s="75">
        <v>4358.0</v>
      </c>
      <c r="B4361" s="240"/>
      <c r="C4361" s="69" t="s">
        <v>17640</v>
      </c>
      <c r="D4361" s="71"/>
      <c r="E4361" s="68" t="s">
        <v>17641</v>
      </c>
      <c r="F4361" s="76">
        <v>42345.0</v>
      </c>
      <c r="G4361" s="68" t="s">
        <v>17642</v>
      </c>
      <c r="H4361" s="71"/>
      <c r="I4361" s="71"/>
      <c r="J4361" s="68" t="s">
        <v>17643</v>
      </c>
      <c r="K4361" s="83">
        <v>43027.0</v>
      </c>
      <c r="L4361" s="68" t="s">
        <v>2743</v>
      </c>
      <c r="M4361" s="68" t="s">
        <v>125</v>
      </c>
      <c r="N4361" s="61"/>
      <c r="O4361" s="51"/>
    </row>
    <row r="4362">
      <c r="A4362" s="56">
        <v>4359.0</v>
      </c>
      <c r="B4362" s="240"/>
      <c r="C4362" s="69" t="s">
        <v>17644</v>
      </c>
      <c r="D4362" s="71"/>
      <c r="E4362" s="68" t="s">
        <v>17645</v>
      </c>
      <c r="F4362" s="83">
        <v>41995.0</v>
      </c>
      <c r="G4362" s="68" t="s">
        <v>17646</v>
      </c>
      <c r="H4362" s="71"/>
      <c r="I4362" s="71"/>
      <c r="J4362" s="87" t="s">
        <v>17647</v>
      </c>
      <c r="K4362" s="83">
        <v>43028.0</v>
      </c>
      <c r="L4362" s="68" t="s">
        <v>2743</v>
      </c>
      <c r="M4362" s="68" t="s">
        <v>2291</v>
      </c>
      <c r="N4362" s="77"/>
      <c r="O4362" s="51"/>
    </row>
    <row r="4363">
      <c r="A4363" s="56">
        <v>4360.0</v>
      </c>
      <c r="B4363" s="241"/>
      <c r="C4363" s="64" t="s">
        <v>17648</v>
      </c>
      <c r="D4363" s="66"/>
      <c r="E4363" s="63" t="s">
        <v>17649</v>
      </c>
      <c r="F4363" s="65">
        <v>41941.0</v>
      </c>
      <c r="G4363" s="80" t="s">
        <v>17650</v>
      </c>
      <c r="H4363" s="82"/>
      <c r="I4363" s="63" t="s">
        <v>17651</v>
      </c>
      <c r="J4363" s="63" t="s">
        <v>2872</v>
      </c>
      <c r="K4363" s="65">
        <v>43028.0</v>
      </c>
      <c r="L4363" s="63" t="s">
        <v>2743</v>
      </c>
      <c r="M4363" s="63" t="s">
        <v>125</v>
      </c>
      <c r="N4363" s="61"/>
      <c r="O4363" s="51"/>
    </row>
    <row r="4364">
      <c r="A4364" s="85">
        <v>4361.0</v>
      </c>
      <c r="B4364" s="241"/>
      <c r="C4364" s="79" t="s">
        <v>17652</v>
      </c>
      <c r="D4364" s="82"/>
      <c r="E4364" s="80" t="s">
        <v>17653</v>
      </c>
      <c r="F4364" s="81">
        <v>42681.0</v>
      </c>
      <c r="G4364" s="80" t="s">
        <v>17654</v>
      </c>
      <c r="H4364" s="82"/>
      <c r="I4364" s="82"/>
      <c r="J4364" s="82"/>
      <c r="K4364" s="98">
        <v>43028.0</v>
      </c>
      <c r="L4364" s="80" t="s">
        <v>2743</v>
      </c>
      <c r="M4364" s="80" t="s">
        <v>40</v>
      </c>
      <c r="N4364" s="61"/>
      <c r="O4364" s="51"/>
    </row>
    <row r="4365">
      <c r="A4365" s="56">
        <v>4362.0</v>
      </c>
      <c r="B4365" s="240"/>
      <c r="C4365" s="69" t="s">
        <v>17655</v>
      </c>
      <c r="D4365" s="71"/>
      <c r="E4365" s="68" t="s">
        <v>17656</v>
      </c>
      <c r="F4365" s="76">
        <v>39630.0</v>
      </c>
      <c r="G4365" s="68" t="s">
        <v>17657</v>
      </c>
      <c r="H4365" s="71"/>
      <c r="I4365" s="66"/>
      <c r="J4365" s="68" t="s">
        <v>17658</v>
      </c>
      <c r="K4365" s="83">
        <v>43028.0</v>
      </c>
      <c r="L4365" s="68" t="s">
        <v>2743</v>
      </c>
      <c r="M4365" s="68" t="s">
        <v>530</v>
      </c>
      <c r="N4365" s="77"/>
      <c r="O4365" s="51"/>
    </row>
    <row r="4366">
      <c r="A4366" s="56">
        <v>4363.0</v>
      </c>
      <c r="B4366" s="240"/>
      <c r="C4366" s="69" t="s">
        <v>17659</v>
      </c>
      <c r="D4366" s="71"/>
      <c r="E4366" s="68" t="s">
        <v>17660</v>
      </c>
      <c r="F4366" s="83">
        <v>42732.0</v>
      </c>
      <c r="G4366" s="68" t="s">
        <v>17661</v>
      </c>
      <c r="H4366" s="71"/>
      <c r="I4366" s="71"/>
      <c r="J4366" s="68" t="s">
        <v>17662</v>
      </c>
      <c r="K4366" s="83">
        <v>43031.0</v>
      </c>
      <c r="L4366" s="68" t="s">
        <v>2743</v>
      </c>
      <c r="M4366" s="68" t="s">
        <v>143</v>
      </c>
      <c r="N4366" s="77"/>
      <c r="O4366" s="51"/>
    </row>
    <row r="4367">
      <c r="A4367" s="56">
        <v>4364.0</v>
      </c>
      <c r="B4367" s="240"/>
      <c r="C4367" s="69" t="s">
        <v>17663</v>
      </c>
      <c r="D4367" s="71"/>
      <c r="E4367" s="68" t="s">
        <v>17664</v>
      </c>
      <c r="F4367" s="76">
        <v>39995.0</v>
      </c>
      <c r="G4367" s="68" t="s">
        <v>17665</v>
      </c>
      <c r="H4367" s="71"/>
      <c r="I4367" s="71"/>
      <c r="J4367" s="68" t="s">
        <v>17666</v>
      </c>
      <c r="K4367" s="83">
        <v>43028.0</v>
      </c>
      <c r="L4367" s="68" t="s">
        <v>2743</v>
      </c>
      <c r="M4367" s="68" t="s">
        <v>530</v>
      </c>
      <c r="N4367" s="61"/>
      <c r="O4367" s="51"/>
    </row>
    <row r="4368">
      <c r="A4368" s="56">
        <v>4365.0</v>
      </c>
      <c r="B4368" s="240"/>
      <c r="C4368" s="69" t="s">
        <v>17667</v>
      </c>
      <c r="D4368" s="71"/>
      <c r="E4368" s="68" t="s">
        <v>17668</v>
      </c>
      <c r="F4368" s="76">
        <v>43010.0</v>
      </c>
      <c r="G4368" s="68" t="s">
        <v>17669</v>
      </c>
      <c r="H4368" s="71"/>
      <c r="I4368" s="71"/>
      <c r="J4368" s="68" t="s">
        <v>17670</v>
      </c>
      <c r="K4368" s="245">
        <v>43032.0</v>
      </c>
      <c r="L4368" s="68" t="s">
        <v>2743</v>
      </c>
      <c r="M4368" s="68" t="s">
        <v>125</v>
      </c>
      <c r="N4368" s="61"/>
      <c r="O4368" s="51"/>
    </row>
    <row r="4369">
      <c r="A4369" s="56">
        <v>4366.0</v>
      </c>
      <c r="B4369" s="240"/>
      <c r="C4369" s="69" t="s">
        <v>17671</v>
      </c>
      <c r="D4369" s="71"/>
      <c r="E4369" s="68" t="s">
        <v>17672</v>
      </c>
      <c r="F4369" s="76">
        <v>42928.0</v>
      </c>
      <c r="G4369" s="68" t="s">
        <v>17673</v>
      </c>
      <c r="H4369" s="71"/>
      <c r="I4369" s="71"/>
      <c r="J4369" s="68" t="s">
        <v>17674</v>
      </c>
      <c r="K4369" s="83">
        <v>43034.0</v>
      </c>
      <c r="L4369" s="68" t="s">
        <v>2743</v>
      </c>
      <c r="M4369" s="68" t="s">
        <v>542</v>
      </c>
      <c r="N4369" s="61"/>
      <c r="O4369" s="51"/>
    </row>
    <row r="4370">
      <c r="A4370" s="56">
        <v>4367.0</v>
      </c>
      <c r="B4370" s="240"/>
      <c r="C4370" s="69" t="s">
        <v>17675</v>
      </c>
      <c r="D4370" s="71"/>
      <c r="E4370" s="68" t="s">
        <v>17676</v>
      </c>
      <c r="F4370" s="76">
        <v>42928.0</v>
      </c>
      <c r="G4370" s="68" t="s">
        <v>17673</v>
      </c>
      <c r="H4370" s="71"/>
      <c r="I4370" s="71"/>
      <c r="J4370" s="68" t="s">
        <v>17674</v>
      </c>
      <c r="K4370" s="83">
        <v>43034.0</v>
      </c>
      <c r="L4370" s="68" t="s">
        <v>2743</v>
      </c>
      <c r="M4370" s="68" t="s">
        <v>542</v>
      </c>
      <c r="N4370" s="61"/>
      <c r="O4370" s="51"/>
    </row>
    <row r="4371">
      <c r="A4371" s="56">
        <v>4368.0</v>
      </c>
      <c r="B4371" s="240"/>
      <c r="C4371" s="69" t="s">
        <v>17677</v>
      </c>
      <c r="D4371" s="71"/>
      <c r="E4371" s="68" t="s">
        <v>17678</v>
      </c>
      <c r="F4371" s="83">
        <v>43018.0</v>
      </c>
      <c r="G4371" s="68" t="s">
        <v>17679</v>
      </c>
      <c r="H4371" s="71"/>
      <c r="I4371" s="68" t="s">
        <v>17680</v>
      </c>
      <c r="J4371" s="87" t="s">
        <v>17681</v>
      </c>
      <c r="K4371" s="83">
        <v>43034.0</v>
      </c>
      <c r="L4371" s="68" t="s">
        <v>2743</v>
      </c>
      <c r="M4371" s="68" t="s">
        <v>31</v>
      </c>
      <c r="N4371" s="77"/>
      <c r="O4371" s="51"/>
    </row>
    <row r="4372">
      <c r="A4372" s="56">
        <v>4369.0</v>
      </c>
      <c r="B4372" s="240"/>
      <c r="C4372" s="69" t="s">
        <v>17682</v>
      </c>
      <c r="D4372" s="71"/>
      <c r="E4372" s="68" t="s">
        <v>17683</v>
      </c>
      <c r="F4372" s="76">
        <v>43013.0</v>
      </c>
      <c r="G4372" s="68" t="s">
        <v>17684</v>
      </c>
      <c r="H4372" s="71"/>
      <c r="I4372" s="68" t="s">
        <v>17685</v>
      </c>
      <c r="J4372" s="68" t="s">
        <v>17686</v>
      </c>
      <c r="K4372" s="83">
        <v>43034.0</v>
      </c>
      <c r="L4372" s="68" t="s">
        <v>2743</v>
      </c>
      <c r="M4372" s="68" t="s">
        <v>5707</v>
      </c>
      <c r="N4372" s="61"/>
      <c r="O4372" s="51"/>
    </row>
    <row r="4373">
      <c r="A4373" s="56">
        <v>4370.0</v>
      </c>
      <c r="B4373" s="240"/>
      <c r="C4373" s="69" t="s">
        <v>17687</v>
      </c>
      <c r="D4373" s="71"/>
      <c r="E4373" s="68" t="s">
        <v>17688</v>
      </c>
      <c r="F4373" s="76">
        <v>42917.0</v>
      </c>
      <c r="G4373" s="68" t="s">
        <v>17689</v>
      </c>
      <c r="H4373" s="71"/>
      <c r="I4373" s="71"/>
      <c r="J4373" s="68" t="s">
        <v>17690</v>
      </c>
      <c r="K4373" s="83">
        <v>43034.0</v>
      </c>
      <c r="L4373" s="68" t="s">
        <v>2743</v>
      </c>
      <c r="M4373" s="68" t="s">
        <v>542</v>
      </c>
      <c r="N4373" s="61"/>
      <c r="O4373" s="51"/>
    </row>
    <row r="4374">
      <c r="A4374" s="56">
        <v>4371.0</v>
      </c>
      <c r="B4374" s="246"/>
      <c r="C4374" s="58" t="s">
        <v>17691</v>
      </c>
      <c r="D4374" s="60"/>
      <c r="E4374" s="57" t="s">
        <v>17692</v>
      </c>
      <c r="F4374" s="59">
        <v>42965.0</v>
      </c>
      <c r="G4374" s="57" t="s">
        <v>17693</v>
      </c>
      <c r="H4374" s="60"/>
      <c r="I4374" s="60"/>
      <c r="J4374" s="57" t="s">
        <v>17694</v>
      </c>
      <c r="K4374" s="78">
        <v>43034.0</v>
      </c>
      <c r="L4374" s="57" t="s">
        <v>2743</v>
      </c>
      <c r="M4374" s="57" t="s">
        <v>143</v>
      </c>
      <c r="N4374" s="112"/>
      <c r="O4374" s="51"/>
    </row>
    <row r="4375">
      <c r="A4375" s="56">
        <v>4372.0</v>
      </c>
      <c r="B4375" s="240"/>
      <c r="C4375" s="69" t="s">
        <v>17695</v>
      </c>
      <c r="D4375" s="71"/>
      <c r="E4375" s="68" t="s">
        <v>17696</v>
      </c>
      <c r="F4375" s="76">
        <v>42502.0</v>
      </c>
      <c r="G4375" s="68" t="s">
        <v>17697</v>
      </c>
      <c r="H4375" s="71"/>
      <c r="I4375" s="71"/>
      <c r="J4375" s="68" t="s">
        <v>17698</v>
      </c>
      <c r="K4375" s="83">
        <v>43034.0</v>
      </c>
      <c r="L4375" s="68" t="s">
        <v>2743</v>
      </c>
      <c r="M4375" s="68" t="s">
        <v>31</v>
      </c>
      <c r="N4375" s="61"/>
      <c r="O4375" s="51"/>
    </row>
    <row r="4376">
      <c r="A4376" s="56">
        <v>4373.0</v>
      </c>
      <c r="B4376" s="241"/>
      <c r="C4376" s="64" t="s">
        <v>17699</v>
      </c>
      <c r="D4376" s="66"/>
      <c r="E4376" s="63" t="s">
        <v>17700</v>
      </c>
      <c r="F4376" s="70">
        <v>41097.0</v>
      </c>
      <c r="G4376" s="80" t="s">
        <v>17701</v>
      </c>
      <c r="H4376" s="82"/>
      <c r="I4376" s="66"/>
      <c r="J4376" s="63" t="s">
        <v>2872</v>
      </c>
      <c r="K4376" s="65">
        <v>43034.0</v>
      </c>
      <c r="L4376" s="63" t="s">
        <v>2743</v>
      </c>
      <c r="M4376" s="63" t="s">
        <v>125</v>
      </c>
      <c r="N4376" s="61"/>
      <c r="O4376" s="51"/>
    </row>
    <row r="4377">
      <c r="A4377" s="56">
        <v>4374.0</v>
      </c>
      <c r="B4377" s="241"/>
      <c r="C4377" s="64" t="s">
        <v>17702</v>
      </c>
      <c r="D4377" s="66"/>
      <c r="E4377" s="63" t="s">
        <v>17703</v>
      </c>
      <c r="F4377" s="70">
        <v>39995.0</v>
      </c>
      <c r="G4377" s="80" t="s">
        <v>17704</v>
      </c>
      <c r="H4377" s="82"/>
      <c r="I4377" s="66"/>
      <c r="J4377" s="63" t="s">
        <v>1872</v>
      </c>
      <c r="K4377" s="65">
        <v>43038.0</v>
      </c>
      <c r="L4377" s="63" t="s">
        <v>2743</v>
      </c>
      <c r="M4377" s="63" t="s">
        <v>530</v>
      </c>
      <c r="N4377" s="61"/>
      <c r="O4377" s="51"/>
    </row>
    <row r="4378">
      <c r="A4378" s="56">
        <v>4375.0</v>
      </c>
      <c r="B4378" s="241"/>
      <c r="C4378" s="64" t="s">
        <v>17705</v>
      </c>
      <c r="D4378" s="66"/>
      <c r="E4378" s="63" t="s">
        <v>17706</v>
      </c>
      <c r="F4378" s="65">
        <v>41225.0</v>
      </c>
      <c r="G4378" s="80" t="s">
        <v>17707</v>
      </c>
      <c r="H4378" s="82"/>
      <c r="I4378" s="66"/>
      <c r="J4378" s="63" t="s">
        <v>6381</v>
      </c>
      <c r="K4378" s="65">
        <v>43038.0</v>
      </c>
      <c r="L4378" s="63" t="s">
        <v>2743</v>
      </c>
      <c r="M4378" s="63" t="s">
        <v>201</v>
      </c>
      <c r="N4378" s="61"/>
      <c r="O4378" s="51"/>
    </row>
    <row r="4379">
      <c r="A4379" s="56">
        <v>4376.0</v>
      </c>
      <c r="B4379" s="241"/>
      <c r="C4379" s="64" t="s">
        <v>17708</v>
      </c>
      <c r="D4379" s="66"/>
      <c r="E4379" s="63" t="s">
        <v>17709</v>
      </c>
      <c r="F4379" s="70">
        <v>41640.0</v>
      </c>
      <c r="G4379" s="80" t="s">
        <v>17710</v>
      </c>
      <c r="H4379" s="80" t="s">
        <v>439</v>
      </c>
      <c r="I4379" s="66"/>
      <c r="J4379" s="63" t="s">
        <v>6393</v>
      </c>
      <c r="K4379" s="65">
        <v>43038.0</v>
      </c>
      <c r="L4379" s="63" t="s">
        <v>2743</v>
      </c>
      <c r="M4379" s="63" t="s">
        <v>13085</v>
      </c>
      <c r="N4379" s="61"/>
      <c r="O4379" s="51"/>
    </row>
    <row r="4380">
      <c r="A4380" s="56">
        <v>4377.0</v>
      </c>
      <c r="B4380" s="240"/>
      <c r="C4380" s="69" t="s">
        <v>17711</v>
      </c>
      <c r="D4380" s="71"/>
      <c r="E4380" s="68" t="s">
        <v>17712</v>
      </c>
      <c r="F4380" s="76">
        <v>42552.0</v>
      </c>
      <c r="G4380" s="68" t="s">
        <v>17713</v>
      </c>
      <c r="H4380" s="68" t="s">
        <v>439</v>
      </c>
      <c r="I4380" s="71"/>
      <c r="J4380" s="68" t="s">
        <v>17714</v>
      </c>
      <c r="K4380" s="83">
        <v>43038.0</v>
      </c>
      <c r="L4380" s="68" t="s">
        <v>2743</v>
      </c>
      <c r="M4380" s="68" t="s">
        <v>195</v>
      </c>
      <c r="N4380" s="77"/>
      <c r="O4380" s="51"/>
    </row>
    <row r="4381">
      <c r="A4381" s="56">
        <v>4378.0</v>
      </c>
      <c r="B4381" s="241"/>
      <c r="C4381" s="64" t="s">
        <v>17715</v>
      </c>
      <c r="D4381" s="66"/>
      <c r="E4381" s="63" t="s">
        <v>17716</v>
      </c>
      <c r="F4381" s="70">
        <v>42552.0</v>
      </c>
      <c r="G4381" s="80" t="s">
        <v>17717</v>
      </c>
      <c r="H4381" s="80" t="s">
        <v>439</v>
      </c>
      <c r="I4381" s="66"/>
      <c r="J4381" s="63" t="s">
        <v>6393</v>
      </c>
      <c r="K4381" s="65">
        <v>43038.0</v>
      </c>
      <c r="L4381" s="63" t="s">
        <v>2743</v>
      </c>
      <c r="M4381" s="63" t="s">
        <v>195</v>
      </c>
      <c r="N4381" s="61"/>
      <c r="O4381" s="51"/>
    </row>
    <row r="4382">
      <c r="A4382" s="56">
        <v>4379.0</v>
      </c>
      <c r="B4382" s="240"/>
      <c r="C4382" s="69" t="s">
        <v>17718</v>
      </c>
      <c r="D4382" s="71"/>
      <c r="E4382" s="68" t="s">
        <v>17719</v>
      </c>
      <c r="F4382" s="76">
        <v>42863.0</v>
      </c>
      <c r="G4382" s="68" t="s">
        <v>17720</v>
      </c>
      <c r="H4382" s="71"/>
      <c r="I4382" s="68" t="s">
        <v>17721</v>
      </c>
      <c r="J4382" s="68" t="s">
        <v>17722</v>
      </c>
      <c r="K4382" s="83">
        <v>43038.0</v>
      </c>
      <c r="L4382" s="68" t="s">
        <v>2743</v>
      </c>
      <c r="M4382" s="68" t="s">
        <v>368</v>
      </c>
      <c r="N4382" s="77"/>
      <c r="O4382" s="51"/>
    </row>
    <row r="4383">
      <c r="A4383" s="56">
        <v>4380.0</v>
      </c>
      <c r="B4383" s="240"/>
      <c r="C4383" s="69" t="s">
        <v>17723</v>
      </c>
      <c r="D4383" s="71"/>
      <c r="E4383" s="68" t="s">
        <v>17724</v>
      </c>
      <c r="F4383" s="76">
        <v>42541.0</v>
      </c>
      <c r="G4383" s="68" t="s">
        <v>17725</v>
      </c>
      <c r="H4383" s="71"/>
      <c r="I4383" s="68" t="s">
        <v>17726</v>
      </c>
      <c r="J4383" s="68" t="s">
        <v>14302</v>
      </c>
      <c r="K4383" s="83">
        <v>43038.0</v>
      </c>
      <c r="L4383" s="68" t="s">
        <v>17727</v>
      </c>
      <c r="M4383" s="68" t="s">
        <v>31</v>
      </c>
      <c r="N4383" s="61"/>
      <c r="O4383" s="51"/>
    </row>
    <row r="4384">
      <c r="A4384" s="56">
        <v>4381.0</v>
      </c>
      <c r="B4384" s="241"/>
      <c r="C4384" s="64" t="s">
        <v>17728</v>
      </c>
      <c r="D4384" s="66"/>
      <c r="E4384" s="63" t="s">
        <v>17729</v>
      </c>
      <c r="F4384" s="65">
        <v>42352.0</v>
      </c>
      <c r="G4384" s="80" t="s">
        <v>17730</v>
      </c>
      <c r="H4384" s="80" t="s">
        <v>17731</v>
      </c>
      <c r="I4384" s="63" t="s">
        <v>12934</v>
      </c>
      <c r="J4384" s="63" t="s">
        <v>4627</v>
      </c>
      <c r="K4384" s="65">
        <v>43038.0</v>
      </c>
      <c r="L4384" s="63" t="s">
        <v>17727</v>
      </c>
      <c r="M4384" s="63" t="s">
        <v>31</v>
      </c>
      <c r="N4384" s="77"/>
      <c r="O4384" s="51"/>
    </row>
    <row r="4385">
      <c r="A4385" s="56">
        <v>4382.0</v>
      </c>
      <c r="B4385" s="240"/>
      <c r="C4385" s="69" t="s">
        <v>17732</v>
      </c>
      <c r="D4385" s="71"/>
      <c r="E4385" s="68" t="s">
        <v>17733</v>
      </c>
      <c r="F4385" s="76">
        <v>42526.0</v>
      </c>
      <c r="G4385" s="68" t="s">
        <v>17734</v>
      </c>
      <c r="H4385" s="71"/>
      <c r="I4385" s="71"/>
      <c r="J4385" s="68" t="s">
        <v>17735</v>
      </c>
      <c r="K4385" s="83">
        <v>43038.0</v>
      </c>
      <c r="L4385" s="68" t="s">
        <v>17727</v>
      </c>
      <c r="M4385" s="68" t="s">
        <v>2291</v>
      </c>
      <c r="N4385" s="61"/>
      <c r="O4385" s="51"/>
    </row>
    <row r="4386">
      <c r="A4386" s="56">
        <v>4383.0</v>
      </c>
      <c r="B4386" s="241"/>
      <c r="C4386" s="64" t="s">
        <v>17736</v>
      </c>
      <c r="D4386" s="66"/>
      <c r="E4386" s="63" t="s">
        <v>17737</v>
      </c>
      <c r="F4386" s="65">
        <v>41942.0</v>
      </c>
      <c r="G4386" s="80" t="s">
        <v>17738</v>
      </c>
      <c r="H4386" s="82"/>
      <c r="I4386" s="66"/>
      <c r="J4386" s="63" t="s">
        <v>10278</v>
      </c>
      <c r="K4386" s="65">
        <v>43038.0</v>
      </c>
      <c r="L4386" s="63" t="s">
        <v>17727</v>
      </c>
      <c r="M4386" s="63" t="s">
        <v>10279</v>
      </c>
      <c r="N4386" s="61"/>
      <c r="O4386" s="51"/>
    </row>
    <row r="4387">
      <c r="A4387" s="56">
        <v>4384.0</v>
      </c>
      <c r="B4387" s="240"/>
      <c r="C4387" s="69" t="s">
        <v>17739</v>
      </c>
      <c r="D4387" s="71"/>
      <c r="E4387" s="68" t="s">
        <v>17740</v>
      </c>
      <c r="F4387" s="76">
        <v>42946.0</v>
      </c>
      <c r="G4387" s="68" t="s">
        <v>17741</v>
      </c>
      <c r="H4387" s="71"/>
      <c r="I4387" s="71"/>
      <c r="J4387" s="68" t="s">
        <v>17742</v>
      </c>
      <c r="K4387" s="83">
        <v>43038.0</v>
      </c>
      <c r="L4387" s="68" t="s">
        <v>17727</v>
      </c>
      <c r="M4387" s="68" t="s">
        <v>17743</v>
      </c>
      <c r="N4387" s="77"/>
      <c r="O4387" s="51"/>
    </row>
    <row r="4388">
      <c r="A4388" s="56">
        <v>4385.0</v>
      </c>
      <c r="B4388" s="240"/>
      <c r="C4388" s="69" t="s">
        <v>17744</v>
      </c>
      <c r="D4388" s="71"/>
      <c r="E4388" s="68" t="s">
        <v>17745</v>
      </c>
      <c r="F4388" s="76">
        <v>42946.0</v>
      </c>
      <c r="G4388" s="68" t="s">
        <v>17741</v>
      </c>
      <c r="H4388" s="71"/>
      <c r="I4388" s="71"/>
      <c r="J4388" s="68" t="s">
        <v>17746</v>
      </c>
      <c r="K4388" s="83">
        <v>43038.0</v>
      </c>
      <c r="L4388" s="68" t="s">
        <v>17727</v>
      </c>
      <c r="M4388" s="68" t="s">
        <v>17743</v>
      </c>
      <c r="N4388" s="61"/>
      <c r="O4388" s="51"/>
    </row>
    <row r="4389">
      <c r="A4389" s="56">
        <v>4386.0</v>
      </c>
      <c r="B4389" s="240"/>
      <c r="C4389" s="69" t="s">
        <v>17747</v>
      </c>
      <c r="D4389" s="71"/>
      <c r="E4389" s="68" t="s">
        <v>17748</v>
      </c>
      <c r="F4389" s="76">
        <v>42946.0</v>
      </c>
      <c r="G4389" s="68" t="s">
        <v>17749</v>
      </c>
      <c r="H4389" s="71"/>
      <c r="I4389" s="71"/>
      <c r="J4389" s="87" t="s">
        <v>17750</v>
      </c>
      <c r="K4389" s="83">
        <v>43038.0</v>
      </c>
      <c r="L4389" s="68" t="s">
        <v>17727</v>
      </c>
      <c r="M4389" s="68" t="s">
        <v>17743</v>
      </c>
      <c r="N4389" s="61"/>
      <c r="O4389" s="51"/>
    </row>
    <row r="4390">
      <c r="A4390" s="56">
        <v>4387.0</v>
      </c>
      <c r="B4390" s="240"/>
      <c r="C4390" s="69" t="s">
        <v>17751</v>
      </c>
      <c r="D4390" s="71"/>
      <c r="E4390" s="68" t="s">
        <v>17752</v>
      </c>
      <c r="F4390" s="76">
        <v>42946.0</v>
      </c>
      <c r="G4390" s="68" t="s">
        <v>17753</v>
      </c>
      <c r="H4390" s="71"/>
      <c r="I4390" s="71"/>
      <c r="J4390" s="68" t="s">
        <v>17754</v>
      </c>
      <c r="K4390" s="83">
        <v>43038.0</v>
      </c>
      <c r="L4390" s="68" t="s">
        <v>17727</v>
      </c>
      <c r="M4390" s="68" t="s">
        <v>17743</v>
      </c>
      <c r="N4390" s="61"/>
      <c r="O4390" s="51"/>
    </row>
    <row r="4391">
      <c r="A4391" s="56">
        <v>4388.0</v>
      </c>
      <c r="B4391" s="240"/>
      <c r="C4391" s="69" t="s">
        <v>17755</v>
      </c>
      <c r="D4391" s="71"/>
      <c r="E4391" s="68" t="s">
        <v>17756</v>
      </c>
      <c r="F4391" s="76">
        <v>42946.0</v>
      </c>
      <c r="G4391" s="68" t="s">
        <v>17757</v>
      </c>
      <c r="H4391" s="71"/>
      <c r="I4391" s="71"/>
      <c r="J4391" s="68" t="s">
        <v>17758</v>
      </c>
      <c r="K4391" s="83">
        <v>43038.0</v>
      </c>
      <c r="L4391" s="68" t="s">
        <v>17727</v>
      </c>
      <c r="M4391" s="68" t="s">
        <v>17743</v>
      </c>
      <c r="N4391" s="61"/>
      <c r="O4391" s="51"/>
    </row>
    <row r="4392">
      <c r="A4392" s="56">
        <v>4389.0</v>
      </c>
      <c r="B4392" s="240"/>
      <c r="C4392" s="69" t="s">
        <v>17759</v>
      </c>
      <c r="D4392" s="71"/>
      <c r="E4392" s="68" t="s">
        <v>17760</v>
      </c>
      <c r="F4392" s="76">
        <v>42946.0</v>
      </c>
      <c r="G4392" s="68" t="s">
        <v>17761</v>
      </c>
      <c r="H4392" s="71"/>
      <c r="I4392" s="71"/>
      <c r="J4392" s="68" t="s">
        <v>17762</v>
      </c>
      <c r="K4392" s="83">
        <v>43038.0</v>
      </c>
      <c r="L4392" s="68" t="s">
        <v>17727</v>
      </c>
      <c r="M4392" s="68" t="s">
        <v>17743</v>
      </c>
      <c r="N4392" s="61"/>
      <c r="O4392" s="51"/>
    </row>
    <row r="4393">
      <c r="A4393" s="56">
        <v>4390.0</v>
      </c>
      <c r="B4393" s="240"/>
      <c r="C4393" s="69" t="s">
        <v>17763</v>
      </c>
      <c r="D4393" s="71"/>
      <c r="E4393" s="68" t="s">
        <v>17764</v>
      </c>
      <c r="F4393" s="76">
        <v>42946.0</v>
      </c>
      <c r="G4393" s="68" t="s">
        <v>17765</v>
      </c>
      <c r="H4393" s="71"/>
      <c r="I4393" s="71"/>
      <c r="J4393" s="68" t="s">
        <v>17766</v>
      </c>
      <c r="K4393" s="83">
        <v>43038.0</v>
      </c>
      <c r="L4393" s="71"/>
      <c r="M4393" s="68" t="s">
        <v>17743</v>
      </c>
      <c r="N4393" s="61"/>
      <c r="O4393" s="51"/>
    </row>
    <row r="4394">
      <c r="A4394" s="56">
        <v>4391.0</v>
      </c>
      <c r="B4394" s="240"/>
      <c r="C4394" s="69" t="s">
        <v>17767</v>
      </c>
      <c r="D4394" s="71"/>
      <c r="E4394" s="68" t="s">
        <v>17768</v>
      </c>
      <c r="F4394" s="76">
        <v>42879.0</v>
      </c>
      <c r="G4394" s="68" t="s">
        <v>17769</v>
      </c>
      <c r="H4394" s="71"/>
      <c r="I4394" s="71"/>
      <c r="J4394" s="68" t="s">
        <v>9968</v>
      </c>
      <c r="K4394" s="83">
        <v>43039.0</v>
      </c>
      <c r="L4394" s="68" t="s">
        <v>14256</v>
      </c>
      <c r="M4394" s="68" t="s">
        <v>166</v>
      </c>
      <c r="N4394" s="77"/>
      <c r="O4394" s="51"/>
    </row>
    <row r="4395">
      <c r="A4395" s="56">
        <v>4392.0</v>
      </c>
      <c r="B4395" s="241"/>
      <c r="C4395" s="64" t="s">
        <v>17770</v>
      </c>
      <c r="D4395" s="66"/>
      <c r="E4395" s="63" t="s">
        <v>17771</v>
      </c>
      <c r="F4395" s="70">
        <v>40009.0</v>
      </c>
      <c r="G4395" s="80" t="s">
        <v>17772</v>
      </c>
      <c r="H4395" s="82"/>
      <c r="I4395" s="66"/>
      <c r="J4395" s="63" t="s">
        <v>1872</v>
      </c>
      <c r="K4395" s="70">
        <v>43043.0</v>
      </c>
      <c r="L4395" s="63" t="s">
        <v>2743</v>
      </c>
      <c r="M4395" s="63" t="s">
        <v>530</v>
      </c>
      <c r="N4395" s="61"/>
      <c r="O4395" s="51"/>
    </row>
    <row r="4396">
      <c r="A4396" s="75">
        <v>4393.0</v>
      </c>
      <c r="B4396" s="240"/>
      <c r="C4396" s="69" t="s">
        <v>17773</v>
      </c>
      <c r="D4396" s="71"/>
      <c r="E4396" s="68" t="s">
        <v>17774</v>
      </c>
      <c r="F4396" s="76">
        <v>42095.0</v>
      </c>
      <c r="G4396" s="68" t="s">
        <v>17775</v>
      </c>
      <c r="H4396" s="71"/>
      <c r="I4396" s="71"/>
      <c r="J4396" s="68" t="s">
        <v>17776</v>
      </c>
      <c r="K4396" s="76">
        <v>43043.0</v>
      </c>
      <c r="L4396" s="68" t="s">
        <v>2743</v>
      </c>
      <c r="M4396" s="68" t="s">
        <v>4749</v>
      </c>
      <c r="N4396" s="61"/>
      <c r="O4396" s="51"/>
    </row>
    <row r="4397">
      <c r="A4397" s="56">
        <v>4394.0</v>
      </c>
      <c r="B4397" s="241"/>
      <c r="C4397" s="64" t="s">
        <v>17777</v>
      </c>
      <c r="D4397" s="66"/>
      <c r="E4397" s="63" t="s">
        <v>17778</v>
      </c>
      <c r="F4397" s="70">
        <v>41827.0</v>
      </c>
      <c r="G4397" s="80" t="s">
        <v>17779</v>
      </c>
      <c r="H4397" s="82"/>
      <c r="I4397" s="66"/>
      <c r="J4397" s="63" t="s">
        <v>2872</v>
      </c>
      <c r="K4397" s="70">
        <v>43045.0</v>
      </c>
      <c r="L4397" s="63" t="s">
        <v>2743</v>
      </c>
      <c r="M4397" s="63" t="s">
        <v>125</v>
      </c>
      <c r="N4397" s="248"/>
      <c r="O4397" s="51"/>
    </row>
    <row r="4398">
      <c r="A4398" s="56">
        <v>4395.0</v>
      </c>
      <c r="B4398" s="240"/>
      <c r="C4398" s="69" t="s">
        <v>17780</v>
      </c>
      <c r="D4398" s="71"/>
      <c r="E4398" s="68" t="s">
        <v>17781</v>
      </c>
      <c r="F4398" s="76">
        <v>42973.0</v>
      </c>
      <c r="G4398" s="68" t="s">
        <v>17782</v>
      </c>
      <c r="H4398" s="71"/>
      <c r="I4398" s="71"/>
      <c r="J4398" s="68" t="s">
        <v>17783</v>
      </c>
      <c r="K4398" s="76">
        <v>43045.0</v>
      </c>
      <c r="L4398" s="68" t="s">
        <v>2743</v>
      </c>
      <c r="M4398" s="68" t="s">
        <v>4749</v>
      </c>
      <c r="N4398" s="77"/>
      <c r="O4398" s="51"/>
    </row>
    <row r="4399">
      <c r="A4399" s="56">
        <v>4396.0</v>
      </c>
      <c r="B4399" s="241"/>
      <c r="C4399" s="64" t="s">
        <v>17784</v>
      </c>
      <c r="D4399" s="66"/>
      <c r="E4399" s="63" t="s">
        <v>17785</v>
      </c>
      <c r="F4399" s="70">
        <v>41456.0</v>
      </c>
      <c r="G4399" s="80" t="s">
        <v>17786</v>
      </c>
      <c r="H4399" s="80" t="s">
        <v>439</v>
      </c>
      <c r="I4399" s="63" t="s">
        <v>17787</v>
      </c>
      <c r="J4399" s="63" t="s">
        <v>1872</v>
      </c>
      <c r="K4399" s="70">
        <v>43045.0</v>
      </c>
      <c r="L4399" s="63" t="s">
        <v>2743</v>
      </c>
      <c r="M4399" s="63" t="s">
        <v>530</v>
      </c>
      <c r="N4399" s="61"/>
      <c r="O4399" s="51"/>
    </row>
    <row r="4400">
      <c r="A4400" s="56">
        <v>4397.0</v>
      </c>
      <c r="B4400" s="240"/>
      <c r="C4400" s="69" t="s">
        <v>17788</v>
      </c>
      <c r="D4400" s="71"/>
      <c r="E4400" s="68" t="s">
        <v>17789</v>
      </c>
      <c r="F4400" s="76">
        <v>42801.0</v>
      </c>
      <c r="G4400" s="68" t="s">
        <v>17790</v>
      </c>
      <c r="H4400" s="71"/>
      <c r="I4400" s="68" t="s">
        <v>17791</v>
      </c>
      <c r="J4400" s="68" t="s">
        <v>17792</v>
      </c>
      <c r="K4400" s="76">
        <v>43045.0</v>
      </c>
      <c r="L4400" s="68" t="s">
        <v>2743</v>
      </c>
      <c r="M4400" s="68" t="s">
        <v>31</v>
      </c>
      <c r="N4400" s="77"/>
      <c r="O4400" s="51"/>
    </row>
    <row r="4401">
      <c r="A4401" s="75">
        <v>4398.0</v>
      </c>
      <c r="B4401" s="240"/>
      <c r="C4401" s="69" t="s">
        <v>17793</v>
      </c>
      <c r="D4401" s="71"/>
      <c r="E4401" s="68" t="s">
        <v>17794</v>
      </c>
      <c r="F4401" s="76">
        <v>42922.0</v>
      </c>
      <c r="G4401" s="68" t="s">
        <v>17795</v>
      </c>
      <c r="H4401" s="71"/>
      <c r="I4401" s="71"/>
      <c r="J4401" s="68" t="s">
        <v>17796</v>
      </c>
      <c r="K4401" s="76">
        <v>43045.0</v>
      </c>
      <c r="L4401" s="68" t="s">
        <v>16185</v>
      </c>
      <c r="M4401" s="68" t="s">
        <v>14456</v>
      </c>
      <c r="N4401" s="77"/>
      <c r="O4401" s="51"/>
    </row>
    <row r="4402">
      <c r="A4402" s="56">
        <v>4399.0</v>
      </c>
      <c r="B4402" s="240"/>
      <c r="C4402" s="69" t="s">
        <v>17797</v>
      </c>
      <c r="D4402" s="71"/>
      <c r="E4402" s="68" t="s">
        <v>17798</v>
      </c>
      <c r="F4402" s="76">
        <v>42998.0</v>
      </c>
      <c r="G4402" s="68" t="s">
        <v>17799</v>
      </c>
      <c r="H4402" s="71"/>
      <c r="I4402" s="71"/>
      <c r="J4402" s="68" t="s">
        <v>17800</v>
      </c>
      <c r="K4402" s="76">
        <v>43045.0</v>
      </c>
      <c r="L4402" s="68" t="s">
        <v>16185</v>
      </c>
      <c r="M4402" s="68" t="s">
        <v>2748</v>
      </c>
      <c r="N4402" s="77"/>
      <c r="O4402" s="51"/>
    </row>
    <row r="4403">
      <c r="A4403" s="56">
        <v>4400.0</v>
      </c>
      <c r="B4403" s="240"/>
      <c r="C4403" s="69" t="s">
        <v>17801</v>
      </c>
      <c r="D4403" s="71"/>
      <c r="E4403" s="68" t="s">
        <v>17802</v>
      </c>
      <c r="F4403" s="76">
        <v>42781.0</v>
      </c>
      <c r="G4403" s="68" t="s">
        <v>17803</v>
      </c>
      <c r="H4403" s="71"/>
      <c r="I4403" s="71"/>
      <c r="J4403" s="68" t="s">
        <v>17804</v>
      </c>
      <c r="K4403" s="76">
        <v>43045.0</v>
      </c>
      <c r="L4403" s="68" t="s">
        <v>16185</v>
      </c>
      <c r="M4403" s="68" t="s">
        <v>143</v>
      </c>
      <c r="N4403" s="61"/>
      <c r="O4403" s="51"/>
    </row>
    <row r="4404">
      <c r="A4404" s="56">
        <v>4401.0</v>
      </c>
      <c r="B4404" s="240"/>
      <c r="C4404" s="69" t="s">
        <v>17805</v>
      </c>
      <c r="D4404" s="71"/>
      <c r="E4404" s="68" t="s">
        <v>17806</v>
      </c>
      <c r="F4404" s="76">
        <v>42977.0</v>
      </c>
      <c r="G4404" s="68" t="s">
        <v>17807</v>
      </c>
      <c r="H4404" s="71"/>
      <c r="I4404" s="71"/>
      <c r="J4404" s="68" t="s">
        <v>17808</v>
      </c>
      <c r="K4404" s="76">
        <v>43045.0</v>
      </c>
      <c r="L4404" s="68" t="s">
        <v>16185</v>
      </c>
      <c r="M4404" s="68" t="s">
        <v>143</v>
      </c>
      <c r="N4404" s="77"/>
      <c r="O4404" s="51"/>
    </row>
    <row r="4405">
      <c r="A4405" s="56">
        <v>4402.0</v>
      </c>
      <c r="B4405" s="240"/>
      <c r="C4405" s="69" t="s">
        <v>17809</v>
      </c>
      <c r="D4405" s="71"/>
      <c r="E4405" s="68" t="s">
        <v>17810</v>
      </c>
      <c r="F4405" s="76">
        <v>42013.0</v>
      </c>
      <c r="G4405" s="68" t="s">
        <v>17811</v>
      </c>
      <c r="H4405" s="71"/>
      <c r="I4405" s="71"/>
      <c r="J4405" s="87" t="s">
        <v>17812</v>
      </c>
      <c r="K4405" s="76">
        <v>43045.0</v>
      </c>
      <c r="L4405" s="68" t="s">
        <v>16185</v>
      </c>
      <c r="M4405" s="68" t="s">
        <v>17743</v>
      </c>
      <c r="N4405" s="77"/>
      <c r="O4405" s="51"/>
    </row>
    <row r="4406">
      <c r="A4406" s="56">
        <v>4403.0</v>
      </c>
      <c r="B4406" s="240"/>
      <c r="C4406" s="69" t="s">
        <v>17813</v>
      </c>
      <c r="D4406" s="71"/>
      <c r="E4406" s="68" t="s">
        <v>17814</v>
      </c>
      <c r="F4406" s="83">
        <v>43026.0</v>
      </c>
      <c r="G4406" s="68" t="s">
        <v>17815</v>
      </c>
      <c r="H4406" s="71"/>
      <c r="I4406" s="71"/>
      <c r="J4406" s="68" t="s">
        <v>17816</v>
      </c>
      <c r="K4406" s="76">
        <v>43045.0</v>
      </c>
      <c r="L4406" s="68" t="s">
        <v>16185</v>
      </c>
      <c r="M4406" s="68" t="s">
        <v>2263</v>
      </c>
      <c r="N4406" s="61"/>
      <c r="O4406" s="51"/>
    </row>
    <row r="4407">
      <c r="A4407" s="56">
        <v>4404.0</v>
      </c>
      <c r="B4407" s="241"/>
      <c r="C4407" s="64" t="s">
        <v>17817</v>
      </c>
      <c r="D4407" s="66"/>
      <c r="E4407" s="63" t="s">
        <v>17818</v>
      </c>
      <c r="F4407" s="70">
        <v>40056.0</v>
      </c>
      <c r="G4407" s="80" t="s">
        <v>17819</v>
      </c>
      <c r="H4407" s="82"/>
      <c r="I4407" s="66"/>
      <c r="J4407" s="63" t="s">
        <v>1872</v>
      </c>
      <c r="K4407" s="70">
        <v>43045.0</v>
      </c>
      <c r="L4407" s="63" t="s">
        <v>16185</v>
      </c>
      <c r="M4407" s="63" t="s">
        <v>530</v>
      </c>
      <c r="N4407" s="61"/>
      <c r="O4407" s="51"/>
    </row>
    <row r="4408">
      <c r="A4408" s="56">
        <v>4405.0</v>
      </c>
      <c r="B4408" s="240"/>
      <c r="C4408" s="69" t="s">
        <v>17820</v>
      </c>
      <c r="D4408" s="71"/>
      <c r="E4408" s="68" t="s">
        <v>17821</v>
      </c>
      <c r="F4408" s="76">
        <v>42153.0</v>
      </c>
      <c r="G4408" s="68" t="s">
        <v>17822</v>
      </c>
      <c r="H4408" s="71"/>
      <c r="I4408" s="71"/>
      <c r="J4408" s="68" t="s">
        <v>17823</v>
      </c>
      <c r="K4408" s="76">
        <v>43045.0</v>
      </c>
      <c r="L4408" s="68" t="s">
        <v>16185</v>
      </c>
      <c r="M4408" s="68" t="s">
        <v>542</v>
      </c>
      <c r="N4408" s="61"/>
      <c r="O4408" s="51"/>
    </row>
    <row r="4409">
      <c r="A4409" s="56">
        <v>4406.0</v>
      </c>
      <c r="B4409" s="240"/>
      <c r="C4409" s="69" t="s">
        <v>17824</v>
      </c>
      <c r="D4409" s="71"/>
      <c r="E4409" s="68" t="s">
        <v>17825</v>
      </c>
      <c r="F4409" s="76">
        <v>43002.0</v>
      </c>
      <c r="G4409" s="68" t="s">
        <v>17826</v>
      </c>
      <c r="H4409" s="71"/>
      <c r="I4409" s="71"/>
      <c r="J4409" s="68" t="s">
        <v>17827</v>
      </c>
      <c r="K4409" s="76">
        <v>43045.0</v>
      </c>
      <c r="L4409" s="68" t="s">
        <v>16185</v>
      </c>
      <c r="M4409" s="68" t="s">
        <v>166</v>
      </c>
      <c r="N4409" s="61"/>
      <c r="O4409" s="51"/>
    </row>
    <row r="4410">
      <c r="A4410" s="56">
        <v>4407.0</v>
      </c>
      <c r="B4410" s="240"/>
      <c r="C4410" s="69" t="s">
        <v>17828</v>
      </c>
      <c r="D4410" s="71"/>
      <c r="E4410" s="68" t="s">
        <v>17829</v>
      </c>
      <c r="F4410" s="76">
        <v>40065.0</v>
      </c>
      <c r="G4410" s="68" t="s">
        <v>17830</v>
      </c>
      <c r="H4410" s="71"/>
      <c r="I4410" s="71"/>
      <c r="J4410" s="68" t="s">
        <v>17831</v>
      </c>
      <c r="K4410" s="76">
        <v>43045.0</v>
      </c>
      <c r="L4410" s="68" t="s">
        <v>2743</v>
      </c>
      <c r="M4410" s="68" t="s">
        <v>166</v>
      </c>
      <c r="N4410" s="61"/>
      <c r="O4410" s="51"/>
    </row>
    <row r="4411">
      <c r="A4411" s="75">
        <v>4408.0</v>
      </c>
      <c r="B4411" s="240"/>
      <c r="C4411" s="69" t="s">
        <v>17832</v>
      </c>
      <c r="D4411" s="71"/>
      <c r="E4411" s="68" t="s">
        <v>17833</v>
      </c>
      <c r="F4411" s="76">
        <v>42122.0</v>
      </c>
      <c r="G4411" s="68" t="s">
        <v>17834</v>
      </c>
      <c r="H4411" s="71"/>
      <c r="I4411" s="71"/>
      <c r="J4411" s="68" t="s">
        <v>17835</v>
      </c>
      <c r="K4411" s="76">
        <v>43045.0</v>
      </c>
      <c r="L4411" s="68" t="s">
        <v>16185</v>
      </c>
      <c r="M4411" s="68" t="s">
        <v>403</v>
      </c>
      <c r="N4411" s="61"/>
      <c r="O4411" s="51"/>
    </row>
    <row r="4412">
      <c r="A4412" s="56">
        <v>4409.0</v>
      </c>
      <c r="B4412" s="241"/>
      <c r="C4412" s="64" t="s">
        <v>17836</v>
      </c>
      <c r="D4412" s="66"/>
      <c r="E4412" s="63" t="s">
        <v>17837</v>
      </c>
      <c r="F4412" s="70">
        <v>39995.0</v>
      </c>
      <c r="G4412" s="80" t="s">
        <v>17838</v>
      </c>
      <c r="H4412" s="80" t="s">
        <v>4336</v>
      </c>
      <c r="I4412" s="63" t="s">
        <v>17839</v>
      </c>
      <c r="J4412" s="63" t="s">
        <v>1872</v>
      </c>
      <c r="K4412" s="70">
        <v>43045.0</v>
      </c>
      <c r="L4412" s="63" t="s">
        <v>2743</v>
      </c>
      <c r="M4412" s="63" t="s">
        <v>530</v>
      </c>
      <c r="N4412" s="61"/>
      <c r="O4412" s="51"/>
    </row>
    <row r="4413">
      <c r="A4413" s="56">
        <v>4410.0</v>
      </c>
      <c r="B4413" s="240"/>
      <c r="C4413" s="69" t="s">
        <v>17840</v>
      </c>
      <c r="D4413" s="71"/>
      <c r="E4413" s="68" t="s">
        <v>17841</v>
      </c>
      <c r="F4413" s="76">
        <v>42469.0</v>
      </c>
      <c r="G4413" s="68" t="s">
        <v>17842</v>
      </c>
      <c r="H4413" s="71"/>
      <c r="I4413" s="71"/>
      <c r="J4413" s="68" t="s">
        <v>17843</v>
      </c>
      <c r="K4413" s="76">
        <v>43045.0</v>
      </c>
      <c r="L4413" s="68" t="s">
        <v>2743</v>
      </c>
      <c r="M4413" s="68" t="s">
        <v>2152</v>
      </c>
      <c r="N4413" s="61"/>
      <c r="O4413" s="51"/>
    </row>
    <row r="4414">
      <c r="A4414" s="75">
        <v>4411.0</v>
      </c>
      <c r="B4414" s="240"/>
      <c r="C4414" s="69" t="s">
        <v>17844</v>
      </c>
      <c r="D4414" s="71"/>
      <c r="E4414" s="68" t="s">
        <v>17845</v>
      </c>
      <c r="F4414" s="76">
        <v>40047.0</v>
      </c>
      <c r="G4414" s="68" t="s">
        <v>17846</v>
      </c>
      <c r="H4414" s="71"/>
      <c r="I4414" s="71"/>
      <c r="J4414" s="68" t="s">
        <v>1392</v>
      </c>
      <c r="K4414" s="76">
        <v>43045.0</v>
      </c>
      <c r="L4414" s="68" t="s">
        <v>2743</v>
      </c>
      <c r="M4414" s="68" t="s">
        <v>530</v>
      </c>
      <c r="N4414" s="77"/>
      <c r="O4414" s="51"/>
    </row>
    <row r="4415">
      <c r="A4415" s="56">
        <v>4412.0</v>
      </c>
      <c r="B4415" s="240"/>
      <c r="C4415" s="69" t="s">
        <v>17847</v>
      </c>
      <c r="D4415" s="71"/>
      <c r="E4415" s="68" t="s">
        <v>17848</v>
      </c>
      <c r="F4415" s="76">
        <v>41109.0</v>
      </c>
      <c r="G4415" s="68" t="s">
        <v>17849</v>
      </c>
      <c r="H4415" s="71"/>
      <c r="I4415" s="71"/>
      <c r="J4415" s="68" t="s">
        <v>17850</v>
      </c>
      <c r="K4415" s="76">
        <v>43045.0</v>
      </c>
      <c r="L4415" s="68" t="s">
        <v>2743</v>
      </c>
      <c r="M4415" s="68" t="s">
        <v>530</v>
      </c>
      <c r="N4415" s="77"/>
      <c r="O4415" s="51"/>
    </row>
    <row r="4416">
      <c r="A4416" s="56">
        <v>4413.0</v>
      </c>
      <c r="B4416" s="240"/>
      <c r="C4416" s="69" t="s">
        <v>17851</v>
      </c>
      <c r="D4416" s="71"/>
      <c r="E4416" s="68" t="s">
        <v>17852</v>
      </c>
      <c r="F4416" s="83">
        <v>41958.0</v>
      </c>
      <c r="G4416" s="68" t="s">
        <v>17853</v>
      </c>
      <c r="H4416" s="71"/>
      <c r="I4416" s="71"/>
      <c r="J4416" s="68" t="s">
        <v>17854</v>
      </c>
      <c r="K4416" s="76">
        <v>43045.0</v>
      </c>
      <c r="L4416" s="68" t="s">
        <v>13542</v>
      </c>
      <c r="M4416" s="68" t="s">
        <v>27</v>
      </c>
      <c r="N4416" s="77"/>
      <c r="O4416" s="51"/>
    </row>
    <row r="4417">
      <c r="A4417" s="56">
        <v>4414.0</v>
      </c>
      <c r="B4417" s="240"/>
      <c r="C4417" s="69" t="s">
        <v>17855</v>
      </c>
      <c r="D4417" s="71"/>
      <c r="E4417" s="68" t="s">
        <v>17856</v>
      </c>
      <c r="F4417" s="76">
        <v>42768.0</v>
      </c>
      <c r="G4417" s="68" t="s">
        <v>17857</v>
      </c>
      <c r="H4417" s="71"/>
      <c r="I4417" s="71"/>
      <c r="J4417" s="68" t="s">
        <v>17858</v>
      </c>
      <c r="K4417" s="76">
        <v>43045.0</v>
      </c>
      <c r="L4417" s="68" t="s">
        <v>13542</v>
      </c>
      <c r="M4417" s="68" t="s">
        <v>27</v>
      </c>
      <c r="N4417" s="77"/>
      <c r="O4417" s="51"/>
    </row>
    <row r="4418">
      <c r="A4418" s="56">
        <v>4415.0</v>
      </c>
      <c r="B4418" s="240"/>
      <c r="C4418" s="69" t="s">
        <v>17859</v>
      </c>
      <c r="D4418" s="71"/>
      <c r="E4418" s="68" t="s">
        <v>17860</v>
      </c>
      <c r="F4418" s="76">
        <v>42768.0</v>
      </c>
      <c r="G4418" s="68" t="s">
        <v>17857</v>
      </c>
      <c r="H4418" s="71"/>
      <c r="I4418" s="71"/>
      <c r="J4418" s="68" t="s">
        <v>17861</v>
      </c>
      <c r="K4418" s="76">
        <v>43045.0</v>
      </c>
      <c r="L4418" s="68" t="s">
        <v>13542</v>
      </c>
      <c r="M4418" s="68" t="s">
        <v>27</v>
      </c>
      <c r="N4418" s="61"/>
      <c r="O4418" s="51"/>
    </row>
    <row r="4419">
      <c r="A4419" s="56">
        <v>4416.0</v>
      </c>
      <c r="B4419" s="240"/>
      <c r="C4419" s="69" t="s">
        <v>17862</v>
      </c>
      <c r="D4419" s="71"/>
      <c r="E4419" s="68" t="s">
        <v>17863</v>
      </c>
      <c r="F4419" s="76">
        <v>42837.0</v>
      </c>
      <c r="G4419" s="68" t="s">
        <v>17864</v>
      </c>
      <c r="H4419" s="71"/>
      <c r="I4419" s="71"/>
      <c r="J4419" s="68" t="s">
        <v>17865</v>
      </c>
      <c r="K4419" s="76">
        <v>43045.0</v>
      </c>
      <c r="L4419" s="68" t="s">
        <v>2743</v>
      </c>
      <c r="M4419" s="68" t="s">
        <v>166</v>
      </c>
      <c r="N4419" s="61"/>
      <c r="O4419" s="51"/>
    </row>
    <row r="4420">
      <c r="A4420" s="56">
        <v>4417.0</v>
      </c>
      <c r="B4420" s="246"/>
      <c r="C4420" s="58" t="s">
        <v>17866</v>
      </c>
      <c r="D4420" s="60"/>
      <c r="E4420" s="57" t="s">
        <v>17867</v>
      </c>
      <c r="F4420" s="59">
        <v>40724.0</v>
      </c>
      <c r="G4420" s="57" t="s">
        <v>17868</v>
      </c>
      <c r="H4420" s="60"/>
      <c r="I4420" s="60"/>
      <c r="J4420" s="57" t="s">
        <v>17869</v>
      </c>
      <c r="K4420" s="233">
        <v>43045.0</v>
      </c>
      <c r="L4420" s="57" t="s">
        <v>2743</v>
      </c>
      <c r="M4420" s="57" t="s">
        <v>166</v>
      </c>
      <c r="N4420" s="112"/>
      <c r="O4420" s="51"/>
    </row>
    <row r="4421">
      <c r="A4421" s="56">
        <v>4418.0</v>
      </c>
      <c r="B4421" s="240"/>
      <c r="C4421" s="69" t="s">
        <v>17870</v>
      </c>
      <c r="D4421" s="71"/>
      <c r="E4421" s="68" t="s">
        <v>17871</v>
      </c>
      <c r="F4421" s="76">
        <v>40630.0</v>
      </c>
      <c r="G4421" s="68" t="s">
        <v>17872</v>
      </c>
      <c r="H4421" s="71"/>
      <c r="I4421" s="71"/>
      <c r="J4421" s="68" t="s">
        <v>17873</v>
      </c>
      <c r="K4421" s="76">
        <v>43046.0</v>
      </c>
      <c r="L4421" s="68" t="s">
        <v>17727</v>
      </c>
      <c r="M4421" s="68" t="s">
        <v>166</v>
      </c>
      <c r="N4421" s="77"/>
      <c r="O4421" s="51"/>
    </row>
    <row r="4422">
      <c r="A4422" s="56">
        <v>4419.0</v>
      </c>
      <c r="B4422" s="240"/>
      <c r="C4422" s="69" t="s">
        <v>17874</v>
      </c>
      <c r="D4422" s="71"/>
      <c r="E4422" s="68" t="s">
        <v>17875</v>
      </c>
      <c r="F4422" s="76">
        <v>41476.0</v>
      </c>
      <c r="G4422" s="68" t="s">
        <v>17876</v>
      </c>
      <c r="H4422" s="71"/>
      <c r="I4422" s="71"/>
      <c r="J4422" s="68" t="s">
        <v>17877</v>
      </c>
      <c r="K4422" s="83">
        <v>43053.0</v>
      </c>
      <c r="L4422" s="68" t="s">
        <v>2743</v>
      </c>
      <c r="M4422" s="68" t="s">
        <v>125</v>
      </c>
      <c r="N4422" s="61"/>
      <c r="O4422" s="51"/>
    </row>
    <row r="4423">
      <c r="A4423" s="56">
        <v>4420.0</v>
      </c>
      <c r="B4423" s="240"/>
      <c r="C4423" s="69" t="s">
        <v>17878</v>
      </c>
      <c r="D4423" s="71"/>
      <c r="E4423" s="68" t="s">
        <v>17879</v>
      </c>
      <c r="F4423" s="76">
        <v>42948.0</v>
      </c>
      <c r="G4423" s="68" t="s">
        <v>17880</v>
      </c>
      <c r="H4423" s="71"/>
      <c r="I4423" s="71"/>
      <c r="J4423" s="68" t="s">
        <v>17881</v>
      </c>
      <c r="K4423" s="83">
        <v>43053.0</v>
      </c>
      <c r="L4423" s="68" t="s">
        <v>2743</v>
      </c>
      <c r="M4423" s="68" t="s">
        <v>125</v>
      </c>
      <c r="N4423" s="77"/>
      <c r="O4423" s="51"/>
    </row>
    <row r="4424">
      <c r="A4424" s="56">
        <v>4421.0</v>
      </c>
      <c r="B4424" s="240"/>
      <c r="C4424" s="69" t="s">
        <v>17882</v>
      </c>
      <c r="D4424" s="71"/>
      <c r="E4424" s="68" t="s">
        <v>17883</v>
      </c>
      <c r="F4424" s="76">
        <v>41396.0</v>
      </c>
      <c r="G4424" s="68" t="s">
        <v>17884</v>
      </c>
      <c r="H4424" s="71"/>
      <c r="I4424" s="68" t="s">
        <v>17885</v>
      </c>
      <c r="J4424" s="68" t="s">
        <v>17886</v>
      </c>
      <c r="K4424" s="83">
        <v>43053.0</v>
      </c>
      <c r="L4424" s="68" t="s">
        <v>2743</v>
      </c>
      <c r="M4424" s="68" t="s">
        <v>368</v>
      </c>
      <c r="N4424" s="61"/>
      <c r="O4424" s="51"/>
    </row>
    <row r="4425">
      <c r="A4425" s="56">
        <v>4422.0</v>
      </c>
      <c r="B4425" s="241"/>
      <c r="C4425" s="64" t="s">
        <v>17887</v>
      </c>
      <c r="D4425" s="66"/>
      <c r="E4425" s="63" t="s">
        <v>17888</v>
      </c>
      <c r="F4425" s="70">
        <v>41648.0</v>
      </c>
      <c r="G4425" s="80" t="s">
        <v>17889</v>
      </c>
      <c r="H4425" s="82"/>
      <c r="I4425" s="66"/>
      <c r="J4425" s="63" t="s">
        <v>2872</v>
      </c>
      <c r="K4425" s="65">
        <v>43053.0</v>
      </c>
      <c r="L4425" s="63" t="s">
        <v>2743</v>
      </c>
      <c r="M4425" s="63" t="s">
        <v>125</v>
      </c>
      <c r="N4425" s="61"/>
      <c r="O4425" s="51"/>
    </row>
    <row r="4426">
      <c r="A4426" s="56">
        <v>4423.0</v>
      </c>
      <c r="B4426" s="240"/>
      <c r="C4426" s="69" t="s">
        <v>17890</v>
      </c>
      <c r="D4426" s="71"/>
      <c r="E4426" s="68" t="s">
        <v>17891</v>
      </c>
      <c r="F4426" s="76">
        <v>40615.0</v>
      </c>
      <c r="G4426" s="68" t="s">
        <v>17892</v>
      </c>
      <c r="H4426" s="71"/>
      <c r="I4426" s="71"/>
      <c r="J4426" s="68" t="s">
        <v>17893</v>
      </c>
      <c r="K4426" s="83">
        <v>43053.0</v>
      </c>
      <c r="L4426" s="68" t="s">
        <v>2743</v>
      </c>
      <c r="M4426" s="68" t="s">
        <v>282</v>
      </c>
      <c r="N4426" s="61"/>
      <c r="O4426" s="51"/>
    </row>
    <row r="4427">
      <c r="A4427" s="56">
        <v>4424.0</v>
      </c>
      <c r="B4427" s="240"/>
      <c r="C4427" s="69" t="s">
        <v>17894</v>
      </c>
      <c r="D4427" s="71"/>
      <c r="E4427" s="68" t="s">
        <v>17895</v>
      </c>
      <c r="F4427" s="76">
        <v>42769.0</v>
      </c>
      <c r="G4427" s="68" t="s">
        <v>17896</v>
      </c>
      <c r="H4427" s="71"/>
      <c r="I4427" s="71"/>
      <c r="J4427" s="87" t="s">
        <v>17897</v>
      </c>
      <c r="K4427" s="83">
        <v>43053.0</v>
      </c>
      <c r="L4427" s="68" t="s">
        <v>2743</v>
      </c>
      <c r="M4427" s="68" t="s">
        <v>125</v>
      </c>
      <c r="N4427" s="77"/>
      <c r="O4427" s="51"/>
    </row>
    <row r="4428">
      <c r="A4428" s="56">
        <v>4425.0</v>
      </c>
      <c r="B4428" s="240"/>
      <c r="C4428" s="69" t="s">
        <v>17898</v>
      </c>
      <c r="D4428" s="71"/>
      <c r="E4428" s="68" t="s">
        <v>17899</v>
      </c>
      <c r="F4428" s="76">
        <v>42947.0</v>
      </c>
      <c r="G4428" s="68" t="s">
        <v>17900</v>
      </c>
      <c r="H4428" s="71"/>
      <c r="I4428" s="71"/>
      <c r="J4428" s="68" t="s">
        <v>17901</v>
      </c>
      <c r="K4428" s="83">
        <v>43053.0</v>
      </c>
      <c r="L4428" s="68" t="s">
        <v>2743</v>
      </c>
      <c r="M4428" s="68" t="s">
        <v>166</v>
      </c>
      <c r="N4428" s="77"/>
      <c r="O4428" s="51"/>
    </row>
    <row r="4429">
      <c r="A4429" s="56">
        <v>4426.0</v>
      </c>
      <c r="B4429" s="240"/>
      <c r="C4429" s="69" t="s">
        <v>17902</v>
      </c>
      <c r="D4429" s="71"/>
      <c r="E4429" s="68" t="s">
        <v>17903</v>
      </c>
      <c r="F4429" s="83">
        <v>41601.0</v>
      </c>
      <c r="G4429" s="68" t="s">
        <v>17904</v>
      </c>
      <c r="H4429" s="71"/>
      <c r="I4429" s="71"/>
      <c r="J4429" s="68" t="s">
        <v>17905</v>
      </c>
      <c r="K4429" s="83">
        <v>43053.0</v>
      </c>
      <c r="L4429" s="68" t="s">
        <v>2743</v>
      </c>
      <c r="M4429" s="68" t="s">
        <v>143</v>
      </c>
      <c r="N4429" s="77"/>
      <c r="O4429" s="51"/>
    </row>
    <row r="4430">
      <c r="A4430" s="56">
        <v>4427.0</v>
      </c>
      <c r="B4430" s="240"/>
      <c r="C4430" s="69" t="s">
        <v>17906</v>
      </c>
      <c r="D4430" s="71"/>
      <c r="E4430" s="68" t="s">
        <v>17907</v>
      </c>
      <c r="F4430" s="76">
        <v>43008.0</v>
      </c>
      <c r="G4430" s="68" t="s">
        <v>17908</v>
      </c>
      <c r="H4430" s="71"/>
      <c r="I4430" s="68" t="s">
        <v>17909</v>
      </c>
      <c r="J4430" s="68" t="s">
        <v>3794</v>
      </c>
      <c r="K4430" s="245">
        <v>43053.0</v>
      </c>
      <c r="L4430" s="68" t="s">
        <v>2743</v>
      </c>
      <c r="M4430" s="68" t="s">
        <v>1711</v>
      </c>
      <c r="N4430" s="61"/>
      <c r="O4430" s="51"/>
    </row>
    <row r="4431">
      <c r="A4431" s="56">
        <v>4428.0</v>
      </c>
      <c r="B4431" s="240"/>
      <c r="C4431" s="69" t="s">
        <v>17910</v>
      </c>
      <c r="D4431" s="71"/>
      <c r="E4431" s="68" t="s">
        <v>17911</v>
      </c>
      <c r="F4431" s="83">
        <v>42659.0</v>
      </c>
      <c r="G4431" s="68" t="s">
        <v>17912</v>
      </c>
      <c r="H4431" s="71"/>
      <c r="I4431" s="71"/>
      <c r="J4431" s="68" t="s">
        <v>17913</v>
      </c>
      <c r="K4431" s="83">
        <v>43053.0</v>
      </c>
      <c r="L4431" s="68" t="s">
        <v>2743</v>
      </c>
      <c r="M4431" s="68" t="s">
        <v>195</v>
      </c>
      <c r="N4431" s="77"/>
      <c r="O4431" s="51"/>
    </row>
    <row r="4432">
      <c r="A4432" s="56">
        <v>4429.0</v>
      </c>
      <c r="B4432" s="241"/>
      <c r="C4432" s="64" t="s">
        <v>17914</v>
      </c>
      <c r="D4432" s="66"/>
      <c r="E4432" s="63" t="s">
        <v>17915</v>
      </c>
      <c r="F4432" s="70">
        <v>41835.0</v>
      </c>
      <c r="G4432" s="80" t="s">
        <v>17916</v>
      </c>
      <c r="H4432" s="80" t="s">
        <v>17917</v>
      </c>
      <c r="I4432" s="66"/>
      <c r="J4432" s="63" t="s">
        <v>6393</v>
      </c>
      <c r="K4432" s="65">
        <v>43053.0</v>
      </c>
      <c r="L4432" s="63" t="s">
        <v>16185</v>
      </c>
      <c r="M4432" s="63" t="s">
        <v>195</v>
      </c>
      <c r="N4432" s="61"/>
      <c r="O4432" s="51"/>
    </row>
    <row r="4433">
      <c r="A4433" s="56">
        <v>4430.0</v>
      </c>
      <c r="B4433" s="241"/>
      <c r="C4433" s="64" t="s">
        <v>17918</v>
      </c>
      <c r="D4433" s="66"/>
      <c r="E4433" s="63" t="s">
        <v>17919</v>
      </c>
      <c r="F4433" s="70">
        <v>42901.0</v>
      </c>
      <c r="G4433" s="80" t="s">
        <v>17920</v>
      </c>
      <c r="H4433" s="82"/>
      <c r="I4433" s="66"/>
      <c r="J4433" s="63" t="s">
        <v>11838</v>
      </c>
      <c r="K4433" s="65">
        <v>43053.0</v>
      </c>
      <c r="L4433" s="63" t="s">
        <v>16185</v>
      </c>
      <c r="M4433" s="63" t="s">
        <v>2989</v>
      </c>
      <c r="N4433" s="61"/>
      <c r="O4433" s="51"/>
    </row>
    <row r="4434">
      <c r="A4434" s="56">
        <v>4431.0</v>
      </c>
      <c r="B4434" s="240"/>
      <c r="C4434" s="69" t="s">
        <v>17921</v>
      </c>
      <c r="D4434" s="71"/>
      <c r="E4434" s="68" t="s">
        <v>17922</v>
      </c>
      <c r="F4434" s="76">
        <v>39995.0</v>
      </c>
      <c r="G4434" s="68" t="s">
        <v>17923</v>
      </c>
      <c r="H4434" s="71"/>
      <c r="I4434" s="71"/>
      <c r="J4434" s="68" t="s">
        <v>17924</v>
      </c>
      <c r="K4434" s="83">
        <v>43053.0</v>
      </c>
      <c r="L4434" s="68" t="s">
        <v>2743</v>
      </c>
      <c r="M4434" s="68" t="s">
        <v>530</v>
      </c>
      <c r="N4434" s="61"/>
      <c r="O4434" s="51"/>
    </row>
    <row r="4435">
      <c r="A4435" s="75">
        <v>4432.0</v>
      </c>
      <c r="B4435" s="240"/>
      <c r="C4435" s="69" t="s">
        <v>17925</v>
      </c>
      <c r="D4435" s="71"/>
      <c r="E4435" s="68" t="s">
        <v>17926</v>
      </c>
      <c r="F4435" s="76">
        <v>40514.0</v>
      </c>
      <c r="G4435" s="68" t="s">
        <v>17927</v>
      </c>
      <c r="H4435" s="71"/>
      <c r="I4435" s="71"/>
      <c r="J4435" s="100" t="s">
        <v>4430</v>
      </c>
      <c r="K4435" s="245">
        <v>43053.0</v>
      </c>
      <c r="L4435" s="68" t="s">
        <v>2743</v>
      </c>
      <c r="M4435" s="68" t="s">
        <v>125</v>
      </c>
      <c r="N4435" s="77"/>
      <c r="O4435" s="130"/>
    </row>
    <row r="4436">
      <c r="A4436" s="56">
        <v>4433.0</v>
      </c>
      <c r="B4436" s="241"/>
      <c r="C4436" s="64" t="s">
        <v>17928</v>
      </c>
      <c r="D4436" s="66"/>
      <c r="E4436" s="63" t="s">
        <v>17929</v>
      </c>
      <c r="F4436" s="70">
        <v>41091.0</v>
      </c>
      <c r="G4436" s="80" t="s">
        <v>17930</v>
      </c>
      <c r="H4436" s="80" t="s">
        <v>439</v>
      </c>
      <c r="I4436" s="66"/>
      <c r="J4436" s="63" t="s">
        <v>1872</v>
      </c>
      <c r="K4436" s="65">
        <v>43053.0</v>
      </c>
      <c r="L4436" s="63" t="s">
        <v>2743</v>
      </c>
      <c r="M4436" s="63" t="s">
        <v>530</v>
      </c>
      <c r="N4436" s="61"/>
      <c r="O4436" s="51"/>
    </row>
    <row r="4437">
      <c r="A4437" s="56">
        <v>4434.0</v>
      </c>
      <c r="B4437" s="241"/>
      <c r="C4437" s="64" t="s">
        <v>17931</v>
      </c>
      <c r="D4437" s="66"/>
      <c r="E4437" s="63" t="s">
        <v>17932</v>
      </c>
      <c r="F4437" s="70">
        <v>41821.0</v>
      </c>
      <c r="G4437" s="80" t="s">
        <v>17933</v>
      </c>
      <c r="H4437" s="82"/>
      <c r="I4437" s="66"/>
      <c r="J4437" s="63" t="s">
        <v>9979</v>
      </c>
      <c r="K4437" s="65">
        <v>43053.0</v>
      </c>
      <c r="L4437" s="63" t="s">
        <v>2743</v>
      </c>
      <c r="M4437" s="63" t="s">
        <v>166</v>
      </c>
      <c r="N4437" s="61"/>
      <c r="O4437" s="51"/>
    </row>
    <row r="4438">
      <c r="A4438" s="75">
        <v>4435.0</v>
      </c>
      <c r="B4438" s="240"/>
      <c r="C4438" s="69" t="s">
        <v>17934</v>
      </c>
      <c r="D4438" s="71"/>
      <c r="E4438" s="68" t="s">
        <v>17935</v>
      </c>
      <c r="F4438" s="68">
        <v>41821.0</v>
      </c>
      <c r="G4438" s="68" t="s">
        <v>17936</v>
      </c>
      <c r="H4438" s="71"/>
      <c r="I4438" s="71"/>
      <c r="J4438" s="87" t="s">
        <v>17937</v>
      </c>
      <c r="K4438" s="83">
        <v>43053.0</v>
      </c>
      <c r="L4438" s="68" t="s">
        <v>2743</v>
      </c>
      <c r="M4438" s="68" t="s">
        <v>166</v>
      </c>
      <c r="N4438" s="77"/>
      <c r="O4438" s="51"/>
    </row>
    <row r="4439">
      <c r="A4439" s="56">
        <v>4436.0</v>
      </c>
      <c r="B4439" s="240"/>
      <c r="C4439" s="69" t="s">
        <v>17938</v>
      </c>
      <c r="D4439" s="71"/>
      <c r="E4439" s="68" t="s">
        <v>17939</v>
      </c>
      <c r="F4439" s="83">
        <v>43031.0</v>
      </c>
      <c r="G4439" s="68" t="s">
        <v>17940</v>
      </c>
      <c r="H4439" s="71"/>
      <c r="I4439" s="68" t="s">
        <v>17941</v>
      </c>
      <c r="J4439" s="68" t="s">
        <v>17942</v>
      </c>
      <c r="K4439" s="83">
        <v>43054.0</v>
      </c>
      <c r="L4439" s="68" t="s">
        <v>2743</v>
      </c>
      <c r="M4439" s="68" t="s">
        <v>2291</v>
      </c>
      <c r="N4439" s="61"/>
      <c r="O4439" s="51"/>
    </row>
    <row r="4440">
      <c r="A4440" s="56">
        <v>4437.0</v>
      </c>
      <c r="B4440" s="241"/>
      <c r="C4440" s="64" t="s">
        <v>17943</v>
      </c>
      <c r="D4440" s="66"/>
      <c r="E4440" s="63" t="s">
        <v>17944</v>
      </c>
      <c r="F4440" s="70">
        <v>41913.0</v>
      </c>
      <c r="G4440" s="80" t="s">
        <v>17945</v>
      </c>
      <c r="H4440" s="82"/>
      <c r="I4440" s="66"/>
      <c r="J4440" s="63" t="s">
        <v>2872</v>
      </c>
      <c r="K4440" s="65">
        <v>43054.0</v>
      </c>
      <c r="L4440" s="63" t="s">
        <v>2743</v>
      </c>
      <c r="M4440" s="63" t="s">
        <v>125</v>
      </c>
      <c r="N4440" s="61"/>
      <c r="O4440" s="51"/>
    </row>
    <row r="4441">
      <c r="A4441" s="56">
        <v>4438.0</v>
      </c>
      <c r="B4441" s="240"/>
      <c r="C4441" s="69" t="s">
        <v>17946</v>
      </c>
      <c r="D4441" s="71"/>
      <c r="E4441" s="68" t="s">
        <v>17947</v>
      </c>
      <c r="F4441" s="76">
        <v>41343.0</v>
      </c>
      <c r="G4441" s="71"/>
      <c r="H4441" s="71"/>
      <c r="I4441" s="71"/>
      <c r="J4441" s="68" t="s">
        <v>17948</v>
      </c>
      <c r="K4441" s="83">
        <v>43057.0</v>
      </c>
      <c r="L4441" s="68" t="s">
        <v>17727</v>
      </c>
      <c r="M4441" s="68" t="s">
        <v>149</v>
      </c>
      <c r="N4441" s="61"/>
      <c r="O4441" s="51"/>
    </row>
    <row r="4442">
      <c r="A4442" s="56">
        <v>4439.0</v>
      </c>
      <c r="B4442" s="240"/>
      <c r="C4442" s="69" t="s">
        <v>17949</v>
      </c>
      <c r="D4442" s="71"/>
      <c r="E4442" s="68" t="s">
        <v>17950</v>
      </c>
      <c r="F4442" s="76">
        <v>42895.0</v>
      </c>
      <c r="G4442" s="68" t="s">
        <v>17951</v>
      </c>
      <c r="H4442" s="71"/>
      <c r="I4442" s="71"/>
      <c r="J4442" s="68" t="s">
        <v>17952</v>
      </c>
      <c r="K4442" s="83">
        <v>43059.0</v>
      </c>
      <c r="L4442" s="68" t="s">
        <v>14256</v>
      </c>
      <c r="M4442" s="68" t="s">
        <v>27</v>
      </c>
      <c r="N4442" s="77"/>
      <c r="O4442" s="51"/>
    </row>
    <row r="4443">
      <c r="A4443" s="56">
        <v>4440.0</v>
      </c>
      <c r="B4443" s="240"/>
      <c r="C4443" s="69" t="s">
        <v>17953</v>
      </c>
      <c r="D4443" s="71"/>
      <c r="E4443" s="68" t="s">
        <v>17954</v>
      </c>
      <c r="F4443" s="76">
        <v>42952.0</v>
      </c>
      <c r="G4443" s="68" t="s">
        <v>17955</v>
      </c>
      <c r="H4443" s="71"/>
      <c r="I4443" s="71"/>
      <c r="J4443" s="68" t="s">
        <v>17956</v>
      </c>
      <c r="K4443" s="83">
        <v>43059.0</v>
      </c>
      <c r="L4443" s="68" t="s">
        <v>14256</v>
      </c>
      <c r="M4443" s="68" t="s">
        <v>166</v>
      </c>
      <c r="N4443" s="61"/>
      <c r="O4443" s="51"/>
    </row>
    <row r="4444">
      <c r="A4444" s="56">
        <v>4441.0</v>
      </c>
      <c r="B4444" s="240"/>
      <c r="C4444" s="69" t="s">
        <v>17957</v>
      </c>
      <c r="D4444" s="71"/>
      <c r="E4444" s="68" t="s">
        <v>17958</v>
      </c>
      <c r="F4444" s="76">
        <v>42767.0</v>
      </c>
      <c r="G4444" s="68" t="s">
        <v>17959</v>
      </c>
      <c r="H4444" s="71"/>
      <c r="I4444" s="71"/>
      <c r="J4444" s="68" t="s">
        <v>17960</v>
      </c>
      <c r="K4444" s="83">
        <v>43060.0</v>
      </c>
      <c r="L4444" s="68" t="s">
        <v>2743</v>
      </c>
      <c r="M4444" s="68" t="s">
        <v>31</v>
      </c>
      <c r="N4444" s="61"/>
      <c r="O4444" s="51"/>
    </row>
    <row r="4445">
      <c r="A4445" s="56">
        <v>4442.0</v>
      </c>
      <c r="B4445" s="240"/>
      <c r="C4445" s="69" t="s">
        <v>17961</v>
      </c>
      <c r="D4445" s="71"/>
      <c r="E4445" s="68" t="s">
        <v>17962</v>
      </c>
      <c r="F4445" s="76">
        <v>42971.0</v>
      </c>
      <c r="G4445" s="68" t="s">
        <v>17963</v>
      </c>
      <c r="H4445" s="71"/>
      <c r="I4445" s="71"/>
      <c r="J4445" s="68" t="s">
        <v>17964</v>
      </c>
      <c r="K4445" s="83">
        <v>43060.0</v>
      </c>
      <c r="L4445" s="68" t="s">
        <v>2743</v>
      </c>
      <c r="M4445" s="68" t="s">
        <v>31</v>
      </c>
      <c r="N4445" s="61"/>
      <c r="O4445" s="51"/>
    </row>
    <row r="4446">
      <c r="A4446" s="56">
        <v>4443.0</v>
      </c>
      <c r="B4446" s="240"/>
      <c r="C4446" s="69" t="s">
        <v>17965</v>
      </c>
      <c r="D4446" s="71"/>
      <c r="E4446" s="68" t="s">
        <v>17966</v>
      </c>
      <c r="F4446" s="76">
        <v>42252.0</v>
      </c>
      <c r="G4446" s="68" t="s">
        <v>17967</v>
      </c>
      <c r="H4446" s="71"/>
      <c r="I4446" s="68" t="s">
        <v>17968</v>
      </c>
      <c r="J4446" s="68" t="s">
        <v>17969</v>
      </c>
      <c r="K4446" s="83">
        <v>43061.0</v>
      </c>
      <c r="L4446" s="68" t="s">
        <v>2743</v>
      </c>
      <c r="M4446" s="68" t="s">
        <v>13303</v>
      </c>
      <c r="N4446" s="77"/>
      <c r="O4446" s="51"/>
    </row>
    <row r="4447">
      <c r="A4447" s="56">
        <v>4444.0</v>
      </c>
      <c r="B4447" s="240"/>
      <c r="C4447" s="69" t="s">
        <v>17970</v>
      </c>
      <c r="D4447" s="71"/>
      <c r="E4447" s="68" t="s">
        <v>17971</v>
      </c>
      <c r="F4447" s="76">
        <v>43045.0</v>
      </c>
      <c r="G4447" s="68" t="s">
        <v>17972</v>
      </c>
      <c r="H4447" s="71"/>
      <c r="I4447" s="71"/>
      <c r="J4447" s="68" t="s">
        <v>17973</v>
      </c>
      <c r="K4447" s="83">
        <v>43061.0</v>
      </c>
      <c r="L4447" s="68" t="s">
        <v>2743</v>
      </c>
      <c r="M4447" s="68" t="s">
        <v>31</v>
      </c>
      <c r="N4447" s="61"/>
      <c r="O4447" s="51"/>
    </row>
    <row r="4448">
      <c r="A4448" s="56">
        <v>4445.0</v>
      </c>
      <c r="B4448" s="240"/>
      <c r="C4448" s="69" t="s">
        <v>17974</v>
      </c>
      <c r="D4448" s="71"/>
      <c r="E4448" s="68" t="s">
        <v>17975</v>
      </c>
      <c r="F4448" s="76">
        <v>43045.0</v>
      </c>
      <c r="G4448" s="68" t="s">
        <v>17972</v>
      </c>
      <c r="H4448" s="71"/>
      <c r="I4448" s="71"/>
      <c r="J4448" s="68" t="s">
        <v>17976</v>
      </c>
      <c r="K4448" s="83">
        <v>43061.0</v>
      </c>
      <c r="L4448" s="68" t="s">
        <v>2743</v>
      </c>
      <c r="M4448" s="68" t="s">
        <v>31</v>
      </c>
      <c r="N4448" s="77"/>
      <c r="O4448" s="51"/>
    </row>
    <row r="4449">
      <c r="A4449" s="56">
        <v>4446.0</v>
      </c>
      <c r="B4449" s="240"/>
      <c r="C4449" s="69" t="s">
        <v>17977</v>
      </c>
      <c r="D4449" s="71"/>
      <c r="E4449" s="68" t="s">
        <v>17978</v>
      </c>
      <c r="F4449" s="76">
        <v>42778.0</v>
      </c>
      <c r="G4449" s="68" t="s">
        <v>17979</v>
      </c>
      <c r="H4449" s="71"/>
      <c r="I4449" s="71"/>
      <c r="J4449" s="68" t="s">
        <v>17980</v>
      </c>
      <c r="K4449" s="83">
        <v>43061.0</v>
      </c>
      <c r="L4449" s="68" t="s">
        <v>2743</v>
      </c>
      <c r="M4449" s="68" t="s">
        <v>125</v>
      </c>
      <c r="N4449" s="61"/>
      <c r="O4449" s="51"/>
    </row>
    <row r="4450">
      <c r="A4450" s="56">
        <v>4447.0</v>
      </c>
      <c r="B4450" s="240"/>
      <c r="C4450" s="69" t="s">
        <v>17981</v>
      </c>
      <c r="D4450" s="71"/>
      <c r="E4450" s="68" t="s">
        <v>17982</v>
      </c>
      <c r="F4450" s="83">
        <v>43036.0</v>
      </c>
      <c r="G4450" s="68" t="s">
        <v>17983</v>
      </c>
      <c r="H4450" s="71"/>
      <c r="I4450" s="71"/>
      <c r="J4450" s="68" t="s">
        <v>17984</v>
      </c>
      <c r="K4450" s="83">
        <v>43061.0</v>
      </c>
      <c r="L4450" s="68" t="s">
        <v>14256</v>
      </c>
      <c r="M4450" s="68" t="s">
        <v>166</v>
      </c>
      <c r="N4450" s="77"/>
      <c r="O4450" s="51"/>
    </row>
    <row r="4451">
      <c r="A4451" s="56">
        <v>4448.0</v>
      </c>
      <c r="B4451" s="240"/>
      <c r="C4451" s="69" t="s">
        <v>17985</v>
      </c>
      <c r="D4451" s="71"/>
      <c r="E4451" s="68" t="s">
        <v>17986</v>
      </c>
      <c r="F4451" s="76">
        <v>42751.0</v>
      </c>
      <c r="G4451" s="68" t="s">
        <v>17987</v>
      </c>
      <c r="H4451" s="71"/>
      <c r="I4451" s="71"/>
      <c r="J4451" s="68" t="s">
        <v>17988</v>
      </c>
      <c r="K4451" s="83">
        <v>43061.0</v>
      </c>
      <c r="L4451" s="68" t="s">
        <v>2743</v>
      </c>
      <c r="M4451" s="68" t="s">
        <v>195</v>
      </c>
      <c r="N4451" s="77"/>
      <c r="O4451" s="51"/>
    </row>
    <row r="4452">
      <c r="A4452" s="56">
        <v>4449.0</v>
      </c>
      <c r="B4452" s="241"/>
      <c r="C4452" s="64" t="s">
        <v>17989</v>
      </c>
      <c r="D4452" s="66"/>
      <c r="E4452" s="63" t="s">
        <v>17990</v>
      </c>
      <c r="F4452" s="70">
        <v>42860.0</v>
      </c>
      <c r="G4452" s="80" t="s">
        <v>17991</v>
      </c>
      <c r="H4452" s="80" t="s">
        <v>17992</v>
      </c>
      <c r="I4452" s="66"/>
      <c r="J4452" s="63" t="s">
        <v>2872</v>
      </c>
      <c r="K4452" s="65">
        <v>43061.0</v>
      </c>
      <c r="L4452" s="63" t="s">
        <v>2743</v>
      </c>
      <c r="M4452" s="63" t="s">
        <v>125</v>
      </c>
      <c r="N4452" s="61"/>
      <c r="O4452" s="51"/>
    </row>
    <row r="4453">
      <c r="A4453" s="56">
        <v>4450.0</v>
      </c>
      <c r="B4453" s="240"/>
      <c r="C4453" s="69" t="s">
        <v>17993</v>
      </c>
      <c r="D4453" s="71"/>
      <c r="E4453" s="68" t="s">
        <v>17994</v>
      </c>
      <c r="F4453" s="76">
        <v>42952.0</v>
      </c>
      <c r="G4453" s="68" t="s">
        <v>17995</v>
      </c>
      <c r="H4453" s="82"/>
      <c r="I4453" s="71"/>
      <c r="J4453" s="68" t="s">
        <v>17996</v>
      </c>
      <c r="K4453" s="83">
        <v>43061.0</v>
      </c>
      <c r="L4453" s="68" t="s">
        <v>2743</v>
      </c>
      <c r="M4453" s="68" t="s">
        <v>143</v>
      </c>
      <c r="N4453" s="77"/>
      <c r="O4453" s="51"/>
    </row>
    <row r="4454">
      <c r="A4454" s="56">
        <v>4451.0</v>
      </c>
      <c r="B4454" s="241"/>
      <c r="C4454" s="64" t="s">
        <v>17997</v>
      </c>
      <c r="D4454" s="66"/>
      <c r="E4454" s="63" t="s">
        <v>17998</v>
      </c>
      <c r="F4454" s="70">
        <v>42149.0</v>
      </c>
      <c r="G4454" s="80" t="s">
        <v>17999</v>
      </c>
      <c r="H4454" s="80" t="s">
        <v>18000</v>
      </c>
      <c r="I4454" s="66"/>
      <c r="J4454" s="63" t="s">
        <v>6393</v>
      </c>
      <c r="K4454" s="65">
        <v>43061.0</v>
      </c>
      <c r="L4454" s="63" t="s">
        <v>2743</v>
      </c>
      <c r="M4454" s="63" t="s">
        <v>6875</v>
      </c>
      <c r="N4454" s="61"/>
      <c r="O4454" s="51"/>
    </row>
    <row r="4455">
      <c r="A4455" s="56">
        <v>4452.0</v>
      </c>
      <c r="B4455" s="240"/>
      <c r="C4455" s="69" t="s">
        <v>18001</v>
      </c>
      <c r="D4455" s="71"/>
      <c r="E4455" s="68" t="s">
        <v>18002</v>
      </c>
      <c r="F4455" s="68" t="s">
        <v>407</v>
      </c>
      <c r="G4455" s="68" t="s">
        <v>18003</v>
      </c>
      <c r="H4455" s="71"/>
      <c r="I4455" s="71"/>
      <c r="J4455" s="68" t="s">
        <v>18004</v>
      </c>
      <c r="K4455" s="83">
        <v>43061.0</v>
      </c>
      <c r="L4455" s="68" t="s">
        <v>2743</v>
      </c>
      <c r="M4455" s="68" t="s">
        <v>195</v>
      </c>
      <c r="N4455" s="77"/>
      <c r="O4455" s="51"/>
    </row>
    <row r="4456">
      <c r="A4456" s="56">
        <v>4453.0</v>
      </c>
      <c r="B4456" s="241"/>
      <c r="C4456" s="64" t="s">
        <v>18005</v>
      </c>
      <c r="D4456" s="66"/>
      <c r="E4456" s="63" t="s">
        <v>18006</v>
      </c>
      <c r="F4456" s="65">
        <v>41253.0</v>
      </c>
      <c r="G4456" s="80" t="s">
        <v>18007</v>
      </c>
      <c r="H4456" s="82"/>
      <c r="I4456" s="66"/>
      <c r="J4456" s="63" t="s">
        <v>5946</v>
      </c>
      <c r="K4456" s="65">
        <v>43061.0</v>
      </c>
      <c r="L4456" s="63" t="s">
        <v>2743</v>
      </c>
      <c r="M4456" s="63" t="s">
        <v>2466</v>
      </c>
      <c r="N4456" s="61"/>
      <c r="O4456" s="51"/>
    </row>
    <row r="4457">
      <c r="A4457" s="56">
        <v>4454.0</v>
      </c>
      <c r="B4457" s="240"/>
      <c r="C4457" s="69" t="s">
        <v>18008</v>
      </c>
      <c r="D4457" s="71"/>
      <c r="E4457" s="68" t="s">
        <v>18009</v>
      </c>
      <c r="F4457" s="83">
        <v>42348.0</v>
      </c>
      <c r="G4457" s="68" t="s">
        <v>18010</v>
      </c>
      <c r="H4457" s="71"/>
      <c r="I4457" s="71"/>
      <c r="J4457" s="68" t="s">
        <v>18011</v>
      </c>
      <c r="K4457" s="83">
        <v>43061.0</v>
      </c>
      <c r="L4457" s="68" t="s">
        <v>2743</v>
      </c>
      <c r="M4457" s="68" t="s">
        <v>542</v>
      </c>
      <c r="N4457" s="61"/>
      <c r="O4457" s="51"/>
    </row>
    <row r="4458">
      <c r="A4458" s="56">
        <v>4455.0</v>
      </c>
      <c r="B4458" s="240"/>
      <c r="C4458" s="69" t="s">
        <v>18012</v>
      </c>
      <c r="D4458" s="71"/>
      <c r="E4458" s="68" t="s">
        <v>18013</v>
      </c>
      <c r="F4458" s="76">
        <v>40338.0</v>
      </c>
      <c r="G4458" s="68" t="s">
        <v>18014</v>
      </c>
      <c r="H4458" s="71"/>
      <c r="I4458" s="71"/>
      <c r="J4458" s="68" t="s">
        <v>18015</v>
      </c>
      <c r="K4458" s="83">
        <v>43061.0</v>
      </c>
      <c r="L4458" s="68" t="s">
        <v>2743</v>
      </c>
      <c r="M4458" s="68" t="s">
        <v>125</v>
      </c>
      <c r="N4458" s="77"/>
      <c r="O4458" s="51"/>
    </row>
    <row r="4459">
      <c r="A4459" s="56">
        <v>4456.0</v>
      </c>
      <c r="B4459" s="241"/>
      <c r="C4459" s="64" t="s">
        <v>18016</v>
      </c>
      <c r="D4459" s="66"/>
      <c r="E4459" s="63" t="s">
        <v>18017</v>
      </c>
      <c r="F4459" s="70">
        <v>40360.0</v>
      </c>
      <c r="G4459" s="80" t="s">
        <v>18018</v>
      </c>
      <c r="H4459" s="80" t="s">
        <v>18019</v>
      </c>
      <c r="I4459" s="66"/>
      <c r="J4459" s="63" t="s">
        <v>5946</v>
      </c>
      <c r="K4459" s="65">
        <v>43061.0</v>
      </c>
      <c r="L4459" s="63" t="s">
        <v>2743</v>
      </c>
      <c r="M4459" s="63" t="s">
        <v>2466</v>
      </c>
      <c r="N4459" s="61"/>
      <c r="O4459" s="51"/>
    </row>
    <row r="4460">
      <c r="A4460" s="56">
        <v>4457.0</v>
      </c>
      <c r="B4460" s="241"/>
      <c r="C4460" s="64" t="s">
        <v>18020</v>
      </c>
      <c r="D4460" s="66"/>
      <c r="E4460" s="63" t="s">
        <v>18021</v>
      </c>
      <c r="F4460" s="70">
        <v>42341.0</v>
      </c>
      <c r="G4460" s="80" t="s">
        <v>18022</v>
      </c>
      <c r="H4460" s="82"/>
      <c r="I4460" s="66"/>
      <c r="J4460" s="63" t="s">
        <v>9979</v>
      </c>
      <c r="K4460" s="65">
        <v>43061.0</v>
      </c>
      <c r="L4460" s="63" t="s">
        <v>2743</v>
      </c>
      <c r="M4460" s="63" t="s">
        <v>166</v>
      </c>
      <c r="N4460" s="61"/>
      <c r="O4460" s="51"/>
    </row>
    <row r="4461">
      <c r="A4461" s="56">
        <v>4458.0</v>
      </c>
      <c r="B4461" s="240"/>
      <c r="C4461" s="69" t="s">
        <v>18023</v>
      </c>
      <c r="D4461" s="71"/>
      <c r="E4461" s="68" t="s">
        <v>18024</v>
      </c>
      <c r="F4461" s="68" t="s">
        <v>407</v>
      </c>
      <c r="G4461" s="68" t="s">
        <v>18025</v>
      </c>
      <c r="H4461" s="71"/>
      <c r="I4461" s="71"/>
      <c r="J4461" s="68" t="s">
        <v>18026</v>
      </c>
      <c r="K4461" s="245">
        <v>43066.0</v>
      </c>
      <c r="L4461" s="68" t="s">
        <v>2743</v>
      </c>
      <c r="M4461" s="68" t="s">
        <v>2318</v>
      </c>
      <c r="N4461" s="61"/>
      <c r="O4461" s="51"/>
    </row>
    <row r="4462">
      <c r="A4462" s="56">
        <v>4459.0</v>
      </c>
      <c r="B4462" s="240"/>
      <c r="C4462" s="69" t="s">
        <v>18027</v>
      </c>
      <c r="D4462" s="71"/>
      <c r="E4462" s="68" t="s">
        <v>18028</v>
      </c>
      <c r="F4462" s="83">
        <v>43062.0</v>
      </c>
      <c r="G4462" s="68" t="s">
        <v>18025</v>
      </c>
      <c r="H4462" s="71"/>
      <c r="I4462" s="71"/>
      <c r="J4462" s="68" t="s">
        <v>18029</v>
      </c>
      <c r="K4462" s="83">
        <v>43066.0</v>
      </c>
      <c r="L4462" s="68" t="s">
        <v>2743</v>
      </c>
      <c r="M4462" s="68" t="s">
        <v>2318</v>
      </c>
      <c r="N4462" s="77"/>
      <c r="O4462" s="51"/>
    </row>
    <row r="4463">
      <c r="A4463" s="56">
        <v>4460.0</v>
      </c>
      <c r="B4463" s="240"/>
      <c r="C4463" s="69" t="s">
        <v>18030</v>
      </c>
      <c r="D4463" s="71"/>
      <c r="E4463" s="68" t="s">
        <v>18031</v>
      </c>
      <c r="F4463" s="76">
        <v>42594.0</v>
      </c>
      <c r="G4463" s="68" t="s">
        <v>18032</v>
      </c>
      <c r="H4463" s="71"/>
      <c r="I4463" s="71"/>
      <c r="J4463" s="68" t="s">
        <v>18033</v>
      </c>
      <c r="K4463" s="83">
        <v>43066.0</v>
      </c>
      <c r="L4463" s="68" t="s">
        <v>14256</v>
      </c>
      <c r="M4463" s="68" t="s">
        <v>166</v>
      </c>
      <c r="N4463" s="61"/>
      <c r="O4463" s="51"/>
    </row>
    <row r="4464">
      <c r="A4464" s="56">
        <v>4461.0</v>
      </c>
      <c r="B4464" s="240"/>
      <c r="C4464" s="69" t="s">
        <v>18034</v>
      </c>
      <c r="D4464" s="71"/>
      <c r="E4464" s="68" t="s">
        <v>18035</v>
      </c>
      <c r="F4464" s="76">
        <v>42710.0</v>
      </c>
      <c r="G4464" s="68" t="s">
        <v>18036</v>
      </c>
      <c r="H4464" s="71"/>
      <c r="I4464" s="71"/>
      <c r="J4464" s="68" t="s">
        <v>18037</v>
      </c>
      <c r="K4464" s="83">
        <v>43066.0</v>
      </c>
      <c r="L4464" s="68" t="s">
        <v>14256</v>
      </c>
      <c r="M4464" s="68" t="s">
        <v>12947</v>
      </c>
      <c r="N4464" s="61"/>
      <c r="O4464" s="51"/>
    </row>
    <row r="4465">
      <c r="A4465" s="56">
        <v>4462.0</v>
      </c>
      <c r="B4465" s="240"/>
      <c r="C4465" s="69" t="s">
        <v>18038</v>
      </c>
      <c r="D4465" s="71"/>
      <c r="E4465" s="68" t="s">
        <v>18039</v>
      </c>
      <c r="F4465" s="83">
        <v>42734.0</v>
      </c>
      <c r="G4465" s="68" t="s">
        <v>18040</v>
      </c>
      <c r="H4465" s="71"/>
      <c r="I4465" s="71"/>
      <c r="J4465" s="68" t="s">
        <v>18041</v>
      </c>
      <c r="K4465" s="83">
        <v>43066.0</v>
      </c>
      <c r="L4465" s="68" t="s">
        <v>14256</v>
      </c>
      <c r="M4465" s="68" t="s">
        <v>166</v>
      </c>
      <c r="N4465" s="61"/>
      <c r="O4465" s="51"/>
    </row>
    <row r="4466">
      <c r="A4466" s="56">
        <v>4463.0</v>
      </c>
      <c r="B4466" s="241"/>
      <c r="C4466" s="64" t="s">
        <v>18042</v>
      </c>
      <c r="D4466" s="66"/>
      <c r="E4466" s="63" t="s">
        <v>18043</v>
      </c>
      <c r="F4466" s="70">
        <v>42026.0</v>
      </c>
      <c r="G4466" s="80" t="s">
        <v>18044</v>
      </c>
      <c r="H4466" s="82"/>
      <c r="I4466" s="66"/>
      <c r="J4466" s="63" t="s">
        <v>9979</v>
      </c>
      <c r="K4466" s="65">
        <v>43066.0</v>
      </c>
      <c r="L4466" s="63" t="s">
        <v>18045</v>
      </c>
      <c r="M4466" s="63" t="s">
        <v>166</v>
      </c>
      <c r="N4466" s="61"/>
      <c r="O4466" s="51"/>
    </row>
    <row r="4467">
      <c r="A4467" s="56">
        <v>4464.0</v>
      </c>
      <c r="B4467" s="240"/>
      <c r="C4467" s="69" t="s">
        <v>18046</v>
      </c>
      <c r="D4467" s="71"/>
      <c r="E4467" s="68" t="s">
        <v>18047</v>
      </c>
      <c r="F4467" s="76">
        <v>42580.0</v>
      </c>
      <c r="G4467" s="68" t="s">
        <v>18048</v>
      </c>
      <c r="H4467" s="71"/>
      <c r="I4467" s="71"/>
      <c r="J4467" s="68" t="s">
        <v>18049</v>
      </c>
      <c r="K4467" s="83">
        <v>43066.0</v>
      </c>
      <c r="L4467" s="68" t="s">
        <v>14256</v>
      </c>
      <c r="M4467" s="68" t="s">
        <v>40</v>
      </c>
      <c r="N4467" s="77"/>
      <c r="O4467" s="51"/>
    </row>
    <row r="4468">
      <c r="A4468" s="56">
        <v>4465.0</v>
      </c>
      <c r="B4468" s="240"/>
      <c r="C4468" s="69" t="s">
        <v>18050</v>
      </c>
      <c r="D4468" s="71"/>
      <c r="E4468" s="68" t="s">
        <v>18051</v>
      </c>
      <c r="F4468" s="76">
        <v>42040.0</v>
      </c>
      <c r="G4468" s="68" t="s">
        <v>18052</v>
      </c>
      <c r="H4468" s="71"/>
      <c r="I4468" s="71"/>
      <c r="J4468" s="68" t="s">
        <v>18053</v>
      </c>
      <c r="K4468" s="83">
        <v>43066.0</v>
      </c>
      <c r="L4468" s="68" t="s">
        <v>14256</v>
      </c>
      <c r="M4468" s="68" t="s">
        <v>27</v>
      </c>
      <c r="N4468" s="77"/>
      <c r="O4468" s="51"/>
    </row>
    <row r="4469">
      <c r="A4469" s="56">
        <v>4466.0</v>
      </c>
      <c r="B4469" s="240"/>
      <c r="C4469" s="69" t="s">
        <v>18054</v>
      </c>
      <c r="D4469" s="71"/>
      <c r="E4469" s="68" t="s">
        <v>18055</v>
      </c>
      <c r="F4469" s="76">
        <v>42447.0</v>
      </c>
      <c r="G4469" s="68" t="s">
        <v>18056</v>
      </c>
      <c r="H4469" s="71"/>
      <c r="I4469" s="71"/>
      <c r="J4469" s="68" t="s">
        <v>18057</v>
      </c>
      <c r="K4469" s="83">
        <v>43066.0</v>
      </c>
      <c r="L4469" s="68" t="s">
        <v>14256</v>
      </c>
      <c r="M4469" s="68" t="s">
        <v>27</v>
      </c>
      <c r="N4469" s="77"/>
      <c r="O4469" s="51"/>
    </row>
    <row r="4470">
      <c r="A4470" s="56">
        <v>4467.0</v>
      </c>
      <c r="B4470" s="240"/>
      <c r="C4470" s="69" t="s">
        <v>18058</v>
      </c>
      <c r="D4470" s="71"/>
      <c r="E4470" s="68" t="s">
        <v>18059</v>
      </c>
      <c r="F4470" s="76">
        <v>42502.0</v>
      </c>
      <c r="G4470" s="68" t="s">
        <v>18060</v>
      </c>
      <c r="H4470" s="71"/>
      <c r="I4470" s="71"/>
      <c r="J4470" s="68" t="s">
        <v>18061</v>
      </c>
      <c r="K4470" s="83">
        <v>43066.0</v>
      </c>
      <c r="L4470" s="68" t="s">
        <v>14256</v>
      </c>
      <c r="M4470" s="68" t="s">
        <v>27</v>
      </c>
      <c r="N4470" s="77"/>
      <c r="O4470" s="51"/>
    </row>
    <row r="4471">
      <c r="A4471" s="56">
        <v>4468.0</v>
      </c>
      <c r="B4471" s="240"/>
      <c r="C4471" s="69" t="s">
        <v>18062</v>
      </c>
      <c r="D4471" s="71"/>
      <c r="E4471" s="68" t="s">
        <v>18063</v>
      </c>
      <c r="F4471" s="76">
        <v>42614.0</v>
      </c>
      <c r="G4471" s="68" t="s">
        <v>18064</v>
      </c>
      <c r="H4471" s="71"/>
      <c r="I4471" s="71"/>
      <c r="J4471" s="68" t="s">
        <v>18065</v>
      </c>
      <c r="K4471" s="83">
        <v>43066.0</v>
      </c>
      <c r="L4471" s="68" t="s">
        <v>14256</v>
      </c>
      <c r="M4471" s="68" t="s">
        <v>27</v>
      </c>
      <c r="N4471" s="77"/>
      <c r="O4471" s="51"/>
    </row>
    <row r="4472">
      <c r="A4472" s="56">
        <v>4469.0</v>
      </c>
      <c r="B4472" s="240"/>
      <c r="C4472" s="69" t="s">
        <v>18066</v>
      </c>
      <c r="D4472" s="71"/>
      <c r="E4472" s="68" t="s">
        <v>18067</v>
      </c>
      <c r="F4472" s="76">
        <v>42511.0</v>
      </c>
      <c r="G4472" s="68" t="s">
        <v>18068</v>
      </c>
      <c r="H4472" s="71"/>
      <c r="I4472" s="71"/>
      <c r="J4472" s="68" t="s">
        <v>18069</v>
      </c>
      <c r="K4472" s="83">
        <v>43066.0</v>
      </c>
      <c r="L4472" s="68" t="s">
        <v>14256</v>
      </c>
      <c r="M4472" s="68" t="s">
        <v>27</v>
      </c>
      <c r="N4472" s="77"/>
      <c r="O4472" s="51"/>
    </row>
    <row r="4473">
      <c r="A4473" s="56">
        <v>4470.0</v>
      </c>
      <c r="B4473" s="240"/>
      <c r="C4473" s="69" t="s">
        <v>18070</v>
      </c>
      <c r="D4473" s="71"/>
      <c r="E4473" s="68" t="s">
        <v>18071</v>
      </c>
      <c r="F4473" s="76">
        <v>42511.0</v>
      </c>
      <c r="G4473" s="68" t="s">
        <v>18072</v>
      </c>
      <c r="H4473" s="71"/>
      <c r="I4473" s="71"/>
      <c r="J4473" s="68" t="s">
        <v>18073</v>
      </c>
      <c r="K4473" s="83">
        <v>43066.0</v>
      </c>
      <c r="L4473" s="68" t="s">
        <v>14256</v>
      </c>
      <c r="M4473" s="68" t="s">
        <v>27</v>
      </c>
      <c r="N4473" s="77"/>
      <c r="O4473" s="51"/>
    </row>
    <row r="4474">
      <c r="A4474" s="56">
        <v>4471.0</v>
      </c>
      <c r="B4474" s="240"/>
      <c r="C4474" s="69" t="s">
        <v>18074</v>
      </c>
      <c r="D4474" s="71"/>
      <c r="E4474" s="68" t="s">
        <v>18075</v>
      </c>
      <c r="F4474" s="76">
        <v>42507.0</v>
      </c>
      <c r="G4474" s="68" t="s">
        <v>18076</v>
      </c>
      <c r="H4474" s="71"/>
      <c r="I4474" s="71"/>
      <c r="J4474" s="68" t="s">
        <v>18077</v>
      </c>
      <c r="K4474" s="83">
        <v>43066.0</v>
      </c>
      <c r="L4474" s="68" t="s">
        <v>14256</v>
      </c>
      <c r="M4474" s="68" t="s">
        <v>2097</v>
      </c>
      <c r="N4474" s="77"/>
      <c r="O4474" s="51"/>
    </row>
    <row r="4475">
      <c r="A4475" s="56">
        <v>4472.0</v>
      </c>
      <c r="B4475" s="240"/>
      <c r="C4475" s="69" t="s">
        <v>18078</v>
      </c>
      <c r="D4475" s="71"/>
      <c r="E4475" s="68" t="s">
        <v>18079</v>
      </c>
      <c r="F4475" s="76">
        <v>42376.0</v>
      </c>
      <c r="G4475" s="68" t="s">
        <v>18080</v>
      </c>
      <c r="H4475" s="71"/>
      <c r="I4475" s="71"/>
      <c r="J4475" s="68" t="s">
        <v>18081</v>
      </c>
      <c r="K4475" s="83">
        <v>43066.0</v>
      </c>
      <c r="L4475" s="68" t="s">
        <v>14256</v>
      </c>
      <c r="M4475" s="68" t="s">
        <v>2097</v>
      </c>
      <c r="N4475" s="77"/>
      <c r="O4475" s="51"/>
    </row>
    <row r="4476">
      <c r="A4476" s="56">
        <v>4473.0</v>
      </c>
      <c r="B4476" s="240"/>
      <c r="C4476" s="69" t="s">
        <v>18082</v>
      </c>
      <c r="D4476" s="71"/>
      <c r="E4476" s="68" t="s">
        <v>18083</v>
      </c>
      <c r="F4476" s="76">
        <v>42220.0</v>
      </c>
      <c r="G4476" s="68" t="s">
        <v>18084</v>
      </c>
      <c r="H4476" s="71"/>
      <c r="I4476" s="71"/>
      <c r="J4476" s="68" t="s">
        <v>18085</v>
      </c>
      <c r="K4476" s="83">
        <v>43066.0</v>
      </c>
      <c r="L4476" s="68" t="s">
        <v>14256</v>
      </c>
      <c r="M4476" s="68" t="s">
        <v>2097</v>
      </c>
      <c r="N4476" s="77"/>
      <c r="O4476" s="51"/>
    </row>
    <row r="4477">
      <c r="A4477" s="56">
        <v>4474.0</v>
      </c>
      <c r="B4477" s="241"/>
      <c r="C4477" s="64" t="s">
        <v>18086</v>
      </c>
      <c r="D4477" s="66"/>
      <c r="E4477" s="63" t="s">
        <v>18087</v>
      </c>
      <c r="F4477" s="70">
        <v>42152.0</v>
      </c>
      <c r="G4477" s="80" t="s">
        <v>18088</v>
      </c>
      <c r="H4477" s="80" t="s">
        <v>439</v>
      </c>
      <c r="I4477" s="66"/>
      <c r="J4477" s="63" t="s">
        <v>6393</v>
      </c>
      <c r="K4477" s="65">
        <v>43066.0</v>
      </c>
      <c r="L4477" s="63" t="s">
        <v>14256</v>
      </c>
      <c r="M4477" s="63" t="s">
        <v>6875</v>
      </c>
      <c r="N4477" s="61"/>
      <c r="O4477" s="51"/>
    </row>
    <row r="4478">
      <c r="A4478" s="56">
        <v>4475.0</v>
      </c>
      <c r="B4478" s="241"/>
      <c r="C4478" s="64" t="s">
        <v>18089</v>
      </c>
      <c r="D4478" s="66"/>
      <c r="E4478" s="63" t="s">
        <v>18090</v>
      </c>
      <c r="F4478" s="70">
        <v>42400.0</v>
      </c>
      <c r="G4478" s="80" t="s">
        <v>18091</v>
      </c>
      <c r="H4478" s="82"/>
      <c r="I4478" s="66"/>
      <c r="J4478" s="63" t="s">
        <v>8070</v>
      </c>
      <c r="K4478" s="65">
        <v>43066.0</v>
      </c>
      <c r="L4478" s="63" t="s">
        <v>14256</v>
      </c>
      <c r="M4478" s="63" t="s">
        <v>4273</v>
      </c>
      <c r="N4478" s="61"/>
      <c r="O4478" s="51"/>
    </row>
    <row r="4479">
      <c r="A4479" s="56">
        <v>4476.0</v>
      </c>
      <c r="B4479" s="240"/>
      <c r="C4479" s="69" t="s">
        <v>18092</v>
      </c>
      <c r="D4479" s="71"/>
      <c r="E4479" s="68" t="s">
        <v>18093</v>
      </c>
      <c r="F4479" s="76">
        <v>42779.0</v>
      </c>
      <c r="G4479" s="68" t="s">
        <v>18094</v>
      </c>
      <c r="H4479" s="71"/>
      <c r="I4479" s="71"/>
      <c r="J4479" s="68" t="s">
        <v>18095</v>
      </c>
      <c r="K4479" s="83">
        <v>43066.0</v>
      </c>
      <c r="L4479" s="68" t="s">
        <v>2743</v>
      </c>
      <c r="M4479" s="68" t="s">
        <v>282</v>
      </c>
      <c r="N4479" s="61"/>
      <c r="O4479" s="51"/>
    </row>
    <row r="4480">
      <c r="A4480" s="56">
        <v>4477.0</v>
      </c>
      <c r="B4480" s="240"/>
      <c r="C4480" s="69" t="s">
        <v>18096</v>
      </c>
      <c r="D4480" s="71"/>
      <c r="E4480" s="68" t="s">
        <v>18097</v>
      </c>
      <c r="F4480" s="83">
        <v>43032.0</v>
      </c>
      <c r="G4480" s="68" t="s">
        <v>18098</v>
      </c>
      <c r="H4480" s="71"/>
      <c r="I4480" s="71"/>
      <c r="J4480" s="68" t="s">
        <v>18099</v>
      </c>
      <c r="K4480" s="83">
        <v>43066.0</v>
      </c>
      <c r="L4480" s="68" t="s">
        <v>2743</v>
      </c>
      <c r="M4480" s="68" t="s">
        <v>143</v>
      </c>
      <c r="N4480" s="61"/>
      <c r="O4480" s="51"/>
    </row>
    <row r="4481">
      <c r="A4481" s="56">
        <v>4478.0</v>
      </c>
      <c r="B4481" s="240"/>
      <c r="C4481" s="69" t="s">
        <v>18100</v>
      </c>
      <c r="D4481" s="71"/>
      <c r="E4481" s="68" t="s">
        <v>18101</v>
      </c>
      <c r="F4481" s="76">
        <v>42943.0</v>
      </c>
      <c r="G4481" s="68" t="s">
        <v>18102</v>
      </c>
      <c r="H4481" s="71"/>
      <c r="I4481" s="71"/>
      <c r="J4481" s="68" t="s">
        <v>18103</v>
      </c>
      <c r="K4481" s="83">
        <v>43066.0</v>
      </c>
      <c r="L4481" s="68" t="s">
        <v>2743</v>
      </c>
      <c r="M4481" s="68" t="s">
        <v>14456</v>
      </c>
      <c r="N4481" s="61"/>
      <c r="O4481" s="51"/>
    </row>
    <row r="4482">
      <c r="A4482" s="56">
        <v>4479.0</v>
      </c>
      <c r="B4482" s="240"/>
      <c r="C4482" s="69" t="s">
        <v>18104</v>
      </c>
      <c r="D4482" s="71"/>
      <c r="E4482" s="68" t="s">
        <v>18105</v>
      </c>
      <c r="F4482" s="76">
        <v>43012.0</v>
      </c>
      <c r="G4482" s="68" t="s">
        <v>18106</v>
      </c>
      <c r="H4482" s="71"/>
      <c r="I4482" s="71"/>
      <c r="J4482" s="68" t="s">
        <v>18107</v>
      </c>
      <c r="K4482" s="83">
        <v>43066.0</v>
      </c>
      <c r="L4482" s="68" t="s">
        <v>2743</v>
      </c>
      <c r="M4482" s="68" t="s">
        <v>166</v>
      </c>
      <c r="N4482" s="61"/>
      <c r="O4482" s="51"/>
    </row>
    <row r="4483">
      <c r="A4483" s="56">
        <v>4480.0</v>
      </c>
      <c r="B4483" s="241"/>
      <c r="C4483" s="64" t="s">
        <v>18108</v>
      </c>
      <c r="D4483" s="66"/>
      <c r="E4483" s="63" t="s">
        <v>18109</v>
      </c>
      <c r="F4483" s="70">
        <v>40014.0</v>
      </c>
      <c r="G4483" s="80" t="s">
        <v>18110</v>
      </c>
      <c r="H4483" s="82"/>
      <c r="I4483" s="66"/>
      <c r="J4483" s="63" t="s">
        <v>9979</v>
      </c>
      <c r="K4483" s="65">
        <v>43066.0</v>
      </c>
      <c r="L4483" s="63" t="s">
        <v>2743</v>
      </c>
      <c r="M4483" s="63" t="s">
        <v>166</v>
      </c>
      <c r="N4483" s="61"/>
      <c r="O4483" s="51"/>
    </row>
    <row r="4484">
      <c r="A4484" s="56">
        <v>4481.0</v>
      </c>
      <c r="B4484" s="240"/>
      <c r="C4484" s="69" t="s">
        <v>18111</v>
      </c>
      <c r="D4484" s="71"/>
      <c r="E4484" s="68" t="s">
        <v>18112</v>
      </c>
      <c r="F4484" s="76">
        <v>39630.0</v>
      </c>
      <c r="G4484" s="68" t="s">
        <v>18113</v>
      </c>
      <c r="H4484" s="71"/>
      <c r="I4484" s="71"/>
      <c r="J4484" s="68" t="s">
        <v>18114</v>
      </c>
      <c r="K4484" s="83">
        <v>43066.0</v>
      </c>
      <c r="L4484" s="68" t="s">
        <v>2743</v>
      </c>
      <c r="M4484" s="68" t="s">
        <v>530</v>
      </c>
      <c r="N4484" s="77"/>
      <c r="O4484" s="51"/>
    </row>
    <row r="4485">
      <c r="A4485" s="56">
        <v>4482.0</v>
      </c>
      <c r="B4485" s="240"/>
      <c r="C4485" s="69" t="s">
        <v>18115</v>
      </c>
      <c r="D4485" s="71"/>
      <c r="E4485" s="68" t="s">
        <v>18116</v>
      </c>
      <c r="F4485" s="76">
        <v>42270.0</v>
      </c>
      <c r="G4485" s="68" t="s">
        <v>18117</v>
      </c>
      <c r="H4485" s="71"/>
      <c r="I4485" s="71"/>
      <c r="J4485" s="68" t="s">
        <v>18118</v>
      </c>
      <c r="K4485" s="83">
        <v>43066.0</v>
      </c>
      <c r="L4485" s="68" t="s">
        <v>2743</v>
      </c>
      <c r="M4485" s="68" t="s">
        <v>195</v>
      </c>
      <c r="N4485" s="77"/>
      <c r="O4485" s="51"/>
    </row>
    <row r="4486">
      <c r="A4486" s="56">
        <v>4483.0</v>
      </c>
      <c r="B4486" s="241"/>
      <c r="C4486" s="64" t="s">
        <v>18119</v>
      </c>
      <c r="D4486" s="66"/>
      <c r="E4486" s="63" t="s">
        <v>18120</v>
      </c>
      <c r="F4486" s="70">
        <v>42811.0</v>
      </c>
      <c r="G4486" s="80" t="s">
        <v>18121</v>
      </c>
      <c r="H4486" s="82"/>
      <c r="I4486" s="63" t="s">
        <v>18122</v>
      </c>
      <c r="J4486" s="63" t="s">
        <v>18123</v>
      </c>
      <c r="K4486" s="65">
        <v>43066.0</v>
      </c>
      <c r="L4486" s="63" t="s">
        <v>2743</v>
      </c>
      <c r="M4486" s="63" t="s">
        <v>4749</v>
      </c>
      <c r="N4486" s="61"/>
      <c r="O4486" s="51"/>
    </row>
    <row r="4487">
      <c r="A4487" s="56">
        <v>4484.0</v>
      </c>
      <c r="B4487" s="241"/>
      <c r="C4487" s="64" t="s">
        <v>18124</v>
      </c>
      <c r="D4487" s="66"/>
      <c r="E4487" s="63" t="s">
        <v>18125</v>
      </c>
      <c r="F4487" s="70">
        <v>39999.0</v>
      </c>
      <c r="G4487" s="80" t="s">
        <v>18126</v>
      </c>
      <c r="H4487" s="82"/>
      <c r="I4487" s="66"/>
      <c r="J4487" s="63" t="s">
        <v>6055</v>
      </c>
      <c r="K4487" s="65">
        <v>43066.0</v>
      </c>
      <c r="L4487" s="63" t="s">
        <v>2743</v>
      </c>
      <c r="M4487" s="63" t="s">
        <v>530</v>
      </c>
      <c r="N4487" s="61"/>
      <c r="O4487" s="51"/>
    </row>
    <row r="4488">
      <c r="A4488" s="56">
        <v>4485.0</v>
      </c>
      <c r="B4488" s="241"/>
      <c r="C4488" s="64" t="s">
        <v>18127</v>
      </c>
      <c r="D4488" s="66"/>
      <c r="E4488" s="63" t="s">
        <v>18128</v>
      </c>
      <c r="F4488" s="70">
        <v>40059.0</v>
      </c>
      <c r="G4488" s="80" t="s">
        <v>18129</v>
      </c>
      <c r="H4488" s="82"/>
      <c r="I4488" s="63" t="s">
        <v>18130</v>
      </c>
      <c r="J4488" s="63" t="s">
        <v>6055</v>
      </c>
      <c r="K4488" s="65">
        <v>43066.0</v>
      </c>
      <c r="L4488" s="63" t="s">
        <v>2743</v>
      </c>
      <c r="M4488" s="63" t="s">
        <v>530</v>
      </c>
      <c r="N4488" s="61"/>
      <c r="O4488" s="51"/>
    </row>
    <row r="4489">
      <c r="A4489" s="56">
        <v>4486.0</v>
      </c>
      <c r="B4489" s="240"/>
      <c r="C4489" s="69" t="s">
        <v>18131</v>
      </c>
      <c r="D4489" s="71"/>
      <c r="E4489" s="68" t="s">
        <v>18132</v>
      </c>
      <c r="F4489" s="76">
        <v>41456.0</v>
      </c>
      <c r="G4489" s="68" t="s">
        <v>18133</v>
      </c>
      <c r="H4489" s="71"/>
      <c r="I4489" s="71"/>
      <c r="J4489" s="68" t="s">
        <v>18134</v>
      </c>
      <c r="K4489" s="83">
        <v>43066.0</v>
      </c>
      <c r="L4489" s="68" t="s">
        <v>2743</v>
      </c>
      <c r="M4489" s="68" t="s">
        <v>530</v>
      </c>
      <c r="N4489" s="77"/>
      <c r="O4489" s="51"/>
    </row>
    <row r="4490">
      <c r="A4490" s="56">
        <v>4487.0</v>
      </c>
      <c r="B4490" s="241"/>
      <c r="C4490" s="64" t="s">
        <v>18135</v>
      </c>
      <c r="D4490" s="66"/>
      <c r="E4490" s="63" t="s">
        <v>18136</v>
      </c>
      <c r="F4490" s="70">
        <v>41757.0</v>
      </c>
      <c r="G4490" s="80" t="s">
        <v>18137</v>
      </c>
      <c r="H4490" s="82"/>
      <c r="I4490" s="66"/>
      <c r="J4490" s="63" t="s">
        <v>8228</v>
      </c>
      <c r="K4490" s="65">
        <v>43066.0</v>
      </c>
      <c r="L4490" s="63" t="s">
        <v>2743</v>
      </c>
      <c r="M4490" s="63" t="s">
        <v>125</v>
      </c>
      <c r="N4490" s="61"/>
      <c r="O4490" s="51"/>
    </row>
    <row r="4491">
      <c r="A4491" s="56">
        <v>4488.0</v>
      </c>
      <c r="B4491" s="241"/>
      <c r="C4491" s="64" t="s">
        <v>18138</v>
      </c>
      <c r="D4491" s="66"/>
      <c r="E4491" s="63" t="s">
        <v>18139</v>
      </c>
      <c r="F4491" s="70">
        <v>41493.0</v>
      </c>
      <c r="G4491" s="80" t="s">
        <v>18140</v>
      </c>
      <c r="H4491" s="82"/>
      <c r="I4491" s="63" t="s">
        <v>18141</v>
      </c>
      <c r="J4491" s="63" t="s">
        <v>8228</v>
      </c>
      <c r="K4491" s="65">
        <v>43066.0</v>
      </c>
      <c r="L4491" s="63" t="s">
        <v>2743</v>
      </c>
      <c r="M4491" s="63" t="s">
        <v>125</v>
      </c>
      <c r="N4491" s="61"/>
      <c r="O4491" s="51"/>
    </row>
    <row r="4492">
      <c r="A4492" s="56">
        <v>4489.0</v>
      </c>
      <c r="B4492" s="241"/>
      <c r="C4492" s="64" t="s">
        <v>18142</v>
      </c>
      <c r="D4492" s="66"/>
      <c r="E4492" s="63" t="s">
        <v>18143</v>
      </c>
      <c r="F4492" s="70">
        <v>40360.0</v>
      </c>
      <c r="G4492" s="80" t="s">
        <v>18144</v>
      </c>
      <c r="H4492" s="82"/>
      <c r="I4492" s="63" t="s">
        <v>18145</v>
      </c>
      <c r="J4492" s="63" t="s">
        <v>10817</v>
      </c>
      <c r="K4492" s="65">
        <v>43066.0</v>
      </c>
      <c r="L4492" s="63" t="s">
        <v>2743</v>
      </c>
      <c r="M4492" s="63" t="s">
        <v>31</v>
      </c>
      <c r="N4492" s="61"/>
      <c r="O4492" s="51"/>
    </row>
    <row r="4493">
      <c r="A4493" s="56">
        <v>4490.0</v>
      </c>
      <c r="B4493" s="241"/>
      <c r="C4493" s="64" t="s">
        <v>18146</v>
      </c>
      <c r="D4493" s="66"/>
      <c r="E4493" s="63" t="s">
        <v>18147</v>
      </c>
      <c r="F4493" s="65">
        <v>42721.0</v>
      </c>
      <c r="G4493" s="80" t="s">
        <v>18148</v>
      </c>
      <c r="H4493" s="82"/>
      <c r="I4493" s="66"/>
      <c r="J4493" s="63" t="s">
        <v>8228</v>
      </c>
      <c r="K4493" s="65">
        <v>43066.0</v>
      </c>
      <c r="L4493" s="63" t="s">
        <v>2743</v>
      </c>
      <c r="M4493" s="63" t="s">
        <v>125</v>
      </c>
      <c r="N4493" s="61"/>
      <c r="O4493" s="51"/>
    </row>
    <row r="4494">
      <c r="A4494" s="56">
        <v>4491.0</v>
      </c>
      <c r="B4494" s="241"/>
      <c r="C4494" s="64" t="s">
        <v>18149</v>
      </c>
      <c r="D4494" s="66"/>
      <c r="E4494" s="63" t="s">
        <v>18150</v>
      </c>
      <c r="F4494" s="70">
        <v>40309.0</v>
      </c>
      <c r="G4494" s="80" t="s">
        <v>18151</v>
      </c>
      <c r="H4494" s="82"/>
      <c r="I4494" s="66"/>
      <c r="J4494" s="63" t="s">
        <v>6055</v>
      </c>
      <c r="K4494" s="65">
        <v>43066.0</v>
      </c>
      <c r="L4494" s="63" t="s">
        <v>2743</v>
      </c>
      <c r="M4494" s="63" t="s">
        <v>530</v>
      </c>
      <c r="N4494" s="61"/>
      <c r="O4494" s="51"/>
    </row>
    <row r="4495">
      <c r="A4495" s="56">
        <v>4492.0</v>
      </c>
      <c r="B4495" s="241"/>
      <c r="C4495" s="64" t="s">
        <v>18152</v>
      </c>
      <c r="D4495" s="66"/>
      <c r="E4495" s="63" t="s">
        <v>18153</v>
      </c>
      <c r="F4495" s="70">
        <v>42055.0</v>
      </c>
      <c r="G4495" s="80" t="s">
        <v>18154</v>
      </c>
      <c r="H4495" s="82"/>
      <c r="I4495" s="63" t="s">
        <v>18155</v>
      </c>
      <c r="J4495" s="63" t="s">
        <v>18156</v>
      </c>
      <c r="K4495" s="65">
        <v>43066.0</v>
      </c>
      <c r="L4495" s="63" t="s">
        <v>2743</v>
      </c>
      <c r="M4495" s="63" t="s">
        <v>941</v>
      </c>
      <c r="N4495" s="61"/>
      <c r="O4495" s="51"/>
    </row>
    <row r="4496">
      <c r="A4496" s="56">
        <v>4493.0</v>
      </c>
      <c r="B4496" s="241"/>
      <c r="C4496" s="64" t="s">
        <v>18157</v>
      </c>
      <c r="D4496" s="66"/>
      <c r="E4496" s="63" t="s">
        <v>18158</v>
      </c>
      <c r="F4496" s="70">
        <v>42503.0</v>
      </c>
      <c r="G4496" s="80" t="s">
        <v>18159</v>
      </c>
      <c r="H4496" s="80" t="s">
        <v>439</v>
      </c>
      <c r="I4496" s="66"/>
      <c r="J4496" s="63" t="s">
        <v>8752</v>
      </c>
      <c r="K4496" s="65">
        <v>43066.0</v>
      </c>
      <c r="L4496" s="63" t="s">
        <v>2743</v>
      </c>
      <c r="M4496" s="63" t="s">
        <v>542</v>
      </c>
      <c r="N4496" s="61"/>
      <c r="O4496" s="51"/>
    </row>
    <row r="4497">
      <c r="A4497" s="56">
        <v>4494.0</v>
      </c>
      <c r="B4497" s="240"/>
      <c r="C4497" s="69" t="s">
        <v>18160</v>
      </c>
      <c r="D4497" s="71"/>
      <c r="E4497" s="68" t="s">
        <v>18161</v>
      </c>
      <c r="F4497" s="76">
        <v>42576.0</v>
      </c>
      <c r="G4497" s="68" t="s">
        <v>18162</v>
      </c>
      <c r="H4497" s="71"/>
      <c r="I4497" s="71"/>
      <c r="J4497" s="68" t="s">
        <v>18163</v>
      </c>
      <c r="K4497" s="83">
        <v>43066.0</v>
      </c>
      <c r="L4497" s="68" t="s">
        <v>2743</v>
      </c>
      <c r="M4497" s="68" t="s">
        <v>872</v>
      </c>
      <c r="N4497" s="61"/>
      <c r="O4497" s="51"/>
    </row>
    <row r="4498">
      <c r="A4498" s="56">
        <v>4495.0</v>
      </c>
      <c r="B4498" s="241"/>
      <c r="C4498" s="64" t="s">
        <v>18164</v>
      </c>
      <c r="D4498" s="66"/>
      <c r="E4498" s="63" t="s">
        <v>18165</v>
      </c>
      <c r="F4498" s="70">
        <v>42943.0</v>
      </c>
      <c r="G4498" s="80" t="s">
        <v>18166</v>
      </c>
      <c r="H4498" s="82"/>
      <c r="I4498" s="66"/>
      <c r="J4498" s="63" t="s">
        <v>9979</v>
      </c>
      <c r="K4498" s="65">
        <v>43066.0</v>
      </c>
      <c r="L4498" s="63" t="s">
        <v>2743</v>
      </c>
      <c r="M4498" s="63" t="s">
        <v>166</v>
      </c>
      <c r="N4498" s="61"/>
      <c r="O4498" s="51"/>
    </row>
    <row r="4499">
      <c r="A4499" s="56">
        <v>4496.0</v>
      </c>
      <c r="B4499" s="240"/>
      <c r="C4499" s="69" t="s">
        <v>18167</v>
      </c>
      <c r="D4499" s="71"/>
      <c r="E4499" s="68" t="s">
        <v>18168</v>
      </c>
      <c r="F4499" s="76">
        <v>42994.0</v>
      </c>
      <c r="G4499" s="68" t="s">
        <v>18169</v>
      </c>
      <c r="H4499" s="71"/>
      <c r="I4499" s="71"/>
      <c r="J4499" s="68" t="s">
        <v>18170</v>
      </c>
      <c r="K4499" s="225">
        <v>43075.0</v>
      </c>
      <c r="L4499" s="68" t="s">
        <v>2743</v>
      </c>
      <c r="M4499" s="68" t="s">
        <v>2748</v>
      </c>
      <c r="N4499" s="61"/>
      <c r="O4499" s="51"/>
    </row>
    <row r="4500">
      <c r="A4500" s="75">
        <v>4497.0</v>
      </c>
      <c r="B4500" s="240"/>
      <c r="C4500" s="69" t="s">
        <v>18171</v>
      </c>
      <c r="D4500" s="71"/>
      <c r="E4500" s="68" t="s">
        <v>18172</v>
      </c>
      <c r="F4500" s="76">
        <v>42917.0</v>
      </c>
      <c r="G4500" s="68" t="s">
        <v>18173</v>
      </c>
      <c r="H4500" s="71"/>
      <c r="I4500" s="71"/>
      <c r="J4500" s="68" t="s">
        <v>18174</v>
      </c>
      <c r="K4500" s="76">
        <v>43075.0</v>
      </c>
      <c r="L4500" s="68" t="s">
        <v>2743</v>
      </c>
      <c r="M4500" s="68" t="s">
        <v>149</v>
      </c>
      <c r="N4500" s="61"/>
      <c r="O4500" s="51"/>
    </row>
    <row r="4501">
      <c r="A4501" s="56">
        <v>4498.0</v>
      </c>
      <c r="B4501" s="246"/>
      <c r="C4501" s="58" t="s">
        <v>18175</v>
      </c>
      <c r="D4501" s="60"/>
      <c r="E4501" s="57" t="s">
        <v>12846</v>
      </c>
      <c r="F4501" s="78">
        <v>43061.0</v>
      </c>
      <c r="G4501" s="57" t="s">
        <v>18176</v>
      </c>
      <c r="H4501" s="60"/>
      <c r="I4501" s="60"/>
      <c r="J4501" s="57" t="s">
        <v>18177</v>
      </c>
      <c r="K4501" s="59">
        <v>43075.0</v>
      </c>
      <c r="L4501" s="57" t="s">
        <v>2743</v>
      </c>
      <c r="M4501" s="57" t="s">
        <v>143</v>
      </c>
      <c r="N4501" s="112"/>
      <c r="O4501" s="51"/>
    </row>
    <row r="4502">
      <c r="A4502" s="56">
        <v>4499.0</v>
      </c>
      <c r="B4502" s="241"/>
      <c r="C4502" s="64" t="s">
        <v>18178</v>
      </c>
      <c r="D4502" s="66"/>
      <c r="E4502" s="63" t="s">
        <v>18179</v>
      </c>
      <c r="F4502" s="70">
        <v>42833.0</v>
      </c>
      <c r="G4502" s="80" t="s">
        <v>18180</v>
      </c>
      <c r="H4502" s="82"/>
      <c r="I4502" s="87" t="s">
        <v>18181</v>
      </c>
      <c r="J4502" s="63" t="s">
        <v>18182</v>
      </c>
      <c r="K4502" s="70">
        <v>43075.0</v>
      </c>
      <c r="L4502" s="63" t="s">
        <v>2743</v>
      </c>
      <c r="M4502" s="63" t="s">
        <v>10279</v>
      </c>
      <c r="N4502" s="61"/>
      <c r="O4502" s="51"/>
    </row>
    <row r="4503">
      <c r="A4503" s="56">
        <v>4500.0</v>
      </c>
      <c r="B4503" s="241"/>
      <c r="C4503" s="64" t="s">
        <v>18183</v>
      </c>
      <c r="D4503" s="66"/>
      <c r="E4503" s="63" t="s">
        <v>18184</v>
      </c>
      <c r="F4503" s="70">
        <v>42833.0</v>
      </c>
      <c r="G4503" s="80" t="s">
        <v>18180</v>
      </c>
      <c r="H4503" s="82"/>
      <c r="I4503" s="87" t="s">
        <v>18181</v>
      </c>
      <c r="J4503" s="63" t="s">
        <v>18182</v>
      </c>
      <c r="K4503" s="70">
        <v>43075.0</v>
      </c>
      <c r="L4503" s="63" t="s">
        <v>2743</v>
      </c>
      <c r="M4503" s="63" t="s">
        <v>10279</v>
      </c>
      <c r="N4503" s="61"/>
      <c r="O4503" s="51"/>
    </row>
    <row r="4504">
      <c r="A4504" s="56">
        <v>4501.0</v>
      </c>
      <c r="B4504" s="240"/>
      <c r="C4504" s="69" t="s">
        <v>18185</v>
      </c>
      <c r="D4504" s="71"/>
      <c r="E4504" s="68" t="s">
        <v>18186</v>
      </c>
      <c r="F4504" s="76">
        <v>42916.0</v>
      </c>
      <c r="G4504" s="68" t="s">
        <v>18187</v>
      </c>
      <c r="H4504" s="71"/>
      <c r="I4504" s="71"/>
      <c r="J4504" s="68" t="s">
        <v>18188</v>
      </c>
      <c r="K4504" s="76">
        <v>43075.0</v>
      </c>
      <c r="L4504" s="68" t="s">
        <v>2743</v>
      </c>
      <c r="M4504" s="68" t="s">
        <v>125</v>
      </c>
      <c r="N4504" s="77"/>
      <c r="O4504" s="51"/>
    </row>
    <row r="4505">
      <c r="A4505" s="56">
        <v>4502.0</v>
      </c>
      <c r="B4505" s="241"/>
      <c r="C4505" s="64" t="s">
        <v>18189</v>
      </c>
      <c r="D4505" s="66"/>
      <c r="E4505" s="63" t="s">
        <v>18190</v>
      </c>
      <c r="F4505" s="70">
        <v>42833.0</v>
      </c>
      <c r="G4505" s="80" t="s">
        <v>18180</v>
      </c>
      <c r="H4505" s="82"/>
      <c r="I4505" s="87" t="s">
        <v>18181</v>
      </c>
      <c r="J4505" s="63" t="s">
        <v>18182</v>
      </c>
      <c r="K4505" s="70">
        <v>43075.0</v>
      </c>
      <c r="L4505" s="63" t="s">
        <v>2743</v>
      </c>
      <c r="M4505" s="63" t="s">
        <v>1509</v>
      </c>
      <c r="N4505" s="61"/>
      <c r="O4505" s="51"/>
    </row>
    <row r="4506">
      <c r="A4506" s="56">
        <v>4503.0</v>
      </c>
      <c r="B4506" s="240"/>
      <c r="C4506" s="69" t="s">
        <v>18191</v>
      </c>
      <c r="D4506" s="71"/>
      <c r="E4506" s="68" t="s">
        <v>18192</v>
      </c>
      <c r="F4506" s="76">
        <v>41276.0</v>
      </c>
      <c r="G4506" s="68" t="s">
        <v>18193</v>
      </c>
      <c r="H4506" s="71"/>
      <c r="I4506" s="71"/>
      <c r="J4506" s="68" t="s">
        <v>18194</v>
      </c>
      <c r="K4506" s="76">
        <v>43075.0</v>
      </c>
      <c r="L4506" s="68" t="s">
        <v>2743</v>
      </c>
      <c r="M4506" s="68" t="s">
        <v>125</v>
      </c>
      <c r="N4506" s="77"/>
      <c r="O4506" s="51"/>
    </row>
    <row r="4507">
      <c r="A4507" s="56">
        <v>4504.0</v>
      </c>
      <c r="B4507" s="241"/>
      <c r="C4507" s="64" t="s">
        <v>18195</v>
      </c>
      <c r="D4507" s="66"/>
      <c r="E4507" s="63" t="s">
        <v>18196</v>
      </c>
      <c r="F4507" s="70">
        <v>42512.0</v>
      </c>
      <c r="G4507" s="80" t="s">
        <v>18197</v>
      </c>
      <c r="H4507" s="82"/>
      <c r="I4507" s="66"/>
      <c r="J4507" s="63" t="s">
        <v>2872</v>
      </c>
      <c r="K4507" s="70">
        <v>43075.0</v>
      </c>
      <c r="L4507" s="63" t="s">
        <v>2743</v>
      </c>
      <c r="M4507" s="63" t="s">
        <v>125</v>
      </c>
      <c r="N4507" s="61"/>
      <c r="O4507" s="51"/>
    </row>
    <row r="4508">
      <c r="A4508" s="56">
        <v>4505.0</v>
      </c>
      <c r="B4508" s="241"/>
      <c r="C4508" s="64" t="s">
        <v>18198</v>
      </c>
      <c r="D4508" s="68" t="s">
        <v>18199</v>
      </c>
      <c r="E4508" s="63" t="s">
        <v>8414</v>
      </c>
      <c r="F4508" s="65">
        <v>40103.0</v>
      </c>
      <c r="G4508" s="80" t="s">
        <v>18200</v>
      </c>
      <c r="H4508" s="80" t="s">
        <v>439</v>
      </c>
      <c r="I4508" s="63" t="s">
        <v>18201</v>
      </c>
      <c r="J4508" s="63" t="s">
        <v>9580</v>
      </c>
      <c r="K4508" s="70">
        <v>43075.0</v>
      </c>
      <c r="L4508" s="63" t="s">
        <v>2743</v>
      </c>
      <c r="M4508" s="63" t="s">
        <v>530</v>
      </c>
      <c r="N4508" s="61"/>
      <c r="O4508" s="51"/>
    </row>
    <row r="4509">
      <c r="A4509" s="56">
        <v>4506.0</v>
      </c>
      <c r="B4509" s="240"/>
      <c r="C4509" s="69" t="s">
        <v>18202</v>
      </c>
      <c r="D4509" s="71"/>
      <c r="E4509" s="68" t="s">
        <v>18203</v>
      </c>
      <c r="F4509" s="76">
        <v>42186.0</v>
      </c>
      <c r="G4509" s="68" t="s">
        <v>18204</v>
      </c>
      <c r="H4509" s="71"/>
      <c r="I4509" s="71"/>
      <c r="J4509" s="68" t="s">
        <v>18205</v>
      </c>
      <c r="K4509" s="225">
        <v>43075.0</v>
      </c>
      <c r="L4509" s="68" t="s">
        <v>2743</v>
      </c>
      <c r="M4509" s="68" t="s">
        <v>18206</v>
      </c>
      <c r="N4509" s="61"/>
      <c r="O4509" s="51"/>
    </row>
    <row r="4510">
      <c r="A4510" s="75">
        <v>4507.0</v>
      </c>
      <c r="B4510" s="240"/>
      <c r="C4510" s="69" t="s">
        <v>18207</v>
      </c>
      <c r="D4510" s="71"/>
      <c r="E4510" s="68" t="s">
        <v>18208</v>
      </c>
      <c r="F4510" s="76">
        <v>40360.0</v>
      </c>
      <c r="G4510" s="68" t="s">
        <v>18209</v>
      </c>
      <c r="H4510" s="71"/>
      <c r="I4510" s="71"/>
      <c r="J4510" s="100" t="s">
        <v>18210</v>
      </c>
      <c r="K4510" s="225">
        <v>43075.0</v>
      </c>
      <c r="L4510" s="68" t="s">
        <v>2743</v>
      </c>
      <c r="M4510" s="68" t="s">
        <v>4749</v>
      </c>
      <c r="N4510" s="77"/>
      <c r="O4510" s="130"/>
    </row>
    <row r="4511">
      <c r="A4511" s="56">
        <v>4508.0</v>
      </c>
      <c r="B4511" s="246"/>
      <c r="C4511" s="58" t="s">
        <v>18211</v>
      </c>
      <c r="D4511" s="60"/>
      <c r="E4511" s="57" t="s">
        <v>18212</v>
      </c>
      <c r="F4511" s="59">
        <v>42860.0</v>
      </c>
      <c r="G4511" s="57" t="s">
        <v>18213</v>
      </c>
      <c r="H4511" s="60"/>
      <c r="I4511" s="60"/>
      <c r="J4511" s="57" t="s">
        <v>18214</v>
      </c>
      <c r="K4511" s="59">
        <v>43075.0</v>
      </c>
      <c r="L4511" s="57" t="s">
        <v>2743</v>
      </c>
      <c r="M4511" s="57" t="s">
        <v>166</v>
      </c>
      <c r="N4511" s="112"/>
      <c r="O4511" s="51"/>
    </row>
    <row r="4512">
      <c r="A4512" s="56">
        <v>4509.0</v>
      </c>
      <c r="B4512" s="241"/>
      <c r="C4512" s="64" t="s">
        <v>18215</v>
      </c>
      <c r="D4512" s="66"/>
      <c r="E4512" s="63" t="s">
        <v>18216</v>
      </c>
      <c r="F4512" s="70">
        <v>39995.0</v>
      </c>
      <c r="G4512" s="80" t="s">
        <v>18217</v>
      </c>
      <c r="H4512" s="82"/>
      <c r="I4512" s="66"/>
      <c r="J4512" s="63" t="s">
        <v>1872</v>
      </c>
      <c r="K4512" s="70">
        <v>43075.0</v>
      </c>
      <c r="L4512" s="63" t="s">
        <v>2743</v>
      </c>
      <c r="M4512" s="63" t="s">
        <v>530</v>
      </c>
      <c r="N4512" s="61"/>
      <c r="O4512" s="51"/>
    </row>
    <row r="4513">
      <c r="A4513" s="56">
        <v>4510.0</v>
      </c>
      <c r="B4513" s="241"/>
      <c r="C4513" s="64" t="s">
        <v>18218</v>
      </c>
      <c r="D4513" s="66"/>
      <c r="E4513" s="63" t="s">
        <v>18219</v>
      </c>
      <c r="F4513" s="70">
        <v>39995.0</v>
      </c>
      <c r="G4513" s="80" t="s">
        <v>18217</v>
      </c>
      <c r="H4513" s="82"/>
      <c r="I4513" s="66"/>
      <c r="J4513" s="63" t="s">
        <v>1872</v>
      </c>
      <c r="K4513" s="70">
        <v>43075.0</v>
      </c>
      <c r="L4513" s="63" t="s">
        <v>2743</v>
      </c>
      <c r="M4513" s="63" t="s">
        <v>530</v>
      </c>
      <c r="N4513" s="61"/>
      <c r="O4513" s="51"/>
    </row>
    <row r="4514">
      <c r="A4514" s="56">
        <v>4511.0</v>
      </c>
      <c r="B4514" s="240"/>
      <c r="C4514" s="69" t="s">
        <v>18220</v>
      </c>
      <c r="D4514" s="71"/>
      <c r="E4514" s="68" t="s">
        <v>18221</v>
      </c>
      <c r="F4514" s="76">
        <v>43009.0</v>
      </c>
      <c r="G4514" s="68" t="s">
        <v>18222</v>
      </c>
      <c r="H4514" s="71"/>
      <c r="I4514" s="71"/>
      <c r="J4514" s="68" t="s">
        <v>18223</v>
      </c>
      <c r="K4514" s="76">
        <v>43075.0</v>
      </c>
      <c r="L4514" s="68" t="s">
        <v>2743</v>
      </c>
      <c r="M4514" s="68" t="s">
        <v>166</v>
      </c>
      <c r="N4514" s="77"/>
      <c r="O4514" s="51"/>
    </row>
    <row r="4515">
      <c r="A4515" s="56">
        <v>4512.0</v>
      </c>
      <c r="B4515" s="241"/>
      <c r="C4515" s="64" t="s">
        <v>18224</v>
      </c>
      <c r="D4515" s="66"/>
      <c r="E4515" s="63" t="s">
        <v>18225</v>
      </c>
      <c r="F4515" s="70">
        <v>41493.0</v>
      </c>
      <c r="G4515" s="80" t="s">
        <v>18226</v>
      </c>
      <c r="H4515" s="82"/>
      <c r="I4515" s="66"/>
      <c r="J4515" s="63" t="s">
        <v>2872</v>
      </c>
      <c r="K4515" s="70">
        <v>43075.0</v>
      </c>
      <c r="L4515" s="63" t="s">
        <v>2743</v>
      </c>
      <c r="M4515" s="63" t="s">
        <v>125</v>
      </c>
      <c r="N4515" s="61"/>
      <c r="O4515" s="51"/>
    </row>
    <row r="4516">
      <c r="A4516" s="56">
        <v>4513.0</v>
      </c>
      <c r="B4516" s="240"/>
      <c r="C4516" s="69" t="s">
        <v>18227</v>
      </c>
      <c r="D4516" s="71"/>
      <c r="E4516" s="68" t="s">
        <v>18228</v>
      </c>
      <c r="F4516" s="76">
        <v>42858.0</v>
      </c>
      <c r="G4516" s="68" t="s">
        <v>18229</v>
      </c>
      <c r="H4516" s="71"/>
      <c r="I4516" s="68" t="s">
        <v>18230</v>
      </c>
      <c r="J4516" s="68" t="s">
        <v>18231</v>
      </c>
      <c r="K4516" s="76">
        <v>43076.0</v>
      </c>
      <c r="L4516" s="68" t="s">
        <v>2743</v>
      </c>
      <c r="M4516" s="68" t="s">
        <v>4749</v>
      </c>
      <c r="N4516" s="77"/>
      <c r="O4516" s="51"/>
    </row>
    <row r="4517">
      <c r="A4517" s="56">
        <v>4514.0</v>
      </c>
      <c r="B4517" s="241"/>
      <c r="C4517" s="64" t="s">
        <v>18232</v>
      </c>
      <c r="D4517" s="66"/>
      <c r="E4517" s="63" t="s">
        <v>18233</v>
      </c>
      <c r="F4517" s="70">
        <v>42430.0</v>
      </c>
      <c r="G4517" s="80" t="s">
        <v>18234</v>
      </c>
      <c r="H4517" s="82"/>
      <c r="I4517" s="63" t="s">
        <v>18235</v>
      </c>
      <c r="J4517" s="63" t="s">
        <v>15584</v>
      </c>
      <c r="K4517" s="70">
        <v>43076.0</v>
      </c>
      <c r="L4517" s="63" t="s">
        <v>2743</v>
      </c>
      <c r="M4517" s="63" t="s">
        <v>15909</v>
      </c>
      <c r="N4517" s="61"/>
      <c r="O4517" s="51"/>
    </row>
    <row r="4518">
      <c r="A4518" s="56">
        <v>4515.0</v>
      </c>
      <c r="B4518" s="240"/>
      <c r="C4518" s="69" t="s">
        <v>18236</v>
      </c>
      <c r="D4518" s="71"/>
      <c r="E4518" s="68" t="s">
        <v>18237</v>
      </c>
      <c r="F4518" s="76">
        <v>43074.0</v>
      </c>
      <c r="G4518" s="68" t="s">
        <v>18238</v>
      </c>
      <c r="H4518" s="71"/>
      <c r="I4518" s="71"/>
      <c r="J4518" s="68" t="s">
        <v>18239</v>
      </c>
      <c r="K4518" s="83">
        <v>43083.0</v>
      </c>
      <c r="L4518" s="68" t="s">
        <v>2743</v>
      </c>
      <c r="M4518" s="68" t="s">
        <v>166</v>
      </c>
      <c r="N4518" s="77"/>
      <c r="O4518" s="51"/>
    </row>
    <row r="4519">
      <c r="A4519" s="56">
        <v>4516.0</v>
      </c>
      <c r="B4519" s="240"/>
      <c r="C4519" s="69" t="s">
        <v>18240</v>
      </c>
      <c r="D4519" s="71"/>
      <c r="E4519" s="68" t="s">
        <v>18241</v>
      </c>
      <c r="F4519" s="76">
        <v>43044.0</v>
      </c>
      <c r="G4519" s="68" t="s">
        <v>18242</v>
      </c>
      <c r="H4519" s="71"/>
      <c r="I4519" s="71"/>
      <c r="J4519" s="68" t="s">
        <v>18243</v>
      </c>
      <c r="K4519" s="245">
        <v>43083.0</v>
      </c>
      <c r="L4519" s="68" t="s">
        <v>2743</v>
      </c>
      <c r="M4519" s="68" t="s">
        <v>166</v>
      </c>
      <c r="N4519" s="61"/>
      <c r="O4519" s="51"/>
    </row>
    <row r="4520">
      <c r="A4520" s="56">
        <v>4517.0</v>
      </c>
      <c r="B4520" s="240"/>
      <c r="C4520" s="69" t="s">
        <v>18244</v>
      </c>
      <c r="D4520" s="71"/>
      <c r="E4520" s="68" t="s">
        <v>18245</v>
      </c>
      <c r="F4520" s="76">
        <v>41760.0</v>
      </c>
      <c r="G4520" s="68" t="s">
        <v>18246</v>
      </c>
      <c r="H4520" s="71"/>
      <c r="I4520" s="71"/>
      <c r="J4520" s="87" t="s">
        <v>18247</v>
      </c>
      <c r="K4520" s="83">
        <v>43083.0</v>
      </c>
      <c r="L4520" s="68" t="s">
        <v>2743</v>
      </c>
      <c r="M4520" s="68" t="s">
        <v>27</v>
      </c>
      <c r="N4520" s="61"/>
      <c r="O4520" s="51"/>
    </row>
    <row r="4521">
      <c r="A4521" s="56">
        <v>4518.0</v>
      </c>
      <c r="B4521" s="240"/>
      <c r="C4521" s="69" t="s">
        <v>18248</v>
      </c>
      <c r="D4521" s="71"/>
      <c r="E4521" s="68" t="s">
        <v>18249</v>
      </c>
      <c r="F4521" s="83">
        <v>43028.0</v>
      </c>
      <c r="G4521" s="68" t="s">
        <v>18250</v>
      </c>
      <c r="H4521" s="71"/>
      <c r="I4521" s="71"/>
      <c r="J4521" s="68" t="s">
        <v>18251</v>
      </c>
      <c r="K4521" s="245">
        <v>43083.0</v>
      </c>
      <c r="L4521" s="68" t="s">
        <v>2743</v>
      </c>
      <c r="M4521" s="68" t="s">
        <v>125</v>
      </c>
      <c r="N4521" s="61"/>
      <c r="O4521" s="51"/>
    </row>
    <row r="4522">
      <c r="A4522" s="56">
        <v>4519.0</v>
      </c>
      <c r="B4522" s="241"/>
      <c r="C4522" s="64" t="s">
        <v>18252</v>
      </c>
      <c r="D4522" s="66"/>
      <c r="E4522" s="63" t="s">
        <v>18253</v>
      </c>
      <c r="F4522" s="70">
        <v>41556.0</v>
      </c>
      <c r="G4522" s="80" t="s">
        <v>18254</v>
      </c>
      <c r="H4522" s="82"/>
      <c r="I4522" s="66"/>
      <c r="J4522" s="63" t="s">
        <v>2872</v>
      </c>
      <c r="K4522" s="65">
        <v>43083.0</v>
      </c>
      <c r="L4522" s="63" t="s">
        <v>2743</v>
      </c>
      <c r="M4522" s="63" t="s">
        <v>125</v>
      </c>
      <c r="N4522" s="61"/>
      <c r="O4522" s="51"/>
    </row>
    <row r="4523">
      <c r="A4523" s="56">
        <v>4520.0</v>
      </c>
      <c r="B4523" s="241"/>
      <c r="C4523" s="64" t="s">
        <v>18255</v>
      </c>
      <c r="D4523" s="66"/>
      <c r="E4523" s="63" t="s">
        <v>18256</v>
      </c>
      <c r="F4523" s="70">
        <v>42858.0</v>
      </c>
      <c r="G4523" s="80" t="s">
        <v>18257</v>
      </c>
      <c r="H4523" s="82"/>
      <c r="I4523" s="66"/>
      <c r="J4523" s="63" t="s">
        <v>2872</v>
      </c>
      <c r="K4523" s="65">
        <v>43083.0</v>
      </c>
      <c r="L4523" s="63" t="s">
        <v>2743</v>
      </c>
      <c r="M4523" s="63" t="s">
        <v>125</v>
      </c>
      <c r="N4523" s="61"/>
      <c r="O4523" s="51"/>
    </row>
    <row r="4524">
      <c r="A4524" s="56">
        <v>4521.0</v>
      </c>
      <c r="B4524" s="240"/>
      <c r="C4524" s="69" t="s">
        <v>18258</v>
      </c>
      <c r="D4524" s="71"/>
      <c r="E4524" s="68" t="s">
        <v>18259</v>
      </c>
      <c r="F4524" s="76">
        <v>40360.0</v>
      </c>
      <c r="G4524" s="68" t="s">
        <v>18260</v>
      </c>
      <c r="H4524" s="71"/>
      <c r="I4524" s="71"/>
      <c r="J4524" s="68" t="s">
        <v>18261</v>
      </c>
      <c r="K4524" s="83">
        <v>43083.0</v>
      </c>
      <c r="L4524" s="68" t="s">
        <v>16185</v>
      </c>
      <c r="M4524" s="68" t="s">
        <v>166</v>
      </c>
      <c r="N4524" s="77"/>
      <c r="O4524" s="51"/>
    </row>
    <row r="4525">
      <c r="A4525" s="56">
        <v>4522.0</v>
      </c>
      <c r="B4525" s="240"/>
      <c r="C4525" s="69" t="s">
        <v>18262</v>
      </c>
      <c r="D4525" s="71"/>
      <c r="E4525" s="68" t="s">
        <v>18263</v>
      </c>
      <c r="F4525" s="76">
        <v>40725.0</v>
      </c>
      <c r="G4525" s="68" t="s">
        <v>18264</v>
      </c>
      <c r="H4525" s="71"/>
      <c r="I4525" s="71"/>
      <c r="J4525" s="68" t="s">
        <v>18265</v>
      </c>
      <c r="K4525" s="83">
        <v>43083.0</v>
      </c>
      <c r="L4525" s="68" t="s">
        <v>16185</v>
      </c>
      <c r="M4525" s="68" t="s">
        <v>166</v>
      </c>
      <c r="N4525" s="77"/>
      <c r="O4525" s="51"/>
    </row>
    <row r="4526">
      <c r="A4526" s="56">
        <v>4523.0</v>
      </c>
      <c r="B4526" s="240"/>
      <c r="C4526" s="69" t="s">
        <v>18266</v>
      </c>
      <c r="D4526" s="71"/>
      <c r="E4526" s="68" t="s">
        <v>18267</v>
      </c>
      <c r="F4526" s="76">
        <v>42926.0</v>
      </c>
      <c r="G4526" s="68" t="s">
        <v>18268</v>
      </c>
      <c r="H4526" s="71"/>
      <c r="I4526" s="71"/>
      <c r="J4526" s="68" t="s">
        <v>18269</v>
      </c>
      <c r="K4526" s="83">
        <v>43083.0</v>
      </c>
      <c r="L4526" s="68" t="s">
        <v>16185</v>
      </c>
      <c r="M4526" s="68" t="s">
        <v>18270</v>
      </c>
      <c r="N4526" s="77"/>
      <c r="O4526" s="51"/>
    </row>
    <row r="4527">
      <c r="A4527" s="56">
        <v>4524.0</v>
      </c>
      <c r="B4527" s="240"/>
      <c r="C4527" s="69" t="s">
        <v>18271</v>
      </c>
      <c r="D4527" s="71"/>
      <c r="E4527" s="68" t="s">
        <v>18272</v>
      </c>
      <c r="F4527" s="76">
        <v>42043.0</v>
      </c>
      <c r="G4527" s="68" t="s">
        <v>18273</v>
      </c>
      <c r="H4527" s="71"/>
      <c r="I4527" s="71"/>
      <c r="J4527" s="68" t="s">
        <v>18274</v>
      </c>
      <c r="K4527" s="83">
        <v>43083.0</v>
      </c>
      <c r="L4527" s="68" t="s">
        <v>16185</v>
      </c>
      <c r="M4527" s="68" t="s">
        <v>143</v>
      </c>
      <c r="N4527" s="77"/>
      <c r="O4527" s="51"/>
    </row>
    <row r="4528">
      <c r="A4528" s="56">
        <v>4525.0</v>
      </c>
      <c r="B4528" s="246"/>
      <c r="C4528" s="58" t="s">
        <v>18275</v>
      </c>
      <c r="D4528" s="60"/>
      <c r="E4528" s="57" t="s">
        <v>18276</v>
      </c>
      <c r="F4528" s="59">
        <v>43044.0</v>
      </c>
      <c r="G4528" s="57" t="s">
        <v>18277</v>
      </c>
      <c r="H4528" s="60"/>
      <c r="I4528" s="57" t="s">
        <v>18278</v>
      </c>
      <c r="J4528" s="57" t="s">
        <v>18279</v>
      </c>
      <c r="K4528" s="78">
        <v>43083.0</v>
      </c>
      <c r="L4528" s="57" t="s">
        <v>16185</v>
      </c>
      <c r="M4528" s="57" t="s">
        <v>143</v>
      </c>
      <c r="N4528" s="112"/>
      <c r="O4528" s="51"/>
    </row>
    <row r="4529">
      <c r="A4529" s="56">
        <v>4526.0</v>
      </c>
      <c r="B4529" s="240"/>
      <c r="C4529" s="69" t="s">
        <v>18280</v>
      </c>
      <c r="D4529" s="71"/>
      <c r="E4529" s="68" t="s">
        <v>18281</v>
      </c>
      <c r="F4529" s="76">
        <v>43001.0</v>
      </c>
      <c r="G4529" s="68" t="s">
        <v>18282</v>
      </c>
      <c r="H4529" s="71"/>
      <c r="I4529" s="71"/>
      <c r="J4529" s="68" t="s">
        <v>18283</v>
      </c>
      <c r="K4529" s="83">
        <v>43083.0</v>
      </c>
      <c r="L4529" s="68" t="s">
        <v>16185</v>
      </c>
      <c r="M4529" s="68" t="s">
        <v>149</v>
      </c>
      <c r="N4529" s="61"/>
      <c r="O4529" s="51"/>
    </row>
    <row r="4530">
      <c r="A4530" s="56">
        <v>4527.0</v>
      </c>
      <c r="B4530" s="240"/>
      <c r="C4530" s="69" t="s">
        <v>18284</v>
      </c>
      <c r="D4530" s="71"/>
      <c r="E4530" s="68" t="s">
        <v>18285</v>
      </c>
      <c r="F4530" s="76">
        <v>42926.0</v>
      </c>
      <c r="G4530" s="68" t="s">
        <v>18286</v>
      </c>
      <c r="H4530" s="71"/>
      <c r="I4530" s="71"/>
      <c r="J4530" s="68" t="s">
        <v>18287</v>
      </c>
      <c r="K4530" s="83">
        <v>43083.0</v>
      </c>
      <c r="L4530" s="68" t="s">
        <v>16185</v>
      </c>
      <c r="M4530" s="68" t="s">
        <v>18270</v>
      </c>
      <c r="N4530" s="77"/>
      <c r="O4530" s="51"/>
    </row>
    <row r="4531">
      <c r="A4531" s="56">
        <v>4528.0</v>
      </c>
      <c r="B4531" s="240"/>
      <c r="C4531" s="69" t="s">
        <v>18288</v>
      </c>
      <c r="D4531" s="71"/>
      <c r="E4531" s="68" t="s">
        <v>18289</v>
      </c>
      <c r="F4531" s="76">
        <v>42871.0</v>
      </c>
      <c r="G4531" s="68" t="s">
        <v>18290</v>
      </c>
      <c r="H4531" s="71"/>
      <c r="I4531" s="68" t="s">
        <v>18291</v>
      </c>
      <c r="J4531" s="68" t="s">
        <v>18292</v>
      </c>
      <c r="K4531" s="83">
        <v>43083.0</v>
      </c>
      <c r="L4531" s="68" t="s">
        <v>2743</v>
      </c>
      <c r="M4531" s="68" t="s">
        <v>1664</v>
      </c>
      <c r="N4531" s="77"/>
      <c r="O4531" s="51"/>
    </row>
    <row r="4532">
      <c r="A4532" s="56">
        <v>4529.0</v>
      </c>
      <c r="B4532" s="240"/>
      <c r="C4532" s="69" t="s">
        <v>18293</v>
      </c>
      <c r="D4532" s="71"/>
      <c r="E4532" s="68" t="s">
        <v>18294</v>
      </c>
      <c r="F4532" s="83">
        <v>43062.0</v>
      </c>
      <c r="G4532" s="68" t="s">
        <v>18295</v>
      </c>
      <c r="H4532" s="71"/>
      <c r="I4532" s="71"/>
      <c r="J4532" s="68" t="s">
        <v>18296</v>
      </c>
      <c r="K4532" s="83">
        <v>43083.0</v>
      </c>
      <c r="L4532" s="68" t="s">
        <v>2743</v>
      </c>
      <c r="M4532" s="71"/>
      <c r="N4532" s="61"/>
      <c r="O4532" s="51"/>
    </row>
    <row r="4533">
      <c r="A4533" s="56">
        <v>4530.0</v>
      </c>
      <c r="B4533" s="246"/>
      <c r="C4533" s="58" t="s">
        <v>18297</v>
      </c>
      <c r="D4533" s="60"/>
      <c r="E4533" s="57" t="s">
        <v>18298</v>
      </c>
      <c r="F4533" s="59">
        <v>42864.0</v>
      </c>
      <c r="G4533" s="57" t="s">
        <v>18299</v>
      </c>
      <c r="H4533" s="60"/>
      <c r="I4533" s="60"/>
      <c r="J4533" s="89" t="s">
        <v>18300</v>
      </c>
      <c r="K4533" s="247">
        <v>43083.0</v>
      </c>
      <c r="L4533" s="57" t="s">
        <v>2743</v>
      </c>
      <c r="M4533" s="57" t="s">
        <v>4273</v>
      </c>
      <c r="N4533" s="112"/>
      <c r="O4533" s="51"/>
    </row>
    <row r="4534">
      <c r="A4534" s="56">
        <v>4531.0</v>
      </c>
      <c r="B4534" s="240"/>
      <c r="C4534" s="69" t="s">
        <v>18301</v>
      </c>
      <c r="D4534" s="71"/>
      <c r="E4534" s="68" t="s">
        <v>18302</v>
      </c>
      <c r="F4534" s="83">
        <v>43062.0</v>
      </c>
      <c r="G4534" s="68" t="s">
        <v>18303</v>
      </c>
      <c r="H4534" s="71"/>
      <c r="I4534" s="71"/>
      <c r="J4534" s="68" t="s">
        <v>18304</v>
      </c>
      <c r="K4534" s="83">
        <v>43083.0</v>
      </c>
      <c r="L4534" s="68" t="s">
        <v>2743</v>
      </c>
      <c r="M4534" s="68" t="s">
        <v>3690</v>
      </c>
      <c r="N4534" s="61"/>
      <c r="O4534" s="51"/>
    </row>
    <row r="4535">
      <c r="A4535" s="56">
        <v>4532.0</v>
      </c>
      <c r="B4535" s="240"/>
      <c r="C4535" s="69" t="s">
        <v>18305</v>
      </c>
      <c r="D4535" s="71"/>
      <c r="E4535" s="68" t="s">
        <v>18306</v>
      </c>
      <c r="F4535" s="83">
        <v>43067.0</v>
      </c>
      <c r="G4535" s="68" t="s">
        <v>18307</v>
      </c>
      <c r="H4535" s="71"/>
      <c r="I4535" s="68" t="s">
        <v>18308</v>
      </c>
      <c r="J4535" s="68" t="s">
        <v>18309</v>
      </c>
      <c r="K4535" s="83">
        <v>43083.0</v>
      </c>
      <c r="L4535" s="68" t="s">
        <v>2743</v>
      </c>
      <c r="M4535" s="68" t="s">
        <v>143</v>
      </c>
      <c r="N4535" s="77"/>
      <c r="O4535" s="51"/>
    </row>
    <row r="4536">
      <c r="A4536" s="56">
        <v>4533.0</v>
      </c>
      <c r="B4536" s="240"/>
      <c r="C4536" s="69" t="s">
        <v>18310</v>
      </c>
      <c r="D4536" s="71"/>
      <c r="E4536" s="68" t="s">
        <v>18311</v>
      </c>
      <c r="F4536" s="83">
        <v>43062.0</v>
      </c>
      <c r="G4536" s="68" t="s">
        <v>18312</v>
      </c>
      <c r="H4536" s="71"/>
      <c r="I4536" s="71"/>
      <c r="J4536" s="68" t="s">
        <v>18313</v>
      </c>
      <c r="K4536" s="83">
        <v>43083.0</v>
      </c>
      <c r="L4536" s="68" t="s">
        <v>2743</v>
      </c>
      <c r="M4536" s="68" t="s">
        <v>3690</v>
      </c>
      <c r="N4536" s="61"/>
      <c r="O4536" s="51"/>
    </row>
    <row r="4537">
      <c r="A4537" s="56">
        <v>4534.0</v>
      </c>
      <c r="B4537" s="240"/>
      <c r="C4537" s="69" t="s">
        <v>18314</v>
      </c>
      <c r="D4537" s="71"/>
      <c r="E4537" s="68" t="s">
        <v>18315</v>
      </c>
      <c r="F4537" s="76">
        <v>42863.0</v>
      </c>
      <c r="G4537" s="68" t="s">
        <v>18316</v>
      </c>
      <c r="H4537" s="71"/>
      <c r="I4537" s="68" t="s">
        <v>18317</v>
      </c>
      <c r="J4537" s="68" t="s">
        <v>18318</v>
      </c>
      <c r="K4537" s="83">
        <v>43083.0</v>
      </c>
      <c r="L4537" s="68" t="s">
        <v>2743</v>
      </c>
      <c r="M4537" s="68" t="s">
        <v>1664</v>
      </c>
      <c r="N4537" s="126" t="s">
        <v>18319</v>
      </c>
      <c r="O4537" s="51"/>
    </row>
    <row r="4538">
      <c r="A4538" s="75">
        <v>4535.0</v>
      </c>
      <c r="B4538" s="240"/>
      <c r="C4538" s="69" t="s">
        <v>18320</v>
      </c>
      <c r="D4538" s="71"/>
      <c r="E4538" s="68" t="s">
        <v>18321</v>
      </c>
      <c r="F4538" s="76">
        <v>42871.0</v>
      </c>
      <c r="G4538" s="68" t="s">
        <v>18322</v>
      </c>
      <c r="H4538" s="71"/>
      <c r="I4538" s="68" t="s">
        <v>18317</v>
      </c>
      <c r="J4538" s="68" t="s">
        <v>18323</v>
      </c>
      <c r="K4538" s="83">
        <v>43083.0</v>
      </c>
      <c r="L4538" s="68" t="s">
        <v>2743</v>
      </c>
      <c r="M4538" s="68" t="s">
        <v>1664</v>
      </c>
      <c r="N4538" s="77"/>
      <c r="O4538" s="51"/>
    </row>
    <row r="4539">
      <c r="A4539" s="56">
        <v>4536.0</v>
      </c>
      <c r="B4539" s="240"/>
      <c r="C4539" s="69" t="s">
        <v>18324</v>
      </c>
      <c r="D4539" s="71"/>
      <c r="E4539" s="68" t="s">
        <v>18325</v>
      </c>
      <c r="F4539" s="76">
        <v>42897.0</v>
      </c>
      <c r="G4539" s="68" t="s">
        <v>18326</v>
      </c>
      <c r="H4539" s="71"/>
      <c r="I4539" s="71"/>
      <c r="J4539" s="68" t="s">
        <v>18327</v>
      </c>
      <c r="K4539" s="83">
        <v>43083.0</v>
      </c>
      <c r="L4539" s="68" t="s">
        <v>13542</v>
      </c>
      <c r="M4539" s="68" t="s">
        <v>27</v>
      </c>
      <c r="N4539" s="77"/>
      <c r="O4539" s="51"/>
    </row>
    <row r="4540">
      <c r="A4540" s="56">
        <v>4537.0</v>
      </c>
      <c r="B4540" s="240"/>
      <c r="C4540" s="69" t="s">
        <v>18328</v>
      </c>
      <c r="D4540" s="71"/>
      <c r="E4540" s="68" t="s">
        <v>18329</v>
      </c>
      <c r="F4540" s="76">
        <v>42209.0</v>
      </c>
      <c r="G4540" s="68" t="s">
        <v>18330</v>
      </c>
      <c r="H4540" s="71"/>
      <c r="I4540" s="71"/>
      <c r="J4540" s="68" t="s">
        <v>18331</v>
      </c>
      <c r="K4540" s="83">
        <v>43083.0</v>
      </c>
      <c r="L4540" s="68" t="s">
        <v>13542</v>
      </c>
      <c r="M4540" s="68" t="s">
        <v>27</v>
      </c>
      <c r="N4540" s="77"/>
      <c r="O4540" s="51"/>
    </row>
    <row r="4541">
      <c r="A4541" s="56">
        <v>4538.0</v>
      </c>
      <c r="B4541" s="241"/>
      <c r="C4541" s="64" t="s">
        <v>18332</v>
      </c>
      <c r="D4541" s="66"/>
      <c r="E4541" s="63" t="s">
        <v>18333</v>
      </c>
      <c r="F4541" s="70">
        <v>41303.0</v>
      </c>
      <c r="G4541" s="80" t="s">
        <v>18334</v>
      </c>
      <c r="H4541" s="82"/>
      <c r="I4541" s="66"/>
      <c r="J4541" s="63" t="s">
        <v>2872</v>
      </c>
      <c r="K4541" s="65">
        <v>43084.0</v>
      </c>
      <c r="L4541" s="63" t="s">
        <v>2743</v>
      </c>
      <c r="M4541" s="63" t="s">
        <v>125</v>
      </c>
      <c r="N4541" s="61"/>
      <c r="O4541" s="51"/>
    </row>
    <row r="4542">
      <c r="A4542" s="56">
        <v>4539.0</v>
      </c>
      <c r="B4542" s="240"/>
      <c r="C4542" s="69" t="s">
        <v>18335</v>
      </c>
      <c r="D4542" s="71"/>
      <c r="E4542" s="68" t="s">
        <v>18336</v>
      </c>
      <c r="F4542" s="83">
        <v>42734.0</v>
      </c>
      <c r="G4542" s="68" t="s">
        <v>18337</v>
      </c>
      <c r="H4542" s="71"/>
      <c r="I4542" s="68" t="s">
        <v>18338</v>
      </c>
      <c r="J4542" s="68" t="s">
        <v>18339</v>
      </c>
      <c r="K4542" s="83">
        <v>43084.0</v>
      </c>
      <c r="L4542" s="68" t="s">
        <v>2743</v>
      </c>
      <c r="M4542" s="68" t="s">
        <v>143</v>
      </c>
      <c r="N4542" s="61"/>
      <c r="O4542" s="51"/>
    </row>
    <row r="4543">
      <c r="A4543" s="56">
        <v>4540.0</v>
      </c>
      <c r="B4543" s="240"/>
      <c r="C4543" s="69" t="s">
        <v>18340</v>
      </c>
      <c r="D4543" s="71"/>
      <c r="E4543" s="68" t="s">
        <v>18341</v>
      </c>
      <c r="F4543" s="76">
        <v>41821.0</v>
      </c>
      <c r="G4543" s="68" t="s">
        <v>18342</v>
      </c>
      <c r="H4543" s="71"/>
      <c r="I4543" s="71"/>
      <c r="J4543" s="87" t="s">
        <v>18343</v>
      </c>
      <c r="K4543" s="83">
        <v>43084.0</v>
      </c>
      <c r="L4543" s="68" t="s">
        <v>2743</v>
      </c>
      <c r="M4543" s="68" t="s">
        <v>166</v>
      </c>
      <c r="N4543" s="77"/>
      <c r="O4543" s="51"/>
    </row>
    <row r="4544">
      <c r="A4544" s="56">
        <v>4541.0</v>
      </c>
      <c r="B4544" s="241"/>
      <c r="C4544" s="64" t="s">
        <v>18344</v>
      </c>
      <c r="D4544" s="66"/>
      <c r="E4544" s="63" t="s">
        <v>18345</v>
      </c>
      <c r="F4544" s="70">
        <v>41912.0</v>
      </c>
      <c r="G4544" s="80" t="s">
        <v>18346</v>
      </c>
      <c r="H4544" s="82"/>
      <c r="I4544" s="66"/>
      <c r="J4544" s="63" t="s">
        <v>2872</v>
      </c>
      <c r="K4544" s="65">
        <v>43084.0</v>
      </c>
      <c r="L4544" s="63" t="s">
        <v>17400</v>
      </c>
      <c r="M4544" s="63" t="s">
        <v>125</v>
      </c>
      <c r="N4544" s="61"/>
      <c r="O4544" s="51"/>
    </row>
    <row r="4545">
      <c r="A4545" s="56">
        <v>4542.0</v>
      </c>
      <c r="B4545" s="240"/>
      <c r="C4545" s="69" t="s">
        <v>18347</v>
      </c>
      <c r="D4545" s="71"/>
      <c r="E4545" s="68" t="s">
        <v>18348</v>
      </c>
      <c r="F4545" s="76">
        <v>40725.0</v>
      </c>
      <c r="G4545" s="68" t="s">
        <v>18349</v>
      </c>
      <c r="H4545" s="71"/>
      <c r="I4545" s="71"/>
      <c r="J4545" s="68" t="s">
        <v>18350</v>
      </c>
      <c r="K4545" s="83">
        <v>43084.0</v>
      </c>
      <c r="L4545" s="68" t="s">
        <v>2743</v>
      </c>
      <c r="M4545" s="68" t="s">
        <v>195</v>
      </c>
      <c r="N4545" s="77"/>
      <c r="O4545" s="51"/>
    </row>
    <row r="4546">
      <c r="A4546" s="75">
        <v>4543.0</v>
      </c>
      <c r="B4546" s="240"/>
      <c r="C4546" s="69" t="s">
        <v>18351</v>
      </c>
      <c r="D4546" s="71"/>
      <c r="E4546" s="68" t="s">
        <v>18352</v>
      </c>
      <c r="F4546" s="76">
        <v>41821.0</v>
      </c>
      <c r="G4546" s="68" t="s">
        <v>18353</v>
      </c>
      <c r="H4546" s="71"/>
      <c r="I4546" s="71"/>
      <c r="J4546" s="68" t="s">
        <v>18354</v>
      </c>
      <c r="K4546" s="83">
        <v>43084.0</v>
      </c>
      <c r="L4546" s="68" t="s">
        <v>2743</v>
      </c>
      <c r="M4546" s="68" t="s">
        <v>368</v>
      </c>
      <c r="N4546" s="77"/>
      <c r="O4546" s="51"/>
    </row>
    <row r="4547">
      <c r="A4547" s="56">
        <v>4544.0</v>
      </c>
      <c r="B4547" s="241"/>
      <c r="C4547" s="64" t="s">
        <v>18355</v>
      </c>
      <c r="D4547" s="66"/>
      <c r="E4547" s="63" t="s">
        <v>18356</v>
      </c>
      <c r="F4547" s="70">
        <v>40725.0</v>
      </c>
      <c r="G4547" s="80" t="s">
        <v>18357</v>
      </c>
      <c r="H4547" s="82"/>
      <c r="I4547" s="63" t="s">
        <v>18358</v>
      </c>
      <c r="J4547" s="63" t="s">
        <v>4801</v>
      </c>
      <c r="K4547" s="65">
        <v>43084.0</v>
      </c>
      <c r="L4547" s="63" t="s">
        <v>2743</v>
      </c>
      <c r="M4547" s="63" t="s">
        <v>149</v>
      </c>
      <c r="N4547" s="61"/>
      <c r="O4547" s="51"/>
    </row>
    <row r="4548">
      <c r="A4548" s="56">
        <v>4545.0</v>
      </c>
      <c r="B4548" s="240"/>
      <c r="C4548" s="69" t="s">
        <v>18359</v>
      </c>
      <c r="D4548" s="71"/>
      <c r="E4548" s="68" t="s">
        <v>18360</v>
      </c>
      <c r="F4548" s="76">
        <v>43071.0</v>
      </c>
      <c r="G4548" s="68" t="s">
        <v>18361</v>
      </c>
      <c r="H4548" s="71"/>
      <c r="I4548" s="71"/>
      <c r="J4548" s="68" t="s">
        <v>18362</v>
      </c>
      <c r="K4548" s="83">
        <v>43084.0</v>
      </c>
      <c r="L4548" s="68" t="s">
        <v>2743</v>
      </c>
      <c r="M4548" s="68" t="s">
        <v>149</v>
      </c>
      <c r="N4548" s="77"/>
      <c r="O4548" s="51"/>
    </row>
    <row r="4549">
      <c r="A4549" s="56">
        <v>4546.0</v>
      </c>
      <c r="B4549" s="240"/>
      <c r="C4549" s="69" t="s">
        <v>18363</v>
      </c>
      <c r="D4549" s="71"/>
      <c r="E4549" s="68" t="s">
        <v>18364</v>
      </c>
      <c r="F4549" s="83">
        <v>43036.0</v>
      </c>
      <c r="G4549" s="68" t="s">
        <v>18365</v>
      </c>
      <c r="H4549" s="71"/>
      <c r="I4549" s="71"/>
      <c r="J4549" s="68" t="s">
        <v>18366</v>
      </c>
      <c r="K4549" s="245">
        <v>43084.0</v>
      </c>
      <c r="L4549" s="68" t="s">
        <v>14256</v>
      </c>
      <c r="M4549" s="68" t="s">
        <v>166</v>
      </c>
      <c r="N4549" s="61"/>
      <c r="O4549" s="51"/>
    </row>
    <row r="4550">
      <c r="A4550" s="56">
        <v>4547.0</v>
      </c>
      <c r="B4550" s="240"/>
      <c r="C4550" s="69" t="s">
        <v>18367</v>
      </c>
      <c r="D4550" s="71"/>
      <c r="E4550" s="68" t="s">
        <v>18368</v>
      </c>
      <c r="F4550" s="83">
        <v>43054.0</v>
      </c>
      <c r="G4550" s="68" t="s">
        <v>18369</v>
      </c>
      <c r="H4550" s="71"/>
      <c r="I4550" s="71"/>
      <c r="J4550" s="68" t="s">
        <v>18370</v>
      </c>
      <c r="K4550" s="83">
        <v>43084.0</v>
      </c>
      <c r="L4550" s="68" t="s">
        <v>14256</v>
      </c>
      <c r="M4550" s="68" t="s">
        <v>27</v>
      </c>
      <c r="N4550" s="61"/>
      <c r="O4550" s="51"/>
    </row>
    <row r="4551">
      <c r="A4551" s="56">
        <v>4548.0</v>
      </c>
      <c r="B4551" s="240"/>
      <c r="C4551" s="69" t="s">
        <v>18371</v>
      </c>
      <c r="D4551" s="71"/>
      <c r="E4551" s="68" t="s">
        <v>18372</v>
      </c>
      <c r="F4551" s="83">
        <v>43054.0</v>
      </c>
      <c r="G4551" s="68" t="s">
        <v>18373</v>
      </c>
      <c r="H4551" s="71"/>
      <c r="I4551" s="71"/>
      <c r="J4551" s="68" t="s">
        <v>18374</v>
      </c>
      <c r="K4551" s="83">
        <v>43084.0</v>
      </c>
      <c r="L4551" s="68" t="s">
        <v>14256</v>
      </c>
      <c r="M4551" s="68" t="s">
        <v>166</v>
      </c>
      <c r="N4551" s="61"/>
      <c r="O4551" s="51"/>
    </row>
    <row r="4552">
      <c r="A4552" s="56">
        <v>4549.0</v>
      </c>
      <c r="B4552" s="240"/>
      <c r="C4552" s="69" t="s">
        <v>18375</v>
      </c>
      <c r="D4552" s="71"/>
      <c r="E4552" s="68" t="s">
        <v>18376</v>
      </c>
      <c r="F4552" s="83">
        <v>43054.0</v>
      </c>
      <c r="G4552" s="68" t="s">
        <v>18377</v>
      </c>
      <c r="H4552" s="68" t="s">
        <v>18378</v>
      </c>
      <c r="I4552" s="71"/>
      <c r="J4552" s="68" t="s">
        <v>18379</v>
      </c>
      <c r="K4552" s="83">
        <v>43084.0</v>
      </c>
      <c r="L4552" s="68" t="s">
        <v>14256</v>
      </c>
      <c r="M4552" s="68" t="s">
        <v>27</v>
      </c>
      <c r="N4552" s="61"/>
      <c r="O4552" s="51"/>
    </row>
    <row r="4553">
      <c r="A4553" s="75">
        <v>4550.0</v>
      </c>
      <c r="B4553" s="240"/>
      <c r="C4553" s="69" t="s">
        <v>18380</v>
      </c>
      <c r="D4553" s="71"/>
      <c r="E4553" s="68" t="s">
        <v>18381</v>
      </c>
      <c r="F4553" s="83">
        <v>43054.0</v>
      </c>
      <c r="G4553" s="68" t="s">
        <v>18377</v>
      </c>
      <c r="H4553" s="68" t="s">
        <v>18382</v>
      </c>
      <c r="I4553" s="71"/>
      <c r="J4553" s="68" t="s">
        <v>18383</v>
      </c>
      <c r="K4553" s="83">
        <v>43084.0</v>
      </c>
      <c r="L4553" s="68" t="s">
        <v>14256</v>
      </c>
      <c r="M4553" s="68" t="s">
        <v>166</v>
      </c>
      <c r="N4553" s="61"/>
      <c r="O4553" s="51"/>
    </row>
    <row r="4554">
      <c r="A4554" s="56">
        <v>4551.0</v>
      </c>
      <c r="B4554" s="240"/>
      <c r="C4554" s="69" t="s">
        <v>18384</v>
      </c>
      <c r="D4554" s="71"/>
      <c r="E4554" s="68" t="s">
        <v>18385</v>
      </c>
      <c r="F4554" s="83">
        <v>43059.0</v>
      </c>
      <c r="G4554" s="68" t="s">
        <v>18386</v>
      </c>
      <c r="H4554" s="71"/>
      <c r="I4554" s="71"/>
      <c r="J4554" s="87" t="s">
        <v>18387</v>
      </c>
      <c r="K4554" s="83">
        <v>43084.0</v>
      </c>
      <c r="L4554" s="68" t="s">
        <v>14256</v>
      </c>
      <c r="M4554" s="68" t="s">
        <v>166</v>
      </c>
      <c r="N4554" s="77"/>
      <c r="O4554" s="51"/>
    </row>
    <row r="4555">
      <c r="A4555" s="56">
        <v>4552.0</v>
      </c>
      <c r="B4555" s="241"/>
      <c r="C4555" s="64" t="s">
        <v>18388</v>
      </c>
      <c r="D4555" s="66"/>
      <c r="E4555" s="63" t="s">
        <v>18389</v>
      </c>
      <c r="F4555" s="70">
        <v>40386.0</v>
      </c>
      <c r="G4555" s="80" t="s">
        <v>18390</v>
      </c>
      <c r="H4555" s="82"/>
      <c r="I4555" s="66"/>
      <c r="J4555" s="63" t="s">
        <v>18391</v>
      </c>
      <c r="K4555" s="65">
        <v>43089.0</v>
      </c>
      <c r="L4555" s="63" t="s">
        <v>2743</v>
      </c>
      <c r="M4555" s="63" t="s">
        <v>125</v>
      </c>
      <c r="N4555" s="61"/>
      <c r="O4555" s="51"/>
    </row>
    <row r="4556">
      <c r="A4556" s="56">
        <v>4553.0</v>
      </c>
      <c r="B4556" s="241"/>
      <c r="C4556" s="64" t="s">
        <v>18392</v>
      </c>
      <c r="D4556" s="66"/>
      <c r="E4556" s="63" t="s">
        <v>18393</v>
      </c>
      <c r="F4556" s="70">
        <v>41755.0</v>
      </c>
      <c r="G4556" s="80" t="s">
        <v>18394</v>
      </c>
      <c r="H4556" s="82"/>
      <c r="I4556" s="66"/>
      <c r="J4556" s="63" t="s">
        <v>6262</v>
      </c>
      <c r="K4556" s="65">
        <v>43095.0</v>
      </c>
      <c r="L4556" s="63" t="s">
        <v>2743</v>
      </c>
      <c r="M4556" s="63" t="s">
        <v>368</v>
      </c>
      <c r="N4556" s="61"/>
      <c r="O4556" s="51"/>
    </row>
    <row r="4557">
      <c r="A4557" s="56">
        <v>4554.0</v>
      </c>
      <c r="B4557" s="240"/>
      <c r="C4557" s="69" t="s">
        <v>18395</v>
      </c>
      <c r="D4557" s="71"/>
      <c r="E4557" s="68" t="s">
        <v>18396</v>
      </c>
      <c r="F4557" s="76">
        <v>42941.0</v>
      </c>
      <c r="G4557" s="68" t="s">
        <v>18397</v>
      </c>
      <c r="H4557" s="71"/>
      <c r="I4557" s="68" t="s">
        <v>18398</v>
      </c>
      <c r="J4557" s="68" t="s">
        <v>18399</v>
      </c>
      <c r="K4557" s="83">
        <v>43095.0</v>
      </c>
      <c r="L4557" s="68" t="s">
        <v>2743</v>
      </c>
      <c r="M4557" s="68" t="s">
        <v>166</v>
      </c>
      <c r="N4557" s="77"/>
      <c r="O4557" s="51"/>
    </row>
    <row r="4558">
      <c r="A4558" s="56">
        <v>4555.0</v>
      </c>
      <c r="B4558" s="241"/>
      <c r="C4558" s="64" t="s">
        <v>18400</v>
      </c>
      <c r="D4558" s="66"/>
      <c r="E4558" s="63" t="s">
        <v>18401</v>
      </c>
      <c r="F4558" s="70">
        <v>40083.0</v>
      </c>
      <c r="G4558" s="80" t="s">
        <v>18402</v>
      </c>
      <c r="H4558" s="82"/>
      <c r="I4558" s="63" t="s">
        <v>18403</v>
      </c>
      <c r="J4558" s="63" t="s">
        <v>1872</v>
      </c>
      <c r="K4558" s="65">
        <v>43095.0</v>
      </c>
      <c r="L4558" s="63" t="s">
        <v>2743</v>
      </c>
      <c r="M4558" s="63" t="s">
        <v>530</v>
      </c>
      <c r="N4558" s="61"/>
      <c r="O4558" s="51"/>
    </row>
    <row r="4559">
      <c r="A4559" s="56">
        <v>4556.0</v>
      </c>
      <c r="B4559" s="240"/>
      <c r="C4559" s="69" t="s">
        <v>18404</v>
      </c>
      <c r="D4559" s="71"/>
      <c r="E4559" s="68" t="s">
        <v>18405</v>
      </c>
      <c r="F4559" s="76">
        <v>42965.0</v>
      </c>
      <c r="G4559" s="68" t="s">
        <v>18406</v>
      </c>
      <c r="H4559" s="71"/>
      <c r="I4559" s="71"/>
      <c r="J4559" s="68" t="s">
        <v>252</v>
      </c>
      <c r="K4559" s="83">
        <v>43095.0</v>
      </c>
      <c r="L4559" s="68" t="s">
        <v>2743</v>
      </c>
      <c r="M4559" s="68" t="s">
        <v>166</v>
      </c>
      <c r="N4559" s="61"/>
      <c r="O4559" s="51"/>
    </row>
    <row r="4560">
      <c r="A4560" s="56">
        <v>4557.0</v>
      </c>
      <c r="B4560" s="240"/>
      <c r="C4560" s="69" t="s">
        <v>18407</v>
      </c>
      <c r="D4560" s="71"/>
      <c r="E4560" s="68" t="s">
        <v>18408</v>
      </c>
      <c r="F4560" s="76">
        <v>41216.0</v>
      </c>
      <c r="G4560" s="68" t="s">
        <v>18409</v>
      </c>
      <c r="H4560" s="71"/>
      <c r="I4560" s="71"/>
      <c r="J4560" s="68" t="s">
        <v>18410</v>
      </c>
      <c r="K4560" s="83">
        <v>43095.0</v>
      </c>
      <c r="L4560" s="68" t="s">
        <v>2743</v>
      </c>
      <c r="M4560" s="68" t="s">
        <v>3407</v>
      </c>
      <c r="N4560" s="77"/>
      <c r="O4560" s="51"/>
    </row>
    <row r="4561">
      <c r="A4561" s="56">
        <v>4558.0</v>
      </c>
      <c r="B4561" s="240"/>
      <c r="C4561" s="69" t="s">
        <v>18411</v>
      </c>
      <c r="D4561" s="71"/>
      <c r="E4561" s="68" t="s">
        <v>18412</v>
      </c>
      <c r="F4561" s="76">
        <v>42952.0</v>
      </c>
      <c r="G4561" s="68" t="s">
        <v>18413</v>
      </c>
      <c r="H4561" s="82"/>
      <c r="I4561" s="68" t="s">
        <v>18414</v>
      </c>
      <c r="J4561" s="68" t="s">
        <v>17996</v>
      </c>
      <c r="K4561" s="83">
        <v>43096.0</v>
      </c>
      <c r="L4561" s="68" t="s">
        <v>2743</v>
      </c>
      <c r="M4561" s="68" t="s">
        <v>143</v>
      </c>
      <c r="N4561" s="77"/>
      <c r="O4561" s="51"/>
    </row>
    <row r="4562">
      <c r="A4562" s="56">
        <v>4559.0</v>
      </c>
      <c r="B4562" s="241"/>
      <c r="C4562" s="64" t="s">
        <v>18415</v>
      </c>
      <c r="D4562" s="66"/>
      <c r="E4562" s="63" t="s">
        <v>18416</v>
      </c>
      <c r="F4562" s="70">
        <v>41524.0</v>
      </c>
      <c r="G4562" s="80" t="s">
        <v>18417</v>
      </c>
      <c r="H4562" s="82"/>
      <c r="I4562" s="66"/>
      <c r="J4562" s="63" t="s">
        <v>2872</v>
      </c>
      <c r="K4562" s="65">
        <v>43096.0</v>
      </c>
      <c r="L4562" s="63" t="s">
        <v>2743</v>
      </c>
      <c r="M4562" s="63" t="s">
        <v>125</v>
      </c>
      <c r="N4562" s="61"/>
      <c r="O4562" s="51"/>
    </row>
    <row r="4563">
      <c r="A4563" s="56">
        <v>4560.0</v>
      </c>
      <c r="B4563" s="241"/>
      <c r="C4563" s="64" t="s">
        <v>18418</v>
      </c>
      <c r="D4563" s="66"/>
      <c r="E4563" s="63" t="s">
        <v>18419</v>
      </c>
      <c r="F4563" s="70">
        <v>41523.0</v>
      </c>
      <c r="G4563" s="80" t="s">
        <v>18420</v>
      </c>
      <c r="H4563" s="82"/>
      <c r="I4563" s="66"/>
      <c r="J4563" s="63" t="s">
        <v>2872</v>
      </c>
      <c r="K4563" s="65">
        <v>43096.0</v>
      </c>
      <c r="L4563" s="63" t="s">
        <v>2743</v>
      </c>
      <c r="M4563" s="63" t="s">
        <v>125</v>
      </c>
      <c r="N4563" s="61"/>
      <c r="O4563" s="51"/>
    </row>
    <row r="4564">
      <c r="A4564" s="56">
        <v>4561.0</v>
      </c>
      <c r="B4564" s="240"/>
      <c r="C4564" s="69" t="s">
        <v>18421</v>
      </c>
      <c r="D4564" s="71"/>
      <c r="E4564" s="68" t="s">
        <v>18422</v>
      </c>
      <c r="F4564" s="83">
        <v>43063.0</v>
      </c>
      <c r="G4564" s="68" t="s">
        <v>18423</v>
      </c>
      <c r="H4564" s="71"/>
      <c r="I4564" s="68" t="s">
        <v>18424</v>
      </c>
      <c r="J4564" s="68" t="s">
        <v>18425</v>
      </c>
      <c r="K4564" s="83">
        <v>43096.0</v>
      </c>
      <c r="L4564" s="68" t="s">
        <v>2743</v>
      </c>
      <c r="M4564" s="68" t="s">
        <v>143</v>
      </c>
      <c r="N4564" s="77"/>
      <c r="O4564" s="51"/>
    </row>
    <row r="4565">
      <c r="A4565" s="56">
        <v>4562.0</v>
      </c>
      <c r="B4565" s="240"/>
      <c r="C4565" s="69" t="s">
        <v>18426</v>
      </c>
      <c r="D4565" s="71"/>
      <c r="E4565" s="68" t="s">
        <v>18427</v>
      </c>
      <c r="F4565" s="83">
        <v>43032.0</v>
      </c>
      <c r="G4565" s="68" t="s">
        <v>18428</v>
      </c>
      <c r="H4565" s="71"/>
      <c r="I4565" s="71"/>
      <c r="J4565" s="68" t="s">
        <v>18429</v>
      </c>
      <c r="K4565" s="83">
        <v>43096.0</v>
      </c>
      <c r="L4565" s="68" t="s">
        <v>2743</v>
      </c>
      <c r="M4565" s="68" t="s">
        <v>125</v>
      </c>
      <c r="N4565" s="77"/>
      <c r="O4565" s="51"/>
    </row>
    <row r="4566">
      <c r="A4566" s="56">
        <v>4563.0</v>
      </c>
      <c r="B4566" s="240"/>
      <c r="C4566" s="69" t="s">
        <v>18430</v>
      </c>
      <c r="D4566" s="71"/>
      <c r="E4566" s="68" t="s">
        <v>18431</v>
      </c>
      <c r="F4566" s="76">
        <v>42602.0</v>
      </c>
      <c r="G4566" s="68" t="s">
        <v>18432</v>
      </c>
      <c r="H4566" s="71"/>
      <c r="I4566" s="71"/>
      <c r="J4566" s="87" t="s">
        <v>18433</v>
      </c>
      <c r="K4566" s="83">
        <v>43096.0</v>
      </c>
      <c r="L4566" s="68" t="s">
        <v>14256</v>
      </c>
      <c r="M4566" s="68" t="s">
        <v>368</v>
      </c>
      <c r="N4566" s="77"/>
      <c r="O4566" s="51"/>
    </row>
    <row r="4567">
      <c r="A4567" s="75">
        <v>4564.0</v>
      </c>
      <c r="B4567" s="240"/>
      <c r="C4567" s="69" t="s">
        <v>18434</v>
      </c>
      <c r="D4567" s="71"/>
      <c r="E4567" s="68" t="s">
        <v>18435</v>
      </c>
      <c r="F4567" s="83">
        <v>41271.0</v>
      </c>
      <c r="G4567" s="68" t="s">
        <v>18436</v>
      </c>
      <c r="H4567" s="71"/>
      <c r="I4567" s="68" t="s">
        <v>18437</v>
      </c>
      <c r="J4567" s="100" t="s">
        <v>4430</v>
      </c>
      <c r="K4567" s="245">
        <v>43096.0</v>
      </c>
      <c r="L4567" s="68" t="s">
        <v>2743</v>
      </c>
      <c r="M4567" s="68" t="s">
        <v>143</v>
      </c>
      <c r="N4567" s="77"/>
      <c r="O4567" s="130"/>
    </row>
    <row r="4568">
      <c r="A4568" s="56">
        <v>4565.0</v>
      </c>
      <c r="B4568" s="240"/>
      <c r="C4568" s="69" t="s">
        <v>18438</v>
      </c>
      <c r="D4568" s="71"/>
      <c r="E4568" s="68" t="s">
        <v>18439</v>
      </c>
      <c r="F4568" s="76">
        <v>40929.0</v>
      </c>
      <c r="G4568" s="68" t="s">
        <v>18440</v>
      </c>
      <c r="H4568" s="68" t="s">
        <v>18441</v>
      </c>
      <c r="I4568" s="68" t="s">
        <v>18442</v>
      </c>
      <c r="J4568" s="68" t="s">
        <v>18443</v>
      </c>
      <c r="K4568" s="83">
        <v>43096.0</v>
      </c>
      <c r="L4568" s="68" t="s">
        <v>2743</v>
      </c>
      <c r="M4568" s="68" t="s">
        <v>31</v>
      </c>
      <c r="N4568" s="61"/>
      <c r="O4568" s="51"/>
    </row>
    <row r="4569">
      <c r="A4569" s="56">
        <v>4566.0</v>
      </c>
      <c r="B4569" s="241"/>
      <c r="C4569" s="64" t="s">
        <v>18444</v>
      </c>
      <c r="D4569" s="66"/>
      <c r="E4569" s="63" t="s">
        <v>18445</v>
      </c>
      <c r="F4569" s="70">
        <v>41809.0</v>
      </c>
      <c r="G4569" s="80" t="s">
        <v>18446</v>
      </c>
      <c r="H4569" s="82"/>
      <c r="I4569" s="66"/>
      <c r="J4569" s="63" t="s">
        <v>2872</v>
      </c>
      <c r="K4569" s="65">
        <v>43096.0</v>
      </c>
      <c r="L4569" s="63" t="s">
        <v>2743</v>
      </c>
      <c r="M4569" s="63" t="s">
        <v>125</v>
      </c>
      <c r="N4569" s="61"/>
      <c r="O4569" s="51"/>
    </row>
    <row r="4570">
      <c r="A4570" s="56">
        <v>4567.0</v>
      </c>
      <c r="B4570" s="241"/>
      <c r="C4570" s="64" t="s">
        <v>18447</v>
      </c>
      <c r="D4570" s="66"/>
      <c r="E4570" s="63" t="s">
        <v>18448</v>
      </c>
      <c r="F4570" s="70">
        <v>41171.0</v>
      </c>
      <c r="G4570" s="80" t="s">
        <v>18449</v>
      </c>
      <c r="H4570" s="82"/>
      <c r="I4570" s="63" t="s">
        <v>18450</v>
      </c>
      <c r="J4570" s="63" t="s">
        <v>7523</v>
      </c>
      <c r="K4570" s="65">
        <v>43096.0</v>
      </c>
      <c r="L4570" s="63" t="s">
        <v>2743</v>
      </c>
      <c r="M4570" s="63" t="s">
        <v>143</v>
      </c>
      <c r="N4570" s="61"/>
      <c r="O4570" s="51"/>
    </row>
    <row r="4571">
      <c r="A4571" s="56">
        <v>4568.0</v>
      </c>
      <c r="B4571" s="241"/>
      <c r="C4571" s="64" t="s">
        <v>18451</v>
      </c>
      <c r="D4571" s="66"/>
      <c r="E4571" s="63" t="s">
        <v>18452</v>
      </c>
      <c r="F4571" s="70">
        <v>42021.0</v>
      </c>
      <c r="G4571" s="80" t="s">
        <v>18453</v>
      </c>
      <c r="H4571" s="80" t="s">
        <v>18454</v>
      </c>
      <c r="I4571" s="66"/>
      <c r="J4571" s="63" t="s">
        <v>9175</v>
      </c>
      <c r="K4571" s="65">
        <v>43096.0</v>
      </c>
      <c r="L4571" s="63" t="s">
        <v>2743</v>
      </c>
      <c r="M4571" s="63" t="s">
        <v>6875</v>
      </c>
      <c r="N4571" s="61"/>
      <c r="O4571" s="51"/>
    </row>
    <row r="4572">
      <c r="A4572" s="56">
        <v>4569.0</v>
      </c>
      <c r="B4572" s="240"/>
      <c r="C4572" s="69" t="s">
        <v>18455</v>
      </c>
      <c r="D4572" s="71"/>
      <c r="E4572" s="68" t="s">
        <v>18456</v>
      </c>
      <c r="F4572" s="76">
        <v>43040.0</v>
      </c>
      <c r="G4572" s="71"/>
      <c r="H4572" s="71"/>
      <c r="I4572" s="68" t="s">
        <v>18457</v>
      </c>
      <c r="J4572" s="68" t="s">
        <v>18458</v>
      </c>
      <c r="K4572" s="83">
        <v>43096.0</v>
      </c>
      <c r="L4572" s="68" t="s">
        <v>16447</v>
      </c>
      <c r="M4572" s="68" t="s">
        <v>149</v>
      </c>
      <c r="N4572" s="61"/>
      <c r="O4572" s="51"/>
    </row>
    <row r="4573">
      <c r="A4573" s="56">
        <v>4570.0</v>
      </c>
      <c r="B4573" s="240"/>
      <c r="C4573" s="69" t="s">
        <v>18459</v>
      </c>
      <c r="D4573" s="71"/>
      <c r="E4573" s="68" t="s">
        <v>18460</v>
      </c>
      <c r="F4573" s="83">
        <v>43036.0</v>
      </c>
      <c r="G4573" s="68" t="s">
        <v>18461</v>
      </c>
      <c r="H4573" s="71"/>
      <c r="I4573" s="71"/>
      <c r="J4573" s="68" t="s">
        <v>18462</v>
      </c>
      <c r="K4573" s="245">
        <v>43096.0</v>
      </c>
      <c r="L4573" s="68" t="s">
        <v>16456</v>
      </c>
      <c r="M4573" s="68" t="s">
        <v>166</v>
      </c>
      <c r="N4573" s="61"/>
      <c r="O4573" s="51"/>
    </row>
    <row r="4574">
      <c r="A4574" s="56">
        <v>4571.0</v>
      </c>
      <c r="B4574" s="240"/>
      <c r="C4574" s="69" t="s">
        <v>18463</v>
      </c>
      <c r="D4574" s="71"/>
      <c r="E4574" s="68" t="s">
        <v>18464</v>
      </c>
      <c r="F4574" s="83">
        <v>43036.0</v>
      </c>
      <c r="G4574" s="68" t="s">
        <v>18465</v>
      </c>
      <c r="H4574" s="71"/>
      <c r="I4574" s="71"/>
      <c r="J4574" s="68" t="s">
        <v>18466</v>
      </c>
      <c r="K4574" s="83">
        <v>43096.0</v>
      </c>
      <c r="L4574" s="68" t="s">
        <v>16456</v>
      </c>
      <c r="M4574" s="68" t="s">
        <v>166</v>
      </c>
      <c r="N4574" s="77"/>
      <c r="O4574" s="51"/>
    </row>
    <row r="4575">
      <c r="A4575" s="56">
        <v>4572.0</v>
      </c>
      <c r="B4575" s="240"/>
      <c r="C4575" s="69" t="s">
        <v>18467</v>
      </c>
      <c r="D4575" s="71"/>
      <c r="E4575" s="68" t="s">
        <v>18468</v>
      </c>
      <c r="F4575" s="76">
        <v>39995.0</v>
      </c>
      <c r="G4575" s="68" t="s">
        <v>18469</v>
      </c>
      <c r="H4575" s="71"/>
      <c r="I4575" s="71"/>
      <c r="J4575" s="68" t="s">
        <v>18470</v>
      </c>
      <c r="K4575" s="83">
        <v>43096.0</v>
      </c>
      <c r="L4575" s="68" t="s">
        <v>2743</v>
      </c>
      <c r="M4575" s="68" t="s">
        <v>530</v>
      </c>
      <c r="N4575" s="77"/>
      <c r="O4575" s="51"/>
    </row>
    <row r="4576">
      <c r="A4576" s="75">
        <v>4573.0</v>
      </c>
      <c r="B4576" s="240"/>
      <c r="C4576" s="69" t="s">
        <v>18471</v>
      </c>
      <c r="D4576" s="71"/>
      <c r="E4576" s="68" t="s">
        <v>18472</v>
      </c>
      <c r="F4576" s="76">
        <v>42245.0</v>
      </c>
      <c r="G4576" s="68" t="s">
        <v>18473</v>
      </c>
      <c r="H4576" s="71"/>
      <c r="I4576" s="71"/>
      <c r="J4576" s="68" t="s">
        <v>18474</v>
      </c>
      <c r="K4576" s="83">
        <v>43097.0</v>
      </c>
      <c r="L4576" s="68" t="s">
        <v>2743</v>
      </c>
      <c r="M4576" s="68" t="s">
        <v>4487</v>
      </c>
      <c r="N4576" s="77"/>
      <c r="O4576" s="51"/>
    </row>
    <row r="4577">
      <c r="A4577" s="75">
        <v>4574.0</v>
      </c>
      <c r="B4577" s="240"/>
      <c r="C4577" s="69" t="s">
        <v>18475</v>
      </c>
      <c r="D4577" s="71"/>
      <c r="E4577" s="68" t="s">
        <v>18476</v>
      </c>
      <c r="F4577" s="76">
        <v>42680.0</v>
      </c>
      <c r="G4577" s="68" t="s">
        <v>18477</v>
      </c>
      <c r="H4577" s="71"/>
      <c r="I4577" s="71"/>
      <c r="J4577" s="68" t="s">
        <v>18478</v>
      </c>
      <c r="K4577" s="83">
        <v>43097.0</v>
      </c>
      <c r="L4577" s="68" t="s">
        <v>2743</v>
      </c>
      <c r="M4577" s="68" t="s">
        <v>542</v>
      </c>
      <c r="N4577" s="77"/>
      <c r="O4577" s="51"/>
    </row>
    <row r="4578">
      <c r="A4578" s="75">
        <v>4575.0</v>
      </c>
      <c r="B4578" s="240"/>
      <c r="C4578" s="69" t="s">
        <v>18479</v>
      </c>
      <c r="D4578" s="71"/>
      <c r="E4578" s="68" t="s">
        <v>18480</v>
      </c>
      <c r="F4578" s="76">
        <v>42445.0</v>
      </c>
      <c r="G4578" s="68" t="s">
        <v>18481</v>
      </c>
      <c r="H4578" s="71"/>
      <c r="I4578" s="71"/>
      <c r="J4578" s="68" t="s">
        <v>5369</v>
      </c>
      <c r="K4578" s="83">
        <v>43097.0</v>
      </c>
      <c r="L4578" s="68" t="s">
        <v>2743</v>
      </c>
      <c r="M4578" s="68" t="s">
        <v>368</v>
      </c>
      <c r="N4578" s="77"/>
      <c r="O4578" s="51"/>
    </row>
    <row r="4579">
      <c r="A4579" s="56">
        <v>4576.0</v>
      </c>
      <c r="B4579" s="241"/>
      <c r="C4579" s="64" t="s">
        <v>18482</v>
      </c>
      <c r="D4579" s="66"/>
      <c r="E4579" s="63" t="s">
        <v>18483</v>
      </c>
      <c r="F4579" s="70">
        <v>41813.0</v>
      </c>
      <c r="G4579" s="80" t="s">
        <v>18484</v>
      </c>
      <c r="H4579" s="80" t="s">
        <v>18485</v>
      </c>
      <c r="I4579" s="66"/>
      <c r="J4579" s="63" t="s">
        <v>2872</v>
      </c>
      <c r="K4579" s="65">
        <v>43097.0</v>
      </c>
      <c r="L4579" s="63" t="s">
        <v>2743</v>
      </c>
      <c r="M4579" s="63" t="s">
        <v>125</v>
      </c>
      <c r="N4579" s="61"/>
      <c r="O4579" s="51"/>
    </row>
    <row r="4580">
      <c r="A4580" s="56">
        <v>4577.0</v>
      </c>
      <c r="B4580" s="240"/>
      <c r="C4580" s="69" t="s">
        <v>18486</v>
      </c>
      <c r="D4580" s="71"/>
      <c r="E4580" s="68" t="s">
        <v>18487</v>
      </c>
      <c r="F4580" s="76">
        <v>42968.0</v>
      </c>
      <c r="G4580" s="68" t="s">
        <v>18488</v>
      </c>
      <c r="H4580" s="71"/>
      <c r="I4580" s="71"/>
      <c r="J4580" s="87" t="s">
        <v>18489</v>
      </c>
      <c r="K4580" s="83">
        <v>43097.0</v>
      </c>
      <c r="L4580" s="68" t="s">
        <v>2743</v>
      </c>
      <c r="M4580" s="68" t="s">
        <v>195</v>
      </c>
      <c r="N4580" s="77"/>
      <c r="O4580" s="51"/>
    </row>
    <row r="4581">
      <c r="A4581" s="56">
        <v>4578.0</v>
      </c>
      <c r="B4581" s="241"/>
      <c r="C4581" s="64" t="s">
        <v>18490</v>
      </c>
      <c r="D4581" s="66"/>
      <c r="E4581" s="63" t="s">
        <v>18491</v>
      </c>
      <c r="F4581" s="70">
        <v>42983.0</v>
      </c>
      <c r="G4581" s="80" t="s">
        <v>18492</v>
      </c>
      <c r="H4581" s="80" t="s">
        <v>18493</v>
      </c>
      <c r="I4581" s="66"/>
      <c r="J4581" s="63" t="s">
        <v>9979</v>
      </c>
      <c r="K4581" s="65">
        <v>43097.0</v>
      </c>
      <c r="L4581" s="63" t="s">
        <v>18494</v>
      </c>
      <c r="M4581" s="63" t="s">
        <v>166</v>
      </c>
      <c r="N4581" s="61"/>
      <c r="O4581" s="51"/>
    </row>
    <row r="4582">
      <c r="A4582" s="56">
        <v>4579.0</v>
      </c>
      <c r="B4582" s="241"/>
      <c r="C4582" s="64" t="s">
        <v>18495</v>
      </c>
      <c r="D4582" s="66"/>
      <c r="E4582" s="63" t="s">
        <v>18496</v>
      </c>
      <c r="F4582" s="70">
        <v>42997.0</v>
      </c>
      <c r="G4582" s="80" t="s">
        <v>18497</v>
      </c>
      <c r="H4582" s="80" t="s">
        <v>18498</v>
      </c>
      <c r="I4582" s="66"/>
      <c r="J4582" s="63" t="s">
        <v>9979</v>
      </c>
      <c r="K4582" s="65">
        <v>43097.0</v>
      </c>
      <c r="L4582" s="63" t="s">
        <v>18499</v>
      </c>
      <c r="M4582" s="63" t="s">
        <v>166</v>
      </c>
      <c r="N4582" s="61"/>
      <c r="O4582" s="51"/>
    </row>
    <row r="4583">
      <c r="A4583" s="56">
        <v>4580.0</v>
      </c>
      <c r="B4583" s="240"/>
      <c r="C4583" s="69" t="s">
        <v>18500</v>
      </c>
      <c r="D4583" s="71"/>
      <c r="E4583" s="68" t="s">
        <v>18501</v>
      </c>
      <c r="F4583" s="76">
        <v>42491.0</v>
      </c>
      <c r="G4583" s="68" t="s">
        <v>18502</v>
      </c>
      <c r="H4583" s="71"/>
      <c r="I4583" s="71"/>
      <c r="J4583" s="68" t="s">
        <v>18503</v>
      </c>
      <c r="K4583" s="83">
        <v>43097.0</v>
      </c>
      <c r="L4583" s="68" t="s">
        <v>2743</v>
      </c>
      <c r="M4583" s="68" t="s">
        <v>125</v>
      </c>
      <c r="N4583" s="77"/>
      <c r="O4583" s="51"/>
    </row>
    <row r="4584">
      <c r="A4584" s="56">
        <v>4581.0</v>
      </c>
      <c r="B4584" s="240"/>
      <c r="C4584" s="69" t="s">
        <v>18504</v>
      </c>
      <c r="D4584" s="71"/>
      <c r="E4584" s="68" t="s">
        <v>18505</v>
      </c>
      <c r="F4584" s="76">
        <v>41456.0</v>
      </c>
      <c r="G4584" s="68" t="s">
        <v>18506</v>
      </c>
      <c r="H4584" s="71"/>
      <c r="I4584" s="71"/>
      <c r="J4584" s="68" t="s">
        <v>14362</v>
      </c>
      <c r="K4584" s="83">
        <v>43097.0</v>
      </c>
      <c r="L4584" s="68" t="s">
        <v>2743</v>
      </c>
      <c r="M4584" s="68" t="s">
        <v>530</v>
      </c>
      <c r="N4584" s="77"/>
      <c r="O4584" s="51"/>
    </row>
    <row r="4585">
      <c r="A4585" s="75">
        <v>4582.0</v>
      </c>
      <c r="B4585" s="240"/>
      <c r="C4585" s="69" t="s">
        <v>18507</v>
      </c>
      <c r="D4585" s="71"/>
      <c r="E4585" s="68" t="s">
        <v>18508</v>
      </c>
      <c r="F4585" s="76">
        <v>39995.0</v>
      </c>
      <c r="G4585" s="68" t="s">
        <v>18509</v>
      </c>
      <c r="H4585" s="68" t="s">
        <v>18510</v>
      </c>
      <c r="I4585" s="71"/>
      <c r="J4585" s="68" t="s">
        <v>18511</v>
      </c>
      <c r="K4585" s="83">
        <v>43097.0</v>
      </c>
      <c r="L4585" s="68" t="s">
        <v>2743</v>
      </c>
      <c r="M4585" s="68" t="s">
        <v>530</v>
      </c>
      <c r="N4585" s="77"/>
      <c r="O4585" s="51"/>
    </row>
    <row r="4586">
      <c r="A4586" s="56">
        <v>4583.0</v>
      </c>
      <c r="B4586" s="241"/>
      <c r="C4586" s="64" t="s">
        <v>18512</v>
      </c>
      <c r="D4586" s="66"/>
      <c r="E4586" s="63" t="s">
        <v>18513</v>
      </c>
      <c r="F4586" s="70">
        <v>39995.0</v>
      </c>
      <c r="G4586" s="80" t="s">
        <v>18514</v>
      </c>
      <c r="H4586" s="82"/>
      <c r="I4586" s="66"/>
      <c r="J4586" s="63" t="s">
        <v>1872</v>
      </c>
      <c r="K4586" s="65">
        <v>43097.0</v>
      </c>
      <c r="L4586" s="63" t="s">
        <v>2743</v>
      </c>
      <c r="M4586" s="63" t="s">
        <v>530</v>
      </c>
      <c r="N4586" s="61"/>
      <c r="O4586" s="51"/>
    </row>
    <row r="4587">
      <c r="A4587" s="56">
        <v>4584.0</v>
      </c>
      <c r="B4587" s="241"/>
      <c r="C4587" s="64" t="s">
        <v>18515</v>
      </c>
      <c r="D4587" s="66"/>
      <c r="E4587" s="63" t="s">
        <v>18516</v>
      </c>
      <c r="F4587" s="70">
        <v>39630.0</v>
      </c>
      <c r="G4587" s="80" t="s">
        <v>18517</v>
      </c>
      <c r="H4587" s="82"/>
      <c r="I4587" s="63" t="s">
        <v>18518</v>
      </c>
      <c r="J4587" s="63" t="s">
        <v>6381</v>
      </c>
      <c r="K4587" s="65">
        <v>43097.0</v>
      </c>
      <c r="L4587" s="63" t="s">
        <v>2743</v>
      </c>
      <c r="M4587" s="63" t="s">
        <v>125</v>
      </c>
      <c r="N4587" s="61"/>
      <c r="O4587" s="51"/>
    </row>
    <row r="4588">
      <c r="A4588" s="56">
        <v>4585.0</v>
      </c>
      <c r="B4588" s="240"/>
      <c r="C4588" s="69" t="s">
        <v>18519</v>
      </c>
      <c r="D4588" s="71"/>
      <c r="E4588" s="68" t="s">
        <v>18520</v>
      </c>
      <c r="F4588" s="76">
        <v>36631.0</v>
      </c>
      <c r="G4588" s="68" t="s">
        <v>18521</v>
      </c>
      <c r="H4588" s="71"/>
      <c r="I4588" s="68" t="s">
        <v>18522</v>
      </c>
      <c r="J4588" s="87" t="s">
        <v>18523</v>
      </c>
      <c r="K4588" s="83">
        <v>43097.0</v>
      </c>
      <c r="L4588" s="68" t="s">
        <v>2743</v>
      </c>
      <c r="M4588" s="68" t="s">
        <v>1182</v>
      </c>
      <c r="N4588" s="77"/>
      <c r="O4588" s="51"/>
    </row>
    <row r="4589">
      <c r="A4589" s="75">
        <v>4586.0</v>
      </c>
      <c r="B4589" s="240"/>
      <c r="C4589" s="69" t="s">
        <v>18524</v>
      </c>
      <c r="D4589" s="71"/>
      <c r="E4589" s="68" t="s">
        <v>18525</v>
      </c>
      <c r="F4589" s="76">
        <v>42917.0</v>
      </c>
      <c r="G4589" s="68" t="s">
        <v>18526</v>
      </c>
      <c r="H4589" s="71"/>
      <c r="I4589" s="71"/>
      <c r="J4589" s="68" t="s">
        <v>18527</v>
      </c>
      <c r="K4589" s="83">
        <v>43097.0</v>
      </c>
      <c r="L4589" s="68" t="s">
        <v>2743</v>
      </c>
      <c r="M4589" s="68" t="s">
        <v>195</v>
      </c>
      <c r="N4589" s="77"/>
      <c r="O4589" s="51"/>
    </row>
    <row r="4590">
      <c r="A4590" s="56">
        <v>4587.0</v>
      </c>
      <c r="B4590" s="240"/>
      <c r="C4590" s="69" t="s">
        <v>18528</v>
      </c>
      <c r="D4590" s="71"/>
      <c r="E4590" s="68" t="s">
        <v>18529</v>
      </c>
      <c r="F4590" s="76">
        <v>42610.0</v>
      </c>
      <c r="G4590" s="68" t="s">
        <v>18530</v>
      </c>
      <c r="H4590" s="71"/>
      <c r="I4590" s="71"/>
      <c r="J4590" s="68" t="s">
        <v>16685</v>
      </c>
      <c r="K4590" s="83">
        <v>43099.0</v>
      </c>
      <c r="L4590" s="68" t="s">
        <v>2743</v>
      </c>
      <c r="M4590" s="68" t="s">
        <v>143</v>
      </c>
      <c r="N4590" s="77"/>
      <c r="O4590" s="51"/>
    </row>
    <row r="4591">
      <c r="A4591" s="75">
        <v>4588.0</v>
      </c>
      <c r="B4591" s="240"/>
      <c r="C4591" s="69" t="s">
        <v>18531</v>
      </c>
      <c r="D4591" s="71"/>
      <c r="E4591" s="68" t="s">
        <v>18532</v>
      </c>
      <c r="F4591" s="76">
        <v>41757.0</v>
      </c>
      <c r="G4591" s="68" t="s">
        <v>18533</v>
      </c>
      <c r="H4591" s="71"/>
      <c r="I4591" s="71"/>
      <c r="J4591" s="68" t="s">
        <v>18534</v>
      </c>
      <c r="K4591" s="76">
        <v>43102.0</v>
      </c>
      <c r="L4591" s="68" t="s">
        <v>2743</v>
      </c>
      <c r="M4591" s="68" t="s">
        <v>368</v>
      </c>
      <c r="N4591" s="77"/>
      <c r="O4591" s="51"/>
    </row>
    <row r="4592">
      <c r="A4592" s="56">
        <v>4589.0</v>
      </c>
      <c r="B4592" s="241"/>
      <c r="C4592" s="64" t="s">
        <v>18535</v>
      </c>
      <c r="D4592" s="66"/>
      <c r="E4592" s="63" t="s">
        <v>18536</v>
      </c>
      <c r="F4592" s="70">
        <v>41538.0</v>
      </c>
      <c r="G4592" s="80" t="s">
        <v>18537</v>
      </c>
      <c r="H4592" s="82"/>
      <c r="I4592" s="66"/>
      <c r="J4592" s="63" t="s">
        <v>11049</v>
      </c>
      <c r="K4592" s="70">
        <v>43104.0</v>
      </c>
      <c r="L4592" s="63" t="s">
        <v>2743</v>
      </c>
      <c r="M4592" s="63" t="s">
        <v>27</v>
      </c>
      <c r="N4592" s="61"/>
      <c r="O4592" s="51"/>
    </row>
    <row r="4593">
      <c r="A4593" s="56">
        <v>4590.0</v>
      </c>
      <c r="B4593" s="240"/>
      <c r="C4593" s="69" t="s">
        <v>18538</v>
      </c>
      <c r="D4593" s="71"/>
      <c r="E4593" s="68" t="s">
        <v>18539</v>
      </c>
      <c r="F4593" s="76">
        <v>42114.0</v>
      </c>
      <c r="G4593" s="68" t="s">
        <v>18540</v>
      </c>
      <c r="H4593" s="71"/>
      <c r="I4593" s="71"/>
      <c r="J4593" s="68" t="s">
        <v>18541</v>
      </c>
      <c r="K4593" s="76">
        <v>43104.0</v>
      </c>
      <c r="L4593" s="68" t="s">
        <v>2743</v>
      </c>
      <c r="M4593" s="68" t="s">
        <v>27</v>
      </c>
      <c r="N4593" s="77"/>
      <c r="O4593" s="51"/>
    </row>
    <row r="4594">
      <c r="A4594" s="56">
        <v>4591.0</v>
      </c>
      <c r="B4594" s="240"/>
      <c r="C4594" s="69" t="s">
        <v>18542</v>
      </c>
      <c r="D4594" s="71"/>
      <c r="E4594" s="68" t="s">
        <v>18543</v>
      </c>
      <c r="F4594" s="76">
        <v>41670.0</v>
      </c>
      <c r="G4594" s="68" t="s">
        <v>18544</v>
      </c>
      <c r="H4594" s="71"/>
      <c r="I4594" s="71"/>
      <c r="J4594" s="68" t="s">
        <v>18545</v>
      </c>
      <c r="K4594" s="76">
        <v>43104.0</v>
      </c>
      <c r="L4594" s="68" t="s">
        <v>2743</v>
      </c>
      <c r="M4594" s="68" t="s">
        <v>27</v>
      </c>
      <c r="N4594" s="77"/>
      <c r="O4594" s="51"/>
    </row>
    <row r="4595">
      <c r="A4595" s="56">
        <v>4592.0</v>
      </c>
      <c r="B4595" s="240"/>
      <c r="C4595" s="69" t="s">
        <v>18546</v>
      </c>
      <c r="D4595" s="71"/>
      <c r="E4595" s="68" t="s">
        <v>18547</v>
      </c>
      <c r="F4595" s="76">
        <v>42869.0</v>
      </c>
      <c r="G4595" s="68" t="s">
        <v>18548</v>
      </c>
      <c r="H4595" s="71"/>
      <c r="I4595" s="71"/>
      <c r="J4595" s="87" t="s">
        <v>18549</v>
      </c>
      <c r="K4595" s="76">
        <v>43105.0</v>
      </c>
      <c r="L4595" s="68" t="s">
        <v>2743</v>
      </c>
      <c r="M4595" s="68" t="s">
        <v>2291</v>
      </c>
      <c r="N4595" s="77"/>
      <c r="O4595" s="51"/>
    </row>
    <row r="4596">
      <c r="A4596" s="56">
        <v>4593.0</v>
      </c>
      <c r="B4596" s="241"/>
      <c r="C4596" s="64" t="s">
        <v>18550</v>
      </c>
      <c r="D4596" s="66"/>
      <c r="E4596" s="63" t="s">
        <v>18551</v>
      </c>
      <c r="F4596" s="65">
        <v>41954.0</v>
      </c>
      <c r="G4596" s="80" t="s">
        <v>18552</v>
      </c>
      <c r="H4596" s="82"/>
      <c r="I4596" s="66"/>
      <c r="J4596" s="63" t="s">
        <v>6393</v>
      </c>
      <c r="K4596" s="70">
        <v>43105.0</v>
      </c>
      <c r="L4596" s="63" t="s">
        <v>2743</v>
      </c>
      <c r="M4596" s="63" t="s">
        <v>195</v>
      </c>
      <c r="N4596" s="61"/>
      <c r="O4596" s="51"/>
    </row>
    <row r="4597">
      <c r="A4597" s="56">
        <v>4594.0</v>
      </c>
      <c r="B4597" s="241"/>
      <c r="C4597" s="64" t="s">
        <v>18553</v>
      </c>
      <c r="D4597" s="66"/>
      <c r="E4597" s="63" t="s">
        <v>18554</v>
      </c>
      <c r="F4597" s="70">
        <v>43104.0</v>
      </c>
      <c r="G4597" s="80" t="s">
        <v>18555</v>
      </c>
      <c r="H4597" s="82"/>
      <c r="I4597" s="66"/>
      <c r="J4597" s="63" t="s">
        <v>18556</v>
      </c>
      <c r="K4597" s="70">
        <v>43108.0</v>
      </c>
      <c r="L4597" s="63" t="s">
        <v>2743</v>
      </c>
      <c r="M4597" s="63" t="s">
        <v>143</v>
      </c>
      <c r="N4597" s="61"/>
      <c r="O4597" s="51"/>
    </row>
    <row r="4598">
      <c r="A4598" s="56">
        <v>4595.0</v>
      </c>
      <c r="B4598" s="240"/>
      <c r="C4598" s="69" t="s">
        <v>18557</v>
      </c>
      <c r="D4598" s="71"/>
      <c r="E4598" s="68" t="s">
        <v>18558</v>
      </c>
      <c r="F4598" s="76">
        <v>42879.0</v>
      </c>
      <c r="G4598" s="68" t="s">
        <v>18559</v>
      </c>
      <c r="H4598" s="71"/>
      <c r="I4598" s="71"/>
      <c r="J4598" s="68" t="s">
        <v>18560</v>
      </c>
      <c r="K4598" s="76">
        <v>43108.0</v>
      </c>
      <c r="L4598" s="68" t="s">
        <v>2743</v>
      </c>
      <c r="M4598" s="68" t="s">
        <v>368</v>
      </c>
      <c r="N4598" s="77"/>
      <c r="O4598" s="51"/>
    </row>
    <row r="4599">
      <c r="A4599" s="56">
        <v>4596.0</v>
      </c>
      <c r="B4599" s="246"/>
      <c r="C4599" s="58" t="s">
        <v>18561</v>
      </c>
      <c r="D4599" s="60"/>
      <c r="E4599" s="57" t="s">
        <v>18562</v>
      </c>
      <c r="F4599" s="59">
        <v>42878.0</v>
      </c>
      <c r="G4599" s="57" t="s">
        <v>18563</v>
      </c>
      <c r="H4599" s="60"/>
      <c r="I4599" s="60"/>
      <c r="J4599" s="57" t="s">
        <v>18564</v>
      </c>
      <c r="K4599" s="233">
        <v>43108.0</v>
      </c>
      <c r="L4599" s="57" t="s">
        <v>2743</v>
      </c>
      <c r="M4599" s="57" t="s">
        <v>368</v>
      </c>
      <c r="N4599" s="112"/>
      <c r="O4599" s="51"/>
    </row>
    <row r="4600">
      <c r="A4600" s="56">
        <v>4597.0</v>
      </c>
      <c r="B4600" s="241"/>
      <c r="C4600" s="64" t="s">
        <v>18565</v>
      </c>
      <c r="D4600" s="66"/>
      <c r="E4600" s="63" t="s">
        <v>18566</v>
      </c>
      <c r="F4600" s="70">
        <v>42514.0</v>
      </c>
      <c r="G4600" s="80" t="s">
        <v>18567</v>
      </c>
      <c r="H4600" s="82"/>
      <c r="I4600" s="66"/>
      <c r="J4600" s="63" t="s">
        <v>4801</v>
      </c>
      <c r="K4600" s="70">
        <v>43108.0</v>
      </c>
      <c r="L4600" s="63" t="s">
        <v>2743</v>
      </c>
      <c r="M4600" s="63" t="s">
        <v>149</v>
      </c>
      <c r="N4600" s="61"/>
      <c r="O4600" s="51"/>
    </row>
    <row r="4601">
      <c r="A4601" s="56">
        <v>4598.0</v>
      </c>
      <c r="B4601" s="240"/>
      <c r="C4601" s="69" t="s">
        <v>18568</v>
      </c>
      <c r="D4601" s="71"/>
      <c r="E4601" s="68" t="s">
        <v>18569</v>
      </c>
      <c r="F4601" s="83">
        <v>43080.0</v>
      </c>
      <c r="G4601" s="68" t="s">
        <v>18570</v>
      </c>
      <c r="H4601" s="71"/>
      <c r="I4601" s="71"/>
      <c r="J4601" s="68" t="s">
        <v>18571</v>
      </c>
      <c r="K4601" s="76">
        <v>43108.0</v>
      </c>
      <c r="L4601" s="68" t="s">
        <v>2743</v>
      </c>
      <c r="M4601" s="68" t="s">
        <v>166</v>
      </c>
      <c r="N4601" s="61"/>
      <c r="O4601" s="51"/>
    </row>
    <row r="4602">
      <c r="A4602" s="56">
        <v>4599.0</v>
      </c>
      <c r="B4602" s="240"/>
      <c r="C4602" s="69" t="s">
        <v>18572</v>
      </c>
      <c r="D4602" s="71"/>
      <c r="E4602" s="68" t="s">
        <v>18573</v>
      </c>
      <c r="F4602" s="83">
        <v>43089.0</v>
      </c>
      <c r="G4602" s="68" t="s">
        <v>18574</v>
      </c>
      <c r="H4602" s="71"/>
      <c r="I4602" s="71"/>
      <c r="J4602" s="68" t="s">
        <v>18575</v>
      </c>
      <c r="K4602" s="76">
        <v>43108.0</v>
      </c>
      <c r="L4602" s="68" t="s">
        <v>2743</v>
      </c>
      <c r="M4602" s="68" t="s">
        <v>18576</v>
      </c>
      <c r="N4602" s="61"/>
      <c r="O4602" s="51"/>
    </row>
    <row r="4603">
      <c r="A4603" s="56">
        <v>4600.0</v>
      </c>
      <c r="B4603" s="240"/>
      <c r="C4603" s="69" t="s">
        <v>18577</v>
      </c>
      <c r="D4603" s="71"/>
      <c r="E4603" s="68" t="s">
        <v>18578</v>
      </c>
      <c r="F4603" s="76">
        <v>43104.0</v>
      </c>
      <c r="G4603" s="68" t="s">
        <v>18579</v>
      </c>
      <c r="H4603" s="71"/>
      <c r="I4603" s="71"/>
      <c r="J4603" s="68" t="s">
        <v>18580</v>
      </c>
      <c r="K4603" s="76">
        <v>43108.0</v>
      </c>
      <c r="L4603" s="68" t="s">
        <v>2743</v>
      </c>
      <c r="M4603" s="68" t="s">
        <v>166</v>
      </c>
      <c r="N4603" s="77"/>
      <c r="O4603" s="51"/>
    </row>
    <row r="4604">
      <c r="A4604" s="56">
        <v>4601.0</v>
      </c>
      <c r="B4604" s="240"/>
      <c r="C4604" s="69" t="s">
        <v>18581</v>
      </c>
      <c r="D4604" s="71"/>
      <c r="E4604" s="68" t="s">
        <v>18582</v>
      </c>
      <c r="F4604" s="76">
        <v>42969.0</v>
      </c>
      <c r="G4604" s="68" t="s">
        <v>18583</v>
      </c>
      <c r="H4604" s="71"/>
      <c r="I4604" s="71"/>
      <c r="J4604" s="68" t="s">
        <v>18584</v>
      </c>
      <c r="K4604" s="76">
        <v>43108.0</v>
      </c>
      <c r="L4604" s="68" t="s">
        <v>2743</v>
      </c>
      <c r="M4604" s="68" t="s">
        <v>368</v>
      </c>
      <c r="N4604" s="77"/>
      <c r="O4604" s="51"/>
    </row>
    <row r="4605">
      <c r="A4605" s="56">
        <v>4602.0</v>
      </c>
      <c r="B4605" s="240"/>
      <c r="C4605" s="69" t="s">
        <v>18585</v>
      </c>
      <c r="D4605" s="71"/>
      <c r="E4605" s="68" t="s">
        <v>18586</v>
      </c>
      <c r="F4605" s="83">
        <v>43083.0</v>
      </c>
      <c r="G4605" s="68" t="s">
        <v>18587</v>
      </c>
      <c r="H4605" s="71"/>
      <c r="I4605" s="71"/>
      <c r="J4605" s="68" t="s">
        <v>18588</v>
      </c>
      <c r="K4605" s="76">
        <v>43108.0</v>
      </c>
      <c r="L4605" s="68" t="s">
        <v>2743</v>
      </c>
      <c r="M4605" s="68" t="s">
        <v>143</v>
      </c>
      <c r="N4605" s="61"/>
      <c r="O4605" s="51"/>
    </row>
    <row r="4606">
      <c r="A4606" s="75">
        <v>4603.0</v>
      </c>
      <c r="B4606" s="240"/>
      <c r="C4606" s="69" t="s">
        <v>18589</v>
      </c>
      <c r="D4606" s="71"/>
      <c r="E4606" s="68" t="s">
        <v>18590</v>
      </c>
      <c r="F4606" s="83">
        <v>43067.0</v>
      </c>
      <c r="G4606" s="68" t="s">
        <v>18591</v>
      </c>
      <c r="H4606" s="68" t="s">
        <v>18592</v>
      </c>
      <c r="I4606" s="68" t="s">
        <v>18593</v>
      </c>
      <c r="J4606" s="68" t="s">
        <v>18594</v>
      </c>
      <c r="K4606" s="76">
        <v>43108.0</v>
      </c>
      <c r="L4606" s="68" t="s">
        <v>2743</v>
      </c>
      <c r="M4606" s="68" t="s">
        <v>31</v>
      </c>
      <c r="N4606" s="61"/>
      <c r="O4606" s="51"/>
    </row>
    <row r="4607">
      <c r="A4607" s="56">
        <v>4604.0</v>
      </c>
      <c r="B4607" s="240"/>
      <c r="C4607" s="69" t="s">
        <v>18595</v>
      </c>
      <c r="D4607" s="71"/>
      <c r="E4607" s="68" t="s">
        <v>18596</v>
      </c>
      <c r="F4607" s="68" t="s">
        <v>407</v>
      </c>
      <c r="G4607" s="68" t="s">
        <v>18597</v>
      </c>
      <c r="H4607" s="71"/>
      <c r="I4607" s="71"/>
      <c r="J4607" s="68" t="s">
        <v>18598</v>
      </c>
      <c r="K4607" s="76">
        <v>43108.0</v>
      </c>
      <c r="L4607" s="68" t="s">
        <v>2743</v>
      </c>
      <c r="M4607" s="68" t="s">
        <v>4749</v>
      </c>
      <c r="N4607" s="77"/>
      <c r="O4607" s="51"/>
    </row>
    <row r="4608">
      <c r="A4608" s="56">
        <v>4605.0</v>
      </c>
      <c r="B4608" s="246"/>
      <c r="C4608" s="58" t="s">
        <v>18599</v>
      </c>
      <c r="D4608" s="60"/>
      <c r="E4608" s="57" t="s">
        <v>18600</v>
      </c>
      <c r="F4608" s="78">
        <v>43096.0</v>
      </c>
      <c r="G4608" s="57" t="s">
        <v>18601</v>
      </c>
      <c r="H4608" s="60"/>
      <c r="I4608" s="60"/>
      <c r="J4608" s="57" t="s">
        <v>18602</v>
      </c>
      <c r="K4608" s="59">
        <v>43108.0</v>
      </c>
      <c r="L4608" s="57" t="s">
        <v>2743</v>
      </c>
      <c r="M4608" s="57" t="s">
        <v>31</v>
      </c>
      <c r="N4608" s="112"/>
      <c r="O4608" s="51"/>
    </row>
    <row r="4609">
      <c r="A4609" s="56">
        <v>4606.0</v>
      </c>
      <c r="B4609" s="241"/>
      <c r="C4609" s="64" t="s">
        <v>18603</v>
      </c>
      <c r="D4609" s="66"/>
      <c r="E4609" s="63" t="s">
        <v>18604</v>
      </c>
      <c r="F4609" s="70">
        <v>41137.0</v>
      </c>
      <c r="G4609" s="80" t="s">
        <v>18605</v>
      </c>
      <c r="H4609" s="80" t="s">
        <v>18606</v>
      </c>
      <c r="I4609" s="63">
        <v>3.0</v>
      </c>
      <c r="J4609" s="63" t="s">
        <v>6393</v>
      </c>
      <c r="K4609" s="70">
        <v>43108.0</v>
      </c>
      <c r="L4609" s="63" t="s">
        <v>17727</v>
      </c>
      <c r="M4609" s="63" t="s">
        <v>195</v>
      </c>
      <c r="N4609" s="61"/>
      <c r="O4609" s="51"/>
    </row>
    <row r="4610">
      <c r="A4610" s="56">
        <v>4607.0</v>
      </c>
      <c r="B4610" s="240"/>
      <c r="C4610" s="69" t="s">
        <v>18607</v>
      </c>
      <c r="D4610" s="71"/>
      <c r="E4610" s="68" t="s">
        <v>18608</v>
      </c>
      <c r="F4610" s="83">
        <v>43085.0</v>
      </c>
      <c r="G4610" s="68" t="s">
        <v>18609</v>
      </c>
      <c r="H4610" s="71"/>
      <c r="I4610" s="71"/>
      <c r="J4610" s="68" t="s">
        <v>18610</v>
      </c>
      <c r="K4610" s="76">
        <v>43108.0</v>
      </c>
      <c r="L4610" s="68" t="s">
        <v>14256</v>
      </c>
      <c r="M4610" s="68" t="s">
        <v>166</v>
      </c>
      <c r="N4610" s="77"/>
      <c r="O4610" s="51"/>
    </row>
    <row r="4611">
      <c r="A4611" s="56">
        <v>4608.0</v>
      </c>
      <c r="B4611" s="240"/>
      <c r="C4611" s="69" t="s">
        <v>18611</v>
      </c>
      <c r="D4611" s="71"/>
      <c r="E4611" s="68" t="s">
        <v>18612</v>
      </c>
      <c r="F4611" s="76">
        <v>42877.0</v>
      </c>
      <c r="G4611" s="68" t="s">
        <v>18613</v>
      </c>
      <c r="H4611" s="68" t="s">
        <v>18614</v>
      </c>
      <c r="I4611" s="71"/>
      <c r="J4611" s="87" t="s">
        <v>18615</v>
      </c>
      <c r="K4611" s="76">
        <v>43111.0</v>
      </c>
      <c r="L4611" s="68" t="s">
        <v>2743</v>
      </c>
      <c r="M4611" s="68" t="s">
        <v>18616</v>
      </c>
      <c r="N4611" s="77"/>
      <c r="O4611" s="51"/>
    </row>
    <row r="4612">
      <c r="A4612" s="56">
        <v>4609.0</v>
      </c>
      <c r="B4612" s="241"/>
      <c r="C4612" s="64" t="s">
        <v>18617</v>
      </c>
      <c r="D4612" s="66"/>
      <c r="E4612" s="63" t="s">
        <v>18618</v>
      </c>
      <c r="F4612" s="70">
        <v>42820.0</v>
      </c>
      <c r="G4612" s="80" t="s">
        <v>18619</v>
      </c>
      <c r="H4612" s="82"/>
      <c r="I4612" s="66"/>
      <c r="J4612" s="63" t="s">
        <v>2872</v>
      </c>
      <c r="K4612" s="70">
        <v>43111.0</v>
      </c>
      <c r="L4612" s="63" t="s">
        <v>2743</v>
      </c>
      <c r="M4612" s="63" t="s">
        <v>125</v>
      </c>
      <c r="N4612" s="61"/>
      <c r="O4612" s="51"/>
    </row>
    <row r="4613">
      <c r="A4613" s="56">
        <v>4610.0</v>
      </c>
      <c r="B4613" s="241"/>
      <c r="C4613" s="64" t="s">
        <v>18620</v>
      </c>
      <c r="D4613" s="66"/>
      <c r="E4613" s="63" t="s">
        <v>18621</v>
      </c>
      <c r="F4613" s="70">
        <v>42850.0</v>
      </c>
      <c r="G4613" s="80" t="s">
        <v>18622</v>
      </c>
      <c r="H4613" s="80" t="s">
        <v>18623</v>
      </c>
      <c r="I4613" s="66"/>
      <c r="J4613" s="63" t="s">
        <v>6393</v>
      </c>
      <c r="K4613" s="70">
        <v>43112.0</v>
      </c>
      <c r="L4613" s="63" t="s">
        <v>2743</v>
      </c>
      <c r="M4613" s="63" t="s">
        <v>6875</v>
      </c>
      <c r="N4613" s="61"/>
      <c r="O4613" s="51"/>
    </row>
    <row r="4614">
      <c r="A4614" s="56">
        <v>4611.0</v>
      </c>
      <c r="B4614" s="240"/>
      <c r="C4614" s="69" t="s">
        <v>18624</v>
      </c>
      <c r="D4614" s="71"/>
      <c r="E4614" s="68" t="s">
        <v>18625</v>
      </c>
      <c r="F4614" s="83">
        <v>43089.0</v>
      </c>
      <c r="G4614" s="68" t="s">
        <v>18626</v>
      </c>
      <c r="H4614" s="71"/>
      <c r="I4614" s="71"/>
      <c r="J4614" s="68" t="s">
        <v>18627</v>
      </c>
      <c r="K4614" s="76">
        <v>43112.0</v>
      </c>
      <c r="L4614" s="68" t="s">
        <v>2743</v>
      </c>
      <c r="M4614" s="68" t="s">
        <v>125</v>
      </c>
      <c r="N4614" s="77"/>
      <c r="O4614" s="51"/>
    </row>
    <row r="4615">
      <c r="A4615" s="56">
        <v>4612.0</v>
      </c>
      <c r="B4615" s="240"/>
      <c r="C4615" s="69" t="s">
        <v>18628</v>
      </c>
      <c r="D4615" s="71"/>
      <c r="E4615" s="68" t="s">
        <v>18629</v>
      </c>
      <c r="F4615" s="76">
        <v>42706.0</v>
      </c>
      <c r="G4615" s="68" t="s">
        <v>18630</v>
      </c>
      <c r="H4615" s="71"/>
      <c r="I4615" s="71"/>
      <c r="J4615" s="68" t="s">
        <v>18631</v>
      </c>
      <c r="K4615" s="76">
        <v>43113.0</v>
      </c>
      <c r="L4615" s="68" t="s">
        <v>2743</v>
      </c>
      <c r="M4615" s="68" t="s">
        <v>195</v>
      </c>
      <c r="N4615" s="77"/>
      <c r="O4615" s="51"/>
    </row>
    <row r="4616">
      <c r="A4616" s="56">
        <v>4613.0</v>
      </c>
      <c r="B4616" s="241"/>
      <c r="C4616" s="64" t="s">
        <v>18632</v>
      </c>
      <c r="D4616" s="66"/>
      <c r="E4616" s="63" t="s">
        <v>18633</v>
      </c>
      <c r="F4616" s="70">
        <v>41831.0</v>
      </c>
      <c r="G4616" s="80" t="s">
        <v>18634</v>
      </c>
      <c r="H4616" s="82"/>
      <c r="I4616" s="63" t="s">
        <v>18635</v>
      </c>
      <c r="J4616" s="63" t="s">
        <v>9175</v>
      </c>
      <c r="K4616" s="70">
        <v>43115.0</v>
      </c>
      <c r="L4616" s="63" t="s">
        <v>2743</v>
      </c>
      <c r="M4616" s="63" t="s">
        <v>143</v>
      </c>
      <c r="N4616" s="61"/>
      <c r="O4616" s="51"/>
    </row>
    <row r="4617">
      <c r="A4617" s="56">
        <v>4614.0</v>
      </c>
      <c r="B4617" s="240"/>
      <c r="C4617" s="69" t="s">
        <v>18636</v>
      </c>
      <c r="D4617" s="71"/>
      <c r="E4617" s="68" t="s">
        <v>18637</v>
      </c>
      <c r="F4617" s="83">
        <v>43095.0</v>
      </c>
      <c r="G4617" s="68" t="s">
        <v>18638</v>
      </c>
      <c r="H4617" s="68" t="s">
        <v>18639</v>
      </c>
      <c r="I4617" s="68" t="s">
        <v>18640</v>
      </c>
      <c r="J4617" s="68" t="s">
        <v>18641</v>
      </c>
      <c r="K4617" s="76">
        <v>43115.0</v>
      </c>
      <c r="L4617" s="68" t="s">
        <v>17460</v>
      </c>
      <c r="M4617" s="68" t="s">
        <v>31</v>
      </c>
      <c r="N4617" s="77"/>
      <c r="O4617" s="51"/>
    </row>
    <row r="4618">
      <c r="A4618" s="56">
        <v>4615.0</v>
      </c>
      <c r="B4618" s="241"/>
      <c r="C4618" s="64" t="s">
        <v>18642</v>
      </c>
      <c r="D4618" s="66"/>
      <c r="E4618" s="63" t="s">
        <v>18643</v>
      </c>
      <c r="F4618" s="70">
        <v>41768.0</v>
      </c>
      <c r="G4618" s="80" t="s">
        <v>18644</v>
      </c>
      <c r="H4618" s="82"/>
      <c r="I4618" s="66"/>
      <c r="J4618" s="63" t="s">
        <v>6262</v>
      </c>
      <c r="K4618" s="70">
        <v>43115.0</v>
      </c>
      <c r="L4618" s="63" t="s">
        <v>2743</v>
      </c>
      <c r="M4618" s="63" t="s">
        <v>368</v>
      </c>
      <c r="N4618" s="61"/>
      <c r="O4618" s="51"/>
    </row>
    <row r="4619">
      <c r="A4619" s="56">
        <v>4616.0</v>
      </c>
      <c r="B4619" s="240"/>
      <c r="C4619" s="69" t="s">
        <v>18645</v>
      </c>
      <c r="D4619" s="71"/>
      <c r="E4619" s="68" t="s">
        <v>18646</v>
      </c>
      <c r="F4619" s="83">
        <v>43039.0</v>
      </c>
      <c r="G4619" s="68" t="s">
        <v>18647</v>
      </c>
      <c r="H4619" s="71"/>
      <c r="I4619" s="68" t="s">
        <v>18648</v>
      </c>
      <c r="J4619" s="68" t="s">
        <v>18649</v>
      </c>
      <c r="K4619" s="76">
        <v>43115.0</v>
      </c>
      <c r="L4619" s="68" t="s">
        <v>16185</v>
      </c>
      <c r="M4619" s="68" t="s">
        <v>143</v>
      </c>
      <c r="N4619" s="77"/>
      <c r="O4619" s="51"/>
    </row>
    <row r="4620">
      <c r="A4620" s="56">
        <v>4617.0</v>
      </c>
      <c r="B4620" s="240"/>
      <c r="C4620" s="69" t="s">
        <v>18650</v>
      </c>
      <c r="D4620" s="71"/>
      <c r="E4620" s="68" t="s">
        <v>18651</v>
      </c>
      <c r="F4620" s="76">
        <v>42790.0</v>
      </c>
      <c r="G4620" s="68" t="s">
        <v>18652</v>
      </c>
      <c r="H4620" s="71"/>
      <c r="I4620" s="71"/>
      <c r="J4620" s="68" t="s">
        <v>18653</v>
      </c>
      <c r="K4620" s="76">
        <v>43115.0</v>
      </c>
      <c r="L4620" s="68" t="s">
        <v>16185</v>
      </c>
      <c r="M4620" s="68" t="s">
        <v>2748</v>
      </c>
      <c r="N4620" s="77"/>
      <c r="O4620" s="51"/>
    </row>
    <row r="4621">
      <c r="A4621" s="56">
        <v>4618.0</v>
      </c>
      <c r="B4621" s="241"/>
      <c r="C4621" s="64" t="s">
        <v>18654</v>
      </c>
      <c r="D4621" s="66"/>
      <c r="E4621" s="63" t="s">
        <v>18655</v>
      </c>
      <c r="F4621" s="70">
        <v>41456.0</v>
      </c>
      <c r="G4621" s="80" t="s">
        <v>18656</v>
      </c>
      <c r="H4621" s="82"/>
      <c r="I4621" s="63" t="s">
        <v>18657</v>
      </c>
      <c r="J4621" s="63" t="s">
        <v>18658</v>
      </c>
      <c r="K4621" s="70">
        <v>43115.0</v>
      </c>
      <c r="L4621" s="63" t="s">
        <v>16185</v>
      </c>
      <c r="M4621" s="63" t="s">
        <v>18659</v>
      </c>
      <c r="N4621" s="61"/>
      <c r="O4621" s="51"/>
    </row>
    <row r="4622">
      <c r="A4622" s="56">
        <v>4619.0</v>
      </c>
      <c r="B4622" s="246"/>
      <c r="C4622" s="58" t="s">
        <v>18660</v>
      </c>
      <c r="D4622" s="60"/>
      <c r="E4622" s="57" t="s">
        <v>18661</v>
      </c>
      <c r="F4622" s="78">
        <v>43088.0</v>
      </c>
      <c r="G4622" s="57" t="s">
        <v>18662</v>
      </c>
      <c r="H4622" s="60"/>
      <c r="I4622" s="60"/>
      <c r="J4622" s="57" t="s">
        <v>18663</v>
      </c>
      <c r="K4622" s="59">
        <v>43115.0</v>
      </c>
      <c r="L4622" s="57" t="s">
        <v>16185</v>
      </c>
      <c r="M4622" s="57" t="s">
        <v>143</v>
      </c>
      <c r="N4622" s="112"/>
      <c r="O4622" s="51"/>
    </row>
    <row r="4623">
      <c r="A4623" s="75">
        <v>4620.0</v>
      </c>
      <c r="B4623" s="240"/>
      <c r="C4623" s="69" t="s">
        <v>18664</v>
      </c>
      <c r="D4623" s="71"/>
      <c r="E4623" s="68" t="s">
        <v>18665</v>
      </c>
      <c r="F4623" s="76">
        <v>42631.0</v>
      </c>
      <c r="G4623" s="68" t="s">
        <v>18666</v>
      </c>
      <c r="H4623" s="71"/>
      <c r="I4623" s="71"/>
      <c r="J4623" s="100" t="s">
        <v>18667</v>
      </c>
      <c r="K4623" s="225">
        <v>43115.0</v>
      </c>
      <c r="L4623" s="68" t="s">
        <v>16185</v>
      </c>
      <c r="M4623" s="68" t="s">
        <v>195</v>
      </c>
      <c r="N4623" s="77"/>
      <c r="O4623" s="130"/>
    </row>
    <row r="4624">
      <c r="A4624" s="56">
        <v>4621.0</v>
      </c>
      <c r="B4624" s="241"/>
      <c r="C4624" s="64" t="s">
        <v>18668</v>
      </c>
      <c r="D4624" s="66"/>
      <c r="E4624" s="63" t="s">
        <v>18669</v>
      </c>
      <c r="F4624" s="70">
        <v>42491.0</v>
      </c>
      <c r="G4624" s="80" t="s">
        <v>18670</v>
      </c>
      <c r="H4624" s="80" t="s">
        <v>439</v>
      </c>
      <c r="I4624" s="66"/>
      <c r="J4624" s="63" t="s">
        <v>6393</v>
      </c>
      <c r="K4624" s="70">
        <v>43115.0</v>
      </c>
      <c r="L4624" s="63" t="s">
        <v>16185</v>
      </c>
      <c r="M4624" s="63" t="s">
        <v>6875</v>
      </c>
      <c r="N4624" s="61"/>
      <c r="O4624" s="51"/>
    </row>
    <row r="4625">
      <c r="A4625" s="56">
        <v>4622.0</v>
      </c>
      <c r="B4625" s="241"/>
      <c r="C4625" s="64" t="s">
        <v>18671</v>
      </c>
      <c r="D4625" s="66"/>
      <c r="E4625" s="63" t="s">
        <v>18672</v>
      </c>
      <c r="F4625" s="70">
        <v>42108.0</v>
      </c>
      <c r="G4625" s="80" t="s">
        <v>18673</v>
      </c>
      <c r="H4625" s="82"/>
      <c r="I4625" s="66"/>
      <c r="J4625" s="63" t="s">
        <v>6393</v>
      </c>
      <c r="K4625" s="70">
        <v>43115.0</v>
      </c>
      <c r="L4625" s="63" t="s">
        <v>16185</v>
      </c>
      <c r="M4625" s="63" t="s">
        <v>125</v>
      </c>
      <c r="N4625" s="61"/>
      <c r="O4625" s="51"/>
    </row>
    <row r="4626">
      <c r="A4626" s="56">
        <v>4623.0</v>
      </c>
      <c r="B4626" s="240"/>
      <c r="C4626" s="69" t="s">
        <v>18674</v>
      </c>
      <c r="D4626" s="71"/>
      <c r="E4626" s="68" t="s">
        <v>18675</v>
      </c>
      <c r="F4626" s="76">
        <v>38504.0</v>
      </c>
      <c r="G4626" s="68" t="s">
        <v>18676</v>
      </c>
      <c r="H4626" s="71"/>
      <c r="I4626" s="71"/>
      <c r="J4626" s="68" t="s">
        <v>18677</v>
      </c>
      <c r="K4626" s="76">
        <v>43115.0</v>
      </c>
      <c r="L4626" s="68" t="s">
        <v>16185</v>
      </c>
      <c r="M4626" s="68" t="s">
        <v>27</v>
      </c>
      <c r="N4626" s="77"/>
      <c r="O4626" s="51"/>
    </row>
    <row r="4627">
      <c r="A4627" s="56">
        <v>4624.0</v>
      </c>
      <c r="B4627" s="241"/>
      <c r="C4627" s="64" t="s">
        <v>18678</v>
      </c>
      <c r="D4627" s="66"/>
      <c r="E4627" s="63" t="s">
        <v>18679</v>
      </c>
      <c r="F4627" s="70">
        <v>42381.0</v>
      </c>
      <c r="G4627" s="80" t="s">
        <v>18680</v>
      </c>
      <c r="H4627" s="82"/>
      <c r="I4627" s="66"/>
      <c r="J4627" s="63" t="s">
        <v>2872</v>
      </c>
      <c r="K4627" s="70">
        <v>43115.0</v>
      </c>
      <c r="L4627" s="63" t="s">
        <v>2743</v>
      </c>
      <c r="M4627" s="63" t="s">
        <v>125</v>
      </c>
      <c r="N4627" s="61"/>
      <c r="O4627" s="51"/>
    </row>
    <row r="4628">
      <c r="A4628" s="56">
        <v>4625.0</v>
      </c>
      <c r="B4628" s="241"/>
      <c r="C4628" s="64" t="s">
        <v>18681</v>
      </c>
      <c r="D4628" s="66"/>
      <c r="E4628" s="63" t="s">
        <v>18682</v>
      </c>
      <c r="F4628" s="65">
        <v>42699.0</v>
      </c>
      <c r="G4628" s="80" t="s">
        <v>18683</v>
      </c>
      <c r="H4628" s="82"/>
      <c r="I4628" s="66"/>
      <c r="J4628" s="63" t="s">
        <v>2872</v>
      </c>
      <c r="K4628" s="70">
        <v>43115.0</v>
      </c>
      <c r="L4628" s="63" t="s">
        <v>2743</v>
      </c>
      <c r="M4628" s="63" t="s">
        <v>125</v>
      </c>
      <c r="N4628" s="61"/>
      <c r="O4628" s="51"/>
    </row>
    <row r="4629">
      <c r="A4629" s="56">
        <v>4626.0</v>
      </c>
      <c r="B4629" s="240"/>
      <c r="C4629" s="69" t="s">
        <v>18684</v>
      </c>
      <c r="D4629" s="71"/>
      <c r="E4629" s="68" t="s">
        <v>18685</v>
      </c>
      <c r="F4629" s="76">
        <v>42474.0</v>
      </c>
      <c r="G4629" s="68" t="s">
        <v>18686</v>
      </c>
      <c r="H4629" s="71"/>
      <c r="I4629" s="71"/>
      <c r="J4629" s="68" t="s">
        <v>18687</v>
      </c>
      <c r="K4629" s="76">
        <v>43115.0</v>
      </c>
      <c r="L4629" s="68" t="s">
        <v>2743</v>
      </c>
      <c r="M4629" s="68" t="s">
        <v>282</v>
      </c>
      <c r="N4629" s="77"/>
      <c r="O4629" s="51"/>
    </row>
    <row r="4630">
      <c r="A4630" s="56">
        <v>4627.0</v>
      </c>
      <c r="B4630" s="241"/>
      <c r="C4630" s="64" t="s">
        <v>18688</v>
      </c>
      <c r="D4630" s="66"/>
      <c r="E4630" s="63" t="s">
        <v>18689</v>
      </c>
      <c r="F4630" s="70">
        <v>42587.0</v>
      </c>
      <c r="G4630" s="80" t="s">
        <v>18690</v>
      </c>
      <c r="H4630" s="80" t="s">
        <v>18691</v>
      </c>
      <c r="I4630" s="66"/>
      <c r="J4630" s="63" t="s">
        <v>6393</v>
      </c>
      <c r="K4630" s="70">
        <v>43115.0</v>
      </c>
      <c r="L4630" s="63" t="s">
        <v>2743</v>
      </c>
      <c r="M4630" s="63" t="s">
        <v>6875</v>
      </c>
      <c r="N4630" s="61"/>
      <c r="O4630" s="51"/>
    </row>
    <row r="4631">
      <c r="A4631" s="56">
        <v>4628.0</v>
      </c>
      <c r="B4631" s="240"/>
      <c r="C4631" s="69" t="s">
        <v>18692</v>
      </c>
      <c r="D4631" s="71"/>
      <c r="E4631" s="68" t="s">
        <v>18693</v>
      </c>
      <c r="F4631" s="76">
        <v>42587.0</v>
      </c>
      <c r="G4631" s="68" t="s">
        <v>18694</v>
      </c>
      <c r="H4631" s="71"/>
      <c r="I4631" s="71"/>
      <c r="J4631" s="68" t="s">
        <v>18695</v>
      </c>
      <c r="K4631" s="76">
        <v>43115.0</v>
      </c>
      <c r="L4631" s="68" t="s">
        <v>2743</v>
      </c>
      <c r="M4631" s="68" t="s">
        <v>195</v>
      </c>
      <c r="N4631" s="77"/>
      <c r="O4631" s="51"/>
    </row>
    <row r="4632">
      <c r="A4632" s="56">
        <v>4629.0</v>
      </c>
      <c r="B4632" s="246"/>
      <c r="C4632" s="58" t="s">
        <v>18696</v>
      </c>
      <c r="D4632" s="60"/>
      <c r="E4632" s="57" t="s">
        <v>18697</v>
      </c>
      <c r="F4632" s="59">
        <v>42923.0</v>
      </c>
      <c r="G4632" s="57" t="s">
        <v>18698</v>
      </c>
      <c r="H4632" s="60"/>
      <c r="I4632" s="60"/>
      <c r="J4632" s="57" t="s">
        <v>18699</v>
      </c>
      <c r="K4632" s="59">
        <v>43115.0</v>
      </c>
      <c r="L4632" s="57" t="s">
        <v>2743</v>
      </c>
      <c r="M4632" s="57" t="s">
        <v>166</v>
      </c>
      <c r="N4632" s="112"/>
      <c r="O4632" s="51"/>
    </row>
    <row r="4633">
      <c r="A4633" s="56">
        <v>4630.0</v>
      </c>
      <c r="B4633" s="240"/>
      <c r="C4633" s="69" t="s">
        <v>18700</v>
      </c>
      <c r="D4633" s="71"/>
      <c r="E4633" s="68" t="s">
        <v>18701</v>
      </c>
      <c r="F4633" s="68" t="s">
        <v>407</v>
      </c>
      <c r="G4633" s="68" t="s">
        <v>18702</v>
      </c>
      <c r="H4633" s="71"/>
      <c r="I4633" s="68" t="s">
        <v>18703</v>
      </c>
      <c r="J4633" s="68" t="s">
        <v>18704</v>
      </c>
      <c r="K4633" s="76">
        <v>43115.0</v>
      </c>
      <c r="L4633" s="68" t="s">
        <v>2743</v>
      </c>
      <c r="M4633" s="68" t="s">
        <v>530</v>
      </c>
      <c r="N4633" s="77"/>
      <c r="O4633" s="51"/>
    </row>
    <row r="4634">
      <c r="A4634" s="56">
        <v>4631.0</v>
      </c>
      <c r="B4634" s="240"/>
      <c r="C4634" s="69" t="s">
        <v>18705</v>
      </c>
      <c r="D4634" s="71"/>
      <c r="E4634" s="68" t="s">
        <v>18706</v>
      </c>
      <c r="F4634" s="76">
        <v>42878.0</v>
      </c>
      <c r="G4634" s="68" t="s">
        <v>18707</v>
      </c>
      <c r="H4634" s="71"/>
      <c r="I4634" s="68" t="s">
        <v>18708</v>
      </c>
      <c r="J4634" s="87" t="s">
        <v>18709</v>
      </c>
      <c r="K4634" s="76">
        <v>43115.0</v>
      </c>
      <c r="L4634" s="68" t="s">
        <v>2743</v>
      </c>
      <c r="M4634" s="68" t="s">
        <v>149</v>
      </c>
      <c r="N4634" s="77"/>
      <c r="O4634" s="51"/>
    </row>
    <row r="4635">
      <c r="A4635" s="56">
        <v>4632.0</v>
      </c>
      <c r="B4635" s="240"/>
      <c r="C4635" s="69" t="s">
        <v>18710</v>
      </c>
      <c r="D4635" s="71"/>
      <c r="E4635" s="68" t="s">
        <v>18711</v>
      </c>
      <c r="F4635" s="83">
        <v>43034.0</v>
      </c>
      <c r="G4635" s="68" t="s">
        <v>18712</v>
      </c>
      <c r="H4635" s="71"/>
      <c r="I4635" s="68" t="s">
        <v>18713</v>
      </c>
      <c r="J4635" s="68" t="s">
        <v>18714</v>
      </c>
      <c r="K4635" s="76">
        <v>43115.0</v>
      </c>
      <c r="L4635" s="68" t="s">
        <v>2743</v>
      </c>
      <c r="M4635" s="68" t="s">
        <v>201</v>
      </c>
      <c r="N4635" s="77"/>
      <c r="O4635" s="51"/>
    </row>
    <row r="4636">
      <c r="A4636" s="56">
        <v>4633.0</v>
      </c>
      <c r="B4636" s="246"/>
      <c r="C4636" s="58" t="s">
        <v>18715</v>
      </c>
      <c r="D4636" s="60"/>
      <c r="E4636" s="57" t="s">
        <v>18716</v>
      </c>
      <c r="F4636" s="78">
        <v>43036.0</v>
      </c>
      <c r="G4636" s="57" t="s">
        <v>18717</v>
      </c>
      <c r="H4636" s="60"/>
      <c r="I4636" s="60"/>
      <c r="J4636" s="89" t="s">
        <v>17869</v>
      </c>
      <c r="K4636" s="233">
        <v>43115.0</v>
      </c>
      <c r="L4636" s="57" t="s">
        <v>14256</v>
      </c>
      <c r="M4636" s="57" t="s">
        <v>166</v>
      </c>
      <c r="N4636" s="112"/>
      <c r="O4636" s="51"/>
    </row>
    <row r="4637">
      <c r="A4637" s="56">
        <v>4634.0</v>
      </c>
      <c r="B4637" s="246"/>
      <c r="C4637" s="58" t="s">
        <v>18718</v>
      </c>
      <c r="D4637" s="60"/>
      <c r="E4637" s="57" t="s">
        <v>18719</v>
      </c>
      <c r="F4637" s="78">
        <v>43036.0</v>
      </c>
      <c r="G4637" s="57" t="s">
        <v>18720</v>
      </c>
      <c r="H4637" s="60"/>
      <c r="I4637" s="60"/>
      <c r="J4637" s="89" t="s">
        <v>17869</v>
      </c>
      <c r="K4637" s="233">
        <v>43115.0</v>
      </c>
      <c r="L4637" s="57" t="s">
        <v>14256</v>
      </c>
      <c r="M4637" s="57" t="s">
        <v>166</v>
      </c>
      <c r="N4637" s="112"/>
      <c r="O4637" s="51"/>
    </row>
    <row r="4638">
      <c r="A4638" s="56">
        <v>4635.0</v>
      </c>
      <c r="B4638" s="240"/>
      <c r="C4638" s="69" t="s">
        <v>18721</v>
      </c>
      <c r="D4638" s="71"/>
      <c r="E4638" s="68" t="s">
        <v>18722</v>
      </c>
      <c r="F4638" s="76">
        <v>43112.0</v>
      </c>
      <c r="G4638" s="68" t="s">
        <v>18723</v>
      </c>
      <c r="H4638" s="71"/>
      <c r="I4638" s="71"/>
      <c r="J4638" s="68" t="s">
        <v>18724</v>
      </c>
      <c r="K4638" s="76">
        <v>43117.0</v>
      </c>
      <c r="L4638" s="68" t="s">
        <v>2743</v>
      </c>
      <c r="M4638" s="68" t="s">
        <v>149</v>
      </c>
      <c r="N4638" s="61"/>
      <c r="O4638" s="51"/>
    </row>
    <row r="4639">
      <c r="A4639" s="56">
        <v>4636.0</v>
      </c>
      <c r="B4639" s="241"/>
      <c r="C4639" s="64" t="s">
        <v>18725</v>
      </c>
      <c r="D4639" s="66"/>
      <c r="E4639" s="63" t="s">
        <v>18726</v>
      </c>
      <c r="F4639" s="70">
        <v>41975.0</v>
      </c>
      <c r="G4639" s="80" t="s">
        <v>18727</v>
      </c>
      <c r="H4639" s="82"/>
      <c r="I4639" s="63" t="s">
        <v>18728</v>
      </c>
      <c r="J4639" s="63" t="s">
        <v>11838</v>
      </c>
      <c r="K4639" s="76">
        <v>43117.0</v>
      </c>
      <c r="L4639" s="63" t="s">
        <v>2743</v>
      </c>
      <c r="M4639" s="63" t="s">
        <v>2989</v>
      </c>
      <c r="N4639" s="61"/>
      <c r="O4639" s="51"/>
    </row>
    <row r="4640">
      <c r="A4640" s="56">
        <v>4637.0</v>
      </c>
      <c r="B4640" s="241"/>
      <c r="C4640" s="64" t="s">
        <v>18729</v>
      </c>
      <c r="D4640" s="66"/>
      <c r="E4640" s="63" t="s">
        <v>18730</v>
      </c>
      <c r="F4640" s="70">
        <v>43002.0</v>
      </c>
      <c r="G4640" s="80" t="s">
        <v>18731</v>
      </c>
      <c r="H4640" s="82"/>
      <c r="I4640" s="66"/>
      <c r="J4640" s="63" t="s">
        <v>2872</v>
      </c>
      <c r="K4640" s="70">
        <v>43117.0</v>
      </c>
      <c r="L4640" s="63" t="s">
        <v>2743</v>
      </c>
      <c r="M4640" s="63" t="s">
        <v>125</v>
      </c>
      <c r="N4640" s="61"/>
      <c r="O4640" s="51"/>
    </row>
    <row r="4641">
      <c r="A4641" s="56">
        <v>4638.0</v>
      </c>
      <c r="B4641" s="240"/>
      <c r="C4641" s="69" t="s">
        <v>18732</v>
      </c>
      <c r="D4641" s="71"/>
      <c r="E4641" s="68" t="s">
        <v>18733</v>
      </c>
      <c r="F4641" s="83">
        <v>42323.0</v>
      </c>
      <c r="G4641" s="68" t="s">
        <v>18734</v>
      </c>
      <c r="H4641" s="71"/>
      <c r="I4641" s="71"/>
      <c r="J4641" s="68" t="s">
        <v>18735</v>
      </c>
      <c r="K4641" s="76">
        <v>43117.0</v>
      </c>
      <c r="L4641" s="68" t="s">
        <v>2743</v>
      </c>
      <c r="M4641" s="68" t="s">
        <v>166</v>
      </c>
      <c r="N4641" s="77"/>
      <c r="O4641" s="51"/>
    </row>
    <row r="4642">
      <c r="A4642" s="56">
        <v>4639.0</v>
      </c>
      <c r="B4642" s="241"/>
      <c r="C4642" s="64" t="s">
        <v>18736</v>
      </c>
      <c r="D4642" s="66"/>
      <c r="E4642" s="63" t="s">
        <v>18737</v>
      </c>
      <c r="F4642" s="70">
        <v>40219.0</v>
      </c>
      <c r="G4642" s="80" t="s">
        <v>18738</v>
      </c>
      <c r="H4642" s="82"/>
      <c r="I4642" s="66"/>
      <c r="J4642" s="63" t="s">
        <v>10817</v>
      </c>
      <c r="K4642" s="70">
        <v>43117.0</v>
      </c>
      <c r="L4642" s="63" t="s">
        <v>2743</v>
      </c>
      <c r="M4642" s="63" t="s">
        <v>31</v>
      </c>
      <c r="N4642" s="61"/>
      <c r="O4642" s="51"/>
    </row>
    <row r="4643">
      <c r="A4643" s="56">
        <v>4640.0</v>
      </c>
      <c r="B4643" s="240"/>
      <c r="C4643" s="69" t="s">
        <v>18739</v>
      </c>
      <c r="D4643" s="71"/>
      <c r="E4643" s="68" t="s">
        <v>18740</v>
      </c>
      <c r="F4643" s="83">
        <v>43039.0</v>
      </c>
      <c r="G4643" s="68" t="s">
        <v>18741</v>
      </c>
      <c r="H4643" s="71"/>
      <c r="I4643" s="71"/>
      <c r="J4643" s="68" t="s">
        <v>18742</v>
      </c>
      <c r="K4643" s="76">
        <v>43118.0</v>
      </c>
      <c r="L4643" s="68" t="s">
        <v>14256</v>
      </c>
      <c r="M4643" s="68" t="s">
        <v>27</v>
      </c>
      <c r="N4643" s="77"/>
      <c r="O4643" s="51"/>
    </row>
    <row r="4644">
      <c r="A4644" s="56">
        <v>4641.0</v>
      </c>
      <c r="B4644" s="240"/>
      <c r="C4644" s="69" t="s">
        <v>18743</v>
      </c>
      <c r="D4644" s="71"/>
      <c r="E4644" s="68" t="s">
        <v>18744</v>
      </c>
      <c r="F4644" s="83">
        <v>43059.0</v>
      </c>
      <c r="G4644" s="68" t="s">
        <v>18745</v>
      </c>
      <c r="H4644" s="71"/>
      <c r="I4644" s="71"/>
      <c r="J4644" s="68" t="s">
        <v>18746</v>
      </c>
      <c r="K4644" s="76">
        <v>43118.0</v>
      </c>
      <c r="L4644" s="68" t="s">
        <v>14256</v>
      </c>
      <c r="M4644" s="68" t="s">
        <v>166</v>
      </c>
      <c r="N4644" s="77"/>
      <c r="O4644" s="51"/>
    </row>
    <row r="4645">
      <c r="A4645" s="56">
        <v>4642.0</v>
      </c>
      <c r="B4645" s="240"/>
      <c r="C4645" s="69" t="s">
        <v>18747</v>
      </c>
      <c r="D4645" s="71"/>
      <c r="E4645" s="68" t="s">
        <v>18748</v>
      </c>
      <c r="F4645" s="76">
        <v>42491.0</v>
      </c>
      <c r="G4645" s="68" t="s">
        <v>18749</v>
      </c>
      <c r="H4645" s="71"/>
      <c r="I4645" s="71"/>
      <c r="J4645" s="68" t="s">
        <v>18750</v>
      </c>
      <c r="K4645" s="76">
        <v>43118.0</v>
      </c>
      <c r="L4645" s="68" t="s">
        <v>2743</v>
      </c>
      <c r="M4645" s="68" t="s">
        <v>166</v>
      </c>
      <c r="N4645" s="77"/>
      <c r="O4645" s="51"/>
    </row>
    <row r="4646">
      <c r="A4646" s="56">
        <v>4643.0</v>
      </c>
      <c r="B4646" s="240"/>
      <c r="C4646" s="69" t="s">
        <v>18751</v>
      </c>
      <c r="D4646" s="71"/>
      <c r="E4646" s="68" t="s">
        <v>18752</v>
      </c>
      <c r="F4646" s="76">
        <v>42887.0</v>
      </c>
      <c r="G4646" s="68" t="s">
        <v>18753</v>
      </c>
      <c r="H4646" s="68" t="s">
        <v>18754</v>
      </c>
      <c r="I4646" s="68" t="s">
        <v>18755</v>
      </c>
      <c r="J4646" s="68" t="s">
        <v>18756</v>
      </c>
      <c r="K4646" s="76">
        <v>43118.0</v>
      </c>
      <c r="L4646" s="68" t="s">
        <v>2743</v>
      </c>
      <c r="M4646" s="68" t="s">
        <v>18206</v>
      </c>
      <c r="N4646" s="77"/>
      <c r="O4646" s="51"/>
    </row>
    <row r="4647">
      <c r="A4647" s="56">
        <v>4644.0</v>
      </c>
      <c r="B4647" s="240"/>
      <c r="C4647" s="69" t="s">
        <v>18757</v>
      </c>
      <c r="D4647" s="71"/>
      <c r="E4647" s="68" t="s">
        <v>18758</v>
      </c>
      <c r="F4647" s="76">
        <v>42887.0</v>
      </c>
      <c r="G4647" s="68" t="s">
        <v>18753</v>
      </c>
      <c r="H4647" s="68" t="s">
        <v>18759</v>
      </c>
      <c r="I4647" s="68" t="s">
        <v>18755</v>
      </c>
      <c r="J4647" s="68" t="s">
        <v>18760</v>
      </c>
      <c r="K4647" s="76">
        <v>43118.0</v>
      </c>
      <c r="L4647" s="68" t="s">
        <v>2743</v>
      </c>
      <c r="M4647" s="68" t="s">
        <v>18206</v>
      </c>
      <c r="N4647" s="77"/>
      <c r="O4647" s="51"/>
    </row>
    <row r="4648">
      <c r="A4648" s="56">
        <v>4645.0</v>
      </c>
      <c r="B4648" s="241"/>
      <c r="C4648" s="64" t="s">
        <v>18761</v>
      </c>
      <c r="D4648" s="66"/>
      <c r="E4648" s="63" t="s">
        <v>18762</v>
      </c>
      <c r="F4648" s="70">
        <v>42887.0</v>
      </c>
      <c r="G4648" s="80" t="s">
        <v>18753</v>
      </c>
      <c r="H4648" s="80" t="s">
        <v>18763</v>
      </c>
      <c r="I4648" s="63" t="s">
        <v>18755</v>
      </c>
      <c r="J4648" s="63" t="s">
        <v>18764</v>
      </c>
      <c r="K4648" s="70">
        <v>43118.0</v>
      </c>
      <c r="L4648" s="63" t="s">
        <v>2743</v>
      </c>
      <c r="M4648" s="63" t="s">
        <v>18206</v>
      </c>
      <c r="N4648" s="61"/>
      <c r="O4648" s="51"/>
    </row>
    <row r="4649">
      <c r="A4649" s="75">
        <v>4646.0</v>
      </c>
      <c r="B4649" s="240"/>
      <c r="C4649" s="69" t="s">
        <v>18765</v>
      </c>
      <c r="D4649" s="71"/>
      <c r="E4649" s="68" t="s">
        <v>18766</v>
      </c>
      <c r="F4649" s="76">
        <v>40360.0</v>
      </c>
      <c r="G4649" s="68" t="s">
        <v>18767</v>
      </c>
      <c r="H4649" s="68" t="s">
        <v>439</v>
      </c>
      <c r="I4649" s="71"/>
      <c r="J4649" s="68" t="s">
        <v>18768</v>
      </c>
      <c r="K4649" s="76">
        <v>43118.0</v>
      </c>
      <c r="L4649" s="68" t="s">
        <v>2743</v>
      </c>
      <c r="M4649" s="68" t="s">
        <v>195</v>
      </c>
      <c r="N4649" s="77"/>
      <c r="O4649" s="51"/>
    </row>
    <row r="4650">
      <c r="A4650" s="56">
        <v>4647.0</v>
      </c>
      <c r="B4650" s="240"/>
      <c r="C4650" s="69" t="s">
        <v>18769</v>
      </c>
      <c r="D4650" s="71"/>
      <c r="E4650" s="68" t="s">
        <v>18770</v>
      </c>
      <c r="F4650" s="83">
        <v>42322.0</v>
      </c>
      <c r="G4650" s="68" t="s">
        <v>18771</v>
      </c>
      <c r="H4650" s="71"/>
      <c r="I4650" s="71"/>
      <c r="J4650" s="68" t="s">
        <v>18772</v>
      </c>
      <c r="K4650" s="76">
        <v>43120.0</v>
      </c>
      <c r="L4650" s="68" t="s">
        <v>2743</v>
      </c>
      <c r="M4650" s="68" t="s">
        <v>143</v>
      </c>
      <c r="N4650" s="77"/>
      <c r="O4650" s="51"/>
    </row>
    <row r="4651">
      <c r="A4651" s="56">
        <v>4648.0</v>
      </c>
      <c r="B4651" s="240"/>
      <c r="C4651" s="69" t="s">
        <v>18773</v>
      </c>
      <c r="D4651" s="71"/>
      <c r="E4651" s="68" t="s">
        <v>18774</v>
      </c>
      <c r="F4651" s="83">
        <v>43100.0</v>
      </c>
      <c r="G4651" s="68" t="s">
        <v>18775</v>
      </c>
      <c r="H4651" s="71"/>
      <c r="I4651" s="71"/>
      <c r="J4651" s="68" t="s">
        <v>18776</v>
      </c>
      <c r="K4651" s="76">
        <v>43120.0</v>
      </c>
      <c r="L4651" s="68" t="s">
        <v>2743</v>
      </c>
      <c r="M4651" s="68" t="s">
        <v>18777</v>
      </c>
      <c r="N4651" s="77"/>
      <c r="O4651" s="51"/>
    </row>
    <row r="4652">
      <c r="A4652" s="56">
        <v>4649.0</v>
      </c>
      <c r="B4652" s="241"/>
      <c r="C4652" s="64" t="s">
        <v>18778</v>
      </c>
      <c r="D4652" s="66"/>
      <c r="E4652" s="63" t="s">
        <v>18779</v>
      </c>
      <c r="F4652" s="70">
        <v>42031.0</v>
      </c>
      <c r="G4652" s="80" t="s">
        <v>18780</v>
      </c>
      <c r="H4652" s="80" t="s">
        <v>18781</v>
      </c>
      <c r="I4652" s="66"/>
      <c r="J4652" s="63" t="s">
        <v>6393</v>
      </c>
      <c r="K4652" s="70">
        <v>43122.0</v>
      </c>
      <c r="L4652" s="63" t="s">
        <v>2743</v>
      </c>
      <c r="M4652" s="63" t="s">
        <v>6875</v>
      </c>
      <c r="N4652" s="61"/>
      <c r="O4652" s="51"/>
    </row>
    <row r="4653">
      <c r="A4653" s="56">
        <v>4650.0</v>
      </c>
      <c r="B4653" s="241"/>
      <c r="C4653" s="64" t="s">
        <v>18782</v>
      </c>
      <c r="D4653" s="66"/>
      <c r="E4653" s="63" t="s">
        <v>18783</v>
      </c>
      <c r="F4653" s="70">
        <v>42513.0</v>
      </c>
      <c r="G4653" s="80" t="s">
        <v>18784</v>
      </c>
      <c r="H4653" s="82"/>
      <c r="I4653" s="63" t="s">
        <v>18785</v>
      </c>
      <c r="J4653" s="63" t="s">
        <v>11049</v>
      </c>
      <c r="K4653" s="70">
        <v>43122.0</v>
      </c>
      <c r="L4653" s="63" t="s">
        <v>2743</v>
      </c>
      <c r="M4653" s="63" t="s">
        <v>27</v>
      </c>
      <c r="N4653" s="61"/>
      <c r="O4653" s="51"/>
    </row>
    <row r="4654">
      <c r="A4654" s="56">
        <v>4651.0</v>
      </c>
      <c r="B4654" s="241"/>
      <c r="C4654" s="64" t="s">
        <v>18786</v>
      </c>
      <c r="D4654" s="66"/>
      <c r="E4654" s="63" t="s">
        <v>18787</v>
      </c>
      <c r="F4654" s="70">
        <v>42499.0</v>
      </c>
      <c r="G4654" s="80" t="s">
        <v>18788</v>
      </c>
      <c r="H4654" s="82"/>
      <c r="I4654" s="63" t="s">
        <v>18785</v>
      </c>
      <c r="J4654" s="63" t="s">
        <v>11049</v>
      </c>
      <c r="K4654" s="70">
        <v>43122.0</v>
      </c>
      <c r="L4654" s="63" t="s">
        <v>2743</v>
      </c>
      <c r="M4654" s="63" t="s">
        <v>27</v>
      </c>
      <c r="N4654" s="61"/>
      <c r="O4654" s="51"/>
    </row>
    <row r="4655">
      <c r="A4655" s="56">
        <v>4652.0</v>
      </c>
      <c r="B4655" s="240"/>
      <c r="C4655" s="69" t="s">
        <v>18789</v>
      </c>
      <c r="D4655" s="71"/>
      <c r="E4655" s="68" t="s">
        <v>18790</v>
      </c>
      <c r="F4655" s="83">
        <v>43096.0</v>
      </c>
      <c r="G4655" s="68" t="s">
        <v>18791</v>
      </c>
      <c r="H4655" s="71"/>
      <c r="I4655" s="68" t="s">
        <v>18792</v>
      </c>
      <c r="J4655" s="68" t="s">
        <v>18793</v>
      </c>
      <c r="K4655" s="76">
        <v>43122.0</v>
      </c>
      <c r="L4655" s="68" t="s">
        <v>2743</v>
      </c>
      <c r="M4655" s="68" t="s">
        <v>31</v>
      </c>
      <c r="N4655" s="77"/>
      <c r="O4655" s="51"/>
    </row>
    <row r="4656">
      <c r="A4656" s="56">
        <v>4653.0</v>
      </c>
      <c r="B4656" s="241"/>
      <c r="C4656" s="64" t="s">
        <v>18794</v>
      </c>
      <c r="D4656" s="66"/>
      <c r="E4656" s="63" t="s">
        <v>18795</v>
      </c>
      <c r="F4656" s="70">
        <v>41160.0</v>
      </c>
      <c r="G4656" s="80" t="s">
        <v>18796</v>
      </c>
      <c r="H4656" s="82"/>
      <c r="I4656" s="66"/>
      <c r="J4656" s="63" t="s">
        <v>6381</v>
      </c>
      <c r="K4656" s="70">
        <v>43123.0</v>
      </c>
      <c r="L4656" s="63" t="s">
        <v>2743</v>
      </c>
      <c r="M4656" s="63" t="s">
        <v>201</v>
      </c>
      <c r="N4656" s="61"/>
      <c r="O4656" s="51"/>
    </row>
    <row r="4657">
      <c r="A4657" s="56">
        <v>4654.0</v>
      </c>
      <c r="B4657" s="240"/>
      <c r="C4657" s="69" t="s">
        <v>18797</v>
      </c>
      <c r="D4657" s="71"/>
      <c r="E4657" s="68" t="s">
        <v>18798</v>
      </c>
      <c r="F4657" s="76">
        <v>42771.0</v>
      </c>
      <c r="G4657" s="68" t="s">
        <v>18799</v>
      </c>
      <c r="H4657" s="71"/>
      <c r="I4657" s="68" t="s">
        <v>18800</v>
      </c>
      <c r="J4657" s="68" t="s">
        <v>18801</v>
      </c>
      <c r="K4657" s="76">
        <v>43123.0</v>
      </c>
      <c r="L4657" s="68" t="s">
        <v>2743</v>
      </c>
      <c r="M4657" s="68" t="s">
        <v>7530</v>
      </c>
      <c r="N4657" s="77"/>
      <c r="O4657" s="51"/>
    </row>
    <row r="4658">
      <c r="A4658" s="56">
        <v>4655.0</v>
      </c>
      <c r="B4658" s="240"/>
      <c r="C4658" s="69" t="s">
        <v>18802</v>
      </c>
      <c r="D4658" s="71"/>
      <c r="E4658" s="68" t="s">
        <v>18803</v>
      </c>
      <c r="F4658" s="76">
        <v>43117.0</v>
      </c>
      <c r="G4658" s="68" t="s">
        <v>18804</v>
      </c>
      <c r="H4658" s="71"/>
      <c r="I4658" s="71"/>
      <c r="J4658" s="68" t="s">
        <v>18805</v>
      </c>
      <c r="K4658" s="76">
        <v>43123.0</v>
      </c>
      <c r="L4658" s="68" t="s">
        <v>2743</v>
      </c>
      <c r="M4658" s="68" t="s">
        <v>31</v>
      </c>
      <c r="N4658" s="61"/>
      <c r="O4658" s="51"/>
    </row>
    <row r="4659">
      <c r="A4659" s="75">
        <v>4656.0</v>
      </c>
      <c r="B4659" s="240"/>
      <c r="C4659" s="69" t="s">
        <v>18806</v>
      </c>
      <c r="D4659" s="71"/>
      <c r="E4659" s="68" t="s">
        <v>18807</v>
      </c>
      <c r="F4659" s="76">
        <v>40075.0</v>
      </c>
      <c r="G4659" s="68" t="s">
        <v>18808</v>
      </c>
      <c r="H4659" s="71"/>
      <c r="I4659" s="71"/>
      <c r="J4659" s="68" t="s">
        <v>18809</v>
      </c>
      <c r="K4659" s="76">
        <v>43123.0</v>
      </c>
      <c r="L4659" s="68" t="s">
        <v>2743</v>
      </c>
      <c r="M4659" s="68" t="s">
        <v>125</v>
      </c>
      <c r="N4659" s="77"/>
      <c r="O4659" s="51"/>
    </row>
    <row r="4660">
      <c r="A4660" s="75">
        <v>4657.0</v>
      </c>
      <c r="B4660" s="240"/>
      <c r="C4660" s="69" t="s">
        <v>18810</v>
      </c>
      <c r="D4660" s="71"/>
      <c r="E4660" s="68" t="s">
        <v>18811</v>
      </c>
      <c r="F4660" s="76">
        <v>40075.0</v>
      </c>
      <c r="G4660" s="68" t="s">
        <v>18812</v>
      </c>
      <c r="H4660" s="71"/>
      <c r="I4660" s="71"/>
      <c r="J4660" s="68" t="s">
        <v>18813</v>
      </c>
      <c r="K4660" s="76">
        <v>43123.0</v>
      </c>
      <c r="L4660" s="68" t="s">
        <v>2743</v>
      </c>
      <c r="M4660" s="68" t="s">
        <v>125</v>
      </c>
      <c r="N4660" s="77"/>
      <c r="O4660" s="51"/>
    </row>
    <row r="4661">
      <c r="A4661" s="75">
        <v>4658.0</v>
      </c>
      <c r="B4661" s="240"/>
      <c r="C4661" s="69" t="s">
        <v>18814</v>
      </c>
      <c r="D4661" s="71"/>
      <c r="E4661" s="68" t="s">
        <v>18815</v>
      </c>
      <c r="F4661" s="76">
        <v>39995.0</v>
      </c>
      <c r="G4661" s="68" t="s">
        <v>18816</v>
      </c>
      <c r="H4661" s="68" t="s">
        <v>18817</v>
      </c>
      <c r="I4661" s="71"/>
      <c r="J4661" s="68" t="s">
        <v>8147</v>
      </c>
      <c r="K4661" s="76">
        <v>43123.0</v>
      </c>
      <c r="L4661" s="68" t="s">
        <v>2743</v>
      </c>
      <c r="M4661" s="68" t="s">
        <v>530</v>
      </c>
      <c r="N4661" s="77"/>
      <c r="O4661" s="51"/>
    </row>
    <row r="4662">
      <c r="A4662" s="56">
        <v>4659.0</v>
      </c>
      <c r="B4662" s="240"/>
      <c r="C4662" s="69" t="s">
        <v>18818</v>
      </c>
      <c r="D4662" s="71"/>
      <c r="E4662" s="68" t="s">
        <v>18819</v>
      </c>
      <c r="F4662" s="83">
        <v>43034.0</v>
      </c>
      <c r="G4662" s="68" t="s">
        <v>18820</v>
      </c>
      <c r="H4662" s="71"/>
      <c r="I4662" s="71"/>
      <c r="J4662" s="68" t="s">
        <v>18821</v>
      </c>
      <c r="K4662" s="76">
        <v>43123.0</v>
      </c>
      <c r="L4662" s="68" t="s">
        <v>2743</v>
      </c>
      <c r="M4662" s="68" t="s">
        <v>166</v>
      </c>
      <c r="N4662" s="77"/>
      <c r="O4662" s="51"/>
    </row>
    <row r="4663">
      <c r="A4663" s="56">
        <v>4660.0</v>
      </c>
      <c r="B4663" s="241"/>
      <c r="C4663" s="64" t="s">
        <v>18822</v>
      </c>
      <c r="D4663" s="66"/>
      <c r="E4663" s="63" t="s">
        <v>18823</v>
      </c>
      <c r="F4663" s="70">
        <v>40725.0</v>
      </c>
      <c r="G4663" s="80" t="s">
        <v>18824</v>
      </c>
      <c r="H4663" s="80" t="s">
        <v>18825</v>
      </c>
      <c r="I4663" s="66"/>
      <c r="J4663" s="63" t="s">
        <v>5946</v>
      </c>
      <c r="K4663" s="70">
        <v>43123.0</v>
      </c>
      <c r="L4663" s="63" t="s">
        <v>2743</v>
      </c>
      <c r="M4663" s="63" t="s">
        <v>2466</v>
      </c>
      <c r="N4663" s="61"/>
      <c r="O4663" s="51"/>
    </row>
    <row r="4664">
      <c r="A4664" s="56">
        <v>4661.0</v>
      </c>
      <c r="B4664" s="246"/>
      <c r="C4664" s="58" t="s">
        <v>18826</v>
      </c>
      <c r="D4664" s="60"/>
      <c r="E4664" s="57" t="s">
        <v>18827</v>
      </c>
      <c r="F4664" s="78">
        <v>43092.0</v>
      </c>
      <c r="G4664" s="57" t="s">
        <v>18828</v>
      </c>
      <c r="H4664" s="60"/>
      <c r="I4664" s="60"/>
      <c r="J4664" s="57" t="s">
        <v>18829</v>
      </c>
      <c r="K4664" s="59">
        <v>43124.0</v>
      </c>
      <c r="L4664" s="57" t="s">
        <v>2743</v>
      </c>
      <c r="M4664" s="57" t="s">
        <v>143</v>
      </c>
      <c r="N4664" s="112"/>
      <c r="O4664" s="51"/>
    </row>
    <row r="4665">
      <c r="A4665" s="75">
        <v>4662.0</v>
      </c>
      <c r="B4665" s="240"/>
      <c r="C4665" s="69" t="s">
        <v>18830</v>
      </c>
      <c r="D4665" s="71"/>
      <c r="E4665" s="68" t="s">
        <v>18831</v>
      </c>
      <c r="F4665" s="76">
        <v>41888.0</v>
      </c>
      <c r="G4665" s="68" t="s">
        <v>18832</v>
      </c>
      <c r="H4665" s="71"/>
      <c r="I4665" s="71"/>
      <c r="J4665" s="68" t="s">
        <v>18833</v>
      </c>
      <c r="K4665" s="76">
        <v>43125.0</v>
      </c>
      <c r="L4665" s="68" t="s">
        <v>2743</v>
      </c>
      <c r="M4665" s="68" t="s">
        <v>125</v>
      </c>
      <c r="N4665" s="77"/>
      <c r="O4665" s="51"/>
    </row>
    <row r="4666">
      <c r="A4666" s="56">
        <v>4663.0</v>
      </c>
      <c r="B4666" s="240"/>
      <c r="C4666" s="69" t="s">
        <v>18834</v>
      </c>
      <c r="D4666" s="71"/>
      <c r="E4666" s="68" t="s">
        <v>18835</v>
      </c>
      <c r="F4666" s="76">
        <v>42145.0</v>
      </c>
      <c r="G4666" s="68" t="s">
        <v>18836</v>
      </c>
      <c r="H4666" s="71"/>
      <c r="I4666" s="71"/>
      <c r="J4666" s="68" t="s">
        <v>18837</v>
      </c>
      <c r="K4666" s="76">
        <v>43125.0</v>
      </c>
      <c r="L4666" s="68" t="s">
        <v>2743</v>
      </c>
      <c r="M4666" s="68" t="s">
        <v>2097</v>
      </c>
      <c r="N4666" s="77"/>
      <c r="O4666" s="51"/>
    </row>
    <row r="4667">
      <c r="A4667" s="56">
        <v>4664.0</v>
      </c>
      <c r="B4667" s="241"/>
      <c r="C4667" s="64" t="s">
        <v>18838</v>
      </c>
      <c r="D4667" s="66"/>
      <c r="E4667" s="63" t="s">
        <v>18839</v>
      </c>
      <c r="F4667" s="70">
        <v>39982.0</v>
      </c>
      <c r="G4667" s="80" t="s">
        <v>18840</v>
      </c>
      <c r="H4667" s="82"/>
      <c r="I4667" s="66"/>
      <c r="J4667" s="63" t="s">
        <v>1872</v>
      </c>
      <c r="K4667" s="70">
        <v>43125.0</v>
      </c>
      <c r="L4667" s="63" t="s">
        <v>2743</v>
      </c>
      <c r="M4667" s="63" t="s">
        <v>530</v>
      </c>
      <c r="N4667" s="61"/>
      <c r="O4667" s="51"/>
    </row>
    <row r="4668">
      <c r="A4668" s="56">
        <v>4665.0</v>
      </c>
      <c r="B4668" s="240"/>
      <c r="C4668" s="69" t="s">
        <v>18841</v>
      </c>
      <c r="D4668" s="71"/>
      <c r="E4668" s="68" t="s">
        <v>18842</v>
      </c>
      <c r="F4668" s="83">
        <v>43084.0</v>
      </c>
      <c r="G4668" s="68" t="s">
        <v>18843</v>
      </c>
      <c r="H4668" s="71"/>
      <c r="I4668" s="71"/>
      <c r="J4668" s="68" t="s">
        <v>18844</v>
      </c>
      <c r="K4668" s="76">
        <v>43129.0</v>
      </c>
      <c r="L4668" s="68" t="s">
        <v>2743</v>
      </c>
      <c r="M4668" s="68" t="s">
        <v>27</v>
      </c>
      <c r="N4668" s="77"/>
      <c r="O4668" s="51"/>
    </row>
    <row r="4669">
      <c r="A4669" s="56">
        <v>4666.0</v>
      </c>
      <c r="B4669" s="240"/>
      <c r="C4669" s="69" t="s">
        <v>18845</v>
      </c>
      <c r="D4669" s="71"/>
      <c r="E4669" s="68" t="s">
        <v>18846</v>
      </c>
      <c r="F4669" s="76">
        <v>42913.0</v>
      </c>
      <c r="G4669" s="68" t="s">
        <v>18847</v>
      </c>
      <c r="H4669" s="71"/>
      <c r="I4669" s="71"/>
      <c r="J4669" s="68" t="s">
        <v>18848</v>
      </c>
      <c r="K4669" s="76">
        <v>43130.0</v>
      </c>
      <c r="L4669" s="68" t="s">
        <v>2743</v>
      </c>
      <c r="M4669" s="68" t="s">
        <v>4273</v>
      </c>
      <c r="N4669" s="77"/>
      <c r="O4669" s="51"/>
    </row>
    <row r="4670">
      <c r="A4670" s="56">
        <v>4667.0</v>
      </c>
      <c r="B4670" s="249"/>
      <c r="C4670" s="250" t="s">
        <v>18849</v>
      </c>
      <c r="D4670" s="251"/>
      <c r="E4670" s="252" t="s">
        <v>18850</v>
      </c>
      <c r="F4670" s="253">
        <v>42913.0</v>
      </c>
      <c r="G4670" s="252" t="s">
        <v>18847</v>
      </c>
      <c r="H4670" s="251"/>
      <c r="I4670" s="251"/>
      <c r="J4670" s="128" t="s">
        <v>18848</v>
      </c>
      <c r="K4670" s="253">
        <v>43130.0</v>
      </c>
      <c r="L4670" s="252" t="s">
        <v>2743</v>
      </c>
      <c r="M4670" s="252" t="s">
        <v>4273</v>
      </c>
      <c r="N4670" s="254" t="s">
        <v>18851</v>
      </c>
      <c r="O4670" s="51"/>
    </row>
    <row r="4671">
      <c r="A4671" s="56">
        <v>4668.0</v>
      </c>
      <c r="B4671" s="255"/>
      <c r="C4671" s="256" t="s">
        <v>18852</v>
      </c>
      <c r="D4671" s="175"/>
      <c r="E4671" s="74" t="s">
        <v>18853</v>
      </c>
      <c r="F4671" s="257">
        <v>42175.0</v>
      </c>
      <c r="G4671" s="224" t="s">
        <v>18854</v>
      </c>
      <c r="H4671" s="258"/>
      <c r="I4671" s="74" t="s">
        <v>18855</v>
      </c>
      <c r="J4671" s="63" t="s">
        <v>10817</v>
      </c>
      <c r="K4671" s="257">
        <v>43132.0</v>
      </c>
      <c r="L4671" s="74" t="s">
        <v>2743</v>
      </c>
      <c r="M4671" s="74" t="s">
        <v>31</v>
      </c>
      <c r="N4671" s="259" t="s">
        <v>18856</v>
      </c>
      <c r="O4671" s="51"/>
    </row>
    <row r="4672">
      <c r="A4672" s="56">
        <v>4669.0</v>
      </c>
      <c r="B4672" s="240"/>
      <c r="C4672" s="69" t="s">
        <v>18857</v>
      </c>
      <c r="D4672" s="71"/>
      <c r="E4672" s="68" t="s">
        <v>18858</v>
      </c>
      <c r="F4672" s="76">
        <v>42751.0</v>
      </c>
      <c r="G4672" s="68" t="s">
        <v>18859</v>
      </c>
      <c r="H4672" s="71"/>
      <c r="I4672" s="71"/>
      <c r="J4672" s="68" t="s">
        <v>18860</v>
      </c>
      <c r="K4672" s="76">
        <v>43137.0</v>
      </c>
      <c r="L4672" s="68" t="s">
        <v>2743</v>
      </c>
      <c r="M4672" s="68" t="s">
        <v>31</v>
      </c>
      <c r="N4672" s="131"/>
      <c r="O4672" s="51"/>
    </row>
    <row r="4673">
      <c r="A4673" s="56">
        <v>4670.0</v>
      </c>
      <c r="B4673" s="240"/>
      <c r="C4673" s="69" t="s">
        <v>18861</v>
      </c>
      <c r="D4673" s="71"/>
      <c r="E4673" s="68" t="s">
        <v>18862</v>
      </c>
      <c r="F4673" s="76">
        <v>42751.0</v>
      </c>
      <c r="G4673" s="68" t="s">
        <v>18863</v>
      </c>
      <c r="H4673" s="71"/>
      <c r="I4673" s="68" t="s">
        <v>18864</v>
      </c>
      <c r="J4673" s="68" t="s">
        <v>18865</v>
      </c>
      <c r="K4673" s="76">
        <v>43137.0</v>
      </c>
      <c r="L4673" s="68" t="s">
        <v>2743</v>
      </c>
      <c r="M4673" s="68" t="s">
        <v>31</v>
      </c>
      <c r="N4673" s="77"/>
      <c r="O4673" s="51"/>
    </row>
    <row r="4674">
      <c r="A4674" s="56">
        <v>4671.0</v>
      </c>
      <c r="B4674" s="240"/>
      <c r="C4674" s="69" t="s">
        <v>18866</v>
      </c>
      <c r="D4674" s="71"/>
      <c r="E4674" s="68" t="s">
        <v>18867</v>
      </c>
      <c r="F4674" s="76">
        <v>43113.0</v>
      </c>
      <c r="G4674" s="68" t="s">
        <v>18868</v>
      </c>
      <c r="H4674" s="71"/>
      <c r="I4674" s="68" t="s">
        <v>18869</v>
      </c>
      <c r="J4674" s="68" t="s">
        <v>18870</v>
      </c>
      <c r="K4674" s="76">
        <v>43137.0</v>
      </c>
      <c r="L4674" s="68" t="s">
        <v>2743</v>
      </c>
      <c r="M4674" s="68" t="s">
        <v>31</v>
      </c>
      <c r="N4674" s="77"/>
      <c r="O4674" s="51"/>
    </row>
    <row r="4675">
      <c r="A4675" s="56">
        <v>4672.0</v>
      </c>
      <c r="B4675" s="240"/>
      <c r="C4675" s="69" t="s">
        <v>18871</v>
      </c>
      <c r="D4675" s="71"/>
      <c r="E4675" s="68" t="s">
        <v>18872</v>
      </c>
      <c r="F4675" s="76">
        <v>43113.0</v>
      </c>
      <c r="G4675" s="68" t="s">
        <v>18873</v>
      </c>
      <c r="H4675" s="71"/>
      <c r="I4675" s="68" t="s">
        <v>18869</v>
      </c>
      <c r="J4675" s="68" t="s">
        <v>18874</v>
      </c>
      <c r="K4675" s="76">
        <v>43137.0</v>
      </c>
      <c r="L4675" s="68" t="s">
        <v>2743</v>
      </c>
      <c r="M4675" s="68" t="s">
        <v>31</v>
      </c>
      <c r="N4675" s="77"/>
      <c r="O4675" s="51"/>
    </row>
    <row r="4676">
      <c r="A4676" s="56">
        <v>4673.0</v>
      </c>
      <c r="B4676" s="246"/>
      <c r="C4676" s="58" t="s">
        <v>18875</v>
      </c>
      <c r="D4676" s="60"/>
      <c r="E4676" s="57" t="s">
        <v>18876</v>
      </c>
      <c r="F4676" s="59">
        <v>43129.0</v>
      </c>
      <c r="G4676" s="57" t="s">
        <v>18877</v>
      </c>
      <c r="H4676" s="60"/>
      <c r="I4676" s="60"/>
      <c r="J4676" s="57" t="s">
        <v>18878</v>
      </c>
      <c r="K4676" s="59">
        <v>43137.0</v>
      </c>
      <c r="L4676" s="57" t="s">
        <v>2743</v>
      </c>
      <c r="M4676" s="57" t="s">
        <v>31</v>
      </c>
      <c r="N4676" s="112"/>
      <c r="O4676" s="51"/>
    </row>
    <row r="4677">
      <c r="A4677" s="56">
        <v>4674.0</v>
      </c>
      <c r="B4677" s="241"/>
      <c r="C4677" s="64" t="s">
        <v>18879</v>
      </c>
      <c r="D4677" s="66"/>
      <c r="E4677" s="63" t="s">
        <v>18880</v>
      </c>
      <c r="F4677" s="70">
        <v>41780.0</v>
      </c>
      <c r="G4677" s="80" t="s">
        <v>18881</v>
      </c>
      <c r="H4677" s="82"/>
      <c r="I4677" s="66"/>
      <c r="J4677" s="63" t="s">
        <v>11049</v>
      </c>
      <c r="K4677" s="70">
        <v>43137.0</v>
      </c>
      <c r="L4677" s="63" t="s">
        <v>2743</v>
      </c>
      <c r="M4677" s="63" t="s">
        <v>27</v>
      </c>
      <c r="N4677" s="61"/>
      <c r="O4677" s="51"/>
    </row>
    <row r="4678">
      <c r="A4678" s="56">
        <v>4675.0</v>
      </c>
      <c r="B4678" s="241"/>
      <c r="C4678" s="64" t="s">
        <v>18882</v>
      </c>
      <c r="D4678" s="66"/>
      <c r="E4678" s="63" t="s">
        <v>18883</v>
      </c>
      <c r="F4678" s="65">
        <v>41935.0</v>
      </c>
      <c r="G4678" s="80" t="s">
        <v>18884</v>
      </c>
      <c r="H4678" s="82"/>
      <c r="I4678" s="66"/>
      <c r="J4678" s="63" t="s">
        <v>18885</v>
      </c>
      <c r="K4678" s="70">
        <v>43137.0</v>
      </c>
      <c r="L4678" s="63" t="s">
        <v>2743</v>
      </c>
      <c r="M4678" s="63" t="s">
        <v>125</v>
      </c>
      <c r="N4678" s="61"/>
      <c r="O4678" s="51"/>
    </row>
    <row r="4679">
      <c r="A4679" s="75">
        <v>4676.0</v>
      </c>
      <c r="B4679" s="240"/>
      <c r="C4679" s="69" t="s">
        <v>18886</v>
      </c>
      <c r="D4679" s="71"/>
      <c r="E4679" s="68" t="s">
        <v>18887</v>
      </c>
      <c r="F4679" s="76">
        <v>43077.0</v>
      </c>
      <c r="G4679" s="68" t="s">
        <v>18888</v>
      </c>
      <c r="H4679" s="71"/>
      <c r="I4679" s="68" t="s">
        <v>18889</v>
      </c>
      <c r="J4679" s="68" t="s">
        <v>18890</v>
      </c>
      <c r="K4679" s="76">
        <v>43138.0</v>
      </c>
      <c r="L4679" s="68" t="s">
        <v>2743</v>
      </c>
      <c r="M4679" s="68" t="s">
        <v>10279</v>
      </c>
      <c r="N4679" s="77"/>
      <c r="O4679" s="51"/>
    </row>
    <row r="4680">
      <c r="A4680" s="56">
        <v>4677.0</v>
      </c>
      <c r="B4680" s="240"/>
      <c r="C4680" s="69" t="s">
        <v>18891</v>
      </c>
      <c r="D4680" s="71"/>
      <c r="E4680" s="68" t="s">
        <v>18892</v>
      </c>
      <c r="F4680" s="76">
        <v>42944.0</v>
      </c>
      <c r="G4680" s="68" t="s">
        <v>18893</v>
      </c>
      <c r="H4680" s="71"/>
      <c r="I4680" s="68" t="s">
        <v>18894</v>
      </c>
      <c r="J4680" s="68" t="s">
        <v>18895</v>
      </c>
      <c r="K4680" s="76">
        <v>43140.0</v>
      </c>
      <c r="L4680" s="68" t="s">
        <v>2743</v>
      </c>
      <c r="M4680" s="68" t="s">
        <v>17303</v>
      </c>
      <c r="N4680" s="77"/>
      <c r="O4680" s="51"/>
    </row>
    <row r="4681">
      <c r="A4681" s="56">
        <v>4678.0</v>
      </c>
      <c r="B4681" s="241"/>
      <c r="C4681" s="64" t="s">
        <v>18896</v>
      </c>
      <c r="D4681" s="66"/>
      <c r="E4681" s="63" t="s">
        <v>18897</v>
      </c>
      <c r="F4681" s="70">
        <v>42506.0</v>
      </c>
      <c r="G4681" s="80" t="s">
        <v>18898</v>
      </c>
      <c r="H4681" s="80" t="s">
        <v>18899</v>
      </c>
      <c r="I4681" s="63" t="s">
        <v>18900</v>
      </c>
      <c r="J4681" s="63" t="s">
        <v>18901</v>
      </c>
      <c r="K4681" s="70">
        <v>43140.0</v>
      </c>
      <c r="L4681" s="63" t="s">
        <v>2743</v>
      </c>
      <c r="M4681" s="63" t="s">
        <v>31</v>
      </c>
      <c r="N4681" s="61"/>
      <c r="O4681" s="51"/>
    </row>
    <row r="4682">
      <c r="A4682" s="56">
        <v>4679.0</v>
      </c>
      <c r="B4682" s="246"/>
      <c r="C4682" s="58" t="s">
        <v>18902</v>
      </c>
      <c r="D4682" s="60"/>
      <c r="E4682" s="57" t="s">
        <v>18903</v>
      </c>
      <c r="F4682" s="78">
        <v>43088.0</v>
      </c>
      <c r="G4682" s="57" t="s">
        <v>18904</v>
      </c>
      <c r="H4682" s="60"/>
      <c r="I4682" s="60"/>
      <c r="J4682" s="57" t="s">
        <v>18663</v>
      </c>
      <c r="K4682" s="59">
        <v>43143.0</v>
      </c>
      <c r="L4682" s="57" t="s">
        <v>2743</v>
      </c>
      <c r="M4682" s="57" t="s">
        <v>143</v>
      </c>
      <c r="N4682" s="112"/>
      <c r="O4682" s="51"/>
    </row>
    <row r="4683">
      <c r="A4683" s="56">
        <v>4680.0</v>
      </c>
      <c r="B4683" s="240"/>
      <c r="C4683" s="69" t="s">
        <v>18905</v>
      </c>
      <c r="D4683" s="71"/>
      <c r="E4683" s="68" t="s">
        <v>18906</v>
      </c>
      <c r="F4683" s="83">
        <v>41994.0</v>
      </c>
      <c r="G4683" s="68" t="s">
        <v>18907</v>
      </c>
      <c r="H4683" s="71"/>
      <c r="I4683" s="68" t="s">
        <v>18908</v>
      </c>
      <c r="J4683" s="68" t="s">
        <v>18909</v>
      </c>
      <c r="K4683" s="76">
        <v>43143.0</v>
      </c>
      <c r="L4683" s="68" t="s">
        <v>2743</v>
      </c>
      <c r="M4683" s="68" t="s">
        <v>530</v>
      </c>
      <c r="N4683" s="77"/>
      <c r="O4683" s="51"/>
    </row>
    <row r="4684">
      <c r="A4684" s="56">
        <v>4681.0</v>
      </c>
      <c r="B4684" s="240"/>
      <c r="C4684" s="69" t="s">
        <v>18910</v>
      </c>
      <c r="D4684" s="71"/>
      <c r="E4684" s="68" t="s">
        <v>18911</v>
      </c>
      <c r="F4684" s="76">
        <v>43126.0</v>
      </c>
      <c r="G4684" s="68" t="s">
        <v>18912</v>
      </c>
      <c r="H4684" s="71"/>
      <c r="I4684" s="68" t="s">
        <v>18913</v>
      </c>
      <c r="J4684" s="68" t="s">
        <v>18914</v>
      </c>
      <c r="K4684" s="76">
        <v>43143.0</v>
      </c>
      <c r="L4684" s="68" t="s">
        <v>2743</v>
      </c>
      <c r="M4684" s="68" t="s">
        <v>149</v>
      </c>
      <c r="N4684" s="77"/>
      <c r="O4684" s="51"/>
    </row>
    <row r="4685">
      <c r="A4685" s="56">
        <v>4682.0</v>
      </c>
      <c r="B4685" s="240"/>
      <c r="C4685" s="69" t="s">
        <v>18915</v>
      </c>
      <c r="D4685" s="71"/>
      <c r="E4685" s="68" t="s">
        <v>18916</v>
      </c>
      <c r="F4685" s="76">
        <v>42963.0</v>
      </c>
      <c r="G4685" s="68" t="s">
        <v>18917</v>
      </c>
      <c r="H4685" s="71"/>
      <c r="I4685" s="68" t="s">
        <v>18918</v>
      </c>
      <c r="J4685" s="68" t="s">
        <v>18919</v>
      </c>
      <c r="K4685" s="76">
        <v>43143.0</v>
      </c>
      <c r="L4685" s="68" t="s">
        <v>2743</v>
      </c>
      <c r="M4685" s="68" t="s">
        <v>149</v>
      </c>
      <c r="N4685" s="77"/>
      <c r="O4685" s="51"/>
    </row>
    <row r="4686">
      <c r="A4686" s="56">
        <v>4683.0</v>
      </c>
      <c r="B4686" s="241"/>
      <c r="C4686" s="64" t="s">
        <v>18920</v>
      </c>
      <c r="D4686" s="66"/>
      <c r="E4686" s="63" t="s">
        <v>18921</v>
      </c>
      <c r="F4686" s="70">
        <v>40451.0</v>
      </c>
      <c r="G4686" s="80" t="s">
        <v>18922</v>
      </c>
      <c r="H4686" s="82"/>
      <c r="I4686" s="66"/>
      <c r="J4686" s="63" t="s">
        <v>5679</v>
      </c>
      <c r="K4686" s="70">
        <v>43143.0</v>
      </c>
      <c r="L4686" s="63" t="s">
        <v>2743</v>
      </c>
      <c r="M4686" s="63" t="s">
        <v>125</v>
      </c>
      <c r="N4686" s="61"/>
      <c r="O4686" s="51"/>
    </row>
    <row r="4687">
      <c r="A4687" s="56">
        <v>4684.0</v>
      </c>
      <c r="B4687" s="241"/>
      <c r="C4687" s="64" t="s">
        <v>18923</v>
      </c>
      <c r="D4687" s="66"/>
      <c r="E4687" s="63" t="s">
        <v>18924</v>
      </c>
      <c r="F4687" s="70">
        <v>42546.0</v>
      </c>
      <c r="G4687" s="80" t="s">
        <v>18925</v>
      </c>
      <c r="H4687" s="80" t="s">
        <v>18926</v>
      </c>
      <c r="I4687" s="66"/>
      <c r="J4687" s="63" t="s">
        <v>5679</v>
      </c>
      <c r="K4687" s="70">
        <v>43143.0</v>
      </c>
      <c r="L4687" s="63" t="s">
        <v>2743</v>
      </c>
      <c r="M4687" s="63" t="s">
        <v>125</v>
      </c>
      <c r="N4687" s="61"/>
      <c r="O4687" s="51"/>
    </row>
    <row r="4688">
      <c r="A4688" s="56">
        <v>4685.0</v>
      </c>
      <c r="B4688" s="240"/>
      <c r="C4688" s="69" t="s">
        <v>18927</v>
      </c>
      <c r="D4688" s="71"/>
      <c r="E4688" s="68" t="s">
        <v>18928</v>
      </c>
      <c r="F4688" s="83">
        <v>42734.0</v>
      </c>
      <c r="G4688" s="68" t="s">
        <v>18929</v>
      </c>
      <c r="H4688" s="71"/>
      <c r="I4688" s="71"/>
      <c r="J4688" s="68" t="s">
        <v>18930</v>
      </c>
      <c r="K4688" s="76">
        <v>43143.0</v>
      </c>
      <c r="L4688" s="68" t="s">
        <v>2743</v>
      </c>
      <c r="M4688" s="68" t="s">
        <v>166</v>
      </c>
      <c r="N4688" s="77"/>
      <c r="O4688" s="51"/>
    </row>
    <row r="4689">
      <c r="A4689" s="56">
        <v>4686.0</v>
      </c>
      <c r="B4689" s="240"/>
      <c r="C4689" s="69" t="s">
        <v>18931</v>
      </c>
      <c r="D4689" s="71"/>
      <c r="E4689" s="68" t="s">
        <v>18932</v>
      </c>
      <c r="F4689" s="76">
        <v>42767.0</v>
      </c>
      <c r="G4689" s="68" t="s">
        <v>18933</v>
      </c>
      <c r="H4689" s="71"/>
      <c r="I4689" s="71"/>
      <c r="J4689" s="68" t="s">
        <v>18934</v>
      </c>
      <c r="K4689" s="76">
        <v>43143.0</v>
      </c>
      <c r="L4689" s="68" t="s">
        <v>2743</v>
      </c>
      <c r="M4689" s="68" t="s">
        <v>195</v>
      </c>
      <c r="N4689" s="77"/>
      <c r="O4689" s="51"/>
    </row>
    <row r="4690">
      <c r="A4690" s="56">
        <v>4687.0</v>
      </c>
      <c r="B4690" s="240"/>
      <c r="C4690" s="69" t="s">
        <v>18935</v>
      </c>
      <c r="D4690" s="71"/>
      <c r="E4690" s="68" t="s">
        <v>18936</v>
      </c>
      <c r="F4690" s="76">
        <v>43114.0</v>
      </c>
      <c r="G4690" s="68" t="s">
        <v>18937</v>
      </c>
      <c r="H4690" s="71"/>
      <c r="I4690" s="71"/>
      <c r="J4690" s="68" t="s">
        <v>18938</v>
      </c>
      <c r="K4690" s="76">
        <v>43143.0</v>
      </c>
      <c r="L4690" s="68" t="s">
        <v>2743</v>
      </c>
      <c r="M4690" s="68" t="s">
        <v>166</v>
      </c>
      <c r="N4690" s="77"/>
      <c r="O4690" s="51"/>
    </row>
    <row r="4691">
      <c r="A4691" s="56">
        <v>4688.0</v>
      </c>
      <c r="B4691" s="241"/>
      <c r="C4691" s="64" t="s">
        <v>18939</v>
      </c>
      <c r="D4691" s="66"/>
      <c r="E4691" s="63" t="s">
        <v>18940</v>
      </c>
      <c r="F4691" s="70">
        <v>41080.0</v>
      </c>
      <c r="G4691" s="80" t="s">
        <v>18941</v>
      </c>
      <c r="H4691" s="82"/>
      <c r="I4691" s="66"/>
      <c r="J4691" s="63" t="s">
        <v>5679</v>
      </c>
      <c r="K4691" s="70">
        <v>43143.0</v>
      </c>
      <c r="L4691" s="63" t="s">
        <v>2743</v>
      </c>
      <c r="M4691" s="63" t="s">
        <v>2097</v>
      </c>
      <c r="N4691" s="61"/>
      <c r="O4691" s="51"/>
    </row>
    <row r="4692">
      <c r="A4692" s="56">
        <v>4689.0</v>
      </c>
      <c r="B4692" s="241"/>
      <c r="C4692" s="64" t="s">
        <v>18942</v>
      </c>
      <c r="D4692" s="66"/>
      <c r="E4692" s="63" t="s">
        <v>18943</v>
      </c>
      <c r="F4692" s="70">
        <v>42856.0</v>
      </c>
      <c r="G4692" s="80" t="s">
        <v>18944</v>
      </c>
      <c r="H4692" s="82"/>
      <c r="I4692" s="66"/>
      <c r="J4692" s="63" t="s">
        <v>7523</v>
      </c>
      <c r="K4692" s="70">
        <v>43143.0</v>
      </c>
      <c r="L4692" s="63" t="s">
        <v>2743</v>
      </c>
      <c r="M4692" s="63" t="s">
        <v>18945</v>
      </c>
      <c r="N4692" s="61"/>
      <c r="O4692" s="51"/>
    </row>
    <row r="4693">
      <c r="A4693" s="56">
        <v>4690.0</v>
      </c>
      <c r="B4693" s="241"/>
      <c r="C4693" s="64" t="s">
        <v>18946</v>
      </c>
      <c r="D4693" s="66"/>
      <c r="E4693" s="63" t="s">
        <v>18947</v>
      </c>
      <c r="F4693" s="70">
        <v>39630.0</v>
      </c>
      <c r="G4693" s="80" t="s">
        <v>18948</v>
      </c>
      <c r="H4693" s="82"/>
      <c r="I4693" s="66"/>
      <c r="J4693" s="63" t="s">
        <v>5679</v>
      </c>
      <c r="K4693" s="70">
        <v>43143.0</v>
      </c>
      <c r="L4693" s="63" t="s">
        <v>2743</v>
      </c>
      <c r="M4693" s="63" t="s">
        <v>530</v>
      </c>
      <c r="N4693" s="61"/>
      <c r="O4693" s="51"/>
    </row>
    <row r="4694">
      <c r="A4694" s="56">
        <v>4691.0</v>
      </c>
      <c r="B4694" s="240"/>
      <c r="C4694" s="69" t="s">
        <v>18949</v>
      </c>
      <c r="D4694" s="71"/>
      <c r="E4694" s="68" t="s">
        <v>18950</v>
      </c>
      <c r="F4694" s="83">
        <v>43068.0</v>
      </c>
      <c r="G4694" s="68" t="s">
        <v>18951</v>
      </c>
      <c r="H4694" s="71"/>
      <c r="I4694" s="68" t="s">
        <v>18952</v>
      </c>
      <c r="J4694" s="68" t="s">
        <v>18953</v>
      </c>
      <c r="K4694" s="76">
        <v>43143.0</v>
      </c>
      <c r="L4694" s="68" t="s">
        <v>2743</v>
      </c>
      <c r="M4694" s="68" t="s">
        <v>149</v>
      </c>
      <c r="N4694" s="77"/>
      <c r="O4694" s="51"/>
    </row>
    <row r="4695">
      <c r="A4695" s="56">
        <v>4692.0</v>
      </c>
      <c r="B4695" s="240"/>
      <c r="C4695" s="69" t="s">
        <v>18954</v>
      </c>
      <c r="D4695" s="71"/>
      <c r="E4695" s="68" t="s">
        <v>18955</v>
      </c>
      <c r="F4695" s="76">
        <v>42705.0</v>
      </c>
      <c r="G4695" s="68" t="s">
        <v>18956</v>
      </c>
      <c r="H4695" s="71"/>
      <c r="I4695" s="71"/>
      <c r="J4695" s="68" t="s">
        <v>18957</v>
      </c>
      <c r="K4695" s="76">
        <v>43143.0</v>
      </c>
      <c r="L4695" s="68" t="s">
        <v>2743</v>
      </c>
      <c r="M4695" s="68" t="s">
        <v>2291</v>
      </c>
      <c r="N4695" s="77"/>
      <c r="O4695" s="51"/>
    </row>
    <row r="4696">
      <c r="A4696" s="56">
        <v>4693.0</v>
      </c>
      <c r="B4696" s="240"/>
      <c r="C4696" s="69" t="s">
        <v>18958</v>
      </c>
      <c r="D4696" s="71"/>
      <c r="E4696" s="68" t="s">
        <v>18959</v>
      </c>
      <c r="F4696" s="76">
        <v>42484.0</v>
      </c>
      <c r="G4696" s="68" t="s">
        <v>18960</v>
      </c>
      <c r="H4696" s="71"/>
      <c r="I4696" s="71"/>
      <c r="J4696" s="68" t="s">
        <v>18961</v>
      </c>
      <c r="K4696" s="76">
        <v>43143.0</v>
      </c>
      <c r="L4696" s="68" t="s">
        <v>18962</v>
      </c>
      <c r="M4696" s="68" t="s">
        <v>166</v>
      </c>
      <c r="N4696" s="77"/>
      <c r="O4696" s="51"/>
    </row>
    <row r="4697">
      <c r="A4697" s="56">
        <v>4694.0</v>
      </c>
      <c r="B4697" s="240"/>
      <c r="C4697" s="69" t="s">
        <v>18963</v>
      </c>
      <c r="D4697" s="71"/>
      <c r="E4697" s="68" t="s">
        <v>18964</v>
      </c>
      <c r="F4697" s="76">
        <v>43006.0</v>
      </c>
      <c r="G4697" s="68" t="s">
        <v>18965</v>
      </c>
      <c r="H4697" s="71"/>
      <c r="I4697" s="68" t="s">
        <v>18966</v>
      </c>
      <c r="J4697" s="68" t="s">
        <v>18967</v>
      </c>
      <c r="K4697" s="76">
        <v>43143.0</v>
      </c>
      <c r="L4697" s="68" t="s">
        <v>2743</v>
      </c>
      <c r="M4697" s="68" t="s">
        <v>4487</v>
      </c>
      <c r="N4697" s="77"/>
      <c r="O4697" s="51"/>
    </row>
    <row r="4698">
      <c r="A4698" s="56">
        <v>4695.0</v>
      </c>
      <c r="B4698" s="240"/>
      <c r="C4698" s="69" t="s">
        <v>18968</v>
      </c>
      <c r="D4698" s="71"/>
      <c r="E4698" s="68" t="s">
        <v>18969</v>
      </c>
      <c r="F4698" s="76">
        <v>42867.0</v>
      </c>
      <c r="G4698" s="68" t="s">
        <v>18970</v>
      </c>
      <c r="H4698" s="71"/>
      <c r="I4698" s="71"/>
      <c r="J4698" s="68" t="s">
        <v>18971</v>
      </c>
      <c r="K4698" s="76">
        <v>43143.0</v>
      </c>
      <c r="L4698" s="68" t="s">
        <v>2743</v>
      </c>
      <c r="M4698" s="68" t="s">
        <v>166</v>
      </c>
      <c r="N4698" s="77"/>
      <c r="O4698" s="51"/>
    </row>
    <row r="4699">
      <c r="A4699" s="56">
        <v>4696.0</v>
      </c>
      <c r="B4699" s="241"/>
      <c r="C4699" s="64" t="s">
        <v>18972</v>
      </c>
      <c r="D4699" s="66"/>
      <c r="E4699" s="63" t="s">
        <v>18973</v>
      </c>
      <c r="F4699" s="70">
        <v>40770.0</v>
      </c>
      <c r="G4699" s="80" t="s">
        <v>18974</v>
      </c>
      <c r="H4699" s="82"/>
      <c r="I4699" s="66"/>
      <c r="J4699" s="63" t="s">
        <v>5679</v>
      </c>
      <c r="K4699" s="70">
        <v>43143.0</v>
      </c>
      <c r="L4699" s="63" t="s">
        <v>2743</v>
      </c>
      <c r="M4699" s="63" t="s">
        <v>125</v>
      </c>
      <c r="N4699" s="61"/>
      <c r="O4699" s="51"/>
    </row>
    <row r="4700">
      <c r="A4700" s="56">
        <v>4697.0</v>
      </c>
      <c r="B4700" s="241"/>
      <c r="C4700" s="64" t="s">
        <v>18975</v>
      </c>
      <c r="D4700" s="66"/>
      <c r="E4700" s="63" t="s">
        <v>18976</v>
      </c>
      <c r="F4700" s="70">
        <v>39995.0</v>
      </c>
      <c r="G4700" s="80" t="s">
        <v>18974</v>
      </c>
      <c r="H4700" s="82"/>
      <c r="I4700" s="63" t="s">
        <v>18977</v>
      </c>
      <c r="J4700" s="63" t="s">
        <v>5679</v>
      </c>
      <c r="K4700" s="70">
        <v>43143.0</v>
      </c>
      <c r="L4700" s="63" t="s">
        <v>2743</v>
      </c>
      <c r="M4700" s="63" t="s">
        <v>2152</v>
      </c>
      <c r="N4700" s="61"/>
      <c r="O4700" s="51"/>
    </row>
    <row r="4701">
      <c r="A4701" s="75">
        <v>4698.0</v>
      </c>
      <c r="B4701" s="240"/>
      <c r="C4701" s="69" t="s">
        <v>18978</v>
      </c>
      <c r="D4701" s="71"/>
      <c r="E4701" s="68" t="s">
        <v>18979</v>
      </c>
      <c r="F4701" s="83">
        <v>43067.0</v>
      </c>
      <c r="G4701" s="68" t="s">
        <v>18980</v>
      </c>
      <c r="H4701" s="71"/>
      <c r="I4701" s="71"/>
      <c r="J4701" s="68" t="s">
        <v>18981</v>
      </c>
      <c r="K4701" s="76">
        <v>43143.0</v>
      </c>
      <c r="L4701" s="68" t="s">
        <v>2743</v>
      </c>
      <c r="M4701" s="68" t="s">
        <v>368</v>
      </c>
      <c r="N4701" s="77"/>
      <c r="O4701" s="51"/>
    </row>
    <row r="4702">
      <c r="A4702" s="56">
        <v>4699.0</v>
      </c>
      <c r="B4702" s="241"/>
      <c r="C4702" s="64" t="s">
        <v>18982</v>
      </c>
      <c r="D4702" s="66"/>
      <c r="E4702" s="63" t="s">
        <v>18983</v>
      </c>
      <c r="F4702" s="70">
        <v>41542.0</v>
      </c>
      <c r="G4702" s="80" t="s">
        <v>18984</v>
      </c>
      <c r="H4702" s="82"/>
      <c r="I4702" s="63" t="s">
        <v>18985</v>
      </c>
      <c r="J4702" s="63" t="s">
        <v>5679</v>
      </c>
      <c r="K4702" s="70">
        <v>43143.0</v>
      </c>
      <c r="L4702" s="63" t="s">
        <v>2743</v>
      </c>
      <c r="M4702" s="63" t="s">
        <v>2466</v>
      </c>
      <c r="N4702" s="61"/>
      <c r="O4702" s="51"/>
    </row>
    <row r="4703">
      <c r="A4703" s="56">
        <v>4700.0</v>
      </c>
      <c r="B4703" s="246"/>
      <c r="C4703" s="58" t="s">
        <v>18986</v>
      </c>
      <c r="D4703" s="60"/>
      <c r="E4703" s="57" t="s">
        <v>18987</v>
      </c>
      <c r="F4703" s="59">
        <v>43071.0</v>
      </c>
      <c r="G4703" s="57" t="s">
        <v>18988</v>
      </c>
      <c r="H4703" s="60"/>
      <c r="I4703" s="60"/>
      <c r="J4703" s="57" t="s">
        <v>18989</v>
      </c>
      <c r="K4703" s="59">
        <v>43143.0</v>
      </c>
      <c r="L4703" s="57" t="s">
        <v>2743</v>
      </c>
      <c r="M4703" s="57" t="s">
        <v>166</v>
      </c>
      <c r="N4703" s="112"/>
      <c r="O4703" s="51"/>
    </row>
    <row r="4704">
      <c r="A4704" s="56">
        <v>4701.0</v>
      </c>
      <c r="B4704" s="240"/>
      <c r="C4704" s="69" t="s">
        <v>18990</v>
      </c>
      <c r="D4704" s="71"/>
      <c r="E4704" s="68" t="s">
        <v>18991</v>
      </c>
      <c r="F4704" s="76">
        <v>42019.0</v>
      </c>
      <c r="G4704" s="68" t="s">
        <v>18992</v>
      </c>
      <c r="H4704" s="71"/>
      <c r="I4704" s="71"/>
      <c r="J4704" s="68" t="s">
        <v>18993</v>
      </c>
      <c r="K4704" s="76">
        <v>43143.0</v>
      </c>
      <c r="L4704" s="68" t="s">
        <v>2743</v>
      </c>
      <c r="M4704" s="68" t="s">
        <v>17303</v>
      </c>
      <c r="N4704" s="77"/>
      <c r="O4704" s="51"/>
    </row>
    <row r="4705">
      <c r="A4705" s="56">
        <v>4702.0</v>
      </c>
      <c r="B4705" s="240"/>
      <c r="C4705" s="69" t="s">
        <v>18994</v>
      </c>
      <c r="D4705" s="71"/>
      <c r="E4705" s="68" t="s">
        <v>18995</v>
      </c>
      <c r="F4705" s="76">
        <v>42217.0</v>
      </c>
      <c r="G4705" s="68" t="s">
        <v>18996</v>
      </c>
      <c r="H4705" s="71"/>
      <c r="I4705" s="71"/>
      <c r="J4705" s="68" t="s">
        <v>18997</v>
      </c>
      <c r="K4705" s="76">
        <v>43143.0</v>
      </c>
      <c r="L4705" s="68" t="s">
        <v>13542</v>
      </c>
      <c r="M4705" s="68" t="s">
        <v>27</v>
      </c>
      <c r="N4705" s="77"/>
      <c r="O4705" s="51"/>
    </row>
    <row r="4706">
      <c r="A4706" s="56">
        <v>4703.0</v>
      </c>
      <c r="B4706" s="240"/>
      <c r="C4706" s="69" t="s">
        <v>18998</v>
      </c>
      <c r="D4706" s="71"/>
      <c r="E4706" s="68" t="s">
        <v>18999</v>
      </c>
      <c r="F4706" s="76">
        <v>42217.0</v>
      </c>
      <c r="G4706" s="68" t="s">
        <v>19000</v>
      </c>
      <c r="H4706" s="71"/>
      <c r="I4706" s="71"/>
      <c r="J4706" s="68" t="s">
        <v>19001</v>
      </c>
      <c r="K4706" s="76">
        <v>43143.0</v>
      </c>
      <c r="L4706" s="68" t="s">
        <v>13542</v>
      </c>
      <c r="M4706" s="68" t="s">
        <v>27</v>
      </c>
      <c r="N4706" s="77"/>
      <c r="O4706" s="51"/>
    </row>
    <row r="4707">
      <c r="A4707" s="56">
        <v>4704.0</v>
      </c>
      <c r="B4707" s="240"/>
      <c r="C4707" s="69" t="s">
        <v>19002</v>
      </c>
      <c r="D4707" s="71"/>
      <c r="E4707" s="68" t="s">
        <v>19003</v>
      </c>
      <c r="F4707" s="76">
        <v>42634.0</v>
      </c>
      <c r="G4707" s="68" t="s">
        <v>19004</v>
      </c>
      <c r="H4707" s="71"/>
      <c r="I4707" s="68" t="s">
        <v>19005</v>
      </c>
      <c r="J4707" s="68" t="s">
        <v>19006</v>
      </c>
      <c r="K4707" s="76">
        <v>43143.0</v>
      </c>
      <c r="L4707" s="68" t="s">
        <v>19007</v>
      </c>
      <c r="M4707" s="68" t="s">
        <v>27</v>
      </c>
      <c r="N4707" s="77"/>
      <c r="O4707" s="51"/>
    </row>
    <row r="4708">
      <c r="A4708" s="56">
        <v>4705.0</v>
      </c>
      <c r="B4708" s="240"/>
      <c r="C4708" s="69" t="s">
        <v>19008</v>
      </c>
      <c r="D4708" s="71"/>
      <c r="E4708" s="68" t="s">
        <v>13700</v>
      </c>
      <c r="F4708" s="76">
        <v>43047.0</v>
      </c>
      <c r="G4708" s="68" t="s">
        <v>19009</v>
      </c>
      <c r="H4708" s="71"/>
      <c r="I4708" s="71"/>
      <c r="J4708" s="68" t="s">
        <v>19010</v>
      </c>
      <c r="K4708" s="76">
        <v>43143.0</v>
      </c>
      <c r="L4708" s="68" t="s">
        <v>2743</v>
      </c>
      <c r="M4708" s="68" t="s">
        <v>3407</v>
      </c>
      <c r="N4708" s="77"/>
      <c r="O4708" s="51"/>
    </row>
    <row r="4709">
      <c r="A4709" s="56">
        <v>4706.0</v>
      </c>
      <c r="B4709" s="240"/>
      <c r="C4709" s="69" t="s">
        <v>19011</v>
      </c>
      <c r="D4709" s="71"/>
      <c r="E4709" s="68" t="s">
        <v>19012</v>
      </c>
      <c r="F4709" s="76">
        <v>43005.0</v>
      </c>
      <c r="G4709" s="68" t="s">
        <v>19013</v>
      </c>
      <c r="H4709" s="71"/>
      <c r="I4709" s="71"/>
      <c r="J4709" s="68" t="s">
        <v>19014</v>
      </c>
      <c r="K4709" s="76">
        <v>43143.0</v>
      </c>
      <c r="L4709" s="68" t="s">
        <v>2743</v>
      </c>
      <c r="M4709" s="68" t="s">
        <v>166</v>
      </c>
      <c r="N4709" s="77"/>
      <c r="O4709" s="51"/>
    </row>
    <row r="4710">
      <c r="A4710" s="56">
        <v>4707.0</v>
      </c>
      <c r="B4710" s="240"/>
      <c r="C4710" s="69" t="s">
        <v>19015</v>
      </c>
      <c r="D4710" s="71"/>
      <c r="E4710" s="68" t="s">
        <v>19016</v>
      </c>
      <c r="F4710" s="83">
        <v>43059.0</v>
      </c>
      <c r="G4710" s="68" t="s">
        <v>19017</v>
      </c>
      <c r="H4710" s="71"/>
      <c r="I4710" s="71"/>
      <c r="J4710" s="68" t="s">
        <v>19018</v>
      </c>
      <c r="K4710" s="76">
        <v>43143.0</v>
      </c>
      <c r="L4710" s="68" t="s">
        <v>2743</v>
      </c>
      <c r="M4710" s="68" t="s">
        <v>166</v>
      </c>
      <c r="N4710" s="77"/>
      <c r="O4710" s="51"/>
    </row>
    <row r="4711">
      <c r="A4711" s="56">
        <v>4708.0</v>
      </c>
      <c r="B4711" s="246"/>
      <c r="C4711" s="58" t="s">
        <v>19019</v>
      </c>
      <c r="D4711" s="60"/>
      <c r="E4711" s="57" t="s">
        <v>19020</v>
      </c>
      <c r="F4711" s="59">
        <v>39873.0</v>
      </c>
      <c r="G4711" s="57" t="s">
        <v>19021</v>
      </c>
      <c r="H4711" s="60"/>
      <c r="I4711" s="60"/>
      <c r="J4711" s="57" t="s">
        <v>19022</v>
      </c>
      <c r="K4711" s="59">
        <v>43143.0</v>
      </c>
      <c r="L4711" s="57" t="s">
        <v>2743</v>
      </c>
      <c r="M4711" s="57" t="s">
        <v>201</v>
      </c>
      <c r="N4711" s="112"/>
      <c r="O4711" s="51"/>
    </row>
    <row r="4712">
      <c r="A4712" s="56">
        <v>4709.0</v>
      </c>
      <c r="B4712" s="240"/>
      <c r="C4712" s="69" t="s">
        <v>19023</v>
      </c>
      <c r="D4712" s="71"/>
      <c r="E4712" s="68" t="s">
        <v>19024</v>
      </c>
      <c r="F4712" s="76">
        <v>42856.0</v>
      </c>
      <c r="G4712" s="68" t="s">
        <v>19025</v>
      </c>
      <c r="H4712" s="71"/>
      <c r="I4712" s="71"/>
      <c r="J4712" s="87" t="s">
        <v>19026</v>
      </c>
      <c r="K4712" s="76">
        <v>43143.0</v>
      </c>
      <c r="L4712" s="68" t="s">
        <v>2743</v>
      </c>
      <c r="M4712" s="68" t="s">
        <v>530</v>
      </c>
      <c r="N4712" s="77"/>
      <c r="O4712" s="51"/>
    </row>
    <row r="4713">
      <c r="A4713" s="56">
        <v>4710.0</v>
      </c>
      <c r="B4713" s="241"/>
      <c r="C4713" s="64" t="s">
        <v>19027</v>
      </c>
      <c r="D4713" s="66"/>
      <c r="E4713" s="63" t="s">
        <v>19028</v>
      </c>
      <c r="F4713" s="70">
        <v>42742.0</v>
      </c>
      <c r="G4713" s="80" t="s">
        <v>19029</v>
      </c>
      <c r="H4713" s="82"/>
      <c r="I4713" s="66"/>
      <c r="J4713" s="63" t="s">
        <v>6393</v>
      </c>
      <c r="K4713" s="70">
        <v>43143.0</v>
      </c>
      <c r="L4713" s="63" t="s">
        <v>2743</v>
      </c>
      <c r="M4713" s="63" t="s">
        <v>195</v>
      </c>
      <c r="N4713" s="61"/>
      <c r="O4713" s="51"/>
    </row>
    <row r="4714">
      <c r="A4714" s="56">
        <v>4711.0</v>
      </c>
      <c r="B4714" s="240"/>
      <c r="C4714" s="69" t="s">
        <v>19030</v>
      </c>
      <c r="D4714" s="71"/>
      <c r="E4714" s="68" t="s">
        <v>19031</v>
      </c>
      <c r="F4714" s="83">
        <v>43064.0</v>
      </c>
      <c r="G4714" s="68" t="s">
        <v>19032</v>
      </c>
      <c r="H4714" s="71"/>
      <c r="I4714" s="68" t="s">
        <v>19033</v>
      </c>
      <c r="J4714" s="68" t="s">
        <v>19034</v>
      </c>
      <c r="K4714" s="76">
        <v>43143.0</v>
      </c>
      <c r="L4714" s="68" t="s">
        <v>2743</v>
      </c>
      <c r="M4714" s="68" t="s">
        <v>2466</v>
      </c>
      <c r="N4714" s="77"/>
      <c r="O4714" s="51"/>
    </row>
    <row r="4715">
      <c r="A4715" s="56">
        <v>4712.0</v>
      </c>
      <c r="B4715" s="240"/>
      <c r="C4715" s="69" t="s">
        <v>19035</v>
      </c>
      <c r="D4715" s="71"/>
      <c r="E4715" s="68" t="s">
        <v>19036</v>
      </c>
      <c r="F4715" s="83">
        <v>43093.0</v>
      </c>
      <c r="G4715" s="68" t="s">
        <v>19037</v>
      </c>
      <c r="H4715" s="71"/>
      <c r="I4715" s="68" t="s">
        <v>19038</v>
      </c>
      <c r="J4715" s="68" t="s">
        <v>19039</v>
      </c>
      <c r="K4715" s="76">
        <v>43143.0</v>
      </c>
      <c r="L4715" s="68" t="s">
        <v>2743</v>
      </c>
      <c r="M4715" s="68" t="s">
        <v>149</v>
      </c>
      <c r="N4715" s="77"/>
      <c r="O4715" s="51"/>
    </row>
    <row r="4716">
      <c r="A4716" s="56">
        <v>4713.0</v>
      </c>
      <c r="B4716" s="240"/>
      <c r="C4716" s="69" t="s">
        <v>19040</v>
      </c>
      <c r="D4716" s="71"/>
      <c r="E4716" s="68" t="s">
        <v>19041</v>
      </c>
      <c r="F4716" s="83">
        <v>43092.0</v>
      </c>
      <c r="G4716" s="68" t="s">
        <v>19037</v>
      </c>
      <c r="H4716" s="71"/>
      <c r="I4716" s="71"/>
      <c r="J4716" s="117" t="s">
        <v>19042</v>
      </c>
      <c r="K4716" s="225">
        <v>43143.0</v>
      </c>
      <c r="L4716" s="68" t="s">
        <v>2743</v>
      </c>
      <c r="M4716" s="68" t="s">
        <v>15586</v>
      </c>
      <c r="N4716" s="77"/>
      <c r="O4716" s="51"/>
    </row>
    <row r="4717">
      <c r="A4717" s="56">
        <v>4714.0</v>
      </c>
      <c r="B4717" s="240"/>
      <c r="C4717" s="69" t="s">
        <v>19043</v>
      </c>
      <c r="D4717" s="71"/>
      <c r="E4717" s="68" t="s">
        <v>19044</v>
      </c>
      <c r="F4717" s="76">
        <v>43000.0</v>
      </c>
      <c r="G4717" s="68" t="s">
        <v>19045</v>
      </c>
      <c r="H4717" s="71"/>
      <c r="I4717" s="68" t="s">
        <v>19046</v>
      </c>
      <c r="J4717" s="128" t="s">
        <v>19047</v>
      </c>
      <c r="K4717" s="76">
        <v>43143.0</v>
      </c>
      <c r="L4717" s="68" t="s">
        <v>2743</v>
      </c>
      <c r="M4717" s="68" t="s">
        <v>31</v>
      </c>
      <c r="N4717" s="77"/>
      <c r="O4717" s="51"/>
    </row>
    <row r="4718">
      <c r="A4718" s="56">
        <v>4715.0</v>
      </c>
      <c r="B4718" s="240"/>
      <c r="C4718" s="69" t="s">
        <v>19048</v>
      </c>
      <c r="D4718" s="71"/>
      <c r="E4718" s="68" t="s">
        <v>19049</v>
      </c>
      <c r="F4718" s="76">
        <v>43000.0</v>
      </c>
      <c r="G4718" s="68" t="s">
        <v>19045</v>
      </c>
      <c r="H4718" s="71"/>
      <c r="I4718" s="71"/>
      <c r="J4718" s="68" t="s">
        <v>19047</v>
      </c>
      <c r="K4718" s="76">
        <v>43143.0</v>
      </c>
      <c r="L4718" s="68" t="s">
        <v>2743</v>
      </c>
      <c r="M4718" s="68" t="s">
        <v>31</v>
      </c>
      <c r="N4718" s="77"/>
      <c r="O4718" s="51"/>
    </row>
    <row r="4719">
      <c r="A4719" s="56">
        <v>4716.0</v>
      </c>
      <c r="B4719" s="240"/>
      <c r="C4719" s="69" t="s">
        <v>19050</v>
      </c>
      <c r="D4719" s="71"/>
      <c r="E4719" s="68" t="s">
        <v>19051</v>
      </c>
      <c r="F4719" s="83">
        <v>43036.0</v>
      </c>
      <c r="G4719" s="68" t="s">
        <v>19052</v>
      </c>
      <c r="H4719" s="71"/>
      <c r="I4719" s="71"/>
      <c r="J4719" s="68" t="s">
        <v>17984</v>
      </c>
      <c r="K4719" s="76">
        <v>43143.0</v>
      </c>
      <c r="L4719" s="68" t="s">
        <v>14256</v>
      </c>
      <c r="M4719" s="68" t="s">
        <v>166</v>
      </c>
      <c r="N4719" s="77"/>
      <c r="O4719" s="51"/>
    </row>
    <row r="4720">
      <c r="A4720" s="56">
        <v>4717.0</v>
      </c>
      <c r="B4720" s="246"/>
      <c r="C4720" s="58" t="s">
        <v>19053</v>
      </c>
      <c r="D4720" s="60"/>
      <c r="E4720" s="57" t="s">
        <v>19054</v>
      </c>
      <c r="F4720" s="78">
        <v>43036.0</v>
      </c>
      <c r="G4720" s="57" t="s">
        <v>19055</v>
      </c>
      <c r="H4720" s="60"/>
      <c r="I4720" s="60"/>
      <c r="J4720" s="89" t="s">
        <v>17869</v>
      </c>
      <c r="K4720" s="233">
        <v>43143.0</v>
      </c>
      <c r="L4720" s="57" t="s">
        <v>14256</v>
      </c>
      <c r="M4720" s="57" t="s">
        <v>166</v>
      </c>
      <c r="N4720" s="112"/>
      <c r="O4720" s="51"/>
    </row>
    <row r="4721">
      <c r="A4721" s="56">
        <v>4718.0</v>
      </c>
      <c r="B4721" s="246"/>
      <c r="C4721" s="58" t="s">
        <v>19056</v>
      </c>
      <c r="D4721" s="60"/>
      <c r="E4721" s="57" t="s">
        <v>19057</v>
      </c>
      <c r="F4721" s="59">
        <v>41910.0</v>
      </c>
      <c r="G4721" s="57" t="s">
        <v>19058</v>
      </c>
      <c r="H4721" s="60"/>
      <c r="I4721" s="57" t="s">
        <v>19059</v>
      </c>
      <c r="J4721" s="89" t="s">
        <v>19060</v>
      </c>
      <c r="K4721" s="233">
        <v>43144.0</v>
      </c>
      <c r="L4721" s="57" t="s">
        <v>2743</v>
      </c>
      <c r="M4721" s="57" t="s">
        <v>530</v>
      </c>
      <c r="N4721" s="112"/>
      <c r="O4721" s="51"/>
    </row>
    <row r="4722">
      <c r="A4722" s="56">
        <v>4719.0</v>
      </c>
      <c r="B4722" s="240"/>
      <c r="C4722" s="69" t="s">
        <v>19061</v>
      </c>
      <c r="D4722" s="71"/>
      <c r="E4722" s="68" t="s">
        <v>19062</v>
      </c>
      <c r="F4722" s="76">
        <v>43114.0</v>
      </c>
      <c r="G4722" s="68" t="s">
        <v>19063</v>
      </c>
      <c r="H4722" s="71"/>
      <c r="I4722" s="71"/>
      <c r="J4722" s="68" t="s">
        <v>19064</v>
      </c>
      <c r="K4722" s="76">
        <v>43144.0</v>
      </c>
      <c r="L4722" s="68" t="s">
        <v>2743</v>
      </c>
      <c r="M4722" s="68" t="s">
        <v>125</v>
      </c>
      <c r="N4722" s="77"/>
      <c r="O4722" s="51"/>
    </row>
    <row r="4723">
      <c r="A4723" s="56">
        <v>4720.0</v>
      </c>
      <c r="B4723" s="240"/>
      <c r="C4723" s="69" t="s">
        <v>19065</v>
      </c>
      <c r="D4723" s="71"/>
      <c r="E4723" s="68" t="s">
        <v>19066</v>
      </c>
      <c r="F4723" s="83">
        <v>42692.0</v>
      </c>
      <c r="G4723" s="68" t="s">
        <v>19067</v>
      </c>
      <c r="H4723" s="71"/>
      <c r="I4723" s="71"/>
      <c r="J4723" s="68" t="s">
        <v>19068</v>
      </c>
      <c r="K4723" s="76">
        <v>43144.0</v>
      </c>
      <c r="L4723" s="68" t="s">
        <v>2743</v>
      </c>
      <c r="M4723" s="68" t="s">
        <v>195</v>
      </c>
      <c r="N4723" s="77"/>
      <c r="O4723" s="51"/>
    </row>
    <row r="4724">
      <c r="A4724" s="56">
        <v>4721.0</v>
      </c>
      <c r="B4724" s="240"/>
      <c r="C4724" s="69" t="s">
        <v>19069</v>
      </c>
      <c r="D4724" s="71"/>
      <c r="E4724" s="68" t="s">
        <v>19070</v>
      </c>
      <c r="F4724" s="76">
        <v>43075.0</v>
      </c>
      <c r="G4724" s="68" t="s">
        <v>19071</v>
      </c>
      <c r="H4724" s="71"/>
      <c r="I4724" s="71"/>
      <c r="J4724" s="68" t="s">
        <v>19072</v>
      </c>
      <c r="K4724" s="76">
        <v>43144.0</v>
      </c>
      <c r="L4724" s="68" t="s">
        <v>2743</v>
      </c>
      <c r="M4724" s="68" t="s">
        <v>125</v>
      </c>
      <c r="N4724" s="77"/>
      <c r="O4724" s="51"/>
    </row>
    <row r="4725">
      <c r="A4725" s="56">
        <v>4722.0</v>
      </c>
      <c r="B4725" s="240"/>
      <c r="C4725" s="69" t="s">
        <v>19073</v>
      </c>
      <c r="D4725" s="71"/>
      <c r="E4725" s="68" t="s">
        <v>19074</v>
      </c>
      <c r="F4725" s="76">
        <v>42949.0</v>
      </c>
      <c r="G4725" s="68" t="s">
        <v>19075</v>
      </c>
      <c r="H4725" s="71"/>
      <c r="I4725" s="68" t="s">
        <v>19076</v>
      </c>
      <c r="J4725" s="68" t="s">
        <v>19077</v>
      </c>
      <c r="K4725" s="76">
        <v>43144.0</v>
      </c>
      <c r="L4725" s="68" t="s">
        <v>2743</v>
      </c>
      <c r="M4725" s="68" t="s">
        <v>149</v>
      </c>
      <c r="N4725" s="77"/>
      <c r="O4725" s="51"/>
    </row>
    <row r="4726">
      <c r="A4726" s="56">
        <v>4723.0</v>
      </c>
      <c r="B4726" s="241"/>
      <c r="C4726" s="64" t="s">
        <v>19078</v>
      </c>
      <c r="D4726" s="66"/>
      <c r="E4726" s="63" t="s">
        <v>19079</v>
      </c>
      <c r="F4726" s="70">
        <v>42923.0</v>
      </c>
      <c r="G4726" s="80" t="s">
        <v>19080</v>
      </c>
      <c r="H4726" s="82"/>
      <c r="I4726" s="66"/>
      <c r="J4726" s="63" t="s">
        <v>7523</v>
      </c>
      <c r="K4726" s="70">
        <v>43144.0</v>
      </c>
      <c r="L4726" s="63" t="s">
        <v>2743</v>
      </c>
      <c r="M4726" s="63" t="s">
        <v>149</v>
      </c>
      <c r="N4726" s="61"/>
      <c r="O4726" s="51"/>
    </row>
    <row r="4727">
      <c r="A4727" s="56">
        <v>4724.0</v>
      </c>
      <c r="B4727" s="241"/>
      <c r="C4727" s="64" t="s">
        <v>19081</v>
      </c>
      <c r="D4727" s="66"/>
      <c r="E4727" s="63" t="s">
        <v>19082</v>
      </c>
      <c r="F4727" s="70">
        <v>42453.0</v>
      </c>
      <c r="G4727" s="80" t="s">
        <v>19083</v>
      </c>
      <c r="H4727" s="82"/>
      <c r="I4727" s="66"/>
      <c r="J4727" s="63" t="s">
        <v>5679</v>
      </c>
      <c r="K4727" s="70">
        <v>43144.0</v>
      </c>
      <c r="L4727" s="63" t="s">
        <v>2743</v>
      </c>
      <c r="M4727" s="63" t="s">
        <v>368</v>
      </c>
      <c r="N4727" s="61"/>
      <c r="O4727" s="51"/>
    </row>
    <row r="4728">
      <c r="A4728" s="56">
        <v>4725.0</v>
      </c>
      <c r="B4728" s="241"/>
      <c r="C4728" s="64" t="s">
        <v>19084</v>
      </c>
      <c r="D4728" s="66"/>
      <c r="E4728" s="63" t="s">
        <v>19085</v>
      </c>
      <c r="F4728" s="70">
        <v>42453.0</v>
      </c>
      <c r="G4728" s="80" t="s">
        <v>19083</v>
      </c>
      <c r="H4728" s="82"/>
      <c r="I4728" s="66"/>
      <c r="J4728" s="63" t="s">
        <v>5679</v>
      </c>
      <c r="K4728" s="70">
        <v>43144.0</v>
      </c>
      <c r="L4728" s="63" t="s">
        <v>2743</v>
      </c>
      <c r="M4728" s="63" t="s">
        <v>368</v>
      </c>
      <c r="N4728" s="61"/>
      <c r="O4728" s="51"/>
    </row>
    <row r="4729">
      <c r="A4729" s="56">
        <v>4726.0</v>
      </c>
      <c r="B4729" s="240"/>
      <c r="C4729" s="69" t="s">
        <v>19086</v>
      </c>
      <c r="D4729" s="71"/>
      <c r="E4729" s="68" t="s">
        <v>19087</v>
      </c>
      <c r="F4729" s="76">
        <v>43070.0</v>
      </c>
      <c r="G4729" s="68" t="s">
        <v>19088</v>
      </c>
      <c r="H4729" s="71"/>
      <c r="I4729" s="71"/>
      <c r="J4729" s="68" t="s">
        <v>19089</v>
      </c>
      <c r="K4729" s="76">
        <v>43144.0</v>
      </c>
      <c r="L4729" s="68" t="s">
        <v>2743</v>
      </c>
      <c r="M4729" s="68" t="s">
        <v>149</v>
      </c>
      <c r="N4729" s="77"/>
      <c r="O4729" s="51"/>
    </row>
    <row r="4730">
      <c r="A4730" s="56">
        <v>4727.0</v>
      </c>
      <c r="B4730" s="240"/>
      <c r="C4730" s="69" t="s">
        <v>19090</v>
      </c>
      <c r="D4730" s="71"/>
      <c r="E4730" s="68" t="s">
        <v>19091</v>
      </c>
      <c r="F4730" s="76">
        <v>42070.0</v>
      </c>
      <c r="G4730" s="68" t="s">
        <v>19092</v>
      </c>
      <c r="H4730" s="71"/>
      <c r="I4730" s="68" t="s">
        <v>19093</v>
      </c>
      <c r="J4730" s="68" t="s">
        <v>19094</v>
      </c>
      <c r="K4730" s="76">
        <v>43146.0</v>
      </c>
      <c r="L4730" s="68" t="s">
        <v>2743</v>
      </c>
      <c r="M4730" s="68" t="s">
        <v>7530</v>
      </c>
      <c r="N4730" s="77"/>
      <c r="O4730" s="51"/>
    </row>
    <row r="4731">
      <c r="A4731" s="56">
        <v>4728.0</v>
      </c>
      <c r="B4731" s="240"/>
      <c r="C4731" s="69" t="s">
        <v>19095</v>
      </c>
      <c r="D4731" s="71"/>
      <c r="E4731" s="68" t="s">
        <v>19096</v>
      </c>
      <c r="F4731" s="76">
        <v>42070.0</v>
      </c>
      <c r="G4731" s="68" t="s">
        <v>19092</v>
      </c>
      <c r="H4731" s="71"/>
      <c r="I4731" s="71"/>
      <c r="J4731" s="68" t="s">
        <v>19094</v>
      </c>
      <c r="K4731" s="76">
        <v>43146.0</v>
      </c>
      <c r="L4731" s="68" t="s">
        <v>2743</v>
      </c>
      <c r="M4731" s="68" t="s">
        <v>7530</v>
      </c>
      <c r="N4731" s="77"/>
      <c r="O4731" s="51"/>
    </row>
    <row r="4732">
      <c r="A4732" s="56">
        <v>4729.0</v>
      </c>
      <c r="B4732" s="240"/>
      <c r="C4732" s="69" t="s">
        <v>19097</v>
      </c>
      <c r="D4732" s="71"/>
      <c r="E4732" s="68" t="s">
        <v>19098</v>
      </c>
      <c r="F4732" s="83">
        <v>43029.0</v>
      </c>
      <c r="G4732" s="68" t="s">
        <v>19099</v>
      </c>
      <c r="H4732" s="71"/>
      <c r="I4732" s="71"/>
      <c r="J4732" s="68" t="s">
        <v>19100</v>
      </c>
      <c r="K4732" s="76">
        <v>43147.0</v>
      </c>
      <c r="L4732" s="68" t="s">
        <v>2743</v>
      </c>
      <c r="M4732" s="68" t="s">
        <v>201</v>
      </c>
      <c r="N4732" s="77"/>
      <c r="O4732" s="51"/>
    </row>
    <row r="4733">
      <c r="A4733" s="56">
        <v>4730.0</v>
      </c>
      <c r="B4733" s="240"/>
      <c r="C4733" s="69" t="s">
        <v>19101</v>
      </c>
      <c r="D4733" s="71"/>
      <c r="E4733" s="68" t="s">
        <v>19102</v>
      </c>
      <c r="F4733" s="76">
        <v>43113.0</v>
      </c>
      <c r="G4733" s="68" t="s">
        <v>19103</v>
      </c>
      <c r="H4733" s="71"/>
      <c r="I4733" s="71"/>
      <c r="J4733" s="68" t="s">
        <v>19104</v>
      </c>
      <c r="K4733" s="76">
        <v>43147.0</v>
      </c>
      <c r="L4733" s="68" t="s">
        <v>14256</v>
      </c>
      <c r="M4733" s="68" t="s">
        <v>166</v>
      </c>
      <c r="N4733" s="77"/>
      <c r="O4733" s="51"/>
    </row>
    <row r="4734">
      <c r="A4734" s="56">
        <v>4731.0</v>
      </c>
      <c r="B4734" s="240"/>
      <c r="C4734" s="69" t="s">
        <v>19105</v>
      </c>
      <c r="D4734" s="71"/>
      <c r="E4734" s="68" t="s">
        <v>19106</v>
      </c>
      <c r="F4734" s="76">
        <v>43114.0</v>
      </c>
      <c r="G4734" s="68" t="s">
        <v>19107</v>
      </c>
      <c r="H4734" s="71"/>
      <c r="I4734" s="71"/>
      <c r="J4734" s="68" t="s">
        <v>18938</v>
      </c>
      <c r="K4734" s="76">
        <v>43147.0</v>
      </c>
      <c r="L4734" s="68" t="s">
        <v>14256</v>
      </c>
      <c r="M4734" s="68" t="s">
        <v>166</v>
      </c>
      <c r="N4734" s="77"/>
      <c r="O4734" s="51"/>
    </row>
    <row r="4735">
      <c r="A4735" s="56">
        <v>4732.0</v>
      </c>
      <c r="B4735" s="240"/>
      <c r="C4735" s="69" t="s">
        <v>19108</v>
      </c>
      <c r="D4735" s="71"/>
      <c r="E4735" s="68" t="s">
        <v>19109</v>
      </c>
      <c r="F4735" s="76">
        <v>42989.0</v>
      </c>
      <c r="G4735" s="68" t="s">
        <v>19110</v>
      </c>
      <c r="H4735" s="71"/>
      <c r="I4735" s="68" t="s">
        <v>19111</v>
      </c>
      <c r="J4735" s="68" t="s">
        <v>19112</v>
      </c>
      <c r="K4735" s="76">
        <v>43147.0</v>
      </c>
      <c r="L4735" s="68" t="s">
        <v>2743</v>
      </c>
      <c r="M4735" s="68" t="s">
        <v>1910</v>
      </c>
      <c r="N4735" s="61"/>
      <c r="O4735" s="51"/>
    </row>
    <row r="4736">
      <c r="A4736" s="56">
        <v>4733.0</v>
      </c>
      <c r="B4736" s="240"/>
      <c r="C4736" s="69" t="s">
        <v>19113</v>
      </c>
      <c r="D4736" s="71"/>
      <c r="E4736" s="68" t="s">
        <v>19114</v>
      </c>
      <c r="F4736" s="76">
        <v>43114.0</v>
      </c>
      <c r="G4736" s="68" t="s">
        <v>19115</v>
      </c>
      <c r="H4736" s="71"/>
      <c r="I4736" s="68" t="s">
        <v>19116</v>
      </c>
      <c r="J4736" s="100" t="s">
        <v>19117</v>
      </c>
      <c r="K4736" s="225">
        <v>43151.0</v>
      </c>
      <c r="L4736" s="68" t="s">
        <v>2743</v>
      </c>
      <c r="M4736" s="68" t="s">
        <v>2291</v>
      </c>
      <c r="N4736" s="77"/>
      <c r="O4736" s="51"/>
    </row>
    <row r="4737">
      <c r="A4737" s="56">
        <v>4734.0</v>
      </c>
      <c r="B4737" s="240"/>
      <c r="C4737" s="69" t="s">
        <v>19118</v>
      </c>
      <c r="D4737" s="71"/>
      <c r="E4737" s="68" t="s">
        <v>19119</v>
      </c>
      <c r="F4737" s="76">
        <v>41361.0</v>
      </c>
      <c r="G4737" s="68" t="s">
        <v>19120</v>
      </c>
      <c r="H4737" s="71"/>
      <c r="I4737" s="71"/>
      <c r="J4737" s="68" t="s">
        <v>19121</v>
      </c>
      <c r="K4737" s="76">
        <v>43151.0</v>
      </c>
      <c r="L4737" s="68" t="s">
        <v>2743</v>
      </c>
      <c r="M4737" s="68" t="s">
        <v>125</v>
      </c>
      <c r="N4737" s="77"/>
      <c r="O4737" s="51"/>
    </row>
    <row r="4738">
      <c r="A4738" s="56">
        <v>4735.0</v>
      </c>
      <c r="B4738" s="241"/>
      <c r="C4738" s="64" t="s">
        <v>19122</v>
      </c>
      <c r="D4738" s="66"/>
      <c r="E4738" s="63" t="s">
        <v>19123</v>
      </c>
      <c r="F4738" s="70">
        <v>39816.0</v>
      </c>
      <c r="G4738" s="80" t="s">
        <v>19124</v>
      </c>
      <c r="H4738" s="82"/>
      <c r="I4738" s="66"/>
      <c r="J4738" s="63" t="s">
        <v>5679</v>
      </c>
      <c r="K4738" s="70">
        <v>43152.0</v>
      </c>
      <c r="L4738" s="63" t="s">
        <v>2743</v>
      </c>
      <c r="M4738" s="63" t="s">
        <v>530</v>
      </c>
      <c r="N4738" s="61"/>
      <c r="O4738" s="51"/>
    </row>
    <row r="4739">
      <c r="A4739" s="56">
        <v>4736.0</v>
      </c>
      <c r="B4739" s="240"/>
      <c r="C4739" s="69" t="s">
        <v>19125</v>
      </c>
      <c r="D4739" s="71"/>
      <c r="E4739" s="68" t="s">
        <v>19126</v>
      </c>
      <c r="F4739" s="76">
        <v>40852.0</v>
      </c>
      <c r="G4739" s="68" t="s">
        <v>19127</v>
      </c>
      <c r="H4739" s="71"/>
      <c r="I4739" s="71"/>
      <c r="J4739" s="68" t="s">
        <v>19128</v>
      </c>
      <c r="K4739" s="76">
        <v>43152.0</v>
      </c>
      <c r="L4739" s="68" t="s">
        <v>2743</v>
      </c>
      <c r="M4739" s="68" t="s">
        <v>195</v>
      </c>
      <c r="N4739" s="77"/>
      <c r="O4739" s="51"/>
    </row>
    <row r="4740">
      <c r="A4740" s="56">
        <v>4737.0</v>
      </c>
      <c r="B4740" s="240"/>
      <c r="C4740" s="69" t="s">
        <v>19129</v>
      </c>
      <c r="D4740" s="71"/>
      <c r="E4740" s="68" t="s">
        <v>19130</v>
      </c>
      <c r="F4740" s="76">
        <v>43132.0</v>
      </c>
      <c r="G4740" s="68" t="s">
        <v>19131</v>
      </c>
      <c r="H4740" s="71"/>
      <c r="I4740" s="68" t="s">
        <v>19132</v>
      </c>
      <c r="J4740" s="68" t="s">
        <v>19133</v>
      </c>
      <c r="K4740" s="76">
        <v>43152.0</v>
      </c>
      <c r="L4740" s="68" t="s">
        <v>2743</v>
      </c>
      <c r="M4740" s="68" t="s">
        <v>31</v>
      </c>
      <c r="N4740" s="77"/>
      <c r="O4740" s="51"/>
    </row>
    <row r="4741">
      <c r="A4741" s="56">
        <v>4738.0</v>
      </c>
      <c r="B4741" s="240"/>
      <c r="C4741" s="69" t="s">
        <v>19134</v>
      </c>
      <c r="D4741" s="71"/>
      <c r="E4741" s="68" t="s">
        <v>19135</v>
      </c>
      <c r="F4741" s="76">
        <v>43149.0</v>
      </c>
      <c r="G4741" s="68" t="s">
        <v>19136</v>
      </c>
      <c r="H4741" s="71"/>
      <c r="I4741" s="71"/>
      <c r="J4741" s="68" t="s">
        <v>19137</v>
      </c>
      <c r="K4741" s="76">
        <v>43152.0</v>
      </c>
      <c r="L4741" s="68" t="s">
        <v>2743</v>
      </c>
      <c r="M4741" s="68" t="s">
        <v>143</v>
      </c>
      <c r="N4741" s="77"/>
      <c r="O4741" s="51"/>
    </row>
    <row r="4742">
      <c r="A4742" s="56">
        <v>4739.0</v>
      </c>
      <c r="B4742" s="240"/>
      <c r="C4742" s="69" t="s">
        <v>19138</v>
      </c>
      <c r="D4742" s="71"/>
      <c r="E4742" s="68" t="s">
        <v>19139</v>
      </c>
      <c r="F4742" s="76">
        <v>43149.0</v>
      </c>
      <c r="G4742" s="68" t="s">
        <v>19136</v>
      </c>
      <c r="H4742" s="71"/>
      <c r="I4742" s="71"/>
      <c r="J4742" s="68" t="s">
        <v>19140</v>
      </c>
      <c r="K4742" s="76">
        <v>43152.0</v>
      </c>
      <c r="L4742" s="68" t="s">
        <v>2743</v>
      </c>
      <c r="M4742" s="68" t="s">
        <v>143</v>
      </c>
      <c r="N4742" s="77"/>
      <c r="O4742" s="51"/>
    </row>
    <row r="4743">
      <c r="A4743" s="56">
        <v>4740.0</v>
      </c>
      <c r="B4743" s="240"/>
      <c r="C4743" s="69" t="s">
        <v>19141</v>
      </c>
      <c r="D4743" s="71"/>
      <c r="E4743" s="68" t="s">
        <v>19142</v>
      </c>
      <c r="F4743" s="83">
        <v>42692.0</v>
      </c>
      <c r="G4743" s="68" t="s">
        <v>19143</v>
      </c>
      <c r="H4743" s="71"/>
      <c r="I4743" s="68" t="s">
        <v>19144</v>
      </c>
      <c r="J4743" s="68" t="s">
        <v>19145</v>
      </c>
      <c r="K4743" s="76">
        <v>43152.0</v>
      </c>
      <c r="L4743" s="68" t="s">
        <v>2743</v>
      </c>
      <c r="M4743" s="68" t="s">
        <v>195</v>
      </c>
      <c r="N4743" s="77"/>
      <c r="O4743" s="51"/>
    </row>
    <row r="4744">
      <c r="A4744" s="56">
        <v>4741.0</v>
      </c>
      <c r="B4744" s="240"/>
      <c r="C4744" s="69" t="s">
        <v>19146</v>
      </c>
      <c r="D4744" s="71"/>
      <c r="E4744" s="68" t="s">
        <v>19147</v>
      </c>
      <c r="F4744" s="76">
        <v>42928.0</v>
      </c>
      <c r="G4744" s="68" t="s">
        <v>19148</v>
      </c>
      <c r="H4744" s="71"/>
      <c r="I4744" s="71"/>
      <c r="J4744" s="87" t="s">
        <v>19149</v>
      </c>
      <c r="K4744" s="76">
        <v>43152.0</v>
      </c>
      <c r="L4744" s="68" t="s">
        <v>2743</v>
      </c>
      <c r="M4744" s="68" t="s">
        <v>40</v>
      </c>
      <c r="N4744" s="61"/>
      <c r="O4744" s="51"/>
    </row>
    <row r="4745">
      <c r="A4745" s="56">
        <v>4742.0</v>
      </c>
      <c r="B4745" s="241"/>
      <c r="C4745" s="64" t="s">
        <v>19150</v>
      </c>
      <c r="D4745" s="66"/>
      <c r="E4745" s="63" t="s">
        <v>19151</v>
      </c>
      <c r="F4745" s="70">
        <v>42382.0</v>
      </c>
      <c r="G4745" s="80" t="s">
        <v>19152</v>
      </c>
      <c r="H4745" s="82"/>
      <c r="I4745" s="63" t="s">
        <v>19153</v>
      </c>
      <c r="J4745" s="63" t="s">
        <v>7523</v>
      </c>
      <c r="K4745" s="70">
        <v>43152.0</v>
      </c>
      <c r="L4745" s="63" t="s">
        <v>2743</v>
      </c>
      <c r="M4745" s="63" t="s">
        <v>143</v>
      </c>
      <c r="N4745" s="61"/>
      <c r="O4745" s="51"/>
    </row>
    <row r="4746">
      <c r="A4746" s="56">
        <v>4743.0</v>
      </c>
      <c r="B4746" s="240"/>
      <c r="C4746" s="69" t="s">
        <v>19154</v>
      </c>
      <c r="D4746" s="71"/>
      <c r="E4746" s="68" t="s">
        <v>19155</v>
      </c>
      <c r="F4746" s="76">
        <v>43144.0</v>
      </c>
      <c r="G4746" s="68" t="s">
        <v>19156</v>
      </c>
      <c r="H4746" s="71"/>
      <c r="I4746" s="68" t="s">
        <v>19157</v>
      </c>
      <c r="J4746" s="68" t="s">
        <v>19158</v>
      </c>
      <c r="K4746" s="76">
        <v>43152.0</v>
      </c>
      <c r="L4746" s="68" t="s">
        <v>2743</v>
      </c>
      <c r="M4746" s="68" t="s">
        <v>31</v>
      </c>
      <c r="N4746" s="77"/>
      <c r="O4746" s="51"/>
    </row>
    <row r="4747">
      <c r="A4747" s="56">
        <v>4744.0</v>
      </c>
      <c r="B4747" s="241"/>
      <c r="C4747" s="64" t="s">
        <v>19159</v>
      </c>
      <c r="D4747" s="66"/>
      <c r="E4747" s="63" t="s">
        <v>19160</v>
      </c>
      <c r="F4747" s="70">
        <v>41821.0</v>
      </c>
      <c r="G4747" s="80" t="s">
        <v>19161</v>
      </c>
      <c r="H4747" s="80" t="s">
        <v>439</v>
      </c>
      <c r="I4747" s="66"/>
      <c r="J4747" s="63" t="s">
        <v>6393</v>
      </c>
      <c r="K4747" s="70">
        <v>43152.0</v>
      </c>
      <c r="L4747" s="63" t="s">
        <v>2743</v>
      </c>
      <c r="M4747" s="63" t="s">
        <v>195</v>
      </c>
      <c r="N4747" s="61"/>
      <c r="O4747" s="51"/>
    </row>
    <row r="4748">
      <c r="A4748" s="56">
        <v>4745.0</v>
      </c>
      <c r="B4748" s="240"/>
      <c r="C4748" s="69" t="s">
        <v>19162</v>
      </c>
      <c r="D4748" s="71"/>
      <c r="E4748" s="68" t="s">
        <v>19163</v>
      </c>
      <c r="F4748" s="76">
        <v>41091.0</v>
      </c>
      <c r="G4748" s="68" t="s">
        <v>19164</v>
      </c>
      <c r="H4748" s="71"/>
      <c r="I4748" s="71"/>
      <c r="J4748" s="87" t="s">
        <v>19165</v>
      </c>
      <c r="K4748" s="76">
        <v>43152.0</v>
      </c>
      <c r="L4748" s="68" t="s">
        <v>2743</v>
      </c>
      <c r="M4748" s="68" t="s">
        <v>166</v>
      </c>
      <c r="N4748" s="77"/>
      <c r="O4748" s="51"/>
    </row>
    <row r="4749">
      <c r="A4749" s="56">
        <v>4746.0</v>
      </c>
      <c r="B4749" s="240"/>
      <c r="C4749" s="69" t="s">
        <v>19166</v>
      </c>
      <c r="D4749" s="71"/>
      <c r="E4749" s="68" t="s">
        <v>19167</v>
      </c>
      <c r="F4749" s="83">
        <v>43059.0</v>
      </c>
      <c r="G4749" s="68" t="s">
        <v>19168</v>
      </c>
      <c r="H4749" s="68" t="s">
        <v>19169</v>
      </c>
      <c r="I4749" s="68" t="s">
        <v>19170</v>
      </c>
      <c r="J4749" s="68" t="s">
        <v>19171</v>
      </c>
      <c r="K4749" s="76">
        <v>43152.0</v>
      </c>
      <c r="L4749" s="68" t="s">
        <v>2743</v>
      </c>
      <c r="M4749" s="68" t="s">
        <v>31</v>
      </c>
      <c r="N4749" s="61"/>
      <c r="O4749" s="51"/>
    </row>
    <row r="4750">
      <c r="A4750" s="56">
        <v>4747.0</v>
      </c>
      <c r="B4750" s="241"/>
      <c r="C4750" s="64" t="s">
        <v>19172</v>
      </c>
      <c r="D4750" s="66"/>
      <c r="E4750" s="63" t="s">
        <v>19173</v>
      </c>
      <c r="F4750" s="70">
        <v>42530.0</v>
      </c>
      <c r="G4750" s="80" t="s">
        <v>19174</v>
      </c>
      <c r="H4750" s="82"/>
      <c r="I4750" s="66"/>
      <c r="J4750" s="63" t="s">
        <v>5679</v>
      </c>
      <c r="K4750" s="70">
        <v>43152.0</v>
      </c>
      <c r="L4750" s="63" t="s">
        <v>2743</v>
      </c>
      <c r="M4750" s="63" t="s">
        <v>368</v>
      </c>
      <c r="N4750" s="61"/>
      <c r="O4750" s="51"/>
    </row>
    <row r="4751">
      <c r="A4751" s="56">
        <v>4748.0</v>
      </c>
      <c r="B4751" s="240"/>
      <c r="C4751" s="69" t="s">
        <v>19175</v>
      </c>
      <c r="D4751" s="71"/>
      <c r="E4751" s="68" t="s">
        <v>19176</v>
      </c>
      <c r="F4751" s="76">
        <v>42676.0</v>
      </c>
      <c r="G4751" s="68" t="s">
        <v>19177</v>
      </c>
      <c r="H4751" s="71"/>
      <c r="I4751" s="68" t="s">
        <v>19178</v>
      </c>
      <c r="J4751" s="68" t="s">
        <v>19179</v>
      </c>
      <c r="K4751" s="76">
        <v>43152.0</v>
      </c>
      <c r="L4751" s="68" t="s">
        <v>2743</v>
      </c>
      <c r="M4751" s="68" t="s">
        <v>149</v>
      </c>
      <c r="N4751" s="77"/>
      <c r="O4751" s="51"/>
    </row>
    <row r="4752">
      <c r="A4752" s="56">
        <v>4749.0</v>
      </c>
      <c r="B4752" s="240"/>
      <c r="C4752" s="69" t="s">
        <v>19180</v>
      </c>
      <c r="D4752" s="71"/>
      <c r="E4752" s="68" t="s">
        <v>19181</v>
      </c>
      <c r="F4752" s="76">
        <v>42797.0</v>
      </c>
      <c r="G4752" s="68" t="s">
        <v>19182</v>
      </c>
      <c r="H4752" s="71"/>
      <c r="I4752" s="71"/>
      <c r="J4752" s="68" t="s">
        <v>19183</v>
      </c>
      <c r="K4752" s="76">
        <v>43152.0</v>
      </c>
      <c r="L4752" s="68" t="s">
        <v>2743</v>
      </c>
      <c r="M4752" s="68" t="s">
        <v>5702</v>
      </c>
      <c r="N4752" s="77"/>
      <c r="O4752" s="51"/>
    </row>
    <row r="4753">
      <c r="A4753" s="56">
        <v>4750.0</v>
      </c>
      <c r="B4753" s="240"/>
      <c r="C4753" s="69" t="s">
        <v>19184</v>
      </c>
      <c r="D4753" s="71"/>
      <c r="E4753" s="68" t="s">
        <v>19185</v>
      </c>
      <c r="F4753" s="83">
        <v>42704.0</v>
      </c>
      <c r="G4753" s="68" t="s">
        <v>19186</v>
      </c>
      <c r="H4753" s="71"/>
      <c r="I4753" s="71"/>
      <c r="J4753" s="68" t="s">
        <v>19187</v>
      </c>
      <c r="K4753" s="76">
        <v>43152.0</v>
      </c>
      <c r="L4753" s="68" t="s">
        <v>2743</v>
      </c>
      <c r="M4753" s="68" t="s">
        <v>2527</v>
      </c>
      <c r="N4753" s="61"/>
      <c r="O4753" s="51"/>
    </row>
    <row r="4754">
      <c r="A4754" s="56">
        <v>4751.0</v>
      </c>
      <c r="B4754" s="240"/>
      <c r="C4754" s="69" t="s">
        <v>19188</v>
      </c>
      <c r="D4754" s="71"/>
      <c r="E4754" s="68" t="s">
        <v>19189</v>
      </c>
      <c r="F4754" s="76">
        <v>42986.0</v>
      </c>
      <c r="G4754" s="68" t="s">
        <v>19190</v>
      </c>
      <c r="H4754" s="71"/>
      <c r="I4754" s="71"/>
      <c r="J4754" s="68" t="s">
        <v>19191</v>
      </c>
      <c r="K4754" s="76">
        <v>43152.0</v>
      </c>
      <c r="L4754" s="68" t="s">
        <v>2743</v>
      </c>
      <c r="M4754" s="68" t="s">
        <v>27</v>
      </c>
      <c r="N4754" s="77"/>
      <c r="O4754" s="51"/>
    </row>
    <row r="4755">
      <c r="A4755" s="56">
        <v>4752.0</v>
      </c>
      <c r="B4755" s="240"/>
      <c r="C4755" s="69" t="s">
        <v>19192</v>
      </c>
      <c r="D4755" s="71"/>
      <c r="E4755" s="68" t="s">
        <v>19193</v>
      </c>
      <c r="F4755" s="76">
        <v>42986.0</v>
      </c>
      <c r="G4755" s="68" t="s">
        <v>19190</v>
      </c>
      <c r="H4755" s="71"/>
      <c r="I4755" s="71"/>
      <c r="J4755" s="68" t="s">
        <v>19194</v>
      </c>
      <c r="K4755" s="76">
        <v>43152.0</v>
      </c>
      <c r="L4755" s="68" t="s">
        <v>2743</v>
      </c>
      <c r="M4755" s="68" t="s">
        <v>27</v>
      </c>
      <c r="N4755" s="77"/>
      <c r="O4755" s="51"/>
    </row>
    <row r="4756">
      <c r="A4756" s="56">
        <v>4753.0</v>
      </c>
      <c r="B4756" s="240"/>
      <c r="C4756" s="69" t="s">
        <v>19195</v>
      </c>
      <c r="D4756" s="71"/>
      <c r="E4756" s="68" t="s">
        <v>19196</v>
      </c>
      <c r="F4756" s="76">
        <v>42986.0</v>
      </c>
      <c r="G4756" s="68" t="s">
        <v>19190</v>
      </c>
      <c r="H4756" s="71"/>
      <c r="I4756" s="71"/>
      <c r="J4756" s="68" t="s">
        <v>19194</v>
      </c>
      <c r="K4756" s="76">
        <v>43152.0</v>
      </c>
      <c r="L4756" s="68" t="s">
        <v>2743</v>
      </c>
      <c r="M4756" s="68" t="s">
        <v>27</v>
      </c>
      <c r="N4756" s="77"/>
      <c r="O4756" s="51"/>
    </row>
    <row r="4757">
      <c r="A4757" s="75">
        <v>4754.0</v>
      </c>
      <c r="B4757" s="240"/>
      <c r="C4757" s="69" t="s">
        <v>19197</v>
      </c>
      <c r="D4757" s="71"/>
      <c r="E4757" s="68" t="s">
        <v>19198</v>
      </c>
      <c r="F4757" s="76">
        <v>40360.0</v>
      </c>
      <c r="G4757" s="68" t="s">
        <v>19199</v>
      </c>
      <c r="H4757" s="71"/>
      <c r="I4757" s="71"/>
      <c r="J4757" s="68" t="s">
        <v>19200</v>
      </c>
      <c r="K4757" s="76">
        <v>43152.0</v>
      </c>
      <c r="L4757" s="68" t="s">
        <v>2743</v>
      </c>
      <c r="M4757" s="68" t="s">
        <v>4749</v>
      </c>
      <c r="N4757" s="61"/>
      <c r="O4757" s="51"/>
    </row>
    <row r="4758">
      <c r="A4758" s="56">
        <v>4755.0</v>
      </c>
      <c r="B4758" s="241"/>
      <c r="C4758" s="64" t="s">
        <v>19201</v>
      </c>
      <c r="D4758" s="66"/>
      <c r="E4758" s="63" t="s">
        <v>19202</v>
      </c>
      <c r="F4758" s="70">
        <v>40544.0</v>
      </c>
      <c r="G4758" s="80" t="s">
        <v>19203</v>
      </c>
      <c r="H4758" s="82"/>
      <c r="I4758" s="66"/>
      <c r="J4758" s="63" t="s">
        <v>6393</v>
      </c>
      <c r="K4758" s="70">
        <v>43152.0</v>
      </c>
      <c r="L4758" s="63" t="s">
        <v>2743</v>
      </c>
      <c r="M4758" s="63" t="s">
        <v>19204</v>
      </c>
      <c r="N4758" s="61"/>
      <c r="O4758" s="51"/>
    </row>
    <row r="4759">
      <c r="A4759" s="56">
        <v>4756.0</v>
      </c>
      <c r="B4759" s="241"/>
      <c r="C4759" s="64" t="s">
        <v>19205</v>
      </c>
      <c r="D4759" s="66"/>
      <c r="E4759" s="63" t="s">
        <v>19206</v>
      </c>
      <c r="F4759" s="70">
        <v>42466.0</v>
      </c>
      <c r="G4759" s="80" t="s">
        <v>19207</v>
      </c>
      <c r="H4759" s="80" t="s">
        <v>19208</v>
      </c>
      <c r="I4759" s="63" t="s">
        <v>19209</v>
      </c>
      <c r="J4759" s="63" t="s">
        <v>5679</v>
      </c>
      <c r="K4759" s="70">
        <v>43152.0</v>
      </c>
      <c r="L4759" s="63" t="s">
        <v>2743</v>
      </c>
      <c r="M4759" s="63" t="s">
        <v>2989</v>
      </c>
      <c r="N4759" s="61"/>
      <c r="O4759" s="51"/>
    </row>
    <row r="4760">
      <c r="A4760" s="56">
        <v>4757.0</v>
      </c>
      <c r="B4760" s="240"/>
      <c r="C4760" s="69" t="s">
        <v>19210</v>
      </c>
      <c r="D4760" s="71"/>
      <c r="E4760" s="68" t="s">
        <v>19211</v>
      </c>
      <c r="F4760" s="76">
        <v>40740.0</v>
      </c>
      <c r="G4760" s="68" t="s">
        <v>19212</v>
      </c>
      <c r="H4760" s="71"/>
      <c r="I4760" s="71"/>
      <c r="J4760" s="68" t="s">
        <v>19213</v>
      </c>
      <c r="K4760" s="76">
        <v>43152.0</v>
      </c>
      <c r="L4760" s="68" t="s">
        <v>2743</v>
      </c>
      <c r="M4760" s="68" t="s">
        <v>4001</v>
      </c>
      <c r="N4760" s="77"/>
      <c r="O4760" s="51"/>
    </row>
    <row r="4761">
      <c r="A4761" s="56">
        <v>4758.0</v>
      </c>
      <c r="B4761" s="240"/>
      <c r="C4761" s="69" t="s">
        <v>19214</v>
      </c>
      <c r="D4761" s="71"/>
      <c r="E4761" s="68" t="s">
        <v>19215</v>
      </c>
      <c r="F4761" s="76">
        <v>41499.0</v>
      </c>
      <c r="G4761" s="68" t="s">
        <v>19216</v>
      </c>
      <c r="H4761" s="71"/>
      <c r="I4761" s="71"/>
      <c r="J4761" s="68" t="s">
        <v>19217</v>
      </c>
      <c r="K4761" s="76">
        <v>43152.0</v>
      </c>
      <c r="L4761" s="68" t="s">
        <v>2743</v>
      </c>
      <c r="M4761" s="68" t="s">
        <v>941</v>
      </c>
      <c r="N4761" s="77"/>
      <c r="O4761" s="51"/>
    </row>
    <row r="4762">
      <c r="A4762" s="56">
        <v>4759.0</v>
      </c>
      <c r="B4762" s="241"/>
      <c r="C4762" s="64" t="s">
        <v>19218</v>
      </c>
      <c r="D4762" s="66"/>
      <c r="E4762" s="63" t="s">
        <v>19219</v>
      </c>
      <c r="F4762" s="65">
        <v>40539.0</v>
      </c>
      <c r="G4762" s="80" t="s">
        <v>19220</v>
      </c>
      <c r="H4762" s="82"/>
      <c r="I4762" s="66"/>
      <c r="J4762" s="63" t="s">
        <v>5679</v>
      </c>
      <c r="K4762" s="70">
        <v>43152.0</v>
      </c>
      <c r="L4762" s="63" t="s">
        <v>2743</v>
      </c>
      <c r="M4762" s="63" t="s">
        <v>125</v>
      </c>
      <c r="N4762" s="61"/>
      <c r="O4762" s="51"/>
    </row>
    <row r="4763">
      <c r="A4763" s="56">
        <v>4760.0</v>
      </c>
      <c r="B4763" s="246"/>
      <c r="C4763" s="58" t="s">
        <v>19221</v>
      </c>
      <c r="D4763" s="60"/>
      <c r="E4763" s="57" t="s">
        <v>19222</v>
      </c>
      <c r="F4763" s="59">
        <v>43142.0</v>
      </c>
      <c r="G4763" s="57" t="s">
        <v>19223</v>
      </c>
      <c r="H4763" s="60"/>
      <c r="I4763" s="60"/>
      <c r="J4763" s="57" t="s">
        <v>19224</v>
      </c>
      <c r="K4763" s="233">
        <v>43155.0</v>
      </c>
      <c r="L4763" s="57" t="s">
        <v>2743</v>
      </c>
      <c r="M4763" s="57" t="s">
        <v>149</v>
      </c>
      <c r="N4763" s="112"/>
      <c r="O4763" s="51"/>
    </row>
    <row r="4764">
      <c r="A4764" s="56">
        <v>4761.0</v>
      </c>
      <c r="B4764" s="240"/>
      <c r="C4764" s="69" t="s">
        <v>19225</v>
      </c>
      <c r="D4764" s="71"/>
      <c r="E4764" s="68" t="s">
        <v>19226</v>
      </c>
      <c r="F4764" s="76">
        <v>42887.0</v>
      </c>
      <c r="G4764" s="68" t="s">
        <v>19227</v>
      </c>
      <c r="H4764" s="71"/>
      <c r="I4764" s="71"/>
      <c r="J4764" s="68" t="s">
        <v>19228</v>
      </c>
      <c r="K4764" s="76">
        <v>43157.0</v>
      </c>
      <c r="L4764" s="68" t="s">
        <v>2743</v>
      </c>
      <c r="M4764" s="68" t="s">
        <v>201</v>
      </c>
      <c r="N4764" s="77"/>
      <c r="O4764" s="51"/>
    </row>
    <row r="4765">
      <c r="A4765" s="56">
        <v>4762.0</v>
      </c>
      <c r="B4765" s="240"/>
      <c r="C4765" s="69" t="s">
        <v>19229</v>
      </c>
      <c r="D4765" s="71"/>
      <c r="E4765" s="68" t="s">
        <v>19230</v>
      </c>
      <c r="F4765" s="76">
        <v>42887.0</v>
      </c>
      <c r="G4765" s="68" t="s">
        <v>19227</v>
      </c>
      <c r="H4765" s="71"/>
      <c r="I4765" s="71"/>
      <c r="J4765" s="68" t="s">
        <v>19231</v>
      </c>
      <c r="K4765" s="76">
        <v>43157.0</v>
      </c>
      <c r="L4765" s="68" t="s">
        <v>2743</v>
      </c>
      <c r="M4765" s="68" t="s">
        <v>201</v>
      </c>
      <c r="N4765" s="77"/>
      <c r="O4765" s="51"/>
    </row>
    <row r="4766">
      <c r="A4766" s="56">
        <v>4763.0</v>
      </c>
      <c r="B4766" s="241"/>
      <c r="C4766" s="64" t="s">
        <v>19232</v>
      </c>
      <c r="D4766" s="66"/>
      <c r="E4766" s="63" t="s">
        <v>19233</v>
      </c>
      <c r="F4766" s="70">
        <v>42887.0</v>
      </c>
      <c r="G4766" s="80" t="s">
        <v>19234</v>
      </c>
      <c r="H4766" s="82"/>
      <c r="I4766" s="66"/>
      <c r="J4766" s="63" t="s">
        <v>8033</v>
      </c>
      <c r="K4766" s="70">
        <v>43157.0</v>
      </c>
      <c r="L4766" s="63" t="s">
        <v>2743</v>
      </c>
      <c r="M4766" s="63" t="s">
        <v>125</v>
      </c>
      <c r="N4766" s="61"/>
      <c r="O4766" s="51"/>
    </row>
    <row r="4767">
      <c r="A4767" s="56">
        <v>4764.0</v>
      </c>
      <c r="B4767" s="241"/>
      <c r="C4767" s="64" t="s">
        <v>19235</v>
      </c>
      <c r="D4767" s="66"/>
      <c r="E4767" s="63" t="s">
        <v>19236</v>
      </c>
      <c r="F4767" s="70">
        <v>42887.0</v>
      </c>
      <c r="G4767" s="80" t="s">
        <v>19237</v>
      </c>
      <c r="H4767" s="82"/>
      <c r="I4767" s="66"/>
      <c r="J4767" s="63" t="s">
        <v>8033</v>
      </c>
      <c r="K4767" s="70">
        <v>43157.0</v>
      </c>
      <c r="L4767" s="63" t="s">
        <v>2743</v>
      </c>
      <c r="M4767" s="63" t="s">
        <v>201</v>
      </c>
      <c r="N4767" s="61"/>
      <c r="O4767" s="51"/>
    </row>
    <row r="4768">
      <c r="A4768" s="56">
        <v>4765.0</v>
      </c>
      <c r="B4768" s="240"/>
      <c r="C4768" s="69" t="s">
        <v>19238</v>
      </c>
      <c r="D4768" s="71"/>
      <c r="E4768" s="68" t="s">
        <v>19239</v>
      </c>
      <c r="F4768" s="76">
        <v>43147.0</v>
      </c>
      <c r="G4768" s="68" t="s">
        <v>19240</v>
      </c>
      <c r="H4768" s="71"/>
      <c r="I4768" s="71"/>
      <c r="J4768" s="68" t="s">
        <v>19241</v>
      </c>
      <c r="K4768" s="76">
        <v>43157.0</v>
      </c>
      <c r="L4768" s="68" t="s">
        <v>2743</v>
      </c>
      <c r="M4768" s="68" t="s">
        <v>143</v>
      </c>
      <c r="N4768" s="77"/>
      <c r="O4768" s="51"/>
    </row>
    <row r="4769">
      <c r="A4769" s="56">
        <v>4766.0</v>
      </c>
      <c r="B4769" s="241"/>
      <c r="C4769" s="64" t="s">
        <v>19242</v>
      </c>
      <c r="D4769" s="66"/>
      <c r="E4769" s="63" t="s">
        <v>19243</v>
      </c>
      <c r="F4769" s="65">
        <v>43069.0</v>
      </c>
      <c r="G4769" s="80" t="s">
        <v>19244</v>
      </c>
      <c r="H4769" s="82"/>
      <c r="I4769" s="63" t="s">
        <v>19245</v>
      </c>
      <c r="J4769" s="63" t="s">
        <v>19246</v>
      </c>
      <c r="K4769" s="70">
        <v>43157.0</v>
      </c>
      <c r="L4769" s="63" t="s">
        <v>2743</v>
      </c>
      <c r="M4769" s="63" t="s">
        <v>143</v>
      </c>
      <c r="N4769" s="61"/>
      <c r="O4769" s="51"/>
    </row>
    <row r="4770">
      <c r="A4770" s="56">
        <v>4767.0</v>
      </c>
      <c r="B4770" s="240"/>
      <c r="C4770" s="69" t="s">
        <v>19247</v>
      </c>
      <c r="D4770" s="71"/>
      <c r="E4770" s="68" t="s">
        <v>19248</v>
      </c>
      <c r="F4770" s="76">
        <v>43118.0</v>
      </c>
      <c r="G4770" s="68" t="s">
        <v>19249</v>
      </c>
      <c r="H4770" s="71"/>
      <c r="I4770" s="71"/>
      <c r="J4770" s="68" t="s">
        <v>19250</v>
      </c>
      <c r="K4770" s="76">
        <v>43158.0</v>
      </c>
      <c r="L4770" s="68" t="s">
        <v>2743</v>
      </c>
      <c r="M4770" s="68" t="s">
        <v>40</v>
      </c>
      <c r="N4770" s="77"/>
      <c r="O4770" s="51"/>
    </row>
    <row r="4771">
      <c r="A4771" s="56">
        <v>4768.0</v>
      </c>
      <c r="B4771" s="240"/>
      <c r="C4771" s="69" t="s">
        <v>19251</v>
      </c>
      <c r="D4771" s="71"/>
      <c r="E4771" s="68" t="s">
        <v>19252</v>
      </c>
      <c r="F4771" s="76">
        <v>43154.0</v>
      </c>
      <c r="G4771" s="68" t="s">
        <v>19253</v>
      </c>
      <c r="H4771" s="71"/>
      <c r="I4771" s="68" t="s">
        <v>19254</v>
      </c>
      <c r="J4771" s="87" t="s">
        <v>19255</v>
      </c>
      <c r="K4771" s="76">
        <v>43159.0</v>
      </c>
      <c r="L4771" s="68" t="s">
        <v>2743</v>
      </c>
      <c r="M4771" s="68" t="s">
        <v>3690</v>
      </c>
      <c r="N4771" s="77"/>
      <c r="O4771" s="51"/>
    </row>
    <row r="4772">
      <c r="A4772" s="56">
        <v>4769.0</v>
      </c>
      <c r="B4772" s="240"/>
      <c r="C4772" s="69" t="s">
        <v>19256</v>
      </c>
      <c r="D4772" s="71"/>
      <c r="E4772" s="68" t="s">
        <v>19257</v>
      </c>
      <c r="F4772" s="76">
        <v>43136.0</v>
      </c>
      <c r="G4772" s="68" t="s">
        <v>19258</v>
      </c>
      <c r="H4772" s="71"/>
      <c r="I4772" s="68" t="s">
        <v>19259</v>
      </c>
      <c r="J4772" s="68" t="s">
        <v>19260</v>
      </c>
      <c r="K4772" s="76">
        <v>43159.0</v>
      </c>
      <c r="L4772" s="68" t="s">
        <v>2743</v>
      </c>
      <c r="M4772" s="68" t="s">
        <v>143</v>
      </c>
      <c r="N4772" s="77"/>
      <c r="O4772" s="51"/>
    </row>
    <row r="4773">
      <c r="A4773" s="56">
        <v>4770.0</v>
      </c>
      <c r="B4773" s="240"/>
      <c r="C4773" s="64" t="s">
        <v>19261</v>
      </c>
      <c r="D4773" s="66"/>
      <c r="E4773" s="63" t="s">
        <v>19262</v>
      </c>
      <c r="F4773" s="70">
        <v>40969.0</v>
      </c>
      <c r="G4773" s="63" t="s">
        <v>19263</v>
      </c>
      <c r="H4773" s="66"/>
      <c r="I4773" s="260" t="s">
        <v>19264</v>
      </c>
      <c r="J4773" s="88" t="s">
        <v>19265</v>
      </c>
      <c r="K4773" s="70">
        <v>43160.0</v>
      </c>
      <c r="L4773" s="63" t="s">
        <v>2743</v>
      </c>
      <c r="M4773" s="63" t="s">
        <v>40</v>
      </c>
      <c r="N4773" s="77"/>
      <c r="O4773" s="51"/>
    </row>
    <row r="4774">
      <c r="A4774" s="56">
        <v>4771.0</v>
      </c>
      <c r="B4774" s="241"/>
      <c r="C4774" s="64" t="s">
        <v>19266</v>
      </c>
      <c r="D4774" s="66"/>
      <c r="E4774" s="63" t="s">
        <v>19267</v>
      </c>
      <c r="F4774" s="70">
        <v>39995.0</v>
      </c>
      <c r="G4774" s="80" t="s">
        <v>19268</v>
      </c>
      <c r="H4774" s="80" t="s">
        <v>19269</v>
      </c>
      <c r="I4774" s="63" t="s">
        <v>19270</v>
      </c>
      <c r="J4774" s="63" t="s">
        <v>8033</v>
      </c>
      <c r="K4774" s="70">
        <v>43160.0</v>
      </c>
      <c r="L4774" s="63" t="s">
        <v>2743</v>
      </c>
      <c r="M4774" s="63" t="s">
        <v>530</v>
      </c>
      <c r="N4774" s="61"/>
      <c r="O4774" s="51"/>
    </row>
    <row r="4775">
      <c r="A4775" s="56">
        <v>4772.0</v>
      </c>
      <c r="B4775" s="241"/>
      <c r="C4775" s="64" t="s">
        <v>19271</v>
      </c>
      <c r="D4775" s="66"/>
      <c r="E4775" s="63" t="s">
        <v>19272</v>
      </c>
      <c r="F4775" s="65">
        <v>39747.0</v>
      </c>
      <c r="G4775" s="80" t="s">
        <v>19273</v>
      </c>
      <c r="H4775" s="80" t="s">
        <v>19274</v>
      </c>
      <c r="I4775" s="66"/>
      <c r="J4775" s="63" t="s">
        <v>8033</v>
      </c>
      <c r="K4775" s="70">
        <v>43160.0</v>
      </c>
      <c r="L4775" s="63" t="s">
        <v>2743</v>
      </c>
      <c r="M4775" s="63" t="s">
        <v>530</v>
      </c>
      <c r="N4775" s="61"/>
      <c r="O4775" s="51"/>
    </row>
    <row r="4776">
      <c r="A4776" s="56">
        <v>4773.0</v>
      </c>
      <c r="B4776" s="240"/>
      <c r="C4776" s="69" t="s">
        <v>19275</v>
      </c>
      <c r="D4776" s="71"/>
      <c r="E4776" s="68" t="s">
        <v>19276</v>
      </c>
      <c r="F4776" s="68" t="s">
        <v>407</v>
      </c>
      <c r="G4776" s="68" t="s">
        <v>19277</v>
      </c>
      <c r="H4776" s="71"/>
      <c r="I4776" s="71"/>
      <c r="J4776" s="68" t="s">
        <v>19278</v>
      </c>
      <c r="K4776" s="76">
        <v>43160.0</v>
      </c>
      <c r="L4776" s="68" t="s">
        <v>2743</v>
      </c>
      <c r="M4776" s="68" t="s">
        <v>5990</v>
      </c>
      <c r="N4776" s="77"/>
      <c r="O4776" s="51"/>
    </row>
    <row r="4777">
      <c r="A4777" s="56">
        <v>4774.0</v>
      </c>
      <c r="B4777" s="240"/>
      <c r="C4777" s="69" t="s">
        <v>19279</v>
      </c>
      <c r="D4777" s="71"/>
      <c r="E4777" s="68" t="s">
        <v>19280</v>
      </c>
      <c r="F4777" s="76">
        <v>43148.0</v>
      </c>
      <c r="G4777" s="68" t="s">
        <v>19281</v>
      </c>
      <c r="H4777" s="71"/>
      <c r="I4777" s="68" t="s">
        <v>19282</v>
      </c>
      <c r="J4777" s="68" t="s">
        <v>19283</v>
      </c>
      <c r="K4777" s="76">
        <v>43160.0</v>
      </c>
      <c r="L4777" s="68" t="s">
        <v>2743</v>
      </c>
      <c r="M4777" s="68" t="s">
        <v>1435</v>
      </c>
      <c r="N4777" s="77"/>
      <c r="O4777" s="51"/>
    </row>
    <row r="4778">
      <c r="A4778" s="56">
        <v>4775.0</v>
      </c>
      <c r="B4778" s="240"/>
      <c r="C4778" s="69" t="s">
        <v>19284</v>
      </c>
      <c r="D4778" s="71"/>
      <c r="E4778" s="68" t="s">
        <v>19285</v>
      </c>
      <c r="F4778" s="76">
        <v>43114.0</v>
      </c>
      <c r="G4778" s="68" t="s">
        <v>19286</v>
      </c>
      <c r="H4778" s="71"/>
      <c r="I4778" s="71"/>
      <c r="J4778" s="68" t="s">
        <v>18938</v>
      </c>
      <c r="K4778" s="76">
        <v>43161.0</v>
      </c>
      <c r="L4778" s="68" t="s">
        <v>2743</v>
      </c>
      <c r="M4778" s="68" t="s">
        <v>40</v>
      </c>
      <c r="N4778" s="77"/>
      <c r="O4778" s="51"/>
    </row>
    <row r="4779">
      <c r="A4779" s="56">
        <v>4776.0</v>
      </c>
      <c r="B4779" s="240"/>
      <c r="C4779" s="69" t="s">
        <v>19287</v>
      </c>
      <c r="D4779" s="71"/>
      <c r="E4779" s="68" t="s">
        <v>19288</v>
      </c>
      <c r="F4779" s="76">
        <v>43014.0</v>
      </c>
      <c r="G4779" s="68" t="s">
        <v>19289</v>
      </c>
      <c r="H4779" s="71"/>
      <c r="I4779" s="68" t="s">
        <v>19290</v>
      </c>
      <c r="J4779" s="68" t="s">
        <v>19291</v>
      </c>
      <c r="K4779" s="76">
        <v>43161.0</v>
      </c>
      <c r="L4779" s="68" t="s">
        <v>2743</v>
      </c>
      <c r="M4779" s="68" t="s">
        <v>2989</v>
      </c>
      <c r="N4779" s="77"/>
      <c r="O4779" s="51"/>
    </row>
    <row r="4780">
      <c r="A4780" s="56">
        <v>4777.0</v>
      </c>
      <c r="B4780" s="241"/>
      <c r="C4780" s="64" t="s">
        <v>19292</v>
      </c>
      <c r="D4780" s="66"/>
      <c r="E4780" s="63" t="s">
        <v>19293</v>
      </c>
      <c r="F4780" s="70">
        <v>42825.0</v>
      </c>
      <c r="G4780" s="80" t="s">
        <v>19294</v>
      </c>
      <c r="H4780" s="82"/>
      <c r="I4780" s="63" t="s">
        <v>19295</v>
      </c>
      <c r="J4780" s="63" t="s">
        <v>6393</v>
      </c>
      <c r="K4780" s="70">
        <v>43161.0</v>
      </c>
      <c r="L4780" s="63" t="s">
        <v>2743</v>
      </c>
      <c r="M4780" s="63" t="s">
        <v>195</v>
      </c>
      <c r="N4780" s="61"/>
      <c r="O4780" s="51"/>
    </row>
    <row r="4781">
      <c r="A4781" s="56">
        <v>4778.0</v>
      </c>
      <c r="B4781" s="240"/>
      <c r="C4781" s="69" t="s">
        <v>19296</v>
      </c>
      <c r="D4781" s="71"/>
      <c r="E4781" s="68" t="s">
        <v>19297</v>
      </c>
      <c r="F4781" s="76">
        <v>41333.0</v>
      </c>
      <c r="G4781" s="68" t="s">
        <v>19298</v>
      </c>
      <c r="H4781" s="71"/>
      <c r="I4781" s="71"/>
      <c r="J4781" s="87" t="s">
        <v>19299</v>
      </c>
      <c r="K4781" s="76">
        <v>43161.0</v>
      </c>
      <c r="L4781" s="68" t="s">
        <v>2743</v>
      </c>
      <c r="M4781" s="68" t="s">
        <v>941</v>
      </c>
      <c r="N4781" s="77"/>
      <c r="O4781" s="51"/>
    </row>
    <row r="4782">
      <c r="A4782" s="56">
        <v>4779.0</v>
      </c>
      <c r="B4782" s="240"/>
      <c r="C4782" s="69" t="s">
        <v>19300</v>
      </c>
      <c r="D4782" s="71"/>
      <c r="E4782" s="68" t="s">
        <v>19301</v>
      </c>
      <c r="F4782" s="76">
        <v>42851.0</v>
      </c>
      <c r="G4782" s="68" t="s">
        <v>19302</v>
      </c>
      <c r="H4782" s="71"/>
      <c r="I4782" s="71"/>
      <c r="J4782" s="68" t="s">
        <v>19303</v>
      </c>
      <c r="K4782" s="76">
        <v>43161.0</v>
      </c>
      <c r="L4782" s="68" t="s">
        <v>2743</v>
      </c>
      <c r="M4782" s="68" t="s">
        <v>125</v>
      </c>
      <c r="N4782" s="77"/>
      <c r="O4782" s="51"/>
    </row>
    <row r="4783">
      <c r="A4783" s="56">
        <v>4780.0</v>
      </c>
      <c r="B4783" s="241"/>
      <c r="C4783" s="64" t="s">
        <v>19304</v>
      </c>
      <c r="D4783" s="66"/>
      <c r="E4783" s="63" t="s">
        <v>19305</v>
      </c>
      <c r="F4783" s="70">
        <v>42219.0</v>
      </c>
      <c r="G4783" s="80" t="s">
        <v>19306</v>
      </c>
      <c r="H4783" s="82"/>
      <c r="I4783" s="63" t="s">
        <v>19307</v>
      </c>
      <c r="J4783" s="63" t="s">
        <v>7523</v>
      </c>
      <c r="K4783" s="70">
        <v>43161.0</v>
      </c>
      <c r="L4783" s="63" t="s">
        <v>2743</v>
      </c>
      <c r="M4783" s="63" t="s">
        <v>1910</v>
      </c>
      <c r="N4783" s="61"/>
      <c r="O4783" s="51"/>
    </row>
    <row r="4784">
      <c r="A4784" s="56">
        <v>4781.0</v>
      </c>
      <c r="B4784" s="241"/>
      <c r="C4784" s="64" t="s">
        <v>19308</v>
      </c>
      <c r="D4784" s="66"/>
      <c r="E4784" s="63" t="s">
        <v>19309</v>
      </c>
      <c r="F4784" s="65">
        <v>41996.0</v>
      </c>
      <c r="G4784" s="80" t="s">
        <v>19310</v>
      </c>
      <c r="H4784" s="82"/>
      <c r="I4784" s="63" t="s">
        <v>19311</v>
      </c>
      <c r="J4784" s="63" t="s">
        <v>11313</v>
      </c>
      <c r="K4784" s="70">
        <v>43161.0</v>
      </c>
      <c r="L4784" s="63" t="s">
        <v>2743</v>
      </c>
      <c r="M4784" s="63" t="s">
        <v>19312</v>
      </c>
      <c r="N4784" s="61"/>
      <c r="O4784" s="51"/>
    </row>
    <row r="4785">
      <c r="A4785" s="56">
        <v>4782.0</v>
      </c>
      <c r="B4785" s="240"/>
      <c r="C4785" s="69" t="s">
        <v>19313</v>
      </c>
      <c r="D4785" s="71"/>
      <c r="E4785" s="68" t="s">
        <v>19314</v>
      </c>
      <c r="F4785" s="83">
        <v>41996.0</v>
      </c>
      <c r="G4785" s="68" t="s">
        <v>19315</v>
      </c>
      <c r="H4785" s="68" t="s">
        <v>439</v>
      </c>
      <c r="I4785" s="68" t="s">
        <v>19316</v>
      </c>
      <c r="J4785" s="87" t="s">
        <v>19317</v>
      </c>
      <c r="K4785" s="76">
        <v>43161.0</v>
      </c>
      <c r="L4785" s="68" t="s">
        <v>2743</v>
      </c>
      <c r="M4785" s="68" t="s">
        <v>31</v>
      </c>
      <c r="N4785" s="61"/>
      <c r="O4785" s="51"/>
    </row>
    <row r="4786">
      <c r="A4786" s="56">
        <v>4783.0</v>
      </c>
      <c r="B4786" s="240"/>
      <c r="C4786" s="69" t="s">
        <v>19318</v>
      </c>
      <c r="D4786" s="71"/>
      <c r="E4786" s="68" t="s">
        <v>19319</v>
      </c>
      <c r="F4786" s="83">
        <v>43032.0</v>
      </c>
      <c r="G4786" s="68" t="s">
        <v>19320</v>
      </c>
      <c r="H4786" s="71"/>
      <c r="I4786" s="68" t="s">
        <v>19321</v>
      </c>
      <c r="J4786" s="68" t="s">
        <v>19322</v>
      </c>
      <c r="K4786" s="76">
        <v>43161.0</v>
      </c>
      <c r="L4786" s="68" t="s">
        <v>2743</v>
      </c>
      <c r="M4786" s="68" t="s">
        <v>143</v>
      </c>
      <c r="N4786" s="77"/>
      <c r="O4786" s="51"/>
    </row>
    <row r="4787">
      <c r="A4787" s="56">
        <v>4784.0</v>
      </c>
      <c r="B4787" s="240"/>
      <c r="C4787" s="69" t="s">
        <v>19323</v>
      </c>
      <c r="D4787" s="71"/>
      <c r="E4787" s="68" t="s">
        <v>19324</v>
      </c>
      <c r="F4787" s="76">
        <v>42543.0</v>
      </c>
      <c r="G4787" s="68" t="s">
        <v>19325</v>
      </c>
      <c r="H4787" s="71"/>
      <c r="I4787" s="71"/>
      <c r="J4787" s="68" t="s">
        <v>19326</v>
      </c>
      <c r="K4787" s="76">
        <v>43161.0</v>
      </c>
      <c r="L4787" s="68" t="s">
        <v>2743</v>
      </c>
      <c r="M4787" s="68" t="s">
        <v>125</v>
      </c>
      <c r="N4787" s="261" t="s">
        <v>19327</v>
      </c>
      <c r="O4787" s="51"/>
    </row>
    <row r="4788">
      <c r="A4788" s="56">
        <v>4785.0</v>
      </c>
      <c r="B4788" s="240"/>
      <c r="C4788" s="69" t="s">
        <v>19328</v>
      </c>
      <c r="D4788" s="71"/>
      <c r="E4788" s="68" t="s">
        <v>19329</v>
      </c>
      <c r="F4788" s="76">
        <v>43135.0</v>
      </c>
      <c r="G4788" s="68" t="s">
        <v>19330</v>
      </c>
      <c r="H4788" s="71"/>
      <c r="I4788" s="68" t="s">
        <v>19331</v>
      </c>
      <c r="J4788" s="68" t="s">
        <v>19332</v>
      </c>
      <c r="K4788" s="76">
        <v>43165.0</v>
      </c>
      <c r="L4788" s="68" t="s">
        <v>2743</v>
      </c>
      <c r="M4788" s="68" t="s">
        <v>40</v>
      </c>
      <c r="N4788" s="77"/>
      <c r="O4788" s="51"/>
    </row>
    <row r="4789">
      <c r="A4789" s="56">
        <v>4786.0</v>
      </c>
      <c r="B4789" s="240"/>
      <c r="C4789" s="69" t="s">
        <v>19333</v>
      </c>
      <c r="D4789" s="71"/>
      <c r="E4789" s="68" t="s">
        <v>19334</v>
      </c>
      <c r="F4789" s="76">
        <v>43142.0</v>
      </c>
      <c r="G4789" s="68" t="s">
        <v>19335</v>
      </c>
      <c r="H4789" s="71"/>
      <c r="I4789" s="71"/>
      <c r="J4789" s="68" t="s">
        <v>19336</v>
      </c>
      <c r="K4789" s="76">
        <v>43166.0</v>
      </c>
      <c r="L4789" s="68" t="s">
        <v>2743</v>
      </c>
      <c r="M4789" s="68" t="s">
        <v>40</v>
      </c>
      <c r="N4789" s="77"/>
      <c r="O4789" s="51"/>
    </row>
    <row r="4790">
      <c r="A4790" s="75">
        <v>4787.0</v>
      </c>
      <c r="B4790" s="240"/>
      <c r="C4790" s="69" t="s">
        <v>19337</v>
      </c>
      <c r="D4790" s="71"/>
      <c r="E4790" s="68" t="s">
        <v>19338</v>
      </c>
      <c r="F4790" s="76">
        <v>42583.0</v>
      </c>
      <c r="G4790" s="68" t="s">
        <v>19339</v>
      </c>
      <c r="H4790" s="71"/>
      <c r="I4790" s="68" t="s">
        <v>19340</v>
      </c>
      <c r="J4790" s="68" t="s">
        <v>19341</v>
      </c>
      <c r="K4790" s="76">
        <v>43166.0</v>
      </c>
      <c r="L4790" s="68" t="s">
        <v>2743</v>
      </c>
      <c r="M4790" s="68" t="s">
        <v>143</v>
      </c>
      <c r="N4790" s="77"/>
      <c r="O4790" s="51"/>
    </row>
    <row r="4791">
      <c r="A4791" s="56">
        <v>4788.0</v>
      </c>
      <c r="B4791" s="241"/>
      <c r="C4791" s="64" t="s">
        <v>19342</v>
      </c>
      <c r="D4791" s="66"/>
      <c r="E4791" s="63" t="s">
        <v>19343</v>
      </c>
      <c r="F4791" s="65">
        <v>42328.0</v>
      </c>
      <c r="G4791" s="80" t="s">
        <v>19344</v>
      </c>
      <c r="H4791" s="80" t="s">
        <v>439</v>
      </c>
      <c r="I4791" s="66"/>
      <c r="J4791" s="63" t="s">
        <v>6393</v>
      </c>
      <c r="K4791" s="70">
        <v>43166.0</v>
      </c>
      <c r="L4791" s="63" t="s">
        <v>2743</v>
      </c>
      <c r="M4791" s="63" t="s">
        <v>6875</v>
      </c>
      <c r="N4791" s="61"/>
      <c r="O4791" s="51"/>
    </row>
    <row r="4792">
      <c r="A4792" s="56">
        <v>4789.0</v>
      </c>
      <c r="B4792" s="240"/>
      <c r="C4792" s="69" t="s">
        <v>19345</v>
      </c>
      <c r="D4792" s="71"/>
      <c r="E4792" s="68" t="s">
        <v>19346</v>
      </c>
      <c r="F4792" s="76">
        <v>43071.0</v>
      </c>
      <c r="G4792" s="68" t="s">
        <v>19347</v>
      </c>
      <c r="H4792" s="71"/>
      <c r="I4792" s="71"/>
      <c r="J4792" s="68" t="s">
        <v>18362</v>
      </c>
      <c r="K4792" s="76">
        <v>43166.0</v>
      </c>
      <c r="L4792" s="68" t="s">
        <v>2743</v>
      </c>
      <c r="M4792" s="68" t="s">
        <v>149</v>
      </c>
      <c r="N4792" s="77"/>
      <c r="O4792" s="51"/>
    </row>
    <row r="4793">
      <c r="A4793" s="56">
        <v>4790.0</v>
      </c>
      <c r="B4793" s="240"/>
      <c r="C4793" s="69" t="s">
        <v>19348</v>
      </c>
      <c r="D4793" s="71"/>
      <c r="E4793" s="68" t="s">
        <v>19349</v>
      </c>
      <c r="F4793" s="76">
        <v>43101.0</v>
      </c>
      <c r="G4793" s="68" t="s">
        <v>19350</v>
      </c>
      <c r="H4793" s="71"/>
      <c r="I4793" s="71"/>
      <c r="J4793" s="68" t="s">
        <v>19351</v>
      </c>
      <c r="K4793" s="76">
        <v>43166.0</v>
      </c>
      <c r="L4793" s="68" t="s">
        <v>2743</v>
      </c>
      <c r="M4793" s="68" t="s">
        <v>166</v>
      </c>
      <c r="N4793" s="77"/>
      <c r="O4793" s="51"/>
    </row>
    <row r="4794">
      <c r="A4794" s="56">
        <v>4791.0</v>
      </c>
      <c r="B4794" s="240"/>
      <c r="C4794" s="69" t="s">
        <v>19352</v>
      </c>
      <c r="D4794" s="71"/>
      <c r="E4794" s="68" t="s">
        <v>19353</v>
      </c>
      <c r="F4794" s="76">
        <v>42997.0</v>
      </c>
      <c r="G4794" s="68" t="s">
        <v>19354</v>
      </c>
      <c r="H4794" s="71"/>
      <c r="I4794" s="68" t="s">
        <v>19355</v>
      </c>
      <c r="J4794" s="68" t="s">
        <v>19356</v>
      </c>
      <c r="K4794" s="76">
        <v>43166.0</v>
      </c>
      <c r="L4794" s="68" t="s">
        <v>2743</v>
      </c>
      <c r="M4794" s="68" t="s">
        <v>3714</v>
      </c>
      <c r="N4794" s="77"/>
      <c r="O4794" s="51"/>
    </row>
    <row r="4795">
      <c r="A4795" s="56">
        <v>4792.0</v>
      </c>
      <c r="B4795" s="241"/>
      <c r="C4795" s="64" t="s">
        <v>19357</v>
      </c>
      <c r="D4795" s="66"/>
      <c r="E4795" s="63" t="s">
        <v>19358</v>
      </c>
      <c r="F4795" s="70">
        <v>41306.0</v>
      </c>
      <c r="G4795" s="80" t="s">
        <v>19359</v>
      </c>
      <c r="H4795" s="80" t="s">
        <v>19360</v>
      </c>
      <c r="I4795" s="66"/>
      <c r="J4795" s="63" t="s">
        <v>6393</v>
      </c>
      <c r="K4795" s="70">
        <v>43166.0</v>
      </c>
      <c r="L4795" s="63" t="s">
        <v>2743</v>
      </c>
      <c r="M4795" s="63" t="s">
        <v>195</v>
      </c>
      <c r="N4795" s="61"/>
      <c r="O4795" s="51"/>
    </row>
    <row r="4796">
      <c r="A4796" s="56">
        <v>4793.0</v>
      </c>
      <c r="B4796" s="240"/>
      <c r="C4796" s="69" t="s">
        <v>19361</v>
      </c>
      <c r="D4796" s="71"/>
      <c r="E4796" s="68" t="s">
        <v>19362</v>
      </c>
      <c r="F4796" s="76">
        <v>42803.0</v>
      </c>
      <c r="G4796" s="68" t="s">
        <v>19363</v>
      </c>
      <c r="H4796" s="71"/>
      <c r="I4796" s="68" t="s">
        <v>19364</v>
      </c>
      <c r="J4796" s="68" t="s">
        <v>19365</v>
      </c>
      <c r="K4796" s="76">
        <v>43166.0</v>
      </c>
      <c r="L4796" s="68" t="s">
        <v>2743</v>
      </c>
      <c r="M4796" s="68" t="s">
        <v>143</v>
      </c>
      <c r="N4796" s="77"/>
      <c r="O4796" s="51"/>
    </row>
    <row r="4797">
      <c r="A4797" s="56">
        <v>4794.0</v>
      </c>
      <c r="B4797" s="240"/>
      <c r="C4797" s="69" t="s">
        <v>19366</v>
      </c>
      <c r="D4797" s="71"/>
      <c r="E4797" s="68" t="s">
        <v>19367</v>
      </c>
      <c r="F4797" s="83">
        <v>43067.0</v>
      </c>
      <c r="G4797" s="68" t="s">
        <v>19368</v>
      </c>
      <c r="H4797" s="71"/>
      <c r="I4797" s="71"/>
      <c r="J4797" s="68" t="s">
        <v>19369</v>
      </c>
      <c r="K4797" s="76">
        <v>43166.0</v>
      </c>
      <c r="L4797" s="68" t="s">
        <v>2743</v>
      </c>
      <c r="M4797" s="68" t="s">
        <v>125</v>
      </c>
      <c r="N4797" s="77"/>
      <c r="O4797" s="51"/>
    </row>
    <row r="4798">
      <c r="A4798" s="56">
        <v>4795.0</v>
      </c>
      <c r="B4798" s="241"/>
      <c r="C4798" s="64" t="s">
        <v>19370</v>
      </c>
      <c r="D4798" s="66"/>
      <c r="E4798" s="63" t="s">
        <v>19371</v>
      </c>
      <c r="F4798" s="66"/>
      <c r="G4798" s="80" t="s">
        <v>19372</v>
      </c>
      <c r="H4798" s="82"/>
      <c r="I4798" s="66"/>
      <c r="J4798" s="68" t="s">
        <v>19369</v>
      </c>
      <c r="K4798" s="70">
        <v>43167.0</v>
      </c>
      <c r="L4798" s="63" t="s">
        <v>2743</v>
      </c>
      <c r="M4798" s="63" t="s">
        <v>2097</v>
      </c>
      <c r="N4798" s="61"/>
      <c r="O4798" s="51"/>
    </row>
    <row r="4799">
      <c r="A4799" s="56">
        <v>4796.0</v>
      </c>
      <c r="B4799" s="241"/>
      <c r="C4799" s="64" t="s">
        <v>19373</v>
      </c>
      <c r="D4799" s="66"/>
      <c r="E4799" s="63" t="s">
        <v>19374</v>
      </c>
      <c r="F4799" s="65">
        <v>42691.0</v>
      </c>
      <c r="G4799" s="80" t="s">
        <v>19375</v>
      </c>
      <c r="H4799" s="82"/>
      <c r="I4799" s="66"/>
      <c r="J4799" s="63" t="s">
        <v>5653</v>
      </c>
      <c r="K4799" s="70">
        <v>43167.0</v>
      </c>
      <c r="L4799" s="63" t="s">
        <v>2743</v>
      </c>
      <c r="M4799" s="63" t="s">
        <v>166</v>
      </c>
      <c r="N4799" s="61"/>
      <c r="O4799" s="51"/>
    </row>
    <row r="4800">
      <c r="A4800" s="56">
        <v>4797.0</v>
      </c>
      <c r="B4800" s="240"/>
      <c r="C4800" s="69" t="s">
        <v>19376</v>
      </c>
      <c r="D4800" s="71"/>
      <c r="E4800" s="68" t="s">
        <v>19377</v>
      </c>
      <c r="F4800" s="76">
        <v>42786.0</v>
      </c>
      <c r="G4800" s="68" t="s">
        <v>19378</v>
      </c>
      <c r="H4800" s="71"/>
      <c r="I4800" s="71"/>
      <c r="J4800" s="87" t="s">
        <v>19379</v>
      </c>
      <c r="K4800" s="76">
        <v>43167.0</v>
      </c>
      <c r="L4800" s="68" t="s">
        <v>2743</v>
      </c>
      <c r="M4800" s="68" t="s">
        <v>143</v>
      </c>
      <c r="N4800" s="77"/>
      <c r="O4800" s="51"/>
    </row>
    <row r="4801">
      <c r="A4801" s="75">
        <v>4798.0</v>
      </c>
      <c r="B4801" s="240"/>
      <c r="C4801" s="69" t="s">
        <v>19380</v>
      </c>
      <c r="D4801" s="71"/>
      <c r="E4801" s="68" t="s">
        <v>19381</v>
      </c>
      <c r="F4801" s="76">
        <v>41400.0</v>
      </c>
      <c r="G4801" s="68" t="s">
        <v>19382</v>
      </c>
      <c r="H4801" s="68" t="s">
        <v>19383</v>
      </c>
      <c r="I4801" s="71"/>
      <c r="J4801" s="100" t="s">
        <v>4430</v>
      </c>
      <c r="K4801" s="225">
        <v>43167.0</v>
      </c>
      <c r="L4801" s="68" t="s">
        <v>2743</v>
      </c>
      <c r="M4801" s="68" t="s">
        <v>125</v>
      </c>
      <c r="N4801" s="77"/>
      <c r="O4801" s="130"/>
    </row>
    <row r="4802">
      <c r="A4802" s="56">
        <v>4799.0</v>
      </c>
      <c r="B4802" s="240"/>
      <c r="C4802" s="69" t="s">
        <v>19384</v>
      </c>
      <c r="D4802" s="71"/>
      <c r="E4802" s="68" t="s">
        <v>19385</v>
      </c>
      <c r="F4802" s="76">
        <v>39995.0</v>
      </c>
      <c r="G4802" s="68" t="s">
        <v>19386</v>
      </c>
      <c r="H4802" s="71"/>
      <c r="I4802" s="71"/>
      <c r="J4802" s="68" t="s">
        <v>19387</v>
      </c>
      <c r="K4802" s="76">
        <v>43167.0</v>
      </c>
      <c r="L4802" s="68" t="s">
        <v>2743</v>
      </c>
      <c r="M4802" s="68" t="s">
        <v>530</v>
      </c>
      <c r="N4802" s="77"/>
      <c r="O4802" s="51"/>
    </row>
    <row r="4803">
      <c r="A4803" s="56">
        <v>4800.0</v>
      </c>
      <c r="B4803" s="241"/>
      <c r="C4803" s="64" t="s">
        <v>19388</v>
      </c>
      <c r="D4803" s="66"/>
      <c r="E4803" s="63" t="s">
        <v>19389</v>
      </c>
      <c r="F4803" s="70">
        <v>42964.0</v>
      </c>
      <c r="G4803" s="80" t="s">
        <v>19390</v>
      </c>
      <c r="H4803" s="82"/>
      <c r="I4803" s="66"/>
      <c r="J4803" s="63" t="s">
        <v>6393</v>
      </c>
      <c r="K4803" s="70">
        <v>43167.0</v>
      </c>
      <c r="L4803" s="63" t="s">
        <v>2743</v>
      </c>
      <c r="M4803" s="63" t="s">
        <v>195</v>
      </c>
      <c r="N4803" s="61"/>
      <c r="O4803" s="51"/>
    </row>
    <row r="4804">
      <c r="A4804" s="56">
        <v>4801.0</v>
      </c>
      <c r="B4804" s="241"/>
      <c r="C4804" s="64" t="s">
        <v>19391</v>
      </c>
      <c r="D4804" s="66"/>
      <c r="E4804" s="63" t="s">
        <v>19392</v>
      </c>
      <c r="F4804" s="65">
        <v>41996.0</v>
      </c>
      <c r="G4804" s="80" t="s">
        <v>19393</v>
      </c>
      <c r="H4804" s="82"/>
      <c r="I4804" s="66"/>
      <c r="J4804" s="63" t="s">
        <v>11313</v>
      </c>
      <c r="K4804" s="70">
        <v>43167.0</v>
      </c>
      <c r="L4804" s="63" t="s">
        <v>2743</v>
      </c>
      <c r="M4804" s="63" t="s">
        <v>403</v>
      </c>
      <c r="N4804" s="61"/>
      <c r="O4804" s="51"/>
    </row>
    <row r="4805">
      <c r="A4805" s="56">
        <v>4802.0</v>
      </c>
      <c r="B4805" s="241"/>
      <c r="C4805" s="64" t="s">
        <v>19394</v>
      </c>
      <c r="D4805" s="66"/>
      <c r="E4805" s="63" t="s">
        <v>19395</v>
      </c>
      <c r="F4805" s="65">
        <v>41996.0</v>
      </c>
      <c r="G4805" s="80" t="s">
        <v>19396</v>
      </c>
      <c r="H4805" s="82"/>
      <c r="I4805" s="66"/>
      <c r="J4805" s="63" t="s">
        <v>11313</v>
      </c>
      <c r="K4805" s="70">
        <v>43167.0</v>
      </c>
      <c r="L4805" s="63" t="s">
        <v>2743</v>
      </c>
      <c r="M4805" s="63" t="s">
        <v>403</v>
      </c>
      <c r="N4805" s="61"/>
      <c r="O4805" s="51"/>
    </row>
    <row r="4806">
      <c r="A4806" s="56">
        <v>4803.0</v>
      </c>
      <c r="B4806" s="240"/>
      <c r="C4806" s="69" t="s">
        <v>19397</v>
      </c>
      <c r="D4806" s="71"/>
      <c r="E4806" s="68" t="s">
        <v>19398</v>
      </c>
      <c r="F4806" s="76">
        <v>42628.0</v>
      </c>
      <c r="G4806" s="68" t="s">
        <v>19399</v>
      </c>
      <c r="H4806" s="71"/>
      <c r="I4806" s="71"/>
      <c r="J4806" s="68" t="s">
        <v>19400</v>
      </c>
      <c r="K4806" s="76">
        <v>43167.0</v>
      </c>
      <c r="L4806" s="68" t="s">
        <v>2743</v>
      </c>
      <c r="M4806" s="68" t="s">
        <v>195</v>
      </c>
      <c r="N4806" s="77"/>
      <c r="O4806" s="51"/>
    </row>
    <row r="4807">
      <c r="A4807" s="56">
        <v>4804.0</v>
      </c>
      <c r="B4807" s="240"/>
      <c r="C4807" s="69" t="s">
        <v>19401</v>
      </c>
      <c r="D4807" s="71"/>
      <c r="E4807" s="68" t="s">
        <v>19402</v>
      </c>
      <c r="F4807" s="76">
        <v>42753.0</v>
      </c>
      <c r="G4807" s="68" t="s">
        <v>19403</v>
      </c>
      <c r="H4807" s="235"/>
      <c r="I4807" s="262"/>
      <c r="J4807" s="73" t="s">
        <v>19404</v>
      </c>
      <c r="K4807" s="76">
        <v>43167.0</v>
      </c>
      <c r="L4807" s="68" t="s">
        <v>2743</v>
      </c>
      <c r="M4807" s="68" t="s">
        <v>403</v>
      </c>
      <c r="N4807" s="77"/>
      <c r="O4807" s="51"/>
    </row>
    <row r="4808">
      <c r="A4808" s="56">
        <v>4805.0</v>
      </c>
      <c r="B4808" s="240"/>
      <c r="C4808" s="69" t="s">
        <v>19405</v>
      </c>
      <c r="D4808" s="71"/>
      <c r="E4808" s="68" t="s">
        <v>19406</v>
      </c>
      <c r="F4808" s="76">
        <v>43134.0</v>
      </c>
      <c r="G4808" s="68" t="s">
        <v>19407</v>
      </c>
      <c r="H4808" s="111"/>
      <c r="I4808" s="111"/>
      <c r="J4808" s="68" t="s">
        <v>19408</v>
      </c>
      <c r="K4808" s="76">
        <v>43168.0</v>
      </c>
      <c r="L4808" s="68" t="s">
        <v>2743</v>
      </c>
      <c r="M4808" s="68" t="s">
        <v>27</v>
      </c>
      <c r="N4808" s="77"/>
      <c r="O4808" s="51"/>
    </row>
    <row r="4809">
      <c r="A4809" s="56">
        <v>4806.0</v>
      </c>
      <c r="B4809" s="240"/>
      <c r="C4809" s="69" t="s">
        <v>19409</v>
      </c>
      <c r="D4809" s="71"/>
      <c r="E4809" s="68" t="s">
        <v>19410</v>
      </c>
      <c r="F4809" s="76">
        <v>43134.0</v>
      </c>
      <c r="G4809" s="68" t="s">
        <v>19407</v>
      </c>
      <c r="H4809" s="71"/>
      <c r="I4809" s="71"/>
      <c r="J4809" s="87" t="s">
        <v>19411</v>
      </c>
      <c r="K4809" s="76">
        <v>43168.0</v>
      </c>
      <c r="L4809" s="68" t="s">
        <v>2743</v>
      </c>
      <c r="M4809" s="68" t="s">
        <v>27</v>
      </c>
      <c r="N4809" s="61"/>
      <c r="O4809" s="51"/>
    </row>
    <row r="4810">
      <c r="A4810" s="56">
        <v>4807.0</v>
      </c>
      <c r="B4810" s="240"/>
      <c r="C4810" s="69" t="s">
        <v>19412</v>
      </c>
      <c r="D4810" s="71"/>
      <c r="E4810" s="68" t="s">
        <v>19413</v>
      </c>
      <c r="F4810" s="76">
        <v>43134.0</v>
      </c>
      <c r="G4810" s="68" t="s">
        <v>19407</v>
      </c>
      <c r="H4810" s="71"/>
      <c r="I4810" s="71"/>
      <c r="J4810" s="68" t="s">
        <v>19408</v>
      </c>
      <c r="K4810" s="76">
        <v>43168.0</v>
      </c>
      <c r="L4810" s="68" t="s">
        <v>2743</v>
      </c>
      <c r="M4810" s="68" t="s">
        <v>27</v>
      </c>
      <c r="N4810" s="77"/>
      <c r="O4810" s="51"/>
    </row>
    <row r="4811">
      <c r="A4811" s="56">
        <v>4808.0</v>
      </c>
      <c r="B4811" s="240"/>
      <c r="C4811" s="69" t="s">
        <v>19414</v>
      </c>
      <c r="D4811" s="71"/>
      <c r="E4811" s="68" t="s">
        <v>19415</v>
      </c>
      <c r="F4811" s="76">
        <v>43134.0</v>
      </c>
      <c r="G4811" s="68" t="s">
        <v>19407</v>
      </c>
      <c r="H4811" s="71"/>
      <c r="I4811" s="71"/>
      <c r="J4811" s="68" t="s">
        <v>19416</v>
      </c>
      <c r="K4811" s="76">
        <v>43168.0</v>
      </c>
      <c r="L4811" s="68" t="s">
        <v>2743</v>
      </c>
      <c r="M4811" s="68" t="s">
        <v>27</v>
      </c>
      <c r="N4811" s="77"/>
      <c r="O4811" s="51"/>
    </row>
    <row r="4812">
      <c r="A4812" s="56">
        <v>4809.0</v>
      </c>
      <c r="B4812" s="240"/>
      <c r="C4812" s="69" t="s">
        <v>19417</v>
      </c>
      <c r="D4812" s="71"/>
      <c r="E4812" s="68" t="s">
        <v>19418</v>
      </c>
      <c r="F4812" s="76">
        <v>43162.0</v>
      </c>
      <c r="G4812" s="68" t="s">
        <v>19419</v>
      </c>
      <c r="H4812" s="68" t="s">
        <v>19420</v>
      </c>
      <c r="I4812" s="68" t="s">
        <v>19421</v>
      </c>
      <c r="J4812" s="68" t="s">
        <v>19422</v>
      </c>
      <c r="K4812" s="76">
        <v>43168.0</v>
      </c>
      <c r="L4812" s="68" t="s">
        <v>2743</v>
      </c>
      <c r="M4812" s="68" t="s">
        <v>31</v>
      </c>
      <c r="N4812" s="61"/>
      <c r="O4812" s="51"/>
    </row>
    <row r="4813">
      <c r="A4813" s="56">
        <v>4810.0</v>
      </c>
      <c r="B4813" s="240"/>
      <c r="C4813" s="69" t="s">
        <v>19423</v>
      </c>
      <c r="D4813" s="71"/>
      <c r="E4813" s="68" t="s">
        <v>19424</v>
      </c>
      <c r="F4813" s="76">
        <v>43162.0</v>
      </c>
      <c r="G4813" s="68" t="s">
        <v>19419</v>
      </c>
      <c r="H4813" s="71"/>
      <c r="I4813" s="68" t="s">
        <v>19421</v>
      </c>
      <c r="J4813" s="68" t="s">
        <v>19422</v>
      </c>
      <c r="K4813" s="76">
        <v>43168.0</v>
      </c>
      <c r="L4813" s="68" t="s">
        <v>2743</v>
      </c>
      <c r="M4813" s="68" t="s">
        <v>31</v>
      </c>
      <c r="N4813" s="61"/>
      <c r="O4813" s="51"/>
    </row>
    <row r="4814">
      <c r="A4814" s="56">
        <v>4811.0</v>
      </c>
      <c r="B4814" s="241"/>
      <c r="C4814" s="64" t="s">
        <v>19425</v>
      </c>
      <c r="D4814" s="66"/>
      <c r="E4814" s="63" t="s">
        <v>19426</v>
      </c>
      <c r="F4814" s="70">
        <v>42917.0</v>
      </c>
      <c r="G4814" s="80" t="s">
        <v>19427</v>
      </c>
      <c r="H4814" s="80" t="s">
        <v>439</v>
      </c>
      <c r="I4814" s="66"/>
      <c r="J4814" s="63" t="s">
        <v>6393</v>
      </c>
      <c r="K4814" s="70">
        <v>43168.0</v>
      </c>
      <c r="L4814" s="63" t="s">
        <v>2743</v>
      </c>
      <c r="M4814" s="63" t="s">
        <v>6875</v>
      </c>
      <c r="N4814" s="61"/>
      <c r="O4814" s="51"/>
    </row>
    <row r="4815">
      <c r="A4815" s="56">
        <v>4812.0</v>
      </c>
      <c r="B4815" s="240"/>
      <c r="C4815" s="69" t="s">
        <v>19428</v>
      </c>
      <c r="D4815" s="71"/>
      <c r="E4815" s="68" t="s">
        <v>19429</v>
      </c>
      <c r="F4815" s="76">
        <v>42515.0</v>
      </c>
      <c r="G4815" s="68" t="s">
        <v>19430</v>
      </c>
      <c r="H4815" s="71"/>
      <c r="I4815" s="68" t="s">
        <v>19431</v>
      </c>
      <c r="J4815" s="87" t="s">
        <v>19432</v>
      </c>
      <c r="K4815" s="225">
        <v>43168.0</v>
      </c>
      <c r="L4815" s="68" t="s">
        <v>2743</v>
      </c>
      <c r="M4815" s="68" t="s">
        <v>4749</v>
      </c>
      <c r="N4815" s="77"/>
      <c r="O4815" s="51"/>
    </row>
    <row r="4816">
      <c r="A4816" s="56">
        <v>4813.0</v>
      </c>
      <c r="B4816" s="240"/>
      <c r="C4816" s="69" t="s">
        <v>19433</v>
      </c>
      <c r="D4816" s="71"/>
      <c r="E4816" s="68" t="s">
        <v>19434</v>
      </c>
      <c r="F4816" s="76">
        <v>42047.0</v>
      </c>
      <c r="G4816" s="68" t="s">
        <v>19435</v>
      </c>
      <c r="H4816" s="71"/>
      <c r="I4816" s="71"/>
      <c r="J4816" s="68" t="s">
        <v>19436</v>
      </c>
      <c r="K4816" s="76">
        <v>43168.0</v>
      </c>
      <c r="L4816" s="68" t="s">
        <v>2743</v>
      </c>
      <c r="M4816" s="68" t="s">
        <v>195</v>
      </c>
      <c r="N4816" s="77"/>
      <c r="O4816" s="51"/>
    </row>
    <row r="4817">
      <c r="A4817" s="75">
        <v>4814.0</v>
      </c>
      <c r="B4817" s="240"/>
      <c r="C4817" s="69" t="s">
        <v>19437</v>
      </c>
      <c r="D4817" s="71"/>
      <c r="E4817" s="68" t="s">
        <v>19438</v>
      </c>
      <c r="F4817" s="83">
        <v>43067.0</v>
      </c>
      <c r="G4817" s="68" t="s">
        <v>19439</v>
      </c>
      <c r="H4817" s="71"/>
      <c r="I4817" s="68" t="s">
        <v>19440</v>
      </c>
      <c r="J4817" s="68" t="s">
        <v>19441</v>
      </c>
      <c r="K4817" s="76">
        <v>43169.0</v>
      </c>
      <c r="L4817" s="68" t="s">
        <v>2743</v>
      </c>
      <c r="M4817" s="68" t="s">
        <v>368</v>
      </c>
      <c r="N4817" s="77"/>
      <c r="O4817" s="51"/>
    </row>
    <row r="4818">
      <c r="A4818" s="56">
        <v>4815.0</v>
      </c>
      <c r="B4818" s="241"/>
      <c r="C4818" s="64" t="s">
        <v>19442</v>
      </c>
      <c r="D4818" s="66"/>
      <c r="E4818" s="63" t="s">
        <v>19443</v>
      </c>
      <c r="F4818" s="70">
        <v>41674.0</v>
      </c>
      <c r="G4818" s="80" t="s">
        <v>19444</v>
      </c>
      <c r="H4818" s="82"/>
      <c r="I4818" s="66"/>
      <c r="J4818" s="63" t="s">
        <v>5653</v>
      </c>
      <c r="K4818" s="70">
        <v>43171.0</v>
      </c>
      <c r="L4818" s="63" t="s">
        <v>2743</v>
      </c>
      <c r="M4818" s="63" t="s">
        <v>19445</v>
      </c>
      <c r="N4818" s="61"/>
      <c r="O4818" s="51"/>
    </row>
    <row r="4819">
      <c r="A4819" s="56">
        <v>4816.0</v>
      </c>
      <c r="B4819" s="240"/>
      <c r="C4819" s="69" t="s">
        <v>19446</v>
      </c>
      <c r="D4819" s="71"/>
      <c r="E4819" s="68" t="s">
        <v>19447</v>
      </c>
      <c r="F4819" s="76">
        <v>40179.0</v>
      </c>
      <c r="G4819" s="68" t="s">
        <v>19448</v>
      </c>
      <c r="H4819" s="68" t="s">
        <v>19449</v>
      </c>
      <c r="I4819" s="71"/>
      <c r="J4819" s="68" t="s">
        <v>19450</v>
      </c>
      <c r="K4819" s="76">
        <v>43171.0</v>
      </c>
      <c r="L4819" s="68" t="s">
        <v>2743</v>
      </c>
      <c r="M4819" s="68" t="s">
        <v>40</v>
      </c>
      <c r="N4819" s="77"/>
      <c r="O4819" s="51"/>
    </row>
    <row r="4820">
      <c r="A4820" s="56">
        <v>4817.0</v>
      </c>
      <c r="B4820" s="240"/>
      <c r="C4820" s="69" t="s">
        <v>19451</v>
      </c>
      <c r="D4820" s="71"/>
      <c r="E4820" s="68" t="s">
        <v>19452</v>
      </c>
      <c r="F4820" s="83">
        <v>42356.0</v>
      </c>
      <c r="G4820" s="68" t="s">
        <v>19453</v>
      </c>
      <c r="H4820" s="71"/>
      <c r="I4820" s="68" t="s">
        <v>19454</v>
      </c>
      <c r="J4820" s="68" t="s">
        <v>19455</v>
      </c>
      <c r="K4820" s="76">
        <v>43171.0</v>
      </c>
      <c r="L4820" s="68" t="s">
        <v>2743</v>
      </c>
      <c r="M4820" s="68" t="s">
        <v>1182</v>
      </c>
      <c r="N4820" s="77"/>
      <c r="O4820" s="51"/>
    </row>
    <row r="4821">
      <c r="A4821" s="56">
        <v>4818.0</v>
      </c>
      <c r="B4821" s="241"/>
      <c r="C4821" s="64" t="s">
        <v>19456</v>
      </c>
      <c r="D4821" s="66"/>
      <c r="E4821" s="63" t="s">
        <v>19457</v>
      </c>
      <c r="F4821" s="70">
        <v>42403.0</v>
      </c>
      <c r="G4821" s="80" t="s">
        <v>19458</v>
      </c>
      <c r="H4821" s="82"/>
      <c r="I4821" s="66"/>
      <c r="J4821" s="63" t="s">
        <v>6393</v>
      </c>
      <c r="K4821" s="70">
        <v>43171.0</v>
      </c>
      <c r="L4821" s="63" t="s">
        <v>2743</v>
      </c>
      <c r="M4821" s="63" t="s">
        <v>19459</v>
      </c>
      <c r="N4821" s="61"/>
      <c r="O4821" s="51"/>
    </row>
    <row r="4822">
      <c r="A4822" s="56">
        <v>4819.0</v>
      </c>
      <c r="B4822" s="241"/>
      <c r="C4822" s="64" t="s">
        <v>19460</v>
      </c>
      <c r="D4822" s="66"/>
      <c r="E4822" s="63" t="s">
        <v>19461</v>
      </c>
      <c r="F4822" s="70">
        <v>42229.0</v>
      </c>
      <c r="G4822" s="80" t="s">
        <v>19462</v>
      </c>
      <c r="H4822" s="82"/>
      <c r="I4822" s="63" t="s">
        <v>19463</v>
      </c>
      <c r="J4822" s="63" t="s">
        <v>5653</v>
      </c>
      <c r="K4822" s="70">
        <v>43171.0</v>
      </c>
      <c r="L4822" s="63" t="s">
        <v>2743</v>
      </c>
      <c r="M4822" s="63" t="s">
        <v>166</v>
      </c>
      <c r="N4822" s="61"/>
      <c r="O4822" s="51"/>
    </row>
    <row r="4823">
      <c r="A4823" s="56">
        <v>4820.0</v>
      </c>
      <c r="B4823" s="240"/>
      <c r="C4823" s="69" t="s">
        <v>19464</v>
      </c>
      <c r="D4823" s="71"/>
      <c r="E4823" s="68" t="s">
        <v>19465</v>
      </c>
      <c r="F4823" s="83">
        <v>42686.0</v>
      </c>
      <c r="G4823" s="68" t="s">
        <v>19466</v>
      </c>
      <c r="H4823" s="71"/>
      <c r="I4823" s="71"/>
      <c r="J4823" s="68" t="s">
        <v>19467</v>
      </c>
      <c r="K4823" s="76">
        <v>43171.0</v>
      </c>
      <c r="L4823" s="68" t="s">
        <v>2743</v>
      </c>
      <c r="M4823" s="68" t="s">
        <v>2527</v>
      </c>
      <c r="N4823" s="77"/>
      <c r="O4823" s="51"/>
    </row>
    <row r="4824">
      <c r="A4824" s="85">
        <v>4821.0</v>
      </c>
      <c r="B4824" s="241"/>
      <c r="C4824" s="79" t="s">
        <v>19468</v>
      </c>
      <c r="D4824" s="82"/>
      <c r="E4824" s="80" t="s">
        <v>19469</v>
      </c>
      <c r="F4824" s="81">
        <v>40623.0</v>
      </c>
      <c r="G4824" s="80" t="s">
        <v>19470</v>
      </c>
      <c r="H4824" s="82"/>
      <c r="I4824" s="82"/>
      <c r="J4824" s="82"/>
      <c r="K4824" s="81">
        <v>43171.0</v>
      </c>
      <c r="L4824" s="80" t="s">
        <v>2743</v>
      </c>
      <c r="M4824" s="80" t="s">
        <v>166</v>
      </c>
      <c r="N4824" s="61"/>
      <c r="O4824" s="51"/>
    </row>
    <row r="4825">
      <c r="A4825" s="75">
        <v>4822.0</v>
      </c>
      <c r="B4825" s="240"/>
      <c r="C4825" s="69" t="s">
        <v>19471</v>
      </c>
      <c r="D4825" s="71"/>
      <c r="E4825" s="68" t="s">
        <v>19472</v>
      </c>
      <c r="F4825" s="76">
        <v>41682.0</v>
      </c>
      <c r="G4825" s="68" t="s">
        <v>19473</v>
      </c>
      <c r="H4825" s="71"/>
      <c r="I4825" s="71"/>
      <c r="J4825" s="68" t="s">
        <v>19474</v>
      </c>
      <c r="K4825" s="76">
        <v>43171.0</v>
      </c>
      <c r="L4825" s="68" t="s">
        <v>2743</v>
      </c>
      <c r="M4825" s="68" t="s">
        <v>125</v>
      </c>
      <c r="N4825" s="77"/>
      <c r="O4825" s="51"/>
    </row>
    <row r="4826">
      <c r="A4826" s="56">
        <v>4823.0</v>
      </c>
      <c r="B4826" s="240"/>
      <c r="C4826" s="69" t="s">
        <v>19475</v>
      </c>
      <c r="D4826" s="71"/>
      <c r="E4826" s="68" t="s">
        <v>19476</v>
      </c>
      <c r="F4826" s="76">
        <v>42836.0</v>
      </c>
      <c r="G4826" s="68" t="s">
        <v>19477</v>
      </c>
      <c r="H4826" s="71"/>
      <c r="I4826" s="68" t="s">
        <v>19478</v>
      </c>
      <c r="J4826" s="87" t="s">
        <v>19479</v>
      </c>
      <c r="K4826" s="76">
        <v>43171.0</v>
      </c>
      <c r="L4826" s="68" t="s">
        <v>2743</v>
      </c>
      <c r="M4826" s="68" t="s">
        <v>1509</v>
      </c>
      <c r="N4826" s="77"/>
      <c r="O4826" s="51"/>
    </row>
    <row r="4827">
      <c r="A4827" s="56">
        <v>4824.0</v>
      </c>
      <c r="B4827" s="240"/>
      <c r="C4827" s="69" t="s">
        <v>19480</v>
      </c>
      <c r="D4827" s="71"/>
      <c r="E4827" s="68" t="s">
        <v>19481</v>
      </c>
      <c r="F4827" s="68" t="s">
        <v>407</v>
      </c>
      <c r="G4827" s="71"/>
      <c r="H4827" s="71"/>
      <c r="I4827" s="71"/>
      <c r="J4827" s="68" t="s">
        <v>19482</v>
      </c>
      <c r="K4827" s="76">
        <v>43171.0</v>
      </c>
      <c r="L4827" s="68" t="s">
        <v>19483</v>
      </c>
      <c r="M4827" s="68" t="s">
        <v>125</v>
      </c>
      <c r="N4827" s="77"/>
      <c r="O4827" s="51"/>
    </row>
    <row r="4828">
      <c r="A4828" s="56">
        <v>4825.0</v>
      </c>
      <c r="B4828" s="240"/>
      <c r="C4828" s="69" t="s">
        <v>19484</v>
      </c>
      <c r="D4828" s="71"/>
      <c r="E4828" s="68" t="s">
        <v>19485</v>
      </c>
      <c r="F4828" s="76">
        <v>43165.0</v>
      </c>
      <c r="G4828" s="68" t="s">
        <v>19486</v>
      </c>
      <c r="H4828" s="71"/>
      <c r="I4828" s="71"/>
      <c r="J4828" s="68" t="s">
        <v>19487</v>
      </c>
      <c r="K4828" s="76">
        <v>43171.0</v>
      </c>
      <c r="L4828" s="68" t="s">
        <v>2743</v>
      </c>
      <c r="M4828" s="68" t="s">
        <v>31</v>
      </c>
      <c r="N4828" s="77"/>
      <c r="O4828" s="51"/>
    </row>
    <row r="4829">
      <c r="A4829" s="56">
        <v>4826.0</v>
      </c>
      <c r="B4829" s="240"/>
      <c r="C4829" s="69" t="s">
        <v>19488</v>
      </c>
      <c r="D4829" s="71"/>
      <c r="E4829" s="68" t="s">
        <v>19489</v>
      </c>
      <c r="F4829" s="83">
        <v>43079.0</v>
      </c>
      <c r="G4829" s="68" t="s">
        <v>19490</v>
      </c>
      <c r="H4829" s="71"/>
      <c r="I4829" s="71"/>
      <c r="J4829" s="68" t="s">
        <v>19491</v>
      </c>
      <c r="K4829" s="76">
        <v>43171.0</v>
      </c>
      <c r="L4829" s="68" t="s">
        <v>2743</v>
      </c>
      <c r="M4829" s="68" t="s">
        <v>403</v>
      </c>
      <c r="N4829" s="77"/>
      <c r="O4829" s="51"/>
    </row>
    <row r="4830">
      <c r="A4830" s="56">
        <v>4827.0</v>
      </c>
      <c r="B4830" s="240"/>
      <c r="C4830" s="69" t="s">
        <v>19492</v>
      </c>
      <c r="D4830" s="71"/>
      <c r="E4830" s="68" t="s">
        <v>19493</v>
      </c>
      <c r="F4830" s="76">
        <v>43166.0</v>
      </c>
      <c r="G4830" s="68" t="s">
        <v>19494</v>
      </c>
      <c r="H4830" s="71"/>
      <c r="I4830" s="68" t="s">
        <v>19495</v>
      </c>
      <c r="J4830" s="68" t="s">
        <v>19496</v>
      </c>
      <c r="K4830" s="76">
        <v>43171.0</v>
      </c>
      <c r="L4830" s="68" t="s">
        <v>2743</v>
      </c>
      <c r="M4830" s="68" t="s">
        <v>143</v>
      </c>
      <c r="N4830" s="61"/>
      <c r="O4830" s="51"/>
    </row>
    <row r="4831">
      <c r="A4831" s="75">
        <v>4828.0</v>
      </c>
      <c r="B4831" s="240"/>
      <c r="C4831" s="69" t="s">
        <v>19497</v>
      </c>
      <c r="D4831" s="71"/>
      <c r="E4831" s="68" t="s">
        <v>19498</v>
      </c>
      <c r="F4831" s="76">
        <v>42543.0</v>
      </c>
      <c r="G4831" s="68" t="s">
        <v>19499</v>
      </c>
      <c r="H4831" s="71"/>
      <c r="I4831" s="68" t="s">
        <v>19500</v>
      </c>
      <c r="J4831" s="68" t="s">
        <v>19501</v>
      </c>
      <c r="K4831" s="76">
        <v>43171.0</v>
      </c>
      <c r="L4831" s="68" t="s">
        <v>2743</v>
      </c>
      <c r="M4831" s="68" t="s">
        <v>368</v>
      </c>
      <c r="N4831" s="77"/>
      <c r="O4831" s="51"/>
    </row>
    <row r="4832">
      <c r="A4832" s="56">
        <v>4829.0</v>
      </c>
      <c r="B4832" s="240"/>
      <c r="C4832" s="69" t="s">
        <v>19502</v>
      </c>
      <c r="D4832" s="71"/>
      <c r="E4832" s="68" t="s">
        <v>19503</v>
      </c>
      <c r="F4832" s="76">
        <v>42896.0</v>
      </c>
      <c r="G4832" s="68" t="s">
        <v>19504</v>
      </c>
      <c r="H4832" s="71"/>
      <c r="I4832" s="71"/>
      <c r="J4832" s="68" t="s">
        <v>19505</v>
      </c>
      <c r="K4832" s="76">
        <v>43171.0</v>
      </c>
      <c r="L4832" s="68" t="s">
        <v>2743</v>
      </c>
      <c r="M4832" s="68" t="s">
        <v>125</v>
      </c>
      <c r="N4832" s="77"/>
      <c r="O4832" s="51"/>
    </row>
    <row r="4833">
      <c r="A4833" s="56">
        <v>4830.0</v>
      </c>
      <c r="B4833" s="240"/>
      <c r="C4833" s="69" t="s">
        <v>19506</v>
      </c>
      <c r="D4833" s="71"/>
      <c r="E4833" s="68" t="s">
        <v>19507</v>
      </c>
      <c r="F4833" s="76">
        <v>43129.0</v>
      </c>
      <c r="G4833" s="68" t="s">
        <v>19508</v>
      </c>
      <c r="H4833" s="71"/>
      <c r="I4833" s="71"/>
      <c r="J4833" s="68" t="s">
        <v>19509</v>
      </c>
      <c r="K4833" s="76">
        <v>43171.0</v>
      </c>
      <c r="L4833" s="68" t="s">
        <v>2743</v>
      </c>
      <c r="M4833" s="68" t="s">
        <v>1509</v>
      </c>
      <c r="N4833" s="77"/>
      <c r="O4833" s="51"/>
    </row>
    <row r="4834">
      <c r="A4834" s="56">
        <v>4831.0</v>
      </c>
      <c r="B4834" s="241"/>
      <c r="C4834" s="64" t="s">
        <v>19510</v>
      </c>
      <c r="D4834" s="66"/>
      <c r="E4834" s="63" t="s">
        <v>19511</v>
      </c>
      <c r="F4834" s="70">
        <v>42782.0</v>
      </c>
      <c r="G4834" s="80" t="s">
        <v>19512</v>
      </c>
      <c r="H4834" s="80" t="s">
        <v>19513</v>
      </c>
      <c r="I4834" s="63" t="s">
        <v>19514</v>
      </c>
      <c r="J4834" s="63" t="s">
        <v>10817</v>
      </c>
      <c r="K4834" s="70">
        <v>43173.0</v>
      </c>
      <c r="L4834" s="63" t="s">
        <v>2743</v>
      </c>
      <c r="M4834" s="63" t="s">
        <v>5990</v>
      </c>
      <c r="N4834" s="61"/>
      <c r="O4834" s="51"/>
    </row>
    <row r="4835">
      <c r="A4835" s="56">
        <v>4832.0</v>
      </c>
      <c r="B4835" s="241"/>
      <c r="C4835" s="64" t="s">
        <v>19515</v>
      </c>
      <c r="D4835" s="66"/>
      <c r="E4835" s="63" t="s">
        <v>19516</v>
      </c>
      <c r="F4835" s="70">
        <v>39924.0</v>
      </c>
      <c r="G4835" s="80" t="s">
        <v>19517</v>
      </c>
      <c r="H4835" s="82"/>
      <c r="I4835" s="66"/>
      <c r="J4835" s="63" t="s">
        <v>5679</v>
      </c>
      <c r="K4835" s="70">
        <v>43173.0</v>
      </c>
      <c r="L4835" s="63" t="s">
        <v>2743</v>
      </c>
      <c r="M4835" s="63" t="s">
        <v>125</v>
      </c>
      <c r="N4835" s="61"/>
      <c r="O4835" s="51"/>
    </row>
    <row r="4836">
      <c r="A4836" s="56">
        <v>4833.0</v>
      </c>
      <c r="B4836" s="240"/>
      <c r="C4836" s="69" t="s">
        <v>19518</v>
      </c>
      <c r="D4836" s="71"/>
      <c r="E4836" s="68" t="s">
        <v>19519</v>
      </c>
      <c r="F4836" s="76">
        <v>42781.0</v>
      </c>
      <c r="G4836" s="68" t="s">
        <v>19520</v>
      </c>
      <c r="H4836" s="71"/>
      <c r="I4836" s="68" t="s">
        <v>19521</v>
      </c>
      <c r="J4836" s="68" t="s">
        <v>19522</v>
      </c>
      <c r="K4836" s="76">
        <v>43174.0</v>
      </c>
      <c r="L4836" s="68" t="s">
        <v>19523</v>
      </c>
      <c r="M4836" s="68" t="s">
        <v>5707</v>
      </c>
      <c r="N4836" s="77"/>
      <c r="O4836" s="51"/>
    </row>
    <row r="4837">
      <c r="A4837" s="56">
        <v>4834.0</v>
      </c>
      <c r="B4837" s="240"/>
      <c r="C4837" s="69" t="s">
        <v>19524</v>
      </c>
      <c r="D4837" s="71"/>
      <c r="E4837" s="68" t="s">
        <v>19525</v>
      </c>
      <c r="F4837" s="76">
        <v>41091.0</v>
      </c>
      <c r="G4837" s="68" t="s">
        <v>19526</v>
      </c>
      <c r="H4837" s="71"/>
      <c r="I4837" s="71"/>
      <c r="J4837" s="68" t="s">
        <v>19527</v>
      </c>
      <c r="K4837" s="76">
        <v>43174.0</v>
      </c>
      <c r="L4837" s="68" t="s">
        <v>2743</v>
      </c>
      <c r="M4837" s="68" t="s">
        <v>2097</v>
      </c>
      <c r="N4837" s="77"/>
      <c r="O4837" s="51"/>
    </row>
    <row r="4838">
      <c r="A4838" s="56">
        <v>4835.0</v>
      </c>
      <c r="B4838" s="240"/>
      <c r="C4838" s="69" t="s">
        <v>19528</v>
      </c>
      <c r="D4838" s="71"/>
      <c r="E4838" s="68" t="s">
        <v>19529</v>
      </c>
      <c r="F4838" s="76">
        <v>41091.0</v>
      </c>
      <c r="G4838" s="68" t="s">
        <v>19530</v>
      </c>
      <c r="H4838" s="71"/>
      <c r="I4838" s="68" t="s">
        <v>19531</v>
      </c>
      <c r="J4838" s="68" t="s">
        <v>19532</v>
      </c>
      <c r="K4838" s="76">
        <v>43174.0</v>
      </c>
      <c r="L4838" s="68" t="s">
        <v>2743</v>
      </c>
      <c r="M4838" s="68" t="s">
        <v>530</v>
      </c>
      <c r="N4838" s="77"/>
      <c r="O4838" s="51"/>
    </row>
    <row r="4839">
      <c r="A4839" s="56">
        <v>4836.0</v>
      </c>
      <c r="B4839" s="240"/>
      <c r="C4839" s="69" t="s">
        <v>19533</v>
      </c>
      <c r="D4839" s="71"/>
      <c r="E4839" s="68" t="s">
        <v>19534</v>
      </c>
      <c r="F4839" s="76">
        <v>41806.0</v>
      </c>
      <c r="G4839" s="68" t="s">
        <v>19535</v>
      </c>
      <c r="H4839" s="68" t="s">
        <v>19536</v>
      </c>
      <c r="I4839" s="71"/>
      <c r="J4839" s="68" t="s">
        <v>19537</v>
      </c>
      <c r="K4839" s="76">
        <v>43174.0</v>
      </c>
      <c r="L4839" s="68" t="s">
        <v>2743</v>
      </c>
      <c r="M4839" s="68" t="s">
        <v>19538</v>
      </c>
      <c r="N4839" s="77"/>
      <c r="O4839" s="51"/>
    </row>
    <row r="4840">
      <c r="A4840" s="56">
        <v>4837.0</v>
      </c>
      <c r="B4840" s="240"/>
      <c r="C4840" s="69" t="s">
        <v>19539</v>
      </c>
      <c r="D4840" s="71"/>
      <c r="E4840" s="68" t="s">
        <v>19540</v>
      </c>
      <c r="F4840" s="76">
        <v>41836.0</v>
      </c>
      <c r="G4840" s="68" t="s">
        <v>19541</v>
      </c>
      <c r="H4840" s="71"/>
      <c r="I4840" s="68" t="s">
        <v>19542</v>
      </c>
      <c r="J4840" s="68" t="s">
        <v>19543</v>
      </c>
      <c r="K4840" s="76">
        <v>43174.0</v>
      </c>
      <c r="L4840" s="68" t="s">
        <v>2743</v>
      </c>
      <c r="M4840" s="68" t="s">
        <v>195</v>
      </c>
      <c r="N4840" s="77"/>
      <c r="O4840" s="51"/>
    </row>
    <row r="4841">
      <c r="A4841" s="56">
        <v>4838.0</v>
      </c>
      <c r="B4841" s="240"/>
      <c r="C4841" s="69" t="s">
        <v>19544</v>
      </c>
      <c r="D4841" s="71"/>
      <c r="E4841" s="68" t="s">
        <v>19545</v>
      </c>
      <c r="F4841" s="76">
        <v>42545.0</v>
      </c>
      <c r="G4841" s="68" t="s">
        <v>19546</v>
      </c>
      <c r="H4841" s="71"/>
      <c r="I4841" s="68" t="s">
        <v>19547</v>
      </c>
      <c r="J4841" s="87" t="s">
        <v>19548</v>
      </c>
      <c r="K4841" s="76">
        <v>43174.0</v>
      </c>
      <c r="L4841" s="68" t="s">
        <v>2743</v>
      </c>
      <c r="M4841" s="68" t="s">
        <v>941</v>
      </c>
      <c r="N4841" s="77"/>
      <c r="O4841" s="51"/>
    </row>
    <row r="4842">
      <c r="A4842" s="56">
        <v>4839.0</v>
      </c>
      <c r="B4842" s="241"/>
      <c r="C4842" s="64" t="s">
        <v>19549</v>
      </c>
      <c r="D4842" s="66"/>
      <c r="E4842" s="63" t="s">
        <v>19550</v>
      </c>
      <c r="F4842" s="70">
        <v>42188.0</v>
      </c>
      <c r="G4842" s="80" t="s">
        <v>19551</v>
      </c>
      <c r="H4842" s="80" t="s">
        <v>19552</v>
      </c>
      <c r="I4842" s="63" t="s">
        <v>19553</v>
      </c>
      <c r="J4842" s="63" t="s">
        <v>10817</v>
      </c>
      <c r="K4842" s="70">
        <v>43174.0</v>
      </c>
      <c r="L4842" s="63" t="s">
        <v>2743</v>
      </c>
      <c r="M4842" s="63" t="s">
        <v>31</v>
      </c>
      <c r="N4842" s="61"/>
      <c r="O4842" s="51"/>
    </row>
    <row r="4843">
      <c r="A4843" s="56">
        <v>4840.0</v>
      </c>
      <c r="B4843" s="240"/>
      <c r="C4843" s="69" t="s">
        <v>19554</v>
      </c>
      <c r="D4843" s="71"/>
      <c r="E4843" s="68" t="s">
        <v>19555</v>
      </c>
      <c r="F4843" s="76">
        <v>42476.0</v>
      </c>
      <c r="G4843" s="68" t="s">
        <v>19556</v>
      </c>
      <c r="H4843" s="71"/>
      <c r="I4843" s="68" t="s">
        <v>19557</v>
      </c>
      <c r="J4843" s="68" t="s">
        <v>19558</v>
      </c>
      <c r="K4843" s="76">
        <v>43174.0</v>
      </c>
      <c r="L4843" s="68" t="s">
        <v>2743</v>
      </c>
      <c r="M4843" s="68" t="s">
        <v>542</v>
      </c>
      <c r="N4843" s="77"/>
      <c r="O4843" s="51"/>
    </row>
    <row r="4844">
      <c r="A4844" s="56">
        <v>4841.0</v>
      </c>
      <c r="B4844" s="240"/>
      <c r="C4844" s="69" t="s">
        <v>19559</v>
      </c>
      <c r="D4844" s="71"/>
      <c r="E4844" s="68" t="s">
        <v>19560</v>
      </c>
      <c r="F4844" s="76">
        <v>42525.0</v>
      </c>
      <c r="G4844" s="68" t="s">
        <v>19561</v>
      </c>
      <c r="H4844" s="71"/>
      <c r="I4844" s="71"/>
      <c r="J4844" s="87" t="s">
        <v>19562</v>
      </c>
      <c r="K4844" s="76">
        <v>43175.0</v>
      </c>
      <c r="L4844" s="68" t="s">
        <v>2743</v>
      </c>
      <c r="M4844" s="68" t="s">
        <v>149</v>
      </c>
      <c r="N4844" s="77"/>
      <c r="O4844" s="51"/>
    </row>
    <row r="4845">
      <c r="A4845" s="56">
        <v>4842.0</v>
      </c>
      <c r="B4845" s="240"/>
      <c r="C4845" s="69" t="s">
        <v>19563</v>
      </c>
      <c r="D4845" s="71"/>
      <c r="E4845" s="68" t="s">
        <v>19564</v>
      </c>
      <c r="F4845" s="76">
        <v>42934.0</v>
      </c>
      <c r="G4845" s="68" t="s">
        <v>19565</v>
      </c>
      <c r="H4845" s="71"/>
      <c r="I4845" s="71"/>
      <c r="J4845" s="87" t="s">
        <v>19566</v>
      </c>
      <c r="K4845" s="76">
        <v>43175.0</v>
      </c>
      <c r="L4845" s="68" t="s">
        <v>2743</v>
      </c>
      <c r="M4845" s="68" t="s">
        <v>149</v>
      </c>
      <c r="N4845" s="77"/>
      <c r="O4845" s="51"/>
    </row>
    <row r="4846">
      <c r="A4846" s="56">
        <v>4843.0</v>
      </c>
      <c r="B4846" s="240"/>
      <c r="C4846" s="69" t="s">
        <v>19567</v>
      </c>
      <c r="D4846" s="71"/>
      <c r="E4846" s="68" t="s">
        <v>19568</v>
      </c>
      <c r="F4846" s="76">
        <v>43156.0</v>
      </c>
      <c r="G4846" s="68" t="s">
        <v>19569</v>
      </c>
      <c r="H4846" s="71"/>
      <c r="I4846" s="68" t="s">
        <v>19570</v>
      </c>
      <c r="J4846" s="68" t="s">
        <v>19571</v>
      </c>
      <c r="K4846" s="76">
        <v>43175.0</v>
      </c>
      <c r="L4846" s="68" t="s">
        <v>2743</v>
      </c>
      <c r="M4846" s="68" t="s">
        <v>31</v>
      </c>
      <c r="N4846" s="77"/>
      <c r="O4846" s="51"/>
    </row>
    <row r="4847">
      <c r="A4847" s="56">
        <v>4844.0</v>
      </c>
      <c r="B4847" s="241"/>
      <c r="C4847" s="64" t="s">
        <v>19572</v>
      </c>
      <c r="D4847" s="66"/>
      <c r="E4847" s="63" t="s">
        <v>19573</v>
      </c>
      <c r="F4847" s="70">
        <v>42706.0</v>
      </c>
      <c r="G4847" s="80" t="s">
        <v>19574</v>
      </c>
      <c r="H4847" s="80" t="s">
        <v>19575</v>
      </c>
      <c r="I4847" s="66"/>
      <c r="J4847" s="63" t="s">
        <v>5679</v>
      </c>
      <c r="K4847" s="70">
        <v>43175.0</v>
      </c>
      <c r="L4847" s="63" t="s">
        <v>2743</v>
      </c>
      <c r="M4847" s="63" t="s">
        <v>125</v>
      </c>
      <c r="N4847" s="61"/>
      <c r="O4847" s="51"/>
    </row>
    <row r="4848">
      <c r="A4848" s="56">
        <v>4845.0</v>
      </c>
      <c r="B4848" s="240"/>
      <c r="C4848" s="69" t="s">
        <v>19576</v>
      </c>
      <c r="D4848" s="71"/>
      <c r="E4848" s="68" t="s">
        <v>19577</v>
      </c>
      <c r="F4848" s="76">
        <v>42226.0</v>
      </c>
      <c r="G4848" s="68" t="s">
        <v>19578</v>
      </c>
      <c r="H4848" s="71"/>
      <c r="I4848" s="68" t="s">
        <v>19579</v>
      </c>
      <c r="J4848" s="87" t="s">
        <v>19580</v>
      </c>
      <c r="K4848" s="76">
        <v>43175.0</v>
      </c>
      <c r="L4848" s="68" t="s">
        <v>2743</v>
      </c>
      <c r="M4848" s="68" t="s">
        <v>143</v>
      </c>
      <c r="N4848" s="77"/>
      <c r="O4848" s="51"/>
    </row>
    <row r="4849">
      <c r="A4849" s="75">
        <v>4846.0</v>
      </c>
      <c r="B4849" s="240"/>
      <c r="C4849" s="69" t="s">
        <v>19581</v>
      </c>
      <c r="D4849" s="71"/>
      <c r="E4849" s="68" t="s">
        <v>19582</v>
      </c>
      <c r="F4849" s="83">
        <v>42363.0</v>
      </c>
      <c r="G4849" s="68" t="s">
        <v>19583</v>
      </c>
      <c r="H4849" s="71"/>
      <c r="I4849" s="71"/>
      <c r="J4849" s="68" t="s">
        <v>19584</v>
      </c>
      <c r="K4849" s="76">
        <v>43175.0</v>
      </c>
      <c r="L4849" s="68" t="s">
        <v>2743</v>
      </c>
      <c r="M4849" s="68" t="s">
        <v>7530</v>
      </c>
      <c r="N4849" s="77"/>
      <c r="O4849" s="51"/>
    </row>
    <row r="4850">
      <c r="A4850" s="56">
        <v>4847.0</v>
      </c>
      <c r="B4850" s="240"/>
      <c r="C4850" s="69" t="s">
        <v>19585</v>
      </c>
      <c r="D4850" s="71"/>
      <c r="E4850" s="68" t="s">
        <v>19586</v>
      </c>
      <c r="F4850" s="76">
        <v>43004.0</v>
      </c>
      <c r="G4850" s="68" t="s">
        <v>19587</v>
      </c>
      <c r="H4850" s="71"/>
      <c r="I4850" s="71"/>
      <c r="J4850" s="68" t="s">
        <v>19588</v>
      </c>
      <c r="K4850" s="76">
        <v>43175.0</v>
      </c>
      <c r="L4850" s="68" t="s">
        <v>2743</v>
      </c>
      <c r="M4850" s="68" t="s">
        <v>125</v>
      </c>
      <c r="N4850" s="77"/>
      <c r="O4850" s="51"/>
    </row>
    <row r="4851">
      <c r="A4851" s="56">
        <v>4848.0</v>
      </c>
      <c r="B4851" s="240"/>
      <c r="C4851" s="69" t="s">
        <v>19589</v>
      </c>
      <c r="D4851" s="71"/>
      <c r="E4851" s="68" t="s">
        <v>19590</v>
      </c>
      <c r="F4851" s="76">
        <v>41478.0</v>
      </c>
      <c r="G4851" s="68" t="s">
        <v>19591</v>
      </c>
      <c r="H4851" s="71"/>
      <c r="I4851" s="71"/>
      <c r="J4851" s="68" t="s">
        <v>19592</v>
      </c>
      <c r="K4851" s="76">
        <v>43176.0</v>
      </c>
      <c r="L4851" s="68" t="s">
        <v>2743</v>
      </c>
      <c r="M4851" s="68" t="s">
        <v>201</v>
      </c>
      <c r="N4851" s="77"/>
      <c r="O4851" s="51"/>
    </row>
    <row r="4852">
      <c r="A4852" s="56">
        <v>4849.0</v>
      </c>
      <c r="B4852" s="241"/>
      <c r="C4852" s="64" t="s">
        <v>19593</v>
      </c>
      <c r="D4852" s="66"/>
      <c r="E4852" s="63" t="s">
        <v>19594</v>
      </c>
      <c r="F4852" s="70">
        <v>41806.0</v>
      </c>
      <c r="G4852" s="80" t="s">
        <v>19595</v>
      </c>
      <c r="H4852" s="82"/>
      <c r="I4852" s="66"/>
      <c r="J4852" s="66"/>
      <c r="K4852" s="70">
        <v>43176.0</v>
      </c>
      <c r="L4852" s="63" t="s">
        <v>2743</v>
      </c>
      <c r="M4852" s="63" t="s">
        <v>166</v>
      </c>
      <c r="N4852" s="77"/>
      <c r="O4852" s="51"/>
    </row>
    <row r="4853">
      <c r="A4853" s="56">
        <v>4850.0</v>
      </c>
      <c r="B4853" s="241"/>
      <c r="C4853" s="64" t="s">
        <v>19596</v>
      </c>
      <c r="D4853" s="66"/>
      <c r="E4853" s="63" t="s">
        <v>19597</v>
      </c>
      <c r="F4853" s="70">
        <v>40051.0</v>
      </c>
      <c r="G4853" s="80" t="s">
        <v>19598</v>
      </c>
      <c r="H4853" s="82"/>
      <c r="I4853" s="66"/>
      <c r="J4853" s="63" t="s">
        <v>5679</v>
      </c>
      <c r="K4853" s="70">
        <v>43178.0</v>
      </c>
      <c r="L4853" s="63" t="s">
        <v>2743</v>
      </c>
      <c r="M4853" s="63" t="s">
        <v>2097</v>
      </c>
      <c r="N4853" s="61"/>
      <c r="O4853" s="51"/>
    </row>
    <row r="4854">
      <c r="A4854" s="56">
        <v>4851.0</v>
      </c>
      <c r="B4854" s="241"/>
      <c r="C4854" s="64" t="s">
        <v>19599</v>
      </c>
      <c r="D4854" s="66"/>
      <c r="E4854" s="63" t="s">
        <v>19600</v>
      </c>
      <c r="F4854" s="70">
        <v>42633.0</v>
      </c>
      <c r="G4854" s="80" t="s">
        <v>19601</v>
      </c>
      <c r="H4854" s="80" t="s">
        <v>19602</v>
      </c>
      <c r="I4854" s="66"/>
      <c r="J4854" s="63" t="s">
        <v>6393</v>
      </c>
      <c r="K4854" s="70">
        <v>43178.0</v>
      </c>
      <c r="L4854" s="63" t="s">
        <v>2743</v>
      </c>
      <c r="M4854" s="63" t="s">
        <v>19603</v>
      </c>
      <c r="N4854" s="61"/>
      <c r="O4854" s="51"/>
    </row>
    <row r="4855">
      <c r="A4855" s="56">
        <v>4852.0</v>
      </c>
      <c r="B4855" s="240"/>
      <c r="C4855" s="69" t="s">
        <v>19604</v>
      </c>
      <c r="D4855" s="71"/>
      <c r="E4855" s="68" t="s">
        <v>19605</v>
      </c>
      <c r="F4855" s="76">
        <v>41725.0</v>
      </c>
      <c r="G4855" s="68" t="s">
        <v>19606</v>
      </c>
      <c r="H4855" s="71"/>
      <c r="I4855" s="71"/>
      <c r="J4855" s="68" t="s">
        <v>19607</v>
      </c>
      <c r="K4855" s="76">
        <v>43179.0</v>
      </c>
      <c r="L4855" s="68" t="s">
        <v>2743</v>
      </c>
      <c r="M4855" s="68" t="s">
        <v>2291</v>
      </c>
      <c r="N4855" s="77"/>
      <c r="O4855" s="51"/>
    </row>
    <row r="4856">
      <c r="A4856" s="56">
        <v>4853.0</v>
      </c>
      <c r="B4856" s="240"/>
      <c r="C4856" s="69" t="s">
        <v>19608</v>
      </c>
      <c r="D4856" s="71"/>
      <c r="E4856" s="68" t="s">
        <v>19609</v>
      </c>
      <c r="F4856" s="76">
        <v>42196.0</v>
      </c>
      <c r="G4856" s="68" t="s">
        <v>19610</v>
      </c>
      <c r="H4856" s="71"/>
      <c r="I4856" s="71"/>
      <c r="J4856" s="87" t="s">
        <v>19611</v>
      </c>
      <c r="K4856" s="76">
        <v>43179.0</v>
      </c>
      <c r="L4856" s="68" t="s">
        <v>2743</v>
      </c>
      <c r="M4856" s="68" t="s">
        <v>125</v>
      </c>
      <c r="N4856" s="61"/>
      <c r="O4856" s="51"/>
    </row>
    <row r="4857">
      <c r="A4857" s="56">
        <v>4854.0</v>
      </c>
      <c r="B4857" s="240"/>
      <c r="C4857" s="69" t="s">
        <v>19612</v>
      </c>
      <c r="D4857" s="71"/>
      <c r="E4857" s="68" t="s">
        <v>19613</v>
      </c>
      <c r="F4857" s="76">
        <v>43165.0</v>
      </c>
      <c r="G4857" s="68" t="s">
        <v>19614</v>
      </c>
      <c r="H4857" s="71"/>
      <c r="I4857" s="71"/>
      <c r="J4857" s="68" t="s">
        <v>19615</v>
      </c>
      <c r="K4857" s="76">
        <v>43179.0</v>
      </c>
      <c r="L4857" s="68" t="s">
        <v>2743</v>
      </c>
      <c r="M4857" s="68" t="s">
        <v>40</v>
      </c>
      <c r="N4857" s="77"/>
      <c r="O4857" s="51"/>
    </row>
    <row r="4858">
      <c r="A4858" s="56">
        <v>4855.0</v>
      </c>
      <c r="B4858" s="240"/>
      <c r="C4858" s="69" t="s">
        <v>19616</v>
      </c>
      <c r="D4858" s="71"/>
      <c r="E4858" s="68" t="s">
        <v>19617</v>
      </c>
      <c r="F4858" s="76">
        <v>43119.0</v>
      </c>
      <c r="G4858" s="68" t="s">
        <v>19618</v>
      </c>
      <c r="H4858" s="71"/>
      <c r="I4858" s="71"/>
      <c r="J4858" s="68" t="s">
        <v>19619</v>
      </c>
      <c r="K4858" s="76">
        <v>43179.0</v>
      </c>
      <c r="L4858" s="68" t="s">
        <v>2743</v>
      </c>
      <c r="M4858" s="68" t="s">
        <v>149</v>
      </c>
      <c r="N4858" s="77"/>
      <c r="O4858" s="51"/>
    </row>
    <row r="4859">
      <c r="A4859" s="56">
        <v>4856.0</v>
      </c>
      <c r="B4859" s="240"/>
      <c r="C4859" s="69" t="s">
        <v>19620</v>
      </c>
      <c r="D4859" s="71"/>
      <c r="E4859" s="68" t="s">
        <v>19621</v>
      </c>
      <c r="F4859" s="76">
        <v>43168.0</v>
      </c>
      <c r="G4859" s="68" t="s">
        <v>19622</v>
      </c>
      <c r="H4859" s="71"/>
      <c r="I4859" s="68" t="s">
        <v>19623</v>
      </c>
      <c r="J4859" s="68" t="s">
        <v>19624</v>
      </c>
      <c r="K4859" s="76">
        <v>43179.0</v>
      </c>
      <c r="L4859" s="68" t="s">
        <v>2743</v>
      </c>
      <c r="M4859" s="68" t="s">
        <v>143</v>
      </c>
      <c r="N4859" s="77"/>
      <c r="O4859" s="51"/>
    </row>
    <row r="4860">
      <c r="A4860" s="56">
        <v>4857.0</v>
      </c>
      <c r="B4860" s="241"/>
      <c r="C4860" s="64" t="s">
        <v>19625</v>
      </c>
      <c r="D4860" s="66"/>
      <c r="E4860" s="63" t="s">
        <v>19626</v>
      </c>
      <c r="F4860" s="70">
        <v>42513.0</v>
      </c>
      <c r="G4860" s="80" t="s">
        <v>19627</v>
      </c>
      <c r="H4860" s="82"/>
      <c r="I4860" s="66"/>
      <c r="J4860" s="63" t="s">
        <v>8033</v>
      </c>
      <c r="K4860" s="70">
        <v>43179.0</v>
      </c>
      <c r="L4860" s="63" t="s">
        <v>2743</v>
      </c>
      <c r="M4860" s="63" t="s">
        <v>125</v>
      </c>
      <c r="N4860" s="61"/>
      <c r="O4860" s="51"/>
    </row>
    <row r="4861">
      <c r="A4861" s="56">
        <v>4858.0</v>
      </c>
      <c r="B4861" s="241"/>
      <c r="C4861" s="64" t="s">
        <v>19628</v>
      </c>
      <c r="D4861" s="66"/>
      <c r="E4861" s="63" t="s">
        <v>19629</v>
      </c>
      <c r="F4861" s="70">
        <v>39995.0</v>
      </c>
      <c r="G4861" s="80" t="s">
        <v>19630</v>
      </c>
      <c r="H4861" s="82"/>
      <c r="I4861" s="66"/>
      <c r="J4861" s="63" t="s">
        <v>8033</v>
      </c>
      <c r="K4861" s="70">
        <v>43179.0</v>
      </c>
      <c r="L4861" s="63" t="s">
        <v>2743</v>
      </c>
      <c r="M4861" s="63" t="s">
        <v>2466</v>
      </c>
      <c r="N4861" s="263" t="s">
        <v>19631</v>
      </c>
      <c r="O4861" s="51"/>
    </row>
    <row r="4862">
      <c r="A4862" s="75">
        <v>4859.0</v>
      </c>
      <c r="B4862" s="240"/>
      <c r="C4862" s="69" t="s">
        <v>19632</v>
      </c>
      <c r="D4862" s="71"/>
      <c r="E4862" s="68" t="s">
        <v>19633</v>
      </c>
      <c r="F4862" s="76">
        <v>42500.0</v>
      </c>
      <c r="G4862" s="68" t="s">
        <v>19634</v>
      </c>
      <c r="H4862" s="71"/>
      <c r="I4862" s="71"/>
      <c r="J4862" s="68" t="s">
        <v>19635</v>
      </c>
      <c r="K4862" s="76">
        <v>43180.0</v>
      </c>
      <c r="L4862" s="68" t="s">
        <v>2743</v>
      </c>
      <c r="M4862" s="68" t="s">
        <v>368</v>
      </c>
      <c r="N4862" s="77"/>
      <c r="O4862" s="51"/>
    </row>
    <row r="4863">
      <c r="A4863" s="56">
        <v>4860.0</v>
      </c>
      <c r="B4863" s="241"/>
      <c r="C4863" s="64" t="s">
        <v>19636</v>
      </c>
      <c r="D4863" s="66"/>
      <c r="E4863" s="63" t="s">
        <v>19637</v>
      </c>
      <c r="F4863" s="70">
        <v>42585.0</v>
      </c>
      <c r="G4863" s="80" t="s">
        <v>19638</v>
      </c>
      <c r="H4863" s="82"/>
      <c r="I4863" s="66"/>
      <c r="J4863" s="63" t="s">
        <v>8033</v>
      </c>
      <c r="K4863" s="70">
        <v>43180.0</v>
      </c>
      <c r="L4863" s="63" t="s">
        <v>2743</v>
      </c>
      <c r="M4863" s="63" t="s">
        <v>2466</v>
      </c>
      <c r="N4863" s="237" t="s">
        <v>19639</v>
      </c>
      <c r="O4863" s="51"/>
    </row>
    <row r="4864">
      <c r="A4864" s="75">
        <v>4861.0</v>
      </c>
      <c r="B4864" s="240"/>
      <c r="C4864" s="69" t="s">
        <v>19640</v>
      </c>
      <c r="D4864" s="71"/>
      <c r="E4864" s="68" t="s">
        <v>19641</v>
      </c>
      <c r="F4864" s="76">
        <v>42642.0</v>
      </c>
      <c r="G4864" s="68" t="s">
        <v>19642</v>
      </c>
      <c r="H4864" s="71"/>
      <c r="I4864" s="68" t="s">
        <v>19643</v>
      </c>
      <c r="J4864" s="68" t="s">
        <v>19644</v>
      </c>
      <c r="K4864" s="76">
        <v>43180.0</v>
      </c>
      <c r="L4864" s="68" t="s">
        <v>2743</v>
      </c>
      <c r="M4864" s="68" t="s">
        <v>4749</v>
      </c>
      <c r="N4864" s="61"/>
      <c r="O4864" s="51"/>
    </row>
    <row r="4865">
      <c r="A4865" s="56">
        <v>4862.0</v>
      </c>
      <c r="B4865" s="240"/>
      <c r="C4865" s="69" t="s">
        <v>19645</v>
      </c>
      <c r="D4865" s="71"/>
      <c r="E4865" s="68" t="s">
        <v>19646</v>
      </c>
      <c r="F4865" s="76">
        <v>43176.0</v>
      </c>
      <c r="G4865" s="68" t="s">
        <v>19647</v>
      </c>
      <c r="H4865" s="71"/>
      <c r="I4865" s="71"/>
      <c r="J4865" s="68" t="s">
        <v>19648</v>
      </c>
      <c r="K4865" s="76">
        <v>43180.0</v>
      </c>
      <c r="L4865" s="68" t="s">
        <v>2743</v>
      </c>
      <c r="M4865" s="68" t="s">
        <v>1509</v>
      </c>
      <c r="N4865" s="77"/>
      <c r="O4865" s="51"/>
    </row>
    <row r="4866">
      <c r="A4866" s="56">
        <v>4863.0</v>
      </c>
      <c r="B4866" s="240"/>
      <c r="C4866" s="69" t="s">
        <v>19649</v>
      </c>
      <c r="D4866" s="71"/>
      <c r="E4866" s="68" t="s">
        <v>19650</v>
      </c>
      <c r="F4866" s="76">
        <v>43176.0</v>
      </c>
      <c r="G4866" s="68" t="s">
        <v>19647</v>
      </c>
      <c r="H4866" s="71"/>
      <c r="I4866" s="71"/>
      <c r="J4866" s="68" t="s">
        <v>19651</v>
      </c>
      <c r="K4866" s="76">
        <v>43180.0</v>
      </c>
      <c r="L4866" s="68" t="s">
        <v>2743</v>
      </c>
      <c r="M4866" s="68" t="s">
        <v>1509</v>
      </c>
      <c r="N4866" s="77"/>
      <c r="O4866" s="51"/>
    </row>
    <row r="4867">
      <c r="A4867" s="56">
        <v>4864.0</v>
      </c>
      <c r="B4867" s="241"/>
      <c r="C4867" s="64" t="s">
        <v>19652</v>
      </c>
      <c r="D4867" s="66"/>
      <c r="E4867" s="63" t="s">
        <v>19653</v>
      </c>
      <c r="F4867" s="70">
        <v>40183.0</v>
      </c>
      <c r="G4867" s="80" t="s">
        <v>19654</v>
      </c>
      <c r="H4867" s="82"/>
      <c r="I4867" s="66"/>
      <c r="J4867" s="63" t="s">
        <v>6393</v>
      </c>
      <c r="K4867" s="70">
        <v>43185.0</v>
      </c>
      <c r="L4867" s="63" t="s">
        <v>2743</v>
      </c>
      <c r="M4867" s="63" t="s">
        <v>195</v>
      </c>
      <c r="N4867" s="61"/>
      <c r="O4867" s="51"/>
    </row>
    <row r="4868">
      <c r="A4868" s="56">
        <v>4865.0</v>
      </c>
      <c r="B4868" s="241"/>
      <c r="C4868" s="64" t="s">
        <v>19655</v>
      </c>
      <c r="D4868" s="66"/>
      <c r="E4868" s="63" t="s">
        <v>19656</v>
      </c>
      <c r="F4868" s="70">
        <v>40183.0</v>
      </c>
      <c r="G4868" s="80" t="s">
        <v>19654</v>
      </c>
      <c r="H4868" s="82"/>
      <c r="I4868" s="66"/>
      <c r="J4868" s="63" t="s">
        <v>6393</v>
      </c>
      <c r="K4868" s="70">
        <v>43185.0</v>
      </c>
      <c r="L4868" s="63" t="s">
        <v>2743</v>
      </c>
      <c r="M4868" s="63" t="s">
        <v>195</v>
      </c>
      <c r="N4868" s="61"/>
      <c r="O4868" s="51"/>
    </row>
    <row r="4869">
      <c r="A4869" s="56">
        <v>4866.0</v>
      </c>
      <c r="B4869" s="241"/>
      <c r="C4869" s="64" t="s">
        <v>19657</v>
      </c>
      <c r="D4869" s="66"/>
      <c r="E4869" s="63" t="s">
        <v>19658</v>
      </c>
      <c r="F4869" s="70">
        <v>40183.0</v>
      </c>
      <c r="G4869" s="80" t="s">
        <v>19654</v>
      </c>
      <c r="H4869" s="82"/>
      <c r="I4869" s="66"/>
      <c r="J4869" s="63" t="s">
        <v>6393</v>
      </c>
      <c r="K4869" s="70">
        <v>43185.0</v>
      </c>
      <c r="L4869" s="63" t="s">
        <v>2743</v>
      </c>
      <c r="M4869" s="63" t="s">
        <v>195</v>
      </c>
      <c r="N4869" s="61"/>
      <c r="O4869" s="51"/>
    </row>
    <row r="4870">
      <c r="A4870" s="75">
        <v>4867.0</v>
      </c>
      <c r="B4870" s="240"/>
      <c r="C4870" s="69" t="s">
        <v>19659</v>
      </c>
      <c r="D4870" s="71"/>
      <c r="E4870" s="68" t="s">
        <v>19660</v>
      </c>
      <c r="F4870" s="83">
        <v>42334.0</v>
      </c>
      <c r="G4870" s="68" t="s">
        <v>19661</v>
      </c>
      <c r="H4870" s="71"/>
      <c r="I4870" s="71"/>
      <c r="J4870" s="68" t="s">
        <v>19662</v>
      </c>
      <c r="K4870" s="76">
        <v>43185.0</v>
      </c>
      <c r="L4870" s="68" t="s">
        <v>2743</v>
      </c>
      <c r="M4870" s="68" t="s">
        <v>125</v>
      </c>
      <c r="N4870" s="77"/>
      <c r="O4870" s="51"/>
    </row>
    <row r="4871">
      <c r="A4871" s="56">
        <v>4868.0</v>
      </c>
      <c r="B4871" s="240"/>
      <c r="C4871" s="69" t="s">
        <v>19663</v>
      </c>
      <c r="D4871" s="71"/>
      <c r="E4871" s="68" t="s">
        <v>19664</v>
      </c>
      <c r="F4871" s="76">
        <v>43161.0</v>
      </c>
      <c r="G4871" s="68" t="s">
        <v>19665</v>
      </c>
      <c r="H4871" s="71"/>
      <c r="I4871" s="71"/>
      <c r="J4871" s="68" t="s">
        <v>19666</v>
      </c>
      <c r="K4871" s="76">
        <v>43185.0</v>
      </c>
      <c r="L4871" s="68" t="s">
        <v>2743</v>
      </c>
      <c r="M4871" s="68" t="s">
        <v>31</v>
      </c>
      <c r="N4871" s="77"/>
      <c r="O4871" s="51"/>
    </row>
    <row r="4872">
      <c r="A4872" s="56">
        <v>4869.0</v>
      </c>
      <c r="B4872" s="241"/>
      <c r="C4872" s="64" t="s">
        <v>19667</v>
      </c>
      <c r="D4872" s="66"/>
      <c r="E4872" s="63" t="s">
        <v>19668</v>
      </c>
      <c r="F4872" s="70">
        <v>41768.0</v>
      </c>
      <c r="G4872" s="80" t="s">
        <v>19669</v>
      </c>
      <c r="H4872" s="82"/>
      <c r="I4872" s="66"/>
      <c r="J4872" s="63" t="s">
        <v>5679</v>
      </c>
      <c r="K4872" s="70">
        <v>43186.0</v>
      </c>
      <c r="L4872" s="63" t="s">
        <v>2743</v>
      </c>
      <c r="M4872" s="63" t="s">
        <v>368</v>
      </c>
      <c r="N4872" s="61"/>
      <c r="O4872" s="51"/>
    </row>
    <row r="4873">
      <c r="A4873" s="56">
        <v>4870.0</v>
      </c>
      <c r="B4873" s="240"/>
      <c r="C4873" s="69" t="s">
        <v>19670</v>
      </c>
      <c r="D4873" s="71"/>
      <c r="E4873" s="68" t="s">
        <v>19671</v>
      </c>
      <c r="F4873" s="76">
        <v>43174.0</v>
      </c>
      <c r="G4873" s="68" t="s">
        <v>19672</v>
      </c>
      <c r="H4873" s="71"/>
      <c r="I4873" s="68" t="s">
        <v>19673</v>
      </c>
      <c r="J4873" s="68" t="s">
        <v>19674</v>
      </c>
      <c r="K4873" s="76">
        <v>43186.0</v>
      </c>
      <c r="L4873" s="68" t="s">
        <v>2743</v>
      </c>
      <c r="M4873" s="68" t="s">
        <v>18270</v>
      </c>
      <c r="N4873" s="77"/>
      <c r="O4873" s="51"/>
    </row>
    <row r="4874">
      <c r="A4874" s="56">
        <v>4871.0</v>
      </c>
      <c r="B4874" s="240"/>
      <c r="C4874" s="69" t="s">
        <v>19675</v>
      </c>
      <c r="D4874" s="71"/>
      <c r="E4874" s="68" t="s">
        <v>19676</v>
      </c>
      <c r="F4874" s="76">
        <v>43160.0</v>
      </c>
      <c r="G4874" s="68" t="s">
        <v>19677</v>
      </c>
      <c r="H4874" s="71"/>
      <c r="I4874" s="71"/>
      <c r="J4874" s="68" t="s">
        <v>19678</v>
      </c>
      <c r="K4874" s="76">
        <v>43186.0</v>
      </c>
      <c r="L4874" s="68" t="s">
        <v>2743</v>
      </c>
      <c r="M4874" s="68" t="s">
        <v>166</v>
      </c>
      <c r="N4874" s="77"/>
      <c r="O4874" s="51"/>
    </row>
    <row r="4875">
      <c r="A4875" s="56">
        <v>4872.0</v>
      </c>
      <c r="B4875" s="240"/>
      <c r="C4875" s="69" t="s">
        <v>19679</v>
      </c>
      <c r="D4875" s="71"/>
      <c r="E4875" s="68" t="s">
        <v>19680</v>
      </c>
      <c r="F4875" s="76">
        <v>42569.0</v>
      </c>
      <c r="G4875" s="68" t="s">
        <v>19681</v>
      </c>
      <c r="H4875" s="71"/>
      <c r="I4875" s="71"/>
      <c r="J4875" s="68" t="s">
        <v>19682</v>
      </c>
      <c r="K4875" s="76">
        <v>43186.0</v>
      </c>
      <c r="L4875" s="68" t="s">
        <v>2743</v>
      </c>
      <c r="M4875" s="68" t="s">
        <v>27</v>
      </c>
      <c r="N4875" s="77"/>
      <c r="O4875" s="51"/>
    </row>
    <row r="4876">
      <c r="A4876" s="56">
        <v>4873.0</v>
      </c>
      <c r="B4876" s="240"/>
      <c r="C4876" s="69" t="s">
        <v>19683</v>
      </c>
      <c r="D4876" s="71"/>
      <c r="E4876" s="68" t="s">
        <v>19684</v>
      </c>
      <c r="F4876" s="76">
        <v>43174.0</v>
      </c>
      <c r="G4876" s="68" t="s">
        <v>19685</v>
      </c>
      <c r="H4876" s="71"/>
      <c r="I4876" s="71"/>
      <c r="J4876" s="68" t="s">
        <v>19686</v>
      </c>
      <c r="K4876" s="76">
        <v>43187.0</v>
      </c>
      <c r="L4876" s="68" t="s">
        <v>2743</v>
      </c>
      <c r="M4876" s="68" t="s">
        <v>166</v>
      </c>
      <c r="N4876" s="77"/>
      <c r="O4876" s="51"/>
    </row>
    <row r="4877">
      <c r="A4877" s="56">
        <v>4874.0</v>
      </c>
      <c r="B4877" s="240"/>
      <c r="C4877" s="69" t="s">
        <v>19687</v>
      </c>
      <c r="D4877" s="71"/>
      <c r="E4877" s="68" t="s">
        <v>19688</v>
      </c>
      <c r="F4877" s="76">
        <v>39630.0</v>
      </c>
      <c r="G4877" s="68" t="s">
        <v>19689</v>
      </c>
      <c r="H4877" s="71"/>
      <c r="I4877" s="71"/>
      <c r="J4877" s="68" t="s">
        <v>19690</v>
      </c>
      <c r="K4877" s="76">
        <v>43187.0</v>
      </c>
      <c r="L4877" s="68" t="s">
        <v>2743</v>
      </c>
      <c r="M4877" s="68" t="s">
        <v>530</v>
      </c>
      <c r="N4877" s="77"/>
      <c r="O4877" s="51"/>
    </row>
    <row r="4878">
      <c r="A4878" s="56">
        <v>4875.0</v>
      </c>
      <c r="B4878" s="241"/>
      <c r="C4878" s="64" t="s">
        <v>19691</v>
      </c>
      <c r="D4878" s="66"/>
      <c r="E4878" s="63" t="s">
        <v>19692</v>
      </c>
      <c r="F4878" s="70">
        <v>40014.0</v>
      </c>
      <c r="G4878" s="80" t="s">
        <v>19693</v>
      </c>
      <c r="H4878" s="82"/>
      <c r="I4878" s="66"/>
      <c r="J4878" s="63" t="s">
        <v>5679</v>
      </c>
      <c r="K4878" s="70">
        <v>43187.0</v>
      </c>
      <c r="L4878" s="63" t="s">
        <v>2743</v>
      </c>
      <c r="M4878" s="63" t="s">
        <v>530</v>
      </c>
      <c r="N4878" s="61"/>
      <c r="O4878" s="51"/>
    </row>
    <row r="4879">
      <c r="A4879" s="56">
        <v>4876.0</v>
      </c>
      <c r="B4879" s="241"/>
      <c r="C4879" s="64" t="s">
        <v>19694</v>
      </c>
      <c r="D4879" s="66"/>
      <c r="E4879" s="63" t="s">
        <v>19695</v>
      </c>
      <c r="F4879" s="70">
        <v>40073.0</v>
      </c>
      <c r="G4879" s="80" t="s">
        <v>19696</v>
      </c>
      <c r="H4879" s="80" t="s">
        <v>439</v>
      </c>
      <c r="I4879" s="66"/>
      <c r="J4879" s="63" t="s">
        <v>5679</v>
      </c>
      <c r="K4879" s="70">
        <v>43187.0</v>
      </c>
      <c r="L4879" s="63" t="s">
        <v>16185</v>
      </c>
      <c r="M4879" s="63" t="s">
        <v>530</v>
      </c>
      <c r="N4879" s="61"/>
      <c r="O4879" s="51"/>
    </row>
    <row r="4880">
      <c r="A4880" s="56">
        <v>4877.0</v>
      </c>
      <c r="B4880" s="241"/>
      <c r="C4880" s="64" t="s">
        <v>19697</v>
      </c>
      <c r="D4880" s="66"/>
      <c r="E4880" s="63" t="s">
        <v>19698</v>
      </c>
      <c r="F4880" s="70">
        <v>40073.0</v>
      </c>
      <c r="G4880" s="80" t="s">
        <v>19696</v>
      </c>
      <c r="H4880" s="80" t="s">
        <v>19699</v>
      </c>
      <c r="I4880" s="66"/>
      <c r="J4880" s="63" t="s">
        <v>5679</v>
      </c>
      <c r="K4880" s="70">
        <v>43187.0</v>
      </c>
      <c r="L4880" s="63" t="s">
        <v>16185</v>
      </c>
      <c r="M4880" s="63" t="s">
        <v>530</v>
      </c>
      <c r="N4880" s="61"/>
      <c r="O4880" s="51"/>
    </row>
    <row r="4881">
      <c r="A4881" s="56">
        <v>4878.0</v>
      </c>
      <c r="B4881" s="241"/>
      <c r="C4881" s="64" t="s">
        <v>19700</v>
      </c>
      <c r="D4881" s="66"/>
      <c r="E4881" s="63" t="s">
        <v>19701</v>
      </c>
      <c r="F4881" s="70">
        <v>40074.0</v>
      </c>
      <c r="G4881" s="80" t="s">
        <v>19702</v>
      </c>
      <c r="H4881" s="82"/>
      <c r="I4881" s="66"/>
      <c r="J4881" s="63" t="s">
        <v>5679</v>
      </c>
      <c r="K4881" s="70">
        <v>43187.0</v>
      </c>
      <c r="L4881" s="63" t="s">
        <v>16185</v>
      </c>
      <c r="M4881" s="63" t="s">
        <v>530</v>
      </c>
      <c r="N4881" s="61"/>
      <c r="O4881" s="51"/>
    </row>
    <row r="4882">
      <c r="A4882" s="56">
        <v>4879.0</v>
      </c>
      <c r="B4882" s="241"/>
      <c r="C4882" s="64" t="s">
        <v>19703</v>
      </c>
      <c r="D4882" s="66"/>
      <c r="E4882" s="63" t="s">
        <v>19704</v>
      </c>
      <c r="F4882" s="70">
        <v>42549.0</v>
      </c>
      <c r="G4882" s="80" t="s">
        <v>19705</v>
      </c>
      <c r="H4882" s="82"/>
      <c r="I4882" s="66"/>
      <c r="J4882" s="63" t="s">
        <v>5679</v>
      </c>
      <c r="K4882" s="70">
        <v>43187.0</v>
      </c>
      <c r="L4882" s="63" t="s">
        <v>16185</v>
      </c>
      <c r="M4882" s="63" t="s">
        <v>368</v>
      </c>
      <c r="N4882" s="61"/>
      <c r="O4882" s="51"/>
    </row>
    <row r="4883">
      <c r="A4883" s="56">
        <v>4880.0</v>
      </c>
      <c r="B4883" s="240"/>
      <c r="C4883" s="69" t="s">
        <v>19706</v>
      </c>
      <c r="D4883" s="71"/>
      <c r="E4883" s="68" t="s">
        <v>19707</v>
      </c>
      <c r="F4883" s="76">
        <v>43013.0</v>
      </c>
      <c r="G4883" s="68" t="s">
        <v>19708</v>
      </c>
      <c r="H4883" s="71"/>
      <c r="I4883" s="71"/>
      <c r="J4883" s="68" t="s">
        <v>19709</v>
      </c>
      <c r="K4883" s="76">
        <v>43187.0</v>
      </c>
      <c r="L4883" s="68" t="s">
        <v>16185</v>
      </c>
      <c r="M4883" s="68" t="s">
        <v>2989</v>
      </c>
      <c r="N4883" s="77"/>
      <c r="O4883" s="51"/>
    </row>
    <row r="4884">
      <c r="A4884" s="56">
        <v>4881.0</v>
      </c>
      <c r="B4884" s="241"/>
      <c r="C4884" s="64" t="s">
        <v>19710</v>
      </c>
      <c r="D4884" s="66"/>
      <c r="E4884" s="63" t="s">
        <v>19711</v>
      </c>
      <c r="F4884" s="70">
        <v>42797.0</v>
      </c>
      <c r="G4884" s="80" t="s">
        <v>19712</v>
      </c>
      <c r="H4884" s="82"/>
      <c r="I4884" s="66"/>
      <c r="J4884" s="63" t="s">
        <v>5679</v>
      </c>
      <c r="K4884" s="70">
        <v>43187.0</v>
      </c>
      <c r="L4884" s="63" t="s">
        <v>16185</v>
      </c>
      <c r="M4884" s="63" t="s">
        <v>125</v>
      </c>
      <c r="N4884" s="61"/>
      <c r="O4884" s="51"/>
    </row>
    <row r="4885">
      <c r="A4885" s="56">
        <v>4882.0</v>
      </c>
      <c r="B4885" s="240"/>
      <c r="C4885" s="69" t="s">
        <v>19713</v>
      </c>
      <c r="D4885" s="71"/>
      <c r="E4885" s="68" t="s">
        <v>19714</v>
      </c>
      <c r="F4885" s="83">
        <v>41265.0</v>
      </c>
      <c r="G4885" s="68" t="s">
        <v>19715</v>
      </c>
      <c r="H4885" s="71"/>
      <c r="I4885" s="71"/>
      <c r="J4885" s="68" t="s">
        <v>19716</v>
      </c>
      <c r="K4885" s="76">
        <v>43187.0</v>
      </c>
      <c r="L4885" s="68" t="s">
        <v>16185</v>
      </c>
      <c r="M4885" s="68" t="s">
        <v>2097</v>
      </c>
      <c r="N4885" s="61"/>
      <c r="O4885" s="51"/>
    </row>
    <row r="4886">
      <c r="A4886" s="56">
        <v>4883.0</v>
      </c>
      <c r="B4886" s="240"/>
      <c r="C4886" s="69" t="s">
        <v>19717</v>
      </c>
      <c r="D4886" s="71"/>
      <c r="E4886" s="68" t="s">
        <v>19718</v>
      </c>
      <c r="F4886" s="83">
        <v>42731.0</v>
      </c>
      <c r="G4886" s="68" t="s">
        <v>19719</v>
      </c>
      <c r="H4886" s="71"/>
      <c r="I4886" s="68" t="s">
        <v>19720</v>
      </c>
      <c r="J4886" s="68" t="s">
        <v>19721</v>
      </c>
      <c r="K4886" s="76">
        <v>43187.0</v>
      </c>
      <c r="L4886" s="68" t="s">
        <v>16185</v>
      </c>
      <c r="M4886" s="68" t="s">
        <v>4749</v>
      </c>
      <c r="N4886" s="61"/>
      <c r="O4886" s="51"/>
    </row>
    <row r="4887">
      <c r="A4887" s="56">
        <v>4884.0</v>
      </c>
      <c r="B4887" s="241"/>
      <c r="C4887" s="64" t="s">
        <v>19722</v>
      </c>
      <c r="D4887" s="66"/>
      <c r="E4887" s="63" t="s">
        <v>19723</v>
      </c>
      <c r="F4887" s="70">
        <v>42104.0</v>
      </c>
      <c r="G4887" s="80" t="s">
        <v>19724</v>
      </c>
      <c r="H4887" s="82"/>
      <c r="I4887" s="66"/>
      <c r="J4887" s="63" t="s">
        <v>7523</v>
      </c>
      <c r="K4887" s="70">
        <v>43188.0</v>
      </c>
      <c r="L4887" s="63" t="s">
        <v>16185</v>
      </c>
      <c r="M4887" s="63" t="s">
        <v>1711</v>
      </c>
      <c r="N4887" s="61"/>
      <c r="O4887" s="51"/>
    </row>
    <row r="4888">
      <c r="A4888" s="56">
        <v>4885.0</v>
      </c>
      <c r="B4888" s="240"/>
      <c r="C4888" s="69" t="s">
        <v>19725</v>
      </c>
      <c r="D4888" s="71"/>
      <c r="E4888" s="68" t="s">
        <v>19726</v>
      </c>
      <c r="F4888" s="76">
        <v>42462.0</v>
      </c>
      <c r="G4888" s="68" t="s">
        <v>19727</v>
      </c>
      <c r="H4888" s="71"/>
      <c r="I4888" s="71"/>
      <c r="J4888" s="117" t="s">
        <v>19728</v>
      </c>
      <c r="K4888" s="225">
        <v>43188.0</v>
      </c>
      <c r="L4888" s="68" t="s">
        <v>16185</v>
      </c>
      <c r="M4888" s="68" t="s">
        <v>4273</v>
      </c>
      <c r="N4888" s="77"/>
      <c r="O4888" s="51"/>
    </row>
    <row r="4889">
      <c r="A4889" s="56">
        <v>4886.0</v>
      </c>
      <c r="B4889" s="240"/>
      <c r="C4889" s="69" t="s">
        <v>19729</v>
      </c>
      <c r="D4889" s="71"/>
      <c r="E4889" s="68" t="s">
        <v>19730</v>
      </c>
      <c r="F4889" s="76">
        <v>42552.0</v>
      </c>
      <c r="G4889" s="68" t="s">
        <v>19731</v>
      </c>
      <c r="H4889" s="71"/>
      <c r="I4889" s="71"/>
      <c r="J4889" s="128" t="s">
        <v>19732</v>
      </c>
      <c r="K4889" s="76">
        <v>43188.0</v>
      </c>
      <c r="L4889" s="68" t="s">
        <v>16185</v>
      </c>
      <c r="M4889" s="68" t="s">
        <v>195</v>
      </c>
      <c r="N4889" s="77"/>
      <c r="O4889" s="51"/>
    </row>
    <row r="4890">
      <c r="A4890" s="56">
        <v>4887.0</v>
      </c>
      <c r="B4890" s="240"/>
      <c r="C4890" s="69" t="s">
        <v>19733</v>
      </c>
      <c r="D4890" s="71"/>
      <c r="E4890" s="68" t="s">
        <v>19734</v>
      </c>
      <c r="F4890" s="76">
        <v>42872.0</v>
      </c>
      <c r="G4890" s="68" t="s">
        <v>19735</v>
      </c>
      <c r="H4890" s="71"/>
      <c r="I4890" s="71"/>
      <c r="J4890" s="68" t="s">
        <v>19736</v>
      </c>
      <c r="K4890" s="76">
        <v>43188.0</v>
      </c>
      <c r="L4890" s="68" t="s">
        <v>16185</v>
      </c>
      <c r="M4890" s="68" t="s">
        <v>166</v>
      </c>
      <c r="N4890" s="77"/>
      <c r="O4890" s="51"/>
    </row>
    <row r="4891">
      <c r="A4891" s="56">
        <v>4888.0</v>
      </c>
      <c r="B4891" s="240"/>
      <c r="C4891" s="69" t="s">
        <v>19737</v>
      </c>
      <c r="D4891" s="71"/>
      <c r="E4891" s="68" t="s">
        <v>19738</v>
      </c>
      <c r="F4891" s="83">
        <v>43064.0</v>
      </c>
      <c r="G4891" s="68" t="s">
        <v>19735</v>
      </c>
      <c r="H4891" s="71"/>
      <c r="I4891" s="71"/>
      <c r="J4891" s="68" t="s">
        <v>19739</v>
      </c>
      <c r="K4891" s="76">
        <v>43188.0</v>
      </c>
      <c r="L4891" s="68" t="s">
        <v>16185</v>
      </c>
      <c r="M4891" s="68" t="s">
        <v>166</v>
      </c>
      <c r="N4891" s="77"/>
      <c r="O4891" s="51"/>
    </row>
    <row r="4892">
      <c r="A4892" s="56">
        <v>4889.0</v>
      </c>
      <c r="B4892" s="240"/>
      <c r="C4892" s="69" t="s">
        <v>19740</v>
      </c>
      <c r="D4892" s="71"/>
      <c r="E4892" s="68" t="s">
        <v>19741</v>
      </c>
      <c r="F4892" s="68" t="s">
        <v>407</v>
      </c>
      <c r="G4892" s="68" t="s">
        <v>19742</v>
      </c>
      <c r="H4892" s="71"/>
      <c r="I4892" s="71"/>
      <c r="J4892" s="68" t="s">
        <v>19743</v>
      </c>
      <c r="K4892" s="76">
        <v>43188.0</v>
      </c>
      <c r="L4892" s="68" t="s">
        <v>16185</v>
      </c>
      <c r="M4892" s="68" t="s">
        <v>31</v>
      </c>
      <c r="N4892" s="77"/>
      <c r="O4892" s="51"/>
    </row>
    <row r="4893">
      <c r="A4893" s="56">
        <v>4890.0</v>
      </c>
      <c r="B4893" s="240"/>
      <c r="C4893" s="69" t="s">
        <v>19744</v>
      </c>
      <c r="D4893" s="71"/>
      <c r="E4893" s="68" t="s">
        <v>19745</v>
      </c>
      <c r="F4893" s="76">
        <v>43105.0</v>
      </c>
      <c r="G4893" s="68" t="s">
        <v>19746</v>
      </c>
      <c r="H4893" s="71"/>
      <c r="I4893" s="71"/>
      <c r="J4893" s="68" t="s">
        <v>19747</v>
      </c>
      <c r="K4893" s="76">
        <v>43188.0</v>
      </c>
      <c r="L4893" s="68" t="s">
        <v>16185</v>
      </c>
      <c r="M4893" s="68" t="s">
        <v>143</v>
      </c>
      <c r="N4893" s="77"/>
      <c r="O4893" s="51"/>
    </row>
    <row r="4894">
      <c r="A4894" s="56">
        <v>4891.0</v>
      </c>
      <c r="B4894" s="240"/>
      <c r="C4894" s="69" t="s">
        <v>19748</v>
      </c>
      <c r="D4894" s="71"/>
      <c r="E4894" s="68" t="s">
        <v>19749</v>
      </c>
      <c r="F4894" s="76">
        <v>43173.0</v>
      </c>
      <c r="G4894" s="68" t="s">
        <v>19750</v>
      </c>
      <c r="H4894" s="71"/>
      <c r="I4894" s="68" t="s">
        <v>19751</v>
      </c>
      <c r="J4894" s="87" t="s">
        <v>19752</v>
      </c>
      <c r="K4894" s="76">
        <v>43188.0</v>
      </c>
      <c r="L4894" s="68" t="s">
        <v>16185</v>
      </c>
      <c r="M4894" s="68" t="s">
        <v>18576</v>
      </c>
      <c r="N4894" s="77"/>
      <c r="O4894" s="51"/>
    </row>
    <row r="4895">
      <c r="A4895" s="85">
        <v>4892.0</v>
      </c>
      <c r="B4895" s="66"/>
      <c r="C4895" s="79" t="s">
        <v>19753</v>
      </c>
      <c r="D4895" s="66"/>
      <c r="E4895" s="63" t="s">
        <v>19754</v>
      </c>
      <c r="F4895" s="70">
        <v>42078.0</v>
      </c>
      <c r="G4895" s="63" t="s">
        <v>19755</v>
      </c>
      <c r="H4895" s="66"/>
      <c r="I4895" s="66"/>
      <c r="J4895" s="66"/>
      <c r="K4895" s="70">
        <v>43188.0</v>
      </c>
      <c r="L4895" s="63" t="s">
        <v>16185</v>
      </c>
      <c r="M4895" s="63" t="s">
        <v>2291</v>
      </c>
      <c r="N4895" s="77"/>
      <c r="O4895" s="51"/>
    </row>
    <row r="4896">
      <c r="A4896" s="56">
        <v>4893.0</v>
      </c>
      <c r="B4896" s="240"/>
      <c r="C4896" s="69" t="s">
        <v>19756</v>
      </c>
      <c r="D4896" s="71"/>
      <c r="E4896" s="68" t="s">
        <v>19757</v>
      </c>
      <c r="F4896" s="76">
        <v>43135.0</v>
      </c>
      <c r="G4896" s="68" t="s">
        <v>19758</v>
      </c>
      <c r="H4896" s="71"/>
      <c r="I4896" s="68" t="s">
        <v>19759</v>
      </c>
      <c r="J4896" s="87" t="s">
        <v>19760</v>
      </c>
      <c r="K4896" s="76">
        <v>43188.0</v>
      </c>
      <c r="L4896" s="68" t="s">
        <v>16185</v>
      </c>
      <c r="M4896" s="68" t="s">
        <v>149</v>
      </c>
      <c r="N4896" s="77"/>
      <c r="O4896" s="51"/>
    </row>
    <row r="4897">
      <c r="A4897" s="56">
        <v>4894.0</v>
      </c>
      <c r="B4897" s="241"/>
      <c r="C4897" s="64" t="s">
        <v>19761</v>
      </c>
      <c r="D4897" s="66"/>
      <c r="E4897" s="63" t="s">
        <v>19762</v>
      </c>
      <c r="F4897" s="70">
        <v>42812.0</v>
      </c>
      <c r="G4897" s="80" t="s">
        <v>19763</v>
      </c>
      <c r="H4897" s="82"/>
      <c r="I4897" s="66"/>
      <c r="J4897" s="63" t="s">
        <v>7523</v>
      </c>
      <c r="K4897" s="70">
        <v>43188.0</v>
      </c>
      <c r="L4897" s="63" t="s">
        <v>16185</v>
      </c>
      <c r="M4897" s="63" t="s">
        <v>143</v>
      </c>
      <c r="N4897" s="61"/>
      <c r="O4897" s="51"/>
    </row>
    <row r="4898">
      <c r="A4898" s="75">
        <v>4895.0</v>
      </c>
      <c r="B4898" s="240"/>
      <c r="C4898" s="69" t="s">
        <v>19764</v>
      </c>
      <c r="D4898" s="71"/>
      <c r="E4898" s="68" t="s">
        <v>19765</v>
      </c>
      <c r="F4898" s="76">
        <v>42807.0</v>
      </c>
      <c r="G4898" s="68" t="s">
        <v>19766</v>
      </c>
      <c r="H4898" s="71"/>
      <c r="I4898" s="71"/>
      <c r="J4898" s="68" t="s">
        <v>19767</v>
      </c>
      <c r="K4898" s="76">
        <v>43188.0</v>
      </c>
      <c r="L4898" s="68" t="s">
        <v>16185</v>
      </c>
      <c r="M4898" s="68" t="s">
        <v>166</v>
      </c>
      <c r="N4898" s="61"/>
      <c r="O4898" s="51"/>
    </row>
    <row r="4899">
      <c r="A4899" s="56">
        <v>4896.0</v>
      </c>
      <c r="B4899" s="240"/>
      <c r="C4899" s="69" t="s">
        <v>19768</v>
      </c>
      <c r="D4899" s="71"/>
      <c r="E4899" s="68" t="s">
        <v>19769</v>
      </c>
      <c r="F4899" s="76">
        <v>42931.0</v>
      </c>
      <c r="G4899" s="68" t="s">
        <v>19770</v>
      </c>
      <c r="H4899" s="71"/>
      <c r="I4899" s="71"/>
      <c r="J4899" s="68" t="s">
        <v>19771</v>
      </c>
      <c r="K4899" s="76">
        <v>43188.0</v>
      </c>
      <c r="L4899" s="68" t="s">
        <v>2743</v>
      </c>
      <c r="M4899" s="68" t="s">
        <v>195</v>
      </c>
      <c r="N4899" s="77"/>
      <c r="O4899" s="51"/>
    </row>
    <row r="4900">
      <c r="A4900" s="56">
        <v>4897.0</v>
      </c>
      <c r="B4900" s="241"/>
      <c r="C4900" s="64" t="s">
        <v>19772</v>
      </c>
      <c r="D4900" s="66"/>
      <c r="E4900" s="63" t="s">
        <v>19773</v>
      </c>
      <c r="F4900" s="70">
        <v>42759.0</v>
      </c>
      <c r="G4900" s="80" t="s">
        <v>19774</v>
      </c>
      <c r="H4900" s="82"/>
      <c r="I4900" s="63" t="s">
        <v>19775</v>
      </c>
      <c r="J4900" s="63" t="s">
        <v>19776</v>
      </c>
      <c r="K4900" s="70">
        <v>43188.0</v>
      </c>
      <c r="L4900" s="63" t="s">
        <v>2743</v>
      </c>
      <c r="M4900" s="63" t="s">
        <v>31</v>
      </c>
      <c r="N4900" s="61"/>
      <c r="O4900" s="51"/>
    </row>
    <row r="4901">
      <c r="A4901" s="56">
        <v>4898.0</v>
      </c>
      <c r="B4901" s="240"/>
      <c r="C4901" s="69" t="s">
        <v>19777</v>
      </c>
      <c r="D4901" s="71"/>
      <c r="E4901" s="68" t="s">
        <v>19778</v>
      </c>
      <c r="F4901" s="76">
        <v>43181.0</v>
      </c>
      <c r="G4901" s="68" t="s">
        <v>19779</v>
      </c>
      <c r="H4901" s="71"/>
      <c r="I4901" s="71"/>
      <c r="J4901" s="68" t="s">
        <v>19780</v>
      </c>
      <c r="K4901" s="76">
        <v>43188.0</v>
      </c>
      <c r="L4901" s="68" t="s">
        <v>2743</v>
      </c>
      <c r="M4901" s="68" t="s">
        <v>19781</v>
      </c>
      <c r="N4901" s="77"/>
      <c r="O4901" s="51"/>
    </row>
    <row r="4902">
      <c r="A4902" s="56">
        <v>4899.0</v>
      </c>
      <c r="B4902" s="240"/>
      <c r="C4902" s="69" t="s">
        <v>19782</v>
      </c>
      <c r="D4902" s="71"/>
      <c r="E4902" s="68" t="s">
        <v>19783</v>
      </c>
      <c r="F4902" s="76">
        <v>42407.0</v>
      </c>
      <c r="G4902" s="68" t="s">
        <v>19784</v>
      </c>
      <c r="H4902" s="71"/>
      <c r="I4902" s="71"/>
      <c r="J4902" s="68" t="s">
        <v>19785</v>
      </c>
      <c r="K4902" s="76">
        <v>43188.0</v>
      </c>
      <c r="L4902" s="68" t="s">
        <v>2743</v>
      </c>
      <c r="M4902" s="68" t="s">
        <v>195</v>
      </c>
      <c r="N4902" s="77"/>
      <c r="O4902" s="51"/>
    </row>
    <row r="4903">
      <c r="A4903" s="56">
        <v>4900.0</v>
      </c>
      <c r="B4903" s="240"/>
      <c r="C4903" s="69" t="s">
        <v>19786</v>
      </c>
      <c r="D4903" s="71"/>
      <c r="E4903" s="68" t="s">
        <v>19787</v>
      </c>
      <c r="F4903" s="76">
        <v>41456.0</v>
      </c>
      <c r="G4903" s="68" t="s">
        <v>19788</v>
      </c>
      <c r="H4903" s="71"/>
      <c r="I4903" s="71"/>
      <c r="J4903" s="68" t="s">
        <v>19789</v>
      </c>
      <c r="K4903" s="76">
        <v>43188.0</v>
      </c>
      <c r="L4903" s="68" t="s">
        <v>2743</v>
      </c>
      <c r="M4903" s="68" t="s">
        <v>195</v>
      </c>
      <c r="N4903" s="77"/>
      <c r="O4903" s="51"/>
    </row>
    <row r="4904">
      <c r="A4904" s="56">
        <v>4901.0</v>
      </c>
      <c r="B4904" s="241"/>
      <c r="C4904" s="64" t="s">
        <v>19790</v>
      </c>
      <c r="D4904" s="66"/>
      <c r="E4904" s="63" t="s">
        <v>19791</v>
      </c>
      <c r="F4904" s="65">
        <v>42691.0</v>
      </c>
      <c r="G4904" s="80" t="s">
        <v>19792</v>
      </c>
      <c r="H4904" s="82"/>
      <c r="I4904" s="66"/>
      <c r="J4904" s="63" t="s">
        <v>5679</v>
      </c>
      <c r="K4904" s="70">
        <v>43188.0</v>
      </c>
      <c r="L4904" s="63" t="s">
        <v>2743</v>
      </c>
      <c r="M4904" s="63" t="s">
        <v>125</v>
      </c>
      <c r="N4904" s="61"/>
      <c r="O4904" s="51"/>
    </row>
    <row r="4905">
      <c r="A4905" s="56">
        <v>4902.0</v>
      </c>
      <c r="B4905" s="240"/>
      <c r="C4905" s="69" t="s">
        <v>19793</v>
      </c>
      <c r="D4905" s="71"/>
      <c r="E4905" s="68" t="s">
        <v>19794</v>
      </c>
      <c r="F4905" s="83">
        <v>42691.0</v>
      </c>
      <c r="G4905" s="68" t="s">
        <v>19792</v>
      </c>
      <c r="H4905" s="71"/>
      <c r="I4905" s="71"/>
      <c r="J4905" s="68" t="s">
        <v>19795</v>
      </c>
      <c r="K4905" s="76">
        <v>43188.0</v>
      </c>
      <c r="L4905" s="68" t="s">
        <v>2743</v>
      </c>
      <c r="M4905" s="68" t="s">
        <v>125</v>
      </c>
      <c r="N4905" s="77"/>
      <c r="O4905" s="51"/>
    </row>
    <row r="4906">
      <c r="A4906" s="56">
        <v>4903.0</v>
      </c>
      <c r="B4906" s="240"/>
      <c r="C4906" s="69" t="s">
        <v>19796</v>
      </c>
      <c r="D4906" s="71"/>
      <c r="E4906" s="68" t="s">
        <v>19797</v>
      </c>
      <c r="F4906" s="83">
        <v>43090.0</v>
      </c>
      <c r="G4906" s="68" t="s">
        <v>19798</v>
      </c>
      <c r="H4906" s="71"/>
      <c r="I4906" s="71"/>
      <c r="J4906" s="68" t="s">
        <v>19799</v>
      </c>
      <c r="K4906" s="76">
        <v>43188.0</v>
      </c>
      <c r="L4906" s="68" t="s">
        <v>2743</v>
      </c>
      <c r="M4906" s="68" t="s">
        <v>31</v>
      </c>
      <c r="N4906" s="77"/>
      <c r="O4906" s="51"/>
    </row>
    <row r="4907">
      <c r="A4907" s="56">
        <v>4904.0</v>
      </c>
      <c r="B4907" s="240"/>
      <c r="C4907" s="69" t="s">
        <v>19800</v>
      </c>
      <c r="D4907" s="71"/>
      <c r="E4907" s="68" t="s">
        <v>19801</v>
      </c>
      <c r="F4907" s="83">
        <v>43018.0</v>
      </c>
      <c r="G4907" s="68" t="s">
        <v>19802</v>
      </c>
      <c r="H4907" s="71"/>
      <c r="I4907" s="71"/>
      <c r="J4907" s="68" t="s">
        <v>19803</v>
      </c>
      <c r="K4907" s="76">
        <v>43188.0</v>
      </c>
      <c r="L4907" s="68" t="s">
        <v>2743</v>
      </c>
      <c r="M4907" s="68" t="s">
        <v>125</v>
      </c>
      <c r="N4907" s="77"/>
      <c r="O4907" s="51"/>
    </row>
    <row r="4908">
      <c r="A4908" s="56">
        <v>4905.0</v>
      </c>
      <c r="B4908" s="240"/>
      <c r="C4908" s="69" t="s">
        <v>19804</v>
      </c>
      <c r="D4908" s="71"/>
      <c r="E4908" s="68" t="s">
        <v>19805</v>
      </c>
      <c r="F4908" s="83">
        <v>42656.0</v>
      </c>
      <c r="G4908" s="68" t="s">
        <v>19806</v>
      </c>
      <c r="H4908" s="71"/>
      <c r="I4908" s="71"/>
      <c r="J4908" s="68" t="s">
        <v>19807</v>
      </c>
      <c r="K4908" s="76">
        <v>43188.0</v>
      </c>
      <c r="L4908" s="68" t="s">
        <v>2743</v>
      </c>
      <c r="M4908" s="68" t="s">
        <v>166</v>
      </c>
      <c r="N4908" s="77"/>
      <c r="O4908" s="51"/>
    </row>
    <row r="4909">
      <c r="A4909" s="75">
        <v>4906.0</v>
      </c>
      <c r="B4909" s="240"/>
      <c r="C4909" s="69" t="s">
        <v>19808</v>
      </c>
      <c r="D4909" s="71"/>
      <c r="E4909" s="68" t="s">
        <v>19809</v>
      </c>
      <c r="F4909" s="68" t="s">
        <v>407</v>
      </c>
      <c r="G4909" s="68" t="s">
        <v>19810</v>
      </c>
      <c r="H4909" s="71"/>
      <c r="I4909" s="71"/>
      <c r="J4909" s="68" t="s">
        <v>19811</v>
      </c>
      <c r="K4909" s="76">
        <v>43188.0</v>
      </c>
      <c r="L4909" s="68" t="s">
        <v>2743</v>
      </c>
      <c r="M4909" s="68" t="s">
        <v>195</v>
      </c>
      <c r="N4909" s="77"/>
      <c r="O4909" s="51"/>
    </row>
    <row r="4910">
      <c r="A4910" s="56">
        <v>4907.0</v>
      </c>
      <c r="B4910" s="240"/>
      <c r="C4910" s="69" t="s">
        <v>19812</v>
      </c>
      <c r="D4910" s="71"/>
      <c r="E4910" s="68" t="s">
        <v>19813</v>
      </c>
      <c r="F4910" s="76">
        <v>43105.0</v>
      </c>
      <c r="G4910" s="68" t="s">
        <v>19814</v>
      </c>
      <c r="H4910" s="71"/>
      <c r="I4910" s="71"/>
      <c r="J4910" s="68" t="s">
        <v>19815</v>
      </c>
      <c r="K4910" s="76">
        <v>43188.0</v>
      </c>
      <c r="L4910" s="68" t="s">
        <v>2743</v>
      </c>
      <c r="M4910" s="68" t="s">
        <v>166</v>
      </c>
      <c r="N4910" s="77"/>
      <c r="O4910" s="51"/>
    </row>
    <row r="4911">
      <c r="A4911" s="56">
        <v>4908.0</v>
      </c>
      <c r="B4911" s="240"/>
      <c r="C4911" s="69" t="s">
        <v>19816</v>
      </c>
      <c r="D4911" s="71"/>
      <c r="E4911" s="68" t="s">
        <v>19817</v>
      </c>
      <c r="F4911" s="76">
        <v>42917.0</v>
      </c>
      <c r="G4911" s="68" t="s">
        <v>19818</v>
      </c>
      <c r="H4911" s="71"/>
      <c r="I4911" s="71"/>
      <c r="J4911" s="68" t="s">
        <v>19819</v>
      </c>
      <c r="K4911" s="76">
        <v>43188.0</v>
      </c>
      <c r="L4911" s="68" t="s">
        <v>2743</v>
      </c>
      <c r="M4911" s="68" t="s">
        <v>195</v>
      </c>
      <c r="N4911" s="259" t="s">
        <v>19820</v>
      </c>
      <c r="O4911" s="51"/>
    </row>
    <row r="4912">
      <c r="A4912" s="56">
        <v>4909.0</v>
      </c>
      <c r="B4912" s="240"/>
      <c r="C4912" s="69" t="s">
        <v>19821</v>
      </c>
      <c r="D4912" s="71"/>
      <c r="E4912" s="68" t="s">
        <v>19822</v>
      </c>
      <c r="F4912" s="76">
        <v>43167.0</v>
      </c>
      <c r="G4912" s="68" t="s">
        <v>19823</v>
      </c>
      <c r="H4912" s="71"/>
      <c r="I4912" s="71"/>
      <c r="J4912" s="68" t="s">
        <v>19824</v>
      </c>
      <c r="K4912" s="76">
        <v>43192.0</v>
      </c>
      <c r="L4912" s="68" t="s">
        <v>19825</v>
      </c>
      <c r="M4912" s="68" t="s">
        <v>166</v>
      </c>
      <c r="N4912" s="254" t="s">
        <v>19826</v>
      </c>
      <c r="O4912" s="51"/>
    </row>
    <row r="4913">
      <c r="A4913" s="56">
        <v>4910.0</v>
      </c>
      <c r="B4913" s="240"/>
      <c r="C4913" s="69" t="s">
        <v>19827</v>
      </c>
      <c r="D4913" s="71"/>
      <c r="E4913" s="68" t="s">
        <v>19828</v>
      </c>
      <c r="F4913" s="76">
        <v>42789.0</v>
      </c>
      <c r="G4913" s="68" t="s">
        <v>19829</v>
      </c>
      <c r="H4913" s="71"/>
      <c r="I4913" s="71"/>
      <c r="J4913" s="68" t="s">
        <v>19830</v>
      </c>
      <c r="K4913" s="76">
        <v>43192.0</v>
      </c>
      <c r="L4913" s="68" t="s">
        <v>19825</v>
      </c>
      <c r="M4913" s="68" t="s">
        <v>166</v>
      </c>
      <c r="N4913" s="175"/>
      <c r="O4913" s="51"/>
    </row>
    <row r="4914">
      <c r="A4914" s="56">
        <v>4911.0</v>
      </c>
      <c r="B4914" s="240"/>
      <c r="C4914" s="69" t="s">
        <v>19831</v>
      </c>
      <c r="D4914" s="71"/>
      <c r="E4914" s="68" t="s">
        <v>19832</v>
      </c>
      <c r="F4914" s="76">
        <v>42789.0</v>
      </c>
      <c r="G4914" s="68" t="s">
        <v>19829</v>
      </c>
      <c r="H4914" s="71"/>
      <c r="I4914" s="71"/>
      <c r="J4914" s="68" t="s">
        <v>19833</v>
      </c>
      <c r="K4914" s="76">
        <v>43192.0</v>
      </c>
      <c r="L4914" s="68" t="s">
        <v>19825</v>
      </c>
      <c r="M4914" s="68" t="s">
        <v>166</v>
      </c>
      <c r="N4914" s="71"/>
      <c r="O4914" s="51"/>
    </row>
    <row r="4915">
      <c r="A4915" s="62">
        <v>4912.0</v>
      </c>
      <c r="B4915" s="242"/>
      <c r="C4915" s="64" t="s">
        <v>19834</v>
      </c>
      <c r="D4915" s="66"/>
      <c r="E4915" s="63" t="s">
        <v>19835</v>
      </c>
      <c r="F4915" s="70">
        <v>42789.0</v>
      </c>
      <c r="G4915" s="63" t="s">
        <v>19829</v>
      </c>
      <c r="H4915" s="66"/>
      <c r="I4915" s="66"/>
      <c r="J4915" s="66"/>
      <c r="K4915" s="70">
        <v>43192.0</v>
      </c>
      <c r="L4915" s="63" t="s">
        <v>19825</v>
      </c>
      <c r="M4915" s="63" t="s">
        <v>166</v>
      </c>
      <c r="N4915" s="71"/>
      <c r="O4915" s="51"/>
    </row>
    <row r="4916">
      <c r="A4916" s="56">
        <v>4913.0</v>
      </c>
      <c r="B4916" s="240"/>
      <c r="C4916" s="69" t="s">
        <v>19836</v>
      </c>
      <c r="D4916" s="71"/>
      <c r="E4916" s="68" t="s">
        <v>13183</v>
      </c>
      <c r="F4916" s="76">
        <v>42789.0</v>
      </c>
      <c r="G4916" s="68" t="s">
        <v>19829</v>
      </c>
      <c r="H4916" s="71"/>
      <c r="I4916" s="71"/>
      <c r="J4916" s="68" t="s">
        <v>19837</v>
      </c>
      <c r="K4916" s="76">
        <v>43192.0</v>
      </c>
      <c r="L4916" s="68" t="s">
        <v>19825</v>
      </c>
      <c r="M4916" s="68" t="s">
        <v>166</v>
      </c>
      <c r="N4916" s="71"/>
      <c r="O4916" s="51"/>
    </row>
    <row r="4917">
      <c r="A4917" s="56">
        <v>4914.0</v>
      </c>
      <c r="B4917" s="241"/>
      <c r="C4917" s="64" t="s">
        <v>19838</v>
      </c>
      <c r="D4917" s="66"/>
      <c r="E4917" s="63" t="s">
        <v>19839</v>
      </c>
      <c r="F4917" s="70">
        <v>42789.0</v>
      </c>
      <c r="G4917" s="80" t="s">
        <v>19829</v>
      </c>
      <c r="H4917" s="82"/>
      <c r="I4917" s="66"/>
      <c r="J4917" s="63" t="s">
        <v>5653</v>
      </c>
      <c r="K4917" s="70">
        <v>43192.0</v>
      </c>
      <c r="L4917" s="63" t="s">
        <v>19840</v>
      </c>
      <c r="M4917" s="63" t="s">
        <v>166</v>
      </c>
      <c r="N4917" s="66"/>
      <c r="O4917" s="51"/>
    </row>
    <row r="4918">
      <c r="A4918" s="56">
        <v>4915.0</v>
      </c>
      <c r="B4918" s="240"/>
      <c r="C4918" s="69" t="s">
        <v>19841</v>
      </c>
      <c r="D4918" s="71"/>
      <c r="E4918" s="68" t="s">
        <v>19842</v>
      </c>
      <c r="F4918" s="76">
        <v>42825.0</v>
      </c>
      <c r="G4918" s="68" t="s">
        <v>19843</v>
      </c>
      <c r="H4918" s="71"/>
      <c r="I4918" s="71"/>
      <c r="J4918" s="68" t="s">
        <v>19844</v>
      </c>
      <c r="K4918" s="76">
        <v>43192.0</v>
      </c>
      <c r="L4918" s="68" t="s">
        <v>19825</v>
      </c>
      <c r="M4918" s="68" t="s">
        <v>166</v>
      </c>
      <c r="N4918" s="71"/>
      <c r="O4918" s="51"/>
    </row>
    <row r="4919">
      <c r="A4919" s="56">
        <v>4916.0</v>
      </c>
      <c r="B4919" s="240"/>
      <c r="C4919" s="69" t="s">
        <v>19845</v>
      </c>
      <c r="D4919" s="71"/>
      <c r="E4919" s="68" t="s">
        <v>19846</v>
      </c>
      <c r="F4919" s="76">
        <v>43109.0</v>
      </c>
      <c r="G4919" s="68" t="s">
        <v>19847</v>
      </c>
      <c r="H4919" s="71"/>
      <c r="I4919" s="71"/>
      <c r="J4919" s="68" t="s">
        <v>19848</v>
      </c>
      <c r="K4919" s="76">
        <v>43194.0</v>
      </c>
      <c r="L4919" s="68" t="s">
        <v>2743</v>
      </c>
      <c r="M4919" s="68" t="s">
        <v>542</v>
      </c>
      <c r="N4919" s="71"/>
      <c r="O4919" s="51"/>
    </row>
    <row r="4920">
      <c r="A4920" s="56">
        <v>4917.0</v>
      </c>
      <c r="B4920" s="240"/>
      <c r="C4920" s="69" t="s">
        <v>19849</v>
      </c>
      <c r="D4920" s="71"/>
      <c r="E4920" s="68" t="s">
        <v>19850</v>
      </c>
      <c r="F4920" s="76">
        <v>43118.0</v>
      </c>
      <c r="G4920" s="68" t="s">
        <v>19851</v>
      </c>
      <c r="H4920" s="71"/>
      <c r="I4920" s="68" t="s">
        <v>19852</v>
      </c>
      <c r="J4920" s="68" t="s">
        <v>19853</v>
      </c>
      <c r="K4920" s="76">
        <v>43194.0</v>
      </c>
      <c r="L4920" s="68" t="s">
        <v>2743</v>
      </c>
      <c r="M4920" s="68" t="s">
        <v>3714</v>
      </c>
      <c r="N4920" s="71"/>
      <c r="O4920" s="51"/>
    </row>
    <row r="4921">
      <c r="A4921" s="56">
        <v>4918.0</v>
      </c>
      <c r="B4921" s="241"/>
      <c r="C4921" s="64" t="s">
        <v>19854</v>
      </c>
      <c r="D4921" s="66"/>
      <c r="E4921" s="63" t="s">
        <v>19855</v>
      </c>
      <c r="F4921" s="70">
        <v>42110.0</v>
      </c>
      <c r="G4921" s="80" t="s">
        <v>19856</v>
      </c>
      <c r="H4921" s="80" t="s">
        <v>19857</v>
      </c>
      <c r="I4921" s="63" t="s">
        <v>19858</v>
      </c>
      <c r="J4921" s="63" t="s">
        <v>5679</v>
      </c>
      <c r="K4921" s="70">
        <v>43195.0</v>
      </c>
      <c r="L4921" s="63" t="s">
        <v>2743</v>
      </c>
      <c r="M4921" s="63" t="s">
        <v>368</v>
      </c>
      <c r="N4921" s="66"/>
      <c r="O4921" s="51"/>
    </row>
    <row r="4922">
      <c r="A4922" s="56">
        <v>4919.0</v>
      </c>
      <c r="B4922" s="240"/>
      <c r="C4922" s="69" t="s">
        <v>19859</v>
      </c>
      <c r="D4922" s="71"/>
      <c r="E4922" s="68" t="s">
        <v>19860</v>
      </c>
      <c r="F4922" s="76">
        <v>42777.0</v>
      </c>
      <c r="G4922" s="68" t="s">
        <v>19861</v>
      </c>
      <c r="H4922" s="71"/>
      <c r="I4922" s="71"/>
      <c r="J4922" s="87" t="s">
        <v>19862</v>
      </c>
      <c r="K4922" s="76">
        <v>43195.0</v>
      </c>
      <c r="L4922" s="68" t="s">
        <v>2743</v>
      </c>
      <c r="M4922" s="68" t="s">
        <v>143</v>
      </c>
      <c r="N4922" s="66"/>
      <c r="O4922" s="51"/>
    </row>
    <row r="4923">
      <c r="A4923" s="56">
        <v>4920.0</v>
      </c>
      <c r="B4923" s="241"/>
      <c r="C4923" s="64" t="s">
        <v>19863</v>
      </c>
      <c r="D4923" s="66"/>
      <c r="E4923" s="63" t="s">
        <v>19864</v>
      </c>
      <c r="F4923" s="70">
        <v>41978.0</v>
      </c>
      <c r="G4923" s="80" t="s">
        <v>19865</v>
      </c>
      <c r="H4923" s="82"/>
      <c r="I4923" s="66"/>
      <c r="J4923" s="63" t="s">
        <v>5679</v>
      </c>
      <c r="K4923" s="70">
        <v>43195.0</v>
      </c>
      <c r="L4923" s="63" t="s">
        <v>2743</v>
      </c>
      <c r="M4923" s="63" t="s">
        <v>125</v>
      </c>
      <c r="N4923" s="66"/>
      <c r="O4923" s="51"/>
    </row>
    <row r="4924">
      <c r="A4924" s="56">
        <v>4921.0</v>
      </c>
      <c r="B4924" s="240"/>
      <c r="C4924" s="69" t="s">
        <v>19866</v>
      </c>
      <c r="D4924" s="71"/>
      <c r="E4924" s="68" t="s">
        <v>19867</v>
      </c>
      <c r="F4924" s="76">
        <v>43006.0</v>
      </c>
      <c r="G4924" s="68" t="s">
        <v>19868</v>
      </c>
      <c r="H4924" s="71"/>
      <c r="I4924" s="71"/>
      <c r="J4924" s="68" t="s">
        <v>19869</v>
      </c>
      <c r="K4924" s="76">
        <v>43195.0</v>
      </c>
      <c r="L4924" s="68" t="s">
        <v>2743</v>
      </c>
      <c r="M4924" s="68" t="s">
        <v>195</v>
      </c>
      <c r="N4924" s="71"/>
      <c r="O4924" s="51"/>
    </row>
    <row r="4925">
      <c r="A4925" s="56">
        <v>4922.0</v>
      </c>
      <c r="B4925" s="240"/>
      <c r="C4925" s="69" t="s">
        <v>19870</v>
      </c>
      <c r="D4925" s="71"/>
      <c r="E4925" s="68" t="s">
        <v>19871</v>
      </c>
      <c r="F4925" s="76">
        <v>43181.0</v>
      </c>
      <c r="G4925" s="68" t="s">
        <v>19872</v>
      </c>
      <c r="H4925" s="71"/>
      <c r="I4925" s="71"/>
      <c r="J4925" s="68" t="s">
        <v>19873</v>
      </c>
      <c r="K4925" s="76">
        <v>43195.0</v>
      </c>
      <c r="L4925" s="68" t="s">
        <v>2743</v>
      </c>
      <c r="M4925" s="68" t="s">
        <v>31</v>
      </c>
      <c r="N4925" s="71"/>
      <c r="O4925" s="51"/>
    </row>
    <row r="4926">
      <c r="A4926" s="56">
        <v>4923.0</v>
      </c>
      <c r="B4926" s="241"/>
      <c r="C4926" s="64" t="s">
        <v>19874</v>
      </c>
      <c r="D4926" s="66"/>
      <c r="E4926" s="63" t="s">
        <v>19875</v>
      </c>
      <c r="F4926" s="70">
        <v>42260.0</v>
      </c>
      <c r="G4926" s="80" t="s">
        <v>19876</v>
      </c>
      <c r="H4926" s="82"/>
      <c r="I4926" s="63" t="s">
        <v>19877</v>
      </c>
      <c r="J4926" s="63" t="s">
        <v>6393</v>
      </c>
      <c r="K4926" s="70">
        <v>43195.0</v>
      </c>
      <c r="L4926" s="63" t="s">
        <v>2743</v>
      </c>
      <c r="M4926" s="63" t="s">
        <v>125</v>
      </c>
      <c r="N4926" s="66"/>
      <c r="O4926" s="51"/>
    </row>
    <row r="4927">
      <c r="A4927" s="56">
        <v>4924.0</v>
      </c>
      <c r="B4927" s="241"/>
      <c r="C4927" s="64" t="s">
        <v>19878</v>
      </c>
      <c r="D4927" s="66"/>
      <c r="E4927" s="63" t="s">
        <v>19879</v>
      </c>
      <c r="F4927" s="70">
        <v>42552.0</v>
      </c>
      <c r="G4927" s="80" t="s">
        <v>19880</v>
      </c>
      <c r="H4927" s="82"/>
      <c r="I4927" s="66"/>
      <c r="J4927" s="63" t="s">
        <v>5679</v>
      </c>
      <c r="K4927" s="70">
        <v>43195.0</v>
      </c>
      <c r="L4927" s="63" t="s">
        <v>2743</v>
      </c>
      <c r="M4927" s="63" t="s">
        <v>125</v>
      </c>
      <c r="N4927" s="66"/>
      <c r="O4927" s="51"/>
    </row>
    <row r="4928">
      <c r="A4928" s="56">
        <v>4925.0</v>
      </c>
      <c r="B4928" s="241"/>
      <c r="C4928" s="64" t="s">
        <v>19881</v>
      </c>
      <c r="D4928" s="66"/>
      <c r="E4928" s="63" t="s">
        <v>19882</v>
      </c>
      <c r="F4928" s="70">
        <v>40338.0</v>
      </c>
      <c r="G4928" s="80" t="s">
        <v>19883</v>
      </c>
      <c r="H4928" s="82"/>
      <c r="I4928" s="66"/>
      <c r="J4928" s="63" t="s">
        <v>5679</v>
      </c>
      <c r="K4928" s="70">
        <v>43195.0</v>
      </c>
      <c r="L4928" s="63" t="s">
        <v>2743</v>
      </c>
      <c r="M4928" s="63" t="s">
        <v>368</v>
      </c>
      <c r="N4928" s="66"/>
      <c r="O4928" s="51"/>
    </row>
    <row r="4929">
      <c r="A4929" s="56">
        <v>4926.0</v>
      </c>
      <c r="B4929" s="240"/>
      <c r="C4929" s="69" t="s">
        <v>19884</v>
      </c>
      <c r="D4929" s="71"/>
      <c r="E4929" s="68" t="s">
        <v>19885</v>
      </c>
      <c r="F4929" s="76">
        <v>43153.0</v>
      </c>
      <c r="G4929" s="68" t="s">
        <v>19886</v>
      </c>
      <c r="H4929" s="71"/>
      <c r="I4929" s="68" t="s">
        <v>19887</v>
      </c>
      <c r="J4929" s="68" t="s">
        <v>19888</v>
      </c>
      <c r="K4929" s="76">
        <v>43200.0</v>
      </c>
      <c r="L4929" s="68" t="s">
        <v>2743</v>
      </c>
      <c r="M4929" s="68" t="s">
        <v>2152</v>
      </c>
      <c r="N4929" s="71"/>
      <c r="O4929" s="51"/>
    </row>
    <row r="4930">
      <c r="A4930" s="56">
        <v>4927.0</v>
      </c>
      <c r="B4930" s="71"/>
      <c r="C4930" s="68" t="s">
        <v>19889</v>
      </c>
      <c r="D4930" s="71"/>
      <c r="E4930" s="68" t="s">
        <v>19890</v>
      </c>
      <c r="F4930" s="76">
        <v>43153.0</v>
      </c>
      <c r="G4930" s="68" t="s">
        <v>19886</v>
      </c>
      <c r="H4930" s="71"/>
      <c r="I4930" s="71"/>
      <c r="J4930" s="68" t="s">
        <v>19891</v>
      </c>
      <c r="K4930" s="76">
        <v>43200.0</v>
      </c>
      <c r="L4930" s="68" t="s">
        <v>2743</v>
      </c>
      <c r="M4930" s="68" t="s">
        <v>2152</v>
      </c>
      <c r="N4930" s="71"/>
      <c r="O4930" s="51"/>
    </row>
    <row r="4931">
      <c r="A4931" s="56">
        <v>4928.0</v>
      </c>
      <c r="B4931" s="240"/>
      <c r="C4931" s="69" t="s">
        <v>19892</v>
      </c>
      <c r="D4931" s="71"/>
      <c r="E4931" s="68" t="s">
        <v>19893</v>
      </c>
      <c r="F4931" s="76">
        <v>42781.0</v>
      </c>
      <c r="G4931" s="68" t="s">
        <v>19894</v>
      </c>
      <c r="H4931" s="71"/>
      <c r="I4931" s="71"/>
      <c r="J4931" s="68" t="s">
        <v>19895</v>
      </c>
      <c r="K4931" s="76">
        <v>43200.0</v>
      </c>
      <c r="L4931" s="68" t="s">
        <v>2743</v>
      </c>
      <c r="M4931" s="68" t="s">
        <v>149</v>
      </c>
      <c r="N4931" s="71"/>
      <c r="O4931" s="51"/>
    </row>
    <row r="4932">
      <c r="A4932" s="56">
        <v>4929.0</v>
      </c>
      <c r="B4932" s="240"/>
      <c r="C4932" s="69" t="s">
        <v>19896</v>
      </c>
      <c r="D4932" s="71"/>
      <c r="E4932" s="68" t="s">
        <v>19897</v>
      </c>
      <c r="F4932" s="76">
        <v>43186.0</v>
      </c>
      <c r="G4932" s="68" t="s">
        <v>19898</v>
      </c>
      <c r="H4932" s="71"/>
      <c r="I4932" s="71"/>
      <c r="J4932" s="68" t="s">
        <v>19899</v>
      </c>
      <c r="K4932" s="76">
        <v>43200.0</v>
      </c>
      <c r="L4932" s="68" t="s">
        <v>2743</v>
      </c>
      <c r="M4932" s="68" t="s">
        <v>2527</v>
      </c>
      <c r="N4932" s="71"/>
      <c r="O4932" s="51"/>
    </row>
    <row r="4933">
      <c r="A4933" s="56">
        <v>4930.0</v>
      </c>
      <c r="B4933" s="240"/>
      <c r="C4933" s="69" t="s">
        <v>19900</v>
      </c>
      <c r="D4933" s="71"/>
      <c r="E4933" s="68" t="s">
        <v>19901</v>
      </c>
      <c r="F4933" s="76">
        <v>43167.0</v>
      </c>
      <c r="G4933" s="68" t="s">
        <v>19902</v>
      </c>
      <c r="H4933" s="71"/>
      <c r="I4933" s="71"/>
      <c r="J4933" s="68" t="s">
        <v>19903</v>
      </c>
      <c r="K4933" s="76">
        <v>43200.0</v>
      </c>
      <c r="L4933" s="68" t="s">
        <v>2743</v>
      </c>
      <c r="M4933" s="68" t="s">
        <v>2527</v>
      </c>
      <c r="N4933" s="71"/>
      <c r="O4933" s="51"/>
    </row>
    <row r="4934">
      <c r="A4934" s="56">
        <v>4931.0</v>
      </c>
      <c r="B4934" s="240"/>
      <c r="C4934" s="69" t="s">
        <v>19904</v>
      </c>
      <c r="D4934" s="71"/>
      <c r="E4934" s="68" t="s">
        <v>19905</v>
      </c>
      <c r="F4934" s="76">
        <v>43167.0</v>
      </c>
      <c r="G4934" s="68" t="s">
        <v>19906</v>
      </c>
      <c r="H4934" s="71"/>
      <c r="I4934" s="71"/>
      <c r="J4934" s="68" t="s">
        <v>19907</v>
      </c>
      <c r="K4934" s="76">
        <v>43200.0</v>
      </c>
      <c r="L4934" s="68" t="s">
        <v>2743</v>
      </c>
      <c r="M4934" s="68" t="s">
        <v>2527</v>
      </c>
      <c r="N4934" s="71"/>
      <c r="O4934" s="51"/>
    </row>
    <row r="4935">
      <c r="A4935" s="56">
        <v>4932.0</v>
      </c>
      <c r="B4935" s="240"/>
      <c r="C4935" s="69" t="s">
        <v>19908</v>
      </c>
      <c r="D4935" s="71"/>
      <c r="E4935" s="68" t="s">
        <v>19909</v>
      </c>
      <c r="F4935" s="83">
        <v>43024.0</v>
      </c>
      <c r="G4935" s="68" t="s">
        <v>19910</v>
      </c>
      <c r="H4935" s="71"/>
      <c r="I4935" s="71"/>
      <c r="J4935" s="68" t="s">
        <v>19911</v>
      </c>
      <c r="K4935" s="76">
        <v>43200.0</v>
      </c>
      <c r="L4935" s="68" t="s">
        <v>2743</v>
      </c>
      <c r="M4935" s="68" t="s">
        <v>125</v>
      </c>
      <c r="N4935" s="66"/>
      <c r="O4935" s="51"/>
    </row>
    <row r="4936">
      <c r="A4936" s="56">
        <v>4933.0</v>
      </c>
      <c r="B4936" s="240"/>
      <c r="C4936" s="69" t="s">
        <v>19912</v>
      </c>
      <c r="D4936" s="71"/>
      <c r="E4936" s="68" t="s">
        <v>19913</v>
      </c>
      <c r="F4936" s="76">
        <v>42276.0</v>
      </c>
      <c r="G4936" s="68" t="s">
        <v>19914</v>
      </c>
      <c r="H4936" s="71"/>
      <c r="I4936" s="71"/>
      <c r="J4936" s="68" t="s">
        <v>19915</v>
      </c>
      <c r="K4936" s="76">
        <v>43200.0</v>
      </c>
      <c r="L4936" s="68" t="s">
        <v>2743</v>
      </c>
      <c r="M4936" s="68" t="s">
        <v>195</v>
      </c>
      <c r="N4936" s="71"/>
      <c r="O4936" s="51"/>
    </row>
    <row r="4937">
      <c r="A4937" s="56">
        <v>4934.0</v>
      </c>
      <c r="B4937" s="240"/>
      <c r="C4937" s="69" t="s">
        <v>19916</v>
      </c>
      <c r="D4937" s="71"/>
      <c r="E4937" s="68" t="s">
        <v>19917</v>
      </c>
      <c r="F4937" s="76">
        <v>40452.0</v>
      </c>
      <c r="G4937" s="68" t="s">
        <v>19918</v>
      </c>
      <c r="H4937" s="71"/>
      <c r="I4937" s="71"/>
      <c r="J4937" s="68" t="s">
        <v>19919</v>
      </c>
      <c r="K4937" s="76">
        <v>43200.0</v>
      </c>
      <c r="L4937" s="68" t="s">
        <v>2743</v>
      </c>
      <c r="M4937" s="68" t="s">
        <v>530</v>
      </c>
      <c r="N4937" s="71"/>
      <c r="O4937" s="51"/>
    </row>
    <row r="4938">
      <c r="A4938" s="56">
        <v>4935.0</v>
      </c>
      <c r="B4938" s="240"/>
      <c r="C4938" s="69" t="s">
        <v>19920</v>
      </c>
      <c r="D4938" s="71"/>
      <c r="E4938" s="68" t="s">
        <v>19921</v>
      </c>
      <c r="F4938" s="76">
        <v>42917.0</v>
      </c>
      <c r="G4938" s="68" t="s">
        <v>19922</v>
      </c>
      <c r="H4938" s="71"/>
      <c r="I4938" s="68" t="s">
        <v>19295</v>
      </c>
      <c r="J4938" s="68" t="s">
        <v>19923</v>
      </c>
      <c r="K4938" s="76">
        <v>43200.0</v>
      </c>
      <c r="L4938" s="68" t="s">
        <v>2743</v>
      </c>
      <c r="M4938" s="68" t="s">
        <v>195</v>
      </c>
      <c r="N4938" s="71"/>
      <c r="O4938" s="51"/>
    </row>
    <row r="4939">
      <c r="A4939" s="56">
        <v>4936.0</v>
      </c>
      <c r="B4939" s="241"/>
      <c r="C4939" s="64" t="s">
        <v>19924</v>
      </c>
      <c r="D4939" s="66"/>
      <c r="E4939" s="63" t="s">
        <v>19925</v>
      </c>
      <c r="F4939" s="70">
        <v>42863.0</v>
      </c>
      <c r="G4939" s="80" t="s">
        <v>19926</v>
      </c>
      <c r="H4939" s="82"/>
      <c r="I4939" s="66"/>
      <c r="J4939" s="63" t="s">
        <v>7523</v>
      </c>
      <c r="K4939" s="70">
        <v>43200.0</v>
      </c>
      <c r="L4939" s="63" t="s">
        <v>2743</v>
      </c>
      <c r="M4939" s="63" t="s">
        <v>1664</v>
      </c>
      <c r="N4939" s="193" t="s">
        <v>18319</v>
      </c>
      <c r="O4939" s="51"/>
    </row>
    <row r="4940">
      <c r="A4940" s="56">
        <v>4937.0</v>
      </c>
      <c r="B4940" s="241"/>
      <c r="C4940" s="64" t="s">
        <v>19927</v>
      </c>
      <c r="D4940" s="66"/>
      <c r="E4940" s="63" t="s">
        <v>19928</v>
      </c>
      <c r="F4940" s="65">
        <v>41927.0</v>
      </c>
      <c r="G4940" s="80" t="s">
        <v>19929</v>
      </c>
      <c r="H4940" s="80" t="s">
        <v>19930</v>
      </c>
      <c r="I4940" s="66"/>
      <c r="J4940" s="63" t="s">
        <v>5679</v>
      </c>
      <c r="K4940" s="70">
        <v>43200.0</v>
      </c>
      <c r="L4940" s="63" t="s">
        <v>2743</v>
      </c>
      <c r="M4940" s="63" t="s">
        <v>125</v>
      </c>
      <c r="N4940" s="88" t="s">
        <v>19931</v>
      </c>
      <c r="O4940" s="51"/>
    </row>
    <row r="4941">
      <c r="A4941" s="56">
        <v>4938.0</v>
      </c>
      <c r="B4941" s="240"/>
      <c r="C4941" s="69" t="s">
        <v>19932</v>
      </c>
      <c r="D4941" s="71"/>
      <c r="E4941" s="68" t="s">
        <v>19933</v>
      </c>
      <c r="F4941" s="76">
        <v>42836.0</v>
      </c>
      <c r="G4941" s="68" t="s">
        <v>19934</v>
      </c>
      <c r="H4941" s="71"/>
      <c r="I4941" s="71"/>
      <c r="J4941" s="68" t="s">
        <v>19935</v>
      </c>
      <c r="K4941" s="76">
        <v>43200.0</v>
      </c>
      <c r="L4941" s="68" t="s">
        <v>2743</v>
      </c>
      <c r="M4941" s="68" t="s">
        <v>195</v>
      </c>
      <c r="N4941" s="71"/>
      <c r="O4941" s="51"/>
    </row>
    <row r="4942">
      <c r="A4942" s="56">
        <v>4939.0</v>
      </c>
      <c r="B4942" s="240"/>
      <c r="C4942" s="69" t="s">
        <v>19936</v>
      </c>
      <c r="D4942" s="71"/>
      <c r="E4942" s="68" t="s">
        <v>19937</v>
      </c>
      <c r="F4942" s="76">
        <v>41285.0</v>
      </c>
      <c r="G4942" s="68" t="s">
        <v>19938</v>
      </c>
      <c r="H4942" s="71"/>
      <c r="I4942" s="71"/>
      <c r="J4942" s="68" t="s">
        <v>19939</v>
      </c>
      <c r="K4942" s="76">
        <v>43200.0</v>
      </c>
      <c r="L4942" s="68" t="s">
        <v>2743</v>
      </c>
      <c r="M4942" s="68" t="s">
        <v>2466</v>
      </c>
      <c r="N4942" s="71"/>
      <c r="O4942" s="51"/>
    </row>
    <row r="4943">
      <c r="A4943" s="56">
        <v>4940.0</v>
      </c>
      <c r="B4943" s="241"/>
      <c r="C4943" s="64" t="s">
        <v>19940</v>
      </c>
      <c r="D4943" s="66"/>
      <c r="E4943" s="63" t="s">
        <v>19941</v>
      </c>
      <c r="F4943" s="70">
        <v>41981.0</v>
      </c>
      <c r="G4943" s="80" t="s">
        <v>19942</v>
      </c>
      <c r="H4943" s="80" t="s">
        <v>19943</v>
      </c>
      <c r="I4943" s="63" t="s">
        <v>19944</v>
      </c>
      <c r="J4943" s="63" t="s">
        <v>5679</v>
      </c>
      <c r="K4943" s="70">
        <v>43200.0</v>
      </c>
      <c r="L4943" s="63" t="s">
        <v>2743</v>
      </c>
      <c r="M4943" s="63" t="s">
        <v>872</v>
      </c>
      <c r="N4943" s="66"/>
      <c r="O4943" s="51"/>
    </row>
    <row r="4944">
      <c r="A4944" s="56">
        <v>4941.0</v>
      </c>
      <c r="B4944" s="240"/>
      <c r="C4944" s="69" t="s">
        <v>19945</v>
      </c>
      <c r="D4944" s="71"/>
      <c r="E4944" s="68" t="s">
        <v>19946</v>
      </c>
      <c r="F4944" s="76">
        <v>42802.0</v>
      </c>
      <c r="G4944" s="68" t="s">
        <v>19947</v>
      </c>
      <c r="H4944" s="71"/>
      <c r="I4944" s="71"/>
      <c r="J4944" s="68" t="s">
        <v>19948</v>
      </c>
      <c r="K4944" s="76">
        <v>43200.0</v>
      </c>
      <c r="L4944" s="68" t="s">
        <v>2743</v>
      </c>
      <c r="M4944" s="68" t="s">
        <v>31</v>
      </c>
      <c r="N4944" s="71"/>
      <c r="O4944" s="51"/>
    </row>
    <row r="4945">
      <c r="A4945" s="56">
        <v>4942.0</v>
      </c>
      <c r="B4945" s="240"/>
      <c r="C4945" s="69" t="s">
        <v>19949</v>
      </c>
      <c r="D4945" s="71"/>
      <c r="E4945" s="68" t="s">
        <v>19950</v>
      </c>
      <c r="F4945" s="76">
        <v>42552.0</v>
      </c>
      <c r="G4945" s="68" t="s">
        <v>19951</v>
      </c>
      <c r="H4945" s="71"/>
      <c r="I4945" s="71"/>
      <c r="J4945" s="68" t="s">
        <v>19952</v>
      </c>
      <c r="K4945" s="76">
        <v>43200.0</v>
      </c>
      <c r="L4945" s="68" t="s">
        <v>2743</v>
      </c>
      <c r="M4945" s="68" t="s">
        <v>125</v>
      </c>
      <c r="N4945" s="71"/>
      <c r="O4945" s="51"/>
    </row>
    <row r="4946">
      <c r="A4946" s="75">
        <v>4943.0</v>
      </c>
      <c r="B4946" s="240"/>
      <c r="C4946" s="69" t="s">
        <v>19953</v>
      </c>
      <c r="D4946" s="71"/>
      <c r="E4946" s="68" t="s">
        <v>19954</v>
      </c>
      <c r="F4946" s="76">
        <v>41787.0</v>
      </c>
      <c r="G4946" s="68" t="s">
        <v>19955</v>
      </c>
      <c r="H4946" s="71"/>
      <c r="I4946" s="71"/>
      <c r="J4946" s="68" t="s">
        <v>19956</v>
      </c>
      <c r="K4946" s="76">
        <v>43200.0</v>
      </c>
      <c r="L4946" s="68" t="s">
        <v>2743</v>
      </c>
      <c r="M4946" s="68" t="s">
        <v>125</v>
      </c>
      <c r="N4946" s="71"/>
      <c r="O4946" s="51"/>
    </row>
    <row r="4947">
      <c r="A4947" s="56">
        <v>4944.0</v>
      </c>
      <c r="B4947" s="240"/>
      <c r="C4947" s="69" t="s">
        <v>19957</v>
      </c>
      <c r="D4947" s="71"/>
      <c r="E4947" s="68" t="s">
        <v>19958</v>
      </c>
      <c r="F4947" s="76">
        <v>42522.0</v>
      </c>
      <c r="G4947" s="68" t="s">
        <v>19959</v>
      </c>
      <c r="H4947" s="71"/>
      <c r="I4947" s="71"/>
      <c r="J4947" s="87" t="s">
        <v>19960</v>
      </c>
      <c r="K4947" s="76">
        <v>43200.0</v>
      </c>
      <c r="L4947" s="68" t="s">
        <v>2743</v>
      </c>
      <c r="M4947" s="68" t="s">
        <v>195</v>
      </c>
      <c r="N4947" s="71"/>
      <c r="O4947" s="51"/>
    </row>
    <row r="4948">
      <c r="A4948" s="56">
        <v>4945.0</v>
      </c>
      <c r="B4948" s="240"/>
      <c r="C4948" s="69" t="s">
        <v>19961</v>
      </c>
      <c r="D4948" s="71"/>
      <c r="E4948" s="68" t="s">
        <v>19962</v>
      </c>
      <c r="F4948" s="76">
        <v>41842.0</v>
      </c>
      <c r="G4948" s="68" t="s">
        <v>19963</v>
      </c>
      <c r="H4948" s="71"/>
      <c r="I4948" s="71"/>
      <c r="J4948" s="68" t="s">
        <v>19964</v>
      </c>
      <c r="K4948" s="76">
        <v>43200.0</v>
      </c>
      <c r="L4948" s="68" t="s">
        <v>2743</v>
      </c>
      <c r="M4948" s="68" t="s">
        <v>15789</v>
      </c>
      <c r="N4948" s="71"/>
      <c r="O4948" s="51"/>
    </row>
    <row r="4949">
      <c r="A4949" s="56">
        <v>4946.0</v>
      </c>
      <c r="B4949" s="241"/>
      <c r="C4949" s="64" t="s">
        <v>19965</v>
      </c>
      <c r="D4949" s="66"/>
      <c r="E4949" s="63" t="s">
        <v>19966</v>
      </c>
      <c r="F4949" s="70">
        <v>40076.0</v>
      </c>
      <c r="G4949" s="80" t="s">
        <v>19967</v>
      </c>
      <c r="H4949" s="82"/>
      <c r="I4949" s="66"/>
      <c r="J4949" s="63" t="s">
        <v>5679</v>
      </c>
      <c r="K4949" s="70">
        <v>43200.0</v>
      </c>
      <c r="L4949" s="63" t="s">
        <v>2743</v>
      </c>
      <c r="M4949" s="63" t="s">
        <v>530</v>
      </c>
      <c r="N4949" s="66"/>
      <c r="O4949" s="51"/>
    </row>
    <row r="4950">
      <c r="A4950" s="56">
        <v>4947.0</v>
      </c>
      <c r="B4950" s="240"/>
      <c r="C4950" s="69" t="s">
        <v>19968</v>
      </c>
      <c r="D4950" s="71"/>
      <c r="E4950" s="68" t="s">
        <v>19969</v>
      </c>
      <c r="F4950" s="76">
        <v>43184.0</v>
      </c>
      <c r="G4950" s="68" t="s">
        <v>19970</v>
      </c>
      <c r="H4950" s="71"/>
      <c r="I4950" s="71"/>
      <c r="J4950" s="68" t="s">
        <v>19971</v>
      </c>
      <c r="K4950" s="76">
        <v>43200.0</v>
      </c>
      <c r="L4950" s="68" t="s">
        <v>2743</v>
      </c>
      <c r="M4950" s="68" t="s">
        <v>2989</v>
      </c>
      <c r="N4950" s="71"/>
      <c r="O4950" s="51"/>
    </row>
    <row r="4951">
      <c r="A4951" s="56">
        <v>4948.0</v>
      </c>
      <c r="B4951" s="240"/>
      <c r="C4951" s="69" t="s">
        <v>19972</v>
      </c>
      <c r="D4951" s="71"/>
      <c r="E4951" s="68" t="s">
        <v>19973</v>
      </c>
      <c r="F4951" s="76">
        <v>42919.0</v>
      </c>
      <c r="G4951" s="68" t="s">
        <v>19974</v>
      </c>
      <c r="H4951" s="71"/>
      <c r="I4951" s="71"/>
      <c r="J4951" s="87" t="s">
        <v>19975</v>
      </c>
      <c r="K4951" s="76">
        <v>43202.0</v>
      </c>
      <c r="L4951" s="68" t="s">
        <v>13810</v>
      </c>
      <c r="M4951" s="68" t="s">
        <v>201</v>
      </c>
      <c r="N4951" s="71"/>
      <c r="O4951" s="51"/>
    </row>
    <row r="4952">
      <c r="A4952" s="56">
        <v>4949.0</v>
      </c>
      <c r="B4952" s="240"/>
      <c r="C4952" s="69" t="s">
        <v>19976</v>
      </c>
      <c r="D4952" s="71"/>
      <c r="E4952" s="68" t="s">
        <v>19977</v>
      </c>
      <c r="F4952" s="76">
        <v>40639.0</v>
      </c>
      <c r="G4952" s="68" t="s">
        <v>19978</v>
      </c>
      <c r="H4952" s="71"/>
      <c r="I4952" s="71"/>
      <c r="J4952" s="68" t="s">
        <v>19979</v>
      </c>
      <c r="K4952" s="76">
        <v>43202.0</v>
      </c>
      <c r="L4952" s="68" t="s">
        <v>2743</v>
      </c>
      <c r="M4952" s="68" t="s">
        <v>166</v>
      </c>
      <c r="N4952" s="66"/>
      <c r="O4952" s="51"/>
    </row>
    <row r="4953">
      <c r="A4953" s="56">
        <v>4950.0</v>
      </c>
      <c r="B4953" s="240"/>
      <c r="C4953" s="69" t="s">
        <v>19980</v>
      </c>
      <c r="D4953" s="71"/>
      <c r="E4953" s="68" t="s">
        <v>19981</v>
      </c>
      <c r="F4953" s="76">
        <v>43138.0</v>
      </c>
      <c r="G4953" s="68" t="s">
        <v>19982</v>
      </c>
      <c r="H4953" s="71"/>
      <c r="I4953" s="71"/>
      <c r="J4953" s="68" t="s">
        <v>19983</v>
      </c>
      <c r="K4953" s="76">
        <v>43202.0</v>
      </c>
      <c r="L4953" s="68" t="s">
        <v>2743</v>
      </c>
      <c r="M4953" s="68" t="s">
        <v>149</v>
      </c>
      <c r="N4953" s="71"/>
      <c r="O4953" s="51"/>
    </row>
    <row r="4954">
      <c r="A4954" s="56">
        <v>4951.0</v>
      </c>
      <c r="B4954" s="240"/>
      <c r="C4954" s="69" t="s">
        <v>19984</v>
      </c>
      <c r="D4954" s="71"/>
      <c r="E4954" s="68" t="s">
        <v>19985</v>
      </c>
      <c r="F4954" s="76">
        <v>43010.0</v>
      </c>
      <c r="G4954" s="68" t="s">
        <v>19986</v>
      </c>
      <c r="H4954" s="71"/>
      <c r="I4954" s="71"/>
      <c r="J4954" s="68" t="s">
        <v>19987</v>
      </c>
      <c r="K4954" s="76">
        <v>43206.0</v>
      </c>
      <c r="L4954" s="68" t="s">
        <v>2743</v>
      </c>
      <c r="M4954" s="68" t="s">
        <v>166</v>
      </c>
      <c r="N4954" s="71"/>
      <c r="O4954" s="51"/>
    </row>
    <row r="4955">
      <c r="A4955" s="56">
        <v>4952.0</v>
      </c>
      <c r="B4955" s="241"/>
      <c r="C4955" s="64" t="s">
        <v>19988</v>
      </c>
      <c r="D4955" s="66"/>
      <c r="E4955" s="63" t="s">
        <v>19989</v>
      </c>
      <c r="F4955" s="70">
        <v>41135.0</v>
      </c>
      <c r="G4955" s="80" t="s">
        <v>19990</v>
      </c>
      <c r="H4955" s="82"/>
      <c r="I4955" s="66"/>
      <c r="J4955" s="63" t="s">
        <v>6393</v>
      </c>
      <c r="K4955" s="70">
        <v>43206.0</v>
      </c>
      <c r="L4955" s="63" t="s">
        <v>2743</v>
      </c>
      <c r="M4955" s="63" t="s">
        <v>195</v>
      </c>
      <c r="N4955" s="66"/>
      <c r="O4955" s="51"/>
    </row>
    <row r="4956">
      <c r="A4956" s="56">
        <v>4953.0</v>
      </c>
      <c r="B4956" s="240"/>
      <c r="C4956" s="69" t="s">
        <v>19991</v>
      </c>
      <c r="D4956" s="71"/>
      <c r="E4956" s="68" t="s">
        <v>19992</v>
      </c>
      <c r="F4956" s="76">
        <v>43148.0</v>
      </c>
      <c r="G4956" s="68" t="s">
        <v>19993</v>
      </c>
      <c r="H4956" s="71"/>
      <c r="I4956" s="68" t="s">
        <v>19994</v>
      </c>
      <c r="J4956" s="68" t="s">
        <v>19995</v>
      </c>
      <c r="K4956" s="76">
        <v>43206.0</v>
      </c>
      <c r="L4956" s="68" t="s">
        <v>2743</v>
      </c>
      <c r="M4956" s="68" t="s">
        <v>1664</v>
      </c>
      <c r="N4956" s="71"/>
      <c r="O4956" s="51"/>
    </row>
    <row r="4957">
      <c r="A4957" s="56">
        <v>4954.0</v>
      </c>
      <c r="B4957" s="240"/>
      <c r="C4957" s="69" t="s">
        <v>19996</v>
      </c>
      <c r="D4957" s="71"/>
      <c r="E4957" s="68" t="s">
        <v>19997</v>
      </c>
      <c r="F4957" s="76">
        <v>41539.0</v>
      </c>
      <c r="G4957" s="68" t="s">
        <v>19998</v>
      </c>
      <c r="H4957" s="71"/>
      <c r="I4957" s="68" t="s">
        <v>19999</v>
      </c>
      <c r="J4957" s="68" t="s">
        <v>20000</v>
      </c>
      <c r="K4957" s="76">
        <v>43206.0</v>
      </c>
      <c r="L4957" s="68" t="s">
        <v>2743</v>
      </c>
      <c r="M4957" s="68" t="s">
        <v>530</v>
      </c>
      <c r="N4957" s="71"/>
      <c r="O4957" s="51"/>
    </row>
    <row r="4958">
      <c r="A4958" s="56">
        <v>4955.0</v>
      </c>
      <c r="B4958" s="240"/>
      <c r="C4958" s="69" t="s">
        <v>20001</v>
      </c>
      <c r="D4958" s="71"/>
      <c r="E4958" s="68" t="s">
        <v>20002</v>
      </c>
      <c r="F4958" s="76">
        <v>43199.0</v>
      </c>
      <c r="G4958" s="68" t="s">
        <v>20003</v>
      </c>
      <c r="H4958" s="71"/>
      <c r="I4958" s="71"/>
      <c r="J4958" s="68" t="s">
        <v>20004</v>
      </c>
      <c r="K4958" s="76">
        <v>43206.0</v>
      </c>
      <c r="L4958" s="68" t="s">
        <v>2743</v>
      </c>
      <c r="M4958" s="68" t="s">
        <v>166</v>
      </c>
      <c r="N4958" s="71"/>
      <c r="O4958" s="51"/>
    </row>
    <row r="4959">
      <c r="A4959" s="56">
        <v>4956.0</v>
      </c>
      <c r="B4959" s="240"/>
      <c r="C4959" s="69" t="s">
        <v>20005</v>
      </c>
      <c r="D4959" s="71"/>
      <c r="E4959" s="68" t="s">
        <v>20006</v>
      </c>
      <c r="F4959" s="76">
        <v>42461.0</v>
      </c>
      <c r="G4959" s="68" t="s">
        <v>20007</v>
      </c>
      <c r="H4959" s="71"/>
      <c r="I4959" s="68" t="s">
        <v>20008</v>
      </c>
      <c r="J4959" s="68" t="s">
        <v>20009</v>
      </c>
      <c r="K4959" s="76">
        <v>43206.0</v>
      </c>
      <c r="L4959" s="68" t="s">
        <v>2743</v>
      </c>
      <c r="M4959" s="68" t="s">
        <v>5537</v>
      </c>
      <c r="N4959" s="71"/>
      <c r="O4959" s="51"/>
    </row>
    <row r="4960">
      <c r="A4960" s="56">
        <v>4957.0</v>
      </c>
      <c r="B4960" s="240"/>
      <c r="C4960" s="69" t="s">
        <v>20010</v>
      </c>
      <c r="D4960" s="71"/>
      <c r="E4960" s="68" t="s">
        <v>20011</v>
      </c>
      <c r="F4960" s="76">
        <v>42461.0</v>
      </c>
      <c r="G4960" s="68" t="s">
        <v>20007</v>
      </c>
      <c r="H4960" s="71"/>
      <c r="I4960" s="71"/>
      <c r="J4960" s="68" t="s">
        <v>20012</v>
      </c>
      <c r="K4960" s="76">
        <v>43206.0</v>
      </c>
      <c r="L4960" s="68" t="s">
        <v>2743</v>
      </c>
      <c r="M4960" s="68" t="s">
        <v>5537</v>
      </c>
      <c r="N4960" s="71"/>
      <c r="O4960" s="51"/>
    </row>
    <row r="4961">
      <c r="A4961" s="75">
        <v>4958.0</v>
      </c>
      <c r="B4961" s="240"/>
      <c r="C4961" s="69" t="s">
        <v>20013</v>
      </c>
      <c r="D4961" s="71"/>
      <c r="E4961" s="68" t="s">
        <v>20014</v>
      </c>
      <c r="F4961" s="76">
        <v>43125.0</v>
      </c>
      <c r="G4961" s="68" t="s">
        <v>20015</v>
      </c>
      <c r="H4961" s="71"/>
      <c r="I4961" s="68" t="s">
        <v>20016</v>
      </c>
      <c r="J4961" s="68" t="s">
        <v>20017</v>
      </c>
      <c r="K4961" s="76">
        <v>43206.0</v>
      </c>
      <c r="L4961" s="68" t="s">
        <v>2743</v>
      </c>
      <c r="M4961" s="68" t="s">
        <v>3714</v>
      </c>
      <c r="N4961" s="71"/>
      <c r="O4961" s="51"/>
    </row>
    <row r="4962">
      <c r="A4962" s="56">
        <v>4959.0</v>
      </c>
      <c r="B4962" s="240"/>
      <c r="C4962" s="69" t="s">
        <v>20018</v>
      </c>
      <c r="D4962" s="71"/>
      <c r="E4962" s="68" t="s">
        <v>20019</v>
      </c>
      <c r="F4962" s="76">
        <v>43136.0</v>
      </c>
      <c r="G4962" s="68" t="s">
        <v>20020</v>
      </c>
      <c r="H4962" s="71"/>
      <c r="I4962" s="71"/>
      <c r="J4962" s="68" t="s">
        <v>20021</v>
      </c>
      <c r="K4962" s="76">
        <v>43208.0</v>
      </c>
      <c r="L4962" s="68" t="s">
        <v>2743</v>
      </c>
      <c r="M4962" s="68" t="s">
        <v>2527</v>
      </c>
      <c r="N4962" s="71"/>
      <c r="O4962" s="51"/>
    </row>
    <row r="4963">
      <c r="A4963" s="56">
        <v>4960.0</v>
      </c>
      <c r="B4963" s="240"/>
      <c r="C4963" s="69" t="s">
        <v>20022</v>
      </c>
      <c r="D4963" s="71"/>
      <c r="E4963" s="68" t="s">
        <v>20023</v>
      </c>
      <c r="F4963" s="76">
        <v>42153.0</v>
      </c>
      <c r="G4963" s="68" t="s">
        <v>20024</v>
      </c>
      <c r="H4963" s="71"/>
      <c r="I4963" s="71"/>
      <c r="J4963" s="68" t="s">
        <v>20025</v>
      </c>
      <c r="K4963" s="76">
        <v>43208.0</v>
      </c>
      <c r="L4963" s="68" t="s">
        <v>2743</v>
      </c>
      <c r="M4963" s="68" t="s">
        <v>12947</v>
      </c>
      <c r="N4963" s="66"/>
      <c r="O4963" s="51"/>
    </row>
    <row r="4964">
      <c r="A4964" s="56">
        <v>4961.0</v>
      </c>
      <c r="B4964" s="241"/>
      <c r="C4964" s="64" t="s">
        <v>20026</v>
      </c>
      <c r="D4964" s="66"/>
      <c r="E4964" s="63" t="s">
        <v>20027</v>
      </c>
      <c r="F4964" s="70">
        <v>39995.0</v>
      </c>
      <c r="G4964" s="80" t="s">
        <v>20028</v>
      </c>
      <c r="H4964" s="82"/>
      <c r="I4964" s="63" t="s">
        <v>20029</v>
      </c>
      <c r="J4964" s="63" t="s">
        <v>5679</v>
      </c>
      <c r="K4964" s="70">
        <v>43208.0</v>
      </c>
      <c r="L4964" s="63" t="s">
        <v>2743</v>
      </c>
      <c r="M4964" s="63" t="s">
        <v>530</v>
      </c>
      <c r="N4964" s="66"/>
      <c r="O4964" s="51"/>
    </row>
    <row r="4965">
      <c r="A4965" s="56">
        <v>4962.0</v>
      </c>
      <c r="B4965" s="240"/>
      <c r="C4965" s="69" t="s">
        <v>20030</v>
      </c>
      <c r="D4965" s="71"/>
      <c r="E4965" s="68" t="s">
        <v>20031</v>
      </c>
      <c r="F4965" s="76">
        <v>41456.0</v>
      </c>
      <c r="G4965" s="68" t="s">
        <v>20032</v>
      </c>
      <c r="H4965" s="71"/>
      <c r="I4965" s="71"/>
      <c r="J4965" s="68" t="s">
        <v>20033</v>
      </c>
      <c r="K4965" s="76">
        <v>43208.0</v>
      </c>
      <c r="L4965" s="68" t="s">
        <v>2743</v>
      </c>
      <c r="M4965" s="68" t="s">
        <v>941</v>
      </c>
      <c r="N4965" s="71"/>
      <c r="O4965" s="51"/>
    </row>
    <row r="4966">
      <c r="A4966" s="56">
        <v>4963.0</v>
      </c>
      <c r="B4966" s="240"/>
      <c r="C4966" s="69" t="s">
        <v>20034</v>
      </c>
      <c r="D4966" s="71"/>
      <c r="E4966" s="68" t="s">
        <v>20035</v>
      </c>
      <c r="F4966" s="76">
        <v>43172.0</v>
      </c>
      <c r="G4966" s="68" t="s">
        <v>20036</v>
      </c>
      <c r="H4966" s="71"/>
      <c r="I4966" s="71"/>
      <c r="J4966" s="68" t="s">
        <v>20037</v>
      </c>
      <c r="K4966" s="76">
        <v>43208.0</v>
      </c>
      <c r="L4966" s="68" t="s">
        <v>14256</v>
      </c>
      <c r="M4966" s="68" t="s">
        <v>27</v>
      </c>
      <c r="N4966" s="71"/>
      <c r="O4966" s="51"/>
    </row>
    <row r="4967">
      <c r="A4967" s="56">
        <v>4964.0</v>
      </c>
      <c r="B4967" s="241"/>
      <c r="C4967" s="64" t="s">
        <v>20038</v>
      </c>
      <c r="D4967" s="66"/>
      <c r="E4967" s="63" t="s">
        <v>20039</v>
      </c>
      <c r="F4967" s="70">
        <v>42781.0</v>
      </c>
      <c r="G4967" s="80" t="s">
        <v>20040</v>
      </c>
      <c r="H4967" s="82"/>
      <c r="I4967" s="66"/>
      <c r="J4967" s="63" t="s">
        <v>7523</v>
      </c>
      <c r="K4967" s="70">
        <v>43208.0</v>
      </c>
      <c r="L4967" s="63" t="s">
        <v>2743</v>
      </c>
      <c r="M4967" s="63" t="s">
        <v>18777</v>
      </c>
      <c r="N4967" s="66"/>
      <c r="O4967" s="51"/>
    </row>
    <row r="4968">
      <c r="A4968" s="56">
        <v>4965.0</v>
      </c>
      <c r="B4968" s="240"/>
      <c r="C4968" s="69" t="s">
        <v>20041</v>
      </c>
      <c r="D4968" s="71"/>
      <c r="E4968" s="68" t="s">
        <v>20042</v>
      </c>
      <c r="F4968" s="76">
        <v>42983.0</v>
      </c>
      <c r="G4968" s="68" t="s">
        <v>20043</v>
      </c>
      <c r="H4968" s="71"/>
      <c r="I4968" s="71"/>
      <c r="J4968" s="68" t="s">
        <v>20044</v>
      </c>
      <c r="K4968" s="76">
        <v>43208.0</v>
      </c>
      <c r="L4968" s="68" t="s">
        <v>2743</v>
      </c>
      <c r="M4968" s="68" t="s">
        <v>166</v>
      </c>
      <c r="N4968" s="71"/>
      <c r="O4968" s="51"/>
    </row>
    <row r="4969">
      <c r="A4969" s="56">
        <v>4966.0</v>
      </c>
      <c r="B4969" s="240"/>
      <c r="C4969" s="69" t="s">
        <v>20045</v>
      </c>
      <c r="D4969" s="71"/>
      <c r="E4969" s="68" t="s">
        <v>20046</v>
      </c>
      <c r="F4969" s="76">
        <v>42949.0</v>
      </c>
      <c r="G4969" s="68" t="s">
        <v>20047</v>
      </c>
      <c r="H4969" s="71"/>
      <c r="I4969" s="71"/>
      <c r="J4969" s="68" t="s">
        <v>20048</v>
      </c>
      <c r="K4969" s="76">
        <v>43209.0</v>
      </c>
      <c r="L4969" s="68" t="s">
        <v>2743</v>
      </c>
      <c r="M4969" s="68" t="s">
        <v>166</v>
      </c>
      <c r="N4969" s="71"/>
      <c r="O4969" s="51"/>
    </row>
    <row r="4970">
      <c r="A4970" s="56">
        <v>4967.0</v>
      </c>
      <c r="B4970" s="241"/>
      <c r="C4970" s="64" t="s">
        <v>20049</v>
      </c>
      <c r="D4970" s="66"/>
      <c r="E4970" s="63" t="s">
        <v>20050</v>
      </c>
      <c r="F4970" s="70">
        <v>41275.0</v>
      </c>
      <c r="G4970" s="80" t="s">
        <v>20051</v>
      </c>
      <c r="H4970" s="82"/>
      <c r="I4970" s="66"/>
      <c r="J4970" s="63" t="s">
        <v>5653</v>
      </c>
      <c r="K4970" s="70">
        <v>43209.0</v>
      </c>
      <c r="L4970" s="63" t="s">
        <v>20052</v>
      </c>
      <c r="M4970" s="63" t="s">
        <v>166</v>
      </c>
      <c r="N4970" s="66"/>
      <c r="O4970" s="51"/>
    </row>
    <row r="4971">
      <c r="A4971" s="56">
        <v>4968.0</v>
      </c>
      <c r="B4971" s="241"/>
      <c r="C4971" s="64" t="s">
        <v>20053</v>
      </c>
      <c r="D4971" s="66"/>
      <c r="E4971" s="63" t="s">
        <v>20054</v>
      </c>
      <c r="F4971" s="70">
        <v>41465.0</v>
      </c>
      <c r="G4971" s="80" t="s">
        <v>20055</v>
      </c>
      <c r="H4971" s="82"/>
      <c r="I4971" s="66"/>
      <c r="J4971" s="63" t="s">
        <v>5653</v>
      </c>
      <c r="K4971" s="70">
        <v>43209.0</v>
      </c>
      <c r="L4971" s="63" t="s">
        <v>20052</v>
      </c>
      <c r="M4971" s="63" t="s">
        <v>166</v>
      </c>
      <c r="N4971" s="66"/>
      <c r="O4971" s="51"/>
    </row>
    <row r="4972">
      <c r="A4972" s="56">
        <v>4969.0</v>
      </c>
      <c r="B4972" s="241"/>
      <c r="C4972" s="64" t="s">
        <v>20056</v>
      </c>
      <c r="D4972" s="66"/>
      <c r="E4972" s="63" t="s">
        <v>20057</v>
      </c>
      <c r="F4972" s="70">
        <v>41465.0</v>
      </c>
      <c r="G4972" s="80" t="s">
        <v>20058</v>
      </c>
      <c r="H4972" s="82"/>
      <c r="I4972" s="66"/>
      <c r="J4972" s="63" t="s">
        <v>5653</v>
      </c>
      <c r="K4972" s="70">
        <v>43209.0</v>
      </c>
      <c r="L4972" s="63" t="s">
        <v>20052</v>
      </c>
      <c r="M4972" s="63" t="s">
        <v>166</v>
      </c>
      <c r="N4972" s="66"/>
      <c r="O4972" s="51"/>
    </row>
    <row r="4973">
      <c r="A4973" s="56">
        <v>4970.0</v>
      </c>
      <c r="B4973" s="241"/>
      <c r="C4973" s="64" t="s">
        <v>20059</v>
      </c>
      <c r="D4973" s="66"/>
      <c r="E4973" s="63" t="s">
        <v>5399</v>
      </c>
      <c r="F4973" s="70">
        <v>41465.0</v>
      </c>
      <c r="G4973" s="80" t="s">
        <v>20060</v>
      </c>
      <c r="H4973" s="82"/>
      <c r="I4973" s="66"/>
      <c r="J4973" s="63" t="s">
        <v>5653</v>
      </c>
      <c r="K4973" s="70">
        <v>43209.0</v>
      </c>
      <c r="L4973" s="63" t="s">
        <v>20052</v>
      </c>
      <c r="M4973" s="63" t="s">
        <v>166</v>
      </c>
      <c r="N4973" s="66"/>
      <c r="O4973" s="51"/>
    </row>
    <row r="4974">
      <c r="A4974" s="56">
        <v>4971.0</v>
      </c>
      <c r="B4974" s="241"/>
      <c r="C4974" s="64" t="s">
        <v>20061</v>
      </c>
      <c r="D4974" s="66"/>
      <c r="E4974" s="63" t="s">
        <v>20062</v>
      </c>
      <c r="F4974" s="65">
        <v>41604.0</v>
      </c>
      <c r="G4974" s="80" t="s">
        <v>20063</v>
      </c>
      <c r="H4974" s="82"/>
      <c r="I4974" s="66"/>
      <c r="J4974" s="63" t="s">
        <v>5653</v>
      </c>
      <c r="K4974" s="70">
        <v>43209.0</v>
      </c>
      <c r="L4974" s="63" t="s">
        <v>20052</v>
      </c>
      <c r="M4974" s="63" t="s">
        <v>166</v>
      </c>
      <c r="N4974" s="66"/>
      <c r="O4974" s="51"/>
    </row>
    <row r="4975">
      <c r="A4975" s="56">
        <v>4972.0</v>
      </c>
      <c r="B4975" s="240"/>
      <c r="C4975" s="69" t="s">
        <v>20064</v>
      </c>
      <c r="D4975" s="71"/>
      <c r="E4975" s="68" t="s">
        <v>20065</v>
      </c>
      <c r="F4975" s="83">
        <v>41605.0</v>
      </c>
      <c r="G4975" s="68" t="s">
        <v>20066</v>
      </c>
      <c r="H4975" s="71"/>
      <c r="I4975" s="71"/>
      <c r="J4975" s="68" t="s">
        <v>20067</v>
      </c>
      <c r="K4975" s="76">
        <v>43209.0</v>
      </c>
      <c r="L4975" s="68" t="s">
        <v>20052</v>
      </c>
      <c r="M4975" s="68" t="s">
        <v>166</v>
      </c>
      <c r="N4975" s="71"/>
      <c r="O4975" s="51"/>
    </row>
    <row r="4976">
      <c r="A4976" s="56">
        <v>4973.0</v>
      </c>
      <c r="B4976" s="241"/>
      <c r="C4976" s="64" t="s">
        <v>20068</v>
      </c>
      <c r="D4976" s="66"/>
      <c r="E4976" s="63" t="s">
        <v>20069</v>
      </c>
      <c r="F4976" s="70">
        <v>41613.0</v>
      </c>
      <c r="G4976" s="80" t="s">
        <v>20070</v>
      </c>
      <c r="H4976" s="82"/>
      <c r="I4976" s="66"/>
      <c r="J4976" s="63" t="s">
        <v>5653</v>
      </c>
      <c r="K4976" s="70">
        <v>43209.0</v>
      </c>
      <c r="L4976" s="63" t="s">
        <v>20052</v>
      </c>
      <c r="M4976" s="63" t="s">
        <v>166</v>
      </c>
      <c r="N4976" s="66"/>
      <c r="O4976" s="51"/>
    </row>
    <row r="4977">
      <c r="A4977" s="56">
        <v>4974.0</v>
      </c>
      <c r="B4977" s="241"/>
      <c r="C4977" s="64" t="s">
        <v>20071</v>
      </c>
      <c r="D4977" s="66"/>
      <c r="E4977" s="63" t="s">
        <v>20072</v>
      </c>
      <c r="F4977" s="70">
        <v>41742.0</v>
      </c>
      <c r="G4977" s="80" t="s">
        <v>20073</v>
      </c>
      <c r="H4977" s="82"/>
      <c r="I4977" s="66"/>
      <c r="J4977" s="63" t="s">
        <v>5653</v>
      </c>
      <c r="K4977" s="70">
        <v>43209.0</v>
      </c>
      <c r="L4977" s="63" t="s">
        <v>20052</v>
      </c>
      <c r="M4977" s="63" t="s">
        <v>166</v>
      </c>
      <c r="N4977" s="66"/>
      <c r="O4977" s="51"/>
    </row>
    <row r="4978">
      <c r="A4978" s="56">
        <v>4975.0</v>
      </c>
      <c r="B4978" s="240"/>
      <c r="C4978" s="69" t="s">
        <v>20074</v>
      </c>
      <c r="D4978" s="71"/>
      <c r="E4978" s="68" t="s">
        <v>20075</v>
      </c>
      <c r="F4978" s="76">
        <v>41742.0</v>
      </c>
      <c r="G4978" s="68" t="s">
        <v>20076</v>
      </c>
      <c r="H4978" s="71"/>
      <c r="I4978" s="71"/>
      <c r="J4978" s="68" t="s">
        <v>20077</v>
      </c>
      <c r="K4978" s="76">
        <v>43209.0</v>
      </c>
      <c r="L4978" s="68" t="s">
        <v>20052</v>
      </c>
      <c r="M4978" s="68" t="s">
        <v>166</v>
      </c>
      <c r="N4978" s="71"/>
      <c r="O4978" s="51"/>
    </row>
    <row r="4979">
      <c r="A4979" s="56">
        <v>4976.0</v>
      </c>
      <c r="B4979" s="241"/>
      <c r="C4979" s="64" t="s">
        <v>20078</v>
      </c>
      <c r="D4979" s="66"/>
      <c r="E4979" s="63" t="s">
        <v>20079</v>
      </c>
      <c r="F4979" s="70">
        <v>42144.0</v>
      </c>
      <c r="G4979" s="80" t="s">
        <v>20080</v>
      </c>
      <c r="H4979" s="82"/>
      <c r="I4979" s="66"/>
      <c r="J4979" s="63" t="s">
        <v>5653</v>
      </c>
      <c r="K4979" s="70">
        <v>43209.0</v>
      </c>
      <c r="L4979" s="63" t="s">
        <v>20052</v>
      </c>
      <c r="M4979" s="63" t="s">
        <v>166</v>
      </c>
      <c r="N4979" s="66"/>
      <c r="O4979" s="51"/>
    </row>
    <row r="4980">
      <c r="A4980" s="56">
        <v>4977.0</v>
      </c>
      <c r="B4980" s="241"/>
      <c r="C4980" s="64" t="s">
        <v>20081</v>
      </c>
      <c r="D4980" s="66"/>
      <c r="E4980" s="63" t="s">
        <v>20082</v>
      </c>
      <c r="F4980" s="70">
        <v>42140.0</v>
      </c>
      <c r="G4980" s="80" t="s">
        <v>20083</v>
      </c>
      <c r="H4980" s="82"/>
      <c r="I4980" s="66"/>
      <c r="J4980" s="63" t="s">
        <v>5653</v>
      </c>
      <c r="K4980" s="70">
        <v>43209.0</v>
      </c>
      <c r="L4980" s="63" t="s">
        <v>20052</v>
      </c>
      <c r="M4980" s="63" t="s">
        <v>166</v>
      </c>
      <c r="N4980" s="66"/>
      <c r="O4980" s="51"/>
    </row>
    <row r="4981">
      <c r="A4981" s="62">
        <v>4978.0</v>
      </c>
      <c r="B4981" s="242"/>
      <c r="C4981" s="64" t="s">
        <v>20084</v>
      </c>
      <c r="D4981" s="66"/>
      <c r="E4981" s="63" t="s">
        <v>20085</v>
      </c>
      <c r="F4981" s="70">
        <v>42150.0</v>
      </c>
      <c r="G4981" s="63" t="s">
        <v>20086</v>
      </c>
      <c r="H4981" s="66"/>
      <c r="I4981" s="66"/>
      <c r="J4981" s="66"/>
      <c r="K4981" s="70">
        <v>43209.0</v>
      </c>
      <c r="L4981" s="63" t="s">
        <v>20052</v>
      </c>
      <c r="M4981" s="63" t="s">
        <v>166</v>
      </c>
      <c r="N4981" s="66"/>
      <c r="O4981" s="51"/>
    </row>
    <row r="4982">
      <c r="A4982" s="56">
        <v>4979.0</v>
      </c>
      <c r="B4982" s="240"/>
      <c r="C4982" s="69" t="s">
        <v>20087</v>
      </c>
      <c r="D4982" s="71"/>
      <c r="E4982" s="68" t="s">
        <v>20088</v>
      </c>
      <c r="F4982" s="76">
        <v>42169.0</v>
      </c>
      <c r="G4982" s="68" t="s">
        <v>20089</v>
      </c>
      <c r="H4982" s="71"/>
      <c r="I4982" s="71"/>
      <c r="J4982" s="68" t="s">
        <v>20090</v>
      </c>
      <c r="K4982" s="76">
        <v>43209.0</v>
      </c>
      <c r="L4982" s="68" t="s">
        <v>20052</v>
      </c>
      <c r="M4982" s="68" t="s">
        <v>166</v>
      </c>
      <c r="N4982" s="71"/>
      <c r="O4982" s="51"/>
    </row>
    <row r="4983">
      <c r="A4983" s="56">
        <v>4980.0</v>
      </c>
      <c r="B4983" s="240"/>
      <c r="C4983" s="69" t="s">
        <v>20091</v>
      </c>
      <c r="D4983" s="71"/>
      <c r="E4983" s="68" t="s">
        <v>20092</v>
      </c>
      <c r="F4983" s="76">
        <v>42215.0</v>
      </c>
      <c r="G4983" s="71"/>
      <c r="H4983" s="71"/>
      <c r="I4983" s="71"/>
      <c r="J4983" s="68" t="s">
        <v>20093</v>
      </c>
      <c r="K4983" s="76">
        <v>43209.0</v>
      </c>
      <c r="L4983" s="68" t="s">
        <v>20052</v>
      </c>
      <c r="M4983" s="68" t="s">
        <v>166</v>
      </c>
      <c r="N4983" s="71"/>
      <c r="O4983" s="51"/>
    </row>
    <row r="4984">
      <c r="A4984" s="62">
        <v>4981.0</v>
      </c>
      <c r="B4984" s="242"/>
      <c r="C4984" s="64" t="s">
        <v>20094</v>
      </c>
      <c r="D4984" s="66"/>
      <c r="E4984" s="63" t="s">
        <v>20095</v>
      </c>
      <c r="F4984" s="65">
        <v>42326.0</v>
      </c>
      <c r="G4984" s="63" t="s">
        <v>20096</v>
      </c>
      <c r="H4984" s="66"/>
      <c r="I4984" s="66"/>
      <c r="J4984" s="66"/>
      <c r="K4984" s="70">
        <v>43209.0</v>
      </c>
      <c r="L4984" s="63" t="s">
        <v>20052</v>
      </c>
      <c r="M4984" s="63" t="s">
        <v>166</v>
      </c>
      <c r="N4984" s="66"/>
      <c r="O4984" s="51"/>
    </row>
    <row r="4985">
      <c r="A4985" s="56">
        <v>4982.0</v>
      </c>
      <c r="B4985" s="240"/>
      <c r="C4985" s="69" t="s">
        <v>20097</v>
      </c>
      <c r="D4985" s="71"/>
      <c r="E4985" s="68" t="s">
        <v>20098</v>
      </c>
      <c r="F4985" s="83">
        <v>42354.0</v>
      </c>
      <c r="G4985" s="68" t="s">
        <v>20099</v>
      </c>
      <c r="H4985" s="71"/>
      <c r="I4985" s="71"/>
      <c r="J4985" s="68" t="s">
        <v>20100</v>
      </c>
      <c r="K4985" s="76">
        <v>43209.0</v>
      </c>
      <c r="L4985" s="68" t="s">
        <v>20052</v>
      </c>
      <c r="M4985" s="68" t="s">
        <v>166</v>
      </c>
      <c r="N4985" s="71"/>
      <c r="O4985" s="51"/>
    </row>
    <row r="4986">
      <c r="A4986" s="56">
        <v>4983.0</v>
      </c>
      <c r="B4986" s="241"/>
      <c r="C4986" s="64" t="s">
        <v>20101</v>
      </c>
      <c r="D4986" s="66"/>
      <c r="E4986" s="63" t="s">
        <v>20102</v>
      </c>
      <c r="F4986" s="65">
        <v>42367.0</v>
      </c>
      <c r="G4986" s="80" t="s">
        <v>20103</v>
      </c>
      <c r="H4986" s="82"/>
      <c r="I4986" s="66"/>
      <c r="J4986" s="63" t="s">
        <v>5653</v>
      </c>
      <c r="K4986" s="70">
        <v>43209.0</v>
      </c>
      <c r="L4986" s="63" t="s">
        <v>20052</v>
      </c>
      <c r="M4986" s="63" t="s">
        <v>166</v>
      </c>
      <c r="N4986" s="66"/>
      <c r="O4986" s="51"/>
    </row>
    <row r="4987">
      <c r="A4987" s="56">
        <v>4984.0</v>
      </c>
      <c r="B4987" s="240"/>
      <c r="C4987" s="69" t="s">
        <v>20104</v>
      </c>
      <c r="D4987" s="71"/>
      <c r="E4987" s="68" t="s">
        <v>20105</v>
      </c>
      <c r="F4987" s="76">
        <v>42385.0</v>
      </c>
      <c r="G4987" s="68" t="s">
        <v>20106</v>
      </c>
      <c r="H4987" s="71"/>
      <c r="I4987" s="71"/>
      <c r="J4987" s="68" t="s">
        <v>12744</v>
      </c>
      <c r="K4987" s="76">
        <v>43209.0</v>
      </c>
      <c r="L4987" s="68" t="s">
        <v>20052</v>
      </c>
      <c r="M4987" s="68" t="s">
        <v>166</v>
      </c>
      <c r="N4987" s="71"/>
      <c r="O4987" s="51"/>
    </row>
    <row r="4988">
      <c r="A4988" s="56">
        <v>4985.0</v>
      </c>
      <c r="B4988" s="240"/>
      <c r="C4988" s="69" t="s">
        <v>20107</v>
      </c>
      <c r="D4988" s="71"/>
      <c r="E4988" s="68" t="s">
        <v>20108</v>
      </c>
      <c r="F4988" s="76">
        <v>42029.0</v>
      </c>
      <c r="G4988" s="68" t="s">
        <v>20109</v>
      </c>
      <c r="H4988" s="71"/>
      <c r="I4988" s="71"/>
      <c r="J4988" s="87" t="s">
        <v>13727</v>
      </c>
      <c r="K4988" s="76">
        <v>43209.0</v>
      </c>
      <c r="L4988" s="68" t="s">
        <v>20052</v>
      </c>
      <c r="M4988" s="68" t="s">
        <v>166</v>
      </c>
      <c r="N4988" s="71"/>
      <c r="O4988" s="51"/>
    </row>
    <row r="4989">
      <c r="A4989" s="56">
        <v>4986.0</v>
      </c>
      <c r="B4989" s="240"/>
      <c r="C4989" s="69" t="s">
        <v>20110</v>
      </c>
      <c r="D4989" s="71"/>
      <c r="E4989" s="68" t="s">
        <v>20111</v>
      </c>
      <c r="F4989" s="76">
        <v>42405.0</v>
      </c>
      <c r="G4989" s="68" t="s">
        <v>20112</v>
      </c>
      <c r="H4989" s="71"/>
      <c r="I4989" s="71"/>
      <c r="J4989" s="68" t="s">
        <v>20113</v>
      </c>
      <c r="K4989" s="76">
        <v>43209.0</v>
      </c>
      <c r="L4989" s="68" t="s">
        <v>20052</v>
      </c>
      <c r="M4989" s="68" t="s">
        <v>166</v>
      </c>
      <c r="N4989" s="71"/>
      <c r="O4989" s="51"/>
    </row>
    <row r="4990">
      <c r="A4990" s="56">
        <v>4987.0</v>
      </c>
      <c r="B4990" s="240"/>
      <c r="C4990" s="69" t="s">
        <v>20114</v>
      </c>
      <c r="D4990" s="71"/>
      <c r="E4990" s="68" t="s">
        <v>20115</v>
      </c>
      <c r="F4990" s="76">
        <v>42430.0</v>
      </c>
      <c r="G4990" s="68" t="s">
        <v>20116</v>
      </c>
      <c r="H4990" s="71"/>
      <c r="I4990" s="71"/>
      <c r="J4990" s="87" t="s">
        <v>20117</v>
      </c>
      <c r="K4990" s="76">
        <v>43209.0</v>
      </c>
      <c r="L4990" s="68" t="s">
        <v>20052</v>
      </c>
      <c r="M4990" s="68" t="s">
        <v>166</v>
      </c>
      <c r="N4990" s="66"/>
      <c r="O4990" s="51"/>
    </row>
    <row r="4991">
      <c r="A4991" s="56">
        <v>4988.0</v>
      </c>
      <c r="B4991" s="240"/>
      <c r="C4991" s="69" t="s">
        <v>20118</v>
      </c>
      <c r="D4991" s="71"/>
      <c r="E4991" s="68" t="s">
        <v>20119</v>
      </c>
      <c r="F4991" s="76">
        <v>42461.0</v>
      </c>
      <c r="G4991" s="68" t="s">
        <v>20120</v>
      </c>
      <c r="H4991" s="71"/>
      <c r="I4991" s="71"/>
      <c r="J4991" s="68" t="s">
        <v>20121</v>
      </c>
      <c r="K4991" s="76">
        <v>43209.0</v>
      </c>
      <c r="L4991" s="68" t="s">
        <v>20052</v>
      </c>
      <c r="M4991" s="68" t="s">
        <v>166</v>
      </c>
      <c r="N4991" s="71"/>
      <c r="O4991" s="51"/>
    </row>
    <row r="4992">
      <c r="A4992" s="56">
        <v>4989.0</v>
      </c>
      <c r="B4992" s="240"/>
      <c r="C4992" s="69" t="s">
        <v>20122</v>
      </c>
      <c r="D4992" s="71"/>
      <c r="E4992" s="68" t="s">
        <v>20123</v>
      </c>
      <c r="F4992" s="76">
        <v>42488.0</v>
      </c>
      <c r="G4992" s="68" t="s">
        <v>20124</v>
      </c>
      <c r="H4992" s="71"/>
      <c r="I4992" s="71"/>
      <c r="J4992" s="68" t="s">
        <v>20125</v>
      </c>
      <c r="K4992" s="76">
        <v>43209.0</v>
      </c>
      <c r="L4992" s="68" t="s">
        <v>20052</v>
      </c>
      <c r="M4992" s="68" t="s">
        <v>166</v>
      </c>
      <c r="N4992" s="71"/>
      <c r="O4992" s="51"/>
    </row>
    <row r="4993">
      <c r="A4993" s="56">
        <v>4990.0</v>
      </c>
      <c r="B4993" s="241"/>
      <c r="C4993" s="64" t="s">
        <v>20126</v>
      </c>
      <c r="D4993" s="66"/>
      <c r="E4993" s="63" t="s">
        <v>20127</v>
      </c>
      <c r="F4993" s="70">
        <v>42488.0</v>
      </c>
      <c r="G4993" s="80" t="s">
        <v>20128</v>
      </c>
      <c r="H4993" s="82"/>
      <c r="I4993" s="66"/>
      <c r="J4993" s="63" t="s">
        <v>5653</v>
      </c>
      <c r="K4993" s="70">
        <v>43209.0</v>
      </c>
      <c r="L4993" s="63" t="s">
        <v>20052</v>
      </c>
      <c r="M4993" s="63" t="s">
        <v>166</v>
      </c>
      <c r="N4993" s="66"/>
      <c r="O4993" s="51"/>
    </row>
    <row r="4994">
      <c r="A4994" s="56">
        <v>4991.0</v>
      </c>
      <c r="B4994" s="241"/>
      <c r="C4994" s="64" t="s">
        <v>20129</v>
      </c>
      <c r="D4994" s="66"/>
      <c r="E4994" s="63" t="s">
        <v>20130</v>
      </c>
      <c r="F4994" s="70">
        <v>42538.0</v>
      </c>
      <c r="G4994" s="80" t="s">
        <v>20131</v>
      </c>
      <c r="H4994" s="82"/>
      <c r="I4994" s="66"/>
      <c r="J4994" s="66"/>
      <c r="K4994" s="70">
        <v>43209.0</v>
      </c>
      <c r="L4994" s="63" t="s">
        <v>20052</v>
      </c>
      <c r="M4994" s="63" t="s">
        <v>166</v>
      </c>
      <c r="N4994" s="66"/>
      <c r="O4994" s="51"/>
    </row>
    <row r="4995">
      <c r="A4995" s="56">
        <v>4992.0</v>
      </c>
      <c r="B4995" s="240"/>
      <c r="C4995" s="69" t="s">
        <v>20132</v>
      </c>
      <c r="D4995" s="71"/>
      <c r="E4995" s="68" t="s">
        <v>20133</v>
      </c>
      <c r="F4995" s="76">
        <v>42572.0</v>
      </c>
      <c r="G4995" s="68" t="s">
        <v>20134</v>
      </c>
      <c r="H4995" s="71"/>
      <c r="I4995" s="71"/>
      <c r="J4995" s="68" t="s">
        <v>20135</v>
      </c>
      <c r="K4995" s="76">
        <v>43209.0</v>
      </c>
      <c r="L4995" s="68" t="s">
        <v>20052</v>
      </c>
      <c r="M4995" s="68" t="s">
        <v>166</v>
      </c>
      <c r="N4995" s="71"/>
      <c r="O4995" s="51"/>
    </row>
    <row r="4996">
      <c r="A4996" s="56">
        <v>4993.0</v>
      </c>
      <c r="B4996" s="240"/>
      <c r="C4996" s="69" t="s">
        <v>20136</v>
      </c>
      <c r="D4996" s="71"/>
      <c r="E4996" s="68" t="s">
        <v>20137</v>
      </c>
      <c r="F4996" s="76">
        <v>42598.0</v>
      </c>
      <c r="G4996" s="68" t="s">
        <v>20138</v>
      </c>
      <c r="H4996" s="71"/>
      <c r="I4996" s="71"/>
      <c r="J4996" s="68" t="s">
        <v>20139</v>
      </c>
      <c r="K4996" s="76">
        <v>43209.0</v>
      </c>
      <c r="L4996" s="68" t="s">
        <v>20052</v>
      </c>
      <c r="M4996" s="68" t="s">
        <v>166</v>
      </c>
      <c r="N4996" s="71"/>
      <c r="O4996" s="51"/>
    </row>
    <row r="4997">
      <c r="A4997" s="56">
        <v>4994.0</v>
      </c>
      <c r="B4997" s="240"/>
      <c r="C4997" s="69" t="s">
        <v>20140</v>
      </c>
      <c r="D4997" s="71"/>
      <c r="E4997" s="68" t="s">
        <v>20141</v>
      </c>
      <c r="F4997" s="76">
        <v>42602.0</v>
      </c>
      <c r="G4997" s="68" t="s">
        <v>20142</v>
      </c>
      <c r="H4997" s="71"/>
      <c r="I4997" s="71"/>
      <c r="J4997" s="68" t="s">
        <v>20143</v>
      </c>
      <c r="K4997" s="76">
        <v>43209.0</v>
      </c>
      <c r="L4997" s="68" t="s">
        <v>20052</v>
      </c>
      <c r="M4997" s="68" t="s">
        <v>166</v>
      </c>
      <c r="N4997" s="71"/>
      <c r="O4997" s="51"/>
    </row>
    <row r="4998">
      <c r="A4998" s="56">
        <v>4995.0</v>
      </c>
      <c r="B4998" s="240"/>
      <c r="C4998" s="69" t="s">
        <v>20144</v>
      </c>
      <c r="D4998" s="71"/>
      <c r="E4998" s="68" t="s">
        <v>20145</v>
      </c>
      <c r="F4998" s="76">
        <v>42621.0</v>
      </c>
      <c r="G4998" s="71"/>
      <c r="H4998" s="71"/>
      <c r="I4998" s="71"/>
      <c r="J4998" s="68" t="s">
        <v>20146</v>
      </c>
      <c r="K4998" s="76">
        <v>43209.0</v>
      </c>
      <c r="L4998" s="68" t="s">
        <v>20052</v>
      </c>
      <c r="M4998" s="68" t="s">
        <v>166</v>
      </c>
      <c r="N4998" s="71"/>
      <c r="O4998" s="51"/>
    </row>
    <row r="4999">
      <c r="A4999" s="56">
        <v>4996.0</v>
      </c>
      <c r="B4999" s="240"/>
      <c r="C4999" s="69" t="s">
        <v>20147</v>
      </c>
      <c r="D4999" s="71"/>
      <c r="E4999" s="68" t="s">
        <v>20148</v>
      </c>
      <c r="F4999" s="76">
        <v>42644.0</v>
      </c>
      <c r="G4999" s="68" t="s">
        <v>20149</v>
      </c>
      <c r="H4999" s="71"/>
      <c r="I4999" s="71"/>
      <c r="J4999" s="68" t="s">
        <v>20150</v>
      </c>
      <c r="K4999" s="76">
        <v>43209.0</v>
      </c>
      <c r="L4999" s="68" t="s">
        <v>20052</v>
      </c>
      <c r="M4999" s="68" t="s">
        <v>166</v>
      </c>
      <c r="N4999" s="71"/>
      <c r="O4999" s="51"/>
    </row>
    <row r="5000">
      <c r="A5000" s="56">
        <v>4997.0</v>
      </c>
      <c r="B5000" s="240"/>
      <c r="C5000" s="69" t="s">
        <v>20151</v>
      </c>
      <c r="D5000" s="71"/>
      <c r="E5000" s="68" t="s">
        <v>20152</v>
      </c>
      <c r="F5000" s="76">
        <v>42649.0</v>
      </c>
      <c r="G5000" s="68" t="s">
        <v>20153</v>
      </c>
      <c r="H5000" s="71"/>
      <c r="I5000" s="71"/>
      <c r="J5000" s="68" t="s">
        <v>20154</v>
      </c>
      <c r="K5000" s="76">
        <v>43209.0</v>
      </c>
      <c r="L5000" s="68" t="s">
        <v>20052</v>
      </c>
      <c r="M5000" s="68" t="s">
        <v>166</v>
      </c>
      <c r="N5000" s="71"/>
      <c r="O5000" s="51"/>
    </row>
    <row r="5001">
      <c r="A5001" s="75">
        <v>4998.0</v>
      </c>
      <c r="B5001" s="240"/>
      <c r="C5001" s="69" t="s">
        <v>20155</v>
      </c>
      <c r="D5001" s="71"/>
      <c r="E5001" s="68" t="s">
        <v>20156</v>
      </c>
      <c r="F5001" s="83">
        <v>42667.0</v>
      </c>
      <c r="G5001" s="68" t="s">
        <v>20157</v>
      </c>
      <c r="H5001" s="71"/>
      <c r="I5001" s="71"/>
      <c r="J5001" s="68" t="s">
        <v>20158</v>
      </c>
      <c r="K5001" s="76">
        <v>43209.0</v>
      </c>
      <c r="L5001" s="68" t="s">
        <v>20052</v>
      </c>
      <c r="M5001" s="68" t="s">
        <v>166</v>
      </c>
      <c r="N5001" s="71"/>
      <c r="O5001" s="51"/>
    </row>
    <row r="5002">
      <c r="A5002" s="56">
        <v>4999.0</v>
      </c>
      <c r="B5002" s="241"/>
      <c r="C5002" s="64" t="s">
        <v>20159</v>
      </c>
      <c r="D5002" s="66"/>
      <c r="E5002" s="63" t="s">
        <v>20160</v>
      </c>
      <c r="F5002" s="65">
        <v>42667.0</v>
      </c>
      <c r="G5002" s="82"/>
      <c r="H5002" s="82"/>
      <c r="I5002" s="66"/>
      <c r="J5002" s="63" t="s">
        <v>5653</v>
      </c>
      <c r="K5002" s="70">
        <v>43209.0</v>
      </c>
      <c r="L5002" s="63" t="s">
        <v>20052</v>
      </c>
      <c r="M5002" s="63" t="s">
        <v>166</v>
      </c>
      <c r="N5002" s="66"/>
      <c r="O5002" s="51"/>
    </row>
    <row r="5003">
      <c r="A5003" s="56">
        <v>5000.0</v>
      </c>
      <c r="B5003" s="240"/>
      <c r="C5003" s="69" t="s">
        <v>20161</v>
      </c>
      <c r="D5003" s="71"/>
      <c r="E5003" s="68" t="s">
        <v>20162</v>
      </c>
      <c r="F5003" s="83">
        <v>42669.0</v>
      </c>
      <c r="G5003" s="71"/>
      <c r="H5003" s="71"/>
      <c r="I5003" s="71"/>
      <c r="J5003" s="68" t="s">
        <v>20163</v>
      </c>
      <c r="K5003" s="76">
        <v>43209.0</v>
      </c>
      <c r="L5003" s="68" t="s">
        <v>20052</v>
      </c>
      <c r="M5003" s="68" t="s">
        <v>166</v>
      </c>
      <c r="N5003" s="71"/>
      <c r="O5003" s="51"/>
    </row>
    <row r="5004">
      <c r="A5004" s="56">
        <v>5001.0</v>
      </c>
      <c r="B5004" s="241"/>
      <c r="C5004" s="64" t="s">
        <v>20164</v>
      </c>
      <c r="D5004" s="66"/>
      <c r="E5004" s="63" t="s">
        <v>20165</v>
      </c>
      <c r="F5004" s="65">
        <v>42691.0</v>
      </c>
      <c r="G5004" s="80" t="s">
        <v>20166</v>
      </c>
      <c r="H5004" s="82"/>
      <c r="I5004" s="66"/>
      <c r="J5004" s="63" t="s">
        <v>5653</v>
      </c>
      <c r="K5004" s="70">
        <v>43209.0</v>
      </c>
      <c r="L5004" s="63" t="s">
        <v>20052</v>
      </c>
      <c r="M5004" s="63" t="s">
        <v>166</v>
      </c>
      <c r="N5004" s="66"/>
      <c r="O5004" s="51"/>
    </row>
    <row r="5005">
      <c r="A5005" s="56">
        <v>5002.0</v>
      </c>
      <c r="B5005" s="241"/>
      <c r="C5005" s="64" t="s">
        <v>20167</v>
      </c>
      <c r="D5005" s="66"/>
      <c r="E5005" s="63" t="s">
        <v>20168</v>
      </c>
      <c r="F5005" s="65">
        <v>42732.0</v>
      </c>
      <c r="G5005" s="80" t="s">
        <v>20169</v>
      </c>
      <c r="H5005" s="82"/>
      <c r="I5005" s="66"/>
      <c r="J5005" s="63" t="s">
        <v>5653</v>
      </c>
      <c r="K5005" s="70">
        <v>43209.0</v>
      </c>
      <c r="L5005" s="63" t="s">
        <v>20052</v>
      </c>
      <c r="M5005" s="63" t="s">
        <v>166</v>
      </c>
      <c r="N5005" s="66"/>
      <c r="O5005" s="51"/>
    </row>
    <row r="5006">
      <c r="A5006" s="56">
        <v>5003.0</v>
      </c>
      <c r="B5006" s="240"/>
      <c r="C5006" s="69" t="s">
        <v>20170</v>
      </c>
      <c r="D5006" s="71"/>
      <c r="E5006" s="68" t="s">
        <v>20171</v>
      </c>
      <c r="F5006" s="83">
        <v>42735.0</v>
      </c>
      <c r="G5006" s="68" t="s">
        <v>20172</v>
      </c>
      <c r="H5006" s="71"/>
      <c r="I5006" s="71"/>
      <c r="J5006" s="68" t="s">
        <v>20173</v>
      </c>
      <c r="K5006" s="76">
        <v>43209.0</v>
      </c>
      <c r="L5006" s="68" t="s">
        <v>20052</v>
      </c>
      <c r="M5006" s="68" t="s">
        <v>166</v>
      </c>
      <c r="N5006" s="71"/>
      <c r="O5006" s="51"/>
    </row>
    <row r="5007">
      <c r="A5007" s="56">
        <v>5004.0</v>
      </c>
      <c r="B5007" s="240"/>
      <c r="C5007" s="69" t="s">
        <v>20174</v>
      </c>
      <c r="D5007" s="71"/>
      <c r="E5007" s="68" t="s">
        <v>20175</v>
      </c>
      <c r="F5007" s="83">
        <v>42735.0</v>
      </c>
      <c r="G5007" s="68" t="s">
        <v>20176</v>
      </c>
      <c r="H5007" s="71"/>
      <c r="I5007" s="71"/>
      <c r="J5007" s="68" t="s">
        <v>20177</v>
      </c>
      <c r="K5007" s="76">
        <v>43209.0</v>
      </c>
      <c r="L5007" s="68" t="s">
        <v>20052</v>
      </c>
      <c r="M5007" s="68" t="s">
        <v>166</v>
      </c>
      <c r="N5007" s="71"/>
      <c r="O5007" s="51"/>
    </row>
    <row r="5008">
      <c r="A5008" s="56">
        <v>5005.0</v>
      </c>
      <c r="B5008" s="240"/>
      <c r="C5008" s="69" t="s">
        <v>20178</v>
      </c>
      <c r="D5008" s="71"/>
      <c r="E5008" s="68" t="s">
        <v>20179</v>
      </c>
      <c r="F5008" s="76">
        <v>42783.0</v>
      </c>
      <c r="G5008" s="71"/>
      <c r="H5008" s="71"/>
      <c r="I5008" s="71"/>
      <c r="J5008" s="68" t="s">
        <v>20180</v>
      </c>
      <c r="K5008" s="76">
        <v>43209.0</v>
      </c>
      <c r="L5008" s="68" t="s">
        <v>20052</v>
      </c>
      <c r="M5008" s="68" t="s">
        <v>166</v>
      </c>
      <c r="N5008" s="66"/>
      <c r="O5008" s="51"/>
    </row>
    <row r="5009">
      <c r="A5009" s="56">
        <v>5006.0</v>
      </c>
      <c r="B5009" s="240"/>
      <c r="C5009" s="69" t="s">
        <v>20181</v>
      </c>
      <c r="D5009" s="71"/>
      <c r="E5009" s="68" t="s">
        <v>20182</v>
      </c>
      <c r="F5009" s="76">
        <v>42783.0</v>
      </c>
      <c r="G5009" s="68" t="s">
        <v>20183</v>
      </c>
      <c r="H5009" s="71"/>
      <c r="I5009" s="71"/>
      <c r="J5009" s="68" t="s">
        <v>20184</v>
      </c>
      <c r="K5009" s="76">
        <v>43209.0</v>
      </c>
      <c r="L5009" s="68" t="s">
        <v>20052</v>
      </c>
      <c r="M5009" s="68" t="s">
        <v>166</v>
      </c>
      <c r="N5009" s="71"/>
      <c r="O5009" s="51"/>
    </row>
    <row r="5010">
      <c r="A5010" s="56">
        <v>5007.0</v>
      </c>
      <c r="B5010" s="240"/>
      <c r="C5010" s="69" t="s">
        <v>20185</v>
      </c>
      <c r="D5010" s="71"/>
      <c r="E5010" s="68" t="s">
        <v>20186</v>
      </c>
      <c r="F5010" s="76">
        <v>42785.0</v>
      </c>
      <c r="G5010" s="68" t="s">
        <v>20187</v>
      </c>
      <c r="H5010" s="71"/>
      <c r="I5010" s="71"/>
      <c r="J5010" s="68" t="s">
        <v>20188</v>
      </c>
      <c r="K5010" s="76">
        <v>43210.0</v>
      </c>
      <c r="L5010" s="68" t="s">
        <v>20052</v>
      </c>
      <c r="M5010" s="68" t="s">
        <v>166</v>
      </c>
      <c r="N5010" s="71"/>
      <c r="O5010" s="51"/>
    </row>
    <row r="5011">
      <c r="A5011" s="75">
        <v>5008.0</v>
      </c>
      <c r="B5011" s="240"/>
      <c r="C5011" s="69" t="s">
        <v>20189</v>
      </c>
      <c r="D5011" s="71"/>
      <c r="E5011" s="68" t="s">
        <v>20190</v>
      </c>
      <c r="F5011" s="76">
        <v>42807.0</v>
      </c>
      <c r="G5011" s="68" t="s">
        <v>20191</v>
      </c>
      <c r="H5011" s="71"/>
      <c r="I5011" s="71"/>
      <c r="J5011" s="68" t="s">
        <v>19767</v>
      </c>
      <c r="K5011" s="76">
        <v>43210.0</v>
      </c>
      <c r="L5011" s="68" t="s">
        <v>20052</v>
      </c>
      <c r="M5011" s="68" t="s">
        <v>166</v>
      </c>
      <c r="N5011" s="71"/>
      <c r="O5011" s="51"/>
    </row>
    <row r="5012">
      <c r="A5012" s="56">
        <v>5009.0</v>
      </c>
      <c r="B5012" s="240"/>
      <c r="C5012" s="69" t="s">
        <v>20192</v>
      </c>
      <c r="D5012" s="71"/>
      <c r="E5012" s="68" t="s">
        <v>20193</v>
      </c>
      <c r="F5012" s="76">
        <v>42811.0</v>
      </c>
      <c r="G5012" s="68" t="s">
        <v>20194</v>
      </c>
      <c r="H5012" s="71"/>
      <c r="I5012" s="71"/>
      <c r="J5012" s="68" t="s">
        <v>20195</v>
      </c>
      <c r="K5012" s="76">
        <v>43210.0</v>
      </c>
      <c r="L5012" s="68" t="s">
        <v>20052</v>
      </c>
      <c r="M5012" s="68" t="s">
        <v>166</v>
      </c>
      <c r="N5012" s="71"/>
      <c r="O5012" s="51"/>
    </row>
    <row r="5013">
      <c r="A5013" s="56">
        <v>5010.0</v>
      </c>
      <c r="B5013" s="241"/>
      <c r="C5013" s="64" t="s">
        <v>20196</v>
      </c>
      <c r="D5013" s="66"/>
      <c r="E5013" s="63" t="s">
        <v>20197</v>
      </c>
      <c r="F5013" s="70">
        <v>42811.0</v>
      </c>
      <c r="G5013" s="80" t="s">
        <v>20198</v>
      </c>
      <c r="H5013" s="82"/>
      <c r="I5013" s="66"/>
      <c r="J5013" s="63" t="s">
        <v>5653</v>
      </c>
      <c r="K5013" s="70">
        <v>43210.0</v>
      </c>
      <c r="L5013" s="63" t="s">
        <v>20052</v>
      </c>
      <c r="M5013" s="63" t="s">
        <v>166</v>
      </c>
      <c r="N5013" s="66"/>
      <c r="O5013" s="51"/>
    </row>
    <row r="5014">
      <c r="A5014" s="56">
        <v>5011.0</v>
      </c>
      <c r="B5014" s="240"/>
      <c r="C5014" s="69" t="s">
        <v>20199</v>
      </c>
      <c r="D5014" s="71"/>
      <c r="E5014" s="68" t="s">
        <v>20200</v>
      </c>
      <c r="F5014" s="76">
        <v>42814.0</v>
      </c>
      <c r="G5014" s="68" t="s">
        <v>20201</v>
      </c>
      <c r="H5014" s="71"/>
      <c r="I5014" s="71"/>
      <c r="J5014" s="68" t="s">
        <v>20202</v>
      </c>
      <c r="K5014" s="76">
        <v>43210.0</v>
      </c>
      <c r="L5014" s="68" t="s">
        <v>20052</v>
      </c>
      <c r="M5014" s="68" t="s">
        <v>166</v>
      </c>
      <c r="N5014" s="71"/>
      <c r="O5014" s="51"/>
    </row>
    <row r="5015">
      <c r="A5015" s="56">
        <v>5012.0</v>
      </c>
      <c r="B5015" s="240"/>
      <c r="C5015" s="69" t="s">
        <v>20203</v>
      </c>
      <c r="D5015" s="71"/>
      <c r="E5015" s="68" t="s">
        <v>20204</v>
      </c>
      <c r="F5015" s="76">
        <v>42816.0</v>
      </c>
      <c r="G5015" s="68" t="s">
        <v>20205</v>
      </c>
      <c r="H5015" s="71"/>
      <c r="I5015" s="71"/>
      <c r="J5015" s="68" t="s">
        <v>20206</v>
      </c>
      <c r="K5015" s="76">
        <v>43210.0</v>
      </c>
      <c r="L5015" s="68" t="s">
        <v>20052</v>
      </c>
      <c r="M5015" s="68" t="s">
        <v>166</v>
      </c>
      <c r="N5015" s="71"/>
      <c r="O5015" s="51"/>
    </row>
    <row r="5016">
      <c r="A5016" s="56">
        <v>5013.0</v>
      </c>
      <c r="B5016" s="240"/>
      <c r="C5016" s="69" t="s">
        <v>20207</v>
      </c>
      <c r="D5016" s="71"/>
      <c r="E5016" s="68" t="s">
        <v>20208</v>
      </c>
      <c r="F5016" s="76">
        <v>42824.0</v>
      </c>
      <c r="G5016" s="68" t="s">
        <v>20209</v>
      </c>
      <c r="H5016" s="71"/>
      <c r="I5016" s="71"/>
      <c r="J5016" s="68" t="s">
        <v>20210</v>
      </c>
      <c r="K5016" s="76">
        <v>43210.0</v>
      </c>
      <c r="L5016" s="68" t="s">
        <v>20052</v>
      </c>
      <c r="M5016" s="68" t="s">
        <v>166</v>
      </c>
      <c r="N5016" s="71"/>
      <c r="O5016" s="51"/>
    </row>
    <row r="5017">
      <c r="A5017" s="56">
        <v>5014.0</v>
      </c>
      <c r="B5017" s="240"/>
      <c r="C5017" s="69" t="s">
        <v>20211</v>
      </c>
      <c r="D5017" s="71"/>
      <c r="E5017" s="68" t="s">
        <v>20212</v>
      </c>
      <c r="F5017" s="76">
        <v>42825.0</v>
      </c>
      <c r="G5017" s="71"/>
      <c r="H5017" s="71"/>
      <c r="I5017" s="71"/>
      <c r="J5017" s="68" t="s">
        <v>20213</v>
      </c>
      <c r="K5017" s="76">
        <v>43210.0</v>
      </c>
      <c r="L5017" s="68" t="s">
        <v>20052</v>
      </c>
      <c r="M5017" s="68" t="s">
        <v>166</v>
      </c>
      <c r="N5017" s="71"/>
      <c r="O5017" s="51"/>
    </row>
    <row r="5018">
      <c r="A5018" s="56">
        <v>5015.0</v>
      </c>
      <c r="B5018" s="240"/>
      <c r="C5018" s="69" t="s">
        <v>20214</v>
      </c>
      <c r="D5018" s="71"/>
      <c r="E5018" s="68" t="s">
        <v>20215</v>
      </c>
      <c r="F5018" s="76">
        <v>42826.0</v>
      </c>
      <c r="G5018" s="71"/>
      <c r="H5018" s="71"/>
      <c r="I5018" s="71"/>
      <c r="J5018" s="68" t="s">
        <v>20216</v>
      </c>
      <c r="K5018" s="76">
        <v>43210.0</v>
      </c>
      <c r="L5018" s="68" t="s">
        <v>20052</v>
      </c>
      <c r="M5018" s="68" t="s">
        <v>166</v>
      </c>
      <c r="N5018" s="71"/>
      <c r="O5018" s="51"/>
    </row>
    <row r="5019">
      <c r="A5019" s="56">
        <v>5016.0</v>
      </c>
      <c r="B5019" s="240"/>
      <c r="C5019" s="69" t="s">
        <v>20217</v>
      </c>
      <c r="D5019" s="71"/>
      <c r="E5019" s="68" t="s">
        <v>20218</v>
      </c>
      <c r="F5019" s="76">
        <v>42833.0</v>
      </c>
      <c r="G5019" s="68" t="s">
        <v>20219</v>
      </c>
      <c r="H5019" s="71"/>
      <c r="I5019" s="71"/>
      <c r="J5019" s="68" t="s">
        <v>20220</v>
      </c>
      <c r="K5019" s="76">
        <v>43210.0</v>
      </c>
      <c r="L5019" s="68" t="s">
        <v>20052</v>
      </c>
      <c r="M5019" s="68" t="s">
        <v>166</v>
      </c>
      <c r="N5019" s="71"/>
      <c r="O5019" s="51"/>
    </row>
    <row r="5020">
      <c r="A5020" s="56">
        <v>5017.0</v>
      </c>
      <c r="B5020" s="240"/>
      <c r="C5020" s="69" t="s">
        <v>20221</v>
      </c>
      <c r="D5020" s="71"/>
      <c r="E5020" s="68" t="s">
        <v>20222</v>
      </c>
      <c r="F5020" s="76">
        <v>42832.0</v>
      </c>
      <c r="G5020" s="68" t="s">
        <v>20223</v>
      </c>
      <c r="H5020" s="71"/>
      <c r="I5020" s="71"/>
      <c r="J5020" s="117" t="s">
        <v>20224</v>
      </c>
      <c r="K5020" s="225">
        <v>43210.0</v>
      </c>
      <c r="L5020" s="68" t="s">
        <v>20052</v>
      </c>
      <c r="M5020" s="68" t="s">
        <v>166</v>
      </c>
      <c r="N5020" s="71"/>
      <c r="O5020" s="51"/>
    </row>
    <row r="5021">
      <c r="A5021" s="56">
        <v>5018.0</v>
      </c>
      <c r="B5021" s="240"/>
      <c r="C5021" s="69" t="s">
        <v>20225</v>
      </c>
      <c r="D5021" s="71"/>
      <c r="E5021" s="68" t="s">
        <v>20226</v>
      </c>
      <c r="F5021" s="76">
        <v>42842.0</v>
      </c>
      <c r="G5021" s="68" t="s">
        <v>20227</v>
      </c>
      <c r="H5021" s="71"/>
      <c r="I5021" s="71"/>
      <c r="J5021" s="128" t="s">
        <v>20228</v>
      </c>
      <c r="K5021" s="76">
        <v>43210.0</v>
      </c>
      <c r="L5021" s="68" t="s">
        <v>20052</v>
      </c>
      <c r="M5021" s="68" t="s">
        <v>166</v>
      </c>
      <c r="N5021" s="71"/>
      <c r="O5021" s="51"/>
    </row>
    <row r="5022">
      <c r="A5022" s="56">
        <v>5019.0</v>
      </c>
      <c r="B5022" s="240"/>
      <c r="C5022" s="69" t="s">
        <v>20229</v>
      </c>
      <c r="D5022" s="71"/>
      <c r="E5022" s="68" t="s">
        <v>20230</v>
      </c>
      <c r="F5022" s="76">
        <v>42874.0</v>
      </c>
      <c r="G5022" s="68" t="s">
        <v>20231</v>
      </c>
      <c r="H5022" s="71"/>
      <c r="I5022" s="71"/>
      <c r="J5022" s="68" t="s">
        <v>20232</v>
      </c>
      <c r="K5022" s="76">
        <v>43210.0</v>
      </c>
      <c r="L5022" s="68" t="s">
        <v>20052</v>
      </c>
      <c r="M5022" s="68" t="s">
        <v>166</v>
      </c>
      <c r="N5022" s="71"/>
      <c r="O5022" s="51"/>
    </row>
    <row r="5023">
      <c r="A5023" s="56">
        <v>5020.0</v>
      </c>
      <c r="B5023" s="240"/>
      <c r="C5023" s="69" t="s">
        <v>20233</v>
      </c>
      <c r="D5023" s="71"/>
      <c r="E5023" s="68" t="s">
        <v>20234</v>
      </c>
      <c r="F5023" s="76">
        <v>42936.0</v>
      </c>
      <c r="G5023" s="68" t="s">
        <v>20235</v>
      </c>
      <c r="H5023" s="71"/>
      <c r="I5023" s="71"/>
      <c r="J5023" s="68" t="s">
        <v>20236</v>
      </c>
      <c r="K5023" s="76">
        <v>43210.0</v>
      </c>
      <c r="L5023" s="68" t="s">
        <v>20052</v>
      </c>
      <c r="M5023" s="68" t="s">
        <v>166</v>
      </c>
      <c r="N5023" s="71"/>
      <c r="O5023" s="51"/>
    </row>
    <row r="5024">
      <c r="A5024" s="56">
        <v>5021.0</v>
      </c>
      <c r="B5024" s="240"/>
      <c r="C5024" s="69" t="s">
        <v>20237</v>
      </c>
      <c r="D5024" s="71"/>
      <c r="E5024" s="68" t="s">
        <v>20238</v>
      </c>
      <c r="F5024" s="76">
        <v>42933.0</v>
      </c>
      <c r="G5024" s="68" t="s">
        <v>20239</v>
      </c>
      <c r="H5024" s="71"/>
      <c r="I5024" s="71"/>
      <c r="J5024" s="68" t="s">
        <v>20240</v>
      </c>
      <c r="K5024" s="76">
        <v>43210.0</v>
      </c>
      <c r="L5024" s="68" t="s">
        <v>20052</v>
      </c>
      <c r="M5024" s="68" t="s">
        <v>166</v>
      </c>
      <c r="N5024" s="71"/>
      <c r="O5024" s="51"/>
    </row>
    <row r="5025">
      <c r="A5025" s="56">
        <v>5022.0</v>
      </c>
      <c r="B5025" s="241"/>
      <c r="C5025" s="64" t="s">
        <v>20241</v>
      </c>
      <c r="D5025" s="66"/>
      <c r="E5025" s="63" t="s">
        <v>20242</v>
      </c>
      <c r="F5025" s="70">
        <v>42936.0</v>
      </c>
      <c r="G5025" s="80" t="s">
        <v>20243</v>
      </c>
      <c r="H5025" s="82"/>
      <c r="I5025" s="66"/>
      <c r="J5025" s="63" t="s">
        <v>5653</v>
      </c>
      <c r="K5025" s="70">
        <v>43210.0</v>
      </c>
      <c r="L5025" s="63" t="s">
        <v>20052</v>
      </c>
      <c r="M5025" s="63" t="s">
        <v>166</v>
      </c>
      <c r="N5025" s="66"/>
      <c r="O5025" s="51"/>
    </row>
    <row r="5026">
      <c r="A5026" s="56">
        <v>5023.0</v>
      </c>
      <c r="B5026" s="240"/>
      <c r="C5026" s="69" t="s">
        <v>20244</v>
      </c>
      <c r="D5026" s="71"/>
      <c r="E5026" s="68" t="s">
        <v>20245</v>
      </c>
      <c r="F5026" s="76">
        <v>42941.0</v>
      </c>
      <c r="G5026" s="68" t="s">
        <v>20246</v>
      </c>
      <c r="H5026" s="71"/>
      <c r="I5026" s="71"/>
      <c r="J5026" s="68" t="s">
        <v>20247</v>
      </c>
      <c r="K5026" s="76">
        <v>43210.0</v>
      </c>
      <c r="L5026" s="68" t="s">
        <v>20052</v>
      </c>
      <c r="M5026" s="68" t="s">
        <v>166</v>
      </c>
      <c r="N5026" s="71"/>
      <c r="O5026" s="51"/>
    </row>
    <row r="5027">
      <c r="A5027" s="56">
        <v>5024.0</v>
      </c>
      <c r="B5027" s="240"/>
      <c r="C5027" s="69" t="s">
        <v>20248</v>
      </c>
      <c r="D5027" s="71"/>
      <c r="E5027" s="68" t="s">
        <v>20249</v>
      </c>
      <c r="F5027" s="76">
        <v>42942.0</v>
      </c>
      <c r="G5027" s="71"/>
      <c r="H5027" s="71"/>
      <c r="I5027" s="71"/>
      <c r="J5027" s="68" t="s">
        <v>20250</v>
      </c>
      <c r="K5027" s="76">
        <v>43210.0</v>
      </c>
      <c r="L5027" s="68" t="s">
        <v>20052</v>
      </c>
      <c r="M5027" s="68" t="s">
        <v>166</v>
      </c>
      <c r="N5027" s="71"/>
      <c r="O5027" s="51"/>
    </row>
    <row r="5028">
      <c r="A5028" s="56">
        <v>5025.0</v>
      </c>
      <c r="B5028" s="240"/>
      <c r="C5028" s="69" t="s">
        <v>20251</v>
      </c>
      <c r="D5028" s="71"/>
      <c r="E5028" s="68" t="s">
        <v>20252</v>
      </c>
      <c r="F5028" s="76">
        <v>42948.0</v>
      </c>
      <c r="G5028" s="68" t="s">
        <v>20253</v>
      </c>
      <c r="H5028" s="71"/>
      <c r="I5028" s="71"/>
      <c r="J5028" s="68" t="s">
        <v>20254</v>
      </c>
      <c r="K5028" s="76">
        <v>43210.0</v>
      </c>
      <c r="L5028" s="68" t="s">
        <v>20052</v>
      </c>
      <c r="M5028" s="68" t="s">
        <v>166</v>
      </c>
      <c r="N5028" s="71"/>
      <c r="O5028" s="51"/>
    </row>
    <row r="5029">
      <c r="A5029" s="56">
        <v>5026.0</v>
      </c>
      <c r="B5029" s="240"/>
      <c r="C5029" s="69" t="s">
        <v>20255</v>
      </c>
      <c r="D5029" s="71"/>
      <c r="E5029" s="68" t="s">
        <v>20256</v>
      </c>
      <c r="F5029" s="76">
        <v>42972.0</v>
      </c>
      <c r="G5029" s="68" t="s">
        <v>20257</v>
      </c>
      <c r="H5029" s="71"/>
      <c r="I5029" s="71"/>
      <c r="J5029" s="68" t="s">
        <v>20258</v>
      </c>
      <c r="K5029" s="76">
        <v>43210.0</v>
      </c>
      <c r="L5029" s="68" t="s">
        <v>20052</v>
      </c>
      <c r="M5029" s="68" t="s">
        <v>166</v>
      </c>
      <c r="N5029" s="71"/>
      <c r="O5029" s="51"/>
    </row>
    <row r="5030">
      <c r="A5030" s="56">
        <v>5027.0</v>
      </c>
      <c r="B5030" s="240"/>
      <c r="C5030" s="69" t="s">
        <v>20259</v>
      </c>
      <c r="D5030" s="71"/>
      <c r="E5030" s="68" t="s">
        <v>20260</v>
      </c>
      <c r="F5030" s="76">
        <v>42986.0</v>
      </c>
      <c r="G5030" s="71"/>
      <c r="H5030" s="71"/>
      <c r="I5030" s="71"/>
      <c r="J5030" s="68" t="s">
        <v>20261</v>
      </c>
      <c r="K5030" s="76">
        <v>43210.0</v>
      </c>
      <c r="L5030" s="68" t="s">
        <v>20052</v>
      </c>
      <c r="M5030" s="68" t="s">
        <v>166</v>
      </c>
      <c r="N5030" s="71"/>
      <c r="O5030" s="51"/>
    </row>
    <row r="5031">
      <c r="A5031" s="56">
        <v>5028.0</v>
      </c>
      <c r="B5031" s="240"/>
      <c r="C5031" s="69" t="s">
        <v>20262</v>
      </c>
      <c r="D5031" s="71"/>
      <c r="E5031" s="68" t="s">
        <v>20263</v>
      </c>
      <c r="F5031" s="83">
        <v>43054.0</v>
      </c>
      <c r="G5031" s="68" t="s">
        <v>20264</v>
      </c>
      <c r="H5031" s="71"/>
      <c r="I5031" s="71"/>
      <c r="J5031" s="68" t="s">
        <v>20265</v>
      </c>
      <c r="K5031" s="76">
        <v>43210.0</v>
      </c>
      <c r="L5031" s="68" t="s">
        <v>20052</v>
      </c>
      <c r="M5031" s="68" t="s">
        <v>166</v>
      </c>
      <c r="N5031" s="71"/>
      <c r="O5031" s="51"/>
    </row>
    <row r="5032">
      <c r="A5032" s="56">
        <v>5029.0</v>
      </c>
      <c r="B5032" s="240"/>
      <c r="C5032" s="69" t="s">
        <v>20266</v>
      </c>
      <c r="D5032" s="71"/>
      <c r="E5032" s="68" t="s">
        <v>20267</v>
      </c>
      <c r="F5032" s="83">
        <v>43056.0</v>
      </c>
      <c r="G5032" s="68" t="s">
        <v>20268</v>
      </c>
      <c r="H5032" s="71"/>
      <c r="I5032" s="71"/>
      <c r="J5032" s="68" t="s">
        <v>20269</v>
      </c>
      <c r="K5032" s="76">
        <v>43210.0</v>
      </c>
      <c r="L5032" s="68" t="s">
        <v>20052</v>
      </c>
      <c r="M5032" s="68" t="s">
        <v>166</v>
      </c>
      <c r="N5032" s="71"/>
      <c r="O5032" s="51"/>
    </row>
    <row r="5033">
      <c r="A5033" s="56">
        <v>5030.0</v>
      </c>
      <c r="B5033" s="240"/>
      <c r="C5033" s="69" t="s">
        <v>20270</v>
      </c>
      <c r="D5033" s="71"/>
      <c r="E5033" s="68" t="s">
        <v>20271</v>
      </c>
      <c r="F5033" s="76">
        <v>42958.0</v>
      </c>
      <c r="G5033" s="68" t="s">
        <v>20272</v>
      </c>
      <c r="H5033" s="71"/>
      <c r="I5033" s="71"/>
      <c r="J5033" s="87" t="s">
        <v>20273</v>
      </c>
      <c r="K5033" s="76">
        <v>43210.0</v>
      </c>
      <c r="L5033" s="68" t="s">
        <v>20052</v>
      </c>
      <c r="M5033" s="68" t="s">
        <v>166</v>
      </c>
      <c r="N5033" s="66"/>
      <c r="O5033" s="51"/>
    </row>
    <row r="5034">
      <c r="A5034" s="56">
        <v>5031.0</v>
      </c>
      <c r="B5034" s="240"/>
      <c r="C5034" s="69" t="s">
        <v>20274</v>
      </c>
      <c r="D5034" s="71"/>
      <c r="E5034" s="68" t="s">
        <v>20275</v>
      </c>
      <c r="F5034" s="83">
        <v>43051.0</v>
      </c>
      <c r="G5034" s="71"/>
      <c r="H5034" s="71"/>
      <c r="I5034" s="71"/>
      <c r="J5034" s="68" t="s">
        <v>20276</v>
      </c>
      <c r="K5034" s="76">
        <v>43210.0</v>
      </c>
      <c r="L5034" s="68" t="s">
        <v>20052</v>
      </c>
      <c r="M5034" s="68" t="s">
        <v>166</v>
      </c>
      <c r="N5034" s="71"/>
      <c r="O5034" s="51"/>
    </row>
    <row r="5035">
      <c r="A5035" s="56">
        <v>5032.0</v>
      </c>
      <c r="B5035" s="240"/>
      <c r="C5035" s="69" t="s">
        <v>20277</v>
      </c>
      <c r="D5035" s="71"/>
      <c r="E5035" s="68" t="s">
        <v>20278</v>
      </c>
      <c r="F5035" s="83">
        <v>43085.0</v>
      </c>
      <c r="G5035" s="71"/>
      <c r="H5035" s="71"/>
      <c r="I5035" s="71"/>
      <c r="J5035" s="68" t="s">
        <v>20180</v>
      </c>
      <c r="K5035" s="76">
        <v>43210.0</v>
      </c>
      <c r="L5035" s="68" t="s">
        <v>20052</v>
      </c>
      <c r="M5035" s="68" t="s">
        <v>166</v>
      </c>
      <c r="N5035" s="71"/>
      <c r="O5035" s="51"/>
    </row>
    <row r="5036">
      <c r="A5036" s="56">
        <v>5033.0</v>
      </c>
      <c r="B5036" s="240"/>
      <c r="C5036" s="69" t="s">
        <v>20279</v>
      </c>
      <c r="D5036" s="71"/>
      <c r="E5036" s="68" t="s">
        <v>20280</v>
      </c>
      <c r="F5036" s="76">
        <v>43074.0</v>
      </c>
      <c r="G5036" s="71"/>
      <c r="H5036" s="71"/>
      <c r="I5036" s="71"/>
      <c r="J5036" s="68" t="s">
        <v>20281</v>
      </c>
      <c r="K5036" s="76">
        <v>43210.0</v>
      </c>
      <c r="L5036" s="68" t="s">
        <v>20052</v>
      </c>
      <c r="M5036" s="68" t="s">
        <v>166</v>
      </c>
      <c r="N5036" s="71"/>
      <c r="O5036" s="51"/>
    </row>
    <row r="5037">
      <c r="A5037" s="56">
        <v>5034.0</v>
      </c>
      <c r="B5037" s="240"/>
      <c r="C5037" s="69" t="s">
        <v>20282</v>
      </c>
      <c r="D5037" s="71"/>
      <c r="E5037" s="68" t="s">
        <v>20283</v>
      </c>
      <c r="F5037" s="83">
        <v>43088.0</v>
      </c>
      <c r="G5037" s="71"/>
      <c r="H5037" s="71"/>
      <c r="I5037" s="71"/>
      <c r="J5037" s="68" t="s">
        <v>20284</v>
      </c>
      <c r="K5037" s="76">
        <v>43210.0</v>
      </c>
      <c r="L5037" s="68" t="s">
        <v>20052</v>
      </c>
      <c r="M5037" s="68" t="s">
        <v>166</v>
      </c>
      <c r="N5037" s="71"/>
      <c r="O5037" s="51"/>
    </row>
    <row r="5038">
      <c r="A5038" s="56">
        <v>5035.0</v>
      </c>
      <c r="B5038" s="240"/>
      <c r="C5038" s="69" t="s">
        <v>20285</v>
      </c>
      <c r="D5038" s="71"/>
      <c r="E5038" s="68" t="s">
        <v>20286</v>
      </c>
      <c r="F5038" s="83">
        <v>43089.0</v>
      </c>
      <c r="G5038" s="71"/>
      <c r="H5038" s="71"/>
      <c r="I5038" s="71"/>
      <c r="J5038" s="68" t="s">
        <v>20287</v>
      </c>
      <c r="K5038" s="76">
        <v>43210.0</v>
      </c>
      <c r="L5038" s="68" t="s">
        <v>20052</v>
      </c>
      <c r="M5038" s="68" t="s">
        <v>166</v>
      </c>
      <c r="N5038" s="71"/>
      <c r="O5038" s="51"/>
    </row>
    <row r="5039">
      <c r="A5039" s="56">
        <v>5036.0</v>
      </c>
      <c r="B5039" s="240"/>
      <c r="C5039" s="69" t="s">
        <v>20288</v>
      </c>
      <c r="D5039" s="71"/>
      <c r="E5039" s="68" t="s">
        <v>20289</v>
      </c>
      <c r="F5039" s="83">
        <v>43098.0</v>
      </c>
      <c r="G5039" s="68" t="s">
        <v>20290</v>
      </c>
      <c r="H5039" s="71"/>
      <c r="I5039" s="71"/>
      <c r="J5039" s="68" t="s">
        <v>20291</v>
      </c>
      <c r="K5039" s="76">
        <v>43210.0</v>
      </c>
      <c r="L5039" s="68" t="s">
        <v>20052</v>
      </c>
      <c r="M5039" s="68" t="s">
        <v>166</v>
      </c>
      <c r="N5039" s="71"/>
      <c r="O5039" s="51"/>
    </row>
    <row r="5040">
      <c r="A5040" s="56">
        <v>5037.0</v>
      </c>
      <c r="B5040" s="240"/>
      <c r="C5040" s="69" t="s">
        <v>20292</v>
      </c>
      <c r="D5040" s="71"/>
      <c r="E5040" s="68" t="s">
        <v>20293</v>
      </c>
      <c r="F5040" s="76">
        <v>43116.0</v>
      </c>
      <c r="G5040" s="68" t="s">
        <v>20294</v>
      </c>
      <c r="H5040" s="71"/>
      <c r="I5040" s="71"/>
      <c r="J5040" s="238" t="s">
        <v>20295</v>
      </c>
      <c r="K5040" s="225">
        <v>43210.0</v>
      </c>
      <c r="L5040" s="68" t="s">
        <v>20052</v>
      </c>
      <c r="M5040" s="68" t="s">
        <v>166</v>
      </c>
      <c r="N5040" s="71"/>
      <c r="O5040" s="51"/>
    </row>
    <row r="5041">
      <c r="A5041" s="56">
        <v>5038.0</v>
      </c>
      <c r="B5041" s="241"/>
      <c r="C5041" s="64" t="s">
        <v>20296</v>
      </c>
      <c r="D5041" s="66"/>
      <c r="E5041" s="63" t="s">
        <v>20297</v>
      </c>
      <c r="F5041" s="70">
        <v>43119.0</v>
      </c>
      <c r="G5041" s="80" t="s">
        <v>20298</v>
      </c>
      <c r="H5041" s="82"/>
      <c r="I5041" s="66"/>
      <c r="J5041" s="74" t="s">
        <v>5653</v>
      </c>
      <c r="K5041" s="70">
        <v>43210.0</v>
      </c>
      <c r="L5041" s="63" t="s">
        <v>20052</v>
      </c>
      <c r="M5041" s="63" t="s">
        <v>166</v>
      </c>
      <c r="N5041" s="66"/>
      <c r="O5041" s="51"/>
    </row>
    <row r="5042">
      <c r="A5042" s="56">
        <v>5039.0</v>
      </c>
      <c r="B5042" s="240"/>
      <c r="C5042" s="69" t="s">
        <v>20299</v>
      </c>
      <c r="D5042" s="71"/>
      <c r="E5042" s="68" t="s">
        <v>20300</v>
      </c>
      <c r="F5042" s="76">
        <v>43120.0</v>
      </c>
      <c r="G5042" s="68" t="s">
        <v>20301</v>
      </c>
      <c r="H5042" s="71"/>
      <c r="I5042" s="71"/>
      <c r="J5042" s="68" t="s">
        <v>20302</v>
      </c>
      <c r="K5042" s="76">
        <v>43210.0</v>
      </c>
      <c r="L5042" s="68" t="s">
        <v>20052</v>
      </c>
      <c r="M5042" s="68" t="s">
        <v>166</v>
      </c>
      <c r="N5042" s="71"/>
      <c r="O5042" s="51"/>
    </row>
    <row r="5043">
      <c r="A5043" s="56">
        <v>5040.0</v>
      </c>
      <c r="B5043" s="240"/>
      <c r="C5043" s="69" t="s">
        <v>20303</v>
      </c>
      <c r="D5043" s="71"/>
      <c r="E5043" s="68" t="s">
        <v>20304</v>
      </c>
      <c r="F5043" s="76">
        <v>43126.0</v>
      </c>
      <c r="G5043" s="71"/>
      <c r="H5043" s="71"/>
      <c r="I5043" s="71"/>
      <c r="J5043" s="68" t="s">
        <v>20305</v>
      </c>
      <c r="K5043" s="76">
        <v>43210.0</v>
      </c>
      <c r="L5043" s="68" t="s">
        <v>20052</v>
      </c>
      <c r="M5043" s="68" t="s">
        <v>166</v>
      </c>
      <c r="N5043" s="71"/>
      <c r="O5043" s="51"/>
    </row>
    <row r="5044">
      <c r="A5044" s="56">
        <v>5041.0</v>
      </c>
      <c r="B5044" s="240"/>
      <c r="C5044" s="69" t="s">
        <v>20306</v>
      </c>
      <c r="D5044" s="71"/>
      <c r="E5044" s="68" t="s">
        <v>20307</v>
      </c>
      <c r="F5044" s="76">
        <v>43148.0</v>
      </c>
      <c r="G5044" s="68" t="s">
        <v>20308</v>
      </c>
      <c r="H5044" s="71"/>
      <c r="I5044" s="71"/>
      <c r="J5044" s="117" t="s">
        <v>20309</v>
      </c>
      <c r="K5044" s="225">
        <v>43210.0</v>
      </c>
      <c r="L5044" s="68" t="s">
        <v>20052</v>
      </c>
      <c r="M5044" s="68" t="s">
        <v>166</v>
      </c>
      <c r="N5044" s="71"/>
      <c r="O5044" s="51"/>
    </row>
    <row r="5045">
      <c r="A5045" s="56">
        <v>5042.0</v>
      </c>
      <c r="B5045" s="240"/>
      <c r="C5045" s="69" t="s">
        <v>20310</v>
      </c>
      <c r="D5045" s="71"/>
      <c r="E5045" s="68" t="s">
        <v>20311</v>
      </c>
      <c r="F5045" s="76">
        <v>43197.0</v>
      </c>
      <c r="G5045" s="68" t="s">
        <v>20312</v>
      </c>
      <c r="H5045" s="71"/>
      <c r="I5045" s="71"/>
      <c r="J5045" s="128" t="s">
        <v>20313</v>
      </c>
      <c r="K5045" s="76">
        <v>43210.0</v>
      </c>
      <c r="L5045" s="68" t="s">
        <v>20052</v>
      </c>
      <c r="M5045" s="68" t="s">
        <v>166</v>
      </c>
      <c r="N5045" s="71"/>
      <c r="O5045" s="51"/>
    </row>
    <row r="5046">
      <c r="A5046" s="56">
        <v>5043.0</v>
      </c>
      <c r="B5046" s="240"/>
      <c r="C5046" s="69" t="s">
        <v>20314</v>
      </c>
      <c r="D5046" s="71"/>
      <c r="E5046" s="68" t="s">
        <v>20315</v>
      </c>
      <c r="F5046" s="76">
        <v>43102.0</v>
      </c>
      <c r="G5046" s="68" t="s">
        <v>20316</v>
      </c>
      <c r="H5046" s="71"/>
      <c r="I5046" s="71"/>
      <c r="J5046" s="68" t="s">
        <v>20317</v>
      </c>
      <c r="K5046" s="76">
        <v>43210.0</v>
      </c>
      <c r="L5046" s="68" t="s">
        <v>20052</v>
      </c>
      <c r="M5046" s="68" t="s">
        <v>166</v>
      </c>
      <c r="N5046" s="71"/>
      <c r="O5046" s="51"/>
    </row>
    <row r="5047">
      <c r="A5047" s="56">
        <v>5044.0</v>
      </c>
      <c r="B5047" s="240"/>
      <c r="C5047" s="69" t="s">
        <v>20318</v>
      </c>
      <c r="D5047" s="71"/>
      <c r="E5047" s="68" t="s">
        <v>20319</v>
      </c>
      <c r="F5047" s="76">
        <v>43200.0</v>
      </c>
      <c r="G5047" s="68" t="s">
        <v>20320</v>
      </c>
      <c r="H5047" s="71"/>
      <c r="I5047" s="71"/>
      <c r="J5047" s="68" t="s">
        <v>20321</v>
      </c>
      <c r="K5047" s="76">
        <v>43210.0</v>
      </c>
      <c r="L5047" s="68" t="s">
        <v>20052</v>
      </c>
      <c r="M5047" s="68" t="s">
        <v>166</v>
      </c>
      <c r="N5047" s="71"/>
      <c r="O5047" s="51"/>
    </row>
    <row r="5048">
      <c r="A5048" s="56">
        <v>5045.0</v>
      </c>
      <c r="B5048" s="240"/>
      <c r="C5048" s="69" t="s">
        <v>20322</v>
      </c>
      <c r="D5048" s="71"/>
      <c r="E5048" s="68" t="s">
        <v>20323</v>
      </c>
      <c r="F5048" s="76">
        <v>43196.0</v>
      </c>
      <c r="G5048" s="68" t="s">
        <v>20324</v>
      </c>
      <c r="H5048" s="71"/>
      <c r="I5048" s="71"/>
      <c r="J5048" s="68" t="s">
        <v>20325</v>
      </c>
      <c r="K5048" s="76">
        <v>43210.0</v>
      </c>
      <c r="L5048" s="68" t="s">
        <v>20052</v>
      </c>
      <c r="M5048" s="68" t="s">
        <v>166</v>
      </c>
      <c r="N5048" s="71"/>
      <c r="O5048" s="51"/>
    </row>
    <row r="5049">
      <c r="A5049" s="56">
        <v>5046.0</v>
      </c>
      <c r="B5049" s="241"/>
      <c r="C5049" s="64" t="s">
        <v>20326</v>
      </c>
      <c r="D5049" s="66"/>
      <c r="E5049" s="63" t="s">
        <v>20327</v>
      </c>
      <c r="F5049" s="65">
        <v>42714.0</v>
      </c>
      <c r="G5049" s="80" t="s">
        <v>20328</v>
      </c>
      <c r="H5049" s="82"/>
      <c r="I5049" s="66"/>
      <c r="J5049" s="63" t="s">
        <v>5679</v>
      </c>
      <c r="K5049" s="70">
        <v>43210.0</v>
      </c>
      <c r="L5049" s="63" t="s">
        <v>20329</v>
      </c>
      <c r="M5049" s="63" t="s">
        <v>1509</v>
      </c>
      <c r="N5049" s="66"/>
      <c r="O5049" s="51"/>
    </row>
    <row r="5050">
      <c r="A5050" s="56">
        <v>5047.0</v>
      </c>
      <c r="B5050" s="240"/>
      <c r="C5050" s="69" t="s">
        <v>20330</v>
      </c>
      <c r="D5050" s="71"/>
      <c r="E5050" s="68" t="s">
        <v>20331</v>
      </c>
      <c r="F5050" s="76">
        <v>43204.0</v>
      </c>
      <c r="G5050" s="68" t="s">
        <v>20332</v>
      </c>
      <c r="H5050" s="71"/>
      <c r="I5050" s="71"/>
      <c r="J5050" s="68" t="s">
        <v>20333</v>
      </c>
      <c r="K5050" s="76">
        <v>43211.0</v>
      </c>
      <c r="L5050" s="68" t="s">
        <v>2743</v>
      </c>
      <c r="M5050" s="68" t="s">
        <v>31</v>
      </c>
      <c r="N5050" s="71"/>
      <c r="O5050" s="51"/>
    </row>
    <row r="5051">
      <c r="A5051" s="56">
        <v>5048.0</v>
      </c>
      <c r="B5051" s="240"/>
      <c r="C5051" s="69" t="s">
        <v>20334</v>
      </c>
      <c r="D5051" s="71"/>
      <c r="E5051" s="68" t="s">
        <v>20335</v>
      </c>
      <c r="F5051" s="76">
        <v>41454.0</v>
      </c>
      <c r="G5051" s="68" t="s">
        <v>20336</v>
      </c>
      <c r="H5051" s="71"/>
      <c r="I5051" s="71"/>
      <c r="J5051" s="87" t="s">
        <v>20337</v>
      </c>
      <c r="K5051" s="76">
        <v>43211.0</v>
      </c>
      <c r="L5051" s="68" t="s">
        <v>2743</v>
      </c>
      <c r="M5051" s="68" t="s">
        <v>4749</v>
      </c>
      <c r="N5051" s="71"/>
      <c r="O5051" s="51"/>
    </row>
    <row r="5052">
      <c r="A5052" s="56">
        <v>5049.0</v>
      </c>
      <c r="B5052" s="240"/>
      <c r="C5052" s="69" t="s">
        <v>20338</v>
      </c>
      <c r="D5052" s="71"/>
      <c r="E5052" s="68" t="s">
        <v>20339</v>
      </c>
      <c r="F5052" s="76">
        <v>43163.0</v>
      </c>
      <c r="G5052" s="68" t="s">
        <v>20340</v>
      </c>
      <c r="H5052" s="71"/>
      <c r="I5052" s="71"/>
      <c r="J5052" s="68" t="s">
        <v>20341</v>
      </c>
      <c r="K5052" s="76">
        <v>43215.0</v>
      </c>
      <c r="L5052" s="68" t="s">
        <v>14256</v>
      </c>
      <c r="M5052" s="68" t="s">
        <v>27</v>
      </c>
      <c r="N5052" s="71"/>
      <c r="O5052" s="51"/>
    </row>
    <row r="5053">
      <c r="A5053" s="56">
        <v>5050.0</v>
      </c>
      <c r="B5053" s="240"/>
      <c r="C5053" s="69" t="s">
        <v>20342</v>
      </c>
      <c r="D5053" s="71"/>
      <c r="E5053" s="68" t="s">
        <v>20343</v>
      </c>
      <c r="F5053" s="76">
        <v>43171.0</v>
      </c>
      <c r="G5053" s="68" t="s">
        <v>20344</v>
      </c>
      <c r="H5053" s="71"/>
      <c r="I5053" s="71"/>
      <c r="J5053" s="68" t="s">
        <v>20345</v>
      </c>
      <c r="K5053" s="76">
        <v>43215.0</v>
      </c>
      <c r="L5053" s="68" t="s">
        <v>14256</v>
      </c>
      <c r="M5053" s="68" t="s">
        <v>166</v>
      </c>
      <c r="N5053" s="66"/>
      <c r="O5053" s="51"/>
    </row>
    <row r="5054">
      <c r="A5054" s="56">
        <v>5051.0</v>
      </c>
      <c r="B5054" s="240"/>
      <c r="C5054" s="69" t="s">
        <v>20346</v>
      </c>
      <c r="D5054" s="71"/>
      <c r="E5054" s="68" t="s">
        <v>20347</v>
      </c>
      <c r="F5054" s="76">
        <v>42221.0</v>
      </c>
      <c r="G5054" s="68" t="s">
        <v>20348</v>
      </c>
      <c r="H5054" s="71"/>
      <c r="I5054" s="68" t="s">
        <v>20349</v>
      </c>
      <c r="J5054" s="68" t="s">
        <v>20350</v>
      </c>
      <c r="K5054" s="76">
        <v>43215.0</v>
      </c>
      <c r="L5054" s="68" t="s">
        <v>2743</v>
      </c>
      <c r="M5054" s="68" t="s">
        <v>10279</v>
      </c>
      <c r="N5054" s="71"/>
      <c r="O5054" s="51"/>
    </row>
    <row r="5055">
      <c r="A5055" s="56">
        <v>5052.0</v>
      </c>
      <c r="B5055" s="241"/>
      <c r="C5055" s="64" t="s">
        <v>20351</v>
      </c>
      <c r="D5055" s="66"/>
      <c r="E5055" s="63" t="s">
        <v>20352</v>
      </c>
      <c r="F5055" s="70">
        <v>40282.0</v>
      </c>
      <c r="G5055" s="80" t="s">
        <v>20353</v>
      </c>
      <c r="H5055" s="82"/>
      <c r="I5055" s="66"/>
      <c r="J5055" s="63" t="s">
        <v>5679</v>
      </c>
      <c r="K5055" s="70">
        <v>43215.0</v>
      </c>
      <c r="L5055" s="63" t="s">
        <v>2743</v>
      </c>
      <c r="M5055" s="63" t="s">
        <v>1516</v>
      </c>
      <c r="N5055" s="66"/>
      <c r="O5055" s="51"/>
    </row>
    <row r="5056">
      <c r="A5056" s="75">
        <v>5053.0</v>
      </c>
      <c r="B5056" s="240"/>
      <c r="C5056" s="69" t="s">
        <v>20354</v>
      </c>
      <c r="D5056" s="71"/>
      <c r="E5056" s="68" t="s">
        <v>20355</v>
      </c>
      <c r="F5056" s="76">
        <v>41821.0</v>
      </c>
      <c r="G5056" s="68" t="s">
        <v>20356</v>
      </c>
      <c r="H5056" s="71"/>
      <c r="I5056" s="71"/>
      <c r="J5056" s="68" t="s">
        <v>20357</v>
      </c>
      <c r="K5056" s="76">
        <v>43215.0</v>
      </c>
      <c r="L5056" s="68" t="s">
        <v>2743</v>
      </c>
      <c r="M5056" s="68" t="s">
        <v>125</v>
      </c>
      <c r="N5056" s="71"/>
      <c r="O5056" s="51"/>
    </row>
    <row r="5057">
      <c r="A5057" s="56">
        <v>5054.0</v>
      </c>
      <c r="B5057" s="241"/>
      <c r="C5057" s="64" t="s">
        <v>20358</v>
      </c>
      <c r="D5057" s="66"/>
      <c r="E5057" s="63" t="s">
        <v>20359</v>
      </c>
      <c r="F5057" s="70">
        <v>40282.0</v>
      </c>
      <c r="G5057" s="80" t="s">
        <v>20360</v>
      </c>
      <c r="H5057" s="82"/>
      <c r="I5057" s="66"/>
      <c r="J5057" s="63" t="s">
        <v>5679</v>
      </c>
      <c r="K5057" s="70">
        <v>43215.0</v>
      </c>
      <c r="L5057" s="63" t="s">
        <v>2743</v>
      </c>
      <c r="M5057" s="63" t="s">
        <v>2466</v>
      </c>
      <c r="N5057" s="66"/>
      <c r="O5057" s="51"/>
    </row>
    <row r="5058">
      <c r="A5058" s="56">
        <v>5055.0</v>
      </c>
      <c r="B5058" s="241"/>
      <c r="C5058" s="64" t="s">
        <v>20361</v>
      </c>
      <c r="D5058" s="66"/>
      <c r="E5058" s="63" t="s">
        <v>20362</v>
      </c>
      <c r="F5058" s="70">
        <v>40282.0</v>
      </c>
      <c r="G5058" s="80" t="s">
        <v>20363</v>
      </c>
      <c r="H5058" s="82"/>
      <c r="I5058" s="66"/>
      <c r="J5058" s="63" t="s">
        <v>5679</v>
      </c>
      <c r="K5058" s="70">
        <v>43215.0</v>
      </c>
      <c r="L5058" s="63" t="s">
        <v>2743</v>
      </c>
      <c r="M5058" s="63" t="s">
        <v>2466</v>
      </c>
      <c r="N5058" s="66"/>
      <c r="O5058" s="51"/>
    </row>
    <row r="5059">
      <c r="A5059" s="56">
        <v>5056.0</v>
      </c>
      <c r="B5059" s="241"/>
      <c r="C5059" s="64" t="s">
        <v>20364</v>
      </c>
      <c r="D5059" s="66"/>
      <c r="E5059" s="63" t="s">
        <v>20365</v>
      </c>
      <c r="F5059" s="65">
        <v>41998.0</v>
      </c>
      <c r="G5059" s="80" t="s">
        <v>20366</v>
      </c>
      <c r="H5059" s="82"/>
      <c r="I5059" s="66"/>
      <c r="J5059" s="63" t="s">
        <v>6393</v>
      </c>
      <c r="K5059" s="70">
        <v>43215.0</v>
      </c>
      <c r="L5059" s="63" t="s">
        <v>2743</v>
      </c>
      <c r="M5059" s="63" t="s">
        <v>195</v>
      </c>
      <c r="N5059" s="66"/>
      <c r="O5059" s="51"/>
    </row>
    <row r="5060">
      <c r="A5060" s="56">
        <v>5057.0</v>
      </c>
      <c r="B5060" s="241"/>
      <c r="C5060" s="64" t="s">
        <v>20367</v>
      </c>
      <c r="D5060" s="66"/>
      <c r="E5060" s="63" t="s">
        <v>20368</v>
      </c>
      <c r="F5060" s="63" t="s">
        <v>20369</v>
      </c>
      <c r="G5060" s="80" t="s">
        <v>20370</v>
      </c>
      <c r="H5060" s="82"/>
      <c r="I5060" s="66"/>
      <c r="J5060" s="63" t="s">
        <v>136</v>
      </c>
      <c r="K5060" s="70">
        <v>43215.0</v>
      </c>
      <c r="L5060" s="63" t="s">
        <v>2743</v>
      </c>
      <c r="M5060" s="63" t="s">
        <v>125</v>
      </c>
      <c r="N5060" s="66"/>
      <c r="O5060" s="51"/>
    </row>
    <row r="5061">
      <c r="A5061" s="56">
        <v>5058.0</v>
      </c>
      <c r="B5061" s="241"/>
      <c r="C5061" s="64" t="s">
        <v>20371</v>
      </c>
      <c r="D5061" s="66"/>
      <c r="E5061" s="63" t="s">
        <v>20372</v>
      </c>
      <c r="F5061" s="63" t="s">
        <v>407</v>
      </c>
      <c r="G5061" s="80" t="s">
        <v>20373</v>
      </c>
      <c r="H5061" s="51"/>
      <c r="I5061" s="167"/>
      <c r="J5061" s="63" t="s">
        <v>6393</v>
      </c>
      <c r="K5061" s="70">
        <v>43215.0</v>
      </c>
      <c r="L5061" s="63" t="s">
        <v>2743</v>
      </c>
      <c r="M5061" s="63" t="s">
        <v>195</v>
      </c>
      <c r="N5061" s="66"/>
      <c r="O5061" s="51"/>
    </row>
    <row r="5062">
      <c r="A5062" s="75">
        <v>5059.0</v>
      </c>
      <c r="B5062" s="240"/>
      <c r="C5062" s="69" t="s">
        <v>20374</v>
      </c>
      <c r="D5062" s="71"/>
      <c r="E5062" s="68" t="s">
        <v>20375</v>
      </c>
      <c r="F5062" s="83">
        <v>42653.0</v>
      </c>
      <c r="G5062" s="68" t="s">
        <v>20376</v>
      </c>
      <c r="H5062" s="111"/>
      <c r="I5062" s="71"/>
      <c r="J5062" s="68" t="s">
        <v>8147</v>
      </c>
      <c r="K5062" s="76">
        <v>43215.0</v>
      </c>
      <c r="L5062" s="68" t="s">
        <v>2743</v>
      </c>
      <c r="M5062" s="68" t="s">
        <v>542</v>
      </c>
      <c r="N5062" s="71"/>
      <c r="O5062" s="51"/>
    </row>
    <row r="5063">
      <c r="A5063" s="56">
        <v>5060.0</v>
      </c>
      <c r="B5063" s="240"/>
      <c r="C5063" s="69" t="s">
        <v>20377</v>
      </c>
      <c r="D5063" s="71"/>
      <c r="E5063" s="68" t="s">
        <v>20378</v>
      </c>
      <c r="F5063" s="76">
        <v>41714.0</v>
      </c>
      <c r="G5063" s="68" t="s">
        <v>20379</v>
      </c>
      <c r="H5063" s="71"/>
      <c r="I5063" s="71"/>
      <c r="J5063" s="68" t="s">
        <v>20380</v>
      </c>
      <c r="K5063" s="76">
        <v>43215.0</v>
      </c>
      <c r="L5063" s="68" t="s">
        <v>2743</v>
      </c>
      <c r="M5063" s="68" t="s">
        <v>166</v>
      </c>
      <c r="N5063" s="71"/>
      <c r="O5063" s="51"/>
    </row>
    <row r="5064">
      <c r="A5064" s="56">
        <v>5061.0</v>
      </c>
      <c r="B5064" s="241"/>
      <c r="C5064" s="64" t="s">
        <v>20381</v>
      </c>
      <c r="D5064" s="66"/>
      <c r="E5064" s="63" t="s">
        <v>20382</v>
      </c>
      <c r="F5064" s="70">
        <v>42340.0</v>
      </c>
      <c r="G5064" s="80" t="s">
        <v>20383</v>
      </c>
      <c r="H5064" s="80" t="s">
        <v>20384</v>
      </c>
      <c r="I5064" s="63" t="s">
        <v>20385</v>
      </c>
      <c r="J5064" s="63" t="s">
        <v>10817</v>
      </c>
      <c r="K5064" s="70">
        <v>43215.0</v>
      </c>
      <c r="L5064" s="63" t="s">
        <v>2743</v>
      </c>
      <c r="M5064" s="63" t="s">
        <v>31</v>
      </c>
      <c r="N5064" s="66"/>
      <c r="O5064" s="51"/>
    </row>
    <row r="5065">
      <c r="A5065" s="56">
        <v>5062.0</v>
      </c>
      <c r="B5065" s="240"/>
      <c r="C5065" s="69" t="s">
        <v>20386</v>
      </c>
      <c r="D5065" s="71"/>
      <c r="E5065" s="68" t="s">
        <v>20387</v>
      </c>
      <c r="F5065" s="83">
        <v>43056.0</v>
      </c>
      <c r="G5065" s="68" t="s">
        <v>20388</v>
      </c>
      <c r="H5065" s="82"/>
      <c r="I5065" s="71"/>
      <c r="J5065" s="68" t="s">
        <v>20389</v>
      </c>
      <c r="K5065" s="76">
        <v>43215.0</v>
      </c>
      <c r="L5065" s="68" t="s">
        <v>2743</v>
      </c>
      <c r="M5065" s="68" t="s">
        <v>143</v>
      </c>
      <c r="N5065" s="71"/>
      <c r="O5065" s="51"/>
    </row>
    <row r="5066">
      <c r="A5066" s="56">
        <v>5063.0</v>
      </c>
      <c r="B5066" s="240"/>
      <c r="C5066" s="69" t="s">
        <v>20390</v>
      </c>
      <c r="D5066" s="71"/>
      <c r="E5066" s="68" t="s">
        <v>20391</v>
      </c>
      <c r="F5066" s="76">
        <v>42782.0</v>
      </c>
      <c r="G5066" s="68" t="s">
        <v>20392</v>
      </c>
      <c r="H5066" s="71"/>
      <c r="I5066" s="68" t="s">
        <v>20393</v>
      </c>
      <c r="J5066" s="68" t="s">
        <v>20394</v>
      </c>
      <c r="K5066" s="68">
        <v>2648.0</v>
      </c>
      <c r="L5066" s="68" t="s">
        <v>2743</v>
      </c>
      <c r="M5066" s="68" t="s">
        <v>368</v>
      </c>
      <c r="N5066" s="71"/>
      <c r="O5066" s="51"/>
    </row>
    <row r="5067">
      <c r="A5067" s="56">
        <v>5064.0</v>
      </c>
      <c r="B5067" s="240"/>
      <c r="C5067" s="69" t="s">
        <v>20395</v>
      </c>
      <c r="D5067" s="71"/>
      <c r="E5067" s="68" t="s">
        <v>20396</v>
      </c>
      <c r="F5067" s="76">
        <v>42782.0</v>
      </c>
      <c r="G5067" s="68" t="s">
        <v>20397</v>
      </c>
      <c r="H5067" s="71"/>
      <c r="I5067" s="71"/>
      <c r="J5067" s="68" t="s">
        <v>20398</v>
      </c>
      <c r="K5067" s="76">
        <v>43215.0</v>
      </c>
      <c r="L5067" s="68" t="s">
        <v>2743</v>
      </c>
      <c r="M5067" s="68" t="s">
        <v>143</v>
      </c>
      <c r="N5067" s="71"/>
      <c r="O5067" s="51"/>
    </row>
    <row r="5068">
      <c r="A5068" s="56">
        <v>5065.0</v>
      </c>
      <c r="B5068" s="240"/>
      <c r="C5068" s="69" t="s">
        <v>20399</v>
      </c>
      <c r="D5068" s="71"/>
      <c r="E5068" s="68" t="s">
        <v>20400</v>
      </c>
      <c r="F5068" s="76">
        <v>42917.0</v>
      </c>
      <c r="G5068" s="68" t="s">
        <v>20401</v>
      </c>
      <c r="H5068" s="71"/>
      <c r="I5068" s="71"/>
      <c r="J5068" s="68" t="s">
        <v>20402</v>
      </c>
      <c r="K5068" s="76">
        <v>43215.0</v>
      </c>
      <c r="L5068" s="68" t="s">
        <v>2743</v>
      </c>
      <c r="M5068" s="68" t="s">
        <v>4749</v>
      </c>
      <c r="N5068" s="71"/>
      <c r="O5068" s="51"/>
    </row>
    <row r="5069">
      <c r="A5069" s="56">
        <v>5066.0</v>
      </c>
      <c r="B5069" s="241"/>
      <c r="C5069" s="64" t="s">
        <v>20403</v>
      </c>
      <c r="D5069" s="66"/>
      <c r="E5069" s="63" t="s">
        <v>20404</v>
      </c>
      <c r="F5069" s="70">
        <v>42109.0</v>
      </c>
      <c r="G5069" s="80" t="s">
        <v>20405</v>
      </c>
      <c r="H5069" s="82"/>
      <c r="I5069" s="63" t="s">
        <v>20406</v>
      </c>
      <c r="J5069" s="63" t="s">
        <v>5679</v>
      </c>
      <c r="K5069" s="70">
        <v>43215.0</v>
      </c>
      <c r="L5069" s="63" t="s">
        <v>2743</v>
      </c>
      <c r="M5069" s="63" t="s">
        <v>368</v>
      </c>
      <c r="N5069" s="66"/>
      <c r="O5069" s="51"/>
    </row>
    <row r="5070">
      <c r="A5070" s="56">
        <v>5067.0</v>
      </c>
      <c r="B5070" s="241"/>
      <c r="C5070" s="64" t="s">
        <v>20407</v>
      </c>
      <c r="D5070" s="66"/>
      <c r="E5070" s="63" t="s">
        <v>20408</v>
      </c>
      <c r="F5070" s="63" t="s">
        <v>407</v>
      </c>
      <c r="G5070" s="80" t="s">
        <v>20409</v>
      </c>
      <c r="H5070" s="80" t="s">
        <v>439</v>
      </c>
      <c r="I5070" s="66"/>
      <c r="J5070" s="63" t="s">
        <v>6393</v>
      </c>
      <c r="K5070" s="70">
        <v>43215.0</v>
      </c>
      <c r="L5070" s="63" t="s">
        <v>2743</v>
      </c>
      <c r="M5070" s="63" t="s">
        <v>19603</v>
      </c>
      <c r="N5070" s="66"/>
      <c r="O5070" s="51"/>
    </row>
    <row r="5071">
      <c r="A5071" s="56">
        <v>5068.0</v>
      </c>
      <c r="B5071" s="240"/>
      <c r="C5071" s="69" t="s">
        <v>20410</v>
      </c>
      <c r="D5071" s="71"/>
      <c r="E5071" s="68" t="s">
        <v>20411</v>
      </c>
      <c r="F5071" s="76">
        <v>42937.0</v>
      </c>
      <c r="G5071" s="68" t="s">
        <v>20412</v>
      </c>
      <c r="H5071" s="71"/>
      <c r="I5071" s="71"/>
      <c r="J5071" s="87" t="s">
        <v>20413</v>
      </c>
      <c r="K5071" s="76">
        <v>43215.0</v>
      </c>
      <c r="L5071" s="68" t="s">
        <v>2743</v>
      </c>
      <c r="M5071" s="68" t="s">
        <v>195</v>
      </c>
      <c r="N5071" s="71"/>
      <c r="O5071" s="51"/>
    </row>
    <row r="5072">
      <c r="A5072" s="56">
        <v>5069.0</v>
      </c>
      <c r="B5072" s="240"/>
      <c r="C5072" s="69" t="s">
        <v>20414</v>
      </c>
      <c r="D5072" s="71"/>
      <c r="E5072" s="68" t="s">
        <v>20415</v>
      </c>
      <c r="F5072" s="76">
        <v>42783.0</v>
      </c>
      <c r="G5072" s="68" t="s">
        <v>20416</v>
      </c>
      <c r="H5072" s="71"/>
      <c r="I5072" s="71"/>
      <c r="J5072" s="68" t="s">
        <v>20417</v>
      </c>
      <c r="K5072" s="76">
        <v>43215.0</v>
      </c>
      <c r="L5072" s="68" t="s">
        <v>2743</v>
      </c>
      <c r="M5072" s="68" t="s">
        <v>166</v>
      </c>
      <c r="N5072" s="71"/>
      <c r="O5072" s="51"/>
    </row>
    <row r="5073">
      <c r="A5073" s="56">
        <v>5070.0</v>
      </c>
      <c r="B5073" s="241"/>
      <c r="C5073" s="64" t="s">
        <v>20418</v>
      </c>
      <c r="D5073" s="66"/>
      <c r="E5073" s="63" t="s">
        <v>20419</v>
      </c>
      <c r="F5073" s="70">
        <v>42552.0</v>
      </c>
      <c r="G5073" s="80" t="s">
        <v>20420</v>
      </c>
      <c r="H5073" s="82"/>
      <c r="I5073" s="66"/>
      <c r="J5073" s="63" t="s">
        <v>10817</v>
      </c>
      <c r="K5073" s="70">
        <v>43218.0</v>
      </c>
      <c r="L5073" s="63" t="s">
        <v>2743</v>
      </c>
      <c r="M5073" s="63" t="s">
        <v>31</v>
      </c>
      <c r="N5073" s="259" t="s">
        <v>20421</v>
      </c>
      <c r="O5073" s="51"/>
    </row>
    <row r="5074">
      <c r="A5074" s="56">
        <v>5071.0</v>
      </c>
      <c r="B5074" s="240"/>
      <c r="C5074" s="69" t="s">
        <v>20422</v>
      </c>
      <c r="D5074" s="71"/>
      <c r="E5074" s="68" t="s">
        <v>20423</v>
      </c>
      <c r="F5074" s="76">
        <v>43192.0</v>
      </c>
      <c r="G5074" s="68" t="s">
        <v>20424</v>
      </c>
      <c r="H5074" s="71"/>
      <c r="I5074" s="71"/>
      <c r="J5074" s="68" t="s">
        <v>20425</v>
      </c>
      <c r="K5074" s="76">
        <v>43229.0</v>
      </c>
      <c r="L5074" s="68" t="s">
        <v>2743</v>
      </c>
      <c r="M5074" s="68" t="s">
        <v>166</v>
      </c>
      <c r="N5074" s="254" t="s">
        <v>20426</v>
      </c>
      <c r="O5074" s="51"/>
    </row>
    <row r="5075">
      <c r="A5075" s="56">
        <v>5072.0</v>
      </c>
      <c r="B5075" s="241"/>
      <c r="C5075" s="64" t="s">
        <v>20427</v>
      </c>
      <c r="D5075" s="66"/>
      <c r="E5075" s="63" t="s">
        <v>20428</v>
      </c>
      <c r="F5075" s="70">
        <v>41862.0</v>
      </c>
      <c r="G5075" s="80" t="s">
        <v>20429</v>
      </c>
      <c r="H5075" s="80" t="s">
        <v>20430</v>
      </c>
      <c r="I5075" s="66"/>
      <c r="J5075" s="63" t="s">
        <v>6393</v>
      </c>
      <c r="K5075" s="70">
        <v>43229.0</v>
      </c>
      <c r="L5075" s="63" t="s">
        <v>2743</v>
      </c>
      <c r="M5075" s="63" t="s">
        <v>195</v>
      </c>
      <c r="N5075" s="175"/>
      <c r="O5075" s="51"/>
    </row>
    <row r="5076">
      <c r="A5076" s="56">
        <v>5073.0</v>
      </c>
      <c r="B5076" s="240"/>
      <c r="C5076" s="69" t="s">
        <v>20431</v>
      </c>
      <c r="D5076" s="71"/>
      <c r="E5076" s="68" t="s">
        <v>20432</v>
      </c>
      <c r="F5076" s="83">
        <v>43067.0</v>
      </c>
      <c r="G5076" s="68" t="s">
        <v>20433</v>
      </c>
      <c r="H5076" s="71"/>
      <c r="I5076" s="71"/>
      <c r="J5076" s="87" t="s">
        <v>20434</v>
      </c>
      <c r="K5076" s="76">
        <v>43229.0</v>
      </c>
      <c r="L5076" s="68" t="s">
        <v>2743</v>
      </c>
      <c r="M5076" s="68" t="s">
        <v>31</v>
      </c>
      <c r="N5076" s="71"/>
      <c r="O5076" s="51"/>
    </row>
    <row r="5077">
      <c r="A5077" s="56">
        <v>5074.0</v>
      </c>
      <c r="B5077" s="240"/>
      <c r="C5077" s="69" t="s">
        <v>20435</v>
      </c>
      <c r="D5077" s="71"/>
      <c r="E5077" s="68" t="s">
        <v>20436</v>
      </c>
      <c r="F5077" s="76">
        <v>39951.0</v>
      </c>
      <c r="G5077" s="68" t="s">
        <v>20437</v>
      </c>
      <c r="H5077" s="71"/>
      <c r="I5077" s="71"/>
      <c r="J5077" s="68" t="s">
        <v>20438</v>
      </c>
      <c r="K5077" s="76">
        <v>43229.0</v>
      </c>
      <c r="L5077" s="68" t="s">
        <v>2743</v>
      </c>
      <c r="M5077" s="68" t="s">
        <v>530</v>
      </c>
      <c r="N5077" s="71"/>
      <c r="O5077" s="51"/>
    </row>
    <row r="5078">
      <c r="A5078" s="56">
        <v>5075.0</v>
      </c>
      <c r="B5078" s="240"/>
      <c r="C5078" s="69" t="s">
        <v>20439</v>
      </c>
      <c r="D5078" s="71"/>
      <c r="E5078" s="68" t="s">
        <v>20440</v>
      </c>
      <c r="F5078" s="76">
        <v>43152.0</v>
      </c>
      <c r="G5078" s="68" t="s">
        <v>20441</v>
      </c>
      <c r="H5078" s="71"/>
      <c r="I5078" s="71"/>
      <c r="J5078" s="68" t="s">
        <v>20442</v>
      </c>
      <c r="K5078" s="76">
        <v>43229.0</v>
      </c>
      <c r="L5078" s="68" t="s">
        <v>2743</v>
      </c>
      <c r="M5078" s="68" t="s">
        <v>166</v>
      </c>
      <c r="N5078" s="71"/>
      <c r="O5078" s="51"/>
    </row>
    <row r="5079">
      <c r="A5079" s="56">
        <v>5076.0</v>
      </c>
      <c r="B5079" s="246"/>
      <c r="C5079" s="58" t="s">
        <v>20443</v>
      </c>
      <c r="D5079" s="60"/>
      <c r="E5079" s="57" t="s">
        <v>20444</v>
      </c>
      <c r="F5079" s="59">
        <v>42910.0</v>
      </c>
      <c r="G5079" s="57" t="s">
        <v>20445</v>
      </c>
      <c r="H5079" s="60"/>
      <c r="I5079" s="60"/>
      <c r="J5079" s="57" t="s">
        <v>20446</v>
      </c>
      <c r="K5079" s="59">
        <v>43229.0</v>
      </c>
      <c r="L5079" s="57" t="s">
        <v>2743</v>
      </c>
      <c r="M5079" s="57" t="s">
        <v>2466</v>
      </c>
      <c r="N5079" s="66"/>
      <c r="O5079" s="51"/>
    </row>
    <row r="5080">
      <c r="A5080" s="56">
        <v>5077.0</v>
      </c>
      <c r="B5080" s="241"/>
      <c r="C5080" s="64" t="s">
        <v>20447</v>
      </c>
      <c r="D5080" s="66"/>
      <c r="E5080" s="63" t="s">
        <v>20448</v>
      </c>
      <c r="F5080" s="70">
        <v>40013.0</v>
      </c>
      <c r="G5080" s="80" t="s">
        <v>20449</v>
      </c>
      <c r="H5080" s="82"/>
      <c r="I5080" s="63" t="s">
        <v>20450</v>
      </c>
      <c r="J5080" s="63" t="s">
        <v>5679</v>
      </c>
      <c r="K5080" s="70">
        <v>43229.0</v>
      </c>
      <c r="L5080" s="63" t="s">
        <v>2743</v>
      </c>
      <c r="M5080" s="63" t="s">
        <v>2466</v>
      </c>
      <c r="N5080" s="68" t="s">
        <v>19631</v>
      </c>
      <c r="O5080" s="51"/>
    </row>
    <row r="5081">
      <c r="A5081" s="56">
        <v>5078.0</v>
      </c>
      <c r="B5081" s="240"/>
      <c r="C5081" s="69" t="s">
        <v>20451</v>
      </c>
      <c r="D5081" s="71"/>
      <c r="E5081" s="68" t="s">
        <v>20452</v>
      </c>
      <c r="F5081" s="76">
        <v>41353.0</v>
      </c>
      <c r="G5081" s="68" t="s">
        <v>20453</v>
      </c>
      <c r="H5081" s="71"/>
      <c r="I5081" s="68" t="s">
        <v>20454</v>
      </c>
      <c r="J5081" s="68" t="s">
        <v>20455</v>
      </c>
      <c r="K5081" s="76">
        <v>43229.0</v>
      </c>
      <c r="L5081" s="68" t="s">
        <v>2743</v>
      </c>
      <c r="M5081" s="68" t="s">
        <v>2152</v>
      </c>
      <c r="N5081" s="71"/>
      <c r="O5081" s="51"/>
    </row>
    <row r="5082">
      <c r="A5082" s="56">
        <v>5079.0</v>
      </c>
      <c r="B5082" s="241"/>
      <c r="C5082" s="64" t="s">
        <v>20456</v>
      </c>
      <c r="D5082" s="66"/>
      <c r="E5082" s="63" t="s">
        <v>20457</v>
      </c>
      <c r="F5082" s="70">
        <v>42405.0</v>
      </c>
      <c r="G5082" s="80" t="s">
        <v>20458</v>
      </c>
      <c r="H5082" s="82"/>
      <c r="I5082" s="66"/>
      <c r="J5082" s="63" t="s">
        <v>5679</v>
      </c>
      <c r="K5082" s="70">
        <v>43229.0</v>
      </c>
      <c r="L5082" s="63" t="s">
        <v>2743</v>
      </c>
      <c r="M5082" s="63" t="s">
        <v>368</v>
      </c>
      <c r="N5082" s="66"/>
      <c r="O5082" s="51"/>
    </row>
    <row r="5083">
      <c r="A5083" s="56">
        <v>5080.0</v>
      </c>
      <c r="B5083" s="241"/>
      <c r="C5083" s="64" t="s">
        <v>20459</v>
      </c>
      <c r="D5083" s="66"/>
      <c r="E5083" s="63" t="s">
        <v>20460</v>
      </c>
      <c r="F5083" s="70">
        <v>42552.0</v>
      </c>
      <c r="G5083" s="80" t="s">
        <v>20461</v>
      </c>
      <c r="H5083" s="80" t="s">
        <v>439</v>
      </c>
      <c r="I5083" s="66"/>
      <c r="J5083" s="63" t="s">
        <v>6393</v>
      </c>
      <c r="K5083" s="70">
        <v>43229.0</v>
      </c>
      <c r="L5083" s="63" t="s">
        <v>2743</v>
      </c>
      <c r="M5083" s="63" t="s">
        <v>6875</v>
      </c>
      <c r="N5083" s="66"/>
      <c r="O5083" s="51"/>
    </row>
    <row r="5084">
      <c r="A5084" s="56">
        <v>5081.0</v>
      </c>
      <c r="B5084" s="240"/>
      <c r="C5084" s="69" t="s">
        <v>20462</v>
      </c>
      <c r="D5084" s="71"/>
      <c r="E5084" s="68" t="s">
        <v>20463</v>
      </c>
      <c r="F5084" s="76">
        <v>39642.0</v>
      </c>
      <c r="G5084" s="68" t="s">
        <v>20464</v>
      </c>
      <c r="H5084" s="71"/>
      <c r="I5084" s="68" t="s">
        <v>20465</v>
      </c>
      <c r="J5084" s="68" t="s">
        <v>20466</v>
      </c>
      <c r="K5084" s="76">
        <v>43229.0</v>
      </c>
      <c r="L5084" s="68" t="s">
        <v>2743</v>
      </c>
      <c r="M5084" s="68" t="s">
        <v>1182</v>
      </c>
      <c r="N5084" s="71"/>
      <c r="O5084" s="51"/>
    </row>
    <row r="5085">
      <c r="A5085" s="56">
        <v>5082.0</v>
      </c>
      <c r="B5085" s="241"/>
      <c r="C5085" s="64" t="s">
        <v>20467</v>
      </c>
      <c r="D5085" s="66"/>
      <c r="E5085" s="63" t="s">
        <v>20468</v>
      </c>
      <c r="F5085" s="65">
        <v>43063.0</v>
      </c>
      <c r="G5085" s="80" t="s">
        <v>20469</v>
      </c>
      <c r="H5085" s="82"/>
      <c r="I5085" s="66"/>
      <c r="J5085" s="63" t="s">
        <v>7523</v>
      </c>
      <c r="K5085" s="70">
        <v>43229.0</v>
      </c>
      <c r="L5085" s="63" t="s">
        <v>2743</v>
      </c>
      <c r="M5085" s="63" t="s">
        <v>149</v>
      </c>
      <c r="N5085" s="66"/>
      <c r="O5085" s="51"/>
    </row>
    <row r="5086">
      <c r="A5086" s="56">
        <v>5083.0</v>
      </c>
      <c r="B5086" s="241"/>
      <c r="C5086" s="64" t="s">
        <v>20470</v>
      </c>
      <c r="D5086" s="66"/>
      <c r="E5086" s="63" t="s">
        <v>20471</v>
      </c>
      <c r="F5086" s="70">
        <v>42593.0</v>
      </c>
      <c r="G5086" s="80" t="s">
        <v>20472</v>
      </c>
      <c r="H5086" s="82"/>
      <c r="I5086" s="66"/>
      <c r="J5086" s="63" t="s">
        <v>5679</v>
      </c>
      <c r="K5086" s="70">
        <v>43229.0</v>
      </c>
      <c r="L5086" s="63" t="s">
        <v>2743</v>
      </c>
      <c r="M5086" s="63" t="s">
        <v>125</v>
      </c>
      <c r="N5086" s="66"/>
      <c r="O5086" s="51"/>
    </row>
    <row r="5087">
      <c r="A5087" s="56">
        <v>5084.0</v>
      </c>
      <c r="B5087" s="241"/>
      <c r="C5087" s="64" t="s">
        <v>20473</v>
      </c>
      <c r="D5087" s="66"/>
      <c r="E5087" s="63" t="s">
        <v>20474</v>
      </c>
      <c r="F5087" s="70">
        <v>40155.0</v>
      </c>
      <c r="G5087" s="80" t="s">
        <v>20475</v>
      </c>
      <c r="H5087" s="80" t="s">
        <v>20476</v>
      </c>
      <c r="I5087" s="66"/>
      <c r="J5087" s="63" t="s">
        <v>5679</v>
      </c>
      <c r="K5087" s="70">
        <v>43229.0</v>
      </c>
      <c r="L5087" s="63" t="s">
        <v>2743</v>
      </c>
      <c r="M5087" s="63" t="s">
        <v>530</v>
      </c>
      <c r="N5087" s="66"/>
      <c r="O5087" s="51"/>
    </row>
    <row r="5088">
      <c r="A5088" s="56">
        <v>5085.0</v>
      </c>
      <c r="B5088" s="240"/>
      <c r="C5088" s="69" t="s">
        <v>20477</v>
      </c>
      <c r="D5088" s="71"/>
      <c r="E5088" s="68" t="s">
        <v>20478</v>
      </c>
      <c r="F5088" s="76">
        <v>43127.0</v>
      </c>
      <c r="G5088" s="68" t="s">
        <v>20479</v>
      </c>
      <c r="H5088" s="71"/>
      <c r="I5088" s="71"/>
      <c r="J5088" s="68" t="s">
        <v>20480</v>
      </c>
      <c r="K5088" s="76">
        <v>43229.0</v>
      </c>
      <c r="L5088" s="68" t="s">
        <v>2743</v>
      </c>
      <c r="M5088" s="68" t="s">
        <v>403</v>
      </c>
      <c r="N5088" s="71"/>
      <c r="O5088" s="51"/>
    </row>
    <row r="5089">
      <c r="A5089" s="56">
        <v>5086.0</v>
      </c>
      <c r="B5089" s="240"/>
      <c r="C5089" s="69" t="s">
        <v>20481</v>
      </c>
      <c r="D5089" s="71"/>
      <c r="E5089" s="68" t="s">
        <v>20482</v>
      </c>
      <c r="F5089" s="76">
        <v>42993.0</v>
      </c>
      <c r="G5089" s="68" t="s">
        <v>20483</v>
      </c>
      <c r="H5089" s="71"/>
      <c r="I5089" s="71"/>
      <c r="J5089" s="68" t="s">
        <v>20484</v>
      </c>
      <c r="K5089" s="76">
        <v>43229.0</v>
      </c>
      <c r="L5089" s="68" t="s">
        <v>2743</v>
      </c>
      <c r="M5089" s="68" t="s">
        <v>166</v>
      </c>
      <c r="N5089" s="71"/>
      <c r="O5089" s="51"/>
    </row>
    <row r="5090">
      <c r="A5090" s="56">
        <v>5087.0</v>
      </c>
      <c r="B5090" s="240"/>
      <c r="C5090" s="69" t="s">
        <v>20485</v>
      </c>
      <c r="D5090" s="71"/>
      <c r="E5090" s="68" t="s">
        <v>20486</v>
      </c>
      <c r="F5090" s="76">
        <v>43208.0</v>
      </c>
      <c r="G5090" s="68" t="s">
        <v>20487</v>
      </c>
      <c r="H5090" s="71"/>
      <c r="I5090" s="71"/>
      <c r="J5090" s="68" t="s">
        <v>20488</v>
      </c>
      <c r="K5090" s="76">
        <v>43229.0</v>
      </c>
      <c r="L5090" s="68" t="s">
        <v>2743</v>
      </c>
      <c r="M5090" s="68" t="s">
        <v>166</v>
      </c>
      <c r="N5090" s="71"/>
      <c r="O5090" s="51"/>
    </row>
    <row r="5091">
      <c r="A5091" s="75">
        <v>5088.0</v>
      </c>
      <c r="B5091" s="240"/>
      <c r="C5091" s="69" t="s">
        <v>20489</v>
      </c>
      <c r="D5091" s="71"/>
      <c r="E5091" s="68" t="s">
        <v>20490</v>
      </c>
      <c r="F5091" s="76">
        <v>42917.0</v>
      </c>
      <c r="G5091" s="68" t="s">
        <v>20491</v>
      </c>
      <c r="H5091" s="71"/>
      <c r="I5091" s="71"/>
      <c r="J5091" s="68" t="s">
        <v>20492</v>
      </c>
      <c r="K5091" s="76">
        <v>43229.0</v>
      </c>
      <c r="L5091" s="68" t="s">
        <v>2743</v>
      </c>
      <c r="M5091" s="68" t="s">
        <v>195</v>
      </c>
      <c r="N5091" s="71"/>
      <c r="O5091" s="51"/>
    </row>
    <row r="5092">
      <c r="A5092" s="56">
        <v>5089.0</v>
      </c>
      <c r="B5092" s="240"/>
      <c r="C5092" s="69" t="s">
        <v>20493</v>
      </c>
      <c r="D5092" s="71"/>
      <c r="E5092" s="68" t="s">
        <v>20494</v>
      </c>
      <c r="F5092" s="76">
        <v>42128.0</v>
      </c>
      <c r="G5092" s="68" t="s">
        <v>20495</v>
      </c>
      <c r="H5092" s="71"/>
      <c r="I5092" s="71"/>
      <c r="J5092" s="68" t="s">
        <v>20496</v>
      </c>
      <c r="K5092" s="76">
        <v>43229.0</v>
      </c>
      <c r="L5092" s="68" t="s">
        <v>2743</v>
      </c>
      <c r="M5092" s="68" t="s">
        <v>530</v>
      </c>
      <c r="N5092" s="71"/>
      <c r="O5092" s="51"/>
    </row>
    <row r="5093">
      <c r="A5093" s="56">
        <v>5090.0</v>
      </c>
      <c r="B5093" s="240"/>
      <c r="C5093" s="69" t="s">
        <v>20497</v>
      </c>
      <c r="D5093" s="71"/>
      <c r="E5093" s="68" t="s">
        <v>20498</v>
      </c>
      <c r="F5093" s="76">
        <v>43180.0</v>
      </c>
      <c r="G5093" s="68" t="s">
        <v>20499</v>
      </c>
      <c r="H5093" s="71"/>
      <c r="I5093" s="71"/>
      <c r="J5093" s="68" t="s">
        <v>20500</v>
      </c>
      <c r="K5093" s="76">
        <v>43231.0</v>
      </c>
      <c r="L5093" s="68" t="s">
        <v>2743</v>
      </c>
      <c r="M5093" s="68" t="s">
        <v>27</v>
      </c>
      <c r="N5093" s="71"/>
      <c r="O5093" s="51"/>
    </row>
    <row r="5094">
      <c r="A5094" s="56">
        <v>5091.0</v>
      </c>
      <c r="B5094" s="241"/>
      <c r="C5094" s="64" t="s">
        <v>20501</v>
      </c>
      <c r="D5094" s="66"/>
      <c r="E5094" s="63" t="s">
        <v>20502</v>
      </c>
      <c r="F5094" s="70">
        <v>41802.0</v>
      </c>
      <c r="G5094" s="80" t="s">
        <v>20503</v>
      </c>
      <c r="H5094" s="82"/>
      <c r="I5094" s="66"/>
      <c r="J5094" s="63" t="s">
        <v>6393</v>
      </c>
      <c r="K5094" s="70">
        <v>43231.0</v>
      </c>
      <c r="L5094" s="63" t="s">
        <v>2743</v>
      </c>
      <c r="M5094" s="63" t="s">
        <v>195</v>
      </c>
      <c r="N5094" s="66"/>
      <c r="O5094" s="51"/>
    </row>
    <row r="5095">
      <c r="A5095" s="56">
        <v>5092.0</v>
      </c>
      <c r="B5095" s="240"/>
      <c r="C5095" s="69" t="s">
        <v>20504</v>
      </c>
      <c r="D5095" s="71"/>
      <c r="E5095" s="68" t="s">
        <v>20505</v>
      </c>
      <c r="F5095" s="76">
        <v>43123.0</v>
      </c>
      <c r="G5095" s="68" t="s">
        <v>20506</v>
      </c>
      <c r="H5095" s="71"/>
      <c r="I5095" s="71"/>
      <c r="J5095" s="68" t="s">
        <v>20507</v>
      </c>
      <c r="K5095" s="76">
        <v>43231.0</v>
      </c>
      <c r="L5095" s="68" t="s">
        <v>2743</v>
      </c>
      <c r="M5095" s="68" t="s">
        <v>143</v>
      </c>
      <c r="N5095" s="71"/>
      <c r="O5095" s="51"/>
    </row>
    <row r="5096">
      <c r="A5096" s="56">
        <v>5093.0</v>
      </c>
      <c r="B5096" s="241"/>
      <c r="C5096" s="64" t="s">
        <v>20508</v>
      </c>
      <c r="D5096" s="66"/>
      <c r="E5096" s="63" t="s">
        <v>20509</v>
      </c>
      <c r="F5096" s="70">
        <v>42374.0</v>
      </c>
      <c r="G5096" s="80" t="s">
        <v>20510</v>
      </c>
      <c r="H5096" s="82"/>
      <c r="I5096" s="66"/>
      <c r="J5096" s="63" t="s">
        <v>5679</v>
      </c>
      <c r="K5096" s="70">
        <v>43231.0</v>
      </c>
      <c r="L5096" s="63" t="s">
        <v>2743</v>
      </c>
      <c r="M5096" s="63" t="s">
        <v>125</v>
      </c>
      <c r="N5096" s="66"/>
      <c r="O5096" s="51"/>
    </row>
    <row r="5097">
      <c r="A5097" s="56">
        <v>5094.0</v>
      </c>
      <c r="B5097" s="240"/>
      <c r="C5097" s="69" t="s">
        <v>20511</v>
      </c>
      <c r="D5097" s="71"/>
      <c r="E5097" s="68" t="s">
        <v>20512</v>
      </c>
      <c r="F5097" s="76">
        <v>42186.0</v>
      </c>
      <c r="G5097" s="68" t="s">
        <v>20513</v>
      </c>
      <c r="H5097" s="71"/>
      <c r="I5097" s="68" t="s">
        <v>20514</v>
      </c>
      <c r="J5097" s="68" t="s">
        <v>20515</v>
      </c>
      <c r="K5097" s="76">
        <v>43231.0</v>
      </c>
      <c r="L5097" s="68" t="s">
        <v>2743</v>
      </c>
      <c r="M5097" s="68" t="s">
        <v>149</v>
      </c>
      <c r="N5097" s="66"/>
      <c r="O5097" s="51"/>
    </row>
    <row r="5098">
      <c r="A5098" s="56">
        <v>5095.0</v>
      </c>
      <c r="B5098" s="240"/>
      <c r="C5098" s="69" t="s">
        <v>20516</v>
      </c>
      <c r="D5098" s="71"/>
      <c r="E5098" s="68" t="s">
        <v>20517</v>
      </c>
      <c r="F5098" s="76">
        <v>43128.0</v>
      </c>
      <c r="G5098" s="68" t="s">
        <v>20518</v>
      </c>
      <c r="H5098" s="71"/>
      <c r="I5098" s="71"/>
      <c r="J5098" s="68" t="s">
        <v>20519</v>
      </c>
      <c r="K5098" s="76">
        <v>43232.0</v>
      </c>
      <c r="L5098" s="68" t="s">
        <v>2743</v>
      </c>
      <c r="M5098" s="68" t="s">
        <v>31</v>
      </c>
      <c r="N5098" s="71"/>
      <c r="O5098" s="51"/>
    </row>
    <row r="5099">
      <c r="A5099" s="56">
        <v>5096.0</v>
      </c>
      <c r="B5099" s="240"/>
      <c r="C5099" s="69" t="s">
        <v>20520</v>
      </c>
      <c r="D5099" s="71"/>
      <c r="E5099" s="68" t="s">
        <v>20521</v>
      </c>
      <c r="F5099" s="83">
        <v>43088.0</v>
      </c>
      <c r="G5099" s="68" t="s">
        <v>20522</v>
      </c>
      <c r="H5099" s="71"/>
      <c r="I5099" s="71"/>
      <c r="J5099" s="68" t="s">
        <v>20523</v>
      </c>
      <c r="K5099" s="76">
        <v>43232.0</v>
      </c>
      <c r="L5099" s="68" t="s">
        <v>2743</v>
      </c>
      <c r="M5099" s="68" t="s">
        <v>368</v>
      </c>
      <c r="N5099" s="71"/>
      <c r="O5099" s="51"/>
    </row>
    <row r="5100">
      <c r="A5100" s="56">
        <v>5097.0</v>
      </c>
      <c r="B5100" s="240"/>
      <c r="C5100" s="69" t="s">
        <v>20524</v>
      </c>
      <c r="D5100" s="71"/>
      <c r="E5100" s="68" t="s">
        <v>20525</v>
      </c>
      <c r="F5100" s="76">
        <v>40045.0</v>
      </c>
      <c r="G5100" s="68" t="s">
        <v>20526</v>
      </c>
      <c r="H5100" s="71"/>
      <c r="I5100" s="71"/>
      <c r="J5100" s="87" t="s">
        <v>20527</v>
      </c>
      <c r="K5100" s="76">
        <v>43232.0</v>
      </c>
      <c r="L5100" s="68" t="s">
        <v>2743</v>
      </c>
      <c r="M5100" s="68" t="s">
        <v>125</v>
      </c>
      <c r="N5100" s="66"/>
      <c r="O5100" s="51"/>
    </row>
    <row r="5101">
      <c r="A5101" s="56">
        <v>5098.0</v>
      </c>
      <c r="B5101" s="241"/>
      <c r="C5101" s="64" t="s">
        <v>20528</v>
      </c>
      <c r="D5101" s="66"/>
      <c r="E5101" s="63" t="s">
        <v>20529</v>
      </c>
      <c r="F5101" s="70">
        <v>42390.0</v>
      </c>
      <c r="G5101" s="80" t="s">
        <v>20530</v>
      </c>
      <c r="H5101" s="80" t="s">
        <v>20531</v>
      </c>
      <c r="I5101" s="66"/>
      <c r="J5101" s="63" t="s">
        <v>136</v>
      </c>
      <c r="K5101" s="70">
        <v>43232.0</v>
      </c>
      <c r="L5101" s="63" t="s">
        <v>16185</v>
      </c>
      <c r="M5101" s="63" t="s">
        <v>31</v>
      </c>
      <c r="N5101" s="66"/>
      <c r="O5101" s="51"/>
    </row>
    <row r="5102">
      <c r="A5102" s="56">
        <v>5099.0</v>
      </c>
      <c r="B5102" s="240"/>
      <c r="C5102" s="69" t="s">
        <v>20532</v>
      </c>
      <c r="D5102" s="71"/>
      <c r="E5102" s="68" t="s">
        <v>20533</v>
      </c>
      <c r="F5102" s="76">
        <v>43004.0</v>
      </c>
      <c r="G5102" s="68" t="s">
        <v>20534</v>
      </c>
      <c r="H5102" s="71"/>
      <c r="I5102" s="71"/>
      <c r="J5102" s="87" t="s">
        <v>20535</v>
      </c>
      <c r="K5102" s="76">
        <v>43232.0</v>
      </c>
      <c r="L5102" s="68" t="s">
        <v>16185</v>
      </c>
      <c r="M5102" s="68" t="s">
        <v>166</v>
      </c>
      <c r="N5102" s="66"/>
      <c r="O5102" s="51"/>
    </row>
    <row r="5103">
      <c r="A5103" s="56">
        <v>5100.0</v>
      </c>
      <c r="B5103" s="241"/>
      <c r="C5103" s="64" t="s">
        <v>20536</v>
      </c>
      <c r="D5103" s="66"/>
      <c r="E5103" s="63" t="s">
        <v>20537</v>
      </c>
      <c r="F5103" s="70">
        <v>42832.0</v>
      </c>
      <c r="G5103" s="80" t="s">
        <v>20538</v>
      </c>
      <c r="H5103" s="82"/>
      <c r="I5103" s="63" t="s">
        <v>20539</v>
      </c>
      <c r="J5103" s="63" t="s">
        <v>20540</v>
      </c>
      <c r="K5103" s="70">
        <v>43232.0</v>
      </c>
      <c r="L5103" s="63" t="s">
        <v>16185</v>
      </c>
      <c r="M5103" s="63" t="s">
        <v>143</v>
      </c>
      <c r="N5103" s="66"/>
      <c r="O5103" s="51"/>
    </row>
    <row r="5104">
      <c r="A5104" s="56">
        <v>5101.0</v>
      </c>
      <c r="B5104" s="241"/>
      <c r="C5104" s="64" t="s">
        <v>20541</v>
      </c>
      <c r="D5104" s="66"/>
      <c r="E5104" s="63" t="s">
        <v>20542</v>
      </c>
      <c r="F5104" s="70">
        <v>42586.0</v>
      </c>
      <c r="G5104" s="80" t="s">
        <v>20543</v>
      </c>
      <c r="H5104" s="82"/>
      <c r="I5104" s="66"/>
      <c r="J5104" s="63" t="s">
        <v>7523</v>
      </c>
      <c r="K5104" s="70">
        <v>43232.0</v>
      </c>
      <c r="L5104" s="63" t="s">
        <v>16185</v>
      </c>
      <c r="M5104" s="63" t="s">
        <v>143</v>
      </c>
      <c r="N5104" s="66"/>
      <c r="O5104" s="51"/>
    </row>
    <row r="5105">
      <c r="A5105" s="56">
        <v>5102.0</v>
      </c>
      <c r="B5105" s="241"/>
      <c r="C5105" s="64" t="s">
        <v>20544</v>
      </c>
      <c r="D5105" s="66"/>
      <c r="E5105" s="63" t="s">
        <v>20545</v>
      </c>
      <c r="F5105" s="70">
        <v>42104.0</v>
      </c>
      <c r="G5105" s="80" t="s">
        <v>20546</v>
      </c>
      <c r="H5105" s="82"/>
      <c r="I5105" s="63" t="s">
        <v>20547</v>
      </c>
      <c r="J5105" s="63" t="s">
        <v>7523</v>
      </c>
      <c r="K5105" s="70">
        <v>43232.0</v>
      </c>
      <c r="L5105" s="63" t="s">
        <v>16185</v>
      </c>
      <c r="M5105" s="63" t="s">
        <v>1711</v>
      </c>
      <c r="N5105" s="66"/>
      <c r="O5105" s="51"/>
    </row>
    <row r="5106">
      <c r="A5106" s="56">
        <v>5103.0</v>
      </c>
      <c r="B5106" s="241"/>
      <c r="C5106" s="64" t="s">
        <v>20548</v>
      </c>
      <c r="D5106" s="66"/>
      <c r="E5106" s="63" t="s">
        <v>20549</v>
      </c>
      <c r="F5106" s="70">
        <v>42810.0</v>
      </c>
      <c r="G5106" s="80" t="s">
        <v>20550</v>
      </c>
      <c r="H5106" s="82"/>
      <c r="I5106" s="66"/>
      <c r="J5106" s="63" t="s">
        <v>7523</v>
      </c>
      <c r="K5106" s="70">
        <v>43234.0</v>
      </c>
      <c r="L5106" s="63" t="s">
        <v>16185</v>
      </c>
      <c r="M5106" s="63" t="s">
        <v>143</v>
      </c>
      <c r="N5106" s="71"/>
      <c r="O5106" s="51"/>
    </row>
    <row r="5107">
      <c r="A5107" s="56">
        <v>5104.0</v>
      </c>
      <c r="B5107" s="240"/>
      <c r="C5107" s="69" t="s">
        <v>20551</v>
      </c>
      <c r="D5107" s="71"/>
      <c r="E5107" s="68" t="s">
        <v>20552</v>
      </c>
      <c r="F5107" s="83">
        <v>43092.0</v>
      </c>
      <c r="G5107" s="68" t="s">
        <v>20553</v>
      </c>
      <c r="H5107" s="71"/>
      <c r="I5107" s="71"/>
      <c r="J5107" s="68" t="s">
        <v>20554</v>
      </c>
      <c r="K5107" s="76">
        <v>43234.0</v>
      </c>
      <c r="L5107" s="68" t="s">
        <v>16185</v>
      </c>
      <c r="M5107" s="68" t="s">
        <v>1516</v>
      </c>
      <c r="N5107" s="71"/>
      <c r="O5107" s="51"/>
    </row>
    <row r="5108">
      <c r="A5108" s="75">
        <v>5105.0</v>
      </c>
      <c r="B5108" s="240"/>
      <c r="C5108" s="69" t="s">
        <v>20555</v>
      </c>
      <c r="D5108" s="71"/>
      <c r="E5108" s="68" t="s">
        <v>20556</v>
      </c>
      <c r="F5108" s="83">
        <v>40523.0</v>
      </c>
      <c r="G5108" s="68" t="s">
        <v>20557</v>
      </c>
      <c r="H5108" s="71"/>
      <c r="I5108" s="68" t="s">
        <v>20558</v>
      </c>
      <c r="J5108" s="68" t="s">
        <v>20559</v>
      </c>
      <c r="K5108" s="76">
        <v>43234.0</v>
      </c>
      <c r="L5108" s="68" t="s">
        <v>16185</v>
      </c>
      <c r="M5108" s="68" t="s">
        <v>137</v>
      </c>
      <c r="N5108" s="71"/>
      <c r="O5108" s="51"/>
    </row>
    <row r="5109">
      <c r="A5109" s="56">
        <v>5106.0</v>
      </c>
      <c r="B5109" s="240"/>
      <c r="C5109" s="69" t="s">
        <v>20560</v>
      </c>
      <c r="D5109" s="71"/>
      <c r="E5109" s="68" t="s">
        <v>20561</v>
      </c>
      <c r="F5109" s="76">
        <v>41647.0</v>
      </c>
      <c r="G5109" s="68" t="s">
        <v>20562</v>
      </c>
      <c r="H5109" s="71"/>
      <c r="I5109" s="71"/>
      <c r="J5109" s="68" t="s">
        <v>20563</v>
      </c>
      <c r="K5109" s="76">
        <v>43234.0</v>
      </c>
      <c r="L5109" s="68" t="s">
        <v>16185</v>
      </c>
      <c r="M5109" s="68" t="s">
        <v>166</v>
      </c>
      <c r="N5109" s="71"/>
      <c r="O5109" s="51"/>
    </row>
    <row r="5110">
      <c r="A5110" s="56">
        <v>5107.0</v>
      </c>
      <c r="B5110" s="240"/>
      <c r="C5110" s="69" t="s">
        <v>20564</v>
      </c>
      <c r="D5110" s="71"/>
      <c r="E5110" s="68" t="s">
        <v>20565</v>
      </c>
      <c r="F5110" s="76">
        <v>43155.0</v>
      </c>
      <c r="G5110" s="68" t="s">
        <v>20562</v>
      </c>
      <c r="H5110" s="82"/>
      <c r="I5110" s="71"/>
      <c r="J5110" s="68" t="s">
        <v>20566</v>
      </c>
      <c r="K5110" s="76">
        <v>43234.0</v>
      </c>
      <c r="L5110" s="68" t="s">
        <v>16185</v>
      </c>
      <c r="M5110" s="68" t="s">
        <v>4487</v>
      </c>
      <c r="N5110" s="71"/>
      <c r="O5110" s="51"/>
    </row>
    <row r="5111">
      <c r="A5111" s="56">
        <v>5108.0</v>
      </c>
      <c r="B5111" s="240"/>
      <c r="C5111" s="69" t="s">
        <v>20567</v>
      </c>
      <c r="D5111" s="71"/>
      <c r="E5111" s="68" t="s">
        <v>20568</v>
      </c>
      <c r="F5111" s="76">
        <v>42006.0</v>
      </c>
      <c r="G5111" s="68" t="s">
        <v>20562</v>
      </c>
      <c r="H5111" s="71"/>
      <c r="I5111" s="71"/>
      <c r="J5111" s="68" t="s">
        <v>20569</v>
      </c>
      <c r="K5111" s="76">
        <v>43234.0</v>
      </c>
      <c r="L5111" s="68" t="s">
        <v>16185</v>
      </c>
      <c r="M5111" s="68" t="s">
        <v>872</v>
      </c>
      <c r="N5111" s="71"/>
      <c r="O5111" s="51"/>
    </row>
    <row r="5112">
      <c r="A5112" s="56">
        <v>5109.0</v>
      </c>
      <c r="B5112" s="240"/>
      <c r="C5112" s="69" t="s">
        <v>20570</v>
      </c>
      <c r="D5112" s="71"/>
      <c r="E5112" s="68" t="s">
        <v>20571</v>
      </c>
      <c r="F5112" s="76">
        <v>42506.0</v>
      </c>
      <c r="G5112" s="68" t="s">
        <v>20572</v>
      </c>
      <c r="H5112" s="71"/>
      <c r="I5112" s="71"/>
      <c r="J5112" s="68" t="s">
        <v>20573</v>
      </c>
      <c r="K5112" s="76">
        <v>43234.0</v>
      </c>
      <c r="L5112" s="68" t="s">
        <v>16185</v>
      </c>
      <c r="M5112" s="68" t="s">
        <v>530</v>
      </c>
      <c r="N5112" s="71"/>
      <c r="O5112" s="51"/>
    </row>
    <row r="5113">
      <c r="A5113" s="56">
        <v>5110.0</v>
      </c>
      <c r="B5113" s="241"/>
      <c r="C5113" s="64" t="s">
        <v>20574</v>
      </c>
      <c r="D5113" s="66"/>
      <c r="E5113" s="63" t="s">
        <v>20575</v>
      </c>
      <c r="F5113" s="70">
        <v>42888.0</v>
      </c>
      <c r="G5113" s="80" t="s">
        <v>20576</v>
      </c>
      <c r="H5113" s="82"/>
      <c r="I5113" s="63" t="s">
        <v>20577</v>
      </c>
      <c r="J5113" s="63" t="s">
        <v>5679</v>
      </c>
      <c r="K5113" s="70">
        <v>43234.0</v>
      </c>
      <c r="L5113" s="63" t="s">
        <v>16185</v>
      </c>
      <c r="M5113" s="63" t="s">
        <v>4749</v>
      </c>
      <c r="N5113" s="66"/>
      <c r="O5113" s="51"/>
    </row>
    <row r="5114">
      <c r="A5114" s="56">
        <v>5111.0</v>
      </c>
      <c r="B5114" s="241"/>
      <c r="C5114" s="64" t="s">
        <v>20578</v>
      </c>
      <c r="D5114" s="66"/>
      <c r="E5114" s="63" t="s">
        <v>20579</v>
      </c>
      <c r="F5114" s="65">
        <v>42716.0</v>
      </c>
      <c r="G5114" s="80" t="s">
        <v>20580</v>
      </c>
      <c r="H5114" s="82"/>
      <c r="I5114" s="66"/>
      <c r="J5114" s="63" t="s">
        <v>5679</v>
      </c>
      <c r="K5114" s="70">
        <v>43234.0</v>
      </c>
      <c r="L5114" s="63" t="s">
        <v>16185</v>
      </c>
      <c r="M5114" s="63" t="s">
        <v>125</v>
      </c>
      <c r="N5114" s="66"/>
      <c r="O5114" s="51"/>
    </row>
    <row r="5115">
      <c r="A5115" s="56">
        <v>5112.0</v>
      </c>
      <c r="B5115" s="241"/>
      <c r="C5115" s="64" t="s">
        <v>20581</v>
      </c>
      <c r="D5115" s="66"/>
      <c r="E5115" s="63" t="s">
        <v>20582</v>
      </c>
      <c r="F5115" s="65">
        <v>42696.0</v>
      </c>
      <c r="G5115" s="80" t="s">
        <v>20580</v>
      </c>
      <c r="H5115" s="82"/>
      <c r="I5115" s="66"/>
      <c r="J5115" s="63" t="s">
        <v>5679</v>
      </c>
      <c r="K5115" s="70">
        <v>43234.0</v>
      </c>
      <c r="L5115" s="63" t="s">
        <v>16185</v>
      </c>
      <c r="M5115" s="63" t="s">
        <v>368</v>
      </c>
      <c r="N5115" s="66"/>
      <c r="O5115" s="51"/>
    </row>
    <row r="5116">
      <c r="A5116" s="56">
        <v>5113.0</v>
      </c>
      <c r="B5116" s="241"/>
      <c r="C5116" s="64" t="s">
        <v>20583</v>
      </c>
      <c r="D5116" s="66"/>
      <c r="E5116" s="63" t="s">
        <v>20584</v>
      </c>
      <c r="F5116" s="70">
        <v>41842.0</v>
      </c>
      <c r="G5116" s="80" t="s">
        <v>20585</v>
      </c>
      <c r="H5116" s="82"/>
      <c r="I5116" s="66"/>
      <c r="J5116" s="63" t="s">
        <v>5679</v>
      </c>
      <c r="K5116" s="70">
        <v>43234.0</v>
      </c>
      <c r="L5116" s="63" t="s">
        <v>16185</v>
      </c>
      <c r="M5116" s="63" t="s">
        <v>125</v>
      </c>
      <c r="N5116" s="68" t="s">
        <v>20586</v>
      </c>
      <c r="O5116" s="51"/>
    </row>
    <row r="5117">
      <c r="A5117" s="56">
        <v>5114.0</v>
      </c>
      <c r="B5117" s="241"/>
      <c r="C5117" s="64" t="s">
        <v>20587</v>
      </c>
      <c r="D5117" s="66"/>
      <c r="E5117" s="63" t="s">
        <v>20588</v>
      </c>
      <c r="F5117" s="70">
        <v>41909.0</v>
      </c>
      <c r="G5117" s="80" t="s">
        <v>20585</v>
      </c>
      <c r="H5117" s="82"/>
      <c r="I5117" s="66"/>
      <c r="J5117" s="63" t="s">
        <v>5679</v>
      </c>
      <c r="K5117" s="66"/>
      <c r="L5117" s="63" t="s">
        <v>16185</v>
      </c>
      <c r="M5117" s="63" t="s">
        <v>125</v>
      </c>
      <c r="N5117" s="68" t="s">
        <v>20586</v>
      </c>
      <c r="O5117" s="51"/>
    </row>
    <row r="5118">
      <c r="A5118" s="56">
        <v>5115.0</v>
      </c>
      <c r="B5118" s="241"/>
      <c r="C5118" s="64" t="s">
        <v>20589</v>
      </c>
      <c r="D5118" s="66"/>
      <c r="E5118" s="63" t="s">
        <v>20590</v>
      </c>
      <c r="F5118" s="70">
        <v>42590.0</v>
      </c>
      <c r="G5118" s="80" t="s">
        <v>20591</v>
      </c>
      <c r="H5118" s="82"/>
      <c r="I5118" s="66"/>
      <c r="J5118" s="63" t="s">
        <v>5679</v>
      </c>
      <c r="K5118" s="70">
        <v>43234.0</v>
      </c>
      <c r="L5118" s="63" t="s">
        <v>16185</v>
      </c>
      <c r="M5118" s="63" t="s">
        <v>368</v>
      </c>
      <c r="N5118" s="66"/>
      <c r="O5118" s="51"/>
    </row>
    <row r="5119">
      <c r="A5119" s="56">
        <v>5116.0</v>
      </c>
      <c r="B5119" s="241"/>
      <c r="C5119" s="64" t="s">
        <v>20592</v>
      </c>
      <c r="D5119" s="66"/>
      <c r="E5119" s="63" t="s">
        <v>20593</v>
      </c>
      <c r="F5119" s="70">
        <v>42810.0</v>
      </c>
      <c r="G5119" s="80" t="s">
        <v>20594</v>
      </c>
      <c r="H5119" s="82"/>
      <c r="I5119" s="66"/>
      <c r="J5119" s="63" t="s">
        <v>7523</v>
      </c>
      <c r="K5119" s="70">
        <v>43234.0</v>
      </c>
      <c r="L5119" s="63" t="s">
        <v>2743</v>
      </c>
      <c r="M5119" s="63" t="s">
        <v>143</v>
      </c>
      <c r="N5119" s="66"/>
      <c r="O5119" s="51"/>
    </row>
    <row r="5120">
      <c r="A5120" s="56">
        <v>5117.0</v>
      </c>
      <c r="B5120" s="241"/>
      <c r="C5120" s="64" t="s">
        <v>20595</v>
      </c>
      <c r="D5120" s="66"/>
      <c r="E5120" s="63" t="s">
        <v>20596</v>
      </c>
      <c r="F5120" s="70">
        <v>42813.0</v>
      </c>
      <c r="G5120" s="80" t="s">
        <v>20597</v>
      </c>
      <c r="H5120" s="82"/>
      <c r="I5120" s="66"/>
      <c r="J5120" s="63" t="s">
        <v>7523</v>
      </c>
      <c r="K5120" s="70">
        <v>43234.0</v>
      </c>
      <c r="L5120" s="63" t="s">
        <v>2743</v>
      </c>
      <c r="M5120" s="63" t="s">
        <v>143</v>
      </c>
      <c r="N5120" s="66"/>
      <c r="O5120" s="51"/>
    </row>
    <row r="5121">
      <c r="A5121" s="56">
        <v>5118.0</v>
      </c>
      <c r="B5121" s="240"/>
      <c r="C5121" s="69" t="s">
        <v>20598</v>
      </c>
      <c r="D5121" s="71"/>
      <c r="E5121" s="68" t="s">
        <v>20599</v>
      </c>
      <c r="F5121" s="76">
        <v>43224.0</v>
      </c>
      <c r="G5121" s="68" t="s">
        <v>20600</v>
      </c>
      <c r="H5121" s="68" t="s">
        <v>20601</v>
      </c>
      <c r="I5121" s="71"/>
      <c r="J5121" s="68" t="s">
        <v>20602</v>
      </c>
      <c r="K5121" s="76">
        <v>43234.0</v>
      </c>
      <c r="L5121" s="68" t="s">
        <v>2743</v>
      </c>
      <c r="M5121" s="68" t="s">
        <v>149</v>
      </c>
      <c r="N5121" s="71"/>
      <c r="O5121" s="51"/>
    </row>
    <row r="5122">
      <c r="A5122" s="56">
        <v>5119.0</v>
      </c>
      <c r="B5122" s="240"/>
      <c r="C5122" s="69" t="s">
        <v>20603</v>
      </c>
      <c r="D5122" s="71"/>
      <c r="E5122" s="68" t="s">
        <v>20604</v>
      </c>
      <c r="F5122" s="83">
        <v>41936.0</v>
      </c>
      <c r="G5122" s="68" t="s">
        <v>20605</v>
      </c>
      <c r="H5122" s="71"/>
      <c r="I5122" s="71"/>
      <c r="J5122" s="68" t="s">
        <v>20606</v>
      </c>
      <c r="K5122" s="76">
        <v>43234.0</v>
      </c>
      <c r="L5122" s="68" t="s">
        <v>2743</v>
      </c>
      <c r="M5122" s="68" t="s">
        <v>872</v>
      </c>
      <c r="N5122" s="71"/>
      <c r="O5122" s="51"/>
    </row>
    <row r="5123">
      <c r="A5123" s="56">
        <v>5120.0</v>
      </c>
      <c r="B5123" s="240"/>
      <c r="C5123" s="69" t="s">
        <v>20607</v>
      </c>
      <c r="D5123" s="71"/>
      <c r="E5123" s="68" t="s">
        <v>20608</v>
      </c>
      <c r="F5123" s="76">
        <v>39634.0</v>
      </c>
      <c r="G5123" s="68" t="s">
        <v>20609</v>
      </c>
      <c r="H5123" s="71"/>
      <c r="I5123" s="71"/>
      <c r="J5123" s="68" t="s">
        <v>20610</v>
      </c>
      <c r="K5123" s="76">
        <v>43234.0</v>
      </c>
      <c r="L5123" s="68" t="s">
        <v>2743</v>
      </c>
      <c r="M5123" s="68" t="s">
        <v>2097</v>
      </c>
      <c r="N5123" s="66"/>
      <c r="O5123" s="51"/>
    </row>
    <row r="5124">
      <c r="A5124" s="56">
        <v>5121.0</v>
      </c>
      <c r="B5124" s="240"/>
      <c r="C5124" s="69" t="s">
        <v>20611</v>
      </c>
      <c r="D5124" s="71"/>
      <c r="E5124" s="68" t="s">
        <v>20612</v>
      </c>
      <c r="F5124" s="76">
        <v>43157.0</v>
      </c>
      <c r="G5124" s="68" t="s">
        <v>20613</v>
      </c>
      <c r="H5124" s="71"/>
      <c r="I5124" s="68" t="s">
        <v>20614</v>
      </c>
      <c r="J5124" s="68" t="s">
        <v>20615</v>
      </c>
      <c r="K5124" s="76">
        <v>43234.0</v>
      </c>
      <c r="L5124" s="71"/>
      <c r="M5124" s="68" t="s">
        <v>149</v>
      </c>
      <c r="N5124" s="71"/>
      <c r="O5124" s="51"/>
    </row>
    <row r="5125">
      <c r="A5125" s="56">
        <v>5122.0</v>
      </c>
      <c r="B5125" s="240"/>
      <c r="C5125" s="69" t="s">
        <v>20616</v>
      </c>
      <c r="D5125" s="71"/>
      <c r="E5125" s="68" t="s">
        <v>20617</v>
      </c>
      <c r="F5125" s="76">
        <v>43132.0</v>
      </c>
      <c r="G5125" s="68" t="s">
        <v>20618</v>
      </c>
      <c r="H5125" s="71"/>
      <c r="I5125" s="71"/>
      <c r="J5125" s="68" t="s">
        <v>20619</v>
      </c>
      <c r="K5125" s="76">
        <v>43234.0</v>
      </c>
      <c r="L5125" s="68" t="s">
        <v>2743</v>
      </c>
      <c r="M5125" s="68" t="s">
        <v>4273</v>
      </c>
      <c r="N5125" s="71"/>
      <c r="O5125" s="51"/>
    </row>
    <row r="5126">
      <c r="A5126" s="56">
        <v>5123.0</v>
      </c>
      <c r="B5126" s="240"/>
      <c r="C5126" s="69" t="s">
        <v>20620</v>
      </c>
      <c r="D5126" s="71"/>
      <c r="E5126" s="68" t="s">
        <v>20621</v>
      </c>
      <c r="F5126" s="83">
        <v>42663.0</v>
      </c>
      <c r="G5126" s="68" t="s">
        <v>20622</v>
      </c>
      <c r="H5126" s="71"/>
      <c r="I5126" s="71"/>
      <c r="J5126" s="68" t="s">
        <v>20623</v>
      </c>
      <c r="K5126" s="76">
        <v>43234.0</v>
      </c>
      <c r="L5126" s="68" t="s">
        <v>2743</v>
      </c>
      <c r="M5126" s="68" t="s">
        <v>195</v>
      </c>
      <c r="N5126" s="71"/>
      <c r="O5126" s="51"/>
    </row>
    <row r="5127">
      <c r="A5127" s="56">
        <v>5124.0</v>
      </c>
      <c r="B5127" s="240"/>
      <c r="C5127" s="69" t="s">
        <v>20624</v>
      </c>
      <c r="D5127" s="71"/>
      <c r="E5127" s="68" t="s">
        <v>20625</v>
      </c>
      <c r="F5127" s="76">
        <v>40975.0</v>
      </c>
      <c r="G5127" s="68" t="s">
        <v>20626</v>
      </c>
      <c r="H5127" s="71"/>
      <c r="I5127" s="71"/>
      <c r="J5127" s="87" t="s">
        <v>20627</v>
      </c>
      <c r="K5127" s="76">
        <v>43234.0</v>
      </c>
      <c r="L5127" s="68" t="s">
        <v>2743</v>
      </c>
      <c r="M5127" s="68" t="s">
        <v>2989</v>
      </c>
      <c r="N5127" s="66"/>
      <c r="O5127" s="51"/>
    </row>
    <row r="5128">
      <c r="A5128" s="56">
        <v>5125.0</v>
      </c>
      <c r="B5128" s="240"/>
      <c r="C5128" s="69" t="s">
        <v>20628</v>
      </c>
      <c r="D5128" s="71"/>
      <c r="E5128" s="68" t="s">
        <v>20629</v>
      </c>
      <c r="F5128" s="76">
        <v>42780.0</v>
      </c>
      <c r="G5128" s="68" t="s">
        <v>20630</v>
      </c>
      <c r="H5128" s="71"/>
      <c r="I5128" s="71"/>
      <c r="J5128" s="68" t="s">
        <v>20631</v>
      </c>
      <c r="K5128" s="76">
        <v>43234.0</v>
      </c>
      <c r="L5128" s="68" t="s">
        <v>2743</v>
      </c>
      <c r="M5128" s="68" t="s">
        <v>125</v>
      </c>
      <c r="N5128" s="71"/>
      <c r="O5128" s="51"/>
    </row>
    <row r="5129">
      <c r="A5129" s="56">
        <v>5126.0</v>
      </c>
      <c r="B5129" s="241"/>
      <c r="C5129" s="64" t="s">
        <v>20632</v>
      </c>
      <c r="D5129" s="66"/>
      <c r="E5129" s="63" t="s">
        <v>20633</v>
      </c>
      <c r="F5129" s="70">
        <v>41823.0</v>
      </c>
      <c r="G5129" s="80" t="s">
        <v>20634</v>
      </c>
      <c r="H5129" s="80" t="s">
        <v>20635</v>
      </c>
      <c r="I5129" s="66"/>
      <c r="J5129" s="63" t="s">
        <v>136</v>
      </c>
      <c r="K5129" s="70">
        <v>43234.0</v>
      </c>
      <c r="L5129" s="63" t="s">
        <v>2743</v>
      </c>
      <c r="M5129" s="63" t="s">
        <v>31</v>
      </c>
      <c r="N5129" s="66"/>
      <c r="O5129" s="51"/>
    </row>
    <row r="5130">
      <c r="A5130" s="56">
        <v>5127.0</v>
      </c>
      <c r="B5130" s="241"/>
      <c r="C5130" s="64" t="s">
        <v>20636</v>
      </c>
      <c r="D5130" s="66"/>
      <c r="E5130" s="63" t="s">
        <v>20637</v>
      </c>
      <c r="F5130" s="70">
        <v>42168.0</v>
      </c>
      <c r="G5130" s="80" t="s">
        <v>20638</v>
      </c>
      <c r="H5130" s="82"/>
      <c r="I5130" s="66"/>
      <c r="J5130" s="63" t="s">
        <v>5679</v>
      </c>
      <c r="K5130" s="70">
        <v>43234.0</v>
      </c>
      <c r="L5130" s="63" t="s">
        <v>2743</v>
      </c>
      <c r="M5130" s="63" t="s">
        <v>542</v>
      </c>
      <c r="N5130" s="66"/>
      <c r="O5130" s="51"/>
    </row>
    <row r="5131">
      <c r="A5131" s="56">
        <v>5128.0</v>
      </c>
      <c r="B5131" s="240"/>
      <c r="C5131" s="69" t="s">
        <v>20639</v>
      </c>
      <c r="D5131" s="71"/>
      <c r="E5131" s="68" t="s">
        <v>20640</v>
      </c>
      <c r="F5131" s="76">
        <v>43202.0</v>
      </c>
      <c r="G5131" s="68" t="s">
        <v>20641</v>
      </c>
      <c r="H5131" s="71"/>
      <c r="I5131" s="68" t="s">
        <v>20642</v>
      </c>
      <c r="J5131" s="68" t="s">
        <v>20643</v>
      </c>
      <c r="K5131" s="76">
        <v>43234.0</v>
      </c>
      <c r="L5131" s="68" t="s">
        <v>2743</v>
      </c>
      <c r="M5131" s="68" t="s">
        <v>31</v>
      </c>
      <c r="N5131" s="66"/>
      <c r="O5131" s="51"/>
    </row>
    <row r="5132">
      <c r="A5132" s="56">
        <v>5129.0</v>
      </c>
      <c r="B5132" s="240"/>
      <c r="C5132" s="69" t="s">
        <v>20644</v>
      </c>
      <c r="D5132" s="71"/>
      <c r="E5132" s="68" t="s">
        <v>20645</v>
      </c>
      <c r="F5132" s="83">
        <v>40162.0</v>
      </c>
      <c r="G5132" s="68" t="s">
        <v>20646</v>
      </c>
      <c r="H5132" s="71"/>
      <c r="I5132" s="71"/>
      <c r="J5132" s="87" t="s">
        <v>20647</v>
      </c>
      <c r="K5132" s="76">
        <v>43237.0</v>
      </c>
      <c r="L5132" s="68" t="s">
        <v>2743</v>
      </c>
      <c r="M5132" s="68" t="s">
        <v>166</v>
      </c>
      <c r="N5132" s="66"/>
      <c r="O5132" s="51"/>
    </row>
    <row r="5133">
      <c r="A5133" s="75">
        <v>5130.0</v>
      </c>
      <c r="B5133" s="240"/>
      <c r="C5133" s="69" t="s">
        <v>20648</v>
      </c>
      <c r="D5133" s="71"/>
      <c r="E5133" s="68" t="s">
        <v>20649</v>
      </c>
      <c r="F5133" s="76">
        <v>43135.0</v>
      </c>
      <c r="G5133" s="68" t="s">
        <v>20650</v>
      </c>
      <c r="H5133" s="71"/>
      <c r="I5133" s="71"/>
      <c r="J5133" s="68" t="s">
        <v>20651</v>
      </c>
      <c r="K5133" s="76">
        <v>43237.0</v>
      </c>
      <c r="L5133" s="68" t="s">
        <v>2743</v>
      </c>
      <c r="M5133" s="68" t="s">
        <v>195</v>
      </c>
      <c r="N5133" s="66"/>
      <c r="O5133" s="51"/>
    </row>
    <row r="5134">
      <c r="A5134" s="56">
        <v>5131.0</v>
      </c>
      <c r="B5134" s="241"/>
      <c r="C5134" s="64" t="s">
        <v>20652</v>
      </c>
      <c r="D5134" s="66"/>
      <c r="E5134" s="63" t="s">
        <v>20653</v>
      </c>
      <c r="F5134" s="70">
        <v>42267.0</v>
      </c>
      <c r="G5134" s="80" t="s">
        <v>20654</v>
      </c>
      <c r="H5134" s="82"/>
      <c r="I5134" s="66"/>
      <c r="J5134" s="63" t="s">
        <v>6393</v>
      </c>
      <c r="K5134" s="70">
        <v>43237.0</v>
      </c>
      <c r="L5134" s="63" t="s">
        <v>2743</v>
      </c>
      <c r="M5134" s="63" t="s">
        <v>195</v>
      </c>
      <c r="N5134" s="66"/>
      <c r="O5134" s="51"/>
    </row>
    <row r="5135">
      <c r="A5135" s="56">
        <v>5132.0</v>
      </c>
      <c r="B5135" s="241"/>
      <c r="C5135" s="64" t="s">
        <v>20655</v>
      </c>
      <c r="D5135" s="66"/>
      <c r="E5135" s="63" t="s">
        <v>20656</v>
      </c>
      <c r="F5135" s="65">
        <v>42321.0</v>
      </c>
      <c r="G5135" s="80" t="s">
        <v>20657</v>
      </c>
      <c r="H5135" s="82"/>
      <c r="I5135" s="66"/>
      <c r="J5135" s="63" t="s">
        <v>6393</v>
      </c>
      <c r="K5135" s="70">
        <v>43237.0</v>
      </c>
      <c r="L5135" s="63" t="s">
        <v>2743</v>
      </c>
      <c r="M5135" s="63" t="s">
        <v>195</v>
      </c>
      <c r="N5135" s="66"/>
      <c r="O5135" s="51"/>
    </row>
    <row r="5136">
      <c r="A5136" s="75">
        <v>5133.0</v>
      </c>
      <c r="B5136" s="240"/>
      <c r="C5136" s="69" t="s">
        <v>20658</v>
      </c>
      <c r="D5136" s="71"/>
      <c r="E5136" s="68" t="s">
        <v>20659</v>
      </c>
      <c r="F5136" s="83">
        <v>41999.0</v>
      </c>
      <c r="G5136" s="68" t="s">
        <v>20660</v>
      </c>
      <c r="H5136" s="71"/>
      <c r="I5136" s="71"/>
      <c r="J5136" s="68" t="s">
        <v>20661</v>
      </c>
      <c r="K5136" s="76">
        <v>43237.0</v>
      </c>
      <c r="L5136" s="68" t="s">
        <v>2743</v>
      </c>
      <c r="M5136" s="68" t="s">
        <v>2152</v>
      </c>
      <c r="N5136" s="71"/>
      <c r="O5136" s="51"/>
    </row>
    <row r="5137">
      <c r="A5137" s="56">
        <v>5134.0</v>
      </c>
      <c r="B5137" s="240"/>
      <c r="C5137" s="69" t="s">
        <v>20662</v>
      </c>
      <c r="D5137" s="71"/>
      <c r="E5137" s="68" t="s">
        <v>20663</v>
      </c>
      <c r="F5137" s="76">
        <v>42552.0</v>
      </c>
      <c r="G5137" s="68" t="s">
        <v>20664</v>
      </c>
      <c r="H5137" s="71"/>
      <c r="I5137" s="71"/>
      <c r="J5137" s="68" t="s">
        <v>20665</v>
      </c>
      <c r="K5137" s="76">
        <v>43237.0</v>
      </c>
      <c r="L5137" s="68" t="s">
        <v>2743</v>
      </c>
      <c r="M5137" s="68" t="s">
        <v>125</v>
      </c>
      <c r="N5137" s="71"/>
      <c r="O5137" s="51"/>
    </row>
    <row r="5138">
      <c r="A5138" s="56">
        <v>5135.0</v>
      </c>
      <c r="B5138" s="240"/>
      <c r="C5138" s="69" t="s">
        <v>20666</v>
      </c>
      <c r="D5138" s="71"/>
      <c r="E5138" s="68" t="s">
        <v>20667</v>
      </c>
      <c r="F5138" s="76">
        <v>41091.0</v>
      </c>
      <c r="G5138" s="68" t="s">
        <v>20668</v>
      </c>
      <c r="H5138" s="71"/>
      <c r="I5138" s="68" t="s">
        <v>20669</v>
      </c>
      <c r="J5138" s="68" t="s">
        <v>20670</v>
      </c>
      <c r="K5138" s="76">
        <v>43237.0</v>
      </c>
      <c r="L5138" s="68" t="s">
        <v>2743</v>
      </c>
      <c r="M5138" s="68" t="s">
        <v>530</v>
      </c>
      <c r="N5138" s="71"/>
      <c r="O5138" s="51"/>
    </row>
    <row r="5139">
      <c r="A5139" s="56">
        <v>5136.0</v>
      </c>
      <c r="B5139" s="240"/>
      <c r="C5139" s="69" t="s">
        <v>20671</v>
      </c>
      <c r="D5139" s="71"/>
      <c r="E5139" s="68" t="s">
        <v>20672</v>
      </c>
      <c r="F5139" s="76">
        <v>40402.0</v>
      </c>
      <c r="G5139" s="68" t="s">
        <v>20673</v>
      </c>
      <c r="H5139" s="71"/>
      <c r="I5139" s="68" t="s">
        <v>20674</v>
      </c>
      <c r="J5139" s="68" t="s">
        <v>20675</v>
      </c>
      <c r="K5139" s="76">
        <v>43238.0</v>
      </c>
      <c r="L5139" s="68" t="s">
        <v>2743</v>
      </c>
      <c r="M5139" s="68" t="s">
        <v>530</v>
      </c>
      <c r="N5139" s="71"/>
      <c r="O5139" s="51"/>
    </row>
    <row r="5140">
      <c r="A5140" s="56">
        <v>5137.0</v>
      </c>
      <c r="B5140" s="240"/>
      <c r="C5140" s="69" t="s">
        <v>20676</v>
      </c>
      <c r="D5140" s="71"/>
      <c r="E5140" s="68" t="s">
        <v>20677</v>
      </c>
      <c r="F5140" s="83">
        <v>35022.0</v>
      </c>
      <c r="G5140" s="68" t="s">
        <v>20678</v>
      </c>
      <c r="H5140" s="68" t="s">
        <v>20679</v>
      </c>
      <c r="I5140" s="71"/>
      <c r="J5140" s="87" t="s">
        <v>20680</v>
      </c>
      <c r="K5140" s="76">
        <v>43238.0</v>
      </c>
      <c r="L5140" s="68" t="s">
        <v>2743</v>
      </c>
      <c r="M5140" s="68" t="s">
        <v>31</v>
      </c>
      <c r="N5140" s="66"/>
      <c r="O5140" s="51"/>
    </row>
    <row r="5141">
      <c r="A5141" s="56">
        <v>5138.0</v>
      </c>
      <c r="B5141" s="240"/>
      <c r="C5141" s="69" t="s">
        <v>20681</v>
      </c>
      <c r="D5141" s="71"/>
      <c r="E5141" s="68" t="s">
        <v>20682</v>
      </c>
      <c r="F5141" s="76">
        <v>43160.0</v>
      </c>
      <c r="G5141" s="68" t="s">
        <v>20683</v>
      </c>
      <c r="H5141" s="71"/>
      <c r="I5141" s="71"/>
      <c r="J5141" s="68" t="s">
        <v>20684</v>
      </c>
      <c r="K5141" s="76">
        <v>43238.0</v>
      </c>
      <c r="L5141" s="68" t="s">
        <v>2743</v>
      </c>
      <c r="M5141" s="68" t="s">
        <v>368</v>
      </c>
      <c r="N5141" s="71"/>
      <c r="O5141" s="51"/>
    </row>
    <row r="5142">
      <c r="A5142" s="56">
        <v>5139.0</v>
      </c>
      <c r="B5142" s="240"/>
      <c r="C5142" s="69" t="s">
        <v>20685</v>
      </c>
      <c r="D5142" s="71"/>
      <c r="E5142" s="68" t="s">
        <v>20686</v>
      </c>
      <c r="F5142" s="76">
        <v>43194.0</v>
      </c>
      <c r="G5142" s="68" t="s">
        <v>20687</v>
      </c>
      <c r="H5142" s="71"/>
      <c r="I5142" s="71"/>
      <c r="J5142" s="68" t="s">
        <v>20688</v>
      </c>
      <c r="K5142" s="76">
        <v>43238.0</v>
      </c>
      <c r="L5142" s="68" t="s">
        <v>14256</v>
      </c>
      <c r="M5142" s="68" t="s">
        <v>166</v>
      </c>
      <c r="N5142" s="71"/>
      <c r="O5142" s="51"/>
    </row>
    <row r="5143">
      <c r="A5143" s="56">
        <v>5140.0</v>
      </c>
      <c r="B5143" s="240"/>
      <c r="C5143" s="69" t="s">
        <v>20689</v>
      </c>
      <c r="D5143" s="71"/>
      <c r="E5143" s="68" t="s">
        <v>20690</v>
      </c>
      <c r="F5143" s="76">
        <v>43200.0</v>
      </c>
      <c r="G5143" s="68" t="s">
        <v>20691</v>
      </c>
      <c r="H5143" s="71"/>
      <c r="I5143" s="71"/>
      <c r="J5143" s="68" t="s">
        <v>20692</v>
      </c>
      <c r="K5143" s="76">
        <v>43238.0</v>
      </c>
      <c r="L5143" s="68" t="s">
        <v>14256</v>
      </c>
      <c r="M5143" s="68" t="s">
        <v>166</v>
      </c>
      <c r="N5143" s="71"/>
      <c r="O5143" s="51"/>
    </row>
    <row r="5144">
      <c r="A5144" s="56">
        <v>5141.0</v>
      </c>
      <c r="B5144" s="241"/>
      <c r="C5144" s="64" t="s">
        <v>20693</v>
      </c>
      <c r="D5144" s="66"/>
      <c r="E5144" s="63" t="s">
        <v>20694</v>
      </c>
      <c r="F5144" s="70">
        <v>42973.0</v>
      </c>
      <c r="G5144" s="80" t="s">
        <v>20695</v>
      </c>
      <c r="H5144" s="82"/>
      <c r="I5144" s="66"/>
      <c r="J5144" s="63" t="s">
        <v>5653</v>
      </c>
      <c r="K5144" s="70">
        <v>43241.0</v>
      </c>
      <c r="L5144" s="63" t="s">
        <v>16585</v>
      </c>
      <c r="M5144" s="63" t="s">
        <v>166</v>
      </c>
      <c r="N5144" s="66"/>
      <c r="O5144" s="51"/>
    </row>
    <row r="5145">
      <c r="A5145" s="56">
        <v>5142.0</v>
      </c>
      <c r="B5145" s="240"/>
      <c r="C5145" s="69" t="s">
        <v>20696</v>
      </c>
      <c r="D5145" s="71"/>
      <c r="E5145" s="68" t="s">
        <v>20697</v>
      </c>
      <c r="F5145" s="83">
        <v>43085.0</v>
      </c>
      <c r="G5145" s="68" t="s">
        <v>20698</v>
      </c>
      <c r="H5145" s="71"/>
      <c r="I5145" s="71"/>
      <c r="J5145" s="68" t="s">
        <v>20699</v>
      </c>
      <c r="K5145" s="76">
        <v>43241.0</v>
      </c>
      <c r="L5145" s="68" t="s">
        <v>16585</v>
      </c>
      <c r="M5145" s="68" t="s">
        <v>166</v>
      </c>
      <c r="N5145" s="71"/>
      <c r="O5145" s="51"/>
    </row>
    <row r="5146">
      <c r="A5146" s="56">
        <v>5143.0</v>
      </c>
      <c r="B5146" s="241"/>
      <c r="C5146" s="64" t="s">
        <v>20700</v>
      </c>
      <c r="D5146" s="66"/>
      <c r="E5146" s="63" t="s">
        <v>20701</v>
      </c>
      <c r="F5146" s="70">
        <v>40004.0</v>
      </c>
      <c r="G5146" s="80" t="s">
        <v>20702</v>
      </c>
      <c r="H5146" s="80" t="s">
        <v>439</v>
      </c>
      <c r="I5146" s="63" t="s">
        <v>20703</v>
      </c>
      <c r="J5146" s="63" t="s">
        <v>5679</v>
      </c>
      <c r="K5146" s="70">
        <v>43241.0</v>
      </c>
      <c r="L5146" s="63" t="s">
        <v>2743</v>
      </c>
      <c r="M5146" s="63" t="s">
        <v>530</v>
      </c>
      <c r="N5146" s="66"/>
      <c r="O5146" s="51"/>
    </row>
    <row r="5147">
      <c r="A5147" s="56">
        <v>5144.0</v>
      </c>
      <c r="B5147" s="241"/>
      <c r="C5147" s="64" t="s">
        <v>20704</v>
      </c>
      <c r="D5147" s="66"/>
      <c r="E5147" s="63" t="s">
        <v>20705</v>
      </c>
      <c r="F5147" s="70">
        <v>40630.0</v>
      </c>
      <c r="G5147" s="80" t="s">
        <v>20706</v>
      </c>
      <c r="H5147" s="82"/>
      <c r="I5147" s="63" t="s">
        <v>20707</v>
      </c>
      <c r="J5147" s="63" t="s">
        <v>5679</v>
      </c>
      <c r="K5147" s="70">
        <v>43241.0</v>
      </c>
      <c r="L5147" s="63" t="s">
        <v>2743</v>
      </c>
      <c r="M5147" s="63" t="s">
        <v>530</v>
      </c>
      <c r="N5147" s="66"/>
      <c r="O5147" s="51"/>
    </row>
    <row r="5148">
      <c r="A5148" s="56">
        <v>5145.0</v>
      </c>
      <c r="B5148" s="240"/>
      <c r="C5148" s="69" t="s">
        <v>20708</v>
      </c>
      <c r="D5148" s="71"/>
      <c r="E5148" s="68" t="s">
        <v>20709</v>
      </c>
      <c r="F5148" s="76">
        <v>42370.0</v>
      </c>
      <c r="G5148" s="68" t="s">
        <v>20710</v>
      </c>
      <c r="H5148" s="71"/>
      <c r="I5148" s="71"/>
      <c r="J5148" s="68" t="s">
        <v>20711</v>
      </c>
      <c r="K5148" s="76">
        <v>43244.0</v>
      </c>
      <c r="L5148" s="68" t="s">
        <v>2743</v>
      </c>
      <c r="M5148" s="68" t="s">
        <v>31</v>
      </c>
      <c r="N5148" s="71"/>
      <c r="O5148" s="51"/>
    </row>
    <row r="5149">
      <c r="A5149" s="56">
        <v>5146.0</v>
      </c>
      <c r="B5149" s="240"/>
      <c r="C5149" s="69" t="s">
        <v>20712</v>
      </c>
      <c r="D5149" s="71"/>
      <c r="E5149" s="68" t="s">
        <v>20713</v>
      </c>
      <c r="F5149" s="76">
        <v>43164.0</v>
      </c>
      <c r="G5149" s="68" t="s">
        <v>20714</v>
      </c>
      <c r="H5149" s="71"/>
      <c r="I5149" s="68" t="s">
        <v>20715</v>
      </c>
      <c r="J5149" s="68" t="s">
        <v>20716</v>
      </c>
      <c r="K5149" s="76">
        <v>43245.0</v>
      </c>
      <c r="L5149" s="68" t="s">
        <v>2743</v>
      </c>
      <c r="M5149" s="68" t="s">
        <v>149</v>
      </c>
      <c r="N5149" s="71"/>
      <c r="O5149" s="51"/>
    </row>
    <row r="5150">
      <c r="A5150" s="75">
        <v>5147.0</v>
      </c>
      <c r="B5150" s="240"/>
      <c r="C5150" s="69" t="s">
        <v>20717</v>
      </c>
      <c r="D5150" s="71"/>
      <c r="E5150" s="68" t="s">
        <v>20718</v>
      </c>
      <c r="F5150" s="76">
        <v>41675.0</v>
      </c>
      <c r="G5150" s="68" t="s">
        <v>20719</v>
      </c>
      <c r="H5150" s="71"/>
      <c r="I5150" s="71"/>
      <c r="J5150" s="68" t="s">
        <v>20720</v>
      </c>
      <c r="K5150" s="76">
        <v>43245.0</v>
      </c>
      <c r="L5150" s="68" t="s">
        <v>2743</v>
      </c>
      <c r="M5150" s="68" t="s">
        <v>166</v>
      </c>
      <c r="N5150" s="66"/>
      <c r="O5150" s="51"/>
    </row>
    <row r="5151">
      <c r="A5151" s="56">
        <v>5148.0</v>
      </c>
      <c r="B5151" s="240"/>
      <c r="C5151" s="69" t="s">
        <v>20721</v>
      </c>
      <c r="D5151" s="71"/>
      <c r="E5151" s="68" t="s">
        <v>20722</v>
      </c>
      <c r="F5151" s="76">
        <v>42988.0</v>
      </c>
      <c r="G5151" s="68" t="s">
        <v>20723</v>
      </c>
      <c r="H5151" s="71"/>
      <c r="I5151" s="71"/>
      <c r="J5151" s="68" t="s">
        <v>20724</v>
      </c>
      <c r="K5151" s="76">
        <v>43245.0</v>
      </c>
      <c r="L5151" s="68" t="s">
        <v>20725</v>
      </c>
      <c r="M5151" s="68" t="s">
        <v>166</v>
      </c>
      <c r="N5151" s="71"/>
      <c r="O5151" s="51"/>
    </row>
    <row r="5152">
      <c r="A5152" s="56">
        <v>5149.0</v>
      </c>
      <c r="B5152" s="241"/>
      <c r="C5152" s="64" t="s">
        <v>20726</v>
      </c>
      <c r="D5152" s="66"/>
      <c r="E5152" s="63" t="s">
        <v>20727</v>
      </c>
      <c r="F5152" s="65">
        <v>40098.0</v>
      </c>
      <c r="G5152" s="80" t="s">
        <v>20728</v>
      </c>
      <c r="H5152" s="82"/>
      <c r="I5152" s="66"/>
      <c r="J5152" s="63" t="s">
        <v>5679</v>
      </c>
      <c r="K5152" s="70">
        <v>43245.0</v>
      </c>
      <c r="L5152" s="63" t="s">
        <v>2743</v>
      </c>
      <c r="M5152" s="63" t="s">
        <v>530</v>
      </c>
      <c r="N5152" s="66"/>
      <c r="O5152" s="51"/>
    </row>
    <row r="5153">
      <c r="A5153" s="56">
        <v>5150.0</v>
      </c>
      <c r="B5153" s="241"/>
      <c r="C5153" s="64" t="s">
        <v>20729</v>
      </c>
      <c r="D5153" s="66"/>
      <c r="E5153" s="63" t="s">
        <v>20730</v>
      </c>
      <c r="F5153" s="70">
        <v>42525.0</v>
      </c>
      <c r="G5153" s="80" t="s">
        <v>20731</v>
      </c>
      <c r="H5153" s="82"/>
      <c r="I5153" s="66"/>
      <c r="J5153" s="63" t="s">
        <v>7523</v>
      </c>
      <c r="K5153" s="70">
        <v>43245.0</v>
      </c>
      <c r="L5153" s="63" t="s">
        <v>2743</v>
      </c>
      <c r="M5153" s="63" t="s">
        <v>143</v>
      </c>
      <c r="N5153" s="66"/>
      <c r="O5153" s="51"/>
    </row>
    <row r="5154">
      <c r="A5154" s="75">
        <v>5151.0</v>
      </c>
      <c r="B5154" s="240"/>
      <c r="C5154" s="69" t="s">
        <v>20732</v>
      </c>
      <c r="D5154" s="71"/>
      <c r="E5154" s="68" t="s">
        <v>20733</v>
      </c>
      <c r="F5154" s="76">
        <v>42850.0</v>
      </c>
      <c r="G5154" s="68" t="s">
        <v>20734</v>
      </c>
      <c r="H5154" s="71"/>
      <c r="I5154" s="68" t="s">
        <v>20735</v>
      </c>
      <c r="J5154" s="68" t="s">
        <v>20736</v>
      </c>
      <c r="K5154" s="76">
        <v>43246.0</v>
      </c>
      <c r="L5154" s="68" t="s">
        <v>2743</v>
      </c>
      <c r="M5154" s="68" t="s">
        <v>18576</v>
      </c>
      <c r="N5154" s="71"/>
      <c r="O5154" s="51"/>
    </row>
    <row r="5155">
      <c r="A5155" s="56">
        <v>5152.0</v>
      </c>
      <c r="B5155" s="240"/>
      <c r="C5155" s="69" t="s">
        <v>20737</v>
      </c>
      <c r="D5155" s="71"/>
      <c r="E5155" s="68" t="s">
        <v>20738</v>
      </c>
      <c r="F5155" s="76">
        <v>40360.0</v>
      </c>
      <c r="G5155" s="68" t="s">
        <v>20739</v>
      </c>
      <c r="H5155" s="71"/>
      <c r="I5155" s="71"/>
      <c r="J5155" s="68" t="s">
        <v>20740</v>
      </c>
      <c r="K5155" s="76">
        <v>43246.0</v>
      </c>
      <c r="L5155" s="68" t="s">
        <v>2743</v>
      </c>
      <c r="M5155" s="68" t="s">
        <v>4749</v>
      </c>
      <c r="N5155" s="71"/>
      <c r="O5155" s="51"/>
    </row>
    <row r="5156">
      <c r="A5156" s="56">
        <v>5153.0</v>
      </c>
      <c r="B5156" s="240"/>
      <c r="C5156" s="69" t="s">
        <v>20741</v>
      </c>
      <c r="D5156" s="71"/>
      <c r="E5156" s="68" t="s">
        <v>20742</v>
      </c>
      <c r="F5156" s="76">
        <v>40360.0</v>
      </c>
      <c r="G5156" s="68" t="s">
        <v>20743</v>
      </c>
      <c r="H5156" s="71"/>
      <c r="I5156" s="68" t="s">
        <v>20744</v>
      </c>
      <c r="J5156" s="68" t="s">
        <v>20745</v>
      </c>
      <c r="K5156" s="76">
        <v>43246.0</v>
      </c>
      <c r="L5156" s="68" t="s">
        <v>2743</v>
      </c>
      <c r="M5156" s="68" t="s">
        <v>4749</v>
      </c>
      <c r="N5156" s="71"/>
      <c r="O5156" s="51"/>
    </row>
    <row r="5157">
      <c r="A5157" s="56">
        <v>5154.0</v>
      </c>
      <c r="B5157" s="241"/>
      <c r="C5157" s="64" t="s">
        <v>20746</v>
      </c>
      <c r="D5157" s="66"/>
      <c r="E5157" s="63" t="s">
        <v>20747</v>
      </c>
      <c r="F5157" s="70">
        <v>42261.0</v>
      </c>
      <c r="G5157" s="80" t="s">
        <v>20748</v>
      </c>
      <c r="H5157" s="82"/>
      <c r="I5157" s="66"/>
      <c r="J5157" s="63" t="s">
        <v>11049</v>
      </c>
      <c r="K5157" s="70">
        <v>43246.0</v>
      </c>
      <c r="L5157" s="63" t="s">
        <v>1496</v>
      </c>
      <c r="M5157" s="63" t="s">
        <v>27</v>
      </c>
      <c r="N5157" s="66"/>
      <c r="O5157" s="51"/>
    </row>
    <row r="5158">
      <c r="A5158" s="56">
        <v>5155.0</v>
      </c>
      <c r="B5158" s="241"/>
      <c r="C5158" s="64" t="s">
        <v>20749</v>
      </c>
      <c r="D5158" s="66"/>
      <c r="E5158" s="63" t="s">
        <v>20750</v>
      </c>
      <c r="F5158" s="70">
        <v>39938.0</v>
      </c>
      <c r="G5158" s="80" t="s">
        <v>20751</v>
      </c>
      <c r="H5158" s="82"/>
      <c r="I5158" s="66"/>
      <c r="J5158" s="63" t="s">
        <v>5679</v>
      </c>
      <c r="K5158" s="70">
        <v>43246.0</v>
      </c>
      <c r="L5158" s="63" t="s">
        <v>2743</v>
      </c>
      <c r="M5158" s="63" t="s">
        <v>125</v>
      </c>
      <c r="N5158" s="66"/>
      <c r="O5158" s="51"/>
    </row>
    <row r="5159">
      <c r="A5159" s="56">
        <v>5156.0</v>
      </c>
      <c r="B5159" s="240"/>
      <c r="C5159" s="69" t="s">
        <v>20752</v>
      </c>
      <c r="D5159" s="71"/>
      <c r="E5159" s="68" t="s">
        <v>20753</v>
      </c>
      <c r="F5159" s="76">
        <v>42186.0</v>
      </c>
      <c r="G5159" s="68" t="s">
        <v>20754</v>
      </c>
      <c r="H5159" s="71"/>
      <c r="I5159" s="71"/>
      <c r="J5159" s="68" t="s">
        <v>20755</v>
      </c>
      <c r="K5159" s="76">
        <v>43246.0</v>
      </c>
      <c r="L5159" s="68" t="s">
        <v>2743</v>
      </c>
      <c r="M5159" s="68" t="s">
        <v>195</v>
      </c>
      <c r="N5159" s="264" t="s">
        <v>20756</v>
      </c>
      <c r="O5159" s="51"/>
    </row>
    <row r="5160">
      <c r="A5160" s="56">
        <v>5157.0</v>
      </c>
      <c r="B5160" s="241"/>
      <c r="C5160" s="64" t="s">
        <v>20757</v>
      </c>
      <c r="D5160" s="66"/>
      <c r="E5160" s="63" t="s">
        <v>20758</v>
      </c>
      <c r="F5160" s="70">
        <v>39995.0</v>
      </c>
      <c r="G5160" s="80" t="s">
        <v>20759</v>
      </c>
      <c r="H5160" s="82"/>
      <c r="I5160" s="63" t="s">
        <v>20760</v>
      </c>
      <c r="J5160" s="63" t="s">
        <v>5679</v>
      </c>
      <c r="K5160" s="70">
        <v>43257.0</v>
      </c>
      <c r="L5160" s="63" t="s">
        <v>2743</v>
      </c>
      <c r="M5160" s="63" t="s">
        <v>530</v>
      </c>
      <c r="N5160" s="264" t="s">
        <v>20761</v>
      </c>
      <c r="O5160" s="51"/>
    </row>
    <row r="5161">
      <c r="A5161" s="75">
        <v>5158.0</v>
      </c>
      <c r="B5161" s="240"/>
      <c r="C5161" s="69" t="s">
        <v>20762</v>
      </c>
      <c r="D5161" s="71"/>
      <c r="E5161" s="68" t="s">
        <v>20763</v>
      </c>
      <c r="F5161" s="76">
        <v>40390.0</v>
      </c>
      <c r="G5161" s="68" t="s">
        <v>20764</v>
      </c>
      <c r="H5161" s="71"/>
      <c r="I5161" s="68" t="s">
        <v>20765</v>
      </c>
      <c r="J5161" s="68" t="s">
        <v>20766</v>
      </c>
      <c r="K5161" s="76">
        <v>43257.0</v>
      </c>
      <c r="L5161" s="68" t="s">
        <v>2743</v>
      </c>
      <c r="M5161" s="68" t="s">
        <v>3714</v>
      </c>
      <c r="N5161" s="116"/>
      <c r="O5161" s="51"/>
    </row>
    <row r="5162">
      <c r="A5162" s="56">
        <v>5159.0</v>
      </c>
      <c r="B5162" s="241"/>
      <c r="C5162" s="64" t="s">
        <v>20767</v>
      </c>
      <c r="D5162" s="66"/>
      <c r="E5162" s="63" t="s">
        <v>20768</v>
      </c>
      <c r="F5162" s="70">
        <v>43142.0</v>
      </c>
      <c r="G5162" s="80" t="s">
        <v>20769</v>
      </c>
      <c r="H5162" s="82"/>
      <c r="I5162" s="63" t="s">
        <v>20770</v>
      </c>
      <c r="J5162" s="63" t="s">
        <v>7523</v>
      </c>
      <c r="K5162" s="70">
        <v>43257.0</v>
      </c>
      <c r="L5162" s="63" t="s">
        <v>2743</v>
      </c>
      <c r="M5162" s="63" t="s">
        <v>18270</v>
      </c>
      <c r="N5162" s="116"/>
      <c r="O5162" s="51"/>
    </row>
    <row r="5163">
      <c r="A5163" s="56">
        <v>5160.0</v>
      </c>
      <c r="B5163" s="241"/>
      <c r="C5163" s="64" t="s">
        <v>20771</v>
      </c>
      <c r="D5163" s="66"/>
      <c r="E5163" s="63" t="s">
        <v>20772</v>
      </c>
      <c r="F5163" s="70">
        <v>42863.0</v>
      </c>
      <c r="G5163" s="80" t="s">
        <v>20773</v>
      </c>
      <c r="H5163" s="82"/>
      <c r="I5163" s="66"/>
      <c r="J5163" s="63" t="s">
        <v>7523</v>
      </c>
      <c r="K5163" s="70">
        <v>43257.0</v>
      </c>
      <c r="L5163" s="63" t="s">
        <v>2743</v>
      </c>
      <c r="M5163" s="63" t="s">
        <v>1664</v>
      </c>
      <c r="N5163" s="116"/>
      <c r="O5163" s="51"/>
    </row>
    <row r="5164">
      <c r="A5164" s="56">
        <v>5161.0</v>
      </c>
      <c r="B5164" s="240"/>
      <c r="C5164" s="69" t="s">
        <v>20774</v>
      </c>
      <c r="D5164" s="71"/>
      <c r="E5164" s="68" t="s">
        <v>20775</v>
      </c>
      <c r="F5164" s="76">
        <v>43257.0</v>
      </c>
      <c r="G5164" s="68" t="s">
        <v>20776</v>
      </c>
      <c r="H5164" s="68" t="s">
        <v>20777</v>
      </c>
      <c r="I5164" s="71"/>
      <c r="J5164" s="68" t="s">
        <v>20778</v>
      </c>
      <c r="K5164" s="76">
        <v>43263.0</v>
      </c>
      <c r="L5164" s="68" t="s">
        <v>16185</v>
      </c>
      <c r="M5164" s="68" t="s">
        <v>143</v>
      </c>
      <c r="N5164" s="116"/>
      <c r="O5164" s="51"/>
    </row>
    <row r="5165">
      <c r="A5165" s="56">
        <v>5162.0</v>
      </c>
      <c r="B5165" s="240"/>
      <c r="C5165" s="69" t="s">
        <v>20779</v>
      </c>
      <c r="D5165" s="71"/>
      <c r="E5165" s="68" t="s">
        <v>20780</v>
      </c>
      <c r="F5165" s="76">
        <v>42253.0</v>
      </c>
      <c r="G5165" s="68" t="s">
        <v>20781</v>
      </c>
      <c r="H5165" s="71"/>
      <c r="I5165" s="71"/>
      <c r="J5165" s="68" t="s">
        <v>20782</v>
      </c>
      <c r="K5165" s="76">
        <v>43263.0</v>
      </c>
      <c r="L5165" s="68" t="s">
        <v>16185</v>
      </c>
      <c r="M5165" s="68" t="s">
        <v>530</v>
      </c>
      <c r="N5165" s="116"/>
      <c r="O5165" s="51"/>
    </row>
    <row r="5166">
      <c r="A5166" s="56">
        <v>5163.0</v>
      </c>
      <c r="B5166" s="241"/>
      <c r="C5166" s="64" t="s">
        <v>20783</v>
      </c>
      <c r="D5166" s="66"/>
      <c r="E5166" s="63" t="s">
        <v>20784</v>
      </c>
      <c r="F5166" s="70">
        <v>42817.0</v>
      </c>
      <c r="G5166" s="80" t="s">
        <v>20785</v>
      </c>
      <c r="H5166" s="80" t="s">
        <v>439</v>
      </c>
      <c r="I5166" s="63" t="s">
        <v>20786</v>
      </c>
      <c r="J5166" s="63" t="s">
        <v>5679</v>
      </c>
      <c r="K5166" s="70">
        <v>43263.0</v>
      </c>
      <c r="L5166" s="63" t="s">
        <v>16185</v>
      </c>
      <c r="M5166" s="63" t="s">
        <v>2152</v>
      </c>
      <c r="N5166" s="116"/>
      <c r="O5166" s="51"/>
    </row>
    <row r="5167">
      <c r="A5167" s="56">
        <v>5164.0</v>
      </c>
      <c r="B5167" s="241"/>
      <c r="C5167" s="64" t="s">
        <v>20787</v>
      </c>
      <c r="D5167" s="66"/>
      <c r="E5167" s="63" t="s">
        <v>20788</v>
      </c>
      <c r="F5167" s="70">
        <v>43182.0</v>
      </c>
      <c r="G5167" s="80" t="s">
        <v>20785</v>
      </c>
      <c r="H5167" s="80" t="s">
        <v>20789</v>
      </c>
      <c r="I5167" s="63" t="s">
        <v>20786</v>
      </c>
      <c r="J5167" s="63" t="s">
        <v>5679</v>
      </c>
      <c r="K5167" s="70">
        <v>43263.0</v>
      </c>
      <c r="L5167" s="63" t="s">
        <v>16185</v>
      </c>
      <c r="M5167" s="63" t="s">
        <v>2152</v>
      </c>
      <c r="N5167" s="116"/>
      <c r="O5167" s="51"/>
    </row>
    <row r="5168">
      <c r="A5168" s="56">
        <v>5165.0</v>
      </c>
      <c r="B5168" s="240"/>
      <c r="C5168" s="69" t="s">
        <v>20790</v>
      </c>
      <c r="D5168" s="71"/>
      <c r="E5168" s="68" t="s">
        <v>20791</v>
      </c>
      <c r="F5168" s="76">
        <v>41803.0</v>
      </c>
      <c r="G5168" s="68" t="s">
        <v>20792</v>
      </c>
      <c r="H5168" s="71"/>
      <c r="I5168" s="68" t="s">
        <v>20793</v>
      </c>
      <c r="J5168" s="87" t="s">
        <v>20794</v>
      </c>
      <c r="K5168" s="76">
        <v>43263.0</v>
      </c>
      <c r="L5168" s="68" t="s">
        <v>16185</v>
      </c>
      <c r="M5168" s="68" t="s">
        <v>201</v>
      </c>
      <c r="N5168" s="116"/>
      <c r="O5168" s="51"/>
    </row>
    <row r="5169">
      <c r="A5169" s="56">
        <v>5166.0</v>
      </c>
      <c r="B5169" s="240"/>
      <c r="C5169" s="69" t="s">
        <v>20795</v>
      </c>
      <c r="D5169" s="71"/>
      <c r="E5169" s="68" t="s">
        <v>20796</v>
      </c>
      <c r="F5169" s="76">
        <v>42901.0</v>
      </c>
      <c r="G5169" s="68" t="s">
        <v>20797</v>
      </c>
      <c r="H5169" s="71"/>
      <c r="I5169" s="71"/>
      <c r="J5169" s="87" t="s">
        <v>20798</v>
      </c>
      <c r="K5169" s="76">
        <v>43263.0</v>
      </c>
      <c r="L5169" s="68" t="s">
        <v>16185</v>
      </c>
      <c r="M5169" s="68" t="s">
        <v>143</v>
      </c>
      <c r="N5169" s="116"/>
      <c r="O5169" s="51"/>
    </row>
    <row r="5170">
      <c r="A5170" s="56">
        <v>5167.0</v>
      </c>
      <c r="B5170" s="240"/>
      <c r="C5170" s="69" t="s">
        <v>20799</v>
      </c>
      <c r="D5170" s="71"/>
      <c r="E5170" s="68" t="s">
        <v>20800</v>
      </c>
      <c r="F5170" s="76">
        <v>42253.0</v>
      </c>
      <c r="G5170" s="68" t="s">
        <v>20801</v>
      </c>
      <c r="H5170" s="71"/>
      <c r="I5170" s="71"/>
      <c r="J5170" s="68" t="s">
        <v>20802</v>
      </c>
      <c r="K5170" s="76">
        <v>43263.0</v>
      </c>
      <c r="L5170" s="68" t="s">
        <v>16185</v>
      </c>
      <c r="M5170" s="68" t="s">
        <v>530</v>
      </c>
      <c r="N5170" s="116"/>
      <c r="O5170" s="51"/>
    </row>
    <row r="5171">
      <c r="A5171" s="56">
        <v>5168.0</v>
      </c>
      <c r="B5171" s="240"/>
      <c r="C5171" s="69" t="s">
        <v>20803</v>
      </c>
      <c r="D5171" s="71"/>
      <c r="E5171" s="68" t="s">
        <v>20804</v>
      </c>
      <c r="F5171" s="76">
        <v>42596.0</v>
      </c>
      <c r="G5171" s="68" t="s">
        <v>20805</v>
      </c>
      <c r="H5171" s="71"/>
      <c r="I5171" s="71"/>
      <c r="J5171" s="68" t="s">
        <v>20806</v>
      </c>
      <c r="K5171" s="76">
        <v>43263.0</v>
      </c>
      <c r="L5171" s="68" t="s">
        <v>2743</v>
      </c>
      <c r="M5171" s="68" t="s">
        <v>149</v>
      </c>
      <c r="N5171" s="116"/>
      <c r="O5171" s="51"/>
    </row>
    <row r="5172">
      <c r="A5172" s="56">
        <v>5169.0</v>
      </c>
      <c r="B5172" s="240"/>
      <c r="C5172" s="69" t="s">
        <v>20807</v>
      </c>
      <c r="D5172" s="71"/>
      <c r="E5172" s="68" t="s">
        <v>20808</v>
      </c>
      <c r="F5172" s="76">
        <v>42873.0</v>
      </c>
      <c r="G5172" s="68" t="s">
        <v>20809</v>
      </c>
      <c r="H5172" s="71"/>
      <c r="I5172" s="68" t="s">
        <v>20810</v>
      </c>
      <c r="J5172" s="68" t="s">
        <v>20811</v>
      </c>
      <c r="K5172" s="76">
        <v>43263.0</v>
      </c>
      <c r="L5172" s="68" t="s">
        <v>2743</v>
      </c>
      <c r="M5172" s="68" t="s">
        <v>1435</v>
      </c>
      <c r="N5172" s="116"/>
      <c r="O5172" s="51"/>
    </row>
    <row r="5173">
      <c r="A5173" s="56">
        <v>5170.0</v>
      </c>
      <c r="B5173" s="240"/>
      <c r="C5173" s="69" t="s">
        <v>20812</v>
      </c>
      <c r="D5173" s="71"/>
      <c r="E5173" s="68" t="s">
        <v>20813</v>
      </c>
      <c r="F5173" s="76">
        <v>40671.0</v>
      </c>
      <c r="G5173" s="68" t="s">
        <v>20814</v>
      </c>
      <c r="H5173" s="71"/>
      <c r="I5173" s="71"/>
      <c r="J5173" s="68" t="s">
        <v>1643</v>
      </c>
      <c r="K5173" s="76">
        <v>43263.0</v>
      </c>
      <c r="L5173" s="68" t="s">
        <v>2743</v>
      </c>
      <c r="M5173" s="68" t="s">
        <v>166</v>
      </c>
      <c r="N5173" s="116"/>
      <c r="O5173" s="51"/>
    </row>
    <row r="5174">
      <c r="A5174" s="56">
        <v>5171.0</v>
      </c>
      <c r="B5174" s="241"/>
      <c r="C5174" s="64" t="s">
        <v>20815</v>
      </c>
      <c r="D5174" s="66"/>
      <c r="E5174" s="63" t="s">
        <v>20816</v>
      </c>
      <c r="F5174" s="70">
        <v>42929.0</v>
      </c>
      <c r="G5174" s="80" t="s">
        <v>20817</v>
      </c>
      <c r="H5174" s="82"/>
      <c r="I5174" s="66"/>
      <c r="J5174" s="63" t="s">
        <v>11313</v>
      </c>
      <c r="K5174" s="70">
        <v>43263.0</v>
      </c>
      <c r="L5174" s="63" t="s">
        <v>17460</v>
      </c>
      <c r="M5174" s="63" t="s">
        <v>403</v>
      </c>
      <c r="N5174" s="116"/>
      <c r="O5174" s="51"/>
    </row>
    <row r="5175">
      <c r="A5175" s="56">
        <v>5172.0</v>
      </c>
      <c r="B5175" s="241"/>
      <c r="C5175" s="64" t="s">
        <v>20818</v>
      </c>
      <c r="D5175" s="66"/>
      <c r="E5175" s="63" t="s">
        <v>20819</v>
      </c>
      <c r="F5175" s="70">
        <v>39995.0</v>
      </c>
      <c r="G5175" s="80" t="s">
        <v>20820</v>
      </c>
      <c r="H5175" s="82"/>
      <c r="I5175" s="66"/>
      <c r="J5175" s="63" t="s">
        <v>5679</v>
      </c>
      <c r="K5175" s="70">
        <v>43263.0</v>
      </c>
      <c r="L5175" s="63" t="s">
        <v>2743</v>
      </c>
      <c r="M5175" s="63" t="s">
        <v>4749</v>
      </c>
      <c r="N5175" s="116"/>
      <c r="O5175" s="51"/>
    </row>
    <row r="5176">
      <c r="A5176" s="56">
        <v>5173.0</v>
      </c>
      <c r="B5176" s="240"/>
      <c r="C5176" s="69" t="s">
        <v>20821</v>
      </c>
      <c r="D5176" s="71"/>
      <c r="E5176" s="68" t="s">
        <v>20822</v>
      </c>
      <c r="F5176" s="76">
        <v>43174.0</v>
      </c>
      <c r="G5176" s="68" t="s">
        <v>20823</v>
      </c>
      <c r="H5176" s="71"/>
      <c r="I5176" s="71"/>
      <c r="J5176" s="68" t="s">
        <v>20824</v>
      </c>
      <c r="K5176" s="76">
        <v>43263.0</v>
      </c>
      <c r="L5176" s="68" t="s">
        <v>2743</v>
      </c>
      <c r="M5176" s="68" t="s">
        <v>149</v>
      </c>
      <c r="N5176" s="116"/>
      <c r="O5176" s="51"/>
    </row>
    <row r="5177">
      <c r="A5177" s="75">
        <v>5174.0</v>
      </c>
      <c r="B5177" s="240"/>
      <c r="C5177" s="69" t="s">
        <v>20825</v>
      </c>
      <c r="D5177" s="71"/>
      <c r="E5177" s="68" t="s">
        <v>20826</v>
      </c>
      <c r="F5177" s="76">
        <v>41769.0</v>
      </c>
      <c r="G5177" s="68" t="s">
        <v>20827</v>
      </c>
      <c r="H5177" s="68" t="s">
        <v>20828</v>
      </c>
      <c r="I5177" s="68" t="s">
        <v>20829</v>
      </c>
      <c r="J5177" s="68" t="s">
        <v>20830</v>
      </c>
      <c r="K5177" s="76">
        <v>43263.0</v>
      </c>
      <c r="L5177" s="68" t="s">
        <v>2743</v>
      </c>
      <c r="M5177" s="68" t="s">
        <v>2152</v>
      </c>
      <c r="N5177" s="116"/>
      <c r="O5177" s="51"/>
    </row>
    <row r="5178">
      <c r="A5178" s="56">
        <v>5175.0</v>
      </c>
      <c r="B5178" s="240"/>
      <c r="C5178" s="69" t="s">
        <v>20831</v>
      </c>
      <c r="D5178" s="71"/>
      <c r="E5178" s="68" t="s">
        <v>12409</v>
      </c>
      <c r="F5178" s="76">
        <v>41903.0</v>
      </c>
      <c r="G5178" s="68" t="s">
        <v>20832</v>
      </c>
      <c r="H5178" s="71"/>
      <c r="I5178" s="71"/>
      <c r="J5178" s="68" t="s">
        <v>20833</v>
      </c>
      <c r="K5178" s="76">
        <v>43263.0</v>
      </c>
      <c r="L5178" s="68" t="s">
        <v>2743</v>
      </c>
      <c r="M5178" s="68" t="s">
        <v>27</v>
      </c>
      <c r="N5178" s="116"/>
      <c r="O5178" s="51"/>
    </row>
    <row r="5179">
      <c r="A5179" s="56">
        <v>5176.0</v>
      </c>
      <c r="B5179" s="240"/>
      <c r="C5179" s="69" t="s">
        <v>20834</v>
      </c>
      <c r="D5179" s="71"/>
      <c r="E5179" s="68" t="s">
        <v>20835</v>
      </c>
      <c r="F5179" s="76">
        <v>43225.0</v>
      </c>
      <c r="G5179" s="68" t="s">
        <v>20836</v>
      </c>
      <c r="H5179" s="71"/>
      <c r="I5179" s="71"/>
      <c r="J5179" s="68" t="s">
        <v>20837</v>
      </c>
      <c r="K5179" s="76">
        <v>43270.0</v>
      </c>
      <c r="L5179" s="68" t="s">
        <v>2743</v>
      </c>
      <c r="M5179" s="68" t="s">
        <v>149</v>
      </c>
      <c r="N5179" s="116"/>
      <c r="O5179" s="51"/>
    </row>
    <row r="5180">
      <c r="A5180" s="56">
        <v>5177.0</v>
      </c>
      <c r="B5180" s="241"/>
      <c r="C5180" s="64" t="s">
        <v>20838</v>
      </c>
      <c r="D5180" s="66"/>
      <c r="E5180" s="63" t="s">
        <v>20428</v>
      </c>
      <c r="F5180" s="63" t="s">
        <v>407</v>
      </c>
      <c r="G5180" s="82"/>
      <c r="H5180" s="82"/>
      <c r="I5180" s="66"/>
      <c r="J5180" s="63" t="s">
        <v>6393</v>
      </c>
      <c r="K5180" s="70">
        <v>43270.0</v>
      </c>
      <c r="L5180" s="63" t="s">
        <v>2743</v>
      </c>
      <c r="M5180" s="63" t="s">
        <v>195</v>
      </c>
      <c r="N5180" s="116"/>
      <c r="O5180" s="51"/>
    </row>
    <row r="5181">
      <c r="A5181" s="56">
        <v>5178.0</v>
      </c>
      <c r="B5181" s="240"/>
      <c r="C5181" s="69" t="s">
        <v>20839</v>
      </c>
      <c r="D5181" s="71"/>
      <c r="E5181" s="68" t="s">
        <v>20840</v>
      </c>
      <c r="F5181" s="76">
        <v>43013.0</v>
      </c>
      <c r="G5181" s="68" t="s">
        <v>20841</v>
      </c>
      <c r="H5181" s="71"/>
      <c r="I5181" s="71"/>
      <c r="J5181" s="68" t="s">
        <v>20842</v>
      </c>
      <c r="K5181" s="76">
        <v>43278.0</v>
      </c>
      <c r="L5181" s="68" t="s">
        <v>2743</v>
      </c>
      <c r="M5181" s="68" t="s">
        <v>2527</v>
      </c>
      <c r="N5181" s="116"/>
      <c r="O5181" s="51"/>
    </row>
    <row r="5182">
      <c r="A5182" s="56">
        <v>5179.0</v>
      </c>
      <c r="B5182" s="240"/>
      <c r="C5182" s="69" t="s">
        <v>20843</v>
      </c>
      <c r="D5182" s="71"/>
      <c r="E5182" s="68" t="s">
        <v>20844</v>
      </c>
      <c r="F5182" s="76">
        <v>43250.0</v>
      </c>
      <c r="G5182" s="68" t="s">
        <v>20845</v>
      </c>
      <c r="H5182" s="71"/>
      <c r="I5182" s="71"/>
      <c r="J5182" s="68" t="s">
        <v>20846</v>
      </c>
      <c r="K5182" s="76">
        <v>43273.0</v>
      </c>
      <c r="L5182" s="68" t="s">
        <v>2743</v>
      </c>
      <c r="M5182" s="68" t="s">
        <v>166</v>
      </c>
      <c r="N5182" s="116"/>
      <c r="O5182" s="51"/>
    </row>
    <row r="5183">
      <c r="A5183" s="56">
        <v>5180.0</v>
      </c>
      <c r="B5183" s="240"/>
      <c r="C5183" s="69" t="s">
        <v>20847</v>
      </c>
      <c r="D5183" s="71"/>
      <c r="E5183" s="68" t="s">
        <v>20848</v>
      </c>
      <c r="F5183" s="76">
        <v>40360.0</v>
      </c>
      <c r="G5183" s="68" t="s">
        <v>20849</v>
      </c>
      <c r="H5183" s="71"/>
      <c r="I5183" s="71"/>
      <c r="J5183" s="68" t="s">
        <v>20850</v>
      </c>
      <c r="K5183" s="76">
        <v>43273.0</v>
      </c>
      <c r="L5183" s="68" t="s">
        <v>2743</v>
      </c>
      <c r="M5183" s="68" t="s">
        <v>166</v>
      </c>
      <c r="N5183" s="116"/>
      <c r="O5183" s="51"/>
    </row>
    <row r="5184">
      <c r="A5184" s="56">
        <v>5181.0</v>
      </c>
      <c r="B5184" s="240"/>
      <c r="C5184" s="69" t="s">
        <v>20851</v>
      </c>
      <c r="D5184" s="71"/>
      <c r="E5184" s="68" t="s">
        <v>20852</v>
      </c>
      <c r="F5184" s="76">
        <v>40360.0</v>
      </c>
      <c r="G5184" s="68" t="s">
        <v>20849</v>
      </c>
      <c r="H5184" s="71"/>
      <c r="I5184" s="71"/>
      <c r="J5184" s="68" t="s">
        <v>20853</v>
      </c>
      <c r="K5184" s="76">
        <v>43273.0</v>
      </c>
      <c r="L5184" s="68" t="s">
        <v>2743</v>
      </c>
      <c r="M5184" s="68" t="s">
        <v>166</v>
      </c>
      <c r="N5184" s="116"/>
      <c r="O5184" s="51"/>
    </row>
    <row r="5185">
      <c r="A5185" s="56">
        <v>5182.0</v>
      </c>
      <c r="B5185" s="240"/>
      <c r="C5185" s="69" t="s">
        <v>20854</v>
      </c>
      <c r="D5185" s="71"/>
      <c r="E5185" s="68" t="s">
        <v>20855</v>
      </c>
      <c r="F5185" s="76">
        <v>43260.0</v>
      </c>
      <c r="G5185" s="68" t="s">
        <v>20856</v>
      </c>
      <c r="H5185" s="71"/>
      <c r="I5185" s="71"/>
      <c r="J5185" s="87" t="s">
        <v>20857</v>
      </c>
      <c r="K5185" s="76">
        <v>43274.0</v>
      </c>
      <c r="L5185" s="68" t="s">
        <v>2743</v>
      </c>
      <c r="M5185" s="68" t="s">
        <v>166</v>
      </c>
      <c r="N5185" s="116"/>
      <c r="O5185" s="51"/>
    </row>
    <row r="5186">
      <c r="A5186" s="56">
        <v>5183.0</v>
      </c>
      <c r="B5186" s="240"/>
      <c r="C5186" s="69" t="s">
        <v>20858</v>
      </c>
      <c r="D5186" s="71"/>
      <c r="E5186" s="68" t="s">
        <v>20859</v>
      </c>
      <c r="F5186" s="76">
        <v>43142.0</v>
      </c>
      <c r="G5186" s="68" t="s">
        <v>20860</v>
      </c>
      <c r="H5186" s="71"/>
      <c r="I5186" s="71"/>
      <c r="J5186" s="68" t="s">
        <v>20861</v>
      </c>
      <c r="K5186" s="76">
        <v>43274.0</v>
      </c>
      <c r="L5186" s="68" t="s">
        <v>18962</v>
      </c>
      <c r="M5186" s="68" t="s">
        <v>18270</v>
      </c>
      <c r="N5186" s="116"/>
      <c r="O5186" s="51"/>
    </row>
    <row r="5187">
      <c r="A5187" s="56">
        <v>5184.0</v>
      </c>
      <c r="B5187" s="240"/>
      <c r="C5187" s="69" t="s">
        <v>20862</v>
      </c>
      <c r="D5187" s="71"/>
      <c r="E5187" s="68" t="s">
        <v>20863</v>
      </c>
      <c r="F5187" s="76">
        <v>42186.0</v>
      </c>
      <c r="G5187" s="68" t="s">
        <v>20864</v>
      </c>
      <c r="H5187" s="71"/>
      <c r="I5187" s="71"/>
      <c r="J5187" s="68" t="s">
        <v>20865</v>
      </c>
      <c r="K5187" s="76">
        <v>43274.0</v>
      </c>
      <c r="L5187" s="68" t="s">
        <v>14968</v>
      </c>
      <c r="M5187" s="68" t="s">
        <v>27</v>
      </c>
      <c r="N5187" s="116"/>
      <c r="O5187" s="51"/>
    </row>
    <row r="5188">
      <c r="A5188" s="56">
        <v>5185.0</v>
      </c>
      <c r="B5188" s="241"/>
      <c r="C5188" s="64" t="s">
        <v>20866</v>
      </c>
      <c r="D5188" s="66"/>
      <c r="E5188" s="63" t="s">
        <v>20867</v>
      </c>
      <c r="F5188" s="70">
        <v>43150.0</v>
      </c>
      <c r="G5188" s="80" t="s">
        <v>20868</v>
      </c>
      <c r="H5188" s="80" t="s">
        <v>20869</v>
      </c>
      <c r="I5188" s="66"/>
      <c r="J5188" s="63" t="s">
        <v>6393</v>
      </c>
      <c r="K5188" s="70">
        <v>43274.0</v>
      </c>
      <c r="L5188" s="63" t="s">
        <v>2743</v>
      </c>
      <c r="M5188" s="63" t="s">
        <v>195</v>
      </c>
      <c r="N5188" s="116"/>
      <c r="O5188" s="51"/>
    </row>
    <row r="5189">
      <c r="A5189" s="56">
        <v>5186.0</v>
      </c>
      <c r="B5189" s="240"/>
      <c r="C5189" s="69" t="s">
        <v>20870</v>
      </c>
      <c r="D5189" s="71"/>
      <c r="E5189" s="68" t="s">
        <v>20871</v>
      </c>
      <c r="F5189" s="76">
        <v>43077.0</v>
      </c>
      <c r="G5189" s="68" t="s">
        <v>20872</v>
      </c>
      <c r="H5189" s="71"/>
      <c r="I5189" s="68" t="s">
        <v>20873</v>
      </c>
      <c r="J5189" s="68" t="s">
        <v>20874</v>
      </c>
      <c r="K5189" s="76">
        <v>43274.0</v>
      </c>
      <c r="L5189" s="68" t="s">
        <v>2743</v>
      </c>
      <c r="M5189" s="68" t="s">
        <v>368</v>
      </c>
      <c r="N5189" s="116"/>
      <c r="O5189" s="51"/>
    </row>
    <row r="5190">
      <c r="A5190" s="56">
        <v>5187.0</v>
      </c>
      <c r="B5190" s="240"/>
      <c r="C5190" s="69" t="s">
        <v>20875</v>
      </c>
      <c r="D5190" s="71"/>
      <c r="E5190" s="68" t="s">
        <v>20876</v>
      </c>
      <c r="F5190" s="76">
        <v>43240.0</v>
      </c>
      <c r="G5190" s="68" t="s">
        <v>20877</v>
      </c>
      <c r="H5190" s="71"/>
      <c r="I5190" s="71"/>
      <c r="J5190" s="68" t="s">
        <v>20878</v>
      </c>
      <c r="K5190" s="71"/>
      <c r="L5190" s="68" t="s">
        <v>2743</v>
      </c>
      <c r="M5190" s="68" t="s">
        <v>31</v>
      </c>
      <c r="N5190" s="116"/>
      <c r="O5190" s="51"/>
    </row>
    <row r="5191">
      <c r="A5191" s="56">
        <v>5188.0</v>
      </c>
      <c r="B5191" s="240"/>
      <c r="C5191" s="69" t="s">
        <v>20879</v>
      </c>
      <c r="D5191" s="71"/>
      <c r="E5191" s="68" t="s">
        <v>20880</v>
      </c>
      <c r="F5191" s="76">
        <v>43190.0</v>
      </c>
      <c r="G5191" s="68" t="s">
        <v>20881</v>
      </c>
      <c r="H5191" s="71"/>
      <c r="I5191" s="68" t="s">
        <v>20882</v>
      </c>
      <c r="J5191" s="68" t="s">
        <v>20883</v>
      </c>
      <c r="K5191" s="76">
        <v>43277.0</v>
      </c>
      <c r="L5191" s="68" t="s">
        <v>2743</v>
      </c>
      <c r="M5191" s="68" t="s">
        <v>15909</v>
      </c>
      <c r="N5191" s="116"/>
      <c r="O5191" s="51"/>
    </row>
    <row r="5192">
      <c r="A5192" s="56">
        <v>5189.0</v>
      </c>
      <c r="B5192" s="240"/>
      <c r="C5192" s="69" t="s">
        <v>20884</v>
      </c>
      <c r="D5192" s="71"/>
      <c r="E5192" s="68" t="s">
        <v>20885</v>
      </c>
      <c r="F5192" s="83">
        <v>43094.0</v>
      </c>
      <c r="G5192" s="68" t="s">
        <v>20886</v>
      </c>
      <c r="H5192" s="71"/>
      <c r="I5192" s="71"/>
      <c r="J5192" s="68" t="s">
        <v>5679</v>
      </c>
      <c r="K5192" s="76">
        <v>43278.0</v>
      </c>
      <c r="L5192" s="68" t="s">
        <v>2743</v>
      </c>
      <c r="M5192" s="68" t="s">
        <v>2152</v>
      </c>
      <c r="N5192" s="116"/>
      <c r="O5192" s="51"/>
    </row>
    <row r="5193">
      <c r="A5193" s="56">
        <v>5190.0</v>
      </c>
      <c r="B5193" s="240"/>
      <c r="C5193" s="69" t="s">
        <v>20887</v>
      </c>
      <c r="D5193" s="71"/>
      <c r="E5193" s="68" t="s">
        <v>20888</v>
      </c>
      <c r="F5193" s="83">
        <v>43094.0</v>
      </c>
      <c r="G5193" s="68" t="s">
        <v>20886</v>
      </c>
      <c r="H5193" s="71"/>
      <c r="I5193" s="71"/>
      <c r="J5193" s="68" t="s">
        <v>5679</v>
      </c>
      <c r="K5193" s="76">
        <v>43278.0</v>
      </c>
      <c r="L5193" s="68" t="s">
        <v>2743</v>
      </c>
      <c r="M5193" s="68" t="s">
        <v>2152</v>
      </c>
      <c r="N5193" s="116"/>
      <c r="O5193" s="51"/>
    </row>
    <row r="5194">
      <c r="A5194" s="75">
        <v>5191.0</v>
      </c>
      <c r="B5194" s="240"/>
      <c r="C5194" s="69" t="s">
        <v>20889</v>
      </c>
      <c r="D5194" s="71"/>
      <c r="E5194" s="68" t="s">
        <v>20890</v>
      </c>
      <c r="F5194" s="83">
        <v>41973.0</v>
      </c>
      <c r="G5194" s="68" t="s">
        <v>20891</v>
      </c>
      <c r="H5194" s="71"/>
      <c r="I5194" s="71"/>
      <c r="J5194" s="68" t="s">
        <v>20892</v>
      </c>
      <c r="K5194" s="76">
        <v>43279.0</v>
      </c>
      <c r="L5194" s="68" t="s">
        <v>2743</v>
      </c>
      <c r="M5194" s="68" t="s">
        <v>125</v>
      </c>
      <c r="N5194" s="116"/>
      <c r="O5194" s="51"/>
    </row>
    <row r="5195">
      <c r="A5195" s="56">
        <v>5192.0</v>
      </c>
      <c r="B5195" s="240"/>
      <c r="C5195" s="69" t="s">
        <v>20893</v>
      </c>
      <c r="D5195" s="71"/>
      <c r="E5195" s="68" t="s">
        <v>20894</v>
      </c>
      <c r="F5195" s="76">
        <v>40985.0</v>
      </c>
      <c r="G5195" s="68" t="s">
        <v>20895</v>
      </c>
      <c r="H5195" s="71"/>
      <c r="I5195" s="68" t="s">
        <v>20896</v>
      </c>
      <c r="J5195" s="68" t="s">
        <v>20897</v>
      </c>
      <c r="K5195" s="76">
        <v>43279.0</v>
      </c>
      <c r="L5195" s="68" t="s">
        <v>2743</v>
      </c>
      <c r="M5195" s="68" t="s">
        <v>2989</v>
      </c>
      <c r="N5195" s="264" t="s">
        <v>20898</v>
      </c>
      <c r="O5195" s="51"/>
    </row>
    <row r="5196">
      <c r="A5196" s="56">
        <v>5193.0</v>
      </c>
      <c r="B5196" s="241"/>
      <c r="C5196" s="64" t="s">
        <v>20899</v>
      </c>
      <c r="D5196" s="66"/>
      <c r="E5196" s="63" t="s">
        <v>20900</v>
      </c>
      <c r="F5196" s="70">
        <v>42897.0</v>
      </c>
      <c r="G5196" s="80" t="s">
        <v>20901</v>
      </c>
      <c r="H5196" s="82"/>
      <c r="I5196" s="66"/>
      <c r="J5196" s="63" t="s">
        <v>7523</v>
      </c>
      <c r="K5196" s="70">
        <v>43284.0</v>
      </c>
      <c r="L5196" s="63" t="s">
        <v>2743</v>
      </c>
      <c r="M5196" s="63" t="s">
        <v>149</v>
      </c>
      <c r="N5196" s="264" t="s">
        <v>20902</v>
      </c>
      <c r="O5196" s="51"/>
    </row>
    <row r="5197">
      <c r="A5197" s="56">
        <v>5194.0</v>
      </c>
      <c r="B5197" s="240"/>
      <c r="C5197" s="69" t="s">
        <v>20903</v>
      </c>
      <c r="D5197" s="71"/>
      <c r="E5197" s="68" t="s">
        <v>20904</v>
      </c>
      <c r="F5197" s="76">
        <v>38412.0</v>
      </c>
      <c r="G5197" s="68" t="s">
        <v>20905</v>
      </c>
      <c r="H5197" s="71"/>
      <c r="I5197" s="71"/>
      <c r="J5197" s="68" t="s">
        <v>18735</v>
      </c>
      <c r="K5197" s="76">
        <v>43284.0</v>
      </c>
      <c r="L5197" s="68" t="s">
        <v>2743</v>
      </c>
      <c r="M5197" s="68" t="s">
        <v>166</v>
      </c>
      <c r="N5197" s="116"/>
      <c r="O5197" s="51"/>
    </row>
    <row r="5198">
      <c r="A5198" s="56">
        <v>5195.0</v>
      </c>
      <c r="B5198" s="241"/>
      <c r="C5198" s="64" t="s">
        <v>20906</v>
      </c>
      <c r="D5198" s="66"/>
      <c r="E5198" s="63" t="s">
        <v>20907</v>
      </c>
      <c r="F5198" s="70">
        <v>41805.0</v>
      </c>
      <c r="G5198" s="80" t="s">
        <v>20908</v>
      </c>
      <c r="H5198" s="80" t="s">
        <v>20909</v>
      </c>
      <c r="I5198" s="63" t="s">
        <v>20910</v>
      </c>
      <c r="J5198" s="63" t="s">
        <v>6393</v>
      </c>
      <c r="K5198" s="70">
        <v>43284.0</v>
      </c>
      <c r="L5198" s="63" t="s">
        <v>2743</v>
      </c>
      <c r="M5198" s="63" t="s">
        <v>6395</v>
      </c>
      <c r="N5198" s="116"/>
      <c r="O5198" s="51"/>
    </row>
    <row r="5199">
      <c r="A5199" s="56">
        <v>5196.0</v>
      </c>
      <c r="B5199" s="240"/>
      <c r="C5199" s="69" t="s">
        <v>20911</v>
      </c>
      <c r="D5199" s="71"/>
      <c r="E5199" s="68" t="s">
        <v>20912</v>
      </c>
      <c r="F5199" s="76">
        <v>43251.0</v>
      </c>
      <c r="G5199" s="68" t="s">
        <v>20913</v>
      </c>
      <c r="H5199" s="71"/>
      <c r="I5199" s="71"/>
      <c r="J5199" s="68" t="s">
        <v>20914</v>
      </c>
      <c r="K5199" s="76">
        <v>43284.0</v>
      </c>
      <c r="L5199" s="68" t="s">
        <v>2743</v>
      </c>
      <c r="M5199" s="68" t="s">
        <v>143</v>
      </c>
      <c r="N5199" s="116"/>
      <c r="O5199" s="51"/>
    </row>
    <row r="5200">
      <c r="A5200" s="56">
        <v>5197.0</v>
      </c>
      <c r="B5200" s="240"/>
      <c r="C5200" s="69" t="s">
        <v>20915</v>
      </c>
      <c r="D5200" s="71"/>
      <c r="E5200" s="68" t="s">
        <v>20916</v>
      </c>
      <c r="F5200" s="76">
        <v>43278.0</v>
      </c>
      <c r="G5200" s="68" t="s">
        <v>20917</v>
      </c>
      <c r="H5200" s="71"/>
      <c r="I5200" s="68" t="s">
        <v>20918</v>
      </c>
      <c r="J5200" s="68" t="s">
        <v>20919</v>
      </c>
      <c r="K5200" s="76">
        <v>43284.0</v>
      </c>
      <c r="L5200" s="68" t="s">
        <v>2743</v>
      </c>
      <c r="M5200" s="68" t="s">
        <v>143</v>
      </c>
      <c r="N5200" s="116"/>
      <c r="O5200" s="51"/>
    </row>
    <row r="5201">
      <c r="A5201" s="56">
        <v>5198.0</v>
      </c>
      <c r="B5201" s="241"/>
      <c r="C5201" s="64" t="s">
        <v>20920</v>
      </c>
      <c r="D5201" s="66"/>
      <c r="E5201" s="63" t="s">
        <v>20921</v>
      </c>
      <c r="F5201" s="70">
        <v>39995.0</v>
      </c>
      <c r="G5201" s="80" t="s">
        <v>20922</v>
      </c>
      <c r="H5201" s="80" t="s">
        <v>20923</v>
      </c>
      <c r="I5201" s="66"/>
      <c r="J5201" s="63" t="s">
        <v>5679</v>
      </c>
      <c r="K5201" s="70">
        <v>43284.0</v>
      </c>
      <c r="L5201" s="63" t="s">
        <v>2743</v>
      </c>
      <c r="M5201" s="63" t="s">
        <v>530</v>
      </c>
      <c r="N5201" s="116"/>
      <c r="O5201" s="51"/>
    </row>
    <row r="5202">
      <c r="A5202" s="56">
        <v>5199.0</v>
      </c>
      <c r="B5202" s="240"/>
      <c r="C5202" s="69" t="s">
        <v>20924</v>
      </c>
      <c r="D5202" s="71"/>
      <c r="E5202" s="68" t="s">
        <v>20925</v>
      </c>
      <c r="F5202" s="83">
        <v>43088.0</v>
      </c>
      <c r="G5202" s="68" t="s">
        <v>20926</v>
      </c>
      <c r="H5202" s="71"/>
      <c r="I5202" s="71"/>
      <c r="J5202" s="68" t="s">
        <v>20927</v>
      </c>
      <c r="K5202" s="76">
        <v>43284.0</v>
      </c>
      <c r="L5202" s="68" t="s">
        <v>2743</v>
      </c>
      <c r="M5202" s="68" t="s">
        <v>166</v>
      </c>
      <c r="N5202" s="116"/>
      <c r="O5202" s="51"/>
    </row>
    <row r="5203">
      <c r="A5203" s="56">
        <v>5200.0</v>
      </c>
      <c r="B5203" s="241"/>
      <c r="C5203" s="64" t="s">
        <v>20928</v>
      </c>
      <c r="D5203" s="66"/>
      <c r="E5203" s="63" t="s">
        <v>20929</v>
      </c>
      <c r="F5203" s="70">
        <v>41323.0</v>
      </c>
      <c r="G5203" s="80" t="s">
        <v>20930</v>
      </c>
      <c r="H5203" s="80" t="s">
        <v>20931</v>
      </c>
      <c r="I5203" s="66"/>
      <c r="J5203" s="63" t="s">
        <v>136</v>
      </c>
      <c r="K5203" s="70">
        <v>43284.0</v>
      </c>
      <c r="L5203" s="63" t="s">
        <v>2743</v>
      </c>
      <c r="M5203" s="63" t="s">
        <v>125</v>
      </c>
      <c r="N5203" s="116"/>
      <c r="O5203" s="51"/>
    </row>
    <row r="5204">
      <c r="A5204" s="62">
        <v>5201.0</v>
      </c>
      <c r="B5204" s="242"/>
      <c r="C5204" s="64" t="s">
        <v>20932</v>
      </c>
      <c r="D5204" s="66"/>
      <c r="E5204" s="63" t="s">
        <v>20933</v>
      </c>
      <c r="F5204" s="70">
        <v>40269.0</v>
      </c>
      <c r="G5204" s="63" t="s">
        <v>20934</v>
      </c>
      <c r="H5204" s="66"/>
      <c r="I5204" s="66"/>
      <c r="J5204" s="66"/>
      <c r="K5204" s="70">
        <v>43284.0</v>
      </c>
      <c r="L5204" s="63" t="s">
        <v>2743</v>
      </c>
      <c r="M5204" s="63" t="s">
        <v>166</v>
      </c>
      <c r="N5204" s="186"/>
      <c r="O5204" s="51"/>
    </row>
    <row r="5205">
      <c r="A5205" s="56">
        <v>5202.0</v>
      </c>
      <c r="B5205" s="240"/>
      <c r="C5205" s="69" t="s">
        <v>20935</v>
      </c>
      <c r="D5205" s="71"/>
      <c r="E5205" s="68" t="s">
        <v>20936</v>
      </c>
      <c r="F5205" s="76">
        <v>39995.0</v>
      </c>
      <c r="G5205" s="68" t="s">
        <v>20937</v>
      </c>
      <c r="H5205" s="71"/>
      <c r="I5205" s="71"/>
      <c r="J5205" s="68" t="s">
        <v>20938</v>
      </c>
      <c r="K5205" s="76">
        <v>43284.0</v>
      </c>
      <c r="L5205" s="68" t="s">
        <v>2743</v>
      </c>
      <c r="M5205" s="68" t="s">
        <v>530</v>
      </c>
      <c r="N5205" s="116"/>
      <c r="O5205" s="51"/>
    </row>
    <row r="5206">
      <c r="A5206" s="56">
        <v>5203.0</v>
      </c>
      <c r="B5206" s="240"/>
      <c r="C5206" s="69" t="s">
        <v>20939</v>
      </c>
      <c r="D5206" s="71"/>
      <c r="E5206" s="68" t="s">
        <v>20940</v>
      </c>
      <c r="F5206" s="76">
        <v>39995.0</v>
      </c>
      <c r="G5206" s="68" t="s">
        <v>20937</v>
      </c>
      <c r="H5206" s="71"/>
      <c r="I5206" s="68" t="s">
        <v>20941</v>
      </c>
      <c r="J5206" s="68" t="s">
        <v>20942</v>
      </c>
      <c r="K5206" s="76">
        <v>43284.0</v>
      </c>
      <c r="L5206" s="68" t="s">
        <v>2743</v>
      </c>
      <c r="M5206" s="68" t="s">
        <v>530</v>
      </c>
      <c r="N5206" s="116"/>
      <c r="O5206" s="51"/>
    </row>
    <row r="5207">
      <c r="A5207" s="56">
        <v>5204.0</v>
      </c>
      <c r="B5207" s="240"/>
      <c r="C5207" s="69" t="s">
        <v>20943</v>
      </c>
      <c r="D5207" s="71"/>
      <c r="E5207" s="68" t="s">
        <v>20944</v>
      </c>
      <c r="F5207" s="76">
        <v>39995.0</v>
      </c>
      <c r="G5207" s="68" t="s">
        <v>20937</v>
      </c>
      <c r="H5207" s="71"/>
      <c r="I5207" s="71"/>
      <c r="J5207" s="68" t="s">
        <v>20945</v>
      </c>
      <c r="K5207" s="76">
        <v>43284.0</v>
      </c>
      <c r="L5207" s="68" t="s">
        <v>2743</v>
      </c>
      <c r="M5207" s="68" t="s">
        <v>530</v>
      </c>
      <c r="N5207" s="116"/>
      <c r="O5207" s="51"/>
    </row>
    <row r="5208">
      <c r="A5208" s="56">
        <v>5205.0</v>
      </c>
      <c r="B5208" s="240"/>
      <c r="C5208" s="69" t="s">
        <v>20946</v>
      </c>
      <c r="D5208" s="71"/>
      <c r="E5208" s="68" t="s">
        <v>20947</v>
      </c>
      <c r="F5208" s="76">
        <v>43270.0</v>
      </c>
      <c r="G5208" s="68" t="s">
        <v>20948</v>
      </c>
      <c r="H5208" s="71"/>
      <c r="I5208" s="71"/>
      <c r="J5208" s="68" t="s">
        <v>20949</v>
      </c>
      <c r="K5208" s="76">
        <v>43284.0</v>
      </c>
      <c r="L5208" s="68" t="s">
        <v>2743</v>
      </c>
      <c r="M5208" s="68" t="s">
        <v>10808</v>
      </c>
      <c r="N5208" s="116"/>
      <c r="O5208" s="51"/>
    </row>
    <row r="5209">
      <c r="A5209" s="56">
        <v>5206.0</v>
      </c>
      <c r="B5209" s="240"/>
      <c r="C5209" s="69" t="s">
        <v>20950</v>
      </c>
      <c r="D5209" s="71"/>
      <c r="E5209" s="68" t="s">
        <v>20951</v>
      </c>
      <c r="F5209" s="76">
        <v>43269.0</v>
      </c>
      <c r="G5209" s="68" t="s">
        <v>20952</v>
      </c>
      <c r="H5209" s="71"/>
      <c r="I5209" s="71"/>
      <c r="J5209" s="68" t="s">
        <v>20953</v>
      </c>
      <c r="K5209" s="76">
        <v>43284.0</v>
      </c>
      <c r="L5209" s="68" t="s">
        <v>2743</v>
      </c>
      <c r="M5209" s="68" t="s">
        <v>10808</v>
      </c>
      <c r="N5209" s="116"/>
      <c r="O5209" s="51"/>
    </row>
    <row r="5210">
      <c r="A5210" s="56">
        <v>5207.0</v>
      </c>
      <c r="B5210" s="240"/>
      <c r="C5210" s="69" t="s">
        <v>20954</v>
      </c>
      <c r="D5210" s="71"/>
      <c r="E5210" s="68" t="s">
        <v>20955</v>
      </c>
      <c r="F5210" s="83">
        <v>43038.0</v>
      </c>
      <c r="G5210" s="68" t="s">
        <v>20956</v>
      </c>
      <c r="H5210" s="71"/>
      <c r="I5210" s="71"/>
      <c r="J5210" s="68" t="s">
        <v>20957</v>
      </c>
      <c r="K5210" s="76">
        <v>43284.0</v>
      </c>
      <c r="L5210" s="68" t="s">
        <v>20958</v>
      </c>
      <c r="M5210" s="68" t="s">
        <v>27</v>
      </c>
      <c r="N5210" s="116"/>
      <c r="O5210" s="51"/>
    </row>
    <row r="5211">
      <c r="A5211" s="56">
        <v>5208.0</v>
      </c>
      <c r="B5211" s="240"/>
      <c r="C5211" s="69" t="s">
        <v>20959</v>
      </c>
      <c r="D5211" s="71"/>
      <c r="E5211" s="68" t="s">
        <v>20960</v>
      </c>
      <c r="F5211" s="83">
        <v>43038.0</v>
      </c>
      <c r="G5211" s="68" t="s">
        <v>20961</v>
      </c>
      <c r="H5211" s="71"/>
      <c r="I5211" s="71"/>
      <c r="J5211" s="68" t="s">
        <v>20962</v>
      </c>
      <c r="K5211" s="76">
        <v>43284.0</v>
      </c>
      <c r="L5211" s="68" t="s">
        <v>20958</v>
      </c>
      <c r="M5211" s="68" t="s">
        <v>27</v>
      </c>
      <c r="N5211" s="116"/>
      <c r="O5211" s="51"/>
    </row>
    <row r="5212">
      <c r="A5212" s="56">
        <v>5209.0</v>
      </c>
      <c r="B5212" s="240"/>
      <c r="C5212" s="69" t="s">
        <v>20963</v>
      </c>
      <c r="D5212" s="71"/>
      <c r="E5212" s="68" t="s">
        <v>20964</v>
      </c>
      <c r="F5212" s="83">
        <v>43038.0</v>
      </c>
      <c r="G5212" s="68" t="s">
        <v>20965</v>
      </c>
      <c r="H5212" s="71"/>
      <c r="I5212" s="71"/>
      <c r="J5212" s="68" t="s">
        <v>20966</v>
      </c>
      <c r="K5212" s="76">
        <v>43284.0</v>
      </c>
      <c r="L5212" s="68" t="s">
        <v>20958</v>
      </c>
      <c r="M5212" s="68" t="s">
        <v>27</v>
      </c>
      <c r="N5212" s="116"/>
      <c r="O5212" s="51"/>
    </row>
    <row r="5213">
      <c r="A5213" s="56">
        <v>5210.0</v>
      </c>
      <c r="B5213" s="240"/>
      <c r="C5213" s="69" t="s">
        <v>20967</v>
      </c>
      <c r="D5213" s="71"/>
      <c r="E5213" s="68" t="s">
        <v>20968</v>
      </c>
      <c r="F5213" s="76">
        <v>42818.0</v>
      </c>
      <c r="G5213" s="71"/>
      <c r="H5213" s="71"/>
      <c r="I5213" s="71"/>
      <c r="J5213" s="68" t="s">
        <v>20969</v>
      </c>
      <c r="K5213" s="76">
        <v>43284.0</v>
      </c>
      <c r="L5213" s="68" t="s">
        <v>20958</v>
      </c>
      <c r="M5213" s="68" t="s">
        <v>27</v>
      </c>
      <c r="N5213" s="116"/>
      <c r="O5213" s="51"/>
    </row>
    <row r="5214">
      <c r="A5214" s="56">
        <v>5211.0</v>
      </c>
      <c r="B5214" s="240"/>
      <c r="C5214" s="69" t="s">
        <v>20970</v>
      </c>
      <c r="D5214" s="71"/>
      <c r="E5214" s="68" t="s">
        <v>20971</v>
      </c>
      <c r="F5214" s="76">
        <v>42243.0</v>
      </c>
      <c r="G5214" s="68" t="s">
        <v>20972</v>
      </c>
      <c r="H5214" s="71"/>
      <c r="I5214" s="71"/>
      <c r="J5214" s="68" t="s">
        <v>20973</v>
      </c>
      <c r="K5214" s="76">
        <v>43284.0</v>
      </c>
      <c r="L5214" s="68" t="s">
        <v>20958</v>
      </c>
      <c r="M5214" s="68" t="s">
        <v>27</v>
      </c>
      <c r="N5214" s="116"/>
      <c r="O5214" s="51"/>
    </row>
    <row r="5215">
      <c r="A5215" s="56">
        <v>5212.0</v>
      </c>
      <c r="B5215" s="240"/>
      <c r="C5215" s="69" t="s">
        <v>20974</v>
      </c>
      <c r="D5215" s="71"/>
      <c r="E5215" s="68" t="s">
        <v>20975</v>
      </c>
      <c r="F5215" s="83">
        <v>42360.0</v>
      </c>
      <c r="G5215" s="68" t="s">
        <v>20976</v>
      </c>
      <c r="H5215" s="71"/>
      <c r="I5215" s="68" t="s">
        <v>20977</v>
      </c>
      <c r="J5215" s="68" t="s">
        <v>20978</v>
      </c>
      <c r="K5215" s="76">
        <v>43284.0</v>
      </c>
      <c r="L5215" s="68" t="s">
        <v>2743</v>
      </c>
      <c r="M5215" s="68" t="s">
        <v>2989</v>
      </c>
      <c r="N5215" s="116"/>
      <c r="O5215" s="51"/>
    </row>
    <row r="5216">
      <c r="A5216" s="56">
        <v>5213.0</v>
      </c>
      <c r="B5216" s="240"/>
      <c r="C5216" s="69" t="s">
        <v>20979</v>
      </c>
      <c r="D5216" s="71"/>
      <c r="E5216" s="68" t="s">
        <v>20980</v>
      </c>
      <c r="F5216" s="76">
        <v>42859.0</v>
      </c>
      <c r="G5216" s="68" t="s">
        <v>20981</v>
      </c>
      <c r="H5216" s="71"/>
      <c r="I5216" s="71"/>
      <c r="J5216" s="68" t="s">
        <v>20982</v>
      </c>
      <c r="K5216" s="76">
        <v>43284.0</v>
      </c>
      <c r="L5216" s="68" t="s">
        <v>2743</v>
      </c>
      <c r="M5216" s="68" t="s">
        <v>166</v>
      </c>
      <c r="N5216" s="116"/>
      <c r="O5216" s="51"/>
    </row>
    <row r="5217">
      <c r="A5217" s="56">
        <v>5214.0</v>
      </c>
      <c r="B5217" s="241"/>
      <c r="C5217" s="64" t="s">
        <v>20983</v>
      </c>
      <c r="D5217" s="66"/>
      <c r="E5217" s="63" t="s">
        <v>20984</v>
      </c>
      <c r="F5217" s="70">
        <v>43013.0</v>
      </c>
      <c r="G5217" s="80" t="s">
        <v>20985</v>
      </c>
      <c r="H5217" s="82"/>
      <c r="I5217" s="63" t="s">
        <v>20986</v>
      </c>
      <c r="J5217" s="63" t="s">
        <v>7523</v>
      </c>
      <c r="K5217" s="70">
        <v>43284.0</v>
      </c>
      <c r="L5217" s="63" t="s">
        <v>2743</v>
      </c>
      <c r="M5217" s="63" t="s">
        <v>2527</v>
      </c>
      <c r="N5217" s="116"/>
      <c r="O5217" s="51"/>
    </row>
    <row r="5218">
      <c r="A5218" s="56">
        <v>5215.0</v>
      </c>
      <c r="B5218" s="241"/>
      <c r="C5218" s="64" t="s">
        <v>20987</v>
      </c>
      <c r="D5218" s="66"/>
      <c r="E5218" s="63" t="s">
        <v>20988</v>
      </c>
      <c r="F5218" s="70">
        <v>42186.0</v>
      </c>
      <c r="G5218" s="80" t="s">
        <v>20989</v>
      </c>
      <c r="H5218" s="80" t="s">
        <v>439</v>
      </c>
      <c r="I5218" s="66"/>
      <c r="J5218" s="63" t="s">
        <v>10817</v>
      </c>
      <c r="K5218" s="70">
        <v>43284.0</v>
      </c>
      <c r="L5218" s="63" t="s">
        <v>2743</v>
      </c>
      <c r="M5218" s="63" t="s">
        <v>31</v>
      </c>
      <c r="N5218" s="116"/>
      <c r="O5218" s="51"/>
    </row>
    <row r="5219">
      <c r="A5219" s="56">
        <v>5216.0</v>
      </c>
      <c r="B5219" s="240"/>
      <c r="C5219" s="69" t="s">
        <v>20990</v>
      </c>
      <c r="D5219" s="71"/>
      <c r="E5219" s="68" t="s">
        <v>20991</v>
      </c>
      <c r="F5219" s="76">
        <v>43170.0</v>
      </c>
      <c r="G5219" s="68" t="s">
        <v>20992</v>
      </c>
      <c r="H5219" s="71"/>
      <c r="I5219" s="68" t="s">
        <v>20993</v>
      </c>
      <c r="J5219" s="68" t="s">
        <v>20994</v>
      </c>
      <c r="K5219" s="76">
        <v>43284.0</v>
      </c>
      <c r="L5219" s="68" t="s">
        <v>2743</v>
      </c>
      <c r="M5219" s="68" t="s">
        <v>20995</v>
      </c>
      <c r="N5219" s="116"/>
      <c r="O5219" s="51"/>
    </row>
    <row r="5220">
      <c r="A5220" s="56">
        <v>5217.0</v>
      </c>
      <c r="B5220" s="240"/>
      <c r="C5220" s="69" t="s">
        <v>20996</v>
      </c>
      <c r="D5220" s="71"/>
      <c r="E5220" s="68" t="s">
        <v>20997</v>
      </c>
      <c r="F5220" s="83">
        <v>42721.0</v>
      </c>
      <c r="G5220" s="68" t="s">
        <v>20998</v>
      </c>
      <c r="H5220" s="71"/>
      <c r="I5220" s="71"/>
      <c r="J5220" s="87" t="s">
        <v>20999</v>
      </c>
      <c r="K5220" s="76">
        <v>43284.0</v>
      </c>
      <c r="L5220" s="68" t="s">
        <v>2743</v>
      </c>
      <c r="M5220" s="68" t="s">
        <v>195</v>
      </c>
      <c r="N5220" s="116"/>
      <c r="O5220" s="51"/>
    </row>
    <row r="5221">
      <c r="A5221" s="56">
        <v>5218.0</v>
      </c>
      <c r="B5221" s="241"/>
      <c r="C5221" s="64" t="s">
        <v>21000</v>
      </c>
      <c r="D5221" s="66"/>
      <c r="E5221" s="63" t="s">
        <v>21001</v>
      </c>
      <c r="F5221" s="70">
        <v>42756.0</v>
      </c>
      <c r="G5221" s="80" t="s">
        <v>21002</v>
      </c>
      <c r="H5221" s="82"/>
      <c r="I5221" s="63" t="s">
        <v>21003</v>
      </c>
      <c r="J5221" s="63" t="s">
        <v>5679</v>
      </c>
      <c r="K5221" s="70">
        <v>43286.0</v>
      </c>
      <c r="L5221" s="63" t="s">
        <v>2743</v>
      </c>
      <c r="M5221" s="63" t="s">
        <v>125</v>
      </c>
      <c r="N5221" s="116"/>
      <c r="O5221" s="51"/>
    </row>
    <row r="5222">
      <c r="A5222" s="56">
        <v>5219.0</v>
      </c>
      <c r="B5222" s="240"/>
      <c r="C5222" s="69" t="s">
        <v>21004</v>
      </c>
      <c r="D5222" s="71"/>
      <c r="E5222" s="68" t="s">
        <v>21005</v>
      </c>
      <c r="F5222" s="76">
        <v>41028.0</v>
      </c>
      <c r="G5222" s="68" t="s">
        <v>21006</v>
      </c>
      <c r="H5222" s="71"/>
      <c r="I5222" s="71"/>
      <c r="J5222" s="68" t="s">
        <v>21007</v>
      </c>
      <c r="K5222" s="76">
        <v>43286.0</v>
      </c>
      <c r="L5222" s="68" t="s">
        <v>2743</v>
      </c>
      <c r="M5222" s="68" t="s">
        <v>195</v>
      </c>
      <c r="N5222" s="116"/>
      <c r="O5222" s="51"/>
    </row>
    <row r="5223">
      <c r="A5223" s="56">
        <v>5220.0</v>
      </c>
      <c r="B5223" s="240"/>
      <c r="C5223" s="69" t="s">
        <v>21008</v>
      </c>
      <c r="D5223" s="71"/>
      <c r="E5223" s="68" t="s">
        <v>21009</v>
      </c>
      <c r="F5223" s="76">
        <v>43169.0</v>
      </c>
      <c r="G5223" s="68" t="s">
        <v>21010</v>
      </c>
      <c r="H5223" s="68" t="s">
        <v>21011</v>
      </c>
      <c r="I5223" s="68" t="s">
        <v>21012</v>
      </c>
      <c r="J5223" s="68" t="s">
        <v>21013</v>
      </c>
      <c r="K5223" s="76">
        <v>43286.0</v>
      </c>
      <c r="L5223" s="68" t="s">
        <v>2743</v>
      </c>
      <c r="M5223" s="68" t="s">
        <v>166</v>
      </c>
      <c r="N5223" s="116"/>
      <c r="O5223" s="51"/>
    </row>
    <row r="5224">
      <c r="A5224" s="56">
        <v>5221.0</v>
      </c>
      <c r="B5224" s="240"/>
      <c r="C5224" s="69" t="s">
        <v>21014</v>
      </c>
      <c r="D5224" s="71"/>
      <c r="E5224" s="68" t="s">
        <v>21015</v>
      </c>
      <c r="F5224" s="76">
        <v>42223.0</v>
      </c>
      <c r="G5224" s="68" t="s">
        <v>21016</v>
      </c>
      <c r="H5224" s="71"/>
      <c r="I5224" s="71"/>
      <c r="J5224" s="87" t="s">
        <v>21017</v>
      </c>
      <c r="K5224" s="76">
        <v>43286.0</v>
      </c>
      <c r="L5224" s="68" t="s">
        <v>2743</v>
      </c>
      <c r="M5224" s="68" t="s">
        <v>12947</v>
      </c>
      <c r="N5224" s="116"/>
      <c r="O5224" s="51"/>
    </row>
    <row r="5225">
      <c r="A5225" s="56">
        <v>5222.0</v>
      </c>
      <c r="B5225" s="241"/>
      <c r="C5225" s="64" t="s">
        <v>21018</v>
      </c>
      <c r="D5225" s="66"/>
      <c r="E5225" s="63" t="s">
        <v>21019</v>
      </c>
      <c r="F5225" s="70">
        <v>42502.0</v>
      </c>
      <c r="G5225" s="80" t="s">
        <v>21020</v>
      </c>
      <c r="H5225" s="80" t="s">
        <v>439</v>
      </c>
      <c r="I5225" s="66"/>
      <c r="J5225" s="63" t="s">
        <v>6393</v>
      </c>
      <c r="K5225" s="70">
        <v>43286.0</v>
      </c>
      <c r="L5225" s="63" t="s">
        <v>2743</v>
      </c>
      <c r="M5225" s="63" t="s">
        <v>13085</v>
      </c>
      <c r="N5225" s="116"/>
      <c r="O5225" s="51"/>
    </row>
    <row r="5226">
      <c r="A5226" s="56">
        <v>5223.0</v>
      </c>
      <c r="B5226" s="240"/>
      <c r="C5226" s="69" t="s">
        <v>21021</v>
      </c>
      <c r="D5226" s="71"/>
      <c r="E5226" s="68" t="s">
        <v>21022</v>
      </c>
      <c r="F5226" s="76">
        <v>43127.0</v>
      </c>
      <c r="G5226" s="68" t="s">
        <v>21023</v>
      </c>
      <c r="H5226" s="71"/>
      <c r="I5226" s="71"/>
      <c r="J5226" s="68" t="s">
        <v>21024</v>
      </c>
      <c r="K5226" s="76">
        <v>43288.0</v>
      </c>
      <c r="L5226" s="68" t="s">
        <v>2743</v>
      </c>
      <c r="M5226" s="68" t="s">
        <v>166</v>
      </c>
      <c r="N5226" s="116"/>
      <c r="O5226" s="51"/>
    </row>
    <row r="5227">
      <c r="A5227" s="56">
        <v>5224.0</v>
      </c>
      <c r="B5227" s="241"/>
      <c r="C5227" s="69" t="s">
        <v>21025</v>
      </c>
      <c r="D5227" s="71"/>
      <c r="E5227" s="68" t="s">
        <v>19664</v>
      </c>
      <c r="F5227" s="76">
        <v>43161.0</v>
      </c>
      <c r="G5227" s="68" t="s">
        <v>19665</v>
      </c>
      <c r="H5227" s="71"/>
      <c r="I5227" s="71"/>
      <c r="J5227" s="68" t="s">
        <v>21026</v>
      </c>
      <c r="K5227" s="76">
        <v>43288.0</v>
      </c>
      <c r="L5227" s="68" t="s">
        <v>2743</v>
      </c>
      <c r="M5227" s="68" t="s">
        <v>31</v>
      </c>
      <c r="N5227" s="116"/>
      <c r="O5227" s="51"/>
    </row>
    <row r="5228">
      <c r="A5228" s="56">
        <v>5225.0</v>
      </c>
      <c r="B5228" s="241"/>
      <c r="C5228" s="64" t="s">
        <v>21027</v>
      </c>
      <c r="D5228" s="66"/>
      <c r="E5228" s="63" t="s">
        <v>21028</v>
      </c>
      <c r="F5228" s="70">
        <v>43158.0</v>
      </c>
      <c r="G5228" s="80" t="s">
        <v>21029</v>
      </c>
      <c r="H5228" s="82"/>
      <c r="I5228" s="66"/>
      <c r="J5228" s="63" t="s">
        <v>5653</v>
      </c>
      <c r="K5228" s="70">
        <v>43290.0</v>
      </c>
      <c r="L5228" s="63" t="s">
        <v>2743</v>
      </c>
      <c r="M5228" s="63" t="s">
        <v>166</v>
      </c>
      <c r="N5228" s="116"/>
      <c r="O5228" s="51"/>
    </row>
    <row r="5229">
      <c r="A5229" s="56">
        <v>5226.0</v>
      </c>
      <c r="B5229" s="241"/>
      <c r="C5229" s="64" t="s">
        <v>21030</v>
      </c>
      <c r="D5229" s="66"/>
      <c r="E5229" s="63" t="s">
        <v>21031</v>
      </c>
      <c r="F5229" s="70">
        <v>39630.0</v>
      </c>
      <c r="G5229" s="80" t="s">
        <v>21032</v>
      </c>
      <c r="H5229" s="80" t="s">
        <v>21033</v>
      </c>
      <c r="I5229" s="66"/>
      <c r="J5229" s="63" t="s">
        <v>6393</v>
      </c>
      <c r="K5229" s="70">
        <v>43290.0</v>
      </c>
      <c r="L5229" s="63" t="s">
        <v>2743</v>
      </c>
      <c r="M5229" s="63" t="s">
        <v>195</v>
      </c>
      <c r="N5229" s="116"/>
      <c r="O5229" s="51"/>
    </row>
    <row r="5230">
      <c r="A5230" s="56">
        <v>5227.0</v>
      </c>
      <c r="B5230" s="240"/>
      <c r="C5230" s="69" t="s">
        <v>21034</v>
      </c>
      <c r="D5230" s="71"/>
      <c r="E5230" s="68" t="s">
        <v>21035</v>
      </c>
      <c r="F5230" s="76">
        <v>39995.0</v>
      </c>
      <c r="G5230" s="68" t="s">
        <v>21036</v>
      </c>
      <c r="H5230" s="71"/>
      <c r="I5230" s="71"/>
      <c r="J5230" s="68" t="s">
        <v>21037</v>
      </c>
      <c r="K5230" s="76">
        <v>43290.0</v>
      </c>
      <c r="L5230" s="68" t="s">
        <v>2743</v>
      </c>
      <c r="M5230" s="68" t="s">
        <v>2152</v>
      </c>
      <c r="N5230" s="116"/>
      <c r="O5230" s="51"/>
    </row>
    <row r="5231">
      <c r="A5231" s="56">
        <v>5228.0</v>
      </c>
      <c r="B5231" s="241"/>
      <c r="C5231" s="64" t="s">
        <v>21038</v>
      </c>
      <c r="D5231" s="66"/>
      <c r="E5231" s="63" t="s">
        <v>21039</v>
      </c>
      <c r="F5231" s="70">
        <v>41507.0</v>
      </c>
      <c r="G5231" s="80" t="s">
        <v>21040</v>
      </c>
      <c r="H5231" s="80" t="s">
        <v>21041</v>
      </c>
      <c r="I5231" s="63" t="s">
        <v>21042</v>
      </c>
      <c r="J5231" s="63" t="s">
        <v>5679</v>
      </c>
      <c r="K5231" s="70">
        <v>43290.0</v>
      </c>
      <c r="L5231" s="63" t="s">
        <v>2743</v>
      </c>
      <c r="M5231" s="63" t="s">
        <v>2152</v>
      </c>
      <c r="N5231" s="116"/>
      <c r="O5231" s="51"/>
    </row>
    <row r="5232">
      <c r="A5232" s="56">
        <v>5229.0</v>
      </c>
      <c r="B5232" s="241"/>
      <c r="C5232" s="64" t="s">
        <v>21043</v>
      </c>
      <c r="D5232" s="66"/>
      <c r="E5232" s="63" t="s">
        <v>21044</v>
      </c>
      <c r="F5232" s="70">
        <v>39854.0</v>
      </c>
      <c r="G5232" s="80" t="s">
        <v>21045</v>
      </c>
      <c r="H5232" s="82"/>
      <c r="I5232" s="66"/>
      <c r="J5232" s="63" t="s">
        <v>5679</v>
      </c>
      <c r="K5232" s="70">
        <v>43291.0</v>
      </c>
      <c r="L5232" s="63" t="s">
        <v>2743</v>
      </c>
      <c r="M5232" s="63" t="s">
        <v>125</v>
      </c>
      <c r="N5232" s="116"/>
      <c r="O5232" s="51"/>
    </row>
    <row r="5233">
      <c r="A5233" s="56">
        <v>5230.0</v>
      </c>
      <c r="B5233" s="241"/>
      <c r="C5233" s="64" t="s">
        <v>21046</v>
      </c>
      <c r="D5233" s="66"/>
      <c r="E5233" s="63" t="s">
        <v>21047</v>
      </c>
      <c r="F5233" s="70">
        <v>42029.0</v>
      </c>
      <c r="G5233" s="80" t="s">
        <v>21045</v>
      </c>
      <c r="H5233" s="82"/>
      <c r="I5233" s="66"/>
      <c r="J5233" s="63" t="s">
        <v>5679</v>
      </c>
      <c r="K5233" s="70">
        <v>43291.0</v>
      </c>
      <c r="L5233" s="63" t="s">
        <v>2743</v>
      </c>
      <c r="M5233" s="63" t="s">
        <v>125</v>
      </c>
      <c r="N5233" s="116"/>
      <c r="O5233" s="51"/>
    </row>
    <row r="5234">
      <c r="A5234" s="56">
        <v>5231.0</v>
      </c>
      <c r="B5234" s="241"/>
      <c r="C5234" s="64" t="s">
        <v>21048</v>
      </c>
      <c r="D5234" s="66"/>
      <c r="E5234" s="63" t="s">
        <v>21049</v>
      </c>
      <c r="F5234" s="70">
        <v>41284.0</v>
      </c>
      <c r="G5234" s="80" t="s">
        <v>21050</v>
      </c>
      <c r="H5234" s="80" t="s">
        <v>21051</v>
      </c>
      <c r="I5234" s="66"/>
      <c r="J5234" s="63" t="s">
        <v>7523</v>
      </c>
      <c r="K5234" s="70">
        <v>43291.0</v>
      </c>
      <c r="L5234" s="63" t="s">
        <v>2743</v>
      </c>
      <c r="M5234" s="63" t="s">
        <v>21052</v>
      </c>
      <c r="N5234" s="116"/>
      <c r="O5234" s="51"/>
    </row>
    <row r="5235">
      <c r="A5235" s="56">
        <v>5232.0</v>
      </c>
      <c r="B5235" s="241"/>
      <c r="C5235" s="64" t="s">
        <v>21053</v>
      </c>
      <c r="D5235" s="66"/>
      <c r="E5235" s="63" t="s">
        <v>21054</v>
      </c>
      <c r="F5235" s="70">
        <v>41480.0</v>
      </c>
      <c r="G5235" s="80" t="s">
        <v>21055</v>
      </c>
      <c r="H5235" s="82"/>
      <c r="I5235" s="66"/>
      <c r="J5235" s="63" t="s">
        <v>6393</v>
      </c>
      <c r="K5235" s="70">
        <v>43291.0</v>
      </c>
      <c r="L5235" s="63" t="s">
        <v>2743</v>
      </c>
      <c r="M5235" s="63" t="s">
        <v>195</v>
      </c>
      <c r="N5235" s="265"/>
      <c r="O5235" s="51"/>
    </row>
    <row r="5236">
      <c r="A5236" s="56">
        <v>5233.0</v>
      </c>
      <c r="B5236" s="241"/>
      <c r="C5236" s="64" t="s">
        <v>21056</v>
      </c>
      <c r="D5236" s="66"/>
      <c r="E5236" s="63" t="s">
        <v>21057</v>
      </c>
      <c r="F5236" s="70">
        <v>40708.0</v>
      </c>
      <c r="G5236" s="80" t="s">
        <v>21058</v>
      </c>
      <c r="H5236" s="80" t="s">
        <v>21059</v>
      </c>
      <c r="I5236" s="66"/>
      <c r="J5236" s="63" t="s">
        <v>6393</v>
      </c>
      <c r="K5236" s="70">
        <v>43293.0</v>
      </c>
      <c r="L5236" s="63" t="s">
        <v>2743</v>
      </c>
      <c r="M5236" s="63" t="s">
        <v>195</v>
      </c>
      <c r="N5236" s="116"/>
      <c r="O5236" s="51"/>
    </row>
    <row r="5237">
      <c r="A5237" s="56">
        <v>5234.0</v>
      </c>
      <c r="B5237" s="240"/>
      <c r="C5237" s="69" t="s">
        <v>21060</v>
      </c>
      <c r="D5237" s="71"/>
      <c r="E5237" s="68" t="s">
        <v>21061</v>
      </c>
      <c r="F5237" s="76">
        <v>43178.0</v>
      </c>
      <c r="G5237" s="68" t="s">
        <v>21062</v>
      </c>
      <c r="H5237" s="71"/>
      <c r="I5237" s="71"/>
      <c r="J5237" s="68" t="s">
        <v>21063</v>
      </c>
      <c r="K5237" s="76">
        <v>43293.0</v>
      </c>
      <c r="L5237" s="68" t="s">
        <v>2743</v>
      </c>
      <c r="M5237" s="68" t="s">
        <v>143</v>
      </c>
      <c r="N5237" s="116"/>
      <c r="O5237" s="51"/>
    </row>
    <row r="5238">
      <c r="A5238" s="56">
        <v>5235.0</v>
      </c>
      <c r="B5238" s="240"/>
      <c r="C5238" s="69" t="s">
        <v>21064</v>
      </c>
      <c r="D5238" s="71"/>
      <c r="E5238" s="68" t="s">
        <v>21065</v>
      </c>
      <c r="F5238" s="76">
        <v>43191.0</v>
      </c>
      <c r="G5238" s="68" t="s">
        <v>21066</v>
      </c>
      <c r="H5238" s="71"/>
      <c r="I5238" s="71"/>
      <c r="J5238" s="87" t="s">
        <v>21067</v>
      </c>
      <c r="K5238" s="76">
        <v>43293.0</v>
      </c>
      <c r="L5238" s="68" t="s">
        <v>2743</v>
      </c>
      <c r="M5238" s="68" t="s">
        <v>195</v>
      </c>
      <c r="N5238" s="116"/>
      <c r="O5238" s="51"/>
    </row>
    <row r="5239">
      <c r="A5239" s="56">
        <v>5236.0</v>
      </c>
      <c r="B5239" s="240"/>
      <c r="C5239" s="69" t="s">
        <v>21068</v>
      </c>
      <c r="D5239" s="71"/>
      <c r="E5239" s="68" t="s">
        <v>21069</v>
      </c>
      <c r="F5239" s="76">
        <v>43131.0</v>
      </c>
      <c r="G5239" s="68" t="s">
        <v>21070</v>
      </c>
      <c r="H5239" s="71"/>
      <c r="I5239" s="71"/>
      <c r="J5239" s="68" t="s">
        <v>21071</v>
      </c>
      <c r="K5239" s="76">
        <v>43295.0</v>
      </c>
      <c r="L5239" s="68" t="s">
        <v>2743</v>
      </c>
      <c r="M5239" s="68" t="s">
        <v>403</v>
      </c>
      <c r="N5239" s="116"/>
      <c r="O5239" s="51"/>
    </row>
    <row r="5240">
      <c r="A5240" s="56">
        <v>5237.0</v>
      </c>
      <c r="B5240" s="240"/>
      <c r="C5240" s="69" t="s">
        <v>21072</v>
      </c>
      <c r="D5240" s="71"/>
      <c r="E5240" s="68" t="s">
        <v>21073</v>
      </c>
      <c r="F5240" s="76">
        <v>43131.0</v>
      </c>
      <c r="G5240" s="68" t="s">
        <v>21070</v>
      </c>
      <c r="H5240" s="71"/>
      <c r="I5240" s="71"/>
      <c r="J5240" s="68" t="s">
        <v>21071</v>
      </c>
      <c r="K5240" s="76">
        <v>43295.0</v>
      </c>
      <c r="L5240" s="68" t="s">
        <v>2743</v>
      </c>
      <c r="M5240" s="68" t="s">
        <v>403</v>
      </c>
      <c r="N5240" s="116"/>
      <c r="O5240" s="51"/>
    </row>
    <row r="5241">
      <c r="A5241" s="56">
        <v>5238.0</v>
      </c>
      <c r="B5241" s="240"/>
      <c r="C5241" s="69" t="s">
        <v>21074</v>
      </c>
      <c r="D5241" s="71"/>
      <c r="E5241" s="68" t="s">
        <v>21075</v>
      </c>
      <c r="F5241" s="76">
        <v>43131.0</v>
      </c>
      <c r="G5241" s="68" t="s">
        <v>21070</v>
      </c>
      <c r="H5241" s="71"/>
      <c r="I5241" s="71"/>
      <c r="J5241" s="68" t="s">
        <v>21071</v>
      </c>
      <c r="K5241" s="76">
        <v>43295.0</v>
      </c>
      <c r="L5241" s="68" t="s">
        <v>2743</v>
      </c>
      <c r="M5241" s="68" t="s">
        <v>403</v>
      </c>
      <c r="N5241" s="116"/>
      <c r="O5241" s="51"/>
    </row>
    <row r="5242">
      <c r="A5242" s="56">
        <v>5239.0</v>
      </c>
      <c r="B5242" s="240"/>
      <c r="C5242" s="69" t="s">
        <v>21076</v>
      </c>
      <c r="D5242" s="71"/>
      <c r="E5242" s="68" t="s">
        <v>21077</v>
      </c>
      <c r="F5242" s="76">
        <v>43131.0</v>
      </c>
      <c r="G5242" s="68" t="s">
        <v>21070</v>
      </c>
      <c r="H5242" s="71"/>
      <c r="I5242" s="71"/>
      <c r="J5242" s="68" t="s">
        <v>21071</v>
      </c>
      <c r="K5242" s="76">
        <v>43295.0</v>
      </c>
      <c r="L5242" s="68" t="s">
        <v>2743</v>
      </c>
      <c r="M5242" s="68" t="s">
        <v>403</v>
      </c>
      <c r="N5242" s="116"/>
      <c r="O5242" s="51"/>
    </row>
    <row r="5243">
      <c r="A5243" s="56">
        <v>5240.0</v>
      </c>
      <c r="B5243" s="241"/>
      <c r="C5243" s="64" t="s">
        <v>21078</v>
      </c>
      <c r="D5243" s="66"/>
      <c r="E5243" s="63" t="s">
        <v>21079</v>
      </c>
      <c r="F5243" s="70">
        <v>42445.0</v>
      </c>
      <c r="G5243" s="80" t="s">
        <v>21080</v>
      </c>
      <c r="H5243" s="82"/>
      <c r="I5243" s="66"/>
      <c r="J5243" s="63" t="s">
        <v>5679</v>
      </c>
      <c r="K5243" s="70">
        <v>43295.0</v>
      </c>
      <c r="L5243" s="63" t="s">
        <v>2743</v>
      </c>
      <c r="M5243" s="63" t="s">
        <v>125</v>
      </c>
      <c r="N5243" s="116"/>
      <c r="O5243" s="51"/>
    </row>
    <row r="5244">
      <c r="A5244" s="56">
        <v>5241.0</v>
      </c>
      <c r="B5244" s="241"/>
      <c r="C5244" s="64" t="s">
        <v>21081</v>
      </c>
      <c r="D5244" s="66"/>
      <c r="E5244" s="63" t="s">
        <v>21082</v>
      </c>
      <c r="F5244" s="70">
        <v>40381.0</v>
      </c>
      <c r="G5244" s="80" t="s">
        <v>21083</v>
      </c>
      <c r="H5244" s="82"/>
      <c r="I5244" s="66"/>
      <c r="J5244" s="63" t="s">
        <v>5679</v>
      </c>
      <c r="K5244" s="70">
        <v>43295.0</v>
      </c>
      <c r="L5244" s="63" t="s">
        <v>2743</v>
      </c>
      <c r="M5244" s="63" t="s">
        <v>125</v>
      </c>
      <c r="N5244" s="116"/>
      <c r="O5244" s="51"/>
    </row>
    <row r="5245">
      <c r="A5245" s="56">
        <v>5242.0</v>
      </c>
      <c r="B5245" s="240"/>
      <c r="C5245" s="69" t="s">
        <v>21084</v>
      </c>
      <c r="D5245" s="71"/>
      <c r="E5245" s="68" t="s">
        <v>21085</v>
      </c>
      <c r="F5245" s="76">
        <v>40435.0</v>
      </c>
      <c r="G5245" s="68" t="s">
        <v>21086</v>
      </c>
      <c r="H5245" s="71"/>
      <c r="I5245" s="68" t="s">
        <v>21087</v>
      </c>
      <c r="J5245" s="68" t="s">
        <v>21088</v>
      </c>
      <c r="K5245" s="76">
        <v>43295.0</v>
      </c>
      <c r="L5245" s="68" t="s">
        <v>2743</v>
      </c>
      <c r="M5245" s="68" t="s">
        <v>530</v>
      </c>
      <c r="N5245" s="116"/>
      <c r="O5245" s="51"/>
    </row>
    <row r="5246">
      <c r="A5246" s="56">
        <v>5243.0</v>
      </c>
      <c r="B5246" s="241"/>
      <c r="C5246" s="64" t="s">
        <v>21089</v>
      </c>
      <c r="D5246" s="66"/>
      <c r="E5246" s="63" t="s">
        <v>21090</v>
      </c>
      <c r="F5246" s="70">
        <v>40953.0</v>
      </c>
      <c r="G5246" s="80" t="s">
        <v>21091</v>
      </c>
      <c r="H5246" s="82"/>
      <c r="I5246" s="66"/>
      <c r="J5246" s="63" t="s">
        <v>7523</v>
      </c>
      <c r="K5246" s="70">
        <v>43295.0</v>
      </c>
      <c r="L5246" s="63" t="s">
        <v>2743</v>
      </c>
      <c r="M5246" s="63" t="s">
        <v>21052</v>
      </c>
      <c r="N5246" s="116"/>
      <c r="O5246" s="51"/>
    </row>
    <row r="5247">
      <c r="A5247" s="56">
        <v>5244.0</v>
      </c>
      <c r="B5247" s="240"/>
      <c r="C5247" s="69" t="s">
        <v>21092</v>
      </c>
      <c r="D5247" s="71"/>
      <c r="E5247" s="68" t="s">
        <v>21093</v>
      </c>
      <c r="F5247" s="76">
        <v>42863.0</v>
      </c>
      <c r="G5247" s="68" t="s">
        <v>21094</v>
      </c>
      <c r="H5247" s="71"/>
      <c r="I5247" s="68" t="s">
        <v>21095</v>
      </c>
      <c r="J5247" s="68" t="s">
        <v>21096</v>
      </c>
      <c r="K5247" s="76">
        <v>43295.0</v>
      </c>
      <c r="L5247" s="68" t="s">
        <v>2743</v>
      </c>
      <c r="M5247" s="68" t="s">
        <v>31</v>
      </c>
      <c r="N5247" s="116"/>
      <c r="O5247" s="51"/>
    </row>
    <row r="5248">
      <c r="A5248" s="56">
        <v>5245.0</v>
      </c>
      <c r="B5248" s="241"/>
      <c r="C5248" s="64" t="s">
        <v>21097</v>
      </c>
      <c r="D5248" s="66"/>
      <c r="E5248" s="63" t="s">
        <v>21098</v>
      </c>
      <c r="F5248" s="70">
        <v>40969.0</v>
      </c>
      <c r="G5248" s="80" t="s">
        <v>21099</v>
      </c>
      <c r="H5248" s="82"/>
      <c r="I5248" s="63" t="s">
        <v>21100</v>
      </c>
      <c r="J5248" s="63" t="s">
        <v>5679</v>
      </c>
      <c r="K5248" s="70">
        <v>43297.0</v>
      </c>
      <c r="L5248" s="63" t="s">
        <v>2743</v>
      </c>
      <c r="M5248" s="63" t="s">
        <v>2466</v>
      </c>
      <c r="N5248" s="116"/>
      <c r="O5248" s="51"/>
    </row>
    <row r="5249">
      <c r="A5249" s="56">
        <v>5246.0</v>
      </c>
      <c r="B5249" s="240"/>
      <c r="C5249" s="69" t="s">
        <v>21101</v>
      </c>
      <c r="D5249" s="71"/>
      <c r="E5249" s="68" t="s">
        <v>21102</v>
      </c>
      <c r="F5249" s="76">
        <v>41091.0</v>
      </c>
      <c r="G5249" s="68" t="s">
        <v>21103</v>
      </c>
      <c r="H5249" s="71"/>
      <c r="I5249" s="71"/>
      <c r="J5249" s="68" t="s">
        <v>21104</v>
      </c>
      <c r="K5249" s="76">
        <v>43298.0</v>
      </c>
      <c r="L5249" s="68" t="s">
        <v>2743</v>
      </c>
      <c r="M5249" s="68" t="s">
        <v>872</v>
      </c>
      <c r="N5249" s="116"/>
      <c r="O5249" s="51"/>
    </row>
    <row r="5250">
      <c r="A5250" s="56">
        <v>5247.0</v>
      </c>
      <c r="B5250" s="240"/>
      <c r="C5250" s="69" t="s">
        <v>21105</v>
      </c>
      <c r="D5250" s="71"/>
      <c r="E5250" s="68" t="s">
        <v>21106</v>
      </c>
      <c r="F5250" s="76">
        <v>40360.0</v>
      </c>
      <c r="G5250" s="68" t="s">
        <v>21107</v>
      </c>
      <c r="H5250" s="71"/>
      <c r="I5250" s="68" t="s">
        <v>21108</v>
      </c>
      <c r="J5250" s="68" t="s">
        <v>21109</v>
      </c>
      <c r="K5250" s="76">
        <v>43298.0</v>
      </c>
      <c r="L5250" s="68" t="s">
        <v>2743</v>
      </c>
      <c r="M5250" s="68" t="s">
        <v>530</v>
      </c>
      <c r="N5250" s="116"/>
      <c r="O5250" s="51"/>
    </row>
    <row r="5251">
      <c r="A5251" s="56">
        <v>5248.0</v>
      </c>
      <c r="B5251" s="241"/>
      <c r="C5251" s="64" t="s">
        <v>21110</v>
      </c>
      <c r="D5251" s="66"/>
      <c r="E5251" s="63" t="s">
        <v>21111</v>
      </c>
      <c r="F5251" s="70">
        <v>41821.0</v>
      </c>
      <c r="G5251" s="80" t="s">
        <v>21112</v>
      </c>
      <c r="H5251" s="80" t="s">
        <v>21113</v>
      </c>
      <c r="I5251" s="63" t="s">
        <v>21114</v>
      </c>
      <c r="J5251" s="63" t="s">
        <v>5679</v>
      </c>
      <c r="K5251" s="70">
        <v>43298.0</v>
      </c>
      <c r="L5251" s="63" t="s">
        <v>2743</v>
      </c>
      <c r="M5251" s="63" t="s">
        <v>530</v>
      </c>
      <c r="N5251" s="116"/>
      <c r="O5251" s="51"/>
    </row>
    <row r="5252">
      <c r="A5252" s="56">
        <v>5249.0</v>
      </c>
      <c r="B5252" s="240"/>
      <c r="C5252" s="69" t="s">
        <v>21115</v>
      </c>
      <c r="D5252" s="71"/>
      <c r="E5252" s="68" t="s">
        <v>21116</v>
      </c>
      <c r="F5252" s="76">
        <v>43168.0</v>
      </c>
      <c r="G5252" s="68" t="s">
        <v>21117</v>
      </c>
      <c r="H5252" s="68" t="s">
        <v>21118</v>
      </c>
      <c r="I5252" s="71"/>
      <c r="J5252" s="68" t="s">
        <v>21119</v>
      </c>
      <c r="K5252" s="76">
        <v>43298.0</v>
      </c>
      <c r="L5252" s="68" t="s">
        <v>2743</v>
      </c>
      <c r="M5252" s="68" t="s">
        <v>31</v>
      </c>
      <c r="N5252" s="116"/>
      <c r="O5252" s="51"/>
    </row>
    <row r="5253">
      <c r="A5253" s="56">
        <v>5250.0</v>
      </c>
      <c r="B5253" s="240"/>
      <c r="C5253" s="69" t="s">
        <v>21120</v>
      </c>
      <c r="D5253" s="71"/>
      <c r="E5253" s="68" t="s">
        <v>21121</v>
      </c>
      <c r="F5253" s="76">
        <v>43168.0</v>
      </c>
      <c r="G5253" s="68" t="s">
        <v>21117</v>
      </c>
      <c r="H5253" s="71"/>
      <c r="I5253" s="68" t="s">
        <v>21122</v>
      </c>
      <c r="J5253" s="68" t="s">
        <v>21123</v>
      </c>
      <c r="K5253" s="76">
        <v>43298.0</v>
      </c>
      <c r="L5253" s="68" t="s">
        <v>2743</v>
      </c>
      <c r="M5253" s="68" t="s">
        <v>31</v>
      </c>
      <c r="N5253" s="116"/>
      <c r="O5253" s="51"/>
    </row>
    <row r="5254">
      <c r="A5254" s="56">
        <v>5251.0</v>
      </c>
      <c r="B5254" s="240"/>
      <c r="C5254" s="69" t="s">
        <v>21124</v>
      </c>
      <c r="D5254" s="71"/>
      <c r="E5254" s="68" t="s">
        <v>21125</v>
      </c>
      <c r="F5254" s="76">
        <v>43284.0</v>
      </c>
      <c r="G5254" s="68" t="s">
        <v>21126</v>
      </c>
      <c r="H5254" s="71"/>
      <c r="I5254" s="71"/>
      <c r="J5254" s="68" t="s">
        <v>21127</v>
      </c>
      <c r="K5254" s="76">
        <v>43299.0</v>
      </c>
      <c r="L5254" s="68" t="s">
        <v>2743</v>
      </c>
      <c r="M5254" s="68" t="s">
        <v>125</v>
      </c>
      <c r="N5254" s="116"/>
      <c r="O5254" s="51"/>
    </row>
    <row r="5255">
      <c r="A5255" s="56">
        <v>5252.0</v>
      </c>
      <c r="B5255" s="240"/>
      <c r="C5255" s="69" t="s">
        <v>21128</v>
      </c>
      <c r="D5255" s="71"/>
      <c r="E5255" s="68" t="s">
        <v>21129</v>
      </c>
      <c r="F5255" s="76">
        <v>43284.0</v>
      </c>
      <c r="G5255" s="68" t="s">
        <v>21126</v>
      </c>
      <c r="H5255" s="71"/>
      <c r="I5255" s="71"/>
      <c r="J5255" s="68" t="s">
        <v>21127</v>
      </c>
      <c r="K5255" s="76">
        <v>43299.0</v>
      </c>
      <c r="L5255" s="68" t="s">
        <v>2743</v>
      </c>
      <c r="M5255" s="68" t="s">
        <v>125</v>
      </c>
      <c r="N5255" s="116"/>
      <c r="O5255" s="51"/>
    </row>
    <row r="5256">
      <c r="A5256" s="56">
        <v>5253.0</v>
      </c>
      <c r="B5256" s="241"/>
      <c r="C5256" s="64" t="s">
        <v>21130</v>
      </c>
      <c r="D5256" s="66"/>
      <c r="E5256" s="63" t="s">
        <v>21131</v>
      </c>
      <c r="F5256" s="70">
        <v>40725.0</v>
      </c>
      <c r="G5256" s="80" t="s">
        <v>21132</v>
      </c>
      <c r="H5256" s="82"/>
      <c r="I5256" s="63" t="s">
        <v>21133</v>
      </c>
      <c r="J5256" s="63" t="s">
        <v>5679</v>
      </c>
      <c r="K5256" s="70">
        <v>43299.0</v>
      </c>
      <c r="L5256" s="63" t="s">
        <v>2743</v>
      </c>
      <c r="M5256" s="63" t="s">
        <v>2466</v>
      </c>
      <c r="N5256" s="116"/>
      <c r="O5256" s="51"/>
    </row>
    <row r="5257">
      <c r="A5257" s="56">
        <v>5254.0</v>
      </c>
      <c r="B5257" s="240"/>
      <c r="C5257" s="69" t="s">
        <v>21134</v>
      </c>
      <c r="D5257" s="71"/>
      <c r="E5257" s="68" t="s">
        <v>21135</v>
      </c>
      <c r="F5257" s="76">
        <v>42877.0</v>
      </c>
      <c r="G5257" s="68" t="s">
        <v>21136</v>
      </c>
      <c r="H5257" s="71"/>
      <c r="I5257" s="71"/>
      <c r="J5257" s="68" t="s">
        <v>21137</v>
      </c>
      <c r="K5257" s="76">
        <v>43299.0</v>
      </c>
      <c r="L5257" s="68" t="s">
        <v>2743</v>
      </c>
      <c r="M5257" s="68" t="s">
        <v>149</v>
      </c>
      <c r="N5257" s="116"/>
      <c r="O5257" s="51"/>
    </row>
    <row r="5258">
      <c r="A5258" s="56">
        <v>5255.0</v>
      </c>
      <c r="B5258" s="241"/>
      <c r="C5258" s="64" t="s">
        <v>21138</v>
      </c>
      <c r="D5258" s="66"/>
      <c r="E5258" s="63" t="s">
        <v>21139</v>
      </c>
      <c r="F5258" s="70">
        <v>41300.0</v>
      </c>
      <c r="G5258" s="80" t="s">
        <v>21140</v>
      </c>
      <c r="H5258" s="82"/>
      <c r="I5258" s="66"/>
      <c r="J5258" s="63" t="s">
        <v>5679</v>
      </c>
      <c r="K5258" s="70">
        <v>43301.0</v>
      </c>
      <c r="L5258" s="63" t="s">
        <v>2743</v>
      </c>
      <c r="M5258" s="63" t="s">
        <v>125</v>
      </c>
      <c r="N5258" s="116"/>
      <c r="O5258" s="51"/>
    </row>
    <row r="5259">
      <c r="A5259" s="56">
        <v>5256.0</v>
      </c>
      <c r="B5259" s="240"/>
      <c r="C5259" s="69" t="s">
        <v>21141</v>
      </c>
      <c r="D5259" s="71"/>
      <c r="E5259" s="68" t="s">
        <v>21142</v>
      </c>
      <c r="F5259" s="83">
        <v>43025.0</v>
      </c>
      <c r="G5259" s="68" t="s">
        <v>21143</v>
      </c>
      <c r="H5259" s="71"/>
      <c r="I5259" s="71"/>
      <c r="J5259" s="68" t="s">
        <v>21144</v>
      </c>
      <c r="K5259" s="76">
        <v>43301.0</v>
      </c>
      <c r="L5259" s="68" t="s">
        <v>2743</v>
      </c>
      <c r="M5259" s="68" t="s">
        <v>195</v>
      </c>
      <c r="N5259" s="116"/>
      <c r="O5259" s="51"/>
    </row>
    <row r="5260">
      <c r="A5260" s="56">
        <v>5257.0</v>
      </c>
      <c r="B5260" s="241"/>
      <c r="C5260" s="64" t="s">
        <v>21145</v>
      </c>
      <c r="D5260" s="66"/>
      <c r="E5260" s="63" t="s">
        <v>21146</v>
      </c>
      <c r="F5260" s="70">
        <v>39949.0</v>
      </c>
      <c r="G5260" s="80" t="s">
        <v>21147</v>
      </c>
      <c r="H5260" s="80" t="s">
        <v>21148</v>
      </c>
      <c r="I5260" s="63" t="s">
        <v>21149</v>
      </c>
      <c r="J5260" s="63" t="s">
        <v>5679</v>
      </c>
      <c r="K5260" s="70">
        <v>43302.0</v>
      </c>
      <c r="L5260" s="63" t="s">
        <v>2743</v>
      </c>
      <c r="M5260" s="63" t="s">
        <v>2152</v>
      </c>
      <c r="N5260" s="116"/>
      <c r="O5260" s="51"/>
    </row>
    <row r="5261">
      <c r="A5261" s="56">
        <v>5258.0</v>
      </c>
      <c r="B5261" s="241"/>
      <c r="C5261" s="64" t="s">
        <v>21150</v>
      </c>
      <c r="D5261" s="66"/>
      <c r="E5261" s="63" t="s">
        <v>21151</v>
      </c>
      <c r="F5261" s="70">
        <v>42046.0</v>
      </c>
      <c r="G5261" s="80" t="s">
        <v>21152</v>
      </c>
      <c r="H5261" s="82"/>
      <c r="I5261" s="66"/>
      <c r="J5261" s="63" t="s">
        <v>5653</v>
      </c>
      <c r="K5261" s="70">
        <v>43302.0</v>
      </c>
      <c r="L5261" s="63" t="s">
        <v>2743</v>
      </c>
      <c r="M5261" s="63" t="s">
        <v>166</v>
      </c>
      <c r="N5261" s="116"/>
      <c r="O5261" s="51"/>
    </row>
    <row r="5262">
      <c r="A5262" s="75">
        <v>5259.0</v>
      </c>
      <c r="B5262" s="240"/>
      <c r="C5262" s="69" t="s">
        <v>21153</v>
      </c>
      <c r="D5262" s="71"/>
      <c r="E5262" s="68" t="s">
        <v>21154</v>
      </c>
      <c r="F5262" s="76">
        <v>41276.0</v>
      </c>
      <c r="G5262" s="68" t="s">
        <v>21155</v>
      </c>
      <c r="H5262" s="68" t="s">
        <v>21156</v>
      </c>
      <c r="I5262" s="71"/>
      <c r="J5262" s="68" t="s">
        <v>21157</v>
      </c>
      <c r="K5262" s="76">
        <v>43302.0</v>
      </c>
      <c r="L5262" s="68" t="s">
        <v>2743</v>
      </c>
      <c r="M5262" s="68" t="s">
        <v>125</v>
      </c>
      <c r="N5262" s="116"/>
      <c r="O5262" s="51"/>
    </row>
    <row r="5263">
      <c r="A5263" s="56">
        <v>5260.0</v>
      </c>
      <c r="B5263" s="241"/>
      <c r="C5263" s="64" t="s">
        <v>21158</v>
      </c>
      <c r="D5263" s="66"/>
      <c r="E5263" s="63" t="s">
        <v>21159</v>
      </c>
      <c r="F5263" s="70">
        <v>40360.0</v>
      </c>
      <c r="G5263" s="80" t="s">
        <v>21160</v>
      </c>
      <c r="H5263" s="82"/>
      <c r="I5263" s="66"/>
      <c r="J5263" s="63" t="s">
        <v>5653</v>
      </c>
      <c r="K5263" s="70">
        <v>43307.0</v>
      </c>
      <c r="L5263" s="63" t="s">
        <v>2743</v>
      </c>
      <c r="M5263" s="63" t="s">
        <v>166</v>
      </c>
      <c r="N5263" s="116"/>
      <c r="O5263" s="51"/>
    </row>
    <row r="5264">
      <c r="A5264" s="56">
        <v>5261.0</v>
      </c>
      <c r="B5264" s="241"/>
      <c r="C5264" s="64" t="s">
        <v>21161</v>
      </c>
      <c r="D5264" s="66"/>
      <c r="E5264" s="63" t="s">
        <v>21162</v>
      </c>
      <c r="F5264" s="70">
        <v>42276.0</v>
      </c>
      <c r="G5264" s="80" t="s">
        <v>21163</v>
      </c>
      <c r="H5264" s="82"/>
      <c r="I5264" s="66"/>
      <c r="J5264" s="63" t="s">
        <v>5679</v>
      </c>
      <c r="K5264" s="70">
        <v>43307.0</v>
      </c>
      <c r="L5264" s="63" t="s">
        <v>2743</v>
      </c>
      <c r="M5264" s="63" t="s">
        <v>542</v>
      </c>
      <c r="N5264" s="116"/>
      <c r="O5264" s="51"/>
    </row>
    <row r="5265">
      <c r="A5265" s="56">
        <v>5262.0</v>
      </c>
      <c r="B5265" s="241"/>
      <c r="C5265" s="64" t="s">
        <v>21164</v>
      </c>
      <c r="D5265" s="66"/>
      <c r="E5265" s="63" t="s">
        <v>21165</v>
      </c>
      <c r="F5265" s="70">
        <v>42810.0</v>
      </c>
      <c r="G5265" s="80" t="s">
        <v>21166</v>
      </c>
      <c r="H5265" s="80" t="s">
        <v>21167</v>
      </c>
      <c r="I5265" s="66"/>
      <c r="J5265" s="63" t="s">
        <v>7523</v>
      </c>
      <c r="K5265" s="70">
        <v>43307.0</v>
      </c>
      <c r="L5265" s="63" t="s">
        <v>16185</v>
      </c>
      <c r="M5265" s="63" t="s">
        <v>143</v>
      </c>
      <c r="N5265" s="116"/>
      <c r="O5265" s="51"/>
    </row>
    <row r="5266">
      <c r="A5266" s="56">
        <v>5263.0</v>
      </c>
      <c r="B5266" s="241"/>
      <c r="C5266" s="64" t="s">
        <v>21168</v>
      </c>
      <c r="D5266" s="66"/>
      <c r="E5266" s="63" t="s">
        <v>21169</v>
      </c>
      <c r="F5266" s="70">
        <v>41827.0</v>
      </c>
      <c r="G5266" s="80" t="s">
        <v>21170</v>
      </c>
      <c r="H5266" s="82"/>
      <c r="I5266" s="66"/>
      <c r="J5266" s="63" t="s">
        <v>5679</v>
      </c>
      <c r="K5266" s="70">
        <v>43307.0</v>
      </c>
      <c r="L5266" s="63" t="s">
        <v>16185</v>
      </c>
      <c r="M5266" s="63" t="s">
        <v>125</v>
      </c>
      <c r="N5266" s="116"/>
      <c r="O5266" s="51"/>
    </row>
    <row r="5267">
      <c r="A5267" s="56">
        <v>5264.0</v>
      </c>
      <c r="B5267" s="240"/>
      <c r="C5267" s="69" t="s">
        <v>21171</v>
      </c>
      <c r="D5267" s="71"/>
      <c r="E5267" s="68" t="s">
        <v>21172</v>
      </c>
      <c r="F5267" s="76">
        <v>41494.0</v>
      </c>
      <c r="G5267" s="68" t="s">
        <v>21173</v>
      </c>
      <c r="H5267" s="71"/>
      <c r="I5267" s="71"/>
      <c r="J5267" s="87" t="s">
        <v>21174</v>
      </c>
      <c r="K5267" s="76">
        <v>43307.0</v>
      </c>
      <c r="L5267" s="68" t="s">
        <v>16185</v>
      </c>
      <c r="M5267" s="68" t="s">
        <v>143</v>
      </c>
      <c r="N5267" s="116"/>
      <c r="O5267" s="51"/>
    </row>
    <row r="5268">
      <c r="A5268" s="75">
        <v>5265.0</v>
      </c>
      <c r="B5268" s="240"/>
      <c r="C5268" s="69" t="s">
        <v>21175</v>
      </c>
      <c r="D5268" s="71"/>
      <c r="E5268" s="68" t="s">
        <v>21176</v>
      </c>
      <c r="F5268" s="76">
        <v>43265.0</v>
      </c>
      <c r="G5268" s="68" t="s">
        <v>21177</v>
      </c>
      <c r="H5268" s="71"/>
      <c r="I5268" s="71"/>
      <c r="J5268" s="68" t="s">
        <v>21178</v>
      </c>
      <c r="K5268" s="76">
        <v>43307.0</v>
      </c>
      <c r="L5268" s="68" t="s">
        <v>2743</v>
      </c>
      <c r="M5268" s="68" t="s">
        <v>143</v>
      </c>
      <c r="N5268" s="116"/>
      <c r="O5268" s="51"/>
    </row>
    <row r="5269">
      <c r="A5269" s="56">
        <v>5266.0</v>
      </c>
      <c r="B5269" s="241"/>
      <c r="C5269" s="64" t="s">
        <v>21179</v>
      </c>
      <c r="D5269" s="66"/>
      <c r="E5269" s="63" t="s">
        <v>21180</v>
      </c>
      <c r="F5269" s="70">
        <v>40080.0</v>
      </c>
      <c r="G5269" s="80" t="s">
        <v>21181</v>
      </c>
      <c r="H5269" s="82"/>
      <c r="I5269" s="66"/>
      <c r="J5269" s="63" t="s">
        <v>5679</v>
      </c>
      <c r="K5269" s="70">
        <v>43307.0</v>
      </c>
      <c r="L5269" s="63" t="s">
        <v>2743</v>
      </c>
      <c r="M5269" s="63" t="s">
        <v>872</v>
      </c>
      <c r="N5269" s="116"/>
      <c r="O5269" s="51"/>
    </row>
    <row r="5270">
      <c r="A5270" s="56">
        <v>5267.0</v>
      </c>
      <c r="B5270" s="240"/>
      <c r="C5270" s="69" t="s">
        <v>21182</v>
      </c>
      <c r="D5270" s="71"/>
      <c r="E5270" s="68" t="s">
        <v>21183</v>
      </c>
      <c r="F5270" s="76">
        <v>43304.0</v>
      </c>
      <c r="G5270" s="68" t="s">
        <v>21184</v>
      </c>
      <c r="H5270" s="71"/>
      <c r="I5270" s="71"/>
      <c r="J5270" s="68" t="s">
        <v>21185</v>
      </c>
      <c r="K5270" s="76">
        <v>43308.0</v>
      </c>
      <c r="L5270" s="68" t="s">
        <v>2743</v>
      </c>
      <c r="M5270" s="68" t="s">
        <v>31</v>
      </c>
      <c r="N5270" s="116"/>
      <c r="O5270" s="51"/>
    </row>
    <row r="5271">
      <c r="A5271" s="56">
        <v>5268.0</v>
      </c>
      <c r="B5271" s="241"/>
      <c r="C5271" s="64" t="s">
        <v>21186</v>
      </c>
      <c r="D5271" s="66"/>
      <c r="E5271" s="63" t="s">
        <v>21187</v>
      </c>
      <c r="F5271" s="70">
        <v>42523.0</v>
      </c>
      <c r="G5271" s="80" t="s">
        <v>21188</v>
      </c>
      <c r="H5271" s="82"/>
      <c r="I5271" s="66"/>
      <c r="J5271" s="63" t="s">
        <v>5679</v>
      </c>
      <c r="K5271" s="70">
        <v>43308.0</v>
      </c>
      <c r="L5271" s="63" t="s">
        <v>2743</v>
      </c>
      <c r="M5271" s="63" t="s">
        <v>125</v>
      </c>
      <c r="N5271" s="116"/>
      <c r="O5271" s="51"/>
    </row>
    <row r="5272">
      <c r="A5272" s="56">
        <v>5269.0</v>
      </c>
      <c r="B5272" s="241"/>
      <c r="C5272" s="64" t="s">
        <v>21189</v>
      </c>
      <c r="D5272" s="66"/>
      <c r="E5272" s="63" t="s">
        <v>21190</v>
      </c>
      <c r="F5272" s="70">
        <v>42376.0</v>
      </c>
      <c r="G5272" s="80" t="s">
        <v>21191</v>
      </c>
      <c r="H5272" s="82"/>
      <c r="I5272" s="66"/>
      <c r="J5272" s="63" t="s">
        <v>136</v>
      </c>
      <c r="K5272" s="70">
        <v>43308.0</v>
      </c>
      <c r="L5272" s="63" t="s">
        <v>2743</v>
      </c>
      <c r="M5272" s="63" t="s">
        <v>125</v>
      </c>
      <c r="N5272" s="264" t="s">
        <v>21192</v>
      </c>
      <c r="O5272" s="51"/>
    </row>
    <row r="5273">
      <c r="A5273" s="56">
        <v>5270.0</v>
      </c>
      <c r="B5273" s="240"/>
      <c r="C5273" s="69" t="s">
        <v>21193</v>
      </c>
      <c r="D5273" s="71"/>
      <c r="E5273" s="68" t="s">
        <v>21194</v>
      </c>
      <c r="F5273" s="76">
        <v>43283.0</v>
      </c>
      <c r="G5273" s="68" t="s">
        <v>21195</v>
      </c>
      <c r="H5273" s="71"/>
      <c r="I5273" s="68" t="s">
        <v>21196</v>
      </c>
      <c r="J5273" s="68" t="s">
        <v>21197</v>
      </c>
      <c r="K5273" s="76">
        <v>43311.0</v>
      </c>
      <c r="L5273" s="68" t="s">
        <v>2743</v>
      </c>
      <c r="M5273" s="68" t="s">
        <v>149</v>
      </c>
      <c r="N5273" s="264" t="s">
        <v>21198</v>
      </c>
      <c r="O5273" s="51"/>
    </row>
    <row r="5274">
      <c r="A5274" s="56">
        <v>5271.0</v>
      </c>
      <c r="B5274" s="241"/>
      <c r="C5274" s="64" t="s">
        <v>21199</v>
      </c>
      <c r="D5274" s="66"/>
      <c r="E5274" s="63" t="s">
        <v>21200</v>
      </c>
      <c r="F5274" s="70">
        <v>42635.0</v>
      </c>
      <c r="G5274" s="80" t="s">
        <v>21201</v>
      </c>
      <c r="H5274" s="82"/>
      <c r="I5274" s="66"/>
      <c r="J5274" s="63" t="s">
        <v>21202</v>
      </c>
      <c r="K5274" s="70">
        <v>43313.0</v>
      </c>
      <c r="L5274" s="63" t="s">
        <v>2743</v>
      </c>
      <c r="M5274" s="63" t="s">
        <v>125</v>
      </c>
      <c r="N5274" s="116"/>
      <c r="O5274" s="51"/>
    </row>
    <row r="5275">
      <c r="A5275" s="56">
        <v>5272.0</v>
      </c>
      <c r="B5275" s="240"/>
      <c r="C5275" s="69" t="s">
        <v>21203</v>
      </c>
      <c r="D5275" s="71"/>
      <c r="E5275" s="68" t="s">
        <v>21204</v>
      </c>
      <c r="F5275" s="76">
        <v>42526.0</v>
      </c>
      <c r="G5275" s="68" t="s">
        <v>21205</v>
      </c>
      <c r="H5275" s="71"/>
      <c r="I5275" s="71"/>
      <c r="J5275" s="68" t="s">
        <v>21206</v>
      </c>
      <c r="K5275" s="76">
        <v>43314.0</v>
      </c>
      <c r="L5275" s="68" t="s">
        <v>2743</v>
      </c>
      <c r="M5275" s="68" t="s">
        <v>542</v>
      </c>
      <c r="N5275" s="116"/>
      <c r="O5275" s="51"/>
    </row>
    <row r="5276">
      <c r="A5276" s="56">
        <v>5273.0</v>
      </c>
      <c r="B5276" s="241"/>
      <c r="C5276" s="64" t="s">
        <v>21207</v>
      </c>
      <c r="D5276" s="66"/>
      <c r="E5276" s="63" t="s">
        <v>21208</v>
      </c>
      <c r="F5276" s="70">
        <v>39989.0</v>
      </c>
      <c r="G5276" s="80" t="s">
        <v>21209</v>
      </c>
      <c r="H5276" s="82"/>
      <c r="I5276" s="63" t="s">
        <v>21210</v>
      </c>
      <c r="J5276" s="63" t="s">
        <v>5679</v>
      </c>
      <c r="K5276" s="70">
        <v>43314.0</v>
      </c>
      <c r="L5276" s="63" t="s">
        <v>2743</v>
      </c>
      <c r="M5276" s="63" t="s">
        <v>201</v>
      </c>
      <c r="N5276" s="116"/>
      <c r="O5276" s="51"/>
    </row>
    <row r="5277">
      <c r="A5277" s="56">
        <v>5274.0</v>
      </c>
      <c r="B5277" s="240"/>
      <c r="C5277" s="69" t="s">
        <v>21211</v>
      </c>
      <c r="D5277" s="71"/>
      <c r="E5277" s="68" t="s">
        <v>21212</v>
      </c>
      <c r="F5277" s="76">
        <v>43311.0</v>
      </c>
      <c r="G5277" s="68" t="s">
        <v>21213</v>
      </c>
      <c r="H5277" s="71"/>
      <c r="I5277" s="71"/>
      <c r="J5277" s="68" t="s">
        <v>21214</v>
      </c>
      <c r="K5277" s="76">
        <v>43314.0</v>
      </c>
      <c r="L5277" s="68" t="s">
        <v>2743</v>
      </c>
      <c r="M5277" s="68" t="s">
        <v>166</v>
      </c>
      <c r="N5277" s="116"/>
      <c r="O5277" s="51"/>
    </row>
    <row r="5278">
      <c r="A5278" s="56">
        <v>5275.0</v>
      </c>
      <c r="B5278" s="240"/>
      <c r="C5278" s="69" t="s">
        <v>21215</v>
      </c>
      <c r="D5278" s="71"/>
      <c r="E5278" s="68" t="s">
        <v>21216</v>
      </c>
      <c r="F5278" s="76">
        <v>43311.0</v>
      </c>
      <c r="G5278" s="68" t="s">
        <v>21213</v>
      </c>
      <c r="H5278" s="71"/>
      <c r="I5278" s="71"/>
      <c r="J5278" s="68" t="s">
        <v>21217</v>
      </c>
      <c r="K5278" s="76">
        <v>43314.0</v>
      </c>
      <c r="L5278" s="68" t="s">
        <v>2743</v>
      </c>
      <c r="M5278" s="68" t="s">
        <v>166</v>
      </c>
      <c r="N5278" s="116"/>
      <c r="O5278" s="51"/>
    </row>
    <row r="5279">
      <c r="A5279" s="56">
        <v>5276.0</v>
      </c>
      <c r="B5279" s="240"/>
      <c r="C5279" s="69" t="s">
        <v>21218</v>
      </c>
      <c r="D5279" s="71"/>
      <c r="E5279" s="68" t="s">
        <v>21219</v>
      </c>
      <c r="F5279" s="76">
        <v>43311.0</v>
      </c>
      <c r="G5279" s="68" t="s">
        <v>21213</v>
      </c>
      <c r="H5279" s="71"/>
      <c r="I5279" s="71"/>
      <c r="J5279" s="68" t="s">
        <v>21220</v>
      </c>
      <c r="K5279" s="76">
        <v>43314.0</v>
      </c>
      <c r="L5279" s="68" t="s">
        <v>2743</v>
      </c>
      <c r="M5279" s="68" t="s">
        <v>166</v>
      </c>
      <c r="N5279" s="116"/>
      <c r="O5279" s="51"/>
    </row>
    <row r="5280">
      <c r="A5280" s="56">
        <v>5277.0</v>
      </c>
      <c r="B5280" s="240"/>
      <c r="C5280" s="69" t="s">
        <v>21221</v>
      </c>
      <c r="D5280" s="71"/>
      <c r="E5280" s="68" t="s">
        <v>21222</v>
      </c>
      <c r="F5280" s="76">
        <v>42797.0</v>
      </c>
      <c r="G5280" s="68" t="s">
        <v>21223</v>
      </c>
      <c r="H5280" s="71"/>
      <c r="I5280" s="71"/>
      <c r="J5280" s="68" t="s">
        <v>21224</v>
      </c>
      <c r="K5280" s="76">
        <v>43314.0</v>
      </c>
      <c r="L5280" s="68" t="s">
        <v>2743</v>
      </c>
      <c r="M5280" s="68" t="s">
        <v>149</v>
      </c>
      <c r="N5280" s="116"/>
      <c r="O5280" s="51"/>
    </row>
    <row r="5281">
      <c r="A5281" s="56">
        <v>5278.0</v>
      </c>
      <c r="B5281" s="241"/>
      <c r="C5281" s="64" t="s">
        <v>21225</v>
      </c>
      <c r="D5281" s="66"/>
      <c r="E5281" s="63" t="s">
        <v>21226</v>
      </c>
      <c r="F5281" s="70">
        <v>42146.0</v>
      </c>
      <c r="G5281" s="80" t="s">
        <v>21227</v>
      </c>
      <c r="H5281" s="80" t="s">
        <v>21228</v>
      </c>
      <c r="I5281" s="63" t="s">
        <v>21229</v>
      </c>
      <c r="J5281" s="63" t="s">
        <v>5679</v>
      </c>
      <c r="K5281" s="70">
        <v>43316.0</v>
      </c>
      <c r="L5281" s="63" t="s">
        <v>20329</v>
      </c>
      <c r="M5281" s="63" t="s">
        <v>125</v>
      </c>
      <c r="N5281" s="116"/>
      <c r="O5281" s="51"/>
    </row>
    <row r="5282">
      <c r="A5282" s="56">
        <v>5279.0</v>
      </c>
      <c r="B5282" s="241"/>
      <c r="C5282" s="64" t="s">
        <v>21230</v>
      </c>
      <c r="D5282" s="66"/>
      <c r="E5282" s="63" t="s">
        <v>21231</v>
      </c>
      <c r="F5282" s="70">
        <v>42139.0</v>
      </c>
      <c r="G5282" s="80" t="s">
        <v>21232</v>
      </c>
      <c r="H5282" s="80" t="s">
        <v>439</v>
      </c>
      <c r="I5282" s="63" t="s">
        <v>21233</v>
      </c>
      <c r="J5282" s="63" t="s">
        <v>5679</v>
      </c>
      <c r="K5282" s="70">
        <v>43316.0</v>
      </c>
      <c r="L5282" s="63" t="s">
        <v>2743</v>
      </c>
      <c r="M5282" s="63" t="s">
        <v>2152</v>
      </c>
      <c r="N5282" s="116"/>
      <c r="O5282" s="51"/>
    </row>
    <row r="5283">
      <c r="A5283" s="56">
        <v>5280.0</v>
      </c>
      <c r="B5283" s="241"/>
      <c r="C5283" s="64" t="s">
        <v>21234</v>
      </c>
      <c r="D5283" s="66"/>
      <c r="E5283" s="63" t="s">
        <v>21235</v>
      </c>
      <c r="F5283" s="70">
        <v>42577.0</v>
      </c>
      <c r="G5283" s="80" t="s">
        <v>21236</v>
      </c>
      <c r="H5283" s="82"/>
      <c r="I5283" s="63" t="s">
        <v>21237</v>
      </c>
      <c r="J5283" s="63" t="s">
        <v>5679</v>
      </c>
      <c r="K5283" s="70">
        <v>43316.0</v>
      </c>
      <c r="L5283" s="63" t="s">
        <v>2743</v>
      </c>
      <c r="M5283" s="63" t="s">
        <v>530</v>
      </c>
      <c r="N5283" s="116"/>
      <c r="O5283" s="51"/>
    </row>
    <row r="5284">
      <c r="A5284" s="56">
        <v>5281.0</v>
      </c>
      <c r="B5284" s="240"/>
      <c r="C5284" s="69" t="s">
        <v>21238</v>
      </c>
      <c r="D5284" s="71"/>
      <c r="E5284" s="68" t="s">
        <v>21239</v>
      </c>
      <c r="F5284" s="76">
        <v>43296.0</v>
      </c>
      <c r="G5284" s="68" t="s">
        <v>21240</v>
      </c>
      <c r="H5284" s="71"/>
      <c r="I5284" s="71"/>
      <c r="J5284" s="68" t="s">
        <v>21241</v>
      </c>
      <c r="K5284" s="76">
        <v>43319.0</v>
      </c>
      <c r="L5284" s="68" t="s">
        <v>2743</v>
      </c>
      <c r="M5284" s="68" t="s">
        <v>149</v>
      </c>
      <c r="N5284" s="116"/>
      <c r="O5284" s="51"/>
    </row>
    <row r="5285">
      <c r="A5285" s="56">
        <v>5282.0</v>
      </c>
      <c r="B5285" s="240"/>
      <c r="C5285" s="69" t="s">
        <v>21242</v>
      </c>
      <c r="D5285" s="71"/>
      <c r="E5285" s="68" t="s">
        <v>21243</v>
      </c>
      <c r="F5285" s="83">
        <v>41985.0</v>
      </c>
      <c r="G5285" s="68" t="s">
        <v>21244</v>
      </c>
      <c r="H5285" s="71"/>
      <c r="I5285" s="68" t="s">
        <v>21245</v>
      </c>
      <c r="J5285" s="68" t="s">
        <v>21246</v>
      </c>
      <c r="K5285" s="76">
        <v>43320.0</v>
      </c>
      <c r="L5285" s="68" t="s">
        <v>2743</v>
      </c>
      <c r="M5285" s="68" t="s">
        <v>31</v>
      </c>
      <c r="N5285" s="116"/>
      <c r="O5285" s="51"/>
    </row>
    <row r="5286">
      <c r="A5286" s="56">
        <v>5283.0</v>
      </c>
      <c r="B5286" s="240"/>
      <c r="C5286" s="69" t="s">
        <v>21247</v>
      </c>
      <c r="D5286" s="71"/>
      <c r="E5286" s="68" t="s">
        <v>13579</v>
      </c>
      <c r="F5286" s="76">
        <v>41843.0</v>
      </c>
      <c r="G5286" s="68" t="s">
        <v>21248</v>
      </c>
      <c r="H5286" s="71"/>
      <c r="I5286" s="71"/>
      <c r="J5286" s="68" t="s">
        <v>21249</v>
      </c>
      <c r="K5286" s="76">
        <v>43322.0</v>
      </c>
      <c r="L5286" s="68" t="s">
        <v>2743</v>
      </c>
      <c r="M5286" s="68" t="s">
        <v>125</v>
      </c>
      <c r="N5286" s="116"/>
      <c r="O5286" s="51"/>
    </row>
    <row r="5287">
      <c r="A5287" s="56">
        <v>5284.0</v>
      </c>
      <c r="B5287" s="240"/>
      <c r="C5287" s="69" t="s">
        <v>21250</v>
      </c>
      <c r="D5287" s="71"/>
      <c r="E5287" s="68" t="s">
        <v>21251</v>
      </c>
      <c r="F5287" s="76">
        <v>43129.0</v>
      </c>
      <c r="G5287" s="68" t="s">
        <v>21252</v>
      </c>
      <c r="H5287" s="71"/>
      <c r="I5287" s="71"/>
      <c r="J5287" s="87" t="s">
        <v>21253</v>
      </c>
      <c r="K5287" s="76">
        <v>43322.0</v>
      </c>
      <c r="L5287" s="68" t="s">
        <v>2743</v>
      </c>
      <c r="M5287" s="68" t="s">
        <v>195</v>
      </c>
      <c r="N5287" s="116"/>
      <c r="O5287" s="51"/>
    </row>
    <row r="5288">
      <c r="A5288" s="56">
        <v>5285.0</v>
      </c>
      <c r="B5288" s="240"/>
      <c r="C5288" s="69" t="s">
        <v>21254</v>
      </c>
      <c r="D5288" s="71"/>
      <c r="E5288" s="68" t="s">
        <v>21255</v>
      </c>
      <c r="F5288" s="76">
        <v>43129.0</v>
      </c>
      <c r="G5288" s="68" t="s">
        <v>21252</v>
      </c>
      <c r="H5288" s="71"/>
      <c r="I5288" s="71"/>
      <c r="J5288" s="87" t="s">
        <v>21253</v>
      </c>
      <c r="K5288" s="76">
        <v>43322.0</v>
      </c>
      <c r="L5288" s="68" t="s">
        <v>2743</v>
      </c>
      <c r="M5288" s="68" t="s">
        <v>195</v>
      </c>
      <c r="N5288" s="116"/>
      <c r="O5288" s="51"/>
    </row>
    <row r="5289">
      <c r="A5289" s="56">
        <v>5286.0</v>
      </c>
      <c r="B5289" s="241"/>
      <c r="C5289" s="64" t="s">
        <v>21256</v>
      </c>
      <c r="D5289" s="66"/>
      <c r="E5289" s="63" t="s">
        <v>21257</v>
      </c>
      <c r="F5289" s="70">
        <v>42414.0</v>
      </c>
      <c r="G5289" s="80" t="s">
        <v>21258</v>
      </c>
      <c r="H5289" s="82"/>
      <c r="I5289" s="66"/>
      <c r="J5289" s="63" t="s">
        <v>10817</v>
      </c>
      <c r="K5289" s="70">
        <v>43322.0</v>
      </c>
      <c r="L5289" s="63" t="s">
        <v>2743</v>
      </c>
      <c r="M5289" s="63" t="s">
        <v>31</v>
      </c>
      <c r="N5289" s="116"/>
      <c r="O5289" s="51"/>
    </row>
    <row r="5290">
      <c r="A5290" s="75">
        <v>5287.0</v>
      </c>
      <c r="B5290" s="240"/>
      <c r="C5290" s="69" t="s">
        <v>21259</v>
      </c>
      <c r="D5290" s="71"/>
      <c r="E5290" s="68" t="s">
        <v>21260</v>
      </c>
      <c r="F5290" s="76">
        <v>41835.0</v>
      </c>
      <c r="G5290" s="68" t="s">
        <v>21261</v>
      </c>
      <c r="H5290" s="71"/>
      <c r="I5290" s="71"/>
      <c r="J5290" s="68" t="s">
        <v>21262</v>
      </c>
      <c r="K5290" s="76">
        <v>43322.0</v>
      </c>
      <c r="L5290" s="68" t="s">
        <v>2743</v>
      </c>
      <c r="M5290" s="68" t="s">
        <v>125</v>
      </c>
      <c r="N5290" s="116"/>
      <c r="O5290" s="51"/>
    </row>
    <row r="5291">
      <c r="A5291" s="56">
        <v>5288.0</v>
      </c>
      <c r="B5291" s="240"/>
      <c r="C5291" s="69" t="s">
        <v>21263</v>
      </c>
      <c r="D5291" s="71"/>
      <c r="E5291" s="68" t="s">
        <v>21264</v>
      </c>
      <c r="F5291" s="76">
        <v>42917.0</v>
      </c>
      <c r="G5291" s="68" t="s">
        <v>21265</v>
      </c>
      <c r="H5291" s="71"/>
      <c r="I5291" s="71"/>
      <c r="J5291" s="68" t="s">
        <v>21266</v>
      </c>
      <c r="K5291" s="76">
        <v>43322.0</v>
      </c>
      <c r="L5291" s="68" t="s">
        <v>2743</v>
      </c>
      <c r="M5291" s="68" t="s">
        <v>27</v>
      </c>
      <c r="N5291" s="116"/>
      <c r="O5291" s="51"/>
    </row>
    <row r="5292">
      <c r="A5292" s="56">
        <v>5289.0</v>
      </c>
      <c r="B5292" s="240"/>
      <c r="C5292" s="69" t="s">
        <v>21267</v>
      </c>
      <c r="D5292" s="71"/>
      <c r="E5292" s="68" t="s">
        <v>21268</v>
      </c>
      <c r="F5292" s="76">
        <v>43227.0</v>
      </c>
      <c r="G5292" s="68" t="s">
        <v>21269</v>
      </c>
      <c r="H5292" s="71"/>
      <c r="I5292" s="71"/>
      <c r="J5292" s="68" t="s">
        <v>21270</v>
      </c>
      <c r="K5292" s="76">
        <v>43322.0</v>
      </c>
      <c r="L5292" s="68" t="s">
        <v>2743</v>
      </c>
      <c r="M5292" s="68" t="s">
        <v>282</v>
      </c>
      <c r="N5292" s="116"/>
      <c r="O5292" s="51"/>
    </row>
    <row r="5293">
      <c r="A5293" s="56">
        <v>5290.0</v>
      </c>
      <c r="B5293" s="240"/>
      <c r="C5293" s="69" t="s">
        <v>21271</v>
      </c>
      <c r="D5293" s="71"/>
      <c r="E5293" s="68" t="s">
        <v>21272</v>
      </c>
      <c r="F5293" s="83">
        <v>43049.0</v>
      </c>
      <c r="G5293" s="68" t="s">
        <v>21273</v>
      </c>
      <c r="H5293" s="71"/>
      <c r="I5293" s="71"/>
      <c r="J5293" s="68" t="s">
        <v>21274</v>
      </c>
      <c r="K5293" s="76">
        <v>43322.0</v>
      </c>
      <c r="L5293" s="68" t="s">
        <v>2743</v>
      </c>
      <c r="M5293" s="68" t="s">
        <v>125</v>
      </c>
      <c r="N5293" s="116"/>
      <c r="O5293" s="51"/>
    </row>
    <row r="5294">
      <c r="A5294" s="85">
        <v>5291.0</v>
      </c>
      <c r="B5294" s="241"/>
      <c r="C5294" s="79" t="s">
        <v>21275</v>
      </c>
      <c r="D5294" s="82"/>
      <c r="E5294" s="80" t="s">
        <v>21276</v>
      </c>
      <c r="F5294" s="81">
        <v>42008.0</v>
      </c>
      <c r="G5294" s="80" t="s">
        <v>21277</v>
      </c>
      <c r="H5294" s="82"/>
      <c r="I5294" s="82"/>
      <c r="J5294" s="82"/>
      <c r="K5294" s="81">
        <v>43325.0</v>
      </c>
      <c r="L5294" s="80" t="s">
        <v>2743</v>
      </c>
      <c r="M5294" s="80" t="s">
        <v>166</v>
      </c>
      <c r="N5294" s="201"/>
      <c r="O5294" s="51"/>
    </row>
    <row r="5295">
      <c r="A5295" s="56">
        <v>5292.0</v>
      </c>
      <c r="B5295" s="240"/>
      <c r="C5295" s="69" t="s">
        <v>21278</v>
      </c>
      <c r="D5295" s="71"/>
      <c r="E5295" s="68" t="s">
        <v>21279</v>
      </c>
      <c r="F5295" s="76">
        <v>43172.0</v>
      </c>
      <c r="G5295" s="68" t="s">
        <v>21280</v>
      </c>
      <c r="H5295" s="71"/>
      <c r="I5295" s="68" t="s">
        <v>21281</v>
      </c>
      <c r="J5295" s="68" t="s">
        <v>21282</v>
      </c>
      <c r="K5295" s="76">
        <v>43325.0</v>
      </c>
      <c r="L5295" s="68" t="s">
        <v>2743</v>
      </c>
      <c r="M5295" s="68" t="s">
        <v>18270</v>
      </c>
      <c r="N5295" s="116"/>
      <c r="O5295" s="51"/>
    </row>
    <row r="5296">
      <c r="A5296" s="56">
        <v>5293.0</v>
      </c>
      <c r="B5296" s="240"/>
      <c r="C5296" s="69" t="s">
        <v>21283</v>
      </c>
      <c r="D5296" s="71"/>
      <c r="E5296" s="68" t="s">
        <v>21284</v>
      </c>
      <c r="F5296" s="76">
        <v>43278.0</v>
      </c>
      <c r="G5296" s="68" t="s">
        <v>21285</v>
      </c>
      <c r="H5296" s="71"/>
      <c r="I5296" s="68" t="s">
        <v>21286</v>
      </c>
      <c r="J5296" s="87" t="s">
        <v>21287</v>
      </c>
      <c r="K5296" s="76">
        <v>43325.0</v>
      </c>
      <c r="L5296" s="68" t="s">
        <v>2743</v>
      </c>
      <c r="M5296" s="68" t="s">
        <v>21052</v>
      </c>
      <c r="N5296" s="116"/>
      <c r="O5296" s="51"/>
    </row>
    <row r="5297">
      <c r="A5297" s="56">
        <v>5294.0</v>
      </c>
      <c r="B5297" s="241"/>
      <c r="C5297" s="64" t="s">
        <v>21288</v>
      </c>
      <c r="D5297" s="66"/>
      <c r="E5297" s="63" t="s">
        <v>21289</v>
      </c>
      <c r="F5297" s="65">
        <v>40100.0</v>
      </c>
      <c r="G5297" s="80" t="s">
        <v>21290</v>
      </c>
      <c r="H5297" s="82"/>
      <c r="I5297" s="63" t="s">
        <v>21291</v>
      </c>
      <c r="J5297" s="63" t="s">
        <v>5679</v>
      </c>
      <c r="K5297" s="70">
        <v>43325.0</v>
      </c>
      <c r="L5297" s="63" t="s">
        <v>2743</v>
      </c>
      <c r="M5297" s="63" t="s">
        <v>2466</v>
      </c>
      <c r="N5297" s="116"/>
      <c r="O5297" s="51"/>
    </row>
    <row r="5298">
      <c r="A5298" s="56">
        <v>5295.0</v>
      </c>
      <c r="B5298" s="240"/>
      <c r="C5298" s="69" t="s">
        <v>21292</v>
      </c>
      <c r="D5298" s="71"/>
      <c r="E5298" s="68" t="s">
        <v>21293</v>
      </c>
      <c r="F5298" s="76">
        <v>41362.0</v>
      </c>
      <c r="G5298" s="68" t="s">
        <v>21294</v>
      </c>
      <c r="H5298" s="71"/>
      <c r="I5298" s="68" t="s">
        <v>21295</v>
      </c>
      <c r="J5298" s="68" t="s">
        <v>21296</v>
      </c>
      <c r="K5298" s="76">
        <v>43325.0</v>
      </c>
      <c r="L5298" s="68" t="s">
        <v>2743</v>
      </c>
      <c r="M5298" s="68" t="s">
        <v>2989</v>
      </c>
      <c r="N5298" s="116"/>
      <c r="O5298" s="51"/>
    </row>
    <row r="5299">
      <c r="A5299" s="56">
        <v>5296.0</v>
      </c>
      <c r="B5299" s="241"/>
      <c r="C5299" s="64" t="s">
        <v>21297</v>
      </c>
      <c r="D5299" s="66"/>
      <c r="E5299" s="63" t="s">
        <v>21298</v>
      </c>
      <c r="F5299" s="70">
        <v>42145.0</v>
      </c>
      <c r="G5299" s="80" t="s">
        <v>21299</v>
      </c>
      <c r="H5299" s="82"/>
      <c r="I5299" s="66"/>
      <c r="J5299" s="63" t="s">
        <v>5679</v>
      </c>
      <c r="K5299" s="70">
        <v>43325.0</v>
      </c>
      <c r="L5299" s="63" t="s">
        <v>2743</v>
      </c>
      <c r="M5299" s="63" t="s">
        <v>125</v>
      </c>
      <c r="N5299" s="116"/>
      <c r="O5299" s="51"/>
    </row>
    <row r="5300">
      <c r="A5300" s="56">
        <v>5297.0</v>
      </c>
      <c r="B5300" s="240"/>
      <c r="C5300" s="69" t="s">
        <v>21300</v>
      </c>
      <c r="D5300" s="71"/>
      <c r="E5300" s="68" t="s">
        <v>21301</v>
      </c>
      <c r="F5300" s="83">
        <v>43028.0</v>
      </c>
      <c r="G5300" s="68" t="s">
        <v>21302</v>
      </c>
      <c r="H5300" s="71"/>
      <c r="I5300" s="71"/>
      <c r="J5300" s="68" t="s">
        <v>21303</v>
      </c>
      <c r="K5300" s="76">
        <v>43325.0</v>
      </c>
      <c r="L5300" s="68" t="s">
        <v>2743</v>
      </c>
      <c r="M5300" s="68" t="s">
        <v>195</v>
      </c>
      <c r="N5300" s="116"/>
      <c r="O5300" s="51"/>
    </row>
    <row r="5301">
      <c r="A5301" s="56">
        <v>5298.0</v>
      </c>
      <c r="B5301" s="240"/>
      <c r="C5301" s="69" t="s">
        <v>21304</v>
      </c>
      <c r="D5301" s="71"/>
      <c r="E5301" s="68" t="s">
        <v>21305</v>
      </c>
      <c r="F5301" s="76">
        <v>43311.0</v>
      </c>
      <c r="G5301" s="68" t="s">
        <v>21306</v>
      </c>
      <c r="H5301" s="71"/>
      <c r="I5301" s="71"/>
      <c r="J5301" s="68" t="s">
        <v>21307</v>
      </c>
      <c r="K5301" s="76">
        <v>43330.0</v>
      </c>
      <c r="L5301" s="68" t="s">
        <v>2743</v>
      </c>
      <c r="M5301" s="68" t="s">
        <v>166</v>
      </c>
      <c r="N5301" s="116"/>
      <c r="O5301" s="51"/>
    </row>
    <row r="5302">
      <c r="A5302" s="56">
        <v>5299.0</v>
      </c>
      <c r="B5302" s="240"/>
      <c r="C5302" s="69" t="s">
        <v>21308</v>
      </c>
      <c r="D5302" s="71"/>
      <c r="E5302" s="68" t="s">
        <v>21309</v>
      </c>
      <c r="F5302" s="76">
        <v>43287.0</v>
      </c>
      <c r="G5302" s="68" t="s">
        <v>21310</v>
      </c>
      <c r="H5302" s="71"/>
      <c r="I5302" s="71"/>
      <c r="J5302" s="68" t="s">
        <v>21311</v>
      </c>
      <c r="K5302" s="76">
        <v>43330.0</v>
      </c>
      <c r="L5302" s="68" t="s">
        <v>2743</v>
      </c>
      <c r="M5302" s="68" t="s">
        <v>166</v>
      </c>
      <c r="N5302" s="116"/>
      <c r="O5302" s="51"/>
    </row>
    <row r="5303">
      <c r="A5303" s="56">
        <v>5300.0</v>
      </c>
      <c r="B5303" s="240"/>
      <c r="C5303" s="69" t="s">
        <v>21312</v>
      </c>
      <c r="D5303" s="71"/>
      <c r="E5303" s="68" t="s">
        <v>21313</v>
      </c>
      <c r="F5303" s="83">
        <v>43019.0</v>
      </c>
      <c r="G5303" s="68" t="s">
        <v>21314</v>
      </c>
      <c r="H5303" s="71"/>
      <c r="I5303" s="71"/>
      <c r="J5303" s="68" t="s">
        <v>21315</v>
      </c>
      <c r="K5303" s="76">
        <v>43330.0</v>
      </c>
      <c r="L5303" s="68" t="s">
        <v>2743</v>
      </c>
      <c r="M5303" s="68" t="s">
        <v>125</v>
      </c>
      <c r="N5303" s="116"/>
      <c r="O5303" s="51"/>
    </row>
    <row r="5304">
      <c r="A5304" s="56">
        <v>5301.0</v>
      </c>
      <c r="B5304" s="240"/>
      <c r="C5304" s="69" t="s">
        <v>21316</v>
      </c>
      <c r="D5304" s="71"/>
      <c r="E5304" s="68" t="s">
        <v>21317</v>
      </c>
      <c r="F5304" s="76">
        <v>42942.0</v>
      </c>
      <c r="G5304" s="68" t="s">
        <v>21318</v>
      </c>
      <c r="H5304" s="71"/>
      <c r="I5304" s="68" t="s">
        <v>21319</v>
      </c>
      <c r="J5304" s="68" t="s">
        <v>21320</v>
      </c>
      <c r="K5304" s="76">
        <v>43330.0</v>
      </c>
      <c r="L5304" s="68" t="s">
        <v>2743</v>
      </c>
      <c r="M5304" s="68" t="s">
        <v>2097</v>
      </c>
      <c r="N5304" s="116"/>
      <c r="O5304" s="51"/>
    </row>
    <row r="5305">
      <c r="A5305" s="56">
        <v>5302.0</v>
      </c>
      <c r="B5305" s="240"/>
      <c r="C5305" s="69" t="s">
        <v>21321</v>
      </c>
      <c r="D5305" s="71"/>
      <c r="E5305" s="68" t="s">
        <v>21322</v>
      </c>
      <c r="F5305" s="76">
        <v>42152.0</v>
      </c>
      <c r="G5305" s="68" t="s">
        <v>21323</v>
      </c>
      <c r="H5305" s="71"/>
      <c r="I5305" s="71"/>
      <c r="J5305" s="68" t="s">
        <v>21324</v>
      </c>
      <c r="K5305" s="76">
        <v>43330.0</v>
      </c>
      <c r="L5305" s="68" t="s">
        <v>2743</v>
      </c>
      <c r="M5305" s="68" t="s">
        <v>872</v>
      </c>
      <c r="N5305" s="116"/>
      <c r="O5305" s="51"/>
    </row>
    <row r="5306">
      <c r="A5306" s="56">
        <v>5303.0</v>
      </c>
      <c r="B5306" s="240"/>
      <c r="C5306" s="69" t="s">
        <v>21325</v>
      </c>
      <c r="D5306" s="71"/>
      <c r="E5306" s="68" t="s">
        <v>21326</v>
      </c>
      <c r="F5306" s="76">
        <v>42139.0</v>
      </c>
      <c r="G5306" s="68" t="s">
        <v>21327</v>
      </c>
      <c r="H5306" s="71"/>
      <c r="I5306" s="71"/>
      <c r="J5306" s="68" t="s">
        <v>21328</v>
      </c>
      <c r="K5306" s="76">
        <v>43330.0</v>
      </c>
      <c r="L5306" s="68" t="s">
        <v>2743</v>
      </c>
      <c r="M5306" s="68" t="s">
        <v>166</v>
      </c>
      <c r="N5306" s="116"/>
      <c r="O5306" s="51"/>
    </row>
    <row r="5307">
      <c r="A5307" s="56">
        <v>5304.0</v>
      </c>
      <c r="B5307" s="240"/>
      <c r="C5307" s="69" t="s">
        <v>21329</v>
      </c>
      <c r="D5307" s="71"/>
      <c r="E5307" s="68" t="s">
        <v>21330</v>
      </c>
      <c r="F5307" s="76">
        <v>42856.0</v>
      </c>
      <c r="G5307" s="68" t="s">
        <v>21331</v>
      </c>
      <c r="H5307" s="71"/>
      <c r="I5307" s="71"/>
      <c r="J5307" s="87" t="s">
        <v>21332</v>
      </c>
      <c r="K5307" s="76">
        <v>43330.0</v>
      </c>
      <c r="L5307" s="68" t="s">
        <v>2743</v>
      </c>
      <c r="M5307" s="68" t="s">
        <v>195</v>
      </c>
      <c r="N5307" s="116"/>
      <c r="O5307" s="51"/>
    </row>
    <row r="5308">
      <c r="A5308" s="56">
        <v>5305.0</v>
      </c>
      <c r="B5308" s="241"/>
      <c r="C5308" s="64" t="s">
        <v>21333</v>
      </c>
      <c r="D5308" s="66"/>
      <c r="E5308" s="63" t="s">
        <v>21334</v>
      </c>
      <c r="F5308" s="70">
        <v>43076.0</v>
      </c>
      <c r="G5308" s="80" t="s">
        <v>21335</v>
      </c>
      <c r="H5308" s="82"/>
      <c r="I5308" s="63" t="s">
        <v>21336</v>
      </c>
      <c r="J5308" s="63" t="s">
        <v>6393</v>
      </c>
      <c r="K5308" s="70">
        <v>43330.0</v>
      </c>
      <c r="L5308" s="63" t="s">
        <v>2743</v>
      </c>
      <c r="M5308" s="63" t="s">
        <v>19459</v>
      </c>
      <c r="N5308" s="116"/>
      <c r="O5308" s="51"/>
    </row>
    <row r="5309">
      <c r="A5309" s="56">
        <v>5306.0</v>
      </c>
      <c r="B5309" s="240"/>
      <c r="C5309" s="69" t="s">
        <v>21337</v>
      </c>
      <c r="D5309" s="71"/>
      <c r="E5309" s="68" t="s">
        <v>21338</v>
      </c>
      <c r="F5309" s="83">
        <v>41992.0</v>
      </c>
      <c r="G5309" s="68" t="s">
        <v>21339</v>
      </c>
      <c r="H5309" s="68" t="s">
        <v>21340</v>
      </c>
      <c r="I5309" s="71"/>
      <c r="J5309" s="68" t="s">
        <v>21341</v>
      </c>
      <c r="K5309" s="76">
        <v>43330.0</v>
      </c>
      <c r="L5309" s="68" t="s">
        <v>2743</v>
      </c>
      <c r="M5309" s="68" t="s">
        <v>2748</v>
      </c>
      <c r="N5309" s="116"/>
      <c r="O5309" s="51"/>
    </row>
    <row r="5310">
      <c r="A5310" s="56">
        <v>5307.0</v>
      </c>
      <c r="B5310" s="240"/>
      <c r="C5310" s="69" t="s">
        <v>21342</v>
      </c>
      <c r="D5310" s="71"/>
      <c r="E5310" s="68" t="s">
        <v>21343</v>
      </c>
      <c r="F5310" s="76">
        <v>43307.0</v>
      </c>
      <c r="G5310" s="68" t="s">
        <v>21344</v>
      </c>
      <c r="H5310" s="71"/>
      <c r="I5310" s="71"/>
      <c r="J5310" s="68" t="s">
        <v>21345</v>
      </c>
      <c r="K5310" s="76">
        <v>43330.0</v>
      </c>
      <c r="L5310" s="68" t="s">
        <v>2743</v>
      </c>
      <c r="M5310" s="68" t="s">
        <v>18777</v>
      </c>
      <c r="N5310" s="116"/>
      <c r="O5310" s="51"/>
    </row>
    <row r="5311">
      <c r="A5311" s="56">
        <v>5308.0</v>
      </c>
      <c r="B5311" s="241"/>
      <c r="C5311" s="64" t="s">
        <v>21346</v>
      </c>
      <c r="D5311" s="66"/>
      <c r="E5311" s="63" t="s">
        <v>21347</v>
      </c>
      <c r="F5311" s="70">
        <v>43342.0</v>
      </c>
      <c r="G5311" s="80" t="s">
        <v>21348</v>
      </c>
      <c r="H5311" s="82"/>
      <c r="I5311" s="66"/>
      <c r="J5311" s="63" t="s">
        <v>21349</v>
      </c>
      <c r="K5311" s="70">
        <v>43330.0</v>
      </c>
      <c r="L5311" s="63" t="s">
        <v>2743</v>
      </c>
      <c r="M5311" s="63" t="s">
        <v>143</v>
      </c>
      <c r="N5311" s="116"/>
      <c r="O5311" s="51"/>
    </row>
    <row r="5312">
      <c r="A5312" s="56">
        <v>5309.0</v>
      </c>
      <c r="B5312" s="240"/>
      <c r="C5312" s="69" t="s">
        <v>21350</v>
      </c>
      <c r="D5312" s="71"/>
      <c r="E5312" s="68" t="s">
        <v>21351</v>
      </c>
      <c r="F5312" s="76">
        <v>43243.0</v>
      </c>
      <c r="G5312" s="68" t="s">
        <v>21352</v>
      </c>
      <c r="H5312" s="71"/>
      <c r="I5312" s="68" t="s">
        <v>21353</v>
      </c>
      <c r="J5312" s="68" t="s">
        <v>21354</v>
      </c>
      <c r="K5312" s="76">
        <v>43330.0</v>
      </c>
      <c r="L5312" s="68" t="s">
        <v>2743</v>
      </c>
      <c r="M5312" s="68" t="s">
        <v>2291</v>
      </c>
      <c r="N5312" s="116"/>
      <c r="O5312" s="51"/>
    </row>
    <row r="5313">
      <c r="A5313" s="56">
        <v>5310.0</v>
      </c>
      <c r="B5313" s="241"/>
      <c r="C5313" s="64" t="s">
        <v>21355</v>
      </c>
      <c r="D5313" s="66"/>
      <c r="E5313" s="63" t="s">
        <v>21356</v>
      </c>
      <c r="F5313" s="70">
        <v>40725.0</v>
      </c>
      <c r="G5313" s="80" t="s">
        <v>21357</v>
      </c>
      <c r="H5313" s="82"/>
      <c r="I5313" s="66"/>
      <c r="J5313" s="63" t="s">
        <v>136</v>
      </c>
      <c r="K5313" s="70">
        <v>43330.0</v>
      </c>
      <c r="L5313" s="63" t="s">
        <v>2743</v>
      </c>
      <c r="M5313" s="63" t="s">
        <v>166</v>
      </c>
      <c r="N5313" s="116"/>
      <c r="O5313" s="51"/>
    </row>
    <row r="5314">
      <c r="A5314" s="56">
        <v>5311.0</v>
      </c>
      <c r="B5314" s="241"/>
      <c r="C5314" s="64" t="s">
        <v>21358</v>
      </c>
      <c r="D5314" s="66"/>
      <c r="E5314" s="63" t="s">
        <v>21359</v>
      </c>
      <c r="F5314" s="70">
        <v>41108.0</v>
      </c>
      <c r="G5314" s="80" t="s">
        <v>21360</v>
      </c>
      <c r="H5314" s="80">
        <v>5422.0</v>
      </c>
      <c r="I5314" s="66"/>
      <c r="J5314" s="63" t="s">
        <v>136</v>
      </c>
      <c r="K5314" s="70">
        <v>43339.0</v>
      </c>
      <c r="L5314" s="63" t="s">
        <v>20329</v>
      </c>
      <c r="M5314" s="63" t="s">
        <v>195</v>
      </c>
      <c r="N5314" s="116"/>
      <c r="O5314" s="51"/>
    </row>
    <row r="5315">
      <c r="A5315" s="75">
        <v>5312.0</v>
      </c>
      <c r="B5315" s="240"/>
      <c r="C5315" s="69" t="s">
        <v>21361</v>
      </c>
      <c r="D5315" s="71"/>
      <c r="E5315" s="68" t="s">
        <v>21362</v>
      </c>
      <c r="F5315" s="76">
        <v>43159.0</v>
      </c>
      <c r="G5315" s="68" t="s">
        <v>21363</v>
      </c>
      <c r="H5315" s="71"/>
      <c r="I5315" s="71"/>
      <c r="J5315" s="68" t="s">
        <v>21364</v>
      </c>
      <c r="K5315" s="76">
        <v>43339.0</v>
      </c>
      <c r="L5315" s="68" t="s">
        <v>2743</v>
      </c>
      <c r="M5315" s="68" t="s">
        <v>166</v>
      </c>
      <c r="N5315" s="116"/>
      <c r="O5315" s="51"/>
    </row>
    <row r="5316">
      <c r="A5316" s="56">
        <v>5313.0</v>
      </c>
      <c r="B5316" s="240"/>
      <c r="C5316" s="69" t="s">
        <v>21365</v>
      </c>
      <c r="D5316" s="71"/>
      <c r="E5316" s="68" t="s">
        <v>21366</v>
      </c>
      <c r="F5316" s="76">
        <v>43072.0</v>
      </c>
      <c r="G5316" s="68" t="s">
        <v>21367</v>
      </c>
      <c r="H5316" s="71"/>
      <c r="I5316" s="71"/>
      <c r="J5316" s="68" t="s">
        <v>21368</v>
      </c>
      <c r="K5316" s="76">
        <v>43339.0</v>
      </c>
      <c r="L5316" s="68" t="s">
        <v>2743</v>
      </c>
      <c r="M5316" s="68" t="s">
        <v>31</v>
      </c>
      <c r="N5316" s="116"/>
      <c r="O5316" s="51"/>
    </row>
    <row r="5317">
      <c r="A5317" s="56">
        <v>5314.0</v>
      </c>
      <c r="B5317" s="240"/>
      <c r="C5317" s="69" t="s">
        <v>21369</v>
      </c>
      <c r="D5317" s="71"/>
      <c r="E5317" s="68" t="s">
        <v>21370</v>
      </c>
      <c r="F5317" s="76">
        <v>42859.0</v>
      </c>
      <c r="G5317" s="68" t="s">
        <v>21371</v>
      </c>
      <c r="H5317" s="71"/>
      <c r="I5317" s="68" t="s">
        <v>21372</v>
      </c>
      <c r="J5317" s="87" t="s">
        <v>21373</v>
      </c>
      <c r="K5317" s="76">
        <v>43339.0</v>
      </c>
      <c r="L5317" s="68" t="s">
        <v>2743</v>
      </c>
      <c r="M5317" s="68" t="s">
        <v>18576</v>
      </c>
      <c r="N5317" s="116"/>
      <c r="O5317" s="51"/>
    </row>
    <row r="5318">
      <c r="A5318" s="75">
        <v>5315.0</v>
      </c>
      <c r="B5318" s="240"/>
      <c r="C5318" s="69" t="s">
        <v>21374</v>
      </c>
      <c r="D5318" s="71"/>
      <c r="E5318" s="68" t="s">
        <v>21375</v>
      </c>
      <c r="F5318" s="76">
        <v>42853.0</v>
      </c>
      <c r="G5318" s="68" t="s">
        <v>21376</v>
      </c>
      <c r="H5318" s="68" t="s">
        <v>21377</v>
      </c>
      <c r="I5318" s="71"/>
      <c r="J5318" s="68" t="s">
        <v>13683</v>
      </c>
      <c r="K5318" s="76">
        <v>43339.0</v>
      </c>
      <c r="L5318" s="68" t="s">
        <v>2743</v>
      </c>
      <c r="M5318" s="68" t="s">
        <v>125</v>
      </c>
      <c r="N5318" s="116"/>
      <c r="O5318" s="51"/>
    </row>
    <row r="5319">
      <c r="A5319" s="56">
        <v>5316.0</v>
      </c>
      <c r="B5319" s="240"/>
      <c r="C5319" s="69" t="s">
        <v>21378</v>
      </c>
      <c r="D5319" s="71"/>
      <c r="E5319" s="68" t="s">
        <v>21379</v>
      </c>
      <c r="F5319" s="76">
        <v>42768.0</v>
      </c>
      <c r="G5319" s="68" t="s">
        <v>21380</v>
      </c>
      <c r="H5319" s="71"/>
      <c r="I5319" s="71"/>
      <c r="J5319" s="68" t="s">
        <v>21381</v>
      </c>
      <c r="K5319" s="76">
        <v>43339.0</v>
      </c>
      <c r="L5319" s="68" t="s">
        <v>2743</v>
      </c>
      <c r="M5319" s="68" t="s">
        <v>4749</v>
      </c>
      <c r="N5319" s="116"/>
      <c r="O5319" s="51"/>
    </row>
    <row r="5320">
      <c r="A5320" s="56">
        <v>5317.0</v>
      </c>
      <c r="B5320" s="240"/>
      <c r="C5320" s="69" t="s">
        <v>21382</v>
      </c>
      <c r="D5320" s="71"/>
      <c r="E5320" s="68" t="s">
        <v>21383</v>
      </c>
      <c r="F5320" s="76">
        <v>42768.0</v>
      </c>
      <c r="G5320" s="68" t="s">
        <v>21380</v>
      </c>
      <c r="H5320" s="71"/>
      <c r="I5320" s="71"/>
      <c r="J5320" s="87" t="s">
        <v>21384</v>
      </c>
      <c r="K5320" s="76">
        <v>43339.0</v>
      </c>
      <c r="L5320" s="68" t="s">
        <v>2743</v>
      </c>
      <c r="M5320" s="68" t="s">
        <v>4749</v>
      </c>
      <c r="N5320" s="116"/>
      <c r="O5320" s="51"/>
    </row>
    <row r="5321">
      <c r="A5321" s="75">
        <v>5318.0</v>
      </c>
      <c r="B5321" s="240"/>
      <c r="C5321" s="69" t="s">
        <v>21385</v>
      </c>
      <c r="D5321" s="71"/>
      <c r="E5321" s="68" t="s">
        <v>21386</v>
      </c>
      <c r="F5321" s="76">
        <v>40360.0</v>
      </c>
      <c r="G5321" s="68" t="s">
        <v>21387</v>
      </c>
      <c r="H5321" s="71"/>
      <c r="I5321" s="71"/>
      <c r="J5321" s="68" t="s">
        <v>21388</v>
      </c>
      <c r="K5321" s="76">
        <v>43341.0</v>
      </c>
      <c r="L5321" s="68" t="s">
        <v>2743</v>
      </c>
      <c r="M5321" s="68" t="s">
        <v>2466</v>
      </c>
      <c r="N5321" s="116"/>
      <c r="O5321" s="51"/>
    </row>
    <row r="5322">
      <c r="A5322" s="75">
        <v>5319.0</v>
      </c>
      <c r="B5322" s="240"/>
      <c r="C5322" s="69" t="s">
        <v>21389</v>
      </c>
      <c r="D5322" s="71"/>
      <c r="E5322" s="68" t="s">
        <v>21390</v>
      </c>
      <c r="F5322" s="76">
        <v>40360.0</v>
      </c>
      <c r="G5322" s="68" t="s">
        <v>21387</v>
      </c>
      <c r="H5322" s="71"/>
      <c r="I5322" s="71"/>
      <c r="J5322" s="68" t="s">
        <v>21391</v>
      </c>
      <c r="K5322" s="76">
        <v>43341.0</v>
      </c>
      <c r="L5322" s="68" t="s">
        <v>2743</v>
      </c>
      <c r="M5322" s="68" t="s">
        <v>941</v>
      </c>
      <c r="N5322" s="116"/>
      <c r="O5322" s="51"/>
    </row>
    <row r="5323">
      <c r="A5323" s="56">
        <v>5320.0</v>
      </c>
      <c r="B5323" s="240"/>
      <c r="C5323" s="69" t="s">
        <v>21392</v>
      </c>
      <c r="D5323" s="71"/>
      <c r="E5323" s="68" t="s">
        <v>21393</v>
      </c>
      <c r="F5323" s="76">
        <v>42275.0</v>
      </c>
      <c r="G5323" s="68" t="s">
        <v>21394</v>
      </c>
      <c r="H5323" s="71"/>
      <c r="I5323" s="71"/>
      <c r="J5323" s="68" t="s">
        <v>21395</v>
      </c>
      <c r="K5323" s="76">
        <v>43341.0</v>
      </c>
      <c r="L5323" s="68" t="s">
        <v>2743</v>
      </c>
      <c r="M5323" s="68" t="s">
        <v>166</v>
      </c>
      <c r="N5323" s="116"/>
      <c r="O5323" s="51"/>
    </row>
    <row r="5324">
      <c r="A5324" s="56">
        <v>5321.0</v>
      </c>
      <c r="B5324" s="241"/>
      <c r="C5324" s="64" t="s">
        <v>21396</v>
      </c>
      <c r="D5324" s="66"/>
      <c r="E5324" s="63" t="s">
        <v>21397</v>
      </c>
      <c r="F5324" s="70">
        <v>42965.0</v>
      </c>
      <c r="G5324" s="80" t="s">
        <v>21398</v>
      </c>
      <c r="H5324" s="82"/>
      <c r="I5324" s="66"/>
      <c r="J5324" s="63" t="s">
        <v>5653</v>
      </c>
      <c r="K5324" s="70">
        <v>43341.0</v>
      </c>
      <c r="L5324" s="63" t="s">
        <v>2743</v>
      </c>
      <c r="M5324" s="63" t="s">
        <v>166</v>
      </c>
      <c r="N5324" s="116"/>
      <c r="O5324" s="51"/>
    </row>
    <row r="5325">
      <c r="A5325" s="56">
        <v>5322.0</v>
      </c>
      <c r="B5325" s="240"/>
      <c r="C5325" s="69" t="s">
        <v>21399</v>
      </c>
      <c r="D5325" s="71"/>
      <c r="E5325" s="68" t="s">
        <v>21400</v>
      </c>
      <c r="F5325" s="76">
        <v>42469.0</v>
      </c>
      <c r="G5325" s="68" t="s">
        <v>21401</v>
      </c>
      <c r="H5325" s="71"/>
      <c r="I5325" s="71"/>
      <c r="J5325" s="68" t="s">
        <v>21402</v>
      </c>
      <c r="K5325" s="76">
        <v>43341.0</v>
      </c>
      <c r="L5325" s="68" t="s">
        <v>2743</v>
      </c>
      <c r="M5325" s="68" t="s">
        <v>2152</v>
      </c>
      <c r="N5325" s="116"/>
      <c r="O5325" s="51"/>
    </row>
    <row r="5326">
      <c r="A5326" s="56">
        <v>5323.0</v>
      </c>
      <c r="B5326" s="240"/>
      <c r="C5326" s="69" t="s">
        <v>21403</v>
      </c>
      <c r="D5326" s="71"/>
      <c r="E5326" s="68" t="s">
        <v>21404</v>
      </c>
      <c r="F5326" s="76">
        <v>42997.0</v>
      </c>
      <c r="G5326" s="68" t="s">
        <v>21405</v>
      </c>
      <c r="H5326" s="71"/>
      <c r="I5326" s="71"/>
      <c r="J5326" s="68" t="s">
        <v>21406</v>
      </c>
      <c r="K5326" s="76">
        <v>43342.0</v>
      </c>
      <c r="L5326" s="68" t="s">
        <v>2743</v>
      </c>
      <c r="M5326" s="68" t="s">
        <v>143</v>
      </c>
      <c r="N5326" s="116"/>
      <c r="O5326" s="51"/>
    </row>
    <row r="5327">
      <c r="A5327" s="56">
        <v>5324.0</v>
      </c>
      <c r="B5327" s="241"/>
      <c r="C5327" s="64" t="s">
        <v>21407</v>
      </c>
      <c r="D5327" s="66"/>
      <c r="E5327" s="63" t="s">
        <v>21408</v>
      </c>
      <c r="F5327" s="70">
        <v>40791.0</v>
      </c>
      <c r="G5327" s="80" t="s">
        <v>21409</v>
      </c>
      <c r="H5327" s="80" t="s">
        <v>21410</v>
      </c>
      <c r="I5327" s="66"/>
      <c r="J5327" s="63" t="s">
        <v>5679</v>
      </c>
      <c r="K5327" s="70">
        <v>43342.0</v>
      </c>
      <c r="L5327" s="63" t="s">
        <v>2743</v>
      </c>
      <c r="M5327" s="63" t="s">
        <v>125</v>
      </c>
      <c r="N5327" s="116"/>
      <c r="O5327" s="51"/>
    </row>
    <row r="5328">
      <c r="A5328" s="56">
        <v>5325.0</v>
      </c>
      <c r="B5328" s="240"/>
      <c r="C5328" s="69" t="s">
        <v>21411</v>
      </c>
      <c r="D5328" s="71"/>
      <c r="E5328" s="68" t="s">
        <v>21412</v>
      </c>
      <c r="F5328" s="76">
        <v>42960.0</v>
      </c>
      <c r="G5328" s="68" t="s">
        <v>21413</v>
      </c>
      <c r="H5328" s="68" t="s">
        <v>21414</v>
      </c>
      <c r="I5328" s="68" t="s">
        <v>21415</v>
      </c>
      <c r="J5328" s="68" t="s">
        <v>21416</v>
      </c>
      <c r="K5328" s="76">
        <v>43342.0</v>
      </c>
      <c r="L5328" s="68" t="s">
        <v>2743</v>
      </c>
      <c r="M5328" s="68" t="s">
        <v>2152</v>
      </c>
      <c r="N5328" s="116"/>
      <c r="O5328" s="51"/>
    </row>
    <row r="5329">
      <c r="A5329" s="56">
        <v>5326.0</v>
      </c>
      <c r="B5329" s="240"/>
      <c r="C5329" s="69" t="s">
        <v>21417</v>
      </c>
      <c r="D5329" s="71"/>
      <c r="E5329" s="68" t="s">
        <v>21418</v>
      </c>
      <c r="F5329" s="76">
        <v>42939.0</v>
      </c>
      <c r="G5329" s="68" t="s">
        <v>21419</v>
      </c>
      <c r="H5329" s="71"/>
      <c r="I5329" s="71"/>
      <c r="J5329" s="68" t="s">
        <v>21420</v>
      </c>
      <c r="K5329" s="76">
        <v>43342.0</v>
      </c>
      <c r="L5329" s="68" t="s">
        <v>2743</v>
      </c>
      <c r="M5329" s="68" t="s">
        <v>195</v>
      </c>
      <c r="N5329" s="116"/>
      <c r="O5329" s="51"/>
    </row>
    <row r="5330">
      <c r="A5330" s="56">
        <v>5327.0</v>
      </c>
      <c r="B5330" s="240"/>
      <c r="C5330" s="69" t="s">
        <v>21421</v>
      </c>
      <c r="D5330" s="71"/>
      <c r="E5330" s="68" t="s">
        <v>21422</v>
      </c>
      <c r="F5330" s="76">
        <v>43077.0</v>
      </c>
      <c r="G5330" s="68" t="s">
        <v>21423</v>
      </c>
      <c r="H5330" s="71"/>
      <c r="I5330" s="71"/>
      <c r="J5330" s="68" t="s">
        <v>21424</v>
      </c>
      <c r="K5330" s="76">
        <v>43342.0</v>
      </c>
      <c r="L5330" s="68" t="s">
        <v>2743</v>
      </c>
      <c r="M5330" s="68" t="s">
        <v>195</v>
      </c>
      <c r="N5330" s="116"/>
      <c r="O5330" s="51"/>
    </row>
    <row r="5331">
      <c r="A5331" s="56">
        <v>5328.0</v>
      </c>
      <c r="B5331" s="240"/>
      <c r="C5331" s="69" t="s">
        <v>21425</v>
      </c>
      <c r="D5331" s="71"/>
      <c r="E5331" s="68" t="s">
        <v>21426</v>
      </c>
      <c r="F5331" s="76">
        <v>43101.0</v>
      </c>
      <c r="G5331" s="68" t="s">
        <v>21427</v>
      </c>
      <c r="H5331" s="68" t="s">
        <v>21428</v>
      </c>
      <c r="I5331" s="71"/>
      <c r="J5331" s="68" t="s">
        <v>21429</v>
      </c>
      <c r="K5331" s="76">
        <v>43342.0</v>
      </c>
      <c r="L5331" s="68" t="s">
        <v>2743</v>
      </c>
      <c r="M5331" s="68" t="s">
        <v>195</v>
      </c>
      <c r="N5331" s="264" t="s">
        <v>21430</v>
      </c>
      <c r="O5331" s="51"/>
    </row>
    <row r="5332">
      <c r="A5332" s="75">
        <v>5329.0</v>
      </c>
      <c r="B5332" s="240"/>
      <c r="C5332" s="69" t="s">
        <v>21431</v>
      </c>
      <c r="D5332" s="71"/>
      <c r="E5332" s="68" t="s">
        <v>21432</v>
      </c>
      <c r="F5332" s="76">
        <v>41821.0</v>
      </c>
      <c r="G5332" s="68" t="s">
        <v>21433</v>
      </c>
      <c r="H5332" s="71"/>
      <c r="I5332" s="71"/>
      <c r="J5332" s="68" t="s">
        <v>5369</v>
      </c>
      <c r="K5332" s="76">
        <v>43342.0</v>
      </c>
      <c r="L5332" s="68" t="s">
        <v>2743</v>
      </c>
      <c r="M5332" s="68" t="s">
        <v>2152</v>
      </c>
      <c r="N5332" s="264" t="s">
        <v>21434</v>
      </c>
      <c r="O5332" s="51"/>
    </row>
    <row r="5333">
      <c r="A5333" s="56">
        <v>5330.0</v>
      </c>
      <c r="B5333" s="241"/>
      <c r="C5333" s="64" t="s">
        <v>21435</v>
      </c>
      <c r="D5333" s="66"/>
      <c r="E5333" s="63" t="s">
        <v>21436</v>
      </c>
      <c r="F5333" s="70">
        <v>43009.0</v>
      </c>
      <c r="G5333" s="80" t="s">
        <v>21437</v>
      </c>
      <c r="H5333" s="82"/>
      <c r="I5333" s="66"/>
      <c r="J5333" s="63" t="s">
        <v>5679</v>
      </c>
      <c r="K5333" s="70">
        <v>43346.0</v>
      </c>
      <c r="L5333" s="63" t="s">
        <v>2743</v>
      </c>
      <c r="M5333" s="63" t="s">
        <v>4749</v>
      </c>
      <c r="N5333" s="116"/>
      <c r="O5333" s="51"/>
    </row>
    <row r="5334">
      <c r="A5334" s="56">
        <v>5331.0</v>
      </c>
      <c r="B5334" s="240"/>
      <c r="C5334" s="69" t="s">
        <v>21438</v>
      </c>
      <c r="D5334" s="71"/>
      <c r="E5334" s="68" t="s">
        <v>21439</v>
      </c>
      <c r="F5334" s="76">
        <v>43332.0</v>
      </c>
      <c r="G5334" s="68" t="s">
        <v>21440</v>
      </c>
      <c r="H5334" s="71"/>
      <c r="I5334" s="71"/>
      <c r="J5334" s="87" t="s">
        <v>21441</v>
      </c>
      <c r="K5334" s="76">
        <v>43346.0</v>
      </c>
      <c r="L5334" s="68" t="s">
        <v>2743</v>
      </c>
      <c r="M5334" s="68" t="s">
        <v>149</v>
      </c>
      <c r="N5334" s="116"/>
      <c r="O5334" s="51"/>
    </row>
    <row r="5335">
      <c r="A5335" s="56">
        <v>5332.0</v>
      </c>
      <c r="B5335" s="241"/>
      <c r="C5335" s="64" t="s">
        <v>21442</v>
      </c>
      <c r="D5335" s="66"/>
      <c r="E5335" s="63" t="s">
        <v>21443</v>
      </c>
      <c r="F5335" s="70">
        <v>42840.0</v>
      </c>
      <c r="G5335" s="80" t="s">
        <v>21444</v>
      </c>
      <c r="H5335" s="82"/>
      <c r="I5335" s="63" t="s">
        <v>21445</v>
      </c>
      <c r="J5335" s="63" t="s">
        <v>7523</v>
      </c>
      <c r="K5335" s="70">
        <v>43346.0</v>
      </c>
      <c r="L5335" s="63" t="s">
        <v>2743</v>
      </c>
      <c r="M5335" s="63" t="s">
        <v>18270</v>
      </c>
      <c r="N5335" s="116"/>
      <c r="O5335" s="51"/>
    </row>
    <row r="5336">
      <c r="A5336" s="56">
        <v>5333.0</v>
      </c>
      <c r="B5336" s="241"/>
      <c r="C5336" s="64" t="s">
        <v>21446</v>
      </c>
      <c r="D5336" s="66"/>
      <c r="E5336" s="63" t="s">
        <v>21447</v>
      </c>
      <c r="F5336" s="70">
        <v>42794.0</v>
      </c>
      <c r="G5336" s="80" t="s">
        <v>21448</v>
      </c>
      <c r="H5336" s="82"/>
      <c r="I5336" s="63" t="s">
        <v>21449</v>
      </c>
      <c r="J5336" s="63" t="s">
        <v>7523</v>
      </c>
      <c r="K5336" s="70">
        <v>43346.0</v>
      </c>
      <c r="L5336" s="63" t="s">
        <v>2743</v>
      </c>
      <c r="M5336" s="63" t="s">
        <v>18270</v>
      </c>
      <c r="N5336" s="116"/>
      <c r="O5336" s="51"/>
    </row>
    <row r="5337">
      <c r="A5337" s="56">
        <v>5334.0</v>
      </c>
      <c r="B5337" s="241"/>
      <c r="C5337" s="64" t="s">
        <v>21450</v>
      </c>
      <c r="D5337" s="66"/>
      <c r="E5337" s="63" t="s">
        <v>20027</v>
      </c>
      <c r="F5337" s="70">
        <v>40042.0</v>
      </c>
      <c r="G5337" s="80" t="s">
        <v>20028</v>
      </c>
      <c r="H5337" s="82"/>
      <c r="I5337" s="66"/>
      <c r="J5337" s="63" t="s">
        <v>5679</v>
      </c>
      <c r="K5337" s="70">
        <v>43346.0</v>
      </c>
      <c r="L5337" s="63" t="s">
        <v>2743</v>
      </c>
      <c r="M5337" s="63" t="s">
        <v>530</v>
      </c>
      <c r="N5337" s="116"/>
      <c r="O5337" s="51"/>
    </row>
    <row r="5338">
      <c r="A5338" s="56">
        <v>5335.0</v>
      </c>
      <c r="B5338" s="240"/>
      <c r="C5338" s="69" t="s">
        <v>21451</v>
      </c>
      <c r="D5338" s="71"/>
      <c r="E5338" s="68" t="s">
        <v>21452</v>
      </c>
      <c r="F5338" s="76">
        <v>43227.0</v>
      </c>
      <c r="G5338" s="68" t="s">
        <v>21453</v>
      </c>
      <c r="H5338" s="71"/>
      <c r="I5338" s="71"/>
      <c r="J5338" s="68" t="s">
        <v>21454</v>
      </c>
      <c r="K5338" s="76">
        <v>43346.0</v>
      </c>
      <c r="L5338" s="68" t="s">
        <v>2743</v>
      </c>
      <c r="M5338" s="68" t="s">
        <v>3012</v>
      </c>
      <c r="N5338" s="116"/>
      <c r="O5338" s="51"/>
    </row>
    <row r="5339">
      <c r="A5339" s="56">
        <v>5336.0</v>
      </c>
      <c r="B5339" s="240"/>
      <c r="C5339" s="69" t="s">
        <v>21455</v>
      </c>
      <c r="D5339" s="71"/>
      <c r="E5339" s="68" t="s">
        <v>21456</v>
      </c>
      <c r="F5339" s="76">
        <v>42583.0</v>
      </c>
      <c r="G5339" s="68" t="s">
        <v>21457</v>
      </c>
      <c r="H5339" s="71"/>
      <c r="I5339" s="71"/>
      <c r="J5339" s="68" t="s">
        <v>21458</v>
      </c>
      <c r="K5339" s="76">
        <v>43348.0</v>
      </c>
      <c r="L5339" s="68" t="s">
        <v>2743</v>
      </c>
      <c r="M5339" s="68" t="s">
        <v>195</v>
      </c>
      <c r="N5339" s="116"/>
      <c r="O5339" s="51"/>
    </row>
    <row r="5340">
      <c r="A5340" s="56">
        <v>5337.0</v>
      </c>
      <c r="B5340" s="240"/>
      <c r="C5340" s="69" t="s">
        <v>21459</v>
      </c>
      <c r="D5340" s="71"/>
      <c r="E5340" s="68" t="s">
        <v>21460</v>
      </c>
      <c r="F5340" s="76">
        <v>43314.0</v>
      </c>
      <c r="G5340" s="68" t="s">
        <v>21461</v>
      </c>
      <c r="H5340" s="71"/>
      <c r="I5340" s="68" t="s">
        <v>21462</v>
      </c>
      <c r="J5340" s="68" t="s">
        <v>21463</v>
      </c>
      <c r="K5340" s="76">
        <v>43348.0</v>
      </c>
      <c r="L5340" s="68" t="s">
        <v>19825</v>
      </c>
      <c r="M5340" s="68" t="s">
        <v>149</v>
      </c>
      <c r="N5340" s="116"/>
      <c r="O5340" s="51"/>
    </row>
    <row r="5341">
      <c r="A5341" s="56">
        <v>5338.0</v>
      </c>
      <c r="B5341" s="240"/>
      <c r="C5341" s="69" t="s">
        <v>21464</v>
      </c>
      <c r="D5341" s="71"/>
      <c r="E5341" s="68" t="s">
        <v>21465</v>
      </c>
      <c r="F5341" s="76">
        <v>43123.0</v>
      </c>
      <c r="G5341" s="68" t="s">
        <v>21466</v>
      </c>
      <c r="H5341" s="71"/>
      <c r="I5341" s="71"/>
      <c r="J5341" s="68" t="s">
        <v>21467</v>
      </c>
      <c r="K5341" s="76">
        <v>43348.0</v>
      </c>
      <c r="L5341" s="68" t="s">
        <v>2743</v>
      </c>
      <c r="M5341" s="68" t="s">
        <v>166</v>
      </c>
      <c r="N5341" s="116"/>
      <c r="O5341" s="51"/>
    </row>
    <row r="5342">
      <c r="A5342" s="75">
        <v>5339.0</v>
      </c>
      <c r="B5342" s="240"/>
      <c r="C5342" s="69" t="s">
        <v>21468</v>
      </c>
      <c r="D5342" s="71"/>
      <c r="E5342" s="68" t="s">
        <v>21469</v>
      </c>
      <c r="F5342" s="76">
        <v>42598.0</v>
      </c>
      <c r="G5342" s="68" t="s">
        <v>21470</v>
      </c>
      <c r="H5342" s="71"/>
      <c r="I5342" s="71"/>
      <c r="J5342" s="68" t="s">
        <v>21471</v>
      </c>
      <c r="K5342" s="76">
        <v>43349.0</v>
      </c>
      <c r="L5342" s="68" t="s">
        <v>16185</v>
      </c>
      <c r="M5342" s="68" t="s">
        <v>166</v>
      </c>
      <c r="N5342" s="116"/>
      <c r="O5342" s="51"/>
    </row>
    <row r="5343">
      <c r="A5343" s="56">
        <v>5340.0</v>
      </c>
      <c r="B5343" s="240"/>
      <c r="C5343" s="69" t="s">
        <v>21472</v>
      </c>
      <c r="D5343" s="71"/>
      <c r="E5343" s="68" t="s">
        <v>21473</v>
      </c>
      <c r="F5343" s="76">
        <v>42852.0</v>
      </c>
      <c r="G5343" s="68" t="s">
        <v>21474</v>
      </c>
      <c r="H5343" s="71"/>
      <c r="I5343" s="71"/>
      <c r="J5343" s="87" t="s">
        <v>21475</v>
      </c>
      <c r="K5343" s="76">
        <v>43349.0</v>
      </c>
      <c r="L5343" s="68" t="s">
        <v>16185</v>
      </c>
      <c r="M5343" s="68" t="s">
        <v>201</v>
      </c>
      <c r="N5343" s="116"/>
      <c r="O5343" s="51"/>
    </row>
    <row r="5344">
      <c r="A5344" s="56">
        <v>5341.0</v>
      </c>
      <c r="B5344" s="240"/>
      <c r="C5344" s="69" t="s">
        <v>21476</v>
      </c>
      <c r="D5344" s="71"/>
      <c r="E5344" s="68" t="s">
        <v>21477</v>
      </c>
      <c r="F5344" s="83">
        <v>43018.0</v>
      </c>
      <c r="G5344" s="68" t="s">
        <v>21478</v>
      </c>
      <c r="H5344" s="71"/>
      <c r="I5344" s="71"/>
      <c r="J5344" s="68" t="s">
        <v>21479</v>
      </c>
      <c r="K5344" s="76">
        <v>43349.0</v>
      </c>
      <c r="L5344" s="68" t="s">
        <v>16185</v>
      </c>
      <c r="M5344" s="68" t="s">
        <v>27</v>
      </c>
      <c r="N5344" s="116"/>
      <c r="O5344" s="51"/>
    </row>
    <row r="5345">
      <c r="A5345" s="56">
        <v>5342.0</v>
      </c>
      <c r="B5345" s="240"/>
      <c r="C5345" s="69" t="s">
        <v>21480</v>
      </c>
      <c r="D5345" s="71"/>
      <c r="E5345" s="68" t="s">
        <v>21481</v>
      </c>
      <c r="F5345" s="76">
        <v>42158.0</v>
      </c>
      <c r="G5345" s="68" t="s">
        <v>21482</v>
      </c>
      <c r="H5345" s="71"/>
      <c r="I5345" s="71"/>
      <c r="J5345" s="68" t="s">
        <v>21483</v>
      </c>
      <c r="K5345" s="76">
        <v>43349.0</v>
      </c>
      <c r="L5345" s="68" t="s">
        <v>2743</v>
      </c>
      <c r="M5345" s="68" t="s">
        <v>166</v>
      </c>
      <c r="N5345" s="116"/>
      <c r="O5345" s="51"/>
    </row>
    <row r="5346">
      <c r="A5346" s="75">
        <v>5343.0</v>
      </c>
      <c r="B5346" s="240"/>
      <c r="C5346" s="69" t="s">
        <v>21484</v>
      </c>
      <c r="D5346" s="71"/>
      <c r="E5346" s="68" t="s">
        <v>21485</v>
      </c>
      <c r="F5346" s="76">
        <v>42937.0</v>
      </c>
      <c r="G5346" s="68" t="s">
        <v>21486</v>
      </c>
      <c r="H5346" s="71"/>
      <c r="I5346" s="71"/>
      <c r="J5346" s="68" t="s">
        <v>21487</v>
      </c>
      <c r="K5346" s="76">
        <v>43349.0</v>
      </c>
      <c r="L5346" s="68" t="s">
        <v>2743</v>
      </c>
      <c r="M5346" s="68" t="s">
        <v>195</v>
      </c>
      <c r="N5346" s="116"/>
      <c r="O5346" s="51"/>
    </row>
    <row r="5347">
      <c r="A5347" s="56">
        <v>5344.0</v>
      </c>
      <c r="B5347" s="241"/>
      <c r="C5347" s="64" t="s">
        <v>21488</v>
      </c>
      <c r="D5347" s="66"/>
      <c r="E5347" s="63" t="s">
        <v>21489</v>
      </c>
      <c r="F5347" s="70">
        <v>41821.0</v>
      </c>
      <c r="G5347" s="80" t="s">
        <v>21490</v>
      </c>
      <c r="H5347" s="80" t="s">
        <v>439</v>
      </c>
      <c r="I5347" s="66"/>
      <c r="J5347" s="63" t="s">
        <v>6393</v>
      </c>
      <c r="K5347" s="70">
        <v>43349.0</v>
      </c>
      <c r="L5347" s="63" t="s">
        <v>2743</v>
      </c>
      <c r="M5347" s="63" t="s">
        <v>6875</v>
      </c>
      <c r="N5347" s="116"/>
      <c r="O5347" s="51"/>
    </row>
    <row r="5348">
      <c r="A5348" s="56">
        <v>5345.0</v>
      </c>
      <c r="B5348" s="241"/>
      <c r="C5348" s="64" t="s">
        <v>21491</v>
      </c>
      <c r="D5348" s="66"/>
      <c r="E5348" s="63" t="s">
        <v>21492</v>
      </c>
      <c r="F5348" s="65">
        <v>41922.0</v>
      </c>
      <c r="G5348" s="80" t="s">
        <v>21493</v>
      </c>
      <c r="H5348" s="82"/>
      <c r="I5348" s="66"/>
      <c r="J5348" s="63" t="s">
        <v>6393</v>
      </c>
      <c r="K5348" s="70">
        <v>43349.0</v>
      </c>
      <c r="L5348" s="63" t="s">
        <v>2743</v>
      </c>
      <c r="M5348" s="63" t="s">
        <v>195</v>
      </c>
      <c r="N5348" s="116"/>
      <c r="O5348" s="51"/>
    </row>
    <row r="5349">
      <c r="A5349" s="56">
        <v>5346.0</v>
      </c>
      <c r="B5349" s="246"/>
      <c r="C5349" s="58" t="s">
        <v>21494</v>
      </c>
      <c r="D5349" s="60"/>
      <c r="E5349" s="57" t="s">
        <v>21495</v>
      </c>
      <c r="F5349" s="59">
        <v>41893.0</v>
      </c>
      <c r="G5349" s="57" t="s">
        <v>21496</v>
      </c>
      <c r="H5349" s="60"/>
      <c r="I5349" s="60"/>
      <c r="J5349" s="57" t="s">
        <v>21497</v>
      </c>
      <c r="K5349" s="59">
        <v>43349.0</v>
      </c>
      <c r="L5349" s="57" t="s">
        <v>2743</v>
      </c>
      <c r="M5349" s="57" t="s">
        <v>1516</v>
      </c>
      <c r="N5349" s="90"/>
      <c r="O5349" s="51"/>
    </row>
    <row r="5350">
      <c r="A5350" s="56">
        <v>5347.0</v>
      </c>
      <c r="B5350" s="240"/>
      <c r="C5350" s="69" t="s">
        <v>21498</v>
      </c>
      <c r="D5350" s="71"/>
      <c r="E5350" s="68" t="s">
        <v>21499</v>
      </c>
      <c r="F5350" s="76">
        <v>42761.0</v>
      </c>
      <c r="G5350" s="68" t="s">
        <v>21500</v>
      </c>
      <c r="H5350" s="71"/>
      <c r="I5350" s="71"/>
      <c r="J5350" s="87" t="s">
        <v>21501</v>
      </c>
      <c r="K5350" s="76">
        <v>43349.0</v>
      </c>
      <c r="L5350" s="68" t="s">
        <v>2743</v>
      </c>
      <c r="M5350" s="68" t="s">
        <v>4749</v>
      </c>
      <c r="N5350" s="116"/>
      <c r="O5350" s="51"/>
    </row>
    <row r="5351">
      <c r="A5351" s="75">
        <v>5348.0</v>
      </c>
      <c r="B5351" s="240"/>
      <c r="C5351" s="69" t="s">
        <v>21502</v>
      </c>
      <c r="D5351" s="71"/>
      <c r="E5351" s="68" t="s">
        <v>21503</v>
      </c>
      <c r="F5351" s="76">
        <v>39995.0</v>
      </c>
      <c r="G5351" s="68" t="s">
        <v>21504</v>
      </c>
      <c r="H5351" s="71"/>
      <c r="I5351" s="71"/>
      <c r="J5351" s="68" t="s">
        <v>1392</v>
      </c>
      <c r="K5351" s="76">
        <v>43349.0</v>
      </c>
      <c r="L5351" s="68" t="s">
        <v>2743</v>
      </c>
      <c r="M5351" s="68" t="s">
        <v>2466</v>
      </c>
      <c r="N5351" s="87" t="s">
        <v>21505</v>
      </c>
      <c r="O5351" s="51"/>
    </row>
    <row r="5352">
      <c r="A5352" s="56">
        <v>5349.0</v>
      </c>
      <c r="B5352" s="241"/>
      <c r="C5352" s="64" t="s">
        <v>21506</v>
      </c>
      <c r="D5352" s="66"/>
      <c r="E5352" s="63" t="s">
        <v>21507</v>
      </c>
      <c r="F5352" s="70">
        <v>42487.0</v>
      </c>
      <c r="G5352" s="80" t="s">
        <v>21508</v>
      </c>
      <c r="H5352" s="82"/>
      <c r="I5352" s="66"/>
      <c r="J5352" s="63" t="s">
        <v>5679</v>
      </c>
      <c r="K5352" s="70">
        <v>43349.0</v>
      </c>
      <c r="L5352" s="63" t="s">
        <v>2743</v>
      </c>
      <c r="M5352" s="63" t="s">
        <v>368</v>
      </c>
      <c r="N5352" s="116"/>
      <c r="O5352" s="51"/>
    </row>
    <row r="5353">
      <c r="A5353" s="56">
        <v>5350.0</v>
      </c>
      <c r="B5353" s="241"/>
      <c r="C5353" s="64" t="s">
        <v>21509</v>
      </c>
      <c r="D5353" s="66"/>
      <c r="E5353" s="63" t="s">
        <v>21510</v>
      </c>
      <c r="F5353" s="70">
        <v>41091.0</v>
      </c>
      <c r="G5353" s="80" t="s">
        <v>21511</v>
      </c>
      <c r="H5353" s="82"/>
      <c r="I5353" s="66"/>
      <c r="J5353" s="63" t="s">
        <v>7523</v>
      </c>
      <c r="K5353" s="70">
        <v>43353.0</v>
      </c>
      <c r="L5353" s="63" t="s">
        <v>2743</v>
      </c>
      <c r="M5353" s="63" t="s">
        <v>143</v>
      </c>
      <c r="N5353" s="116"/>
      <c r="O5353" s="51"/>
    </row>
    <row r="5354">
      <c r="A5354" s="56">
        <v>5351.0</v>
      </c>
      <c r="B5354" s="240"/>
      <c r="C5354" s="69" t="s">
        <v>21512</v>
      </c>
      <c r="D5354" s="71"/>
      <c r="E5354" s="68" t="s">
        <v>21513</v>
      </c>
      <c r="F5354" s="76">
        <v>43321.0</v>
      </c>
      <c r="G5354" s="68" t="s">
        <v>21514</v>
      </c>
      <c r="H5354" s="71"/>
      <c r="I5354" s="71"/>
      <c r="J5354" s="68" t="s">
        <v>21515</v>
      </c>
      <c r="K5354" s="76">
        <v>43353.0</v>
      </c>
      <c r="L5354" s="68" t="s">
        <v>2743</v>
      </c>
      <c r="M5354" s="68" t="s">
        <v>31</v>
      </c>
      <c r="N5354" s="116"/>
      <c r="O5354" s="51"/>
    </row>
    <row r="5355">
      <c r="A5355" s="56">
        <v>5352.0</v>
      </c>
      <c r="B5355" s="240"/>
      <c r="C5355" s="69" t="s">
        <v>21516</v>
      </c>
      <c r="D5355" s="71"/>
      <c r="E5355" s="68" t="s">
        <v>21517</v>
      </c>
      <c r="F5355" s="76">
        <v>43340.0</v>
      </c>
      <c r="G5355" s="68" t="s">
        <v>21518</v>
      </c>
      <c r="H5355" s="71"/>
      <c r="I5355" s="68" t="s">
        <v>21519</v>
      </c>
      <c r="J5355" s="68" t="s">
        <v>21520</v>
      </c>
      <c r="K5355" s="76">
        <v>43354.0</v>
      </c>
      <c r="L5355" s="68" t="s">
        <v>2743</v>
      </c>
      <c r="M5355" s="68" t="s">
        <v>31</v>
      </c>
      <c r="N5355" s="116"/>
      <c r="O5355" s="51"/>
    </row>
    <row r="5356">
      <c r="A5356" s="56">
        <v>5353.0</v>
      </c>
      <c r="B5356" s="240"/>
      <c r="C5356" s="69" t="s">
        <v>21521</v>
      </c>
      <c r="D5356" s="71"/>
      <c r="E5356" s="68" t="s">
        <v>21522</v>
      </c>
      <c r="F5356" s="76">
        <v>43129.0</v>
      </c>
      <c r="G5356" s="68" t="s">
        <v>21523</v>
      </c>
      <c r="H5356" s="71"/>
      <c r="I5356" s="71"/>
      <c r="J5356" s="68" t="s">
        <v>21524</v>
      </c>
      <c r="K5356" s="76">
        <v>43354.0</v>
      </c>
      <c r="L5356" s="68" t="s">
        <v>2743</v>
      </c>
      <c r="M5356" s="68" t="s">
        <v>31</v>
      </c>
      <c r="N5356" s="116"/>
      <c r="O5356" s="51"/>
    </row>
    <row r="5357">
      <c r="A5357" s="56">
        <v>5354.0</v>
      </c>
      <c r="B5357" s="240"/>
      <c r="C5357" s="69" t="s">
        <v>21525</v>
      </c>
      <c r="D5357" s="71"/>
      <c r="E5357" s="68" t="s">
        <v>21526</v>
      </c>
      <c r="F5357" s="68" t="s">
        <v>407</v>
      </c>
      <c r="G5357" s="68" t="s">
        <v>21527</v>
      </c>
      <c r="H5357" s="71"/>
      <c r="I5357" s="71"/>
      <c r="J5357" s="68" t="s">
        <v>21528</v>
      </c>
      <c r="K5357" s="76">
        <v>43354.0</v>
      </c>
      <c r="L5357" s="68" t="s">
        <v>2743</v>
      </c>
      <c r="M5357" s="68" t="s">
        <v>149</v>
      </c>
      <c r="N5357" s="116"/>
      <c r="O5357" s="51"/>
    </row>
    <row r="5358">
      <c r="A5358" s="56">
        <v>5355.0</v>
      </c>
      <c r="B5358" s="240"/>
      <c r="C5358" s="69" t="s">
        <v>21529</v>
      </c>
      <c r="D5358" s="71"/>
      <c r="E5358" s="68" t="s">
        <v>21530</v>
      </c>
      <c r="F5358" s="76">
        <v>43301.0</v>
      </c>
      <c r="G5358" s="68" t="s">
        <v>21531</v>
      </c>
      <c r="H5358" s="71"/>
      <c r="I5358" s="71"/>
      <c r="J5358" s="68" t="s">
        <v>21532</v>
      </c>
      <c r="K5358" s="76">
        <v>43355.0</v>
      </c>
      <c r="L5358" s="68" t="s">
        <v>2743</v>
      </c>
      <c r="M5358" s="68" t="s">
        <v>125</v>
      </c>
      <c r="N5358" s="116"/>
      <c r="O5358" s="51"/>
    </row>
    <row r="5359">
      <c r="A5359" s="56">
        <v>5356.0</v>
      </c>
      <c r="B5359" s="241"/>
      <c r="C5359" s="64" t="s">
        <v>21533</v>
      </c>
      <c r="D5359" s="66"/>
      <c r="E5359" s="63" t="s">
        <v>21534</v>
      </c>
      <c r="F5359" s="65">
        <v>41200.0</v>
      </c>
      <c r="G5359" s="80" t="s">
        <v>21535</v>
      </c>
      <c r="H5359" s="82"/>
      <c r="I5359" s="63" t="s">
        <v>21536</v>
      </c>
      <c r="J5359" s="63" t="s">
        <v>21537</v>
      </c>
      <c r="K5359" s="70">
        <v>43355.0</v>
      </c>
      <c r="L5359" s="63" t="s">
        <v>2743</v>
      </c>
      <c r="M5359" s="63" t="s">
        <v>2097</v>
      </c>
      <c r="N5359" s="116"/>
      <c r="O5359" s="51"/>
    </row>
    <row r="5360">
      <c r="A5360" s="56">
        <v>5357.0</v>
      </c>
      <c r="B5360" s="241"/>
      <c r="C5360" s="64" t="s">
        <v>21538</v>
      </c>
      <c r="D5360" s="66"/>
      <c r="E5360" s="63" t="s">
        <v>21539</v>
      </c>
      <c r="F5360" s="70">
        <v>42171.0</v>
      </c>
      <c r="G5360" s="80" t="s">
        <v>21511</v>
      </c>
      <c r="H5360" s="82"/>
      <c r="I5360" s="63" t="s">
        <v>21540</v>
      </c>
      <c r="J5360" s="63" t="s">
        <v>21541</v>
      </c>
      <c r="K5360" s="70">
        <v>43355.0</v>
      </c>
      <c r="L5360" s="63" t="s">
        <v>2743</v>
      </c>
      <c r="M5360" s="63" t="s">
        <v>149</v>
      </c>
      <c r="N5360" s="116"/>
      <c r="O5360" s="51"/>
    </row>
    <row r="5361">
      <c r="A5361" s="56">
        <v>5358.0</v>
      </c>
      <c r="B5361" s="241"/>
      <c r="C5361" s="64" t="s">
        <v>21542</v>
      </c>
      <c r="D5361" s="66"/>
      <c r="E5361" s="63" t="s">
        <v>21543</v>
      </c>
      <c r="F5361" s="70">
        <v>40881.0</v>
      </c>
      <c r="G5361" s="80" t="s">
        <v>21544</v>
      </c>
      <c r="H5361" s="82"/>
      <c r="I5361" s="66"/>
      <c r="J5361" s="63" t="s">
        <v>21537</v>
      </c>
      <c r="K5361" s="70">
        <v>43355.0</v>
      </c>
      <c r="L5361" s="63" t="s">
        <v>2743</v>
      </c>
      <c r="M5361" s="63" t="s">
        <v>21545</v>
      </c>
      <c r="N5361" s="116"/>
      <c r="O5361" s="51"/>
    </row>
    <row r="5362">
      <c r="A5362" s="56">
        <v>5359.0</v>
      </c>
      <c r="B5362" s="241"/>
      <c r="C5362" s="64" t="s">
        <v>21546</v>
      </c>
      <c r="D5362" s="66"/>
      <c r="E5362" s="63" t="s">
        <v>21547</v>
      </c>
      <c r="F5362" s="70">
        <v>39990.0</v>
      </c>
      <c r="G5362" s="80" t="s">
        <v>21548</v>
      </c>
      <c r="H5362" s="82"/>
      <c r="I5362" s="66"/>
      <c r="J5362" s="63" t="s">
        <v>21537</v>
      </c>
      <c r="K5362" s="70">
        <v>43355.0</v>
      </c>
      <c r="L5362" s="63" t="s">
        <v>2743</v>
      </c>
      <c r="M5362" s="63" t="s">
        <v>2466</v>
      </c>
      <c r="N5362" s="116"/>
      <c r="O5362" s="51"/>
    </row>
    <row r="5363">
      <c r="A5363" s="56">
        <v>5360.0</v>
      </c>
      <c r="B5363" s="240"/>
      <c r="C5363" s="69" t="s">
        <v>21549</v>
      </c>
      <c r="D5363" s="71"/>
      <c r="E5363" s="68" t="s">
        <v>21550</v>
      </c>
      <c r="F5363" s="83">
        <v>42321.0</v>
      </c>
      <c r="G5363" s="68" t="s">
        <v>21551</v>
      </c>
      <c r="H5363" s="71"/>
      <c r="I5363" s="71"/>
      <c r="J5363" s="68" t="s">
        <v>21552</v>
      </c>
      <c r="K5363" s="76">
        <v>43355.0</v>
      </c>
      <c r="L5363" s="68" t="s">
        <v>2743</v>
      </c>
      <c r="M5363" s="68" t="s">
        <v>2989</v>
      </c>
      <c r="N5363" s="116"/>
      <c r="O5363" s="51"/>
    </row>
    <row r="5364">
      <c r="A5364" s="56">
        <v>5361.0</v>
      </c>
      <c r="B5364" s="241"/>
      <c r="C5364" s="64" t="s">
        <v>21553</v>
      </c>
      <c r="D5364" s="66"/>
      <c r="E5364" s="63" t="s">
        <v>21554</v>
      </c>
      <c r="F5364" s="70">
        <v>41091.0</v>
      </c>
      <c r="G5364" s="80" t="s">
        <v>21555</v>
      </c>
      <c r="H5364" s="82"/>
      <c r="I5364" s="63" t="s">
        <v>21556</v>
      </c>
      <c r="J5364" s="63" t="s">
        <v>21537</v>
      </c>
      <c r="K5364" s="70">
        <v>43355.0</v>
      </c>
      <c r="L5364" s="63" t="s">
        <v>2743</v>
      </c>
      <c r="M5364" s="63" t="s">
        <v>2466</v>
      </c>
      <c r="N5364" s="116"/>
      <c r="O5364" s="51"/>
    </row>
    <row r="5365">
      <c r="A5365" s="56">
        <v>5362.0</v>
      </c>
      <c r="B5365" s="240"/>
      <c r="C5365" s="69" t="s">
        <v>21557</v>
      </c>
      <c r="D5365" s="71"/>
      <c r="E5365" s="68" t="s">
        <v>21558</v>
      </c>
      <c r="F5365" s="76">
        <v>42245.0</v>
      </c>
      <c r="G5365" s="68" t="s">
        <v>21559</v>
      </c>
      <c r="H5365" s="71"/>
      <c r="I5365" s="68" t="s">
        <v>21560</v>
      </c>
      <c r="J5365" s="68" t="s">
        <v>21561</v>
      </c>
      <c r="K5365" s="76">
        <v>43358.0</v>
      </c>
      <c r="L5365" s="68" t="s">
        <v>2743</v>
      </c>
      <c r="M5365" s="68" t="s">
        <v>31</v>
      </c>
      <c r="N5365" s="116"/>
      <c r="O5365" s="51"/>
    </row>
    <row r="5366">
      <c r="A5366" s="56">
        <v>5363.0</v>
      </c>
      <c r="B5366" s="240"/>
      <c r="C5366" s="69" t="s">
        <v>21562</v>
      </c>
      <c r="D5366" s="71"/>
      <c r="E5366" s="68" t="s">
        <v>21563</v>
      </c>
      <c r="F5366" s="76">
        <v>42831.0</v>
      </c>
      <c r="G5366" s="68" t="s">
        <v>21564</v>
      </c>
      <c r="H5366" s="71"/>
      <c r="I5366" s="71"/>
      <c r="J5366" s="68" t="s">
        <v>21565</v>
      </c>
      <c r="K5366" s="76">
        <v>43358.0</v>
      </c>
      <c r="L5366" s="68" t="s">
        <v>2743</v>
      </c>
      <c r="M5366" s="68" t="s">
        <v>166</v>
      </c>
      <c r="N5366" s="116"/>
      <c r="O5366" s="51"/>
    </row>
    <row r="5367">
      <c r="A5367" s="56">
        <v>5364.0</v>
      </c>
      <c r="B5367" s="241"/>
      <c r="C5367" s="64" t="s">
        <v>21566</v>
      </c>
      <c r="D5367" s="66"/>
      <c r="E5367" s="63" t="s">
        <v>21567</v>
      </c>
      <c r="F5367" s="70">
        <v>40179.0</v>
      </c>
      <c r="G5367" s="80" t="s">
        <v>21568</v>
      </c>
      <c r="H5367" s="82"/>
      <c r="I5367" s="66"/>
      <c r="J5367" s="63" t="s">
        <v>21569</v>
      </c>
      <c r="K5367" s="70">
        <v>43358.0</v>
      </c>
      <c r="L5367" s="63" t="s">
        <v>2743</v>
      </c>
      <c r="M5367" s="63" t="s">
        <v>195</v>
      </c>
      <c r="N5367" s="116"/>
      <c r="O5367" s="51"/>
    </row>
    <row r="5368">
      <c r="A5368" s="56">
        <v>5365.0</v>
      </c>
      <c r="B5368" s="240"/>
      <c r="C5368" s="69" t="s">
        <v>21570</v>
      </c>
      <c r="D5368" s="71"/>
      <c r="E5368" s="68" t="s">
        <v>21571</v>
      </c>
      <c r="F5368" s="76">
        <v>43266.0</v>
      </c>
      <c r="G5368" s="68" t="s">
        <v>21572</v>
      </c>
      <c r="H5368" s="71"/>
      <c r="I5368" s="71"/>
      <c r="J5368" s="87" t="s">
        <v>21573</v>
      </c>
      <c r="K5368" s="76">
        <v>43361.0</v>
      </c>
      <c r="L5368" s="68" t="s">
        <v>2743</v>
      </c>
      <c r="M5368" s="68" t="s">
        <v>143</v>
      </c>
      <c r="N5368" s="116"/>
      <c r="O5368" s="51"/>
    </row>
    <row r="5369">
      <c r="A5369" s="56">
        <v>5366.0</v>
      </c>
      <c r="B5369" s="240"/>
      <c r="C5369" s="69" t="s">
        <v>21574</v>
      </c>
      <c r="D5369" s="71"/>
      <c r="E5369" s="68" t="s">
        <v>21575</v>
      </c>
      <c r="F5369" s="76">
        <v>43266.0</v>
      </c>
      <c r="G5369" s="68" t="s">
        <v>21572</v>
      </c>
      <c r="H5369" s="71"/>
      <c r="I5369" s="71"/>
      <c r="J5369" s="87" t="s">
        <v>21576</v>
      </c>
      <c r="K5369" s="76">
        <v>43361.0</v>
      </c>
      <c r="L5369" s="68" t="s">
        <v>2743</v>
      </c>
      <c r="M5369" s="68" t="s">
        <v>143</v>
      </c>
      <c r="N5369" s="116"/>
      <c r="O5369" s="51"/>
    </row>
    <row r="5370">
      <c r="A5370" s="56">
        <v>5367.0</v>
      </c>
      <c r="B5370" s="240"/>
      <c r="C5370" s="69" t="s">
        <v>21577</v>
      </c>
      <c r="D5370" s="71"/>
      <c r="E5370" s="68" t="s">
        <v>21578</v>
      </c>
      <c r="F5370" s="76">
        <v>43266.0</v>
      </c>
      <c r="G5370" s="68" t="s">
        <v>21572</v>
      </c>
      <c r="H5370" s="71"/>
      <c r="I5370" s="71"/>
      <c r="J5370" s="87" t="s">
        <v>21579</v>
      </c>
      <c r="K5370" s="76">
        <v>43361.0</v>
      </c>
      <c r="L5370" s="68" t="s">
        <v>2743</v>
      </c>
      <c r="M5370" s="68" t="s">
        <v>143</v>
      </c>
      <c r="N5370" s="116"/>
      <c r="O5370" s="51"/>
    </row>
    <row r="5371">
      <c r="A5371" s="56">
        <v>5368.0</v>
      </c>
      <c r="B5371" s="240"/>
      <c r="C5371" s="69" t="s">
        <v>21580</v>
      </c>
      <c r="D5371" s="71"/>
      <c r="E5371" s="68" t="s">
        <v>21581</v>
      </c>
      <c r="F5371" s="83">
        <v>43084.0</v>
      </c>
      <c r="G5371" s="68" t="s">
        <v>21582</v>
      </c>
      <c r="H5371" s="71"/>
      <c r="I5371" s="71"/>
      <c r="J5371" s="68" t="s">
        <v>21583</v>
      </c>
      <c r="K5371" s="76">
        <v>43361.0</v>
      </c>
      <c r="L5371" s="68" t="s">
        <v>2743</v>
      </c>
      <c r="M5371" s="68" t="s">
        <v>125</v>
      </c>
      <c r="N5371" s="116"/>
      <c r="O5371" s="51"/>
    </row>
    <row r="5372">
      <c r="A5372" s="56">
        <v>5369.0</v>
      </c>
      <c r="B5372" s="240"/>
      <c r="C5372" s="69" t="s">
        <v>21584</v>
      </c>
      <c r="D5372" s="71"/>
      <c r="E5372" s="68" t="s">
        <v>21585</v>
      </c>
      <c r="F5372" s="68" t="s">
        <v>407</v>
      </c>
      <c r="G5372" s="68" t="s">
        <v>21586</v>
      </c>
      <c r="H5372" s="71"/>
      <c r="I5372" s="68" t="s">
        <v>21587</v>
      </c>
      <c r="J5372" s="68" t="s">
        <v>21588</v>
      </c>
      <c r="K5372" s="76">
        <v>43361.0</v>
      </c>
      <c r="L5372" s="68" t="s">
        <v>2743</v>
      </c>
      <c r="M5372" s="68" t="s">
        <v>530</v>
      </c>
      <c r="N5372" s="116"/>
      <c r="O5372" s="51"/>
    </row>
    <row r="5373">
      <c r="A5373" s="56">
        <v>5370.0</v>
      </c>
      <c r="B5373" s="240"/>
      <c r="C5373" s="69" t="s">
        <v>21589</v>
      </c>
      <c r="D5373" s="71"/>
      <c r="E5373" s="68" t="s">
        <v>21590</v>
      </c>
      <c r="F5373" s="76">
        <v>43356.0</v>
      </c>
      <c r="G5373" s="68" t="s">
        <v>21591</v>
      </c>
      <c r="H5373" s="71"/>
      <c r="I5373" s="68" t="s">
        <v>21592</v>
      </c>
      <c r="J5373" s="87" t="s">
        <v>21593</v>
      </c>
      <c r="K5373" s="76">
        <v>43361.0</v>
      </c>
      <c r="L5373" s="68" t="s">
        <v>2743</v>
      </c>
      <c r="M5373" s="68" t="s">
        <v>4749</v>
      </c>
      <c r="N5373" s="116"/>
      <c r="O5373" s="51"/>
    </row>
    <row r="5374">
      <c r="A5374" s="56">
        <v>5371.0</v>
      </c>
      <c r="B5374" s="240"/>
      <c r="C5374" s="69" t="s">
        <v>21594</v>
      </c>
      <c r="D5374" s="71"/>
      <c r="E5374" s="68" t="s">
        <v>21595</v>
      </c>
      <c r="F5374" s="68" t="s">
        <v>407</v>
      </c>
      <c r="G5374" s="68" t="s">
        <v>21596</v>
      </c>
      <c r="H5374" s="71"/>
      <c r="I5374" s="71"/>
      <c r="J5374" s="68" t="s">
        <v>21597</v>
      </c>
      <c r="K5374" s="76">
        <v>43361.0</v>
      </c>
      <c r="L5374" s="68" t="s">
        <v>2743</v>
      </c>
      <c r="M5374" s="68" t="s">
        <v>9260</v>
      </c>
      <c r="N5374" s="116"/>
      <c r="O5374" s="51"/>
    </row>
    <row r="5375">
      <c r="A5375" s="56">
        <v>5372.0</v>
      </c>
      <c r="B5375" s="240"/>
      <c r="C5375" s="69" t="s">
        <v>21598</v>
      </c>
      <c r="D5375" s="71"/>
      <c r="E5375" s="68" t="s">
        <v>21599</v>
      </c>
      <c r="F5375" s="76">
        <v>43158.0</v>
      </c>
      <c r="G5375" s="68" t="s">
        <v>21600</v>
      </c>
      <c r="H5375" s="71"/>
      <c r="I5375" s="68" t="s">
        <v>21601</v>
      </c>
      <c r="J5375" s="68" t="s">
        <v>21602</v>
      </c>
      <c r="K5375" s="76">
        <v>43367.0</v>
      </c>
      <c r="L5375" s="68" t="s">
        <v>2743</v>
      </c>
      <c r="M5375" s="68" t="s">
        <v>149</v>
      </c>
      <c r="N5375" s="116"/>
      <c r="O5375" s="51"/>
    </row>
    <row r="5376">
      <c r="A5376" s="56">
        <v>5373.0</v>
      </c>
      <c r="B5376" s="240"/>
      <c r="C5376" s="69" t="s">
        <v>21603</v>
      </c>
      <c r="D5376" s="71"/>
      <c r="E5376" s="68" t="s">
        <v>21604</v>
      </c>
      <c r="F5376" s="76">
        <v>43335.0</v>
      </c>
      <c r="G5376" s="68" t="s">
        <v>21605</v>
      </c>
      <c r="H5376" s="71"/>
      <c r="I5376" s="71"/>
      <c r="J5376" s="68" t="s">
        <v>21606</v>
      </c>
      <c r="K5376" s="76">
        <v>43367.0</v>
      </c>
      <c r="L5376" s="68" t="s">
        <v>2743</v>
      </c>
      <c r="M5376" s="68" t="s">
        <v>125</v>
      </c>
      <c r="N5376" s="116"/>
      <c r="O5376" s="51"/>
    </row>
    <row r="5377">
      <c r="A5377" s="56">
        <v>5374.0</v>
      </c>
      <c r="B5377" s="241"/>
      <c r="C5377" s="64" t="s">
        <v>21607</v>
      </c>
      <c r="D5377" s="66"/>
      <c r="E5377" s="63" t="s">
        <v>21608</v>
      </c>
      <c r="F5377" s="70">
        <v>41382.0</v>
      </c>
      <c r="G5377" s="80" t="s">
        <v>21609</v>
      </c>
      <c r="H5377" s="82"/>
      <c r="I5377" s="66"/>
      <c r="J5377" s="63" t="s">
        <v>21537</v>
      </c>
      <c r="K5377" s="70">
        <v>43367.0</v>
      </c>
      <c r="L5377" s="63" t="s">
        <v>2743</v>
      </c>
      <c r="M5377" s="63" t="s">
        <v>125</v>
      </c>
      <c r="N5377" s="116"/>
      <c r="O5377" s="51"/>
    </row>
    <row r="5378">
      <c r="A5378" s="56">
        <v>5375.0</v>
      </c>
      <c r="B5378" s="241"/>
      <c r="C5378" s="64" t="s">
        <v>21610</v>
      </c>
      <c r="D5378" s="66"/>
      <c r="E5378" s="63" t="s">
        <v>21611</v>
      </c>
      <c r="F5378" s="70">
        <v>39873.0</v>
      </c>
      <c r="G5378" s="80" t="s">
        <v>21612</v>
      </c>
      <c r="H5378" s="82"/>
      <c r="I5378" s="66"/>
      <c r="J5378" s="63" t="s">
        <v>136</v>
      </c>
      <c r="K5378" s="70">
        <v>43367.0</v>
      </c>
      <c r="L5378" s="63" t="s">
        <v>2743</v>
      </c>
      <c r="M5378" s="63" t="s">
        <v>195</v>
      </c>
      <c r="N5378" s="116"/>
      <c r="O5378" s="51"/>
    </row>
    <row r="5379">
      <c r="A5379" s="56">
        <v>5376.0</v>
      </c>
      <c r="B5379" s="240"/>
      <c r="C5379" s="69" t="s">
        <v>21613</v>
      </c>
      <c r="D5379" s="71"/>
      <c r="E5379" s="68" t="s">
        <v>21614</v>
      </c>
      <c r="F5379" s="76">
        <v>39995.0</v>
      </c>
      <c r="G5379" s="68" t="s">
        <v>21615</v>
      </c>
      <c r="H5379" s="71"/>
      <c r="I5379" s="71"/>
      <c r="J5379" s="68" t="s">
        <v>21616</v>
      </c>
      <c r="K5379" s="76">
        <v>43367.0</v>
      </c>
      <c r="L5379" s="68" t="s">
        <v>2743</v>
      </c>
      <c r="M5379" s="68" t="s">
        <v>530</v>
      </c>
      <c r="N5379" s="116"/>
      <c r="O5379" s="51"/>
    </row>
    <row r="5380">
      <c r="A5380" s="75">
        <v>5377.0</v>
      </c>
      <c r="B5380" s="240"/>
      <c r="C5380" s="69" t="s">
        <v>21617</v>
      </c>
      <c r="D5380" s="71"/>
      <c r="E5380" s="68" t="s">
        <v>21618</v>
      </c>
      <c r="F5380" s="76">
        <v>40621.0</v>
      </c>
      <c r="G5380" s="68" t="s">
        <v>21619</v>
      </c>
      <c r="H5380" s="71"/>
      <c r="I5380" s="71"/>
      <c r="J5380" s="68" t="s">
        <v>21620</v>
      </c>
      <c r="K5380" s="76">
        <v>43367.0</v>
      </c>
      <c r="L5380" s="68" t="s">
        <v>2743</v>
      </c>
      <c r="M5380" s="68" t="s">
        <v>125</v>
      </c>
      <c r="N5380" s="116"/>
      <c r="O5380" s="51"/>
    </row>
    <row r="5381">
      <c r="A5381" s="56">
        <v>5378.0</v>
      </c>
      <c r="B5381" s="241"/>
      <c r="C5381" s="64" t="s">
        <v>21621</v>
      </c>
      <c r="D5381" s="66"/>
      <c r="E5381" s="63" t="s">
        <v>21622</v>
      </c>
      <c r="F5381" s="65">
        <v>42004.0</v>
      </c>
      <c r="G5381" s="80" t="s">
        <v>21623</v>
      </c>
      <c r="H5381" s="82"/>
      <c r="I5381" s="66"/>
      <c r="J5381" s="63" t="s">
        <v>21537</v>
      </c>
      <c r="K5381" s="70">
        <v>43367.0</v>
      </c>
      <c r="L5381" s="63" t="s">
        <v>2743</v>
      </c>
      <c r="M5381" s="63" t="s">
        <v>368</v>
      </c>
      <c r="N5381" s="116"/>
      <c r="O5381" s="51"/>
    </row>
    <row r="5382">
      <c r="A5382" s="56">
        <v>5379.0</v>
      </c>
      <c r="B5382" s="240"/>
      <c r="C5382" s="69" t="s">
        <v>21624</v>
      </c>
      <c r="D5382" s="71"/>
      <c r="E5382" s="68" t="s">
        <v>21625</v>
      </c>
      <c r="F5382" s="76">
        <v>39995.0</v>
      </c>
      <c r="G5382" s="68" t="s">
        <v>21626</v>
      </c>
      <c r="H5382" s="71"/>
      <c r="I5382" s="71"/>
      <c r="J5382" s="68" t="s">
        <v>21627</v>
      </c>
      <c r="K5382" s="76">
        <v>43367.0</v>
      </c>
      <c r="L5382" s="68" t="s">
        <v>2743</v>
      </c>
      <c r="M5382" s="68" t="s">
        <v>530</v>
      </c>
      <c r="N5382" s="116"/>
      <c r="O5382" s="51"/>
    </row>
    <row r="5383">
      <c r="A5383" s="56">
        <v>5380.0</v>
      </c>
      <c r="B5383" s="240"/>
      <c r="C5383" s="69" t="s">
        <v>21628</v>
      </c>
      <c r="D5383" s="71"/>
      <c r="E5383" s="68" t="s">
        <v>21629</v>
      </c>
      <c r="F5383" s="83">
        <v>41205.0</v>
      </c>
      <c r="G5383" s="68" t="s">
        <v>21630</v>
      </c>
      <c r="H5383" s="71"/>
      <c r="I5383" s="68" t="s">
        <v>21631</v>
      </c>
      <c r="J5383" s="68" t="s">
        <v>21632</v>
      </c>
      <c r="K5383" s="76">
        <v>43367.0</v>
      </c>
      <c r="L5383" s="68" t="s">
        <v>2743</v>
      </c>
      <c r="M5383" s="68" t="s">
        <v>530</v>
      </c>
      <c r="N5383" s="116"/>
      <c r="O5383" s="51"/>
    </row>
    <row r="5384">
      <c r="A5384" s="56">
        <v>5381.0</v>
      </c>
      <c r="B5384" s="240"/>
      <c r="C5384" s="69" t="s">
        <v>21633</v>
      </c>
      <c r="D5384" s="71"/>
      <c r="E5384" s="68" t="s">
        <v>21634</v>
      </c>
      <c r="F5384" s="76">
        <v>43333.0</v>
      </c>
      <c r="G5384" s="68" t="s">
        <v>21635</v>
      </c>
      <c r="H5384" s="71"/>
      <c r="I5384" s="71"/>
      <c r="J5384" s="68" t="s">
        <v>21636</v>
      </c>
      <c r="K5384" s="76">
        <v>43367.0</v>
      </c>
      <c r="L5384" s="68" t="s">
        <v>2743</v>
      </c>
      <c r="M5384" s="68" t="s">
        <v>13303</v>
      </c>
      <c r="N5384" s="116"/>
      <c r="O5384" s="51"/>
    </row>
    <row r="5385">
      <c r="A5385" s="56">
        <v>5382.0</v>
      </c>
      <c r="B5385" s="240"/>
      <c r="C5385" s="69" t="s">
        <v>21637</v>
      </c>
      <c r="D5385" s="71"/>
      <c r="E5385" s="68" t="s">
        <v>21638</v>
      </c>
      <c r="F5385" s="76">
        <v>39866.0</v>
      </c>
      <c r="G5385" s="68" t="s">
        <v>21639</v>
      </c>
      <c r="H5385" s="71"/>
      <c r="I5385" s="71"/>
      <c r="J5385" s="68" t="s">
        <v>21640</v>
      </c>
      <c r="K5385" s="76">
        <v>43367.0</v>
      </c>
      <c r="L5385" s="68" t="s">
        <v>16185</v>
      </c>
      <c r="M5385" s="68" t="s">
        <v>530</v>
      </c>
      <c r="N5385" s="116"/>
      <c r="O5385" s="51"/>
    </row>
    <row r="5386">
      <c r="A5386" s="56">
        <v>5383.0</v>
      </c>
      <c r="B5386" s="240"/>
      <c r="C5386" s="69" t="s">
        <v>21641</v>
      </c>
      <c r="D5386" s="71"/>
      <c r="E5386" s="68" t="s">
        <v>21642</v>
      </c>
      <c r="F5386" s="76">
        <v>42994.0</v>
      </c>
      <c r="G5386" s="68" t="s">
        <v>21643</v>
      </c>
      <c r="H5386" s="71"/>
      <c r="I5386" s="71"/>
      <c r="J5386" s="68" t="s">
        <v>21644</v>
      </c>
      <c r="K5386" s="76">
        <v>43367.0</v>
      </c>
      <c r="L5386" s="68" t="s">
        <v>16185</v>
      </c>
      <c r="M5386" s="68" t="s">
        <v>2466</v>
      </c>
      <c r="N5386" s="116"/>
      <c r="O5386" s="51"/>
    </row>
    <row r="5387">
      <c r="A5387" s="56">
        <v>5384.0</v>
      </c>
      <c r="B5387" s="240"/>
      <c r="C5387" s="69" t="s">
        <v>21645</v>
      </c>
      <c r="D5387" s="71"/>
      <c r="E5387" s="68" t="s">
        <v>21646</v>
      </c>
      <c r="F5387" s="76">
        <v>42453.0</v>
      </c>
      <c r="G5387" s="68" t="s">
        <v>21647</v>
      </c>
      <c r="H5387" s="71"/>
      <c r="I5387" s="71"/>
      <c r="J5387" s="68" t="s">
        <v>21648</v>
      </c>
      <c r="K5387" s="76">
        <v>43367.0</v>
      </c>
      <c r="L5387" s="68" t="s">
        <v>16185</v>
      </c>
      <c r="M5387" s="68" t="s">
        <v>1435</v>
      </c>
      <c r="N5387" s="116"/>
      <c r="O5387" s="51"/>
    </row>
    <row r="5388">
      <c r="A5388" s="56">
        <v>5385.0</v>
      </c>
      <c r="B5388" s="240"/>
      <c r="C5388" s="69" t="s">
        <v>21649</v>
      </c>
      <c r="D5388" s="71"/>
      <c r="E5388" s="68" t="s">
        <v>21650</v>
      </c>
      <c r="F5388" s="76">
        <v>43355.0</v>
      </c>
      <c r="G5388" s="68" t="s">
        <v>21651</v>
      </c>
      <c r="H5388" s="71"/>
      <c r="I5388" s="71"/>
      <c r="J5388" s="68" t="s">
        <v>21652</v>
      </c>
      <c r="K5388" s="76">
        <v>43367.0</v>
      </c>
      <c r="L5388" s="68" t="s">
        <v>16185</v>
      </c>
      <c r="M5388" s="68" t="s">
        <v>143</v>
      </c>
      <c r="N5388" s="116"/>
      <c r="O5388" s="51"/>
    </row>
    <row r="5389">
      <c r="A5389" s="56">
        <v>5386.0</v>
      </c>
      <c r="B5389" s="241"/>
      <c r="C5389" s="64" t="s">
        <v>21653</v>
      </c>
      <c r="D5389" s="66"/>
      <c r="E5389" s="63" t="s">
        <v>21654</v>
      </c>
      <c r="F5389" s="70">
        <v>42650.0</v>
      </c>
      <c r="G5389" s="80" t="s">
        <v>21655</v>
      </c>
      <c r="H5389" s="80" t="s">
        <v>21656</v>
      </c>
      <c r="I5389" s="66"/>
      <c r="J5389" s="63" t="s">
        <v>21657</v>
      </c>
      <c r="K5389" s="70">
        <v>43367.0</v>
      </c>
      <c r="L5389" s="63" t="s">
        <v>16185</v>
      </c>
      <c r="M5389" s="63" t="s">
        <v>403</v>
      </c>
      <c r="N5389" s="116"/>
      <c r="O5389" s="51"/>
    </row>
    <row r="5390">
      <c r="A5390" s="56">
        <v>5387.0</v>
      </c>
      <c r="B5390" s="241"/>
      <c r="C5390" s="64" t="s">
        <v>21658</v>
      </c>
      <c r="D5390" s="66"/>
      <c r="E5390" s="63" t="s">
        <v>21659</v>
      </c>
      <c r="F5390" s="70">
        <v>43294.0</v>
      </c>
      <c r="G5390" s="80" t="s">
        <v>21660</v>
      </c>
      <c r="H5390" s="82"/>
      <c r="I5390" s="66"/>
      <c r="J5390" s="63" t="s">
        <v>21661</v>
      </c>
      <c r="K5390" s="70">
        <v>43367.0</v>
      </c>
      <c r="L5390" s="63" t="s">
        <v>16185</v>
      </c>
      <c r="M5390" s="63" t="s">
        <v>166</v>
      </c>
      <c r="N5390" s="116"/>
      <c r="O5390" s="51"/>
    </row>
    <row r="5391">
      <c r="A5391" s="56">
        <v>5388.0</v>
      </c>
      <c r="B5391" s="240"/>
      <c r="C5391" s="69" t="s">
        <v>21662</v>
      </c>
      <c r="D5391" s="71"/>
      <c r="E5391" s="68" t="s">
        <v>21663</v>
      </c>
      <c r="F5391" s="76">
        <v>42392.0</v>
      </c>
      <c r="G5391" s="68" t="s">
        <v>21664</v>
      </c>
      <c r="H5391" s="71"/>
      <c r="I5391" s="71"/>
      <c r="J5391" s="68" t="s">
        <v>21665</v>
      </c>
      <c r="K5391" s="76">
        <v>43367.0</v>
      </c>
      <c r="L5391" s="68" t="s">
        <v>2743</v>
      </c>
      <c r="M5391" s="68" t="s">
        <v>2152</v>
      </c>
      <c r="N5391" s="116"/>
      <c r="O5391" s="51"/>
    </row>
    <row r="5392">
      <c r="A5392" s="56">
        <v>5389.0</v>
      </c>
      <c r="B5392" s="241"/>
      <c r="C5392" s="64" t="s">
        <v>21666</v>
      </c>
      <c r="D5392" s="66"/>
      <c r="E5392" s="63" t="s">
        <v>21667</v>
      </c>
      <c r="F5392" s="65">
        <v>42294.0</v>
      </c>
      <c r="G5392" s="80" t="s">
        <v>21668</v>
      </c>
      <c r="H5392" s="82"/>
      <c r="I5392" s="66"/>
      <c r="J5392" s="63" t="s">
        <v>136</v>
      </c>
      <c r="K5392" s="70">
        <v>43367.0</v>
      </c>
      <c r="L5392" s="63" t="s">
        <v>2743</v>
      </c>
      <c r="M5392" s="63" t="s">
        <v>201</v>
      </c>
      <c r="N5392" s="116"/>
      <c r="O5392" s="51"/>
    </row>
    <row r="5393">
      <c r="A5393" s="56">
        <v>5390.0</v>
      </c>
      <c r="B5393" s="240"/>
      <c r="C5393" s="69" t="s">
        <v>21669</v>
      </c>
      <c r="D5393" s="71"/>
      <c r="E5393" s="68" t="s">
        <v>21670</v>
      </c>
      <c r="F5393" s="76">
        <v>43316.0</v>
      </c>
      <c r="G5393" s="68" t="s">
        <v>21671</v>
      </c>
      <c r="H5393" s="71"/>
      <c r="I5393" s="71"/>
      <c r="J5393" s="87" t="s">
        <v>21672</v>
      </c>
      <c r="K5393" s="76">
        <v>43367.0</v>
      </c>
      <c r="L5393" s="68" t="s">
        <v>21673</v>
      </c>
      <c r="M5393" s="68" t="s">
        <v>166</v>
      </c>
      <c r="N5393" s="116"/>
      <c r="O5393" s="51"/>
    </row>
    <row r="5394">
      <c r="A5394" s="56">
        <v>5391.0</v>
      </c>
      <c r="B5394" s="240"/>
      <c r="C5394" s="69" t="s">
        <v>21674</v>
      </c>
      <c r="D5394" s="71"/>
      <c r="E5394" s="68" t="s">
        <v>21675</v>
      </c>
      <c r="F5394" s="76">
        <v>42552.0</v>
      </c>
      <c r="G5394" s="68" t="s">
        <v>21676</v>
      </c>
      <c r="H5394" s="68" t="s">
        <v>439</v>
      </c>
      <c r="I5394" s="71"/>
      <c r="J5394" s="68" t="s">
        <v>21677</v>
      </c>
      <c r="K5394" s="76">
        <v>43367.0</v>
      </c>
      <c r="L5394" s="68" t="s">
        <v>2743</v>
      </c>
      <c r="M5394" s="68" t="s">
        <v>530</v>
      </c>
      <c r="N5394" s="116"/>
      <c r="O5394" s="51"/>
    </row>
    <row r="5395">
      <c r="A5395" s="56">
        <v>5392.0</v>
      </c>
      <c r="B5395" s="241"/>
      <c r="C5395" s="64" t="s">
        <v>21678</v>
      </c>
      <c r="D5395" s="66"/>
      <c r="E5395" s="63" t="s">
        <v>21679</v>
      </c>
      <c r="F5395" s="70">
        <v>42471.0</v>
      </c>
      <c r="G5395" s="80" t="s">
        <v>21680</v>
      </c>
      <c r="H5395" s="80" t="s">
        <v>21681</v>
      </c>
      <c r="I5395" s="66"/>
      <c r="J5395" s="63" t="s">
        <v>21537</v>
      </c>
      <c r="K5395" s="70">
        <v>43367.0</v>
      </c>
      <c r="L5395" s="63" t="s">
        <v>2743</v>
      </c>
      <c r="M5395" s="63" t="s">
        <v>125</v>
      </c>
      <c r="N5395" s="116"/>
      <c r="O5395" s="51"/>
    </row>
    <row r="5396">
      <c r="A5396" s="56">
        <v>5393.0</v>
      </c>
      <c r="B5396" s="240"/>
      <c r="C5396" s="69" t="s">
        <v>21682</v>
      </c>
      <c r="D5396" s="71"/>
      <c r="E5396" s="68" t="s">
        <v>21683</v>
      </c>
      <c r="F5396" s="76">
        <v>41091.0</v>
      </c>
      <c r="G5396" s="68" t="s">
        <v>21684</v>
      </c>
      <c r="H5396" s="71"/>
      <c r="I5396" s="71"/>
      <c r="J5396" s="68" t="s">
        <v>21685</v>
      </c>
      <c r="K5396" s="76">
        <v>43367.0</v>
      </c>
      <c r="L5396" s="68" t="s">
        <v>2743</v>
      </c>
      <c r="M5396" s="68" t="s">
        <v>530</v>
      </c>
      <c r="N5396" s="116"/>
      <c r="O5396" s="51"/>
    </row>
    <row r="5397">
      <c r="A5397" s="56">
        <v>5394.0</v>
      </c>
      <c r="B5397" s="241"/>
      <c r="C5397" s="64" t="s">
        <v>21686</v>
      </c>
      <c r="D5397" s="66"/>
      <c r="E5397" s="63" t="s">
        <v>21687</v>
      </c>
      <c r="F5397" s="70">
        <v>40696.0</v>
      </c>
      <c r="G5397" s="80" t="s">
        <v>21688</v>
      </c>
      <c r="H5397" s="80" t="s">
        <v>21689</v>
      </c>
      <c r="I5397" s="63" t="s">
        <v>21690</v>
      </c>
      <c r="J5397" s="63" t="s">
        <v>21537</v>
      </c>
      <c r="K5397" s="70">
        <v>43371.0</v>
      </c>
      <c r="L5397" s="63" t="s">
        <v>2743</v>
      </c>
      <c r="M5397" s="63" t="s">
        <v>2152</v>
      </c>
      <c r="N5397" s="116"/>
      <c r="O5397" s="51"/>
    </row>
    <row r="5398">
      <c r="A5398" s="56">
        <v>5395.0</v>
      </c>
      <c r="B5398" s="240"/>
      <c r="C5398" s="69" t="s">
        <v>21691</v>
      </c>
      <c r="D5398" s="71"/>
      <c r="E5398" s="68" t="s">
        <v>21692</v>
      </c>
      <c r="F5398" s="83">
        <v>41986.0</v>
      </c>
      <c r="G5398" s="68" t="s">
        <v>21693</v>
      </c>
      <c r="H5398" s="71"/>
      <c r="I5398" s="71"/>
      <c r="J5398" s="68" t="s">
        <v>21694</v>
      </c>
      <c r="K5398" s="76">
        <v>43371.0</v>
      </c>
      <c r="L5398" s="68" t="s">
        <v>2743</v>
      </c>
      <c r="M5398" s="68" t="s">
        <v>166</v>
      </c>
      <c r="N5398" s="116"/>
      <c r="O5398" s="51"/>
    </row>
    <row r="5399">
      <c r="A5399" s="56">
        <v>5396.0</v>
      </c>
      <c r="B5399" s="240"/>
      <c r="C5399" s="69" t="s">
        <v>21695</v>
      </c>
      <c r="D5399" s="71"/>
      <c r="E5399" s="68" t="s">
        <v>21696</v>
      </c>
      <c r="F5399" s="83">
        <v>41986.0</v>
      </c>
      <c r="G5399" s="68" t="s">
        <v>21693</v>
      </c>
      <c r="H5399" s="71"/>
      <c r="I5399" s="71"/>
      <c r="J5399" s="68" t="s">
        <v>21694</v>
      </c>
      <c r="K5399" s="76">
        <v>43371.0</v>
      </c>
      <c r="L5399" s="68" t="s">
        <v>2743</v>
      </c>
      <c r="M5399" s="68" t="s">
        <v>166</v>
      </c>
      <c r="N5399" s="116"/>
      <c r="O5399" s="51"/>
    </row>
    <row r="5400">
      <c r="A5400" s="56">
        <v>5397.0</v>
      </c>
      <c r="B5400" s="240"/>
      <c r="C5400" s="69" t="s">
        <v>21697</v>
      </c>
      <c r="D5400" s="71"/>
      <c r="E5400" s="68" t="s">
        <v>21698</v>
      </c>
      <c r="F5400" s="83">
        <v>41986.0</v>
      </c>
      <c r="G5400" s="68" t="s">
        <v>21693</v>
      </c>
      <c r="H5400" s="71"/>
      <c r="I5400" s="71"/>
      <c r="J5400" s="68" t="s">
        <v>21694</v>
      </c>
      <c r="K5400" s="76">
        <v>43371.0</v>
      </c>
      <c r="L5400" s="68" t="s">
        <v>2743</v>
      </c>
      <c r="M5400" s="68" t="s">
        <v>166</v>
      </c>
      <c r="N5400" s="116"/>
      <c r="O5400" s="51"/>
    </row>
    <row r="5401">
      <c r="A5401" s="56">
        <v>5398.0</v>
      </c>
      <c r="B5401" s="240"/>
      <c r="C5401" s="69" t="s">
        <v>21699</v>
      </c>
      <c r="D5401" s="71"/>
      <c r="E5401" s="68" t="s">
        <v>21700</v>
      </c>
      <c r="F5401" s="83">
        <v>41986.0</v>
      </c>
      <c r="G5401" s="68" t="s">
        <v>21693</v>
      </c>
      <c r="H5401" s="71"/>
      <c r="I5401" s="71"/>
      <c r="J5401" s="68" t="s">
        <v>21694</v>
      </c>
      <c r="K5401" s="76">
        <v>43371.0</v>
      </c>
      <c r="L5401" s="68" t="s">
        <v>2743</v>
      </c>
      <c r="M5401" s="68" t="s">
        <v>166</v>
      </c>
      <c r="N5401" s="116"/>
      <c r="O5401" s="51"/>
    </row>
    <row r="5402">
      <c r="A5402" s="56">
        <v>5399.0</v>
      </c>
      <c r="B5402" s="240"/>
      <c r="C5402" s="69" t="s">
        <v>21701</v>
      </c>
      <c r="D5402" s="71"/>
      <c r="E5402" s="68" t="s">
        <v>21702</v>
      </c>
      <c r="F5402" s="76">
        <v>43362.0</v>
      </c>
      <c r="G5402" s="68" t="s">
        <v>21703</v>
      </c>
      <c r="H5402" s="71"/>
      <c r="I5402" s="71"/>
      <c r="J5402" s="68" t="s">
        <v>21704</v>
      </c>
      <c r="K5402" s="76">
        <v>43371.0</v>
      </c>
      <c r="L5402" s="68" t="s">
        <v>2743</v>
      </c>
      <c r="M5402" s="68" t="s">
        <v>872</v>
      </c>
      <c r="N5402" s="116"/>
      <c r="O5402" s="51"/>
    </row>
    <row r="5403">
      <c r="A5403" s="56">
        <v>5400.0</v>
      </c>
      <c r="B5403" s="240"/>
      <c r="C5403" s="69" t="s">
        <v>21705</v>
      </c>
      <c r="D5403" s="71"/>
      <c r="E5403" s="68" t="s">
        <v>21706</v>
      </c>
      <c r="F5403" s="76">
        <v>41007.0</v>
      </c>
      <c r="G5403" s="68" t="s">
        <v>21707</v>
      </c>
      <c r="H5403" s="71"/>
      <c r="I5403" s="71"/>
      <c r="J5403" s="68" t="s">
        <v>21708</v>
      </c>
      <c r="K5403" s="76">
        <v>43371.0</v>
      </c>
      <c r="L5403" s="68" t="s">
        <v>2743</v>
      </c>
      <c r="M5403" s="68" t="s">
        <v>166</v>
      </c>
      <c r="N5403" s="116"/>
      <c r="O5403" s="51"/>
    </row>
    <row r="5404">
      <c r="A5404" s="75">
        <v>5401.0</v>
      </c>
      <c r="B5404" s="240"/>
      <c r="C5404" s="69" t="s">
        <v>21709</v>
      </c>
      <c r="D5404" s="71"/>
      <c r="E5404" s="68" t="s">
        <v>21710</v>
      </c>
      <c r="F5404" s="76">
        <v>42948.0</v>
      </c>
      <c r="G5404" s="68" t="s">
        <v>21711</v>
      </c>
      <c r="H5404" s="68" t="s">
        <v>21712</v>
      </c>
      <c r="I5404" s="71"/>
      <c r="J5404" s="68" t="s">
        <v>21713</v>
      </c>
      <c r="K5404" s="76">
        <v>43371.0</v>
      </c>
      <c r="L5404" s="68" t="s">
        <v>2743</v>
      </c>
      <c r="M5404" s="68" t="s">
        <v>195</v>
      </c>
      <c r="N5404" s="116"/>
      <c r="O5404" s="51"/>
    </row>
    <row r="5405">
      <c r="A5405" s="56">
        <v>5402.0</v>
      </c>
      <c r="B5405" s="241"/>
      <c r="C5405" s="64" t="s">
        <v>21714</v>
      </c>
      <c r="D5405" s="66"/>
      <c r="E5405" s="63" t="s">
        <v>21715</v>
      </c>
      <c r="F5405" s="63" t="s">
        <v>407</v>
      </c>
      <c r="G5405" s="80" t="s">
        <v>21716</v>
      </c>
      <c r="H5405" s="82"/>
      <c r="I5405" s="63" t="s">
        <v>21717</v>
      </c>
      <c r="J5405" s="63" t="s">
        <v>21541</v>
      </c>
      <c r="K5405" s="70">
        <v>43371.0</v>
      </c>
      <c r="L5405" s="63" t="s">
        <v>2743</v>
      </c>
      <c r="M5405" s="63" t="s">
        <v>149</v>
      </c>
      <c r="N5405" s="87" t="s">
        <v>21718</v>
      </c>
      <c r="O5405" s="51"/>
    </row>
    <row r="5406">
      <c r="A5406" s="56">
        <v>5403.0</v>
      </c>
      <c r="B5406" s="240"/>
      <c r="C5406" s="69" t="s">
        <v>21719</v>
      </c>
      <c r="D5406" s="71"/>
      <c r="E5406" s="68" t="s">
        <v>21720</v>
      </c>
      <c r="F5406" s="76">
        <v>43316.0</v>
      </c>
      <c r="G5406" s="68" t="s">
        <v>21721</v>
      </c>
      <c r="H5406" s="71"/>
      <c r="I5406" s="71"/>
      <c r="J5406" s="68" t="s">
        <v>21722</v>
      </c>
      <c r="K5406" s="76">
        <v>43374.0</v>
      </c>
      <c r="L5406" s="68" t="s">
        <v>2743</v>
      </c>
      <c r="M5406" s="68" t="s">
        <v>31</v>
      </c>
      <c r="N5406" s="87" t="s">
        <v>21723</v>
      </c>
      <c r="O5406" s="51"/>
    </row>
    <row r="5407">
      <c r="A5407" s="56">
        <v>5404.0</v>
      </c>
      <c r="B5407" s="240"/>
      <c r="C5407" s="69" t="s">
        <v>21724</v>
      </c>
      <c r="D5407" s="71"/>
      <c r="E5407" s="68" t="s">
        <v>21725</v>
      </c>
      <c r="F5407" s="76">
        <v>43227.0</v>
      </c>
      <c r="G5407" s="68" t="s">
        <v>21726</v>
      </c>
      <c r="H5407" s="71"/>
      <c r="I5407" s="71"/>
      <c r="J5407" s="68" t="s">
        <v>21727</v>
      </c>
      <c r="K5407" s="76">
        <v>43374.0</v>
      </c>
      <c r="L5407" s="68" t="s">
        <v>2743</v>
      </c>
      <c r="M5407" s="68" t="s">
        <v>201</v>
      </c>
      <c r="N5407" s="116"/>
      <c r="O5407" s="51"/>
    </row>
    <row r="5408">
      <c r="A5408" s="56">
        <v>5405.0</v>
      </c>
      <c r="B5408" s="241"/>
      <c r="C5408" s="64" t="s">
        <v>21728</v>
      </c>
      <c r="D5408" s="66"/>
      <c r="E5408" s="63" t="s">
        <v>21729</v>
      </c>
      <c r="F5408" s="70">
        <v>42806.0</v>
      </c>
      <c r="G5408" s="80" t="s">
        <v>21730</v>
      </c>
      <c r="H5408" s="80" t="s">
        <v>21731</v>
      </c>
      <c r="I5408" s="63" t="s">
        <v>21732</v>
      </c>
      <c r="J5408" s="63" t="s">
        <v>21733</v>
      </c>
      <c r="K5408" s="70">
        <v>43375.0</v>
      </c>
      <c r="L5408" s="63" t="s">
        <v>2743</v>
      </c>
      <c r="M5408" s="63" t="s">
        <v>872</v>
      </c>
      <c r="N5408" s="116"/>
      <c r="O5408" s="51"/>
    </row>
    <row r="5409">
      <c r="A5409" s="56">
        <v>5406.0</v>
      </c>
      <c r="B5409" s="241"/>
      <c r="C5409" s="64" t="s">
        <v>21734</v>
      </c>
      <c r="D5409" s="66"/>
      <c r="E5409" s="63" t="s">
        <v>21735</v>
      </c>
      <c r="F5409" s="70">
        <v>42580.0</v>
      </c>
      <c r="G5409" s="80" t="s">
        <v>21736</v>
      </c>
      <c r="H5409" s="82"/>
      <c r="I5409" s="66"/>
      <c r="J5409" s="63" t="s">
        <v>6393</v>
      </c>
      <c r="K5409" s="70">
        <v>43375.0</v>
      </c>
      <c r="L5409" s="63" t="s">
        <v>2743</v>
      </c>
      <c r="M5409" s="63" t="s">
        <v>195</v>
      </c>
      <c r="N5409" s="116"/>
      <c r="O5409" s="51"/>
    </row>
    <row r="5410">
      <c r="A5410" s="56">
        <v>5407.0</v>
      </c>
      <c r="B5410" s="246"/>
      <c r="C5410" s="58" t="s">
        <v>21737</v>
      </c>
      <c r="D5410" s="60"/>
      <c r="E5410" s="57" t="s">
        <v>21738</v>
      </c>
      <c r="F5410" s="59">
        <v>42867.0</v>
      </c>
      <c r="G5410" s="57" t="s">
        <v>21739</v>
      </c>
      <c r="H5410" s="60"/>
      <c r="I5410" s="57" t="s">
        <v>21740</v>
      </c>
      <c r="J5410" s="57" t="s">
        <v>21741</v>
      </c>
      <c r="K5410" s="59">
        <v>43375.0</v>
      </c>
      <c r="L5410" s="57" t="s">
        <v>2743</v>
      </c>
      <c r="M5410" s="57" t="s">
        <v>14984</v>
      </c>
      <c r="N5410" s="90"/>
      <c r="O5410" s="51"/>
    </row>
    <row r="5411">
      <c r="A5411" s="56">
        <v>5408.0</v>
      </c>
      <c r="B5411" s="240"/>
      <c r="C5411" s="69" t="s">
        <v>21742</v>
      </c>
      <c r="D5411" s="71"/>
      <c r="E5411" s="68" t="s">
        <v>21743</v>
      </c>
      <c r="F5411" s="76">
        <v>43349.0</v>
      </c>
      <c r="G5411" s="68" t="s">
        <v>21744</v>
      </c>
      <c r="H5411" s="71"/>
      <c r="I5411" s="71"/>
      <c r="J5411" s="68" t="s">
        <v>21745</v>
      </c>
      <c r="K5411" s="76">
        <v>43375.0</v>
      </c>
      <c r="L5411" s="68" t="s">
        <v>2743</v>
      </c>
      <c r="M5411" s="68" t="s">
        <v>166</v>
      </c>
      <c r="N5411" s="116"/>
      <c r="O5411" s="51"/>
    </row>
    <row r="5412">
      <c r="A5412" s="56">
        <v>5409.0</v>
      </c>
      <c r="B5412" s="240"/>
      <c r="C5412" s="69" t="s">
        <v>21746</v>
      </c>
      <c r="D5412" s="71"/>
      <c r="E5412" s="68" t="s">
        <v>21747</v>
      </c>
      <c r="F5412" s="76">
        <v>42971.0</v>
      </c>
      <c r="G5412" s="68" t="s">
        <v>21748</v>
      </c>
      <c r="H5412" s="71"/>
      <c r="I5412" s="68" t="s">
        <v>21749</v>
      </c>
      <c r="J5412" s="87" t="s">
        <v>21750</v>
      </c>
      <c r="K5412" s="76">
        <v>43375.0</v>
      </c>
      <c r="L5412" s="68" t="s">
        <v>2743</v>
      </c>
      <c r="M5412" s="68" t="s">
        <v>4749</v>
      </c>
      <c r="N5412" s="116"/>
      <c r="O5412" s="51"/>
    </row>
    <row r="5413">
      <c r="A5413" s="56">
        <v>5410.0</v>
      </c>
      <c r="B5413" s="240"/>
      <c r="C5413" s="69" t="s">
        <v>21751</v>
      </c>
      <c r="D5413" s="71"/>
      <c r="E5413" s="68" t="s">
        <v>21752</v>
      </c>
      <c r="F5413" s="76">
        <v>43365.0</v>
      </c>
      <c r="G5413" s="68" t="s">
        <v>21753</v>
      </c>
      <c r="H5413" s="71"/>
      <c r="I5413" s="71"/>
      <c r="J5413" s="68" t="s">
        <v>21754</v>
      </c>
      <c r="K5413" s="76">
        <v>43375.0</v>
      </c>
      <c r="L5413" s="68" t="s">
        <v>2743</v>
      </c>
      <c r="M5413" s="68" t="s">
        <v>17743</v>
      </c>
      <c r="N5413" s="116"/>
      <c r="O5413" s="51"/>
    </row>
    <row r="5414">
      <c r="A5414" s="56">
        <v>5411.0</v>
      </c>
      <c r="B5414" s="240"/>
      <c r="C5414" s="69" t="s">
        <v>21755</v>
      </c>
      <c r="D5414" s="71"/>
      <c r="E5414" s="68" t="s">
        <v>21756</v>
      </c>
      <c r="F5414" s="83">
        <v>40106.0</v>
      </c>
      <c r="G5414" s="68" t="s">
        <v>21757</v>
      </c>
      <c r="H5414" s="71"/>
      <c r="I5414" s="71"/>
      <c r="J5414" s="68" t="s">
        <v>21758</v>
      </c>
      <c r="K5414" s="76">
        <v>43376.0</v>
      </c>
      <c r="L5414" s="68" t="s">
        <v>2743</v>
      </c>
      <c r="M5414" s="68" t="s">
        <v>1509</v>
      </c>
      <c r="N5414" s="116"/>
      <c r="O5414" s="51"/>
    </row>
    <row r="5415">
      <c r="A5415" s="56">
        <v>5412.0</v>
      </c>
      <c r="B5415" s="241"/>
      <c r="C5415" s="64" t="s">
        <v>21759</v>
      </c>
      <c r="D5415" s="66"/>
      <c r="E5415" s="63" t="s">
        <v>21760</v>
      </c>
      <c r="F5415" s="65">
        <v>42318.0</v>
      </c>
      <c r="G5415" s="80" t="s">
        <v>21761</v>
      </c>
      <c r="H5415" s="82"/>
      <c r="I5415" s="66"/>
      <c r="J5415" s="63" t="s">
        <v>5679</v>
      </c>
      <c r="K5415" s="70">
        <v>43376.0</v>
      </c>
      <c r="L5415" s="63" t="s">
        <v>2743</v>
      </c>
      <c r="M5415" s="63" t="s">
        <v>7530</v>
      </c>
      <c r="N5415" s="116"/>
      <c r="O5415" s="51"/>
    </row>
    <row r="5416">
      <c r="A5416" s="75">
        <v>5413.0</v>
      </c>
      <c r="B5416" s="240"/>
      <c r="C5416" s="69" t="s">
        <v>21762</v>
      </c>
      <c r="D5416" s="71"/>
      <c r="E5416" s="68" t="s">
        <v>21763</v>
      </c>
      <c r="F5416" s="76">
        <v>42006.0</v>
      </c>
      <c r="G5416" s="68" t="s">
        <v>21764</v>
      </c>
      <c r="H5416" s="71"/>
      <c r="I5416" s="71"/>
      <c r="J5416" s="68" t="s">
        <v>18354</v>
      </c>
      <c r="K5416" s="83">
        <v>43383.0</v>
      </c>
      <c r="L5416" s="68" t="s">
        <v>2743</v>
      </c>
      <c r="M5416" s="68" t="s">
        <v>368</v>
      </c>
      <c r="N5416" s="116"/>
      <c r="O5416" s="51"/>
    </row>
    <row r="5417">
      <c r="A5417" s="56">
        <v>5414.0</v>
      </c>
      <c r="B5417" s="246"/>
      <c r="C5417" s="58" t="s">
        <v>21765</v>
      </c>
      <c r="D5417" s="60"/>
      <c r="E5417" s="57" t="s">
        <v>21766</v>
      </c>
      <c r="F5417" s="59">
        <v>43182.0</v>
      </c>
      <c r="G5417" s="57" t="s">
        <v>21767</v>
      </c>
      <c r="H5417" s="60"/>
      <c r="I5417" s="60"/>
      <c r="J5417" s="57" t="s">
        <v>21768</v>
      </c>
      <c r="K5417" s="78">
        <v>43383.0</v>
      </c>
      <c r="L5417" s="57" t="s">
        <v>2743</v>
      </c>
      <c r="M5417" s="57" t="s">
        <v>2748</v>
      </c>
      <c r="N5417" s="90"/>
      <c r="O5417" s="51"/>
    </row>
    <row r="5418">
      <c r="A5418" s="56">
        <v>5415.0</v>
      </c>
      <c r="B5418" s="240"/>
      <c r="C5418" s="69" t="s">
        <v>21769</v>
      </c>
      <c r="D5418" s="71"/>
      <c r="E5418" s="68" t="s">
        <v>21770</v>
      </c>
      <c r="F5418" s="83">
        <v>43054.0</v>
      </c>
      <c r="G5418" s="68" t="s">
        <v>21771</v>
      </c>
      <c r="H5418" s="71"/>
      <c r="I5418" s="71"/>
      <c r="J5418" s="68" t="s">
        <v>21772</v>
      </c>
      <c r="K5418" s="83">
        <v>43383.0</v>
      </c>
      <c r="L5418" s="68" t="s">
        <v>2743</v>
      </c>
      <c r="M5418" s="68" t="s">
        <v>143</v>
      </c>
      <c r="N5418" s="116"/>
      <c r="O5418" s="51"/>
    </row>
    <row r="5419">
      <c r="A5419" s="56">
        <v>5416.0</v>
      </c>
      <c r="B5419" s="240"/>
      <c r="C5419" s="69" t="s">
        <v>21773</v>
      </c>
      <c r="D5419" s="71"/>
      <c r="E5419" s="68" t="s">
        <v>21774</v>
      </c>
      <c r="F5419" s="76">
        <v>42936.0</v>
      </c>
      <c r="G5419" s="68" t="s">
        <v>21775</v>
      </c>
      <c r="H5419" s="71"/>
      <c r="I5419" s="68" t="s">
        <v>21776</v>
      </c>
      <c r="J5419" s="87" t="s">
        <v>21777</v>
      </c>
      <c r="K5419" s="83">
        <v>43383.0</v>
      </c>
      <c r="L5419" s="68" t="s">
        <v>2743</v>
      </c>
      <c r="M5419" s="68" t="s">
        <v>4273</v>
      </c>
      <c r="N5419" s="116"/>
      <c r="O5419" s="51"/>
    </row>
    <row r="5420">
      <c r="A5420" s="56">
        <v>5417.0</v>
      </c>
      <c r="B5420" s="241"/>
      <c r="C5420" s="64" t="s">
        <v>21778</v>
      </c>
      <c r="D5420" s="66"/>
      <c r="E5420" s="63" t="s">
        <v>21779</v>
      </c>
      <c r="F5420" s="70">
        <v>42570.0</v>
      </c>
      <c r="G5420" s="80" t="s">
        <v>21780</v>
      </c>
      <c r="H5420" s="82"/>
      <c r="I5420" s="66"/>
      <c r="J5420" s="63" t="s">
        <v>5679</v>
      </c>
      <c r="K5420" s="65">
        <v>43383.0</v>
      </c>
      <c r="L5420" s="63" t="s">
        <v>2743</v>
      </c>
      <c r="M5420" s="63" t="s">
        <v>125</v>
      </c>
      <c r="N5420" s="116"/>
      <c r="O5420" s="51"/>
    </row>
    <row r="5421">
      <c r="A5421" s="75">
        <v>5418.0</v>
      </c>
      <c r="B5421" s="240"/>
      <c r="C5421" s="69" t="s">
        <v>21781</v>
      </c>
      <c r="D5421" s="71"/>
      <c r="E5421" s="68" t="s">
        <v>21782</v>
      </c>
      <c r="F5421" s="76">
        <v>43316.0</v>
      </c>
      <c r="G5421" s="68" t="s">
        <v>21783</v>
      </c>
      <c r="H5421" s="71"/>
      <c r="I5421" s="71"/>
      <c r="J5421" s="68" t="s">
        <v>21784</v>
      </c>
      <c r="K5421" s="83">
        <v>43383.0</v>
      </c>
      <c r="L5421" s="68" t="s">
        <v>2743</v>
      </c>
      <c r="M5421" s="68" t="s">
        <v>403</v>
      </c>
      <c r="N5421" s="116"/>
      <c r="O5421" s="51"/>
    </row>
    <row r="5422">
      <c r="A5422" s="56">
        <v>5419.0</v>
      </c>
      <c r="B5422" s="240"/>
      <c r="C5422" s="69" t="s">
        <v>21785</v>
      </c>
      <c r="D5422" s="71"/>
      <c r="E5422" s="68" t="s">
        <v>21786</v>
      </c>
      <c r="F5422" s="76">
        <v>43308.0</v>
      </c>
      <c r="G5422" s="68" t="s">
        <v>21787</v>
      </c>
      <c r="H5422" s="71"/>
      <c r="I5422" s="71"/>
      <c r="J5422" s="68" t="s">
        <v>21788</v>
      </c>
      <c r="K5422" s="83">
        <v>43383.0</v>
      </c>
      <c r="L5422" s="68" t="s">
        <v>2743</v>
      </c>
      <c r="M5422" s="68" t="s">
        <v>166</v>
      </c>
      <c r="N5422" s="116"/>
      <c r="O5422" s="51"/>
    </row>
    <row r="5423">
      <c r="A5423" s="56">
        <v>5420.0</v>
      </c>
      <c r="B5423" s="241"/>
      <c r="C5423" s="64" t="s">
        <v>21789</v>
      </c>
      <c r="D5423" s="66"/>
      <c r="E5423" s="63" t="s">
        <v>21790</v>
      </c>
      <c r="F5423" s="70">
        <v>42122.0</v>
      </c>
      <c r="G5423" s="80" t="s">
        <v>21791</v>
      </c>
      <c r="H5423" s="82"/>
      <c r="I5423" s="66"/>
      <c r="J5423" s="63" t="s">
        <v>21792</v>
      </c>
      <c r="K5423" s="65">
        <v>43383.0</v>
      </c>
      <c r="L5423" s="63" t="s">
        <v>2743</v>
      </c>
      <c r="M5423" s="63" t="s">
        <v>166</v>
      </c>
      <c r="N5423" s="116"/>
      <c r="O5423" s="51"/>
    </row>
    <row r="5424">
      <c r="A5424" s="56">
        <v>5421.0</v>
      </c>
      <c r="B5424" s="240"/>
      <c r="C5424" s="69" t="s">
        <v>21793</v>
      </c>
      <c r="D5424" s="71"/>
      <c r="E5424" s="68" t="s">
        <v>21794</v>
      </c>
      <c r="F5424" s="76">
        <v>43367.0</v>
      </c>
      <c r="G5424" s="68" t="s">
        <v>21795</v>
      </c>
      <c r="H5424" s="71"/>
      <c r="I5424" s="71"/>
      <c r="J5424" s="68" t="s">
        <v>21796</v>
      </c>
      <c r="K5424" s="83">
        <v>43383.0</v>
      </c>
      <c r="L5424" s="68" t="s">
        <v>2743</v>
      </c>
      <c r="M5424" s="68" t="s">
        <v>2291</v>
      </c>
      <c r="N5424" s="116"/>
      <c r="O5424" s="51"/>
    </row>
    <row r="5425">
      <c r="A5425" s="56">
        <v>5422.0</v>
      </c>
      <c r="B5425" s="241"/>
      <c r="C5425" s="64" t="s">
        <v>21797</v>
      </c>
      <c r="D5425" s="66"/>
      <c r="E5425" s="63" t="s">
        <v>21798</v>
      </c>
      <c r="F5425" s="70">
        <v>42809.0</v>
      </c>
      <c r="G5425" s="80" t="s">
        <v>21799</v>
      </c>
      <c r="H5425" s="82"/>
      <c r="I5425" s="66"/>
      <c r="J5425" s="63" t="s">
        <v>7523</v>
      </c>
      <c r="K5425" s="65">
        <v>43383.0</v>
      </c>
      <c r="L5425" s="63" t="s">
        <v>2743</v>
      </c>
      <c r="M5425" s="63" t="s">
        <v>1664</v>
      </c>
      <c r="N5425" s="116"/>
      <c r="O5425" s="51"/>
    </row>
    <row r="5426">
      <c r="A5426" s="56">
        <v>5423.0</v>
      </c>
      <c r="B5426" s="240"/>
      <c r="C5426" s="69" t="s">
        <v>21800</v>
      </c>
      <c r="D5426" s="71"/>
      <c r="E5426" s="68" t="s">
        <v>21801</v>
      </c>
      <c r="F5426" s="76">
        <v>42472.0</v>
      </c>
      <c r="G5426" s="68" t="s">
        <v>21802</v>
      </c>
      <c r="H5426" s="71"/>
      <c r="I5426" s="71"/>
      <c r="J5426" s="68" t="s">
        <v>21803</v>
      </c>
      <c r="K5426" s="83">
        <v>43383.0</v>
      </c>
      <c r="L5426" s="68" t="s">
        <v>19483</v>
      </c>
      <c r="M5426" s="68" t="s">
        <v>16486</v>
      </c>
      <c r="N5426" s="116"/>
      <c r="O5426" s="51"/>
    </row>
    <row r="5427">
      <c r="A5427" s="75">
        <v>5424.0</v>
      </c>
      <c r="B5427" s="240"/>
      <c r="C5427" s="69" t="s">
        <v>21804</v>
      </c>
      <c r="D5427" s="71"/>
      <c r="E5427" s="68" t="s">
        <v>21805</v>
      </c>
      <c r="F5427" s="76">
        <v>40604.0</v>
      </c>
      <c r="G5427" s="68" t="s">
        <v>21806</v>
      </c>
      <c r="H5427" s="71"/>
      <c r="I5427" s="71"/>
      <c r="J5427" s="68" t="s">
        <v>5369</v>
      </c>
      <c r="K5427" s="83">
        <v>43384.0</v>
      </c>
      <c r="L5427" s="68" t="s">
        <v>2743</v>
      </c>
      <c r="M5427" s="68" t="s">
        <v>368</v>
      </c>
      <c r="N5427" s="116"/>
      <c r="O5427" s="51"/>
    </row>
    <row r="5428">
      <c r="A5428" s="56">
        <v>5425.0</v>
      </c>
      <c r="B5428" s="240"/>
      <c r="C5428" s="69" t="s">
        <v>21807</v>
      </c>
      <c r="D5428" s="71"/>
      <c r="E5428" s="68" t="s">
        <v>21808</v>
      </c>
      <c r="F5428" s="76">
        <v>42872.0</v>
      </c>
      <c r="G5428" s="68" t="s">
        <v>21809</v>
      </c>
      <c r="H5428" s="71"/>
      <c r="I5428" s="71"/>
      <c r="J5428" s="87" t="s">
        <v>21810</v>
      </c>
      <c r="K5428" s="83">
        <v>43384.0</v>
      </c>
      <c r="L5428" s="68" t="s">
        <v>2743</v>
      </c>
      <c r="M5428" s="68" t="s">
        <v>125</v>
      </c>
      <c r="N5428" s="116"/>
      <c r="O5428" s="51"/>
    </row>
    <row r="5429">
      <c r="A5429" s="56">
        <v>5426.0</v>
      </c>
      <c r="B5429" s="240"/>
      <c r="C5429" s="69" t="s">
        <v>21811</v>
      </c>
      <c r="D5429" s="71"/>
      <c r="E5429" s="68" t="s">
        <v>21812</v>
      </c>
      <c r="F5429" s="76">
        <v>43228.0</v>
      </c>
      <c r="G5429" s="68" t="s">
        <v>21813</v>
      </c>
      <c r="H5429" s="71"/>
      <c r="I5429" s="71"/>
      <c r="J5429" s="68" t="s">
        <v>21814</v>
      </c>
      <c r="K5429" s="83">
        <v>43384.0</v>
      </c>
      <c r="L5429" s="68" t="s">
        <v>2743</v>
      </c>
      <c r="M5429" s="68" t="s">
        <v>125</v>
      </c>
      <c r="N5429" s="116"/>
      <c r="O5429" s="51"/>
    </row>
    <row r="5430">
      <c r="A5430" s="56">
        <v>5427.0</v>
      </c>
      <c r="B5430" s="240"/>
      <c r="C5430" s="69" t="s">
        <v>21815</v>
      </c>
      <c r="D5430" s="71"/>
      <c r="E5430" s="68" t="s">
        <v>21816</v>
      </c>
      <c r="F5430" s="76">
        <v>40452.0</v>
      </c>
      <c r="G5430" s="68" t="s">
        <v>21817</v>
      </c>
      <c r="H5430" s="71"/>
      <c r="I5430" s="71"/>
      <c r="J5430" s="87" t="s">
        <v>21818</v>
      </c>
      <c r="K5430" s="83">
        <v>43384.0</v>
      </c>
      <c r="L5430" s="68" t="s">
        <v>16185</v>
      </c>
      <c r="M5430" s="68" t="s">
        <v>195</v>
      </c>
      <c r="N5430" s="116"/>
      <c r="O5430" s="51"/>
    </row>
    <row r="5431">
      <c r="A5431" s="56">
        <v>5428.0</v>
      </c>
      <c r="B5431" s="240"/>
      <c r="C5431" s="69" t="s">
        <v>21819</v>
      </c>
      <c r="D5431" s="71"/>
      <c r="E5431" s="68" t="s">
        <v>21820</v>
      </c>
      <c r="F5431" s="76">
        <v>42127.0</v>
      </c>
      <c r="G5431" s="68" t="s">
        <v>21821</v>
      </c>
      <c r="H5431" s="71"/>
      <c r="I5431" s="68" t="s">
        <v>21822</v>
      </c>
      <c r="J5431" s="68" t="s">
        <v>21823</v>
      </c>
      <c r="K5431" s="83">
        <v>43384.0</v>
      </c>
      <c r="L5431" s="68" t="s">
        <v>16185</v>
      </c>
      <c r="M5431" s="68" t="s">
        <v>4273</v>
      </c>
      <c r="N5431" s="116"/>
      <c r="O5431" s="51"/>
    </row>
    <row r="5432">
      <c r="A5432" s="75">
        <v>5429.0</v>
      </c>
      <c r="B5432" s="240"/>
      <c r="C5432" s="69" t="s">
        <v>21824</v>
      </c>
      <c r="D5432" s="71"/>
      <c r="E5432" s="68" t="s">
        <v>21825</v>
      </c>
      <c r="F5432" s="76">
        <v>42101.0</v>
      </c>
      <c r="G5432" s="68" t="s">
        <v>21826</v>
      </c>
      <c r="H5432" s="68" t="s">
        <v>21827</v>
      </c>
      <c r="I5432" s="68" t="s">
        <v>21828</v>
      </c>
      <c r="J5432" s="68" t="s">
        <v>21829</v>
      </c>
      <c r="K5432" s="83">
        <v>43384.0</v>
      </c>
      <c r="L5432" s="68" t="s">
        <v>2743</v>
      </c>
      <c r="M5432" s="68" t="s">
        <v>872</v>
      </c>
      <c r="N5432" s="116"/>
      <c r="O5432" s="51"/>
    </row>
    <row r="5433">
      <c r="A5433" s="56">
        <v>5430.0</v>
      </c>
      <c r="B5433" s="240"/>
      <c r="C5433" s="69" t="s">
        <v>21830</v>
      </c>
      <c r="D5433" s="71"/>
      <c r="E5433" s="68" t="s">
        <v>21831</v>
      </c>
      <c r="F5433" s="76">
        <v>42385.0</v>
      </c>
      <c r="G5433" s="68" t="s">
        <v>21832</v>
      </c>
      <c r="H5433" s="71"/>
      <c r="I5433" s="68" t="s">
        <v>21833</v>
      </c>
      <c r="J5433" s="68" t="s">
        <v>21834</v>
      </c>
      <c r="K5433" s="83">
        <v>43384.0</v>
      </c>
      <c r="L5433" s="68" t="s">
        <v>2743</v>
      </c>
      <c r="M5433" s="68" t="s">
        <v>872</v>
      </c>
      <c r="N5433" s="116"/>
      <c r="O5433" s="51"/>
    </row>
    <row r="5434">
      <c r="A5434" s="56">
        <v>5431.0</v>
      </c>
      <c r="B5434" s="240"/>
      <c r="C5434" s="69" t="s">
        <v>21835</v>
      </c>
      <c r="D5434" s="71"/>
      <c r="E5434" s="68" t="s">
        <v>21836</v>
      </c>
      <c r="F5434" s="76">
        <v>43009.0</v>
      </c>
      <c r="G5434" s="68" t="s">
        <v>21837</v>
      </c>
      <c r="H5434" s="71"/>
      <c r="I5434" s="71"/>
      <c r="J5434" s="87" t="s">
        <v>21838</v>
      </c>
      <c r="K5434" s="83">
        <v>43385.0</v>
      </c>
      <c r="L5434" s="68" t="s">
        <v>2743</v>
      </c>
      <c r="M5434" s="68" t="s">
        <v>1509</v>
      </c>
      <c r="N5434" s="116"/>
      <c r="O5434" s="51"/>
    </row>
    <row r="5435">
      <c r="A5435" s="56">
        <v>5432.0</v>
      </c>
      <c r="B5435" s="240"/>
      <c r="C5435" s="69" t="s">
        <v>21839</v>
      </c>
      <c r="D5435" s="71"/>
      <c r="E5435" s="68" t="s">
        <v>21840</v>
      </c>
      <c r="F5435" s="76">
        <v>43040.0</v>
      </c>
      <c r="G5435" s="68" t="s">
        <v>21841</v>
      </c>
      <c r="H5435" s="71"/>
      <c r="I5435" s="71"/>
      <c r="J5435" s="68" t="s">
        <v>21842</v>
      </c>
      <c r="K5435" s="83">
        <v>43385.0</v>
      </c>
      <c r="L5435" s="68" t="s">
        <v>2743</v>
      </c>
      <c r="M5435" s="68" t="s">
        <v>1509</v>
      </c>
      <c r="N5435" s="116"/>
      <c r="O5435" s="51"/>
    </row>
    <row r="5436">
      <c r="A5436" s="56">
        <v>5433.0</v>
      </c>
      <c r="B5436" s="241"/>
      <c r="C5436" s="64" t="s">
        <v>21843</v>
      </c>
      <c r="D5436" s="66"/>
      <c r="E5436" s="63" t="s">
        <v>21844</v>
      </c>
      <c r="F5436" s="70">
        <v>40352.0</v>
      </c>
      <c r="G5436" s="80" t="s">
        <v>21845</v>
      </c>
      <c r="H5436" s="82"/>
      <c r="I5436" s="66"/>
      <c r="J5436" s="63" t="s">
        <v>6393</v>
      </c>
      <c r="K5436" s="65">
        <v>43385.0</v>
      </c>
      <c r="L5436" s="63" t="s">
        <v>2743</v>
      </c>
      <c r="M5436" s="63" t="s">
        <v>195</v>
      </c>
      <c r="N5436" s="116"/>
      <c r="O5436" s="51"/>
    </row>
    <row r="5437">
      <c r="A5437" s="56">
        <v>5434.0</v>
      </c>
      <c r="B5437" s="240"/>
      <c r="C5437" s="69" t="s">
        <v>21846</v>
      </c>
      <c r="D5437" s="71"/>
      <c r="E5437" s="68" t="s">
        <v>21847</v>
      </c>
      <c r="F5437" s="76">
        <v>43350.0</v>
      </c>
      <c r="G5437" s="68" t="s">
        <v>21848</v>
      </c>
      <c r="H5437" s="71"/>
      <c r="I5437" s="71"/>
      <c r="J5437" s="87" t="s">
        <v>21849</v>
      </c>
      <c r="K5437" s="83">
        <v>43388.0</v>
      </c>
      <c r="L5437" s="68" t="s">
        <v>2743</v>
      </c>
      <c r="M5437" s="68" t="s">
        <v>125</v>
      </c>
      <c r="N5437" s="116"/>
      <c r="O5437" s="51"/>
    </row>
    <row r="5438">
      <c r="A5438" s="56">
        <v>5435.0</v>
      </c>
      <c r="B5438" s="240"/>
      <c r="C5438" s="69" t="s">
        <v>21850</v>
      </c>
      <c r="D5438" s="71"/>
      <c r="E5438" s="68" t="s">
        <v>21851</v>
      </c>
      <c r="F5438" s="76">
        <v>43350.0</v>
      </c>
      <c r="G5438" s="68" t="s">
        <v>21852</v>
      </c>
      <c r="H5438" s="71"/>
      <c r="I5438" s="71"/>
      <c r="J5438" s="87" t="s">
        <v>21853</v>
      </c>
      <c r="K5438" s="83">
        <v>43388.0</v>
      </c>
      <c r="L5438" s="68" t="s">
        <v>2743</v>
      </c>
      <c r="M5438" s="68" t="s">
        <v>125</v>
      </c>
      <c r="N5438" s="116"/>
      <c r="O5438" s="51"/>
    </row>
    <row r="5439">
      <c r="A5439" s="56">
        <v>5436.0</v>
      </c>
      <c r="B5439" s="240"/>
      <c r="C5439" s="69" t="s">
        <v>21854</v>
      </c>
      <c r="D5439" s="71"/>
      <c r="E5439" s="68" t="s">
        <v>21855</v>
      </c>
      <c r="F5439" s="76">
        <v>43368.0</v>
      </c>
      <c r="G5439" s="68" t="s">
        <v>21856</v>
      </c>
      <c r="H5439" s="71"/>
      <c r="I5439" s="71"/>
      <c r="J5439" s="68" t="s">
        <v>21857</v>
      </c>
      <c r="K5439" s="83">
        <v>43388.0</v>
      </c>
      <c r="L5439" s="68" t="s">
        <v>2743</v>
      </c>
      <c r="M5439" s="68" t="s">
        <v>2527</v>
      </c>
      <c r="N5439" s="116"/>
      <c r="O5439" s="51"/>
    </row>
    <row r="5440">
      <c r="A5440" s="56">
        <v>5437.0</v>
      </c>
      <c r="B5440" s="241"/>
      <c r="C5440" s="64" t="s">
        <v>21858</v>
      </c>
      <c r="D5440" s="66"/>
      <c r="E5440" s="63" t="s">
        <v>21859</v>
      </c>
      <c r="F5440" s="70">
        <v>42905.0</v>
      </c>
      <c r="G5440" s="80" t="s">
        <v>21860</v>
      </c>
      <c r="H5440" s="82"/>
      <c r="I5440" s="66"/>
      <c r="J5440" s="63" t="s">
        <v>5679</v>
      </c>
      <c r="K5440" s="65">
        <v>43389.0</v>
      </c>
      <c r="L5440" s="63" t="s">
        <v>2743</v>
      </c>
      <c r="M5440" s="63" t="s">
        <v>368</v>
      </c>
      <c r="N5440" s="116"/>
      <c r="O5440" s="51"/>
    </row>
    <row r="5441">
      <c r="A5441" s="56">
        <v>5438.0</v>
      </c>
      <c r="B5441" s="241"/>
      <c r="C5441" s="64" t="s">
        <v>21861</v>
      </c>
      <c r="D5441" s="66"/>
      <c r="E5441" s="63" t="s">
        <v>21862</v>
      </c>
      <c r="F5441" s="70">
        <v>43332.0</v>
      </c>
      <c r="G5441" s="80" t="s">
        <v>21863</v>
      </c>
      <c r="H5441" s="82"/>
      <c r="I5441" s="66"/>
      <c r="J5441" s="63" t="s">
        <v>5679</v>
      </c>
      <c r="K5441" s="65">
        <v>43389.0</v>
      </c>
      <c r="L5441" s="63" t="s">
        <v>2743</v>
      </c>
      <c r="M5441" s="63" t="s">
        <v>3714</v>
      </c>
      <c r="N5441" s="116"/>
      <c r="O5441" s="51"/>
    </row>
    <row r="5442">
      <c r="A5442" s="56">
        <v>5439.0</v>
      </c>
      <c r="B5442" s="240"/>
      <c r="C5442" s="69" t="s">
        <v>21864</v>
      </c>
      <c r="D5442" s="71"/>
      <c r="E5442" s="68" t="s">
        <v>21865</v>
      </c>
      <c r="F5442" s="76">
        <v>43371.0</v>
      </c>
      <c r="G5442" s="68" t="s">
        <v>21866</v>
      </c>
      <c r="H5442" s="71"/>
      <c r="I5442" s="71"/>
      <c r="J5442" s="68" t="s">
        <v>21867</v>
      </c>
      <c r="K5442" s="83">
        <v>43389.0</v>
      </c>
      <c r="L5442" s="68" t="s">
        <v>2743</v>
      </c>
      <c r="M5442" s="68" t="s">
        <v>143</v>
      </c>
      <c r="N5442" s="116"/>
      <c r="O5442" s="51"/>
    </row>
    <row r="5443">
      <c r="A5443" s="56">
        <v>5440.0</v>
      </c>
      <c r="B5443" s="240"/>
      <c r="C5443" s="69" t="s">
        <v>21868</v>
      </c>
      <c r="D5443" s="71"/>
      <c r="E5443" s="68" t="s">
        <v>21869</v>
      </c>
      <c r="F5443" s="76">
        <v>43371.0</v>
      </c>
      <c r="G5443" s="68" t="s">
        <v>21866</v>
      </c>
      <c r="H5443" s="71"/>
      <c r="I5443" s="71"/>
      <c r="J5443" s="68" t="s">
        <v>21870</v>
      </c>
      <c r="K5443" s="83">
        <v>43389.0</v>
      </c>
      <c r="L5443" s="68" t="s">
        <v>2743</v>
      </c>
      <c r="M5443" s="68" t="s">
        <v>143</v>
      </c>
      <c r="N5443" s="116"/>
      <c r="O5443" s="51"/>
    </row>
    <row r="5444">
      <c r="A5444" s="56">
        <v>5441.0</v>
      </c>
      <c r="B5444" s="240"/>
      <c r="C5444" s="69" t="s">
        <v>21871</v>
      </c>
      <c r="D5444" s="71"/>
      <c r="E5444" s="68" t="s">
        <v>21872</v>
      </c>
      <c r="F5444" s="76">
        <v>43370.0</v>
      </c>
      <c r="G5444" s="68" t="s">
        <v>21873</v>
      </c>
      <c r="H5444" s="71"/>
      <c r="I5444" s="68" t="s">
        <v>21874</v>
      </c>
      <c r="J5444" s="68" t="s">
        <v>21875</v>
      </c>
      <c r="K5444" s="83">
        <v>43389.0</v>
      </c>
      <c r="L5444" s="68" t="s">
        <v>2743</v>
      </c>
      <c r="M5444" s="68" t="s">
        <v>31</v>
      </c>
      <c r="N5444" s="116"/>
      <c r="O5444" s="51"/>
    </row>
    <row r="5445">
      <c r="A5445" s="56">
        <v>5442.0</v>
      </c>
      <c r="B5445" s="241"/>
      <c r="C5445" s="64" t="s">
        <v>21876</v>
      </c>
      <c r="D5445" s="66"/>
      <c r="E5445" s="63" t="s">
        <v>21877</v>
      </c>
      <c r="F5445" s="70">
        <v>40666.0</v>
      </c>
      <c r="G5445" s="80" t="s">
        <v>21878</v>
      </c>
      <c r="H5445" s="80" t="s">
        <v>21879</v>
      </c>
      <c r="I5445" s="66"/>
      <c r="J5445" s="63" t="s">
        <v>6393</v>
      </c>
      <c r="K5445" s="65">
        <v>43389.0</v>
      </c>
      <c r="L5445" s="63" t="s">
        <v>2743</v>
      </c>
      <c r="M5445" s="63" t="s">
        <v>125</v>
      </c>
      <c r="N5445" s="116"/>
      <c r="O5445" s="51"/>
    </row>
    <row r="5446">
      <c r="A5446" s="56">
        <v>5443.0</v>
      </c>
      <c r="B5446" s="241"/>
      <c r="C5446" s="64" t="s">
        <v>21880</v>
      </c>
      <c r="D5446" s="66"/>
      <c r="E5446" s="63" t="s">
        <v>21881</v>
      </c>
      <c r="F5446" s="70">
        <v>41453.0</v>
      </c>
      <c r="G5446" s="80" t="s">
        <v>21882</v>
      </c>
      <c r="H5446" s="82"/>
      <c r="I5446" s="63" t="s">
        <v>21883</v>
      </c>
      <c r="J5446" s="63" t="s">
        <v>6393</v>
      </c>
      <c r="K5446" s="65">
        <v>43389.0</v>
      </c>
      <c r="L5446" s="63" t="s">
        <v>2743</v>
      </c>
      <c r="M5446" s="63" t="s">
        <v>21884</v>
      </c>
      <c r="N5446" s="116"/>
      <c r="O5446" s="51"/>
    </row>
    <row r="5447">
      <c r="A5447" s="56">
        <v>5444.0</v>
      </c>
      <c r="B5447" s="240"/>
      <c r="C5447" s="69" t="s">
        <v>21885</v>
      </c>
      <c r="D5447" s="71"/>
      <c r="E5447" s="68" t="s">
        <v>21886</v>
      </c>
      <c r="F5447" s="76">
        <v>42736.0</v>
      </c>
      <c r="G5447" s="68" t="s">
        <v>21887</v>
      </c>
      <c r="H5447" s="71"/>
      <c r="I5447" s="71"/>
      <c r="J5447" s="87" t="s">
        <v>21888</v>
      </c>
      <c r="K5447" s="83">
        <v>43389.0</v>
      </c>
      <c r="L5447" s="68" t="s">
        <v>2743</v>
      </c>
      <c r="M5447" s="68" t="s">
        <v>195</v>
      </c>
      <c r="N5447" s="116"/>
      <c r="O5447" s="51"/>
    </row>
    <row r="5448">
      <c r="A5448" s="56">
        <v>5445.0</v>
      </c>
      <c r="B5448" s="241"/>
      <c r="C5448" s="64" t="s">
        <v>21889</v>
      </c>
      <c r="D5448" s="66"/>
      <c r="E5448" s="63" t="s">
        <v>21890</v>
      </c>
      <c r="F5448" s="70">
        <v>41164.0</v>
      </c>
      <c r="G5448" s="80" t="s">
        <v>21891</v>
      </c>
      <c r="H5448" s="82"/>
      <c r="I5448" s="63" t="s">
        <v>21892</v>
      </c>
      <c r="J5448" s="63" t="s">
        <v>7523</v>
      </c>
      <c r="K5448" s="65">
        <v>43391.0</v>
      </c>
      <c r="L5448" s="63" t="s">
        <v>2743</v>
      </c>
      <c r="M5448" s="63" t="s">
        <v>149</v>
      </c>
      <c r="N5448" s="116"/>
      <c r="O5448" s="51"/>
    </row>
    <row r="5449">
      <c r="A5449" s="56">
        <v>5446.0</v>
      </c>
      <c r="B5449" s="241"/>
      <c r="C5449" s="64" t="s">
        <v>21893</v>
      </c>
      <c r="D5449" s="66"/>
      <c r="E5449" s="63" t="s">
        <v>21894</v>
      </c>
      <c r="F5449" s="70">
        <v>42855.0</v>
      </c>
      <c r="G5449" s="80" t="s">
        <v>21895</v>
      </c>
      <c r="H5449" s="82"/>
      <c r="I5449" s="66"/>
      <c r="J5449" s="63" t="s">
        <v>5679</v>
      </c>
      <c r="K5449" s="65">
        <v>43391.0</v>
      </c>
      <c r="L5449" s="63" t="s">
        <v>2743</v>
      </c>
      <c r="M5449" s="63" t="s">
        <v>542</v>
      </c>
      <c r="N5449" s="116"/>
      <c r="O5449" s="51"/>
    </row>
    <row r="5450">
      <c r="A5450" s="56">
        <v>5447.0</v>
      </c>
      <c r="B5450" s="241"/>
      <c r="C5450" s="64" t="s">
        <v>21896</v>
      </c>
      <c r="D5450" s="66"/>
      <c r="E5450" s="63" t="s">
        <v>21897</v>
      </c>
      <c r="F5450" s="70">
        <v>39273.0</v>
      </c>
      <c r="G5450" s="80" t="s">
        <v>21898</v>
      </c>
      <c r="H5450" s="80" t="s">
        <v>21899</v>
      </c>
      <c r="I5450" s="63" t="s">
        <v>21900</v>
      </c>
      <c r="J5450" s="63" t="s">
        <v>10817</v>
      </c>
      <c r="K5450" s="65">
        <v>43393.0</v>
      </c>
      <c r="L5450" s="63" t="s">
        <v>2743</v>
      </c>
      <c r="M5450" s="63" t="s">
        <v>31</v>
      </c>
      <c r="N5450" s="116"/>
      <c r="O5450" s="51"/>
    </row>
    <row r="5451">
      <c r="A5451" s="56">
        <v>5448.0</v>
      </c>
      <c r="B5451" s="240"/>
      <c r="C5451" s="69" t="s">
        <v>21901</v>
      </c>
      <c r="D5451" s="71"/>
      <c r="E5451" s="68" t="s">
        <v>21902</v>
      </c>
      <c r="F5451" s="76">
        <v>43353.0</v>
      </c>
      <c r="G5451" s="68" t="s">
        <v>21903</v>
      </c>
      <c r="H5451" s="71"/>
      <c r="I5451" s="71"/>
      <c r="J5451" s="68" t="s">
        <v>21904</v>
      </c>
      <c r="K5451" s="83">
        <v>43393.0</v>
      </c>
      <c r="L5451" s="68" t="s">
        <v>2743</v>
      </c>
      <c r="M5451" s="68" t="s">
        <v>149</v>
      </c>
      <c r="N5451" s="116"/>
      <c r="O5451" s="51"/>
    </row>
    <row r="5452">
      <c r="A5452" s="56">
        <v>5449.0</v>
      </c>
      <c r="B5452" s="241"/>
      <c r="C5452" s="64" t="s">
        <v>21905</v>
      </c>
      <c r="D5452" s="66"/>
      <c r="E5452" s="63" t="s">
        <v>21906</v>
      </c>
      <c r="F5452" s="70">
        <v>41846.0</v>
      </c>
      <c r="G5452" s="80" t="s">
        <v>21907</v>
      </c>
      <c r="H5452" s="82"/>
      <c r="I5452" s="63" t="s">
        <v>21908</v>
      </c>
      <c r="J5452" s="63" t="s">
        <v>5679</v>
      </c>
      <c r="K5452" s="65">
        <v>43393.0</v>
      </c>
      <c r="L5452" s="63" t="s">
        <v>2743</v>
      </c>
      <c r="M5452" s="63" t="s">
        <v>125</v>
      </c>
      <c r="N5452" s="116"/>
      <c r="O5452" s="51"/>
    </row>
    <row r="5453">
      <c r="A5453" s="56">
        <v>5450.0</v>
      </c>
      <c r="B5453" s="240"/>
      <c r="C5453" s="69" t="s">
        <v>21909</v>
      </c>
      <c r="D5453" s="71"/>
      <c r="E5453" s="68" t="s">
        <v>21910</v>
      </c>
      <c r="F5453" s="76">
        <v>43364.0</v>
      </c>
      <c r="G5453" s="68" t="s">
        <v>21911</v>
      </c>
      <c r="H5453" s="71"/>
      <c r="I5453" s="71"/>
      <c r="J5453" s="68" t="s">
        <v>21912</v>
      </c>
      <c r="K5453" s="83">
        <v>43758.0</v>
      </c>
      <c r="L5453" s="68" t="s">
        <v>2743</v>
      </c>
      <c r="M5453" s="68" t="s">
        <v>368</v>
      </c>
      <c r="N5453" s="116"/>
      <c r="O5453" s="51"/>
    </row>
    <row r="5454">
      <c r="A5454" s="56">
        <v>5451.0</v>
      </c>
      <c r="B5454" s="241"/>
      <c r="C5454" s="64" t="s">
        <v>21913</v>
      </c>
      <c r="D5454" s="66"/>
      <c r="E5454" s="63" t="s">
        <v>21914</v>
      </c>
      <c r="F5454" s="70">
        <v>43350.0</v>
      </c>
      <c r="G5454" s="80" t="s">
        <v>21915</v>
      </c>
      <c r="H5454" s="82"/>
      <c r="I5454" s="66"/>
      <c r="J5454" s="63" t="s">
        <v>7523</v>
      </c>
      <c r="K5454" s="65">
        <v>43758.0</v>
      </c>
      <c r="L5454" s="63" t="s">
        <v>2743</v>
      </c>
      <c r="M5454" s="63" t="s">
        <v>2692</v>
      </c>
      <c r="N5454" s="116"/>
      <c r="O5454" s="51"/>
    </row>
    <row r="5455">
      <c r="A5455" s="56">
        <v>5452.0</v>
      </c>
      <c r="B5455" s="240"/>
      <c r="C5455" s="69" t="s">
        <v>21916</v>
      </c>
      <c r="D5455" s="71"/>
      <c r="E5455" s="68" t="s">
        <v>21917</v>
      </c>
      <c r="F5455" s="83">
        <v>41958.0</v>
      </c>
      <c r="G5455" s="68" t="s">
        <v>21918</v>
      </c>
      <c r="H5455" s="71"/>
      <c r="I5455" s="71"/>
      <c r="J5455" s="68" t="s">
        <v>21919</v>
      </c>
      <c r="K5455" s="83">
        <v>43758.0</v>
      </c>
      <c r="L5455" s="68" t="s">
        <v>2743</v>
      </c>
      <c r="M5455" s="68" t="s">
        <v>530</v>
      </c>
      <c r="N5455" s="116"/>
      <c r="O5455" s="51"/>
    </row>
    <row r="5456">
      <c r="A5456" s="56">
        <v>5453.0</v>
      </c>
      <c r="B5456" s="240"/>
      <c r="C5456" s="69" t="s">
        <v>21920</v>
      </c>
      <c r="D5456" s="71"/>
      <c r="E5456" s="68" t="s">
        <v>21921</v>
      </c>
      <c r="F5456" s="83">
        <v>43049.0</v>
      </c>
      <c r="G5456" s="68" t="s">
        <v>21922</v>
      </c>
      <c r="H5456" s="71"/>
      <c r="I5456" s="71"/>
      <c r="J5456" s="68" t="s">
        <v>21923</v>
      </c>
      <c r="K5456" s="83">
        <v>43758.0</v>
      </c>
      <c r="L5456" s="68" t="s">
        <v>2743</v>
      </c>
      <c r="M5456" s="68" t="s">
        <v>1509</v>
      </c>
      <c r="N5456" s="116"/>
      <c r="O5456" s="51"/>
    </row>
    <row r="5457">
      <c r="A5457" s="56">
        <v>5454.0</v>
      </c>
      <c r="B5457" s="240"/>
      <c r="C5457" s="69" t="s">
        <v>21924</v>
      </c>
      <c r="D5457" s="71"/>
      <c r="E5457" s="68" t="s">
        <v>21925</v>
      </c>
      <c r="F5457" s="76">
        <v>43367.0</v>
      </c>
      <c r="G5457" s="68" t="s">
        <v>21926</v>
      </c>
      <c r="H5457" s="71"/>
      <c r="I5457" s="71"/>
      <c r="J5457" s="68" t="s">
        <v>21796</v>
      </c>
      <c r="K5457" s="83">
        <v>43758.0</v>
      </c>
      <c r="L5457" s="68" t="s">
        <v>2743</v>
      </c>
      <c r="M5457" s="68" t="s">
        <v>143</v>
      </c>
      <c r="N5457" s="116"/>
      <c r="O5457" s="51"/>
    </row>
    <row r="5458">
      <c r="A5458" s="56">
        <v>5455.0</v>
      </c>
      <c r="B5458" s="240"/>
      <c r="C5458" s="69" t="s">
        <v>21927</v>
      </c>
      <c r="D5458" s="71"/>
      <c r="E5458" s="68" t="s">
        <v>21928</v>
      </c>
      <c r="F5458" s="76">
        <v>42645.0</v>
      </c>
      <c r="G5458" s="68" t="s">
        <v>21929</v>
      </c>
      <c r="H5458" s="71"/>
      <c r="I5458" s="71"/>
      <c r="J5458" s="87" t="s">
        <v>21930</v>
      </c>
      <c r="K5458" s="83">
        <v>43758.0</v>
      </c>
      <c r="L5458" s="68" t="s">
        <v>2743</v>
      </c>
      <c r="M5458" s="68" t="s">
        <v>195</v>
      </c>
      <c r="N5458" s="116"/>
      <c r="O5458" s="51"/>
    </row>
    <row r="5459">
      <c r="A5459" s="56">
        <v>5456.0</v>
      </c>
      <c r="B5459" s="241"/>
      <c r="C5459" s="64" t="s">
        <v>21931</v>
      </c>
      <c r="D5459" s="66"/>
      <c r="E5459" s="63" t="s">
        <v>21932</v>
      </c>
      <c r="F5459" s="70">
        <v>42015.0</v>
      </c>
      <c r="G5459" s="80" t="s">
        <v>21933</v>
      </c>
      <c r="H5459" s="82"/>
      <c r="I5459" s="66"/>
      <c r="J5459" s="63" t="s">
        <v>11049</v>
      </c>
      <c r="K5459" s="65">
        <v>43760.0</v>
      </c>
      <c r="L5459" s="63" t="s">
        <v>2743</v>
      </c>
      <c r="M5459" s="63" t="s">
        <v>27</v>
      </c>
      <c r="N5459" s="116"/>
      <c r="O5459" s="51"/>
    </row>
    <row r="5460">
      <c r="A5460" s="56">
        <v>5457.0</v>
      </c>
      <c r="B5460" s="240"/>
      <c r="C5460" s="69" t="s">
        <v>21934</v>
      </c>
      <c r="D5460" s="71"/>
      <c r="E5460" s="68" t="s">
        <v>21935</v>
      </c>
      <c r="F5460" s="83">
        <v>43384.0</v>
      </c>
      <c r="G5460" s="68" t="s">
        <v>21936</v>
      </c>
      <c r="H5460" s="71"/>
      <c r="I5460" s="71"/>
      <c r="J5460" s="68" t="s">
        <v>21937</v>
      </c>
      <c r="K5460" s="83">
        <v>43761.0</v>
      </c>
      <c r="L5460" s="68" t="s">
        <v>2743</v>
      </c>
      <c r="M5460" s="68" t="s">
        <v>166</v>
      </c>
      <c r="N5460" s="116"/>
      <c r="O5460" s="51"/>
    </row>
    <row r="5461">
      <c r="A5461" s="56">
        <v>5458.0</v>
      </c>
      <c r="B5461" s="241"/>
      <c r="C5461" s="64" t="s">
        <v>21938</v>
      </c>
      <c r="D5461" s="66"/>
      <c r="E5461" s="63" t="s">
        <v>21939</v>
      </c>
      <c r="F5461" s="70">
        <v>42443.0</v>
      </c>
      <c r="G5461" s="80" t="s">
        <v>21940</v>
      </c>
      <c r="H5461" s="82"/>
      <c r="I5461" s="66"/>
      <c r="J5461" s="63" t="s">
        <v>5679</v>
      </c>
      <c r="K5461" s="65">
        <v>43761.0</v>
      </c>
      <c r="L5461" s="63" t="s">
        <v>2743</v>
      </c>
      <c r="M5461" s="63" t="s">
        <v>542</v>
      </c>
      <c r="N5461" s="116"/>
      <c r="O5461" s="51"/>
    </row>
    <row r="5462">
      <c r="A5462" s="56">
        <v>5459.0</v>
      </c>
      <c r="B5462" s="241"/>
      <c r="C5462" s="64" t="s">
        <v>21941</v>
      </c>
      <c r="D5462" s="66"/>
      <c r="E5462" s="63" t="s">
        <v>21942</v>
      </c>
      <c r="F5462" s="70">
        <v>39596.0</v>
      </c>
      <c r="G5462" s="80" t="s">
        <v>21943</v>
      </c>
      <c r="H5462" s="82"/>
      <c r="I5462" s="63" t="s">
        <v>21944</v>
      </c>
      <c r="J5462" s="63" t="s">
        <v>5679</v>
      </c>
      <c r="K5462" s="65">
        <v>43761.0</v>
      </c>
      <c r="L5462" s="63" t="s">
        <v>2743</v>
      </c>
      <c r="M5462" s="63" t="s">
        <v>530</v>
      </c>
      <c r="N5462" s="116"/>
      <c r="O5462" s="51"/>
    </row>
    <row r="5463">
      <c r="A5463" s="56">
        <v>5460.0</v>
      </c>
      <c r="B5463" s="241"/>
      <c r="C5463" s="64" t="s">
        <v>21945</v>
      </c>
      <c r="D5463" s="66"/>
      <c r="E5463" s="63" t="s">
        <v>21946</v>
      </c>
      <c r="F5463" s="70">
        <v>40228.0</v>
      </c>
      <c r="G5463" s="80" t="s">
        <v>21947</v>
      </c>
      <c r="H5463" s="82"/>
      <c r="I5463" s="66"/>
      <c r="J5463" s="63" t="s">
        <v>5679</v>
      </c>
      <c r="K5463" s="65">
        <v>43761.0</v>
      </c>
      <c r="L5463" s="63" t="s">
        <v>2743</v>
      </c>
      <c r="M5463" s="63" t="s">
        <v>2989</v>
      </c>
      <c r="N5463" s="116"/>
      <c r="O5463" s="51"/>
    </row>
    <row r="5464">
      <c r="A5464" s="56">
        <v>5461.0</v>
      </c>
      <c r="B5464" s="241"/>
      <c r="C5464" s="64" t="s">
        <v>21948</v>
      </c>
      <c r="D5464" s="66"/>
      <c r="E5464" s="63" t="s">
        <v>21949</v>
      </c>
      <c r="F5464" s="70">
        <v>42566.0</v>
      </c>
      <c r="G5464" s="80" t="s">
        <v>21950</v>
      </c>
      <c r="H5464" s="82"/>
      <c r="I5464" s="66"/>
      <c r="J5464" s="63" t="s">
        <v>6393</v>
      </c>
      <c r="K5464" s="65">
        <v>43761.0</v>
      </c>
      <c r="L5464" s="63" t="s">
        <v>2743</v>
      </c>
      <c r="M5464" s="63" t="s">
        <v>195</v>
      </c>
      <c r="N5464" s="116"/>
      <c r="O5464" s="51"/>
    </row>
    <row r="5465">
      <c r="A5465" s="56">
        <v>5462.0</v>
      </c>
      <c r="B5465" s="241"/>
      <c r="C5465" s="64" t="s">
        <v>21951</v>
      </c>
      <c r="D5465" s="66"/>
      <c r="E5465" s="63" t="s">
        <v>21952</v>
      </c>
      <c r="F5465" s="70">
        <v>39995.0</v>
      </c>
      <c r="G5465" s="80" t="s">
        <v>21953</v>
      </c>
      <c r="H5465" s="82"/>
      <c r="I5465" s="66"/>
      <c r="J5465" s="63" t="s">
        <v>8033</v>
      </c>
      <c r="K5465" s="65">
        <v>43397.0</v>
      </c>
      <c r="L5465" s="63" t="s">
        <v>2743</v>
      </c>
      <c r="M5465" s="63" t="s">
        <v>201</v>
      </c>
      <c r="N5465" s="116"/>
      <c r="O5465" s="51"/>
    </row>
    <row r="5466">
      <c r="A5466" s="56">
        <v>5463.0</v>
      </c>
      <c r="B5466" s="241"/>
      <c r="C5466" s="64" t="s">
        <v>21954</v>
      </c>
      <c r="D5466" s="66"/>
      <c r="E5466" s="63" t="s">
        <v>21955</v>
      </c>
      <c r="F5466" s="63" t="s">
        <v>407</v>
      </c>
      <c r="G5466" s="80" t="s">
        <v>21953</v>
      </c>
      <c r="H5466" s="82"/>
      <c r="I5466" s="66"/>
      <c r="J5466" s="63" t="s">
        <v>8033</v>
      </c>
      <c r="K5466" s="65">
        <v>43397.0</v>
      </c>
      <c r="L5466" s="63" t="s">
        <v>2743</v>
      </c>
      <c r="M5466" s="63" t="s">
        <v>201</v>
      </c>
      <c r="N5466" s="116"/>
      <c r="O5466" s="51"/>
    </row>
    <row r="5467">
      <c r="A5467" s="56">
        <v>5464.0</v>
      </c>
      <c r="B5467" s="240"/>
      <c r="C5467" s="69" t="s">
        <v>21956</v>
      </c>
      <c r="D5467" s="71"/>
      <c r="E5467" s="68" t="s">
        <v>21957</v>
      </c>
      <c r="F5467" s="76">
        <v>41456.0</v>
      </c>
      <c r="G5467" s="68" t="s">
        <v>21958</v>
      </c>
      <c r="H5467" s="71"/>
      <c r="I5467" s="71"/>
      <c r="J5467" s="68" t="s">
        <v>21959</v>
      </c>
      <c r="K5467" s="83">
        <v>43398.0</v>
      </c>
      <c r="L5467" s="68" t="s">
        <v>2743</v>
      </c>
      <c r="M5467" s="68" t="s">
        <v>195</v>
      </c>
      <c r="N5467" s="116"/>
      <c r="O5467" s="51"/>
    </row>
    <row r="5468">
      <c r="A5468" s="56">
        <v>5465.0</v>
      </c>
      <c r="B5468" s="241"/>
      <c r="C5468" s="64" t="s">
        <v>21960</v>
      </c>
      <c r="D5468" s="66"/>
      <c r="E5468" s="63" t="s">
        <v>21961</v>
      </c>
      <c r="F5468" s="70">
        <v>40046.0</v>
      </c>
      <c r="G5468" s="80" t="s">
        <v>21962</v>
      </c>
      <c r="H5468" s="80" t="s">
        <v>3183</v>
      </c>
      <c r="I5468" s="63" t="s">
        <v>3184</v>
      </c>
      <c r="J5468" s="63" t="s">
        <v>5679</v>
      </c>
      <c r="K5468" s="65">
        <v>43398.0</v>
      </c>
      <c r="L5468" s="63" t="s">
        <v>2743</v>
      </c>
      <c r="M5468" s="63" t="s">
        <v>2152</v>
      </c>
      <c r="N5468" s="116"/>
      <c r="O5468" s="51"/>
    </row>
    <row r="5469">
      <c r="A5469" s="56">
        <v>5466.0</v>
      </c>
      <c r="B5469" s="241"/>
      <c r="C5469" s="64" t="s">
        <v>21963</v>
      </c>
      <c r="D5469" s="66"/>
      <c r="E5469" s="63" t="s">
        <v>21964</v>
      </c>
      <c r="F5469" s="70">
        <v>42503.0</v>
      </c>
      <c r="G5469" s="80" t="s">
        <v>21965</v>
      </c>
      <c r="H5469" s="82"/>
      <c r="I5469" s="66"/>
      <c r="J5469" s="63" t="s">
        <v>5679</v>
      </c>
      <c r="K5469" s="65">
        <v>43399.0</v>
      </c>
      <c r="L5469" s="63" t="s">
        <v>2743</v>
      </c>
      <c r="M5469" s="63" t="s">
        <v>125</v>
      </c>
      <c r="N5469" s="116"/>
      <c r="O5469" s="51"/>
    </row>
    <row r="5470">
      <c r="A5470" s="56">
        <v>5467.0</v>
      </c>
      <c r="B5470" s="241"/>
      <c r="C5470" s="64" t="s">
        <v>21966</v>
      </c>
      <c r="D5470" s="66"/>
      <c r="E5470" s="63" t="s">
        <v>21967</v>
      </c>
      <c r="F5470" s="70">
        <v>40360.0</v>
      </c>
      <c r="G5470" s="80" t="s">
        <v>21968</v>
      </c>
      <c r="H5470" s="82"/>
      <c r="I5470" s="66"/>
      <c r="J5470" s="63" t="s">
        <v>5653</v>
      </c>
      <c r="K5470" s="65">
        <v>43399.0</v>
      </c>
      <c r="L5470" s="63" t="s">
        <v>2743</v>
      </c>
      <c r="M5470" s="63" t="s">
        <v>166</v>
      </c>
      <c r="N5470" s="116"/>
      <c r="O5470" s="51"/>
    </row>
    <row r="5471">
      <c r="A5471" s="56">
        <v>5468.0</v>
      </c>
      <c r="B5471" s="241"/>
      <c r="C5471" s="64" t="s">
        <v>21969</v>
      </c>
      <c r="D5471" s="66"/>
      <c r="E5471" s="63" t="s">
        <v>21970</v>
      </c>
      <c r="F5471" s="70">
        <v>41027.0</v>
      </c>
      <c r="G5471" s="80" t="s">
        <v>21971</v>
      </c>
      <c r="H5471" s="82"/>
      <c r="I5471" s="66"/>
      <c r="J5471" s="63" t="s">
        <v>6393</v>
      </c>
      <c r="K5471" s="65">
        <v>43399.0</v>
      </c>
      <c r="L5471" s="63" t="s">
        <v>2743</v>
      </c>
      <c r="M5471" s="63" t="s">
        <v>195</v>
      </c>
      <c r="N5471" s="116"/>
      <c r="O5471" s="51"/>
    </row>
    <row r="5472">
      <c r="A5472" s="75">
        <v>5469.0</v>
      </c>
      <c r="B5472" s="240"/>
      <c r="C5472" s="69" t="s">
        <v>21972</v>
      </c>
      <c r="D5472" s="71"/>
      <c r="E5472" s="68" t="s">
        <v>21973</v>
      </c>
      <c r="F5472" s="83">
        <v>40468.0</v>
      </c>
      <c r="G5472" s="68" t="s">
        <v>21974</v>
      </c>
      <c r="H5472" s="71"/>
      <c r="I5472" s="71"/>
      <c r="J5472" s="68" t="s">
        <v>21975</v>
      </c>
      <c r="K5472" s="83">
        <v>43399.0</v>
      </c>
      <c r="L5472" s="68" t="s">
        <v>2743</v>
      </c>
      <c r="M5472" s="68" t="s">
        <v>2989</v>
      </c>
      <c r="N5472" s="116"/>
      <c r="O5472" s="51"/>
    </row>
    <row r="5473">
      <c r="A5473" s="56">
        <v>5470.0</v>
      </c>
      <c r="B5473" s="241"/>
      <c r="C5473" s="64" t="s">
        <v>21976</v>
      </c>
      <c r="D5473" s="66"/>
      <c r="E5473" s="63" t="s">
        <v>21977</v>
      </c>
      <c r="F5473" s="70">
        <v>42023.0</v>
      </c>
      <c r="G5473" s="80" t="s">
        <v>21978</v>
      </c>
      <c r="H5473" s="80" t="s">
        <v>21979</v>
      </c>
      <c r="I5473" s="66"/>
      <c r="J5473" s="63" t="s">
        <v>6393</v>
      </c>
      <c r="K5473" s="65">
        <v>43399.0</v>
      </c>
      <c r="L5473" s="63" t="s">
        <v>2743</v>
      </c>
      <c r="M5473" s="63" t="s">
        <v>6875</v>
      </c>
      <c r="N5473" s="116"/>
      <c r="O5473" s="51"/>
    </row>
    <row r="5474">
      <c r="A5474" s="56">
        <v>5471.0</v>
      </c>
      <c r="B5474" s="240"/>
      <c r="C5474" s="69" t="s">
        <v>21980</v>
      </c>
      <c r="D5474" s="71"/>
      <c r="E5474" s="68" t="s">
        <v>7111</v>
      </c>
      <c r="F5474" s="76">
        <v>43324.0</v>
      </c>
      <c r="G5474" s="68" t="s">
        <v>21981</v>
      </c>
      <c r="H5474" s="71"/>
      <c r="I5474" s="71"/>
      <c r="J5474" s="68" t="s">
        <v>21982</v>
      </c>
      <c r="K5474" s="83">
        <v>43399.0</v>
      </c>
      <c r="L5474" s="68" t="s">
        <v>2743</v>
      </c>
      <c r="M5474" s="68" t="s">
        <v>542</v>
      </c>
      <c r="N5474" s="116"/>
      <c r="O5474" s="51"/>
    </row>
    <row r="5475">
      <c r="A5475" s="56">
        <v>5472.0</v>
      </c>
      <c r="B5475" s="240"/>
      <c r="C5475" s="69" t="s">
        <v>21983</v>
      </c>
      <c r="D5475" s="71"/>
      <c r="E5475" s="68" t="s">
        <v>21984</v>
      </c>
      <c r="F5475" s="76">
        <v>43195.0</v>
      </c>
      <c r="G5475" s="68" t="s">
        <v>21985</v>
      </c>
      <c r="H5475" s="71"/>
      <c r="I5475" s="68" t="s">
        <v>21986</v>
      </c>
      <c r="J5475" s="87" t="s">
        <v>21987</v>
      </c>
      <c r="K5475" s="83">
        <v>43399.0</v>
      </c>
      <c r="L5475" s="68" t="s">
        <v>2743</v>
      </c>
      <c r="M5475" s="68" t="s">
        <v>4001</v>
      </c>
      <c r="N5475" s="116"/>
      <c r="O5475" s="51"/>
    </row>
    <row r="5476">
      <c r="A5476" s="56">
        <v>5473.0</v>
      </c>
      <c r="B5476" s="241"/>
      <c r="C5476" s="64" t="s">
        <v>21988</v>
      </c>
      <c r="D5476" s="66"/>
      <c r="E5476" s="63" t="s">
        <v>21989</v>
      </c>
      <c r="F5476" s="70">
        <v>39995.0</v>
      </c>
      <c r="G5476" s="80" t="s">
        <v>21990</v>
      </c>
      <c r="H5476" s="82"/>
      <c r="I5476" s="66"/>
      <c r="J5476" s="63" t="s">
        <v>5679</v>
      </c>
      <c r="K5476" s="65">
        <v>43402.0</v>
      </c>
      <c r="L5476" s="63" t="s">
        <v>2743</v>
      </c>
      <c r="M5476" s="63" t="s">
        <v>530</v>
      </c>
      <c r="N5476" s="116"/>
      <c r="O5476" s="51"/>
    </row>
    <row r="5477">
      <c r="A5477" s="56">
        <v>5474.0</v>
      </c>
      <c r="B5477" s="240"/>
      <c r="C5477" s="69" t="s">
        <v>21991</v>
      </c>
      <c r="D5477" s="71"/>
      <c r="E5477" s="68" t="s">
        <v>21992</v>
      </c>
      <c r="F5477" s="76">
        <v>42797.0</v>
      </c>
      <c r="G5477" s="68" t="s">
        <v>21993</v>
      </c>
      <c r="H5477" s="71"/>
      <c r="I5477" s="71"/>
      <c r="J5477" s="87" t="s">
        <v>21994</v>
      </c>
      <c r="K5477" s="83">
        <v>43402.0</v>
      </c>
      <c r="L5477" s="68" t="s">
        <v>18962</v>
      </c>
      <c r="M5477" s="68" t="s">
        <v>4749</v>
      </c>
      <c r="N5477" s="116"/>
      <c r="O5477" s="51"/>
    </row>
    <row r="5478">
      <c r="A5478" s="56">
        <v>5475.0</v>
      </c>
      <c r="B5478" s="240"/>
      <c r="C5478" s="69" t="s">
        <v>21995</v>
      </c>
      <c r="D5478" s="71"/>
      <c r="E5478" s="68" t="s">
        <v>21996</v>
      </c>
      <c r="F5478" s="76">
        <v>43010.0</v>
      </c>
      <c r="G5478" s="68" t="s">
        <v>21997</v>
      </c>
      <c r="H5478" s="71"/>
      <c r="I5478" s="71"/>
      <c r="J5478" s="68" t="s">
        <v>21998</v>
      </c>
      <c r="K5478" s="83">
        <v>43402.0</v>
      </c>
      <c r="L5478" s="68" t="s">
        <v>20958</v>
      </c>
      <c r="M5478" s="68" t="s">
        <v>27</v>
      </c>
      <c r="N5478" s="116"/>
      <c r="O5478" s="51"/>
    </row>
    <row r="5479">
      <c r="A5479" s="56">
        <v>5476.0</v>
      </c>
      <c r="B5479" s="241"/>
      <c r="C5479" s="64" t="s">
        <v>21999</v>
      </c>
      <c r="D5479" s="66"/>
      <c r="E5479" s="63" t="s">
        <v>22000</v>
      </c>
      <c r="F5479" s="70">
        <v>40652.0</v>
      </c>
      <c r="G5479" s="80" t="s">
        <v>22001</v>
      </c>
      <c r="H5479" s="82"/>
      <c r="I5479" s="66"/>
      <c r="J5479" s="63" t="s">
        <v>11049</v>
      </c>
      <c r="K5479" s="65">
        <v>43402.0</v>
      </c>
      <c r="L5479" s="63" t="s">
        <v>20958</v>
      </c>
      <c r="M5479" s="63" t="s">
        <v>27</v>
      </c>
      <c r="N5479" s="116"/>
      <c r="O5479" s="51"/>
    </row>
    <row r="5480">
      <c r="A5480" s="75">
        <v>5477.0</v>
      </c>
      <c r="B5480" s="240"/>
      <c r="C5480" s="69" t="s">
        <v>22002</v>
      </c>
      <c r="D5480" s="71"/>
      <c r="E5480" s="68" t="s">
        <v>22003</v>
      </c>
      <c r="F5480" s="83">
        <v>43022.0</v>
      </c>
      <c r="G5480" s="68" t="s">
        <v>22004</v>
      </c>
      <c r="H5480" s="68" t="s">
        <v>22005</v>
      </c>
      <c r="I5480" s="68" t="s">
        <v>22006</v>
      </c>
      <c r="J5480" s="68" t="s">
        <v>4718</v>
      </c>
      <c r="K5480" s="83">
        <v>43403.0</v>
      </c>
      <c r="L5480" s="68" t="s">
        <v>2743</v>
      </c>
      <c r="M5480" s="68" t="s">
        <v>2152</v>
      </c>
      <c r="N5480" s="116"/>
      <c r="O5480" s="51"/>
    </row>
    <row r="5481">
      <c r="A5481" s="56">
        <v>5478.0</v>
      </c>
      <c r="B5481" s="241"/>
      <c r="C5481" s="64" t="s">
        <v>22007</v>
      </c>
      <c r="D5481" s="66"/>
      <c r="E5481" s="63" t="s">
        <v>22008</v>
      </c>
      <c r="F5481" s="70">
        <v>42636.0</v>
      </c>
      <c r="G5481" s="80" t="s">
        <v>22009</v>
      </c>
      <c r="H5481" s="82"/>
      <c r="I5481" s="66"/>
      <c r="J5481" s="63" t="s">
        <v>6393</v>
      </c>
      <c r="K5481" s="65">
        <v>43403.0</v>
      </c>
      <c r="L5481" s="63" t="s">
        <v>2743</v>
      </c>
      <c r="M5481" s="63" t="s">
        <v>195</v>
      </c>
      <c r="N5481" s="116"/>
      <c r="O5481" s="51"/>
    </row>
    <row r="5482">
      <c r="A5482" s="56">
        <v>5479.0</v>
      </c>
      <c r="B5482" s="240"/>
      <c r="C5482" s="69" t="s">
        <v>22010</v>
      </c>
      <c r="D5482" s="71"/>
      <c r="E5482" s="68" t="s">
        <v>22011</v>
      </c>
      <c r="F5482" s="76">
        <v>42636.0</v>
      </c>
      <c r="G5482" s="68" t="s">
        <v>22012</v>
      </c>
      <c r="H5482" s="71"/>
      <c r="I5482" s="71"/>
      <c r="J5482" s="68" t="s">
        <v>22013</v>
      </c>
      <c r="K5482" s="83">
        <v>43403.0</v>
      </c>
      <c r="L5482" s="68" t="s">
        <v>2743</v>
      </c>
      <c r="M5482" s="68" t="s">
        <v>31</v>
      </c>
      <c r="N5482" s="116"/>
      <c r="O5482" s="51"/>
    </row>
    <row r="5483">
      <c r="A5483" s="75">
        <v>5480.0</v>
      </c>
      <c r="B5483" s="240"/>
      <c r="C5483" s="69" t="s">
        <v>22014</v>
      </c>
      <c r="D5483" s="71"/>
      <c r="E5483" s="68" t="s">
        <v>22015</v>
      </c>
      <c r="F5483" s="76">
        <v>43365.0</v>
      </c>
      <c r="G5483" s="68" t="s">
        <v>22016</v>
      </c>
      <c r="H5483" s="71"/>
      <c r="I5483" s="71"/>
      <c r="J5483" s="68" t="s">
        <v>22017</v>
      </c>
      <c r="K5483" s="83">
        <v>43403.0</v>
      </c>
      <c r="L5483" s="68" t="s">
        <v>2743</v>
      </c>
      <c r="M5483" s="68" t="s">
        <v>2527</v>
      </c>
      <c r="N5483" s="116"/>
      <c r="O5483" s="51"/>
    </row>
    <row r="5484">
      <c r="A5484" s="56">
        <v>5481.0</v>
      </c>
      <c r="B5484" s="241"/>
      <c r="C5484" s="64" t="s">
        <v>22018</v>
      </c>
      <c r="D5484" s="66"/>
      <c r="E5484" s="63" t="s">
        <v>22019</v>
      </c>
      <c r="F5484" s="70">
        <v>40017.0</v>
      </c>
      <c r="G5484" s="80" t="s">
        <v>22020</v>
      </c>
      <c r="H5484" s="82"/>
      <c r="I5484" s="63" t="s">
        <v>22021</v>
      </c>
      <c r="J5484" s="63" t="s">
        <v>5679</v>
      </c>
      <c r="K5484" s="65">
        <v>43404.0</v>
      </c>
      <c r="L5484" s="63" t="s">
        <v>2743</v>
      </c>
      <c r="M5484" s="63" t="s">
        <v>530</v>
      </c>
      <c r="N5484" s="116"/>
      <c r="O5484" s="51"/>
    </row>
    <row r="5485">
      <c r="A5485" s="56">
        <v>5482.0</v>
      </c>
      <c r="B5485" s="241"/>
      <c r="C5485" s="64" t="s">
        <v>22022</v>
      </c>
      <c r="D5485" s="66"/>
      <c r="E5485" s="63" t="s">
        <v>22023</v>
      </c>
      <c r="F5485" s="70">
        <v>41821.0</v>
      </c>
      <c r="G5485" s="80" t="s">
        <v>22024</v>
      </c>
      <c r="H5485" s="82"/>
      <c r="I5485" s="63" t="s">
        <v>22025</v>
      </c>
      <c r="J5485" s="63" t="s">
        <v>5679</v>
      </c>
      <c r="K5485" s="65">
        <v>43404.0</v>
      </c>
      <c r="L5485" s="63" t="s">
        <v>2743</v>
      </c>
      <c r="M5485" s="63" t="s">
        <v>4749</v>
      </c>
      <c r="N5485" s="116"/>
      <c r="O5485" s="51"/>
    </row>
    <row r="5486">
      <c r="A5486" s="56">
        <v>5483.0</v>
      </c>
      <c r="B5486" s="241"/>
      <c r="C5486" s="64" t="s">
        <v>22026</v>
      </c>
      <c r="D5486" s="66"/>
      <c r="E5486" s="63" t="s">
        <v>22027</v>
      </c>
      <c r="F5486" s="70">
        <v>43177.0</v>
      </c>
      <c r="G5486" s="80" t="s">
        <v>22028</v>
      </c>
      <c r="H5486" s="82"/>
      <c r="I5486" s="63" t="s">
        <v>22029</v>
      </c>
      <c r="J5486" s="63" t="s">
        <v>7523</v>
      </c>
      <c r="K5486" s="65">
        <v>43404.0</v>
      </c>
      <c r="L5486" s="63" t="s">
        <v>2743</v>
      </c>
      <c r="M5486" s="63" t="s">
        <v>149</v>
      </c>
      <c r="N5486" s="116"/>
      <c r="O5486" s="51"/>
    </row>
    <row r="5487">
      <c r="A5487" s="56">
        <v>5484.0</v>
      </c>
      <c r="B5487" s="241"/>
      <c r="C5487" s="64" t="s">
        <v>22030</v>
      </c>
      <c r="D5487" s="66"/>
      <c r="E5487" s="63" t="s">
        <v>22031</v>
      </c>
      <c r="F5487" s="65">
        <v>41224.0</v>
      </c>
      <c r="G5487" s="80" t="s">
        <v>22032</v>
      </c>
      <c r="H5487" s="82"/>
      <c r="I5487" s="63" t="s">
        <v>22033</v>
      </c>
      <c r="J5487" s="63" t="s">
        <v>7523</v>
      </c>
      <c r="K5487" s="65">
        <v>43404.0</v>
      </c>
      <c r="L5487" s="63" t="s">
        <v>2743</v>
      </c>
      <c r="M5487" s="63" t="s">
        <v>149</v>
      </c>
      <c r="N5487" s="116"/>
      <c r="O5487" s="51"/>
    </row>
    <row r="5488">
      <c r="A5488" s="56">
        <v>5485.0</v>
      </c>
      <c r="B5488" s="240"/>
      <c r="C5488" s="69" t="s">
        <v>22034</v>
      </c>
      <c r="D5488" s="71"/>
      <c r="E5488" s="68" t="s">
        <v>22035</v>
      </c>
      <c r="F5488" s="76">
        <v>43265.0</v>
      </c>
      <c r="G5488" s="68" t="s">
        <v>22036</v>
      </c>
      <c r="H5488" s="71"/>
      <c r="I5488" s="71"/>
      <c r="J5488" s="68" t="s">
        <v>22037</v>
      </c>
      <c r="K5488" s="83">
        <v>43404.0</v>
      </c>
      <c r="L5488" s="68" t="s">
        <v>2743</v>
      </c>
      <c r="M5488" s="68" t="s">
        <v>195</v>
      </c>
      <c r="N5488" s="116"/>
      <c r="O5488" s="51"/>
    </row>
    <row r="5489">
      <c r="A5489" s="56">
        <v>5486.0</v>
      </c>
      <c r="B5489" s="240"/>
      <c r="C5489" s="69" t="s">
        <v>22038</v>
      </c>
      <c r="D5489" s="71"/>
      <c r="E5489" s="68" t="s">
        <v>22039</v>
      </c>
      <c r="F5489" s="83">
        <v>43391.0</v>
      </c>
      <c r="G5489" s="68" t="s">
        <v>22040</v>
      </c>
      <c r="H5489" s="71"/>
      <c r="I5489" s="71"/>
      <c r="J5489" s="68" t="s">
        <v>22041</v>
      </c>
      <c r="K5489" s="83">
        <v>43404.0</v>
      </c>
      <c r="L5489" s="68" t="s">
        <v>2743</v>
      </c>
      <c r="M5489" s="68" t="s">
        <v>18270</v>
      </c>
      <c r="N5489" s="87" t="s">
        <v>22042</v>
      </c>
      <c r="O5489" s="51"/>
    </row>
    <row r="5490">
      <c r="A5490" s="56">
        <v>5487.0</v>
      </c>
      <c r="B5490" s="240"/>
      <c r="C5490" s="69" t="s">
        <v>22043</v>
      </c>
      <c r="D5490" s="71"/>
      <c r="E5490" s="68" t="s">
        <v>22044</v>
      </c>
      <c r="F5490" s="76">
        <v>43351.0</v>
      </c>
      <c r="G5490" s="68" t="s">
        <v>22045</v>
      </c>
      <c r="H5490" s="71"/>
      <c r="I5490" s="71"/>
      <c r="J5490" s="87" t="s">
        <v>22046</v>
      </c>
      <c r="K5490" s="76">
        <v>43405.0</v>
      </c>
      <c r="L5490" s="68" t="s">
        <v>2743</v>
      </c>
      <c r="M5490" s="68" t="s">
        <v>4749</v>
      </c>
      <c r="N5490" s="87" t="s">
        <v>22047</v>
      </c>
      <c r="O5490" s="51"/>
    </row>
    <row r="5491">
      <c r="A5491" s="56">
        <v>5488.0</v>
      </c>
      <c r="B5491" s="240"/>
      <c r="C5491" s="69" t="s">
        <v>22048</v>
      </c>
      <c r="D5491" s="71"/>
      <c r="E5491" s="68" t="s">
        <v>9659</v>
      </c>
      <c r="F5491" s="76">
        <v>41091.0</v>
      </c>
      <c r="G5491" s="68" t="s">
        <v>22049</v>
      </c>
      <c r="H5491" s="71"/>
      <c r="I5491" s="71"/>
      <c r="J5491" s="68" t="s">
        <v>22050</v>
      </c>
      <c r="K5491" s="76">
        <v>43406.0</v>
      </c>
      <c r="L5491" s="68" t="s">
        <v>2743</v>
      </c>
      <c r="M5491" s="68" t="s">
        <v>530</v>
      </c>
      <c r="N5491" s="116"/>
      <c r="O5491" s="51"/>
    </row>
    <row r="5492">
      <c r="A5492" s="56">
        <v>5489.0</v>
      </c>
      <c r="B5492" s="240"/>
      <c r="C5492" s="69" t="s">
        <v>22051</v>
      </c>
      <c r="D5492" s="71"/>
      <c r="E5492" s="68" t="s">
        <v>22052</v>
      </c>
      <c r="F5492" s="76">
        <v>40618.0</v>
      </c>
      <c r="G5492" s="68" t="s">
        <v>22053</v>
      </c>
      <c r="H5492" s="71"/>
      <c r="I5492" s="68" t="s">
        <v>22054</v>
      </c>
      <c r="J5492" s="68" t="s">
        <v>22055</v>
      </c>
      <c r="K5492" s="76">
        <v>43409.0</v>
      </c>
      <c r="L5492" s="68" t="s">
        <v>2743</v>
      </c>
      <c r="M5492" s="68" t="s">
        <v>13303</v>
      </c>
      <c r="N5492" s="116"/>
      <c r="O5492" s="51"/>
    </row>
    <row r="5493">
      <c r="A5493" s="56">
        <v>5490.0</v>
      </c>
      <c r="B5493" s="241"/>
      <c r="C5493" s="64" t="s">
        <v>22056</v>
      </c>
      <c r="D5493" s="66"/>
      <c r="E5493" s="63" t="s">
        <v>22057</v>
      </c>
      <c r="F5493" s="70">
        <v>39264.0</v>
      </c>
      <c r="G5493" s="80" t="s">
        <v>22058</v>
      </c>
      <c r="H5493" s="80" t="s">
        <v>439</v>
      </c>
      <c r="I5493" s="66"/>
      <c r="J5493" s="63" t="s">
        <v>5679</v>
      </c>
      <c r="K5493" s="70">
        <v>6617774.0</v>
      </c>
      <c r="L5493" s="63" t="s">
        <v>2743</v>
      </c>
      <c r="M5493" s="63" t="s">
        <v>530</v>
      </c>
      <c r="N5493" s="116"/>
      <c r="O5493" s="51"/>
    </row>
    <row r="5494">
      <c r="A5494" s="56">
        <v>5491.0</v>
      </c>
      <c r="B5494" s="240"/>
      <c r="C5494" s="69" t="s">
        <v>22059</v>
      </c>
      <c r="D5494" s="71"/>
      <c r="E5494" s="68" t="s">
        <v>22060</v>
      </c>
      <c r="F5494" s="76">
        <v>43271.0</v>
      </c>
      <c r="G5494" s="68" t="s">
        <v>22061</v>
      </c>
      <c r="H5494" s="71"/>
      <c r="I5494" s="71"/>
      <c r="J5494" s="68" t="s">
        <v>22062</v>
      </c>
      <c r="K5494" s="76">
        <v>6617774.0</v>
      </c>
      <c r="L5494" s="68" t="s">
        <v>2743</v>
      </c>
      <c r="M5494" s="68" t="s">
        <v>2748</v>
      </c>
      <c r="N5494" s="116"/>
      <c r="O5494" s="51"/>
    </row>
    <row r="5495">
      <c r="A5495" s="56">
        <v>5492.0</v>
      </c>
      <c r="B5495" s="241"/>
      <c r="C5495" s="64" t="s">
        <v>22063</v>
      </c>
      <c r="D5495" s="66"/>
      <c r="E5495" s="63" t="s">
        <v>22064</v>
      </c>
      <c r="F5495" s="65">
        <v>41961.0</v>
      </c>
      <c r="G5495" s="80" t="s">
        <v>22065</v>
      </c>
      <c r="H5495" s="80" t="s">
        <v>22066</v>
      </c>
      <c r="I5495" s="66"/>
      <c r="J5495" s="63" t="s">
        <v>6393</v>
      </c>
      <c r="K5495" s="70">
        <v>43413.0</v>
      </c>
      <c r="L5495" s="63" t="s">
        <v>2743</v>
      </c>
      <c r="M5495" s="63" t="s">
        <v>195</v>
      </c>
      <c r="N5495" s="116"/>
      <c r="O5495" s="51"/>
    </row>
    <row r="5496">
      <c r="A5496" s="56">
        <v>5493.0</v>
      </c>
      <c r="B5496" s="240"/>
      <c r="C5496" s="69" t="s">
        <v>22067</v>
      </c>
      <c r="D5496" s="71"/>
      <c r="E5496" s="68" t="s">
        <v>22068</v>
      </c>
      <c r="F5496" s="83">
        <v>43394.0</v>
      </c>
      <c r="G5496" s="68" t="s">
        <v>22069</v>
      </c>
      <c r="H5496" s="71"/>
      <c r="I5496" s="71"/>
      <c r="J5496" s="68" t="s">
        <v>22070</v>
      </c>
      <c r="K5496" s="83">
        <v>43415.0</v>
      </c>
      <c r="L5496" s="68" t="s">
        <v>2743</v>
      </c>
      <c r="M5496" s="68" t="s">
        <v>166</v>
      </c>
      <c r="N5496" s="116"/>
      <c r="O5496" s="51"/>
    </row>
    <row r="5497">
      <c r="A5497" s="75">
        <v>5494.0</v>
      </c>
      <c r="B5497" s="240"/>
      <c r="C5497" s="69" t="s">
        <v>22071</v>
      </c>
      <c r="D5497" s="71"/>
      <c r="E5497" s="68" t="s">
        <v>22072</v>
      </c>
      <c r="F5497" s="76">
        <v>43158.0</v>
      </c>
      <c r="G5497" s="68" t="s">
        <v>22073</v>
      </c>
      <c r="H5497" s="71"/>
      <c r="I5497" s="71"/>
      <c r="J5497" s="68" t="s">
        <v>22074</v>
      </c>
      <c r="K5497" s="76">
        <v>43413.0</v>
      </c>
      <c r="L5497" s="68" t="s">
        <v>2743</v>
      </c>
      <c r="M5497" s="68" t="s">
        <v>166</v>
      </c>
      <c r="N5497" s="116"/>
      <c r="O5497" s="51"/>
    </row>
    <row r="5498">
      <c r="A5498" s="56">
        <v>5495.0</v>
      </c>
      <c r="B5498" s="241"/>
      <c r="C5498" s="64" t="s">
        <v>22075</v>
      </c>
      <c r="D5498" s="66"/>
      <c r="E5498" s="63" t="s">
        <v>22076</v>
      </c>
      <c r="F5498" s="70">
        <v>41299.0</v>
      </c>
      <c r="G5498" s="80" t="s">
        <v>22077</v>
      </c>
      <c r="H5498" s="82"/>
      <c r="I5498" s="66"/>
      <c r="J5498" s="63" t="s">
        <v>136</v>
      </c>
      <c r="K5498" s="70">
        <v>43413.0</v>
      </c>
      <c r="L5498" s="63" t="s">
        <v>2743</v>
      </c>
      <c r="M5498" s="63" t="s">
        <v>125</v>
      </c>
      <c r="N5498" s="116"/>
      <c r="O5498" s="51"/>
    </row>
    <row r="5499">
      <c r="A5499" s="75">
        <v>5496.0</v>
      </c>
      <c r="B5499" s="240"/>
      <c r="C5499" s="69" t="s">
        <v>22078</v>
      </c>
      <c r="D5499" s="71"/>
      <c r="E5499" s="68" t="s">
        <v>22079</v>
      </c>
      <c r="F5499" s="76">
        <v>43296.0</v>
      </c>
      <c r="G5499" s="68" t="s">
        <v>22080</v>
      </c>
      <c r="H5499" s="71"/>
      <c r="I5499" s="71"/>
      <c r="J5499" s="68" t="s">
        <v>22081</v>
      </c>
      <c r="K5499" s="76">
        <v>43413.0</v>
      </c>
      <c r="L5499" s="68" t="s">
        <v>2743</v>
      </c>
      <c r="M5499" s="68" t="s">
        <v>4487</v>
      </c>
      <c r="N5499" s="116"/>
      <c r="O5499" s="51"/>
    </row>
    <row r="5500">
      <c r="A5500" s="56">
        <v>5497.0</v>
      </c>
      <c r="B5500" s="241"/>
      <c r="C5500" s="64" t="s">
        <v>22082</v>
      </c>
      <c r="D5500" s="66"/>
      <c r="E5500" s="63" t="s">
        <v>22083</v>
      </c>
      <c r="F5500" s="70">
        <v>42514.0</v>
      </c>
      <c r="G5500" s="80" t="s">
        <v>22084</v>
      </c>
      <c r="H5500" s="82"/>
      <c r="I5500" s="63" t="s">
        <v>22085</v>
      </c>
      <c r="J5500" s="63" t="s">
        <v>136</v>
      </c>
      <c r="K5500" s="70">
        <v>43413.0</v>
      </c>
      <c r="L5500" s="63" t="s">
        <v>2743</v>
      </c>
      <c r="M5500" s="63" t="s">
        <v>368</v>
      </c>
      <c r="N5500" s="116"/>
      <c r="O5500" s="51"/>
    </row>
    <row r="5501">
      <c r="A5501" s="56">
        <v>5498.0</v>
      </c>
      <c r="B5501" s="240"/>
      <c r="C5501" s="69" t="s">
        <v>22086</v>
      </c>
      <c r="D5501" s="71"/>
      <c r="E5501" s="68" t="s">
        <v>22087</v>
      </c>
      <c r="F5501" s="76">
        <v>41477.0</v>
      </c>
      <c r="G5501" s="68" t="s">
        <v>22088</v>
      </c>
      <c r="H5501" s="80" t="s">
        <v>22089</v>
      </c>
      <c r="I5501" s="71"/>
      <c r="J5501" s="68" t="s">
        <v>22090</v>
      </c>
      <c r="K5501" s="76">
        <v>43413.0</v>
      </c>
      <c r="L5501" s="68" t="s">
        <v>2743</v>
      </c>
      <c r="M5501" s="68" t="s">
        <v>195</v>
      </c>
      <c r="N5501" s="116"/>
      <c r="O5501" s="51"/>
    </row>
    <row r="5502">
      <c r="A5502" s="56">
        <v>5499.0</v>
      </c>
      <c r="B5502" s="240"/>
      <c r="C5502" s="69" t="s">
        <v>22091</v>
      </c>
      <c r="D5502" s="71"/>
      <c r="E5502" s="68" t="s">
        <v>22092</v>
      </c>
      <c r="F5502" s="76">
        <v>43317.0</v>
      </c>
      <c r="G5502" s="68" t="s">
        <v>22093</v>
      </c>
      <c r="H5502" s="71"/>
      <c r="I5502" s="71"/>
      <c r="J5502" s="68" t="s">
        <v>22094</v>
      </c>
      <c r="K5502" s="76">
        <v>43413.0</v>
      </c>
      <c r="L5502" s="68" t="s">
        <v>2743</v>
      </c>
      <c r="M5502" s="68" t="s">
        <v>166</v>
      </c>
      <c r="N5502" s="116"/>
      <c r="O5502" s="51"/>
    </row>
    <row r="5503">
      <c r="A5503" s="56">
        <v>5500.0</v>
      </c>
      <c r="B5503" s="240"/>
      <c r="C5503" s="69" t="s">
        <v>22095</v>
      </c>
      <c r="D5503" s="71"/>
      <c r="E5503" s="68" t="s">
        <v>22096</v>
      </c>
      <c r="F5503" s="83">
        <v>43389.0</v>
      </c>
      <c r="G5503" s="68" t="s">
        <v>22097</v>
      </c>
      <c r="H5503" s="71"/>
      <c r="I5503" s="71"/>
      <c r="J5503" s="68" t="s">
        <v>22098</v>
      </c>
      <c r="K5503" s="76">
        <v>43413.0</v>
      </c>
      <c r="L5503" s="68" t="s">
        <v>2743</v>
      </c>
      <c r="M5503" s="68" t="s">
        <v>17743</v>
      </c>
      <c r="N5503" s="116"/>
      <c r="O5503" s="51"/>
    </row>
    <row r="5504">
      <c r="A5504" s="56">
        <v>5501.0</v>
      </c>
      <c r="B5504" s="240"/>
      <c r="C5504" s="69" t="s">
        <v>22099</v>
      </c>
      <c r="D5504" s="71"/>
      <c r="E5504" s="68" t="s">
        <v>22100</v>
      </c>
      <c r="F5504" s="83">
        <v>43403.0</v>
      </c>
      <c r="G5504" s="68" t="s">
        <v>22101</v>
      </c>
      <c r="H5504" s="71"/>
      <c r="I5504" s="71"/>
      <c r="J5504" s="87" t="s">
        <v>22102</v>
      </c>
      <c r="K5504" s="76">
        <v>43413.0</v>
      </c>
      <c r="L5504" s="68" t="s">
        <v>2743</v>
      </c>
      <c r="M5504" s="68" t="s">
        <v>1182</v>
      </c>
      <c r="N5504" s="116"/>
      <c r="O5504" s="51"/>
    </row>
    <row r="5505">
      <c r="A5505" s="56">
        <v>5502.0</v>
      </c>
      <c r="B5505" s="240"/>
      <c r="C5505" s="69" t="s">
        <v>22103</v>
      </c>
      <c r="D5505" s="71"/>
      <c r="E5505" s="68" t="s">
        <v>22104</v>
      </c>
      <c r="F5505" s="83">
        <v>43400.0</v>
      </c>
      <c r="G5505" s="68" t="s">
        <v>22105</v>
      </c>
      <c r="H5505" s="71"/>
      <c r="I5505" s="71"/>
      <c r="J5505" s="68" t="s">
        <v>22106</v>
      </c>
      <c r="K5505" s="76">
        <v>43413.0</v>
      </c>
      <c r="L5505" s="68" t="s">
        <v>2743</v>
      </c>
      <c r="M5505" s="68" t="s">
        <v>149</v>
      </c>
      <c r="N5505" s="116"/>
      <c r="O5505" s="51"/>
    </row>
    <row r="5506">
      <c r="A5506" s="56">
        <v>5503.0</v>
      </c>
      <c r="B5506" s="241"/>
      <c r="C5506" s="64" t="s">
        <v>22107</v>
      </c>
      <c r="D5506" s="66"/>
      <c r="E5506" s="63" t="s">
        <v>22108</v>
      </c>
      <c r="F5506" s="70">
        <v>39266.0</v>
      </c>
      <c r="G5506" s="80" t="s">
        <v>22109</v>
      </c>
      <c r="H5506" s="80" t="s">
        <v>22110</v>
      </c>
      <c r="I5506" s="63" t="s">
        <v>22111</v>
      </c>
      <c r="J5506" s="63" t="s">
        <v>136</v>
      </c>
      <c r="K5506" s="70">
        <v>43413.0</v>
      </c>
      <c r="L5506" s="63" t="s">
        <v>1496</v>
      </c>
      <c r="M5506" s="63" t="s">
        <v>31</v>
      </c>
      <c r="N5506" s="116"/>
      <c r="O5506" s="51"/>
    </row>
    <row r="5507">
      <c r="A5507" s="56">
        <v>5504.0</v>
      </c>
      <c r="B5507" s="240"/>
      <c r="C5507" s="69" t="s">
        <v>22112</v>
      </c>
      <c r="D5507" s="71"/>
      <c r="E5507" s="68" t="s">
        <v>22113</v>
      </c>
      <c r="F5507" s="76">
        <v>41477.0</v>
      </c>
      <c r="G5507" s="68" t="s">
        <v>22114</v>
      </c>
      <c r="H5507" s="80" t="s">
        <v>22115</v>
      </c>
      <c r="I5507" s="71"/>
      <c r="J5507" s="68" t="s">
        <v>22116</v>
      </c>
      <c r="K5507" s="76">
        <v>43413.0</v>
      </c>
      <c r="L5507" s="68" t="s">
        <v>2743</v>
      </c>
      <c r="M5507" s="68" t="s">
        <v>195</v>
      </c>
      <c r="N5507" s="116"/>
      <c r="O5507" s="51"/>
    </row>
    <row r="5508">
      <c r="A5508" s="75">
        <v>5505.0</v>
      </c>
      <c r="B5508" s="240"/>
      <c r="C5508" s="69" t="s">
        <v>22117</v>
      </c>
      <c r="D5508" s="71"/>
      <c r="E5508" s="68" t="s">
        <v>22118</v>
      </c>
      <c r="F5508" s="76">
        <v>42918.0</v>
      </c>
      <c r="G5508" s="68" t="s">
        <v>22119</v>
      </c>
      <c r="H5508" s="71"/>
      <c r="I5508" s="71"/>
      <c r="J5508" s="68" t="s">
        <v>22120</v>
      </c>
      <c r="K5508" s="76">
        <v>43413.0</v>
      </c>
      <c r="L5508" s="68" t="s">
        <v>2743</v>
      </c>
      <c r="M5508" s="68" t="s">
        <v>125</v>
      </c>
      <c r="N5508" s="116"/>
      <c r="O5508" s="51"/>
    </row>
    <row r="5509">
      <c r="A5509" s="56">
        <v>5506.0</v>
      </c>
      <c r="B5509" s="240"/>
      <c r="C5509" s="69" t="s">
        <v>22121</v>
      </c>
      <c r="D5509" s="71"/>
      <c r="E5509" s="68" t="s">
        <v>22122</v>
      </c>
      <c r="F5509" s="83">
        <v>43393.0</v>
      </c>
      <c r="G5509" s="68" t="s">
        <v>22123</v>
      </c>
      <c r="H5509" s="71"/>
      <c r="I5509" s="71"/>
      <c r="J5509" s="68" t="s">
        <v>22124</v>
      </c>
      <c r="K5509" s="76">
        <v>43413.0</v>
      </c>
      <c r="L5509" s="68" t="s">
        <v>2743</v>
      </c>
      <c r="M5509" s="68" t="s">
        <v>17743</v>
      </c>
      <c r="N5509" s="116"/>
      <c r="O5509" s="51"/>
    </row>
    <row r="5510">
      <c r="A5510" s="56">
        <v>5507.0</v>
      </c>
      <c r="B5510" s="240"/>
      <c r="C5510" s="69" t="s">
        <v>22125</v>
      </c>
      <c r="D5510" s="71"/>
      <c r="E5510" s="68" t="s">
        <v>22126</v>
      </c>
      <c r="F5510" s="83">
        <v>43403.0</v>
      </c>
      <c r="G5510" s="68" t="s">
        <v>22127</v>
      </c>
      <c r="H5510" s="71"/>
      <c r="I5510" s="71"/>
      <c r="J5510" s="87" t="s">
        <v>22128</v>
      </c>
      <c r="K5510" s="76">
        <v>43413.0</v>
      </c>
      <c r="L5510" s="68" t="s">
        <v>2743</v>
      </c>
      <c r="M5510" s="68" t="s">
        <v>3690</v>
      </c>
      <c r="N5510" s="116"/>
      <c r="O5510" s="51"/>
    </row>
    <row r="5511">
      <c r="A5511" s="56">
        <v>5508.0</v>
      </c>
      <c r="B5511" s="240"/>
      <c r="C5511" s="69" t="s">
        <v>22129</v>
      </c>
      <c r="D5511" s="71"/>
      <c r="E5511" s="68" t="s">
        <v>22130</v>
      </c>
      <c r="F5511" s="76">
        <v>42641.0</v>
      </c>
      <c r="G5511" s="68" t="s">
        <v>22131</v>
      </c>
      <c r="H5511" s="71"/>
      <c r="I5511" s="71"/>
      <c r="J5511" s="68" t="s">
        <v>22132</v>
      </c>
      <c r="K5511" s="76">
        <v>43413.0</v>
      </c>
      <c r="L5511" s="68" t="s">
        <v>2743</v>
      </c>
      <c r="M5511" s="68" t="s">
        <v>195</v>
      </c>
      <c r="N5511" s="116"/>
      <c r="O5511" s="51"/>
    </row>
    <row r="5512">
      <c r="A5512" s="56">
        <v>5509.0</v>
      </c>
      <c r="B5512" s="241"/>
      <c r="C5512" s="64" t="s">
        <v>22133</v>
      </c>
      <c r="D5512" s="66"/>
      <c r="E5512" s="63" t="s">
        <v>22134</v>
      </c>
      <c r="F5512" s="70">
        <v>40821.0</v>
      </c>
      <c r="G5512" s="80" t="s">
        <v>22135</v>
      </c>
      <c r="H5512" s="80" t="s">
        <v>439</v>
      </c>
      <c r="I5512" s="63" t="s">
        <v>22136</v>
      </c>
      <c r="J5512" s="63" t="s">
        <v>136</v>
      </c>
      <c r="K5512" s="70">
        <v>43413.0</v>
      </c>
      <c r="L5512" s="63" t="s">
        <v>16185</v>
      </c>
      <c r="M5512" s="63" t="s">
        <v>2152</v>
      </c>
      <c r="N5512" s="116"/>
      <c r="O5512" s="51"/>
    </row>
    <row r="5513">
      <c r="A5513" s="56">
        <v>5510.0</v>
      </c>
      <c r="B5513" s="241"/>
      <c r="C5513" s="64" t="s">
        <v>22137</v>
      </c>
      <c r="D5513" s="66"/>
      <c r="E5513" s="63" t="s">
        <v>22138</v>
      </c>
      <c r="F5513" s="70">
        <v>41030.0</v>
      </c>
      <c r="G5513" s="80" t="s">
        <v>22139</v>
      </c>
      <c r="H5513" s="82"/>
      <c r="I5513" s="63" t="s">
        <v>22140</v>
      </c>
      <c r="J5513" s="63" t="s">
        <v>136</v>
      </c>
      <c r="K5513" s="70">
        <v>43413.0</v>
      </c>
      <c r="L5513" s="63" t="s">
        <v>16185</v>
      </c>
      <c r="M5513" s="63" t="s">
        <v>149</v>
      </c>
      <c r="N5513" s="116"/>
      <c r="O5513" s="51"/>
    </row>
    <row r="5514">
      <c r="A5514" s="75">
        <v>5511.0</v>
      </c>
      <c r="B5514" s="240"/>
      <c r="C5514" s="69" t="s">
        <v>22141</v>
      </c>
      <c r="D5514" s="71"/>
      <c r="E5514" s="68" t="s">
        <v>22142</v>
      </c>
      <c r="F5514" s="83">
        <v>43384.0</v>
      </c>
      <c r="G5514" s="68" t="s">
        <v>21360</v>
      </c>
      <c r="H5514" s="71"/>
      <c r="I5514" s="68" t="s">
        <v>22143</v>
      </c>
      <c r="J5514" s="68" t="s">
        <v>22144</v>
      </c>
      <c r="K5514" s="76">
        <v>43413.0</v>
      </c>
      <c r="L5514" s="68" t="s">
        <v>20329</v>
      </c>
      <c r="M5514" s="68" t="s">
        <v>149</v>
      </c>
      <c r="N5514" s="116"/>
      <c r="O5514" s="51"/>
    </row>
    <row r="5515">
      <c r="A5515" s="56">
        <v>5512.0</v>
      </c>
      <c r="B5515" s="241"/>
      <c r="C5515" s="64" t="s">
        <v>22145</v>
      </c>
      <c r="D5515" s="66"/>
      <c r="E5515" s="63" t="s">
        <v>22146</v>
      </c>
      <c r="F5515" s="70">
        <v>41914.0</v>
      </c>
      <c r="G5515" s="80" t="s">
        <v>22147</v>
      </c>
      <c r="H5515" s="80" t="s">
        <v>22148</v>
      </c>
      <c r="I5515" s="66"/>
      <c r="J5515" s="63" t="s">
        <v>136</v>
      </c>
      <c r="K5515" s="70">
        <v>43413.0</v>
      </c>
      <c r="L5515" s="63" t="s">
        <v>16185</v>
      </c>
      <c r="M5515" s="63" t="s">
        <v>125</v>
      </c>
      <c r="N5515" s="116"/>
      <c r="O5515" s="51"/>
    </row>
    <row r="5516">
      <c r="A5516" s="56">
        <v>5513.0</v>
      </c>
      <c r="B5516" s="241"/>
      <c r="C5516" s="64" t="s">
        <v>22149</v>
      </c>
      <c r="D5516" s="66"/>
      <c r="E5516" s="63" t="s">
        <v>22150</v>
      </c>
      <c r="F5516" s="70">
        <v>41914.0</v>
      </c>
      <c r="G5516" s="80" t="s">
        <v>22147</v>
      </c>
      <c r="H5516" s="82"/>
      <c r="I5516" s="66"/>
      <c r="J5516" s="63" t="s">
        <v>136</v>
      </c>
      <c r="K5516" s="70">
        <v>43413.0</v>
      </c>
      <c r="L5516" s="63" t="s">
        <v>16185</v>
      </c>
      <c r="M5516" s="63" t="s">
        <v>125</v>
      </c>
      <c r="N5516" s="116"/>
      <c r="O5516" s="51"/>
    </row>
    <row r="5517">
      <c r="A5517" s="56">
        <v>5514.0</v>
      </c>
      <c r="B5517" s="240"/>
      <c r="C5517" s="69" t="s">
        <v>22151</v>
      </c>
      <c r="D5517" s="71"/>
      <c r="E5517" s="68" t="s">
        <v>22152</v>
      </c>
      <c r="F5517" s="76">
        <v>43185.0</v>
      </c>
      <c r="G5517" s="68" t="s">
        <v>22153</v>
      </c>
      <c r="H5517" s="71"/>
      <c r="I5517" s="71"/>
      <c r="J5517" s="68" t="s">
        <v>22154</v>
      </c>
      <c r="K5517" s="76">
        <v>43413.0</v>
      </c>
      <c r="L5517" s="68" t="s">
        <v>16185</v>
      </c>
      <c r="M5517" s="68" t="s">
        <v>2466</v>
      </c>
      <c r="N5517" s="116"/>
      <c r="O5517" s="51"/>
    </row>
    <row r="5518">
      <c r="A5518" s="56">
        <v>5515.0</v>
      </c>
      <c r="B5518" s="240"/>
      <c r="C5518" s="69" t="s">
        <v>22155</v>
      </c>
      <c r="D5518" s="71"/>
      <c r="E5518" s="68" t="s">
        <v>22156</v>
      </c>
      <c r="F5518" s="76">
        <v>43000.0</v>
      </c>
      <c r="G5518" s="68" t="s">
        <v>22157</v>
      </c>
      <c r="H5518" s="71"/>
      <c r="I5518" s="71"/>
      <c r="J5518" s="68" t="s">
        <v>22158</v>
      </c>
      <c r="K5518" s="76">
        <v>43413.0</v>
      </c>
      <c r="L5518" s="68" t="s">
        <v>16185</v>
      </c>
      <c r="M5518" s="68" t="s">
        <v>403</v>
      </c>
      <c r="N5518" s="116"/>
      <c r="O5518" s="51"/>
    </row>
    <row r="5519">
      <c r="A5519" s="56">
        <v>5516.0</v>
      </c>
      <c r="B5519" s="240"/>
      <c r="C5519" s="69" t="s">
        <v>22159</v>
      </c>
      <c r="D5519" s="71"/>
      <c r="E5519" s="68" t="s">
        <v>22160</v>
      </c>
      <c r="F5519" s="76">
        <v>42797.0</v>
      </c>
      <c r="G5519" s="71"/>
      <c r="H5519" s="71"/>
      <c r="I5519" s="71"/>
      <c r="J5519" s="87" t="s">
        <v>22161</v>
      </c>
      <c r="K5519" s="83">
        <v>43414.0</v>
      </c>
      <c r="L5519" s="68" t="s">
        <v>19483</v>
      </c>
      <c r="M5519" s="68" t="s">
        <v>166</v>
      </c>
      <c r="N5519" s="116"/>
      <c r="O5519" s="51"/>
    </row>
    <row r="5520">
      <c r="A5520" s="56">
        <v>5517.0</v>
      </c>
      <c r="B5520" s="240"/>
      <c r="C5520" s="69" t="s">
        <v>22162</v>
      </c>
      <c r="D5520" s="71"/>
      <c r="E5520" s="68" t="s">
        <v>22163</v>
      </c>
      <c r="F5520" s="76">
        <v>42842.0</v>
      </c>
      <c r="G5520" s="71"/>
      <c r="H5520" s="71"/>
      <c r="I5520" s="71"/>
      <c r="J5520" s="68" t="s">
        <v>22164</v>
      </c>
      <c r="K5520" s="83">
        <v>43414.0</v>
      </c>
      <c r="L5520" s="68" t="s">
        <v>19483</v>
      </c>
      <c r="M5520" s="68" t="s">
        <v>166</v>
      </c>
      <c r="N5520" s="116"/>
      <c r="O5520" s="51"/>
    </row>
    <row r="5521">
      <c r="A5521" s="56">
        <v>5518.0</v>
      </c>
      <c r="B5521" s="240"/>
      <c r="C5521" s="69" t="s">
        <v>22165</v>
      </c>
      <c r="D5521" s="71"/>
      <c r="E5521" s="68" t="s">
        <v>22166</v>
      </c>
      <c r="F5521" s="76">
        <v>42842.0</v>
      </c>
      <c r="G5521" s="71"/>
      <c r="H5521" s="71"/>
      <c r="I5521" s="71"/>
      <c r="J5521" s="68" t="s">
        <v>22167</v>
      </c>
      <c r="K5521" s="83">
        <v>43414.0</v>
      </c>
      <c r="L5521" s="68" t="s">
        <v>19483</v>
      </c>
      <c r="M5521" s="68" t="s">
        <v>166</v>
      </c>
      <c r="N5521" s="116"/>
      <c r="O5521" s="51"/>
    </row>
    <row r="5522">
      <c r="A5522" s="56">
        <v>5519.0</v>
      </c>
      <c r="B5522" s="240"/>
      <c r="C5522" s="69" t="s">
        <v>22168</v>
      </c>
      <c r="D5522" s="71"/>
      <c r="E5522" s="68" t="s">
        <v>22169</v>
      </c>
      <c r="F5522" s="76">
        <v>42842.0</v>
      </c>
      <c r="G5522" s="71"/>
      <c r="H5522" s="71"/>
      <c r="I5522" s="71"/>
      <c r="J5522" s="87" t="s">
        <v>22170</v>
      </c>
      <c r="K5522" s="83">
        <v>43414.0</v>
      </c>
      <c r="L5522" s="68" t="s">
        <v>19483</v>
      </c>
      <c r="M5522" s="68" t="s">
        <v>166</v>
      </c>
      <c r="N5522" s="116"/>
      <c r="O5522" s="51"/>
    </row>
    <row r="5523">
      <c r="A5523" s="56">
        <v>5520.0</v>
      </c>
      <c r="B5523" s="240"/>
      <c r="C5523" s="69" t="s">
        <v>22171</v>
      </c>
      <c r="D5523" s="71"/>
      <c r="E5523" s="68" t="s">
        <v>22172</v>
      </c>
      <c r="F5523" s="76">
        <v>42850.0</v>
      </c>
      <c r="G5523" s="71"/>
      <c r="H5523" s="71"/>
      <c r="I5523" s="68" t="s">
        <v>22173</v>
      </c>
      <c r="J5523" s="87" t="s">
        <v>22174</v>
      </c>
      <c r="K5523" s="83">
        <v>43414.0</v>
      </c>
      <c r="L5523" s="68" t="s">
        <v>19483</v>
      </c>
      <c r="M5523" s="68" t="s">
        <v>166</v>
      </c>
      <c r="N5523" s="116"/>
      <c r="O5523" s="51"/>
    </row>
    <row r="5524">
      <c r="A5524" s="56">
        <v>5521.0</v>
      </c>
      <c r="B5524" s="241"/>
      <c r="C5524" s="64" t="s">
        <v>22175</v>
      </c>
      <c r="D5524" s="66"/>
      <c r="E5524" s="63" t="s">
        <v>22176</v>
      </c>
      <c r="F5524" s="70">
        <v>42852.0</v>
      </c>
      <c r="G5524" s="82"/>
      <c r="H5524" s="82"/>
      <c r="I5524" s="66"/>
      <c r="J5524" s="63" t="s">
        <v>136</v>
      </c>
      <c r="K5524" s="65">
        <v>43414.0</v>
      </c>
      <c r="L5524" s="63" t="s">
        <v>22177</v>
      </c>
      <c r="M5524" s="63" t="s">
        <v>166</v>
      </c>
      <c r="N5524" s="116"/>
      <c r="O5524" s="51"/>
    </row>
    <row r="5525">
      <c r="A5525" s="56">
        <v>5522.0</v>
      </c>
      <c r="B5525" s="240"/>
      <c r="C5525" s="69" t="s">
        <v>22178</v>
      </c>
      <c r="D5525" s="71"/>
      <c r="E5525" s="68" t="s">
        <v>22179</v>
      </c>
      <c r="F5525" s="76">
        <v>42862.0</v>
      </c>
      <c r="G5525" s="71"/>
      <c r="H5525" s="71"/>
      <c r="I5525" s="71"/>
      <c r="J5525" s="68" t="s">
        <v>22180</v>
      </c>
      <c r="K5525" s="83">
        <v>43414.0</v>
      </c>
      <c r="L5525" s="68" t="s">
        <v>19483</v>
      </c>
      <c r="M5525" s="68" t="s">
        <v>166</v>
      </c>
      <c r="N5525" s="116"/>
      <c r="O5525" s="51"/>
    </row>
    <row r="5526">
      <c r="A5526" s="75">
        <v>5523.0</v>
      </c>
      <c r="B5526" s="240"/>
      <c r="C5526" s="69" t="s">
        <v>22181</v>
      </c>
      <c r="D5526" s="71"/>
      <c r="E5526" s="68" t="s">
        <v>22182</v>
      </c>
      <c r="F5526" s="76">
        <v>42940.0</v>
      </c>
      <c r="G5526" s="68" t="s">
        <v>22183</v>
      </c>
      <c r="H5526" s="71"/>
      <c r="I5526" s="71"/>
      <c r="J5526" s="68" t="s">
        <v>22184</v>
      </c>
      <c r="K5526" s="83">
        <v>43414.0</v>
      </c>
      <c r="L5526" s="68" t="s">
        <v>22185</v>
      </c>
      <c r="M5526" s="68" t="s">
        <v>166</v>
      </c>
      <c r="N5526" s="116"/>
      <c r="O5526" s="51"/>
    </row>
    <row r="5527">
      <c r="A5527" s="75">
        <v>5524.0</v>
      </c>
      <c r="B5527" s="240"/>
      <c r="C5527" s="69" t="s">
        <v>22186</v>
      </c>
      <c r="D5527" s="71"/>
      <c r="E5527" s="68" t="s">
        <v>22187</v>
      </c>
      <c r="F5527" s="76">
        <v>42879.0</v>
      </c>
      <c r="G5527" s="71"/>
      <c r="H5527" s="71"/>
      <c r="I5527" s="71"/>
      <c r="J5527" s="68" t="s">
        <v>22188</v>
      </c>
      <c r="K5527" s="83">
        <v>43414.0</v>
      </c>
      <c r="L5527" s="68" t="s">
        <v>19483</v>
      </c>
      <c r="M5527" s="68" t="s">
        <v>166</v>
      </c>
      <c r="N5527" s="116"/>
      <c r="O5527" s="51"/>
    </row>
    <row r="5528">
      <c r="A5528" s="56">
        <v>5525.0</v>
      </c>
      <c r="B5528" s="240"/>
      <c r="C5528" s="69" t="s">
        <v>22189</v>
      </c>
      <c r="D5528" s="71"/>
      <c r="E5528" s="68" t="s">
        <v>22190</v>
      </c>
      <c r="F5528" s="76">
        <v>42887.0</v>
      </c>
      <c r="G5528" s="71"/>
      <c r="H5528" s="71"/>
      <c r="I5528" s="71"/>
      <c r="J5528" s="87" t="s">
        <v>22191</v>
      </c>
      <c r="K5528" s="83">
        <v>43414.0</v>
      </c>
      <c r="L5528" s="68" t="s">
        <v>19483</v>
      </c>
      <c r="M5528" s="68" t="s">
        <v>166</v>
      </c>
      <c r="N5528" s="116"/>
      <c r="O5528" s="51"/>
    </row>
    <row r="5529">
      <c r="A5529" s="56">
        <v>5526.0</v>
      </c>
      <c r="B5529" s="240"/>
      <c r="C5529" s="69" t="s">
        <v>22192</v>
      </c>
      <c r="D5529" s="71"/>
      <c r="E5529" s="68" t="s">
        <v>22193</v>
      </c>
      <c r="F5529" s="76">
        <v>42946.0</v>
      </c>
      <c r="G5529" s="71"/>
      <c r="H5529" s="71"/>
      <c r="I5529" s="71"/>
      <c r="J5529" s="68" t="s">
        <v>22194</v>
      </c>
      <c r="K5529" s="83">
        <v>43414.0</v>
      </c>
      <c r="L5529" s="68" t="s">
        <v>19483</v>
      </c>
      <c r="M5529" s="68" t="s">
        <v>166</v>
      </c>
      <c r="N5529" s="116"/>
      <c r="O5529" s="51"/>
    </row>
    <row r="5530">
      <c r="A5530" s="62">
        <v>5527.0</v>
      </c>
      <c r="B5530" s="242"/>
      <c r="C5530" s="64" t="s">
        <v>22195</v>
      </c>
      <c r="D5530" s="66"/>
      <c r="E5530" s="63" t="s">
        <v>22196</v>
      </c>
      <c r="F5530" s="70">
        <v>42946.0</v>
      </c>
      <c r="G5530" s="66"/>
      <c r="H5530" s="66"/>
      <c r="I5530" s="66"/>
      <c r="J5530" s="66"/>
      <c r="K5530" s="65">
        <v>43414.0</v>
      </c>
      <c r="L5530" s="63" t="s">
        <v>19483</v>
      </c>
      <c r="M5530" s="63" t="s">
        <v>166</v>
      </c>
      <c r="N5530" s="186"/>
      <c r="O5530" s="51"/>
    </row>
    <row r="5531">
      <c r="A5531" s="56">
        <v>5528.0</v>
      </c>
      <c r="B5531" s="240"/>
      <c r="C5531" s="69" t="s">
        <v>22197</v>
      </c>
      <c r="D5531" s="71"/>
      <c r="E5531" s="68" t="s">
        <v>22198</v>
      </c>
      <c r="F5531" s="76">
        <v>42991.0</v>
      </c>
      <c r="G5531" s="71"/>
      <c r="H5531" s="71"/>
      <c r="I5531" s="71"/>
      <c r="J5531" s="87" t="s">
        <v>22199</v>
      </c>
      <c r="K5531" s="83">
        <v>43414.0</v>
      </c>
      <c r="L5531" s="68" t="s">
        <v>19483</v>
      </c>
      <c r="M5531" s="68" t="s">
        <v>166</v>
      </c>
      <c r="N5531" s="116"/>
      <c r="O5531" s="51"/>
    </row>
    <row r="5532">
      <c r="A5532" s="75">
        <v>5529.0</v>
      </c>
      <c r="B5532" s="240"/>
      <c r="C5532" s="69" t="s">
        <v>22200</v>
      </c>
      <c r="D5532" s="71"/>
      <c r="E5532" s="68" t="s">
        <v>22201</v>
      </c>
      <c r="F5532" s="76">
        <v>42799.0</v>
      </c>
      <c r="G5532" s="71"/>
      <c r="H5532" s="71"/>
      <c r="I5532" s="71"/>
      <c r="J5532" s="68" t="s">
        <v>22202</v>
      </c>
      <c r="K5532" s="83">
        <v>43414.0</v>
      </c>
      <c r="L5532" s="68" t="s">
        <v>19483</v>
      </c>
      <c r="M5532" s="68" t="s">
        <v>166</v>
      </c>
      <c r="N5532" s="116"/>
      <c r="O5532" s="51"/>
    </row>
    <row r="5533">
      <c r="A5533" s="56">
        <v>5530.0</v>
      </c>
      <c r="B5533" s="240"/>
      <c r="C5533" s="69" t="s">
        <v>22203</v>
      </c>
      <c r="D5533" s="71"/>
      <c r="E5533" s="68" t="s">
        <v>22204</v>
      </c>
      <c r="F5533" s="83">
        <v>43061.0</v>
      </c>
      <c r="G5533" s="71"/>
      <c r="H5533" s="71"/>
      <c r="I5533" s="71"/>
      <c r="J5533" s="87" t="s">
        <v>22205</v>
      </c>
      <c r="K5533" s="83">
        <v>43414.0</v>
      </c>
      <c r="L5533" s="68" t="s">
        <v>19483</v>
      </c>
      <c r="M5533" s="68" t="s">
        <v>166</v>
      </c>
      <c r="N5533" s="116"/>
      <c r="O5533" s="51"/>
    </row>
    <row r="5534">
      <c r="A5534" s="56">
        <v>5531.0</v>
      </c>
      <c r="B5534" s="240"/>
      <c r="C5534" s="69" t="s">
        <v>22206</v>
      </c>
      <c r="D5534" s="71"/>
      <c r="E5534" s="68" t="s">
        <v>22207</v>
      </c>
      <c r="F5534" s="76">
        <v>43191.0</v>
      </c>
      <c r="G5534" s="71"/>
      <c r="H5534" s="71"/>
      <c r="I5534" s="71"/>
      <c r="J5534" s="87" t="s">
        <v>22208</v>
      </c>
      <c r="K5534" s="83">
        <v>43414.0</v>
      </c>
      <c r="L5534" s="68" t="s">
        <v>19483</v>
      </c>
      <c r="M5534" s="68" t="s">
        <v>166</v>
      </c>
      <c r="N5534" s="116"/>
      <c r="O5534" s="51"/>
    </row>
    <row r="5535">
      <c r="A5535" s="56">
        <v>5532.0</v>
      </c>
      <c r="B5535" s="240"/>
      <c r="C5535" s="69" t="s">
        <v>22209</v>
      </c>
      <c r="D5535" s="71"/>
      <c r="E5535" s="68" t="s">
        <v>22210</v>
      </c>
      <c r="F5535" s="76">
        <v>43191.0</v>
      </c>
      <c r="G5535" s="71"/>
      <c r="H5535" s="71"/>
      <c r="I5535" s="71"/>
      <c r="J5535" s="87" t="s">
        <v>22211</v>
      </c>
      <c r="K5535" s="83">
        <v>43414.0</v>
      </c>
      <c r="L5535" s="68" t="s">
        <v>19483</v>
      </c>
      <c r="M5535" s="68" t="s">
        <v>166</v>
      </c>
      <c r="N5535" s="116"/>
      <c r="O5535" s="51"/>
    </row>
    <row r="5536">
      <c r="A5536" s="56">
        <v>5533.0</v>
      </c>
      <c r="B5536" s="240"/>
      <c r="C5536" s="69" t="s">
        <v>22212</v>
      </c>
      <c r="D5536" s="71"/>
      <c r="E5536" s="68" t="s">
        <v>22213</v>
      </c>
      <c r="F5536" s="76">
        <v>42248.0</v>
      </c>
      <c r="G5536" s="71"/>
      <c r="H5536" s="71"/>
      <c r="I5536" s="71"/>
      <c r="J5536" s="87" t="s">
        <v>22214</v>
      </c>
      <c r="K5536" s="83">
        <v>43414.0</v>
      </c>
      <c r="L5536" s="68" t="s">
        <v>19483</v>
      </c>
      <c r="M5536" s="68" t="s">
        <v>166</v>
      </c>
      <c r="N5536" s="116"/>
      <c r="O5536" s="51"/>
    </row>
    <row r="5537">
      <c r="A5537" s="75">
        <v>5534.0</v>
      </c>
      <c r="B5537" s="240"/>
      <c r="C5537" s="69" t="s">
        <v>22215</v>
      </c>
      <c r="D5537" s="71"/>
      <c r="E5537" s="68" t="s">
        <v>22216</v>
      </c>
      <c r="F5537" s="83">
        <v>42689.0</v>
      </c>
      <c r="G5537" s="71"/>
      <c r="H5537" s="71"/>
      <c r="I5537" s="71"/>
      <c r="J5537" s="68" t="s">
        <v>22217</v>
      </c>
      <c r="K5537" s="83">
        <v>43414.0</v>
      </c>
      <c r="L5537" s="68" t="s">
        <v>19483</v>
      </c>
      <c r="M5537" s="68" t="s">
        <v>166</v>
      </c>
      <c r="N5537" s="116"/>
      <c r="O5537" s="51"/>
    </row>
    <row r="5538">
      <c r="A5538" s="56">
        <v>5535.0</v>
      </c>
      <c r="B5538" s="240"/>
      <c r="C5538" s="69" t="s">
        <v>22218</v>
      </c>
      <c r="D5538" s="71"/>
      <c r="E5538" s="68" t="s">
        <v>22219</v>
      </c>
      <c r="F5538" s="76">
        <v>43238.0</v>
      </c>
      <c r="G5538" s="71"/>
      <c r="H5538" s="71"/>
      <c r="I5538" s="71"/>
      <c r="J5538" s="68" t="s">
        <v>21467</v>
      </c>
      <c r="K5538" s="83">
        <v>43414.0</v>
      </c>
      <c r="L5538" s="68" t="s">
        <v>19483</v>
      </c>
      <c r="M5538" s="68" t="s">
        <v>166</v>
      </c>
      <c r="N5538" s="116"/>
      <c r="O5538" s="51"/>
    </row>
    <row r="5539">
      <c r="A5539" s="56">
        <v>5536.0</v>
      </c>
      <c r="B5539" s="240"/>
      <c r="C5539" s="69" t="s">
        <v>22220</v>
      </c>
      <c r="D5539" s="71"/>
      <c r="E5539" s="68" t="s">
        <v>22221</v>
      </c>
      <c r="F5539" s="76">
        <v>42926.0</v>
      </c>
      <c r="G5539" s="71"/>
      <c r="H5539" s="71"/>
      <c r="I5539" s="71"/>
      <c r="J5539" s="68" t="s">
        <v>22222</v>
      </c>
      <c r="K5539" s="83">
        <v>43414.0</v>
      </c>
      <c r="L5539" s="68" t="s">
        <v>19483</v>
      </c>
      <c r="M5539" s="68" t="s">
        <v>166</v>
      </c>
      <c r="N5539" s="116"/>
      <c r="O5539" s="51"/>
    </row>
    <row r="5540">
      <c r="A5540" s="56">
        <v>5537.0</v>
      </c>
      <c r="B5540" s="240"/>
      <c r="C5540" s="69" t="s">
        <v>22223</v>
      </c>
      <c r="D5540" s="71"/>
      <c r="E5540" s="68" t="s">
        <v>22224</v>
      </c>
      <c r="F5540" s="76">
        <v>43180.0</v>
      </c>
      <c r="G5540" s="71"/>
      <c r="H5540" s="71"/>
      <c r="I5540" s="71"/>
      <c r="J5540" s="87" t="s">
        <v>22225</v>
      </c>
      <c r="K5540" s="83">
        <v>43414.0</v>
      </c>
      <c r="L5540" s="68" t="s">
        <v>19483</v>
      </c>
      <c r="M5540" s="68" t="s">
        <v>166</v>
      </c>
      <c r="N5540" s="116"/>
      <c r="O5540" s="51"/>
    </row>
    <row r="5541">
      <c r="A5541" s="56">
        <v>5538.0</v>
      </c>
      <c r="B5541" s="240"/>
      <c r="C5541" s="69" t="s">
        <v>22226</v>
      </c>
      <c r="D5541" s="71"/>
      <c r="E5541" s="68" t="s">
        <v>22227</v>
      </c>
      <c r="F5541" s="76">
        <v>42983.0</v>
      </c>
      <c r="G5541" s="71"/>
      <c r="H5541" s="71"/>
      <c r="I5541" s="71"/>
      <c r="J5541" s="87" t="s">
        <v>22228</v>
      </c>
      <c r="K5541" s="83">
        <v>43414.0</v>
      </c>
      <c r="L5541" s="68" t="s">
        <v>19483</v>
      </c>
      <c r="M5541" s="68" t="s">
        <v>166</v>
      </c>
      <c r="N5541" s="116"/>
      <c r="O5541" s="51"/>
    </row>
    <row r="5542">
      <c r="A5542" s="56">
        <v>5539.0</v>
      </c>
      <c r="B5542" s="240"/>
      <c r="C5542" s="69" t="s">
        <v>22229</v>
      </c>
      <c r="D5542" s="71"/>
      <c r="E5542" s="68" t="s">
        <v>22230</v>
      </c>
      <c r="F5542" s="83">
        <v>43085.0</v>
      </c>
      <c r="G5542" s="71"/>
      <c r="H5542" s="71"/>
      <c r="I5542" s="71"/>
      <c r="J5542" s="87" t="s">
        <v>22231</v>
      </c>
      <c r="K5542" s="83">
        <v>43414.0</v>
      </c>
      <c r="L5542" s="68" t="s">
        <v>19483</v>
      </c>
      <c r="M5542" s="68" t="s">
        <v>166</v>
      </c>
      <c r="N5542" s="116"/>
      <c r="O5542" s="51"/>
    </row>
    <row r="5543">
      <c r="A5543" s="56">
        <v>5540.0</v>
      </c>
      <c r="B5543" s="240"/>
      <c r="C5543" s="69" t="s">
        <v>22232</v>
      </c>
      <c r="D5543" s="71"/>
      <c r="E5543" s="68" t="s">
        <v>22233</v>
      </c>
      <c r="F5543" s="76">
        <v>42780.0</v>
      </c>
      <c r="G5543" s="71"/>
      <c r="H5543" s="71"/>
      <c r="I5543" s="71"/>
      <c r="J5543" s="87" t="s">
        <v>22234</v>
      </c>
      <c r="K5543" s="83">
        <v>43414.0</v>
      </c>
      <c r="L5543" s="68" t="s">
        <v>19483</v>
      </c>
      <c r="M5543" s="68" t="s">
        <v>166</v>
      </c>
      <c r="N5543" s="116"/>
      <c r="O5543" s="51"/>
    </row>
    <row r="5544">
      <c r="A5544" s="75">
        <v>5541.0</v>
      </c>
      <c r="B5544" s="240"/>
      <c r="C5544" s="69" t="s">
        <v>22235</v>
      </c>
      <c r="D5544" s="71"/>
      <c r="E5544" s="68" t="s">
        <v>22236</v>
      </c>
      <c r="F5544" s="76">
        <v>42186.0</v>
      </c>
      <c r="G5544" s="71"/>
      <c r="H5544" s="71"/>
      <c r="I5544" s="71"/>
      <c r="J5544" s="68" t="s">
        <v>22237</v>
      </c>
      <c r="K5544" s="83">
        <v>43414.0</v>
      </c>
      <c r="L5544" s="68" t="s">
        <v>19483</v>
      </c>
      <c r="M5544" s="68" t="s">
        <v>166</v>
      </c>
      <c r="N5544" s="116"/>
      <c r="O5544" s="51"/>
    </row>
    <row r="5545">
      <c r="A5545" s="56">
        <v>5542.0</v>
      </c>
      <c r="B5545" s="240"/>
      <c r="C5545" s="69" t="s">
        <v>22238</v>
      </c>
      <c r="D5545" s="71"/>
      <c r="E5545" s="68" t="s">
        <v>22239</v>
      </c>
      <c r="F5545" s="68" t="s">
        <v>407</v>
      </c>
      <c r="G5545" s="71"/>
      <c r="H5545" s="71"/>
      <c r="I5545" s="71"/>
      <c r="J5545" s="68" t="s">
        <v>22240</v>
      </c>
      <c r="K5545" s="83">
        <v>43414.0</v>
      </c>
      <c r="L5545" s="68" t="s">
        <v>19483</v>
      </c>
      <c r="M5545" s="68" t="s">
        <v>166</v>
      </c>
      <c r="N5545" s="116"/>
      <c r="O5545" s="51"/>
    </row>
    <row r="5546">
      <c r="A5546" s="56">
        <v>5543.0</v>
      </c>
      <c r="B5546" s="240"/>
      <c r="C5546" s="69" t="s">
        <v>22241</v>
      </c>
      <c r="D5546" s="71"/>
      <c r="E5546" s="68" t="s">
        <v>22242</v>
      </c>
      <c r="F5546" s="68" t="s">
        <v>407</v>
      </c>
      <c r="G5546" s="71"/>
      <c r="H5546" s="71"/>
      <c r="I5546" s="71"/>
      <c r="J5546" s="87" t="s">
        <v>22243</v>
      </c>
      <c r="K5546" s="83">
        <v>43414.0</v>
      </c>
      <c r="L5546" s="68" t="s">
        <v>19483</v>
      </c>
      <c r="M5546" s="68" t="s">
        <v>166</v>
      </c>
      <c r="N5546" s="116"/>
      <c r="O5546" s="51"/>
    </row>
    <row r="5547">
      <c r="A5547" s="56">
        <v>5544.0</v>
      </c>
      <c r="B5547" s="240"/>
      <c r="C5547" s="69" t="s">
        <v>22244</v>
      </c>
      <c r="D5547" s="71"/>
      <c r="E5547" s="68" t="s">
        <v>22245</v>
      </c>
      <c r="F5547" s="68" t="s">
        <v>407</v>
      </c>
      <c r="G5547" s="71"/>
      <c r="H5547" s="71"/>
      <c r="I5547" s="71"/>
      <c r="J5547" s="87" t="s">
        <v>22246</v>
      </c>
      <c r="K5547" s="83">
        <v>43414.0</v>
      </c>
      <c r="L5547" s="68" t="s">
        <v>19483</v>
      </c>
      <c r="M5547" s="68" t="s">
        <v>166</v>
      </c>
      <c r="N5547" s="116"/>
      <c r="O5547" s="51"/>
    </row>
    <row r="5548">
      <c r="A5548" s="56">
        <v>5545.0</v>
      </c>
      <c r="B5548" s="240"/>
      <c r="C5548" s="69" t="s">
        <v>22247</v>
      </c>
      <c r="D5548" s="71"/>
      <c r="E5548" s="68" t="s">
        <v>22248</v>
      </c>
      <c r="F5548" s="76">
        <v>41821.0</v>
      </c>
      <c r="G5548" s="71"/>
      <c r="H5548" s="71"/>
      <c r="I5548" s="71"/>
      <c r="J5548" s="87" t="s">
        <v>22249</v>
      </c>
      <c r="K5548" s="83">
        <v>43414.0</v>
      </c>
      <c r="L5548" s="68" t="s">
        <v>19483</v>
      </c>
      <c r="M5548" s="68" t="s">
        <v>166</v>
      </c>
      <c r="N5548" s="116"/>
      <c r="O5548" s="51"/>
    </row>
    <row r="5549">
      <c r="A5549" s="56">
        <v>5546.0</v>
      </c>
      <c r="B5549" s="240"/>
      <c r="C5549" s="69" t="s">
        <v>22250</v>
      </c>
      <c r="D5549" s="71"/>
      <c r="E5549" s="68" t="s">
        <v>22251</v>
      </c>
      <c r="F5549" s="76">
        <v>42763.0</v>
      </c>
      <c r="G5549" s="68" t="s">
        <v>22252</v>
      </c>
      <c r="H5549" s="71"/>
      <c r="I5549" s="71"/>
      <c r="J5549" s="68" t="s">
        <v>22253</v>
      </c>
      <c r="K5549" s="83">
        <v>43414.0</v>
      </c>
      <c r="L5549" s="68" t="s">
        <v>19483</v>
      </c>
      <c r="M5549" s="68" t="s">
        <v>166</v>
      </c>
      <c r="N5549" s="116"/>
      <c r="O5549" s="51"/>
    </row>
    <row r="5550">
      <c r="A5550" s="56">
        <v>5547.0</v>
      </c>
      <c r="B5550" s="241"/>
      <c r="C5550" s="64" t="s">
        <v>22254</v>
      </c>
      <c r="D5550" s="66"/>
      <c r="E5550" s="63" t="s">
        <v>22255</v>
      </c>
      <c r="F5550" s="70">
        <v>42941.0</v>
      </c>
      <c r="G5550" s="82"/>
      <c r="H5550" s="82"/>
      <c r="I5550" s="66"/>
      <c r="J5550" s="63" t="s">
        <v>136</v>
      </c>
      <c r="K5550" s="65">
        <v>43414.0</v>
      </c>
      <c r="L5550" s="63" t="s">
        <v>22256</v>
      </c>
      <c r="M5550" s="63" t="s">
        <v>166</v>
      </c>
      <c r="N5550" s="116"/>
      <c r="O5550" s="51"/>
    </row>
    <row r="5551">
      <c r="A5551" s="56">
        <v>5548.0</v>
      </c>
      <c r="B5551" s="240"/>
      <c r="C5551" s="69" t="s">
        <v>22257</v>
      </c>
      <c r="D5551" s="71"/>
      <c r="E5551" s="68" t="s">
        <v>22258</v>
      </c>
      <c r="F5551" s="76">
        <v>42580.0</v>
      </c>
      <c r="G5551" s="71"/>
      <c r="H5551" s="71"/>
      <c r="I5551" s="71"/>
      <c r="J5551" s="68" t="s">
        <v>22259</v>
      </c>
      <c r="K5551" s="83">
        <v>43414.0</v>
      </c>
      <c r="L5551" s="68" t="s">
        <v>19483</v>
      </c>
      <c r="M5551" s="68" t="s">
        <v>166</v>
      </c>
      <c r="N5551" s="116"/>
      <c r="O5551" s="51"/>
    </row>
    <row r="5552">
      <c r="A5552" s="56">
        <v>5549.0</v>
      </c>
      <c r="B5552" s="240"/>
      <c r="C5552" s="69" t="s">
        <v>22260</v>
      </c>
      <c r="D5552" s="71"/>
      <c r="E5552" s="68" t="s">
        <v>22261</v>
      </c>
      <c r="F5552" s="76">
        <v>41890.0</v>
      </c>
      <c r="G5552" s="71"/>
      <c r="H5552" s="71"/>
      <c r="I5552" s="71"/>
      <c r="J5552" s="68" t="s">
        <v>22262</v>
      </c>
      <c r="K5552" s="83">
        <v>43414.0</v>
      </c>
      <c r="L5552" s="68" t="s">
        <v>19483</v>
      </c>
      <c r="M5552" s="68" t="s">
        <v>166</v>
      </c>
      <c r="N5552" s="116"/>
      <c r="O5552" s="51"/>
    </row>
    <row r="5553">
      <c r="A5553" s="56">
        <v>5550.0</v>
      </c>
      <c r="B5553" s="240"/>
      <c r="C5553" s="69" t="s">
        <v>22263</v>
      </c>
      <c r="D5553" s="71"/>
      <c r="E5553" s="68" t="s">
        <v>22264</v>
      </c>
      <c r="F5553" s="76">
        <v>41091.0</v>
      </c>
      <c r="G5553" s="71"/>
      <c r="H5553" s="71"/>
      <c r="I5553" s="71"/>
      <c r="J5553" s="87" t="s">
        <v>22265</v>
      </c>
      <c r="K5553" s="83">
        <v>43414.0</v>
      </c>
      <c r="L5553" s="68" t="s">
        <v>19483</v>
      </c>
      <c r="M5553" s="68" t="s">
        <v>166</v>
      </c>
      <c r="N5553" s="116"/>
      <c r="O5553" s="51"/>
    </row>
    <row r="5554">
      <c r="A5554" s="62">
        <v>5551.0</v>
      </c>
      <c r="B5554" s="242"/>
      <c r="C5554" s="64" t="s">
        <v>22266</v>
      </c>
      <c r="D5554" s="66"/>
      <c r="E5554" s="63" t="s">
        <v>22267</v>
      </c>
      <c r="F5554" s="70">
        <v>42401.0</v>
      </c>
      <c r="G5554" s="66"/>
      <c r="H5554" s="66"/>
      <c r="I5554" s="66"/>
      <c r="J5554" s="66"/>
      <c r="K5554" s="65">
        <v>43414.0</v>
      </c>
      <c r="L5554" s="63" t="s">
        <v>19483</v>
      </c>
      <c r="M5554" s="63" t="s">
        <v>166</v>
      </c>
      <c r="N5554" s="116"/>
      <c r="O5554" s="51"/>
    </row>
    <row r="5555">
      <c r="A5555" s="56">
        <v>5552.0</v>
      </c>
      <c r="B5555" s="240"/>
      <c r="C5555" s="69" t="s">
        <v>22268</v>
      </c>
      <c r="D5555" s="71"/>
      <c r="E5555" s="68" t="s">
        <v>22269</v>
      </c>
      <c r="F5555" s="76">
        <v>43130.0</v>
      </c>
      <c r="G5555" s="68" t="s">
        <v>22270</v>
      </c>
      <c r="H5555" s="71"/>
      <c r="I5555" s="68" t="s">
        <v>22271</v>
      </c>
      <c r="J5555" s="68" t="s">
        <v>22272</v>
      </c>
      <c r="K5555" s="83">
        <v>43431.0</v>
      </c>
      <c r="L5555" s="68" t="s">
        <v>2743</v>
      </c>
      <c r="M5555" s="68" t="s">
        <v>18270</v>
      </c>
      <c r="N5555" s="116"/>
      <c r="O5555" s="51"/>
    </row>
    <row r="5556">
      <c r="A5556" s="56">
        <v>5553.0</v>
      </c>
      <c r="B5556" s="246"/>
      <c r="C5556" s="58" t="s">
        <v>22273</v>
      </c>
      <c r="D5556" s="60"/>
      <c r="E5556" s="57" t="s">
        <v>22274</v>
      </c>
      <c r="F5556" s="78">
        <v>43422.0</v>
      </c>
      <c r="G5556" s="57" t="s">
        <v>22275</v>
      </c>
      <c r="H5556" s="60"/>
      <c r="I5556" s="57" t="s">
        <v>22276</v>
      </c>
      <c r="J5556" s="57" t="s">
        <v>22277</v>
      </c>
      <c r="K5556" s="78">
        <v>43431.0</v>
      </c>
      <c r="L5556" s="57" t="s">
        <v>2743</v>
      </c>
      <c r="M5556" s="57" t="s">
        <v>149</v>
      </c>
      <c r="N5556" s="90"/>
      <c r="O5556" s="51"/>
    </row>
    <row r="5557">
      <c r="A5557" s="56">
        <v>5554.0</v>
      </c>
      <c r="B5557" s="241"/>
      <c r="C5557" s="64" t="s">
        <v>22278</v>
      </c>
      <c r="D5557" s="66"/>
      <c r="E5557" s="63" t="s">
        <v>22279</v>
      </c>
      <c r="F5557" s="70">
        <v>40360.0</v>
      </c>
      <c r="G5557" s="80" t="s">
        <v>22280</v>
      </c>
      <c r="H5557" s="82"/>
      <c r="I5557" s="66"/>
      <c r="J5557" s="63" t="s">
        <v>136</v>
      </c>
      <c r="K5557" s="65">
        <v>43431.0</v>
      </c>
      <c r="L5557" s="63" t="s">
        <v>2743</v>
      </c>
      <c r="M5557" s="63" t="s">
        <v>125</v>
      </c>
      <c r="N5557" s="116"/>
      <c r="O5557" s="51"/>
    </row>
    <row r="5558">
      <c r="A5558" s="56">
        <v>5555.0</v>
      </c>
      <c r="B5558" s="240"/>
      <c r="C5558" s="69" t="s">
        <v>22281</v>
      </c>
      <c r="D5558" s="71"/>
      <c r="E5558" s="68" t="s">
        <v>22282</v>
      </c>
      <c r="F5558" s="83">
        <v>43394.0</v>
      </c>
      <c r="G5558" s="68" t="s">
        <v>22283</v>
      </c>
      <c r="H5558" s="71"/>
      <c r="I5558" s="68" t="s">
        <v>22284</v>
      </c>
      <c r="J5558" s="87" t="s">
        <v>22285</v>
      </c>
      <c r="K5558" s="83">
        <v>43431.0</v>
      </c>
      <c r="L5558" s="68" t="s">
        <v>2743</v>
      </c>
      <c r="M5558" s="68" t="s">
        <v>31</v>
      </c>
      <c r="N5558" s="116"/>
      <c r="O5558" s="51"/>
    </row>
    <row r="5559">
      <c r="A5559" s="56">
        <v>5556.0</v>
      </c>
      <c r="B5559" s="240"/>
      <c r="C5559" s="69" t="s">
        <v>22286</v>
      </c>
      <c r="D5559" s="71"/>
      <c r="E5559" s="68" t="s">
        <v>22287</v>
      </c>
      <c r="F5559" s="76">
        <v>42879.0</v>
      </c>
      <c r="G5559" s="68" t="s">
        <v>22288</v>
      </c>
      <c r="H5559" s="71"/>
      <c r="I5559" s="71"/>
      <c r="J5559" s="68" t="s">
        <v>22289</v>
      </c>
      <c r="K5559" s="83">
        <v>43431.0</v>
      </c>
      <c r="L5559" s="68" t="s">
        <v>2743</v>
      </c>
      <c r="M5559" s="68" t="s">
        <v>166</v>
      </c>
      <c r="N5559" s="116"/>
      <c r="O5559" s="51"/>
    </row>
    <row r="5560">
      <c r="A5560" s="75">
        <v>5557.0</v>
      </c>
      <c r="B5560" s="240"/>
      <c r="C5560" s="69" t="s">
        <v>22290</v>
      </c>
      <c r="D5560" s="71"/>
      <c r="E5560" s="68" t="s">
        <v>22187</v>
      </c>
      <c r="F5560" s="76">
        <v>42879.0</v>
      </c>
      <c r="G5560" s="68" t="s">
        <v>22291</v>
      </c>
      <c r="H5560" s="71"/>
      <c r="I5560" s="71"/>
      <c r="J5560" s="68" t="s">
        <v>22188</v>
      </c>
      <c r="K5560" s="83">
        <v>43431.0</v>
      </c>
      <c r="L5560" s="68" t="s">
        <v>2743</v>
      </c>
      <c r="M5560" s="68" t="s">
        <v>166</v>
      </c>
      <c r="N5560" s="186"/>
      <c r="O5560" s="51"/>
    </row>
    <row r="5561">
      <c r="A5561" s="56">
        <v>5558.0</v>
      </c>
      <c r="B5561" s="241"/>
      <c r="C5561" s="64" t="s">
        <v>22292</v>
      </c>
      <c r="D5561" s="66"/>
      <c r="E5561" s="63" t="s">
        <v>22293</v>
      </c>
      <c r="F5561" s="70">
        <v>42144.0</v>
      </c>
      <c r="G5561" s="80" t="s">
        <v>22294</v>
      </c>
      <c r="H5561" s="80" t="s">
        <v>22295</v>
      </c>
      <c r="I5561" s="63" t="s">
        <v>22296</v>
      </c>
      <c r="J5561" s="63" t="s">
        <v>136</v>
      </c>
      <c r="K5561" s="65">
        <v>43431.0</v>
      </c>
      <c r="L5561" s="63" t="s">
        <v>2743</v>
      </c>
      <c r="M5561" s="63" t="s">
        <v>6395</v>
      </c>
      <c r="N5561" s="116"/>
      <c r="O5561" s="51"/>
    </row>
    <row r="5562">
      <c r="A5562" s="56">
        <v>5559.0</v>
      </c>
      <c r="B5562" s="240"/>
      <c r="C5562" s="69" t="s">
        <v>22297</v>
      </c>
      <c r="D5562" s="71"/>
      <c r="E5562" s="68" t="s">
        <v>22298</v>
      </c>
      <c r="F5562" s="83">
        <v>43399.0</v>
      </c>
      <c r="G5562" s="68" t="s">
        <v>22299</v>
      </c>
      <c r="H5562" s="71"/>
      <c r="I5562" s="71"/>
      <c r="J5562" s="68" t="s">
        <v>22300</v>
      </c>
      <c r="K5562" s="83">
        <v>43417.0</v>
      </c>
      <c r="L5562" s="68" t="s">
        <v>2743</v>
      </c>
      <c r="M5562" s="68" t="s">
        <v>31</v>
      </c>
      <c r="N5562" s="116"/>
      <c r="O5562" s="51"/>
    </row>
    <row r="5563">
      <c r="A5563" s="56">
        <v>5560.0</v>
      </c>
      <c r="B5563" s="240"/>
      <c r="C5563" s="69" t="s">
        <v>22301</v>
      </c>
      <c r="D5563" s="71"/>
      <c r="E5563" s="68" t="s">
        <v>22302</v>
      </c>
      <c r="F5563" s="83">
        <v>43422.0</v>
      </c>
      <c r="G5563" s="68" t="s">
        <v>22303</v>
      </c>
      <c r="H5563" s="71"/>
      <c r="I5563" s="71"/>
      <c r="J5563" s="68" t="s">
        <v>22304</v>
      </c>
      <c r="K5563" s="83">
        <v>43424.0</v>
      </c>
      <c r="L5563" s="68" t="s">
        <v>2743</v>
      </c>
      <c r="M5563" s="68" t="s">
        <v>31</v>
      </c>
      <c r="N5563" s="116"/>
      <c r="O5563" s="51"/>
    </row>
    <row r="5564">
      <c r="A5564" s="56">
        <v>5561.0</v>
      </c>
      <c r="B5564" s="241"/>
      <c r="C5564" s="64" t="s">
        <v>22305</v>
      </c>
      <c r="D5564" s="66"/>
      <c r="E5564" s="63" t="s">
        <v>22306</v>
      </c>
      <c r="F5564" s="70">
        <v>42884.0</v>
      </c>
      <c r="G5564" s="80" t="s">
        <v>22307</v>
      </c>
      <c r="H5564" s="80" t="s">
        <v>22308</v>
      </c>
      <c r="I5564" s="66"/>
      <c r="J5564" s="63" t="s">
        <v>136</v>
      </c>
      <c r="K5564" s="65">
        <v>43789.0</v>
      </c>
      <c r="L5564" s="63" t="s">
        <v>1496</v>
      </c>
      <c r="M5564" s="63" t="s">
        <v>166</v>
      </c>
      <c r="N5564" s="116"/>
      <c r="O5564" s="51"/>
    </row>
    <row r="5565">
      <c r="A5565" s="56">
        <v>5562.0</v>
      </c>
      <c r="B5565" s="241"/>
      <c r="C5565" s="64" t="s">
        <v>22309</v>
      </c>
      <c r="D5565" s="66"/>
      <c r="E5565" s="63" t="s">
        <v>22310</v>
      </c>
      <c r="F5565" s="70">
        <v>42636.0</v>
      </c>
      <c r="G5565" s="80" t="s">
        <v>22311</v>
      </c>
      <c r="H5565" s="82"/>
      <c r="I5565" s="66"/>
      <c r="J5565" s="63" t="s">
        <v>136</v>
      </c>
      <c r="K5565" s="65">
        <v>43789.0</v>
      </c>
      <c r="L5565" s="63" t="s">
        <v>2743</v>
      </c>
      <c r="M5565" s="63" t="s">
        <v>125</v>
      </c>
      <c r="N5565" s="116"/>
      <c r="O5565" s="51"/>
    </row>
    <row r="5566">
      <c r="A5566" s="62">
        <v>5563.0</v>
      </c>
      <c r="B5566" s="242"/>
      <c r="C5566" s="64" t="s">
        <v>22312</v>
      </c>
      <c r="D5566" s="66"/>
      <c r="E5566" s="63" t="s">
        <v>22313</v>
      </c>
      <c r="F5566" s="65">
        <v>43056.0</v>
      </c>
      <c r="G5566" s="63" t="s">
        <v>22314</v>
      </c>
      <c r="H5566" s="63" t="s">
        <v>22315</v>
      </c>
      <c r="I5566" s="66"/>
      <c r="J5566" s="63" t="s">
        <v>136</v>
      </c>
      <c r="K5566" s="65">
        <v>43789.0</v>
      </c>
      <c r="L5566" s="63" t="s">
        <v>2743</v>
      </c>
      <c r="M5566" s="63" t="s">
        <v>166</v>
      </c>
      <c r="N5566" s="186"/>
      <c r="O5566" s="51"/>
    </row>
    <row r="5567">
      <c r="A5567" s="75">
        <v>5564.0</v>
      </c>
      <c r="B5567" s="240"/>
      <c r="C5567" s="69" t="s">
        <v>22316</v>
      </c>
      <c r="D5567" s="71"/>
      <c r="E5567" s="68" t="s">
        <v>22317</v>
      </c>
      <c r="F5567" s="83">
        <v>43402.0</v>
      </c>
      <c r="G5567" s="68" t="s">
        <v>22318</v>
      </c>
      <c r="H5567" s="71"/>
      <c r="I5567" s="68" t="s">
        <v>22319</v>
      </c>
      <c r="J5567" s="68" t="s">
        <v>22320</v>
      </c>
      <c r="K5567" s="83">
        <v>43789.0</v>
      </c>
      <c r="L5567" s="68" t="s">
        <v>2743</v>
      </c>
      <c r="M5567" s="68" t="s">
        <v>15904</v>
      </c>
      <c r="N5567" s="116"/>
      <c r="O5567" s="51"/>
    </row>
    <row r="5568">
      <c r="A5568" s="56">
        <v>5565.0</v>
      </c>
      <c r="B5568" s="241"/>
      <c r="C5568" s="64" t="s">
        <v>22321</v>
      </c>
      <c r="D5568" s="66"/>
      <c r="E5568" s="63" t="s">
        <v>22322</v>
      </c>
      <c r="F5568" s="70">
        <v>39995.0</v>
      </c>
      <c r="G5568" s="80" t="s">
        <v>22323</v>
      </c>
      <c r="H5568" s="80" t="s">
        <v>22324</v>
      </c>
      <c r="I5568" s="63" t="s">
        <v>22325</v>
      </c>
      <c r="J5568" s="63" t="s">
        <v>136</v>
      </c>
      <c r="K5568" s="65">
        <v>43426.0</v>
      </c>
      <c r="L5568" s="63" t="s">
        <v>2743</v>
      </c>
      <c r="M5568" s="63" t="s">
        <v>530</v>
      </c>
      <c r="N5568" s="116"/>
      <c r="O5568" s="51"/>
    </row>
    <row r="5569">
      <c r="A5569" s="56">
        <v>5566.0</v>
      </c>
      <c r="B5569" s="240"/>
      <c r="C5569" s="69" t="s">
        <v>22326</v>
      </c>
      <c r="D5569" s="71"/>
      <c r="E5569" s="68" t="s">
        <v>22327</v>
      </c>
      <c r="F5569" s="76">
        <v>43330.0</v>
      </c>
      <c r="G5569" s="68" t="s">
        <v>22328</v>
      </c>
      <c r="H5569" s="71"/>
      <c r="I5569" s="71"/>
      <c r="J5569" s="68" t="s">
        <v>22329</v>
      </c>
      <c r="K5569" s="83">
        <v>43426.0</v>
      </c>
      <c r="L5569" s="68" t="s">
        <v>2743</v>
      </c>
      <c r="M5569" s="68" t="s">
        <v>1910</v>
      </c>
      <c r="N5569" s="116"/>
      <c r="O5569" s="51"/>
    </row>
    <row r="5570">
      <c r="A5570" s="56">
        <v>5567.0</v>
      </c>
      <c r="B5570" s="241"/>
      <c r="C5570" s="64" t="s">
        <v>22330</v>
      </c>
      <c r="D5570" s="66"/>
      <c r="E5570" s="63" t="s">
        <v>22331</v>
      </c>
      <c r="F5570" s="70">
        <v>39995.0</v>
      </c>
      <c r="G5570" s="80" t="s">
        <v>22332</v>
      </c>
      <c r="H5570" s="80" t="s">
        <v>22333</v>
      </c>
      <c r="I5570" s="63" t="s">
        <v>22334</v>
      </c>
      <c r="J5570" s="63" t="s">
        <v>136</v>
      </c>
      <c r="K5570" s="65">
        <v>43426.0</v>
      </c>
      <c r="L5570" s="63" t="s">
        <v>2743</v>
      </c>
      <c r="M5570" s="63" t="s">
        <v>530</v>
      </c>
      <c r="N5570" s="116"/>
      <c r="O5570" s="51"/>
    </row>
    <row r="5571">
      <c r="A5571" s="56">
        <v>5568.0</v>
      </c>
      <c r="B5571" s="246"/>
      <c r="C5571" s="58" t="s">
        <v>22335</v>
      </c>
      <c r="D5571" s="60"/>
      <c r="E5571" s="57" t="s">
        <v>22336</v>
      </c>
      <c r="F5571" s="59">
        <v>43317.0</v>
      </c>
      <c r="G5571" s="57" t="s">
        <v>22337</v>
      </c>
      <c r="H5571" s="60"/>
      <c r="I5571" s="60"/>
      <c r="J5571" s="57" t="s">
        <v>22338</v>
      </c>
      <c r="K5571" s="78">
        <v>43431.0</v>
      </c>
      <c r="L5571" s="57" t="s">
        <v>21673</v>
      </c>
      <c r="M5571" s="57" t="s">
        <v>2527</v>
      </c>
      <c r="N5571" s="90"/>
      <c r="O5571" s="51"/>
    </row>
    <row r="5572">
      <c r="A5572" s="56">
        <v>5569.0</v>
      </c>
      <c r="B5572" s="240"/>
      <c r="C5572" s="69" t="s">
        <v>22339</v>
      </c>
      <c r="D5572" s="71"/>
      <c r="E5572" s="68" t="s">
        <v>22340</v>
      </c>
      <c r="F5572" s="76">
        <v>43349.0</v>
      </c>
      <c r="G5572" s="68" t="s">
        <v>22341</v>
      </c>
      <c r="H5572" s="71"/>
      <c r="I5572" s="71"/>
      <c r="J5572" s="68" t="s">
        <v>22342</v>
      </c>
      <c r="K5572" s="83">
        <v>43431.0</v>
      </c>
      <c r="L5572" s="68" t="s">
        <v>2743</v>
      </c>
      <c r="M5572" s="68" t="s">
        <v>10279</v>
      </c>
      <c r="N5572" s="116"/>
      <c r="O5572" s="51"/>
    </row>
    <row r="5573">
      <c r="A5573" s="56">
        <v>5570.0</v>
      </c>
      <c r="B5573" s="240"/>
      <c r="C5573" s="69" t="s">
        <v>22343</v>
      </c>
      <c r="D5573" s="71"/>
      <c r="E5573" s="68" t="s">
        <v>22344</v>
      </c>
      <c r="F5573" s="83">
        <v>43420.0</v>
      </c>
      <c r="G5573" s="68" t="s">
        <v>22345</v>
      </c>
      <c r="H5573" s="71"/>
      <c r="I5573" s="71"/>
      <c r="J5573" s="68" t="s">
        <v>22346</v>
      </c>
      <c r="K5573" s="83">
        <v>43431.0</v>
      </c>
      <c r="L5573" s="68" t="s">
        <v>2743</v>
      </c>
      <c r="M5573" s="68" t="s">
        <v>10279</v>
      </c>
      <c r="N5573" s="116"/>
      <c r="O5573" s="51"/>
    </row>
    <row r="5574">
      <c r="A5574" s="56">
        <v>5571.0</v>
      </c>
      <c r="B5574" s="240"/>
      <c r="C5574" s="69" t="s">
        <v>22347</v>
      </c>
      <c r="D5574" s="71"/>
      <c r="E5574" s="68" t="s">
        <v>16857</v>
      </c>
      <c r="F5574" s="68" t="s">
        <v>407</v>
      </c>
      <c r="G5574" s="68" t="s">
        <v>22348</v>
      </c>
      <c r="H5574" s="71"/>
      <c r="I5574" s="71"/>
      <c r="J5574" s="87" t="s">
        <v>22349</v>
      </c>
      <c r="K5574" s="83">
        <v>43431.0</v>
      </c>
      <c r="L5574" s="68" t="s">
        <v>2743</v>
      </c>
      <c r="M5574" s="68" t="s">
        <v>166</v>
      </c>
      <c r="N5574" s="116"/>
      <c r="O5574" s="51"/>
    </row>
    <row r="5575">
      <c r="A5575" s="56">
        <v>5572.0</v>
      </c>
      <c r="B5575" s="240"/>
      <c r="C5575" s="69" t="s">
        <v>22350</v>
      </c>
      <c r="D5575" s="71"/>
      <c r="E5575" s="68" t="s">
        <v>22351</v>
      </c>
      <c r="F5575" s="76">
        <v>43302.0</v>
      </c>
      <c r="G5575" s="68" t="s">
        <v>22352</v>
      </c>
      <c r="H5575" s="71"/>
      <c r="I5575" s="71"/>
      <c r="J5575" s="68" t="s">
        <v>22353</v>
      </c>
      <c r="K5575" s="83">
        <v>43431.0</v>
      </c>
      <c r="L5575" s="68" t="s">
        <v>2743</v>
      </c>
      <c r="M5575" s="68" t="s">
        <v>125</v>
      </c>
      <c r="N5575" s="116"/>
      <c r="O5575" s="51"/>
    </row>
    <row r="5576">
      <c r="A5576" s="56">
        <v>5573.0</v>
      </c>
      <c r="B5576" s="241"/>
      <c r="C5576" s="64" t="s">
        <v>22354</v>
      </c>
      <c r="D5576" s="66"/>
      <c r="E5576" s="63" t="s">
        <v>22355</v>
      </c>
      <c r="F5576" s="70">
        <v>40021.0</v>
      </c>
      <c r="G5576" s="80" t="s">
        <v>22356</v>
      </c>
      <c r="H5576" s="82"/>
      <c r="I5576" s="66"/>
      <c r="J5576" s="63" t="s">
        <v>136</v>
      </c>
      <c r="K5576" s="65">
        <v>43431.0</v>
      </c>
      <c r="L5576" s="63" t="s">
        <v>2743</v>
      </c>
      <c r="M5576" s="63" t="s">
        <v>21545</v>
      </c>
      <c r="N5576" s="116"/>
      <c r="O5576" s="51"/>
    </row>
    <row r="5577">
      <c r="A5577" s="56">
        <v>5574.0</v>
      </c>
      <c r="B5577" s="240"/>
      <c r="C5577" s="69" t="s">
        <v>22357</v>
      </c>
      <c r="D5577" s="71"/>
      <c r="E5577" s="68" t="s">
        <v>22358</v>
      </c>
      <c r="F5577" s="76">
        <v>42955.0</v>
      </c>
      <c r="G5577" s="68" t="s">
        <v>22359</v>
      </c>
      <c r="H5577" s="68" t="s">
        <v>22360</v>
      </c>
      <c r="I5577" s="68" t="s">
        <v>22361</v>
      </c>
      <c r="J5577" s="68" t="s">
        <v>22362</v>
      </c>
      <c r="K5577" s="83">
        <v>43431.0</v>
      </c>
      <c r="L5577" s="68" t="s">
        <v>2743</v>
      </c>
      <c r="M5577" s="68" t="s">
        <v>4749</v>
      </c>
      <c r="N5577" s="116"/>
      <c r="O5577" s="51"/>
    </row>
    <row r="5578">
      <c r="A5578" s="56">
        <v>5575.0</v>
      </c>
      <c r="B5578" s="240"/>
      <c r="C5578" s="69" t="s">
        <v>22363</v>
      </c>
      <c r="D5578" s="71"/>
      <c r="E5578" s="68" t="s">
        <v>22364</v>
      </c>
      <c r="F5578" s="76">
        <v>42005.0</v>
      </c>
      <c r="G5578" s="68" t="s">
        <v>22365</v>
      </c>
      <c r="H5578" s="71"/>
      <c r="I5578" s="68" t="s">
        <v>22366</v>
      </c>
      <c r="J5578" s="68" t="s">
        <v>22367</v>
      </c>
      <c r="K5578" s="83">
        <v>43431.0</v>
      </c>
      <c r="L5578" s="68" t="s">
        <v>2743</v>
      </c>
      <c r="M5578" s="68" t="s">
        <v>282</v>
      </c>
      <c r="N5578" s="116"/>
      <c r="O5578" s="51"/>
    </row>
    <row r="5579">
      <c r="A5579" s="56">
        <v>5576.0</v>
      </c>
      <c r="B5579" s="241"/>
      <c r="C5579" s="64" t="s">
        <v>22368</v>
      </c>
      <c r="D5579" s="66"/>
      <c r="E5579" s="63" t="s">
        <v>22369</v>
      </c>
      <c r="F5579" s="70">
        <v>40725.0</v>
      </c>
      <c r="G5579" s="80" t="s">
        <v>22370</v>
      </c>
      <c r="H5579" s="82"/>
      <c r="I5579" s="66"/>
      <c r="J5579" s="63" t="s">
        <v>136</v>
      </c>
      <c r="K5579" s="65">
        <v>43431.0</v>
      </c>
      <c r="L5579" s="63" t="s">
        <v>2743</v>
      </c>
      <c r="M5579" s="63" t="s">
        <v>125</v>
      </c>
      <c r="N5579" s="116"/>
      <c r="O5579" s="51"/>
    </row>
    <row r="5580">
      <c r="A5580" s="56">
        <v>5577.0</v>
      </c>
      <c r="B5580" s="241"/>
      <c r="C5580" s="64" t="s">
        <v>22371</v>
      </c>
      <c r="D5580" s="66"/>
      <c r="E5580" s="63" t="s">
        <v>22372</v>
      </c>
      <c r="F5580" s="70">
        <v>40725.0</v>
      </c>
      <c r="G5580" s="80" t="s">
        <v>22370</v>
      </c>
      <c r="H5580" s="82"/>
      <c r="I5580" s="66"/>
      <c r="J5580" s="63" t="s">
        <v>136</v>
      </c>
      <c r="K5580" s="65">
        <v>43431.0</v>
      </c>
      <c r="L5580" s="63" t="s">
        <v>2743</v>
      </c>
      <c r="M5580" s="63" t="s">
        <v>125</v>
      </c>
      <c r="N5580" s="116"/>
      <c r="O5580" s="51"/>
    </row>
    <row r="5581">
      <c r="A5581" s="75">
        <v>5578.0</v>
      </c>
      <c r="B5581" s="240"/>
      <c r="C5581" s="69" t="s">
        <v>22373</v>
      </c>
      <c r="D5581" s="71"/>
      <c r="E5581" s="68" t="s">
        <v>22374</v>
      </c>
      <c r="F5581" s="83">
        <v>41205.0</v>
      </c>
      <c r="G5581" s="68" t="s">
        <v>22375</v>
      </c>
      <c r="H5581" s="71"/>
      <c r="I5581" s="71"/>
      <c r="J5581" s="68" t="s">
        <v>22376</v>
      </c>
      <c r="K5581" s="83">
        <v>43431.0</v>
      </c>
      <c r="L5581" s="68" t="s">
        <v>20329</v>
      </c>
      <c r="M5581" s="68" t="s">
        <v>403</v>
      </c>
      <c r="N5581" s="116"/>
      <c r="O5581" s="51"/>
    </row>
    <row r="5582">
      <c r="A5582" s="56">
        <v>5579.0</v>
      </c>
      <c r="B5582" s="240"/>
      <c r="C5582" s="69" t="s">
        <v>22377</v>
      </c>
      <c r="D5582" s="71"/>
      <c r="E5582" s="68" t="s">
        <v>22378</v>
      </c>
      <c r="F5582" s="76">
        <v>43369.0</v>
      </c>
      <c r="G5582" s="68" t="s">
        <v>22379</v>
      </c>
      <c r="H5582" s="71"/>
      <c r="I5582" s="71"/>
      <c r="J5582" s="68" t="s">
        <v>22380</v>
      </c>
      <c r="K5582" s="83">
        <v>43431.0</v>
      </c>
      <c r="L5582" s="68" t="s">
        <v>2743</v>
      </c>
      <c r="M5582" s="68" t="s">
        <v>166</v>
      </c>
      <c r="N5582" s="116"/>
      <c r="O5582" s="51"/>
    </row>
    <row r="5583">
      <c r="A5583" s="56">
        <v>5580.0</v>
      </c>
      <c r="B5583" s="240"/>
      <c r="C5583" s="69" t="s">
        <v>22381</v>
      </c>
      <c r="D5583" s="71"/>
      <c r="E5583" s="68" t="s">
        <v>22382</v>
      </c>
      <c r="F5583" s="76">
        <v>42954.0</v>
      </c>
      <c r="G5583" s="68" t="s">
        <v>22383</v>
      </c>
      <c r="H5583" s="71"/>
      <c r="I5583" s="71"/>
      <c r="J5583" s="68" t="s">
        <v>22384</v>
      </c>
      <c r="K5583" s="83">
        <v>43431.0</v>
      </c>
      <c r="L5583" s="68" t="s">
        <v>2743</v>
      </c>
      <c r="M5583" s="68" t="s">
        <v>149</v>
      </c>
      <c r="N5583" s="116"/>
      <c r="O5583" s="51"/>
    </row>
    <row r="5584">
      <c r="A5584" s="56">
        <v>5581.0</v>
      </c>
      <c r="B5584" s="240"/>
      <c r="C5584" s="69" t="s">
        <v>22385</v>
      </c>
      <c r="D5584" s="71"/>
      <c r="E5584" s="68" t="s">
        <v>22386</v>
      </c>
      <c r="F5584" s="76">
        <v>42943.0</v>
      </c>
      <c r="G5584" s="68" t="s">
        <v>22387</v>
      </c>
      <c r="H5584" s="71"/>
      <c r="I5584" s="68" t="s">
        <v>22388</v>
      </c>
      <c r="J5584" s="68" t="s">
        <v>22389</v>
      </c>
      <c r="K5584" s="83">
        <v>43431.0</v>
      </c>
      <c r="L5584" s="68" t="s">
        <v>2743</v>
      </c>
      <c r="M5584" s="68" t="s">
        <v>149</v>
      </c>
      <c r="N5584" s="116"/>
      <c r="O5584" s="51"/>
    </row>
    <row r="5585">
      <c r="A5585" s="56">
        <v>5582.0</v>
      </c>
      <c r="B5585" s="240"/>
      <c r="C5585" s="69" t="s">
        <v>22390</v>
      </c>
      <c r="D5585" s="71"/>
      <c r="E5585" s="68" t="s">
        <v>22391</v>
      </c>
      <c r="F5585" s="76">
        <v>42943.0</v>
      </c>
      <c r="G5585" s="68" t="s">
        <v>22392</v>
      </c>
      <c r="H5585" s="71"/>
      <c r="I5585" s="68" t="s">
        <v>22393</v>
      </c>
      <c r="J5585" s="68" t="s">
        <v>22394</v>
      </c>
      <c r="K5585" s="83">
        <v>43431.0</v>
      </c>
      <c r="L5585" s="68" t="s">
        <v>2743</v>
      </c>
      <c r="M5585" s="68" t="s">
        <v>149</v>
      </c>
      <c r="N5585" s="116"/>
      <c r="O5585" s="51"/>
    </row>
    <row r="5586">
      <c r="A5586" s="56">
        <v>5583.0</v>
      </c>
      <c r="B5586" s="241"/>
      <c r="C5586" s="64" t="s">
        <v>22395</v>
      </c>
      <c r="D5586" s="66"/>
      <c r="E5586" s="63" t="s">
        <v>22396</v>
      </c>
      <c r="F5586" s="70">
        <v>41796.0</v>
      </c>
      <c r="G5586" s="80" t="s">
        <v>22397</v>
      </c>
      <c r="H5586" s="82"/>
      <c r="I5586" s="66"/>
      <c r="J5586" s="63" t="s">
        <v>136</v>
      </c>
      <c r="K5586" s="65">
        <v>43431.0</v>
      </c>
      <c r="L5586" s="63" t="s">
        <v>2743</v>
      </c>
      <c r="M5586" s="63" t="s">
        <v>125</v>
      </c>
      <c r="N5586" s="116"/>
      <c r="O5586" s="51"/>
    </row>
    <row r="5587">
      <c r="A5587" s="56">
        <v>5584.0</v>
      </c>
      <c r="B5587" s="240"/>
      <c r="C5587" s="69" t="s">
        <v>22398</v>
      </c>
      <c r="D5587" s="71"/>
      <c r="E5587" s="68" t="s">
        <v>22399</v>
      </c>
      <c r="F5587" s="83">
        <v>43424.0</v>
      </c>
      <c r="G5587" s="68" t="s">
        <v>22400</v>
      </c>
      <c r="H5587" s="71"/>
      <c r="I5587" s="71"/>
      <c r="J5587" s="68" t="s">
        <v>22401</v>
      </c>
      <c r="K5587" s="83">
        <v>43431.0</v>
      </c>
      <c r="L5587" s="68" t="s">
        <v>2743</v>
      </c>
      <c r="M5587" s="68" t="s">
        <v>31</v>
      </c>
      <c r="N5587" s="116"/>
      <c r="O5587" s="51"/>
    </row>
    <row r="5588">
      <c r="A5588" s="56">
        <v>5585.0</v>
      </c>
      <c r="B5588" s="240"/>
      <c r="C5588" s="69" t="s">
        <v>22402</v>
      </c>
      <c r="D5588" s="71"/>
      <c r="E5588" s="68" t="s">
        <v>22403</v>
      </c>
      <c r="F5588" s="76">
        <v>43313.0</v>
      </c>
      <c r="G5588" s="68" t="s">
        <v>22404</v>
      </c>
      <c r="H5588" s="71"/>
      <c r="I5588" s="71"/>
      <c r="J5588" s="68" t="s">
        <v>22405</v>
      </c>
      <c r="K5588" s="83">
        <v>43433.0</v>
      </c>
      <c r="L5588" s="68" t="s">
        <v>2743</v>
      </c>
      <c r="M5588" s="68" t="s">
        <v>15586</v>
      </c>
      <c r="N5588" s="116"/>
      <c r="O5588" s="51"/>
    </row>
    <row r="5589">
      <c r="A5589" s="56">
        <v>5586.0</v>
      </c>
      <c r="B5589" s="240"/>
      <c r="C5589" s="69" t="s">
        <v>22406</v>
      </c>
      <c r="D5589" s="71"/>
      <c r="E5589" s="68" t="s">
        <v>22407</v>
      </c>
      <c r="F5589" s="83">
        <v>43419.0</v>
      </c>
      <c r="G5589" s="68" t="s">
        <v>22408</v>
      </c>
      <c r="H5589" s="71"/>
      <c r="I5589" s="71"/>
      <c r="J5589" s="68" t="s">
        <v>22409</v>
      </c>
      <c r="K5589" s="83">
        <v>43433.0</v>
      </c>
      <c r="L5589" s="68" t="s">
        <v>2743</v>
      </c>
      <c r="M5589" s="68" t="s">
        <v>125</v>
      </c>
      <c r="N5589" s="116"/>
      <c r="O5589" s="51"/>
    </row>
    <row r="5590">
      <c r="A5590" s="56">
        <v>5587.0</v>
      </c>
      <c r="B5590" s="241"/>
      <c r="C5590" s="64" t="s">
        <v>22410</v>
      </c>
      <c r="D5590" s="66"/>
      <c r="E5590" s="63" t="s">
        <v>22411</v>
      </c>
      <c r="F5590" s="70">
        <v>42509.0</v>
      </c>
      <c r="G5590" s="80" t="s">
        <v>22412</v>
      </c>
      <c r="H5590" s="82"/>
      <c r="I5590" s="66"/>
      <c r="J5590" s="63" t="s">
        <v>136</v>
      </c>
      <c r="K5590" s="65">
        <v>43433.0</v>
      </c>
      <c r="L5590" s="63" t="s">
        <v>2743</v>
      </c>
      <c r="M5590" s="63" t="s">
        <v>2466</v>
      </c>
      <c r="N5590" s="87" t="s">
        <v>22413</v>
      </c>
      <c r="O5590" s="51"/>
    </row>
    <row r="5591">
      <c r="A5591" s="56">
        <v>5588.0</v>
      </c>
      <c r="B5591" s="240"/>
      <c r="C5591" s="69" t="s">
        <v>22414</v>
      </c>
      <c r="D5591" s="71"/>
      <c r="E5591" s="68" t="s">
        <v>22415</v>
      </c>
      <c r="F5591" s="76">
        <v>39264.0</v>
      </c>
      <c r="G5591" s="68" t="s">
        <v>22416</v>
      </c>
      <c r="H5591" s="68" t="s">
        <v>439</v>
      </c>
      <c r="I5591" s="68" t="s">
        <v>22417</v>
      </c>
      <c r="J5591" s="87" t="s">
        <v>22418</v>
      </c>
      <c r="K5591" s="76">
        <v>43438.0</v>
      </c>
      <c r="L5591" s="68" t="s">
        <v>2743</v>
      </c>
      <c r="M5591" s="68" t="s">
        <v>530</v>
      </c>
      <c r="N5591" s="87" t="s">
        <v>22419</v>
      </c>
      <c r="O5591" s="51"/>
    </row>
    <row r="5592">
      <c r="A5592" s="56">
        <v>5589.0</v>
      </c>
      <c r="B5592" s="241"/>
      <c r="C5592" s="64" t="s">
        <v>22420</v>
      </c>
      <c r="D5592" s="66"/>
      <c r="E5592" s="63" t="s">
        <v>22421</v>
      </c>
      <c r="F5592" s="70">
        <v>39995.0</v>
      </c>
      <c r="G5592" s="80" t="s">
        <v>22422</v>
      </c>
      <c r="H5592" s="80" t="s">
        <v>439</v>
      </c>
      <c r="I5592" s="63" t="s">
        <v>22423</v>
      </c>
      <c r="J5592" s="63" t="s">
        <v>136</v>
      </c>
      <c r="K5592" s="70">
        <v>43438.0</v>
      </c>
      <c r="L5592" s="63" t="s">
        <v>2743</v>
      </c>
      <c r="M5592" s="63" t="s">
        <v>2152</v>
      </c>
      <c r="N5592" s="116"/>
      <c r="O5592" s="51"/>
    </row>
    <row r="5593">
      <c r="A5593" s="56">
        <v>5590.0</v>
      </c>
      <c r="B5593" s="241"/>
      <c r="C5593" s="64" t="s">
        <v>22424</v>
      </c>
      <c r="D5593" s="66"/>
      <c r="E5593" s="63" t="s">
        <v>22425</v>
      </c>
      <c r="F5593" s="65">
        <v>41922.0</v>
      </c>
      <c r="G5593" s="80" t="s">
        <v>22426</v>
      </c>
      <c r="H5593" s="82"/>
      <c r="I5593" s="63" t="s">
        <v>22427</v>
      </c>
      <c r="J5593" s="63" t="s">
        <v>136</v>
      </c>
      <c r="K5593" s="70">
        <v>43438.0</v>
      </c>
      <c r="L5593" s="63" t="s">
        <v>2743</v>
      </c>
      <c r="M5593" s="63" t="s">
        <v>2989</v>
      </c>
      <c r="N5593" s="116"/>
      <c r="O5593" s="51"/>
    </row>
    <row r="5594">
      <c r="A5594" s="75">
        <v>5591.0</v>
      </c>
      <c r="B5594" s="240"/>
      <c r="C5594" s="69" t="s">
        <v>22428</v>
      </c>
      <c r="D5594" s="71"/>
      <c r="E5594" s="68" t="s">
        <v>22429</v>
      </c>
      <c r="F5594" s="76">
        <v>43121.0</v>
      </c>
      <c r="G5594" s="68" t="s">
        <v>22430</v>
      </c>
      <c r="H5594" s="68" t="s">
        <v>22431</v>
      </c>
      <c r="I5594" s="71"/>
      <c r="J5594" s="68" t="s">
        <v>5369</v>
      </c>
      <c r="K5594" s="76">
        <v>43439.0</v>
      </c>
      <c r="L5594" s="68" t="s">
        <v>2743</v>
      </c>
      <c r="M5594" s="68" t="s">
        <v>2152</v>
      </c>
      <c r="N5594" s="116"/>
      <c r="O5594" s="51"/>
    </row>
    <row r="5595">
      <c r="A5595" s="75">
        <v>5592.0</v>
      </c>
      <c r="B5595" s="240"/>
      <c r="C5595" s="69" t="s">
        <v>22432</v>
      </c>
      <c r="D5595" s="71"/>
      <c r="E5595" s="68" t="s">
        <v>22433</v>
      </c>
      <c r="F5595" s="76">
        <v>43121.0</v>
      </c>
      <c r="G5595" s="68" t="s">
        <v>22434</v>
      </c>
      <c r="H5595" s="68" t="s">
        <v>22435</v>
      </c>
      <c r="I5595" s="71"/>
      <c r="J5595" s="68" t="s">
        <v>5369</v>
      </c>
      <c r="K5595" s="76">
        <v>43439.0</v>
      </c>
      <c r="L5595" s="68" t="s">
        <v>2743</v>
      </c>
      <c r="M5595" s="68" t="s">
        <v>2152</v>
      </c>
      <c r="N5595" s="116"/>
      <c r="O5595" s="51"/>
    </row>
    <row r="5596">
      <c r="A5596" s="56">
        <v>5593.0</v>
      </c>
      <c r="B5596" s="240"/>
      <c r="C5596" s="69" t="s">
        <v>22436</v>
      </c>
      <c r="D5596" s="71"/>
      <c r="E5596" s="68" t="s">
        <v>22437</v>
      </c>
      <c r="F5596" s="76">
        <v>43366.0</v>
      </c>
      <c r="G5596" s="68" t="s">
        <v>22438</v>
      </c>
      <c r="H5596" s="71"/>
      <c r="I5596" s="71"/>
      <c r="J5596" s="68" t="s">
        <v>22439</v>
      </c>
      <c r="K5596" s="76">
        <v>43439.0</v>
      </c>
      <c r="L5596" s="68" t="s">
        <v>2743</v>
      </c>
      <c r="M5596" s="68" t="s">
        <v>19204</v>
      </c>
      <c r="N5596" s="116"/>
      <c r="O5596" s="51"/>
    </row>
    <row r="5597">
      <c r="A5597" s="56">
        <v>5594.0</v>
      </c>
      <c r="B5597" s="240"/>
      <c r="C5597" s="69" t="s">
        <v>22440</v>
      </c>
      <c r="D5597" s="71"/>
      <c r="E5597" s="68" t="s">
        <v>22441</v>
      </c>
      <c r="F5597" s="76">
        <v>42576.0</v>
      </c>
      <c r="G5597" s="68" t="s">
        <v>22442</v>
      </c>
      <c r="H5597" s="71"/>
      <c r="I5597" s="71"/>
      <c r="J5597" s="68" t="s">
        <v>22443</v>
      </c>
      <c r="K5597" s="76">
        <v>43439.0</v>
      </c>
      <c r="L5597" s="68" t="s">
        <v>2743</v>
      </c>
      <c r="M5597" s="68" t="s">
        <v>143</v>
      </c>
      <c r="N5597" s="116"/>
      <c r="O5597" s="51"/>
    </row>
    <row r="5598">
      <c r="A5598" s="56">
        <v>5595.0</v>
      </c>
      <c r="B5598" s="241"/>
      <c r="C5598" s="64" t="s">
        <v>22444</v>
      </c>
      <c r="D5598" s="66"/>
      <c r="E5598" s="63" t="s">
        <v>22445</v>
      </c>
      <c r="F5598" s="70">
        <v>39995.0</v>
      </c>
      <c r="G5598" s="80" t="s">
        <v>22446</v>
      </c>
      <c r="H5598" s="82"/>
      <c r="I5598" s="66"/>
      <c r="J5598" s="63" t="s">
        <v>136</v>
      </c>
      <c r="K5598" s="70">
        <v>43439.0</v>
      </c>
      <c r="L5598" s="63" t="s">
        <v>2743</v>
      </c>
      <c r="M5598" s="63" t="s">
        <v>2466</v>
      </c>
      <c r="N5598" s="116"/>
      <c r="O5598" s="51"/>
    </row>
    <row r="5599">
      <c r="A5599" s="56">
        <v>5596.0</v>
      </c>
      <c r="B5599" s="240"/>
      <c r="C5599" s="69" t="s">
        <v>22447</v>
      </c>
      <c r="D5599" s="71"/>
      <c r="E5599" s="68" t="s">
        <v>14254</v>
      </c>
      <c r="F5599" s="76">
        <v>42948.0</v>
      </c>
      <c r="G5599" s="68" t="s">
        <v>22448</v>
      </c>
      <c r="H5599" s="71"/>
      <c r="I5599" s="71"/>
      <c r="J5599" s="87" t="s">
        <v>22449</v>
      </c>
      <c r="K5599" s="76">
        <v>43439.0</v>
      </c>
      <c r="L5599" s="68" t="s">
        <v>2743</v>
      </c>
      <c r="M5599" s="68" t="s">
        <v>166</v>
      </c>
      <c r="N5599" s="116"/>
      <c r="O5599" s="51"/>
    </row>
    <row r="5600">
      <c r="A5600" s="75">
        <v>5597.0</v>
      </c>
      <c r="B5600" s="240"/>
      <c r="C5600" s="69" t="s">
        <v>22450</v>
      </c>
      <c r="D5600" s="71"/>
      <c r="E5600" s="68" t="s">
        <v>22451</v>
      </c>
      <c r="F5600" s="76">
        <v>42044.0</v>
      </c>
      <c r="G5600" s="68" t="s">
        <v>22452</v>
      </c>
      <c r="H5600" s="71"/>
      <c r="I5600" s="71"/>
      <c r="J5600" s="68" t="s">
        <v>22453</v>
      </c>
      <c r="K5600" s="76">
        <v>43440.0</v>
      </c>
      <c r="L5600" s="68" t="s">
        <v>2743</v>
      </c>
      <c r="M5600" s="68" t="s">
        <v>368</v>
      </c>
      <c r="N5600" s="116"/>
      <c r="O5600" s="51"/>
    </row>
    <row r="5601">
      <c r="A5601" s="56">
        <v>5598.0</v>
      </c>
      <c r="B5601" s="241"/>
      <c r="C5601" s="64" t="s">
        <v>22454</v>
      </c>
      <c r="D5601" s="66"/>
      <c r="E5601" s="63" t="s">
        <v>22455</v>
      </c>
      <c r="F5601" s="65">
        <v>41970.0</v>
      </c>
      <c r="G5601" s="80" t="s">
        <v>22456</v>
      </c>
      <c r="H5601" s="82"/>
      <c r="I5601" s="66"/>
      <c r="J5601" s="63" t="s">
        <v>136</v>
      </c>
      <c r="K5601" s="70">
        <v>43440.0</v>
      </c>
      <c r="L5601" s="63" t="s">
        <v>2743</v>
      </c>
      <c r="M5601" s="63" t="s">
        <v>125</v>
      </c>
      <c r="N5601" s="116"/>
      <c r="O5601" s="51"/>
    </row>
    <row r="5602">
      <c r="A5602" s="56">
        <v>5599.0</v>
      </c>
      <c r="B5602" s="240"/>
      <c r="C5602" s="69" t="s">
        <v>22457</v>
      </c>
      <c r="D5602" s="71"/>
      <c r="E5602" s="68" t="s">
        <v>22458</v>
      </c>
      <c r="F5602" s="76">
        <v>41821.0</v>
      </c>
      <c r="G5602" s="68" t="s">
        <v>22459</v>
      </c>
      <c r="H5602" s="68" t="s">
        <v>22460</v>
      </c>
      <c r="I5602" s="71"/>
      <c r="J5602" s="68" t="s">
        <v>22461</v>
      </c>
      <c r="K5602" s="76">
        <v>43440.0</v>
      </c>
      <c r="L5602" s="68" t="s">
        <v>2743</v>
      </c>
      <c r="M5602" s="68" t="s">
        <v>282</v>
      </c>
      <c r="N5602" s="116"/>
      <c r="O5602" s="51"/>
    </row>
    <row r="5603">
      <c r="A5603" s="56">
        <v>5600.0</v>
      </c>
      <c r="B5603" s="240"/>
      <c r="C5603" s="69" t="s">
        <v>22462</v>
      </c>
      <c r="D5603" s="71"/>
      <c r="E5603" s="68" t="s">
        <v>22463</v>
      </c>
      <c r="F5603" s="76">
        <v>42053.0</v>
      </c>
      <c r="G5603" s="68" t="s">
        <v>22464</v>
      </c>
      <c r="H5603" s="71"/>
      <c r="I5603" s="71"/>
      <c r="J5603" s="68" t="s">
        <v>22465</v>
      </c>
      <c r="K5603" s="76">
        <v>43440.0</v>
      </c>
      <c r="L5603" s="68" t="s">
        <v>2743</v>
      </c>
      <c r="M5603" s="68" t="s">
        <v>2152</v>
      </c>
      <c r="N5603" s="116"/>
      <c r="O5603" s="51"/>
    </row>
    <row r="5604">
      <c r="A5604" s="56">
        <v>5601.0</v>
      </c>
      <c r="B5604" s="241"/>
      <c r="C5604" s="64" t="s">
        <v>22466</v>
      </c>
      <c r="D5604" s="66"/>
      <c r="E5604" s="63" t="s">
        <v>22467</v>
      </c>
      <c r="F5604" s="70">
        <v>42053.0</v>
      </c>
      <c r="G5604" s="80" t="s">
        <v>22464</v>
      </c>
      <c r="H5604" s="82"/>
      <c r="I5604" s="66"/>
      <c r="J5604" s="63" t="s">
        <v>136</v>
      </c>
      <c r="K5604" s="70">
        <v>43440.0</v>
      </c>
      <c r="L5604" s="63" t="s">
        <v>2743</v>
      </c>
      <c r="M5604" s="63" t="s">
        <v>2152</v>
      </c>
      <c r="N5604" s="116"/>
      <c r="O5604" s="51"/>
    </row>
    <row r="5605">
      <c r="A5605" s="56">
        <v>5602.0</v>
      </c>
      <c r="B5605" s="241"/>
      <c r="C5605" s="64" t="s">
        <v>22468</v>
      </c>
      <c r="D5605" s="66"/>
      <c r="E5605" s="63" t="s">
        <v>22469</v>
      </c>
      <c r="F5605" s="70">
        <v>41811.0</v>
      </c>
      <c r="G5605" s="80" t="s">
        <v>22470</v>
      </c>
      <c r="H5605" s="80" t="s">
        <v>22471</v>
      </c>
      <c r="I5605" s="63" t="s">
        <v>22472</v>
      </c>
      <c r="J5605" s="63" t="s">
        <v>136</v>
      </c>
      <c r="K5605" s="70">
        <v>43440.0</v>
      </c>
      <c r="L5605" s="63" t="s">
        <v>2743</v>
      </c>
      <c r="M5605" s="63" t="s">
        <v>22473</v>
      </c>
      <c r="N5605" s="116"/>
      <c r="O5605" s="51"/>
    </row>
    <row r="5606">
      <c r="A5606" s="56">
        <v>5603.0</v>
      </c>
      <c r="B5606" s="241"/>
      <c r="C5606" s="64" t="s">
        <v>22474</v>
      </c>
      <c r="D5606" s="66"/>
      <c r="E5606" s="63" t="s">
        <v>22475</v>
      </c>
      <c r="F5606" s="65">
        <v>41940.0</v>
      </c>
      <c r="G5606" s="80" t="s">
        <v>22476</v>
      </c>
      <c r="H5606" s="82"/>
      <c r="I5606" s="66"/>
      <c r="J5606" s="63" t="s">
        <v>136</v>
      </c>
      <c r="K5606" s="70">
        <v>43440.0</v>
      </c>
      <c r="L5606" s="63" t="s">
        <v>2743</v>
      </c>
      <c r="M5606" s="63" t="s">
        <v>27</v>
      </c>
      <c r="N5606" s="116"/>
      <c r="O5606" s="51"/>
    </row>
    <row r="5607">
      <c r="A5607" s="56">
        <v>5604.0</v>
      </c>
      <c r="B5607" s="240"/>
      <c r="C5607" s="69" t="s">
        <v>22477</v>
      </c>
      <c r="D5607" s="71"/>
      <c r="E5607" s="68" t="s">
        <v>22478</v>
      </c>
      <c r="F5607" s="76">
        <v>42887.0</v>
      </c>
      <c r="G5607" s="68" t="s">
        <v>22479</v>
      </c>
      <c r="H5607" s="71"/>
      <c r="I5607" s="71"/>
      <c r="J5607" s="87" t="s">
        <v>22349</v>
      </c>
      <c r="K5607" s="76">
        <v>43440.0</v>
      </c>
      <c r="L5607" s="68" t="s">
        <v>2743</v>
      </c>
      <c r="M5607" s="68" t="s">
        <v>166</v>
      </c>
      <c r="N5607" s="116"/>
      <c r="O5607" s="51"/>
    </row>
    <row r="5608">
      <c r="A5608" s="56">
        <v>5605.0</v>
      </c>
      <c r="B5608" s="240"/>
      <c r="C5608" s="69" t="s">
        <v>22480</v>
      </c>
      <c r="D5608" s="71"/>
      <c r="E5608" s="68" t="s">
        <v>22481</v>
      </c>
      <c r="F5608" s="76">
        <v>42844.0</v>
      </c>
      <c r="G5608" s="68" t="s">
        <v>22482</v>
      </c>
      <c r="H5608" s="71"/>
      <c r="I5608" s="71"/>
      <c r="J5608" s="68" t="s">
        <v>22483</v>
      </c>
      <c r="K5608" s="76">
        <v>43440.0</v>
      </c>
      <c r="L5608" s="68" t="s">
        <v>2743</v>
      </c>
      <c r="M5608" s="68" t="s">
        <v>166</v>
      </c>
      <c r="N5608" s="116"/>
      <c r="O5608" s="51"/>
    </row>
    <row r="5609">
      <c r="A5609" s="56">
        <v>5606.0</v>
      </c>
      <c r="B5609" s="240"/>
      <c r="C5609" s="69" t="s">
        <v>22484</v>
      </c>
      <c r="D5609" s="71"/>
      <c r="E5609" s="68" t="s">
        <v>22485</v>
      </c>
      <c r="F5609" s="68" t="s">
        <v>407</v>
      </c>
      <c r="G5609" s="68" t="s">
        <v>22486</v>
      </c>
      <c r="H5609" s="71"/>
      <c r="I5609" s="71"/>
      <c r="J5609" s="68" t="s">
        <v>22487</v>
      </c>
      <c r="K5609" s="76">
        <v>43441.0</v>
      </c>
      <c r="L5609" s="68" t="s">
        <v>2743</v>
      </c>
      <c r="M5609" s="68" t="s">
        <v>941</v>
      </c>
      <c r="N5609" s="116"/>
      <c r="O5609" s="51"/>
    </row>
    <row r="5610">
      <c r="A5610" s="56">
        <v>5607.0</v>
      </c>
      <c r="B5610" s="240"/>
      <c r="C5610" s="69" t="s">
        <v>22488</v>
      </c>
      <c r="D5610" s="71"/>
      <c r="E5610" s="68" t="s">
        <v>22489</v>
      </c>
      <c r="F5610" s="68" t="s">
        <v>407</v>
      </c>
      <c r="G5610" s="68" t="s">
        <v>22490</v>
      </c>
      <c r="H5610" s="71"/>
      <c r="I5610" s="71"/>
      <c r="J5610" s="87" t="s">
        <v>22491</v>
      </c>
      <c r="K5610" s="76">
        <v>43441.0</v>
      </c>
      <c r="L5610" s="68" t="s">
        <v>2743</v>
      </c>
      <c r="M5610" s="68" t="s">
        <v>872</v>
      </c>
      <c r="N5610" s="116"/>
      <c r="O5610" s="51"/>
    </row>
    <row r="5611">
      <c r="A5611" s="75">
        <v>5608.0</v>
      </c>
      <c r="B5611" s="240"/>
      <c r="C5611" s="69" t="s">
        <v>22492</v>
      </c>
      <c r="D5611" s="71"/>
      <c r="E5611" s="68" t="s">
        <v>22493</v>
      </c>
      <c r="F5611" s="68" t="s">
        <v>407</v>
      </c>
      <c r="G5611" s="68" t="s">
        <v>22494</v>
      </c>
      <c r="H5611" s="71"/>
      <c r="I5611" s="71"/>
      <c r="J5611" s="68" t="s">
        <v>22495</v>
      </c>
      <c r="K5611" s="76">
        <v>43441.0</v>
      </c>
      <c r="L5611" s="68" t="s">
        <v>2743</v>
      </c>
      <c r="M5611" s="68" t="s">
        <v>530</v>
      </c>
      <c r="N5611" s="116"/>
      <c r="O5611" s="51"/>
    </row>
    <row r="5612">
      <c r="A5612" s="56">
        <v>5609.0</v>
      </c>
      <c r="B5612" s="240"/>
      <c r="C5612" s="69" t="s">
        <v>22496</v>
      </c>
      <c r="D5612" s="71"/>
      <c r="E5612" s="68" t="s">
        <v>22497</v>
      </c>
      <c r="F5612" s="76">
        <v>37073.0</v>
      </c>
      <c r="G5612" s="68" t="s">
        <v>22498</v>
      </c>
      <c r="H5612" s="71"/>
      <c r="I5612" s="71"/>
      <c r="J5612" s="68" t="s">
        <v>22499</v>
      </c>
      <c r="K5612" s="76">
        <v>43441.0</v>
      </c>
      <c r="L5612" s="68" t="s">
        <v>2743</v>
      </c>
      <c r="M5612" s="68" t="s">
        <v>530</v>
      </c>
      <c r="N5612" s="116"/>
      <c r="O5612" s="51"/>
    </row>
    <row r="5613">
      <c r="A5613" s="56">
        <v>5610.0</v>
      </c>
      <c r="B5613" s="240"/>
      <c r="C5613" s="69" t="s">
        <v>22500</v>
      </c>
      <c r="D5613" s="71"/>
      <c r="E5613" s="68" t="s">
        <v>22501</v>
      </c>
      <c r="F5613" s="68" t="s">
        <v>407</v>
      </c>
      <c r="G5613" s="68" t="s">
        <v>22502</v>
      </c>
      <c r="H5613" s="71"/>
      <c r="I5613" s="71"/>
      <c r="J5613" s="68" t="s">
        <v>22503</v>
      </c>
      <c r="K5613" s="76">
        <v>43441.0</v>
      </c>
      <c r="L5613" s="68" t="s">
        <v>2743</v>
      </c>
      <c r="M5613" s="68" t="s">
        <v>530</v>
      </c>
      <c r="N5613" s="116"/>
      <c r="O5613" s="51"/>
    </row>
    <row r="5614">
      <c r="A5614" s="56">
        <v>5611.0</v>
      </c>
      <c r="B5614" s="241"/>
      <c r="C5614" s="64" t="s">
        <v>22504</v>
      </c>
      <c r="D5614" s="66"/>
      <c r="E5614" s="63" t="s">
        <v>22505</v>
      </c>
      <c r="F5614" s="63" t="s">
        <v>407</v>
      </c>
      <c r="G5614" s="80" t="s">
        <v>22506</v>
      </c>
      <c r="H5614" s="80" t="s">
        <v>22507</v>
      </c>
      <c r="I5614" s="66"/>
      <c r="J5614" s="63" t="s">
        <v>136</v>
      </c>
      <c r="K5614" s="70">
        <v>43441.0</v>
      </c>
      <c r="L5614" s="63" t="s">
        <v>2743</v>
      </c>
      <c r="M5614" s="63" t="s">
        <v>2152</v>
      </c>
      <c r="N5614" s="116"/>
      <c r="O5614" s="51"/>
    </row>
    <row r="5615">
      <c r="A5615" s="85">
        <v>5612.0</v>
      </c>
      <c r="B5615" s="241"/>
      <c r="C5615" s="79" t="s">
        <v>22508</v>
      </c>
      <c r="D5615" s="82"/>
      <c r="E5615" s="80" t="s">
        <v>22509</v>
      </c>
      <c r="F5615" s="98">
        <v>41985.0</v>
      </c>
      <c r="G5615" s="80" t="s">
        <v>22510</v>
      </c>
      <c r="H5615" s="80" t="s">
        <v>22511</v>
      </c>
      <c r="I5615" s="82"/>
      <c r="J5615" s="82"/>
      <c r="K5615" s="81">
        <v>43441.0</v>
      </c>
      <c r="L5615" s="80" t="s">
        <v>2743</v>
      </c>
      <c r="M5615" s="80" t="s">
        <v>166</v>
      </c>
      <c r="N5615" s="201"/>
      <c r="O5615" s="51"/>
    </row>
    <row r="5616">
      <c r="A5616" s="56">
        <v>5613.0</v>
      </c>
      <c r="B5616" s="241"/>
      <c r="C5616" s="64" t="s">
        <v>22512</v>
      </c>
      <c r="D5616" s="66"/>
      <c r="E5616" s="63" t="s">
        <v>22513</v>
      </c>
      <c r="F5616" s="70">
        <v>40150.0</v>
      </c>
      <c r="G5616" s="80" t="s">
        <v>22514</v>
      </c>
      <c r="H5616" s="82"/>
      <c r="I5616" s="66"/>
      <c r="J5616" s="63" t="s">
        <v>136</v>
      </c>
      <c r="K5616" s="70">
        <v>43441.0</v>
      </c>
      <c r="L5616" s="63" t="s">
        <v>2743</v>
      </c>
      <c r="M5616" s="63" t="s">
        <v>941</v>
      </c>
      <c r="N5616" s="116"/>
      <c r="O5616" s="51"/>
    </row>
    <row r="5617">
      <c r="A5617" s="56">
        <v>5614.0</v>
      </c>
      <c r="B5617" s="240"/>
      <c r="C5617" s="69" t="s">
        <v>22515</v>
      </c>
      <c r="D5617" s="71"/>
      <c r="E5617" s="68" t="s">
        <v>22516</v>
      </c>
      <c r="F5617" s="76">
        <v>39995.0</v>
      </c>
      <c r="G5617" s="68" t="s">
        <v>22517</v>
      </c>
      <c r="H5617" s="71"/>
      <c r="I5617" s="71"/>
      <c r="J5617" s="68" t="s">
        <v>22518</v>
      </c>
      <c r="K5617" s="76">
        <v>43441.0</v>
      </c>
      <c r="L5617" s="68" t="s">
        <v>2743</v>
      </c>
      <c r="M5617" s="68" t="s">
        <v>530</v>
      </c>
      <c r="N5617" s="116"/>
      <c r="O5617" s="51"/>
    </row>
    <row r="5618">
      <c r="A5618" s="56">
        <v>5615.0</v>
      </c>
      <c r="B5618" s="240"/>
      <c r="C5618" s="69" t="s">
        <v>22519</v>
      </c>
      <c r="D5618" s="71"/>
      <c r="E5618" s="68" t="s">
        <v>22520</v>
      </c>
      <c r="F5618" s="68" t="s">
        <v>407</v>
      </c>
      <c r="G5618" s="68" t="s">
        <v>22521</v>
      </c>
      <c r="H5618" s="71"/>
      <c r="I5618" s="71"/>
      <c r="J5618" s="68" t="s">
        <v>22522</v>
      </c>
      <c r="K5618" s="76">
        <v>43441.0</v>
      </c>
      <c r="L5618" s="68" t="s">
        <v>2743</v>
      </c>
      <c r="M5618" s="68" t="s">
        <v>530</v>
      </c>
      <c r="N5618" s="116"/>
      <c r="O5618" s="51"/>
    </row>
    <row r="5619">
      <c r="A5619" s="56">
        <v>5616.0</v>
      </c>
      <c r="B5619" s="240"/>
      <c r="C5619" s="69" t="s">
        <v>22523</v>
      </c>
      <c r="D5619" s="71"/>
      <c r="E5619" s="68" t="s">
        <v>22524</v>
      </c>
      <c r="F5619" s="76">
        <v>41615.0</v>
      </c>
      <c r="G5619" s="68" t="s">
        <v>22525</v>
      </c>
      <c r="H5619" s="71"/>
      <c r="I5619" s="71"/>
      <c r="J5619" s="68" t="s">
        <v>22526</v>
      </c>
      <c r="K5619" s="76">
        <v>43441.0</v>
      </c>
      <c r="L5619" s="68" t="s">
        <v>2743</v>
      </c>
      <c r="M5619" s="68" t="s">
        <v>125</v>
      </c>
      <c r="N5619" s="116"/>
      <c r="O5619" s="51"/>
    </row>
    <row r="5620">
      <c r="A5620" s="56">
        <v>5617.0</v>
      </c>
      <c r="B5620" s="240"/>
      <c r="C5620" s="69" t="s">
        <v>22527</v>
      </c>
      <c r="D5620" s="71"/>
      <c r="E5620" s="68" t="s">
        <v>22528</v>
      </c>
      <c r="F5620" s="76">
        <v>43325.0</v>
      </c>
      <c r="G5620" s="68" t="s">
        <v>22529</v>
      </c>
      <c r="H5620" s="71"/>
      <c r="I5620" s="71"/>
      <c r="J5620" s="68" t="s">
        <v>22530</v>
      </c>
      <c r="K5620" s="76">
        <v>43441.0</v>
      </c>
      <c r="L5620" s="68" t="s">
        <v>2743</v>
      </c>
      <c r="M5620" s="68" t="s">
        <v>2748</v>
      </c>
      <c r="N5620" s="116"/>
      <c r="O5620" s="51"/>
    </row>
    <row r="5621">
      <c r="A5621" s="56">
        <v>5618.0</v>
      </c>
      <c r="B5621" s="240"/>
      <c r="C5621" s="69" t="s">
        <v>22531</v>
      </c>
      <c r="D5621" s="71"/>
      <c r="E5621" s="68" t="s">
        <v>22532</v>
      </c>
      <c r="F5621" s="83">
        <v>43423.0</v>
      </c>
      <c r="G5621" s="68" t="s">
        <v>22533</v>
      </c>
      <c r="H5621" s="71"/>
      <c r="I5621" s="71"/>
      <c r="J5621" s="87" t="s">
        <v>22534</v>
      </c>
      <c r="K5621" s="76">
        <v>43441.0</v>
      </c>
      <c r="L5621" s="68" t="s">
        <v>2743</v>
      </c>
      <c r="M5621" s="68" t="s">
        <v>143</v>
      </c>
      <c r="N5621" s="116"/>
      <c r="O5621" s="51"/>
    </row>
    <row r="5622">
      <c r="A5622" s="56">
        <v>5619.0</v>
      </c>
      <c r="B5622" s="240"/>
      <c r="C5622" s="69" t="s">
        <v>22535</v>
      </c>
      <c r="D5622" s="71"/>
      <c r="E5622" s="68" t="s">
        <v>22536</v>
      </c>
      <c r="F5622" s="83">
        <v>42689.0</v>
      </c>
      <c r="G5622" s="68" t="s">
        <v>22537</v>
      </c>
      <c r="H5622" s="71"/>
      <c r="I5622" s="71"/>
      <c r="J5622" s="68" t="s">
        <v>22538</v>
      </c>
      <c r="K5622" s="76">
        <v>43441.0</v>
      </c>
      <c r="L5622" s="68" t="s">
        <v>2743</v>
      </c>
      <c r="M5622" s="68" t="s">
        <v>143</v>
      </c>
      <c r="N5622" s="116"/>
      <c r="O5622" s="51"/>
    </row>
    <row r="5623">
      <c r="A5623" s="56">
        <v>5620.0</v>
      </c>
      <c r="B5623" s="241"/>
      <c r="C5623" s="64" t="s">
        <v>22539</v>
      </c>
      <c r="D5623" s="66"/>
      <c r="E5623" s="63" t="s">
        <v>22540</v>
      </c>
      <c r="F5623" s="70">
        <v>42050.0</v>
      </c>
      <c r="G5623" s="80" t="s">
        <v>22541</v>
      </c>
      <c r="H5623" s="82"/>
      <c r="I5623" s="66"/>
      <c r="J5623" s="63" t="s">
        <v>136</v>
      </c>
      <c r="K5623" s="65">
        <v>43444.0</v>
      </c>
      <c r="L5623" s="63" t="s">
        <v>2743</v>
      </c>
      <c r="M5623" s="63" t="s">
        <v>166</v>
      </c>
      <c r="N5623" s="116"/>
      <c r="O5623" s="51"/>
    </row>
    <row r="5624">
      <c r="A5624" s="56">
        <v>5621.0</v>
      </c>
      <c r="B5624" s="241"/>
      <c r="C5624" s="64" t="s">
        <v>22542</v>
      </c>
      <c r="D5624" s="66"/>
      <c r="E5624" s="63" t="s">
        <v>22543</v>
      </c>
      <c r="F5624" s="70">
        <v>39995.0</v>
      </c>
      <c r="G5624" s="80" t="s">
        <v>22544</v>
      </c>
      <c r="H5624" s="80" t="s">
        <v>22545</v>
      </c>
      <c r="I5624" s="66"/>
      <c r="J5624" s="63" t="s">
        <v>136</v>
      </c>
      <c r="K5624" s="65">
        <v>43445.0</v>
      </c>
      <c r="L5624" s="63" t="s">
        <v>2743</v>
      </c>
      <c r="M5624" s="63" t="s">
        <v>530</v>
      </c>
      <c r="N5624" s="116"/>
      <c r="O5624" s="51"/>
    </row>
    <row r="5625">
      <c r="A5625" s="56">
        <v>5622.0</v>
      </c>
      <c r="B5625" s="241"/>
      <c r="C5625" s="64" t="s">
        <v>22546</v>
      </c>
      <c r="D5625" s="66"/>
      <c r="E5625" s="63" t="s">
        <v>22547</v>
      </c>
      <c r="F5625" s="70">
        <v>39995.0</v>
      </c>
      <c r="G5625" s="80" t="s">
        <v>22548</v>
      </c>
      <c r="H5625" s="82"/>
      <c r="I5625" s="63" t="s">
        <v>22549</v>
      </c>
      <c r="J5625" s="63" t="s">
        <v>136</v>
      </c>
      <c r="K5625" s="65">
        <v>43445.0</v>
      </c>
      <c r="L5625" s="63" t="s">
        <v>2743</v>
      </c>
      <c r="M5625" s="63" t="s">
        <v>4749</v>
      </c>
      <c r="N5625" s="116"/>
      <c r="O5625" s="51"/>
    </row>
    <row r="5626">
      <c r="A5626" s="56">
        <v>5623.0</v>
      </c>
      <c r="B5626" s="241"/>
      <c r="C5626" s="64" t="s">
        <v>22550</v>
      </c>
      <c r="D5626" s="66"/>
      <c r="E5626" s="63" t="s">
        <v>22551</v>
      </c>
      <c r="F5626" s="70">
        <v>41821.0</v>
      </c>
      <c r="G5626" s="80" t="s">
        <v>22552</v>
      </c>
      <c r="H5626" s="80" t="s">
        <v>22553</v>
      </c>
      <c r="I5626" s="63" t="s">
        <v>22554</v>
      </c>
      <c r="J5626" s="63" t="s">
        <v>136</v>
      </c>
      <c r="K5626" s="65">
        <v>43445.0</v>
      </c>
      <c r="L5626" s="63" t="s">
        <v>2743</v>
      </c>
      <c r="M5626" s="63" t="s">
        <v>2152</v>
      </c>
      <c r="N5626" s="116"/>
      <c r="O5626" s="51"/>
    </row>
    <row r="5627">
      <c r="A5627" s="56">
        <v>5624.0</v>
      </c>
      <c r="B5627" s="240"/>
      <c r="C5627" s="69" t="s">
        <v>22555</v>
      </c>
      <c r="D5627" s="71"/>
      <c r="E5627" s="68" t="s">
        <v>22556</v>
      </c>
      <c r="F5627" s="76">
        <v>41691.0</v>
      </c>
      <c r="G5627" s="68" t="s">
        <v>22557</v>
      </c>
      <c r="H5627" s="68" t="s">
        <v>22558</v>
      </c>
      <c r="I5627" s="71"/>
      <c r="J5627" s="87" t="s">
        <v>22559</v>
      </c>
      <c r="K5627" s="83">
        <v>43445.0</v>
      </c>
      <c r="L5627" s="68" t="s">
        <v>2743</v>
      </c>
      <c r="M5627" s="68" t="s">
        <v>31</v>
      </c>
      <c r="N5627" s="116"/>
      <c r="O5627" s="51"/>
    </row>
    <row r="5628">
      <c r="A5628" s="56">
        <v>5625.0</v>
      </c>
      <c r="B5628" s="240"/>
      <c r="C5628" s="69" t="s">
        <v>22560</v>
      </c>
      <c r="D5628" s="71"/>
      <c r="E5628" s="68" t="s">
        <v>22561</v>
      </c>
      <c r="F5628" s="76">
        <v>42997.0</v>
      </c>
      <c r="G5628" s="68" t="s">
        <v>22562</v>
      </c>
      <c r="H5628" s="71"/>
      <c r="I5628" s="68" t="s">
        <v>22563</v>
      </c>
      <c r="J5628" s="68" t="s">
        <v>22564</v>
      </c>
      <c r="K5628" s="83">
        <v>43445.0</v>
      </c>
      <c r="L5628" s="68" t="s">
        <v>2743</v>
      </c>
      <c r="M5628" s="68" t="s">
        <v>5537</v>
      </c>
      <c r="N5628" s="116"/>
      <c r="O5628" s="51"/>
    </row>
    <row r="5629">
      <c r="A5629" s="56">
        <v>5626.0</v>
      </c>
      <c r="B5629" s="241"/>
      <c r="C5629" s="64" t="s">
        <v>22565</v>
      </c>
      <c r="D5629" s="66"/>
      <c r="E5629" s="63" t="s">
        <v>22566</v>
      </c>
      <c r="F5629" s="70">
        <v>43255.0</v>
      </c>
      <c r="G5629" s="80" t="s">
        <v>22567</v>
      </c>
      <c r="H5629" s="82"/>
      <c r="I5629" s="66"/>
      <c r="J5629" s="63" t="s">
        <v>136</v>
      </c>
      <c r="K5629" s="65">
        <v>43445.0</v>
      </c>
      <c r="L5629" s="63" t="s">
        <v>2743</v>
      </c>
      <c r="M5629" s="63" t="s">
        <v>125</v>
      </c>
      <c r="N5629" s="87" t="s">
        <v>4716</v>
      </c>
      <c r="O5629" s="51"/>
    </row>
    <row r="5630">
      <c r="A5630" s="56">
        <v>5627.0</v>
      </c>
      <c r="B5630" s="246"/>
      <c r="C5630" s="58" t="s">
        <v>22568</v>
      </c>
      <c r="D5630" s="60"/>
      <c r="E5630" s="57" t="s">
        <v>22569</v>
      </c>
      <c r="F5630" s="59">
        <v>43356.0</v>
      </c>
      <c r="G5630" s="57" t="s">
        <v>22570</v>
      </c>
      <c r="H5630" s="60"/>
      <c r="I5630" s="60"/>
      <c r="J5630" s="57" t="s">
        <v>22571</v>
      </c>
      <c r="K5630" s="78">
        <v>43446.0</v>
      </c>
      <c r="L5630" s="57" t="s">
        <v>2743</v>
      </c>
      <c r="M5630" s="57" t="s">
        <v>195</v>
      </c>
      <c r="N5630" s="90"/>
      <c r="O5630" s="51"/>
    </row>
    <row r="5631">
      <c r="A5631" s="56">
        <v>5628.0</v>
      </c>
      <c r="B5631" s="240"/>
      <c r="C5631" s="69" t="s">
        <v>22572</v>
      </c>
      <c r="D5631" s="71"/>
      <c r="E5631" s="68" t="s">
        <v>22573</v>
      </c>
      <c r="F5631" s="76">
        <v>43292.0</v>
      </c>
      <c r="G5631" s="68" t="s">
        <v>22570</v>
      </c>
      <c r="H5631" s="71"/>
      <c r="I5631" s="71"/>
      <c r="J5631" s="68" t="s">
        <v>22574</v>
      </c>
      <c r="K5631" s="83">
        <v>43446.0</v>
      </c>
      <c r="L5631" s="68" t="s">
        <v>2743</v>
      </c>
      <c r="M5631" s="68" t="s">
        <v>195</v>
      </c>
      <c r="N5631" s="116"/>
      <c r="O5631" s="51"/>
    </row>
    <row r="5632">
      <c r="A5632" s="56">
        <v>5629.0</v>
      </c>
      <c r="B5632" s="242"/>
      <c r="C5632" s="64" t="s">
        <v>22575</v>
      </c>
      <c r="D5632" s="66"/>
      <c r="E5632" s="63" t="s">
        <v>22576</v>
      </c>
      <c r="F5632" s="65">
        <v>43084.0</v>
      </c>
      <c r="G5632" s="63" t="s">
        <v>22577</v>
      </c>
      <c r="H5632" s="66"/>
      <c r="I5632" s="66"/>
      <c r="J5632" s="63" t="s">
        <v>136</v>
      </c>
      <c r="K5632" s="65">
        <v>43446.0</v>
      </c>
      <c r="L5632" s="63" t="s">
        <v>2743</v>
      </c>
      <c r="M5632" s="63" t="s">
        <v>195</v>
      </c>
      <c r="N5632" s="186"/>
      <c r="O5632" s="51"/>
    </row>
    <row r="5633">
      <c r="A5633" s="75">
        <v>5630.0</v>
      </c>
      <c r="B5633" s="240"/>
      <c r="C5633" s="69" t="s">
        <v>22578</v>
      </c>
      <c r="D5633" s="71"/>
      <c r="E5633" s="68" t="s">
        <v>22579</v>
      </c>
      <c r="F5633" s="76">
        <v>42538.0</v>
      </c>
      <c r="G5633" s="68" t="s">
        <v>22580</v>
      </c>
      <c r="H5633" s="68" t="s">
        <v>22581</v>
      </c>
      <c r="I5633" s="68" t="s">
        <v>22582</v>
      </c>
      <c r="J5633" s="68" t="s">
        <v>22583</v>
      </c>
      <c r="K5633" s="83">
        <v>43446.0</v>
      </c>
      <c r="L5633" s="68" t="s">
        <v>2743</v>
      </c>
      <c r="M5633" s="68" t="s">
        <v>872</v>
      </c>
      <c r="N5633" s="116"/>
      <c r="O5633" s="51"/>
    </row>
    <row r="5634">
      <c r="A5634" s="56">
        <v>5631.0</v>
      </c>
      <c r="B5634" s="240"/>
      <c r="C5634" s="69" t="s">
        <v>22584</v>
      </c>
      <c r="D5634" s="71"/>
      <c r="E5634" s="68" t="s">
        <v>22585</v>
      </c>
      <c r="F5634" s="76">
        <v>42412.0</v>
      </c>
      <c r="G5634" s="68" t="s">
        <v>22586</v>
      </c>
      <c r="H5634" s="71"/>
      <c r="I5634" s="71"/>
      <c r="J5634" s="87" t="s">
        <v>22587</v>
      </c>
      <c r="K5634" s="83">
        <v>43448.0</v>
      </c>
      <c r="L5634" s="68" t="s">
        <v>2743</v>
      </c>
      <c r="M5634" s="68" t="s">
        <v>166</v>
      </c>
      <c r="N5634" s="116"/>
      <c r="O5634" s="51"/>
    </row>
    <row r="5635">
      <c r="A5635" s="56">
        <v>5632.0</v>
      </c>
      <c r="B5635" s="241"/>
      <c r="C5635" s="64" t="s">
        <v>22588</v>
      </c>
      <c r="D5635" s="66"/>
      <c r="E5635" s="63" t="s">
        <v>22589</v>
      </c>
      <c r="F5635" s="70">
        <v>39995.0</v>
      </c>
      <c r="G5635" s="80" t="s">
        <v>22590</v>
      </c>
      <c r="H5635" s="82"/>
      <c r="I5635" s="66"/>
      <c r="J5635" s="63" t="s">
        <v>136</v>
      </c>
      <c r="K5635" s="65">
        <v>43451.0</v>
      </c>
      <c r="L5635" s="63" t="s">
        <v>2743</v>
      </c>
      <c r="M5635" s="63" t="s">
        <v>530</v>
      </c>
      <c r="N5635" s="116"/>
      <c r="O5635" s="51"/>
    </row>
    <row r="5636">
      <c r="A5636" s="56">
        <v>5633.0</v>
      </c>
      <c r="B5636" s="240"/>
      <c r="C5636" s="69" t="s">
        <v>22591</v>
      </c>
      <c r="D5636" s="71"/>
      <c r="E5636" s="68" t="s">
        <v>22592</v>
      </c>
      <c r="F5636" s="68" t="s">
        <v>407</v>
      </c>
      <c r="G5636" s="68" t="s">
        <v>22593</v>
      </c>
      <c r="H5636" s="71"/>
      <c r="I5636" s="71"/>
      <c r="J5636" s="68" t="s">
        <v>22594</v>
      </c>
      <c r="K5636" s="83">
        <v>43451.0</v>
      </c>
      <c r="L5636" s="68" t="s">
        <v>2743</v>
      </c>
      <c r="M5636" s="68" t="s">
        <v>3714</v>
      </c>
      <c r="N5636" s="116"/>
      <c r="O5636" s="51"/>
    </row>
    <row r="5637">
      <c r="A5637" s="56">
        <v>5634.0</v>
      </c>
      <c r="B5637" s="240"/>
      <c r="C5637" s="69" t="s">
        <v>22595</v>
      </c>
      <c r="D5637" s="71"/>
      <c r="E5637" s="68" t="s">
        <v>22596</v>
      </c>
      <c r="F5637" s="83">
        <v>43434.0</v>
      </c>
      <c r="G5637" s="68" t="s">
        <v>22597</v>
      </c>
      <c r="H5637" s="71"/>
      <c r="I5637" s="71"/>
      <c r="J5637" s="87" t="s">
        <v>22598</v>
      </c>
      <c r="K5637" s="83">
        <v>43451.0</v>
      </c>
      <c r="L5637" s="68" t="s">
        <v>2743</v>
      </c>
      <c r="M5637" s="68" t="s">
        <v>3714</v>
      </c>
      <c r="N5637" s="116"/>
      <c r="O5637" s="51"/>
    </row>
    <row r="5638">
      <c r="A5638" s="75">
        <v>5635.0</v>
      </c>
      <c r="B5638" s="240"/>
      <c r="C5638" s="69" t="s">
        <v>22599</v>
      </c>
      <c r="D5638" s="71"/>
      <c r="E5638" s="68" t="s">
        <v>22600</v>
      </c>
      <c r="F5638" s="83">
        <v>41992.0</v>
      </c>
      <c r="G5638" s="68" t="s">
        <v>22601</v>
      </c>
      <c r="H5638" s="71"/>
      <c r="I5638" s="68" t="s">
        <v>22602</v>
      </c>
      <c r="J5638" s="68" t="s">
        <v>22603</v>
      </c>
      <c r="K5638" s="83">
        <v>43451.0</v>
      </c>
      <c r="L5638" s="68" t="s">
        <v>2743</v>
      </c>
      <c r="M5638" s="68" t="s">
        <v>1509</v>
      </c>
      <c r="N5638" s="116"/>
      <c r="O5638" s="51"/>
    </row>
    <row r="5639">
      <c r="A5639" s="56">
        <v>5636.0</v>
      </c>
      <c r="B5639" s="241"/>
      <c r="C5639" s="64" t="s">
        <v>22604</v>
      </c>
      <c r="D5639" s="66"/>
      <c r="E5639" s="63" t="s">
        <v>22605</v>
      </c>
      <c r="F5639" s="70">
        <v>42222.0</v>
      </c>
      <c r="G5639" s="80" t="s">
        <v>22606</v>
      </c>
      <c r="H5639" s="82"/>
      <c r="I5639" s="66"/>
      <c r="J5639" s="63" t="s">
        <v>136</v>
      </c>
      <c r="K5639" s="65">
        <v>43451.0</v>
      </c>
      <c r="L5639" s="63" t="s">
        <v>2743</v>
      </c>
      <c r="M5639" s="63" t="s">
        <v>166</v>
      </c>
      <c r="N5639" s="116"/>
      <c r="O5639" s="51"/>
    </row>
    <row r="5640">
      <c r="A5640" s="56">
        <v>5637.0</v>
      </c>
      <c r="B5640" s="240"/>
      <c r="C5640" s="69" t="s">
        <v>22607</v>
      </c>
      <c r="D5640" s="71"/>
      <c r="E5640" s="68" t="s">
        <v>22608</v>
      </c>
      <c r="F5640" s="83">
        <v>43427.0</v>
      </c>
      <c r="G5640" s="68" t="s">
        <v>22609</v>
      </c>
      <c r="H5640" s="68" t="s">
        <v>22610</v>
      </c>
      <c r="I5640" s="71"/>
      <c r="J5640" s="87" t="s">
        <v>22611</v>
      </c>
      <c r="K5640" s="83">
        <v>43451.0</v>
      </c>
      <c r="L5640" s="68" t="s">
        <v>2743</v>
      </c>
      <c r="M5640" s="68" t="s">
        <v>31</v>
      </c>
      <c r="N5640" s="116"/>
      <c r="O5640" s="51"/>
    </row>
    <row r="5641">
      <c r="A5641" s="56">
        <v>5638.0</v>
      </c>
      <c r="B5641" s="240"/>
      <c r="C5641" s="69" t="s">
        <v>22612</v>
      </c>
      <c r="D5641" s="71"/>
      <c r="E5641" s="68" t="s">
        <v>22613</v>
      </c>
      <c r="F5641" s="83">
        <v>43432.0</v>
      </c>
      <c r="G5641" s="68" t="s">
        <v>22614</v>
      </c>
      <c r="H5641" s="71"/>
      <c r="I5641" s="71"/>
      <c r="J5641" s="87" t="s">
        <v>22615</v>
      </c>
      <c r="K5641" s="83">
        <v>43451.0</v>
      </c>
      <c r="L5641" s="68" t="s">
        <v>2743</v>
      </c>
      <c r="M5641" s="68" t="s">
        <v>1435</v>
      </c>
      <c r="N5641" s="116"/>
      <c r="O5641" s="51"/>
    </row>
    <row r="5642">
      <c r="A5642" s="56">
        <v>5639.0</v>
      </c>
      <c r="B5642" s="240"/>
      <c r="C5642" s="69" t="s">
        <v>22616</v>
      </c>
      <c r="D5642" s="71"/>
      <c r="E5642" s="68" t="s">
        <v>22617</v>
      </c>
      <c r="F5642" s="76">
        <v>42942.0</v>
      </c>
      <c r="G5642" s="68" t="s">
        <v>22618</v>
      </c>
      <c r="H5642" s="71"/>
      <c r="I5642" s="71"/>
      <c r="J5642" s="87" t="s">
        <v>22619</v>
      </c>
      <c r="K5642" s="83">
        <v>43451.0</v>
      </c>
      <c r="L5642" s="68" t="s">
        <v>2743</v>
      </c>
      <c r="M5642" s="68" t="s">
        <v>149</v>
      </c>
      <c r="N5642" s="116"/>
      <c r="O5642" s="51"/>
    </row>
    <row r="5643">
      <c r="A5643" s="56">
        <v>5640.0</v>
      </c>
      <c r="B5643" s="246"/>
      <c r="C5643" s="58" t="s">
        <v>22620</v>
      </c>
      <c r="D5643" s="60"/>
      <c r="E5643" s="57" t="s">
        <v>22621</v>
      </c>
      <c r="F5643" s="59">
        <v>41456.0</v>
      </c>
      <c r="G5643" s="57" t="s">
        <v>22622</v>
      </c>
      <c r="H5643" s="60"/>
      <c r="I5643" s="60"/>
      <c r="J5643" s="57" t="s">
        <v>22623</v>
      </c>
      <c r="K5643" s="78">
        <v>43451.0</v>
      </c>
      <c r="L5643" s="57" t="s">
        <v>2743</v>
      </c>
      <c r="M5643" s="57" t="s">
        <v>195</v>
      </c>
      <c r="N5643" s="90"/>
      <c r="O5643" s="51"/>
    </row>
    <row r="5644">
      <c r="A5644" s="56">
        <v>5641.0</v>
      </c>
      <c r="B5644" s="241"/>
      <c r="C5644" s="64" t="s">
        <v>22624</v>
      </c>
      <c r="D5644" s="66"/>
      <c r="E5644" s="63" t="s">
        <v>22625</v>
      </c>
      <c r="F5644" s="70">
        <v>41145.0</v>
      </c>
      <c r="G5644" s="80" t="s">
        <v>22626</v>
      </c>
      <c r="H5644" s="82"/>
      <c r="I5644" s="66"/>
      <c r="J5644" s="63" t="s">
        <v>136</v>
      </c>
      <c r="K5644" s="65">
        <v>43454.0</v>
      </c>
      <c r="L5644" s="63" t="s">
        <v>14256</v>
      </c>
      <c r="M5644" s="63" t="s">
        <v>872</v>
      </c>
      <c r="N5644" s="116"/>
      <c r="O5644" s="51"/>
    </row>
    <row r="5645">
      <c r="A5645" s="56">
        <v>5642.0</v>
      </c>
      <c r="B5645" s="240"/>
      <c r="C5645" s="69" t="s">
        <v>22627</v>
      </c>
      <c r="D5645" s="71"/>
      <c r="E5645" s="68" t="s">
        <v>22628</v>
      </c>
      <c r="F5645" s="76">
        <v>40655.0</v>
      </c>
      <c r="G5645" s="68" t="s">
        <v>22629</v>
      </c>
      <c r="H5645" s="71"/>
      <c r="I5645" s="71"/>
      <c r="J5645" s="68" t="s">
        <v>22630</v>
      </c>
      <c r="K5645" s="83">
        <v>43454.0</v>
      </c>
      <c r="L5645" s="68" t="s">
        <v>14256</v>
      </c>
      <c r="M5645" s="68" t="s">
        <v>282</v>
      </c>
      <c r="N5645" s="116"/>
      <c r="O5645" s="51"/>
    </row>
    <row r="5646">
      <c r="A5646" s="56">
        <v>5643.0</v>
      </c>
      <c r="B5646" s="240"/>
      <c r="C5646" s="69" t="s">
        <v>22631</v>
      </c>
      <c r="D5646" s="71"/>
      <c r="E5646" s="68" t="s">
        <v>22632</v>
      </c>
      <c r="F5646" s="76">
        <v>40655.0</v>
      </c>
      <c r="G5646" s="68" t="s">
        <v>22633</v>
      </c>
      <c r="H5646" s="71"/>
      <c r="I5646" s="71"/>
      <c r="J5646" s="68" t="s">
        <v>22634</v>
      </c>
      <c r="K5646" s="83">
        <v>43454.0</v>
      </c>
      <c r="L5646" s="68" t="s">
        <v>14256</v>
      </c>
      <c r="M5646" s="68" t="s">
        <v>282</v>
      </c>
      <c r="N5646" s="116"/>
      <c r="O5646" s="51"/>
    </row>
    <row r="5647">
      <c r="A5647" s="56">
        <v>5644.0</v>
      </c>
      <c r="B5647" s="240"/>
      <c r="C5647" s="69" t="s">
        <v>22635</v>
      </c>
      <c r="D5647" s="71"/>
      <c r="E5647" s="68" t="s">
        <v>22636</v>
      </c>
      <c r="F5647" s="76">
        <v>42607.0</v>
      </c>
      <c r="G5647" s="68" t="s">
        <v>22637</v>
      </c>
      <c r="H5647" s="71"/>
      <c r="I5647" s="71"/>
      <c r="J5647" s="68" t="s">
        <v>22638</v>
      </c>
      <c r="K5647" s="83">
        <v>43454.0</v>
      </c>
      <c r="L5647" s="68" t="s">
        <v>14256</v>
      </c>
      <c r="M5647" s="68" t="s">
        <v>27</v>
      </c>
      <c r="N5647" s="116"/>
      <c r="O5647" s="51"/>
    </row>
    <row r="5648">
      <c r="A5648" s="56">
        <v>5645.0</v>
      </c>
      <c r="B5648" s="241"/>
      <c r="C5648" s="64" t="s">
        <v>22639</v>
      </c>
      <c r="D5648" s="66"/>
      <c r="E5648" s="63" t="s">
        <v>22640</v>
      </c>
      <c r="F5648" s="70">
        <v>43351.0</v>
      </c>
      <c r="G5648" s="80" t="s">
        <v>22641</v>
      </c>
      <c r="H5648" s="82"/>
      <c r="I5648" s="66"/>
      <c r="J5648" s="63" t="s">
        <v>136</v>
      </c>
      <c r="K5648" s="65">
        <v>43454.0</v>
      </c>
      <c r="L5648" s="63" t="s">
        <v>22642</v>
      </c>
      <c r="M5648" s="63" t="s">
        <v>40</v>
      </c>
      <c r="N5648" s="116"/>
      <c r="O5648" s="51"/>
    </row>
    <row r="5649">
      <c r="A5649" s="56">
        <v>5646.0</v>
      </c>
      <c r="B5649" s="241"/>
      <c r="C5649" s="64" t="s">
        <v>22643</v>
      </c>
      <c r="D5649" s="66"/>
      <c r="E5649" s="63" t="s">
        <v>22644</v>
      </c>
      <c r="F5649" s="70">
        <v>41331.0</v>
      </c>
      <c r="G5649" s="80" t="s">
        <v>22645</v>
      </c>
      <c r="H5649" s="80" t="s">
        <v>22646</v>
      </c>
      <c r="I5649" s="66"/>
      <c r="J5649" s="63" t="s">
        <v>136</v>
      </c>
      <c r="K5649" s="65">
        <v>43454.0</v>
      </c>
      <c r="L5649" s="63" t="s">
        <v>14256</v>
      </c>
      <c r="M5649" s="63" t="s">
        <v>530</v>
      </c>
      <c r="N5649" s="116"/>
      <c r="O5649" s="51"/>
    </row>
    <row r="5650">
      <c r="A5650" s="56">
        <v>5647.0</v>
      </c>
      <c r="B5650" s="240"/>
      <c r="C5650" s="69" t="s">
        <v>22647</v>
      </c>
      <c r="D5650" s="71"/>
      <c r="E5650" s="68" t="s">
        <v>22648</v>
      </c>
      <c r="F5650" s="76">
        <v>42551.0</v>
      </c>
      <c r="G5650" s="68" t="s">
        <v>22649</v>
      </c>
      <c r="H5650" s="71"/>
      <c r="I5650" s="71"/>
      <c r="J5650" s="87" t="s">
        <v>22650</v>
      </c>
      <c r="K5650" s="83">
        <v>43454.0</v>
      </c>
      <c r="L5650" s="68" t="s">
        <v>14256</v>
      </c>
      <c r="M5650" s="68" t="s">
        <v>40</v>
      </c>
      <c r="N5650" s="116"/>
      <c r="O5650" s="51"/>
    </row>
    <row r="5651">
      <c r="A5651" s="56">
        <v>5648.0</v>
      </c>
      <c r="B5651" s="240"/>
      <c r="C5651" s="69" t="s">
        <v>22651</v>
      </c>
      <c r="D5651" s="71"/>
      <c r="E5651" s="68" t="s">
        <v>22652</v>
      </c>
      <c r="F5651" s="76">
        <v>42212.0</v>
      </c>
      <c r="G5651" s="68" t="s">
        <v>22653</v>
      </c>
      <c r="H5651" s="71"/>
      <c r="I5651" s="71"/>
      <c r="J5651" s="68" t="s">
        <v>22654</v>
      </c>
      <c r="K5651" s="83">
        <v>43454.0</v>
      </c>
      <c r="L5651" s="68" t="s">
        <v>14256</v>
      </c>
      <c r="M5651" s="68" t="s">
        <v>40</v>
      </c>
      <c r="N5651" s="116"/>
      <c r="O5651" s="51"/>
    </row>
    <row r="5652">
      <c r="A5652" s="56">
        <v>5649.0</v>
      </c>
      <c r="B5652" s="246"/>
      <c r="C5652" s="58" t="s">
        <v>22655</v>
      </c>
      <c r="D5652" s="60"/>
      <c r="E5652" s="57" t="s">
        <v>22656</v>
      </c>
      <c r="F5652" s="59">
        <v>41339.0</v>
      </c>
      <c r="G5652" s="57" t="s">
        <v>22657</v>
      </c>
      <c r="H5652" s="60"/>
      <c r="I5652" s="60"/>
      <c r="J5652" s="57" t="s">
        <v>22658</v>
      </c>
      <c r="K5652" s="78">
        <v>43454.0</v>
      </c>
      <c r="L5652" s="57" t="s">
        <v>14256</v>
      </c>
      <c r="M5652" s="57" t="s">
        <v>149</v>
      </c>
      <c r="N5652" s="90"/>
      <c r="O5652" s="51"/>
    </row>
    <row r="5653">
      <c r="A5653" s="56">
        <v>5650.0</v>
      </c>
      <c r="B5653" s="240"/>
      <c r="C5653" s="69" t="s">
        <v>22659</v>
      </c>
      <c r="D5653" s="71"/>
      <c r="E5653" s="57" t="s">
        <v>22656</v>
      </c>
      <c r="F5653" s="76">
        <v>41895.0</v>
      </c>
      <c r="G5653" s="68" t="s">
        <v>22660</v>
      </c>
      <c r="H5653" s="71"/>
      <c r="I5653" s="71"/>
      <c r="J5653" s="68" t="s">
        <v>22661</v>
      </c>
      <c r="K5653" s="83">
        <v>43454.0</v>
      </c>
      <c r="L5653" s="68" t="s">
        <v>14256</v>
      </c>
      <c r="M5653" s="68" t="s">
        <v>31</v>
      </c>
      <c r="N5653" s="116"/>
      <c r="O5653" s="51"/>
    </row>
    <row r="5654">
      <c r="A5654" s="56">
        <v>5651.0</v>
      </c>
      <c r="B5654" s="240"/>
      <c r="C5654" s="69" t="s">
        <v>22662</v>
      </c>
      <c r="D5654" s="71"/>
      <c r="E5654" s="68" t="s">
        <v>22663</v>
      </c>
      <c r="F5654" s="76">
        <v>41675.0</v>
      </c>
      <c r="G5654" s="68" t="s">
        <v>22664</v>
      </c>
      <c r="H5654" s="71"/>
      <c r="I5654" s="71"/>
      <c r="J5654" s="68" t="s">
        <v>22253</v>
      </c>
      <c r="K5654" s="83">
        <v>43454.0</v>
      </c>
      <c r="L5654" s="68" t="s">
        <v>14256</v>
      </c>
      <c r="M5654" s="68" t="s">
        <v>40</v>
      </c>
      <c r="N5654" s="116"/>
      <c r="O5654" s="51"/>
    </row>
    <row r="5655">
      <c r="A5655" s="56">
        <v>5652.0</v>
      </c>
      <c r="B5655" s="241"/>
      <c r="C5655" s="64" t="s">
        <v>22665</v>
      </c>
      <c r="D5655" s="66"/>
      <c r="E5655" s="63" t="s">
        <v>22666</v>
      </c>
      <c r="F5655" s="65">
        <v>43420.0</v>
      </c>
      <c r="G5655" s="80" t="s">
        <v>22667</v>
      </c>
      <c r="H5655" s="80" t="s">
        <v>22668</v>
      </c>
      <c r="I5655" s="63" t="s">
        <v>22669</v>
      </c>
      <c r="J5655" s="63" t="s">
        <v>136</v>
      </c>
      <c r="K5655" s="65">
        <v>43458.0</v>
      </c>
      <c r="L5655" s="63" t="s">
        <v>2743</v>
      </c>
      <c r="M5655" s="63" t="s">
        <v>282</v>
      </c>
      <c r="N5655" s="116"/>
      <c r="O5655" s="51"/>
    </row>
    <row r="5656">
      <c r="A5656" s="56">
        <v>5653.0</v>
      </c>
      <c r="B5656" s="240"/>
      <c r="C5656" s="69" t="s">
        <v>22670</v>
      </c>
      <c r="D5656" s="71"/>
      <c r="E5656" s="68" t="s">
        <v>22671</v>
      </c>
      <c r="F5656" s="76">
        <v>41399.0</v>
      </c>
      <c r="G5656" s="68" t="s">
        <v>22672</v>
      </c>
      <c r="H5656" s="71"/>
      <c r="I5656" s="71"/>
      <c r="J5656" s="87" t="s">
        <v>22673</v>
      </c>
      <c r="K5656" s="83">
        <v>43458.0</v>
      </c>
      <c r="L5656" s="68" t="s">
        <v>2743</v>
      </c>
      <c r="M5656" s="68" t="s">
        <v>2989</v>
      </c>
      <c r="N5656" s="116"/>
      <c r="O5656" s="51"/>
    </row>
    <row r="5657">
      <c r="A5657" s="56">
        <v>5654.0</v>
      </c>
      <c r="B5657" s="241"/>
      <c r="C5657" s="64" t="s">
        <v>22674</v>
      </c>
      <c r="D5657" s="66"/>
      <c r="E5657" s="63" t="s">
        <v>22675</v>
      </c>
      <c r="F5657" s="70">
        <v>42140.0</v>
      </c>
      <c r="G5657" s="80" t="s">
        <v>22676</v>
      </c>
      <c r="H5657" s="82"/>
      <c r="I5657" s="63" t="s">
        <v>22677</v>
      </c>
      <c r="J5657" s="63" t="s">
        <v>136</v>
      </c>
      <c r="K5657" s="65">
        <v>43458.0</v>
      </c>
      <c r="L5657" s="63" t="s">
        <v>2743</v>
      </c>
      <c r="M5657" s="63" t="s">
        <v>201</v>
      </c>
      <c r="N5657" s="116"/>
      <c r="O5657" s="51"/>
    </row>
    <row r="5658">
      <c r="A5658" s="56">
        <v>5655.0</v>
      </c>
      <c r="B5658" s="241"/>
      <c r="C5658" s="64" t="s">
        <v>22678</v>
      </c>
      <c r="D5658" s="66"/>
      <c r="E5658" s="63" t="s">
        <v>22679</v>
      </c>
      <c r="F5658" s="70">
        <v>39845.0</v>
      </c>
      <c r="G5658" s="80" t="s">
        <v>22680</v>
      </c>
      <c r="H5658" s="80" t="s">
        <v>22681</v>
      </c>
      <c r="I5658" s="66"/>
      <c r="J5658" s="63" t="s">
        <v>136</v>
      </c>
      <c r="K5658" s="65">
        <v>43458.0</v>
      </c>
      <c r="L5658" s="63" t="s">
        <v>2743</v>
      </c>
      <c r="M5658" s="63" t="s">
        <v>530</v>
      </c>
      <c r="N5658" s="116"/>
      <c r="O5658" s="51"/>
    </row>
    <row r="5659">
      <c r="A5659" s="56">
        <v>5656.0</v>
      </c>
      <c r="B5659" s="241"/>
      <c r="C5659" s="64" t="s">
        <v>22682</v>
      </c>
      <c r="D5659" s="66"/>
      <c r="E5659" s="63" t="s">
        <v>22683</v>
      </c>
      <c r="F5659" s="70">
        <v>42895.0</v>
      </c>
      <c r="G5659" s="80" t="s">
        <v>22684</v>
      </c>
      <c r="H5659" s="80" t="s">
        <v>22685</v>
      </c>
      <c r="I5659" s="63" t="s">
        <v>439</v>
      </c>
      <c r="J5659" s="63" t="s">
        <v>136</v>
      </c>
      <c r="K5659" s="65">
        <v>43458.0</v>
      </c>
      <c r="L5659" s="63" t="s">
        <v>2743</v>
      </c>
      <c r="M5659" s="63" t="s">
        <v>2989</v>
      </c>
      <c r="N5659" s="116"/>
      <c r="O5659" s="51"/>
    </row>
    <row r="5660">
      <c r="A5660" s="75">
        <v>5657.0</v>
      </c>
      <c r="B5660" s="240"/>
      <c r="C5660" s="69" t="s">
        <v>22686</v>
      </c>
      <c r="D5660" s="71"/>
      <c r="E5660" s="68" t="s">
        <v>22687</v>
      </c>
      <c r="F5660" s="83">
        <v>42352.0</v>
      </c>
      <c r="G5660" s="68" t="s">
        <v>22688</v>
      </c>
      <c r="H5660" s="68" t="s">
        <v>22689</v>
      </c>
      <c r="I5660" s="68" t="s">
        <v>22690</v>
      </c>
      <c r="J5660" s="68" t="s">
        <v>22691</v>
      </c>
      <c r="K5660" s="83">
        <v>43458.0</v>
      </c>
      <c r="L5660" s="68" t="s">
        <v>2743</v>
      </c>
      <c r="M5660" s="68" t="s">
        <v>2152</v>
      </c>
      <c r="N5660" s="116"/>
      <c r="O5660" s="51"/>
    </row>
    <row r="5661">
      <c r="A5661" s="56">
        <v>5658.0</v>
      </c>
      <c r="B5661" s="241"/>
      <c r="C5661" s="64" t="s">
        <v>22692</v>
      </c>
      <c r="D5661" s="66"/>
      <c r="E5661" s="63" t="s">
        <v>22693</v>
      </c>
      <c r="F5661" s="70">
        <v>39959.0</v>
      </c>
      <c r="G5661" s="80" t="s">
        <v>22694</v>
      </c>
      <c r="H5661" s="82"/>
      <c r="I5661" s="66"/>
      <c r="J5661" s="63" t="s">
        <v>136</v>
      </c>
      <c r="K5661" s="65">
        <v>43458.0</v>
      </c>
      <c r="L5661" s="63" t="s">
        <v>2743</v>
      </c>
      <c r="M5661" s="63" t="s">
        <v>4487</v>
      </c>
      <c r="N5661" s="116"/>
      <c r="O5661" s="51"/>
    </row>
    <row r="5662">
      <c r="A5662" s="56">
        <v>5659.0</v>
      </c>
      <c r="B5662" s="241"/>
      <c r="C5662" s="64" t="s">
        <v>22695</v>
      </c>
      <c r="D5662" s="66"/>
      <c r="E5662" s="63" t="s">
        <v>22696</v>
      </c>
      <c r="F5662" s="70">
        <v>38353.0</v>
      </c>
      <c r="G5662" s="80" t="s">
        <v>22697</v>
      </c>
      <c r="H5662" s="82"/>
      <c r="I5662" s="63" t="s">
        <v>22698</v>
      </c>
      <c r="J5662" s="63" t="s">
        <v>136</v>
      </c>
      <c r="K5662" s="65">
        <v>43458.0</v>
      </c>
      <c r="L5662" s="63" t="s">
        <v>2743</v>
      </c>
      <c r="M5662" s="63" t="s">
        <v>4487</v>
      </c>
      <c r="N5662" s="116"/>
      <c r="O5662" s="51"/>
    </row>
    <row r="5663">
      <c r="A5663" s="56">
        <v>5660.0</v>
      </c>
      <c r="B5663" s="240"/>
      <c r="C5663" s="69" t="s">
        <v>22699</v>
      </c>
      <c r="D5663" s="71"/>
      <c r="E5663" s="68" t="s">
        <v>22700</v>
      </c>
      <c r="F5663" s="76">
        <v>43350.0</v>
      </c>
      <c r="G5663" s="68" t="s">
        <v>22701</v>
      </c>
      <c r="H5663" s="71"/>
      <c r="I5663" s="71"/>
      <c r="J5663" s="68" t="s">
        <v>22702</v>
      </c>
      <c r="K5663" s="83">
        <v>43458.0</v>
      </c>
      <c r="L5663" s="68" t="s">
        <v>2743</v>
      </c>
      <c r="M5663" s="68" t="s">
        <v>201</v>
      </c>
      <c r="N5663" s="116"/>
      <c r="O5663" s="51"/>
    </row>
    <row r="5664">
      <c r="A5664" s="56">
        <v>5661.0</v>
      </c>
      <c r="B5664" s="240"/>
      <c r="C5664" s="69" t="s">
        <v>22703</v>
      </c>
      <c r="D5664" s="71"/>
      <c r="E5664" s="68" t="s">
        <v>22704</v>
      </c>
      <c r="F5664" s="76">
        <v>43441.0</v>
      </c>
      <c r="G5664" s="68" t="s">
        <v>22705</v>
      </c>
      <c r="H5664" s="71"/>
      <c r="I5664" s="71"/>
      <c r="J5664" s="87" t="s">
        <v>16884</v>
      </c>
      <c r="K5664" s="83">
        <v>43458.0</v>
      </c>
      <c r="L5664" s="68" t="s">
        <v>2743</v>
      </c>
      <c r="M5664" s="68" t="s">
        <v>166</v>
      </c>
      <c r="N5664" s="116"/>
      <c r="O5664" s="51"/>
    </row>
    <row r="5665">
      <c r="A5665" s="56">
        <v>5662.0</v>
      </c>
      <c r="B5665" s="241"/>
      <c r="C5665" s="64" t="s">
        <v>22706</v>
      </c>
      <c r="D5665" s="66"/>
      <c r="E5665" s="63" t="s">
        <v>22707</v>
      </c>
      <c r="F5665" s="70">
        <v>42758.0</v>
      </c>
      <c r="G5665" s="80" t="s">
        <v>22708</v>
      </c>
      <c r="H5665" s="82"/>
      <c r="I5665" s="66"/>
      <c r="J5665" s="63" t="s">
        <v>136</v>
      </c>
      <c r="K5665" s="65">
        <v>43458.0</v>
      </c>
      <c r="L5665" s="63" t="s">
        <v>2743</v>
      </c>
      <c r="M5665" s="63" t="s">
        <v>166</v>
      </c>
      <c r="N5665" s="116"/>
      <c r="O5665" s="51"/>
    </row>
    <row r="5666">
      <c r="A5666" s="56">
        <v>5663.0</v>
      </c>
      <c r="B5666" s="241"/>
      <c r="C5666" s="64" t="s">
        <v>22709</v>
      </c>
      <c r="D5666" s="66"/>
      <c r="E5666" s="63" t="s">
        <v>22710</v>
      </c>
      <c r="F5666" s="65">
        <v>41970.0</v>
      </c>
      <c r="G5666" s="80" t="s">
        <v>22711</v>
      </c>
      <c r="H5666" s="82"/>
      <c r="I5666" s="66"/>
      <c r="J5666" s="63" t="s">
        <v>136</v>
      </c>
      <c r="K5666" s="65">
        <v>44189.0</v>
      </c>
      <c r="L5666" s="63" t="s">
        <v>2743</v>
      </c>
      <c r="M5666" s="63" t="s">
        <v>166</v>
      </c>
      <c r="N5666" s="116"/>
      <c r="O5666" s="51"/>
    </row>
    <row r="5667">
      <c r="A5667" s="56">
        <v>5664.0</v>
      </c>
      <c r="B5667" s="241"/>
      <c r="C5667" s="64" t="s">
        <v>22712</v>
      </c>
      <c r="D5667" s="66"/>
      <c r="E5667" s="63" t="s">
        <v>22713</v>
      </c>
      <c r="F5667" s="65">
        <v>41243.0</v>
      </c>
      <c r="G5667" s="80" t="s">
        <v>22714</v>
      </c>
      <c r="H5667" s="82"/>
      <c r="I5667" s="66"/>
      <c r="J5667" s="63" t="s">
        <v>136</v>
      </c>
      <c r="K5667" s="63" t="s">
        <v>22715</v>
      </c>
      <c r="L5667" s="63" t="s">
        <v>2743</v>
      </c>
      <c r="M5667" s="63" t="s">
        <v>166</v>
      </c>
      <c r="N5667" s="116"/>
      <c r="O5667" s="51"/>
    </row>
    <row r="5668">
      <c r="A5668" s="56">
        <v>5665.0</v>
      </c>
      <c r="B5668" s="241"/>
      <c r="C5668" s="64" t="s">
        <v>22716</v>
      </c>
      <c r="D5668" s="66"/>
      <c r="E5668" s="63" t="s">
        <v>22717</v>
      </c>
      <c r="F5668" s="70">
        <v>39995.0</v>
      </c>
      <c r="G5668" s="80" t="s">
        <v>22718</v>
      </c>
      <c r="H5668" s="80" t="s">
        <v>22719</v>
      </c>
      <c r="I5668" s="63" t="s">
        <v>22720</v>
      </c>
      <c r="J5668" s="63" t="s">
        <v>136</v>
      </c>
      <c r="K5668" s="65">
        <v>43458.0</v>
      </c>
      <c r="L5668" s="63" t="s">
        <v>2743</v>
      </c>
      <c r="M5668" s="63" t="s">
        <v>530</v>
      </c>
      <c r="N5668" s="116"/>
      <c r="O5668" s="51"/>
    </row>
    <row r="5669">
      <c r="A5669" s="56">
        <v>5666.0</v>
      </c>
      <c r="B5669" s="241"/>
      <c r="C5669" s="64" t="s">
        <v>22721</v>
      </c>
      <c r="D5669" s="66"/>
      <c r="E5669" s="63" t="s">
        <v>22722</v>
      </c>
      <c r="F5669" s="70">
        <v>39995.0</v>
      </c>
      <c r="G5669" s="80" t="s">
        <v>22723</v>
      </c>
      <c r="H5669" s="82"/>
      <c r="I5669" s="63" t="s">
        <v>22724</v>
      </c>
      <c r="J5669" s="63" t="s">
        <v>136</v>
      </c>
      <c r="K5669" s="65">
        <v>43458.0</v>
      </c>
      <c r="L5669" s="63" t="s">
        <v>2743</v>
      </c>
      <c r="M5669" s="63" t="s">
        <v>2152</v>
      </c>
      <c r="N5669" s="116"/>
      <c r="O5669" s="51"/>
    </row>
    <row r="5670">
      <c r="A5670" s="56">
        <v>5667.0</v>
      </c>
      <c r="B5670" s="241"/>
      <c r="C5670" s="64" t="s">
        <v>22725</v>
      </c>
      <c r="D5670" s="66"/>
      <c r="E5670" s="63" t="s">
        <v>22726</v>
      </c>
      <c r="F5670" s="70">
        <v>40151.0</v>
      </c>
      <c r="G5670" s="80" t="s">
        <v>22727</v>
      </c>
      <c r="H5670" s="80" t="s">
        <v>439</v>
      </c>
      <c r="I5670" s="63" t="s">
        <v>22728</v>
      </c>
      <c r="J5670" s="63" t="s">
        <v>136</v>
      </c>
      <c r="K5670" s="65">
        <v>43458.0</v>
      </c>
      <c r="L5670" s="63" t="s">
        <v>2743</v>
      </c>
      <c r="M5670" s="63" t="s">
        <v>22473</v>
      </c>
      <c r="N5670" s="116"/>
      <c r="O5670" s="51"/>
    </row>
    <row r="5671">
      <c r="A5671" s="56">
        <v>5668.0</v>
      </c>
      <c r="B5671" s="240"/>
      <c r="C5671" s="69" t="s">
        <v>22729</v>
      </c>
      <c r="D5671" s="71"/>
      <c r="E5671" s="68" t="s">
        <v>22730</v>
      </c>
      <c r="F5671" s="76">
        <v>43141.0</v>
      </c>
      <c r="G5671" s="68" t="s">
        <v>22731</v>
      </c>
      <c r="H5671" s="71"/>
      <c r="I5671" s="71"/>
      <c r="J5671" s="87" t="s">
        <v>22732</v>
      </c>
      <c r="K5671" s="83">
        <v>43458.0</v>
      </c>
      <c r="L5671" s="68" t="s">
        <v>2743</v>
      </c>
      <c r="M5671" s="68" t="s">
        <v>3690</v>
      </c>
      <c r="N5671" s="116"/>
      <c r="O5671" s="51"/>
    </row>
    <row r="5672">
      <c r="A5672" s="56">
        <v>5669.0</v>
      </c>
      <c r="B5672" s="241"/>
      <c r="C5672" s="64" t="s">
        <v>22733</v>
      </c>
      <c r="D5672" s="66"/>
      <c r="E5672" s="63" t="s">
        <v>22734</v>
      </c>
      <c r="F5672" s="70">
        <v>40275.0</v>
      </c>
      <c r="G5672" s="80" t="s">
        <v>22735</v>
      </c>
      <c r="H5672" s="80" t="s">
        <v>22736</v>
      </c>
      <c r="I5672" s="66"/>
      <c r="J5672" s="63" t="s">
        <v>136</v>
      </c>
      <c r="K5672" s="65">
        <v>43458.0</v>
      </c>
      <c r="L5672" s="63" t="s">
        <v>16185</v>
      </c>
      <c r="M5672" s="63" t="s">
        <v>530</v>
      </c>
      <c r="N5672" s="116"/>
      <c r="O5672" s="51"/>
    </row>
    <row r="5673">
      <c r="A5673" s="56">
        <v>5670.0</v>
      </c>
      <c r="B5673" s="241"/>
      <c r="C5673" s="64" t="s">
        <v>22737</v>
      </c>
      <c r="D5673" s="66"/>
      <c r="E5673" s="63" t="s">
        <v>22738</v>
      </c>
      <c r="F5673" s="70">
        <v>39920.0</v>
      </c>
      <c r="G5673" s="80" t="s">
        <v>22739</v>
      </c>
      <c r="H5673" s="80" t="s">
        <v>22740</v>
      </c>
      <c r="I5673" s="66"/>
      <c r="J5673" s="63" t="s">
        <v>136</v>
      </c>
      <c r="K5673" s="65">
        <v>43458.0</v>
      </c>
      <c r="L5673" s="63" t="s">
        <v>16185</v>
      </c>
      <c r="M5673" s="63" t="s">
        <v>530</v>
      </c>
      <c r="N5673" s="116"/>
      <c r="O5673" s="51"/>
    </row>
    <row r="5674">
      <c r="A5674" s="56">
        <v>5671.0</v>
      </c>
      <c r="B5674" s="240"/>
      <c r="C5674" s="69" t="s">
        <v>22741</v>
      </c>
      <c r="D5674" s="71"/>
      <c r="E5674" s="68" t="s">
        <v>22742</v>
      </c>
      <c r="F5674" s="76">
        <v>43301.0</v>
      </c>
      <c r="G5674" s="68" t="s">
        <v>22743</v>
      </c>
      <c r="H5674" s="68" t="s">
        <v>22744</v>
      </c>
      <c r="I5674" s="68" t="s">
        <v>22745</v>
      </c>
      <c r="J5674" s="68" t="s">
        <v>22746</v>
      </c>
      <c r="K5674" s="83">
        <v>43458.0</v>
      </c>
      <c r="L5674" s="68" t="s">
        <v>16185</v>
      </c>
      <c r="M5674" s="68" t="s">
        <v>31</v>
      </c>
      <c r="N5674" s="116"/>
      <c r="O5674" s="51"/>
    </row>
    <row r="5675">
      <c r="A5675" s="56">
        <v>5672.0</v>
      </c>
      <c r="B5675" s="240"/>
      <c r="C5675" s="69" t="s">
        <v>22747</v>
      </c>
      <c r="D5675" s="71"/>
      <c r="E5675" s="68" t="s">
        <v>22748</v>
      </c>
      <c r="F5675" s="76">
        <v>43047.0</v>
      </c>
      <c r="G5675" s="68" t="s">
        <v>22749</v>
      </c>
      <c r="H5675" s="68" t="s">
        <v>22750</v>
      </c>
      <c r="I5675" s="71"/>
      <c r="J5675" s="68" t="s">
        <v>22751</v>
      </c>
      <c r="K5675" s="83">
        <v>43458.0</v>
      </c>
      <c r="L5675" s="68" t="s">
        <v>16185</v>
      </c>
      <c r="M5675" s="68" t="s">
        <v>31</v>
      </c>
      <c r="N5675" s="116"/>
      <c r="O5675" s="51"/>
    </row>
    <row r="5676">
      <c r="A5676" s="56">
        <v>5673.0</v>
      </c>
      <c r="B5676" s="241"/>
      <c r="C5676" s="64" t="s">
        <v>22752</v>
      </c>
      <c r="D5676" s="66"/>
      <c r="E5676" s="63" t="s">
        <v>22753</v>
      </c>
      <c r="F5676" s="63" t="s">
        <v>407</v>
      </c>
      <c r="G5676" s="80" t="s">
        <v>22754</v>
      </c>
      <c r="H5676" s="80" t="s">
        <v>439</v>
      </c>
      <c r="I5676" s="66"/>
      <c r="J5676" s="63" t="s">
        <v>136</v>
      </c>
      <c r="K5676" s="65">
        <v>43460.0</v>
      </c>
      <c r="L5676" s="63" t="s">
        <v>2743</v>
      </c>
      <c r="M5676" s="63" t="s">
        <v>530</v>
      </c>
      <c r="N5676" s="116"/>
      <c r="O5676" s="51"/>
    </row>
    <row r="5677">
      <c r="A5677" s="56">
        <v>5674.0</v>
      </c>
      <c r="B5677" s="240"/>
      <c r="C5677" s="69" t="s">
        <v>22755</v>
      </c>
      <c r="D5677" s="71"/>
      <c r="E5677" s="68" t="s">
        <v>22756</v>
      </c>
      <c r="F5677" s="76">
        <v>43282.0</v>
      </c>
      <c r="G5677" s="68" t="s">
        <v>22757</v>
      </c>
      <c r="H5677" s="71"/>
      <c r="I5677" s="71"/>
      <c r="J5677" s="68" t="s">
        <v>22758</v>
      </c>
      <c r="K5677" s="83">
        <v>43460.0</v>
      </c>
      <c r="L5677" s="68" t="s">
        <v>2743</v>
      </c>
      <c r="M5677" s="68" t="s">
        <v>195</v>
      </c>
      <c r="N5677" s="116"/>
      <c r="O5677" s="51"/>
    </row>
    <row r="5678">
      <c r="A5678" s="56">
        <v>5675.0</v>
      </c>
      <c r="B5678" s="240"/>
      <c r="C5678" s="69" t="s">
        <v>22759</v>
      </c>
      <c r="D5678" s="71"/>
      <c r="E5678" s="68" t="s">
        <v>22760</v>
      </c>
      <c r="F5678" s="76">
        <v>43282.0</v>
      </c>
      <c r="G5678" s="68" t="s">
        <v>22757</v>
      </c>
      <c r="H5678" s="71"/>
      <c r="I5678" s="71"/>
      <c r="J5678" s="68" t="s">
        <v>22761</v>
      </c>
      <c r="K5678" s="83">
        <v>43460.0</v>
      </c>
      <c r="L5678" s="68" t="s">
        <v>2743</v>
      </c>
      <c r="M5678" s="68" t="s">
        <v>195</v>
      </c>
      <c r="N5678" s="116"/>
      <c r="O5678" s="51"/>
    </row>
    <row r="5679">
      <c r="A5679" s="56">
        <v>5676.0</v>
      </c>
      <c r="B5679" s="241"/>
      <c r="C5679" s="64" t="s">
        <v>22762</v>
      </c>
      <c r="D5679" s="66"/>
      <c r="E5679" s="63" t="s">
        <v>22763</v>
      </c>
      <c r="F5679" s="70">
        <v>42635.0</v>
      </c>
      <c r="G5679" s="80" t="s">
        <v>22764</v>
      </c>
      <c r="H5679" s="82"/>
      <c r="I5679" s="66"/>
      <c r="J5679" s="63" t="s">
        <v>136</v>
      </c>
      <c r="K5679" s="65">
        <v>43460.0</v>
      </c>
      <c r="L5679" s="63" t="s">
        <v>2743</v>
      </c>
      <c r="M5679" s="63" t="s">
        <v>125</v>
      </c>
      <c r="N5679" s="116"/>
      <c r="O5679" s="51"/>
    </row>
    <row r="5680">
      <c r="A5680" s="56">
        <v>5677.0</v>
      </c>
      <c r="B5680" s="241"/>
      <c r="C5680" s="64" t="s">
        <v>22765</v>
      </c>
      <c r="D5680" s="66"/>
      <c r="E5680" s="63" t="s">
        <v>22766</v>
      </c>
      <c r="F5680" s="63" t="s">
        <v>407</v>
      </c>
      <c r="G5680" s="80" t="s">
        <v>22767</v>
      </c>
      <c r="H5680" s="80" t="s">
        <v>22768</v>
      </c>
      <c r="I5680" s="66"/>
      <c r="J5680" s="63" t="s">
        <v>136</v>
      </c>
      <c r="K5680" s="65">
        <v>44191.0</v>
      </c>
      <c r="L5680" s="63" t="s">
        <v>2743</v>
      </c>
      <c r="M5680" s="63" t="s">
        <v>530</v>
      </c>
      <c r="N5680" s="116"/>
      <c r="O5680" s="51"/>
    </row>
    <row r="5681">
      <c r="A5681" s="56">
        <v>5678.0</v>
      </c>
      <c r="B5681" s="241"/>
      <c r="C5681" s="64" t="s">
        <v>22769</v>
      </c>
      <c r="D5681" s="66"/>
      <c r="E5681" s="63" t="s">
        <v>22770</v>
      </c>
      <c r="F5681" s="70">
        <v>40360.0</v>
      </c>
      <c r="G5681" s="80" t="s">
        <v>22771</v>
      </c>
      <c r="H5681" s="82"/>
      <c r="I5681" s="63" t="s">
        <v>22772</v>
      </c>
      <c r="J5681" s="63" t="s">
        <v>136</v>
      </c>
      <c r="K5681" s="65">
        <v>44191.0</v>
      </c>
      <c r="L5681" s="63" t="s">
        <v>2743</v>
      </c>
      <c r="M5681" s="63" t="s">
        <v>1509</v>
      </c>
      <c r="N5681" s="116"/>
      <c r="O5681" s="51"/>
    </row>
    <row r="5682">
      <c r="A5682" s="56">
        <v>5679.0</v>
      </c>
      <c r="B5682" s="241"/>
      <c r="C5682" s="64" t="s">
        <v>22773</v>
      </c>
      <c r="D5682" s="66"/>
      <c r="E5682" s="63" t="s">
        <v>22774</v>
      </c>
      <c r="F5682" s="65">
        <v>43088.0</v>
      </c>
      <c r="G5682" s="80" t="s">
        <v>22775</v>
      </c>
      <c r="H5682" s="80" t="s">
        <v>22776</v>
      </c>
      <c r="I5682" s="66"/>
      <c r="J5682" s="63" t="s">
        <v>136</v>
      </c>
      <c r="K5682" s="65">
        <v>43465.0</v>
      </c>
      <c r="L5682" s="63" t="s">
        <v>2743</v>
      </c>
      <c r="M5682" s="63" t="s">
        <v>4001</v>
      </c>
      <c r="N5682" s="116"/>
      <c r="O5682" s="51"/>
    </row>
    <row r="5683">
      <c r="A5683" s="56">
        <v>5680.0</v>
      </c>
      <c r="B5683" s="241"/>
      <c r="C5683" s="64" t="s">
        <v>22777</v>
      </c>
      <c r="D5683" s="66"/>
      <c r="E5683" s="63" t="s">
        <v>22778</v>
      </c>
      <c r="F5683" s="65">
        <v>43088.0</v>
      </c>
      <c r="G5683" s="80" t="s">
        <v>22775</v>
      </c>
      <c r="H5683" s="82"/>
      <c r="I5683" s="66"/>
      <c r="J5683" s="63" t="s">
        <v>136</v>
      </c>
      <c r="K5683" s="65">
        <v>43465.0</v>
      </c>
      <c r="L5683" s="63" t="s">
        <v>2743</v>
      </c>
      <c r="M5683" s="63" t="s">
        <v>4001</v>
      </c>
      <c r="N5683" s="116"/>
      <c r="O5683" s="51"/>
    </row>
    <row r="5684">
      <c r="A5684" s="56">
        <v>5681.0</v>
      </c>
      <c r="B5684" s="241"/>
      <c r="C5684" s="64" t="s">
        <v>22779</v>
      </c>
      <c r="D5684" s="66"/>
      <c r="E5684" s="63" t="s">
        <v>22780</v>
      </c>
      <c r="F5684" s="70">
        <v>41456.0</v>
      </c>
      <c r="G5684" s="80" t="s">
        <v>22781</v>
      </c>
      <c r="H5684" s="82"/>
      <c r="I5684" s="63" t="s">
        <v>22782</v>
      </c>
      <c r="J5684" s="63" t="s">
        <v>136</v>
      </c>
      <c r="K5684" s="65">
        <v>43465.0</v>
      </c>
      <c r="L5684" s="63" t="s">
        <v>2743</v>
      </c>
      <c r="M5684" s="63" t="s">
        <v>2152</v>
      </c>
      <c r="N5684" s="116"/>
      <c r="O5684" s="51"/>
    </row>
    <row r="5685">
      <c r="A5685" s="56">
        <v>5682.0</v>
      </c>
      <c r="B5685" s="241"/>
      <c r="C5685" s="64" t="s">
        <v>22783</v>
      </c>
      <c r="D5685" s="66"/>
      <c r="E5685" s="63" t="s">
        <v>22784</v>
      </c>
      <c r="F5685" s="70">
        <v>40035.0</v>
      </c>
      <c r="G5685" s="80" t="s">
        <v>22785</v>
      </c>
      <c r="H5685" s="82"/>
      <c r="I5685" s="66"/>
      <c r="J5685" s="63" t="s">
        <v>136</v>
      </c>
      <c r="K5685" s="65">
        <v>43465.0</v>
      </c>
      <c r="L5685" s="63" t="s">
        <v>2743</v>
      </c>
      <c r="M5685" s="63" t="s">
        <v>530</v>
      </c>
      <c r="N5685" s="116"/>
      <c r="O5685" s="51"/>
    </row>
    <row r="5686">
      <c r="A5686" s="75">
        <v>5683.0</v>
      </c>
      <c r="B5686" s="240"/>
      <c r="C5686" s="69" t="s">
        <v>22786</v>
      </c>
      <c r="D5686" s="71"/>
      <c r="E5686" s="68" t="s">
        <v>22787</v>
      </c>
      <c r="F5686" s="68" t="s">
        <v>22788</v>
      </c>
      <c r="G5686" s="68" t="s">
        <v>22789</v>
      </c>
      <c r="H5686" s="68" t="s">
        <v>22790</v>
      </c>
      <c r="I5686" s="68" t="s">
        <v>22791</v>
      </c>
      <c r="J5686" s="100" t="s">
        <v>4430</v>
      </c>
      <c r="K5686" s="245">
        <v>43465.0</v>
      </c>
      <c r="L5686" s="68" t="s">
        <v>2743</v>
      </c>
      <c r="M5686" s="68" t="s">
        <v>282</v>
      </c>
      <c r="N5686" s="116"/>
      <c r="O5686" s="130"/>
    </row>
    <row r="5687">
      <c r="A5687" s="56">
        <v>5684.0</v>
      </c>
      <c r="B5687" s="240"/>
      <c r="C5687" s="69" t="s">
        <v>22792</v>
      </c>
      <c r="D5687" s="71"/>
      <c r="E5687" s="68" t="s">
        <v>22793</v>
      </c>
      <c r="F5687" s="76">
        <v>43441.0</v>
      </c>
      <c r="G5687" s="68" t="s">
        <v>22794</v>
      </c>
      <c r="H5687" s="71"/>
      <c r="I5687" s="71"/>
      <c r="J5687" s="68" t="s">
        <v>22795</v>
      </c>
      <c r="K5687" s="83">
        <v>43465.0</v>
      </c>
      <c r="L5687" s="68" t="s">
        <v>2743</v>
      </c>
      <c r="M5687" s="68" t="s">
        <v>403</v>
      </c>
      <c r="N5687" s="116"/>
      <c r="O5687" s="51"/>
    </row>
    <row r="5688">
      <c r="A5688" s="56">
        <v>5685.0</v>
      </c>
      <c r="B5688" s="241"/>
      <c r="C5688" s="64" t="s">
        <v>22796</v>
      </c>
      <c r="D5688" s="66"/>
      <c r="E5688" s="63" t="s">
        <v>22797</v>
      </c>
      <c r="F5688" s="65">
        <v>41970.0</v>
      </c>
      <c r="G5688" s="80" t="s">
        <v>22798</v>
      </c>
      <c r="H5688" s="80" t="s">
        <v>22799</v>
      </c>
      <c r="I5688" s="66"/>
      <c r="J5688" s="63" t="s">
        <v>136</v>
      </c>
      <c r="K5688" s="65">
        <v>43465.0</v>
      </c>
      <c r="L5688" s="63" t="s">
        <v>2743</v>
      </c>
      <c r="M5688" s="63" t="s">
        <v>195</v>
      </c>
      <c r="N5688" s="87" t="s">
        <v>22800</v>
      </c>
      <c r="O5688" s="51"/>
    </row>
    <row r="5689">
      <c r="A5689" s="56">
        <v>5686.0</v>
      </c>
      <c r="B5689" s="240"/>
      <c r="C5689" s="69" t="s">
        <v>22801</v>
      </c>
      <c r="D5689" s="71"/>
      <c r="E5689" s="68" t="s">
        <v>22802</v>
      </c>
      <c r="F5689" s="76">
        <v>42283.0</v>
      </c>
      <c r="G5689" s="68" t="s">
        <v>22803</v>
      </c>
      <c r="H5689" s="71"/>
      <c r="I5689" s="71"/>
      <c r="J5689" s="87" t="s">
        <v>22804</v>
      </c>
      <c r="K5689" s="83">
        <v>43465.0</v>
      </c>
      <c r="L5689" s="68" t="s">
        <v>20958</v>
      </c>
      <c r="M5689" s="68" t="s">
        <v>27</v>
      </c>
      <c r="N5689" s="87" t="s">
        <v>22805</v>
      </c>
      <c r="O5689" s="51"/>
    </row>
    <row r="5690">
      <c r="A5690" s="56">
        <v>5687.0</v>
      </c>
      <c r="B5690" s="241"/>
      <c r="C5690" s="64" t="s">
        <v>22806</v>
      </c>
      <c r="D5690" s="66"/>
      <c r="E5690" s="63" t="s">
        <v>22807</v>
      </c>
      <c r="F5690" s="70">
        <v>40405.0</v>
      </c>
      <c r="G5690" s="80" t="s">
        <v>22808</v>
      </c>
      <c r="H5690" s="82"/>
      <c r="I5690" s="66"/>
      <c r="J5690" s="63" t="s">
        <v>136</v>
      </c>
      <c r="K5690" s="65">
        <v>43465.0</v>
      </c>
      <c r="L5690" s="63" t="s">
        <v>20958</v>
      </c>
      <c r="M5690" s="63" t="s">
        <v>27</v>
      </c>
      <c r="N5690" s="116"/>
      <c r="O5690" s="51"/>
    </row>
    <row r="5691">
      <c r="A5691" s="56">
        <v>5688.0</v>
      </c>
      <c r="B5691" s="241"/>
      <c r="C5691" s="64" t="s">
        <v>22809</v>
      </c>
      <c r="D5691" s="66"/>
      <c r="E5691" s="63" t="s">
        <v>22810</v>
      </c>
      <c r="F5691" s="70">
        <v>40667.0</v>
      </c>
      <c r="G5691" s="80" t="s">
        <v>22811</v>
      </c>
      <c r="H5691" s="82"/>
      <c r="I5691" s="66"/>
      <c r="J5691" s="63" t="s">
        <v>136</v>
      </c>
      <c r="K5691" s="65">
        <v>43465.0</v>
      </c>
      <c r="L5691" s="63" t="s">
        <v>20958</v>
      </c>
      <c r="M5691" s="63" t="s">
        <v>27</v>
      </c>
      <c r="N5691" s="116"/>
      <c r="O5691" s="51"/>
    </row>
    <row r="5692">
      <c r="A5692" s="56">
        <v>5689.0</v>
      </c>
      <c r="B5692" s="241"/>
      <c r="C5692" s="64" t="s">
        <v>22812</v>
      </c>
      <c r="D5692" s="66"/>
      <c r="E5692" s="63" t="s">
        <v>22813</v>
      </c>
      <c r="F5692" s="70">
        <v>42040.0</v>
      </c>
      <c r="G5692" s="80" t="s">
        <v>22814</v>
      </c>
      <c r="H5692" s="82"/>
      <c r="I5692" s="66"/>
      <c r="J5692" s="63" t="s">
        <v>136</v>
      </c>
      <c r="K5692" s="65">
        <v>43465.0</v>
      </c>
      <c r="L5692" s="63" t="s">
        <v>20958</v>
      </c>
      <c r="M5692" s="63" t="s">
        <v>27</v>
      </c>
      <c r="N5692" s="116"/>
      <c r="O5692" s="51"/>
    </row>
    <row r="5693">
      <c r="A5693" s="56">
        <v>5690.0</v>
      </c>
      <c r="B5693" s="241"/>
      <c r="C5693" s="64" t="s">
        <v>22815</v>
      </c>
      <c r="D5693" s="66"/>
      <c r="E5693" s="63" t="s">
        <v>22816</v>
      </c>
      <c r="F5693" s="70">
        <v>42135.0</v>
      </c>
      <c r="G5693" s="80" t="s">
        <v>22817</v>
      </c>
      <c r="H5693" s="80" t="s">
        <v>22818</v>
      </c>
      <c r="I5693" s="66"/>
      <c r="J5693" s="63" t="s">
        <v>136</v>
      </c>
      <c r="K5693" s="65">
        <v>43465.0</v>
      </c>
      <c r="L5693" s="63" t="s">
        <v>20958</v>
      </c>
      <c r="M5693" s="63" t="s">
        <v>27</v>
      </c>
      <c r="N5693" s="116"/>
      <c r="O5693" s="51"/>
    </row>
    <row r="5694">
      <c r="A5694" s="56">
        <v>5691.0</v>
      </c>
      <c r="B5694" s="241"/>
      <c r="C5694" s="64" t="s">
        <v>22819</v>
      </c>
      <c r="D5694" s="66"/>
      <c r="E5694" s="63" t="s">
        <v>22820</v>
      </c>
      <c r="F5694" s="70">
        <v>42040.0</v>
      </c>
      <c r="G5694" s="80" t="s">
        <v>22814</v>
      </c>
      <c r="H5694" s="82"/>
      <c r="I5694" s="66"/>
      <c r="J5694" s="63" t="s">
        <v>136</v>
      </c>
      <c r="K5694" s="65">
        <v>43465.0</v>
      </c>
      <c r="L5694" s="63" t="s">
        <v>20958</v>
      </c>
      <c r="M5694" s="63" t="s">
        <v>27</v>
      </c>
      <c r="N5694" s="116"/>
      <c r="O5694" s="51"/>
    </row>
    <row r="5695">
      <c r="A5695" s="56">
        <v>5692.0</v>
      </c>
      <c r="B5695" s="240"/>
      <c r="C5695" s="69" t="s">
        <v>22821</v>
      </c>
      <c r="D5695" s="71"/>
      <c r="E5695" s="68" t="s">
        <v>22822</v>
      </c>
      <c r="F5695" s="76">
        <v>42253.0</v>
      </c>
      <c r="G5695" s="68" t="s">
        <v>22823</v>
      </c>
      <c r="H5695" s="71"/>
      <c r="I5695" s="71"/>
      <c r="J5695" s="68" t="s">
        <v>22824</v>
      </c>
      <c r="K5695" s="83">
        <v>43465.0</v>
      </c>
      <c r="L5695" s="68" t="s">
        <v>20958</v>
      </c>
      <c r="M5695" s="68" t="s">
        <v>27</v>
      </c>
      <c r="N5695" s="116"/>
      <c r="O5695" s="51"/>
    </row>
    <row r="5696">
      <c r="A5696" s="56">
        <v>5693.0</v>
      </c>
      <c r="B5696" s="240"/>
      <c r="C5696" s="69" t="s">
        <v>22825</v>
      </c>
      <c r="D5696" s="71"/>
      <c r="E5696" s="68" t="s">
        <v>22826</v>
      </c>
      <c r="F5696" s="76">
        <v>43371.0</v>
      </c>
      <c r="G5696" s="68" t="s">
        <v>22827</v>
      </c>
      <c r="H5696" s="71"/>
      <c r="I5696" s="71"/>
      <c r="J5696" s="68" t="s">
        <v>22828</v>
      </c>
      <c r="K5696" s="83">
        <v>43465.0</v>
      </c>
      <c r="L5696" s="68" t="s">
        <v>20958</v>
      </c>
      <c r="M5696" s="68" t="s">
        <v>27</v>
      </c>
      <c r="N5696" s="116"/>
      <c r="O5696" s="51"/>
    </row>
    <row r="5697">
      <c r="A5697" s="56">
        <v>5694.0</v>
      </c>
      <c r="B5697" s="241"/>
      <c r="C5697" s="64" t="s">
        <v>22829</v>
      </c>
      <c r="D5697" s="66"/>
      <c r="E5697" s="63" t="s">
        <v>22830</v>
      </c>
      <c r="F5697" s="70">
        <v>42135.0</v>
      </c>
      <c r="G5697" s="80" t="s">
        <v>22831</v>
      </c>
      <c r="H5697" s="82"/>
      <c r="I5697" s="66"/>
      <c r="J5697" s="63" t="s">
        <v>136</v>
      </c>
      <c r="K5697" s="65">
        <v>43465.0</v>
      </c>
      <c r="L5697" s="63" t="s">
        <v>20958</v>
      </c>
      <c r="M5697" s="63" t="s">
        <v>27</v>
      </c>
      <c r="N5697" s="116"/>
      <c r="O5697" s="51"/>
    </row>
    <row r="5698">
      <c r="A5698" s="56">
        <v>5695.0</v>
      </c>
      <c r="B5698" s="241"/>
      <c r="C5698" s="64" t="s">
        <v>22832</v>
      </c>
      <c r="D5698" s="66"/>
      <c r="E5698" s="63" t="s">
        <v>22833</v>
      </c>
      <c r="F5698" s="65">
        <v>43019.0</v>
      </c>
      <c r="G5698" s="80" t="s">
        <v>22827</v>
      </c>
      <c r="H5698" s="82"/>
      <c r="I5698" s="66"/>
      <c r="J5698" s="63" t="s">
        <v>136</v>
      </c>
      <c r="K5698" s="65">
        <v>43465.0</v>
      </c>
      <c r="L5698" s="63" t="s">
        <v>20958</v>
      </c>
      <c r="M5698" s="63" t="s">
        <v>27</v>
      </c>
      <c r="N5698" s="116"/>
      <c r="O5698" s="51"/>
    </row>
    <row r="5699">
      <c r="A5699" s="56">
        <v>5696.0</v>
      </c>
      <c r="B5699" s="240"/>
      <c r="C5699" s="69" t="s">
        <v>22834</v>
      </c>
      <c r="D5699" s="71"/>
      <c r="E5699" s="68" t="s">
        <v>22835</v>
      </c>
      <c r="F5699" s="76">
        <v>43411.0</v>
      </c>
      <c r="G5699" s="68" t="s">
        <v>22836</v>
      </c>
      <c r="H5699" s="71"/>
      <c r="I5699" s="71"/>
      <c r="J5699" s="68" t="s">
        <v>22837</v>
      </c>
      <c r="K5699" s="76">
        <v>43473.0</v>
      </c>
      <c r="L5699" s="68" t="s">
        <v>16185</v>
      </c>
      <c r="M5699" s="68" t="s">
        <v>125</v>
      </c>
      <c r="N5699" s="116"/>
      <c r="O5699" s="51"/>
    </row>
    <row r="5700">
      <c r="A5700" s="56">
        <v>5697.0</v>
      </c>
      <c r="B5700" s="240"/>
      <c r="C5700" s="69" t="s">
        <v>22838</v>
      </c>
      <c r="D5700" s="71"/>
      <c r="E5700" s="68" t="s">
        <v>22839</v>
      </c>
      <c r="F5700" s="83">
        <v>43402.0</v>
      </c>
      <c r="G5700" s="68" t="s">
        <v>22840</v>
      </c>
      <c r="H5700" s="71"/>
      <c r="I5700" s="71"/>
      <c r="J5700" s="68" t="s">
        <v>22841</v>
      </c>
      <c r="K5700" s="76">
        <v>43473.0</v>
      </c>
      <c r="L5700" s="68" t="s">
        <v>2743</v>
      </c>
      <c r="M5700" s="68" t="s">
        <v>149</v>
      </c>
      <c r="N5700" s="116"/>
      <c r="O5700" s="51"/>
    </row>
    <row r="5701">
      <c r="A5701" s="56">
        <v>5698.0</v>
      </c>
      <c r="B5701" s="241"/>
      <c r="C5701" s="64" t="s">
        <v>22842</v>
      </c>
      <c r="D5701" s="66"/>
      <c r="E5701" s="63" t="s">
        <v>22843</v>
      </c>
      <c r="F5701" s="70">
        <v>39987.0</v>
      </c>
      <c r="G5701" s="80" t="s">
        <v>22844</v>
      </c>
      <c r="H5701" s="80" t="s">
        <v>22845</v>
      </c>
      <c r="I5701" s="66"/>
      <c r="J5701" s="63" t="s">
        <v>136</v>
      </c>
      <c r="K5701" s="70">
        <v>43473.0</v>
      </c>
      <c r="L5701" s="63" t="s">
        <v>2743</v>
      </c>
      <c r="M5701" s="63" t="s">
        <v>530</v>
      </c>
      <c r="N5701" s="116"/>
      <c r="O5701" s="51"/>
    </row>
    <row r="5702">
      <c r="A5702" s="56">
        <v>5699.0</v>
      </c>
      <c r="B5702" s="246"/>
      <c r="C5702" s="58" t="s">
        <v>22846</v>
      </c>
      <c r="D5702" s="60"/>
      <c r="E5702" s="57" t="s">
        <v>22847</v>
      </c>
      <c r="F5702" s="78">
        <v>43461.0</v>
      </c>
      <c r="G5702" s="57" t="s">
        <v>22848</v>
      </c>
      <c r="H5702" s="60"/>
      <c r="I5702" s="60"/>
      <c r="J5702" s="57" t="s">
        <v>22849</v>
      </c>
      <c r="K5702" s="59">
        <v>43473.0</v>
      </c>
      <c r="L5702" s="57" t="s">
        <v>2743</v>
      </c>
      <c r="M5702" s="57" t="s">
        <v>22850</v>
      </c>
      <c r="N5702" s="90"/>
      <c r="O5702" s="51"/>
    </row>
    <row r="5703">
      <c r="A5703" s="56">
        <v>5700.0</v>
      </c>
      <c r="B5703" s="241"/>
      <c r="C5703" s="64" t="s">
        <v>22851</v>
      </c>
      <c r="D5703" s="66"/>
      <c r="E5703" s="63" t="s">
        <v>22852</v>
      </c>
      <c r="F5703" s="65">
        <v>42660.0</v>
      </c>
      <c r="G5703" s="80" t="s">
        <v>22853</v>
      </c>
      <c r="H5703" s="82"/>
      <c r="I5703" s="66"/>
      <c r="J5703" s="63" t="s">
        <v>136</v>
      </c>
      <c r="K5703" s="70">
        <v>43473.0</v>
      </c>
      <c r="L5703" s="63" t="s">
        <v>2743</v>
      </c>
      <c r="M5703" s="63" t="s">
        <v>125</v>
      </c>
      <c r="N5703" s="116"/>
      <c r="O5703" s="51"/>
    </row>
    <row r="5704">
      <c r="A5704" s="56">
        <v>5701.0</v>
      </c>
      <c r="B5704" s="241"/>
      <c r="C5704" s="64" t="s">
        <v>22854</v>
      </c>
      <c r="D5704" s="66"/>
      <c r="E5704" s="63" t="s">
        <v>22855</v>
      </c>
      <c r="F5704" s="70">
        <v>40045.0</v>
      </c>
      <c r="G5704" s="80" t="s">
        <v>22856</v>
      </c>
      <c r="H5704" s="80" t="s">
        <v>22857</v>
      </c>
      <c r="I5704" s="66"/>
      <c r="J5704" s="63" t="s">
        <v>136</v>
      </c>
      <c r="K5704" s="70">
        <v>43473.0</v>
      </c>
      <c r="L5704" s="63" t="s">
        <v>2743</v>
      </c>
      <c r="M5704" s="63" t="s">
        <v>530</v>
      </c>
      <c r="N5704" s="116"/>
      <c r="O5704" s="51"/>
    </row>
    <row r="5705">
      <c r="A5705" s="56">
        <v>5702.0</v>
      </c>
      <c r="B5705" s="240"/>
      <c r="C5705" s="69" t="s">
        <v>22858</v>
      </c>
      <c r="D5705" s="71"/>
      <c r="E5705" s="68" t="s">
        <v>22859</v>
      </c>
      <c r="F5705" s="76">
        <v>43113.0</v>
      </c>
      <c r="G5705" s="68" t="s">
        <v>22860</v>
      </c>
      <c r="H5705" s="68" t="s">
        <v>22861</v>
      </c>
      <c r="I5705" s="71"/>
      <c r="J5705" s="87" t="s">
        <v>22862</v>
      </c>
      <c r="K5705" s="76">
        <v>43473.0</v>
      </c>
      <c r="L5705" s="68" t="s">
        <v>16185</v>
      </c>
      <c r="M5705" s="68" t="s">
        <v>14456</v>
      </c>
      <c r="N5705" s="116"/>
      <c r="O5705" s="51"/>
    </row>
    <row r="5706">
      <c r="A5706" s="56">
        <v>5703.0</v>
      </c>
      <c r="B5706" s="241"/>
      <c r="C5706" s="64" t="s">
        <v>22863</v>
      </c>
      <c r="D5706" s="66"/>
      <c r="E5706" s="63" t="s">
        <v>22864</v>
      </c>
      <c r="F5706" s="70">
        <v>41844.0</v>
      </c>
      <c r="G5706" s="80" t="s">
        <v>22865</v>
      </c>
      <c r="H5706" s="80" t="s">
        <v>439</v>
      </c>
      <c r="I5706" s="63" t="s">
        <v>22866</v>
      </c>
      <c r="J5706" s="63" t="s">
        <v>136</v>
      </c>
      <c r="K5706" s="70">
        <v>43473.0</v>
      </c>
      <c r="L5706" s="63" t="s">
        <v>16185</v>
      </c>
      <c r="M5706" s="63" t="s">
        <v>872</v>
      </c>
      <c r="N5706" s="116"/>
      <c r="O5706" s="51"/>
    </row>
    <row r="5707">
      <c r="A5707" s="56">
        <v>5704.0</v>
      </c>
      <c r="B5707" s="240"/>
      <c r="C5707" s="69" t="s">
        <v>22867</v>
      </c>
      <c r="D5707" s="71"/>
      <c r="E5707" s="68" t="s">
        <v>22868</v>
      </c>
      <c r="F5707" s="76">
        <v>43139.0</v>
      </c>
      <c r="G5707" s="68" t="s">
        <v>22869</v>
      </c>
      <c r="H5707" s="71"/>
      <c r="I5707" s="71"/>
      <c r="J5707" s="68" t="s">
        <v>22870</v>
      </c>
      <c r="K5707" s="76">
        <v>43473.0</v>
      </c>
      <c r="L5707" s="68" t="s">
        <v>2743</v>
      </c>
      <c r="M5707" s="68" t="s">
        <v>14456</v>
      </c>
      <c r="N5707" s="116"/>
      <c r="O5707" s="51"/>
    </row>
    <row r="5708">
      <c r="A5708" s="75">
        <v>5705.0</v>
      </c>
      <c r="B5708" s="240"/>
      <c r="C5708" s="69" t="s">
        <v>22871</v>
      </c>
      <c r="D5708" s="71"/>
      <c r="E5708" s="68" t="s">
        <v>22872</v>
      </c>
      <c r="F5708" s="76">
        <v>43073.0</v>
      </c>
      <c r="G5708" s="68" t="s">
        <v>22873</v>
      </c>
      <c r="H5708" s="68" t="s">
        <v>439</v>
      </c>
      <c r="I5708" s="68" t="s">
        <v>22874</v>
      </c>
      <c r="J5708" s="68" t="s">
        <v>22875</v>
      </c>
      <c r="K5708" s="76">
        <v>43474.0</v>
      </c>
      <c r="L5708" s="68" t="s">
        <v>2743</v>
      </c>
      <c r="M5708" s="68" t="s">
        <v>2989</v>
      </c>
      <c r="N5708" s="116"/>
      <c r="O5708" s="51"/>
    </row>
    <row r="5709">
      <c r="A5709" s="56">
        <v>5706.0</v>
      </c>
      <c r="B5709" s="240"/>
      <c r="C5709" s="69" t="s">
        <v>22876</v>
      </c>
      <c r="D5709" s="71"/>
      <c r="E5709" s="68" t="s">
        <v>22877</v>
      </c>
      <c r="F5709" s="76">
        <v>43225.0</v>
      </c>
      <c r="G5709" s="68" t="s">
        <v>22878</v>
      </c>
      <c r="H5709" s="71"/>
      <c r="I5709" s="71"/>
      <c r="J5709" s="68" t="s">
        <v>22879</v>
      </c>
      <c r="K5709" s="76">
        <v>43474.0</v>
      </c>
      <c r="L5709" s="68" t="s">
        <v>2743</v>
      </c>
      <c r="M5709" s="68" t="s">
        <v>166</v>
      </c>
      <c r="N5709" s="116"/>
      <c r="O5709" s="51"/>
    </row>
    <row r="5710">
      <c r="A5710" s="56">
        <v>5707.0</v>
      </c>
      <c r="B5710" s="240"/>
      <c r="C5710" s="69" t="s">
        <v>22880</v>
      </c>
      <c r="D5710" s="71"/>
      <c r="E5710" s="68" t="s">
        <v>22881</v>
      </c>
      <c r="F5710" s="76">
        <v>43217.0</v>
      </c>
      <c r="G5710" s="68" t="s">
        <v>22882</v>
      </c>
      <c r="H5710" s="71"/>
      <c r="I5710" s="71"/>
      <c r="J5710" s="68" t="s">
        <v>22883</v>
      </c>
      <c r="K5710" s="76">
        <v>43475.0</v>
      </c>
      <c r="L5710" s="68" t="s">
        <v>2743</v>
      </c>
      <c r="M5710" s="68" t="s">
        <v>2152</v>
      </c>
      <c r="N5710" s="116"/>
      <c r="O5710" s="51"/>
    </row>
    <row r="5711">
      <c r="A5711" s="56">
        <v>5708.0</v>
      </c>
      <c r="B5711" s="241"/>
      <c r="C5711" s="64" t="s">
        <v>22884</v>
      </c>
      <c r="D5711" s="66"/>
      <c r="E5711" s="63" t="s">
        <v>22885</v>
      </c>
      <c r="F5711" s="70">
        <v>40577.0</v>
      </c>
      <c r="G5711" s="80" t="s">
        <v>22886</v>
      </c>
      <c r="H5711" s="82"/>
      <c r="I5711" s="66"/>
      <c r="J5711" s="63" t="s">
        <v>136</v>
      </c>
      <c r="K5711" s="70">
        <v>43475.0</v>
      </c>
      <c r="L5711" s="63" t="s">
        <v>2743</v>
      </c>
      <c r="M5711" s="63" t="s">
        <v>542</v>
      </c>
      <c r="N5711" s="116"/>
      <c r="O5711" s="51"/>
    </row>
    <row r="5712">
      <c r="A5712" s="56">
        <v>5709.0</v>
      </c>
      <c r="B5712" s="240"/>
      <c r="C5712" s="69" t="s">
        <v>22887</v>
      </c>
      <c r="D5712" s="71"/>
      <c r="E5712" s="68" t="s">
        <v>22888</v>
      </c>
      <c r="F5712" s="83">
        <v>43448.0</v>
      </c>
      <c r="G5712" s="68" t="s">
        <v>22889</v>
      </c>
      <c r="H5712" s="71"/>
      <c r="I5712" s="71"/>
      <c r="J5712" s="87" t="s">
        <v>22890</v>
      </c>
      <c r="K5712" s="76">
        <v>43477.0</v>
      </c>
      <c r="L5712" s="68" t="s">
        <v>2743</v>
      </c>
      <c r="M5712" s="68" t="s">
        <v>15586</v>
      </c>
      <c r="N5712" s="116"/>
      <c r="O5712" s="51"/>
    </row>
    <row r="5713">
      <c r="A5713" s="56">
        <v>5710.0</v>
      </c>
      <c r="B5713" s="241"/>
      <c r="C5713" s="64" t="s">
        <v>22891</v>
      </c>
      <c r="D5713" s="66"/>
      <c r="E5713" s="63" t="s">
        <v>22892</v>
      </c>
      <c r="F5713" s="70">
        <v>43129.0</v>
      </c>
      <c r="G5713" s="80" t="s">
        <v>22893</v>
      </c>
      <c r="H5713" s="80" t="s">
        <v>22894</v>
      </c>
      <c r="I5713" s="66"/>
      <c r="J5713" s="63" t="s">
        <v>136</v>
      </c>
      <c r="K5713" s="70">
        <v>43477.0</v>
      </c>
      <c r="L5713" s="63" t="s">
        <v>2743</v>
      </c>
      <c r="M5713" s="63" t="s">
        <v>125</v>
      </c>
      <c r="N5713" s="116"/>
      <c r="O5713" s="51"/>
    </row>
    <row r="5714">
      <c r="A5714" s="56">
        <v>5711.0</v>
      </c>
      <c r="B5714" s="241"/>
      <c r="C5714" s="64" t="s">
        <v>22895</v>
      </c>
      <c r="D5714" s="66"/>
      <c r="E5714" s="63" t="s">
        <v>22896</v>
      </c>
      <c r="F5714" s="70">
        <v>40725.0</v>
      </c>
      <c r="G5714" s="80" t="s">
        <v>22897</v>
      </c>
      <c r="H5714" s="80" t="s">
        <v>22898</v>
      </c>
      <c r="I5714" s="63" t="s">
        <v>22899</v>
      </c>
      <c r="J5714" s="63" t="s">
        <v>136</v>
      </c>
      <c r="K5714" s="70">
        <v>43477.0</v>
      </c>
      <c r="L5714" s="63" t="s">
        <v>2743</v>
      </c>
      <c r="M5714" s="63" t="s">
        <v>530</v>
      </c>
      <c r="N5714" s="116"/>
      <c r="O5714" s="51"/>
    </row>
    <row r="5715">
      <c r="A5715" s="56">
        <v>5712.0</v>
      </c>
      <c r="B5715" s="241"/>
      <c r="C5715" s="64" t="s">
        <v>22900</v>
      </c>
      <c r="D5715" s="66"/>
      <c r="E5715" s="63" t="s">
        <v>22901</v>
      </c>
      <c r="F5715" s="70">
        <v>40725.0</v>
      </c>
      <c r="G5715" s="80" t="s">
        <v>22902</v>
      </c>
      <c r="H5715" s="80" t="s">
        <v>22903</v>
      </c>
      <c r="I5715" s="63" t="s">
        <v>22899</v>
      </c>
      <c r="J5715" s="63" t="s">
        <v>136</v>
      </c>
      <c r="K5715" s="70">
        <v>43477.0</v>
      </c>
      <c r="L5715" s="63" t="s">
        <v>2743</v>
      </c>
      <c r="M5715" s="63" t="s">
        <v>530</v>
      </c>
      <c r="N5715" s="116"/>
      <c r="O5715" s="51"/>
    </row>
    <row r="5716">
      <c r="A5716" s="56">
        <v>5713.0</v>
      </c>
      <c r="B5716" s="240"/>
      <c r="C5716" s="69" t="s">
        <v>22904</v>
      </c>
      <c r="D5716" s="71"/>
      <c r="E5716" s="68" t="s">
        <v>22905</v>
      </c>
      <c r="F5716" s="76">
        <v>39995.0</v>
      </c>
      <c r="G5716" s="68" t="s">
        <v>22906</v>
      </c>
      <c r="H5716" s="68" t="s">
        <v>22907</v>
      </c>
      <c r="I5716" s="71"/>
      <c r="J5716" s="87" t="s">
        <v>22908</v>
      </c>
      <c r="K5716" s="76">
        <v>43477.0</v>
      </c>
      <c r="L5716" s="68" t="s">
        <v>2743</v>
      </c>
      <c r="M5716" s="68" t="s">
        <v>530</v>
      </c>
      <c r="N5716" s="116"/>
      <c r="O5716" s="51"/>
    </row>
    <row r="5717">
      <c r="A5717" s="56">
        <v>5714.0</v>
      </c>
      <c r="B5717" s="240"/>
      <c r="C5717" s="69" t="s">
        <v>22909</v>
      </c>
      <c r="D5717" s="71"/>
      <c r="E5717" s="68" t="s">
        <v>22910</v>
      </c>
      <c r="F5717" s="76">
        <v>42768.0</v>
      </c>
      <c r="G5717" s="68" t="s">
        <v>22911</v>
      </c>
      <c r="H5717" s="71"/>
      <c r="I5717" s="68" t="s">
        <v>22912</v>
      </c>
      <c r="J5717" s="68" t="s">
        <v>22913</v>
      </c>
      <c r="K5717" s="76">
        <v>43480.0</v>
      </c>
      <c r="L5717" s="68" t="s">
        <v>2743</v>
      </c>
      <c r="M5717" s="68" t="s">
        <v>5990</v>
      </c>
      <c r="N5717" s="116"/>
      <c r="O5717" s="51"/>
    </row>
    <row r="5718">
      <c r="A5718" s="56">
        <v>5715.0</v>
      </c>
      <c r="B5718" s="241"/>
      <c r="C5718" s="64" t="s">
        <v>22914</v>
      </c>
      <c r="D5718" s="66"/>
      <c r="E5718" s="63" t="s">
        <v>22915</v>
      </c>
      <c r="F5718" s="70">
        <v>41161.0</v>
      </c>
      <c r="G5718" s="80" t="s">
        <v>22916</v>
      </c>
      <c r="H5718" s="80" t="s">
        <v>22917</v>
      </c>
      <c r="I5718" s="63" t="s">
        <v>22918</v>
      </c>
      <c r="J5718" s="63" t="s">
        <v>136</v>
      </c>
      <c r="K5718" s="70">
        <v>43483.0</v>
      </c>
      <c r="L5718" s="63" t="s">
        <v>2743</v>
      </c>
      <c r="M5718" s="63" t="s">
        <v>2152</v>
      </c>
      <c r="N5718" s="116"/>
      <c r="O5718" s="51"/>
    </row>
    <row r="5719">
      <c r="A5719" s="56">
        <v>5716.0</v>
      </c>
      <c r="B5719" s="241"/>
      <c r="C5719" s="64" t="s">
        <v>22919</v>
      </c>
      <c r="D5719" s="66"/>
      <c r="E5719" s="63" t="s">
        <v>22920</v>
      </c>
      <c r="F5719" s="70">
        <v>41161.0</v>
      </c>
      <c r="G5719" s="80" t="s">
        <v>22916</v>
      </c>
      <c r="H5719" s="80" t="s">
        <v>22921</v>
      </c>
      <c r="I5719" s="63" t="s">
        <v>22918</v>
      </c>
      <c r="J5719" s="63" t="s">
        <v>136</v>
      </c>
      <c r="K5719" s="70">
        <v>43483.0</v>
      </c>
      <c r="L5719" s="63" t="s">
        <v>2743</v>
      </c>
      <c r="M5719" s="63" t="s">
        <v>2152</v>
      </c>
      <c r="N5719" s="116"/>
      <c r="O5719" s="51"/>
    </row>
    <row r="5720">
      <c r="A5720" s="56">
        <v>5717.0</v>
      </c>
      <c r="B5720" s="241"/>
      <c r="C5720" s="64" t="s">
        <v>22922</v>
      </c>
      <c r="D5720" s="66"/>
      <c r="E5720" s="63" t="s">
        <v>22923</v>
      </c>
      <c r="F5720" s="70">
        <v>41161.0</v>
      </c>
      <c r="G5720" s="80" t="s">
        <v>22916</v>
      </c>
      <c r="H5720" s="82"/>
      <c r="I5720" s="66"/>
      <c r="J5720" s="63" t="s">
        <v>136</v>
      </c>
      <c r="K5720" s="70">
        <v>43483.0</v>
      </c>
      <c r="L5720" s="63" t="s">
        <v>2743</v>
      </c>
      <c r="M5720" s="63" t="s">
        <v>2152</v>
      </c>
      <c r="N5720" s="116"/>
      <c r="O5720" s="51"/>
    </row>
    <row r="5721">
      <c r="A5721" s="56">
        <v>5718.0</v>
      </c>
      <c r="B5721" s="241"/>
      <c r="C5721" s="64" t="s">
        <v>22924</v>
      </c>
      <c r="D5721" s="66"/>
      <c r="E5721" s="63" t="s">
        <v>22925</v>
      </c>
      <c r="F5721" s="70">
        <v>39425.0</v>
      </c>
      <c r="G5721" s="80" t="s">
        <v>22926</v>
      </c>
      <c r="H5721" s="82"/>
      <c r="I5721" s="66"/>
      <c r="J5721" s="63" t="s">
        <v>136</v>
      </c>
      <c r="K5721" s="70">
        <v>43483.0</v>
      </c>
      <c r="L5721" s="63" t="s">
        <v>2743</v>
      </c>
      <c r="M5721" s="63" t="s">
        <v>149</v>
      </c>
      <c r="N5721" s="116"/>
      <c r="O5721" s="51"/>
    </row>
    <row r="5722">
      <c r="A5722" s="56">
        <v>5719.0</v>
      </c>
      <c r="B5722" s="241"/>
      <c r="C5722" s="64" t="s">
        <v>22927</v>
      </c>
      <c r="D5722" s="66"/>
      <c r="E5722" s="63" t="s">
        <v>22928</v>
      </c>
      <c r="F5722" s="70">
        <v>39425.0</v>
      </c>
      <c r="G5722" s="80" t="s">
        <v>22926</v>
      </c>
      <c r="H5722" s="82"/>
      <c r="I5722" s="66"/>
      <c r="J5722" s="63" t="s">
        <v>136</v>
      </c>
      <c r="K5722" s="70">
        <v>43483.0</v>
      </c>
      <c r="L5722" s="63" t="s">
        <v>2743</v>
      </c>
      <c r="M5722" s="63" t="s">
        <v>125</v>
      </c>
      <c r="N5722" s="116"/>
      <c r="O5722" s="51"/>
    </row>
    <row r="5723">
      <c r="A5723" s="56">
        <v>5720.0</v>
      </c>
      <c r="B5723" s="241"/>
      <c r="C5723" s="64" t="s">
        <v>22929</v>
      </c>
      <c r="D5723" s="66"/>
      <c r="E5723" s="63" t="s">
        <v>22930</v>
      </c>
      <c r="F5723" s="70">
        <v>39425.0</v>
      </c>
      <c r="G5723" s="80" t="s">
        <v>22926</v>
      </c>
      <c r="H5723" s="82"/>
      <c r="I5723" s="66"/>
      <c r="J5723" s="63" t="s">
        <v>136</v>
      </c>
      <c r="K5723" s="70">
        <v>43483.0</v>
      </c>
      <c r="L5723" s="63" t="s">
        <v>2743</v>
      </c>
      <c r="M5723" s="63" t="s">
        <v>125</v>
      </c>
      <c r="N5723" s="116"/>
      <c r="O5723" s="51"/>
    </row>
    <row r="5724">
      <c r="A5724" s="56">
        <v>5721.0</v>
      </c>
      <c r="B5724" s="240"/>
      <c r="C5724" s="69" t="s">
        <v>22931</v>
      </c>
      <c r="D5724" s="71"/>
      <c r="E5724" s="68" t="s">
        <v>22932</v>
      </c>
      <c r="F5724" s="76">
        <v>37438.0</v>
      </c>
      <c r="G5724" s="68" t="s">
        <v>22933</v>
      </c>
      <c r="H5724" s="71"/>
      <c r="I5724" s="71"/>
      <c r="J5724" s="87" t="s">
        <v>22934</v>
      </c>
      <c r="K5724" s="76">
        <v>43484.0</v>
      </c>
      <c r="L5724" s="68" t="s">
        <v>2743</v>
      </c>
      <c r="M5724" s="68" t="s">
        <v>18576</v>
      </c>
      <c r="N5724" s="116"/>
      <c r="O5724" s="51"/>
    </row>
    <row r="5725">
      <c r="A5725" s="56">
        <v>5722.0</v>
      </c>
      <c r="B5725" s="240"/>
      <c r="C5725" s="69" t="s">
        <v>22935</v>
      </c>
      <c r="D5725" s="71"/>
      <c r="E5725" s="68" t="s">
        <v>22936</v>
      </c>
      <c r="F5725" s="76">
        <v>42253.0</v>
      </c>
      <c r="G5725" s="68" t="s">
        <v>22937</v>
      </c>
      <c r="H5725" s="68" t="s">
        <v>22938</v>
      </c>
      <c r="I5725" s="68" t="s">
        <v>22939</v>
      </c>
      <c r="J5725" s="68" t="s">
        <v>22940</v>
      </c>
      <c r="K5725" s="76">
        <v>43484.0</v>
      </c>
      <c r="L5725" s="68" t="s">
        <v>20958</v>
      </c>
      <c r="M5725" s="68" t="s">
        <v>27</v>
      </c>
      <c r="N5725" s="116"/>
      <c r="O5725" s="51"/>
    </row>
    <row r="5726">
      <c r="A5726" s="56">
        <v>5723.0</v>
      </c>
      <c r="B5726" s="240"/>
      <c r="C5726" s="69" t="s">
        <v>22941</v>
      </c>
      <c r="D5726" s="71"/>
      <c r="E5726" s="68" t="s">
        <v>22942</v>
      </c>
      <c r="F5726" s="76">
        <v>43257.0</v>
      </c>
      <c r="G5726" s="68" t="s">
        <v>22943</v>
      </c>
      <c r="H5726" s="71"/>
      <c r="I5726" s="71"/>
      <c r="J5726" s="87" t="s">
        <v>22944</v>
      </c>
      <c r="K5726" s="76">
        <v>43484.0</v>
      </c>
      <c r="L5726" s="68" t="s">
        <v>19483</v>
      </c>
      <c r="M5726" s="68" t="s">
        <v>166</v>
      </c>
      <c r="N5726" s="116"/>
      <c r="O5726" s="51"/>
    </row>
    <row r="5727">
      <c r="A5727" s="56">
        <v>5724.0</v>
      </c>
      <c r="B5727" s="241"/>
      <c r="C5727" s="64" t="s">
        <v>22945</v>
      </c>
      <c r="D5727" s="66"/>
      <c r="E5727" s="63" t="s">
        <v>22946</v>
      </c>
      <c r="F5727" s="70">
        <v>43251.0</v>
      </c>
      <c r="G5727" s="80" t="s">
        <v>22947</v>
      </c>
      <c r="H5727" s="82"/>
      <c r="I5727" s="66"/>
      <c r="J5727" s="63" t="s">
        <v>136</v>
      </c>
      <c r="K5727" s="70">
        <v>43484.0</v>
      </c>
      <c r="L5727" s="63" t="s">
        <v>2743</v>
      </c>
      <c r="M5727" s="63" t="s">
        <v>195</v>
      </c>
      <c r="N5727" s="116"/>
      <c r="O5727" s="51"/>
    </row>
    <row r="5728">
      <c r="A5728" s="56">
        <v>5725.0</v>
      </c>
      <c r="B5728" s="241"/>
      <c r="C5728" s="64" t="s">
        <v>22948</v>
      </c>
      <c r="D5728" s="66"/>
      <c r="E5728" s="63" t="s">
        <v>22949</v>
      </c>
      <c r="F5728" s="70">
        <v>39868.0</v>
      </c>
      <c r="G5728" s="80" t="s">
        <v>22950</v>
      </c>
      <c r="H5728" s="80" t="s">
        <v>22951</v>
      </c>
      <c r="I5728" s="66"/>
      <c r="J5728" s="63" t="s">
        <v>136</v>
      </c>
      <c r="K5728" s="70">
        <v>43484.0</v>
      </c>
      <c r="L5728" s="63" t="s">
        <v>2743</v>
      </c>
      <c r="M5728" s="63" t="s">
        <v>125</v>
      </c>
      <c r="N5728" s="116"/>
      <c r="O5728" s="51"/>
    </row>
    <row r="5729">
      <c r="A5729" s="56">
        <v>5726.0</v>
      </c>
      <c r="B5729" s="240"/>
      <c r="C5729" s="69" t="s">
        <v>22952</v>
      </c>
      <c r="D5729" s="71"/>
      <c r="E5729" s="68" t="s">
        <v>22953</v>
      </c>
      <c r="F5729" s="76">
        <v>43202.0</v>
      </c>
      <c r="G5729" s="68" t="s">
        <v>22954</v>
      </c>
      <c r="H5729" s="71"/>
      <c r="I5729" s="71"/>
      <c r="J5729" s="68" t="s">
        <v>22955</v>
      </c>
      <c r="K5729" s="76">
        <v>43484.0</v>
      </c>
      <c r="L5729" s="68" t="s">
        <v>2743</v>
      </c>
      <c r="M5729" s="68" t="s">
        <v>1528</v>
      </c>
      <c r="N5729" s="116"/>
      <c r="O5729" s="51"/>
    </row>
    <row r="5730">
      <c r="A5730" s="56">
        <v>5727.0</v>
      </c>
      <c r="B5730" s="241"/>
      <c r="C5730" s="64" t="s">
        <v>22956</v>
      </c>
      <c r="D5730" s="66"/>
      <c r="E5730" s="63" t="s">
        <v>22957</v>
      </c>
      <c r="F5730" s="70">
        <v>39995.0</v>
      </c>
      <c r="G5730" s="80" t="s">
        <v>22958</v>
      </c>
      <c r="H5730" s="80" t="s">
        <v>439</v>
      </c>
      <c r="I5730" s="66"/>
      <c r="J5730" s="63" t="s">
        <v>136</v>
      </c>
      <c r="K5730" s="70">
        <v>43484.0</v>
      </c>
      <c r="L5730" s="63" t="s">
        <v>2743</v>
      </c>
      <c r="M5730" s="63" t="s">
        <v>530</v>
      </c>
      <c r="N5730" s="116"/>
      <c r="O5730" s="51"/>
    </row>
    <row r="5731">
      <c r="A5731" s="56">
        <v>5728.0</v>
      </c>
      <c r="B5731" s="241"/>
      <c r="C5731" s="64" t="s">
        <v>22959</v>
      </c>
      <c r="D5731" s="66"/>
      <c r="E5731" s="63" t="s">
        <v>22960</v>
      </c>
      <c r="F5731" s="70">
        <v>43101.0</v>
      </c>
      <c r="G5731" s="80" t="s">
        <v>22961</v>
      </c>
      <c r="H5731" s="82"/>
      <c r="I5731" s="63" t="s">
        <v>22962</v>
      </c>
      <c r="J5731" s="63" t="s">
        <v>136</v>
      </c>
      <c r="K5731" s="70">
        <v>43486.0</v>
      </c>
      <c r="L5731" s="63" t="s">
        <v>20958</v>
      </c>
      <c r="M5731" s="63" t="s">
        <v>27</v>
      </c>
      <c r="N5731" s="116"/>
      <c r="O5731" s="51"/>
    </row>
    <row r="5732">
      <c r="A5732" s="56">
        <v>5729.0</v>
      </c>
      <c r="B5732" s="240"/>
      <c r="C5732" s="69" t="s">
        <v>22963</v>
      </c>
      <c r="D5732" s="71"/>
      <c r="E5732" s="68" t="s">
        <v>22964</v>
      </c>
      <c r="F5732" s="76">
        <v>43151.0</v>
      </c>
      <c r="G5732" s="68" t="s">
        <v>22965</v>
      </c>
      <c r="H5732" s="71"/>
      <c r="I5732" s="68" t="s">
        <v>22966</v>
      </c>
      <c r="J5732" s="68" t="s">
        <v>22967</v>
      </c>
      <c r="K5732" s="76">
        <v>43486.0</v>
      </c>
      <c r="L5732" s="68" t="s">
        <v>20958</v>
      </c>
      <c r="M5732" s="68" t="s">
        <v>27</v>
      </c>
      <c r="N5732" s="116"/>
      <c r="O5732" s="51"/>
    </row>
    <row r="5733">
      <c r="A5733" s="56">
        <v>5730.0</v>
      </c>
      <c r="B5733" s="241"/>
      <c r="C5733" s="64" t="s">
        <v>22968</v>
      </c>
      <c r="D5733" s="66"/>
      <c r="E5733" s="63" t="s">
        <v>22969</v>
      </c>
      <c r="F5733" s="70">
        <v>41698.0</v>
      </c>
      <c r="G5733" s="80" t="s">
        <v>22970</v>
      </c>
      <c r="H5733" s="82"/>
      <c r="I5733" s="63" t="s">
        <v>22971</v>
      </c>
      <c r="J5733" s="63" t="s">
        <v>136</v>
      </c>
      <c r="K5733" s="70">
        <v>43486.0</v>
      </c>
      <c r="L5733" s="63" t="s">
        <v>20958</v>
      </c>
      <c r="M5733" s="63" t="s">
        <v>27</v>
      </c>
      <c r="N5733" s="116"/>
      <c r="O5733" s="51"/>
    </row>
    <row r="5734">
      <c r="A5734" s="56">
        <v>5731.0</v>
      </c>
      <c r="B5734" s="240"/>
      <c r="C5734" s="69" t="s">
        <v>22972</v>
      </c>
      <c r="D5734" s="71"/>
      <c r="E5734" s="68" t="s">
        <v>22973</v>
      </c>
      <c r="F5734" s="83">
        <v>43418.0</v>
      </c>
      <c r="G5734" s="68" t="s">
        <v>22974</v>
      </c>
      <c r="H5734" s="71"/>
      <c r="I5734" s="68" t="s">
        <v>22975</v>
      </c>
      <c r="J5734" s="87" t="s">
        <v>22976</v>
      </c>
      <c r="K5734" s="76">
        <v>43486.0</v>
      </c>
      <c r="L5734" s="68" t="s">
        <v>2743</v>
      </c>
      <c r="M5734" s="68" t="s">
        <v>31</v>
      </c>
      <c r="N5734" s="116"/>
      <c r="O5734" s="51"/>
    </row>
    <row r="5735">
      <c r="A5735" s="56">
        <v>5732.0</v>
      </c>
      <c r="B5735" s="240"/>
      <c r="C5735" s="69" t="s">
        <v>22977</v>
      </c>
      <c r="D5735" s="71"/>
      <c r="E5735" s="68" t="s">
        <v>22978</v>
      </c>
      <c r="F5735" s="76">
        <v>43478.0</v>
      </c>
      <c r="G5735" s="68" t="s">
        <v>22979</v>
      </c>
      <c r="H5735" s="68" t="s">
        <v>22980</v>
      </c>
      <c r="I5735" s="71"/>
      <c r="J5735" s="68" t="s">
        <v>22981</v>
      </c>
      <c r="K5735" s="76">
        <v>43486.0</v>
      </c>
      <c r="L5735" s="68" t="s">
        <v>2743</v>
      </c>
      <c r="M5735" s="68" t="s">
        <v>166</v>
      </c>
      <c r="N5735" s="116"/>
      <c r="O5735" s="51"/>
    </row>
    <row r="5736">
      <c r="A5736" s="56">
        <v>5733.0</v>
      </c>
      <c r="B5736" s="241"/>
      <c r="C5736" s="64" t="s">
        <v>22982</v>
      </c>
      <c r="D5736" s="66"/>
      <c r="E5736" s="63" t="s">
        <v>22983</v>
      </c>
      <c r="F5736" s="70">
        <v>39995.0</v>
      </c>
      <c r="G5736" s="80" t="s">
        <v>22984</v>
      </c>
      <c r="H5736" s="80" t="s">
        <v>439</v>
      </c>
      <c r="I5736" s="63" t="s">
        <v>22985</v>
      </c>
      <c r="J5736" s="63" t="s">
        <v>136</v>
      </c>
      <c r="K5736" s="70">
        <v>43486.0</v>
      </c>
      <c r="L5736" s="63" t="s">
        <v>2743</v>
      </c>
      <c r="M5736" s="63" t="s">
        <v>530</v>
      </c>
      <c r="N5736" s="116"/>
      <c r="O5736" s="51"/>
    </row>
    <row r="5737">
      <c r="A5737" s="56">
        <v>5734.0</v>
      </c>
      <c r="B5737" s="241"/>
      <c r="C5737" s="64" t="s">
        <v>22986</v>
      </c>
      <c r="D5737" s="66"/>
      <c r="E5737" s="63" t="s">
        <v>22987</v>
      </c>
      <c r="F5737" s="70">
        <v>42547.0</v>
      </c>
      <c r="G5737" s="80" t="s">
        <v>22988</v>
      </c>
      <c r="H5737" s="82"/>
      <c r="I5737" s="66"/>
      <c r="J5737" s="63" t="s">
        <v>136</v>
      </c>
      <c r="K5737" s="70">
        <v>43486.0</v>
      </c>
      <c r="L5737" s="63" t="s">
        <v>2743</v>
      </c>
      <c r="M5737" s="63" t="s">
        <v>530</v>
      </c>
      <c r="N5737" s="116"/>
      <c r="O5737" s="51"/>
    </row>
    <row r="5738">
      <c r="A5738" s="56">
        <v>5735.0</v>
      </c>
      <c r="B5738" s="241"/>
      <c r="C5738" s="64" t="s">
        <v>22989</v>
      </c>
      <c r="D5738" s="66"/>
      <c r="E5738" s="63" t="s">
        <v>22990</v>
      </c>
      <c r="F5738" s="70">
        <v>41091.0</v>
      </c>
      <c r="G5738" s="80" t="s">
        <v>22991</v>
      </c>
      <c r="H5738" s="82"/>
      <c r="I5738" s="66"/>
      <c r="J5738" s="63" t="s">
        <v>136</v>
      </c>
      <c r="K5738" s="70">
        <v>43486.0</v>
      </c>
      <c r="L5738" s="63" t="s">
        <v>2743</v>
      </c>
      <c r="M5738" s="63" t="s">
        <v>530</v>
      </c>
      <c r="N5738" s="116"/>
      <c r="O5738" s="51"/>
    </row>
    <row r="5739">
      <c r="A5739" s="56">
        <v>5736.0</v>
      </c>
      <c r="B5739" s="240"/>
      <c r="C5739" s="69" t="s">
        <v>22992</v>
      </c>
      <c r="D5739" s="71"/>
      <c r="E5739" s="68" t="s">
        <v>8287</v>
      </c>
      <c r="F5739" s="76">
        <v>42339.0</v>
      </c>
      <c r="G5739" s="68" t="s">
        <v>22993</v>
      </c>
      <c r="H5739" s="71"/>
      <c r="I5739" s="71"/>
      <c r="J5739" s="68" t="s">
        <v>22994</v>
      </c>
      <c r="K5739" s="76">
        <v>43486.0</v>
      </c>
      <c r="L5739" s="68" t="s">
        <v>2743</v>
      </c>
      <c r="M5739" s="68" t="s">
        <v>166</v>
      </c>
      <c r="N5739" s="116"/>
      <c r="O5739" s="51"/>
    </row>
    <row r="5740">
      <c r="A5740" s="56">
        <v>5737.0</v>
      </c>
      <c r="B5740" s="240"/>
      <c r="C5740" s="69" t="s">
        <v>22995</v>
      </c>
      <c r="D5740" s="71"/>
      <c r="E5740" s="68" t="s">
        <v>22996</v>
      </c>
      <c r="F5740" s="76">
        <v>43476.0</v>
      </c>
      <c r="G5740" s="68" t="s">
        <v>22997</v>
      </c>
      <c r="H5740" s="71"/>
      <c r="I5740" s="71"/>
      <c r="J5740" s="87" t="s">
        <v>22998</v>
      </c>
      <c r="K5740" s="76">
        <v>43487.0</v>
      </c>
      <c r="L5740" s="68" t="s">
        <v>2743</v>
      </c>
      <c r="M5740" s="68" t="s">
        <v>143</v>
      </c>
      <c r="N5740" s="116"/>
      <c r="O5740" s="51"/>
    </row>
    <row r="5741">
      <c r="A5741" s="75">
        <v>5738.0</v>
      </c>
      <c r="B5741" s="240"/>
      <c r="C5741" s="69" t="s">
        <v>22999</v>
      </c>
      <c r="D5741" s="71"/>
      <c r="E5741" s="68" t="s">
        <v>23000</v>
      </c>
      <c r="F5741" s="76">
        <v>40953.0</v>
      </c>
      <c r="G5741" s="68" t="s">
        <v>23001</v>
      </c>
      <c r="H5741" s="71"/>
      <c r="I5741" s="71"/>
      <c r="J5741" s="100" t="s">
        <v>4430</v>
      </c>
      <c r="K5741" s="225">
        <v>43487.0</v>
      </c>
      <c r="L5741" s="68" t="s">
        <v>2743</v>
      </c>
      <c r="M5741" s="68" t="s">
        <v>125</v>
      </c>
      <c r="N5741" s="116"/>
      <c r="O5741" s="130"/>
    </row>
    <row r="5742">
      <c r="A5742" s="56">
        <v>5739.0</v>
      </c>
      <c r="B5742" s="240"/>
      <c r="C5742" s="69" t="s">
        <v>23002</v>
      </c>
      <c r="D5742" s="71"/>
      <c r="E5742" s="68" t="s">
        <v>23003</v>
      </c>
      <c r="F5742" s="83">
        <v>43462.0</v>
      </c>
      <c r="G5742" s="68" t="s">
        <v>23004</v>
      </c>
      <c r="H5742" s="71"/>
      <c r="I5742" s="71"/>
      <c r="J5742" s="68" t="s">
        <v>23005</v>
      </c>
      <c r="K5742" s="76">
        <v>43487.0</v>
      </c>
      <c r="L5742" s="68" t="s">
        <v>16185</v>
      </c>
      <c r="M5742" s="68" t="s">
        <v>5990</v>
      </c>
      <c r="N5742" s="116"/>
      <c r="O5742" s="51"/>
    </row>
    <row r="5743">
      <c r="A5743" s="56">
        <v>5740.0</v>
      </c>
      <c r="B5743" s="241"/>
      <c r="C5743" s="64" t="s">
        <v>23006</v>
      </c>
      <c r="D5743" s="66"/>
      <c r="E5743" s="63" t="s">
        <v>23007</v>
      </c>
      <c r="F5743" s="70">
        <v>43318.0</v>
      </c>
      <c r="G5743" s="80" t="s">
        <v>23008</v>
      </c>
      <c r="H5743" s="82"/>
      <c r="I5743" s="66"/>
      <c r="J5743" s="63" t="s">
        <v>136</v>
      </c>
      <c r="K5743" s="70">
        <v>43487.0</v>
      </c>
      <c r="L5743" s="63" t="s">
        <v>16185</v>
      </c>
      <c r="M5743" s="63" t="s">
        <v>166</v>
      </c>
      <c r="N5743" s="116"/>
      <c r="O5743" s="51"/>
    </row>
    <row r="5744">
      <c r="A5744" s="56">
        <v>5741.0</v>
      </c>
      <c r="B5744" s="241"/>
      <c r="C5744" s="64" t="s">
        <v>23009</v>
      </c>
      <c r="D5744" s="66"/>
      <c r="E5744" s="63" t="s">
        <v>23010</v>
      </c>
      <c r="F5744" s="70">
        <v>39965.0</v>
      </c>
      <c r="G5744" s="80" t="s">
        <v>23011</v>
      </c>
      <c r="H5744" s="80" t="s">
        <v>23012</v>
      </c>
      <c r="I5744" s="66"/>
      <c r="J5744" s="63" t="s">
        <v>136</v>
      </c>
      <c r="K5744" s="70">
        <v>43488.0</v>
      </c>
      <c r="L5744" s="63" t="s">
        <v>2743</v>
      </c>
      <c r="M5744" s="63" t="s">
        <v>530</v>
      </c>
      <c r="N5744" s="116"/>
      <c r="O5744" s="51"/>
    </row>
    <row r="5745">
      <c r="A5745" s="56">
        <v>5742.0</v>
      </c>
      <c r="B5745" s="240"/>
      <c r="C5745" s="69" t="s">
        <v>23013</v>
      </c>
      <c r="D5745" s="71"/>
      <c r="E5745" s="68" t="s">
        <v>23014</v>
      </c>
      <c r="F5745" s="83">
        <v>43427.0</v>
      </c>
      <c r="G5745" s="68" t="s">
        <v>23015</v>
      </c>
      <c r="H5745" s="71"/>
      <c r="I5745" s="71"/>
      <c r="J5745" s="68" t="s">
        <v>23016</v>
      </c>
      <c r="K5745" s="76">
        <v>43488.0</v>
      </c>
      <c r="L5745" s="68" t="s">
        <v>2743</v>
      </c>
      <c r="M5745" s="68" t="s">
        <v>5990</v>
      </c>
      <c r="N5745" s="116"/>
      <c r="O5745" s="51"/>
    </row>
    <row r="5746">
      <c r="A5746" s="56">
        <v>5743.0</v>
      </c>
      <c r="B5746" s="240"/>
      <c r="C5746" s="69" t="s">
        <v>23017</v>
      </c>
      <c r="D5746" s="71"/>
      <c r="E5746" s="68" t="s">
        <v>23018</v>
      </c>
      <c r="F5746" s="76">
        <v>43481.0</v>
      </c>
      <c r="G5746" s="68" t="s">
        <v>23019</v>
      </c>
      <c r="H5746" s="71"/>
      <c r="I5746" s="71"/>
      <c r="J5746" s="68" t="s">
        <v>23020</v>
      </c>
      <c r="K5746" s="76">
        <v>43488.0</v>
      </c>
      <c r="L5746" s="68" t="s">
        <v>2743</v>
      </c>
      <c r="M5746" s="68" t="s">
        <v>368</v>
      </c>
      <c r="N5746" s="116"/>
      <c r="O5746" s="51"/>
    </row>
    <row r="5747">
      <c r="A5747" s="75">
        <v>5744.0</v>
      </c>
      <c r="B5747" s="240"/>
      <c r="C5747" s="69" t="s">
        <v>23021</v>
      </c>
      <c r="D5747" s="71"/>
      <c r="E5747" s="68" t="s">
        <v>23022</v>
      </c>
      <c r="F5747" s="76">
        <v>42966.0</v>
      </c>
      <c r="G5747" s="68" t="s">
        <v>23023</v>
      </c>
      <c r="H5747" s="71"/>
      <c r="I5747" s="71"/>
      <c r="J5747" s="68" t="s">
        <v>23024</v>
      </c>
      <c r="K5747" s="76">
        <v>43488.0</v>
      </c>
      <c r="L5747" s="68" t="s">
        <v>2743</v>
      </c>
      <c r="M5747" s="68" t="s">
        <v>14456</v>
      </c>
      <c r="N5747" s="116"/>
      <c r="O5747" s="51"/>
    </row>
    <row r="5748">
      <c r="A5748" s="56">
        <v>5745.0</v>
      </c>
      <c r="B5748" s="241"/>
      <c r="C5748" s="64" t="s">
        <v>23025</v>
      </c>
      <c r="D5748" s="66"/>
      <c r="E5748" s="63" t="s">
        <v>23026</v>
      </c>
      <c r="F5748" s="70">
        <v>42152.0</v>
      </c>
      <c r="G5748" s="80" t="s">
        <v>23027</v>
      </c>
      <c r="H5748" s="82"/>
      <c r="I5748" s="66"/>
      <c r="J5748" s="63" t="s">
        <v>136</v>
      </c>
      <c r="K5748" s="70">
        <v>43488.0</v>
      </c>
      <c r="L5748" s="63" t="s">
        <v>2743</v>
      </c>
      <c r="M5748" s="63" t="s">
        <v>368</v>
      </c>
      <c r="N5748" s="116"/>
      <c r="O5748" s="51"/>
    </row>
    <row r="5749">
      <c r="A5749" s="75">
        <v>5746.0</v>
      </c>
      <c r="B5749" s="240"/>
      <c r="C5749" s="69" t="s">
        <v>23028</v>
      </c>
      <c r="D5749" s="71"/>
      <c r="E5749" s="68" t="s">
        <v>23029</v>
      </c>
      <c r="F5749" s="83">
        <v>43448.0</v>
      </c>
      <c r="G5749" s="68" t="s">
        <v>23030</v>
      </c>
      <c r="H5749" s="71"/>
      <c r="I5749" s="71"/>
      <c r="J5749" s="68" t="s">
        <v>23031</v>
      </c>
      <c r="K5749" s="76">
        <v>43489.0</v>
      </c>
      <c r="L5749" s="68" t="s">
        <v>2743</v>
      </c>
      <c r="M5749" s="68" t="s">
        <v>149</v>
      </c>
      <c r="N5749" s="116"/>
      <c r="O5749" s="51"/>
    </row>
    <row r="5750">
      <c r="A5750" s="56">
        <v>5747.0</v>
      </c>
      <c r="B5750" s="240"/>
      <c r="C5750" s="69" t="s">
        <v>23032</v>
      </c>
      <c r="D5750" s="71"/>
      <c r="E5750" s="68" t="s">
        <v>23033</v>
      </c>
      <c r="F5750" s="83">
        <v>43449.0</v>
      </c>
      <c r="G5750" s="68" t="s">
        <v>23034</v>
      </c>
      <c r="H5750" s="71"/>
      <c r="I5750" s="71"/>
      <c r="J5750" s="68" t="s">
        <v>23035</v>
      </c>
      <c r="K5750" s="76">
        <v>43491.0</v>
      </c>
      <c r="L5750" s="68" t="s">
        <v>2743</v>
      </c>
      <c r="M5750" s="68" t="s">
        <v>149</v>
      </c>
      <c r="N5750" s="116"/>
      <c r="O5750" s="51"/>
    </row>
    <row r="5751">
      <c r="A5751" s="56">
        <v>5748.0</v>
      </c>
      <c r="B5751" s="240"/>
      <c r="C5751" s="69" t="s">
        <v>23036</v>
      </c>
      <c r="D5751" s="71"/>
      <c r="E5751" s="68" t="s">
        <v>23037</v>
      </c>
      <c r="F5751" s="76">
        <v>43215.0</v>
      </c>
      <c r="G5751" s="68" t="s">
        <v>23038</v>
      </c>
      <c r="H5751" s="71"/>
      <c r="I5751" s="71"/>
      <c r="J5751" s="87" t="s">
        <v>23039</v>
      </c>
      <c r="K5751" s="76">
        <v>43491.0</v>
      </c>
      <c r="L5751" s="68" t="s">
        <v>2743</v>
      </c>
      <c r="M5751" s="68" t="s">
        <v>201</v>
      </c>
      <c r="N5751" s="116"/>
      <c r="O5751" s="51"/>
    </row>
    <row r="5752">
      <c r="A5752" s="56">
        <v>5749.0</v>
      </c>
      <c r="B5752" s="241"/>
      <c r="C5752" s="64" t="s">
        <v>23040</v>
      </c>
      <c r="D5752" s="66"/>
      <c r="E5752" s="63" t="s">
        <v>23041</v>
      </c>
      <c r="F5752" s="70">
        <v>39630.0</v>
      </c>
      <c r="G5752" s="80" t="s">
        <v>23042</v>
      </c>
      <c r="H5752" s="80" t="s">
        <v>439</v>
      </c>
      <c r="I5752" s="63" t="s">
        <v>23043</v>
      </c>
      <c r="J5752" s="63" t="s">
        <v>136</v>
      </c>
      <c r="K5752" s="70">
        <v>43493.0</v>
      </c>
      <c r="L5752" s="63" t="s">
        <v>2743</v>
      </c>
      <c r="M5752" s="63" t="s">
        <v>530</v>
      </c>
      <c r="N5752" s="116"/>
      <c r="O5752" s="51"/>
    </row>
    <row r="5753">
      <c r="A5753" s="56">
        <v>5750.0</v>
      </c>
      <c r="B5753" s="241"/>
      <c r="C5753" s="64" t="s">
        <v>23044</v>
      </c>
      <c r="D5753" s="66"/>
      <c r="E5753" s="63" t="s">
        <v>23045</v>
      </c>
      <c r="F5753" s="70">
        <v>39995.0</v>
      </c>
      <c r="G5753" s="80" t="s">
        <v>23046</v>
      </c>
      <c r="H5753" s="80" t="s">
        <v>439</v>
      </c>
      <c r="I5753" s="66"/>
      <c r="J5753" s="63" t="s">
        <v>136</v>
      </c>
      <c r="K5753" s="70">
        <v>43493.0</v>
      </c>
      <c r="L5753" s="63" t="s">
        <v>2743</v>
      </c>
      <c r="M5753" s="63" t="s">
        <v>530</v>
      </c>
      <c r="N5753" s="116"/>
      <c r="O5753" s="51"/>
    </row>
    <row r="5754">
      <c r="A5754" s="56">
        <v>5751.0</v>
      </c>
      <c r="B5754" s="240"/>
      <c r="C5754" s="69" t="s">
        <v>23047</v>
      </c>
      <c r="D5754" s="71"/>
      <c r="E5754" s="68" t="s">
        <v>23048</v>
      </c>
      <c r="F5754" s="76">
        <v>42115.0</v>
      </c>
      <c r="G5754" s="68" t="s">
        <v>23049</v>
      </c>
      <c r="H5754" s="71"/>
      <c r="I5754" s="71"/>
      <c r="J5754" s="68" t="s">
        <v>23050</v>
      </c>
      <c r="K5754" s="76">
        <v>43493.0</v>
      </c>
      <c r="L5754" s="68" t="s">
        <v>2743</v>
      </c>
      <c r="M5754" s="68" t="s">
        <v>5990</v>
      </c>
      <c r="N5754" s="116"/>
      <c r="O5754" s="51"/>
    </row>
    <row r="5755">
      <c r="A5755" s="56">
        <v>5752.0</v>
      </c>
      <c r="B5755" s="240"/>
      <c r="C5755" s="69" t="s">
        <v>23051</v>
      </c>
      <c r="D5755" s="71"/>
      <c r="E5755" s="68" t="s">
        <v>23052</v>
      </c>
      <c r="F5755" s="76">
        <v>42747.0</v>
      </c>
      <c r="G5755" s="68" t="s">
        <v>23053</v>
      </c>
      <c r="H5755" s="71"/>
      <c r="I5755" s="71"/>
      <c r="J5755" s="87" t="s">
        <v>23054</v>
      </c>
      <c r="K5755" s="76">
        <v>43493.0</v>
      </c>
      <c r="L5755" s="68" t="s">
        <v>2743</v>
      </c>
      <c r="M5755" s="68" t="s">
        <v>166</v>
      </c>
      <c r="N5755" s="116"/>
      <c r="O5755" s="51"/>
    </row>
    <row r="5756">
      <c r="A5756" s="56">
        <v>5753.0</v>
      </c>
      <c r="B5756" s="241"/>
      <c r="C5756" s="64" t="s">
        <v>23055</v>
      </c>
      <c r="D5756" s="66"/>
      <c r="E5756" s="63" t="s">
        <v>23056</v>
      </c>
      <c r="F5756" s="70">
        <v>42309.0</v>
      </c>
      <c r="G5756" s="80" t="s">
        <v>23057</v>
      </c>
      <c r="H5756" s="82"/>
      <c r="I5756" s="66"/>
      <c r="J5756" s="63" t="s">
        <v>136</v>
      </c>
      <c r="K5756" s="70">
        <v>43493.0</v>
      </c>
      <c r="L5756" s="63" t="s">
        <v>2743</v>
      </c>
      <c r="M5756" s="63" t="s">
        <v>166</v>
      </c>
      <c r="N5756" s="116"/>
      <c r="O5756" s="51"/>
    </row>
    <row r="5757">
      <c r="A5757" s="56">
        <v>5754.0</v>
      </c>
      <c r="B5757" s="240"/>
      <c r="C5757" s="69" t="s">
        <v>23058</v>
      </c>
      <c r="D5757" s="71"/>
      <c r="E5757" s="68" t="s">
        <v>23059</v>
      </c>
      <c r="F5757" s="83">
        <v>43418.0</v>
      </c>
      <c r="G5757" s="68" t="s">
        <v>23060</v>
      </c>
      <c r="H5757" s="71"/>
      <c r="I5757" s="71"/>
      <c r="J5757" s="68" t="s">
        <v>23061</v>
      </c>
      <c r="K5757" s="76">
        <v>43493.0</v>
      </c>
      <c r="L5757" s="68" t="s">
        <v>2743</v>
      </c>
      <c r="M5757" s="68" t="s">
        <v>125</v>
      </c>
      <c r="N5757" s="116"/>
      <c r="O5757" s="51"/>
    </row>
    <row r="5758">
      <c r="A5758" s="56">
        <v>5755.0</v>
      </c>
      <c r="B5758" s="240"/>
      <c r="C5758" s="69" t="s">
        <v>23062</v>
      </c>
      <c r="D5758" s="71"/>
      <c r="E5758" s="68" t="s">
        <v>23063</v>
      </c>
      <c r="F5758" s="76">
        <v>42081.0</v>
      </c>
      <c r="G5758" s="68" t="s">
        <v>23064</v>
      </c>
      <c r="H5758" s="71"/>
      <c r="I5758" s="68" t="s">
        <v>23065</v>
      </c>
      <c r="J5758" s="68" t="s">
        <v>23066</v>
      </c>
      <c r="K5758" s="76">
        <v>43493.0</v>
      </c>
      <c r="L5758" s="68" t="s">
        <v>2743</v>
      </c>
      <c r="M5758" s="68" t="s">
        <v>2989</v>
      </c>
      <c r="N5758" s="116"/>
      <c r="O5758" s="51"/>
    </row>
    <row r="5759">
      <c r="A5759" s="56">
        <v>5756.0</v>
      </c>
      <c r="B5759" s="240"/>
      <c r="C5759" s="69" t="s">
        <v>23067</v>
      </c>
      <c r="D5759" s="71"/>
      <c r="E5759" s="68" t="s">
        <v>23068</v>
      </c>
      <c r="F5759" s="76">
        <v>43371.0</v>
      </c>
      <c r="G5759" s="68" t="s">
        <v>22827</v>
      </c>
      <c r="H5759" s="71"/>
      <c r="I5759" s="66"/>
      <c r="J5759" s="68" t="s">
        <v>23069</v>
      </c>
      <c r="K5759" s="76">
        <v>43493.0</v>
      </c>
      <c r="L5759" s="68" t="s">
        <v>2743</v>
      </c>
      <c r="M5759" s="68" t="s">
        <v>27</v>
      </c>
      <c r="N5759" s="87" t="s">
        <v>23070</v>
      </c>
      <c r="O5759" s="51"/>
    </row>
    <row r="5760">
      <c r="A5760" s="56">
        <v>5757.0</v>
      </c>
      <c r="B5760" s="240"/>
      <c r="C5760" s="69" t="s">
        <v>23071</v>
      </c>
      <c r="D5760" s="71"/>
      <c r="E5760" s="68" t="s">
        <v>23072</v>
      </c>
      <c r="F5760" s="76">
        <v>43182.0</v>
      </c>
      <c r="G5760" s="68" t="s">
        <v>23073</v>
      </c>
      <c r="H5760" s="71"/>
      <c r="I5760" s="71"/>
      <c r="J5760" s="68" t="s">
        <v>23074</v>
      </c>
      <c r="K5760" s="76">
        <v>43503.0</v>
      </c>
      <c r="L5760" s="68" t="s">
        <v>16447</v>
      </c>
      <c r="M5760" s="68" t="s">
        <v>149</v>
      </c>
      <c r="N5760" s="87" t="s">
        <v>23075</v>
      </c>
      <c r="O5760" s="51"/>
    </row>
    <row r="5761">
      <c r="A5761" s="56">
        <v>5758.0</v>
      </c>
      <c r="B5761" s="240"/>
      <c r="C5761" s="69" t="s">
        <v>23076</v>
      </c>
      <c r="D5761" s="71"/>
      <c r="E5761" s="68" t="s">
        <v>23077</v>
      </c>
      <c r="F5761" s="83">
        <v>43462.0</v>
      </c>
      <c r="G5761" s="68" t="s">
        <v>23078</v>
      </c>
      <c r="H5761" s="71"/>
      <c r="I5761" s="71"/>
      <c r="J5761" s="68" t="s">
        <v>23005</v>
      </c>
      <c r="K5761" s="76">
        <v>43503.0</v>
      </c>
      <c r="L5761" s="68" t="s">
        <v>16447</v>
      </c>
      <c r="M5761" s="68" t="s">
        <v>143</v>
      </c>
      <c r="N5761" s="116"/>
      <c r="O5761" s="51"/>
    </row>
    <row r="5762">
      <c r="A5762" s="56">
        <v>5759.0</v>
      </c>
      <c r="B5762" s="240"/>
      <c r="C5762" s="69" t="s">
        <v>23079</v>
      </c>
      <c r="D5762" s="71"/>
      <c r="E5762" s="68" t="s">
        <v>23080</v>
      </c>
      <c r="F5762" s="83">
        <v>43416.0</v>
      </c>
      <c r="G5762" s="68" t="s">
        <v>23081</v>
      </c>
      <c r="H5762" s="71"/>
      <c r="I5762" s="71"/>
      <c r="J5762" s="68" t="s">
        <v>23082</v>
      </c>
      <c r="K5762" s="76">
        <v>43503.0</v>
      </c>
      <c r="L5762" s="68" t="s">
        <v>16447</v>
      </c>
      <c r="M5762" s="68" t="s">
        <v>5707</v>
      </c>
      <c r="N5762" s="116"/>
      <c r="O5762" s="51"/>
    </row>
    <row r="5763">
      <c r="A5763" s="56">
        <v>5760.0</v>
      </c>
      <c r="B5763" s="240"/>
      <c r="C5763" s="69" t="s">
        <v>23083</v>
      </c>
      <c r="D5763" s="71"/>
      <c r="E5763" s="68" t="s">
        <v>23084</v>
      </c>
      <c r="F5763" s="76">
        <v>43372.0</v>
      </c>
      <c r="G5763" s="68" t="s">
        <v>23085</v>
      </c>
      <c r="H5763" s="71"/>
      <c r="I5763" s="71"/>
      <c r="J5763" s="68" t="s">
        <v>23086</v>
      </c>
      <c r="K5763" s="76">
        <v>43503.0</v>
      </c>
      <c r="L5763" s="68" t="s">
        <v>16447</v>
      </c>
      <c r="M5763" s="68" t="s">
        <v>15904</v>
      </c>
      <c r="N5763" s="116"/>
      <c r="O5763" s="51"/>
    </row>
    <row r="5764">
      <c r="A5764" s="56">
        <v>5761.0</v>
      </c>
      <c r="B5764" s="240"/>
      <c r="C5764" s="69" t="s">
        <v>23087</v>
      </c>
      <c r="D5764" s="71"/>
      <c r="E5764" s="68" t="s">
        <v>23088</v>
      </c>
      <c r="F5764" s="76">
        <v>43301.0</v>
      </c>
      <c r="G5764" s="68" t="s">
        <v>23089</v>
      </c>
      <c r="H5764" s="71"/>
      <c r="I5764" s="71"/>
      <c r="J5764" s="68" t="s">
        <v>23090</v>
      </c>
      <c r="K5764" s="76">
        <v>43503.0</v>
      </c>
      <c r="L5764" s="68" t="s">
        <v>16447</v>
      </c>
      <c r="M5764" s="68" t="s">
        <v>166</v>
      </c>
      <c r="N5764" s="116"/>
      <c r="O5764" s="51"/>
    </row>
    <row r="5765">
      <c r="A5765" s="56">
        <v>5762.0</v>
      </c>
      <c r="B5765" s="240"/>
      <c r="C5765" s="69" t="s">
        <v>23091</v>
      </c>
      <c r="D5765" s="71"/>
      <c r="E5765" s="68" t="s">
        <v>23092</v>
      </c>
      <c r="F5765" s="76">
        <v>42262.0</v>
      </c>
      <c r="G5765" s="68" t="s">
        <v>23093</v>
      </c>
      <c r="H5765" s="71"/>
      <c r="I5765" s="68" t="s">
        <v>23094</v>
      </c>
      <c r="J5765" s="68" t="s">
        <v>23095</v>
      </c>
      <c r="K5765" s="76">
        <v>43503.0</v>
      </c>
      <c r="L5765" s="68" t="s">
        <v>16447</v>
      </c>
      <c r="M5765" s="68" t="s">
        <v>12947</v>
      </c>
      <c r="N5765" s="116"/>
      <c r="O5765" s="51"/>
    </row>
    <row r="5766">
      <c r="A5766" s="56">
        <v>5763.0</v>
      </c>
      <c r="B5766" s="240"/>
      <c r="C5766" s="69" t="s">
        <v>23096</v>
      </c>
      <c r="D5766" s="71"/>
      <c r="E5766" s="68" t="s">
        <v>23097</v>
      </c>
      <c r="F5766" s="83">
        <v>43460.0</v>
      </c>
      <c r="G5766" s="68" t="s">
        <v>23098</v>
      </c>
      <c r="H5766" s="71"/>
      <c r="I5766" s="71"/>
      <c r="J5766" s="68" t="s">
        <v>23099</v>
      </c>
      <c r="K5766" s="76">
        <v>43503.0</v>
      </c>
      <c r="L5766" s="68" t="s">
        <v>16447</v>
      </c>
      <c r="M5766" s="68" t="s">
        <v>166</v>
      </c>
      <c r="N5766" s="116"/>
      <c r="O5766" s="51"/>
    </row>
    <row r="5767">
      <c r="A5767" s="56">
        <v>5764.0</v>
      </c>
      <c r="B5767" s="240"/>
      <c r="C5767" s="69" t="s">
        <v>23100</v>
      </c>
      <c r="D5767" s="71"/>
      <c r="E5767" s="68" t="s">
        <v>23101</v>
      </c>
      <c r="F5767" s="76">
        <v>43113.0</v>
      </c>
      <c r="G5767" s="68" t="s">
        <v>23102</v>
      </c>
      <c r="H5767" s="71"/>
      <c r="I5767" s="71"/>
      <c r="J5767" s="68" t="s">
        <v>23103</v>
      </c>
      <c r="K5767" s="76">
        <v>43503.0</v>
      </c>
      <c r="L5767" s="68" t="s">
        <v>16447</v>
      </c>
      <c r="M5767" s="68" t="s">
        <v>166</v>
      </c>
      <c r="N5767" s="116"/>
      <c r="O5767" s="51"/>
    </row>
    <row r="5768">
      <c r="A5768" s="56">
        <v>5765.0</v>
      </c>
      <c r="B5768" s="241"/>
      <c r="C5768" s="79" t="s">
        <v>23104</v>
      </c>
      <c r="D5768" s="71"/>
      <c r="E5768" s="80" t="s">
        <v>23105</v>
      </c>
      <c r="F5768" s="81">
        <v>42551.0</v>
      </c>
      <c r="G5768" s="80" t="s">
        <v>23106</v>
      </c>
      <c r="H5768" s="80" t="s">
        <v>439</v>
      </c>
      <c r="I5768" s="82"/>
      <c r="J5768" s="63" t="s">
        <v>136</v>
      </c>
      <c r="K5768" s="81">
        <v>43503.0</v>
      </c>
      <c r="L5768" s="80" t="s">
        <v>16447</v>
      </c>
      <c r="M5768" s="80" t="s">
        <v>6875</v>
      </c>
      <c r="N5768" s="116"/>
      <c r="O5768" s="51"/>
    </row>
    <row r="5769">
      <c r="A5769" s="56">
        <v>5766.0</v>
      </c>
      <c r="B5769" s="241"/>
      <c r="C5769" s="79" t="s">
        <v>23107</v>
      </c>
      <c r="D5769" s="71"/>
      <c r="E5769" s="80" t="s">
        <v>23108</v>
      </c>
      <c r="F5769" s="81">
        <v>42186.0</v>
      </c>
      <c r="G5769" s="80" t="s">
        <v>23109</v>
      </c>
      <c r="H5769" s="82"/>
      <c r="I5769" s="82"/>
      <c r="J5769" s="63" t="s">
        <v>136</v>
      </c>
      <c r="K5769" s="81">
        <v>43503.0</v>
      </c>
      <c r="L5769" s="80" t="s">
        <v>16447</v>
      </c>
      <c r="M5769" s="80" t="s">
        <v>2748</v>
      </c>
      <c r="N5769" s="116"/>
      <c r="O5769" s="51"/>
    </row>
    <row r="5770">
      <c r="A5770" s="56">
        <v>5767.0</v>
      </c>
      <c r="B5770" s="240"/>
      <c r="C5770" s="69" t="s">
        <v>23110</v>
      </c>
      <c r="D5770" s="71"/>
      <c r="E5770" s="68" t="s">
        <v>23111</v>
      </c>
      <c r="F5770" s="76">
        <v>43271.0</v>
      </c>
      <c r="G5770" s="68" t="s">
        <v>23112</v>
      </c>
      <c r="H5770" s="71"/>
      <c r="I5770" s="68" t="s">
        <v>4716</v>
      </c>
      <c r="J5770" s="68" t="s">
        <v>23113</v>
      </c>
      <c r="K5770" s="76">
        <v>43504.0</v>
      </c>
      <c r="L5770" s="68" t="s">
        <v>16447</v>
      </c>
      <c r="M5770" s="68" t="s">
        <v>166</v>
      </c>
      <c r="N5770" s="116"/>
      <c r="O5770" s="51"/>
    </row>
    <row r="5771">
      <c r="A5771" s="56">
        <v>5768.0</v>
      </c>
      <c r="B5771" s="240"/>
      <c r="C5771" s="69" t="s">
        <v>23114</v>
      </c>
      <c r="D5771" s="71"/>
      <c r="E5771" s="68" t="s">
        <v>23115</v>
      </c>
      <c r="F5771" s="76">
        <v>43136.0</v>
      </c>
      <c r="G5771" s="68" t="s">
        <v>23116</v>
      </c>
      <c r="H5771" s="71"/>
      <c r="I5771" s="71"/>
      <c r="J5771" s="68" t="s">
        <v>23117</v>
      </c>
      <c r="K5771" s="76">
        <v>43504.0</v>
      </c>
      <c r="L5771" s="68" t="s">
        <v>16447</v>
      </c>
      <c r="M5771" s="68" t="s">
        <v>166</v>
      </c>
      <c r="N5771" s="116"/>
      <c r="O5771" s="51"/>
    </row>
    <row r="5772">
      <c r="A5772" s="56">
        <v>5769.0</v>
      </c>
      <c r="B5772" s="240"/>
      <c r="C5772" s="69" t="s">
        <v>23118</v>
      </c>
      <c r="D5772" s="71"/>
      <c r="E5772" s="68" t="s">
        <v>23119</v>
      </c>
      <c r="F5772" s="83">
        <v>43433.0</v>
      </c>
      <c r="G5772" s="68" t="s">
        <v>23120</v>
      </c>
      <c r="H5772" s="71"/>
      <c r="I5772" s="71"/>
      <c r="J5772" s="68" t="s">
        <v>23121</v>
      </c>
      <c r="K5772" s="76">
        <v>43504.0</v>
      </c>
      <c r="L5772" s="68" t="s">
        <v>16447</v>
      </c>
      <c r="M5772" s="68" t="s">
        <v>166</v>
      </c>
      <c r="N5772" s="116"/>
      <c r="O5772" s="51"/>
    </row>
    <row r="5773">
      <c r="A5773" s="56">
        <v>5770.0</v>
      </c>
      <c r="B5773" s="240"/>
      <c r="C5773" s="69" t="s">
        <v>23122</v>
      </c>
      <c r="D5773" s="71"/>
      <c r="E5773" s="68" t="s">
        <v>23123</v>
      </c>
      <c r="F5773" s="76">
        <v>43151.0</v>
      </c>
      <c r="G5773" s="68" t="s">
        <v>23124</v>
      </c>
      <c r="H5773" s="71"/>
      <c r="I5773" s="71"/>
      <c r="J5773" s="68" t="s">
        <v>23125</v>
      </c>
      <c r="K5773" s="76">
        <v>43504.0</v>
      </c>
      <c r="L5773" s="68" t="s">
        <v>16447</v>
      </c>
      <c r="M5773" s="68" t="s">
        <v>166</v>
      </c>
      <c r="N5773" s="116"/>
      <c r="O5773" s="51"/>
    </row>
    <row r="5774">
      <c r="A5774" s="56">
        <v>5771.0</v>
      </c>
      <c r="B5774" s="240"/>
      <c r="C5774" s="69" t="s">
        <v>23126</v>
      </c>
      <c r="D5774" s="71"/>
      <c r="E5774" s="68" t="s">
        <v>23127</v>
      </c>
      <c r="F5774" s="76">
        <v>43490.0</v>
      </c>
      <c r="G5774" s="68" t="s">
        <v>23128</v>
      </c>
      <c r="H5774" s="71"/>
      <c r="I5774" s="71"/>
      <c r="J5774" s="68" t="s">
        <v>23129</v>
      </c>
      <c r="K5774" s="76">
        <v>43505.0</v>
      </c>
      <c r="L5774" s="68" t="s">
        <v>2743</v>
      </c>
      <c r="M5774" s="68" t="s">
        <v>2263</v>
      </c>
      <c r="N5774" s="116"/>
      <c r="O5774" s="51"/>
    </row>
    <row r="5775">
      <c r="A5775" s="56">
        <v>5772.0</v>
      </c>
      <c r="B5775" s="240"/>
      <c r="C5775" s="69" t="s">
        <v>23130</v>
      </c>
      <c r="D5775" s="71"/>
      <c r="E5775" s="68" t="s">
        <v>23131</v>
      </c>
      <c r="F5775" s="76">
        <v>43490.0</v>
      </c>
      <c r="G5775" s="68" t="s">
        <v>23128</v>
      </c>
      <c r="H5775" s="71"/>
      <c r="I5775" s="71"/>
      <c r="J5775" s="68" t="s">
        <v>23129</v>
      </c>
      <c r="K5775" s="76">
        <v>43505.0</v>
      </c>
      <c r="L5775" s="68" t="s">
        <v>2743</v>
      </c>
      <c r="M5775" s="68" t="s">
        <v>2263</v>
      </c>
      <c r="N5775" s="116"/>
      <c r="O5775" s="51"/>
    </row>
    <row r="5776">
      <c r="A5776" s="56">
        <v>5773.0</v>
      </c>
      <c r="B5776" s="240"/>
      <c r="C5776" s="69" t="s">
        <v>23132</v>
      </c>
      <c r="D5776" s="71"/>
      <c r="E5776" s="68" t="s">
        <v>23133</v>
      </c>
      <c r="F5776" s="76">
        <v>43490.0</v>
      </c>
      <c r="G5776" s="68" t="s">
        <v>23128</v>
      </c>
      <c r="H5776" s="71"/>
      <c r="I5776" s="71"/>
      <c r="J5776" s="68" t="s">
        <v>23129</v>
      </c>
      <c r="K5776" s="76">
        <v>43505.0</v>
      </c>
      <c r="L5776" s="68" t="s">
        <v>2743</v>
      </c>
      <c r="M5776" s="68" t="s">
        <v>2263</v>
      </c>
      <c r="N5776" s="116"/>
      <c r="O5776" s="51"/>
    </row>
    <row r="5777">
      <c r="A5777" s="56">
        <v>5774.0</v>
      </c>
      <c r="B5777" s="130"/>
      <c r="C5777" s="266" t="s">
        <v>23134</v>
      </c>
      <c r="D5777" s="71"/>
      <c r="E5777" s="68" t="s">
        <v>23135</v>
      </c>
      <c r="F5777" s="76">
        <v>43490.0</v>
      </c>
      <c r="G5777" s="68" t="s">
        <v>23136</v>
      </c>
      <c r="H5777" s="71"/>
      <c r="I5777" s="71"/>
      <c r="J5777" s="68" t="s">
        <v>23129</v>
      </c>
      <c r="K5777" s="76">
        <v>43505.0</v>
      </c>
      <c r="L5777" s="68" t="s">
        <v>2743</v>
      </c>
      <c r="M5777" s="68" t="s">
        <v>2263</v>
      </c>
      <c r="N5777" s="116"/>
      <c r="O5777" s="51"/>
    </row>
    <row r="5778">
      <c r="A5778" s="56">
        <v>5775.0</v>
      </c>
      <c r="B5778" s="267"/>
      <c r="C5778" s="69" t="s">
        <v>23137</v>
      </c>
      <c r="D5778" s="71"/>
      <c r="E5778" s="68" t="s">
        <v>23138</v>
      </c>
      <c r="F5778" s="76">
        <v>43209.0</v>
      </c>
      <c r="G5778" s="68" t="s">
        <v>23139</v>
      </c>
      <c r="H5778" s="71"/>
      <c r="I5778" s="71"/>
      <c r="J5778" s="68" t="s">
        <v>23140</v>
      </c>
      <c r="K5778" s="76">
        <v>43505.0</v>
      </c>
      <c r="L5778" s="68" t="s">
        <v>16447</v>
      </c>
      <c r="M5778" s="68" t="s">
        <v>12947</v>
      </c>
      <c r="N5778" s="116"/>
      <c r="O5778" s="51"/>
    </row>
    <row r="5779">
      <c r="A5779" s="56">
        <v>5776.0</v>
      </c>
      <c r="B5779" s="240"/>
      <c r="C5779" s="69" t="s">
        <v>23141</v>
      </c>
      <c r="D5779" s="71"/>
      <c r="E5779" s="68" t="s">
        <v>23142</v>
      </c>
      <c r="F5779" s="76">
        <v>42917.0</v>
      </c>
      <c r="G5779" s="68" t="s">
        <v>23143</v>
      </c>
      <c r="H5779" s="71"/>
      <c r="I5779" s="71"/>
      <c r="J5779" s="68" t="s">
        <v>23144</v>
      </c>
      <c r="K5779" s="76">
        <v>43505.0</v>
      </c>
      <c r="L5779" s="68" t="s">
        <v>16447</v>
      </c>
      <c r="M5779" s="68" t="s">
        <v>166</v>
      </c>
      <c r="N5779" s="116"/>
      <c r="O5779" s="51"/>
    </row>
    <row r="5780">
      <c r="A5780" s="56">
        <v>5777.0</v>
      </c>
      <c r="B5780" s="241"/>
      <c r="C5780" s="79" t="s">
        <v>23145</v>
      </c>
      <c r="D5780" s="71"/>
      <c r="E5780" s="80" t="s">
        <v>23146</v>
      </c>
      <c r="F5780" s="81">
        <v>42865.0</v>
      </c>
      <c r="G5780" s="80" t="s">
        <v>23147</v>
      </c>
      <c r="H5780" s="82"/>
      <c r="I5780" s="82"/>
      <c r="J5780" s="63" t="s">
        <v>136</v>
      </c>
      <c r="K5780" s="81">
        <v>43505.0</v>
      </c>
      <c r="L5780" s="80" t="s">
        <v>2743</v>
      </c>
      <c r="M5780" s="80" t="s">
        <v>125</v>
      </c>
      <c r="N5780" s="116"/>
      <c r="O5780" s="51"/>
    </row>
    <row r="5781">
      <c r="A5781" s="56">
        <v>5778.0</v>
      </c>
      <c r="B5781" s="240"/>
      <c r="C5781" s="69" t="s">
        <v>23148</v>
      </c>
      <c r="D5781" s="71"/>
      <c r="E5781" s="68" t="s">
        <v>23149</v>
      </c>
      <c r="F5781" s="76">
        <v>36708.0</v>
      </c>
      <c r="G5781" s="68" t="s">
        <v>23150</v>
      </c>
      <c r="H5781" s="71"/>
      <c r="I5781" s="68" t="s">
        <v>23151</v>
      </c>
      <c r="J5781" s="68" t="s">
        <v>23152</v>
      </c>
      <c r="K5781" s="76">
        <v>43507.0</v>
      </c>
      <c r="L5781" s="68" t="s">
        <v>2743</v>
      </c>
      <c r="M5781" s="68" t="s">
        <v>2466</v>
      </c>
      <c r="N5781" s="116"/>
      <c r="O5781" s="51"/>
    </row>
    <row r="5782">
      <c r="A5782" s="56">
        <v>5779.0</v>
      </c>
      <c r="B5782" s="241"/>
      <c r="C5782" s="79" t="s">
        <v>23153</v>
      </c>
      <c r="D5782" s="71"/>
      <c r="E5782" s="80" t="s">
        <v>23154</v>
      </c>
      <c r="F5782" s="80" t="s">
        <v>407</v>
      </c>
      <c r="G5782" s="80" t="s">
        <v>23155</v>
      </c>
      <c r="H5782" s="82"/>
      <c r="I5782" s="82"/>
      <c r="J5782" s="63" t="s">
        <v>136</v>
      </c>
      <c r="K5782" s="81">
        <v>43507.0</v>
      </c>
      <c r="L5782" s="80" t="s">
        <v>2743</v>
      </c>
      <c r="M5782" s="80" t="s">
        <v>195</v>
      </c>
      <c r="N5782" s="116"/>
      <c r="O5782" s="51"/>
    </row>
    <row r="5783">
      <c r="A5783" s="56">
        <v>5780.0</v>
      </c>
      <c r="B5783" s="241"/>
      <c r="C5783" s="79" t="s">
        <v>23156</v>
      </c>
      <c r="D5783" s="71"/>
      <c r="E5783" s="80" t="s">
        <v>23157</v>
      </c>
      <c r="F5783" s="98">
        <v>42692.0</v>
      </c>
      <c r="G5783" s="80" t="s">
        <v>23158</v>
      </c>
      <c r="H5783" s="82"/>
      <c r="I5783" s="82"/>
      <c r="J5783" s="63" t="s">
        <v>136</v>
      </c>
      <c r="K5783" s="81">
        <v>43507.0</v>
      </c>
      <c r="L5783" s="80" t="s">
        <v>2743</v>
      </c>
      <c r="M5783" s="80" t="s">
        <v>27</v>
      </c>
      <c r="N5783" s="116"/>
      <c r="O5783" s="51"/>
    </row>
    <row r="5784">
      <c r="A5784" s="56">
        <v>5781.0</v>
      </c>
      <c r="B5784" s="241"/>
      <c r="C5784" s="79" t="s">
        <v>23159</v>
      </c>
      <c r="D5784" s="71"/>
      <c r="E5784" s="80" t="s">
        <v>23160</v>
      </c>
      <c r="F5784" s="81">
        <v>42410.0</v>
      </c>
      <c r="G5784" s="80" t="s">
        <v>23161</v>
      </c>
      <c r="H5784" s="82"/>
      <c r="I5784" s="82"/>
      <c r="J5784" s="63" t="s">
        <v>136</v>
      </c>
      <c r="K5784" s="81">
        <v>43507.0</v>
      </c>
      <c r="L5784" s="80" t="s">
        <v>2743</v>
      </c>
      <c r="M5784" s="80" t="s">
        <v>4487</v>
      </c>
      <c r="N5784" s="116"/>
      <c r="O5784" s="51"/>
    </row>
    <row r="5785">
      <c r="A5785" s="56">
        <v>5782.0</v>
      </c>
      <c r="B5785" s="240"/>
      <c r="C5785" s="69" t="s">
        <v>23162</v>
      </c>
      <c r="D5785" s="71"/>
      <c r="E5785" s="68" t="s">
        <v>23163</v>
      </c>
      <c r="F5785" s="76">
        <v>43490.0</v>
      </c>
      <c r="G5785" s="68" t="s">
        <v>23164</v>
      </c>
      <c r="H5785" s="71"/>
      <c r="I5785" s="71"/>
      <c r="J5785" s="87" t="s">
        <v>23165</v>
      </c>
      <c r="K5785" s="76">
        <v>43507.0</v>
      </c>
      <c r="L5785" s="68" t="s">
        <v>2743</v>
      </c>
      <c r="M5785" s="68" t="s">
        <v>13303</v>
      </c>
      <c r="N5785" s="116"/>
      <c r="O5785" s="51"/>
    </row>
    <row r="5786">
      <c r="A5786" s="56">
        <v>5783.0</v>
      </c>
      <c r="B5786" s="241"/>
      <c r="C5786" s="79" t="s">
        <v>23166</v>
      </c>
      <c r="D5786" s="71"/>
      <c r="E5786" s="80" t="s">
        <v>23167</v>
      </c>
      <c r="F5786" s="98">
        <v>41621.0</v>
      </c>
      <c r="G5786" s="80" t="s">
        <v>23168</v>
      </c>
      <c r="H5786" s="82"/>
      <c r="I5786" s="80" t="s">
        <v>23169</v>
      </c>
      <c r="J5786" s="63" t="s">
        <v>136</v>
      </c>
      <c r="K5786" s="81">
        <v>43507.0</v>
      </c>
      <c r="L5786" s="80" t="s">
        <v>2743</v>
      </c>
      <c r="M5786" s="80" t="s">
        <v>27</v>
      </c>
      <c r="N5786" s="116"/>
      <c r="O5786" s="51"/>
    </row>
    <row r="5787">
      <c r="A5787" s="56">
        <v>5784.0</v>
      </c>
      <c r="B5787" s="240"/>
      <c r="C5787" s="69" t="s">
        <v>23170</v>
      </c>
      <c r="D5787" s="71"/>
      <c r="E5787" s="68" t="s">
        <v>23171</v>
      </c>
      <c r="F5787" s="83">
        <v>41986.0</v>
      </c>
      <c r="G5787" s="68" t="s">
        <v>23172</v>
      </c>
      <c r="H5787" s="71"/>
      <c r="I5787" s="71"/>
      <c r="J5787" s="68" t="s">
        <v>23173</v>
      </c>
      <c r="K5787" s="76">
        <v>43507.0</v>
      </c>
      <c r="L5787" s="68" t="s">
        <v>2743</v>
      </c>
      <c r="M5787" s="68" t="s">
        <v>27</v>
      </c>
      <c r="N5787" s="116"/>
      <c r="O5787" s="51"/>
    </row>
    <row r="5788">
      <c r="A5788" s="56">
        <v>5785.0</v>
      </c>
      <c r="B5788" s="241"/>
      <c r="C5788" s="79" t="s">
        <v>23174</v>
      </c>
      <c r="D5788" s="71"/>
      <c r="E5788" s="80" t="s">
        <v>23175</v>
      </c>
      <c r="F5788" s="81">
        <v>42186.0</v>
      </c>
      <c r="G5788" s="80" t="s">
        <v>23176</v>
      </c>
      <c r="H5788" s="82"/>
      <c r="I5788" s="80" t="s">
        <v>23177</v>
      </c>
      <c r="J5788" s="63" t="s">
        <v>136</v>
      </c>
      <c r="K5788" s="81">
        <v>43507.0</v>
      </c>
      <c r="L5788" s="80" t="s">
        <v>2743</v>
      </c>
      <c r="M5788" s="80" t="s">
        <v>27</v>
      </c>
      <c r="N5788" s="116"/>
      <c r="O5788" s="51"/>
    </row>
    <row r="5789">
      <c r="A5789" s="56">
        <v>5786.0</v>
      </c>
      <c r="B5789" s="241"/>
      <c r="C5789" s="79" t="s">
        <v>23178</v>
      </c>
      <c r="D5789" s="71"/>
      <c r="E5789" s="80" t="s">
        <v>23179</v>
      </c>
      <c r="F5789" s="81">
        <v>41250.0</v>
      </c>
      <c r="G5789" s="80" t="s">
        <v>23180</v>
      </c>
      <c r="H5789" s="82"/>
      <c r="I5789" s="82"/>
      <c r="J5789" s="63" t="s">
        <v>136</v>
      </c>
      <c r="K5789" s="81">
        <v>43507.0</v>
      </c>
      <c r="L5789" s="80" t="s">
        <v>2743</v>
      </c>
      <c r="M5789" s="80" t="s">
        <v>27</v>
      </c>
      <c r="N5789" s="116"/>
      <c r="O5789" s="51"/>
    </row>
    <row r="5790">
      <c r="A5790" s="56">
        <v>5787.0</v>
      </c>
      <c r="B5790" s="241"/>
      <c r="C5790" s="79" t="s">
        <v>23181</v>
      </c>
      <c r="D5790" s="71"/>
      <c r="E5790" s="80" t="s">
        <v>23182</v>
      </c>
      <c r="F5790" s="81">
        <v>43168.0</v>
      </c>
      <c r="G5790" s="80" t="s">
        <v>23183</v>
      </c>
      <c r="H5790" s="82"/>
      <c r="I5790" s="82"/>
      <c r="J5790" s="63" t="s">
        <v>136</v>
      </c>
      <c r="K5790" s="81">
        <v>43507.0</v>
      </c>
      <c r="L5790" s="80" t="s">
        <v>2743</v>
      </c>
      <c r="M5790" s="80" t="s">
        <v>27</v>
      </c>
      <c r="N5790" s="116"/>
      <c r="O5790" s="51"/>
    </row>
    <row r="5791">
      <c r="A5791" s="75">
        <v>5788.0</v>
      </c>
      <c r="B5791" s="240"/>
      <c r="C5791" s="69" t="s">
        <v>23184</v>
      </c>
      <c r="D5791" s="71"/>
      <c r="E5791" s="68" t="s">
        <v>23185</v>
      </c>
      <c r="F5791" s="76">
        <v>41612.0</v>
      </c>
      <c r="G5791" s="68" t="s">
        <v>23186</v>
      </c>
      <c r="H5791" s="68" t="s">
        <v>23187</v>
      </c>
      <c r="I5791" s="71"/>
      <c r="J5791" s="68" t="s">
        <v>23188</v>
      </c>
      <c r="K5791" s="76">
        <v>43507.0</v>
      </c>
      <c r="L5791" s="68" t="s">
        <v>2743</v>
      </c>
      <c r="M5791" s="68" t="s">
        <v>7530</v>
      </c>
      <c r="N5791" s="116"/>
      <c r="O5791" s="51"/>
    </row>
    <row r="5792">
      <c r="A5792" s="56">
        <v>5789.0</v>
      </c>
      <c r="B5792" s="240"/>
      <c r="C5792" s="69" t="s">
        <v>23189</v>
      </c>
      <c r="D5792" s="71"/>
      <c r="E5792" s="68" t="s">
        <v>23190</v>
      </c>
      <c r="F5792" s="76">
        <v>42051.0</v>
      </c>
      <c r="G5792" s="68" t="s">
        <v>23191</v>
      </c>
      <c r="H5792" s="71"/>
      <c r="I5792" s="71"/>
      <c r="J5792" s="68" t="s">
        <v>23192</v>
      </c>
      <c r="K5792" s="76">
        <v>43507.0</v>
      </c>
      <c r="L5792" s="68" t="s">
        <v>2743</v>
      </c>
      <c r="M5792" s="68" t="s">
        <v>282</v>
      </c>
      <c r="N5792" s="116"/>
      <c r="O5792" s="51"/>
    </row>
    <row r="5793">
      <c r="A5793" s="56">
        <v>5790.0</v>
      </c>
      <c r="B5793" s="240"/>
      <c r="C5793" s="69" t="s">
        <v>23193</v>
      </c>
      <c r="D5793" s="71"/>
      <c r="E5793" s="68" t="s">
        <v>23194</v>
      </c>
      <c r="F5793" s="76">
        <v>43484.0</v>
      </c>
      <c r="G5793" s="68" t="s">
        <v>23195</v>
      </c>
      <c r="H5793" s="71"/>
      <c r="I5793" s="71"/>
      <c r="J5793" s="68" t="s">
        <v>23196</v>
      </c>
      <c r="K5793" s="76">
        <v>43508.0</v>
      </c>
      <c r="L5793" s="68" t="s">
        <v>2743</v>
      </c>
      <c r="M5793" s="68" t="s">
        <v>530</v>
      </c>
      <c r="N5793" s="116"/>
      <c r="O5793" s="51"/>
    </row>
    <row r="5794">
      <c r="A5794" s="75">
        <v>5791.0</v>
      </c>
      <c r="B5794" s="240"/>
      <c r="C5794" s="69" t="s">
        <v>23197</v>
      </c>
      <c r="D5794" s="71"/>
      <c r="E5794" s="68" t="s">
        <v>23198</v>
      </c>
      <c r="F5794" s="76">
        <v>42408.0</v>
      </c>
      <c r="G5794" s="68" t="s">
        <v>23199</v>
      </c>
      <c r="H5794" s="71"/>
      <c r="I5794" s="71"/>
      <c r="J5794" s="68" t="s">
        <v>23200</v>
      </c>
      <c r="K5794" s="76">
        <v>43508.0</v>
      </c>
      <c r="L5794" s="68" t="s">
        <v>2743</v>
      </c>
      <c r="M5794" s="68" t="s">
        <v>166</v>
      </c>
      <c r="N5794" s="116"/>
      <c r="O5794" s="51"/>
    </row>
    <row r="5795">
      <c r="A5795" s="56">
        <v>5792.0</v>
      </c>
      <c r="B5795" s="240"/>
      <c r="C5795" s="69" t="s">
        <v>23201</v>
      </c>
      <c r="D5795" s="71"/>
      <c r="E5795" s="68" t="s">
        <v>23202</v>
      </c>
      <c r="F5795" s="76">
        <v>42552.0</v>
      </c>
      <c r="G5795" s="68" t="s">
        <v>23203</v>
      </c>
      <c r="H5795" s="71"/>
      <c r="I5795" s="71"/>
      <c r="J5795" s="68" t="s">
        <v>23204</v>
      </c>
      <c r="K5795" s="76">
        <v>43508.0</v>
      </c>
      <c r="L5795" s="68" t="s">
        <v>2743</v>
      </c>
      <c r="M5795" s="68" t="s">
        <v>125</v>
      </c>
      <c r="N5795" s="116"/>
      <c r="O5795" s="51"/>
    </row>
    <row r="5796">
      <c r="A5796" s="56">
        <v>5793.0</v>
      </c>
      <c r="B5796" s="241"/>
      <c r="C5796" s="79" t="s">
        <v>23205</v>
      </c>
      <c r="D5796" s="71"/>
      <c r="E5796" s="80" t="s">
        <v>23206</v>
      </c>
      <c r="F5796" s="98">
        <v>41232.0</v>
      </c>
      <c r="G5796" s="80" t="s">
        <v>23207</v>
      </c>
      <c r="H5796" s="82"/>
      <c r="I5796" s="82"/>
      <c r="J5796" s="63" t="s">
        <v>136</v>
      </c>
      <c r="K5796" s="81">
        <v>43508.0</v>
      </c>
      <c r="L5796" s="80" t="s">
        <v>16185</v>
      </c>
      <c r="M5796" s="80" t="s">
        <v>166</v>
      </c>
      <c r="N5796" s="116"/>
      <c r="O5796" s="51"/>
    </row>
    <row r="5797">
      <c r="A5797" s="56">
        <v>5794.0</v>
      </c>
      <c r="B5797" s="241"/>
      <c r="C5797" s="79" t="s">
        <v>23208</v>
      </c>
      <c r="D5797" s="71"/>
      <c r="E5797" s="80" t="s">
        <v>23209</v>
      </c>
      <c r="F5797" s="98">
        <v>41232.0</v>
      </c>
      <c r="G5797" s="80" t="s">
        <v>23207</v>
      </c>
      <c r="H5797" s="82"/>
      <c r="I5797" s="82"/>
      <c r="J5797" s="63" t="s">
        <v>136</v>
      </c>
      <c r="K5797" s="81">
        <v>43508.0</v>
      </c>
      <c r="L5797" s="80" t="s">
        <v>16185</v>
      </c>
      <c r="M5797" s="80" t="s">
        <v>166</v>
      </c>
      <c r="N5797" s="116"/>
      <c r="O5797" s="51"/>
    </row>
    <row r="5798">
      <c r="A5798" s="56">
        <v>5795.0</v>
      </c>
      <c r="B5798" s="241"/>
      <c r="C5798" s="79" t="s">
        <v>23210</v>
      </c>
      <c r="D5798" s="71"/>
      <c r="E5798" s="80" t="s">
        <v>23211</v>
      </c>
      <c r="F5798" s="81">
        <v>41456.0</v>
      </c>
      <c r="G5798" s="80" t="s">
        <v>23212</v>
      </c>
      <c r="H5798" s="82"/>
      <c r="I5798" s="82"/>
      <c r="J5798" s="63" t="s">
        <v>136</v>
      </c>
      <c r="K5798" s="81">
        <v>43508.0</v>
      </c>
      <c r="L5798" s="80" t="s">
        <v>2743</v>
      </c>
      <c r="M5798" s="80" t="s">
        <v>195</v>
      </c>
      <c r="N5798" s="116"/>
      <c r="O5798" s="51"/>
    </row>
    <row r="5799">
      <c r="A5799" s="56">
        <v>5796.0</v>
      </c>
      <c r="B5799" s="240"/>
      <c r="C5799" s="69" t="s">
        <v>23213</v>
      </c>
      <c r="D5799" s="71"/>
      <c r="E5799" s="68" t="s">
        <v>23214</v>
      </c>
      <c r="F5799" s="76">
        <v>42281.0</v>
      </c>
      <c r="G5799" s="68" t="s">
        <v>23215</v>
      </c>
      <c r="H5799" s="71"/>
      <c r="I5799" s="71"/>
      <c r="J5799" s="68" t="s">
        <v>23216</v>
      </c>
      <c r="K5799" s="76">
        <v>43508.0</v>
      </c>
      <c r="L5799" s="68" t="s">
        <v>2743</v>
      </c>
      <c r="M5799" s="68" t="s">
        <v>27</v>
      </c>
      <c r="N5799" s="116"/>
      <c r="O5799" s="51"/>
    </row>
    <row r="5800">
      <c r="A5800" s="56">
        <v>5797.0</v>
      </c>
      <c r="B5800" s="240"/>
      <c r="C5800" s="69" t="s">
        <v>23217</v>
      </c>
      <c r="D5800" s="71"/>
      <c r="E5800" s="68" t="s">
        <v>23218</v>
      </c>
      <c r="F5800" s="83">
        <v>41999.0</v>
      </c>
      <c r="G5800" s="68" t="s">
        <v>23219</v>
      </c>
      <c r="H5800" s="71"/>
      <c r="I5800" s="71"/>
      <c r="J5800" s="87" t="s">
        <v>23220</v>
      </c>
      <c r="K5800" s="76">
        <v>43508.0</v>
      </c>
      <c r="L5800" s="68" t="s">
        <v>2743</v>
      </c>
      <c r="M5800" s="68" t="s">
        <v>125</v>
      </c>
      <c r="N5800" s="116"/>
      <c r="O5800" s="51"/>
    </row>
    <row r="5801">
      <c r="A5801" s="56">
        <v>5798.0</v>
      </c>
      <c r="B5801" s="240"/>
      <c r="C5801" s="69" t="s">
        <v>23221</v>
      </c>
      <c r="D5801" s="71"/>
      <c r="E5801" s="68" t="s">
        <v>23222</v>
      </c>
      <c r="F5801" s="76">
        <v>43496.0</v>
      </c>
      <c r="G5801" s="68" t="s">
        <v>23223</v>
      </c>
      <c r="H5801" s="71"/>
      <c r="I5801" s="71"/>
      <c r="J5801" s="87" t="s">
        <v>23224</v>
      </c>
      <c r="K5801" s="76">
        <v>43508.0</v>
      </c>
      <c r="L5801" s="68" t="s">
        <v>2743</v>
      </c>
      <c r="M5801" s="68" t="s">
        <v>31</v>
      </c>
      <c r="N5801" s="116"/>
      <c r="O5801" s="51"/>
    </row>
    <row r="5802">
      <c r="A5802" s="56">
        <v>5799.0</v>
      </c>
      <c r="B5802" s="241"/>
      <c r="C5802" s="79" t="s">
        <v>23225</v>
      </c>
      <c r="D5802" s="71"/>
      <c r="E5802" s="80" t="s">
        <v>23226</v>
      </c>
      <c r="F5802" s="98">
        <v>43445.0</v>
      </c>
      <c r="G5802" s="80" t="s">
        <v>23227</v>
      </c>
      <c r="H5802" s="80" t="s">
        <v>23228</v>
      </c>
      <c r="I5802" s="80" t="s">
        <v>23229</v>
      </c>
      <c r="J5802" s="63" t="s">
        <v>136</v>
      </c>
      <c r="K5802" s="81">
        <v>43508.0</v>
      </c>
      <c r="L5802" s="80" t="s">
        <v>2743</v>
      </c>
      <c r="M5802" s="80" t="s">
        <v>2152</v>
      </c>
      <c r="N5802" s="116"/>
      <c r="O5802" s="51"/>
    </row>
    <row r="5803">
      <c r="A5803" s="56">
        <v>5800.0</v>
      </c>
      <c r="B5803" s="240"/>
      <c r="C5803" s="69" t="s">
        <v>23230</v>
      </c>
      <c r="D5803" s="71"/>
      <c r="E5803" s="68" t="s">
        <v>23231</v>
      </c>
      <c r="F5803" s="76">
        <v>43188.0</v>
      </c>
      <c r="G5803" s="68" t="s">
        <v>23232</v>
      </c>
      <c r="H5803" s="71"/>
      <c r="I5803" s="71"/>
      <c r="J5803" s="68" t="s">
        <v>23233</v>
      </c>
      <c r="K5803" s="76">
        <v>43508.0</v>
      </c>
      <c r="L5803" s="68" t="s">
        <v>2743</v>
      </c>
      <c r="M5803" s="68" t="s">
        <v>125</v>
      </c>
      <c r="N5803" s="116"/>
      <c r="O5803" s="51"/>
    </row>
    <row r="5804">
      <c r="A5804" s="56">
        <v>5801.0</v>
      </c>
      <c r="B5804" s="241"/>
      <c r="C5804" s="79" t="s">
        <v>23234</v>
      </c>
      <c r="D5804" s="71"/>
      <c r="E5804" s="80" t="s">
        <v>23235</v>
      </c>
      <c r="F5804" s="81">
        <v>40408.0</v>
      </c>
      <c r="G5804" s="80" t="s">
        <v>23236</v>
      </c>
      <c r="H5804" s="82"/>
      <c r="I5804" s="82"/>
      <c r="J5804" s="63" t="s">
        <v>136</v>
      </c>
      <c r="K5804" s="81">
        <v>43508.0</v>
      </c>
      <c r="L5804" s="80" t="s">
        <v>2743</v>
      </c>
      <c r="M5804" s="80" t="s">
        <v>368</v>
      </c>
      <c r="N5804" s="116"/>
      <c r="O5804" s="51"/>
    </row>
    <row r="5805">
      <c r="A5805" s="75">
        <v>5802.0</v>
      </c>
      <c r="B5805" s="240"/>
      <c r="C5805" s="69" t="s">
        <v>23237</v>
      </c>
      <c r="D5805" s="71"/>
      <c r="E5805" s="68" t="s">
        <v>23238</v>
      </c>
      <c r="F5805" s="76">
        <v>43365.0</v>
      </c>
      <c r="G5805" s="68" t="s">
        <v>23239</v>
      </c>
      <c r="H5805" s="71"/>
      <c r="I5805" s="68" t="s">
        <v>23240</v>
      </c>
      <c r="J5805" s="68" t="s">
        <v>23241</v>
      </c>
      <c r="K5805" s="76">
        <v>43508.0</v>
      </c>
      <c r="L5805" s="68" t="s">
        <v>2743</v>
      </c>
      <c r="M5805" s="68" t="s">
        <v>1509</v>
      </c>
      <c r="N5805" s="116"/>
      <c r="O5805" s="51"/>
    </row>
    <row r="5806">
      <c r="A5806" s="56">
        <v>5803.0</v>
      </c>
      <c r="B5806" s="241"/>
      <c r="C5806" s="79" t="s">
        <v>23242</v>
      </c>
      <c r="D5806" s="71"/>
      <c r="E5806" s="80" t="s">
        <v>23243</v>
      </c>
      <c r="F5806" s="81">
        <v>41818.0</v>
      </c>
      <c r="G5806" s="80" t="s">
        <v>23244</v>
      </c>
      <c r="H5806" s="82"/>
      <c r="I5806" s="80" t="s">
        <v>23245</v>
      </c>
      <c r="J5806" s="63" t="s">
        <v>136</v>
      </c>
      <c r="K5806" s="81">
        <v>43508.0</v>
      </c>
      <c r="L5806" s="80" t="s">
        <v>2743</v>
      </c>
      <c r="M5806" s="80" t="s">
        <v>4273</v>
      </c>
      <c r="N5806" s="116"/>
      <c r="O5806" s="51"/>
    </row>
    <row r="5807">
      <c r="A5807" s="56">
        <v>5804.0</v>
      </c>
      <c r="B5807" s="240"/>
      <c r="C5807" s="69" t="s">
        <v>23246</v>
      </c>
      <c r="D5807" s="71"/>
      <c r="E5807" s="68" t="s">
        <v>23247</v>
      </c>
      <c r="F5807" s="76">
        <v>40214.0</v>
      </c>
      <c r="G5807" s="68" t="s">
        <v>23248</v>
      </c>
      <c r="H5807" s="71"/>
      <c r="I5807" s="71"/>
      <c r="J5807" s="68" t="s">
        <v>23249</v>
      </c>
      <c r="K5807" s="76">
        <v>43508.0</v>
      </c>
      <c r="L5807" s="68" t="s">
        <v>2743</v>
      </c>
      <c r="M5807" s="68" t="s">
        <v>941</v>
      </c>
      <c r="N5807" s="116"/>
      <c r="O5807" s="51"/>
    </row>
    <row r="5808">
      <c r="A5808" s="56">
        <v>5805.0</v>
      </c>
      <c r="B5808" s="241"/>
      <c r="C5808" s="79" t="s">
        <v>23250</v>
      </c>
      <c r="D5808" s="71"/>
      <c r="E5808" s="80" t="s">
        <v>23251</v>
      </c>
      <c r="F5808" s="81">
        <v>40557.0</v>
      </c>
      <c r="G5808" s="80" t="s">
        <v>23252</v>
      </c>
      <c r="H5808" s="80" t="s">
        <v>23253</v>
      </c>
      <c r="I5808" s="82"/>
      <c r="J5808" s="63" t="s">
        <v>136</v>
      </c>
      <c r="K5808" s="81">
        <v>43508.0</v>
      </c>
      <c r="L5808" s="80" t="s">
        <v>2743</v>
      </c>
      <c r="M5808" s="80" t="s">
        <v>6875</v>
      </c>
      <c r="N5808" s="116"/>
      <c r="O5808" s="51"/>
    </row>
    <row r="5809">
      <c r="A5809" s="56">
        <v>5806.0</v>
      </c>
      <c r="B5809" s="240"/>
      <c r="C5809" s="69" t="s">
        <v>23254</v>
      </c>
      <c r="D5809" s="71"/>
      <c r="E5809" s="68" t="s">
        <v>23255</v>
      </c>
      <c r="F5809" s="76">
        <v>41456.0</v>
      </c>
      <c r="G5809" s="68" t="s">
        <v>23256</v>
      </c>
      <c r="H5809" s="71"/>
      <c r="I5809" s="71"/>
      <c r="J5809" s="68" t="s">
        <v>23257</v>
      </c>
      <c r="K5809" s="76">
        <v>43508.0</v>
      </c>
      <c r="L5809" s="68" t="s">
        <v>2743</v>
      </c>
      <c r="M5809" s="68" t="s">
        <v>125</v>
      </c>
      <c r="N5809" s="116"/>
      <c r="O5809" s="51"/>
    </row>
    <row r="5810">
      <c r="A5810" s="56">
        <v>5807.0</v>
      </c>
      <c r="B5810" s="241"/>
      <c r="C5810" s="79" t="s">
        <v>23258</v>
      </c>
      <c r="D5810" s="71"/>
      <c r="E5810" s="80" t="s">
        <v>23259</v>
      </c>
      <c r="F5810" s="81">
        <v>41950.0</v>
      </c>
      <c r="G5810" s="80" t="s">
        <v>23260</v>
      </c>
      <c r="H5810" s="80" t="s">
        <v>23261</v>
      </c>
      <c r="I5810" s="80" t="s">
        <v>23262</v>
      </c>
      <c r="J5810" s="63" t="s">
        <v>136</v>
      </c>
      <c r="K5810" s="81">
        <v>43508.0</v>
      </c>
      <c r="L5810" s="80" t="s">
        <v>2743</v>
      </c>
      <c r="M5810" s="80" t="s">
        <v>2152</v>
      </c>
      <c r="N5810" s="116"/>
      <c r="O5810" s="51"/>
    </row>
    <row r="5811">
      <c r="A5811" s="56">
        <v>5808.0</v>
      </c>
      <c r="B5811" s="241"/>
      <c r="C5811" s="79" t="s">
        <v>23263</v>
      </c>
      <c r="D5811" s="71"/>
      <c r="E5811" s="80" t="s">
        <v>23264</v>
      </c>
      <c r="F5811" s="81">
        <v>40961.0</v>
      </c>
      <c r="G5811" s="80" t="s">
        <v>23265</v>
      </c>
      <c r="H5811" s="82"/>
      <c r="I5811" s="82"/>
      <c r="J5811" s="63" t="s">
        <v>136</v>
      </c>
      <c r="K5811" s="81">
        <v>43508.0</v>
      </c>
      <c r="L5811" s="80" t="s">
        <v>2743</v>
      </c>
      <c r="M5811" s="80" t="s">
        <v>195</v>
      </c>
      <c r="N5811" s="116"/>
      <c r="O5811" s="51"/>
    </row>
    <row r="5812">
      <c r="A5812" s="56">
        <v>5809.0</v>
      </c>
      <c r="B5812" s="241"/>
      <c r="C5812" s="79" t="s">
        <v>23266</v>
      </c>
      <c r="D5812" s="71"/>
      <c r="E5812" s="80" t="s">
        <v>23267</v>
      </c>
      <c r="F5812" s="81">
        <v>41821.0</v>
      </c>
      <c r="G5812" s="80" t="s">
        <v>23268</v>
      </c>
      <c r="H5812" s="80" t="s">
        <v>439</v>
      </c>
      <c r="I5812" s="82"/>
      <c r="J5812" s="63" t="s">
        <v>136</v>
      </c>
      <c r="K5812" s="81">
        <v>43508.0</v>
      </c>
      <c r="L5812" s="80" t="s">
        <v>2743</v>
      </c>
      <c r="M5812" s="80" t="s">
        <v>6875</v>
      </c>
      <c r="N5812" s="116"/>
      <c r="O5812" s="51"/>
    </row>
    <row r="5813">
      <c r="A5813" s="56">
        <v>5810.0</v>
      </c>
      <c r="B5813" s="241"/>
      <c r="C5813" s="79" t="s">
        <v>23269</v>
      </c>
      <c r="D5813" s="71"/>
      <c r="E5813" s="80" t="s">
        <v>23270</v>
      </c>
      <c r="F5813" s="81">
        <v>40725.0</v>
      </c>
      <c r="G5813" s="80" t="s">
        <v>23271</v>
      </c>
      <c r="H5813" s="82"/>
      <c r="I5813" s="82"/>
      <c r="J5813" s="63" t="s">
        <v>136</v>
      </c>
      <c r="K5813" s="81">
        <v>43508.0</v>
      </c>
      <c r="L5813" s="80" t="s">
        <v>2743</v>
      </c>
      <c r="M5813" s="80" t="s">
        <v>195</v>
      </c>
      <c r="N5813" s="116"/>
      <c r="O5813" s="51"/>
    </row>
    <row r="5814">
      <c r="A5814" s="75">
        <v>5811.0</v>
      </c>
      <c r="B5814" s="240"/>
      <c r="C5814" s="69" t="s">
        <v>23272</v>
      </c>
      <c r="D5814" s="71"/>
      <c r="E5814" s="68" t="s">
        <v>23273</v>
      </c>
      <c r="F5814" s="76">
        <v>42578.0</v>
      </c>
      <c r="G5814" s="68" t="s">
        <v>23274</v>
      </c>
      <c r="H5814" s="71"/>
      <c r="I5814" s="68" t="s">
        <v>23275</v>
      </c>
      <c r="J5814" s="68" t="s">
        <v>23276</v>
      </c>
      <c r="K5814" s="76">
        <v>43509.0</v>
      </c>
      <c r="L5814" s="68" t="s">
        <v>2743</v>
      </c>
      <c r="M5814" s="68" t="s">
        <v>403</v>
      </c>
      <c r="N5814" s="116"/>
      <c r="O5814" s="51"/>
    </row>
    <row r="5815">
      <c r="A5815" s="56">
        <v>5812.0</v>
      </c>
      <c r="B5815" s="241"/>
      <c r="C5815" s="79" t="s">
        <v>23277</v>
      </c>
      <c r="D5815" s="71"/>
      <c r="E5815" s="80" t="s">
        <v>23278</v>
      </c>
      <c r="F5815" s="80" t="s">
        <v>407</v>
      </c>
      <c r="G5815" s="80" t="s">
        <v>23279</v>
      </c>
      <c r="H5815" s="82"/>
      <c r="I5815" s="82"/>
      <c r="J5815" s="63" t="s">
        <v>136</v>
      </c>
      <c r="K5815" s="81">
        <v>43509.0</v>
      </c>
      <c r="L5815" s="80" t="s">
        <v>2743</v>
      </c>
      <c r="M5815" s="80" t="s">
        <v>530</v>
      </c>
      <c r="N5815" s="116"/>
      <c r="O5815" s="51"/>
    </row>
    <row r="5816">
      <c r="A5816" s="56">
        <v>5813.0</v>
      </c>
      <c r="B5816" s="240"/>
      <c r="C5816" s="69" t="s">
        <v>23280</v>
      </c>
      <c r="D5816" s="71"/>
      <c r="E5816" s="68" t="s">
        <v>23281</v>
      </c>
      <c r="F5816" s="68" t="s">
        <v>407</v>
      </c>
      <c r="G5816" s="68" t="s">
        <v>23282</v>
      </c>
      <c r="H5816" s="71"/>
      <c r="I5816" s="71"/>
      <c r="J5816" s="87" t="s">
        <v>23283</v>
      </c>
      <c r="K5816" s="76">
        <v>43509.0</v>
      </c>
      <c r="L5816" s="68" t="s">
        <v>2743</v>
      </c>
      <c r="M5816" s="68" t="s">
        <v>125</v>
      </c>
      <c r="N5816" s="116"/>
      <c r="O5816" s="51"/>
    </row>
    <row r="5817">
      <c r="A5817" s="56">
        <v>5814.0</v>
      </c>
      <c r="B5817" s="240"/>
      <c r="C5817" s="69" t="s">
        <v>23284</v>
      </c>
      <c r="D5817" s="71"/>
      <c r="E5817" s="68" t="s">
        <v>23285</v>
      </c>
      <c r="F5817" s="76">
        <v>41399.0</v>
      </c>
      <c r="G5817" s="68" t="s">
        <v>23286</v>
      </c>
      <c r="H5817" s="71"/>
      <c r="I5817" s="71"/>
      <c r="J5817" s="68" t="s">
        <v>23287</v>
      </c>
      <c r="K5817" s="76">
        <v>43509.0</v>
      </c>
      <c r="L5817" s="68" t="s">
        <v>2743</v>
      </c>
      <c r="M5817" s="68" t="s">
        <v>12947</v>
      </c>
      <c r="N5817" s="116"/>
      <c r="O5817" s="51"/>
    </row>
    <row r="5818">
      <c r="A5818" s="75">
        <v>5815.0</v>
      </c>
      <c r="B5818" s="240"/>
      <c r="C5818" s="69" t="s">
        <v>23288</v>
      </c>
      <c r="D5818" s="71"/>
      <c r="E5818" s="68" t="s">
        <v>23289</v>
      </c>
      <c r="F5818" s="83">
        <v>43085.0</v>
      </c>
      <c r="G5818" s="68" t="s">
        <v>23290</v>
      </c>
      <c r="H5818" s="71"/>
      <c r="I5818" s="71"/>
      <c r="J5818" s="68" t="s">
        <v>23291</v>
      </c>
      <c r="K5818" s="76">
        <v>43509.0</v>
      </c>
      <c r="L5818" s="68" t="s">
        <v>2743</v>
      </c>
      <c r="M5818" s="68" t="s">
        <v>27</v>
      </c>
      <c r="N5818" s="116"/>
      <c r="O5818" s="51"/>
    </row>
    <row r="5819">
      <c r="A5819" s="75">
        <v>5816.0</v>
      </c>
      <c r="B5819" s="240"/>
      <c r="C5819" s="69" t="s">
        <v>23292</v>
      </c>
      <c r="D5819" s="71"/>
      <c r="E5819" s="68" t="s">
        <v>23293</v>
      </c>
      <c r="F5819" s="83">
        <v>43085.0</v>
      </c>
      <c r="G5819" s="68" t="s">
        <v>23294</v>
      </c>
      <c r="H5819" s="71"/>
      <c r="I5819" s="71"/>
      <c r="J5819" s="68" t="s">
        <v>23295</v>
      </c>
      <c r="K5819" s="76">
        <v>43509.0</v>
      </c>
      <c r="L5819" s="68" t="s">
        <v>2743</v>
      </c>
      <c r="M5819" s="68" t="s">
        <v>27</v>
      </c>
      <c r="N5819" s="116"/>
      <c r="O5819" s="51"/>
    </row>
    <row r="5820">
      <c r="A5820" s="75">
        <v>5817.0</v>
      </c>
      <c r="B5820" s="240"/>
      <c r="C5820" s="69" t="s">
        <v>23296</v>
      </c>
      <c r="D5820" s="71"/>
      <c r="E5820" s="68" t="s">
        <v>23297</v>
      </c>
      <c r="F5820" s="83">
        <v>43085.0</v>
      </c>
      <c r="G5820" s="68" t="s">
        <v>23294</v>
      </c>
      <c r="H5820" s="71"/>
      <c r="I5820" s="71"/>
      <c r="J5820" s="68" t="s">
        <v>23298</v>
      </c>
      <c r="K5820" s="76">
        <v>43509.0</v>
      </c>
      <c r="L5820" s="68" t="s">
        <v>2743</v>
      </c>
      <c r="M5820" s="68" t="s">
        <v>27</v>
      </c>
      <c r="N5820" s="116"/>
      <c r="O5820" s="51"/>
    </row>
    <row r="5821">
      <c r="A5821" s="56">
        <v>5818.0</v>
      </c>
      <c r="B5821" s="241"/>
      <c r="C5821" s="79" t="s">
        <v>23299</v>
      </c>
      <c r="D5821" s="71"/>
      <c r="E5821" s="80" t="s">
        <v>23300</v>
      </c>
      <c r="F5821" s="81">
        <v>40990.0</v>
      </c>
      <c r="G5821" s="80" t="s">
        <v>23301</v>
      </c>
      <c r="H5821" s="82"/>
      <c r="I5821" s="82"/>
      <c r="J5821" s="63" t="s">
        <v>136</v>
      </c>
      <c r="K5821" s="81">
        <v>43509.0</v>
      </c>
      <c r="L5821" s="80" t="s">
        <v>2743</v>
      </c>
      <c r="M5821" s="80" t="s">
        <v>166</v>
      </c>
      <c r="N5821" s="116"/>
      <c r="O5821" s="51"/>
    </row>
    <row r="5822">
      <c r="A5822" s="56">
        <v>5819.0</v>
      </c>
      <c r="B5822" s="241"/>
      <c r="C5822" s="79" t="s">
        <v>23302</v>
      </c>
      <c r="D5822" s="71"/>
      <c r="E5822" s="80" t="s">
        <v>23303</v>
      </c>
      <c r="F5822" s="81">
        <v>40990.0</v>
      </c>
      <c r="G5822" s="80" t="s">
        <v>23301</v>
      </c>
      <c r="H5822" s="80" t="s">
        <v>23304</v>
      </c>
      <c r="I5822" s="82"/>
      <c r="J5822" s="63" t="s">
        <v>136</v>
      </c>
      <c r="K5822" s="81">
        <v>43509.0</v>
      </c>
      <c r="L5822" s="80" t="s">
        <v>2743</v>
      </c>
      <c r="M5822" s="80" t="s">
        <v>166</v>
      </c>
      <c r="N5822" s="116"/>
      <c r="O5822" s="51"/>
    </row>
    <row r="5823">
      <c r="A5823" s="56">
        <v>5820.0</v>
      </c>
      <c r="B5823" s="241"/>
      <c r="C5823" s="79" t="s">
        <v>23305</v>
      </c>
      <c r="D5823" s="71"/>
      <c r="E5823" s="80" t="s">
        <v>23306</v>
      </c>
      <c r="F5823" s="98">
        <v>41985.0</v>
      </c>
      <c r="G5823" s="80" t="s">
        <v>23307</v>
      </c>
      <c r="H5823" s="82"/>
      <c r="I5823" s="82"/>
      <c r="J5823" s="63" t="s">
        <v>136</v>
      </c>
      <c r="K5823" s="81">
        <v>43511.0</v>
      </c>
      <c r="L5823" s="80" t="s">
        <v>2743</v>
      </c>
      <c r="M5823" s="80" t="s">
        <v>368</v>
      </c>
      <c r="N5823" s="116"/>
      <c r="O5823" s="51"/>
    </row>
    <row r="5824">
      <c r="A5824" s="56">
        <v>5821.0</v>
      </c>
      <c r="B5824" s="240"/>
      <c r="C5824" s="69" t="s">
        <v>23308</v>
      </c>
      <c r="D5824" s="71"/>
      <c r="E5824" s="68" t="s">
        <v>23309</v>
      </c>
      <c r="F5824" s="76">
        <v>43494.0</v>
      </c>
      <c r="G5824" s="68" t="s">
        <v>23310</v>
      </c>
      <c r="H5824" s="71"/>
      <c r="I5824" s="71"/>
      <c r="J5824" s="68" t="s">
        <v>23311</v>
      </c>
      <c r="K5824" s="76">
        <v>43511.0</v>
      </c>
      <c r="L5824" s="68" t="s">
        <v>2743</v>
      </c>
      <c r="M5824" s="68" t="s">
        <v>143</v>
      </c>
      <c r="N5824" s="116"/>
      <c r="O5824" s="51"/>
    </row>
    <row r="5825">
      <c r="A5825" s="75">
        <v>5822.0</v>
      </c>
      <c r="B5825" s="240"/>
      <c r="C5825" s="69" t="s">
        <v>23312</v>
      </c>
      <c r="D5825" s="71"/>
      <c r="E5825" s="68" t="s">
        <v>23313</v>
      </c>
      <c r="F5825" s="76">
        <v>43472.0</v>
      </c>
      <c r="G5825" s="68" t="s">
        <v>23314</v>
      </c>
      <c r="H5825" s="71"/>
      <c r="I5825" s="71"/>
      <c r="J5825" s="68" t="s">
        <v>23315</v>
      </c>
      <c r="K5825" s="76">
        <v>43511.0</v>
      </c>
      <c r="L5825" s="68" t="s">
        <v>2743</v>
      </c>
      <c r="M5825" s="68" t="s">
        <v>18270</v>
      </c>
      <c r="N5825" s="116"/>
      <c r="O5825" s="51"/>
    </row>
    <row r="5826">
      <c r="A5826" s="56">
        <v>5823.0</v>
      </c>
      <c r="B5826" s="241"/>
      <c r="C5826" s="79" t="s">
        <v>23316</v>
      </c>
      <c r="D5826" s="71"/>
      <c r="E5826" s="80" t="s">
        <v>23317</v>
      </c>
      <c r="F5826" s="81">
        <v>39995.0</v>
      </c>
      <c r="G5826" s="80" t="s">
        <v>23318</v>
      </c>
      <c r="H5826" s="82"/>
      <c r="I5826" s="82"/>
      <c r="J5826" s="63" t="s">
        <v>136</v>
      </c>
      <c r="K5826" s="81">
        <v>43511.0</v>
      </c>
      <c r="L5826" s="80" t="s">
        <v>2743</v>
      </c>
      <c r="M5826" s="80" t="s">
        <v>368</v>
      </c>
      <c r="N5826" s="116"/>
      <c r="O5826" s="51"/>
    </row>
    <row r="5827">
      <c r="A5827" s="56">
        <v>5824.0</v>
      </c>
      <c r="B5827" s="241"/>
      <c r="C5827" s="79" t="s">
        <v>23319</v>
      </c>
      <c r="D5827" s="71"/>
      <c r="E5827" s="80" t="s">
        <v>23320</v>
      </c>
      <c r="F5827" s="81">
        <v>39995.0</v>
      </c>
      <c r="G5827" s="80" t="s">
        <v>23321</v>
      </c>
      <c r="H5827" s="80" t="s">
        <v>23322</v>
      </c>
      <c r="I5827" s="80" t="s">
        <v>23323</v>
      </c>
      <c r="J5827" s="63" t="s">
        <v>136</v>
      </c>
      <c r="K5827" s="81">
        <v>43511.0</v>
      </c>
      <c r="L5827" s="80" t="s">
        <v>2743</v>
      </c>
      <c r="M5827" s="80" t="s">
        <v>530</v>
      </c>
      <c r="N5827" s="116"/>
      <c r="O5827" s="51"/>
    </row>
    <row r="5828">
      <c r="A5828" s="56">
        <v>5825.0</v>
      </c>
      <c r="B5828" s="241"/>
      <c r="C5828" s="79" t="s">
        <v>23324</v>
      </c>
      <c r="D5828" s="71"/>
      <c r="E5828" s="80" t="s">
        <v>23325</v>
      </c>
      <c r="F5828" s="81">
        <v>39995.0</v>
      </c>
      <c r="G5828" s="80" t="s">
        <v>23326</v>
      </c>
      <c r="H5828" s="80" t="s">
        <v>23327</v>
      </c>
      <c r="I5828" s="82"/>
      <c r="J5828" s="63" t="s">
        <v>136</v>
      </c>
      <c r="K5828" s="81">
        <v>43511.0</v>
      </c>
      <c r="L5828" s="80" t="s">
        <v>2743</v>
      </c>
      <c r="M5828" s="80" t="s">
        <v>530</v>
      </c>
      <c r="N5828" s="116"/>
      <c r="O5828" s="51"/>
    </row>
    <row r="5829">
      <c r="A5829" s="56">
        <v>5826.0</v>
      </c>
      <c r="B5829" s="241"/>
      <c r="C5829" s="79" t="s">
        <v>23328</v>
      </c>
      <c r="D5829" s="71"/>
      <c r="E5829" s="80" t="s">
        <v>23329</v>
      </c>
      <c r="F5829" s="81">
        <v>43259.0</v>
      </c>
      <c r="G5829" s="80" t="s">
        <v>23330</v>
      </c>
      <c r="H5829" s="82"/>
      <c r="I5829" s="82"/>
      <c r="J5829" s="63" t="s">
        <v>136</v>
      </c>
      <c r="K5829" s="81">
        <v>43516.0</v>
      </c>
      <c r="L5829" s="80" t="s">
        <v>2743</v>
      </c>
      <c r="M5829" s="80" t="s">
        <v>149</v>
      </c>
      <c r="N5829" s="116"/>
      <c r="O5829" s="51"/>
    </row>
    <row r="5830">
      <c r="A5830" s="56">
        <v>5827.0</v>
      </c>
      <c r="B5830" s="240"/>
      <c r="C5830" s="69" t="s">
        <v>23331</v>
      </c>
      <c r="D5830" s="71"/>
      <c r="E5830" s="68" t="s">
        <v>23332</v>
      </c>
      <c r="F5830" s="76">
        <v>43480.0</v>
      </c>
      <c r="G5830" s="68" t="s">
        <v>23333</v>
      </c>
      <c r="H5830" s="71"/>
      <c r="I5830" s="71"/>
      <c r="J5830" s="68" t="s">
        <v>23334</v>
      </c>
      <c r="K5830" s="76">
        <v>43516.0</v>
      </c>
      <c r="L5830" s="68" t="s">
        <v>2743</v>
      </c>
      <c r="M5830" s="68" t="s">
        <v>149</v>
      </c>
      <c r="N5830" s="116"/>
      <c r="O5830" s="51"/>
    </row>
    <row r="5831">
      <c r="A5831" s="56">
        <v>5828.0</v>
      </c>
      <c r="B5831" s="240"/>
      <c r="C5831" s="69" t="s">
        <v>23335</v>
      </c>
      <c r="D5831" s="71"/>
      <c r="E5831" s="68" t="s">
        <v>23336</v>
      </c>
      <c r="F5831" s="76">
        <v>43471.0</v>
      </c>
      <c r="G5831" s="68" t="s">
        <v>23337</v>
      </c>
      <c r="H5831" s="71"/>
      <c r="I5831" s="71"/>
      <c r="J5831" s="68" t="s">
        <v>23338</v>
      </c>
      <c r="K5831" s="76">
        <v>43516.0</v>
      </c>
      <c r="L5831" s="68" t="s">
        <v>2743</v>
      </c>
      <c r="M5831" s="68" t="s">
        <v>125</v>
      </c>
      <c r="N5831" s="116"/>
      <c r="O5831" s="51"/>
    </row>
    <row r="5832">
      <c r="A5832" s="56">
        <v>5829.0</v>
      </c>
      <c r="B5832" s="241"/>
      <c r="C5832" s="79" t="s">
        <v>23339</v>
      </c>
      <c r="D5832" s="71"/>
      <c r="E5832" s="80" t="s">
        <v>23340</v>
      </c>
      <c r="F5832" s="81">
        <v>42762.0</v>
      </c>
      <c r="G5832" s="80" t="s">
        <v>23341</v>
      </c>
      <c r="H5832" s="82"/>
      <c r="I5832" s="82"/>
      <c r="J5832" s="63" t="s">
        <v>136</v>
      </c>
      <c r="K5832" s="81">
        <v>43516.0</v>
      </c>
      <c r="L5832" s="80" t="s">
        <v>2743</v>
      </c>
      <c r="M5832" s="80" t="s">
        <v>166</v>
      </c>
      <c r="N5832" s="116"/>
      <c r="O5832" s="51"/>
    </row>
    <row r="5833">
      <c r="A5833" s="56">
        <v>5830.0</v>
      </c>
      <c r="B5833" s="240"/>
      <c r="C5833" s="69" t="s">
        <v>23342</v>
      </c>
      <c r="D5833" s="71"/>
      <c r="E5833" s="68" t="s">
        <v>23343</v>
      </c>
      <c r="F5833" s="76">
        <v>40725.0</v>
      </c>
      <c r="G5833" s="68" t="s">
        <v>23344</v>
      </c>
      <c r="H5833" s="71"/>
      <c r="I5833" s="71"/>
      <c r="J5833" s="68" t="s">
        <v>23345</v>
      </c>
      <c r="K5833" s="76">
        <v>43516.0</v>
      </c>
      <c r="L5833" s="68" t="s">
        <v>2743</v>
      </c>
      <c r="M5833" s="71"/>
      <c r="N5833" s="116"/>
      <c r="O5833" s="51"/>
    </row>
    <row r="5834">
      <c r="A5834" s="56">
        <v>5831.0</v>
      </c>
      <c r="B5834" s="240"/>
      <c r="C5834" s="69" t="s">
        <v>23346</v>
      </c>
      <c r="D5834" s="71"/>
      <c r="E5834" s="68" t="s">
        <v>23347</v>
      </c>
      <c r="F5834" s="83">
        <v>37254.0</v>
      </c>
      <c r="G5834" s="68" t="s">
        <v>23348</v>
      </c>
      <c r="H5834" s="71"/>
      <c r="I5834" s="71"/>
      <c r="J5834" s="68" t="s">
        <v>23349</v>
      </c>
      <c r="K5834" s="76">
        <v>43516.0</v>
      </c>
      <c r="L5834" s="68" t="s">
        <v>2743</v>
      </c>
      <c r="M5834" s="68" t="s">
        <v>530</v>
      </c>
      <c r="N5834" s="116"/>
      <c r="O5834" s="51"/>
    </row>
    <row r="5835">
      <c r="A5835" s="56">
        <v>5832.0</v>
      </c>
      <c r="B5835" s="240"/>
      <c r="C5835" s="69" t="s">
        <v>23350</v>
      </c>
      <c r="D5835" s="71"/>
      <c r="E5835" s="68" t="s">
        <v>23351</v>
      </c>
      <c r="F5835" s="76">
        <v>42445.0</v>
      </c>
      <c r="G5835" s="68" t="s">
        <v>23352</v>
      </c>
      <c r="H5835" s="71"/>
      <c r="I5835" s="71"/>
      <c r="J5835" s="87" t="s">
        <v>23353</v>
      </c>
      <c r="K5835" s="76">
        <v>43516.0</v>
      </c>
      <c r="L5835" s="68" t="s">
        <v>2743</v>
      </c>
      <c r="M5835" s="68" t="s">
        <v>125</v>
      </c>
      <c r="N5835" s="87" t="s">
        <v>23354</v>
      </c>
      <c r="O5835" s="51"/>
    </row>
    <row r="5836">
      <c r="A5836" s="75">
        <v>5833.0</v>
      </c>
      <c r="B5836" s="240"/>
      <c r="C5836" s="69" t="s">
        <v>23355</v>
      </c>
      <c r="D5836" s="71"/>
      <c r="E5836" s="68" t="s">
        <v>23356</v>
      </c>
      <c r="F5836" s="83">
        <v>43401.0</v>
      </c>
      <c r="G5836" s="68" t="s">
        <v>23357</v>
      </c>
      <c r="H5836" s="71"/>
      <c r="I5836" s="71"/>
      <c r="J5836" s="68" t="s">
        <v>23358</v>
      </c>
      <c r="K5836" s="76">
        <v>43522.0</v>
      </c>
      <c r="L5836" s="68" t="s">
        <v>2743</v>
      </c>
      <c r="M5836" s="68" t="s">
        <v>195</v>
      </c>
      <c r="N5836" s="87" t="s">
        <v>23359</v>
      </c>
      <c r="O5836" s="51"/>
    </row>
    <row r="5837">
      <c r="A5837" s="56">
        <v>5834.0</v>
      </c>
      <c r="B5837" s="241"/>
      <c r="C5837" s="79" t="s">
        <v>23360</v>
      </c>
      <c r="D5837" s="71"/>
      <c r="E5837" s="80" t="s">
        <v>23361</v>
      </c>
      <c r="F5837" s="98">
        <v>40473.0</v>
      </c>
      <c r="G5837" s="80" t="s">
        <v>23362</v>
      </c>
      <c r="H5837" s="82"/>
      <c r="I5837" s="82"/>
      <c r="J5837" s="63" t="s">
        <v>136</v>
      </c>
      <c r="K5837" s="81">
        <v>43522.0</v>
      </c>
      <c r="L5837" s="80" t="s">
        <v>2743</v>
      </c>
      <c r="M5837" s="80" t="s">
        <v>2466</v>
      </c>
      <c r="N5837" s="116"/>
      <c r="O5837" s="51"/>
    </row>
    <row r="5838">
      <c r="A5838" s="56">
        <v>5835.0</v>
      </c>
      <c r="B5838" s="241"/>
      <c r="C5838" s="79" t="s">
        <v>23363</v>
      </c>
      <c r="D5838" s="71"/>
      <c r="E5838" s="80" t="s">
        <v>23364</v>
      </c>
      <c r="F5838" s="81">
        <v>41818.0</v>
      </c>
      <c r="G5838" s="80" t="s">
        <v>23365</v>
      </c>
      <c r="H5838" s="82"/>
      <c r="I5838" s="82"/>
      <c r="J5838" s="63" t="s">
        <v>136</v>
      </c>
      <c r="K5838" s="81">
        <v>43522.0</v>
      </c>
      <c r="L5838" s="80" t="s">
        <v>2743</v>
      </c>
      <c r="M5838" s="80" t="s">
        <v>2989</v>
      </c>
      <c r="N5838" s="116"/>
      <c r="O5838" s="51"/>
    </row>
    <row r="5839">
      <c r="A5839" s="56">
        <v>5836.0</v>
      </c>
      <c r="B5839" s="241"/>
      <c r="C5839" s="79" t="s">
        <v>23366</v>
      </c>
      <c r="D5839" s="71"/>
      <c r="E5839" s="80" t="s">
        <v>23367</v>
      </c>
      <c r="F5839" s="81">
        <v>40006.0</v>
      </c>
      <c r="G5839" s="80" t="s">
        <v>23368</v>
      </c>
      <c r="H5839" s="82"/>
      <c r="I5839" s="82"/>
      <c r="J5839" s="63" t="s">
        <v>136</v>
      </c>
      <c r="K5839" s="81">
        <v>43522.0</v>
      </c>
      <c r="L5839" s="80" t="s">
        <v>2743</v>
      </c>
      <c r="M5839" s="80" t="s">
        <v>195</v>
      </c>
      <c r="N5839" s="116"/>
      <c r="O5839" s="51"/>
    </row>
    <row r="5840">
      <c r="A5840" s="75">
        <v>5837.0</v>
      </c>
      <c r="B5840" s="240"/>
      <c r="C5840" s="69" t="s">
        <v>23369</v>
      </c>
      <c r="D5840" s="71"/>
      <c r="E5840" s="68" t="s">
        <v>23370</v>
      </c>
      <c r="F5840" s="76">
        <v>42945.0</v>
      </c>
      <c r="G5840" s="68" t="s">
        <v>23371</v>
      </c>
      <c r="H5840" s="71"/>
      <c r="I5840" s="71"/>
      <c r="J5840" s="68" t="s">
        <v>23372</v>
      </c>
      <c r="K5840" s="76">
        <v>43522.0</v>
      </c>
      <c r="L5840" s="68" t="s">
        <v>2743</v>
      </c>
      <c r="M5840" s="68" t="s">
        <v>27</v>
      </c>
      <c r="N5840" s="116"/>
      <c r="O5840" s="51"/>
    </row>
    <row r="5841">
      <c r="A5841" s="56">
        <v>5838.0</v>
      </c>
      <c r="B5841" s="240"/>
      <c r="C5841" s="69" t="s">
        <v>23373</v>
      </c>
      <c r="D5841" s="71"/>
      <c r="E5841" s="68" t="s">
        <v>23374</v>
      </c>
      <c r="F5841" s="83">
        <v>43027.0</v>
      </c>
      <c r="G5841" s="68" t="s">
        <v>23375</v>
      </c>
      <c r="H5841" s="71"/>
      <c r="I5841" s="68" t="s">
        <v>23376</v>
      </c>
      <c r="J5841" s="68" t="s">
        <v>23377</v>
      </c>
      <c r="K5841" s="76">
        <v>43522.0</v>
      </c>
      <c r="L5841" s="68" t="s">
        <v>2743</v>
      </c>
      <c r="M5841" s="68" t="s">
        <v>27</v>
      </c>
      <c r="N5841" s="116"/>
      <c r="O5841" s="51"/>
    </row>
    <row r="5842">
      <c r="A5842" s="56">
        <v>5839.0</v>
      </c>
      <c r="B5842" s="241"/>
      <c r="C5842" s="79" t="s">
        <v>23378</v>
      </c>
      <c r="D5842" s="71"/>
      <c r="E5842" s="80" t="s">
        <v>23379</v>
      </c>
      <c r="F5842" s="80" t="s">
        <v>23380</v>
      </c>
      <c r="G5842" s="80" t="s">
        <v>23381</v>
      </c>
      <c r="H5842" s="82"/>
      <c r="I5842" s="82"/>
      <c r="J5842" s="63" t="s">
        <v>136</v>
      </c>
      <c r="K5842" s="81">
        <v>43522.0</v>
      </c>
      <c r="L5842" s="80" t="s">
        <v>2743</v>
      </c>
      <c r="M5842" s="80" t="s">
        <v>195</v>
      </c>
      <c r="N5842" s="116"/>
      <c r="O5842" s="51"/>
    </row>
    <row r="5843">
      <c r="A5843" s="56">
        <v>5840.0</v>
      </c>
      <c r="B5843" s="241"/>
      <c r="C5843" s="79" t="s">
        <v>23382</v>
      </c>
      <c r="D5843" s="71"/>
      <c r="E5843" s="80" t="s">
        <v>23383</v>
      </c>
      <c r="F5843" s="81">
        <v>42948.0</v>
      </c>
      <c r="G5843" s="80" t="s">
        <v>23384</v>
      </c>
      <c r="H5843" s="82"/>
      <c r="I5843" s="80" t="s">
        <v>23385</v>
      </c>
      <c r="J5843" s="63" t="s">
        <v>136</v>
      </c>
      <c r="K5843" s="81">
        <v>43522.0</v>
      </c>
      <c r="L5843" s="80" t="s">
        <v>2743</v>
      </c>
      <c r="M5843" s="80" t="s">
        <v>27</v>
      </c>
      <c r="N5843" s="116"/>
      <c r="O5843" s="51"/>
    </row>
    <row r="5844">
      <c r="A5844" s="56">
        <v>5841.0</v>
      </c>
      <c r="B5844" s="241"/>
      <c r="C5844" s="79" t="s">
        <v>23386</v>
      </c>
      <c r="D5844" s="71"/>
      <c r="E5844" s="80" t="s">
        <v>23387</v>
      </c>
      <c r="F5844" s="81">
        <v>41440.0</v>
      </c>
      <c r="G5844" s="80" t="s">
        <v>23388</v>
      </c>
      <c r="H5844" s="82"/>
      <c r="I5844" s="80" t="s">
        <v>23389</v>
      </c>
      <c r="J5844" s="63" t="s">
        <v>136</v>
      </c>
      <c r="K5844" s="81">
        <v>43522.0</v>
      </c>
      <c r="L5844" s="80" t="s">
        <v>2743</v>
      </c>
      <c r="M5844" s="80" t="s">
        <v>27</v>
      </c>
      <c r="N5844" s="116"/>
      <c r="O5844" s="51"/>
    </row>
    <row r="5845">
      <c r="A5845" s="56">
        <v>5842.0</v>
      </c>
      <c r="B5845" s="240"/>
      <c r="C5845" s="69" t="s">
        <v>23390</v>
      </c>
      <c r="D5845" s="71"/>
      <c r="E5845" s="68" t="s">
        <v>23391</v>
      </c>
      <c r="F5845" s="76">
        <v>41899.0</v>
      </c>
      <c r="G5845" s="68" t="s">
        <v>23392</v>
      </c>
      <c r="H5845" s="71"/>
      <c r="I5845" s="68" t="s">
        <v>23393</v>
      </c>
      <c r="J5845" s="68" t="s">
        <v>23394</v>
      </c>
      <c r="K5845" s="76">
        <v>43522.0</v>
      </c>
      <c r="L5845" s="68" t="s">
        <v>2743</v>
      </c>
      <c r="M5845" s="68" t="s">
        <v>27</v>
      </c>
      <c r="N5845" s="116"/>
      <c r="O5845" s="51"/>
    </row>
    <row r="5846">
      <c r="A5846" s="56">
        <v>5843.0</v>
      </c>
      <c r="B5846" s="240"/>
      <c r="C5846" s="69" t="s">
        <v>23395</v>
      </c>
      <c r="D5846" s="71"/>
      <c r="E5846" s="68" t="s">
        <v>23396</v>
      </c>
      <c r="F5846" s="76">
        <v>36761.0</v>
      </c>
      <c r="G5846" s="68" t="s">
        <v>23397</v>
      </c>
      <c r="H5846" s="71"/>
      <c r="I5846" s="71"/>
      <c r="J5846" s="68" t="s">
        <v>23398</v>
      </c>
      <c r="K5846" s="76">
        <v>43522.0</v>
      </c>
      <c r="L5846" s="68" t="s">
        <v>2743</v>
      </c>
      <c r="M5846" s="68" t="s">
        <v>27</v>
      </c>
      <c r="N5846" s="116"/>
      <c r="O5846" s="51"/>
    </row>
    <row r="5847">
      <c r="A5847" s="75">
        <v>5844.0</v>
      </c>
      <c r="B5847" s="240"/>
      <c r="C5847" s="69" t="s">
        <v>23399</v>
      </c>
      <c r="D5847" s="71"/>
      <c r="E5847" s="68" t="s">
        <v>23400</v>
      </c>
      <c r="F5847" s="76">
        <v>38563.0</v>
      </c>
      <c r="G5847" s="68" t="s">
        <v>23401</v>
      </c>
      <c r="H5847" s="71"/>
      <c r="I5847" s="68" t="s">
        <v>23402</v>
      </c>
      <c r="J5847" s="68" t="s">
        <v>23403</v>
      </c>
      <c r="K5847" s="76">
        <v>43524.0</v>
      </c>
      <c r="L5847" s="68" t="s">
        <v>2743</v>
      </c>
      <c r="M5847" s="68" t="s">
        <v>31</v>
      </c>
      <c r="N5847" s="116"/>
      <c r="O5847" s="51"/>
    </row>
    <row r="5848">
      <c r="A5848" s="56">
        <v>5845.0</v>
      </c>
      <c r="B5848" s="241"/>
      <c r="C5848" s="79" t="s">
        <v>23404</v>
      </c>
      <c r="D5848" s="71"/>
      <c r="E5848" s="80" t="s">
        <v>23405</v>
      </c>
      <c r="F5848" s="81">
        <v>37073.0</v>
      </c>
      <c r="G5848" s="80" t="s">
        <v>23406</v>
      </c>
      <c r="H5848" s="80" t="s">
        <v>439</v>
      </c>
      <c r="I5848" s="82"/>
      <c r="J5848" s="63" t="s">
        <v>136</v>
      </c>
      <c r="K5848" s="81">
        <v>43524.0</v>
      </c>
      <c r="L5848" s="80" t="s">
        <v>2743</v>
      </c>
      <c r="M5848" s="80" t="s">
        <v>530</v>
      </c>
      <c r="N5848" s="116"/>
      <c r="O5848" s="51"/>
    </row>
    <row r="5849">
      <c r="A5849" s="75">
        <v>5846.0</v>
      </c>
      <c r="B5849" s="240"/>
      <c r="C5849" s="69" t="s">
        <v>23407</v>
      </c>
      <c r="D5849" s="71"/>
      <c r="E5849" s="68" t="s">
        <v>23408</v>
      </c>
      <c r="F5849" s="76">
        <v>37073.0</v>
      </c>
      <c r="G5849" s="68" t="s">
        <v>23409</v>
      </c>
      <c r="H5849" s="68" t="s">
        <v>23410</v>
      </c>
      <c r="I5849" s="68" t="s">
        <v>23411</v>
      </c>
      <c r="J5849" s="68" t="s">
        <v>23412</v>
      </c>
      <c r="K5849" s="76">
        <v>43524.0</v>
      </c>
      <c r="L5849" s="68" t="s">
        <v>2743</v>
      </c>
      <c r="M5849" s="68" t="s">
        <v>530</v>
      </c>
      <c r="N5849" s="116"/>
      <c r="O5849" s="51"/>
    </row>
    <row r="5850">
      <c r="A5850" s="75">
        <v>5847.0</v>
      </c>
      <c r="B5850" s="240"/>
      <c r="C5850" s="69" t="s">
        <v>23413</v>
      </c>
      <c r="D5850" s="71"/>
      <c r="E5850" s="68" t="s">
        <v>23414</v>
      </c>
      <c r="F5850" s="76">
        <v>41091.0</v>
      </c>
      <c r="G5850" s="68" t="s">
        <v>23415</v>
      </c>
      <c r="H5850" s="71"/>
      <c r="I5850" s="71"/>
      <c r="J5850" s="68" t="s">
        <v>23416</v>
      </c>
      <c r="K5850" s="76">
        <v>43524.0</v>
      </c>
      <c r="L5850" s="68" t="s">
        <v>2743</v>
      </c>
      <c r="M5850" s="68" t="s">
        <v>201</v>
      </c>
      <c r="N5850" s="116"/>
      <c r="O5850" s="51"/>
    </row>
    <row r="5851">
      <c r="A5851" s="56">
        <v>5848.0</v>
      </c>
      <c r="B5851" s="240"/>
      <c r="C5851" s="69" t="s">
        <v>23417</v>
      </c>
      <c r="D5851" s="71"/>
      <c r="E5851" s="68" t="s">
        <v>23418</v>
      </c>
      <c r="F5851" s="76">
        <v>43327.0</v>
      </c>
      <c r="G5851" s="68" t="s">
        <v>23419</v>
      </c>
      <c r="H5851" s="71"/>
      <c r="I5851" s="71"/>
      <c r="J5851" s="87" t="s">
        <v>23420</v>
      </c>
      <c r="K5851" s="76">
        <v>43524.0</v>
      </c>
      <c r="L5851" s="68" t="s">
        <v>2743</v>
      </c>
      <c r="M5851" s="68" t="s">
        <v>3528</v>
      </c>
      <c r="N5851" s="116"/>
      <c r="O5851" s="51"/>
    </row>
    <row r="5852">
      <c r="A5852" s="56">
        <v>5849.0</v>
      </c>
      <c r="B5852" s="241"/>
      <c r="C5852" s="79" t="s">
        <v>23421</v>
      </c>
      <c r="D5852" s="71"/>
      <c r="E5852" s="80" t="s">
        <v>23422</v>
      </c>
      <c r="F5852" s="80" t="s">
        <v>407</v>
      </c>
      <c r="G5852" s="80" t="s">
        <v>23423</v>
      </c>
      <c r="H5852" s="82"/>
      <c r="I5852" s="80" t="s">
        <v>23424</v>
      </c>
      <c r="J5852" s="63" t="s">
        <v>136</v>
      </c>
      <c r="K5852" s="81">
        <v>43524.0</v>
      </c>
      <c r="L5852" s="80" t="s">
        <v>2743</v>
      </c>
      <c r="M5852" s="80" t="s">
        <v>18270</v>
      </c>
      <c r="N5852" s="116"/>
      <c r="O5852" s="51"/>
    </row>
    <row r="5853">
      <c r="A5853" s="56">
        <v>5850.0</v>
      </c>
      <c r="B5853" s="240"/>
      <c r="C5853" s="69" t="s">
        <v>23425</v>
      </c>
      <c r="D5853" s="71"/>
      <c r="E5853" s="68" t="s">
        <v>23426</v>
      </c>
      <c r="F5853" s="76">
        <v>42808.0</v>
      </c>
      <c r="G5853" s="68" t="s">
        <v>23427</v>
      </c>
      <c r="H5853" s="71"/>
      <c r="I5853" s="71"/>
      <c r="J5853" s="87" t="s">
        <v>23428</v>
      </c>
      <c r="K5853" s="76">
        <v>43525.0</v>
      </c>
      <c r="L5853" s="68" t="s">
        <v>2743</v>
      </c>
      <c r="M5853" s="68" t="s">
        <v>12947</v>
      </c>
      <c r="N5853" s="116"/>
      <c r="O5853" s="51"/>
    </row>
    <row r="5854">
      <c r="A5854" s="56">
        <v>5851.0</v>
      </c>
      <c r="B5854" s="240"/>
      <c r="C5854" s="69" t="s">
        <v>23429</v>
      </c>
      <c r="D5854" s="71"/>
      <c r="E5854" s="68" t="s">
        <v>23430</v>
      </c>
      <c r="F5854" s="76">
        <v>42181.0</v>
      </c>
      <c r="G5854" s="68" t="s">
        <v>23431</v>
      </c>
      <c r="H5854" s="71"/>
      <c r="I5854" s="71"/>
      <c r="J5854" s="68" t="s">
        <v>23432</v>
      </c>
      <c r="K5854" s="76">
        <v>43525.0</v>
      </c>
      <c r="L5854" s="68" t="s">
        <v>2743</v>
      </c>
      <c r="M5854" s="68" t="s">
        <v>27</v>
      </c>
      <c r="N5854" s="116"/>
      <c r="O5854" s="51"/>
    </row>
    <row r="5855">
      <c r="A5855" s="56">
        <v>5852.0</v>
      </c>
      <c r="B5855" s="241"/>
      <c r="C5855" s="79" t="s">
        <v>23433</v>
      </c>
      <c r="D5855" s="71"/>
      <c r="E5855" s="80" t="s">
        <v>23434</v>
      </c>
      <c r="F5855" s="81">
        <v>40327.0</v>
      </c>
      <c r="G5855" s="80" t="s">
        <v>23435</v>
      </c>
      <c r="H5855" s="80" t="s">
        <v>439</v>
      </c>
      <c r="I5855" s="82"/>
      <c r="J5855" s="63" t="s">
        <v>136</v>
      </c>
      <c r="K5855" s="81">
        <v>43525.0</v>
      </c>
      <c r="L5855" s="80" t="s">
        <v>2743</v>
      </c>
      <c r="M5855" s="80" t="s">
        <v>530</v>
      </c>
      <c r="N5855" s="116"/>
      <c r="O5855" s="51"/>
    </row>
    <row r="5856">
      <c r="A5856" s="56">
        <v>5853.0</v>
      </c>
      <c r="B5856" s="241"/>
      <c r="C5856" s="79" t="s">
        <v>23436</v>
      </c>
      <c r="D5856" s="71"/>
      <c r="E5856" s="80" t="s">
        <v>23437</v>
      </c>
      <c r="F5856" s="81">
        <v>39630.0</v>
      </c>
      <c r="G5856" s="80" t="s">
        <v>23438</v>
      </c>
      <c r="H5856" s="80" t="s">
        <v>23439</v>
      </c>
      <c r="I5856" s="82"/>
      <c r="J5856" s="63" t="s">
        <v>136</v>
      </c>
      <c r="K5856" s="81">
        <v>43525.0</v>
      </c>
      <c r="L5856" s="80" t="s">
        <v>2743</v>
      </c>
      <c r="M5856" s="80" t="s">
        <v>530</v>
      </c>
      <c r="N5856" s="116"/>
      <c r="O5856" s="51"/>
    </row>
    <row r="5857">
      <c r="A5857" s="56">
        <v>5854.0</v>
      </c>
      <c r="B5857" s="241"/>
      <c r="C5857" s="79" t="s">
        <v>23440</v>
      </c>
      <c r="D5857" s="71"/>
      <c r="E5857" s="80" t="s">
        <v>23441</v>
      </c>
      <c r="F5857" s="81">
        <v>42186.0</v>
      </c>
      <c r="G5857" s="80" t="s">
        <v>23442</v>
      </c>
      <c r="H5857" s="82"/>
      <c r="I5857" s="82"/>
      <c r="J5857" s="63" t="s">
        <v>136</v>
      </c>
      <c r="K5857" s="81">
        <v>43526.0</v>
      </c>
      <c r="L5857" s="80" t="s">
        <v>2743</v>
      </c>
      <c r="M5857" s="80" t="s">
        <v>368</v>
      </c>
      <c r="N5857" s="116"/>
      <c r="O5857" s="51"/>
    </row>
    <row r="5858">
      <c r="A5858" s="56">
        <v>5855.0</v>
      </c>
      <c r="B5858" s="240"/>
      <c r="C5858" s="69" t="s">
        <v>23443</v>
      </c>
      <c r="D5858" s="71"/>
      <c r="E5858" s="68" t="s">
        <v>23444</v>
      </c>
      <c r="F5858" s="76">
        <v>43119.0</v>
      </c>
      <c r="G5858" s="68" t="s">
        <v>23445</v>
      </c>
      <c r="H5858" s="71"/>
      <c r="I5858" s="71"/>
      <c r="J5858" s="68" t="s">
        <v>23446</v>
      </c>
      <c r="K5858" s="76">
        <v>43526.0</v>
      </c>
      <c r="L5858" s="68" t="s">
        <v>2743</v>
      </c>
      <c r="M5858" s="68" t="s">
        <v>166</v>
      </c>
      <c r="N5858" s="116"/>
      <c r="O5858" s="51"/>
    </row>
    <row r="5859">
      <c r="A5859" s="56">
        <v>5856.0</v>
      </c>
      <c r="B5859" s="240"/>
      <c r="C5859" s="69" t="s">
        <v>23447</v>
      </c>
      <c r="D5859" s="71"/>
      <c r="E5859" s="68" t="s">
        <v>23448</v>
      </c>
      <c r="F5859" s="76">
        <v>43119.0</v>
      </c>
      <c r="G5859" s="68" t="s">
        <v>23445</v>
      </c>
      <c r="H5859" s="71"/>
      <c r="I5859" s="71"/>
      <c r="J5859" s="68" t="s">
        <v>23449</v>
      </c>
      <c r="K5859" s="76">
        <v>43526.0</v>
      </c>
      <c r="L5859" s="68" t="s">
        <v>2743</v>
      </c>
      <c r="M5859" s="68" t="s">
        <v>166</v>
      </c>
      <c r="N5859" s="116"/>
      <c r="O5859" s="51"/>
    </row>
    <row r="5860">
      <c r="A5860" s="56">
        <v>5857.0</v>
      </c>
      <c r="B5860" s="241"/>
      <c r="C5860" s="79" t="s">
        <v>23450</v>
      </c>
      <c r="D5860" s="71"/>
      <c r="E5860" s="80" t="s">
        <v>23451</v>
      </c>
      <c r="F5860" s="81">
        <v>41333.0</v>
      </c>
      <c r="G5860" s="80" t="s">
        <v>23452</v>
      </c>
      <c r="H5860" s="82"/>
      <c r="I5860" s="82"/>
      <c r="J5860" s="63" t="s">
        <v>136</v>
      </c>
      <c r="K5860" s="81">
        <v>43526.0</v>
      </c>
      <c r="L5860" s="80" t="s">
        <v>2743</v>
      </c>
      <c r="M5860" s="80" t="s">
        <v>195</v>
      </c>
      <c r="N5860" s="116"/>
      <c r="O5860" s="51"/>
    </row>
    <row r="5861">
      <c r="A5861" s="56">
        <v>5858.0</v>
      </c>
      <c r="B5861" s="241"/>
      <c r="C5861" s="79" t="s">
        <v>23453</v>
      </c>
      <c r="D5861" s="71"/>
      <c r="E5861" s="80" t="s">
        <v>23454</v>
      </c>
      <c r="F5861" s="98">
        <v>43062.0</v>
      </c>
      <c r="G5861" s="80" t="s">
        <v>23455</v>
      </c>
      <c r="H5861" s="82"/>
      <c r="I5861" s="82"/>
      <c r="J5861" s="63" t="s">
        <v>136</v>
      </c>
      <c r="K5861" s="81">
        <v>43526.0</v>
      </c>
      <c r="L5861" s="80" t="s">
        <v>2743</v>
      </c>
      <c r="M5861" s="80" t="s">
        <v>166</v>
      </c>
      <c r="N5861" s="116"/>
      <c r="O5861" s="51"/>
    </row>
    <row r="5862">
      <c r="A5862" s="56">
        <v>5859.0</v>
      </c>
      <c r="B5862" s="240"/>
      <c r="C5862" s="69" t="s">
        <v>23456</v>
      </c>
      <c r="D5862" s="71"/>
      <c r="E5862" s="68" t="s">
        <v>23457</v>
      </c>
      <c r="F5862" s="76">
        <v>43517.0</v>
      </c>
      <c r="G5862" s="68" t="s">
        <v>23458</v>
      </c>
      <c r="H5862" s="71"/>
      <c r="I5862" s="71"/>
      <c r="J5862" s="87" t="s">
        <v>23459</v>
      </c>
      <c r="K5862" s="76">
        <v>43526.0</v>
      </c>
      <c r="L5862" s="68" t="s">
        <v>2743</v>
      </c>
      <c r="M5862" s="68" t="s">
        <v>201</v>
      </c>
      <c r="N5862" s="116"/>
      <c r="O5862" s="51"/>
    </row>
    <row r="5863">
      <c r="A5863" s="56">
        <v>5860.0</v>
      </c>
      <c r="B5863" s="240"/>
      <c r="C5863" s="69" t="s">
        <v>23460</v>
      </c>
      <c r="D5863" s="71"/>
      <c r="E5863" s="68" t="s">
        <v>23461</v>
      </c>
      <c r="F5863" s="76">
        <v>43485.0</v>
      </c>
      <c r="G5863" s="68" t="s">
        <v>23462</v>
      </c>
      <c r="H5863" s="71"/>
      <c r="I5863" s="71"/>
      <c r="J5863" s="68" t="s">
        <v>23463</v>
      </c>
      <c r="K5863" s="76">
        <v>43528.0</v>
      </c>
      <c r="L5863" s="68" t="s">
        <v>16185</v>
      </c>
      <c r="M5863" s="68" t="s">
        <v>143</v>
      </c>
      <c r="N5863" s="116"/>
      <c r="O5863" s="51"/>
    </row>
    <row r="5864">
      <c r="A5864" s="56">
        <v>5861.0</v>
      </c>
      <c r="B5864" s="240"/>
      <c r="C5864" s="69" t="s">
        <v>23464</v>
      </c>
      <c r="D5864" s="71"/>
      <c r="E5864" s="68" t="s">
        <v>23465</v>
      </c>
      <c r="F5864" s="76">
        <v>43528.0</v>
      </c>
      <c r="G5864" s="68" t="s">
        <v>23466</v>
      </c>
      <c r="H5864" s="71"/>
      <c r="I5864" s="71"/>
      <c r="J5864" s="68" t="s">
        <v>23467</v>
      </c>
      <c r="K5864" s="76">
        <v>43531.0</v>
      </c>
      <c r="L5864" s="68" t="s">
        <v>2743</v>
      </c>
      <c r="M5864" s="68" t="s">
        <v>143</v>
      </c>
      <c r="N5864" s="116"/>
      <c r="O5864" s="51"/>
    </row>
    <row r="5865">
      <c r="A5865" s="56">
        <v>5862.0</v>
      </c>
      <c r="B5865" s="240"/>
      <c r="C5865" s="69" t="s">
        <v>23468</v>
      </c>
      <c r="D5865" s="71"/>
      <c r="E5865" s="68" t="s">
        <v>23469</v>
      </c>
      <c r="F5865" s="76">
        <v>37438.0</v>
      </c>
      <c r="G5865" s="68" t="s">
        <v>23470</v>
      </c>
      <c r="H5865" s="71"/>
      <c r="I5865" s="71"/>
      <c r="J5865" s="87" t="s">
        <v>23471</v>
      </c>
      <c r="K5865" s="76">
        <v>43531.0</v>
      </c>
      <c r="L5865" s="68" t="s">
        <v>2743</v>
      </c>
      <c r="M5865" s="68" t="s">
        <v>1435</v>
      </c>
      <c r="N5865" s="116"/>
      <c r="O5865" s="51"/>
    </row>
    <row r="5866">
      <c r="A5866" s="56">
        <v>5863.0</v>
      </c>
      <c r="B5866" s="240"/>
      <c r="C5866" s="69" t="s">
        <v>23472</v>
      </c>
      <c r="D5866" s="71"/>
      <c r="E5866" s="68" t="s">
        <v>23473</v>
      </c>
      <c r="F5866" s="76">
        <v>43284.0</v>
      </c>
      <c r="G5866" s="68" t="s">
        <v>23474</v>
      </c>
      <c r="H5866" s="71"/>
      <c r="I5866" s="71"/>
      <c r="J5866" s="87" t="s">
        <v>23475</v>
      </c>
      <c r="K5866" s="76">
        <v>43531.0</v>
      </c>
      <c r="L5866" s="68" t="s">
        <v>2743</v>
      </c>
      <c r="M5866" s="68" t="s">
        <v>125</v>
      </c>
      <c r="N5866" s="116"/>
      <c r="O5866" s="51"/>
    </row>
    <row r="5867">
      <c r="A5867" s="56">
        <v>5864.0</v>
      </c>
      <c r="B5867" s="240"/>
      <c r="C5867" s="69" t="s">
        <v>23476</v>
      </c>
      <c r="D5867" s="71"/>
      <c r="E5867" s="68" t="s">
        <v>23477</v>
      </c>
      <c r="F5867" s="76">
        <v>42755.0</v>
      </c>
      <c r="G5867" s="68" t="s">
        <v>23478</v>
      </c>
      <c r="H5867" s="71"/>
      <c r="I5867" s="71"/>
      <c r="J5867" s="87" t="s">
        <v>23479</v>
      </c>
      <c r="K5867" s="76">
        <v>43532.0</v>
      </c>
      <c r="L5867" s="68" t="s">
        <v>2743</v>
      </c>
      <c r="M5867" s="68" t="s">
        <v>15909</v>
      </c>
      <c r="N5867" s="116"/>
      <c r="O5867" s="51"/>
    </row>
    <row r="5868">
      <c r="A5868" s="56">
        <v>5865.0</v>
      </c>
      <c r="B5868" s="240"/>
      <c r="C5868" s="69" t="s">
        <v>23480</v>
      </c>
      <c r="D5868" s="71"/>
      <c r="E5868" s="68" t="s">
        <v>23481</v>
      </c>
      <c r="F5868" s="76">
        <v>41526.0</v>
      </c>
      <c r="G5868" s="68" t="s">
        <v>23482</v>
      </c>
      <c r="H5868" s="71"/>
      <c r="I5868" s="71"/>
      <c r="J5868" s="68" t="s">
        <v>23483</v>
      </c>
      <c r="K5868" s="76">
        <v>43532.0</v>
      </c>
      <c r="L5868" s="68" t="s">
        <v>2743</v>
      </c>
      <c r="M5868" s="68" t="s">
        <v>2466</v>
      </c>
      <c r="N5868" s="116"/>
      <c r="O5868" s="51"/>
    </row>
    <row r="5869">
      <c r="A5869" s="56">
        <v>5866.0</v>
      </c>
      <c r="B5869" s="240"/>
      <c r="C5869" s="69" t="s">
        <v>23484</v>
      </c>
      <c r="D5869" s="71"/>
      <c r="E5869" s="68" t="s">
        <v>23485</v>
      </c>
      <c r="F5869" s="76">
        <v>41526.0</v>
      </c>
      <c r="G5869" s="68" t="s">
        <v>23486</v>
      </c>
      <c r="H5869" s="71"/>
      <c r="I5869" s="71"/>
      <c r="J5869" s="68" t="s">
        <v>23487</v>
      </c>
      <c r="K5869" s="76">
        <v>43532.0</v>
      </c>
      <c r="L5869" s="68" t="s">
        <v>2743</v>
      </c>
      <c r="M5869" s="68" t="s">
        <v>2466</v>
      </c>
      <c r="N5869" s="116"/>
      <c r="O5869" s="51"/>
    </row>
    <row r="5870">
      <c r="A5870" s="56">
        <v>5867.0</v>
      </c>
      <c r="B5870" s="240"/>
      <c r="C5870" s="69" t="s">
        <v>23488</v>
      </c>
      <c r="D5870" s="71"/>
      <c r="E5870" s="68" t="s">
        <v>23489</v>
      </c>
      <c r="F5870" s="76">
        <v>43466.0</v>
      </c>
      <c r="G5870" s="68" t="s">
        <v>23490</v>
      </c>
      <c r="H5870" s="71"/>
      <c r="I5870" s="71"/>
      <c r="J5870" s="68" t="s">
        <v>23491</v>
      </c>
      <c r="K5870" s="76">
        <v>43532.0</v>
      </c>
      <c r="L5870" s="68" t="s">
        <v>16585</v>
      </c>
      <c r="M5870" s="68" t="s">
        <v>166</v>
      </c>
      <c r="N5870" s="116"/>
      <c r="O5870" s="51"/>
    </row>
    <row r="5871">
      <c r="A5871" s="56">
        <v>5868.0</v>
      </c>
      <c r="B5871" s="240"/>
      <c r="C5871" s="69" t="s">
        <v>23492</v>
      </c>
      <c r="D5871" s="71"/>
      <c r="E5871" s="68" t="s">
        <v>23493</v>
      </c>
      <c r="F5871" s="76">
        <v>42209.0</v>
      </c>
      <c r="G5871" s="68" t="s">
        <v>23494</v>
      </c>
      <c r="H5871" s="71"/>
      <c r="I5871" s="71"/>
      <c r="J5871" s="68" t="s">
        <v>23495</v>
      </c>
      <c r="K5871" s="76">
        <v>43532.0</v>
      </c>
      <c r="L5871" s="68" t="s">
        <v>23496</v>
      </c>
      <c r="M5871" s="68" t="s">
        <v>27</v>
      </c>
      <c r="N5871" s="116"/>
      <c r="O5871" s="51"/>
    </row>
    <row r="5872">
      <c r="A5872" s="56">
        <v>5869.0</v>
      </c>
      <c r="B5872" s="240"/>
      <c r="C5872" s="69" t="s">
        <v>23497</v>
      </c>
      <c r="D5872" s="71"/>
      <c r="E5872" s="68" t="s">
        <v>23498</v>
      </c>
      <c r="F5872" s="76">
        <v>43443.0</v>
      </c>
      <c r="G5872" s="68" t="s">
        <v>23499</v>
      </c>
      <c r="H5872" s="71"/>
      <c r="I5872" s="71"/>
      <c r="J5872" s="68" t="s">
        <v>23500</v>
      </c>
      <c r="K5872" s="76">
        <v>43532.0</v>
      </c>
      <c r="L5872" s="68" t="s">
        <v>23496</v>
      </c>
      <c r="M5872" s="68" t="s">
        <v>27</v>
      </c>
      <c r="N5872" s="116"/>
      <c r="O5872" s="51"/>
    </row>
    <row r="5873">
      <c r="A5873" s="75">
        <v>5870.0</v>
      </c>
      <c r="B5873" s="240"/>
      <c r="C5873" s="69" t="s">
        <v>23501</v>
      </c>
      <c r="D5873" s="71"/>
      <c r="E5873" s="68" t="s">
        <v>23502</v>
      </c>
      <c r="F5873" s="76">
        <v>43443.0</v>
      </c>
      <c r="G5873" s="68" t="s">
        <v>23503</v>
      </c>
      <c r="H5873" s="71"/>
      <c r="I5873" s="71"/>
      <c r="J5873" s="68" t="s">
        <v>23504</v>
      </c>
      <c r="K5873" s="76">
        <v>43532.0</v>
      </c>
      <c r="L5873" s="68" t="s">
        <v>23496</v>
      </c>
      <c r="M5873" s="68" t="s">
        <v>27</v>
      </c>
      <c r="N5873" s="116"/>
      <c r="O5873" s="51"/>
    </row>
    <row r="5874">
      <c r="A5874" s="56">
        <v>5871.0</v>
      </c>
      <c r="B5874" s="240"/>
      <c r="C5874" s="69" t="s">
        <v>23505</v>
      </c>
      <c r="D5874" s="71"/>
      <c r="E5874" s="68" t="s">
        <v>23506</v>
      </c>
      <c r="F5874" s="76">
        <v>43238.0</v>
      </c>
      <c r="G5874" s="68" t="s">
        <v>23507</v>
      </c>
      <c r="H5874" s="71"/>
      <c r="I5874" s="68" t="s">
        <v>23508</v>
      </c>
      <c r="J5874" s="68" t="s">
        <v>23509</v>
      </c>
      <c r="K5874" s="76">
        <v>43532.0</v>
      </c>
      <c r="L5874" s="68" t="s">
        <v>23496</v>
      </c>
      <c r="M5874" s="68" t="s">
        <v>27</v>
      </c>
      <c r="N5874" s="116"/>
      <c r="O5874" s="51"/>
    </row>
    <row r="5875">
      <c r="A5875" s="56">
        <v>5872.0</v>
      </c>
      <c r="B5875" s="71"/>
      <c r="C5875" s="79" t="s">
        <v>23510</v>
      </c>
      <c r="D5875" s="82"/>
      <c r="E5875" s="80" t="s">
        <v>23511</v>
      </c>
      <c r="F5875" s="81">
        <v>41091.0</v>
      </c>
      <c r="G5875" s="63" t="s">
        <v>23512</v>
      </c>
      <c r="H5875" s="66"/>
      <c r="I5875" s="82"/>
      <c r="J5875" s="63" t="s">
        <v>136</v>
      </c>
      <c r="K5875" s="81">
        <v>43533.0</v>
      </c>
      <c r="L5875" s="63" t="s">
        <v>16185</v>
      </c>
      <c r="M5875" s="268" t="s">
        <v>125</v>
      </c>
      <c r="N5875" s="71"/>
      <c r="O5875" s="51"/>
    </row>
    <row r="5876">
      <c r="A5876" s="56">
        <v>5873.0</v>
      </c>
      <c r="B5876" s="71"/>
      <c r="C5876" s="79" t="s">
        <v>23513</v>
      </c>
      <c r="D5876" s="82"/>
      <c r="E5876" s="80" t="s">
        <v>23514</v>
      </c>
      <c r="F5876" s="81">
        <v>41456.0</v>
      </c>
      <c r="G5876" s="63" t="s">
        <v>23515</v>
      </c>
      <c r="H5876" s="63" t="s">
        <v>439</v>
      </c>
      <c r="I5876" s="82"/>
      <c r="J5876" s="63" t="s">
        <v>136</v>
      </c>
      <c r="K5876" s="81">
        <v>43533.0</v>
      </c>
      <c r="L5876" s="63" t="s">
        <v>16185</v>
      </c>
      <c r="M5876" s="268" t="s">
        <v>6875</v>
      </c>
      <c r="N5876" s="71"/>
      <c r="O5876" s="51"/>
    </row>
    <row r="5877">
      <c r="A5877" s="56">
        <v>5874.0</v>
      </c>
      <c r="B5877" s="71"/>
      <c r="C5877" s="69" t="s">
        <v>23516</v>
      </c>
      <c r="D5877" s="71"/>
      <c r="E5877" s="68" t="s">
        <v>23517</v>
      </c>
      <c r="F5877" s="76">
        <v>43523.0</v>
      </c>
      <c r="G5877" s="68" t="s">
        <v>23518</v>
      </c>
      <c r="H5877" s="71"/>
      <c r="I5877" s="71"/>
      <c r="J5877" s="68" t="s">
        <v>23519</v>
      </c>
      <c r="K5877" s="76">
        <v>43533.0</v>
      </c>
      <c r="L5877" s="68" t="s">
        <v>2743</v>
      </c>
      <c r="M5877" s="114" t="s">
        <v>143</v>
      </c>
      <c r="N5877" s="71"/>
      <c r="O5877" s="51"/>
    </row>
    <row r="5878">
      <c r="A5878" s="56">
        <v>5875.0</v>
      </c>
      <c r="B5878" s="71"/>
      <c r="C5878" s="69" t="s">
        <v>23520</v>
      </c>
      <c r="D5878" s="71"/>
      <c r="E5878" s="68" t="s">
        <v>23521</v>
      </c>
      <c r="F5878" s="76">
        <v>43531.0</v>
      </c>
      <c r="G5878" s="68" t="s">
        <v>23522</v>
      </c>
      <c r="H5878" s="71"/>
      <c r="I5878" s="71"/>
      <c r="J5878" s="68" t="s">
        <v>23523</v>
      </c>
      <c r="K5878" s="76">
        <v>43535.0</v>
      </c>
      <c r="L5878" s="68" t="s">
        <v>2743</v>
      </c>
      <c r="M5878" s="114" t="s">
        <v>5990</v>
      </c>
      <c r="N5878" s="71"/>
      <c r="O5878" s="51"/>
    </row>
    <row r="5879">
      <c r="A5879" s="56">
        <v>5876.0</v>
      </c>
      <c r="B5879" s="71"/>
      <c r="C5879" s="79" t="s">
        <v>23524</v>
      </c>
      <c r="D5879" s="82"/>
      <c r="E5879" s="80" t="s">
        <v>23525</v>
      </c>
      <c r="F5879" s="98">
        <v>42719.0</v>
      </c>
      <c r="G5879" s="63" t="s">
        <v>23526</v>
      </c>
      <c r="H5879" s="66"/>
      <c r="I5879" s="82"/>
      <c r="J5879" s="63" t="s">
        <v>136</v>
      </c>
      <c r="K5879" s="81">
        <v>43536.0</v>
      </c>
      <c r="L5879" s="80" t="s">
        <v>2743</v>
      </c>
      <c r="M5879" s="132" t="s">
        <v>125</v>
      </c>
      <c r="N5879" s="71"/>
      <c r="O5879" s="51"/>
    </row>
    <row r="5880">
      <c r="A5880" s="56">
        <v>5877.0</v>
      </c>
      <c r="B5880" s="71"/>
      <c r="C5880" s="69" t="s">
        <v>23527</v>
      </c>
      <c r="D5880" s="71"/>
      <c r="E5880" s="68" t="s">
        <v>23528</v>
      </c>
      <c r="F5880" s="76">
        <v>43514.0</v>
      </c>
      <c r="G5880" s="68" t="s">
        <v>23529</v>
      </c>
      <c r="H5880" s="71"/>
      <c r="I5880" s="71"/>
      <c r="J5880" s="68" t="s">
        <v>23530</v>
      </c>
      <c r="K5880" s="76">
        <v>43536.0</v>
      </c>
      <c r="L5880" s="68" t="s">
        <v>21673</v>
      </c>
      <c r="M5880" s="114" t="s">
        <v>166</v>
      </c>
      <c r="N5880" s="71"/>
      <c r="O5880" s="51"/>
    </row>
    <row r="5881">
      <c r="A5881" s="56">
        <v>5878.0</v>
      </c>
      <c r="B5881" s="71"/>
      <c r="C5881" s="69" t="s">
        <v>23531</v>
      </c>
      <c r="D5881" s="71"/>
      <c r="E5881" s="68" t="s">
        <v>23532</v>
      </c>
      <c r="F5881" s="76">
        <v>42966.0</v>
      </c>
      <c r="G5881" s="68" t="s">
        <v>23533</v>
      </c>
      <c r="H5881" s="71"/>
      <c r="I5881" s="71"/>
      <c r="J5881" s="68" t="s">
        <v>23534</v>
      </c>
      <c r="K5881" s="76">
        <v>43536.0</v>
      </c>
      <c r="L5881" s="68" t="s">
        <v>23496</v>
      </c>
      <c r="M5881" s="114" t="s">
        <v>27</v>
      </c>
      <c r="N5881" s="71"/>
      <c r="O5881" s="51"/>
    </row>
    <row r="5882">
      <c r="A5882" s="56">
        <v>5879.0</v>
      </c>
      <c r="B5882" s="71"/>
      <c r="C5882" s="69" t="s">
        <v>23535</v>
      </c>
      <c r="D5882" s="71"/>
      <c r="E5882" s="68" t="s">
        <v>23536</v>
      </c>
      <c r="F5882" s="76">
        <v>43174.0</v>
      </c>
      <c r="G5882" s="68" t="s">
        <v>23537</v>
      </c>
      <c r="H5882" s="71"/>
      <c r="I5882" s="71"/>
      <c r="J5882" s="68" t="s">
        <v>23538</v>
      </c>
      <c r="K5882" s="76">
        <v>43536.0</v>
      </c>
      <c r="L5882" s="68" t="s">
        <v>2743</v>
      </c>
      <c r="M5882" s="114" t="s">
        <v>2466</v>
      </c>
      <c r="N5882" s="71"/>
      <c r="O5882" s="51"/>
    </row>
    <row r="5883">
      <c r="A5883" s="56">
        <v>5880.0</v>
      </c>
      <c r="B5883" s="71"/>
      <c r="C5883" s="69" t="s">
        <v>23539</v>
      </c>
      <c r="D5883" s="71"/>
      <c r="E5883" s="68" t="s">
        <v>23540</v>
      </c>
      <c r="F5883" s="76">
        <v>41758.0</v>
      </c>
      <c r="G5883" s="68" t="s">
        <v>23541</v>
      </c>
      <c r="H5883" s="71"/>
      <c r="I5883" s="68" t="s">
        <v>23542</v>
      </c>
      <c r="J5883" s="68" t="s">
        <v>23543</v>
      </c>
      <c r="K5883" s="76">
        <v>43536.0</v>
      </c>
      <c r="L5883" s="68" t="s">
        <v>2743</v>
      </c>
      <c r="M5883" s="114" t="s">
        <v>2989</v>
      </c>
      <c r="N5883" s="71"/>
      <c r="O5883" s="51"/>
    </row>
    <row r="5884">
      <c r="A5884" s="56">
        <v>5881.0</v>
      </c>
      <c r="B5884" s="71"/>
      <c r="C5884" s="79" t="s">
        <v>23544</v>
      </c>
      <c r="D5884" s="82"/>
      <c r="E5884" s="80" t="s">
        <v>23545</v>
      </c>
      <c r="F5884" s="81">
        <v>40941.0</v>
      </c>
      <c r="G5884" s="63" t="s">
        <v>23546</v>
      </c>
      <c r="H5884" s="63" t="s">
        <v>8836</v>
      </c>
      <c r="I5884" s="80" t="s">
        <v>23547</v>
      </c>
      <c r="J5884" s="63" t="s">
        <v>136</v>
      </c>
      <c r="K5884" s="81">
        <v>43536.0</v>
      </c>
      <c r="L5884" s="80" t="s">
        <v>2743</v>
      </c>
      <c r="M5884" s="132" t="s">
        <v>530</v>
      </c>
      <c r="N5884" s="68" t="s">
        <v>23548</v>
      </c>
      <c r="O5884" s="51"/>
    </row>
    <row r="5885">
      <c r="A5885" s="56">
        <v>5882.0</v>
      </c>
      <c r="B5885" s="71"/>
      <c r="C5885" s="79" t="s">
        <v>23549</v>
      </c>
      <c r="D5885" s="82"/>
      <c r="E5885" s="80" t="s">
        <v>23550</v>
      </c>
      <c r="F5885" s="81">
        <v>43142.0</v>
      </c>
      <c r="G5885" s="63">
        <v>980.0</v>
      </c>
      <c r="H5885" s="63" t="s">
        <v>23551</v>
      </c>
      <c r="I5885" s="80" t="s">
        <v>23552</v>
      </c>
      <c r="J5885" s="63" t="s">
        <v>136</v>
      </c>
      <c r="K5885" s="81">
        <v>43536.0</v>
      </c>
      <c r="L5885" s="80" t="s">
        <v>2743</v>
      </c>
      <c r="M5885" s="132" t="s">
        <v>2152</v>
      </c>
      <c r="N5885" s="71"/>
      <c r="O5885" s="51"/>
    </row>
    <row r="5886">
      <c r="A5886" s="56">
        <v>5883.0</v>
      </c>
      <c r="B5886" s="71"/>
      <c r="C5886" s="69" t="s">
        <v>23553</v>
      </c>
      <c r="D5886" s="71"/>
      <c r="E5886" s="68" t="s">
        <v>23554</v>
      </c>
      <c r="F5886" s="76">
        <v>43510.0</v>
      </c>
      <c r="G5886" s="68" t="s">
        <v>23555</v>
      </c>
      <c r="H5886" s="71"/>
      <c r="I5886" s="68" t="s">
        <v>23556</v>
      </c>
      <c r="J5886" s="68" t="s">
        <v>23557</v>
      </c>
      <c r="K5886" s="76">
        <v>43536.0</v>
      </c>
      <c r="L5886" s="68" t="s">
        <v>20329</v>
      </c>
      <c r="M5886" s="114" t="s">
        <v>143</v>
      </c>
      <c r="N5886" s="71"/>
      <c r="O5886" s="51"/>
    </row>
    <row r="5887">
      <c r="A5887" s="56">
        <v>5884.0</v>
      </c>
      <c r="B5887" s="71"/>
      <c r="C5887" s="69" t="s">
        <v>23558</v>
      </c>
      <c r="D5887" s="71"/>
      <c r="E5887" s="68" t="s">
        <v>23559</v>
      </c>
      <c r="F5887" s="76">
        <v>43526.0</v>
      </c>
      <c r="G5887" s="68" t="s">
        <v>23560</v>
      </c>
      <c r="H5887" s="71"/>
      <c r="I5887" s="71"/>
      <c r="J5887" s="68" t="s">
        <v>23561</v>
      </c>
      <c r="K5887" s="76">
        <v>43536.0</v>
      </c>
      <c r="L5887" s="68" t="s">
        <v>2743</v>
      </c>
      <c r="M5887" s="114" t="s">
        <v>2263</v>
      </c>
      <c r="N5887" s="71"/>
      <c r="O5887" s="51"/>
    </row>
    <row r="5888">
      <c r="A5888" s="56">
        <v>5885.0</v>
      </c>
      <c r="B5888" s="71"/>
      <c r="C5888" s="79" t="s">
        <v>23562</v>
      </c>
      <c r="D5888" s="82"/>
      <c r="E5888" s="80" t="s">
        <v>23563</v>
      </c>
      <c r="F5888" s="98">
        <v>40876.0</v>
      </c>
      <c r="G5888" s="63" t="s">
        <v>23564</v>
      </c>
      <c r="H5888" s="66"/>
      <c r="I5888" s="82"/>
      <c r="J5888" s="63" t="s">
        <v>136</v>
      </c>
      <c r="K5888" s="81">
        <v>43544.0</v>
      </c>
      <c r="L5888" s="80" t="s">
        <v>2743</v>
      </c>
      <c r="M5888" s="132" t="s">
        <v>125</v>
      </c>
      <c r="N5888" s="71"/>
      <c r="O5888" s="51"/>
    </row>
    <row r="5889">
      <c r="A5889" s="56">
        <v>5886.0</v>
      </c>
      <c r="B5889" s="71"/>
      <c r="C5889" s="69" t="s">
        <v>23565</v>
      </c>
      <c r="D5889" s="71"/>
      <c r="E5889" s="68" t="s">
        <v>23566</v>
      </c>
      <c r="F5889" s="76">
        <v>42762.0</v>
      </c>
      <c r="G5889" s="68" t="s">
        <v>23567</v>
      </c>
      <c r="H5889" s="71"/>
      <c r="I5889" s="68" t="s">
        <v>23568</v>
      </c>
      <c r="J5889" s="68" t="s">
        <v>23569</v>
      </c>
      <c r="K5889" s="76">
        <v>43544.0</v>
      </c>
      <c r="L5889" s="68" t="s">
        <v>20958</v>
      </c>
      <c r="M5889" s="114" t="s">
        <v>27</v>
      </c>
      <c r="N5889" s="71"/>
      <c r="O5889" s="51"/>
    </row>
    <row r="5890">
      <c r="A5890" s="56">
        <v>5887.0</v>
      </c>
      <c r="B5890" s="71"/>
      <c r="C5890" s="69" t="s">
        <v>23570</v>
      </c>
      <c r="D5890" s="71"/>
      <c r="E5890" s="68" t="s">
        <v>23571</v>
      </c>
      <c r="F5890" s="76">
        <v>42705.0</v>
      </c>
      <c r="G5890" s="68" t="s">
        <v>23572</v>
      </c>
      <c r="H5890" s="68" t="s">
        <v>23573</v>
      </c>
      <c r="I5890" s="71"/>
      <c r="J5890" s="68" t="s">
        <v>23574</v>
      </c>
      <c r="K5890" s="76">
        <v>43544.0</v>
      </c>
      <c r="L5890" s="68" t="s">
        <v>2743</v>
      </c>
      <c r="M5890" s="114" t="s">
        <v>195</v>
      </c>
      <c r="N5890" s="71"/>
      <c r="O5890" s="51"/>
    </row>
    <row r="5891">
      <c r="A5891" s="56">
        <v>5888.0</v>
      </c>
      <c r="B5891" s="71"/>
      <c r="C5891" s="79" t="s">
        <v>23575</v>
      </c>
      <c r="D5891" s="82"/>
      <c r="E5891" s="80" t="s">
        <v>23576</v>
      </c>
      <c r="F5891" s="81">
        <v>42510.0</v>
      </c>
      <c r="G5891" s="63" t="s">
        <v>23577</v>
      </c>
      <c r="H5891" s="66"/>
      <c r="I5891" s="82"/>
      <c r="J5891" s="63" t="s">
        <v>136</v>
      </c>
      <c r="K5891" s="81">
        <v>43544.0</v>
      </c>
      <c r="L5891" s="80" t="s">
        <v>19483</v>
      </c>
      <c r="M5891" s="132" t="s">
        <v>166</v>
      </c>
      <c r="N5891" s="71"/>
      <c r="O5891" s="51"/>
    </row>
    <row r="5892">
      <c r="A5892" s="56">
        <v>5889.0</v>
      </c>
      <c r="B5892" s="71"/>
      <c r="C5892" s="69" t="s">
        <v>23578</v>
      </c>
      <c r="D5892" s="71"/>
      <c r="E5892" s="68" t="s">
        <v>19418</v>
      </c>
      <c r="F5892" s="76">
        <v>43539.0</v>
      </c>
      <c r="G5892" s="68" t="s">
        <v>19419</v>
      </c>
      <c r="H5892" s="68" t="s">
        <v>19420</v>
      </c>
      <c r="I5892" s="68" t="s">
        <v>23579</v>
      </c>
      <c r="J5892" s="87" t="s">
        <v>23580</v>
      </c>
      <c r="K5892" s="76">
        <v>43549.0</v>
      </c>
      <c r="L5892" s="68" t="s">
        <v>2743</v>
      </c>
      <c r="M5892" s="114" t="s">
        <v>5990</v>
      </c>
      <c r="N5892" s="71"/>
      <c r="O5892" s="51"/>
    </row>
    <row r="5893">
      <c r="A5893" s="56">
        <v>5890.0</v>
      </c>
      <c r="B5893" s="71"/>
      <c r="C5893" s="79" t="s">
        <v>23581</v>
      </c>
      <c r="D5893" s="82"/>
      <c r="E5893" s="80" t="s">
        <v>23582</v>
      </c>
      <c r="F5893" s="81">
        <v>42593.0</v>
      </c>
      <c r="G5893" s="63" t="s">
        <v>23583</v>
      </c>
      <c r="H5893" s="66"/>
      <c r="I5893" s="82"/>
      <c r="J5893" s="63" t="s">
        <v>136</v>
      </c>
      <c r="K5893" s="81">
        <v>43550.0</v>
      </c>
      <c r="L5893" s="80" t="s">
        <v>2743</v>
      </c>
      <c r="M5893" s="132" t="s">
        <v>4749</v>
      </c>
      <c r="N5893" s="71"/>
      <c r="O5893" s="51"/>
    </row>
    <row r="5894">
      <c r="A5894" s="75">
        <v>5891.0</v>
      </c>
      <c r="B5894" s="71"/>
      <c r="C5894" s="69" t="s">
        <v>23584</v>
      </c>
      <c r="D5894" s="71"/>
      <c r="E5894" s="68" t="s">
        <v>23585</v>
      </c>
      <c r="F5894" s="76">
        <v>43235.0</v>
      </c>
      <c r="G5894" s="68" t="s">
        <v>23586</v>
      </c>
      <c r="H5894" s="71"/>
      <c r="I5894" s="71"/>
      <c r="J5894" s="68" t="s">
        <v>23587</v>
      </c>
      <c r="K5894" s="76">
        <v>43550.0</v>
      </c>
      <c r="L5894" s="68" t="s">
        <v>2743</v>
      </c>
      <c r="M5894" s="114" t="s">
        <v>201</v>
      </c>
      <c r="N5894" s="71"/>
      <c r="O5894" s="51"/>
    </row>
    <row r="5895">
      <c r="A5895" s="56">
        <v>5892.0</v>
      </c>
      <c r="B5895" s="71"/>
      <c r="C5895" s="69" t="s">
        <v>23588</v>
      </c>
      <c r="D5895" s="71"/>
      <c r="E5895" s="68" t="s">
        <v>23589</v>
      </c>
      <c r="F5895" s="76">
        <v>42025.0</v>
      </c>
      <c r="G5895" s="68" t="s">
        <v>23590</v>
      </c>
      <c r="H5895" s="68" t="s">
        <v>439</v>
      </c>
      <c r="I5895" s="68" t="s">
        <v>23591</v>
      </c>
      <c r="J5895" s="68" t="s">
        <v>23592</v>
      </c>
      <c r="K5895" s="76">
        <v>43550.0</v>
      </c>
      <c r="L5895" s="68" t="s">
        <v>2743</v>
      </c>
      <c r="M5895" s="114" t="s">
        <v>2152</v>
      </c>
      <c r="N5895" s="71"/>
      <c r="O5895" s="51"/>
    </row>
    <row r="5896">
      <c r="A5896" s="56">
        <v>5893.0</v>
      </c>
      <c r="B5896" s="71"/>
      <c r="C5896" s="69" t="s">
        <v>23593</v>
      </c>
      <c r="D5896" s="71"/>
      <c r="E5896" s="68" t="s">
        <v>23594</v>
      </c>
      <c r="F5896" s="76">
        <v>43547.0</v>
      </c>
      <c r="G5896" s="68" t="s">
        <v>23595</v>
      </c>
      <c r="H5896" s="71"/>
      <c r="I5896" s="71"/>
      <c r="J5896" s="68" t="s">
        <v>23596</v>
      </c>
      <c r="K5896" s="76">
        <v>43550.0</v>
      </c>
      <c r="L5896" s="68" t="s">
        <v>2743</v>
      </c>
      <c r="M5896" s="114" t="s">
        <v>31</v>
      </c>
      <c r="N5896" s="71"/>
      <c r="O5896" s="51"/>
    </row>
    <row r="5897">
      <c r="A5897" s="56">
        <v>5894.0</v>
      </c>
      <c r="B5897" s="71"/>
      <c r="C5897" s="69" t="s">
        <v>23597</v>
      </c>
      <c r="D5897" s="71"/>
      <c r="E5897" s="68" t="s">
        <v>23598</v>
      </c>
      <c r="F5897" s="76">
        <v>42070.0</v>
      </c>
      <c r="G5897" s="68" t="s">
        <v>23599</v>
      </c>
      <c r="H5897" s="71"/>
      <c r="I5897" s="68" t="s">
        <v>23600</v>
      </c>
      <c r="J5897" s="68" t="s">
        <v>23601</v>
      </c>
      <c r="K5897" s="76">
        <v>43551.0</v>
      </c>
      <c r="L5897" s="68" t="s">
        <v>2743</v>
      </c>
      <c r="M5897" s="114" t="s">
        <v>1509</v>
      </c>
      <c r="N5897" s="68" t="s">
        <v>23602</v>
      </c>
      <c r="O5897" s="51"/>
    </row>
    <row r="5898">
      <c r="A5898" s="75">
        <v>5895.0</v>
      </c>
      <c r="B5898" s="71"/>
      <c r="C5898" s="69" t="s">
        <v>23603</v>
      </c>
      <c r="D5898" s="71"/>
      <c r="E5898" s="68" t="s">
        <v>23604</v>
      </c>
      <c r="F5898" s="76">
        <v>42141.0</v>
      </c>
      <c r="G5898" s="68" t="s">
        <v>23605</v>
      </c>
      <c r="H5898" s="71"/>
      <c r="I5898" s="71"/>
      <c r="J5898" s="68" t="s">
        <v>23606</v>
      </c>
      <c r="K5898" s="76">
        <v>43551.0</v>
      </c>
      <c r="L5898" s="68" t="s">
        <v>2743</v>
      </c>
      <c r="M5898" s="114" t="s">
        <v>143</v>
      </c>
      <c r="N5898" s="68" t="s">
        <v>23607</v>
      </c>
      <c r="O5898" s="51"/>
    </row>
    <row r="5899">
      <c r="A5899" s="56">
        <v>5896.0</v>
      </c>
      <c r="B5899" s="71"/>
      <c r="C5899" s="69" t="s">
        <v>23608</v>
      </c>
      <c r="D5899" s="71"/>
      <c r="E5899" s="68" t="s">
        <v>23609</v>
      </c>
      <c r="F5899" s="76">
        <v>43523.0</v>
      </c>
      <c r="G5899" s="68" t="s">
        <v>23610</v>
      </c>
      <c r="H5899" s="71"/>
      <c r="I5899" s="68" t="s">
        <v>23611</v>
      </c>
      <c r="J5899" s="68" t="s">
        <v>23612</v>
      </c>
      <c r="K5899" s="76">
        <v>43551.0</v>
      </c>
      <c r="L5899" s="68" t="s">
        <v>2743</v>
      </c>
      <c r="M5899" s="114" t="s">
        <v>149</v>
      </c>
      <c r="N5899" s="71"/>
      <c r="O5899" s="51"/>
    </row>
    <row r="5900">
      <c r="A5900" s="56">
        <v>5897.0</v>
      </c>
      <c r="B5900" s="71"/>
      <c r="C5900" s="69" t="s">
        <v>23613</v>
      </c>
      <c r="D5900" s="71"/>
      <c r="E5900" s="68" t="s">
        <v>23614</v>
      </c>
      <c r="F5900" s="83">
        <v>43422.0</v>
      </c>
      <c r="G5900" s="68" t="s">
        <v>23615</v>
      </c>
      <c r="H5900" s="71"/>
      <c r="I5900" s="68" t="s">
        <v>23616</v>
      </c>
      <c r="J5900" s="68" t="s">
        <v>23617</v>
      </c>
      <c r="K5900" s="76">
        <v>43551.0</v>
      </c>
      <c r="L5900" s="68" t="s">
        <v>2743</v>
      </c>
      <c r="M5900" s="114" t="s">
        <v>2466</v>
      </c>
      <c r="N5900" s="71"/>
      <c r="O5900" s="51"/>
    </row>
    <row r="5901">
      <c r="A5901" s="56">
        <v>5898.0</v>
      </c>
      <c r="B5901" s="71"/>
      <c r="C5901" s="79" t="s">
        <v>23618</v>
      </c>
      <c r="D5901" s="82"/>
      <c r="E5901" s="80" t="s">
        <v>23619</v>
      </c>
      <c r="F5901" s="81">
        <v>40225.0</v>
      </c>
      <c r="G5901" s="63" t="s">
        <v>23620</v>
      </c>
      <c r="H5901" s="63" t="s">
        <v>23621</v>
      </c>
      <c r="I5901" s="82"/>
      <c r="J5901" s="63" t="s">
        <v>136</v>
      </c>
      <c r="K5901" s="81">
        <v>43552.0</v>
      </c>
      <c r="L5901" s="80" t="s">
        <v>2743</v>
      </c>
      <c r="M5901" s="132" t="s">
        <v>143</v>
      </c>
      <c r="N5901" s="68" t="s">
        <v>23622</v>
      </c>
      <c r="O5901" s="51"/>
    </row>
    <row r="5902">
      <c r="A5902" s="56">
        <v>5899.0</v>
      </c>
      <c r="B5902" s="71"/>
      <c r="C5902" s="79" t="s">
        <v>23623</v>
      </c>
      <c r="D5902" s="82"/>
      <c r="E5902" s="80" t="s">
        <v>23624</v>
      </c>
      <c r="F5902" s="81">
        <v>39995.0</v>
      </c>
      <c r="G5902" s="63" t="s">
        <v>23625</v>
      </c>
      <c r="H5902" s="63" t="s">
        <v>439</v>
      </c>
      <c r="I5902" s="82"/>
      <c r="J5902" s="63" t="s">
        <v>136</v>
      </c>
      <c r="K5902" s="81">
        <v>43552.0</v>
      </c>
      <c r="L5902" s="80" t="s">
        <v>2743</v>
      </c>
      <c r="M5902" s="132" t="s">
        <v>530</v>
      </c>
      <c r="N5902" s="71"/>
      <c r="O5902" s="51"/>
    </row>
    <row r="5903">
      <c r="A5903" s="75">
        <v>5900.0</v>
      </c>
      <c r="B5903" s="71"/>
      <c r="C5903" s="69" t="s">
        <v>23626</v>
      </c>
      <c r="D5903" s="71"/>
      <c r="E5903" s="68" t="s">
        <v>23627</v>
      </c>
      <c r="F5903" s="76">
        <v>41688.0</v>
      </c>
      <c r="G5903" s="68" t="s">
        <v>23628</v>
      </c>
      <c r="H5903" s="71"/>
      <c r="I5903" s="71"/>
      <c r="J5903" s="68" t="s">
        <v>23629</v>
      </c>
      <c r="K5903" s="76">
        <v>43552.0</v>
      </c>
      <c r="L5903" s="68" t="s">
        <v>2743</v>
      </c>
      <c r="M5903" s="114" t="s">
        <v>166</v>
      </c>
      <c r="N5903" s="71"/>
      <c r="O5903" s="51"/>
    </row>
    <row r="5904">
      <c r="A5904" s="56">
        <v>5901.0</v>
      </c>
      <c r="B5904" s="71"/>
      <c r="C5904" s="79" t="s">
        <v>23630</v>
      </c>
      <c r="D5904" s="82"/>
      <c r="E5904" s="80" t="s">
        <v>23631</v>
      </c>
      <c r="F5904" s="98">
        <v>43391.0</v>
      </c>
      <c r="G5904" s="63" t="s">
        <v>23632</v>
      </c>
      <c r="H5904" s="66"/>
      <c r="I5904" s="82"/>
      <c r="J5904" s="63" t="s">
        <v>136</v>
      </c>
      <c r="K5904" s="81">
        <v>43552.0</v>
      </c>
      <c r="L5904" s="80" t="s">
        <v>2743</v>
      </c>
      <c r="M5904" s="132" t="s">
        <v>166</v>
      </c>
      <c r="N5904" s="71"/>
      <c r="O5904" s="51"/>
    </row>
    <row r="5905">
      <c r="A5905" s="75">
        <v>5902.0</v>
      </c>
      <c r="B5905" s="71"/>
      <c r="C5905" s="69" t="s">
        <v>23633</v>
      </c>
      <c r="D5905" s="71"/>
      <c r="E5905" s="68" t="s">
        <v>23634</v>
      </c>
      <c r="F5905" s="76">
        <v>41877.0</v>
      </c>
      <c r="G5905" s="68" t="s">
        <v>23635</v>
      </c>
      <c r="H5905" s="68" t="s">
        <v>23636</v>
      </c>
      <c r="I5905" s="68" t="s">
        <v>23637</v>
      </c>
      <c r="J5905" s="68" t="s">
        <v>23638</v>
      </c>
      <c r="K5905" s="76">
        <v>43552.0</v>
      </c>
      <c r="L5905" s="68" t="s">
        <v>2743</v>
      </c>
      <c r="M5905" s="114" t="s">
        <v>2152</v>
      </c>
      <c r="N5905" s="71"/>
      <c r="O5905" s="51"/>
    </row>
    <row r="5906">
      <c r="A5906" s="56">
        <v>5903.0</v>
      </c>
      <c r="B5906" s="71"/>
      <c r="C5906" s="79" t="s">
        <v>23639</v>
      </c>
      <c r="D5906" s="82"/>
      <c r="E5906" s="80" t="s">
        <v>23640</v>
      </c>
      <c r="F5906" s="81">
        <v>41456.0</v>
      </c>
      <c r="G5906" s="63" t="s">
        <v>23641</v>
      </c>
      <c r="H5906" s="63" t="s">
        <v>23642</v>
      </c>
      <c r="I5906" s="80" t="s">
        <v>23643</v>
      </c>
      <c r="J5906" s="63" t="s">
        <v>136</v>
      </c>
      <c r="K5906" s="81">
        <v>43552.0</v>
      </c>
      <c r="L5906" s="80" t="s">
        <v>2743</v>
      </c>
      <c r="M5906" s="132" t="s">
        <v>530</v>
      </c>
      <c r="N5906" s="71"/>
      <c r="O5906" s="51"/>
    </row>
    <row r="5907">
      <c r="A5907" s="75">
        <v>5904.0</v>
      </c>
      <c r="B5907" s="71"/>
      <c r="C5907" s="69" t="s">
        <v>23644</v>
      </c>
      <c r="D5907" s="71"/>
      <c r="E5907" s="68" t="s">
        <v>23645</v>
      </c>
      <c r="F5907" s="76">
        <v>41334.0</v>
      </c>
      <c r="G5907" s="68" t="s">
        <v>23646</v>
      </c>
      <c r="H5907" s="71"/>
      <c r="I5907" s="68" t="s">
        <v>23647</v>
      </c>
      <c r="J5907" s="68" t="s">
        <v>8147</v>
      </c>
      <c r="K5907" s="76">
        <v>43552.0</v>
      </c>
      <c r="L5907" s="68" t="s">
        <v>2743</v>
      </c>
      <c r="M5907" s="114" t="s">
        <v>542</v>
      </c>
      <c r="N5907" s="71"/>
      <c r="O5907" s="51"/>
    </row>
    <row r="5908">
      <c r="A5908" s="75">
        <v>5905.0</v>
      </c>
      <c r="B5908" s="71"/>
      <c r="C5908" s="69" t="s">
        <v>23648</v>
      </c>
      <c r="D5908" s="71"/>
      <c r="E5908" s="68" t="s">
        <v>23649</v>
      </c>
      <c r="F5908" s="83">
        <v>43085.0</v>
      </c>
      <c r="G5908" s="68" t="s">
        <v>23650</v>
      </c>
      <c r="H5908" s="71"/>
      <c r="I5908" s="71"/>
      <c r="J5908" s="68" t="s">
        <v>23651</v>
      </c>
      <c r="K5908" s="76">
        <v>43509.0</v>
      </c>
      <c r="L5908" s="68" t="s">
        <v>2743</v>
      </c>
      <c r="M5908" s="68" t="s">
        <v>27</v>
      </c>
      <c r="N5908" s="116"/>
      <c r="O5908" s="51"/>
    </row>
    <row r="5909">
      <c r="A5909" s="56">
        <v>5906.0</v>
      </c>
      <c r="B5909" s="71"/>
      <c r="C5909" s="79" t="s">
        <v>23652</v>
      </c>
      <c r="D5909" s="82"/>
      <c r="E5909" s="80" t="s">
        <v>23653</v>
      </c>
      <c r="F5909" s="81">
        <v>42942.0</v>
      </c>
      <c r="G5909" s="80" t="s">
        <v>23654</v>
      </c>
      <c r="H5909" s="82"/>
      <c r="I5909" s="80" t="s">
        <v>23655</v>
      </c>
      <c r="J5909" s="63" t="s">
        <v>136</v>
      </c>
      <c r="K5909" s="81">
        <v>43554.0</v>
      </c>
      <c r="L5909" s="80" t="s">
        <v>2743</v>
      </c>
      <c r="M5909" s="80" t="s">
        <v>14456</v>
      </c>
      <c r="N5909" s="116"/>
      <c r="O5909" s="51"/>
    </row>
    <row r="5910">
      <c r="A5910" s="56">
        <v>5907.0</v>
      </c>
      <c r="B5910" s="71"/>
      <c r="C5910" s="69" t="s">
        <v>23656</v>
      </c>
      <c r="D5910" s="71"/>
      <c r="E5910" s="68" t="s">
        <v>23657</v>
      </c>
      <c r="F5910" s="76">
        <v>43114.0</v>
      </c>
      <c r="G5910" s="68" t="s">
        <v>23658</v>
      </c>
      <c r="H5910" s="71"/>
      <c r="I5910" s="71"/>
      <c r="J5910" s="68" t="s">
        <v>23659</v>
      </c>
      <c r="K5910" s="76">
        <v>43554.0</v>
      </c>
      <c r="L5910" s="68" t="s">
        <v>2743</v>
      </c>
      <c r="M5910" s="68" t="s">
        <v>542</v>
      </c>
      <c r="N5910" s="116"/>
      <c r="O5910" s="51"/>
    </row>
    <row r="5911">
      <c r="A5911" s="56">
        <v>5908.0</v>
      </c>
      <c r="B5911" s="71"/>
      <c r="C5911" s="79" t="s">
        <v>23660</v>
      </c>
      <c r="D5911" s="82"/>
      <c r="E5911" s="80" t="s">
        <v>23661</v>
      </c>
      <c r="F5911" s="98">
        <v>41969.0</v>
      </c>
      <c r="G5911" s="80" t="s">
        <v>23662</v>
      </c>
      <c r="H5911" s="80" t="s">
        <v>23663</v>
      </c>
      <c r="I5911" s="82"/>
      <c r="J5911" s="63" t="s">
        <v>136</v>
      </c>
      <c r="K5911" s="81">
        <v>43554.0</v>
      </c>
      <c r="L5911" s="80" t="s">
        <v>19483</v>
      </c>
      <c r="M5911" s="80" t="s">
        <v>6875</v>
      </c>
      <c r="N5911" s="116"/>
      <c r="O5911" s="51"/>
    </row>
    <row r="5912">
      <c r="A5912" s="56">
        <v>5909.0</v>
      </c>
      <c r="B5912" s="71"/>
      <c r="C5912" s="69" t="s">
        <v>23664</v>
      </c>
      <c r="D5912" s="71"/>
      <c r="E5912" s="68" t="s">
        <v>23665</v>
      </c>
      <c r="F5912" s="76">
        <v>43495.0</v>
      </c>
      <c r="G5912" s="68" t="s">
        <v>23666</v>
      </c>
      <c r="H5912" s="71"/>
      <c r="I5912" s="71"/>
      <c r="J5912" s="68" t="s">
        <v>23667</v>
      </c>
      <c r="K5912" s="76">
        <v>43554.0</v>
      </c>
      <c r="L5912" s="68" t="s">
        <v>19483</v>
      </c>
      <c r="M5912" s="68" t="s">
        <v>27</v>
      </c>
      <c r="N5912" s="116"/>
      <c r="O5912" s="51"/>
    </row>
    <row r="5913">
      <c r="A5913" s="56">
        <v>5910.0</v>
      </c>
      <c r="B5913" s="71"/>
      <c r="C5913" s="69" t="s">
        <v>23668</v>
      </c>
      <c r="D5913" s="71"/>
      <c r="E5913" s="68" t="s">
        <v>23669</v>
      </c>
      <c r="F5913" s="76">
        <v>43479.0</v>
      </c>
      <c r="G5913" s="68" t="s">
        <v>23670</v>
      </c>
      <c r="H5913" s="71"/>
      <c r="I5913" s="71"/>
      <c r="J5913" s="68" t="s">
        <v>23671</v>
      </c>
      <c r="K5913" s="76">
        <v>43554.0</v>
      </c>
      <c r="L5913" s="68" t="s">
        <v>19483</v>
      </c>
      <c r="M5913" s="68" t="s">
        <v>166</v>
      </c>
      <c r="N5913" s="116"/>
      <c r="O5913" s="51"/>
    </row>
    <row r="5914">
      <c r="A5914" s="56">
        <v>5911.0</v>
      </c>
      <c r="B5914" s="71"/>
      <c r="C5914" s="69" t="s">
        <v>23672</v>
      </c>
      <c r="D5914" s="71"/>
      <c r="E5914" s="68" t="s">
        <v>23673</v>
      </c>
      <c r="F5914" s="76">
        <v>43490.0</v>
      </c>
      <c r="G5914" s="68" t="s">
        <v>23674</v>
      </c>
      <c r="H5914" s="71"/>
      <c r="I5914" s="71"/>
      <c r="J5914" s="87" t="s">
        <v>23675</v>
      </c>
      <c r="K5914" s="76">
        <v>43554.0</v>
      </c>
      <c r="L5914" s="68" t="s">
        <v>19483</v>
      </c>
      <c r="M5914" s="68" t="s">
        <v>166</v>
      </c>
      <c r="N5914" s="116"/>
      <c r="O5914" s="51"/>
    </row>
    <row r="5915">
      <c r="A5915" s="56">
        <v>5912.0</v>
      </c>
      <c r="B5915" s="71"/>
      <c r="C5915" s="69" t="s">
        <v>23676</v>
      </c>
      <c r="D5915" s="71"/>
      <c r="E5915" s="68" t="s">
        <v>23677</v>
      </c>
      <c r="F5915" s="76">
        <v>43441.0</v>
      </c>
      <c r="G5915" s="68" t="s">
        <v>23678</v>
      </c>
      <c r="H5915" s="71"/>
      <c r="I5915" s="71"/>
      <c r="J5915" s="68" t="s">
        <v>23679</v>
      </c>
      <c r="K5915" s="76">
        <v>43556.0</v>
      </c>
      <c r="L5915" s="68" t="s">
        <v>2743</v>
      </c>
      <c r="M5915" s="68" t="s">
        <v>542</v>
      </c>
      <c r="N5915" s="116"/>
      <c r="O5915" s="51"/>
    </row>
    <row r="5916">
      <c r="A5916" s="56">
        <v>5913.0</v>
      </c>
      <c r="B5916" s="71"/>
      <c r="C5916" s="79" t="s">
        <v>23680</v>
      </c>
      <c r="D5916" s="82"/>
      <c r="E5916" s="80" t="s">
        <v>23681</v>
      </c>
      <c r="F5916" s="81">
        <v>42977.0</v>
      </c>
      <c r="G5916" s="80" t="s">
        <v>23682</v>
      </c>
      <c r="H5916" s="82"/>
      <c r="I5916" s="82"/>
      <c r="J5916" s="63" t="s">
        <v>136</v>
      </c>
      <c r="K5916" s="81">
        <v>43556.0</v>
      </c>
      <c r="L5916" s="80" t="s">
        <v>2743</v>
      </c>
      <c r="M5916" s="80" t="s">
        <v>201</v>
      </c>
      <c r="N5916" s="116"/>
      <c r="O5916" s="51"/>
    </row>
    <row r="5917">
      <c r="A5917" s="56">
        <v>5914.0</v>
      </c>
      <c r="B5917" s="71"/>
      <c r="C5917" s="79" t="s">
        <v>23683</v>
      </c>
      <c r="D5917" s="82"/>
      <c r="E5917" s="80" t="s">
        <v>23684</v>
      </c>
      <c r="F5917" s="81">
        <v>42087.0</v>
      </c>
      <c r="G5917" s="80" t="s">
        <v>23685</v>
      </c>
      <c r="H5917" s="80" t="s">
        <v>23686</v>
      </c>
      <c r="I5917" s="82"/>
      <c r="J5917" s="63" t="s">
        <v>136</v>
      </c>
      <c r="K5917" s="81">
        <v>43556.0</v>
      </c>
      <c r="L5917" s="80" t="s">
        <v>2743</v>
      </c>
      <c r="M5917" s="80" t="s">
        <v>6875</v>
      </c>
      <c r="N5917" s="116"/>
      <c r="O5917" s="51"/>
    </row>
    <row r="5918">
      <c r="A5918" s="56">
        <v>5915.0</v>
      </c>
      <c r="B5918" s="71"/>
      <c r="C5918" s="69" t="s">
        <v>23687</v>
      </c>
      <c r="D5918" s="71"/>
      <c r="E5918" s="68" t="s">
        <v>23688</v>
      </c>
      <c r="F5918" s="76">
        <v>43340.0</v>
      </c>
      <c r="G5918" s="68" t="s">
        <v>23689</v>
      </c>
      <c r="H5918" s="71"/>
      <c r="I5918" s="71"/>
      <c r="J5918" s="87" t="s">
        <v>23690</v>
      </c>
      <c r="K5918" s="76">
        <v>43556.0</v>
      </c>
      <c r="L5918" s="68" t="s">
        <v>17460</v>
      </c>
      <c r="M5918" s="68" t="s">
        <v>166</v>
      </c>
      <c r="N5918" s="116"/>
      <c r="O5918" s="51"/>
    </row>
    <row r="5919">
      <c r="A5919" s="75">
        <v>5916.0</v>
      </c>
      <c r="B5919" s="71"/>
      <c r="C5919" s="69" t="s">
        <v>23691</v>
      </c>
      <c r="D5919" s="71"/>
      <c r="E5919" s="68" t="s">
        <v>23692</v>
      </c>
      <c r="F5919" s="76">
        <v>43374.0</v>
      </c>
      <c r="G5919" s="68" t="s">
        <v>23693</v>
      </c>
      <c r="H5919" s="71"/>
      <c r="I5919" s="71"/>
      <c r="J5919" s="68" t="s">
        <v>23694</v>
      </c>
      <c r="K5919" s="76">
        <v>43557.0</v>
      </c>
      <c r="L5919" s="68" t="s">
        <v>17460</v>
      </c>
      <c r="M5919" s="68" t="s">
        <v>125</v>
      </c>
      <c r="N5919" s="116"/>
      <c r="O5919" s="51"/>
    </row>
    <row r="5920">
      <c r="A5920" s="56">
        <v>5917.0</v>
      </c>
      <c r="B5920" s="71"/>
      <c r="C5920" s="79" t="s">
        <v>23695</v>
      </c>
      <c r="D5920" s="82"/>
      <c r="E5920" s="80" t="s">
        <v>23696</v>
      </c>
      <c r="F5920" s="81">
        <v>40340.0</v>
      </c>
      <c r="G5920" s="80" t="s">
        <v>23697</v>
      </c>
      <c r="H5920" s="82"/>
      <c r="I5920" s="80" t="s">
        <v>23698</v>
      </c>
      <c r="J5920" s="63" t="s">
        <v>136</v>
      </c>
      <c r="K5920" s="81">
        <v>43557.0</v>
      </c>
      <c r="L5920" s="80" t="s">
        <v>2743</v>
      </c>
      <c r="M5920" s="80" t="s">
        <v>403</v>
      </c>
      <c r="N5920" s="116"/>
      <c r="O5920" s="51"/>
    </row>
    <row r="5921">
      <c r="A5921" s="56">
        <v>5918.0</v>
      </c>
      <c r="B5921" s="71"/>
      <c r="C5921" s="69" t="s">
        <v>23699</v>
      </c>
      <c r="D5921" s="71"/>
      <c r="E5921" s="68" t="s">
        <v>23700</v>
      </c>
      <c r="F5921" s="76">
        <v>36609.0</v>
      </c>
      <c r="G5921" s="68" t="s">
        <v>23701</v>
      </c>
      <c r="H5921" s="71"/>
      <c r="I5921" s="71"/>
      <c r="J5921" s="68" t="s">
        <v>23702</v>
      </c>
      <c r="K5921" s="76">
        <v>43557.0</v>
      </c>
      <c r="L5921" s="68" t="s">
        <v>2743</v>
      </c>
      <c r="M5921" s="68" t="s">
        <v>143</v>
      </c>
      <c r="N5921" s="116"/>
      <c r="O5921" s="51"/>
    </row>
    <row r="5922">
      <c r="A5922" s="56">
        <v>5919.0</v>
      </c>
      <c r="B5922" s="71"/>
      <c r="C5922" s="79" t="s">
        <v>23703</v>
      </c>
      <c r="D5922" s="82"/>
      <c r="E5922" s="80" t="s">
        <v>23704</v>
      </c>
      <c r="F5922" s="81">
        <v>40198.0</v>
      </c>
      <c r="G5922" s="80" t="s">
        <v>23705</v>
      </c>
      <c r="H5922" s="82"/>
      <c r="I5922" s="82"/>
      <c r="J5922" s="63" t="s">
        <v>136</v>
      </c>
      <c r="K5922" s="81">
        <v>43557.0</v>
      </c>
      <c r="L5922" s="80" t="s">
        <v>20329</v>
      </c>
      <c r="M5922" s="80" t="s">
        <v>368</v>
      </c>
      <c r="N5922" s="116"/>
      <c r="O5922" s="51"/>
    </row>
    <row r="5923">
      <c r="A5923" s="56">
        <v>5920.0</v>
      </c>
      <c r="B5923" s="71"/>
      <c r="C5923" s="69" t="s">
        <v>23706</v>
      </c>
      <c r="D5923" s="71"/>
      <c r="E5923" s="68" t="s">
        <v>23707</v>
      </c>
      <c r="F5923" s="76">
        <v>43480.0</v>
      </c>
      <c r="G5923" s="68" t="s">
        <v>23708</v>
      </c>
      <c r="H5923" s="71"/>
      <c r="I5923" s="71"/>
      <c r="J5923" s="68" t="s">
        <v>23709</v>
      </c>
      <c r="K5923" s="76">
        <v>43557.0</v>
      </c>
      <c r="L5923" s="68" t="s">
        <v>2743</v>
      </c>
      <c r="M5923" s="68" t="s">
        <v>31</v>
      </c>
      <c r="N5923" s="116"/>
      <c r="O5923" s="51"/>
    </row>
    <row r="5924">
      <c r="A5924" s="56">
        <v>5921.0</v>
      </c>
      <c r="B5924" s="71"/>
      <c r="C5924" s="79" t="s">
        <v>23710</v>
      </c>
      <c r="D5924" s="82"/>
      <c r="E5924" s="80" t="s">
        <v>23711</v>
      </c>
      <c r="F5924" s="81">
        <v>40924.0</v>
      </c>
      <c r="G5924" s="80" t="s">
        <v>23712</v>
      </c>
      <c r="H5924" s="80" t="s">
        <v>23713</v>
      </c>
      <c r="I5924" s="82"/>
      <c r="J5924" s="63" t="s">
        <v>136</v>
      </c>
      <c r="K5924" s="81">
        <v>43557.0</v>
      </c>
      <c r="L5924" s="80" t="s">
        <v>2743</v>
      </c>
      <c r="M5924" s="80" t="s">
        <v>195</v>
      </c>
      <c r="N5924" s="116"/>
      <c r="O5924" s="51"/>
    </row>
    <row r="5925">
      <c r="A5925" s="56">
        <v>5922.0</v>
      </c>
      <c r="B5925" s="71"/>
      <c r="C5925" s="79" t="s">
        <v>23714</v>
      </c>
      <c r="D5925" s="82"/>
      <c r="E5925" s="80" t="s">
        <v>23715</v>
      </c>
      <c r="F5925" s="81">
        <v>43040.0</v>
      </c>
      <c r="G5925" s="80" t="s">
        <v>23716</v>
      </c>
      <c r="H5925" s="82"/>
      <c r="I5925" s="82"/>
      <c r="J5925" s="63" t="s">
        <v>136</v>
      </c>
      <c r="K5925" s="81">
        <v>43557.0</v>
      </c>
      <c r="L5925" s="80" t="s">
        <v>2743</v>
      </c>
      <c r="M5925" s="80" t="s">
        <v>27</v>
      </c>
      <c r="N5925" s="116"/>
      <c r="O5925" s="51"/>
    </row>
    <row r="5926">
      <c r="A5926" s="56">
        <v>5923.0</v>
      </c>
      <c r="B5926" s="71"/>
      <c r="C5926" s="69" t="s">
        <v>23717</v>
      </c>
      <c r="D5926" s="71"/>
      <c r="E5926" s="68" t="s">
        <v>23718</v>
      </c>
      <c r="F5926" s="76">
        <v>43543.0</v>
      </c>
      <c r="G5926" s="68" t="s">
        <v>23719</v>
      </c>
      <c r="H5926" s="71"/>
      <c r="I5926" s="68" t="s">
        <v>23720</v>
      </c>
      <c r="J5926" s="68" t="s">
        <v>23721</v>
      </c>
      <c r="K5926" s="76">
        <v>43557.0</v>
      </c>
      <c r="L5926" s="68" t="s">
        <v>2743</v>
      </c>
      <c r="M5926" s="68" t="s">
        <v>368</v>
      </c>
      <c r="N5926" s="116"/>
      <c r="O5926" s="51"/>
    </row>
    <row r="5927">
      <c r="A5927" s="56">
        <v>5924.0</v>
      </c>
      <c r="B5927" s="71"/>
      <c r="C5927" s="69" t="s">
        <v>23722</v>
      </c>
      <c r="D5927" s="71"/>
      <c r="E5927" s="68" t="s">
        <v>23723</v>
      </c>
      <c r="F5927" s="76">
        <v>43478.0</v>
      </c>
      <c r="G5927" s="68" t="s">
        <v>23724</v>
      </c>
      <c r="H5927" s="71"/>
      <c r="I5927" s="71"/>
      <c r="J5927" s="68" t="s">
        <v>23725</v>
      </c>
      <c r="K5927" s="76">
        <v>43557.0</v>
      </c>
      <c r="L5927" s="68" t="s">
        <v>2743</v>
      </c>
      <c r="M5927" s="68" t="s">
        <v>27</v>
      </c>
      <c r="N5927" s="116"/>
      <c r="O5927" s="51"/>
    </row>
    <row r="5928">
      <c r="A5928" s="75">
        <v>5925.0</v>
      </c>
      <c r="B5928" s="71"/>
      <c r="C5928" s="69" t="s">
        <v>23726</v>
      </c>
      <c r="D5928" s="71"/>
      <c r="E5928" s="68" t="s">
        <v>23727</v>
      </c>
      <c r="F5928" s="76">
        <v>43478.0</v>
      </c>
      <c r="G5928" s="68" t="s">
        <v>23724</v>
      </c>
      <c r="H5928" s="71"/>
      <c r="I5928" s="68" t="s">
        <v>23728</v>
      </c>
      <c r="J5928" s="68" t="s">
        <v>23729</v>
      </c>
      <c r="K5928" s="76">
        <v>43557.0</v>
      </c>
      <c r="L5928" s="68" t="s">
        <v>2743</v>
      </c>
      <c r="M5928" s="68" t="s">
        <v>18270</v>
      </c>
      <c r="N5928" s="116"/>
      <c r="O5928" s="51"/>
    </row>
    <row r="5929">
      <c r="A5929" s="56">
        <v>5926.0</v>
      </c>
      <c r="B5929" s="71"/>
      <c r="C5929" s="79" t="s">
        <v>23730</v>
      </c>
      <c r="D5929" s="82"/>
      <c r="E5929" s="80" t="s">
        <v>23731</v>
      </c>
      <c r="F5929" s="81">
        <v>42259.0</v>
      </c>
      <c r="G5929" s="80" t="s">
        <v>23732</v>
      </c>
      <c r="H5929" s="82"/>
      <c r="I5929" s="82"/>
      <c r="J5929" s="63" t="s">
        <v>136</v>
      </c>
      <c r="K5929" s="81">
        <v>43557.0</v>
      </c>
      <c r="L5929" s="80" t="s">
        <v>2743</v>
      </c>
      <c r="M5929" s="80" t="s">
        <v>1516</v>
      </c>
      <c r="N5929" s="116"/>
      <c r="O5929" s="51"/>
    </row>
    <row r="5930">
      <c r="A5930" s="56">
        <v>5927.0</v>
      </c>
      <c r="B5930" s="71"/>
      <c r="C5930" s="79" t="s">
        <v>23733</v>
      </c>
      <c r="D5930" s="82"/>
      <c r="E5930" s="80" t="s">
        <v>23734</v>
      </c>
      <c r="F5930" s="81">
        <v>40040.0</v>
      </c>
      <c r="G5930" s="80" t="s">
        <v>23735</v>
      </c>
      <c r="H5930" s="80" t="s">
        <v>439</v>
      </c>
      <c r="I5930" s="82"/>
      <c r="J5930" s="63" t="s">
        <v>136</v>
      </c>
      <c r="K5930" s="81">
        <v>43557.0</v>
      </c>
      <c r="L5930" s="80" t="s">
        <v>2743</v>
      </c>
      <c r="M5930" s="80" t="s">
        <v>530</v>
      </c>
      <c r="N5930" s="116"/>
      <c r="O5930" s="51"/>
    </row>
    <row r="5931">
      <c r="A5931" s="75">
        <v>5928.0</v>
      </c>
      <c r="B5931" s="71"/>
      <c r="C5931" s="69" t="s">
        <v>23736</v>
      </c>
      <c r="D5931" s="71"/>
      <c r="E5931" s="68" t="s">
        <v>23737</v>
      </c>
      <c r="F5931" s="83">
        <v>36878.0</v>
      </c>
      <c r="G5931" s="68" t="s">
        <v>23738</v>
      </c>
      <c r="H5931" s="71"/>
      <c r="I5931" s="68" t="s">
        <v>23739</v>
      </c>
      <c r="J5931" s="68" t="s">
        <v>23740</v>
      </c>
      <c r="K5931" s="76">
        <v>43558.0</v>
      </c>
      <c r="L5931" s="68" t="s">
        <v>20958</v>
      </c>
      <c r="M5931" s="68" t="s">
        <v>27</v>
      </c>
      <c r="N5931" s="116"/>
      <c r="O5931" s="51"/>
    </row>
    <row r="5932">
      <c r="A5932" s="56">
        <v>5929.0</v>
      </c>
      <c r="B5932" s="71"/>
      <c r="C5932" s="69" t="s">
        <v>23741</v>
      </c>
      <c r="D5932" s="71"/>
      <c r="E5932" s="68" t="s">
        <v>23742</v>
      </c>
      <c r="F5932" s="76">
        <v>40403.0</v>
      </c>
      <c r="G5932" s="68" t="s">
        <v>23743</v>
      </c>
      <c r="H5932" s="71"/>
      <c r="I5932" s="71"/>
      <c r="J5932" s="68" t="s">
        <v>23744</v>
      </c>
      <c r="K5932" s="76">
        <v>43558.0</v>
      </c>
      <c r="L5932" s="68" t="s">
        <v>2743</v>
      </c>
      <c r="M5932" s="68" t="s">
        <v>143</v>
      </c>
      <c r="N5932" s="116"/>
      <c r="O5932" s="51"/>
    </row>
    <row r="5933">
      <c r="A5933" s="56">
        <v>5930.0</v>
      </c>
      <c r="B5933" s="71"/>
      <c r="C5933" s="69" t="s">
        <v>23745</v>
      </c>
      <c r="D5933" s="71"/>
      <c r="E5933" s="68" t="s">
        <v>23746</v>
      </c>
      <c r="F5933" s="76">
        <v>42489.0</v>
      </c>
      <c r="G5933" s="68" t="s">
        <v>23747</v>
      </c>
      <c r="H5933" s="71"/>
      <c r="I5933" s="71"/>
      <c r="J5933" s="87" t="s">
        <v>23748</v>
      </c>
      <c r="K5933" s="76">
        <v>43558.0</v>
      </c>
      <c r="L5933" s="68" t="s">
        <v>2743</v>
      </c>
      <c r="M5933" s="68" t="s">
        <v>530</v>
      </c>
      <c r="N5933" s="116"/>
      <c r="O5933" s="51"/>
    </row>
    <row r="5934">
      <c r="A5934" s="56">
        <v>5931.0</v>
      </c>
      <c r="B5934" s="71"/>
      <c r="C5934" s="79" t="s">
        <v>23749</v>
      </c>
      <c r="D5934" s="82"/>
      <c r="E5934" s="80" t="s">
        <v>23750</v>
      </c>
      <c r="F5934" s="81">
        <v>42068.0</v>
      </c>
      <c r="G5934" s="80" t="s">
        <v>23751</v>
      </c>
      <c r="H5934" s="82"/>
      <c r="I5934" s="80" t="s">
        <v>23752</v>
      </c>
      <c r="J5934" s="63" t="s">
        <v>136</v>
      </c>
      <c r="K5934" s="81">
        <v>43558.0</v>
      </c>
      <c r="L5934" s="80" t="s">
        <v>2743</v>
      </c>
      <c r="M5934" s="80" t="s">
        <v>7530</v>
      </c>
      <c r="N5934" s="116"/>
      <c r="O5934" s="51"/>
    </row>
    <row r="5935">
      <c r="A5935" s="56">
        <v>5932.0</v>
      </c>
      <c r="B5935" s="71"/>
      <c r="C5935" s="79" t="s">
        <v>23753</v>
      </c>
      <c r="D5935" s="82"/>
      <c r="E5935" s="80" t="s">
        <v>23754</v>
      </c>
      <c r="F5935" s="81">
        <v>39972.0</v>
      </c>
      <c r="G5935" s="80" t="s">
        <v>23755</v>
      </c>
      <c r="H5935" s="80" t="s">
        <v>23756</v>
      </c>
      <c r="I5935" s="82"/>
      <c r="J5935" s="63" t="s">
        <v>136</v>
      </c>
      <c r="K5935" s="81">
        <v>43558.0</v>
      </c>
      <c r="L5935" s="80" t="s">
        <v>2743</v>
      </c>
      <c r="M5935" s="80" t="s">
        <v>530</v>
      </c>
      <c r="N5935" s="87" t="s">
        <v>23757</v>
      </c>
      <c r="O5935" s="51"/>
    </row>
    <row r="5936">
      <c r="A5936" s="56">
        <v>5933.0</v>
      </c>
      <c r="B5936" s="71"/>
      <c r="C5936" s="79" t="s">
        <v>23758</v>
      </c>
      <c r="D5936" s="82"/>
      <c r="E5936" s="80" t="s">
        <v>23759</v>
      </c>
      <c r="F5936" s="81">
        <v>39972.0</v>
      </c>
      <c r="G5936" s="80" t="s">
        <v>23755</v>
      </c>
      <c r="H5936" s="80" t="s">
        <v>439</v>
      </c>
      <c r="I5936" s="82"/>
      <c r="J5936" s="63" t="s">
        <v>136</v>
      </c>
      <c r="K5936" s="81">
        <v>43558.0</v>
      </c>
      <c r="L5936" s="80" t="s">
        <v>2743</v>
      </c>
      <c r="M5936" s="80" t="s">
        <v>530</v>
      </c>
      <c r="N5936" s="87" t="s">
        <v>23757</v>
      </c>
      <c r="O5936" s="51"/>
    </row>
    <row r="5937">
      <c r="A5937" s="56">
        <v>5934.0</v>
      </c>
      <c r="B5937" s="71"/>
      <c r="C5937" s="69" t="s">
        <v>23760</v>
      </c>
      <c r="D5937" s="71"/>
      <c r="E5937" s="68" t="s">
        <v>23761</v>
      </c>
      <c r="F5937" s="76">
        <v>42643.0</v>
      </c>
      <c r="G5937" s="68" t="s">
        <v>23762</v>
      </c>
      <c r="H5937" s="71"/>
      <c r="I5937" s="71"/>
      <c r="J5937" s="68" t="s">
        <v>23763</v>
      </c>
      <c r="K5937" s="76">
        <v>43558.0</v>
      </c>
      <c r="L5937" s="68" t="s">
        <v>16185</v>
      </c>
      <c r="M5937" s="68" t="s">
        <v>18270</v>
      </c>
      <c r="N5937" s="116"/>
      <c r="O5937" s="51"/>
    </row>
    <row r="5938">
      <c r="A5938" s="56">
        <v>5935.0</v>
      </c>
      <c r="B5938" s="71"/>
      <c r="C5938" s="79" t="s">
        <v>23764</v>
      </c>
      <c r="D5938" s="82"/>
      <c r="E5938" s="80" t="s">
        <v>23765</v>
      </c>
      <c r="F5938" s="81">
        <v>42643.0</v>
      </c>
      <c r="G5938" s="80" t="s">
        <v>23762</v>
      </c>
      <c r="H5938" s="82"/>
      <c r="I5938" s="80" t="s">
        <v>23766</v>
      </c>
      <c r="J5938" s="63" t="s">
        <v>136</v>
      </c>
      <c r="K5938" s="81">
        <v>43558.0</v>
      </c>
      <c r="L5938" s="80" t="s">
        <v>16185</v>
      </c>
      <c r="M5938" s="80" t="s">
        <v>18270</v>
      </c>
      <c r="N5938" s="116"/>
      <c r="O5938" s="51"/>
    </row>
    <row r="5939">
      <c r="A5939" s="56">
        <v>5936.0</v>
      </c>
      <c r="B5939" s="71"/>
      <c r="C5939" s="69" t="s">
        <v>23767</v>
      </c>
      <c r="D5939" s="71"/>
      <c r="E5939" s="68" t="s">
        <v>23768</v>
      </c>
      <c r="F5939" s="76">
        <v>42643.0</v>
      </c>
      <c r="G5939" s="68" t="s">
        <v>23762</v>
      </c>
      <c r="H5939" s="71"/>
      <c r="I5939" s="71"/>
      <c r="J5939" s="68" t="s">
        <v>23763</v>
      </c>
      <c r="K5939" s="76">
        <v>43558.0</v>
      </c>
      <c r="L5939" s="68" t="s">
        <v>16185</v>
      </c>
      <c r="M5939" s="68" t="s">
        <v>18270</v>
      </c>
      <c r="N5939" s="116"/>
      <c r="O5939" s="51"/>
    </row>
    <row r="5940">
      <c r="A5940" s="56">
        <v>5937.0</v>
      </c>
      <c r="B5940" s="71"/>
      <c r="C5940" s="79" t="s">
        <v>23769</v>
      </c>
      <c r="D5940" s="82"/>
      <c r="E5940" s="80" t="s">
        <v>23770</v>
      </c>
      <c r="F5940" s="81">
        <v>42433.0</v>
      </c>
      <c r="G5940" s="80" t="s">
        <v>23771</v>
      </c>
      <c r="H5940" s="82"/>
      <c r="I5940" s="82"/>
      <c r="J5940" s="63" t="s">
        <v>136</v>
      </c>
      <c r="K5940" s="81">
        <v>43558.0</v>
      </c>
      <c r="L5940" s="80" t="s">
        <v>16185</v>
      </c>
      <c r="M5940" s="80" t="s">
        <v>2152</v>
      </c>
      <c r="N5940" s="116"/>
      <c r="O5940" s="51"/>
    </row>
    <row r="5941">
      <c r="A5941" s="56">
        <v>5938.0</v>
      </c>
      <c r="B5941" s="71"/>
      <c r="C5941" s="69" t="s">
        <v>23772</v>
      </c>
      <c r="D5941" s="71"/>
      <c r="E5941" s="68" t="s">
        <v>23773</v>
      </c>
      <c r="F5941" s="76">
        <v>41822.0</v>
      </c>
      <c r="G5941" s="68" t="s">
        <v>23774</v>
      </c>
      <c r="H5941" s="71"/>
      <c r="I5941" s="71"/>
      <c r="J5941" s="68" t="s">
        <v>23775</v>
      </c>
      <c r="K5941" s="76">
        <v>43558.0</v>
      </c>
      <c r="L5941" s="68" t="s">
        <v>16185</v>
      </c>
      <c r="M5941" s="68" t="s">
        <v>166</v>
      </c>
      <c r="N5941" s="116"/>
      <c r="O5941" s="51"/>
    </row>
    <row r="5942">
      <c r="A5942" s="56">
        <v>5939.0</v>
      </c>
      <c r="B5942" s="71"/>
      <c r="C5942" s="79" t="s">
        <v>23776</v>
      </c>
      <c r="D5942" s="82"/>
      <c r="E5942" s="80" t="s">
        <v>23777</v>
      </c>
      <c r="F5942" s="81">
        <v>41426.0</v>
      </c>
      <c r="G5942" s="80" t="s">
        <v>23778</v>
      </c>
      <c r="H5942" s="80" t="s">
        <v>23779</v>
      </c>
      <c r="I5942" s="82"/>
      <c r="J5942" s="63" t="s">
        <v>136</v>
      </c>
      <c r="K5942" s="81">
        <v>43558.0</v>
      </c>
      <c r="L5942" s="80" t="s">
        <v>16185</v>
      </c>
      <c r="M5942" s="80" t="s">
        <v>23780</v>
      </c>
      <c r="N5942" s="116"/>
      <c r="O5942" s="51"/>
    </row>
    <row r="5943">
      <c r="A5943" s="56">
        <v>5940.0</v>
      </c>
      <c r="B5943" s="71"/>
      <c r="C5943" s="69" t="s">
        <v>23781</v>
      </c>
      <c r="D5943" s="71"/>
      <c r="E5943" s="68" t="s">
        <v>23782</v>
      </c>
      <c r="F5943" s="76">
        <v>42681.0</v>
      </c>
      <c r="G5943" s="68" t="s">
        <v>23783</v>
      </c>
      <c r="H5943" s="71"/>
      <c r="I5943" s="71"/>
      <c r="J5943" s="68" t="s">
        <v>23784</v>
      </c>
      <c r="K5943" s="76">
        <v>43558.0</v>
      </c>
      <c r="L5943" s="68" t="s">
        <v>16185</v>
      </c>
      <c r="M5943" s="68" t="s">
        <v>2291</v>
      </c>
      <c r="N5943" s="116"/>
      <c r="O5943" s="51"/>
    </row>
    <row r="5944">
      <c r="A5944" s="56">
        <v>5941.0</v>
      </c>
      <c r="B5944" s="71"/>
      <c r="C5944" s="69" t="s">
        <v>23785</v>
      </c>
      <c r="D5944" s="71"/>
      <c r="E5944" s="68" t="s">
        <v>23786</v>
      </c>
      <c r="F5944" s="76">
        <v>43557.0</v>
      </c>
      <c r="G5944" s="68" t="s">
        <v>23787</v>
      </c>
      <c r="H5944" s="71"/>
      <c r="I5944" s="71"/>
      <c r="J5944" s="68" t="s">
        <v>23788</v>
      </c>
      <c r="K5944" s="76">
        <v>43564.0</v>
      </c>
      <c r="L5944" s="68" t="s">
        <v>2743</v>
      </c>
      <c r="M5944" s="68" t="s">
        <v>166</v>
      </c>
      <c r="N5944" s="116"/>
      <c r="O5944" s="51"/>
    </row>
    <row r="5945">
      <c r="A5945" s="56">
        <v>5942.0</v>
      </c>
      <c r="B5945" s="71"/>
      <c r="C5945" s="79" t="s">
        <v>23789</v>
      </c>
      <c r="D5945" s="82"/>
      <c r="E5945" s="80" t="s">
        <v>23790</v>
      </c>
      <c r="F5945" s="81">
        <v>39995.0</v>
      </c>
      <c r="G5945" s="80" t="s">
        <v>23791</v>
      </c>
      <c r="H5945" s="82"/>
      <c r="I5945" s="80" t="s">
        <v>23792</v>
      </c>
      <c r="J5945" s="63" t="s">
        <v>136</v>
      </c>
      <c r="K5945" s="81">
        <v>43564.0</v>
      </c>
      <c r="L5945" s="80" t="s">
        <v>2743</v>
      </c>
      <c r="M5945" s="80" t="s">
        <v>530</v>
      </c>
      <c r="N5945" s="116"/>
      <c r="O5945" s="51"/>
    </row>
    <row r="5946">
      <c r="A5946" s="56">
        <v>5943.0</v>
      </c>
      <c r="B5946" s="71"/>
      <c r="C5946" s="79" t="s">
        <v>23793</v>
      </c>
      <c r="D5946" s="82"/>
      <c r="E5946" s="80" t="s">
        <v>23794</v>
      </c>
      <c r="F5946" s="81">
        <v>42475.0</v>
      </c>
      <c r="G5946" s="80" t="s">
        <v>23795</v>
      </c>
      <c r="H5946" s="80" t="s">
        <v>439</v>
      </c>
      <c r="I5946" s="80" t="s">
        <v>23796</v>
      </c>
      <c r="J5946" s="63" t="s">
        <v>136</v>
      </c>
      <c r="K5946" s="81">
        <v>43564.0</v>
      </c>
      <c r="L5946" s="80" t="s">
        <v>2743</v>
      </c>
      <c r="M5946" s="80" t="s">
        <v>23797</v>
      </c>
      <c r="N5946" s="116"/>
      <c r="O5946" s="51"/>
    </row>
    <row r="5947">
      <c r="A5947" s="56">
        <v>5944.0</v>
      </c>
      <c r="B5947" s="71"/>
      <c r="C5947" s="69" t="s">
        <v>23798</v>
      </c>
      <c r="D5947" s="71"/>
      <c r="E5947" s="68" t="s">
        <v>23799</v>
      </c>
      <c r="F5947" s="76">
        <v>43561.0</v>
      </c>
      <c r="G5947" s="68" t="s">
        <v>23800</v>
      </c>
      <c r="H5947" s="71"/>
      <c r="I5947" s="71"/>
      <c r="J5947" s="68" t="s">
        <v>23801</v>
      </c>
      <c r="K5947" s="76">
        <v>43564.0</v>
      </c>
      <c r="L5947" s="68" t="s">
        <v>16185</v>
      </c>
      <c r="M5947" s="68" t="s">
        <v>2291</v>
      </c>
      <c r="N5947" s="116"/>
      <c r="O5947" s="51"/>
    </row>
    <row r="5948">
      <c r="A5948" s="56">
        <v>5945.0</v>
      </c>
      <c r="B5948" s="71"/>
      <c r="C5948" s="79" t="s">
        <v>23802</v>
      </c>
      <c r="D5948" s="82"/>
      <c r="E5948" s="80" t="s">
        <v>23803</v>
      </c>
      <c r="F5948" s="98">
        <v>42723.0</v>
      </c>
      <c r="G5948" s="80" t="s">
        <v>23804</v>
      </c>
      <c r="H5948" s="82"/>
      <c r="I5948" s="82"/>
      <c r="J5948" s="63" t="s">
        <v>136</v>
      </c>
      <c r="K5948" s="81">
        <v>43564.0</v>
      </c>
      <c r="L5948" s="80" t="s">
        <v>2743</v>
      </c>
      <c r="M5948" s="80" t="s">
        <v>166</v>
      </c>
      <c r="N5948" s="116"/>
      <c r="O5948" s="51"/>
    </row>
    <row r="5949">
      <c r="A5949" s="56">
        <v>5946.0</v>
      </c>
      <c r="B5949" s="71"/>
      <c r="C5949" s="69" t="s">
        <v>23805</v>
      </c>
      <c r="D5949" s="71"/>
      <c r="E5949" s="68" t="s">
        <v>23806</v>
      </c>
      <c r="F5949" s="76">
        <v>43344.0</v>
      </c>
      <c r="G5949" s="68" t="s">
        <v>23807</v>
      </c>
      <c r="H5949" s="71"/>
      <c r="I5949" s="71"/>
      <c r="J5949" s="68" t="s">
        <v>23808</v>
      </c>
      <c r="K5949" s="76">
        <v>43564.0</v>
      </c>
      <c r="L5949" s="68" t="s">
        <v>20329</v>
      </c>
      <c r="M5949" s="68" t="s">
        <v>195</v>
      </c>
      <c r="N5949" s="116"/>
      <c r="O5949" s="51"/>
    </row>
    <row r="5950">
      <c r="A5950" s="56">
        <v>5947.0</v>
      </c>
      <c r="B5950" s="71"/>
      <c r="C5950" s="69" t="s">
        <v>23809</v>
      </c>
      <c r="D5950" s="71"/>
      <c r="E5950" s="68" t="s">
        <v>23810</v>
      </c>
      <c r="F5950" s="76">
        <v>43190.0</v>
      </c>
      <c r="G5950" s="68" t="s">
        <v>23811</v>
      </c>
      <c r="H5950" s="71"/>
      <c r="I5950" s="71"/>
      <c r="J5950" s="68" t="s">
        <v>23812</v>
      </c>
      <c r="K5950" s="76">
        <v>43564.0</v>
      </c>
      <c r="L5950" s="68" t="s">
        <v>17460</v>
      </c>
      <c r="M5950" s="68" t="s">
        <v>166</v>
      </c>
      <c r="N5950" s="116"/>
      <c r="O5950" s="51"/>
    </row>
    <row r="5951">
      <c r="A5951" s="56">
        <v>5948.0</v>
      </c>
      <c r="B5951" s="71"/>
      <c r="C5951" s="69" t="s">
        <v>23813</v>
      </c>
      <c r="D5951" s="71"/>
      <c r="E5951" s="68" t="s">
        <v>23814</v>
      </c>
      <c r="F5951" s="76">
        <v>43272.0</v>
      </c>
      <c r="G5951" s="68" t="s">
        <v>23815</v>
      </c>
      <c r="H5951" s="71"/>
      <c r="I5951" s="71"/>
      <c r="J5951" s="87" t="s">
        <v>23816</v>
      </c>
      <c r="K5951" s="76">
        <v>43564.0</v>
      </c>
      <c r="L5951" s="68" t="s">
        <v>2743</v>
      </c>
      <c r="M5951" s="68" t="s">
        <v>166</v>
      </c>
      <c r="N5951" s="116"/>
      <c r="O5951" s="51"/>
    </row>
    <row r="5952">
      <c r="A5952" s="56">
        <v>5949.0</v>
      </c>
      <c r="B5952" s="71"/>
      <c r="C5952" s="79" t="s">
        <v>23817</v>
      </c>
      <c r="D5952" s="82"/>
      <c r="E5952" s="80" t="s">
        <v>23818</v>
      </c>
      <c r="F5952" s="81">
        <v>42058.0</v>
      </c>
      <c r="G5952" s="80" t="s">
        <v>23819</v>
      </c>
      <c r="H5952" s="82"/>
      <c r="I5952" s="82"/>
      <c r="J5952" s="63" t="s">
        <v>136</v>
      </c>
      <c r="K5952" s="81">
        <v>43565.0</v>
      </c>
      <c r="L5952" s="80" t="s">
        <v>2743</v>
      </c>
      <c r="M5952" s="80" t="s">
        <v>125</v>
      </c>
      <c r="N5952" s="116"/>
      <c r="O5952" s="51"/>
    </row>
    <row r="5953">
      <c r="A5953" s="56">
        <v>5950.0</v>
      </c>
      <c r="B5953" s="71"/>
      <c r="C5953" s="69" t="s">
        <v>23820</v>
      </c>
      <c r="D5953" s="71"/>
      <c r="E5953" s="68" t="s">
        <v>23821</v>
      </c>
      <c r="F5953" s="76">
        <v>43550.0</v>
      </c>
      <c r="G5953" s="68" t="s">
        <v>23822</v>
      </c>
      <c r="H5953" s="71"/>
      <c r="I5953" s="68" t="s">
        <v>23823</v>
      </c>
      <c r="J5953" s="100" t="s">
        <v>23824</v>
      </c>
      <c r="K5953" s="225">
        <v>43565.0</v>
      </c>
      <c r="L5953" s="68" t="s">
        <v>2743</v>
      </c>
      <c r="M5953" s="68" t="s">
        <v>2291</v>
      </c>
      <c r="N5953" s="116"/>
      <c r="O5953" s="51"/>
    </row>
    <row r="5954">
      <c r="A5954" s="56">
        <v>5951.0</v>
      </c>
      <c r="B5954" s="71"/>
      <c r="C5954" s="79" t="s">
        <v>23825</v>
      </c>
      <c r="D5954" s="82"/>
      <c r="E5954" s="80" t="s">
        <v>23826</v>
      </c>
      <c r="F5954" s="81">
        <v>42138.0</v>
      </c>
      <c r="G5954" s="80" t="s">
        <v>23827</v>
      </c>
      <c r="H5954" s="82"/>
      <c r="I5954" s="82"/>
      <c r="J5954" s="63" t="s">
        <v>136</v>
      </c>
      <c r="K5954" s="81">
        <v>43565.0</v>
      </c>
      <c r="L5954" s="80" t="s">
        <v>2743</v>
      </c>
      <c r="M5954" s="80" t="s">
        <v>125</v>
      </c>
      <c r="N5954" s="116"/>
      <c r="O5954" s="51"/>
    </row>
    <row r="5955">
      <c r="A5955" s="56">
        <v>5952.0</v>
      </c>
      <c r="B5955" s="71"/>
      <c r="C5955" s="79" t="s">
        <v>23828</v>
      </c>
      <c r="D5955" s="82"/>
      <c r="E5955" s="80" t="s">
        <v>23829</v>
      </c>
      <c r="F5955" s="81">
        <v>42138.0</v>
      </c>
      <c r="G5955" s="80" t="s">
        <v>23827</v>
      </c>
      <c r="H5955" s="82"/>
      <c r="I5955" s="82"/>
      <c r="J5955" s="63" t="s">
        <v>136</v>
      </c>
      <c r="K5955" s="81">
        <v>43565.0</v>
      </c>
      <c r="L5955" s="80" t="s">
        <v>2743</v>
      </c>
      <c r="M5955" s="80" t="s">
        <v>125</v>
      </c>
      <c r="N5955" s="116"/>
      <c r="O5955" s="51"/>
    </row>
    <row r="5956">
      <c r="A5956" s="56">
        <v>5953.0</v>
      </c>
      <c r="B5956" s="71"/>
      <c r="C5956" s="79" t="s">
        <v>23830</v>
      </c>
      <c r="D5956" s="82"/>
      <c r="E5956" s="80" t="s">
        <v>23831</v>
      </c>
      <c r="F5956" s="81">
        <v>42138.0</v>
      </c>
      <c r="G5956" s="80" t="s">
        <v>23827</v>
      </c>
      <c r="H5956" s="82"/>
      <c r="I5956" s="82"/>
      <c r="J5956" s="63" t="s">
        <v>136</v>
      </c>
      <c r="K5956" s="81">
        <v>43565.0</v>
      </c>
      <c r="L5956" s="80" t="s">
        <v>2743</v>
      </c>
      <c r="M5956" s="80" t="s">
        <v>125</v>
      </c>
      <c r="N5956" s="116"/>
      <c r="O5956" s="51"/>
    </row>
    <row r="5957">
      <c r="A5957" s="56">
        <v>5954.0</v>
      </c>
      <c r="B5957" s="71"/>
      <c r="C5957" s="69" t="s">
        <v>23832</v>
      </c>
      <c r="D5957" s="71"/>
      <c r="E5957" s="68" t="s">
        <v>23833</v>
      </c>
      <c r="F5957" s="76">
        <v>43560.0</v>
      </c>
      <c r="G5957" s="68" t="s">
        <v>23834</v>
      </c>
      <c r="H5957" s="71"/>
      <c r="I5957" s="71"/>
      <c r="J5957" s="68" t="s">
        <v>23835</v>
      </c>
      <c r="K5957" s="76">
        <v>43565.0</v>
      </c>
      <c r="L5957" s="68" t="s">
        <v>2743</v>
      </c>
      <c r="M5957" s="68" t="s">
        <v>125</v>
      </c>
      <c r="N5957" s="116"/>
      <c r="O5957" s="51"/>
    </row>
    <row r="5958">
      <c r="A5958" s="56">
        <v>5955.0</v>
      </c>
      <c r="B5958" s="71"/>
      <c r="C5958" s="79" t="s">
        <v>23836</v>
      </c>
      <c r="D5958" s="82"/>
      <c r="E5958" s="80" t="s">
        <v>23837</v>
      </c>
      <c r="F5958" s="81">
        <v>42419.0</v>
      </c>
      <c r="G5958" s="80" t="s">
        <v>23838</v>
      </c>
      <c r="H5958" s="82"/>
      <c r="I5958" s="82"/>
      <c r="J5958" s="63" t="s">
        <v>136</v>
      </c>
      <c r="K5958" s="81">
        <v>43565.0</v>
      </c>
      <c r="L5958" s="80" t="s">
        <v>2743</v>
      </c>
      <c r="M5958" s="80" t="s">
        <v>195</v>
      </c>
      <c r="N5958" s="116"/>
      <c r="O5958" s="51"/>
    </row>
    <row r="5959">
      <c r="A5959" s="56">
        <v>5956.0</v>
      </c>
      <c r="B5959" s="71"/>
      <c r="C5959" s="79" t="s">
        <v>23839</v>
      </c>
      <c r="D5959" s="82"/>
      <c r="E5959" s="80" t="s">
        <v>23840</v>
      </c>
      <c r="F5959" s="81">
        <v>43158.0</v>
      </c>
      <c r="G5959" s="80" t="s">
        <v>23841</v>
      </c>
      <c r="H5959" s="82"/>
      <c r="I5959" s="82"/>
      <c r="J5959" s="63" t="s">
        <v>136</v>
      </c>
      <c r="K5959" s="81">
        <v>43565.0</v>
      </c>
      <c r="L5959" s="80" t="s">
        <v>2743</v>
      </c>
      <c r="M5959" s="80" t="s">
        <v>166</v>
      </c>
      <c r="N5959" s="116"/>
      <c r="O5959" s="51"/>
    </row>
    <row r="5960">
      <c r="A5960" s="75">
        <v>5957.0</v>
      </c>
      <c r="B5960" s="71"/>
      <c r="C5960" s="69" t="s">
        <v>23842</v>
      </c>
      <c r="D5960" s="71"/>
      <c r="E5960" s="68" t="s">
        <v>23843</v>
      </c>
      <c r="F5960" s="83">
        <v>43038.0</v>
      </c>
      <c r="G5960" s="68" t="s">
        <v>23844</v>
      </c>
      <c r="H5960" s="71"/>
      <c r="I5960" s="68" t="s">
        <v>23845</v>
      </c>
      <c r="J5960" s="68" t="s">
        <v>23846</v>
      </c>
      <c r="K5960" s="76">
        <v>43565.0</v>
      </c>
      <c r="L5960" s="68" t="s">
        <v>2743</v>
      </c>
      <c r="M5960" s="68" t="s">
        <v>403</v>
      </c>
      <c r="N5960" s="116"/>
      <c r="O5960" s="51"/>
    </row>
    <row r="5961">
      <c r="A5961" s="56">
        <v>5958.0</v>
      </c>
      <c r="B5961" s="71"/>
      <c r="C5961" s="79" t="s">
        <v>23847</v>
      </c>
      <c r="D5961" s="82"/>
      <c r="E5961" s="80" t="s">
        <v>23848</v>
      </c>
      <c r="F5961" s="81">
        <v>42738.0</v>
      </c>
      <c r="G5961" s="80" t="s">
        <v>23849</v>
      </c>
      <c r="H5961" s="82"/>
      <c r="I5961" s="82"/>
      <c r="J5961" s="63" t="s">
        <v>136</v>
      </c>
      <c r="K5961" s="81">
        <v>43565.0</v>
      </c>
      <c r="L5961" s="80" t="s">
        <v>2743</v>
      </c>
      <c r="M5961" s="80" t="s">
        <v>27</v>
      </c>
      <c r="N5961" s="116"/>
      <c r="O5961" s="51"/>
    </row>
    <row r="5962">
      <c r="A5962" s="56">
        <v>5959.0</v>
      </c>
      <c r="B5962" s="71"/>
      <c r="C5962" s="79" t="s">
        <v>23850</v>
      </c>
      <c r="D5962" s="82"/>
      <c r="E5962" s="80" t="s">
        <v>23851</v>
      </c>
      <c r="F5962" s="81">
        <v>41396.0</v>
      </c>
      <c r="G5962" s="80" t="s">
        <v>23852</v>
      </c>
      <c r="H5962" s="82"/>
      <c r="I5962" s="82"/>
      <c r="J5962" s="63" t="s">
        <v>136</v>
      </c>
      <c r="K5962" s="81">
        <v>43565.0</v>
      </c>
      <c r="L5962" s="80" t="s">
        <v>2743</v>
      </c>
      <c r="M5962" s="80" t="s">
        <v>27</v>
      </c>
      <c r="N5962" s="116"/>
      <c r="O5962" s="51"/>
    </row>
    <row r="5963">
      <c r="A5963" s="56">
        <v>5960.0</v>
      </c>
      <c r="B5963" s="71"/>
      <c r="C5963" s="79" t="s">
        <v>23853</v>
      </c>
      <c r="D5963" s="82"/>
      <c r="E5963" s="80" t="s">
        <v>23854</v>
      </c>
      <c r="F5963" s="98">
        <v>41923.0</v>
      </c>
      <c r="G5963" s="80" t="s">
        <v>23855</v>
      </c>
      <c r="H5963" s="82"/>
      <c r="I5963" s="82"/>
      <c r="J5963" s="63" t="s">
        <v>136</v>
      </c>
      <c r="K5963" s="81">
        <v>43565.0</v>
      </c>
      <c r="L5963" s="80" t="s">
        <v>2743</v>
      </c>
      <c r="M5963" s="80" t="s">
        <v>27</v>
      </c>
      <c r="N5963" s="116"/>
      <c r="O5963" s="51"/>
    </row>
    <row r="5964">
      <c r="A5964" s="56">
        <v>5961.0</v>
      </c>
      <c r="B5964" s="71"/>
      <c r="C5964" s="69" t="s">
        <v>23856</v>
      </c>
      <c r="D5964" s="71"/>
      <c r="E5964" s="68" t="s">
        <v>23857</v>
      </c>
      <c r="F5964" s="76">
        <v>43534.0</v>
      </c>
      <c r="G5964" s="68" t="s">
        <v>23858</v>
      </c>
      <c r="H5964" s="71"/>
      <c r="I5964" s="71"/>
      <c r="J5964" s="87" t="s">
        <v>23859</v>
      </c>
      <c r="K5964" s="76">
        <v>43565.0</v>
      </c>
      <c r="L5964" s="68" t="s">
        <v>2743</v>
      </c>
      <c r="M5964" s="68" t="s">
        <v>27</v>
      </c>
      <c r="N5964" s="116"/>
      <c r="O5964" s="51"/>
    </row>
    <row r="5965">
      <c r="A5965" s="56">
        <v>5962.0</v>
      </c>
      <c r="B5965" s="71"/>
      <c r="C5965" s="79" t="s">
        <v>23860</v>
      </c>
      <c r="D5965" s="82"/>
      <c r="E5965" s="80" t="s">
        <v>23861</v>
      </c>
      <c r="F5965" s="81">
        <v>41002.0</v>
      </c>
      <c r="G5965" s="80" t="s">
        <v>23862</v>
      </c>
      <c r="H5965" s="80" t="s">
        <v>23863</v>
      </c>
      <c r="I5965" s="82"/>
      <c r="J5965" s="63" t="s">
        <v>136</v>
      </c>
      <c r="K5965" s="81">
        <v>43565.0</v>
      </c>
      <c r="L5965" s="80" t="s">
        <v>2743</v>
      </c>
      <c r="M5965" s="80" t="s">
        <v>23864</v>
      </c>
      <c r="N5965" s="116"/>
      <c r="O5965" s="51"/>
    </row>
    <row r="5966">
      <c r="A5966" s="56">
        <v>5963.0</v>
      </c>
      <c r="B5966" s="71"/>
      <c r="C5966" s="79" t="s">
        <v>23865</v>
      </c>
      <c r="D5966" s="82"/>
      <c r="E5966" s="80" t="s">
        <v>23866</v>
      </c>
      <c r="F5966" s="81">
        <v>42560.0</v>
      </c>
      <c r="G5966" s="80" t="s">
        <v>23867</v>
      </c>
      <c r="H5966" s="82"/>
      <c r="I5966" s="82"/>
      <c r="J5966" s="63" t="s">
        <v>136</v>
      </c>
      <c r="K5966" s="81">
        <v>43565.0</v>
      </c>
      <c r="L5966" s="80" t="s">
        <v>2743</v>
      </c>
      <c r="M5966" s="80" t="s">
        <v>27</v>
      </c>
      <c r="N5966" s="116"/>
      <c r="O5966" s="51"/>
    </row>
    <row r="5967">
      <c r="A5967" s="56">
        <v>5964.0</v>
      </c>
      <c r="B5967" s="71"/>
      <c r="C5967" s="69" t="s">
        <v>23868</v>
      </c>
      <c r="D5967" s="71"/>
      <c r="E5967" s="68" t="s">
        <v>23869</v>
      </c>
      <c r="F5967" s="76">
        <v>43474.0</v>
      </c>
      <c r="G5967" s="68" t="s">
        <v>23870</v>
      </c>
      <c r="H5967" s="71"/>
      <c r="I5967" s="68" t="s">
        <v>23871</v>
      </c>
      <c r="J5967" s="68" t="s">
        <v>23872</v>
      </c>
      <c r="K5967" s="76">
        <v>43565.0</v>
      </c>
      <c r="L5967" s="68" t="s">
        <v>2743</v>
      </c>
      <c r="M5967" s="68" t="s">
        <v>27</v>
      </c>
      <c r="N5967" s="116"/>
      <c r="O5967" s="51"/>
    </row>
    <row r="5968">
      <c r="A5968" s="56">
        <v>5965.0</v>
      </c>
      <c r="B5968" s="71"/>
      <c r="C5968" s="79" t="s">
        <v>23873</v>
      </c>
      <c r="D5968" s="82"/>
      <c r="E5968" s="80" t="s">
        <v>23874</v>
      </c>
      <c r="F5968" s="81">
        <v>41821.0</v>
      </c>
      <c r="G5968" s="80" t="s">
        <v>23875</v>
      </c>
      <c r="H5968" s="82"/>
      <c r="I5968" s="82"/>
      <c r="J5968" s="63" t="s">
        <v>136</v>
      </c>
      <c r="K5968" s="81">
        <v>43565.0</v>
      </c>
      <c r="L5968" s="80" t="s">
        <v>2743</v>
      </c>
      <c r="M5968" s="80" t="s">
        <v>542</v>
      </c>
      <c r="N5968" s="116"/>
      <c r="O5968" s="51"/>
    </row>
    <row r="5969">
      <c r="A5969" s="75">
        <v>5966.0</v>
      </c>
      <c r="B5969" s="71"/>
      <c r="C5969" s="69" t="s">
        <v>23876</v>
      </c>
      <c r="D5969" s="71"/>
      <c r="E5969" s="68" t="s">
        <v>23877</v>
      </c>
      <c r="F5969" s="76">
        <v>41648.0</v>
      </c>
      <c r="G5969" s="68" t="s">
        <v>23878</v>
      </c>
      <c r="H5969" s="71"/>
      <c r="I5969" s="71"/>
      <c r="J5969" s="68" t="s">
        <v>23879</v>
      </c>
      <c r="K5969" s="76">
        <v>43566.0</v>
      </c>
      <c r="L5969" s="68" t="s">
        <v>2743</v>
      </c>
      <c r="M5969" s="68" t="s">
        <v>542</v>
      </c>
      <c r="N5969" s="116"/>
      <c r="O5969" s="51"/>
    </row>
    <row r="5970">
      <c r="A5970" s="56">
        <v>5967.0</v>
      </c>
      <c r="B5970" s="71"/>
      <c r="C5970" s="79" t="s">
        <v>23880</v>
      </c>
      <c r="D5970" s="82"/>
      <c r="E5970" s="80" t="s">
        <v>23881</v>
      </c>
      <c r="F5970" s="81">
        <v>39995.0</v>
      </c>
      <c r="G5970" s="80" t="s">
        <v>23882</v>
      </c>
      <c r="H5970" s="80" t="s">
        <v>23883</v>
      </c>
      <c r="I5970" s="80" t="s">
        <v>23884</v>
      </c>
      <c r="J5970" s="63" t="s">
        <v>136</v>
      </c>
      <c r="K5970" s="81">
        <v>43566.0</v>
      </c>
      <c r="L5970" s="80" t="s">
        <v>2743</v>
      </c>
      <c r="M5970" s="80" t="s">
        <v>530</v>
      </c>
      <c r="N5970" s="116"/>
      <c r="O5970" s="51"/>
    </row>
    <row r="5971">
      <c r="A5971" s="56">
        <v>5968.0</v>
      </c>
      <c r="B5971" s="71"/>
      <c r="C5971" s="79" t="s">
        <v>23885</v>
      </c>
      <c r="D5971" s="82"/>
      <c r="E5971" s="80" t="s">
        <v>23886</v>
      </c>
      <c r="F5971" s="81">
        <v>39995.0</v>
      </c>
      <c r="G5971" s="80" t="s">
        <v>23882</v>
      </c>
      <c r="H5971" s="80" t="s">
        <v>23887</v>
      </c>
      <c r="I5971" s="80" t="s">
        <v>23884</v>
      </c>
      <c r="J5971" s="63" t="s">
        <v>136</v>
      </c>
      <c r="K5971" s="81">
        <v>43566.0</v>
      </c>
      <c r="L5971" s="80" t="s">
        <v>2743</v>
      </c>
      <c r="M5971" s="80" t="s">
        <v>530</v>
      </c>
      <c r="N5971" s="116"/>
      <c r="O5971" s="51"/>
    </row>
    <row r="5972">
      <c r="A5972" s="56">
        <v>5969.0</v>
      </c>
      <c r="B5972" s="71"/>
      <c r="C5972" s="79" t="s">
        <v>23888</v>
      </c>
      <c r="D5972" s="82"/>
      <c r="E5972" s="80" t="s">
        <v>23889</v>
      </c>
      <c r="F5972" s="81">
        <v>42510.0</v>
      </c>
      <c r="G5972" s="80" t="s">
        <v>23890</v>
      </c>
      <c r="H5972" s="80" t="s">
        <v>23891</v>
      </c>
      <c r="I5972" s="82"/>
      <c r="J5972" s="63" t="s">
        <v>136</v>
      </c>
      <c r="K5972" s="81">
        <v>43567.0</v>
      </c>
      <c r="L5972" s="80" t="s">
        <v>2743</v>
      </c>
      <c r="M5972" s="80" t="s">
        <v>6875</v>
      </c>
      <c r="N5972" s="116"/>
      <c r="O5972" s="51"/>
    </row>
    <row r="5973">
      <c r="A5973" s="56">
        <v>5970.0</v>
      </c>
      <c r="B5973" s="71"/>
      <c r="C5973" s="79" t="s">
        <v>23892</v>
      </c>
      <c r="D5973" s="82"/>
      <c r="E5973" s="80" t="s">
        <v>23893</v>
      </c>
      <c r="F5973" s="98">
        <v>41605.0</v>
      </c>
      <c r="G5973" s="80" t="s">
        <v>23894</v>
      </c>
      <c r="H5973" s="82"/>
      <c r="I5973" s="82"/>
      <c r="J5973" s="63" t="s">
        <v>136</v>
      </c>
      <c r="K5973" s="81">
        <v>43567.0</v>
      </c>
      <c r="L5973" s="80" t="s">
        <v>2743</v>
      </c>
      <c r="M5973" s="80" t="s">
        <v>125</v>
      </c>
      <c r="N5973" s="116"/>
      <c r="O5973" s="51"/>
    </row>
    <row r="5974">
      <c r="A5974" s="56">
        <v>5971.0</v>
      </c>
      <c r="B5974" s="71"/>
      <c r="C5974" s="69" t="s">
        <v>23895</v>
      </c>
      <c r="D5974" s="71"/>
      <c r="E5974" s="68" t="s">
        <v>23896</v>
      </c>
      <c r="F5974" s="76">
        <v>40066.0</v>
      </c>
      <c r="G5974" s="68" t="s">
        <v>23897</v>
      </c>
      <c r="H5974" s="68" t="s">
        <v>439</v>
      </c>
      <c r="I5974" s="71"/>
      <c r="J5974" s="68" t="s">
        <v>23898</v>
      </c>
      <c r="K5974" s="76">
        <v>43567.0</v>
      </c>
      <c r="L5974" s="68" t="s">
        <v>2743</v>
      </c>
      <c r="M5974" s="68" t="s">
        <v>530</v>
      </c>
      <c r="N5974" s="116"/>
      <c r="O5974" s="51"/>
    </row>
    <row r="5975">
      <c r="A5975" s="56">
        <v>5972.0</v>
      </c>
      <c r="B5975" s="71"/>
      <c r="C5975" s="69" t="s">
        <v>23899</v>
      </c>
      <c r="D5975" s="71"/>
      <c r="E5975" s="68" t="s">
        <v>23900</v>
      </c>
      <c r="F5975" s="76">
        <v>43507.0</v>
      </c>
      <c r="G5975" s="68" t="s">
        <v>23901</v>
      </c>
      <c r="H5975" s="71"/>
      <c r="I5975" s="68" t="s">
        <v>23902</v>
      </c>
      <c r="J5975" s="68" t="s">
        <v>23903</v>
      </c>
      <c r="K5975" s="76">
        <v>43567.0</v>
      </c>
      <c r="L5975" s="68" t="s">
        <v>2743</v>
      </c>
      <c r="M5975" s="68" t="s">
        <v>14984</v>
      </c>
      <c r="N5975" s="116"/>
      <c r="O5975" s="51"/>
    </row>
    <row r="5976">
      <c r="A5976" s="56">
        <v>5973.0</v>
      </c>
      <c r="B5976" s="71"/>
      <c r="C5976" s="79" t="s">
        <v>23904</v>
      </c>
      <c r="D5976" s="82"/>
      <c r="E5976" s="80" t="s">
        <v>23905</v>
      </c>
      <c r="F5976" s="81">
        <v>42067.0</v>
      </c>
      <c r="G5976" s="80" t="s">
        <v>23906</v>
      </c>
      <c r="H5976" s="82"/>
      <c r="I5976" s="82"/>
      <c r="J5976" s="63" t="s">
        <v>136</v>
      </c>
      <c r="K5976" s="81">
        <v>43567.0</v>
      </c>
      <c r="L5976" s="80" t="s">
        <v>2743</v>
      </c>
      <c r="M5976" s="80" t="s">
        <v>27</v>
      </c>
      <c r="N5976" s="116"/>
      <c r="O5976" s="51"/>
    </row>
    <row r="5977">
      <c r="A5977" s="56">
        <v>5974.0</v>
      </c>
      <c r="B5977" s="71"/>
      <c r="C5977" s="79" t="s">
        <v>23907</v>
      </c>
      <c r="D5977" s="82"/>
      <c r="E5977" s="80" t="s">
        <v>23908</v>
      </c>
      <c r="F5977" s="81">
        <v>42596.0</v>
      </c>
      <c r="G5977" s="80" t="s">
        <v>23909</v>
      </c>
      <c r="H5977" s="82"/>
      <c r="I5977" s="82"/>
      <c r="J5977" s="63" t="s">
        <v>136</v>
      </c>
      <c r="K5977" s="81">
        <v>43567.0</v>
      </c>
      <c r="L5977" s="80" t="s">
        <v>2743</v>
      </c>
      <c r="M5977" s="80" t="s">
        <v>125</v>
      </c>
      <c r="N5977" s="116"/>
      <c r="O5977" s="51"/>
    </row>
    <row r="5978">
      <c r="A5978" s="56">
        <v>5975.0</v>
      </c>
      <c r="B5978" s="71"/>
      <c r="C5978" s="79" t="s">
        <v>23910</v>
      </c>
      <c r="D5978" s="82"/>
      <c r="E5978" s="63" t="s">
        <v>23911</v>
      </c>
      <c r="F5978" s="81">
        <v>40703.0</v>
      </c>
      <c r="G5978" s="80" t="s">
        <v>23912</v>
      </c>
      <c r="H5978" s="82"/>
      <c r="I5978" s="80" t="s">
        <v>23913</v>
      </c>
      <c r="J5978" s="63" t="s">
        <v>136</v>
      </c>
      <c r="K5978" s="81">
        <v>43567.0</v>
      </c>
      <c r="L5978" s="80" t="s">
        <v>2743</v>
      </c>
      <c r="M5978" s="80" t="s">
        <v>27</v>
      </c>
      <c r="N5978" s="116"/>
      <c r="O5978" s="51"/>
    </row>
    <row r="5979">
      <c r="A5979" s="56">
        <v>5976.0</v>
      </c>
      <c r="B5979" s="71"/>
      <c r="C5979" s="79" t="s">
        <v>23914</v>
      </c>
      <c r="D5979" s="82"/>
      <c r="E5979" s="80" t="s">
        <v>23915</v>
      </c>
      <c r="F5979" s="81">
        <v>32513.0</v>
      </c>
      <c r="G5979" s="80" t="s">
        <v>23916</v>
      </c>
      <c r="H5979" s="82"/>
      <c r="I5979" s="80" t="s">
        <v>23917</v>
      </c>
      <c r="J5979" s="63" t="s">
        <v>136</v>
      </c>
      <c r="K5979" s="81">
        <v>43567.0</v>
      </c>
      <c r="L5979" s="80" t="s">
        <v>2743</v>
      </c>
      <c r="M5979" s="80" t="s">
        <v>27</v>
      </c>
      <c r="N5979" s="116"/>
      <c r="O5979" s="51"/>
    </row>
    <row r="5980">
      <c r="A5980" s="56">
        <v>5977.0</v>
      </c>
      <c r="B5980" s="71"/>
      <c r="C5980" s="69" t="s">
        <v>23918</v>
      </c>
      <c r="D5980" s="71"/>
      <c r="E5980" s="68" t="s">
        <v>23919</v>
      </c>
      <c r="F5980" s="76">
        <v>43510.0</v>
      </c>
      <c r="G5980" s="68" t="s">
        <v>23920</v>
      </c>
      <c r="H5980" s="71"/>
      <c r="I5980" s="71"/>
      <c r="J5980" s="68" t="s">
        <v>23921</v>
      </c>
      <c r="K5980" s="76">
        <v>43568.0</v>
      </c>
      <c r="L5980" s="68" t="s">
        <v>2743</v>
      </c>
      <c r="M5980" s="68" t="s">
        <v>143</v>
      </c>
      <c r="N5980" s="116"/>
      <c r="O5980" s="51"/>
    </row>
    <row r="5981">
      <c r="A5981" s="62">
        <v>5978.0</v>
      </c>
      <c r="B5981" s="66"/>
      <c r="C5981" s="64" t="s">
        <v>23922</v>
      </c>
      <c r="D5981" s="66"/>
      <c r="E5981" s="63" t="s">
        <v>23923</v>
      </c>
      <c r="F5981" s="70">
        <v>42999.0</v>
      </c>
      <c r="G5981" s="63" t="s">
        <v>23924</v>
      </c>
      <c r="H5981" s="63" t="s">
        <v>23925</v>
      </c>
      <c r="I5981" s="66"/>
      <c r="J5981" s="66"/>
      <c r="K5981" s="70">
        <v>43568.0</v>
      </c>
      <c r="L5981" s="63" t="s">
        <v>2743</v>
      </c>
      <c r="M5981" s="63" t="s">
        <v>166</v>
      </c>
      <c r="N5981" s="186"/>
      <c r="O5981" s="51"/>
    </row>
    <row r="5982">
      <c r="A5982" s="56">
        <v>5979.0</v>
      </c>
      <c r="B5982" s="71"/>
      <c r="C5982" s="69" t="s">
        <v>23926</v>
      </c>
      <c r="D5982" s="71"/>
      <c r="E5982" s="68" t="s">
        <v>23927</v>
      </c>
      <c r="F5982" s="83">
        <v>43419.0</v>
      </c>
      <c r="G5982" s="68" t="s">
        <v>23928</v>
      </c>
      <c r="H5982" s="71"/>
      <c r="I5982" s="71"/>
      <c r="J5982" s="68" t="s">
        <v>23929</v>
      </c>
      <c r="K5982" s="76">
        <v>43568.0</v>
      </c>
      <c r="L5982" s="68" t="s">
        <v>14256</v>
      </c>
      <c r="M5982" s="68" t="s">
        <v>27</v>
      </c>
      <c r="N5982" s="116"/>
      <c r="O5982" s="51"/>
    </row>
    <row r="5983">
      <c r="A5983" s="56">
        <v>5980.0</v>
      </c>
      <c r="B5983" s="71"/>
      <c r="C5983" s="69" t="s">
        <v>23930</v>
      </c>
      <c r="D5983" s="71"/>
      <c r="E5983" s="68" t="s">
        <v>23931</v>
      </c>
      <c r="F5983" s="76">
        <v>42865.0</v>
      </c>
      <c r="G5983" s="68" t="s">
        <v>23928</v>
      </c>
      <c r="H5983" s="71"/>
      <c r="I5983" s="71"/>
      <c r="J5983" s="68" t="s">
        <v>23932</v>
      </c>
      <c r="K5983" s="76">
        <v>43568.0</v>
      </c>
      <c r="L5983" s="68" t="s">
        <v>14256</v>
      </c>
      <c r="M5983" s="68" t="s">
        <v>27</v>
      </c>
      <c r="N5983" s="116"/>
      <c r="O5983" s="51"/>
    </row>
    <row r="5984">
      <c r="A5984" s="56">
        <v>5981.0</v>
      </c>
      <c r="B5984" s="71"/>
      <c r="C5984" s="69" t="s">
        <v>23933</v>
      </c>
      <c r="D5984" s="71"/>
      <c r="E5984" s="68" t="s">
        <v>23934</v>
      </c>
      <c r="F5984" s="76">
        <v>41855.0</v>
      </c>
      <c r="G5984" s="71"/>
      <c r="H5984" s="71"/>
      <c r="I5984" s="71"/>
      <c r="J5984" s="68" t="s">
        <v>23935</v>
      </c>
      <c r="K5984" s="76">
        <v>43568.0</v>
      </c>
      <c r="L5984" s="68" t="s">
        <v>14256</v>
      </c>
      <c r="M5984" s="68" t="s">
        <v>27</v>
      </c>
      <c r="N5984" s="116"/>
      <c r="O5984" s="51"/>
    </row>
    <row r="5985">
      <c r="A5985" s="56">
        <v>5982.0</v>
      </c>
      <c r="B5985" s="71"/>
      <c r="C5985" s="79" t="s">
        <v>23936</v>
      </c>
      <c r="D5985" s="82"/>
      <c r="E5985" s="80" t="s">
        <v>23937</v>
      </c>
      <c r="F5985" s="81">
        <v>41782.0</v>
      </c>
      <c r="G5985" s="80" t="s">
        <v>23938</v>
      </c>
      <c r="H5985" s="82"/>
      <c r="I5985" s="82"/>
      <c r="J5985" s="63" t="s">
        <v>136</v>
      </c>
      <c r="K5985" s="81">
        <v>43568.0</v>
      </c>
      <c r="L5985" s="80" t="s">
        <v>14256</v>
      </c>
      <c r="M5985" s="80" t="s">
        <v>27</v>
      </c>
      <c r="N5985" s="116"/>
      <c r="O5985" s="51"/>
    </row>
    <row r="5986">
      <c r="A5986" s="56">
        <v>5983.0</v>
      </c>
      <c r="B5986" s="71"/>
      <c r="C5986" s="69" t="s">
        <v>23939</v>
      </c>
      <c r="D5986" s="71"/>
      <c r="E5986" s="68" t="s">
        <v>23940</v>
      </c>
      <c r="F5986" s="76">
        <v>42708.0</v>
      </c>
      <c r="G5986" s="68" t="s">
        <v>23941</v>
      </c>
      <c r="H5986" s="71"/>
      <c r="I5986" s="71"/>
      <c r="J5986" s="68" t="s">
        <v>23942</v>
      </c>
      <c r="K5986" s="76">
        <v>43568.0</v>
      </c>
      <c r="L5986" s="68" t="s">
        <v>14256</v>
      </c>
      <c r="M5986" s="68" t="s">
        <v>27</v>
      </c>
      <c r="N5986" s="116"/>
      <c r="O5986" s="51"/>
    </row>
    <row r="5987">
      <c r="A5987" s="56">
        <v>5984.0</v>
      </c>
      <c r="B5987" s="71"/>
      <c r="C5987" s="69" t="s">
        <v>23943</v>
      </c>
      <c r="D5987" s="71"/>
      <c r="E5987" s="68" t="s">
        <v>23944</v>
      </c>
      <c r="F5987" s="76">
        <v>40087.0</v>
      </c>
      <c r="G5987" s="68" t="s">
        <v>23945</v>
      </c>
      <c r="H5987" s="71"/>
      <c r="I5987" s="71"/>
      <c r="J5987" s="68" t="s">
        <v>6175</v>
      </c>
      <c r="K5987" s="76">
        <v>43568.0</v>
      </c>
      <c r="L5987" s="68" t="s">
        <v>1496</v>
      </c>
      <c r="M5987" s="68" t="s">
        <v>166</v>
      </c>
      <c r="N5987" s="116"/>
      <c r="O5987" s="51"/>
    </row>
    <row r="5988">
      <c r="A5988" s="75">
        <v>5985.0</v>
      </c>
      <c r="B5988" s="71"/>
      <c r="C5988" s="69" t="s">
        <v>23946</v>
      </c>
      <c r="D5988" s="71"/>
      <c r="E5988" s="68" t="s">
        <v>23947</v>
      </c>
      <c r="F5988" s="83">
        <v>43023.0</v>
      </c>
      <c r="G5988" s="68" t="s">
        <v>23948</v>
      </c>
      <c r="H5988" s="68" t="s">
        <v>23949</v>
      </c>
      <c r="I5988" s="71"/>
      <c r="J5988" s="68" t="s">
        <v>18379</v>
      </c>
      <c r="K5988" s="76">
        <v>43568.0</v>
      </c>
      <c r="L5988" s="68" t="s">
        <v>14256</v>
      </c>
      <c r="M5988" s="68" t="s">
        <v>166</v>
      </c>
      <c r="N5988" s="116"/>
      <c r="O5988" s="51"/>
    </row>
    <row r="5989">
      <c r="A5989" s="56">
        <v>5986.0</v>
      </c>
      <c r="B5989" s="71"/>
      <c r="C5989" s="69" t="s">
        <v>23950</v>
      </c>
      <c r="D5989" s="71"/>
      <c r="E5989" s="68" t="s">
        <v>23951</v>
      </c>
      <c r="F5989" s="83">
        <v>43023.0</v>
      </c>
      <c r="G5989" s="68" t="s">
        <v>23952</v>
      </c>
      <c r="H5989" s="71"/>
      <c r="I5989" s="71"/>
      <c r="J5989" s="68" t="s">
        <v>18374</v>
      </c>
      <c r="K5989" s="76">
        <v>43568.0</v>
      </c>
      <c r="L5989" s="68" t="s">
        <v>14256</v>
      </c>
      <c r="M5989" s="68" t="s">
        <v>166</v>
      </c>
      <c r="N5989" s="116"/>
      <c r="O5989" s="51"/>
    </row>
    <row r="5990">
      <c r="A5990" s="56">
        <v>5987.0</v>
      </c>
      <c r="B5990" s="71"/>
      <c r="C5990" s="69" t="s">
        <v>23953</v>
      </c>
      <c r="D5990" s="71"/>
      <c r="E5990" s="68" t="s">
        <v>23954</v>
      </c>
      <c r="F5990" s="83">
        <v>41228.0</v>
      </c>
      <c r="G5990" s="68" t="s">
        <v>23955</v>
      </c>
      <c r="H5990" s="71"/>
      <c r="I5990" s="71"/>
      <c r="J5990" s="87" t="s">
        <v>23956</v>
      </c>
      <c r="K5990" s="76">
        <v>43568.0</v>
      </c>
      <c r="L5990" s="68" t="s">
        <v>14256</v>
      </c>
      <c r="M5990" s="68" t="s">
        <v>166</v>
      </c>
      <c r="N5990" s="116"/>
      <c r="O5990" s="51"/>
    </row>
    <row r="5991">
      <c r="A5991" s="75">
        <v>5988.0</v>
      </c>
      <c r="B5991" s="71"/>
      <c r="C5991" s="69" t="s">
        <v>23957</v>
      </c>
      <c r="D5991" s="71"/>
      <c r="E5991" s="68" t="s">
        <v>23958</v>
      </c>
      <c r="F5991" s="76">
        <v>40349.0</v>
      </c>
      <c r="G5991" s="68" t="s">
        <v>23959</v>
      </c>
      <c r="H5991" s="71"/>
      <c r="I5991" s="71"/>
      <c r="J5991" s="100" t="s">
        <v>9930</v>
      </c>
      <c r="K5991" s="225">
        <v>43568.0</v>
      </c>
      <c r="L5991" s="68" t="s">
        <v>23960</v>
      </c>
      <c r="M5991" s="68" t="s">
        <v>166</v>
      </c>
      <c r="N5991" s="87" t="s">
        <v>23961</v>
      </c>
      <c r="O5991" s="130"/>
    </row>
    <row r="5992">
      <c r="A5992" s="56">
        <v>5989.0</v>
      </c>
      <c r="B5992" s="71"/>
      <c r="C5992" s="69" t="s">
        <v>23962</v>
      </c>
      <c r="D5992" s="71"/>
      <c r="E5992" s="68" t="s">
        <v>23963</v>
      </c>
      <c r="F5992" s="76">
        <v>43496.0</v>
      </c>
      <c r="G5992" s="68" t="s">
        <v>23964</v>
      </c>
      <c r="H5992" s="71"/>
      <c r="I5992" s="71"/>
      <c r="J5992" s="68" t="s">
        <v>23965</v>
      </c>
      <c r="K5992" s="76">
        <v>43568.0</v>
      </c>
      <c r="L5992" s="68" t="s">
        <v>14256</v>
      </c>
      <c r="M5992" s="68" t="s">
        <v>166</v>
      </c>
      <c r="N5992" s="116"/>
      <c r="O5992" s="51"/>
    </row>
    <row r="5993">
      <c r="A5993" s="56">
        <v>5990.0</v>
      </c>
      <c r="B5993" s="71"/>
      <c r="C5993" s="69" t="s">
        <v>23966</v>
      </c>
      <c r="D5993" s="71"/>
      <c r="E5993" s="68" t="s">
        <v>23967</v>
      </c>
      <c r="F5993" s="76">
        <v>43496.0</v>
      </c>
      <c r="G5993" s="68" t="s">
        <v>23964</v>
      </c>
      <c r="H5993" s="71"/>
      <c r="I5993" s="71"/>
      <c r="J5993" s="68" t="s">
        <v>23968</v>
      </c>
      <c r="K5993" s="76">
        <v>43568.0</v>
      </c>
      <c r="L5993" s="68" t="s">
        <v>14256</v>
      </c>
      <c r="M5993" s="68" t="s">
        <v>166</v>
      </c>
      <c r="N5993" s="116"/>
      <c r="O5993" s="51"/>
    </row>
    <row r="5994">
      <c r="A5994" s="56">
        <v>5991.0</v>
      </c>
      <c r="B5994" s="71"/>
      <c r="C5994" s="69" t="s">
        <v>23969</v>
      </c>
      <c r="D5994" s="71"/>
      <c r="E5994" s="68" t="s">
        <v>23970</v>
      </c>
      <c r="F5994" s="76">
        <v>43496.0</v>
      </c>
      <c r="G5994" s="68" t="s">
        <v>23971</v>
      </c>
      <c r="H5994" s="71"/>
      <c r="I5994" s="71"/>
      <c r="J5994" s="87" t="s">
        <v>23972</v>
      </c>
      <c r="K5994" s="76">
        <v>43568.0</v>
      </c>
      <c r="L5994" s="68" t="s">
        <v>14256</v>
      </c>
      <c r="M5994" s="68" t="s">
        <v>166</v>
      </c>
      <c r="N5994" s="116"/>
      <c r="O5994" s="51"/>
    </row>
    <row r="5995">
      <c r="A5995" s="75">
        <v>5992.0</v>
      </c>
      <c r="B5995" s="71"/>
      <c r="C5995" s="69" t="s">
        <v>23973</v>
      </c>
      <c r="D5995" s="71"/>
      <c r="E5995" s="68" t="s">
        <v>23974</v>
      </c>
      <c r="F5995" s="76">
        <v>43520.0</v>
      </c>
      <c r="G5995" s="68" t="s">
        <v>23975</v>
      </c>
      <c r="H5995" s="71"/>
      <c r="I5995" s="71"/>
      <c r="J5995" s="68" t="s">
        <v>23976</v>
      </c>
      <c r="K5995" s="76">
        <v>43570.0</v>
      </c>
      <c r="L5995" s="68" t="s">
        <v>14256</v>
      </c>
      <c r="M5995" s="68" t="s">
        <v>27</v>
      </c>
      <c r="N5995" s="116"/>
      <c r="O5995" s="51"/>
    </row>
    <row r="5996">
      <c r="A5996" s="56">
        <v>5993.0</v>
      </c>
      <c r="B5996" s="71"/>
      <c r="C5996" s="69" t="s">
        <v>23977</v>
      </c>
      <c r="D5996" s="71"/>
      <c r="E5996" s="68" t="s">
        <v>23978</v>
      </c>
      <c r="F5996" s="83">
        <v>41966.0</v>
      </c>
      <c r="G5996" s="68" t="s">
        <v>23979</v>
      </c>
      <c r="H5996" s="71"/>
      <c r="I5996" s="71"/>
      <c r="J5996" s="87" t="s">
        <v>23980</v>
      </c>
      <c r="K5996" s="76">
        <v>43570.0</v>
      </c>
      <c r="L5996" s="68" t="s">
        <v>14256</v>
      </c>
      <c r="M5996" s="68" t="s">
        <v>27</v>
      </c>
      <c r="N5996" s="116"/>
      <c r="O5996" s="51"/>
    </row>
    <row r="5997">
      <c r="A5997" s="56">
        <v>5994.0</v>
      </c>
      <c r="B5997" s="71"/>
      <c r="C5997" s="69" t="s">
        <v>23981</v>
      </c>
      <c r="D5997" s="71"/>
      <c r="E5997" s="68" t="s">
        <v>23982</v>
      </c>
      <c r="F5997" s="76">
        <v>42210.0</v>
      </c>
      <c r="G5997" s="68" t="s">
        <v>23983</v>
      </c>
      <c r="H5997" s="71"/>
      <c r="I5997" s="71"/>
      <c r="J5997" s="68" t="s">
        <v>23984</v>
      </c>
      <c r="K5997" s="76">
        <v>43570.0</v>
      </c>
      <c r="L5997" s="68" t="s">
        <v>14256</v>
      </c>
      <c r="M5997" s="68" t="s">
        <v>27</v>
      </c>
      <c r="N5997" s="116"/>
      <c r="O5997" s="51"/>
    </row>
    <row r="5998">
      <c r="A5998" s="56">
        <v>5995.0</v>
      </c>
      <c r="B5998" s="71"/>
      <c r="C5998" s="69" t="s">
        <v>23985</v>
      </c>
      <c r="D5998" s="71"/>
      <c r="E5998" s="68" t="s">
        <v>23986</v>
      </c>
      <c r="F5998" s="76">
        <v>43010.0</v>
      </c>
      <c r="G5998" s="68" t="s">
        <v>23987</v>
      </c>
      <c r="H5998" s="71"/>
      <c r="I5998" s="71"/>
      <c r="J5998" s="87" t="s">
        <v>23988</v>
      </c>
      <c r="K5998" s="76">
        <v>43570.0</v>
      </c>
      <c r="L5998" s="68" t="s">
        <v>14256</v>
      </c>
      <c r="M5998" s="68" t="s">
        <v>27</v>
      </c>
      <c r="N5998" s="116"/>
      <c r="O5998" s="51"/>
    </row>
    <row r="5999">
      <c r="A5999" s="56">
        <v>5996.0</v>
      </c>
      <c r="B5999" s="71"/>
      <c r="C5999" s="69" t="s">
        <v>23989</v>
      </c>
      <c r="D5999" s="71"/>
      <c r="E5999" s="68" t="s">
        <v>23990</v>
      </c>
      <c r="F5999" s="76">
        <v>43496.0</v>
      </c>
      <c r="G5999" s="68" t="s">
        <v>23971</v>
      </c>
      <c r="H5999" s="71"/>
      <c r="I5999" s="71"/>
      <c r="J5999" s="68" t="s">
        <v>23991</v>
      </c>
      <c r="K5999" s="76">
        <v>43570.0</v>
      </c>
      <c r="L5999" s="68" t="s">
        <v>14256</v>
      </c>
      <c r="M5999" s="68" t="s">
        <v>166</v>
      </c>
      <c r="N5999" s="116"/>
      <c r="O5999" s="51"/>
    </row>
    <row r="6000">
      <c r="A6000" s="56">
        <v>5997.0</v>
      </c>
      <c r="B6000" s="71"/>
      <c r="C6000" s="69" t="s">
        <v>23992</v>
      </c>
      <c r="D6000" s="71"/>
      <c r="E6000" s="68" t="s">
        <v>2771</v>
      </c>
      <c r="F6000" s="83">
        <v>40523.0</v>
      </c>
      <c r="G6000" s="68" t="s">
        <v>23993</v>
      </c>
      <c r="H6000" s="71"/>
      <c r="I6000" s="71"/>
      <c r="J6000" s="87" t="s">
        <v>23994</v>
      </c>
      <c r="K6000" s="76">
        <v>43570.0</v>
      </c>
      <c r="L6000" s="68" t="s">
        <v>14256</v>
      </c>
      <c r="M6000" s="68" t="s">
        <v>166</v>
      </c>
      <c r="N6000" s="116"/>
      <c r="O6000" s="51"/>
    </row>
    <row r="6001">
      <c r="A6001" s="56">
        <v>5998.0</v>
      </c>
      <c r="B6001" s="71"/>
      <c r="C6001" s="69" t="s">
        <v>23995</v>
      </c>
      <c r="D6001" s="71"/>
      <c r="E6001" s="68" t="s">
        <v>11032</v>
      </c>
      <c r="F6001" s="76">
        <v>40806.0</v>
      </c>
      <c r="G6001" s="68" t="s">
        <v>23996</v>
      </c>
      <c r="H6001" s="71"/>
      <c r="I6001" s="71"/>
      <c r="J6001" s="68" t="s">
        <v>23997</v>
      </c>
      <c r="K6001" s="76">
        <v>43570.0</v>
      </c>
      <c r="L6001" s="68" t="s">
        <v>14256</v>
      </c>
      <c r="M6001" s="68" t="s">
        <v>166</v>
      </c>
      <c r="N6001" s="116"/>
      <c r="O6001" s="51"/>
    </row>
    <row r="6002">
      <c r="A6002" s="56">
        <v>5999.0</v>
      </c>
      <c r="B6002" s="71"/>
      <c r="C6002" s="79" t="s">
        <v>23998</v>
      </c>
      <c r="D6002" s="82"/>
      <c r="E6002" s="80" t="s">
        <v>23999</v>
      </c>
      <c r="F6002" s="98">
        <v>40901.0</v>
      </c>
      <c r="G6002" s="80" t="s">
        <v>24000</v>
      </c>
      <c r="H6002" s="82"/>
      <c r="I6002" s="82"/>
      <c r="J6002" s="63" t="s">
        <v>136</v>
      </c>
      <c r="K6002" s="81">
        <v>43570.0</v>
      </c>
      <c r="L6002" s="80" t="s">
        <v>14256</v>
      </c>
      <c r="M6002" s="80" t="s">
        <v>125</v>
      </c>
      <c r="N6002" s="116"/>
      <c r="O6002" s="51"/>
    </row>
    <row r="6003">
      <c r="A6003" s="56">
        <v>6000.0</v>
      </c>
      <c r="B6003" s="71"/>
      <c r="C6003" s="79" t="s">
        <v>24001</v>
      </c>
      <c r="D6003" s="82"/>
      <c r="E6003" s="80" t="s">
        <v>24002</v>
      </c>
      <c r="F6003" s="98">
        <v>43052.0</v>
      </c>
      <c r="G6003" s="80" t="s">
        <v>24003</v>
      </c>
      <c r="H6003" s="80" t="s">
        <v>24004</v>
      </c>
      <c r="I6003" s="80" t="s">
        <v>24005</v>
      </c>
      <c r="J6003" s="63" t="s">
        <v>136</v>
      </c>
      <c r="K6003" s="81">
        <v>43571.0</v>
      </c>
      <c r="L6003" s="80" t="s">
        <v>2743</v>
      </c>
      <c r="M6003" s="80" t="s">
        <v>149</v>
      </c>
      <c r="N6003" s="116"/>
      <c r="O6003" s="51"/>
    </row>
    <row r="6004">
      <c r="A6004" s="56">
        <v>6001.0</v>
      </c>
      <c r="B6004" s="71"/>
      <c r="C6004" s="69" t="s">
        <v>24006</v>
      </c>
      <c r="D6004" s="71"/>
      <c r="E6004" s="68" t="s">
        <v>24007</v>
      </c>
      <c r="F6004" s="76">
        <v>42999.0</v>
      </c>
      <c r="G6004" s="68" t="s">
        <v>24008</v>
      </c>
      <c r="H6004" s="71"/>
      <c r="I6004" s="71"/>
      <c r="J6004" s="68" t="s">
        <v>24009</v>
      </c>
      <c r="K6004" s="76">
        <v>43571.0</v>
      </c>
      <c r="L6004" s="68" t="s">
        <v>2743</v>
      </c>
      <c r="M6004" s="68" t="s">
        <v>530</v>
      </c>
      <c r="N6004" s="116"/>
      <c r="O6004" s="51"/>
    </row>
    <row r="6005">
      <c r="A6005" s="56">
        <v>6002.0</v>
      </c>
      <c r="B6005" s="71"/>
      <c r="C6005" s="79" t="s">
        <v>24010</v>
      </c>
      <c r="D6005" s="82"/>
      <c r="E6005" s="80" t="s">
        <v>24011</v>
      </c>
      <c r="F6005" s="81">
        <v>39995.0</v>
      </c>
      <c r="G6005" s="80" t="s">
        <v>24012</v>
      </c>
      <c r="H6005" s="80" t="s">
        <v>24013</v>
      </c>
      <c r="I6005" s="80" t="s">
        <v>24014</v>
      </c>
      <c r="J6005" s="63" t="s">
        <v>136</v>
      </c>
      <c r="K6005" s="81">
        <v>43572.0</v>
      </c>
      <c r="L6005" s="80" t="s">
        <v>2743</v>
      </c>
      <c r="M6005" s="80" t="s">
        <v>530</v>
      </c>
      <c r="N6005" s="116"/>
      <c r="O6005" s="51"/>
    </row>
    <row r="6006">
      <c r="A6006" s="75">
        <v>6003.0</v>
      </c>
      <c r="B6006" s="71"/>
      <c r="C6006" s="69" t="s">
        <v>24015</v>
      </c>
      <c r="D6006" s="71"/>
      <c r="E6006" s="68" t="s">
        <v>24016</v>
      </c>
      <c r="F6006" s="76">
        <v>39995.0</v>
      </c>
      <c r="G6006" s="68" t="s">
        <v>24017</v>
      </c>
      <c r="H6006" s="71"/>
      <c r="I6006" s="71"/>
      <c r="J6006" s="68" t="s">
        <v>24018</v>
      </c>
      <c r="K6006" s="76">
        <v>43572.0</v>
      </c>
      <c r="L6006" s="68" t="s">
        <v>2743</v>
      </c>
      <c r="M6006" s="68" t="s">
        <v>166</v>
      </c>
      <c r="N6006" s="116"/>
      <c r="O6006" s="51"/>
    </row>
    <row r="6007">
      <c r="A6007" s="56">
        <v>6004.0</v>
      </c>
      <c r="B6007" s="71"/>
      <c r="C6007" s="79" t="s">
        <v>24019</v>
      </c>
      <c r="D6007" s="82"/>
      <c r="E6007" s="80" t="s">
        <v>24020</v>
      </c>
      <c r="F6007" s="81">
        <v>40964.0</v>
      </c>
      <c r="G6007" s="80" t="s">
        <v>24021</v>
      </c>
      <c r="H6007" s="82"/>
      <c r="I6007" s="82"/>
      <c r="J6007" s="63" t="s">
        <v>136</v>
      </c>
      <c r="K6007" s="81">
        <v>43572.0</v>
      </c>
      <c r="L6007" s="80" t="s">
        <v>2743</v>
      </c>
      <c r="M6007" s="80" t="s">
        <v>21884</v>
      </c>
      <c r="N6007" s="116"/>
      <c r="O6007" s="51"/>
    </row>
    <row r="6008">
      <c r="A6008" s="56">
        <v>6005.0</v>
      </c>
      <c r="B6008" s="71"/>
      <c r="C6008" s="79" t="s">
        <v>24022</v>
      </c>
      <c r="D6008" s="82"/>
      <c r="E6008" s="80" t="s">
        <v>24023</v>
      </c>
      <c r="F6008" s="81">
        <v>41398.0</v>
      </c>
      <c r="G6008" s="80" t="s">
        <v>24024</v>
      </c>
      <c r="H6008" s="82"/>
      <c r="I6008" s="80" t="s">
        <v>24025</v>
      </c>
      <c r="J6008" s="63" t="s">
        <v>136</v>
      </c>
      <c r="K6008" s="81">
        <v>43572.0</v>
      </c>
      <c r="L6008" s="80" t="s">
        <v>2743</v>
      </c>
      <c r="M6008" s="80" t="s">
        <v>6395</v>
      </c>
      <c r="N6008" s="116"/>
      <c r="O6008" s="51"/>
    </row>
    <row r="6009">
      <c r="A6009" s="56">
        <v>6006.0</v>
      </c>
      <c r="B6009" s="71"/>
      <c r="C6009" s="269"/>
      <c r="D6009" s="82"/>
      <c r="E6009" s="80" t="s">
        <v>24026</v>
      </c>
      <c r="F6009" s="81">
        <v>43484.0</v>
      </c>
      <c r="G6009" s="80" t="s">
        <v>24027</v>
      </c>
      <c r="H6009" s="80" t="s">
        <v>24028</v>
      </c>
      <c r="I6009" s="82"/>
      <c r="J6009" s="63" t="s">
        <v>136</v>
      </c>
      <c r="K6009" s="81">
        <v>43572.0</v>
      </c>
      <c r="L6009" s="80" t="s">
        <v>2743</v>
      </c>
      <c r="M6009" s="80" t="s">
        <v>149</v>
      </c>
      <c r="N6009" s="116"/>
      <c r="O6009" s="51"/>
    </row>
    <row r="6010">
      <c r="A6010" s="56">
        <v>6007.0</v>
      </c>
      <c r="B6010" s="71"/>
      <c r="C6010" s="79" t="s">
        <v>24029</v>
      </c>
      <c r="D6010" s="82"/>
      <c r="E6010" s="80" t="s">
        <v>24030</v>
      </c>
      <c r="F6010" s="81">
        <v>43005.0</v>
      </c>
      <c r="G6010" s="80" t="s">
        <v>24031</v>
      </c>
      <c r="H6010" s="80" t="s">
        <v>439</v>
      </c>
      <c r="I6010" s="82"/>
      <c r="J6010" s="63" t="s">
        <v>136</v>
      </c>
      <c r="K6010" s="81">
        <v>43572.0</v>
      </c>
      <c r="L6010" s="80" t="s">
        <v>2743</v>
      </c>
      <c r="M6010" s="80" t="s">
        <v>282</v>
      </c>
      <c r="N6010" s="116"/>
      <c r="O6010" s="51"/>
    </row>
    <row r="6011">
      <c r="A6011" s="75">
        <v>6008.0</v>
      </c>
      <c r="B6011" s="71"/>
      <c r="C6011" s="69" t="s">
        <v>24032</v>
      </c>
      <c r="D6011" s="71"/>
      <c r="E6011" s="68" t="s">
        <v>24033</v>
      </c>
      <c r="F6011" s="76">
        <v>41810.0</v>
      </c>
      <c r="G6011" s="68" t="s">
        <v>24034</v>
      </c>
      <c r="H6011" s="68" t="s">
        <v>24035</v>
      </c>
      <c r="I6011" s="68" t="s">
        <v>24036</v>
      </c>
      <c r="J6011" s="100" t="s">
        <v>4430</v>
      </c>
      <c r="K6011" s="225">
        <v>43572.0</v>
      </c>
      <c r="L6011" s="68" t="s">
        <v>2743</v>
      </c>
      <c r="M6011" s="68" t="s">
        <v>282</v>
      </c>
      <c r="N6011" s="116"/>
      <c r="O6011" s="130"/>
    </row>
    <row r="6012">
      <c r="A6012" s="56">
        <v>6009.0</v>
      </c>
      <c r="B6012" s="71"/>
      <c r="C6012" s="79" t="s">
        <v>24037</v>
      </c>
      <c r="D6012" s="82"/>
      <c r="E6012" s="80" t="s">
        <v>24038</v>
      </c>
      <c r="F6012" s="81">
        <v>41669.0</v>
      </c>
      <c r="G6012" s="80" t="s">
        <v>24039</v>
      </c>
      <c r="H6012" s="82"/>
      <c r="I6012" s="82"/>
      <c r="J6012" s="63" t="s">
        <v>136</v>
      </c>
      <c r="K6012" s="81">
        <v>43572.0</v>
      </c>
      <c r="L6012" s="80" t="s">
        <v>2743</v>
      </c>
      <c r="M6012" s="80" t="s">
        <v>166</v>
      </c>
      <c r="N6012" s="116"/>
      <c r="O6012" s="51"/>
    </row>
    <row r="6013">
      <c r="A6013" s="56">
        <v>6010.0</v>
      </c>
      <c r="B6013" s="71"/>
      <c r="C6013" s="79" t="s">
        <v>24040</v>
      </c>
      <c r="D6013" s="82"/>
      <c r="E6013" s="80" t="s">
        <v>24041</v>
      </c>
      <c r="F6013" s="81">
        <v>42262.0</v>
      </c>
      <c r="G6013" s="80" t="s">
        <v>24042</v>
      </c>
      <c r="H6013" s="82"/>
      <c r="I6013" s="82"/>
      <c r="J6013" s="63" t="s">
        <v>136</v>
      </c>
      <c r="K6013" s="81">
        <v>43574.0</v>
      </c>
      <c r="L6013" s="80" t="s">
        <v>2743</v>
      </c>
      <c r="M6013" s="80" t="s">
        <v>166</v>
      </c>
      <c r="N6013" s="116"/>
      <c r="O6013" s="51"/>
    </row>
    <row r="6014">
      <c r="A6014" s="56">
        <v>6011.0</v>
      </c>
      <c r="B6014" s="71"/>
      <c r="C6014" s="79" t="s">
        <v>24043</v>
      </c>
      <c r="D6014" s="82"/>
      <c r="E6014" s="80" t="s">
        <v>24044</v>
      </c>
      <c r="F6014" s="81">
        <v>42024.0</v>
      </c>
      <c r="G6014" s="80" t="s">
        <v>24045</v>
      </c>
      <c r="H6014" s="80" t="s">
        <v>24046</v>
      </c>
      <c r="I6014" s="80" t="s">
        <v>24047</v>
      </c>
      <c r="J6014" s="63" t="s">
        <v>136</v>
      </c>
      <c r="K6014" s="81">
        <v>43574.0</v>
      </c>
      <c r="L6014" s="80" t="s">
        <v>2743</v>
      </c>
      <c r="M6014" s="80" t="s">
        <v>31</v>
      </c>
      <c r="N6014" s="116"/>
      <c r="O6014" s="51"/>
    </row>
    <row r="6015">
      <c r="A6015" s="56">
        <v>6012.0</v>
      </c>
      <c r="B6015" s="71"/>
      <c r="C6015" s="69" t="s">
        <v>24048</v>
      </c>
      <c r="D6015" s="71"/>
      <c r="E6015" s="68" t="s">
        <v>24049</v>
      </c>
      <c r="F6015" s="68" t="s">
        <v>407</v>
      </c>
      <c r="G6015" s="68" t="s">
        <v>24050</v>
      </c>
      <c r="H6015" s="71"/>
      <c r="I6015" s="71"/>
      <c r="J6015" s="68" t="s">
        <v>24051</v>
      </c>
      <c r="K6015" s="76">
        <v>43574.0</v>
      </c>
      <c r="L6015" s="68" t="s">
        <v>16447</v>
      </c>
      <c r="M6015" s="68" t="s">
        <v>166</v>
      </c>
      <c r="N6015" s="116"/>
      <c r="O6015" s="51"/>
    </row>
    <row r="6016">
      <c r="A6016" s="56">
        <v>6013.0</v>
      </c>
      <c r="B6016" s="71"/>
      <c r="C6016" s="69" t="s">
        <v>24052</v>
      </c>
      <c r="D6016" s="71"/>
      <c r="E6016" s="68" t="s">
        <v>24053</v>
      </c>
      <c r="F6016" s="76">
        <v>42530.0</v>
      </c>
      <c r="G6016" s="68" t="s">
        <v>24054</v>
      </c>
      <c r="H6016" s="71"/>
      <c r="I6016" s="71"/>
      <c r="J6016" s="87" t="s">
        <v>24055</v>
      </c>
      <c r="K6016" s="76">
        <v>43574.0</v>
      </c>
      <c r="L6016" s="68" t="s">
        <v>16447</v>
      </c>
      <c r="M6016" s="68" t="s">
        <v>166</v>
      </c>
      <c r="N6016" s="116"/>
      <c r="O6016" s="51"/>
    </row>
    <row r="6017">
      <c r="A6017" s="56">
        <v>6014.0</v>
      </c>
      <c r="B6017" s="71"/>
      <c r="C6017" s="69" t="s">
        <v>24056</v>
      </c>
      <c r="D6017" s="71"/>
      <c r="E6017" s="68" t="s">
        <v>24057</v>
      </c>
      <c r="F6017" s="76">
        <v>43411.0</v>
      </c>
      <c r="G6017" s="68" t="s">
        <v>24058</v>
      </c>
      <c r="H6017" s="71"/>
      <c r="I6017" s="71"/>
      <c r="J6017" s="68" t="s">
        <v>24059</v>
      </c>
      <c r="K6017" s="76">
        <v>43574.0</v>
      </c>
      <c r="L6017" s="68" t="s">
        <v>16447</v>
      </c>
      <c r="M6017" s="68" t="s">
        <v>166</v>
      </c>
      <c r="N6017" s="116"/>
      <c r="O6017" s="51"/>
    </row>
    <row r="6018">
      <c r="A6018" s="56">
        <v>6015.0</v>
      </c>
      <c r="B6018" s="71"/>
      <c r="C6018" s="69" t="s">
        <v>24060</v>
      </c>
      <c r="D6018" s="71"/>
      <c r="E6018" s="68" t="s">
        <v>24061</v>
      </c>
      <c r="F6018" s="76">
        <v>36731.0</v>
      </c>
      <c r="G6018" s="68" t="s">
        <v>24062</v>
      </c>
      <c r="H6018" s="71"/>
      <c r="I6018" s="71"/>
      <c r="J6018" s="68" t="s">
        <v>24063</v>
      </c>
      <c r="K6018" s="76">
        <v>43574.0</v>
      </c>
      <c r="L6018" s="68" t="s">
        <v>16447</v>
      </c>
      <c r="M6018" s="68" t="s">
        <v>143</v>
      </c>
      <c r="N6018" s="116"/>
      <c r="O6018" s="51"/>
    </row>
    <row r="6019">
      <c r="A6019" s="56">
        <v>6016.0</v>
      </c>
      <c r="B6019" s="71"/>
      <c r="C6019" s="69" t="s">
        <v>24064</v>
      </c>
      <c r="D6019" s="71"/>
      <c r="E6019" s="68" t="s">
        <v>24065</v>
      </c>
      <c r="F6019" s="76">
        <v>43119.0</v>
      </c>
      <c r="G6019" s="68" t="s">
        <v>24066</v>
      </c>
      <c r="H6019" s="71"/>
      <c r="I6019" s="71"/>
      <c r="J6019" s="68" t="s">
        <v>24067</v>
      </c>
      <c r="K6019" s="76">
        <v>43574.0</v>
      </c>
      <c r="L6019" s="68" t="s">
        <v>16447</v>
      </c>
      <c r="M6019" s="68" t="s">
        <v>166</v>
      </c>
      <c r="N6019" s="116"/>
      <c r="O6019" s="51"/>
    </row>
    <row r="6020">
      <c r="A6020" s="56">
        <v>6017.0</v>
      </c>
      <c r="B6020" s="71"/>
      <c r="C6020" s="69" t="s">
        <v>24068</v>
      </c>
      <c r="D6020" s="71"/>
      <c r="E6020" s="68" t="s">
        <v>24069</v>
      </c>
      <c r="F6020" s="83">
        <v>42735.0</v>
      </c>
      <c r="G6020" s="68" t="s">
        <v>24070</v>
      </c>
      <c r="H6020" s="71"/>
      <c r="I6020" s="71"/>
      <c r="J6020" s="68" t="s">
        <v>24071</v>
      </c>
      <c r="K6020" s="76">
        <v>43574.0</v>
      </c>
      <c r="L6020" s="68" t="s">
        <v>16447</v>
      </c>
      <c r="M6020" s="68" t="s">
        <v>143</v>
      </c>
      <c r="N6020" s="116"/>
      <c r="O6020" s="51"/>
    </row>
    <row r="6021">
      <c r="A6021" s="56">
        <v>6018.0</v>
      </c>
      <c r="B6021" s="71"/>
      <c r="C6021" s="69" t="s">
        <v>24072</v>
      </c>
      <c r="D6021" s="71"/>
      <c r="E6021" s="68" t="s">
        <v>24073</v>
      </c>
      <c r="F6021" s="83">
        <v>43385.0</v>
      </c>
      <c r="G6021" s="68" t="s">
        <v>24074</v>
      </c>
      <c r="H6021" s="68" t="s">
        <v>24075</v>
      </c>
      <c r="I6021" s="68" t="s">
        <v>24076</v>
      </c>
      <c r="J6021" s="68" t="s">
        <v>24077</v>
      </c>
      <c r="K6021" s="76">
        <v>43574.0</v>
      </c>
      <c r="L6021" s="68" t="s">
        <v>16447</v>
      </c>
      <c r="M6021" s="68" t="s">
        <v>149</v>
      </c>
      <c r="N6021" s="116"/>
      <c r="O6021" s="51"/>
    </row>
    <row r="6022">
      <c r="A6022" s="56">
        <v>6019.0</v>
      </c>
      <c r="B6022" s="71"/>
      <c r="C6022" s="69" t="s">
        <v>24078</v>
      </c>
      <c r="D6022" s="71"/>
      <c r="E6022" s="68" t="s">
        <v>24079</v>
      </c>
      <c r="F6022" s="83">
        <v>43427.0</v>
      </c>
      <c r="G6022" s="68" t="s">
        <v>24080</v>
      </c>
      <c r="H6022" s="71"/>
      <c r="I6022" s="71"/>
      <c r="J6022" s="68" t="s">
        <v>24081</v>
      </c>
      <c r="K6022" s="76">
        <v>43574.0</v>
      </c>
      <c r="L6022" s="68" t="s">
        <v>16447</v>
      </c>
      <c r="M6022" s="68" t="s">
        <v>166</v>
      </c>
      <c r="N6022" s="116"/>
      <c r="O6022" s="51"/>
    </row>
    <row r="6023">
      <c r="A6023" s="56">
        <v>6020.0</v>
      </c>
      <c r="B6023" s="71"/>
      <c r="C6023" s="69" t="s">
        <v>24082</v>
      </c>
      <c r="D6023" s="71"/>
      <c r="E6023" s="68" t="s">
        <v>24083</v>
      </c>
      <c r="F6023" s="76">
        <v>43271.0</v>
      </c>
      <c r="G6023" s="68" t="s">
        <v>24084</v>
      </c>
      <c r="H6023" s="71"/>
      <c r="I6023" s="71"/>
      <c r="J6023" s="87" t="s">
        <v>24085</v>
      </c>
      <c r="K6023" s="76">
        <v>43574.0</v>
      </c>
      <c r="L6023" s="68" t="s">
        <v>16447</v>
      </c>
      <c r="M6023" s="68" t="s">
        <v>166</v>
      </c>
      <c r="N6023" s="116"/>
      <c r="O6023" s="51"/>
    </row>
    <row r="6024">
      <c r="A6024" s="56">
        <v>6021.0</v>
      </c>
      <c r="B6024" s="71"/>
      <c r="C6024" s="69" t="s">
        <v>24086</v>
      </c>
      <c r="D6024" s="71"/>
      <c r="E6024" s="68" t="s">
        <v>24087</v>
      </c>
      <c r="F6024" s="76">
        <v>43331.0</v>
      </c>
      <c r="G6024" s="68" t="s">
        <v>24088</v>
      </c>
      <c r="H6024" s="71"/>
      <c r="I6024" s="71"/>
      <c r="J6024" s="87" t="s">
        <v>24089</v>
      </c>
      <c r="K6024" s="76">
        <v>43574.0</v>
      </c>
      <c r="L6024" s="68" t="s">
        <v>16447</v>
      </c>
      <c r="M6024" s="68" t="s">
        <v>166</v>
      </c>
      <c r="N6024" s="116"/>
      <c r="O6024" s="51"/>
    </row>
    <row r="6025">
      <c r="A6025" s="56">
        <v>6022.0</v>
      </c>
      <c r="B6025" s="71"/>
      <c r="C6025" s="69" t="s">
        <v>24090</v>
      </c>
      <c r="D6025" s="71"/>
      <c r="E6025" s="68" t="s">
        <v>24091</v>
      </c>
      <c r="F6025" s="83">
        <v>43055.0</v>
      </c>
      <c r="G6025" s="68" t="s">
        <v>24092</v>
      </c>
      <c r="H6025" s="71"/>
      <c r="I6025" s="71"/>
      <c r="J6025" s="87" t="s">
        <v>24093</v>
      </c>
      <c r="K6025" s="76">
        <v>43574.0</v>
      </c>
      <c r="L6025" s="68" t="s">
        <v>16447</v>
      </c>
      <c r="M6025" s="68" t="s">
        <v>166</v>
      </c>
      <c r="N6025" s="116"/>
      <c r="O6025" s="51"/>
    </row>
    <row r="6026">
      <c r="A6026" s="56">
        <v>6023.0</v>
      </c>
      <c r="B6026" s="71"/>
      <c r="C6026" s="69" t="s">
        <v>24094</v>
      </c>
      <c r="D6026" s="71"/>
      <c r="E6026" s="68" t="s">
        <v>24095</v>
      </c>
      <c r="F6026" s="76">
        <v>43271.0</v>
      </c>
      <c r="G6026" s="68" t="s">
        <v>24096</v>
      </c>
      <c r="H6026" s="71"/>
      <c r="I6026" s="71"/>
      <c r="J6026" s="68" t="s">
        <v>24097</v>
      </c>
      <c r="K6026" s="76">
        <v>43574.0</v>
      </c>
      <c r="L6026" s="68" t="s">
        <v>16447</v>
      </c>
      <c r="M6026" s="68" t="s">
        <v>166</v>
      </c>
      <c r="N6026" s="116"/>
      <c r="O6026" s="51"/>
    </row>
    <row r="6027">
      <c r="A6027" s="56">
        <v>6024.0</v>
      </c>
      <c r="B6027" s="71"/>
      <c r="C6027" s="69" t="s">
        <v>24098</v>
      </c>
      <c r="D6027" s="71"/>
      <c r="E6027" s="68" t="s">
        <v>24099</v>
      </c>
      <c r="F6027" s="76">
        <v>41974.0</v>
      </c>
      <c r="G6027" s="68" t="s">
        <v>24100</v>
      </c>
      <c r="H6027" s="71"/>
      <c r="I6027" s="71"/>
      <c r="J6027" s="68" t="s">
        <v>24101</v>
      </c>
      <c r="K6027" s="76">
        <v>43574.0</v>
      </c>
      <c r="L6027" s="68" t="s">
        <v>16447</v>
      </c>
      <c r="M6027" s="68" t="s">
        <v>166</v>
      </c>
      <c r="N6027" s="116"/>
      <c r="O6027" s="51"/>
    </row>
    <row r="6028">
      <c r="A6028" s="56">
        <v>6025.0</v>
      </c>
      <c r="B6028" s="71"/>
      <c r="C6028" s="69" t="s">
        <v>24102</v>
      </c>
      <c r="D6028" s="71"/>
      <c r="E6028" s="68" t="s">
        <v>24103</v>
      </c>
      <c r="F6028" s="83">
        <v>43384.0</v>
      </c>
      <c r="G6028" s="68" t="s">
        <v>24104</v>
      </c>
      <c r="H6028" s="71"/>
      <c r="I6028" s="71"/>
      <c r="J6028" s="68" t="s">
        <v>24105</v>
      </c>
      <c r="K6028" s="76">
        <v>43574.0</v>
      </c>
      <c r="L6028" s="68" t="s">
        <v>16447</v>
      </c>
      <c r="M6028" s="68" t="s">
        <v>166</v>
      </c>
      <c r="N6028" s="116"/>
      <c r="O6028" s="51"/>
    </row>
    <row r="6029">
      <c r="A6029" s="56">
        <v>6026.0</v>
      </c>
      <c r="B6029" s="71"/>
      <c r="C6029" s="69" t="s">
        <v>24106</v>
      </c>
      <c r="D6029" s="71"/>
      <c r="E6029" s="68" t="s">
        <v>24107</v>
      </c>
      <c r="F6029" s="76">
        <v>43206.0</v>
      </c>
      <c r="G6029" s="68" t="s">
        <v>24108</v>
      </c>
      <c r="H6029" s="71"/>
      <c r="I6029" s="71"/>
      <c r="J6029" s="68" t="s">
        <v>24109</v>
      </c>
      <c r="K6029" s="76">
        <v>43574.0</v>
      </c>
      <c r="L6029" s="68" t="s">
        <v>16447</v>
      </c>
      <c r="M6029" s="68" t="s">
        <v>166</v>
      </c>
      <c r="N6029" s="116"/>
      <c r="O6029" s="51"/>
    </row>
    <row r="6030">
      <c r="A6030" s="56">
        <v>6027.0</v>
      </c>
      <c r="B6030" s="71"/>
      <c r="C6030" s="69" t="s">
        <v>24110</v>
      </c>
      <c r="D6030" s="71"/>
      <c r="E6030" s="68" t="s">
        <v>24111</v>
      </c>
      <c r="F6030" s="83">
        <v>43391.0</v>
      </c>
      <c r="G6030" s="68" t="s">
        <v>24112</v>
      </c>
      <c r="H6030" s="71"/>
      <c r="I6030" s="71"/>
      <c r="J6030" s="68" t="s">
        <v>24113</v>
      </c>
      <c r="K6030" s="76">
        <v>43574.0</v>
      </c>
      <c r="L6030" s="68" t="s">
        <v>16447</v>
      </c>
      <c r="M6030" s="68" t="s">
        <v>166</v>
      </c>
      <c r="N6030" s="116"/>
      <c r="O6030" s="51"/>
    </row>
    <row r="6031">
      <c r="A6031" s="56">
        <v>6028.0</v>
      </c>
      <c r="B6031" s="71"/>
      <c r="C6031" s="69" t="s">
        <v>24114</v>
      </c>
      <c r="D6031" s="71"/>
      <c r="E6031" s="68" t="s">
        <v>24115</v>
      </c>
      <c r="F6031" s="83">
        <v>43391.0</v>
      </c>
      <c r="G6031" s="68" t="s">
        <v>24112</v>
      </c>
      <c r="H6031" s="71"/>
      <c r="I6031" s="71"/>
      <c r="J6031" s="68" t="s">
        <v>24116</v>
      </c>
      <c r="K6031" s="76">
        <v>43574.0</v>
      </c>
      <c r="L6031" s="68" t="s">
        <v>16447</v>
      </c>
      <c r="M6031" s="68" t="s">
        <v>166</v>
      </c>
      <c r="N6031" s="116"/>
      <c r="O6031" s="51"/>
    </row>
    <row r="6032">
      <c r="A6032" s="56">
        <v>6029.0</v>
      </c>
      <c r="B6032" s="71"/>
      <c r="C6032" s="69" t="s">
        <v>24117</v>
      </c>
      <c r="D6032" s="71"/>
      <c r="E6032" s="68" t="s">
        <v>24118</v>
      </c>
      <c r="F6032" s="76">
        <v>43299.0</v>
      </c>
      <c r="G6032" s="68" t="s">
        <v>24119</v>
      </c>
      <c r="H6032" s="71"/>
      <c r="I6032" s="71"/>
      <c r="J6032" s="68" t="s">
        <v>24120</v>
      </c>
      <c r="K6032" s="76">
        <v>43574.0</v>
      </c>
      <c r="L6032" s="68" t="s">
        <v>16447</v>
      </c>
      <c r="M6032" s="68" t="s">
        <v>166</v>
      </c>
      <c r="N6032" s="116"/>
      <c r="O6032" s="51"/>
    </row>
    <row r="6033">
      <c r="A6033" s="56">
        <v>6030.0</v>
      </c>
      <c r="B6033" s="71"/>
      <c r="C6033" s="69" t="s">
        <v>24121</v>
      </c>
      <c r="D6033" s="71"/>
      <c r="E6033" s="68" t="s">
        <v>24122</v>
      </c>
      <c r="F6033" s="76">
        <v>43408.0</v>
      </c>
      <c r="G6033" s="68" t="s">
        <v>24123</v>
      </c>
      <c r="H6033" s="71"/>
      <c r="I6033" s="68" t="s">
        <v>24124</v>
      </c>
      <c r="J6033" s="87" t="s">
        <v>24125</v>
      </c>
      <c r="K6033" s="76">
        <v>43582.0</v>
      </c>
      <c r="L6033" s="68" t="s">
        <v>2743</v>
      </c>
      <c r="M6033" s="68" t="s">
        <v>166</v>
      </c>
      <c r="N6033" s="270">
        <v>43585.0</v>
      </c>
      <c r="O6033" s="51"/>
    </row>
    <row r="6034">
      <c r="A6034" s="56">
        <v>6031.0</v>
      </c>
      <c r="B6034" s="71"/>
      <c r="C6034" s="79" t="s">
        <v>24126</v>
      </c>
      <c r="D6034" s="82"/>
      <c r="E6034" s="80" t="s">
        <v>24127</v>
      </c>
      <c r="F6034" s="81">
        <v>43525.0</v>
      </c>
      <c r="G6034" s="80" t="s">
        <v>24128</v>
      </c>
      <c r="H6034" s="82"/>
      <c r="I6034" s="82"/>
      <c r="J6034" s="63" t="s">
        <v>136</v>
      </c>
      <c r="K6034" s="81">
        <v>43589.0</v>
      </c>
      <c r="L6034" s="80" t="s">
        <v>2743</v>
      </c>
      <c r="M6034" s="80" t="s">
        <v>143</v>
      </c>
      <c r="N6034" s="87" t="s">
        <v>24129</v>
      </c>
      <c r="O6034" s="51"/>
    </row>
    <row r="6035">
      <c r="A6035" s="56">
        <v>6032.0</v>
      </c>
      <c r="B6035" s="71"/>
      <c r="C6035" s="79" t="s">
        <v>24130</v>
      </c>
      <c r="D6035" s="82"/>
      <c r="E6035" s="80" t="s">
        <v>24131</v>
      </c>
      <c r="F6035" s="81">
        <v>42581.0</v>
      </c>
      <c r="G6035" s="80" t="s">
        <v>24132</v>
      </c>
      <c r="H6035" s="82"/>
      <c r="I6035" s="82"/>
      <c r="J6035" s="63" t="s">
        <v>136</v>
      </c>
      <c r="K6035" s="81">
        <v>43589.0</v>
      </c>
      <c r="L6035" s="80" t="s">
        <v>2743</v>
      </c>
      <c r="M6035" s="80" t="s">
        <v>125</v>
      </c>
      <c r="N6035" s="116"/>
      <c r="O6035" s="51"/>
    </row>
    <row r="6036">
      <c r="A6036" s="56">
        <v>6033.0</v>
      </c>
      <c r="B6036" s="71"/>
      <c r="C6036" s="69" t="s">
        <v>24133</v>
      </c>
      <c r="D6036" s="71"/>
      <c r="E6036" s="68" t="s">
        <v>24134</v>
      </c>
      <c r="F6036" s="76">
        <v>43524.0</v>
      </c>
      <c r="G6036" s="68" t="s">
        <v>24135</v>
      </c>
      <c r="H6036" s="71"/>
      <c r="I6036" s="71"/>
      <c r="J6036" s="68" t="s">
        <v>24136</v>
      </c>
      <c r="K6036" s="76">
        <v>43589.0</v>
      </c>
      <c r="L6036" s="68" t="s">
        <v>2743</v>
      </c>
      <c r="M6036" s="68" t="s">
        <v>125</v>
      </c>
      <c r="N6036" s="116"/>
      <c r="O6036" s="51"/>
    </row>
    <row r="6037">
      <c r="A6037" s="56">
        <v>6034.0</v>
      </c>
      <c r="B6037" s="71"/>
      <c r="C6037" s="69" t="s">
        <v>24137</v>
      </c>
      <c r="D6037" s="71"/>
      <c r="E6037" s="68" t="s">
        <v>24138</v>
      </c>
      <c r="F6037" s="76">
        <v>43577.0</v>
      </c>
      <c r="G6037" s="68" t="s">
        <v>24139</v>
      </c>
      <c r="H6037" s="71"/>
      <c r="I6037" s="71"/>
      <c r="J6037" s="68" t="s">
        <v>24140</v>
      </c>
      <c r="K6037" s="76">
        <v>43591.0</v>
      </c>
      <c r="L6037" s="68" t="s">
        <v>2743</v>
      </c>
      <c r="M6037" s="68" t="s">
        <v>125</v>
      </c>
      <c r="N6037" s="116"/>
      <c r="O6037" s="51"/>
    </row>
    <row r="6038">
      <c r="A6038" s="56">
        <v>6035.0</v>
      </c>
      <c r="B6038" s="71"/>
      <c r="C6038" s="79" t="s">
        <v>24141</v>
      </c>
      <c r="D6038" s="82"/>
      <c r="E6038" s="80" t="s">
        <v>24142</v>
      </c>
      <c r="F6038" s="81">
        <v>41980.0</v>
      </c>
      <c r="G6038" s="80" t="s">
        <v>24143</v>
      </c>
      <c r="H6038" s="82"/>
      <c r="I6038" s="82"/>
      <c r="J6038" s="63" t="s">
        <v>136</v>
      </c>
      <c r="K6038" s="81">
        <v>43591.0</v>
      </c>
      <c r="L6038" s="80" t="s">
        <v>2743</v>
      </c>
      <c r="M6038" s="80" t="s">
        <v>941</v>
      </c>
      <c r="N6038" s="116"/>
      <c r="O6038" s="51"/>
    </row>
    <row r="6039">
      <c r="A6039" s="56">
        <v>6036.0</v>
      </c>
      <c r="B6039" s="71"/>
      <c r="C6039" s="69" t="s">
        <v>24144</v>
      </c>
      <c r="D6039" s="71"/>
      <c r="E6039" s="68" t="s">
        <v>24145</v>
      </c>
      <c r="F6039" s="76">
        <v>43509.0</v>
      </c>
      <c r="G6039" s="68" t="s">
        <v>18386</v>
      </c>
      <c r="H6039" s="71"/>
      <c r="I6039" s="68" t="s">
        <v>24146</v>
      </c>
      <c r="J6039" s="68" t="s">
        <v>24147</v>
      </c>
      <c r="K6039" s="76">
        <v>43591.0</v>
      </c>
      <c r="L6039" s="68" t="s">
        <v>14256</v>
      </c>
      <c r="M6039" s="68" t="s">
        <v>27</v>
      </c>
      <c r="N6039" s="116"/>
      <c r="O6039" s="51"/>
    </row>
    <row r="6040">
      <c r="A6040" s="56">
        <v>6037.0</v>
      </c>
      <c r="B6040" s="71"/>
      <c r="C6040" s="69" t="s">
        <v>24148</v>
      </c>
      <c r="D6040" s="71"/>
      <c r="E6040" s="68" t="s">
        <v>24149</v>
      </c>
      <c r="F6040" s="76">
        <v>42869.0</v>
      </c>
      <c r="G6040" s="68" t="s">
        <v>24150</v>
      </c>
      <c r="H6040" s="71"/>
      <c r="I6040" s="71"/>
      <c r="J6040" s="87" t="s">
        <v>24151</v>
      </c>
      <c r="K6040" s="76">
        <v>43591.0</v>
      </c>
      <c r="L6040" s="68" t="s">
        <v>20958</v>
      </c>
      <c r="M6040" s="68" t="s">
        <v>27</v>
      </c>
      <c r="N6040" s="116"/>
      <c r="O6040" s="51"/>
    </row>
    <row r="6041">
      <c r="A6041" s="56">
        <v>6038.0</v>
      </c>
      <c r="B6041" s="71"/>
      <c r="C6041" s="69" t="s">
        <v>24152</v>
      </c>
      <c r="D6041" s="71"/>
      <c r="E6041" s="68" t="s">
        <v>24153</v>
      </c>
      <c r="F6041" s="76">
        <v>43043.0</v>
      </c>
      <c r="G6041" s="68" t="s">
        <v>24154</v>
      </c>
      <c r="H6041" s="71"/>
      <c r="I6041" s="71"/>
      <c r="J6041" s="87" t="s">
        <v>24155</v>
      </c>
      <c r="K6041" s="76">
        <v>43591.0</v>
      </c>
      <c r="L6041" s="68" t="s">
        <v>16447</v>
      </c>
      <c r="M6041" s="68" t="s">
        <v>166</v>
      </c>
      <c r="N6041" s="116"/>
      <c r="O6041" s="51"/>
    </row>
    <row r="6042">
      <c r="A6042" s="56">
        <v>6039.0</v>
      </c>
      <c r="B6042" s="71"/>
      <c r="C6042" s="69" t="s">
        <v>24156</v>
      </c>
      <c r="D6042" s="71"/>
      <c r="E6042" s="68" t="s">
        <v>24157</v>
      </c>
      <c r="F6042" s="76">
        <v>42483.0</v>
      </c>
      <c r="G6042" s="68" t="s">
        <v>24158</v>
      </c>
      <c r="H6042" s="71"/>
      <c r="I6042" s="71"/>
      <c r="J6042" s="68" t="s">
        <v>24159</v>
      </c>
      <c r="K6042" s="76">
        <v>43591.0</v>
      </c>
      <c r="L6042" s="68" t="s">
        <v>20958</v>
      </c>
      <c r="M6042" s="68" t="s">
        <v>27</v>
      </c>
      <c r="N6042" s="116"/>
      <c r="O6042" s="51"/>
    </row>
    <row r="6043">
      <c r="A6043" s="75">
        <v>6040.0</v>
      </c>
      <c r="B6043" s="71"/>
      <c r="C6043" s="69" t="s">
        <v>24160</v>
      </c>
      <c r="D6043" s="71"/>
      <c r="E6043" s="68" t="s">
        <v>24161</v>
      </c>
      <c r="F6043" s="76">
        <v>43234.0</v>
      </c>
      <c r="G6043" s="68" t="s">
        <v>24162</v>
      </c>
      <c r="H6043" s="71"/>
      <c r="I6043" s="71"/>
      <c r="J6043" s="68" t="s">
        <v>24163</v>
      </c>
      <c r="K6043" s="76">
        <v>43591.0</v>
      </c>
      <c r="L6043" s="68" t="s">
        <v>20958</v>
      </c>
      <c r="M6043" s="68" t="s">
        <v>27</v>
      </c>
      <c r="N6043" s="116"/>
      <c r="O6043" s="51"/>
    </row>
    <row r="6044">
      <c r="A6044" s="56">
        <v>6041.0</v>
      </c>
      <c r="B6044" s="71"/>
      <c r="C6044" s="79" t="s">
        <v>24164</v>
      </c>
      <c r="D6044" s="82"/>
      <c r="E6044" s="80" t="s">
        <v>24165</v>
      </c>
      <c r="F6044" s="98">
        <v>41985.0</v>
      </c>
      <c r="G6044" s="80" t="s">
        <v>24166</v>
      </c>
      <c r="H6044" s="82"/>
      <c r="I6044" s="80" t="s">
        <v>24167</v>
      </c>
      <c r="J6044" s="66"/>
      <c r="K6044" s="81">
        <v>43591.0</v>
      </c>
      <c r="L6044" s="80" t="s">
        <v>20958</v>
      </c>
      <c r="M6044" s="80" t="s">
        <v>27</v>
      </c>
      <c r="N6044" s="116"/>
      <c r="O6044" s="51"/>
    </row>
    <row r="6045">
      <c r="A6045" s="75">
        <v>6042.0</v>
      </c>
      <c r="B6045" s="71"/>
      <c r="C6045" s="69" t="s">
        <v>24168</v>
      </c>
      <c r="D6045" s="71"/>
      <c r="E6045" s="68" t="s">
        <v>24169</v>
      </c>
      <c r="F6045" s="83">
        <v>42338.0</v>
      </c>
      <c r="G6045" s="68" t="s">
        <v>24170</v>
      </c>
      <c r="H6045" s="71"/>
      <c r="I6045" s="71"/>
      <c r="J6045" s="68" t="s">
        <v>24171</v>
      </c>
      <c r="K6045" s="76">
        <v>43591.0</v>
      </c>
      <c r="L6045" s="68" t="s">
        <v>20958</v>
      </c>
      <c r="M6045" s="68" t="s">
        <v>27</v>
      </c>
      <c r="N6045" s="116"/>
      <c r="O6045" s="51"/>
    </row>
    <row r="6046">
      <c r="A6046" s="56">
        <v>6043.0</v>
      </c>
      <c r="B6046" s="71"/>
      <c r="C6046" s="69" t="s">
        <v>24172</v>
      </c>
      <c r="D6046" s="71"/>
      <c r="E6046" s="68" t="s">
        <v>24173</v>
      </c>
      <c r="F6046" s="76">
        <v>43133.0</v>
      </c>
      <c r="G6046" s="68" t="s">
        <v>24174</v>
      </c>
      <c r="H6046" s="71"/>
      <c r="I6046" s="71"/>
      <c r="J6046" s="68" t="s">
        <v>24175</v>
      </c>
      <c r="K6046" s="76">
        <v>43591.0</v>
      </c>
      <c r="L6046" s="68" t="s">
        <v>2743</v>
      </c>
      <c r="M6046" s="68" t="s">
        <v>125</v>
      </c>
      <c r="N6046" s="116"/>
      <c r="O6046" s="51"/>
    </row>
    <row r="6047">
      <c r="A6047" s="56">
        <v>6044.0</v>
      </c>
      <c r="B6047" s="71"/>
      <c r="C6047" s="79" t="s">
        <v>24176</v>
      </c>
      <c r="D6047" s="82"/>
      <c r="E6047" s="80" t="s">
        <v>24177</v>
      </c>
      <c r="F6047" s="81">
        <v>40057.0</v>
      </c>
      <c r="G6047" s="80" t="s">
        <v>24178</v>
      </c>
      <c r="H6047" s="82"/>
      <c r="I6047" s="82"/>
      <c r="J6047" s="63" t="s">
        <v>136</v>
      </c>
      <c r="K6047" s="81">
        <v>43592.0</v>
      </c>
      <c r="L6047" s="80" t="s">
        <v>2743</v>
      </c>
      <c r="M6047" s="80" t="s">
        <v>530</v>
      </c>
      <c r="N6047" s="116"/>
      <c r="O6047" s="51"/>
    </row>
    <row r="6048">
      <c r="A6048" s="75">
        <v>6045.0</v>
      </c>
      <c r="B6048" s="71"/>
      <c r="C6048" s="69" t="s">
        <v>24179</v>
      </c>
      <c r="D6048" s="71"/>
      <c r="E6048" s="68" t="s">
        <v>24180</v>
      </c>
      <c r="F6048" s="83">
        <v>42520.0</v>
      </c>
      <c r="G6048" s="68" t="s">
        <v>24181</v>
      </c>
      <c r="H6048" s="71"/>
      <c r="I6048" s="71"/>
      <c r="J6048" s="68" t="s">
        <v>24182</v>
      </c>
      <c r="K6048" s="76">
        <v>43592.0</v>
      </c>
      <c r="L6048" s="68" t="s">
        <v>14256</v>
      </c>
      <c r="M6048" s="68" t="s">
        <v>166</v>
      </c>
      <c r="N6048" s="116"/>
      <c r="O6048" s="51"/>
    </row>
    <row r="6049">
      <c r="A6049" s="75">
        <v>6046.0</v>
      </c>
      <c r="B6049" s="71"/>
      <c r="C6049" s="69" t="s">
        <v>24183</v>
      </c>
      <c r="D6049" s="71"/>
      <c r="E6049" s="68" t="s">
        <v>24184</v>
      </c>
      <c r="F6049" s="76">
        <v>42713.0</v>
      </c>
      <c r="G6049" s="68" t="s">
        <v>24185</v>
      </c>
      <c r="H6049" s="71"/>
      <c r="I6049" s="71"/>
      <c r="J6049" s="68" t="s">
        <v>24186</v>
      </c>
      <c r="K6049" s="76">
        <v>43592.0</v>
      </c>
      <c r="L6049" s="68" t="s">
        <v>2743</v>
      </c>
      <c r="M6049" s="68" t="s">
        <v>166</v>
      </c>
      <c r="N6049" s="116"/>
      <c r="O6049" s="51"/>
    </row>
    <row r="6050">
      <c r="A6050" s="56">
        <v>6047.0</v>
      </c>
      <c r="B6050" s="71"/>
      <c r="C6050" s="79" t="s">
        <v>24187</v>
      </c>
      <c r="D6050" s="82"/>
      <c r="E6050" s="80" t="s">
        <v>24188</v>
      </c>
      <c r="F6050" s="81">
        <v>42767.0</v>
      </c>
      <c r="G6050" s="80" t="s">
        <v>24189</v>
      </c>
      <c r="H6050" s="82"/>
      <c r="I6050" s="82"/>
      <c r="J6050" s="63" t="s">
        <v>136</v>
      </c>
      <c r="K6050" s="81">
        <v>43592.0</v>
      </c>
      <c r="L6050" s="80" t="s">
        <v>2743</v>
      </c>
      <c r="M6050" s="80" t="s">
        <v>166</v>
      </c>
      <c r="N6050" s="116"/>
      <c r="O6050" s="51"/>
    </row>
    <row r="6051">
      <c r="A6051" s="56">
        <v>6048.0</v>
      </c>
      <c r="B6051" s="71"/>
      <c r="C6051" s="79" t="s">
        <v>24190</v>
      </c>
      <c r="D6051" s="82"/>
      <c r="E6051" s="80" t="s">
        <v>18090</v>
      </c>
      <c r="F6051" s="81">
        <v>40258.0</v>
      </c>
      <c r="G6051" s="80" t="s">
        <v>24191</v>
      </c>
      <c r="H6051" s="80" t="s">
        <v>439</v>
      </c>
      <c r="I6051" s="80" t="s">
        <v>439</v>
      </c>
      <c r="J6051" s="63" t="s">
        <v>136</v>
      </c>
      <c r="K6051" s="81">
        <v>43592.0</v>
      </c>
      <c r="L6051" s="80" t="s">
        <v>2743</v>
      </c>
      <c r="M6051" s="80" t="s">
        <v>2152</v>
      </c>
      <c r="N6051" s="116"/>
      <c r="O6051" s="51"/>
    </row>
    <row r="6052">
      <c r="A6052" s="56">
        <v>6049.0</v>
      </c>
      <c r="B6052" s="71"/>
      <c r="C6052" s="79" t="s">
        <v>24192</v>
      </c>
      <c r="D6052" s="82"/>
      <c r="E6052" s="80" t="s">
        <v>24193</v>
      </c>
      <c r="F6052" s="81">
        <v>42941.0</v>
      </c>
      <c r="G6052" s="80" t="s">
        <v>24194</v>
      </c>
      <c r="H6052" s="82"/>
      <c r="I6052" s="82"/>
      <c r="J6052" s="63" t="s">
        <v>136</v>
      </c>
      <c r="K6052" s="81">
        <v>43592.0</v>
      </c>
      <c r="L6052" s="80" t="s">
        <v>2743</v>
      </c>
      <c r="M6052" s="80" t="s">
        <v>125</v>
      </c>
      <c r="N6052" s="116"/>
      <c r="O6052" s="51"/>
    </row>
    <row r="6053">
      <c r="A6053" s="56">
        <v>6050.0</v>
      </c>
      <c r="B6053" s="71"/>
      <c r="C6053" s="79" t="s">
        <v>24195</v>
      </c>
      <c r="D6053" s="82"/>
      <c r="E6053" s="80" t="s">
        <v>24196</v>
      </c>
      <c r="F6053" s="81">
        <v>39995.0</v>
      </c>
      <c r="G6053" s="80" t="s">
        <v>24197</v>
      </c>
      <c r="H6053" s="82"/>
      <c r="I6053" s="82"/>
      <c r="J6053" s="63" t="s">
        <v>136</v>
      </c>
      <c r="K6053" s="81">
        <v>43592.0</v>
      </c>
      <c r="L6053" s="80" t="s">
        <v>2743</v>
      </c>
      <c r="M6053" s="80" t="s">
        <v>530</v>
      </c>
      <c r="N6053" s="116"/>
      <c r="O6053" s="51"/>
    </row>
    <row r="6054">
      <c r="A6054" s="56">
        <v>6051.0</v>
      </c>
      <c r="B6054" s="71"/>
      <c r="C6054" s="79" t="s">
        <v>24198</v>
      </c>
      <c r="D6054" s="82"/>
      <c r="E6054" s="80" t="s">
        <v>24199</v>
      </c>
      <c r="F6054" s="81">
        <v>40554.0</v>
      </c>
      <c r="G6054" s="80" t="s">
        <v>24200</v>
      </c>
      <c r="H6054" s="82"/>
      <c r="I6054" s="82"/>
      <c r="J6054" s="63" t="s">
        <v>136</v>
      </c>
      <c r="K6054" s="81">
        <v>43592.0</v>
      </c>
      <c r="L6054" s="80" t="s">
        <v>24201</v>
      </c>
      <c r="M6054" s="80" t="s">
        <v>166</v>
      </c>
      <c r="N6054" s="116"/>
      <c r="O6054" s="51"/>
    </row>
    <row r="6055">
      <c r="A6055" s="56">
        <v>6052.0</v>
      </c>
      <c r="B6055" s="71"/>
      <c r="C6055" s="79" t="s">
        <v>24202</v>
      </c>
      <c r="D6055" s="82"/>
      <c r="E6055" s="80" t="s">
        <v>24203</v>
      </c>
      <c r="F6055" s="98">
        <v>41225.0</v>
      </c>
      <c r="G6055" s="80" t="s">
        <v>24204</v>
      </c>
      <c r="H6055" s="82"/>
      <c r="I6055" s="82"/>
      <c r="J6055" s="63" t="s">
        <v>136</v>
      </c>
      <c r="K6055" s="81">
        <v>43592.0</v>
      </c>
      <c r="L6055" s="80" t="s">
        <v>2743</v>
      </c>
      <c r="M6055" s="80" t="s">
        <v>125</v>
      </c>
      <c r="N6055" s="116"/>
      <c r="O6055" s="51"/>
    </row>
    <row r="6056">
      <c r="A6056" s="56">
        <v>6053.0</v>
      </c>
      <c r="B6056" s="71"/>
      <c r="C6056" s="69" t="s">
        <v>24205</v>
      </c>
      <c r="D6056" s="71"/>
      <c r="E6056" s="68" t="s">
        <v>24206</v>
      </c>
      <c r="F6056" s="76">
        <v>43285.0</v>
      </c>
      <c r="G6056" s="68" t="s">
        <v>24207</v>
      </c>
      <c r="H6056" s="71"/>
      <c r="I6056" s="71"/>
      <c r="J6056" s="68" t="s">
        <v>24208</v>
      </c>
      <c r="K6056" s="76">
        <v>43592.0</v>
      </c>
      <c r="L6056" s="68" t="s">
        <v>2743</v>
      </c>
      <c r="M6056" s="68" t="s">
        <v>1516</v>
      </c>
      <c r="N6056" s="116"/>
      <c r="O6056" s="51"/>
    </row>
    <row r="6057">
      <c r="A6057" s="56">
        <v>6054.0</v>
      </c>
      <c r="B6057" s="71"/>
      <c r="C6057" s="79" t="s">
        <v>24209</v>
      </c>
      <c r="D6057" s="82"/>
      <c r="E6057" s="80" t="s">
        <v>24210</v>
      </c>
      <c r="F6057" s="81">
        <v>42898.0</v>
      </c>
      <c r="G6057" s="80" t="s">
        <v>24211</v>
      </c>
      <c r="H6057" s="82"/>
      <c r="I6057" s="82"/>
      <c r="J6057" s="63" t="s">
        <v>136</v>
      </c>
      <c r="K6057" s="81">
        <v>43592.0</v>
      </c>
      <c r="L6057" s="80" t="s">
        <v>2743</v>
      </c>
      <c r="M6057" s="80" t="s">
        <v>941</v>
      </c>
      <c r="N6057" s="116"/>
      <c r="O6057" s="51"/>
    </row>
    <row r="6058">
      <c r="A6058" s="56">
        <v>6055.0</v>
      </c>
      <c r="B6058" s="71"/>
      <c r="C6058" s="79" t="s">
        <v>24212</v>
      </c>
      <c r="D6058" s="82"/>
      <c r="E6058" s="80" t="s">
        <v>24213</v>
      </c>
      <c r="F6058" s="98">
        <v>43828.0</v>
      </c>
      <c r="G6058" s="80" t="s">
        <v>24214</v>
      </c>
      <c r="H6058" s="80" t="s">
        <v>24215</v>
      </c>
      <c r="I6058" s="82"/>
      <c r="J6058" s="63" t="s">
        <v>136</v>
      </c>
      <c r="K6058" s="81">
        <v>43592.0</v>
      </c>
      <c r="L6058" s="80" t="s">
        <v>2743</v>
      </c>
      <c r="M6058" s="80" t="s">
        <v>4001</v>
      </c>
      <c r="N6058" s="116"/>
      <c r="O6058" s="51"/>
    </row>
    <row r="6059">
      <c r="A6059" s="56">
        <v>6056.0</v>
      </c>
      <c r="B6059" s="71"/>
      <c r="C6059" s="69" t="s">
        <v>24216</v>
      </c>
      <c r="D6059" s="71"/>
      <c r="E6059" s="68" t="s">
        <v>24217</v>
      </c>
      <c r="F6059" s="76">
        <v>43771.0</v>
      </c>
      <c r="G6059" s="68" t="s">
        <v>24218</v>
      </c>
      <c r="H6059" s="71"/>
      <c r="I6059" s="71"/>
      <c r="J6059" s="68" t="s">
        <v>24219</v>
      </c>
      <c r="K6059" s="76">
        <v>43592.0</v>
      </c>
      <c r="L6059" s="68" t="s">
        <v>2743</v>
      </c>
      <c r="M6059" s="68" t="s">
        <v>195</v>
      </c>
      <c r="N6059" s="116"/>
      <c r="O6059" s="51"/>
    </row>
    <row r="6060">
      <c r="A6060" s="75">
        <v>6057.0</v>
      </c>
      <c r="B6060" s="71"/>
      <c r="C6060" s="69" t="s">
        <v>24220</v>
      </c>
      <c r="D6060" s="71"/>
      <c r="E6060" s="68" t="s">
        <v>24221</v>
      </c>
      <c r="F6060" s="83">
        <v>41599.0</v>
      </c>
      <c r="G6060" s="68" t="s">
        <v>24222</v>
      </c>
      <c r="H6060" s="71"/>
      <c r="I6060" s="71"/>
      <c r="J6060" s="68" t="s">
        <v>24223</v>
      </c>
      <c r="K6060" s="76">
        <v>43593.0</v>
      </c>
      <c r="L6060" s="68" t="s">
        <v>2743</v>
      </c>
      <c r="M6060" s="68" t="s">
        <v>368</v>
      </c>
      <c r="N6060" s="116"/>
      <c r="O6060" s="51"/>
    </row>
    <row r="6061">
      <c r="A6061" s="56">
        <v>6058.0</v>
      </c>
      <c r="B6061" s="71"/>
      <c r="C6061" s="69" t="s">
        <v>24224</v>
      </c>
      <c r="D6061" s="71"/>
      <c r="E6061" s="68" t="s">
        <v>24225</v>
      </c>
      <c r="F6061" s="83">
        <v>43058.0</v>
      </c>
      <c r="G6061" s="68" t="s">
        <v>24226</v>
      </c>
      <c r="H6061" s="71"/>
      <c r="I6061" s="71"/>
      <c r="J6061" s="68" t="s">
        <v>24227</v>
      </c>
      <c r="K6061" s="76">
        <v>43593.0</v>
      </c>
      <c r="L6061" s="68" t="s">
        <v>2743</v>
      </c>
      <c r="M6061" s="68" t="s">
        <v>4749</v>
      </c>
      <c r="N6061" s="116"/>
      <c r="O6061" s="51"/>
    </row>
    <row r="6062">
      <c r="A6062" s="56">
        <v>6059.0</v>
      </c>
      <c r="B6062" s="71"/>
      <c r="C6062" s="69" t="s">
        <v>24228</v>
      </c>
      <c r="D6062" s="71"/>
      <c r="E6062" s="68" t="s">
        <v>24229</v>
      </c>
      <c r="F6062" s="76">
        <v>43563.0</v>
      </c>
      <c r="G6062" s="68" t="s">
        <v>24230</v>
      </c>
      <c r="H6062" s="71"/>
      <c r="I6062" s="71"/>
      <c r="J6062" s="87" t="s">
        <v>24231</v>
      </c>
      <c r="K6062" s="76">
        <v>43593.0</v>
      </c>
      <c r="L6062" s="68" t="s">
        <v>2743</v>
      </c>
      <c r="M6062" s="68" t="s">
        <v>166</v>
      </c>
      <c r="N6062" s="116"/>
      <c r="O6062" s="51"/>
    </row>
    <row r="6063">
      <c r="A6063" s="56">
        <v>6060.0</v>
      </c>
      <c r="B6063" s="71"/>
      <c r="C6063" s="79" t="s">
        <v>24232</v>
      </c>
      <c r="D6063" s="82"/>
      <c r="E6063" s="80" t="s">
        <v>24233</v>
      </c>
      <c r="F6063" s="81">
        <v>41613.0</v>
      </c>
      <c r="G6063" s="80" t="s">
        <v>24234</v>
      </c>
      <c r="H6063" s="82"/>
      <c r="I6063" s="82"/>
      <c r="J6063" s="63" t="s">
        <v>136</v>
      </c>
      <c r="K6063" s="81">
        <v>43593.0</v>
      </c>
      <c r="L6063" s="80" t="s">
        <v>2743</v>
      </c>
      <c r="M6063" s="80" t="s">
        <v>166</v>
      </c>
      <c r="N6063" s="116"/>
      <c r="O6063" s="51"/>
    </row>
    <row r="6064">
      <c r="A6064" s="56">
        <v>6061.0</v>
      </c>
      <c r="B6064" s="71"/>
      <c r="C6064" s="69" t="s">
        <v>24235</v>
      </c>
      <c r="D6064" s="71"/>
      <c r="E6064" s="68" t="s">
        <v>24236</v>
      </c>
      <c r="F6064" s="76">
        <v>43556.0</v>
      </c>
      <c r="G6064" s="68" t="s">
        <v>24237</v>
      </c>
      <c r="H6064" s="68" t="s">
        <v>24238</v>
      </c>
      <c r="I6064" s="68" t="s">
        <v>439</v>
      </c>
      <c r="J6064" s="68" t="s">
        <v>24239</v>
      </c>
      <c r="K6064" s="76">
        <v>43593.0</v>
      </c>
      <c r="L6064" s="68" t="s">
        <v>2743</v>
      </c>
      <c r="M6064" s="68" t="s">
        <v>941</v>
      </c>
      <c r="N6064" s="116"/>
      <c r="O6064" s="51"/>
    </row>
    <row r="6065">
      <c r="A6065" s="56">
        <v>6062.0</v>
      </c>
      <c r="B6065" s="71"/>
      <c r="C6065" s="79" t="s">
        <v>24240</v>
      </c>
      <c r="D6065" s="82"/>
      <c r="E6065" s="80" t="s">
        <v>24241</v>
      </c>
      <c r="F6065" s="81">
        <v>39995.0</v>
      </c>
      <c r="G6065" s="80" t="s">
        <v>24242</v>
      </c>
      <c r="H6065" s="82"/>
      <c r="I6065" s="80" t="s">
        <v>24243</v>
      </c>
      <c r="J6065" s="63" t="s">
        <v>136</v>
      </c>
      <c r="K6065" s="81">
        <v>43593.0</v>
      </c>
      <c r="L6065" s="80" t="s">
        <v>2743</v>
      </c>
      <c r="M6065" s="80" t="s">
        <v>530</v>
      </c>
      <c r="N6065" s="116"/>
      <c r="O6065" s="51"/>
    </row>
    <row r="6066">
      <c r="A6066" s="56">
        <v>6063.0</v>
      </c>
      <c r="B6066" s="71"/>
      <c r="C6066" s="79" t="s">
        <v>24244</v>
      </c>
      <c r="D6066" s="82"/>
      <c r="E6066" s="80" t="s">
        <v>24245</v>
      </c>
      <c r="F6066" s="81">
        <v>41365.0</v>
      </c>
      <c r="G6066" s="80" t="s">
        <v>24246</v>
      </c>
      <c r="H6066" s="80" t="s">
        <v>24247</v>
      </c>
      <c r="I6066" s="80" t="s">
        <v>24248</v>
      </c>
      <c r="J6066" s="63" t="s">
        <v>136</v>
      </c>
      <c r="K6066" s="81">
        <v>43593.0</v>
      </c>
      <c r="L6066" s="80" t="s">
        <v>2743</v>
      </c>
      <c r="M6066" s="80" t="s">
        <v>2152</v>
      </c>
      <c r="N6066" s="116"/>
      <c r="O6066" s="51"/>
    </row>
    <row r="6067">
      <c r="A6067" s="56">
        <v>6064.0</v>
      </c>
      <c r="B6067" s="71"/>
      <c r="C6067" s="69" t="s">
        <v>24249</v>
      </c>
      <c r="D6067" s="71"/>
      <c r="E6067" s="68" t="s">
        <v>24250</v>
      </c>
      <c r="F6067" s="76">
        <v>43531.0</v>
      </c>
      <c r="G6067" s="68" t="s">
        <v>24251</v>
      </c>
      <c r="H6067" s="71"/>
      <c r="I6067" s="71"/>
      <c r="J6067" s="68" t="s">
        <v>24252</v>
      </c>
      <c r="K6067" s="76">
        <v>43593.0</v>
      </c>
      <c r="L6067" s="68" t="s">
        <v>2743</v>
      </c>
      <c r="M6067" s="68" t="s">
        <v>125</v>
      </c>
      <c r="N6067" s="116"/>
      <c r="O6067" s="51"/>
    </row>
    <row r="6068">
      <c r="A6068" s="56">
        <v>6065.0</v>
      </c>
      <c r="B6068" s="71"/>
      <c r="C6068" s="69" t="s">
        <v>24253</v>
      </c>
      <c r="D6068" s="71"/>
      <c r="E6068" s="68" t="s">
        <v>24254</v>
      </c>
      <c r="F6068" s="76">
        <v>41456.0</v>
      </c>
      <c r="G6068" s="68" t="s">
        <v>24255</v>
      </c>
      <c r="H6068" s="71"/>
      <c r="I6068" s="71"/>
      <c r="J6068" s="87" t="s">
        <v>24256</v>
      </c>
      <c r="K6068" s="76">
        <v>43593.0</v>
      </c>
      <c r="L6068" s="68" t="s">
        <v>2743</v>
      </c>
      <c r="M6068" s="68" t="s">
        <v>166</v>
      </c>
      <c r="N6068" s="116"/>
      <c r="O6068" s="51"/>
    </row>
    <row r="6069">
      <c r="A6069" s="75">
        <v>6066.0</v>
      </c>
      <c r="B6069" s="71"/>
      <c r="C6069" s="69" t="s">
        <v>24257</v>
      </c>
      <c r="D6069" s="71"/>
      <c r="E6069" s="68" t="s">
        <v>24258</v>
      </c>
      <c r="F6069" s="76">
        <v>40360.0</v>
      </c>
      <c r="G6069" s="68" t="s">
        <v>24259</v>
      </c>
      <c r="H6069" s="71"/>
      <c r="I6069" s="68" t="s">
        <v>24260</v>
      </c>
      <c r="J6069" s="68" t="s">
        <v>24261</v>
      </c>
      <c r="K6069" s="76">
        <v>43593.0</v>
      </c>
      <c r="L6069" s="68" t="s">
        <v>2743</v>
      </c>
      <c r="M6069" s="68" t="s">
        <v>2152</v>
      </c>
      <c r="N6069" s="116"/>
      <c r="O6069" s="51"/>
    </row>
    <row r="6070">
      <c r="A6070" s="56">
        <v>6067.0</v>
      </c>
      <c r="B6070" s="71"/>
      <c r="C6070" s="69" t="s">
        <v>24262</v>
      </c>
      <c r="D6070" s="71"/>
      <c r="E6070" s="68" t="s">
        <v>24263</v>
      </c>
      <c r="F6070" s="76">
        <v>43553.0</v>
      </c>
      <c r="G6070" s="68" t="s">
        <v>24264</v>
      </c>
      <c r="H6070" s="71"/>
      <c r="I6070" s="71"/>
      <c r="J6070" s="100" t="s">
        <v>24265</v>
      </c>
      <c r="K6070" s="225">
        <v>43593.0</v>
      </c>
      <c r="L6070" s="68" t="s">
        <v>2743</v>
      </c>
      <c r="M6070" s="68" t="s">
        <v>166</v>
      </c>
      <c r="N6070" s="116"/>
      <c r="O6070" s="51"/>
    </row>
    <row r="6071">
      <c r="A6071" s="56">
        <v>6068.0</v>
      </c>
      <c r="B6071" s="71"/>
      <c r="C6071" s="69" t="s">
        <v>24266</v>
      </c>
      <c r="D6071" s="71"/>
      <c r="E6071" s="68" t="s">
        <v>24267</v>
      </c>
      <c r="F6071" s="76">
        <v>43189.0</v>
      </c>
      <c r="G6071" s="68" t="s">
        <v>24268</v>
      </c>
      <c r="H6071" s="68" t="s">
        <v>24269</v>
      </c>
      <c r="I6071" s="71"/>
      <c r="J6071" s="87" t="s">
        <v>24270</v>
      </c>
      <c r="K6071" s="76">
        <v>43593.0</v>
      </c>
      <c r="L6071" s="68" t="s">
        <v>2743</v>
      </c>
      <c r="M6071" s="68" t="s">
        <v>166</v>
      </c>
      <c r="N6071" s="116"/>
      <c r="O6071" s="51"/>
    </row>
    <row r="6072">
      <c r="A6072" s="75">
        <v>6069.0</v>
      </c>
      <c r="B6072" s="71"/>
      <c r="C6072" s="69" t="s">
        <v>24271</v>
      </c>
      <c r="D6072" s="71"/>
      <c r="E6072" s="68" t="s">
        <v>24272</v>
      </c>
      <c r="F6072" s="76">
        <v>42995.0</v>
      </c>
      <c r="G6072" s="68" t="s">
        <v>24273</v>
      </c>
      <c r="H6072" s="71"/>
      <c r="I6072" s="68" t="s">
        <v>24274</v>
      </c>
      <c r="J6072" s="68" t="s">
        <v>24275</v>
      </c>
      <c r="K6072" s="76">
        <v>43594.0</v>
      </c>
      <c r="L6072" s="68" t="s">
        <v>16185</v>
      </c>
      <c r="M6072" s="68" t="s">
        <v>1509</v>
      </c>
      <c r="N6072" s="116"/>
      <c r="O6072" s="51"/>
    </row>
    <row r="6073">
      <c r="A6073" s="56">
        <v>6070.0</v>
      </c>
      <c r="B6073" s="71"/>
      <c r="C6073" s="69" t="s">
        <v>24276</v>
      </c>
      <c r="D6073" s="71"/>
      <c r="E6073" s="68" t="s">
        <v>24277</v>
      </c>
      <c r="F6073" s="76">
        <v>42872.0</v>
      </c>
      <c r="G6073" s="68" t="s">
        <v>24278</v>
      </c>
      <c r="H6073" s="71"/>
      <c r="I6073" s="71"/>
      <c r="J6073" s="68" t="s">
        <v>24279</v>
      </c>
      <c r="K6073" s="76">
        <v>43594.0</v>
      </c>
      <c r="L6073" s="68" t="s">
        <v>16185</v>
      </c>
      <c r="M6073" s="68" t="s">
        <v>23797</v>
      </c>
      <c r="N6073" s="116"/>
      <c r="O6073" s="51"/>
    </row>
    <row r="6074">
      <c r="A6074" s="56">
        <v>6071.0</v>
      </c>
      <c r="B6074" s="71"/>
      <c r="C6074" s="69" t="s">
        <v>24280</v>
      </c>
      <c r="D6074" s="71"/>
      <c r="E6074" s="68" t="s">
        <v>24281</v>
      </c>
      <c r="F6074" s="76">
        <v>43238.0</v>
      </c>
      <c r="G6074" s="68" t="s">
        <v>24282</v>
      </c>
      <c r="H6074" s="71"/>
      <c r="I6074" s="71"/>
      <c r="J6074" s="68" t="s">
        <v>24283</v>
      </c>
      <c r="K6074" s="76">
        <v>43594.0</v>
      </c>
      <c r="L6074" s="68" t="s">
        <v>16185</v>
      </c>
      <c r="M6074" s="68" t="s">
        <v>2291</v>
      </c>
      <c r="N6074" s="116"/>
      <c r="O6074" s="51"/>
    </row>
    <row r="6075">
      <c r="A6075" s="56">
        <v>6072.0</v>
      </c>
      <c r="B6075" s="71"/>
      <c r="C6075" s="69" t="s">
        <v>24284</v>
      </c>
      <c r="D6075" s="71"/>
      <c r="E6075" s="68" t="s">
        <v>24285</v>
      </c>
      <c r="F6075" s="76">
        <v>42599.0</v>
      </c>
      <c r="G6075" s="68" t="s">
        <v>24286</v>
      </c>
      <c r="H6075" s="71"/>
      <c r="I6075" s="71"/>
      <c r="J6075" s="68" t="s">
        <v>24287</v>
      </c>
      <c r="K6075" s="76">
        <v>43594.0</v>
      </c>
      <c r="L6075" s="68" t="s">
        <v>16185</v>
      </c>
      <c r="M6075" s="68" t="s">
        <v>166</v>
      </c>
      <c r="N6075" s="116"/>
      <c r="O6075" s="51"/>
    </row>
    <row r="6076">
      <c r="A6076" s="56">
        <v>6073.0</v>
      </c>
      <c r="B6076" s="71"/>
      <c r="C6076" s="69" t="s">
        <v>24288</v>
      </c>
      <c r="D6076" s="71"/>
      <c r="E6076" s="68" t="s">
        <v>24289</v>
      </c>
      <c r="F6076" s="76">
        <v>43572.0</v>
      </c>
      <c r="G6076" s="68" t="s">
        <v>24290</v>
      </c>
      <c r="H6076" s="71"/>
      <c r="I6076" s="71"/>
      <c r="J6076" s="68" t="s">
        <v>24291</v>
      </c>
      <c r="K6076" s="76">
        <v>43594.0</v>
      </c>
      <c r="L6076" s="68" t="s">
        <v>16185</v>
      </c>
      <c r="M6076" s="68" t="s">
        <v>166</v>
      </c>
      <c r="N6076" s="116"/>
      <c r="O6076" s="51"/>
    </row>
    <row r="6077">
      <c r="A6077" s="56">
        <v>6074.0</v>
      </c>
      <c r="B6077" s="71"/>
      <c r="C6077" s="69" t="s">
        <v>24292</v>
      </c>
      <c r="D6077" s="71"/>
      <c r="E6077" s="68" t="s">
        <v>24293</v>
      </c>
      <c r="F6077" s="76">
        <v>41398.0</v>
      </c>
      <c r="G6077" s="68" t="s">
        <v>24294</v>
      </c>
      <c r="H6077" s="71"/>
      <c r="I6077" s="71"/>
      <c r="J6077" s="68" t="s">
        <v>24295</v>
      </c>
      <c r="K6077" s="76">
        <v>43594.0</v>
      </c>
      <c r="L6077" s="68" t="s">
        <v>16185</v>
      </c>
      <c r="M6077" s="68" t="s">
        <v>166</v>
      </c>
      <c r="N6077" s="116"/>
      <c r="O6077" s="51"/>
    </row>
    <row r="6078">
      <c r="A6078" s="56">
        <v>6075.0</v>
      </c>
      <c r="B6078" s="71"/>
      <c r="C6078" s="69" t="s">
        <v>24296</v>
      </c>
      <c r="D6078" s="71"/>
      <c r="E6078" s="68" t="s">
        <v>24297</v>
      </c>
      <c r="F6078" s="83">
        <v>43447.0</v>
      </c>
      <c r="G6078" s="68" t="s">
        <v>24298</v>
      </c>
      <c r="H6078" s="71"/>
      <c r="I6078" s="71"/>
      <c r="J6078" s="87" t="s">
        <v>24299</v>
      </c>
      <c r="K6078" s="76">
        <v>43594.0</v>
      </c>
      <c r="L6078" s="68" t="s">
        <v>2743</v>
      </c>
      <c r="M6078" s="68" t="s">
        <v>166</v>
      </c>
      <c r="N6078" s="116"/>
      <c r="O6078" s="51"/>
    </row>
    <row r="6079">
      <c r="A6079" s="56">
        <v>6076.0</v>
      </c>
      <c r="B6079" s="71"/>
      <c r="C6079" s="79" t="s">
        <v>24300</v>
      </c>
      <c r="D6079" s="82"/>
      <c r="E6079" s="80" t="s">
        <v>24301</v>
      </c>
      <c r="F6079" s="81">
        <v>41609.0</v>
      </c>
      <c r="G6079" s="80" t="s">
        <v>24302</v>
      </c>
      <c r="H6079" s="80" t="s">
        <v>24303</v>
      </c>
      <c r="I6079" s="82"/>
      <c r="J6079" s="63" t="s">
        <v>136</v>
      </c>
      <c r="K6079" s="81">
        <v>43594.0</v>
      </c>
      <c r="L6079" s="80" t="s">
        <v>2743</v>
      </c>
      <c r="M6079" s="80" t="s">
        <v>195</v>
      </c>
      <c r="N6079" s="116"/>
      <c r="O6079" s="51"/>
    </row>
    <row r="6080">
      <c r="A6080" s="56">
        <v>6077.0</v>
      </c>
      <c r="B6080" s="71"/>
      <c r="C6080" s="69" t="s">
        <v>24304</v>
      </c>
      <c r="D6080" s="71"/>
      <c r="E6080" s="68" t="s">
        <v>11622</v>
      </c>
      <c r="F6080" s="76">
        <v>42214.0</v>
      </c>
      <c r="G6080" s="68" t="s">
        <v>24305</v>
      </c>
      <c r="H6080" s="71"/>
      <c r="I6080" s="68" t="s">
        <v>11624</v>
      </c>
      <c r="J6080" s="68" t="s">
        <v>24306</v>
      </c>
      <c r="K6080" s="76">
        <v>43594.0</v>
      </c>
      <c r="L6080" s="68" t="s">
        <v>2743</v>
      </c>
      <c r="M6080" s="68" t="s">
        <v>166</v>
      </c>
      <c r="N6080" s="116"/>
      <c r="O6080" s="51"/>
    </row>
    <row r="6081">
      <c r="A6081" s="56">
        <v>6078.0</v>
      </c>
      <c r="B6081" s="71"/>
      <c r="C6081" s="69" t="s">
        <v>24307</v>
      </c>
      <c r="D6081" s="71"/>
      <c r="E6081" s="68" t="s">
        <v>24308</v>
      </c>
      <c r="F6081" s="76">
        <v>39995.0</v>
      </c>
      <c r="G6081" s="68" t="s">
        <v>24309</v>
      </c>
      <c r="H6081" s="68" t="s">
        <v>24310</v>
      </c>
      <c r="I6081" s="71"/>
      <c r="J6081" s="68" t="s">
        <v>24311</v>
      </c>
      <c r="K6081" s="76">
        <v>43599.0</v>
      </c>
      <c r="L6081" s="68" t="s">
        <v>2743</v>
      </c>
      <c r="M6081" s="68" t="s">
        <v>166</v>
      </c>
      <c r="N6081" s="116"/>
      <c r="O6081" s="51"/>
    </row>
    <row r="6082">
      <c r="A6082" s="56">
        <v>6079.0</v>
      </c>
      <c r="B6082" s="71"/>
      <c r="C6082" s="69" t="s">
        <v>24312</v>
      </c>
      <c r="D6082" s="71"/>
      <c r="E6082" s="68" t="s">
        <v>24313</v>
      </c>
      <c r="F6082" s="76">
        <v>42990.0</v>
      </c>
      <c r="G6082" s="68" t="s">
        <v>24314</v>
      </c>
      <c r="H6082" s="71"/>
      <c r="I6082" s="71"/>
      <c r="J6082" s="87" t="s">
        <v>24315</v>
      </c>
      <c r="K6082" s="76">
        <v>43599.0</v>
      </c>
      <c r="L6082" s="68" t="s">
        <v>2743</v>
      </c>
      <c r="M6082" s="68" t="s">
        <v>125</v>
      </c>
      <c r="N6082" s="116"/>
      <c r="O6082" s="51"/>
    </row>
    <row r="6083">
      <c r="A6083" s="56">
        <v>6080.0</v>
      </c>
      <c r="B6083" s="71"/>
      <c r="C6083" s="79" t="s">
        <v>24316</v>
      </c>
      <c r="D6083" s="82"/>
      <c r="E6083" s="80" t="s">
        <v>24317</v>
      </c>
      <c r="F6083" s="81">
        <v>42789.0</v>
      </c>
      <c r="G6083" s="80" t="s">
        <v>24318</v>
      </c>
      <c r="H6083" s="80" t="s">
        <v>24319</v>
      </c>
      <c r="I6083" s="82"/>
      <c r="J6083" s="63" t="s">
        <v>136</v>
      </c>
      <c r="K6083" s="81">
        <v>43599.0</v>
      </c>
      <c r="L6083" s="80" t="s">
        <v>2743</v>
      </c>
      <c r="M6083" s="80" t="s">
        <v>149</v>
      </c>
      <c r="N6083" s="116"/>
      <c r="O6083" s="51"/>
    </row>
    <row r="6084">
      <c r="A6084" s="56">
        <v>6081.0</v>
      </c>
      <c r="B6084" s="71"/>
      <c r="C6084" s="79" t="s">
        <v>24320</v>
      </c>
      <c r="D6084" s="82"/>
      <c r="E6084" s="80" t="s">
        <v>24321</v>
      </c>
      <c r="F6084" s="81">
        <v>42228.0</v>
      </c>
      <c r="G6084" s="80" t="s">
        <v>24322</v>
      </c>
      <c r="H6084" s="82"/>
      <c r="I6084" s="51"/>
      <c r="J6084" s="222" t="s">
        <v>136</v>
      </c>
      <c r="K6084" s="81">
        <v>43599.0</v>
      </c>
      <c r="L6084" s="80" t="s">
        <v>2743</v>
      </c>
      <c r="M6084" s="80" t="s">
        <v>125</v>
      </c>
      <c r="N6084" s="116"/>
      <c r="O6084" s="51"/>
    </row>
    <row r="6085">
      <c r="A6085" s="56">
        <v>6082.0</v>
      </c>
      <c r="B6085" s="71"/>
      <c r="C6085" s="79" t="s">
        <v>24323</v>
      </c>
      <c r="D6085" s="82"/>
      <c r="E6085" s="80" t="s">
        <v>24324</v>
      </c>
      <c r="F6085" s="81">
        <v>42786.0</v>
      </c>
      <c r="G6085" s="80" t="s">
        <v>24325</v>
      </c>
      <c r="H6085" s="80" t="s">
        <v>24326</v>
      </c>
      <c r="I6085" s="224" t="s">
        <v>24327</v>
      </c>
      <c r="J6085" s="63" t="s">
        <v>136</v>
      </c>
      <c r="K6085" s="81">
        <v>43599.0</v>
      </c>
      <c r="L6085" s="80" t="s">
        <v>2743</v>
      </c>
      <c r="M6085" s="80" t="s">
        <v>1182</v>
      </c>
      <c r="N6085" s="116"/>
      <c r="O6085" s="51"/>
    </row>
    <row r="6086">
      <c r="A6086" s="75">
        <v>6083.0</v>
      </c>
      <c r="B6086" s="71"/>
      <c r="C6086" s="69" t="s">
        <v>24328</v>
      </c>
      <c r="D6086" s="71"/>
      <c r="E6086" s="68" t="s">
        <v>24329</v>
      </c>
      <c r="F6086" s="76">
        <v>43042.0</v>
      </c>
      <c r="G6086" s="68" t="s">
        <v>24330</v>
      </c>
      <c r="H6086" s="71"/>
      <c r="I6086" s="71"/>
      <c r="J6086" s="68" t="s">
        <v>24331</v>
      </c>
      <c r="K6086" s="76">
        <v>43599.0</v>
      </c>
      <c r="L6086" s="68" t="s">
        <v>2743</v>
      </c>
      <c r="M6086" s="68" t="s">
        <v>201</v>
      </c>
      <c r="N6086" s="116"/>
      <c r="O6086" s="51"/>
    </row>
    <row r="6087">
      <c r="A6087" s="56">
        <v>6084.0</v>
      </c>
      <c r="B6087" s="71"/>
      <c r="C6087" s="69" t="s">
        <v>24332</v>
      </c>
      <c r="D6087" s="71"/>
      <c r="E6087" s="68" t="s">
        <v>24333</v>
      </c>
      <c r="F6087" s="76">
        <v>42767.0</v>
      </c>
      <c r="G6087" s="68" t="s">
        <v>24334</v>
      </c>
      <c r="H6087" s="68" t="s">
        <v>24335</v>
      </c>
      <c r="I6087" s="68" t="s">
        <v>24336</v>
      </c>
      <c r="J6087" s="87" t="s">
        <v>24337</v>
      </c>
      <c r="K6087" s="76">
        <v>43599.0</v>
      </c>
      <c r="L6087" s="68" t="s">
        <v>2743</v>
      </c>
      <c r="M6087" s="68" t="s">
        <v>31</v>
      </c>
      <c r="N6087" s="116"/>
      <c r="O6087" s="51"/>
    </row>
    <row r="6088">
      <c r="A6088" s="75">
        <v>6085.0</v>
      </c>
      <c r="B6088" s="71"/>
      <c r="C6088" s="69" t="s">
        <v>24338</v>
      </c>
      <c r="D6088" s="71"/>
      <c r="E6088" s="68" t="s">
        <v>24339</v>
      </c>
      <c r="F6088" s="76">
        <v>43561.0</v>
      </c>
      <c r="G6088" s="68" t="s">
        <v>24340</v>
      </c>
      <c r="H6088" s="68" t="s">
        <v>439</v>
      </c>
      <c r="I6088" s="68" t="s">
        <v>24341</v>
      </c>
      <c r="J6088" s="68" t="s">
        <v>24342</v>
      </c>
      <c r="K6088" s="76">
        <v>43600.0</v>
      </c>
      <c r="L6088" s="68" t="s">
        <v>2743</v>
      </c>
      <c r="M6088" s="68" t="s">
        <v>1509</v>
      </c>
      <c r="N6088" s="116"/>
      <c r="O6088" s="51"/>
    </row>
    <row r="6089">
      <c r="A6089" s="56">
        <v>6086.0</v>
      </c>
      <c r="B6089" s="71"/>
      <c r="C6089" s="69" t="s">
        <v>24343</v>
      </c>
      <c r="D6089" s="71"/>
      <c r="E6089" s="68" t="s">
        <v>24344</v>
      </c>
      <c r="F6089" s="76">
        <v>43577.0</v>
      </c>
      <c r="G6089" s="68" t="s">
        <v>24345</v>
      </c>
      <c r="H6089" s="71"/>
      <c r="I6089" s="68" t="s">
        <v>24346</v>
      </c>
      <c r="J6089" s="87" t="s">
        <v>24347</v>
      </c>
      <c r="K6089" s="76">
        <v>43603.0</v>
      </c>
      <c r="L6089" s="68" t="s">
        <v>16585</v>
      </c>
      <c r="M6089" s="68" t="s">
        <v>166</v>
      </c>
      <c r="N6089" s="116"/>
      <c r="O6089" s="51"/>
    </row>
    <row r="6090">
      <c r="A6090" s="56">
        <v>6087.0</v>
      </c>
      <c r="B6090" s="71"/>
      <c r="C6090" s="69" t="s">
        <v>24348</v>
      </c>
      <c r="D6090" s="71"/>
      <c r="E6090" s="68" t="s">
        <v>24349</v>
      </c>
      <c r="F6090" s="76">
        <v>43600.0</v>
      </c>
      <c r="G6090" s="68" t="s">
        <v>24350</v>
      </c>
      <c r="H6090" s="71"/>
      <c r="I6090" s="71"/>
      <c r="J6090" s="87" t="s">
        <v>24351</v>
      </c>
      <c r="K6090" s="76">
        <v>43605.0</v>
      </c>
      <c r="L6090" s="68" t="s">
        <v>2743</v>
      </c>
      <c r="M6090" s="68" t="s">
        <v>143</v>
      </c>
      <c r="N6090" s="116"/>
      <c r="O6090" s="51"/>
    </row>
    <row r="6091">
      <c r="A6091" s="56">
        <v>6088.0</v>
      </c>
      <c r="B6091" s="71"/>
      <c r="C6091" s="69" t="s">
        <v>24352</v>
      </c>
      <c r="D6091" s="71"/>
      <c r="E6091" s="68" t="s">
        <v>24353</v>
      </c>
      <c r="F6091" s="76">
        <v>43578.0</v>
      </c>
      <c r="G6091" s="68" t="s">
        <v>24354</v>
      </c>
      <c r="H6091" s="71"/>
      <c r="I6091" s="71"/>
      <c r="J6091" s="68" t="s">
        <v>24355</v>
      </c>
      <c r="K6091" s="76">
        <v>43606.0</v>
      </c>
      <c r="L6091" s="68" t="s">
        <v>2743</v>
      </c>
      <c r="M6091" s="68" t="s">
        <v>166</v>
      </c>
      <c r="N6091" s="116"/>
      <c r="O6091" s="51"/>
    </row>
    <row r="6092">
      <c r="A6092" s="56">
        <v>6089.0</v>
      </c>
      <c r="B6092" s="71"/>
      <c r="C6092" s="69" t="s">
        <v>24356</v>
      </c>
      <c r="D6092" s="71"/>
      <c r="E6092" s="68" t="s">
        <v>24357</v>
      </c>
      <c r="F6092" s="76">
        <v>43601.0</v>
      </c>
      <c r="G6092" s="68" t="s">
        <v>24358</v>
      </c>
      <c r="H6092" s="68" t="s">
        <v>24359</v>
      </c>
      <c r="I6092" s="71"/>
      <c r="J6092" s="68" t="s">
        <v>24360</v>
      </c>
      <c r="K6092" s="76">
        <v>43606.0</v>
      </c>
      <c r="L6092" s="68" t="s">
        <v>2743</v>
      </c>
      <c r="M6092" s="68" t="s">
        <v>4273</v>
      </c>
      <c r="N6092" s="116"/>
      <c r="O6092" s="51"/>
    </row>
    <row r="6093">
      <c r="A6093" s="56">
        <v>6090.0</v>
      </c>
      <c r="B6093" s="71"/>
      <c r="C6093" s="69" t="s">
        <v>24361</v>
      </c>
      <c r="D6093" s="71"/>
      <c r="E6093" s="68" t="s">
        <v>24362</v>
      </c>
      <c r="F6093" s="76">
        <v>43598.0</v>
      </c>
      <c r="G6093" s="68" t="s">
        <v>24363</v>
      </c>
      <c r="H6093" s="71"/>
      <c r="I6093" s="71"/>
      <c r="J6093" s="87" t="s">
        <v>24364</v>
      </c>
      <c r="K6093" s="76">
        <v>43608.0</v>
      </c>
      <c r="L6093" s="68" t="s">
        <v>2743</v>
      </c>
      <c r="M6093" s="68" t="s">
        <v>2527</v>
      </c>
      <c r="N6093" s="116"/>
      <c r="O6093" s="51"/>
    </row>
    <row r="6094">
      <c r="A6094" s="56">
        <v>6091.0</v>
      </c>
      <c r="B6094" s="71"/>
      <c r="C6094" s="69" t="s">
        <v>24365</v>
      </c>
      <c r="D6094" s="71"/>
      <c r="E6094" s="68" t="s">
        <v>24366</v>
      </c>
      <c r="F6094" s="76">
        <v>43603.0</v>
      </c>
      <c r="G6094" s="68" t="s">
        <v>24367</v>
      </c>
      <c r="H6094" s="71"/>
      <c r="I6094" s="71"/>
      <c r="J6094" s="87" t="s">
        <v>24368</v>
      </c>
      <c r="K6094" s="76">
        <v>43608.0</v>
      </c>
      <c r="L6094" s="68" t="s">
        <v>2743</v>
      </c>
      <c r="M6094" s="68" t="s">
        <v>2527</v>
      </c>
      <c r="N6094" s="116"/>
      <c r="O6094" s="51"/>
    </row>
    <row r="6095">
      <c r="A6095" s="56">
        <v>6092.0</v>
      </c>
      <c r="B6095" s="71"/>
      <c r="C6095" s="79" t="s">
        <v>24369</v>
      </c>
      <c r="D6095" s="82"/>
      <c r="E6095" s="80" t="s">
        <v>24370</v>
      </c>
      <c r="F6095" s="81">
        <v>41054.0</v>
      </c>
      <c r="G6095" s="80" t="s">
        <v>24371</v>
      </c>
      <c r="H6095" s="82"/>
      <c r="I6095" s="80" t="s">
        <v>24372</v>
      </c>
      <c r="J6095" s="63" t="s">
        <v>136</v>
      </c>
      <c r="K6095" s="81">
        <v>43609.0</v>
      </c>
      <c r="L6095" s="80" t="s">
        <v>2743</v>
      </c>
      <c r="M6095" s="80" t="s">
        <v>4749</v>
      </c>
      <c r="N6095" s="116"/>
      <c r="O6095" s="51"/>
    </row>
    <row r="6096">
      <c r="A6096" s="56">
        <v>6093.0</v>
      </c>
      <c r="B6096" s="71"/>
      <c r="C6096" s="69" t="s">
        <v>24373</v>
      </c>
      <c r="D6096" s="71"/>
      <c r="E6096" s="68" t="s">
        <v>24374</v>
      </c>
      <c r="F6096" s="76">
        <v>43605.0</v>
      </c>
      <c r="G6096" s="68" t="s">
        <v>24375</v>
      </c>
      <c r="H6096" s="71"/>
      <c r="I6096" s="71"/>
      <c r="J6096" s="87" t="s">
        <v>136</v>
      </c>
      <c r="K6096" s="76">
        <v>43609.0</v>
      </c>
      <c r="L6096" s="68" t="s">
        <v>2743</v>
      </c>
      <c r="M6096" s="68" t="s">
        <v>27</v>
      </c>
      <c r="N6096" s="116"/>
      <c r="O6096" s="51"/>
    </row>
    <row r="6097">
      <c r="A6097" s="56">
        <v>6094.0</v>
      </c>
      <c r="B6097" s="71"/>
      <c r="C6097" s="69" t="s">
        <v>24376</v>
      </c>
      <c r="D6097" s="71"/>
      <c r="E6097" s="68" t="s">
        <v>24377</v>
      </c>
      <c r="F6097" s="76">
        <v>43516.0</v>
      </c>
      <c r="G6097" s="68" t="s">
        <v>24378</v>
      </c>
      <c r="H6097" s="71"/>
      <c r="I6097" s="71"/>
      <c r="J6097" s="68" t="s">
        <v>24379</v>
      </c>
      <c r="K6097" s="76">
        <v>43609.0</v>
      </c>
      <c r="L6097" s="68" t="s">
        <v>2743</v>
      </c>
      <c r="M6097" s="68" t="s">
        <v>166</v>
      </c>
      <c r="N6097" s="116"/>
      <c r="O6097" s="51"/>
    </row>
    <row r="6098">
      <c r="A6098" s="56">
        <v>6095.0</v>
      </c>
      <c r="B6098" s="71"/>
      <c r="C6098" s="69" t="s">
        <v>24380</v>
      </c>
      <c r="D6098" s="71"/>
      <c r="E6098" s="68" t="s">
        <v>24381</v>
      </c>
      <c r="F6098" s="76">
        <v>43589.0</v>
      </c>
      <c r="G6098" s="68" t="s">
        <v>24382</v>
      </c>
      <c r="H6098" s="71"/>
      <c r="I6098" s="71"/>
      <c r="J6098" s="87" t="s">
        <v>24383</v>
      </c>
      <c r="K6098" s="76">
        <v>43613.0</v>
      </c>
      <c r="L6098" s="68" t="s">
        <v>2743</v>
      </c>
      <c r="M6098" s="68" t="s">
        <v>1435</v>
      </c>
      <c r="N6098" s="116"/>
      <c r="O6098" s="51"/>
    </row>
    <row r="6099">
      <c r="A6099" s="56">
        <v>6096.0</v>
      </c>
      <c r="B6099" s="71"/>
      <c r="C6099" s="69" t="s">
        <v>24384</v>
      </c>
      <c r="D6099" s="71"/>
      <c r="E6099" s="68" t="s">
        <v>24385</v>
      </c>
      <c r="F6099" s="76">
        <v>43586.0</v>
      </c>
      <c r="G6099" s="68" t="s">
        <v>24386</v>
      </c>
      <c r="H6099" s="71"/>
      <c r="I6099" s="71"/>
      <c r="J6099" s="68" t="s">
        <v>24387</v>
      </c>
      <c r="K6099" s="76">
        <v>43613.0</v>
      </c>
      <c r="L6099" s="68" t="s">
        <v>2743</v>
      </c>
      <c r="M6099" s="68" t="s">
        <v>149</v>
      </c>
      <c r="N6099" s="116"/>
      <c r="O6099" s="51"/>
    </row>
    <row r="6100">
      <c r="A6100" s="56">
        <v>6097.0</v>
      </c>
      <c r="B6100" s="71"/>
      <c r="C6100" s="79" t="s">
        <v>24388</v>
      </c>
      <c r="D6100" s="82"/>
      <c r="E6100" s="80" t="s">
        <v>24389</v>
      </c>
      <c r="F6100" s="81">
        <v>42920.0</v>
      </c>
      <c r="G6100" s="80" t="s">
        <v>24390</v>
      </c>
      <c r="H6100" s="80" t="s">
        <v>24391</v>
      </c>
      <c r="I6100" s="82"/>
      <c r="J6100" s="63" t="s">
        <v>136</v>
      </c>
      <c r="K6100" s="81">
        <v>43613.0</v>
      </c>
      <c r="L6100" s="80" t="s">
        <v>2743</v>
      </c>
      <c r="M6100" s="80" t="s">
        <v>5712</v>
      </c>
      <c r="N6100" s="116"/>
      <c r="O6100" s="51"/>
    </row>
    <row r="6101">
      <c r="A6101" s="56">
        <v>6098.0</v>
      </c>
      <c r="B6101" s="71"/>
      <c r="C6101" s="79" t="s">
        <v>24392</v>
      </c>
      <c r="D6101" s="82"/>
      <c r="E6101" s="80" t="s">
        <v>24393</v>
      </c>
      <c r="F6101" s="98">
        <v>40465.0</v>
      </c>
      <c r="G6101" s="80" t="s">
        <v>24394</v>
      </c>
      <c r="H6101" s="82"/>
      <c r="I6101" s="82"/>
      <c r="J6101" s="63" t="s">
        <v>136</v>
      </c>
      <c r="K6101" s="81">
        <v>43613.0</v>
      </c>
      <c r="L6101" s="80" t="s">
        <v>24395</v>
      </c>
      <c r="M6101" s="80" t="s">
        <v>2989</v>
      </c>
      <c r="N6101" s="116"/>
      <c r="O6101" s="51"/>
    </row>
    <row r="6102">
      <c r="A6102" s="56">
        <v>6099.0</v>
      </c>
      <c r="B6102" s="71"/>
      <c r="C6102" s="79" t="s">
        <v>24396</v>
      </c>
      <c r="D6102" s="82"/>
      <c r="E6102" s="80" t="s">
        <v>24397</v>
      </c>
      <c r="F6102" s="81">
        <v>41821.0</v>
      </c>
      <c r="G6102" s="80" t="s">
        <v>24398</v>
      </c>
      <c r="H6102" s="82"/>
      <c r="I6102" s="82"/>
      <c r="J6102" s="63" t="s">
        <v>136</v>
      </c>
      <c r="K6102" s="81">
        <v>43613.0</v>
      </c>
      <c r="L6102" s="80" t="s">
        <v>2743</v>
      </c>
      <c r="M6102" s="80" t="s">
        <v>2291</v>
      </c>
      <c r="N6102" s="116"/>
      <c r="O6102" s="51"/>
    </row>
    <row r="6103">
      <c r="A6103" s="56">
        <v>6100.0</v>
      </c>
      <c r="B6103" s="71"/>
      <c r="C6103" s="79" t="s">
        <v>24399</v>
      </c>
      <c r="D6103" s="82"/>
      <c r="E6103" s="80" t="s">
        <v>24400</v>
      </c>
      <c r="F6103" s="81">
        <v>43597.0</v>
      </c>
      <c r="G6103" s="80" t="s">
        <v>24401</v>
      </c>
      <c r="H6103" s="82"/>
      <c r="I6103" s="82"/>
      <c r="J6103" s="63" t="s">
        <v>136</v>
      </c>
      <c r="K6103" s="81">
        <v>43615.0</v>
      </c>
      <c r="L6103" s="80" t="s">
        <v>20958</v>
      </c>
      <c r="M6103" s="80" t="s">
        <v>27</v>
      </c>
      <c r="N6103" s="116"/>
      <c r="O6103" s="51"/>
    </row>
    <row r="6104">
      <c r="A6104" s="56">
        <v>6101.0</v>
      </c>
      <c r="B6104" s="71"/>
      <c r="C6104" s="69" t="s">
        <v>24402</v>
      </c>
      <c r="D6104" s="71"/>
      <c r="E6104" s="68" t="s">
        <v>24403</v>
      </c>
      <c r="F6104" s="76">
        <v>43584.0</v>
      </c>
      <c r="G6104" s="68" t="s">
        <v>24404</v>
      </c>
      <c r="H6104" s="71"/>
      <c r="I6104" s="71"/>
      <c r="J6104" s="87" t="s">
        <v>24405</v>
      </c>
      <c r="K6104" s="76">
        <v>43615.0</v>
      </c>
      <c r="L6104" s="68" t="s">
        <v>2743</v>
      </c>
      <c r="M6104" s="68" t="s">
        <v>143</v>
      </c>
      <c r="N6104" s="116"/>
      <c r="O6104" s="51"/>
    </row>
    <row r="6105">
      <c r="A6105" s="56">
        <v>6102.0</v>
      </c>
      <c r="B6105" s="71"/>
      <c r="C6105" s="79" t="s">
        <v>24406</v>
      </c>
      <c r="D6105" s="82"/>
      <c r="E6105" s="80" t="s">
        <v>24407</v>
      </c>
      <c r="F6105" s="81">
        <v>42087.0</v>
      </c>
      <c r="G6105" s="80" t="s">
        <v>24408</v>
      </c>
      <c r="H6105" s="82"/>
      <c r="I6105" s="82"/>
      <c r="J6105" s="63" t="s">
        <v>136</v>
      </c>
      <c r="K6105" s="81">
        <v>43616.0</v>
      </c>
      <c r="L6105" s="80" t="s">
        <v>2743</v>
      </c>
      <c r="M6105" s="80" t="s">
        <v>125</v>
      </c>
      <c r="N6105" s="116"/>
      <c r="O6105" s="51"/>
    </row>
    <row r="6106">
      <c r="A6106" s="56">
        <v>6103.0</v>
      </c>
      <c r="B6106" s="71"/>
      <c r="C6106" s="79" t="s">
        <v>24409</v>
      </c>
      <c r="D6106" s="82"/>
      <c r="E6106" s="80" t="s">
        <v>24410</v>
      </c>
      <c r="F6106" s="81">
        <v>41816.0</v>
      </c>
      <c r="G6106" s="80" t="s">
        <v>24411</v>
      </c>
      <c r="H6106" s="82"/>
      <c r="I6106" s="82"/>
      <c r="J6106" s="63" t="s">
        <v>136</v>
      </c>
      <c r="K6106" s="81">
        <v>43616.0</v>
      </c>
      <c r="L6106" s="80" t="s">
        <v>2743</v>
      </c>
      <c r="M6106" s="80" t="s">
        <v>125</v>
      </c>
      <c r="N6106" s="87" t="s">
        <v>24412</v>
      </c>
      <c r="O6106" s="51"/>
    </row>
    <row r="6107">
      <c r="A6107" s="56">
        <v>6104.0</v>
      </c>
      <c r="B6107" s="71"/>
      <c r="C6107" s="69" t="s">
        <v>24413</v>
      </c>
      <c r="D6107" s="71"/>
      <c r="E6107" s="68" t="s">
        <v>24414</v>
      </c>
      <c r="F6107" s="76">
        <v>43584.0</v>
      </c>
      <c r="G6107" s="68" t="s">
        <v>24415</v>
      </c>
      <c r="H6107" s="71"/>
      <c r="I6107" s="71"/>
      <c r="J6107" s="87" t="s">
        <v>24416</v>
      </c>
      <c r="K6107" s="76">
        <v>43626.0</v>
      </c>
      <c r="L6107" s="68" t="s">
        <v>2743</v>
      </c>
      <c r="M6107" s="68" t="s">
        <v>166</v>
      </c>
      <c r="N6107" s="87" t="s">
        <v>24417</v>
      </c>
      <c r="O6107" s="51"/>
    </row>
    <row r="6108">
      <c r="A6108" s="56">
        <v>6105.0</v>
      </c>
      <c r="B6108" s="71"/>
      <c r="C6108" s="79" t="s">
        <v>24418</v>
      </c>
      <c r="D6108" s="82"/>
      <c r="E6108" s="80" t="s">
        <v>24419</v>
      </c>
      <c r="F6108" s="81">
        <v>42261.0</v>
      </c>
      <c r="G6108" s="80" t="s">
        <v>24420</v>
      </c>
      <c r="H6108" s="82"/>
      <c r="I6108" s="80" t="s">
        <v>24421</v>
      </c>
      <c r="J6108" s="63" t="s">
        <v>136</v>
      </c>
      <c r="K6108" s="81">
        <v>43626.0</v>
      </c>
      <c r="L6108" s="80" t="s">
        <v>2743</v>
      </c>
      <c r="M6108" s="80" t="s">
        <v>2989</v>
      </c>
      <c r="N6108" s="116"/>
      <c r="O6108" s="51"/>
    </row>
    <row r="6109">
      <c r="A6109" s="56">
        <v>6106.0</v>
      </c>
      <c r="B6109" s="71"/>
      <c r="C6109" s="79" t="s">
        <v>24422</v>
      </c>
      <c r="D6109" s="82"/>
      <c r="E6109" s="80" t="s">
        <v>24423</v>
      </c>
      <c r="F6109" s="81">
        <v>42231.0</v>
      </c>
      <c r="G6109" s="80" t="s">
        <v>24424</v>
      </c>
      <c r="H6109" s="82"/>
      <c r="I6109" s="82"/>
      <c r="J6109" s="63" t="s">
        <v>136</v>
      </c>
      <c r="K6109" s="81">
        <v>43626.0</v>
      </c>
      <c r="L6109" s="80" t="s">
        <v>2743</v>
      </c>
      <c r="M6109" s="80" t="s">
        <v>125</v>
      </c>
      <c r="N6109" s="87" t="s">
        <v>24425</v>
      </c>
      <c r="O6109" s="51"/>
    </row>
    <row r="6110">
      <c r="A6110" s="56">
        <v>6107.0</v>
      </c>
      <c r="B6110" s="71"/>
      <c r="C6110" s="69" t="s">
        <v>24426</v>
      </c>
      <c r="D6110" s="71"/>
      <c r="E6110" s="68" t="s">
        <v>24427</v>
      </c>
      <c r="F6110" s="76">
        <v>43600.0</v>
      </c>
      <c r="G6110" s="68" t="s">
        <v>24428</v>
      </c>
      <c r="H6110" s="71"/>
      <c r="I6110" s="71"/>
      <c r="J6110" s="87" t="s">
        <v>24429</v>
      </c>
      <c r="K6110" s="76">
        <v>43626.0</v>
      </c>
      <c r="L6110" s="68" t="s">
        <v>2743</v>
      </c>
      <c r="M6110" s="68" t="s">
        <v>143</v>
      </c>
      <c r="N6110" s="116"/>
      <c r="O6110" s="51"/>
    </row>
    <row r="6111">
      <c r="A6111" s="56">
        <v>6108.0</v>
      </c>
      <c r="B6111" s="71"/>
      <c r="C6111" s="69" t="s">
        <v>24430</v>
      </c>
      <c r="D6111" s="71"/>
      <c r="E6111" s="68" t="s">
        <v>24431</v>
      </c>
      <c r="F6111" s="76">
        <v>43602.0</v>
      </c>
      <c r="G6111" s="68" t="s">
        <v>17963</v>
      </c>
      <c r="H6111" s="71"/>
      <c r="I6111" s="71"/>
      <c r="J6111" s="68" t="s">
        <v>24432</v>
      </c>
      <c r="K6111" s="76">
        <v>43626.0</v>
      </c>
      <c r="L6111" s="68" t="s">
        <v>2743</v>
      </c>
      <c r="M6111" s="68" t="s">
        <v>143</v>
      </c>
      <c r="N6111" s="116"/>
      <c r="O6111" s="51"/>
    </row>
    <row r="6112">
      <c r="A6112" s="56">
        <v>6109.0</v>
      </c>
      <c r="B6112" s="71"/>
      <c r="C6112" s="69" t="s">
        <v>24433</v>
      </c>
      <c r="D6112" s="71"/>
      <c r="E6112" s="68" t="s">
        <v>24434</v>
      </c>
      <c r="F6112" s="76">
        <v>43610.0</v>
      </c>
      <c r="G6112" s="68" t="s">
        <v>24435</v>
      </c>
      <c r="H6112" s="71"/>
      <c r="I6112" s="71"/>
      <c r="J6112" s="87" t="s">
        <v>24436</v>
      </c>
      <c r="K6112" s="76">
        <v>43626.0</v>
      </c>
      <c r="L6112" s="68" t="s">
        <v>2743</v>
      </c>
      <c r="M6112" s="68" t="s">
        <v>166</v>
      </c>
      <c r="N6112" s="116"/>
      <c r="O6112" s="51"/>
    </row>
    <row r="6113">
      <c r="A6113" s="56">
        <v>6110.0</v>
      </c>
      <c r="B6113" s="71"/>
      <c r="C6113" s="69" t="s">
        <v>24437</v>
      </c>
      <c r="D6113" s="71"/>
      <c r="E6113" s="68" t="s">
        <v>24438</v>
      </c>
      <c r="F6113" s="76">
        <v>43578.0</v>
      </c>
      <c r="G6113" s="68" t="s">
        <v>24439</v>
      </c>
      <c r="H6113" s="71"/>
      <c r="I6113" s="71"/>
      <c r="J6113" s="87" t="s">
        <v>24440</v>
      </c>
      <c r="K6113" s="76">
        <v>43627.0</v>
      </c>
      <c r="L6113" s="68" t="s">
        <v>14256</v>
      </c>
      <c r="M6113" s="68" t="s">
        <v>27</v>
      </c>
      <c r="N6113" s="116"/>
      <c r="O6113" s="51"/>
    </row>
    <row r="6114">
      <c r="A6114" s="56">
        <v>6111.0</v>
      </c>
      <c r="B6114" s="71"/>
      <c r="C6114" s="69" t="s">
        <v>24441</v>
      </c>
      <c r="D6114" s="71"/>
      <c r="E6114" s="68" t="s">
        <v>24442</v>
      </c>
      <c r="F6114" s="76">
        <v>43599.0</v>
      </c>
      <c r="G6114" s="68" t="s">
        <v>24443</v>
      </c>
      <c r="H6114" s="68" t="s">
        <v>24444</v>
      </c>
      <c r="I6114" s="71"/>
      <c r="J6114" s="68" t="s">
        <v>24445</v>
      </c>
      <c r="K6114" s="76">
        <v>43627.0</v>
      </c>
      <c r="L6114" s="68" t="s">
        <v>14256</v>
      </c>
      <c r="M6114" s="68" t="s">
        <v>166</v>
      </c>
      <c r="N6114" s="116"/>
      <c r="O6114" s="51"/>
    </row>
    <row r="6115">
      <c r="A6115" s="56">
        <v>6112.0</v>
      </c>
      <c r="B6115" s="71"/>
      <c r="C6115" s="69" t="s">
        <v>24446</v>
      </c>
      <c r="D6115" s="71"/>
      <c r="E6115" s="68" t="s">
        <v>24447</v>
      </c>
      <c r="F6115" s="76">
        <v>43600.0</v>
      </c>
      <c r="G6115" s="68" t="s">
        <v>24448</v>
      </c>
      <c r="H6115" s="68" t="s">
        <v>24449</v>
      </c>
      <c r="I6115" s="71"/>
      <c r="J6115" s="68" t="s">
        <v>24450</v>
      </c>
      <c r="K6115" s="76">
        <v>43627.0</v>
      </c>
      <c r="L6115" s="68" t="s">
        <v>14256</v>
      </c>
      <c r="M6115" s="68" t="s">
        <v>166</v>
      </c>
      <c r="N6115" s="116"/>
      <c r="O6115" s="51"/>
    </row>
    <row r="6116">
      <c r="A6116" s="56">
        <v>6113.0</v>
      </c>
      <c r="B6116" s="269"/>
      <c r="C6116" s="79" t="s">
        <v>24451</v>
      </c>
      <c r="D6116" s="82"/>
      <c r="E6116" s="80" t="s">
        <v>24452</v>
      </c>
      <c r="F6116" s="81">
        <v>2011.0</v>
      </c>
      <c r="G6116" s="80" t="s">
        <v>24453</v>
      </c>
      <c r="H6116" s="82"/>
      <c r="I6116" s="66"/>
      <c r="J6116" s="63" t="s">
        <v>136</v>
      </c>
      <c r="K6116" s="81">
        <v>43629.0</v>
      </c>
      <c r="L6116" s="80" t="s">
        <v>2743</v>
      </c>
      <c r="M6116" s="80" t="s">
        <v>125</v>
      </c>
      <c r="N6116" s="116"/>
      <c r="O6116" s="51"/>
    </row>
    <row r="6117">
      <c r="A6117" s="56">
        <v>6114.0</v>
      </c>
      <c r="B6117" s="71"/>
      <c r="C6117" s="79" t="s">
        <v>24454</v>
      </c>
      <c r="D6117" s="82"/>
      <c r="E6117" s="80" t="s">
        <v>24455</v>
      </c>
      <c r="F6117" s="81">
        <v>42797.0</v>
      </c>
      <c r="G6117" s="80" t="s">
        <v>24456</v>
      </c>
      <c r="H6117" s="82"/>
      <c r="I6117" s="80" t="s">
        <v>24457</v>
      </c>
      <c r="J6117" s="63" t="s">
        <v>136</v>
      </c>
      <c r="K6117" s="81">
        <v>43629.0</v>
      </c>
      <c r="L6117" s="80" t="s">
        <v>2743</v>
      </c>
      <c r="M6117" s="80" t="s">
        <v>18576</v>
      </c>
      <c r="N6117" s="116"/>
      <c r="O6117" s="51"/>
    </row>
    <row r="6118">
      <c r="A6118" s="56">
        <v>6115.0</v>
      </c>
      <c r="B6118" s="71"/>
      <c r="C6118" s="79" t="s">
        <v>24458</v>
      </c>
      <c r="D6118" s="68" t="s">
        <v>24459</v>
      </c>
      <c r="E6118" s="80" t="s">
        <v>24460</v>
      </c>
      <c r="F6118" s="81">
        <v>39972.0</v>
      </c>
      <c r="G6118" s="80" t="s">
        <v>24461</v>
      </c>
      <c r="H6118" s="80" t="s">
        <v>5773</v>
      </c>
      <c r="I6118" s="82"/>
      <c r="J6118" s="63" t="s">
        <v>136</v>
      </c>
      <c r="K6118" s="81">
        <v>43630.0</v>
      </c>
      <c r="L6118" s="80" t="s">
        <v>2743</v>
      </c>
      <c r="M6118" s="80" t="s">
        <v>530</v>
      </c>
      <c r="N6118" s="116"/>
      <c r="O6118" s="51"/>
    </row>
    <row r="6119">
      <c r="A6119" s="56">
        <v>6116.0</v>
      </c>
      <c r="B6119" s="71"/>
      <c r="C6119" s="79" t="s">
        <v>24462</v>
      </c>
      <c r="D6119" s="82"/>
      <c r="E6119" s="80" t="s">
        <v>24463</v>
      </c>
      <c r="F6119" s="81">
        <v>41905.0</v>
      </c>
      <c r="G6119" s="80" t="s">
        <v>24464</v>
      </c>
      <c r="H6119" s="80" t="s">
        <v>24465</v>
      </c>
      <c r="I6119" s="82"/>
      <c r="J6119" s="63" t="s">
        <v>136</v>
      </c>
      <c r="K6119" s="81">
        <v>43630.0</v>
      </c>
      <c r="L6119" s="80" t="s">
        <v>2743</v>
      </c>
      <c r="M6119" s="80" t="s">
        <v>166</v>
      </c>
      <c r="N6119" s="116"/>
      <c r="O6119" s="51"/>
    </row>
    <row r="6120">
      <c r="A6120" s="56">
        <v>6117.0</v>
      </c>
      <c r="B6120" s="71"/>
      <c r="C6120" s="79" t="s">
        <v>24466</v>
      </c>
      <c r="D6120" s="82"/>
      <c r="E6120" s="80" t="s">
        <v>24467</v>
      </c>
      <c r="F6120" s="81">
        <v>39630.0</v>
      </c>
      <c r="G6120" s="80" t="s">
        <v>24468</v>
      </c>
      <c r="H6120" s="82"/>
      <c r="I6120" s="82"/>
      <c r="J6120" s="63" t="s">
        <v>136</v>
      </c>
      <c r="K6120" s="81">
        <v>43630.0</v>
      </c>
      <c r="L6120" s="80" t="s">
        <v>2743</v>
      </c>
      <c r="M6120" s="80" t="s">
        <v>530</v>
      </c>
      <c r="N6120" s="116"/>
      <c r="O6120" s="51"/>
    </row>
    <row r="6121">
      <c r="A6121" s="56">
        <v>6118.0</v>
      </c>
      <c r="B6121" s="71"/>
      <c r="C6121" s="69" t="s">
        <v>24469</v>
      </c>
      <c r="D6121" s="71"/>
      <c r="E6121" s="68" t="s">
        <v>24470</v>
      </c>
      <c r="F6121" s="83">
        <v>43383.0</v>
      </c>
      <c r="G6121" s="68" t="s">
        <v>24471</v>
      </c>
      <c r="H6121" s="71"/>
      <c r="I6121" s="71"/>
      <c r="J6121" s="68" t="s">
        <v>24472</v>
      </c>
      <c r="K6121" s="76">
        <v>43633.0</v>
      </c>
      <c r="L6121" s="68" t="s">
        <v>16185</v>
      </c>
      <c r="M6121" s="68" t="s">
        <v>27</v>
      </c>
      <c r="N6121" s="116"/>
      <c r="O6121" s="51"/>
    </row>
    <row r="6122">
      <c r="A6122" s="56">
        <v>6119.0</v>
      </c>
      <c r="B6122" s="71"/>
      <c r="C6122" s="69" t="s">
        <v>24473</v>
      </c>
      <c r="D6122" s="71"/>
      <c r="E6122" s="68" t="s">
        <v>24474</v>
      </c>
      <c r="F6122" s="76">
        <v>43195.0</v>
      </c>
      <c r="G6122" s="68" t="s">
        <v>24475</v>
      </c>
      <c r="H6122" s="71"/>
      <c r="I6122" s="71"/>
      <c r="J6122" s="87" t="s">
        <v>24476</v>
      </c>
      <c r="K6122" s="76">
        <v>43633.0</v>
      </c>
      <c r="L6122" s="68" t="s">
        <v>16185</v>
      </c>
      <c r="M6122" s="68" t="s">
        <v>1509</v>
      </c>
      <c r="N6122" s="116"/>
      <c r="O6122" s="51"/>
    </row>
    <row r="6123">
      <c r="A6123" s="56">
        <v>6120.0</v>
      </c>
      <c r="B6123" s="71"/>
      <c r="C6123" s="69" t="s">
        <v>24477</v>
      </c>
      <c r="D6123" s="71"/>
      <c r="E6123" s="68" t="s">
        <v>24478</v>
      </c>
      <c r="F6123" s="76">
        <v>43617.0</v>
      </c>
      <c r="G6123" s="68" t="s">
        <v>24479</v>
      </c>
      <c r="H6123" s="71"/>
      <c r="I6123" s="71"/>
      <c r="J6123" s="68" t="s">
        <v>24480</v>
      </c>
      <c r="K6123" s="76">
        <v>43633.0</v>
      </c>
      <c r="L6123" s="68" t="s">
        <v>2743</v>
      </c>
      <c r="M6123" s="68" t="s">
        <v>403</v>
      </c>
      <c r="N6123" s="116"/>
      <c r="O6123" s="51"/>
    </row>
    <row r="6124">
      <c r="A6124" s="75">
        <v>6121.0</v>
      </c>
      <c r="B6124" s="71"/>
      <c r="C6124" s="69" t="s">
        <v>24481</v>
      </c>
      <c r="D6124" s="71"/>
      <c r="E6124" s="68" t="s">
        <v>24482</v>
      </c>
      <c r="F6124" s="76">
        <v>39966.0</v>
      </c>
      <c r="G6124" s="68" t="s">
        <v>24483</v>
      </c>
      <c r="H6124" s="71"/>
      <c r="I6124" s="68" t="s">
        <v>24484</v>
      </c>
      <c r="J6124" s="68" t="s">
        <v>24485</v>
      </c>
      <c r="K6124" s="76">
        <v>43633.0</v>
      </c>
      <c r="L6124" s="68" t="s">
        <v>2743</v>
      </c>
      <c r="M6124" s="68" t="s">
        <v>4749</v>
      </c>
      <c r="N6124" s="116"/>
      <c r="O6124" s="51"/>
    </row>
    <row r="6125">
      <c r="A6125" s="56">
        <v>6122.0</v>
      </c>
      <c r="B6125" s="71"/>
      <c r="C6125" s="69" t="s">
        <v>24486</v>
      </c>
      <c r="D6125" s="71"/>
      <c r="E6125" s="68" t="s">
        <v>24487</v>
      </c>
      <c r="F6125" s="76">
        <v>43510.0</v>
      </c>
      <c r="G6125" s="68" t="s">
        <v>24488</v>
      </c>
      <c r="H6125" s="71"/>
      <c r="I6125" s="71"/>
      <c r="J6125" s="68" t="s">
        <v>24489</v>
      </c>
      <c r="K6125" s="76">
        <v>43633.0</v>
      </c>
      <c r="L6125" s="68" t="s">
        <v>16447</v>
      </c>
      <c r="M6125" s="68" t="s">
        <v>2291</v>
      </c>
      <c r="N6125" s="116"/>
      <c r="O6125" s="51"/>
    </row>
    <row r="6126">
      <c r="A6126" s="56">
        <v>6123.0</v>
      </c>
      <c r="B6126" s="71"/>
      <c r="C6126" s="69" t="s">
        <v>24490</v>
      </c>
      <c r="D6126" s="71"/>
      <c r="E6126" s="68" t="s">
        <v>24491</v>
      </c>
      <c r="F6126" s="76">
        <v>43510.0</v>
      </c>
      <c r="G6126" s="68" t="s">
        <v>24488</v>
      </c>
      <c r="H6126" s="71"/>
      <c r="I6126" s="71"/>
      <c r="J6126" s="68" t="s">
        <v>24492</v>
      </c>
      <c r="K6126" s="76">
        <v>43633.0</v>
      </c>
      <c r="L6126" s="68" t="s">
        <v>16447</v>
      </c>
      <c r="M6126" s="68" t="s">
        <v>2291</v>
      </c>
      <c r="N6126" s="116"/>
      <c r="O6126" s="51"/>
    </row>
    <row r="6127">
      <c r="A6127" s="56">
        <v>6124.0</v>
      </c>
      <c r="B6127" s="71"/>
      <c r="C6127" s="69" t="s">
        <v>24493</v>
      </c>
      <c r="D6127" s="71"/>
      <c r="E6127" s="68" t="s">
        <v>24494</v>
      </c>
      <c r="F6127" s="76">
        <v>43510.0</v>
      </c>
      <c r="G6127" s="68" t="s">
        <v>24488</v>
      </c>
      <c r="H6127" s="71"/>
      <c r="I6127" s="71"/>
      <c r="J6127" s="87" t="s">
        <v>24495</v>
      </c>
      <c r="K6127" s="76">
        <v>43633.0</v>
      </c>
      <c r="L6127" s="68" t="s">
        <v>16447</v>
      </c>
      <c r="M6127" s="68" t="s">
        <v>2291</v>
      </c>
      <c r="N6127" s="116"/>
      <c r="O6127" s="51"/>
    </row>
    <row r="6128">
      <c r="A6128" s="56">
        <v>6125.0</v>
      </c>
      <c r="B6128" s="71"/>
      <c r="C6128" s="69" t="s">
        <v>24496</v>
      </c>
      <c r="D6128" s="71"/>
      <c r="E6128" s="68" t="s">
        <v>24497</v>
      </c>
      <c r="F6128" s="76">
        <v>42976.0</v>
      </c>
      <c r="G6128" s="68" t="s">
        <v>24498</v>
      </c>
      <c r="H6128" s="71"/>
      <c r="I6128" s="71"/>
      <c r="J6128" s="87" t="s">
        <v>24499</v>
      </c>
      <c r="K6128" s="76">
        <v>43633.0</v>
      </c>
      <c r="L6128" s="68" t="s">
        <v>2743</v>
      </c>
      <c r="M6128" s="68" t="s">
        <v>4749</v>
      </c>
      <c r="N6128" s="116"/>
      <c r="O6128" s="51"/>
    </row>
    <row r="6129">
      <c r="A6129" s="56">
        <v>6126.0</v>
      </c>
      <c r="B6129" s="71"/>
      <c r="C6129" s="79" t="s">
        <v>24500</v>
      </c>
      <c r="D6129" s="82"/>
      <c r="E6129" s="80" t="s">
        <v>24501</v>
      </c>
      <c r="F6129" s="98">
        <v>41955.0</v>
      </c>
      <c r="G6129" s="80" t="s">
        <v>24502</v>
      </c>
      <c r="H6129" s="82"/>
      <c r="I6129" s="82"/>
      <c r="J6129" s="63" t="s">
        <v>136</v>
      </c>
      <c r="K6129" s="81">
        <v>43633.0</v>
      </c>
      <c r="L6129" s="80" t="s">
        <v>2743</v>
      </c>
      <c r="M6129" s="80" t="s">
        <v>2291</v>
      </c>
      <c r="N6129" s="116"/>
      <c r="O6129" s="51"/>
    </row>
    <row r="6130">
      <c r="A6130" s="56">
        <v>6127.0</v>
      </c>
      <c r="B6130" s="71"/>
      <c r="C6130" s="79" t="s">
        <v>24503</v>
      </c>
      <c r="D6130" s="82"/>
      <c r="E6130" s="80" t="s">
        <v>24504</v>
      </c>
      <c r="F6130" s="81">
        <v>42186.0</v>
      </c>
      <c r="G6130" s="80" t="s">
        <v>24505</v>
      </c>
      <c r="H6130" s="80" t="s">
        <v>24506</v>
      </c>
      <c r="I6130" s="82"/>
      <c r="J6130" s="63" t="s">
        <v>136</v>
      </c>
      <c r="K6130" s="81">
        <v>43634.0</v>
      </c>
      <c r="L6130" s="80" t="s">
        <v>2743</v>
      </c>
      <c r="M6130" s="80" t="s">
        <v>166</v>
      </c>
      <c r="N6130" s="116"/>
      <c r="O6130" s="51"/>
    </row>
    <row r="6131">
      <c r="A6131" s="56">
        <v>6128.0</v>
      </c>
      <c r="B6131" s="71"/>
      <c r="C6131" s="69" t="s">
        <v>24507</v>
      </c>
      <c r="D6131" s="71"/>
      <c r="E6131" s="68" t="s">
        <v>24508</v>
      </c>
      <c r="F6131" s="76">
        <v>42186.0</v>
      </c>
      <c r="G6131" s="68" t="s">
        <v>24509</v>
      </c>
      <c r="H6131" s="68" t="s">
        <v>24510</v>
      </c>
      <c r="I6131" s="71"/>
      <c r="J6131" s="87" t="s">
        <v>24511</v>
      </c>
      <c r="K6131" s="76">
        <v>43635.0</v>
      </c>
      <c r="L6131" s="68" t="s">
        <v>2743</v>
      </c>
      <c r="M6131" s="68" t="s">
        <v>149</v>
      </c>
      <c r="N6131" s="116"/>
      <c r="O6131" s="51"/>
    </row>
    <row r="6132">
      <c r="A6132" s="56">
        <v>6129.0</v>
      </c>
      <c r="B6132" s="71"/>
      <c r="C6132" s="79" t="s">
        <v>24512</v>
      </c>
      <c r="D6132" s="82"/>
      <c r="E6132" s="80" t="s">
        <v>24513</v>
      </c>
      <c r="F6132" s="81">
        <v>41804.0</v>
      </c>
      <c r="G6132" s="80" t="s">
        <v>24514</v>
      </c>
      <c r="H6132" s="80" t="s">
        <v>24515</v>
      </c>
      <c r="I6132" s="80" t="s">
        <v>24516</v>
      </c>
      <c r="J6132" s="63" t="s">
        <v>136</v>
      </c>
      <c r="K6132" s="81">
        <v>43637.0</v>
      </c>
      <c r="L6132" s="80" t="s">
        <v>2743</v>
      </c>
      <c r="M6132" s="80" t="s">
        <v>282</v>
      </c>
      <c r="N6132" s="116"/>
      <c r="O6132" s="51"/>
    </row>
    <row r="6133">
      <c r="A6133" s="56">
        <v>6130.0</v>
      </c>
      <c r="B6133" s="71"/>
      <c r="C6133" s="79" t="s">
        <v>24517</v>
      </c>
      <c r="D6133" s="82"/>
      <c r="E6133" s="80" t="s">
        <v>24518</v>
      </c>
      <c r="F6133" s="81">
        <v>40817.0</v>
      </c>
      <c r="G6133" s="80" t="s">
        <v>24519</v>
      </c>
      <c r="H6133" s="80" t="s">
        <v>24520</v>
      </c>
      <c r="I6133" s="82"/>
      <c r="J6133" s="63" t="s">
        <v>136</v>
      </c>
      <c r="K6133" s="81">
        <v>43637.0</v>
      </c>
      <c r="L6133" s="80" t="s">
        <v>2743</v>
      </c>
      <c r="M6133" s="80" t="s">
        <v>530</v>
      </c>
      <c r="N6133" s="116"/>
      <c r="O6133" s="51"/>
    </row>
    <row r="6134">
      <c r="A6134" s="56">
        <v>6131.0</v>
      </c>
      <c r="B6134" s="71"/>
      <c r="C6134" s="69" t="s">
        <v>24521</v>
      </c>
      <c r="D6134" s="71"/>
      <c r="E6134" s="68" t="s">
        <v>22100</v>
      </c>
      <c r="F6134" s="76">
        <v>43619.0</v>
      </c>
      <c r="G6134" s="68" t="s">
        <v>24522</v>
      </c>
      <c r="H6134" s="68" t="s">
        <v>24523</v>
      </c>
      <c r="I6134" s="71"/>
      <c r="J6134" s="68" t="s">
        <v>24524</v>
      </c>
      <c r="K6134" s="76">
        <v>43638.0</v>
      </c>
      <c r="L6134" s="68" t="s">
        <v>2743</v>
      </c>
      <c r="M6134" s="68" t="s">
        <v>4273</v>
      </c>
      <c r="N6134" s="116"/>
      <c r="O6134" s="51"/>
    </row>
    <row r="6135">
      <c r="A6135" s="56">
        <v>6132.0</v>
      </c>
      <c r="B6135" s="71"/>
      <c r="C6135" s="69" t="s">
        <v>24525</v>
      </c>
      <c r="D6135" s="71"/>
      <c r="E6135" s="68" t="s">
        <v>24526</v>
      </c>
      <c r="F6135" s="76">
        <v>43435.0</v>
      </c>
      <c r="G6135" s="68" t="s">
        <v>24527</v>
      </c>
      <c r="H6135" s="71"/>
      <c r="I6135" s="71"/>
      <c r="J6135" s="87" t="s">
        <v>24528</v>
      </c>
      <c r="K6135" s="76">
        <v>43641.0</v>
      </c>
      <c r="L6135" s="68" t="s">
        <v>2743</v>
      </c>
      <c r="M6135" s="68" t="s">
        <v>23797</v>
      </c>
      <c r="N6135" s="116"/>
      <c r="O6135" s="51"/>
    </row>
    <row r="6136">
      <c r="A6136" s="56">
        <v>6133.0</v>
      </c>
      <c r="B6136" s="71"/>
      <c r="C6136" s="69" t="s">
        <v>24529</v>
      </c>
      <c r="D6136" s="71"/>
      <c r="E6136" s="68" t="s">
        <v>24530</v>
      </c>
      <c r="F6136" s="76">
        <v>39995.0</v>
      </c>
      <c r="G6136" s="68" t="s">
        <v>24531</v>
      </c>
      <c r="H6136" s="71"/>
      <c r="I6136" s="71"/>
      <c r="J6136" s="87" t="s">
        <v>24532</v>
      </c>
      <c r="K6136" s="76">
        <v>43641.0</v>
      </c>
      <c r="L6136" s="68" t="s">
        <v>2743</v>
      </c>
      <c r="M6136" s="68" t="s">
        <v>166</v>
      </c>
      <c r="N6136" s="116"/>
      <c r="O6136" s="51"/>
    </row>
    <row r="6137">
      <c r="A6137" s="75">
        <v>6134.0</v>
      </c>
      <c r="B6137" s="71"/>
      <c r="C6137" s="69" t="s">
        <v>24533</v>
      </c>
      <c r="D6137" s="71"/>
      <c r="E6137" s="68" t="s">
        <v>24534</v>
      </c>
      <c r="F6137" s="76">
        <v>40015.0</v>
      </c>
      <c r="G6137" s="68" t="s">
        <v>24535</v>
      </c>
      <c r="H6137" s="71"/>
      <c r="I6137" s="71"/>
      <c r="J6137" s="68" t="s">
        <v>24536</v>
      </c>
      <c r="K6137" s="76">
        <v>43643.0</v>
      </c>
      <c r="L6137" s="68" t="s">
        <v>2743</v>
      </c>
      <c r="M6137" s="68" t="s">
        <v>143</v>
      </c>
      <c r="N6137" s="116"/>
      <c r="O6137" s="51"/>
    </row>
    <row r="6138">
      <c r="A6138" s="56">
        <v>6135.0</v>
      </c>
      <c r="B6138" s="71"/>
      <c r="C6138" s="69" t="s">
        <v>24537</v>
      </c>
      <c r="D6138" s="71"/>
      <c r="E6138" s="68" t="s">
        <v>24538</v>
      </c>
      <c r="F6138" s="76">
        <v>43609.0</v>
      </c>
      <c r="G6138" s="68" t="s">
        <v>24539</v>
      </c>
      <c r="H6138" s="68" t="s">
        <v>24540</v>
      </c>
      <c r="I6138" s="71"/>
      <c r="J6138" s="68" t="s">
        <v>24541</v>
      </c>
      <c r="K6138" s="76">
        <v>43643.0</v>
      </c>
      <c r="L6138" s="68" t="s">
        <v>2743</v>
      </c>
      <c r="M6138" s="68" t="s">
        <v>1182</v>
      </c>
      <c r="N6138" s="87" t="s">
        <v>24542</v>
      </c>
      <c r="O6138" s="51"/>
    </row>
    <row r="6139">
      <c r="A6139" s="56">
        <v>6136.0</v>
      </c>
      <c r="B6139" s="71"/>
      <c r="C6139" s="79" t="s">
        <v>24543</v>
      </c>
      <c r="D6139" s="82"/>
      <c r="E6139" s="80" t="s">
        <v>24544</v>
      </c>
      <c r="F6139" s="98">
        <v>41997.0</v>
      </c>
      <c r="G6139" s="80" t="s">
        <v>24545</v>
      </c>
      <c r="H6139" s="82"/>
      <c r="I6139" s="80" t="s">
        <v>24546</v>
      </c>
      <c r="J6139" s="63" t="s">
        <v>136</v>
      </c>
      <c r="K6139" s="81">
        <v>43647.0</v>
      </c>
      <c r="L6139" s="80" t="s">
        <v>2743</v>
      </c>
      <c r="M6139" s="80" t="s">
        <v>368</v>
      </c>
      <c r="N6139" s="87" t="s">
        <v>24547</v>
      </c>
      <c r="O6139" s="51"/>
    </row>
    <row r="6140">
      <c r="A6140" s="56">
        <v>6137.0</v>
      </c>
      <c r="B6140" s="71"/>
      <c r="C6140" s="79" t="s">
        <v>24548</v>
      </c>
      <c r="D6140" s="82"/>
      <c r="E6140" s="80" t="s">
        <v>24549</v>
      </c>
      <c r="F6140" s="81">
        <v>43613.0</v>
      </c>
      <c r="G6140" s="80" t="s">
        <v>24550</v>
      </c>
      <c r="H6140" s="80" t="s">
        <v>24551</v>
      </c>
      <c r="I6140" s="80" t="s">
        <v>24552</v>
      </c>
      <c r="J6140" s="63" t="s">
        <v>136</v>
      </c>
      <c r="K6140" s="81">
        <v>43647.0</v>
      </c>
      <c r="L6140" s="80" t="s">
        <v>2743</v>
      </c>
      <c r="M6140" s="80" t="s">
        <v>3407</v>
      </c>
      <c r="N6140" s="116"/>
      <c r="O6140" s="51"/>
    </row>
    <row r="6141">
      <c r="A6141" s="75">
        <v>6138.0</v>
      </c>
      <c r="B6141" s="71"/>
      <c r="C6141" s="69" t="s">
        <v>24553</v>
      </c>
      <c r="D6141" s="71"/>
      <c r="E6141" s="68" t="s">
        <v>24554</v>
      </c>
      <c r="F6141" s="76">
        <v>42860.0</v>
      </c>
      <c r="G6141" s="68" t="s">
        <v>24555</v>
      </c>
      <c r="H6141" s="68" t="s">
        <v>24556</v>
      </c>
      <c r="I6141" s="71"/>
      <c r="J6141" s="68" t="s">
        <v>24557</v>
      </c>
      <c r="K6141" s="76">
        <v>43648.0</v>
      </c>
      <c r="L6141" s="68" t="s">
        <v>2743</v>
      </c>
      <c r="M6141" s="68" t="s">
        <v>149</v>
      </c>
      <c r="N6141" s="116"/>
      <c r="O6141" s="51"/>
    </row>
    <row r="6142">
      <c r="A6142" s="56">
        <v>6139.0</v>
      </c>
      <c r="B6142" s="71"/>
      <c r="C6142" s="69" t="s">
        <v>24558</v>
      </c>
      <c r="D6142" s="71"/>
      <c r="E6142" s="68" t="s">
        <v>24559</v>
      </c>
      <c r="F6142" s="76">
        <v>41797.0</v>
      </c>
      <c r="G6142" s="68" t="s">
        <v>24560</v>
      </c>
      <c r="H6142" s="68" t="s">
        <v>24561</v>
      </c>
      <c r="I6142" s="68" t="s">
        <v>24562</v>
      </c>
      <c r="J6142" s="87" t="s">
        <v>24563</v>
      </c>
      <c r="K6142" s="76">
        <v>43648.0</v>
      </c>
      <c r="L6142" s="68" t="s">
        <v>2743</v>
      </c>
      <c r="M6142" s="68" t="s">
        <v>2291</v>
      </c>
      <c r="N6142" s="116"/>
      <c r="O6142" s="51"/>
    </row>
    <row r="6143">
      <c r="A6143" s="75">
        <v>6140.0</v>
      </c>
      <c r="B6143" s="71"/>
      <c r="C6143" s="69" t="s">
        <v>24564</v>
      </c>
      <c r="D6143" s="71"/>
      <c r="E6143" s="68" t="s">
        <v>24565</v>
      </c>
      <c r="F6143" s="76">
        <v>41902.0</v>
      </c>
      <c r="G6143" s="68" t="s">
        <v>24566</v>
      </c>
      <c r="H6143" s="68" t="s">
        <v>24567</v>
      </c>
      <c r="I6143" s="71"/>
      <c r="J6143" s="68" t="s">
        <v>24568</v>
      </c>
      <c r="K6143" s="76">
        <v>43650.0</v>
      </c>
      <c r="L6143" s="68" t="s">
        <v>2743</v>
      </c>
      <c r="M6143" s="68" t="s">
        <v>23797</v>
      </c>
      <c r="N6143" s="116"/>
      <c r="O6143" s="51"/>
    </row>
    <row r="6144">
      <c r="A6144" s="56">
        <v>6141.0</v>
      </c>
      <c r="B6144" s="71"/>
      <c r="C6144" s="79" t="s">
        <v>24569</v>
      </c>
      <c r="D6144" s="82"/>
      <c r="E6144" s="80" t="s">
        <v>24570</v>
      </c>
      <c r="F6144" s="81">
        <v>39992.0</v>
      </c>
      <c r="G6144" s="80" t="s">
        <v>24571</v>
      </c>
      <c r="H6144" s="82"/>
      <c r="I6144" s="99" t="s">
        <v>24572</v>
      </c>
      <c r="J6144" s="63" t="s">
        <v>136</v>
      </c>
      <c r="K6144" s="81">
        <v>43651.0</v>
      </c>
      <c r="L6144" s="80" t="s">
        <v>2743</v>
      </c>
      <c r="M6144" s="80" t="s">
        <v>530</v>
      </c>
      <c r="N6144" s="116"/>
      <c r="O6144" s="51"/>
    </row>
    <row r="6145">
      <c r="A6145" s="75">
        <v>6142.0</v>
      </c>
      <c r="B6145" s="71"/>
      <c r="C6145" s="69" t="s">
        <v>24573</v>
      </c>
      <c r="D6145" s="71"/>
      <c r="E6145" s="68" t="s">
        <v>24574</v>
      </c>
      <c r="F6145" s="83">
        <v>43457.0</v>
      </c>
      <c r="G6145" s="68" t="s">
        <v>24575</v>
      </c>
      <c r="H6145" s="68" t="s">
        <v>24576</v>
      </c>
      <c r="I6145" s="71"/>
      <c r="J6145" s="68" t="s">
        <v>24577</v>
      </c>
      <c r="K6145" s="76">
        <v>43651.0</v>
      </c>
      <c r="L6145" s="68" t="s">
        <v>2743</v>
      </c>
      <c r="M6145" s="68" t="s">
        <v>166</v>
      </c>
      <c r="N6145" s="116"/>
      <c r="O6145" s="51"/>
    </row>
    <row r="6146">
      <c r="A6146" s="56">
        <v>6143.0</v>
      </c>
      <c r="B6146" s="71"/>
      <c r="C6146" s="69" t="s">
        <v>24578</v>
      </c>
      <c r="D6146" s="71"/>
      <c r="E6146" s="68" t="s">
        <v>24579</v>
      </c>
      <c r="F6146" s="76">
        <v>43633.0</v>
      </c>
      <c r="G6146" s="68" t="s">
        <v>24580</v>
      </c>
      <c r="H6146" s="68" t="s">
        <v>24581</v>
      </c>
      <c r="I6146" s="71"/>
      <c r="J6146" s="87" t="s">
        <v>24582</v>
      </c>
      <c r="K6146" s="76">
        <v>43651.0</v>
      </c>
      <c r="L6146" s="68" t="s">
        <v>2743</v>
      </c>
      <c r="M6146" s="68" t="s">
        <v>5712</v>
      </c>
      <c r="N6146" s="116"/>
      <c r="O6146" s="51"/>
    </row>
    <row r="6147">
      <c r="A6147" s="56">
        <v>6144.0</v>
      </c>
      <c r="B6147" s="71"/>
      <c r="C6147" s="69" t="s">
        <v>24583</v>
      </c>
      <c r="D6147" s="71"/>
      <c r="E6147" s="68" t="s">
        <v>24584</v>
      </c>
      <c r="F6147" s="76">
        <v>43633.0</v>
      </c>
      <c r="G6147" s="68" t="s">
        <v>24585</v>
      </c>
      <c r="H6147" s="68" t="s">
        <v>24586</v>
      </c>
      <c r="I6147" s="71"/>
      <c r="J6147" s="87" t="s">
        <v>24587</v>
      </c>
      <c r="K6147" s="76">
        <v>43651.0</v>
      </c>
      <c r="L6147" s="68" t="s">
        <v>2743</v>
      </c>
      <c r="M6147" s="68" t="s">
        <v>5712</v>
      </c>
      <c r="N6147" s="116"/>
      <c r="O6147" s="51"/>
    </row>
    <row r="6148">
      <c r="A6148" s="56">
        <v>6145.0</v>
      </c>
      <c r="B6148" s="71"/>
      <c r="C6148" s="69" t="s">
        <v>24588</v>
      </c>
      <c r="D6148" s="71"/>
      <c r="E6148" s="68" t="s">
        <v>24589</v>
      </c>
      <c r="F6148" s="76">
        <v>43647.0</v>
      </c>
      <c r="G6148" s="68" t="s">
        <v>24580</v>
      </c>
      <c r="H6148" s="71"/>
      <c r="I6148" s="71"/>
      <c r="J6148" s="87" t="s">
        <v>24590</v>
      </c>
      <c r="K6148" s="76">
        <v>43651.0</v>
      </c>
      <c r="L6148" s="68" t="s">
        <v>2743</v>
      </c>
      <c r="M6148" s="68" t="s">
        <v>149</v>
      </c>
      <c r="N6148" s="116"/>
      <c r="O6148" s="51"/>
    </row>
    <row r="6149">
      <c r="A6149" s="56">
        <v>6146.0</v>
      </c>
      <c r="B6149" s="71"/>
      <c r="C6149" s="69" t="s">
        <v>24591</v>
      </c>
      <c r="D6149" s="71"/>
      <c r="E6149" s="68" t="s">
        <v>24592</v>
      </c>
      <c r="F6149" s="76">
        <v>43574.0</v>
      </c>
      <c r="G6149" s="68" t="s">
        <v>24593</v>
      </c>
      <c r="H6149" s="71"/>
      <c r="I6149" s="71"/>
      <c r="J6149" s="68" t="s">
        <v>24594</v>
      </c>
      <c r="K6149" s="76">
        <v>43652.0</v>
      </c>
      <c r="L6149" s="68" t="s">
        <v>24595</v>
      </c>
      <c r="M6149" s="68" t="s">
        <v>166</v>
      </c>
      <c r="N6149" s="116"/>
      <c r="O6149" s="51"/>
    </row>
    <row r="6150">
      <c r="A6150" s="56">
        <v>6147.0</v>
      </c>
      <c r="B6150" s="71"/>
      <c r="C6150" s="69" t="s">
        <v>24596</v>
      </c>
      <c r="D6150" s="71"/>
      <c r="E6150" s="68" t="s">
        <v>24597</v>
      </c>
      <c r="F6150" s="76">
        <v>43574.0</v>
      </c>
      <c r="G6150" s="68" t="s">
        <v>24593</v>
      </c>
      <c r="H6150" s="71"/>
      <c r="I6150" s="71"/>
      <c r="J6150" s="87" t="s">
        <v>24598</v>
      </c>
      <c r="K6150" s="76">
        <v>43652.0</v>
      </c>
      <c r="L6150" s="68" t="s">
        <v>24595</v>
      </c>
      <c r="M6150" s="68" t="s">
        <v>27</v>
      </c>
      <c r="N6150" s="116"/>
      <c r="O6150" s="51"/>
    </row>
    <row r="6151">
      <c r="A6151" s="56">
        <v>6148.0</v>
      </c>
      <c r="B6151" s="71"/>
      <c r="C6151" s="69" t="s">
        <v>24599</v>
      </c>
      <c r="D6151" s="71"/>
      <c r="E6151" s="68" t="s">
        <v>24600</v>
      </c>
      <c r="F6151" s="76">
        <v>43574.0</v>
      </c>
      <c r="G6151" s="68" t="s">
        <v>24593</v>
      </c>
      <c r="H6151" s="71"/>
      <c r="I6151" s="71"/>
      <c r="J6151" s="68" t="s">
        <v>24594</v>
      </c>
      <c r="K6151" s="76">
        <v>43652.0</v>
      </c>
      <c r="L6151" s="68" t="s">
        <v>24595</v>
      </c>
      <c r="M6151" s="68" t="s">
        <v>166</v>
      </c>
      <c r="N6151" s="116"/>
      <c r="O6151" s="51"/>
    </row>
    <row r="6152">
      <c r="A6152" s="56">
        <v>6149.0</v>
      </c>
      <c r="B6152" s="71"/>
      <c r="C6152" s="79" t="s">
        <v>24601</v>
      </c>
      <c r="D6152" s="82"/>
      <c r="E6152" s="80" t="s">
        <v>24602</v>
      </c>
      <c r="F6152" s="81">
        <v>39695.0</v>
      </c>
      <c r="G6152" s="80" t="s">
        <v>24603</v>
      </c>
      <c r="H6152" s="82"/>
      <c r="I6152" s="80" t="s">
        <v>24604</v>
      </c>
      <c r="J6152" s="63" t="s">
        <v>136</v>
      </c>
      <c r="K6152" s="81">
        <v>43652.0</v>
      </c>
      <c r="L6152" s="80" t="s">
        <v>2743</v>
      </c>
      <c r="M6152" s="80" t="s">
        <v>542</v>
      </c>
      <c r="N6152" s="116"/>
      <c r="O6152" s="51"/>
    </row>
    <row r="6153">
      <c r="A6153" s="56">
        <v>6150.0</v>
      </c>
      <c r="B6153" s="71"/>
      <c r="C6153" s="69" t="s">
        <v>24605</v>
      </c>
      <c r="D6153" s="71"/>
      <c r="E6153" s="68" t="s">
        <v>24606</v>
      </c>
      <c r="F6153" s="76">
        <v>43528.0</v>
      </c>
      <c r="G6153" s="68" t="s">
        <v>24607</v>
      </c>
      <c r="H6153" s="68" t="s">
        <v>24608</v>
      </c>
      <c r="I6153" s="71"/>
      <c r="J6153" s="87" t="s">
        <v>24609</v>
      </c>
      <c r="K6153" s="76">
        <v>43652.0</v>
      </c>
      <c r="L6153" s="68" t="s">
        <v>16185</v>
      </c>
      <c r="M6153" s="68" t="s">
        <v>2318</v>
      </c>
      <c r="N6153" s="116"/>
      <c r="O6153" s="51"/>
    </row>
    <row r="6154">
      <c r="A6154" s="56">
        <v>6151.0</v>
      </c>
      <c r="B6154" s="71"/>
      <c r="C6154" s="69" t="s">
        <v>24610</v>
      </c>
      <c r="D6154" s="71"/>
      <c r="E6154" s="68" t="s">
        <v>24611</v>
      </c>
      <c r="F6154" s="76">
        <v>43528.0</v>
      </c>
      <c r="G6154" s="68" t="s">
        <v>24612</v>
      </c>
      <c r="H6154" s="71"/>
      <c r="I6154" s="68" t="s">
        <v>24613</v>
      </c>
      <c r="J6154" s="87" t="s">
        <v>24614</v>
      </c>
      <c r="K6154" s="76">
        <v>43652.0</v>
      </c>
      <c r="L6154" s="68" t="s">
        <v>16185</v>
      </c>
      <c r="M6154" s="68" t="s">
        <v>17303</v>
      </c>
      <c r="N6154" s="87" t="s">
        <v>24615</v>
      </c>
      <c r="O6154" s="51"/>
    </row>
    <row r="6155">
      <c r="A6155" s="56">
        <v>6152.0</v>
      </c>
      <c r="B6155" s="71"/>
      <c r="C6155" s="69" t="s">
        <v>24616</v>
      </c>
      <c r="D6155" s="71"/>
      <c r="E6155" s="68" t="s">
        <v>24617</v>
      </c>
      <c r="F6155" s="76">
        <v>43502.0</v>
      </c>
      <c r="G6155" s="68" t="s">
        <v>24618</v>
      </c>
      <c r="H6155" s="71"/>
      <c r="I6155" s="71"/>
      <c r="J6155" s="87" t="s">
        <v>24619</v>
      </c>
      <c r="K6155" s="76">
        <v>43654.0</v>
      </c>
      <c r="L6155" s="68" t="s">
        <v>16185</v>
      </c>
      <c r="M6155" s="68" t="s">
        <v>143</v>
      </c>
      <c r="N6155" s="116"/>
      <c r="O6155" s="51"/>
    </row>
    <row r="6156">
      <c r="A6156" s="56">
        <v>6153.0</v>
      </c>
      <c r="B6156" s="71"/>
      <c r="C6156" s="69" t="s">
        <v>24620</v>
      </c>
      <c r="D6156" s="71"/>
      <c r="E6156" s="68" t="s">
        <v>1877</v>
      </c>
      <c r="F6156" s="76">
        <v>43502.0</v>
      </c>
      <c r="G6156" s="68" t="s">
        <v>24618</v>
      </c>
      <c r="H6156" s="71"/>
      <c r="I6156" s="71"/>
      <c r="J6156" s="87" t="s">
        <v>24621</v>
      </c>
      <c r="K6156" s="76">
        <v>43654.0</v>
      </c>
      <c r="L6156" s="68" t="s">
        <v>16185</v>
      </c>
      <c r="M6156" s="68" t="s">
        <v>143</v>
      </c>
      <c r="N6156" s="116"/>
      <c r="O6156" s="51"/>
    </row>
    <row r="6157">
      <c r="A6157" s="56">
        <v>6154.0</v>
      </c>
      <c r="B6157" s="71"/>
      <c r="C6157" s="79" t="s">
        <v>24622</v>
      </c>
      <c r="D6157" s="82"/>
      <c r="E6157" s="80" t="s">
        <v>24623</v>
      </c>
      <c r="F6157" s="81">
        <v>42402.0</v>
      </c>
      <c r="G6157" s="80" t="s">
        <v>24624</v>
      </c>
      <c r="H6157" s="80" t="s">
        <v>439</v>
      </c>
      <c r="I6157" s="82"/>
      <c r="J6157" s="63" t="s">
        <v>136</v>
      </c>
      <c r="K6157" s="81">
        <v>43657.0</v>
      </c>
      <c r="L6157" s="80" t="s">
        <v>2743</v>
      </c>
      <c r="M6157" s="80" t="s">
        <v>6875</v>
      </c>
      <c r="N6157" s="116"/>
      <c r="O6157" s="51"/>
    </row>
    <row r="6158">
      <c r="A6158" s="56">
        <v>6155.0</v>
      </c>
      <c r="B6158" s="71"/>
      <c r="C6158" s="79" t="s">
        <v>24625</v>
      </c>
      <c r="D6158" s="82"/>
      <c r="E6158" s="80" t="s">
        <v>24626</v>
      </c>
      <c r="F6158" s="81">
        <v>39995.0</v>
      </c>
      <c r="G6158" s="80" t="s">
        <v>24627</v>
      </c>
      <c r="H6158" s="80" t="s">
        <v>24628</v>
      </c>
      <c r="I6158" s="80" t="s">
        <v>24629</v>
      </c>
      <c r="J6158" s="63" t="s">
        <v>136</v>
      </c>
      <c r="K6158" s="81">
        <v>43657.0</v>
      </c>
      <c r="L6158" s="80" t="s">
        <v>2743</v>
      </c>
      <c r="M6158" s="80" t="s">
        <v>530</v>
      </c>
      <c r="N6158" s="116"/>
      <c r="O6158" s="51"/>
    </row>
    <row r="6159">
      <c r="A6159" s="56">
        <v>6156.0</v>
      </c>
      <c r="B6159" s="71"/>
      <c r="C6159" s="69" t="s">
        <v>24630</v>
      </c>
      <c r="D6159" s="71"/>
      <c r="E6159" s="68" t="s">
        <v>24631</v>
      </c>
      <c r="F6159" s="76">
        <v>43581.0</v>
      </c>
      <c r="G6159" s="68" t="s">
        <v>24632</v>
      </c>
      <c r="H6159" s="68" t="s">
        <v>24633</v>
      </c>
      <c r="I6159" s="71"/>
      <c r="J6159" s="87" t="s">
        <v>24634</v>
      </c>
      <c r="K6159" s="76">
        <v>43657.0</v>
      </c>
      <c r="L6159" s="68" t="s">
        <v>2743</v>
      </c>
      <c r="M6159" s="68" t="s">
        <v>27</v>
      </c>
      <c r="N6159" s="116"/>
      <c r="O6159" s="51"/>
    </row>
    <row r="6160">
      <c r="A6160" s="56">
        <v>6157.0</v>
      </c>
      <c r="B6160" s="71"/>
      <c r="C6160" s="69" t="s">
        <v>24635</v>
      </c>
      <c r="D6160" s="71"/>
      <c r="E6160" s="68" t="s">
        <v>24636</v>
      </c>
      <c r="F6160" s="76">
        <v>43581.0</v>
      </c>
      <c r="G6160" s="68" t="s">
        <v>24637</v>
      </c>
      <c r="H6160" s="68" t="s">
        <v>24638</v>
      </c>
      <c r="I6160" s="71"/>
      <c r="J6160" s="68" t="s">
        <v>24639</v>
      </c>
      <c r="K6160" s="76">
        <v>43657.0</v>
      </c>
      <c r="L6160" s="68" t="s">
        <v>2743</v>
      </c>
      <c r="M6160" s="68" t="s">
        <v>27</v>
      </c>
      <c r="N6160" s="116"/>
      <c r="O6160" s="51"/>
    </row>
    <row r="6161">
      <c r="A6161" s="56">
        <v>6158.0</v>
      </c>
      <c r="B6161" s="71"/>
      <c r="C6161" s="79" t="s">
        <v>24640</v>
      </c>
      <c r="D6161" s="82"/>
      <c r="E6161" s="80" t="s">
        <v>24641</v>
      </c>
      <c r="F6161" s="81">
        <v>42781.0</v>
      </c>
      <c r="G6161" s="80" t="s">
        <v>24642</v>
      </c>
      <c r="H6161" s="80" t="s">
        <v>24643</v>
      </c>
      <c r="I6161" s="80" t="s">
        <v>24644</v>
      </c>
      <c r="J6161" s="63" t="s">
        <v>136</v>
      </c>
      <c r="K6161" s="81">
        <v>43657.0</v>
      </c>
      <c r="L6161" s="80" t="s">
        <v>2743</v>
      </c>
      <c r="M6161" s="80" t="s">
        <v>18576</v>
      </c>
      <c r="N6161" s="116"/>
      <c r="O6161" s="51"/>
    </row>
    <row r="6162">
      <c r="A6162" s="56">
        <v>6159.0</v>
      </c>
      <c r="B6162" s="71"/>
      <c r="C6162" s="79" t="s">
        <v>24645</v>
      </c>
      <c r="D6162" s="82"/>
      <c r="E6162" s="80" t="s">
        <v>24646</v>
      </c>
      <c r="F6162" s="81">
        <v>42241.0</v>
      </c>
      <c r="G6162" s="80" t="s">
        <v>24647</v>
      </c>
      <c r="H6162" s="80" t="s">
        <v>24648</v>
      </c>
      <c r="I6162" s="82"/>
      <c r="J6162" s="63" t="s">
        <v>136</v>
      </c>
      <c r="K6162" s="81">
        <v>43657.0</v>
      </c>
      <c r="L6162" s="80" t="s">
        <v>2743</v>
      </c>
      <c r="M6162" s="80" t="s">
        <v>195</v>
      </c>
      <c r="N6162" s="116"/>
      <c r="O6162" s="51"/>
    </row>
    <row r="6163">
      <c r="A6163" s="56">
        <v>6160.0</v>
      </c>
      <c r="B6163" s="71"/>
      <c r="C6163" s="69" t="s">
        <v>24649</v>
      </c>
      <c r="D6163" s="71"/>
      <c r="E6163" s="68" t="s">
        <v>24650</v>
      </c>
      <c r="F6163" s="76">
        <v>43649.0</v>
      </c>
      <c r="G6163" s="68" t="s">
        <v>24651</v>
      </c>
      <c r="H6163" s="71"/>
      <c r="I6163" s="71"/>
      <c r="J6163" s="87" t="s">
        <v>24652</v>
      </c>
      <c r="K6163" s="76">
        <v>43658.0</v>
      </c>
      <c r="L6163" s="68" t="s">
        <v>2743</v>
      </c>
      <c r="M6163" s="68" t="s">
        <v>2263</v>
      </c>
      <c r="N6163" s="116"/>
      <c r="O6163" s="51"/>
    </row>
    <row r="6164">
      <c r="A6164" s="56">
        <v>6161.0</v>
      </c>
      <c r="B6164" s="71"/>
      <c r="C6164" s="69" t="s">
        <v>24653</v>
      </c>
      <c r="D6164" s="71"/>
      <c r="E6164" s="68" t="s">
        <v>17958</v>
      </c>
      <c r="F6164" s="76">
        <v>43599.0</v>
      </c>
      <c r="G6164" s="68" t="s">
        <v>24654</v>
      </c>
      <c r="H6164" s="68" t="s">
        <v>24655</v>
      </c>
      <c r="I6164" s="71"/>
      <c r="J6164" s="68" t="s">
        <v>24656</v>
      </c>
      <c r="K6164" s="76">
        <v>43658.0</v>
      </c>
      <c r="L6164" s="68" t="s">
        <v>2743</v>
      </c>
      <c r="M6164" s="68" t="s">
        <v>1435</v>
      </c>
      <c r="N6164" s="116"/>
      <c r="O6164" s="51"/>
    </row>
    <row r="6165">
      <c r="A6165" s="56">
        <v>6162.0</v>
      </c>
      <c r="B6165" s="71"/>
      <c r="C6165" s="79" t="s">
        <v>24657</v>
      </c>
      <c r="D6165" s="82"/>
      <c r="E6165" s="80" t="s">
        <v>24658</v>
      </c>
      <c r="F6165" s="81">
        <v>41456.0</v>
      </c>
      <c r="G6165" s="80" t="s">
        <v>24659</v>
      </c>
      <c r="H6165" s="82"/>
      <c r="I6165" s="82"/>
      <c r="J6165" s="63" t="s">
        <v>136</v>
      </c>
      <c r="K6165" s="81">
        <v>43658.0</v>
      </c>
      <c r="L6165" s="80" t="s">
        <v>2743</v>
      </c>
      <c r="M6165" s="80" t="s">
        <v>125</v>
      </c>
      <c r="N6165" s="116"/>
      <c r="O6165" s="51"/>
    </row>
    <row r="6166">
      <c r="A6166" s="56">
        <v>6163.0</v>
      </c>
      <c r="B6166" s="71"/>
      <c r="C6166" s="79" t="s">
        <v>24660</v>
      </c>
      <c r="D6166" s="82"/>
      <c r="E6166" s="80" t="s">
        <v>24661</v>
      </c>
      <c r="F6166" s="81">
        <v>43483.0</v>
      </c>
      <c r="G6166" s="80" t="s">
        <v>24662</v>
      </c>
      <c r="H6166" s="80" t="s">
        <v>24663</v>
      </c>
      <c r="I6166" s="80" t="s">
        <v>24664</v>
      </c>
      <c r="J6166" s="63" t="s">
        <v>136</v>
      </c>
      <c r="K6166" s="81">
        <v>43658.0</v>
      </c>
      <c r="L6166" s="80" t="s">
        <v>2743</v>
      </c>
      <c r="M6166" s="80" t="s">
        <v>166</v>
      </c>
      <c r="N6166" s="116"/>
      <c r="O6166" s="51"/>
    </row>
    <row r="6167">
      <c r="A6167" s="75">
        <v>6164.0</v>
      </c>
      <c r="B6167" s="71"/>
      <c r="C6167" s="69" t="s">
        <v>24665</v>
      </c>
      <c r="D6167" s="71"/>
      <c r="E6167" s="68" t="s">
        <v>24666</v>
      </c>
      <c r="F6167" s="76">
        <v>41514.0</v>
      </c>
      <c r="G6167" s="68" t="s">
        <v>24667</v>
      </c>
      <c r="H6167" s="68" t="s">
        <v>24668</v>
      </c>
      <c r="I6167" s="71"/>
      <c r="J6167" s="68" t="s">
        <v>24669</v>
      </c>
      <c r="K6167" s="76">
        <v>43658.0</v>
      </c>
      <c r="L6167" s="68" t="s">
        <v>2743</v>
      </c>
      <c r="M6167" s="68" t="s">
        <v>27</v>
      </c>
      <c r="N6167" s="116"/>
      <c r="O6167" s="51"/>
    </row>
    <row r="6168">
      <c r="A6168" s="56">
        <v>6165.0</v>
      </c>
      <c r="B6168" s="71"/>
      <c r="C6168" s="69" t="s">
        <v>24670</v>
      </c>
      <c r="D6168" s="71"/>
      <c r="E6168" s="68" t="s">
        <v>24671</v>
      </c>
      <c r="F6168" s="76">
        <v>43231.0</v>
      </c>
      <c r="G6168" s="68" t="s">
        <v>24672</v>
      </c>
      <c r="H6168" s="71"/>
      <c r="I6168" s="71"/>
      <c r="J6168" s="87" t="s">
        <v>24673</v>
      </c>
      <c r="K6168" s="76">
        <v>43659.0</v>
      </c>
      <c r="L6168" s="68" t="s">
        <v>2743</v>
      </c>
      <c r="M6168" s="68" t="s">
        <v>2989</v>
      </c>
      <c r="N6168" s="116"/>
      <c r="O6168" s="51"/>
    </row>
    <row r="6169">
      <c r="A6169" s="56">
        <v>6166.0</v>
      </c>
      <c r="B6169" s="71"/>
      <c r="C6169" s="69" t="s">
        <v>24674</v>
      </c>
      <c r="D6169" s="71"/>
      <c r="E6169" s="68" t="s">
        <v>24675</v>
      </c>
      <c r="F6169" s="76">
        <v>43636.0</v>
      </c>
      <c r="G6169" s="68" t="s">
        <v>24676</v>
      </c>
      <c r="H6169" s="71"/>
      <c r="I6169" s="68" t="s">
        <v>24677</v>
      </c>
      <c r="J6169" s="68" t="s">
        <v>24678</v>
      </c>
      <c r="K6169" s="76">
        <v>43659.0</v>
      </c>
      <c r="L6169" s="68" t="s">
        <v>2743</v>
      </c>
      <c r="M6169" s="68" t="s">
        <v>125</v>
      </c>
      <c r="N6169" s="116"/>
      <c r="O6169" s="51"/>
    </row>
    <row r="6170">
      <c r="A6170" s="56">
        <v>6167.0</v>
      </c>
      <c r="B6170" s="71"/>
      <c r="C6170" s="79" t="s">
        <v>24679</v>
      </c>
      <c r="D6170" s="82"/>
      <c r="E6170" s="80" t="s">
        <v>24680</v>
      </c>
      <c r="F6170" s="70">
        <v>40211.0</v>
      </c>
      <c r="G6170" s="80" t="s">
        <v>24681</v>
      </c>
      <c r="H6170" s="82"/>
      <c r="I6170" s="82"/>
      <c r="J6170" s="63" t="s">
        <v>136</v>
      </c>
      <c r="K6170" s="81">
        <v>43659.0</v>
      </c>
      <c r="L6170" s="80" t="s">
        <v>2743</v>
      </c>
      <c r="M6170" s="80" t="s">
        <v>4749</v>
      </c>
      <c r="N6170" s="116"/>
      <c r="O6170" s="51"/>
    </row>
    <row r="6171">
      <c r="A6171" s="75">
        <v>6168.0</v>
      </c>
      <c r="B6171" s="71"/>
      <c r="C6171" s="69" t="s">
        <v>24682</v>
      </c>
      <c r="D6171" s="71"/>
      <c r="E6171" s="68" t="s">
        <v>24683</v>
      </c>
      <c r="F6171" s="76">
        <v>43232.0</v>
      </c>
      <c r="G6171" s="68" t="s">
        <v>24684</v>
      </c>
      <c r="H6171" s="68" t="s">
        <v>24685</v>
      </c>
      <c r="I6171" s="71"/>
      <c r="J6171" s="68" t="s">
        <v>24686</v>
      </c>
      <c r="K6171" s="76">
        <v>43659.0</v>
      </c>
      <c r="L6171" s="68" t="s">
        <v>2743</v>
      </c>
      <c r="M6171" s="68" t="s">
        <v>27</v>
      </c>
      <c r="N6171" s="116"/>
      <c r="O6171" s="51"/>
    </row>
    <row r="6172">
      <c r="A6172" s="75">
        <v>6169.0</v>
      </c>
      <c r="B6172" s="71"/>
      <c r="C6172" s="69" t="s">
        <v>24687</v>
      </c>
      <c r="D6172" s="71"/>
      <c r="E6172" s="68" t="s">
        <v>24688</v>
      </c>
      <c r="F6172" s="76">
        <v>43581.0</v>
      </c>
      <c r="G6172" s="68" t="s">
        <v>24689</v>
      </c>
      <c r="H6172" s="71"/>
      <c r="I6172" s="71"/>
      <c r="J6172" s="68" t="s">
        <v>24690</v>
      </c>
      <c r="K6172" s="76">
        <v>43663.0</v>
      </c>
      <c r="L6172" s="68" t="s">
        <v>2743</v>
      </c>
      <c r="M6172" s="68" t="s">
        <v>195</v>
      </c>
      <c r="N6172" s="116"/>
      <c r="O6172" s="51"/>
    </row>
    <row r="6173">
      <c r="A6173" s="56">
        <v>6170.0</v>
      </c>
      <c r="B6173" s="71"/>
      <c r="C6173" s="69" t="s">
        <v>24691</v>
      </c>
      <c r="D6173" s="71"/>
      <c r="E6173" s="68" t="s">
        <v>24692</v>
      </c>
      <c r="F6173" s="76">
        <v>43644.0</v>
      </c>
      <c r="G6173" s="68" t="s">
        <v>24693</v>
      </c>
      <c r="H6173" s="68" t="s">
        <v>24694</v>
      </c>
      <c r="I6173" s="71"/>
      <c r="J6173" s="68" t="s">
        <v>24695</v>
      </c>
      <c r="K6173" s="76">
        <v>43663.0</v>
      </c>
      <c r="L6173" s="68" t="s">
        <v>2743</v>
      </c>
      <c r="M6173" s="68" t="s">
        <v>31</v>
      </c>
      <c r="N6173" s="116"/>
      <c r="O6173" s="51"/>
    </row>
    <row r="6174">
      <c r="A6174" s="75">
        <v>6171.0</v>
      </c>
      <c r="B6174" s="71"/>
      <c r="C6174" s="69" t="s">
        <v>24696</v>
      </c>
      <c r="D6174" s="71"/>
      <c r="E6174" s="68" t="s">
        <v>24697</v>
      </c>
      <c r="F6174" s="76">
        <v>42232.0</v>
      </c>
      <c r="G6174" s="68" t="s">
        <v>24698</v>
      </c>
      <c r="H6174" s="68" t="s">
        <v>24699</v>
      </c>
      <c r="I6174" s="68" t="s">
        <v>24700</v>
      </c>
      <c r="J6174" s="68" t="s">
        <v>24701</v>
      </c>
      <c r="K6174" s="76">
        <v>43663.0</v>
      </c>
      <c r="L6174" s="68" t="s">
        <v>2743</v>
      </c>
      <c r="M6174" s="68" t="s">
        <v>125</v>
      </c>
      <c r="N6174" s="116"/>
      <c r="O6174" s="51"/>
    </row>
    <row r="6175">
      <c r="A6175" s="56">
        <v>6172.0</v>
      </c>
      <c r="B6175" s="71"/>
      <c r="C6175" s="69" t="s">
        <v>24702</v>
      </c>
      <c r="D6175" s="71"/>
      <c r="E6175" s="68" t="s">
        <v>24703</v>
      </c>
      <c r="F6175" s="76">
        <v>43441.0</v>
      </c>
      <c r="G6175" s="68" t="s">
        <v>24704</v>
      </c>
      <c r="H6175" s="68" t="s">
        <v>24705</v>
      </c>
      <c r="I6175" s="68" t="s">
        <v>24706</v>
      </c>
      <c r="J6175" s="68" t="s">
        <v>24707</v>
      </c>
      <c r="K6175" s="76">
        <v>43663.0</v>
      </c>
      <c r="L6175" s="68" t="s">
        <v>2743</v>
      </c>
      <c r="M6175" s="68" t="s">
        <v>282</v>
      </c>
      <c r="N6175" s="116"/>
      <c r="O6175" s="51"/>
    </row>
    <row r="6176">
      <c r="A6176" s="56">
        <v>6173.0</v>
      </c>
      <c r="B6176" s="71"/>
      <c r="C6176" s="69" t="s">
        <v>24708</v>
      </c>
      <c r="D6176" s="71"/>
      <c r="E6176" s="68" t="s">
        <v>24709</v>
      </c>
      <c r="F6176" s="76">
        <v>43517.0</v>
      </c>
      <c r="G6176" s="68" t="s">
        <v>24710</v>
      </c>
      <c r="H6176" s="68" t="s">
        <v>24711</v>
      </c>
      <c r="I6176" s="71"/>
      <c r="J6176" s="68" t="s">
        <v>24712</v>
      </c>
      <c r="K6176" s="76">
        <v>43669.0</v>
      </c>
      <c r="L6176" s="68" t="s">
        <v>14256</v>
      </c>
      <c r="M6176" s="68" t="s">
        <v>166</v>
      </c>
      <c r="N6176" s="116"/>
      <c r="O6176" s="51"/>
    </row>
    <row r="6177">
      <c r="A6177" s="56">
        <v>6174.0</v>
      </c>
      <c r="B6177" s="71"/>
      <c r="C6177" s="69" t="s">
        <v>24713</v>
      </c>
      <c r="D6177" s="71"/>
      <c r="E6177" s="68" t="s">
        <v>24714</v>
      </c>
      <c r="F6177" s="76">
        <v>43519.0</v>
      </c>
      <c r="G6177" s="68" t="s">
        <v>24715</v>
      </c>
      <c r="H6177" s="68" t="s">
        <v>24716</v>
      </c>
      <c r="I6177" s="71"/>
      <c r="J6177" s="68" t="s">
        <v>24717</v>
      </c>
      <c r="K6177" s="76">
        <v>43669.0</v>
      </c>
      <c r="L6177" s="68" t="s">
        <v>14256</v>
      </c>
      <c r="M6177" s="68" t="s">
        <v>166</v>
      </c>
      <c r="N6177" s="116"/>
      <c r="O6177" s="51"/>
    </row>
    <row r="6178">
      <c r="A6178" s="56">
        <v>6175.0</v>
      </c>
      <c r="B6178" s="71"/>
      <c r="C6178" s="69" t="s">
        <v>24718</v>
      </c>
      <c r="D6178" s="71"/>
      <c r="E6178" s="68" t="s">
        <v>24719</v>
      </c>
      <c r="F6178" s="76">
        <v>43512.0</v>
      </c>
      <c r="G6178" s="68" t="s">
        <v>24720</v>
      </c>
      <c r="H6178" s="68" t="s">
        <v>24721</v>
      </c>
      <c r="I6178" s="71"/>
      <c r="J6178" s="87" t="s">
        <v>24722</v>
      </c>
      <c r="K6178" s="76">
        <v>43669.0</v>
      </c>
      <c r="L6178" s="68" t="s">
        <v>14256</v>
      </c>
      <c r="M6178" s="68" t="s">
        <v>166</v>
      </c>
      <c r="N6178" s="116"/>
      <c r="O6178" s="51"/>
    </row>
    <row r="6179">
      <c r="A6179" s="56">
        <v>6176.0</v>
      </c>
      <c r="B6179" s="71"/>
      <c r="C6179" s="69" t="s">
        <v>24723</v>
      </c>
      <c r="D6179" s="71"/>
      <c r="E6179" s="68" t="s">
        <v>24724</v>
      </c>
      <c r="F6179" s="83">
        <v>43464.0</v>
      </c>
      <c r="G6179" s="68" t="s">
        <v>24725</v>
      </c>
      <c r="H6179" s="68" t="s">
        <v>24726</v>
      </c>
      <c r="I6179" s="71"/>
      <c r="J6179" s="68" t="s">
        <v>24727</v>
      </c>
      <c r="K6179" s="76">
        <v>43669.0</v>
      </c>
      <c r="L6179" s="68" t="s">
        <v>14256</v>
      </c>
      <c r="M6179" s="68" t="s">
        <v>166</v>
      </c>
      <c r="N6179" s="116"/>
      <c r="O6179" s="51"/>
    </row>
    <row r="6180">
      <c r="A6180" s="56">
        <v>6177.0</v>
      </c>
      <c r="B6180" s="71"/>
      <c r="C6180" s="69" t="s">
        <v>24728</v>
      </c>
      <c r="D6180" s="71"/>
      <c r="E6180" s="68" t="s">
        <v>24729</v>
      </c>
      <c r="F6180" s="76">
        <v>43487.0</v>
      </c>
      <c r="G6180" s="68" t="s">
        <v>24730</v>
      </c>
      <c r="H6180" s="68" t="s">
        <v>24731</v>
      </c>
      <c r="I6180" s="71"/>
      <c r="J6180" s="87" t="s">
        <v>24732</v>
      </c>
      <c r="K6180" s="76">
        <v>43669.0</v>
      </c>
      <c r="L6180" s="68" t="s">
        <v>14256</v>
      </c>
      <c r="M6180" s="68" t="s">
        <v>27</v>
      </c>
      <c r="N6180" s="116"/>
      <c r="O6180" s="51"/>
    </row>
    <row r="6181">
      <c r="A6181" s="56">
        <v>6178.0</v>
      </c>
      <c r="B6181" s="71"/>
      <c r="C6181" s="69" t="s">
        <v>24733</v>
      </c>
      <c r="D6181" s="71"/>
      <c r="E6181" s="68" t="s">
        <v>24734</v>
      </c>
      <c r="F6181" s="76">
        <v>43487.0</v>
      </c>
      <c r="G6181" s="68" t="s">
        <v>24730</v>
      </c>
      <c r="H6181" s="68" t="s">
        <v>24735</v>
      </c>
      <c r="I6181" s="71"/>
      <c r="J6181" s="87" t="s">
        <v>24736</v>
      </c>
      <c r="K6181" s="76">
        <v>43669.0</v>
      </c>
      <c r="L6181" s="68" t="s">
        <v>14256</v>
      </c>
      <c r="M6181" s="68" t="s">
        <v>27</v>
      </c>
      <c r="N6181" s="116"/>
      <c r="O6181" s="51"/>
    </row>
    <row r="6182">
      <c r="A6182" s="56">
        <v>6179.0</v>
      </c>
      <c r="B6182" s="71"/>
      <c r="C6182" s="79" t="s">
        <v>24737</v>
      </c>
      <c r="D6182" s="82"/>
      <c r="E6182" s="80" t="s">
        <v>24738</v>
      </c>
      <c r="F6182" s="81">
        <v>43475.0</v>
      </c>
      <c r="G6182" s="80" t="s">
        <v>24739</v>
      </c>
      <c r="H6182" s="82"/>
      <c r="I6182" s="82"/>
      <c r="J6182" s="63" t="s">
        <v>136</v>
      </c>
      <c r="K6182" s="81">
        <v>43669.0</v>
      </c>
      <c r="L6182" s="80" t="s">
        <v>14256</v>
      </c>
      <c r="M6182" s="80" t="s">
        <v>27</v>
      </c>
      <c r="N6182" s="116"/>
      <c r="O6182" s="51"/>
    </row>
    <row r="6183">
      <c r="A6183" s="75">
        <v>6180.0</v>
      </c>
      <c r="B6183" s="71"/>
      <c r="C6183" s="69" t="s">
        <v>24740</v>
      </c>
      <c r="D6183" s="71"/>
      <c r="E6183" s="68" t="s">
        <v>24741</v>
      </c>
      <c r="F6183" s="76">
        <v>41328.0</v>
      </c>
      <c r="G6183" s="68" t="s">
        <v>24742</v>
      </c>
      <c r="H6183" s="71"/>
      <c r="I6183" s="68" t="s">
        <v>24743</v>
      </c>
      <c r="J6183" s="68" t="s">
        <v>24744</v>
      </c>
      <c r="K6183" s="76">
        <v>43669.0</v>
      </c>
      <c r="L6183" s="68" t="s">
        <v>2743</v>
      </c>
      <c r="M6183" s="68" t="s">
        <v>125</v>
      </c>
      <c r="N6183" s="116"/>
      <c r="O6183" s="51"/>
    </row>
    <row r="6184">
      <c r="A6184" s="56">
        <v>6181.0</v>
      </c>
      <c r="B6184" s="71"/>
      <c r="C6184" s="79" t="s">
        <v>24745</v>
      </c>
      <c r="D6184" s="82"/>
      <c r="E6184" s="80" t="s">
        <v>24746</v>
      </c>
      <c r="F6184" s="81">
        <v>42852.0</v>
      </c>
      <c r="G6184" s="80" t="s">
        <v>24747</v>
      </c>
      <c r="H6184" s="80" t="s">
        <v>24748</v>
      </c>
      <c r="I6184" s="82"/>
      <c r="J6184" s="63" t="s">
        <v>136</v>
      </c>
      <c r="K6184" s="81">
        <v>43669.0</v>
      </c>
      <c r="L6184" s="80" t="s">
        <v>2743</v>
      </c>
      <c r="M6184" s="80" t="s">
        <v>166</v>
      </c>
      <c r="N6184" s="116"/>
      <c r="O6184" s="51"/>
    </row>
    <row r="6185">
      <c r="A6185" s="56">
        <v>6182.0</v>
      </c>
      <c r="B6185" s="71"/>
      <c r="C6185" s="79" t="s">
        <v>24749</v>
      </c>
      <c r="D6185" s="82"/>
      <c r="E6185" s="80" t="s">
        <v>24750</v>
      </c>
      <c r="F6185" s="81">
        <v>42629.0</v>
      </c>
      <c r="G6185" s="80" t="s">
        <v>24751</v>
      </c>
      <c r="H6185" s="80" t="s">
        <v>24752</v>
      </c>
      <c r="I6185" s="82"/>
      <c r="J6185" s="63" t="s">
        <v>136</v>
      </c>
      <c r="K6185" s="81">
        <v>43669.0</v>
      </c>
      <c r="L6185" s="80" t="s">
        <v>2743</v>
      </c>
      <c r="M6185" s="80" t="s">
        <v>166</v>
      </c>
      <c r="N6185" s="116"/>
      <c r="O6185" s="51"/>
    </row>
    <row r="6186">
      <c r="A6186" s="56">
        <v>6183.0</v>
      </c>
      <c r="B6186" s="71"/>
      <c r="C6186" s="69" t="s">
        <v>24753</v>
      </c>
      <c r="D6186" s="71"/>
      <c r="E6186" s="68" t="s">
        <v>24754</v>
      </c>
      <c r="F6186" s="76">
        <v>42247.0</v>
      </c>
      <c r="G6186" s="68" t="s">
        <v>24755</v>
      </c>
      <c r="H6186" s="68" t="s">
        <v>24756</v>
      </c>
      <c r="I6186" s="71"/>
      <c r="J6186" s="68" t="s">
        <v>24757</v>
      </c>
      <c r="K6186" s="76">
        <v>43670.0</v>
      </c>
      <c r="L6186" s="68" t="s">
        <v>24758</v>
      </c>
      <c r="M6186" s="68" t="s">
        <v>166</v>
      </c>
      <c r="N6186" s="116"/>
      <c r="O6186" s="51"/>
    </row>
    <row r="6187">
      <c r="A6187" s="56">
        <v>6184.0</v>
      </c>
      <c r="B6187" s="71"/>
      <c r="C6187" s="69" t="s">
        <v>24759</v>
      </c>
      <c r="D6187" s="71"/>
      <c r="E6187" s="68" t="s">
        <v>24760</v>
      </c>
      <c r="F6187" s="76">
        <v>42247.0</v>
      </c>
      <c r="G6187" s="68" t="s">
        <v>24761</v>
      </c>
      <c r="H6187" s="68" t="s">
        <v>24762</v>
      </c>
      <c r="I6187" s="71"/>
      <c r="J6187" s="68" t="s">
        <v>24763</v>
      </c>
      <c r="K6187" s="76">
        <v>43670.0</v>
      </c>
      <c r="L6187" s="68" t="s">
        <v>24758</v>
      </c>
      <c r="M6187" s="68" t="s">
        <v>166</v>
      </c>
      <c r="N6187" s="116"/>
      <c r="O6187" s="51"/>
    </row>
    <row r="6188">
      <c r="A6188" s="56">
        <v>6185.0</v>
      </c>
      <c r="B6188" s="71"/>
      <c r="C6188" s="69" t="s">
        <v>24764</v>
      </c>
      <c r="D6188" s="71"/>
      <c r="E6188" s="68" t="s">
        <v>24765</v>
      </c>
      <c r="F6188" s="76">
        <v>42247.0</v>
      </c>
      <c r="G6188" s="68" t="s">
        <v>24766</v>
      </c>
      <c r="H6188" s="68" t="s">
        <v>24767</v>
      </c>
      <c r="I6188" s="71"/>
      <c r="J6188" s="68" t="s">
        <v>24768</v>
      </c>
      <c r="K6188" s="76">
        <v>43670.0</v>
      </c>
      <c r="L6188" s="68" t="s">
        <v>24758</v>
      </c>
      <c r="M6188" s="68" t="s">
        <v>166</v>
      </c>
      <c r="N6188" s="116"/>
      <c r="O6188" s="51"/>
    </row>
    <row r="6189">
      <c r="A6189" s="56">
        <v>6186.0</v>
      </c>
      <c r="B6189" s="71"/>
      <c r="C6189" s="69" t="s">
        <v>24769</v>
      </c>
      <c r="D6189" s="71"/>
      <c r="E6189" s="68" t="s">
        <v>24770</v>
      </c>
      <c r="F6189" s="76">
        <v>42247.0</v>
      </c>
      <c r="G6189" s="68" t="s">
        <v>24771</v>
      </c>
      <c r="H6189" s="68" t="s">
        <v>24772</v>
      </c>
      <c r="I6189" s="71"/>
      <c r="J6189" s="68" t="s">
        <v>24773</v>
      </c>
      <c r="K6189" s="76">
        <v>43670.0</v>
      </c>
      <c r="L6189" s="68" t="s">
        <v>24758</v>
      </c>
      <c r="M6189" s="68" t="s">
        <v>166</v>
      </c>
      <c r="N6189" s="116"/>
      <c r="O6189" s="51"/>
    </row>
    <row r="6190">
      <c r="A6190" s="56">
        <v>6187.0</v>
      </c>
      <c r="B6190" s="71"/>
      <c r="C6190" s="69" t="s">
        <v>24774</v>
      </c>
      <c r="D6190" s="71"/>
      <c r="E6190" s="68" t="s">
        <v>24775</v>
      </c>
      <c r="F6190" s="76">
        <v>42247.0</v>
      </c>
      <c r="G6190" s="68" t="s">
        <v>24771</v>
      </c>
      <c r="H6190" s="68" t="s">
        <v>439</v>
      </c>
      <c r="I6190" s="71"/>
      <c r="J6190" s="68" t="s">
        <v>24776</v>
      </c>
      <c r="K6190" s="76">
        <v>43670.0</v>
      </c>
      <c r="L6190" s="68" t="s">
        <v>24758</v>
      </c>
      <c r="M6190" s="68" t="s">
        <v>166</v>
      </c>
      <c r="N6190" s="116"/>
      <c r="O6190" s="51"/>
    </row>
    <row r="6191">
      <c r="A6191" s="56">
        <v>6188.0</v>
      </c>
      <c r="B6191" s="71"/>
      <c r="C6191" s="69" t="s">
        <v>24777</v>
      </c>
      <c r="D6191" s="71"/>
      <c r="E6191" s="68" t="s">
        <v>24778</v>
      </c>
      <c r="F6191" s="76">
        <v>42247.0</v>
      </c>
      <c r="G6191" s="68" t="s">
        <v>24779</v>
      </c>
      <c r="H6191" s="68" t="s">
        <v>24780</v>
      </c>
      <c r="I6191" s="71"/>
      <c r="J6191" s="68" t="s">
        <v>24781</v>
      </c>
      <c r="K6191" s="76">
        <v>43670.0</v>
      </c>
      <c r="L6191" s="68" t="s">
        <v>24758</v>
      </c>
      <c r="M6191" s="68" t="s">
        <v>166</v>
      </c>
      <c r="N6191" s="116"/>
      <c r="O6191" s="51"/>
    </row>
    <row r="6192">
      <c r="A6192" s="56">
        <v>6189.0</v>
      </c>
      <c r="B6192" s="71"/>
      <c r="C6192" s="69" t="s">
        <v>24782</v>
      </c>
      <c r="D6192" s="71"/>
      <c r="E6192" s="68" t="s">
        <v>24783</v>
      </c>
      <c r="F6192" s="76">
        <v>42254.0</v>
      </c>
      <c r="G6192" s="68" t="s">
        <v>24784</v>
      </c>
      <c r="H6192" s="71"/>
      <c r="I6192" s="71"/>
      <c r="J6192" s="68" t="s">
        <v>24785</v>
      </c>
      <c r="K6192" s="76">
        <v>43670.0</v>
      </c>
      <c r="L6192" s="68" t="s">
        <v>24758</v>
      </c>
      <c r="M6192" s="68" t="s">
        <v>166</v>
      </c>
      <c r="N6192" s="116"/>
      <c r="O6192" s="51"/>
    </row>
    <row r="6193">
      <c r="A6193" s="56">
        <v>6190.0</v>
      </c>
      <c r="B6193" s="71"/>
      <c r="C6193" s="69" t="s">
        <v>24786</v>
      </c>
      <c r="D6193" s="71"/>
      <c r="E6193" s="68" t="s">
        <v>24787</v>
      </c>
      <c r="F6193" s="76">
        <v>42255.0</v>
      </c>
      <c r="G6193" s="68" t="s">
        <v>24788</v>
      </c>
      <c r="H6193" s="71"/>
      <c r="I6193" s="71"/>
      <c r="J6193" s="87" t="s">
        <v>24789</v>
      </c>
      <c r="K6193" s="76">
        <v>43670.0</v>
      </c>
      <c r="L6193" s="68" t="s">
        <v>24758</v>
      </c>
      <c r="M6193" s="68" t="s">
        <v>166</v>
      </c>
      <c r="N6193" s="116"/>
      <c r="O6193" s="51"/>
    </row>
    <row r="6194">
      <c r="A6194" s="56">
        <v>6191.0</v>
      </c>
      <c r="B6194" s="71"/>
      <c r="C6194" s="69" t="s">
        <v>24790</v>
      </c>
      <c r="D6194" s="71"/>
      <c r="E6194" s="68" t="s">
        <v>24791</v>
      </c>
      <c r="F6194" s="76">
        <v>42257.0</v>
      </c>
      <c r="G6194" s="68" t="s">
        <v>24792</v>
      </c>
      <c r="H6194" s="71"/>
      <c r="I6194" s="71"/>
      <c r="J6194" s="87" t="s">
        <v>24793</v>
      </c>
      <c r="K6194" s="76">
        <v>43670.0</v>
      </c>
      <c r="L6194" s="68" t="s">
        <v>24758</v>
      </c>
      <c r="M6194" s="68" t="s">
        <v>166</v>
      </c>
      <c r="N6194" s="116"/>
      <c r="O6194" s="51"/>
    </row>
    <row r="6195">
      <c r="A6195" s="56">
        <v>6192.0</v>
      </c>
      <c r="B6195" s="71"/>
      <c r="C6195" s="69" t="s">
        <v>24794</v>
      </c>
      <c r="D6195" s="71"/>
      <c r="E6195" s="68" t="s">
        <v>24795</v>
      </c>
      <c r="F6195" s="76">
        <v>42257.0</v>
      </c>
      <c r="G6195" s="68" t="s">
        <v>24796</v>
      </c>
      <c r="H6195" s="71"/>
      <c r="I6195" s="71"/>
      <c r="J6195" s="87" t="s">
        <v>24797</v>
      </c>
      <c r="K6195" s="76">
        <v>43670.0</v>
      </c>
      <c r="L6195" s="68" t="s">
        <v>24758</v>
      </c>
      <c r="M6195" s="68" t="s">
        <v>166</v>
      </c>
      <c r="N6195" s="116"/>
      <c r="O6195" s="51"/>
    </row>
    <row r="6196">
      <c r="A6196" s="56">
        <v>6193.0</v>
      </c>
      <c r="B6196" s="71"/>
      <c r="C6196" s="69" t="s">
        <v>24798</v>
      </c>
      <c r="D6196" s="71"/>
      <c r="E6196" s="68" t="s">
        <v>24799</v>
      </c>
      <c r="F6196" s="76">
        <v>42257.0</v>
      </c>
      <c r="G6196" s="68" t="s">
        <v>24800</v>
      </c>
      <c r="H6196" s="71"/>
      <c r="I6196" s="71"/>
      <c r="J6196" s="68" t="s">
        <v>24801</v>
      </c>
      <c r="K6196" s="76">
        <v>43670.0</v>
      </c>
      <c r="L6196" s="68" t="s">
        <v>24758</v>
      </c>
      <c r="M6196" s="68" t="s">
        <v>166</v>
      </c>
      <c r="N6196" s="116"/>
      <c r="O6196" s="51"/>
    </row>
    <row r="6197">
      <c r="A6197" s="56">
        <v>6194.0</v>
      </c>
      <c r="B6197" s="71"/>
      <c r="C6197" s="69" t="s">
        <v>24802</v>
      </c>
      <c r="D6197" s="71"/>
      <c r="E6197" s="68" t="s">
        <v>24803</v>
      </c>
      <c r="F6197" s="76">
        <v>42257.0</v>
      </c>
      <c r="G6197" s="68" t="s">
        <v>24804</v>
      </c>
      <c r="H6197" s="71"/>
      <c r="I6197" s="71"/>
      <c r="J6197" s="87" t="s">
        <v>24805</v>
      </c>
      <c r="K6197" s="76">
        <v>43670.0</v>
      </c>
      <c r="L6197" s="68" t="s">
        <v>24758</v>
      </c>
      <c r="M6197" s="68" t="s">
        <v>166</v>
      </c>
      <c r="N6197" s="116"/>
      <c r="O6197" s="51"/>
    </row>
    <row r="6198">
      <c r="A6198" s="56">
        <v>6195.0</v>
      </c>
      <c r="B6198" s="71"/>
      <c r="C6198" s="69" t="s">
        <v>24806</v>
      </c>
      <c r="D6198" s="71"/>
      <c r="E6198" s="68" t="s">
        <v>24807</v>
      </c>
      <c r="F6198" s="76">
        <v>42259.0</v>
      </c>
      <c r="G6198" s="68" t="s">
        <v>24808</v>
      </c>
      <c r="H6198" s="71"/>
      <c r="I6198" s="71"/>
      <c r="J6198" s="68" t="s">
        <v>24809</v>
      </c>
      <c r="K6198" s="76">
        <v>43670.0</v>
      </c>
      <c r="L6198" s="68" t="s">
        <v>24758</v>
      </c>
      <c r="M6198" s="68" t="s">
        <v>166</v>
      </c>
      <c r="N6198" s="116"/>
      <c r="O6198" s="51"/>
    </row>
    <row r="6199">
      <c r="A6199" s="56">
        <v>6196.0</v>
      </c>
      <c r="B6199" s="71"/>
      <c r="C6199" s="69" t="s">
        <v>24810</v>
      </c>
      <c r="D6199" s="71"/>
      <c r="E6199" s="68" t="s">
        <v>24811</v>
      </c>
      <c r="F6199" s="76">
        <v>42259.0</v>
      </c>
      <c r="G6199" s="68" t="s">
        <v>24812</v>
      </c>
      <c r="H6199" s="71"/>
      <c r="I6199" s="71"/>
      <c r="J6199" s="68" t="s">
        <v>24813</v>
      </c>
      <c r="K6199" s="76">
        <v>43670.0</v>
      </c>
      <c r="L6199" s="68" t="s">
        <v>24758</v>
      </c>
      <c r="M6199" s="68" t="s">
        <v>166</v>
      </c>
      <c r="N6199" s="116"/>
      <c r="O6199" s="51"/>
    </row>
    <row r="6200">
      <c r="A6200" s="56">
        <v>6197.0</v>
      </c>
      <c r="B6200" s="71"/>
      <c r="C6200" s="69" t="s">
        <v>24814</v>
      </c>
      <c r="D6200" s="71"/>
      <c r="E6200" s="68" t="s">
        <v>24815</v>
      </c>
      <c r="F6200" s="76">
        <v>42259.0</v>
      </c>
      <c r="G6200" s="68" t="s">
        <v>24816</v>
      </c>
      <c r="H6200" s="71"/>
      <c r="I6200" s="71"/>
      <c r="J6200" s="68" t="s">
        <v>24813</v>
      </c>
      <c r="K6200" s="76">
        <v>43670.0</v>
      </c>
      <c r="L6200" s="68" t="s">
        <v>24758</v>
      </c>
      <c r="M6200" s="68" t="s">
        <v>166</v>
      </c>
      <c r="N6200" s="116"/>
      <c r="O6200" s="51"/>
    </row>
    <row r="6201">
      <c r="A6201" s="56">
        <v>6198.0</v>
      </c>
      <c r="B6201" s="71"/>
      <c r="C6201" s="69" t="s">
        <v>24817</v>
      </c>
      <c r="D6201" s="71"/>
      <c r="E6201" s="68" t="s">
        <v>24818</v>
      </c>
      <c r="F6201" s="76">
        <v>42259.0</v>
      </c>
      <c r="G6201" s="68" t="s">
        <v>24819</v>
      </c>
      <c r="H6201" s="71"/>
      <c r="I6201" s="71"/>
      <c r="J6201" s="68" t="s">
        <v>24820</v>
      </c>
      <c r="K6201" s="76">
        <v>43670.0</v>
      </c>
      <c r="L6201" s="68" t="s">
        <v>24758</v>
      </c>
      <c r="M6201" s="68" t="s">
        <v>166</v>
      </c>
      <c r="N6201" s="116"/>
      <c r="O6201" s="51"/>
    </row>
    <row r="6202">
      <c r="A6202" s="56">
        <v>6199.0</v>
      </c>
      <c r="B6202" s="71"/>
      <c r="C6202" s="69" t="s">
        <v>24821</v>
      </c>
      <c r="D6202" s="71"/>
      <c r="E6202" s="68" t="s">
        <v>24822</v>
      </c>
      <c r="F6202" s="76">
        <v>42259.0</v>
      </c>
      <c r="G6202" s="68" t="s">
        <v>24823</v>
      </c>
      <c r="H6202" s="71"/>
      <c r="I6202" s="71"/>
      <c r="J6202" s="68" t="s">
        <v>24820</v>
      </c>
      <c r="K6202" s="76">
        <v>43670.0</v>
      </c>
      <c r="L6202" s="68" t="s">
        <v>24758</v>
      </c>
      <c r="M6202" s="68" t="s">
        <v>166</v>
      </c>
      <c r="N6202" s="116"/>
      <c r="O6202" s="51"/>
    </row>
    <row r="6203">
      <c r="A6203" s="56">
        <v>6200.0</v>
      </c>
      <c r="B6203" s="71"/>
      <c r="C6203" s="69" t="s">
        <v>24824</v>
      </c>
      <c r="D6203" s="71"/>
      <c r="E6203" s="68" t="s">
        <v>24825</v>
      </c>
      <c r="F6203" s="76">
        <v>42259.0</v>
      </c>
      <c r="G6203" s="68" t="s">
        <v>24826</v>
      </c>
      <c r="H6203" s="71"/>
      <c r="I6203" s="71"/>
      <c r="J6203" s="68" t="s">
        <v>24827</v>
      </c>
      <c r="K6203" s="76">
        <v>43670.0</v>
      </c>
      <c r="L6203" s="68" t="s">
        <v>24758</v>
      </c>
      <c r="M6203" s="68" t="s">
        <v>166</v>
      </c>
      <c r="N6203" s="116"/>
      <c r="O6203" s="51"/>
    </row>
    <row r="6204">
      <c r="A6204" s="56">
        <v>6201.0</v>
      </c>
      <c r="B6204" s="71"/>
      <c r="C6204" s="69" t="s">
        <v>24828</v>
      </c>
      <c r="D6204" s="71"/>
      <c r="E6204" s="68" t="s">
        <v>24829</v>
      </c>
      <c r="F6204" s="76">
        <v>42262.0</v>
      </c>
      <c r="G6204" s="68" t="s">
        <v>24830</v>
      </c>
      <c r="H6204" s="71"/>
      <c r="I6204" s="71"/>
      <c r="J6204" s="87" t="s">
        <v>24831</v>
      </c>
      <c r="K6204" s="76">
        <v>43670.0</v>
      </c>
      <c r="L6204" s="68" t="s">
        <v>24758</v>
      </c>
      <c r="M6204" s="68" t="s">
        <v>166</v>
      </c>
      <c r="N6204" s="116"/>
      <c r="O6204" s="51"/>
    </row>
    <row r="6205">
      <c r="A6205" s="56">
        <v>6202.0</v>
      </c>
      <c r="B6205" s="71"/>
      <c r="C6205" s="69" t="s">
        <v>24832</v>
      </c>
      <c r="D6205" s="71"/>
      <c r="E6205" s="68" t="s">
        <v>24833</v>
      </c>
      <c r="F6205" s="76">
        <v>42263.0</v>
      </c>
      <c r="G6205" s="68" t="s">
        <v>24834</v>
      </c>
      <c r="H6205" s="68" t="s">
        <v>24835</v>
      </c>
      <c r="I6205" s="71"/>
      <c r="J6205" s="87" t="s">
        <v>24836</v>
      </c>
      <c r="K6205" s="76">
        <v>43670.0</v>
      </c>
      <c r="L6205" s="68" t="s">
        <v>24758</v>
      </c>
      <c r="M6205" s="68" t="s">
        <v>166</v>
      </c>
      <c r="N6205" s="116"/>
      <c r="O6205" s="51"/>
    </row>
    <row r="6206">
      <c r="A6206" s="56">
        <v>6203.0</v>
      </c>
      <c r="B6206" s="71"/>
      <c r="C6206" s="69" t="s">
        <v>24837</v>
      </c>
      <c r="D6206" s="71"/>
      <c r="E6206" s="68" t="s">
        <v>24838</v>
      </c>
      <c r="F6206" s="76">
        <v>42264.0</v>
      </c>
      <c r="G6206" s="68" t="s">
        <v>24839</v>
      </c>
      <c r="H6206" s="71"/>
      <c r="I6206" s="71"/>
      <c r="J6206" s="68" t="s">
        <v>24840</v>
      </c>
      <c r="K6206" s="76">
        <v>43670.0</v>
      </c>
      <c r="L6206" s="68" t="s">
        <v>24758</v>
      </c>
      <c r="M6206" s="68" t="s">
        <v>166</v>
      </c>
      <c r="N6206" s="116"/>
      <c r="O6206" s="51"/>
    </row>
    <row r="6207">
      <c r="A6207" s="56">
        <v>6204.0</v>
      </c>
      <c r="B6207" s="71"/>
      <c r="C6207" s="69" t="s">
        <v>24841</v>
      </c>
      <c r="D6207" s="71"/>
      <c r="E6207" s="68" t="s">
        <v>24842</v>
      </c>
      <c r="F6207" s="76">
        <v>42265.0</v>
      </c>
      <c r="G6207" s="68" t="s">
        <v>24843</v>
      </c>
      <c r="H6207" s="71"/>
      <c r="I6207" s="71"/>
      <c r="J6207" s="68" t="s">
        <v>24844</v>
      </c>
      <c r="K6207" s="76">
        <v>43670.0</v>
      </c>
      <c r="L6207" s="68" t="s">
        <v>24758</v>
      </c>
      <c r="M6207" s="68" t="s">
        <v>166</v>
      </c>
      <c r="N6207" s="116"/>
      <c r="O6207" s="51"/>
    </row>
    <row r="6208">
      <c r="A6208" s="56">
        <v>6205.0</v>
      </c>
      <c r="B6208" s="71"/>
      <c r="C6208" s="69" t="s">
        <v>24845</v>
      </c>
      <c r="D6208" s="71"/>
      <c r="E6208" s="68" t="s">
        <v>24846</v>
      </c>
      <c r="F6208" s="76">
        <v>42265.0</v>
      </c>
      <c r="G6208" s="68" t="s">
        <v>24847</v>
      </c>
      <c r="H6208" s="68" t="s">
        <v>24848</v>
      </c>
      <c r="I6208" s="71"/>
      <c r="J6208" s="68" t="s">
        <v>24849</v>
      </c>
      <c r="K6208" s="76">
        <v>43670.0</v>
      </c>
      <c r="L6208" s="68" t="s">
        <v>24758</v>
      </c>
      <c r="M6208" s="68" t="s">
        <v>166</v>
      </c>
      <c r="N6208" s="116"/>
      <c r="O6208" s="51"/>
    </row>
    <row r="6209">
      <c r="A6209" s="56">
        <v>6206.0</v>
      </c>
      <c r="B6209" s="71"/>
      <c r="C6209" s="69" t="s">
        <v>24850</v>
      </c>
      <c r="D6209" s="71"/>
      <c r="E6209" s="68" t="s">
        <v>24851</v>
      </c>
      <c r="F6209" s="76">
        <v>42143.0</v>
      </c>
      <c r="G6209" s="68" t="s">
        <v>24852</v>
      </c>
      <c r="H6209" s="68" t="s">
        <v>24853</v>
      </c>
      <c r="I6209" s="71"/>
      <c r="J6209" s="87" t="s">
        <v>24854</v>
      </c>
      <c r="K6209" s="76">
        <v>43670.0</v>
      </c>
      <c r="L6209" s="68" t="s">
        <v>24758</v>
      </c>
      <c r="M6209" s="68" t="s">
        <v>166</v>
      </c>
      <c r="N6209" s="116"/>
      <c r="O6209" s="51"/>
    </row>
    <row r="6210">
      <c r="A6210" s="56">
        <v>6207.0</v>
      </c>
      <c r="B6210" s="71"/>
      <c r="C6210" s="69" t="s">
        <v>24855</v>
      </c>
      <c r="D6210" s="71"/>
      <c r="E6210" s="68" t="s">
        <v>24856</v>
      </c>
      <c r="F6210" s="76">
        <v>43552.0</v>
      </c>
      <c r="G6210" s="68" t="s">
        <v>24857</v>
      </c>
      <c r="H6210" s="68" t="s">
        <v>24858</v>
      </c>
      <c r="I6210" s="71"/>
      <c r="J6210" s="68" t="s">
        <v>24859</v>
      </c>
      <c r="K6210" s="76">
        <v>43670.0</v>
      </c>
      <c r="L6210" s="68" t="s">
        <v>2743</v>
      </c>
      <c r="M6210" s="68" t="s">
        <v>27</v>
      </c>
      <c r="N6210" s="116"/>
      <c r="O6210" s="51"/>
    </row>
    <row r="6211">
      <c r="A6211" s="56">
        <v>6208.0</v>
      </c>
      <c r="B6211" s="71"/>
      <c r="C6211" s="79" t="s">
        <v>24860</v>
      </c>
      <c r="D6211" s="82"/>
      <c r="E6211" s="80" t="s">
        <v>24861</v>
      </c>
      <c r="F6211" s="81">
        <v>39951.0</v>
      </c>
      <c r="G6211" s="80" t="s">
        <v>24862</v>
      </c>
      <c r="H6211" s="82"/>
      <c r="I6211" s="80" t="s">
        <v>24863</v>
      </c>
      <c r="J6211" s="63" t="s">
        <v>136</v>
      </c>
      <c r="K6211" s="81">
        <v>43670.0</v>
      </c>
      <c r="L6211" s="80" t="s">
        <v>2743</v>
      </c>
      <c r="M6211" s="80" t="s">
        <v>201</v>
      </c>
      <c r="N6211" s="116"/>
      <c r="O6211" s="51"/>
    </row>
    <row r="6212">
      <c r="A6212" s="56">
        <v>6209.0</v>
      </c>
      <c r="B6212" s="71"/>
      <c r="C6212" s="69" t="s">
        <v>24864</v>
      </c>
      <c r="D6212" s="71"/>
      <c r="E6212" s="68" t="s">
        <v>24865</v>
      </c>
      <c r="F6212" s="76">
        <v>42962.0</v>
      </c>
      <c r="G6212" s="68" t="s">
        <v>24866</v>
      </c>
      <c r="H6212" s="68" t="s">
        <v>24867</v>
      </c>
      <c r="I6212" s="71"/>
      <c r="J6212" s="68" t="s">
        <v>24868</v>
      </c>
      <c r="K6212" s="76">
        <v>43671.0</v>
      </c>
      <c r="L6212" s="68" t="s">
        <v>24758</v>
      </c>
      <c r="M6212" s="68" t="s">
        <v>27</v>
      </c>
      <c r="N6212" s="116"/>
      <c r="O6212" s="51"/>
    </row>
    <row r="6213">
      <c r="A6213" s="56">
        <v>6210.0</v>
      </c>
      <c r="B6213" s="71"/>
      <c r="C6213" s="69" t="s">
        <v>24869</v>
      </c>
      <c r="D6213" s="71"/>
      <c r="E6213" s="68" t="s">
        <v>24870</v>
      </c>
      <c r="F6213" s="76">
        <v>42987.0</v>
      </c>
      <c r="G6213" s="68" t="s">
        <v>24871</v>
      </c>
      <c r="H6213" s="71"/>
      <c r="I6213" s="71"/>
      <c r="J6213" s="87" t="s">
        <v>24872</v>
      </c>
      <c r="K6213" s="76">
        <v>43671.0</v>
      </c>
      <c r="L6213" s="68" t="s">
        <v>24758</v>
      </c>
      <c r="M6213" s="68" t="s">
        <v>27</v>
      </c>
      <c r="N6213" s="116"/>
      <c r="O6213" s="51"/>
    </row>
    <row r="6214">
      <c r="A6214" s="56">
        <v>6211.0</v>
      </c>
      <c r="B6214" s="71"/>
      <c r="C6214" s="69" t="s">
        <v>24873</v>
      </c>
      <c r="D6214" s="71"/>
      <c r="E6214" s="68" t="s">
        <v>24874</v>
      </c>
      <c r="F6214" s="76">
        <v>42586.0</v>
      </c>
      <c r="G6214" s="68" t="s">
        <v>24875</v>
      </c>
      <c r="H6214" s="68" t="s">
        <v>24876</v>
      </c>
      <c r="I6214" s="71"/>
      <c r="J6214" s="87" t="s">
        <v>24877</v>
      </c>
      <c r="K6214" s="76">
        <v>43671.0</v>
      </c>
      <c r="L6214" s="68" t="s">
        <v>24758</v>
      </c>
      <c r="M6214" s="68" t="s">
        <v>27</v>
      </c>
      <c r="N6214" s="116"/>
      <c r="O6214" s="51"/>
    </row>
    <row r="6215">
      <c r="A6215" s="56">
        <v>6212.0</v>
      </c>
      <c r="B6215" s="71"/>
      <c r="C6215" s="69" t="s">
        <v>24878</v>
      </c>
      <c r="D6215" s="71"/>
      <c r="E6215" s="68" t="s">
        <v>24879</v>
      </c>
      <c r="F6215" s="76">
        <v>43590.0</v>
      </c>
      <c r="G6215" s="68" t="s">
        <v>24880</v>
      </c>
      <c r="H6215" s="71"/>
      <c r="I6215" s="71"/>
      <c r="J6215" s="87" t="s">
        <v>24881</v>
      </c>
      <c r="K6215" s="76">
        <v>43671.0</v>
      </c>
      <c r="L6215" s="68" t="s">
        <v>24758</v>
      </c>
      <c r="M6215" s="68" t="s">
        <v>27</v>
      </c>
      <c r="N6215" s="116"/>
      <c r="O6215" s="51"/>
    </row>
    <row r="6216">
      <c r="A6216" s="56">
        <v>6213.0</v>
      </c>
      <c r="B6216" s="71"/>
      <c r="C6216" s="69" t="s">
        <v>24882</v>
      </c>
      <c r="D6216" s="71"/>
      <c r="E6216" s="68" t="s">
        <v>24883</v>
      </c>
      <c r="F6216" s="76">
        <v>43590.0</v>
      </c>
      <c r="G6216" s="68" t="s">
        <v>24880</v>
      </c>
      <c r="H6216" s="71"/>
      <c r="I6216" s="71"/>
      <c r="J6216" s="87" t="s">
        <v>24884</v>
      </c>
      <c r="K6216" s="76">
        <v>43671.0</v>
      </c>
      <c r="L6216" s="68" t="s">
        <v>24758</v>
      </c>
      <c r="M6216" s="68" t="s">
        <v>27</v>
      </c>
      <c r="N6216" s="116"/>
      <c r="O6216" s="51"/>
    </row>
    <row r="6217">
      <c r="A6217" s="56">
        <v>6214.0</v>
      </c>
      <c r="B6217" s="71"/>
      <c r="C6217" s="69" t="s">
        <v>24885</v>
      </c>
      <c r="D6217" s="71"/>
      <c r="E6217" s="68" t="s">
        <v>24886</v>
      </c>
      <c r="F6217" s="76">
        <v>43551.0</v>
      </c>
      <c r="G6217" s="68" t="s">
        <v>24887</v>
      </c>
      <c r="H6217" s="71"/>
      <c r="I6217" s="71"/>
      <c r="J6217" s="68" t="s">
        <v>24888</v>
      </c>
      <c r="K6217" s="76">
        <v>43672.0</v>
      </c>
      <c r="L6217" s="68" t="s">
        <v>2743</v>
      </c>
      <c r="M6217" s="68" t="s">
        <v>542</v>
      </c>
      <c r="N6217" s="116"/>
      <c r="O6217" s="51"/>
    </row>
    <row r="6218">
      <c r="A6218" s="75">
        <v>6215.0</v>
      </c>
      <c r="B6218" s="71"/>
      <c r="C6218" s="69" t="s">
        <v>24889</v>
      </c>
      <c r="D6218" s="71"/>
      <c r="E6218" s="68" t="s">
        <v>24890</v>
      </c>
      <c r="F6218" s="76">
        <v>42763.0</v>
      </c>
      <c r="G6218" s="68" t="s">
        <v>24891</v>
      </c>
      <c r="H6218" s="68" t="s">
        <v>24892</v>
      </c>
      <c r="I6218" s="71"/>
      <c r="J6218" s="68" t="s">
        <v>24893</v>
      </c>
      <c r="K6218" s="76">
        <v>43672.0</v>
      </c>
      <c r="L6218" s="68" t="s">
        <v>20958</v>
      </c>
      <c r="M6218" s="68" t="s">
        <v>27</v>
      </c>
      <c r="N6218" s="116"/>
      <c r="O6218" s="51"/>
    </row>
    <row r="6219">
      <c r="A6219" s="56">
        <v>6216.0</v>
      </c>
      <c r="B6219" s="71"/>
      <c r="C6219" s="79" t="s">
        <v>24894</v>
      </c>
      <c r="D6219" s="82"/>
      <c r="E6219" s="80" t="s">
        <v>24895</v>
      </c>
      <c r="F6219" s="81">
        <v>42608.0</v>
      </c>
      <c r="G6219" s="80" t="s">
        <v>24896</v>
      </c>
      <c r="H6219" s="80" t="s">
        <v>24897</v>
      </c>
      <c r="I6219" s="82"/>
      <c r="J6219" s="63" t="s">
        <v>136</v>
      </c>
      <c r="K6219" s="81">
        <v>43672.0</v>
      </c>
      <c r="L6219" s="80" t="s">
        <v>20958</v>
      </c>
      <c r="M6219" s="80" t="s">
        <v>27</v>
      </c>
      <c r="N6219" s="116"/>
      <c r="O6219" s="51"/>
    </row>
    <row r="6220">
      <c r="A6220" s="75">
        <v>6217.0</v>
      </c>
      <c r="B6220" s="71"/>
      <c r="C6220" s="69" t="s">
        <v>24898</v>
      </c>
      <c r="D6220" s="71"/>
      <c r="E6220" s="68" t="s">
        <v>24899</v>
      </c>
      <c r="F6220" s="76">
        <v>42593.0</v>
      </c>
      <c r="G6220" s="68" t="s">
        <v>24900</v>
      </c>
      <c r="H6220" s="68" t="s">
        <v>24901</v>
      </c>
      <c r="I6220" s="71"/>
      <c r="J6220" s="68" t="s">
        <v>24902</v>
      </c>
      <c r="K6220" s="76">
        <v>43672.0</v>
      </c>
      <c r="L6220" s="68" t="s">
        <v>20958</v>
      </c>
      <c r="M6220" s="68" t="s">
        <v>27</v>
      </c>
      <c r="N6220" s="116"/>
      <c r="O6220" s="51"/>
    </row>
    <row r="6221">
      <c r="A6221" s="56">
        <v>6218.0</v>
      </c>
      <c r="B6221" s="71"/>
      <c r="C6221" s="69" t="s">
        <v>24903</v>
      </c>
      <c r="D6221" s="71"/>
      <c r="E6221" s="68" t="s">
        <v>24904</v>
      </c>
      <c r="F6221" s="76">
        <v>43471.0</v>
      </c>
      <c r="G6221" s="68" t="s">
        <v>24905</v>
      </c>
      <c r="H6221" s="71"/>
      <c r="I6221" s="68" t="s">
        <v>24906</v>
      </c>
      <c r="J6221" s="87" t="s">
        <v>24907</v>
      </c>
      <c r="K6221" s="76">
        <v>43672.0</v>
      </c>
      <c r="L6221" s="68" t="s">
        <v>2743</v>
      </c>
      <c r="M6221" s="68" t="s">
        <v>125</v>
      </c>
      <c r="N6221" s="116"/>
      <c r="O6221" s="51"/>
    </row>
    <row r="6222">
      <c r="A6222" s="56">
        <v>6219.0</v>
      </c>
      <c r="B6222" s="71"/>
      <c r="C6222" s="69" t="s">
        <v>24908</v>
      </c>
      <c r="D6222" s="71"/>
      <c r="E6222" s="68" t="s">
        <v>24909</v>
      </c>
      <c r="F6222" s="83">
        <v>39811.0</v>
      </c>
      <c r="G6222" s="68" t="s">
        <v>24910</v>
      </c>
      <c r="H6222" s="71"/>
      <c r="I6222" s="71"/>
      <c r="J6222" s="68" t="s">
        <v>24911</v>
      </c>
      <c r="K6222" s="76">
        <v>43672.0</v>
      </c>
      <c r="L6222" s="68" t="s">
        <v>20958</v>
      </c>
      <c r="M6222" s="68" t="s">
        <v>27</v>
      </c>
      <c r="N6222" s="116"/>
      <c r="O6222" s="51"/>
    </row>
    <row r="6223">
      <c r="A6223" s="56">
        <v>6220.0</v>
      </c>
      <c r="B6223" s="71"/>
      <c r="C6223" s="69" t="s">
        <v>24912</v>
      </c>
      <c r="D6223" s="71"/>
      <c r="E6223" s="68" t="s">
        <v>24913</v>
      </c>
      <c r="F6223" s="76">
        <v>43260.0</v>
      </c>
      <c r="G6223" s="68" t="s">
        <v>24914</v>
      </c>
      <c r="H6223" s="68" t="s">
        <v>24915</v>
      </c>
      <c r="I6223" s="71"/>
      <c r="J6223" s="87" t="s">
        <v>24916</v>
      </c>
      <c r="K6223" s="76">
        <v>43672.0</v>
      </c>
      <c r="L6223" s="68" t="s">
        <v>20958</v>
      </c>
      <c r="M6223" s="68" t="s">
        <v>27</v>
      </c>
      <c r="N6223" s="116"/>
      <c r="O6223" s="51"/>
    </row>
    <row r="6224">
      <c r="A6224" s="56">
        <v>6221.0</v>
      </c>
      <c r="B6224" s="71"/>
      <c r="C6224" s="79" t="s">
        <v>24917</v>
      </c>
      <c r="D6224" s="82"/>
      <c r="E6224" s="80" t="s">
        <v>24918</v>
      </c>
      <c r="F6224" s="81">
        <v>42917.0</v>
      </c>
      <c r="G6224" s="80" t="s">
        <v>24919</v>
      </c>
      <c r="H6224" s="80" t="s">
        <v>24920</v>
      </c>
      <c r="I6224" s="82"/>
      <c r="J6224" s="63" t="s">
        <v>136</v>
      </c>
      <c r="K6224" s="81">
        <v>43672.0</v>
      </c>
      <c r="L6224" s="80" t="s">
        <v>24395</v>
      </c>
      <c r="M6224" s="80" t="s">
        <v>166</v>
      </c>
      <c r="N6224" s="116"/>
      <c r="O6224" s="51"/>
    </row>
    <row r="6225">
      <c r="A6225" s="56">
        <v>6222.0</v>
      </c>
      <c r="B6225" s="71"/>
      <c r="C6225" s="79" t="s">
        <v>24921</v>
      </c>
      <c r="D6225" s="82"/>
      <c r="E6225" s="80" t="s">
        <v>24922</v>
      </c>
      <c r="F6225" s="98">
        <v>41929.0</v>
      </c>
      <c r="G6225" s="80" t="s">
        <v>24923</v>
      </c>
      <c r="H6225" s="82"/>
      <c r="I6225" s="80" t="s">
        <v>24924</v>
      </c>
      <c r="J6225" s="63" t="s">
        <v>136</v>
      </c>
      <c r="K6225" s="81">
        <v>43672.0</v>
      </c>
      <c r="L6225" s="80" t="s">
        <v>2743</v>
      </c>
      <c r="M6225" s="80" t="s">
        <v>125</v>
      </c>
      <c r="N6225" s="116"/>
      <c r="O6225" s="51"/>
    </row>
    <row r="6226">
      <c r="A6226" s="56">
        <v>6223.0</v>
      </c>
      <c r="B6226" s="71"/>
      <c r="C6226" s="79" t="s">
        <v>24925</v>
      </c>
      <c r="D6226" s="82"/>
      <c r="E6226" s="80" t="s">
        <v>24926</v>
      </c>
      <c r="F6226" s="98">
        <v>42660.0</v>
      </c>
      <c r="G6226" s="80" t="s">
        <v>24927</v>
      </c>
      <c r="H6226" s="82"/>
      <c r="I6226" s="80" t="s">
        <v>24928</v>
      </c>
      <c r="J6226" s="63" t="s">
        <v>136</v>
      </c>
      <c r="K6226" s="81">
        <v>43672.0</v>
      </c>
      <c r="L6226" s="80" t="s">
        <v>2743</v>
      </c>
      <c r="M6226" s="80" t="s">
        <v>125</v>
      </c>
      <c r="N6226" s="116"/>
      <c r="O6226" s="51"/>
    </row>
    <row r="6227">
      <c r="A6227" s="75">
        <v>6224.0</v>
      </c>
      <c r="B6227" s="71"/>
      <c r="C6227" s="69" t="s">
        <v>24929</v>
      </c>
      <c r="D6227" s="71"/>
      <c r="E6227" s="68" t="s">
        <v>24930</v>
      </c>
      <c r="F6227" s="76">
        <v>41817.0</v>
      </c>
      <c r="G6227" s="68" t="s">
        <v>24931</v>
      </c>
      <c r="H6227" s="71"/>
      <c r="I6227" s="71"/>
      <c r="J6227" s="68" t="s">
        <v>24932</v>
      </c>
      <c r="K6227" s="76">
        <v>43675.0</v>
      </c>
      <c r="L6227" s="68" t="s">
        <v>24758</v>
      </c>
      <c r="M6227" s="68" t="s">
        <v>542</v>
      </c>
      <c r="N6227" s="116"/>
      <c r="O6227" s="51"/>
    </row>
    <row r="6228">
      <c r="A6228" s="56">
        <v>6225.0</v>
      </c>
      <c r="B6228" s="71"/>
      <c r="C6228" s="79" t="s">
        <v>24933</v>
      </c>
      <c r="D6228" s="82"/>
      <c r="E6228" s="80" t="s">
        <v>24934</v>
      </c>
      <c r="F6228" s="81">
        <v>40596.0</v>
      </c>
      <c r="G6228" s="80" t="s">
        <v>24935</v>
      </c>
      <c r="H6228" s="80" t="s">
        <v>24936</v>
      </c>
      <c r="I6228" s="82"/>
      <c r="J6228" s="63" t="s">
        <v>136</v>
      </c>
      <c r="K6228" s="81">
        <v>43675.0</v>
      </c>
      <c r="L6228" s="80" t="s">
        <v>24758</v>
      </c>
      <c r="M6228" s="80" t="s">
        <v>149</v>
      </c>
      <c r="N6228" s="116"/>
      <c r="O6228" s="51"/>
    </row>
    <row r="6229">
      <c r="A6229" s="56">
        <v>6226.0</v>
      </c>
      <c r="B6229" s="71"/>
      <c r="C6229" s="69" t="s">
        <v>24937</v>
      </c>
      <c r="D6229" s="71"/>
      <c r="E6229" s="68" t="s">
        <v>24938</v>
      </c>
      <c r="F6229" s="76">
        <v>42444.0</v>
      </c>
      <c r="G6229" s="68" t="s">
        <v>24939</v>
      </c>
      <c r="H6229" s="68" t="s">
        <v>24940</v>
      </c>
      <c r="I6229" s="71"/>
      <c r="J6229" s="87" t="s">
        <v>24941</v>
      </c>
      <c r="K6229" s="76">
        <v>43675.0</v>
      </c>
      <c r="L6229" s="68" t="s">
        <v>24758</v>
      </c>
      <c r="M6229" s="68" t="s">
        <v>27</v>
      </c>
      <c r="N6229" s="116"/>
      <c r="O6229" s="51"/>
    </row>
    <row r="6230">
      <c r="A6230" s="56">
        <v>6227.0</v>
      </c>
      <c r="B6230" s="71"/>
      <c r="C6230" s="79" t="s">
        <v>24942</v>
      </c>
      <c r="D6230" s="82"/>
      <c r="E6230" s="80" t="s">
        <v>24943</v>
      </c>
      <c r="F6230" s="81">
        <v>41009.0</v>
      </c>
      <c r="G6230" s="80" t="s">
        <v>24944</v>
      </c>
      <c r="H6230" s="80" t="s">
        <v>24945</v>
      </c>
      <c r="I6230" s="82"/>
      <c r="J6230" s="63" t="s">
        <v>136</v>
      </c>
      <c r="K6230" s="81">
        <v>43675.0</v>
      </c>
      <c r="L6230" s="80" t="s">
        <v>24758</v>
      </c>
      <c r="M6230" s="80" t="s">
        <v>143</v>
      </c>
      <c r="N6230" s="116"/>
      <c r="O6230" s="51"/>
    </row>
    <row r="6231">
      <c r="A6231" s="56">
        <v>6228.0</v>
      </c>
      <c r="B6231" s="71"/>
      <c r="C6231" s="79" t="s">
        <v>24946</v>
      </c>
      <c r="D6231" s="82"/>
      <c r="E6231" s="80" t="s">
        <v>24947</v>
      </c>
      <c r="F6231" s="81">
        <v>41716.0</v>
      </c>
      <c r="G6231" s="80" t="s">
        <v>24948</v>
      </c>
      <c r="H6231" s="82"/>
      <c r="I6231" s="82"/>
      <c r="J6231" s="63" t="s">
        <v>136</v>
      </c>
      <c r="K6231" s="81">
        <v>43675.0</v>
      </c>
      <c r="L6231" s="80" t="s">
        <v>24758</v>
      </c>
      <c r="M6231" s="80" t="s">
        <v>27</v>
      </c>
      <c r="N6231" s="116"/>
      <c r="O6231" s="51"/>
    </row>
    <row r="6232">
      <c r="A6232" s="56">
        <v>6229.0</v>
      </c>
      <c r="B6232" s="71"/>
      <c r="C6232" s="79" t="s">
        <v>24949</v>
      </c>
      <c r="D6232" s="82"/>
      <c r="E6232" s="80" t="s">
        <v>24950</v>
      </c>
      <c r="F6232" s="81">
        <v>42444.0</v>
      </c>
      <c r="G6232" s="80" t="s">
        <v>24951</v>
      </c>
      <c r="H6232" s="82"/>
      <c r="I6232" s="82"/>
      <c r="J6232" s="63" t="s">
        <v>136</v>
      </c>
      <c r="K6232" s="81">
        <v>43675.0</v>
      </c>
      <c r="L6232" s="80" t="s">
        <v>24758</v>
      </c>
      <c r="M6232" s="80" t="s">
        <v>27</v>
      </c>
      <c r="N6232" s="116"/>
      <c r="O6232" s="51"/>
    </row>
    <row r="6233">
      <c r="A6233" s="56">
        <v>6230.0</v>
      </c>
      <c r="B6233" s="71"/>
      <c r="C6233" s="79" t="s">
        <v>24952</v>
      </c>
      <c r="D6233" s="82"/>
      <c r="E6233" s="80" t="s">
        <v>24953</v>
      </c>
      <c r="F6233" s="81">
        <v>42811.0</v>
      </c>
      <c r="G6233" s="80" t="s">
        <v>24954</v>
      </c>
      <c r="H6233" s="80" t="s">
        <v>24955</v>
      </c>
      <c r="I6233" s="82"/>
      <c r="J6233" s="63" t="s">
        <v>136</v>
      </c>
      <c r="K6233" s="81">
        <v>43675.0</v>
      </c>
      <c r="L6233" s="80" t="s">
        <v>24758</v>
      </c>
      <c r="M6233" s="80" t="s">
        <v>27</v>
      </c>
      <c r="N6233" s="116"/>
      <c r="O6233" s="51"/>
    </row>
    <row r="6234">
      <c r="A6234" s="56">
        <v>6231.0</v>
      </c>
      <c r="B6234" s="71"/>
      <c r="C6234" s="79" t="s">
        <v>24956</v>
      </c>
      <c r="D6234" s="82"/>
      <c r="E6234" s="80" t="s">
        <v>24957</v>
      </c>
      <c r="F6234" s="81">
        <v>42815.0</v>
      </c>
      <c r="G6234" s="80" t="s">
        <v>24958</v>
      </c>
      <c r="H6234" s="80" t="s">
        <v>24959</v>
      </c>
      <c r="I6234" s="82"/>
      <c r="J6234" s="63" t="s">
        <v>136</v>
      </c>
      <c r="K6234" s="81">
        <v>43675.0</v>
      </c>
      <c r="L6234" s="80" t="s">
        <v>24758</v>
      </c>
      <c r="M6234" s="80" t="s">
        <v>27</v>
      </c>
      <c r="N6234" s="116"/>
      <c r="O6234" s="51"/>
    </row>
    <row r="6235">
      <c r="A6235" s="56">
        <v>6232.0</v>
      </c>
      <c r="B6235" s="71"/>
      <c r="C6235" s="69" t="s">
        <v>24960</v>
      </c>
      <c r="D6235" s="71"/>
      <c r="E6235" s="68" t="s">
        <v>24961</v>
      </c>
      <c r="F6235" s="76">
        <v>41356.0</v>
      </c>
      <c r="G6235" s="68" t="s">
        <v>24962</v>
      </c>
      <c r="H6235" s="68" t="s">
        <v>24963</v>
      </c>
      <c r="I6235" s="71"/>
      <c r="J6235" s="68" t="s">
        <v>24964</v>
      </c>
      <c r="K6235" s="76">
        <v>43675.0</v>
      </c>
      <c r="L6235" s="68" t="s">
        <v>24758</v>
      </c>
      <c r="M6235" s="68" t="s">
        <v>24965</v>
      </c>
      <c r="N6235" s="116"/>
      <c r="O6235" s="51"/>
    </row>
    <row r="6236">
      <c r="A6236" s="75">
        <v>6233.0</v>
      </c>
      <c r="B6236" s="71"/>
      <c r="C6236" s="69" t="s">
        <v>24966</v>
      </c>
      <c r="D6236" s="71"/>
      <c r="E6236" s="68" t="s">
        <v>24967</v>
      </c>
      <c r="F6236" s="83">
        <v>41994.0</v>
      </c>
      <c r="G6236" s="68" t="s">
        <v>24968</v>
      </c>
      <c r="H6236" s="71"/>
      <c r="I6236" s="71"/>
      <c r="J6236" s="68" t="s">
        <v>24969</v>
      </c>
      <c r="K6236" s="76">
        <v>43675.0</v>
      </c>
      <c r="L6236" s="68" t="s">
        <v>24758</v>
      </c>
      <c r="M6236" s="68" t="s">
        <v>2097</v>
      </c>
      <c r="N6236" s="116"/>
      <c r="O6236" s="51"/>
    </row>
    <row r="6237">
      <c r="A6237" s="56">
        <v>6234.0</v>
      </c>
      <c r="B6237" s="71"/>
      <c r="C6237" s="69" t="s">
        <v>24970</v>
      </c>
      <c r="D6237" s="71"/>
      <c r="E6237" s="68" t="s">
        <v>24971</v>
      </c>
      <c r="F6237" s="76">
        <v>41813.0</v>
      </c>
      <c r="G6237" s="68" t="s">
        <v>24972</v>
      </c>
      <c r="H6237" s="71"/>
      <c r="I6237" s="71"/>
      <c r="J6237" s="87" t="s">
        <v>24973</v>
      </c>
      <c r="K6237" s="76">
        <v>43675.0</v>
      </c>
      <c r="L6237" s="68" t="s">
        <v>24758</v>
      </c>
      <c r="M6237" s="68" t="s">
        <v>125</v>
      </c>
      <c r="N6237" s="116"/>
      <c r="O6237" s="51"/>
    </row>
    <row r="6238">
      <c r="A6238" s="56">
        <v>6235.0</v>
      </c>
      <c r="B6238" s="71"/>
      <c r="C6238" s="69" t="s">
        <v>24974</v>
      </c>
      <c r="D6238" s="71"/>
      <c r="E6238" s="68" t="s">
        <v>24975</v>
      </c>
      <c r="F6238" s="76">
        <v>42874.0</v>
      </c>
      <c r="G6238" s="68" t="s">
        <v>24976</v>
      </c>
      <c r="H6238" s="71"/>
      <c r="I6238" s="68" t="s">
        <v>24977</v>
      </c>
      <c r="J6238" s="68" t="s">
        <v>24978</v>
      </c>
      <c r="K6238" s="76">
        <v>43675.0</v>
      </c>
      <c r="L6238" s="68" t="s">
        <v>2743</v>
      </c>
      <c r="M6238" s="68" t="s">
        <v>125</v>
      </c>
      <c r="N6238" s="116"/>
      <c r="O6238" s="51"/>
    </row>
    <row r="6239">
      <c r="A6239" s="56">
        <v>6236.0</v>
      </c>
      <c r="B6239" s="71"/>
      <c r="C6239" s="69" t="s">
        <v>24979</v>
      </c>
      <c r="D6239" s="71"/>
      <c r="E6239" s="68" t="s">
        <v>24980</v>
      </c>
      <c r="F6239" s="76">
        <v>42754.0</v>
      </c>
      <c r="G6239" s="68" t="s">
        <v>24981</v>
      </c>
      <c r="H6239" s="68" t="s">
        <v>24982</v>
      </c>
      <c r="I6239" s="71"/>
      <c r="J6239" s="87" t="s">
        <v>24983</v>
      </c>
      <c r="K6239" s="76">
        <v>43676.0</v>
      </c>
      <c r="L6239" s="68" t="s">
        <v>24758</v>
      </c>
      <c r="M6239" s="68" t="s">
        <v>282</v>
      </c>
      <c r="N6239" s="116"/>
      <c r="O6239" s="51"/>
    </row>
    <row r="6240">
      <c r="A6240" s="56">
        <v>6237.0</v>
      </c>
      <c r="B6240" s="71"/>
      <c r="C6240" s="69" t="s">
        <v>24984</v>
      </c>
      <c r="D6240" s="71"/>
      <c r="E6240" s="68" t="s">
        <v>24985</v>
      </c>
      <c r="F6240" s="76">
        <v>40664.0</v>
      </c>
      <c r="G6240" s="68" t="s">
        <v>24986</v>
      </c>
      <c r="H6240" s="68" t="s">
        <v>439</v>
      </c>
      <c r="I6240" s="71"/>
      <c r="J6240" s="87" t="s">
        <v>24987</v>
      </c>
      <c r="K6240" s="76">
        <v>43676.0</v>
      </c>
      <c r="L6240" s="68" t="s">
        <v>24758</v>
      </c>
      <c r="M6240" s="68" t="s">
        <v>195</v>
      </c>
      <c r="N6240" s="116"/>
      <c r="O6240" s="51"/>
    </row>
    <row r="6241">
      <c r="A6241" s="85">
        <v>6238.0</v>
      </c>
      <c r="B6241" s="82"/>
      <c r="C6241" s="79" t="s">
        <v>24988</v>
      </c>
      <c r="D6241" s="82"/>
      <c r="E6241" s="80" t="s">
        <v>24989</v>
      </c>
      <c r="F6241" s="81">
        <v>41735.0</v>
      </c>
      <c r="G6241" s="80" t="s">
        <v>24990</v>
      </c>
      <c r="H6241" s="82"/>
      <c r="I6241" s="82"/>
      <c r="J6241" s="82"/>
      <c r="K6241" s="81">
        <v>43676.0</v>
      </c>
      <c r="L6241" s="80" t="s">
        <v>24758</v>
      </c>
      <c r="M6241" s="80" t="s">
        <v>27</v>
      </c>
      <c r="N6241" s="116"/>
      <c r="O6241" s="51"/>
    </row>
    <row r="6242">
      <c r="A6242" s="56">
        <v>6239.0</v>
      </c>
      <c r="B6242" s="71"/>
      <c r="C6242" s="69" t="s">
        <v>24991</v>
      </c>
      <c r="D6242" s="71"/>
      <c r="E6242" s="68" t="s">
        <v>24992</v>
      </c>
      <c r="F6242" s="83">
        <v>43091.0</v>
      </c>
      <c r="G6242" s="68" t="s">
        <v>24993</v>
      </c>
      <c r="H6242" s="68" t="s">
        <v>24994</v>
      </c>
      <c r="I6242" s="71"/>
      <c r="J6242" s="68" t="s">
        <v>24995</v>
      </c>
      <c r="K6242" s="76">
        <v>43676.0</v>
      </c>
      <c r="L6242" s="68" t="s">
        <v>24758</v>
      </c>
      <c r="M6242" s="68" t="s">
        <v>2692</v>
      </c>
      <c r="N6242" s="116"/>
      <c r="O6242" s="51"/>
    </row>
    <row r="6243">
      <c r="A6243" s="56">
        <v>6240.0</v>
      </c>
      <c r="B6243" s="71"/>
      <c r="C6243" s="79" t="s">
        <v>24996</v>
      </c>
      <c r="D6243" s="82"/>
      <c r="E6243" s="80" t="s">
        <v>24997</v>
      </c>
      <c r="F6243" s="98">
        <v>41983.0</v>
      </c>
      <c r="G6243" s="80" t="s">
        <v>24998</v>
      </c>
      <c r="H6243" s="82"/>
      <c r="I6243" s="82"/>
      <c r="J6243" s="63" t="s">
        <v>136</v>
      </c>
      <c r="K6243" s="81">
        <v>43676.0</v>
      </c>
      <c r="L6243" s="80" t="s">
        <v>24758</v>
      </c>
      <c r="M6243" s="80" t="s">
        <v>195</v>
      </c>
      <c r="N6243" s="116"/>
      <c r="O6243" s="51"/>
    </row>
    <row r="6244">
      <c r="A6244" s="56">
        <v>6241.0</v>
      </c>
      <c r="B6244" s="71"/>
      <c r="C6244" s="69" t="s">
        <v>24999</v>
      </c>
      <c r="D6244" s="71"/>
      <c r="E6244" s="68" t="s">
        <v>25000</v>
      </c>
      <c r="F6244" s="76">
        <v>41421.0</v>
      </c>
      <c r="G6244" s="68" t="s">
        <v>25001</v>
      </c>
      <c r="H6244" s="71"/>
      <c r="I6244" s="71"/>
      <c r="J6244" s="87" t="s">
        <v>25002</v>
      </c>
      <c r="K6244" s="76">
        <v>43676.0</v>
      </c>
      <c r="L6244" s="68" t="s">
        <v>24758</v>
      </c>
      <c r="M6244" s="68" t="s">
        <v>25003</v>
      </c>
      <c r="N6244" s="116"/>
      <c r="O6244" s="51"/>
    </row>
    <row r="6245">
      <c r="A6245" s="56">
        <v>6242.0</v>
      </c>
      <c r="B6245" s="71"/>
      <c r="C6245" s="69" t="s">
        <v>25004</v>
      </c>
      <c r="D6245" s="71"/>
      <c r="E6245" s="68" t="s">
        <v>25005</v>
      </c>
      <c r="F6245" s="83">
        <v>41985.0</v>
      </c>
      <c r="G6245" s="68" t="s">
        <v>25006</v>
      </c>
      <c r="H6245" s="71"/>
      <c r="I6245" s="71"/>
      <c r="J6245" s="87" t="s">
        <v>25007</v>
      </c>
      <c r="K6245" s="76">
        <v>43676.0</v>
      </c>
      <c r="L6245" s="68" t="s">
        <v>24758</v>
      </c>
      <c r="M6245" s="68" t="s">
        <v>4749</v>
      </c>
      <c r="N6245" s="116"/>
      <c r="O6245" s="51"/>
    </row>
    <row r="6246">
      <c r="A6246" s="56">
        <v>6243.0</v>
      </c>
      <c r="B6246" s="71"/>
      <c r="C6246" s="69" t="s">
        <v>25008</v>
      </c>
      <c r="D6246" s="71"/>
      <c r="E6246" s="68" t="s">
        <v>25009</v>
      </c>
      <c r="F6246" s="76">
        <v>42267.0</v>
      </c>
      <c r="G6246" s="68" t="s">
        <v>25010</v>
      </c>
      <c r="H6246" s="71"/>
      <c r="I6246" s="71"/>
      <c r="J6246" s="68" t="s">
        <v>25011</v>
      </c>
      <c r="K6246" s="76">
        <v>43676.0</v>
      </c>
      <c r="L6246" s="68" t="s">
        <v>24758</v>
      </c>
      <c r="M6246" s="68" t="s">
        <v>166</v>
      </c>
      <c r="N6246" s="116"/>
      <c r="O6246" s="51"/>
    </row>
    <row r="6247">
      <c r="A6247" s="56">
        <v>6244.0</v>
      </c>
      <c r="B6247" s="71"/>
      <c r="C6247" s="69" t="s">
        <v>25012</v>
      </c>
      <c r="D6247" s="71"/>
      <c r="E6247" s="68" t="s">
        <v>25013</v>
      </c>
      <c r="F6247" s="76">
        <v>41086.0</v>
      </c>
      <c r="G6247" s="68" t="s">
        <v>25014</v>
      </c>
      <c r="H6247" s="71"/>
      <c r="I6247" s="71"/>
      <c r="J6247" s="87" t="s">
        <v>25015</v>
      </c>
      <c r="K6247" s="76">
        <v>43676.0</v>
      </c>
      <c r="L6247" s="68" t="s">
        <v>24758</v>
      </c>
      <c r="M6247" s="68" t="s">
        <v>4749</v>
      </c>
      <c r="N6247" s="116"/>
      <c r="O6247" s="51"/>
    </row>
    <row r="6248">
      <c r="A6248" s="75">
        <v>6245.0</v>
      </c>
      <c r="B6248" s="71"/>
      <c r="C6248" s="69" t="s">
        <v>25016</v>
      </c>
      <c r="D6248" s="71"/>
      <c r="E6248" s="68" t="s">
        <v>25017</v>
      </c>
      <c r="F6248" s="76">
        <v>42341.0</v>
      </c>
      <c r="G6248" s="68" t="s">
        <v>25018</v>
      </c>
      <c r="H6248" s="71"/>
      <c r="I6248" s="71"/>
      <c r="J6248" s="68" t="s">
        <v>25019</v>
      </c>
      <c r="K6248" s="76">
        <v>43676.0</v>
      </c>
      <c r="L6248" s="68" t="s">
        <v>2743</v>
      </c>
      <c r="M6248" s="68" t="s">
        <v>166</v>
      </c>
      <c r="N6248" s="116"/>
      <c r="O6248" s="51"/>
    </row>
    <row r="6249">
      <c r="A6249" s="56">
        <v>6246.0</v>
      </c>
      <c r="B6249" s="71"/>
      <c r="C6249" s="79" t="s">
        <v>25020</v>
      </c>
      <c r="D6249" s="82"/>
      <c r="E6249" s="80" t="s">
        <v>25021</v>
      </c>
      <c r="F6249" s="81">
        <v>42281.0</v>
      </c>
      <c r="G6249" s="80" t="s">
        <v>25022</v>
      </c>
      <c r="H6249" s="80" t="s">
        <v>25023</v>
      </c>
      <c r="I6249" s="82"/>
      <c r="J6249" s="63" t="s">
        <v>136</v>
      </c>
      <c r="K6249" s="81">
        <v>43676.0</v>
      </c>
      <c r="L6249" s="80" t="s">
        <v>2743</v>
      </c>
      <c r="M6249" s="80" t="s">
        <v>282</v>
      </c>
      <c r="N6249" s="116"/>
      <c r="O6249" s="51"/>
    </row>
    <row r="6250">
      <c r="A6250" s="56">
        <v>6247.0</v>
      </c>
      <c r="B6250" s="71"/>
      <c r="C6250" s="69" t="s">
        <v>25024</v>
      </c>
      <c r="D6250" s="71"/>
      <c r="E6250" s="68" t="s">
        <v>25025</v>
      </c>
      <c r="F6250" s="76">
        <v>43670.0</v>
      </c>
      <c r="G6250" s="68" t="s">
        <v>25026</v>
      </c>
      <c r="H6250" s="68" t="s">
        <v>25027</v>
      </c>
      <c r="I6250" s="71"/>
      <c r="J6250" s="87" t="s">
        <v>25028</v>
      </c>
      <c r="K6250" s="76">
        <v>43676.0</v>
      </c>
      <c r="L6250" s="68" t="s">
        <v>2743</v>
      </c>
      <c r="M6250" s="68" t="s">
        <v>2527</v>
      </c>
      <c r="N6250" s="116"/>
      <c r="O6250" s="51"/>
    </row>
    <row r="6251">
      <c r="A6251" s="56">
        <v>6248.0</v>
      </c>
      <c r="B6251" s="71"/>
      <c r="C6251" s="79" t="s">
        <v>25029</v>
      </c>
      <c r="D6251" s="82"/>
      <c r="E6251" s="80" t="s">
        <v>25030</v>
      </c>
      <c r="F6251" s="81">
        <v>40577.0</v>
      </c>
      <c r="G6251" s="80" t="s">
        <v>25031</v>
      </c>
      <c r="H6251" s="80" t="s">
        <v>25032</v>
      </c>
      <c r="I6251" s="82"/>
      <c r="J6251" s="63" t="s">
        <v>136</v>
      </c>
      <c r="K6251" s="81">
        <v>43676.0</v>
      </c>
      <c r="L6251" s="80" t="s">
        <v>2743</v>
      </c>
      <c r="M6251" s="80" t="s">
        <v>166</v>
      </c>
      <c r="N6251" s="116"/>
      <c r="O6251" s="51"/>
    </row>
    <row r="6252">
      <c r="A6252" s="56">
        <v>6249.0</v>
      </c>
      <c r="B6252" s="71"/>
      <c r="C6252" s="79" t="s">
        <v>25033</v>
      </c>
      <c r="D6252" s="82"/>
      <c r="E6252" s="80" t="s">
        <v>25034</v>
      </c>
      <c r="F6252" s="81">
        <v>40360.0</v>
      </c>
      <c r="G6252" s="80" t="s">
        <v>25035</v>
      </c>
      <c r="H6252" s="82"/>
      <c r="I6252" s="82"/>
      <c r="J6252" s="63" t="s">
        <v>136</v>
      </c>
      <c r="K6252" s="81">
        <v>43676.0</v>
      </c>
      <c r="L6252" s="80" t="s">
        <v>2743</v>
      </c>
      <c r="M6252" s="80" t="s">
        <v>530</v>
      </c>
      <c r="N6252" s="116"/>
      <c r="O6252" s="51"/>
    </row>
    <row r="6253">
      <c r="A6253" s="75">
        <v>6250.0</v>
      </c>
      <c r="B6253" s="71"/>
      <c r="C6253" s="69" t="s">
        <v>25036</v>
      </c>
      <c r="D6253" s="71"/>
      <c r="E6253" s="68" t="s">
        <v>25037</v>
      </c>
      <c r="F6253" s="76">
        <v>42005.0</v>
      </c>
      <c r="G6253" s="68" t="s">
        <v>25038</v>
      </c>
      <c r="H6253" s="68" t="s">
        <v>25039</v>
      </c>
      <c r="I6253" s="68" t="s">
        <v>25040</v>
      </c>
      <c r="J6253" s="68" t="s">
        <v>25041</v>
      </c>
      <c r="K6253" s="76">
        <v>43676.0</v>
      </c>
      <c r="L6253" s="68" t="s">
        <v>16185</v>
      </c>
      <c r="M6253" s="68" t="s">
        <v>149</v>
      </c>
      <c r="N6253" s="116"/>
      <c r="O6253" s="51"/>
    </row>
    <row r="6254">
      <c r="A6254" s="56">
        <v>6251.0</v>
      </c>
      <c r="B6254" s="71"/>
      <c r="C6254" s="69" t="s">
        <v>25042</v>
      </c>
      <c r="D6254" s="71"/>
      <c r="E6254" s="68" t="s">
        <v>25043</v>
      </c>
      <c r="F6254" s="76">
        <v>43620.0</v>
      </c>
      <c r="G6254" s="68" t="s">
        <v>25044</v>
      </c>
      <c r="H6254" s="71"/>
      <c r="I6254" s="71"/>
      <c r="J6254" s="87" t="s">
        <v>25045</v>
      </c>
      <c r="K6254" s="76">
        <v>43676.0</v>
      </c>
      <c r="L6254" s="68" t="s">
        <v>16185</v>
      </c>
      <c r="M6254" s="68" t="s">
        <v>2291</v>
      </c>
      <c r="N6254" s="116"/>
      <c r="O6254" s="51"/>
    </row>
    <row r="6255">
      <c r="A6255" s="75">
        <v>6252.0</v>
      </c>
      <c r="B6255" s="71"/>
      <c r="C6255" s="69" t="s">
        <v>25046</v>
      </c>
      <c r="D6255" s="71"/>
      <c r="E6255" s="68" t="s">
        <v>25047</v>
      </c>
      <c r="F6255" s="76">
        <v>43576.0</v>
      </c>
      <c r="G6255" s="68" t="s">
        <v>25048</v>
      </c>
      <c r="H6255" s="71"/>
      <c r="I6255" s="71"/>
      <c r="J6255" s="68" t="s">
        <v>25049</v>
      </c>
      <c r="K6255" s="76">
        <v>43677.0</v>
      </c>
      <c r="L6255" s="68" t="s">
        <v>24758</v>
      </c>
      <c r="M6255" s="68" t="s">
        <v>27</v>
      </c>
      <c r="N6255" s="116"/>
      <c r="O6255" s="51"/>
    </row>
    <row r="6256">
      <c r="A6256" s="75">
        <v>6253.0</v>
      </c>
      <c r="B6256" s="71"/>
      <c r="C6256" s="69" t="s">
        <v>25050</v>
      </c>
      <c r="D6256" s="71"/>
      <c r="E6256" s="68" t="s">
        <v>25051</v>
      </c>
      <c r="F6256" s="76">
        <v>43576.0</v>
      </c>
      <c r="G6256" s="68" t="s">
        <v>25048</v>
      </c>
      <c r="H6256" s="71"/>
      <c r="I6256" s="71"/>
      <c r="J6256" s="68" t="s">
        <v>25052</v>
      </c>
      <c r="K6256" s="76">
        <v>43677.0</v>
      </c>
      <c r="L6256" s="68" t="s">
        <v>24758</v>
      </c>
      <c r="M6256" s="68" t="s">
        <v>27</v>
      </c>
      <c r="N6256" s="116"/>
      <c r="O6256" s="51"/>
    </row>
    <row r="6257">
      <c r="A6257" s="56">
        <v>6254.0</v>
      </c>
      <c r="B6257" s="71"/>
      <c r="C6257" s="69" t="s">
        <v>25053</v>
      </c>
      <c r="D6257" s="71"/>
      <c r="E6257" s="68" t="s">
        <v>25054</v>
      </c>
      <c r="F6257" s="76">
        <v>43576.0</v>
      </c>
      <c r="G6257" s="68" t="s">
        <v>25048</v>
      </c>
      <c r="H6257" s="68" t="s">
        <v>25055</v>
      </c>
      <c r="I6257" s="71"/>
      <c r="J6257" s="87" t="s">
        <v>25056</v>
      </c>
      <c r="K6257" s="76">
        <v>43677.0</v>
      </c>
      <c r="L6257" s="68" t="s">
        <v>24758</v>
      </c>
      <c r="M6257" s="68" t="s">
        <v>27</v>
      </c>
      <c r="N6257" s="116"/>
      <c r="O6257" s="51"/>
    </row>
    <row r="6258">
      <c r="A6258" s="75">
        <v>6255.0</v>
      </c>
      <c r="B6258" s="71"/>
      <c r="C6258" s="69" t="s">
        <v>25057</v>
      </c>
      <c r="D6258" s="71"/>
      <c r="E6258" s="68" t="s">
        <v>25058</v>
      </c>
      <c r="F6258" s="76">
        <v>43576.0</v>
      </c>
      <c r="G6258" s="68" t="s">
        <v>25048</v>
      </c>
      <c r="H6258" s="68" t="s">
        <v>25059</v>
      </c>
      <c r="I6258" s="71"/>
      <c r="J6258" s="68" t="s">
        <v>25052</v>
      </c>
      <c r="K6258" s="76">
        <v>43677.0</v>
      </c>
      <c r="L6258" s="68" t="s">
        <v>24758</v>
      </c>
      <c r="M6258" s="68" t="s">
        <v>27</v>
      </c>
      <c r="N6258" s="116"/>
      <c r="O6258" s="51"/>
    </row>
    <row r="6259">
      <c r="A6259" s="56">
        <v>6256.0</v>
      </c>
      <c r="B6259" s="71"/>
      <c r="C6259" s="79" t="s">
        <v>25060</v>
      </c>
      <c r="D6259" s="82"/>
      <c r="E6259" s="80" t="s">
        <v>25061</v>
      </c>
      <c r="F6259" s="81">
        <v>39995.0</v>
      </c>
      <c r="G6259" s="80" t="s">
        <v>25062</v>
      </c>
      <c r="H6259" s="82"/>
      <c r="I6259" s="80" t="s">
        <v>25063</v>
      </c>
      <c r="J6259" s="63" t="s">
        <v>136</v>
      </c>
      <c r="K6259" s="81">
        <v>43677.0</v>
      </c>
      <c r="L6259" s="80" t="s">
        <v>2743</v>
      </c>
      <c r="M6259" s="80" t="s">
        <v>4749</v>
      </c>
      <c r="N6259" s="87" t="s">
        <v>25064</v>
      </c>
      <c r="O6259" s="51"/>
    </row>
    <row r="6260">
      <c r="A6260" s="56">
        <v>6257.0</v>
      </c>
      <c r="B6260" s="71"/>
      <c r="C6260" s="69" t="s">
        <v>25065</v>
      </c>
      <c r="D6260" s="71"/>
      <c r="E6260" s="68" t="s">
        <v>25066</v>
      </c>
      <c r="F6260" s="76">
        <v>43536.0</v>
      </c>
      <c r="G6260" s="68" t="s">
        <v>25067</v>
      </c>
      <c r="H6260" s="71"/>
      <c r="I6260" s="71"/>
      <c r="J6260" s="68" t="s">
        <v>25068</v>
      </c>
      <c r="K6260" s="76">
        <v>43678.0</v>
      </c>
      <c r="L6260" s="68" t="s">
        <v>2743</v>
      </c>
      <c r="M6260" s="68" t="s">
        <v>166</v>
      </c>
      <c r="N6260" s="87" t="s">
        <v>25069</v>
      </c>
      <c r="O6260" s="51"/>
    </row>
    <row r="6261">
      <c r="A6261" s="56">
        <v>6258.0</v>
      </c>
      <c r="B6261" s="71"/>
      <c r="C6261" s="69" t="s">
        <v>25070</v>
      </c>
      <c r="D6261" s="71"/>
      <c r="E6261" s="68" t="s">
        <v>25071</v>
      </c>
      <c r="F6261" s="76">
        <v>43536.0</v>
      </c>
      <c r="G6261" s="68" t="s">
        <v>25067</v>
      </c>
      <c r="H6261" s="71"/>
      <c r="I6261" s="71"/>
      <c r="J6261" s="68" t="s">
        <v>25072</v>
      </c>
      <c r="K6261" s="76">
        <v>43678.0</v>
      </c>
      <c r="L6261" s="68" t="s">
        <v>2743</v>
      </c>
      <c r="M6261" s="68" t="s">
        <v>166</v>
      </c>
      <c r="N6261" s="116"/>
      <c r="O6261" s="51"/>
    </row>
    <row r="6262">
      <c r="A6262" s="56">
        <v>6259.0</v>
      </c>
      <c r="B6262" s="71"/>
      <c r="C6262" s="79" t="s">
        <v>25073</v>
      </c>
      <c r="D6262" s="82"/>
      <c r="E6262" s="80" t="s">
        <v>25074</v>
      </c>
      <c r="F6262" s="81">
        <v>39995.0</v>
      </c>
      <c r="G6262" s="80" t="s">
        <v>25075</v>
      </c>
      <c r="H6262" s="80" t="s">
        <v>25076</v>
      </c>
      <c r="I6262" s="82"/>
      <c r="J6262" s="63" t="s">
        <v>136</v>
      </c>
      <c r="K6262" s="81">
        <v>43678.0</v>
      </c>
      <c r="L6262" s="80" t="s">
        <v>2743</v>
      </c>
      <c r="M6262" s="80" t="s">
        <v>530</v>
      </c>
      <c r="N6262" s="116"/>
      <c r="O6262" s="51"/>
    </row>
    <row r="6263">
      <c r="A6263" s="56">
        <v>6260.0</v>
      </c>
      <c r="B6263" s="71"/>
      <c r="C6263" s="79" t="s">
        <v>25077</v>
      </c>
      <c r="D6263" s="82"/>
      <c r="E6263" s="80" t="s">
        <v>25078</v>
      </c>
      <c r="F6263" s="98">
        <v>43383.0</v>
      </c>
      <c r="G6263" s="80" t="s">
        <v>25079</v>
      </c>
      <c r="H6263" s="82"/>
      <c r="I6263" s="80" t="s">
        <v>25080</v>
      </c>
      <c r="J6263" s="63" t="s">
        <v>136</v>
      </c>
      <c r="K6263" s="81">
        <v>43679.0</v>
      </c>
      <c r="L6263" s="80" t="s">
        <v>2743</v>
      </c>
      <c r="M6263" s="80" t="s">
        <v>125</v>
      </c>
      <c r="N6263" s="116"/>
      <c r="O6263" s="51"/>
    </row>
    <row r="6264">
      <c r="A6264" s="56">
        <v>6261.0</v>
      </c>
      <c r="B6264" s="71"/>
      <c r="C6264" s="79" t="s">
        <v>25081</v>
      </c>
      <c r="D6264" s="82"/>
      <c r="E6264" s="80" t="s">
        <v>25082</v>
      </c>
      <c r="F6264" s="81">
        <v>40026.0</v>
      </c>
      <c r="G6264" s="80" t="s">
        <v>25083</v>
      </c>
      <c r="H6264" s="82"/>
      <c r="I6264" s="80" t="s">
        <v>25084</v>
      </c>
      <c r="J6264" s="63" t="s">
        <v>136</v>
      </c>
      <c r="K6264" s="81">
        <v>43679.0</v>
      </c>
      <c r="L6264" s="80" t="s">
        <v>2743</v>
      </c>
      <c r="M6264" s="80" t="s">
        <v>125</v>
      </c>
      <c r="N6264" s="116"/>
      <c r="O6264" s="51"/>
    </row>
    <row r="6265">
      <c r="A6265" s="56">
        <v>6262.0</v>
      </c>
      <c r="B6265" s="71"/>
      <c r="C6265" s="69" t="s">
        <v>25085</v>
      </c>
      <c r="D6265" s="71"/>
      <c r="E6265" s="68" t="s">
        <v>25086</v>
      </c>
      <c r="F6265" s="76">
        <v>41396.0</v>
      </c>
      <c r="G6265" s="68" t="s">
        <v>25087</v>
      </c>
      <c r="H6265" s="71"/>
      <c r="I6265" s="71"/>
      <c r="J6265" s="87" t="s">
        <v>25088</v>
      </c>
      <c r="K6265" s="76">
        <v>43680.0</v>
      </c>
      <c r="L6265" s="68" t="s">
        <v>2743</v>
      </c>
      <c r="M6265" s="68" t="s">
        <v>125</v>
      </c>
      <c r="N6265" s="116"/>
      <c r="O6265" s="51"/>
    </row>
    <row r="6266">
      <c r="A6266" s="56">
        <v>6263.0</v>
      </c>
      <c r="B6266" s="71"/>
      <c r="C6266" s="69" t="s">
        <v>25089</v>
      </c>
      <c r="D6266" s="71"/>
      <c r="E6266" s="68" t="s">
        <v>25090</v>
      </c>
      <c r="F6266" s="83">
        <v>41992.0</v>
      </c>
      <c r="G6266" s="68" t="s">
        <v>25091</v>
      </c>
      <c r="H6266" s="68" t="s">
        <v>25092</v>
      </c>
      <c r="I6266" s="71"/>
      <c r="J6266" s="68" t="s">
        <v>25093</v>
      </c>
      <c r="K6266" s="76">
        <v>43680.0</v>
      </c>
      <c r="L6266" s="68" t="s">
        <v>2743</v>
      </c>
      <c r="M6266" s="68" t="s">
        <v>166</v>
      </c>
      <c r="N6266" s="116"/>
      <c r="O6266" s="51"/>
    </row>
    <row r="6267">
      <c r="A6267" s="56">
        <v>6264.0</v>
      </c>
      <c r="B6267" s="71"/>
      <c r="C6267" s="79" t="s">
        <v>25094</v>
      </c>
      <c r="D6267" s="82"/>
      <c r="E6267" s="80" t="s">
        <v>25095</v>
      </c>
      <c r="F6267" s="98">
        <v>43460.0</v>
      </c>
      <c r="G6267" s="80" t="s">
        <v>25096</v>
      </c>
      <c r="H6267" s="80" t="s">
        <v>25097</v>
      </c>
      <c r="I6267" s="82"/>
      <c r="J6267" s="63" t="s">
        <v>136</v>
      </c>
      <c r="K6267" s="81">
        <v>43682.0</v>
      </c>
      <c r="L6267" s="80" t="s">
        <v>16456</v>
      </c>
      <c r="M6267" s="80" t="s">
        <v>166</v>
      </c>
      <c r="N6267" s="116"/>
      <c r="O6267" s="51"/>
    </row>
    <row r="6268">
      <c r="A6268" s="56">
        <v>6265.0</v>
      </c>
      <c r="B6268" s="71"/>
      <c r="C6268" s="79" t="s">
        <v>25098</v>
      </c>
      <c r="D6268" s="82"/>
      <c r="E6268" s="80" t="s">
        <v>25099</v>
      </c>
      <c r="F6268" s="81">
        <v>40349.0</v>
      </c>
      <c r="G6268" s="80" t="s">
        <v>25100</v>
      </c>
      <c r="H6268" s="82"/>
      <c r="I6268" s="82"/>
      <c r="J6268" s="63" t="s">
        <v>136</v>
      </c>
      <c r="K6268" s="81">
        <v>43683.0</v>
      </c>
      <c r="L6268" s="80" t="s">
        <v>2743</v>
      </c>
      <c r="M6268" s="80" t="s">
        <v>941</v>
      </c>
      <c r="N6268" s="116"/>
      <c r="O6268" s="51"/>
    </row>
    <row r="6269">
      <c r="A6269" s="56">
        <v>6266.0</v>
      </c>
      <c r="B6269" s="71"/>
      <c r="C6269" s="79" t="s">
        <v>25101</v>
      </c>
      <c r="D6269" s="82"/>
      <c r="E6269" s="80" t="s">
        <v>25102</v>
      </c>
      <c r="F6269" s="81">
        <v>40349.0</v>
      </c>
      <c r="G6269" s="80" t="s">
        <v>25100</v>
      </c>
      <c r="H6269" s="82"/>
      <c r="I6269" s="82"/>
      <c r="J6269" s="63" t="s">
        <v>136</v>
      </c>
      <c r="K6269" s="81">
        <v>43683.0</v>
      </c>
      <c r="L6269" s="80" t="s">
        <v>2743</v>
      </c>
      <c r="M6269" s="80" t="s">
        <v>941</v>
      </c>
      <c r="N6269" s="116"/>
      <c r="O6269" s="51"/>
    </row>
    <row r="6270">
      <c r="A6270" s="75">
        <v>6267.0</v>
      </c>
      <c r="B6270" s="71"/>
      <c r="C6270" s="69" t="s">
        <v>25103</v>
      </c>
      <c r="D6270" s="71"/>
      <c r="E6270" s="68" t="s">
        <v>25104</v>
      </c>
      <c r="F6270" s="76">
        <v>41821.0</v>
      </c>
      <c r="G6270" s="68" t="s">
        <v>25105</v>
      </c>
      <c r="H6270" s="71"/>
      <c r="I6270" s="68" t="s">
        <v>25106</v>
      </c>
      <c r="J6270" s="68" t="s">
        <v>25107</v>
      </c>
      <c r="K6270" s="76">
        <v>43683.0</v>
      </c>
      <c r="L6270" s="68" t="s">
        <v>2743</v>
      </c>
      <c r="M6270" s="68" t="s">
        <v>125</v>
      </c>
      <c r="N6270" s="116"/>
      <c r="O6270" s="51"/>
    </row>
    <row r="6271">
      <c r="A6271" s="56">
        <v>6268.0</v>
      </c>
      <c r="B6271" s="71"/>
      <c r="C6271" s="79" t="s">
        <v>25108</v>
      </c>
      <c r="D6271" s="82"/>
      <c r="E6271" s="80" t="s">
        <v>25109</v>
      </c>
      <c r="F6271" s="81">
        <v>41821.0</v>
      </c>
      <c r="G6271" s="80" t="s">
        <v>25110</v>
      </c>
      <c r="H6271" s="82"/>
      <c r="I6271" s="82"/>
      <c r="J6271" s="63" t="s">
        <v>136</v>
      </c>
      <c r="K6271" s="81">
        <v>43683.0</v>
      </c>
      <c r="L6271" s="80" t="s">
        <v>2743</v>
      </c>
      <c r="M6271" s="80" t="s">
        <v>125</v>
      </c>
      <c r="N6271" s="116"/>
      <c r="O6271" s="51"/>
    </row>
    <row r="6272">
      <c r="A6272" s="56">
        <v>6269.0</v>
      </c>
      <c r="B6272" s="71"/>
      <c r="C6272" s="79" t="s">
        <v>25111</v>
      </c>
      <c r="D6272" s="82"/>
      <c r="E6272" s="80" t="s">
        <v>25112</v>
      </c>
      <c r="F6272" s="81">
        <v>42947.0</v>
      </c>
      <c r="G6272" s="80" t="s">
        <v>25113</v>
      </c>
      <c r="H6272" s="80" t="s">
        <v>25114</v>
      </c>
      <c r="I6272" s="82"/>
      <c r="J6272" s="63" t="s">
        <v>136</v>
      </c>
      <c r="K6272" s="81">
        <v>43685.0</v>
      </c>
      <c r="L6272" s="80" t="s">
        <v>2743</v>
      </c>
      <c r="M6272" s="80" t="s">
        <v>31</v>
      </c>
      <c r="N6272" s="116"/>
      <c r="O6272" s="51"/>
    </row>
    <row r="6273">
      <c r="A6273" s="56">
        <v>6270.0</v>
      </c>
      <c r="B6273" s="71"/>
      <c r="C6273" s="69" t="s">
        <v>25115</v>
      </c>
      <c r="D6273" s="71"/>
      <c r="E6273" s="68" t="s">
        <v>25116</v>
      </c>
      <c r="F6273" s="76">
        <v>43675.0</v>
      </c>
      <c r="G6273" s="68" t="s">
        <v>25117</v>
      </c>
      <c r="H6273" s="68" t="s">
        <v>25118</v>
      </c>
      <c r="I6273" s="71"/>
      <c r="J6273" s="87" t="s">
        <v>25119</v>
      </c>
      <c r="K6273" s="76">
        <v>43686.0</v>
      </c>
      <c r="L6273" s="68" t="s">
        <v>2743</v>
      </c>
      <c r="M6273" s="68" t="s">
        <v>31</v>
      </c>
      <c r="N6273" s="116"/>
      <c r="O6273" s="51"/>
    </row>
    <row r="6274">
      <c r="A6274" s="56">
        <v>6271.0</v>
      </c>
      <c r="B6274" s="71"/>
      <c r="C6274" s="69" t="s">
        <v>25120</v>
      </c>
      <c r="D6274" s="71"/>
      <c r="E6274" s="68" t="s">
        <v>25121</v>
      </c>
      <c r="F6274" s="76">
        <v>43125.0</v>
      </c>
      <c r="G6274" s="68" t="s">
        <v>25122</v>
      </c>
      <c r="H6274" s="68" t="s">
        <v>25123</v>
      </c>
      <c r="I6274" s="71"/>
      <c r="J6274" s="87" t="s">
        <v>25124</v>
      </c>
      <c r="K6274" s="76">
        <v>43686.0</v>
      </c>
      <c r="L6274" s="68" t="s">
        <v>2743</v>
      </c>
      <c r="M6274" s="68" t="s">
        <v>2152</v>
      </c>
      <c r="N6274" s="116"/>
      <c r="O6274" s="51"/>
    </row>
    <row r="6275">
      <c r="A6275" s="56">
        <v>6272.0</v>
      </c>
      <c r="B6275" s="71"/>
      <c r="C6275" s="79" t="s">
        <v>25125</v>
      </c>
      <c r="D6275" s="82"/>
      <c r="E6275" s="80" t="s">
        <v>25126</v>
      </c>
      <c r="F6275" s="81">
        <v>39630.0</v>
      </c>
      <c r="G6275" s="80" t="s">
        <v>25127</v>
      </c>
      <c r="H6275" s="80" t="s">
        <v>25128</v>
      </c>
      <c r="I6275" s="82"/>
      <c r="J6275" s="63" t="s">
        <v>136</v>
      </c>
      <c r="K6275" s="81">
        <v>43687.0</v>
      </c>
      <c r="L6275" s="80" t="s">
        <v>2743</v>
      </c>
      <c r="M6275" s="80" t="s">
        <v>530</v>
      </c>
      <c r="N6275" s="116"/>
      <c r="O6275" s="51"/>
    </row>
    <row r="6276">
      <c r="A6276" s="56">
        <v>6273.0</v>
      </c>
      <c r="B6276" s="71"/>
      <c r="C6276" s="79" t="s">
        <v>25129</v>
      </c>
      <c r="D6276" s="82"/>
      <c r="E6276" s="80" t="s">
        <v>25130</v>
      </c>
      <c r="F6276" s="81">
        <v>39995.0</v>
      </c>
      <c r="G6276" s="80" t="s">
        <v>25131</v>
      </c>
      <c r="H6276" s="82"/>
      <c r="I6276" s="82"/>
      <c r="J6276" s="63" t="s">
        <v>136</v>
      </c>
      <c r="K6276" s="81">
        <v>43687.0</v>
      </c>
      <c r="L6276" s="80" t="s">
        <v>2743</v>
      </c>
      <c r="M6276" s="80" t="s">
        <v>530</v>
      </c>
      <c r="N6276" s="116"/>
      <c r="O6276" s="51"/>
    </row>
    <row r="6277">
      <c r="A6277" s="56">
        <v>6274.0</v>
      </c>
      <c r="B6277" s="71"/>
      <c r="C6277" s="79" t="s">
        <v>25132</v>
      </c>
      <c r="D6277" s="82"/>
      <c r="E6277" s="80" t="s">
        <v>25133</v>
      </c>
      <c r="F6277" s="81">
        <v>41091.0</v>
      </c>
      <c r="G6277" s="80" t="s">
        <v>25134</v>
      </c>
      <c r="H6277" s="82"/>
      <c r="I6277" s="82"/>
      <c r="J6277" s="63" t="s">
        <v>136</v>
      </c>
      <c r="K6277" s="81">
        <v>43687.0</v>
      </c>
      <c r="L6277" s="80" t="s">
        <v>2743</v>
      </c>
      <c r="M6277" s="80" t="s">
        <v>25003</v>
      </c>
      <c r="N6277" s="116"/>
      <c r="O6277" s="51"/>
    </row>
    <row r="6278">
      <c r="A6278" s="56">
        <v>6275.0</v>
      </c>
      <c r="B6278" s="71"/>
      <c r="C6278" s="79" t="s">
        <v>25135</v>
      </c>
      <c r="D6278" s="82"/>
      <c r="E6278" s="80" t="s">
        <v>25136</v>
      </c>
      <c r="F6278" s="81">
        <v>41091.0</v>
      </c>
      <c r="G6278" s="80" t="s">
        <v>25137</v>
      </c>
      <c r="H6278" s="82"/>
      <c r="I6278" s="82"/>
      <c r="J6278" s="63" t="s">
        <v>136</v>
      </c>
      <c r="K6278" s="81">
        <v>43687.0</v>
      </c>
      <c r="L6278" s="80" t="s">
        <v>2743</v>
      </c>
      <c r="M6278" s="80" t="s">
        <v>530</v>
      </c>
      <c r="N6278" s="116"/>
      <c r="O6278" s="51"/>
    </row>
    <row r="6279">
      <c r="A6279" s="56">
        <v>6276.0</v>
      </c>
      <c r="B6279" s="71"/>
      <c r="C6279" s="69" t="s">
        <v>25138</v>
      </c>
      <c r="D6279" s="71"/>
      <c r="E6279" s="68" t="s">
        <v>25139</v>
      </c>
      <c r="F6279" s="76">
        <v>43558.0</v>
      </c>
      <c r="G6279" s="68" t="s">
        <v>25140</v>
      </c>
      <c r="H6279" s="71"/>
      <c r="I6279" s="71"/>
      <c r="J6279" s="100" t="s">
        <v>25141</v>
      </c>
      <c r="K6279" s="225">
        <v>43687.0</v>
      </c>
      <c r="L6279" s="68" t="s">
        <v>2743</v>
      </c>
      <c r="M6279" s="68" t="s">
        <v>166</v>
      </c>
      <c r="N6279" s="116"/>
      <c r="O6279" s="51"/>
    </row>
    <row r="6280">
      <c r="A6280" s="56">
        <v>6277.0</v>
      </c>
      <c r="B6280" s="71"/>
      <c r="C6280" s="69" t="s">
        <v>25142</v>
      </c>
      <c r="D6280" s="71"/>
      <c r="E6280" s="68" t="s">
        <v>25143</v>
      </c>
      <c r="F6280" s="76">
        <v>43660.0</v>
      </c>
      <c r="G6280" s="68" t="s">
        <v>25144</v>
      </c>
      <c r="H6280" s="68" t="s">
        <v>25145</v>
      </c>
      <c r="I6280" s="71"/>
      <c r="J6280" s="68" t="s">
        <v>25146</v>
      </c>
      <c r="K6280" s="76">
        <v>43698.0</v>
      </c>
      <c r="L6280" s="68" t="s">
        <v>2743</v>
      </c>
      <c r="M6280" s="68" t="s">
        <v>31</v>
      </c>
      <c r="N6280" s="116"/>
      <c r="O6280" s="51"/>
    </row>
    <row r="6281">
      <c r="A6281" s="56">
        <v>6278.0</v>
      </c>
      <c r="B6281" s="71"/>
      <c r="C6281" s="69" t="s">
        <v>25147</v>
      </c>
      <c r="D6281" s="71"/>
      <c r="E6281" s="68" t="s">
        <v>25148</v>
      </c>
      <c r="F6281" s="76">
        <v>43654.0</v>
      </c>
      <c r="G6281" s="68" t="s">
        <v>25149</v>
      </c>
      <c r="H6281" s="68" t="s">
        <v>25150</v>
      </c>
      <c r="I6281" s="71"/>
      <c r="J6281" s="68" t="s">
        <v>25151</v>
      </c>
      <c r="K6281" s="76">
        <v>43698.0</v>
      </c>
      <c r="L6281" s="68" t="s">
        <v>2743</v>
      </c>
      <c r="M6281" s="68" t="s">
        <v>143</v>
      </c>
      <c r="N6281" s="116"/>
      <c r="O6281" s="51"/>
    </row>
    <row r="6282">
      <c r="A6282" s="56">
        <v>6279.0</v>
      </c>
      <c r="B6282" s="71"/>
      <c r="C6282" s="79" t="s">
        <v>25152</v>
      </c>
      <c r="D6282" s="82"/>
      <c r="E6282" s="80" t="s">
        <v>25153</v>
      </c>
      <c r="F6282" s="81">
        <v>42997.0</v>
      </c>
      <c r="G6282" s="80" t="s">
        <v>25154</v>
      </c>
      <c r="H6282" s="80" t="s">
        <v>25155</v>
      </c>
      <c r="I6282" s="82"/>
      <c r="J6282" s="63" t="s">
        <v>136</v>
      </c>
      <c r="K6282" s="81">
        <v>43698.0</v>
      </c>
      <c r="L6282" s="80" t="s">
        <v>2743</v>
      </c>
      <c r="M6282" s="80" t="s">
        <v>149</v>
      </c>
      <c r="N6282" s="116"/>
      <c r="O6282" s="51"/>
    </row>
    <row r="6283">
      <c r="A6283" s="56">
        <v>6280.0</v>
      </c>
      <c r="B6283" s="71"/>
      <c r="C6283" s="69" t="s">
        <v>25156</v>
      </c>
      <c r="D6283" s="71"/>
      <c r="E6283" s="68" t="s">
        <v>25157</v>
      </c>
      <c r="F6283" s="76">
        <v>43648.0</v>
      </c>
      <c r="G6283" s="68" t="s">
        <v>25158</v>
      </c>
      <c r="H6283" s="71"/>
      <c r="I6283" s="71"/>
      <c r="J6283" s="68" t="s">
        <v>25159</v>
      </c>
      <c r="K6283" s="76">
        <v>43698.0</v>
      </c>
      <c r="L6283" s="68" t="s">
        <v>2743</v>
      </c>
      <c r="M6283" s="68" t="s">
        <v>143</v>
      </c>
      <c r="N6283" s="116"/>
      <c r="O6283" s="51"/>
    </row>
    <row r="6284">
      <c r="A6284" s="56">
        <v>6281.0</v>
      </c>
      <c r="B6284" s="71"/>
      <c r="C6284" s="79" t="s">
        <v>25160</v>
      </c>
      <c r="D6284" s="82"/>
      <c r="E6284" s="80" t="s">
        <v>25161</v>
      </c>
      <c r="F6284" s="98">
        <v>40170.0</v>
      </c>
      <c r="G6284" s="80" t="s">
        <v>25162</v>
      </c>
      <c r="H6284" s="82"/>
      <c r="I6284" s="82"/>
      <c r="J6284" s="63" t="s">
        <v>136</v>
      </c>
      <c r="K6284" s="81">
        <v>43703.0</v>
      </c>
      <c r="L6284" s="80" t="s">
        <v>2743</v>
      </c>
      <c r="M6284" s="80" t="s">
        <v>530</v>
      </c>
      <c r="N6284" s="116"/>
      <c r="O6284" s="51"/>
    </row>
    <row r="6285">
      <c r="A6285" s="56">
        <v>6282.0</v>
      </c>
      <c r="B6285" s="71"/>
      <c r="C6285" s="79" t="s">
        <v>25163</v>
      </c>
      <c r="D6285" s="82"/>
      <c r="E6285" s="80" t="s">
        <v>25164</v>
      </c>
      <c r="F6285" s="81">
        <v>42389.0</v>
      </c>
      <c r="G6285" s="80" t="s">
        <v>25165</v>
      </c>
      <c r="H6285" s="82"/>
      <c r="I6285" s="82"/>
      <c r="J6285" s="63" t="s">
        <v>136</v>
      </c>
      <c r="K6285" s="81">
        <v>43703.0</v>
      </c>
      <c r="L6285" s="80" t="s">
        <v>2743</v>
      </c>
      <c r="M6285" s="80" t="s">
        <v>542</v>
      </c>
      <c r="N6285" s="116"/>
      <c r="O6285" s="51"/>
    </row>
    <row r="6286">
      <c r="A6286" s="56">
        <v>6283.0</v>
      </c>
      <c r="B6286" s="71"/>
      <c r="C6286" s="69" t="s">
        <v>25166</v>
      </c>
      <c r="D6286" s="71"/>
      <c r="E6286" s="68" t="s">
        <v>21477</v>
      </c>
      <c r="F6286" s="83">
        <v>43383.0</v>
      </c>
      <c r="G6286" s="68" t="s">
        <v>25167</v>
      </c>
      <c r="H6286" s="71"/>
      <c r="I6286" s="71"/>
      <c r="J6286" s="68" t="s">
        <v>25168</v>
      </c>
      <c r="K6286" s="76">
        <v>43703.0</v>
      </c>
      <c r="L6286" s="68" t="s">
        <v>2743</v>
      </c>
      <c r="M6286" s="68" t="s">
        <v>27</v>
      </c>
      <c r="N6286" s="116"/>
      <c r="O6286" s="51"/>
    </row>
    <row r="6287">
      <c r="A6287" s="56">
        <v>6284.0</v>
      </c>
      <c r="B6287" s="71"/>
      <c r="C6287" s="79" t="s">
        <v>25169</v>
      </c>
      <c r="D6287" s="82"/>
      <c r="E6287" s="80" t="s">
        <v>25170</v>
      </c>
      <c r="F6287" s="81">
        <v>40795.0</v>
      </c>
      <c r="G6287" s="80" t="s">
        <v>25171</v>
      </c>
      <c r="H6287" s="82"/>
      <c r="I6287" s="82"/>
      <c r="J6287" s="63" t="s">
        <v>136</v>
      </c>
      <c r="K6287" s="81">
        <v>43703.0</v>
      </c>
      <c r="L6287" s="80" t="s">
        <v>2743</v>
      </c>
      <c r="M6287" s="80" t="s">
        <v>2097</v>
      </c>
      <c r="N6287" s="116"/>
      <c r="O6287" s="51"/>
    </row>
    <row r="6288">
      <c r="A6288" s="56">
        <v>6285.0</v>
      </c>
      <c r="B6288" s="71"/>
      <c r="C6288" s="79" t="s">
        <v>25172</v>
      </c>
      <c r="D6288" s="82"/>
      <c r="E6288" s="80" t="s">
        <v>25173</v>
      </c>
      <c r="F6288" s="81">
        <v>41027.0</v>
      </c>
      <c r="G6288" s="80" t="s">
        <v>25174</v>
      </c>
      <c r="H6288" s="82"/>
      <c r="I6288" s="82"/>
      <c r="J6288" s="63" t="s">
        <v>136</v>
      </c>
      <c r="K6288" s="81">
        <v>43703.0</v>
      </c>
      <c r="L6288" s="80" t="s">
        <v>2743</v>
      </c>
      <c r="M6288" s="80" t="s">
        <v>125</v>
      </c>
      <c r="N6288" s="116"/>
      <c r="O6288" s="51"/>
    </row>
    <row r="6289">
      <c r="A6289" s="56">
        <v>6286.0</v>
      </c>
      <c r="B6289" s="71"/>
      <c r="C6289" s="79" t="s">
        <v>25175</v>
      </c>
      <c r="D6289" s="82"/>
      <c r="E6289" s="63" t="s">
        <v>25176</v>
      </c>
      <c r="F6289" s="70">
        <v>39995.0</v>
      </c>
      <c r="G6289" s="80" t="s">
        <v>25177</v>
      </c>
      <c r="H6289" s="80" t="s">
        <v>25178</v>
      </c>
      <c r="I6289" s="63" t="s">
        <v>22325</v>
      </c>
      <c r="J6289" s="63" t="s">
        <v>136</v>
      </c>
      <c r="K6289" s="70">
        <v>43704.0</v>
      </c>
      <c r="L6289" s="63" t="s">
        <v>2743</v>
      </c>
      <c r="M6289" s="63" t="s">
        <v>530</v>
      </c>
      <c r="N6289" s="116"/>
      <c r="O6289" s="51"/>
    </row>
    <row r="6290">
      <c r="A6290" s="56">
        <v>6287.0</v>
      </c>
      <c r="B6290" s="71"/>
      <c r="C6290" s="79" t="s">
        <v>25179</v>
      </c>
      <c r="D6290" s="82"/>
      <c r="E6290" s="80" t="s">
        <v>25180</v>
      </c>
      <c r="F6290" s="98">
        <v>40112.0</v>
      </c>
      <c r="G6290" s="80" t="s">
        <v>25181</v>
      </c>
      <c r="H6290" s="82"/>
      <c r="I6290" s="82"/>
      <c r="J6290" s="63" t="s">
        <v>136</v>
      </c>
      <c r="K6290" s="70">
        <v>43704.0</v>
      </c>
      <c r="L6290" s="63" t="s">
        <v>2743</v>
      </c>
      <c r="M6290" s="63" t="s">
        <v>2989</v>
      </c>
      <c r="N6290" s="116"/>
      <c r="O6290" s="51"/>
    </row>
    <row r="6291">
      <c r="A6291" s="56">
        <v>6288.0</v>
      </c>
      <c r="B6291" s="71"/>
      <c r="C6291" s="69" t="s">
        <v>25182</v>
      </c>
      <c r="D6291" s="71"/>
      <c r="E6291" s="68" t="s">
        <v>25183</v>
      </c>
      <c r="F6291" s="76">
        <v>43592.0</v>
      </c>
      <c r="G6291" s="68" t="s">
        <v>25184</v>
      </c>
      <c r="H6291" s="71"/>
      <c r="I6291" s="71"/>
      <c r="J6291" s="68" t="s">
        <v>25185</v>
      </c>
      <c r="K6291" s="76">
        <v>43704.0</v>
      </c>
      <c r="L6291" s="68" t="s">
        <v>2743</v>
      </c>
      <c r="M6291" s="68" t="s">
        <v>2263</v>
      </c>
      <c r="N6291" s="116"/>
      <c r="O6291" s="51"/>
    </row>
    <row r="6292">
      <c r="A6292" s="56">
        <v>6289.0</v>
      </c>
      <c r="B6292" s="71"/>
      <c r="C6292" s="69" t="s">
        <v>25186</v>
      </c>
      <c r="D6292" s="71"/>
      <c r="E6292" s="68" t="s">
        <v>25187</v>
      </c>
      <c r="F6292" s="76">
        <v>43672.0</v>
      </c>
      <c r="G6292" s="68" t="s">
        <v>25188</v>
      </c>
      <c r="H6292" s="68" t="s">
        <v>25189</v>
      </c>
      <c r="I6292" s="71"/>
      <c r="J6292" s="68" t="s">
        <v>25190</v>
      </c>
      <c r="K6292" s="76">
        <v>43704.0</v>
      </c>
      <c r="L6292" s="68" t="s">
        <v>2743</v>
      </c>
      <c r="M6292" s="68" t="s">
        <v>31</v>
      </c>
      <c r="N6292" s="116"/>
      <c r="O6292" s="51"/>
    </row>
    <row r="6293">
      <c r="A6293" s="56">
        <v>6290.0</v>
      </c>
      <c r="B6293" s="71"/>
      <c r="C6293" s="79" t="s">
        <v>25191</v>
      </c>
      <c r="D6293" s="82"/>
      <c r="E6293" s="80" t="s">
        <v>25192</v>
      </c>
      <c r="F6293" s="81">
        <v>43631.0</v>
      </c>
      <c r="G6293" s="80" t="s">
        <v>25193</v>
      </c>
      <c r="H6293" s="82"/>
      <c r="I6293" s="80" t="s">
        <v>25194</v>
      </c>
      <c r="J6293" s="63" t="s">
        <v>136</v>
      </c>
      <c r="K6293" s="70">
        <v>43704.0</v>
      </c>
      <c r="L6293" s="63" t="s">
        <v>2743</v>
      </c>
      <c r="M6293" s="80" t="s">
        <v>125</v>
      </c>
      <c r="N6293" s="116"/>
      <c r="O6293" s="51"/>
    </row>
    <row r="6294">
      <c r="A6294" s="56">
        <v>6291.0</v>
      </c>
      <c r="B6294" s="71"/>
      <c r="C6294" s="69" t="s">
        <v>25195</v>
      </c>
      <c r="D6294" s="71"/>
      <c r="E6294" s="68" t="s">
        <v>25196</v>
      </c>
      <c r="F6294" s="76">
        <v>43631.0</v>
      </c>
      <c r="G6294" s="68" t="s">
        <v>25193</v>
      </c>
      <c r="H6294" s="71"/>
      <c r="I6294" s="71"/>
      <c r="J6294" s="87" t="s">
        <v>25197</v>
      </c>
      <c r="K6294" s="76">
        <v>43704.0</v>
      </c>
      <c r="L6294" s="68" t="s">
        <v>2743</v>
      </c>
      <c r="M6294" s="68" t="s">
        <v>125</v>
      </c>
      <c r="N6294" s="116"/>
      <c r="O6294" s="51"/>
    </row>
    <row r="6295">
      <c r="A6295" s="56">
        <v>6292.0</v>
      </c>
      <c r="B6295" s="71"/>
      <c r="C6295" s="79" t="s">
        <v>25198</v>
      </c>
      <c r="D6295" s="82"/>
      <c r="E6295" s="80" t="s">
        <v>25199</v>
      </c>
      <c r="F6295" s="81">
        <v>42100.0</v>
      </c>
      <c r="G6295" s="80" t="s">
        <v>25200</v>
      </c>
      <c r="H6295" s="82"/>
      <c r="I6295" s="82"/>
      <c r="J6295" s="63" t="s">
        <v>136</v>
      </c>
      <c r="K6295" s="70">
        <v>43704.0</v>
      </c>
      <c r="L6295" s="63" t="s">
        <v>2743</v>
      </c>
      <c r="M6295" s="80" t="s">
        <v>2989</v>
      </c>
      <c r="N6295" s="116"/>
      <c r="O6295" s="51"/>
    </row>
    <row r="6296">
      <c r="A6296" s="56">
        <v>6293.0</v>
      </c>
      <c r="B6296" s="71"/>
      <c r="C6296" s="69" t="s">
        <v>25201</v>
      </c>
      <c r="D6296" s="71"/>
      <c r="E6296" s="68" t="s">
        <v>25202</v>
      </c>
      <c r="F6296" s="83">
        <v>41983.0</v>
      </c>
      <c r="G6296" s="68" t="s">
        <v>25203</v>
      </c>
      <c r="H6296" s="71"/>
      <c r="I6296" s="71"/>
      <c r="J6296" s="87" t="s">
        <v>25204</v>
      </c>
      <c r="K6296" s="76">
        <v>43704.0</v>
      </c>
      <c r="L6296" s="68" t="s">
        <v>2743</v>
      </c>
      <c r="M6296" s="68" t="s">
        <v>125</v>
      </c>
      <c r="N6296" s="116"/>
      <c r="O6296" s="51"/>
    </row>
    <row r="6297">
      <c r="A6297" s="56">
        <v>6294.0</v>
      </c>
      <c r="B6297" s="71"/>
      <c r="C6297" s="69" t="s">
        <v>25205</v>
      </c>
      <c r="D6297" s="71"/>
      <c r="E6297" s="68" t="s">
        <v>25206</v>
      </c>
      <c r="F6297" s="76">
        <v>42921.0</v>
      </c>
      <c r="G6297" s="68" t="s">
        <v>25203</v>
      </c>
      <c r="H6297" s="71"/>
      <c r="I6297" s="68" t="s">
        <v>25207</v>
      </c>
      <c r="J6297" s="68" t="s">
        <v>25208</v>
      </c>
      <c r="K6297" s="76">
        <v>43704.0</v>
      </c>
      <c r="L6297" s="68" t="s">
        <v>2743</v>
      </c>
      <c r="M6297" s="68" t="s">
        <v>125</v>
      </c>
      <c r="N6297" s="116"/>
      <c r="O6297" s="51"/>
    </row>
    <row r="6298">
      <c r="A6298" s="56">
        <v>6295.0</v>
      </c>
      <c r="B6298" s="71"/>
      <c r="C6298" s="79" t="s">
        <v>25209</v>
      </c>
      <c r="D6298" s="82"/>
      <c r="E6298" s="80" t="s">
        <v>25210</v>
      </c>
      <c r="F6298" s="98">
        <v>42669.0</v>
      </c>
      <c r="G6298" s="80" t="s">
        <v>25211</v>
      </c>
      <c r="H6298" s="82"/>
      <c r="I6298" s="82"/>
      <c r="J6298" s="63" t="s">
        <v>136</v>
      </c>
      <c r="K6298" s="70">
        <v>43704.0</v>
      </c>
      <c r="L6298" s="63" t="s">
        <v>2743</v>
      </c>
      <c r="M6298" s="80" t="s">
        <v>125</v>
      </c>
      <c r="N6298" s="116"/>
      <c r="O6298" s="51"/>
    </row>
    <row r="6299">
      <c r="A6299" s="56">
        <v>6296.0</v>
      </c>
      <c r="B6299" s="71"/>
      <c r="C6299" s="79" t="s">
        <v>25212</v>
      </c>
      <c r="D6299" s="82"/>
      <c r="E6299" s="80" t="s">
        <v>25213</v>
      </c>
      <c r="F6299" s="81">
        <v>42908.0</v>
      </c>
      <c r="G6299" s="80" t="s">
        <v>25214</v>
      </c>
      <c r="H6299" s="80" t="s">
        <v>25215</v>
      </c>
      <c r="I6299" s="82"/>
      <c r="J6299" s="63" t="s">
        <v>136</v>
      </c>
      <c r="K6299" s="70">
        <v>43704.0</v>
      </c>
      <c r="L6299" s="63" t="s">
        <v>2743</v>
      </c>
      <c r="M6299" s="80" t="s">
        <v>149</v>
      </c>
      <c r="N6299" s="116"/>
      <c r="O6299" s="51"/>
    </row>
    <row r="6300">
      <c r="A6300" s="56">
        <v>6297.0</v>
      </c>
      <c r="B6300" s="71"/>
      <c r="C6300" s="79" t="s">
        <v>25216</v>
      </c>
      <c r="D6300" s="82"/>
      <c r="E6300" s="80" t="s">
        <v>25217</v>
      </c>
      <c r="F6300" s="98">
        <v>43383.0</v>
      </c>
      <c r="G6300" s="80" t="s">
        <v>25218</v>
      </c>
      <c r="H6300" s="82"/>
      <c r="I6300" s="82"/>
      <c r="J6300" s="66"/>
      <c r="K6300" s="70">
        <v>43704.0</v>
      </c>
      <c r="L6300" s="63" t="s">
        <v>2743</v>
      </c>
      <c r="M6300" s="80" t="s">
        <v>125</v>
      </c>
      <c r="N6300" s="116"/>
      <c r="O6300" s="51"/>
    </row>
    <row r="6301">
      <c r="A6301" s="75">
        <v>6298.0</v>
      </c>
      <c r="B6301" s="71"/>
      <c r="C6301" s="69" t="s">
        <v>25219</v>
      </c>
      <c r="D6301" s="71"/>
      <c r="E6301" s="68" t="s">
        <v>25220</v>
      </c>
      <c r="F6301" s="76">
        <v>42869.0</v>
      </c>
      <c r="G6301" s="68" t="s">
        <v>25221</v>
      </c>
      <c r="H6301" s="68" t="s">
        <v>25222</v>
      </c>
      <c r="I6301" s="68" t="s">
        <v>25223</v>
      </c>
      <c r="J6301" s="68" t="s">
        <v>25224</v>
      </c>
      <c r="K6301" s="76">
        <v>43705.0</v>
      </c>
      <c r="L6301" s="68" t="s">
        <v>16185</v>
      </c>
      <c r="M6301" s="68" t="s">
        <v>31</v>
      </c>
      <c r="N6301" s="116"/>
      <c r="O6301" s="51"/>
    </row>
    <row r="6302">
      <c r="A6302" s="75">
        <v>6299.0</v>
      </c>
      <c r="B6302" s="71"/>
      <c r="C6302" s="69" t="s">
        <v>25225</v>
      </c>
      <c r="D6302" s="71"/>
      <c r="E6302" s="68" t="s">
        <v>25226</v>
      </c>
      <c r="F6302" s="76">
        <v>43605.0</v>
      </c>
      <c r="G6302" s="68" t="s">
        <v>25227</v>
      </c>
      <c r="H6302" s="68" t="s">
        <v>25228</v>
      </c>
      <c r="I6302" s="71"/>
      <c r="J6302" s="68" t="s">
        <v>25229</v>
      </c>
      <c r="K6302" s="76">
        <v>43705.0</v>
      </c>
      <c r="L6302" s="68" t="s">
        <v>16185</v>
      </c>
      <c r="M6302" s="68" t="s">
        <v>14456</v>
      </c>
      <c r="N6302" s="116"/>
      <c r="O6302" s="51"/>
    </row>
    <row r="6303">
      <c r="A6303" s="56">
        <v>6300.0</v>
      </c>
      <c r="B6303" s="71"/>
      <c r="C6303" s="69" t="s">
        <v>25230</v>
      </c>
      <c r="D6303" s="71"/>
      <c r="E6303" s="68" t="s">
        <v>25231</v>
      </c>
      <c r="F6303" s="76">
        <v>43627.0</v>
      </c>
      <c r="G6303" s="68" t="s">
        <v>25232</v>
      </c>
      <c r="H6303" s="68" t="s">
        <v>25233</v>
      </c>
      <c r="I6303" s="71"/>
      <c r="J6303" s="68" t="s">
        <v>25234</v>
      </c>
      <c r="K6303" s="76">
        <v>43705.0</v>
      </c>
      <c r="L6303" s="68" t="s">
        <v>16185</v>
      </c>
      <c r="M6303" s="68" t="s">
        <v>15464</v>
      </c>
      <c r="N6303" s="116"/>
      <c r="O6303" s="51"/>
    </row>
    <row r="6304">
      <c r="A6304" s="56">
        <v>6301.0</v>
      </c>
      <c r="B6304" s="71"/>
      <c r="C6304" s="69" t="s">
        <v>25235</v>
      </c>
      <c r="D6304" s="71"/>
      <c r="E6304" s="68" t="s">
        <v>25236</v>
      </c>
      <c r="F6304" s="83">
        <v>43418.0</v>
      </c>
      <c r="G6304" s="68" t="s">
        <v>25237</v>
      </c>
      <c r="H6304" s="68" t="s">
        <v>25238</v>
      </c>
      <c r="I6304" s="71"/>
      <c r="J6304" s="100" t="s">
        <v>25239</v>
      </c>
      <c r="K6304" s="225">
        <v>43705.0</v>
      </c>
      <c r="L6304" s="68" t="s">
        <v>16185</v>
      </c>
      <c r="M6304" s="68" t="s">
        <v>166</v>
      </c>
      <c r="N6304" s="116"/>
      <c r="O6304" s="51"/>
    </row>
    <row r="6305">
      <c r="A6305" s="56">
        <v>6302.0</v>
      </c>
      <c r="B6305" s="71"/>
      <c r="C6305" s="69" t="s">
        <v>25240</v>
      </c>
      <c r="D6305" s="71"/>
      <c r="E6305" s="68" t="s">
        <v>25241</v>
      </c>
      <c r="F6305" s="76">
        <v>43585.0</v>
      </c>
      <c r="G6305" s="68" t="s">
        <v>25242</v>
      </c>
      <c r="H6305" s="68" t="s">
        <v>25243</v>
      </c>
      <c r="I6305" s="71"/>
      <c r="J6305" s="87" t="s">
        <v>25244</v>
      </c>
      <c r="K6305" s="76">
        <v>43705.0</v>
      </c>
      <c r="L6305" s="68" t="s">
        <v>2743</v>
      </c>
      <c r="M6305" s="68" t="s">
        <v>149</v>
      </c>
      <c r="N6305" s="116"/>
      <c r="O6305" s="51"/>
    </row>
    <row r="6306">
      <c r="A6306" s="56">
        <v>6303.0</v>
      </c>
      <c r="B6306" s="71"/>
      <c r="C6306" s="69" t="s">
        <v>25245</v>
      </c>
      <c r="D6306" s="71"/>
      <c r="E6306" s="68" t="s">
        <v>25246</v>
      </c>
      <c r="F6306" s="76">
        <v>39630.0</v>
      </c>
      <c r="G6306" s="68" t="s">
        <v>25247</v>
      </c>
      <c r="H6306" s="68" t="s">
        <v>25248</v>
      </c>
      <c r="I6306" s="71"/>
      <c r="J6306" s="68" t="s">
        <v>25249</v>
      </c>
      <c r="K6306" s="76">
        <v>43705.0</v>
      </c>
      <c r="L6306" s="68" t="s">
        <v>2743</v>
      </c>
      <c r="M6306" s="68" t="s">
        <v>530</v>
      </c>
      <c r="N6306" s="116"/>
      <c r="O6306" s="51"/>
    </row>
    <row r="6307">
      <c r="A6307" s="75">
        <v>6304.0</v>
      </c>
      <c r="B6307" s="71"/>
      <c r="C6307" s="69" t="s">
        <v>25250</v>
      </c>
      <c r="D6307" s="71"/>
      <c r="E6307" s="68" t="s">
        <v>25251</v>
      </c>
      <c r="F6307" s="76">
        <v>39904.0</v>
      </c>
      <c r="G6307" s="68" t="s">
        <v>25252</v>
      </c>
      <c r="H6307" s="71"/>
      <c r="I6307" s="71"/>
      <c r="J6307" s="100" t="s">
        <v>25253</v>
      </c>
      <c r="K6307" s="76">
        <v>43706.0</v>
      </c>
      <c r="L6307" s="68" t="s">
        <v>2743</v>
      </c>
      <c r="M6307" s="68" t="s">
        <v>2989</v>
      </c>
      <c r="N6307" s="116"/>
      <c r="O6307" s="51"/>
    </row>
    <row r="6308">
      <c r="A6308" s="56">
        <v>6305.0</v>
      </c>
      <c r="B6308" s="71"/>
      <c r="C6308" s="79" t="s">
        <v>25254</v>
      </c>
      <c r="D6308" s="82"/>
      <c r="E6308" s="80" t="s">
        <v>25255</v>
      </c>
      <c r="F6308" s="81">
        <v>40211.0</v>
      </c>
      <c r="G6308" s="80" t="s">
        <v>25256</v>
      </c>
      <c r="H6308" s="82"/>
      <c r="I6308" s="82"/>
      <c r="J6308" s="63" t="s">
        <v>136</v>
      </c>
      <c r="K6308" s="70">
        <v>43706.0</v>
      </c>
      <c r="L6308" s="80" t="s">
        <v>2743</v>
      </c>
      <c r="M6308" s="80" t="s">
        <v>4749</v>
      </c>
      <c r="N6308" s="116"/>
      <c r="O6308" s="51"/>
    </row>
    <row r="6309">
      <c r="A6309" s="56">
        <v>6306.0</v>
      </c>
      <c r="B6309" s="71"/>
      <c r="C6309" s="79" t="s">
        <v>25257</v>
      </c>
      <c r="D6309" s="82"/>
      <c r="E6309" s="80" t="s">
        <v>25258</v>
      </c>
      <c r="F6309" s="81">
        <v>39995.0</v>
      </c>
      <c r="G6309" s="80" t="s">
        <v>25259</v>
      </c>
      <c r="H6309" s="80" t="s">
        <v>25260</v>
      </c>
      <c r="I6309" s="82"/>
      <c r="J6309" s="63" t="s">
        <v>136</v>
      </c>
      <c r="K6309" s="70">
        <v>43706.0</v>
      </c>
      <c r="L6309" s="80" t="s">
        <v>2743</v>
      </c>
      <c r="M6309" s="80" t="s">
        <v>166</v>
      </c>
      <c r="N6309" s="116"/>
      <c r="O6309" s="51"/>
    </row>
    <row r="6310">
      <c r="A6310" s="56">
        <v>6307.0</v>
      </c>
      <c r="B6310" s="71"/>
      <c r="C6310" s="79" t="s">
        <v>25261</v>
      </c>
      <c r="D6310" s="82"/>
      <c r="E6310" s="80" t="s">
        <v>25262</v>
      </c>
      <c r="F6310" s="81">
        <v>40360.0</v>
      </c>
      <c r="G6310" s="80" t="s">
        <v>25263</v>
      </c>
      <c r="H6310" s="80" t="s">
        <v>25264</v>
      </c>
      <c r="I6310" s="82"/>
      <c r="J6310" s="63" t="s">
        <v>136</v>
      </c>
      <c r="K6310" s="70">
        <v>43708.0</v>
      </c>
      <c r="L6310" s="80" t="s">
        <v>2743</v>
      </c>
      <c r="M6310" s="80" t="s">
        <v>530</v>
      </c>
      <c r="N6310" s="116"/>
      <c r="O6310" s="51"/>
    </row>
    <row r="6311">
      <c r="A6311" s="56">
        <v>6308.0</v>
      </c>
      <c r="B6311" s="71"/>
      <c r="C6311" s="79" t="s">
        <v>25265</v>
      </c>
      <c r="D6311" s="82"/>
      <c r="E6311" s="80" t="s">
        <v>25266</v>
      </c>
      <c r="F6311" s="81">
        <v>43631.0</v>
      </c>
      <c r="G6311" s="80" t="s">
        <v>25267</v>
      </c>
      <c r="H6311" s="82"/>
      <c r="I6311" s="82"/>
      <c r="J6311" s="63" t="s">
        <v>136</v>
      </c>
      <c r="K6311" s="70">
        <v>43708.0</v>
      </c>
      <c r="L6311" s="80" t="s">
        <v>2743</v>
      </c>
      <c r="M6311" s="80" t="s">
        <v>125</v>
      </c>
      <c r="N6311" s="116"/>
      <c r="O6311" s="51"/>
    </row>
    <row r="6312">
      <c r="A6312" s="56">
        <v>6309.0</v>
      </c>
      <c r="B6312" s="71"/>
      <c r="C6312" s="79" t="s">
        <v>25268</v>
      </c>
      <c r="D6312" s="82"/>
      <c r="E6312" s="80" t="s">
        <v>25269</v>
      </c>
      <c r="F6312" s="81">
        <v>43631.0</v>
      </c>
      <c r="G6312" s="80" t="s">
        <v>25267</v>
      </c>
      <c r="H6312" s="82"/>
      <c r="I6312" s="82"/>
      <c r="J6312" s="63" t="s">
        <v>136</v>
      </c>
      <c r="K6312" s="70">
        <v>43708.0</v>
      </c>
      <c r="L6312" s="80" t="s">
        <v>2743</v>
      </c>
      <c r="M6312" s="80" t="s">
        <v>125</v>
      </c>
      <c r="N6312" s="116"/>
      <c r="O6312" s="51"/>
    </row>
    <row r="6313">
      <c r="A6313" s="56">
        <v>6310.0</v>
      </c>
      <c r="B6313" s="71"/>
      <c r="C6313" s="79" t="s">
        <v>25270</v>
      </c>
      <c r="D6313" s="82"/>
      <c r="E6313" s="80" t="s">
        <v>25271</v>
      </c>
      <c r="F6313" s="81">
        <v>39979.0</v>
      </c>
      <c r="G6313" s="80" t="s">
        <v>25272</v>
      </c>
      <c r="H6313" s="82"/>
      <c r="I6313" s="82"/>
      <c r="J6313" s="63" t="s">
        <v>136</v>
      </c>
      <c r="K6313" s="70">
        <v>43708.0</v>
      </c>
      <c r="L6313" s="80" t="s">
        <v>2743</v>
      </c>
      <c r="M6313" s="80" t="s">
        <v>2466</v>
      </c>
      <c r="N6313" s="116"/>
      <c r="O6313" s="51"/>
    </row>
    <row r="6314">
      <c r="A6314" s="56">
        <v>6311.0</v>
      </c>
      <c r="B6314" s="71"/>
      <c r="C6314" s="69" t="s">
        <v>25273</v>
      </c>
      <c r="D6314" s="71"/>
      <c r="E6314" s="68" t="s">
        <v>24431</v>
      </c>
      <c r="F6314" s="76">
        <v>43705.0</v>
      </c>
      <c r="G6314" s="68" t="s">
        <v>24654</v>
      </c>
      <c r="H6314" s="71"/>
      <c r="I6314" s="71"/>
      <c r="J6314" s="87" t="s">
        <v>25274</v>
      </c>
      <c r="K6314" s="76">
        <v>43708.0</v>
      </c>
      <c r="L6314" s="68" t="s">
        <v>2743</v>
      </c>
      <c r="M6314" s="68" t="s">
        <v>143</v>
      </c>
      <c r="N6314" s="87" t="s">
        <v>25275</v>
      </c>
      <c r="O6314" s="51"/>
    </row>
    <row r="6315">
      <c r="A6315" s="56">
        <v>6312.0</v>
      </c>
      <c r="B6315" s="71"/>
      <c r="C6315" s="79" t="s">
        <v>25276</v>
      </c>
      <c r="D6315" s="82"/>
      <c r="E6315" s="80" t="s">
        <v>25277</v>
      </c>
      <c r="F6315" s="81">
        <v>42393.0</v>
      </c>
      <c r="G6315" s="80" t="s">
        <v>25278</v>
      </c>
      <c r="H6315" s="80" t="s">
        <v>439</v>
      </c>
      <c r="I6315" s="80" t="s">
        <v>25279</v>
      </c>
      <c r="J6315" s="63" t="s">
        <v>136</v>
      </c>
      <c r="K6315" s="70">
        <v>43711.0</v>
      </c>
      <c r="L6315" s="80" t="s">
        <v>2743</v>
      </c>
      <c r="M6315" s="80" t="s">
        <v>2152</v>
      </c>
      <c r="N6315" s="87" t="s">
        <v>25280</v>
      </c>
      <c r="O6315" s="51"/>
    </row>
    <row r="6316">
      <c r="A6316" s="56">
        <v>6313.0</v>
      </c>
      <c r="B6316" s="71"/>
      <c r="C6316" s="79" t="s">
        <v>25281</v>
      </c>
      <c r="D6316" s="82"/>
      <c r="E6316" s="80" t="s">
        <v>25282</v>
      </c>
      <c r="F6316" s="81">
        <v>43230.0</v>
      </c>
      <c r="G6316" s="80" t="s">
        <v>25283</v>
      </c>
      <c r="H6316" s="82"/>
      <c r="I6316" s="82"/>
      <c r="J6316" s="63" t="s">
        <v>136</v>
      </c>
      <c r="K6316" s="70">
        <v>43711.0</v>
      </c>
      <c r="L6316" s="80" t="s">
        <v>2743</v>
      </c>
      <c r="M6316" s="80" t="s">
        <v>25284</v>
      </c>
      <c r="N6316" s="116"/>
      <c r="O6316" s="51"/>
    </row>
    <row r="6317">
      <c r="A6317" s="56">
        <v>6314.0</v>
      </c>
      <c r="B6317" s="71"/>
      <c r="C6317" s="79" t="s">
        <v>25285</v>
      </c>
      <c r="D6317" s="82"/>
      <c r="E6317" s="80" t="s">
        <v>25286</v>
      </c>
      <c r="F6317" s="81">
        <v>39880.0</v>
      </c>
      <c r="G6317" s="80" t="s">
        <v>25287</v>
      </c>
      <c r="H6317" s="82"/>
      <c r="I6317" s="82"/>
      <c r="J6317" s="63" t="s">
        <v>136</v>
      </c>
      <c r="K6317" s="70">
        <v>43712.0</v>
      </c>
      <c r="L6317" s="80" t="s">
        <v>2743</v>
      </c>
      <c r="M6317" s="80" t="s">
        <v>530</v>
      </c>
      <c r="N6317" s="116"/>
      <c r="O6317" s="51"/>
    </row>
    <row r="6318">
      <c r="A6318" s="56">
        <v>6315.0</v>
      </c>
      <c r="B6318" s="71"/>
      <c r="C6318" s="79" t="s">
        <v>25288</v>
      </c>
      <c r="D6318" s="82"/>
      <c r="E6318" s="80" t="s">
        <v>25289</v>
      </c>
      <c r="F6318" s="81">
        <v>40234.0</v>
      </c>
      <c r="G6318" s="80" t="s">
        <v>25290</v>
      </c>
      <c r="H6318" s="82"/>
      <c r="I6318" s="80" t="s">
        <v>25291</v>
      </c>
      <c r="J6318" s="63" t="s">
        <v>136</v>
      </c>
      <c r="K6318" s="70">
        <v>43712.0</v>
      </c>
      <c r="L6318" s="80" t="s">
        <v>2743</v>
      </c>
      <c r="M6318" s="80" t="s">
        <v>125</v>
      </c>
      <c r="N6318" s="116"/>
      <c r="O6318" s="51"/>
    </row>
    <row r="6319">
      <c r="A6319" s="56">
        <v>6316.0</v>
      </c>
      <c r="B6319" s="71"/>
      <c r="C6319" s="69" t="s">
        <v>25292</v>
      </c>
      <c r="D6319" s="71"/>
      <c r="E6319" s="68" t="s">
        <v>25293</v>
      </c>
      <c r="F6319" s="76">
        <v>40234.0</v>
      </c>
      <c r="G6319" s="68" t="s">
        <v>25290</v>
      </c>
      <c r="H6319" s="71"/>
      <c r="I6319" s="71"/>
      <c r="J6319" s="87" t="s">
        <v>25294</v>
      </c>
      <c r="K6319" s="76">
        <v>43712.0</v>
      </c>
      <c r="L6319" s="68" t="s">
        <v>2743</v>
      </c>
      <c r="M6319" s="68" t="s">
        <v>125</v>
      </c>
      <c r="N6319" s="116"/>
      <c r="O6319" s="51"/>
    </row>
    <row r="6320">
      <c r="A6320" s="56">
        <v>6317.0</v>
      </c>
      <c r="B6320" s="71"/>
      <c r="C6320" s="79" t="s">
        <v>25295</v>
      </c>
      <c r="D6320" s="82"/>
      <c r="E6320" s="80" t="s">
        <v>25296</v>
      </c>
      <c r="F6320" s="81">
        <v>40234.0</v>
      </c>
      <c r="G6320" s="80" t="s">
        <v>25290</v>
      </c>
      <c r="H6320" s="82"/>
      <c r="I6320" s="82"/>
      <c r="J6320" s="63" t="s">
        <v>136</v>
      </c>
      <c r="K6320" s="70">
        <v>43712.0</v>
      </c>
      <c r="L6320" s="80" t="s">
        <v>2743</v>
      </c>
      <c r="M6320" s="80" t="s">
        <v>125</v>
      </c>
      <c r="N6320" s="116"/>
      <c r="O6320" s="51"/>
    </row>
    <row r="6321">
      <c r="A6321" s="56">
        <v>6318.0</v>
      </c>
      <c r="B6321" s="71"/>
      <c r="C6321" s="79" t="s">
        <v>25297</v>
      </c>
      <c r="D6321" s="82"/>
      <c r="E6321" s="80" t="s">
        <v>25298</v>
      </c>
      <c r="F6321" s="81">
        <v>40234.0</v>
      </c>
      <c r="G6321" s="80" t="s">
        <v>25290</v>
      </c>
      <c r="H6321" s="82"/>
      <c r="I6321" s="82"/>
      <c r="J6321" s="63" t="s">
        <v>136</v>
      </c>
      <c r="K6321" s="70">
        <v>43712.0</v>
      </c>
      <c r="L6321" s="80" t="s">
        <v>2743</v>
      </c>
      <c r="M6321" s="80" t="s">
        <v>125</v>
      </c>
      <c r="N6321" s="116"/>
      <c r="O6321" s="51"/>
    </row>
    <row r="6322">
      <c r="A6322" s="56">
        <v>6319.0</v>
      </c>
      <c r="B6322" s="71"/>
      <c r="C6322" s="79" t="s">
        <v>25299</v>
      </c>
      <c r="D6322" s="82"/>
      <c r="E6322" s="80" t="s">
        <v>25300</v>
      </c>
      <c r="F6322" s="81">
        <v>41509.0</v>
      </c>
      <c r="G6322" s="80" t="s">
        <v>25301</v>
      </c>
      <c r="H6322" s="80" t="s">
        <v>25302</v>
      </c>
      <c r="I6322" s="80" t="s">
        <v>25303</v>
      </c>
      <c r="J6322" s="63" t="s">
        <v>136</v>
      </c>
      <c r="K6322" s="70">
        <v>43712.0</v>
      </c>
      <c r="L6322" s="80" t="s">
        <v>2743</v>
      </c>
      <c r="M6322" s="80" t="s">
        <v>27</v>
      </c>
      <c r="N6322" s="116"/>
      <c r="O6322" s="51"/>
    </row>
    <row r="6323">
      <c r="A6323" s="56">
        <v>6320.0</v>
      </c>
      <c r="B6323" s="71"/>
      <c r="C6323" s="69" t="s">
        <v>25304</v>
      </c>
      <c r="D6323" s="71"/>
      <c r="E6323" s="68" t="s">
        <v>25305</v>
      </c>
      <c r="F6323" s="76">
        <v>43669.0</v>
      </c>
      <c r="G6323" s="68" t="s">
        <v>25306</v>
      </c>
      <c r="H6323" s="68" t="s">
        <v>25307</v>
      </c>
      <c r="I6323" s="71"/>
      <c r="J6323" s="68" t="s">
        <v>25308</v>
      </c>
      <c r="K6323" s="76">
        <v>43714.0</v>
      </c>
      <c r="L6323" s="68" t="s">
        <v>2743</v>
      </c>
      <c r="M6323" s="68" t="s">
        <v>3391</v>
      </c>
      <c r="N6323" s="116"/>
      <c r="O6323" s="51"/>
    </row>
    <row r="6324">
      <c r="A6324" s="56">
        <v>6321.0</v>
      </c>
      <c r="B6324" s="71"/>
      <c r="C6324" s="79" t="s">
        <v>25309</v>
      </c>
      <c r="D6324" s="82"/>
      <c r="E6324" s="80" t="s">
        <v>25310</v>
      </c>
      <c r="F6324" s="81">
        <v>41812.0</v>
      </c>
      <c r="G6324" s="80" t="s">
        <v>25311</v>
      </c>
      <c r="H6324" s="80" t="s">
        <v>25312</v>
      </c>
      <c r="I6324" s="80" t="s">
        <v>25313</v>
      </c>
      <c r="J6324" s="63" t="s">
        <v>136</v>
      </c>
      <c r="K6324" s="81">
        <v>43714.0</v>
      </c>
      <c r="L6324" s="80" t="s">
        <v>2743</v>
      </c>
      <c r="M6324" s="80" t="s">
        <v>125</v>
      </c>
      <c r="N6324" s="116"/>
      <c r="O6324" s="51"/>
    </row>
    <row r="6325">
      <c r="A6325" s="85">
        <v>6322.0</v>
      </c>
      <c r="B6325" s="82"/>
      <c r="C6325" s="79" t="s">
        <v>25314</v>
      </c>
      <c r="D6325" s="82"/>
      <c r="E6325" s="80" t="s">
        <v>25315</v>
      </c>
      <c r="F6325" s="81">
        <v>42791.0</v>
      </c>
      <c r="G6325" s="80" t="s">
        <v>25316</v>
      </c>
      <c r="H6325" s="80" t="s">
        <v>25317</v>
      </c>
      <c r="I6325" s="82"/>
      <c r="J6325" s="82"/>
      <c r="K6325" s="81">
        <v>43714.0</v>
      </c>
      <c r="L6325" s="80" t="s">
        <v>2743</v>
      </c>
      <c r="M6325" s="80" t="s">
        <v>166</v>
      </c>
      <c r="N6325" s="201"/>
      <c r="O6325" s="51"/>
    </row>
    <row r="6326">
      <c r="A6326" s="56">
        <v>6323.0</v>
      </c>
      <c r="B6326" s="71"/>
      <c r="C6326" s="69" t="s">
        <v>25318</v>
      </c>
      <c r="D6326" s="71"/>
      <c r="E6326" s="68" t="s">
        <v>25319</v>
      </c>
      <c r="F6326" s="76">
        <v>39988.0</v>
      </c>
      <c r="G6326" s="68" t="s">
        <v>25320</v>
      </c>
      <c r="H6326" s="68" t="s">
        <v>25321</v>
      </c>
      <c r="I6326" s="71"/>
      <c r="J6326" s="68" t="s">
        <v>25322</v>
      </c>
      <c r="K6326" s="76">
        <v>43714.0</v>
      </c>
      <c r="L6326" s="68" t="s">
        <v>2743</v>
      </c>
      <c r="M6326" s="68" t="s">
        <v>125</v>
      </c>
      <c r="N6326" s="116"/>
      <c r="O6326" s="51"/>
    </row>
    <row r="6327">
      <c r="A6327" s="56">
        <v>6324.0</v>
      </c>
      <c r="B6327" s="71"/>
      <c r="C6327" s="69" t="s">
        <v>25323</v>
      </c>
      <c r="D6327" s="71"/>
      <c r="E6327" s="68" t="s">
        <v>25324</v>
      </c>
      <c r="F6327" s="76">
        <v>43708.0</v>
      </c>
      <c r="G6327" s="68" t="s">
        <v>25325</v>
      </c>
      <c r="H6327" s="68" t="s">
        <v>439</v>
      </c>
      <c r="I6327" s="71"/>
      <c r="J6327" s="68" t="s">
        <v>25326</v>
      </c>
      <c r="K6327" s="76">
        <v>43714.0</v>
      </c>
      <c r="L6327" s="68" t="s">
        <v>2743</v>
      </c>
      <c r="M6327" s="68" t="s">
        <v>31</v>
      </c>
      <c r="N6327" s="116"/>
      <c r="O6327" s="51"/>
    </row>
    <row r="6328">
      <c r="A6328" s="56">
        <v>6325.0</v>
      </c>
      <c r="B6328" s="71"/>
      <c r="C6328" s="69" t="s">
        <v>25327</v>
      </c>
      <c r="D6328" s="71"/>
      <c r="E6328" s="68" t="s">
        <v>25328</v>
      </c>
      <c r="F6328" s="76">
        <v>41798.0</v>
      </c>
      <c r="G6328" s="68" t="s">
        <v>25329</v>
      </c>
      <c r="H6328" s="68" t="s">
        <v>25330</v>
      </c>
      <c r="I6328" s="71"/>
      <c r="J6328" s="68" t="s">
        <v>25331</v>
      </c>
      <c r="K6328" s="76">
        <v>43719.0</v>
      </c>
      <c r="L6328" s="68" t="s">
        <v>2743</v>
      </c>
      <c r="M6328" s="68" t="s">
        <v>941</v>
      </c>
      <c r="N6328" s="116"/>
      <c r="O6328" s="51"/>
    </row>
    <row r="6329">
      <c r="A6329" s="56">
        <v>6326.0</v>
      </c>
      <c r="B6329" s="71"/>
      <c r="C6329" s="69" t="s">
        <v>25332</v>
      </c>
      <c r="D6329" s="71"/>
      <c r="E6329" s="68" t="s">
        <v>25333</v>
      </c>
      <c r="F6329" s="76">
        <v>43659.0</v>
      </c>
      <c r="G6329" s="68" t="s">
        <v>25334</v>
      </c>
      <c r="H6329" s="68" t="s">
        <v>25335</v>
      </c>
      <c r="I6329" s="71"/>
      <c r="J6329" s="68" t="s">
        <v>25336</v>
      </c>
      <c r="K6329" s="76">
        <v>43719.0</v>
      </c>
      <c r="L6329" s="68" t="s">
        <v>2743</v>
      </c>
      <c r="M6329" s="68" t="s">
        <v>1509</v>
      </c>
      <c r="N6329" s="116"/>
      <c r="O6329" s="51"/>
    </row>
    <row r="6330">
      <c r="A6330" s="56">
        <v>6327.0</v>
      </c>
      <c r="B6330" s="71"/>
      <c r="C6330" s="69" t="s">
        <v>25337</v>
      </c>
      <c r="D6330" s="71"/>
      <c r="E6330" s="68" t="s">
        <v>25338</v>
      </c>
      <c r="F6330" s="76">
        <v>43704.0</v>
      </c>
      <c r="G6330" s="68" t="s">
        <v>25339</v>
      </c>
      <c r="H6330" s="68" t="s">
        <v>25340</v>
      </c>
      <c r="I6330" s="71"/>
      <c r="J6330" s="68" t="s">
        <v>25341</v>
      </c>
      <c r="K6330" s="76">
        <v>43719.0</v>
      </c>
      <c r="L6330" s="68" t="s">
        <v>24395</v>
      </c>
      <c r="M6330" s="68" t="s">
        <v>19781</v>
      </c>
      <c r="N6330" s="116"/>
      <c r="O6330" s="51"/>
    </row>
    <row r="6331">
      <c r="A6331" s="56">
        <v>6328.0</v>
      </c>
      <c r="B6331" s="71"/>
      <c r="C6331" s="69" t="s">
        <v>25342</v>
      </c>
      <c r="D6331" s="71"/>
      <c r="E6331" s="68" t="s">
        <v>25343</v>
      </c>
      <c r="F6331" s="76">
        <v>43699.0</v>
      </c>
      <c r="G6331" s="68" t="s">
        <v>25344</v>
      </c>
      <c r="H6331" s="68" t="s">
        <v>25345</v>
      </c>
      <c r="I6331" s="71"/>
      <c r="J6331" s="68" t="s">
        <v>25346</v>
      </c>
      <c r="K6331" s="76">
        <v>43719.0</v>
      </c>
      <c r="L6331" s="68" t="s">
        <v>2743</v>
      </c>
      <c r="M6331" s="68" t="s">
        <v>149</v>
      </c>
      <c r="N6331" s="116"/>
      <c r="O6331" s="51"/>
    </row>
    <row r="6332">
      <c r="A6332" s="56">
        <v>6329.0</v>
      </c>
      <c r="B6332" s="71"/>
      <c r="C6332" s="79" t="s">
        <v>25347</v>
      </c>
      <c r="D6332" s="82"/>
      <c r="E6332" s="80" t="s">
        <v>25348</v>
      </c>
      <c r="F6332" s="81">
        <v>40360.0</v>
      </c>
      <c r="G6332" s="80" t="s">
        <v>25349</v>
      </c>
      <c r="H6332" s="80" t="s">
        <v>25350</v>
      </c>
      <c r="I6332" s="80" t="s">
        <v>25351</v>
      </c>
      <c r="J6332" s="63" t="s">
        <v>136</v>
      </c>
      <c r="K6332" s="81">
        <v>43719.0</v>
      </c>
      <c r="L6332" s="80" t="s">
        <v>2743</v>
      </c>
      <c r="M6332" s="80" t="s">
        <v>530</v>
      </c>
      <c r="N6332" s="116"/>
      <c r="O6332" s="51"/>
    </row>
    <row r="6333">
      <c r="A6333" s="56">
        <v>6330.0</v>
      </c>
      <c r="B6333" s="71"/>
      <c r="C6333" s="79" t="s">
        <v>25352</v>
      </c>
      <c r="D6333" s="82"/>
      <c r="E6333" s="80" t="s">
        <v>25353</v>
      </c>
      <c r="F6333" s="98">
        <v>40140.0</v>
      </c>
      <c r="G6333" s="80" t="s">
        <v>25354</v>
      </c>
      <c r="H6333" s="80" t="s">
        <v>25355</v>
      </c>
      <c r="I6333" s="82"/>
      <c r="J6333" s="63" t="s">
        <v>136</v>
      </c>
      <c r="K6333" s="98">
        <v>43719.0</v>
      </c>
      <c r="L6333" s="80" t="s">
        <v>2743</v>
      </c>
      <c r="M6333" s="80" t="s">
        <v>530</v>
      </c>
      <c r="N6333" s="116"/>
      <c r="O6333" s="51"/>
    </row>
    <row r="6334">
      <c r="A6334" s="56">
        <v>6331.0</v>
      </c>
      <c r="B6334" s="71"/>
      <c r="C6334" s="79" t="s">
        <v>25356</v>
      </c>
      <c r="D6334" s="82"/>
      <c r="E6334" s="80" t="s">
        <v>25357</v>
      </c>
      <c r="F6334" s="81">
        <v>40225.0</v>
      </c>
      <c r="G6334" s="63" t="s">
        <v>25358</v>
      </c>
      <c r="H6334" s="66"/>
      <c r="I6334" s="66"/>
      <c r="J6334" s="63" t="s">
        <v>136</v>
      </c>
      <c r="K6334" s="81">
        <v>43721.0</v>
      </c>
      <c r="L6334" s="80" t="s">
        <v>2743</v>
      </c>
      <c r="M6334" s="132" t="s">
        <v>143</v>
      </c>
      <c r="N6334" s="87" t="s">
        <v>25359</v>
      </c>
      <c r="O6334" s="51"/>
    </row>
    <row r="6335">
      <c r="A6335" s="56">
        <v>6332.0</v>
      </c>
      <c r="B6335" s="71"/>
      <c r="C6335" s="79" t="s">
        <v>25360</v>
      </c>
      <c r="D6335" s="82"/>
      <c r="E6335" s="80" t="s">
        <v>25361</v>
      </c>
      <c r="F6335" s="81">
        <v>42186.0</v>
      </c>
      <c r="G6335" s="80" t="s">
        <v>25362</v>
      </c>
      <c r="H6335" s="82"/>
      <c r="I6335" s="82"/>
      <c r="J6335" s="63" t="s">
        <v>136</v>
      </c>
      <c r="K6335" s="81">
        <v>43727.0</v>
      </c>
      <c r="L6335" s="80" t="s">
        <v>2743</v>
      </c>
      <c r="M6335" s="80" t="s">
        <v>125</v>
      </c>
      <c r="N6335" s="116"/>
      <c r="O6335" s="51"/>
    </row>
    <row r="6336">
      <c r="A6336" s="56">
        <v>6333.0</v>
      </c>
      <c r="B6336" s="71"/>
      <c r="C6336" s="69" t="s">
        <v>25363</v>
      </c>
      <c r="D6336" s="71"/>
      <c r="E6336" s="68" t="s">
        <v>25364</v>
      </c>
      <c r="F6336" s="76">
        <v>39995.0</v>
      </c>
      <c r="G6336" s="68" t="s">
        <v>25365</v>
      </c>
      <c r="H6336" s="68" t="s">
        <v>25366</v>
      </c>
      <c r="I6336" s="262"/>
      <c r="J6336" s="73" t="s">
        <v>25367</v>
      </c>
      <c r="K6336" s="76">
        <v>43727.0</v>
      </c>
      <c r="L6336" s="68" t="s">
        <v>2743</v>
      </c>
      <c r="M6336" s="68" t="s">
        <v>530</v>
      </c>
      <c r="N6336" s="116"/>
      <c r="O6336" s="51"/>
    </row>
    <row r="6337">
      <c r="A6337" s="56">
        <v>6334.0</v>
      </c>
      <c r="B6337" s="71"/>
      <c r="C6337" s="79" t="s">
        <v>25368</v>
      </c>
      <c r="D6337" s="82"/>
      <c r="E6337" s="80" t="s">
        <v>25369</v>
      </c>
      <c r="F6337" s="81">
        <v>42570.0</v>
      </c>
      <c r="G6337" s="80" t="s">
        <v>25370</v>
      </c>
      <c r="H6337" s="80" t="s">
        <v>25371</v>
      </c>
      <c r="I6337" s="224" t="s">
        <v>25372</v>
      </c>
      <c r="J6337" s="63" t="s">
        <v>136</v>
      </c>
      <c r="K6337" s="81">
        <v>43727.0</v>
      </c>
      <c r="L6337" s="80" t="s">
        <v>16585</v>
      </c>
      <c r="M6337" s="80" t="s">
        <v>4749</v>
      </c>
      <c r="N6337" s="116"/>
      <c r="O6337" s="51"/>
    </row>
    <row r="6338">
      <c r="A6338" s="56">
        <v>6335.0</v>
      </c>
      <c r="B6338" s="71"/>
      <c r="C6338" s="79" t="s">
        <v>25373</v>
      </c>
      <c r="D6338" s="82"/>
      <c r="E6338" s="80" t="s">
        <v>25374</v>
      </c>
      <c r="F6338" s="81">
        <v>39965.0</v>
      </c>
      <c r="G6338" s="80" t="s">
        <v>25375</v>
      </c>
      <c r="H6338" s="80" t="s">
        <v>25376</v>
      </c>
      <c r="I6338" s="80" t="s">
        <v>25377</v>
      </c>
      <c r="J6338" s="63" t="s">
        <v>136</v>
      </c>
      <c r="K6338" s="81">
        <v>43729.0</v>
      </c>
      <c r="L6338" s="80" t="s">
        <v>2743</v>
      </c>
      <c r="M6338" s="80" t="s">
        <v>530</v>
      </c>
      <c r="N6338" s="116"/>
      <c r="O6338" s="51"/>
    </row>
    <row r="6339">
      <c r="A6339" s="56">
        <v>6336.0</v>
      </c>
      <c r="B6339" s="71"/>
      <c r="C6339" s="79" t="s">
        <v>25378</v>
      </c>
      <c r="D6339" s="82"/>
      <c r="E6339" s="80" t="s">
        <v>25379</v>
      </c>
      <c r="F6339" s="98">
        <v>40461.0</v>
      </c>
      <c r="G6339" s="80" t="s">
        <v>25380</v>
      </c>
      <c r="H6339" s="80" t="s">
        <v>25381</v>
      </c>
      <c r="I6339" s="80" t="s">
        <v>439</v>
      </c>
      <c r="J6339" s="63" t="s">
        <v>136</v>
      </c>
      <c r="K6339" s="81">
        <v>43729.0</v>
      </c>
      <c r="L6339" s="80" t="s">
        <v>2743</v>
      </c>
      <c r="M6339" s="80" t="s">
        <v>2152</v>
      </c>
      <c r="N6339" s="116"/>
      <c r="O6339" s="51"/>
    </row>
    <row r="6340">
      <c r="A6340" s="56">
        <v>6337.0</v>
      </c>
      <c r="B6340" s="71"/>
      <c r="C6340" s="79" t="s">
        <v>25382</v>
      </c>
      <c r="D6340" s="82"/>
      <c r="E6340" s="80" t="s">
        <v>25383</v>
      </c>
      <c r="F6340" s="98">
        <v>40461.0</v>
      </c>
      <c r="G6340" s="80" t="s">
        <v>25380</v>
      </c>
      <c r="H6340" s="80" t="s">
        <v>439</v>
      </c>
      <c r="I6340" s="80" t="s">
        <v>439</v>
      </c>
      <c r="J6340" s="63" t="s">
        <v>136</v>
      </c>
      <c r="K6340" s="81">
        <v>43729.0</v>
      </c>
      <c r="L6340" s="80" t="s">
        <v>2743</v>
      </c>
      <c r="M6340" s="80" t="s">
        <v>2152</v>
      </c>
      <c r="N6340" s="116"/>
      <c r="O6340" s="51"/>
    </row>
    <row r="6341">
      <c r="A6341" s="56">
        <v>6338.0</v>
      </c>
      <c r="B6341" s="71"/>
      <c r="C6341" s="79" t="s">
        <v>25384</v>
      </c>
      <c r="D6341" s="82"/>
      <c r="E6341" s="80" t="s">
        <v>25385</v>
      </c>
      <c r="F6341" s="98">
        <v>41986.0</v>
      </c>
      <c r="G6341" s="80" t="s">
        <v>25386</v>
      </c>
      <c r="H6341" s="80" t="s">
        <v>25387</v>
      </c>
      <c r="I6341" s="80" t="s">
        <v>25388</v>
      </c>
      <c r="J6341" s="63" t="s">
        <v>136</v>
      </c>
      <c r="K6341" s="81">
        <v>43731.0</v>
      </c>
      <c r="L6341" s="80" t="s">
        <v>2743</v>
      </c>
      <c r="M6341" s="80" t="s">
        <v>2466</v>
      </c>
      <c r="N6341" s="116"/>
      <c r="O6341" s="51"/>
    </row>
    <row r="6342">
      <c r="A6342" s="56">
        <v>6339.0</v>
      </c>
      <c r="B6342" s="71"/>
      <c r="C6342" s="69" t="s">
        <v>25389</v>
      </c>
      <c r="D6342" s="71"/>
      <c r="E6342" s="68" t="s">
        <v>25390</v>
      </c>
      <c r="F6342" s="76">
        <v>43567.0</v>
      </c>
      <c r="G6342" s="68" t="s">
        <v>25391</v>
      </c>
      <c r="H6342" s="68" t="s">
        <v>25392</v>
      </c>
      <c r="I6342" s="71"/>
      <c r="J6342" s="68" t="s">
        <v>25393</v>
      </c>
      <c r="K6342" s="76">
        <v>43732.0</v>
      </c>
      <c r="L6342" s="68" t="s">
        <v>2743</v>
      </c>
      <c r="M6342" s="68" t="s">
        <v>201</v>
      </c>
      <c r="N6342" s="116"/>
      <c r="O6342" s="51"/>
    </row>
    <row r="6343">
      <c r="A6343" s="56">
        <v>6340.0</v>
      </c>
      <c r="B6343" s="71"/>
      <c r="C6343" s="79" t="s">
        <v>25394</v>
      </c>
      <c r="D6343" s="82"/>
      <c r="E6343" s="80" t="s">
        <v>25395</v>
      </c>
      <c r="F6343" s="81">
        <v>41409.0</v>
      </c>
      <c r="G6343" s="80" t="s">
        <v>25396</v>
      </c>
      <c r="H6343" s="82"/>
      <c r="I6343" s="82"/>
      <c r="J6343" s="63" t="s">
        <v>136</v>
      </c>
      <c r="K6343" s="81">
        <v>43732.0</v>
      </c>
      <c r="L6343" s="80" t="s">
        <v>2743</v>
      </c>
      <c r="M6343" s="80" t="s">
        <v>125</v>
      </c>
      <c r="N6343" s="116"/>
      <c r="O6343" s="51"/>
    </row>
    <row r="6344">
      <c r="A6344" s="56">
        <v>6341.0</v>
      </c>
      <c r="B6344" s="71"/>
      <c r="C6344" s="69" t="s">
        <v>25397</v>
      </c>
      <c r="D6344" s="71"/>
      <c r="E6344" s="68" t="s">
        <v>25398</v>
      </c>
      <c r="F6344" s="76">
        <v>43313.0</v>
      </c>
      <c r="G6344" s="68" t="s">
        <v>25399</v>
      </c>
      <c r="H6344" s="68" t="s">
        <v>25400</v>
      </c>
      <c r="I6344" s="262"/>
      <c r="J6344" s="73" t="s">
        <v>25401</v>
      </c>
      <c r="K6344" s="76">
        <v>43734.0</v>
      </c>
      <c r="L6344" s="68" t="s">
        <v>2743</v>
      </c>
      <c r="M6344" s="68" t="s">
        <v>27</v>
      </c>
      <c r="N6344" s="116"/>
      <c r="O6344" s="51"/>
    </row>
    <row r="6345">
      <c r="A6345" s="75">
        <v>6342.0</v>
      </c>
      <c r="B6345" s="71"/>
      <c r="C6345" s="69" t="s">
        <v>25402</v>
      </c>
      <c r="D6345" s="71"/>
      <c r="E6345" s="68" t="s">
        <v>25403</v>
      </c>
      <c r="F6345" s="76">
        <v>42227.0</v>
      </c>
      <c r="G6345" s="68" t="s">
        <v>25404</v>
      </c>
      <c r="H6345" s="68" t="s">
        <v>25405</v>
      </c>
      <c r="I6345" s="111"/>
      <c r="J6345" s="68" t="s">
        <v>25406</v>
      </c>
      <c r="K6345" s="76">
        <v>43734.0</v>
      </c>
      <c r="L6345" s="68" t="s">
        <v>2743</v>
      </c>
      <c r="M6345" s="68" t="s">
        <v>27</v>
      </c>
      <c r="N6345" s="116"/>
      <c r="O6345" s="51"/>
    </row>
    <row r="6346">
      <c r="A6346" s="75">
        <v>6343.0</v>
      </c>
      <c r="B6346" s="71"/>
      <c r="C6346" s="69" t="s">
        <v>25407</v>
      </c>
      <c r="D6346" s="71"/>
      <c r="E6346" s="68" t="s">
        <v>25408</v>
      </c>
      <c r="F6346" s="76">
        <v>43537.0</v>
      </c>
      <c r="G6346" s="68" t="s">
        <v>25409</v>
      </c>
      <c r="H6346" s="68" t="s">
        <v>25410</v>
      </c>
      <c r="I6346" s="71"/>
      <c r="J6346" s="68" t="s">
        <v>25411</v>
      </c>
      <c r="K6346" s="76">
        <v>43734.0</v>
      </c>
      <c r="L6346" s="68" t="s">
        <v>2743</v>
      </c>
      <c r="M6346" s="68" t="s">
        <v>27</v>
      </c>
      <c r="N6346" s="116"/>
      <c r="O6346" s="51"/>
    </row>
    <row r="6347">
      <c r="A6347" s="56">
        <v>6344.0</v>
      </c>
      <c r="B6347" s="71"/>
      <c r="C6347" s="69" t="s">
        <v>25412</v>
      </c>
      <c r="D6347" s="71"/>
      <c r="E6347" s="68" t="s">
        <v>25413</v>
      </c>
      <c r="F6347" s="76">
        <v>43655.0</v>
      </c>
      <c r="G6347" s="68" t="s">
        <v>25414</v>
      </c>
      <c r="H6347" s="68" t="s">
        <v>25415</v>
      </c>
      <c r="I6347" s="262"/>
      <c r="J6347" s="207" t="s">
        <v>25416</v>
      </c>
      <c r="K6347" s="76">
        <v>43734.0</v>
      </c>
      <c r="L6347" s="68" t="s">
        <v>20958</v>
      </c>
      <c r="M6347" s="68" t="s">
        <v>27</v>
      </c>
      <c r="N6347" s="116"/>
      <c r="O6347" s="51"/>
    </row>
    <row r="6348">
      <c r="A6348" s="56">
        <v>6345.0</v>
      </c>
      <c r="B6348" s="71"/>
      <c r="C6348" s="79" t="s">
        <v>25417</v>
      </c>
      <c r="D6348" s="82"/>
      <c r="E6348" s="80" t="s">
        <v>25418</v>
      </c>
      <c r="F6348" s="98">
        <v>43090.0</v>
      </c>
      <c r="G6348" s="80" t="s">
        <v>25419</v>
      </c>
      <c r="H6348" s="80" t="s">
        <v>25420</v>
      </c>
      <c r="I6348" s="258"/>
      <c r="J6348" s="63" t="s">
        <v>136</v>
      </c>
      <c r="K6348" s="81">
        <v>43734.0</v>
      </c>
      <c r="L6348" s="80" t="s">
        <v>20958</v>
      </c>
      <c r="M6348" s="80" t="s">
        <v>27</v>
      </c>
      <c r="N6348" s="116"/>
      <c r="O6348" s="51"/>
    </row>
    <row r="6349">
      <c r="A6349" s="56">
        <v>6346.0</v>
      </c>
      <c r="B6349" s="71"/>
      <c r="C6349" s="79" t="s">
        <v>25421</v>
      </c>
      <c r="D6349" s="82"/>
      <c r="E6349" s="80" t="s">
        <v>25422</v>
      </c>
      <c r="F6349" s="98">
        <v>43090.0</v>
      </c>
      <c r="G6349" s="80" t="s">
        <v>25419</v>
      </c>
      <c r="H6349" s="80" t="s">
        <v>25423</v>
      </c>
      <c r="I6349" s="82"/>
      <c r="J6349" s="63" t="s">
        <v>136</v>
      </c>
      <c r="K6349" s="81">
        <v>43734.0</v>
      </c>
      <c r="L6349" s="80" t="s">
        <v>20958</v>
      </c>
      <c r="M6349" s="80" t="s">
        <v>27</v>
      </c>
      <c r="N6349" s="116"/>
      <c r="O6349" s="51"/>
    </row>
    <row r="6350">
      <c r="A6350" s="56">
        <v>6347.0</v>
      </c>
      <c r="B6350" s="71"/>
      <c r="C6350" s="79" t="s">
        <v>25424</v>
      </c>
      <c r="D6350" s="82"/>
      <c r="E6350" s="80" t="s">
        <v>25425</v>
      </c>
      <c r="F6350" s="81">
        <v>41782.0</v>
      </c>
      <c r="G6350" s="80" t="s">
        <v>25426</v>
      </c>
      <c r="H6350" s="80" t="s">
        <v>25427</v>
      </c>
      <c r="I6350" s="82"/>
      <c r="J6350" s="63" t="s">
        <v>136</v>
      </c>
      <c r="K6350" s="81">
        <v>43734.0</v>
      </c>
      <c r="L6350" s="80" t="s">
        <v>2743</v>
      </c>
      <c r="M6350" s="80" t="s">
        <v>27</v>
      </c>
      <c r="N6350" s="116"/>
      <c r="O6350" s="51"/>
    </row>
    <row r="6351">
      <c r="A6351" s="56">
        <v>6348.0</v>
      </c>
      <c r="B6351" s="71"/>
      <c r="C6351" s="69" t="s">
        <v>25428</v>
      </c>
      <c r="D6351" s="71"/>
      <c r="E6351" s="68" t="s">
        <v>25429</v>
      </c>
      <c r="F6351" s="76">
        <v>43132.0</v>
      </c>
      <c r="G6351" s="68" t="s">
        <v>25430</v>
      </c>
      <c r="H6351" s="68" t="s">
        <v>25431</v>
      </c>
      <c r="I6351" s="71"/>
      <c r="J6351" s="68" t="s">
        <v>25432</v>
      </c>
      <c r="K6351" s="76">
        <v>43734.0</v>
      </c>
      <c r="L6351" s="68" t="s">
        <v>16185</v>
      </c>
      <c r="M6351" s="68" t="s">
        <v>31</v>
      </c>
      <c r="N6351" s="116"/>
      <c r="O6351" s="51"/>
    </row>
    <row r="6352">
      <c r="A6352" s="56">
        <v>6349.0</v>
      </c>
      <c r="B6352" s="71"/>
      <c r="C6352" s="79" t="s">
        <v>25433</v>
      </c>
      <c r="D6352" s="82"/>
      <c r="E6352" s="80" t="s">
        <v>25434</v>
      </c>
      <c r="F6352" s="81">
        <v>41297.0</v>
      </c>
      <c r="G6352" s="80" t="s">
        <v>25435</v>
      </c>
      <c r="H6352" s="80" t="s">
        <v>25436</v>
      </c>
      <c r="I6352" s="82"/>
      <c r="J6352" s="63" t="s">
        <v>136</v>
      </c>
      <c r="K6352" s="81">
        <v>43734.0</v>
      </c>
      <c r="L6352" s="80" t="s">
        <v>2743</v>
      </c>
      <c r="M6352" s="80" t="s">
        <v>125</v>
      </c>
      <c r="N6352" s="116"/>
      <c r="O6352" s="51"/>
    </row>
    <row r="6353">
      <c r="A6353" s="56">
        <v>6350.0</v>
      </c>
      <c r="B6353" s="71"/>
      <c r="C6353" s="69" t="s">
        <v>25437</v>
      </c>
      <c r="D6353" s="71"/>
      <c r="E6353" s="68" t="s">
        <v>25438</v>
      </c>
      <c r="F6353" s="76">
        <v>43673.0</v>
      </c>
      <c r="G6353" s="68" t="s">
        <v>25439</v>
      </c>
      <c r="H6353" s="68" t="s">
        <v>25440</v>
      </c>
      <c r="I6353" s="71"/>
      <c r="J6353" s="68" t="s">
        <v>25441</v>
      </c>
      <c r="K6353" s="76">
        <v>43734.0</v>
      </c>
      <c r="L6353" s="68" t="s">
        <v>2743</v>
      </c>
      <c r="M6353" s="68" t="s">
        <v>125</v>
      </c>
      <c r="N6353" s="116"/>
      <c r="O6353" s="51"/>
    </row>
    <row r="6354">
      <c r="A6354" s="56">
        <v>6351.0</v>
      </c>
      <c r="B6354" s="71"/>
      <c r="C6354" s="79" t="s">
        <v>25442</v>
      </c>
      <c r="D6354" s="82"/>
      <c r="E6354" s="80" t="s">
        <v>25443</v>
      </c>
      <c r="F6354" s="81">
        <v>42186.0</v>
      </c>
      <c r="G6354" s="80" t="s">
        <v>25444</v>
      </c>
      <c r="H6354" s="80" t="s">
        <v>25445</v>
      </c>
      <c r="I6354" s="82"/>
      <c r="J6354" s="63" t="s">
        <v>136</v>
      </c>
      <c r="K6354" s="81">
        <v>43734.0</v>
      </c>
      <c r="L6354" s="80" t="s">
        <v>2743</v>
      </c>
      <c r="M6354" s="80" t="s">
        <v>201</v>
      </c>
      <c r="N6354" s="87" t="s">
        <v>25446</v>
      </c>
      <c r="O6354" s="51"/>
    </row>
    <row r="6355">
      <c r="A6355" s="56">
        <v>6352.0</v>
      </c>
      <c r="B6355" s="71"/>
      <c r="C6355" s="79" t="s">
        <v>25447</v>
      </c>
      <c r="D6355" s="82"/>
      <c r="E6355" s="80" t="s">
        <v>25448</v>
      </c>
      <c r="F6355" s="81">
        <v>41610.0</v>
      </c>
      <c r="G6355" s="80" t="s">
        <v>25449</v>
      </c>
      <c r="H6355" s="80" t="s">
        <v>25450</v>
      </c>
      <c r="I6355" s="82"/>
      <c r="J6355" s="63" t="s">
        <v>136</v>
      </c>
      <c r="K6355" s="81">
        <v>43738.0</v>
      </c>
      <c r="L6355" s="80" t="s">
        <v>2743</v>
      </c>
      <c r="M6355" s="80" t="s">
        <v>143</v>
      </c>
      <c r="N6355" s="87" t="s">
        <v>25451</v>
      </c>
      <c r="O6355" s="51"/>
    </row>
    <row r="6356">
      <c r="A6356" s="56">
        <v>6353.0</v>
      </c>
      <c r="B6356" s="71"/>
      <c r="C6356" s="69" t="s">
        <v>25452</v>
      </c>
      <c r="D6356" s="71"/>
      <c r="E6356" s="68" t="s">
        <v>25453</v>
      </c>
      <c r="F6356" s="76">
        <v>43727.0</v>
      </c>
      <c r="G6356" s="68" t="s">
        <v>25454</v>
      </c>
      <c r="H6356" s="68" t="s">
        <v>25455</v>
      </c>
      <c r="I6356" s="71"/>
      <c r="J6356" s="87" t="s">
        <v>25456</v>
      </c>
      <c r="K6356" s="76">
        <v>43738.0</v>
      </c>
      <c r="L6356" s="68" t="s">
        <v>2743</v>
      </c>
      <c r="M6356" s="68" t="s">
        <v>5707</v>
      </c>
      <c r="N6356" s="116"/>
      <c r="O6356" s="51"/>
    </row>
    <row r="6357">
      <c r="A6357" s="56">
        <v>6354.0</v>
      </c>
      <c r="B6357" s="71"/>
      <c r="C6357" s="69" t="s">
        <v>25457</v>
      </c>
      <c r="D6357" s="71"/>
      <c r="E6357" s="68" t="s">
        <v>18336</v>
      </c>
      <c r="F6357" s="76">
        <v>43719.0</v>
      </c>
      <c r="G6357" s="68" t="s">
        <v>25458</v>
      </c>
      <c r="H6357" s="68" t="s">
        <v>25459</v>
      </c>
      <c r="I6357" s="71"/>
      <c r="J6357" s="68" t="s">
        <v>25460</v>
      </c>
      <c r="K6357" s="76">
        <v>43738.0</v>
      </c>
      <c r="L6357" s="68" t="s">
        <v>2743</v>
      </c>
      <c r="M6357" s="68" t="s">
        <v>143</v>
      </c>
      <c r="N6357" s="116"/>
      <c r="O6357" s="51"/>
    </row>
    <row r="6358">
      <c r="A6358" s="56">
        <v>6355.0</v>
      </c>
      <c r="B6358" s="71"/>
      <c r="C6358" s="69" t="s">
        <v>25461</v>
      </c>
      <c r="D6358" s="71"/>
      <c r="E6358" s="68" t="s">
        <v>25462</v>
      </c>
      <c r="F6358" s="76">
        <v>43732.0</v>
      </c>
      <c r="G6358" s="68" t="s">
        <v>25463</v>
      </c>
      <c r="H6358" s="68" t="s">
        <v>25464</v>
      </c>
      <c r="I6358" s="71"/>
      <c r="J6358" s="68" t="s">
        <v>25465</v>
      </c>
      <c r="K6358" s="76">
        <v>43739.0</v>
      </c>
      <c r="L6358" s="68" t="s">
        <v>2743</v>
      </c>
      <c r="M6358" s="68" t="s">
        <v>143</v>
      </c>
      <c r="N6358" s="116"/>
      <c r="O6358" s="51"/>
    </row>
    <row r="6359">
      <c r="A6359" s="56">
        <v>6356.0</v>
      </c>
      <c r="B6359" s="71"/>
      <c r="C6359" s="79" t="s">
        <v>25466</v>
      </c>
      <c r="D6359" s="82"/>
      <c r="E6359" s="80" t="s">
        <v>25467</v>
      </c>
      <c r="F6359" s="81">
        <v>42135.0</v>
      </c>
      <c r="G6359" s="80" t="s">
        <v>25468</v>
      </c>
      <c r="H6359" s="80" t="s">
        <v>25469</v>
      </c>
      <c r="I6359" s="82"/>
      <c r="J6359" s="63" t="s">
        <v>136</v>
      </c>
      <c r="K6359" s="81">
        <v>43742.0</v>
      </c>
      <c r="L6359" s="80" t="s">
        <v>2743</v>
      </c>
      <c r="M6359" s="80" t="s">
        <v>125</v>
      </c>
      <c r="N6359" s="116"/>
      <c r="O6359" s="51"/>
    </row>
    <row r="6360">
      <c r="A6360" s="56">
        <v>6357.0</v>
      </c>
      <c r="B6360" s="71"/>
      <c r="C6360" s="69" t="s">
        <v>25470</v>
      </c>
      <c r="D6360" s="71"/>
      <c r="E6360" s="68" t="s">
        <v>25471</v>
      </c>
      <c r="F6360" s="76">
        <v>43638.0</v>
      </c>
      <c r="G6360" s="68" t="s">
        <v>25472</v>
      </c>
      <c r="H6360" s="68" t="s">
        <v>25473</v>
      </c>
      <c r="I6360" s="68" t="s">
        <v>25474</v>
      </c>
      <c r="J6360" s="68" t="s">
        <v>25475</v>
      </c>
      <c r="K6360" s="76">
        <v>43742.0</v>
      </c>
      <c r="L6360" s="68" t="s">
        <v>2743</v>
      </c>
      <c r="M6360" s="68" t="s">
        <v>1509</v>
      </c>
      <c r="N6360" s="116"/>
      <c r="O6360" s="51"/>
    </row>
    <row r="6361">
      <c r="A6361" s="56">
        <v>6358.0</v>
      </c>
      <c r="B6361" s="71"/>
      <c r="C6361" s="69" t="s">
        <v>25476</v>
      </c>
      <c r="D6361" s="71"/>
      <c r="E6361" s="68" t="s">
        <v>25477</v>
      </c>
      <c r="F6361" s="76">
        <v>42820.0</v>
      </c>
      <c r="G6361" s="68" t="s">
        <v>25478</v>
      </c>
      <c r="H6361" s="68" t="s">
        <v>25479</v>
      </c>
      <c r="I6361" s="71"/>
      <c r="J6361" s="68" t="s">
        <v>25480</v>
      </c>
      <c r="K6361" s="76">
        <v>43742.0</v>
      </c>
      <c r="L6361" s="68" t="s">
        <v>2743</v>
      </c>
      <c r="M6361" s="68" t="s">
        <v>21884</v>
      </c>
      <c r="N6361" s="116"/>
      <c r="O6361" s="51"/>
    </row>
    <row r="6362">
      <c r="A6362" s="56">
        <v>6359.0</v>
      </c>
      <c r="B6362" s="71"/>
      <c r="C6362" s="79" t="s">
        <v>25481</v>
      </c>
      <c r="D6362" s="82"/>
      <c r="E6362" s="80" t="s">
        <v>25482</v>
      </c>
      <c r="F6362" s="98">
        <v>40164.0</v>
      </c>
      <c r="G6362" s="80" t="s">
        <v>25483</v>
      </c>
      <c r="H6362" s="80" t="s">
        <v>25484</v>
      </c>
      <c r="I6362" s="82"/>
      <c r="J6362" s="63" t="s">
        <v>136</v>
      </c>
      <c r="K6362" s="81">
        <v>43742.0</v>
      </c>
      <c r="L6362" s="80" t="s">
        <v>2743</v>
      </c>
      <c r="M6362" s="80" t="s">
        <v>166</v>
      </c>
      <c r="N6362" s="116"/>
      <c r="O6362" s="51"/>
    </row>
    <row r="6363">
      <c r="A6363" s="56">
        <v>6360.0</v>
      </c>
      <c r="B6363" s="71"/>
      <c r="C6363" s="79" t="s">
        <v>25485</v>
      </c>
      <c r="D6363" s="82"/>
      <c r="E6363" s="80" t="s">
        <v>25486</v>
      </c>
      <c r="F6363" s="81">
        <v>40360.0</v>
      </c>
      <c r="G6363" s="80" t="s">
        <v>25487</v>
      </c>
      <c r="H6363" s="80" t="s">
        <v>25488</v>
      </c>
      <c r="I6363" s="82"/>
      <c r="J6363" s="63" t="s">
        <v>136</v>
      </c>
      <c r="K6363" s="81">
        <v>43742.0</v>
      </c>
      <c r="L6363" s="80" t="s">
        <v>2743</v>
      </c>
      <c r="M6363" s="80" t="s">
        <v>368</v>
      </c>
      <c r="N6363" s="116"/>
      <c r="O6363" s="51"/>
    </row>
    <row r="6364">
      <c r="A6364" s="56">
        <v>6361.0</v>
      </c>
      <c r="B6364" s="71"/>
      <c r="C6364" s="69" t="s">
        <v>25489</v>
      </c>
      <c r="D6364" s="71"/>
      <c r="E6364" s="68" t="s">
        <v>25490</v>
      </c>
      <c r="F6364" s="76">
        <v>42960.0</v>
      </c>
      <c r="G6364" s="68" t="s">
        <v>25491</v>
      </c>
      <c r="H6364" s="80" t="s">
        <v>25492</v>
      </c>
      <c r="I6364" s="71"/>
      <c r="J6364" s="68" t="s">
        <v>25493</v>
      </c>
      <c r="K6364" s="76">
        <v>43742.0</v>
      </c>
      <c r="L6364" s="68" t="s">
        <v>2743</v>
      </c>
      <c r="M6364" s="68" t="s">
        <v>1516</v>
      </c>
      <c r="N6364" s="116"/>
      <c r="O6364" s="51"/>
    </row>
    <row r="6365">
      <c r="A6365" s="85">
        <v>6362.0</v>
      </c>
      <c r="B6365" s="82"/>
      <c r="C6365" s="79" t="s">
        <v>25494</v>
      </c>
      <c r="D6365" s="82"/>
      <c r="E6365" s="80" t="s">
        <v>25495</v>
      </c>
      <c r="F6365" s="81">
        <v>40725.0</v>
      </c>
      <c r="G6365" s="80" t="s">
        <v>25496</v>
      </c>
      <c r="H6365" s="80" t="s">
        <v>25497</v>
      </c>
      <c r="I6365" s="82"/>
      <c r="J6365" s="80" t="s">
        <v>136</v>
      </c>
      <c r="K6365" s="81">
        <v>43745.0</v>
      </c>
      <c r="L6365" s="80" t="s">
        <v>2743</v>
      </c>
      <c r="M6365" s="80" t="s">
        <v>530</v>
      </c>
      <c r="N6365" s="201"/>
      <c r="O6365" s="51"/>
    </row>
    <row r="6366">
      <c r="A6366" s="75">
        <v>6363.0</v>
      </c>
      <c r="B6366" s="71"/>
      <c r="C6366" s="69" t="s">
        <v>25498</v>
      </c>
      <c r="D6366" s="68" t="s">
        <v>25499</v>
      </c>
      <c r="E6366" s="68" t="s">
        <v>25500</v>
      </c>
      <c r="F6366" s="76">
        <v>43697.0</v>
      </c>
      <c r="G6366" s="68" t="s">
        <v>25501</v>
      </c>
      <c r="H6366" s="68" t="s">
        <v>25502</v>
      </c>
      <c r="I6366" s="71"/>
      <c r="J6366" s="87" t="s">
        <v>25503</v>
      </c>
      <c r="K6366" s="76">
        <v>43747.0</v>
      </c>
      <c r="L6366" s="68" t="s">
        <v>2743</v>
      </c>
      <c r="M6366" s="68" t="s">
        <v>2692</v>
      </c>
      <c r="N6366" s="116"/>
      <c r="O6366" s="51"/>
    </row>
    <row r="6367">
      <c r="A6367" s="56">
        <v>6364.0</v>
      </c>
      <c r="B6367" s="71"/>
      <c r="C6367" s="69" t="s">
        <v>25504</v>
      </c>
      <c r="D6367" s="71"/>
      <c r="E6367" s="68" t="s">
        <v>25505</v>
      </c>
      <c r="F6367" s="76">
        <v>43743.0</v>
      </c>
      <c r="G6367" s="68" t="s">
        <v>25506</v>
      </c>
      <c r="H6367" s="68" t="s">
        <v>25507</v>
      </c>
      <c r="I6367" s="71"/>
      <c r="J6367" s="87" t="s">
        <v>25508</v>
      </c>
      <c r="K6367" s="76">
        <v>43747.0</v>
      </c>
      <c r="L6367" s="68" t="s">
        <v>2743</v>
      </c>
      <c r="M6367" s="68" t="s">
        <v>5990</v>
      </c>
      <c r="N6367" s="116"/>
      <c r="O6367" s="51"/>
    </row>
    <row r="6368">
      <c r="A6368" s="56">
        <v>6365.0</v>
      </c>
      <c r="B6368" s="71"/>
      <c r="C6368" s="69" t="s">
        <v>25509</v>
      </c>
      <c r="D6368" s="71"/>
      <c r="E6368" s="68" t="s">
        <v>25510</v>
      </c>
      <c r="F6368" s="76">
        <v>43740.0</v>
      </c>
      <c r="G6368" s="68" t="s">
        <v>25511</v>
      </c>
      <c r="H6368" s="68" t="s">
        <v>25512</v>
      </c>
      <c r="I6368" s="71"/>
      <c r="J6368" s="68" t="s">
        <v>25513</v>
      </c>
      <c r="K6368" s="83">
        <v>43748.0</v>
      </c>
      <c r="L6368" s="68" t="s">
        <v>2743</v>
      </c>
      <c r="M6368" s="68" t="s">
        <v>4273</v>
      </c>
      <c r="N6368" s="116"/>
      <c r="O6368" s="51"/>
    </row>
    <row r="6369">
      <c r="A6369" s="56">
        <v>6366.0</v>
      </c>
      <c r="B6369" s="71"/>
      <c r="C6369" s="69" t="s">
        <v>25514</v>
      </c>
      <c r="D6369" s="71"/>
      <c r="E6369" s="68" t="s">
        <v>25515</v>
      </c>
      <c r="F6369" s="76">
        <v>43741.0</v>
      </c>
      <c r="G6369" s="68" t="s">
        <v>25516</v>
      </c>
      <c r="H6369" s="68" t="s">
        <v>25517</v>
      </c>
      <c r="I6369" s="71"/>
      <c r="J6369" s="87" t="s">
        <v>25518</v>
      </c>
      <c r="K6369" s="83">
        <v>43748.0</v>
      </c>
      <c r="L6369" s="68" t="s">
        <v>2743</v>
      </c>
      <c r="M6369" s="68" t="s">
        <v>149</v>
      </c>
      <c r="N6369" s="116"/>
      <c r="O6369" s="51"/>
    </row>
    <row r="6370">
      <c r="A6370" s="56">
        <v>6367.0</v>
      </c>
      <c r="B6370" s="71"/>
      <c r="C6370" s="69" t="s">
        <v>25519</v>
      </c>
      <c r="D6370" s="71"/>
      <c r="E6370" s="68" t="s">
        <v>25520</v>
      </c>
      <c r="F6370" s="76">
        <v>43685.0</v>
      </c>
      <c r="G6370" s="68" t="s">
        <v>25521</v>
      </c>
      <c r="H6370" s="68" t="s">
        <v>25522</v>
      </c>
      <c r="I6370" s="68" t="s">
        <v>25523</v>
      </c>
      <c r="J6370" s="68" t="s">
        <v>25524</v>
      </c>
      <c r="K6370" s="83">
        <v>43748.0</v>
      </c>
      <c r="L6370" s="68" t="s">
        <v>2743</v>
      </c>
      <c r="M6370" s="68" t="s">
        <v>31</v>
      </c>
      <c r="N6370" s="116"/>
      <c r="O6370" s="51"/>
    </row>
    <row r="6371">
      <c r="A6371" s="75">
        <v>6368.0</v>
      </c>
      <c r="B6371" s="71"/>
      <c r="C6371" s="69" t="s">
        <v>25525</v>
      </c>
      <c r="D6371" s="71"/>
      <c r="E6371" s="68" t="s">
        <v>25526</v>
      </c>
      <c r="F6371" s="76">
        <v>43746.0</v>
      </c>
      <c r="G6371" s="68" t="s">
        <v>25527</v>
      </c>
      <c r="H6371" s="68" t="s">
        <v>25528</v>
      </c>
      <c r="I6371" s="68" t="s">
        <v>25529</v>
      </c>
      <c r="J6371" s="68" t="s">
        <v>25530</v>
      </c>
      <c r="K6371" s="83">
        <v>43749.0</v>
      </c>
      <c r="L6371" s="68" t="s">
        <v>2743</v>
      </c>
      <c r="M6371" s="68" t="s">
        <v>31</v>
      </c>
      <c r="N6371" s="116"/>
      <c r="O6371" s="51"/>
    </row>
    <row r="6372">
      <c r="A6372" s="56">
        <v>6369.0</v>
      </c>
      <c r="B6372" s="71"/>
      <c r="C6372" s="79" t="s">
        <v>25531</v>
      </c>
      <c r="D6372" s="82"/>
      <c r="E6372" s="80" t="s">
        <v>25532</v>
      </c>
      <c r="F6372" s="81">
        <v>40330.0</v>
      </c>
      <c r="G6372" s="80" t="s">
        <v>25533</v>
      </c>
      <c r="H6372" s="80" t="s">
        <v>25534</v>
      </c>
      <c r="I6372" s="82"/>
      <c r="J6372" s="63" t="s">
        <v>136</v>
      </c>
      <c r="K6372" s="98">
        <v>43749.0</v>
      </c>
      <c r="L6372" s="80" t="s">
        <v>2743</v>
      </c>
      <c r="M6372" s="80" t="s">
        <v>2152</v>
      </c>
      <c r="N6372" s="116"/>
      <c r="O6372" s="51"/>
    </row>
    <row r="6373">
      <c r="A6373" s="56">
        <v>6370.0</v>
      </c>
      <c r="B6373" s="71"/>
      <c r="C6373" s="79" t="s">
        <v>25535</v>
      </c>
      <c r="D6373" s="82"/>
      <c r="E6373" s="80" t="s">
        <v>25536</v>
      </c>
      <c r="F6373" s="81">
        <v>42098.0</v>
      </c>
      <c r="G6373" s="80" t="s">
        <v>25537</v>
      </c>
      <c r="H6373" s="80" t="s">
        <v>25538</v>
      </c>
      <c r="I6373" s="82"/>
      <c r="J6373" s="63" t="s">
        <v>136</v>
      </c>
      <c r="K6373" s="98">
        <v>43752.0</v>
      </c>
      <c r="L6373" s="80" t="s">
        <v>2743</v>
      </c>
      <c r="M6373" s="80" t="s">
        <v>201</v>
      </c>
      <c r="N6373" s="116"/>
      <c r="O6373" s="51"/>
    </row>
    <row r="6374">
      <c r="A6374" s="75">
        <v>6371.0</v>
      </c>
      <c r="B6374" s="71"/>
      <c r="C6374" s="69" t="s">
        <v>25539</v>
      </c>
      <c r="D6374" s="71"/>
      <c r="E6374" s="68" t="s">
        <v>25540</v>
      </c>
      <c r="F6374" s="76">
        <v>40342.0</v>
      </c>
      <c r="G6374" s="68" t="s">
        <v>25541</v>
      </c>
      <c r="H6374" s="68" t="s">
        <v>25542</v>
      </c>
      <c r="I6374" s="71"/>
      <c r="J6374" s="68" t="s">
        <v>25543</v>
      </c>
      <c r="K6374" s="83">
        <v>43752.0</v>
      </c>
      <c r="L6374" s="68" t="s">
        <v>16185</v>
      </c>
      <c r="M6374" s="68" t="s">
        <v>3714</v>
      </c>
      <c r="N6374" s="116"/>
      <c r="O6374" s="51"/>
    </row>
    <row r="6375">
      <c r="A6375" s="56">
        <v>6372.0</v>
      </c>
      <c r="B6375" s="71"/>
      <c r="C6375" s="69" t="s">
        <v>25544</v>
      </c>
      <c r="D6375" s="71"/>
      <c r="E6375" s="68" t="s">
        <v>25545</v>
      </c>
      <c r="F6375" s="76">
        <v>43705.0</v>
      </c>
      <c r="G6375" s="68" t="s">
        <v>25546</v>
      </c>
      <c r="H6375" s="71"/>
      <c r="I6375" s="68" t="s">
        <v>25547</v>
      </c>
      <c r="J6375" s="68" t="s">
        <v>25548</v>
      </c>
      <c r="K6375" s="83">
        <v>43752.0</v>
      </c>
      <c r="L6375" s="68" t="s">
        <v>16185</v>
      </c>
      <c r="M6375" s="68" t="s">
        <v>10279</v>
      </c>
      <c r="N6375" s="116"/>
      <c r="O6375" s="51"/>
    </row>
    <row r="6376">
      <c r="A6376" s="56">
        <v>6373.0</v>
      </c>
      <c r="B6376" s="71"/>
      <c r="C6376" s="69" t="s">
        <v>25549</v>
      </c>
      <c r="D6376" s="71"/>
      <c r="E6376" s="68" t="s">
        <v>25550</v>
      </c>
      <c r="F6376" s="76">
        <v>43707.0</v>
      </c>
      <c r="G6376" s="68" t="s">
        <v>25551</v>
      </c>
      <c r="H6376" s="68" t="s">
        <v>25552</v>
      </c>
      <c r="I6376" s="71"/>
      <c r="J6376" s="68" t="s">
        <v>25553</v>
      </c>
      <c r="K6376" s="83">
        <v>43754.0</v>
      </c>
      <c r="L6376" s="68" t="s">
        <v>2743</v>
      </c>
      <c r="M6376" s="68" t="s">
        <v>5990</v>
      </c>
      <c r="N6376" s="116"/>
      <c r="O6376" s="51"/>
    </row>
    <row r="6377">
      <c r="A6377" s="56">
        <v>6374.0</v>
      </c>
      <c r="B6377" s="71"/>
      <c r="C6377" s="79" t="s">
        <v>25554</v>
      </c>
      <c r="D6377" s="82"/>
      <c r="E6377" s="80" t="s">
        <v>25555</v>
      </c>
      <c r="F6377" s="81">
        <v>40180.0</v>
      </c>
      <c r="G6377" s="80" t="s">
        <v>25556</v>
      </c>
      <c r="H6377" s="80" t="s">
        <v>25557</v>
      </c>
      <c r="I6377" s="82"/>
      <c r="J6377" s="63" t="s">
        <v>136</v>
      </c>
      <c r="K6377" s="98">
        <v>43754.0</v>
      </c>
      <c r="L6377" s="80" t="s">
        <v>2743</v>
      </c>
      <c r="M6377" s="80" t="s">
        <v>2466</v>
      </c>
      <c r="N6377" s="116"/>
      <c r="O6377" s="51"/>
    </row>
    <row r="6378">
      <c r="A6378" s="75">
        <v>6375.0</v>
      </c>
      <c r="B6378" s="71"/>
      <c r="C6378" s="69" t="s">
        <v>25558</v>
      </c>
      <c r="D6378" s="71"/>
      <c r="E6378" s="68" t="s">
        <v>25559</v>
      </c>
      <c r="F6378" s="76">
        <v>41457.0</v>
      </c>
      <c r="G6378" s="68" t="s">
        <v>25560</v>
      </c>
      <c r="H6378" s="68" t="s">
        <v>25561</v>
      </c>
      <c r="I6378" s="71"/>
      <c r="J6378" s="68" t="s">
        <v>25562</v>
      </c>
      <c r="K6378" s="83">
        <v>43754.0</v>
      </c>
      <c r="L6378" s="68" t="s">
        <v>2743</v>
      </c>
      <c r="M6378" s="68" t="s">
        <v>2466</v>
      </c>
      <c r="N6378" s="116"/>
      <c r="O6378" s="51"/>
    </row>
    <row r="6379">
      <c r="A6379" s="56">
        <v>6376.0</v>
      </c>
      <c r="B6379" s="71"/>
      <c r="C6379" s="69" t="s">
        <v>25563</v>
      </c>
      <c r="D6379" s="71"/>
      <c r="E6379" s="68" t="s">
        <v>25564</v>
      </c>
      <c r="F6379" s="83">
        <v>43751.0</v>
      </c>
      <c r="G6379" s="68" t="s">
        <v>25565</v>
      </c>
      <c r="H6379" s="68" t="s">
        <v>25566</v>
      </c>
      <c r="I6379" s="71"/>
      <c r="J6379" s="68" t="s">
        <v>25567</v>
      </c>
      <c r="K6379" s="83">
        <v>43754.0</v>
      </c>
      <c r="L6379" s="68" t="s">
        <v>2743</v>
      </c>
      <c r="M6379" s="68" t="s">
        <v>941</v>
      </c>
      <c r="N6379" s="116"/>
      <c r="O6379" s="51"/>
    </row>
    <row r="6380">
      <c r="A6380" s="75">
        <v>6377.0</v>
      </c>
      <c r="B6380" s="71"/>
      <c r="C6380" s="69" t="s">
        <v>25568</v>
      </c>
      <c r="D6380" s="71"/>
      <c r="E6380" s="68" t="s">
        <v>25569</v>
      </c>
      <c r="F6380" s="83">
        <v>42688.0</v>
      </c>
      <c r="G6380" s="68" t="s">
        <v>25570</v>
      </c>
      <c r="H6380" s="68" t="s">
        <v>25571</v>
      </c>
      <c r="I6380" s="68" t="s">
        <v>25572</v>
      </c>
      <c r="J6380" s="68" t="s">
        <v>25573</v>
      </c>
      <c r="K6380" s="83">
        <v>43754.0</v>
      </c>
      <c r="L6380" s="68" t="s">
        <v>2743</v>
      </c>
      <c r="M6380" s="68" t="s">
        <v>530</v>
      </c>
      <c r="N6380" s="116"/>
      <c r="O6380" s="51"/>
    </row>
    <row r="6381">
      <c r="A6381" s="56">
        <v>6378.0</v>
      </c>
      <c r="B6381" s="71"/>
      <c r="C6381" s="69" t="s">
        <v>25574</v>
      </c>
      <c r="D6381" s="71"/>
      <c r="E6381" s="68" t="s">
        <v>25575</v>
      </c>
      <c r="F6381" s="83">
        <v>43748.0</v>
      </c>
      <c r="G6381" s="68" t="s">
        <v>25576</v>
      </c>
      <c r="H6381" s="68" t="s">
        <v>25577</v>
      </c>
      <c r="I6381" s="71"/>
      <c r="J6381" s="68" t="s">
        <v>25578</v>
      </c>
      <c r="K6381" s="83">
        <v>43754.0</v>
      </c>
      <c r="L6381" s="68" t="s">
        <v>2743</v>
      </c>
      <c r="M6381" s="68" t="s">
        <v>5990</v>
      </c>
      <c r="N6381" s="116"/>
      <c r="O6381" s="51"/>
    </row>
    <row r="6382">
      <c r="A6382" s="56">
        <v>6379.0</v>
      </c>
      <c r="B6382" s="71"/>
      <c r="C6382" s="79" t="s">
        <v>25579</v>
      </c>
      <c r="D6382" s="82"/>
      <c r="E6382" s="80" t="s">
        <v>25580</v>
      </c>
      <c r="F6382" s="81">
        <v>41456.0</v>
      </c>
      <c r="G6382" s="80" t="s">
        <v>25581</v>
      </c>
      <c r="H6382" s="80" t="s">
        <v>25582</v>
      </c>
      <c r="I6382" s="82"/>
      <c r="J6382" s="63" t="s">
        <v>136</v>
      </c>
      <c r="K6382" s="98">
        <v>43756.0</v>
      </c>
      <c r="L6382" s="80" t="s">
        <v>2743</v>
      </c>
      <c r="M6382" s="80" t="s">
        <v>368</v>
      </c>
      <c r="N6382" s="116"/>
      <c r="O6382" s="51"/>
    </row>
    <row r="6383">
      <c r="A6383" s="56">
        <v>6380.0</v>
      </c>
      <c r="B6383" s="71"/>
      <c r="C6383" s="79" t="s">
        <v>25583</v>
      </c>
      <c r="D6383" s="82"/>
      <c r="E6383" s="80" t="s">
        <v>25584</v>
      </c>
      <c r="F6383" s="81">
        <v>39924.0</v>
      </c>
      <c r="G6383" s="80" t="s">
        <v>25585</v>
      </c>
      <c r="H6383" s="80" t="s">
        <v>439</v>
      </c>
      <c r="I6383" s="82"/>
      <c r="J6383" s="63" t="s">
        <v>136</v>
      </c>
      <c r="K6383" s="98">
        <v>43756.0</v>
      </c>
      <c r="L6383" s="80" t="s">
        <v>2743</v>
      </c>
      <c r="M6383" s="80" t="s">
        <v>125</v>
      </c>
      <c r="N6383" s="116"/>
      <c r="O6383" s="51"/>
    </row>
    <row r="6384">
      <c r="A6384" s="75">
        <v>6381.0</v>
      </c>
      <c r="B6384" s="71"/>
      <c r="C6384" s="69" t="s">
        <v>25586</v>
      </c>
      <c r="D6384" s="71"/>
      <c r="E6384" s="68" t="s">
        <v>25587</v>
      </c>
      <c r="F6384" s="76">
        <v>43742.0</v>
      </c>
      <c r="G6384" s="68" t="s">
        <v>25588</v>
      </c>
      <c r="H6384" s="68" t="s">
        <v>25589</v>
      </c>
      <c r="I6384" s="68" t="s">
        <v>25590</v>
      </c>
      <c r="J6384" s="68" t="s">
        <v>25591</v>
      </c>
      <c r="K6384" s="83">
        <v>43757.0</v>
      </c>
      <c r="L6384" s="68" t="s">
        <v>2743</v>
      </c>
      <c r="M6384" s="68" t="s">
        <v>31</v>
      </c>
      <c r="N6384" s="116"/>
      <c r="O6384" s="51"/>
    </row>
    <row r="6385">
      <c r="A6385" s="56">
        <v>6382.0</v>
      </c>
      <c r="B6385" s="71"/>
      <c r="C6385" s="79" t="s">
        <v>25592</v>
      </c>
      <c r="D6385" s="82"/>
      <c r="E6385" s="80" t="s">
        <v>25593</v>
      </c>
      <c r="F6385" s="98">
        <v>40103.0</v>
      </c>
      <c r="G6385" s="80" t="s">
        <v>25594</v>
      </c>
      <c r="H6385" s="80" t="s">
        <v>25595</v>
      </c>
      <c r="I6385" s="82"/>
      <c r="J6385" s="63" t="s">
        <v>136</v>
      </c>
      <c r="K6385" s="98">
        <v>43757.0</v>
      </c>
      <c r="L6385" s="80" t="s">
        <v>2743</v>
      </c>
      <c r="M6385" s="80" t="s">
        <v>941</v>
      </c>
      <c r="N6385" s="116"/>
      <c r="O6385" s="51"/>
    </row>
    <row r="6386">
      <c r="A6386" s="56">
        <v>6383.0</v>
      </c>
      <c r="B6386" s="71"/>
      <c r="C6386" s="79" t="s">
        <v>25596</v>
      </c>
      <c r="D6386" s="82"/>
      <c r="E6386" s="80" t="s">
        <v>25597</v>
      </c>
      <c r="F6386" s="81">
        <v>43271.0</v>
      </c>
      <c r="G6386" s="80" t="s">
        <v>25598</v>
      </c>
      <c r="H6386" s="80" t="s">
        <v>25599</v>
      </c>
      <c r="I6386" s="82"/>
      <c r="J6386" s="63" t="s">
        <v>136</v>
      </c>
      <c r="K6386" s="98">
        <v>43759.0</v>
      </c>
      <c r="L6386" s="80" t="s">
        <v>2743</v>
      </c>
      <c r="M6386" s="80" t="s">
        <v>872</v>
      </c>
      <c r="N6386" s="116"/>
      <c r="O6386" s="51"/>
    </row>
    <row r="6387">
      <c r="A6387" s="56">
        <v>6384.0</v>
      </c>
      <c r="B6387" s="71"/>
      <c r="C6387" s="69" t="s">
        <v>25600</v>
      </c>
      <c r="D6387" s="71"/>
      <c r="E6387" s="68" t="s">
        <v>25601</v>
      </c>
      <c r="F6387" s="76">
        <v>43632.0</v>
      </c>
      <c r="G6387" s="68" t="s">
        <v>25602</v>
      </c>
      <c r="H6387" s="68" t="s">
        <v>25603</v>
      </c>
      <c r="I6387" s="71"/>
      <c r="J6387" s="68" t="s">
        <v>25604</v>
      </c>
      <c r="K6387" s="83">
        <v>43759.0</v>
      </c>
      <c r="L6387" s="68" t="s">
        <v>16185</v>
      </c>
      <c r="M6387" s="68" t="s">
        <v>403</v>
      </c>
      <c r="N6387" s="116"/>
      <c r="O6387" s="51"/>
    </row>
    <row r="6388">
      <c r="A6388" s="56">
        <v>6385.0</v>
      </c>
      <c r="B6388" s="71"/>
      <c r="C6388" s="79" t="s">
        <v>25605</v>
      </c>
      <c r="D6388" s="82"/>
      <c r="E6388" s="80" t="s">
        <v>25606</v>
      </c>
      <c r="F6388" s="81">
        <v>43742.0</v>
      </c>
      <c r="G6388" s="80" t="s">
        <v>25607</v>
      </c>
      <c r="H6388" s="80" t="s">
        <v>439</v>
      </c>
      <c r="I6388" s="82"/>
      <c r="J6388" s="63" t="s">
        <v>136</v>
      </c>
      <c r="K6388" s="98">
        <v>43759.0</v>
      </c>
      <c r="L6388" s="80" t="s">
        <v>16185</v>
      </c>
      <c r="M6388" s="80" t="s">
        <v>14984</v>
      </c>
      <c r="N6388" s="116"/>
      <c r="O6388" s="51"/>
    </row>
    <row r="6389">
      <c r="A6389" s="56">
        <v>6386.0</v>
      </c>
      <c r="B6389" s="71"/>
      <c r="C6389" s="79" t="s">
        <v>25608</v>
      </c>
      <c r="D6389" s="82"/>
      <c r="E6389" s="80" t="s">
        <v>25609</v>
      </c>
      <c r="F6389" s="81">
        <v>40452.0</v>
      </c>
      <c r="G6389" s="80" t="s">
        <v>25610</v>
      </c>
      <c r="H6389" s="80" t="s">
        <v>439</v>
      </c>
      <c r="I6389" s="80" t="s">
        <v>25611</v>
      </c>
      <c r="J6389" s="63" t="s">
        <v>136</v>
      </c>
      <c r="K6389" s="98">
        <v>43763.0</v>
      </c>
      <c r="L6389" s="80" t="s">
        <v>2743</v>
      </c>
      <c r="M6389" s="80" t="s">
        <v>15586</v>
      </c>
      <c r="N6389" s="116"/>
      <c r="O6389" s="51"/>
    </row>
    <row r="6390">
      <c r="A6390" s="56">
        <v>6387.0</v>
      </c>
      <c r="B6390" s="71"/>
      <c r="C6390" s="79" t="s">
        <v>25612</v>
      </c>
      <c r="D6390" s="82"/>
      <c r="E6390" s="80" t="s">
        <v>25613</v>
      </c>
      <c r="F6390" s="81">
        <v>43617.0</v>
      </c>
      <c r="G6390" s="80" t="s">
        <v>25614</v>
      </c>
      <c r="H6390" s="80" t="s">
        <v>25615</v>
      </c>
      <c r="I6390" s="82"/>
      <c r="J6390" s="63" t="s">
        <v>136</v>
      </c>
      <c r="K6390" s="98">
        <v>43763.0</v>
      </c>
      <c r="L6390" s="80" t="s">
        <v>2743</v>
      </c>
      <c r="M6390" s="80" t="s">
        <v>143</v>
      </c>
      <c r="N6390" s="116"/>
      <c r="O6390" s="51"/>
    </row>
    <row r="6391">
      <c r="A6391" s="56">
        <v>6388.0</v>
      </c>
      <c r="B6391" s="71"/>
      <c r="C6391" s="69" t="s">
        <v>25616</v>
      </c>
      <c r="D6391" s="71"/>
      <c r="E6391" s="68" t="s">
        <v>25617</v>
      </c>
      <c r="F6391" s="76">
        <v>42958.0</v>
      </c>
      <c r="G6391" s="68" t="s">
        <v>25618</v>
      </c>
      <c r="H6391" s="68" t="s">
        <v>25619</v>
      </c>
      <c r="I6391" s="71"/>
      <c r="J6391" s="68" t="s">
        <v>25620</v>
      </c>
      <c r="K6391" s="83">
        <v>43763.0</v>
      </c>
      <c r="L6391" s="68" t="s">
        <v>2743</v>
      </c>
      <c r="M6391" s="68" t="s">
        <v>166</v>
      </c>
      <c r="N6391" s="116"/>
      <c r="O6391" s="51"/>
    </row>
    <row r="6392">
      <c r="A6392" s="56">
        <v>6389.0</v>
      </c>
      <c r="B6392" s="71"/>
      <c r="C6392" s="69" t="s">
        <v>25621</v>
      </c>
      <c r="D6392" s="71"/>
      <c r="E6392" s="68" t="s">
        <v>25622</v>
      </c>
      <c r="F6392" s="76">
        <v>43706.0</v>
      </c>
      <c r="G6392" s="68" t="s">
        <v>25623</v>
      </c>
      <c r="H6392" s="68" t="s">
        <v>25624</v>
      </c>
      <c r="I6392" s="71"/>
      <c r="J6392" s="68" t="s">
        <v>25625</v>
      </c>
      <c r="K6392" s="83">
        <v>43763.0</v>
      </c>
      <c r="L6392" s="68" t="s">
        <v>2743</v>
      </c>
      <c r="M6392" s="68" t="s">
        <v>1435</v>
      </c>
      <c r="N6392" s="116"/>
      <c r="O6392" s="51"/>
    </row>
    <row r="6393">
      <c r="A6393" s="56">
        <v>6390.0</v>
      </c>
      <c r="B6393" s="71"/>
      <c r="C6393" s="79" t="s">
        <v>25626</v>
      </c>
      <c r="D6393" s="82"/>
      <c r="E6393" s="80" t="s">
        <v>25627</v>
      </c>
      <c r="F6393" s="81">
        <v>42913.0</v>
      </c>
      <c r="G6393" s="80" t="s">
        <v>25628</v>
      </c>
      <c r="H6393" s="80" t="s">
        <v>25629</v>
      </c>
      <c r="I6393" s="82"/>
      <c r="J6393" s="63" t="s">
        <v>136</v>
      </c>
      <c r="K6393" s="98">
        <v>43763.0</v>
      </c>
      <c r="L6393" s="80" t="s">
        <v>2743</v>
      </c>
      <c r="M6393" s="80" t="s">
        <v>125</v>
      </c>
      <c r="N6393" s="116"/>
      <c r="O6393" s="51"/>
    </row>
    <row r="6394">
      <c r="A6394" s="56">
        <v>6391.0</v>
      </c>
      <c r="B6394" s="71"/>
      <c r="C6394" s="79" t="s">
        <v>25630</v>
      </c>
      <c r="D6394" s="82"/>
      <c r="E6394" s="80" t="s">
        <v>25631</v>
      </c>
      <c r="F6394" s="81">
        <v>42827.0</v>
      </c>
      <c r="G6394" s="80" t="s">
        <v>25632</v>
      </c>
      <c r="H6394" s="80" t="s">
        <v>25633</v>
      </c>
      <c r="I6394" s="82"/>
      <c r="J6394" s="63" t="s">
        <v>136</v>
      </c>
      <c r="K6394" s="98">
        <v>43763.0</v>
      </c>
      <c r="L6394" s="80" t="s">
        <v>2743</v>
      </c>
      <c r="M6394" s="80" t="s">
        <v>195</v>
      </c>
      <c r="N6394" s="116"/>
      <c r="O6394" s="51"/>
    </row>
    <row r="6395">
      <c r="A6395" s="56">
        <v>6392.0</v>
      </c>
      <c r="B6395" s="71"/>
      <c r="C6395" s="69" t="s">
        <v>25634</v>
      </c>
      <c r="D6395" s="71"/>
      <c r="E6395" s="68" t="s">
        <v>25635</v>
      </c>
      <c r="F6395" s="76">
        <v>43484.0</v>
      </c>
      <c r="G6395" s="68" t="s">
        <v>25636</v>
      </c>
      <c r="H6395" s="68" t="s">
        <v>25637</v>
      </c>
      <c r="I6395" s="71"/>
      <c r="J6395" s="68" t="s">
        <v>25638</v>
      </c>
      <c r="K6395" s="83">
        <v>43767.0</v>
      </c>
      <c r="L6395" s="68" t="s">
        <v>14256</v>
      </c>
      <c r="M6395" s="68" t="s">
        <v>27</v>
      </c>
      <c r="N6395" s="116"/>
      <c r="O6395" s="51"/>
    </row>
    <row r="6396">
      <c r="A6396" s="56">
        <v>6393.0</v>
      </c>
      <c r="B6396" s="71"/>
      <c r="C6396" s="69" t="s">
        <v>25639</v>
      </c>
      <c r="D6396" s="71"/>
      <c r="E6396" s="68" t="s">
        <v>25640</v>
      </c>
      <c r="F6396" s="76">
        <v>43179.0</v>
      </c>
      <c r="G6396" s="68" t="s">
        <v>25641</v>
      </c>
      <c r="H6396" s="71"/>
      <c r="I6396" s="71"/>
      <c r="J6396" s="68" t="s">
        <v>25642</v>
      </c>
      <c r="K6396" s="83">
        <v>43767.0</v>
      </c>
      <c r="L6396" s="68" t="s">
        <v>14256</v>
      </c>
      <c r="M6396" s="68" t="s">
        <v>27</v>
      </c>
      <c r="N6396" s="116"/>
      <c r="O6396" s="51"/>
    </row>
    <row r="6397">
      <c r="A6397" s="56">
        <v>6394.0</v>
      </c>
      <c r="B6397" s="71"/>
      <c r="C6397" s="69" t="s">
        <v>25643</v>
      </c>
      <c r="D6397" s="71"/>
      <c r="E6397" s="68" t="s">
        <v>25644</v>
      </c>
      <c r="F6397" s="76">
        <v>43161.0</v>
      </c>
      <c r="G6397" s="68" t="s">
        <v>25645</v>
      </c>
      <c r="H6397" s="71"/>
      <c r="I6397" s="71"/>
      <c r="J6397" s="68" t="s">
        <v>25646</v>
      </c>
      <c r="K6397" s="83">
        <v>43767.0</v>
      </c>
      <c r="L6397" s="68" t="s">
        <v>14256</v>
      </c>
      <c r="M6397" s="68" t="s">
        <v>27</v>
      </c>
      <c r="N6397" s="116"/>
      <c r="O6397" s="51"/>
    </row>
    <row r="6398">
      <c r="A6398" s="56">
        <v>6395.0</v>
      </c>
      <c r="B6398" s="71"/>
      <c r="C6398" s="69" t="s">
        <v>25647</v>
      </c>
      <c r="D6398" s="71"/>
      <c r="E6398" s="68" t="s">
        <v>25648</v>
      </c>
      <c r="F6398" s="76">
        <v>43291.0</v>
      </c>
      <c r="G6398" s="68" t="s">
        <v>25649</v>
      </c>
      <c r="H6398" s="71"/>
      <c r="I6398" s="71"/>
      <c r="J6398" s="68" t="s">
        <v>25650</v>
      </c>
      <c r="K6398" s="83">
        <v>43767.0</v>
      </c>
      <c r="L6398" s="68" t="s">
        <v>14256</v>
      </c>
      <c r="M6398" s="68" t="s">
        <v>27</v>
      </c>
      <c r="N6398" s="116"/>
      <c r="O6398" s="51"/>
    </row>
    <row r="6399">
      <c r="A6399" s="75">
        <v>6396.0</v>
      </c>
      <c r="B6399" s="71"/>
      <c r="C6399" s="69" t="s">
        <v>25651</v>
      </c>
      <c r="D6399" s="71"/>
      <c r="E6399" s="68" t="s">
        <v>25652</v>
      </c>
      <c r="F6399" s="76">
        <v>43241.0</v>
      </c>
      <c r="G6399" s="68" t="s">
        <v>25653</v>
      </c>
      <c r="H6399" s="71"/>
      <c r="I6399" s="71"/>
      <c r="J6399" s="68" t="s">
        <v>25654</v>
      </c>
      <c r="K6399" s="83">
        <v>43767.0</v>
      </c>
      <c r="L6399" s="68" t="s">
        <v>14256</v>
      </c>
      <c r="M6399" s="68" t="s">
        <v>27</v>
      </c>
      <c r="N6399" s="116"/>
      <c r="O6399" s="51"/>
    </row>
    <row r="6400">
      <c r="A6400" s="56">
        <v>6397.0</v>
      </c>
      <c r="B6400" s="71"/>
      <c r="C6400" s="79" t="s">
        <v>25655</v>
      </c>
      <c r="D6400" s="82"/>
      <c r="E6400" s="80" t="s">
        <v>25656</v>
      </c>
      <c r="F6400" s="81">
        <v>40001.0</v>
      </c>
      <c r="G6400" s="80" t="s">
        <v>25657</v>
      </c>
      <c r="H6400" s="80" t="s">
        <v>3511</v>
      </c>
      <c r="I6400" s="82"/>
      <c r="J6400" s="63" t="s">
        <v>136</v>
      </c>
      <c r="K6400" s="98">
        <v>43767.0</v>
      </c>
      <c r="L6400" s="80" t="s">
        <v>14256</v>
      </c>
      <c r="M6400" s="80" t="s">
        <v>530</v>
      </c>
      <c r="N6400" s="87" t="s">
        <v>25658</v>
      </c>
      <c r="O6400" s="51"/>
    </row>
    <row r="6401">
      <c r="A6401" s="56">
        <v>6398.0</v>
      </c>
      <c r="B6401" s="71"/>
      <c r="C6401" s="69" t="s">
        <v>25659</v>
      </c>
      <c r="D6401" s="71"/>
      <c r="E6401" s="68" t="s">
        <v>25660</v>
      </c>
      <c r="F6401" s="83">
        <v>43089.0</v>
      </c>
      <c r="G6401" s="68" t="s">
        <v>25661</v>
      </c>
      <c r="H6401" s="68" t="s">
        <v>25662</v>
      </c>
      <c r="I6401" s="71"/>
      <c r="J6401" s="68" t="s">
        <v>25663</v>
      </c>
      <c r="K6401" s="83">
        <v>43767.0</v>
      </c>
      <c r="L6401" s="68" t="s">
        <v>14256</v>
      </c>
      <c r="M6401" s="68" t="s">
        <v>149</v>
      </c>
      <c r="N6401" s="116"/>
      <c r="O6401" s="51"/>
    </row>
    <row r="6402">
      <c r="A6402" s="56">
        <v>6399.0</v>
      </c>
      <c r="B6402" s="71"/>
      <c r="C6402" s="69" t="s">
        <v>25664</v>
      </c>
      <c r="D6402" s="71"/>
      <c r="E6402" s="68" t="s">
        <v>25665</v>
      </c>
      <c r="F6402" s="76">
        <v>43221.0</v>
      </c>
      <c r="G6402" s="68" t="s">
        <v>25666</v>
      </c>
      <c r="H6402" s="71"/>
      <c r="I6402" s="71"/>
      <c r="J6402" s="68" t="s">
        <v>25667</v>
      </c>
      <c r="K6402" s="83">
        <v>43767.0</v>
      </c>
      <c r="L6402" s="68" t="s">
        <v>2743</v>
      </c>
      <c r="M6402" s="68" t="s">
        <v>872</v>
      </c>
      <c r="N6402" s="116"/>
      <c r="O6402" s="51"/>
    </row>
    <row r="6403">
      <c r="A6403" s="75">
        <v>6400.0</v>
      </c>
      <c r="B6403" s="71"/>
      <c r="C6403" s="69" t="s">
        <v>25668</v>
      </c>
      <c r="D6403" s="71"/>
      <c r="E6403" s="68" t="s">
        <v>25669</v>
      </c>
      <c r="F6403" s="76">
        <v>40210.0</v>
      </c>
      <c r="G6403" s="68" t="s">
        <v>25670</v>
      </c>
      <c r="H6403" s="68" t="s">
        <v>25671</v>
      </c>
      <c r="I6403" s="68" t="s">
        <v>25672</v>
      </c>
      <c r="J6403" s="100" t="s">
        <v>4430</v>
      </c>
      <c r="K6403" s="245">
        <v>43767.0</v>
      </c>
      <c r="L6403" s="68" t="s">
        <v>2743</v>
      </c>
      <c r="M6403" s="68" t="s">
        <v>1509</v>
      </c>
      <c r="N6403" s="116"/>
      <c r="O6403" s="130"/>
    </row>
    <row r="6404">
      <c r="A6404" s="75">
        <v>6401.0</v>
      </c>
      <c r="B6404" s="71"/>
      <c r="C6404" s="69" t="s">
        <v>25673</v>
      </c>
      <c r="D6404" s="71"/>
      <c r="E6404" s="68" t="s">
        <v>25674</v>
      </c>
      <c r="F6404" s="76">
        <v>43191.0</v>
      </c>
      <c r="G6404" s="68" t="s">
        <v>25675</v>
      </c>
      <c r="H6404" s="68" t="s">
        <v>25676</v>
      </c>
      <c r="I6404" s="71"/>
      <c r="J6404" s="68" t="s">
        <v>25677</v>
      </c>
      <c r="K6404" s="83">
        <v>43767.0</v>
      </c>
      <c r="L6404" s="68" t="s">
        <v>2743</v>
      </c>
      <c r="M6404" s="68" t="s">
        <v>27</v>
      </c>
      <c r="N6404" s="116"/>
      <c r="O6404" s="51"/>
    </row>
    <row r="6405">
      <c r="A6405" s="56">
        <v>6402.0</v>
      </c>
      <c r="B6405" s="71"/>
      <c r="C6405" s="79" t="s">
        <v>25678</v>
      </c>
      <c r="D6405" s="82"/>
      <c r="E6405" s="80" t="s">
        <v>25679</v>
      </c>
      <c r="F6405" s="98">
        <v>42328.0</v>
      </c>
      <c r="G6405" s="80" t="s">
        <v>25680</v>
      </c>
      <c r="H6405" s="82"/>
      <c r="I6405" s="82"/>
      <c r="J6405" s="63" t="s">
        <v>136</v>
      </c>
      <c r="K6405" s="98">
        <v>43767.0</v>
      </c>
      <c r="L6405" s="80" t="s">
        <v>2743</v>
      </c>
      <c r="M6405" s="80" t="s">
        <v>368</v>
      </c>
      <c r="N6405" s="116"/>
      <c r="O6405" s="51"/>
    </row>
    <row r="6406">
      <c r="A6406" s="56">
        <v>6403.0</v>
      </c>
      <c r="B6406" s="71"/>
      <c r="C6406" s="79" t="s">
        <v>25681</v>
      </c>
      <c r="D6406" s="82"/>
      <c r="E6406" s="80" t="s">
        <v>25682</v>
      </c>
      <c r="F6406" s="98">
        <v>41565.0</v>
      </c>
      <c r="G6406" s="80" t="s">
        <v>25683</v>
      </c>
      <c r="H6406" s="80" t="s">
        <v>25684</v>
      </c>
      <c r="I6406" s="82"/>
      <c r="J6406" s="63" t="s">
        <v>136</v>
      </c>
      <c r="K6406" s="98">
        <v>43768.0</v>
      </c>
      <c r="L6406" s="80" t="s">
        <v>2743</v>
      </c>
      <c r="M6406" s="80" t="s">
        <v>166</v>
      </c>
      <c r="N6406" s="116"/>
      <c r="O6406" s="51"/>
    </row>
    <row r="6407">
      <c r="A6407" s="56">
        <v>6404.0</v>
      </c>
      <c r="B6407" s="71"/>
      <c r="C6407" s="79" t="s">
        <v>25685</v>
      </c>
      <c r="D6407" s="82"/>
      <c r="E6407" s="80" t="s">
        <v>25686</v>
      </c>
      <c r="F6407" s="81">
        <v>42927.0</v>
      </c>
      <c r="G6407" s="80" t="s">
        <v>25687</v>
      </c>
      <c r="H6407" s="80" t="s">
        <v>25684</v>
      </c>
      <c r="I6407" s="82"/>
      <c r="J6407" s="63" t="s">
        <v>136</v>
      </c>
      <c r="K6407" s="98">
        <v>43768.0</v>
      </c>
      <c r="L6407" s="80" t="s">
        <v>2743</v>
      </c>
      <c r="M6407" s="80" t="s">
        <v>542</v>
      </c>
      <c r="N6407" s="116"/>
      <c r="O6407" s="51"/>
    </row>
    <row r="6408">
      <c r="A6408" s="56">
        <v>6405.0</v>
      </c>
      <c r="B6408" s="71"/>
      <c r="C6408" s="69" t="s">
        <v>25688</v>
      </c>
      <c r="D6408" s="71"/>
      <c r="E6408" s="68" t="s">
        <v>25689</v>
      </c>
      <c r="F6408" s="76">
        <v>43271.0</v>
      </c>
      <c r="G6408" s="68" t="s">
        <v>25690</v>
      </c>
      <c r="H6408" s="71"/>
      <c r="I6408" s="71"/>
      <c r="J6408" s="68" t="s">
        <v>25691</v>
      </c>
      <c r="K6408" s="83">
        <v>43768.0</v>
      </c>
      <c r="L6408" s="68" t="s">
        <v>2743</v>
      </c>
      <c r="M6408" s="68" t="s">
        <v>872</v>
      </c>
      <c r="N6408" s="116"/>
      <c r="O6408" s="51"/>
    </row>
    <row r="6409">
      <c r="A6409" s="56">
        <v>6406.0</v>
      </c>
      <c r="B6409" s="71"/>
      <c r="C6409" s="79" t="s">
        <v>25692</v>
      </c>
      <c r="D6409" s="82"/>
      <c r="E6409" s="80" t="s">
        <v>25693</v>
      </c>
      <c r="F6409" s="81">
        <v>41653.0</v>
      </c>
      <c r="G6409" s="80" t="s">
        <v>25694</v>
      </c>
      <c r="H6409" s="80" t="s">
        <v>25695</v>
      </c>
      <c r="I6409" s="82"/>
      <c r="J6409" s="63" t="s">
        <v>136</v>
      </c>
      <c r="K6409" s="98">
        <v>43768.0</v>
      </c>
      <c r="L6409" s="80" t="s">
        <v>2743</v>
      </c>
      <c r="M6409" s="80" t="s">
        <v>125</v>
      </c>
      <c r="N6409" s="116"/>
      <c r="O6409" s="51"/>
    </row>
    <row r="6410">
      <c r="A6410" s="56">
        <v>6407.0</v>
      </c>
      <c r="B6410" s="71"/>
      <c r="C6410" s="69" t="s">
        <v>25696</v>
      </c>
      <c r="D6410" s="71"/>
      <c r="E6410" s="68" t="s">
        <v>25697</v>
      </c>
      <c r="F6410" s="76">
        <v>43745.0</v>
      </c>
      <c r="G6410" s="68" t="s">
        <v>25698</v>
      </c>
      <c r="H6410" s="68" t="s">
        <v>25699</v>
      </c>
      <c r="I6410" s="71"/>
      <c r="J6410" s="68" t="s">
        <v>25700</v>
      </c>
      <c r="K6410" s="83">
        <v>43768.0</v>
      </c>
      <c r="L6410" s="68" t="s">
        <v>2743</v>
      </c>
      <c r="M6410" s="68" t="s">
        <v>5990</v>
      </c>
      <c r="N6410" s="116"/>
      <c r="O6410" s="51"/>
    </row>
    <row r="6411">
      <c r="A6411" s="56">
        <v>6408.0</v>
      </c>
      <c r="B6411" s="71"/>
      <c r="C6411" s="69" t="s">
        <v>25701</v>
      </c>
      <c r="D6411" s="71"/>
      <c r="E6411" s="68" t="s">
        <v>25702</v>
      </c>
      <c r="F6411" s="83">
        <v>43763.0</v>
      </c>
      <c r="G6411" s="68" t="s">
        <v>25703</v>
      </c>
      <c r="H6411" s="71"/>
      <c r="I6411" s="71"/>
      <c r="J6411" s="68" t="s">
        <v>25704</v>
      </c>
      <c r="K6411" s="83">
        <v>43768.0</v>
      </c>
      <c r="L6411" s="68" t="s">
        <v>2743</v>
      </c>
      <c r="M6411" s="68" t="s">
        <v>2527</v>
      </c>
      <c r="N6411" s="116"/>
      <c r="O6411" s="51"/>
    </row>
    <row r="6412">
      <c r="A6412" s="56">
        <v>6409.0</v>
      </c>
      <c r="B6412" s="71"/>
      <c r="C6412" s="79" t="s">
        <v>25705</v>
      </c>
      <c r="D6412" s="82"/>
      <c r="E6412" s="80" t="s">
        <v>25706</v>
      </c>
      <c r="F6412" s="81">
        <v>41456.0</v>
      </c>
      <c r="G6412" s="80" t="s">
        <v>25707</v>
      </c>
      <c r="H6412" s="80" t="s">
        <v>25708</v>
      </c>
      <c r="I6412" s="80" t="s">
        <v>25709</v>
      </c>
      <c r="J6412" s="63" t="s">
        <v>136</v>
      </c>
      <c r="K6412" s="98">
        <v>43768.0</v>
      </c>
      <c r="L6412" s="80" t="s">
        <v>2743</v>
      </c>
      <c r="M6412" s="80" t="s">
        <v>2152</v>
      </c>
      <c r="N6412" s="116"/>
      <c r="O6412" s="51"/>
    </row>
    <row r="6413">
      <c r="A6413" s="56">
        <v>6410.0</v>
      </c>
      <c r="B6413" s="71"/>
      <c r="C6413" s="79" t="s">
        <v>25710</v>
      </c>
      <c r="D6413" s="82"/>
      <c r="E6413" s="80" t="s">
        <v>25711</v>
      </c>
      <c r="F6413" s="81">
        <v>40360.0</v>
      </c>
      <c r="G6413" s="80" t="s">
        <v>25712</v>
      </c>
      <c r="H6413" s="82"/>
      <c r="I6413" s="82"/>
      <c r="J6413" s="63" t="s">
        <v>136</v>
      </c>
      <c r="K6413" s="98">
        <v>43769.0</v>
      </c>
      <c r="L6413" s="80" t="s">
        <v>2743</v>
      </c>
      <c r="M6413" s="80" t="s">
        <v>530</v>
      </c>
      <c r="N6413" s="87" t="s">
        <v>25713</v>
      </c>
      <c r="O6413" s="51"/>
    </row>
    <row r="6414">
      <c r="A6414" s="56">
        <v>6411.0</v>
      </c>
      <c r="B6414" s="71"/>
      <c r="C6414" s="69" t="s">
        <v>25714</v>
      </c>
      <c r="D6414" s="71"/>
      <c r="E6414" s="68" t="s">
        <v>25715</v>
      </c>
      <c r="F6414" s="76">
        <v>42902.0</v>
      </c>
      <c r="G6414" s="68" t="s">
        <v>25716</v>
      </c>
      <c r="H6414" s="71"/>
      <c r="I6414" s="71"/>
      <c r="J6414" s="68" t="s">
        <v>25717</v>
      </c>
      <c r="K6414" s="83">
        <v>43769.0</v>
      </c>
      <c r="L6414" s="68" t="s">
        <v>2743</v>
      </c>
      <c r="M6414" s="68" t="s">
        <v>872</v>
      </c>
      <c r="N6414" s="87" t="s">
        <v>25718</v>
      </c>
      <c r="O6414" s="51"/>
    </row>
    <row r="6415">
      <c r="A6415" s="56">
        <v>6412.0</v>
      </c>
      <c r="B6415" s="71"/>
      <c r="C6415" s="69" t="s">
        <v>25719</v>
      </c>
      <c r="D6415" s="71"/>
      <c r="E6415" s="68" t="s">
        <v>25720</v>
      </c>
      <c r="F6415" s="76">
        <v>42902.0</v>
      </c>
      <c r="G6415" s="68" t="s">
        <v>25716</v>
      </c>
      <c r="H6415" s="71"/>
      <c r="I6415" s="71"/>
      <c r="J6415" s="68" t="s">
        <v>25717</v>
      </c>
      <c r="K6415" s="83">
        <v>43769.0</v>
      </c>
      <c r="L6415" s="68" t="s">
        <v>2743</v>
      </c>
      <c r="M6415" s="68" t="s">
        <v>872</v>
      </c>
      <c r="N6415" s="116"/>
      <c r="O6415" s="51"/>
    </row>
    <row r="6416">
      <c r="A6416" s="56">
        <v>6413.0</v>
      </c>
      <c r="B6416" s="71"/>
      <c r="C6416" s="69" t="s">
        <v>25721</v>
      </c>
      <c r="D6416" s="71"/>
      <c r="E6416" s="68" t="s">
        <v>25722</v>
      </c>
      <c r="F6416" s="76">
        <v>42902.0</v>
      </c>
      <c r="G6416" s="68" t="s">
        <v>25723</v>
      </c>
      <c r="H6416" s="71"/>
      <c r="I6416" s="71"/>
      <c r="J6416" s="68" t="s">
        <v>25724</v>
      </c>
      <c r="K6416" s="83">
        <v>43769.0</v>
      </c>
      <c r="L6416" s="68" t="s">
        <v>2743</v>
      </c>
      <c r="M6416" s="68" t="s">
        <v>872</v>
      </c>
      <c r="N6416" s="116"/>
      <c r="O6416" s="51"/>
    </row>
    <row r="6417">
      <c r="A6417" s="56">
        <v>6414.0</v>
      </c>
      <c r="B6417" s="71"/>
      <c r="C6417" s="69" t="s">
        <v>25725</v>
      </c>
      <c r="D6417" s="71"/>
      <c r="E6417" s="68" t="s">
        <v>25726</v>
      </c>
      <c r="F6417" s="76">
        <v>43235.0</v>
      </c>
      <c r="G6417" s="68" t="s">
        <v>25723</v>
      </c>
      <c r="H6417" s="71"/>
      <c r="I6417" s="71"/>
      <c r="J6417" s="87" t="s">
        <v>25727</v>
      </c>
      <c r="K6417" s="83">
        <v>43769.0</v>
      </c>
      <c r="L6417" s="68" t="s">
        <v>2743</v>
      </c>
      <c r="M6417" s="68" t="s">
        <v>872</v>
      </c>
      <c r="N6417" s="116"/>
      <c r="O6417" s="51"/>
    </row>
    <row r="6418">
      <c r="A6418" s="56">
        <v>6415.0</v>
      </c>
      <c r="B6418" s="71"/>
      <c r="C6418" s="69" t="s">
        <v>25728</v>
      </c>
      <c r="D6418" s="71"/>
      <c r="E6418" s="68" t="s">
        <v>25729</v>
      </c>
      <c r="F6418" s="76">
        <v>43235.0</v>
      </c>
      <c r="G6418" s="68" t="s">
        <v>25723</v>
      </c>
      <c r="H6418" s="71"/>
      <c r="I6418" s="71"/>
      <c r="J6418" s="68" t="s">
        <v>25730</v>
      </c>
      <c r="K6418" s="83">
        <v>43769.0</v>
      </c>
      <c r="L6418" s="68" t="s">
        <v>2743</v>
      </c>
      <c r="M6418" s="68" t="s">
        <v>872</v>
      </c>
      <c r="N6418" s="116"/>
      <c r="O6418" s="51"/>
    </row>
    <row r="6419">
      <c r="A6419" s="56">
        <v>6416.0</v>
      </c>
      <c r="B6419" s="71"/>
      <c r="C6419" s="69" t="s">
        <v>25731</v>
      </c>
      <c r="D6419" s="71"/>
      <c r="E6419" s="68" t="s">
        <v>25732</v>
      </c>
      <c r="F6419" s="76">
        <v>42552.0</v>
      </c>
      <c r="G6419" s="68" t="s">
        <v>25733</v>
      </c>
      <c r="H6419" s="71"/>
      <c r="I6419" s="71"/>
      <c r="J6419" s="68" t="s">
        <v>25734</v>
      </c>
      <c r="K6419" s="83">
        <v>43769.0</v>
      </c>
      <c r="L6419" s="68" t="s">
        <v>2743</v>
      </c>
      <c r="M6419" s="68" t="s">
        <v>872</v>
      </c>
      <c r="N6419" s="116"/>
      <c r="O6419" s="51"/>
    </row>
    <row r="6420">
      <c r="A6420" s="56">
        <v>6417.0</v>
      </c>
      <c r="B6420" s="71"/>
      <c r="C6420" s="69" t="s">
        <v>25735</v>
      </c>
      <c r="D6420" s="71"/>
      <c r="E6420" s="68" t="s">
        <v>25736</v>
      </c>
      <c r="F6420" s="76">
        <v>42552.0</v>
      </c>
      <c r="G6420" s="68" t="s">
        <v>25737</v>
      </c>
      <c r="H6420" s="71"/>
      <c r="I6420" s="71"/>
      <c r="J6420" s="68" t="s">
        <v>25738</v>
      </c>
      <c r="K6420" s="83">
        <v>43769.0</v>
      </c>
      <c r="L6420" s="68" t="s">
        <v>2743</v>
      </c>
      <c r="M6420" s="68" t="s">
        <v>872</v>
      </c>
      <c r="N6420" s="116"/>
      <c r="O6420" s="51"/>
    </row>
    <row r="6421">
      <c r="A6421" s="56">
        <v>6418.0</v>
      </c>
      <c r="B6421" s="71"/>
      <c r="C6421" s="79" t="s">
        <v>25739</v>
      </c>
      <c r="D6421" s="82"/>
      <c r="E6421" s="80" t="s">
        <v>25740</v>
      </c>
      <c r="F6421" s="81">
        <v>42823.0</v>
      </c>
      <c r="G6421" s="80" t="s">
        <v>25741</v>
      </c>
      <c r="H6421" s="80" t="s">
        <v>25742</v>
      </c>
      <c r="I6421" s="82"/>
      <c r="J6421" s="63" t="s">
        <v>136</v>
      </c>
      <c r="K6421" s="81">
        <v>43773.0</v>
      </c>
      <c r="L6421" s="80" t="s">
        <v>2743</v>
      </c>
      <c r="M6421" s="80" t="s">
        <v>195</v>
      </c>
      <c r="N6421" s="116"/>
      <c r="O6421" s="51"/>
    </row>
    <row r="6422">
      <c r="A6422" s="56">
        <v>6419.0</v>
      </c>
      <c r="B6422" s="71"/>
      <c r="C6422" s="79" t="s">
        <v>25743</v>
      </c>
      <c r="D6422" s="82"/>
      <c r="E6422" s="80" t="s">
        <v>25744</v>
      </c>
      <c r="F6422" s="81">
        <v>42016.0</v>
      </c>
      <c r="G6422" s="80" t="s">
        <v>25745</v>
      </c>
      <c r="H6422" s="80" t="s">
        <v>25746</v>
      </c>
      <c r="I6422" s="82"/>
      <c r="J6422" s="63" t="s">
        <v>136</v>
      </c>
      <c r="K6422" s="81">
        <v>43773.0</v>
      </c>
      <c r="L6422" s="80" t="s">
        <v>2743</v>
      </c>
      <c r="M6422" s="80" t="s">
        <v>195</v>
      </c>
      <c r="N6422" s="116"/>
      <c r="O6422" s="51"/>
    </row>
    <row r="6423">
      <c r="A6423" s="56">
        <v>6420.0</v>
      </c>
      <c r="B6423" s="71"/>
      <c r="C6423" s="79" t="s">
        <v>25747</v>
      </c>
      <c r="D6423" s="82"/>
      <c r="E6423" s="80" t="s">
        <v>25748</v>
      </c>
      <c r="F6423" s="81">
        <v>40305.0</v>
      </c>
      <c r="G6423" s="80" t="s">
        <v>25749</v>
      </c>
      <c r="H6423" s="80" t="s">
        <v>25750</v>
      </c>
      <c r="I6423" s="82"/>
      <c r="J6423" s="63" t="s">
        <v>136</v>
      </c>
      <c r="K6423" s="81">
        <v>43773.0</v>
      </c>
      <c r="L6423" s="80" t="s">
        <v>2743</v>
      </c>
      <c r="M6423" s="80" t="s">
        <v>125</v>
      </c>
      <c r="N6423" s="116"/>
      <c r="O6423" s="51"/>
    </row>
    <row r="6424">
      <c r="A6424" s="75">
        <v>6421.0</v>
      </c>
      <c r="B6424" s="71"/>
      <c r="C6424" s="69" t="s">
        <v>25751</v>
      </c>
      <c r="D6424" s="71"/>
      <c r="E6424" s="68" t="s">
        <v>25752</v>
      </c>
      <c r="F6424" s="83">
        <v>43753.0</v>
      </c>
      <c r="G6424" s="68" t="s">
        <v>25753</v>
      </c>
      <c r="H6424" s="68" t="s">
        <v>25754</v>
      </c>
      <c r="I6424" s="71"/>
      <c r="J6424" s="68" t="s">
        <v>25755</v>
      </c>
      <c r="K6424" s="76">
        <v>43773.0</v>
      </c>
      <c r="L6424" s="68" t="s">
        <v>2743</v>
      </c>
      <c r="M6424" s="68" t="s">
        <v>166</v>
      </c>
      <c r="N6424" s="116"/>
      <c r="O6424" s="51"/>
    </row>
    <row r="6425">
      <c r="A6425" s="56">
        <v>6422.0</v>
      </c>
      <c r="B6425" s="71"/>
      <c r="C6425" s="79" t="s">
        <v>25756</v>
      </c>
      <c r="D6425" s="82"/>
      <c r="E6425" s="80" t="s">
        <v>25757</v>
      </c>
      <c r="F6425" s="98">
        <v>43760.0</v>
      </c>
      <c r="G6425" s="80" t="s">
        <v>25758</v>
      </c>
      <c r="H6425" s="80" t="s">
        <v>20601</v>
      </c>
      <c r="I6425" s="80" t="s">
        <v>25759</v>
      </c>
      <c r="J6425" s="63" t="s">
        <v>136</v>
      </c>
      <c r="K6425" s="81">
        <v>43773.0</v>
      </c>
      <c r="L6425" s="80" t="s">
        <v>2743</v>
      </c>
      <c r="M6425" s="80" t="s">
        <v>2527</v>
      </c>
      <c r="N6425" s="116"/>
      <c r="O6425" s="51"/>
    </row>
    <row r="6426">
      <c r="A6426" s="56">
        <v>6423.0</v>
      </c>
      <c r="B6426" s="71"/>
      <c r="C6426" s="69" t="s">
        <v>25760</v>
      </c>
      <c r="D6426" s="71"/>
      <c r="E6426" s="68" t="s">
        <v>25761</v>
      </c>
      <c r="F6426" s="76">
        <v>41338.0</v>
      </c>
      <c r="G6426" s="68" t="s">
        <v>25762</v>
      </c>
      <c r="H6426" s="68" t="s">
        <v>25763</v>
      </c>
      <c r="I6426" s="71"/>
      <c r="J6426" s="68" t="s">
        <v>25764</v>
      </c>
      <c r="K6426" s="76">
        <v>43773.0</v>
      </c>
      <c r="L6426" s="68" t="s">
        <v>20958</v>
      </c>
      <c r="M6426" s="68" t="s">
        <v>27</v>
      </c>
      <c r="N6426" s="116"/>
      <c r="O6426" s="51"/>
    </row>
    <row r="6427">
      <c r="A6427" s="56">
        <v>6424.0</v>
      </c>
      <c r="B6427" s="71"/>
      <c r="C6427" s="79" t="s">
        <v>25765</v>
      </c>
      <c r="D6427" s="82"/>
      <c r="E6427" s="80" t="s">
        <v>25766</v>
      </c>
      <c r="F6427" s="81">
        <v>43510.0</v>
      </c>
      <c r="G6427" s="80" t="s">
        <v>25767</v>
      </c>
      <c r="H6427" s="80" t="s">
        <v>25768</v>
      </c>
      <c r="I6427" s="82"/>
      <c r="J6427" s="63" t="s">
        <v>136</v>
      </c>
      <c r="K6427" s="81">
        <v>43773.0</v>
      </c>
      <c r="L6427" s="80" t="s">
        <v>2743</v>
      </c>
      <c r="M6427" s="80" t="s">
        <v>166</v>
      </c>
      <c r="N6427" s="116"/>
      <c r="O6427" s="51"/>
    </row>
    <row r="6428">
      <c r="A6428" s="56">
        <v>6425.0</v>
      </c>
      <c r="B6428" s="71"/>
      <c r="C6428" s="69" t="s">
        <v>25769</v>
      </c>
      <c r="D6428" s="71"/>
      <c r="E6428" s="68" t="s">
        <v>25770</v>
      </c>
      <c r="F6428" s="83">
        <v>43764.0</v>
      </c>
      <c r="G6428" s="68" t="s">
        <v>25771</v>
      </c>
      <c r="H6428" s="71"/>
      <c r="I6428" s="71"/>
      <c r="J6428" s="68" t="s">
        <v>25772</v>
      </c>
      <c r="K6428" s="76">
        <v>43773.0</v>
      </c>
      <c r="L6428" s="68" t="s">
        <v>2743</v>
      </c>
      <c r="M6428" s="68" t="s">
        <v>2527</v>
      </c>
      <c r="N6428" s="116"/>
      <c r="O6428" s="51"/>
    </row>
    <row r="6429">
      <c r="A6429" s="56">
        <v>6426.0</v>
      </c>
      <c r="B6429" s="71"/>
      <c r="C6429" s="69" t="s">
        <v>25773</v>
      </c>
      <c r="D6429" s="71"/>
      <c r="E6429" s="68" t="s">
        <v>25774</v>
      </c>
      <c r="F6429" s="76">
        <v>43222.0</v>
      </c>
      <c r="G6429" s="68" t="s">
        <v>25775</v>
      </c>
      <c r="H6429" s="68" t="s">
        <v>25776</v>
      </c>
      <c r="I6429" s="71"/>
      <c r="J6429" s="68" t="s">
        <v>25777</v>
      </c>
      <c r="K6429" s="76">
        <v>43773.0</v>
      </c>
      <c r="L6429" s="68" t="s">
        <v>2743</v>
      </c>
      <c r="M6429" s="68" t="s">
        <v>4001</v>
      </c>
      <c r="N6429" s="116"/>
      <c r="O6429" s="51"/>
    </row>
    <row r="6430">
      <c r="A6430" s="56">
        <v>6427.0</v>
      </c>
      <c r="B6430" s="71"/>
      <c r="C6430" s="69" t="s">
        <v>25778</v>
      </c>
      <c r="D6430" s="71"/>
      <c r="E6430" s="68" t="s">
        <v>25779</v>
      </c>
      <c r="F6430" s="76">
        <v>43730.0</v>
      </c>
      <c r="G6430" s="68" t="s">
        <v>25780</v>
      </c>
      <c r="H6430" s="68" t="s">
        <v>25781</v>
      </c>
      <c r="I6430" s="68" t="s">
        <v>25782</v>
      </c>
      <c r="J6430" s="68" t="s">
        <v>25783</v>
      </c>
      <c r="K6430" s="76">
        <v>43773.0</v>
      </c>
      <c r="L6430" s="68" t="s">
        <v>2743</v>
      </c>
      <c r="M6430" s="68" t="s">
        <v>149</v>
      </c>
      <c r="N6430" s="116"/>
      <c r="O6430" s="51"/>
    </row>
    <row r="6431">
      <c r="A6431" s="56">
        <v>6428.0</v>
      </c>
      <c r="B6431" s="71"/>
      <c r="C6431" s="69" t="s">
        <v>25784</v>
      </c>
      <c r="D6431" s="71"/>
      <c r="E6431" s="68" t="s">
        <v>25785</v>
      </c>
      <c r="F6431" s="76">
        <v>43631.0</v>
      </c>
      <c r="G6431" s="68" t="s">
        <v>25786</v>
      </c>
      <c r="H6431" s="68" t="s">
        <v>25787</v>
      </c>
      <c r="I6431" s="71"/>
      <c r="J6431" s="68" t="s">
        <v>25788</v>
      </c>
      <c r="K6431" s="76">
        <v>43775.0</v>
      </c>
      <c r="L6431" s="68" t="s">
        <v>2743</v>
      </c>
      <c r="M6431" s="68" t="s">
        <v>125</v>
      </c>
      <c r="N6431" s="116"/>
      <c r="O6431" s="51"/>
    </row>
    <row r="6432">
      <c r="A6432" s="56">
        <v>6429.0</v>
      </c>
      <c r="B6432" s="71"/>
      <c r="C6432" s="79" t="s">
        <v>25789</v>
      </c>
      <c r="D6432" s="82"/>
      <c r="E6432" s="80" t="s">
        <v>25790</v>
      </c>
      <c r="F6432" s="81">
        <v>43631.0</v>
      </c>
      <c r="G6432" s="80" t="s">
        <v>25786</v>
      </c>
      <c r="H6432" s="80" t="s">
        <v>25791</v>
      </c>
      <c r="I6432" s="82"/>
      <c r="J6432" s="63" t="s">
        <v>136</v>
      </c>
      <c r="K6432" s="81">
        <v>43775.0</v>
      </c>
      <c r="L6432" s="80" t="s">
        <v>2743</v>
      </c>
      <c r="M6432" s="80" t="s">
        <v>125</v>
      </c>
      <c r="N6432" s="116"/>
      <c r="O6432" s="51"/>
    </row>
    <row r="6433">
      <c r="A6433" s="56">
        <v>6430.0</v>
      </c>
      <c r="B6433" s="71"/>
      <c r="C6433" s="79" t="s">
        <v>25792</v>
      </c>
      <c r="D6433" s="82"/>
      <c r="E6433" s="80" t="s">
        <v>25793</v>
      </c>
      <c r="F6433" s="81">
        <v>42753.0</v>
      </c>
      <c r="G6433" s="80" t="s">
        <v>25794</v>
      </c>
      <c r="H6433" s="80" t="s">
        <v>25795</v>
      </c>
      <c r="I6433" s="82"/>
      <c r="J6433" s="63" t="s">
        <v>136</v>
      </c>
      <c r="K6433" s="81">
        <v>43775.0</v>
      </c>
      <c r="L6433" s="80" t="s">
        <v>2743</v>
      </c>
      <c r="M6433" s="80" t="s">
        <v>368</v>
      </c>
      <c r="N6433" s="116"/>
      <c r="O6433" s="51"/>
    </row>
    <row r="6434">
      <c r="A6434" s="56">
        <v>6431.0</v>
      </c>
      <c r="B6434" s="71"/>
      <c r="C6434" s="69" t="s">
        <v>25796</v>
      </c>
      <c r="D6434" s="71"/>
      <c r="E6434" s="68" t="s">
        <v>25797</v>
      </c>
      <c r="F6434" s="76">
        <v>43715.0</v>
      </c>
      <c r="G6434" s="68" t="s">
        <v>25798</v>
      </c>
      <c r="H6434" s="68" t="s">
        <v>25799</v>
      </c>
      <c r="I6434" s="71"/>
      <c r="J6434" s="68" t="s">
        <v>25800</v>
      </c>
      <c r="K6434" s="76">
        <v>43775.0</v>
      </c>
      <c r="L6434" s="68" t="s">
        <v>2743</v>
      </c>
      <c r="M6434" s="68" t="s">
        <v>143</v>
      </c>
      <c r="N6434" s="116"/>
      <c r="O6434" s="51"/>
    </row>
    <row r="6435">
      <c r="A6435" s="56">
        <v>6432.0</v>
      </c>
      <c r="B6435" s="71"/>
      <c r="C6435" s="69" t="s">
        <v>25801</v>
      </c>
      <c r="D6435" s="71"/>
      <c r="E6435" s="68" t="s">
        <v>25802</v>
      </c>
      <c r="F6435" s="76">
        <v>43715.0</v>
      </c>
      <c r="G6435" s="68" t="s">
        <v>25803</v>
      </c>
      <c r="H6435" s="68" t="s">
        <v>25804</v>
      </c>
      <c r="I6435" s="71"/>
      <c r="J6435" s="68" t="s">
        <v>25805</v>
      </c>
      <c r="K6435" s="76">
        <v>43775.0</v>
      </c>
      <c r="L6435" s="68" t="s">
        <v>2743</v>
      </c>
      <c r="M6435" s="68" t="s">
        <v>143</v>
      </c>
      <c r="N6435" s="116"/>
      <c r="O6435" s="51"/>
    </row>
    <row r="6436">
      <c r="A6436" s="56">
        <v>6433.0</v>
      </c>
      <c r="B6436" s="71"/>
      <c r="C6436" s="69" t="s">
        <v>25806</v>
      </c>
      <c r="D6436" s="71"/>
      <c r="E6436" s="68" t="s">
        <v>25807</v>
      </c>
      <c r="F6436" s="76">
        <v>43715.0</v>
      </c>
      <c r="G6436" s="68" t="s">
        <v>25808</v>
      </c>
      <c r="H6436" s="68" t="s">
        <v>25809</v>
      </c>
      <c r="I6436" s="71"/>
      <c r="J6436" s="68" t="s">
        <v>25810</v>
      </c>
      <c r="K6436" s="76">
        <v>43775.0</v>
      </c>
      <c r="L6436" s="68" t="s">
        <v>2743</v>
      </c>
      <c r="M6436" s="68" t="s">
        <v>143</v>
      </c>
      <c r="N6436" s="116"/>
      <c r="O6436" s="51"/>
    </row>
    <row r="6437">
      <c r="A6437" s="56">
        <v>6434.0</v>
      </c>
      <c r="B6437" s="71"/>
      <c r="C6437" s="69" t="s">
        <v>25811</v>
      </c>
      <c r="D6437" s="71"/>
      <c r="E6437" s="68" t="s">
        <v>25812</v>
      </c>
      <c r="F6437" s="83">
        <v>43752.0</v>
      </c>
      <c r="G6437" s="68" t="s">
        <v>25813</v>
      </c>
      <c r="H6437" s="68" t="s">
        <v>25814</v>
      </c>
      <c r="I6437" s="71"/>
      <c r="J6437" s="68" t="s">
        <v>25815</v>
      </c>
      <c r="K6437" s="76">
        <v>43775.0</v>
      </c>
      <c r="L6437" s="68" t="s">
        <v>25816</v>
      </c>
      <c r="M6437" s="68" t="s">
        <v>166</v>
      </c>
      <c r="N6437" s="116"/>
      <c r="O6437" s="51"/>
    </row>
    <row r="6438">
      <c r="A6438" s="56">
        <v>6435.0</v>
      </c>
      <c r="B6438" s="82"/>
      <c r="C6438" s="79" t="s">
        <v>25817</v>
      </c>
      <c r="D6438" s="82"/>
      <c r="E6438" s="80" t="s">
        <v>25818</v>
      </c>
      <c r="F6438" s="81">
        <v>39995.0</v>
      </c>
      <c r="G6438" s="80" t="s">
        <v>25819</v>
      </c>
      <c r="H6438" s="82"/>
      <c r="I6438" s="82"/>
      <c r="J6438" s="80" t="s">
        <v>136</v>
      </c>
      <c r="K6438" s="81">
        <v>43776.0</v>
      </c>
      <c r="L6438" s="80" t="s">
        <v>2743</v>
      </c>
      <c r="M6438" s="80" t="s">
        <v>2466</v>
      </c>
      <c r="N6438" s="116"/>
      <c r="O6438" s="51"/>
    </row>
    <row r="6439">
      <c r="A6439" s="56">
        <v>6436.0</v>
      </c>
      <c r="B6439" s="71"/>
      <c r="C6439" s="69" t="s">
        <v>25820</v>
      </c>
      <c r="D6439" s="71"/>
      <c r="E6439" s="68" t="s">
        <v>25821</v>
      </c>
      <c r="F6439" s="83">
        <v>43445.0</v>
      </c>
      <c r="G6439" s="68" t="s">
        <v>25822</v>
      </c>
      <c r="H6439" s="68" t="s">
        <v>25823</v>
      </c>
      <c r="I6439" s="71"/>
      <c r="J6439" s="102" t="s">
        <v>25824</v>
      </c>
      <c r="K6439" s="76">
        <v>43776.0</v>
      </c>
      <c r="L6439" s="68" t="s">
        <v>2743</v>
      </c>
      <c r="M6439" s="68" t="s">
        <v>125</v>
      </c>
      <c r="N6439" s="116"/>
      <c r="O6439" s="51"/>
    </row>
    <row r="6440">
      <c r="A6440" s="56">
        <v>6437.0</v>
      </c>
      <c r="B6440" s="71"/>
      <c r="C6440" s="79" t="s">
        <v>25825</v>
      </c>
      <c r="D6440" s="82"/>
      <c r="E6440" s="80" t="s">
        <v>25826</v>
      </c>
      <c r="F6440" s="81">
        <v>41105.0</v>
      </c>
      <c r="G6440" s="80" t="s">
        <v>25827</v>
      </c>
      <c r="H6440" s="80" t="s">
        <v>25828</v>
      </c>
      <c r="I6440" s="82"/>
      <c r="J6440" s="63" t="s">
        <v>136</v>
      </c>
      <c r="K6440" s="81">
        <v>43776.0</v>
      </c>
      <c r="L6440" s="80" t="s">
        <v>2743</v>
      </c>
      <c r="M6440" s="80" t="s">
        <v>125</v>
      </c>
      <c r="N6440" s="116"/>
      <c r="O6440" s="51"/>
    </row>
    <row r="6441">
      <c r="A6441" s="56">
        <v>6438.0</v>
      </c>
      <c r="B6441" s="71"/>
      <c r="C6441" s="69" t="s">
        <v>25829</v>
      </c>
      <c r="D6441" s="71"/>
      <c r="E6441" s="68" t="s">
        <v>25830</v>
      </c>
      <c r="F6441" s="83">
        <v>43764.0</v>
      </c>
      <c r="G6441" s="68" t="s">
        <v>25831</v>
      </c>
      <c r="H6441" s="68" t="s">
        <v>25832</v>
      </c>
      <c r="I6441" s="68" t="s">
        <v>25833</v>
      </c>
      <c r="J6441" s="68" t="s">
        <v>25834</v>
      </c>
      <c r="K6441" s="76">
        <v>43777.0</v>
      </c>
      <c r="L6441" s="68" t="s">
        <v>2743</v>
      </c>
      <c r="M6441" s="68" t="s">
        <v>10279</v>
      </c>
      <c r="N6441" s="116"/>
      <c r="O6441" s="51"/>
    </row>
    <row r="6442">
      <c r="A6442" s="75">
        <v>6439.0</v>
      </c>
      <c r="B6442" s="71"/>
      <c r="C6442" s="69" t="s">
        <v>25835</v>
      </c>
      <c r="D6442" s="71"/>
      <c r="E6442" s="68" t="s">
        <v>25836</v>
      </c>
      <c r="F6442" s="76">
        <v>40924.0</v>
      </c>
      <c r="G6442" s="68" t="s">
        <v>25837</v>
      </c>
      <c r="H6442" s="68" t="s">
        <v>25838</v>
      </c>
      <c r="I6442" s="71"/>
      <c r="J6442" s="68" t="s">
        <v>25839</v>
      </c>
      <c r="K6442" s="76">
        <v>43778.0</v>
      </c>
      <c r="L6442" s="68" t="s">
        <v>2743</v>
      </c>
      <c r="M6442" s="68" t="s">
        <v>125</v>
      </c>
      <c r="N6442" s="116"/>
      <c r="O6442" s="51"/>
    </row>
    <row r="6443">
      <c r="A6443" s="56">
        <v>6440.0</v>
      </c>
      <c r="B6443" s="71"/>
      <c r="C6443" s="79" t="s">
        <v>25840</v>
      </c>
      <c r="D6443" s="82"/>
      <c r="E6443" s="80" t="s">
        <v>25841</v>
      </c>
      <c r="F6443" s="81">
        <v>43645.0</v>
      </c>
      <c r="G6443" s="80" t="s">
        <v>25842</v>
      </c>
      <c r="H6443" s="80" t="s">
        <v>25843</v>
      </c>
      <c r="I6443" s="80" t="s">
        <v>25844</v>
      </c>
      <c r="J6443" s="63" t="s">
        <v>136</v>
      </c>
      <c r="K6443" s="98">
        <v>43780.0</v>
      </c>
      <c r="L6443" s="80" t="s">
        <v>2743</v>
      </c>
      <c r="M6443" s="80" t="s">
        <v>143</v>
      </c>
      <c r="N6443" s="116"/>
      <c r="O6443" s="51"/>
    </row>
    <row r="6444">
      <c r="A6444" s="75">
        <v>6441.0</v>
      </c>
      <c r="B6444" s="71"/>
      <c r="C6444" s="69" t="s">
        <v>25845</v>
      </c>
      <c r="D6444" s="71"/>
      <c r="E6444" s="68" t="s">
        <v>25846</v>
      </c>
      <c r="F6444" s="83">
        <v>41604.0</v>
      </c>
      <c r="G6444" s="68" t="s">
        <v>25847</v>
      </c>
      <c r="H6444" s="68" t="s">
        <v>25848</v>
      </c>
      <c r="I6444" s="71"/>
      <c r="J6444" s="68" t="s">
        <v>25849</v>
      </c>
      <c r="K6444" s="83">
        <v>43782.0</v>
      </c>
      <c r="L6444" s="68" t="s">
        <v>2743</v>
      </c>
      <c r="M6444" s="68" t="s">
        <v>368</v>
      </c>
      <c r="N6444" s="116"/>
      <c r="O6444" s="51"/>
    </row>
    <row r="6445">
      <c r="A6445" s="75">
        <v>6442.0</v>
      </c>
      <c r="B6445" s="71"/>
      <c r="C6445" s="69" t="s">
        <v>25850</v>
      </c>
      <c r="D6445" s="71"/>
      <c r="E6445" s="68" t="s">
        <v>25851</v>
      </c>
      <c r="F6445" s="76">
        <v>43327.0</v>
      </c>
      <c r="G6445" s="68" t="s">
        <v>25852</v>
      </c>
      <c r="H6445" s="68" t="s">
        <v>25853</v>
      </c>
      <c r="I6445" s="71"/>
      <c r="J6445" s="68" t="s">
        <v>25854</v>
      </c>
      <c r="K6445" s="83">
        <v>43782.0</v>
      </c>
      <c r="L6445" s="68" t="s">
        <v>2743</v>
      </c>
      <c r="M6445" s="68" t="s">
        <v>27</v>
      </c>
      <c r="N6445" s="116"/>
      <c r="O6445" s="51"/>
    </row>
    <row r="6446">
      <c r="A6446" s="56">
        <v>6443.0</v>
      </c>
      <c r="B6446" s="71"/>
      <c r="C6446" s="79" t="s">
        <v>25855</v>
      </c>
      <c r="D6446" s="82"/>
      <c r="E6446" s="80" t="s">
        <v>25856</v>
      </c>
      <c r="F6446" s="98">
        <v>41606.0</v>
      </c>
      <c r="G6446" s="80" t="s">
        <v>25857</v>
      </c>
      <c r="H6446" s="82"/>
      <c r="I6446" s="82"/>
      <c r="J6446" s="63" t="s">
        <v>136</v>
      </c>
      <c r="K6446" s="98">
        <v>43783.0</v>
      </c>
      <c r="L6446" s="80" t="s">
        <v>2743</v>
      </c>
      <c r="M6446" s="80" t="s">
        <v>27</v>
      </c>
      <c r="N6446" s="116"/>
      <c r="O6446" s="51"/>
    </row>
    <row r="6447">
      <c r="A6447" s="56">
        <v>6444.0</v>
      </c>
      <c r="B6447" s="71"/>
      <c r="C6447" s="69" t="s">
        <v>25858</v>
      </c>
      <c r="D6447" s="71"/>
      <c r="E6447" s="68" t="s">
        <v>25859</v>
      </c>
      <c r="F6447" s="83">
        <v>43391.0</v>
      </c>
      <c r="G6447" s="68" t="s">
        <v>25860</v>
      </c>
      <c r="H6447" s="68" t="s">
        <v>25861</v>
      </c>
      <c r="I6447" s="71"/>
      <c r="J6447" s="68" t="s">
        <v>25862</v>
      </c>
      <c r="K6447" s="83">
        <v>43783.0</v>
      </c>
      <c r="L6447" s="68" t="s">
        <v>2743</v>
      </c>
      <c r="M6447" s="68" t="s">
        <v>195</v>
      </c>
      <c r="N6447" s="116"/>
      <c r="O6447" s="51"/>
    </row>
    <row r="6448">
      <c r="A6448" s="56">
        <v>6445.0</v>
      </c>
      <c r="B6448" s="71"/>
      <c r="C6448" s="79" t="s">
        <v>25863</v>
      </c>
      <c r="D6448" s="82"/>
      <c r="E6448" s="80" t="s">
        <v>25864</v>
      </c>
      <c r="F6448" s="81">
        <v>40335.0</v>
      </c>
      <c r="G6448" s="80" t="s">
        <v>25865</v>
      </c>
      <c r="H6448" s="80" t="s">
        <v>25866</v>
      </c>
      <c r="I6448" s="82"/>
      <c r="J6448" s="63" t="s">
        <v>136</v>
      </c>
      <c r="K6448" s="98">
        <v>43783.0</v>
      </c>
      <c r="L6448" s="80" t="s">
        <v>2743</v>
      </c>
      <c r="M6448" s="80" t="s">
        <v>530</v>
      </c>
      <c r="N6448" s="116"/>
      <c r="O6448" s="51"/>
    </row>
    <row r="6449">
      <c r="A6449" s="75">
        <v>6446.0</v>
      </c>
      <c r="B6449" s="71"/>
      <c r="C6449" s="69" t="s">
        <v>25867</v>
      </c>
      <c r="D6449" s="71"/>
      <c r="E6449" s="68" t="s">
        <v>25868</v>
      </c>
      <c r="F6449" s="76">
        <v>41821.0</v>
      </c>
      <c r="G6449" s="68" t="s">
        <v>25869</v>
      </c>
      <c r="H6449" s="68" t="s">
        <v>25870</v>
      </c>
      <c r="I6449" s="71"/>
      <c r="J6449" s="68" t="s">
        <v>25871</v>
      </c>
      <c r="K6449" s="83">
        <v>43783.0</v>
      </c>
      <c r="L6449" s="68" t="s">
        <v>2743</v>
      </c>
      <c r="M6449" s="68" t="s">
        <v>2989</v>
      </c>
      <c r="N6449" s="116"/>
      <c r="O6449" s="51"/>
    </row>
    <row r="6450">
      <c r="A6450" s="56">
        <v>6447.0</v>
      </c>
      <c r="B6450" s="71"/>
      <c r="C6450" s="69" t="s">
        <v>25872</v>
      </c>
      <c r="D6450" s="71"/>
      <c r="E6450" s="68" t="s">
        <v>25873</v>
      </c>
      <c r="F6450" s="76">
        <v>41091.0</v>
      </c>
      <c r="G6450" s="68" t="s">
        <v>25874</v>
      </c>
      <c r="H6450" s="71"/>
      <c r="I6450" s="71"/>
      <c r="J6450" s="87" t="s">
        <v>25875</v>
      </c>
      <c r="K6450" s="83">
        <v>43785.0</v>
      </c>
      <c r="L6450" s="68" t="s">
        <v>2743</v>
      </c>
      <c r="M6450" s="68" t="s">
        <v>166</v>
      </c>
      <c r="N6450" s="116"/>
      <c r="O6450" s="51"/>
    </row>
    <row r="6451">
      <c r="A6451" s="56">
        <v>6448.0</v>
      </c>
      <c r="B6451" s="71"/>
      <c r="C6451" s="69" t="s">
        <v>25876</v>
      </c>
      <c r="D6451" s="71"/>
      <c r="E6451" s="68" t="s">
        <v>25877</v>
      </c>
      <c r="F6451" s="76">
        <v>43652.0</v>
      </c>
      <c r="G6451" s="68" t="s">
        <v>25878</v>
      </c>
      <c r="H6451" s="68" t="s">
        <v>25879</v>
      </c>
      <c r="I6451" s="68" t="s">
        <v>25880</v>
      </c>
      <c r="J6451" s="68" t="s">
        <v>25881</v>
      </c>
      <c r="K6451" s="83">
        <v>43788.0</v>
      </c>
      <c r="L6451" s="68" t="s">
        <v>2743</v>
      </c>
      <c r="M6451" s="68" t="s">
        <v>2748</v>
      </c>
      <c r="N6451" s="116"/>
      <c r="O6451" s="51"/>
    </row>
    <row r="6452">
      <c r="A6452" s="56">
        <v>6449.0</v>
      </c>
      <c r="B6452" s="71"/>
      <c r="C6452" s="79" t="s">
        <v>25882</v>
      </c>
      <c r="D6452" s="82"/>
      <c r="E6452" s="80" t="s">
        <v>25883</v>
      </c>
      <c r="F6452" s="81">
        <v>41843.0</v>
      </c>
      <c r="G6452" s="80" t="s">
        <v>25884</v>
      </c>
      <c r="H6452" s="80" t="s">
        <v>25885</v>
      </c>
      <c r="I6452" s="82"/>
      <c r="J6452" s="63" t="s">
        <v>136</v>
      </c>
      <c r="K6452" s="98">
        <v>43788.0</v>
      </c>
      <c r="L6452" s="80" t="s">
        <v>2743</v>
      </c>
      <c r="M6452" s="80" t="s">
        <v>27</v>
      </c>
      <c r="N6452" s="116"/>
      <c r="O6452" s="51"/>
    </row>
    <row r="6453">
      <c r="A6453" s="56">
        <v>6450.0</v>
      </c>
      <c r="B6453" s="71"/>
      <c r="C6453" s="79" t="s">
        <v>25886</v>
      </c>
      <c r="D6453" s="82"/>
      <c r="E6453" s="80" t="s">
        <v>25887</v>
      </c>
      <c r="F6453" s="81">
        <v>41843.0</v>
      </c>
      <c r="G6453" s="80" t="s">
        <v>25884</v>
      </c>
      <c r="H6453" s="80" t="s">
        <v>25888</v>
      </c>
      <c r="I6453" s="82"/>
      <c r="J6453" s="63" t="s">
        <v>136</v>
      </c>
      <c r="K6453" s="98">
        <v>43788.0</v>
      </c>
      <c r="L6453" s="80" t="s">
        <v>2743</v>
      </c>
      <c r="M6453" s="80" t="s">
        <v>27</v>
      </c>
      <c r="N6453" s="116"/>
      <c r="O6453" s="51"/>
    </row>
    <row r="6454">
      <c r="A6454" s="56">
        <v>6451.0</v>
      </c>
      <c r="B6454" s="71"/>
      <c r="C6454" s="79" t="s">
        <v>25889</v>
      </c>
      <c r="D6454" s="82"/>
      <c r="E6454" s="80" t="s">
        <v>25890</v>
      </c>
      <c r="F6454" s="81">
        <v>41975.0</v>
      </c>
      <c r="G6454" s="80" t="s">
        <v>25891</v>
      </c>
      <c r="H6454" s="80" t="s">
        <v>25892</v>
      </c>
      <c r="I6454" s="82"/>
      <c r="J6454" s="63" t="s">
        <v>136</v>
      </c>
      <c r="K6454" s="98">
        <v>43788.0</v>
      </c>
      <c r="L6454" s="80" t="s">
        <v>2743</v>
      </c>
      <c r="M6454" s="80" t="s">
        <v>368</v>
      </c>
      <c r="N6454" s="116"/>
      <c r="O6454" s="51"/>
    </row>
    <row r="6455">
      <c r="A6455" s="56">
        <v>6452.0</v>
      </c>
      <c r="B6455" s="71"/>
      <c r="C6455" s="69" t="s">
        <v>25893</v>
      </c>
      <c r="D6455" s="71"/>
      <c r="E6455" s="68" t="s">
        <v>25894</v>
      </c>
      <c r="F6455" s="83">
        <v>43030.0</v>
      </c>
      <c r="G6455" s="68" t="s">
        <v>25895</v>
      </c>
      <c r="H6455" s="68" t="s">
        <v>25896</v>
      </c>
      <c r="I6455" s="71"/>
      <c r="J6455" s="68" t="s">
        <v>25897</v>
      </c>
      <c r="K6455" s="83">
        <v>43789.0</v>
      </c>
      <c r="L6455" s="68" t="s">
        <v>2743</v>
      </c>
      <c r="M6455" s="68" t="s">
        <v>143</v>
      </c>
      <c r="N6455" s="116"/>
      <c r="O6455" s="51"/>
    </row>
    <row r="6456">
      <c r="A6456" s="56">
        <v>6453.0</v>
      </c>
      <c r="B6456" s="71"/>
      <c r="C6456" s="69" t="s">
        <v>25898</v>
      </c>
      <c r="D6456" s="71"/>
      <c r="E6456" s="68" t="s">
        <v>25899</v>
      </c>
      <c r="F6456" s="76">
        <v>42902.0</v>
      </c>
      <c r="G6456" s="68" t="s">
        <v>25900</v>
      </c>
      <c r="H6456" s="68" t="s">
        <v>25901</v>
      </c>
      <c r="I6456" s="71"/>
      <c r="J6456" s="68" t="s">
        <v>25902</v>
      </c>
      <c r="K6456" s="83">
        <v>43789.0</v>
      </c>
      <c r="L6456" s="68" t="s">
        <v>2743</v>
      </c>
      <c r="M6456" s="80" t="s">
        <v>872</v>
      </c>
      <c r="N6456" s="87" t="s">
        <v>25903</v>
      </c>
      <c r="O6456" s="51"/>
    </row>
    <row r="6457">
      <c r="A6457" s="56">
        <v>6454.0</v>
      </c>
      <c r="B6457" s="71"/>
      <c r="C6457" s="79" t="s">
        <v>25904</v>
      </c>
      <c r="D6457" s="82"/>
      <c r="E6457" s="80" t="s">
        <v>25905</v>
      </c>
      <c r="F6457" s="81">
        <v>41762.0</v>
      </c>
      <c r="G6457" s="80" t="s">
        <v>25906</v>
      </c>
      <c r="H6457" s="80" t="s">
        <v>25907</v>
      </c>
      <c r="I6457" s="82"/>
      <c r="J6457" s="63" t="s">
        <v>136</v>
      </c>
      <c r="K6457" s="81">
        <v>43801.0</v>
      </c>
      <c r="L6457" s="80" t="s">
        <v>2743</v>
      </c>
      <c r="M6457" s="80" t="s">
        <v>872</v>
      </c>
      <c r="N6457" s="87" t="s">
        <v>25908</v>
      </c>
      <c r="O6457" s="51"/>
    </row>
    <row r="6458">
      <c r="A6458" s="56">
        <v>6455.0</v>
      </c>
      <c r="B6458" s="71"/>
      <c r="C6458" s="79" t="s">
        <v>25909</v>
      </c>
      <c r="D6458" s="82"/>
      <c r="E6458" s="80" t="s">
        <v>25910</v>
      </c>
      <c r="F6458" s="70">
        <v>41764.0</v>
      </c>
      <c r="G6458" s="80" t="s">
        <v>25911</v>
      </c>
      <c r="H6458" s="80" t="s">
        <v>25912</v>
      </c>
      <c r="I6458" s="82"/>
      <c r="J6458" s="63" t="s">
        <v>136</v>
      </c>
      <c r="K6458" s="81">
        <v>43801.0</v>
      </c>
      <c r="L6458" s="80" t="s">
        <v>2743</v>
      </c>
      <c r="M6458" s="80" t="s">
        <v>872</v>
      </c>
      <c r="N6458" s="116"/>
      <c r="O6458" s="51"/>
    </row>
    <row r="6459">
      <c r="A6459" s="56">
        <v>6456.0</v>
      </c>
      <c r="B6459" s="71"/>
      <c r="C6459" s="79" t="s">
        <v>25913</v>
      </c>
      <c r="D6459" s="82"/>
      <c r="E6459" s="80" t="s">
        <v>25914</v>
      </c>
      <c r="F6459" s="81">
        <v>42057.0</v>
      </c>
      <c r="G6459" s="80" t="s">
        <v>25915</v>
      </c>
      <c r="H6459" s="80" t="s">
        <v>25916</v>
      </c>
      <c r="I6459" s="82"/>
      <c r="J6459" s="63" t="s">
        <v>136</v>
      </c>
      <c r="K6459" s="81">
        <v>43801.0</v>
      </c>
      <c r="L6459" s="80" t="s">
        <v>2743</v>
      </c>
      <c r="M6459" s="80" t="s">
        <v>872</v>
      </c>
      <c r="N6459" s="116"/>
      <c r="O6459" s="51"/>
    </row>
    <row r="6460">
      <c r="A6460" s="56">
        <v>6457.0</v>
      </c>
      <c r="B6460" s="71"/>
      <c r="C6460" s="79" t="s">
        <v>25917</v>
      </c>
      <c r="D6460" s="82"/>
      <c r="E6460" s="80" t="s">
        <v>25918</v>
      </c>
      <c r="F6460" s="81">
        <v>41299.0</v>
      </c>
      <c r="G6460" s="80" t="s">
        <v>25919</v>
      </c>
      <c r="H6460" s="80" t="s">
        <v>25920</v>
      </c>
      <c r="I6460" s="82"/>
      <c r="J6460" s="63" t="s">
        <v>136</v>
      </c>
      <c r="K6460" s="81">
        <v>43802.0</v>
      </c>
      <c r="L6460" s="80" t="s">
        <v>2743</v>
      </c>
      <c r="M6460" s="80" t="s">
        <v>125</v>
      </c>
      <c r="N6460" s="116"/>
      <c r="O6460" s="51"/>
    </row>
    <row r="6461">
      <c r="A6461" s="56">
        <v>6458.0</v>
      </c>
      <c r="B6461" s="71"/>
      <c r="C6461" s="69" t="s">
        <v>25921</v>
      </c>
      <c r="D6461" s="71"/>
      <c r="E6461" s="68" t="s">
        <v>25922</v>
      </c>
      <c r="F6461" s="76">
        <v>43624.0</v>
      </c>
      <c r="G6461" s="68" t="s">
        <v>25923</v>
      </c>
      <c r="H6461" s="68" t="s">
        <v>25924</v>
      </c>
      <c r="I6461" s="71"/>
      <c r="J6461" s="68" t="s">
        <v>25925</v>
      </c>
      <c r="K6461" s="76">
        <v>43802.0</v>
      </c>
      <c r="L6461" s="68" t="s">
        <v>2743</v>
      </c>
      <c r="M6461" s="68" t="s">
        <v>125</v>
      </c>
      <c r="N6461" s="116"/>
      <c r="O6461" s="51"/>
    </row>
    <row r="6462">
      <c r="A6462" s="56">
        <v>6459.0</v>
      </c>
      <c r="B6462" s="71"/>
      <c r="C6462" s="69" t="s">
        <v>25926</v>
      </c>
      <c r="D6462" s="71"/>
      <c r="E6462" s="68" t="s">
        <v>25927</v>
      </c>
      <c r="F6462" s="76">
        <v>43671.0</v>
      </c>
      <c r="G6462" s="68" t="s">
        <v>25928</v>
      </c>
      <c r="H6462" s="68" t="s">
        <v>25929</v>
      </c>
      <c r="I6462" s="71"/>
      <c r="J6462" s="68" t="s">
        <v>25930</v>
      </c>
      <c r="K6462" s="76">
        <v>43803.0</v>
      </c>
      <c r="L6462" s="68" t="s">
        <v>2743</v>
      </c>
      <c r="M6462" s="68" t="s">
        <v>7530</v>
      </c>
      <c r="N6462" s="116"/>
      <c r="O6462" s="51"/>
    </row>
    <row r="6463">
      <c r="A6463" s="56">
        <v>6460.0</v>
      </c>
      <c r="B6463" s="71"/>
      <c r="C6463" s="69" t="s">
        <v>25931</v>
      </c>
      <c r="D6463" s="71"/>
      <c r="E6463" s="68" t="s">
        <v>25932</v>
      </c>
      <c r="F6463" s="83">
        <v>43783.0</v>
      </c>
      <c r="G6463" s="68" t="s">
        <v>25933</v>
      </c>
      <c r="H6463" s="68" t="s">
        <v>25934</v>
      </c>
      <c r="I6463" s="68" t="s">
        <v>25935</v>
      </c>
      <c r="J6463" s="68" t="s">
        <v>25936</v>
      </c>
      <c r="K6463" s="76">
        <v>43803.0</v>
      </c>
      <c r="L6463" s="68" t="s">
        <v>2743</v>
      </c>
      <c r="M6463" s="68" t="s">
        <v>149</v>
      </c>
      <c r="N6463" s="116"/>
      <c r="O6463" s="51"/>
    </row>
    <row r="6464">
      <c r="A6464" s="56">
        <v>6461.0</v>
      </c>
      <c r="B6464" s="71"/>
      <c r="C6464" s="69" t="s">
        <v>25937</v>
      </c>
      <c r="D6464" s="71"/>
      <c r="E6464" s="68" t="s">
        <v>25938</v>
      </c>
      <c r="F6464" s="83">
        <v>43783.0</v>
      </c>
      <c r="G6464" s="68" t="s">
        <v>25933</v>
      </c>
      <c r="H6464" s="68" t="s">
        <v>25939</v>
      </c>
      <c r="I6464" s="71"/>
      <c r="J6464" s="68" t="s">
        <v>25940</v>
      </c>
      <c r="K6464" s="76">
        <v>43803.0</v>
      </c>
      <c r="L6464" s="68" t="s">
        <v>2743</v>
      </c>
      <c r="M6464" s="68" t="s">
        <v>149</v>
      </c>
      <c r="N6464" s="116"/>
      <c r="O6464" s="51"/>
    </row>
    <row r="6465">
      <c r="A6465" s="56">
        <v>6462.0</v>
      </c>
      <c r="B6465" s="71"/>
      <c r="C6465" s="69" t="s">
        <v>25941</v>
      </c>
      <c r="D6465" s="71"/>
      <c r="E6465" s="68" t="s">
        <v>25942</v>
      </c>
      <c r="F6465" s="83">
        <v>43796.0</v>
      </c>
      <c r="G6465" s="68" t="s">
        <v>25943</v>
      </c>
      <c r="H6465" s="68" t="s">
        <v>25944</v>
      </c>
      <c r="I6465" s="71"/>
      <c r="J6465" s="68" t="s">
        <v>25945</v>
      </c>
      <c r="K6465" s="76">
        <v>43803.0</v>
      </c>
      <c r="L6465" s="68" t="s">
        <v>2743</v>
      </c>
      <c r="M6465" s="68" t="s">
        <v>166</v>
      </c>
      <c r="N6465" s="116"/>
      <c r="O6465" s="51"/>
    </row>
    <row r="6466">
      <c r="A6466" s="56">
        <v>6463.0</v>
      </c>
      <c r="B6466" s="71"/>
      <c r="C6466" s="69" t="s">
        <v>25946</v>
      </c>
      <c r="D6466" s="71"/>
      <c r="E6466" s="68" t="s">
        <v>25947</v>
      </c>
      <c r="F6466" s="76">
        <v>43704.0</v>
      </c>
      <c r="G6466" s="68" t="s">
        <v>25948</v>
      </c>
      <c r="H6466" s="68" t="s">
        <v>25949</v>
      </c>
      <c r="I6466" s="68" t="s">
        <v>25950</v>
      </c>
      <c r="J6466" s="100" t="s">
        <v>25951</v>
      </c>
      <c r="K6466" s="225">
        <v>43803.0</v>
      </c>
      <c r="L6466" s="68" t="s">
        <v>2743</v>
      </c>
      <c r="M6466" s="68" t="s">
        <v>2466</v>
      </c>
      <c r="N6466" s="116"/>
      <c r="O6466" s="51"/>
    </row>
    <row r="6467">
      <c r="A6467" s="56">
        <v>6464.0</v>
      </c>
      <c r="B6467" s="71"/>
      <c r="C6467" s="69" t="s">
        <v>25952</v>
      </c>
      <c r="D6467" s="71"/>
      <c r="E6467" s="68" t="s">
        <v>25953</v>
      </c>
      <c r="F6467" s="76">
        <v>43718.0</v>
      </c>
      <c r="G6467" s="68" t="s">
        <v>25954</v>
      </c>
      <c r="H6467" s="68" t="s">
        <v>25955</v>
      </c>
      <c r="I6467" s="71"/>
      <c r="J6467" s="68" t="s">
        <v>25956</v>
      </c>
      <c r="K6467" s="76">
        <v>43805.0</v>
      </c>
      <c r="L6467" s="68" t="s">
        <v>2743</v>
      </c>
      <c r="M6467" s="68" t="s">
        <v>125</v>
      </c>
      <c r="N6467" s="116"/>
      <c r="O6467" s="51"/>
    </row>
    <row r="6468">
      <c r="A6468" s="56">
        <v>6465.0</v>
      </c>
      <c r="B6468" s="71"/>
      <c r="C6468" s="69" t="s">
        <v>25957</v>
      </c>
      <c r="D6468" s="71"/>
      <c r="E6468" s="68" t="s">
        <v>25958</v>
      </c>
      <c r="F6468" s="83">
        <v>43420.0</v>
      </c>
      <c r="G6468" s="68" t="s">
        <v>25959</v>
      </c>
      <c r="H6468" s="68" t="s">
        <v>25960</v>
      </c>
      <c r="I6468" s="71"/>
      <c r="J6468" s="68" t="s">
        <v>25961</v>
      </c>
      <c r="K6468" s="76">
        <v>43808.0</v>
      </c>
      <c r="L6468" s="68" t="s">
        <v>2743</v>
      </c>
      <c r="M6468" s="68" t="s">
        <v>27</v>
      </c>
      <c r="N6468" s="116"/>
      <c r="O6468" s="51"/>
    </row>
    <row r="6469">
      <c r="A6469" s="56">
        <v>6466.0</v>
      </c>
      <c r="B6469" s="71"/>
      <c r="C6469" s="69" t="s">
        <v>25962</v>
      </c>
      <c r="D6469" s="71"/>
      <c r="E6469" s="68" t="s">
        <v>25963</v>
      </c>
      <c r="F6469" s="83">
        <v>43390.0</v>
      </c>
      <c r="G6469" s="68" t="s">
        <v>25964</v>
      </c>
      <c r="H6469" s="71"/>
      <c r="I6469" s="71"/>
      <c r="J6469" s="100" t="s">
        <v>25965</v>
      </c>
      <c r="K6469" s="225">
        <v>43808.0</v>
      </c>
      <c r="L6469" s="68" t="s">
        <v>2743</v>
      </c>
      <c r="M6469" s="68" t="s">
        <v>542</v>
      </c>
      <c r="N6469" s="116"/>
      <c r="O6469" s="51"/>
    </row>
    <row r="6470">
      <c r="A6470" s="56">
        <v>6467.0</v>
      </c>
      <c r="B6470" s="71"/>
      <c r="C6470" s="69" t="s">
        <v>25966</v>
      </c>
      <c r="D6470" s="71"/>
      <c r="E6470" s="68" t="s">
        <v>25967</v>
      </c>
      <c r="F6470" s="76">
        <v>43721.0</v>
      </c>
      <c r="G6470" s="68" t="s">
        <v>25968</v>
      </c>
      <c r="H6470" s="68" t="s">
        <v>25969</v>
      </c>
      <c r="I6470" s="68" t="s">
        <v>25970</v>
      </c>
      <c r="J6470" s="68" t="s">
        <v>25971</v>
      </c>
      <c r="K6470" s="76">
        <v>43808.0</v>
      </c>
      <c r="L6470" s="68" t="s">
        <v>2743</v>
      </c>
      <c r="M6470" s="68" t="s">
        <v>5990</v>
      </c>
      <c r="N6470" s="116"/>
      <c r="O6470" s="51"/>
    </row>
    <row r="6471">
      <c r="A6471" s="56">
        <v>6468.0</v>
      </c>
      <c r="B6471" s="71"/>
      <c r="C6471" s="79" t="s">
        <v>25972</v>
      </c>
      <c r="D6471" s="82"/>
      <c r="E6471" s="80" t="s">
        <v>25973</v>
      </c>
      <c r="F6471" s="81">
        <v>42835.0</v>
      </c>
      <c r="G6471" s="80" t="s">
        <v>25974</v>
      </c>
      <c r="H6471" s="80" t="s">
        <v>25975</v>
      </c>
      <c r="I6471" s="80" t="s">
        <v>25976</v>
      </c>
      <c r="J6471" s="63" t="s">
        <v>136</v>
      </c>
      <c r="K6471" s="98">
        <v>43810.0</v>
      </c>
      <c r="L6471" s="80" t="s">
        <v>2743</v>
      </c>
      <c r="M6471" s="80" t="s">
        <v>368</v>
      </c>
      <c r="N6471" s="116"/>
      <c r="O6471" s="51"/>
    </row>
    <row r="6472">
      <c r="A6472" s="56">
        <v>6469.0</v>
      </c>
      <c r="B6472" s="71"/>
      <c r="C6472" s="79" t="s">
        <v>25977</v>
      </c>
      <c r="D6472" s="82"/>
      <c r="E6472" s="80" t="s">
        <v>25978</v>
      </c>
      <c r="F6472" s="98">
        <v>40868.0</v>
      </c>
      <c r="G6472" s="80" t="s">
        <v>25979</v>
      </c>
      <c r="H6472" s="80" t="s">
        <v>25980</v>
      </c>
      <c r="I6472" s="82"/>
      <c r="J6472" s="63" t="s">
        <v>136</v>
      </c>
      <c r="K6472" s="98">
        <v>43810.0</v>
      </c>
      <c r="L6472" s="80" t="s">
        <v>2743</v>
      </c>
      <c r="M6472" s="80" t="s">
        <v>542</v>
      </c>
      <c r="N6472" s="116"/>
      <c r="O6472" s="51"/>
    </row>
    <row r="6473">
      <c r="A6473" s="56">
        <v>6470.0</v>
      </c>
      <c r="B6473" s="71"/>
      <c r="C6473" s="79" t="s">
        <v>25981</v>
      </c>
      <c r="D6473" s="82"/>
      <c r="E6473" s="80" t="s">
        <v>25982</v>
      </c>
      <c r="F6473" s="81">
        <v>39995.0</v>
      </c>
      <c r="G6473" s="80" t="s">
        <v>25983</v>
      </c>
      <c r="H6473" s="82"/>
      <c r="I6473" s="80" t="s">
        <v>25984</v>
      </c>
      <c r="J6473" s="63" t="s">
        <v>136</v>
      </c>
      <c r="K6473" s="98">
        <v>43810.0</v>
      </c>
      <c r="L6473" s="80" t="s">
        <v>2743</v>
      </c>
      <c r="M6473" s="80" t="s">
        <v>2466</v>
      </c>
      <c r="N6473" s="116"/>
      <c r="O6473" s="51"/>
    </row>
    <row r="6474">
      <c r="A6474" s="75">
        <v>6471.0</v>
      </c>
      <c r="B6474" s="71"/>
      <c r="C6474" s="69" t="s">
        <v>25985</v>
      </c>
      <c r="D6474" s="71"/>
      <c r="E6474" s="68" t="s">
        <v>25986</v>
      </c>
      <c r="F6474" s="83">
        <v>43809.0</v>
      </c>
      <c r="G6474" s="68" t="s">
        <v>25987</v>
      </c>
      <c r="H6474" s="68" t="s">
        <v>25988</v>
      </c>
      <c r="I6474" s="68" t="s">
        <v>25989</v>
      </c>
      <c r="J6474" s="68" t="s">
        <v>25990</v>
      </c>
      <c r="K6474" s="83">
        <v>43812.0</v>
      </c>
      <c r="L6474" s="68" t="s">
        <v>2743</v>
      </c>
      <c r="M6474" s="68" t="s">
        <v>31</v>
      </c>
      <c r="N6474" s="116"/>
      <c r="O6474" s="51"/>
    </row>
    <row r="6475">
      <c r="A6475" s="75">
        <v>6472.0</v>
      </c>
      <c r="B6475" s="71"/>
      <c r="C6475" s="69" t="s">
        <v>25991</v>
      </c>
      <c r="D6475" s="71"/>
      <c r="E6475" s="68" t="s">
        <v>25992</v>
      </c>
      <c r="F6475" s="76">
        <v>42566.0</v>
      </c>
      <c r="G6475" s="68" t="s">
        <v>25993</v>
      </c>
      <c r="H6475" s="68" t="s">
        <v>25994</v>
      </c>
      <c r="I6475" s="68" t="s">
        <v>25995</v>
      </c>
      <c r="J6475" s="68" t="s">
        <v>25996</v>
      </c>
      <c r="K6475" s="83">
        <v>43812.0</v>
      </c>
      <c r="L6475" s="68" t="s">
        <v>2743</v>
      </c>
      <c r="M6475" s="68" t="s">
        <v>25997</v>
      </c>
      <c r="N6475" s="116"/>
      <c r="O6475" s="51"/>
    </row>
    <row r="6476">
      <c r="A6476" s="56">
        <v>6473.0</v>
      </c>
      <c r="B6476" s="71"/>
      <c r="C6476" s="69" t="s">
        <v>25998</v>
      </c>
      <c r="D6476" s="71"/>
      <c r="E6476" s="68" t="s">
        <v>25999</v>
      </c>
      <c r="F6476" s="76">
        <v>43804.0</v>
      </c>
      <c r="G6476" s="68" t="s">
        <v>26000</v>
      </c>
      <c r="H6476" s="68" t="s">
        <v>26001</v>
      </c>
      <c r="I6476" s="71"/>
      <c r="J6476" s="68" t="s">
        <v>26002</v>
      </c>
      <c r="K6476" s="83">
        <v>43813.0</v>
      </c>
      <c r="L6476" s="68" t="s">
        <v>2743</v>
      </c>
      <c r="M6476" s="68" t="s">
        <v>149</v>
      </c>
      <c r="N6476" s="116"/>
      <c r="O6476" s="51"/>
    </row>
    <row r="6477">
      <c r="A6477" s="56">
        <v>6474.0</v>
      </c>
      <c r="B6477" s="71"/>
      <c r="C6477" s="79" t="s">
        <v>26003</v>
      </c>
      <c r="D6477" s="82"/>
      <c r="E6477" s="80" t="s">
        <v>26004</v>
      </c>
      <c r="F6477" s="81">
        <v>42339.0</v>
      </c>
      <c r="G6477" s="80" t="s">
        <v>26005</v>
      </c>
      <c r="H6477" s="80" t="s">
        <v>26006</v>
      </c>
      <c r="I6477" s="82"/>
      <c r="J6477" s="63" t="s">
        <v>136</v>
      </c>
      <c r="K6477" s="98">
        <v>43813.0</v>
      </c>
      <c r="L6477" s="80" t="s">
        <v>2743</v>
      </c>
      <c r="M6477" s="80" t="s">
        <v>6875</v>
      </c>
      <c r="N6477" s="116"/>
      <c r="O6477" s="51"/>
    </row>
    <row r="6478">
      <c r="A6478" s="75">
        <v>6475.0</v>
      </c>
      <c r="B6478" s="71"/>
      <c r="C6478" s="69" t="s">
        <v>26007</v>
      </c>
      <c r="D6478" s="71"/>
      <c r="E6478" s="68" t="s">
        <v>26008</v>
      </c>
      <c r="F6478" s="76">
        <v>43511.0</v>
      </c>
      <c r="G6478" s="68" t="s">
        <v>26009</v>
      </c>
      <c r="H6478" s="68" t="s">
        <v>26010</v>
      </c>
      <c r="I6478" s="71"/>
      <c r="J6478" s="68" t="s">
        <v>26011</v>
      </c>
      <c r="K6478" s="83">
        <v>43813.0</v>
      </c>
      <c r="L6478" s="68" t="s">
        <v>2743</v>
      </c>
      <c r="M6478" s="68" t="s">
        <v>14984</v>
      </c>
      <c r="N6478" s="116"/>
      <c r="O6478" s="51"/>
    </row>
    <row r="6479">
      <c r="A6479" s="56">
        <v>6476.0</v>
      </c>
      <c r="B6479" s="71"/>
      <c r="C6479" s="79" t="s">
        <v>26012</v>
      </c>
      <c r="D6479" s="82"/>
      <c r="E6479" s="80" t="s">
        <v>26013</v>
      </c>
      <c r="F6479" s="81">
        <v>42382.0</v>
      </c>
      <c r="G6479" s="80" t="s">
        <v>26014</v>
      </c>
      <c r="H6479" s="80" t="s">
        <v>26015</v>
      </c>
      <c r="I6479" s="82"/>
      <c r="J6479" s="63" t="s">
        <v>136</v>
      </c>
      <c r="K6479" s="98">
        <v>43813.0</v>
      </c>
      <c r="L6479" s="80" t="s">
        <v>2743</v>
      </c>
      <c r="M6479" s="80" t="s">
        <v>125</v>
      </c>
      <c r="N6479" s="116"/>
      <c r="O6479" s="51"/>
    </row>
    <row r="6480">
      <c r="A6480" s="56">
        <v>6477.0</v>
      </c>
      <c r="B6480" s="71"/>
      <c r="C6480" s="69" t="s">
        <v>26016</v>
      </c>
      <c r="D6480" s="71"/>
      <c r="E6480" s="68" t="s">
        <v>26017</v>
      </c>
      <c r="F6480" s="76">
        <v>43250.0</v>
      </c>
      <c r="G6480" s="68" t="s">
        <v>26018</v>
      </c>
      <c r="H6480" s="68" t="s">
        <v>26019</v>
      </c>
      <c r="I6480" s="71"/>
      <c r="J6480" s="68" t="s">
        <v>26020</v>
      </c>
      <c r="K6480" s="83">
        <v>43813.0</v>
      </c>
      <c r="L6480" s="68" t="s">
        <v>2743</v>
      </c>
      <c r="M6480" s="68" t="s">
        <v>5707</v>
      </c>
      <c r="N6480" s="116"/>
      <c r="O6480" s="51"/>
    </row>
    <row r="6481">
      <c r="A6481" s="56">
        <v>6478.0</v>
      </c>
      <c r="B6481" s="71"/>
      <c r="C6481" s="69" t="s">
        <v>26021</v>
      </c>
      <c r="D6481" s="71"/>
      <c r="E6481" s="68" t="s">
        <v>26022</v>
      </c>
      <c r="F6481" s="83">
        <v>43782.0</v>
      </c>
      <c r="G6481" s="68" t="s">
        <v>26023</v>
      </c>
      <c r="H6481" s="71"/>
      <c r="I6481" s="68" t="s">
        <v>26024</v>
      </c>
      <c r="J6481" s="68" t="s">
        <v>26025</v>
      </c>
      <c r="K6481" s="83">
        <v>43817.0</v>
      </c>
      <c r="L6481" s="68" t="s">
        <v>26026</v>
      </c>
      <c r="M6481" s="68" t="s">
        <v>4749</v>
      </c>
      <c r="N6481" s="116"/>
      <c r="O6481" s="51"/>
    </row>
    <row r="6482">
      <c r="A6482" s="56">
        <v>6479.0</v>
      </c>
      <c r="B6482" s="71"/>
      <c r="C6482" s="79" t="s">
        <v>26027</v>
      </c>
      <c r="D6482" s="82"/>
      <c r="E6482" s="80" t="s">
        <v>26028</v>
      </c>
      <c r="F6482" s="98">
        <v>43794.0</v>
      </c>
      <c r="G6482" s="80" t="s">
        <v>26029</v>
      </c>
      <c r="H6482" s="80" t="s">
        <v>26030</v>
      </c>
      <c r="I6482" s="80" t="s">
        <v>26031</v>
      </c>
      <c r="J6482" s="63" t="s">
        <v>136</v>
      </c>
      <c r="K6482" s="98">
        <v>43818.0</v>
      </c>
      <c r="L6482" s="80" t="s">
        <v>2743</v>
      </c>
      <c r="M6482" s="80" t="s">
        <v>149</v>
      </c>
      <c r="N6482" s="116"/>
      <c r="O6482" s="51"/>
    </row>
    <row r="6483">
      <c r="A6483" s="56">
        <v>6480.0</v>
      </c>
      <c r="B6483" s="71"/>
      <c r="C6483" s="69" t="s">
        <v>26032</v>
      </c>
      <c r="D6483" s="71"/>
      <c r="E6483" s="68" t="s">
        <v>26033</v>
      </c>
      <c r="F6483" s="76">
        <v>43656.0</v>
      </c>
      <c r="G6483" s="68" t="s">
        <v>26034</v>
      </c>
      <c r="H6483" s="68" t="s">
        <v>26035</v>
      </c>
      <c r="I6483" s="68" t="s">
        <v>26036</v>
      </c>
      <c r="J6483" s="68" t="s">
        <v>26037</v>
      </c>
      <c r="K6483" s="83">
        <v>43818.0</v>
      </c>
      <c r="L6483" s="68" t="s">
        <v>2743</v>
      </c>
      <c r="M6483" s="68" t="s">
        <v>403</v>
      </c>
      <c r="N6483" s="116"/>
      <c r="O6483" s="51"/>
    </row>
    <row r="6484">
      <c r="A6484" s="56">
        <v>6481.0</v>
      </c>
      <c r="B6484" s="71"/>
      <c r="C6484" s="79" t="s">
        <v>26038</v>
      </c>
      <c r="D6484" s="82"/>
      <c r="E6484" s="80" t="s">
        <v>26039</v>
      </c>
      <c r="F6484" s="81">
        <v>40252.0</v>
      </c>
      <c r="G6484" s="80" t="s">
        <v>26040</v>
      </c>
      <c r="H6484" s="82"/>
      <c r="I6484" s="82"/>
      <c r="J6484" s="63" t="s">
        <v>136</v>
      </c>
      <c r="K6484" s="98">
        <v>43818.0</v>
      </c>
      <c r="L6484" s="80" t="s">
        <v>2743</v>
      </c>
      <c r="M6484" s="80" t="s">
        <v>125</v>
      </c>
      <c r="N6484" s="116"/>
      <c r="O6484" s="51"/>
    </row>
    <row r="6485">
      <c r="A6485" s="56">
        <v>6482.0</v>
      </c>
      <c r="B6485" s="71"/>
      <c r="C6485" s="79" t="s">
        <v>26041</v>
      </c>
      <c r="D6485" s="82"/>
      <c r="E6485" s="80" t="s">
        <v>26042</v>
      </c>
      <c r="F6485" s="81">
        <v>42789.0</v>
      </c>
      <c r="G6485" s="80" t="s">
        <v>26043</v>
      </c>
      <c r="H6485" s="80" t="s">
        <v>26044</v>
      </c>
      <c r="I6485" s="82"/>
      <c r="J6485" s="63" t="s">
        <v>136</v>
      </c>
      <c r="K6485" s="98">
        <v>43820.0</v>
      </c>
      <c r="L6485" s="80" t="s">
        <v>2743</v>
      </c>
      <c r="M6485" s="80" t="s">
        <v>368</v>
      </c>
      <c r="N6485" s="116"/>
      <c r="O6485" s="51"/>
    </row>
    <row r="6486">
      <c r="A6486" s="75">
        <v>6483.0</v>
      </c>
      <c r="B6486" s="71"/>
      <c r="C6486" s="69" t="s">
        <v>26045</v>
      </c>
      <c r="D6486" s="71"/>
      <c r="E6486" s="68" t="s">
        <v>26046</v>
      </c>
      <c r="F6486" s="83">
        <v>39731.0</v>
      </c>
      <c r="G6486" s="68" t="s">
        <v>26047</v>
      </c>
      <c r="H6486" s="68" t="s">
        <v>26048</v>
      </c>
      <c r="I6486" s="71"/>
      <c r="J6486" s="68" t="s">
        <v>26049</v>
      </c>
      <c r="K6486" s="83">
        <v>43826.0</v>
      </c>
      <c r="L6486" s="68" t="s">
        <v>2743</v>
      </c>
      <c r="M6486" s="68" t="s">
        <v>125</v>
      </c>
      <c r="N6486" s="116"/>
      <c r="O6486" s="51"/>
    </row>
    <row r="6487">
      <c r="A6487" s="56">
        <v>6484.0</v>
      </c>
      <c r="B6487" s="71"/>
      <c r="C6487" s="69" t="s">
        <v>26050</v>
      </c>
      <c r="D6487" s="71"/>
      <c r="E6487" s="68" t="s">
        <v>26051</v>
      </c>
      <c r="F6487" s="76">
        <v>43803.0</v>
      </c>
      <c r="G6487" s="68" t="s">
        <v>26052</v>
      </c>
      <c r="H6487" s="68" t="s">
        <v>26053</v>
      </c>
      <c r="I6487" s="71"/>
      <c r="J6487" s="68" t="s">
        <v>26054</v>
      </c>
      <c r="K6487" s="83">
        <v>43826.0</v>
      </c>
      <c r="L6487" s="68" t="s">
        <v>2743</v>
      </c>
      <c r="M6487" s="68" t="s">
        <v>166</v>
      </c>
      <c r="N6487" s="116"/>
      <c r="O6487" s="51"/>
    </row>
    <row r="6488">
      <c r="A6488" s="56">
        <v>6485.0</v>
      </c>
      <c r="B6488" s="71"/>
      <c r="C6488" s="69" t="s">
        <v>26055</v>
      </c>
      <c r="D6488" s="71"/>
      <c r="E6488" s="68" t="s">
        <v>26056</v>
      </c>
      <c r="F6488" s="76">
        <v>43716.0</v>
      </c>
      <c r="G6488" s="68" t="s">
        <v>26057</v>
      </c>
      <c r="H6488" s="68" t="s">
        <v>26058</v>
      </c>
      <c r="I6488" s="68" t="s">
        <v>26059</v>
      </c>
      <c r="J6488" s="68" t="s">
        <v>26060</v>
      </c>
      <c r="K6488" s="83">
        <v>43827.0</v>
      </c>
      <c r="L6488" s="68" t="s">
        <v>2743</v>
      </c>
      <c r="M6488" s="68" t="s">
        <v>31</v>
      </c>
      <c r="N6488" s="87" t="s">
        <v>26061</v>
      </c>
      <c r="O6488" s="51"/>
    </row>
    <row r="6489">
      <c r="A6489" s="56">
        <v>6486.0</v>
      </c>
      <c r="B6489" s="71"/>
      <c r="C6489" s="79" t="s">
        <v>26062</v>
      </c>
      <c r="D6489" s="82"/>
      <c r="E6489" s="80" t="s">
        <v>26063</v>
      </c>
      <c r="F6489" s="81">
        <v>42879.0</v>
      </c>
      <c r="G6489" s="80" t="s">
        <v>26064</v>
      </c>
      <c r="H6489" s="80" t="s">
        <v>26065</v>
      </c>
      <c r="I6489" s="80" t="s">
        <v>26066</v>
      </c>
      <c r="J6489" s="63" t="s">
        <v>136</v>
      </c>
      <c r="K6489" s="81">
        <v>43831.0</v>
      </c>
      <c r="L6489" s="80" t="s">
        <v>2743</v>
      </c>
      <c r="M6489" s="80" t="s">
        <v>5712</v>
      </c>
      <c r="N6489" s="87" t="s">
        <v>26067</v>
      </c>
      <c r="O6489" s="51"/>
    </row>
    <row r="6490">
      <c r="A6490" s="56">
        <v>6487.0</v>
      </c>
      <c r="B6490" s="71"/>
      <c r="C6490" s="69" t="s">
        <v>26068</v>
      </c>
      <c r="D6490" s="71"/>
      <c r="E6490" s="68" t="s">
        <v>26069</v>
      </c>
      <c r="F6490" s="76">
        <v>43672.0</v>
      </c>
      <c r="G6490" s="68" t="s">
        <v>26070</v>
      </c>
      <c r="H6490" s="68" t="s">
        <v>26071</v>
      </c>
      <c r="I6490" s="68" t="s">
        <v>26072</v>
      </c>
      <c r="J6490" s="68" t="s">
        <v>26073</v>
      </c>
      <c r="K6490" s="76">
        <v>43831.0</v>
      </c>
      <c r="L6490" s="68" t="s">
        <v>2743</v>
      </c>
      <c r="M6490" s="68" t="s">
        <v>2291</v>
      </c>
      <c r="N6490" s="116"/>
      <c r="O6490" s="51"/>
    </row>
    <row r="6491">
      <c r="A6491" s="56">
        <v>6488.0</v>
      </c>
      <c r="B6491" s="71"/>
      <c r="C6491" s="79" t="s">
        <v>26074</v>
      </c>
      <c r="D6491" s="82"/>
      <c r="E6491" s="80" t="s">
        <v>26075</v>
      </c>
      <c r="F6491" s="81">
        <v>40994.0</v>
      </c>
      <c r="G6491" s="80" t="s">
        <v>26076</v>
      </c>
      <c r="H6491" s="80" t="s">
        <v>26077</v>
      </c>
      <c r="I6491" s="82"/>
      <c r="J6491" s="63" t="s">
        <v>136</v>
      </c>
      <c r="K6491" s="81">
        <v>43831.0</v>
      </c>
      <c r="L6491" s="80" t="s">
        <v>2743</v>
      </c>
      <c r="M6491" s="80" t="s">
        <v>195</v>
      </c>
      <c r="N6491" s="116"/>
      <c r="O6491" s="51"/>
    </row>
    <row r="6492">
      <c r="A6492" s="56">
        <v>6489.0</v>
      </c>
      <c r="B6492" s="71"/>
      <c r="C6492" s="79" t="s">
        <v>26078</v>
      </c>
      <c r="D6492" s="82"/>
      <c r="E6492" s="80" t="s">
        <v>26079</v>
      </c>
      <c r="F6492" s="81">
        <v>42200.0</v>
      </c>
      <c r="G6492" s="80" t="s">
        <v>26080</v>
      </c>
      <c r="H6492" s="80" t="s">
        <v>26081</v>
      </c>
      <c r="I6492" s="82"/>
      <c r="J6492" s="63" t="s">
        <v>136</v>
      </c>
      <c r="K6492" s="81">
        <v>43831.0</v>
      </c>
      <c r="L6492" s="80" t="s">
        <v>2743</v>
      </c>
      <c r="M6492" s="80" t="s">
        <v>4749</v>
      </c>
      <c r="N6492" s="116"/>
      <c r="O6492" s="51"/>
    </row>
    <row r="6493">
      <c r="A6493" s="56">
        <v>6490.0</v>
      </c>
      <c r="B6493" s="71"/>
      <c r="C6493" s="69" t="s">
        <v>26082</v>
      </c>
      <c r="D6493" s="71"/>
      <c r="E6493" s="68" t="s">
        <v>26083</v>
      </c>
      <c r="F6493" s="76">
        <v>43673.0</v>
      </c>
      <c r="G6493" s="68" t="s">
        <v>26084</v>
      </c>
      <c r="H6493" s="68" t="s">
        <v>26085</v>
      </c>
      <c r="I6493" s="71"/>
      <c r="J6493" s="68" t="s">
        <v>26086</v>
      </c>
      <c r="K6493" s="76">
        <v>43831.0</v>
      </c>
      <c r="L6493" s="68" t="s">
        <v>2743</v>
      </c>
      <c r="M6493" s="68" t="s">
        <v>166</v>
      </c>
      <c r="N6493" s="116"/>
      <c r="O6493" s="51"/>
    </row>
    <row r="6494">
      <c r="A6494" s="75">
        <v>6491.0</v>
      </c>
      <c r="B6494" s="71"/>
      <c r="C6494" s="69" t="s">
        <v>26087</v>
      </c>
      <c r="D6494" s="71"/>
      <c r="E6494" s="68" t="s">
        <v>26088</v>
      </c>
      <c r="F6494" s="76">
        <v>43010.0</v>
      </c>
      <c r="G6494" s="68" t="s">
        <v>26089</v>
      </c>
      <c r="H6494" s="68" t="s">
        <v>26090</v>
      </c>
      <c r="I6494" s="68" t="s">
        <v>26091</v>
      </c>
      <c r="J6494" s="68" t="s">
        <v>26092</v>
      </c>
      <c r="K6494" s="76">
        <v>43832.0</v>
      </c>
      <c r="L6494" s="68" t="s">
        <v>20958</v>
      </c>
      <c r="M6494" s="68" t="s">
        <v>27</v>
      </c>
      <c r="N6494" s="116"/>
      <c r="O6494" s="51"/>
    </row>
    <row r="6495">
      <c r="A6495" s="75">
        <v>6492.0</v>
      </c>
      <c r="B6495" s="71"/>
      <c r="C6495" s="69" t="s">
        <v>26093</v>
      </c>
      <c r="D6495" s="71"/>
      <c r="E6495" s="68" t="s">
        <v>26094</v>
      </c>
      <c r="F6495" s="76">
        <v>43614.0</v>
      </c>
      <c r="G6495" s="68" t="s">
        <v>26095</v>
      </c>
      <c r="H6495" s="68" t="s">
        <v>26096</v>
      </c>
      <c r="I6495" s="71"/>
      <c r="J6495" s="68" t="s">
        <v>26097</v>
      </c>
      <c r="K6495" s="76">
        <v>43832.0</v>
      </c>
      <c r="L6495" s="68" t="s">
        <v>20958</v>
      </c>
      <c r="M6495" s="68" t="s">
        <v>27</v>
      </c>
      <c r="N6495" s="116"/>
      <c r="O6495" s="51"/>
    </row>
    <row r="6496">
      <c r="A6496" s="56">
        <v>6493.0</v>
      </c>
      <c r="B6496" s="71"/>
      <c r="C6496" s="69" t="s">
        <v>26098</v>
      </c>
      <c r="D6496" s="71"/>
      <c r="E6496" s="68" t="s">
        <v>26099</v>
      </c>
      <c r="F6496" s="76">
        <v>43614.0</v>
      </c>
      <c r="G6496" s="68" t="s">
        <v>26100</v>
      </c>
      <c r="H6496" s="68" t="s">
        <v>26101</v>
      </c>
      <c r="I6496" s="71"/>
      <c r="J6496" s="68" t="s">
        <v>26102</v>
      </c>
      <c r="K6496" s="76">
        <v>43832.0</v>
      </c>
      <c r="L6496" s="68" t="s">
        <v>20958</v>
      </c>
      <c r="M6496" s="68" t="s">
        <v>27</v>
      </c>
      <c r="N6496" s="116"/>
      <c r="O6496" s="51"/>
    </row>
    <row r="6497">
      <c r="A6497" s="56">
        <v>6494.0</v>
      </c>
      <c r="B6497" s="71"/>
      <c r="C6497" s="69" t="s">
        <v>26103</v>
      </c>
      <c r="D6497" s="71"/>
      <c r="E6497" s="68" t="s">
        <v>26104</v>
      </c>
      <c r="F6497" s="83">
        <v>43768.0</v>
      </c>
      <c r="G6497" s="68" t="s">
        <v>26105</v>
      </c>
      <c r="H6497" s="68" t="s">
        <v>26106</v>
      </c>
      <c r="I6497" s="71"/>
      <c r="J6497" s="68" t="s">
        <v>26107</v>
      </c>
      <c r="K6497" s="76">
        <v>43832.0</v>
      </c>
      <c r="L6497" s="68" t="s">
        <v>20958</v>
      </c>
      <c r="M6497" s="68" t="s">
        <v>27</v>
      </c>
      <c r="N6497" s="116"/>
      <c r="O6497" s="51"/>
    </row>
    <row r="6498">
      <c r="A6498" s="56">
        <v>6495.0</v>
      </c>
      <c r="B6498" s="71"/>
      <c r="C6498" s="79" t="s">
        <v>26108</v>
      </c>
      <c r="D6498" s="82"/>
      <c r="E6498" s="80" t="s">
        <v>26109</v>
      </c>
      <c r="F6498" s="81">
        <v>40414.0</v>
      </c>
      <c r="G6498" s="80" t="s">
        <v>26110</v>
      </c>
      <c r="H6498" s="80" t="s">
        <v>26111</v>
      </c>
      <c r="I6498" s="82"/>
      <c r="J6498" s="63" t="s">
        <v>136</v>
      </c>
      <c r="K6498" s="81">
        <v>43832.0</v>
      </c>
      <c r="L6498" s="80" t="s">
        <v>2743</v>
      </c>
      <c r="M6498" s="80" t="s">
        <v>201</v>
      </c>
      <c r="N6498" s="116"/>
      <c r="O6498" s="51"/>
    </row>
    <row r="6499">
      <c r="A6499" s="56">
        <v>6496.0</v>
      </c>
      <c r="B6499" s="71"/>
      <c r="C6499" s="79" t="s">
        <v>26112</v>
      </c>
      <c r="D6499" s="82"/>
      <c r="E6499" s="80" t="s">
        <v>26113</v>
      </c>
      <c r="F6499" s="81">
        <v>40400.0</v>
      </c>
      <c r="G6499" s="80" t="s">
        <v>26114</v>
      </c>
      <c r="H6499" s="80" t="s">
        <v>26115</v>
      </c>
      <c r="I6499" s="82"/>
      <c r="J6499" s="63" t="s">
        <v>136</v>
      </c>
      <c r="K6499" s="81">
        <v>43832.0</v>
      </c>
      <c r="L6499" s="80" t="s">
        <v>2743</v>
      </c>
      <c r="M6499" s="80" t="s">
        <v>125</v>
      </c>
      <c r="N6499" s="116"/>
      <c r="O6499" s="51"/>
    </row>
    <row r="6500">
      <c r="A6500" s="56">
        <v>6497.0</v>
      </c>
      <c r="B6500" s="71"/>
      <c r="C6500" s="69" t="s">
        <v>26116</v>
      </c>
      <c r="D6500" s="71"/>
      <c r="E6500" s="68" t="s">
        <v>26117</v>
      </c>
      <c r="F6500" s="76">
        <v>42024.0</v>
      </c>
      <c r="G6500" s="68" t="s">
        <v>26118</v>
      </c>
      <c r="H6500" s="68" t="s">
        <v>26119</v>
      </c>
      <c r="I6500" s="71"/>
      <c r="J6500" s="68" t="s">
        <v>26120</v>
      </c>
      <c r="K6500" s="76">
        <v>43832.0</v>
      </c>
      <c r="L6500" s="68" t="s">
        <v>2743</v>
      </c>
      <c r="M6500" s="68" t="s">
        <v>27</v>
      </c>
      <c r="N6500" s="116"/>
      <c r="O6500" s="51"/>
    </row>
    <row r="6501">
      <c r="A6501" s="56">
        <v>6498.0</v>
      </c>
      <c r="B6501" s="71"/>
      <c r="C6501" s="79" t="s">
        <v>26121</v>
      </c>
      <c r="D6501" s="82"/>
      <c r="E6501" s="80" t="s">
        <v>26122</v>
      </c>
      <c r="F6501" s="81">
        <v>43677.0</v>
      </c>
      <c r="G6501" s="80" t="s">
        <v>26123</v>
      </c>
      <c r="H6501" s="82"/>
      <c r="I6501" s="82"/>
      <c r="J6501" s="63" t="s">
        <v>136</v>
      </c>
      <c r="K6501" s="81">
        <v>43832.0</v>
      </c>
      <c r="L6501" s="80" t="s">
        <v>2743</v>
      </c>
      <c r="M6501" s="80" t="s">
        <v>26124</v>
      </c>
      <c r="N6501" s="116"/>
      <c r="O6501" s="51"/>
    </row>
    <row r="6502">
      <c r="A6502" s="75">
        <v>6499.0</v>
      </c>
      <c r="B6502" s="71"/>
      <c r="C6502" s="69" t="s">
        <v>26125</v>
      </c>
      <c r="D6502" s="71"/>
      <c r="E6502" s="68" t="s">
        <v>26126</v>
      </c>
      <c r="F6502" s="76">
        <v>43480.0</v>
      </c>
      <c r="G6502" s="68" t="s">
        <v>26127</v>
      </c>
      <c r="H6502" s="68" t="s">
        <v>26128</v>
      </c>
      <c r="I6502" s="71"/>
      <c r="J6502" s="68" t="s">
        <v>26129</v>
      </c>
      <c r="K6502" s="76">
        <v>43832.0</v>
      </c>
      <c r="L6502" s="68" t="s">
        <v>2743</v>
      </c>
      <c r="M6502" s="68" t="s">
        <v>2989</v>
      </c>
      <c r="N6502" s="116"/>
      <c r="O6502" s="51"/>
    </row>
    <row r="6503">
      <c r="A6503" s="56">
        <v>6500.0</v>
      </c>
      <c r="B6503" s="71"/>
      <c r="C6503" s="69" t="s">
        <v>26130</v>
      </c>
      <c r="D6503" s="71"/>
      <c r="E6503" s="68" t="s">
        <v>26131</v>
      </c>
      <c r="F6503" s="76">
        <v>43569.0</v>
      </c>
      <c r="G6503" s="68" t="s">
        <v>26132</v>
      </c>
      <c r="H6503" s="71"/>
      <c r="I6503" s="71"/>
      <c r="J6503" s="100" t="s">
        <v>26133</v>
      </c>
      <c r="K6503" s="225">
        <v>43833.0</v>
      </c>
      <c r="L6503" s="68" t="s">
        <v>2743</v>
      </c>
      <c r="M6503" s="68" t="s">
        <v>23797</v>
      </c>
      <c r="N6503" s="116"/>
      <c r="O6503" s="51"/>
    </row>
    <row r="6504">
      <c r="A6504" s="56">
        <v>6501.0</v>
      </c>
      <c r="B6504" s="71"/>
      <c r="C6504" s="79" t="s">
        <v>26134</v>
      </c>
      <c r="D6504" s="82"/>
      <c r="E6504" s="80" t="s">
        <v>26135</v>
      </c>
      <c r="F6504" s="81">
        <v>42618.0</v>
      </c>
      <c r="G6504" s="80" t="s">
        <v>26136</v>
      </c>
      <c r="H6504" s="80" t="s">
        <v>26137</v>
      </c>
      <c r="I6504" s="80" t="s">
        <v>26138</v>
      </c>
      <c r="J6504" s="63" t="s">
        <v>136</v>
      </c>
      <c r="K6504" s="81">
        <v>43833.0</v>
      </c>
      <c r="L6504" s="80" t="s">
        <v>2743</v>
      </c>
      <c r="M6504" s="80" t="s">
        <v>4487</v>
      </c>
      <c r="N6504" s="116"/>
      <c r="O6504" s="51"/>
    </row>
    <row r="6505">
      <c r="A6505" s="56">
        <v>6502.0</v>
      </c>
      <c r="B6505" s="71"/>
      <c r="C6505" s="69" t="s">
        <v>26139</v>
      </c>
      <c r="D6505" s="71"/>
      <c r="E6505" s="68" t="s">
        <v>26140</v>
      </c>
      <c r="F6505" s="83">
        <v>43818.0</v>
      </c>
      <c r="G6505" s="68" t="s">
        <v>26141</v>
      </c>
      <c r="H6505" s="68" t="s">
        <v>26142</v>
      </c>
      <c r="I6505" s="71"/>
      <c r="J6505" s="68" t="s">
        <v>26143</v>
      </c>
      <c r="K6505" s="76">
        <v>43833.0</v>
      </c>
      <c r="L6505" s="68" t="s">
        <v>2743</v>
      </c>
      <c r="M6505" s="68" t="s">
        <v>166</v>
      </c>
      <c r="N6505" s="116"/>
      <c r="O6505" s="51"/>
    </row>
    <row r="6506">
      <c r="A6506" s="56">
        <v>6503.0</v>
      </c>
      <c r="B6506" s="71"/>
      <c r="C6506" s="69" t="s">
        <v>26144</v>
      </c>
      <c r="D6506" s="71"/>
      <c r="E6506" s="68" t="s">
        <v>26145</v>
      </c>
      <c r="F6506" s="83">
        <v>43818.0</v>
      </c>
      <c r="G6506" s="68" t="s">
        <v>26146</v>
      </c>
      <c r="H6506" s="68" t="s">
        <v>26147</v>
      </c>
      <c r="I6506" s="71"/>
      <c r="J6506" s="68" t="s">
        <v>26148</v>
      </c>
      <c r="K6506" s="76">
        <v>43833.0</v>
      </c>
      <c r="L6506" s="68" t="s">
        <v>2743</v>
      </c>
      <c r="M6506" s="68" t="s">
        <v>166</v>
      </c>
      <c r="N6506" s="116"/>
      <c r="O6506" s="51"/>
    </row>
    <row r="6507">
      <c r="A6507" s="75">
        <v>6504.0</v>
      </c>
      <c r="B6507" s="71"/>
      <c r="C6507" s="69" t="s">
        <v>26149</v>
      </c>
      <c r="D6507" s="71"/>
      <c r="E6507" s="68" t="s">
        <v>26150</v>
      </c>
      <c r="F6507" s="76">
        <v>43831.0</v>
      </c>
      <c r="G6507" s="68" t="s">
        <v>26151</v>
      </c>
      <c r="H6507" s="68" t="s">
        <v>26152</v>
      </c>
      <c r="I6507" s="68" t="s">
        <v>26153</v>
      </c>
      <c r="J6507" s="68" t="s">
        <v>26154</v>
      </c>
      <c r="K6507" s="76">
        <v>43834.0</v>
      </c>
      <c r="L6507" s="68" t="s">
        <v>2743</v>
      </c>
      <c r="M6507" s="68" t="s">
        <v>31</v>
      </c>
      <c r="N6507" s="116"/>
      <c r="O6507" s="51"/>
    </row>
    <row r="6508">
      <c r="A6508" s="56">
        <v>6505.0</v>
      </c>
      <c r="B6508" s="71"/>
      <c r="C6508" s="79" t="s">
        <v>26155</v>
      </c>
      <c r="D6508" s="82"/>
      <c r="E6508" s="80" t="s">
        <v>26156</v>
      </c>
      <c r="F6508" s="81">
        <v>41386.0</v>
      </c>
      <c r="G6508" s="80" t="s">
        <v>26157</v>
      </c>
      <c r="H6508" s="80" t="s">
        <v>26158</v>
      </c>
      <c r="I6508" s="82"/>
      <c r="J6508" s="63" t="s">
        <v>136</v>
      </c>
      <c r="K6508" s="81">
        <v>43837.0</v>
      </c>
      <c r="L6508" s="80" t="s">
        <v>2743</v>
      </c>
      <c r="M6508" s="80" t="s">
        <v>125</v>
      </c>
      <c r="N6508" s="116"/>
      <c r="O6508" s="51"/>
    </row>
    <row r="6509">
      <c r="A6509" s="56">
        <v>6506.0</v>
      </c>
      <c r="B6509" s="71"/>
      <c r="C6509" s="79" t="s">
        <v>26159</v>
      </c>
      <c r="D6509" s="82"/>
      <c r="E6509" s="80" t="s">
        <v>26160</v>
      </c>
      <c r="F6509" s="81">
        <v>43144.0</v>
      </c>
      <c r="G6509" s="80" t="s">
        <v>26161</v>
      </c>
      <c r="H6509" s="80" t="s">
        <v>26162</v>
      </c>
      <c r="I6509" s="80" t="s">
        <v>26163</v>
      </c>
      <c r="J6509" s="63" t="s">
        <v>136</v>
      </c>
      <c r="K6509" s="81">
        <v>43837.0</v>
      </c>
      <c r="L6509" s="80" t="s">
        <v>2743</v>
      </c>
      <c r="M6509" s="80" t="s">
        <v>27</v>
      </c>
      <c r="N6509" s="116"/>
      <c r="O6509" s="51"/>
    </row>
    <row r="6510">
      <c r="A6510" s="56">
        <v>6507.0</v>
      </c>
      <c r="B6510" s="71"/>
      <c r="C6510" s="79" t="s">
        <v>26164</v>
      </c>
      <c r="D6510" s="82"/>
      <c r="E6510" s="80" t="s">
        <v>26165</v>
      </c>
      <c r="F6510" s="81">
        <v>43599.0</v>
      </c>
      <c r="G6510" s="80" t="s">
        <v>26166</v>
      </c>
      <c r="H6510" s="80" t="s">
        <v>26167</v>
      </c>
      <c r="I6510" s="82"/>
      <c r="J6510" s="63" t="s">
        <v>136</v>
      </c>
      <c r="K6510" s="81">
        <v>43837.0</v>
      </c>
      <c r="L6510" s="80" t="s">
        <v>26168</v>
      </c>
      <c r="M6510" s="80" t="s">
        <v>166</v>
      </c>
      <c r="N6510" s="116"/>
      <c r="O6510" s="51"/>
    </row>
    <row r="6511">
      <c r="A6511" s="56">
        <v>6508.0</v>
      </c>
      <c r="B6511" s="71"/>
      <c r="C6511" s="69" t="s">
        <v>26169</v>
      </c>
      <c r="D6511" s="71"/>
      <c r="E6511" s="68" t="s">
        <v>26170</v>
      </c>
      <c r="F6511" s="76">
        <v>43600.0</v>
      </c>
      <c r="G6511" s="68" t="s">
        <v>26171</v>
      </c>
      <c r="H6511" s="68" t="s">
        <v>26172</v>
      </c>
      <c r="I6511" s="71"/>
      <c r="J6511" s="68" t="s">
        <v>26173</v>
      </c>
      <c r="K6511" s="76">
        <v>43837.0</v>
      </c>
      <c r="L6511" s="68" t="s">
        <v>16585</v>
      </c>
      <c r="M6511" s="68" t="s">
        <v>166</v>
      </c>
      <c r="N6511" s="116"/>
      <c r="O6511" s="51"/>
    </row>
    <row r="6512">
      <c r="A6512" s="56">
        <v>6509.0</v>
      </c>
      <c r="B6512" s="71"/>
      <c r="C6512" s="69" t="s">
        <v>26174</v>
      </c>
      <c r="D6512" s="71"/>
      <c r="E6512" s="68" t="s">
        <v>26175</v>
      </c>
      <c r="F6512" s="76">
        <v>43527.0</v>
      </c>
      <c r="G6512" s="68" t="s">
        <v>26176</v>
      </c>
      <c r="H6512" s="68" t="s">
        <v>26177</v>
      </c>
      <c r="I6512" s="71"/>
      <c r="J6512" s="68" t="s">
        <v>26178</v>
      </c>
      <c r="K6512" s="76">
        <v>43837.0</v>
      </c>
      <c r="L6512" s="68" t="s">
        <v>16585</v>
      </c>
      <c r="M6512" s="68" t="s">
        <v>166</v>
      </c>
      <c r="N6512" s="116"/>
      <c r="O6512" s="51"/>
    </row>
    <row r="6513">
      <c r="A6513" s="75">
        <v>6510.0</v>
      </c>
      <c r="B6513" s="71"/>
      <c r="C6513" s="69" t="s">
        <v>26179</v>
      </c>
      <c r="D6513" s="71"/>
      <c r="E6513" s="68" t="s">
        <v>26180</v>
      </c>
      <c r="F6513" s="83">
        <v>43796.0</v>
      </c>
      <c r="G6513" s="68" t="s">
        <v>26181</v>
      </c>
      <c r="H6513" s="68" t="s">
        <v>26182</v>
      </c>
      <c r="I6513" s="71"/>
      <c r="J6513" s="68" t="s">
        <v>26183</v>
      </c>
      <c r="K6513" s="76">
        <v>43837.0</v>
      </c>
      <c r="L6513" s="68" t="s">
        <v>2743</v>
      </c>
      <c r="M6513" s="68" t="s">
        <v>125</v>
      </c>
      <c r="N6513" s="116"/>
      <c r="O6513" s="51"/>
    </row>
    <row r="6514">
      <c r="A6514" s="75">
        <v>6511.0</v>
      </c>
      <c r="B6514" s="71"/>
      <c r="C6514" s="69" t="s">
        <v>26184</v>
      </c>
      <c r="D6514" s="71"/>
      <c r="E6514" s="68" t="s">
        <v>26185</v>
      </c>
      <c r="F6514" s="76">
        <v>43269.0</v>
      </c>
      <c r="G6514" s="68" t="s">
        <v>26186</v>
      </c>
      <c r="H6514" s="68" t="s">
        <v>26187</v>
      </c>
      <c r="I6514" s="71"/>
      <c r="J6514" s="68" t="s">
        <v>26188</v>
      </c>
      <c r="K6514" s="76">
        <v>43837.0</v>
      </c>
      <c r="L6514" s="68" t="s">
        <v>2743</v>
      </c>
      <c r="M6514" s="68" t="s">
        <v>166</v>
      </c>
      <c r="N6514" s="116"/>
      <c r="O6514" s="51"/>
    </row>
    <row r="6515">
      <c r="A6515" s="56">
        <v>6512.0</v>
      </c>
      <c r="B6515" s="71"/>
      <c r="C6515" s="69" t="s">
        <v>26189</v>
      </c>
      <c r="D6515" s="71"/>
      <c r="E6515" s="68" t="s">
        <v>26190</v>
      </c>
      <c r="F6515" s="76">
        <v>43641.0</v>
      </c>
      <c r="G6515" s="68" t="s">
        <v>26191</v>
      </c>
      <c r="H6515" s="68" t="s">
        <v>26192</v>
      </c>
      <c r="I6515" s="71"/>
      <c r="J6515" s="68" t="s">
        <v>26193</v>
      </c>
      <c r="K6515" s="76">
        <v>43839.0</v>
      </c>
      <c r="L6515" s="68" t="s">
        <v>2743</v>
      </c>
      <c r="M6515" s="68" t="s">
        <v>166</v>
      </c>
      <c r="N6515" s="116"/>
      <c r="O6515" s="51"/>
    </row>
    <row r="6516">
      <c r="A6516" s="56">
        <v>6513.0</v>
      </c>
      <c r="B6516" s="71"/>
      <c r="C6516" s="69" t="s">
        <v>26194</v>
      </c>
      <c r="D6516" s="71"/>
      <c r="E6516" s="68" t="s">
        <v>26195</v>
      </c>
      <c r="F6516" s="83">
        <v>43825.0</v>
      </c>
      <c r="G6516" s="68" t="s">
        <v>26196</v>
      </c>
      <c r="H6516" s="68" t="s">
        <v>26197</v>
      </c>
      <c r="I6516" s="71"/>
      <c r="J6516" s="68" t="s">
        <v>26198</v>
      </c>
      <c r="K6516" s="76">
        <v>43839.0</v>
      </c>
      <c r="L6516" s="68" t="s">
        <v>2743</v>
      </c>
      <c r="M6516" s="68" t="s">
        <v>31</v>
      </c>
      <c r="N6516" s="116"/>
      <c r="O6516" s="51"/>
    </row>
    <row r="6517">
      <c r="A6517" s="75">
        <v>6514.0</v>
      </c>
      <c r="B6517" s="71"/>
      <c r="C6517" s="69" t="s">
        <v>26199</v>
      </c>
      <c r="D6517" s="71"/>
      <c r="E6517" s="68" t="s">
        <v>26200</v>
      </c>
      <c r="F6517" s="76">
        <v>42917.0</v>
      </c>
      <c r="G6517" s="68" t="s">
        <v>26201</v>
      </c>
      <c r="H6517" s="68" t="s">
        <v>26202</v>
      </c>
      <c r="I6517" s="68" t="s">
        <v>26203</v>
      </c>
      <c r="J6517" s="68" t="s">
        <v>26204</v>
      </c>
      <c r="K6517" s="76">
        <v>43839.0</v>
      </c>
      <c r="L6517" s="68" t="s">
        <v>2743</v>
      </c>
      <c r="M6517" s="68" t="s">
        <v>530</v>
      </c>
      <c r="N6517" s="116"/>
      <c r="O6517" s="51"/>
    </row>
    <row r="6518">
      <c r="A6518" s="75">
        <v>6515.0</v>
      </c>
      <c r="B6518" s="71"/>
      <c r="C6518" s="69" t="s">
        <v>26205</v>
      </c>
      <c r="D6518" s="71"/>
      <c r="E6518" s="68" t="s">
        <v>26206</v>
      </c>
      <c r="F6518" s="76">
        <v>41821.0</v>
      </c>
      <c r="G6518" s="68" t="s">
        <v>26207</v>
      </c>
      <c r="H6518" s="68" t="s">
        <v>26208</v>
      </c>
      <c r="I6518" s="71"/>
      <c r="J6518" s="68" t="s">
        <v>26209</v>
      </c>
      <c r="K6518" s="76">
        <v>43841.0</v>
      </c>
      <c r="L6518" s="68" t="s">
        <v>2743</v>
      </c>
      <c r="M6518" s="68" t="s">
        <v>195</v>
      </c>
      <c r="N6518" s="116"/>
      <c r="O6518" s="51"/>
    </row>
    <row r="6519">
      <c r="A6519" s="75">
        <v>6516.0</v>
      </c>
      <c r="B6519" s="71"/>
      <c r="C6519" s="69" t="s">
        <v>26210</v>
      </c>
      <c r="D6519" s="71"/>
      <c r="E6519" s="68" t="s">
        <v>26211</v>
      </c>
      <c r="F6519" s="76">
        <v>43511.0</v>
      </c>
      <c r="G6519" s="68" t="s">
        <v>26212</v>
      </c>
      <c r="H6519" s="68" t="s">
        <v>26213</v>
      </c>
      <c r="I6519" s="68" t="s">
        <v>26214</v>
      </c>
      <c r="J6519" s="68" t="s">
        <v>26215</v>
      </c>
      <c r="K6519" s="76">
        <v>43843.0</v>
      </c>
      <c r="L6519" s="68" t="s">
        <v>2743</v>
      </c>
      <c r="M6519" s="68" t="s">
        <v>542</v>
      </c>
      <c r="N6519" s="116"/>
      <c r="O6519" s="51"/>
    </row>
    <row r="6520">
      <c r="A6520" s="56">
        <v>6517.0</v>
      </c>
      <c r="B6520" s="71"/>
      <c r="C6520" s="69" t="s">
        <v>26216</v>
      </c>
      <c r="D6520" s="71"/>
      <c r="E6520" s="68" t="s">
        <v>26217</v>
      </c>
      <c r="F6520" s="76">
        <v>42956.0</v>
      </c>
      <c r="G6520" s="68" t="s">
        <v>26218</v>
      </c>
      <c r="H6520" s="68" t="s">
        <v>26219</v>
      </c>
      <c r="I6520" s="68" t="s">
        <v>26220</v>
      </c>
      <c r="J6520" s="68" t="s">
        <v>26221</v>
      </c>
      <c r="K6520" s="76">
        <v>43843.0</v>
      </c>
      <c r="L6520" s="68" t="s">
        <v>2743</v>
      </c>
      <c r="M6520" s="68" t="s">
        <v>125</v>
      </c>
      <c r="N6520" s="116"/>
      <c r="O6520" s="51"/>
    </row>
    <row r="6521">
      <c r="A6521" s="75">
        <v>6518.0</v>
      </c>
      <c r="B6521" s="71"/>
      <c r="C6521" s="69" t="s">
        <v>26222</v>
      </c>
      <c r="D6521" s="71"/>
      <c r="E6521" s="68" t="s">
        <v>26223</v>
      </c>
      <c r="F6521" s="76">
        <v>43734.0</v>
      </c>
      <c r="G6521" s="68" t="s">
        <v>26224</v>
      </c>
      <c r="H6521" s="68" t="s">
        <v>26225</v>
      </c>
      <c r="I6521" s="68" t="s">
        <v>26226</v>
      </c>
      <c r="J6521" s="68" t="s">
        <v>26227</v>
      </c>
      <c r="K6521" s="76">
        <v>43843.0</v>
      </c>
      <c r="L6521" s="68" t="s">
        <v>2743</v>
      </c>
      <c r="M6521" s="68" t="s">
        <v>166</v>
      </c>
      <c r="N6521" s="116"/>
      <c r="O6521" s="51"/>
    </row>
    <row r="6522">
      <c r="A6522" s="56">
        <v>6519.0</v>
      </c>
      <c r="B6522" s="71"/>
      <c r="C6522" s="79" t="s">
        <v>26228</v>
      </c>
      <c r="D6522" s="82"/>
      <c r="E6522" s="80" t="s">
        <v>26229</v>
      </c>
      <c r="F6522" s="81">
        <v>39995.0</v>
      </c>
      <c r="G6522" s="80" t="s">
        <v>26230</v>
      </c>
      <c r="H6522" s="80" t="s">
        <v>26231</v>
      </c>
      <c r="I6522" s="80" t="s">
        <v>26232</v>
      </c>
      <c r="J6522" s="63" t="s">
        <v>136</v>
      </c>
      <c r="K6522" s="81">
        <v>43845.0</v>
      </c>
      <c r="L6522" s="80" t="s">
        <v>2743</v>
      </c>
      <c r="M6522" s="80" t="s">
        <v>530</v>
      </c>
      <c r="N6522" s="116"/>
      <c r="O6522" s="51"/>
    </row>
    <row r="6523">
      <c r="A6523" s="56">
        <v>6520.0</v>
      </c>
      <c r="B6523" s="71"/>
      <c r="C6523" s="79" t="s">
        <v>26233</v>
      </c>
      <c r="D6523" s="82"/>
      <c r="E6523" s="80" t="s">
        <v>26234</v>
      </c>
      <c r="F6523" s="81">
        <v>41803.0</v>
      </c>
      <c r="G6523" s="80" t="s">
        <v>26235</v>
      </c>
      <c r="H6523" s="80" t="s">
        <v>26236</v>
      </c>
      <c r="I6523" s="80" t="s">
        <v>26237</v>
      </c>
      <c r="J6523" s="63" t="s">
        <v>136</v>
      </c>
      <c r="K6523" s="81">
        <v>43845.0</v>
      </c>
      <c r="L6523" s="80" t="s">
        <v>2743</v>
      </c>
      <c r="M6523" s="80" t="s">
        <v>23797</v>
      </c>
      <c r="N6523" s="116"/>
      <c r="O6523" s="51"/>
    </row>
    <row r="6524">
      <c r="A6524" s="56">
        <v>6521.0</v>
      </c>
      <c r="B6524" s="71"/>
      <c r="C6524" s="79" t="s">
        <v>26238</v>
      </c>
      <c r="D6524" s="82"/>
      <c r="E6524" s="80" t="s">
        <v>26239</v>
      </c>
      <c r="F6524" s="98">
        <v>43066.0</v>
      </c>
      <c r="G6524" s="80" t="s">
        <v>26240</v>
      </c>
      <c r="H6524" s="80" t="s">
        <v>26241</v>
      </c>
      <c r="I6524" s="80" t="s">
        <v>26242</v>
      </c>
      <c r="J6524" s="63" t="s">
        <v>136</v>
      </c>
      <c r="K6524" s="81">
        <v>43847.0</v>
      </c>
      <c r="L6524" s="80" t="s">
        <v>2743</v>
      </c>
      <c r="M6524" s="80" t="s">
        <v>2989</v>
      </c>
      <c r="N6524" s="116"/>
      <c r="O6524" s="51"/>
    </row>
    <row r="6525">
      <c r="A6525" s="56">
        <v>6522.0</v>
      </c>
      <c r="B6525" s="71"/>
      <c r="C6525" s="79" t="s">
        <v>26243</v>
      </c>
      <c r="D6525" s="82"/>
      <c r="E6525" s="80" t="s">
        <v>26244</v>
      </c>
      <c r="F6525" s="81">
        <v>41460.0</v>
      </c>
      <c r="G6525" s="80" t="s">
        <v>26245</v>
      </c>
      <c r="H6525" s="80" t="s">
        <v>26246</v>
      </c>
      <c r="I6525" s="80" t="s">
        <v>26247</v>
      </c>
      <c r="J6525" s="63" t="s">
        <v>136</v>
      </c>
      <c r="K6525" s="81">
        <v>43847.0</v>
      </c>
      <c r="L6525" s="80" t="s">
        <v>2743</v>
      </c>
      <c r="M6525" s="80" t="s">
        <v>27</v>
      </c>
      <c r="N6525" s="116"/>
      <c r="O6525" s="51"/>
    </row>
    <row r="6526">
      <c r="A6526" s="56">
        <v>6523.0</v>
      </c>
      <c r="B6526" s="71"/>
      <c r="C6526" s="79" t="s">
        <v>26248</v>
      </c>
      <c r="D6526" s="82"/>
      <c r="E6526" s="80" t="s">
        <v>26249</v>
      </c>
      <c r="F6526" s="81">
        <v>41733.0</v>
      </c>
      <c r="G6526" s="80" t="s">
        <v>26250</v>
      </c>
      <c r="H6526" s="80" t="s">
        <v>26251</v>
      </c>
      <c r="I6526" s="80" t="s">
        <v>26252</v>
      </c>
      <c r="J6526" s="63" t="s">
        <v>136</v>
      </c>
      <c r="K6526" s="81">
        <v>43850.0</v>
      </c>
      <c r="L6526" s="80" t="s">
        <v>2743</v>
      </c>
      <c r="M6526" s="80" t="s">
        <v>125</v>
      </c>
      <c r="N6526" s="116"/>
      <c r="O6526" s="51"/>
    </row>
    <row r="6527">
      <c r="A6527" s="75">
        <v>6524.0</v>
      </c>
      <c r="B6527" s="71"/>
      <c r="C6527" s="69" t="s">
        <v>26253</v>
      </c>
      <c r="D6527" s="71"/>
      <c r="E6527" s="68" t="s">
        <v>26254</v>
      </c>
      <c r="F6527" s="83">
        <v>43799.0</v>
      </c>
      <c r="G6527" s="68" t="s">
        <v>26255</v>
      </c>
      <c r="H6527" s="68" t="s">
        <v>26256</v>
      </c>
      <c r="I6527" s="68" t="s">
        <v>26257</v>
      </c>
      <c r="J6527" s="68" t="s">
        <v>26258</v>
      </c>
      <c r="K6527" s="76">
        <v>43850.0</v>
      </c>
      <c r="L6527" s="68" t="s">
        <v>2743</v>
      </c>
      <c r="M6527" s="68" t="s">
        <v>2989</v>
      </c>
      <c r="N6527" s="116"/>
      <c r="O6527" s="51"/>
    </row>
    <row r="6528">
      <c r="A6528" s="56">
        <v>6525.0</v>
      </c>
      <c r="B6528" s="71"/>
      <c r="C6528" s="79" t="s">
        <v>26259</v>
      </c>
      <c r="D6528" s="82"/>
      <c r="E6528" s="80" t="s">
        <v>26260</v>
      </c>
      <c r="F6528" s="81">
        <v>41506.0</v>
      </c>
      <c r="G6528" s="80" t="s">
        <v>26261</v>
      </c>
      <c r="H6528" s="80" t="s">
        <v>439</v>
      </c>
      <c r="I6528" s="80" t="s">
        <v>26262</v>
      </c>
      <c r="J6528" s="63" t="s">
        <v>136</v>
      </c>
      <c r="K6528" s="81">
        <v>43850.0</v>
      </c>
      <c r="L6528" s="80" t="s">
        <v>2743</v>
      </c>
      <c r="M6528" s="80" t="s">
        <v>125</v>
      </c>
      <c r="N6528" s="116"/>
      <c r="O6528" s="51"/>
    </row>
    <row r="6529">
      <c r="A6529" s="56">
        <v>6526.0</v>
      </c>
      <c r="B6529" s="71"/>
      <c r="C6529" s="79" t="s">
        <v>26263</v>
      </c>
      <c r="D6529" s="82"/>
      <c r="E6529" s="80" t="s">
        <v>26264</v>
      </c>
      <c r="F6529" s="81">
        <v>41506.0</v>
      </c>
      <c r="G6529" s="80" t="s">
        <v>26265</v>
      </c>
      <c r="H6529" s="80" t="s">
        <v>439</v>
      </c>
      <c r="I6529" s="80" t="s">
        <v>26266</v>
      </c>
      <c r="J6529" s="63" t="s">
        <v>136</v>
      </c>
      <c r="K6529" s="81">
        <v>43850.0</v>
      </c>
      <c r="L6529" s="80" t="s">
        <v>2743</v>
      </c>
      <c r="M6529" s="80" t="s">
        <v>125</v>
      </c>
      <c r="N6529" s="116"/>
      <c r="O6529" s="51"/>
    </row>
    <row r="6530">
      <c r="A6530" s="56">
        <v>6527.0</v>
      </c>
      <c r="B6530" s="71"/>
      <c r="C6530" s="79" t="s">
        <v>26267</v>
      </c>
      <c r="D6530" s="82"/>
      <c r="E6530" s="80" t="s">
        <v>26268</v>
      </c>
      <c r="F6530" s="81">
        <v>40336.0</v>
      </c>
      <c r="G6530" s="80" t="s">
        <v>26269</v>
      </c>
      <c r="H6530" s="82"/>
      <c r="I6530" s="80" t="s">
        <v>26270</v>
      </c>
      <c r="J6530" s="63" t="s">
        <v>136</v>
      </c>
      <c r="K6530" s="81">
        <v>43850.0</v>
      </c>
      <c r="L6530" s="80" t="s">
        <v>2743</v>
      </c>
      <c r="M6530" s="80" t="s">
        <v>125</v>
      </c>
      <c r="N6530" s="116"/>
      <c r="O6530" s="51"/>
    </row>
    <row r="6531">
      <c r="A6531" s="56">
        <v>6528.0</v>
      </c>
      <c r="B6531" s="71"/>
      <c r="C6531" s="79" t="s">
        <v>26271</v>
      </c>
      <c r="D6531" s="82"/>
      <c r="E6531" s="80" t="s">
        <v>26272</v>
      </c>
      <c r="F6531" s="81">
        <v>39995.0</v>
      </c>
      <c r="G6531" s="80" t="s">
        <v>26273</v>
      </c>
      <c r="H6531" s="80" t="s">
        <v>26274</v>
      </c>
      <c r="I6531" s="82"/>
      <c r="J6531" s="63" t="s">
        <v>136</v>
      </c>
      <c r="K6531" s="81">
        <v>43850.0</v>
      </c>
      <c r="L6531" s="80" t="s">
        <v>2743</v>
      </c>
      <c r="M6531" s="80" t="s">
        <v>368</v>
      </c>
      <c r="N6531" s="116"/>
      <c r="O6531" s="51"/>
    </row>
    <row r="6532">
      <c r="A6532" s="56">
        <v>6529.0</v>
      </c>
      <c r="B6532" s="71"/>
      <c r="C6532" s="79" t="s">
        <v>26275</v>
      </c>
      <c r="D6532" s="82"/>
      <c r="E6532" s="80" t="s">
        <v>26276</v>
      </c>
      <c r="F6532" s="81">
        <v>42651.0</v>
      </c>
      <c r="G6532" s="80" t="s">
        <v>26277</v>
      </c>
      <c r="H6532" s="80" t="s">
        <v>26278</v>
      </c>
      <c r="I6532" s="82"/>
      <c r="J6532" s="63" t="s">
        <v>136</v>
      </c>
      <c r="K6532" s="81">
        <v>43850.0</v>
      </c>
      <c r="L6532" s="80" t="s">
        <v>2743</v>
      </c>
      <c r="M6532" s="80" t="s">
        <v>195</v>
      </c>
      <c r="N6532" s="116"/>
      <c r="O6532" s="51"/>
    </row>
    <row r="6533">
      <c r="A6533" s="56">
        <v>6530.0</v>
      </c>
      <c r="B6533" s="71"/>
      <c r="C6533" s="69" t="s">
        <v>26279</v>
      </c>
      <c r="D6533" s="71"/>
      <c r="E6533" s="68" t="s">
        <v>19418</v>
      </c>
      <c r="F6533" s="76">
        <v>43848.0</v>
      </c>
      <c r="G6533" s="68" t="s">
        <v>26280</v>
      </c>
      <c r="H6533" s="68" t="s">
        <v>19420</v>
      </c>
      <c r="I6533" s="68" t="s">
        <v>26281</v>
      </c>
      <c r="J6533" s="68" t="s">
        <v>26282</v>
      </c>
      <c r="K6533" s="76">
        <v>43850.0</v>
      </c>
      <c r="L6533" s="68" t="s">
        <v>2743</v>
      </c>
      <c r="M6533" s="68" t="s">
        <v>31</v>
      </c>
      <c r="N6533" s="116"/>
      <c r="O6533" s="51"/>
    </row>
    <row r="6534">
      <c r="A6534" s="56">
        <v>6531.0</v>
      </c>
      <c r="B6534" s="71"/>
      <c r="C6534" s="69" t="s">
        <v>26283</v>
      </c>
      <c r="D6534" s="71"/>
      <c r="E6534" s="68" t="s">
        <v>26284</v>
      </c>
      <c r="F6534" s="76">
        <v>43805.0</v>
      </c>
      <c r="G6534" s="68" t="s">
        <v>16965</v>
      </c>
      <c r="H6534" s="68" t="s">
        <v>26285</v>
      </c>
      <c r="I6534" s="71"/>
      <c r="J6534" s="68" t="s">
        <v>26286</v>
      </c>
      <c r="K6534" s="76">
        <v>43852.0</v>
      </c>
      <c r="L6534" s="68" t="s">
        <v>14256</v>
      </c>
      <c r="M6534" s="68" t="s">
        <v>166</v>
      </c>
      <c r="N6534" s="116"/>
      <c r="O6534" s="51"/>
    </row>
    <row r="6535">
      <c r="A6535" s="56">
        <v>6532.0</v>
      </c>
      <c r="B6535" s="71"/>
      <c r="C6535" s="79" t="s">
        <v>26287</v>
      </c>
      <c r="D6535" s="82"/>
      <c r="E6535" s="80" t="s">
        <v>26288</v>
      </c>
      <c r="F6535" s="81">
        <v>42744.0</v>
      </c>
      <c r="G6535" s="80" t="s">
        <v>26289</v>
      </c>
      <c r="H6535" s="80" t="s">
        <v>26290</v>
      </c>
      <c r="I6535" s="82"/>
      <c r="J6535" s="63" t="s">
        <v>136</v>
      </c>
      <c r="K6535" s="81">
        <v>43854.0</v>
      </c>
      <c r="L6535" s="80" t="s">
        <v>2743</v>
      </c>
      <c r="M6535" s="80" t="s">
        <v>23797</v>
      </c>
      <c r="N6535" s="116"/>
      <c r="O6535" s="51"/>
    </row>
    <row r="6536">
      <c r="A6536" s="56">
        <v>6533.0</v>
      </c>
      <c r="B6536" s="71"/>
      <c r="C6536" s="69" t="s">
        <v>26291</v>
      </c>
      <c r="D6536" s="71"/>
      <c r="E6536" s="68" t="s">
        <v>26292</v>
      </c>
      <c r="F6536" s="76">
        <v>43831.0</v>
      </c>
      <c r="G6536" s="68" t="s">
        <v>26293</v>
      </c>
      <c r="H6536" s="68" t="s">
        <v>26294</v>
      </c>
      <c r="I6536" s="71"/>
      <c r="J6536" s="68" t="s">
        <v>26295</v>
      </c>
      <c r="K6536" s="76">
        <v>43854.0</v>
      </c>
      <c r="L6536" s="68" t="s">
        <v>16185</v>
      </c>
      <c r="M6536" s="68" t="s">
        <v>143</v>
      </c>
      <c r="N6536" s="116"/>
      <c r="O6536" s="51"/>
    </row>
    <row r="6537">
      <c r="A6537" s="56">
        <v>6534.0</v>
      </c>
      <c r="B6537" s="71"/>
      <c r="C6537" s="69" t="s">
        <v>26296</v>
      </c>
      <c r="D6537" s="71"/>
      <c r="E6537" s="68" t="s">
        <v>26297</v>
      </c>
      <c r="F6537" s="76">
        <v>43685.0</v>
      </c>
      <c r="G6537" s="68" t="s">
        <v>26298</v>
      </c>
      <c r="H6537" s="68" t="s">
        <v>26299</v>
      </c>
      <c r="I6537" s="71"/>
      <c r="J6537" s="68" t="s">
        <v>26300</v>
      </c>
      <c r="K6537" s="76">
        <v>43854.0</v>
      </c>
      <c r="L6537" s="68" t="s">
        <v>16185</v>
      </c>
      <c r="M6537" s="68" t="s">
        <v>31</v>
      </c>
      <c r="N6537" s="116"/>
      <c r="O6537" s="51"/>
    </row>
    <row r="6538">
      <c r="A6538" s="56">
        <v>6535.0</v>
      </c>
      <c r="B6538" s="71"/>
      <c r="C6538" s="69" t="s">
        <v>26301</v>
      </c>
      <c r="D6538" s="71"/>
      <c r="E6538" s="68" t="s">
        <v>26302</v>
      </c>
      <c r="F6538" s="76">
        <v>43847.0</v>
      </c>
      <c r="G6538" s="68" t="s">
        <v>26303</v>
      </c>
      <c r="H6538" s="68" t="s">
        <v>26304</v>
      </c>
      <c r="I6538" s="71"/>
      <c r="J6538" s="68" t="s">
        <v>26305</v>
      </c>
      <c r="K6538" s="76">
        <v>43854.0</v>
      </c>
      <c r="L6538" s="68" t="s">
        <v>2743</v>
      </c>
      <c r="M6538" s="68" t="s">
        <v>2263</v>
      </c>
      <c r="N6538" s="87" t="s">
        <v>26306</v>
      </c>
      <c r="O6538" s="51"/>
    </row>
    <row r="6539">
      <c r="A6539" s="56">
        <v>6536.0</v>
      </c>
      <c r="B6539" s="71"/>
      <c r="C6539" s="79" t="s">
        <v>26307</v>
      </c>
      <c r="D6539" s="82"/>
      <c r="E6539" s="80" t="s">
        <v>26308</v>
      </c>
      <c r="F6539" s="98">
        <v>40103.0</v>
      </c>
      <c r="G6539" s="80" t="s">
        <v>26309</v>
      </c>
      <c r="H6539" s="80" t="s">
        <v>439</v>
      </c>
      <c r="I6539" s="82"/>
      <c r="J6539" s="63" t="s">
        <v>136</v>
      </c>
      <c r="K6539" s="81">
        <v>43864.0</v>
      </c>
      <c r="L6539" s="80" t="s">
        <v>2743</v>
      </c>
      <c r="M6539" s="80" t="s">
        <v>530</v>
      </c>
      <c r="N6539" s="87" t="s">
        <v>26310</v>
      </c>
      <c r="O6539" s="51"/>
    </row>
    <row r="6540">
      <c r="A6540" s="75">
        <v>6537.0</v>
      </c>
      <c r="B6540" s="71"/>
      <c r="C6540" s="69" t="s">
        <v>26311</v>
      </c>
      <c r="D6540" s="71"/>
      <c r="E6540" s="68" t="s">
        <v>26312</v>
      </c>
      <c r="F6540" s="76">
        <v>43440.0</v>
      </c>
      <c r="G6540" s="68" t="s">
        <v>26313</v>
      </c>
      <c r="H6540" s="68" t="s">
        <v>26314</v>
      </c>
      <c r="I6540" s="71"/>
      <c r="J6540" s="68" t="s">
        <v>26315</v>
      </c>
      <c r="K6540" s="76">
        <v>43864.0</v>
      </c>
      <c r="L6540" s="68" t="s">
        <v>2743</v>
      </c>
      <c r="M6540" s="68" t="s">
        <v>27</v>
      </c>
      <c r="N6540" s="116"/>
      <c r="O6540" s="51"/>
    </row>
    <row r="6541">
      <c r="A6541" s="56">
        <v>6538.0</v>
      </c>
      <c r="B6541" s="71"/>
      <c r="C6541" s="79" t="s">
        <v>26316</v>
      </c>
      <c r="D6541" s="82"/>
      <c r="E6541" s="80" t="s">
        <v>26317</v>
      </c>
      <c r="F6541" s="81">
        <v>41781.0</v>
      </c>
      <c r="G6541" s="80" t="s">
        <v>26318</v>
      </c>
      <c r="H6541" s="80" t="s">
        <v>26319</v>
      </c>
      <c r="I6541" s="82"/>
      <c r="J6541" s="63" t="s">
        <v>136</v>
      </c>
      <c r="K6541" s="81">
        <v>43864.0</v>
      </c>
      <c r="L6541" s="80" t="s">
        <v>2743</v>
      </c>
      <c r="M6541" s="80" t="s">
        <v>27</v>
      </c>
      <c r="N6541" s="116"/>
      <c r="O6541" s="51"/>
    </row>
    <row r="6542">
      <c r="A6542" s="56">
        <v>6539.0</v>
      </c>
      <c r="B6542" s="71"/>
      <c r="C6542" s="79" t="s">
        <v>26320</v>
      </c>
      <c r="D6542" s="82"/>
      <c r="E6542" s="80" t="s">
        <v>26321</v>
      </c>
      <c r="F6542" s="81">
        <v>42561.0</v>
      </c>
      <c r="G6542" s="80" t="s">
        <v>26322</v>
      </c>
      <c r="H6542" s="80" t="s">
        <v>26323</v>
      </c>
      <c r="I6542" s="82"/>
      <c r="J6542" s="63" t="s">
        <v>136</v>
      </c>
      <c r="K6542" s="81">
        <v>43864.0</v>
      </c>
      <c r="L6542" s="80" t="s">
        <v>2743</v>
      </c>
      <c r="M6542" s="80" t="s">
        <v>143</v>
      </c>
      <c r="N6542" s="116"/>
      <c r="O6542" s="51"/>
    </row>
    <row r="6543">
      <c r="A6543" s="56">
        <v>6540.0</v>
      </c>
      <c r="B6543" s="71"/>
      <c r="C6543" s="69" t="s">
        <v>26324</v>
      </c>
      <c r="D6543" s="71"/>
      <c r="E6543" s="68" t="s">
        <v>26325</v>
      </c>
      <c r="F6543" s="76">
        <v>43853.0</v>
      </c>
      <c r="G6543" s="68" t="s">
        <v>26326</v>
      </c>
      <c r="H6543" s="68" t="s">
        <v>26327</v>
      </c>
      <c r="I6543" s="68" t="s">
        <v>26328</v>
      </c>
      <c r="J6543" s="68" t="s">
        <v>26329</v>
      </c>
      <c r="K6543" s="76">
        <v>43865.0</v>
      </c>
      <c r="L6543" s="68" t="s">
        <v>2743</v>
      </c>
      <c r="M6543" s="68" t="s">
        <v>166</v>
      </c>
      <c r="N6543" s="116"/>
      <c r="O6543" s="51"/>
    </row>
    <row r="6544">
      <c r="A6544" s="56">
        <v>6541.0</v>
      </c>
      <c r="B6544" s="71"/>
      <c r="C6544" s="79" t="s">
        <v>26330</v>
      </c>
      <c r="D6544" s="82"/>
      <c r="E6544" s="80" t="s">
        <v>26331</v>
      </c>
      <c r="F6544" s="81">
        <v>41536.0</v>
      </c>
      <c r="G6544" s="80" t="s">
        <v>26332</v>
      </c>
      <c r="H6544" s="82"/>
      <c r="I6544" s="82"/>
      <c r="J6544" s="63" t="s">
        <v>136</v>
      </c>
      <c r="K6544" s="81">
        <v>43865.0</v>
      </c>
      <c r="L6544" s="80" t="s">
        <v>2743</v>
      </c>
      <c r="M6544" s="80" t="s">
        <v>530</v>
      </c>
      <c r="N6544" s="116"/>
      <c r="O6544" s="51"/>
    </row>
    <row r="6545">
      <c r="A6545" s="75">
        <v>6542.0</v>
      </c>
      <c r="B6545" s="71"/>
      <c r="C6545" s="69" t="s">
        <v>26333</v>
      </c>
      <c r="D6545" s="71"/>
      <c r="E6545" s="68" t="s">
        <v>26334</v>
      </c>
      <c r="F6545" s="83">
        <v>43791.0</v>
      </c>
      <c r="G6545" s="68" t="s">
        <v>26335</v>
      </c>
      <c r="H6545" s="68" t="s">
        <v>26336</v>
      </c>
      <c r="I6545" s="71"/>
      <c r="J6545" s="68" t="s">
        <v>26337</v>
      </c>
      <c r="K6545" s="76">
        <v>43865.0</v>
      </c>
      <c r="L6545" s="68" t="s">
        <v>16585</v>
      </c>
      <c r="M6545" s="68" t="s">
        <v>166</v>
      </c>
      <c r="N6545" s="116"/>
      <c r="O6545" s="51"/>
    </row>
    <row r="6546">
      <c r="A6546" s="75">
        <v>6543.0</v>
      </c>
      <c r="B6546" s="71"/>
      <c r="C6546" s="69" t="s">
        <v>26338</v>
      </c>
      <c r="D6546" s="71"/>
      <c r="E6546" s="68" t="s">
        <v>26339</v>
      </c>
      <c r="F6546" s="76">
        <v>43556.0</v>
      </c>
      <c r="G6546" s="68" t="s">
        <v>26340</v>
      </c>
      <c r="H6546" s="68" t="s">
        <v>26341</v>
      </c>
      <c r="I6546" s="71"/>
      <c r="J6546" s="68" t="s">
        <v>26342</v>
      </c>
      <c r="K6546" s="76">
        <v>43865.0</v>
      </c>
      <c r="L6546" s="68" t="s">
        <v>2743</v>
      </c>
      <c r="M6546" s="68" t="s">
        <v>26343</v>
      </c>
      <c r="N6546" s="116"/>
      <c r="O6546" s="51"/>
    </row>
    <row r="6547">
      <c r="A6547" s="56">
        <v>6544.0</v>
      </c>
      <c r="B6547" s="71"/>
      <c r="C6547" s="79" t="s">
        <v>26344</v>
      </c>
      <c r="D6547" s="82"/>
      <c r="E6547" s="80" t="s">
        <v>26345</v>
      </c>
      <c r="F6547" s="81">
        <v>40326.0</v>
      </c>
      <c r="G6547" s="80" t="s">
        <v>26346</v>
      </c>
      <c r="H6547" s="80" t="s">
        <v>26347</v>
      </c>
      <c r="I6547" s="82"/>
      <c r="J6547" s="63" t="s">
        <v>136</v>
      </c>
      <c r="K6547" s="81">
        <v>43865.0</v>
      </c>
      <c r="L6547" s="80" t="s">
        <v>2743</v>
      </c>
      <c r="M6547" s="80" t="s">
        <v>125</v>
      </c>
      <c r="N6547" s="116"/>
      <c r="O6547" s="51"/>
    </row>
    <row r="6548">
      <c r="A6548" s="56">
        <v>6545.0</v>
      </c>
      <c r="B6548" s="71"/>
      <c r="C6548" s="69" t="s">
        <v>26348</v>
      </c>
      <c r="D6548" s="71"/>
      <c r="E6548" s="68" t="s">
        <v>26349</v>
      </c>
      <c r="F6548" s="83">
        <v>43794.0</v>
      </c>
      <c r="G6548" s="68" t="s">
        <v>26350</v>
      </c>
      <c r="H6548" s="68" t="s">
        <v>26351</v>
      </c>
      <c r="I6548" s="71"/>
      <c r="J6548" s="68" t="s">
        <v>26352</v>
      </c>
      <c r="K6548" s="76">
        <v>43865.0</v>
      </c>
      <c r="L6548" s="68" t="s">
        <v>2743</v>
      </c>
      <c r="M6548" s="68" t="s">
        <v>4749</v>
      </c>
      <c r="N6548" s="116"/>
      <c r="O6548" s="51"/>
    </row>
    <row r="6549">
      <c r="A6549" s="75">
        <v>6546.0</v>
      </c>
      <c r="B6549" s="71"/>
      <c r="C6549" s="69" t="s">
        <v>26353</v>
      </c>
      <c r="D6549" s="71"/>
      <c r="E6549" s="68" t="s">
        <v>26354</v>
      </c>
      <c r="F6549" s="76">
        <v>42762.0</v>
      </c>
      <c r="G6549" s="68" t="s">
        <v>26355</v>
      </c>
      <c r="H6549" s="68" t="s">
        <v>26356</v>
      </c>
      <c r="I6549" s="71"/>
      <c r="J6549" s="68" t="s">
        <v>26357</v>
      </c>
      <c r="K6549" s="76">
        <v>43865.0</v>
      </c>
      <c r="L6549" s="68" t="s">
        <v>2743</v>
      </c>
      <c r="M6549" s="68" t="s">
        <v>4749</v>
      </c>
      <c r="N6549" s="116"/>
      <c r="O6549" s="51"/>
    </row>
    <row r="6550">
      <c r="A6550" s="56">
        <v>6547.0</v>
      </c>
      <c r="B6550" s="71"/>
      <c r="C6550" s="79" t="s">
        <v>26358</v>
      </c>
      <c r="D6550" s="82"/>
      <c r="E6550" s="80" t="s">
        <v>26359</v>
      </c>
      <c r="F6550" s="81">
        <v>42594.0</v>
      </c>
      <c r="G6550" s="80" t="s">
        <v>26360</v>
      </c>
      <c r="H6550" s="80" t="s">
        <v>26361</v>
      </c>
      <c r="I6550" s="80" t="s">
        <v>26362</v>
      </c>
      <c r="J6550" s="63" t="s">
        <v>136</v>
      </c>
      <c r="K6550" s="81">
        <v>43868.0</v>
      </c>
      <c r="L6550" s="80" t="s">
        <v>2743</v>
      </c>
      <c r="M6550" s="80" t="s">
        <v>125</v>
      </c>
      <c r="N6550" s="116"/>
      <c r="O6550" s="51"/>
    </row>
    <row r="6551">
      <c r="A6551" s="56">
        <v>6548.0</v>
      </c>
      <c r="B6551" s="71"/>
      <c r="C6551" s="79" t="s">
        <v>26363</v>
      </c>
      <c r="D6551" s="82"/>
      <c r="E6551" s="80" t="s">
        <v>26364</v>
      </c>
      <c r="F6551" s="81">
        <v>43166.0</v>
      </c>
      <c r="G6551" s="80" t="s">
        <v>26365</v>
      </c>
      <c r="H6551" s="80" t="s">
        <v>26366</v>
      </c>
      <c r="I6551" s="82"/>
      <c r="J6551" s="63" t="s">
        <v>136</v>
      </c>
      <c r="K6551" s="81">
        <v>43869.0</v>
      </c>
      <c r="L6551" s="80" t="s">
        <v>2743</v>
      </c>
      <c r="M6551" s="80" t="s">
        <v>542</v>
      </c>
      <c r="N6551" s="116"/>
      <c r="O6551" s="51"/>
    </row>
    <row r="6552">
      <c r="A6552" s="56">
        <v>6549.0</v>
      </c>
      <c r="B6552" s="71"/>
      <c r="C6552" s="69" t="s">
        <v>26367</v>
      </c>
      <c r="D6552" s="71"/>
      <c r="E6552" s="68" t="s">
        <v>26368</v>
      </c>
      <c r="F6552" s="76">
        <v>43632.0</v>
      </c>
      <c r="G6552" s="68" t="s">
        <v>26369</v>
      </c>
      <c r="H6552" s="68" t="s">
        <v>26370</v>
      </c>
      <c r="I6552" s="68" t="s">
        <v>26371</v>
      </c>
      <c r="J6552" s="68" t="s">
        <v>26372</v>
      </c>
      <c r="K6552" s="76">
        <v>43869.0</v>
      </c>
      <c r="L6552" s="68" t="s">
        <v>2743</v>
      </c>
      <c r="M6552" s="68" t="s">
        <v>10279</v>
      </c>
      <c r="N6552" s="116"/>
      <c r="O6552" s="51"/>
    </row>
    <row r="6553">
      <c r="A6553" s="56">
        <v>6550.0</v>
      </c>
      <c r="B6553" s="71"/>
      <c r="C6553" s="79" t="s">
        <v>26373</v>
      </c>
      <c r="D6553" s="82"/>
      <c r="E6553" s="80" t="s">
        <v>26374</v>
      </c>
      <c r="F6553" s="81">
        <v>42568.0</v>
      </c>
      <c r="G6553" s="80" t="s">
        <v>26375</v>
      </c>
      <c r="H6553" s="80" t="s">
        <v>26376</v>
      </c>
      <c r="I6553" s="80" t="s">
        <v>26377</v>
      </c>
      <c r="J6553" s="63" t="s">
        <v>136</v>
      </c>
      <c r="K6553" s="81">
        <v>43869.0</v>
      </c>
      <c r="L6553" s="80" t="s">
        <v>2743</v>
      </c>
      <c r="M6553" s="80" t="s">
        <v>149</v>
      </c>
      <c r="N6553" s="116"/>
      <c r="O6553" s="51"/>
    </row>
    <row r="6554">
      <c r="A6554" s="56">
        <v>6551.0</v>
      </c>
      <c r="B6554" s="71"/>
      <c r="C6554" s="69" t="s">
        <v>26378</v>
      </c>
      <c r="D6554" s="71"/>
      <c r="E6554" s="68" t="s">
        <v>26379</v>
      </c>
      <c r="F6554" s="76">
        <v>43848.0</v>
      </c>
      <c r="G6554" s="68" t="s">
        <v>26380</v>
      </c>
      <c r="H6554" s="68" t="s">
        <v>26381</v>
      </c>
      <c r="I6554" s="68" t="s">
        <v>26382</v>
      </c>
      <c r="J6554" s="68" t="s">
        <v>26383</v>
      </c>
      <c r="K6554" s="76">
        <v>43869.0</v>
      </c>
      <c r="L6554" s="68" t="s">
        <v>2743</v>
      </c>
      <c r="M6554" s="68" t="s">
        <v>31</v>
      </c>
      <c r="N6554" s="116"/>
      <c r="O6554" s="51"/>
    </row>
    <row r="6555">
      <c r="A6555" s="56">
        <v>6552.0</v>
      </c>
      <c r="B6555" s="71"/>
      <c r="C6555" s="79" t="s">
        <v>26384</v>
      </c>
      <c r="D6555" s="82"/>
      <c r="E6555" s="80" t="s">
        <v>26385</v>
      </c>
      <c r="F6555" s="81">
        <v>39995.0</v>
      </c>
      <c r="G6555" s="80" t="s">
        <v>26386</v>
      </c>
      <c r="H6555" s="80" t="s">
        <v>26387</v>
      </c>
      <c r="I6555" s="82"/>
      <c r="J6555" s="63" t="s">
        <v>136</v>
      </c>
      <c r="K6555" s="81">
        <v>43869.0</v>
      </c>
      <c r="L6555" s="80" t="s">
        <v>2743</v>
      </c>
      <c r="M6555" s="80" t="s">
        <v>166</v>
      </c>
      <c r="N6555" s="116"/>
      <c r="O6555" s="51"/>
    </row>
    <row r="6556">
      <c r="A6556" s="56">
        <v>6553.0</v>
      </c>
      <c r="B6556" s="71"/>
      <c r="C6556" s="79" t="s">
        <v>26388</v>
      </c>
      <c r="D6556" s="82"/>
      <c r="E6556" s="80" t="s">
        <v>26389</v>
      </c>
      <c r="F6556" s="81">
        <v>28672.0</v>
      </c>
      <c r="G6556" s="80" t="s">
        <v>26390</v>
      </c>
      <c r="H6556" s="82"/>
      <c r="I6556" s="82"/>
      <c r="J6556" s="63" t="s">
        <v>136</v>
      </c>
      <c r="K6556" s="81">
        <v>43872.0</v>
      </c>
      <c r="L6556" s="80" t="s">
        <v>2743</v>
      </c>
      <c r="M6556" s="80" t="s">
        <v>2989</v>
      </c>
      <c r="N6556" s="116"/>
      <c r="O6556" s="51"/>
    </row>
    <row r="6557">
      <c r="A6557" s="56">
        <v>6554.0</v>
      </c>
      <c r="B6557" s="71"/>
      <c r="C6557" s="79" t="s">
        <v>26391</v>
      </c>
      <c r="D6557" s="82"/>
      <c r="E6557" s="80" t="s">
        <v>26392</v>
      </c>
      <c r="F6557" s="81">
        <v>43660.0</v>
      </c>
      <c r="G6557" s="80" t="s">
        <v>26393</v>
      </c>
      <c r="H6557" s="80" t="s">
        <v>26394</v>
      </c>
      <c r="I6557" s="82"/>
      <c r="J6557" s="63" t="s">
        <v>136</v>
      </c>
      <c r="K6557" s="81">
        <v>43872.0</v>
      </c>
      <c r="L6557" s="80" t="s">
        <v>2743</v>
      </c>
      <c r="M6557" s="80" t="s">
        <v>542</v>
      </c>
      <c r="N6557" s="116"/>
      <c r="O6557" s="51"/>
    </row>
    <row r="6558">
      <c r="A6558" s="75">
        <v>6555.0</v>
      </c>
      <c r="B6558" s="71"/>
      <c r="C6558" s="69" t="s">
        <v>26395</v>
      </c>
      <c r="D6558" s="71"/>
      <c r="E6558" s="68" t="s">
        <v>26396</v>
      </c>
      <c r="F6558" s="76">
        <v>43301.0</v>
      </c>
      <c r="G6558" s="68" t="s">
        <v>26397</v>
      </c>
      <c r="H6558" s="68" t="s">
        <v>26398</v>
      </c>
      <c r="I6558" s="68" t="s">
        <v>26399</v>
      </c>
      <c r="J6558" s="68" t="s">
        <v>26400</v>
      </c>
      <c r="K6558" s="76">
        <v>43874.0</v>
      </c>
      <c r="L6558" s="68" t="s">
        <v>2743</v>
      </c>
      <c r="M6558" s="68" t="s">
        <v>403</v>
      </c>
      <c r="N6558" s="116"/>
      <c r="O6558" s="51"/>
    </row>
    <row r="6559">
      <c r="A6559" s="56">
        <v>6556.0</v>
      </c>
      <c r="B6559" s="71"/>
      <c r="C6559" s="79" t="s">
        <v>26401</v>
      </c>
      <c r="D6559" s="82"/>
      <c r="E6559" s="80" t="s">
        <v>26402</v>
      </c>
      <c r="F6559" s="81">
        <v>41812.0</v>
      </c>
      <c r="G6559" s="80" t="s">
        <v>26403</v>
      </c>
      <c r="H6559" s="80" t="s">
        <v>26404</v>
      </c>
      <c r="I6559" s="82"/>
      <c r="J6559" s="63" t="s">
        <v>136</v>
      </c>
      <c r="K6559" s="81">
        <v>43874.0</v>
      </c>
      <c r="L6559" s="80" t="s">
        <v>2743</v>
      </c>
      <c r="M6559" s="80" t="s">
        <v>143</v>
      </c>
      <c r="N6559" s="116"/>
      <c r="O6559" s="51"/>
    </row>
    <row r="6560">
      <c r="A6560" s="56">
        <v>6557.0</v>
      </c>
      <c r="B6560" s="71"/>
      <c r="C6560" s="79" t="s">
        <v>26405</v>
      </c>
      <c r="D6560" s="82"/>
      <c r="E6560" s="80" t="s">
        <v>26406</v>
      </c>
      <c r="F6560" s="81">
        <v>42651.0</v>
      </c>
      <c r="G6560" s="80" t="s">
        <v>26407</v>
      </c>
      <c r="H6560" s="80" t="s">
        <v>26408</v>
      </c>
      <c r="I6560" s="82"/>
      <c r="J6560" s="63" t="s">
        <v>136</v>
      </c>
      <c r="K6560" s="81">
        <v>43874.0</v>
      </c>
      <c r="L6560" s="80" t="s">
        <v>20958</v>
      </c>
      <c r="M6560" s="80" t="s">
        <v>27</v>
      </c>
      <c r="N6560" s="116"/>
      <c r="O6560" s="51"/>
    </row>
    <row r="6561">
      <c r="A6561" s="75">
        <v>6558.0</v>
      </c>
      <c r="B6561" s="71"/>
      <c r="C6561" s="69" t="s">
        <v>26409</v>
      </c>
      <c r="D6561" s="71"/>
      <c r="E6561" s="68" t="s">
        <v>26410</v>
      </c>
      <c r="F6561" s="76">
        <v>43742.0</v>
      </c>
      <c r="G6561" s="68" t="s">
        <v>26411</v>
      </c>
      <c r="H6561" s="68" t="s">
        <v>26412</v>
      </c>
      <c r="I6561" s="71"/>
      <c r="J6561" s="68" t="s">
        <v>26413</v>
      </c>
      <c r="K6561" s="76">
        <v>43874.0</v>
      </c>
      <c r="L6561" s="68" t="s">
        <v>2743</v>
      </c>
      <c r="M6561" s="68" t="s">
        <v>26343</v>
      </c>
      <c r="N6561" s="116"/>
      <c r="O6561" s="51"/>
    </row>
    <row r="6562">
      <c r="A6562" s="56">
        <v>6559.0</v>
      </c>
      <c r="B6562" s="71"/>
      <c r="C6562" s="69" t="s">
        <v>26414</v>
      </c>
      <c r="D6562" s="71"/>
      <c r="E6562" s="68" t="s">
        <v>26415</v>
      </c>
      <c r="F6562" s="83">
        <v>43068.0</v>
      </c>
      <c r="G6562" s="68" t="s">
        <v>26416</v>
      </c>
      <c r="H6562" s="68" t="s">
        <v>26417</v>
      </c>
      <c r="I6562" s="71"/>
      <c r="J6562" s="68" t="s">
        <v>26418</v>
      </c>
      <c r="K6562" s="76">
        <v>43876.0</v>
      </c>
      <c r="L6562" s="68" t="s">
        <v>2743</v>
      </c>
      <c r="M6562" s="68" t="s">
        <v>149</v>
      </c>
      <c r="N6562" s="116"/>
      <c r="O6562" s="51"/>
    </row>
    <row r="6563">
      <c r="A6563" s="56">
        <v>6560.0</v>
      </c>
      <c r="B6563" s="71"/>
      <c r="C6563" s="79" t="s">
        <v>26419</v>
      </c>
      <c r="D6563" s="82"/>
      <c r="E6563" s="80" t="s">
        <v>26420</v>
      </c>
      <c r="F6563" s="81">
        <v>43691.0</v>
      </c>
      <c r="G6563" s="80" t="s">
        <v>26421</v>
      </c>
      <c r="H6563" s="80" t="s">
        <v>26422</v>
      </c>
      <c r="I6563" s="82"/>
      <c r="J6563" s="63" t="s">
        <v>136</v>
      </c>
      <c r="K6563" s="81">
        <v>43876.0</v>
      </c>
      <c r="L6563" s="80" t="s">
        <v>2743</v>
      </c>
      <c r="M6563" s="80" t="s">
        <v>3528</v>
      </c>
      <c r="N6563" s="116"/>
      <c r="O6563" s="51"/>
    </row>
    <row r="6564">
      <c r="A6564" s="56">
        <v>6561.0</v>
      </c>
      <c r="B6564" s="71"/>
      <c r="C6564" s="69" t="s">
        <v>26423</v>
      </c>
      <c r="D6564" s="71"/>
      <c r="E6564" s="68" t="s">
        <v>26424</v>
      </c>
      <c r="F6564" s="76">
        <v>43846.0</v>
      </c>
      <c r="G6564" s="68" t="s">
        <v>26425</v>
      </c>
      <c r="H6564" s="68" t="s">
        <v>26426</v>
      </c>
      <c r="I6564" s="71"/>
      <c r="J6564" s="68" t="s">
        <v>26427</v>
      </c>
      <c r="K6564" s="76">
        <v>43878.0</v>
      </c>
      <c r="L6564" s="68" t="s">
        <v>2743</v>
      </c>
      <c r="M6564" s="68" t="s">
        <v>125</v>
      </c>
      <c r="N6564" s="116"/>
      <c r="O6564" s="51"/>
    </row>
    <row r="6565">
      <c r="A6565" s="56">
        <v>6562.0</v>
      </c>
      <c r="B6565" s="71"/>
      <c r="C6565" s="69" t="s">
        <v>26428</v>
      </c>
      <c r="D6565" s="71"/>
      <c r="E6565" s="68" t="s">
        <v>26429</v>
      </c>
      <c r="F6565" s="76">
        <v>42887.0</v>
      </c>
      <c r="G6565" s="68" t="s">
        <v>26430</v>
      </c>
      <c r="H6565" s="68" t="s">
        <v>26431</v>
      </c>
      <c r="I6565" s="71"/>
      <c r="J6565" s="68" t="s">
        <v>26432</v>
      </c>
      <c r="K6565" s="76">
        <v>43878.0</v>
      </c>
      <c r="L6565" s="68" t="s">
        <v>2743</v>
      </c>
      <c r="M6565" s="68" t="s">
        <v>125</v>
      </c>
      <c r="N6565" s="116"/>
      <c r="O6565" s="51"/>
    </row>
    <row r="6566">
      <c r="A6566" s="56">
        <v>6563.0</v>
      </c>
      <c r="B6566" s="71"/>
      <c r="C6566" s="79" t="s">
        <v>26433</v>
      </c>
      <c r="D6566" s="82"/>
      <c r="E6566" s="80" t="s">
        <v>26434</v>
      </c>
      <c r="F6566" s="81">
        <v>41852.0</v>
      </c>
      <c r="G6566" s="80" t="s">
        <v>26435</v>
      </c>
      <c r="H6566" s="80" t="s">
        <v>26436</v>
      </c>
      <c r="I6566" s="82"/>
      <c r="J6566" s="63" t="s">
        <v>136</v>
      </c>
      <c r="K6566" s="81">
        <v>43878.0</v>
      </c>
      <c r="L6566" s="80" t="s">
        <v>2743</v>
      </c>
      <c r="M6566" s="80" t="s">
        <v>941</v>
      </c>
      <c r="N6566" s="116"/>
      <c r="O6566" s="51"/>
    </row>
    <row r="6567">
      <c r="A6567" s="56">
        <v>6564.0</v>
      </c>
      <c r="B6567" s="71"/>
      <c r="C6567" s="69" t="s">
        <v>26437</v>
      </c>
      <c r="D6567" s="71"/>
      <c r="E6567" s="68" t="s">
        <v>26438</v>
      </c>
      <c r="F6567" s="83">
        <v>43823.0</v>
      </c>
      <c r="G6567" s="68" t="s">
        <v>26439</v>
      </c>
      <c r="H6567" s="68" t="s">
        <v>26440</v>
      </c>
      <c r="I6567" s="71"/>
      <c r="J6567" s="68" t="s">
        <v>26441</v>
      </c>
      <c r="K6567" s="76">
        <v>43879.0</v>
      </c>
      <c r="L6567" s="68" t="s">
        <v>2743</v>
      </c>
      <c r="M6567" s="68" t="s">
        <v>31</v>
      </c>
      <c r="N6567" s="116"/>
      <c r="O6567" s="51"/>
    </row>
    <row r="6568">
      <c r="A6568" s="56">
        <v>6565.0</v>
      </c>
      <c r="B6568" s="71"/>
      <c r="C6568" s="79" t="s">
        <v>26442</v>
      </c>
      <c r="D6568" s="82"/>
      <c r="E6568" s="80" t="s">
        <v>26443</v>
      </c>
      <c r="F6568" s="81">
        <v>42797.0</v>
      </c>
      <c r="G6568" s="80" t="s">
        <v>24642</v>
      </c>
      <c r="H6568" s="80" t="s">
        <v>26444</v>
      </c>
      <c r="I6568" s="80" t="s">
        <v>26445</v>
      </c>
      <c r="J6568" s="63" t="s">
        <v>136</v>
      </c>
      <c r="K6568" s="81">
        <v>43880.0</v>
      </c>
      <c r="L6568" s="80" t="s">
        <v>2743</v>
      </c>
      <c r="M6568" s="80" t="s">
        <v>18576</v>
      </c>
      <c r="N6568" s="116"/>
      <c r="O6568" s="51"/>
    </row>
    <row r="6569">
      <c r="A6569" s="75">
        <v>6566.0</v>
      </c>
      <c r="B6569" s="71"/>
      <c r="C6569" s="69" t="s">
        <v>26446</v>
      </c>
      <c r="D6569" s="71"/>
      <c r="E6569" s="68" t="s">
        <v>26447</v>
      </c>
      <c r="F6569" s="76">
        <v>43804.0</v>
      </c>
      <c r="G6569" s="68" t="s">
        <v>26448</v>
      </c>
      <c r="H6569" s="68" t="s">
        <v>26449</v>
      </c>
      <c r="I6569" s="71"/>
      <c r="J6569" s="68" t="s">
        <v>26450</v>
      </c>
      <c r="K6569" s="76">
        <v>43880.0</v>
      </c>
      <c r="L6569" s="68" t="s">
        <v>2743</v>
      </c>
      <c r="M6569" s="68" t="s">
        <v>143</v>
      </c>
      <c r="N6569" s="116"/>
      <c r="O6569" s="51"/>
    </row>
    <row r="6570">
      <c r="A6570" s="75">
        <v>6567.0</v>
      </c>
      <c r="B6570" s="71"/>
      <c r="C6570" s="69" t="s">
        <v>26451</v>
      </c>
      <c r="D6570" s="71"/>
      <c r="E6570" s="68" t="s">
        <v>26452</v>
      </c>
      <c r="F6570" s="76">
        <v>43805.0</v>
      </c>
      <c r="G6570" s="68" t="s">
        <v>26448</v>
      </c>
      <c r="H6570" s="68" t="s">
        <v>26453</v>
      </c>
      <c r="I6570" s="68" t="s">
        <v>26454</v>
      </c>
      <c r="J6570" s="68" t="s">
        <v>26455</v>
      </c>
      <c r="K6570" s="76">
        <v>43880.0</v>
      </c>
      <c r="L6570" s="68" t="s">
        <v>2743</v>
      </c>
      <c r="M6570" s="68" t="s">
        <v>31</v>
      </c>
      <c r="N6570" s="116"/>
      <c r="O6570" s="51"/>
    </row>
    <row r="6571">
      <c r="A6571" s="75">
        <v>6568.0</v>
      </c>
      <c r="B6571" s="71"/>
      <c r="C6571" s="69" t="s">
        <v>26456</v>
      </c>
      <c r="D6571" s="71"/>
      <c r="E6571" s="68" t="s">
        <v>26457</v>
      </c>
      <c r="F6571" s="83">
        <v>43419.0</v>
      </c>
      <c r="G6571" s="68" t="s">
        <v>26458</v>
      </c>
      <c r="H6571" s="68" t="s">
        <v>26459</v>
      </c>
      <c r="I6571" s="71"/>
      <c r="J6571" s="68" t="s">
        <v>26460</v>
      </c>
      <c r="K6571" s="76">
        <v>43881.0</v>
      </c>
      <c r="L6571" s="68" t="s">
        <v>2743</v>
      </c>
      <c r="M6571" s="68" t="s">
        <v>27</v>
      </c>
      <c r="N6571" s="116"/>
      <c r="O6571" s="51"/>
    </row>
    <row r="6572">
      <c r="A6572" s="75">
        <v>6569.0</v>
      </c>
      <c r="B6572" s="71"/>
      <c r="C6572" s="69" t="s">
        <v>26461</v>
      </c>
      <c r="D6572" s="71"/>
      <c r="E6572" s="68" t="s">
        <v>26462</v>
      </c>
      <c r="F6572" s="83">
        <v>39047.0</v>
      </c>
      <c r="G6572" s="68" t="s">
        <v>26463</v>
      </c>
      <c r="H6572" s="68" t="s">
        <v>26464</v>
      </c>
      <c r="I6572" s="71"/>
      <c r="J6572" s="68" t="s">
        <v>26465</v>
      </c>
      <c r="K6572" s="76">
        <v>43881.0</v>
      </c>
      <c r="L6572" s="68" t="s">
        <v>2743</v>
      </c>
      <c r="M6572" s="68" t="s">
        <v>2989</v>
      </c>
      <c r="N6572" s="116"/>
      <c r="O6572" s="51"/>
    </row>
    <row r="6573">
      <c r="A6573" s="56">
        <v>6570.0</v>
      </c>
      <c r="B6573" s="71"/>
      <c r="C6573" s="69" t="s">
        <v>26466</v>
      </c>
      <c r="D6573" s="71"/>
      <c r="E6573" s="68" t="s">
        <v>26467</v>
      </c>
      <c r="F6573" s="83">
        <v>43766.0</v>
      </c>
      <c r="G6573" s="68" t="s">
        <v>26468</v>
      </c>
      <c r="H6573" s="68" t="s">
        <v>26469</v>
      </c>
      <c r="I6573" s="71"/>
      <c r="J6573" s="68" t="s">
        <v>26470</v>
      </c>
      <c r="K6573" s="76">
        <v>43881.0</v>
      </c>
      <c r="L6573" s="68" t="s">
        <v>2743</v>
      </c>
      <c r="M6573" s="68" t="s">
        <v>282</v>
      </c>
      <c r="N6573" s="116"/>
      <c r="O6573" s="51"/>
    </row>
    <row r="6574">
      <c r="A6574" s="56">
        <v>6571.0</v>
      </c>
      <c r="B6574" s="71"/>
      <c r="C6574" s="79" t="s">
        <v>26471</v>
      </c>
      <c r="D6574" s="82"/>
      <c r="E6574" s="80" t="s">
        <v>26472</v>
      </c>
      <c r="F6574" s="81">
        <v>40513.0</v>
      </c>
      <c r="G6574" s="80" t="s">
        <v>26473</v>
      </c>
      <c r="H6574" s="80" t="s">
        <v>26474</v>
      </c>
      <c r="I6574" s="80" t="s">
        <v>26475</v>
      </c>
      <c r="J6574" s="63" t="s">
        <v>136</v>
      </c>
      <c r="K6574" s="81">
        <v>43881.0</v>
      </c>
      <c r="L6574" s="80" t="s">
        <v>2743</v>
      </c>
      <c r="M6574" s="80" t="s">
        <v>125</v>
      </c>
      <c r="N6574" s="116"/>
      <c r="O6574" s="51"/>
    </row>
    <row r="6575">
      <c r="A6575" s="56">
        <v>6572.0</v>
      </c>
      <c r="B6575" s="71"/>
      <c r="C6575" s="79" t="s">
        <v>26476</v>
      </c>
      <c r="D6575" s="82"/>
      <c r="E6575" s="80" t="s">
        <v>26477</v>
      </c>
      <c r="F6575" s="81">
        <v>43070.0</v>
      </c>
      <c r="G6575" s="80" t="s">
        <v>26478</v>
      </c>
      <c r="H6575" s="80" t="s">
        <v>26479</v>
      </c>
      <c r="I6575" s="71"/>
      <c r="J6575" s="63" t="s">
        <v>136</v>
      </c>
      <c r="K6575" s="81">
        <v>43881.0</v>
      </c>
      <c r="L6575" s="80" t="s">
        <v>2743</v>
      </c>
      <c r="M6575" s="80" t="s">
        <v>530</v>
      </c>
      <c r="N6575" s="116"/>
      <c r="O6575" s="51"/>
    </row>
    <row r="6576">
      <c r="A6576" s="56">
        <v>6573.0</v>
      </c>
      <c r="B6576" s="71"/>
      <c r="C6576" s="79" t="s">
        <v>26480</v>
      </c>
      <c r="D6576" s="82"/>
      <c r="E6576" s="80" t="s">
        <v>26481</v>
      </c>
      <c r="F6576" s="81">
        <v>43860.0</v>
      </c>
      <c r="G6576" s="80" t="s">
        <v>26482</v>
      </c>
      <c r="H6576" s="80" t="s">
        <v>26483</v>
      </c>
      <c r="I6576" s="80" t="s">
        <v>26484</v>
      </c>
      <c r="J6576" s="63" t="s">
        <v>136</v>
      </c>
      <c r="K6576" s="81">
        <v>43882.0</v>
      </c>
      <c r="L6576" s="80" t="s">
        <v>2743</v>
      </c>
      <c r="M6576" s="80" t="s">
        <v>2527</v>
      </c>
      <c r="N6576" s="116"/>
      <c r="O6576" s="51"/>
    </row>
    <row r="6577">
      <c r="A6577" s="56">
        <v>6574.0</v>
      </c>
      <c r="B6577" s="71"/>
      <c r="C6577" s="69" t="s">
        <v>26485</v>
      </c>
      <c r="D6577" s="71"/>
      <c r="E6577" s="68" t="s">
        <v>26486</v>
      </c>
      <c r="F6577" s="76">
        <v>43859.0</v>
      </c>
      <c r="G6577" s="68" t="s">
        <v>26487</v>
      </c>
      <c r="H6577" s="68" t="s">
        <v>26488</v>
      </c>
      <c r="I6577" s="71"/>
      <c r="J6577" s="68" t="s">
        <v>26489</v>
      </c>
      <c r="K6577" s="76">
        <v>43885.0</v>
      </c>
      <c r="L6577" s="68" t="s">
        <v>2743</v>
      </c>
      <c r="M6577" s="68" t="s">
        <v>143</v>
      </c>
      <c r="N6577" s="116"/>
      <c r="O6577" s="51"/>
    </row>
    <row r="6578">
      <c r="A6578" s="75">
        <v>6575.0</v>
      </c>
      <c r="B6578" s="71"/>
      <c r="C6578" s="69" t="s">
        <v>26490</v>
      </c>
      <c r="D6578" s="71"/>
      <c r="E6578" s="68" t="s">
        <v>26491</v>
      </c>
      <c r="F6578" s="76">
        <v>43880.0</v>
      </c>
      <c r="G6578" s="68" t="s">
        <v>26492</v>
      </c>
      <c r="H6578" s="68" t="s">
        <v>26493</v>
      </c>
      <c r="I6578" s="71"/>
      <c r="J6578" s="68" t="s">
        <v>26494</v>
      </c>
      <c r="K6578" s="76">
        <v>43885.0</v>
      </c>
      <c r="L6578" s="68" t="s">
        <v>2743</v>
      </c>
      <c r="M6578" s="68" t="s">
        <v>166</v>
      </c>
      <c r="N6578" s="116"/>
      <c r="O6578" s="51"/>
    </row>
    <row r="6579">
      <c r="A6579" s="75">
        <v>6576.0</v>
      </c>
      <c r="B6579" s="71"/>
      <c r="C6579" s="69" t="s">
        <v>26495</v>
      </c>
      <c r="D6579" s="71"/>
      <c r="E6579" s="68" t="s">
        <v>26496</v>
      </c>
      <c r="F6579" s="76">
        <v>43856.0</v>
      </c>
      <c r="G6579" s="68" t="s">
        <v>26497</v>
      </c>
      <c r="H6579" s="68" t="s">
        <v>26498</v>
      </c>
      <c r="I6579" s="71"/>
      <c r="J6579" s="68" t="s">
        <v>26499</v>
      </c>
      <c r="K6579" s="76">
        <v>43885.0</v>
      </c>
      <c r="L6579" s="68" t="s">
        <v>2743</v>
      </c>
      <c r="M6579" s="68" t="s">
        <v>125</v>
      </c>
      <c r="N6579" s="116"/>
      <c r="O6579" s="51"/>
    </row>
    <row r="6580">
      <c r="A6580" s="56">
        <v>6577.0</v>
      </c>
      <c r="B6580" s="71"/>
      <c r="C6580" s="79" t="s">
        <v>26500</v>
      </c>
      <c r="D6580" s="82"/>
      <c r="E6580" s="80" t="s">
        <v>26501</v>
      </c>
      <c r="F6580" s="81">
        <v>40770.0</v>
      </c>
      <c r="G6580" s="80" t="s">
        <v>26502</v>
      </c>
      <c r="H6580" s="80" t="s">
        <v>26503</v>
      </c>
      <c r="I6580" s="80" t="s">
        <v>26504</v>
      </c>
      <c r="J6580" s="63" t="s">
        <v>136</v>
      </c>
      <c r="K6580" s="81">
        <v>43885.0</v>
      </c>
      <c r="L6580" s="80" t="s">
        <v>2743</v>
      </c>
      <c r="M6580" s="80" t="s">
        <v>2989</v>
      </c>
      <c r="N6580" s="116"/>
      <c r="O6580" s="51"/>
    </row>
    <row r="6581">
      <c r="A6581" s="56">
        <v>6578.0</v>
      </c>
      <c r="B6581" s="71"/>
      <c r="C6581" s="79" t="s">
        <v>26505</v>
      </c>
      <c r="D6581" s="82"/>
      <c r="E6581" s="80" t="s">
        <v>20753</v>
      </c>
      <c r="F6581" s="81">
        <v>43876.0</v>
      </c>
      <c r="G6581" s="80" t="s">
        <v>26506</v>
      </c>
      <c r="H6581" s="80" t="s">
        <v>26507</v>
      </c>
      <c r="I6581" s="82"/>
      <c r="J6581" s="63" t="s">
        <v>136</v>
      </c>
      <c r="K6581" s="81">
        <v>43886.0</v>
      </c>
      <c r="L6581" s="80" t="s">
        <v>2743</v>
      </c>
      <c r="M6581" s="80" t="s">
        <v>2152</v>
      </c>
      <c r="N6581" s="116"/>
      <c r="O6581" s="51"/>
    </row>
    <row r="6582">
      <c r="A6582" s="75">
        <v>6579.0</v>
      </c>
      <c r="B6582" s="71"/>
      <c r="C6582" s="69" t="s">
        <v>26508</v>
      </c>
      <c r="D6582" s="71"/>
      <c r="E6582" s="68" t="s">
        <v>26509</v>
      </c>
      <c r="F6582" s="76">
        <v>43839.0</v>
      </c>
      <c r="G6582" s="68" t="s">
        <v>26510</v>
      </c>
      <c r="H6582" s="68" t="s">
        <v>26511</v>
      </c>
      <c r="I6582" s="71"/>
      <c r="J6582" s="68" t="s">
        <v>26512</v>
      </c>
      <c r="K6582" s="76">
        <v>43886.0</v>
      </c>
      <c r="L6582" s="68" t="s">
        <v>2743</v>
      </c>
      <c r="M6582" s="68" t="s">
        <v>125</v>
      </c>
      <c r="N6582" s="116"/>
      <c r="O6582" s="51"/>
    </row>
    <row r="6583">
      <c r="A6583" s="56">
        <v>6580.0</v>
      </c>
      <c r="B6583" s="71"/>
      <c r="C6583" s="79" t="s">
        <v>26513</v>
      </c>
      <c r="D6583" s="82"/>
      <c r="E6583" s="80" t="s">
        <v>26514</v>
      </c>
      <c r="F6583" s="81">
        <v>41852.0</v>
      </c>
      <c r="G6583" s="80" t="s">
        <v>26515</v>
      </c>
      <c r="H6583" s="80" t="s">
        <v>26516</v>
      </c>
      <c r="I6583" s="82"/>
      <c r="J6583" s="63" t="s">
        <v>136</v>
      </c>
      <c r="K6583" s="81">
        <v>43886.0</v>
      </c>
      <c r="L6583" s="80" t="s">
        <v>2743</v>
      </c>
      <c r="M6583" s="80" t="s">
        <v>201</v>
      </c>
      <c r="N6583" s="116"/>
      <c r="O6583" s="51"/>
    </row>
    <row r="6584">
      <c r="A6584" s="56">
        <v>6581.0</v>
      </c>
      <c r="B6584" s="71"/>
      <c r="C6584" s="79" t="s">
        <v>26517</v>
      </c>
      <c r="D6584" s="82"/>
      <c r="E6584" s="80" t="s">
        <v>26518</v>
      </c>
      <c r="F6584" s="81">
        <v>43438.0</v>
      </c>
      <c r="G6584" s="80" t="s">
        <v>26519</v>
      </c>
      <c r="H6584" s="80" t="s">
        <v>439</v>
      </c>
      <c r="I6584" s="80" t="s">
        <v>26520</v>
      </c>
      <c r="J6584" s="63" t="s">
        <v>136</v>
      </c>
      <c r="K6584" s="81">
        <v>43887.0</v>
      </c>
      <c r="L6584" s="80" t="s">
        <v>2743</v>
      </c>
      <c r="M6584" s="80" t="s">
        <v>26521</v>
      </c>
      <c r="N6584" s="116"/>
      <c r="O6584" s="51"/>
    </row>
    <row r="6585">
      <c r="A6585" s="56">
        <v>6582.0</v>
      </c>
      <c r="B6585" s="71"/>
      <c r="C6585" s="79" t="s">
        <v>26522</v>
      </c>
      <c r="D6585" s="82"/>
      <c r="E6585" s="80" t="s">
        <v>26523</v>
      </c>
      <c r="F6585" s="81">
        <v>42510.0</v>
      </c>
      <c r="G6585" s="80" t="s">
        <v>26524</v>
      </c>
      <c r="H6585" s="80" t="s">
        <v>26525</v>
      </c>
      <c r="I6585" s="82"/>
      <c r="J6585" s="63" t="s">
        <v>136</v>
      </c>
      <c r="K6585" s="81">
        <v>43887.0</v>
      </c>
      <c r="L6585" s="80" t="s">
        <v>2743</v>
      </c>
      <c r="M6585" s="80" t="s">
        <v>26526</v>
      </c>
      <c r="N6585" s="116"/>
      <c r="O6585" s="51"/>
    </row>
    <row r="6586">
      <c r="A6586" s="56">
        <v>6583.0</v>
      </c>
      <c r="B6586" s="71"/>
      <c r="C6586" s="79" t="s">
        <v>26527</v>
      </c>
      <c r="D6586" s="82"/>
      <c r="E6586" s="80" t="s">
        <v>26528</v>
      </c>
      <c r="F6586" s="98">
        <v>42364.0</v>
      </c>
      <c r="G6586" s="80" t="s">
        <v>26529</v>
      </c>
      <c r="H6586" s="80" t="s">
        <v>26530</v>
      </c>
      <c r="I6586" s="82"/>
      <c r="J6586" s="63" t="s">
        <v>136</v>
      </c>
      <c r="K6586" s="81">
        <v>43889.0</v>
      </c>
      <c r="L6586" s="80" t="s">
        <v>2743</v>
      </c>
      <c r="M6586" s="80" t="s">
        <v>31</v>
      </c>
      <c r="N6586" s="87" t="s">
        <v>26531</v>
      </c>
      <c r="O6586" s="51"/>
    </row>
    <row r="6587">
      <c r="A6587" s="56">
        <v>6584.0</v>
      </c>
      <c r="B6587" s="71"/>
      <c r="C6587" s="79" t="s">
        <v>26532</v>
      </c>
      <c r="D6587" s="82"/>
      <c r="E6587" s="80" t="s">
        <v>26533</v>
      </c>
      <c r="F6587" s="81">
        <v>42986.0</v>
      </c>
      <c r="G6587" s="80" t="s">
        <v>26534</v>
      </c>
      <c r="H6587" s="80" t="s">
        <v>439</v>
      </c>
      <c r="I6587" s="82"/>
      <c r="J6587" s="63" t="s">
        <v>136</v>
      </c>
      <c r="K6587" s="81">
        <v>43892.0</v>
      </c>
      <c r="L6587" s="80" t="s">
        <v>2743</v>
      </c>
      <c r="M6587" s="80" t="s">
        <v>125</v>
      </c>
      <c r="N6587" s="87" t="s">
        <v>26535</v>
      </c>
      <c r="O6587" s="51"/>
    </row>
    <row r="6588">
      <c r="A6588" s="56">
        <v>6585.0</v>
      </c>
      <c r="B6588" s="71"/>
      <c r="C6588" s="79" t="s">
        <v>26536</v>
      </c>
      <c r="D6588" s="82"/>
      <c r="E6588" s="80" t="s">
        <v>26537</v>
      </c>
      <c r="F6588" s="81">
        <v>41456.0</v>
      </c>
      <c r="G6588" s="80" t="s">
        <v>26538</v>
      </c>
      <c r="H6588" s="80" t="s">
        <v>26539</v>
      </c>
      <c r="I6588" s="80" t="s">
        <v>26540</v>
      </c>
      <c r="J6588" s="63" t="s">
        <v>136</v>
      </c>
      <c r="K6588" s="81">
        <v>43892.0</v>
      </c>
      <c r="L6588" s="80" t="s">
        <v>2743</v>
      </c>
      <c r="M6588" s="80" t="s">
        <v>530</v>
      </c>
      <c r="N6588" s="116"/>
      <c r="O6588" s="51"/>
    </row>
    <row r="6589">
      <c r="A6589" s="56">
        <v>6586.0</v>
      </c>
      <c r="B6589" s="71"/>
      <c r="C6589" s="79" t="s">
        <v>26541</v>
      </c>
      <c r="D6589" s="82"/>
      <c r="E6589" s="80" t="s">
        <v>26542</v>
      </c>
      <c r="F6589" s="81">
        <v>40040.0</v>
      </c>
      <c r="G6589" s="80" t="s">
        <v>26543</v>
      </c>
      <c r="H6589" s="80" t="s">
        <v>26544</v>
      </c>
      <c r="I6589" s="80" t="s">
        <v>26545</v>
      </c>
      <c r="J6589" s="63" t="s">
        <v>136</v>
      </c>
      <c r="K6589" s="81">
        <v>43892.0</v>
      </c>
      <c r="L6589" s="80" t="s">
        <v>2743</v>
      </c>
      <c r="M6589" s="80" t="s">
        <v>26546</v>
      </c>
      <c r="N6589" s="116"/>
      <c r="O6589" s="51"/>
    </row>
    <row r="6590">
      <c r="A6590" s="75">
        <v>6587.0</v>
      </c>
      <c r="B6590" s="71"/>
      <c r="C6590" s="69" t="s">
        <v>26547</v>
      </c>
      <c r="D6590" s="71"/>
      <c r="E6590" s="68" t="s">
        <v>26548</v>
      </c>
      <c r="F6590" s="76">
        <v>42055.0</v>
      </c>
      <c r="G6590" s="68" t="s">
        <v>26549</v>
      </c>
      <c r="H6590" s="68" t="s">
        <v>439</v>
      </c>
      <c r="I6590" s="71"/>
      <c r="J6590" s="68" t="s">
        <v>12648</v>
      </c>
      <c r="K6590" s="76">
        <v>43892.0</v>
      </c>
      <c r="L6590" s="68" t="s">
        <v>2743</v>
      </c>
      <c r="M6590" s="68" t="s">
        <v>368</v>
      </c>
      <c r="N6590" s="116"/>
      <c r="O6590" s="51"/>
    </row>
    <row r="6591">
      <c r="A6591" s="56">
        <v>6588.0</v>
      </c>
      <c r="B6591" s="71"/>
      <c r="C6591" s="69" t="s">
        <v>26550</v>
      </c>
      <c r="D6591" s="71"/>
      <c r="E6591" s="68" t="s">
        <v>26551</v>
      </c>
      <c r="F6591" s="76">
        <v>43629.0</v>
      </c>
      <c r="G6591" s="68" t="s">
        <v>26552</v>
      </c>
      <c r="H6591" s="68" t="s">
        <v>26553</v>
      </c>
      <c r="I6591" s="71"/>
      <c r="J6591" s="68" t="s">
        <v>26554</v>
      </c>
      <c r="K6591" s="76">
        <v>43892.0</v>
      </c>
      <c r="L6591" s="68" t="s">
        <v>2743</v>
      </c>
      <c r="M6591" s="68" t="s">
        <v>149</v>
      </c>
      <c r="N6591" s="116"/>
      <c r="O6591" s="51"/>
    </row>
    <row r="6592">
      <c r="A6592" s="56">
        <v>6589.0</v>
      </c>
      <c r="B6592" s="71"/>
      <c r="C6592" s="69" t="s">
        <v>26555</v>
      </c>
      <c r="D6592" s="71"/>
      <c r="E6592" s="68" t="s">
        <v>26556</v>
      </c>
      <c r="F6592" s="76">
        <v>43885.0</v>
      </c>
      <c r="G6592" s="68" t="s">
        <v>26557</v>
      </c>
      <c r="H6592" s="68" t="s">
        <v>26558</v>
      </c>
      <c r="I6592" s="71"/>
      <c r="J6592" s="68" t="s">
        <v>26559</v>
      </c>
      <c r="K6592" s="76">
        <v>43897.0</v>
      </c>
      <c r="L6592" s="68" t="s">
        <v>2743</v>
      </c>
      <c r="M6592" s="68" t="s">
        <v>149</v>
      </c>
      <c r="N6592" s="116"/>
      <c r="O6592" s="51"/>
    </row>
    <row r="6593">
      <c r="A6593" s="56">
        <v>6590.0</v>
      </c>
      <c r="B6593" s="71"/>
      <c r="C6593" s="79" t="s">
        <v>26560</v>
      </c>
      <c r="D6593" s="82"/>
      <c r="E6593" s="80" t="s">
        <v>26561</v>
      </c>
      <c r="F6593" s="81">
        <v>42554.0</v>
      </c>
      <c r="G6593" s="80" t="s">
        <v>26562</v>
      </c>
      <c r="H6593" s="80" t="s">
        <v>26563</v>
      </c>
      <c r="I6593" s="82"/>
      <c r="J6593" s="63" t="s">
        <v>136</v>
      </c>
      <c r="K6593" s="81">
        <v>43897.0</v>
      </c>
      <c r="L6593" s="80" t="s">
        <v>2743</v>
      </c>
      <c r="M6593" s="80" t="s">
        <v>125</v>
      </c>
      <c r="N6593" s="116"/>
      <c r="O6593" s="51"/>
    </row>
    <row r="6594">
      <c r="A6594" s="56">
        <v>6591.0</v>
      </c>
      <c r="B6594" s="71"/>
      <c r="C6594" s="79" t="s">
        <v>26564</v>
      </c>
      <c r="D6594" s="82"/>
      <c r="E6594" s="80" t="s">
        <v>26565</v>
      </c>
      <c r="F6594" s="81">
        <v>42635.0</v>
      </c>
      <c r="G6594" s="80" t="s">
        <v>26566</v>
      </c>
      <c r="H6594" s="80" t="s">
        <v>26567</v>
      </c>
      <c r="I6594" s="82"/>
      <c r="J6594" s="63" t="s">
        <v>136</v>
      </c>
      <c r="K6594" s="81">
        <v>43897.0</v>
      </c>
      <c r="L6594" s="80" t="s">
        <v>16585</v>
      </c>
      <c r="M6594" s="80" t="s">
        <v>125</v>
      </c>
      <c r="N6594" s="116"/>
      <c r="O6594" s="51"/>
    </row>
    <row r="6595">
      <c r="A6595" s="56">
        <v>6592.0</v>
      </c>
      <c r="B6595" s="71"/>
      <c r="C6595" s="69" t="s">
        <v>26568</v>
      </c>
      <c r="D6595" s="71"/>
      <c r="E6595" s="68" t="s">
        <v>26569</v>
      </c>
      <c r="F6595" s="76">
        <v>43887.0</v>
      </c>
      <c r="G6595" s="68" t="s">
        <v>26570</v>
      </c>
      <c r="H6595" s="68" t="s">
        <v>26571</v>
      </c>
      <c r="I6595" s="68" t="s">
        <v>26572</v>
      </c>
      <c r="J6595" s="68" t="s">
        <v>26573</v>
      </c>
      <c r="K6595" s="76">
        <v>43897.0</v>
      </c>
      <c r="L6595" s="68" t="s">
        <v>2743</v>
      </c>
      <c r="M6595" s="68" t="s">
        <v>31</v>
      </c>
      <c r="N6595" s="116"/>
      <c r="O6595" s="51"/>
    </row>
    <row r="6596">
      <c r="A6596" s="56">
        <v>6593.0</v>
      </c>
      <c r="B6596" s="71"/>
      <c r="C6596" s="69" t="s">
        <v>26574</v>
      </c>
      <c r="D6596" s="71"/>
      <c r="E6596" s="68" t="s">
        <v>26575</v>
      </c>
      <c r="F6596" s="76">
        <v>43527.0</v>
      </c>
      <c r="G6596" s="68" t="s">
        <v>26576</v>
      </c>
      <c r="H6596" s="68" t="s">
        <v>26577</v>
      </c>
      <c r="I6596" s="68" t="s">
        <v>26578</v>
      </c>
      <c r="J6596" s="68" t="s">
        <v>26579</v>
      </c>
      <c r="K6596" s="76">
        <v>43900.0</v>
      </c>
      <c r="L6596" s="68" t="s">
        <v>2743</v>
      </c>
      <c r="M6596" s="68" t="s">
        <v>149</v>
      </c>
      <c r="N6596" s="116"/>
      <c r="O6596" s="51"/>
    </row>
    <row r="6597">
      <c r="A6597" s="56">
        <v>6594.0</v>
      </c>
      <c r="B6597" s="71"/>
      <c r="C6597" s="69" t="s">
        <v>26580</v>
      </c>
      <c r="D6597" s="71"/>
      <c r="E6597" s="68" t="s">
        <v>26581</v>
      </c>
      <c r="F6597" s="76">
        <v>43879.0</v>
      </c>
      <c r="G6597" s="68" t="s">
        <v>26582</v>
      </c>
      <c r="H6597" s="68" t="s">
        <v>26583</v>
      </c>
      <c r="I6597" s="71"/>
      <c r="J6597" s="68" t="s">
        <v>26584</v>
      </c>
      <c r="K6597" s="76">
        <v>43900.0</v>
      </c>
      <c r="L6597" s="68" t="s">
        <v>2743</v>
      </c>
      <c r="M6597" s="68" t="s">
        <v>125</v>
      </c>
      <c r="N6597" s="116"/>
      <c r="O6597" s="51"/>
    </row>
    <row r="6598">
      <c r="A6598" s="56">
        <v>6595.0</v>
      </c>
      <c r="B6598" s="71"/>
      <c r="C6598" s="79" t="s">
        <v>26585</v>
      </c>
      <c r="D6598" s="82"/>
      <c r="E6598" s="80" t="s">
        <v>26586</v>
      </c>
      <c r="F6598" s="81">
        <v>42779.0</v>
      </c>
      <c r="G6598" s="80" t="s">
        <v>26587</v>
      </c>
      <c r="H6598" s="80" t="s">
        <v>26588</v>
      </c>
      <c r="I6598" s="80" t="s">
        <v>26589</v>
      </c>
      <c r="J6598" s="63" t="s">
        <v>136</v>
      </c>
      <c r="K6598" s="81">
        <v>43900.0</v>
      </c>
      <c r="L6598" s="80" t="s">
        <v>2743</v>
      </c>
      <c r="M6598" s="80" t="s">
        <v>2291</v>
      </c>
      <c r="N6598" s="116"/>
      <c r="O6598" s="51"/>
    </row>
    <row r="6599">
      <c r="A6599" s="56">
        <v>6596.0</v>
      </c>
      <c r="B6599" s="71"/>
      <c r="C6599" s="79" t="s">
        <v>26590</v>
      </c>
      <c r="D6599" s="82"/>
      <c r="E6599" s="80" t="s">
        <v>26591</v>
      </c>
      <c r="F6599" s="81">
        <v>42390.0</v>
      </c>
      <c r="G6599" s="80" t="s">
        <v>26592</v>
      </c>
      <c r="H6599" s="80" t="s">
        <v>26593</v>
      </c>
      <c r="I6599" s="80" t="s">
        <v>26594</v>
      </c>
      <c r="J6599" s="63" t="s">
        <v>136</v>
      </c>
      <c r="K6599" s="81">
        <v>43900.0</v>
      </c>
      <c r="L6599" s="80" t="s">
        <v>16185</v>
      </c>
      <c r="M6599" s="80" t="s">
        <v>2989</v>
      </c>
      <c r="N6599" s="116"/>
      <c r="O6599" s="51"/>
    </row>
    <row r="6600">
      <c r="A6600" s="56">
        <v>6597.0</v>
      </c>
      <c r="B6600" s="71"/>
      <c r="C6600" s="79" t="s">
        <v>26595</v>
      </c>
      <c r="D6600" s="82"/>
      <c r="E6600" s="80" t="s">
        <v>26596</v>
      </c>
      <c r="F6600" s="81">
        <v>41672.0</v>
      </c>
      <c r="G6600" s="80" t="s">
        <v>26597</v>
      </c>
      <c r="H6600" s="80" t="s">
        <v>26598</v>
      </c>
      <c r="I6600" s="82"/>
      <c r="J6600" s="63" t="s">
        <v>136</v>
      </c>
      <c r="K6600" s="81">
        <v>43900.0</v>
      </c>
      <c r="L6600" s="80" t="s">
        <v>16185</v>
      </c>
      <c r="M6600" s="80" t="s">
        <v>166</v>
      </c>
      <c r="N6600" s="116"/>
      <c r="O6600" s="51"/>
    </row>
    <row r="6601">
      <c r="A6601" s="56">
        <v>6598.0</v>
      </c>
      <c r="B6601" s="71"/>
      <c r="C6601" s="69" t="s">
        <v>26599</v>
      </c>
      <c r="D6601" s="71"/>
      <c r="E6601" s="68" t="s">
        <v>26600</v>
      </c>
      <c r="F6601" s="76">
        <v>43835.0</v>
      </c>
      <c r="G6601" s="68" t="s">
        <v>26601</v>
      </c>
      <c r="H6601" s="68" t="s">
        <v>26602</v>
      </c>
      <c r="I6601" s="71"/>
      <c r="J6601" s="68" t="s">
        <v>26603</v>
      </c>
      <c r="K6601" s="76">
        <v>43900.0</v>
      </c>
      <c r="L6601" s="68" t="s">
        <v>2743</v>
      </c>
      <c r="M6601" s="68" t="s">
        <v>166</v>
      </c>
      <c r="N6601" s="116"/>
      <c r="O6601" s="51"/>
    </row>
    <row r="6602">
      <c r="A6602" s="56">
        <v>6599.0</v>
      </c>
      <c r="B6602" s="71"/>
      <c r="C6602" s="79" t="s">
        <v>26604</v>
      </c>
      <c r="D6602" s="82"/>
      <c r="E6602" s="80" t="s">
        <v>26605</v>
      </c>
      <c r="F6602" s="98">
        <v>41960.0</v>
      </c>
      <c r="G6602" s="80" t="s">
        <v>26606</v>
      </c>
      <c r="H6602" s="80" t="s">
        <v>26607</v>
      </c>
      <c r="I6602" s="80" t="s">
        <v>26608</v>
      </c>
      <c r="J6602" s="63" t="s">
        <v>136</v>
      </c>
      <c r="K6602" s="81">
        <v>43901.0</v>
      </c>
      <c r="L6602" s="80" t="s">
        <v>2743</v>
      </c>
      <c r="M6602" s="80" t="s">
        <v>2989</v>
      </c>
      <c r="N6602" s="116"/>
      <c r="O6602" s="51"/>
    </row>
    <row r="6603">
      <c r="A6603" s="56">
        <v>6600.0</v>
      </c>
      <c r="B6603" s="71"/>
      <c r="C6603" s="79" t="s">
        <v>26609</v>
      </c>
      <c r="D6603" s="82"/>
      <c r="E6603" s="80" t="s">
        <v>26610</v>
      </c>
      <c r="F6603" s="81">
        <v>42250.0</v>
      </c>
      <c r="G6603" s="80" t="s">
        <v>26611</v>
      </c>
      <c r="H6603" s="80" t="s">
        <v>26612</v>
      </c>
      <c r="I6603" s="80" t="s">
        <v>26613</v>
      </c>
      <c r="J6603" s="63" t="s">
        <v>136</v>
      </c>
      <c r="K6603" s="81">
        <v>43901.0</v>
      </c>
      <c r="L6603" s="80" t="s">
        <v>2743</v>
      </c>
      <c r="M6603" s="80" t="s">
        <v>2989</v>
      </c>
      <c r="N6603" s="116"/>
      <c r="O6603" s="51"/>
    </row>
    <row r="6604">
      <c r="A6604" s="56">
        <v>6601.0</v>
      </c>
      <c r="B6604" s="71"/>
      <c r="C6604" s="69" t="s">
        <v>26614</v>
      </c>
      <c r="D6604" s="71"/>
      <c r="E6604" s="68" t="s">
        <v>26615</v>
      </c>
      <c r="F6604" s="76">
        <v>43900.0</v>
      </c>
      <c r="G6604" s="68" t="s">
        <v>26616</v>
      </c>
      <c r="H6604" s="68" t="s">
        <v>26617</v>
      </c>
      <c r="I6604" s="71"/>
      <c r="J6604" s="68" t="s">
        <v>26618</v>
      </c>
      <c r="K6604" s="76">
        <v>43902.0</v>
      </c>
      <c r="L6604" s="68" t="s">
        <v>2743</v>
      </c>
      <c r="M6604" s="68" t="s">
        <v>31</v>
      </c>
      <c r="N6604" s="116"/>
      <c r="O6604" s="51"/>
    </row>
    <row r="6605">
      <c r="A6605" s="56">
        <v>6602.0</v>
      </c>
      <c r="B6605" s="71"/>
      <c r="C6605" s="69" t="s">
        <v>26619</v>
      </c>
      <c r="D6605" s="71"/>
      <c r="E6605" s="68" t="s">
        <v>26620</v>
      </c>
      <c r="F6605" s="68">
        <v>6612.0</v>
      </c>
      <c r="G6605" s="68" t="s">
        <v>26621</v>
      </c>
      <c r="H6605" s="68" t="s">
        <v>26622</v>
      </c>
      <c r="I6605" s="71"/>
      <c r="J6605" s="68" t="s">
        <v>26623</v>
      </c>
      <c r="K6605" s="76">
        <v>43902.0</v>
      </c>
      <c r="L6605" s="68" t="s">
        <v>2743</v>
      </c>
      <c r="M6605" s="68" t="s">
        <v>143</v>
      </c>
      <c r="N6605" s="116"/>
      <c r="O6605" s="51"/>
    </row>
    <row r="6606">
      <c r="A6606" s="56">
        <v>6603.0</v>
      </c>
      <c r="B6606" s="71"/>
      <c r="C6606" s="79" t="s">
        <v>26624</v>
      </c>
      <c r="D6606" s="82"/>
      <c r="E6606" s="80" t="s">
        <v>26625</v>
      </c>
      <c r="F6606" s="81">
        <v>41974.0</v>
      </c>
      <c r="G6606" s="80" t="s">
        <v>26626</v>
      </c>
      <c r="H6606" s="80" t="s">
        <v>26627</v>
      </c>
      <c r="I6606" s="80" t="s">
        <v>26628</v>
      </c>
      <c r="J6606" s="63" t="s">
        <v>136</v>
      </c>
      <c r="K6606" s="81">
        <v>43907.0</v>
      </c>
      <c r="L6606" s="80" t="s">
        <v>2743</v>
      </c>
      <c r="M6606" s="80" t="s">
        <v>368</v>
      </c>
      <c r="N6606" s="116"/>
      <c r="O6606" s="51"/>
    </row>
    <row r="6607">
      <c r="A6607" s="56">
        <v>6604.0</v>
      </c>
      <c r="B6607" s="71"/>
      <c r="C6607" s="79" t="s">
        <v>26629</v>
      </c>
      <c r="D6607" s="82"/>
      <c r="E6607" s="80" t="s">
        <v>26630</v>
      </c>
      <c r="F6607" s="81">
        <v>40296.0</v>
      </c>
      <c r="G6607" s="80" t="s">
        <v>26631</v>
      </c>
      <c r="H6607" s="80" t="s">
        <v>439</v>
      </c>
      <c r="I6607" s="82"/>
      <c r="J6607" s="63" t="s">
        <v>136</v>
      </c>
      <c r="K6607" s="81">
        <v>43907.0</v>
      </c>
      <c r="L6607" s="80" t="s">
        <v>2743</v>
      </c>
      <c r="M6607" s="80" t="s">
        <v>166</v>
      </c>
      <c r="N6607" s="116"/>
      <c r="O6607" s="51"/>
    </row>
    <row r="6608">
      <c r="A6608" s="56">
        <v>6605.0</v>
      </c>
      <c r="B6608" s="71"/>
      <c r="C6608" s="69" t="s">
        <v>26632</v>
      </c>
      <c r="D6608" s="71"/>
      <c r="E6608" s="68" t="s">
        <v>26633</v>
      </c>
      <c r="F6608" s="76">
        <v>43894.0</v>
      </c>
      <c r="G6608" s="68" t="s">
        <v>26634</v>
      </c>
      <c r="H6608" s="68" t="s">
        <v>26635</v>
      </c>
      <c r="I6608" s="71"/>
      <c r="J6608" s="68" t="s">
        <v>26636</v>
      </c>
      <c r="K6608" s="76">
        <v>43907.0</v>
      </c>
      <c r="L6608" s="68" t="s">
        <v>2743</v>
      </c>
      <c r="M6608" s="68" t="s">
        <v>4001</v>
      </c>
      <c r="N6608" s="116"/>
      <c r="O6608" s="51"/>
    </row>
    <row r="6609">
      <c r="A6609" s="56">
        <v>6606.0</v>
      </c>
      <c r="B6609" s="71"/>
      <c r="C6609" s="79" t="s">
        <v>26637</v>
      </c>
      <c r="D6609" s="82"/>
      <c r="E6609" s="80" t="s">
        <v>26638</v>
      </c>
      <c r="F6609" s="81">
        <v>42607.0</v>
      </c>
      <c r="G6609" s="80" t="s">
        <v>26639</v>
      </c>
      <c r="H6609" s="80" t="s">
        <v>439</v>
      </c>
      <c r="I6609" s="82"/>
      <c r="J6609" s="63" t="s">
        <v>136</v>
      </c>
      <c r="K6609" s="81">
        <v>43907.0</v>
      </c>
      <c r="L6609" s="80" t="s">
        <v>2743</v>
      </c>
      <c r="M6609" s="80" t="s">
        <v>368</v>
      </c>
      <c r="N6609" s="116"/>
      <c r="O6609" s="51"/>
    </row>
    <row r="6610">
      <c r="A6610" s="56">
        <v>6607.0</v>
      </c>
      <c r="B6610" s="71"/>
      <c r="C6610" s="69" t="s">
        <v>26640</v>
      </c>
      <c r="D6610" s="71"/>
      <c r="E6610" s="68" t="s">
        <v>26641</v>
      </c>
      <c r="F6610" s="76">
        <v>43903.0</v>
      </c>
      <c r="G6610" s="68" t="s">
        <v>26642</v>
      </c>
      <c r="H6610" s="68" t="s">
        <v>26643</v>
      </c>
      <c r="I6610" s="71"/>
      <c r="J6610" s="68" t="s">
        <v>26644</v>
      </c>
      <c r="K6610" s="76">
        <v>43907.0</v>
      </c>
      <c r="L6610" s="68" t="s">
        <v>2743</v>
      </c>
      <c r="M6610" s="68" t="s">
        <v>31</v>
      </c>
      <c r="N6610" s="87" t="s">
        <v>26645</v>
      </c>
      <c r="O6610" s="51"/>
    </row>
    <row r="6611">
      <c r="A6611" s="56">
        <v>6608.0</v>
      </c>
      <c r="B6611" s="71"/>
      <c r="C6611" s="79" t="s">
        <v>26646</v>
      </c>
      <c r="D6611" s="82"/>
      <c r="E6611" s="80" t="s">
        <v>26647</v>
      </c>
      <c r="F6611" s="81">
        <v>41278.0</v>
      </c>
      <c r="G6611" s="80" t="s">
        <v>26648</v>
      </c>
      <c r="H6611" s="80" t="s">
        <v>439</v>
      </c>
      <c r="I6611" s="82"/>
      <c r="J6611" s="63" t="s">
        <v>136</v>
      </c>
      <c r="K6611" s="81">
        <v>43921.0</v>
      </c>
      <c r="L6611" s="80" t="s">
        <v>16456</v>
      </c>
      <c r="M6611" s="80" t="s">
        <v>27</v>
      </c>
      <c r="N6611" s="87" t="s">
        <v>26649</v>
      </c>
      <c r="O6611" s="51"/>
    </row>
    <row r="6612">
      <c r="A6612" s="75">
        <v>6609.0</v>
      </c>
      <c r="B6612" s="71"/>
      <c r="C6612" s="69" t="s">
        <v>26650</v>
      </c>
      <c r="D6612" s="71"/>
      <c r="E6612" s="68" t="s">
        <v>26651</v>
      </c>
      <c r="F6612" s="76">
        <v>41546.0</v>
      </c>
      <c r="G6612" s="68" t="s">
        <v>26652</v>
      </c>
      <c r="H6612" s="68" t="s">
        <v>26653</v>
      </c>
      <c r="I6612" s="71"/>
      <c r="J6612" s="100" t="s">
        <v>26654</v>
      </c>
      <c r="K6612" s="225">
        <v>43921.0</v>
      </c>
      <c r="L6612" s="68" t="s">
        <v>16456</v>
      </c>
      <c r="M6612" s="68" t="s">
        <v>27</v>
      </c>
      <c r="N6612" s="116"/>
      <c r="O6612" s="51"/>
    </row>
    <row r="6613">
      <c r="A6613" s="56">
        <v>6610.0</v>
      </c>
      <c r="B6613" s="71"/>
      <c r="C6613" s="79" t="s">
        <v>26655</v>
      </c>
      <c r="D6613" s="82"/>
      <c r="E6613" s="80" t="s">
        <v>26656</v>
      </c>
      <c r="F6613" s="81">
        <v>42107.0</v>
      </c>
      <c r="G6613" s="80" t="s">
        <v>26657</v>
      </c>
      <c r="H6613" s="80" t="s">
        <v>26658</v>
      </c>
      <c r="I6613" s="82"/>
      <c r="J6613" s="63" t="s">
        <v>136</v>
      </c>
      <c r="K6613" s="81">
        <v>43921.0</v>
      </c>
      <c r="L6613" s="80" t="s">
        <v>16456</v>
      </c>
      <c r="M6613" s="80" t="s">
        <v>27</v>
      </c>
      <c r="N6613" s="116"/>
      <c r="O6613" s="51"/>
    </row>
    <row r="6614">
      <c r="A6614" s="56">
        <v>6611.0</v>
      </c>
      <c r="B6614" s="71"/>
      <c r="C6614" s="79" t="s">
        <v>26659</v>
      </c>
      <c r="D6614" s="82"/>
      <c r="E6614" s="80" t="s">
        <v>26660</v>
      </c>
      <c r="F6614" s="81">
        <v>41689.0</v>
      </c>
      <c r="G6614" s="80" t="s">
        <v>26661</v>
      </c>
      <c r="H6614" s="80" t="s">
        <v>26662</v>
      </c>
      <c r="I6614" s="82"/>
      <c r="J6614" s="63" t="s">
        <v>136</v>
      </c>
      <c r="K6614" s="81">
        <v>43921.0</v>
      </c>
      <c r="L6614" s="80" t="s">
        <v>16456</v>
      </c>
      <c r="M6614" s="80" t="s">
        <v>27</v>
      </c>
      <c r="N6614" s="116"/>
      <c r="O6614" s="51"/>
    </row>
    <row r="6615">
      <c r="A6615" s="75">
        <v>6612.0</v>
      </c>
      <c r="B6615" s="71"/>
      <c r="C6615" s="69" t="s">
        <v>26663</v>
      </c>
      <c r="D6615" s="71"/>
      <c r="E6615" s="68" t="s">
        <v>26664</v>
      </c>
      <c r="F6615" s="76">
        <v>41830.0</v>
      </c>
      <c r="G6615" s="68" t="s">
        <v>26665</v>
      </c>
      <c r="H6615" s="68" t="s">
        <v>439</v>
      </c>
      <c r="I6615" s="71"/>
      <c r="J6615" s="68" t="s">
        <v>26666</v>
      </c>
      <c r="K6615" s="76">
        <v>43921.0</v>
      </c>
      <c r="L6615" s="68" t="s">
        <v>16456</v>
      </c>
      <c r="M6615" s="68" t="s">
        <v>27</v>
      </c>
      <c r="N6615" s="116"/>
      <c r="O6615" s="51"/>
    </row>
    <row r="6616">
      <c r="A6616" s="56">
        <v>6613.0</v>
      </c>
      <c r="B6616" s="71"/>
      <c r="C6616" s="69" t="s">
        <v>26667</v>
      </c>
      <c r="D6616" s="71"/>
      <c r="E6616" s="68" t="s">
        <v>26668</v>
      </c>
      <c r="F6616" s="83">
        <v>43025.0</v>
      </c>
      <c r="G6616" s="68" t="s">
        <v>26669</v>
      </c>
      <c r="H6616" s="68" t="s">
        <v>26670</v>
      </c>
      <c r="I6616" s="71"/>
      <c r="J6616" s="68" t="s">
        <v>26671</v>
      </c>
      <c r="K6616" s="76">
        <v>43921.0</v>
      </c>
      <c r="L6616" s="68" t="s">
        <v>16456</v>
      </c>
      <c r="M6616" s="68" t="s">
        <v>27</v>
      </c>
      <c r="N6616" s="116"/>
      <c r="O6616" s="51"/>
    </row>
    <row r="6617">
      <c r="A6617" s="75">
        <v>6614.0</v>
      </c>
      <c r="B6617" s="71"/>
      <c r="C6617" s="69" t="s">
        <v>26672</v>
      </c>
      <c r="D6617" s="71"/>
      <c r="E6617" s="68" t="s">
        <v>26673</v>
      </c>
      <c r="F6617" s="76">
        <v>41830.0</v>
      </c>
      <c r="G6617" s="68" t="s">
        <v>26665</v>
      </c>
      <c r="H6617" s="68" t="s">
        <v>439</v>
      </c>
      <c r="I6617" s="71"/>
      <c r="J6617" s="68" t="s">
        <v>26666</v>
      </c>
      <c r="K6617" s="76">
        <v>43921.0</v>
      </c>
      <c r="L6617" s="68" t="s">
        <v>16456</v>
      </c>
      <c r="M6617" s="68" t="s">
        <v>27</v>
      </c>
      <c r="N6617" s="116"/>
      <c r="O6617" s="51"/>
    </row>
    <row r="6618">
      <c r="A6618" s="75">
        <v>6615.0</v>
      </c>
      <c r="B6618" s="71"/>
      <c r="C6618" s="69" t="s">
        <v>26674</v>
      </c>
      <c r="D6618" s="71"/>
      <c r="E6618" s="68" t="s">
        <v>26675</v>
      </c>
      <c r="F6618" s="76">
        <v>42804.0</v>
      </c>
      <c r="G6618" s="68" t="s">
        <v>26676</v>
      </c>
      <c r="H6618" s="68" t="s">
        <v>26677</v>
      </c>
      <c r="I6618" s="71"/>
      <c r="J6618" s="100" t="s">
        <v>26678</v>
      </c>
      <c r="K6618" s="225">
        <v>43921.0</v>
      </c>
      <c r="L6618" s="68" t="s">
        <v>16456</v>
      </c>
      <c r="M6618" s="68" t="s">
        <v>27</v>
      </c>
      <c r="N6618" s="116"/>
      <c r="O6618" s="51"/>
    </row>
    <row r="6619">
      <c r="A6619" s="56">
        <v>6616.0</v>
      </c>
      <c r="B6619" s="71"/>
      <c r="C6619" s="79" t="s">
        <v>26679</v>
      </c>
      <c r="D6619" s="82"/>
      <c r="E6619" s="80" t="s">
        <v>26680</v>
      </c>
      <c r="F6619" s="81">
        <v>40368.0</v>
      </c>
      <c r="G6619" s="80" t="s">
        <v>26681</v>
      </c>
      <c r="H6619" s="80" t="s">
        <v>26682</v>
      </c>
      <c r="I6619" s="82"/>
      <c r="J6619" s="63" t="s">
        <v>136</v>
      </c>
      <c r="K6619" s="81">
        <v>43921.0</v>
      </c>
      <c r="L6619" s="80" t="s">
        <v>16456</v>
      </c>
      <c r="M6619" s="80" t="s">
        <v>125</v>
      </c>
      <c r="N6619" s="116"/>
      <c r="O6619" s="51"/>
    </row>
    <row r="6620">
      <c r="A6620" s="56">
        <v>6617.0</v>
      </c>
      <c r="B6620" s="71"/>
      <c r="C6620" s="69" t="s">
        <v>26683</v>
      </c>
      <c r="D6620" s="71"/>
      <c r="E6620" s="68" t="s">
        <v>26684</v>
      </c>
      <c r="F6620" s="83">
        <v>43434.0</v>
      </c>
      <c r="G6620" s="68" t="s">
        <v>26685</v>
      </c>
      <c r="H6620" s="68" t="s">
        <v>26686</v>
      </c>
      <c r="I6620" s="71"/>
      <c r="J6620" s="68" t="s">
        <v>26687</v>
      </c>
      <c r="K6620" s="76">
        <v>43921.0</v>
      </c>
      <c r="L6620" s="68" t="s">
        <v>16456</v>
      </c>
      <c r="M6620" s="68" t="s">
        <v>27</v>
      </c>
      <c r="N6620" s="116"/>
      <c r="O6620" s="51"/>
    </row>
    <row r="6621">
      <c r="A6621" s="75">
        <v>6618.0</v>
      </c>
      <c r="B6621" s="71"/>
      <c r="C6621" s="69" t="s">
        <v>26688</v>
      </c>
      <c r="D6621" s="71"/>
      <c r="E6621" s="68" t="s">
        <v>26689</v>
      </c>
      <c r="F6621" s="76">
        <v>43277.0</v>
      </c>
      <c r="G6621" s="68" t="s">
        <v>26690</v>
      </c>
      <c r="H6621" s="68" t="s">
        <v>26691</v>
      </c>
      <c r="I6621" s="71"/>
      <c r="J6621" s="68" t="s">
        <v>26692</v>
      </c>
      <c r="K6621" s="76">
        <v>43921.0</v>
      </c>
      <c r="L6621" s="68" t="s">
        <v>16456</v>
      </c>
      <c r="M6621" s="68" t="s">
        <v>27</v>
      </c>
      <c r="N6621" s="116"/>
      <c r="O6621" s="51"/>
    </row>
    <row r="6622">
      <c r="A6622" s="56">
        <v>6619.0</v>
      </c>
      <c r="B6622" s="71"/>
      <c r="C6622" s="69" t="s">
        <v>26693</v>
      </c>
      <c r="D6622" s="71"/>
      <c r="E6622" s="68" t="s">
        <v>26694</v>
      </c>
      <c r="F6622" s="76">
        <v>42559.0</v>
      </c>
      <c r="G6622" s="68" t="s">
        <v>26695</v>
      </c>
      <c r="H6622" s="68" t="s">
        <v>26696</v>
      </c>
      <c r="I6622" s="71"/>
      <c r="J6622" s="68" t="s">
        <v>26697</v>
      </c>
      <c r="K6622" s="76">
        <v>43921.0</v>
      </c>
      <c r="L6622" s="68" t="s">
        <v>16456</v>
      </c>
      <c r="M6622" s="68" t="s">
        <v>27</v>
      </c>
      <c r="N6622" s="116"/>
      <c r="O6622" s="51"/>
    </row>
    <row r="6623">
      <c r="A6623" s="56">
        <v>6620.0</v>
      </c>
      <c r="B6623" s="71"/>
      <c r="C6623" s="79" t="s">
        <v>26698</v>
      </c>
      <c r="D6623" s="82"/>
      <c r="E6623" s="80" t="s">
        <v>26699</v>
      </c>
      <c r="F6623" s="81">
        <v>42090.0</v>
      </c>
      <c r="G6623" s="80" t="s">
        <v>26700</v>
      </c>
      <c r="H6623" s="80" t="s">
        <v>26701</v>
      </c>
      <c r="I6623" s="82"/>
      <c r="J6623" s="63" t="s">
        <v>136</v>
      </c>
      <c r="K6623" s="81">
        <v>43921.0</v>
      </c>
      <c r="L6623" s="80" t="s">
        <v>16456</v>
      </c>
      <c r="M6623" s="80" t="s">
        <v>27</v>
      </c>
      <c r="N6623" s="116"/>
      <c r="O6623" s="51"/>
    </row>
    <row r="6624">
      <c r="A6624" s="56">
        <v>6621.0</v>
      </c>
      <c r="B6624" s="71"/>
      <c r="C6624" s="79" t="s">
        <v>26702</v>
      </c>
      <c r="D6624" s="82"/>
      <c r="E6624" s="80" t="s">
        <v>26703</v>
      </c>
      <c r="F6624" s="81">
        <v>42384.0</v>
      </c>
      <c r="G6624" s="80" t="s">
        <v>26704</v>
      </c>
      <c r="H6624" s="80" t="s">
        <v>26705</v>
      </c>
      <c r="I6624" s="82"/>
      <c r="J6624" s="63" t="s">
        <v>136</v>
      </c>
      <c r="K6624" s="81">
        <v>43921.0</v>
      </c>
      <c r="L6624" s="80" t="s">
        <v>26706</v>
      </c>
      <c r="M6624" s="80" t="s">
        <v>27</v>
      </c>
      <c r="N6624" s="116"/>
      <c r="O6624" s="51"/>
    </row>
    <row r="6625">
      <c r="A6625" s="56">
        <v>6622.0</v>
      </c>
      <c r="B6625" s="71"/>
      <c r="C6625" s="69" t="s">
        <v>26707</v>
      </c>
      <c r="D6625" s="71"/>
      <c r="E6625" s="68" t="s">
        <v>26708</v>
      </c>
      <c r="F6625" s="83">
        <v>43402.0</v>
      </c>
      <c r="G6625" s="68" t="s">
        <v>26709</v>
      </c>
      <c r="H6625" s="68" t="s">
        <v>26710</v>
      </c>
      <c r="I6625" s="71"/>
      <c r="J6625" s="68" t="s">
        <v>26711</v>
      </c>
      <c r="K6625" s="76">
        <v>43921.0</v>
      </c>
      <c r="L6625" s="68" t="s">
        <v>16456</v>
      </c>
      <c r="M6625" s="68" t="s">
        <v>27</v>
      </c>
      <c r="N6625" s="116"/>
      <c r="O6625" s="51"/>
    </row>
    <row r="6626">
      <c r="A6626" s="56">
        <v>6623.0</v>
      </c>
      <c r="B6626" s="71"/>
      <c r="C6626" s="79" t="s">
        <v>26712</v>
      </c>
      <c r="D6626" s="82"/>
      <c r="E6626" s="80" t="s">
        <v>26713</v>
      </c>
      <c r="F6626" s="81">
        <v>42840.0</v>
      </c>
      <c r="G6626" s="80" t="s">
        <v>26714</v>
      </c>
      <c r="H6626" s="80" t="s">
        <v>26715</v>
      </c>
      <c r="I6626" s="82"/>
      <c r="J6626" s="63" t="s">
        <v>136</v>
      </c>
      <c r="K6626" s="81">
        <v>43921.0</v>
      </c>
      <c r="L6626" s="80" t="s">
        <v>26716</v>
      </c>
      <c r="M6626" s="80" t="s">
        <v>166</v>
      </c>
      <c r="N6626" s="116"/>
      <c r="O6626" s="51"/>
    </row>
    <row r="6627">
      <c r="A6627" s="75">
        <v>6624.0</v>
      </c>
      <c r="B6627" s="71"/>
      <c r="C6627" s="69" t="s">
        <v>26717</v>
      </c>
      <c r="D6627" s="71"/>
      <c r="E6627" s="68" t="s">
        <v>26718</v>
      </c>
      <c r="F6627" s="76">
        <v>40544.0</v>
      </c>
      <c r="G6627" s="68" t="s">
        <v>26719</v>
      </c>
      <c r="H6627" s="68" t="s">
        <v>26720</v>
      </c>
      <c r="I6627" s="71"/>
      <c r="J6627" s="68" t="s">
        <v>26721</v>
      </c>
      <c r="K6627" s="76">
        <v>43921.0</v>
      </c>
      <c r="L6627" s="68" t="s">
        <v>16456</v>
      </c>
      <c r="M6627" s="68" t="s">
        <v>27</v>
      </c>
      <c r="N6627" s="116"/>
      <c r="O6627" s="51"/>
    </row>
    <row r="6628">
      <c r="A6628" s="56">
        <v>6625.0</v>
      </c>
      <c r="B6628" s="71"/>
      <c r="C6628" s="69" t="s">
        <v>26722</v>
      </c>
      <c r="D6628" s="71"/>
      <c r="E6628" s="68" t="s">
        <v>26723</v>
      </c>
      <c r="F6628" s="83">
        <v>43093.0</v>
      </c>
      <c r="G6628" s="68" t="s">
        <v>26724</v>
      </c>
      <c r="H6628" s="68" t="s">
        <v>26725</v>
      </c>
      <c r="I6628" s="71"/>
      <c r="J6628" s="68" t="s">
        <v>26726</v>
      </c>
      <c r="K6628" s="76">
        <v>43921.0</v>
      </c>
      <c r="L6628" s="68" t="s">
        <v>16456</v>
      </c>
      <c r="M6628" s="68" t="s">
        <v>542</v>
      </c>
      <c r="N6628" s="116"/>
      <c r="O6628" s="51"/>
    </row>
    <row r="6629">
      <c r="A6629" s="56">
        <v>6626.0</v>
      </c>
      <c r="B6629" s="71"/>
      <c r="C6629" s="69" t="s">
        <v>26727</v>
      </c>
      <c r="D6629" s="71"/>
      <c r="E6629" s="68" t="s">
        <v>26728</v>
      </c>
      <c r="F6629" s="76">
        <v>43903.0</v>
      </c>
      <c r="G6629" s="68" t="s">
        <v>26729</v>
      </c>
      <c r="H6629" s="68" t="s">
        <v>26730</v>
      </c>
      <c r="I6629" s="68" t="s">
        <v>26731</v>
      </c>
      <c r="J6629" s="68" t="s">
        <v>26732</v>
      </c>
      <c r="K6629" s="76">
        <v>43908.0</v>
      </c>
      <c r="L6629" s="68" t="s">
        <v>2743</v>
      </c>
      <c r="M6629" s="68" t="s">
        <v>143</v>
      </c>
      <c r="N6629" s="116"/>
      <c r="O6629" s="51"/>
    </row>
    <row r="6630">
      <c r="A6630" s="56">
        <v>6627.0</v>
      </c>
      <c r="B6630" s="71"/>
      <c r="C6630" s="69" t="s">
        <v>26733</v>
      </c>
      <c r="D6630" s="71"/>
      <c r="E6630" s="68" t="s">
        <v>26734</v>
      </c>
      <c r="F6630" s="76">
        <v>43903.0</v>
      </c>
      <c r="G6630" s="68" t="s">
        <v>26735</v>
      </c>
      <c r="H6630" s="68" t="s">
        <v>26736</v>
      </c>
      <c r="I6630" s="68" t="s">
        <v>26731</v>
      </c>
      <c r="J6630" s="68" t="s">
        <v>26737</v>
      </c>
      <c r="K6630" s="76">
        <v>43908.0</v>
      </c>
      <c r="L6630" s="68" t="s">
        <v>2743</v>
      </c>
      <c r="M6630" s="68" t="s">
        <v>143</v>
      </c>
      <c r="N6630" s="116"/>
      <c r="O6630" s="51"/>
    </row>
    <row r="6631">
      <c r="A6631" s="56">
        <v>6628.0</v>
      </c>
      <c r="B6631" s="71"/>
      <c r="C6631" s="79" t="s">
        <v>26738</v>
      </c>
      <c r="D6631" s="82"/>
      <c r="E6631" s="80" t="s">
        <v>26739</v>
      </c>
      <c r="F6631" s="98">
        <v>43394.0</v>
      </c>
      <c r="G6631" s="80" t="s">
        <v>26740</v>
      </c>
      <c r="H6631" s="80" t="s">
        <v>26741</v>
      </c>
      <c r="I6631" s="82"/>
      <c r="J6631" s="63" t="s">
        <v>136</v>
      </c>
      <c r="K6631" s="81">
        <v>43910.0</v>
      </c>
      <c r="L6631" s="80" t="s">
        <v>2743</v>
      </c>
      <c r="M6631" s="80" t="s">
        <v>18777</v>
      </c>
      <c r="N6631" s="82"/>
      <c r="O6631" s="51"/>
    </row>
    <row r="6632">
      <c r="A6632" s="56">
        <v>6629.0</v>
      </c>
      <c r="B6632" s="71"/>
      <c r="C6632" s="79" t="s">
        <v>26742</v>
      </c>
      <c r="D6632" s="82"/>
      <c r="E6632" s="80" t="s">
        <v>26743</v>
      </c>
      <c r="F6632" s="98">
        <v>41808.0</v>
      </c>
      <c r="G6632" s="80" t="s">
        <v>26744</v>
      </c>
      <c r="H6632" s="80" t="s">
        <v>26745</v>
      </c>
      <c r="I6632" s="80" t="s">
        <v>26746</v>
      </c>
      <c r="J6632" s="63" t="s">
        <v>136</v>
      </c>
      <c r="K6632" s="81">
        <v>43917.0</v>
      </c>
      <c r="L6632" s="80" t="s">
        <v>2743</v>
      </c>
      <c r="M6632" s="80" t="s">
        <v>4749</v>
      </c>
      <c r="N6632" s="116"/>
      <c r="O6632" s="51"/>
    </row>
    <row r="6633">
      <c r="A6633" s="56">
        <v>6630.0</v>
      </c>
      <c r="B6633" s="71"/>
      <c r="C6633" s="69" t="s">
        <v>26747</v>
      </c>
      <c r="D6633" s="71"/>
      <c r="E6633" s="68" t="s">
        <v>26748</v>
      </c>
      <c r="F6633" s="76">
        <v>43875.0</v>
      </c>
      <c r="G6633" s="68" t="s">
        <v>26749</v>
      </c>
      <c r="H6633" s="68" t="s">
        <v>26750</v>
      </c>
      <c r="I6633" s="82"/>
      <c r="J6633" s="68" t="s">
        <v>26751</v>
      </c>
      <c r="K6633" s="76">
        <v>43921.0</v>
      </c>
      <c r="L6633" s="68" t="s">
        <v>16456</v>
      </c>
      <c r="M6633" s="68" t="s">
        <v>166</v>
      </c>
      <c r="N6633" s="116"/>
      <c r="O6633" s="51"/>
    </row>
    <row r="6634">
      <c r="A6634" s="56">
        <v>6631.0</v>
      </c>
      <c r="B6634" s="71"/>
      <c r="C6634" s="69" t="s">
        <v>26752</v>
      </c>
      <c r="D6634" s="71"/>
      <c r="E6634" s="68" t="s">
        <v>26753</v>
      </c>
      <c r="F6634" s="83">
        <v>43830.0</v>
      </c>
      <c r="G6634" s="68" t="s">
        <v>26754</v>
      </c>
      <c r="H6634" s="68" t="s">
        <v>26755</v>
      </c>
      <c r="I6634" s="71"/>
      <c r="J6634" s="68" t="s">
        <v>26756</v>
      </c>
      <c r="K6634" s="76">
        <v>43922.0</v>
      </c>
      <c r="L6634" s="68" t="s">
        <v>2743</v>
      </c>
      <c r="M6634" s="68" t="s">
        <v>149</v>
      </c>
      <c r="N6634" s="116"/>
      <c r="O6634" s="51"/>
    </row>
    <row r="6635">
      <c r="A6635" s="56">
        <v>6632.0</v>
      </c>
      <c r="B6635" s="71"/>
      <c r="C6635" s="79" t="s">
        <v>26757</v>
      </c>
      <c r="D6635" s="82"/>
      <c r="E6635" s="80" t="s">
        <v>26758</v>
      </c>
      <c r="F6635" s="81">
        <v>38251.0</v>
      </c>
      <c r="G6635" s="80" t="s">
        <v>26759</v>
      </c>
      <c r="H6635" s="80" t="s">
        <v>26760</v>
      </c>
      <c r="I6635" s="80" t="s">
        <v>26761</v>
      </c>
      <c r="J6635" s="63" t="s">
        <v>136</v>
      </c>
      <c r="K6635" s="81">
        <v>43931.0</v>
      </c>
      <c r="L6635" s="80" t="s">
        <v>2743</v>
      </c>
      <c r="M6635" s="80" t="s">
        <v>4749</v>
      </c>
      <c r="N6635" s="116"/>
      <c r="O6635" s="51"/>
    </row>
    <row r="6636">
      <c r="A6636" s="75">
        <v>6633.0</v>
      </c>
      <c r="B6636" s="71"/>
      <c r="C6636" s="69" t="s">
        <v>26762</v>
      </c>
      <c r="D6636" s="87" t="s">
        <v>26763</v>
      </c>
      <c r="E6636" s="68" t="s">
        <v>26764</v>
      </c>
      <c r="F6636" s="76">
        <v>41823.0</v>
      </c>
      <c r="G6636" s="68" t="s">
        <v>26765</v>
      </c>
      <c r="H6636" s="68" t="s">
        <v>26766</v>
      </c>
      <c r="I6636" s="71"/>
      <c r="J6636" s="68" t="s">
        <v>26767</v>
      </c>
      <c r="K6636" s="76">
        <v>43931.0</v>
      </c>
      <c r="L6636" s="68" t="s">
        <v>2743</v>
      </c>
      <c r="M6636" s="68" t="s">
        <v>368</v>
      </c>
      <c r="N6636" s="116"/>
      <c r="O6636" s="51"/>
    </row>
    <row r="6637">
      <c r="A6637" s="75">
        <v>6634.0</v>
      </c>
      <c r="B6637" s="71"/>
      <c r="C6637" s="69" t="s">
        <v>26768</v>
      </c>
      <c r="D6637" s="87" t="s">
        <v>26763</v>
      </c>
      <c r="E6637" s="68" t="s">
        <v>26769</v>
      </c>
      <c r="F6637" s="76">
        <v>41823.0</v>
      </c>
      <c r="G6637" s="68" t="s">
        <v>26765</v>
      </c>
      <c r="H6637" s="68" t="s">
        <v>26770</v>
      </c>
      <c r="I6637" s="71"/>
      <c r="J6637" s="68" t="s">
        <v>26771</v>
      </c>
      <c r="K6637" s="76">
        <v>43931.0</v>
      </c>
      <c r="L6637" s="68" t="s">
        <v>2743</v>
      </c>
      <c r="M6637" s="68" t="s">
        <v>368</v>
      </c>
      <c r="N6637" s="116"/>
      <c r="O6637" s="51"/>
    </row>
    <row r="6638">
      <c r="A6638" s="75">
        <v>6635.0</v>
      </c>
      <c r="B6638" s="71"/>
      <c r="C6638" s="69" t="s">
        <v>26772</v>
      </c>
      <c r="D6638" s="87" t="s">
        <v>26763</v>
      </c>
      <c r="E6638" s="68" t="s">
        <v>26773</v>
      </c>
      <c r="F6638" s="76">
        <v>41823.0</v>
      </c>
      <c r="G6638" s="68" t="s">
        <v>26774</v>
      </c>
      <c r="H6638" s="68" t="s">
        <v>26775</v>
      </c>
      <c r="I6638" s="71"/>
      <c r="J6638" s="68" t="s">
        <v>26776</v>
      </c>
      <c r="K6638" s="76">
        <v>43931.0</v>
      </c>
      <c r="L6638" s="68" t="s">
        <v>2743</v>
      </c>
      <c r="M6638" s="68" t="s">
        <v>368</v>
      </c>
      <c r="N6638" s="116"/>
      <c r="O6638" s="51"/>
    </row>
    <row r="6639">
      <c r="A6639" s="56">
        <v>6636.0</v>
      </c>
      <c r="B6639" s="71"/>
      <c r="C6639" s="79" t="s">
        <v>26777</v>
      </c>
      <c r="D6639" s="82"/>
      <c r="E6639" s="80" t="s">
        <v>26778</v>
      </c>
      <c r="F6639" s="81">
        <v>43727.0</v>
      </c>
      <c r="G6639" s="80" t="s">
        <v>26779</v>
      </c>
      <c r="H6639" s="80" t="s">
        <v>26780</v>
      </c>
      <c r="I6639" s="82"/>
      <c r="J6639" s="63" t="s">
        <v>136</v>
      </c>
      <c r="K6639" s="81">
        <v>43931.0</v>
      </c>
      <c r="L6639" s="80" t="s">
        <v>2743</v>
      </c>
      <c r="M6639" s="80" t="s">
        <v>872</v>
      </c>
      <c r="N6639" s="116"/>
      <c r="O6639" s="51"/>
    </row>
    <row r="6640">
      <c r="A6640" s="75">
        <v>6637.0</v>
      </c>
      <c r="B6640" s="71"/>
      <c r="C6640" s="69" t="s">
        <v>26781</v>
      </c>
      <c r="D6640" s="71"/>
      <c r="E6640" s="68" t="s">
        <v>26782</v>
      </c>
      <c r="F6640" s="76">
        <v>43839.0</v>
      </c>
      <c r="G6640" s="68" t="s">
        <v>26783</v>
      </c>
      <c r="H6640" s="68" t="s">
        <v>26784</v>
      </c>
      <c r="I6640" s="68" t="s">
        <v>26785</v>
      </c>
      <c r="J6640" s="68" t="s">
        <v>26786</v>
      </c>
      <c r="K6640" s="76">
        <v>43931.0</v>
      </c>
      <c r="L6640" s="68" t="s">
        <v>2743</v>
      </c>
      <c r="M6640" s="68" t="s">
        <v>201</v>
      </c>
      <c r="N6640" s="116"/>
      <c r="O6640" s="51"/>
    </row>
    <row r="6641">
      <c r="A6641" s="56">
        <v>6638.0</v>
      </c>
      <c r="B6641" s="71"/>
      <c r="C6641" s="69" t="s">
        <v>26787</v>
      </c>
      <c r="D6641" s="71"/>
      <c r="E6641" s="68" t="s">
        <v>26788</v>
      </c>
      <c r="F6641" s="76">
        <v>43857.0</v>
      </c>
      <c r="G6641" s="68" t="s">
        <v>26789</v>
      </c>
      <c r="H6641" s="68" t="s">
        <v>26790</v>
      </c>
      <c r="I6641" s="71"/>
      <c r="J6641" s="100" t="s">
        <v>26791</v>
      </c>
      <c r="K6641" s="225">
        <v>43931.0</v>
      </c>
      <c r="L6641" s="68" t="s">
        <v>2743</v>
      </c>
      <c r="M6641" s="68" t="s">
        <v>542</v>
      </c>
      <c r="N6641" s="116"/>
      <c r="O6641" s="51"/>
    </row>
    <row r="6642">
      <c r="A6642" s="75">
        <v>6639.0</v>
      </c>
      <c r="B6642" s="71"/>
      <c r="C6642" s="69" t="s">
        <v>26792</v>
      </c>
      <c r="D6642" s="71"/>
      <c r="E6642" s="68" t="s">
        <v>26793</v>
      </c>
      <c r="F6642" s="76">
        <v>43861.0</v>
      </c>
      <c r="G6642" s="68" t="s">
        <v>26794</v>
      </c>
      <c r="H6642" s="68" t="s">
        <v>439</v>
      </c>
      <c r="I6642" s="71"/>
      <c r="J6642" s="68" t="s">
        <v>26795</v>
      </c>
      <c r="K6642" s="76">
        <v>43943.0</v>
      </c>
      <c r="L6642" s="68" t="s">
        <v>26796</v>
      </c>
      <c r="M6642" s="68" t="s">
        <v>166</v>
      </c>
      <c r="N6642" s="116"/>
      <c r="O6642" s="51"/>
    </row>
    <row r="6643">
      <c r="A6643" s="56">
        <v>6640.0</v>
      </c>
      <c r="B6643" s="142"/>
      <c r="C6643" s="140" t="s">
        <v>26797</v>
      </c>
      <c r="D6643" s="142"/>
      <c r="E6643" s="84" t="s">
        <v>26798</v>
      </c>
      <c r="F6643" s="146">
        <v>43763.0</v>
      </c>
      <c r="G6643" s="84" t="s">
        <v>26799</v>
      </c>
      <c r="H6643" s="84" t="s">
        <v>26800</v>
      </c>
      <c r="I6643" s="142"/>
      <c r="J6643" s="84" t="s">
        <v>26801</v>
      </c>
      <c r="K6643" s="141">
        <v>43943.0</v>
      </c>
      <c r="L6643" s="84" t="s">
        <v>2743</v>
      </c>
      <c r="M6643" s="84" t="s">
        <v>149</v>
      </c>
      <c r="N6643" s="153" t="s">
        <v>26802</v>
      </c>
      <c r="O6643" s="51"/>
    </row>
    <row r="6644">
      <c r="A6644" s="75">
        <v>6641.0</v>
      </c>
      <c r="B6644" s="71"/>
      <c r="C6644" s="69" t="s">
        <v>26803</v>
      </c>
      <c r="D6644" s="71"/>
      <c r="E6644" s="68" t="s">
        <v>26804</v>
      </c>
      <c r="F6644" s="76">
        <v>43887.0</v>
      </c>
      <c r="G6644" s="68" t="s">
        <v>26805</v>
      </c>
      <c r="H6644" s="68" t="s">
        <v>26806</v>
      </c>
      <c r="I6644" s="71"/>
      <c r="J6644" s="68" t="s">
        <v>26807</v>
      </c>
      <c r="K6644" s="76">
        <v>43956.0</v>
      </c>
      <c r="L6644" s="68" t="s">
        <v>16456</v>
      </c>
      <c r="M6644" s="68" t="s">
        <v>24965</v>
      </c>
      <c r="N6644" s="87" t="s">
        <v>26808</v>
      </c>
      <c r="O6644" s="51"/>
    </row>
    <row r="6645">
      <c r="A6645" s="75">
        <v>6642.0</v>
      </c>
      <c r="B6645" s="71"/>
      <c r="C6645" s="69" t="s">
        <v>26809</v>
      </c>
      <c r="D6645" s="71"/>
      <c r="E6645" s="68" t="s">
        <v>26810</v>
      </c>
      <c r="F6645" s="76">
        <v>43902.0</v>
      </c>
      <c r="G6645" s="68" t="s">
        <v>26811</v>
      </c>
      <c r="H6645" s="68" t="s">
        <v>439</v>
      </c>
      <c r="I6645" s="71"/>
      <c r="J6645" s="68" t="s">
        <v>26812</v>
      </c>
      <c r="K6645" s="76">
        <v>43957.0</v>
      </c>
      <c r="L6645" s="68" t="s">
        <v>2743</v>
      </c>
      <c r="M6645" s="68" t="s">
        <v>166</v>
      </c>
      <c r="N6645" s="116"/>
      <c r="O6645" s="51"/>
    </row>
    <row r="6646">
      <c r="A6646" s="75">
        <v>6643.0</v>
      </c>
      <c r="B6646" s="71"/>
      <c r="C6646" s="69" t="s">
        <v>26813</v>
      </c>
      <c r="D6646" s="71"/>
      <c r="E6646" s="68" t="s">
        <v>26814</v>
      </c>
      <c r="F6646" s="83">
        <v>43798.0</v>
      </c>
      <c r="G6646" s="68" t="s">
        <v>26815</v>
      </c>
      <c r="H6646" s="68" t="s">
        <v>26816</v>
      </c>
      <c r="I6646" s="71"/>
      <c r="J6646" s="68" t="s">
        <v>26817</v>
      </c>
      <c r="K6646" s="76">
        <v>43957.0</v>
      </c>
      <c r="L6646" s="68" t="s">
        <v>2743</v>
      </c>
      <c r="M6646" s="68" t="s">
        <v>24965</v>
      </c>
      <c r="N6646" s="116"/>
      <c r="O6646" s="51"/>
    </row>
    <row r="6647">
      <c r="A6647" s="56">
        <v>6644.0</v>
      </c>
      <c r="B6647" s="71"/>
      <c r="C6647" s="69" t="s">
        <v>26818</v>
      </c>
      <c r="D6647" s="71"/>
      <c r="E6647" s="68" t="s">
        <v>26819</v>
      </c>
      <c r="F6647" s="76">
        <v>43595.0</v>
      </c>
      <c r="G6647" s="68" t="s">
        <v>26820</v>
      </c>
      <c r="H6647" s="68" t="s">
        <v>26821</v>
      </c>
      <c r="I6647" s="71"/>
      <c r="J6647" s="68" t="s">
        <v>26822</v>
      </c>
      <c r="K6647" s="76">
        <v>43958.0</v>
      </c>
      <c r="L6647" s="68" t="s">
        <v>2743</v>
      </c>
      <c r="M6647" s="68" t="s">
        <v>31</v>
      </c>
      <c r="N6647" s="116"/>
      <c r="O6647" s="51"/>
    </row>
    <row r="6648">
      <c r="A6648" s="56">
        <v>6645.0</v>
      </c>
      <c r="B6648" s="71"/>
      <c r="C6648" s="79" t="s">
        <v>26823</v>
      </c>
      <c r="D6648" s="82"/>
      <c r="E6648" s="80" t="s">
        <v>26824</v>
      </c>
      <c r="F6648" s="81">
        <v>42513.0</v>
      </c>
      <c r="G6648" s="80" t="s">
        <v>26825</v>
      </c>
      <c r="H6648" s="80" t="s">
        <v>26826</v>
      </c>
      <c r="I6648" s="82"/>
      <c r="J6648" s="63" t="s">
        <v>136</v>
      </c>
      <c r="K6648" s="81">
        <v>43958.0</v>
      </c>
      <c r="L6648" s="80" t="s">
        <v>2743</v>
      </c>
      <c r="M6648" s="80" t="s">
        <v>125</v>
      </c>
      <c r="N6648" s="116"/>
      <c r="O6648" s="51"/>
    </row>
    <row r="6649">
      <c r="A6649" s="56">
        <v>6646.0</v>
      </c>
      <c r="B6649" s="71"/>
      <c r="C6649" s="69" t="s">
        <v>26827</v>
      </c>
      <c r="D6649" s="71"/>
      <c r="E6649" s="68" t="s">
        <v>26828</v>
      </c>
      <c r="F6649" s="76">
        <v>43899.0</v>
      </c>
      <c r="G6649" s="68" t="s">
        <v>26829</v>
      </c>
      <c r="H6649" s="68" t="s">
        <v>26830</v>
      </c>
      <c r="I6649" s="71"/>
      <c r="J6649" s="68" t="s">
        <v>26831</v>
      </c>
      <c r="K6649" s="76">
        <v>43958.0</v>
      </c>
      <c r="L6649" s="68" t="s">
        <v>2743</v>
      </c>
      <c r="M6649" s="68" t="s">
        <v>125</v>
      </c>
      <c r="N6649" s="116"/>
      <c r="O6649" s="51"/>
    </row>
    <row r="6650">
      <c r="A6650" s="75">
        <v>6647.0</v>
      </c>
      <c r="B6650" s="71"/>
      <c r="C6650" s="69" t="s">
        <v>26832</v>
      </c>
      <c r="D6650" s="71"/>
      <c r="E6650" s="68" t="s">
        <v>26833</v>
      </c>
      <c r="F6650" s="83">
        <v>43783.0</v>
      </c>
      <c r="G6650" s="68" t="s">
        <v>26834</v>
      </c>
      <c r="H6650" s="68" t="s">
        <v>26835</v>
      </c>
      <c r="I6650" s="68" t="s">
        <v>26836</v>
      </c>
      <c r="J6650" s="68" t="s">
        <v>26837</v>
      </c>
      <c r="K6650" s="76">
        <v>43963.0</v>
      </c>
      <c r="L6650" s="68" t="s">
        <v>2743</v>
      </c>
      <c r="M6650" s="68" t="s">
        <v>4749</v>
      </c>
      <c r="N6650" s="116"/>
      <c r="O6650" s="51"/>
    </row>
    <row r="6651">
      <c r="A6651" s="56">
        <v>6648.0</v>
      </c>
      <c r="B6651" s="71"/>
      <c r="C6651" s="79" t="s">
        <v>26838</v>
      </c>
      <c r="D6651" s="82"/>
      <c r="E6651" s="80" t="s">
        <v>26839</v>
      </c>
      <c r="F6651" s="81">
        <v>42071.0</v>
      </c>
      <c r="G6651" s="80" t="s">
        <v>26840</v>
      </c>
      <c r="H6651" s="80" t="s">
        <v>26841</v>
      </c>
      <c r="I6651" s="80" t="s">
        <v>26842</v>
      </c>
      <c r="J6651" s="63" t="s">
        <v>136</v>
      </c>
      <c r="K6651" s="81">
        <v>43970.0</v>
      </c>
      <c r="L6651" s="80" t="s">
        <v>2743</v>
      </c>
      <c r="M6651" s="80" t="s">
        <v>4487</v>
      </c>
      <c r="N6651" s="116"/>
      <c r="O6651" s="51"/>
    </row>
    <row r="6652">
      <c r="A6652" s="56">
        <v>6649.0</v>
      </c>
      <c r="B6652" s="71"/>
      <c r="C6652" s="69" t="s">
        <v>26843</v>
      </c>
      <c r="D6652" s="71"/>
      <c r="E6652" s="68" t="s">
        <v>26844</v>
      </c>
      <c r="F6652" s="83">
        <v>43769.0</v>
      </c>
      <c r="G6652" s="68" t="s">
        <v>26845</v>
      </c>
      <c r="H6652" s="68" t="s">
        <v>439</v>
      </c>
      <c r="I6652" s="71"/>
      <c r="J6652" s="68" t="s">
        <v>26846</v>
      </c>
      <c r="K6652" s="76">
        <v>43970.0</v>
      </c>
      <c r="L6652" s="68" t="s">
        <v>2743</v>
      </c>
      <c r="M6652" s="68" t="s">
        <v>125</v>
      </c>
      <c r="N6652" s="116"/>
      <c r="O6652" s="51"/>
    </row>
    <row r="6653">
      <c r="A6653" s="56">
        <v>6650.0</v>
      </c>
      <c r="B6653" s="60"/>
      <c r="C6653" s="58" t="s">
        <v>26847</v>
      </c>
      <c r="D6653" s="60"/>
      <c r="E6653" s="57" t="s">
        <v>26848</v>
      </c>
      <c r="F6653" s="59">
        <v>43965.0</v>
      </c>
      <c r="G6653" s="57" t="s">
        <v>26849</v>
      </c>
      <c r="H6653" s="57" t="s">
        <v>26850</v>
      </c>
      <c r="I6653" s="60"/>
      <c r="J6653" s="57" t="s">
        <v>26851</v>
      </c>
      <c r="K6653" s="59">
        <v>43971.0</v>
      </c>
      <c r="L6653" s="57" t="s">
        <v>2743</v>
      </c>
      <c r="M6653" s="57" t="s">
        <v>143</v>
      </c>
      <c r="N6653" s="90"/>
      <c r="O6653" s="51"/>
    </row>
    <row r="6654">
      <c r="A6654" s="75">
        <v>6651.0</v>
      </c>
      <c r="B6654" s="71"/>
      <c r="C6654" s="69" t="s">
        <v>26852</v>
      </c>
      <c r="D6654" s="71"/>
      <c r="E6654" s="68" t="s">
        <v>26853</v>
      </c>
      <c r="F6654" s="76">
        <v>43944.0</v>
      </c>
      <c r="G6654" s="68" t="s">
        <v>26854</v>
      </c>
      <c r="H6654" s="68" t="s">
        <v>26855</v>
      </c>
      <c r="I6654" s="68" t="s">
        <v>26856</v>
      </c>
      <c r="J6654" s="68" t="s">
        <v>26857</v>
      </c>
      <c r="K6654" s="76">
        <v>43971.0</v>
      </c>
      <c r="L6654" s="68" t="s">
        <v>2743</v>
      </c>
      <c r="M6654" s="68" t="s">
        <v>1910</v>
      </c>
      <c r="N6654" s="116"/>
      <c r="O6654" s="51"/>
    </row>
    <row r="6655">
      <c r="A6655" s="75">
        <v>6652.0</v>
      </c>
      <c r="B6655" s="71"/>
      <c r="C6655" s="69" t="s">
        <v>26858</v>
      </c>
      <c r="D6655" s="71"/>
      <c r="E6655" s="68" t="s">
        <v>26859</v>
      </c>
      <c r="F6655" s="76">
        <v>41244.0</v>
      </c>
      <c r="G6655" s="68" t="s">
        <v>26860</v>
      </c>
      <c r="H6655" s="68" t="s">
        <v>26861</v>
      </c>
      <c r="I6655" s="71"/>
      <c r="J6655" s="68" t="s">
        <v>26862</v>
      </c>
      <c r="K6655" s="76">
        <v>43971.0</v>
      </c>
      <c r="L6655" s="68" t="s">
        <v>2743</v>
      </c>
      <c r="M6655" s="68" t="s">
        <v>26863</v>
      </c>
      <c r="N6655" s="116"/>
      <c r="O6655" s="51"/>
    </row>
    <row r="6656">
      <c r="A6656" s="75">
        <v>6653.0</v>
      </c>
      <c r="B6656" s="71"/>
      <c r="C6656" s="69" t="s">
        <v>26864</v>
      </c>
      <c r="D6656" s="71"/>
      <c r="E6656" s="68" t="s">
        <v>26865</v>
      </c>
      <c r="F6656" s="76">
        <v>43730.0</v>
      </c>
      <c r="G6656" s="68" t="s">
        <v>26866</v>
      </c>
      <c r="H6656" s="68" t="s">
        <v>26867</v>
      </c>
      <c r="I6656" s="71"/>
      <c r="J6656" s="68" t="s">
        <v>26868</v>
      </c>
      <c r="K6656" s="76">
        <v>43971.0</v>
      </c>
      <c r="L6656" s="68" t="s">
        <v>2743</v>
      </c>
      <c r="M6656" s="68" t="s">
        <v>941</v>
      </c>
      <c r="N6656" s="87" t="s">
        <v>26869</v>
      </c>
      <c r="O6656" s="51"/>
    </row>
    <row r="6657">
      <c r="A6657" s="56">
        <v>6654.0</v>
      </c>
      <c r="B6657" s="71"/>
      <c r="C6657" s="69" t="s">
        <v>26870</v>
      </c>
      <c r="D6657" s="71"/>
      <c r="E6657" s="68" t="s">
        <v>26871</v>
      </c>
      <c r="F6657" s="76">
        <v>43952.0</v>
      </c>
      <c r="G6657" s="68" t="s">
        <v>26872</v>
      </c>
      <c r="H6657" s="71"/>
      <c r="I6657" s="71"/>
      <c r="J6657" s="68" t="s">
        <v>26873</v>
      </c>
      <c r="K6657" s="76">
        <v>43985.0</v>
      </c>
      <c r="L6657" s="68" t="s">
        <v>26874</v>
      </c>
      <c r="M6657" s="68" t="s">
        <v>27</v>
      </c>
      <c r="N6657" s="87" t="s">
        <v>26875</v>
      </c>
      <c r="O6657" s="51"/>
    </row>
    <row r="6658">
      <c r="A6658" s="75">
        <v>6655.0</v>
      </c>
      <c r="B6658" s="71"/>
      <c r="C6658" s="69" t="s">
        <v>26876</v>
      </c>
      <c r="D6658" s="71"/>
      <c r="E6658" s="68" t="s">
        <v>26877</v>
      </c>
      <c r="F6658" s="76">
        <v>43962.0</v>
      </c>
      <c r="G6658" s="68" t="s">
        <v>26878</v>
      </c>
      <c r="H6658" s="71"/>
      <c r="I6658" s="71"/>
      <c r="J6658" s="68" t="s">
        <v>26879</v>
      </c>
      <c r="K6658" s="76">
        <v>43985.0</v>
      </c>
      <c r="L6658" s="68" t="s">
        <v>26874</v>
      </c>
      <c r="M6658" s="68" t="s">
        <v>27</v>
      </c>
      <c r="N6658" s="116"/>
      <c r="O6658" s="51"/>
    </row>
    <row r="6659">
      <c r="A6659" s="56">
        <v>6656.0</v>
      </c>
      <c r="B6659" s="71"/>
      <c r="C6659" s="69" t="s">
        <v>26880</v>
      </c>
      <c r="D6659" s="71"/>
      <c r="E6659" s="68" t="s">
        <v>20640</v>
      </c>
      <c r="F6659" s="68" t="s">
        <v>26881</v>
      </c>
      <c r="G6659" s="68" t="s">
        <v>26882</v>
      </c>
      <c r="H6659" s="71"/>
      <c r="I6659" s="71"/>
      <c r="J6659" s="68" t="s">
        <v>26883</v>
      </c>
      <c r="K6659" s="76">
        <v>43985.0</v>
      </c>
      <c r="L6659" s="68" t="s">
        <v>2743</v>
      </c>
      <c r="M6659" s="68" t="s">
        <v>5707</v>
      </c>
      <c r="N6659" s="116"/>
      <c r="O6659" s="51"/>
    </row>
    <row r="6660">
      <c r="A6660" s="56">
        <v>6657.0</v>
      </c>
      <c r="B6660" s="71"/>
      <c r="C6660" s="79" t="s">
        <v>26884</v>
      </c>
      <c r="D6660" s="82"/>
      <c r="E6660" s="80" t="s">
        <v>26885</v>
      </c>
      <c r="F6660" s="81">
        <v>42347.0</v>
      </c>
      <c r="G6660" s="80" t="s">
        <v>26886</v>
      </c>
      <c r="H6660" s="82"/>
      <c r="I6660" s="82"/>
      <c r="J6660" s="63" t="s">
        <v>136</v>
      </c>
      <c r="K6660" s="81">
        <v>43999.0</v>
      </c>
      <c r="L6660" s="80" t="s">
        <v>2743</v>
      </c>
      <c r="M6660" s="80" t="s">
        <v>15464</v>
      </c>
      <c r="N6660" s="116"/>
      <c r="O6660" s="51"/>
    </row>
    <row r="6661">
      <c r="A6661" s="56">
        <v>6658.0</v>
      </c>
      <c r="B6661" s="71"/>
      <c r="C6661" s="79" t="s">
        <v>26887</v>
      </c>
      <c r="D6661" s="82"/>
      <c r="E6661" s="80" t="s">
        <v>26888</v>
      </c>
      <c r="F6661" s="98">
        <v>43089.0</v>
      </c>
      <c r="G6661" s="80" t="s">
        <v>26889</v>
      </c>
      <c r="H6661" s="80" t="s">
        <v>26890</v>
      </c>
      <c r="I6661" s="80" t="s">
        <v>26891</v>
      </c>
      <c r="J6661" s="63" t="s">
        <v>136</v>
      </c>
      <c r="K6661" s="81">
        <v>44009.0</v>
      </c>
      <c r="L6661" s="80" t="s">
        <v>2743</v>
      </c>
      <c r="M6661" s="80" t="s">
        <v>4001</v>
      </c>
      <c r="N6661" s="116"/>
      <c r="O6661" s="51"/>
    </row>
    <row r="6662">
      <c r="A6662" s="56">
        <v>6659.0</v>
      </c>
      <c r="B6662" s="71"/>
      <c r="C6662" s="79" t="s">
        <v>26892</v>
      </c>
      <c r="D6662" s="82"/>
      <c r="E6662" s="80" t="s">
        <v>26893</v>
      </c>
      <c r="F6662" s="98">
        <v>43089.0</v>
      </c>
      <c r="G6662" s="80" t="s">
        <v>26889</v>
      </c>
      <c r="H6662" s="80" t="s">
        <v>26894</v>
      </c>
      <c r="I6662" s="80" t="s">
        <v>26891</v>
      </c>
      <c r="J6662" s="63" t="s">
        <v>136</v>
      </c>
      <c r="K6662" s="81">
        <v>44009.0</v>
      </c>
      <c r="L6662" s="80" t="s">
        <v>2743</v>
      </c>
      <c r="M6662" s="80" t="s">
        <v>4001</v>
      </c>
      <c r="N6662" s="116"/>
      <c r="O6662" s="51"/>
    </row>
    <row r="6663">
      <c r="A6663" s="56">
        <v>6660.0</v>
      </c>
      <c r="B6663" s="71"/>
      <c r="C6663" s="69" t="s">
        <v>26895</v>
      </c>
      <c r="D6663" s="71"/>
      <c r="E6663" s="68" t="s">
        <v>26896</v>
      </c>
      <c r="F6663" s="76">
        <v>43981.0</v>
      </c>
      <c r="G6663" s="68" t="s">
        <v>26897</v>
      </c>
      <c r="H6663" s="68" t="s">
        <v>439</v>
      </c>
      <c r="I6663" s="68" t="s">
        <v>26898</v>
      </c>
      <c r="J6663" s="68" t="s">
        <v>26899</v>
      </c>
      <c r="K6663" s="76">
        <v>44009.0</v>
      </c>
      <c r="L6663" s="68" t="s">
        <v>2743</v>
      </c>
      <c r="M6663" s="68" t="s">
        <v>17303</v>
      </c>
      <c r="N6663" s="116"/>
      <c r="O6663" s="51"/>
    </row>
    <row r="6664">
      <c r="A6664" s="56">
        <v>6661.0</v>
      </c>
      <c r="B6664" s="71"/>
      <c r="C6664" s="69" t="s">
        <v>26900</v>
      </c>
      <c r="D6664" s="71"/>
      <c r="E6664" s="68" t="s">
        <v>26901</v>
      </c>
      <c r="F6664" s="76">
        <v>43997.0</v>
      </c>
      <c r="G6664" s="68" t="s">
        <v>26902</v>
      </c>
      <c r="H6664" s="68" t="s">
        <v>26903</v>
      </c>
      <c r="I6664" s="71"/>
      <c r="J6664" s="68" t="s">
        <v>26904</v>
      </c>
      <c r="K6664" s="76">
        <v>44009.0</v>
      </c>
      <c r="L6664" s="68" t="s">
        <v>2743</v>
      </c>
      <c r="M6664" s="68" t="s">
        <v>143</v>
      </c>
      <c r="N6664" s="116"/>
      <c r="O6664" s="51"/>
    </row>
    <row r="6665">
      <c r="A6665" s="75">
        <v>6662.0</v>
      </c>
      <c r="B6665" s="71"/>
      <c r="C6665" s="69" t="s">
        <v>26905</v>
      </c>
      <c r="D6665" s="71"/>
      <c r="E6665" s="68" t="s">
        <v>26906</v>
      </c>
      <c r="F6665" s="76">
        <v>43939.0</v>
      </c>
      <c r="G6665" s="68" t="s">
        <v>26907</v>
      </c>
      <c r="H6665" s="68" t="s">
        <v>26908</v>
      </c>
      <c r="I6665" s="71"/>
      <c r="J6665" s="68" t="s">
        <v>26909</v>
      </c>
      <c r="K6665" s="76">
        <v>44009.0</v>
      </c>
      <c r="L6665" s="68" t="s">
        <v>2743</v>
      </c>
      <c r="M6665" s="68" t="s">
        <v>26863</v>
      </c>
      <c r="N6665" s="116"/>
      <c r="O6665" s="51"/>
    </row>
    <row r="6666">
      <c r="A6666" s="56">
        <v>6663.0</v>
      </c>
      <c r="B6666" s="71"/>
      <c r="C6666" s="79" t="s">
        <v>26910</v>
      </c>
      <c r="D6666" s="82"/>
      <c r="E6666" s="80" t="s">
        <v>26911</v>
      </c>
      <c r="F6666" s="81">
        <v>42112.0</v>
      </c>
      <c r="G6666" s="80" t="s">
        <v>26912</v>
      </c>
      <c r="H6666" s="80" t="s">
        <v>26913</v>
      </c>
      <c r="I6666" s="82"/>
      <c r="J6666" s="63" t="s">
        <v>136</v>
      </c>
      <c r="K6666" s="81">
        <v>44009.0</v>
      </c>
      <c r="L6666" s="80" t="s">
        <v>2743</v>
      </c>
      <c r="M6666" s="80" t="s">
        <v>125</v>
      </c>
      <c r="N6666" s="116"/>
      <c r="O6666" s="51"/>
    </row>
    <row r="6667">
      <c r="A6667" s="56">
        <v>6664.0</v>
      </c>
      <c r="B6667" s="71"/>
      <c r="C6667" s="79" t="s">
        <v>26914</v>
      </c>
      <c r="D6667" s="82"/>
      <c r="E6667" s="80" t="s">
        <v>26915</v>
      </c>
      <c r="F6667" s="81">
        <v>42057.0</v>
      </c>
      <c r="G6667" s="80" t="s">
        <v>26916</v>
      </c>
      <c r="H6667" s="80" t="s">
        <v>26917</v>
      </c>
      <c r="I6667" s="82"/>
      <c r="J6667" s="63" t="s">
        <v>136</v>
      </c>
      <c r="K6667" s="81">
        <v>44009.0</v>
      </c>
      <c r="L6667" s="80" t="s">
        <v>2743</v>
      </c>
      <c r="M6667" s="80" t="s">
        <v>125</v>
      </c>
      <c r="N6667" s="116"/>
      <c r="O6667" s="51"/>
    </row>
    <row r="6668">
      <c r="A6668" s="56">
        <v>6665.0</v>
      </c>
      <c r="B6668" s="71"/>
      <c r="C6668" s="79" t="s">
        <v>26918</v>
      </c>
      <c r="D6668" s="82"/>
      <c r="E6668" s="80" t="s">
        <v>26919</v>
      </c>
      <c r="F6668" s="81">
        <v>42092.0</v>
      </c>
      <c r="G6668" s="80" t="s">
        <v>26920</v>
      </c>
      <c r="H6668" s="80" t="s">
        <v>26921</v>
      </c>
      <c r="I6668" s="80" t="s">
        <v>26922</v>
      </c>
      <c r="J6668" s="63" t="s">
        <v>136</v>
      </c>
      <c r="K6668" s="81">
        <v>44009.0</v>
      </c>
      <c r="L6668" s="80" t="s">
        <v>2743</v>
      </c>
      <c r="M6668" s="80" t="s">
        <v>542</v>
      </c>
      <c r="N6668" s="87" t="s">
        <v>26923</v>
      </c>
      <c r="O6668" s="51"/>
    </row>
    <row r="6669">
      <c r="A6669" s="56">
        <v>6666.0</v>
      </c>
      <c r="B6669" s="71"/>
      <c r="C6669" s="79" t="s">
        <v>26924</v>
      </c>
      <c r="D6669" s="82"/>
      <c r="E6669" s="80" t="s">
        <v>26925</v>
      </c>
      <c r="F6669" s="98">
        <v>43820.0</v>
      </c>
      <c r="G6669" s="80" t="s">
        <v>26926</v>
      </c>
      <c r="H6669" s="80" t="s">
        <v>26927</v>
      </c>
      <c r="I6669" s="80" t="s">
        <v>26928</v>
      </c>
      <c r="J6669" s="63" t="s">
        <v>136</v>
      </c>
      <c r="K6669" s="81">
        <v>44013.0</v>
      </c>
      <c r="L6669" s="80" t="s">
        <v>26929</v>
      </c>
      <c r="M6669" s="80" t="s">
        <v>7530</v>
      </c>
      <c r="N6669" s="87" t="s">
        <v>26930</v>
      </c>
      <c r="O6669" s="51"/>
    </row>
    <row r="6670">
      <c r="A6670" s="56">
        <v>6667.0</v>
      </c>
      <c r="B6670" s="71"/>
      <c r="C6670" s="79" t="s">
        <v>26931</v>
      </c>
      <c r="D6670" s="82"/>
      <c r="E6670" s="80" t="s">
        <v>26932</v>
      </c>
      <c r="F6670" s="81">
        <v>43009.0</v>
      </c>
      <c r="G6670" s="80" t="s">
        <v>26933</v>
      </c>
      <c r="H6670" s="80" t="s">
        <v>26934</v>
      </c>
      <c r="I6670" s="80" t="s">
        <v>26935</v>
      </c>
      <c r="J6670" s="63" t="s">
        <v>136</v>
      </c>
      <c r="K6670" s="81">
        <v>44013.0</v>
      </c>
      <c r="L6670" s="80" t="s">
        <v>26929</v>
      </c>
      <c r="M6670" s="80" t="s">
        <v>166</v>
      </c>
      <c r="N6670" s="87" t="s">
        <v>26936</v>
      </c>
      <c r="O6670" s="51"/>
    </row>
    <row r="6671">
      <c r="A6671" s="56">
        <v>6668.0</v>
      </c>
      <c r="B6671" s="71"/>
      <c r="C6671" s="69" t="s">
        <v>26937</v>
      </c>
      <c r="D6671" s="71"/>
      <c r="E6671" s="68" t="s">
        <v>26938</v>
      </c>
      <c r="F6671" s="76">
        <v>43270.0</v>
      </c>
      <c r="G6671" s="68" t="s">
        <v>26939</v>
      </c>
      <c r="H6671" s="71"/>
      <c r="I6671" s="71"/>
      <c r="J6671" s="68" t="s">
        <v>26940</v>
      </c>
      <c r="K6671" s="76">
        <v>44013.0</v>
      </c>
      <c r="L6671" s="68" t="s">
        <v>26929</v>
      </c>
      <c r="M6671" s="68" t="s">
        <v>18576</v>
      </c>
      <c r="N6671" s="116"/>
      <c r="O6671" s="51"/>
    </row>
    <row r="6672">
      <c r="A6672" s="56">
        <v>6669.0</v>
      </c>
      <c r="B6672" s="71"/>
      <c r="C6672" s="79" t="s">
        <v>26941</v>
      </c>
      <c r="D6672" s="82"/>
      <c r="E6672" s="80" t="s">
        <v>26942</v>
      </c>
      <c r="F6672" s="81">
        <v>43002.0</v>
      </c>
      <c r="G6672" s="80" t="s">
        <v>26943</v>
      </c>
      <c r="H6672" s="80" t="s">
        <v>26944</v>
      </c>
      <c r="I6672" s="82"/>
      <c r="J6672" s="63" t="s">
        <v>136</v>
      </c>
      <c r="K6672" s="81">
        <v>44014.0</v>
      </c>
      <c r="L6672" s="80" t="s">
        <v>2743</v>
      </c>
      <c r="M6672" s="80" t="s">
        <v>125</v>
      </c>
      <c r="N6672" s="116"/>
      <c r="O6672" s="51"/>
    </row>
    <row r="6673">
      <c r="A6673" s="56">
        <v>6670.0</v>
      </c>
      <c r="B6673" s="71"/>
      <c r="C6673" s="79" t="s">
        <v>26945</v>
      </c>
      <c r="D6673" s="82"/>
      <c r="E6673" s="80" t="s">
        <v>26946</v>
      </c>
      <c r="F6673" s="81">
        <v>43950.0</v>
      </c>
      <c r="G6673" s="80" t="s">
        <v>26947</v>
      </c>
      <c r="H6673" s="80" t="s">
        <v>26948</v>
      </c>
      <c r="I6673" s="82"/>
      <c r="J6673" s="63" t="s">
        <v>136</v>
      </c>
      <c r="K6673" s="81">
        <v>44014.0</v>
      </c>
      <c r="L6673" s="80" t="s">
        <v>2743</v>
      </c>
      <c r="M6673" s="80" t="s">
        <v>2152</v>
      </c>
      <c r="N6673" s="116"/>
      <c r="O6673" s="51"/>
    </row>
    <row r="6674">
      <c r="A6674" s="56">
        <v>6671.0</v>
      </c>
      <c r="B6674" s="71"/>
      <c r="C6674" s="69" t="s">
        <v>26949</v>
      </c>
      <c r="D6674" s="71"/>
      <c r="E6674" s="68" t="s">
        <v>26950</v>
      </c>
      <c r="F6674" s="76">
        <v>43999.0</v>
      </c>
      <c r="G6674" s="68" t="s">
        <v>26951</v>
      </c>
      <c r="H6674" s="68" t="s">
        <v>439</v>
      </c>
      <c r="I6674" s="68" t="s">
        <v>26952</v>
      </c>
      <c r="J6674" s="68" t="s">
        <v>26953</v>
      </c>
      <c r="K6674" s="76">
        <v>44014.0</v>
      </c>
      <c r="L6674" s="68" t="s">
        <v>2743</v>
      </c>
      <c r="M6674" s="68" t="s">
        <v>27</v>
      </c>
      <c r="N6674" s="116"/>
      <c r="O6674" s="51"/>
    </row>
    <row r="6675">
      <c r="A6675" s="75">
        <v>6672.0</v>
      </c>
      <c r="B6675" s="71"/>
      <c r="C6675" s="69" t="s">
        <v>26954</v>
      </c>
      <c r="D6675" s="71"/>
      <c r="E6675" s="68" t="s">
        <v>26955</v>
      </c>
      <c r="F6675" s="76">
        <v>41465.0</v>
      </c>
      <c r="G6675" s="68" t="s">
        <v>26956</v>
      </c>
      <c r="H6675" s="68" t="s">
        <v>439</v>
      </c>
      <c r="I6675" s="71"/>
      <c r="J6675" s="68" t="s">
        <v>26957</v>
      </c>
      <c r="K6675" s="76">
        <v>44015.0</v>
      </c>
      <c r="L6675" s="68" t="s">
        <v>2743</v>
      </c>
      <c r="M6675" s="68" t="s">
        <v>27</v>
      </c>
      <c r="N6675" s="116"/>
      <c r="O6675" s="51"/>
    </row>
    <row r="6676">
      <c r="A6676" s="75">
        <v>6673.0</v>
      </c>
      <c r="B6676" s="71"/>
      <c r="C6676" s="69" t="s">
        <v>26958</v>
      </c>
      <c r="D6676" s="71"/>
      <c r="E6676" s="68" t="s">
        <v>26959</v>
      </c>
      <c r="F6676" s="76">
        <v>41465.0</v>
      </c>
      <c r="G6676" s="68" t="s">
        <v>26960</v>
      </c>
      <c r="H6676" s="68" t="s">
        <v>26961</v>
      </c>
      <c r="I6676" s="71"/>
      <c r="J6676" s="68" t="s">
        <v>26957</v>
      </c>
      <c r="K6676" s="76">
        <v>44015.0</v>
      </c>
      <c r="L6676" s="68" t="s">
        <v>2743</v>
      </c>
      <c r="M6676" s="68" t="s">
        <v>27</v>
      </c>
      <c r="N6676" s="116"/>
      <c r="O6676" s="51"/>
    </row>
    <row r="6677">
      <c r="A6677" s="56">
        <v>6674.0</v>
      </c>
      <c r="B6677" s="71"/>
      <c r="C6677" s="79" t="s">
        <v>26962</v>
      </c>
      <c r="D6677" s="82"/>
      <c r="E6677" s="80" t="s">
        <v>26963</v>
      </c>
      <c r="F6677" s="81">
        <v>42470.0</v>
      </c>
      <c r="G6677" s="80" t="s">
        <v>26964</v>
      </c>
      <c r="H6677" s="80" t="s">
        <v>26965</v>
      </c>
      <c r="I6677" s="80" t="s">
        <v>26966</v>
      </c>
      <c r="J6677" s="63" t="s">
        <v>136</v>
      </c>
      <c r="K6677" s="81">
        <v>44015.0</v>
      </c>
      <c r="L6677" s="80" t="s">
        <v>2743</v>
      </c>
      <c r="M6677" s="80" t="s">
        <v>872</v>
      </c>
      <c r="N6677" s="116"/>
      <c r="O6677" s="51"/>
    </row>
    <row r="6678">
      <c r="A6678" s="56">
        <v>6675.0</v>
      </c>
      <c r="B6678" s="71"/>
      <c r="C6678" s="79" t="s">
        <v>26967</v>
      </c>
      <c r="D6678" s="82"/>
      <c r="E6678" s="80" t="s">
        <v>26968</v>
      </c>
      <c r="F6678" s="98">
        <v>42732.0</v>
      </c>
      <c r="G6678" s="80" t="s">
        <v>26969</v>
      </c>
      <c r="H6678" s="80" t="s">
        <v>26970</v>
      </c>
      <c r="I6678" s="82"/>
      <c r="J6678" s="63" t="s">
        <v>136</v>
      </c>
      <c r="K6678" s="81">
        <v>44015.0</v>
      </c>
      <c r="L6678" s="80" t="s">
        <v>16185</v>
      </c>
      <c r="M6678" s="80" t="s">
        <v>31</v>
      </c>
      <c r="N6678" s="116"/>
      <c r="O6678" s="51"/>
    </row>
    <row r="6679">
      <c r="A6679" s="56">
        <v>6676.0</v>
      </c>
      <c r="B6679" s="71"/>
      <c r="C6679" s="79" t="s">
        <v>26971</v>
      </c>
      <c r="D6679" s="82"/>
      <c r="E6679" s="80" t="s">
        <v>26972</v>
      </c>
      <c r="F6679" s="81">
        <v>43964.0</v>
      </c>
      <c r="G6679" s="80" t="s">
        <v>26973</v>
      </c>
      <c r="H6679" s="80" t="s">
        <v>26974</v>
      </c>
      <c r="I6679" s="82"/>
      <c r="J6679" s="63" t="s">
        <v>136</v>
      </c>
      <c r="K6679" s="81">
        <v>44016.0</v>
      </c>
      <c r="L6679" s="80" t="s">
        <v>16185</v>
      </c>
      <c r="M6679" s="80" t="s">
        <v>2748</v>
      </c>
      <c r="N6679" s="116"/>
      <c r="O6679" s="51"/>
    </row>
    <row r="6680">
      <c r="A6680" s="75">
        <v>6677.0</v>
      </c>
      <c r="B6680" s="71"/>
      <c r="C6680" s="69" t="s">
        <v>26975</v>
      </c>
      <c r="D6680" s="71"/>
      <c r="E6680" s="68" t="s">
        <v>26976</v>
      </c>
      <c r="F6680" s="76">
        <v>42610.0</v>
      </c>
      <c r="G6680" s="68" t="s">
        <v>26977</v>
      </c>
      <c r="H6680" s="68" t="s">
        <v>26978</v>
      </c>
      <c r="I6680" s="68" t="s">
        <v>26979</v>
      </c>
      <c r="J6680" s="68" t="s">
        <v>26980</v>
      </c>
      <c r="K6680" s="76">
        <v>44016.0</v>
      </c>
      <c r="L6680" s="68" t="s">
        <v>16185</v>
      </c>
      <c r="M6680" s="68" t="s">
        <v>872</v>
      </c>
      <c r="N6680" s="116"/>
      <c r="O6680" s="51"/>
    </row>
    <row r="6681">
      <c r="A6681" s="75">
        <v>6678.0</v>
      </c>
      <c r="B6681" s="71"/>
      <c r="C6681" s="69" t="s">
        <v>26981</v>
      </c>
      <c r="D6681" s="71"/>
      <c r="E6681" s="68" t="s">
        <v>26982</v>
      </c>
      <c r="F6681" s="76">
        <v>43365.0</v>
      </c>
      <c r="G6681" s="68" t="s">
        <v>26983</v>
      </c>
      <c r="H6681" s="71"/>
      <c r="I6681" s="71"/>
      <c r="J6681" s="68" t="s">
        <v>26984</v>
      </c>
      <c r="K6681" s="76">
        <v>44016.0</v>
      </c>
      <c r="L6681" s="68" t="s">
        <v>16185</v>
      </c>
      <c r="M6681" s="68" t="s">
        <v>166</v>
      </c>
      <c r="N6681" s="116"/>
      <c r="O6681" s="51"/>
    </row>
    <row r="6682">
      <c r="A6682" s="75">
        <v>6679.0</v>
      </c>
      <c r="B6682" s="71"/>
      <c r="C6682" s="69" t="s">
        <v>26985</v>
      </c>
      <c r="D6682" s="71"/>
      <c r="E6682" s="68" t="s">
        <v>26986</v>
      </c>
      <c r="F6682" s="76">
        <v>44006.0</v>
      </c>
      <c r="G6682" s="68" t="s">
        <v>26987</v>
      </c>
      <c r="H6682" s="68" t="s">
        <v>26988</v>
      </c>
      <c r="I6682" s="71"/>
      <c r="J6682" s="68" t="s">
        <v>26989</v>
      </c>
      <c r="K6682" s="76">
        <v>44023.0</v>
      </c>
      <c r="L6682" s="68" t="s">
        <v>2743</v>
      </c>
      <c r="M6682" s="68" t="s">
        <v>1435</v>
      </c>
      <c r="N6682" s="116"/>
      <c r="O6682" s="51"/>
    </row>
    <row r="6683">
      <c r="A6683" s="56">
        <v>6680.0</v>
      </c>
      <c r="B6683" s="71"/>
      <c r="C6683" s="69" t="s">
        <v>26990</v>
      </c>
      <c r="D6683" s="71"/>
      <c r="E6683" s="68" t="s">
        <v>26991</v>
      </c>
      <c r="F6683" s="76">
        <v>43988.0</v>
      </c>
      <c r="G6683" s="68" t="s">
        <v>26992</v>
      </c>
      <c r="H6683" s="68" t="s">
        <v>26993</v>
      </c>
      <c r="I6683" s="71"/>
      <c r="J6683" s="68" t="s">
        <v>26994</v>
      </c>
      <c r="K6683" s="76">
        <v>44023.0</v>
      </c>
      <c r="L6683" s="68" t="s">
        <v>2743</v>
      </c>
      <c r="M6683" s="68" t="s">
        <v>149</v>
      </c>
      <c r="N6683" s="116"/>
      <c r="O6683" s="51"/>
    </row>
    <row r="6684">
      <c r="A6684" s="75">
        <v>6681.0</v>
      </c>
      <c r="B6684" s="71"/>
      <c r="C6684" s="69" t="s">
        <v>26995</v>
      </c>
      <c r="D6684" s="71"/>
      <c r="E6684" s="68" t="s">
        <v>26996</v>
      </c>
      <c r="F6684" s="83">
        <v>43781.0</v>
      </c>
      <c r="G6684" s="68" t="s">
        <v>26997</v>
      </c>
      <c r="H6684" s="68" t="s">
        <v>26998</v>
      </c>
      <c r="I6684" s="71"/>
      <c r="J6684" s="68" t="s">
        <v>26999</v>
      </c>
      <c r="K6684" s="76">
        <v>44026.0</v>
      </c>
      <c r="L6684" s="68" t="s">
        <v>2743</v>
      </c>
      <c r="M6684" s="68" t="s">
        <v>1516</v>
      </c>
      <c r="N6684" s="116"/>
      <c r="O6684" s="51"/>
    </row>
    <row r="6685">
      <c r="A6685" s="56">
        <v>6682.0</v>
      </c>
      <c r="B6685" s="71"/>
      <c r="C6685" s="69" t="s">
        <v>27000</v>
      </c>
      <c r="D6685" s="71"/>
      <c r="E6685" s="68" t="s">
        <v>27001</v>
      </c>
      <c r="F6685" s="83">
        <v>43781.0</v>
      </c>
      <c r="G6685" s="68" t="s">
        <v>27002</v>
      </c>
      <c r="H6685" s="68" t="s">
        <v>27003</v>
      </c>
      <c r="I6685" s="71"/>
      <c r="J6685" s="68" t="s">
        <v>27004</v>
      </c>
      <c r="K6685" s="76">
        <v>44026.0</v>
      </c>
      <c r="L6685" s="68" t="s">
        <v>2743</v>
      </c>
      <c r="M6685" s="68" t="s">
        <v>1516</v>
      </c>
      <c r="N6685" s="116"/>
      <c r="O6685" s="51"/>
    </row>
    <row r="6686">
      <c r="A6686" s="56">
        <v>6683.0</v>
      </c>
      <c r="B6686" s="71"/>
      <c r="C6686" s="79" t="s">
        <v>27005</v>
      </c>
      <c r="D6686" s="82"/>
      <c r="E6686" s="80" t="s">
        <v>27006</v>
      </c>
      <c r="F6686" s="81">
        <v>42009.0</v>
      </c>
      <c r="G6686" s="80" t="s">
        <v>27007</v>
      </c>
      <c r="H6686" s="80" t="s">
        <v>27008</v>
      </c>
      <c r="I6686" s="80" t="s">
        <v>27009</v>
      </c>
      <c r="J6686" s="63" t="s">
        <v>136</v>
      </c>
      <c r="K6686" s="81">
        <v>44026.0</v>
      </c>
      <c r="L6686" s="80" t="s">
        <v>2743</v>
      </c>
      <c r="M6686" s="80" t="s">
        <v>166</v>
      </c>
      <c r="N6686" s="116"/>
      <c r="O6686" s="51"/>
    </row>
    <row r="6687">
      <c r="A6687" s="56">
        <v>6684.0</v>
      </c>
      <c r="B6687" s="71"/>
      <c r="C6687" s="69" t="s">
        <v>27010</v>
      </c>
      <c r="D6687" s="71"/>
      <c r="E6687" s="68" t="s">
        <v>27011</v>
      </c>
      <c r="F6687" s="76">
        <v>44021.0</v>
      </c>
      <c r="G6687" s="68" t="s">
        <v>27012</v>
      </c>
      <c r="H6687" s="68" t="s">
        <v>27013</v>
      </c>
      <c r="I6687" s="71"/>
      <c r="J6687" s="68" t="s">
        <v>27014</v>
      </c>
      <c r="K6687" s="76">
        <v>44026.0</v>
      </c>
      <c r="L6687" s="68" t="s">
        <v>2743</v>
      </c>
      <c r="M6687" s="68" t="s">
        <v>2527</v>
      </c>
      <c r="N6687" s="116"/>
      <c r="O6687" s="51"/>
    </row>
    <row r="6688">
      <c r="A6688" s="75">
        <v>6685.0</v>
      </c>
      <c r="B6688" s="71"/>
      <c r="C6688" s="69" t="s">
        <v>27015</v>
      </c>
      <c r="D6688" s="71"/>
      <c r="E6688" s="68" t="s">
        <v>27016</v>
      </c>
      <c r="F6688" s="76">
        <v>41456.0</v>
      </c>
      <c r="G6688" s="68" t="s">
        <v>27017</v>
      </c>
      <c r="H6688" s="68" t="s">
        <v>27018</v>
      </c>
      <c r="I6688" s="71"/>
      <c r="J6688" s="68" t="s">
        <v>27019</v>
      </c>
      <c r="K6688" s="76">
        <v>44026.0</v>
      </c>
      <c r="L6688" s="68" t="s">
        <v>2743</v>
      </c>
      <c r="M6688" s="68" t="s">
        <v>27020</v>
      </c>
      <c r="N6688" s="116"/>
      <c r="O6688" s="51"/>
    </row>
    <row r="6689">
      <c r="A6689" s="75">
        <v>6686.0</v>
      </c>
      <c r="B6689" s="71"/>
      <c r="C6689" s="69" t="s">
        <v>27021</v>
      </c>
      <c r="D6689" s="71"/>
      <c r="E6689" s="68" t="s">
        <v>27022</v>
      </c>
      <c r="F6689" s="76">
        <v>43995.0</v>
      </c>
      <c r="G6689" s="68" t="s">
        <v>27023</v>
      </c>
      <c r="H6689" s="68" t="s">
        <v>439</v>
      </c>
      <c r="I6689" s="71"/>
      <c r="J6689" s="68" t="s">
        <v>27024</v>
      </c>
      <c r="K6689" s="76">
        <v>44026.0</v>
      </c>
      <c r="L6689" s="68" t="s">
        <v>26929</v>
      </c>
      <c r="M6689" s="68" t="s">
        <v>27</v>
      </c>
      <c r="N6689" s="116"/>
      <c r="O6689" s="51"/>
    </row>
    <row r="6690">
      <c r="A6690" s="56">
        <v>6687.0</v>
      </c>
      <c r="B6690" s="71"/>
      <c r="C6690" s="69" t="s">
        <v>27025</v>
      </c>
      <c r="D6690" s="71"/>
      <c r="E6690" s="68" t="s">
        <v>27026</v>
      </c>
      <c r="F6690" s="76">
        <v>43995.0</v>
      </c>
      <c r="G6690" s="68" t="s">
        <v>27023</v>
      </c>
      <c r="H6690" s="68" t="s">
        <v>439</v>
      </c>
      <c r="I6690" s="71"/>
      <c r="J6690" s="68" t="s">
        <v>27027</v>
      </c>
      <c r="K6690" s="76">
        <v>44026.0</v>
      </c>
      <c r="L6690" s="68" t="s">
        <v>26929</v>
      </c>
      <c r="M6690" s="68" t="s">
        <v>27</v>
      </c>
      <c r="N6690" s="116"/>
      <c r="O6690" s="51"/>
    </row>
    <row r="6691">
      <c r="A6691" s="56">
        <v>6688.0</v>
      </c>
      <c r="B6691" s="71"/>
      <c r="C6691" s="79" t="s">
        <v>27028</v>
      </c>
      <c r="D6691" s="82"/>
      <c r="E6691" s="80" t="s">
        <v>27029</v>
      </c>
      <c r="F6691" s="81">
        <v>42835.0</v>
      </c>
      <c r="G6691" s="80" t="s">
        <v>27030</v>
      </c>
      <c r="H6691" s="80" t="s">
        <v>27031</v>
      </c>
      <c r="I6691" s="82"/>
      <c r="J6691" s="63" t="s">
        <v>136</v>
      </c>
      <c r="K6691" s="81">
        <v>44027.0</v>
      </c>
      <c r="L6691" s="80" t="s">
        <v>2743</v>
      </c>
      <c r="M6691" s="80" t="s">
        <v>166</v>
      </c>
      <c r="N6691" s="116"/>
      <c r="O6691" s="51"/>
    </row>
    <row r="6692">
      <c r="A6692" s="56">
        <v>6689.0</v>
      </c>
      <c r="B6692" s="71"/>
      <c r="C6692" s="69" t="s">
        <v>27032</v>
      </c>
      <c r="D6692" s="71"/>
      <c r="E6692" s="68" t="s">
        <v>27033</v>
      </c>
      <c r="F6692" s="76">
        <v>43927.0</v>
      </c>
      <c r="G6692" s="68" t="s">
        <v>27034</v>
      </c>
      <c r="H6692" s="68" t="s">
        <v>27035</v>
      </c>
      <c r="I6692" s="71"/>
      <c r="J6692" s="68" t="s">
        <v>27036</v>
      </c>
      <c r="K6692" s="76">
        <v>44027.0</v>
      </c>
      <c r="L6692" s="68" t="s">
        <v>2743</v>
      </c>
      <c r="M6692" s="68" t="s">
        <v>125</v>
      </c>
      <c r="N6692" s="116"/>
      <c r="O6692" s="51"/>
    </row>
    <row r="6693">
      <c r="A6693" s="56">
        <v>6690.0</v>
      </c>
      <c r="B6693" s="71"/>
      <c r="C6693" s="69" t="s">
        <v>27037</v>
      </c>
      <c r="D6693" s="71"/>
      <c r="E6693" s="68" t="s">
        <v>27038</v>
      </c>
      <c r="F6693" s="76">
        <v>42484.0</v>
      </c>
      <c r="G6693" s="68" t="s">
        <v>27039</v>
      </c>
      <c r="H6693" s="68" t="s">
        <v>27040</v>
      </c>
      <c r="I6693" s="71"/>
      <c r="J6693" s="68" t="s">
        <v>27041</v>
      </c>
      <c r="K6693" s="76">
        <v>44030.0</v>
      </c>
      <c r="L6693" s="68" t="s">
        <v>2743</v>
      </c>
      <c r="M6693" s="68" t="s">
        <v>166</v>
      </c>
      <c r="N6693" s="116"/>
      <c r="O6693" s="51"/>
    </row>
    <row r="6694">
      <c r="A6694" s="56">
        <v>6691.0</v>
      </c>
      <c r="B6694" s="71"/>
      <c r="C6694" s="79" t="s">
        <v>27042</v>
      </c>
      <c r="D6694" s="82"/>
      <c r="E6694" s="80" t="s">
        <v>27043</v>
      </c>
      <c r="F6694" s="81">
        <v>42474.0</v>
      </c>
      <c r="G6694" s="80" t="s">
        <v>27044</v>
      </c>
      <c r="H6694" s="80" t="s">
        <v>27045</v>
      </c>
      <c r="I6694" s="82"/>
      <c r="J6694" s="63" t="s">
        <v>136</v>
      </c>
      <c r="K6694" s="81">
        <v>44030.0</v>
      </c>
      <c r="L6694" s="80" t="s">
        <v>2743</v>
      </c>
      <c r="M6694" s="80" t="s">
        <v>125</v>
      </c>
      <c r="N6694" s="116"/>
      <c r="O6694" s="51"/>
    </row>
    <row r="6695">
      <c r="A6695" s="75">
        <v>6692.0</v>
      </c>
      <c r="B6695" s="71"/>
      <c r="C6695" s="69" t="s">
        <v>27046</v>
      </c>
      <c r="D6695" s="71"/>
      <c r="E6695" s="68" t="s">
        <v>27047</v>
      </c>
      <c r="F6695" s="76">
        <v>44023.0</v>
      </c>
      <c r="G6695" s="68" t="s">
        <v>27048</v>
      </c>
      <c r="H6695" s="68" t="s">
        <v>27049</v>
      </c>
      <c r="I6695" s="71"/>
      <c r="J6695" s="68" t="s">
        <v>27050</v>
      </c>
      <c r="K6695" s="76">
        <v>44032.0</v>
      </c>
      <c r="L6695" s="68" t="s">
        <v>2743</v>
      </c>
      <c r="M6695" s="68" t="s">
        <v>166</v>
      </c>
      <c r="N6695" s="116"/>
      <c r="O6695" s="51"/>
    </row>
    <row r="6696">
      <c r="A6696" s="75">
        <v>6693.0</v>
      </c>
      <c r="B6696" s="71"/>
      <c r="C6696" s="69" t="s">
        <v>27051</v>
      </c>
      <c r="D6696" s="71"/>
      <c r="E6696" s="68" t="s">
        <v>27052</v>
      </c>
      <c r="F6696" s="76">
        <v>43664.0</v>
      </c>
      <c r="G6696" s="68" t="s">
        <v>27053</v>
      </c>
      <c r="H6696" s="68" t="s">
        <v>27054</v>
      </c>
      <c r="I6696" s="71"/>
      <c r="J6696" s="68" t="s">
        <v>27055</v>
      </c>
      <c r="K6696" s="76">
        <v>44032.0</v>
      </c>
      <c r="L6696" s="68" t="s">
        <v>2743</v>
      </c>
      <c r="M6696" s="68" t="s">
        <v>125</v>
      </c>
      <c r="N6696" s="116"/>
      <c r="O6696" s="51"/>
    </row>
    <row r="6697">
      <c r="A6697" s="75">
        <v>6694.0</v>
      </c>
      <c r="B6697" s="71"/>
      <c r="C6697" s="69" t="s">
        <v>27056</v>
      </c>
      <c r="D6697" s="71"/>
      <c r="E6697" s="68" t="s">
        <v>27057</v>
      </c>
      <c r="F6697" s="76">
        <v>41378.0</v>
      </c>
      <c r="G6697" s="68" t="s">
        <v>27058</v>
      </c>
      <c r="H6697" s="271" t="s">
        <v>27059</v>
      </c>
      <c r="I6697" s="101"/>
      <c r="J6697" s="68" t="s">
        <v>27060</v>
      </c>
      <c r="K6697" s="76">
        <v>44032.0</v>
      </c>
      <c r="L6697" s="68" t="s">
        <v>2743</v>
      </c>
      <c r="M6697" s="68" t="s">
        <v>125</v>
      </c>
      <c r="N6697" s="116"/>
      <c r="O6697" s="51"/>
    </row>
    <row r="6698">
      <c r="A6698" s="56">
        <v>6695.0</v>
      </c>
      <c r="B6698" s="71"/>
      <c r="C6698" s="79" t="s">
        <v>27061</v>
      </c>
      <c r="D6698" s="82"/>
      <c r="E6698" s="80" t="s">
        <v>27062</v>
      </c>
      <c r="F6698" s="81">
        <v>41406.0</v>
      </c>
      <c r="G6698" s="80" t="s">
        <v>27063</v>
      </c>
      <c r="H6698" s="224" t="s">
        <v>27064</v>
      </c>
      <c r="I6698" s="82"/>
      <c r="J6698" s="63" t="s">
        <v>136</v>
      </c>
      <c r="K6698" s="81">
        <v>44033.0</v>
      </c>
      <c r="L6698" s="80" t="s">
        <v>2743</v>
      </c>
      <c r="M6698" s="80" t="s">
        <v>125</v>
      </c>
      <c r="N6698" s="116"/>
      <c r="O6698" s="51"/>
    </row>
    <row r="6699">
      <c r="A6699" s="75">
        <v>6696.0</v>
      </c>
      <c r="B6699" s="71"/>
      <c r="C6699" s="69" t="s">
        <v>27065</v>
      </c>
      <c r="D6699" s="71"/>
      <c r="E6699" s="68" t="s">
        <v>27066</v>
      </c>
      <c r="F6699" s="76">
        <v>43991.0</v>
      </c>
      <c r="G6699" s="68" t="s">
        <v>27067</v>
      </c>
      <c r="H6699" s="68" t="s">
        <v>27068</v>
      </c>
      <c r="I6699" s="71"/>
      <c r="J6699" s="68" t="s">
        <v>27069</v>
      </c>
      <c r="K6699" s="76">
        <v>44033.0</v>
      </c>
      <c r="L6699" s="68" t="s">
        <v>2743</v>
      </c>
      <c r="M6699" s="68" t="s">
        <v>19781</v>
      </c>
      <c r="N6699" s="116"/>
      <c r="O6699" s="51"/>
    </row>
    <row r="6700">
      <c r="A6700" s="75">
        <v>6697.0</v>
      </c>
      <c r="B6700" s="71"/>
      <c r="C6700" s="69" t="s">
        <v>27070</v>
      </c>
      <c r="D6700" s="71"/>
      <c r="E6700" s="68" t="s">
        <v>27071</v>
      </c>
      <c r="F6700" s="76">
        <v>44006.0</v>
      </c>
      <c r="G6700" s="68" t="s">
        <v>27072</v>
      </c>
      <c r="H6700" s="68" t="s">
        <v>27073</v>
      </c>
      <c r="I6700" s="71"/>
      <c r="J6700" s="68" t="s">
        <v>27074</v>
      </c>
      <c r="K6700" s="76">
        <v>44033.0</v>
      </c>
      <c r="L6700" s="68" t="s">
        <v>19825</v>
      </c>
      <c r="M6700" s="68" t="s">
        <v>166</v>
      </c>
      <c r="N6700" s="116"/>
      <c r="O6700" s="51"/>
    </row>
    <row r="6701">
      <c r="A6701" s="75">
        <v>6698.0</v>
      </c>
      <c r="B6701" s="71"/>
      <c r="C6701" s="69" t="s">
        <v>27075</v>
      </c>
      <c r="D6701" s="71"/>
      <c r="E6701" s="68" t="s">
        <v>27076</v>
      </c>
      <c r="F6701" s="76">
        <v>44002.0</v>
      </c>
      <c r="G6701" s="68" t="s">
        <v>27077</v>
      </c>
      <c r="H6701" s="68" t="s">
        <v>27078</v>
      </c>
      <c r="I6701" s="71"/>
      <c r="J6701" s="68" t="s">
        <v>27079</v>
      </c>
      <c r="K6701" s="76">
        <v>44033.0</v>
      </c>
      <c r="L6701" s="68" t="s">
        <v>19825</v>
      </c>
      <c r="M6701" s="68" t="s">
        <v>27</v>
      </c>
      <c r="N6701" s="116"/>
      <c r="O6701" s="51"/>
    </row>
    <row r="6702">
      <c r="A6702" s="75">
        <v>6699.0</v>
      </c>
      <c r="B6702" s="71"/>
      <c r="C6702" s="69" t="s">
        <v>27080</v>
      </c>
      <c r="D6702" s="71"/>
      <c r="E6702" s="68" t="s">
        <v>27081</v>
      </c>
      <c r="F6702" s="83">
        <v>43451.0</v>
      </c>
      <c r="G6702" s="68" t="s">
        <v>27082</v>
      </c>
      <c r="H6702" s="68" t="s">
        <v>439</v>
      </c>
      <c r="I6702" s="71"/>
      <c r="J6702" s="68" t="s">
        <v>27083</v>
      </c>
      <c r="K6702" s="76">
        <v>44033.0</v>
      </c>
      <c r="L6702" s="68" t="s">
        <v>19825</v>
      </c>
      <c r="M6702" s="68" t="s">
        <v>18616</v>
      </c>
      <c r="N6702" s="116"/>
      <c r="O6702" s="51"/>
    </row>
    <row r="6703">
      <c r="A6703" s="75">
        <v>6700.0</v>
      </c>
      <c r="B6703" s="71"/>
      <c r="C6703" s="69" t="s">
        <v>27084</v>
      </c>
      <c r="D6703" s="71"/>
      <c r="E6703" s="68" t="s">
        <v>27085</v>
      </c>
      <c r="F6703" s="76">
        <v>44004.0</v>
      </c>
      <c r="G6703" s="68" t="s">
        <v>27086</v>
      </c>
      <c r="H6703" s="68" t="s">
        <v>27087</v>
      </c>
      <c r="I6703" s="71"/>
      <c r="J6703" s="68" t="s">
        <v>27088</v>
      </c>
      <c r="K6703" s="76">
        <v>44033.0</v>
      </c>
      <c r="L6703" s="68" t="s">
        <v>27089</v>
      </c>
      <c r="M6703" s="173" t="s">
        <v>166</v>
      </c>
      <c r="N6703" s="272"/>
      <c r="O6703" s="51"/>
    </row>
    <row r="6704">
      <c r="A6704" s="75">
        <v>6701.0</v>
      </c>
      <c r="B6704" s="71"/>
      <c r="C6704" s="69" t="s">
        <v>27090</v>
      </c>
      <c r="D6704" s="71"/>
      <c r="E6704" s="68" t="s">
        <v>27091</v>
      </c>
      <c r="F6704" s="76">
        <v>43961.0</v>
      </c>
      <c r="G6704" s="68" t="s">
        <v>27092</v>
      </c>
      <c r="H6704" s="68" t="s">
        <v>27093</v>
      </c>
      <c r="I6704" s="71"/>
      <c r="J6704" s="68" t="s">
        <v>27094</v>
      </c>
      <c r="K6704" s="76">
        <v>44035.0</v>
      </c>
      <c r="L6704" s="68" t="s">
        <v>26929</v>
      </c>
      <c r="M6704" s="128" t="s">
        <v>27095</v>
      </c>
      <c r="N6704" s="116"/>
      <c r="O6704" s="51"/>
    </row>
    <row r="6705">
      <c r="A6705" s="56">
        <v>6702.0</v>
      </c>
      <c r="B6705" s="71"/>
      <c r="C6705" s="79" t="s">
        <v>27096</v>
      </c>
      <c r="D6705" s="82"/>
      <c r="E6705" s="80" t="s">
        <v>27097</v>
      </c>
      <c r="F6705" s="81">
        <v>43586.0</v>
      </c>
      <c r="G6705" s="80" t="s">
        <v>27098</v>
      </c>
      <c r="H6705" s="80" t="s">
        <v>439</v>
      </c>
      <c r="I6705" s="82"/>
      <c r="J6705" s="63" t="s">
        <v>136</v>
      </c>
      <c r="K6705" s="81">
        <v>44035.0</v>
      </c>
      <c r="L6705" s="80" t="s">
        <v>2743</v>
      </c>
      <c r="M6705" s="80" t="s">
        <v>125</v>
      </c>
      <c r="N6705" s="116"/>
      <c r="O6705" s="51"/>
    </row>
    <row r="6706">
      <c r="A6706" s="62">
        <v>6703.0</v>
      </c>
      <c r="B6706" s="66"/>
      <c r="C6706" s="64" t="s">
        <v>27099</v>
      </c>
      <c r="D6706" s="66"/>
      <c r="E6706" s="63" t="s">
        <v>27100</v>
      </c>
      <c r="F6706" s="70">
        <v>43845.0</v>
      </c>
      <c r="G6706" s="63" t="s">
        <v>27101</v>
      </c>
      <c r="H6706" s="63" t="s">
        <v>439</v>
      </c>
      <c r="I6706" s="66"/>
      <c r="J6706" s="66"/>
      <c r="K6706" s="70">
        <v>44035.0</v>
      </c>
      <c r="L6706" s="63" t="s">
        <v>2743</v>
      </c>
      <c r="M6706" s="63" t="s">
        <v>166</v>
      </c>
      <c r="N6706" s="186"/>
      <c r="O6706" s="51"/>
    </row>
    <row r="6707">
      <c r="A6707" s="75">
        <v>6704.0</v>
      </c>
      <c r="B6707" s="71"/>
      <c r="C6707" s="69" t="s">
        <v>27102</v>
      </c>
      <c r="D6707" s="71"/>
      <c r="E6707" s="68" t="s">
        <v>27103</v>
      </c>
      <c r="F6707" s="76">
        <v>44032.0</v>
      </c>
      <c r="G6707" s="68" t="s">
        <v>27104</v>
      </c>
      <c r="H6707" s="68" t="s">
        <v>27105</v>
      </c>
      <c r="I6707" s="68" t="s">
        <v>27106</v>
      </c>
      <c r="J6707" s="68" t="s">
        <v>27107</v>
      </c>
      <c r="K6707" s="76">
        <v>44037.0</v>
      </c>
      <c r="L6707" s="68" t="s">
        <v>2743</v>
      </c>
      <c r="M6707" s="68" t="s">
        <v>1435</v>
      </c>
      <c r="N6707" s="116"/>
      <c r="O6707" s="51"/>
    </row>
    <row r="6708">
      <c r="A6708" s="56">
        <v>6705.0</v>
      </c>
      <c r="B6708" s="71"/>
      <c r="C6708" s="69" t="s">
        <v>27108</v>
      </c>
      <c r="D6708" s="71"/>
      <c r="E6708" s="68" t="s">
        <v>27109</v>
      </c>
      <c r="F6708" s="76">
        <v>44022.0</v>
      </c>
      <c r="G6708" s="68" t="s">
        <v>27110</v>
      </c>
      <c r="H6708" s="68" t="s">
        <v>27111</v>
      </c>
      <c r="I6708" s="71"/>
      <c r="J6708" s="68" t="s">
        <v>27112</v>
      </c>
      <c r="K6708" s="76">
        <v>44037.0</v>
      </c>
      <c r="L6708" s="68" t="s">
        <v>16185</v>
      </c>
      <c r="M6708" s="68" t="s">
        <v>143</v>
      </c>
      <c r="N6708" s="116"/>
      <c r="O6708" s="51"/>
    </row>
    <row r="6709">
      <c r="A6709" s="56">
        <v>6706.0</v>
      </c>
      <c r="B6709" s="71"/>
      <c r="C6709" s="69" t="s">
        <v>27113</v>
      </c>
      <c r="D6709" s="71"/>
      <c r="E6709" s="68" t="s">
        <v>27114</v>
      </c>
      <c r="F6709" s="76">
        <v>42552.0</v>
      </c>
      <c r="G6709" s="68" t="s">
        <v>27115</v>
      </c>
      <c r="H6709" s="68" t="s">
        <v>27116</v>
      </c>
      <c r="I6709" s="71"/>
      <c r="J6709" s="68" t="s">
        <v>27117</v>
      </c>
      <c r="K6709" s="76">
        <v>44039.0</v>
      </c>
      <c r="L6709" s="68" t="s">
        <v>2743</v>
      </c>
      <c r="M6709" s="68" t="s">
        <v>282</v>
      </c>
      <c r="N6709" s="116"/>
      <c r="O6709" s="51"/>
    </row>
    <row r="6710">
      <c r="A6710" s="75">
        <v>6707.0</v>
      </c>
      <c r="B6710" s="71"/>
      <c r="C6710" s="69" t="s">
        <v>27118</v>
      </c>
      <c r="D6710" s="71"/>
      <c r="E6710" s="68" t="s">
        <v>27119</v>
      </c>
      <c r="F6710" s="76">
        <v>40700.0</v>
      </c>
      <c r="G6710" s="68" t="s">
        <v>27120</v>
      </c>
      <c r="H6710" s="71"/>
      <c r="I6710" s="71"/>
      <c r="J6710" s="68" t="s">
        <v>27121</v>
      </c>
      <c r="K6710" s="76">
        <v>44040.0</v>
      </c>
      <c r="L6710" s="68" t="s">
        <v>2743</v>
      </c>
      <c r="M6710" s="68" t="s">
        <v>166</v>
      </c>
      <c r="N6710" s="116"/>
      <c r="O6710" s="51"/>
    </row>
    <row r="6711">
      <c r="A6711" s="56">
        <v>6708.0</v>
      </c>
      <c r="B6711" s="71"/>
      <c r="C6711" s="69" t="s">
        <v>27122</v>
      </c>
      <c r="D6711" s="71"/>
      <c r="E6711" s="68" t="s">
        <v>27123</v>
      </c>
      <c r="F6711" s="76">
        <v>44022.0</v>
      </c>
      <c r="G6711" s="68" t="s">
        <v>27124</v>
      </c>
      <c r="H6711" s="68" t="s">
        <v>27125</v>
      </c>
      <c r="I6711" s="68" t="s">
        <v>27126</v>
      </c>
      <c r="J6711" s="68" t="s">
        <v>27127</v>
      </c>
      <c r="K6711" s="76">
        <v>44041.0</v>
      </c>
      <c r="L6711" s="68" t="s">
        <v>2743</v>
      </c>
      <c r="M6711" s="68" t="s">
        <v>143</v>
      </c>
      <c r="N6711" s="87" t="s">
        <v>27128</v>
      </c>
      <c r="O6711" s="51"/>
    </row>
    <row r="6712">
      <c r="A6712" s="75">
        <v>6709.0</v>
      </c>
      <c r="B6712" s="71"/>
      <c r="C6712" s="69" t="s">
        <v>27129</v>
      </c>
      <c r="D6712" s="71"/>
      <c r="E6712" s="68" t="s">
        <v>27130</v>
      </c>
      <c r="F6712" s="76">
        <v>43740.0</v>
      </c>
      <c r="G6712" s="68" t="s">
        <v>27131</v>
      </c>
      <c r="H6712" s="68" t="s">
        <v>27132</v>
      </c>
      <c r="I6712" s="68" t="s">
        <v>27133</v>
      </c>
      <c r="J6712" s="68" t="s">
        <v>27134</v>
      </c>
      <c r="K6712" s="76">
        <v>44042.0</v>
      </c>
      <c r="L6712" s="68" t="s">
        <v>2743</v>
      </c>
      <c r="M6712" s="68" t="s">
        <v>27095</v>
      </c>
      <c r="N6712" s="87" t="s">
        <v>27135</v>
      </c>
      <c r="O6712" s="51"/>
    </row>
    <row r="6713">
      <c r="A6713" s="56">
        <v>6710.0</v>
      </c>
      <c r="B6713" s="71"/>
      <c r="C6713" s="69" t="s">
        <v>27136</v>
      </c>
      <c r="D6713" s="71"/>
      <c r="E6713" s="68" t="s">
        <v>27137</v>
      </c>
      <c r="F6713" s="76">
        <v>43984.0</v>
      </c>
      <c r="G6713" s="68" t="s">
        <v>27138</v>
      </c>
      <c r="H6713" s="68" t="s">
        <v>27139</v>
      </c>
      <c r="I6713" s="71"/>
      <c r="J6713" s="68" t="s">
        <v>27140</v>
      </c>
      <c r="K6713" s="76">
        <v>44046.0</v>
      </c>
      <c r="L6713" s="68" t="s">
        <v>26929</v>
      </c>
      <c r="M6713" s="68" t="s">
        <v>166</v>
      </c>
      <c r="N6713" s="130"/>
      <c r="O6713" s="51"/>
    </row>
    <row r="6714">
      <c r="A6714" s="75">
        <v>6711.0</v>
      </c>
      <c r="B6714" s="71"/>
      <c r="C6714" s="69" t="s">
        <v>27141</v>
      </c>
      <c r="D6714" s="71"/>
      <c r="E6714" s="68" t="s">
        <v>27142</v>
      </c>
      <c r="F6714" s="76">
        <v>44037.0</v>
      </c>
      <c r="G6714" s="68" t="s">
        <v>27143</v>
      </c>
      <c r="H6714" s="68" t="s">
        <v>27144</v>
      </c>
      <c r="I6714" s="71"/>
      <c r="J6714" s="68" t="s">
        <v>27145</v>
      </c>
      <c r="K6714" s="76">
        <v>44046.0</v>
      </c>
      <c r="L6714" s="68" t="s">
        <v>2743</v>
      </c>
      <c r="M6714" s="68" t="s">
        <v>31</v>
      </c>
      <c r="N6714" s="168"/>
      <c r="O6714" s="51"/>
    </row>
    <row r="6715">
      <c r="A6715" s="75">
        <v>6712.0</v>
      </c>
      <c r="B6715" s="71"/>
      <c r="C6715" s="69" t="s">
        <v>27146</v>
      </c>
      <c r="D6715" s="71"/>
      <c r="E6715" s="68" t="s">
        <v>27147</v>
      </c>
      <c r="F6715" s="76">
        <v>43875.0</v>
      </c>
      <c r="G6715" s="68" t="s">
        <v>27148</v>
      </c>
      <c r="H6715" s="68" t="s">
        <v>27149</v>
      </c>
      <c r="I6715" s="68" t="s">
        <v>27150</v>
      </c>
      <c r="J6715" s="68" t="s">
        <v>27151</v>
      </c>
      <c r="K6715" s="76">
        <v>44048.0</v>
      </c>
      <c r="L6715" s="68" t="s">
        <v>1496</v>
      </c>
      <c r="M6715" s="68" t="s">
        <v>27</v>
      </c>
      <c r="N6715" s="116"/>
      <c r="O6715" s="51"/>
    </row>
    <row r="6716">
      <c r="A6716" s="75">
        <v>6713.0</v>
      </c>
      <c r="B6716" s="71"/>
      <c r="C6716" s="69" t="s">
        <v>27152</v>
      </c>
      <c r="D6716" s="71"/>
      <c r="E6716" s="68" t="s">
        <v>4410</v>
      </c>
      <c r="F6716" s="76">
        <v>43875.0</v>
      </c>
      <c r="G6716" s="68" t="s">
        <v>27153</v>
      </c>
      <c r="H6716" s="68" t="s">
        <v>27154</v>
      </c>
      <c r="I6716" s="68" t="s">
        <v>27150</v>
      </c>
      <c r="J6716" s="68" t="s">
        <v>27155</v>
      </c>
      <c r="K6716" s="76">
        <v>44048.0</v>
      </c>
      <c r="L6716" s="68" t="s">
        <v>1496</v>
      </c>
      <c r="M6716" s="68" t="s">
        <v>27</v>
      </c>
      <c r="N6716" s="116"/>
      <c r="O6716" s="51"/>
    </row>
    <row r="6717">
      <c r="A6717" s="75">
        <v>6714.0</v>
      </c>
      <c r="B6717" s="71"/>
      <c r="C6717" s="69" t="s">
        <v>27156</v>
      </c>
      <c r="D6717" s="71"/>
      <c r="E6717" s="68" t="s">
        <v>27157</v>
      </c>
      <c r="F6717" s="76">
        <v>44019.0</v>
      </c>
      <c r="G6717" s="68" t="s">
        <v>27158</v>
      </c>
      <c r="H6717" s="68" t="s">
        <v>27159</v>
      </c>
      <c r="I6717" s="71"/>
      <c r="J6717" s="68" t="s">
        <v>27160</v>
      </c>
      <c r="K6717" s="76">
        <v>44048.0</v>
      </c>
      <c r="L6717" s="68" t="s">
        <v>19825</v>
      </c>
      <c r="M6717" s="68" t="s">
        <v>166</v>
      </c>
      <c r="N6717" s="116"/>
      <c r="O6717" s="51"/>
    </row>
    <row r="6718">
      <c r="A6718" s="75">
        <v>6715.0</v>
      </c>
      <c r="B6718" s="71"/>
      <c r="C6718" s="69" t="s">
        <v>27161</v>
      </c>
      <c r="D6718" s="71"/>
      <c r="E6718" s="68" t="s">
        <v>27162</v>
      </c>
      <c r="F6718" s="76">
        <v>43476.0</v>
      </c>
      <c r="G6718" s="68" t="s">
        <v>27163</v>
      </c>
      <c r="H6718" s="68" t="s">
        <v>27164</v>
      </c>
      <c r="I6718" s="71"/>
      <c r="J6718" s="68" t="s">
        <v>27165</v>
      </c>
      <c r="K6718" s="76">
        <v>44051.0</v>
      </c>
      <c r="L6718" s="68" t="s">
        <v>21673</v>
      </c>
      <c r="M6718" s="68" t="s">
        <v>143</v>
      </c>
      <c r="N6718" s="116"/>
      <c r="O6718" s="51"/>
    </row>
    <row r="6719">
      <c r="A6719" s="75">
        <v>6716.0</v>
      </c>
      <c r="B6719" s="71"/>
      <c r="C6719" s="69" t="s">
        <v>27166</v>
      </c>
      <c r="D6719" s="71"/>
      <c r="E6719" s="68" t="s">
        <v>27167</v>
      </c>
      <c r="F6719" s="76">
        <v>39995.0</v>
      </c>
      <c r="G6719" s="68" t="s">
        <v>27168</v>
      </c>
      <c r="H6719" s="68" t="s">
        <v>439</v>
      </c>
      <c r="I6719" s="71"/>
      <c r="J6719" s="68" t="s">
        <v>27169</v>
      </c>
      <c r="K6719" s="76">
        <v>44051.0</v>
      </c>
      <c r="L6719" s="68" t="s">
        <v>2743</v>
      </c>
      <c r="M6719" s="68" t="s">
        <v>125</v>
      </c>
      <c r="N6719" s="116"/>
      <c r="O6719" s="51"/>
    </row>
    <row r="6720">
      <c r="A6720" s="56">
        <v>6717.0</v>
      </c>
      <c r="B6720" s="71"/>
      <c r="C6720" s="79" t="s">
        <v>27170</v>
      </c>
      <c r="D6720" s="82"/>
      <c r="E6720" s="80" t="s">
        <v>27171</v>
      </c>
      <c r="F6720" s="81">
        <v>41214.0</v>
      </c>
      <c r="G6720" s="80" t="s">
        <v>27172</v>
      </c>
      <c r="H6720" s="80" t="s">
        <v>27173</v>
      </c>
      <c r="I6720" s="82"/>
      <c r="J6720" s="63" t="s">
        <v>136</v>
      </c>
      <c r="K6720" s="81">
        <v>44053.0</v>
      </c>
      <c r="L6720" s="80" t="s">
        <v>2743</v>
      </c>
      <c r="M6720" s="80" t="s">
        <v>125</v>
      </c>
      <c r="N6720" s="116"/>
      <c r="O6720" s="51"/>
    </row>
    <row r="6721">
      <c r="A6721" s="75">
        <v>6718.0</v>
      </c>
      <c r="B6721" s="71"/>
      <c r="C6721" s="69" t="s">
        <v>27174</v>
      </c>
      <c r="D6721" s="71"/>
      <c r="E6721" s="68" t="s">
        <v>27175</v>
      </c>
      <c r="F6721" s="76">
        <v>43649.0</v>
      </c>
      <c r="G6721" s="68" t="s">
        <v>27176</v>
      </c>
      <c r="H6721" s="68" t="s">
        <v>27177</v>
      </c>
      <c r="I6721" s="71"/>
      <c r="J6721" s="68" t="s">
        <v>27178</v>
      </c>
      <c r="K6721" s="76">
        <v>44053.0</v>
      </c>
      <c r="L6721" s="68" t="s">
        <v>2743</v>
      </c>
      <c r="M6721" s="68" t="s">
        <v>31</v>
      </c>
      <c r="N6721" s="116"/>
      <c r="O6721" s="51"/>
    </row>
    <row r="6722">
      <c r="A6722" s="75">
        <v>6719.0</v>
      </c>
      <c r="B6722" s="71"/>
      <c r="C6722" s="69" t="s">
        <v>27179</v>
      </c>
      <c r="D6722" s="71"/>
      <c r="E6722" s="68" t="s">
        <v>27180</v>
      </c>
      <c r="F6722" s="76">
        <v>42807.0</v>
      </c>
      <c r="G6722" s="68" t="s">
        <v>27181</v>
      </c>
      <c r="H6722" s="68" t="s">
        <v>439</v>
      </c>
      <c r="I6722" s="71"/>
      <c r="J6722" s="68" t="s">
        <v>27182</v>
      </c>
      <c r="K6722" s="76">
        <v>44053.0</v>
      </c>
      <c r="L6722" s="68" t="s">
        <v>2743</v>
      </c>
      <c r="M6722" s="68" t="s">
        <v>2152</v>
      </c>
      <c r="N6722" s="116"/>
      <c r="O6722" s="51"/>
    </row>
    <row r="6723">
      <c r="A6723" s="75">
        <v>6720.0</v>
      </c>
      <c r="B6723" s="71"/>
      <c r="C6723" s="69" t="s">
        <v>27183</v>
      </c>
      <c r="D6723" s="71"/>
      <c r="E6723" s="68" t="s">
        <v>27184</v>
      </c>
      <c r="F6723" s="76">
        <v>43705.0</v>
      </c>
      <c r="G6723" s="68" t="s">
        <v>27185</v>
      </c>
      <c r="H6723" s="68" t="s">
        <v>27186</v>
      </c>
      <c r="I6723" s="68" t="s">
        <v>27187</v>
      </c>
      <c r="J6723" s="68" t="s">
        <v>27188</v>
      </c>
      <c r="K6723" s="76">
        <v>44060.0</v>
      </c>
      <c r="L6723" s="68" t="s">
        <v>2743</v>
      </c>
      <c r="M6723" s="68" t="s">
        <v>2291</v>
      </c>
      <c r="N6723" s="116"/>
      <c r="O6723" s="51"/>
    </row>
    <row r="6724">
      <c r="A6724" s="56">
        <v>6721.0</v>
      </c>
      <c r="B6724" s="71"/>
      <c r="C6724" s="69" t="s">
        <v>27189</v>
      </c>
      <c r="D6724" s="71"/>
      <c r="E6724" s="68" t="s">
        <v>27190</v>
      </c>
      <c r="F6724" s="76">
        <v>44051.0</v>
      </c>
      <c r="G6724" s="68" t="s">
        <v>27191</v>
      </c>
      <c r="H6724" s="68" t="s">
        <v>27192</v>
      </c>
      <c r="I6724" s="71"/>
      <c r="J6724" s="68" t="s">
        <v>27193</v>
      </c>
      <c r="K6724" s="76">
        <v>44060.0</v>
      </c>
      <c r="L6724" s="68" t="s">
        <v>2743</v>
      </c>
      <c r="M6724" s="68" t="s">
        <v>143</v>
      </c>
      <c r="N6724" s="116"/>
      <c r="O6724" s="51"/>
    </row>
    <row r="6725">
      <c r="A6725" s="56">
        <v>6722.0</v>
      </c>
      <c r="B6725" s="71"/>
      <c r="C6725" s="79" t="s">
        <v>27194</v>
      </c>
      <c r="D6725" s="82"/>
      <c r="E6725" s="80" t="s">
        <v>27195</v>
      </c>
      <c r="F6725" s="98">
        <v>41934.0</v>
      </c>
      <c r="G6725" s="80" t="s">
        <v>27196</v>
      </c>
      <c r="H6725" s="80" t="s">
        <v>27197</v>
      </c>
      <c r="I6725" s="80" t="s">
        <v>27198</v>
      </c>
      <c r="J6725" s="63" t="s">
        <v>136</v>
      </c>
      <c r="K6725" s="81">
        <v>44063.0</v>
      </c>
      <c r="L6725" s="80" t="s">
        <v>2743</v>
      </c>
      <c r="M6725" s="80" t="s">
        <v>19459</v>
      </c>
      <c r="N6725" s="116"/>
      <c r="O6725" s="51"/>
    </row>
    <row r="6726">
      <c r="A6726" s="56">
        <v>6723.0</v>
      </c>
      <c r="B6726" s="71"/>
      <c r="C6726" s="79" t="s">
        <v>27199</v>
      </c>
      <c r="D6726" s="82"/>
      <c r="E6726" s="80" t="s">
        <v>27200</v>
      </c>
      <c r="F6726" s="98">
        <v>41925.0</v>
      </c>
      <c r="G6726" s="80" t="s">
        <v>27201</v>
      </c>
      <c r="H6726" s="80" t="s">
        <v>27202</v>
      </c>
      <c r="I6726" s="82"/>
      <c r="J6726" s="63" t="s">
        <v>136</v>
      </c>
      <c r="K6726" s="81">
        <v>44063.0</v>
      </c>
      <c r="L6726" s="80" t="s">
        <v>2743</v>
      </c>
      <c r="M6726" s="80" t="s">
        <v>4487</v>
      </c>
      <c r="N6726" s="116"/>
      <c r="O6726" s="51"/>
    </row>
    <row r="6727">
      <c r="A6727" s="75">
        <v>6724.0</v>
      </c>
      <c r="B6727" s="71"/>
      <c r="C6727" s="69" t="s">
        <v>27203</v>
      </c>
      <c r="D6727" s="71"/>
      <c r="E6727" s="68" t="s">
        <v>27204</v>
      </c>
      <c r="F6727" s="76">
        <v>44053.0</v>
      </c>
      <c r="G6727" s="68" t="s">
        <v>27205</v>
      </c>
      <c r="H6727" s="68" t="s">
        <v>27206</v>
      </c>
      <c r="I6727" s="71"/>
      <c r="J6727" s="68" t="s">
        <v>27207</v>
      </c>
      <c r="K6727" s="76">
        <v>44063.0</v>
      </c>
      <c r="L6727" s="68" t="s">
        <v>2743</v>
      </c>
      <c r="M6727" s="68" t="s">
        <v>2152</v>
      </c>
      <c r="N6727" s="116"/>
      <c r="O6727" s="51"/>
    </row>
    <row r="6728">
      <c r="A6728" s="56">
        <v>6725.0</v>
      </c>
      <c r="B6728" s="71"/>
      <c r="C6728" s="79" t="s">
        <v>27208</v>
      </c>
      <c r="D6728" s="82"/>
      <c r="E6728" s="80" t="s">
        <v>27209</v>
      </c>
      <c r="F6728" s="81">
        <v>43931.0</v>
      </c>
      <c r="G6728" s="80" t="s">
        <v>27210</v>
      </c>
      <c r="H6728" s="80" t="s">
        <v>27211</v>
      </c>
      <c r="I6728" s="82"/>
      <c r="J6728" s="63" t="s">
        <v>136</v>
      </c>
      <c r="K6728" s="81">
        <v>44063.0</v>
      </c>
      <c r="L6728" s="80" t="s">
        <v>2743</v>
      </c>
      <c r="M6728" s="80" t="s">
        <v>125</v>
      </c>
      <c r="N6728" s="116"/>
      <c r="O6728" s="51"/>
    </row>
    <row r="6729">
      <c r="A6729" s="75">
        <v>6726.0</v>
      </c>
      <c r="B6729" s="71"/>
      <c r="C6729" s="69" t="s">
        <v>27212</v>
      </c>
      <c r="D6729" s="71"/>
      <c r="E6729" s="68" t="s">
        <v>27213</v>
      </c>
      <c r="F6729" s="76">
        <v>43931.0</v>
      </c>
      <c r="G6729" s="68" t="s">
        <v>27214</v>
      </c>
      <c r="H6729" s="68" t="s">
        <v>27215</v>
      </c>
      <c r="I6729" s="71"/>
      <c r="J6729" s="68" t="s">
        <v>27216</v>
      </c>
      <c r="K6729" s="76">
        <v>44065.0</v>
      </c>
      <c r="L6729" s="68" t="s">
        <v>2743</v>
      </c>
      <c r="M6729" s="68" t="s">
        <v>22473</v>
      </c>
      <c r="N6729" s="116"/>
      <c r="O6729" s="51"/>
    </row>
    <row r="6730">
      <c r="A6730" s="75">
        <v>6727.0</v>
      </c>
      <c r="B6730" s="71"/>
      <c r="C6730" s="69" t="s">
        <v>27217</v>
      </c>
      <c r="D6730" s="71"/>
      <c r="E6730" s="68" t="s">
        <v>27218</v>
      </c>
      <c r="F6730" s="76">
        <v>43985.0</v>
      </c>
      <c r="G6730" s="68" t="s">
        <v>27219</v>
      </c>
      <c r="H6730" s="68" t="s">
        <v>27220</v>
      </c>
      <c r="I6730" s="71"/>
      <c r="J6730" s="68" t="s">
        <v>27221</v>
      </c>
      <c r="K6730" s="76">
        <v>44067.0</v>
      </c>
      <c r="L6730" s="68" t="s">
        <v>2743</v>
      </c>
      <c r="M6730" s="68" t="s">
        <v>149</v>
      </c>
      <c r="N6730" s="116"/>
      <c r="O6730" s="51"/>
    </row>
    <row r="6731">
      <c r="A6731" s="75">
        <v>6728.0</v>
      </c>
      <c r="B6731" s="71"/>
      <c r="C6731" s="69" t="s">
        <v>27222</v>
      </c>
      <c r="D6731" s="71"/>
      <c r="E6731" s="68" t="s">
        <v>22936</v>
      </c>
      <c r="F6731" s="76">
        <v>44047.0</v>
      </c>
      <c r="G6731" s="68" t="s">
        <v>27223</v>
      </c>
      <c r="H6731" s="68" t="s">
        <v>22938</v>
      </c>
      <c r="I6731" s="71"/>
      <c r="J6731" s="68" t="s">
        <v>27224</v>
      </c>
      <c r="K6731" s="76">
        <v>44068.0</v>
      </c>
      <c r="L6731" s="68" t="s">
        <v>2743</v>
      </c>
      <c r="M6731" s="68" t="s">
        <v>27</v>
      </c>
      <c r="N6731" s="116"/>
      <c r="O6731" s="51"/>
    </row>
    <row r="6732">
      <c r="A6732" s="75">
        <v>6729.0</v>
      </c>
      <c r="B6732" s="71"/>
      <c r="C6732" s="69" t="s">
        <v>27225</v>
      </c>
      <c r="D6732" s="71"/>
      <c r="E6732" s="68" t="s">
        <v>27226</v>
      </c>
      <c r="F6732" s="76">
        <v>43999.0</v>
      </c>
      <c r="G6732" s="68" t="s">
        <v>27227</v>
      </c>
      <c r="H6732" s="68" t="s">
        <v>27228</v>
      </c>
      <c r="I6732" s="71"/>
      <c r="J6732" s="68" t="s">
        <v>27229</v>
      </c>
      <c r="K6732" s="76">
        <v>44069.0</v>
      </c>
      <c r="L6732" s="68" t="s">
        <v>2743</v>
      </c>
      <c r="M6732" s="68" t="s">
        <v>125</v>
      </c>
      <c r="N6732" s="116"/>
      <c r="O6732" s="51"/>
    </row>
    <row r="6733">
      <c r="A6733" s="75">
        <v>6730.0</v>
      </c>
      <c r="B6733" s="71"/>
      <c r="C6733" s="69" t="s">
        <v>27230</v>
      </c>
      <c r="D6733" s="71"/>
      <c r="E6733" s="68" t="s">
        <v>27231</v>
      </c>
      <c r="F6733" s="76">
        <v>43999.0</v>
      </c>
      <c r="G6733" s="68" t="s">
        <v>27232</v>
      </c>
      <c r="H6733" s="68" t="s">
        <v>27233</v>
      </c>
      <c r="I6733" s="71"/>
      <c r="J6733" s="68" t="s">
        <v>27234</v>
      </c>
      <c r="K6733" s="76">
        <v>44069.0</v>
      </c>
      <c r="L6733" s="68" t="s">
        <v>2743</v>
      </c>
      <c r="M6733" s="68" t="s">
        <v>125</v>
      </c>
      <c r="N6733" s="116"/>
      <c r="O6733" s="51"/>
    </row>
    <row r="6734">
      <c r="A6734" s="75">
        <v>6731.0</v>
      </c>
      <c r="B6734" s="71"/>
      <c r="C6734" s="69" t="s">
        <v>27235</v>
      </c>
      <c r="D6734" s="71"/>
      <c r="E6734" s="68" t="s">
        <v>27236</v>
      </c>
      <c r="F6734" s="76">
        <v>44033.0</v>
      </c>
      <c r="G6734" s="68" t="s">
        <v>27237</v>
      </c>
      <c r="H6734" s="68" t="s">
        <v>27238</v>
      </c>
      <c r="I6734" s="68" t="s">
        <v>27239</v>
      </c>
      <c r="J6734" s="68" t="s">
        <v>27240</v>
      </c>
      <c r="K6734" s="76">
        <v>44070.0</v>
      </c>
      <c r="L6734" s="68" t="s">
        <v>2743</v>
      </c>
      <c r="M6734" s="68" t="s">
        <v>542</v>
      </c>
      <c r="N6734" s="87" t="s">
        <v>27241</v>
      </c>
      <c r="O6734" s="51"/>
    </row>
    <row r="6735">
      <c r="A6735" s="56">
        <v>6732.0</v>
      </c>
      <c r="B6735" s="71"/>
      <c r="C6735" s="79" t="s">
        <v>27242</v>
      </c>
      <c r="D6735" s="82"/>
      <c r="E6735" s="80" t="s">
        <v>27243</v>
      </c>
      <c r="F6735" s="81">
        <v>44030.0</v>
      </c>
      <c r="G6735" s="80" t="s">
        <v>27244</v>
      </c>
      <c r="H6735" s="80" t="s">
        <v>27245</v>
      </c>
      <c r="I6735" s="82"/>
      <c r="J6735" s="63" t="s">
        <v>136</v>
      </c>
      <c r="K6735" s="81">
        <v>44074.0</v>
      </c>
      <c r="L6735" s="80" t="s">
        <v>2743</v>
      </c>
      <c r="M6735" s="80" t="s">
        <v>125</v>
      </c>
      <c r="N6735" s="87" t="s">
        <v>27246</v>
      </c>
      <c r="O6735" s="51"/>
    </row>
    <row r="6736">
      <c r="A6736" s="56">
        <v>6733.0</v>
      </c>
      <c r="B6736" s="71"/>
      <c r="C6736" s="79" t="s">
        <v>27247</v>
      </c>
      <c r="D6736" s="82"/>
      <c r="E6736" s="80" t="s">
        <v>27248</v>
      </c>
      <c r="F6736" s="81">
        <v>43525.0</v>
      </c>
      <c r="G6736" s="80" t="s">
        <v>27249</v>
      </c>
      <c r="H6736" s="80" t="s">
        <v>27250</v>
      </c>
      <c r="I6736" s="80" t="s">
        <v>27251</v>
      </c>
      <c r="J6736" s="63" t="s">
        <v>136</v>
      </c>
      <c r="K6736" s="81">
        <v>44074.0</v>
      </c>
      <c r="L6736" s="80" t="s">
        <v>2743</v>
      </c>
      <c r="M6736" s="80" t="s">
        <v>368</v>
      </c>
      <c r="N6736" s="116"/>
      <c r="O6736" s="51"/>
    </row>
    <row r="6737">
      <c r="A6737" s="56">
        <v>6734.0</v>
      </c>
      <c r="B6737" s="71"/>
      <c r="C6737" s="79" t="s">
        <v>27252</v>
      </c>
      <c r="D6737" s="82"/>
      <c r="E6737" s="80" t="s">
        <v>27253</v>
      </c>
      <c r="F6737" s="81">
        <v>39976.0</v>
      </c>
      <c r="G6737" s="80" t="s">
        <v>27254</v>
      </c>
      <c r="H6737" s="80" t="s">
        <v>27255</v>
      </c>
      <c r="I6737" s="82"/>
      <c r="J6737" s="63" t="s">
        <v>136</v>
      </c>
      <c r="K6737" s="81">
        <v>44075.0</v>
      </c>
      <c r="L6737" s="80" t="s">
        <v>2743</v>
      </c>
      <c r="M6737" s="80" t="s">
        <v>27256</v>
      </c>
      <c r="N6737" s="116"/>
      <c r="O6737" s="51"/>
    </row>
    <row r="6738">
      <c r="A6738" s="75">
        <v>6735.0</v>
      </c>
      <c r="B6738" s="71"/>
      <c r="C6738" s="69" t="s">
        <v>27257</v>
      </c>
      <c r="D6738" s="71"/>
      <c r="E6738" s="68" t="s">
        <v>27258</v>
      </c>
      <c r="F6738" s="76">
        <v>44048.0</v>
      </c>
      <c r="G6738" s="68" t="s">
        <v>27259</v>
      </c>
      <c r="H6738" s="68" t="s">
        <v>27260</v>
      </c>
      <c r="I6738" s="71"/>
      <c r="J6738" s="68" t="s">
        <v>27261</v>
      </c>
      <c r="K6738" s="76">
        <v>44075.0</v>
      </c>
      <c r="L6738" s="68" t="s">
        <v>26929</v>
      </c>
      <c r="M6738" s="68" t="s">
        <v>4487</v>
      </c>
      <c r="N6738" s="116"/>
      <c r="O6738" s="51"/>
    </row>
    <row r="6739">
      <c r="A6739" s="56">
        <v>6736.0</v>
      </c>
      <c r="B6739" s="71"/>
      <c r="C6739" s="79" t="s">
        <v>27262</v>
      </c>
      <c r="D6739" s="82"/>
      <c r="E6739" s="80" t="s">
        <v>27263</v>
      </c>
      <c r="F6739" s="81">
        <v>44025.0</v>
      </c>
      <c r="G6739" s="80" t="s">
        <v>27264</v>
      </c>
      <c r="H6739" s="80" t="s">
        <v>27265</v>
      </c>
      <c r="I6739" s="82"/>
      <c r="J6739" s="63" t="s">
        <v>136</v>
      </c>
      <c r="K6739" s="81">
        <v>44077.0</v>
      </c>
      <c r="L6739" s="80" t="s">
        <v>2743</v>
      </c>
      <c r="M6739" s="80" t="s">
        <v>2263</v>
      </c>
      <c r="N6739" s="116"/>
      <c r="O6739" s="51"/>
    </row>
    <row r="6740">
      <c r="A6740" s="75">
        <v>6737.0</v>
      </c>
      <c r="B6740" s="71"/>
      <c r="C6740" s="69" t="s">
        <v>27266</v>
      </c>
      <c r="D6740" s="71"/>
      <c r="E6740" s="68" t="s">
        <v>22100</v>
      </c>
      <c r="F6740" s="76">
        <v>44071.0</v>
      </c>
      <c r="G6740" s="68" t="s">
        <v>27267</v>
      </c>
      <c r="H6740" s="68" t="s">
        <v>24523</v>
      </c>
      <c r="I6740" s="71"/>
      <c r="J6740" s="68" t="s">
        <v>27268</v>
      </c>
      <c r="K6740" s="76">
        <v>44077.0</v>
      </c>
      <c r="L6740" s="68" t="s">
        <v>2743</v>
      </c>
      <c r="M6740" s="68" t="s">
        <v>31</v>
      </c>
      <c r="N6740" s="116"/>
      <c r="O6740" s="51"/>
    </row>
    <row r="6741">
      <c r="A6741" s="75">
        <v>6738.0</v>
      </c>
      <c r="B6741" s="71"/>
      <c r="C6741" s="69" t="s">
        <v>27269</v>
      </c>
      <c r="D6741" s="71"/>
      <c r="E6741" s="68" t="s">
        <v>27270</v>
      </c>
      <c r="F6741" s="76">
        <v>44068.0</v>
      </c>
      <c r="G6741" s="68" t="s">
        <v>27271</v>
      </c>
      <c r="H6741" s="68" t="s">
        <v>27272</v>
      </c>
      <c r="I6741" s="71"/>
      <c r="J6741" s="68" t="s">
        <v>27273</v>
      </c>
      <c r="K6741" s="76">
        <v>44086.0</v>
      </c>
      <c r="L6741" s="68" t="s">
        <v>2743</v>
      </c>
      <c r="M6741" s="68" t="s">
        <v>166</v>
      </c>
      <c r="N6741" s="116"/>
      <c r="O6741" s="51"/>
    </row>
    <row r="6742">
      <c r="A6742" s="75">
        <v>6739.0</v>
      </c>
      <c r="B6742" s="71"/>
      <c r="C6742" s="69" t="s">
        <v>27274</v>
      </c>
      <c r="D6742" s="71"/>
      <c r="E6742" s="68" t="s">
        <v>27275</v>
      </c>
      <c r="F6742" s="76">
        <v>44012.0</v>
      </c>
      <c r="G6742" s="68" t="s">
        <v>27276</v>
      </c>
      <c r="H6742" s="68" t="s">
        <v>27277</v>
      </c>
      <c r="I6742" s="68" t="s">
        <v>27278</v>
      </c>
      <c r="J6742" s="68" t="s">
        <v>27279</v>
      </c>
      <c r="K6742" s="76">
        <v>44081.0</v>
      </c>
      <c r="L6742" s="68" t="s">
        <v>2743</v>
      </c>
      <c r="M6742" s="68" t="s">
        <v>3407</v>
      </c>
      <c r="N6742" s="116"/>
      <c r="O6742" s="51"/>
    </row>
    <row r="6743">
      <c r="A6743" s="75">
        <v>6740.0</v>
      </c>
      <c r="B6743" s="71"/>
      <c r="C6743" s="69" t="s">
        <v>27280</v>
      </c>
      <c r="D6743" s="71"/>
      <c r="E6743" s="68" t="s">
        <v>27281</v>
      </c>
      <c r="F6743" s="76">
        <v>44054.0</v>
      </c>
      <c r="G6743" s="68" t="s">
        <v>27282</v>
      </c>
      <c r="H6743" s="68" t="s">
        <v>27283</v>
      </c>
      <c r="I6743" s="68" t="s">
        <v>27284</v>
      </c>
      <c r="J6743" s="68" t="s">
        <v>27285</v>
      </c>
      <c r="K6743" s="76">
        <v>44083.0</v>
      </c>
      <c r="L6743" s="68" t="s">
        <v>2743</v>
      </c>
      <c r="M6743" s="68" t="s">
        <v>143</v>
      </c>
      <c r="N6743" s="116"/>
      <c r="O6743" s="51"/>
    </row>
    <row r="6744">
      <c r="A6744" s="75">
        <v>6741.0</v>
      </c>
      <c r="B6744" s="71"/>
      <c r="C6744" s="69" t="s">
        <v>27286</v>
      </c>
      <c r="D6744" s="71"/>
      <c r="E6744" s="68" t="s">
        <v>27287</v>
      </c>
      <c r="F6744" s="76">
        <v>44057.0</v>
      </c>
      <c r="G6744" s="68" t="s">
        <v>27288</v>
      </c>
      <c r="H6744" s="68" t="s">
        <v>27289</v>
      </c>
      <c r="I6744" s="68" t="s">
        <v>27290</v>
      </c>
      <c r="J6744" s="68" t="s">
        <v>27291</v>
      </c>
      <c r="K6744" s="76">
        <v>44083.0</v>
      </c>
      <c r="L6744" s="68" t="s">
        <v>2743</v>
      </c>
      <c r="M6744" s="68" t="s">
        <v>201</v>
      </c>
      <c r="N6744" s="116"/>
      <c r="O6744" s="51"/>
    </row>
    <row r="6745">
      <c r="A6745" s="75">
        <v>6742.0</v>
      </c>
      <c r="B6745" s="71"/>
      <c r="C6745" s="69" t="s">
        <v>27292</v>
      </c>
      <c r="D6745" s="71"/>
      <c r="E6745" s="68" t="s">
        <v>27293</v>
      </c>
      <c r="F6745" s="76">
        <v>43682.0</v>
      </c>
      <c r="G6745" s="68" t="s">
        <v>27294</v>
      </c>
      <c r="H6745" s="68" t="s">
        <v>27295</v>
      </c>
      <c r="I6745" s="71"/>
      <c r="J6745" s="68" t="s">
        <v>27296</v>
      </c>
      <c r="K6745" s="76">
        <v>44085.0</v>
      </c>
      <c r="L6745" s="68" t="s">
        <v>2743</v>
      </c>
      <c r="M6745" s="68" t="s">
        <v>26124</v>
      </c>
      <c r="N6745" s="116"/>
      <c r="O6745" s="51"/>
    </row>
    <row r="6746">
      <c r="A6746" s="75">
        <v>6743.0</v>
      </c>
      <c r="B6746" s="71"/>
      <c r="C6746" s="69" t="s">
        <v>27297</v>
      </c>
      <c r="D6746" s="71"/>
      <c r="E6746" s="68" t="s">
        <v>27298</v>
      </c>
      <c r="F6746" s="76">
        <v>41714.0</v>
      </c>
      <c r="G6746" s="68" t="s">
        <v>27299</v>
      </c>
      <c r="H6746" s="68" t="s">
        <v>27300</v>
      </c>
      <c r="I6746" s="71"/>
      <c r="J6746" s="68" t="s">
        <v>27301</v>
      </c>
      <c r="K6746" s="76">
        <v>44086.0</v>
      </c>
      <c r="L6746" s="68" t="s">
        <v>2743</v>
      </c>
      <c r="M6746" s="68" t="s">
        <v>530</v>
      </c>
      <c r="N6746" s="71"/>
      <c r="O6746" s="51"/>
    </row>
    <row r="6747">
      <c r="A6747" s="75">
        <v>6744.0</v>
      </c>
      <c r="B6747" s="71"/>
      <c r="C6747" s="69" t="s">
        <v>27302</v>
      </c>
      <c r="D6747" s="71"/>
      <c r="E6747" s="68" t="s">
        <v>27303</v>
      </c>
      <c r="F6747" s="76">
        <v>42804.0</v>
      </c>
      <c r="G6747" s="68" t="s">
        <v>27304</v>
      </c>
      <c r="H6747" s="68" t="s">
        <v>27305</v>
      </c>
      <c r="I6747" s="71"/>
      <c r="J6747" s="100" t="s">
        <v>27306</v>
      </c>
      <c r="K6747" s="225">
        <v>44095.0</v>
      </c>
      <c r="L6747" s="68" t="s">
        <v>2743</v>
      </c>
      <c r="M6747" s="68" t="s">
        <v>27</v>
      </c>
      <c r="N6747" s="116"/>
      <c r="O6747" s="51"/>
    </row>
    <row r="6748">
      <c r="A6748" s="75">
        <v>6745.0</v>
      </c>
      <c r="B6748" s="71"/>
      <c r="C6748" s="69" t="s">
        <v>27307</v>
      </c>
      <c r="D6748" s="71"/>
      <c r="E6748" s="68" t="s">
        <v>27308</v>
      </c>
      <c r="F6748" s="76">
        <v>43231.0</v>
      </c>
      <c r="G6748" s="68" t="s">
        <v>27309</v>
      </c>
      <c r="H6748" s="68" t="s">
        <v>27310</v>
      </c>
      <c r="I6748" s="71"/>
      <c r="J6748" s="68" t="s">
        <v>27311</v>
      </c>
      <c r="K6748" s="76">
        <v>44095.0</v>
      </c>
      <c r="L6748" s="68" t="s">
        <v>2743</v>
      </c>
      <c r="M6748" s="68" t="s">
        <v>27</v>
      </c>
      <c r="N6748" s="116"/>
      <c r="O6748" s="51"/>
    </row>
    <row r="6749">
      <c r="A6749" s="56">
        <v>6746.0</v>
      </c>
      <c r="B6749" s="71"/>
      <c r="C6749" s="79" t="s">
        <v>27312</v>
      </c>
      <c r="D6749" s="82"/>
      <c r="E6749" s="80" t="s">
        <v>27313</v>
      </c>
      <c r="F6749" s="81">
        <v>42845.0</v>
      </c>
      <c r="G6749" s="80" t="s">
        <v>27314</v>
      </c>
      <c r="H6749" s="80" t="s">
        <v>27315</v>
      </c>
      <c r="I6749" s="82"/>
      <c r="J6749" s="63" t="s">
        <v>136</v>
      </c>
      <c r="K6749" s="81">
        <v>44095.0</v>
      </c>
      <c r="L6749" s="80" t="s">
        <v>2743</v>
      </c>
      <c r="M6749" s="80" t="s">
        <v>27</v>
      </c>
      <c r="N6749" s="116"/>
      <c r="O6749" s="51"/>
    </row>
    <row r="6750">
      <c r="A6750" s="75">
        <v>6747.0</v>
      </c>
      <c r="B6750" s="71"/>
      <c r="C6750" s="69" t="s">
        <v>27316</v>
      </c>
      <c r="D6750" s="71"/>
      <c r="E6750" s="68" t="s">
        <v>27317</v>
      </c>
      <c r="F6750" s="76">
        <v>43229.0</v>
      </c>
      <c r="G6750" s="68" t="s">
        <v>27318</v>
      </c>
      <c r="H6750" s="68" t="s">
        <v>439</v>
      </c>
      <c r="I6750" s="71"/>
      <c r="J6750" s="68" t="s">
        <v>27319</v>
      </c>
      <c r="K6750" s="76">
        <v>44095.0</v>
      </c>
      <c r="L6750" s="68" t="s">
        <v>2743</v>
      </c>
      <c r="M6750" s="68" t="s">
        <v>27</v>
      </c>
      <c r="N6750" s="116"/>
      <c r="O6750" s="51"/>
    </row>
    <row r="6751">
      <c r="A6751" s="75">
        <v>6748.0</v>
      </c>
      <c r="B6751" s="71"/>
      <c r="C6751" s="69" t="s">
        <v>27320</v>
      </c>
      <c r="D6751" s="71"/>
      <c r="E6751" s="68" t="s">
        <v>27321</v>
      </c>
      <c r="F6751" s="76">
        <v>41871.0</v>
      </c>
      <c r="G6751" s="68" t="s">
        <v>27322</v>
      </c>
      <c r="H6751" s="68" t="s">
        <v>27323</v>
      </c>
      <c r="I6751" s="71"/>
      <c r="J6751" s="68" t="s">
        <v>27324</v>
      </c>
      <c r="K6751" s="76">
        <v>44095.0</v>
      </c>
      <c r="L6751" s="68" t="s">
        <v>2743</v>
      </c>
      <c r="M6751" s="68" t="s">
        <v>368</v>
      </c>
      <c r="N6751" s="116"/>
      <c r="O6751" s="51"/>
    </row>
    <row r="6752">
      <c r="A6752" s="56">
        <v>6749.0</v>
      </c>
      <c r="B6752" s="71"/>
      <c r="C6752" s="79" t="s">
        <v>27325</v>
      </c>
      <c r="D6752" s="82"/>
      <c r="E6752" s="80" t="s">
        <v>27326</v>
      </c>
      <c r="F6752" s="81">
        <v>42844.0</v>
      </c>
      <c r="G6752" s="80" t="s">
        <v>27327</v>
      </c>
      <c r="H6752" s="80" t="s">
        <v>27328</v>
      </c>
      <c r="I6752" s="82"/>
      <c r="J6752" s="63" t="s">
        <v>136</v>
      </c>
      <c r="K6752" s="81">
        <v>44095.0</v>
      </c>
      <c r="L6752" s="80" t="s">
        <v>2743</v>
      </c>
      <c r="M6752" s="80" t="s">
        <v>125</v>
      </c>
      <c r="N6752" s="116"/>
      <c r="O6752" s="51"/>
    </row>
    <row r="6753">
      <c r="A6753" s="75">
        <v>6750.0</v>
      </c>
      <c r="B6753" s="71"/>
      <c r="C6753" s="69" t="s">
        <v>27329</v>
      </c>
      <c r="D6753" s="71"/>
      <c r="E6753" s="68" t="s">
        <v>27330</v>
      </c>
      <c r="F6753" s="76">
        <v>43985.0</v>
      </c>
      <c r="G6753" s="68" t="s">
        <v>27331</v>
      </c>
      <c r="H6753" s="68" t="s">
        <v>27332</v>
      </c>
      <c r="I6753" s="71"/>
      <c r="J6753" s="68" t="s">
        <v>27333</v>
      </c>
      <c r="K6753" s="76">
        <v>44095.0</v>
      </c>
      <c r="L6753" s="68" t="s">
        <v>2743</v>
      </c>
      <c r="M6753" s="68" t="s">
        <v>10808</v>
      </c>
      <c r="N6753" s="116"/>
      <c r="O6753" s="51"/>
    </row>
    <row r="6754">
      <c r="A6754" s="56">
        <v>6751.0</v>
      </c>
      <c r="B6754" s="71"/>
      <c r="C6754" s="79" t="s">
        <v>27334</v>
      </c>
      <c r="D6754" s="82"/>
      <c r="E6754" s="80" t="s">
        <v>27335</v>
      </c>
      <c r="F6754" s="81">
        <v>41799.0</v>
      </c>
      <c r="G6754" s="80" t="s">
        <v>27336</v>
      </c>
      <c r="H6754" s="80" t="s">
        <v>27337</v>
      </c>
      <c r="I6754" s="82"/>
      <c r="J6754" s="63" t="s">
        <v>136</v>
      </c>
      <c r="K6754" s="81">
        <v>44097.0</v>
      </c>
      <c r="L6754" s="80" t="s">
        <v>16185</v>
      </c>
      <c r="M6754" s="80" t="s">
        <v>4487</v>
      </c>
      <c r="N6754" s="116"/>
      <c r="O6754" s="51"/>
    </row>
    <row r="6755">
      <c r="A6755" s="56">
        <v>6752.0</v>
      </c>
      <c r="B6755" s="71"/>
      <c r="C6755" s="79" t="s">
        <v>27338</v>
      </c>
      <c r="D6755" s="82"/>
      <c r="E6755" s="80" t="s">
        <v>27339</v>
      </c>
      <c r="F6755" s="81">
        <v>43350.0</v>
      </c>
      <c r="G6755" s="80" t="s">
        <v>27340</v>
      </c>
      <c r="H6755" s="80" t="s">
        <v>27341</v>
      </c>
      <c r="I6755" s="71"/>
      <c r="J6755" s="63" t="s">
        <v>136</v>
      </c>
      <c r="K6755" s="81">
        <v>44097.0</v>
      </c>
      <c r="L6755" s="80" t="s">
        <v>16185</v>
      </c>
      <c r="M6755" s="80" t="s">
        <v>143</v>
      </c>
      <c r="N6755" s="116"/>
      <c r="O6755" s="51"/>
    </row>
    <row r="6756">
      <c r="A6756" s="56">
        <v>6753.0</v>
      </c>
      <c r="B6756" s="71"/>
      <c r="C6756" s="79" t="s">
        <v>27342</v>
      </c>
      <c r="D6756" s="82"/>
      <c r="E6756" s="80" t="s">
        <v>27343</v>
      </c>
      <c r="F6756" s="81">
        <v>41510.0</v>
      </c>
      <c r="G6756" s="80" t="s">
        <v>27344</v>
      </c>
      <c r="H6756" s="80" t="s">
        <v>439</v>
      </c>
      <c r="I6756" s="82"/>
      <c r="J6756" s="63" t="s">
        <v>136</v>
      </c>
      <c r="K6756" s="81">
        <v>44097.0</v>
      </c>
      <c r="L6756" s="80" t="s">
        <v>16185</v>
      </c>
      <c r="M6756" s="80" t="s">
        <v>27</v>
      </c>
      <c r="N6756" s="116"/>
      <c r="O6756" s="51"/>
    </row>
    <row r="6757">
      <c r="A6757" s="75">
        <v>6754.0</v>
      </c>
      <c r="B6757" s="71"/>
      <c r="C6757" s="69" t="s">
        <v>27345</v>
      </c>
      <c r="D6757" s="71"/>
      <c r="E6757" s="68" t="s">
        <v>17174</v>
      </c>
      <c r="F6757" s="76">
        <v>43950.0</v>
      </c>
      <c r="G6757" s="68" t="s">
        <v>27346</v>
      </c>
      <c r="H6757" s="68" t="s">
        <v>17175</v>
      </c>
      <c r="I6757" s="71"/>
      <c r="J6757" s="68" t="s">
        <v>27347</v>
      </c>
      <c r="K6757" s="76">
        <v>44097.0</v>
      </c>
      <c r="L6757" s="68" t="s">
        <v>16185</v>
      </c>
      <c r="M6757" s="68" t="s">
        <v>143</v>
      </c>
      <c r="N6757" s="116"/>
      <c r="O6757" s="51"/>
    </row>
    <row r="6758">
      <c r="A6758" s="75">
        <v>6755.0</v>
      </c>
      <c r="B6758" s="71"/>
      <c r="C6758" s="69" t="s">
        <v>27348</v>
      </c>
      <c r="D6758" s="71"/>
      <c r="E6758" s="68" t="s">
        <v>27349</v>
      </c>
      <c r="F6758" s="76">
        <v>44065.0</v>
      </c>
      <c r="G6758" s="68" t="s">
        <v>27350</v>
      </c>
      <c r="H6758" s="68" t="s">
        <v>27351</v>
      </c>
      <c r="I6758" s="71"/>
      <c r="J6758" s="68" t="s">
        <v>27352</v>
      </c>
      <c r="K6758" s="76">
        <v>44099.0</v>
      </c>
      <c r="L6758" s="68" t="s">
        <v>26929</v>
      </c>
      <c r="M6758" s="68" t="s">
        <v>31</v>
      </c>
      <c r="N6758" s="116"/>
      <c r="O6758" s="51"/>
    </row>
    <row r="6759">
      <c r="A6759" s="75">
        <v>6756.0</v>
      </c>
      <c r="B6759" s="71"/>
      <c r="C6759" s="69" t="s">
        <v>27353</v>
      </c>
      <c r="D6759" s="71"/>
      <c r="E6759" s="68" t="s">
        <v>27354</v>
      </c>
      <c r="F6759" s="83">
        <v>43811.0</v>
      </c>
      <c r="G6759" s="68" t="s">
        <v>27355</v>
      </c>
      <c r="H6759" s="68" t="s">
        <v>27356</v>
      </c>
      <c r="I6759" s="68" t="s">
        <v>27357</v>
      </c>
      <c r="J6759" s="68" t="s">
        <v>27358</v>
      </c>
      <c r="K6759" s="76">
        <v>44102.0</v>
      </c>
      <c r="L6759" s="68" t="s">
        <v>2743</v>
      </c>
      <c r="M6759" s="68" t="s">
        <v>7530</v>
      </c>
      <c r="N6759" s="116"/>
      <c r="O6759" s="51"/>
    </row>
    <row r="6760">
      <c r="A6760" s="273"/>
      <c r="B6760" s="71"/>
      <c r="C6760" s="69" t="s">
        <v>27359</v>
      </c>
      <c r="D6760" s="71"/>
      <c r="E6760" s="68" t="s">
        <v>27360</v>
      </c>
      <c r="F6760" s="76">
        <v>43968.0</v>
      </c>
      <c r="G6760" s="68" t="s">
        <v>27361</v>
      </c>
      <c r="H6760" s="68" t="s">
        <v>27362</v>
      </c>
      <c r="I6760" s="71"/>
      <c r="J6760" s="68" t="s">
        <v>27363</v>
      </c>
      <c r="K6760" s="76">
        <v>44103.0</v>
      </c>
      <c r="L6760" s="68" t="s">
        <v>2743</v>
      </c>
      <c r="M6760" s="68" t="s">
        <v>7530</v>
      </c>
      <c r="N6760" s="116"/>
      <c r="O6760" s="51"/>
    </row>
    <row r="6761">
      <c r="A6761" s="273"/>
      <c r="B6761" s="71"/>
      <c r="C6761" s="69" t="s">
        <v>27364</v>
      </c>
      <c r="D6761" s="71"/>
      <c r="E6761" s="68" t="s">
        <v>27365</v>
      </c>
      <c r="F6761" s="76">
        <v>44029.0</v>
      </c>
      <c r="G6761" s="68" t="s">
        <v>27366</v>
      </c>
      <c r="H6761" s="68" t="s">
        <v>27367</v>
      </c>
      <c r="I6761" s="71"/>
      <c r="J6761" s="68" t="s">
        <v>27368</v>
      </c>
      <c r="K6761" s="76">
        <v>44103.0</v>
      </c>
      <c r="L6761" s="68" t="s">
        <v>2743</v>
      </c>
      <c r="M6761" s="68" t="s">
        <v>7530</v>
      </c>
      <c r="N6761" s="116"/>
      <c r="O6761" s="51"/>
    </row>
    <row r="6762">
      <c r="A6762" s="234"/>
      <c r="B6762" s="71"/>
      <c r="C6762" s="79" t="s">
        <v>27369</v>
      </c>
      <c r="D6762" s="82"/>
      <c r="E6762" s="80" t="s">
        <v>27370</v>
      </c>
      <c r="F6762" s="81">
        <v>42419.0</v>
      </c>
      <c r="G6762" s="80" t="s">
        <v>27371</v>
      </c>
      <c r="H6762" s="80" t="s">
        <v>27372</v>
      </c>
      <c r="I6762" s="82"/>
      <c r="J6762" s="63" t="s">
        <v>136</v>
      </c>
      <c r="K6762" s="81">
        <v>44103.0</v>
      </c>
      <c r="L6762" s="80" t="s">
        <v>2743</v>
      </c>
      <c r="M6762" s="80" t="s">
        <v>542</v>
      </c>
      <c r="N6762" s="116"/>
      <c r="O6762" s="51"/>
    </row>
    <row r="6763">
      <c r="A6763" s="273"/>
      <c r="B6763" s="71"/>
      <c r="C6763" s="69" t="s">
        <v>27373</v>
      </c>
      <c r="D6763" s="71"/>
      <c r="E6763" s="68" t="s">
        <v>27374</v>
      </c>
      <c r="F6763" s="76">
        <v>44047.0</v>
      </c>
      <c r="G6763" s="68" t="s">
        <v>27375</v>
      </c>
      <c r="H6763" s="68" t="s">
        <v>27376</v>
      </c>
      <c r="I6763" s="71"/>
      <c r="J6763" s="68" t="s">
        <v>27377</v>
      </c>
      <c r="K6763" s="76">
        <v>44103.0</v>
      </c>
      <c r="L6763" s="68" t="s">
        <v>2743</v>
      </c>
      <c r="M6763" s="68" t="s">
        <v>7530</v>
      </c>
      <c r="N6763" s="116"/>
      <c r="O6763" s="51"/>
    </row>
    <row r="6764">
      <c r="A6764" s="234"/>
      <c r="B6764" s="71"/>
      <c r="C6764" s="79" t="s">
        <v>27378</v>
      </c>
      <c r="D6764" s="82"/>
      <c r="E6764" s="80" t="s">
        <v>27379</v>
      </c>
      <c r="F6764" s="81">
        <v>42972.0</v>
      </c>
      <c r="G6764" s="80" t="s">
        <v>27380</v>
      </c>
      <c r="H6764" s="80" t="s">
        <v>27381</v>
      </c>
      <c r="I6764" s="82"/>
      <c r="J6764" s="63" t="s">
        <v>136</v>
      </c>
      <c r="K6764" s="81">
        <v>44103.0</v>
      </c>
      <c r="L6764" s="80" t="s">
        <v>2743</v>
      </c>
      <c r="M6764" s="80" t="s">
        <v>542</v>
      </c>
      <c r="N6764" s="116"/>
      <c r="O6764" s="51"/>
    </row>
    <row r="6765">
      <c r="A6765" s="273"/>
      <c r="B6765" s="71"/>
      <c r="C6765" s="69" t="s">
        <v>27382</v>
      </c>
      <c r="D6765" s="71"/>
      <c r="E6765" s="68" t="s">
        <v>27383</v>
      </c>
      <c r="F6765" s="76">
        <v>44034.0</v>
      </c>
      <c r="G6765" s="68" t="s">
        <v>27384</v>
      </c>
      <c r="H6765" s="68" t="s">
        <v>27385</v>
      </c>
      <c r="I6765" s="71"/>
      <c r="J6765" s="68" t="s">
        <v>27386</v>
      </c>
      <c r="K6765" s="76">
        <v>44103.0</v>
      </c>
      <c r="L6765" s="68" t="s">
        <v>2743</v>
      </c>
      <c r="M6765" s="68" t="s">
        <v>542</v>
      </c>
      <c r="N6765" s="116"/>
      <c r="O6765" s="51"/>
    </row>
    <row r="6766">
      <c r="A6766" s="234"/>
      <c r="B6766" s="71"/>
      <c r="C6766" s="79" t="s">
        <v>27387</v>
      </c>
      <c r="D6766" s="82"/>
      <c r="E6766" s="80" t="s">
        <v>27388</v>
      </c>
      <c r="F6766" s="81">
        <v>42241.0</v>
      </c>
      <c r="G6766" s="80" t="s">
        <v>27389</v>
      </c>
      <c r="H6766" s="80" t="s">
        <v>27390</v>
      </c>
      <c r="I6766" s="82"/>
      <c r="J6766" s="63" t="s">
        <v>136</v>
      </c>
      <c r="K6766" s="81">
        <v>44104.0</v>
      </c>
      <c r="L6766" s="80" t="s">
        <v>2743</v>
      </c>
      <c r="M6766" s="80" t="s">
        <v>19204</v>
      </c>
      <c r="N6766" s="116"/>
      <c r="O6766" s="51"/>
    </row>
    <row r="6767">
      <c r="A6767" s="234"/>
      <c r="B6767" s="71"/>
      <c r="C6767" s="79" t="s">
        <v>27391</v>
      </c>
      <c r="D6767" s="82"/>
      <c r="E6767" s="80" t="s">
        <v>27392</v>
      </c>
      <c r="F6767" s="81">
        <v>42804.0</v>
      </c>
      <c r="G6767" s="80" t="s">
        <v>27393</v>
      </c>
      <c r="H6767" s="80" t="s">
        <v>27394</v>
      </c>
      <c r="I6767" s="82"/>
      <c r="J6767" s="63" t="s">
        <v>136</v>
      </c>
      <c r="K6767" s="81">
        <v>44104.0</v>
      </c>
      <c r="L6767" s="80" t="s">
        <v>2743</v>
      </c>
      <c r="M6767" s="80" t="s">
        <v>19459</v>
      </c>
      <c r="N6767" s="116"/>
      <c r="O6767" s="51"/>
    </row>
    <row r="6768">
      <c r="A6768" s="234"/>
      <c r="B6768" s="71"/>
      <c r="C6768" s="79" t="s">
        <v>27395</v>
      </c>
      <c r="D6768" s="82"/>
      <c r="E6768" s="80" t="s">
        <v>27396</v>
      </c>
      <c r="F6768" s="81">
        <v>42570.0</v>
      </c>
      <c r="G6768" s="80" t="s">
        <v>27397</v>
      </c>
      <c r="H6768" s="80" t="s">
        <v>27398</v>
      </c>
      <c r="I6768" s="80" t="s">
        <v>27399</v>
      </c>
      <c r="J6768" s="63" t="s">
        <v>136</v>
      </c>
      <c r="K6768" s="81">
        <v>44104.0</v>
      </c>
      <c r="L6768" s="80" t="s">
        <v>2743</v>
      </c>
      <c r="M6768" s="80" t="s">
        <v>542</v>
      </c>
      <c r="N6768" s="87" t="s">
        <v>27400</v>
      </c>
      <c r="O6768" s="51"/>
    </row>
    <row r="6769">
      <c r="A6769" s="234"/>
      <c r="B6769" s="71"/>
      <c r="C6769" s="79" t="s">
        <v>27401</v>
      </c>
      <c r="D6769" s="82"/>
      <c r="E6769" s="80" t="s">
        <v>27402</v>
      </c>
      <c r="F6769" s="81">
        <v>43736.0</v>
      </c>
      <c r="G6769" s="80" t="s">
        <v>27403</v>
      </c>
      <c r="H6769" s="80" t="s">
        <v>27404</v>
      </c>
      <c r="I6769" s="80" t="s">
        <v>27405</v>
      </c>
      <c r="J6769" s="63" t="s">
        <v>136</v>
      </c>
      <c r="K6769" s="81">
        <v>44105.0</v>
      </c>
      <c r="L6769" s="80" t="s">
        <v>2743</v>
      </c>
      <c r="M6769" s="80" t="s">
        <v>27</v>
      </c>
      <c r="N6769" s="87" t="s">
        <v>27406</v>
      </c>
      <c r="O6769" s="51"/>
    </row>
    <row r="6770">
      <c r="A6770" s="273"/>
      <c r="B6770" s="71"/>
      <c r="C6770" s="69" t="s">
        <v>27407</v>
      </c>
      <c r="D6770" s="71"/>
      <c r="E6770" s="68" t="s">
        <v>27408</v>
      </c>
      <c r="F6770" s="76">
        <v>44087.0</v>
      </c>
      <c r="G6770" s="68" t="s">
        <v>27409</v>
      </c>
      <c r="H6770" s="68" t="s">
        <v>439</v>
      </c>
      <c r="I6770" s="71"/>
      <c r="J6770" s="68" t="s">
        <v>27410</v>
      </c>
      <c r="K6770" s="76">
        <v>44105.0</v>
      </c>
      <c r="L6770" s="68" t="s">
        <v>26929</v>
      </c>
      <c r="M6770" s="68" t="s">
        <v>27</v>
      </c>
      <c r="N6770" s="116"/>
      <c r="O6770" s="51"/>
    </row>
    <row r="6771">
      <c r="A6771" s="273"/>
      <c r="B6771" s="71"/>
      <c r="C6771" s="69" t="s">
        <v>27411</v>
      </c>
      <c r="D6771" s="71"/>
      <c r="E6771" s="68" t="s">
        <v>27412</v>
      </c>
      <c r="F6771" s="76">
        <v>43987.0</v>
      </c>
      <c r="G6771" s="68" t="s">
        <v>27413</v>
      </c>
      <c r="H6771" s="68" t="s">
        <v>27414</v>
      </c>
      <c r="I6771" s="71"/>
      <c r="J6771" s="68" t="s">
        <v>27415</v>
      </c>
      <c r="K6771" s="76">
        <v>44105.0</v>
      </c>
      <c r="L6771" s="68" t="s">
        <v>2743</v>
      </c>
      <c r="M6771" s="68" t="s">
        <v>201</v>
      </c>
      <c r="N6771" s="116"/>
      <c r="O6771" s="51"/>
    </row>
    <row r="6772">
      <c r="A6772" s="273"/>
      <c r="B6772" s="71"/>
      <c r="C6772" s="69" t="s">
        <v>27416</v>
      </c>
      <c r="D6772" s="71"/>
      <c r="E6772" s="68" t="s">
        <v>27417</v>
      </c>
      <c r="F6772" s="76">
        <v>43987.0</v>
      </c>
      <c r="G6772" s="68" t="s">
        <v>27418</v>
      </c>
      <c r="H6772" s="68" t="s">
        <v>27419</v>
      </c>
      <c r="I6772" s="68" t="s">
        <v>27420</v>
      </c>
      <c r="J6772" s="68" t="s">
        <v>27421</v>
      </c>
      <c r="K6772" s="76">
        <v>44105.0</v>
      </c>
      <c r="L6772" s="68" t="s">
        <v>2743</v>
      </c>
      <c r="M6772" s="68" t="s">
        <v>201</v>
      </c>
      <c r="N6772" s="116"/>
      <c r="O6772" s="51"/>
    </row>
    <row r="6773">
      <c r="A6773" s="273"/>
      <c r="B6773" s="71"/>
      <c r="C6773" s="69" t="s">
        <v>27422</v>
      </c>
      <c r="D6773" s="71"/>
      <c r="E6773" s="68" t="s">
        <v>27423</v>
      </c>
      <c r="F6773" s="76">
        <v>44071.0</v>
      </c>
      <c r="G6773" s="68" t="s">
        <v>27424</v>
      </c>
      <c r="H6773" s="68" t="s">
        <v>27425</v>
      </c>
      <c r="I6773" s="71"/>
      <c r="J6773" s="68" t="s">
        <v>27426</v>
      </c>
      <c r="K6773" s="76">
        <v>44105.0</v>
      </c>
      <c r="L6773" s="68" t="s">
        <v>2743</v>
      </c>
      <c r="M6773" s="68" t="s">
        <v>5707</v>
      </c>
      <c r="N6773" s="116"/>
      <c r="O6773" s="51"/>
    </row>
    <row r="6774">
      <c r="A6774" s="273"/>
      <c r="B6774" s="71"/>
      <c r="C6774" s="69" t="s">
        <v>27427</v>
      </c>
      <c r="D6774" s="71"/>
      <c r="E6774" s="68" t="s">
        <v>27428</v>
      </c>
      <c r="F6774" s="76">
        <v>44078.0</v>
      </c>
      <c r="G6774" s="68" t="s">
        <v>27429</v>
      </c>
      <c r="H6774" s="68" t="s">
        <v>27394</v>
      </c>
      <c r="I6774" s="71"/>
      <c r="J6774" s="68" t="s">
        <v>27430</v>
      </c>
      <c r="K6774" s="76">
        <v>44111.0</v>
      </c>
      <c r="L6774" s="68" t="s">
        <v>27431</v>
      </c>
      <c r="M6774" s="68" t="s">
        <v>166</v>
      </c>
      <c r="N6774" s="116"/>
      <c r="O6774" s="51"/>
    </row>
    <row r="6775">
      <c r="A6775" s="273"/>
      <c r="B6775" s="71"/>
      <c r="C6775" s="69" t="s">
        <v>27432</v>
      </c>
      <c r="D6775" s="71"/>
      <c r="E6775" s="68" t="s">
        <v>27433</v>
      </c>
      <c r="F6775" s="76">
        <v>44086.0</v>
      </c>
      <c r="G6775" s="68" t="s">
        <v>27434</v>
      </c>
      <c r="H6775" s="68" t="s">
        <v>27435</v>
      </c>
      <c r="I6775" s="71"/>
      <c r="J6775" s="68" t="s">
        <v>27436</v>
      </c>
      <c r="K6775" s="76">
        <v>44111.0</v>
      </c>
      <c r="L6775" s="68" t="s">
        <v>2743</v>
      </c>
      <c r="M6775" s="68" t="s">
        <v>31</v>
      </c>
      <c r="N6775" s="116"/>
      <c r="O6775" s="51"/>
    </row>
    <row r="6776">
      <c r="A6776" s="234"/>
      <c r="B6776" s="71"/>
      <c r="C6776" s="79" t="s">
        <v>27437</v>
      </c>
      <c r="D6776" s="82"/>
      <c r="E6776" s="80" t="s">
        <v>27438</v>
      </c>
      <c r="F6776" s="81">
        <v>44065.0</v>
      </c>
      <c r="G6776" s="80" t="s">
        <v>27439</v>
      </c>
      <c r="H6776" s="80" t="s">
        <v>27440</v>
      </c>
      <c r="I6776" s="82"/>
      <c r="J6776" s="63" t="s">
        <v>136</v>
      </c>
      <c r="K6776" s="81">
        <v>44112.0</v>
      </c>
      <c r="L6776" s="80" t="s">
        <v>2743</v>
      </c>
      <c r="M6776" s="80" t="s">
        <v>2466</v>
      </c>
      <c r="N6776" s="116"/>
      <c r="O6776" s="51"/>
    </row>
    <row r="6777">
      <c r="A6777" s="234"/>
      <c r="B6777" s="71"/>
      <c r="C6777" s="79" t="s">
        <v>27441</v>
      </c>
      <c r="D6777" s="82"/>
      <c r="E6777" s="80" t="s">
        <v>27442</v>
      </c>
      <c r="F6777" s="81">
        <v>41671.0</v>
      </c>
      <c r="G6777" s="80" t="s">
        <v>27443</v>
      </c>
      <c r="H6777" s="80" t="s">
        <v>27444</v>
      </c>
      <c r="I6777" s="80" t="s">
        <v>27445</v>
      </c>
      <c r="J6777" s="63" t="s">
        <v>136</v>
      </c>
      <c r="K6777" s="81">
        <v>44112.0</v>
      </c>
      <c r="L6777" s="80" t="s">
        <v>2743</v>
      </c>
      <c r="M6777" s="80" t="s">
        <v>26546</v>
      </c>
      <c r="N6777" s="116"/>
      <c r="O6777" s="51"/>
    </row>
    <row r="6778">
      <c r="A6778" s="273"/>
      <c r="B6778" s="71"/>
      <c r="C6778" s="69" t="s">
        <v>27446</v>
      </c>
      <c r="D6778" s="71"/>
      <c r="E6778" s="68" t="s">
        <v>27447</v>
      </c>
      <c r="F6778" s="76">
        <v>43683.0</v>
      </c>
      <c r="G6778" s="68" t="s">
        <v>27448</v>
      </c>
      <c r="H6778" s="68" t="s">
        <v>27394</v>
      </c>
      <c r="I6778" s="71"/>
      <c r="J6778" s="68" t="s">
        <v>27449</v>
      </c>
      <c r="K6778" s="76">
        <v>44112.0</v>
      </c>
      <c r="L6778" s="68" t="s">
        <v>2743</v>
      </c>
      <c r="M6778" s="68" t="s">
        <v>26521</v>
      </c>
      <c r="N6778" s="116"/>
      <c r="O6778" s="51"/>
    </row>
    <row r="6779">
      <c r="A6779" s="273"/>
      <c r="B6779" s="71"/>
      <c r="C6779" s="69" t="s">
        <v>27450</v>
      </c>
      <c r="D6779" s="71"/>
      <c r="E6779" s="68" t="s">
        <v>27451</v>
      </c>
      <c r="F6779" s="76">
        <v>43741.0</v>
      </c>
      <c r="G6779" s="68" t="s">
        <v>27452</v>
      </c>
      <c r="H6779" s="68" t="s">
        <v>27453</v>
      </c>
      <c r="I6779" s="71"/>
      <c r="J6779" s="68" t="s">
        <v>27454</v>
      </c>
      <c r="K6779" s="76">
        <v>44112.0</v>
      </c>
      <c r="L6779" s="68" t="s">
        <v>2743</v>
      </c>
      <c r="M6779" s="68" t="s">
        <v>143</v>
      </c>
      <c r="N6779" s="116"/>
      <c r="O6779" s="51"/>
    </row>
    <row r="6780">
      <c r="A6780" s="234"/>
      <c r="B6780" s="71"/>
      <c r="C6780" s="79" t="s">
        <v>27455</v>
      </c>
      <c r="D6780" s="82"/>
      <c r="E6780" s="80" t="s">
        <v>27456</v>
      </c>
      <c r="F6780" s="81">
        <v>42842.0</v>
      </c>
      <c r="G6780" s="80" t="s">
        <v>27457</v>
      </c>
      <c r="H6780" s="80" t="s">
        <v>27458</v>
      </c>
      <c r="I6780" s="82"/>
      <c r="J6780" s="63" t="s">
        <v>136</v>
      </c>
      <c r="K6780" s="81">
        <v>44112.0</v>
      </c>
      <c r="L6780" s="80" t="s">
        <v>2743</v>
      </c>
      <c r="M6780" s="80" t="s">
        <v>2152</v>
      </c>
      <c r="N6780" s="116"/>
      <c r="O6780" s="51"/>
    </row>
    <row r="6781">
      <c r="A6781" s="234"/>
      <c r="B6781" s="71"/>
      <c r="C6781" s="79" t="s">
        <v>27459</v>
      </c>
      <c r="D6781" s="82"/>
      <c r="E6781" s="80" t="s">
        <v>27460</v>
      </c>
      <c r="F6781" s="98">
        <v>42655.0</v>
      </c>
      <c r="G6781" s="80" t="s">
        <v>27461</v>
      </c>
      <c r="H6781" s="80" t="s">
        <v>439</v>
      </c>
      <c r="I6781" s="82"/>
      <c r="J6781" s="63" t="s">
        <v>136</v>
      </c>
      <c r="K6781" s="81">
        <v>44112.0</v>
      </c>
      <c r="L6781" s="80" t="s">
        <v>2743</v>
      </c>
      <c r="M6781" s="80" t="s">
        <v>13085</v>
      </c>
      <c r="N6781" s="116"/>
      <c r="O6781" s="51"/>
    </row>
    <row r="6782">
      <c r="A6782" s="234"/>
      <c r="B6782" s="71"/>
      <c r="C6782" s="79" t="s">
        <v>27462</v>
      </c>
      <c r="D6782" s="82"/>
      <c r="E6782" s="80" t="s">
        <v>27463</v>
      </c>
      <c r="F6782" s="81">
        <v>42186.0</v>
      </c>
      <c r="G6782" s="80" t="s">
        <v>27464</v>
      </c>
      <c r="H6782" s="80" t="s">
        <v>27394</v>
      </c>
      <c r="I6782" s="82"/>
      <c r="J6782" s="63" t="s">
        <v>136</v>
      </c>
      <c r="K6782" s="81">
        <v>44112.0</v>
      </c>
      <c r="L6782" s="80" t="s">
        <v>2743</v>
      </c>
      <c r="M6782" s="80" t="s">
        <v>125</v>
      </c>
      <c r="N6782" s="116"/>
      <c r="O6782" s="51"/>
    </row>
    <row r="6783">
      <c r="A6783" s="273"/>
      <c r="B6783" s="71"/>
      <c r="C6783" s="69" t="s">
        <v>27465</v>
      </c>
      <c r="D6783" s="71"/>
      <c r="E6783" s="68" t="s">
        <v>27466</v>
      </c>
      <c r="F6783" s="76">
        <v>43991.0</v>
      </c>
      <c r="G6783" s="68" t="s">
        <v>27467</v>
      </c>
      <c r="H6783" s="68" t="s">
        <v>27468</v>
      </c>
      <c r="I6783" s="71"/>
      <c r="J6783" s="68" t="s">
        <v>27469</v>
      </c>
      <c r="K6783" s="76">
        <v>44113.0</v>
      </c>
      <c r="L6783" s="68" t="s">
        <v>2743</v>
      </c>
      <c r="M6783" s="68" t="s">
        <v>31</v>
      </c>
      <c r="N6783" s="116"/>
      <c r="O6783" s="51"/>
    </row>
    <row r="6784">
      <c r="A6784" s="273"/>
      <c r="B6784" s="71"/>
      <c r="C6784" s="69" t="s">
        <v>27470</v>
      </c>
      <c r="D6784" s="71"/>
      <c r="E6784" s="68" t="s">
        <v>27471</v>
      </c>
      <c r="F6784" s="76">
        <v>43999.0</v>
      </c>
      <c r="G6784" s="68" t="s">
        <v>27472</v>
      </c>
      <c r="H6784" s="68" t="s">
        <v>27473</v>
      </c>
      <c r="I6784" s="68" t="s">
        <v>27474</v>
      </c>
      <c r="J6784" s="68" t="s">
        <v>27475</v>
      </c>
      <c r="K6784" s="83">
        <v>44118.0</v>
      </c>
      <c r="L6784" s="68" t="s">
        <v>2743</v>
      </c>
      <c r="M6784" s="68" t="s">
        <v>166</v>
      </c>
      <c r="N6784" s="116"/>
      <c r="O6784" s="51"/>
    </row>
    <row r="6785">
      <c r="A6785" s="273"/>
      <c r="B6785" s="71"/>
      <c r="C6785" s="69" t="s">
        <v>27476</v>
      </c>
      <c r="D6785" s="71"/>
      <c r="E6785" s="68" t="s">
        <v>27477</v>
      </c>
      <c r="F6785" s="76">
        <v>43910.0</v>
      </c>
      <c r="G6785" s="68" t="s">
        <v>27478</v>
      </c>
      <c r="H6785" s="68" t="s">
        <v>27479</v>
      </c>
      <c r="I6785" s="71"/>
      <c r="J6785" s="68" t="s">
        <v>27480</v>
      </c>
      <c r="K6785" s="83">
        <v>44118.0</v>
      </c>
      <c r="L6785" s="68" t="s">
        <v>2743</v>
      </c>
      <c r="M6785" s="68" t="s">
        <v>26521</v>
      </c>
      <c r="N6785" s="116"/>
      <c r="O6785" s="51"/>
    </row>
    <row r="6786">
      <c r="A6786" s="234"/>
      <c r="B6786" s="71"/>
      <c r="C6786" s="79" t="s">
        <v>27481</v>
      </c>
      <c r="D6786" s="82"/>
      <c r="E6786" s="80" t="s">
        <v>27482</v>
      </c>
      <c r="F6786" s="81">
        <v>39965.0</v>
      </c>
      <c r="G6786" s="80" t="s">
        <v>27483</v>
      </c>
      <c r="H6786" s="80" t="s">
        <v>27484</v>
      </c>
      <c r="I6786" s="82"/>
      <c r="J6786" s="63" t="s">
        <v>136</v>
      </c>
      <c r="K6786" s="98">
        <v>44123.0</v>
      </c>
      <c r="L6786" s="80" t="s">
        <v>2743</v>
      </c>
      <c r="M6786" s="80" t="s">
        <v>530</v>
      </c>
      <c r="N6786" s="116"/>
      <c r="O6786" s="51"/>
    </row>
    <row r="6787">
      <c r="A6787" s="273"/>
      <c r="B6787" s="71"/>
      <c r="C6787" s="69" t="s">
        <v>27485</v>
      </c>
      <c r="D6787" s="71"/>
      <c r="E6787" s="68" t="s">
        <v>27486</v>
      </c>
      <c r="F6787" s="76">
        <v>44063.0</v>
      </c>
      <c r="G6787" s="68" t="s">
        <v>27487</v>
      </c>
      <c r="H6787" s="68" t="s">
        <v>27488</v>
      </c>
      <c r="I6787" s="71"/>
      <c r="J6787" s="68" t="s">
        <v>27489</v>
      </c>
      <c r="K6787" s="83">
        <v>44123.0</v>
      </c>
      <c r="L6787" s="68" t="s">
        <v>2743</v>
      </c>
      <c r="M6787" s="68" t="s">
        <v>4487</v>
      </c>
      <c r="N6787" s="116"/>
      <c r="O6787" s="51"/>
    </row>
    <row r="6788">
      <c r="A6788" s="273"/>
      <c r="B6788" s="71"/>
      <c r="C6788" s="69" t="s">
        <v>27490</v>
      </c>
      <c r="D6788" s="71"/>
      <c r="E6788" s="68" t="s">
        <v>27491</v>
      </c>
      <c r="F6788" s="76">
        <v>8442763.0</v>
      </c>
      <c r="G6788" s="68" t="s">
        <v>27492</v>
      </c>
      <c r="H6788" s="68" t="s">
        <v>27493</v>
      </c>
      <c r="I6788" s="71"/>
      <c r="J6788" s="68" t="s">
        <v>27494</v>
      </c>
      <c r="K6788" s="83">
        <v>44123.0</v>
      </c>
      <c r="L6788" s="68" t="s">
        <v>16185</v>
      </c>
      <c r="M6788" s="68" t="s">
        <v>166</v>
      </c>
      <c r="N6788" s="116"/>
      <c r="O6788" s="51"/>
    </row>
    <row r="6789">
      <c r="A6789" s="273"/>
      <c r="B6789" s="71"/>
      <c r="C6789" s="69" t="s">
        <v>27495</v>
      </c>
      <c r="D6789" s="71"/>
      <c r="E6789" s="68" t="s">
        <v>27496</v>
      </c>
      <c r="F6789" s="76">
        <v>44106.0</v>
      </c>
      <c r="G6789" s="68" t="s">
        <v>27497</v>
      </c>
      <c r="H6789" s="68" t="s">
        <v>27498</v>
      </c>
      <c r="I6789" s="71"/>
      <c r="J6789" s="68" t="s">
        <v>27499</v>
      </c>
      <c r="K6789" s="83">
        <v>44123.0</v>
      </c>
      <c r="L6789" s="68" t="s">
        <v>16185</v>
      </c>
      <c r="M6789" s="68" t="s">
        <v>2291</v>
      </c>
      <c r="N6789" s="116"/>
      <c r="O6789" s="51"/>
    </row>
    <row r="6790">
      <c r="A6790" s="273"/>
      <c r="B6790" s="71"/>
      <c r="C6790" s="69" t="s">
        <v>27500</v>
      </c>
      <c r="D6790" s="71"/>
      <c r="E6790" s="68" t="s">
        <v>27501</v>
      </c>
      <c r="F6790" s="68" t="s">
        <v>27502</v>
      </c>
      <c r="G6790" s="68" t="s">
        <v>27503</v>
      </c>
      <c r="H6790" s="68" t="s">
        <v>27504</v>
      </c>
      <c r="I6790" s="71"/>
      <c r="J6790" s="68" t="s">
        <v>27505</v>
      </c>
      <c r="K6790" s="83">
        <v>44123.0</v>
      </c>
      <c r="L6790" s="68" t="s">
        <v>16185</v>
      </c>
      <c r="M6790" s="68" t="s">
        <v>31</v>
      </c>
      <c r="N6790" s="116"/>
      <c r="O6790" s="51"/>
    </row>
    <row r="6791">
      <c r="A6791" s="234"/>
      <c r="B6791" s="71"/>
      <c r="C6791" s="79" t="s">
        <v>27506</v>
      </c>
      <c r="D6791" s="82"/>
      <c r="E6791" s="80" t="s">
        <v>27507</v>
      </c>
      <c r="F6791" s="81">
        <v>39753.0</v>
      </c>
      <c r="G6791" s="80" t="s">
        <v>27508</v>
      </c>
      <c r="H6791" s="80" t="s">
        <v>27394</v>
      </c>
      <c r="I6791" s="80" t="s">
        <v>27509</v>
      </c>
      <c r="J6791" s="63" t="s">
        <v>136</v>
      </c>
      <c r="K6791" s="98">
        <v>44124.0</v>
      </c>
      <c r="L6791" s="80" t="s">
        <v>16185</v>
      </c>
      <c r="M6791" s="80" t="s">
        <v>530</v>
      </c>
      <c r="N6791" s="116"/>
      <c r="O6791" s="51"/>
    </row>
    <row r="6792">
      <c r="A6792" s="273"/>
      <c r="B6792" s="71"/>
      <c r="C6792" s="69" t="s">
        <v>27510</v>
      </c>
      <c r="D6792" s="71"/>
      <c r="E6792" s="68" t="s">
        <v>27511</v>
      </c>
      <c r="F6792" s="76">
        <v>40360.0</v>
      </c>
      <c r="G6792" s="68" t="s">
        <v>27512</v>
      </c>
      <c r="H6792" s="68" t="s">
        <v>27513</v>
      </c>
      <c r="I6792" s="71"/>
      <c r="J6792" s="68" t="s">
        <v>27514</v>
      </c>
      <c r="K6792" s="83">
        <v>44124.0</v>
      </c>
      <c r="L6792" s="68" t="s">
        <v>16185</v>
      </c>
      <c r="M6792" s="68" t="s">
        <v>530</v>
      </c>
      <c r="N6792" s="116"/>
      <c r="O6792" s="51"/>
    </row>
    <row r="6793">
      <c r="A6793" s="273"/>
      <c r="B6793" s="71"/>
      <c r="C6793" s="69" t="s">
        <v>27515</v>
      </c>
      <c r="D6793" s="71"/>
      <c r="E6793" s="68" t="s">
        <v>27516</v>
      </c>
      <c r="F6793" s="76">
        <v>39995.0</v>
      </c>
      <c r="G6793" s="68" t="s">
        <v>27517</v>
      </c>
      <c r="H6793" s="68" t="s">
        <v>27394</v>
      </c>
      <c r="I6793" s="71"/>
      <c r="J6793" s="68" t="s">
        <v>27518</v>
      </c>
      <c r="K6793" s="83">
        <v>44124.0</v>
      </c>
      <c r="L6793" s="68" t="s">
        <v>16185</v>
      </c>
      <c r="M6793" s="68" t="s">
        <v>530</v>
      </c>
      <c r="N6793" s="116"/>
      <c r="O6793" s="51"/>
    </row>
    <row r="6794">
      <c r="A6794" s="273"/>
      <c r="B6794" s="71"/>
      <c r="C6794" s="69" t="s">
        <v>27519</v>
      </c>
      <c r="D6794" s="71"/>
      <c r="E6794" s="68" t="s">
        <v>27520</v>
      </c>
      <c r="F6794" s="76">
        <v>43590.0</v>
      </c>
      <c r="G6794" s="68" t="s">
        <v>27521</v>
      </c>
      <c r="H6794" s="68" t="s">
        <v>27522</v>
      </c>
      <c r="I6794" s="68" t="s">
        <v>27523</v>
      </c>
      <c r="J6794" s="68" t="s">
        <v>27524</v>
      </c>
      <c r="K6794" s="83">
        <v>44130.0</v>
      </c>
      <c r="L6794" s="68" t="s">
        <v>2743</v>
      </c>
      <c r="M6794" s="68" t="s">
        <v>27</v>
      </c>
      <c r="N6794" s="116"/>
      <c r="O6794" s="51"/>
    </row>
    <row r="6795">
      <c r="A6795" s="273"/>
      <c r="B6795" s="71"/>
      <c r="C6795" s="69" t="s">
        <v>27525</v>
      </c>
      <c r="D6795" s="71"/>
      <c r="E6795" s="68" t="s">
        <v>27526</v>
      </c>
      <c r="F6795" s="76">
        <v>43866.0</v>
      </c>
      <c r="G6795" s="68" t="s">
        <v>27527</v>
      </c>
      <c r="H6795" s="68" t="s">
        <v>27528</v>
      </c>
      <c r="I6795" s="71"/>
      <c r="J6795" s="68" t="s">
        <v>27529</v>
      </c>
      <c r="K6795" s="83">
        <v>44130.0</v>
      </c>
      <c r="L6795" s="68" t="s">
        <v>2743</v>
      </c>
      <c r="M6795" s="68" t="s">
        <v>166</v>
      </c>
      <c r="N6795" s="116"/>
      <c r="O6795" s="51"/>
    </row>
    <row r="6796">
      <c r="A6796" s="234"/>
      <c r="B6796" s="71"/>
      <c r="C6796" s="79" t="s">
        <v>27530</v>
      </c>
      <c r="D6796" s="82"/>
      <c r="E6796" s="80" t="s">
        <v>27531</v>
      </c>
      <c r="F6796" s="81">
        <v>40055.0</v>
      </c>
      <c r="G6796" s="80" t="s">
        <v>27532</v>
      </c>
      <c r="H6796" s="80" t="s">
        <v>439</v>
      </c>
      <c r="I6796" s="80" t="s">
        <v>27533</v>
      </c>
      <c r="J6796" s="63" t="s">
        <v>136</v>
      </c>
      <c r="K6796" s="98">
        <v>44130.0</v>
      </c>
      <c r="L6796" s="80" t="s">
        <v>2743</v>
      </c>
      <c r="M6796" s="80" t="s">
        <v>22473</v>
      </c>
      <c r="N6796" s="116"/>
      <c r="O6796" s="51"/>
    </row>
    <row r="6797">
      <c r="A6797" s="234"/>
      <c r="B6797" s="71"/>
      <c r="C6797" s="79" t="s">
        <v>27534</v>
      </c>
      <c r="D6797" s="82"/>
      <c r="E6797" s="80" t="s">
        <v>27535</v>
      </c>
      <c r="F6797" s="81">
        <v>42100.0</v>
      </c>
      <c r="G6797" s="80" t="s">
        <v>27536</v>
      </c>
      <c r="H6797" s="80" t="s">
        <v>27537</v>
      </c>
      <c r="I6797" s="82"/>
      <c r="J6797" s="63" t="s">
        <v>136</v>
      </c>
      <c r="K6797" s="98">
        <v>44130.0</v>
      </c>
      <c r="L6797" s="80" t="s">
        <v>2743</v>
      </c>
      <c r="M6797" s="80" t="s">
        <v>125</v>
      </c>
      <c r="N6797" s="116"/>
      <c r="O6797" s="51"/>
    </row>
    <row r="6798">
      <c r="A6798" s="234"/>
      <c r="B6798" s="71"/>
      <c r="C6798" s="79" t="s">
        <v>27538</v>
      </c>
      <c r="D6798" s="82"/>
      <c r="E6798" s="80" t="s">
        <v>27539</v>
      </c>
      <c r="F6798" s="98">
        <v>41968.0</v>
      </c>
      <c r="G6798" s="80" t="s">
        <v>27540</v>
      </c>
      <c r="H6798" s="80" t="s">
        <v>27541</v>
      </c>
      <c r="I6798" s="82"/>
      <c r="J6798" s="63" t="s">
        <v>136</v>
      </c>
      <c r="K6798" s="98">
        <v>44130.0</v>
      </c>
      <c r="L6798" s="80" t="s">
        <v>2743</v>
      </c>
      <c r="M6798" s="80" t="s">
        <v>18616</v>
      </c>
      <c r="N6798" s="116"/>
      <c r="O6798" s="51"/>
    </row>
    <row r="6799">
      <c r="A6799" s="234"/>
      <c r="B6799" s="71"/>
      <c r="C6799" s="79" t="s">
        <v>27542</v>
      </c>
      <c r="D6799" s="82"/>
      <c r="E6799" s="80" t="s">
        <v>27543</v>
      </c>
      <c r="F6799" s="81">
        <v>42216.0</v>
      </c>
      <c r="G6799" s="80" t="s">
        <v>27544</v>
      </c>
      <c r="H6799" s="80" t="s">
        <v>439</v>
      </c>
      <c r="I6799" s="82"/>
      <c r="J6799" s="63" t="s">
        <v>136</v>
      </c>
      <c r="K6799" s="98">
        <v>44130.0</v>
      </c>
      <c r="L6799" s="80" t="s">
        <v>2743</v>
      </c>
      <c r="M6799" s="80" t="s">
        <v>125</v>
      </c>
      <c r="N6799" s="116"/>
      <c r="O6799" s="51"/>
    </row>
    <row r="6800">
      <c r="A6800" s="273"/>
      <c r="B6800" s="71"/>
      <c r="C6800" s="69" t="s">
        <v>27545</v>
      </c>
      <c r="D6800" s="71"/>
      <c r="E6800" s="68" t="s">
        <v>27546</v>
      </c>
      <c r="F6800" s="76">
        <v>42917.0</v>
      </c>
      <c r="G6800" s="68" t="s">
        <v>27547</v>
      </c>
      <c r="H6800" s="68" t="s">
        <v>27548</v>
      </c>
      <c r="I6800" s="71"/>
      <c r="J6800" s="68" t="s">
        <v>27549</v>
      </c>
      <c r="K6800" s="83">
        <v>44130.0</v>
      </c>
      <c r="L6800" s="68" t="s">
        <v>2743</v>
      </c>
      <c r="M6800" s="68" t="s">
        <v>19459</v>
      </c>
      <c r="N6800" s="116"/>
      <c r="O6800" s="51"/>
    </row>
    <row r="6801">
      <c r="A6801" s="273"/>
      <c r="B6801" s="71"/>
      <c r="C6801" s="69" t="s">
        <v>27550</v>
      </c>
      <c r="D6801" s="71"/>
      <c r="E6801" s="68" t="s">
        <v>27551</v>
      </c>
      <c r="F6801" s="76">
        <v>44057.0</v>
      </c>
      <c r="G6801" s="68" t="s">
        <v>27552</v>
      </c>
      <c r="H6801" s="68" t="s">
        <v>27553</v>
      </c>
      <c r="I6801" s="71"/>
      <c r="J6801" s="68" t="s">
        <v>27554</v>
      </c>
      <c r="K6801" s="83">
        <v>44130.0</v>
      </c>
      <c r="L6801" s="68" t="s">
        <v>27555</v>
      </c>
      <c r="M6801" s="68" t="s">
        <v>166</v>
      </c>
      <c r="N6801" s="116"/>
      <c r="O6801" s="51"/>
    </row>
    <row r="6802">
      <c r="A6802" s="273"/>
      <c r="B6802" s="71"/>
      <c r="C6802" s="69" t="s">
        <v>27556</v>
      </c>
      <c r="D6802" s="71"/>
      <c r="E6802" s="68" t="s">
        <v>27557</v>
      </c>
      <c r="F6802" s="76">
        <v>44057.0</v>
      </c>
      <c r="G6802" s="68" t="s">
        <v>27558</v>
      </c>
      <c r="H6802" s="68" t="s">
        <v>27559</v>
      </c>
      <c r="I6802" s="71"/>
      <c r="J6802" s="68" t="s">
        <v>27560</v>
      </c>
      <c r="K6802" s="83">
        <v>44130.0</v>
      </c>
      <c r="L6802" s="68" t="s">
        <v>27555</v>
      </c>
      <c r="M6802" s="68" t="s">
        <v>166</v>
      </c>
      <c r="N6802" s="116"/>
      <c r="O6802" s="51"/>
    </row>
    <row r="6803">
      <c r="A6803" s="273"/>
      <c r="B6803" s="71"/>
      <c r="C6803" s="69" t="s">
        <v>27561</v>
      </c>
      <c r="D6803" s="71"/>
      <c r="E6803" s="68" t="s">
        <v>27562</v>
      </c>
      <c r="F6803" s="83">
        <v>44128.0</v>
      </c>
      <c r="G6803" s="68" t="s">
        <v>27563</v>
      </c>
      <c r="H6803" s="68" t="s">
        <v>27564</v>
      </c>
      <c r="I6803" s="71"/>
      <c r="J6803" s="68" t="s">
        <v>27565</v>
      </c>
      <c r="K6803" s="83">
        <v>44131.0</v>
      </c>
      <c r="L6803" s="68" t="s">
        <v>2743</v>
      </c>
      <c r="M6803" s="68" t="s">
        <v>166</v>
      </c>
      <c r="N6803" s="116"/>
      <c r="O6803" s="51"/>
    </row>
    <row r="6804">
      <c r="A6804" s="234"/>
      <c r="B6804" s="71"/>
      <c r="C6804" s="79" t="s">
        <v>27566</v>
      </c>
      <c r="D6804" s="82"/>
      <c r="E6804" s="80" t="s">
        <v>27567</v>
      </c>
      <c r="F6804" s="81">
        <v>40360.0</v>
      </c>
      <c r="G6804" s="80" t="s">
        <v>27568</v>
      </c>
      <c r="H6804" s="80" t="s">
        <v>27569</v>
      </c>
      <c r="I6804" s="80" t="s">
        <v>27570</v>
      </c>
      <c r="J6804" s="63" t="s">
        <v>136</v>
      </c>
      <c r="K6804" s="98">
        <v>44131.0</v>
      </c>
      <c r="L6804" s="80" t="s">
        <v>2743</v>
      </c>
      <c r="M6804" s="80" t="s">
        <v>530</v>
      </c>
      <c r="N6804" s="116"/>
      <c r="O6804" s="51"/>
    </row>
    <row r="6805">
      <c r="A6805" s="273"/>
      <c r="B6805" s="71"/>
      <c r="C6805" s="69" t="s">
        <v>27571</v>
      </c>
      <c r="D6805" s="71"/>
      <c r="E6805" s="252" t="s">
        <v>27572</v>
      </c>
      <c r="F6805" s="76">
        <v>44008.0</v>
      </c>
      <c r="G6805" s="68" t="s">
        <v>27573</v>
      </c>
      <c r="H6805" s="68" t="s">
        <v>27574</v>
      </c>
      <c r="I6805" s="71"/>
      <c r="J6805" s="68" t="s">
        <v>27575</v>
      </c>
      <c r="K6805" s="83">
        <v>44131.0</v>
      </c>
      <c r="L6805" s="68" t="s">
        <v>2743</v>
      </c>
      <c r="M6805" s="68" t="s">
        <v>4749</v>
      </c>
      <c r="N6805" s="116"/>
      <c r="O6805" s="51"/>
    </row>
    <row r="6806">
      <c r="A6806" s="273"/>
      <c r="B6806" s="71"/>
      <c r="C6806" s="69" t="s">
        <v>27576</v>
      </c>
      <c r="D6806" s="71"/>
      <c r="E6806" s="128" t="s">
        <v>27577</v>
      </c>
      <c r="F6806" s="76">
        <v>43125.0</v>
      </c>
      <c r="G6806" s="68" t="s">
        <v>27578</v>
      </c>
      <c r="H6806" s="68" t="s">
        <v>27579</v>
      </c>
      <c r="I6806" s="71"/>
      <c r="J6806" s="68" t="s">
        <v>27580</v>
      </c>
      <c r="K6806" s="83">
        <v>44131.0</v>
      </c>
      <c r="L6806" s="68" t="s">
        <v>2743</v>
      </c>
      <c r="M6806" s="68" t="s">
        <v>27581</v>
      </c>
      <c r="N6806" s="116"/>
      <c r="O6806" s="51"/>
    </row>
    <row r="6807">
      <c r="A6807" s="234"/>
      <c r="B6807" s="71"/>
      <c r="C6807" s="79" t="s">
        <v>27582</v>
      </c>
      <c r="D6807" s="82"/>
      <c r="E6807" s="80" t="s">
        <v>27583</v>
      </c>
      <c r="F6807" s="81">
        <v>42493.0</v>
      </c>
      <c r="G6807" s="80" t="s">
        <v>27584</v>
      </c>
      <c r="H6807" s="80" t="s">
        <v>27585</v>
      </c>
      <c r="I6807" s="82"/>
      <c r="J6807" s="63" t="s">
        <v>136</v>
      </c>
      <c r="K6807" s="98">
        <v>44135.0</v>
      </c>
      <c r="L6807" s="80" t="s">
        <v>2743</v>
      </c>
      <c r="M6807" s="80" t="s">
        <v>27</v>
      </c>
      <c r="N6807" s="116"/>
      <c r="O6807" s="51"/>
    </row>
    <row r="6808">
      <c r="A6808" s="273"/>
      <c r="B6808" s="71"/>
      <c r="C6808" s="69" t="s">
        <v>27586</v>
      </c>
      <c r="D6808" s="71"/>
      <c r="E6808" s="68" t="s">
        <v>27587</v>
      </c>
      <c r="F6808" s="76">
        <v>43616.0</v>
      </c>
      <c r="G6808" s="71"/>
      <c r="H6808" s="71"/>
      <c r="I6808" s="71"/>
      <c r="J6808" s="68" t="s">
        <v>27588</v>
      </c>
      <c r="K6808" s="83">
        <v>44135.0</v>
      </c>
      <c r="L6808" s="68" t="s">
        <v>2743</v>
      </c>
      <c r="M6808" s="68" t="s">
        <v>27</v>
      </c>
      <c r="N6808" s="116"/>
      <c r="O6808" s="51"/>
    </row>
    <row r="6809">
      <c r="A6809" s="273"/>
      <c r="B6809" s="71"/>
      <c r="C6809" s="69" t="s">
        <v>27589</v>
      </c>
      <c r="D6809" s="71"/>
      <c r="E6809" s="68" t="s">
        <v>27590</v>
      </c>
      <c r="F6809" s="76">
        <v>43343.0</v>
      </c>
      <c r="G6809" s="68" t="s">
        <v>27591</v>
      </c>
      <c r="H6809" s="68" t="s">
        <v>27592</v>
      </c>
      <c r="I6809" s="71"/>
      <c r="J6809" s="100" t="s">
        <v>27593</v>
      </c>
      <c r="K6809" s="245">
        <v>44135.0</v>
      </c>
      <c r="L6809" s="68" t="s">
        <v>2743</v>
      </c>
      <c r="M6809" s="68" t="s">
        <v>27</v>
      </c>
      <c r="N6809" s="116"/>
      <c r="O6809" s="51"/>
    </row>
    <row r="6810">
      <c r="A6810" s="273"/>
      <c r="B6810" s="71"/>
      <c r="C6810" s="69" t="s">
        <v>27594</v>
      </c>
      <c r="D6810" s="71"/>
      <c r="E6810" s="68" t="s">
        <v>27595</v>
      </c>
      <c r="F6810" s="76">
        <v>42682.0</v>
      </c>
      <c r="G6810" s="68" t="s">
        <v>27596</v>
      </c>
      <c r="H6810" s="68" t="s">
        <v>27597</v>
      </c>
      <c r="I6810" s="71"/>
      <c r="J6810" s="68" t="s">
        <v>27598</v>
      </c>
      <c r="K6810" s="83">
        <v>44135.0</v>
      </c>
      <c r="L6810" s="68" t="s">
        <v>2743</v>
      </c>
      <c r="M6810" s="68" t="s">
        <v>27</v>
      </c>
      <c r="N6810" s="116"/>
      <c r="O6810" s="51"/>
    </row>
    <row r="6811">
      <c r="A6811" s="273"/>
      <c r="B6811" s="71"/>
      <c r="C6811" s="69" t="s">
        <v>27599</v>
      </c>
      <c r="D6811" s="71"/>
      <c r="E6811" s="68" t="s">
        <v>27600</v>
      </c>
      <c r="F6811" s="76">
        <v>44071.0</v>
      </c>
      <c r="G6811" s="68" t="s">
        <v>27601</v>
      </c>
      <c r="H6811" s="68" t="s">
        <v>27602</v>
      </c>
      <c r="I6811" s="68" t="s">
        <v>27603</v>
      </c>
      <c r="J6811" s="68" t="s">
        <v>27604</v>
      </c>
      <c r="K6811" s="83">
        <v>44135.0</v>
      </c>
      <c r="L6811" s="68" t="s">
        <v>2743</v>
      </c>
      <c r="M6811" s="68" t="s">
        <v>27</v>
      </c>
      <c r="N6811" s="116"/>
      <c r="O6811" s="51"/>
    </row>
    <row r="6812">
      <c r="A6812" s="273"/>
      <c r="B6812" s="71"/>
      <c r="C6812" s="69" t="s">
        <v>27605</v>
      </c>
      <c r="D6812" s="71"/>
      <c r="E6812" s="68" t="s">
        <v>27606</v>
      </c>
      <c r="F6812" s="76">
        <v>43379.0</v>
      </c>
      <c r="G6812" s="68" t="s">
        <v>27607</v>
      </c>
      <c r="H6812" s="68" t="s">
        <v>27608</v>
      </c>
      <c r="I6812" s="71"/>
      <c r="J6812" s="68" t="s">
        <v>27609</v>
      </c>
      <c r="K6812" s="83">
        <v>44135.0</v>
      </c>
      <c r="L6812" s="68" t="s">
        <v>2743</v>
      </c>
      <c r="M6812" s="68" t="s">
        <v>18616</v>
      </c>
      <c r="N6812" s="116"/>
      <c r="O6812" s="51"/>
    </row>
    <row r="6813">
      <c r="A6813" s="273"/>
      <c r="B6813" s="71"/>
      <c r="C6813" s="69" t="s">
        <v>27610</v>
      </c>
      <c r="D6813" s="71"/>
      <c r="E6813" s="68" t="s">
        <v>27611</v>
      </c>
      <c r="F6813" s="76">
        <v>44088.0</v>
      </c>
      <c r="G6813" s="68" t="s">
        <v>27612</v>
      </c>
      <c r="H6813" s="68" t="s">
        <v>27613</v>
      </c>
      <c r="I6813" s="71"/>
      <c r="J6813" s="68" t="s">
        <v>27614</v>
      </c>
      <c r="K6813" s="76">
        <v>44137.0</v>
      </c>
      <c r="L6813" s="68" t="s">
        <v>2743</v>
      </c>
      <c r="M6813" s="68" t="s">
        <v>27615</v>
      </c>
      <c r="N6813" s="116"/>
      <c r="O6813" s="51"/>
    </row>
    <row r="6814">
      <c r="A6814" s="273"/>
      <c r="B6814" s="71"/>
      <c r="C6814" s="69" t="s">
        <v>27616</v>
      </c>
      <c r="D6814" s="71"/>
      <c r="E6814" s="68" t="s">
        <v>27617</v>
      </c>
      <c r="F6814" s="83">
        <v>44133.0</v>
      </c>
      <c r="G6814" s="68" t="s">
        <v>27618</v>
      </c>
      <c r="H6814" s="68" t="s">
        <v>27619</v>
      </c>
      <c r="I6814" s="71"/>
      <c r="J6814" s="68" t="s">
        <v>27620</v>
      </c>
      <c r="K6814" s="76">
        <v>44139.0</v>
      </c>
      <c r="L6814" s="68" t="s">
        <v>2743</v>
      </c>
      <c r="M6814" s="68" t="s">
        <v>143</v>
      </c>
      <c r="N6814" s="116"/>
      <c r="O6814" s="51"/>
    </row>
    <row r="6815">
      <c r="A6815" s="273"/>
      <c r="B6815" s="71"/>
      <c r="C6815" s="69" t="s">
        <v>27621</v>
      </c>
      <c r="D6815" s="71"/>
      <c r="E6815" s="68" t="s">
        <v>27622</v>
      </c>
      <c r="F6815" s="83">
        <v>44123.0</v>
      </c>
      <c r="G6815" s="68" t="s">
        <v>27623</v>
      </c>
      <c r="H6815" s="68" t="s">
        <v>27624</v>
      </c>
      <c r="I6815" s="71"/>
      <c r="J6815" s="68" t="s">
        <v>27625</v>
      </c>
      <c r="K6815" s="76">
        <v>44139.0</v>
      </c>
      <c r="L6815" s="68" t="s">
        <v>2743</v>
      </c>
      <c r="M6815" s="68" t="s">
        <v>143</v>
      </c>
      <c r="N6815" s="116"/>
      <c r="O6815" s="51"/>
    </row>
    <row r="6816">
      <c r="A6816" s="273"/>
      <c r="B6816" s="71"/>
      <c r="C6816" s="69" t="s">
        <v>27626</v>
      </c>
      <c r="D6816" s="71"/>
      <c r="E6816" s="68" t="s">
        <v>27627</v>
      </c>
      <c r="F6816" s="83">
        <v>44124.0</v>
      </c>
      <c r="G6816" s="68" t="s">
        <v>27628</v>
      </c>
      <c r="H6816" s="68" t="s">
        <v>27629</v>
      </c>
      <c r="I6816" s="71"/>
      <c r="J6816" s="68" t="s">
        <v>27630</v>
      </c>
      <c r="K6816" s="76">
        <v>44139.0</v>
      </c>
      <c r="L6816" s="68" t="s">
        <v>2743</v>
      </c>
      <c r="M6816" s="68" t="s">
        <v>143</v>
      </c>
      <c r="N6816" s="116"/>
      <c r="O6816" s="51"/>
    </row>
    <row r="6817">
      <c r="A6817" s="234"/>
      <c r="B6817" s="71"/>
      <c r="C6817" s="69" t="s">
        <v>27631</v>
      </c>
      <c r="D6817" s="71"/>
      <c r="E6817" s="68" t="s">
        <v>27632</v>
      </c>
      <c r="F6817" s="83">
        <v>44124.0</v>
      </c>
      <c r="G6817" s="68" t="s">
        <v>27628</v>
      </c>
      <c r="H6817" s="68" t="s">
        <v>27633</v>
      </c>
      <c r="I6817" s="71"/>
      <c r="J6817" s="68" t="s">
        <v>27634</v>
      </c>
      <c r="K6817" s="76">
        <v>44139.0</v>
      </c>
      <c r="L6817" s="68" t="s">
        <v>2743</v>
      </c>
      <c r="M6817" s="68" t="s">
        <v>10279</v>
      </c>
      <c r="N6817" s="116"/>
      <c r="O6817" s="51"/>
    </row>
    <row r="6818">
      <c r="A6818" s="234"/>
      <c r="B6818" s="71"/>
      <c r="C6818" s="79" t="s">
        <v>27635</v>
      </c>
      <c r="D6818" s="82"/>
      <c r="E6818" s="80" t="s">
        <v>27636</v>
      </c>
      <c r="F6818" s="81">
        <v>41456.0</v>
      </c>
      <c r="G6818" s="80" t="s">
        <v>27637</v>
      </c>
      <c r="H6818" s="80" t="s">
        <v>27638</v>
      </c>
      <c r="I6818" s="82"/>
      <c r="J6818" s="63" t="s">
        <v>136</v>
      </c>
      <c r="K6818" s="81">
        <v>44139.0</v>
      </c>
      <c r="L6818" s="80" t="s">
        <v>2743</v>
      </c>
      <c r="M6818" s="63" t="s">
        <v>166</v>
      </c>
      <c r="N6818" s="116"/>
      <c r="O6818" s="51"/>
    </row>
    <row r="6819">
      <c r="A6819" s="234"/>
      <c r="B6819" s="71"/>
      <c r="C6819" s="79" t="s">
        <v>27639</v>
      </c>
      <c r="D6819" s="82"/>
      <c r="E6819" s="80" t="s">
        <v>27640</v>
      </c>
      <c r="F6819" s="81">
        <v>44111.0</v>
      </c>
      <c r="G6819" s="80" t="s">
        <v>27641</v>
      </c>
      <c r="H6819" s="80" t="s">
        <v>27642</v>
      </c>
      <c r="I6819" s="82"/>
      <c r="J6819" s="63" t="s">
        <v>136</v>
      </c>
      <c r="K6819" s="81">
        <v>44141.0</v>
      </c>
      <c r="L6819" s="80" t="s">
        <v>26929</v>
      </c>
      <c r="M6819" s="63" t="s">
        <v>22473</v>
      </c>
      <c r="N6819" s="116"/>
      <c r="O6819" s="51"/>
    </row>
    <row r="6820">
      <c r="A6820" s="234"/>
      <c r="B6820" s="71"/>
      <c r="C6820" s="79" t="s">
        <v>27643</v>
      </c>
      <c r="D6820" s="82"/>
      <c r="E6820" s="80" t="s">
        <v>27644</v>
      </c>
      <c r="F6820" s="81">
        <v>43530.0</v>
      </c>
      <c r="G6820" s="80" t="s">
        <v>27645</v>
      </c>
      <c r="H6820" s="80" t="s">
        <v>27646</v>
      </c>
      <c r="I6820" s="80" t="s">
        <v>27647</v>
      </c>
      <c r="J6820" s="63" t="s">
        <v>136</v>
      </c>
      <c r="K6820" s="81">
        <v>44141.0</v>
      </c>
      <c r="L6820" s="80" t="s">
        <v>2743</v>
      </c>
      <c r="M6820" s="80" t="s">
        <v>4749</v>
      </c>
      <c r="N6820" s="116"/>
      <c r="O6820" s="51"/>
    </row>
    <row r="6821">
      <c r="A6821" s="273"/>
      <c r="B6821" s="71"/>
      <c r="C6821" s="69" t="s">
        <v>27648</v>
      </c>
      <c r="D6821" s="71"/>
      <c r="E6821" s="68" t="s">
        <v>27649</v>
      </c>
      <c r="F6821" s="76">
        <v>43530.0</v>
      </c>
      <c r="G6821" s="68" t="s">
        <v>27650</v>
      </c>
      <c r="H6821" s="68" t="s">
        <v>27651</v>
      </c>
      <c r="I6821" s="68" t="s">
        <v>27652</v>
      </c>
      <c r="J6821" s="68" t="s">
        <v>27653</v>
      </c>
      <c r="K6821" s="76">
        <v>44141.0</v>
      </c>
      <c r="L6821" s="68" t="s">
        <v>2743</v>
      </c>
      <c r="M6821" s="68" t="s">
        <v>4749</v>
      </c>
      <c r="N6821" s="116"/>
      <c r="O6821" s="51"/>
    </row>
    <row r="6822">
      <c r="A6822" s="273"/>
      <c r="B6822" s="71"/>
      <c r="C6822" s="69" t="s">
        <v>27654</v>
      </c>
      <c r="D6822" s="71"/>
      <c r="E6822" s="68" t="s">
        <v>27655</v>
      </c>
      <c r="F6822" s="76">
        <v>44098.0</v>
      </c>
      <c r="G6822" s="68" t="s">
        <v>27656</v>
      </c>
      <c r="H6822" s="68" t="s">
        <v>27657</v>
      </c>
      <c r="I6822" s="71"/>
      <c r="J6822" s="68" t="s">
        <v>27658</v>
      </c>
      <c r="K6822" s="83">
        <v>44145.0</v>
      </c>
      <c r="L6822" s="68" t="s">
        <v>2743</v>
      </c>
      <c r="M6822" s="68" t="s">
        <v>27581</v>
      </c>
      <c r="N6822" s="116"/>
      <c r="O6822" s="51"/>
    </row>
    <row r="6823">
      <c r="A6823" s="234"/>
      <c r="B6823" s="71"/>
      <c r="C6823" s="79" t="s">
        <v>27659</v>
      </c>
      <c r="D6823" s="82"/>
      <c r="E6823" s="80" t="s">
        <v>27660</v>
      </c>
      <c r="F6823" s="81">
        <v>43963.0</v>
      </c>
      <c r="G6823" s="80" t="s">
        <v>27661</v>
      </c>
      <c r="H6823" s="80" t="s">
        <v>27394</v>
      </c>
      <c r="I6823" s="80" t="s">
        <v>27662</v>
      </c>
      <c r="J6823" s="63" t="s">
        <v>136</v>
      </c>
      <c r="K6823" s="98">
        <v>44148.0</v>
      </c>
      <c r="L6823" s="80" t="s">
        <v>2743</v>
      </c>
      <c r="M6823" s="80" t="s">
        <v>3714</v>
      </c>
      <c r="N6823" s="116"/>
      <c r="O6823" s="51"/>
    </row>
    <row r="6824">
      <c r="A6824" s="234"/>
      <c r="B6824" s="71"/>
      <c r="C6824" s="79" t="s">
        <v>27663</v>
      </c>
      <c r="D6824" s="82"/>
      <c r="E6824" s="80" t="s">
        <v>27664</v>
      </c>
      <c r="F6824" s="81">
        <v>39995.0</v>
      </c>
      <c r="G6824" s="80" t="s">
        <v>27665</v>
      </c>
      <c r="H6824" s="80" t="s">
        <v>27394</v>
      </c>
      <c r="I6824" s="80" t="s">
        <v>27666</v>
      </c>
      <c r="J6824" s="63" t="s">
        <v>136</v>
      </c>
      <c r="K6824" s="98">
        <v>44148.0</v>
      </c>
      <c r="L6824" s="80" t="s">
        <v>2743</v>
      </c>
      <c r="M6824" s="80" t="s">
        <v>530</v>
      </c>
      <c r="N6824" s="116"/>
      <c r="O6824" s="51"/>
    </row>
    <row r="6825">
      <c r="A6825" s="273"/>
      <c r="B6825" s="71"/>
      <c r="C6825" s="69" t="s">
        <v>27667</v>
      </c>
      <c r="D6825" s="71"/>
      <c r="E6825" s="68" t="s">
        <v>27668</v>
      </c>
      <c r="F6825" s="83">
        <v>44126.0</v>
      </c>
      <c r="G6825" s="68" t="s">
        <v>27669</v>
      </c>
      <c r="H6825" s="68" t="s">
        <v>27394</v>
      </c>
      <c r="I6825" s="71"/>
      <c r="J6825" s="68" t="s">
        <v>27670</v>
      </c>
      <c r="K6825" s="83">
        <v>44153.0</v>
      </c>
      <c r="L6825" s="68" t="s">
        <v>2743</v>
      </c>
      <c r="M6825" s="68" t="s">
        <v>2527</v>
      </c>
      <c r="N6825" s="116"/>
      <c r="O6825" s="51"/>
    </row>
    <row r="6826">
      <c r="A6826" s="273"/>
      <c r="B6826" s="71"/>
      <c r="C6826" s="69" t="s">
        <v>27671</v>
      </c>
      <c r="D6826" s="71"/>
      <c r="E6826" s="68" t="s">
        <v>21460</v>
      </c>
      <c r="F6826" s="83">
        <v>44133.0</v>
      </c>
      <c r="G6826" s="68" t="s">
        <v>27672</v>
      </c>
      <c r="H6826" s="68" t="s">
        <v>27394</v>
      </c>
      <c r="I6826" s="71"/>
      <c r="J6826" s="68" t="s">
        <v>27673</v>
      </c>
      <c r="K6826" s="83">
        <v>44153.0</v>
      </c>
      <c r="L6826" s="68" t="s">
        <v>2743</v>
      </c>
      <c r="M6826" s="68" t="s">
        <v>149</v>
      </c>
      <c r="N6826" s="116"/>
      <c r="O6826" s="51"/>
    </row>
    <row r="6827">
      <c r="A6827" s="273"/>
      <c r="B6827" s="71"/>
      <c r="C6827" s="69" t="s">
        <v>27674</v>
      </c>
      <c r="D6827" s="71"/>
      <c r="E6827" s="68" t="s">
        <v>27675</v>
      </c>
      <c r="F6827" s="76">
        <v>43371.0</v>
      </c>
      <c r="G6827" s="68" t="s">
        <v>27676</v>
      </c>
      <c r="H6827" s="68" t="s">
        <v>27394</v>
      </c>
      <c r="I6827" s="71"/>
      <c r="J6827" s="68" t="s">
        <v>27677</v>
      </c>
      <c r="K6827" s="83">
        <v>44153.0</v>
      </c>
      <c r="L6827" s="68" t="s">
        <v>2743</v>
      </c>
      <c r="M6827" s="68" t="s">
        <v>27</v>
      </c>
      <c r="N6827" s="116"/>
      <c r="O6827" s="51"/>
    </row>
    <row r="6828">
      <c r="A6828" s="234"/>
      <c r="B6828" s="71"/>
      <c r="C6828" s="79" t="s">
        <v>27678</v>
      </c>
      <c r="D6828" s="82"/>
      <c r="E6828" s="80" t="s">
        <v>27679</v>
      </c>
      <c r="F6828" s="98">
        <v>44124.0</v>
      </c>
      <c r="G6828" s="80" t="s">
        <v>27680</v>
      </c>
      <c r="H6828" s="80" t="s">
        <v>27681</v>
      </c>
      <c r="I6828" s="80" t="s">
        <v>27682</v>
      </c>
      <c r="J6828" s="63" t="s">
        <v>136</v>
      </c>
      <c r="K6828" s="98">
        <v>44153.0</v>
      </c>
      <c r="L6828" s="80" t="s">
        <v>2743</v>
      </c>
      <c r="M6828" s="80" t="s">
        <v>31</v>
      </c>
      <c r="N6828" s="116"/>
      <c r="O6828" s="51"/>
    </row>
    <row r="6829">
      <c r="A6829" s="273"/>
      <c r="B6829" s="71"/>
      <c r="C6829" s="69" t="s">
        <v>27683</v>
      </c>
      <c r="D6829" s="71"/>
      <c r="E6829" s="68" t="s">
        <v>27684</v>
      </c>
      <c r="F6829" s="76">
        <v>43998.0</v>
      </c>
      <c r="G6829" s="68" t="s">
        <v>27685</v>
      </c>
      <c r="H6829" s="68" t="s">
        <v>27394</v>
      </c>
      <c r="I6829" s="71"/>
      <c r="J6829" s="68" t="s">
        <v>27686</v>
      </c>
      <c r="K6829" s="83">
        <v>44154.0</v>
      </c>
      <c r="L6829" s="68" t="s">
        <v>2743</v>
      </c>
      <c r="M6829" s="68" t="s">
        <v>27687</v>
      </c>
      <c r="N6829" s="116"/>
      <c r="O6829" s="51"/>
    </row>
    <row r="6830">
      <c r="A6830" s="273"/>
      <c r="B6830" s="71"/>
      <c r="C6830" s="69" t="s">
        <v>27688</v>
      </c>
      <c r="D6830" s="71"/>
      <c r="E6830" s="68" t="s">
        <v>27689</v>
      </c>
      <c r="F6830" s="76">
        <v>41947.0</v>
      </c>
      <c r="G6830" s="68" t="s">
        <v>27690</v>
      </c>
      <c r="H6830" s="68" t="s">
        <v>27394</v>
      </c>
      <c r="I6830" s="71"/>
      <c r="J6830" s="68" t="s">
        <v>27691</v>
      </c>
      <c r="K6830" s="83">
        <v>44154.0</v>
      </c>
      <c r="L6830" s="68" t="s">
        <v>2743</v>
      </c>
      <c r="M6830" s="68" t="s">
        <v>143</v>
      </c>
      <c r="N6830" s="116"/>
      <c r="O6830" s="51"/>
    </row>
    <row r="6831">
      <c r="A6831" s="234"/>
      <c r="B6831" s="71"/>
      <c r="C6831" s="79" t="s">
        <v>27692</v>
      </c>
      <c r="D6831" s="82"/>
      <c r="E6831" s="80" t="s">
        <v>27693</v>
      </c>
      <c r="F6831" s="81">
        <v>42930.0</v>
      </c>
      <c r="G6831" s="80" t="s">
        <v>27694</v>
      </c>
      <c r="H6831" s="80" t="s">
        <v>27394</v>
      </c>
      <c r="I6831" s="82"/>
      <c r="J6831" s="63" t="s">
        <v>136</v>
      </c>
      <c r="K6831" s="98">
        <v>44154.0</v>
      </c>
      <c r="L6831" s="80" t="s">
        <v>2743</v>
      </c>
      <c r="M6831" s="80" t="s">
        <v>166</v>
      </c>
      <c r="N6831" s="116"/>
      <c r="O6831" s="51"/>
    </row>
    <row r="6832">
      <c r="A6832" s="234"/>
      <c r="B6832" s="71"/>
      <c r="C6832" s="79" t="s">
        <v>27695</v>
      </c>
      <c r="D6832" s="82"/>
      <c r="E6832" s="80" t="s">
        <v>27696</v>
      </c>
      <c r="F6832" s="81">
        <v>43995.0</v>
      </c>
      <c r="G6832" s="80" t="s">
        <v>27697</v>
      </c>
      <c r="H6832" s="80" t="s">
        <v>27394</v>
      </c>
      <c r="I6832" s="80" t="s">
        <v>27698</v>
      </c>
      <c r="J6832" s="63" t="s">
        <v>136</v>
      </c>
      <c r="K6832" s="98">
        <v>44158.0</v>
      </c>
      <c r="L6832" s="80" t="s">
        <v>2743</v>
      </c>
      <c r="M6832" s="80" t="s">
        <v>4749</v>
      </c>
      <c r="N6832" s="116"/>
      <c r="O6832" s="51"/>
    </row>
    <row r="6833">
      <c r="A6833" s="234"/>
      <c r="B6833" s="71"/>
      <c r="C6833" s="79" t="s">
        <v>27699</v>
      </c>
      <c r="D6833" s="82"/>
      <c r="E6833" s="80" t="s">
        <v>27700</v>
      </c>
      <c r="F6833" s="81">
        <v>40951.0</v>
      </c>
      <c r="G6833" s="80" t="s">
        <v>27701</v>
      </c>
      <c r="H6833" s="80" t="s">
        <v>27702</v>
      </c>
      <c r="I6833" s="82"/>
      <c r="J6833" s="63" t="s">
        <v>136</v>
      </c>
      <c r="K6833" s="98">
        <v>44159.0</v>
      </c>
      <c r="L6833" s="80" t="s">
        <v>26929</v>
      </c>
      <c r="M6833" s="80" t="s">
        <v>166</v>
      </c>
      <c r="N6833" s="116"/>
      <c r="O6833" s="51"/>
    </row>
    <row r="6834">
      <c r="A6834" s="234"/>
      <c r="B6834" s="71"/>
      <c r="C6834" s="79" t="s">
        <v>27703</v>
      </c>
      <c r="D6834" s="82"/>
      <c r="E6834" s="80" t="s">
        <v>27704</v>
      </c>
      <c r="F6834" s="81">
        <v>43634.0</v>
      </c>
      <c r="G6834" s="80" t="s">
        <v>27705</v>
      </c>
      <c r="H6834" s="80" t="s">
        <v>27706</v>
      </c>
      <c r="I6834" s="82"/>
      <c r="J6834" s="63" t="s">
        <v>136</v>
      </c>
      <c r="K6834" s="98">
        <v>44159.0</v>
      </c>
      <c r="L6834" s="80" t="s">
        <v>2743</v>
      </c>
      <c r="M6834" s="80" t="s">
        <v>125</v>
      </c>
      <c r="N6834" s="116"/>
      <c r="O6834" s="51"/>
    </row>
    <row r="6835">
      <c r="A6835" s="273"/>
      <c r="B6835" s="71"/>
      <c r="C6835" s="69" t="s">
        <v>27707</v>
      </c>
      <c r="D6835" s="71"/>
      <c r="E6835" s="68" t="s">
        <v>27708</v>
      </c>
      <c r="F6835" s="76">
        <v>43516.0</v>
      </c>
      <c r="G6835" s="68" t="s">
        <v>27709</v>
      </c>
      <c r="H6835" s="68" t="s">
        <v>27710</v>
      </c>
      <c r="I6835" s="71"/>
      <c r="J6835" s="68" t="s">
        <v>27711</v>
      </c>
      <c r="K6835" s="83">
        <v>44160.0</v>
      </c>
      <c r="L6835" s="68" t="s">
        <v>2743</v>
      </c>
      <c r="M6835" s="68" t="s">
        <v>542</v>
      </c>
      <c r="N6835" s="116"/>
      <c r="O6835" s="51"/>
    </row>
    <row r="6836">
      <c r="A6836" s="273"/>
      <c r="B6836" s="71"/>
      <c r="C6836" s="69" t="s">
        <v>27712</v>
      </c>
      <c r="D6836" s="71"/>
      <c r="E6836" s="68" t="s">
        <v>27713</v>
      </c>
      <c r="F6836" s="68" t="s">
        <v>27714</v>
      </c>
      <c r="G6836" s="68" t="s">
        <v>27715</v>
      </c>
      <c r="H6836" s="68" t="s">
        <v>27716</v>
      </c>
      <c r="I6836" s="68" t="s">
        <v>27717</v>
      </c>
      <c r="J6836" s="68" t="s">
        <v>27718</v>
      </c>
      <c r="K6836" s="83">
        <v>44161.0</v>
      </c>
      <c r="L6836" s="68" t="s">
        <v>2743</v>
      </c>
      <c r="M6836" s="68" t="s">
        <v>2989</v>
      </c>
      <c r="N6836" s="87" t="s">
        <v>27719</v>
      </c>
      <c r="O6836" s="51"/>
    </row>
    <row r="6837">
      <c r="A6837" s="234"/>
      <c r="B6837" s="71"/>
      <c r="C6837" s="79" t="s">
        <v>27720</v>
      </c>
      <c r="D6837" s="82"/>
      <c r="E6837" s="80" t="s">
        <v>27721</v>
      </c>
      <c r="F6837" s="81">
        <v>42157.0</v>
      </c>
      <c r="G6837" s="80" t="s">
        <v>27722</v>
      </c>
      <c r="H6837" s="80" t="s">
        <v>27723</v>
      </c>
      <c r="I6837" s="82"/>
      <c r="J6837" s="63" t="s">
        <v>136</v>
      </c>
      <c r="K6837" s="98">
        <v>44165.0</v>
      </c>
      <c r="L6837" s="80" t="s">
        <v>2743</v>
      </c>
      <c r="M6837" s="80" t="s">
        <v>166</v>
      </c>
      <c r="N6837" s="88" t="s">
        <v>27724</v>
      </c>
      <c r="O6837" s="51"/>
    </row>
    <row r="6838">
      <c r="A6838" s="234"/>
      <c r="B6838" s="71"/>
      <c r="C6838" s="79" t="s">
        <v>27725</v>
      </c>
      <c r="D6838" s="82"/>
      <c r="E6838" s="80" t="s">
        <v>27726</v>
      </c>
      <c r="F6838" s="81">
        <v>44103.0</v>
      </c>
      <c r="G6838" s="80" t="s">
        <v>27727</v>
      </c>
      <c r="H6838" s="80" t="s">
        <v>27728</v>
      </c>
      <c r="I6838" s="82"/>
      <c r="J6838" s="63" t="s">
        <v>136</v>
      </c>
      <c r="K6838" s="98">
        <v>44165.0</v>
      </c>
      <c r="L6838" s="80" t="s">
        <v>2743</v>
      </c>
      <c r="M6838" s="80" t="s">
        <v>143</v>
      </c>
      <c r="N6838" s="116"/>
      <c r="O6838" s="51"/>
    </row>
    <row r="6839">
      <c r="A6839" s="273"/>
      <c r="B6839" s="71"/>
      <c r="C6839" s="69" t="s">
        <v>27729</v>
      </c>
      <c r="D6839" s="71"/>
      <c r="E6839" s="68" t="s">
        <v>27730</v>
      </c>
      <c r="F6839" s="76">
        <v>44103.0</v>
      </c>
      <c r="G6839" s="68" t="s">
        <v>27727</v>
      </c>
      <c r="H6839" s="68" t="s">
        <v>27731</v>
      </c>
      <c r="I6839" s="71"/>
      <c r="J6839" s="68" t="s">
        <v>27732</v>
      </c>
      <c r="K6839" s="83">
        <v>44165.0</v>
      </c>
      <c r="L6839" s="68" t="s">
        <v>2743</v>
      </c>
      <c r="M6839" s="68" t="s">
        <v>143</v>
      </c>
      <c r="N6839" s="116"/>
      <c r="O6839" s="51"/>
    </row>
    <row r="6840">
      <c r="A6840" s="273"/>
      <c r="B6840" s="71"/>
      <c r="C6840" s="69" t="s">
        <v>27733</v>
      </c>
      <c r="D6840" s="71"/>
      <c r="E6840" s="68" t="s">
        <v>27734</v>
      </c>
      <c r="F6840" s="83">
        <v>44126.0</v>
      </c>
      <c r="G6840" s="68" t="s">
        <v>27735</v>
      </c>
      <c r="H6840" s="68" t="s">
        <v>27736</v>
      </c>
      <c r="I6840" s="68" t="s">
        <v>27737</v>
      </c>
      <c r="J6840" s="68" t="s">
        <v>27738</v>
      </c>
      <c r="K6840" s="83">
        <v>44165.0</v>
      </c>
      <c r="L6840" s="68" t="s">
        <v>2743</v>
      </c>
      <c r="M6840" s="68" t="s">
        <v>31</v>
      </c>
      <c r="N6840" s="116"/>
      <c r="O6840" s="51"/>
    </row>
    <row r="6841">
      <c r="A6841" s="273"/>
      <c r="B6841" s="71"/>
      <c r="C6841" s="69" t="s">
        <v>27739</v>
      </c>
      <c r="D6841" s="71"/>
      <c r="E6841" s="68" t="s">
        <v>27740</v>
      </c>
      <c r="F6841" s="76">
        <v>44140.0</v>
      </c>
      <c r="G6841" s="68" t="s">
        <v>27741</v>
      </c>
      <c r="H6841" s="68" t="s">
        <v>27742</v>
      </c>
      <c r="I6841" s="71"/>
      <c r="J6841" s="68" t="s">
        <v>27743</v>
      </c>
      <c r="K6841" s="83">
        <v>44165.0</v>
      </c>
      <c r="L6841" s="68" t="s">
        <v>2743</v>
      </c>
      <c r="M6841" s="68" t="s">
        <v>1182</v>
      </c>
      <c r="N6841" s="116"/>
      <c r="O6841" s="51"/>
    </row>
    <row r="6842">
      <c r="A6842" s="273"/>
      <c r="B6842" s="71"/>
      <c r="C6842" s="69" t="s">
        <v>27744</v>
      </c>
      <c r="D6842" s="71"/>
      <c r="E6842" s="68" t="s">
        <v>27745</v>
      </c>
      <c r="F6842" s="76">
        <v>44008.0</v>
      </c>
      <c r="G6842" s="68" t="s">
        <v>27746</v>
      </c>
      <c r="H6842" s="68" t="s">
        <v>439</v>
      </c>
      <c r="I6842" s="71"/>
      <c r="J6842" s="68" t="s">
        <v>27747</v>
      </c>
      <c r="K6842" s="83">
        <v>44165.0</v>
      </c>
      <c r="L6842" s="68" t="s">
        <v>19825</v>
      </c>
      <c r="M6842" s="68" t="s">
        <v>166</v>
      </c>
      <c r="N6842" s="116"/>
      <c r="O6842" s="51"/>
    </row>
    <row r="6843">
      <c r="A6843" s="273"/>
      <c r="B6843" s="71"/>
      <c r="C6843" s="69" t="s">
        <v>27748</v>
      </c>
      <c r="D6843" s="71"/>
      <c r="E6843" s="68" t="s">
        <v>27749</v>
      </c>
      <c r="F6843" s="76">
        <v>44143.0</v>
      </c>
      <c r="G6843" s="68" t="s">
        <v>27750</v>
      </c>
      <c r="H6843" s="68" t="s">
        <v>439</v>
      </c>
      <c r="I6843" s="71"/>
      <c r="J6843" s="68" t="s">
        <v>27751</v>
      </c>
      <c r="K6843" s="83">
        <v>44165.0</v>
      </c>
      <c r="L6843" s="68" t="s">
        <v>19825</v>
      </c>
      <c r="M6843" s="68" t="s">
        <v>166</v>
      </c>
      <c r="N6843" s="116"/>
      <c r="O6843" s="51"/>
    </row>
    <row r="6844">
      <c r="A6844" s="273"/>
      <c r="B6844" s="71"/>
      <c r="C6844" s="69" t="s">
        <v>27752</v>
      </c>
      <c r="D6844" s="71"/>
      <c r="E6844" s="68" t="s">
        <v>27753</v>
      </c>
      <c r="F6844" s="76">
        <v>43915.0</v>
      </c>
      <c r="G6844" s="68" t="s">
        <v>27754</v>
      </c>
      <c r="H6844" s="68" t="s">
        <v>27755</v>
      </c>
      <c r="I6844" s="71"/>
      <c r="J6844" s="68" t="s">
        <v>27756</v>
      </c>
      <c r="K6844" s="76">
        <v>44166.0</v>
      </c>
      <c r="L6844" s="68" t="s">
        <v>2743</v>
      </c>
      <c r="M6844" s="68" t="s">
        <v>542</v>
      </c>
      <c r="N6844" s="116"/>
      <c r="O6844" s="51"/>
    </row>
    <row r="6845">
      <c r="A6845" s="273"/>
      <c r="B6845" s="71"/>
      <c r="C6845" s="69" t="s">
        <v>27757</v>
      </c>
      <c r="D6845" s="71"/>
      <c r="E6845" s="68" t="s">
        <v>27758</v>
      </c>
      <c r="F6845" s="76">
        <v>44063.0</v>
      </c>
      <c r="G6845" s="68" t="s">
        <v>27759</v>
      </c>
      <c r="H6845" s="68" t="s">
        <v>27760</v>
      </c>
      <c r="I6845" s="71"/>
      <c r="J6845" s="68" t="s">
        <v>27761</v>
      </c>
      <c r="K6845" s="76">
        <v>44166.0</v>
      </c>
      <c r="L6845" s="68" t="s">
        <v>2743</v>
      </c>
      <c r="M6845" s="68" t="s">
        <v>166</v>
      </c>
      <c r="N6845" s="116"/>
      <c r="O6845" s="51"/>
    </row>
    <row r="6846">
      <c r="A6846" s="273"/>
      <c r="B6846" s="71"/>
      <c r="C6846" s="69" t="s">
        <v>27762</v>
      </c>
      <c r="D6846" s="71"/>
      <c r="E6846" s="68" t="s">
        <v>27763</v>
      </c>
      <c r="F6846" s="83">
        <v>44132.0</v>
      </c>
      <c r="G6846" s="68" t="s">
        <v>27764</v>
      </c>
      <c r="H6846" s="68" t="s">
        <v>27765</v>
      </c>
      <c r="I6846" s="71"/>
      <c r="J6846" s="68" t="s">
        <v>27766</v>
      </c>
      <c r="K6846" s="76">
        <v>44166.0</v>
      </c>
      <c r="L6846" s="68" t="s">
        <v>2743</v>
      </c>
      <c r="M6846" s="68" t="s">
        <v>542</v>
      </c>
      <c r="N6846" s="116"/>
      <c r="O6846" s="51"/>
    </row>
    <row r="6847">
      <c r="A6847" s="273"/>
      <c r="B6847" s="71"/>
      <c r="C6847" s="69" t="s">
        <v>27767</v>
      </c>
      <c r="D6847" s="71"/>
      <c r="E6847" s="68" t="s">
        <v>27768</v>
      </c>
      <c r="F6847" s="83">
        <v>44154.0</v>
      </c>
      <c r="G6847" s="68" t="s">
        <v>27769</v>
      </c>
      <c r="H6847" s="68" t="s">
        <v>27770</v>
      </c>
      <c r="I6847" s="71"/>
      <c r="J6847" s="68" t="s">
        <v>27771</v>
      </c>
      <c r="K6847" s="76">
        <v>44167.0</v>
      </c>
      <c r="L6847" s="68" t="s">
        <v>2743</v>
      </c>
      <c r="M6847" s="68" t="s">
        <v>166</v>
      </c>
      <c r="N6847" s="116"/>
      <c r="O6847" s="51"/>
    </row>
    <row r="6848">
      <c r="A6848" s="273"/>
      <c r="B6848" s="71"/>
      <c r="C6848" s="69" t="s">
        <v>27772</v>
      </c>
      <c r="D6848" s="71"/>
      <c r="E6848" s="68" t="s">
        <v>27773</v>
      </c>
      <c r="F6848" s="76">
        <v>43642.0</v>
      </c>
      <c r="G6848" s="68" t="s">
        <v>27774</v>
      </c>
      <c r="H6848" s="68" t="s">
        <v>27775</v>
      </c>
      <c r="I6848" s="71"/>
      <c r="J6848" s="68" t="s">
        <v>27776</v>
      </c>
      <c r="K6848" s="76">
        <v>44167.0</v>
      </c>
      <c r="L6848" s="68" t="s">
        <v>2743</v>
      </c>
      <c r="M6848" s="68" t="s">
        <v>166</v>
      </c>
      <c r="N6848" s="116"/>
      <c r="O6848" s="51"/>
    </row>
    <row r="6849">
      <c r="A6849" s="273"/>
      <c r="B6849" s="71"/>
      <c r="C6849" s="69" t="s">
        <v>27777</v>
      </c>
      <c r="D6849" s="71"/>
      <c r="E6849" s="68" t="s">
        <v>27778</v>
      </c>
      <c r="F6849" s="83">
        <v>44149.0</v>
      </c>
      <c r="G6849" s="68" t="s">
        <v>27779</v>
      </c>
      <c r="H6849" s="68" t="s">
        <v>27780</v>
      </c>
      <c r="I6849" s="71"/>
      <c r="J6849" s="68" t="s">
        <v>27781</v>
      </c>
      <c r="K6849" s="76">
        <v>44167.0</v>
      </c>
      <c r="L6849" s="68" t="s">
        <v>2743</v>
      </c>
      <c r="M6849" s="68" t="s">
        <v>31</v>
      </c>
      <c r="N6849" s="116"/>
      <c r="O6849" s="51"/>
    </row>
    <row r="6850">
      <c r="A6850" s="234"/>
      <c r="B6850" s="71"/>
      <c r="C6850" s="79" t="s">
        <v>27782</v>
      </c>
      <c r="D6850" s="82"/>
      <c r="E6850" s="80" t="s">
        <v>27783</v>
      </c>
      <c r="F6850" s="81">
        <v>39995.0</v>
      </c>
      <c r="G6850" s="80" t="s">
        <v>27784</v>
      </c>
      <c r="H6850" s="80" t="s">
        <v>27394</v>
      </c>
      <c r="I6850" s="80" t="s">
        <v>27785</v>
      </c>
      <c r="J6850" s="63" t="s">
        <v>136</v>
      </c>
      <c r="K6850" s="81">
        <v>44174.0</v>
      </c>
      <c r="L6850" s="80" t="s">
        <v>2743</v>
      </c>
      <c r="M6850" s="80" t="s">
        <v>530</v>
      </c>
      <c r="N6850" s="116"/>
      <c r="O6850" s="51"/>
    </row>
    <row r="6851">
      <c r="A6851" s="273"/>
      <c r="B6851" s="71"/>
      <c r="C6851" s="69" t="s">
        <v>27786</v>
      </c>
      <c r="D6851" s="71"/>
      <c r="E6851" s="68" t="s">
        <v>27787</v>
      </c>
      <c r="F6851" s="76">
        <v>44063.0</v>
      </c>
      <c r="G6851" s="68" t="s">
        <v>27788</v>
      </c>
      <c r="H6851" s="68" t="s">
        <v>27789</v>
      </c>
      <c r="I6851" s="71"/>
      <c r="J6851" s="68" t="s">
        <v>27790</v>
      </c>
      <c r="K6851" s="76">
        <v>44174.0</v>
      </c>
      <c r="L6851" s="68" t="s">
        <v>2743</v>
      </c>
      <c r="M6851" s="68" t="s">
        <v>4487</v>
      </c>
      <c r="N6851" s="116"/>
      <c r="O6851" s="51"/>
    </row>
    <row r="6852">
      <c r="A6852" s="273"/>
      <c r="B6852" s="71"/>
      <c r="C6852" s="69" t="s">
        <v>27791</v>
      </c>
      <c r="D6852" s="71"/>
      <c r="E6852" s="68" t="s">
        <v>27792</v>
      </c>
      <c r="F6852" s="76">
        <v>44168.0</v>
      </c>
      <c r="G6852" s="68" t="s">
        <v>27793</v>
      </c>
      <c r="H6852" s="68" t="s">
        <v>27794</v>
      </c>
      <c r="I6852" s="71"/>
      <c r="J6852" s="68" t="s">
        <v>27795</v>
      </c>
      <c r="K6852" s="76">
        <v>44174.0</v>
      </c>
      <c r="L6852" s="68" t="s">
        <v>2743</v>
      </c>
      <c r="M6852" s="68" t="s">
        <v>1910</v>
      </c>
      <c r="N6852" s="116"/>
      <c r="O6852" s="51"/>
    </row>
    <row r="6853">
      <c r="A6853" s="273"/>
      <c r="B6853" s="71"/>
      <c r="C6853" s="69" t="s">
        <v>27796</v>
      </c>
      <c r="D6853" s="71"/>
      <c r="E6853" s="68" t="s">
        <v>27797</v>
      </c>
      <c r="F6853" s="76">
        <v>44140.0</v>
      </c>
      <c r="G6853" s="68" t="s">
        <v>27798</v>
      </c>
      <c r="H6853" s="68" t="s">
        <v>27799</v>
      </c>
      <c r="I6853" s="71"/>
      <c r="J6853" s="68" t="s">
        <v>27800</v>
      </c>
      <c r="K6853" s="76">
        <v>44174.0</v>
      </c>
      <c r="L6853" s="68" t="s">
        <v>2743</v>
      </c>
      <c r="M6853" s="68" t="s">
        <v>1910</v>
      </c>
      <c r="N6853" s="116"/>
      <c r="O6853" s="51"/>
    </row>
    <row r="6854">
      <c r="A6854" s="234"/>
      <c r="B6854" s="71"/>
      <c r="C6854" s="79" t="s">
        <v>27801</v>
      </c>
      <c r="D6854" s="82"/>
      <c r="E6854" s="80" t="s">
        <v>27802</v>
      </c>
      <c r="F6854" s="81">
        <v>42095.0</v>
      </c>
      <c r="G6854" s="80" t="s">
        <v>27803</v>
      </c>
      <c r="H6854" s="80" t="s">
        <v>27804</v>
      </c>
      <c r="I6854" s="82"/>
      <c r="J6854" s="63" t="s">
        <v>136</v>
      </c>
      <c r="K6854" s="81">
        <v>44174.0</v>
      </c>
      <c r="L6854" s="80" t="s">
        <v>2743</v>
      </c>
      <c r="M6854" s="80" t="s">
        <v>26526</v>
      </c>
      <c r="N6854" s="116"/>
      <c r="O6854" s="51"/>
    </row>
    <row r="6855">
      <c r="A6855" s="273"/>
      <c r="B6855" s="71"/>
      <c r="C6855" s="69" t="s">
        <v>27805</v>
      </c>
      <c r="D6855" s="71"/>
      <c r="E6855" s="68" t="s">
        <v>27806</v>
      </c>
      <c r="F6855" s="76">
        <v>43627.0</v>
      </c>
      <c r="G6855" s="68" t="s">
        <v>27807</v>
      </c>
      <c r="H6855" s="68" t="s">
        <v>27808</v>
      </c>
      <c r="I6855" s="71"/>
      <c r="J6855" s="68" t="s">
        <v>27809</v>
      </c>
      <c r="K6855" s="76">
        <v>44174.0</v>
      </c>
      <c r="L6855" s="68" t="s">
        <v>2743</v>
      </c>
      <c r="M6855" s="68" t="s">
        <v>166</v>
      </c>
      <c r="N6855" s="116"/>
      <c r="O6855" s="51"/>
    </row>
    <row r="6856">
      <c r="A6856" s="273"/>
      <c r="B6856" s="71"/>
      <c r="C6856" s="69" t="s">
        <v>27810</v>
      </c>
      <c r="D6856" s="71"/>
      <c r="E6856" s="68" t="s">
        <v>14655</v>
      </c>
      <c r="F6856" s="83">
        <v>44163.0</v>
      </c>
      <c r="G6856" s="68" t="s">
        <v>27811</v>
      </c>
      <c r="H6856" s="68" t="s">
        <v>27812</v>
      </c>
      <c r="I6856" s="71"/>
      <c r="J6856" s="68" t="s">
        <v>27813</v>
      </c>
      <c r="K6856" s="76">
        <v>44174.0</v>
      </c>
      <c r="L6856" s="68" t="s">
        <v>2743</v>
      </c>
      <c r="M6856" s="68" t="s">
        <v>149</v>
      </c>
      <c r="N6856" s="116"/>
      <c r="O6856" s="51"/>
    </row>
    <row r="6857">
      <c r="A6857" s="273"/>
      <c r="B6857" s="71"/>
      <c r="C6857" s="69" t="s">
        <v>27814</v>
      </c>
      <c r="D6857" s="71"/>
      <c r="E6857" s="68" t="s">
        <v>27815</v>
      </c>
      <c r="F6857" s="83">
        <v>44155.0</v>
      </c>
      <c r="G6857" s="68" t="s">
        <v>27816</v>
      </c>
      <c r="H6857" s="68" t="s">
        <v>27817</v>
      </c>
      <c r="I6857" s="71"/>
      <c r="J6857" s="68" t="s">
        <v>27818</v>
      </c>
      <c r="K6857" s="76">
        <v>44174.0</v>
      </c>
      <c r="L6857" s="68" t="s">
        <v>16185</v>
      </c>
      <c r="M6857" s="68" t="s">
        <v>4749</v>
      </c>
      <c r="N6857" s="116"/>
      <c r="O6857" s="51"/>
    </row>
    <row r="6858">
      <c r="A6858" s="234"/>
      <c r="B6858" s="71"/>
      <c r="C6858" s="79" t="s">
        <v>27819</v>
      </c>
      <c r="D6858" s="82"/>
      <c r="E6858" s="80" t="s">
        <v>27820</v>
      </c>
      <c r="F6858" s="81">
        <v>42226.0</v>
      </c>
      <c r="G6858" s="80" t="s">
        <v>27821</v>
      </c>
      <c r="H6858" s="80" t="s">
        <v>27822</v>
      </c>
      <c r="I6858" s="82"/>
      <c r="J6858" s="63" t="s">
        <v>136</v>
      </c>
      <c r="K6858" s="81">
        <v>44174.0</v>
      </c>
      <c r="L6858" s="80" t="s">
        <v>16185</v>
      </c>
      <c r="M6858" s="80" t="s">
        <v>125</v>
      </c>
      <c r="N6858" s="87" t="s">
        <v>24425</v>
      </c>
      <c r="O6858" s="51"/>
    </row>
    <row r="6859">
      <c r="A6859" s="234"/>
      <c r="B6859" s="71"/>
      <c r="C6859" s="79" t="s">
        <v>27823</v>
      </c>
      <c r="D6859" s="82"/>
      <c r="E6859" s="80" t="s">
        <v>27824</v>
      </c>
      <c r="F6859" s="81">
        <v>43048.0</v>
      </c>
      <c r="G6859" s="80" t="s">
        <v>27825</v>
      </c>
      <c r="H6859" s="80" t="s">
        <v>27826</v>
      </c>
      <c r="I6859" s="82"/>
      <c r="J6859" s="63" t="s">
        <v>136</v>
      </c>
      <c r="K6859" s="81">
        <v>44174.0</v>
      </c>
      <c r="L6859" s="80" t="s">
        <v>16185</v>
      </c>
      <c r="M6859" s="80" t="s">
        <v>26124</v>
      </c>
      <c r="N6859" s="116"/>
      <c r="O6859" s="51"/>
    </row>
    <row r="6860">
      <c r="A6860" s="273"/>
      <c r="B6860" s="71"/>
      <c r="C6860" s="69" t="s">
        <v>27827</v>
      </c>
      <c r="D6860" s="71"/>
      <c r="E6860" s="68" t="s">
        <v>27828</v>
      </c>
      <c r="F6860" s="76">
        <v>43966.0</v>
      </c>
      <c r="G6860" s="68" t="s">
        <v>27829</v>
      </c>
      <c r="H6860" s="68" t="s">
        <v>27394</v>
      </c>
      <c r="I6860" s="71"/>
      <c r="J6860" s="68" t="s">
        <v>27830</v>
      </c>
      <c r="K6860" s="76">
        <v>44174.0</v>
      </c>
      <c r="L6860" s="68" t="s">
        <v>26929</v>
      </c>
      <c r="M6860" s="68" t="s">
        <v>27</v>
      </c>
      <c r="N6860" s="116"/>
      <c r="O6860" s="51"/>
    </row>
    <row r="6861">
      <c r="A6861" s="273"/>
      <c r="B6861" s="71"/>
      <c r="C6861" s="69" t="s">
        <v>27831</v>
      </c>
      <c r="D6861" s="71"/>
      <c r="E6861" s="68" t="s">
        <v>27832</v>
      </c>
      <c r="F6861" s="76">
        <v>43592.0</v>
      </c>
      <c r="G6861" s="68" t="s">
        <v>27833</v>
      </c>
      <c r="H6861" s="68" t="s">
        <v>27834</v>
      </c>
      <c r="I6861" s="71"/>
      <c r="J6861" s="68" t="s">
        <v>27835</v>
      </c>
      <c r="K6861" s="83">
        <v>44177.0</v>
      </c>
      <c r="L6861" s="68" t="s">
        <v>26929</v>
      </c>
      <c r="M6861" s="68" t="s">
        <v>27</v>
      </c>
      <c r="N6861" s="116"/>
      <c r="O6861" s="51"/>
    </row>
    <row r="6862">
      <c r="A6862" s="234"/>
      <c r="B6862" s="71"/>
      <c r="C6862" s="79" t="s">
        <v>27836</v>
      </c>
      <c r="D6862" s="82"/>
      <c r="E6862" s="80" t="s">
        <v>27837</v>
      </c>
      <c r="F6862" s="81">
        <v>43739.0</v>
      </c>
      <c r="G6862" s="80" t="s">
        <v>27838</v>
      </c>
      <c r="H6862" s="80" t="s">
        <v>27839</v>
      </c>
      <c r="I6862" s="82"/>
      <c r="J6862" s="63" t="s">
        <v>136</v>
      </c>
      <c r="K6862" s="98">
        <v>44177.0</v>
      </c>
      <c r="L6862" s="80" t="s">
        <v>26929</v>
      </c>
      <c r="M6862" s="80" t="s">
        <v>27</v>
      </c>
      <c r="N6862" s="116"/>
      <c r="O6862" s="51"/>
    </row>
    <row r="6863">
      <c r="A6863" s="273"/>
      <c r="B6863" s="71"/>
      <c r="C6863" s="69" t="s">
        <v>27840</v>
      </c>
      <c r="D6863" s="71"/>
      <c r="E6863" s="68" t="s">
        <v>27841</v>
      </c>
      <c r="F6863" s="76">
        <v>42931.0</v>
      </c>
      <c r="G6863" s="68" t="s">
        <v>27842</v>
      </c>
      <c r="H6863" s="68" t="s">
        <v>27843</v>
      </c>
      <c r="I6863" s="71"/>
      <c r="J6863" s="68" t="s">
        <v>27844</v>
      </c>
      <c r="K6863" s="83">
        <v>44177.0</v>
      </c>
      <c r="L6863" s="68" t="s">
        <v>26929</v>
      </c>
      <c r="M6863" s="68" t="s">
        <v>872</v>
      </c>
      <c r="N6863" s="116"/>
      <c r="O6863" s="51"/>
    </row>
    <row r="6864">
      <c r="A6864" s="234"/>
      <c r="B6864" s="71"/>
      <c r="C6864" s="79" t="s">
        <v>27845</v>
      </c>
      <c r="D6864" s="82"/>
      <c r="E6864" s="80" t="s">
        <v>27846</v>
      </c>
      <c r="F6864" s="81">
        <v>42048.0</v>
      </c>
      <c r="G6864" s="80" t="s">
        <v>27847</v>
      </c>
      <c r="H6864" s="80" t="s">
        <v>27848</v>
      </c>
      <c r="I6864" s="82"/>
      <c r="J6864" s="63" t="s">
        <v>136</v>
      </c>
      <c r="K6864" s="98">
        <v>44177.0</v>
      </c>
      <c r="L6864" s="80" t="s">
        <v>26929</v>
      </c>
      <c r="M6864" s="80" t="s">
        <v>27</v>
      </c>
      <c r="N6864" s="116"/>
      <c r="O6864" s="51"/>
    </row>
    <row r="6865">
      <c r="A6865" s="234"/>
      <c r="B6865" s="71"/>
      <c r="C6865" s="79" t="s">
        <v>27849</v>
      </c>
      <c r="D6865" s="82"/>
      <c r="E6865" s="80" t="s">
        <v>14910</v>
      </c>
      <c r="F6865" s="81">
        <v>40206.0</v>
      </c>
      <c r="G6865" s="80" t="s">
        <v>27850</v>
      </c>
      <c r="H6865" s="80" t="s">
        <v>27851</v>
      </c>
      <c r="I6865" s="82"/>
      <c r="J6865" s="63" t="s">
        <v>136</v>
      </c>
      <c r="K6865" s="98">
        <v>44177.0</v>
      </c>
      <c r="L6865" s="80" t="s">
        <v>26929</v>
      </c>
      <c r="M6865" s="80" t="s">
        <v>2989</v>
      </c>
      <c r="N6865" s="116"/>
      <c r="O6865" s="51"/>
    </row>
    <row r="6866">
      <c r="A6866" s="273"/>
      <c r="B6866" s="71"/>
      <c r="C6866" s="69" t="s">
        <v>27852</v>
      </c>
      <c r="D6866" s="71"/>
      <c r="E6866" s="68" t="s">
        <v>27853</v>
      </c>
      <c r="F6866" s="83">
        <v>43798.0</v>
      </c>
      <c r="G6866" s="68" t="s">
        <v>27854</v>
      </c>
      <c r="H6866" s="68" t="s">
        <v>27394</v>
      </c>
      <c r="I6866" s="71"/>
      <c r="J6866" s="68" t="s">
        <v>27855</v>
      </c>
      <c r="K6866" s="83">
        <v>44177.0</v>
      </c>
      <c r="L6866" s="68" t="s">
        <v>26929</v>
      </c>
      <c r="M6866" s="68" t="s">
        <v>27</v>
      </c>
      <c r="N6866" s="116"/>
      <c r="O6866" s="51"/>
    </row>
    <row r="6867">
      <c r="A6867" s="273"/>
      <c r="B6867" s="71"/>
      <c r="C6867" s="69" t="s">
        <v>27856</v>
      </c>
      <c r="D6867" s="71"/>
      <c r="E6867" s="68" t="s">
        <v>27857</v>
      </c>
      <c r="F6867" s="76">
        <v>43169.0</v>
      </c>
      <c r="G6867" s="68" t="s">
        <v>27858</v>
      </c>
      <c r="H6867" s="68" t="s">
        <v>27859</v>
      </c>
      <c r="I6867" s="71"/>
      <c r="J6867" s="68" t="s">
        <v>27860</v>
      </c>
      <c r="K6867" s="83">
        <v>44177.0</v>
      </c>
      <c r="L6867" s="68" t="s">
        <v>26929</v>
      </c>
      <c r="M6867" s="68" t="s">
        <v>166</v>
      </c>
      <c r="N6867" s="116"/>
      <c r="O6867" s="51"/>
    </row>
    <row r="6868">
      <c r="A6868" s="273"/>
      <c r="B6868" s="71"/>
      <c r="C6868" s="69" t="s">
        <v>27861</v>
      </c>
      <c r="D6868" s="71"/>
      <c r="E6868" s="68" t="s">
        <v>27862</v>
      </c>
      <c r="F6868" s="76">
        <v>43482.0</v>
      </c>
      <c r="G6868" s="68" t="s">
        <v>27863</v>
      </c>
      <c r="H6868" s="68" t="s">
        <v>27864</v>
      </c>
      <c r="I6868" s="71"/>
      <c r="J6868" s="68" t="s">
        <v>27865</v>
      </c>
      <c r="K6868" s="83">
        <v>44177.0</v>
      </c>
      <c r="L6868" s="68" t="s">
        <v>26929</v>
      </c>
      <c r="M6868" s="68" t="s">
        <v>27</v>
      </c>
      <c r="N6868" s="116"/>
      <c r="O6868" s="51"/>
    </row>
    <row r="6869">
      <c r="A6869" s="234"/>
      <c r="B6869" s="71"/>
      <c r="C6869" s="79" t="s">
        <v>27866</v>
      </c>
      <c r="D6869" s="82"/>
      <c r="E6869" s="80" t="s">
        <v>27867</v>
      </c>
      <c r="F6869" s="81">
        <v>41398.0</v>
      </c>
      <c r="G6869" s="80" t="s">
        <v>27868</v>
      </c>
      <c r="H6869" s="80" t="s">
        <v>27869</v>
      </c>
      <c r="I6869" s="82"/>
      <c r="J6869" s="63" t="s">
        <v>136</v>
      </c>
      <c r="K6869" s="98">
        <v>44177.0</v>
      </c>
      <c r="L6869" s="80" t="s">
        <v>26929</v>
      </c>
      <c r="M6869" s="80" t="s">
        <v>27</v>
      </c>
      <c r="N6869" s="116"/>
      <c r="O6869" s="51"/>
    </row>
    <row r="6870">
      <c r="A6870" s="234"/>
      <c r="B6870" s="71"/>
      <c r="C6870" s="79" t="s">
        <v>27870</v>
      </c>
      <c r="D6870" s="82"/>
      <c r="E6870" s="80" t="s">
        <v>27871</v>
      </c>
      <c r="F6870" s="81">
        <v>40318.0</v>
      </c>
      <c r="G6870" s="80" t="s">
        <v>27872</v>
      </c>
      <c r="H6870" s="80" t="s">
        <v>27873</v>
      </c>
      <c r="I6870" s="82"/>
      <c r="J6870" s="63" t="s">
        <v>136</v>
      </c>
      <c r="K6870" s="98">
        <v>44177.0</v>
      </c>
      <c r="L6870" s="80" t="s">
        <v>26929</v>
      </c>
      <c r="M6870" s="80" t="s">
        <v>13085</v>
      </c>
      <c r="N6870" s="116"/>
      <c r="O6870" s="51"/>
    </row>
    <row r="6871">
      <c r="A6871" s="234"/>
      <c r="B6871" s="71"/>
      <c r="C6871" s="79" t="s">
        <v>27874</v>
      </c>
      <c r="D6871" s="82"/>
      <c r="E6871" s="80" t="s">
        <v>27875</v>
      </c>
      <c r="F6871" s="81">
        <v>41821.0</v>
      </c>
      <c r="G6871" s="80" t="s">
        <v>27876</v>
      </c>
      <c r="H6871" s="80" t="s">
        <v>27877</v>
      </c>
      <c r="I6871" s="82"/>
      <c r="J6871" s="63" t="s">
        <v>136</v>
      </c>
      <c r="K6871" s="98">
        <v>44177.0</v>
      </c>
      <c r="L6871" s="80" t="s">
        <v>26929</v>
      </c>
      <c r="M6871" s="80" t="s">
        <v>125</v>
      </c>
      <c r="N6871" s="116"/>
      <c r="O6871" s="51"/>
    </row>
    <row r="6872">
      <c r="A6872" s="273"/>
      <c r="B6872" s="71"/>
      <c r="C6872" s="69" t="s">
        <v>27878</v>
      </c>
      <c r="D6872" s="71"/>
      <c r="E6872" s="68" t="s">
        <v>27879</v>
      </c>
      <c r="F6872" s="76">
        <v>44075.0</v>
      </c>
      <c r="G6872" s="68" t="s">
        <v>27880</v>
      </c>
      <c r="H6872" s="68" t="s">
        <v>27881</v>
      </c>
      <c r="I6872" s="71"/>
      <c r="J6872" s="68" t="s">
        <v>27882</v>
      </c>
      <c r="K6872" s="83">
        <v>44177.0</v>
      </c>
      <c r="L6872" s="68" t="s">
        <v>26929</v>
      </c>
      <c r="M6872" s="68" t="s">
        <v>27</v>
      </c>
      <c r="N6872" s="116"/>
      <c r="O6872" s="51"/>
    </row>
    <row r="6873">
      <c r="A6873" s="234"/>
      <c r="B6873" s="71"/>
      <c r="C6873" s="79" t="s">
        <v>27883</v>
      </c>
      <c r="D6873" s="82"/>
      <c r="E6873" s="80" t="s">
        <v>27884</v>
      </c>
      <c r="F6873" s="81">
        <v>42839.0</v>
      </c>
      <c r="G6873" s="80" t="s">
        <v>27885</v>
      </c>
      <c r="H6873" s="80" t="s">
        <v>27886</v>
      </c>
      <c r="I6873" s="82"/>
      <c r="J6873" s="63" t="s">
        <v>136</v>
      </c>
      <c r="K6873" s="98">
        <v>44179.0</v>
      </c>
      <c r="L6873" s="80" t="s">
        <v>2743</v>
      </c>
      <c r="M6873" s="80" t="s">
        <v>27887</v>
      </c>
      <c r="N6873" s="116"/>
      <c r="O6873" s="51"/>
    </row>
    <row r="6874">
      <c r="A6874" s="273"/>
      <c r="B6874" s="71"/>
      <c r="C6874" s="69" t="s">
        <v>27888</v>
      </c>
      <c r="D6874" s="71"/>
      <c r="E6874" s="68" t="s">
        <v>27889</v>
      </c>
      <c r="F6874" s="83">
        <v>44165.0</v>
      </c>
      <c r="G6874" s="68" t="s">
        <v>27890</v>
      </c>
      <c r="H6874" s="68" t="s">
        <v>27891</v>
      </c>
      <c r="I6874" s="71"/>
      <c r="J6874" s="68" t="s">
        <v>27892</v>
      </c>
      <c r="K6874" s="83">
        <v>44181.0</v>
      </c>
      <c r="L6874" s="68" t="s">
        <v>2743</v>
      </c>
      <c r="M6874" s="68" t="s">
        <v>20995</v>
      </c>
      <c r="N6874" s="116"/>
      <c r="O6874" s="51"/>
    </row>
    <row r="6875">
      <c r="A6875" s="274"/>
      <c r="B6875" s="66"/>
      <c r="C6875" s="64" t="s">
        <v>27893</v>
      </c>
      <c r="D6875" s="66"/>
      <c r="E6875" s="63" t="s">
        <v>27894</v>
      </c>
      <c r="F6875" s="70">
        <v>42029.0</v>
      </c>
      <c r="G6875" s="63" t="s">
        <v>27895</v>
      </c>
      <c r="H6875" s="275" t="s">
        <v>27394</v>
      </c>
      <c r="I6875" s="66"/>
      <c r="J6875" s="66"/>
      <c r="K6875" s="65">
        <v>44181.0</v>
      </c>
      <c r="L6875" s="63" t="s">
        <v>2743</v>
      </c>
      <c r="M6875" s="63" t="s">
        <v>166</v>
      </c>
      <c r="N6875" s="186"/>
      <c r="O6875" s="51"/>
    </row>
    <row r="6876">
      <c r="A6876" s="273"/>
      <c r="B6876" s="71"/>
      <c r="C6876" s="69" t="s">
        <v>27896</v>
      </c>
      <c r="D6876" s="71"/>
      <c r="E6876" s="68" t="s">
        <v>27897</v>
      </c>
      <c r="F6876" s="76">
        <v>44059.0</v>
      </c>
      <c r="G6876" s="68" t="s">
        <v>27898</v>
      </c>
      <c r="H6876" s="128" t="s">
        <v>27899</v>
      </c>
      <c r="I6876" s="71"/>
      <c r="J6876" s="68" t="s">
        <v>27900</v>
      </c>
      <c r="K6876" s="83">
        <v>44181.0</v>
      </c>
      <c r="L6876" s="68" t="s">
        <v>2743</v>
      </c>
      <c r="M6876" s="68" t="s">
        <v>166</v>
      </c>
      <c r="N6876" s="116"/>
      <c r="O6876" s="51"/>
    </row>
    <row r="6877">
      <c r="A6877" s="273"/>
      <c r="B6877" s="71"/>
      <c r="C6877" s="69" t="s">
        <v>27901</v>
      </c>
      <c r="D6877" s="71"/>
      <c r="E6877" s="68" t="s">
        <v>27902</v>
      </c>
      <c r="F6877" s="76">
        <v>44059.0</v>
      </c>
      <c r="G6877" s="68" t="s">
        <v>27898</v>
      </c>
      <c r="H6877" s="68" t="s">
        <v>27903</v>
      </c>
      <c r="I6877" s="71"/>
      <c r="J6877" s="68" t="s">
        <v>27904</v>
      </c>
      <c r="K6877" s="83">
        <v>44181.0</v>
      </c>
      <c r="L6877" s="68" t="s">
        <v>2743</v>
      </c>
      <c r="M6877" s="68" t="s">
        <v>166</v>
      </c>
      <c r="N6877" s="116"/>
      <c r="O6877" s="51"/>
    </row>
    <row r="6878">
      <c r="A6878" s="273"/>
      <c r="B6878" s="71"/>
      <c r="C6878" s="69" t="s">
        <v>27905</v>
      </c>
      <c r="D6878" s="71"/>
      <c r="E6878" s="68" t="s">
        <v>27906</v>
      </c>
      <c r="F6878" s="83">
        <v>44158.0</v>
      </c>
      <c r="G6878" s="68" t="s">
        <v>27907</v>
      </c>
      <c r="H6878" s="68" t="s">
        <v>27908</v>
      </c>
      <c r="I6878" s="71"/>
      <c r="J6878" s="68" t="s">
        <v>27909</v>
      </c>
      <c r="K6878" s="83">
        <v>44181.0</v>
      </c>
      <c r="L6878" s="68" t="s">
        <v>2743</v>
      </c>
      <c r="M6878" s="68" t="s">
        <v>166</v>
      </c>
      <c r="N6878" s="116"/>
      <c r="O6878" s="51"/>
    </row>
    <row r="6879">
      <c r="A6879" s="234"/>
      <c r="B6879" s="71"/>
      <c r="C6879" s="79" t="s">
        <v>27910</v>
      </c>
      <c r="D6879" s="82"/>
      <c r="E6879" s="80" t="s">
        <v>27911</v>
      </c>
      <c r="F6879" s="81">
        <v>42478.0</v>
      </c>
      <c r="G6879" s="80" t="s">
        <v>27912</v>
      </c>
      <c r="H6879" s="80" t="s">
        <v>27913</v>
      </c>
      <c r="I6879" s="82"/>
      <c r="J6879" s="63" t="s">
        <v>136</v>
      </c>
      <c r="K6879" s="98">
        <v>44181.0</v>
      </c>
      <c r="L6879" s="80" t="s">
        <v>2743</v>
      </c>
      <c r="M6879" s="80" t="s">
        <v>27914</v>
      </c>
      <c r="N6879" s="116"/>
      <c r="O6879" s="51"/>
    </row>
    <row r="6880">
      <c r="A6880" s="273"/>
      <c r="B6880" s="71"/>
      <c r="C6880" s="69" t="s">
        <v>27915</v>
      </c>
      <c r="D6880" s="71"/>
      <c r="E6880" s="68" t="s">
        <v>27916</v>
      </c>
      <c r="F6880" s="76">
        <v>43861.0</v>
      </c>
      <c r="G6880" s="68" t="s">
        <v>27917</v>
      </c>
      <c r="H6880" s="68" t="s">
        <v>27918</v>
      </c>
      <c r="I6880" s="71"/>
      <c r="J6880" s="68" t="s">
        <v>27919</v>
      </c>
      <c r="K6880" s="83">
        <v>44181.0</v>
      </c>
      <c r="L6880" s="68" t="s">
        <v>2743</v>
      </c>
      <c r="M6880" s="68" t="s">
        <v>166</v>
      </c>
      <c r="N6880" s="116"/>
      <c r="O6880" s="51"/>
    </row>
    <row r="6881">
      <c r="A6881" s="273"/>
      <c r="B6881" s="71"/>
      <c r="C6881" s="69" t="s">
        <v>27920</v>
      </c>
      <c r="D6881" s="71"/>
      <c r="E6881" s="68" t="s">
        <v>27921</v>
      </c>
      <c r="F6881" s="76">
        <v>44174.0</v>
      </c>
      <c r="G6881" s="68" t="s">
        <v>27922</v>
      </c>
      <c r="H6881" s="68" t="s">
        <v>27923</v>
      </c>
      <c r="I6881" s="68" t="s">
        <v>27924</v>
      </c>
      <c r="J6881" s="68" t="s">
        <v>27925</v>
      </c>
      <c r="K6881" s="83">
        <v>44181.0</v>
      </c>
      <c r="L6881" s="68" t="s">
        <v>2743</v>
      </c>
      <c r="M6881" s="68" t="s">
        <v>31</v>
      </c>
      <c r="N6881" s="116"/>
      <c r="O6881" s="51"/>
    </row>
    <row r="6882">
      <c r="A6882" s="273"/>
      <c r="B6882" s="71"/>
      <c r="C6882" s="69" t="s">
        <v>27926</v>
      </c>
      <c r="D6882" s="71"/>
      <c r="E6882" s="68" t="s">
        <v>27927</v>
      </c>
      <c r="F6882" s="76">
        <v>44103.0</v>
      </c>
      <c r="G6882" s="68" t="s">
        <v>27928</v>
      </c>
      <c r="H6882" s="68" t="s">
        <v>27929</v>
      </c>
      <c r="I6882" s="71"/>
      <c r="J6882" s="68" t="s">
        <v>27930</v>
      </c>
      <c r="K6882" s="83">
        <v>44187.0</v>
      </c>
      <c r="L6882" s="68" t="s">
        <v>20958</v>
      </c>
      <c r="M6882" s="68" t="s">
        <v>27</v>
      </c>
      <c r="N6882" s="116"/>
      <c r="O6882" s="51"/>
    </row>
    <row r="6883">
      <c r="A6883" s="234"/>
      <c r="B6883" s="71"/>
      <c r="C6883" s="79" t="s">
        <v>27931</v>
      </c>
      <c r="D6883" s="82"/>
      <c r="E6883" s="80" t="s">
        <v>27932</v>
      </c>
      <c r="F6883" s="80" t="s">
        <v>407</v>
      </c>
      <c r="G6883" s="80" t="s">
        <v>27933</v>
      </c>
      <c r="H6883" s="80" t="s">
        <v>439</v>
      </c>
      <c r="I6883" s="82"/>
      <c r="J6883" s="63" t="s">
        <v>136</v>
      </c>
      <c r="K6883" s="98">
        <v>44187.0</v>
      </c>
      <c r="L6883" s="80" t="s">
        <v>20958</v>
      </c>
      <c r="M6883" s="80" t="s">
        <v>27</v>
      </c>
      <c r="N6883" s="116"/>
      <c r="O6883" s="51"/>
    </row>
    <row r="6884">
      <c r="A6884" s="273"/>
      <c r="B6884" s="71"/>
      <c r="C6884" s="69" t="s">
        <v>27934</v>
      </c>
      <c r="D6884" s="71"/>
      <c r="E6884" s="68" t="s">
        <v>27935</v>
      </c>
      <c r="F6884" s="76">
        <v>44107.0</v>
      </c>
      <c r="G6884" s="68" t="s">
        <v>27936</v>
      </c>
      <c r="H6884" s="68" t="s">
        <v>27937</v>
      </c>
      <c r="I6884" s="71"/>
      <c r="J6884" s="68" t="s">
        <v>27938</v>
      </c>
      <c r="K6884" s="83">
        <v>44188.0</v>
      </c>
      <c r="L6884" s="68" t="s">
        <v>16185</v>
      </c>
      <c r="M6884" s="68" t="s">
        <v>27</v>
      </c>
      <c r="N6884" s="116"/>
      <c r="O6884" s="51"/>
    </row>
    <row r="6885">
      <c r="A6885" s="234"/>
      <c r="B6885" s="71"/>
      <c r="C6885" s="79" t="s">
        <v>27939</v>
      </c>
      <c r="D6885" s="82"/>
      <c r="E6885" s="80" t="s">
        <v>27940</v>
      </c>
      <c r="F6885" s="81">
        <v>43660.0</v>
      </c>
      <c r="G6885" s="80" t="s">
        <v>27941</v>
      </c>
      <c r="H6885" s="80" t="s">
        <v>27942</v>
      </c>
      <c r="I6885" s="82"/>
      <c r="J6885" s="63" t="s">
        <v>136</v>
      </c>
      <c r="K6885" s="98">
        <v>44188.0</v>
      </c>
      <c r="L6885" s="80" t="s">
        <v>16185</v>
      </c>
      <c r="M6885" s="80" t="s">
        <v>27</v>
      </c>
      <c r="N6885" s="116"/>
      <c r="O6885" s="51"/>
    </row>
    <row r="6886">
      <c r="A6886" s="273"/>
      <c r="B6886" s="71"/>
      <c r="C6886" s="69" t="s">
        <v>27943</v>
      </c>
      <c r="D6886" s="71"/>
      <c r="E6886" s="68" t="s">
        <v>27944</v>
      </c>
      <c r="F6886" s="76">
        <v>43733.0</v>
      </c>
      <c r="G6886" s="68" t="s">
        <v>27945</v>
      </c>
      <c r="H6886" s="68" t="s">
        <v>439</v>
      </c>
      <c r="I6886" s="71"/>
      <c r="J6886" s="68" t="s">
        <v>27946</v>
      </c>
      <c r="K6886" s="83">
        <v>44188.0</v>
      </c>
      <c r="L6886" s="68" t="s">
        <v>16185</v>
      </c>
      <c r="M6886" s="68" t="s">
        <v>27</v>
      </c>
      <c r="N6886" s="116"/>
      <c r="O6886" s="51"/>
    </row>
    <row r="6887">
      <c r="A6887" s="273"/>
      <c r="B6887" s="71"/>
      <c r="C6887" s="69" t="s">
        <v>27947</v>
      </c>
      <c r="D6887" s="71"/>
      <c r="E6887" s="68" t="s">
        <v>27948</v>
      </c>
      <c r="F6887" s="76">
        <v>43733.0</v>
      </c>
      <c r="G6887" s="68" t="s">
        <v>27945</v>
      </c>
      <c r="H6887" s="68" t="s">
        <v>439</v>
      </c>
      <c r="I6887" s="71"/>
      <c r="J6887" s="68" t="s">
        <v>27949</v>
      </c>
      <c r="K6887" s="83">
        <v>44188.0</v>
      </c>
      <c r="L6887" s="68" t="s">
        <v>16185</v>
      </c>
      <c r="M6887" s="68" t="s">
        <v>27</v>
      </c>
      <c r="N6887" s="116"/>
      <c r="O6887" s="51"/>
    </row>
    <row r="6888">
      <c r="A6888" s="234"/>
      <c r="B6888" s="71"/>
      <c r="C6888" s="79" t="s">
        <v>27950</v>
      </c>
      <c r="D6888" s="82"/>
      <c r="E6888" s="80" t="s">
        <v>27951</v>
      </c>
      <c r="F6888" s="98">
        <v>43089.0</v>
      </c>
      <c r="G6888" s="80" t="s">
        <v>27945</v>
      </c>
      <c r="H6888" s="80" t="s">
        <v>439</v>
      </c>
      <c r="I6888" s="82"/>
      <c r="J6888" s="63" t="s">
        <v>136</v>
      </c>
      <c r="K6888" s="98">
        <v>44188.0</v>
      </c>
      <c r="L6888" s="80" t="s">
        <v>16185</v>
      </c>
      <c r="M6888" s="80" t="s">
        <v>31</v>
      </c>
      <c r="N6888" s="116"/>
      <c r="O6888" s="51"/>
    </row>
    <row r="6889">
      <c r="A6889" s="273"/>
      <c r="B6889" s="71"/>
      <c r="C6889" s="69" t="s">
        <v>27952</v>
      </c>
      <c r="D6889" s="71"/>
      <c r="E6889" s="68" t="s">
        <v>27953</v>
      </c>
      <c r="F6889" s="83">
        <v>43825.0</v>
      </c>
      <c r="G6889" s="68" t="s">
        <v>27954</v>
      </c>
      <c r="H6889" s="68" t="s">
        <v>27955</v>
      </c>
      <c r="I6889" s="68" t="s">
        <v>27956</v>
      </c>
      <c r="J6889" s="68" t="s">
        <v>27957</v>
      </c>
      <c r="K6889" s="83">
        <v>44188.0</v>
      </c>
      <c r="L6889" s="68" t="s">
        <v>16185</v>
      </c>
      <c r="M6889" s="68" t="s">
        <v>4273</v>
      </c>
      <c r="N6889" s="116"/>
      <c r="O6889" s="51"/>
    </row>
    <row r="6890">
      <c r="A6890" s="234"/>
      <c r="B6890" s="71"/>
      <c r="C6890" s="79" t="s">
        <v>27958</v>
      </c>
      <c r="D6890" s="82"/>
      <c r="E6890" s="80" t="s">
        <v>27959</v>
      </c>
      <c r="F6890" s="81">
        <v>40404.0</v>
      </c>
      <c r="G6890" s="80" t="s">
        <v>27960</v>
      </c>
      <c r="H6890" s="80" t="s">
        <v>27961</v>
      </c>
      <c r="I6890" s="82"/>
      <c r="J6890" s="63" t="s">
        <v>136</v>
      </c>
      <c r="K6890" s="98">
        <v>44188.0</v>
      </c>
      <c r="L6890" s="80" t="s">
        <v>16185</v>
      </c>
      <c r="M6890" s="80" t="s">
        <v>530</v>
      </c>
      <c r="N6890" s="116"/>
      <c r="O6890" s="51"/>
    </row>
    <row r="6891">
      <c r="A6891" s="273"/>
      <c r="B6891" s="71"/>
      <c r="C6891" s="69" t="s">
        <v>27962</v>
      </c>
      <c r="D6891" s="71"/>
      <c r="E6891" s="68" t="s">
        <v>27963</v>
      </c>
      <c r="F6891" s="76">
        <v>44059.0</v>
      </c>
      <c r="G6891" s="68" t="s">
        <v>27964</v>
      </c>
      <c r="H6891" s="68" t="s">
        <v>27965</v>
      </c>
      <c r="I6891" s="71"/>
      <c r="J6891" s="100" t="s">
        <v>27966</v>
      </c>
      <c r="K6891" s="83">
        <v>44188.0</v>
      </c>
      <c r="L6891" s="68" t="s">
        <v>2743</v>
      </c>
      <c r="M6891" s="68" t="s">
        <v>2989</v>
      </c>
      <c r="N6891" s="116"/>
      <c r="O6891" s="51"/>
    </row>
    <row r="6892">
      <c r="A6892" s="273"/>
      <c r="B6892" s="71"/>
      <c r="C6892" s="69" t="s">
        <v>27967</v>
      </c>
      <c r="D6892" s="71"/>
      <c r="E6892" s="68" t="s">
        <v>27968</v>
      </c>
      <c r="F6892" s="76">
        <v>43891.0</v>
      </c>
      <c r="G6892" s="68" t="s">
        <v>27969</v>
      </c>
      <c r="H6892" s="68" t="s">
        <v>439</v>
      </c>
      <c r="I6892" s="71"/>
      <c r="J6892" s="68" t="s">
        <v>27970</v>
      </c>
      <c r="K6892" s="83">
        <v>44189.0</v>
      </c>
      <c r="L6892" s="68" t="s">
        <v>2743</v>
      </c>
      <c r="M6892" s="68" t="s">
        <v>201</v>
      </c>
      <c r="N6892" s="116"/>
      <c r="O6892" s="51"/>
    </row>
    <row r="6893">
      <c r="A6893" s="273"/>
      <c r="B6893" s="71"/>
      <c r="C6893" s="69" t="s">
        <v>27971</v>
      </c>
      <c r="D6893" s="71"/>
      <c r="E6893" s="68" t="s">
        <v>27972</v>
      </c>
      <c r="F6893" s="76">
        <v>42031.0</v>
      </c>
      <c r="G6893" s="68" t="s">
        <v>27973</v>
      </c>
      <c r="H6893" s="68" t="s">
        <v>27974</v>
      </c>
      <c r="I6893" s="71"/>
      <c r="J6893" s="68" t="s">
        <v>27975</v>
      </c>
      <c r="K6893" s="83">
        <v>44189.0</v>
      </c>
      <c r="L6893" s="68" t="s">
        <v>2743</v>
      </c>
      <c r="M6893" s="68" t="s">
        <v>13085</v>
      </c>
      <c r="N6893" s="116"/>
      <c r="O6893" s="51"/>
    </row>
    <row r="6894">
      <c r="A6894" s="234"/>
      <c r="B6894" s="71"/>
      <c r="C6894" s="79" t="s">
        <v>27976</v>
      </c>
      <c r="D6894" s="82"/>
      <c r="E6894" s="80" t="s">
        <v>27977</v>
      </c>
      <c r="F6894" s="98">
        <v>42655.0</v>
      </c>
      <c r="G6894" s="80" t="s">
        <v>27978</v>
      </c>
      <c r="H6894" s="80" t="s">
        <v>27394</v>
      </c>
      <c r="I6894" s="82"/>
      <c r="J6894" s="63" t="s">
        <v>136</v>
      </c>
      <c r="K6894" s="98">
        <v>44189.0</v>
      </c>
      <c r="L6894" s="80" t="s">
        <v>2743</v>
      </c>
      <c r="M6894" s="80" t="s">
        <v>18616</v>
      </c>
      <c r="N6894" s="116"/>
      <c r="O6894" s="51"/>
    </row>
    <row r="6895">
      <c r="A6895" s="273"/>
      <c r="B6895" s="71"/>
      <c r="C6895" s="69" t="s">
        <v>27979</v>
      </c>
      <c r="D6895" s="71"/>
      <c r="E6895" s="68" t="s">
        <v>27980</v>
      </c>
      <c r="F6895" s="76">
        <v>43041.0</v>
      </c>
      <c r="G6895" s="68" t="s">
        <v>27981</v>
      </c>
      <c r="H6895" s="68" t="s">
        <v>27982</v>
      </c>
      <c r="I6895" s="71"/>
      <c r="J6895" s="68" t="s">
        <v>27983</v>
      </c>
      <c r="K6895" s="83">
        <v>44189.0</v>
      </c>
      <c r="L6895" s="68" t="s">
        <v>2743</v>
      </c>
      <c r="M6895" s="68" t="s">
        <v>530</v>
      </c>
      <c r="N6895" s="116"/>
      <c r="O6895" s="51"/>
    </row>
    <row r="6896">
      <c r="A6896" s="273"/>
      <c r="B6896" s="71"/>
      <c r="C6896" s="69" t="s">
        <v>27984</v>
      </c>
      <c r="D6896" s="71"/>
      <c r="E6896" s="68" t="s">
        <v>27985</v>
      </c>
      <c r="F6896" s="83">
        <v>44146.0</v>
      </c>
      <c r="G6896" s="68" t="s">
        <v>27986</v>
      </c>
      <c r="H6896" s="68" t="s">
        <v>27987</v>
      </c>
      <c r="I6896" s="68" t="s">
        <v>27988</v>
      </c>
      <c r="J6896" s="68" t="s">
        <v>27989</v>
      </c>
      <c r="K6896" s="83">
        <v>44189.0</v>
      </c>
      <c r="L6896" s="68" t="s">
        <v>2743</v>
      </c>
      <c r="M6896" s="68" t="s">
        <v>166</v>
      </c>
      <c r="N6896" s="116"/>
      <c r="O6896" s="51"/>
    </row>
    <row r="6897">
      <c r="A6897" s="234"/>
      <c r="B6897" s="71"/>
      <c r="C6897" s="79" t="s">
        <v>27990</v>
      </c>
      <c r="D6897" s="82"/>
      <c r="E6897" s="80" t="s">
        <v>27991</v>
      </c>
      <c r="F6897" s="81">
        <v>41743.0</v>
      </c>
      <c r="G6897" s="80" t="s">
        <v>27992</v>
      </c>
      <c r="H6897" s="80" t="s">
        <v>27993</v>
      </c>
      <c r="I6897" s="82"/>
      <c r="J6897" s="63" t="s">
        <v>136</v>
      </c>
      <c r="K6897" s="98">
        <v>44193.0</v>
      </c>
      <c r="L6897" s="80" t="s">
        <v>2743</v>
      </c>
      <c r="M6897" s="80" t="s">
        <v>27994</v>
      </c>
      <c r="N6897" s="116"/>
      <c r="O6897" s="51"/>
    </row>
    <row r="6898">
      <c r="A6898" s="273"/>
      <c r="B6898" s="71"/>
      <c r="C6898" s="69" t="s">
        <v>27995</v>
      </c>
      <c r="D6898" s="71"/>
      <c r="E6898" s="68" t="s">
        <v>27996</v>
      </c>
      <c r="F6898" s="76">
        <v>43919.0</v>
      </c>
      <c r="G6898" s="68" t="s">
        <v>27997</v>
      </c>
      <c r="H6898" s="68" t="s">
        <v>27998</v>
      </c>
      <c r="I6898" s="71"/>
      <c r="J6898" s="68" t="s">
        <v>27999</v>
      </c>
      <c r="K6898" s="83">
        <v>44194.0</v>
      </c>
      <c r="L6898" s="68" t="s">
        <v>2743</v>
      </c>
      <c r="M6898" s="68" t="s">
        <v>542</v>
      </c>
      <c r="N6898" s="116"/>
      <c r="O6898" s="51"/>
    </row>
    <row r="6899">
      <c r="A6899" s="234"/>
      <c r="B6899" s="71"/>
      <c r="C6899" s="79" t="s">
        <v>28000</v>
      </c>
      <c r="D6899" s="82"/>
      <c r="E6899" s="80" t="s">
        <v>28001</v>
      </c>
      <c r="F6899" s="81">
        <v>42593.0</v>
      </c>
      <c r="G6899" s="80" t="s">
        <v>28002</v>
      </c>
      <c r="H6899" s="80" t="s">
        <v>28003</v>
      </c>
      <c r="I6899" s="82"/>
      <c r="J6899" s="63" t="s">
        <v>136</v>
      </c>
      <c r="K6899" s="98">
        <v>44194.0</v>
      </c>
      <c r="L6899" s="80" t="s">
        <v>2743</v>
      </c>
      <c r="M6899" s="80" t="s">
        <v>27994</v>
      </c>
      <c r="N6899" s="116"/>
      <c r="O6899" s="51"/>
    </row>
    <row r="6900">
      <c r="A6900" s="234"/>
      <c r="B6900" s="71"/>
      <c r="C6900" s="79" t="s">
        <v>28004</v>
      </c>
      <c r="D6900" s="82"/>
      <c r="E6900" s="80" t="s">
        <v>28005</v>
      </c>
      <c r="F6900" s="81">
        <v>42508.0</v>
      </c>
      <c r="G6900" s="80" t="s">
        <v>28006</v>
      </c>
      <c r="H6900" s="80" t="s">
        <v>28007</v>
      </c>
      <c r="I6900" s="82"/>
      <c r="J6900" s="63" t="s">
        <v>136</v>
      </c>
      <c r="K6900" s="98">
        <v>44194.0</v>
      </c>
      <c r="L6900" s="80" t="s">
        <v>2743</v>
      </c>
      <c r="M6900" s="80" t="s">
        <v>872</v>
      </c>
      <c r="N6900" s="116"/>
      <c r="O6900" s="51"/>
    </row>
    <row r="6901">
      <c r="A6901" s="273"/>
      <c r="B6901" s="71"/>
      <c r="C6901" s="69" t="s">
        <v>28008</v>
      </c>
      <c r="D6901" s="71"/>
      <c r="E6901" s="68" t="s">
        <v>28009</v>
      </c>
      <c r="F6901" s="83">
        <v>44178.0</v>
      </c>
      <c r="G6901" s="68" t="s">
        <v>28010</v>
      </c>
      <c r="H6901" s="68" t="s">
        <v>28011</v>
      </c>
      <c r="I6901" s="71"/>
      <c r="J6901" s="68" t="s">
        <v>28012</v>
      </c>
      <c r="K6901" s="83">
        <v>44195.0</v>
      </c>
      <c r="L6901" s="68" t="s">
        <v>2743</v>
      </c>
      <c r="M6901" s="68" t="s">
        <v>3690</v>
      </c>
      <c r="N6901" s="116"/>
      <c r="O6901" s="51"/>
    </row>
    <row r="6902">
      <c r="A6902" s="273"/>
      <c r="B6902" s="71"/>
      <c r="C6902" s="69" t="s">
        <v>28013</v>
      </c>
      <c r="D6902" s="71"/>
      <c r="E6902" s="68" t="s">
        <v>28014</v>
      </c>
      <c r="F6902" s="83">
        <v>44186.0</v>
      </c>
      <c r="G6902" s="68" t="s">
        <v>28015</v>
      </c>
      <c r="H6902" s="68" t="s">
        <v>28016</v>
      </c>
      <c r="I6902" s="71"/>
      <c r="J6902" s="68" t="s">
        <v>28017</v>
      </c>
      <c r="K6902" s="83">
        <v>44195.0</v>
      </c>
      <c r="L6902" s="68" t="s">
        <v>2743</v>
      </c>
      <c r="M6902" s="68" t="s">
        <v>2152</v>
      </c>
      <c r="N6902" s="116"/>
      <c r="O6902" s="51"/>
    </row>
    <row r="6903">
      <c r="A6903" s="234"/>
      <c r="B6903" s="71"/>
      <c r="C6903" s="69" t="s">
        <v>28018</v>
      </c>
      <c r="D6903" s="71"/>
      <c r="E6903" s="68" t="s">
        <v>28019</v>
      </c>
      <c r="F6903" s="76">
        <v>44173.0</v>
      </c>
      <c r="G6903" s="68" t="s">
        <v>28020</v>
      </c>
      <c r="H6903" s="68" t="s">
        <v>28021</v>
      </c>
      <c r="I6903" s="71"/>
      <c r="J6903" s="68" t="s">
        <v>28022</v>
      </c>
      <c r="K6903" s="83">
        <v>44195.0</v>
      </c>
      <c r="L6903" s="68" t="s">
        <v>2743</v>
      </c>
      <c r="M6903" s="68" t="s">
        <v>4001</v>
      </c>
      <c r="N6903" s="116"/>
      <c r="O6903" s="51"/>
    </row>
    <row r="6904">
      <c r="A6904" s="234"/>
      <c r="B6904" s="71"/>
      <c r="C6904" s="79" t="s">
        <v>28023</v>
      </c>
      <c r="D6904" s="82"/>
      <c r="E6904" s="80" t="s">
        <v>28024</v>
      </c>
      <c r="F6904" s="81">
        <v>40970.0</v>
      </c>
      <c r="G6904" s="80" t="s">
        <v>28025</v>
      </c>
      <c r="H6904" s="80" t="s">
        <v>27394</v>
      </c>
      <c r="I6904" s="82"/>
      <c r="J6904" s="63" t="s">
        <v>136</v>
      </c>
      <c r="K6904" s="81">
        <v>44197.0</v>
      </c>
      <c r="L6904" s="80" t="s">
        <v>2743</v>
      </c>
      <c r="M6904" s="80" t="s">
        <v>27994</v>
      </c>
      <c r="N6904" s="116"/>
      <c r="O6904" s="51"/>
    </row>
    <row r="6905">
      <c r="A6905" s="273"/>
      <c r="B6905" s="71"/>
      <c r="C6905" s="69" t="s">
        <v>28026</v>
      </c>
      <c r="D6905" s="71"/>
      <c r="E6905" s="68" t="s">
        <v>28027</v>
      </c>
      <c r="F6905" s="76">
        <v>43842.0</v>
      </c>
      <c r="G6905" s="68" t="s">
        <v>28028</v>
      </c>
      <c r="H6905" s="68" t="s">
        <v>27394</v>
      </c>
      <c r="I6905" s="71"/>
      <c r="J6905" s="68" t="s">
        <v>28029</v>
      </c>
      <c r="K6905" s="76">
        <v>44200.0</v>
      </c>
      <c r="L6905" s="68" t="s">
        <v>2743</v>
      </c>
      <c r="M6905" s="68" t="s">
        <v>13085</v>
      </c>
      <c r="N6905" s="116"/>
      <c r="O6905" s="51"/>
    </row>
    <row r="6906">
      <c r="A6906" s="273"/>
      <c r="B6906" s="71"/>
      <c r="C6906" s="69" t="s">
        <v>28030</v>
      </c>
      <c r="D6906" s="71"/>
      <c r="E6906" s="68" t="s">
        <v>28031</v>
      </c>
      <c r="F6906" s="76">
        <v>43842.0</v>
      </c>
      <c r="G6906" s="68" t="s">
        <v>28028</v>
      </c>
      <c r="H6906" s="68" t="s">
        <v>27394</v>
      </c>
      <c r="I6906" s="71"/>
      <c r="J6906" s="68" t="s">
        <v>28032</v>
      </c>
      <c r="K6906" s="76">
        <v>44200.0</v>
      </c>
      <c r="L6906" s="68" t="s">
        <v>2743</v>
      </c>
      <c r="M6906" s="68" t="s">
        <v>13085</v>
      </c>
      <c r="N6906" s="116"/>
      <c r="O6906" s="51"/>
    </row>
    <row r="6907">
      <c r="A6907" s="273"/>
      <c r="B6907" s="71"/>
      <c r="C6907" s="69" t="s">
        <v>28033</v>
      </c>
      <c r="D6907" s="71"/>
      <c r="E6907" s="68" t="s">
        <v>28034</v>
      </c>
      <c r="F6907" s="76">
        <v>43842.0</v>
      </c>
      <c r="G6907" s="68" t="s">
        <v>28028</v>
      </c>
      <c r="H6907" s="68" t="s">
        <v>27394</v>
      </c>
      <c r="I6907" s="71"/>
      <c r="J6907" s="68" t="s">
        <v>28035</v>
      </c>
      <c r="K6907" s="76">
        <v>44200.0</v>
      </c>
      <c r="L6907" s="68" t="s">
        <v>2743</v>
      </c>
      <c r="M6907" s="68" t="s">
        <v>13085</v>
      </c>
      <c r="N6907" s="116"/>
      <c r="O6907" s="51"/>
    </row>
    <row r="6908">
      <c r="A6908" s="273"/>
      <c r="B6908" s="71"/>
      <c r="C6908" s="69" t="s">
        <v>28036</v>
      </c>
      <c r="D6908" s="71"/>
      <c r="E6908" s="68" t="s">
        <v>28037</v>
      </c>
      <c r="F6908" s="83">
        <v>44180.0</v>
      </c>
      <c r="G6908" s="68" t="s">
        <v>28038</v>
      </c>
      <c r="H6908" s="68" t="s">
        <v>28039</v>
      </c>
      <c r="I6908" s="71"/>
      <c r="J6908" s="68" t="s">
        <v>28040</v>
      </c>
      <c r="K6908" s="76">
        <v>44201.0</v>
      </c>
      <c r="L6908" s="68" t="s">
        <v>2743</v>
      </c>
      <c r="M6908" s="68" t="s">
        <v>3407</v>
      </c>
      <c r="N6908" s="116"/>
      <c r="O6908" s="51"/>
    </row>
    <row r="6909">
      <c r="A6909" s="273"/>
      <c r="B6909" s="71"/>
      <c r="C6909" s="69" t="s">
        <v>28041</v>
      </c>
      <c r="D6909" s="71"/>
      <c r="E6909" s="68" t="s">
        <v>28042</v>
      </c>
      <c r="F6909" s="76">
        <v>44173.0</v>
      </c>
      <c r="G6909" s="68" t="s">
        <v>28043</v>
      </c>
      <c r="H6909" s="68" t="s">
        <v>28044</v>
      </c>
      <c r="I6909" s="71"/>
      <c r="J6909" s="68" t="s">
        <v>28045</v>
      </c>
      <c r="K6909" s="76">
        <v>44201.0</v>
      </c>
      <c r="L6909" s="68" t="s">
        <v>2743</v>
      </c>
      <c r="M6909" s="68" t="s">
        <v>22473</v>
      </c>
      <c r="N6909" s="116"/>
      <c r="O6909" s="51"/>
    </row>
    <row r="6910">
      <c r="A6910" s="273"/>
      <c r="B6910" s="71"/>
      <c r="C6910" s="69" t="s">
        <v>28046</v>
      </c>
      <c r="D6910" s="71"/>
      <c r="E6910" s="68" t="s">
        <v>28047</v>
      </c>
      <c r="F6910" s="83">
        <v>44186.0</v>
      </c>
      <c r="G6910" s="68" t="s">
        <v>28048</v>
      </c>
      <c r="H6910" s="68" t="s">
        <v>28049</v>
      </c>
      <c r="I6910" s="71"/>
      <c r="J6910" s="68" t="s">
        <v>28050</v>
      </c>
      <c r="K6910" s="76">
        <v>44202.0</v>
      </c>
      <c r="L6910" s="68" t="s">
        <v>16185</v>
      </c>
      <c r="M6910" s="68" t="s">
        <v>143</v>
      </c>
      <c r="N6910" s="116"/>
      <c r="O6910" s="51"/>
    </row>
    <row r="6911">
      <c r="A6911" s="273"/>
      <c r="B6911" s="71"/>
      <c r="C6911" s="69" t="s">
        <v>28051</v>
      </c>
      <c r="D6911" s="71"/>
      <c r="E6911" s="68" t="s">
        <v>28052</v>
      </c>
      <c r="F6911" s="83">
        <v>44188.0</v>
      </c>
      <c r="G6911" s="68" t="s">
        <v>28053</v>
      </c>
      <c r="H6911" s="68" t="s">
        <v>28054</v>
      </c>
      <c r="I6911" s="71"/>
      <c r="J6911" s="87" t="s">
        <v>28055</v>
      </c>
      <c r="K6911" s="76">
        <v>44203.0</v>
      </c>
      <c r="L6911" s="68" t="s">
        <v>2743</v>
      </c>
      <c r="M6911" s="68" t="s">
        <v>3012</v>
      </c>
      <c r="N6911" s="116"/>
      <c r="O6911" s="51"/>
    </row>
    <row r="6912">
      <c r="A6912" s="234"/>
      <c r="B6912" s="71"/>
      <c r="C6912" s="79" t="s">
        <v>28056</v>
      </c>
      <c r="D6912" s="82"/>
      <c r="E6912" s="80" t="s">
        <v>28057</v>
      </c>
      <c r="F6912" s="81">
        <v>41846.0</v>
      </c>
      <c r="G6912" s="80" t="s">
        <v>28058</v>
      </c>
      <c r="H6912" s="80" t="s">
        <v>28059</v>
      </c>
      <c r="I6912" s="80" t="s">
        <v>28060</v>
      </c>
      <c r="J6912" s="63" t="s">
        <v>136</v>
      </c>
      <c r="K6912" s="81">
        <v>44203.0</v>
      </c>
      <c r="L6912" s="80" t="s">
        <v>2743</v>
      </c>
      <c r="M6912" s="80" t="s">
        <v>125</v>
      </c>
      <c r="N6912" s="116"/>
      <c r="O6912" s="51"/>
    </row>
    <row r="6913">
      <c r="A6913" s="234"/>
      <c r="B6913" s="71"/>
      <c r="C6913" s="79" t="s">
        <v>28061</v>
      </c>
      <c r="D6913" s="82"/>
      <c r="E6913" s="80" t="s">
        <v>28062</v>
      </c>
      <c r="F6913" s="81">
        <v>39694.0</v>
      </c>
      <c r="G6913" s="80" t="s">
        <v>28063</v>
      </c>
      <c r="H6913" s="80" t="s">
        <v>28064</v>
      </c>
      <c r="I6913" s="82"/>
      <c r="J6913" s="63" t="s">
        <v>136</v>
      </c>
      <c r="K6913" s="81">
        <v>44208.0</v>
      </c>
      <c r="L6913" s="80" t="s">
        <v>2743</v>
      </c>
      <c r="M6913" s="80" t="s">
        <v>530</v>
      </c>
      <c r="N6913" s="116"/>
      <c r="O6913" s="51"/>
    </row>
    <row r="6914">
      <c r="A6914" s="234"/>
      <c r="B6914" s="71"/>
      <c r="C6914" s="79" t="s">
        <v>28065</v>
      </c>
      <c r="D6914" s="82"/>
      <c r="E6914" s="80" t="s">
        <v>28066</v>
      </c>
      <c r="F6914" s="81">
        <v>42251.0</v>
      </c>
      <c r="G6914" s="80" t="s">
        <v>28067</v>
      </c>
      <c r="H6914" s="80" t="s">
        <v>28068</v>
      </c>
      <c r="I6914" s="82"/>
      <c r="J6914" s="63" t="s">
        <v>136</v>
      </c>
      <c r="K6914" s="81">
        <v>44208.0</v>
      </c>
      <c r="L6914" s="80" t="s">
        <v>2743</v>
      </c>
      <c r="M6914" s="80" t="s">
        <v>166</v>
      </c>
      <c r="N6914" s="116"/>
      <c r="O6914" s="51"/>
    </row>
    <row r="6915">
      <c r="A6915" s="273"/>
      <c r="B6915" s="71"/>
      <c r="C6915" s="69" t="s">
        <v>28069</v>
      </c>
      <c r="D6915" s="71"/>
      <c r="E6915" s="68" t="s">
        <v>28070</v>
      </c>
      <c r="F6915" s="76">
        <v>42109.0</v>
      </c>
      <c r="G6915" s="68" t="s">
        <v>28071</v>
      </c>
      <c r="H6915" s="68" t="s">
        <v>28072</v>
      </c>
      <c r="I6915" s="71"/>
      <c r="J6915" s="68" t="s">
        <v>28073</v>
      </c>
      <c r="K6915" s="76">
        <v>44208.0</v>
      </c>
      <c r="L6915" s="68" t="s">
        <v>16185</v>
      </c>
      <c r="M6915" s="68" t="s">
        <v>27</v>
      </c>
      <c r="N6915" s="116"/>
      <c r="O6915" s="51"/>
    </row>
    <row r="6916">
      <c r="A6916" s="273"/>
      <c r="B6916" s="71"/>
      <c r="C6916" s="69" t="s">
        <v>28074</v>
      </c>
      <c r="D6916" s="71"/>
      <c r="E6916" s="68" t="s">
        <v>28075</v>
      </c>
      <c r="F6916" s="76">
        <v>44197.0</v>
      </c>
      <c r="G6916" s="68" t="s">
        <v>28076</v>
      </c>
      <c r="H6916" s="68" t="s">
        <v>28077</v>
      </c>
      <c r="I6916" s="71"/>
      <c r="J6916" s="68" t="s">
        <v>28078</v>
      </c>
      <c r="K6916" s="76">
        <v>44208.0</v>
      </c>
      <c r="L6916" s="68" t="s">
        <v>2743</v>
      </c>
      <c r="M6916" s="68" t="s">
        <v>166</v>
      </c>
      <c r="N6916" s="116"/>
      <c r="O6916" s="51"/>
    </row>
    <row r="6917">
      <c r="A6917" s="234"/>
      <c r="B6917" s="71"/>
      <c r="C6917" s="79" t="s">
        <v>28079</v>
      </c>
      <c r="D6917" s="82"/>
      <c r="E6917" s="80" t="s">
        <v>28080</v>
      </c>
      <c r="F6917" s="98">
        <v>41957.0</v>
      </c>
      <c r="G6917" s="80" t="s">
        <v>28081</v>
      </c>
      <c r="H6917" s="80" t="s">
        <v>28082</v>
      </c>
      <c r="I6917" s="82"/>
      <c r="J6917" s="63" t="s">
        <v>136</v>
      </c>
      <c r="K6917" s="81">
        <v>44208.0</v>
      </c>
      <c r="L6917" s="80" t="s">
        <v>2743</v>
      </c>
      <c r="M6917" s="80" t="s">
        <v>4001</v>
      </c>
      <c r="N6917" s="116"/>
      <c r="O6917" s="51"/>
    </row>
    <row r="6918">
      <c r="A6918" s="234"/>
      <c r="B6918" s="71"/>
      <c r="C6918" s="79" t="s">
        <v>28083</v>
      </c>
      <c r="D6918" s="82"/>
      <c r="E6918" s="80" t="s">
        <v>28084</v>
      </c>
      <c r="F6918" s="81">
        <v>41801.0</v>
      </c>
      <c r="G6918" s="80" t="s">
        <v>28085</v>
      </c>
      <c r="H6918" s="80" t="s">
        <v>28086</v>
      </c>
      <c r="I6918" s="82"/>
      <c r="J6918" s="63" t="s">
        <v>136</v>
      </c>
      <c r="K6918" s="81">
        <v>44210.0</v>
      </c>
      <c r="L6918" s="80" t="s">
        <v>2743</v>
      </c>
      <c r="M6918" s="80" t="s">
        <v>166</v>
      </c>
      <c r="N6918" s="116"/>
      <c r="O6918" s="51"/>
    </row>
    <row r="6919">
      <c r="A6919" s="234"/>
      <c r="B6919" s="71"/>
      <c r="C6919" s="79" t="s">
        <v>28087</v>
      </c>
      <c r="D6919" s="82"/>
      <c r="E6919" s="80" t="s">
        <v>28088</v>
      </c>
      <c r="F6919" s="81">
        <v>41821.0</v>
      </c>
      <c r="G6919" s="80" t="s">
        <v>28089</v>
      </c>
      <c r="H6919" s="80" t="s">
        <v>27394</v>
      </c>
      <c r="I6919" s="82"/>
      <c r="J6919" s="63" t="s">
        <v>136</v>
      </c>
      <c r="K6919" s="81">
        <v>44210.0</v>
      </c>
      <c r="L6919" s="80" t="s">
        <v>2743</v>
      </c>
      <c r="M6919" s="80" t="s">
        <v>143</v>
      </c>
      <c r="N6919" s="116"/>
      <c r="O6919" s="51"/>
    </row>
    <row r="6920">
      <c r="A6920" s="234"/>
      <c r="B6920" s="71"/>
      <c r="C6920" s="79" t="s">
        <v>28090</v>
      </c>
      <c r="D6920" s="82"/>
      <c r="E6920" s="80" t="s">
        <v>28091</v>
      </c>
      <c r="F6920" s="98">
        <v>42653.0</v>
      </c>
      <c r="G6920" s="80" t="s">
        <v>28092</v>
      </c>
      <c r="H6920" s="80" t="s">
        <v>28093</v>
      </c>
      <c r="I6920" s="80" t="s">
        <v>28094</v>
      </c>
      <c r="J6920" s="63" t="s">
        <v>136</v>
      </c>
      <c r="K6920" s="81">
        <v>44210.0</v>
      </c>
      <c r="L6920" s="80" t="s">
        <v>2743</v>
      </c>
      <c r="M6920" s="80" t="s">
        <v>31</v>
      </c>
      <c r="N6920" s="116"/>
      <c r="O6920" s="51"/>
    </row>
    <row r="6921">
      <c r="A6921" s="273"/>
      <c r="B6921" s="71"/>
      <c r="C6921" s="69" t="s">
        <v>28095</v>
      </c>
      <c r="D6921" s="71"/>
      <c r="E6921" s="68" t="s">
        <v>28096</v>
      </c>
      <c r="F6921" s="76">
        <v>44105.0</v>
      </c>
      <c r="G6921" s="68" t="s">
        <v>28097</v>
      </c>
      <c r="H6921" s="68" t="s">
        <v>28098</v>
      </c>
      <c r="I6921" s="71"/>
      <c r="J6921" s="68" t="s">
        <v>28099</v>
      </c>
      <c r="K6921" s="76">
        <v>44217.0</v>
      </c>
      <c r="L6921" s="68" t="s">
        <v>2743</v>
      </c>
      <c r="M6921" s="68" t="s">
        <v>22473</v>
      </c>
      <c r="N6921" s="116"/>
      <c r="O6921" s="51"/>
    </row>
    <row r="6922">
      <c r="A6922" s="273"/>
      <c r="B6922" s="71"/>
      <c r="C6922" s="69" t="s">
        <v>28100</v>
      </c>
      <c r="D6922" s="71"/>
      <c r="E6922" s="68" t="s">
        <v>28101</v>
      </c>
      <c r="F6922" s="76">
        <v>44105.0</v>
      </c>
      <c r="G6922" s="68" t="s">
        <v>28097</v>
      </c>
      <c r="H6922" s="68" t="s">
        <v>28098</v>
      </c>
      <c r="I6922" s="71"/>
      <c r="J6922" s="68" t="s">
        <v>28102</v>
      </c>
      <c r="K6922" s="76">
        <v>44217.0</v>
      </c>
      <c r="L6922" s="68" t="s">
        <v>2743</v>
      </c>
      <c r="M6922" s="68" t="s">
        <v>22473</v>
      </c>
      <c r="N6922" s="116"/>
      <c r="O6922" s="51"/>
    </row>
    <row r="6923">
      <c r="A6923" s="273"/>
      <c r="B6923" s="71"/>
      <c r="C6923" s="69" t="s">
        <v>28103</v>
      </c>
      <c r="D6923" s="71"/>
      <c r="E6923" s="68" t="s">
        <v>28104</v>
      </c>
      <c r="F6923" s="76">
        <v>44000.0</v>
      </c>
      <c r="G6923" s="68" t="s">
        <v>28105</v>
      </c>
      <c r="H6923" s="68" t="s">
        <v>28106</v>
      </c>
      <c r="I6923" s="71"/>
      <c r="J6923" s="68" t="s">
        <v>28107</v>
      </c>
      <c r="K6923" s="76">
        <v>44217.0</v>
      </c>
      <c r="L6923" s="68" t="s">
        <v>2743</v>
      </c>
      <c r="M6923" s="68" t="s">
        <v>166</v>
      </c>
      <c r="N6923" s="116"/>
      <c r="O6923" s="51"/>
    </row>
    <row r="6924">
      <c r="A6924" s="273"/>
      <c r="B6924" s="71"/>
      <c r="C6924" s="69" t="s">
        <v>28108</v>
      </c>
      <c r="D6924" s="71"/>
      <c r="E6924" s="68" t="s">
        <v>28109</v>
      </c>
      <c r="F6924" s="83">
        <v>44192.0</v>
      </c>
      <c r="G6924" s="68" t="s">
        <v>28110</v>
      </c>
      <c r="H6924" s="68" t="s">
        <v>28111</v>
      </c>
      <c r="I6924" s="68" t="s">
        <v>28112</v>
      </c>
      <c r="J6924" s="68" t="s">
        <v>28113</v>
      </c>
      <c r="K6924" s="76">
        <v>44217.0</v>
      </c>
      <c r="L6924" s="68" t="s">
        <v>2743</v>
      </c>
      <c r="M6924" s="68" t="s">
        <v>31</v>
      </c>
      <c r="N6924" s="116"/>
      <c r="O6924" s="51"/>
    </row>
    <row r="6925">
      <c r="A6925" s="273"/>
      <c r="B6925" s="71"/>
      <c r="C6925" s="69" t="s">
        <v>28114</v>
      </c>
      <c r="D6925" s="71"/>
      <c r="E6925" s="68" t="s">
        <v>28115</v>
      </c>
      <c r="F6925" s="83">
        <v>43789.0</v>
      </c>
      <c r="G6925" s="68" t="s">
        <v>28116</v>
      </c>
      <c r="H6925" s="68" t="s">
        <v>27394</v>
      </c>
      <c r="I6925" s="71"/>
      <c r="J6925" s="68" t="s">
        <v>28117</v>
      </c>
      <c r="K6925" s="76">
        <v>44218.0</v>
      </c>
      <c r="L6925" s="68" t="s">
        <v>2743</v>
      </c>
      <c r="M6925" s="68" t="s">
        <v>27994</v>
      </c>
      <c r="N6925" s="116"/>
      <c r="O6925" s="51"/>
    </row>
    <row r="6926">
      <c r="A6926" s="234"/>
      <c r="B6926" s="71"/>
      <c r="C6926" s="79" t="s">
        <v>28118</v>
      </c>
      <c r="D6926" s="82"/>
      <c r="E6926" s="80" t="s">
        <v>28119</v>
      </c>
      <c r="F6926" s="81">
        <v>42709.0</v>
      </c>
      <c r="G6926" s="80" t="s">
        <v>28120</v>
      </c>
      <c r="H6926" s="80" t="s">
        <v>28121</v>
      </c>
      <c r="I6926" s="82"/>
      <c r="J6926" s="63" t="s">
        <v>136</v>
      </c>
      <c r="K6926" s="81">
        <v>44223.0</v>
      </c>
      <c r="L6926" s="80" t="s">
        <v>2743</v>
      </c>
      <c r="M6926" s="80" t="s">
        <v>26526</v>
      </c>
      <c r="N6926" s="87" t="s">
        <v>28122</v>
      </c>
      <c r="O6926" s="51"/>
    </row>
    <row r="6927">
      <c r="A6927" s="273"/>
      <c r="B6927" s="71"/>
      <c r="C6927" s="69" t="s">
        <v>28123</v>
      </c>
      <c r="D6927" s="71"/>
      <c r="E6927" s="68" t="s">
        <v>28124</v>
      </c>
      <c r="F6927" s="76">
        <v>44205.0</v>
      </c>
      <c r="G6927" s="68" t="s">
        <v>28125</v>
      </c>
      <c r="H6927" s="68" t="s">
        <v>28126</v>
      </c>
      <c r="I6927" s="71"/>
      <c r="J6927" s="68" t="s">
        <v>28127</v>
      </c>
      <c r="K6927" s="76">
        <v>44226.0</v>
      </c>
      <c r="L6927" s="68" t="s">
        <v>2743</v>
      </c>
      <c r="M6927" s="68" t="s">
        <v>17743</v>
      </c>
      <c r="N6927" s="87" t="s">
        <v>28128</v>
      </c>
      <c r="O6927" s="51"/>
    </row>
    <row r="6928">
      <c r="A6928" s="273"/>
      <c r="B6928" s="71"/>
      <c r="C6928" s="69" t="s">
        <v>28129</v>
      </c>
      <c r="D6928" s="71"/>
      <c r="E6928" s="68" t="s">
        <v>28130</v>
      </c>
      <c r="F6928" s="76">
        <v>43879.0</v>
      </c>
      <c r="G6928" s="68" t="s">
        <v>28131</v>
      </c>
      <c r="H6928" s="68" t="s">
        <v>28132</v>
      </c>
      <c r="I6928" s="71"/>
      <c r="J6928" s="68" t="s">
        <v>28133</v>
      </c>
      <c r="K6928" s="76">
        <v>44226.0</v>
      </c>
      <c r="L6928" s="68" t="s">
        <v>2743</v>
      </c>
      <c r="M6928" s="68" t="s">
        <v>872</v>
      </c>
      <c r="N6928" s="116"/>
      <c r="O6928" s="51"/>
    </row>
    <row r="6929">
      <c r="A6929" s="234"/>
      <c r="B6929" s="71"/>
      <c r="C6929" s="79" t="s">
        <v>28134</v>
      </c>
      <c r="D6929" s="82"/>
      <c r="E6929" s="80" t="s">
        <v>28135</v>
      </c>
      <c r="F6929" s="81">
        <v>44040.0</v>
      </c>
      <c r="G6929" s="80" t="s">
        <v>28136</v>
      </c>
      <c r="H6929" s="80" t="s">
        <v>439</v>
      </c>
      <c r="I6929" s="82"/>
      <c r="J6929" s="63" t="s">
        <v>136</v>
      </c>
      <c r="K6929" s="81">
        <v>44228.0</v>
      </c>
      <c r="L6929" s="80" t="s">
        <v>2743</v>
      </c>
      <c r="M6929" s="80" t="s">
        <v>872</v>
      </c>
      <c r="N6929" s="116"/>
      <c r="O6929" s="51"/>
    </row>
    <row r="6930">
      <c r="A6930" s="273"/>
      <c r="B6930" s="71"/>
      <c r="C6930" s="69" t="s">
        <v>28137</v>
      </c>
      <c r="D6930" s="71"/>
      <c r="E6930" s="68" t="s">
        <v>28138</v>
      </c>
      <c r="F6930" s="76">
        <v>41579.0</v>
      </c>
      <c r="G6930" s="68" t="s">
        <v>28139</v>
      </c>
      <c r="H6930" s="68" t="s">
        <v>28140</v>
      </c>
      <c r="I6930" s="68" t="s">
        <v>28141</v>
      </c>
      <c r="J6930" s="68" t="s">
        <v>28142</v>
      </c>
      <c r="K6930" s="76">
        <v>44228.0</v>
      </c>
      <c r="L6930" s="68" t="s">
        <v>20958</v>
      </c>
      <c r="M6930" s="80" t="s">
        <v>872</v>
      </c>
      <c r="N6930" s="116"/>
      <c r="O6930" s="51"/>
    </row>
    <row r="6931">
      <c r="A6931" s="273"/>
      <c r="B6931" s="71"/>
      <c r="C6931" s="69" t="s">
        <v>28143</v>
      </c>
      <c r="D6931" s="71"/>
      <c r="E6931" s="68" t="s">
        <v>28144</v>
      </c>
      <c r="F6931" s="76">
        <v>42917.0</v>
      </c>
      <c r="G6931" s="68" t="s">
        <v>28145</v>
      </c>
      <c r="H6931" s="68" t="s">
        <v>28146</v>
      </c>
      <c r="I6931" s="71"/>
      <c r="J6931" s="68" t="s">
        <v>28147</v>
      </c>
      <c r="K6931" s="76">
        <v>44230.0</v>
      </c>
      <c r="L6931" s="68" t="s">
        <v>2743</v>
      </c>
      <c r="M6931" s="68" t="s">
        <v>530</v>
      </c>
      <c r="N6931" s="116"/>
      <c r="O6931" s="51"/>
    </row>
    <row r="6932">
      <c r="A6932" s="273"/>
      <c r="B6932" s="71"/>
      <c r="C6932" s="69" t="s">
        <v>28148</v>
      </c>
      <c r="D6932" s="71"/>
      <c r="E6932" s="68" t="s">
        <v>28149</v>
      </c>
      <c r="F6932" s="76">
        <v>39995.0</v>
      </c>
      <c r="G6932" s="68" t="s">
        <v>28150</v>
      </c>
      <c r="H6932" s="68" t="s">
        <v>28151</v>
      </c>
      <c r="I6932" s="71"/>
      <c r="J6932" s="68" t="s">
        <v>28152</v>
      </c>
      <c r="K6932" s="76">
        <v>44230.0</v>
      </c>
      <c r="L6932" s="68" t="s">
        <v>2743</v>
      </c>
      <c r="M6932" s="68" t="s">
        <v>530</v>
      </c>
      <c r="N6932" s="116"/>
      <c r="O6932" s="51"/>
    </row>
    <row r="6933">
      <c r="A6933" s="273"/>
      <c r="B6933" s="71"/>
      <c r="C6933" s="69" t="s">
        <v>28153</v>
      </c>
      <c r="D6933" s="71"/>
      <c r="E6933" s="68" t="s">
        <v>28154</v>
      </c>
      <c r="F6933" s="76">
        <v>39995.0</v>
      </c>
      <c r="G6933" s="68" t="s">
        <v>28150</v>
      </c>
      <c r="H6933" s="68" t="s">
        <v>28151</v>
      </c>
      <c r="I6933" s="71"/>
      <c r="J6933" s="68" t="s">
        <v>28155</v>
      </c>
      <c r="K6933" s="76">
        <v>44230.0</v>
      </c>
      <c r="L6933" s="68" t="s">
        <v>2743</v>
      </c>
      <c r="M6933" s="68" t="s">
        <v>2291</v>
      </c>
      <c r="N6933" s="116"/>
      <c r="O6933" s="51"/>
    </row>
    <row r="6934">
      <c r="A6934" s="273"/>
      <c r="B6934" s="71"/>
      <c r="C6934" s="69" t="s">
        <v>28156</v>
      </c>
      <c r="D6934" s="71"/>
      <c r="E6934" s="68" t="s">
        <v>28157</v>
      </c>
      <c r="F6934" s="76">
        <v>44209.0</v>
      </c>
      <c r="G6934" s="68" t="s">
        <v>28158</v>
      </c>
      <c r="H6934" s="68" t="s">
        <v>28159</v>
      </c>
      <c r="I6934" s="71"/>
      <c r="J6934" s="68" t="s">
        <v>28160</v>
      </c>
      <c r="K6934" s="76">
        <v>44231.0</v>
      </c>
      <c r="L6934" s="68" t="s">
        <v>26929</v>
      </c>
      <c r="M6934" s="68" t="s">
        <v>26546</v>
      </c>
      <c r="N6934" s="116"/>
      <c r="O6934" s="51"/>
    </row>
    <row r="6935">
      <c r="A6935" s="273"/>
      <c r="B6935" s="71"/>
      <c r="C6935" s="69" t="s">
        <v>28161</v>
      </c>
      <c r="D6935" s="71"/>
      <c r="E6935" s="68" t="s">
        <v>28162</v>
      </c>
      <c r="F6935" s="76">
        <v>44094.0</v>
      </c>
      <c r="G6935" s="68" t="s">
        <v>28163</v>
      </c>
      <c r="H6935" s="68" t="s">
        <v>28164</v>
      </c>
      <c r="I6935" s="71"/>
      <c r="J6935" s="68" t="s">
        <v>28165</v>
      </c>
      <c r="K6935" s="76">
        <v>44231.0</v>
      </c>
      <c r="L6935" s="68" t="s">
        <v>26929</v>
      </c>
      <c r="M6935" s="68" t="s">
        <v>26546</v>
      </c>
      <c r="N6935" s="116"/>
      <c r="O6935" s="51"/>
    </row>
    <row r="6936">
      <c r="A6936" s="273"/>
      <c r="B6936" s="71"/>
      <c r="C6936" s="69" t="s">
        <v>28166</v>
      </c>
      <c r="D6936" s="71"/>
      <c r="E6936" s="68" t="s">
        <v>28167</v>
      </c>
      <c r="F6936" s="83">
        <v>44175.0</v>
      </c>
      <c r="G6936" s="68" t="s">
        <v>28168</v>
      </c>
      <c r="H6936" s="68" t="s">
        <v>28169</v>
      </c>
      <c r="I6936" s="71"/>
      <c r="J6936" s="68" t="s">
        <v>28170</v>
      </c>
      <c r="K6936" s="76">
        <v>44235.0</v>
      </c>
      <c r="L6936" s="68" t="s">
        <v>26929</v>
      </c>
      <c r="M6936" s="68" t="s">
        <v>28171</v>
      </c>
      <c r="N6936" s="116"/>
      <c r="O6936" s="51"/>
    </row>
    <row r="6937">
      <c r="A6937" s="273"/>
      <c r="B6937" s="71"/>
      <c r="C6937" s="69" t="s">
        <v>28172</v>
      </c>
      <c r="D6937" s="71"/>
      <c r="E6937" s="68" t="s">
        <v>28173</v>
      </c>
      <c r="F6937" s="83">
        <v>44176.0</v>
      </c>
      <c r="G6937" s="68" t="s">
        <v>28174</v>
      </c>
      <c r="H6937" s="68" t="s">
        <v>28175</v>
      </c>
      <c r="I6937" s="71"/>
      <c r="J6937" s="68" t="s">
        <v>28176</v>
      </c>
      <c r="K6937" s="76">
        <v>44235.0</v>
      </c>
      <c r="L6937" s="68" t="s">
        <v>26929</v>
      </c>
      <c r="M6937" s="68" t="s">
        <v>4487</v>
      </c>
      <c r="N6937" s="116"/>
      <c r="O6937" s="51"/>
    </row>
    <row r="6938">
      <c r="A6938" s="273"/>
      <c r="B6938" s="71"/>
      <c r="C6938" s="69" t="s">
        <v>28177</v>
      </c>
      <c r="D6938" s="71"/>
      <c r="E6938" s="68" t="s">
        <v>28178</v>
      </c>
      <c r="F6938" s="76">
        <v>44200.0</v>
      </c>
      <c r="G6938" s="68" t="s">
        <v>28179</v>
      </c>
      <c r="H6938" s="68" t="s">
        <v>439</v>
      </c>
      <c r="I6938" s="71"/>
      <c r="J6938" s="68" t="s">
        <v>28180</v>
      </c>
      <c r="K6938" s="76">
        <v>44235.0</v>
      </c>
      <c r="L6938" s="68" t="s">
        <v>2743</v>
      </c>
      <c r="M6938" s="68" t="s">
        <v>368</v>
      </c>
      <c r="N6938" s="116"/>
      <c r="O6938" s="51"/>
    </row>
    <row r="6939">
      <c r="A6939" s="273"/>
      <c r="B6939" s="71"/>
      <c r="C6939" s="69" t="s">
        <v>28181</v>
      </c>
      <c r="D6939" s="71"/>
      <c r="E6939" s="68" t="s">
        <v>28182</v>
      </c>
      <c r="F6939" s="76">
        <v>44085.0</v>
      </c>
      <c r="G6939" s="68" t="s">
        <v>28183</v>
      </c>
      <c r="H6939" s="68" t="s">
        <v>28184</v>
      </c>
      <c r="I6939" s="68" t="s">
        <v>28185</v>
      </c>
      <c r="J6939" s="68" t="s">
        <v>28186</v>
      </c>
      <c r="K6939" s="76">
        <v>44235.0</v>
      </c>
      <c r="L6939" s="68" t="s">
        <v>2743</v>
      </c>
      <c r="M6939" s="68" t="s">
        <v>143</v>
      </c>
      <c r="N6939" s="116"/>
      <c r="O6939" s="51"/>
    </row>
    <row r="6940">
      <c r="A6940" s="234"/>
      <c r="B6940" s="71"/>
      <c r="C6940" s="79" t="s">
        <v>28187</v>
      </c>
      <c r="D6940" s="82"/>
      <c r="E6940" s="80" t="s">
        <v>28188</v>
      </c>
      <c r="F6940" s="81">
        <v>42178.0</v>
      </c>
      <c r="G6940" s="80" t="s">
        <v>28189</v>
      </c>
      <c r="H6940" s="80" t="s">
        <v>28190</v>
      </c>
      <c r="I6940" s="80" t="s">
        <v>439</v>
      </c>
      <c r="J6940" s="63" t="s">
        <v>136</v>
      </c>
      <c r="K6940" s="81">
        <v>44236.0</v>
      </c>
      <c r="L6940" s="80" t="s">
        <v>2743</v>
      </c>
      <c r="M6940" s="80" t="s">
        <v>166</v>
      </c>
      <c r="N6940" s="116"/>
      <c r="O6940" s="51"/>
    </row>
    <row r="6941">
      <c r="A6941" s="234"/>
      <c r="B6941" s="71"/>
      <c r="C6941" s="79" t="s">
        <v>28191</v>
      </c>
      <c r="D6941" s="82"/>
      <c r="E6941" s="80" t="s">
        <v>10076</v>
      </c>
      <c r="F6941" s="98">
        <v>41240.0</v>
      </c>
      <c r="G6941" s="80" t="s">
        <v>28192</v>
      </c>
      <c r="H6941" s="80" t="s">
        <v>28193</v>
      </c>
      <c r="I6941" s="68" t="s">
        <v>28194</v>
      </c>
      <c r="J6941" s="63" t="s">
        <v>136</v>
      </c>
      <c r="K6941" s="81">
        <v>44236.0</v>
      </c>
      <c r="L6941" s="80" t="s">
        <v>20958</v>
      </c>
      <c r="M6941" s="80" t="s">
        <v>27</v>
      </c>
      <c r="N6941" s="116"/>
      <c r="O6941" s="51"/>
    </row>
    <row r="6942">
      <c r="A6942" s="234"/>
      <c r="B6942" s="71"/>
      <c r="C6942" s="79" t="s">
        <v>28195</v>
      </c>
      <c r="D6942" s="82"/>
      <c r="E6942" s="80" t="s">
        <v>28196</v>
      </c>
      <c r="F6942" s="81">
        <v>41689.0</v>
      </c>
      <c r="G6942" s="80" t="s">
        <v>28197</v>
      </c>
      <c r="H6942" s="80" t="s">
        <v>28198</v>
      </c>
      <c r="I6942" s="80" t="s">
        <v>439</v>
      </c>
      <c r="J6942" s="63" t="s">
        <v>136</v>
      </c>
      <c r="K6942" s="81">
        <v>44236.0</v>
      </c>
      <c r="L6942" s="80" t="s">
        <v>20958</v>
      </c>
      <c r="M6942" s="80" t="s">
        <v>27</v>
      </c>
      <c r="N6942" s="116"/>
      <c r="O6942" s="51"/>
    </row>
    <row r="6943">
      <c r="A6943" s="234"/>
      <c r="B6943" s="71"/>
      <c r="C6943" s="79" t="s">
        <v>28199</v>
      </c>
      <c r="D6943" s="82"/>
      <c r="E6943" s="80" t="s">
        <v>28200</v>
      </c>
      <c r="F6943" s="98">
        <v>41600.0</v>
      </c>
      <c r="G6943" s="80" t="s">
        <v>28201</v>
      </c>
      <c r="H6943" s="80" t="s">
        <v>28202</v>
      </c>
      <c r="I6943" s="80" t="s">
        <v>439</v>
      </c>
      <c r="J6943" s="63" t="s">
        <v>136</v>
      </c>
      <c r="K6943" s="81">
        <v>44236.0</v>
      </c>
      <c r="L6943" s="80" t="s">
        <v>20958</v>
      </c>
      <c r="M6943" s="80" t="s">
        <v>27</v>
      </c>
      <c r="N6943" s="116"/>
      <c r="O6943" s="51"/>
    </row>
    <row r="6944">
      <c r="A6944" s="273"/>
      <c r="B6944" s="71"/>
      <c r="C6944" s="69" t="s">
        <v>28203</v>
      </c>
      <c r="D6944" s="71"/>
      <c r="E6944" s="68" t="s">
        <v>28204</v>
      </c>
      <c r="F6944" s="76">
        <v>44042.0</v>
      </c>
      <c r="G6944" s="68" t="s">
        <v>28205</v>
      </c>
      <c r="H6944" s="68" t="s">
        <v>28206</v>
      </c>
      <c r="I6944" s="71"/>
      <c r="J6944" s="68" t="s">
        <v>28207</v>
      </c>
      <c r="K6944" s="76">
        <v>44239.0</v>
      </c>
      <c r="L6944" s="68" t="s">
        <v>19825</v>
      </c>
      <c r="M6944" s="68" t="s">
        <v>166</v>
      </c>
      <c r="N6944" s="116"/>
      <c r="O6944" s="51"/>
    </row>
    <row r="6945">
      <c r="A6945" s="234"/>
      <c r="B6945" s="71"/>
      <c r="C6945" s="79" t="s">
        <v>28208</v>
      </c>
      <c r="D6945" s="82"/>
      <c r="E6945" s="80" t="s">
        <v>28209</v>
      </c>
      <c r="F6945" s="81">
        <v>42261.0</v>
      </c>
      <c r="G6945" s="80" t="s">
        <v>28210</v>
      </c>
      <c r="H6945" s="80" t="s">
        <v>28211</v>
      </c>
      <c r="I6945" s="82"/>
      <c r="J6945" s="63" t="s">
        <v>136</v>
      </c>
      <c r="K6945" s="81">
        <v>44239.0</v>
      </c>
      <c r="L6945" s="80" t="s">
        <v>19825</v>
      </c>
      <c r="M6945" s="80" t="s">
        <v>166</v>
      </c>
      <c r="N6945" s="116"/>
      <c r="O6945" s="51"/>
    </row>
    <row r="6946">
      <c r="A6946" s="273"/>
      <c r="B6946" s="71"/>
      <c r="C6946" s="69" t="s">
        <v>28212</v>
      </c>
      <c r="D6946" s="71"/>
      <c r="E6946" s="68" t="s">
        <v>28213</v>
      </c>
      <c r="F6946" s="76">
        <v>43866.0</v>
      </c>
      <c r="G6946" s="68" t="s">
        <v>28214</v>
      </c>
      <c r="H6946" s="68" t="s">
        <v>28215</v>
      </c>
      <c r="I6946" s="71"/>
      <c r="J6946" s="68" t="s">
        <v>28216</v>
      </c>
      <c r="K6946" s="76">
        <v>44242.0</v>
      </c>
      <c r="L6946" s="68" t="s">
        <v>2743</v>
      </c>
      <c r="M6946" s="68" t="s">
        <v>143</v>
      </c>
      <c r="N6946" s="116"/>
      <c r="O6946" s="51"/>
    </row>
    <row r="6947">
      <c r="A6947" s="273"/>
      <c r="B6947" s="71"/>
      <c r="C6947" s="69" t="s">
        <v>28217</v>
      </c>
      <c r="D6947" s="71"/>
      <c r="E6947" s="68" t="s">
        <v>28218</v>
      </c>
      <c r="F6947" s="76">
        <v>42707.0</v>
      </c>
      <c r="G6947" s="68" t="s">
        <v>28219</v>
      </c>
      <c r="H6947" s="71"/>
      <c r="I6947" s="71"/>
      <c r="J6947" s="68" t="s">
        <v>28220</v>
      </c>
      <c r="K6947" s="76">
        <v>44218.0</v>
      </c>
      <c r="L6947" s="71"/>
      <c r="M6947" s="68" t="s">
        <v>27</v>
      </c>
      <c r="N6947" s="87" t="s">
        <v>49</v>
      </c>
      <c r="O6947" s="51"/>
    </row>
    <row r="6948">
      <c r="A6948" s="273"/>
      <c r="B6948" s="71"/>
      <c r="C6948" s="69" t="s">
        <v>28221</v>
      </c>
      <c r="D6948" s="71"/>
      <c r="E6948" s="68" t="s">
        <v>28222</v>
      </c>
      <c r="F6948" s="76">
        <v>42707.0</v>
      </c>
      <c r="G6948" s="68" t="s">
        <v>28219</v>
      </c>
      <c r="H6948" s="71"/>
      <c r="I6948" s="71"/>
      <c r="J6948" s="68" t="s">
        <v>28223</v>
      </c>
      <c r="K6948" s="76">
        <v>44218.0</v>
      </c>
      <c r="L6948" s="71"/>
      <c r="M6948" s="68" t="s">
        <v>27</v>
      </c>
      <c r="N6948" s="116"/>
      <c r="O6948" s="51"/>
    </row>
    <row r="6949">
      <c r="A6949" s="273"/>
      <c r="B6949" s="71"/>
      <c r="C6949" s="69" t="s">
        <v>28224</v>
      </c>
      <c r="D6949" s="71"/>
      <c r="E6949" s="68" t="s">
        <v>28225</v>
      </c>
      <c r="F6949" s="76">
        <v>42707.0</v>
      </c>
      <c r="G6949" s="68" t="s">
        <v>28226</v>
      </c>
      <c r="H6949" s="71"/>
      <c r="I6949" s="71"/>
      <c r="J6949" s="68" t="s">
        <v>28227</v>
      </c>
      <c r="K6949" s="76">
        <v>44218.0</v>
      </c>
      <c r="L6949" s="71"/>
      <c r="M6949" s="68" t="s">
        <v>27</v>
      </c>
      <c r="N6949" s="116"/>
      <c r="O6949" s="51"/>
    </row>
    <row r="6950">
      <c r="A6950" s="273"/>
      <c r="B6950" s="71"/>
      <c r="C6950" s="69" t="s">
        <v>28228</v>
      </c>
      <c r="D6950" s="71"/>
      <c r="E6950" s="68" t="s">
        <v>28229</v>
      </c>
      <c r="F6950" s="76">
        <v>42706.0</v>
      </c>
      <c r="G6950" s="68" t="s">
        <v>28230</v>
      </c>
      <c r="H6950" s="71"/>
      <c r="I6950" s="71"/>
      <c r="J6950" s="68" t="s">
        <v>28231</v>
      </c>
      <c r="K6950" s="76">
        <v>44218.0</v>
      </c>
      <c r="L6950" s="71"/>
      <c r="M6950" s="68" t="s">
        <v>27</v>
      </c>
      <c r="N6950" s="116"/>
      <c r="O6950" s="51"/>
    </row>
    <row r="6951">
      <c r="A6951" s="273"/>
      <c r="B6951" s="71"/>
      <c r="C6951" s="69" t="s">
        <v>28232</v>
      </c>
      <c r="D6951" s="71"/>
      <c r="E6951" s="68" t="s">
        <v>28233</v>
      </c>
      <c r="F6951" s="76">
        <v>42706.0</v>
      </c>
      <c r="G6951" s="68" t="s">
        <v>28230</v>
      </c>
      <c r="H6951" s="71"/>
      <c r="I6951" s="71"/>
      <c r="J6951" s="68" t="s">
        <v>28234</v>
      </c>
      <c r="K6951" s="76">
        <v>44218.0</v>
      </c>
      <c r="L6951" s="71"/>
      <c r="M6951" s="68" t="s">
        <v>27</v>
      </c>
      <c r="N6951" s="116"/>
      <c r="O6951" s="51"/>
    </row>
    <row r="6952">
      <c r="A6952" s="273"/>
      <c r="B6952" s="71"/>
      <c r="C6952" s="69" t="s">
        <v>28235</v>
      </c>
      <c r="D6952" s="71"/>
      <c r="E6952" s="68" t="s">
        <v>28236</v>
      </c>
      <c r="F6952" s="76">
        <v>42708.0</v>
      </c>
      <c r="G6952" s="68" t="s">
        <v>28237</v>
      </c>
      <c r="H6952" s="71"/>
      <c r="I6952" s="71"/>
      <c r="J6952" s="68" t="s">
        <v>28238</v>
      </c>
      <c r="K6952" s="76">
        <v>44218.0</v>
      </c>
      <c r="L6952" s="71"/>
      <c r="M6952" s="68" t="s">
        <v>27</v>
      </c>
      <c r="N6952" s="116"/>
      <c r="O6952" s="51"/>
    </row>
    <row r="6953">
      <c r="A6953" s="273"/>
      <c r="B6953" s="71"/>
      <c r="C6953" s="69" t="s">
        <v>28239</v>
      </c>
      <c r="D6953" s="71"/>
      <c r="E6953" s="68" t="s">
        <v>28240</v>
      </c>
      <c r="F6953" s="76">
        <v>42708.0</v>
      </c>
      <c r="G6953" s="68" t="s">
        <v>28237</v>
      </c>
      <c r="H6953" s="71"/>
      <c r="I6953" s="71"/>
      <c r="J6953" s="68" t="s">
        <v>28241</v>
      </c>
      <c r="K6953" s="76">
        <v>44218.0</v>
      </c>
      <c r="L6953" s="71"/>
      <c r="M6953" s="68" t="s">
        <v>27</v>
      </c>
      <c r="N6953" s="116"/>
      <c r="O6953" s="51"/>
    </row>
    <row r="6954">
      <c r="A6954" s="273"/>
      <c r="B6954" s="71"/>
      <c r="C6954" s="69" t="s">
        <v>28242</v>
      </c>
      <c r="D6954" s="71"/>
      <c r="E6954" s="68" t="s">
        <v>28243</v>
      </c>
      <c r="F6954" s="76">
        <v>42707.0</v>
      </c>
      <c r="G6954" s="68" t="s">
        <v>28226</v>
      </c>
      <c r="H6954" s="71"/>
      <c r="I6954" s="71"/>
      <c r="J6954" s="68" t="s">
        <v>28244</v>
      </c>
      <c r="K6954" s="76">
        <v>44218.0</v>
      </c>
      <c r="L6954" s="71"/>
      <c r="M6954" s="68" t="s">
        <v>27</v>
      </c>
      <c r="N6954" s="116"/>
      <c r="O6954" s="51"/>
    </row>
    <row r="6955">
      <c r="A6955" s="273"/>
      <c r="B6955" s="71"/>
      <c r="C6955" s="69" t="s">
        <v>28245</v>
      </c>
      <c r="D6955" s="71"/>
      <c r="E6955" s="68" t="s">
        <v>28246</v>
      </c>
      <c r="F6955" s="76">
        <v>42707.0</v>
      </c>
      <c r="G6955" s="68" t="s">
        <v>28219</v>
      </c>
      <c r="H6955" s="71"/>
      <c r="I6955" s="71"/>
      <c r="J6955" s="68" t="s">
        <v>28247</v>
      </c>
      <c r="K6955" s="76">
        <v>44218.0</v>
      </c>
      <c r="L6955" s="71"/>
      <c r="M6955" s="68" t="s">
        <v>27</v>
      </c>
      <c r="N6955" s="116"/>
      <c r="O6955" s="51"/>
    </row>
    <row r="6956">
      <c r="A6956" s="273"/>
      <c r="B6956" s="71"/>
      <c r="C6956" s="69" t="s">
        <v>28248</v>
      </c>
      <c r="D6956" s="71"/>
      <c r="E6956" s="68" t="s">
        <v>28249</v>
      </c>
      <c r="F6956" s="76">
        <v>42707.0</v>
      </c>
      <c r="G6956" s="68" t="s">
        <v>28219</v>
      </c>
      <c r="H6956" s="71"/>
      <c r="I6956" s="71"/>
      <c r="J6956" s="87" t="s">
        <v>28250</v>
      </c>
      <c r="K6956" s="76">
        <v>44218.0</v>
      </c>
      <c r="L6956" s="71"/>
      <c r="M6956" s="68" t="s">
        <v>27</v>
      </c>
      <c r="N6956" s="116"/>
      <c r="O6956" s="51"/>
    </row>
    <row r="6957">
      <c r="A6957" s="273"/>
      <c r="B6957" s="71"/>
      <c r="C6957" s="69" t="s">
        <v>28251</v>
      </c>
      <c r="D6957" s="71"/>
      <c r="E6957" s="68" t="s">
        <v>28252</v>
      </c>
      <c r="F6957" s="76">
        <v>42707.0</v>
      </c>
      <c r="G6957" s="68" t="s">
        <v>28219</v>
      </c>
      <c r="H6957" s="71"/>
      <c r="I6957" s="71"/>
      <c r="J6957" s="87" t="s">
        <v>28253</v>
      </c>
      <c r="K6957" s="76">
        <v>44218.0</v>
      </c>
      <c r="L6957" s="71"/>
      <c r="M6957" s="68" t="s">
        <v>27</v>
      </c>
      <c r="N6957" s="116"/>
      <c r="O6957" s="51"/>
    </row>
    <row r="6958">
      <c r="A6958" s="273"/>
      <c r="B6958" s="71"/>
      <c r="C6958" s="69" t="s">
        <v>28254</v>
      </c>
      <c r="D6958" s="71"/>
      <c r="E6958" s="68" t="s">
        <v>28255</v>
      </c>
      <c r="F6958" s="76">
        <v>42709.0</v>
      </c>
      <c r="G6958" s="68" t="s">
        <v>28256</v>
      </c>
      <c r="H6958" s="71"/>
      <c r="I6958" s="71"/>
      <c r="J6958" s="87" t="s">
        <v>28257</v>
      </c>
      <c r="K6958" s="76">
        <v>44218.0</v>
      </c>
      <c r="L6958" s="71"/>
      <c r="M6958" s="68" t="s">
        <v>27</v>
      </c>
      <c r="N6958" s="116"/>
      <c r="O6958" s="51"/>
    </row>
    <row r="6959">
      <c r="A6959" s="273"/>
      <c r="B6959" s="71"/>
      <c r="C6959" s="69" t="s">
        <v>28258</v>
      </c>
      <c r="D6959" s="71"/>
      <c r="E6959" s="68" t="s">
        <v>28259</v>
      </c>
      <c r="F6959" s="76">
        <v>42709.0</v>
      </c>
      <c r="G6959" s="68" t="s">
        <v>28260</v>
      </c>
      <c r="H6959" s="71"/>
      <c r="I6959" s="71"/>
      <c r="J6959" s="87" t="s">
        <v>28261</v>
      </c>
      <c r="K6959" s="76">
        <v>44218.0</v>
      </c>
      <c r="L6959" s="71"/>
      <c r="M6959" s="68" t="s">
        <v>27</v>
      </c>
      <c r="N6959" s="116"/>
      <c r="O6959" s="51"/>
    </row>
    <row r="6960">
      <c r="A6960" s="273"/>
      <c r="B6960" s="71"/>
      <c r="C6960" s="69" t="s">
        <v>28262</v>
      </c>
      <c r="D6960" s="71"/>
      <c r="E6960" s="68" t="s">
        <v>28263</v>
      </c>
      <c r="F6960" s="76">
        <v>42709.0</v>
      </c>
      <c r="G6960" s="68" t="s">
        <v>28260</v>
      </c>
      <c r="H6960" s="71"/>
      <c r="I6960" s="71"/>
      <c r="J6960" s="87" t="s">
        <v>28264</v>
      </c>
      <c r="K6960" s="76">
        <v>44218.0</v>
      </c>
      <c r="L6960" s="71"/>
      <c r="M6960" s="68" t="s">
        <v>27</v>
      </c>
      <c r="N6960" s="116"/>
      <c r="O6960" s="51"/>
    </row>
    <row r="6961">
      <c r="A6961" s="273"/>
      <c r="B6961" s="71"/>
      <c r="C6961" s="69" t="s">
        <v>28265</v>
      </c>
      <c r="D6961" s="71"/>
      <c r="E6961" s="68" t="s">
        <v>28266</v>
      </c>
      <c r="F6961" s="76">
        <v>42708.0</v>
      </c>
      <c r="G6961" s="68" t="s">
        <v>28267</v>
      </c>
      <c r="H6961" s="71"/>
      <c r="I6961" s="71"/>
      <c r="J6961" s="87" t="s">
        <v>28268</v>
      </c>
      <c r="K6961" s="76">
        <v>44218.0</v>
      </c>
      <c r="L6961" s="71"/>
      <c r="M6961" s="68" t="s">
        <v>27</v>
      </c>
      <c r="N6961" s="116"/>
      <c r="O6961" s="51"/>
    </row>
    <row r="6962">
      <c r="A6962" s="273"/>
      <c r="B6962" s="71"/>
      <c r="C6962" s="69" t="s">
        <v>28269</v>
      </c>
      <c r="D6962" s="71"/>
      <c r="E6962" s="68" t="s">
        <v>28270</v>
      </c>
      <c r="F6962" s="76">
        <v>42708.0</v>
      </c>
      <c r="G6962" s="68" t="s">
        <v>28267</v>
      </c>
      <c r="H6962" s="71"/>
      <c r="I6962" s="71"/>
      <c r="J6962" s="87" t="s">
        <v>28271</v>
      </c>
      <c r="K6962" s="76">
        <v>44218.0</v>
      </c>
      <c r="L6962" s="71"/>
      <c r="M6962" s="68" t="s">
        <v>27</v>
      </c>
      <c r="N6962" s="116"/>
      <c r="O6962" s="51"/>
    </row>
    <row r="6963">
      <c r="A6963" s="273"/>
      <c r="B6963" s="71"/>
      <c r="C6963" s="69" t="s">
        <v>28272</v>
      </c>
      <c r="D6963" s="71"/>
      <c r="E6963" s="68" t="s">
        <v>28273</v>
      </c>
      <c r="F6963" s="76">
        <v>42708.0</v>
      </c>
      <c r="G6963" s="68" t="s">
        <v>28274</v>
      </c>
      <c r="H6963" s="71"/>
      <c r="I6963" s="71"/>
      <c r="J6963" s="87" t="s">
        <v>28275</v>
      </c>
      <c r="K6963" s="76">
        <v>44218.0</v>
      </c>
      <c r="L6963" s="71"/>
      <c r="M6963" s="68" t="s">
        <v>27</v>
      </c>
      <c r="N6963" s="116"/>
      <c r="O6963" s="51"/>
    </row>
    <row r="6964">
      <c r="A6964" s="273"/>
      <c r="B6964" s="71"/>
      <c r="C6964" s="69" t="s">
        <v>28276</v>
      </c>
      <c r="D6964" s="71"/>
      <c r="E6964" s="68" t="s">
        <v>28277</v>
      </c>
      <c r="F6964" s="76">
        <v>42711.0</v>
      </c>
      <c r="G6964" s="68" t="s">
        <v>28278</v>
      </c>
      <c r="H6964" s="71"/>
      <c r="I6964" s="71"/>
      <c r="J6964" s="87" t="s">
        <v>28279</v>
      </c>
      <c r="K6964" s="76">
        <v>44218.0</v>
      </c>
      <c r="L6964" s="71"/>
      <c r="M6964" s="68" t="s">
        <v>27</v>
      </c>
      <c r="N6964" s="116"/>
      <c r="O6964" s="51"/>
    </row>
    <row r="6965">
      <c r="A6965" s="273"/>
      <c r="B6965" s="71"/>
      <c r="C6965" s="69" t="s">
        <v>28280</v>
      </c>
      <c r="D6965" s="71"/>
      <c r="E6965" s="68" t="s">
        <v>28281</v>
      </c>
      <c r="F6965" s="76">
        <v>42711.0</v>
      </c>
      <c r="G6965" s="68" t="s">
        <v>28278</v>
      </c>
      <c r="H6965" s="71"/>
      <c r="I6965" s="71"/>
      <c r="J6965" s="87" t="s">
        <v>28282</v>
      </c>
      <c r="K6965" s="76">
        <v>44218.0</v>
      </c>
      <c r="L6965" s="71"/>
      <c r="M6965" s="68" t="s">
        <v>27</v>
      </c>
      <c r="N6965" s="116"/>
      <c r="O6965" s="51"/>
    </row>
    <row r="6966">
      <c r="A6966" s="273"/>
      <c r="B6966" s="71"/>
      <c r="C6966" s="69" t="s">
        <v>28283</v>
      </c>
      <c r="D6966" s="71"/>
      <c r="E6966" s="68" t="s">
        <v>28284</v>
      </c>
      <c r="F6966" s="76">
        <v>42711.0</v>
      </c>
      <c r="G6966" s="68" t="s">
        <v>28278</v>
      </c>
      <c r="H6966" s="71"/>
      <c r="I6966" s="71"/>
      <c r="J6966" s="87" t="s">
        <v>28285</v>
      </c>
      <c r="K6966" s="76">
        <v>44218.0</v>
      </c>
      <c r="L6966" s="71"/>
      <c r="M6966" s="68" t="s">
        <v>27</v>
      </c>
      <c r="N6966" s="116"/>
      <c r="O6966" s="51"/>
    </row>
    <row r="6967">
      <c r="A6967" s="273"/>
      <c r="B6967" s="71"/>
      <c r="C6967" s="69" t="s">
        <v>28286</v>
      </c>
      <c r="D6967" s="71"/>
      <c r="E6967" s="68" t="s">
        <v>28287</v>
      </c>
      <c r="F6967" s="76">
        <v>42711.0</v>
      </c>
      <c r="G6967" s="68" t="s">
        <v>28278</v>
      </c>
      <c r="H6967" s="71"/>
      <c r="I6967" s="71"/>
      <c r="J6967" s="87" t="s">
        <v>28288</v>
      </c>
      <c r="K6967" s="76">
        <v>44218.0</v>
      </c>
      <c r="L6967" s="71"/>
      <c r="M6967" s="68" t="s">
        <v>27</v>
      </c>
      <c r="N6967" s="116"/>
      <c r="O6967" s="51"/>
    </row>
    <row r="6968">
      <c r="A6968" s="273"/>
      <c r="B6968" s="71"/>
      <c r="C6968" s="69" t="s">
        <v>28289</v>
      </c>
      <c r="D6968" s="71"/>
      <c r="E6968" s="68" t="s">
        <v>28290</v>
      </c>
      <c r="F6968" s="76">
        <v>42711.0</v>
      </c>
      <c r="G6968" s="68" t="s">
        <v>28278</v>
      </c>
      <c r="H6968" s="71"/>
      <c r="I6968" s="71"/>
      <c r="J6968" s="87" t="s">
        <v>28291</v>
      </c>
      <c r="K6968" s="76">
        <v>44218.0</v>
      </c>
      <c r="L6968" s="71"/>
      <c r="M6968" s="68" t="s">
        <v>27</v>
      </c>
      <c r="N6968" s="116"/>
      <c r="O6968" s="51"/>
    </row>
    <row r="6969">
      <c r="A6969" s="273"/>
      <c r="B6969" s="71"/>
      <c r="C6969" s="69" t="s">
        <v>28292</v>
      </c>
      <c r="D6969" s="71"/>
      <c r="E6969" s="68" t="s">
        <v>28293</v>
      </c>
      <c r="F6969" s="76">
        <v>42711.0</v>
      </c>
      <c r="G6969" s="68" t="s">
        <v>28278</v>
      </c>
      <c r="H6969" s="71"/>
      <c r="I6969" s="71"/>
      <c r="J6969" s="87" t="s">
        <v>28294</v>
      </c>
      <c r="K6969" s="76">
        <v>44218.0</v>
      </c>
      <c r="L6969" s="71"/>
      <c r="M6969" s="68" t="s">
        <v>27</v>
      </c>
      <c r="N6969" s="116"/>
      <c r="O6969" s="51"/>
    </row>
    <row r="6970">
      <c r="A6970" s="273"/>
      <c r="B6970" s="71"/>
      <c r="C6970" s="69" t="s">
        <v>28295</v>
      </c>
      <c r="D6970" s="71"/>
      <c r="E6970" s="68" t="s">
        <v>28296</v>
      </c>
      <c r="F6970" s="76">
        <v>42711.0</v>
      </c>
      <c r="G6970" s="68" t="s">
        <v>28278</v>
      </c>
      <c r="H6970" s="71"/>
      <c r="I6970" s="71"/>
      <c r="J6970" s="87" t="s">
        <v>28297</v>
      </c>
      <c r="K6970" s="76">
        <v>44218.0</v>
      </c>
      <c r="L6970" s="71"/>
      <c r="M6970" s="68" t="s">
        <v>27</v>
      </c>
      <c r="N6970" s="116"/>
      <c r="O6970" s="51"/>
    </row>
    <row r="6971">
      <c r="A6971" s="273"/>
      <c r="B6971" s="71"/>
      <c r="C6971" s="69" t="s">
        <v>28298</v>
      </c>
      <c r="D6971" s="71"/>
      <c r="E6971" s="68" t="s">
        <v>28299</v>
      </c>
      <c r="F6971" s="76">
        <v>42711.0</v>
      </c>
      <c r="G6971" s="68" t="s">
        <v>28278</v>
      </c>
      <c r="H6971" s="71"/>
      <c r="I6971" s="71"/>
      <c r="J6971" s="87" t="s">
        <v>28300</v>
      </c>
      <c r="K6971" s="76">
        <v>44218.0</v>
      </c>
      <c r="L6971" s="71"/>
      <c r="M6971" s="68" t="s">
        <v>27</v>
      </c>
      <c r="N6971" s="116"/>
      <c r="O6971" s="51"/>
    </row>
    <row r="6972">
      <c r="A6972" s="273"/>
      <c r="B6972" s="71"/>
      <c r="C6972" s="69" t="s">
        <v>28301</v>
      </c>
      <c r="D6972" s="71"/>
      <c r="E6972" s="68" t="s">
        <v>28302</v>
      </c>
      <c r="F6972" s="76">
        <v>42711.0</v>
      </c>
      <c r="G6972" s="68" t="s">
        <v>28278</v>
      </c>
      <c r="H6972" s="71"/>
      <c r="I6972" s="71"/>
      <c r="J6972" s="87" t="s">
        <v>28303</v>
      </c>
      <c r="K6972" s="76">
        <v>44218.0</v>
      </c>
      <c r="L6972" s="71"/>
      <c r="M6972" s="68" t="s">
        <v>27</v>
      </c>
      <c r="N6972" s="116"/>
      <c r="O6972" s="51"/>
    </row>
    <row r="6973">
      <c r="A6973" s="273"/>
      <c r="B6973" s="71"/>
      <c r="C6973" s="69" t="s">
        <v>28304</v>
      </c>
      <c r="D6973" s="71"/>
      <c r="E6973" s="68" t="s">
        <v>28305</v>
      </c>
      <c r="F6973" s="76">
        <v>42711.0</v>
      </c>
      <c r="G6973" s="68" t="s">
        <v>28278</v>
      </c>
      <c r="H6973" s="71"/>
      <c r="I6973" s="71"/>
      <c r="J6973" s="87" t="s">
        <v>28306</v>
      </c>
      <c r="K6973" s="76">
        <v>44218.0</v>
      </c>
      <c r="L6973" s="71"/>
      <c r="M6973" s="68" t="s">
        <v>27</v>
      </c>
      <c r="N6973" s="116"/>
      <c r="O6973" s="51"/>
    </row>
    <row r="6974">
      <c r="A6974" s="273"/>
      <c r="B6974" s="71"/>
      <c r="C6974" s="69" t="s">
        <v>28307</v>
      </c>
      <c r="D6974" s="71"/>
      <c r="E6974" s="68" t="s">
        <v>28308</v>
      </c>
      <c r="F6974" s="76">
        <v>42711.0</v>
      </c>
      <c r="G6974" s="68" t="s">
        <v>28278</v>
      </c>
      <c r="H6974" s="71"/>
      <c r="I6974" s="71"/>
      <c r="J6974" s="87" t="s">
        <v>28309</v>
      </c>
      <c r="K6974" s="76">
        <v>44218.0</v>
      </c>
      <c r="L6974" s="71"/>
      <c r="M6974" s="68" t="s">
        <v>27</v>
      </c>
      <c r="N6974" s="116"/>
      <c r="O6974" s="51"/>
    </row>
    <row r="6975">
      <c r="A6975" s="273"/>
      <c r="B6975" s="71"/>
      <c r="C6975" s="69" t="s">
        <v>28310</v>
      </c>
      <c r="D6975" s="71"/>
      <c r="E6975" s="68" t="s">
        <v>28311</v>
      </c>
      <c r="F6975" s="76">
        <v>42711.0</v>
      </c>
      <c r="G6975" s="68" t="s">
        <v>28278</v>
      </c>
      <c r="H6975" s="71"/>
      <c r="I6975" s="71"/>
      <c r="J6975" s="87" t="s">
        <v>28312</v>
      </c>
      <c r="K6975" s="76">
        <v>44218.0</v>
      </c>
      <c r="L6975" s="71"/>
      <c r="M6975" s="68" t="s">
        <v>27</v>
      </c>
      <c r="N6975" s="116"/>
      <c r="O6975" s="51"/>
    </row>
    <row r="6976">
      <c r="A6976" s="273"/>
      <c r="B6976" s="71"/>
      <c r="C6976" s="69" t="s">
        <v>28313</v>
      </c>
      <c r="D6976" s="71"/>
      <c r="E6976" s="68" t="s">
        <v>28314</v>
      </c>
      <c r="F6976" s="76">
        <v>42707.0</v>
      </c>
      <c r="G6976" s="68" t="s">
        <v>28315</v>
      </c>
      <c r="H6976" s="71"/>
      <c r="I6976" s="71"/>
      <c r="J6976" s="87" t="s">
        <v>28316</v>
      </c>
      <c r="K6976" s="76">
        <v>44218.0</v>
      </c>
      <c r="L6976" s="71"/>
      <c r="M6976" s="68" t="s">
        <v>27</v>
      </c>
      <c r="N6976" s="116"/>
      <c r="O6976" s="51"/>
    </row>
    <row r="6977">
      <c r="A6977" s="273"/>
      <c r="B6977" s="71"/>
      <c r="C6977" s="69" t="s">
        <v>28317</v>
      </c>
      <c r="D6977" s="71"/>
      <c r="E6977" s="68" t="s">
        <v>28318</v>
      </c>
      <c r="F6977" s="76">
        <v>42707.0</v>
      </c>
      <c r="G6977" s="68" t="s">
        <v>28315</v>
      </c>
      <c r="H6977" s="71"/>
      <c r="I6977" s="71"/>
      <c r="J6977" s="87" t="s">
        <v>28319</v>
      </c>
      <c r="K6977" s="76">
        <v>44218.0</v>
      </c>
      <c r="L6977" s="71"/>
      <c r="M6977" s="68" t="s">
        <v>27</v>
      </c>
      <c r="N6977" s="116"/>
      <c r="O6977" s="51"/>
    </row>
    <row r="6978">
      <c r="A6978" s="273"/>
      <c r="B6978" s="71"/>
      <c r="C6978" s="69" t="s">
        <v>28320</v>
      </c>
      <c r="D6978" s="71"/>
      <c r="E6978" s="68" t="s">
        <v>28321</v>
      </c>
      <c r="F6978" s="83">
        <v>42715.0</v>
      </c>
      <c r="G6978" s="68" t="s">
        <v>28322</v>
      </c>
      <c r="H6978" s="71"/>
      <c r="I6978" s="71"/>
      <c r="J6978" s="87" t="s">
        <v>28323</v>
      </c>
      <c r="K6978" s="76">
        <v>44218.0</v>
      </c>
      <c r="L6978" s="71"/>
      <c r="M6978" s="68" t="s">
        <v>27</v>
      </c>
      <c r="N6978" s="116"/>
      <c r="O6978" s="51"/>
    </row>
    <row r="6979">
      <c r="A6979" s="273"/>
      <c r="B6979" s="71"/>
      <c r="C6979" s="69" t="s">
        <v>28324</v>
      </c>
      <c r="D6979" s="71"/>
      <c r="E6979" s="68" t="s">
        <v>28325</v>
      </c>
      <c r="F6979" s="83">
        <v>42714.0</v>
      </c>
      <c r="G6979" s="68" t="s">
        <v>28326</v>
      </c>
      <c r="H6979" s="71"/>
      <c r="I6979" s="71"/>
      <c r="J6979" s="87" t="s">
        <v>28327</v>
      </c>
      <c r="K6979" s="76">
        <v>44218.0</v>
      </c>
      <c r="L6979" s="71"/>
      <c r="M6979" s="68" t="s">
        <v>27</v>
      </c>
      <c r="N6979" s="116"/>
      <c r="O6979" s="51"/>
    </row>
    <row r="6980">
      <c r="A6980" s="273"/>
      <c r="B6980" s="71"/>
      <c r="C6980" s="69" t="s">
        <v>28328</v>
      </c>
      <c r="D6980" s="71"/>
      <c r="E6980" s="68" t="s">
        <v>28329</v>
      </c>
      <c r="F6980" s="76">
        <v>42713.0</v>
      </c>
      <c r="G6980" s="68" t="s">
        <v>28330</v>
      </c>
      <c r="H6980" s="71"/>
      <c r="I6980" s="71"/>
      <c r="J6980" s="87" t="s">
        <v>28331</v>
      </c>
      <c r="K6980" s="76">
        <v>44218.0</v>
      </c>
      <c r="L6980" s="71"/>
      <c r="M6980" s="68" t="s">
        <v>27</v>
      </c>
      <c r="N6980" s="116"/>
      <c r="O6980" s="51"/>
    </row>
    <row r="6981">
      <c r="A6981" s="273"/>
      <c r="B6981" s="71"/>
      <c r="C6981" s="69" t="s">
        <v>28332</v>
      </c>
      <c r="D6981" s="71"/>
      <c r="E6981" s="68" t="s">
        <v>28333</v>
      </c>
      <c r="F6981" s="76">
        <v>42712.0</v>
      </c>
      <c r="G6981" s="68" t="s">
        <v>28334</v>
      </c>
      <c r="H6981" s="71"/>
      <c r="I6981" s="71"/>
      <c r="J6981" s="87" t="s">
        <v>28335</v>
      </c>
      <c r="K6981" s="76">
        <v>44218.0</v>
      </c>
      <c r="L6981" s="71"/>
      <c r="M6981" s="68" t="s">
        <v>27</v>
      </c>
      <c r="N6981" s="116"/>
      <c r="O6981" s="51"/>
    </row>
    <row r="6982">
      <c r="A6982" s="273"/>
      <c r="B6982" s="71"/>
      <c r="C6982" s="69" t="s">
        <v>28336</v>
      </c>
      <c r="D6982" s="71"/>
      <c r="E6982" s="68" t="s">
        <v>28337</v>
      </c>
      <c r="F6982" s="76">
        <v>42712.0</v>
      </c>
      <c r="G6982" s="68" t="s">
        <v>28334</v>
      </c>
      <c r="H6982" s="71"/>
      <c r="I6982" s="71"/>
      <c r="J6982" s="87" t="s">
        <v>28338</v>
      </c>
      <c r="K6982" s="76">
        <v>44218.0</v>
      </c>
      <c r="L6982" s="71"/>
      <c r="M6982" s="68" t="s">
        <v>27</v>
      </c>
      <c r="N6982" s="116"/>
      <c r="O6982" s="51"/>
    </row>
    <row r="6983">
      <c r="A6983" s="273"/>
      <c r="B6983" s="71"/>
      <c r="C6983" s="69" t="s">
        <v>28339</v>
      </c>
      <c r="D6983" s="71"/>
      <c r="E6983" s="68" t="s">
        <v>28340</v>
      </c>
      <c r="F6983" s="76">
        <v>42712.0</v>
      </c>
      <c r="G6983" s="68" t="s">
        <v>28341</v>
      </c>
      <c r="H6983" s="71"/>
      <c r="I6983" s="71"/>
      <c r="J6983" s="87" t="s">
        <v>28342</v>
      </c>
      <c r="K6983" s="76">
        <v>44218.0</v>
      </c>
      <c r="L6983" s="71"/>
      <c r="M6983" s="68" t="s">
        <v>27</v>
      </c>
      <c r="N6983" s="116"/>
      <c r="O6983" s="51"/>
    </row>
    <row r="6984">
      <c r="A6984" s="273"/>
      <c r="B6984" s="71"/>
      <c r="C6984" s="69" t="s">
        <v>28343</v>
      </c>
      <c r="D6984" s="71"/>
      <c r="E6984" s="68" t="s">
        <v>28344</v>
      </c>
      <c r="F6984" s="76">
        <v>42712.0</v>
      </c>
      <c r="G6984" s="68" t="s">
        <v>28345</v>
      </c>
      <c r="H6984" s="71"/>
      <c r="I6984" s="71"/>
      <c r="J6984" s="87" t="s">
        <v>28346</v>
      </c>
      <c r="K6984" s="76">
        <v>44218.0</v>
      </c>
      <c r="L6984" s="71"/>
      <c r="M6984" s="68" t="s">
        <v>27</v>
      </c>
      <c r="N6984" s="116"/>
      <c r="O6984" s="51"/>
    </row>
    <row r="6985">
      <c r="A6985" s="273"/>
      <c r="B6985" s="71"/>
      <c r="C6985" s="69" t="s">
        <v>28347</v>
      </c>
      <c r="D6985" s="71"/>
      <c r="E6985" s="68" t="s">
        <v>28348</v>
      </c>
      <c r="F6985" s="76">
        <v>42711.0</v>
      </c>
      <c r="G6985" s="68" t="s">
        <v>28349</v>
      </c>
      <c r="H6985" s="71"/>
      <c r="I6985" s="71"/>
      <c r="J6985" s="68" t="s">
        <v>28350</v>
      </c>
      <c r="K6985" s="76">
        <v>44218.0</v>
      </c>
      <c r="L6985" s="71"/>
      <c r="M6985" s="68" t="s">
        <v>27</v>
      </c>
      <c r="N6985" s="87" t="s">
        <v>28351</v>
      </c>
      <c r="O6985" s="51"/>
    </row>
    <row r="6986">
      <c r="A6986" s="273"/>
      <c r="B6986" s="71"/>
      <c r="C6986" s="69" t="s">
        <v>28352</v>
      </c>
      <c r="D6986" s="71"/>
      <c r="E6986" s="68" t="s">
        <v>28353</v>
      </c>
      <c r="F6986" s="76">
        <v>42710.0</v>
      </c>
      <c r="G6986" s="68" t="s">
        <v>28354</v>
      </c>
      <c r="H6986" s="71"/>
      <c r="I6986" s="71"/>
      <c r="J6986" s="87" t="s">
        <v>28355</v>
      </c>
      <c r="K6986" s="76">
        <v>44218.0</v>
      </c>
      <c r="L6986" s="71"/>
      <c r="M6986" s="68" t="s">
        <v>27</v>
      </c>
      <c r="N6986" s="116"/>
      <c r="O6986" s="51"/>
    </row>
    <row r="6987">
      <c r="A6987" s="273"/>
      <c r="B6987" s="71"/>
      <c r="C6987" s="69" t="s">
        <v>28356</v>
      </c>
      <c r="D6987" s="71"/>
      <c r="E6987" s="68" t="s">
        <v>28357</v>
      </c>
      <c r="F6987" s="76">
        <v>42708.0</v>
      </c>
      <c r="G6987" s="68" t="s">
        <v>28260</v>
      </c>
      <c r="H6987" s="71"/>
      <c r="I6987" s="71"/>
      <c r="J6987" s="87" t="s">
        <v>28358</v>
      </c>
      <c r="K6987" s="76">
        <v>44218.0</v>
      </c>
      <c r="L6987" s="71"/>
      <c r="M6987" s="68" t="s">
        <v>27</v>
      </c>
      <c r="N6987" s="116"/>
      <c r="O6987" s="51"/>
    </row>
    <row r="6988">
      <c r="A6988" s="273"/>
      <c r="B6988" s="71"/>
      <c r="C6988" s="69" t="s">
        <v>28359</v>
      </c>
      <c r="D6988" s="71"/>
      <c r="E6988" s="68" t="s">
        <v>28360</v>
      </c>
      <c r="F6988" s="76">
        <v>42708.0</v>
      </c>
      <c r="G6988" s="68" t="s">
        <v>28361</v>
      </c>
      <c r="H6988" s="71"/>
      <c r="I6988" s="71"/>
      <c r="J6988" s="87" t="s">
        <v>28362</v>
      </c>
      <c r="K6988" s="76">
        <v>44218.0</v>
      </c>
      <c r="L6988" s="71"/>
      <c r="M6988" s="68" t="s">
        <v>27</v>
      </c>
      <c r="N6988" s="116"/>
      <c r="O6988" s="51"/>
    </row>
    <row r="6989">
      <c r="A6989" s="273"/>
      <c r="B6989" s="71"/>
      <c r="C6989" s="69" t="s">
        <v>28363</v>
      </c>
      <c r="D6989" s="71"/>
      <c r="E6989" s="68" t="s">
        <v>28364</v>
      </c>
      <c r="F6989" s="76">
        <v>42708.0</v>
      </c>
      <c r="G6989" s="68" t="s">
        <v>28365</v>
      </c>
      <c r="H6989" s="71"/>
      <c r="I6989" s="71"/>
      <c r="J6989" s="68" t="s">
        <v>28366</v>
      </c>
      <c r="K6989" s="76">
        <v>44218.0</v>
      </c>
      <c r="L6989" s="71"/>
      <c r="M6989" s="68" t="s">
        <v>27</v>
      </c>
      <c r="N6989" s="116"/>
      <c r="O6989" s="51"/>
    </row>
    <row r="6990">
      <c r="A6990" s="273"/>
      <c r="B6990" s="71"/>
      <c r="C6990" s="69" t="s">
        <v>28367</v>
      </c>
      <c r="D6990" s="71"/>
      <c r="E6990" s="68" t="s">
        <v>28368</v>
      </c>
      <c r="F6990" s="76">
        <v>42708.0</v>
      </c>
      <c r="G6990" s="68" t="s">
        <v>28369</v>
      </c>
      <c r="H6990" s="71"/>
      <c r="I6990" s="71"/>
      <c r="J6990" s="87" t="s">
        <v>28370</v>
      </c>
      <c r="K6990" s="76">
        <v>44218.0</v>
      </c>
      <c r="L6990" s="71"/>
      <c r="M6990" s="68" t="s">
        <v>27</v>
      </c>
      <c r="N6990" s="116"/>
      <c r="O6990" s="51"/>
    </row>
    <row r="6991">
      <c r="A6991" s="273"/>
      <c r="B6991" s="71"/>
      <c r="C6991" s="69" t="s">
        <v>28371</v>
      </c>
      <c r="D6991" s="71"/>
      <c r="E6991" s="68" t="s">
        <v>28372</v>
      </c>
      <c r="F6991" s="76">
        <v>42708.0</v>
      </c>
      <c r="G6991" s="68" t="s">
        <v>28365</v>
      </c>
      <c r="H6991" s="71"/>
      <c r="I6991" s="71"/>
      <c r="J6991" s="87" t="s">
        <v>28373</v>
      </c>
      <c r="K6991" s="76">
        <v>44218.0</v>
      </c>
      <c r="L6991" s="71"/>
      <c r="M6991" s="68" t="s">
        <v>27</v>
      </c>
      <c r="N6991" s="116"/>
      <c r="O6991" s="51"/>
    </row>
    <row r="6992">
      <c r="A6992" s="273"/>
      <c r="B6992" s="71"/>
      <c r="C6992" s="69" t="s">
        <v>28374</v>
      </c>
      <c r="D6992" s="71"/>
      <c r="E6992" s="68" t="s">
        <v>28375</v>
      </c>
      <c r="F6992" s="76">
        <v>42708.0</v>
      </c>
      <c r="G6992" s="68" t="s">
        <v>28365</v>
      </c>
      <c r="H6992" s="71"/>
      <c r="I6992" s="71"/>
      <c r="J6992" s="68" t="s">
        <v>28376</v>
      </c>
      <c r="K6992" s="76">
        <v>44218.0</v>
      </c>
      <c r="L6992" s="71"/>
      <c r="M6992" s="68" t="s">
        <v>27</v>
      </c>
      <c r="N6992" s="116"/>
      <c r="O6992" s="51"/>
    </row>
    <row r="6993">
      <c r="A6993" s="273"/>
      <c r="B6993" s="71"/>
      <c r="C6993" s="69" t="s">
        <v>28377</v>
      </c>
      <c r="D6993" s="71"/>
      <c r="E6993" s="68" t="s">
        <v>28378</v>
      </c>
      <c r="F6993" s="76">
        <v>42708.0</v>
      </c>
      <c r="G6993" s="68" t="s">
        <v>28365</v>
      </c>
      <c r="H6993" s="71"/>
      <c r="I6993" s="71"/>
      <c r="J6993" s="87" t="s">
        <v>28379</v>
      </c>
      <c r="K6993" s="76">
        <v>44218.0</v>
      </c>
      <c r="L6993" s="71"/>
      <c r="M6993" s="68" t="s">
        <v>27</v>
      </c>
      <c r="N6993" s="116"/>
      <c r="O6993" s="51"/>
    </row>
    <row r="6994">
      <c r="A6994" s="273"/>
      <c r="B6994" s="71"/>
      <c r="C6994" s="69" t="s">
        <v>28380</v>
      </c>
      <c r="D6994" s="71"/>
      <c r="E6994" s="68" t="s">
        <v>28381</v>
      </c>
      <c r="F6994" s="76">
        <v>42705.0</v>
      </c>
      <c r="G6994" s="68" t="s">
        <v>28382</v>
      </c>
      <c r="H6994" s="71"/>
      <c r="I6994" s="71"/>
      <c r="J6994" s="87" t="s">
        <v>28383</v>
      </c>
      <c r="K6994" s="76">
        <v>44218.0</v>
      </c>
      <c r="L6994" s="71"/>
      <c r="M6994" s="68" t="s">
        <v>27</v>
      </c>
      <c r="N6994" s="116"/>
      <c r="O6994" s="51"/>
    </row>
    <row r="6995">
      <c r="A6995" s="273"/>
      <c r="B6995" s="71"/>
      <c r="C6995" s="69" t="s">
        <v>28384</v>
      </c>
      <c r="D6995" s="71"/>
      <c r="E6995" s="68" t="s">
        <v>28385</v>
      </c>
      <c r="F6995" s="76">
        <v>42706.0</v>
      </c>
      <c r="G6995" s="68" t="s">
        <v>28386</v>
      </c>
      <c r="H6995" s="71"/>
      <c r="I6995" s="71"/>
      <c r="J6995" s="87" t="s">
        <v>28387</v>
      </c>
      <c r="K6995" s="76">
        <v>44218.0</v>
      </c>
      <c r="L6995" s="71"/>
      <c r="M6995" s="68" t="s">
        <v>27</v>
      </c>
      <c r="N6995" s="116"/>
      <c r="O6995" s="51"/>
    </row>
    <row r="6996">
      <c r="A6996" s="273"/>
      <c r="B6996" s="71"/>
      <c r="C6996" s="69" t="s">
        <v>28388</v>
      </c>
      <c r="D6996" s="71"/>
      <c r="E6996" s="68" t="s">
        <v>28389</v>
      </c>
      <c r="F6996" s="76">
        <v>42706.0</v>
      </c>
      <c r="G6996" s="68" t="s">
        <v>28386</v>
      </c>
      <c r="H6996" s="71"/>
      <c r="I6996" s="71"/>
      <c r="J6996" s="87" t="s">
        <v>28390</v>
      </c>
      <c r="K6996" s="76">
        <v>44218.0</v>
      </c>
      <c r="L6996" s="71"/>
      <c r="M6996" s="68" t="s">
        <v>27</v>
      </c>
      <c r="N6996" s="116"/>
      <c r="O6996" s="51"/>
    </row>
    <row r="6997">
      <c r="A6997" s="273"/>
      <c r="B6997" s="71"/>
      <c r="C6997" s="69" t="s">
        <v>28391</v>
      </c>
      <c r="D6997" s="71"/>
      <c r="E6997" s="68" t="s">
        <v>28392</v>
      </c>
      <c r="F6997" s="76">
        <v>42713.0</v>
      </c>
      <c r="G6997" s="68" t="s">
        <v>28393</v>
      </c>
      <c r="H6997" s="71"/>
      <c r="I6997" s="71"/>
      <c r="J6997" s="87" t="s">
        <v>28394</v>
      </c>
      <c r="K6997" s="76">
        <v>44218.0</v>
      </c>
      <c r="L6997" s="71"/>
      <c r="M6997" s="68" t="s">
        <v>27</v>
      </c>
      <c r="N6997" s="116"/>
      <c r="O6997" s="51"/>
    </row>
    <row r="6998">
      <c r="A6998" s="273"/>
      <c r="B6998" s="71"/>
      <c r="C6998" s="69" t="s">
        <v>28395</v>
      </c>
      <c r="D6998" s="71"/>
      <c r="E6998" s="68" t="s">
        <v>28396</v>
      </c>
      <c r="F6998" s="76">
        <v>42710.0</v>
      </c>
      <c r="G6998" s="68" t="s">
        <v>28256</v>
      </c>
      <c r="H6998" s="71"/>
      <c r="I6998" s="71"/>
      <c r="J6998" s="87" t="s">
        <v>28397</v>
      </c>
      <c r="K6998" s="76">
        <v>44218.0</v>
      </c>
      <c r="L6998" s="71"/>
      <c r="M6998" s="68" t="s">
        <v>27</v>
      </c>
      <c r="N6998" s="116"/>
      <c r="O6998" s="51"/>
    </row>
    <row r="6999">
      <c r="A6999" s="273"/>
      <c r="B6999" s="71"/>
      <c r="C6999" s="69" t="s">
        <v>28398</v>
      </c>
      <c r="D6999" s="71"/>
      <c r="E6999" s="68" t="s">
        <v>28399</v>
      </c>
      <c r="F6999" s="76">
        <v>42710.0</v>
      </c>
      <c r="G6999" s="68" t="s">
        <v>28256</v>
      </c>
      <c r="H6999" s="71"/>
      <c r="I6999" s="71"/>
      <c r="J6999" s="87" t="s">
        <v>28400</v>
      </c>
      <c r="K6999" s="76">
        <v>44218.0</v>
      </c>
      <c r="L6999" s="71"/>
      <c r="M6999" s="68" t="s">
        <v>27</v>
      </c>
      <c r="N6999" s="116"/>
      <c r="O6999" s="51"/>
    </row>
    <row r="7000">
      <c r="A7000" s="273"/>
      <c r="B7000" s="71"/>
      <c r="C7000" s="69" t="s">
        <v>28401</v>
      </c>
      <c r="D7000" s="71"/>
      <c r="E7000" s="68" t="s">
        <v>28402</v>
      </c>
      <c r="F7000" s="76">
        <v>42710.0</v>
      </c>
      <c r="G7000" s="68" t="s">
        <v>28403</v>
      </c>
      <c r="H7000" s="71"/>
      <c r="I7000" s="71"/>
      <c r="J7000" s="87" t="s">
        <v>28404</v>
      </c>
      <c r="K7000" s="76">
        <v>44218.0</v>
      </c>
      <c r="L7000" s="71"/>
      <c r="M7000" s="68" t="s">
        <v>27</v>
      </c>
      <c r="N7000" s="116"/>
      <c r="O7000" s="51"/>
    </row>
    <row r="7001">
      <c r="A7001" s="273"/>
      <c r="B7001" s="71"/>
      <c r="C7001" s="69" t="s">
        <v>28405</v>
      </c>
      <c r="D7001" s="71"/>
      <c r="E7001" s="68" t="s">
        <v>28406</v>
      </c>
      <c r="F7001" s="76">
        <v>42708.0</v>
      </c>
      <c r="G7001" s="68" t="s">
        <v>28407</v>
      </c>
      <c r="H7001" s="71"/>
      <c r="I7001" s="71"/>
      <c r="J7001" s="87" t="s">
        <v>28408</v>
      </c>
      <c r="K7001" s="76">
        <v>44218.0</v>
      </c>
      <c r="L7001" s="71"/>
      <c r="M7001" s="68" t="s">
        <v>27</v>
      </c>
      <c r="N7001" s="116"/>
      <c r="O7001" s="51"/>
    </row>
    <row r="7002">
      <c r="A7002" s="273"/>
      <c r="B7002" s="71"/>
      <c r="C7002" s="69" t="s">
        <v>28409</v>
      </c>
      <c r="D7002" s="71"/>
      <c r="E7002" s="68" t="s">
        <v>28410</v>
      </c>
      <c r="F7002" s="76">
        <v>42738.0</v>
      </c>
      <c r="G7002" s="68" t="s">
        <v>28334</v>
      </c>
      <c r="H7002" s="71"/>
      <c r="I7002" s="71"/>
      <c r="J7002" s="87" t="s">
        <v>28411</v>
      </c>
      <c r="K7002" s="76">
        <v>44218.0</v>
      </c>
      <c r="L7002" s="71"/>
      <c r="M7002" s="68" t="s">
        <v>27</v>
      </c>
      <c r="N7002" s="116"/>
      <c r="O7002" s="51"/>
    </row>
    <row r="7003">
      <c r="A7003" s="273"/>
      <c r="B7003" s="71"/>
      <c r="C7003" s="69" t="s">
        <v>28412</v>
      </c>
      <c r="D7003" s="71"/>
      <c r="E7003" s="68" t="s">
        <v>28413</v>
      </c>
      <c r="F7003" s="76">
        <v>42736.0</v>
      </c>
      <c r="G7003" s="68" t="s">
        <v>28334</v>
      </c>
      <c r="H7003" s="71"/>
      <c r="I7003" s="71"/>
      <c r="J7003" s="87" t="s">
        <v>28414</v>
      </c>
      <c r="K7003" s="76">
        <v>44218.0</v>
      </c>
      <c r="L7003" s="71"/>
      <c r="M7003" s="68" t="s">
        <v>27</v>
      </c>
      <c r="N7003" s="116"/>
      <c r="O7003" s="51"/>
    </row>
    <row r="7004">
      <c r="A7004" s="273"/>
      <c r="B7004" s="71"/>
      <c r="C7004" s="69" t="s">
        <v>28415</v>
      </c>
      <c r="D7004" s="71"/>
      <c r="E7004" s="68" t="s">
        <v>28416</v>
      </c>
      <c r="F7004" s="76">
        <v>42742.0</v>
      </c>
      <c r="G7004" s="68" t="s">
        <v>28417</v>
      </c>
      <c r="H7004" s="71"/>
      <c r="I7004" s="71"/>
      <c r="J7004" s="87" t="s">
        <v>28418</v>
      </c>
      <c r="K7004" s="76">
        <v>44218.0</v>
      </c>
      <c r="L7004" s="71"/>
      <c r="M7004" s="68" t="s">
        <v>27</v>
      </c>
      <c r="N7004" s="116"/>
      <c r="O7004" s="51"/>
    </row>
    <row r="7005">
      <c r="A7005" s="273"/>
      <c r="B7005" s="71"/>
      <c r="C7005" s="69" t="s">
        <v>28419</v>
      </c>
      <c r="D7005" s="71"/>
      <c r="E7005" s="68" t="s">
        <v>28420</v>
      </c>
      <c r="F7005" s="76">
        <v>42742.0</v>
      </c>
      <c r="G7005" s="68" t="s">
        <v>28421</v>
      </c>
      <c r="H7005" s="71"/>
      <c r="I7005" s="71"/>
      <c r="J7005" s="87" t="s">
        <v>28422</v>
      </c>
      <c r="K7005" s="76">
        <v>44218.0</v>
      </c>
      <c r="L7005" s="71"/>
      <c r="M7005" s="68" t="s">
        <v>27</v>
      </c>
      <c r="N7005" s="116"/>
      <c r="O7005" s="51"/>
    </row>
    <row r="7006">
      <c r="A7006" s="273"/>
      <c r="B7006" s="71"/>
      <c r="C7006" s="69" t="s">
        <v>28423</v>
      </c>
      <c r="D7006" s="71"/>
      <c r="E7006" s="68" t="s">
        <v>28424</v>
      </c>
      <c r="F7006" s="76">
        <v>42740.0</v>
      </c>
      <c r="G7006" s="68" t="s">
        <v>28425</v>
      </c>
      <c r="H7006" s="71"/>
      <c r="I7006" s="71"/>
      <c r="J7006" s="87" t="s">
        <v>28426</v>
      </c>
      <c r="K7006" s="76">
        <v>44218.0</v>
      </c>
      <c r="L7006" s="71"/>
      <c r="M7006" s="68" t="s">
        <v>27</v>
      </c>
      <c r="N7006" s="116"/>
      <c r="O7006" s="51"/>
    </row>
    <row r="7007">
      <c r="A7007" s="273"/>
      <c r="B7007" s="71"/>
      <c r="C7007" s="69" t="s">
        <v>28427</v>
      </c>
      <c r="D7007" s="71"/>
      <c r="E7007" s="68" t="s">
        <v>28428</v>
      </c>
      <c r="F7007" s="76">
        <v>42740.0</v>
      </c>
      <c r="G7007" s="68" t="s">
        <v>28429</v>
      </c>
      <c r="H7007" s="71"/>
      <c r="I7007" s="71"/>
      <c r="J7007" s="87" t="s">
        <v>28430</v>
      </c>
      <c r="K7007" s="76">
        <v>44218.0</v>
      </c>
      <c r="L7007" s="71"/>
      <c r="M7007" s="68" t="s">
        <v>27</v>
      </c>
      <c r="N7007" s="116"/>
      <c r="O7007" s="51"/>
    </row>
    <row r="7008">
      <c r="A7008" s="273"/>
      <c r="B7008" s="71"/>
      <c r="C7008" s="69" t="s">
        <v>28431</v>
      </c>
      <c r="D7008" s="71"/>
      <c r="E7008" s="68" t="s">
        <v>28432</v>
      </c>
      <c r="F7008" s="76">
        <v>42739.0</v>
      </c>
      <c r="G7008" s="68" t="s">
        <v>28433</v>
      </c>
      <c r="H7008" s="71"/>
      <c r="I7008" s="71"/>
      <c r="J7008" s="68" t="s">
        <v>28434</v>
      </c>
      <c r="K7008" s="76">
        <v>44218.0</v>
      </c>
      <c r="L7008" s="71"/>
      <c r="M7008" s="68" t="s">
        <v>27</v>
      </c>
      <c r="N7008" s="116"/>
      <c r="O7008" s="51"/>
    </row>
    <row r="7009">
      <c r="A7009" s="273"/>
      <c r="B7009" s="71"/>
      <c r="C7009" s="69" t="s">
        <v>28435</v>
      </c>
      <c r="D7009" s="71"/>
      <c r="E7009" s="68" t="s">
        <v>28436</v>
      </c>
      <c r="F7009" s="76">
        <v>42743.0</v>
      </c>
      <c r="G7009" s="68" t="s">
        <v>28437</v>
      </c>
      <c r="H7009" s="71"/>
      <c r="I7009" s="71"/>
      <c r="J7009" s="87" t="s">
        <v>28438</v>
      </c>
      <c r="K7009" s="76">
        <v>44218.0</v>
      </c>
      <c r="L7009" s="71"/>
      <c r="M7009" s="68" t="s">
        <v>27</v>
      </c>
      <c r="N7009" s="116"/>
      <c r="O7009" s="51"/>
    </row>
    <row r="7010">
      <c r="A7010" s="273"/>
      <c r="B7010" s="71"/>
      <c r="C7010" s="69" t="s">
        <v>28439</v>
      </c>
      <c r="D7010" s="71"/>
      <c r="E7010" s="68" t="s">
        <v>28440</v>
      </c>
      <c r="F7010" s="76">
        <v>42743.0</v>
      </c>
      <c r="G7010" s="68" t="s">
        <v>28437</v>
      </c>
      <c r="H7010" s="71"/>
      <c r="I7010" s="71"/>
      <c r="J7010" s="87" t="s">
        <v>28441</v>
      </c>
      <c r="K7010" s="76">
        <v>44218.0</v>
      </c>
      <c r="L7010" s="71"/>
      <c r="M7010" s="68" t="s">
        <v>27</v>
      </c>
      <c r="N7010" s="116"/>
      <c r="O7010" s="51"/>
    </row>
    <row r="7011">
      <c r="A7011" s="273"/>
      <c r="B7011" s="71"/>
      <c r="C7011" s="69" t="s">
        <v>28442</v>
      </c>
      <c r="D7011" s="71"/>
      <c r="E7011" s="68" t="s">
        <v>28443</v>
      </c>
      <c r="F7011" s="76">
        <v>42738.0</v>
      </c>
      <c r="G7011" s="68" t="s">
        <v>28260</v>
      </c>
      <c r="H7011" s="71"/>
      <c r="I7011" s="71"/>
      <c r="J7011" s="87" t="s">
        <v>28444</v>
      </c>
      <c r="K7011" s="76">
        <v>44218.0</v>
      </c>
      <c r="L7011" s="71"/>
      <c r="M7011" s="68" t="s">
        <v>27</v>
      </c>
      <c r="N7011" s="116"/>
      <c r="O7011" s="51"/>
    </row>
    <row r="7012">
      <c r="A7012" s="273"/>
      <c r="B7012" s="71"/>
      <c r="C7012" s="69" t="s">
        <v>28445</v>
      </c>
      <c r="D7012" s="71"/>
      <c r="E7012" s="68" t="s">
        <v>28446</v>
      </c>
      <c r="F7012" s="76">
        <v>42747.0</v>
      </c>
      <c r="G7012" s="68" t="s">
        <v>28447</v>
      </c>
      <c r="H7012" s="71"/>
      <c r="I7012" s="71"/>
      <c r="J7012" s="87" t="s">
        <v>28448</v>
      </c>
      <c r="K7012" s="76">
        <v>44218.0</v>
      </c>
      <c r="L7012" s="71"/>
      <c r="M7012" s="68" t="s">
        <v>27</v>
      </c>
      <c r="N7012" s="116"/>
      <c r="O7012" s="51"/>
    </row>
    <row r="7013">
      <c r="A7013" s="273"/>
      <c r="B7013" s="71"/>
      <c r="C7013" s="69" t="s">
        <v>28449</v>
      </c>
      <c r="D7013" s="71"/>
      <c r="E7013" s="68" t="s">
        <v>28450</v>
      </c>
      <c r="F7013" s="76">
        <v>42747.0</v>
      </c>
      <c r="G7013" s="68" t="s">
        <v>28447</v>
      </c>
      <c r="H7013" s="71"/>
      <c r="I7013" s="71"/>
      <c r="J7013" s="87" t="s">
        <v>28451</v>
      </c>
      <c r="K7013" s="76">
        <v>44218.0</v>
      </c>
      <c r="L7013" s="71"/>
      <c r="M7013" s="68" t="s">
        <v>27</v>
      </c>
      <c r="N7013" s="116"/>
      <c r="O7013" s="51"/>
    </row>
    <row r="7014">
      <c r="A7014" s="273"/>
      <c r="B7014" s="71"/>
      <c r="C7014" s="69" t="s">
        <v>28452</v>
      </c>
      <c r="D7014" s="71"/>
      <c r="E7014" s="68" t="s">
        <v>28453</v>
      </c>
      <c r="F7014" s="76">
        <v>42746.0</v>
      </c>
      <c r="G7014" s="68" t="s">
        <v>28454</v>
      </c>
      <c r="H7014" s="71"/>
      <c r="I7014" s="71"/>
      <c r="J7014" s="87" t="s">
        <v>28455</v>
      </c>
      <c r="K7014" s="76">
        <v>44218.0</v>
      </c>
      <c r="L7014" s="71"/>
      <c r="M7014" s="68" t="s">
        <v>27</v>
      </c>
      <c r="N7014" s="116"/>
      <c r="O7014" s="51"/>
    </row>
    <row r="7015">
      <c r="A7015" s="273"/>
      <c r="B7015" s="71"/>
      <c r="C7015" s="69" t="s">
        <v>28456</v>
      </c>
      <c r="D7015" s="71"/>
      <c r="E7015" s="68" t="s">
        <v>28457</v>
      </c>
      <c r="F7015" s="76">
        <v>42744.0</v>
      </c>
      <c r="G7015" s="68" t="s">
        <v>28458</v>
      </c>
      <c r="H7015" s="71"/>
      <c r="I7015" s="71"/>
      <c r="J7015" s="87" t="s">
        <v>28459</v>
      </c>
      <c r="K7015" s="76">
        <v>44218.0</v>
      </c>
      <c r="L7015" s="71"/>
      <c r="M7015" s="68" t="s">
        <v>27</v>
      </c>
      <c r="N7015" s="116"/>
      <c r="O7015" s="51"/>
    </row>
    <row r="7016">
      <c r="A7016" s="273"/>
      <c r="B7016" s="71"/>
      <c r="C7016" s="69" t="s">
        <v>28460</v>
      </c>
      <c r="D7016" s="71"/>
      <c r="E7016" s="68" t="s">
        <v>28461</v>
      </c>
      <c r="F7016" s="76">
        <v>42743.0</v>
      </c>
      <c r="G7016" s="68" t="s">
        <v>28462</v>
      </c>
      <c r="H7016" s="71"/>
      <c r="I7016" s="71"/>
      <c r="J7016" s="87" t="s">
        <v>28463</v>
      </c>
      <c r="K7016" s="76">
        <v>44218.0</v>
      </c>
      <c r="L7016" s="71"/>
      <c r="M7016" s="68" t="s">
        <v>27</v>
      </c>
      <c r="N7016" s="116"/>
      <c r="O7016" s="51"/>
    </row>
    <row r="7017">
      <c r="A7017" s="273"/>
      <c r="B7017" s="71"/>
      <c r="C7017" s="69" t="s">
        <v>28464</v>
      </c>
      <c r="D7017" s="71"/>
      <c r="E7017" s="68" t="s">
        <v>28465</v>
      </c>
      <c r="F7017" s="76">
        <v>42739.0</v>
      </c>
      <c r="G7017" s="68" t="s">
        <v>28466</v>
      </c>
      <c r="H7017" s="71"/>
      <c r="I7017" s="71"/>
      <c r="J7017" s="87" t="s">
        <v>28467</v>
      </c>
      <c r="K7017" s="76">
        <v>44218.0</v>
      </c>
      <c r="L7017" s="71"/>
      <c r="M7017" s="68" t="s">
        <v>27</v>
      </c>
      <c r="N7017" s="116"/>
      <c r="O7017" s="51"/>
    </row>
    <row r="7018">
      <c r="A7018" s="273"/>
      <c r="B7018" s="71"/>
      <c r="C7018" s="69" t="s">
        <v>28468</v>
      </c>
      <c r="D7018" s="71"/>
      <c r="E7018" s="68" t="s">
        <v>28469</v>
      </c>
      <c r="F7018" s="76">
        <v>42739.0</v>
      </c>
      <c r="G7018" s="68" t="s">
        <v>28466</v>
      </c>
      <c r="H7018" s="71"/>
      <c r="I7018" s="71"/>
      <c r="J7018" s="87" t="s">
        <v>28470</v>
      </c>
      <c r="K7018" s="76">
        <v>44218.0</v>
      </c>
      <c r="L7018" s="71"/>
      <c r="M7018" s="68" t="s">
        <v>27</v>
      </c>
      <c r="N7018" s="116"/>
      <c r="O7018" s="51"/>
    </row>
    <row r="7019">
      <c r="A7019" s="273"/>
      <c r="B7019" s="71"/>
      <c r="C7019" s="69" t="s">
        <v>28471</v>
      </c>
      <c r="D7019" s="71"/>
      <c r="E7019" s="68" t="s">
        <v>28472</v>
      </c>
      <c r="F7019" s="76">
        <v>42739.0</v>
      </c>
      <c r="G7019" s="68" t="s">
        <v>28466</v>
      </c>
      <c r="H7019" s="71"/>
      <c r="I7019" s="71"/>
      <c r="J7019" s="87" t="s">
        <v>28473</v>
      </c>
      <c r="K7019" s="76">
        <v>44218.0</v>
      </c>
      <c r="L7019" s="71"/>
      <c r="M7019" s="68" t="s">
        <v>27</v>
      </c>
      <c r="N7019" s="116"/>
      <c r="O7019" s="51"/>
    </row>
    <row r="7020">
      <c r="A7020" s="273"/>
      <c r="B7020" s="71"/>
      <c r="C7020" s="69" t="s">
        <v>28474</v>
      </c>
      <c r="D7020" s="71"/>
      <c r="E7020" s="68" t="s">
        <v>28475</v>
      </c>
      <c r="F7020" s="76">
        <v>42739.0</v>
      </c>
      <c r="G7020" s="68" t="s">
        <v>28466</v>
      </c>
      <c r="H7020" s="71"/>
      <c r="I7020" s="71"/>
      <c r="J7020" s="87" t="s">
        <v>28476</v>
      </c>
      <c r="K7020" s="76">
        <v>44218.0</v>
      </c>
      <c r="L7020" s="71"/>
      <c r="M7020" s="68" t="s">
        <v>27</v>
      </c>
      <c r="N7020" s="116"/>
      <c r="O7020" s="51"/>
    </row>
    <row r="7021">
      <c r="A7021" s="273"/>
      <c r="B7021" s="71"/>
      <c r="C7021" s="69" t="s">
        <v>28477</v>
      </c>
      <c r="D7021" s="71"/>
      <c r="E7021" s="68" t="s">
        <v>28478</v>
      </c>
      <c r="F7021" s="76">
        <v>42748.0</v>
      </c>
      <c r="G7021" s="68" t="s">
        <v>28230</v>
      </c>
      <c r="H7021" s="71"/>
      <c r="I7021" s="71"/>
      <c r="J7021" s="87" t="s">
        <v>28479</v>
      </c>
      <c r="K7021" s="76">
        <v>44218.0</v>
      </c>
      <c r="L7021" s="71"/>
      <c r="M7021" s="68" t="s">
        <v>27</v>
      </c>
      <c r="N7021" s="116"/>
      <c r="O7021" s="51"/>
    </row>
    <row r="7022">
      <c r="A7022" s="273"/>
      <c r="B7022" s="71"/>
      <c r="C7022" s="69" t="s">
        <v>28480</v>
      </c>
      <c r="D7022" s="71"/>
      <c r="E7022" s="68" t="s">
        <v>28481</v>
      </c>
      <c r="F7022" s="76">
        <v>42748.0</v>
      </c>
      <c r="G7022" s="68" t="s">
        <v>28230</v>
      </c>
      <c r="H7022" s="71"/>
      <c r="I7022" s="71"/>
      <c r="J7022" s="87" t="s">
        <v>28482</v>
      </c>
      <c r="K7022" s="76">
        <v>44218.0</v>
      </c>
      <c r="L7022" s="71"/>
      <c r="M7022" s="68" t="s">
        <v>27</v>
      </c>
      <c r="N7022" s="116"/>
      <c r="O7022" s="51"/>
    </row>
    <row r="7023">
      <c r="A7023" s="273"/>
      <c r="B7023" s="71"/>
      <c r="C7023" s="69" t="s">
        <v>28483</v>
      </c>
      <c r="D7023" s="71"/>
      <c r="E7023" s="68" t="s">
        <v>28484</v>
      </c>
      <c r="F7023" s="76">
        <v>42763.0</v>
      </c>
      <c r="G7023" s="68" t="s">
        <v>28458</v>
      </c>
      <c r="H7023" s="71"/>
      <c r="I7023" s="71"/>
      <c r="J7023" s="87" t="s">
        <v>28485</v>
      </c>
      <c r="K7023" s="76">
        <v>44218.0</v>
      </c>
      <c r="L7023" s="71"/>
      <c r="M7023" s="68" t="s">
        <v>27</v>
      </c>
      <c r="N7023" s="116"/>
      <c r="O7023" s="51"/>
    </row>
    <row r="7024">
      <c r="A7024" s="273"/>
      <c r="B7024" s="71"/>
      <c r="C7024" s="69" t="s">
        <v>28486</v>
      </c>
      <c r="D7024" s="71"/>
      <c r="E7024" s="68" t="s">
        <v>28487</v>
      </c>
      <c r="F7024" s="76">
        <v>42762.0</v>
      </c>
      <c r="G7024" s="68" t="s">
        <v>28488</v>
      </c>
      <c r="H7024" s="71"/>
      <c r="I7024" s="71"/>
      <c r="J7024" s="87" t="s">
        <v>28489</v>
      </c>
      <c r="K7024" s="76">
        <v>44218.0</v>
      </c>
      <c r="L7024" s="71"/>
      <c r="M7024" s="68" t="s">
        <v>27</v>
      </c>
      <c r="N7024" s="116"/>
      <c r="O7024" s="51"/>
    </row>
    <row r="7025">
      <c r="A7025" s="273"/>
      <c r="B7025" s="71"/>
      <c r="C7025" s="69" t="s">
        <v>28490</v>
      </c>
      <c r="D7025" s="71"/>
      <c r="E7025" s="68" t="s">
        <v>28491</v>
      </c>
      <c r="F7025" s="76">
        <v>42762.0</v>
      </c>
      <c r="G7025" s="68" t="s">
        <v>28492</v>
      </c>
      <c r="H7025" s="71"/>
      <c r="I7025" s="71"/>
      <c r="J7025" s="87" t="s">
        <v>28493</v>
      </c>
      <c r="K7025" s="76">
        <v>44218.0</v>
      </c>
      <c r="L7025" s="71"/>
      <c r="M7025" s="68" t="s">
        <v>27</v>
      </c>
      <c r="N7025" s="116"/>
      <c r="O7025" s="51"/>
    </row>
    <row r="7026">
      <c r="A7026" s="273"/>
      <c r="B7026" s="71"/>
      <c r="C7026" s="69" t="s">
        <v>28494</v>
      </c>
      <c r="D7026" s="71"/>
      <c r="E7026" s="68" t="s">
        <v>28495</v>
      </c>
      <c r="F7026" s="76">
        <v>42762.0</v>
      </c>
      <c r="G7026" s="68" t="s">
        <v>28492</v>
      </c>
      <c r="H7026" s="71"/>
      <c r="I7026" s="71"/>
      <c r="J7026" s="87" t="s">
        <v>28496</v>
      </c>
      <c r="K7026" s="76">
        <v>44218.0</v>
      </c>
      <c r="L7026" s="71"/>
      <c r="M7026" s="68" t="s">
        <v>27</v>
      </c>
      <c r="N7026" s="116"/>
      <c r="O7026" s="51"/>
    </row>
    <row r="7027">
      <c r="A7027" s="273"/>
      <c r="B7027" s="71"/>
      <c r="C7027" s="69" t="s">
        <v>28497</v>
      </c>
      <c r="D7027" s="71"/>
      <c r="E7027" s="68" t="s">
        <v>28498</v>
      </c>
      <c r="F7027" s="76">
        <v>42757.0</v>
      </c>
      <c r="G7027" s="68" t="s">
        <v>28488</v>
      </c>
      <c r="H7027" s="71"/>
      <c r="I7027" s="71"/>
      <c r="J7027" s="87" t="s">
        <v>28499</v>
      </c>
      <c r="K7027" s="76">
        <v>44218.0</v>
      </c>
      <c r="L7027" s="71"/>
      <c r="M7027" s="68" t="s">
        <v>27</v>
      </c>
      <c r="N7027" s="116"/>
      <c r="O7027" s="51"/>
    </row>
    <row r="7028">
      <c r="A7028" s="273"/>
      <c r="B7028" s="71"/>
      <c r="C7028" s="69" t="s">
        <v>28500</v>
      </c>
      <c r="D7028" s="71"/>
      <c r="E7028" s="68" t="s">
        <v>28501</v>
      </c>
      <c r="F7028" s="76">
        <v>6664602.0</v>
      </c>
      <c r="G7028" s="68" t="s">
        <v>28502</v>
      </c>
      <c r="H7028" s="71"/>
      <c r="I7028" s="71"/>
      <c r="J7028" s="87" t="s">
        <v>28503</v>
      </c>
      <c r="K7028" s="76">
        <v>44218.0</v>
      </c>
      <c r="L7028" s="71"/>
      <c r="M7028" s="68" t="s">
        <v>27</v>
      </c>
      <c r="N7028" s="116"/>
      <c r="O7028" s="51"/>
    </row>
    <row r="7029">
      <c r="A7029" s="273"/>
      <c r="B7029" s="71"/>
      <c r="C7029" s="69" t="s">
        <v>28504</v>
      </c>
      <c r="D7029" s="71"/>
      <c r="E7029" s="68" t="s">
        <v>28505</v>
      </c>
      <c r="F7029" s="76">
        <v>42756.0</v>
      </c>
      <c r="G7029" s="68" t="s">
        <v>28361</v>
      </c>
      <c r="H7029" s="71"/>
      <c r="I7029" s="71"/>
      <c r="J7029" s="87" t="s">
        <v>28506</v>
      </c>
      <c r="K7029" s="76">
        <v>44218.0</v>
      </c>
      <c r="L7029" s="71"/>
      <c r="M7029" s="68" t="s">
        <v>27</v>
      </c>
      <c r="N7029" s="116"/>
      <c r="O7029" s="51"/>
    </row>
    <row r="7030">
      <c r="A7030" s="273"/>
      <c r="B7030" s="71"/>
      <c r="C7030" s="69" t="s">
        <v>28507</v>
      </c>
      <c r="D7030" s="71"/>
      <c r="E7030" s="68" t="s">
        <v>28508</v>
      </c>
      <c r="F7030" s="76">
        <v>42756.0</v>
      </c>
      <c r="G7030" s="68" t="s">
        <v>28458</v>
      </c>
      <c r="H7030" s="71"/>
      <c r="I7030" s="71"/>
      <c r="J7030" s="87" t="s">
        <v>28509</v>
      </c>
      <c r="K7030" s="76">
        <v>44218.0</v>
      </c>
      <c r="L7030" s="71"/>
      <c r="M7030" s="68" t="s">
        <v>27</v>
      </c>
      <c r="N7030" s="116"/>
      <c r="O7030" s="51"/>
    </row>
    <row r="7031">
      <c r="A7031" s="273"/>
      <c r="B7031" s="71"/>
      <c r="C7031" s="69" t="s">
        <v>28510</v>
      </c>
      <c r="D7031" s="71"/>
      <c r="E7031" s="68" t="s">
        <v>28511</v>
      </c>
      <c r="F7031" s="76">
        <v>42756.0</v>
      </c>
      <c r="G7031" s="68" t="s">
        <v>28512</v>
      </c>
      <c r="H7031" s="71"/>
      <c r="I7031" s="71"/>
      <c r="J7031" s="87" t="s">
        <v>28513</v>
      </c>
      <c r="K7031" s="76">
        <v>44218.0</v>
      </c>
      <c r="L7031" s="71"/>
      <c r="M7031" s="68" t="s">
        <v>27</v>
      </c>
      <c r="N7031" s="116"/>
      <c r="O7031" s="51"/>
    </row>
    <row r="7032">
      <c r="A7032" s="273"/>
      <c r="B7032" s="71"/>
      <c r="C7032" s="69" t="s">
        <v>28514</v>
      </c>
      <c r="D7032" s="71"/>
      <c r="E7032" s="68" t="s">
        <v>28515</v>
      </c>
      <c r="F7032" s="76">
        <v>42756.0</v>
      </c>
      <c r="G7032" s="68" t="s">
        <v>28274</v>
      </c>
      <c r="H7032" s="71"/>
      <c r="I7032" s="71"/>
      <c r="J7032" s="87" t="s">
        <v>28516</v>
      </c>
      <c r="K7032" s="76">
        <v>44218.0</v>
      </c>
      <c r="L7032" s="71"/>
      <c r="M7032" s="68" t="s">
        <v>27</v>
      </c>
      <c r="N7032" s="116"/>
      <c r="O7032" s="51"/>
    </row>
    <row r="7033">
      <c r="A7033" s="273"/>
      <c r="B7033" s="71"/>
      <c r="C7033" s="69" t="s">
        <v>28517</v>
      </c>
      <c r="D7033" s="71"/>
      <c r="E7033" s="68" t="s">
        <v>28518</v>
      </c>
      <c r="F7033" s="76">
        <v>42767.0</v>
      </c>
      <c r="G7033" s="68" t="s">
        <v>28519</v>
      </c>
      <c r="H7033" s="71"/>
      <c r="I7033" s="71"/>
      <c r="J7033" s="87" t="s">
        <v>28520</v>
      </c>
      <c r="K7033" s="76">
        <v>44218.0</v>
      </c>
      <c r="L7033" s="71"/>
      <c r="M7033" s="68" t="s">
        <v>27</v>
      </c>
      <c r="N7033" s="116"/>
      <c r="O7033" s="51"/>
    </row>
    <row r="7034">
      <c r="A7034" s="273"/>
      <c r="B7034" s="71"/>
      <c r="C7034" s="69" t="s">
        <v>28521</v>
      </c>
      <c r="D7034" s="71"/>
      <c r="E7034" s="68" t="s">
        <v>28522</v>
      </c>
      <c r="F7034" s="76">
        <v>42767.0</v>
      </c>
      <c r="G7034" s="68" t="s">
        <v>28523</v>
      </c>
      <c r="H7034" s="71"/>
      <c r="I7034" s="71"/>
      <c r="J7034" s="87" t="s">
        <v>28524</v>
      </c>
      <c r="K7034" s="76">
        <v>44218.0</v>
      </c>
      <c r="L7034" s="71"/>
      <c r="M7034" s="68" t="s">
        <v>27</v>
      </c>
      <c r="N7034" s="116"/>
      <c r="O7034" s="51"/>
    </row>
    <row r="7035">
      <c r="A7035" s="273"/>
      <c r="B7035" s="71"/>
      <c r="C7035" s="69" t="s">
        <v>28525</v>
      </c>
      <c r="D7035" s="71"/>
      <c r="E7035" s="68" t="s">
        <v>28526</v>
      </c>
      <c r="F7035" s="76">
        <v>42767.0</v>
      </c>
      <c r="G7035" s="68" t="s">
        <v>28527</v>
      </c>
      <c r="H7035" s="71"/>
      <c r="I7035" s="71"/>
      <c r="J7035" s="87" t="s">
        <v>28528</v>
      </c>
      <c r="K7035" s="76">
        <v>44218.0</v>
      </c>
      <c r="L7035" s="71"/>
      <c r="M7035" s="68" t="s">
        <v>27</v>
      </c>
      <c r="N7035" s="116"/>
      <c r="O7035" s="51"/>
    </row>
    <row r="7036">
      <c r="A7036" s="273"/>
      <c r="B7036" s="71"/>
      <c r="C7036" s="69" t="s">
        <v>28529</v>
      </c>
      <c r="D7036" s="71"/>
      <c r="E7036" s="68" t="s">
        <v>28530</v>
      </c>
      <c r="F7036" s="76">
        <v>42767.0</v>
      </c>
      <c r="G7036" s="68" t="s">
        <v>28519</v>
      </c>
      <c r="H7036" s="71"/>
      <c r="I7036" s="71"/>
      <c r="J7036" s="87" t="s">
        <v>28531</v>
      </c>
      <c r="K7036" s="76">
        <v>44218.0</v>
      </c>
      <c r="L7036" s="71"/>
      <c r="M7036" s="68" t="s">
        <v>27</v>
      </c>
      <c r="N7036" s="116"/>
      <c r="O7036" s="51"/>
    </row>
    <row r="7037">
      <c r="A7037" s="273"/>
      <c r="B7037" s="71"/>
      <c r="C7037" s="69" t="s">
        <v>28532</v>
      </c>
      <c r="D7037" s="71"/>
      <c r="E7037" s="68" t="s">
        <v>28533</v>
      </c>
      <c r="F7037" s="76">
        <v>42767.0</v>
      </c>
      <c r="G7037" s="68" t="s">
        <v>28527</v>
      </c>
      <c r="H7037" s="71"/>
      <c r="I7037" s="71"/>
      <c r="J7037" s="87" t="s">
        <v>28534</v>
      </c>
      <c r="K7037" s="76">
        <v>44218.0</v>
      </c>
      <c r="L7037" s="71"/>
      <c r="M7037" s="68" t="s">
        <v>27</v>
      </c>
      <c r="N7037" s="116"/>
      <c r="O7037" s="51"/>
    </row>
    <row r="7038">
      <c r="A7038" s="273"/>
      <c r="B7038" s="71"/>
      <c r="C7038" s="69" t="s">
        <v>28535</v>
      </c>
      <c r="D7038" s="71"/>
      <c r="E7038" s="68" t="s">
        <v>28536</v>
      </c>
      <c r="F7038" s="76">
        <v>42767.0</v>
      </c>
      <c r="G7038" s="68" t="s">
        <v>28523</v>
      </c>
      <c r="H7038" s="71"/>
      <c r="I7038" s="71"/>
      <c r="J7038" s="68" t="s">
        <v>28220</v>
      </c>
      <c r="K7038" s="76">
        <v>44218.0</v>
      </c>
      <c r="L7038" s="71"/>
      <c r="M7038" s="68" t="s">
        <v>27</v>
      </c>
      <c r="N7038" s="87" t="s">
        <v>49</v>
      </c>
      <c r="O7038" s="51"/>
    </row>
    <row r="7039">
      <c r="A7039" s="273"/>
      <c r="B7039" s="71"/>
      <c r="C7039" s="69" t="s">
        <v>28537</v>
      </c>
      <c r="D7039" s="71"/>
      <c r="E7039" s="68" t="s">
        <v>28538</v>
      </c>
      <c r="F7039" s="76">
        <v>42767.0</v>
      </c>
      <c r="G7039" s="68" t="s">
        <v>28527</v>
      </c>
      <c r="H7039" s="71"/>
      <c r="I7039" s="71"/>
      <c r="J7039" s="87" t="s">
        <v>28539</v>
      </c>
      <c r="K7039" s="76">
        <v>44218.0</v>
      </c>
      <c r="L7039" s="71"/>
      <c r="M7039" s="68" t="s">
        <v>27</v>
      </c>
      <c r="N7039" s="116"/>
      <c r="O7039" s="51"/>
    </row>
    <row r="7040">
      <c r="A7040" s="273"/>
      <c r="B7040" s="71"/>
      <c r="C7040" s="69" t="s">
        <v>28540</v>
      </c>
      <c r="D7040" s="71"/>
      <c r="E7040" s="68" t="s">
        <v>28541</v>
      </c>
      <c r="F7040" s="76">
        <v>42766.0</v>
      </c>
      <c r="G7040" s="68" t="s">
        <v>28386</v>
      </c>
      <c r="H7040" s="71"/>
      <c r="I7040" s="71"/>
      <c r="J7040" s="87" t="s">
        <v>28542</v>
      </c>
      <c r="K7040" s="76">
        <v>44218.0</v>
      </c>
      <c r="L7040" s="71"/>
      <c r="M7040" s="68" t="s">
        <v>27</v>
      </c>
      <c r="N7040" s="116"/>
      <c r="O7040" s="51"/>
    </row>
    <row r="7041">
      <c r="A7041" s="273"/>
      <c r="B7041" s="71"/>
      <c r="C7041" s="69" t="s">
        <v>28543</v>
      </c>
      <c r="D7041" s="71"/>
      <c r="E7041" s="68" t="s">
        <v>28544</v>
      </c>
      <c r="F7041" s="76">
        <v>42769.0</v>
      </c>
      <c r="G7041" s="68" t="s">
        <v>28545</v>
      </c>
      <c r="H7041" s="71"/>
      <c r="I7041" s="71"/>
      <c r="J7041" s="87" t="s">
        <v>28546</v>
      </c>
      <c r="K7041" s="76">
        <v>44218.0</v>
      </c>
      <c r="L7041" s="71"/>
      <c r="M7041" s="68" t="s">
        <v>27</v>
      </c>
      <c r="N7041" s="116"/>
      <c r="O7041" s="51"/>
    </row>
    <row r="7042">
      <c r="A7042" s="273"/>
      <c r="B7042" s="71"/>
      <c r="C7042" s="69" t="s">
        <v>28547</v>
      </c>
      <c r="D7042" s="71"/>
      <c r="E7042" s="68" t="s">
        <v>28548</v>
      </c>
      <c r="F7042" s="76">
        <v>42769.0</v>
      </c>
      <c r="G7042" s="68" t="s">
        <v>28549</v>
      </c>
      <c r="H7042" s="71"/>
      <c r="I7042" s="71"/>
      <c r="J7042" s="87" t="s">
        <v>28550</v>
      </c>
      <c r="K7042" s="76">
        <v>44218.0</v>
      </c>
      <c r="L7042" s="71"/>
      <c r="M7042" s="68" t="s">
        <v>27</v>
      </c>
      <c r="N7042" s="116"/>
      <c r="O7042" s="51"/>
    </row>
    <row r="7043">
      <c r="A7043" s="273"/>
      <c r="B7043" s="71"/>
      <c r="C7043" s="69" t="s">
        <v>28551</v>
      </c>
      <c r="D7043" s="71"/>
      <c r="E7043" s="68" t="s">
        <v>28552</v>
      </c>
      <c r="F7043" s="76">
        <v>42769.0</v>
      </c>
      <c r="G7043" s="68" t="s">
        <v>28553</v>
      </c>
      <c r="H7043" s="71"/>
      <c r="I7043" s="71"/>
      <c r="J7043" s="87" t="s">
        <v>28554</v>
      </c>
      <c r="K7043" s="76">
        <v>44218.0</v>
      </c>
      <c r="L7043" s="71"/>
      <c r="M7043" s="68" t="s">
        <v>27</v>
      </c>
      <c r="N7043" s="116"/>
      <c r="O7043" s="51"/>
    </row>
    <row r="7044">
      <c r="A7044" s="273"/>
      <c r="B7044" s="71"/>
      <c r="C7044" s="69" t="s">
        <v>28555</v>
      </c>
      <c r="D7044" s="71"/>
      <c r="E7044" s="68" t="s">
        <v>28556</v>
      </c>
      <c r="F7044" s="76">
        <v>42768.0</v>
      </c>
      <c r="G7044" s="68" t="s">
        <v>28557</v>
      </c>
      <c r="H7044" s="71"/>
      <c r="I7044" s="71"/>
      <c r="J7044" s="87" t="s">
        <v>28558</v>
      </c>
      <c r="K7044" s="76">
        <v>44218.0</v>
      </c>
      <c r="L7044" s="71"/>
      <c r="M7044" s="68" t="s">
        <v>27</v>
      </c>
      <c r="N7044" s="116"/>
      <c r="O7044" s="51"/>
    </row>
    <row r="7045">
      <c r="A7045" s="273"/>
      <c r="B7045" s="71"/>
      <c r="C7045" s="69" t="s">
        <v>28559</v>
      </c>
      <c r="D7045" s="71"/>
      <c r="E7045" s="68" t="s">
        <v>28560</v>
      </c>
      <c r="F7045" s="76">
        <v>42767.0</v>
      </c>
      <c r="G7045" s="68" t="s">
        <v>28519</v>
      </c>
      <c r="H7045" s="71"/>
      <c r="I7045" s="71"/>
      <c r="J7045" s="87" t="s">
        <v>28561</v>
      </c>
      <c r="K7045" s="76">
        <v>44218.0</v>
      </c>
      <c r="L7045" s="71"/>
      <c r="M7045" s="68" t="s">
        <v>27</v>
      </c>
      <c r="N7045" s="116"/>
      <c r="O7045" s="51"/>
    </row>
    <row r="7046">
      <c r="A7046" s="273"/>
      <c r="B7046" s="71"/>
      <c r="C7046" s="69" t="s">
        <v>28562</v>
      </c>
      <c r="D7046" s="71"/>
      <c r="E7046" s="68" t="s">
        <v>28563</v>
      </c>
      <c r="F7046" s="76">
        <v>42767.0</v>
      </c>
      <c r="G7046" s="68" t="s">
        <v>28523</v>
      </c>
      <c r="H7046" s="71"/>
      <c r="I7046" s="71"/>
      <c r="J7046" s="68" t="s">
        <v>28220</v>
      </c>
      <c r="K7046" s="76">
        <v>44218.0</v>
      </c>
      <c r="L7046" s="71"/>
      <c r="M7046" s="68" t="s">
        <v>27</v>
      </c>
      <c r="N7046" s="116"/>
      <c r="O7046" s="51"/>
    </row>
    <row r="7047">
      <c r="A7047" s="234"/>
      <c r="B7047" s="71"/>
      <c r="C7047" s="79" t="s">
        <v>28564</v>
      </c>
      <c r="D7047" s="82"/>
      <c r="E7047" s="63" t="s">
        <v>28565</v>
      </c>
      <c r="F7047" s="70">
        <v>44226.0</v>
      </c>
      <c r="G7047" s="63" t="s">
        <v>28566</v>
      </c>
      <c r="H7047" s="80" t="s">
        <v>28567</v>
      </c>
      <c r="I7047" s="82"/>
      <c r="J7047" s="63" t="s">
        <v>136</v>
      </c>
      <c r="K7047" s="81">
        <v>44249.0</v>
      </c>
      <c r="L7047" s="82"/>
      <c r="M7047" s="80" t="s">
        <v>166</v>
      </c>
      <c r="N7047" s="116"/>
      <c r="O7047" s="51"/>
    </row>
    <row r="7048">
      <c r="A7048" s="234"/>
      <c r="B7048" s="71"/>
      <c r="C7048" s="79" t="s">
        <v>28568</v>
      </c>
      <c r="D7048" s="82"/>
      <c r="E7048" s="63" t="s">
        <v>28569</v>
      </c>
      <c r="F7048" s="70">
        <v>42786.0</v>
      </c>
      <c r="G7048" s="63" t="s">
        <v>28570</v>
      </c>
      <c r="H7048" s="80" t="s">
        <v>28571</v>
      </c>
      <c r="I7048" s="82"/>
      <c r="J7048" s="63" t="s">
        <v>136</v>
      </c>
      <c r="K7048" s="81">
        <v>44249.0</v>
      </c>
      <c r="L7048" s="82"/>
      <c r="M7048" s="80" t="s">
        <v>872</v>
      </c>
      <c r="N7048" s="116"/>
      <c r="O7048" s="51"/>
    </row>
    <row r="7049">
      <c r="A7049" s="234"/>
      <c r="B7049" s="71"/>
      <c r="C7049" s="79" t="s">
        <v>28572</v>
      </c>
      <c r="D7049" s="82"/>
      <c r="E7049" s="63" t="s">
        <v>28573</v>
      </c>
      <c r="F7049" s="70">
        <v>40360.0</v>
      </c>
      <c r="G7049" s="63" t="s">
        <v>28574</v>
      </c>
      <c r="H7049" s="80" t="s">
        <v>28575</v>
      </c>
      <c r="I7049" s="80" t="s">
        <v>28576</v>
      </c>
      <c r="J7049" s="63" t="s">
        <v>136</v>
      </c>
      <c r="K7049" s="81">
        <v>44249.0</v>
      </c>
      <c r="L7049" s="82"/>
      <c r="M7049" s="80" t="s">
        <v>530</v>
      </c>
      <c r="N7049" s="116"/>
      <c r="O7049" s="51"/>
    </row>
    <row r="7050">
      <c r="A7050" s="234"/>
      <c r="B7050" s="71"/>
      <c r="C7050" s="79" t="s">
        <v>28577</v>
      </c>
      <c r="D7050" s="82"/>
      <c r="E7050" s="63" t="s">
        <v>28578</v>
      </c>
      <c r="F7050" s="70">
        <v>44225.0</v>
      </c>
      <c r="G7050" s="63" t="s">
        <v>28579</v>
      </c>
      <c r="H7050" s="80" t="s">
        <v>28580</v>
      </c>
      <c r="I7050" s="82"/>
      <c r="J7050" s="63" t="s">
        <v>136</v>
      </c>
      <c r="K7050" s="81">
        <v>44249.0</v>
      </c>
      <c r="L7050" s="82"/>
      <c r="M7050" s="80" t="s">
        <v>19781</v>
      </c>
      <c r="N7050" s="116"/>
      <c r="O7050" s="51"/>
    </row>
    <row r="7051">
      <c r="A7051" s="273"/>
      <c r="B7051" s="71"/>
      <c r="C7051" s="69" t="s">
        <v>28581</v>
      </c>
      <c r="D7051" s="71"/>
      <c r="E7051" s="68" t="s">
        <v>28582</v>
      </c>
      <c r="F7051" s="76">
        <v>42926.0</v>
      </c>
      <c r="G7051" s="68" t="s">
        <v>28583</v>
      </c>
      <c r="H7051" s="68" t="s">
        <v>28584</v>
      </c>
      <c r="I7051" s="71"/>
      <c r="J7051" s="68" t="s">
        <v>28585</v>
      </c>
      <c r="K7051" s="76">
        <v>44249.0</v>
      </c>
      <c r="L7051" s="71"/>
      <c r="M7051" s="68" t="s">
        <v>18616</v>
      </c>
      <c r="N7051" s="116"/>
      <c r="O7051" s="51"/>
    </row>
    <row r="7052">
      <c r="A7052" s="273"/>
      <c r="B7052" s="71"/>
      <c r="C7052" s="69" t="s">
        <v>28586</v>
      </c>
      <c r="D7052" s="71"/>
      <c r="E7052" s="68" t="s">
        <v>28587</v>
      </c>
      <c r="F7052" s="76">
        <v>44173.0</v>
      </c>
      <c r="G7052" s="68" t="s">
        <v>28588</v>
      </c>
      <c r="H7052" s="68" t="s">
        <v>28589</v>
      </c>
      <c r="I7052" s="71"/>
      <c r="J7052" s="68" t="s">
        <v>28590</v>
      </c>
      <c r="K7052" s="76">
        <v>44249.0</v>
      </c>
      <c r="L7052" s="68" t="s">
        <v>2743</v>
      </c>
      <c r="M7052" s="68" t="s">
        <v>18616</v>
      </c>
      <c r="N7052" s="116"/>
      <c r="O7052" s="51"/>
    </row>
    <row r="7053">
      <c r="A7053" s="234"/>
      <c r="B7053" s="71"/>
      <c r="C7053" s="79" t="s">
        <v>28591</v>
      </c>
      <c r="D7053" s="82"/>
      <c r="E7053" s="63" t="s">
        <v>28592</v>
      </c>
      <c r="F7053" s="70">
        <v>44233.0</v>
      </c>
      <c r="G7053" s="63" t="s">
        <v>28593</v>
      </c>
      <c r="H7053" s="80" t="s">
        <v>28594</v>
      </c>
      <c r="I7053" s="82"/>
      <c r="J7053" s="63" t="s">
        <v>136</v>
      </c>
      <c r="K7053" s="81">
        <v>44252.0</v>
      </c>
      <c r="L7053" s="80" t="s">
        <v>2743</v>
      </c>
      <c r="M7053" s="80" t="s">
        <v>166</v>
      </c>
      <c r="N7053" s="116"/>
      <c r="O7053" s="51"/>
    </row>
    <row r="7054">
      <c r="A7054" s="234"/>
      <c r="B7054" s="71"/>
      <c r="C7054" s="79" t="s">
        <v>28595</v>
      </c>
      <c r="D7054" s="82"/>
      <c r="E7054" s="63" t="s">
        <v>28596</v>
      </c>
      <c r="F7054" s="70">
        <v>42446.0</v>
      </c>
      <c r="G7054" s="63" t="s">
        <v>28597</v>
      </c>
      <c r="H7054" s="82"/>
      <c r="I7054" s="80" t="s">
        <v>28598</v>
      </c>
      <c r="J7054" s="63" t="s">
        <v>136</v>
      </c>
      <c r="K7054" s="81">
        <v>44252.0</v>
      </c>
      <c r="L7054" s="80" t="s">
        <v>2743</v>
      </c>
      <c r="M7054" s="80" t="s">
        <v>2291</v>
      </c>
      <c r="N7054" s="116"/>
      <c r="O7054" s="51"/>
    </row>
    <row r="7055">
      <c r="A7055" s="234"/>
      <c r="B7055" s="71"/>
      <c r="C7055" s="79" t="s">
        <v>28599</v>
      </c>
      <c r="D7055" s="82"/>
      <c r="E7055" s="63" t="s">
        <v>28600</v>
      </c>
      <c r="F7055" s="65">
        <v>44190.0</v>
      </c>
      <c r="G7055" s="63" t="s">
        <v>28601</v>
      </c>
      <c r="H7055" s="80" t="s">
        <v>28602</v>
      </c>
      <c r="I7055" s="82"/>
      <c r="J7055" s="63" t="s">
        <v>136</v>
      </c>
      <c r="K7055" s="81">
        <v>44252.0</v>
      </c>
      <c r="L7055" s="80" t="s">
        <v>26929</v>
      </c>
      <c r="M7055" s="80" t="s">
        <v>22473</v>
      </c>
      <c r="N7055" s="116"/>
      <c r="O7055" s="51"/>
    </row>
    <row r="7056">
      <c r="A7056" s="234"/>
      <c r="B7056" s="71"/>
      <c r="C7056" s="79" t="s">
        <v>28603</v>
      </c>
      <c r="D7056" s="82"/>
      <c r="E7056" s="63" t="s">
        <v>28604</v>
      </c>
      <c r="F7056" s="70">
        <v>44197.0</v>
      </c>
      <c r="G7056" s="63" t="s">
        <v>28605</v>
      </c>
      <c r="H7056" s="80" t="s">
        <v>28606</v>
      </c>
      <c r="I7056" s="82"/>
      <c r="J7056" s="63" t="s">
        <v>136</v>
      </c>
      <c r="K7056" s="81">
        <v>44253.0</v>
      </c>
      <c r="L7056" s="80" t="s">
        <v>20958</v>
      </c>
      <c r="M7056" s="80" t="s">
        <v>27</v>
      </c>
      <c r="N7056" s="116"/>
      <c r="O7056" s="51"/>
    </row>
    <row r="7057">
      <c r="A7057" s="234"/>
      <c r="B7057" s="71"/>
      <c r="C7057" s="79" t="s">
        <v>28607</v>
      </c>
      <c r="D7057" s="82"/>
      <c r="E7057" s="63" t="s">
        <v>28608</v>
      </c>
      <c r="F7057" s="70">
        <v>44197.0</v>
      </c>
      <c r="G7057" s="63" t="s">
        <v>28609</v>
      </c>
      <c r="H7057" s="80" t="s">
        <v>28610</v>
      </c>
      <c r="I7057" s="82"/>
      <c r="J7057" s="63" t="s">
        <v>136</v>
      </c>
      <c r="K7057" s="81">
        <v>44253.0</v>
      </c>
      <c r="L7057" s="80" t="s">
        <v>20958</v>
      </c>
      <c r="M7057" s="80" t="s">
        <v>27</v>
      </c>
      <c r="N7057" s="116"/>
      <c r="O7057" s="51"/>
    </row>
    <row r="7058">
      <c r="A7058" s="234"/>
      <c r="B7058" s="71"/>
      <c r="C7058" s="79" t="s">
        <v>28611</v>
      </c>
      <c r="D7058" s="82"/>
      <c r="E7058" s="63" t="s">
        <v>28612</v>
      </c>
      <c r="F7058" s="70">
        <v>44197.0</v>
      </c>
      <c r="G7058" s="63" t="s">
        <v>28613</v>
      </c>
      <c r="H7058" s="80" t="s">
        <v>28614</v>
      </c>
      <c r="I7058" s="82"/>
      <c r="J7058" s="63" t="s">
        <v>136</v>
      </c>
      <c r="K7058" s="81">
        <v>44253.0</v>
      </c>
      <c r="L7058" s="80" t="s">
        <v>20958</v>
      </c>
      <c r="M7058" s="80" t="s">
        <v>27</v>
      </c>
      <c r="N7058" s="116"/>
      <c r="O7058" s="51"/>
    </row>
    <row r="7059">
      <c r="A7059" s="234"/>
      <c r="B7059" s="71"/>
      <c r="C7059" s="79" t="s">
        <v>28615</v>
      </c>
      <c r="D7059" s="82"/>
      <c r="E7059" s="63" t="s">
        <v>28616</v>
      </c>
      <c r="F7059" s="70">
        <v>42060.0</v>
      </c>
      <c r="G7059" s="63" t="s">
        <v>28617</v>
      </c>
      <c r="H7059" s="80" t="s">
        <v>28618</v>
      </c>
      <c r="I7059" s="82"/>
      <c r="J7059" s="63" t="s">
        <v>136</v>
      </c>
      <c r="K7059" s="81">
        <v>44253.0</v>
      </c>
      <c r="L7059" s="80" t="s">
        <v>2743</v>
      </c>
      <c r="M7059" s="80" t="s">
        <v>27</v>
      </c>
      <c r="N7059" s="116"/>
      <c r="O7059" s="51"/>
    </row>
    <row r="7060">
      <c r="A7060" s="234"/>
      <c r="B7060" s="71"/>
      <c r="C7060" s="79" t="s">
        <v>28619</v>
      </c>
      <c r="D7060" s="82"/>
      <c r="E7060" s="63" t="s">
        <v>28620</v>
      </c>
      <c r="F7060" s="70">
        <v>41520.0</v>
      </c>
      <c r="G7060" s="63" t="s">
        <v>28621</v>
      </c>
      <c r="H7060" s="80" t="s">
        <v>28622</v>
      </c>
      <c r="I7060" s="82"/>
      <c r="J7060" s="63" t="s">
        <v>136</v>
      </c>
      <c r="K7060" s="81">
        <v>44253.0</v>
      </c>
      <c r="L7060" s="80" t="s">
        <v>2743</v>
      </c>
      <c r="M7060" s="80" t="s">
        <v>27</v>
      </c>
      <c r="N7060" s="116"/>
      <c r="O7060" s="51"/>
    </row>
    <row r="7061">
      <c r="A7061" s="234"/>
      <c r="B7061" s="71"/>
      <c r="C7061" s="79" t="s">
        <v>28623</v>
      </c>
      <c r="D7061" s="82"/>
      <c r="E7061" s="63" t="s">
        <v>28624</v>
      </c>
      <c r="F7061" s="70">
        <v>41684.0</v>
      </c>
      <c r="G7061" s="63" t="s">
        <v>28621</v>
      </c>
      <c r="H7061" s="80" t="s">
        <v>28625</v>
      </c>
      <c r="I7061" s="82"/>
      <c r="J7061" s="63" t="s">
        <v>136</v>
      </c>
      <c r="K7061" s="81">
        <v>44253.0</v>
      </c>
      <c r="L7061" s="80" t="s">
        <v>2743</v>
      </c>
      <c r="M7061" s="80" t="s">
        <v>19459</v>
      </c>
      <c r="N7061" s="116"/>
      <c r="O7061" s="51"/>
    </row>
    <row r="7062">
      <c r="A7062" s="273"/>
      <c r="B7062" s="71"/>
      <c r="C7062" s="69" t="s">
        <v>28626</v>
      </c>
      <c r="D7062" s="71"/>
      <c r="E7062" s="68" t="s">
        <v>28627</v>
      </c>
      <c r="F7062" s="83">
        <v>44115.0</v>
      </c>
      <c r="G7062" s="68" t="s">
        <v>28628</v>
      </c>
      <c r="H7062" s="68" t="s">
        <v>28629</v>
      </c>
      <c r="I7062" s="71"/>
      <c r="J7062" s="68" t="s">
        <v>28630</v>
      </c>
      <c r="K7062" s="76">
        <v>44253.0</v>
      </c>
      <c r="L7062" s="68" t="s">
        <v>2743</v>
      </c>
      <c r="M7062" s="68" t="s">
        <v>22473</v>
      </c>
      <c r="N7062" s="116"/>
      <c r="O7062" s="51"/>
    </row>
    <row r="7063">
      <c r="A7063" s="273"/>
      <c r="B7063" s="71"/>
      <c r="C7063" s="69" t="s">
        <v>28631</v>
      </c>
      <c r="D7063" s="71"/>
      <c r="E7063" s="68" t="s">
        <v>28632</v>
      </c>
      <c r="F7063" s="83">
        <v>43788.0</v>
      </c>
      <c r="G7063" s="68" t="s">
        <v>28633</v>
      </c>
      <c r="H7063" s="68" t="s">
        <v>28634</v>
      </c>
      <c r="I7063" s="71"/>
      <c r="J7063" s="68" t="s">
        <v>28635</v>
      </c>
      <c r="K7063" s="76">
        <v>44254.0</v>
      </c>
      <c r="L7063" s="68" t="s">
        <v>2743</v>
      </c>
      <c r="M7063" s="68" t="s">
        <v>19204</v>
      </c>
      <c r="N7063" s="116"/>
      <c r="O7063" s="51"/>
    </row>
    <row r="7064">
      <c r="A7064" s="273"/>
      <c r="B7064" s="71"/>
      <c r="C7064" s="69" t="s">
        <v>28636</v>
      </c>
      <c r="D7064" s="71"/>
      <c r="E7064" s="68" t="s">
        <v>28637</v>
      </c>
      <c r="F7064" s="83">
        <v>43788.0</v>
      </c>
      <c r="G7064" s="68" t="s">
        <v>28638</v>
      </c>
      <c r="H7064" s="68" t="s">
        <v>28639</v>
      </c>
      <c r="I7064" s="71"/>
      <c r="J7064" s="68" t="s">
        <v>28640</v>
      </c>
      <c r="K7064" s="76">
        <v>44254.0</v>
      </c>
      <c r="L7064" s="68" t="s">
        <v>2743</v>
      </c>
      <c r="M7064" s="68" t="s">
        <v>19204</v>
      </c>
      <c r="N7064" s="116"/>
      <c r="O7064" s="51"/>
    </row>
    <row r="7065">
      <c r="A7065" s="273"/>
      <c r="B7065" s="71"/>
      <c r="C7065" s="69" t="s">
        <v>28641</v>
      </c>
      <c r="D7065" s="71"/>
      <c r="E7065" s="68" t="s">
        <v>28642</v>
      </c>
      <c r="F7065" s="83">
        <v>43788.0</v>
      </c>
      <c r="G7065" s="68" t="s">
        <v>28638</v>
      </c>
      <c r="H7065" s="68" t="s">
        <v>439</v>
      </c>
      <c r="I7065" s="71"/>
      <c r="J7065" s="68" t="s">
        <v>28643</v>
      </c>
      <c r="K7065" s="76">
        <v>44254.0</v>
      </c>
      <c r="L7065" s="68" t="s">
        <v>2743</v>
      </c>
      <c r="M7065" s="68" t="s">
        <v>19204</v>
      </c>
      <c r="N7065" s="116"/>
      <c r="O7065" s="51"/>
    </row>
    <row r="7066">
      <c r="A7066" s="273"/>
      <c r="B7066" s="71"/>
      <c r="C7066" s="69" t="s">
        <v>28644</v>
      </c>
      <c r="D7066" s="71"/>
      <c r="E7066" s="68" t="s">
        <v>28645</v>
      </c>
      <c r="F7066" s="83">
        <v>43788.0</v>
      </c>
      <c r="G7066" s="68" t="s">
        <v>28646</v>
      </c>
      <c r="H7066" s="68" t="s">
        <v>439</v>
      </c>
      <c r="I7066" s="71"/>
      <c r="J7066" s="68" t="s">
        <v>28647</v>
      </c>
      <c r="K7066" s="76">
        <v>44254.0</v>
      </c>
      <c r="L7066" s="68" t="s">
        <v>2743</v>
      </c>
      <c r="M7066" s="68" t="s">
        <v>19204</v>
      </c>
      <c r="N7066" s="116"/>
      <c r="O7066" s="51"/>
    </row>
    <row r="7067">
      <c r="A7067" s="273"/>
      <c r="B7067" s="71"/>
      <c r="C7067" s="69" t="s">
        <v>28648</v>
      </c>
      <c r="D7067" s="71"/>
      <c r="E7067" s="68" t="s">
        <v>28649</v>
      </c>
      <c r="F7067" s="83">
        <v>43788.0</v>
      </c>
      <c r="G7067" s="68" t="s">
        <v>28650</v>
      </c>
      <c r="H7067" s="68" t="s">
        <v>28651</v>
      </c>
      <c r="I7067" s="71"/>
      <c r="J7067" s="68" t="s">
        <v>28652</v>
      </c>
      <c r="K7067" s="76">
        <v>44254.0</v>
      </c>
      <c r="L7067" s="68" t="s">
        <v>2743</v>
      </c>
      <c r="M7067" s="68" t="s">
        <v>19204</v>
      </c>
      <c r="N7067" s="116"/>
      <c r="O7067" s="51"/>
    </row>
    <row r="7068">
      <c r="A7068" s="273"/>
      <c r="B7068" s="71"/>
      <c r="C7068" s="69" t="s">
        <v>28653</v>
      </c>
      <c r="D7068" s="71"/>
      <c r="E7068" s="68" t="s">
        <v>28654</v>
      </c>
      <c r="F7068" s="83">
        <v>43788.0</v>
      </c>
      <c r="G7068" s="68" t="s">
        <v>28638</v>
      </c>
      <c r="H7068" s="68" t="s">
        <v>439</v>
      </c>
      <c r="I7068" s="71"/>
      <c r="J7068" s="68" t="s">
        <v>28655</v>
      </c>
      <c r="K7068" s="76">
        <v>44254.0</v>
      </c>
      <c r="L7068" s="68" t="s">
        <v>2743</v>
      </c>
      <c r="M7068" s="68" t="s">
        <v>19204</v>
      </c>
      <c r="N7068" s="116"/>
      <c r="O7068" s="51"/>
    </row>
    <row r="7069">
      <c r="A7069" s="273"/>
      <c r="B7069" s="71"/>
      <c r="C7069" s="69" t="s">
        <v>28656</v>
      </c>
      <c r="D7069" s="71"/>
      <c r="E7069" s="68" t="s">
        <v>28657</v>
      </c>
      <c r="F7069" s="83">
        <v>43788.0</v>
      </c>
      <c r="G7069" s="68" t="s">
        <v>28658</v>
      </c>
      <c r="H7069" s="68" t="s">
        <v>439</v>
      </c>
      <c r="I7069" s="71"/>
      <c r="J7069" s="68" t="s">
        <v>28659</v>
      </c>
      <c r="K7069" s="76">
        <v>44254.0</v>
      </c>
      <c r="L7069" s="68" t="s">
        <v>2743</v>
      </c>
      <c r="M7069" s="68" t="s">
        <v>19204</v>
      </c>
      <c r="N7069" s="116"/>
      <c r="O7069" s="51"/>
    </row>
    <row r="7070">
      <c r="A7070" s="273"/>
      <c r="B7070" s="71"/>
      <c r="C7070" s="69" t="s">
        <v>28660</v>
      </c>
      <c r="D7070" s="71"/>
      <c r="E7070" s="68" t="s">
        <v>28661</v>
      </c>
      <c r="F7070" s="83">
        <v>43788.0</v>
      </c>
      <c r="G7070" s="68" t="s">
        <v>28638</v>
      </c>
      <c r="H7070" s="68" t="s">
        <v>439</v>
      </c>
      <c r="I7070" s="71"/>
      <c r="J7070" s="68" t="s">
        <v>28662</v>
      </c>
      <c r="K7070" s="76">
        <v>44254.0</v>
      </c>
      <c r="L7070" s="68" t="s">
        <v>2743</v>
      </c>
      <c r="M7070" s="68" t="s">
        <v>19204</v>
      </c>
      <c r="N7070" s="87" t="s">
        <v>28663</v>
      </c>
      <c r="O7070" s="51"/>
    </row>
    <row r="7071">
      <c r="A7071" s="234"/>
      <c r="B7071" s="71"/>
      <c r="C7071" s="79" t="s">
        <v>28664</v>
      </c>
      <c r="D7071" s="82"/>
      <c r="E7071" s="63" t="s">
        <v>28665</v>
      </c>
      <c r="F7071" s="70">
        <v>40267.0</v>
      </c>
      <c r="G7071" s="63" t="s">
        <v>28666</v>
      </c>
      <c r="H7071" s="80" t="s">
        <v>28667</v>
      </c>
      <c r="I7071" s="82"/>
      <c r="J7071" s="63" t="s">
        <v>136</v>
      </c>
      <c r="K7071" s="81">
        <v>44257.0</v>
      </c>
      <c r="L7071" s="80" t="s">
        <v>2743</v>
      </c>
      <c r="M7071" s="80" t="s">
        <v>22473</v>
      </c>
      <c r="N7071" s="87" t="s">
        <v>28668</v>
      </c>
      <c r="O7071" s="51"/>
    </row>
    <row r="7072">
      <c r="A7072" s="273"/>
      <c r="B7072" s="71"/>
      <c r="C7072" s="69" t="s">
        <v>28669</v>
      </c>
      <c r="D7072" s="71"/>
      <c r="E7072" s="68" t="s">
        <v>28670</v>
      </c>
      <c r="F7072" s="83">
        <v>44154.0</v>
      </c>
      <c r="G7072" s="68" t="s">
        <v>28671</v>
      </c>
      <c r="H7072" s="68" t="s">
        <v>28672</v>
      </c>
      <c r="I7072" s="71"/>
      <c r="J7072" s="68" t="s">
        <v>28673</v>
      </c>
      <c r="K7072" s="76">
        <v>44258.0</v>
      </c>
      <c r="L7072" s="68" t="s">
        <v>2743</v>
      </c>
      <c r="M7072" s="68" t="s">
        <v>2748</v>
      </c>
      <c r="N7072" s="116"/>
      <c r="O7072" s="51"/>
    </row>
    <row r="7073">
      <c r="A7073" s="273"/>
      <c r="B7073" s="71"/>
      <c r="C7073" s="69" t="s">
        <v>28674</v>
      </c>
      <c r="D7073" s="71"/>
      <c r="E7073" s="68" t="s">
        <v>28675</v>
      </c>
      <c r="F7073" s="83">
        <v>44193.0</v>
      </c>
      <c r="G7073" s="68" t="s">
        <v>28676</v>
      </c>
      <c r="H7073" s="68" t="s">
        <v>28677</v>
      </c>
      <c r="I7073" s="71"/>
      <c r="J7073" s="68" t="s">
        <v>28678</v>
      </c>
      <c r="K7073" s="76">
        <v>44261.0</v>
      </c>
      <c r="L7073" s="68" t="s">
        <v>2743</v>
      </c>
      <c r="M7073" s="68" t="s">
        <v>201</v>
      </c>
      <c r="N7073" s="116"/>
      <c r="O7073" s="51"/>
    </row>
    <row r="7074">
      <c r="A7074" s="273"/>
      <c r="B7074" s="71"/>
      <c r="C7074" s="69" t="s">
        <v>28679</v>
      </c>
      <c r="D7074" s="71"/>
      <c r="E7074" s="68" t="s">
        <v>28680</v>
      </c>
      <c r="F7074" s="76">
        <v>43725.0</v>
      </c>
      <c r="G7074" s="68" t="s">
        <v>28681</v>
      </c>
      <c r="H7074" s="68" t="s">
        <v>28682</v>
      </c>
      <c r="I7074" s="71"/>
      <c r="J7074" s="68" t="s">
        <v>28683</v>
      </c>
      <c r="K7074" s="76">
        <v>44263.0</v>
      </c>
      <c r="L7074" s="68" t="s">
        <v>2743</v>
      </c>
      <c r="M7074" s="68" t="s">
        <v>166</v>
      </c>
      <c r="N7074" s="116"/>
      <c r="O7074" s="51"/>
    </row>
    <row r="7075">
      <c r="A7075" s="273"/>
      <c r="B7075" s="71"/>
      <c r="C7075" s="69" t="s">
        <v>28684</v>
      </c>
      <c r="D7075" s="71"/>
      <c r="E7075" s="68" t="s">
        <v>28685</v>
      </c>
      <c r="F7075" s="76">
        <v>44246.0</v>
      </c>
      <c r="G7075" s="68" t="s">
        <v>28686</v>
      </c>
      <c r="H7075" s="71"/>
      <c r="I7075" s="68" t="s">
        <v>28687</v>
      </c>
      <c r="J7075" s="68" t="s">
        <v>28688</v>
      </c>
      <c r="K7075" s="76">
        <v>44263.0</v>
      </c>
      <c r="L7075" s="68" t="s">
        <v>2743</v>
      </c>
      <c r="M7075" s="68" t="s">
        <v>201</v>
      </c>
      <c r="N7075" s="116"/>
      <c r="O7075" s="51"/>
    </row>
    <row r="7076">
      <c r="A7076" s="273"/>
      <c r="B7076" s="71"/>
      <c r="C7076" s="69" t="s">
        <v>28689</v>
      </c>
      <c r="D7076" s="71"/>
      <c r="E7076" s="68" t="s">
        <v>28690</v>
      </c>
      <c r="F7076" s="76">
        <v>44259.0</v>
      </c>
      <c r="G7076" s="68" t="s">
        <v>28691</v>
      </c>
      <c r="H7076" s="71"/>
      <c r="I7076" s="71"/>
      <c r="J7076" s="68" t="s">
        <v>28692</v>
      </c>
      <c r="K7076" s="76">
        <v>44264.0</v>
      </c>
      <c r="L7076" s="68" t="s">
        <v>2743</v>
      </c>
      <c r="M7076" s="68" t="s">
        <v>143</v>
      </c>
      <c r="N7076" s="116"/>
      <c r="O7076" s="51"/>
    </row>
    <row r="7077">
      <c r="A7077" s="273"/>
      <c r="B7077" s="71"/>
      <c r="C7077" s="69" t="s">
        <v>28693</v>
      </c>
      <c r="D7077" s="71"/>
      <c r="E7077" s="68" t="s">
        <v>28694</v>
      </c>
      <c r="F7077" s="76">
        <v>44260.0</v>
      </c>
      <c r="G7077" s="68" t="s">
        <v>28695</v>
      </c>
      <c r="H7077" s="68" t="s">
        <v>28696</v>
      </c>
      <c r="I7077" s="71"/>
      <c r="J7077" s="68" t="s">
        <v>28697</v>
      </c>
      <c r="K7077" s="76">
        <v>44265.0</v>
      </c>
      <c r="L7077" s="68" t="s">
        <v>2743</v>
      </c>
      <c r="M7077" s="68" t="s">
        <v>143</v>
      </c>
      <c r="N7077" s="116"/>
      <c r="O7077" s="51"/>
    </row>
    <row r="7078">
      <c r="A7078" s="273"/>
      <c r="B7078" s="71"/>
      <c r="C7078" s="69" t="s">
        <v>28698</v>
      </c>
      <c r="D7078" s="71"/>
      <c r="E7078" s="68" t="s">
        <v>28699</v>
      </c>
      <c r="F7078" s="76">
        <v>44260.0</v>
      </c>
      <c r="G7078" s="68" t="s">
        <v>28700</v>
      </c>
      <c r="H7078" s="68" t="s">
        <v>28701</v>
      </c>
      <c r="I7078" s="71"/>
      <c r="J7078" s="68" t="s">
        <v>28702</v>
      </c>
      <c r="K7078" s="76">
        <v>44266.0</v>
      </c>
      <c r="L7078" s="68" t="s">
        <v>2743</v>
      </c>
      <c r="M7078" s="68" t="s">
        <v>149</v>
      </c>
      <c r="N7078" s="116"/>
      <c r="O7078" s="51"/>
    </row>
    <row r="7079">
      <c r="A7079" s="273"/>
      <c r="B7079" s="71"/>
      <c r="C7079" s="69" t="s">
        <v>28703</v>
      </c>
      <c r="D7079" s="71"/>
      <c r="E7079" s="68" t="s">
        <v>28704</v>
      </c>
      <c r="F7079" s="76">
        <v>44097.0</v>
      </c>
      <c r="G7079" s="68" t="s">
        <v>28705</v>
      </c>
      <c r="H7079" s="68" t="s">
        <v>28706</v>
      </c>
      <c r="I7079" s="71"/>
      <c r="J7079" s="68" t="s">
        <v>28707</v>
      </c>
      <c r="K7079" s="76">
        <v>44266.0</v>
      </c>
      <c r="L7079" s="68" t="s">
        <v>2743</v>
      </c>
      <c r="M7079" s="68" t="s">
        <v>3407</v>
      </c>
      <c r="N7079" s="116"/>
      <c r="O7079" s="51"/>
    </row>
    <row r="7080">
      <c r="A7080" s="234"/>
      <c r="B7080" s="71"/>
      <c r="C7080" s="79" t="s">
        <v>28708</v>
      </c>
      <c r="D7080" s="82"/>
      <c r="E7080" s="63" t="s">
        <v>28709</v>
      </c>
      <c r="F7080" s="70">
        <v>43876.0</v>
      </c>
      <c r="G7080" s="63" t="s">
        <v>28710</v>
      </c>
      <c r="H7080" s="80" t="s">
        <v>28711</v>
      </c>
      <c r="I7080" s="82"/>
      <c r="J7080" s="63" t="s">
        <v>136</v>
      </c>
      <c r="K7080" s="81">
        <v>44268.0</v>
      </c>
      <c r="L7080" s="80" t="s">
        <v>20958</v>
      </c>
      <c r="M7080" s="80" t="s">
        <v>28712</v>
      </c>
      <c r="N7080" s="116"/>
      <c r="O7080" s="51"/>
    </row>
    <row r="7081">
      <c r="A7081" s="234"/>
      <c r="B7081" s="71"/>
      <c r="C7081" s="79" t="s">
        <v>28713</v>
      </c>
      <c r="D7081" s="82"/>
      <c r="E7081" s="63" t="s">
        <v>28714</v>
      </c>
      <c r="F7081" s="70">
        <v>42186.0</v>
      </c>
      <c r="G7081" s="63" t="s">
        <v>28715</v>
      </c>
      <c r="H7081" s="80" t="s">
        <v>28716</v>
      </c>
      <c r="I7081" s="82"/>
      <c r="J7081" s="63" t="s">
        <v>136</v>
      </c>
      <c r="K7081" s="81">
        <v>44268.0</v>
      </c>
      <c r="L7081" s="80" t="s">
        <v>20958</v>
      </c>
      <c r="M7081" s="80" t="s">
        <v>27</v>
      </c>
      <c r="N7081" s="116"/>
      <c r="O7081" s="51"/>
    </row>
    <row r="7082">
      <c r="A7082" s="234"/>
      <c r="B7082" s="71"/>
      <c r="C7082" s="79" t="s">
        <v>28717</v>
      </c>
      <c r="D7082" s="82"/>
      <c r="E7082" s="63" t="s">
        <v>28718</v>
      </c>
      <c r="F7082" s="70">
        <v>41706.0</v>
      </c>
      <c r="G7082" s="63" t="s">
        <v>28719</v>
      </c>
      <c r="H7082" s="80" t="s">
        <v>28720</v>
      </c>
      <c r="I7082" s="82"/>
      <c r="J7082" s="63" t="s">
        <v>136</v>
      </c>
      <c r="K7082" s="81">
        <v>44268.0</v>
      </c>
      <c r="L7082" s="80" t="s">
        <v>20958</v>
      </c>
      <c r="M7082" s="80" t="s">
        <v>27</v>
      </c>
      <c r="N7082" s="116"/>
      <c r="O7082" s="51"/>
    </row>
    <row r="7083">
      <c r="A7083" s="273"/>
      <c r="B7083" s="71"/>
      <c r="C7083" s="69" t="s">
        <v>28721</v>
      </c>
      <c r="D7083" s="71"/>
      <c r="E7083" s="68" t="s">
        <v>28722</v>
      </c>
      <c r="F7083" s="76">
        <v>44096.0</v>
      </c>
      <c r="G7083" s="68" t="s">
        <v>28723</v>
      </c>
      <c r="H7083" s="68" t="s">
        <v>28724</v>
      </c>
      <c r="I7083" s="68" t="s">
        <v>28725</v>
      </c>
      <c r="J7083" s="68" t="s">
        <v>28726</v>
      </c>
      <c r="K7083" s="76">
        <v>44279.0</v>
      </c>
      <c r="L7083" s="68" t="s">
        <v>2743</v>
      </c>
      <c r="M7083" s="68" t="s">
        <v>542</v>
      </c>
      <c r="N7083" s="116"/>
      <c r="O7083" s="51"/>
    </row>
    <row r="7084">
      <c r="A7084" s="234"/>
      <c r="B7084" s="71"/>
      <c r="C7084" s="79" t="s">
        <v>28727</v>
      </c>
      <c r="D7084" s="82"/>
      <c r="E7084" s="63" t="s">
        <v>28728</v>
      </c>
      <c r="F7084" s="70">
        <v>44235.0</v>
      </c>
      <c r="G7084" s="63" t="s">
        <v>28729</v>
      </c>
      <c r="H7084" s="80" t="s">
        <v>28730</v>
      </c>
      <c r="I7084" s="82"/>
      <c r="J7084" s="63" t="s">
        <v>136</v>
      </c>
      <c r="K7084" s="81">
        <v>44279.0</v>
      </c>
      <c r="L7084" s="80" t="s">
        <v>2743</v>
      </c>
      <c r="M7084" s="80" t="s">
        <v>166</v>
      </c>
      <c r="N7084" s="116"/>
      <c r="O7084" s="51"/>
    </row>
    <row r="7085">
      <c r="A7085" s="234"/>
      <c r="B7085" s="71"/>
      <c r="C7085" s="79" t="s">
        <v>28731</v>
      </c>
      <c r="D7085" s="82"/>
      <c r="E7085" s="63" t="s">
        <v>28732</v>
      </c>
      <c r="F7085" s="70">
        <v>39630.0</v>
      </c>
      <c r="G7085" s="63" t="s">
        <v>28733</v>
      </c>
      <c r="H7085" s="80" t="s">
        <v>28734</v>
      </c>
      <c r="I7085" s="82"/>
      <c r="J7085" s="63" t="s">
        <v>136</v>
      </c>
      <c r="K7085" s="81">
        <v>44279.0</v>
      </c>
      <c r="L7085" s="80" t="s">
        <v>2743</v>
      </c>
      <c r="M7085" s="80" t="s">
        <v>31</v>
      </c>
      <c r="N7085" s="116"/>
      <c r="O7085" s="51"/>
    </row>
    <row r="7086">
      <c r="A7086" s="273"/>
      <c r="B7086" s="71"/>
      <c r="C7086" s="69" t="s">
        <v>28735</v>
      </c>
      <c r="D7086" s="71"/>
      <c r="E7086" s="68" t="s">
        <v>28736</v>
      </c>
      <c r="F7086" s="76">
        <v>39995.0</v>
      </c>
      <c r="G7086" s="68" t="s">
        <v>28733</v>
      </c>
      <c r="H7086" s="68" t="s">
        <v>28737</v>
      </c>
      <c r="I7086" s="71"/>
      <c r="J7086" s="68" t="s">
        <v>28738</v>
      </c>
      <c r="K7086" s="76">
        <v>44279.0</v>
      </c>
      <c r="L7086" s="68" t="s">
        <v>2743</v>
      </c>
      <c r="M7086" s="68" t="s">
        <v>166</v>
      </c>
      <c r="N7086" s="116"/>
      <c r="O7086" s="51"/>
    </row>
    <row r="7087">
      <c r="A7087" s="273"/>
      <c r="B7087" s="71"/>
      <c r="C7087" s="69" t="s">
        <v>28739</v>
      </c>
      <c r="D7087" s="71"/>
      <c r="E7087" s="68" t="s">
        <v>28740</v>
      </c>
      <c r="F7087" s="76">
        <v>39995.0</v>
      </c>
      <c r="G7087" s="68" t="s">
        <v>28733</v>
      </c>
      <c r="H7087" s="68" t="s">
        <v>28737</v>
      </c>
      <c r="I7087" s="71"/>
      <c r="J7087" s="68" t="s">
        <v>28741</v>
      </c>
      <c r="K7087" s="76">
        <v>44279.0</v>
      </c>
      <c r="L7087" s="68" t="s">
        <v>2743</v>
      </c>
      <c r="M7087" s="68" t="s">
        <v>166</v>
      </c>
      <c r="N7087" s="116"/>
      <c r="O7087" s="51"/>
    </row>
    <row r="7088">
      <c r="A7088" s="273"/>
      <c r="B7088" s="71"/>
      <c r="C7088" s="69" t="s">
        <v>28742</v>
      </c>
      <c r="D7088" s="71"/>
      <c r="E7088" s="68" t="s">
        <v>28743</v>
      </c>
      <c r="F7088" s="83">
        <v>44176.0</v>
      </c>
      <c r="G7088" s="68" t="s">
        <v>28744</v>
      </c>
      <c r="H7088" s="68" t="s">
        <v>28745</v>
      </c>
      <c r="I7088" s="71"/>
      <c r="J7088" s="68" t="s">
        <v>28746</v>
      </c>
      <c r="K7088" s="76">
        <v>44279.0</v>
      </c>
      <c r="L7088" s="68" t="s">
        <v>26929</v>
      </c>
      <c r="M7088" s="68" t="s">
        <v>19459</v>
      </c>
      <c r="N7088" s="116"/>
      <c r="O7088" s="51"/>
    </row>
    <row r="7089">
      <c r="A7089" s="234"/>
      <c r="B7089" s="71"/>
      <c r="C7089" s="79" t="s">
        <v>28747</v>
      </c>
      <c r="D7089" s="82"/>
      <c r="E7089" s="63" t="s">
        <v>28748</v>
      </c>
      <c r="F7089" s="70">
        <v>43992.0</v>
      </c>
      <c r="G7089" s="63" t="s">
        <v>28749</v>
      </c>
      <c r="H7089" s="80" t="s">
        <v>28750</v>
      </c>
      <c r="I7089" s="82"/>
      <c r="J7089" s="63" t="s">
        <v>136</v>
      </c>
      <c r="K7089" s="81">
        <v>44281.0</v>
      </c>
      <c r="L7089" s="80" t="s">
        <v>2743</v>
      </c>
      <c r="M7089" s="80" t="s">
        <v>4487</v>
      </c>
      <c r="N7089" s="116"/>
      <c r="O7089" s="51"/>
    </row>
    <row r="7090">
      <c r="A7090" s="273"/>
      <c r="B7090" s="71"/>
      <c r="C7090" s="69" t="s">
        <v>28751</v>
      </c>
      <c r="D7090" s="71"/>
      <c r="E7090" s="68" t="s">
        <v>28752</v>
      </c>
      <c r="F7090" s="83">
        <v>44180.0</v>
      </c>
      <c r="G7090" s="68" t="s">
        <v>28753</v>
      </c>
      <c r="H7090" s="68" t="s">
        <v>28754</v>
      </c>
      <c r="I7090" s="71"/>
      <c r="J7090" s="68" t="s">
        <v>28755</v>
      </c>
      <c r="K7090" s="76">
        <v>44281.0</v>
      </c>
      <c r="L7090" s="68" t="s">
        <v>2743</v>
      </c>
      <c r="M7090" s="68" t="s">
        <v>149</v>
      </c>
      <c r="N7090" s="116"/>
      <c r="O7090" s="51"/>
    </row>
    <row r="7091">
      <c r="A7091" s="234"/>
      <c r="B7091" s="71"/>
      <c r="C7091" s="79" t="s">
        <v>28756</v>
      </c>
      <c r="D7091" s="82"/>
      <c r="E7091" s="63" t="s">
        <v>28757</v>
      </c>
      <c r="F7091" s="65">
        <v>40873.0</v>
      </c>
      <c r="G7091" s="63" t="s">
        <v>28758</v>
      </c>
      <c r="H7091" s="80" t="s">
        <v>28759</v>
      </c>
      <c r="I7091" s="82"/>
      <c r="J7091" s="63" t="s">
        <v>136</v>
      </c>
      <c r="K7091" s="81">
        <v>44282.0</v>
      </c>
      <c r="L7091" s="80" t="s">
        <v>2743</v>
      </c>
      <c r="M7091" s="80" t="s">
        <v>166</v>
      </c>
      <c r="N7091" s="116"/>
      <c r="O7091" s="51"/>
    </row>
    <row r="7092">
      <c r="A7092" s="273"/>
      <c r="B7092" s="71"/>
      <c r="C7092" s="69" t="s">
        <v>28760</v>
      </c>
      <c r="D7092" s="71"/>
      <c r="E7092" s="68" t="s">
        <v>28761</v>
      </c>
      <c r="F7092" s="76">
        <v>44197.0</v>
      </c>
      <c r="G7092" s="68" t="s">
        <v>28762</v>
      </c>
      <c r="H7092" s="68" t="s">
        <v>28763</v>
      </c>
      <c r="I7092" s="71"/>
      <c r="J7092" s="68" t="s">
        <v>28764</v>
      </c>
      <c r="K7092" s="76">
        <v>44284.0</v>
      </c>
      <c r="L7092" s="68" t="s">
        <v>26929</v>
      </c>
      <c r="M7092" s="68" t="s">
        <v>22473</v>
      </c>
      <c r="N7092" s="116"/>
      <c r="O7092" s="51"/>
    </row>
    <row r="7093">
      <c r="A7093" s="273"/>
      <c r="B7093" s="71"/>
      <c r="C7093" s="69" t="s">
        <v>28765</v>
      </c>
      <c r="D7093" s="71"/>
      <c r="E7093" s="68" t="s">
        <v>28766</v>
      </c>
      <c r="F7093" s="76">
        <v>43712.0</v>
      </c>
      <c r="G7093" s="68" t="s">
        <v>28767</v>
      </c>
      <c r="H7093" s="68" t="s">
        <v>439</v>
      </c>
      <c r="I7093" s="71"/>
      <c r="J7093" s="68" t="s">
        <v>28768</v>
      </c>
      <c r="K7093" s="76">
        <v>44284.0</v>
      </c>
      <c r="L7093" s="68" t="s">
        <v>26929</v>
      </c>
      <c r="M7093" s="80" t="s">
        <v>27</v>
      </c>
      <c r="N7093" s="116"/>
      <c r="O7093" s="51"/>
    </row>
    <row r="7094">
      <c r="A7094" s="273"/>
      <c r="B7094" s="71"/>
      <c r="C7094" s="69" t="s">
        <v>28769</v>
      </c>
      <c r="D7094" s="71"/>
      <c r="E7094" s="68" t="s">
        <v>28770</v>
      </c>
      <c r="F7094" s="76">
        <v>43712.0</v>
      </c>
      <c r="G7094" s="68" t="s">
        <v>28771</v>
      </c>
      <c r="H7094" s="68" t="s">
        <v>28772</v>
      </c>
      <c r="I7094" s="71"/>
      <c r="J7094" s="68" t="s">
        <v>28773</v>
      </c>
      <c r="K7094" s="76">
        <v>44284.0</v>
      </c>
      <c r="L7094" s="68" t="s">
        <v>26929</v>
      </c>
      <c r="M7094" s="68" t="s">
        <v>22473</v>
      </c>
      <c r="N7094" s="116"/>
      <c r="O7094" s="51"/>
    </row>
    <row r="7095">
      <c r="A7095" s="273"/>
      <c r="B7095" s="71"/>
      <c r="C7095" s="69" t="s">
        <v>28774</v>
      </c>
      <c r="D7095" s="71"/>
      <c r="E7095" s="68" t="s">
        <v>28775</v>
      </c>
      <c r="F7095" s="76">
        <v>44246.0</v>
      </c>
      <c r="G7095" s="68" t="s">
        <v>28776</v>
      </c>
      <c r="H7095" s="68" t="s">
        <v>28777</v>
      </c>
      <c r="I7095" s="68" t="s">
        <v>28778</v>
      </c>
      <c r="J7095" s="68" t="s">
        <v>28779</v>
      </c>
      <c r="K7095" s="76">
        <v>44284.0</v>
      </c>
      <c r="L7095" s="68" t="s">
        <v>2743</v>
      </c>
      <c r="M7095" s="68" t="s">
        <v>201</v>
      </c>
      <c r="N7095" s="116"/>
      <c r="O7095" s="51"/>
    </row>
    <row r="7096">
      <c r="A7096" s="234"/>
      <c r="B7096" s="71"/>
      <c r="C7096" s="79" t="s">
        <v>28780</v>
      </c>
      <c r="D7096" s="82"/>
      <c r="E7096" s="63" t="s">
        <v>28781</v>
      </c>
      <c r="F7096" s="70">
        <v>41817.0</v>
      </c>
      <c r="G7096" s="63" t="s">
        <v>28782</v>
      </c>
      <c r="H7096" s="80" t="s">
        <v>28783</v>
      </c>
      <c r="I7096" s="82"/>
      <c r="J7096" s="63" t="s">
        <v>136</v>
      </c>
      <c r="K7096" s="81">
        <v>44284.0</v>
      </c>
      <c r="L7096" s="80" t="s">
        <v>2743</v>
      </c>
      <c r="M7096" s="80" t="s">
        <v>22473</v>
      </c>
      <c r="N7096" s="116"/>
      <c r="O7096" s="51"/>
    </row>
    <row r="7097">
      <c r="A7097" s="273"/>
      <c r="B7097" s="71"/>
      <c r="C7097" s="69" t="s">
        <v>28784</v>
      </c>
      <c r="D7097" s="71"/>
      <c r="E7097" s="68" t="s">
        <v>28785</v>
      </c>
      <c r="F7097" s="76">
        <v>42767.0</v>
      </c>
      <c r="G7097" s="68" t="s">
        <v>28519</v>
      </c>
      <c r="H7097" s="71"/>
      <c r="I7097" s="71"/>
      <c r="J7097" s="68" t="s">
        <v>28786</v>
      </c>
      <c r="K7097" s="76">
        <v>43573.0</v>
      </c>
      <c r="L7097" s="71"/>
      <c r="M7097" s="68" t="s">
        <v>27</v>
      </c>
      <c r="N7097" s="116"/>
      <c r="O7097" s="51"/>
    </row>
    <row r="7098">
      <c r="A7098" s="273"/>
      <c r="B7098" s="71"/>
      <c r="C7098" s="69" t="s">
        <v>28787</v>
      </c>
      <c r="D7098" s="71"/>
      <c r="E7098" s="68" t="s">
        <v>28788</v>
      </c>
      <c r="F7098" s="76">
        <v>42767.0</v>
      </c>
      <c r="G7098" s="68" t="s">
        <v>28519</v>
      </c>
      <c r="H7098" s="71"/>
      <c r="I7098" s="71"/>
      <c r="J7098" s="68" t="s">
        <v>28789</v>
      </c>
      <c r="K7098" s="76">
        <v>43573.0</v>
      </c>
      <c r="L7098" s="71"/>
      <c r="M7098" s="68" t="s">
        <v>27</v>
      </c>
      <c r="N7098" s="116"/>
      <c r="O7098" s="51"/>
    </row>
    <row r="7099">
      <c r="A7099" s="273"/>
      <c r="B7099" s="71"/>
      <c r="C7099" s="79" t="s">
        <v>28790</v>
      </c>
      <c r="D7099" s="71"/>
      <c r="E7099" s="68" t="s">
        <v>28791</v>
      </c>
      <c r="F7099" s="76">
        <v>42769.0</v>
      </c>
      <c r="G7099" s="68" t="s">
        <v>28549</v>
      </c>
      <c r="H7099" s="71"/>
      <c r="I7099" s="71"/>
      <c r="J7099" s="68" t="s">
        <v>28792</v>
      </c>
      <c r="K7099" s="76">
        <v>43573.0</v>
      </c>
      <c r="L7099" s="71"/>
      <c r="M7099" s="68" t="s">
        <v>27</v>
      </c>
      <c r="N7099" s="116"/>
      <c r="O7099" s="51"/>
    </row>
    <row r="7100">
      <c r="A7100" s="273"/>
      <c r="B7100" s="71"/>
      <c r="C7100" s="79" t="s">
        <v>28793</v>
      </c>
      <c r="D7100" s="71"/>
      <c r="E7100" s="68" t="s">
        <v>28794</v>
      </c>
      <c r="F7100" s="76">
        <v>42769.0</v>
      </c>
      <c r="G7100" s="68" t="s">
        <v>28549</v>
      </c>
      <c r="H7100" s="71"/>
      <c r="I7100" s="71"/>
      <c r="J7100" s="68" t="s">
        <v>28792</v>
      </c>
      <c r="K7100" s="76">
        <v>43573.0</v>
      </c>
      <c r="L7100" s="71"/>
      <c r="M7100" s="68" t="s">
        <v>27</v>
      </c>
      <c r="N7100" s="116"/>
      <c r="O7100" s="51"/>
    </row>
    <row r="7101">
      <c r="A7101" s="273"/>
      <c r="B7101" s="71"/>
      <c r="C7101" s="69" t="s">
        <v>28795</v>
      </c>
      <c r="D7101" s="71"/>
      <c r="E7101" s="68" t="s">
        <v>28796</v>
      </c>
      <c r="F7101" s="76">
        <v>42769.0</v>
      </c>
      <c r="G7101" s="68" t="s">
        <v>28797</v>
      </c>
      <c r="H7101" s="71"/>
      <c r="I7101" s="71"/>
      <c r="J7101" s="68" t="s">
        <v>28798</v>
      </c>
      <c r="K7101" s="76">
        <v>43573.0</v>
      </c>
      <c r="L7101" s="71"/>
      <c r="M7101" s="68" t="s">
        <v>27</v>
      </c>
      <c r="N7101" s="116"/>
      <c r="O7101" s="51"/>
    </row>
    <row r="7102">
      <c r="A7102" s="273"/>
      <c r="B7102" s="71"/>
      <c r="C7102" s="79" t="s">
        <v>28799</v>
      </c>
      <c r="D7102" s="71"/>
      <c r="E7102" s="68" t="s">
        <v>28800</v>
      </c>
      <c r="F7102" s="76">
        <v>42769.0</v>
      </c>
      <c r="G7102" s="68" t="s">
        <v>28549</v>
      </c>
      <c r="H7102" s="71"/>
      <c r="I7102" s="71"/>
      <c r="J7102" s="68" t="s">
        <v>28792</v>
      </c>
      <c r="K7102" s="76">
        <v>43573.0</v>
      </c>
      <c r="L7102" s="71"/>
      <c r="M7102" s="68" t="s">
        <v>27</v>
      </c>
      <c r="N7102" s="116"/>
      <c r="O7102" s="51"/>
    </row>
    <row r="7103">
      <c r="A7103" s="273"/>
      <c r="B7103" s="71"/>
      <c r="C7103" s="79" t="s">
        <v>28801</v>
      </c>
      <c r="D7103" s="71"/>
      <c r="E7103" s="68" t="s">
        <v>28802</v>
      </c>
      <c r="F7103" s="76">
        <v>42769.0</v>
      </c>
      <c r="G7103" s="68" t="s">
        <v>28549</v>
      </c>
      <c r="H7103" s="71"/>
      <c r="I7103" s="71"/>
      <c r="J7103" s="68" t="s">
        <v>28792</v>
      </c>
      <c r="K7103" s="76">
        <v>43573.0</v>
      </c>
      <c r="L7103" s="71"/>
      <c r="M7103" s="68" t="s">
        <v>27</v>
      </c>
      <c r="N7103" s="116"/>
      <c r="O7103" s="51"/>
    </row>
    <row r="7104">
      <c r="A7104" s="273"/>
      <c r="B7104" s="71"/>
      <c r="C7104" s="79" t="s">
        <v>28803</v>
      </c>
      <c r="D7104" s="71"/>
      <c r="E7104" s="68" t="s">
        <v>28804</v>
      </c>
      <c r="F7104" s="76">
        <v>42771.0</v>
      </c>
      <c r="G7104" s="68" t="s">
        <v>28492</v>
      </c>
      <c r="H7104" s="71"/>
      <c r="I7104" s="71"/>
      <c r="J7104" s="68" t="s">
        <v>28792</v>
      </c>
      <c r="K7104" s="76">
        <v>43573.0</v>
      </c>
      <c r="L7104" s="71"/>
      <c r="M7104" s="68" t="s">
        <v>27</v>
      </c>
      <c r="N7104" s="116"/>
      <c r="O7104" s="51"/>
    </row>
    <row r="7105">
      <c r="A7105" s="273"/>
      <c r="B7105" s="71"/>
      <c r="C7105" s="79" t="s">
        <v>28805</v>
      </c>
      <c r="D7105" s="71"/>
      <c r="E7105" s="68" t="s">
        <v>28806</v>
      </c>
      <c r="F7105" s="76">
        <v>42770.0</v>
      </c>
      <c r="G7105" s="68" t="s">
        <v>28807</v>
      </c>
      <c r="H7105" s="71"/>
      <c r="I7105" s="71"/>
      <c r="J7105" s="68" t="s">
        <v>28792</v>
      </c>
      <c r="K7105" s="76">
        <v>43573.0</v>
      </c>
      <c r="L7105" s="71"/>
      <c r="M7105" s="68" t="s">
        <v>27</v>
      </c>
      <c r="N7105" s="116"/>
      <c r="O7105" s="51"/>
    </row>
    <row r="7106">
      <c r="A7106" s="273"/>
      <c r="B7106" s="71"/>
      <c r="C7106" s="79" t="s">
        <v>28808</v>
      </c>
      <c r="D7106" s="71"/>
      <c r="E7106" s="68" t="s">
        <v>28809</v>
      </c>
      <c r="F7106" s="76">
        <v>42770.0</v>
      </c>
      <c r="G7106" s="68" t="s">
        <v>28807</v>
      </c>
      <c r="H7106" s="71"/>
      <c r="I7106" s="71"/>
      <c r="J7106" s="68" t="s">
        <v>28792</v>
      </c>
      <c r="K7106" s="76">
        <v>43573.0</v>
      </c>
      <c r="L7106" s="71"/>
      <c r="M7106" s="68" t="s">
        <v>27</v>
      </c>
      <c r="N7106" s="116"/>
      <c r="O7106" s="51"/>
    </row>
    <row r="7107">
      <c r="A7107" s="273"/>
      <c r="B7107" s="71"/>
      <c r="C7107" s="69" t="s">
        <v>28810</v>
      </c>
      <c r="D7107" s="71"/>
      <c r="E7107" s="68" t="s">
        <v>28811</v>
      </c>
      <c r="F7107" s="76">
        <v>42769.0</v>
      </c>
      <c r="G7107" s="68" t="s">
        <v>28326</v>
      </c>
      <c r="H7107" s="71"/>
      <c r="I7107" s="71"/>
      <c r="J7107" s="68" t="s">
        <v>28812</v>
      </c>
      <c r="K7107" s="76">
        <v>43573.0</v>
      </c>
      <c r="L7107" s="71"/>
      <c r="M7107" s="68" t="s">
        <v>27</v>
      </c>
      <c r="N7107" s="116"/>
      <c r="O7107" s="51"/>
    </row>
    <row r="7108">
      <c r="A7108" s="273"/>
      <c r="B7108" s="71"/>
      <c r="C7108" s="79" t="s">
        <v>28813</v>
      </c>
      <c r="D7108" s="71"/>
      <c r="E7108" s="68" t="s">
        <v>28814</v>
      </c>
      <c r="F7108" s="76">
        <v>42769.0</v>
      </c>
      <c r="G7108" s="68" t="s">
        <v>28553</v>
      </c>
      <c r="H7108" s="71"/>
      <c r="I7108" s="71"/>
      <c r="J7108" s="68" t="s">
        <v>28792</v>
      </c>
      <c r="K7108" s="76">
        <v>43573.0</v>
      </c>
      <c r="L7108" s="71"/>
      <c r="M7108" s="68" t="s">
        <v>27</v>
      </c>
      <c r="N7108" s="116"/>
      <c r="O7108" s="51"/>
    </row>
    <row r="7109">
      <c r="A7109" s="273"/>
      <c r="B7109" s="71"/>
      <c r="C7109" s="79" t="s">
        <v>28815</v>
      </c>
      <c r="D7109" s="71"/>
      <c r="E7109" s="68" t="s">
        <v>28816</v>
      </c>
      <c r="F7109" s="76">
        <v>42769.0</v>
      </c>
      <c r="G7109" s="68" t="s">
        <v>28545</v>
      </c>
      <c r="H7109" s="71"/>
      <c r="I7109" s="71"/>
      <c r="J7109" s="68" t="s">
        <v>28792</v>
      </c>
      <c r="K7109" s="76">
        <v>43573.0</v>
      </c>
      <c r="L7109" s="71"/>
      <c r="M7109" s="68" t="s">
        <v>27</v>
      </c>
      <c r="N7109" s="116"/>
      <c r="O7109" s="51"/>
    </row>
    <row r="7110">
      <c r="A7110" s="273"/>
      <c r="B7110" s="71"/>
      <c r="C7110" s="79" t="s">
        <v>28817</v>
      </c>
      <c r="D7110" s="71"/>
      <c r="E7110" s="68" t="s">
        <v>28818</v>
      </c>
      <c r="F7110" s="76">
        <v>42769.0</v>
      </c>
      <c r="G7110" s="68" t="s">
        <v>28553</v>
      </c>
      <c r="H7110" s="71"/>
      <c r="I7110" s="71"/>
      <c r="J7110" s="68" t="s">
        <v>28792</v>
      </c>
      <c r="K7110" s="76">
        <v>43573.0</v>
      </c>
      <c r="L7110" s="71"/>
      <c r="M7110" s="68" t="s">
        <v>27</v>
      </c>
      <c r="N7110" s="116"/>
      <c r="O7110" s="51"/>
    </row>
    <row r="7111">
      <c r="A7111" s="273"/>
      <c r="B7111" s="71"/>
      <c r="C7111" s="79" t="s">
        <v>28819</v>
      </c>
      <c r="D7111" s="71"/>
      <c r="E7111" s="68" t="s">
        <v>28820</v>
      </c>
      <c r="F7111" s="76">
        <v>42775.0</v>
      </c>
      <c r="G7111" s="68" t="s">
        <v>28821</v>
      </c>
      <c r="H7111" s="71"/>
      <c r="I7111" s="71"/>
      <c r="J7111" s="68" t="s">
        <v>28792</v>
      </c>
      <c r="K7111" s="76">
        <v>43573.0</v>
      </c>
      <c r="L7111" s="71"/>
      <c r="M7111" s="68" t="s">
        <v>27</v>
      </c>
      <c r="N7111" s="116"/>
      <c r="O7111" s="51"/>
    </row>
    <row r="7112">
      <c r="A7112" s="273"/>
      <c r="B7112" s="71"/>
      <c r="C7112" s="79" t="s">
        <v>28822</v>
      </c>
      <c r="D7112" s="71"/>
      <c r="E7112" s="68" t="s">
        <v>28823</v>
      </c>
      <c r="F7112" s="76">
        <v>42775.0</v>
      </c>
      <c r="G7112" s="68" t="s">
        <v>28824</v>
      </c>
      <c r="H7112" s="71"/>
      <c r="I7112" s="71"/>
      <c r="J7112" s="68" t="s">
        <v>28792</v>
      </c>
      <c r="K7112" s="76">
        <v>43573.0</v>
      </c>
      <c r="L7112" s="71"/>
      <c r="M7112" s="68" t="s">
        <v>27</v>
      </c>
      <c r="N7112" s="116"/>
      <c r="O7112" s="51"/>
    </row>
    <row r="7113">
      <c r="A7113" s="273"/>
      <c r="B7113" s="71"/>
      <c r="C7113" s="79" t="s">
        <v>28825</v>
      </c>
      <c r="D7113" s="71"/>
      <c r="E7113" s="68" t="s">
        <v>28826</v>
      </c>
      <c r="F7113" s="76">
        <v>42775.0</v>
      </c>
      <c r="G7113" s="68" t="s">
        <v>28824</v>
      </c>
      <c r="H7113" s="71"/>
      <c r="I7113" s="71"/>
      <c r="J7113" s="68" t="s">
        <v>28792</v>
      </c>
      <c r="K7113" s="76">
        <v>43573.0</v>
      </c>
      <c r="L7113" s="71"/>
      <c r="M7113" s="68" t="s">
        <v>27</v>
      </c>
      <c r="N7113" s="116"/>
      <c r="O7113" s="51"/>
    </row>
    <row r="7114">
      <c r="A7114" s="273"/>
      <c r="B7114" s="71"/>
      <c r="C7114" s="79" t="s">
        <v>28827</v>
      </c>
      <c r="D7114" s="71"/>
      <c r="E7114" s="68" t="s">
        <v>28828</v>
      </c>
      <c r="F7114" s="76">
        <v>42775.0</v>
      </c>
      <c r="G7114" s="68" t="s">
        <v>28829</v>
      </c>
      <c r="H7114" s="71"/>
      <c r="I7114" s="71"/>
      <c r="J7114" s="68" t="s">
        <v>28792</v>
      </c>
      <c r="K7114" s="76">
        <v>43573.0</v>
      </c>
      <c r="L7114" s="71"/>
      <c r="M7114" s="68" t="s">
        <v>27</v>
      </c>
      <c r="N7114" s="116"/>
      <c r="O7114" s="51"/>
    </row>
    <row r="7115">
      <c r="A7115" s="234"/>
      <c r="B7115" s="71"/>
      <c r="C7115" s="79" t="s">
        <v>28830</v>
      </c>
      <c r="D7115" s="82"/>
      <c r="E7115" s="63" t="s">
        <v>28831</v>
      </c>
      <c r="F7115" s="70">
        <v>42773.0</v>
      </c>
      <c r="G7115" s="63" t="s">
        <v>28832</v>
      </c>
      <c r="H7115" s="82"/>
      <c r="I7115" s="82"/>
      <c r="J7115" s="63" t="s">
        <v>136</v>
      </c>
      <c r="K7115" s="81">
        <v>43573.0</v>
      </c>
      <c r="L7115" s="82"/>
      <c r="M7115" s="80" t="s">
        <v>27</v>
      </c>
      <c r="N7115" s="116"/>
      <c r="O7115" s="51"/>
    </row>
    <row r="7116">
      <c r="A7116" s="234"/>
      <c r="B7116" s="71"/>
      <c r="C7116" s="79" t="s">
        <v>28833</v>
      </c>
      <c r="D7116" s="71"/>
      <c r="E7116" s="68" t="s">
        <v>28834</v>
      </c>
      <c r="F7116" s="76">
        <v>42773.0</v>
      </c>
      <c r="G7116" s="68" t="s">
        <v>28835</v>
      </c>
      <c r="H7116" s="71"/>
      <c r="I7116" s="71"/>
      <c r="J7116" s="68" t="s">
        <v>28792</v>
      </c>
      <c r="K7116" s="76">
        <v>43573.0</v>
      </c>
      <c r="L7116" s="71"/>
      <c r="M7116" s="68" t="s">
        <v>27</v>
      </c>
      <c r="N7116" s="116"/>
      <c r="O7116" s="51"/>
    </row>
    <row r="7117">
      <c r="A7117" s="273"/>
      <c r="B7117" s="71"/>
      <c r="C7117" s="79" t="s">
        <v>28836</v>
      </c>
      <c r="D7117" s="71"/>
      <c r="E7117" s="68" t="s">
        <v>28837</v>
      </c>
      <c r="F7117" s="76">
        <v>42773.0</v>
      </c>
      <c r="G7117" s="68" t="s">
        <v>28256</v>
      </c>
      <c r="H7117" s="71"/>
      <c r="I7117" s="71"/>
      <c r="J7117" s="68" t="s">
        <v>28792</v>
      </c>
      <c r="K7117" s="76">
        <v>43573.0</v>
      </c>
      <c r="L7117" s="71"/>
      <c r="M7117" s="68" t="s">
        <v>27</v>
      </c>
      <c r="N7117" s="116"/>
      <c r="O7117" s="51"/>
    </row>
    <row r="7118">
      <c r="A7118" s="273"/>
      <c r="B7118" s="71"/>
      <c r="C7118" s="69" t="s">
        <v>28838</v>
      </c>
      <c r="D7118" s="71"/>
      <c r="E7118" s="68" t="s">
        <v>28839</v>
      </c>
      <c r="F7118" s="76">
        <v>42773.0</v>
      </c>
      <c r="G7118" s="68" t="s">
        <v>28256</v>
      </c>
      <c r="H7118" s="71"/>
      <c r="I7118" s="71"/>
      <c r="J7118" s="68" t="s">
        <v>28840</v>
      </c>
      <c r="K7118" s="76">
        <v>43573.0</v>
      </c>
      <c r="L7118" s="71"/>
      <c r="M7118" s="68" t="s">
        <v>27</v>
      </c>
      <c r="N7118" s="116"/>
      <c r="O7118" s="51"/>
    </row>
    <row r="7119">
      <c r="A7119" s="273"/>
      <c r="B7119" s="71"/>
      <c r="C7119" s="69" t="s">
        <v>28841</v>
      </c>
      <c r="D7119" s="71"/>
      <c r="E7119" s="68" t="s">
        <v>28842</v>
      </c>
      <c r="F7119" s="76">
        <v>42773.0</v>
      </c>
      <c r="G7119" s="68" t="s">
        <v>28843</v>
      </c>
      <c r="H7119" s="71"/>
      <c r="I7119" s="71"/>
      <c r="J7119" s="68" t="s">
        <v>28844</v>
      </c>
      <c r="K7119" s="76">
        <v>43573.0</v>
      </c>
      <c r="L7119" s="71"/>
      <c r="M7119" s="68" t="s">
        <v>27</v>
      </c>
      <c r="N7119" s="116"/>
      <c r="O7119" s="51"/>
    </row>
    <row r="7120">
      <c r="A7120" s="273"/>
      <c r="B7120" s="71"/>
      <c r="C7120" s="69" t="s">
        <v>28845</v>
      </c>
      <c r="D7120" s="71"/>
      <c r="E7120" s="68" t="s">
        <v>28846</v>
      </c>
      <c r="F7120" s="76">
        <v>42784.0</v>
      </c>
      <c r="G7120" s="68" t="s">
        <v>28843</v>
      </c>
      <c r="H7120" s="71"/>
      <c r="I7120" s="71"/>
      <c r="J7120" s="68" t="s">
        <v>28847</v>
      </c>
      <c r="K7120" s="76">
        <v>43573.0</v>
      </c>
      <c r="L7120" s="71"/>
      <c r="M7120" s="68" t="s">
        <v>27</v>
      </c>
      <c r="N7120" s="116"/>
      <c r="O7120" s="51"/>
    </row>
    <row r="7121">
      <c r="A7121" s="234"/>
      <c r="B7121" s="71"/>
      <c r="C7121" s="79" t="s">
        <v>28848</v>
      </c>
      <c r="D7121" s="82"/>
      <c r="E7121" s="63" t="s">
        <v>28849</v>
      </c>
      <c r="F7121" s="70">
        <v>42784.0</v>
      </c>
      <c r="G7121" s="63" t="s">
        <v>28850</v>
      </c>
      <c r="H7121" s="82"/>
      <c r="I7121" s="82"/>
      <c r="J7121" s="63" t="s">
        <v>136</v>
      </c>
      <c r="K7121" s="81">
        <v>43573.0</v>
      </c>
      <c r="L7121" s="82"/>
      <c r="M7121" s="80" t="s">
        <v>27</v>
      </c>
      <c r="N7121" s="116"/>
      <c r="O7121" s="51"/>
    </row>
    <row r="7122">
      <c r="A7122" s="273"/>
      <c r="B7122" s="71"/>
      <c r="C7122" s="79" t="s">
        <v>28851</v>
      </c>
      <c r="D7122" s="71"/>
      <c r="E7122" s="68" t="s">
        <v>28852</v>
      </c>
      <c r="F7122" s="76">
        <v>43041.0</v>
      </c>
      <c r="G7122" s="68" t="s">
        <v>28853</v>
      </c>
      <c r="H7122" s="71"/>
      <c r="I7122" s="71"/>
      <c r="J7122" s="68" t="s">
        <v>28792</v>
      </c>
      <c r="K7122" s="76">
        <v>43573.0</v>
      </c>
      <c r="L7122" s="71"/>
      <c r="M7122" s="68" t="s">
        <v>27</v>
      </c>
      <c r="N7122" s="116"/>
      <c r="O7122" s="51"/>
    </row>
    <row r="7123">
      <c r="A7123" s="273"/>
      <c r="B7123" s="71"/>
      <c r="C7123" s="79" t="s">
        <v>28854</v>
      </c>
      <c r="D7123" s="71"/>
      <c r="E7123" s="68" t="s">
        <v>28855</v>
      </c>
      <c r="F7123" s="76">
        <v>43010.0</v>
      </c>
      <c r="G7123" s="68" t="s">
        <v>28835</v>
      </c>
      <c r="H7123" s="71"/>
      <c r="I7123" s="71"/>
      <c r="J7123" s="68" t="s">
        <v>28792</v>
      </c>
      <c r="K7123" s="76">
        <v>43573.0</v>
      </c>
      <c r="L7123" s="71"/>
      <c r="M7123" s="68" t="s">
        <v>27</v>
      </c>
      <c r="N7123" s="116"/>
      <c r="O7123" s="51"/>
    </row>
    <row r="7124">
      <c r="A7124" s="273"/>
      <c r="B7124" s="71"/>
      <c r="C7124" s="69" t="s">
        <v>28856</v>
      </c>
      <c r="D7124" s="71"/>
      <c r="E7124" s="68" t="s">
        <v>28857</v>
      </c>
      <c r="F7124" s="76">
        <v>43010.0</v>
      </c>
      <c r="G7124" s="68" t="s">
        <v>28858</v>
      </c>
      <c r="H7124" s="71"/>
      <c r="I7124" s="71"/>
      <c r="J7124" s="68" t="s">
        <v>28859</v>
      </c>
      <c r="K7124" s="76">
        <v>43573.0</v>
      </c>
      <c r="L7124" s="71"/>
      <c r="M7124" s="68" t="s">
        <v>27</v>
      </c>
      <c r="N7124" s="116"/>
      <c r="O7124" s="51"/>
    </row>
    <row r="7125">
      <c r="A7125" s="273"/>
      <c r="B7125" s="71"/>
      <c r="C7125" s="69" t="s">
        <v>28860</v>
      </c>
      <c r="D7125" s="71"/>
      <c r="E7125" s="68" t="s">
        <v>28861</v>
      </c>
      <c r="F7125" s="76">
        <v>43010.0</v>
      </c>
      <c r="G7125" s="68" t="s">
        <v>28835</v>
      </c>
      <c r="H7125" s="71"/>
      <c r="I7125" s="71"/>
      <c r="J7125" s="68" t="s">
        <v>28862</v>
      </c>
      <c r="K7125" s="76">
        <v>43573.0</v>
      </c>
      <c r="L7125" s="71"/>
      <c r="M7125" s="68" t="s">
        <v>27</v>
      </c>
      <c r="N7125" s="116"/>
      <c r="O7125" s="51"/>
    </row>
    <row r="7126">
      <c r="A7126" s="273"/>
      <c r="B7126" s="71"/>
      <c r="C7126" s="79" t="s">
        <v>28863</v>
      </c>
      <c r="D7126" s="71"/>
      <c r="E7126" s="68" t="s">
        <v>28864</v>
      </c>
      <c r="F7126" s="76">
        <v>42848.0</v>
      </c>
      <c r="G7126" s="68" t="s">
        <v>28865</v>
      </c>
      <c r="H7126" s="71"/>
      <c r="I7126" s="71"/>
      <c r="J7126" s="68" t="s">
        <v>28792</v>
      </c>
      <c r="K7126" s="76">
        <v>43573.0</v>
      </c>
      <c r="L7126" s="71"/>
      <c r="M7126" s="68" t="s">
        <v>27</v>
      </c>
      <c r="N7126" s="116"/>
      <c r="O7126" s="51"/>
    </row>
    <row r="7127">
      <c r="A7127" s="273"/>
      <c r="B7127" s="71"/>
      <c r="C7127" s="69" t="s">
        <v>28866</v>
      </c>
      <c r="D7127" s="71"/>
      <c r="E7127" s="68" t="s">
        <v>28867</v>
      </c>
      <c r="F7127" s="76">
        <v>42845.0</v>
      </c>
      <c r="G7127" s="68" t="s">
        <v>28843</v>
      </c>
      <c r="H7127" s="71"/>
      <c r="I7127" s="71"/>
      <c r="J7127" s="68" t="s">
        <v>28868</v>
      </c>
      <c r="K7127" s="76">
        <v>43573.0</v>
      </c>
      <c r="L7127" s="71"/>
      <c r="M7127" s="68" t="s">
        <v>27</v>
      </c>
      <c r="N7127" s="116"/>
      <c r="O7127" s="51"/>
    </row>
    <row r="7128">
      <c r="A7128" s="273"/>
      <c r="B7128" s="71"/>
      <c r="C7128" s="79" t="s">
        <v>28869</v>
      </c>
      <c r="D7128" s="71"/>
      <c r="E7128" s="68" t="s">
        <v>28870</v>
      </c>
      <c r="F7128" s="76">
        <v>42854.0</v>
      </c>
      <c r="G7128" s="68" t="s">
        <v>28871</v>
      </c>
      <c r="H7128" s="71"/>
      <c r="I7128" s="71"/>
      <c r="J7128" s="68" t="s">
        <v>28792</v>
      </c>
      <c r="K7128" s="76">
        <v>43573.0</v>
      </c>
      <c r="L7128" s="71"/>
      <c r="M7128" s="68" t="s">
        <v>27</v>
      </c>
      <c r="N7128" s="116"/>
      <c r="O7128" s="51"/>
    </row>
    <row r="7129">
      <c r="A7129" s="273"/>
      <c r="B7129" s="71"/>
      <c r="C7129" s="79" t="s">
        <v>28872</v>
      </c>
      <c r="D7129" s="71"/>
      <c r="E7129" s="68" t="s">
        <v>28873</v>
      </c>
      <c r="F7129" s="76">
        <v>42852.0</v>
      </c>
      <c r="G7129" s="68" t="s">
        <v>28874</v>
      </c>
      <c r="H7129" s="71"/>
      <c r="I7129" s="71"/>
      <c r="J7129" s="68" t="s">
        <v>28792</v>
      </c>
      <c r="K7129" s="76">
        <v>43573.0</v>
      </c>
      <c r="L7129" s="71"/>
      <c r="M7129" s="68" t="s">
        <v>27</v>
      </c>
      <c r="N7129" s="116"/>
      <c r="O7129" s="51"/>
    </row>
    <row r="7130">
      <c r="A7130" s="273"/>
      <c r="B7130" s="71"/>
      <c r="C7130" s="79" t="s">
        <v>28875</v>
      </c>
      <c r="D7130" s="71"/>
      <c r="E7130" s="68" t="s">
        <v>28876</v>
      </c>
      <c r="F7130" s="76">
        <v>42852.0</v>
      </c>
      <c r="G7130" s="68" t="s">
        <v>28865</v>
      </c>
      <c r="H7130" s="71"/>
      <c r="I7130" s="71"/>
      <c r="J7130" s="68" t="s">
        <v>28792</v>
      </c>
      <c r="K7130" s="76">
        <v>43573.0</v>
      </c>
      <c r="L7130" s="71"/>
      <c r="M7130" s="68" t="s">
        <v>27</v>
      </c>
      <c r="N7130" s="116"/>
      <c r="O7130" s="51"/>
    </row>
    <row r="7131">
      <c r="A7131" s="273"/>
      <c r="B7131" s="71"/>
      <c r="C7131" s="79" t="s">
        <v>28877</v>
      </c>
      <c r="D7131" s="71"/>
      <c r="E7131" s="68" t="s">
        <v>28878</v>
      </c>
      <c r="F7131" s="76">
        <v>42852.0</v>
      </c>
      <c r="G7131" s="68" t="s">
        <v>28879</v>
      </c>
      <c r="H7131" s="71"/>
      <c r="I7131" s="71"/>
      <c r="J7131" s="68" t="s">
        <v>28792</v>
      </c>
      <c r="K7131" s="76">
        <v>43573.0</v>
      </c>
      <c r="L7131" s="71"/>
      <c r="M7131" s="68" t="s">
        <v>27</v>
      </c>
      <c r="N7131" s="116"/>
      <c r="O7131" s="51"/>
    </row>
    <row r="7132">
      <c r="A7132" s="234"/>
      <c r="B7132" s="71"/>
      <c r="C7132" s="79" t="s">
        <v>28880</v>
      </c>
      <c r="D7132" s="82"/>
      <c r="E7132" s="63" t="s">
        <v>28881</v>
      </c>
      <c r="F7132" s="70">
        <v>42852.0</v>
      </c>
      <c r="G7132" s="63" t="s">
        <v>28882</v>
      </c>
      <c r="H7132" s="82"/>
      <c r="I7132" s="82"/>
      <c r="J7132" s="63" t="s">
        <v>136</v>
      </c>
      <c r="K7132" s="81">
        <v>43573.0</v>
      </c>
      <c r="L7132" s="82"/>
      <c r="M7132" s="80" t="s">
        <v>27</v>
      </c>
      <c r="N7132" s="116"/>
      <c r="O7132" s="51"/>
    </row>
    <row r="7133">
      <c r="A7133" s="234"/>
      <c r="B7133" s="71"/>
      <c r="C7133" s="79" t="s">
        <v>28883</v>
      </c>
      <c r="D7133" s="82"/>
      <c r="E7133" s="63" t="s">
        <v>28884</v>
      </c>
      <c r="F7133" s="70">
        <v>42852.0</v>
      </c>
      <c r="G7133" s="63" t="s">
        <v>28882</v>
      </c>
      <c r="H7133" s="82"/>
      <c r="I7133" s="82"/>
      <c r="J7133" s="63" t="s">
        <v>136</v>
      </c>
      <c r="K7133" s="81">
        <v>43573.0</v>
      </c>
      <c r="L7133" s="82"/>
      <c r="M7133" s="80" t="s">
        <v>27</v>
      </c>
      <c r="N7133" s="116"/>
      <c r="O7133" s="51"/>
    </row>
    <row r="7134">
      <c r="A7134" s="273"/>
      <c r="B7134" s="71"/>
      <c r="C7134" s="69" t="s">
        <v>28885</v>
      </c>
      <c r="D7134" s="71"/>
      <c r="E7134" s="68" t="s">
        <v>28886</v>
      </c>
      <c r="F7134" s="68" t="s">
        <v>28887</v>
      </c>
      <c r="G7134" s="68" t="s">
        <v>28888</v>
      </c>
      <c r="H7134" s="71"/>
      <c r="I7134" s="71"/>
      <c r="J7134" s="68" t="s">
        <v>28889</v>
      </c>
      <c r="K7134" s="76">
        <v>43573.0</v>
      </c>
      <c r="L7134" s="71"/>
      <c r="M7134" s="68" t="s">
        <v>27</v>
      </c>
      <c r="N7134" s="116"/>
      <c r="O7134" s="51"/>
    </row>
    <row r="7135">
      <c r="A7135" s="273"/>
      <c r="B7135" s="71"/>
      <c r="C7135" s="79" t="s">
        <v>28890</v>
      </c>
      <c r="D7135" s="71"/>
      <c r="E7135" s="68" t="s">
        <v>28891</v>
      </c>
      <c r="F7135" s="68" t="s">
        <v>28887</v>
      </c>
      <c r="G7135" s="68" t="s">
        <v>28888</v>
      </c>
      <c r="H7135" s="71"/>
      <c r="I7135" s="71"/>
      <c r="J7135" s="68" t="s">
        <v>28792</v>
      </c>
      <c r="K7135" s="76">
        <v>43573.0</v>
      </c>
      <c r="L7135" s="71"/>
      <c r="M7135" s="68" t="s">
        <v>27</v>
      </c>
      <c r="N7135" s="116"/>
      <c r="O7135" s="51"/>
    </row>
    <row r="7136">
      <c r="A7136" s="273"/>
      <c r="B7136" s="71"/>
      <c r="C7136" s="79" t="s">
        <v>28892</v>
      </c>
      <c r="D7136" s="71"/>
      <c r="E7136" s="68" t="s">
        <v>28893</v>
      </c>
      <c r="F7136" s="68" t="s">
        <v>28887</v>
      </c>
      <c r="G7136" s="68" t="s">
        <v>28865</v>
      </c>
      <c r="H7136" s="71"/>
      <c r="I7136" s="71"/>
      <c r="J7136" s="68" t="s">
        <v>28792</v>
      </c>
      <c r="K7136" s="76">
        <v>43573.0</v>
      </c>
      <c r="L7136" s="71"/>
      <c r="M7136" s="68" t="s">
        <v>27</v>
      </c>
      <c r="N7136" s="116"/>
      <c r="O7136" s="51"/>
    </row>
    <row r="7137">
      <c r="A7137" s="273"/>
      <c r="B7137" s="71"/>
      <c r="C7137" s="69" t="s">
        <v>28894</v>
      </c>
      <c r="D7137" s="71"/>
      <c r="E7137" s="68" t="s">
        <v>28895</v>
      </c>
      <c r="F7137" s="76">
        <v>42850.0</v>
      </c>
      <c r="G7137" s="68" t="s">
        <v>28888</v>
      </c>
      <c r="H7137" s="71"/>
      <c r="I7137" s="71"/>
      <c r="J7137" s="68" t="s">
        <v>28896</v>
      </c>
      <c r="K7137" s="76">
        <v>43573.0</v>
      </c>
      <c r="L7137" s="71"/>
      <c r="M7137" s="68" t="s">
        <v>27</v>
      </c>
      <c r="N7137" s="116"/>
      <c r="O7137" s="51"/>
    </row>
    <row r="7138">
      <c r="A7138" s="273"/>
      <c r="B7138" s="71"/>
      <c r="C7138" s="79" t="s">
        <v>28897</v>
      </c>
      <c r="D7138" s="71"/>
      <c r="E7138" s="68" t="s">
        <v>28898</v>
      </c>
      <c r="F7138" s="76">
        <v>42850.0</v>
      </c>
      <c r="G7138" s="68" t="s">
        <v>28853</v>
      </c>
      <c r="H7138" s="71"/>
      <c r="I7138" s="71"/>
      <c r="J7138" s="68" t="s">
        <v>28792</v>
      </c>
      <c r="K7138" s="76">
        <v>43573.0</v>
      </c>
      <c r="L7138" s="71"/>
      <c r="M7138" s="68" t="s">
        <v>27</v>
      </c>
      <c r="N7138" s="116"/>
      <c r="O7138" s="51"/>
    </row>
    <row r="7139">
      <c r="A7139" s="273"/>
      <c r="B7139" s="71"/>
      <c r="C7139" s="79" t="s">
        <v>28899</v>
      </c>
      <c r="D7139" s="71"/>
      <c r="E7139" s="68" t="s">
        <v>28900</v>
      </c>
      <c r="F7139" s="76">
        <v>42850.0</v>
      </c>
      <c r="G7139" s="68" t="s">
        <v>28865</v>
      </c>
      <c r="H7139" s="71"/>
      <c r="I7139" s="71"/>
      <c r="J7139" s="68" t="s">
        <v>28792</v>
      </c>
      <c r="K7139" s="76">
        <v>43573.0</v>
      </c>
      <c r="L7139" s="71"/>
      <c r="M7139" s="68" t="s">
        <v>27</v>
      </c>
      <c r="N7139" s="116"/>
      <c r="O7139" s="51"/>
    </row>
    <row r="7140">
      <c r="A7140" s="273"/>
      <c r="B7140" s="71"/>
      <c r="C7140" s="69" t="s">
        <v>28901</v>
      </c>
      <c r="D7140" s="71"/>
      <c r="E7140" s="68" t="s">
        <v>28902</v>
      </c>
      <c r="F7140" s="76">
        <v>42848.0</v>
      </c>
      <c r="G7140" s="68" t="s">
        <v>28865</v>
      </c>
      <c r="H7140" s="71"/>
      <c r="I7140" s="71"/>
      <c r="J7140" s="68" t="s">
        <v>28792</v>
      </c>
      <c r="K7140" s="76">
        <v>43573.0</v>
      </c>
      <c r="L7140" s="71"/>
      <c r="M7140" s="68" t="s">
        <v>27</v>
      </c>
      <c r="N7140" s="116"/>
      <c r="O7140" s="51"/>
    </row>
    <row r="7141">
      <c r="A7141" s="273"/>
      <c r="B7141" s="71"/>
      <c r="C7141" s="69" t="s">
        <v>28903</v>
      </c>
      <c r="D7141" s="71"/>
      <c r="E7141" s="68" t="s">
        <v>28904</v>
      </c>
      <c r="F7141" s="76">
        <v>42771.0</v>
      </c>
      <c r="G7141" s="68" t="s">
        <v>28905</v>
      </c>
      <c r="H7141" s="71"/>
      <c r="I7141" s="71"/>
      <c r="J7141" s="68" t="s">
        <v>28792</v>
      </c>
      <c r="K7141" s="76">
        <v>43573.0</v>
      </c>
      <c r="L7141" s="71"/>
      <c r="M7141" s="68" t="s">
        <v>27</v>
      </c>
      <c r="N7141" s="116"/>
      <c r="O7141" s="51"/>
    </row>
    <row r="7142">
      <c r="A7142" s="273"/>
      <c r="B7142" s="71"/>
      <c r="C7142" s="69" t="s">
        <v>28906</v>
      </c>
      <c r="D7142" s="71"/>
      <c r="E7142" s="68" t="s">
        <v>28907</v>
      </c>
      <c r="F7142" s="76">
        <v>42771.0</v>
      </c>
      <c r="G7142" s="68" t="s">
        <v>28908</v>
      </c>
      <c r="H7142" s="71"/>
      <c r="I7142" s="71"/>
      <c r="J7142" s="68" t="s">
        <v>28792</v>
      </c>
      <c r="K7142" s="76">
        <v>43573.0</v>
      </c>
      <c r="L7142" s="71"/>
      <c r="M7142" s="68" t="s">
        <v>27</v>
      </c>
      <c r="N7142" s="116"/>
      <c r="O7142" s="51"/>
    </row>
    <row r="7143">
      <c r="A7143" s="273"/>
      <c r="B7143" s="71"/>
      <c r="C7143" s="69" t="s">
        <v>28909</v>
      </c>
      <c r="D7143" s="71"/>
      <c r="E7143" s="68" t="s">
        <v>28910</v>
      </c>
      <c r="F7143" s="76">
        <v>42771.0</v>
      </c>
      <c r="G7143" s="68" t="s">
        <v>28911</v>
      </c>
      <c r="H7143" s="71"/>
      <c r="I7143" s="71"/>
      <c r="J7143" s="68" t="s">
        <v>28792</v>
      </c>
      <c r="K7143" s="76">
        <v>43573.0</v>
      </c>
      <c r="L7143" s="71"/>
      <c r="M7143" s="68" t="s">
        <v>27</v>
      </c>
      <c r="N7143" s="116"/>
      <c r="O7143" s="51"/>
    </row>
    <row r="7144">
      <c r="A7144" s="273"/>
      <c r="B7144" s="71"/>
      <c r="C7144" s="69" t="s">
        <v>28912</v>
      </c>
      <c r="D7144" s="71"/>
      <c r="E7144" s="68" t="s">
        <v>28913</v>
      </c>
      <c r="F7144" s="76">
        <v>42854.0</v>
      </c>
      <c r="G7144" s="68" t="s">
        <v>28871</v>
      </c>
      <c r="H7144" s="71"/>
      <c r="I7144" s="71"/>
      <c r="J7144" s="68" t="s">
        <v>28792</v>
      </c>
      <c r="K7144" s="76">
        <v>43573.0</v>
      </c>
      <c r="L7144" s="71"/>
      <c r="M7144" s="68" t="s">
        <v>27</v>
      </c>
      <c r="N7144" s="116"/>
      <c r="O7144" s="51"/>
    </row>
    <row r="7145">
      <c r="A7145" s="273"/>
      <c r="B7145" s="71"/>
      <c r="C7145" s="69" t="s">
        <v>28914</v>
      </c>
      <c r="D7145" s="71"/>
      <c r="E7145" s="68" t="s">
        <v>28915</v>
      </c>
      <c r="F7145" s="76">
        <v>42854.0</v>
      </c>
      <c r="G7145" s="68" t="s">
        <v>28871</v>
      </c>
      <c r="H7145" s="71"/>
      <c r="I7145" s="71"/>
      <c r="J7145" s="68" t="s">
        <v>28792</v>
      </c>
      <c r="K7145" s="76">
        <v>43573.0</v>
      </c>
      <c r="L7145" s="71"/>
      <c r="M7145" s="68" t="s">
        <v>27</v>
      </c>
      <c r="N7145" s="116"/>
      <c r="O7145" s="51"/>
    </row>
    <row r="7146">
      <c r="A7146" s="273"/>
      <c r="B7146" s="71"/>
      <c r="C7146" s="69" t="s">
        <v>28916</v>
      </c>
      <c r="D7146" s="71"/>
      <c r="E7146" s="68" t="s">
        <v>28917</v>
      </c>
      <c r="F7146" s="76">
        <v>42854.0</v>
      </c>
      <c r="G7146" s="68" t="s">
        <v>28871</v>
      </c>
      <c r="H7146" s="71"/>
      <c r="I7146" s="71"/>
      <c r="J7146" s="68" t="s">
        <v>28792</v>
      </c>
      <c r="K7146" s="76">
        <v>43573.0</v>
      </c>
      <c r="L7146" s="71"/>
      <c r="M7146" s="68" t="s">
        <v>27</v>
      </c>
      <c r="N7146" s="116"/>
      <c r="O7146" s="51"/>
    </row>
    <row r="7147">
      <c r="A7147" s="273"/>
      <c r="B7147" s="71"/>
      <c r="C7147" s="69" t="s">
        <v>28918</v>
      </c>
      <c r="D7147" s="71"/>
      <c r="E7147" s="68" t="s">
        <v>28919</v>
      </c>
      <c r="F7147" s="76">
        <v>42854.0</v>
      </c>
      <c r="G7147" s="68" t="s">
        <v>28871</v>
      </c>
      <c r="H7147" s="71"/>
      <c r="I7147" s="71"/>
      <c r="J7147" s="68" t="s">
        <v>28792</v>
      </c>
      <c r="K7147" s="76">
        <v>43573.0</v>
      </c>
      <c r="L7147" s="71"/>
      <c r="M7147" s="68" t="s">
        <v>27</v>
      </c>
      <c r="N7147" s="116"/>
      <c r="O7147" s="51"/>
    </row>
    <row r="7148">
      <c r="A7148" s="273"/>
      <c r="B7148" s="71"/>
      <c r="C7148" s="69" t="s">
        <v>28920</v>
      </c>
      <c r="D7148" s="71"/>
      <c r="E7148" s="68" t="s">
        <v>28921</v>
      </c>
      <c r="F7148" s="76">
        <v>42854.0</v>
      </c>
      <c r="G7148" s="68" t="s">
        <v>28871</v>
      </c>
      <c r="H7148" s="71"/>
      <c r="I7148" s="71"/>
      <c r="J7148" s="68" t="s">
        <v>28792</v>
      </c>
      <c r="K7148" s="76">
        <v>43573.0</v>
      </c>
      <c r="L7148" s="71"/>
      <c r="M7148" s="68" t="s">
        <v>27</v>
      </c>
      <c r="N7148" s="116"/>
      <c r="O7148" s="51"/>
    </row>
    <row r="7149">
      <c r="A7149" s="273"/>
      <c r="B7149" s="71"/>
      <c r="C7149" s="69" t="s">
        <v>28922</v>
      </c>
      <c r="D7149" s="71"/>
      <c r="E7149" s="68" t="s">
        <v>28923</v>
      </c>
      <c r="F7149" s="76">
        <v>42771.0</v>
      </c>
      <c r="G7149" s="68" t="s">
        <v>28924</v>
      </c>
      <c r="H7149" s="71"/>
      <c r="I7149" s="71"/>
      <c r="J7149" s="68" t="s">
        <v>28792</v>
      </c>
      <c r="K7149" s="76">
        <v>43573.0</v>
      </c>
      <c r="L7149" s="71"/>
      <c r="M7149" s="68" t="s">
        <v>27</v>
      </c>
      <c r="N7149" s="116"/>
      <c r="O7149" s="51"/>
    </row>
    <row r="7150">
      <c r="A7150" s="273"/>
      <c r="B7150" s="71"/>
      <c r="C7150" s="69" t="s">
        <v>28925</v>
      </c>
      <c r="D7150" s="71"/>
      <c r="E7150" s="68" t="s">
        <v>28926</v>
      </c>
      <c r="F7150" s="76">
        <v>42771.0</v>
      </c>
      <c r="G7150" s="68" t="s">
        <v>28905</v>
      </c>
      <c r="H7150" s="71"/>
      <c r="I7150" s="71"/>
      <c r="J7150" s="68" t="s">
        <v>28792</v>
      </c>
      <c r="K7150" s="76">
        <v>43573.0</v>
      </c>
      <c r="L7150" s="71"/>
      <c r="M7150" s="68" t="s">
        <v>27</v>
      </c>
      <c r="N7150" s="116"/>
      <c r="O7150" s="51"/>
    </row>
    <row r="7151">
      <c r="A7151" s="273"/>
      <c r="B7151" s="71"/>
      <c r="C7151" s="69" t="s">
        <v>28927</v>
      </c>
      <c r="D7151" s="71"/>
      <c r="E7151" s="68" t="s">
        <v>28928</v>
      </c>
      <c r="F7151" s="76">
        <v>42771.0</v>
      </c>
      <c r="G7151" s="68" t="s">
        <v>28527</v>
      </c>
      <c r="H7151" s="71"/>
      <c r="I7151" s="71"/>
      <c r="J7151" s="68" t="s">
        <v>28792</v>
      </c>
      <c r="K7151" s="76">
        <v>43573.0</v>
      </c>
      <c r="L7151" s="71"/>
      <c r="M7151" s="68" t="s">
        <v>27</v>
      </c>
      <c r="N7151" s="116"/>
      <c r="O7151" s="51"/>
    </row>
    <row r="7152">
      <c r="A7152" s="273"/>
      <c r="B7152" s="71"/>
      <c r="C7152" s="69" t="s">
        <v>28929</v>
      </c>
      <c r="D7152" s="71"/>
      <c r="E7152" s="68" t="s">
        <v>28930</v>
      </c>
      <c r="F7152" s="76">
        <v>42771.0</v>
      </c>
      <c r="G7152" s="68" t="s">
        <v>28865</v>
      </c>
      <c r="H7152" s="71"/>
      <c r="I7152" s="71"/>
      <c r="J7152" s="68" t="s">
        <v>28792</v>
      </c>
      <c r="K7152" s="76">
        <v>43573.0</v>
      </c>
      <c r="L7152" s="71"/>
      <c r="M7152" s="68" t="s">
        <v>27</v>
      </c>
      <c r="N7152" s="116"/>
      <c r="O7152" s="51"/>
    </row>
    <row r="7153">
      <c r="A7153" s="273"/>
      <c r="B7153" s="71"/>
      <c r="C7153" s="69" t="s">
        <v>28931</v>
      </c>
      <c r="D7153" s="71"/>
      <c r="E7153" s="68" t="s">
        <v>28932</v>
      </c>
      <c r="F7153" s="76">
        <v>42771.0</v>
      </c>
      <c r="G7153" s="68" t="s">
        <v>28908</v>
      </c>
      <c r="H7153" s="71"/>
      <c r="I7153" s="71"/>
      <c r="J7153" s="68" t="s">
        <v>28933</v>
      </c>
      <c r="K7153" s="76">
        <v>43573.0</v>
      </c>
      <c r="L7153" s="71"/>
      <c r="M7153" s="68" t="s">
        <v>27</v>
      </c>
      <c r="N7153" s="116"/>
      <c r="O7153" s="51"/>
    </row>
    <row r="7154">
      <c r="A7154" s="273"/>
      <c r="B7154" s="71"/>
      <c r="C7154" s="69" t="s">
        <v>28934</v>
      </c>
      <c r="D7154" s="71"/>
      <c r="E7154" s="68" t="s">
        <v>28935</v>
      </c>
      <c r="F7154" s="76">
        <v>42771.0</v>
      </c>
      <c r="G7154" s="68" t="s">
        <v>28905</v>
      </c>
      <c r="H7154" s="71"/>
      <c r="I7154" s="71"/>
      <c r="J7154" s="68" t="s">
        <v>28792</v>
      </c>
      <c r="K7154" s="76">
        <v>43573.0</v>
      </c>
      <c r="L7154" s="71"/>
      <c r="M7154" s="68" t="s">
        <v>27</v>
      </c>
      <c r="N7154" s="116"/>
      <c r="O7154" s="51"/>
    </row>
    <row r="7155">
      <c r="A7155" s="273"/>
      <c r="B7155" s="71"/>
      <c r="C7155" s="69" t="s">
        <v>28936</v>
      </c>
      <c r="D7155" s="71"/>
      <c r="E7155" s="68" t="s">
        <v>28937</v>
      </c>
      <c r="F7155" s="76">
        <v>42771.0</v>
      </c>
      <c r="G7155" s="68" t="s">
        <v>28924</v>
      </c>
      <c r="H7155" s="71"/>
      <c r="I7155" s="71"/>
      <c r="J7155" s="68" t="s">
        <v>28938</v>
      </c>
      <c r="K7155" s="76">
        <v>43573.0</v>
      </c>
      <c r="L7155" s="71"/>
      <c r="M7155" s="68" t="s">
        <v>27</v>
      </c>
      <c r="N7155" s="116"/>
      <c r="O7155" s="51"/>
    </row>
    <row r="7156">
      <c r="A7156" s="273"/>
      <c r="B7156" s="71"/>
      <c r="C7156" s="69" t="s">
        <v>28939</v>
      </c>
      <c r="D7156" s="71"/>
      <c r="E7156" s="68" t="s">
        <v>28940</v>
      </c>
      <c r="F7156" s="76">
        <v>42771.0</v>
      </c>
      <c r="G7156" s="68" t="s">
        <v>28905</v>
      </c>
      <c r="H7156" s="71"/>
      <c r="I7156" s="71"/>
      <c r="J7156" s="68" t="s">
        <v>28792</v>
      </c>
      <c r="K7156" s="76">
        <v>43573.0</v>
      </c>
      <c r="L7156" s="71"/>
      <c r="M7156" s="68" t="s">
        <v>27</v>
      </c>
      <c r="N7156" s="116"/>
      <c r="O7156" s="51"/>
    </row>
    <row r="7157">
      <c r="A7157" s="234"/>
      <c r="B7157" s="71"/>
      <c r="C7157" s="79" t="s">
        <v>28941</v>
      </c>
      <c r="D7157" s="82"/>
      <c r="E7157" s="63" t="s">
        <v>28942</v>
      </c>
      <c r="F7157" s="70">
        <v>43044.0</v>
      </c>
      <c r="G7157" s="63" t="s">
        <v>28905</v>
      </c>
      <c r="H7157" s="82"/>
      <c r="I7157" s="82"/>
      <c r="J7157" s="63" t="s">
        <v>136</v>
      </c>
      <c r="K7157" s="81">
        <v>43573.0</v>
      </c>
      <c r="L7157" s="82"/>
      <c r="M7157" s="80" t="s">
        <v>27</v>
      </c>
      <c r="N7157" s="116"/>
      <c r="O7157" s="51"/>
    </row>
    <row r="7158">
      <c r="A7158" s="273"/>
      <c r="B7158" s="71"/>
      <c r="C7158" s="69" t="s">
        <v>28943</v>
      </c>
      <c r="D7158" s="71"/>
      <c r="E7158" s="68" t="s">
        <v>28944</v>
      </c>
      <c r="F7158" s="76">
        <v>43013.0</v>
      </c>
      <c r="G7158" s="68" t="s">
        <v>28888</v>
      </c>
      <c r="H7158" s="71"/>
      <c r="I7158" s="71"/>
      <c r="J7158" s="68" t="s">
        <v>28792</v>
      </c>
      <c r="K7158" s="76">
        <v>43573.0</v>
      </c>
      <c r="L7158" s="71"/>
      <c r="M7158" s="68" t="s">
        <v>27</v>
      </c>
      <c r="N7158" s="116"/>
      <c r="O7158" s="51"/>
    </row>
    <row r="7159">
      <c r="A7159" s="273"/>
      <c r="B7159" s="71"/>
      <c r="C7159" s="69" t="s">
        <v>28945</v>
      </c>
      <c r="D7159" s="71"/>
      <c r="E7159" s="68" t="s">
        <v>28946</v>
      </c>
      <c r="F7159" s="76">
        <v>43013.0</v>
      </c>
      <c r="G7159" s="68" t="s">
        <v>28888</v>
      </c>
      <c r="H7159" s="71"/>
      <c r="I7159" s="71"/>
      <c r="J7159" s="68" t="s">
        <v>28947</v>
      </c>
      <c r="K7159" s="76">
        <v>43573.0</v>
      </c>
      <c r="L7159" s="71"/>
      <c r="M7159" s="68" t="s">
        <v>27</v>
      </c>
      <c r="N7159" s="116"/>
      <c r="O7159" s="51"/>
    </row>
    <row r="7160">
      <c r="A7160" s="273"/>
      <c r="B7160" s="71"/>
      <c r="C7160" s="69" t="s">
        <v>28948</v>
      </c>
      <c r="D7160" s="71"/>
      <c r="E7160" s="68" t="s">
        <v>28949</v>
      </c>
      <c r="F7160" s="76">
        <v>43013.0</v>
      </c>
      <c r="G7160" s="68" t="s">
        <v>28888</v>
      </c>
      <c r="H7160" s="71"/>
      <c r="I7160" s="71"/>
      <c r="J7160" s="68" t="s">
        <v>28950</v>
      </c>
      <c r="K7160" s="76">
        <v>43573.0</v>
      </c>
      <c r="L7160" s="71"/>
      <c r="M7160" s="68" t="s">
        <v>27</v>
      </c>
      <c r="N7160" s="116"/>
      <c r="O7160" s="51"/>
    </row>
    <row r="7161">
      <c r="A7161" s="273"/>
      <c r="B7161" s="71"/>
      <c r="C7161" s="69" t="s">
        <v>28951</v>
      </c>
      <c r="D7161" s="71"/>
      <c r="E7161" s="68" t="s">
        <v>28952</v>
      </c>
      <c r="F7161" s="76">
        <v>42983.0</v>
      </c>
      <c r="G7161" s="68" t="s">
        <v>28433</v>
      </c>
      <c r="H7161" s="71"/>
      <c r="I7161" s="71"/>
      <c r="J7161" s="68" t="s">
        <v>28953</v>
      </c>
      <c r="K7161" s="76">
        <v>43573.0</v>
      </c>
      <c r="L7161" s="71"/>
      <c r="M7161" s="68" t="s">
        <v>27</v>
      </c>
      <c r="N7161" s="116"/>
      <c r="O7161" s="51"/>
    </row>
    <row r="7162">
      <c r="A7162" s="234"/>
      <c r="B7162" s="71"/>
      <c r="C7162" s="79" t="s">
        <v>28954</v>
      </c>
      <c r="D7162" s="82"/>
      <c r="E7162" s="63" t="s">
        <v>28955</v>
      </c>
      <c r="F7162" s="70">
        <v>42872.0</v>
      </c>
      <c r="G7162" s="63" t="s">
        <v>28956</v>
      </c>
      <c r="H7162" s="82"/>
      <c r="I7162" s="82"/>
      <c r="J7162" s="63" t="s">
        <v>136</v>
      </c>
      <c r="K7162" s="81">
        <v>43573.0</v>
      </c>
      <c r="L7162" s="82"/>
      <c r="M7162" s="80" t="s">
        <v>27</v>
      </c>
      <c r="N7162" s="116"/>
      <c r="O7162" s="51"/>
    </row>
    <row r="7163">
      <c r="A7163" s="273"/>
      <c r="B7163" s="71"/>
      <c r="C7163" s="69" t="s">
        <v>28957</v>
      </c>
      <c r="D7163" s="71"/>
      <c r="E7163" s="68" t="s">
        <v>28958</v>
      </c>
      <c r="F7163" s="76">
        <v>42860.0</v>
      </c>
      <c r="G7163" s="68" t="s">
        <v>28959</v>
      </c>
      <c r="H7163" s="71"/>
      <c r="I7163" s="71"/>
      <c r="J7163" s="68" t="s">
        <v>28792</v>
      </c>
      <c r="K7163" s="76">
        <v>43573.0</v>
      </c>
      <c r="L7163" s="71"/>
      <c r="M7163" s="68" t="s">
        <v>27</v>
      </c>
      <c r="N7163" s="116"/>
      <c r="O7163" s="51"/>
    </row>
    <row r="7164">
      <c r="A7164" s="273"/>
      <c r="B7164" s="71"/>
      <c r="C7164" s="69" t="s">
        <v>28960</v>
      </c>
      <c r="D7164" s="71"/>
      <c r="E7164" s="68" t="s">
        <v>28961</v>
      </c>
      <c r="F7164" s="76">
        <v>43044.0</v>
      </c>
      <c r="G7164" s="68" t="s">
        <v>28962</v>
      </c>
      <c r="H7164" s="71"/>
      <c r="I7164" s="71"/>
      <c r="J7164" s="68" t="s">
        <v>28792</v>
      </c>
      <c r="K7164" s="76">
        <v>43573.0</v>
      </c>
      <c r="L7164" s="71"/>
      <c r="M7164" s="68" t="s">
        <v>27</v>
      </c>
      <c r="N7164" s="116"/>
      <c r="O7164" s="51"/>
    </row>
    <row r="7165">
      <c r="A7165" s="234"/>
      <c r="B7165" s="71"/>
      <c r="C7165" s="79" t="s">
        <v>28963</v>
      </c>
      <c r="D7165" s="82"/>
      <c r="E7165" s="63" t="s">
        <v>28964</v>
      </c>
      <c r="F7165" s="70">
        <v>42873.0</v>
      </c>
      <c r="G7165" s="63" t="s">
        <v>28843</v>
      </c>
      <c r="H7165" s="82"/>
      <c r="I7165" s="82"/>
      <c r="J7165" s="63" t="s">
        <v>136</v>
      </c>
      <c r="K7165" s="81">
        <v>43573.0</v>
      </c>
      <c r="L7165" s="82"/>
      <c r="M7165" s="80" t="s">
        <v>27</v>
      </c>
      <c r="N7165" s="116"/>
      <c r="O7165" s="51"/>
    </row>
    <row r="7166">
      <c r="A7166" s="234"/>
      <c r="B7166" s="71"/>
      <c r="C7166" s="79" t="s">
        <v>28965</v>
      </c>
      <c r="D7166" s="82"/>
      <c r="E7166" s="63" t="s">
        <v>28966</v>
      </c>
      <c r="F7166" s="70">
        <v>42873.0</v>
      </c>
      <c r="G7166" s="63" t="s">
        <v>28967</v>
      </c>
      <c r="H7166" s="82"/>
      <c r="I7166" s="82"/>
      <c r="J7166" s="63" t="s">
        <v>136</v>
      </c>
      <c r="K7166" s="81">
        <v>43573.0</v>
      </c>
      <c r="L7166" s="82"/>
      <c r="M7166" s="80" t="s">
        <v>27</v>
      </c>
      <c r="N7166" s="116"/>
      <c r="O7166" s="51"/>
    </row>
    <row r="7167">
      <c r="A7167" s="273"/>
      <c r="B7167" s="71"/>
      <c r="C7167" s="69" t="s">
        <v>28968</v>
      </c>
      <c r="D7167" s="71"/>
      <c r="E7167" s="68" t="s">
        <v>28969</v>
      </c>
      <c r="F7167" s="76">
        <v>42873.0</v>
      </c>
      <c r="G7167" s="68" t="s">
        <v>28433</v>
      </c>
      <c r="H7167" s="71"/>
      <c r="I7167" s="71"/>
      <c r="J7167" s="68" t="s">
        <v>28792</v>
      </c>
      <c r="K7167" s="76">
        <v>43573.0</v>
      </c>
      <c r="L7167" s="71"/>
      <c r="M7167" s="68" t="s">
        <v>27</v>
      </c>
      <c r="N7167" s="116"/>
      <c r="O7167" s="51"/>
    </row>
    <row r="7168">
      <c r="A7168" s="273"/>
      <c r="B7168" s="71"/>
      <c r="C7168" s="69" t="s">
        <v>28970</v>
      </c>
      <c r="D7168" s="71"/>
      <c r="E7168" s="68" t="s">
        <v>28971</v>
      </c>
      <c r="F7168" s="76">
        <v>42873.0</v>
      </c>
      <c r="G7168" s="68" t="s">
        <v>28433</v>
      </c>
      <c r="H7168" s="71"/>
      <c r="I7168" s="71"/>
      <c r="J7168" s="68" t="s">
        <v>28792</v>
      </c>
      <c r="K7168" s="76">
        <v>43573.0</v>
      </c>
      <c r="L7168" s="71"/>
      <c r="M7168" s="68" t="s">
        <v>27</v>
      </c>
      <c r="N7168" s="116"/>
      <c r="O7168" s="51"/>
    </row>
    <row r="7169">
      <c r="A7169" s="273"/>
      <c r="B7169" s="71"/>
      <c r="C7169" s="69" t="s">
        <v>28972</v>
      </c>
      <c r="D7169" s="71"/>
      <c r="E7169" s="68" t="s">
        <v>28973</v>
      </c>
      <c r="F7169" s="76">
        <v>42873.0</v>
      </c>
      <c r="G7169" s="68" t="s">
        <v>28433</v>
      </c>
      <c r="H7169" s="71"/>
      <c r="I7169" s="71"/>
      <c r="J7169" s="68" t="s">
        <v>28792</v>
      </c>
      <c r="K7169" s="76">
        <v>43573.0</v>
      </c>
      <c r="L7169" s="71"/>
      <c r="M7169" s="68" t="s">
        <v>27</v>
      </c>
      <c r="N7169" s="116"/>
      <c r="O7169" s="51"/>
    </row>
    <row r="7170">
      <c r="A7170" s="273"/>
      <c r="B7170" s="71"/>
      <c r="C7170" s="69" t="s">
        <v>28974</v>
      </c>
      <c r="D7170" s="71"/>
      <c r="E7170" s="68" t="s">
        <v>28975</v>
      </c>
      <c r="F7170" s="76">
        <v>42879.0</v>
      </c>
      <c r="G7170" s="68" t="s">
        <v>28976</v>
      </c>
      <c r="H7170" s="71"/>
      <c r="I7170" s="71"/>
      <c r="J7170" s="68" t="s">
        <v>28792</v>
      </c>
      <c r="K7170" s="76">
        <v>43573.0</v>
      </c>
      <c r="L7170" s="71"/>
      <c r="M7170" s="68" t="s">
        <v>27</v>
      </c>
      <c r="N7170" s="116"/>
      <c r="O7170" s="51"/>
    </row>
    <row r="7171">
      <c r="A7171" s="234"/>
      <c r="B7171" s="71"/>
      <c r="C7171" s="79" t="s">
        <v>28977</v>
      </c>
      <c r="D7171" s="82"/>
      <c r="E7171" s="63" t="s">
        <v>28978</v>
      </c>
      <c r="F7171" s="70">
        <v>42878.0</v>
      </c>
      <c r="G7171" s="63" t="s">
        <v>28979</v>
      </c>
      <c r="H7171" s="82"/>
      <c r="I7171" s="82"/>
      <c r="J7171" s="63" t="s">
        <v>136</v>
      </c>
      <c r="K7171" s="81">
        <v>43573.0</v>
      </c>
      <c r="L7171" s="82"/>
      <c r="M7171" s="80" t="s">
        <v>27</v>
      </c>
      <c r="N7171" s="116"/>
      <c r="O7171" s="51"/>
    </row>
    <row r="7172">
      <c r="A7172" s="273"/>
      <c r="B7172" s="71"/>
      <c r="C7172" s="69" t="s">
        <v>28980</v>
      </c>
      <c r="D7172" s="71"/>
      <c r="E7172" s="68" t="s">
        <v>28981</v>
      </c>
      <c r="F7172" s="76">
        <v>42876.0</v>
      </c>
      <c r="G7172" s="68" t="s">
        <v>28982</v>
      </c>
      <c r="H7172" s="71"/>
      <c r="I7172" s="71"/>
      <c r="J7172" s="68" t="s">
        <v>28792</v>
      </c>
      <c r="K7172" s="76">
        <v>43573.0</v>
      </c>
      <c r="L7172" s="71"/>
      <c r="M7172" s="68" t="s">
        <v>27</v>
      </c>
      <c r="N7172" s="116"/>
      <c r="O7172" s="51"/>
    </row>
    <row r="7173">
      <c r="A7173" s="273"/>
      <c r="B7173" s="71"/>
      <c r="C7173" s="69" t="s">
        <v>28983</v>
      </c>
      <c r="D7173" s="71"/>
      <c r="E7173" s="68" t="s">
        <v>28984</v>
      </c>
      <c r="F7173" s="76">
        <v>42875.0</v>
      </c>
      <c r="G7173" s="68" t="s">
        <v>28985</v>
      </c>
      <c r="H7173" s="71"/>
      <c r="I7173" s="71"/>
      <c r="J7173" s="68" t="s">
        <v>28986</v>
      </c>
      <c r="K7173" s="76">
        <v>43573.0</v>
      </c>
      <c r="L7173" s="71"/>
      <c r="M7173" s="68" t="s">
        <v>27</v>
      </c>
      <c r="N7173" s="116"/>
      <c r="O7173" s="51"/>
    </row>
    <row r="7174">
      <c r="A7174" s="273"/>
      <c r="B7174" s="71"/>
      <c r="C7174" s="69" t="s">
        <v>28987</v>
      </c>
      <c r="D7174" s="71"/>
      <c r="E7174" s="68" t="s">
        <v>28988</v>
      </c>
      <c r="F7174" s="76">
        <v>42874.0</v>
      </c>
      <c r="G7174" s="68" t="s">
        <v>28433</v>
      </c>
      <c r="H7174" s="71"/>
      <c r="I7174" s="71"/>
      <c r="J7174" s="68" t="s">
        <v>28792</v>
      </c>
      <c r="K7174" s="76">
        <v>43573.0</v>
      </c>
      <c r="L7174" s="71"/>
      <c r="M7174" s="68" t="s">
        <v>27</v>
      </c>
      <c r="N7174" s="116"/>
      <c r="O7174" s="51"/>
    </row>
    <row r="7175">
      <c r="A7175" s="273"/>
      <c r="B7175" s="71"/>
      <c r="C7175" s="69" t="s">
        <v>28989</v>
      </c>
      <c r="D7175" s="71"/>
      <c r="E7175" s="68" t="s">
        <v>28990</v>
      </c>
      <c r="F7175" s="76">
        <v>42892.0</v>
      </c>
      <c r="G7175" s="68" t="s">
        <v>28991</v>
      </c>
      <c r="H7175" s="71"/>
      <c r="I7175" s="71"/>
      <c r="J7175" s="68" t="s">
        <v>28792</v>
      </c>
      <c r="K7175" s="76">
        <v>43573.0</v>
      </c>
      <c r="L7175" s="71"/>
      <c r="M7175" s="68" t="s">
        <v>27</v>
      </c>
      <c r="N7175" s="116"/>
      <c r="O7175" s="51"/>
    </row>
    <row r="7176">
      <c r="A7176" s="273"/>
      <c r="B7176" s="71"/>
      <c r="C7176" s="69" t="s">
        <v>28992</v>
      </c>
      <c r="D7176" s="71"/>
      <c r="E7176" s="68" t="s">
        <v>28993</v>
      </c>
      <c r="F7176" s="76">
        <v>42881.0</v>
      </c>
      <c r="G7176" s="68" t="s">
        <v>28425</v>
      </c>
      <c r="H7176" s="71"/>
      <c r="I7176" s="71"/>
      <c r="J7176" s="68" t="s">
        <v>28792</v>
      </c>
      <c r="K7176" s="76">
        <v>43573.0</v>
      </c>
      <c r="L7176" s="71"/>
      <c r="M7176" s="68" t="s">
        <v>27</v>
      </c>
      <c r="N7176" s="116"/>
      <c r="O7176" s="51"/>
    </row>
    <row r="7177">
      <c r="A7177" s="273"/>
      <c r="B7177" s="71"/>
      <c r="C7177" s="69" t="s">
        <v>28994</v>
      </c>
      <c r="D7177" s="71"/>
      <c r="E7177" s="68" t="s">
        <v>28995</v>
      </c>
      <c r="F7177" s="76">
        <v>42881.0</v>
      </c>
      <c r="G7177" s="68" t="s">
        <v>28425</v>
      </c>
      <c r="H7177" s="71"/>
      <c r="I7177" s="71"/>
      <c r="J7177" s="68" t="s">
        <v>28792</v>
      </c>
      <c r="K7177" s="76">
        <v>43573.0</v>
      </c>
      <c r="L7177" s="71"/>
      <c r="M7177" s="68" t="s">
        <v>27</v>
      </c>
      <c r="N7177" s="116"/>
      <c r="O7177" s="51"/>
    </row>
    <row r="7178">
      <c r="A7178" s="273"/>
      <c r="B7178" s="71"/>
      <c r="C7178" s="69" t="s">
        <v>28996</v>
      </c>
      <c r="D7178" s="71"/>
      <c r="E7178" s="68" t="s">
        <v>28997</v>
      </c>
      <c r="F7178" s="76">
        <v>42922.0</v>
      </c>
      <c r="G7178" s="68" t="s">
        <v>28425</v>
      </c>
      <c r="H7178" s="71"/>
      <c r="I7178" s="71"/>
      <c r="J7178" s="68" t="s">
        <v>28792</v>
      </c>
      <c r="K7178" s="76">
        <v>43573.0</v>
      </c>
      <c r="L7178" s="71"/>
      <c r="M7178" s="68" t="s">
        <v>27</v>
      </c>
      <c r="N7178" s="116"/>
      <c r="O7178" s="51"/>
    </row>
    <row r="7179">
      <c r="A7179" s="273"/>
      <c r="B7179" s="71"/>
      <c r="C7179" s="69" t="s">
        <v>28998</v>
      </c>
      <c r="D7179" s="71"/>
      <c r="E7179" s="68" t="s">
        <v>28999</v>
      </c>
      <c r="F7179" s="76">
        <v>42812.0</v>
      </c>
      <c r="G7179" s="68" t="s">
        <v>29000</v>
      </c>
      <c r="H7179" s="71"/>
      <c r="I7179" s="71"/>
      <c r="J7179" s="68" t="s">
        <v>28792</v>
      </c>
      <c r="K7179" s="76">
        <v>43573.0</v>
      </c>
      <c r="L7179" s="71"/>
      <c r="M7179" s="68" t="s">
        <v>27</v>
      </c>
      <c r="N7179" s="116"/>
      <c r="O7179" s="51"/>
    </row>
    <row r="7180">
      <c r="A7180" s="273"/>
      <c r="B7180" s="71"/>
      <c r="C7180" s="69" t="s">
        <v>29001</v>
      </c>
      <c r="D7180" s="71"/>
      <c r="E7180" s="68" t="s">
        <v>29002</v>
      </c>
      <c r="F7180" s="76">
        <v>42811.0</v>
      </c>
      <c r="G7180" s="68" t="s">
        <v>28982</v>
      </c>
      <c r="H7180" s="71"/>
      <c r="I7180" s="71"/>
      <c r="J7180" s="68" t="s">
        <v>29003</v>
      </c>
      <c r="K7180" s="76">
        <v>43573.0</v>
      </c>
      <c r="L7180" s="71"/>
      <c r="M7180" s="68" t="s">
        <v>27</v>
      </c>
      <c r="N7180" s="116"/>
      <c r="O7180" s="51"/>
    </row>
    <row r="7181">
      <c r="A7181" s="273"/>
      <c r="B7181" s="71"/>
      <c r="C7181" s="69" t="s">
        <v>29004</v>
      </c>
      <c r="D7181" s="71"/>
      <c r="E7181" s="68" t="s">
        <v>29005</v>
      </c>
      <c r="F7181" s="76">
        <v>42811.0</v>
      </c>
      <c r="G7181" s="68" t="s">
        <v>29006</v>
      </c>
      <c r="H7181" s="71"/>
      <c r="I7181" s="71"/>
      <c r="J7181" s="68" t="s">
        <v>29007</v>
      </c>
      <c r="K7181" s="76">
        <v>43573.0</v>
      </c>
      <c r="L7181" s="71"/>
      <c r="M7181" s="68" t="s">
        <v>27</v>
      </c>
      <c r="N7181" s="116"/>
      <c r="O7181" s="51"/>
    </row>
    <row r="7182">
      <c r="A7182" s="273"/>
      <c r="B7182" s="71"/>
      <c r="C7182" s="69" t="s">
        <v>29008</v>
      </c>
      <c r="D7182" s="71"/>
      <c r="E7182" s="68" t="s">
        <v>29009</v>
      </c>
      <c r="F7182" s="76">
        <v>42811.0</v>
      </c>
      <c r="G7182" s="68" t="s">
        <v>28982</v>
      </c>
      <c r="H7182" s="71"/>
      <c r="I7182" s="71"/>
      <c r="J7182" s="68" t="s">
        <v>29010</v>
      </c>
      <c r="K7182" s="76">
        <v>43573.0</v>
      </c>
      <c r="L7182" s="71"/>
      <c r="M7182" s="68" t="s">
        <v>27</v>
      </c>
      <c r="N7182" s="116"/>
      <c r="O7182" s="51"/>
    </row>
    <row r="7183">
      <c r="A7183" s="273"/>
      <c r="B7183" s="71"/>
      <c r="C7183" s="69" t="s">
        <v>29011</v>
      </c>
      <c r="D7183" s="71"/>
      <c r="E7183" s="68" t="s">
        <v>29012</v>
      </c>
      <c r="F7183" s="76">
        <v>42811.0</v>
      </c>
      <c r="G7183" s="68" t="s">
        <v>29006</v>
      </c>
      <c r="H7183" s="71"/>
      <c r="I7183" s="71"/>
      <c r="J7183" s="68" t="s">
        <v>29013</v>
      </c>
      <c r="K7183" s="76">
        <v>43573.0</v>
      </c>
      <c r="L7183" s="71"/>
      <c r="M7183" s="68" t="s">
        <v>27</v>
      </c>
      <c r="N7183" s="116"/>
      <c r="O7183" s="51"/>
    </row>
    <row r="7184">
      <c r="A7184" s="273"/>
      <c r="B7184" s="71"/>
      <c r="C7184" s="69" t="s">
        <v>29014</v>
      </c>
      <c r="D7184" s="71"/>
      <c r="E7184" s="68" t="s">
        <v>29015</v>
      </c>
      <c r="F7184" s="76">
        <v>42811.0</v>
      </c>
      <c r="G7184" s="68" t="s">
        <v>29006</v>
      </c>
      <c r="H7184" s="71"/>
      <c r="I7184" s="71"/>
      <c r="J7184" s="68" t="s">
        <v>29016</v>
      </c>
      <c r="K7184" s="76">
        <v>43573.0</v>
      </c>
      <c r="L7184" s="71"/>
      <c r="M7184" s="68" t="s">
        <v>27</v>
      </c>
      <c r="N7184" s="116"/>
      <c r="O7184" s="51"/>
    </row>
    <row r="7185">
      <c r="A7185" s="273"/>
      <c r="B7185" s="71"/>
      <c r="C7185" s="69" t="s">
        <v>29017</v>
      </c>
      <c r="D7185" s="71"/>
      <c r="E7185" s="68" t="s">
        <v>29018</v>
      </c>
      <c r="F7185" s="76">
        <v>42811.0</v>
      </c>
      <c r="G7185" s="68" t="s">
        <v>29019</v>
      </c>
      <c r="H7185" s="71"/>
      <c r="I7185" s="71"/>
      <c r="J7185" s="68" t="s">
        <v>29020</v>
      </c>
      <c r="K7185" s="76">
        <v>43573.0</v>
      </c>
      <c r="L7185" s="71"/>
      <c r="M7185" s="68" t="s">
        <v>27</v>
      </c>
      <c r="N7185" s="116"/>
      <c r="O7185" s="51"/>
    </row>
    <row r="7186">
      <c r="A7186" s="273"/>
      <c r="B7186" s="71"/>
      <c r="C7186" s="69" t="s">
        <v>29021</v>
      </c>
      <c r="D7186" s="71"/>
      <c r="E7186" s="68" t="s">
        <v>29022</v>
      </c>
      <c r="F7186" s="76">
        <v>42814.0</v>
      </c>
      <c r="G7186" s="68" t="s">
        <v>28858</v>
      </c>
      <c r="H7186" s="71"/>
      <c r="I7186" s="71"/>
      <c r="J7186" s="68" t="s">
        <v>29023</v>
      </c>
      <c r="K7186" s="76">
        <v>43573.0</v>
      </c>
      <c r="L7186" s="71"/>
      <c r="M7186" s="68" t="s">
        <v>27</v>
      </c>
      <c r="N7186" s="116"/>
      <c r="O7186" s="51"/>
    </row>
    <row r="7187">
      <c r="A7187" s="273"/>
      <c r="B7187" s="71"/>
      <c r="C7187" s="69" t="s">
        <v>29024</v>
      </c>
      <c r="D7187" s="71"/>
      <c r="E7187" s="68" t="s">
        <v>29025</v>
      </c>
      <c r="F7187" s="76">
        <v>42813.0</v>
      </c>
      <c r="G7187" s="68" t="s">
        <v>29000</v>
      </c>
      <c r="H7187" s="71"/>
      <c r="I7187" s="71"/>
      <c r="J7187" s="68" t="s">
        <v>28792</v>
      </c>
      <c r="K7187" s="76">
        <v>43573.0</v>
      </c>
      <c r="L7187" s="71"/>
      <c r="M7187" s="68" t="s">
        <v>27</v>
      </c>
      <c r="N7187" s="116"/>
      <c r="O7187" s="51"/>
    </row>
    <row r="7188">
      <c r="A7188" s="273"/>
      <c r="B7188" s="71"/>
      <c r="C7188" s="69" t="s">
        <v>29026</v>
      </c>
      <c r="D7188" s="71"/>
      <c r="E7188" s="68" t="s">
        <v>29027</v>
      </c>
      <c r="F7188" s="76">
        <v>42813.0</v>
      </c>
      <c r="G7188" s="68" t="s">
        <v>29000</v>
      </c>
      <c r="H7188" s="71"/>
      <c r="I7188" s="71"/>
      <c r="J7188" s="68" t="s">
        <v>28792</v>
      </c>
      <c r="K7188" s="76">
        <v>43573.0</v>
      </c>
      <c r="L7188" s="71"/>
      <c r="M7188" s="68" t="s">
        <v>27</v>
      </c>
      <c r="N7188" s="116"/>
      <c r="O7188" s="51"/>
    </row>
    <row r="7189">
      <c r="A7189" s="273"/>
      <c r="B7189" s="71"/>
      <c r="C7189" s="69" t="s">
        <v>29028</v>
      </c>
      <c r="D7189" s="71"/>
      <c r="E7189" s="68" t="s">
        <v>29029</v>
      </c>
      <c r="F7189" s="76">
        <v>42813.0</v>
      </c>
      <c r="G7189" s="68" t="s">
        <v>28882</v>
      </c>
      <c r="H7189" s="71"/>
      <c r="I7189" s="71"/>
      <c r="J7189" s="68" t="s">
        <v>28792</v>
      </c>
      <c r="K7189" s="76">
        <v>43573.0</v>
      </c>
      <c r="L7189" s="71"/>
      <c r="M7189" s="68" t="s">
        <v>27</v>
      </c>
      <c r="N7189" s="116"/>
      <c r="O7189" s="51"/>
    </row>
    <row r="7190">
      <c r="A7190" s="273"/>
      <c r="B7190" s="71"/>
      <c r="C7190" s="69" t="s">
        <v>29030</v>
      </c>
      <c r="D7190" s="71"/>
      <c r="E7190" s="68" t="s">
        <v>29031</v>
      </c>
      <c r="F7190" s="76">
        <v>42813.0</v>
      </c>
      <c r="G7190" s="68" t="s">
        <v>29000</v>
      </c>
      <c r="H7190" s="71"/>
      <c r="I7190" s="71"/>
      <c r="J7190" s="68" t="s">
        <v>29032</v>
      </c>
      <c r="K7190" s="76">
        <v>43573.0</v>
      </c>
      <c r="L7190" s="71"/>
      <c r="M7190" s="68" t="s">
        <v>27</v>
      </c>
      <c r="N7190" s="116"/>
      <c r="O7190" s="51"/>
    </row>
    <row r="7191">
      <c r="A7191" s="273"/>
      <c r="B7191" s="71"/>
      <c r="C7191" s="69" t="s">
        <v>29033</v>
      </c>
      <c r="D7191" s="71"/>
      <c r="E7191" s="68" t="s">
        <v>29034</v>
      </c>
      <c r="F7191" s="76">
        <v>42813.0</v>
      </c>
      <c r="G7191" s="68" t="s">
        <v>28882</v>
      </c>
      <c r="H7191" s="71"/>
      <c r="I7191" s="71"/>
      <c r="J7191" s="68" t="s">
        <v>28792</v>
      </c>
      <c r="K7191" s="76">
        <v>43573.0</v>
      </c>
      <c r="L7191" s="71"/>
      <c r="M7191" s="68" t="s">
        <v>27</v>
      </c>
      <c r="N7191" s="116"/>
      <c r="O7191" s="51"/>
    </row>
    <row r="7192">
      <c r="A7192" s="273"/>
      <c r="B7192" s="71"/>
      <c r="C7192" s="69" t="s">
        <v>29035</v>
      </c>
      <c r="D7192" s="71"/>
      <c r="E7192" s="68" t="s">
        <v>29036</v>
      </c>
      <c r="F7192" s="76">
        <v>42813.0</v>
      </c>
      <c r="G7192" s="68" t="s">
        <v>29000</v>
      </c>
      <c r="H7192" s="71"/>
      <c r="I7192" s="71"/>
      <c r="J7192" s="68" t="s">
        <v>28792</v>
      </c>
      <c r="K7192" s="76">
        <v>43573.0</v>
      </c>
      <c r="L7192" s="71"/>
      <c r="M7192" s="68" t="s">
        <v>27</v>
      </c>
      <c r="N7192" s="116"/>
      <c r="O7192" s="51"/>
    </row>
    <row r="7193">
      <c r="A7193" s="273"/>
      <c r="B7193" s="71"/>
      <c r="C7193" s="69" t="s">
        <v>29037</v>
      </c>
      <c r="D7193" s="71"/>
      <c r="E7193" s="68" t="s">
        <v>29038</v>
      </c>
      <c r="F7193" s="76">
        <v>42814.0</v>
      </c>
      <c r="G7193" s="68" t="s">
        <v>29039</v>
      </c>
      <c r="H7193" s="71"/>
      <c r="I7193" s="71"/>
      <c r="J7193" s="68" t="s">
        <v>28792</v>
      </c>
      <c r="K7193" s="76">
        <v>43573.0</v>
      </c>
      <c r="L7193" s="71"/>
      <c r="M7193" s="68" t="s">
        <v>27</v>
      </c>
      <c r="N7193" s="116"/>
      <c r="O7193" s="51"/>
    </row>
    <row r="7194">
      <c r="A7194" s="234"/>
      <c r="B7194" s="71"/>
      <c r="C7194" s="79" t="s">
        <v>29040</v>
      </c>
      <c r="D7194" s="82"/>
      <c r="E7194" s="63" t="s">
        <v>29041</v>
      </c>
      <c r="F7194" s="70">
        <v>42818.0</v>
      </c>
      <c r="G7194" s="63" t="s">
        <v>29042</v>
      </c>
      <c r="H7194" s="82"/>
      <c r="I7194" s="82"/>
      <c r="J7194" s="63" t="s">
        <v>136</v>
      </c>
      <c r="K7194" s="81">
        <v>43573.0</v>
      </c>
      <c r="L7194" s="82"/>
      <c r="M7194" s="80" t="s">
        <v>27</v>
      </c>
      <c r="N7194" s="116"/>
      <c r="O7194" s="51"/>
    </row>
    <row r="7195">
      <c r="A7195" s="273"/>
      <c r="B7195" s="71"/>
      <c r="C7195" s="69" t="s">
        <v>29043</v>
      </c>
      <c r="D7195" s="71"/>
      <c r="E7195" s="68" t="s">
        <v>29044</v>
      </c>
      <c r="F7195" s="76">
        <v>42818.0</v>
      </c>
      <c r="G7195" s="68" t="s">
        <v>29045</v>
      </c>
      <c r="H7195" s="71"/>
      <c r="I7195" s="71"/>
      <c r="J7195" s="68" t="s">
        <v>29046</v>
      </c>
      <c r="K7195" s="76">
        <v>43573.0</v>
      </c>
      <c r="L7195" s="71"/>
      <c r="M7195" s="68" t="s">
        <v>27</v>
      </c>
      <c r="N7195" s="116"/>
      <c r="O7195" s="51"/>
    </row>
    <row r="7196">
      <c r="A7196" s="273"/>
      <c r="B7196" s="71"/>
      <c r="C7196" s="69" t="s">
        <v>29047</v>
      </c>
      <c r="D7196" s="71"/>
      <c r="E7196" s="68" t="s">
        <v>28518</v>
      </c>
      <c r="F7196" s="76">
        <v>42818.0</v>
      </c>
      <c r="G7196" s="68" t="s">
        <v>29045</v>
      </c>
      <c r="H7196" s="71"/>
      <c r="I7196" s="71"/>
      <c r="J7196" s="68" t="s">
        <v>29048</v>
      </c>
      <c r="K7196" s="76">
        <v>43573.0</v>
      </c>
      <c r="L7196" s="71"/>
      <c r="M7196" s="68" t="s">
        <v>27</v>
      </c>
      <c r="N7196" s="116"/>
      <c r="O7196" s="51"/>
    </row>
    <row r="7197">
      <c r="A7197" s="273"/>
      <c r="B7197" s="71"/>
      <c r="C7197" s="69" t="s">
        <v>29049</v>
      </c>
      <c r="D7197" s="71"/>
      <c r="E7197" s="68" t="s">
        <v>29050</v>
      </c>
      <c r="F7197" s="76">
        <v>42818.0</v>
      </c>
      <c r="G7197" s="68" t="s">
        <v>29045</v>
      </c>
      <c r="H7197" s="71"/>
      <c r="I7197" s="71"/>
      <c r="J7197" s="68" t="s">
        <v>29046</v>
      </c>
      <c r="K7197" s="76">
        <v>43573.0</v>
      </c>
      <c r="L7197" s="71"/>
      <c r="M7197" s="68" t="s">
        <v>27</v>
      </c>
      <c r="N7197" s="116"/>
      <c r="O7197" s="51"/>
    </row>
    <row r="7198">
      <c r="A7198" s="273"/>
      <c r="B7198" s="71"/>
      <c r="C7198" s="69" t="s">
        <v>29051</v>
      </c>
      <c r="D7198" s="71"/>
      <c r="E7198" s="68" t="s">
        <v>29052</v>
      </c>
      <c r="F7198" s="76">
        <v>42818.0</v>
      </c>
      <c r="G7198" s="68" t="s">
        <v>29045</v>
      </c>
      <c r="H7198" s="71"/>
      <c r="I7198" s="71"/>
      <c r="J7198" s="68" t="s">
        <v>29046</v>
      </c>
      <c r="K7198" s="76">
        <v>43573.0</v>
      </c>
      <c r="L7198" s="71"/>
      <c r="M7198" s="68" t="s">
        <v>27</v>
      </c>
      <c r="N7198" s="116"/>
      <c r="O7198" s="51"/>
    </row>
    <row r="7199">
      <c r="A7199" s="273"/>
      <c r="B7199" s="71"/>
      <c r="C7199" s="69" t="s">
        <v>29053</v>
      </c>
      <c r="D7199" s="71"/>
      <c r="E7199" s="68" t="s">
        <v>29054</v>
      </c>
      <c r="F7199" s="76">
        <v>42822.0</v>
      </c>
      <c r="G7199" s="68" t="s">
        <v>29055</v>
      </c>
      <c r="H7199" s="71"/>
      <c r="I7199" s="71"/>
      <c r="J7199" s="68" t="s">
        <v>29046</v>
      </c>
      <c r="K7199" s="76">
        <v>43573.0</v>
      </c>
      <c r="L7199" s="71"/>
      <c r="M7199" s="68" t="s">
        <v>27</v>
      </c>
      <c r="N7199" s="116"/>
      <c r="O7199" s="51"/>
    </row>
    <row r="7200">
      <c r="A7200" s="273"/>
      <c r="B7200" s="71"/>
      <c r="C7200" s="69" t="s">
        <v>29056</v>
      </c>
      <c r="D7200" s="71"/>
      <c r="E7200" s="68" t="s">
        <v>29057</v>
      </c>
      <c r="F7200" s="76">
        <v>42822.0</v>
      </c>
      <c r="G7200" s="71"/>
      <c r="H7200" s="71"/>
      <c r="I7200" s="71"/>
      <c r="J7200" s="68" t="s">
        <v>29058</v>
      </c>
      <c r="K7200" s="76">
        <v>43573.0</v>
      </c>
      <c r="L7200" s="71"/>
      <c r="M7200" s="68" t="s">
        <v>27</v>
      </c>
      <c r="N7200" s="116"/>
      <c r="O7200" s="51"/>
    </row>
    <row r="7201">
      <c r="A7201" s="273"/>
      <c r="B7201" s="71"/>
      <c r="C7201" s="69" t="s">
        <v>29059</v>
      </c>
      <c r="D7201" s="71"/>
      <c r="E7201" s="68" t="s">
        <v>29060</v>
      </c>
      <c r="F7201" s="76">
        <v>42822.0</v>
      </c>
      <c r="G7201" s="68" t="s">
        <v>29055</v>
      </c>
      <c r="H7201" s="71"/>
      <c r="I7201" s="71"/>
      <c r="J7201" s="68" t="s">
        <v>29046</v>
      </c>
      <c r="K7201" s="76">
        <v>43573.0</v>
      </c>
      <c r="L7201" s="71"/>
      <c r="M7201" s="68" t="s">
        <v>27</v>
      </c>
      <c r="N7201" s="116"/>
      <c r="O7201" s="51"/>
    </row>
    <row r="7202">
      <c r="A7202" s="273"/>
      <c r="B7202" s="71"/>
      <c r="C7202" s="69" t="s">
        <v>29061</v>
      </c>
      <c r="D7202" s="71"/>
      <c r="E7202" s="68" t="s">
        <v>29062</v>
      </c>
      <c r="F7202" s="76">
        <v>42821.0</v>
      </c>
      <c r="G7202" s="68" t="s">
        <v>28226</v>
      </c>
      <c r="H7202" s="71"/>
      <c r="I7202" s="71"/>
      <c r="J7202" s="68" t="s">
        <v>29046</v>
      </c>
      <c r="K7202" s="76">
        <v>43573.0</v>
      </c>
      <c r="L7202" s="71"/>
      <c r="M7202" s="68" t="s">
        <v>27</v>
      </c>
      <c r="N7202" s="116"/>
      <c r="O7202" s="51"/>
    </row>
    <row r="7203">
      <c r="A7203" s="273"/>
      <c r="B7203" s="71"/>
      <c r="C7203" s="69" t="s">
        <v>29063</v>
      </c>
      <c r="D7203" s="71"/>
      <c r="E7203" s="68" t="s">
        <v>29064</v>
      </c>
      <c r="F7203" s="76">
        <v>42820.0</v>
      </c>
      <c r="G7203" s="68" t="s">
        <v>29065</v>
      </c>
      <c r="H7203" s="71"/>
      <c r="I7203" s="71"/>
      <c r="J7203" s="68" t="s">
        <v>29046</v>
      </c>
      <c r="K7203" s="76">
        <v>43573.0</v>
      </c>
      <c r="L7203" s="71"/>
      <c r="M7203" s="68" t="s">
        <v>27</v>
      </c>
      <c r="N7203" s="116"/>
      <c r="O7203" s="51"/>
    </row>
    <row r="7204">
      <c r="A7204" s="273"/>
      <c r="B7204" s="71"/>
      <c r="C7204" s="69" t="s">
        <v>29066</v>
      </c>
      <c r="D7204" s="71"/>
      <c r="E7204" s="68" t="s">
        <v>29067</v>
      </c>
      <c r="F7204" s="76">
        <v>42820.0</v>
      </c>
      <c r="G7204" s="68" t="s">
        <v>28226</v>
      </c>
      <c r="H7204" s="71"/>
      <c r="I7204" s="71"/>
      <c r="J7204" s="68" t="s">
        <v>29046</v>
      </c>
      <c r="K7204" s="76">
        <v>43573.0</v>
      </c>
      <c r="L7204" s="71"/>
      <c r="M7204" s="68" t="s">
        <v>27</v>
      </c>
      <c r="N7204" s="116"/>
      <c r="O7204" s="51"/>
    </row>
    <row r="7205">
      <c r="A7205" s="273"/>
      <c r="B7205" s="71"/>
      <c r="C7205" s="69" t="s">
        <v>29068</v>
      </c>
      <c r="D7205" s="71"/>
      <c r="E7205" s="68" t="s">
        <v>29069</v>
      </c>
      <c r="F7205" s="76">
        <v>42820.0</v>
      </c>
      <c r="G7205" s="68" t="s">
        <v>28226</v>
      </c>
      <c r="H7205" s="71"/>
      <c r="I7205" s="71"/>
      <c r="J7205" s="68" t="s">
        <v>29046</v>
      </c>
      <c r="K7205" s="76">
        <v>43573.0</v>
      </c>
      <c r="L7205" s="71"/>
      <c r="M7205" s="68" t="s">
        <v>27</v>
      </c>
      <c r="N7205" s="116"/>
      <c r="O7205" s="51"/>
    </row>
    <row r="7206">
      <c r="A7206" s="273"/>
      <c r="B7206" s="71"/>
      <c r="C7206" s="69" t="s">
        <v>29070</v>
      </c>
      <c r="D7206" s="71"/>
      <c r="E7206" s="68" t="s">
        <v>29071</v>
      </c>
      <c r="F7206" s="76">
        <v>42820.0</v>
      </c>
      <c r="G7206" s="68" t="s">
        <v>28226</v>
      </c>
      <c r="H7206" s="71"/>
      <c r="I7206" s="71"/>
      <c r="J7206" s="68" t="s">
        <v>29072</v>
      </c>
      <c r="K7206" s="76">
        <v>43573.0</v>
      </c>
      <c r="L7206" s="71"/>
      <c r="M7206" s="68" t="s">
        <v>27</v>
      </c>
      <c r="N7206" s="116"/>
      <c r="O7206" s="51"/>
    </row>
    <row r="7207">
      <c r="A7207" s="273"/>
      <c r="B7207" s="71"/>
      <c r="C7207" s="69" t="s">
        <v>29073</v>
      </c>
      <c r="D7207" s="71"/>
      <c r="E7207" s="68" t="s">
        <v>29074</v>
      </c>
      <c r="F7207" s="76">
        <v>42820.0</v>
      </c>
      <c r="G7207" s="68" t="s">
        <v>28226</v>
      </c>
      <c r="H7207" s="71"/>
      <c r="I7207" s="71"/>
      <c r="J7207" s="68" t="s">
        <v>29075</v>
      </c>
      <c r="K7207" s="76">
        <v>43573.0</v>
      </c>
      <c r="L7207" s="71"/>
      <c r="M7207" s="68" t="s">
        <v>27</v>
      </c>
      <c r="N7207" s="116"/>
      <c r="O7207" s="51"/>
    </row>
    <row r="7208">
      <c r="A7208" s="273"/>
      <c r="B7208" s="71"/>
      <c r="C7208" s="69" t="s">
        <v>29076</v>
      </c>
      <c r="D7208" s="71"/>
      <c r="E7208" s="68" t="s">
        <v>29077</v>
      </c>
      <c r="F7208" s="76">
        <v>42820.0</v>
      </c>
      <c r="G7208" s="68" t="s">
        <v>28226</v>
      </c>
      <c r="H7208" s="71"/>
      <c r="I7208" s="71"/>
      <c r="J7208" s="68" t="s">
        <v>29046</v>
      </c>
      <c r="K7208" s="76">
        <v>43573.0</v>
      </c>
      <c r="L7208" s="71"/>
      <c r="M7208" s="68" t="s">
        <v>27</v>
      </c>
      <c r="N7208" s="116"/>
      <c r="O7208" s="51"/>
    </row>
    <row r="7209">
      <c r="A7209" s="273"/>
      <c r="B7209" s="71"/>
      <c r="C7209" s="69" t="s">
        <v>29078</v>
      </c>
      <c r="D7209" s="71"/>
      <c r="E7209" s="68" t="s">
        <v>29079</v>
      </c>
      <c r="F7209" s="76">
        <v>42824.0</v>
      </c>
      <c r="G7209" s="68" t="s">
        <v>29080</v>
      </c>
      <c r="H7209" s="71"/>
      <c r="I7209" s="71"/>
      <c r="J7209" s="68" t="s">
        <v>29046</v>
      </c>
      <c r="K7209" s="76">
        <v>43573.0</v>
      </c>
      <c r="L7209" s="71"/>
      <c r="M7209" s="68" t="s">
        <v>27</v>
      </c>
      <c r="N7209" s="116"/>
      <c r="O7209" s="51"/>
    </row>
    <row r="7210">
      <c r="A7210" s="273"/>
      <c r="B7210" s="71"/>
      <c r="C7210" s="69" t="s">
        <v>29081</v>
      </c>
      <c r="D7210" s="71"/>
      <c r="E7210" s="68" t="s">
        <v>29082</v>
      </c>
      <c r="F7210" s="76">
        <v>42824.0</v>
      </c>
      <c r="G7210" s="68" t="s">
        <v>29080</v>
      </c>
      <c r="H7210" s="71"/>
      <c r="I7210" s="71"/>
      <c r="J7210" s="68" t="s">
        <v>29046</v>
      </c>
      <c r="K7210" s="76">
        <v>43573.0</v>
      </c>
      <c r="L7210" s="71"/>
      <c r="M7210" s="68" t="s">
        <v>27</v>
      </c>
      <c r="N7210" s="116"/>
      <c r="O7210" s="51"/>
    </row>
    <row r="7211">
      <c r="A7211" s="273"/>
      <c r="B7211" s="71"/>
      <c r="C7211" s="69" t="s">
        <v>29083</v>
      </c>
      <c r="D7211" s="71"/>
      <c r="E7211" s="68" t="s">
        <v>29084</v>
      </c>
      <c r="F7211" s="76">
        <v>42822.0</v>
      </c>
      <c r="G7211" s="68" t="s">
        <v>29055</v>
      </c>
      <c r="H7211" s="71"/>
      <c r="I7211" s="71"/>
      <c r="J7211" s="68" t="s">
        <v>29046</v>
      </c>
      <c r="K7211" s="76">
        <v>43573.0</v>
      </c>
      <c r="L7211" s="71"/>
      <c r="M7211" s="68" t="s">
        <v>27</v>
      </c>
      <c r="N7211" s="116"/>
      <c r="O7211" s="51"/>
    </row>
    <row r="7212">
      <c r="A7212" s="273"/>
      <c r="B7212" s="71"/>
      <c r="C7212" s="69" t="s">
        <v>29085</v>
      </c>
      <c r="D7212" s="71"/>
      <c r="E7212" s="68" t="s">
        <v>29086</v>
      </c>
      <c r="F7212" s="76">
        <v>42822.0</v>
      </c>
      <c r="G7212" s="68" t="s">
        <v>29087</v>
      </c>
      <c r="H7212" s="71"/>
      <c r="I7212" s="71"/>
      <c r="J7212" s="68" t="s">
        <v>29088</v>
      </c>
      <c r="K7212" s="76">
        <v>43573.0</v>
      </c>
      <c r="L7212" s="71"/>
      <c r="M7212" s="68" t="s">
        <v>27</v>
      </c>
      <c r="N7212" s="116"/>
      <c r="O7212" s="51"/>
    </row>
    <row r="7213">
      <c r="A7213" s="273"/>
      <c r="B7213" s="71"/>
      <c r="C7213" s="69" t="s">
        <v>29089</v>
      </c>
      <c r="D7213" s="71"/>
      <c r="E7213" s="68" t="s">
        <v>29090</v>
      </c>
      <c r="F7213" s="76">
        <v>42798.0</v>
      </c>
      <c r="G7213" s="68" t="s">
        <v>29091</v>
      </c>
      <c r="H7213" s="71"/>
      <c r="I7213" s="71"/>
      <c r="J7213" s="68" t="s">
        <v>29046</v>
      </c>
      <c r="K7213" s="76">
        <v>43573.0</v>
      </c>
      <c r="L7213" s="71"/>
      <c r="M7213" s="68" t="s">
        <v>27</v>
      </c>
      <c r="N7213" s="116"/>
      <c r="O7213" s="51"/>
    </row>
    <row r="7214">
      <c r="A7214" s="234"/>
      <c r="B7214" s="71"/>
      <c r="C7214" s="79" t="s">
        <v>29092</v>
      </c>
      <c r="D7214" s="82"/>
      <c r="E7214" s="63" t="s">
        <v>29093</v>
      </c>
      <c r="F7214" s="70">
        <v>43012.0</v>
      </c>
      <c r="G7214" s="63" t="s">
        <v>29094</v>
      </c>
      <c r="H7214" s="82"/>
      <c r="I7214" s="82"/>
      <c r="J7214" s="63" t="s">
        <v>136</v>
      </c>
      <c r="K7214" s="81">
        <v>43573.0</v>
      </c>
      <c r="L7214" s="82"/>
      <c r="M7214" s="80" t="s">
        <v>27</v>
      </c>
      <c r="N7214" s="116"/>
      <c r="O7214" s="51"/>
    </row>
    <row r="7215">
      <c r="A7215" s="234"/>
      <c r="B7215" s="71"/>
      <c r="C7215" s="79" t="s">
        <v>29095</v>
      </c>
      <c r="D7215" s="82"/>
      <c r="E7215" s="63" t="s">
        <v>29096</v>
      </c>
      <c r="F7215" s="70">
        <v>43012.0</v>
      </c>
      <c r="G7215" s="63" t="s">
        <v>28425</v>
      </c>
      <c r="H7215" s="82"/>
      <c r="I7215" s="82"/>
      <c r="J7215" s="63" t="s">
        <v>136</v>
      </c>
      <c r="K7215" s="81">
        <v>43573.0</v>
      </c>
      <c r="L7215" s="82"/>
      <c r="M7215" s="80" t="s">
        <v>27</v>
      </c>
      <c r="N7215" s="116"/>
      <c r="O7215" s="51"/>
    </row>
    <row r="7216">
      <c r="A7216" s="273"/>
      <c r="B7216" s="71"/>
      <c r="C7216" s="69" t="s">
        <v>29097</v>
      </c>
      <c r="D7216" s="71"/>
      <c r="E7216" s="68" t="s">
        <v>29098</v>
      </c>
      <c r="F7216" s="76">
        <v>43012.0</v>
      </c>
      <c r="G7216" s="68" t="s">
        <v>28425</v>
      </c>
      <c r="H7216" s="71"/>
      <c r="I7216" s="71"/>
      <c r="J7216" s="68" t="s">
        <v>29046</v>
      </c>
      <c r="K7216" s="76">
        <v>43573.0</v>
      </c>
      <c r="L7216" s="71"/>
      <c r="M7216" s="68" t="s">
        <v>27</v>
      </c>
      <c r="N7216" s="116"/>
      <c r="O7216" s="51"/>
    </row>
    <row r="7217">
      <c r="A7217" s="273"/>
      <c r="B7217" s="71"/>
      <c r="C7217" s="69" t="s">
        <v>29099</v>
      </c>
      <c r="D7217" s="71"/>
      <c r="E7217" s="68" t="s">
        <v>29100</v>
      </c>
      <c r="F7217" s="76">
        <v>43012.0</v>
      </c>
      <c r="G7217" s="68" t="s">
        <v>28425</v>
      </c>
      <c r="H7217" s="71"/>
      <c r="I7217" s="71"/>
      <c r="J7217" s="68" t="s">
        <v>29046</v>
      </c>
      <c r="K7217" s="76">
        <v>43573.0</v>
      </c>
      <c r="L7217" s="71"/>
      <c r="M7217" s="68" t="s">
        <v>27</v>
      </c>
      <c r="N7217" s="116"/>
      <c r="O7217" s="51"/>
    </row>
    <row r="7218">
      <c r="A7218" s="273"/>
      <c r="B7218" s="71"/>
      <c r="C7218" s="69" t="s">
        <v>29101</v>
      </c>
      <c r="D7218" s="71"/>
      <c r="E7218" s="68" t="s">
        <v>29102</v>
      </c>
      <c r="F7218" s="76">
        <v>43012.0</v>
      </c>
      <c r="G7218" s="68" t="s">
        <v>28425</v>
      </c>
      <c r="H7218" s="71"/>
      <c r="I7218" s="71"/>
      <c r="J7218" s="68" t="s">
        <v>29046</v>
      </c>
      <c r="K7218" s="76">
        <v>43573.0</v>
      </c>
      <c r="L7218" s="71"/>
      <c r="M7218" s="68" t="s">
        <v>27</v>
      </c>
      <c r="N7218" s="116"/>
      <c r="O7218" s="51"/>
    </row>
    <row r="7219">
      <c r="A7219" s="273"/>
      <c r="B7219" s="71"/>
      <c r="C7219" s="69" t="s">
        <v>29103</v>
      </c>
      <c r="D7219" s="71"/>
      <c r="E7219" s="68" t="s">
        <v>29104</v>
      </c>
      <c r="F7219" s="76">
        <v>43012.0</v>
      </c>
      <c r="G7219" s="68" t="s">
        <v>28425</v>
      </c>
      <c r="H7219" s="71"/>
      <c r="I7219" s="71"/>
      <c r="J7219" s="68" t="s">
        <v>29046</v>
      </c>
      <c r="K7219" s="76">
        <v>43573.0</v>
      </c>
      <c r="L7219" s="71"/>
      <c r="M7219" s="68" t="s">
        <v>27</v>
      </c>
      <c r="N7219" s="116"/>
      <c r="O7219" s="51"/>
    </row>
    <row r="7220">
      <c r="A7220" s="273"/>
      <c r="B7220" s="71"/>
      <c r="C7220" s="69" t="s">
        <v>29105</v>
      </c>
      <c r="D7220" s="71"/>
      <c r="E7220" s="68" t="s">
        <v>29106</v>
      </c>
      <c r="F7220" s="76">
        <v>42920.0</v>
      </c>
      <c r="G7220" s="68" t="s">
        <v>28924</v>
      </c>
      <c r="H7220" s="71"/>
      <c r="I7220" s="71"/>
      <c r="J7220" s="68" t="s">
        <v>28792</v>
      </c>
      <c r="K7220" s="76">
        <v>43573.0</v>
      </c>
      <c r="L7220" s="71"/>
      <c r="M7220" s="68" t="s">
        <v>27</v>
      </c>
      <c r="N7220" s="116"/>
      <c r="O7220" s="51"/>
    </row>
    <row r="7221">
      <c r="A7221" s="234"/>
      <c r="B7221" s="71"/>
      <c r="C7221" s="79" t="s">
        <v>29107</v>
      </c>
      <c r="D7221" s="82"/>
      <c r="E7221" s="63" t="s">
        <v>29108</v>
      </c>
      <c r="F7221" s="70">
        <v>42920.0</v>
      </c>
      <c r="G7221" s="63" t="s">
        <v>28924</v>
      </c>
      <c r="H7221" s="82"/>
      <c r="I7221" s="82"/>
      <c r="J7221" s="63" t="s">
        <v>136</v>
      </c>
      <c r="K7221" s="81">
        <v>43573.0</v>
      </c>
      <c r="L7221" s="82"/>
      <c r="M7221" s="80" t="s">
        <v>27</v>
      </c>
      <c r="N7221" s="116"/>
      <c r="O7221" s="51"/>
    </row>
    <row r="7222">
      <c r="A7222" s="273"/>
      <c r="B7222" s="71"/>
      <c r="C7222" s="69" t="s">
        <v>29109</v>
      </c>
      <c r="D7222" s="71"/>
      <c r="E7222" s="68" t="s">
        <v>29110</v>
      </c>
      <c r="F7222" s="76">
        <v>42843.0</v>
      </c>
      <c r="G7222" s="68" t="s">
        <v>29111</v>
      </c>
      <c r="H7222" s="71"/>
      <c r="I7222" s="71"/>
      <c r="J7222" s="68" t="s">
        <v>29046</v>
      </c>
      <c r="K7222" s="76">
        <v>43573.0</v>
      </c>
      <c r="L7222" s="71"/>
      <c r="M7222" s="68" t="s">
        <v>27</v>
      </c>
      <c r="N7222" s="116"/>
      <c r="O7222" s="51"/>
    </row>
    <row r="7223">
      <c r="A7223" s="273"/>
      <c r="B7223" s="71"/>
      <c r="C7223" s="69" t="s">
        <v>29112</v>
      </c>
      <c r="D7223" s="71"/>
      <c r="E7223" s="68" t="s">
        <v>29113</v>
      </c>
      <c r="F7223" s="76">
        <v>42843.0</v>
      </c>
      <c r="G7223" s="68" t="s">
        <v>29111</v>
      </c>
      <c r="H7223" s="71"/>
      <c r="I7223" s="71"/>
      <c r="J7223" s="68" t="s">
        <v>29046</v>
      </c>
      <c r="K7223" s="76">
        <v>43573.0</v>
      </c>
      <c r="L7223" s="71"/>
      <c r="M7223" s="68" t="s">
        <v>27</v>
      </c>
      <c r="N7223" s="116"/>
      <c r="O7223" s="51"/>
    </row>
    <row r="7224">
      <c r="A7224" s="273"/>
      <c r="B7224" s="71"/>
      <c r="C7224" s="69" t="s">
        <v>29114</v>
      </c>
      <c r="D7224" s="71"/>
      <c r="E7224" s="68" t="s">
        <v>29115</v>
      </c>
      <c r="F7224" s="68" t="s">
        <v>29116</v>
      </c>
      <c r="G7224" s="68" t="s">
        <v>29091</v>
      </c>
      <c r="H7224" s="71"/>
      <c r="I7224" s="71"/>
      <c r="J7224" s="68" t="s">
        <v>29046</v>
      </c>
      <c r="K7224" s="76">
        <v>43573.0</v>
      </c>
      <c r="L7224" s="71"/>
      <c r="M7224" s="68" t="s">
        <v>27</v>
      </c>
      <c r="N7224" s="116"/>
      <c r="O7224" s="51"/>
    </row>
    <row r="7225">
      <c r="A7225" s="273"/>
      <c r="B7225" s="71"/>
      <c r="C7225" s="69" t="s">
        <v>29117</v>
      </c>
      <c r="D7225" s="71"/>
      <c r="E7225" s="68" t="s">
        <v>29118</v>
      </c>
      <c r="F7225" s="76">
        <v>42840.0</v>
      </c>
      <c r="G7225" s="68" t="s">
        <v>29119</v>
      </c>
      <c r="H7225" s="71"/>
      <c r="I7225" s="71"/>
      <c r="J7225" s="68" t="s">
        <v>29046</v>
      </c>
      <c r="K7225" s="76">
        <v>43573.0</v>
      </c>
      <c r="L7225" s="71"/>
      <c r="M7225" s="68" t="s">
        <v>27</v>
      </c>
      <c r="N7225" s="116"/>
      <c r="O7225" s="51"/>
    </row>
    <row r="7226">
      <c r="A7226" s="273"/>
      <c r="B7226" s="71"/>
      <c r="C7226" s="69" t="s">
        <v>29120</v>
      </c>
      <c r="D7226" s="71"/>
      <c r="E7226" s="68" t="s">
        <v>29121</v>
      </c>
      <c r="F7226" s="76">
        <v>42838.0</v>
      </c>
      <c r="G7226" s="68" t="s">
        <v>29122</v>
      </c>
      <c r="H7226" s="71"/>
      <c r="I7226" s="71"/>
      <c r="J7226" s="68" t="s">
        <v>29046</v>
      </c>
      <c r="K7226" s="76">
        <v>43573.0</v>
      </c>
      <c r="L7226" s="71"/>
      <c r="M7226" s="68" t="s">
        <v>27</v>
      </c>
      <c r="N7226" s="116"/>
      <c r="O7226" s="51"/>
    </row>
    <row r="7227">
      <c r="A7227" s="234"/>
      <c r="B7227" s="71"/>
      <c r="C7227" s="79" t="s">
        <v>29123</v>
      </c>
      <c r="D7227" s="82"/>
      <c r="E7227" s="63" t="s">
        <v>29124</v>
      </c>
      <c r="F7227" s="70">
        <v>42838.0</v>
      </c>
      <c r="G7227" s="63" t="s">
        <v>29125</v>
      </c>
      <c r="H7227" s="82"/>
      <c r="I7227" s="82"/>
      <c r="J7227" s="63" t="s">
        <v>136</v>
      </c>
      <c r="K7227" s="81">
        <v>43573.0</v>
      </c>
      <c r="L7227" s="82"/>
      <c r="M7227" s="80" t="s">
        <v>27</v>
      </c>
      <c r="N7227" s="116"/>
      <c r="O7227" s="51"/>
    </row>
    <row r="7228">
      <c r="A7228" s="234"/>
      <c r="B7228" s="71"/>
      <c r="C7228" s="79" t="s">
        <v>29126</v>
      </c>
      <c r="D7228" s="82"/>
      <c r="E7228" s="63" t="s">
        <v>29127</v>
      </c>
      <c r="F7228" s="70">
        <v>43043.0</v>
      </c>
      <c r="G7228" s="63" t="s">
        <v>29128</v>
      </c>
      <c r="H7228" s="82"/>
      <c r="I7228" s="82"/>
      <c r="J7228" s="63" t="s">
        <v>136</v>
      </c>
      <c r="K7228" s="81">
        <v>43573.0</v>
      </c>
      <c r="L7228" s="82"/>
      <c r="M7228" s="80" t="s">
        <v>27</v>
      </c>
      <c r="N7228" s="116"/>
      <c r="O7228" s="51"/>
    </row>
    <row r="7229">
      <c r="A7229" s="234"/>
      <c r="B7229" s="71"/>
      <c r="C7229" s="79" t="s">
        <v>29129</v>
      </c>
      <c r="D7229" s="82"/>
      <c r="E7229" s="63" t="s">
        <v>29130</v>
      </c>
      <c r="F7229" s="70">
        <v>42836.0</v>
      </c>
      <c r="G7229" s="63" t="s">
        <v>29128</v>
      </c>
      <c r="H7229" s="82"/>
      <c r="I7229" s="82"/>
      <c r="J7229" s="63" t="s">
        <v>136</v>
      </c>
      <c r="K7229" s="81">
        <v>43573.0</v>
      </c>
      <c r="L7229" s="82"/>
      <c r="M7229" s="80" t="s">
        <v>27</v>
      </c>
      <c r="N7229" s="116"/>
      <c r="O7229" s="51"/>
    </row>
    <row r="7230">
      <c r="A7230" s="273"/>
      <c r="B7230" s="71"/>
      <c r="C7230" s="69" t="s">
        <v>29131</v>
      </c>
      <c r="D7230" s="71"/>
      <c r="E7230" s="68" t="s">
        <v>29132</v>
      </c>
      <c r="F7230" s="76">
        <v>43045.0</v>
      </c>
      <c r="G7230" s="68" t="s">
        <v>28888</v>
      </c>
      <c r="H7230" s="71"/>
      <c r="I7230" s="71"/>
      <c r="J7230" s="68" t="s">
        <v>29133</v>
      </c>
      <c r="K7230" s="76">
        <v>43573.0</v>
      </c>
      <c r="L7230" s="71"/>
      <c r="M7230" s="68" t="s">
        <v>27</v>
      </c>
      <c r="N7230" s="116"/>
      <c r="O7230" s="51"/>
    </row>
    <row r="7231">
      <c r="A7231" s="273"/>
      <c r="B7231" s="71"/>
      <c r="C7231" s="69" t="s">
        <v>29134</v>
      </c>
      <c r="D7231" s="71"/>
      <c r="E7231" s="68" t="s">
        <v>29135</v>
      </c>
      <c r="F7231" s="76">
        <v>43045.0</v>
      </c>
      <c r="G7231" s="68" t="s">
        <v>28888</v>
      </c>
      <c r="H7231" s="71"/>
      <c r="I7231" s="71"/>
      <c r="J7231" s="68" t="s">
        <v>29046</v>
      </c>
      <c r="K7231" s="76">
        <v>43573.0</v>
      </c>
      <c r="L7231" s="71"/>
      <c r="M7231" s="68" t="s">
        <v>27</v>
      </c>
      <c r="N7231" s="116"/>
      <c r="O7231" s="51"/>
    </row>
    <row r="7232">
      <c r="A7232" s="273"/>
      <c r="B7232" s="71"/>
      <c r="C7232" s="69" t="s">
        <v>29136</v>
      </c>
      <c r="D7232" s="71"/>
      <c r="E7232" s="68" t="s">
        <v>29137</v>
      </c>
      <c r="F7232" s="76">
        <v>43045.0</v>
      </c>
      <c r="G7232" s="68" t="s">
        <v>28888</v>
      </c>
      <c r="H7232" s="71"/>
      <c r="I7232" s="71"/>
      <c r="J7232" s="68" t="s">
        <v>29046</v>
      </c>
      <c r="K7232" s="76">
        <v>43573.0</v>
      </c>
      <c r="L7232" s="71"/>
      <c r="M7232" s="68" t="s">
        <v>27</v>
      </c>
      <c r="N7232" s="116"/>
      <c r="O7232" s="51"/>
    </row>
    <row r="7233">
      <c r="A7233" s="273"/>
      <c r="B7233" s="71"/>
      <c r="C7233" s="69" t="s">
        <v>29138</v>
      </c>
      <c r="D7233" s="71"/>
      <c r="E7233" s="68" t="s">
        <v>29139</v>
      </c>
      <c r="F7233" s="76">
        <v>43045.0</v>
      </c>
      <c r="G7233" s="68" t="s">
        <v>28425</v>
      </c>
      <c r="H7233" s="71"/>
      <c r="I7233" s="71"/>
      <c r="J7233" s="68" t="s">
        <v>29046</v>
      </c>
      <c r="K7233" s="76">
        <v>43573.0</v>
      </c>
      <c r="L7233" s="71"/>
      <c r="M7233" s="68" t="s">
        <v>27</v>
      </c>
      <c r="N7233" s="116"/>
      <c r="O7233" s="51"/>
    </row>
    <row r="7234">
      <c r="A7234" s="234"/>
      <c r="B7234" s="71"/>
      <c r="C7234" s="79" t="s">
        <v>29140</v>
      </c>
      <c r="D7234" s="82"/>
      <c r="E7234" s="63" t="s">
        <v>29141</v>
      </c>
      <c r="F7234" s="70">
        <v>43045.0</v>
      </c>
      <c r="G7234" s="63" t="s">
        <v>28425</v>
      </c>
      <c r="H7234" s="82"/>
      <c r="I7234" s="82"/>
      <c r="J7234" s="63" t="s">
        <v>136</v>
      </c>
      <c r="K7234" s="81">
        <v>43573.0</v>
      </c>
      <c r="L7234" s="82"/>
      <c r="M7234" s="80" t="s">
        <v>27</v>
      </c>
      <c r="N7234" s="116"/>
      <c r="O7234" s="51"/>
    </row>
    <row r="7235">
      <c r="A7235" s="234"/>
      <c r="B7235" s="71"/>
      <c r="C7235" s="79" t="s">
        <v>29142</v>
      </c>
      <c r="D7235" s="82"/>
      <c r="E7235" s="63" t="s">
        <v>29143</v>
      </c>
      <c r="F7235" s="70">
        <v>43045.0</v>
      </c>
      <c r="G7235" s="63" t="s">
        <v>29144</v>
      </c>
      <c r="H7235" s="82"/>
      <c r="I7235" s="82"/>
      <c r="J7235" s="63" t="s">
        <v>136</v>
      </c>
      <c r="K7235" s="81">
        <v>43573.0</v>
      </c>
      <c r="L7235" s="82"/>
      <c r="M7235" s="80" t="s">
        <v>27</v>
      </c>
      <c r="N7235" s="116"/>
      <c r="O7235" s="51"/>
    </row>
    <row r="7236">
      <c r="A7236" s="273"/>
      <c r="B7236" s="71"/>
      <c r="C7236" s="69" t="s">
        <v>29145</v>
      </c>
      <c r="D7236" s="71"/>
      <c r="E7236" s="68" t="s">
        <v>29146</v>
      </c>
      <c r="F7236" s="76">
        <v>43045.0</v>
      </c>
      <c r="G7236" s="68" t="s">
        <v>28425</v>
      </c>
      <c r="H7236" s="71"/>
      <c r="I7236" s="71"/>
      <c r="J7236" s="68" t="s">
        <v>29046</v>
      </c>
      <c r="K7236" s="76">
        <v>43573.0</v>
      </c>
      <c r="L7236" s="71"/>
      <c r="M7236" s="68" t="s">
        <v>27</v>
      </c>
      <c r="N7236" s="116"/>
      <c r="O7236" s="51"/>
    </row>
    <row r="7237">
      <c r="A7237" s="234"/>
      <c r="B7237" s="71"/>
      <c r="C7237" s="79" t="s">
        <v>29147</v>
      </c>
      <c r="D7237" s="82"/>
      <c r="E7237" s="63" t="s">
        <v>29148</v>
      </c>
      <c r="F7237" s="70">
        <v>43045.0</v>
      </c>
      <c r="G7237" s="63" t="s">
        <v>28888</v>
      </c>
      <c r="H7237" s="82"/>
      <c r="I7237" s="82"/>
      <c r="J7237" s="63" t="s">
        <v>136</v>
      </c>
      <c r="K7237" s="81">
        <v>43573.0</v>
      </c>
      <c r="L7237" s="82"/>
      <c r="M7237" s="80" t="s">
        <v>27</v>
      </c>
      <c r="N7237" s="116"/>
      <c r="O7237" s="51"/>
    </row>
    <row r="7238">
      <c r="A7238" s="273"/>
      <c r="B7238" s="71"/>
      <c r="C7238" s="69" t="s">
        <v>29149</v>
      </c>
      <c r="D7238" s="71"/>
      <c r="E7238" s="68" t="s">
        <v>29150</v>
      </c>
      <c r="F7238" s="76">
        <v>42901.0</v>
      </c>
      <c r="G7238" s="68" t="s">
        <v>29151</v>
      </c>
      <c r="H7238" s="71"/>
      <c r="I7238" s="71"/>
      <c r="J7238" s="68" t="s">
        <v>29046</v>
      </c>
      <c r="K7238" s="76">
        <v>43573.0</v>
      </c>
      <c r="L7238" s="71"/>
      <c r="M7238" s="68" t="s">
        <v>27</v>
      </c>
      <c r="N7238" s="116"/>
      <c r="O7238" s="51"/>
    </row>
    <row r="7239">
      <c r="A7239" s="273"/>
      <c r="B7239" s="71"/>
      <c r="C7239" s="69" t="s">
        <v>29152</v>
      </c>
      <c r="D7239" s="71"/>
      <c r="E7239" s="68" t="s">
        <v>29153</v>
      </c>
      <c r="F7239" s="76">
        <v>42901.0</v>
      </c>
      <c r="G7239" s="68" t="s">
        <v>29151</v>
      </c>
      <c r="H7239" s="71"/>
      <c r="I7239" s="71"/>
      <c r="J7239" s="68" t="s">
        <v>29046</v>
      </c>
      <c r="K7239" s="76">
        <v>43573.0</v>
      </c>
      <c r="L7239" s="71"/>
      <c r="M7239" s="68" t="s">
        <v>27</v>
      </c>
      <c r="N7239" s="116"/>
      <c r="O7239" s="51"/>
    </row>
    <row r="7240">
      <c r="A7240" s="234"/>
      <c r="B7240" s="71"/>
      <c r="C7240" s="79" t="s">
        <v>29154</v>
      </c>
      <c r="D7240" s="82"/>
      <c r="E7240" s="63" t="s">
        <v>29155</v>
      </c>
      <c r="F7240" s="70">
        <v>42901.0</v>
      </c>
      <c r="G7240" s="63" t="s">
        <v>29151</v>
      </c>
      <c r="H7240" s="82"/>
      <c r="I7240" s="82"/>
      <c r="J7240" s="63" t="s">
        <v>136</v>
      </c>
      <c r="K7240" s="81">
        <v>43573.0</v>
      </c>
      <c r="L7240" s="82"/>
      <c r="M7240" s="80" t="s">
        <v>27</v>
      </c>
      <c r="N7240" s="116"/>
      <c r="O7240" s="51"/>
    </row>
    <row r="7241">
      <c r="A7241" s="273"/>
      <c r="B7241" s="71"/>
      <c r="C7241" s="69" t="s">
        <v>29156</v>
      </c>
      <c r="D7241" s="71"/>
      <c r="E7241" s="68" t="s">
        <v>29157</v>
      </c>
      <c r="F7241" s="76">
        <v>42901.0</v>
      </c>
      <c r="G7241" s="68" t="s">
        <v>29151</v>
      </c>
      <c r="H7241" s="71"/>
      <c r="I7241" s="71"/>
      <c r="J7241" s="68" t="s">
        <v>29046</v>
      </c>
      <c r="K7241" s="76">
        <v>43573.0</v>
      </c>
      <c r="L7241" s="71"/>
      <c r="M7241" s="68" t="s">
        <v>27</v>
      </c>
      <c r="N7241" s="116"/>
      <c r="O7241" s="51"/>
    </row>
    <row r="7242">
      <c r="A7242" s="273"/>
      <c r="B7242" s="71"/>
      <c r="C7242" s="69" t="s">
        <v>29158</v>
      </c>
      <c r="D7242" s="71"/>
      <c r="E7242" s="68" t="s">
        <v>29159</v>
      </c>
      <c r="F7242" s="76">
        <v>42901.0</v>
      </c>
      <c r="G7242" s="68" t="s">
        <v>29151</v>
      </c>
      <c r="H7242" s="71"/>
      <c r="I7242" s="71"/>
      <c r="J7242" s="68" t="s">
        <v>29046</v>
      </c>
      <c r="K7242" s="76">
        <v>43573.0</v>
      </c>
      <c r="L7242" s="71"/>
      <c r="M7242" s="68" t="s">
        <v>27</v>
      </c>
      <c r="N7242" s="116"/>
      <c r="O7242" s="51"/>
    </row>
    <row r="7243">
      <c r="A7243" s="273"/>
      <c r="B7243" s="71"/>
      <c r="C7243" s="69" t="s">
        <v>29160</v>
      </c>
      <c r="D7243" s="71"/>
      <c r="E7243" s="68" t="s">
        <v>29161</v>
      </c>
      <c r="F7243" s="76">
        <v>42901.0</v>
      </c>
      <c r="G7243" s="68" t="s">
        <v>29151</v>
      </c>
      <c r="H7243" s="71"/>
      <c r="I7243" s="71"/>
      <c r="J7243" s="68" t="s">
        <v>29046</v>
      </c>
      <c r="K7243" s="76">
        <v>43573.0</v>
      </c>
      <c r="L7243" s="71"/>
      <c r="M7243" s="68" t="s">
        <v>27</v>
      </c>
      <c r="N7243" s="116"/>
      <c r="O7243" s="51"/>
    </row>
    <row r="7244">
      <c r="A7244" s="273"/>
      <c r="B7244" s="71"/>
      <c r="C7244" s="69" t="s">
        <v>29162</v>
      </c>
      <c r="D7244" s="71"/>
      <c r="E7244" s="68" t="s">
        <v>29163</v>
      </c>
      <c r="F7244" s="76">
        <v>42901.0</v>
      </c>
      <c r="G7244" s="68" t="s">
        <v>29151</v>
      </c>
      <c r="H7244" s="71"/>
      <c r="I7244" s="71"/>
      <c r="J7244" s="68" t="s">
        <v>29046</v>
      </c>
      <c r="K7244" s="76">
        <v>43573.0</v>
      </c>
      <c r="L7244" s="71"/>
      <c r="M7244" s="68" t="s">
        <v>27</v>
      </c>
      <c r="N7244" s="116"/>
      <c r="O7244" s="51"/>
    </row>
    <row r="7245">
      <c r="A7245" s="273"/>
      <c r="B7245" s="71"/>
      <c r="C7245" s="69" t="s">
        <v>29164</v>
      </c>
      <c r="D7245" s="71"/>
      <c r="E7245" s="68" t="s">
        <v>29165</v>
      </c>
      <c r="F7245" s="76">
        <v>42899.0</v>
      </c>
      <c r="G7245" s="68" t="s">
        <v>29166</v>
      </c>
      <c r="H7245" s="71"/>
      <c r="I7245" s="71"/>
      <c r="J7245" s="68" t="s">
        <v>29046</v>
      </c>
      <c r="K7245" s="76">
        <v>43573.0</v>
      </c>
      <c r="L7245" s="71"/>
      <c r="M7245" s="68" t="s">
        <v>27</v>
      </c>
      <c r="N7245" s="116"/>
      <c r="O7245" s="51"/>
    </row>
    <row r="7246">
      <c r="A7246" s="273"/>
      <c r="B7246" s="71"/>
      <c r="C7246" s="69" t="s">
        <v>29167</v>
      </c>
      <c r="D7246" s="71"/>
      <c r="E7246" s="68" t="s">
        <v>29168</v>
      </c>
      <c r="F7246" s="76">
        <v>42899.0</v>
      </c>
      <c r="G7246" s="68" t="s">
        <v>29166</v>
      </c>
      <c r="H7246" s="71"/>
      <c r="I7246" s="71"/>
      <c r="J7246" s="68" t="s">
        <v>29046</v>
      </c>
      <c r="K7246" s="76">
        <v>43573.0</v>
      </c>
      <c r="L7246" s="71"/>
      <c r="M7246" s="68" t="s">
        <v>27</v>
      </c>
      <c r="N7246" s="116"/>
      <c r="O7246" s="51"/>
    </row>
    <row r="7247">
      <c r="A7247" s="273"/>
      <c r="B7247" s="71"/>
      <c r="C7247" s="69" t="s">
        <v>29169</v>
      </c>
      <c r="D7247" s="71"/>
      <c r="E7247" s="68" t="s">
        <v>29170</v>
      </c>
      <c r="F7247" s="76">
        <v>42899.0</v>
      </c>
      <c r="G7247" s="68" t="s">
        <v>29166</v>
      </c>
      <c r="H7247" s="71"/>
      <c r="I7247" s="71"/>
      <c r="J7247" s="68" t="s">
        <v>29046</v>
      </c>
      <c r="K7247" s="76">
        <v>43573.0</v>
      </c>
      <c r="L7247" s="71"/>
      <c r="M7247" s="68" t="s">
        <v>27</v>
      </c>
      <c r="N7247" s="116"/>
      <c r="O7247" s="51"/>
    </row>
    <row r="7248">
      <c r="A7248" s="273"/>
      <c r="B7248" s="71"/>
      <c r="C7248" s="69" t="s">
        <v>29171</v>
      </c>
      <c r="D7248" s="71"/>
      <c r="E7248" s="68" t="s">
        <v>29172</v>
      </c>
      <c r="F7248" s="76">
        <v>42899.0</v>
      </c>
      <c r="G7248" s="68" t="s">
        <v>29166</v>
      </c>
      <c r="H7248" s="71"/>
      <c r="I7248" s="71"/>
      <c r="J7248" s="68" t="s">
        <v>29046</v>
      </c>
      <c r="K7248" s="76">
        <v>43573.0</v>
      </c>
      <c r="L7248" s="71"/>
      <c r="M7248" s="68" t="s">
        <v>27</v>
      </c>
      <c r="N7248" s="116"/>
      <c r="O7248" s="51"/>
    </row>
    <row r="7249">
      <c r="A7249" s="273"/>
      <c r="B7249" s="71"/>
      <c r="C7249" s="69" t="s">
        <v>29173</v>
      </c>
      <c r="D7249" s="71"/>
      <c r="E7249" s="68" t="s">
        <v>29174</v>
      </c>
      <c r="F7249" s="76">
        <v>42899.0</v>
      </c>
      <c r="G7249" s="68" t="s">
        <v>29166</v>
      </c>
      <c r="H7249" s="71"/>
      <c r="I7249" s="71"/>
      <c r="J7249" s="68" t="s">
        <v>29046</v>
      </c>
      <c r="K7249" s="76">
        <v>43573.0</v>
      </c>
      <c r="L7249" s="71"/>
      <c r="M7249" s="68" t="s">
        <v>27</v>
      </c>
      <c r="N7249" s="116"/>
      <c r="O7249" s="51"/>
    </row>
    <row r="7250">
      <c r="A7250" s="273"/>
      <c r="B7250" s="71"/>
      <c r="C7250" s="69" t="s">
        <v>29175</v>
      </c>
      <c r="D7250" s="71"/>
      <c r="E7250" s="68" t="s">
        <v>29176</v>
      </c>
      <c r="F7250" s="76">
        <v>42899.0</v>
      </c>
      <c r="G7250" s="68" t="s">
        <v>29166</v>
      </c>
      <c r="H7250" s="71"/>
      <c r="I7250" s="71"/>
      <c r="J7250" s="68" t="s">
        <v>29046</v>
      </c>
      <c r="K7250" s="76">
        <v>43573.0</v>
      </c>
      <c r="L7250" s="71"/>
      <c r="M7250" s="68" t="s">
        <v>27</v>
      </c>
      <c r="N7250" s="116"/>
      <c r="O7250" s="51"/>
    </row>
    <row r="7251">
      <c r="A7251" s="234"/>
      <c r="B7251" s="71"/>
      <c r="C7251" s="79" t="s">
        <v>29177</v>
      </c>
      <c r="D7251" s="82"/>
      <c r="E7251" s="63" t="s">
        <v>29178</v>
      </c>
      <c r="F7251" s="70">
        <v>42905.0</v>
      </c>
      <c r="G7251" s="63" t="s">
        <v>29111</v>
      </c>
      <c r="H7251" s="82"/>
      <c r="I7251" s="82"/>
      <c r="J7251" s="63" t="s">
        <v>136</v>
      </c>
      <c r="K7251" s="81">
        <v>43573.0</v>
      </c>
      <c r="L7251" s="82"/>
      <c r="M7251" s="80" t="s">
        <v>27</v>
      </c>
      <c r="N7251" s="116"/>
      <c r="O7251" s="51"/>
    </row>
    <row r="7252">
      <c r="A7252" s="234"/>
      <c r="B7252" s="71"/>
      <c r="C7252" s="79" t="s">
        <v>29179</v>
      </c>
      <c r="D7252" s="82"/>
      <c r="E7252" s="63" t="s">
        <v>29180</v>
      </c>
      <c r="F7252" s="70">
        <v>42905.0</v>
      </c>
      <c r="G7252" s="63" t="s">
        <v>29111</v>
      </c>
      <c r="H7252" s="82"/>
      <c r="I7252" s="82"/>
      <c r="J7252" s="63" t="s">
        <v>136</v>
      </c>
      <c r="K7252" s="81">
        <v>43573.0</v>
      </c>
      <c r="L7252" s="82"/>
      <c r="M7252" s="80" t="s">
        <v>27</v>
      </c>
      <c r="N7252" s="116"/>
      <c r="O7252" s="51"/>
    </row>
    <row r="7253">
      <c r="A7253" s="273"/>
      <c r="B7253" s="71"/>
      <c r="C7253" s="69" t="s">
        <v>29181</v>
      </c>
      <c r="D7253" s="71"/>
      <c r="E7253" s="68" t="s">
        <v>29182</v>
      </c>
      <c r="F7253" s="76">
        <v>42904.0</v>
      </c>
      <c r="G7253" s="68" t="s">
        <v>29183</v>
      </c>
      <c r="H7253" s="71"/>
      <c r="I7253" s="71"/>
      <c r="J7253" s="68" t="s">
        <v>29046</v>
      </c>
      <c r="K7253" s="76">
        <v>43573.0</v>
      </c>
      <c r="L7253" s="71"/>
      <c r="M7253" s="68" t="s">
        <v>27</v>
      </c>
      <c r="N7253" s="116"/>
      <c r="O7253" s="51"/>
    </row>
    <row r="7254">
      <c r="A7254" s="273"/>
      <c r="B7254" s="71"/>
      <c r="C7254" s="69" t="s">
        <v>29184</v>
      </c>
      <c r="D7254" s="71"/>
      <c r="E7254" s="68" t="s">
        <v>29185</v>
      </c>
      <c r="F7254" s="76">
        <v>42902.0</v>
      </c>
      <c r="G7254" s="68" t="s">
        <v>29186</v>
      </c>
      <c r="H7254" s="71"/>
      <c r="I7254" s="71"/>
      <c r="J7254" s="68" t="s">
        <v>29046</v>
      </c>
      <c r="K7254" s="76">
        <v>43573.0</v>
      </c>
      <c r="L7254" s="71"/>
      <c r="M7254" s="68" t="s">
        <v>27</v>
      </c>
      <c r="N7254" s="116"/>
      <c r="O7254" s="51"/>
    </row>
    <row r="7255">
      <c r="A7255" s="273"/>
      <c r="B7255" s="71"/>
      <c r="C7255" s="69" t="s">
        <v>29187</v>
      </c>
      <c r="D7255" s="71"/>
      <c r="E7255" s="68" t="s">
        <v>29188</v>
      </c>
      <c r="F7255" s="76">
        <v>42902.0</v>
      </c>
      <c r="G7255" s="68" t="s">
        <v>29186</v>
      </c>
      <c r="H7255" s="71"/>
      <c r="I7255" s="71"/>
      <c r="J7255" s="68" t="s">
        <v>29046</v>
      </c>
      <c r="K7255" s="76">
        <v>43573.0</v>
      </c>
      <c r="L7255" s="71"/>
      <c r="M7255" s="68" t="s">
        <v>27</v>
      </c>
      <c r="N7255" s="116"/>
      <c r="O7255" s="51"/>
    </row>
    <row r="7256">
      <c r="A7256" s="273"/>
      <c r="B7256" s="71"/>
      <c r="C7256" s="69" t="s">
        <v>29189</v>
      </c>
      <c r="D7256" s="71"/>
      <c r="E7256" s="68" t="s">
        <v>29190</v>
      </c>
      <c r="F7256" s="76">
        <v>42906.0</v>
      </c>
      <c r="G7256" s="68" t="s">
        <v>29191</v>
      </c>
      <c r="H7256" s="71"/>
      <c r="I7256" s="71"/>
      <c r="J7256" s="68" t="s">
        <v>29046</v>
      </c>
      <c r="K7256" s="76">
        <v>43573.0</v>
      </c>
      <c r="L7256" s="71"/>
      <c r="M7256" s="68" t="s">
        <v>27</v>
      </c>
      <c r="N7256" s="116"/>
      <c r="O7256" s="51"/>
    </row>
    <row r="7257">
      <c r="A7257" s="273"/>
      <c r="B7257" s="71"/>
      <c r="C7257" s="69" t="s">
        <v>29192</v>
      </c>
      <c r="D7257" s="71"/>
      <c r="E7257" s="68" t="s">
        <v>29193</v>
      </c>
      <c r="F7257" s="76">
        <v>42911.0</v>
      </c>
      <c r="G7257" s="68" t="s">
        <v>29194</v>
      </c>
      <c r="H7257" s="71"/>
      <c r="I7257" s="71"/>
      <c r="J7257" s="68" t="s">
        <v>28792</v>
      </c>
      <c r="K7257" s="76">
        <v>43573.0</v>
      </c>
      <c r="L7257" s="71"/>
      <c r="M7257" s="68" t="s">
        <v>27</v>
      </c>
      <c r="N7257" s="116"/>
      <c r="O7257" s="51"/>
    </row>
    <row r="7258">
      <c r="A7258" s="234"/>
      <c r="B7258" s="71"/>
      <c r="C7258" s="79" t="s">
        <v>29195</v>
      </c>
      <c r="D7258" s="82"/>
      <c r="E7258" s="63" t="s">
        <v>29196</v>
      </c>
      <c r="F7258" s="70">
        <v>42911.0</v>
      </c>
      <c r="G7258" s="63" t="s">
        <v>29194</v>
      </c>
      <c r="H7258" s="82"/>
      <c r="I7258" s="82"/>
      <c r="J7258" s="63" t="s">
        <v>136</v>
      </c>
      <c r="K7258" s="81">
        <v>43573.0</v>
      </c>
      <c r="L7258" s="82"/>
      <c r="M7258" s="80" t="s">
        <v>27</v>
      </c>
      <c r="N7258" s="116"/>
      <c r="O7258" s="51"/>
    </row>
    <row r="7259">
      <c r="A7259" s="273"/>
      <c r="B7259" s="71"/>
      <c r="C7259" s="69" t="s">
        <v>29197</v>
      </c>
      <c r="D7259" s="71"/>
      <c r="E7259" s="68" t="s">
        <v>29198</v>
      </c>
      <c r="F7259" s="76">
        <v>42910.0</v>
      </c>
      <c r="G7259" s="68" t="s">
        <v>29199</v>
      </c>
      <c r="H7259" s="71"/>
      <c r="I7259" s="71"/>
      <c r="J7259" s="68" t="s">
        <v>29200</v>
      </c>
      <c r="K7259" s="76">
        <v>43573.0</v>
      </c>
      <c r="L7259" s="71"/>
      <c r="M7259" s="68" t="s">
        <v>27</v>
      </c>
      <c r="N7259" s="116"/>
      <c r="O7259" s="51"/>
    </row>
    <row r="7260">
      <c r="A7260" s="234"/>
      <c r="B7260" s="71"/>
      <c r="C7260" s="79" t="s">
        <v>29201</v>
      </c>
      <c r="D7260" s="82"/>
      <c r="E7260" s="63" t="s">
        <v>29202</v>
      </c>
      <c r="F7260" s="70">
        <v>42910.0</v>
      </c>
      <c r="G7260" s="63" t="s">
        <v>29203</v>
      </c>
      <c r="H7260" s="82"/>
      <c r="I7260" s="82"/>
      <c r="J7260" s="63" t="s">
        <v>136</v>
      </c>
      <c r="K7260" s="81">
        <v>43573.0</v>
      </c>
      <c r="L7260" s="82"/>
      <c r="M7260" s="80" t="s">
        <v>27</v>
      </c>
      <c r="N7260" s="116"/>
      <c r="O7260" s="51"/>
    </row>
    <row r="7261">
      <c r="A7261" s="273"/>
      <c r="B7261" s="71"/>
      <c r="C7261" s="69" t="s">
        <v>29204</v>
      </c>
      <c r="D7261" s="71"/>
      <c r="E7261" s="68" t="s">
        <v>29205</v>
      </c>
      <c r="F7261" s="76">
        <v>42910.0</v>
      </c>
      <c r="G7261" s="68" t="s">
        <v>29203</v>
      </c>
      <c r="H7261" s="71"/>
      <c r="I7261" s="71"/>
      <c r="J7261" s="68" t="s">
        <v>29206</v>
      </c>
      <c r="K7261" s="76">
        <v>43573.0</v>
      </c>
      <c r="L7261" s="71"/>
      <c r="M7261" s="68" t="s">
        <v>27</v>
      </c>
      <c r="N7261" s="116"/>
      <c r="O7261" s="51"/>
    </row>
    <row r="7262">
      <c r="A7262" s="273"/>
      <c r="B7262" s="71"/>
      <c r="C7262" s="69" t="s">
        <v>29207</v>
      </c>
      <c r="D7262" s="71"/>
      <c r="E7262" s="68" t="s">
        <v>29208</v>
      </c>
      <c r="F7262" s="76">
        <v>42910.0</v>
      </c>
      <c r="G7262" s="68" t="s">
        <v>28433</v>
      </c>
      <c r="H7262" s="71"/>
      <c r="I7262" s="71"/>
      <c r="J7262" s="68" t="s">
        <v>29209</v>
      </c>
      <c r="K7262" s="76">
        <v>43573.0</v>
      </c>
      <c r="L7262" s="71"/>
      <c r="M7262" s="68" t="s">
        <v>27</v>
      </c>
      <c r="N7262" s="116"/>
      <c r="O7262" s="51"/>
    </row>
    <row r="7263">
      <c r="A7263" s="273"/>
      <c r="B7263" s="71"/>
      <c r="C7263" s="69" t="s">
        <v>29210</v>
      </c>
      <c r="D7263" s="71"/>
      <c r="E7263" s="68" t="s">
        <v>29211</v>
      </c>
      <c r="F7263" s="76">
        <v>42915.0</v>
      </c>
      <c r="G7263" s="68" t="s">
        <v>29212</v>
      </c>
      <c r="H7263" s="71"/>
      <c r="I7263" s="71"/>
      <c r="J7263" s="68" t="s">
        <v>29213</v>
      </c>
      <c r="K7263" s="76">
        <v>43573.0</v>
      </c>
      <c r="L7263" s="71"/>
      <c r="M7263" s="68" t="s">
        <v>27</v>
      </c>
      <c r="N7263" s="116"/>
      <c r="O7263" s="51"/>
    </row>
    <row r="7264">
      <c r="A7264" s="234"/>
      <c r="B7264" s="71"/>
      <c r="C7264" s="79" t="s">
        <v>29214</v>
      </c>
      <c r="D7264" s="82"/>
      <c r="E7264" s="63" t="s">
        <v>29215</v>
      </c>
      <c r="F7264" s="70">
        <v>42915.0</v>
      </c>
      <c r="G7264" s="63" t="s">
        <v>29216</v>
      </c>
      <c r="H7264" s="82"/>
      <c r="I7264" s="82"/>
      <c r="J7264" s="63" t="s">
        <v>136</v>
      </c>
      <c r="K7264" s="81">
        <v>43573.0</v>
      </c>
      <c r="L7264" s="82"/>
      <c r="M7264" s="80" t="s">
        <v>27</v>
      </c>
      <c r="N7264" s="116"/>
      <c r="O7264" s="51"/>
    </row>
    <row r="7265">
      <c r="A7265" s="234"/>
      <c r="B7265" s="71"/>
      <c r="C7265" s="79" t="s">
        <v>29217</v>
      </c>
      <c r="D7265" s="82"/>
      <c r="E7265" s="63" t="s">
        <v>29218</v>
      </c>
      <c r="F7265" s="70">
        <v>42915.0</v>
      </c>
      <c r="G7265" s="63" t="s">
        <v>29216</v>
      </c>
      <c r="H7265" s="82"/>
      <c r="I7265" s="82"/>
      <c r="J7265" s="63" t="s">
        <v>136</v>
      </c>
      <c r="K7265" s="81">
        <v>43573.0</v>
      </c>
      <c r="L7265" s="82"/>
      <c r="M7265" s="80" t="s">
        <v>27</v>
      </c>
      <c r="N7265" s="116"/>
      <c r="O7265" s="51"/>
    </row>
    <row r="7266">
      <c r="A7266" s="273"/>
      <c r="B7266" s="71"/>
      <c r="C7266" s="69" t="s">
        <v>29219</v>
      </c>
      <c r="D7266" s="71"/>
      <c r="E7266" s="68" t="s">
        <v>29220</v>
      </c>
      <c r="F7266" s="76">
        <v>42915.0</v>
      </c>
      <c r="G7266" s="68" t="s">
        <v>29199</v>
      </c>
      <c r="H7266" s="71"/>
      <c r="I7266" s="71"/>
      <c r="J7266" s="68" t="s">
        <v>28792</v>
      </c>
      <c r="K7266" s="76">
        <v>43573.0</v>
      </c>
      <c r="L7266" s="71"/>
      <c r="M7266" s="68" t="s">
        <v>27</v>
      </c>
      <c r="N7266" s="116"/>
      <c r="O7266" s="51"/>
    </row>
    <row r="7267">
      <c r="A7267" s="273"/>
      <c r="B7267" s="71"/>
      <c r="C7267" s="69" t="s">
        <v>29221</v>
      </c>
      <c r="D7267" s="71"/>
      <c r="E7267" s="68" t="s">
        <v>29222</v>
      </c>
      <c r="F7267" s="76">
        <v>42915.0</v>
      </c>
      <c r="G7267" s="68" t="s">
        <v>29223</v>
      </c>
      <c r="H7267" s="71"/>
      <c r="I7267" s="71"/>
      <c r="J7267" s="68" t="s">
        <v>28792</v>
      </c>
      <c r="K7267" s="76">
        <v>43573.0</v>
      </c>
      <c r="L7267" s="71"/>
      <c r="M7267" s="68" t="s">
        <v>27</v>
      </c>
      <c r="N7267" s="116"/>
      <c r="O7267" s="130"/>
    </row>
    <row r="7268">
      <c r="A7268" s="273"/>
      <c r="B7268" s="71"/>
      <c r="C7268" s="69" t="s">
        <v>29224</v>
      </c>
      <c r="D7268" s="71"/>
      <c r="E7268" s="68" t="s">
        <v>29225</v>
      </c>
      <c r="F7268" s="76">
        <v>42915.0</v>
      </c>
      <c r="G7268" s="68" t="s">
        <v>29223</v>
      </c>
      <c r="H7268" s="71"/>
      <c r="I7268" s="71"/>
      <c r="J7268" s="68" t="s">
        <v>28792</v>
      </c>
      <c r="K7268" s="76">
        <v>43573.0</v>
      </c>
      <c r="L7268" s="71"/>
      <c r="M7268" s="68" t="s">
        <v>27</v>
      </c>
      <c r="N7268" s="116"/>
      <c r="O7268" s="51"/>
    </row>
    <row r="7269">
      <c r="A7269" s="273"/>
      <c r="B7269" s="71"/>
      <c r="C7269" s="69" t="s">
        <v>29226</v>
      </c>
      <c r="D7269" s="71"/>
      <c r="E7269" s="68" t="s">
        <v>29227</v>
      </c>
      <c r="F7269" s="76">
        <v>42862.0</v>
      </c>
      <c r="G7269" s="68" t="s">
        <v>29212</v>
      </c>
      <c r="H7269" s="71"/>
      <c r="I7269" s="71"/>
      <c r="J7269" s="68" t="s">
        <v>29228</v>
      </c>
      <c r="K7269" s="76">
        <v>43573.0</v>
      </c>
      <c r="L7269" s="71"/>
      <c r="M7269" s="68" t="s">
        <v>27</v>
      </c>
      <c r="N7269" s="116"/>
      <c r="O7269" s="51"/>
    </row>
    <row r="7270">
      <c r="A7270" s="234"/>
      <c r="B7270" s="71"/>
      <c r="C7270" s="79" t="s">
        <v>29229</v>
      </c>
      <c r="D7270" s="82"/>
      <c r="E7270" s="63" t="s">
        <v>29230</v>
      </c>
      <c r="F7270" s="70">
        <v>42862.0</v>
      </c>
      <c r="G7270" s="63" t="s">
        <v>29212</v>
      </c>
      <c r="H7270" s="82"/>
      <c r="I7270" s="82"/>
      <c r="J7270" s="63" t="s">
        <v>136</v>
      </c>
      <c r="K7270" s="81">
        <v>43573.0</v>
      </c>
      <c r="L7270" s="82"/>
      <c r="M7270" s="80" t="s">
        <v>27</v>
      </c>
      <c r="N7270" s="116"/>
      <c r="O7270" s="51"/>
    </row>
    <row r="7271">
      <c r="A7271" s="273"/>
      <c r="B7271" s="71"/>
      <c r="C7271" s="69" t="s">
        <v>29231</v>
      </c>
      <c r="D7271" s="71"/>
      <c r="E7271" s="68" t="s">
        <v>29232</v>
      </c>
      <c r="F7271" s="76">
        <v>42801.0</v>
      </c>
      <c r="G7271" s="68" t="s">
        <v>29233</v>
      </c>
      <c r="H7271" s="71"/>
      <c r="I7271" s="71"/>
      <c r="J7271" s="68" t="s">
        <v>28792</v>
      </c>
      <c r="K7271" s="76">
        <v>43573.0</v>
      </c>
      <c r="L7271" s="71"/>
      <c r="M7271" s="68" t="s">
        <v>27</v>
      </c>
      <c r="N7271" s="116"/>
      <c r="O7271" s="51"/>
    </row>
    <row r="7272">
      <c r="A7272" s="273"/>
      <c r="B7272" s="71"/>
      <c r="C7272" s="69" t="s">
        <v>29234</v>
      </c>
      <c r="D7272" s="71"/>
      <c r="E7272" s="68" t="s">
        <v>29235</v>
      </c>
      <c r="F7272" s="76">
        <v>42915.0</v>
      </c>
      <c r="G7272" s="68" t="s">
        <v>29223</v>
      </c>
      <c r="H7272" s="71"/>
      <c r="I7272" s="71"/>
      <c r="J7272" s="68" t="s">
        <v>29236</v>
      </c>
      <c r="K7272" s="76">
        <v>43573.0</v>
      </c>
      <c r="L7272" s="71"/>
      <c r="M7272" s="68" t="s">
        <v>27</v>
      </c>
      <c r="N7272" s="116"/>
      <c r="O7272" s="51"/>
    </row>
    <row r="7273">
      <c r="A7273" s="234"/>
      <c r="B7273" s="71"/>
      <c r="C7273" s="79" t="s">
        <v>29237</v>
      </c>
      <c r="D7273" s="82"/>
      <c r="E7273" s="63" t="s">
        <v>29238</v>
      </c>
      <c r="F7273" s="70">
        <v>42915.0</v>
      </c>
      <c r="G7273" s="63" t="s">
        <v>29199</v>
      </c>
      <c r="H7273" s="82"/>
      <c r="I7273" s="82"/>
      <c r="J7273" s="63" t="s">
        <v>136</v>
      </c>
      <c r="K7273" s="81">
        <v>43573.0</v>
      </c>
      <c r="L7273" s="82"/>
      <c r="M7273" s="80" t="s">
        <v>27</v>
      </c>
      <c r="N7273" s="116"/>
      <c r="O7273" s="51"/>
    </row>
    <row r="7274">
      <c r="A7274" s="234"/>
      <c r="B7274" s="71"/>
      <c r="C7274" s="79" t="s">
        <v>29239</v>
      </c>
      <c r="D7274" s="82"/>
      <c r="E7274" s="63" t="s">
        <v>29240</v>
      </c>
      <c r="F7274" s="70">
        <v>42915.0</v>
      </c>
      <c r="G7274" s="63" t="s">
        <v>29199</v>
      </c>
      <c r="H7274" s="82"/>
      <c r="I7274" s="82"/>
      <c r="J7274" s="63" t="s">
        <v>136</v>
      </c>
      <c r="K7274" s="81">
        <v>43573.0</v>
      </c>
      <c r="L7274" s="82"/>
      <c r="M7274" s="80" t="s">
        <v>27</v>
      </c>
      <c r="N7274" s="116"/>
      <c r="O7274" s="51"/>
    </row>
    <row r="7275">
      <c r="A7275" s="273"/>
      <c r="B7275" s="71"/>
      <c r="C7275" s="69" t="s">
        <v>29241</v>
      </c>
      <c r="D7275" s="71"/>
      <c r="E7275" s="68" t="s">
        <v>29242</v>
      </c>
      <c r="F7275" s="76">
        <v>42915.0</v>
      </c>
      <c r="G7275" s="68" t="s">
        <v>29199</v>
      </c>
      <c r="H7275" s="71"/>
      <c r="I7275" s="71"/>
      <c r="J7275" s="68" t="s">
        <v>28792</v>
      </c>
      <c r="K7275" s="76">
        <v>43573.0</v>
      </c>
      <c r="L7275" s="71"/>
      <c r="M7275" s="68" t="s">
        <v>27</v>
      </c>
      <c r="N7275" s="116"/>
      <c r="O7275" s="51"/>
    </row>
    <row r="7276">
      <c r="A7276" s="273"/>
      <c r="B7276" s="71"/>
      <c r="C7276" s="69" t="s">
        <v>29243</v>
      </c>
      <c r="D7276" s="71"/>
      <c r="E7276" s="68" t="s">
        <v>29244</v>
      </c>
      <c r="F7276" s="76">
        <v>42915.0</v>
      </c>
      <c r="G7276" s="68" t="s">
        <v>29212</v>
      </c>
      <c r="H7276" s="71"/>
      <c r="I7276" s="71"/>
      <c r="J7276" s="68" t="s">
        <v>29245</v>
      </c>
      <c r="K7276" s="76">
        <v>43573.0</v>
      </c>
      <c r="L7276" s="71"/>
      <c r="M7276" s="68" t="s">
        <v>27</v>
      </c>
      <c r="N7276" s="116"/>
      <c r="O7276" s="51"/>
    </row>
    <row r="7277">
      <c r="A7277" s="273"/>
      <c r="B7277" s="71"/>
      <c r="C7277" s="69" t="s">
        <v>29246</v>
      </c>
      <c r="D7277" s="71"/>
      <c r="E7277" s="68" t="s">
        <v>29247</v>
      </c>
      <c r="F7277" s="76">
        <v>42915.0</v>
      </c>
      <c r="G7277" s="68" t="s">
        <v>29223</v>
      </c>
      <c r="H7277" s="71"/>
      <c r="I7277" s="71"/>
      <c r="J7277" s="68" t="s">
        <v>28792</v>
      </c>
      <c r="K7277" s="76">
        <v>43573.0</v>
      </c>
      <c r="L7277" s="71"/>
      <c r="M7277" s="68" t="s">
        <v>27</v>
      </c>
      <c r="N7277" s="116"/>
      <c r="O7277" s="51"/>
    </row>
    <row r="7278">
      <c r="A7278" s="273"/>
      <c r="B7278" s="71"/>
      <c r="C7278" s="69" t="s">
        <v>29248</v>
      </c>
      <c r="D7278" s="71"/>
      <c r="E7278" s="68" t="s">
        <v>29249</v>
      </c>
      <c r="F7278" s="76">
        <v>42985.0</v>
      </c>
      <c r="G7278" s="68" t="s">
        <v>29250</v>
      </c>
      <c r="H7278" s="71"/>
      <c r="I7278" s="71"/>
      <c r="J7278" s="68" t="s">
        <v>28792</v>
      </c>
      <c r="K7278" s="76">
        <v>43573.0</v>
      </c>
      <c r="L7278" s="71"/>
      <c r="M7278" s="68" t="s">
        <v>27</v>
      </c>
      <c r="N7278" s="116"/>
      <c r="O7278" s="51"/>
    </row>
    <row r="7279">
      <c r="A7279" s="273"/>
      <c r="B7279" s="71"/>
      <c r="C7279" s="69" t="s">
        <v>29251</v>
      </c>
      <c r="D7279" s="71"/>
      <c r="E7279" s="68" t="s">
        <v>29252</v>
      </c>
      <c r="F7279" s="76">
        <v>42985.0</v>
      </c>
      <c r="G7279" s="68" t="s">
        <v>29253</v>
      </c>
      <c r="H7279" s="71"/>
      <c r="I7279" s="71"/>
      <c r="J7279" s="68" t="s">
        <v>28792</v>
      </c>
      <c r="K7279" s="76">
        <v>43573.0</v>
      </c>
      <c r="L7279" s="71"/>
      <c r="M7279" s="68" t="s">
        <v>27</v>
      </c>
      <c r="N7279" s="116"/>
      <c r="O7279" s="51"/>
    </row>
    <row r="7280">
      <c r="A7280" s="234"/>
      <c r="B7280" s="71"/>
      <c r="C7280" s="79" t="s">
        <v>29254</v>
      </c>
      <c r="D7280" s="82"/>
      <c r="E7280" s="63" t="s">
        <v>29255</v>
      </c>
      <c r="F7280" s="70">
        <v>42985.0</v>
      </c>
      <c r="G7280" s="63" t="s">
        <v>29250</v>
      </c>
      <c r="H7280" s="82"/>
      <c r="I7280" s="82"/>
      <c r="J7280" s="63" t="s">
        <v>136</v>
      </c>
      <c r="K7280" s="81">
        <v>43573.0</v>
      </c>
      <c r="L7280" s="82"/>
      <c r="M7280" s="80" t="s">
        <v>27</v>
      </c>
      <c r="N7280" s="116"/>
      <c r="O7280" s="51"/>
    </row>
    <row r="7281">
      <c r="A7281" s="273"/>
      <c r="B7281" s="71"/>
      <c r="C7281" s="69" t="s">
        <v>29256</v>
      </c>
      <c r="D7281" s="71"/>
      <c r="E7281" s="68" t="s">
        <v>29257</v>
      </c>
      <c r="F7281" s="76">
        <v>42985.0</v>
      </c>
      <c r="G7281" s="68" t="s">
        <v>29250</v>
      </c>
      <c r="H7281" s="71"/>
      <c r="I7281" s="71"/>
      <c r="J7281" s="68" t="s">
        <v>28792</v>
      </c>
      <c r="K7281" s="76">
        <v>43573.0</v>
      </c>
      <c r="L7281" s="71"/>
      <c r="M7281" s="68" t="s">
        <v>27</v>
      </c>
      <c r="N7281" s="116"/>
      <c r="O7281" s="51"/>
    </row>
    <row r="7282">
      <c r="A7282" s="273"/>
      <c r="B7282" s="71"/>
      <c r="C7282" s="69" t="s">
        <v>29258</v>
      </c>
      <c r="D7282" s="71"/>
      <c r="E7282" s="68" t="s">
        <v>29259</v>
      </c>
      <c r="F7282" s="76">
        <v>42985.0</v>
      </c>
      <c r="G7282" s="68" t="s">
        <v>29250</v>
      </c>
      <c r="H7282" s="71"/>
      <c r="I7282" s="71"/>
      <c r="J7282" s="68" t="s">
        <v>29260</v>
      </c>
      <c r="K7282" s="76">
        <v>43573.0</v>
      </c>
      <c r="L7282" s="71"/>
      <c r="M7282" s="68" t="s">
        <v>27</v>
      </c>
      <c r="N7282" s="116"/>
      <c r="O7282" s="51"/>
    </row>
    <row r="7283">
      <c r="A7283" s="273"/>
      <c r="B7283" s="71"/>
      <c r="C7283" s="69" t="s">
        <v>29261</v>
      </c>
      <c r="D7283" s="71"/>
      <c r="E7283" s="68" t="s">
        <v>29262</v>
      </c>
      <c r="F7283" s="76">
        <v>42985.0</v>
      </c>
      <c r="G7283" s="68" t="s">
        <v>29263</v>
      </c>
      <c r="H7283" s="71"/>
      <c r="I7283" s="71"/>
      <c r="J7283" s="68" t="s">
        <v>29264</v>
      </c>
      <c r="K7283" s="76">
        <v>43573.0</v>
      </c>
      <c r="L7283" s="71"/>
      <c r="M7283" s="68" t="s">
        <v>27</v>
      </c>
      <c r="N7283" s="116"/>
      <c r="O7283" s="51"/>
    </row>
    <row r="7284">
      <c r="A7284" s="273"/>
      <c r="B7284" s="71"/>
      <c r="C7284" s="69" t="s">
        <v>29265</v>
      </c>
      <c r="D7284" s="71"/>
      <c r="E7284" s="68" t="s">
        <v>29266</v>
      </c>
      <c r="F7284" s="76">
        <v>42862.0</v>
      </c>
      <c r="G7284" s="68" t="s">
        <v>29212</v>
      </c>
      <c r="H7284" s="71"/>
      <c r="I7284" s="71"/>
      <c r="J7284" s="68" t="s">
        <v>29267</v>
      </c>
      <c r="K7284" s="76">
        <v>43573.0</v>
      </c>
      <c r="L7284" s="71"/>
      <c r="M7284" s="68" t="s">
        <v>27</v>
      </c>
      <c r="N7284" s="116"/>
      <c r="O7284" s="51"/>
    </row>
    <row r="7285">
      <c r="A7285" s="273"/>
      <c r="B7285" s="71"/>
      <c r="C7285" s="69" t="s">
        <v>29268</v>
      </c>
      <c r="D7285" s="71"/>
      <c r="E7285" s="68" t="s">
        <v>29269</v>
      </c>
      <c r="F7285" s="76">
        <v>42929.0</v>
      </c>
      <c r="G7285" s="68" t="s">
        <v>28433</v>
      </c>
      <c r="H7285" s="71"/>
      <c r="I7285" s="71"/>
      <c r="J7285" s="68" t="s">
        <v>28792</v>
      </c>
      <c r="K7285" s="76">
        <v>43573.0</v>
      </c>
      <c r="L7285" s="71"/>
      <c r="M7285" s="68" t="s">
        <v>27</v>
      </c>
      <c r="N7285" s="116"/>
      <c r="O7285" s="51"/>
    </row>
    <row r="7286">
      <c r="A7286" s="273"/>
      <c r="B7286" s="71"/>
      <c r="C7286" s="69" t="s">
        <v>29270</v>
      </c>
      <c r="D7286" s="71"/>
      <c r="E7286" s="68" t="s">
        <v>29271</v>
      </c>
      <c r="F7286" s="76">
        <v>42929.0</v>
      </c>
      <c r="G7286" s="68" t="s">
        <v>28433</v>
      </c>
      <c r="H7286" s="71"/>
      <c r="I7286" s="71"/>
      <c r="J7286" s="68" t="s">
        <v>28792</v>
      </c>
      <c r="K7286" s="76">
        <v>43573.0</v>
      </c>
      <c r="L7286" s="71"/>
      <c r="M7286" s="68" t="s">
        <v>27</v>
      </c>
      <c r="N7286" s="116"/>
      <c r="O7286" s="51"/>
    </row>
    <row r="7287">
      <c r="A7287" s="273"/>
      <c r="B7287" s="71"/>
      <c r="C7287" s="69" t="s">
        <v>29272</v>
      </c>
      <c r="D7287" s="71"/>
      <c r="E7287" s="68" t="s">
        <v>29273</v>
      </c>
      <c r="F7287" s="76">
        <v>43046.0</v>
      </c>
      <c r="G7287" s="68" t="s">
        <v>29274</v>
      </c>
      <c r="H7287" s="71"/>
      <c r="I7287" s="71"/>
      <c r="J7287" s="68" t="s">
        <v>28792</v>
      </c>
      <c r="K7287" s="76">
        <v>43573.0</v>
      </c>
      <c r="L7287" s="71"/>
      <c r="M7287" s="68" t="s">
        <v>27</v>
      </c>
      <c r="N7287" s="116"/>
      <c r="O7287" s="51"/>
    </row>
    <row r="7288">
      <c r="A7288" s="273"/>
      <c r="B7288" s="71"/>
      <c r="C7288" s="69" t="s">
        <v>29275</v>
      </c>
      <c r="D7288" s="71"/>
      <c r="E7288" s="68" t="s">
        <v>29276</v>
      </c>
      <c r="F7288" s="76">
        <v>43046.0</v>
      </c>
      <c r="G7288" s="68" t="s">
        <v>29277</v>
      </c>
      <c r="H7288" s="71"/>
      <c r="I7288" s="71"/>
      <c r="J7288" s="68" t="s">
        <v>28792</v>
      </c>
      <c r="K7288" s="76">
        <v>43573.0</v>
      </c>
      <c r="L7288" s="71"/>
      <c r="M7288" s="68" t="s">
        <v>27</v>
      </c>
      <c r="N7288" s="116"/>
      <c r="O7288" s="51"/>
    </row>
    <row r="7289">
      <c r="A7289" s="273"/>
      <c r="B7289" s="71"/>
      <c r="C7289" s="69" t="s">
        <v>29278</v>
      </c>
      <c r="D7289" s="71"/>
      <c r="E7289" s="68" t="s">
        <v>29279</v>
      </c>
      <c r="F7289" s="76">
        <v>42931.0</v>
      </c>
      <c r="G7289" s="68" t="s">
        <v>29280</v>
      </c>
      <c r="H7289" s="71"/>
      <c r="I7289" s="71"/>
      <c r="J7289" s="68" t="s">
        <v>28792</v>
      </c>
      <c r="K7289" s="76">
        <v>43573.0</v>
      </c>
      <c r="L7289" s="71"/>
      <c r="M7289" s="68" t="s">
        <v>27</v>
      </c>
      <c r="N7289" s="116"/>
      <c r="O7289" s="51"/>
    </row>
    <row r="7290">
      <c r="A7290" s="273"/>
      <c r="B7290" s="71"/>
      <c r="C7290" s="69" t="s">
        <v>29281</v>
      </c>
      <c r="D7290" s="71"/>
      <c r="E7290" s="68" t="s">
        <v>29282</v>
      </c>
      <c r="F7290" s="76">
        <v>42931.0</v>
      </c>
      <c r="G7290" s="68" t="s">
        <v>29283</v>
      </c>
      <c r="H7290" s="71"/>
      <c r="I7290" s="71"/>
      <c r="J7290" s="68" t="s">
        <v>28792</v>
      </c>
      <c r="K7290" s="76">
        <v>43573.0</v>
      </c>
      <c r="L7290" s="71"/>
      <c r="M7290" s="68" t="s">
        <v>27</v>
      </c>
      <c r="N7290" s="116"/>
      <c r="O7290" s="51"/>
    </row>
    <row r="7291">
      <c r="A7291" s="273"/>
      <c r="B7291" s="71"/>
      <c r="C7291" s="69" t="s">
        <v>29284</v>
      </c>
      <c r="D7291" s="71"/>
      <c r="E7291" s="68" t="s">
        <v>29285</v>
      </c>
      <c r="F7291" s="76">
        <v>42931.0</v>
      </c>
      <c r="G7291" s="68" t="s">
        <v>29286</v>
      </c>
      <c r="H7291" s="71"/>
      <c r="I7291" s="71"/>
      <c r="J7291" s="68" t="s">
        <v>28792</v>
      </c>
      <c r="K7291" s="76">
        <v>43573.0</v>
      </c>
      <c r="L7291" s="71"/>
      <c r="M7291" s="68" t="s">
        <v>27</v>
      </c>
      <c r="N7291" s="116"/>
      <c r="O7291" s="51"/>
    </row>
    <row r="7292">
      <c r="A7292" s="273"/>
      <c r="B7292" s="71"/>
      <c r="C7292" s="69" t="s">
        <v>29287</v>
      </c>
      <c r="D7292" s="71"/>
      <c r="E7292" s="68" t="s">
        <v>29288</v>
      </c>
      <c r="F7292" s="76">
        <v>42930.0</v>
      </c>
      <c r="G7292" s="68" t="s">
        <v>29289</v>
      </c>
      <c r="H7292" s="71"/>
      <c r="I7292" s="71"/>
      <c r="J7292" s="68" t="s">
        <v>28792</v>
      </c>
      <c r="K7292" s="76">
        <v>43573.0</v>
      </c>
      <c r="L7292" s="71"/>
      <c r="M7292" s="68" t="s">
        <v>27</v>
      </c>
      <c r="N7292" s="116"/>
      <c r="O7292" s="51"/>
    </row>
    <row r="7293">
      <c r="A7293" s="273"/>
      <c r="B7293" s="71"/>
      <c r="C7293" s="69" t="s">
        <v>29290</v>
      </c>
      <c r="D7293" s="71"/>
      <c r="E7293" s="68" t="s">
        <v>29291</v>
      </c>
      <c r="F7293" s="76">
        <v>42930.0</v>
      </c>
      <c r="G7293" s="68" t="s">
        <v>29286</v>
      </c>
      <c r="H7293" s="71"/>
      <c r="I7293" s="71"/>
      <c r="J7293" s="68" t="s">
        <v>28792</v>
      </c>
      <c r="K7293" s="76">
        <v>43573.0</v>
      </c>
      <c r="L7293" s="71"/>
      <c r="M7293" s="68" t="s">
        <v>27</v>
      </c>
      <c r="N7293" s="116"/>
      <c r="O7293" s="51"/>
    </row>
    <row r="7294">
      <c r="A7294" s="273"/>
      <c r="B7294" s="71"/>
      <c r="C7294" s="69" t="s">
        <v>29292</v>
      </c>
      <c r="D7294" s="71"/>
      <c r="E7294" s="68" t="s">
        <v>29293</v>
      </c>
      <c r="F7294" s="76">
        <v>42930.0</v>
      </c>
      <c r="G7294" s="68" t="s">
        <v>29286</v>
      </c>
      <c r="H7294" s="71"/>
      <c r="I7294" s="71"/>
      <c r="J7294" s="68" t="s">
        <v>28792</v>
      </c>
      <c r="K7294" s="76">
        <v>43573.0</v>
      </c>
      <c r="L7294" s="71"/>
      <c r="M7294" s="68" t="s">
        <v>27</v>
      </c>
      <c r="N7294" s="116"/>
      <c r="O7294" s="51"/>
    </row>
    <row r="7295">
      <c r="A7295" s="273"/>
      <c r="B7295" s="71"/>
      <c r="C7295" s="69" t="s">
        <v>29294</v>
      </c>
      <c r="D7295" s="71"/>
      <c r="E7295" s="68" t="s">
        <v>29295</v>
      </c>
      <c r="F7295" s="76">
        <v>42930.0</v>
      </c>
      <c r="G7295" s="68" t="s">
        <v>29286</v>
      </c>
      <c r="H7295" s="71"/>
      <c r="I7295" s="71"/>
      <c r="J7295" s="68" t="s">
        <v>28792</v>
      </c>
      <c r="K7295" s="76">
        <v>43573.0</v>
      </c>
      <c r="L7295" s="71"/>
      <c r="M7295" s="68" t="s">
        <v>27</v>
      </c>
      <c r="N7295" s="116"/>
      <c r="O7295" s="51"/>
    </row>
    <row r="7296">
      <c r="A7296" s="234"/>
      <c r="B7296" s="71"/>
      <c r="C7296" s="79" t="s">
        <v>29296</v>
      </c>
      <c r="D7296" s="82"/>
      <c r="E7296" s="63" t="s">
        <v>29297</v>
      </c>
      <c r="F7296" s="70">
        <v>42930.0</v>
      </c>
      <c r="G7296" s="63" t="s">
        <v>29298</v>
      </c>
      <c r="H7296" s="82"/>
      <c r="I7296" s="82"/>
      <c r="J7296" s="63" t="s">
        <v>136</v>
      </c>
      <c r="K7296" s="81">
        <v>43573.0</v>
      </c>
      <c r="L7296" s="82"/>
      <c r="M7296" s="80" t="s">
        <v>27</v>
      </c>
      <c r="N7296" s="116"/>
      <c r="O7296" s="51"/>
    </row>
    <row r="7297">
      <c r="A7297" s="273"/>
      <c r="B7297" s="71"/>
      <c r="C7297" s="69" t="s">
        <v>29299</v>
      </c>
      <c r="D7297" s="71"/>
      <c r="E7297" s="68" t="s">
        <v>29300</v>
      </c>
      <c r="F7297" s="76">
        <v>42933.0</v>
      </c>
      <c r="G7297" s="68" t="s">
        <v>29286</v>
      </c>
      <c r="H7297" s="71"/>
      <c r="I7297" s="71"/>
      <c r="J7297" s="68" t="s">
        <v>28792</v>
      </c>
      <c r="K7297" s="76">
        <v>43573.0</v>
      </c>
      <c r="L7297" s="71"/>
      <c r="M7297" s="68" t="s">
        <v>27</v>
      </c>
      <c r="N7297" s="116"/>
      <c r="O7297" s="51"/>
    </row>
    <row r="7298">
      <c r="A7298" s="273"/>
      <c r="B7298" s="71"/>
      <c r="C7298" s="69" t="s">
        <v>29301</v>
      </c>
      <c r="D7298" s="71"/>
      <c r="E7298" s="68" t="s">
        <v>29302</v>
      </c>
      <c r="F7298" s="76">
        <v>42929.0</v>
      </c>
      <c r="G7298" s="68" t="s">
        <v>28433</v>
      </c>
      <c r="H7298" s="71"/>
      <c r="I7298" s="71"/>
      <c r="J7298" s="68" t="s">
        <v>28792</v>
      </c>
      <c r="K7298" s="76">
        <v>43573.0</v>
      </c>
      <c r="L7298" s="71"/>
      <c r="M7298" s="68" t="s">
        <v>27</v>
      </c>
      <c r="N7298" s="116"/>
      <c r="O7298" s="51"/>
    </row>
    <row r="7299">
      <c r="A7299" s="273"/>
      <c r="B7299" s="71"/>
      <c r="C7299" s="69" t="s">
        <v>29303</v>
      </c>
      <c r="D7299" s="71"/>
      <c r="E7299" s="68" t="s">
        <v>29304</v>
      </c>
      <c r="F7299" s="76">
        <v>42941.0</v>
      </c>
      <c r="G7299" s="68" t="s">
        <v>29305</v>
      </c>
      <c r="H7299" s="71"/>
      <c r="I7299" s="71"/>
      <c r="J7299" s="68" t="s">
        <v>28792</v>
      </c>
      <c r="K7299" s="76">
        <v>43573.0</v>
      </c>
      <c r="L7299" s="71"/>
      <c r="M7299" s="68" t="s">
        <v>27</v>
      </c>
      <c r="N7299" s="116"/>
      <c r="O7299" s="51"/>
    </row>
    <row r="7300">
      <c r="A7300" s="234"/>
      <c r="B7300" s="71"/>
      <c r="C7300" s="79" t="s">
        <v>29306</v>
      </c>
      <c r="D7300" s="82"/>
      <c r="E7300" s="63" t="s">
        <v>29307</v>
      </c>
      <c r="F7300" s="70">
        <v>42941.0</v>
      </c>
      <c r="G7300" s="63" t="s">
        <v>29305</v>
      </c>
      <c r="H7300" s="82"/>
      <c r="I7300" s="82"/>
      <c r="J7300" s="63" t="s">
        <v>136</v>
      </c>
      <c r="K7300" s="81">
        <v>43573.0</v>
      </c>
      <c r="L7300" s="82"/>
      <c r="M7300" s="80" t="s">
        <v>27</v>
      </c>
      <c r="N7300" s="116"/>
      <c r="O7300" s="51"/>
    </row>
    <row r="7301">
      <c r="A7301" s="234"/>
      <c r="B7301" s="71"/>
      <c r="C7301" s="79" t="s">
        <v>29308</v>
      </c>
      <c r="D7301" s="82"/>
      <c r="E7301" s="63" t="s">
        <v>29309</v>
      </c>
      <c r="F7301" s="70">
        <v>42940.0</v>
      </c>
      <c r="G7301" s="63" t="s">
        <v>28865</v>
      </c>
      <c r="H7301" s="82"/>
      <c r="I7301" s="82"/>
      <c r="J7301" s="63" t="s">
        <v>136</v>
      </c>
      <c r="K7301" s="81">
        <v>43573.0</v>
      </c>
      <c r="L7301" s="82"/>
      <c r="M7301" s="80" t="s">
        <v>27</v>
      </c>
      <c r="N7301" s="116"/>
      <c r="O7301" s="51"/>
    </row>
    <row r="7302">
      <c r="A7302" s="234"/>
      <c r="B7302" s="71"/>
      <c r="C7302" s="79" t="s">
        <v>29310</v>
      </c>
      <c r="D7302" s="82"/>
      <c r="E7302" s="63" t="s">
        <v>29311</v>
      </c>
      <c r="F7302" s="70">
        <v>42940.0</v>
      </c>
      <c r="G7302" s="63" t="s">
        <v>28865</v>
      </c>
      <c r="H7302" s="82"/>
      <c r="I7302" s="82"/>
      <c r="J7302" s="63" t="s">
        <v>136</v>
      </c>
      <c r="K7302" s="81">
        <v>43573.0</v>
      </c>
      <c r="L7302" s="82"/>
      <c r="M7302" s="80" t="s">
        <v>27</v>
      </c>
      <c r="N7302" s="116"/>
      <c r="O7302" s="51"/>
    </row>
    <row r="7303">
      <c r="A7303" s="273"/>
      <c r="B7303" s="71"/>
      <c r="C7303" s="69" t="s">
        <v>29312</v>
      </c>
      <c r="D7303" s="71"/>
      <c r="E7303" s="68" t="s">
        <v>29313</v>
      </c>
      <c r="F7303" s="76">
        <v>42939.0</v>
      </c>
      <c r="G7303" s="68" t="s">
        <v>29223</v>
      </c>
      <c r="H7303" s="71"/>
      <c r="I7303" s="71"/>
      <c r="J7303" s="68" t="s">
        <v>29314</v>
      </c>
      <c r="K7303" s="76">
        <v>43573.0</v>
      </c>
      <c r="L7303" s="71"/>
      <c r="M7303" s="68" t="s">
        <v>27</v>
      </c>
      <c r="N7303" s="116"/>
      <c r="O7303" s="51"/>
    </row>
    <row r="7304">
      <c r="A7304" s="273"/>
      <c r="B7304" s="71"/>
      <c r="C7304" s="69" t="s">
        <v>29315</v>
      </c>
      <c r="D7304" s="71"/>
      <c r="E7304" s="68" t="s">
        <v>29316</v>
      </c>
      <c r="F7304" s="76">
        <v>42939.0</v>
      </c>
      <c r="G7304" s="68" t="s">
        <v>29317</v>
      </c>
      <c r="H7304" s="71"/>
      <c r="I7304" s="71"/>
      <c r="J7304" s="68" t="s">
        <v>28792</v>
      </c>
      <c r="K7304" s="76">
        <v>43573.0</v>
      </c>
      <c r="L7304" s="71"/>
      <c r="M7304" s="68" t="s">
        <v>27</v>
      </c>
      <c r="N7304" s="116"/>
      <c r="O7304" s="51"/>
    </row>
    <row r="7305">
      <c r="A7305" s="234"/>
      <c r="B7305" s="71"/>
      <c r="C7305" s="79" t="s">
        <v>29318</v>
      </c>
      <c r="D7305" s="82"/>
      <c r="E7305" s="63" t="s">
        <v>29319</v>
      </c>
      <c r="F7305" s="70">
        <v>42939.0</v>
      </c>
      <c r="G7305" s="63" t="s">
        <v>29223</v>
      </c>
      <c r="H7305" s="82"/>
      <c r="I7305" s="82"/>
      <c r="J7305" s="63" t="s">
        <v>136</v>
      </c>
      <c r="K7305" s="81">
        <v>43573.0</v>
      </c>
      <c r="L7305" s="82"/>
      <c r="M7305" s="80" t="s">
        <v>27</v>
      </c>
      <c r="N7305" s="116"/>
      <c r="O7305" s="51"/>
    </row>
    <row r="7306">
      <c r="A7306" s="273"/>
      <c r="B7306" s="71"/>
      <c r="C7306" s="69" t="s">
        <v>29320</v>
      </c>
      <c r="D7306" s="71"/>
      <c r="E7306" s="68" t="s">
        <v>29321</v>
      </c>
      <c r="F7306" s="76">
        <v>42939.0</v>
      </c>
      <c r="G7306" s="68" t="s">
        <v>29223</v>
      </c>
      <c r="H7306" s="71"/>
      <c r="I7306" s="71"/>
      <c r="J7306" s="68" t="s">
        <v>28792</v>
      </c>
      <c r="K7306" s="76">
        <v>43573.0</v>
      </c>
      <c r="L7306" s="71"/>
      <c r="M7306" s="68" t="s">
        <v>27</v>
      </c>
      <c r="N7306" s="116"/>
      <c r="O7306" s="51"/>
    </row>
    <row r="7307">
      <c r="A7307" s="273"/>
      <c r="B7307" s="71"/>
      <c r="C7307" s="69" t="s">
        <v>29322</v>
      </c>
      <c r="D7307" s="71"/>
      <c r="E7307" s="68" t="s">
        <v>29323</v>
      </c>
      <c r="F7307" s="76">
        <v>42939.0</v>
      </c>
      <c r="G7307" s="68" t="s">
        <v>29223</v>
      </c>
      <c r="H7307" s="71"/>
      <c r="I7307" s="71"/>
      <c r="J7307" s="68" t="s">
        <v>28792</v>
      </c>
      <c r="K7307" s="76">
        <v>43573.0</v>
      </c>
      <c r="L7307" s="71"/>
      <c r="M7307" s="68" t="s">
        <v>27</v>
      </c>
      <c r="N7307" s="116"/>
      <c r="O7307" s="51"/>
    </row>
    <row r="7308">
      <c r="A7308" s="234"/>
      <c r="B7308" s="71"/>
      <c r="C7308" s="79" t="s">
        <v>29324</v>
      </c>
      <c r="D7308" s="82"/>
      <c r="E7308" s="63" t="s">
        <v>29325</v>
      </c>
      <c r="F7308" s="70">
        <v>42939.0</v>
      </c>
      <c r="G7308" s="63" t="s">
        <v>29326</v>
      </c>
      <c r="H7308" s="82"/>
      <c r="I7308" s="82"/>
      <c r="J7308" s="63" t="s">
        <v>136</v>
      </c>
      <c r="K7308" s="81">
        <v>43573.0</v>
      </c>
      <c r="L7308" s="82"/>
      <c r="M7308" s="80" t="s">
        <v>27</v>
      </c>
      <c r="N7308" s="116"/>
      <c r="O7308" s="51"/>
    </row>
    <row r="7309">
      <c r="A7309" s="273"/>
      <c r="B7309" s="71"/>
      <c r="C7309" s="69" t="s">
        <v>29327</v>
      </c>
      <c r="D7309" s="71"/>
      <c r="E7309" s="68" t="s">
        <v>29328</v>
      </c>
      <c r="F7309" s="76">
        <v>42833.0</v>
      </c>
      <c r="G7309" s="68" t="s">
        <v>29329</v>
      </c>
      <c r="H7309" s="71"/>
      <c r="I7309" s="71"/>
      <c r="J7309" s="68" t="s">
        <v>28792</v>
      </c>
      <c r="K7309" s="76">
        <v>43573.0</v>
      </c>
      <c r="L7309" s="71"/>
      <c r="M7309" s="68" t="s">
        <v>27</v>
      </c>
      <c r="N7309" s="116"/>
      <c r="O7309" s="51"/>
    </row>
    <row r="7310">
      <c r="A7310" s="273"/>
      <c r="B7310" s="71"/>
      <c r="C7310" s="69" t="s">
        <v>29330</v>
      </c>
      <c r="D7310" s="71"/>
      <c r="E7310" s="68" t="s">
        <v>29331</v>
      </c>
      <c r="F7310" s="76">
        <v>42833.0</v>
      </c>
      <c r="G7310" s="68" t="s">
        <v>29329</v>
      </c>
      <c r="H7310" s="71"/>
      <c r="I7310" s="71"/>
      <c r="J7310" s="68" t="s">
        <v>28792</v>
      </c>
      <c r="K7310" s="76">
        <v>43573.0</v>
      </c>
      <c r="L7310" s="71"/>
      <c r="M7310" s="68" t="s">
        <v>27</v>
      </c>
      <c r="N7310" s="116"/>
      <c r="O7310" s="51"/>
    </row>
    <row r="7311">
      <c r="A7311" s="273"/>
      <c r="B7311" s="71"/>
      <c r="C7311" s="69" t="s">
        <v>29332</v>
      </c>
      <c r="D7311" s="71"/>
      <c r="E7311" s="68" t="s">
        <v>29333</v>
      </c>
      <c r="F7311" s="76">
        <v>42833.0</v>
      </c>
      <c r="G7311" s="68" t="s">
        <v>29250</v>
      </c>
      <c r="H7311" s="71"/>
      <c r="I7311" s="71"/>
      <c r="J7311" s="68" t="s">
        <v>28792</v>
      </c>
      <c r="K7311" s="76">
        <v>43573.0</v>
      </c>
      <c r="L7311" s="71"/>
      <c r="M7311" s="68" t="s">
        <v>27</v>
      </c>
      <c r="N7311" s="116"/>
      <c r="O7311" s="51"/>
    </row>
    <row r="7312">
      <c r="A7312" s="273"/>
      <c r="B7312" s="71"/>
      <c r="C7312" s="69" t="s">
        <v>29334</v>
      </c>
      <c r="D7312" s="71"/>
      <c r="E7312" s="68" t="s">
        <v>29335</v>
      </c>
      <c r="F7312" s="76">
        <v>42743.0</v>
      </c>
      <c r="G7312" s="68" t="s">
        <v>29336</v>
      </c>
      <c r="H7312" s="71"/>
      <c r="I7312" s="71"/>
      <c r="J7312" s="68" t="s">
        <v>28792</v>
      </c>
      <c r="K7312" s="76">
        <v>43573.0</v>
      </c>
      <c r="L7312" s="71"/>
      <c r="M7312" s="68" t="s">
        <v>27</v>
      </c>
      <c r="N7312" s="116"/>
      <c r="O7312" s="51"/>
    </row>
    <row r="7313">
      <c r="A7313" s="234"/>
      <c r="B7313" s="71"/>
      <c r="C7313" s="79" t="s">
        <v>29337</v>
      </c>
      <c r="D7313" s="82"/>
      <c r="E7313" s="63" t="s">
        <v>29338</v>
      </c>
      <c r="F7313" s="70">
        <v>42743.0</v>
      </c>
      <c r="G7313" s="63" t="s">
        <v>29336</v>
      </c>
      <c r="H7313" s="82"/>
      <c r="I7313" s="82"/>
      <c r="J7313" s="63" t="s">
        <v>136</v>
      </c>
      <c r="K7313" s="81">
        <v>43573.0</v>
      </c>
      <c r="L7313" s="82"/>
      <c r="M7313" s="80" t="s">
        <v>27</v>
      </c>
      <c r="N7313" s="116"/>
      <c r="O7313" s="51"/>
    </row>
    <row r="7314">
      <c r="A7314" s="273"/>
      <c r="B7314" s="71"/>
      <c r="C7314" s="69" t="s">
        <v>29339</v>
      </c>
      <c r="D7314" s="71"/>
      <c r="E7314" s="68" t="s">
        <v>29340</v>
      </c>
      <c r="F7314" s="76">
        <v>42743.0</v>
      </c>
      <c r="G7314" s="68" t="s">
        <v>29336</v>
      </c>
      <c r="H7314" s="71"/>
      <c r="I7314" s="71"/>
      <c r="J7314" s="68" t="s">
        <v>28792</v>
      </c>
      <c r="K7314" s="76">
        <v>43573.0</v>
      </c>
      <c r="L7314" s="71"/>
      <c r="M7314" s="68" t="s">
        <v>27</v>
      </c>
      <c r="N7314" s="116"/>
      <c r="O7314" s="51"/>
    </row>
    <row r="7315">
      <c r="A7315" s="273"/>
      <c r="B7315" s="71"/>
      <c r="C7315" s="69" t="s">
        <v>29341</v>
      </c>
      <c r="D7315" s="71"/>
      <c r="E7315" s="68" t="s">
        <v>29342</v>
      </c>
      <c r="F7315" s="76">
        <v>42743.0</v>
      </c>
      <c r="G7315" s="68" t="s">
        <v>29336</v>
      </c>
      <c r="H7315" s="71"/>
      <c r="I7315" s="71"/>
      <c r="J7315" s="68" t="s">
        <v>28792</v>
      </c>
      <c r="K7315" s="76">
        <v>43573.0</v>
      </c>
      <c r="L7315" s="71"/>
      <c r="M7315" s="68" t="s">
        <v>27</v>
      </c>
      <c r="N7315" s="116"/>
      <c r="O7315" s="51"/>
    </row>
    <row r="7316">
      <c r="A7316" s="234"/>
      <c r="B7316" s="71"/>
      <c r="C7316" s="79" t="s">
        <v>29343</v>
      </c>
      <c r="D7316" s="82"/>
      <c r="E7316" s="63" t="s">
        <v>29344</v>
      </c>
      <c r="F7316" s="70">
        <v>42947.0</v>
      </c>
      <c r="G7316" s="63" t="s">
        <v>28853</v>
      </c>
      <c r="H7316" s="82"/>
      <c r="I7316" s="82"/>
      <c r="J7316" s="63" t="s">
        <v>136</v>
      </c>
      <c r="K7316" s="81">
        <v>43573.0</v>
      </c>
      <c r="L7316" s="82"/>
      <c r="M7316" s="80" t="s">
        <v>27</v>
      </c>
      <c r="N7316" s="116"/>
      <c r="O7316" s="51"/>
    </row>
    <row r="7317">
      <c r="A7317" s="273"/>
      <c r="B7317" s="71"/>
      <c r="C7317" s="69" t="s">
        <v>29345</v>
      </c>
      <c r="D7317" s="71"/>
      <c r="E7317" s="68" t="s">
        <v>29346</v>
      </c>
      <c r="F7317" s="76">
        <v>42947.0</v>
      </c>
      <c r="G7317" s="68" t="s">
        <v>29199</v>
      </c>
      <c r="H7317" s="71"/>
      <c r="I7317" s="71"/>
      <c r="J7317" s="68" t="s">
        <v>29347</v>
      </c>
      <c r="K7317" s="76">
        <v>43573.0</v>
      </c>
      <c r="L7317" s="71"/>
      <c r="M7317" s="68" t="s">
        <v>27</v>
      </c>
      <c r="N7317" s="116"/>
      <c r="O7317" s="51"/>
    </row>
    <row r="7318">
      <c r="A7318" s="273"/>
      <c r="B7318" s="71"/>
      <c r="C7318" s="69" t="s">
        <v>29348</v>
      </c>
      <c r="D7318" s="71"/>
      <c r="E7318" s="68" t="s">
        <v>29349</v>
      </c>
      <c r="F7318" s="76">
        <v>42945.0</v>
      </c>
      <c r="G7318" s="68" t="s">
        <v>29350</v>
      </c>
      <c r="H7318" s="71"/>
      <c r="I7318" s="71"/>
      <c r="J7318" s="68" t="s">
        <v>28792</v>
      </c>
      <c r="K7318" s="76">
        <v>43573.0</v>
      </c>
      <c r="L7318" s="71"/>
      <c r="M7318" s="68" t="s">
        <v>27</v>
      </c>
      <c r="N7318" s="116"/>
      <c r="O7318" s="51"/>
    </row>
    <row r="7319">
      <c r="A7319" s="273"/>
      <c r="B7319" s="71"/>
      <c r="C7319" s="69" t="s">
        <v>29351</v>
      </c>
      <c r="D7319" s="71"/>
      <c r="E7319" s="68" t="s">
        <v>29352</v>
      </c>
      <c r="F7319" s="76">
        <v>42956.0</v>
      </c>
      <c r="G7319" s="68" t="s">
        <v>29353</v>
      </c>
      <c r="H7319" s="71"/>
      <c r="I7319" s="71"/>
      <c r="J7319" s="68" t="s">
        <v>28792</v>
      </c>
      <c r="K7319" s="76">
        <v>43573.0</v>
      </c>
      <c r="L7319" s="71"/>
      <c r="M7319" s="68" t="s">
        <v>27</v>
      </c>
      <c r="N7319" s="116"/>
      <c r="O7319" s="51"/>
    </row>
    <row r="7320">
      <c r="A7320" s="273"/>
      <c r="B7320" s="71"/>
      <c r="C7320" s="69" t="s">
        <v>29354</v>
      </c>
      <c r="D7320" s="71"/>
      <c r="E7320" s="68" t="s">
        <v>29355</v>
      </c>
      <c r="F7320" s="76">
        <v>42956.0</v>
      </c>
      <c r="G7320" s="68" t="s">
        <v>29353</v>
      </c>
      <c r="H7320" s="71"/>
      <c r="I7320" s="71"/>
      <c r="J7320" s="68" t="s">
        <v>28792</v>
      </c>
      <c r="K7320" s="76">
        <v>43573.0</v>
      </c>
      <c r="L7320" s="71"/>
      <c r="M7320" s="68" t="s">
        <v>27</v>
      </c>
      <c r="N7320" s="116"/>
      <c r="O7320" s="51"/>
    </row>
    <row r="7321">
      <c r="A7321" s="273"/>
      <c r="B7321" s="71"/>
      <c r="C7321" s="69" t="s">
        <v>29356</v>
      </c>
      <c r="D7321" s="71"/>
      <c r="E7321" s="68" t="s">
        <v>29357</v>
      </c>
      <c r="F7321" s="76">
        <v>42986.0</v>
      </c>
      <c r="G7321" s="68" t="s">
        <v>29250</v>
      </c>
      <c r="H7321" s="71"/>
      <c r="I7321" s="71"/>
      <c r="J7321" s="68" t="s">
        <v>28792</v>
      </c>
      <c r="K7321" s="76">
        <v>43573.0</v>
      </c>
      <c r="L7321" s="71"/>
      <c r="M7321" s="68" t="s">
        <v>27</v>
      </c>
      <c r="N7321" s="116"/>
      <c r="O7321" s="51"/>
    </row>
    <row r="7322">
      <c r="A7322" s="234"/>
      <c r="B7322" s="71"/>
      <c r="C7322" s="79" t="s">
        <v>29358</v>
      </c>
      <c r="D7322" s="82"/>
      <c r="E7322" s="63" t="s">
        <v>29359</v>
      </c>
      <c r="F7322" s="70">
        <v>42955.0</v>
      </c>
      <c r="G7322" s="63" t="s">
        <v>29360</v>
      </c>
      <c r="H7322" s="82"/>
      <c r="I7322" s="82"/>
      <c r="J7322" s="63" t="s">
        <v>136</v>
      </c>
      <c r="K7322" s="81">
        <v>43573.0</v>
      </c>
      <c r="L7322" s="82"/>
      <c r="M7322" s="80" t="s">
        <v>27</v>
      </c>
      <c r="N7322" s="116"/>
      <c r="O7322" s="51"/>
    </row>
    <row r="7323">
      <c r="A7323" s="273"/>
      <c r="B7323" s="71"/>
      <c r="C7323" s="69" t="s">
        <v>29361</v>
      </c>
      <c r="D7323" s="71"/>
      <c r="E7323" s="68" t="s">
        <v>29362</v>
      </c>
      <c r="F7323" s="76">
        <v>42955.0</v>
      </c>
      <c r="G7323" s="68" t="s">
        <v>29363</v>
      </c>
      <c r="H7323" s="71"/>
      <c r="I7323" s="71"/>
      <c r="J7323" s="68" t="s">
        <v>28792</v>
      </c>
      <c r="K7323" s="76">
        <v>43573.0</v>
      </c>
      <c r="L7323" s="71"/>
      <c r="M7323" s="68" t="s">
        <v>27</v>
      </c>
      <c r="N7323" s="116"/>
      <c r="O7323" s="51"/>
    </row>
    <row r="7324">
      <c r="A7324" s="273"/>
      <c r="B7324" s="71"/>
      <c r="C7324" s="69" t="s">
        <v>29364</v>
      </c>
      <c r="D7324" s="71"/>
      <c r="E7324" s="68" t="s">
        <v>29365</v>
      </c>
      <c r="F7324" s="76">
        <v>42955.0</v>
      </c>
      <c r="G7324" s="68" t="s">
        <v>29363</v>
      </c>
      <c r="H7324" s="71"/>
      <c r="I7324" s="71"/>
      <c r="J7324" s="68" t="s">
        <v>28792</v>
      </c>
      <c r="K7324" s="76">
        <v>43573.0</v>
      </c>
      <c r="L7324" s="71"/>
      <c r="M7324" s="68" t="s">
        <v>27</v>
      </c>
      <c r="N7324" s="116"/>
      <c r="O7324" s="51"/>
    </row>
    <row r="7325">
      <c r="A7325" s="234"/>
      <c r="B7325" s="71"/>
      <c r="C7325" s="79" t="s">
        <v>29366</v>
      </c>
      <c r="D7325" s="82"/>
      <c r="E7325" s="63" t="s">
        <v>29367</v>
      </c>
      <c r="F7325" s="70">
        <v>42955.0</v>
      </c>
      <c r="G7325" s="63" t="s">
        <v>29360</v>
      </c>
      <c r="H7325" s="82"/>
      <c r="I7325" s="82"/>
      <c r="J7325" s="63" t="s">
        <v>136</v>
      </c>
      <c r="K7325" s="81">
        <v>43573.0</v>
      </c>
      <c r="L7325" s="82"/>
      <c r="M7325" s="80" t="s">
        <v>27</v>
      </c>
      <c r="N7325" s="116"/>
      <c r="O7325" s="51"/>
    </row>
    <row r="7326">
      <c r="A7326" s="234"/>
      <c r="B7326" s="71"/>
      <c r="C7326" s="79" t="s">
        <v>29368</v>
      </c>
      <c r="D7326" s="82"/>
      <c r="E7326" s="63" t="s">
        <v>29369</v>
      </c>
      <c r="F7326" s="70">
        <v>42894.0</v>
      </c>
      <c r="G7326" s="63" t="s">
        <v>29370</v>
      </c>
      <c r="H7326" s="82"/>
      <c r="I7326" s="82"/>
      <c r="J7326" s="63" t="s">
        <v>136</v>
      </c>
      <c r="K7326" s="81">
        <v>43573.0</v>
      </c>
      <c r="L7326" s="82"/>
      <c r="M7326" s="80" t="s">
        <v>27</v>
      </c>
      <c r="N7326" s="116"/>
      <c r="O7326" s="51"/>
    </row>
    <row r="7327">
      <c r="A7327" s="273"/>
      <c r="B7327" s="71"/>
      <c r="C7327" s="69" t="s">
        <v>29371</v>
      </c>
      <c r="D7327" s="71"/>
      <c r="E7327" s="68" t="s">
        <v>29372</v>
      </c>
      <c r="F7327" s="76">
        <v>42529.0</v>
      </c>
      <c r="G7327" s="68" t="s">
        <v>29370</v>
      </c>
      <c r="H7327" s="71"/>
      <c r="I7327" s="71"/>
      <c r="J7327" s="68" t="s">
        <v>28792</v>
      </c>
      <c r="K7327" s="76">
        <v>43573.0</v>
      </c>
      <c r="L7327" s="71"/>
      <c r="M7327" s="68" t="s">
        <v>27</v>
      </c>
      <c r="N7327" s="116"/>
      <c r="O7327" s="51"/>
    </row>
    <row r="7328">
      <c r="A7328" s="273"/>
      <c r="B7328" s="71"/>
      <c r="C7328" s="69" t="s">
        <v>29373</v>
      </c>
      <c r="D7328" s="71"/>
      <c r="E7328" s="68" t="s">
        <v>29374</v>
      </c>
      <c r="F7328" s="76">
        <v>42863.0</v>
      </c>
      <c r="G7328" s="68" t="s">
        <v>28260</v>
      </c>
      <c r="H7328" s="71"/>
      <c r="I7328" s="71"/>
      <c r="J7328" s="68" t="s">
        <v>28792</v>
      </c>
      <c r="K7328" s="76">
        <v>43573.0</v>
      </c>
      <c r="L7328" s="71"/>
      <c r="M7328" s="68" t="s">
        <v>27</v>
      </c>
      <c r="N7328" s="116"/>
      <c r="O7328" s="51"/>
    </row>
    <row r="7329">
      <c r="A7329" s="234"/>
      <c r="B7329" s="71"/>
      <c r="C7329" s="79" t="s">
        <v>29375</v>
      </c>
      <c r="D7329" s="82"/>
      <c r="E7329" s="63" t="s">
        <v>29376</v>
      </c>
      <c r="F7329" s="70">
        <v>42863.0</v>
      </c>
      <c r="G7329" s="63" t="s">
        <v>29377</v>
      </c>
      <c r="H7329" s="82"/>
      <c r="I7329" s="82"/>
      <c r="J7329" s="63" t="s">
        <v>136</v>
      </c>
      <c r="K7329" s="81">
        <v>43573.0</v>
      </c>
      <c r="L7329" s="82"/>
      <c r="M7329" s="80" t="s">
        <v>27</v>
      </c>
      <c r="N7329" s="116"/>
      <c r="O7329" s="51"/>
    </row>
    <row r="7330">
      <c r="A7330" s="273"/>
      <c r="B7330" s="71"/>
      <c r="C7330" s="69" t="s">
        <v>29378</v>
      </c>
      <c r="D7330" s="71"/>
      <c r="E7330" s="68" t="s">
        <v>29379</v>
      </c>
      <c r="F7330" s="76">
        <v>42863.0</v>
      </c>
      <c r="G7330" s="68" t="s">
        <v>29380</v>
      </c>
      <c r="H7330" s="71"/>
      <c r="I7330" s="71"/>
      <c r="J7330" s="68" t="s">
        <v>28792</v>
      </c>
      <c r="K7330" s="76">
        <v>43573.0</v>
      </c>
      <c r="L7330" s="71"/>
      <c r="M7330" s="68" t="s">
        <v>27</v>
      </c>
      <c r="N7330" s="116"/>
      <c r="O7330" s="51"/>
    </row>
    <row r="7331">
      <c r="A7331" s="273"/>
      <c r="B7331" s="71"/>
      <c r="C7331" s="69" t="s">
        <v>29381</v>
      </c>
      <c r="D7331" s="71"/>
      <c r="E7331" s="68" t="s">
        <v>29382</v>
      </c>
      <c r="F7331" s="76">
        <v>42833.0</v>
      </c>
      <c r="G7331" s="68" t="s">
        <v>29329</v>
      </c>
      <c r="H7331" s="71"/>
      <c r="I7331" s="71"/>
      <c r="J7331" s="68" t="s">
        <v>28792</v>
      </c>
      <c r="K7331" s="76">
        <v>43573.0</v>
      </c>
      <c r="L7331" s="71"/>
      <c r="M7331" s="68" t="s">
        <v>27</v>
      </c>
      <c r="N7331" s="116"/>
      <c r="O7331" s="51"/>
    </row>
    <row r="7332">
      <c r="A7332" s="273"/>
      <c r="B7332" s="71"/>
      <c r="C7332" s="69" t="s">
        <v>29383</v>
      </c>
      <c r="D7332" s="71"/>
      <c r="E7332" s="68" t="s">
        <v>29102</v>
      </c>
      <c r="F7332" s="76">
        <v>42833.0</v>
      </c>
      <c r="G7332" s="68" t="s">
        <v>29250</v>
      </c>
      <c r="H7332" s="71"/>
      <c r="I7332" s="71"/>
      <c r="J7332" s="68" t="s">
        <v>29384</v>
      </c>
      <c r="K7332" s="76">
        <v>43573.0</v>
      </c>
      <c r="L7332" s="71"/>
      <c r="M7332" s="68" t="s">
        <v>27</v>
      </c>
      <c r="N7332" s="116"/>
      <c r="O7332" s="51"/>
    </row>
    <row r="7333">
      <c r="A7333" s="273"/>
      <c r="B7333" s="71"/>
      <c r="C7333" s="69" t="s">
        <v>29385</v>
      </c>
      <c r="D7333" s="71"/>
      <c r="E7333" s="68" t="s">
        <v>29386</v>
      </c>
      <c r="F7333" s="76">
        <v>42833.0</v>
      </c>
      <c r="G7333" s="68" t="s">
        <v>29250</v>
      </c>
      <c r="H7333" s="71"/>
      <c r="I7333" s="71"/>
      <c r="J7333" s="68" t="s">
        <v>29387</v>
      </c>
      <c r="K7333" s="76">
        <v>43573.0</v>
      </c>
      <c r="L7333" s="71"/>
      <c r="M7333" s="68" t="s">
        <v>27</v>
      </c>
      <c r="N7333" s="116"/>
      <c r="O7333" s="51"/>
    </row>
    <row r="7334">
      <c r="A7334" s="273"/>
      <c r="B7334" s="71"/>
      <c r="C7334" s="69" t="s">
        <v>29388</v>
      </c>
      <c r="D7334" s="71"/>
      <c r="E7334" s="68" t="s">
        <v>29389</v>
      </c>
      <c r="F7334" s="276">
        <v>42833.0</v>
      </c>
      <c r="G7334" s="68" t="s">
        <v>29390</v>
      </c>
      <c r="H7334" s="71"/>
      <c r="I7334" s="71"/>
      <c r="J7334" s="68" t="s">
        <v>28792</v>
      </c>
      <c r="K7334" s="76">
        <v>43573.0</v>
      </c>
      <c r="L7334" s="71"/>
      <c r="M7334" s="68" t="s">
        <v>27</v>
      </c>
      <c r="N7334" s="116"/>
      <c r="O7334" s="51"/>
    </row>
    <row r="7335">
      <c r="A7335" s="234"/>
      <c r="B7335" s="71"/>
      <c r="C7335" s="79" t="s">
        <v>29391</v>
      </c>
      <c r="D7335" s="82"/>
      <c r="E7335" s="63" t="s">
        <v>29392</v>
      </c>
      <c r="F7335" s="63" t="s">
        <v>29393</v>
      </c>
      <c r="G7335" s="63" t="s">
        <v>29250</v>
      </c>
      <c r="H7335" s="82"/>
      <c r="I7335" s="82"/>
      <c r="J7335" s="63" t="s">
        <v>136</v>
      </c>
      <c r="K7335" s="81">
        <v>43573.0</v>
      </c>
      <c r="L7335" s="82"/>
      <c r="M7335" s="80" t="s">
        <v>27</v>
      </c>
      <c r="N7335" s="116"/>
      <c r="O7335" s="51"/>
    </row>
    <row r="7336">
      <c r="A7336" s="273"/>
      <c r="B7336" s="71"/>
      <c r="C7336" s="69" t="s">
        <v>29394</v>
      </c>
      <c r="D7336" s="71"/>
      <c r="E7336" s="68" t="s">
        <v>29395</v>
      </c>
      <c r="F7336" s="76">
        <v>42961.0</v>
      </c>
      <c r="G7336" s="68" t="s">
        <v>29396</v>
      </c>
      <c r="H7336" s="71"/>
      <c r="I7336" s="71"/>
      <c r="J7336" s="68" t="s">
        <v>28792</v>
      </c>
      <c r="K7336" s="76">
        <v>43573.0</v>
      </c>
      <c r="L7336" s="71"/>
      <c r="M7336" s="68" t="s">
        <v>27</v>
      </c>
      <c r="N7336" s="116"/>
      <c r="O7336" s="51"/>
    </row>
    <row r="7337">
      <c r="A7337" s="273"/>
      <c r="B7337" s="71"/>
      <c r="C7337" s="69" t="s">
        <v>29397</v>
      </c>
      <c r="D7337" s="71"/>
      <c r="E7337" s="68" t="s">
        <v>29398</v>
      </c>
      <c r="F7337" s="76">
        <v>42960.0</v>
      </c>
      <c r="G7337" s="68" t="s">
        <v>29399</v>
      </c>
      <c r="H7337" s="71"/>
      <c r="I7337" s="71"/>
      <c r="J7337" s="68" t="s">
        <v>28792</v>
      </c>
      <c r="K7337" s="76">
        <v>43573.0</v>
      </c>
      <c r="L7337" s="71"/>
      <c r="M7337" s="68" t="s">
        <v>27</v>
      </c>
      <c r="N7337" s="116"/>
      <c r="O7337" s="51"/>
    </row>
    <row r="7338">
      <c r="A7338" s="273"/>
      <c r="B7338" s="71"/>
      <c r="C7338" s="69" t="s">
        <v>29400</v>
      </c>
      <c r="D7338" s="71"/>
      <c r="E7338" s="68" t="s">
        <v>29401</v>
      </c>
      <c r="F7338" s="76">
        <v>42960.0</v>
      </c>
      <c r="G7338" s="68" t="s">
        <v>28260</v>
      </c>
      <c r="H7338" s="71"/>
      <c r="I7338" s="71"/>
      <c r="J7338" s="68" t="s">
        <v>28792</v>
      </c>
      <c r="K7338" s="76">
        <v>43573.0</v>
      </c>
      <c r="L7338" s="71"/>
      <c r="M7338" s="68" t="s">
        <v>27</v>
      </c>
      <c r="N7338" s="116"/>
      <c r="O7338" s="51"/>
    </row>
    <row r="7339">
      <c r="A7339" s="273"/>
      <c r="B7339" s="71"/>
      <c r="C7339" s="69" t="s">
        <v>29402</v>
      </c>
      <c r="D7339" s="71"/>
      <c r="E7339" s="68" t="s">
        <v>29403</v>
      </c>
      <c r="F7339" s="76">
        <v>43077.0</v>
      </c>
      <c r="G7339" s="68" t="s">
        <v>28843</v>
      </c>
      <c r="H7339" s="71"/>
      <c r="I7339" s="71"/>
      <c r="J7339" s="68" t="s">
        <v>29404</v>
      </c>
      <c r="K7339" s="76">
        <v>43573.0</v>
      </c>
      <c r="L7339" s="71"/>
      <c r="M7339" s="68" t="s">
        <v>27</v>
      </c>
      <c r="N7339" s="116"/>
      <c r="O7339" s="51"/>
    </row>
    <row r="7340">
      <c r="A7340" s="273"/>
      <c r="B7340" s="71"/>
      <c r="C7340" s="69" t="s">
        <v>29405</v>
      </c>
      <c r="D7340" s="71"/>
      <c r="E7340" s="68" t="s">
        <v>29406</v>
      </c>
      <c r="F7340" s="76">
        <v>43047.0</v>
      </c>
      <c r="G7340" s="68" t="s">
        <v>29407</v>
      </c>
      <c r="H7340" s="71"/>
      <c r="I7340" s="71"/>
      <c r="J7340" s="68" t="s">
        <v>29408</v>
      </c>
      <c r="K7340" s="76">
        <v>43573.0</v>
      </c>
      <c r="L7340" s="71"/>
      <c r="M7340" s="68" t="s">
        <v>27</v>
      </c>
      <c r="N7340" s="116"/>
      <c r="O7340" s="51"/>
    </row>
    <row r="7341">
      <c r="A7341" s="273"/>
      <c r="B7341" s="71"/>
      <c r="C7341" s="69" t="s">
        <v>29409</v>
      </c>
      <c r="D7341" s="71"/>
      <c r="E7341" s="68" t="s">
        <v>29410</v>
      </c>
      <c r="F7341" s="76">
        <v>43047.0</v>
      </c>
      <c r="G7341" s="68" t="s">
        <v>29411</v>
      </c>
      <c r="H7341" s="71"/>
      <c r="I7341" s="71"/>
      <c r="J7341" s="68" t="s">
        <v>28792</v>
      </c>
      <c r="K7341" s="76">
        <v>43573.0</v>
      </c>
      <c r="L7341" s="71"/>
      <c r="M7341" s="68" t="s">
        <v>27</v>
      </c>
      <c r="N7341" s="116"/>
      <c r="O7341" s="51"/>
    </row>
    <row r="7342">
      <c r="A7342" s="273"/>
      <c r="B7342" s="71"/>
      <c r="C7342" s="69" t="s">
        <v>29412</v>
      </c>
      <c r="D7342" s="71"/>
      <c r="E7342" s="68" t="s">
        <v>29413</v>
      </c>
      <c r="F7342" s="76">
        <v>43047.0</v>
      </c>
      <c r="G7342" s="68" t="s">
        <v>29350</v>
      </c>
      <c r="H7342" s="71"/>
      <c r="I7342" s="71"/>
      <c r="J7342" s="68" t="s">
        <v>28792</v>
      </c>
      <c r="K7342" s="76">
        <v>43573.0</v>
      </c>
      <c r="L7342" s="71"/>
      <c r="M7342" s="68" t="s">
        <v>27</v>
      </c>
      <c r="N7342" s="116"/>
      <c r="O7342" s="51"/>
    </row>
    <row r="7343">
      <c r="A7343" s="273"/>
      <c r="B7343" s="71"/>
      <c r="C7343" s="69" t="s">
        <v>29414</v>
      </c>
      <c r="D7343" s="71"/>
      <c r="E7343" s="68" t="s">
        <v>29415</v>
      </c>
      <c r="F7343" s="76">
        <v>43047.0</v>
      </c>
      <c r="G7343" s="68" t="s">
        <v>29283</v>
      </c>
      <c r="H7343" s="71"/>
      <c r="I7343" s="71"/>
      <c r="J7343" s="68" t="s">
        <v>28792</v>
      </c>
      <c r="K7343" s="76">
        <v>43573.0</v>
      </c>
      <c r="L7343" s="71"/>
      <c r="M7343" s="68" t="s">
        <v>27</v>
      </c>
      <c r="N7343" s="116"/>
      <c r="O7343" s="51"/>
    </row>
    <row r="7344">
      <c r="A7344" s="273"/>
      <c r="B7344" s="71"/>
      <c r="C7344" s="69" t="s">
        <v>29416</v>
      </c>
      <c r="D7344" s="71"/>
      <c r="E7344" s="68" t="s">
        <v>29417</v>
      </c>
      <c r="F7344" s="76">
        <v>43047.0</v>
      </c>
      <c r="G7344" s="68" t="s">
        <v>29407</v>
      </c>
      <c r="H7344" s="71"/>
      <c r="I7344" s="71"/>
      <c r="J7344" s="68" t="s">
        <v>29418</v>
      </c>
      <c r="K7344" s="76">
        <v>43573.0</v>
      </c>
      <c r="L7344" s="71"/>
      <c r="M7344" s="68" t="s">
        <v>27</v>
      </c>
      <c r="N7344" s="116"/>
      <c r="O7344" s="51"/>
    </row>
    <row r="7345">
      <c r="A7345" s="273"/>
      <c r="B7345" s="71"/>
      <c r="C7345" s="69" t="s">
        <v>29419</v>
      </c>
      <c r="D7345" s="71"/>
      <c r="E7345" s="68" t="s">
        <v>29420</v>
      </c>
      <c r="F7345" s="76">
        <v>43047.0</v>
      </c>
      <c r="G7345" s="68" t="s">
        <v>29411</v>
      </c>
      <c r="H7345" s="71"/>
      <c r="I7345" s="71"/>
      <c r="J7345" s="68" t="s">
        <v>28792</v>
      </c>
      <c r="K7345" s="76">
        <v>43573.0</v>
      </c>
      <c r="L7345" s="71"/>
      <c r="M7345" s="68" t="s">
        <v>27</v>
      </c>
      <c r="N7345" s="116"/>
      <c r="O7345" s="51"/>
    </row>
    <row r="7346">
      <c r="A7346" s="273"/>
      <c r="B7346" s="71"/>
      <c r="C7346" s="69" t="s">
        <v>29421</v>
      </c>
      <c r="D7346" s="71"/>
      <c r="E7346" s="68" t="s">
        <v>29422</v>
      </c>
      <c r="F7346" s="71"/>
      <c r="G7346" s="68" t="s">
        <v>29199</v>
      </c>
      <c r="H7346" s="71"/>
      <c r="I7346" s="71"/>
      <c r="J7346" s="68" t="s">
        <v>28792</v>
      </c>
      <c r="K7346" s="76">
        <v>43573.0</v>
      </c>
      <c r="L7346" s="71"/>
      <c r="M7346" s="68" t="s">
        <v>27</v>
      </c>
      <c r="N7346" s="116"/>
      <c r="O7346" s="51"/>
    </row>
    <row r="7347">
      <c r="A7347" s="273"/>
      <c r="B7347" s="71"/>
      <c r="C7347" s="69" t="s">
        <v>29423</v>
      </c>
      <c r="D7347" s="71"/>
      <c r="E7347" s="68" t="s">
        <v>29424</v>
      </c>
      <c r="F7347" s="76">
        <v>42956.0</v>
      </c>
      <c r="G7347" s="68" t="s">
        <v>29199</v>
      </c>
      <c r="H7347" s="71"/>
      <c r="I7347" s="71"/>
      <c r="J7347" s="68" t="s">
        <v>28792</v>
      </c>
      <c r="K7347" s="76">
        <v>43573.0</v>
      </c>
      <c r="L7347" s="71"/>
      <c r="M7347" s="68" t="s">
        <v>27</v>
      </c>
      <c r="N7347" s="116"/>
      <c r="O7347" s="51"/>
    </row>
    <row r="7348">
      <c r="A7348" s="234"/>
      <c r="B7348" s="71"/>
      <c r="C7348" s="79" t="s">
        <v>29425</v>
      </c>
      <c r="D7348" s="82"/>
      <c r="E7348" s="63" t="s">
        <v>26675</v>
      </c>
      <c r="F7348" s="70">
        <v>42963.0</v>
      </c>
      <c r="G7348" s="63" t="s">
        <v>29426</v>
      </c>
      <c r="H7348" s="82"/>
      <c r="I7348" s="82"/>
      <c r="J7348" s="63" t="s">
        <v>136</v>
      </c>
      <c r="K7348" s="81">
        <v>43573.0</v>
      </c>
      <c r="L7348" s="82"/>
      <c r="M7348" s="80" t="s">
        <v>27</v>
      </c>
      <c r="N7348" s="116"/>
      <c r="O7348" s="51"/>
    </row>
    <row r="7349">
      <c r="A7349" s="273"/>
      <c r="B7349" s="71"/>
      <c r="C7349" s="69" t="s">
        <v>29427</v>
      </c>
      <c r="D7349" s="71"/>
      <c r="E7349" s="68" t="s">
        <v>29428</v>
      </c>
      <c r="F7349" s="76">
        <v>42967.0</v>
      </c>
      <c r="G7349" s="68" t="s">
        <v>29429</v>
      </c>
      <c r="H7349" s="71"/>
      <c r="I7349" s="71"/>
      <c r="J7349" s="68" t="s">
        <v>28792</v>
      </c>
      <c r="K7349" s="76">
        <v>43573.0</v>
      </c>
      <c r="L7349" s="71"/>
      <c r="M7349" s="68" t="s">
        <v>27</v>
      </c>
      <c r="N7349" s="116"/>
      <c r="O7349" s="51"/>
    </row>
    <row r="7350">
      <c r="A7350" s="273"/>
      <c r="B7350" s="71"/>
      <c r="C7350" s="69" t="s">
        <v>29430</v>
      </c>
      <c r="D7350" s="71"/>
      <c r="E7350" s="68" t="s">
        <v>29431</v>
      </c>
      <c r="F7350" s="76">
        <v>42967.0</v>
      </c>
      <c r="G7350" s="68" t="s">
        <v>29429</v>
      </c>
      <c r="H7350" s="71"/>
      <c r="I7350" s="71"/>
      <c r="J7350" s="68" t="s">
        <v>28792</v>
      </c>
      <c r="K7350" s="76">
        <v>43573.0</v>
      </c>
      <c r="L7350" s="71"/>
      <c r="M7350" s="68" t="s">
        <v>27</v>
      </c>
      <c r="N7350" s="116"/>
      <c r="O7350" s="51"/>
    </row>
    <row r="7351">
      <c r="A7351" s="234"/>
      <c r="B7351" s="71"/>
      <c r="C7351" s="79" t="s">
        <v>29432</v>
      </c>
      <c r="D7351" s="82"/>
      <c r="E7351" s="63" t="s">
        <v>29433</v>
      </c>
      <c r="F7351" s="70">
        <v>42965.0</v>
      </c>
      <c r="G7351" s="63" t="s">
        <v>28843</v>
      </c>
      <c r="H7351" s="82"/>
      <c r="I7351" s="82"/>
      <c r="J7351" s="63" t="s">
        <v>136</v>
      </c>
      <c r="K7351" s="81">
        <v>43573.0</v>
      </c>
      <c r="L7351" s="82"/>
      <c r="M7351" s="80" t="s">
        <v>27</v>
      </c>
      <c r="N7351" s="116"/>
      <c r="O7351" s="51"/>
    </row>
    <row r="7352">
      <c r="A7352" s="273"/>
      <c r="B7352" s="71"/>
      <c r="C7352" s="69" t="s">
        <v>29434</v>
      </c>
      <c r="D7352" s="71"/>
      <c r="E7352" s="68" t="s">
        <v>29435</v>
      </c>
      <c r="F7352" s="76">
        <v>42965.0</v>
      </c>
      <c r="G7352" s="68" t="s">
        <v>29191</v>
      </c>
      <c r="H7352" s="71"/>
      <c r="I7352" s="71"/>
      <c r="J7352" s="68" t="s">
        <v>28792</v>
      </c>
      <c r="K7352" s="76">
        <v>43573.0</v>
      </c>
      <c r="L7352" s="71"/>
      <c r="M7352" s="68" t="s">
        <v>27</v>
      </c>
      <c r="N7352" s="116"/>
      <c r="O7352" s="51"/>
    </row>
    <row r="7353">
      <c r="A7353" s="273"/>
      <c r="B7353" s="71"/>
      <c r="C7353" s="69" t="s">
        <v>29436</v>
      </c>
      <c r="D7353" s="71"/>
      <c r="E7353" s="68" t="s">
        <v>29437</v>
      </c>
      <c r="F7353" s="76">
        <v>42965.0</v>
      </c>
      <c r="G7353" s="68" t="s">
        <v>28345</v>
      </c>
      <c r="H7353" s="71"/>
      <c r="I7353" s="71"/>
      <c r="J7353" s="68" t="s">
        <v>28792</v>
      </c>
      <c r="K7353" s="76">
        <v>43573.0</v>
      </c>
      <c r="L7353" s="71"/>
      <c r="M7353" s="68" t="s">
        <v>27</v>
      </c>
      <c r="N7353" s="116"/>
      <c r="O7353" s="51"/>
    </row>
    <row r="7354">
      <c r="A7354" s="234"/>
      <c r="B7354" s="71"/>
      <c r="C7354" s="79" t="s">
        <v>29438</v>
      </c>
      <c r="D7354" s="82"/>
      <c r="E7354" s="63" t="s">
        <v>29439</v>
      </c>
      <c r="F7354" s="70">
        <v>42970.0</v>
      </c>
      <c r="G7354" s="63" t="s">
        <v>29440</v>
      </c>
      <c r="H7354" s="82"/>
      <c r="I7354" s="82"/>
      <c r="J7354" s="63" t="s">
        <v>136</v>
      </c>
      <c r="K7354" s="81">
        <v>43573.0</v>
      </c>
      <c r="L7354" s="82"/>
      <c r="M7354" s="80" t="s">
        <v>27</v>
      </c>
      <c r="N7354" s="116"/>
      <c r="O7354" s="51"/>
    </row>
    <row r="7355">
      <c r="A7355" s="273"/>
      <c r="B7355" s="71"/>
      <c r="C7355" s="69" t="s">
        <v>29441</v>
      </c>
      <c r="D7355" s="71"/>
      <c r="E7355" s="68" t="s">
        <v>29442</v>
      </c>
      <c r="F7355" s="76">
        <v>42970.0</v>
      </c>
      <c r="G7355" s="68" t="s">
        <v>29440</v>
      </c>
      <c r="H7355" s="71"/>
      <c r="I7355" s="71"/>
      <c r="J7355" s="68" t="s">
        <v>28792</v>
      </c>
      <c r="K7355" s="76">
        <v>43573.0</v>
      </c>
      <c r="L7355" s="71"/>
      <c r="M7355" s="68" t="s">
        <v>27</v>
      </c>
      <c r="N7355" s="116"/>
      <c r="O7355" s="51"/>
    </row>
    <row r="7356">
      <c r="A7356" s="273"/>
      <c r="B7356" s="71"/>
      <c r="C7356" s="69" t="s">
        <v>29443</v>
      </c>
      <c r="D7356" s="71"/>
      <c r="E7356" s="68" t="s">
        <v>29444</v>
      </c>
      <c r="F7356" s="76">
        <v>42967.0</v>
      </c>
      <c r="G7356" s="68" t="s">
        <v>28843</v>
      </c>
      <c r="H7356" s="71"/>
      <c r="I7356" s="71"/>
      <c r="J7356" s="68" t="s">
        <v>28792</v>
      </c>
      <c r="K7356" s="76">
        <v>43573.0</v>
      </c>
      <c r="L7356" s="71"/>
      <c r="M7356" s="68" t="s">
        <v>27</v>
      </c>
      <c r="N7356" s="116"/>
      <c r="O7356" s="51"/>
    </row>
    <row r="7357">
      <c r="A7357" s="234"/>
      <c r="B7357" s="71"/>
      <c r="C7357" s="69" t="s">
        <v>29445</v>
      </c>
      <c r="D7357" s="71"/>
      <c r="E7357" s="68" t="s">
        <v>29446</v>
      </c>
      <c r="F7357" s="76">
        <v>42967.0</v>
      </c>
      <c r="G7357" s="68" t="s">
        <v>28260</v>
      </c>
      <c r="H7357" s="71"/>
      <c r="I7357" s="71"/>
      <c r="J7357" s="68" t="s">
        <v>28792</v>
      </c>
      <c r="K7357" s="76">
        <v>43573.0</v>
      </c>
      <c r="L7357" s="71"/>
      <c r="M7357" s="68" t="s">
        <v>27</v>
      </c>
      <c r="N7357" s="116"/>
      <c r="O7357" s="51"/>
    </row>
    <row r="7358">
      <c r="A7358" s="234"/>
      <c r="B7358" s="71"/>
      <c r="C7358" s="79" t="s">
        <v>29447</v>
      </c>
      <c r="D7358" s="82"/>
      <c r="E7358" s="63" t="s">
        <v>29448</v>
      </c>
      <c r="F7358" s="70">
        <v>42967.0</v>
      </c>
      <c r="G7358" s="63" t="s">
        <v>29449</v>
      </c>
      <c r="H7358" s="82"/>
      <c r="I7358" s="82"/>
      <c r="J7358" s="63" t="s">
        <v>136</v>
      </c>
      <c r="K7358" s="81">
        <v>43573.0</v>
      </c>
      <c r="L7358" s="82"/>
      <c r="M7358" s="80" t="s">
        <v>27</v>
      </c>
      <c r="N7358" s="116"/>
      <c r="O7358" s="51"/>
    </row>
    <row r="7359">
      <c r="A7359" s="273"/>
      <c r="B7359" s="71"/>
      <c r="C7359" s="69" t="s">
        <v>29450</v>
      </c>
      <c r="D7359" s="71"/>
      <c r="E7359" s="68" t="s">
        <v>29451</v>
      </c>
      <c r="F7359" s="76">
        <v>42967.0</v>
      </c>
      <c r="G7359" s="68" t="s">
        <v>28843</v>
      </c>
      <c r="H7359" s="71"/>
      <c r="I7359" s="71"/>
      <c r="J7359" s="68" t="s">
        <v>29452</v>
      </c>
      <c r="K7359" s="76">
        <v>43573.0</v>
      </c>
      <c r="L7359" s="71"/>
      <c r="M7359" s="68" t="s">
        <v>27</v>
      </c>
      <c r="N7359" s="116"/>
      <c r="O7359" s="51"/>
    </row>
    <row r="7360">
      <c r="A7360" s="273"/>
      <c r="B7360" s="71"/>
      <c r="C7360" s="69" t="s">
        <v>29453</v>
      </c>
      <c r="D7360" s="71"/>
      <c r="E7360" s="68" t="s">
        <v>29454</v>
      </c>
      <c r="F7360" s="76">
        <v>42967.0</v>
      </c>
      <c r="G7360" s="68" t="s">
        <v>28843</v>
      </c>
      <c r="H7360" s="71"/>
      <c r="I7360" s="71"/>
      <c r="J7360" s="68" t="s">
        <v>28792</v>
      </c>
      <c r="K7360" s="76">
        <v>43573.0</v>
      </c>
      <c r="L7360" s="71"/>
      <c r="M7360" s="68" t="s">
        <v>27</v>
      </c>
      <c r="N7360" s="116"/>
      <c r="O7360" s="51"/>
    </row>
    <row r="7361">
      <c r="A7361" s="234"/>
      <c r="B7361" s="71"/>
      <c r="C7361" s="79" t="s">
        <v>29455</v>
      </c>
      <c r="D7361" s="82"/>
      <c r="E7361" s="63" t="s">
        <v>29456</v>
      </c>
      <c r="F7361" s="70">
        <v>42744.0</v>
      </c>
      <c r="G7361" s="63" t="s">
        <v>29326</v>
      </c>
      <c r="H7361" s="82"/>
      <c r="I7361" s="82"/>
      <c r="J7361" s="63" t="s">
        <v>136</v>
      </c>
      <c r="K7361" s="81">
        <v>43573.0</v>
      </c>
      <c r="L7361" s="82"/>
      <c r="M7361" s="80" t="s">
        <v>27</v>
      </c>
      <c r="N7361" s="116"/>
      <c r="O7361" s="51"/>
    </row>
    <row r="7362">
      <c r="A7362" s="273"/>
      <c r="B7362" s="71"/>
      <c r="C7362" s="69" t="s">
        <v>29457</v>
      </c>
      <c r="D7362" s="71"/>
      <c r="E7362" s="68" t="s">
        <v>29458</v>
      </c>
      <c r="F7362" s="76">
        <v>42744.0</v>
      </c>
      <c r="G7362" s="68" t="s">
        <v>29459</v>
      </c>
      <c r="H7362" s="71"/>
      <c r="I7362" s="71"/>
      <c r="J7362" s="68" t="s">
        <v>28792</v>
      </c>
      <c r="K7362" s="76">
        <v>43573.0</v>
      </c>
      <c r="L7362" s="71"/>
      <c r="M7362" s="68" t="s">
        <v>27</v>
      </c>
      <c r="N7362" s="116"/>
      <c r="O7362" s="51"/>
    </row>
    <row r="7363">
      <c r="A7363" s="273"/>
      <c r="B7363" s="71"/>
      <c r="C7363" s="69" t="s">
        <v>29460</v>
      </c>
      <c r="D7363" s="71"/>
      <c r="E7363" s="68" t="s">
        <v>29461</v>
      </c>
      <c r="F7363" s="76">
        <v>42744.0</v>
      </c>
      <c r="G7363" s="68" t="s">
        <v>29459</v>
      </c>
      <c r="H7363" s="71"/>
      <c r="I7363" s="71"/>
      <c r="J7363" s="68" t="s">
        <v>28792</v>
      </c>
      <c r="K7363" s="76">
        <v>43573.0</v>
      </c>
      <c r="L7363" s="71"/>
      <c r="M7363" s="68" t="s">
        <v>27</v>
      </c>
      <c r="N7363" s="116"/>
      <c r="O7363" s="51"/>
    </row>
    <row r="7364">
      <c r="A7364" s="273"/>
      <c r="B7364" s="71"/>
      <c r="C7364" s="69" t="s">
        <v>29462</v>
      </c>
      <c r="D7364" s="71"/>
      <c r="E7364" s="68" t="s">
        <v>29463</v>
      </c>
      <c r="F7364" s="76">
        <v>42744.0</v>
      </c>
      <c r="G7364" s="68" t="s">
        <v>28865</v>
      </c>
      <c r="H7364" s="71"/>
      <c r="I7364" s="71"/>
      <c r="J7364" s="68" t="s">
        <v>28792</v>
      </c>
      <c r="K7364" s="76">
        <v>43573.0</v>
      </c>
      <c r="L7364" s="71"/>
      <c r="M7364" s="68" t="s">
        <v>27</v>
      </c>
      <c r="N7364" s="116"/>
      <c r="O7364" s="51"/>
    </row>
    <row r="7365">
      <c r="A7365" s="234"/>
      <c r="B7365" s="71"/>
      <c r="C7365" s="79" t="s">
        <v>29464</v>
      </c>
      <c r="D7365" s="82"/>
      <c r="E7365" s="63" t="s">
        <v>29465</v>
      </c>
      <c r="F7365" s="70">
        <v>42744.0</v>
      </c>
      <c r="G7365" s="63" t="s">
        <v>29459</v>
      </c>
      <c r="H7365" s="82"/>
      <c r="I7365" s="82"/>
      <c r="J7365" s="63" t="s">
        <v>136</v>
      </c>
      <c r="K7365" s="81">
        <v>43573.0</v>
      </c>
      <c r="L7365" s="82"/>
      <c r="M7365" s="80" t="s">
        <v>27</v>
      </c>
      <c r="N7365" s="116"/>
      <c r="O7365" s="51"/>
    </row>
    <row r="7366">
      <c r="A7366" s="234"/>
      <c r="B7366" s="71"/>
      <c r="C7366" s="79" t="s">
        <v>29466</v>
      </c>
      <c r="D7366" s="82"/>
      <c r="E7366" s="63" t="s">
        <v>29467</v>
      </c>
      <c r="F7366" s="70">
        <v>42977.0</v>
      </c>
      <c r="G7366" s="63" t="s">
        <v>29468</v>
      </c>
      <c r="H7366" s="82"/>
      <c r="I7366" s="82"/>
      <c r="J7366" s="63" t="s">
        <v>136</v>
      </c>
      <c r="K7366" s="81">
        <v>43573.0</v>
      </c>
      <c r="L7366" s="82"/>
      <c r="M7366" s="80" t="s">
        <v>27</v>
      </c>
      <c r="N7366" s="116"/>
      <c r="O7366" s="51"/>
    </row>
    <row r="7367">
      <c r="A7367" s="234"/>
      <c r="B7367" s="71"/>
      <c r="C7367" s="79" t="s">
        <v>29469</v>
      </c>
      <c r="D7367" s="82"/>
      <c r="E7367" s="63" t="s">
        <v>29470</v>
      </c>
      <c r="F7367" s="70">
        <v>42977.0</v>
      </c>
      <c r="G7367" s="63" t="s">
        <v>29468</v>
      </c>
      <c r="H7367" s="82"/>
      <c r="I7367" s="82"/>
      <c r="J7367" s="63" t="s">
        <v>136</v>
      </c>
      <c r="K7367" s="81">
        <v>43573.0</v>
      </c>
      <c r="L7367" s="82"/>
      <c r="M7367" s="80" t="s">
        <v>27</v>
      </c>
      <c r="N7367" s="116"/>
      <c r="O7367" s="51"/>
    </row>
    <row r="7368">
      <c r="A7368" s="273"/>
      <c r="B7368" s="71"/>
      <c r="C7368" s="69" t="s">
        <v>29471</v>
      </c>
      <c r="D7368" s="71"/>
      <c r="E7368" s="68" t="s">
        <v>29472</v>
      </c>
      <c r="F7368" s="76">
        <v>42976.0</v>
      </c>
      <c r="G7368" s="68" t="s">
        <v>28853</v>
      </c>
      <c r="H7368" s="71"/>
      <c r="I7368" s="71"/>
      <c r="J7368" s="68" t="s">
        <v>28792</v>
      </c>
      <c r="K7368" s="76">
        <v>43573.0</v>
      </c>
      <c r="L7368" s="71"/>
      <c r="M7368" s="68" t="s">
        <v>27</v>
      </c>
      <c r="N7368" s="116"/>
      <c r="O7368" s="51"/>
    </row>
    <row r="7369">
      <c r="A7369" s="273"/>
      <c r="B7369" s="71"/>
      <c r="C7369" s="69" t="s">
        <v>29473</v>
      </c>
      <c r="D7369" s="71"/>
      <c r="E7369" s="68" t="s">
        <v>29474</v>
      </c>
      <c r="F7369" s="76">
        <v>42925.0</v>
      </c>
      <c r="G7369" s="68" t="s">
        <v>29459</v>
      </c>
      <c r="H7369" s="71"/>
      <c r="I7369" s="71"/>
      <c r="J7369" s="68" t="s">
        <v>28792</v>
      </c>
      <c r="K7369" s="76">
        <v>43573.0</v>
      </c>
      <c r="L7369" s="71"/>
      <c r="M7369" s="68" t="s">
        <v>27</v>
      </c>
      <c r="N7369" s="116"/>
      <c r="O7369" s="51"/>
    </row>
    <row r="7370">
      <c r="A7370" s="234"/>
      <c r="B7370" s="71"/>
      <c r="C7370" s="79" t="s">
        <v>29475</v>
      </c>
      <c r="D7370" s="82"/>
      <c r="E7370" s="63" t="s">
        <v>29476</v>
      </c>
      <c r="F7370" s="70">
        <v>42987.0</v>
      </c>
      <c r="G7370" s="63" t="s">
        <v>29477</v>
      </c>
      <c r="H7370" s="82"/>
      <c r="I7370" s="82"/>
      <c r="J7370" s="63" t="s">
        <v>136</v>
      </c>
      <c r="K7370" s="81">
        <v>43573.0</v>
      </c>
      <c r="L7370" s="82"/>
      <c r="M7370" s="80" t="s">
        <v>27</v>
      </c>
      <c r="N7370" s="116"/>
      <c r="O7370" s="51"/>
    </row>
    <row r="7371">
      <c r="A7371" s="273"/>
      <c r="B7371" s="71"/>
      <c r="C7371" s="69" t="s">
        <v>29478</v>
      </c>
      <c r="D7371" s="71"/>
      <c r="E7371" s="68" t="s">
        <v>29479</v>
      </c>
      <c r="F7371" s="76">
        <v>42987.0</v>
      </c>
      <c r="G7371" s="68" t="s">
        <v>29477</v>
      </c>
      <c r="H7371" s="71"/>
      <c r="I7371" s="71"/>
      <c r="J7371" s="68" t="s">
        <v>29480</v>
      </c>
      <c r="K7371" s="76">
        <v>43573.0</v>
      </c>
      <c r="L7371" s="71"/>
      <c r="M7371" s="68" t="s">
        <v>27</v>
      </c>
      <c r="N7371" s="116"/>
      <c r="O7371" s="51"/>
    </row>
    <row r="7372">
      <c r="A7372" s="273"/>
      <c r="B7372" s="71"/>
      <c r="C7372" s="69" t="s">
        <v>29481</v>
      </c>
      <c r="D7372" s="71"/>
      <c r="E7372" s="68" t="s">
        <v>29482</v>
      </c>
      <c r="F7372" s="76">
        <v>42984.0</v>
      </c>
      <c r="G7372" s="68" t="s">
        <v>29483</v>
      </c>
      <c r="H7372" s="71"/>
      <c r="I7372" s="71"/>
      <c r="J7372" s="68" t="s">
        <v>29484</v>
      </c>
      <c r="K7372" s="76">
        <v>43573.0</v>
      </c>
      <c r="L7372" s="71"/>
      <c r="M7372" s="68" t="s">
        <v>27</v>
      </c>
      <c r="N7372" s="116"/>
      <c r="O7372" s="51"/>
    </row>
    <row r="7373">
      <c r="A7373" s="234"/>
      <c r="B7373" s="71"/>
      <c r="C7373" s="79" t="s">
        <v>29485</v>
      </c>
      <c r="D7373" s="82"/>
      <c r="E7373" s="63" t="s">
        <v>29486</v>
      </c>
      <c r="F7373" s="70">
        <v>42984.0</v>
      </c>
      <c r="G7373" s="63" t="s">
        <v>29487</v>
      </c>
      <c r="H7373" s="82"/>
      <c r="I7373" s="82"/>
      <c r="J7373" s="63" t="s">
        <v>136</v>
      </c>
      <c r="K7373" s="81">
        <v>43573.0</v>
      </c>
      <c r="L7373" s="82"/>
      <c r="M7373" s="80" t="s">
        <v>27</v>
      </c>
      <c r="N7373" s="116"/>
      <c r="O7373" s="51"/>
    </row>
    <row r="7374">
      <c r="A7374" s="273"/>
      <c r="B7374" s="71"/>
      <c r="C7374" s="69" t="s">
        <v>29488</v>
      </c>
      <c r="D7374" s="71"/>
      <c r="E7374" s="68" t="s">
        <v>29489</v>
      </c>
      <c r="F7374" s="76">
        <v>42984.0</v>
      </c>
      <c r="G7374" s="68" t="s">
        <v>29487</v>
      </c>
      <c r="H7374" s="71"/>
      <c r="I7374" s="71"/>
      <c r="J7374" s="68" t="s">
        <v>28792</v>
      </c>
      <c r="K7374" s="76">
        <v>43573.0</v>
      </c>
      <c r="L7374" s="71"/>
      <c r="M7374" s="68" t="s">
        <v>27</v>
      </c>
      <c r="N7374" s="116"/>
      <c r="O7374" s="51"/>
    </row>
    <row r="7375">
      <c r="A7375" s="273"/>
      <c r="B7375" s="71"/>
      <c r="C7375" s="69" t="s">
        <v>29490</v>
      </c>
      <c r="D7375" s="71"/>
      <c r="E7375" s="68" t="s">
        <v>29491</v>
      </c>
      <c r="F7375" s="76">
        <v>42864.0</v>
      </c>
      <c r="G7375" s="68" t="s">
        <v>29492</v>
      </c>
      <c r="H7375" s="71"/>
      <c r="I7375" s="71"/>
      <c r="J7375" s="68" t="s">
        <v>28792</v>
      </c>
      <c r="K7375" s="76">
        <v>43573.0</v>
      </c>
      <c r="L7375" s="71"/>
      <c r="M7375" s="68" t="s">
        <v>27</v>
      </c>
      <c r="N7375" s="116"/>
      <c r="O7375" s="51"/>
    </row>
    <row r="7376">
      <c r="A7376" s="273"/>
      <c r="B7376" s="71"/>
      <c r="C7376" s="69" t="s">
        <v>29493</v>
      </c>
      <c r="D7376" s="71"/>
      <c r="E7376" s="68" t="s">
        <v>29494</v>
      </c>
      <c r="F7376" s="76">
        <v>42775.0</v>
      </c>
      <c r="G7376" s="68" t="s">
        <v>28433</v>
      </c>
      <c r="H7376" s="71"/>
      <c r="I7376" s="71"/>
      <c r="J7376" s="68" t="s">
        <v>29495</v>
      </c>
      <c r="K7376" s="76">
        <v>43573.0</v>
      </c>
      <c r="L7376" s="71"/>
      <c r="M7376" s="68" t="s">
        <v>27</v>
      </c>
      <c r="N7376" s="116"/>
      <c r="O7376" s="51"/>
    </row>
    <row r="7377">
      <c r="A7377" s="273"/>
      <c r="B7377" s="71"/>
      <c r="C7377" s="69" t="s">
        <v>29496</v>
      </c>
      <c r="D7377" s="71"/>
      <c r="E7377" s="68" t="s">
        <v>29497</v>
      </c>
      <c r="F7377" s="76">
        <v>42775.0</v>
      </c>
      <c r="G7377" s="68" t="s">
        <v>28433</v>
      </c>
      <c r="H7377" s="71"/>
      <c r="I7377" s="71"/>
      <c r="J7377" s="68" t="s">
        <v>29498</v>
      </c>
      <c r="K7377" s="76">
        <v>43573.0</v>
      </c>
      <c r="L7377" s="71"/>
      <c r="M7377" s="68" t="s">
        <v>27</v>
      </c>
      <c r="N7377" s="116"/>
      <c r="O7377" s="51"/>
    </row>
    <row r="7378">
      <c r="A7378" s="273"/>
      <c r="B7378" s="71"/>
      <c r="C7378" s="69" t="s">
        <v>29499</v>
      </c>
      <c r="D7378" s="71"/>
      <c r="E7378" s="68" t="s">
        <v>29500</v>
      </c>
      <c r="F7378" s="76">
        <v>42775.0</v>
      </c>
      <c r="G7378" s="68" t="s">
        <v>28433</v>
      </c>
      <c r="H7378" s="71"/>
      <c r="I7378" s="71"/>
      <c r="J7378" s="68" t="s">
        <v>28792</v>
      </c>
      <c r="K7378" s="76">
        <v>43573.0</v>
      </c>
      <c r="L7378" s="71"/>
      <c r="M7378" s="68" t="s">
        <v>27</v>
      </c>
      <c r="N7378" s="116"/>
      <c r="O7378" s="51"/>
    </row>
    <row r="7379">
      <c r="A7379" s="273"/>
      <c r="B7379" s="71"/>
      <c r="C7379" s="69" t="s">
        <v>29501</v>
      </c>
      <c r="D7379" s="71"/>
      <c r="E7379" s="68" t="s">
        <v>29502</v>
      </c>
      <c r="F7379" s="76">
        <v>42775.0</v>
      </c>
      <c r="G7379" s="68" t="s">
        <v>29503</v>
      </c>
      <c r="H7379" s="71"/>
      <c r="I7379" s="71"/>
      <c r="J7379" s="68" t="s">
        <v>28792</v>
      </c>
      <c r="K7379" s="76">
        <v>43573.0</v>
      </c>
      <c r="L7379" s="71"/>
      <c r="M7379" s="68" t="s">
        <v>27</v>
      </c>
      <c r="N7379" s="116"/>
      <c r="O7379" s="51"/>
    </row>
    <row r="7380">
      <c r="A7380" s="234"/>
      <c r="B7380" s="71"/>
      <c r="C7380" s="79" t="s">
        <v>29504</v>
      </c>
      <c r="D7380" s="82"/>
      <c r="E7380" s="63" t="s">
        <v>29505</v>
      </c>
      <c r="F7380" s="70">
        <v>42744.0</v>
      </c>
      <c r="G7380" s="63" t="s">
        <v>29506</v>
      </c>
      <c r="H7380" s="82"/>
      <c r="I7380" s="82"/>
      <c r="J7380" s="63" t="s">
        <v>136</v>
      </c>
      <c r="K7380" s="81">
        <v>43573.0</v>
      </c>
      <c r="L7380" s="82"/>
      <c r="M7380" s="80" t="s">
        <v>27</v>
      </c>
      <c r="N7380" s="116"/>
      <c r="O7380" s="51"/>
    </row>
    <row r="7381">
      <c r="A7381" s="273"/>
      <c r="B7381" s="71"/>
      <c r="C7381" s="69" t="s">
        <v>29507</v>
      </c>
      <c r="D7381" s="71"/>
      <c r="E7381" s="68" t="s">
        <v>29508</v>
      </c>
      <c r="F7381" s="76">
        <v>42744.0</v>
      </c>
      <c r="G7381" s="68" t="s">
        <v>28865</v>
      </c>
      <c r="H7381" s="71"/>
      <c r="I7381" s="71"/>
      <c r="J7381" s="68" t="s">
        <v>28792</v>
      </c>
      <c r="K7381" s="76">
        <v>43573.0</v>
      </c>
      <c r="L7381" s="71"/>
      <c r="M7381" s="68" t="s">
        <v>27</v>
      </c>
      <c r="N7381" s="116"/>
      <c r="O7381" s="51"/>
    </row>
    <row r="7382">
      <c r="A7382" s="273"/>
      <c r="B7382" s="71"/>
      <c r="C7382" s="69" t="s">
        <v>29509</v>
      </c>
      <c r="D7382" s="71"/>
      <c r="E7382" s="68" t="s">
        <v>29510</v>
      </c>
      <c r="F7382" s="76">
        <v>42744.0</v>
      </c>
      <c r="G7382" s="68" t="s">
        <v>29459</v>
      </c>
      <c r="H7382" s="71"/>
      <c r="I7382" s="71"/>
      <c r="J7382" s="68" t="s">
        <v>28792</v>
      </c>
      <c r="K7382" s="76">
        <v>43573.0</v>
      </c>
      <c r="L7382" s="71"/>
      <c r="M7382" s="68" t="s">
        <v>27</v>
      </c>
      <c r="N7382" s="116"/>
      <c r="O7382" s="51"/>
    </row>
    <row r="7383">
      <c r="A7383" s="234"/>
      <c r="B7383" s="71"/>
      <c r="C7383" s="79" t="s">
        <v>29511</v>
      </c>
      <c r="D7383" s="82"/>
      <c r="E7383" s="63" t="s">
        <v>29512</v>
      </c>
      <c r="F7383" s="63" t="s">
        <v>29513</v>
      </c>
      <c r="G7383" s="63" t="s">
        <v>29514</v>
      </c>
      <c r="H7383" s="82"/>
      <c r="I7383" s="82"/>
      <c r="J7383" s="63" t="s">
        <v>136</v>
      </c>
      <c r="K7383" s="81">
        <v>43573.0</v>
      </c>
      <c r="L7383" s="82"/>
      <c r="M7383" s="80" t="s">
        <v>27</v>
      </c>
      <c r="N7383" s="116"/>
      <c r="O7383" s="51"/>
    </row>
    <row r="7384">
      <c r="A7384" s="234"/>
      <c r="B7384" s="71"/>
      <c r="C7384" s="79" t="s">
        <v>29515</v>
      </c>
      <c r="D7384" s="82"/>
      <c r="E7384" s="63" t="s">
        <v>29516</v>
      </c>
      <c r="F7384" s="70">
        <v>43078.0</v>
      </c>
      <c r="G7384" s="63" t="s">
        <v>29459</v>
      </c>
      <c r="H7384" s="82"/>
      <c r="I7384" s="82"/>
      <c r="J7384" s="63" t="s">
        <v>136</v>
      </c>
      <c r="K7384" s="81">
        <v>43573.0</v>
      </c>
      <c r="L7384" s="82"/>
      <c r="M7384" s="80" t="s">
        <v>27</v>
      </c>
      <c r="N7384" s="116"/>
      <c r="O7384" s="51"/>
    </row>
    <row r="7385">
      <c r="A7385" s="273"/>
      <c r="B7385" s="71"/>
      <c r="C7385" s="69" t="s">
        <v>29517</v>
      </c>
      <c r="D7385" s="71"/>
      <c r="E7385" s="68" t="s">
        <v>29518</v>
      </c>
      <c r="F7385" s="76">
        <v>43017.0</v>
      </c>
      <c r="G7385" s="68" t="s">
        <v>28260</v>
      </c>
      <c r="H7385" s="71"/>
      <c r="I7385" s="71"/>
      <c r="J7385" s="68" t="s">
        <v>28792</v>
      </c>
      <c r="K7385" s="76">
        <v>43573.0</v>
      </c>
      <c r="L7385" s="71"/>
      <c r="M7385" s="68" t="s">
        <v>27</v>
      </c>
      <c r="N7385" s="116"/>
      <c r="O7385" s="51"/>
    </row>
    <row r="7386">
      <c r="A7386" s="273"/>
      <c r="B7386" s="71"/>
      <c r="C7386" s="69" t="s">
        <v>29519</v>
      </c>
      <c r="D7386" s="71"/>
      <c r="E7386" s="68" t="s">
        <v>29520</v>
      </c>
      <c r="F7386" s="76">
        <v>42956.0</v>
      </c>
      <c r="G7386" s="68" t="s">
        <v>29459</v>
      </c>
      <c r="H7386" s="71"/>
      <c r="I7386" s="71"/>
      <c r="J7386" s="68" t="s">
        <v>28792</v>
      </c>
      <c r="K7386" s="76">
        <v>43573.0</v>
      </c>
      <c r="L7386" s="71"/>
      <c r="M7386" s="68" t="s">
        <v>27</v>
      </c>
      <c r="N7386" s="116"/>
      <c r="O7386" s="51"/>
    </row>
    <row r="7387">
      <c r="A7387" s="273"/>
      <c r="B7387" s="71"/>
      <c r="C7387" s="69" t="s">
        <v>29521</v>
      </c>
      <c r="D7387" s="71"/>
      <c r="E7387" s="68" t="s">
        <v>29522</v>
      </c>
      <c r="F7387" s="76">
        <v>42987.0</v>
      </c>
      <c r="G7387" s="68" t="s">
        <v>29477</v>
      </c>
      <c r="H7387" s="71"/>
      <c r="I7387" s="71"/>
      <c r="J7387" s="68" t="s">
        <v>29523</v>
      </c>
      <c r="K7387" s="76">
        <v>43573.0</v>
      </c>
      <c r="L7387" s="71"/>
      <c r="M7387" s="68" t="s">
        <v>27</v>
      </c>
      <c r="N7387" s="116"/>
      <c r="O7387" s="51"/>
    </row>
    <row r="7388">
      <c r="A7388" s="273"/>
      <c r="B7388" s="71"/>
      <c r="C7388" s="69" t="s">
        <v>29524</v>
      </c>
      <c r="D7388" s="71"/>
      <c r="E7388" s="68" t="s">
        <v>29525</v>
      </c>
      <c r="F7388" s="76">
        <v>42987.0</v>
      </c>
      <c r="G7388" s="68" t="s">
        <v>29459</v>
      </c>
      <c r="H7388" s="71"/>
      <c r="I7388" s="71"/>
      <c r="J7388" s="68" t="s">
        <v>28792</v>
      </c>
      <c r="K7388" s="76">
        <v>43573.0</v>
      </c>
      <c r="L7388" s="71"/>
      <c r="M7388" s="68" t="s">
        <v>27</v>
      </c>
      <c r="N7388" s="116"/>
      <c r="O7388" s="51"/>
    </row>
    <row r="7389">
      <c r="A7389" s="273"/>
      <c r="B7389" s="71"/>
      <c r="C7389" s="69" t="s">
        <v>29526</v>
      </c>
      <c r="D7389" s="71"/>
      <c r="E7389" s="68" t="s">
        <v>29527</v>
      </c>
      <c r="F7389" s="76">
        <v>42993.0</v>
      </c>
      <c r="G7389" s="68" t="s">
        <v>29199</v>
      </c>
      <c r="H7389" s="71"/>
      <c r="I7389" s="71"/>
      <c r="J7389" s="68" t="s">
        <v>29528</v>
      </c>
      <c r="K7389" s="76">
        <v>43573.0</v>
      </c>
      <c r="L7389" s="71"/>
      <c r="M7389" s="68" t="s">
        <v>27</v>
      </c>
      <c r="N7389" s="116"/>
      <c r="O7389" s="51"/>
    </row>
    <row r="7390">
      <c r="A7390" s="273"/>
      <c r="B7390" s="71"/>
      <c r="C7390" s="69" t="s">
        <v>29529</v>
      </c>
      <c r="D7390" s="71"/>
      <c r="E7390" s="68" t="s">
        <v>29530</v>
      </c>
      <c r="F7390" s="76">
        <v>42993.0</v>
      </c>
      <c r="G7390" s="68" t="s">
        <v>29199</v>
      </c>
      <c r="H7390" s="71"/>
      <c r="I7390" s="71"/>
      <c r="J7390" s="68" t="s">
        <v>28792</v>
      </c>
      <c r="K7390" s="76">
        <v>43573.0</v>
      </c>
      <c r="L7390" s="71"/>
      <c r="M7390" s="68" t="s">
        <v>27</v>
      </c>
      <c r="N7390" s="116"/>
      <c r="O7390" s="51"/>
    </row>
    <row r="7391">
      <c r="A7391" s="273"/>
      <c r="B7391" s="71"/>
      <c r="C7391" s="69" t="s">
        <v>29531</v>
      </c>
      <c r="D7391" s="71"/>
      <c r="E7391" s="68" t="s">
        <v>29532</v>
      </c>
      <c r="F7391" s="76">
        <v>42992.0</v>
      </c>
      <c r="G7391" s="68" t="s">
        <v>29533</v>
      </c>
      <c r="H7391" s="71"/>
      <c r="I7391" s="71"/>
      <c r="J7391" s="68" t="s">
        <v>28792</v>
      </c>
      <c r="K7391" s="76">
        <v>43573.0</v>
      </c>
      <c r="L7391" s="71"/>
      <c r="M7391" s="68" t="s">
        <v>27</v>
      </c>
      <c r="N7391" s="116"/>
      <c r="O7391" s="51"/>
    </row>
    <row r="7392">
      <c r="A7392" s="273"/>
      <c r="B7392" s="71"/>
      <c r="C7392" s="69" t="s">
        <v>29534</v>
      </c>
      <c r="D7392" s="71"/>
      <c r="E7392" s="68" t="s">
        <v>29535</v>
      </c>
      <c r="F7392" s="76">
        <v>42992.0</v>
      </c>
      <c r="G7392" s="68" t="s">
        <v>29459</v>
      </c>
      <c r="H7392" s="71"/>
      <c r="I7392" s="71"/>
      <c r="J7392" s="68" t="s">
        <v>28792</v>
      </c>
      <c r="K7392" s="76">
        <v>43573.0</v>
      </c>
      <c r="L7392" s="71"/>
      <c r="M7392" s="68" t="s">
        <v>27</v>
      </c>
      <c r="N7392" s="116"/>
      <c r="O7392" s="51"/>
    </row>
    <row r="7393">
      <c r="A7393" s="273"/>
      <c r="B7393" s="71"/>
      <c r="C7393" s="69" t="s">
        <v>29536</v>
      </c>
      <c r="D7393" s="71"/>
      <c r="E7393" s="68" t="s">
        <v>29537</v>
      </c>
      <c r="F7393" s="76">
        <v>42994.0</v>
      </c>
      <c r="G7393" s="68" t="s">
        <v>29506</v>
      </c>
      <c r="H7393" s="71"/>
      <c r="I7393" s="71"/>
      <c r="J7393" s="68" t="s">
        <v>28792</v>
      </c>
      <c r="K7393" s="76">
        <v>43573.0</v>
      </c>
      <c r="L7393" s="71"/>
      <c r="M7393" s="68" t="s">
        <v>27</v>
      </c>
      <c r="N7393" s="116"/>
      <c r="O7393" s="51"/>
    </row>
    <row r="7394">
      <c r="A7394" s="273"/>
      <c r="B7394" s="71"/>
      <c r="C7394" s="69" t="s">
        <v>29538</v>
      </c>
      <c r="D7394" s="71"/>
      <c r="E7394" s="68" t="s">
        <v>29539</v>
      </c>
      <c r="F7394" s="76">
        <v>42994.0</v>
      </c>
      <c r="G7394" s="68" t="s">
        <v>29506</v>
      </c>
      <c r="H7394" s="71"/>
      <c r="I7394" s="71"/>
      <c r="J7394" s="68" t="s">
        <v>28792</v>
      </c>
      <c r="K7394" s="76">
        <v>43573.0</v>
      </c>
      <c r="L7394" s="71"/>
      <c r="M7394" s="68" t="s">
        <v>27</v>
      </c>
      <c r="N7394" s="116"/>
      <c r="O7394" s="51"/>
    </row>
    <row r="7395">
      <c r="A7395" s="273"/>
      <c r="B7395" s="71"/>
      <c r="C7395" s="69" t="s">
        <v>29540</v>
      </c>
      <c r="D7395" s="71"/>
      <c r="E7395" s="68" t="s">
        <v>29541</v>
      </c>
      <c r="F7395" s="76">
        <v>42998.0</v>
      </c>
      <c r="G7395" s="68" t="s">
        <v>28865</v>
      </c>
      <c r="H7395" s="71"/>
      <c r="I7395" s="71"/>
      <c r="J7395" s="68" t="s">
        <v>28792</v>
      </c>
      <c r="K7395" s="76">
        <v>43573.0</v>
      </c>
      <c r="L7395" s="71"/>
      <c r="M7395" s="68" t="s">
        <v>27</v>
      </c>
      <c r="N7395" s="116"/>
      <c r="O7395" s="51"/>
    </row>
    <row r="7396">
      <c r="A7396" s="273"/>
      <c r="B7396" s="71"/>
      <c r="C7396" s="69" t="s">
        <v>29542</v>
      </c>
      <c r="D7396" s="71"/>
      <c r="E7396" s="68" t="s">
        <v>29543</v>
      </c>
      <c r="F7396" s="76">
        <v>42987.0</v>
      </c>
      <c r="G7396" s="68" t="s">
        <v>29199</v>
      </c>
      <c r="H7396" s="71"/>
      <c r="I7396" s="71"/>
      <c r="J7396" s="68" t="s">
        <v>28792</v>
      </c>
      <c r="K7396" s="76">
        <v>43573.0</v>
      </c>
      <c r="L7396" s="71"/>
      <c r="M7396" s="68" t="s">
        <v>27</v>
      </c>
      <c r="N7396" s="116"/>
      <c r="O7396" s="51"/>
    </row>
    <row r="7397">
      <c r="A7397" s="234"/>
      <c r="B7397" s="71"/>
      <c r="C7397" s="79" t="s">
        <v>29544</v>
      </c>
      <c r="D7397" s="82"/>
      <c r="E7397" s="63" t="s">
        <v>29545</v>
      </c>
      <c r="F7397" s="70">
        <v>43008.0</v>
      </c>
      <c r="G7397" s="63" t="s">
        <v>29514</v>
      </c>
      <c r="H7397" s="82"/>
      <c r="I7397" s="82"/>
      <c r="J7397" s="63" t="s">
        <v>136</v>
      </c>
      <c r="K7397" s="81">
        <v>43573.0</v>
      </c>
      <c r="L7397" s="82"/>
      <c r="M7397" s="80" t="s">
        <v>27</v>
      </c>
      <c r="N7397" s="116"/>
      <c r="O7397" s="51"/>
    </row>
    <row r="7398">
      <c r="A7398" s="273"/>
      <c r="B7398" s="71"/>
      <c r="C7398" s="69" t="s">
        <v>29546</v>
      </c>
      <c r="D7398" s="71"/>
      <c r="E7398" s="68" t="s">
        <v>29547</v>
      </c>
      <c r="F7398" s="76">
        <v>43008.0</v>
      </c>
      <c r="G7398" s="68" t="s">
        <v>28865</v>
      </c>
      <c r="H7398" s="71"/>
      <c r="I7398" s="71"/>
      <c r="J7398" s="68" t="s">
        <v>28792</v>
      </c>
      <c r="K7398" s="76">
        <v>43573.0</v>
      </c>
      <c r="L7398" s="71"/>
      <c r="M7398" s="68" t="s">
        <v>27</v>
      </c>
      <c r="N7398" s="116"/>
      <c r="O7398" s="51"/>
    </row>
    <row r="7399">
      <c r="A7399" s="273"/>
      <c r="B7399" s="71"/>
      <c r="C7399" s="69" t="s">
        <v>29548</v>
      </c>
      <c r="D7399" s="71"/>
      <c r="E7399" s="68" t="s">
        <v>29549</v>
      </c>
      <c r="F7399" s="76">
        <v>43007.0</v>
      </c>
      <c r="G7399" s="68" t="s">
        <v>29550</v>
      </c>
      <c r="H7399" s="71"/>
      <c r="I7399" s="71"/>
      <c r="J7399" s="68" t="s">
        <v>28792</v>
      </c>
      <c r="K7399" s="76">
        <v>43573.0</v>
      </c>
      <c r="L7399" s="71"/>
      <c r="M7399" s="68" t="s">
        <v>27</v>
      </c>
      <c r="N7399" s="116"/>
      <c r="O7399" s="51"/>
    </row>
    <row r="7400">
      <c r="A7400" s="273"/>
      <c r="B7400" s="71"/>
      <c r="C7400" s="69" t="s">
        <v>29551</v>
      </c>
      <c r="D7400" s="71"/>
      <c r="E7400" s="68" t="s">
        <v>29552</v>
      </c>
      <c r="F7400" s="76">
        <v>43007.0</v>
      </c>
      <c r="G7400" s="68" t="s">
        <v>29550</v>
      </c>
      <c r="H7400" s="71"/>
      <c r="I7400" s="71"/>
      <c r="J7400" s="68" t="s">
        <v>28792</v>
      </c>
      <c r="K7400" s="76">
        <v>43573.0</v>
      </c>
      <c r="L7400" s="71"/>
      <c r="M7400" s="68" t="s">
        <v>27</v>
      </c>
      <c r="N7400" s="116"/>
      <c r="O7400" s="51"/>
    </row>
    <row r="7401">
      <c r="A7401" s="273"/>
      <c r="B7401" s="71"/>
      <c r="C7401" s="69" t="s">
        <v>29553</v>
      </c>
      <c r="D7401" s="71"/>
      <c r="E7401" s="68" t="s">
        <v>29554</v>
      </c>
      <c r="F7401" s="76">
        <v>43007.0</v>
      </c>
      <c r="G7401" s="68" t="s">
        <v>28425</v>
      </c>
      <c r="H7401" s="71"/>
      <c r="I7401" s="71"/>
      <c r="J7401" s="68" t="s">
        <v>28792</v>
      </c>
      <c r="K7401" s="76">
        <v>43573.0</v>
      </c>
      <c r="L7401" s="71"/>
      <c r="M7401" s="68" t="s">
        <v>27</v>
      </c>
      <c r="N7401" s="116"/>
      <c r="O7401" s="51"/>
    </row>
    <row r="7402">
      <c r="A7402" s="273"/>
      <c r="B7402" s="71"/>
      <c r="C7402" s="69" t="s">
        <v>29555</v>
      </c>
      <c r="D7402" s="71"/>
      <c r="E7402" s="68" t="s">
        <v>29556</v>
      </c>
      <c r="F7402" s="76">
        <v>43007.0</v>
      </c>
      <c r="G7402" s="68" t="s">
        <v>28425</v>
      </c>
      <c r="H7402" s="71"/>
      <c r="I7402" s="71"/>
      <c r="J7402" s="68" t="s">
        <v>28792</v>
      </c>
      <c r="K7402" s="76">
        <v>43573.0</v>
      </c>
      <c r="L7402" s="71"/>
      <c r="M7402" s="68" t="s">
        <v>27</v>
      </c>
      <c r="N7402" s="116"/>
      <c r="O7402" s="51"/>
    </row>
    <row r="7403">
      <c r="A7403" s="273"/>
      <c r="B7403" s="71"/>
      <c r="C7403" s="69" t="s">
        <v>29557</v>
      </c>
      <c r="D7403" s="71"/>
      <c r="E7403" s="68" t="s">
        <v>29558</v>
      </c>
      <c r="F7403" s="76">
        <v>43007.0</v>
      </c>
      <c r="G7403" s="68" t="s">
        <v>29199</v>
      </c>
      <c r="H7403" s="71"/>
      <c r="I7403" s="71"/>
      <c r="J7403" s="68" t="s">
        <v>28792</v>
      </c>
      <c r="K7403" s="76">
        <v>43573.0</v>
      </c>
      <c r="L7403" s="71"/>
      <c r="M7403" s="68" t="s">
        <v>27</v>
      </c>
      <c r="N7403" s="116"/>
      <c r="O7403" s="51"/>
    </row>
    <row r="7404">
      <c r="A7404" s="273"/>
      <c r="B7404" s="71"/>
      <c r="C7404" s="69" t="s">
        <v>29559</v>
      </c>
      <c r="D7404" s="71"/>
      <c r="E7404" s="68" t="s">
        <v>29560</v>
      </c>
      <c r="F7404" s="76">
        <v>43006.0</v>
      </c>
      <c r="G7404" s="68" t="s">
        <v>28865</v>
      </c>
      <c r="H7404" s="71"/>
      <c r="I7404" s="71"/>
      <c r="J7404" s="68" t="s">
        <v>28792</v>
      </c>
      <c r="K7404" s="76">
        <v>43573.0</v>
      </c>
      <c r="L7404" s="71"/>
      <c r="M7404" s="68" t="s">
        <v>27</v>
      </c>
      <c r="N7404" s="116"/>
      <c r="O7404" s="51"/>
    </row>
    <row r="7405">
      <c r="A7405" s="273"/>
      <c r="B7405" s="71"/>
      <c r="C7405" s="69" t="s">
        <v>29561</v>
      </c>
      <c r="D7405" s="71"/>
      <c r="E7405" s="68" t="s">
        <v>29562</v>
      </c>
      <c r="F7405" s="76">
        <v>43006.0</v>
      </c>
      <c r="G7405" s="68" t="s">
        <v>29563</v>
      </c>
      <c r="H7405" s="71"/>
      <c r="I7405" s="71"/>
      <c r="J7405" s="68" t="s">
        <v>28792</v>
      </c>
      <c r="K7405" s="76">
        <v>43573.0</v>
      </c>
      <c r="L7405" s="71"/>
      <c r="M7405" s="68" t="s">
        <v>27</v>
      </c>
      <c r="N7405" s="116"/>
      <c r="O7405" s="51"/>
    </row>
    <row r="7406">
      <c r="A7406" s="273"/>
      <c r="B7406" s="71"/>
      <c r="C7406" s="69" t="s">
        <v>29564</v>
      </c>
      <c r="D7406" s="71"/>
      <c r="E7406" s="68" t="s">
        <v>29565</v>
      </c>
      <c r="F7406" s="76">
        <v>43006.0</v>
      </c>
      <c r="G7406" s="68" t="s">
        <v>28865</v>
      </c>
      <c r="H7406" s="71"/>
      <c r="I7406" s="71"/>
      <c r="J7406" s="68" t="s">
        <v>28792</v>
      </c>
      <c r="K7406" s="76">
        <v>43573.0</v>
      </c>
      <c r="L7406" s="71"/>
      <c r="M7406" s="68" t="s">
        <v>27</v>
      </c>
      <c r="N7406" s="116"/>
      <c r="O7406" s="51"/>
    </row>
    <row r="7407">
      <c r="A7407" s="273"/>
      <c r="B7407" s="71"/>
      <c r="C7407" s="69" t="s">
        <v>29566</v>
      </c>
      <c r="D7407" s="71"/>
      <c r="E7407" s="68" t="s">
        <v>29567</v>
      </c>
      <c r="F7407" s="76">
        <v>43006.0</v>
      </c>
      <c r="G7407" s="68" t="s">
        <v>29563</v>
      </c>
      <c r="H7407" s="71"/>
      <c r="I7407" s="71"/>
      <c r="J7407" s="68" t="s">
        <v>28792</v>
      </c>
      <c r="K7407" s="76">
        <v>43573.0</v>
      </c>
      <c r="L7407" s="71"/>
      <c r="M7407" s="68" t="s">
        <v>27</v>
      </c>
      <c r="N7407" s="116"/>
      <c r="O7407" s="51"/>
    </row>
    <row r="7408">
      <c r="A7408" s="234"/>
      <c r="B7408" s="71"/>
      <c r="C7408" s="79" t="s">
        <v>29568</v>
      </c>
      <c r="D7408" s="82"/>
      <c r="E7408" s="63" t="s">
        <v>29569</v>
      </c>
      <c r="F7408" s="277">
        <v>43002.0</v>
      </c>
      <c r="G7408" s="63" t="s">
        <v>28433</v>
      </c>
      <c r="H7408" s="82"/>
      <c r="I7408" s="82"/>
      <c r="J7408" s="63" t="s">
        <v>136</v>
      </c>
      <c r="K7408" s="81">
        <v>43573.0</v>
      </c>
      <c r="L7408" s="82"/>
      <c r="M7408" s="80" t="s">
        <v>27</v>
      </c>
      <c r="N7408" s="116"/>
      <c r="O7408" s="51"/>
    </row>
    <row r="7409">
      <c r="A7409" s="234"/>
      <c r="B7409" s="71"/>
      <c r="C7409" s="79" t="s">
        <v>29570</v>
      </c>
      <c r="D7409" s="82"/>
      <c r="E7409" s="63" t="s">
        <v>29571</v>
      </c>
      <c r="F7409" s="65">
        <v>43049.0</v>
      </c>
      <c r="G7409" s="63" t="s">
        <v>29572</v>
      </c>
      <c r="H7409" s="82"/>
      <c r="I7409" s="82"/>
      <c r="J7409" s="63" t="s">
        <v>136</v>
      </c>
      <c r="K7409" s="81">
        <v>43573.0</v>
      </c>
      <c r="L7409" s="82"/>
      <c r="M7409" s="80" t="s">
        <v>27</v>
      </c>
      <c r="N7409" s="116"/>
      <c r="O7409" s="51"/>
    </row>
    <row r="7410">
      <c r="A7410" s="273"/>
      <c r="B7410" s="71"/>
      <c r="C7410" s="69" t="s">
        <v>29573</v>
      </c>
      <c r="D7410" s="71"/>
      <c r="E7410" s="68" t="s">
        <v>29574</v>
      </c>
      <c r="F7410" s="76">
        <v>42835.0</v>
      </c>
      <c r="G7410" s="68" t="s">
        <v>29166</v>
      </c>
      <c r="H7410" s="71"/>
      <c r="I7410" s="71"/>
      <c r="J7410" s="68" t="s">
        <v>28792</v>
      </c>
      <c r="K7410" s="76">
        <v>43573.0</v>
      </c>
      <c r="L7410" s="71"/>
      <c r="M7410" s="68" t="s">
        <v>27</v>
      </c>
      <c r="N7410" s="116"/>
      <c r="O7410" s="51"/>
    </row>
    <row r="7411">
      <c r="A7411" s="273"/>
      <c r="B7411" s="71"/>
      <c r="C7411" s="69" t="s">
        <v>29575</v>
      </c>
      <c r="D7411" s="71"/>
      <c r="E7411" s="68" t="s">
        <v>29576</v>
      </c>
      <c r="F7411" s="76">
        <v>42804.0</v>
      </c>
      <c r="G7411" s="68" t="s">
        <v>29577</v>
      </c>
      <c r="H7411" s="71"/>
      <c r="I7411" s="71"/>
      <c r="J7411" s="68" t="s">
        <v>28792</v>
      </c>
      <c r="K7411" s="76">
        <v>43573.0</v>
      </c>
      <c r="L7411" s="71"/>
      <c r="M7411" s="68" t="s">
        <v>27</v>
      </c>
      <c r="N7411" s="116"/>
      <c r="O7411" s="51"/>
    </row>
    <row r="7412">
      <c r="A7412" s="273"/>
      <c r="B7412" s="71"/>
      <c r="C7412" s="69" t="s">
        <v>29578</v>
      </c>
      <c r="D7412" s="71"/>
      <c r="E7412" s="68" t="s">
        <v>29579</v>
      </c>
      <c r="F7412" s="76">
        <v>43008.0</v>
      </c>
      <c r="G7412" s="68" t="s">
        <v>28865</v>
      </c>
      <c r="H7412" s="71"/>
      <c r="I7412" s="71"/>
      <c r="J7412" s="68" t="s">
        <v>28792</v>
      </c>
      <c r="K7412" s="76">
        <v>43573.0</v>
      </c>
      <c r="L7412" s="71"/>
      <c r="M7412" s="68" t="s">
        <v>27</v>
      </c>
      <c r="N7412" s="116"/>
      <c r="O7412" s="51"/>
    </row>
    <row r="7413">
      <c r="A7413" s="273"/>
      <c r="B7413" s="71"/>
      <c r="C7413" s="69" t="s">
        <v>29580</v>
      </c>
      <c r="D7413" s="71"/>
      <c r="E7413" s="68" t="s">
        <v>29581</v>
      </c>
      <c r="F7413" s="83">
        <v>43049.0</v>
      </c>
      <c r="G7413" s="68" t="s">
        <v>29506</v>
      </c>
      <c r="H7413" s="71"/>
      <c r="I7413" s="71"/>
      <c r="J7413" s="68" t="s">
        <v>28792</v>
      </c>
      <c r="K7413" s="76">
        <v>43573.0</v>
      </c>
      <c r="L7413" s="71"/>
      <c r="M7413" s="68" t="s">
        <v>27</v>
      </c>
      <c r="N7413" s="116"/>
      <c r="O7413" s="51"/>
    </row>
    <row r="7414">
      <c r="A7414" s="273"/>
      <c r="B7414" s="71"/>
      <c r="C7414" s="69" t="s">
        <v>29582</v>
      </c>
      <c r="D7414" s="71"/>
      <c r="E7414" s="68" t="s">
        <v>29583</v>
      </c>
      <c r="F7414" s="83">
        <v>43079.0</v>
      </c>
      <c r="G7414" s="68" t="s">
        <v>29298</v>
      </c>
      <c r="H7414" s="71"/>
      <c r="I7414" s="71"/>
      <c r="J7414" s="68" t="s">
        <v>28792</v>
      </c>
      <c r="K7414" s="76">
        <v>43573.0</v>
      </c>
      <c r="L7414" s="71"/>
      <c r="M7414" s="68" t="s">
        <v>27</v>
      </c>
      <c r="N7414" s="116"/>
      <c r="O7414" s="51"/>
    </row>
    <row r="7415">
      <c r="A7415" s="234"/>
      <c r="B7415" s="71"/>
      <c r="C7415" s="79" t="s">
        <v>29584</v>
      </c>
      <c r="D7415" s="82"/>
      <c r="E7415" s="63" t="s">
        <v>29585</v>
      </c>
      <c r="F7415" s="65">
        <v>43026.0</v>
      </c>
      <c r="G7415" s="63" t="s">
        <v>29586</v>
      </c>
      <c r="H7415" s="82"/>
      <c r="I7415" s="82"/>
      <c r="J7415" s="63" t="s">
        <v>136</v>
      </c>
      <c r="K7415" s="81">
        <v>43573.0</v>
      </c>
      <c r="L7415" s="82"/>
      <c r="M7415" s="80" t="s">
        <v>27</v>
      </c>
      <c r="N7415" s="116"/>
      <c r="O7415" s="51"/>
    </row>
    <row r="7416">
      <c r="A7416" s="273"/>
      <c r="B7416" s="71"/>
      <c r="C7416" s="69" t="s">
        <v>29587</v>
      </c>
      <c r="D7416" s="71"/>
      <c r="E7416" s="68" t="s">
        <v>29588</v>
      </c>
      <c r="F7416" s="68" t="s">
        <v>29589</v>
      </c>
      <c r="G7416" s="68" t="s">
        <v>29590</v>
      </c>
      <c r="H7416" s="71"/>
      <c r="I7416" s="71"/>
      <c r="J7416" s="68" t="s">
        <v>29591</v>
      </c>
      <c r="K7416" s="76">
        <v>43573.0</v>
      </c>
      <c r="L7416" s="71"/>
      <c r="M7416" s="68" t="s">
        <v>27</v>
      </c>
      <c r="N7416" s="116"/>
      <c r="O7416" s="51"/>
    </row>
    <row r="7417">
      <c r="A7417" s="273"/>
      <c r="B7417" s="71"/>
      <c r="C7417" s="69" t="s">
        <v>29592</v>
      </c>
      <c r="D7417" s="71"/>
      <c r="E7417" s="68" t="s">
        <v>29593</v>
      </c>
      <c r="F7417" s="83">
        <v>43024.0</v>
      </c>
      <c r="G7417" s="68" t="s">
        <v>29594</v>
      </c>
      <c r="H7417" s="71"/>
      <c r="I7417" s="71"/>
      <c r="J7417" s="68" t="s">
        <v>28792</v>
      </c>
      <c r="K7417" s="76">
        <v>43573.0</v>
      </c>
      <c r="L7417" s="71"/>
      <c r="M7417" s="68" t="s">
        <v>27</v>
      </c>
      <c r="N7417" s="116"/>
      <c r="O7417" s="51"/>
    </row>
    <row r="7418">
      <c r="A7418" s="273"/>
      <c r="B7418" s="71"/>
      <c r="C7418" s="69" t="s">
        <v>29595</v>
      </c>
      <c r="D7418" s="71"/>
      <c r="E7418" s="68" t="s">
        <v>29596</v>
      </c>
      <c r="F7418" s="83">
        <v>43024.0</v>
      </c>
      <c r="G7418" s="68" t="s">
        <v>29594</v>
      </c>
      <c r="H7418" s="71"/>
      <c r="I7418" s="71"/>
      <c r="J7418" s="68" t="s">
        <v>29597</v>
      </c>
      <c r="K7418" s="76">
        <v>43573.0</v>
      </c>
      <c r="L7418" s="71"/>
      <c r="M7418" s="68" t="s">
        <v>27</v>
      </c>
      <c r="N7418" s="116"/>
      <c r="O7418" s="51"/>
    </row>
    <row r="7419">
      <c r="A7419" s="234"/>
      <c r="B7419" s="71"/>
      <c r="C7419" s="79" t="s">
        <v>29598</v>
      </c>
      <c r="D7419" s="82"/>
      <c r="E7419" s="63" t="s">
        <v>29599</v>
      </c>
      <c r="F7419" s="65">
        <v>43024.0</v>
      </c>
      <c r="G7419" s="63" t="s">
        <v>29600</v>
      </c>
      <c r="H7419" s="82"/>
      <c r="I7419" s="82"/>
      <c r="J7419" s="63" t="s">
        <v>136</v>
      </c>
      <c r="K7419" s="81">
        <v>43573.0</v>
      </c>
      <c r="L7419" s="82"/>
      <c r="M7419" s="80" t="s">
        <v>27</v>
      </c>
      <c r="N7419" s="116"/>
      <c r="O7419" s="51"/>
    </row>
    <row r="7420">
      <c r="A7420" s="234"/>
      <c r="B7420" s="71"/>
      <c r="C7420" s="79" t="s">
        <v>29601</v>
      </c>
      <c r="D7420" s="82"/>
      <c r="E7420" s="63" t="s">
        <v>29602</v>
      </c>
      <c r="F7420" s="65">
        <v>43024.0</v>
      </c>
      <c r="G7420" s="63" t="s">
        <v>29600</v>
      </c>
      <c r="H7420" s="82"/>
      <c r="I7420" s="82"/>
      <c r="J7420" s="63" t="s">
        <v>136</v>
      </c>
      <c r="K7420" s="81">
        <v>43573.0</v>
      </c>
      <c r="L7420" s="82"/>
      <c r="M7420" s="80" t="s">
        <v>27</v>
      </c>
      <c r="N7420" s="116"/>
      <c r="O7420" s="51"/>
    </row>
    <row r="7421">
      <c r="A7421" s="234"/>
      <c r="B7421" s="71"/>
      <c r="C7421" s="79" t="s">
        <v>29603</v>
      </c>
      <c r="D7421" s="82"/>
      <c r="E7421" s="63" t="s">
        <v>29604</v>
      </c>
      <c r="F7421" s="65">
        <v>43024.0</v>
      </c>
      <c r="G7421" s="63" t="s">
        <v>29600</v>
      </c>
      <c r="H7421" s="82"/>
      <c r="I7421" s="82"/>
      <c r="J7421" s="63" t="s">
        <v>136</v>
      </c>
      <c r="K7421" s="81">
        <v>43573.0</v>
      </c>
      <c r="L7421" s="82"/>
      <c r="M7421" s="80" t="s">
        <v>27</v>
      </c>
      <c r="N7421" s="116"/>
      <c r="O7421" s="51"/>
    </row>
    <row r="7422">
      <c r="A7422" s="273"/>
      <c r="B7422" s="71"/>
      <c r="C7422" s="69" t="s">
        <v>29605</v>
      </c>
      <c r="D7422" s="71"/>
      <c r="E7422" s="68" t="s">
        <v>29606</v>
      </c>
      <c r="F7422" s="83">
        <v>43023.0</v>
      </c>
      <c r="G7422" s="68" t="s">
        <v>28807</v>
      </c>
      <c r="H7422" s="71"/>
      <c r="I7422" s="71"/>
      <c r="J7422" s="68" t="s">
        <v>28792</v>
      </c>
      <c r="K7422" s="76">
        <v>43573.0</v>
      </c>
      <c r="L7422" s="71"/>
      <c r="M7422" s="68" t="s">
        <v>27</v>
      </c>
      <c r="N7422" s="116"/>
      <c r="O7422" s="51"/>
    </row>
    <row r="7423">
      <c r="A7423" s="273"/>
      <c r="B7423" s="71"/>
      <c r="C7423" s="69" t="s">
        <v>29607</v>
      </c>
      <c r="D7423" s="71"/>
      <c r="E7423" s="68" t="s">
        <v>29608</v>
      </c>
      <c r="F7423" s="83">
        <v>43022.0</v>
      </c>
      <c r="G7423" s="68" t="s">
        <v>29298</v>
      </c>
      <c r="H7423" s="71"/>
      <c r="I7423" s="71"/>
      <c r="J7423" s="68" t="s">
        <v>28792</v>
      </c>
      <c r="K7423" s="76">
        <v>43573.0</v>
      </c>
      <c r="L7423" s="71"/>
      <c r="M7423" s="68" t="s">
        <v>27</v>
      </c>
      <c r="N7423" s="116"/>
      <c r="O7423" s="51"/>
    </row>
    <row r="7424">
      <c r="A7424" s="273"/>
      <c r="B7424" s="71"/>
      <c r="C7424" s="69" t="s">
        <v>29609</v>
      </c>
      <c r="D7424" s="71"/>
      <c r="E7424" s="68" t="s">
        <v>29610</v>
      </c>
      <c r="F7424" s="83">
        <v>43021.0</v>
      </c>
      <c r="G7424" s="68" t="s">
        <v>29298</v>
      </c>
      <c r="H7424" s="71"/>
      <c r="I7424" s="71"/>
      <c r="J7424" s="68" t="s">
        <v>28792</v>
      </c>
      <c r="K7424" s="76">
        <v>43573.0</v>
      </c>
      <c r="L7424" s="71"/>
      <c r="M7424" s="68" t="s">
        <v>27</v>
      </c>
      <c r="N7424" s="116"/>
      <c r="O7424" s="51"/>
    </row>
    <row r="7425">
      <c r="A7425" s="273"/>
      <c r="B7425" s="71"/>
      <c r="C7425" s="69" t="s">
        <v>29611</v>
      </c>
      <c r="D7425" s="71"/>
      <c r="E7425" s="68" t="s">
        <v>29612</v>
      </c>
      <c r="F7425" s="83">
        <v>43026.0</v>
      </c>
      <c r="G7425" s="68" t="s">
        <v>29283</v>
      </c>
      <c r="H7425" s="71"/>
      <c r="I7425" s="71"/>
      <c r="J7425" s="68" t="s">
        <v>28792</v>
      </c>
      <c r="K7425" s="76">
        <v>43573.0</v>
      </c>
      <c r="L7425" s="71"/>
      <c r="M7425" s="68" t="s">
        <v>27</v>
      </c>
      <c r="N7425" s="116"/>
      <c r="O7425" s="51"/>
    </row>
    <row r="7426">
      <c r="A7426" s="273"/>
      <c r="B7426" s="71"/>
      <c r="C7426" s="69" t="s">
        <v>29613</v>
      </c>
      <c r="D7426" s="71"/>
      <c r="E7426" s="68" t="s">
        <v>29614</v>
      </c>
      <c r="F7426" s="83">
        <v>43026.0</v>
      </c>
      <c r="G7426" s="68" t="s">
        <v>29283</v>
      </c>
      <c r="H7426" s="71"/>
      <c r="I7426" s="71"/>
      <c r="J7426" s="68" t="s">
        <v>28792</v>
      </c>
      <c r="K7426" s="76">
        <v>43573.0</v>
      </c>
      <c r="L7426" s="71"/>
      <c r="M7426" s="68" t="s">
        <v>27</v>
      </c>
      <c r="N7426" s="116"/>
      <c r="O7426" s="51"/>
    </row>
    <row r="7427">
      <c r="A7427" s="273"/>
      <c r="B7427" s="71"/>
      <c r="C7427" s="69" t="s">
        <v>29615</v>
      </c>
      <c r="D7427" s="71"/>
      <c r="E7427" s="68" t="s">
        <v>29616</v>
      </c>
      <c r="F7427" s="83">
        <v>43033.0</v>
      </c>
      <c r="G7427" s="68" t="s">
        <v>29199</v>
      </c>
      <c r="H7427" s="71"/>
      <c r="I7427" s="71"/>
      <c r="J7427" s="68" t="s">
        <v>28792</v>
      </c>
      <c r="K7427" s="76">
        <v>43573.0</v>
      </c>
      <c r="L7427" s="71"/>
      <c r="M7427" s="68" t="s">
        <v>27</v>
      </c>
      <c r="N7427" s="116"/>
      <c r="O7427" s="51"/>
    </row>
    <row r="7428">
      <c r="A7428" s="273"/>
      <c r="B7428" s="71"/>
      <c r="C7428" s="69" t="s">
        <v>29617</v>
      </c>
      <c r="D7428" s="71"/>
      <c r="E7428" s="68" t="s">
        <v>29618</v>
      </c>
      <c r="F7428" s="83">
        <v>43033.0</v>
      </c>
      <c r="G7428" s="68" t="s">
        <v>29619</v>
      </c>
      <c r="H7428" s="71"/>
      <c r="I7428" s="71"/>
      <c r="J7428" s="68" t="s">
        <v>29620</v>
      </c>
      <c r="K7428" s="76">
        <v>43573.0</v>
      </c>
      <c r="L7428" s="71"/>
      <c r="M7428" s="68" t="s">
        <v>27</v>
      </c>
      <c r="N7428" s="116"/>
      <c r="O7428" s="51"/>
    </row>
    <row r="7429">
      <c r="A7429" s="273"/>
      <c r="B7429" s="71"/>
      <c r="C7429" s="69" t="s">
        <v>29621</v>
      </c>
      <c r="D7429" s="71"/>
      <c r="E7429" s="68" t="s">
        <v>29622</v>
      </c>
      <c r="F7429" s="83">
        <v>43030.0</v>
      </c>
      <c r="G7429" s="68" t="s">
        <v>29212</v>
      </c>
      <c r="H7429" s="71"/>
      <c r="I7429" s="71"/>
      <c r="J7429" s="68" t="s">
        <v>29623</v>
      </c>
      <c r="K7429" s="76">
        <v>43573.0</v>
      </c>
      <c r="L7429" s="71"/>
      <c r="M7429" s="68" t="s">
        <v>27</v>
      </c>
      <c r="N7429" s="116"/>
      <c r="O7429" s="51"/>
    </row>
    <row r="7430">
      <c r="A7430" s="273"/>
      <c r="B7430" s="71"/>
      <c r="C7430" s="69" t="s">
        <v>29624</v>
      </c>
      <c r="D7430" s="71"/>
      <c r="E7430" s="68" t="s">
        <v>29625</v>
      </c>
      <c r="F7430" s="83">
        <v>43030.0</v>
      </c>
      <c r="G7430" s="68" t="s">
        <v>29212</v>
      </c>
      <c r="H7430" s="71"/>
      <c r="I7430" s="71"/>
      <c r="J7430" s="68" t="s">
        <v>29626</v>
      </c>
      <c r="K7430" s="76">
        <v>43573.0</v>
      </c>
      <c r="L7430" s="71"/>
      <c r="M7430" s="68" t="s">
        <v>27</v>
      </c>
      <c r="N7430" s="116"/>
      <c r="O7430" s="51"/>
    </row>
    <row r="7431">
      <c r="A7431" s="273"/>
      <c r="B7431" s="71"/>
      <c r="C7431" s="69" t="s">
        <v>29627</v>
      </c>
      <c r="D7431" s="71"/>
      <c r="E7431" s="68" t="s">
        <v>29628</v>
      </c>
      <c r="F7431" s="83">
        <v>43030.0</v>
      </c>
      <c r="G7431" s="68" t="s">
        <v>29317</v>
      </c>
      <c r="H7431" s="71"/>
      <c r="I7431" s="71"/>
      <c r="J7431" s="68" t="s">
        <v>29629</v>
      </c>
      <c r="K7431" s="76">
        <v>43573.0</v>
      </c>
      <c r="L7431" s="71"/>
      <c r="M7431" s="68" t="s">
        <v>27</v>
      </c>
      <c r="N7431" s="116"/>
      <c r="O7431" s="51"/>
    </row>
    <row r="7432">
      <c r="A7432" s="273"/>
      <c r="B7432" s="71"/>
      <c r="C7432" s="69" t="s">
        <v>29630</v>
      </c>
      <c r="D7432" s="71"/>
      <c r="E7432" s="68" t="s">
        <v>29631</v>
      </c>
      <c r="F7432" s="83">
        <v>43030.0</v>
      </c>
      <c r="G7432" s="68" t="s">
        <v>29632</v>
      </c>
      <c r="H7432" s="71"/>
      <c r="I7432" s="71"/>
      <c r="J7432" s="68" t="s">
        <v>29633</v>
      </c>
      <c r="K7432" s="76">
        <v>43573.0</v>
      </c>
      <c r="L7432" s="71"/>
      <c r="M7432" s="68" t="s">
        <v>27</v>
      </c>
      <c r="N7432" s="116"/>
      <c r="O7432" s="51"/>
    </row>
    <row r="7433">
      <c r="A7433" s="273"/>
      <c r="B7433" s="71"/>
      <c r="C7433" s="69" t="s">
        <v>29634</v>
      </c>
      <c r="D7433" s="71"/>
      <c r="E7433" s="68" t="s">
        <v>29635</v>
      </c>
      <c r="F7433" s="83">
        <v>43030.0</v>
      </c>
      <c r="G7433" s="68" t="s">
        <v>29636</v>
      </c>
      <c r="H7433" s="71"/>
      <c r="I7433" s="71"/>
      <c r="J7433" s="68" t="s">
        <v>29637</v>
      </c>
      <c r="K7433" s="76">
        <v>43573.0</v>
      </c>
      <c r="L7433" s="71"/>
      <c r="M7433" s="68" t="s">
        <v>27</v>
      </c>
      <c r="N7433" s="116"/>
      <c r="O7433" s="51"/>
    </row>
    <row r="7434">
      <c r="A7434" s="234"/>
      <c r="B7434" s="71"/>
      <c r="C7434" s="79" t="s">
        <v>29638</v>
      </c>
      <c r="D7434" s="82"/>
      <c r="E7434" s="63" t="s">
        <v>29639</v>
      </c>
      <c r="F7434" s="65">
        <v>43028.0</v>
      </c>
      <c r="G7434" s="63" t="s">
        <v>29212</v>
      </c>
      <c r="H7434" s="82"/>
      <c r="I7434" s="82"/>
      <c r="J7434" s="63" t="s">
        <v>136</v>
      </c>
      <c r="K7434" s="81">
        <v>43573.0</v>
      </c>
      <c r="L7434" s="82"/>
      <c r="M7434" s="80" t="s">
        <v>27</v>
      </c>
      <c r="N7434" s="116"/>
      <c r="O7434" s="51"/>
    </row>
    <row r="7435">
      <c r="A7435" s="234"/>
      <c r="B7435" s="71"/>
      <c r="C7435" s="79" t="s">
        <v>29640</v>
      </c>
      <c r="D7435" s="82"/>
      <c r="E7435" s="63" t="s">
        <v>29641</v>
      </c>
      <c r="F7435" s="65">
        <v>43028.0</v>
      </c>
      <c r="G7435" s="63" t="s">
        <v>29212</v>
      </c>
      <c r="H7435" s="82"/>
      <c r="I7435" s="82"/>
      <c r="J7435" s="63" t="s">
        <v>136</v>
      </c>
      <c r="K7435" s="81">
        <v>43573.0</v>
      </c>
      <c r="L7435" s="82"/>
      <c r="M7435" s="80" t="s">
        <v>27</v>
      </c>
      <c r="N7435" s="116"/>
      <c r="O7435" s="51"/>
    </row>
    <row r="7436">
      <c r="A7436" s="234"/>
      <c r="B7436" s="71"/>
      <c r="C7436" s="79" t="s">
        <v>29642</v>
      </c>
      <c r="D7436" s="82"/>
      <c r="E7436" s="63" t="s">
        <v>29643</v>
      </c>
      <c r="F7436" s="65">
        <v>43036.0</v>
      </c>
      <c r="G7436" s="63" t="s">
        <v>28882</v>
      </c>
      <c r="H7436" s="82"/>
      <c r="I7436" s="82"/>
      <c r="J7436" s="63" t="s">
        <v>136</v>
      </c>
      <c r="K7436" s="81">
        <v>43573.0</v>
      </c>
      <c r="L7436" s="82"/>
      <c r="M7436" s="80" t="s">
        <v>27</v>
      </c>
      <c r="N7436" s="116"/>
      <c r="O7436" s="51"/>
    </row>
    <row r="7437">
      <c r="A7437" s="273"/>
      <c r="B7437" s="71"/>
      <c r="C7437" s="69" t="s">
        <v>29644</v>
      </c>
      <c r="D7437" s="71"/>
      <c r="E7437" s="68" t="s">
        <v>29645</v>
      </c>
      <c r="F7437" s="76">
        <v>42777.0</v>
      </c>
      <c r="G7437" s="68" t="s">
        <v>29646</v>
      </c>
      <c r="H7437" s="71"/>
      <c r="I7437" s="71"/>
      <c r="J7437" s="68" t="s">
        <v>29647</v>
      </c>
      <c r="K7437" s="76">
        <v>43573.0</v>
      </c>
      <c r="L7437" s="71"/>
      <c r="M7437" s="68" t="s">
        <v>27</v>
      </c>
      <c r="N7437" s="116"/>
      <c r="O7437" s="51"/>
    </row>
    <row r="7438">
      <c r="A7438" s="273"/>
      <c r="B7438" s="71"/>
      <c r="C7438" s="69" t="s">
        <v>29648</v>
      </c>
      <c r="D7438" s="71"/>
      <c r="E7438" s="68" t="s">
        <v>29649</v>
      </c>
      <c r="F7438" s="83">
        <v>43038.0</v>
      </c>
      <c r="G7438" s="68" t="s">
        <v>29650</v>
      </c>
      <c r="H7438" s="71"/>
      <c r="I7438" s="71"/>
      <c r="J7438" s="68" t="s">
        <v>29651</v>
      </c>
      <c r="K7438" s="76">
        <v>43573.0</v>
      </c>
      <c r="L7438" s="71"/>
      <c r="M7438" s="68" t="s">
        <v>27</v>
      </c>
      <c r="N7438" s="116"/>
      <c r="O7438" s="51"/>
    </row>
    <row r="7439">
      <c r="A7439" s="273"/>
      <c r="B7439" s="71"/>
      <c r="C7439" s="69" t="s">
        <v>29652</v>
      </c>
      <c r="D7439" s="71"/>
      <c r="E7439" s="68" t="s">
        <v>29653</v>
      </c>
      <c r="F7439" s="83">
        <v>43038.0</v>
      </c>
      <c r="G7439" s="68" t="s">
        <v>29650</v>
      </c>
      <c r="H7439" s="71"/>
      <c r="I7439" s="71"/>
      <c r="J7439" s="68" t="s">
        <v>29654</v>
      </c>
      <c r="K7439" s="76">
        <v>43573.0</v>
      </c>
      <c r="L7439" s="71"/>
      <c r="M7439" s="68" t="s">
        <v>27</v>
      </c>
      <c r="N7439" s="116"/>
      <c r="O7439" s="51"/>
    </row>
    <row r="7440">
      <c r="A7440" s="273"/>
      <c r="B7440" s="71"/>
      <c r="C7440" s="69" t="s">
        <v>29655</v>
      </c>
      <c r="D7440" s="71"/>
      <c r="E7440" s="68" t="s">
        <v>29656</v>
      </c>
      <c r="F7440" s="83">
        <v>43038.0</v>
      </c>
      <c r="G7440" s="68" t="s">
        <v>29650</v>
      </c>
      <c r="H7440" s="71"/>
      <c r="I7440" s="71"/>
      <c r="J7440" s="68" t="s">
        <v>29657</v>
      </c>
      <c r="K7440" s="76">
        <v>43573.0</v>
      </c>
      <c r="L7440" s="71"/>
      <c r="M7440" s="68" t="s">
        <v>27</v>
      </c>
      <c r="N7440" s="116"/>
      <c r="O7440" s="51"/>
    </row>
    <row r="7441">
      <c r="A7441" s="273"/>
      <c r="B7441" s="71"/>
      <c r="C7441" s="69" t="s">
        <v>29658</v>
      </c>
      <c r="D7441" s="71"/>
      <c r="E7441" s="68" t="s">
        <v>29659</v>
      </c>
      <c r="F7441" s="83">
        <v>43038.0</v>
      </c>
      <c r="G7441" s="68" t="s">
        <v>29650</v>
      </c>
      <c r="H7441" s="71"/>
      <c r="I7441" s="71"/>
      <c r="J7441" s="68" t="s">
        <v>29660</v>
      </c>
      <c r="K7441" s="76">
        <v>43573.0</v>
      </c>
      <c r="L7441" s="71"/>
      <c r="M7441" s="68" t="s">
        <v>27</v>
      </c>
      <c r="N7441" s="116"/>
      <c r="O7441" s="51"/>
    </row>
    <row r="7442">
      <c r="A7442" s="273"/>
      <c r="B7442" s="71"/>
      <c r="C7442" s="69" t="s">
        <v>29661</v>
      </c>
      <c r="D7442" s="71"/>
      <c r="E7442" s="68" t="s">
        <v>29662</v>
      </c>
      <c r="F7442" s="83">
        <v>43038.0</v>
      </c>
      <c r="G7442" s="68" t="s">
        <v>29650</v>
      </c>
      <c r="H7442" s="71"/>
      <c r="I7442" s="71"/>
      <c r="J7442" s="68" t="s">
        <v>29663</v>
      </c>
      <c r="K7442" s="76">
        <v>43573.0</v>
      </c>
      <c r="L7442" s="71"/>
      <c r="M7442" s="68" t="s">
        <v>27</v>
      </c>
      <c r="N7442" s="116"/>
      <c r="O7442" s="51"/>
    </row>
    <row r="7443">
      <c r="A7443" s="273"/>
      <c r="B7443" s="71"/>
      <c r="C7443" s="69" t="s">
        <v>29664</v>
      </c>
      <c r="D7443" s="71"/>
      <c r="E7443" s="68" t="s">
        <v>29665</v>
      </c>
      <c r="F7443" s="83">
        <v>43038.0</v>
      </c>
      <c r="G7443" s="68" t="s">
        <v>29650</v>
      </c>
      <c r="H7443" s="71"/>
      <c r="I7443" s="71"/>
      <c r="J7443" s="68" t="s">
        <v>29666</v>
      </c>
      <c r="K7443" s="76">
        <v>43573.0</v>
      </c>
      <c r="L7443" s="71"/>
      <c r="M7443" s="68" t="s">
        <v>27</v>
      </c>
      <c r="N7443" s="116"/>
      <c r="O7443" s="51"/>
    </row>
    <row r="7444">
      <c r="A7444" s="273"/>
      <c r="B7444" s="71"/>
      <c r="C7444" s="69" t="s">
        <v>29667</v>
      </c>
      <c r="D7444" s="71"/>
      <c r="E7444" s="68" t="s">
        <v>29668</v>
      </c>
      <c r="F7444" s="83">
        <v>43038.0</v>
      </c>
      <c r="G7444" s="68" t="s">
        <v>29650</v>
      </c>
      <c r="H7444" s="71"/>
      <c r="I7444" s="71"/>
      <c r="J7444" s="68" t="s">
        <v>29669</v>
      </c>
      <c r="K7444" s="76">
        <v>43573.0</v>
      </c>
      <c r="L7444" s="71"/>
      <c r="M7444" s="68" t="s">
        <v>27</v>
      </c>
      <c r="N7444" s="116"/>
      <c r="O7444" s="51"/>
    </row>
    <row r="7445">
      <c r="A7445" s="273"/>
      <c r="B7445" s="71"/>
      <c r="C7445" s="69" t="s">
        <v>29670</v>
      </c>
      <c r="D7445" s="71"/>
      <c r="E7445" s="68" t="s">
        <v>29671</v>
      </c>
      <c r="F7445" s="83">
        <v>43038.0</v>
      </c>
      <c r="G7445" s="68" t="s">
        <v>29650</v>
      </c>
      <c r="H7445" s="71"/>
      <c r="I7445" s="71"/>
      <c r="J7445" s="68" t="s">
        <v>29672</v>
      </c>
      <c r="K7445" s="76">
        <v>43573.0</v>
      </c>
      <c r="L7445" s="71"/>
      <c r="M7445" s="68" t="s">
        <v>27</v>
      </c>
      <c r="N7445" s="116"/>
      <c r="O7445" s="51"/>
    </row>
    <row r="7446">
      <c r="A7446" s="273"/>
      <c r="B7446" s="71"/>
      <c r="C7446" s="69" t="s">
        <v>29673</v>
      </c>
      <c r="D7446" s="71"/>
      <c r="E7446" s="68" t="s">
        <v>29674</v>
      </c>
      <c r="F7446" s="83">
        <v>43038.0</v>
      </c>
      <c r="G7446" s="68" t="s">
        <v>29650</v>
      </c>
      <c r="H7446" s="71"/>
      <c r="I7446" s="71"/>
      <c r="J7446" s="68" t="s">
        <v>29675</v>
      </c>
      <c r="K7446" s="76">
        <v>43573.0</v>
      </c>
      <c r="L7446" s="71"/>
      <c r="M7446" s="68" t="s">
        <v>27</v>
      </c>
      <c r="N7446" s="116"/>
      <c r="O7446" s="51"/>
    </row>
    <row r="7447">
      <c r="A7447" s="273"/>
      <c r="B7447" s="71"/>
      <c r="C7447" s="69" t="s">
        <v>29676</v>
      </c>
      <c r="D7447" s="71"/>
      <c r="E7447" s="68" t="s">
        <v>29677</v>
      </c>
      <c r="F7447" s="83">
        <v>43038.0</v>
      </c>
      <c r="G7447" s="68" t="s">
        <v>29650</v>
      </c>
      <c r="H7447" s="71"/>
      <c r="I7447" s="71"/>
      <c r="J7447" s="68" t="s">
        <v>29678</v>
      </c>
      <c r="K7447" s="76">
        <v>43573.0</v>
      </c>
      <c r="L7447" s="71"/>
      <c r="M7447" s="68" t="s">
        <v>27</v>
      </c>
      <c r="N7447" s="116"/>
      <c r="O7447" s="51"/>
    </row>
    <row r="7448">
      <c r="A7448" s="273"/>
      <c r="B7448" s="71"/>
      <c r="C7448" s="69" t="s">
        <v>29679</v>
      </c>
      <c r="D7448" s="71"/>
      <c r="E7448" s="68" t="s">
        <v>29680</v>
      </c>
      <c r="F7448" s="76">
        <v>42927.0</v>
      </c>
      <c r="G7448" s="68" t="s">
        <v>29681</v>
      </c>
      <c r="H7448" s="71"/>
      <c r="I7448" s="71"/>
      <c r="J7448" s="68" t="s">
        <v>29682</v>
      </c>
      <c r="K7448" s="76">
        <v>43573.0</v>
      </c>
      <c r="L7448" s="71"/>
      <c r="M7448" s="68" t="s">
        <v>27</v>
      </c>
      <c r="N7448" s="116"/>
      <c r="O7448" s="51"/>
    </row>
    <row r="7449">
      <c r="A7449" s="273"/>
      <c r="B7449" s="71"/>
      <c r="C7449" s="69" t="s">
        <v>29683</v>
      </c>
      <c r="D7449" s="71"/>
      <c r="E7449" s="68" t="s">
        <v>29684</v>
      </c>
      <c r="F7449" s="76">
        <v>42927.0</v>
      </c>
      <c r="G7449" s="68" t="s">
        <v>29685</v>
      </c>
      <c r="H7449" s="71"/>
      <c r="I7449" s="71"/>
      <c r="J7449" s="68" t="s">
        <v>29686</v>
      </c>
      <c r="K7449" s="76">
        <v>43573.0</v>
      </c>
      <c r="L7449" s="71"/>
      <c r="M7449" s="68" t="s">
        <v>27</v>
      </c>
      <c r="N7449" s="116"/>
      <c r="O7449" s="51"/>
    </row>
    <row r="7450">
      <c r="A7450" s="273"/>
      <c r="B7450" s="71"/>
      <c r="C7450" s="69" t="s">
        <v>29687</v>
      </c>
      <c r="D7450" s="71"/>
      <c r="E7450" s="68" t="s">
        <v>29688</v>
      </c>
      <c r="F7450" s="76">
        <v>42927.0</v>
      </c>
      <c r="G7450" s="68" t="s">
        <v>29685</v>
      </c>
      <c r="H7450" s="71"/>
      <c r="I7450" s="71"/>
      <c r="J7450" s="68" t="s">
        <v>29689</v>
      </c>
      <c r="K7450" s="76">
        <v>43573.0</v>
      </c>
      <c r="L7450" s="71"/>
      <c r="M7450" s="68" t="s">
        <v>27</v>
      </c>
      <c r="N7450" s="116"/>
      <c r="O7450" s="51"/>
    </row>
    <row r="7451">
      <c r="A7451" s="273"/>
      <c r="B7451" s="71"/>
      <c r="C7451" s="69" t="s">
        <v>29690</v>
      </c>
      <c r="D7451" s="71"/>
      <c r="E7451" s="68" t="s">
        <v>29691</v>
      </c>
      <c r="F7451" s="76">
        <v>42897.0</v>
      </c>
      <c r="G7451" s="68" t="s">
        <v>29692</v>
      </c>
      <c r="H7451" s="71"/>
      <c r="I7451" s="71"/>
      <c r="J7451" s="68" t="s">
        <v>29693</v>
      </c>
      <c r="K7451" s="76">
        <v>43573.0</v>
      </c>
      <c r="L7451" s="71"/>
      <c r="M7451" s="68" t="s">
        <v>27</v>
      </c>
      <c r="N7451" s="116"/>
      <c r="O7451" s="51"/>
    </row>
    <row r="7452">
      <c r="A7452" s="273"/>
      <c r="B7452" s="71"/>
      <c r="C7452" s="69" t="s">
        <v>29694</v>
      </c>
      <c r="D7452" s="71"/>
      <c r="E7452" s="68" t="s">
        <v>29695</v>
      </c>
      <c r="F7452" s="76">
        <v>42897.0</v>
      </c>
      <c r="G7452" s="68" t="s">
        <v>29696</v>
      </c>
      <c r="H7452" s="71"/>
      <c r="I7452" s="71"/>
      <c r="J7452" s="68" t="s">
        <v>29697</v>
      </c>
      <c r="K7452" s="76">
        <v>43573.0</v>
      </c>
      <c r="L7452" s="71"/>
      <c r="M7452" s="68" t="s">
        <v>27</v>
      </c>
      <c r="N7452" s="116"/>
      <c r="O7452" s="51"/>
    </row>
    <row r="7453">
      <c r="A7453" s="273"/>
      <c r="B7453" s="71"/>
      <c r="C7453" s="69" t="s">
        <v>29698</v>
      </c>
      <c r="D7453" s="71"/>
      <c r="E7453" s="68" t="s">
        <v>29699</v>
      </c>
      <c r="F7453" s="76">
        <v>42897.0</v>
      </c>
      <c r="G7453" s="68" t="s">
        <v>29700</v>
      </c>
      <c r="H7453" s="71"/>
      <c r="I7453" s="71"/>
      <c r="J7453" s="68" t="s">
        <v>29701</v>
      </c>
      <c r="K7453" s="76">
        <v>43573.0</v>
      </c>
      <c r="L7453" s="71"/>
      <c r="M7453" s="68" t="s">
        <v>27</v>
      </c>
      <c r="N7453" s="116"/>
      <c r="O7453" s="51"/>
    </row>
    <row r="7454">
      <c r="A7454" s="273"/>
      <c r="B7454" s="71"/>
      <c r="C7454" s="69" t="s">
        <v>29702</v>
      </c>
      <c r="D7454" s="71"/>
      <c r="E7454" s="68" t="s">
        <v>29703</v>
      </c>
      <c r="F7454" s="76">
        <v>42836.0</v>
      </c>
      <c r="G7454" s="68" t="s">
        <v>28462</v>
      </c>
      <c r="H7454" s="71"/>
      <c r="I7454" s="71"/>
      <c r="J7454" s="68" t="s">
        <v>29704</v>
      </c>
      <c r="K7454" s="76">
        <v>43573.0</v>
      </c>
      <c r="L7454" s="71"/>
      <c r="M7454" s="68" t="s">
        <v>27</v>
      </c>
      <c r="N7454" s="116"/>
      <c r="O7454" s="51"/>
    </row>
    <row r="7455">
      <c r="A7455" s="273"/>
      <c r="B7455" s="71"/>
      <c r="C7455" s="69" t="s">
        <v>29705</v>
      </c>
      <c r="D7455" s="71"/>
      <c r="E7455" s="68" t="s">
        <v>29706</v>
      </c>
      <c r="F7455" s="76">
        <v>42989.0</v>
      </c>
      <c r="G7455" s="68" t="s">
        <v>29199</v>
      </c>
      <c r="H7455" s="71"/>
      <c r="I7455" s="71"/>
      <c r="J7455" s="68" t="s">
        <v>29707</v>
      </c>
      <c r="K7455" s="76">
        <v>43573.0</v>
      </c>
      <c r="L7455" s="71"/>
      <c r="M7455" s="68" t="s">
        <v>27</v>
      </c>
      <c r="N7455" s="116"/>
      <c r="O7455" s="51"/>
    </row>
    <row r="7456">
      <c r="A7456" s="273"/>
      <c r="B7456" s="71"/>
      <c r="C7456" s="69" t="s">
        <v>29708</v>
      </c>
      <c r="D7456" s="71"/>
      <c r="E7456" s="68" t="s">
        <v>29709</v>
      </c>
      <c r="F7456" s="76">
        <v>42989.0</v>
      </c>
      <c r="G7456" s="68" t="s">
        <v>29199</v>
      </c>
      <c r="H7456" s="71"/>
      <c r="I7456" s="71"/>
      <c r="J7456" s="68" t="s">
        <v>29710</v>
      </c>
      <c r="K7456" s="76">
        <v>43573.0</v>
      </c>
      <c r="L7456" s="71"/>
      <c r="M7456" s="68" t="s">
        <v>27</v>
      </c>
      <c r="N7456" s="116"/>
      <c r="O7456" s="51"/>
    </row>
    <row r="7457">
      <c r="A7457" s="234"/>
      <c r="B7457" s="71"/>
      <c r="C7457" s="79" t="s">
        <v>29711</v>
      </c>
      <c r="D7457" s="82"/>
      <c r="E7457" s="63" t="s">
        <v>29712</v>
      </c>
      <c r="F7457" s="70">
        <v>42989.0</v>
      </c>
      <c r="G7457" s="63" t="s">
        <v>29199</v>
      </c>
      <c r="H7457" s="82"/>
      <c r="I7457" s="82"/>
      <c r="J7457" s="63" t="s">
        <v>136</v>
      </c>
      <c r="K7457" s="81">
        <v>43573.0</v>
      </c>
      <c r="L7457" s="82"/>
      <c r="M7457" s="80" t="s">
        <v>27</v>
      </c>
      <c r="N7457" s="116"/>
      <c r="O7457" s="51"/>
    </row>
    <row r="7458">
      <c r="A7458" s="273"/>
      <c r="B7458" s="71"/>
      <c r="C7458" s="69" t="s">
        <v>29713</v>
      </c>
      <c r="D7458" s="71"/>
      <c r="E7458" s="68" t="s">
        <v>29714</v>
      </c>
      <c r="F7458" s="83">
        <v>43055.0</v>
      </c>
      <c r="G7458" s="68" t="s">
        <v>29363</v>
      </c>
      <c r="H7458" s="71"/>
      <c r="I7458" s="71"/>
      <c r="J7458" s="68" t="s">
        <v>29715</v>
      </c>
      <c r="K7458" s="76">
        <v>43573.0</v>
      </c>
      <c r="L7458" s="71"/>
      <c r="M7458" s="68" t="s">
        <v>27</v>
      </c>
      <c r="N7458" s="116"/>
      <c r="O7458" s="51"/>
    </row>
    <row r="7459">
      <c r="A7459" s="273"/>
      <c r="B7459" s="71"/>
      <c r="C7459" s="69" t="s">
        <v>29716</v>
      </c>
      <c r="D7459" s="71"/>
      <c r="E7459" s="68" t="s">
        <v>29717</v>
      </c>
      <c r="F7459" s="83">
        <v>43055.0</v>
      </c>
      <c r="G7459" s="68" t="s">
        <v>29363</v>
      </c>
      <c r="H7459" s="71"/>
      <c r="I7459" s="71"/>
      <c r="J7459" s="68" t="s">
        <v>29718</v>
      </c>
      <c r="K7459" s="76">
        <v>43573.0</v>
      </c>
      <c r="L7459" s="71"/>
      <c r="M7459" s="68" t="s">
        <v>27</v>
      </c>
      <c r="N7459" s="116"/>
      <c r="O7459" s="51"/>
    </row>
    <row r="7460">
      <c r="A7460" s="273"/>
      <c r="B7460" s="71"/>
      <c r="C7460" s="69" t="s">
        <v>29719</v>
      </c>
      <c r="D7460" s="71"/>
      <c r="E7460" s="68" t="s">
        <v>18381</v>
      </c>
      <c r="F7460" s="83">
        <v>43054.0</v>
      </c>
      <c r="G7460" s="68" t="s">
        <v>29503</v>
      </c>
      <c r="H7460" s="71"/>
      <c r="I7460" s="71"/>
      <c r="J7460" s="68" t="s">
        <v>29720</v>
      </c>
      <c r="K7460" s="76">
        <v>43573.0</v>
      </c>
      <c r="L7460" s="71"/>
      <c r="M7460" s="68" t="s">
        <v>27</v>
      </c>
      <c r="N7460" s="116"/>
      <c r="O7460" s="51"/>
    </row>
    <row r="7461">
      <c r="A7461" s="273"/>
      <c r="B7461" s="71"/>
      <c r="C7461" s="69" t="s">
        <v>29721</v>
      </c>
      <c r="D7461" s="71"/>
      <c r="E7461" s="68" t="s">
        <v>29722</v>
      </c>
      <c r="F7461" s="83">
        <v>43054.0</v>
      </c>
      <c r="G7461" s="68" t="s">
        <v>29503</v>
      </c>
      <c r="H7461" s="71"/>
      <c r="I7461" s="71"/>
      <c r="J7461" s="68" t="s">
        <v>29723</v>
      </c>
      <c r="K7461" s="76">
        <v>43573.0</v>
      </c>
      <c r="L7461" s="71"/>
      <c r="M7461" s="68" t="s">
        <v>27</v>
      </c>
      <c r="N7461" s="116"/>
      <c r="O7461" s="51"/>
    </row>
    <row r="7462">
      <c r="A7462" s="273"/>
      <c r="B7462" s="71"/>
      <c r="C7462" s="69" t="s">
        <v>29724</v>
      </c>
      <c r="D7462" s="71"/>
      <c r="E7462" s="68" t="s">
        <v>29725</v>
      </c>
      <c r="F7462" s="83">
        <v>43054.0</v>
      </c>
      <c r="G7462" s="68" t="s">
        <v>29277</v>
      </c>
      <c r="H7462" s="71"/>
      <c r="I7462" s="71"/>
      <c r="J7462" s="68" t="s">
        <v>29726</v>
      </c>
      <c r="K7462" s="76">
        <v>43573.0</v>
      </c>
      <c r="L7462" s="71"/>
      <c r="M7462" s="68" t="s">
        <v>27</v>
      </c>
      <c r="N7462" s="116"/>
      <c r="O7462" s="51"/>
    </row>
    <row r="7463">
      <c r="A7463" s="273"/>
      <c r="B7463" s="71"/>
      <c r="C7463" s="69" t="s">
        <v>29727</v>
      </c>
      <c r="D7463" s="71"/>
      <c r="E7463" s="68" t="s">
        <v>29728</v>
      </c>
      <c r="F7463" s="83">
        <v>43054.0</v>
      </c>
      <c r="G7463" s="68" t="s">
        <v>29729</v>
      </c>
      <c r="H7463" s="71"/>
      <c r="I7463" s="71"/>
      <c r="J7463" s="68" t="s">
        <v>29730</v>
      </c>
      <c r="K7463" s="76">
        <v>43573.0</v>
      </c>
      <c r="L7463" s="71"/>
      <c r="M7463" s="68" t="s">
        <v>27</v>
      </c>
      <c r="N7463" s="116"/>
      <c r="O7463" s="51"/>
    </row>
    <row r="7464">
      <c r="A7464" s="234"/>
      <c r="B7464" s="71"/>
      <c r="C7464" s="79" t="s">
        <v>29731</v>
      </c>
      <c r="D7464" s="82"/>
      <c r="E7464" s="63" t="s">
        <v>29732</v>
      </c>
      <c r="F7464" s="65">
        <v>43053.0</v>
      </c>
      <c r="G7464" s="63" t="s">
        <v>29363</v>
      </c>
      <c r="H7464" s="82"/>
      <c r="I7464" s="82"/>
      <c r="J7464" s="63" t="s">
        <v>136</v>
      </c>
      <c r="K7464" s="81">
        <v>43573.0</v>
      </c>
      <c r="L7464" s="82"/>
      <c r="M7464" s="80" t="s">
        <v>27</v>
      </c>
      <c r="N7464" s="116"/>
      <c r="O7464" s="51"/>
    </row>
    <row r="7465">
      <c r="A7465" s="273"/>
      <c r="B7465" s="71"/>
      <c r="C7465" s="69" t="s">
        <v>29733</v>
      </c>
      <c r="D7465" s="71"/>
      <c r="E7465" s="68" t="s">
        <v>29734</v>
      </c>
      <c r="F7465" s="83">
        <v>43053.0</v>
      </c>
      <c r="G7465" s="68" t="s">
        <v>29363</v>
      </c>
      <c r="H7465" s="71"/>
      <c r="I7465" s="71"/>
      <c r="J7465" s="68" t="s">
        <v>29735</v>
      </c>
      <c r="K7465" s="76">
        <v>43573.0</v>
      </c>
      <c r="L7465" s="71"/>
      <c r="M7465" s="68" t="s">
        <v>27</v>
      </c>
      <c r="N7465" s="116"/>
      <c r="O7465" s="51"/>
    </row>
    <row r="7466">
      <c r="A7466" s="273"/>
      <c r="B7466" s="71"/>
      <c r="C7466" s="69" t="s">
        <v>29736</v>
      </c>
      <c r="D7466" s="71"/>
      <c r="E7466" s="68" t="s">
        <v>29737</v>
      </c>
      <c r="F7466" s="83">
        <v>43060.0</v>
      </c>
      <c r="G7466" s="68" t="s">
        <v>29738</v>
      </c>
      <c r="H7466" s="71"/>
      <c r="I7466" s="71"/>
      <c r="J7466" s="68" t="s">
        <v>29739</v>
      </c>
      <c r="K7466" s="76">
        <v>43573.0</v>
      </c>
      <c r="L7466" s="71"/>
      <c r="M7466" s="68" t="s">
        <v>27</v>
      </c>
      <c r="N7466" s="116"/>
      <c r="O7466" s="51"/>
    </row>
    <row r="7467">
      <c r="A7467" s="234"/>
      <c r="B7467" s="71"/>
      <c r="C7467" s="79" t="s">
        <v>29740</v>
      </c>
      <c r="D7467" s="82"/>
      <c r="E7467" s="63" t="s">
        <v>29741</v>
      </c>
      <c r="F7467" s="65">
        <v>43058.0</v>
      </c>
      <c r="G7467" s="63" t="s">
        <v>29336</v>
      </c>
      <c r="H7467" s="82"/>
      <c r="I7467" s="82"/>
      <c r="J7467" s="63" t="s">
        <v>136</v>
      </c>
      <c r="K7467" s="81">
        <v>43573.0</v>
      </c>
      <c r="L7467" s="82"/>
      <c r="M7467" s="80" t="s">
        <v>27</v>
      </c>
      <c r="N7467" s="116"/>
      <c r="O7467" s="51"/>
    </row>
    <row r="7468">
      <c r="A7468" s="234"/>
      <c r="B7468" s="71"/>
      <c r="C7468" s="79" t="s">
        <v>29742</v>
      </c>
      <c r="D7468" s="82"/>
      <c r="E7468" s="63" t="s">
        <v>29743</v>
      </c>
      <c r="F7468" s="65">
        <v>43058.0</v>
      </c>
      <c r="G7468" s="63" t="s">
        <v>29336</v>
      </c>
      <c r="H7468" s="82"/>
      <c r="I7468" s="82"/>
      <c r="J7468" s="63" t="s">
        <v>136</v>
      </c>
      <c r="K7468" s="81">
        <v>43573.0</v>
      </c>
      <c r="L7468" s="82"/>
      <c r="M7468" s="80" t="s">
        <v>27</v>
      </c>
      <c r="N7468" s="116"/>
      <c r="O7468" s="51"/>
    </row>
    <row r="7469">
      <c r="A7469" s="273"/>
      <c r="B7469" s="71"/>
      <c r="C7469" s="69" t="s">
        <v>29744</v>
      </c>
      <c r="D7469" s="71"/>
      <c r="E7469" s="68" t="s">
        <v>29745</v>
      </c>
      <c r="F7469" s="83">
        <v>43057.0</v>
      </c>
      <c r="G7469" s="68" t="s">
        <v>29746</v>
      </c>
      <c r="H7469" s="71"/>
      <c r="I7469" s="71"/>
      <c r="J7469" s="68" t="s">
        <v>29747</v>
      </c>
      <c r="K7469" s="76">
        <v>43573.0</v>
      </c>
      <c r="L7469" s="71"/>
      <c r="M7469" s="68" t="s">
        <v>27</v>
      </c>
      <c r="N7469" s="116"/>
      <c r="O7469" s="51"/>
    </row>
    <row r="7470">
      <c r="A7470" s="234"/>
      <c r="B7470" s="71"/>
      <c r="C7470" s="79" t="s">
        <v>29748</v>
      </c>
      <c r="D7470" s="82"/>
      <c r="E7470" s="63" t="s">
        <v>29749</v>
      </c>
      <c r="F7470" s="65">
        <v>43057.0</v>
      </c>
      <c r="G7470" s="63" t="s">
        <v>29746</v>
      </c>
      <c r="H7470" s="82"/>
      <c r="I7470" s="82"/>
      <c r="J7470" s="63" t="s">
        <v>136</v>
      </c>
      <c r="K7470" s="81">
        <v>43573.0</v>
      </c>
      <c r="L7470" s="82"/>
      <c r="M7470" s="80" t="s">
        <v>27</v>
      </c>
      <c r="N7470" s="116"/>
      <c r="O7470" s="51"/>
    </row>
    <row r="7471">
      <c r="A7471" s="273"/>
      <c r="B7471" s="71"/>
      <c r="C7471" s="69" t="s">
        <v>29750</v>
      </c>
      <c r="D7471" s="71"/>
      <c r="E7471" s="68" t="s">
        <v>29751</v>
      </c>
      <c r="F7471" s="83">
        <v>43057.0</v>
      </c>
      <c r="G7471" s="68" t="s">
        <v>29019</v>
      </c>
      <c r="H7471" s="71"/>
      <c r="I7471" s="71"/>
      <c r="J7471" s="68" t="s">
        <v>29752</v>
      </c>
      <c r="K7471" s="76">
        <v>43573.0</v>
      </c>
      <c r="L7471" s="71"/>
      <c r="M7471" s="68" t="s">
        <v>27</v>
      </c>
      <c r="N7471" s="116"/>
      <c r="O7471" s="51"/>
    </row>
    <row r="7472">
      <c r="A7472" s="273"/>
      <c r="B7472" s="71"/>
      <c r="C7472" s="69" t="s">
        <v>29753</v>
      </c>
      <c r="D7472" s="71"/>
      <c r="E7472" s="68" t="s">
        <v>29754</v>
      </c>
      <c r="F7472" s="83">
        <v>43057.0</v>
      </c>
      <c r="G7472" s="68" t="s">
        <v>29019</v>
      </c>
      <c r="H7472" s="71"/>
      <c r="I7472" s="71"/>
      <c r="J7472" s="68" t="s">
        <v>29755</v>
      </c>
      <c r="K7472" s="76">
        <v>43573.0</v>
      </c>
      <c r="L7472" s="71"/>
      <c r="M7472" s="68" t="s">
        <v>27</v>
      </c>
      <c r="N7472" s="116"/>
      <c r="O7472" s="51"/>
    </row>
    <row r="7473">
      <c r="A7473" s="273"/>
      <c r="B7473" s="71"/>
      <c r="C7473" s="69" t="s">
        <v>29756</v>
      </c>
      <c r="D7473" s="71"/>
      <c r="E7473" s="68" t="s">
        <v>29757</v>
      </c>
      <c r="F7473" s="83">
        <v>43057.0</v>
      </c>
      <c r="G7473" s="68" t="s">
        <v>29019</v>
      </c>
      <c r="H7473" s="71"/>
      <c r="I7473" s="71"/>
      <c r="J7473" s="68" t="s">
        <v>29758</v>
      </c>
      <c r="K7473" s="76">
        <v>43573.0</v>
      </c>
      <c r="L7473" s="71"/>
      <c r="M7473" s="68" t="s">
        <v>27</v>
      </c>
      <c r="N7473" s="116"/>
      <c r="O7473" s="51"/>
    </row>
    <row r="7474">
      <c r="A7474" s="273"/>
      <c r="B7474" s="71"/>
      <c r="C7474" s="69" t="s">
        <v>29759</v>
      </c>
      <c r="D7474" s="71"/>
      <c r="E7474" s="68" t="s">
        <v>29760</v>
      </c>
      <c r="F7474" s="83">
        <v>43057.0</v>
      </c>
      <c r="G7474" s="68" t="s">
        <v>29019</v>
      </c>
      <c r="H7474" s="71"/>
      <c r="I7474" s="71"/>
      <c r="J7474" s="68" t="s">
        <v>29761</v>
      </c>
      <c r="K7474" s="76">
        <v>43573.0</v>
      </c>
      <c r="L7474" s="71"/>
      <c r="M7474" s="68" t="s">
        <v>27</v>
      </c>
      <c r="N7474" s="116"/>
      <c r="O7474" s="51"/>
    </row>
    <row r="7475">
      <c r="A7475" s="273"/>
      <c r="B7475" s="71"/>
      <c r="C7475" s="69" t="s">
        <v>29762</v>
      </c>
      <c r="D7475" s="71"/>
      <c r="E7475" s="68" t="s">
        <v>29763</v>
      </c>
      <c r="F7475" s="83">
        <v>43057.0</v>
      </c>
      <c r="G7475" s="68" t="s">
        <v>29019</v>
      </c>
      <c r="H7475" s="71"/>
      <c r="I7475" s="71"/>
      <c r="J7475" s="68" t="s">
        <v>29764</v>
      </c>
      <c r="K7475" s="76">
        <v>43573.0</v>
      </c>
      <c r="L7475" s="71"/>
      <c r="M7475" s="68" t="s">
        <v>27</v>
      </c>
      <c r="N7475" s="116"/>
      <c r="O7475" s="51"/>
    </row>
    <row r="7476">
      <c r="A7476" s="273"/>
      <c r="B7476" s="71"/>
      <c r="C7476" s="69" t="s">
        <v>29765</v>
      </c>
      <c r="D7476" s="71"/>
      <c r="E7476" s="68" t="s">
        <v>29766</v>
      </c>
      <c r="F7476" s="83">
        <v>43421.0</v>
      </c>
      <c r="G7476" s="68" t="s">
        <v>29767</v>
      </c>
      <c r="H7476" s="71"/>
      <c r="I7476" s="71"/>
      <c r="J7476" s="68" t="s">
        <v>29768</v>
      </c>
      <c r="K7476" s="76">
        <v>43573.0</v>
      </c>
      <c r="L7476" s="71"/>
      <c r="M7476" s="68" t="s">
        <v>27</v>
      </c>
      <c r="N7476" s="116"/>
      <c r="O7476" s="51"/>
    </row>
    <row r="7477">
      <c r="A7477" s="273"/>
      <c r="B7477" s="71"/>
      <c r="C7477" s="69" t="s">
        <v>29769</v>
      </c>
      <c r="D7477" s="71"/>
      <c r="E7477" s="68" t="s">
        <v>29770</v>
      </c>
      <c r="F7477" s="83">
        <v>43421.0</v>
      </c>
      <c r="G7477" s="68" t="s">
        <v>29767</v>
      </c>
      <c r="H7477" s="71"/>
      <c r="I7477" s="71"/>
      <c r="J7477" s="68" t="s">
        <v>29771</v>
      </c>
      <c r="K7477" s="76">
        <v>43573.0</v>
      </c>
      <c r="L7477" s="71"/>
      <c r="M7477" s="68" t="s">
        <v>27</v>
      </c>
      <c r="N7477" s="116"/>
      <c r="O7477" s="51"/>
    </row>
    <row r="7478">
      <c r="A7478" s="273"/>
      <c r="B7478" s="71"/>
      <c r="C7478" s="69" t="s">
        <v>29772</v>
      </c>
      <c r="D7478" s="71"/>
      <c r="E7478" s="68" t="s">
        <v>29773</v>
      </c>
      <c r="F7478" s="83">
        <v>43421.0</v>
      </c>
      <c r="G7478" s="68" t="s">
        <v>29774</v>
      </c>
      <c r="H7478" s="71"/>
      <c r="I7478" s="71"/>
      <c r="J7478" s="68" t="s">
        <v>29775</v>
      </c>
      <c r="K7478" s="76">
        <v>43573.0</v>
      </c>
      <c r="L7478" s="71"/>
      <c r="M7478" s="68" t="s">
        <v>27</v>
      </c>
      <c r="N7478" s="116"/>
      <c r="O7478" s="51"/>
    </row>
    <row r="7479">
      <c r="A7479" s="273"/>
      <c r="B7479" s="71"/>
      <c r="C7479" s="69" t="s">
        <v>29776</v>
      </c>
      <c r="D7479" s="71"/>
      <c r="E7479" s="68" t="s">
        <v>29777</v>
      </c>
      <c r="F7479" s="83">
        <v>43055.0</v>
      </c>
      <c r="G7479" s="68" t="s">
        <v>28462</v>
      </c>
      <c r="H7479" s="71"/>
      <c r="I7479" s="71"/>
      <c r="J7479" s="68" t="s">
        <v>29778</v>
      </c>
      <c r="K7479" s="76">
        <v>43573.0</v>
      </c>
      <c r="L7479" s="71"/>
      <c r="M7479" s="68" t="s">
        <v>27</v>
      </c>
      <c r="N7479" s="116"/>
      <c r="O7479" s="51"/>
    </row>
    <row r="7480">
      <c r="A7480" s="273"/>
      <c r="B7480" s="71"/>
      <c r="C7480" s="69" t="s">
        <v>29779</v>
      </c>
      <c r="D7480" s="71"/>
      <c r="E7480" s="68" t="s">
        <v>29780</v>
      </c>
      <c r="F7480" s="83">
        <v>43063.0</v>
      </c>
      <c r="G7480" s="68" t="s">
        <v>29199</v>
      </c>
      <c r="H7480" s="71"/>
      <c r="I7480" s="71"/>
      <c r="J7480" s="68" t="s">
        <v>29781</v>
      </c>
      <c r="K7480" s="76">
        <v>43573.0</v>
      </c>
      <c r="L7480" s="71"/>
      <c r="M7480" s="68" t="s">
        <v>27</v>
      </c>
      <c r="N7480" s="116"/>
      <c r="O7480" s="51"/>
    </row>
    <row r="7481">
      <c r="A7481" s="273"/>
      <c r="B7481" s="71"/>
      <c r="C7481" s="69" t="s">
        <v>29782</v>
      </c>
      <c r="D7481" s="71"/>
      <c r="E7481" s="68" t="s">
        <v>29783</v>
      </c>
      <c r="F7481" s="83">
        <v>43063.0</v>
      </c>
      <c r="G7481" s="68" t="s">
        <v>29199</v>
      </c>
      <c r="H7481" s="71"/>
      <c r="I7481" s="71"/>
      <c r="J7481" s="68" t="s">
        <v>29784</v>
      </c>
      <c r="K7481" s="76">
        <v>43573.0</v>
      </c>
      <c r="L7481" s="71"/>
      <c r="M7481" s="68" t="s">
        <v>27</v>
      </c>
      <c r="N7481" s="116"/>
      <c r="O7481" s="51"/>
    </row>
    <row r="7482">
      <c r="A7482" s="273"/>
      <c r="B7482" s="71"/>
      <c r="C7482" s="69" t="s">
        <v>29785</v>
      </c>
      <c r="D7482" s="71"/>
      <c r="E7482" s="68" t="s">
        <v>29786</v>
      </c>
      <c r="F7482" s="83">
        <v>43063.0</v>
      </c>
      <c r="G7482" s="68" t="s">
        <v>29199</v>
      </c>
      <c r="H7482" s="71"/>
      <c r="I7482" s="71"/>
      <c r="J7482" s="68" t="s">
        <v>29787</v>
      </c>
      <c r="K7482" s="76">
        <v>43573.0</v>
      </c>
      <c r="L7482" s="71"/>
      <c r="M7482" s="68" t="s">
        <v>27</v>
      </c>
      <c r="N7482" s="116"/>
      <c r="O7482" s="51"/>
    </row>
    <row r="7483">
      <c r="A7483" s="273"/>
      <c r="B7483" s="71"/>
      <c r="C7483" s="69" t="s">
        <v>29788</v>
      </c>
      <c r="D7483" s="71"/>
      <c r="E7483" s="68" t="s">
        <v>29789</v>
      </c>
      <c r="F7483" s="83">
        <v>43064.0</v>
      </c>
      <c r="G7483" s="68" t="s">
        <v>28345</v>
      </c>
      <c r="H7483" s="71"/>
      <c r="I7483" s="71"/>
      <c r="J7483" s="68" t="s">
        <v>29790</v>
      </c>
      <c r="K7483" s="76">
        <v>43573.0</v>
      </c>
      <c r="L7483" s="71"/>
      <c r="M7483" s="68" t="s">
        <v>27</v>
      </c>
      <c r="N7483" s="116"/>
      <c r="O7483" s="51"/>
    </row>
    <row r="7484">
      <c r="A7484" s="234"/>
      <c r="B7484" s="71"/>
      <c r="C7484" s="79" t="s">
        <v>29791</v>
      </c>
      <c r="D7484" s="82"/>
      <c r="E7484" s="63" t="s">
        <v>29792</v>
      </c>
      <c r="F7484" s="65">
        <v>43064.0</v>
      </c>
      <c r="G7484" s="63" t="s">
        <v>29793</v>
      </c>
      <c r="H7484" s="82"/>
      <c r="I7484" s="82"/>
      <c r="J7484" s="63" t="s">
        <v>136</v>
      </c>
      <c r="K7484" s="81">
        <v>43573.0</v>
      </c>
      <c r="L7484" s="82"/>
      <c r="M7484" s="80" t="s">
        <v>27</v>
      </c>
      <c r="N7484" s="116"/>
      <c r="O7484" s="51"/>
    </row>
    <row r="7485">
      <c r="A7485" s="234"/>
      <c r="B7485" s="71"/>
      <c r="C7485" s="79" t="s">
        <v>29794</v>
      </c>
      <c r="D7485" s="82"/>
      <c r="E7485" s="63" t="s">
        <v>29795</v>
      </c>
      <c r="F7485" s="65">
        <v>43063.0</v>
      </c>
      <c r="G7485" s="63" t="s">
        <v>29619</v>
      </c>
      <c r="H7485" s="82"/>
      <c r="I7485" s="82"/>
      <c r="J7485" s="63" t="s">
        <v>136</v>
      </c>
      <c r="K7485" s="81">
        <v>43573.0</v>
      </c>
      <c r="L7485" s="82"/>
      <c r="M7485" s="80" t="s">
        <v>27</v>
      </c>
      <c r="N7485" s="116"/>
      <c r="O7485" s="51"/>
    </row>
    <row r="7486">
      <c r="A7486" s="273"/>
      <c r="B7486" s="71"/>
      <c r="C7486" s="69" t="s">
        <v>29796</v>
      </c>
      <c r="D7486" s="71"/>
      <c r="E7486" s="68" t="s">
        <v>29797</v>
      </c>
      <c r="F7486" s="83">
        <v>43063.0</v>
      </c>
      <c r="G7486" s="68" t="s">
        <v>29619</v>
      </c>
      <c r="H7486" s="71"/>
      <c r="I7486" s="71"/>
      <c r="J7486" s="68" t="s">
        <v>29798</v>
      </c>
      <c r="K7486" s="76">
        <v>43573.0</v>
      </c>
      <c r="L7486" s="71"/>
      <c r="M7486" s="68" t="s">
        <v>27</v>
      </c>
      <c r="N7486" s="116"/>
      <c r="O7486" s="51"/>
    </row>
    <row r="7487">
      <c r="A7487" s="273"/>
      <c r="B7487" s="71"/>
      <c r="C7487" s="69" t="s">
        <v>29799</v>
      </c>
      <c r="D7487" s="71"/>
      <c r="E7487" s="68" t="s">
        <v>29800</v>
      </c>
      <c r="F7487" s="83">
        <v>43063.0</v>
      </c>
      <c r="G7487" s="68" t="s">
        <v>29619</v>
      </c>
      <c r="H7487" s="71"/>
      <c r="I7487" s="71"/>
      <c r="J7487" s="68" t="s">
        <v>29801</v>
      </c>
      <c r="K7487" s="76">
        <v>43573.0</v>
      </c>
      <c r="L7487" s="71"/>
      <c r="M7487" s="68" t="s">
        <v>27</v>
      </c>
      <c r="N7487" s="116"/>
      <c r="O7487" s="51"/>
    </row>
    <row r="7488">
      <c r="A7488" s="273"/>
      <c r="B7488" s="71"/>
      <c r="C7488" s="69" t="s">
        <v>29802</v>
      </c>
      <c r="D7488" s="71"/>
      <c r="E7488" s="68" t="s">
        <v>29803</v>
      </c>
      <c r="F7488" s="83">
        <v>43063.0</v>
      </c>
      <c r="G7488" s="68" t="s">
        <v>29619</v>
      </c>
      <c r="H7488" s="71"/>
      <c r="I7488" s="71"/>
      <c r="J7488" s="68" t="s">
        <v>29804</v>
      </c>
      <c r="K7488" s="76">
        <v>43573.0</v>
      </c>
      <c r="L7488" s="71"/>
      <c r="M7488" s="68" t="s">
        <v>27</v>
      </c>
      <c r="N7488" s="116"/>
      <c r="O7488" s="51"/>
    </row>
    <row r="7489">
      <c r="A7489" s="273"/>
      <c r="B7489" s="71"/>
      <c r="C7489" s="69" t="s">
        <v>29805</v>
      </c>
      <c r="D7489" s="71"/>
      <c r="E7489" s="68" t="s">
        <v>29806</v>
      </c>
      <c r="F7489" s="83">
        <v>43065.0</v>
      </c>
      <c r="G7489" s="68" t="s">
        <v>29807</v>
      </c>
      <c r="H7489" s="71"/>
      <c r="I7489" s="71"/>
      <c r="J7489" s="68" t="s">
        <v>29808</v>
      </c>
      <c r="K7489" s="76">
        <v>43573.0</v>
      </c>
      <c r="L7489" s="71"/>
      <c r="M7489" s="68" t="s">
        <v>27</v>
      </c>
      <c r="N7489" s="116"/>
      <c r="O7489" s="51"/>
    </row>
    <row r="7490">
      <c r="A7490" s="234"/>
      <c r="B7490" s="71"/>
      <c r="C7490" s="79" t="s">
        <v>29809</v>
      </c>
      <c r="D7490" s="82"/>
      <c r="E7490" s="63" t="s">
        <v>29810</v>
      </c>
      <c r="F7490" s="65">
        <v>43065.0</v>
      </c>
      <c r="G7490" s="63" t="s">
        <v>29807</v>
      </c>
      <c r="H7490" s="82"/>
      <c r="I7490" s="82"/>
      <c r="J7490" s="63" t="s">
        <v>136</v>
      </c>
      <c r="K7490" s="81">
        <v>43573.0</v>
      </c>
      <c r="L7490" s="82"/>
      <c r="M7490" s="80" t="s">
        <v>27</v>
      </c>
      <c r="N7490" s="116"/>
      <c r="O7490" s="51"/>
    </row>
    <row r="7491">
      <c r="A7491" s="273"/>
      <c r="B7491" s="71"/>
      <c r="C7491" s="69" t="s">
        <v>29811</v>
      </c>
      <c r="D7491" s="71"/>
      <c r="E7491" s="68" t="s">
        <v>29812</v>
      </c>
      <c r="F7491" s="83">
        <v>43064.0</v>
      </c>
      <c r="G7491" s="68" t="s">
        <v>28433</v>
      </c>
      <c r="H7491" s="71"/>
      <c r="I7491" s="71"/>
      <c r="J7491" s="68" t="s">
        <v>29813</v>
      </c>
      <c r="K7491" s="76">
        <v>43573.0</v>
      </c>
      <c r="L7491" s="71"/>
      <c r="M7491" s="68" t="s">
        <v>27</v>
      </c>
      <c r="N7491" s="116"/>
      <c r="O7491" s="51"/>
    </row>
    <row r="7492">
      <c r="A7492" s="273"/>
      <c r="B7492" s="71"/>
      <c r="C7492" s="69" t="s">
        <v>29814</v>
      </c>
      <c r="D7492" s="71"/>
      <c r="E7492" s="68" t="s">
        <v>29815</v>
      </c>
      <c r="F7492" s="76">
        <v>42928.0</v>
      </c>
      <c r="G7492" s="68" t="s">
        <v>28527</v>
      </c>
      <c r="H7492" s="71"/>
      <c r="I7492" s="71"/>
      <c r="J7492" s="68" t="s">
        <v>29816</v>
      </c>
      <c r="K7492" s="76">
        <v>43573.0</v>
      </c>
      <c r="L7492" s="71"/>
      <c r="M7492" s="68" t="s">
        <v>27</v>
      </c>
      <c r="N7492" s="116"/>
      <c r="O7492" s="51"/>
    </row>
    <row r="7493">
      <c r="A7493" s="273"/>
      <c r="B7493" s="71"/>
      <c r="C7493" s="69" t="s">
        <v>29817</v>
      </c>
      <c r="D7493" s="71"/>
      <c r="E7493" s="68" t="s">
        <v>29818</v>
      </c>
      <c r="F7493" s="76">
        <v>42928.0</v>
      </c>
      <c r="G7493" s="68" t="s">
        <v>28527</v>
      </c>
      <c r="H7493" s="71"/>
      <c r="I7493" s="71"/>
      <c r="J7493" s="68" t="s">
        <v>29819</v>
      </c>
      <c r="K7493" s="76">
        <v>43573.0</v>
      </c>
      <c r="L7493" s="71"/>
      <c r="M7493" s="68" t="s">
        <v>27</v>
      </c>
      <c r="N7493" s="116"/>
      <c r="O7493" s="51"/>
    </row>
    <row r="7494">
      <c r="A7494" s="273"/>
      <c r="B7494" s="71"/>
      <c r="C7494" s="69" t="s">
        <v>29820</v>
      </c>
      <c r="D7494" s="71"/>
      <c r="E7494" s="68" t="s">
        <v>29821</v>
      </c>
      <c r="F7494" s="76">
        <v>42928.0</v>
      </c>
      <c r="G7494" s="68" t="s">
        <v>28527</v>
      </c>
      <c r="H7494" s="71"/>
      <c r="I7494" s="71"/>
      <c r="J7494" s="68" t="s">
        <v>29822</v>
      </c>
      <c r="K7494" s="76">
        <v>43573.0</v>
      </c>
      <c r="L7494" s="71"/>
      <c r="M7494" s="68" t="s">
        <v>27</v>
      </c>
      <c r="N7494" s="116"/>
      <c r="O7494" s="51"/>
    </row>
    <row r="7495">
      <c r="A7495" s="273"/>
      <c r="B7495" s="71"/>
      <c r="C7495" s="69" t="s">
        <v>29823</v>
      </c>
      <c r="D7495" s="71"/>
      <c r="E7495" s="68" t="s">
        <v>29824</v>
      </c>
      <c r="F7495" s="76">
        <v>42928.0</v>
      </c>
      <c r="G7495" s="68" t="s">
        <v>28527</v>
      </c>
      <c r="H7495" s="71"/>
      <c r="I7495" s="71"/>
      <c r="J7495" s="68" t="s">
        <v>29825</v>
      </c>
      <c r="K7495" s="76">
        <v>43573.0</v>
      </c>
      <c r="L7495" s="71"/>
      <c r="M7495" s="68" t="s">
        <v>27</v>
      </c>
      <c r="N7495" s="116"/>
      <c r="O7495" s="51"/>
    </row>
    <row r="7496">
      <c r="A7496" s="273"/>
      <c r="B7496" s="71"/>
      <c r="C7496" s="69" t="s">
        <v>29826</v>
      </c>
      <c r="D7496" s="71"/>
      <c r="E7496" s="68" t="s">
        <v>29827</v>
      </c>
      <c r="F7496" s="76">
        <v>42898.0</v>
      </c>
      <c r="G7496" s="68" t="s">
        <v>29828</v>
      </c>
      <c r="H7496" s="71"/>
      <c r="I7496" s="71"/>
      <c r="J7496" s="68" t="s">
        <v>29829</v>
      </c>
      <c r="K7496" s="76">
        <v>43573.0</v>
      </c>
      <c r="L7496" s="71"/>
      <c r="M7496" s="68" t="s">
        <v>27</v>
      </c>
      <c r="N7496" s="116"/>
      <c r="O7496" s="51"/>
    </row>
    <row r="7497">
      <c r="A7497" s="273"/>
      <c r="B7497" s="71"/>
      <c r="C7497" s="69" t="s">
        <v>29830</v>
      </c>
      <c r="D7497" s="71"/>
      <c r="E7497" s="68" t="s">
        <v>29831</v>
      </c>
      <c r="F7497" s="76">
        <v>42867.0</v>
      </c>
      <c r="G7497" s="68" t="s">
        <v>29832</v>
      </c>
      <c r="H7497" s="71"/>
      <c r="I7497" s="71"/>
      <c r="J7497" s="68" t="s">
        <v>29833</v>
      </c>
      <c r="K7497" s="76">
        <v>43573.0</v>
      </c>
      <c r="L7497" s="71"/>
      <c r="M7497" s="68" t="s">
        <v>27</v>
      </c>
      <c r="N7497" s="116"/>
      <c r="O7497" s="51"/>
    </row>
    <row r="7498">
      <c r="A7498" s="273"/>
      <c r="B7498" s="71"/>
      <c r="C7498" s="69" t="s">
        <v>29834</v>
      </c>
      <c r="D7498" s="71"/>
      <c r="E7498" s="68" t="s">
        <v>29835</v>
      </c>
      <c r="F7498" s="83">
        <v>43068.0</v>
      </c>
      <c r="G7498" s="68" t="s">
        <v>29836</v>
      </c>
      <c r="H7498" s="71"/>
      <c r="I7498" s="71"/>
      <c r="J7498" s="68" t="s">
        <v>29837</v>
      </c>
      <c r="K7498" s="76">
        <v>43573.0</v>
      </c>
      <c r="L7498" s="71"/>
      <c r="M7498" s="68" t="s">
        <v>27</v>
      </c>
      <c r="N7498" s="116"/>
      <c r="O7498" s="51"/>
    </row>
    <row r="7499">
      <c r="A7499" s="273"/>
      <c r="B7499" s="71"/>
      <c r="C7499" s="69" t="s">
        <v>29838</v>
      </c>
      <c r="D7499" s="71"/>
      <c r="E7499" s="68" t="s">
        <v>29839</v>
      </c>
      <c r="F7499" s="83">
        <v>43068.0</v>
      </c>
      <c r="G7499" s="68" t="s">
        <v>29199</v>
      </c>
      <c r="H7499" s="71"/>
      <c r="I7499" s="71"/>
      <c r="J7499" s="68" t="s">
        <v>29840</v>
      </c>
      <c r="K7499" s="76">
        <v>43573.0</v>
      </c>
      <c r="L7499" s="71"/>
      <c r="M7499" s="68" t="s">
        <v>27</v>
      </c>
      <c r="N7499" s="116"/>
      <c r="O7499" s="51"/>
    </row>
    <row r="7500">
      <c r="A7500" s="273"/>
      <c r="B7500" s="71"/>
      <c r="C7500" s="69" t="s">
        <v>29841</v>
      </c>
      <c r="D7500" s="71"/>
      <c r="E7500" s="68" t="s">
        <v>29842</v>
      </c>
      <c r="F7500" s="83">
        <v>43085.0</v>
      </c>
      <c r="G7500" s="68" t="s">
        <v>29407</v>
      </c>
      <c r="H7500" s="71"/>
      <c r="I7500" s="71"/>
      <c r="J7500" s="68" t="s">
        <v>29843</v>
      </c>
      <c r="K7500" s="76">
        <v>43573.0</v>
      </c>
      <c r="L7500" s="71"/>
      <c r="M7500" s="68" t="s">
        <v>27</v>
      </c>
      <c r="N7500" s="116"/>
      <c r="O7500" s="51"/>
    </row>
    <row r="7501">
      <c r="A7501" s="234"/>
      <c r="B7501" s="71"/>
      <c r="C7501" s="79" t="s">
        <v>29844</v>
      </c>
      <c r="D7501" s="82"/>
      <c r="E7501" s="63" t="s">
        <v>29845</v>
      </c>
      <c r="F7501" s="65">
        <v>43085.0</v>
      </c>
      <c r="G7501" s="63" t="s">
        <v>29600</v>
      </c>
      <c r="H7501" s="82"/>
      <c r="I7501" s="82"/>
      <c r="J7501" s="63" t="s">
        <v>136</v>
      </c>
      <c r="K7501" s="81">
        <v>43573.0</v>
      </c>
      <c r="L7501" s="82"/>
      <c r="M7501" s="80" t="s">
        <v>27</v>
      </c>
      <c r="N7501" s="116"/>
      <c r="O7501" s="51"/>
    </row>
    <row r="7502">
      <c r="A7502" s="273"/>
      <c r="B7502" s="71"/>
      <c r="C7502" s="69" t="s">
        <v>29846</v>
      </c>
      <c r="D7502" s="71"/>
      <c r="E7502" s="68" t="s">
        <v>29847</v>
      </c>
      <c r="F7502" s="83">
        <v>43085.0</v>
      </c>
      <c r="G7502" s="68" t="s">
        <v>29600</v>
      </c>
      <c r="H7502" s="71"/>
      <c r="I7502" s="71"/>
      <c r="J7502" s="68" t="s">
        <v>29848</v>
      </c>
      <c r="K7502" s="76">
        <v>43573.0</v>
      </c>
      <c r="L7502" s="71"/>
      <c r="M7502" s="68" t="s">
        <v>27</v>
      </c>
      <c r="N7502" s="116"/>
      <c r="O7502" s="51"/>
    </row>
    <row r="7503">
      <c r="A7503" s="273"/>
      <c r="B7503" s="71"/>
      <c r="C7503" s="69" t="s">
        <v>29849</v>
      </c>
      <c r="D7503" s="71"/>
      <c r="E7503" s="68" t="s">
        <v>29850</v>
      </c>
      <c r="F7503" s="83">
        <v>43081.0</v>
      </c>
      <c r="G7503" s="68" t="s">
        <v>29851</v>
      </c>
      <c r="H7503" s="71"/>
      <c r="I7503" s="71"/>
      <c r="J7503" s="68" t="s">
        <v>29852</v>
      </c>
      <c r="K7503" s="76">
        <v>43573.0</v>
      </c>
      <c r="L7503" s="71"/>
      <c r="M7503" s="68" t="s">
        <v>27</v>
      </c>
      <c r="N7503" s="116"/>
      <c r="O7503" s="51"/>
    </row>
    <row r="7504">
      <c r="A7504" s="273"/>
      <c r="B7504" s="71"/>
      <c r="C7504" s="69" t="s">
        <v>29853</v>
      </c>
      <c r="D7504" s="71"/>
      <c r="E7504" s="68" t="s">
        <v>29854</v>
      </c>
      <c r="F7504" s="83">
        <v>43020.0</v>
      </c>
      <c r="G7504" s="68" t="s">
        <v>29199</v>
      </c>
      <c r="H7504" s="71"/>
      <c r="I7504" s="71"/>
      <c r="J7504" s="68" t="s">
        <v>29855</v>
      </c>
      <c r="K7504" s="76">
        <v>43573.0</v>
      </c>
      <c r="L7504" s="71"/>
      <c r="M7504" s="68" t="s">
        <v>27</v>
      </c>
      <c r="N7504" s="116"/>
      <c r="O7504" s="51"/>
    </row>
    <row r="7505">
      <c r="A7505" s="273"/>
      <c r="B7505" s="71"/>
      <c r="C7505" s="69" t="s">
        <v>29856</v>
      </c>
      <c r="D7505" s="71"/>
      <c r="E7505" s="68" t="s">
        <v>29857</v>
      </c>
      <c r="F7505" s="83">
        <v>43020.0</v>
      </c>
      <c r="G7505" s="68" t="s">
        <v>29746</v>
      </c>
      <c r="H7505" s="71"/>
      <c r="I7505" s="71"/>
      <c r="J7505" s="68" t="s">
        <v>29858</v>
      </c>
      <c r="K7505" s="76">
        <v>43573.0</v>
      </c>
      <c r="L7505" s="71"/>
      <c r="M7505" s="68" t="s">
        <v>27</v>
      </c>
      <c r="N7505" s="116"/>
      <c r="O7505" s="51"/>
    </row>
    <row r="7506">
      <c r="A7506" s="273"/>
      <c r="B7506" s="71"/>
      <c r="C7506" s="69" t="s">
        <v>29859</v>
      </c>
      <c r="D7506" s="71"/>
      <c r="E7506" s="68" t="s">
        <v>29860</v>
      </c>
      <c r="F7506" s="76">
        <v>42990.0</v>
      </c>
      <c r="G7506" s="68" t="s">
        <v>29861</v>
      </c>
      <c r="H7506" s="71"/>
      <c r="I7506" s="71"/>
      <c r="J7506" s="68" t="s">
        <v>29862</v>
      </c>
      <c r="K7506" s="76">
        <v>43573.0</v>
      </c>
      <c r="L7506" s="71"/>
      <c r="M7506" s="68" t="s">
        <v>27</v>
      </c>
      <c r="N7506" s="116"/>
      <c r="O7506" s="51"/>
    </row>
    <row r="7507">
      <c r="A7507" s="273"/>
      <c r="B7507" s="71"/>
      <c r="C7507" s="69" t="s">
        <v>29863</v>
      </c>
      <c r="D7507" s="71"/>
      <c r="E7507" s="68" t="s">
        <v>29864</v>
      </c>
      <c r="F7507" s="76">
        <v>42794.0</v>
      </c>
      <c r="G7507" s="68" t="s">
        <v>29865</v>
      </c>
      <c r="H7507" s="71"/>
      <c r="I7507" s="71"/>
      <c r="J7507" s="68" t="s">
        <v>29866</v>
      </c>
      <c r="K7507" s="76">
        <v>43573.0</v>
      </c>
      <c r="L7507" s="71"/>
      <c r="M7507" s="68" t="s">
        <v>27</v>
      </c>
      <c r="N7507" s="116"/>
      <c r="O7507" s="51"/>
    </row>
    <row r="7508">
      <c r="A7508" s="273"/>
      <c r="B7508" s="71"/>
      <c r="C7508" s="69" t="s">
        <v>29867</v>
      </c>
      <c r="D7508" s="71"/>
      <c r="E7508" s="68" t="s">
        <v>29868</v>
      </c>
      <c r="F7508" s="76">
        <v>42794.0</v>
      </c>
      <c r="G7508" s="68" t="s">
        <v>29865</v>
      </c>
      <c r="H7508" s="71"/>
      <c r="I7508" s="71"/>
      <c r="J7508" s="68" t="s">
        <v>29869</v>
      </c>
      <c r="K7508" s="76">
        <v>43573.0</v>
      </c>
      <c r="L7508" s="71"/>
      <c r="M7508" s="68" t="s">
        <v>27</v>
      </c>
      <c r="N7508" s="116"/>
      <c r="O7508" s="51"/>
    </row>
    <row r="7509">
      <c r="A7509" s="273"/>
      <c r="B7509" s="71"/>
      <c r="C7509" s="69" t="s">
        <v>29870</v>
      </c>
      <c r="D7509" s="71"/>
      <c r="E7509" s="68" t="s">
        <v>29871</v>
      </c>
      <c r="F7509" s="76">
        <v>42792.0</v>
      </c>
      <c r="G7509" s="68" t="s">
        <v>29872</v>
      </c>
      <c r="H7509" s="71"/>
      <c r="I7509" s="71"/>
      <c r="J7509" s="68" t="s">
        <v>29873</v>
      </c>
      <c r="K7509" s="76">
        <v>43573.0</v>
      </c>
      <c r="L7509" s="71"/>
      <c r="M7509" s="68" t="s">
        <v>27</v>
      </c>
      <c r="N7509" s="116"/>
      <c r="O7509" s="51"/>
    </row>
    <row r="7510">
      <c r="A7510" s="273"/>
      <c r="B7510" s="71"/>
      <c r="C7510" s="69" t="s">
        <v>29874</v>
      </c>
      <c r="D7510" s="71"/>
      <c r="E7510" s="68" t="s">
        <v>29875</v>
      </c>
      <c r="F7510" s="76">
        <v>42790.0</v>
      </c>
      <c r="G7510" s="68" t="s">
        <v>29876</v>
      </c>
      <c r="H7510" s="71"/>
      <c r="I7510" s="71"/>
      <c r="J7510" s="68" t="s">
        <v>29877</v>
      </c>
      <c r="K7510" s="76">
        <v>43573.0</v>
      </c>
      <c r="L7510" s="71"/>
      <c r="M7510" s="68" t="s">
        <v>27</v>
      </c>
      <c r="N7510" s="116"/>
      <c r="O7510" s="51"/>
    </row>
    <row r="7511">
      <c r="A7511" s="273"/>
      <c r="B7511" s="71"/>
      <c r="C7511" s="69" t="s">
        <v>29878</v>
      </c>
      <c r="D7511" s="71"/>
      <c r="E7511" s="68" t="s">
        <v>29879</v>
      </c>
      <c r="F7511" s="76">
        <v>42790.0</v>
      </c>
      <c r="G7511" s="68" t="s">
        <v>29876</v>
      </c>
      <c r="H7511" s="71"/>
      <c r="I7511" s="71"/>
      <c r="J7511" s="68" t="s">
        <v>29880</v>
      </c>
      <c r="K7511" s="76">
        <v>43573.0</v>
      </c>
      <c r="L7511" s="71"/>
      <c r="M7511" s="68" t="s">
        <v>27</v>
      </c>
      <c r="N7511" s="116"/>
      <c r="O7511" s="51"/>
    </row>
    <row r="7512">
      <c r="A7512" s="273"/>
      <c r="B7512" s="71"/>
      <c r="C7512" s="69" t="s">
        <v>29881</v>
      </c>
      <c r="D7512" s="71"/>
      <c r="E7512" s="68" t="s">
        <v>29882</v>
      </c>
      <c r="F7512" s="76">
        <v>42790.0</v>
      </c>
      <c r="G7512" s="68" t="s">
        <v>29876</v>
      </c>
      <c r="H7512" s="71"/>
      <c r="I7512" s="71"/>
      <c r="J7512" s="68" t="s">
        <v>29883</v>
      </c>
      <c r="K7512" s="76">
        <v>43573.0</v>
      </c>
      <c r="L7512" s="71"/>
      <c r="M7512" s="68" t="s">
        <v>27</v>
      </c>
      <c r="N7512" s="116"/>
      <c r="O7512" s="51"/>
    </row>
    <row r="7513">
      <c r="A7513" s="234"/>
      <c r="B7513" s="71"/>
      <c r="C7513" s="79" t="s">
        <v>29884</v>
      </c>
      <c r="D7513" s="82"/>
      <c r="E7513" s="63" t="s">
        <v>29885</v>
      </c>
      <c r="F7513" s="70">
        <v>42786.0</v>
      </c>
      <c r="G7513" s="63" t="s">
        <v>29250</v>
      </c>
      <c r="H7513" s="82"/>
      <c r="I7513" s="82"/>
      <c r="J7513" s="63" t="s">
        <v>136</v>
      </c>
      <c r="K7513" s="81">
        <v>43573.0</v>
      </c>
      <c r="L7513" s="82"/>
      <c r="M7513" s="80" t="s">
        <v>27</v>
      </c>
      <c r="N7513" s="116"/>
      <c r="O7513" s="51"/>
    </row>
    <row r="7514">
      <c r="A7514" s="273"/>
      <c r="B7514" s="71"/>
      <c r="C7514" s="69" t="s">
        <v>29886</v>
      </c>
      <c r="D7514" s="71"/>
      <c r="E7514" s="68" t="s">
        <v>29887</v>
      </c>
      <c r="F7514" s="76">
        <v>42786.0</v>
      </c>
      <c r="G7514" s="68" t="s">
        <v>29250</v>
      </c>
      <c r="H7514" s="71"/>
      <c r="I7514" s="71"/>
      <c r="J7514" s="68" t="s">
        <v>29888</v>
      </c>
      <c r="K7514" s="76">
        <v>43573.0</v>
      </c>
      <c r="L7514" s="71"/>
      <c r="M7514" s="68" t="s">
        <v>27</v>
      </c>
      <c r="N7514" s="116"/>
      <c r="O7514" s="51"/>
    </row>
    <row r="7515">
      <c r="A7515" s="234"/>
      <c r="B7515" s="71"/>
      <c r="C7515" s="79" t="s">
        <v>29889</v>
      </c>
      <c r="D7515" s="82"/>
      <c r="E7515" s="63" t="s">
        <v>29890</v>
      </c>
      <c r="F7515" s="70">
        <v>42784.0</v>
      </c>
      <c r="G7515" s="63" t="s">
        <v>29891</v>
      </c>
      <c r="H7515" s="82"/>
      <c r="I7515" s="82"/>
      <c r="J7515" s="63" t="s">
        <v>136</v>
      </c>
      <c r="K7515" s="81">
        <v>43573.0</v>
      </c>
      <c r="L7515" s="82"/>
      <c r="M7515" s="80" t="s">
        <v>27</v>
      </c>
      <c r="N7515" s="116"/>
      <c r="O7515" s="51"/>
    </row>
    <row r="7516">
      <c r="A7516" s="273"/>
      <c r="B7516" s="71"/>
      <c r="C7516" s="69" t="s">
        <v>29892</v>
      </c>
      <c r="D7516" s="71"/>
      <c r="E7516" s="68" t="s">
        <v>29893</v>
      </c>
      <c r="F7516" s="76">
        <v>42769.0</v>
      </c>
      <c r="G7516" s="68" t="s">
        <v>29894</v>
      </c>
      <c r="H7516" s="71"/>
      <c r="I7516" s="71"/>
      <c r="J7516" s="68" t="s">
        <v>29895</v>
      </c>
      <c r="K7516" s="76">
        <v>43573.0</v>
      </c>
      <c r="L7516" s="71"/>
      <c r="M7516" s="68" t="s">
        <v>27</v>
      </c>
      <c r="N7516" s="116"/>
      <c r="O7516" s="51"/>
    </row>
    <row r="7517">
      <c r="A7517" s="273"/>
      <c r="B7517" s="71"/>
      <c r="C7517" s="69" t="s">
        <v>29896</v>
      </c>
      <c r="D7517" s="71"/>
      <c r="E7517" s="68" t="s">
        <v>29897</v>
      </c>
      <c r="F7517" s="76">
        <v>42738.0</v>
      </c>
      <c r="G7517" s="68" t="s">
        <v>29407</v>
      </c>
      <c r="H7517" s="71"/>
      <c r="I7517" s="71"/>
      <c r="J7517" s="68" t="s">
        <v>29898</v>
      </c>
      <c r="K7517" s="76">
        <v>43573.0</v>
      </c>
      <c r="L7517" s="71"/>
      <c r="M7517" s="68" t="s">
        <v>27</v>
      </c>
      <c r="N7517" s="116"/>
      <c r="O7517" s="51"/>
    </row>
    <row r="7518">
      <c r="A7518" s="273"/>
      <c r="B7518" s="71"/>
      <c r="C7518" s="69" t="s">
        <v>29899</v>
      </c>
      <c r="D7518" s="71"/>
      <c r="E7518" s="68" t="s">
        <v>29900</v>
      </c>
      <c r="F7518" s="76">
        <v>42738.0</v>
      </c>
      <c r="G7518" s="68" t="s">
        <v>29901</v>
      </c>
      <c r="H7518" s="71"/>
      <c r="I7518" s="71"/>
      <c r="J7518" s="68" t="s">
        <v>29902</v>
      </c>
      <c r="K7518" s="76">
        <v>43573.0</v>
      </c>
      <c r="L7518" s="71"/>
      <c r="M7518" s="68" t="s">
        <v>27</v>
      </c>
      <c r="N7518" s="116"/>
      <c r="O7518" s="51"/>
    </row>
    <row r="7519">
      <c r="A7519" s="273"/>
      <c r="B7519" s="71"/>
      <c r="C7519" s="69" t="s">
        <v>29903</v>
      </c>
      <c r="D7519" s="71"/>
      <c r="E7519" s="68" t="s">
        <v>29904</v>
      </c>
      <c r="F7519" s="76">
        <v>42738.0</v>
      </c>
      <c r="G7519" s="68" t="s">
        <v>29901</v>
      </c>
      <c r="H7519" s="71"/>
      <c r="I7519" s="71"/>
      <c r="J7519" s="68" t="s">
        <v>29905</v>
      </c>
      <c r="K7519" s="76">
        <v>43573.0</v>
      </c>
      <c r="L7519" s="71"/>
      <c r="M7519" s="68" t="s">
        <v>27</v>
      </c>
      <c r="N7519" s="116"/>
      <c r="O7519" s="51"/>
    </row>
    <row r="7520">
      <c r="A7520" s="273"/>
      <c r="B7520" s="71"/>
      <c r="C7520" s="69" t="s">
        <v>29906</v>
      </c>
      <c r="D7520" s="71"/>
      <c r="E7520" s="68" t="s">
        <v>29907</v>
      </c>
      <c r="F7520" s="76">
        <v>42738.0</v>
      </c>
      <c r="G7520" s="68" t="s">
        <v>29901</v>
      </c>
      <c r="H7520" s="71"/>
      <c r="I7520" s="71"/>
      <c r="J7520" s="68" t="s">
        <v>29908</v>
      </c>
      <c r="K7520" s="76">
        <v>43573.0</v>
      </c>
      <c r="L7520" s="71"/>
      <c r="M7520" s="68" t="s">
        <v>27</v>
      </c>
      <c r="N7520" s="116"/>
      <c r="O7520" s="51"/>
    </row>
    <row r="7521">
      <c r="A7521" s="273"/>
      <c r="B7521" s="71"/>
      <c r="C7521" s="69" t="s">
        <v>29909</v>
      </c>
      <c r="D7521" s="71"/>
      <c r="E7521" s="68" t="s">
        <v>29910</v>
      </c>
      <c r="F7521" s="76">
        <v>42738.0</v>
      </c>
      <c r="G7521" s="68" t="s">
        <v>29901</v>
      </c>
      <c r="H7521" s="71"/>
      <c r="I7521" s="71"/>
      <c r="J7521" s="68" t="s">
        <v>29911</v>
      </c>
      <c r="K7521" s="76">
        <v>43573.0</v>
      </c>
      <c r="L7521" s="71"/>
      <c r="M7521" s="68" t="s">
        <v>27</v>
      </c>
      <c r="N7521" s="116"/>
      <c r="O7521" s="51"/>
    </row>
    <row r="7522">
      <c r="A7522" s="273"/>
      <c r="B7522" s="71"/>
      <c r="C7522" s="69" t="s">
        <v>29912</v>
      </c>
      <c r="D7522" s="71"/>
      <c r="E7522" s="68" t="s">
        <v>29913</v>
      </c>
      <c r="F7522" s="76">
        <v>42794.0</v>
      </c>
      <c r="G7522" s="68" t="s">
        <v>29901</v>
      </c>
      <c r="H7522" s="71"/>
      <c r="I7522" s="71"/>
      <c r="J7522" s="68" t="s">
        <v>29914</v>
      </c>
      <c r="K7522" s="76">
        <v>43573.0</v>
      </c>
      <c r="L7522" s="71"/>
      <c r="M7522" s="68" t="s">
        <v>27</v>
      </c>
      <c r="N7522" s="116"/>
      <c r="O7522" s="51"/>
    </row>
    <row r="7523">
      <c r="A7523" s="273"/>
      <c r="B7523" s="71"/>
      <c r="C7523" s="69" t="s">
        <v>29915</v>
      </c>
      <c r="D7523" s="71"/>
      <c r="E7523" s="68" t="s">
        <v>29916</v>
      </c>
      <c r="F7523" s="76">
        <v>42794.0</v>
      </c>
      <c r="G7523" s="68" t="s">
        <v>29865</v>
      </c>
      <c r="H7523" s="71"/>
      <c r="I7523" s="71"/>
      <c r="J7523" s="68" t="s">
        <v>29917</v>
      </c>
      <c r="K7523" s="76">
        <v>43573.0</v>
      </c>
      <c r="L7523" s="71"/>
      <c r="M7523" s="68" t="s">
        <v>27</v>
      </c>
      <c r="N7523" s="116"/>
      <c r="O7523" s="51"/>
    </row>
    <row r="7524">
      <c r="A7524" s="273"/>
      <c r="B7524" s="71"/>
      <c r="C7524" s="69" t="s">
        <v>29918</v>
      </c>
      <c r="D7524" s="71"/>
      <c r="E7524" s="68" t="s">
        <v>29919</v>
      </c>
      <c r="F7524" s="76">
        <v>42794.0</v>
      </c>
      <c r="G7524" s="68" t="s">
        <v>29920</v>
      </c>
      <c r="H7524" s="71"/>
      <c r="I7524" s="71"/>
      <c r="J7524" s="68" t="s">
        <v>29921</v>
      </c>
      <c r="K7524" s="76">
        <v>43573.0</v>
      </c>
      <c r="L7524" s="71"/>
      <c r="M7524" s="68" t="s">
        <v>27</v>
      </c>
      <c r="N7524" s="116"/>
      <c r="O7524" s="51"/>
    </row>
    <row r="7525">
      <c r="A7525" s="273"/>
      <c r="B7525" s="71"/>
      <c r="C7525" s="69" t="s">
        <v>29922</v>
      </c>
      <c r="D7525" s="71"/>
      <c r="E7525" s="68" t="s">
        <v>29923</v>
      </c>
      <c r="F7525" s="76">
        <v>42794.0</v>
      </c>
      <c r="G7525" s="68" t="s">
        <v>29920</v>
      </c>
      <c r="H7525" s="71"/>
      <c r="I7525" s="71"/>
      <c r="J7525" s="68" t="s">
        <v>29924</v>
      </c>
      <c r="K7525" s="76">
        <v>43573.0</v>
      </c>
      <c r="L7525" s="71"/>
      <c r="M7525" s="68" t="s">
        <v>27</v>
      </c>
      <c r="N7525" s="116"/>
      <c r="O7525" s="51"/>
    </row>
    <row r="7526">
      <c r="A7526" s="234"/>
      <c r="B7526" s="71"/>
      <c r="C7526" s="79" t="s">
        <v>29925</v>
      </c>
      <c r="D7526" s="82"/>
      <c r="E7526" s="63" t="s">
        <v>29926</v>
      </c>
      <c r="F7526" s="70">
        <v>42919.0</v>
      </c>
      <c r="G7526" s="63" t="s">
        <v>29927</v>
      </c>
      <c r="H7526" s="82"/>
      <c r="I7526" s="82"/>
      <c r="J7526" s="63" t="s">
        <v>136</v>
      </c>
      <c r="K7526" s="81">
        <v>43573.0</v>
      </c>
      <c r="L7526" s="82"/>
      <c r="M7526" s="80" t="s">
        <v>27</v>
      </c>
      <c r="N7526" s="116"/>
      <c r="O7526" s="51"/>
    </row>
    <row r="7527">
      <c r="A7527" s="234"/>
      <c r="B7527" s="71"/>
      <c r="C7527" s="79" t="s">
        <v>29928</v>
      </c>
      <c r="D7527" s="82"/>
      <c r="E7527" s="63" t="s">
        <v>29929</v>
      </c>
      <c r="F7527" s="70">
        <v>42950.0</v>
      </c>
      <c r="G7527" s="63" t="s">
        <v>29927</v>
      </c>
      <c r="H7527" s="82"/>
      <c r="I7527" s="82"/>
      <c r="J7527" s="63" t="s">
        <v>136</v>
      </c>
      <c r="K7527" s="81">
        <v>43573.0</v>
      </c>
      <c r="L7527" s="82"/>
      <c r="M7527" s="80" t="s">
        <v>27</v>
      </c>
      <c r="N7527" s="116"/>
      <c r="O7527" s="51"/>
    </row>
    <row r="7528">
      <c r="A7528" s="234"/>
      <c r="B7528" s="71"/>
      <c r="C7528" s="79" t="s">
        <v>29930</v>
      </c>
      <c r="D7528" s="82"/>
      <c r="E7528" s="63" t="s">
        <v>29931</v>
      </c>
      <c r="F7528" s="70">
        <v>42950.0</v>
      </c>
      <c r="G7528" s="63" t="s">
        <v>29927</v>
      </c>
      <c r="H7528" s="82"/>
      <c r="I7528" s="82"/>
      <c r="J7528" s="63" t="s">
        <v>136</v>
      </c>
      <c r="K7528" s="81">
        <v>43573.0</v>
      </c>
      <c r="L7528" s="82"/>
      <c r="M7528" s="80" t="s">
        <v>27</v>
      </c>
      <c r="N7528" s="116"/>
      <c r="O7528" s="51"/>
    </row>
    <row r="7529">
      <c r="A7529" s="234"/>
      <c r="B7529" s="71"/>
      <c r="C7529" s="79" t="s">
        <v>29932</v>
      </c>
      <c r="D7529" s="82"/>
      <c r="E7529" s="63" t="s">
        <v>29933</v>
      </c>
      <c r="F7529" s="70">
        <v>42801.0</v>
      </c>
      <c r="G7529" s="63" t="s">
        <v>29927</v>
      </c>
      <c r="H7529" s="82"/>
      <c r="I7529" s="82"/>
      <c r="J7529" s="63" t="s">
        <v>136</v>
      </c>
      <c r="K7529" s="81">
        <v>43573.0</v>
      </c>
      <c r="L7529" s="82"/>
      <c r="M7529" s="80" t="s">
        <v>27</v>
      </c>
      <c r="N7529" s="116"/>
      <c r="O7529" s="51"/>
    </row>
    <row r="7530">
      <c r="A7530" s="234"/>
      <c r="B7530" s="71"/>
      <c r="C7530" s="79" t="s">
        <v>29934</v>
      </c>
      <c r="D7530" s="82"/>
      <c r="E7530" s="63" t="s">
        <v>29935</v>
      </c>
      <c r="F7530" s="70">
        <v>42801.0</v>
      </c>
      <c r="G7530" s="63" t="s">
        <v>29927</v>
      </c>
      <c r="H7530" s="82"/>
      <c r="I7530" s="82"/>
      <c r="J7530" s="63" t="s">
        <v>136</v>
      </c>
      <c r="K7530" s="81">
        <v>43573.0</v>
      </c>
      <c r="L7530" s="82"/>
      <c r="M7530" s="80" t="s">
        <v>27</v>
      </c>
      <c r="N7530" s="116"/>
      <c r="O7530" s="51"/>
    </row>
    <row r="7531">
      <c r="A7531" s="234"/>
      <c r="B7531" s="71"/>
      <c r="C7531" s="79" t="s">
        <v>29936</v>
      </c>
      <c r="D7531" s="82"/>
      <c r="E7531" s="63" t="s">
        <v>29937</v>
      </c>
      <c r="F7531" s="70">
        <v>42801.0</v>
      </c>
      <c r="G7531" s="63" t="s">
        <v>29927</v>
      </c>
      <c r="H7531" s="82"/>
      <c r="I7531" s="82"/>
      <c r="J7531" s="63" t="s">
        <v>136</v>
      </c>
      <c r="K7531" s="81">
        <v>43573.0</v>
      </c>
      <c r="L7531" s="82"/>
      <c r="M7531" s="80" t="s">
        <v>27</v>
      </c>
      <c r="N7531" s="116"/>
      <c r="O7531" s="51"/>
    </row>
    <row r="7532">
      <c r="A7532" s="234"/>
      <c r="B7532" s="71"/>
      <c r="C7532" s="79" t="s">
        <v>29938</v>
      </c>
      <c r="D7532" s="82"/>
      <c r="E7532" s="63" t="s">
        <v>29939</v>
      </c>
      <c r="F7532" s="70">
        <v>42801.0</v>
      </c>
      <c r="G7532" s="63" t="s">
        <v>29927</v>
      </c>
      <c r="H7532" s="82"/>
      <c r="I7532" s="82"/>
      <c r="J7532" s="63" t="s">
        <v>136</v>
      </c>
      <c r="K7532" s="81">
        <v>43573.0</v>
      </c>
      <c r="L7532" s="82"/>
      <c r="M7532" s="80" t="s">
        <v>27</v>
      </c>
      <c r="N7532" s="116"/>
      <c r="O7532" s="51"/>
    </row>
    <row r="7533">
      <c r="A7533" s="234"/>
      <c r="B7533" s="71"/>
      <c r="C7533" s="79" t="s">
        <v>29940</v>
      </c>
      <c r="D7533" s="82"/>
      <c r="E7533" s="63" t="s">
        <v>29941</v>
      </c>
      <c r="F7533" s="70">
        <v>42801.0</v>
      </c>
      <c r="G7533" s="63" t="s">
        <v>29927</v>
      </c>
      <c r="H7533" s="82"/>
      <c r="I7533" s="82"/>
      <c r="J7533" s="63" t="s">
        <v>136</v>
      </c>
      <c r="K7533" s="81">
        <v>43573.0</v>
      </c>
      <c r="L7533" s="82"/>
      <c r="M7533" s="80" t="s">
        <v>27</v>
      </c>
      <c r="N7533" s="116"/>
      <c r="O7533" s="51"/>
    </row>
    <row r="7534">
      <c r="A7534" s="234"/>
      <c r="B7534" s="71"/>
      <c r="C7534" s="79" t="s">
        <v>29942</v>
      </c>
      <c r="D7534" s="82"/>
      <c r="E7534" s="63" t="s">
        <v>29943</v>
      </c>
      <c r="F7534" s="70">
        <v>42801.0</v>
      </c>
      <c r="G7534" s="63" t="s">
        <v>29927</v>
      </c>
      <c r="H7534" s="82"/>
      <c r="I7534" s="82"/>
      <c r="J7534" s="63" t="s">
        <v>136</v>
      </c>
      <c r="K7534" s="81">
        <v>43573.0</v>
      </c>
      <c r="L7534" s="82"/>
      <c r="M7534" s="80" t="s">
        <v>27</v>
      </c>
      <c r="N7534" s="116"/>
      <c r="O7534" s="51"/>
    </row>
    <row r="7535">
      <c r="A7535" s="234"/>
      <c r="B7535" s="71"/>
      <c r="C7535" s="79" t="s">
        <v>29944</v>
      </c>
      <c r="D7535" s="82"/>
      <c r="E7535" s="63" t="s">
        <v>29945</v>
      </c>
      <c r="F7535" s="70">
        <v>42950.0</v>
      </c>
      <c r="G7535" s="63" t="s">
        <v>29927</v>
      </c>
      <c r="H7535" s="82"/>
      <c r="I7535" s="82"/>
      <c r="J7535" s="63" t="s">
        <v>136</v>
      </c>
      <c r="K7535" s="81">
        <v>43573.0</v>
      </c>
      <c r="L7535" s="82"/>
      <c r="M7535" s="80" t="s">
        <v>27</v>
      </c>
      <c r="N7535" s="116"/>
      <c r="O7535" s="51"/>
    </row>
    <row r="7536">
      <c r="A7536" s="234"/>
      <c r="B7536" s="71"/>
      <c r="C7536" s="79" t="s">
        <v>29946</v>
      </c>
      <c r="D7536" s="82"/>
      <c r="E7536" s="63" t="s">
        <v>29947</v>
      </c>
      <c r="F7536" s="70">
        <v>42950.0</v>
      </c>
      <c r="G7536" s="63" t="s">
        <v>29927</v>
      </c>
      <c r="H7536" s="82"/>
      <c r="I7536" s="82"/>
      <c r="J7536" s="63" t="s">
        <v>136</v>
      </c>
      <c r="K7536" s="81">
        <v>43573.0</v>
      </c>
      <c r="L7536" s="82"/>
      <c r="M7536" s="80" t="s">
        <v>27</v>
      </c>
      <c r="N7536" s="116"/>
      <c r="O7536" s="51"/>
    </row>
    <row r="7537">
      <c r="A7537" s="234"/>
      <c r="B7537" s="71"/>
      <c r="C7537" s="79" t="s">
        <v>29948</v>
      </c>
      <c r="D7537" s="82"/>
      <c r="E7537" s="63" t="s">
        <v>29949</v>
      </c>
      <c r="F7537" s="70">
        <v>42809.0</v>
      </c>
      <c r="G7537" s="63" t="s">
        <v>29950</v>
      </c>
      <c r="H7537" s="82"/>
      <c r="I7537" s="82"/>
      <c r="J7537" s="63" t="s">
        <v>136</v>
      </c>
      <c r="K7537" s="81">
        <v>43573.0</v>
      </c>
      <c r="L7537" s="82"/>
      <c r="M7537" s="80" t="s">
        <v>27</v>
      </c>
      <c r="N7537" s="116"/>
      <c r="O7537" s="51"/>
    </row>
    <row r="7538">
      <c r="A7538" s="273"/>
      <c r="B7538" s="71"/>
      <c r="C7538" s="69" t="s">
        <v>29951</v>
      </c>
      <c r="D7538" s="71"/>
      <c r="E7538" s="68" t="s">
        <v>29952</v>
      </c>
      <c r="F7538" s="76">
        <v>42811.0</v>
      </c>
      <c r="G7538" s="68" t="s">
        <v>29953</v>
      </c>
      <c r="H7538" s="71"/>
      <c r="I7538" s="71"/>
      <c r="J7538" s="68" t="s">
        <v>29954</v>
      </c>
      <c r="K7538" s="76">
        <v>43573.0</v>
      </c>
      <c r="L7538" s="71"/>
      <c r="M7538" s="68" t="s">
        <v>27</v>
      </c>
      <c r="N7538" s="116"/>
      <c r="O7538" s="51"/>
    </row>
    <row r="7539">
      <c r="A7539" s="273"/>
      <c r="B7539" s="71"/>
      <c r="C7539" s="69" t="s">
        <v>29955</v>
      </c>
      <c r="D7539" s="71"/>
      <c r="E7539" s="68" t="s">
        <v>29956</v>
      </c>
      <c r="F7539" s="76">
        <v>42811.0</v>
      </c>
      <c r="G7539" s="68" t="s">
        <v>29957</v>
      </c>
      <c r="H7539" s="71"/>
      <c r="I7539" s="71"/>
      <c r="J7539" s="68" t="s">
        <v>29958</v>
      </c>
      <c r="K7539" s="76">
        <v>43573.0</v>
      </c>
      <c r="L7539" s="71"/>
      <c r="M7539" s="68" t="s">
        <v>27</v>
      </c>
      <c r="N7539" s="116"/>
      <c r="O7539" s="51"/>
    </row>
    <row r="7540">
      <c r="A7540" s="234"/>
      <c r="B7540" s="71"/>
      <c r="C7540" s="79" t="s">
        <v>29959</v>
      </c>
      <c r="D7540" s="82"/>
      <c r="E7540" s="63" t="s">
        <v>29960</v>
      </c>
      <c r="F7540" s="70">
        <v>42811.0</v>
      </c>
      <c r="G7540" s="63" t="s">
        <v>29006</v>
      </c>
      <c r="H7540" s="82"/>
      <c r="I7540" s="82"/>
      <c r="J7540" s="63" t="s">
        <v>136</v>
      </c>
      <c r="K7540" s="81">
        <v>43573.0</v>
      </c>
      <c r="L7540" s="82"/>
      <c r="M7540" s="80" t="s">
        <v>27</v>
      </c>
      <c r="N7540" s="116"/>
      <c r="O7540" s="51"/>
    </row>
    <row r="7541">
      <c r="A7541" s="234"/>
      <c r="B7541" s="71"/>
      <c r="C7541" s="79" t="s">
        <v>29961</v>
      </c>
      <c r="D7541" s="82"/>
      <c r="E7541" s="63" t="s">
        <v>29962</v>
      </c>
      <c r="F7541" s="70">
        <v>42809.0</v>
      </c>
      <c r="G7541" s="63" t="s">
        <v>29950</v>
      </c>
      <c r="H7541" s="82"/>
      <c r="I7541" s="82"/>
      <c r="J7541" s="63" t="s">
        <v>136</v>
      </c>
      <c r="K7541" s="81">
        <v>43573.0</v>
      </c>
      <c r="L7541" s="82"/>
      <c r="M7541" s="80" t="s">
        <v>27</v>
      </c>
      <c r="N7541" s="116"/>
      <c r="O7541" s="51"/>
    </row>
    <row r="7542">
      <c r="A7542" s="234"/>
      <c r="B7542" s="71"/>
      <c r="C7542" s="79" t="s">
        <v>29963</v>
      </c>
      <c r="D7542" s="82"/>
      <c r="E7542" s="63" t="s">
        <v>29964</v>
      </c>
      <c r="F7542" s="70">
        <v>42809.0</v>
      </c>
      <c r="G7542" s="63" t="s">
        <v>29950</v>
      </c>
      <c r="H7542" s="82"/>
      <c r="I7542" s="82"/>
      <c r="J7542" s="63" t="s">
        <v>136</v>
      </c>
      <c r="K7542" s="81">
        <v>43573.0</v>
      </c>
      <c r="L7542" s="82"/>
      <c r="M7542" s="80" t="s">
        <v>27</v>
      </c>
      <c r="N7542" s="116"/>
      <c r="O7542" s="51"/>
    </row>
    <row r="7543">
      <c r="A7543" s="234"/>
      <c r="B7543" s="71"/>
      <c r="C7543" s="79" t="s">
        <v>29965</v>
      </c>
      <c r="D7543" s="82"/>
      <c r="E7543" s="63" t="s">
        <v>29966</v>
      </c>
      <c r="F7543" s="70">
        <v>42809.0</v>
      </c>
      <c r="G7543" s="63" t="s">
        <v>29967</v>
      </c>
      <c r="H7543" s="82"/>
      <c r="I7543" s="82"/>
      <c r="J7543" s="63" t="s">
        <v>136</v>
      </c>
      <c r="K7543" s="81">
        <v>43573.0</v>
      </c>
      <c r="L7543" s="82"/>
      <c r="M7543" s="80" t="s">
        <v>27</v>
      </c>
      <c r="N7543" s="116"/>
      <c r="O7543" s="51"/>
    </row>
    <row r="7544">
      <c r="A7544" s="234"/>
      <c r="B7544" s="71"/>
      <c r="C7544" s="79" t="s">
        <v>29968</v>
      </c>
      <c r="D7544" s="82"/>
      <c r="E7544" s="63" t="s">
        <v>29969</v>
      </c>
      <c r="F7544" s="70">
        <v>38785.0</v>
      </c>
      <c r="G7544" s="63" t="s">
        <v>29970</v>
      </c>
      <c r="H7544" s="82"/>
      <c r="I7544" s="82"/>
      <c r="J7544" s="63" t="s">
        <v>136</v>
      </c>
      <c r="K7544" s="81">
        <v>43573.0</v>
      </c>
      <c r="L7544" s="82"/>
      <c r="M7544" s="80" t="s">
        <v>27</v>
      </c>
      <c r="N7544" s="116"/>
      <c r="O7544" s="51"/>
    </row>
    <row r="7545">
      <c r="A7545" s="234"/>
      <c r="B7545" s="71"/>
      <c r="C7545" s="79" t="s">
        <v>29971</v>
      </c>
      <c r="D7545" s="82"/>
      <c r="E7545" s="63" t="s">
        <v>29972</v>
      </c>
      <c r="F7545" s="70">
        <v>38785.0</v>
      </c>
      <c r="G7545" s="63" t="s">
        <v>29970</v>
      </c>
      <c r="H7545" s="82"/>
      <c r="I7545" s="82"/>
      <c r="J7545" s="63" t="s">
        <v>136</v>
      </c>
      <c r="K7545" s="81">
        <v>43573.0</v>
      </c>
      <c r="L7545" s="82"/>
      <c r="M7545" s="80" t="s">
        <v>27</v>
      </c>
      <c r="N7545" s="116"/>
      <c r="O7545" s="51"/>
    </row>
    <row r="7546">
      <c r="A7546" s="234"/>
      <c r="B7546" s="71"/>
      <c r="C7546" s="79" t="s">
        <v>29973</v>
      </c>
      <c r="D7546" s="82"/>
      <c r="E7546" s="63" t="s">
        <v>29974</v>
      </c>
      <c r="F7546" s="70">
        <v>38785.0</v>
      </c>
      <c r="G7546" s="63" t="s">
        <v>29970</v>
      </c>
      <c r="H7546" s="82"/>
      <c r="I7546" s="82"/>
      <c r="J7546" s="63" t="s">
        <v>136</v>
      </c>
      <c r="K7546" s="81">
        <v>43573.0</v>
      </c>
      <c r="L7546" s="82"/>
      <c r="M7546" s="80" t="s">
        <v>27</v>
      </c>
      <c r="N7546" s="116"/>
      <c r="O7546" s="51"/>
    </row>
    <row r="7547">
      <c r="A7547" s="234"/>
      <c r="B7547" s="71"/>
      <c r="C7547" s="79" t="s">
        <v>29975</v>
      </c>
      <c r="D7547" s="82"/>
      <c r="E7547" s="63" t="s">
        <v>29976</v>
      </c>
      <c r="F7547" s="70">
        <v>38785.0</v>
      </c>
      <c r="G7547" s="63" t="s">
        <v>29970</v>
      </c>
      <c r="H7547" s="82"/>
      <c r="I7547" s="82"/>
      <c r="J7547" s="63" t="s">
        <v>136</v>
      </c>
      <c r="K7547" s="81">
        <v>43573.0</v>
      </c>
      <c r="L7547" s="82"/>
      <c r="M7547" s="80" t="s">
        <v>27</v>
      </c>
      <c r="N7547" s="116"/>
      <c r="O7547" s="51"/>
    </row>
    <row r="7548">
      <c r="A7548" s="234"/>
      <c r="B7548" s="71"/>
      <c r="C7548" s="79" t="s">
        <v>29977</v>
      </c>
      <c r="D7548" s="82"/>
      <c r="E7548" s="63" t="s">
        <v>29978</v>
      </c>
      <c r="F7548" s="70">
        <v>38785.0</v>
      </c>
      <c r="G7548" s="63" t="s">
        <v>29970</v>
      </c>
      <c r="H7548" s="82"/>
      <c r="I7548" s="82"/>
      <c r="J7548" s="63" t="s">
        <v>136</v>
      </c>
      <c r="K7548" s="81">
        <v>43573.0</v>
      </c>
      <c r="L7548" s="82"/>
      <c r="M7548" s="80" t="s">
        <v>27</v>
      </c>
      <c r="N7548" s="116"/>
      <c r="O7548" s="51"/>
    </row>
    <row r="7549">
      <c r="A7549" s="234"/>
      <c r="B7549" s="71"/>
      <c r="C7549" s="79" t="s">
        <v>29979</v>
      </c>
      <c r="D7549" s="82"/>
      <c r="E7549" s="63" t="s">
        <v>29980</v>
      </c>
      <c r="F7549" s="70">
        <v>38785.0</v>
      </c>
      <c r="G7549" s="63" t="s">
        <v>29970</v>
      </c>
      <c r="H7549" s="82"/>
      <c r="I7549" s="82"/>
      <c r="J7549" s="63" t="s">
        <v>136</v>
      </c>
      <c r="K7549" s="81">
        <v>43573.0</v>
      </c>
      <c r="L7549" s="82"/>
      <c r="M7549" s="80" t="s">
        <v>27</v>
      </c>
      <c r="N7549" s="116"/>
      <c r="O7549" s="51"/>
    </row>
    <row r="7550">
      <c r="A7550" s="234"/>
      <c r="B7550" s="71"/>
      <c r="C7550" s="79" t="s">
        <v>29981</v>
      </c>
      <c r="D7550" s="82"/>
      <c r="E7550" s="63" t="s">
        <v>29982</v>
      </c>
      <c r="F7550" s="70">
        <v>38785.0</v>
      </c>
      <c r="G7550" s="63" t="s">
        <v>29970</v>
      </c>
      <c r="H7550" s="82"/>
      <c r="I7550" s="82"/>
      <c r="J7550" s="63" t="s">
        <v>136</v>
      </c>
      <c r="K7550" s="81">
        <v>43573.0</v>
      </c>
      <c r="L7550" s="82"/>
      <c r="M7550" s="80" t="s">
        <v>27</v>
      </c>
      <c r="N7550" s="116"/>
      <c r="O7550" s="51"/>
    </row>
    <row r="7551">
      <c r="A7551" s="234"/>
      <c r="B7551" s="71"/>
      <c r="C7551" s="79" t="s">
        <v>29983</v>
      </c>
      <c r="D7551" s="82"/>
      <c r="E7551" s="63" t="s">
        <v>29984</v>
      </c>
      <c r="F7551" s="70">
        <v>38785.0</v>
      </c>
      <c r="G7551" s="63" t="s">
        <v>29970</v>
      </c>
      <c r="H7551" s="82"/>
      <c r="I7551" s="82"/>
      <c r="J7551" s="63" t="s">
        <v>136</v>
      </c>
      <c r="K7551" s="81">
        <v>43573.0</v>
      </c>
      <c r="L7551" s="82"/>
      <c r="M7551" s="80" t="s">
        <v>27</v>
      </c>
      <c r="N7551" s="116"/>
      <c r="O7551" s="51"/>
    </row>
    <row r="7552">
      <c r="A7552" s="234"/>
      <c r="B7552" s="71"/>
      <c r="C7552" s="79" t="s">
        <v>29985</v>
      </c>
      <c r="D7552" s="82"/>
      <c r="E7552" s="63" t="s">
        <v>29986</v>
      </c>
      <c r="F7552" s="70">
        <v>38785.0</v>
      </c>
      <c r="G7552" s="63" t="s">
        <v>29970</v>
      </c>
      <c r="H7552" s="82"/>
      <c r="I7552" s="82"/>
      <c r="J7552" s="63" t="s">
        <v>136</v>
      </c>
      <c r="K7552" s="81">
        <v>43573.0</v>
      </c>
      <c r="L7552" s="82"/>
      <c r="M7552" s="80" t="s">
        <v>27</v>
      </c>
      <c r="N7552" s="116"/>
      <c r="O7552" s="51"/>
    </row>
    <row r="7553">
      <c r="A7553" s="234"/>
      <c r="B7553" s="71"/>
      <c r="C7553" s="79" t="s">
        <v>29987</v>
      </c>
      <c r="D7553" s="82"/>
      <c r="E7553" s="63" t="s">
        <v>29988</v>
      </c>
      <c r="F7553" s="70">
        <v>38785.0</v>
      </c>
      <c r="G7553" s="63" t="s">
        <v>29970</v>
      </c>
      <c r="H7553" s="82"/>
      <c r="I7553" s="82"/>
      <c r="J7553" s="63" t="s">
        <v>136</v>
      </c>
      <c r="K7553" s="81">
        <v>43573.0</v>
      </c>
      <c r="L7553" s="82"/>
      <c r="M7553" s="80" t="s">
        <v>27</v>
      </c>
      <c r="N7553" s="116"/>
      <c r="O7553" s="51"/>
    </row>
    <row r="7554">
      <c r="A7554" s="234"/>
      <c r="B7554" s="71"/>
      <c r="C7554" s="79" t="s">
        <v>29989</v>
      </c>
      <c r="D7554" s="82"/>
      <c r="E7554" s="63" t="s">
        <v>29990</v>
      </c>
      <c r="F7554" s="70">
        <v>38785.0</v>
      </c>
      <c r="G7554" s="63" t="s">
        <v>29970</v>
      </c>
      <c r="H7554" s="82"/>
      <c r="I7554" s="82"/>
      <c r="J7554" s="63" t="s">
        <v>136</v>
      </c>
      <c r="K7554" s="81">
        <v>43573.0</v>
      </c>
      <c r="L7554" s="82"/>
      <c r="M7554" s="80" t="s">
        <v>27</v>
      </c>
      <c r="N7554" s="116"/>
      <c r="O7554" s="51"/>
    </row>
    <row r="7555">
      <c r="A7555" s="234"/>
      <c r="B7555" s="71"/>
      <c r="C7555" s="79" t="s">
        <v>29991</v>
      </c>
      <c r="D7555" s="82"/>
      <c r="E7555" s="63" t="s">
        <v>29992</v>
      </c>
      <c r="F7555" s="70">
        <v>38785.0</v>
      </c>
      <c r="G7555" s="63" t="s">
        <v>29970</v>
      </c>
      <c r="H7555" s="82"/>
      <c r="I7555" s="82"/>
      <c r="J7555" s="63" t="s">
        <v>136</v>
      </c>
      <c r="K7555" s="81">
        <v>43573.0</v>
      </c>
      <c r="L7555" s="82"/>
      <c r="M7555" s="80" t="s">
        <v>27</v>
      </c>
      <c r="N7555" s="116"/>
      <c r="O7555" s="51"/>
    </row>
    <row r="7556">
      <c r="A7556" s="234"/>
      <c r="B7556" s="71"/>
      <c r="C7556" s="79" t="s">
        <v>29993</v>
      </c>
      <c r="D7556" s="82"/>
      <c r="E7556" s="63" t="s">
        <v>29994</v>
      </c>
      <c r="F7556" s="70">
        <v>38785.0</v>
      </c>
      <c r="G7556" s="63" t="s">
        <v>29970</v>
      </c>
      <c r="H7556" s="82"/>
      <c r="I7556" s="82"/>
      <c r="J7556" s="63" t="s">
        <v>136</v>
      </c>
      <c r="K7556" s="81">
        <v>43573.0</v>
      </c>
      <c r="L7556" s="82"/>
      <c r="M7556" s="80" t="s">
        <v>27</v>
      </c>
      <c r="N7556" s="116"/>
      <c r="O7556" s="51"/>
    </row>
    <row r="7557">
      <c r="A7557" s="234"/>
      <c r="B7557" s="71"/>
      <c r="C7557" s="79" t="s">
        <v>29995</v>
      </c>
      <c r="D7557" s="82"/>
      <c r="E7557" s="63" t="s">
        <v>29996</v>
      </c>
      <c r="F7557" s="70">
        <v>38785.0</v>
      </c>
      <c r="G7557" s="63" t="s">
        <v>29970</v>
      </c>
      <c r="H7557" s="82"/>
      <c r="I7557" s="82"/>
      <c r="J7557" s="63" t="s">
        <v>136</v>
      </c>
      <c r="K7557" s="81">
        <v>43573.0</v>
      </c>
      <c r="L7557" s="82"/>
      <c r="M7557" s="80" t="s">
        <v>27</v>
      </c>
      <c r="N7557" s="116"/>
      <c r="O7557" s="51"/>
    </row>
    <row r="7558">
      <c r="A7558" s="234"/>
      <c r="B7558" s="71"/>
      <c r="C7558" s="79" t="s">
        <v>29997</v>
      </c>
      <c r="D7558" s="82"/>
      <c r="E7558" s="63" t="s">
        <v>29998</v>
      </c>
      <c r="F7558" s="70">
        <v>38785.0</v>
      </c>
      <c r="G7558" s="63" t="s">
        <v>29970</v>
      </c>
      <c r="H7558" s="82"/>
      <c r="I7558" s="82"/>
      <c r="J7558" s="63" t="s">
        <v>136</v>
      </c>
      <c r="K7558" s="81">
        <v>43573.0</v>
      </c>
      <c r="L7558" s="82"/>
      <c r="M7558" s="80" t="s">
        <v>27</v>
      </c>
      <c r="N7558" s="116"/>
      <c r="O7558" s="51"/>
    </row>
    <row r="7559">
      <c r="A7559" s="234"/>
      <c r="B7559" s="71"/>
      <c r="C7559" s="79" t="s">
        <v>29999</v>
      </c>
      <c r="D7559" s="82"/>
      <c r="E7559" s="63" t="s">
        <v>30000</v>
      </c>
      <c r="F7559" s="70">
        <v>38785.0</v>
      </c>
      <c r="G7559" s="63" t="s">
        <v>29970</v>
      </c>
      <c r="H7559" s="82"/>
      <c r="I7559" s="82"/>
      <c r="J7559" s="63" t="s">
        <v>136</v>
      </c>
      <c r="K7559" s="81">
        <v>43573.0</v>
      </c>
      <c r="L7559" s="82"/>
      <c r="M7559" s="80" t="s">
        <v>27</v>
      </c>
      <c r="N7559" s="116"/>
      <c r="O7559" s="51"/>
    </row>
    <row r="7560">
      <c r="A7560" s="234"/>
      <c r="B7560" s="71"/>
      <c r="C7560" s="79" t="s">
        <v>30001</v>
      </c>
      <c r="D7560" s="82"/>
      <c r="E7560" s="63" t="s">
        <v>30002</v>
      </c>
      <c r="F7560" s="70">
        <v>38785.0</v>
      </c>
      <c r="G7560" s="63" t="s">
        <v>29970</v>
      </c>
      <c r="H7560" s="82"/>
      <c r="I7560" s="82"/>
      <c r="J7560" s="63" t="s">
        <v>136</v>
      </c>
      <c r="K7560" s="81">
        <v>43573.0</v>
      </c>
      <c r="L7560" s="82"/>
      <c r="M7560" s="80" t="s">
        <v>27</v>
      </c>
      <c r="N7560" s="116"/>
      <c r="O7560" s="51"/>
    </row>
    <row r="7561">
      <c r="A7561" s="234"/>
      <c r="B7561" s="71"/>
      <c r="C7561" s="79" t="s">
        <v>30003</v>
      </c>
      <c r="D7561" s="82"/>
      <c r="E7561" s="63" t="s">
        <v>30004</v>
      </c>
      <c r="F7561" s="70">
        <v>38785.0</v>
      </c>
      <c r="G7561" s="63" t="s">
        <v>29970</v>
      </c>
      <c r="H7561" s="82"/>
      <c r="I7561" s="82"/>
      <c r="J7561" s="63" t="s">
        <v>136</v>
      </c>
      <c r="K7561" s="81">
        <v>43573.0</v>
      </c>
      <c r="L7561" s="82"/>
      <c r="M7561" s="80" t="s">
        <v>27</v>
      </c>
      <c r="N7561" s="116"/>
      <c r="O7561" s="51"/>
    </row>
    <row r="7562">
      <c r="A7562" s="234"/>
      <c r="B7562" s="71"/>
      <c r="C7562" s="79" t="s">
        <v>30005</v>
      </c>
      <c r="D7562" s="82"/>
      <c r="E7562" s="63" t="s">
        <v>30006</v>
      </c>
      <c r="F7562" s="70">
        <v>38785.0</v>
      </c>
      <c r="G7562" s="63" t="s">
        <v>29970</v>
      </c>
      <c r="H7562" s="82"/>
      <c r="I7562" s="82"/>
      <c r="J7562" s="63" t="s">
        <v>136</v>
      </c>
      <c r="K7562" s="81">
        <v>43573.0</v>
      </c>
      <c r="L7562" s="82"/>
      <c r="M7562" s="80" t="s">
        <v>27</v>
      </c>
      <c r="N7562" s="116"/>
      <c r="O7562" s="51"/>
    </row>
    <row r="7563">
      <c r="A7563" s="234"/>
      <c r="B7563" s="71"/>
      <c r="C7563" s="79" t="s">
        <v>30007</v>
      </c>
      <c r="D7563" s="82"/>
      <c r="E7563" s="63" t="s">
        <v>30008</v>
      </c>
      <c r="F7563" s="70">
        <v>38785.0</v>
      </c>
      <c r="G7563" s="63" t="s">
        <v>29970</v>
      </c>
      <c r="H7563" s="82"/>
      <c r="I7563" s="82"/>
      <c r="J7563" s="63" t="s">
        <v>136</v>
      </c>
      <c r="K7563" s="81">
        <v>43573.0</v>
      </c>
      <c r="L7563" s="82"/>
      <c r="M7563" s="80" t="s">
        <v>27</v>
      </c>
      <c r="N7563" s="116"/>
      <c r="O7563" s="51"/>
    </row>
    <row r="7564">
      <c r="A7564" s="234"/>
      <c r="B7564" s="71"/>
      <c r="C7564" s="79" t="s">
        <v>30009</v>
      </c>
      <c r="D7564" s="82"/>
      <c r="E7564" s="63" t="s">
        <v>30010</v>
      </c>
      <c r="F7564" s="70">
        <v>38785.0</v>
      </c>
      <c r="G7564" s="63" t="s">
        <v>29970</v>
      </c>
      <c r="H7564" s="82"/>
      <c r="I7564" s="82"/>
      <c r="J7564" s="63" t="s">
        <v>136</v>
      </c>
      <c r="K7564" s="81">
        <v>43573.0</v>
      </c>
      <c r="L7564" s="82"/>
      <c r="M7564" s="80" t="s">
        <v>27</v>
      </c>
      <c r="N7564" s="116"/>
      <c r="O7564" s="51"/>
    </row>
    <row r="7565">
      <c r="A7565" s="234"/>
      <c r="B7565" s="71"/>
      <c r="C7565" s="79" t="s">
        <v>30011</v>
      </c>
      <c r="D7565" s="82"/>
      <c r="E7565" s="63" t="s">
        <v>30012</v>
      </c>
      <c r="F7565" s="70">
        <v>38785.0</v>
      </c>
      <c r="G7565" s="63" t="s">
        <v>29970</v>
      </c>
      <c r="H7565" s="82"/>
      <c r="I7565" s="82"/>
      <c r="J7565" s="63" t="s">
        <v>136</v>
      </c>
      <c r="K7565" s="81">
        <v>43573.0</v>
      </c>
      <c r="L7565" s="82"/>
      <c r="M7565" s="80" t="s">
        <v>27</v>
      </c>
      <c r="N7565" s="116"/>
      <c r="O7565" s="51"/>
    </row>
    <row r="7566">
      <c r="A7566" s="234"/>
      <c r="B7566" s="71"/>
      <c r="C7566" s="79" t="s">
        <v>30013</v>
      </c>
      <c r="D7566" s="82"/>
      <c r="E7566" s="63" t="s">
        <v>30014</v>
      </c>
      <c r="F7566" s="70">
        <v>38785.0</v>
      </c>
      <c r="G7566" s="63" t="s">
        <v>29970</v>
      </c>
      <c r="H7566" s="82"/>
      <c r="I7566" s="82"/>
      <c r="J7566" s="63" t="s">
        <v>136</v>
      </c>
      <c r="K7566" s="81">
        <v>43573.0</v>
      </c>
      <c r="L7566" s="82"/>
      <c r="M7566" s="80" t="s">
        <v>27</v>
      </c>
      <c r="N7566" s="116"/>
      <c r="O7566" s="51"/>
    </row>
    <row r="7567">
      <c r="A7567" s="234"/>
      <c r="B7567" s="71"/>
      <c r="C7567" s="79" t="s">
        <v>30015</v>
      </c>
      <c r="D7567" s="82"/>
      <c r="E7567" s="63" t="s">
        <v>30016</v>
      </c>
      <c r="F7567" s="70">
        <v>38785.0</v>
      </c>
      <c r="G7567" s="63" t="s">
        <v>29970</v>
      </c>
      <c r="H7567" s="82"/>
      <c r="I7567" s="82"/>
      <c r="J7567" s="63" t="s">
        <v>136</v>
      </c>
      <c r="K7567" s="81">
        <v>43573.0</v>
      </c>
      <c r="L7567" s="82"/>
      <c r="M7567" s="80" t="s">
        <v>27</v>
      </c>
      <c r="N7567" s="116"/>
      <c r="O7567" s="51"/>
    </row>
    <row r="7568">
      <c r="A7568" s="234"/>
      <c r="B7568" s="71"/>
      <c r="C7568" s="79" t="s">
        <v>30017</v>
      </c>
      <c r="D7568" s="82"/>
      <c r="E7568" s="63" t="s">
        <v>30018</v>
      </c>
      <c r="F7568" s="70">
        <v>38785.0</v>
      </c>
      <c r="G7568" s="63" t="s">
        <v>29970</v>
      </c>
      <c r="H7568" s="82"/>
      <c r="I7568" s="82"/>
      <c r="J7568" s="63" t="s">
        <v>136</v>
      </c>
      <c r="K7568" s="81">
        <v>43573.0</v>
      </c>
      <c r="L7568" s="82"/>
      <c r="M7568" s="80" t="s">
        <v>27</v>
      </c>
      <c r="N7568" s="116"/>
      <c r="O7568" s="51"/>
    </row>
    <row r="7569">
      <c r="A7569" s="234"/>
      <c r="B7569" s="71"/>
      <c r="C7569" s="79" t="s">
        <v>30019</v>
      </c>
      <c r="D7569" s="82"/>
      <c r="E7569" s="63" t="s">
        <v>30020</v>
      </c>
      <c r="F7569" s="70">
        <v>38785.0</v>
      </c>
      <c r="G7569" s="63" t="s">
        <v>29970</v>
      </c>
      <c r="H7569" s="82"/>
      <c r="I7569" s="82"/>
      <c r="J7569" s="63" t="s">
        <v>136</v>
      </c>
      <c r="K7569" s="81">
        <v>43573.0</v>
      </c>
      <c r="L7569" s="82"/>
      <c r="M7569" s="80" t="s">
        <v>27</v>
      </c>
      <c r="N7569" s="116"/>
      <c r="O7569" s="51"/>
    </row>
    <row r="7570">
      <c r="A7570" s="234"/>
      <c r="B7570" s="71"/>
      <c r="C7570" s="79" t="s">
        <v>30021</v>
      </c>
      <c r="D7570" s="82"/>
      <c r="E7570" s="63" t="s">
        <v>30022</v>
      </c>
      <c r="F7570" s="70">
        <v>38973.0</v>
      </c>
      <c r="G7570" s="63" t="s">
        <v>29970</v>
      </c>
      <c r="H7570" s="82"/>
      <c r="I7570" s="82"/>
      <c r="J7570" s="63" t="s">
        <v>136</v>
      </c>
      <c r="K7570" s="81">
        <v>43573.0</v>
      </c>
      <c r="L7570" s="82"/>
      <c r="M7570" s="80" t="s">
        <v>27</v>
      </c>
      <c r="N7570" s="116"/>
      <c r="O7570" s="51"/>
    </row>
    <row r="7571">
      <c r="A7571" s="234"/>
      <c r="B7571" s="71"/>
      <c r="C7571" s="79" t="s">
        <v>30023</v>
      </c>
      <c r="D7571" s="82"/>
      <c r="E7571" s="63" t="s">
        <v>30024</v>
      </c>
      <c r="F7571" s="70">
        <v>38973.0</v>
      </c>
      <c r="G7571" s="63" t="s">
        <v>29970</v>
      </c>
      <c r="H7571" s="82"/>
      <c r="I7571" s="82"/>
      <c r="J7571" s="63" t="s">
        <v>136</v>
      </c>
      <c r="K7571" s="81">
        <v>43573.0</v>
      </c>
      <c r="L7571" s="82"/>
      <c r="M7571" s="80" t="s">
        <v>27</v>
      </c>
      <c r="N7571" s="116"/>
      <c r="O7571" s="51"/>
    </row>
    <row r="7572">
      <c r="A7572" s="234"/>
      <c r="B7572" s="71"/>
      <c r="C7572" s="79" t="s">
        <v>30025</v>
      </c>
      <c r="D7572" s="82"/>
      <c r="E7572" s="63" t="s">
        <v>30026</v>
      </c>
      <c r="F7572" s="70">
        <v>38973.0</v>
      </c>
      <c r="G7572" s="63" t="s">
        <v>29970</v>
      </c>
      <c r="H7572" s="82"/>
      <c r="I7572" s="82"/>
      <c r="J7572" s="63" t="s">
        <v>136</v>
      </c>
      <c r="K7572" s="81">
        <v>43573.0</v>
      </c>
      <c r="L7572" s="82"/>
      <c r="M7572" s="80" t="s">
        <v>27</v>
      </c>
      <c r="N7572" s="116"/>
      <c r="O7572" s="51"/>
    </row>
    <row r="7573">
      <c r="A7573" s="234"/>
      <c r="B7573" s="71"/>
      <c r="C7573" s="79" t="s">
        <v>30027</v>
      </c>
      <c r="D7573" s="82"/>
      <c r="E7573" s="63" t="s">
        <v>30028</v>
      </c>
      <c r="F7573" s="70">
        <v>38973.0</v>
      </c>
      <c r="G7573" s="63" t="s">
        <v>29970</v>
      </c>
      <c r="H7573" s="82"/>
      <c r="I7573" s="82"/>
      <c r="J7573" s="63" t="s">
        <v>136</v>
      </c>
      <c r="K7573" s="81">
        <v>43573.0</v>
      </c>
      <c r="L7573" s="82"/>
      <c r="M7573" s="80" t="s">
        <v>27</v>
      </c>
      <c r="N7573" s="116"/>
      <c r="O7573" s="51"/>
    </row>
    <row r="7574">
      <c r="A7574" s="234"/>
      <c r="B7574" s="71"/>
      <c r="C7574" s="79" t="s">
        <v>30029</v>
      </c>
      <c r="D7574" s="82"/>
      <c r="E7574" s="63" t="s">
        <v>30030</v>
      </c>
      <c r="F7574" s="70">
        <v>38973.0</v>
      </c>
      <c r="G7574" s="63" t="s">
        <v>29970</v>
      </c>
      <c r="H7574" s="82"/>
      <c r="I7574" s="82"/>
      <c r="J7574" s="63" t="s">
        <v>136</v>
      </c>
      <c r="K7574" s="81">
        <v>43573.0</v>
      </c>
      <c r="L7574" s="82"/>
      <c r="M7574" s="80" t="s">
        <v>27</v>
      </c>
      <c r="N7574" s="116"/>
      <c r="O7574" s="51"/>
    </row>
    <row r="7575">
      <c r="A7575" s="234"/>
      <c r="B7575" s="71"/>
      <c r="C7575" s="79" t="s">
        <v>30031</v>
      </c>
      <c r="D7575" s="82"/>
      <c r="E7575" s="63" t="s">
        <v>30032</v>
      </c>
      <c r="F7575" s="70">
        <v>38973.0</v>
      </c>
      <c r="G7575" s="63" t="s">
        <v>29970</v>
      </c>
      <c r="H7575" s="82"/>
      <c r="I7575" s="82"/>
      <c r="J7575" s="63" t="s">
        <v>136</v>
      </c>
      <c r="K7575" s="81">
        <v>43573.0</v>
      </c>
      <c r="L7575" s="82"/>
      <c r="M7575" s="80" t="s">
        <v>27</v>
      </c>
      <c r="N7575" s="116"/>
      <c r="O7575" s="51"/>
    </row>
    <row r="7576">
      <c r="A7576" s="234"/>
      <c r="B7576" s="71"/>
      <c r="C7576" s="79" t="s">
        <v>30033</v>
      </c>
      <c r="D7576" s="82"/>
      <c r="E7576" s="63" t="s">
        <v>30034</v>
      </c>
      <c r="F7576" s="70">
        <v>38973.0</v>
      </c>
      <c r="G7576" s="63" t="s">
        <v>29970</v>
      </c>
      <c r="H7576" s="82"/>
      <c r="I7576" s="82"/>
      <c r="J7576" s="63" t="s">
        <v>136</v>
      </c>
      <c r="K7576" s="81">
        <v>43573.0</v>
      </c>
      <c r="L7576" s="82"/>
      <c r="M7576" s="80" t="s">
        <v>27</v>
      </c>
      <c r="N7576" s="116"/>
      <c r="O7576" s="51"/>
    </row>
    <row r="7577">
      <c r="A7577" s="234"/>
      <c r="B7577" s="71"/>
      <c r="C7577" s="79" t="s">
        <v>30035</v>
      </c>
      <c r="D7577" s="82"/>
      <c r="E7577" s="63" t="s">
        <v>30036</v>
      </c>
      <c r="F7577" s="70">
        <v>38973.0</v>
      </c>
      <c r="G7577" s="63" t="s">
        <v>29970</v>
      </c>
      <c r="H7577" s="82"/>
      <c r="I7577" s="82"/>
      <c r="J7577" s="63" t="s">
        <v>136</v>
      </c>
      <c r="K7577" s="81">
        <v>43573.0</v>
      </c>
      <c r="L7577" s="82"/>
      <c r="M7577" s="80" t="s">
        <v>27</v>
      </c>
      <c r="N7577" s="116"/>
      <c r="O7577" s="51"/>
    </row>
    <row r="7578">
      <c r="A7578" s="234"/>
      <c r="B7578" s="71"/>
      <c r="C7578" s="79" t="s">
        <v>30037</v>
      </c>
      <c r="D7578" s="82"/>
      <c r="E7578" s="63" t="s">
        <v>30038</v>
      </c>
      <c r="F7578" s="70">
        <v>38973.0</v>
      </c>
      <c r="G7578" s="63" t="s">
        <v>29970</v>
      </c>
      <c r="H7578" s="82"/>
      <c r="I7578" s="82"/>
      <c r="J7578" s="63" t="s">
        <v>136</v>
      </c>
      <c r="K7578" s="81">
        <v>43573.0</v>
      </c>
      <c r="L7578" s="82"/>
      <c r="M7578" s="80" t="s">
        <v>27</v>
      </c>
      <c r="N7578" s="116"/>
      <c r="O7578" s="51"/>
    </row>
    <row r="7579">
      <c r="A7579" s="234"/>
      <c r="B7579" s="71"/>
      <c r="C7579" s="79" t="s">
        <v>30039</v>
      </c>
      <c r="D7579" s="82"/>
      <c r="E7579" s="63" t="s">
        <v>30040</v>
      </c>
      <c r="F7579" s="70">
        <v>38973.0</v>
      </c>
      <c r="G7579" s="63" t="s">
        <v>29970</v>
      </c>
      <c r="H7579" s="82"/>
      <c r="I7579" s="82"/>
      <c r="J7579" s="63" t="s">
        <v>136</v>
      </c>
      <c r="K7579" s="81">
        <v>43573.0</v>
      </c>
      <c r="L7579" s="82"/>
      <c r="M7579" s="80" t="s">
        <v>27</v>
      </c>
      <c r="N7579" s="116"/>
      <c r="O7579" s="51"/>
    </row>
    <row r="7580">
      <c r="A7580" s="234"/>
      <c r="B7580" s="71"/>
      <c r="C7580" s="79" t="s">
        <v>30041</v>
      </c>
      <c r="D7580" s="82"/>
      <c r="E7580" s="63" t="s">
        <v>30042</v>
      </c>
      <c r="F7580" s="70">
        <v>38986.0</v>
      </c>
      <c r="G7580" s="63" t="s">
        <v>29970</v>
      </c>
      <c r="H7580" s="82"/>
      <c r="I7580" s="82"/>
      <c r="J7580" s="63" t="s">
        <v>136</v>
      </c>
      <c r="K7580" s="81">
        <v>43573.0</v>
      </c>
      <c r="L7580" s="82"/>
      <c r="M7580" s="80" t="s">
        <v>27</v>
      </c>
      <c r="N7580" s="116"/>
      <c r="O7580" s="51"/>
    </row>
    <row r="7581">
      <c r="A7581" s="234"/>
      <c r="B7581" s="71"/>
      <c r="C7581" s="79" t="s">
        <v>30043</v>
      </c>
      <c r="D7581" s="82"/>
      <c r="E7581" s="63" t="s">
        <v>30044</v>
      </c>
      <c r="F7581" s="70">
        <v>38986.0</v>
      </c>
      <c r="G7581" s="63" t="s">
        <v>29970</v>
      </c>
      <c r="H7581" s="82"/>
      <c r="I7581" s="82"/>
      <c r="J7581" s="63" t="s">
        <v>136</v>
      </c>
      <c r="K7581" s="81">
        <v>43573.0</v>
      </c>
      <c r="L7581" s="82"/>
      <c r="M7581" s="80" t="s">
        <v>27</v>
      </c>
      <c r="N7581" s="116"/>
      <c r="O7581" s="51"/>
    </row>
    <row r="7582">
      <c r="A7582" s="234"/>
      <c r="B7582" s="71"/>
      <c r="C7582" s="79" t="s">
        <v>30045</v>
      </c>
      <c r="D7582" s="82"/>
      <c r="E7582" s="63" t="s">
        <v>30046</v>
      </c>
      <c r="F7582" s="70">
        <v>38986.0</v>
      </c>
      <c r="G7582" s="63" t="s">
        <v>29970</v>
      </c>
      <c r="H7582" s="82"/>
      <c r="I7582" s="82"/>
      <c r="J7582" s="63" t="s">
        <v>136</v>
      </c>
      <c r="K7582" s="81">
        <v>43573.0</v>
      </c>
      <c r="L7582" s="82"/>
      <c r="M7582" s="80" t="s">
        <v>27</v>
      </c>
      <c r="N7582" s="116"/>
      <c r="O7582" s="51"/>
    </row>
    <row r="7583">
      <c r="A7583" s="234"/>
      <c r="B7583" s="71"/>
      <c r="C7583" s="79" t="s">
        <v>30047</v>
      </c>
      <c r="D7583" s="82"/>
      <c r="E7583" s="63" t="s">
        <v>30048</v>
      </c>
      <c r="F7583" s="70">
        <v>38986.0</v>
      </c>
      <c r="G7583" s="63" t="s">
        <v>29970</v>
      </c>
      <c r="H7583" s="82"/>
      <c r="I7583" s="82"/>
      <c r="J7583" s="63" t="s">
        <v>136</v>
      </c>
      <c r="K7583" s="81">
        <v>43573.0</v>
      </c>
      <c r="L7583" s="82"/>
      <c r="M7583" s="80" t="s">
        <v>27</v>
      </c>
      <c r="N7583" s="116"/>
      <c r="O7583" s="51"/>
    </row>
    <row r="7584">
      <c r="A7584" s="234"/>
      <c r="B7584" s="71"/>
      <c r="C7584" s="79" t="s">
        <v>30049</v>
      </c>
      <c r="D7584" s="82"/>
      <c r="E7584" s="63" t="s">
        <v>30050</v>
      </c>
      <c r="F7584" s="70">
        <v>38986.0</v>
      </c>
      <c r="G7584" s="63" t="s">
        <v>29970</v>
      </c>
      <c r="H7584" s="82"/>
      <c r="I7584" s="82"/>
      <c r="J7584" s="63" t="s">
        <v>136</v>
      </c>
      <c r="K7584" s="81">
        <v>43573.0</v>
      </c>
      <c r="L7584" s="82"/>
      <c r="M7584" s="80" t="s">
        <v>27</v>
      </c>
      <c r="N7584" s="116"/>
      <c r="O7584" s="51"/>
    </row>
    <row r="7585">
      <c r="A7585" s="234"/>
      <c r="B7585" s="71"/>
      <c r="C7585" s="79" t="s">
        <v>30051</v>
      </c>
      <c r="D7585" s="82"/>
      <c r="E7585" s="63" t="s">
        <v>30052</v>
      </c>
      <c r="F7585" s="70">
        <v>38986.0</v>
      </c>
      <c r="G7585" s="63" t="s">
        <v>29970</v>
      </c>
      <c r="H7585" s="82"/>
      <c r="I7585" s="82"/>
      <c r="J7585" s="63" t="s">
        <v>136</v>
      </c>
      <c r="K7585" s="81">
        <v>43573.0</v>
      </c>
      <c r="L7585" s="82"/>
      <c r="M7585" s="80" t="s">
        <v>27</v>
      </c>
      <c r="N7585" s="116"/>
      <c r="O7585" s="51"/>
    </row>
    <row r="7586">
      <c r="A7586" s="234"/>
      <c r="B7586" s="71"/>
      <c r="C7586" s="79" t="s">
        <v>30053</v>
      </c>
      <c r="D7586" s="82"/>
      <c r="E7586" s="63" t="s">
        <v>30054</v>
      </c>
      <c r="F7586" s="70">
        <v>38986.0</v>
      </c>
      <c r="G7586" s="63" t="s">
        <v>29970</v>
      </c>
      <c r="H7586" s="82"/>
      <c r="I7586" s="82"/>
      <c r="J7586" s="63" t="s">
        <v>136</v>
      </c>
      <c r="K7586" s="81">
        <v>43573.0</v>
      </c>
      <c r="L7586" s="82"/>
      <c r="M7586" s="80" t="s">
        <v>27</v>
      </c>
      <c r="N7586" s="116"/>
      <c r="O7586" s="51"/>
    </row>
    <row r="7587">
      <c r="A7587" s="234"/>
      <c r="B7587" s="71"/>
      <c r="C7587" s="79" t="s">
        <v>30055</v>
      </c>
      <c r="D7587" s="82"/>
      <c r="E7587" s="63" t="s">
        <v>30056</v>
      </c>
      <c r="F7587" s="70">
        <v>38986.0</v>
      </c>
      <c r="G7587" s="63" t="s">
        <v>29970</v>
      </c>
      <c r="H7587" s="82"/>
      <c r="I7587" s="82"/>
      <c r="J7587" s="63" t="s">
        <v>136</v>
      </c>
      <c r="K7587" s="81">
        <v>43573.0</v>
      </c>
      <c r="L7587" s="82"/>
      <c r="M7587" s="80" t="s">
        <v>27</v>
      </c>
      <c r="N7587" s="116"/>
      <c r="O7587" s="51"/>
    </row>
    <row r="7588">
      <c r="A7588" s="234"/>
      <c r="B7588" s="71"/>
      <c r="C7588" s="79" t="s">
        <v>30057</v>
      </c>
      <c r="D7588" s="82"/>
      <c r="E7588" s="63" t="s">
        <v>30058</v>
      </c>
      <c r="F7588" s="70">
        <v>38986.0</v>
      </c>
      <c r="G7588" s="63" t="s">
        <v>29970</v>
      </c>
      <c r="H7588" s="82"/>
      <c r="I7588" s="82"/>
      <c r="J7588" s="63" t="s">
        <v>136</v>
      </c>
      <c r="K7588" s="81">
        <v>43573.0</v>
      </c>
      <c r="L7588" s="82"/>
      <c r="M7588" s="80" t="s">
        <v>27</v>
      </c>
      <c r="N7588" s="116"/>
      <c r="O7588" s="51"/>
    </row>
    <row r="7589">
      <c r="A7589" s="234"/>
      <c r="B7589" s="71"/>
      <c r="C7589" s="79" t="s">
        <v>30059</v>
      </c>
      <c r="D7589" s="82"/>
      <c r="E7589" s="63" t="s">
        <v>30060</v>
      </c>
      <c r="F7589" s="70">
        <v>38986.0</v>
      </c>
      <c r="G7589" s="63" t="s">
        <v>29970</v>
      </c>
      <c r="H7589" s="82"/>
      <c r="I7589" s="82"/>
      <c r="J7589" s="63" t="s">
        <v>136</v>
      </c>
      <c r="K7589" s="81">
        <v>43573.0</v>
      </c>
      <c r="L7589" s="82"/>
      <c r="M7589" s="80" t="s">
        <v>27</v>
      </c>
      <c r="N7589" s="116"/>
      <c r="O7589" s="51"/>
    </row>
    <row r="7590">
      <c r="A7590" s="234"/>
      <c r="B7590" s="71"/>
      <c r="C7590" s="79" t="s">
        <v>30061</v>
      </c>
      <c r="D7590" s="82"/>
      <c r="E7590" s="63" t="s">
        <v>30062</v>
      </c>
      <c r="F7590" s="70">
        <v>38986.0</v>
      </c>
      <c r="G7590" s="63" t="s">
        <v>29970</v>
      </c>
      <c r="H7590" s="82"/>
      <c r="I7590" s="82"/>
      <c r="J7590" s="63" t="s">
        <v>136</v>
      </c>
      <c r="K7590" s="81">
        <v>43573.0</v>
      </c>
      <c r="L7590" s="82"/>
      <c r="M7590" s="80" t="s">
        <v>27</v>
      </c>
      <c r="N7590" s="116"/>
      <c r="O7590" s="51"/>
    </row>
    <row r="7591">
      <c r="A7591" s="234"/>
      <c r="B7591" s="71"/>
      <c r="C7591" s="79" t="s">
        <v>30063</v>
      </c>
      <c r="D7591" s="82"/>
      <c r="E7591" s="63" t="s">
        <v>30064</v>
      </c>
      <c r="F7591" s="70">
        <v>38986.0</v>
      </c>
      <c r="G7591" s="63" t="s">
        <v>29970</v>
      </c>
      <c r="H7591" s="82"/>
      <c r="I7591" s="82"/>
      <c r="J7591" s="63" t="s">
        <v>136</v>
      </c>
      <c r="K7591" s="81">
        <v>43573.0</v>
      </c>
      <c r="L7591" s="82"/>
      <c r="M7591" s="80" t="s">
        <v>27</v>
      </c>
      <c r="N7591" s="116"/>
      <c r="O7591" s="51"/>
    </row>
    <row r="7592">
      <c r="A7592" s="234"/>
      <c r="B7592" s="71"/>
      <c r="C7592" s="79" t="s">
        <v>30065</v>
      </c>
      <c r="D7592" s="82"/>
      <c r="E7592" s="63" t="s">
        <v>30066</v>
      </c>
      <c r="F7592" s="70">
        <v>38986.0</v>
      </c>
      <c r="G7592" s="63" t="s">
        <v>29970</v>
      </c>
      <c r="H7592" s="82"/>
      <c r="I7592" s="82"/>
      <c r="J7592" s="63" t="s">
        <v>136</v>
      </c>
      <c r="K7592" s="81">
        <v>43573.0</v>
      </c>
      <c r="L7592" s="82"/>
      <c r="M7592" s="80" t="s">
        <v>27</v>
      </c>
      <c r="N7592" s="116"/>
      <c r="O7592" s="51"/>
    </row>
    <row r="7593">
      <c r="A7593" s="234"/>
      <c r="B7593" s="71"/>
      <c r="C7593" s="79" t="s">
        <v>30067</v>
      </c>
      <c r="D7593" s="82"/>
      <c r="E7593" s="63" t="s">
        <v>30068</v>
      </c>
      <c r="F7593" s="70">
        <v>38986.0</v>
      </c>
      <c r="G7593" s="63" t="s">
        <v>29970</v>
      </c>
      <c r="H7593" s="82"/>
      <c r="I7593" s="82"/>
      <c r="J7593" s="63" t="s">
        <v>136</v>
      </c>
      <c r="K7593" s="81">
        <v>43573.0</v>
      </c>
      <c r="L7593" s="82"/>
      <c r="M7593" s="80" t="s">
        <v>27</v>
      </c>
      <c r="N7593" s="116"/>
      <c r="O7593" s="51"/>
    </row>
    <row r="7594">
      <c r="A7594" s="234"/>
      <c r="B7594" s="71"/>
      <c r="C7594" s="79" t="s">
        <v>30069</v>
      </c>
      <c r="D7594" s="82"/>
      <c r="E7594" s="63" t="s">
        <v>30070</v>
      </c>
      <c r="F7594" s="70">
        <v>38986.0</v>
      </c>
      <c r="G7594" s="63" t="s">
        <v>29970</v>
      </c>
      <c r="H7594" s="82"/>
      <c r="I7594" s="82"/>
      <c r="J7594" s="63" t="s">
        <v>136</v>
      </c>
      <c r="K7594" s="81">
        <v>43573.0</v>
      </c>
      <c r="L7594" s="82"/>
      <c r="M7594" s="80" t="s">
        <v>27</v>
      </c>
      <c r="N7594" s="116"/>
      <c r="O7594" s="51"/>
    </row>
    <row r="7595">
      <c r="A7595" s="234"/>
      <c r="B7595" s="71"/>
      <c r="C7595" s="79" t="s">
        <v>30071</v>
      </c>
      <c r="D7595" s="82"/>
      <c r="E7595" s="63" t="s">
        <v>30072</v>
      </c>
      <c r="F7595" s="70">
        <v>38986.0</v>
      </c>
      <c r="G7595" s="63" t="s">
        <v>29970</v>
      </c>
      <c r="H7595" s="82"/>
      <c r="I7595" s="82"/>
      <c r="J7595" s="63" t="s">
        <v>136</v>
      </c>
      <c r="K7595" s="81">
        <v>43573.0</v>
      </c>
      <c r="L7595" s="82"/>
      <c r="M7595" s="80" t="s">
        <v>27</v>
      </c>
      <c r="N7595" s="116"/>
      <c r="O7595" s="51"/>
    </row>
    <row r="7596">
      <c r="A7596" s="234"/>
      <c r="B7596" s="71"/>
      <c r="C7596" s="79" t="s">
        <v>30073</v>
      </c>
      <c r="D7596" s="82"/>
      <c r="E7596" s="63" t="s">
        <v>30074</v>
      </c>
      <c r="F7596" s="70">
        <v>38986.0</v>
      </c>
      <c r="G7596" s="63" t="s">
        <v>29970</v>
      </c>
      <c r="H7596" s="82"/>
      <c r="I7596" s="82"/>
      <c r="J7596" s="63" t="s">
        <v>136</v>
      </c>
      <c r="K7596" s="81">
        <v>43573.0</v>
      </c>
      <c r="L7596" s="82"/>
      <c r="M7596" s="80" t="s">
        <v>27</v>
      </c>
      <c r="N7596" s="116"/>
      <c r="O7596" s="51"/>
    </row>
    <row r="7597">
      <c r="A7597" s="234"/>
      <c r="B7597" s="71"/>
      <c r="C7597" s="79" t="s">
        <v>30075</v>
      </c>
      <c r="D7597" s="82"/>
      <c r="E7597" s="63" t="s">
        <v>30076</v>
      </c>
      <c r="F7597" s="70">
        <v>38986.0</v>
      </c>
      <c r="G7597" s="63" t="s">
        <v>29970</v>
      </c>
      <c r="H7597" s="82"/>
      <c r="I7597" s="82"/>
      <c r="J7597" s="63" t="s">
        <v>136</v>
      </c>
      <c r="K7597" s="81">
        <v>43573.0</v>
      </c>
      <c r="L7597" s="82"/>
      <c r="M7597" s="80" t="s">
        <v>27</v>
      </c>
      <c r="N7597" s="116"/>
      <c r="O7597" s="51"/>
    </row>
    <row r="7598">
      <c r="A7598" s="234"/>
      <c r="B7598" s="71"/>
      <c r="C7598" s="79" t="s">
        <v>30077</v>
      </c>
      <c r="D7598" s="82"/>
      <c r="E7598" s="63" t="s">
        <v>30078</v>
      </c>
      <c r="F7598" s="70">
        <v>38986.0</v>
      </c>
      <c r="G7598" s="63" t="s">
        <v>29970</v>
      </c>
      <c r="H7598" s="82"/>
      <c r="I7598" s="82"/>
      <c r="J7598" s="63" t="s">
        <v>136</v>
      </c>
      <c r="K7598" s="81">
        <v>43573.0</v>
      </c>
      <c r="L7598" s="82"/>
      <c r="M7598" s="80" t="s">
        <v>27</v>
      </c>
      <c r="N7598" s="116"/>
      <c r="O7598" s="51"/>
    </row>
    <row r="7599">
      <c r="A7599" s="234"/>
      <c r="B7599" s="71"/>
      <c r="C7599" s="79" t="s">
        <v>30079</v>
      </c>
      <c r="D7599" s="82"/>
      <c r="E7599" s="63" t="s">
        <v>30080</v>
      </c>
      <c r="F7599" s="70">
        <v>39155.0</v>
      </c>
      <c r="G7599" s="63" t="s">
        <v>28425</v>
      </c>
      <c r="H7599" s="82"/>
      <c r="I7599" s="82"/>
      <c r="J7599" s="63" t="s">
        <v>136</v>
      </c>
      <c r="K7599" s="81">
        <v>43573.0</v>
      </c>
      <c r="L7599" s="82"/>
      <c r="M7599" s="80" t="s">
        <v>27</v>
      </c>
      <c r="N7599" s="116"/>
      <c r="O7599" s="51"/>
    </row>
    <row r="7600">
      <c r="A7600" s="234"/>
      <c r="B7600" s="71"/>
      <c r="C7600" s="79" t="s">
        <v>30081</v>
      </c>
      <c r="D7600" s="82"/>
      <c r="E7600" s="63" t="s">
        <v>30082</v>
      </c>
      <c r="F7600" s="70">
        <v>39155.0</v>
      </c>
      <c r="G7600" s="63" t="s">
        <v>30083</v>
      </c>
      <c r="H7600" s="82"/>
      <c r="I7600" s="82"/>
      <c r="J7600" s="63" t="s">
        <v>136</v>
      </c>
      <c r="K7600" s="81">
        <v>43573.0</v>
      </c>
      <c r="L7600" s="82"/>
      <c r="M7600" s="80" t="s">
        <v>27</v>
      </c>
      <c r="N7600" s="116"/>
      <c r="O7600" s="51"/>
    </row>
    <row r="7601">
      <c r="A7601" s="273"/>
      <c r="B7601" s="71"/>
      <c r="C7601" s="69" t="s">
        <v>30084</v>
      </c>
      <c r="D7601" s="71"/>
      <c r="E7601" s="68" t="s">
        <v>30085</v>
      </c>
      <c r="F7601" s="83">
        <v>41720.0</v>
      </c>
      <c r="G7601" s="68" t="s">
        <v>30086</v>
      </c>
      <c r="H7601" s="71"/>
      <c r="I7601" s="71"/>
      <c r="J7601" s="68" t="s">
        <v>30087</v>
      </c>
      <c r="K7601" s="76">
        <v>43573.0</v>
      </c>
      <c r="L7601" s="71"/>
      <c r="M7601" s="68" t="s">
        <v>27</v>
      </c>
      <c r="N7601" s="116"/>
      <c r="O7601" s="51"/>
    </row>
    <row r="7602">
      <c r="A7602" s="273"/>
      <c r="B7602" s="71"/>
      <c r="C7602" s="69" t="s">
        <v>30088</v>
      </c>
      <c r="D7602" s="71"/>
      <c r="E7602" s="68" t="s">
        <v>30089</v>
      </c>
      <c r="F7602" s="83">
        <v>41720.0</v>
      </c>
      <c r="G7602" s="68" t="s">
        <v>30086</v>
      </c>
      <c r="H7602" s="71"/>
      <c r="I7602" s="71"/>
      <c r="J7602" s="68" t="s">
        <v>30090</v>
      </c>
      <c r="K7602" s="76">
        <v>43573.0</v>
      </c>
      <c r="L7602" s="71"/>
      <c r="M7602" s="68" t="s">
        <v>27</v>
      </c>
      <c r="N7602" s="116"/>
      <c r="O7602" s="51"/>
    </row>
    <row r="7603">
      <c r="A7603" s="273"/>
      <c r="B7603" s="71"/>
      <c r="C7603" s="69" t="s">
        <v>30091</v>
      </c>
      <c r="D7603" s="71"/>
      <c r="E7603" s="68" t="s">
        <v>30092</v>
      </c>
      <c r="F7603" s="83">
        <v>41720.0</v>
      </c>
      <c r="G7603" s="68" t="s">
        <v>30086</v>
      </c>
      <c r="H7603" s="71"/>
      <c r="I7603" s="71"/>
      <c r="J7603" s="68" t="s">
        <v>30093</v>
      </c>
      <c r="K7603" s="76">
        <v>43573.0</v>
      </c>
      <c r="L7603" s="71"/>
      <c r="M7603" s="68" t="s">
        <v>27</v>
      </c>
      <c r="N7603" s="116"/>
      <c r="O7603" s="51"/>
    </row>
    <row r="7604">
      <c r="A7604" s="273"/>
      <c r="B7604" s="71"/>
      <c r="C7604" s="69" t="s">
        <v>30094</v>
      </c>
      <c r="D7604" s="71"/>
      <c r="E7604" s="68" t="s">
        <v>30095</v>
      </c>
      <c r="F7604" s="83">
        <v>41720.0</v>
      </c>
      <c r="G7604" s="68" t="s">
        <v>30086</v>
      </c>
      <c r="H7604" s="71"/>
      <c r="I7604" s="71"/>
      <c r="J7604" s="68" t="s">
        <v>30096</v>
      </c>
      <c r="K7604" s="76">
        <v>43573.0</v>
      </c>
      <c r="L7604" s="71"/>
      <c r="M7604" s="68" t="s">
        <v>27</v>
      </c>
      <c r="N7604" s="116"/>
      <c r="O7604" s="51"/>
    </row>
    <row r="7605">
      <c r="A7605" s="273"/>
      <c r="B7605" s="71"/>
      <c r="C7605" s="69" t="s">
        <v>30097</v>
      </c>
      <c r="D7605" s="71"/>
      <c r="E7605" s="68" t="s">
        <v>30098</v>
      </c>
      <c r="F7605" s="83">
        <v>41720.0</v>
      </c>
      <c r="G7605" s="68" t="s">
        <v>30086</v>
      </c>
      <c r="H7605" s="71"/>
      <c r="I7605" s="71"/>
      <c r="J7605" s="68" t="s">
        <v>30099</v>
      </c>
      <c r="K7605" s="76">
        <v>43573.0</v>
      </c>
      <c r="L7605" s="71"/>
      <c r="M7605" s="68" t="s">
        <v>27</v>
      </c>
      <c r="N7605" s="116"/>
      <c r="O7605" s="51"/>
    </row>
    <row r="7606">
      <c r="A7606" s="273"/>
      <c r="B7606" s="71"/>
      <c r="C7606" s="69" t="s">
        <v>30100</v>
      </c>
      <c r="D7606" s="71"/>
      <c r="E7606" s="68" t="s">
        <v>30101</v>
      </c>
      <c r="F7606" s="83">
        <v>41720.0</v>
      </c>
      <c r="G7606" s="68" t="s">
        <v>30086</v>
      </c>
      <c r="H7606" s="71"/>
      <c r="I7606" s="71"/>
      <c r="J7606" s="68" t="s">
        <v>30102</v>
      </c>
      <c r="K7606" s="76">
        <v>43573.0</v>
      </c>
      <c r="L7606" s="71"/>
      <c r="M7606" s="68" t="s">
        <v>27</v>
      </c>
      <c r="N7606" s="116"/>
      <c r="O7606" s="51"/>
    </row>
    <row r="7607">
      <c r="A7607" s="273"/>
      <c r="B7607" s="71"/>
      <c r="C7607" s="69" t="s">
        <v>30103</v>
      </c>
      <c r="D7607" s="71"/>
      <c r="E7607" s="68" t="s">
        <v>30104</v>
      </c>
      <c r="F7607" s="83">
        <v>41720.0</v>
      </c>
      <c r="G7607" s="68" t="s">
        <v>30086</v>
      </c>
      <c r="H7607" s="71"/>
      <c r="I7607" s="71"/>
      <c r="J7607" s="68" t="s">
        <v>30105</v>
      </c>
      <c r="K7607" s="76">
        <v>43573.0</v>
      </c>
      <c r="L7607" s="71"/>
      <c r="M7607" s="68" t="s">
        <v>27</v>
      </c>
      <c r="N7607" s="116"/>
      <c r="O7607" s="51"/>
    </row>
    <row r="7608">
      <c r="A7608" s="273"/>
      <c r="B7608" s="71"/>
      <c r="C7608" s="69" t="s">
        <v>30106</v>
      </c>
      <c r="D7608" s="71"/>
      <c r="E7608" s="68" t="s">
        <v>30107</v>
      </c>
      <c r="F7608" s="83">
        <v>41720.0</v>
      </c>
      <c r="G7608" s="68" t="s">
        <v>30086</v>
      </c>
      <c r="H7608" s="71"/>
      <c r="I7608" s="71"/>
      <c r="J7608" s="68" t="s">
        <v>30108</v>
      </c>
      <c r="K7608" s="76">
        <v>43573.0</v>
      </c>
      <c r="L7608" s="71"/>
      <c r="M7608" s="68" t="s">
        <v>27</v>
      </c>
      <c r="N7608" s="116"/>
      <c r="O7608" s="51"/>
    </row>
    <row r="7609">
      <c r="A7609" s="273"/>
      <c r="B7609" s="71"/>
      <c r="C7609" s="69" t="s">
        <v>30109</v>
      </c>
      <c r="D7609" s="71"/>
      <c r="E7609" s="68" t="s">
        <v>30110</v>
      </c>
      <c r="F7609" s="83">
        <v>42444.0</v>
      </c>
      <c r="G7609" s="68" t="s">
        <v>30111</v>
      </c>
      <c r="H7609" s="71"/>
      <c r="I7609" s="71"/>
      <c r="J7609" s="68" t="s">
        <v>30112</v>
      </c>
      <c r="K7609" s="76">
        <v>43573.0</v>
      </c>
      <c r="L7609" s="71"/>
      <c r="M7609" s="68" t="s">
        <v>27</v>
      </c>
      <c r="N7609" s="116"/>
      <c r="O7609" s="51"/>
    </row>
    <row r="7610">
      <c r="A7610" s="234"/>
      <c r="B7610" s="71"/>
      <c r="C7610" s="79" t="s">
        <v>30113</v>
      </c>
      <c r="D7610" s="82"/>
      <c r="E7610" s="63" t="s">
        <v>30114</v>
      </c>
      <c r="F7610" s="65">
        <v>42444.0</v>
      </c>
      <c r="G7610" s="63" t="s">
        <v>30111</v>
      </c>
      <c r="H7610" s="82"/>
      <c r="I7610" s="82"/>
      <c r="J7610" s="63" t="s">
        <v>136</v>
      </c>
      <c r="K7610" s="81">
        <v>43573.0</v>
      </c>
      <c r="L7610" s="82"/>
      <c r="M7610" s="80" t="s">
        <v>27</v>
      </c>
      <c r="N7610" s="116"/>
      <c r="O7610" s="51"/>
    </row>
    <row r="7611">
      <c r="A7611" s="273"/>
      <c r="B7611" s="71"/>
      <c r="C7611" s="69" t="s">
        <v>30115</v>
      </c>
      <c r="D7611" s="71"/>
      <c r="E7611" s="68" t="s">
        <v>30116</v>
      </c>
      <c r="F7611" s="83">
        <v>42479.0</v>
      </c>
      <c r="G7611" s="68" t="s">
        <v>30117</v>
      </c>
      <c r="H7611" s="71"/>
      <c r="I7611" s="71"/>
      <c r="J7611" s="68" t="s">
        <v>30118</v>
      </c>
      <c r="K7611" s="76">
        <v>43573.0</v>
      </c>
      <c r="L7611" s="71"/>
      <c r="M7611" s="68" t="s">
        <v>27</v>
      </c>
      <c r="N7611" s="116"/>
      <c r="O7611" s="51"/>
    </row>
    <row r="7612">
      <c r="A7612" s="234"/>
      <c r="B7612" s="71"/>
      <c r="C7612" s="79" t="s">
        <v>30119</v>
      </c>
      <c r="D7612" s="82"/>
      <c r="E7612" s="63" t="s">
        <v>30120</v>
      </c>
      <c r="F7612" s="65">
        <v>42520.0</v>
      </c>
      <c r="G7612" s="63" t="s">
        <v>30121</v>
      </c>
      <c r="H7612" s="82"/>
      <c r="I7612" s="82"/>
      <c r="J7612" s="63" t="s">
        <v>136</v>
      </c>
      <c r="K7612" s="81">
        <v>43573.0</v>
      </c>
      <c r="L7612" s="82"/>
      <c r="M7612" s="80" t="s">
        <v>27</v>
      </c>
      <c r="N7612" s="116"/>
      <c r="O7612" s="51"/>
    </row>
    <row r="7613">
      <c r="A7613" s="273"/>
      <c r="B7613" s="71"/>
      <c r="C7613" s="69" t="s">
        <v>30122</v>
      </c>
      <c r="D7613" s="71"/>
      <c r="E7613" s="68" t="s">
        <v>30123</v>
      </c>
      <c r="F7613" s="83">
        <v>42520.0</v>
      </c>
      <c r="G7613" s="68" t="s">
        <v>30121</v>
      </c>
      <c r="H7613" s="71"/>
      <c r="I7613" s="71"/>
      <c r="J7613" s="68" t="s">
        <v>30124</v>
      </c>
      <c r="K7613" s="76">
        <v>43573.0</v>
      </c>
      <c r="L7613" s="71"/>
      <c r="M7613" s="68" t="s">
        <v>27</v>
      </c>
      <c r="N7613" s="116"/>
      <c r="O7613" s="51"/>
    </row>
    <row r="7614">
      <c r="A7614" s="273"/>
      <c r="B7614" s="71"/>
      <c r="C7614" s="69" t="s">
        <v>30125</v>
      </c>
      <c r="D7614" s="71"/>
      <c r="E7614" s="68" t="s">
        <v>30126</v>
      </c>
      <c r="F7614" s="83">
        <v>42573.0</v>
      </c>
      <c r="G7614" s="68" t="s">
        <v>30127</v>
      </c>
      <c r="H7614" s="71"/>
      <c r="I7614" s="71"/>
      <c r="J7614" s="68" t="s">
        <v>30128</v>
      </c>
      <c r="K7614" s="76">
        <v>43573.0</v>
      </c>
      <c r="L7614" s="71"/>
      <c r="M7614" s="68" t="s">
        <v>27</v>
      </c>
      <c r="N7614" s="116"/>
      <c r="O7614" s="51"/>
    </row>
    <row r="7615">
      <c r="A7615" s="273"/>
      <c r="B7615" s="71"/>
      <c r="C7615" s="69" t="s">
        <v>30129</v>
      </c>
      <c r="D7615" s="71"/>
      <c r="E7615" s="68" t="s">
        <v>30130</v>
      </c>
      <c r="F7615" s="83">
        <v>42573.0</v>
      </c>
      <c r="G7615" s="68" t="s">
        <v>30127</v>
      </c>
      <c r="H7615" s="71"/>
      <c r="I7615" s="71"/>
      <c r="J7615" s="68" t="s">
        <v>30131</v>
      </c>
      <c r="K7615" s="76">
        <v>43573.0</v>
      </c>
      <c r="L7615" s="71"/>
      <c r="M7615" s="68" t="s">
        <v>27</v>
      </c>
      <c r="N7615" s="116"/>
      <c r="O7615" s="51"/>
    </row>
    <row r="7616">
      <c r="A7616" s="273"/>
      <c r="B7616" s="71"/>
      <c r="C7616" s="69" t="s">
        <v>30132</v>
      </c>
      <c r="D7616" s="71"/>
      <c r="E7616" s="68" t="s">
        <v>30133</v>
      </c>
      <c r="F7616" s="83">
        <v>42573.0</v>
      </c>
      <c r="G7616" s="68" t="s">
        <v>30127</v>
      </c>
      <c r="H7616" s="71"/>
      <c r="I7616" s="71"/>
      <c r="J7616" s="68" t="s">
        <v>30134</v>
      </c>
      <c r="K7616" s="76">
        <v>43573.0</v>
      </c>
      <c r="L7616" s="71"/>
      <c r="M7616" s="68" t="s">
        <v>27</v>
      </c>
      <c r="N7616" s="116"/>
      <c r="O7616" s="51"/>
    </row>
    <row r="7617">
      <c r="A7617" s="273"/>
      <c r="B7617" s="71"/>
      <c r="C7617" s="69" t="s">
        <v>30135</v>
      </c>
      <c r="D7617" s="71"/>
      <c r="E7617" s="68" t="s">
        <v>30136</v>
      </c>
      <c r="F7617" s="83">
        <v>42573.0</v>
      </c>
      <c r="G7617" s="68" t="s">
        <v>30127</v>
      </c>
      <c r="H7617" s="71"/>
      <c r="I7617" s="71"/>
      <c r="J7617" s="68" t="s">
        <v>30137</v>
      </c>
      <c r="K7617" s="76">
        <v>43573.0</v>
      </c>
      <c r="L7617" s="71"/>
      <c r="M7617" s="68" t="s">
        <v>27</v>
      </c>
      <c r="N7617" s="116"/>
      <c r="O7617" s="51"/>
    </row>
    <row r="7618">
      <c r="A7618" s="234"/>
      <c r="B7618" s="71"/>
      <c r="C7618" s="79" t="s">
        <v>30138</v>
      </c>
      <c r="D7618" s="82"/>
      <c r="E7618" s="63" t="s">
        <v>30139</v>
      </c>
      <c r="F7618" s="65">
        <v>42574.0</v>
      </c>
      <c r="G7618" s="63" t="s">
        <v>30127</v>
      </c>
      <c r="H7618" s="82"/>
      <c r="I7618" s="82"/>
      <c r="J7618" s="63" t="s">
        <v>136</v>
      </c>
      <c r="K7618" s="81">
        <v>43573.0</v>
      </c>
      <c r="L7618" s="82"/>
      <c r="M7618" s="80" t="s">
        <v>27</v>
      </c>
      <c r="N7618" s="116"/>
      <c r="O7618" s="51"/>
    </row>
    <row r="7619">
      <c r="A7619" s="234"/>
      <c r="B7619" s="71"/>
      <c r="C7619" s="79" t="s">
        <v>30140</v>
      </c>
      <c r="D7619" s="82"/>
      <c r="E7619" s="63" t="s">
        <v>30141</v>
      </c>
      <c r="F7619" s="70">
        <v>42377.0</v>
      </c>
      <c r="G7619" s="63" t="s">
        <v>30142</v>
      </c>
      <c r="H7619" s="82"/>
      <c r="I7619" s="82"/>
      <c r="J7619" s="63" t="s">
        <v>136</v>
      </c>
      <c r="K7619" s="81">
        <v>43573.0</v>
      </c>
      <c r="L7619" s="82"/>
      <c r="M7619" s="80" t="s">
        <v>27</v>
      </c>
      <c r="N7619" s="116"/>
      <c r="O7619" s="51"/>
    </row>
    <row r="7620">
      <c r="A7620" s="273"/>
      <c r="B7620" s="71"/>
      <c r="C7620" s="69" t="s">
        <v>30143</v>
      </c>
      <c r="D7620" s="71"/>
      <c r="E7620" s="68" t="s">
        <v>30144</v>
      </c>
      <c r="F7620" s="76">
        <v>42377.0</v>
      </c>
      <c r="G7620" s="68" t="s">
        <v>30142</v>
      </c>
      <c r="H7620" s="71"/>
      <c r="I7620" s="71"/>
      <c r="J7620" s="68" t="s">
        <v>30145</v>
      </c>
      <c r="K7620" s="76">
        <v>43573.0</v>
      </c>
      <c r="L7620" s="71"/>
      <c r="M7620" s="68" t="s">
        <v>27</v>
      </c>
      <c r="N7620" s="116"/>
      <c r="O7620" s="51"/>
    </row>
    <row r="7621">
      <c r="A7621" s="234"/>
      <c r="B7621" s="71"/>
      <c r="C7621" s="79" t="s">
        <v>30146</v>
      </c>
      <c r="D7621" s="82"/>
      <c r="E7621" s="63" t="s">
        <v>30147</v>
      </c>
      <c r="F7621" s="70">
        <v>42377.0</v>
      </c>
      <c r="G7621" s="63" t="s">
        <v>30142</v>
      </c>
      <c r="H7621" s="82"/>
      <c r="I7621" s="82"/>
      <c r="J7621" s="63" t="s">
        <v>136</v>
      </c>
      <c r="K7621" s="81">
        <v>43573.0</v>
      </c>
      <c r="L7621" s="82"/>
      <c r="M7621" s="80" t="s">
        <v>27</v>
      </c>
      <c r="N7621" s="116"/>
      <c r="O7621" s="51"/>
    </row>
    <row r="7622">
      <c r="A7622" s="273"/>
      <c r="B7622" s="71"/>
      <c r="C7622" s="69" t="s">
        <v>30148</v>
      </c>
      <c r="D7622" s="71"/>
      <c r="E7622" s="68" t="s">
        <v>30149</v>
      </c>
      <c r="F7622" s="76">
        <v>42712.0</v>
      </c>
      <c r="G7622" s="68" t="s">
        <v>30150</v>
      </c>
      <c r="H7622" s="71"/>
      <c r="I7622" s="71"/>
      <c r="J7622" s="68" t="s">
        <v>30151</v>
      </c>
      <c r="K7622" s="76">
        <v>43573.0</v>
      </c>
      <c r="L7622" s="71"/>
      <c r="M7622" s="68" t="s">
        <v>27</v>
      </c>
      <c r="N7622" s="116"/>
      <c r="O7622" s="51"/>
    </row>
    <row r="7623">
      <c r="A7623" s="273"/>
      <c r="B7623" s="71"/>
      <c r="C7623" s="69" t="s">
        <v>30152</v>
      </c>
      <c r="D7623" s="71"/>
      <c r="E7623" s="68" t="s">
        <v>30153</v>
      </c>
      <c r="F7623" s="83">
        <v>42595.0</v>
      </c>
      <c r="G7623" s="68" t="s">
        <v>30154</v>
      </c>
      <c r="H7623" s="71"/>
      <c r="I7623" s="71"/>
      <c r="J7623" s="68" t="s">
        <v>30155</v>
      </c>
      <c r="K7623" s="76">
        <v>43573.0</v>
      </c>
      <c r="L7623" s="71"/>
      <c r="M7623" s="68" t="s">
        <v>27</v>
      </c>
      <c r="N7623" s="116"/>
      <c r="O7623" s="51"/>
    </row>
    <row r="7624">
      <c r="A7624" s="273"/>
      <c r="B7624" s="71"/>
      <c r="C7624" s="69" t="s">
        <v>30156</v>
      </c>
      <c r="D7624" s="71"/>
      <c r="E7624" s="68" t="s">
        <v>30157</v>
      </c>
      <c r="F7624" s="83">
        <v>42596.0</v>
      </c>
      <c r="G7624" s="68" t="s">
        <v>30158</v>
      </c>
      <c r="H7624" s="71"/>
      <c r="I7624" s="71"/>
      <c r="J7624" s="68" t="s">
        <v>30159</v>
      </c>
      <c r="K7624" s="76">
        <v>43573.0</v>
      </c>
      <c r="L7624" s="71"/>
      <c r="M7624" s="68" t="s">
        <v>27</v>
      </c>
      <c r="N7624" s="116"/>
      <c r="O7624" s="51"/>
    </row>
    <row r="7625">
      <c r="A7625" s="234"/>
      <c r="B7625" s="71"/>
      <c r="C7625" s="69" t="s">
        <v>30160</v>
      </c>
      <c r="D7625" s="71"/>
      <c r="E7625" s="68" t="s">
        <v>30161</v>
      </c>
      <c r="F7625" s="83">
        <v>42597.0</v>
      </c>
      <c r="G7625" s="68" t="s">
        <v>30158</v>
      </c>
      <c r="H7625" s="71"/>
      <c r="I7625" s="71"/>
      <c r="J7625" s="68" t="s">
        <v>30162</v>
      </c>
      <c r="K7625" s="76">
        <v>43573.0</v>
      </c>
      <c r="L7625" s="71"/>
      <c r="M7625" s="68" t="s">
        <v>27</v>
      </c>
      <c r="N7625" s="116"/>
      <c r="O7625" s="51"/>
    </row>
    <row r="7626">
      <c r="A7626" s="273"/>
      <c r="B7626" s="71"/>
      <c r="C7626" s="69" t="s">
        <v>30163</v>
      </c>
      <c r="D7626" s="71"/>
      <c r="E7626" s="68" t="s">
        <v>30164</v>
      </c>
      <c r="F7626" s="83">
        <v>42598.0</v>
      </c>
      <c r="G7626" s="68" t="s">
        <v>30165</v>
      </c>
      <c r="H7626" s="71"/>
      <c r="I7626" s="71"/>
      <c r="J7626" s="68" t="s">
        <v>30166</v>
      </c>
      <c r="K7626" s="76">
        <v>43573.0</v>
      </c>
      <c r="L7626" s="71"/>
      <c r="M7626" s="68" t="s">
        <v>27</v>
      </c>
      <c r="N7626" s="116"/>
      <c r="O7626" s="51"/>
    </row>
    <row r="7627">
      <c r="A7627" s="273"/>
      <c r="B7627" s="71"/>
      <c r="C7627" s="69" t="s">
        <v>30167</v>
      </c>
      <c r="D7627" s="71"/>
      <c r="E7627" s="68" t="s">
        <v>30168</v>
      </c>
      <c r="F7627" s="83">
        <v>42601.0</v>
      </c>
      <c r="G7627" s="68" t="s">
        <v>30169</v>
      </c>
      <c r="H7627" s="71"/>
      <c r="I7627" s="71"/>
      <c r="J7627" s="68" t="s">
        <v>30170</v>
      </c>
      <c r="K7627" s="76">
        <v>43573.0</v>
      </c>
      <c r="L7627" s="71"/>
      <c r="M7627" s="68" t="s">
        <v>27</v>
      </c>
      <c r="N7627" s="116"/>
      <c r="O7627" s="51"/>
    </row>
    <row r="7628">
      <c r="A7628" s="273"/>
      <c r="B7628" s="71"/>
      <c r="C7628" s="69" t="s">
        <v>30171</v>
      </c>
      <c r="D7628" s="71"/>
      <c r="E7628" s="68" t="s">
        <v>30172</v>
      </c>
      <c r="F7628" s="83">
        <v>42609.0</v>
      </c>
      <c r="G7628" s="68" t="s">
        <v>30173</v>
      </c>
      <c r="H7628" s="71"/>
      <c r="I7628" s="71"/>
      <c r="J7628" s="68" t="s">
        <v>30174</v>
      </c>
      <c r="K7628" s="76">
        <v>43573.0</v>
      </c>
      <c r="L7628" s="71"/>
      <c r="M7628" s="68" t="s">
        <v>27</v>
      </c>
      <c r="N7628" s="116"/>
      <c r="O7628" s="51"/>
    </row>
    <row r="7629">
      <c r="A7629" s="273"/>
      <c r="B7629" s="71"/>
      <c r="C7629" s="69" t="s">
        <v>30175</v>
      </c>
      <c r="D7629" s="71"/>
      <c r="E7629" s="68" t="s">
        <v>30176</v>
      </c>
      <c r="F7629" s="76">
        <v>42713.0</v>
      </c>
      <c r="G7629" s="68" t="s">
        <v>30177</v>
      </c>
      <c r="H7629" s="71"/>
      <c r="I7629" s="71"/>
      <c r="J7629" s="68" t="s">
        <v>30178</v>
      </c>
      <c r="K7629" s="76">
        <v>43573.0</v>
      </c>
      <c r="L7629" s="71"/>
      <c r="M7629" s="68" t="s">
        <v>27</v>
      </c>
      <c r="N7629" s="116"/>
      <c r="O7629" s="51"/>
    </row>
    <row r="7630">
      <c r="A7630" s="234"/>
      <c r="B7630" s="71"/>
      <c r="C7630" s="79" t="s">
        <v>30179</v>
      </c>
      <c r="D7630" s="82"/>
      <c r="E7630" s="63" t="s">
        <v>30180</v>
      </c>
      <c r="F7630" s="65">
        <v>42627.0</v>
      </c>
      <c r="G7630" s="63" t="s">
        <v>30181</v>
      </c>
      <c r="H7630" s="82"/>
      <c r="I7630" s="82"/>
      <c r="J7630" s="63" t="s">
        <v>136</v>
      </c>
      <c r="K7630" s="81">
        <v>43573.0</v>
      </c>
      <c r="L7630" s="82"/>
      <c r="M7630" s="80" t="s">
        <v>27</v>
      </c>
      <c r="N7630" s="116"/>
      <c r="O7630" s="51"/>
    </row>
    <row r="7631">
      <c r="A7631" s="273"/>
      <c r="B7631" s="71"/>
      <c r="C7631" s="69" t="s">
        <v>30182</v>
      </c>
      <c r="D7631" s="71"/>
      <c r="E7631" s="68" t="s">
        <v>30183</v>
      </c>
      <c r="F7631" s="83">
        <v>42629.0</v>
      </c>
      <c r="G7631" s="68" t="s">
        <v>30184</v>
      </c>
      <c r="H7631" s="71"/>
      <c r="I7631" s="71"/>
      <c r="J7631" s="68" t="s">
        <v>30185</v>
      </c>
      <c r="K7631" s="76">
        <v>43573.0</v>
      </c>
      <c r="L7631" s="71"/>
      <c r="M7631" s="68" t="s">
        <v>27</v>
      </c>
      <c r="N7631" s="116"/>
      <c r="O7631" s="51"/>
    </row>
    <row r="7632">
      <c r="A7632" s="273"/>
      <c r="B7632" s="71"/>
      <c r="C7632" s="69" t="s">
        <v>30186</v>
      </c>
      <c r="D7632" s="71"/>
      <c r="E7632" s="68" t="s">
        <v>30187</v>
      </c>
      <c r="F7632" s="83">
        <v>42629.0</v>
      </c>
      <c r="G7632" s="68" t="s">
        <v>30184</v>
      </c>
      <c r="H7632" s="71"/>
      <c r="I7632" s="71"/>
      <c r="J7632" s="68" t="s">
        <v>30188</v>
      </c>
      <c r="K7632" s="76">
        <v>43573.0</v>
      </c>
      <c r="L7632" s="71"/>
      <c r="M7632" s="68" t="s">
        <v>27</v>
      </c>
      <c r="N7632" s="116"/>
      <c r="O7632" s="51"/>
    </row>
    <row r="7633">
      <c r="A7633" s="273"/>
      <c r="B7633" s="71"/>
      <c r="C7633" s="69" t="s">
        <v>30189</v>
      </c>
      <c r="D7633" s="71"/>
      <c r="E7633" s="68" t="s">
        <v>30190</v>
      </c>
      <c r="F7633" s="83">
        <v>42641.0</v>
      </c>
      <c r="G7633" s="68" t="s">
        <v>30191</v>
      </c>
      <c r="H7633" s="71"/>
      <c r="I7633" s="71"/>
      <c r="J7633" s="68" t="s">
        <v>30192</v>
      </c>
      <c r="K7633" s="76">
        <v>43573.0</v>
      </c>
      <c r="L7633" s="71"/>
      <c r="M7633" s="68" t="s">
        <v>27</v>
      </c>
      <c r="N7633" s="116"/>
      <c r="O7633" s="51"/>
    </row>
    <row r="7634">
      <c r="A7634" s="273"/>
      <c r="B7634" s="71"/>
      <c r="C7634" s="69" t="s">
        <v>30193</v>
      </c>
      <c r="D7634" s="71"/>
      <c r="E7634" s="68" t="s">
        <v>30194</v>
      </c>
      <c r="F7634" s="83">
        <v>42641.0</v>
      </c>
      <c r="G7634" s="68" t="s">
        <v>30191</v>
      </c>
      <c r="H7634" s="71"/>
      <c r="I7634" s="71"/>
      <c r="J7634" s="68" t="s">
        <v>30195</v>
      </c>
      <c r="K7634" s="76">
        <v>43573.0</v>
      </c>
      <c r="L7634" s="71"/>
      <c r="M7634" s="68" t="s">
        <v>27</v>
      </c>
      <c r="N7634" s="116"/>
      <c r="O7634" s="51"/>
    </row>
    <row r="7635">
      <c r="A7635" s="273"/>
      <c r="B7635" s="71"/>
      <c r="C7635" s="69" t="s">
        <v>30196</v>
      </c>
      <c r="D7635" s="71"/>
      <c r="E7635" s="68" t="s">
        <v>30197</v>
      </c>
      <c r="F7635" s="83">
        <v>43738.0</v>
      </c>
      <c r="G7635" s="68" t="s">
        <v>30198</v>
      </c>
      <c r="H7635" s="71"/>
      <c r="I7635" s="71"/>
      <c r="J7635" s="68" t="s">
        <v>30199</v>
      </c>
      <c r="K7635" s="76">
        <v>43573.0</v>
      </c>
      <c r="L7635" s="71"/>
      <c r="M7635" s="68" t="s">
        <v>27</v>
      </c>
      <c r="N7635" s="116"/>
      <c r="O7635" s="51"/>
    </row>
    <row r="7636">
      <c r="A7636" s="273"/>
      <c r="B7636" s="71"/>
      <c r="C7636" s="69" t="s">
        <v>30200</v>
      </c>
      <c r="D7636" s="71"/>
      <c r="E7636" s="68" t="s">
        <v>30201</v>
      </c>
      <c r="F7636" s="76">
        <v>42500.0</v>
      </c>
      <c r="G7636" s="68" t="s">
        <v>30202</v>
      </c>
      <c r="H7636" s="71"/>
      <c r="I7636" s="71"/>
      <c r="J7636" s="68" t="s">
        <v>30203</v>
      </c>
      <c r="K7636" s="76">
        <v>43573.0</v>
      </c>
      <c r="L7636" s="71"/>
      <c r="M7636" s="68" t="s">
        <v>27</v>
      </c>
      <c r="N7636" s="116"/>
      <c r="O7636" s="51"/>
    </row>
    <row r="7637">
      <c r="A7637" s="273"/>
      <c r="B7637" s="71"/>
      <c r="C7637" s="69" t="s">
        <v>30204</v>
      </c>
      <c r="D7637" s="71"/>
      <c r="E7637" s="68" t="s">
        <v>30205</v>
      </c>
      <c r="F7637" s="76">
        <v>42500.0</v>
      </c>
      <c r="G7637" s="68" t="s">
        <v>30202</v>
      </c>
      <c r="H7637" s="71"/>
      <c r="I7637" s="71"/>
      <c r="J7637" s="68" t="s">
        <v>30206</v>
      </c>
      <c r="K7637" s="76">
        <v>43573.0</v>
      </c>
      <c r="L7637" s="71"/>
      <c r="M7637" s="68" t="s">
        <v>27</v>
      </c>
      <c r="N7637" s="116"/>
      <c r="O7637" s="51"/>
    </row>
    <row r="7638">
      <c r="A7638" s="273"/>
      <c r="B7638" s="71"/>
      <c r="C7638" s="69" t="s">
        <v>30207</v>
      </c>
      <c r="D7638" s="71"/>
      <c r="E7638" s="68" t="s">
        <v>30208</v>
      </c>
      <c r="F7638" s="76">
        <v>42500.0</v>
      </c>
      <c r="G7638" s="68" t="s">
        <v>30209</v>
      </c>
      <c r="H7638" s="71"/>
      <c r="I7638" s="71"/>
      <c r="J7638" s="68" t="s">
        <v>30210</v>
      </c>
      <c r="K7638" s="76">
        <v>43573.0</v>
      </c>
      <c r="L7638" s="71"/>
      <c r="M7638" s="68" t="s">
        <v>27</v>
      </c>
      <c r="N7638" s="116"/>
      <c r="O7638" s="51"/>
    </row>
    <row r="7639">
      <c r="A7639" s="273"/>
      <c r="B7639" s="71"/>
      <c r="C7639" s="69" t="s">
        <v>30211</v>
      </c>
      <c r="D7639" s="71"/>
      <c r="E7639" s="68" t="s">
        <v>30212</v>
      </c>
      <c r="F7639" s="76">
        <v>42500.0</v>
      </c>
      <c r="G7639" s="68" t="s">
        <v>30209</v>
      </c>
      <c r="H7639" s="71"/>
      <c r="I7639" s="71"/>
      <c r="J7639" s="68" t="s">
        <v>30213</v>
      </c>
      <c r="K7639" s="76">
        <v>43573.0</v>
      </c>
      <c r="L7639" s="71"/>
      <c r="M7639" s="68" t="s">
        <v>27</v>
      </c>
      <c r="N7639" s="116"/>
      <c r="O7639" s="51"/>
    </row>
    <row r="7640">
      <c r="A7640" s="273"/>
      <c r="B7640" s="71"/>
      <c r="C7640" s="69" t="s">
        <v>30214</v>
      </c>
      <c r="D7640" s="71"/>
      <c r="E7640" s="68" t="s">
        <v>30215</v>
      </c>
      <c r="F7640" s="76">
        <v>42500.0</v>
      </c>
      <c r="G7640" s="68" t="s">
        <v>30209</v>
      </c>
      <c r="H7640" s="71"/>
      <c r="I7640" s="71"/>
      <c r="J7640" s="68" t="s">
        <v>30216</v>
      </c>
      <c r="K7640" s="76">
        <v>43573.0</v>
      </c>
      <c r="L7640" s="71"/>
      <c r="M7640" s="68" t="s">
        <v>27</v>
      </c>
      <c r="N7640" s="116"/>
      <c r="O7640" s="51"/>
    </row>
    <row r="7641">
      <c r="A7641" s="273"/>
      <c r="B7641" s="71"/>
      <c r="C7641" s="69" t="s">
        <v>30217</v>
      </c>
      <c r="D7641" s="71"/>
      <c r="E7641" s="68" t="s">
        <v>30218</v>
      </c>
      <c r="F7641" s="76">
        <v>42592.0</v>
      </c>
      <c r="G7641" s="68" t="s">
        <v>30219</v>
      </c>
      <c r="H7641" s="71"/>
      <c r="I7641" s="71"/>
      <c r="J7641" s="68" t="s">
        <v>30220</v>
      </c>
      <c r="K7641" s="76">
        <v>43573.0</v>
      </c>
      <c r="L7641" s="71"/>
      <c r="M7641" s="68" t="s">
        <v>27</v>
      </c>
      <c r="N7641" s="116"/>
      <c r="O7641" s="51"/>
    </row>
    <row r="7642">
      <c r="A7642" s="273"/>
      <c r="B7642" s="71"/>
      <c r="C7642" s="69" t="s">
        <v>30221</v>
      </c>
      <c r="D7642" s="71"/>
      <c r="E7642" s="68" t="s">
        <v>29247</v>
      </c>
      <c r="F7642" s="83">
        <v>42657.0</v>
      </c>
      <c r="G7642" s="68" t="s">
        <v>30222</v>
      </c>
      <c r="H7642" s="71"/>
      <c r="I7642" s="71"/>
      <c r="J7642" s="68" t="s">
        <v>30223</v>
      </c>
      <c r="K7642" s="76">
        <v>43573.0</v>
      </c>
      <c r="L7642" s="71"/>
      <c r="M7642" s="68" t="s">
        <v>27</v>
      </c>
      <c r="N7642" s="116"/>
      <c r="O7642" s="51"/>
    </row>
    <row r="7643">
      <c r="A7643" s="273"/>
      <c r="B7643" s="71"/>
      <c r="C7643" s="69" t="s">
        <v>30224</v>
      </c>
      <c r="D7643" s="71"/>
      <c r="E7643" s="68" t="s">
        <v>30225</v>
      </c>
      <c r="F7643" s="83">
        <v>42660.0</v>
      </c>
      <c r="G7643" s="68" t="s">
        <v>30226</v>
      </c>
      <c r="H7643" s="71"/>
      <c r="I7643" s="71"/>
      <c r="J7643" s="68" t="s">
        <v>30227</v>
      </c>
      <c r="K7643" s="76">
        <v>43573.0</v>
      </c>
      <c r="L7643" s="71"/>
      <c r="M7643" s="68" t="s">
        <v>27</v>
      </c>
      <c r="N7643" s="116"/>
      <c r="O7643" s="51"/>
    </row>
    <row r="7644">
      <c r="A7644" s="234"/>
      <c r="B7644" s="71"/>
      <c r="C7644" s="79" t="s">
        <v>30228</v>
      </c>
      <c r="D7644" s="82"/>
      <c r="E7644" s="63" t="s">
        <v>30229</v>
      </c>
      <c r="F7644" s="65">
        <v>42663.0</v>
      </c>
      <c r="G7644" s="63" t="s">
        <v>30230</v>
      </c>
      <c r="H7644" s="82"/>
      <c r="I7644" s="82"/>
      <c r="J7644" s="63" t="s">
        <v>136</v>
      </c>
      <c r="K7644" s="81">
        <v>43573.0</v>
      </c>
      <c r="L7644" s="82"/>
      <c r="M7644" s="80" t="s">
        <v>27</v>
      </c>
      <c r="N7644" s="116"/>
      <c r="O7644" s="51"/>
    </row>
    <row r="7645">
      <c r="A7645" s="234"/>
      <c r="B7645" s="71"/>
      <c r="C7645" s="79" t="s">
        <v>30231</v>
      </c>
      <c r="D7645" s="82"/>
      <c r="E7645" s="63" t="s">
        <v>30232</v>
      </c>
      <c r="F7645" s="65">
        <v>42667.0</v>
      </c>
      <c r="G7645" s="63" t="s">
        <v>30233</v>
      </c>
      <c r="H7645" s="82"/>
      <c r="I7645" s="82"/>
      <c r="J7645" s="63" t="s">
        <v>136</v>
      </c>
      <c r="K7645" s="81">
        <v>43573.0</v>
      </c>
      <c r="L7645" s="82"/>
      <c r="M7645" s="80" t="s">
        <v>27</v>
      </c>
      <c r="N7645" s="116"/>
      <c r="O7645" s="51"/>
    </row>
    <row r="7646">
      <c r="A7646" s="234"/>
      <c r="B7646" s="71"/>
      <c r="C7646" s="79" t="s">
        <v>30234</v>
      </c>
      <c r="D7646" s="82"/>
      <c r="E7646" s="63" t="s">
        <v>30235</v>
      </c>
      <c r="F7646" s="65">
        <v>42672.0</v>
      </c>
      <c r="G7646" s="63" t="s">
        <v>30236</v>
      </c>
      <c r="H7646" s="82"/>
      <c r="I7646" s="82"/>
      <c r="J7646" s="63" t="s">
        <v>136</v>
      </c>
      <c r="K7646" s="81">
        <v>43573.0</v>
      </c>
      <c r="L7646" s="82"/>
      <c r="M7646" s="80" t="s">
        <v>27</v>
      </c>
      <c r="N7646" s="116"/>
      <c r="O7646" s="51"/>
    </row>
    <row r="7647">
      <c r="A7647" s="234"/>
      <c r="B7647" s="71"/>
      <c r="C7647" s="79" t="s">
        <v>30237</v>
      </c>
      <c r="D7647" s="82"/>
      <c r="E7647" s="63" t="s">
        <v>30238</v>
      </c>
      <c r="F7647" s="65">
        <v>42672.0</v>
      </c>
      <c r="G7647" s="63" t="s">
        <v>30236</v>
      </c>
      <c r="H7647" s="82"/>
      <c r="I7647" s="82"/>
      <c r="J7647" s="63" t="s">
        <v>136</v>
      </c>
      <c r="K7647" s="81">
        <v>43573.0</v>
      </c>
      <c r="L7647" s="82"/>
      <c r="M7647" s="80" t="s">
        <v>27</v>
      </c>
      <c r="N7647" s="116"/>
      <c r="O7647" s="51"/>
    </row>
    <row r="7648">
      <c r="A7648" s="273"/>
      <c r="B7648" s="71"/>
      <c r="C7648" s="69" t="s">
        <v>30239</v>
      </c>
      <c r="D7648" s="71"/>
      <c r="E7648" s="68" t="s">
        <v>30240</v>
      </c>
      <c r="F7648" s="83">
        <v>42672.0</v>
      </c>
      <c r="G7648" s="68" t="s">
        <v>30236</v>
      </c>
      <c r="H7648" s="71"/>
      <c r="I7648" s="71"/>
      <c r="J7648" s="68" t="s">
        <v>30241</v>
      </c>
      <c r="K7648" s="76">
        <v>43573.0</v>
      </c>
      <c r="L7648" s="71"/>
      <c r="M7648" s="68" t="s">
        <v>27</v>
      </c>
      <c r="N7648" s="116"/>
      <c r="O7648" s="51"/>
    </row>
    <row r="7649">
      <c r="A7649" s="273"/>
      <c r="B7649" s="71"/>
      <c r="C7649" s="69" t="s">
        <v>30242</v>
      </c>
      <c r="D7649" s="71"/>
      <c r="E7649" s="68" t="s">
        <v>30243</v>
      </c>
      <c r="F7649" s="83">
        <v>42672.0</v>
      </c>
      <c r="G7649" s="68" t="s">
        <v>30236</v>
      </c>
      <c r="H7649" s="71"/>
      <c r="I7649" s="71"/>
      <c r="J7649" s="68" t="s">
        <v>30244</v>
      </c>
      <c r="K7649" s="76">
        <v>43573.0</v>
      </c>
      <c r="L7649" s="71"/>
      <c r="M7649" s="68" t="s">
        <v>27</v>
      </c>
      <c r="N7649" s="116"/>
      <c r="O7649" s="51"/>
    </row>
    <row r="7650">
      <c r="A7650" s="273"/>
      <c r="B7650" s="71"/>
      <c r="C7650" s="69" t="s">
        <v>30245</v>
      </c>
      <c r="D7650" s="71"/>
      <c r="E7650" s="68" t="s">
        <v>30246</v>
      </c>
      <c r="F7650" s="76">
        <v>42593.0</v>
      </c>
      <c r="G7650" s="68" t="s">
        <v>30247</v>
      </c>
      <c r="H7650" s="71"/>
      <c r="I7650" s="71"/>
      <c r="J7650" s="68" t="s">
        <v>30248</v>
      </c>
      <c r="K7650" s="76">
        <v>43573.0</v>
      </c>
      <c r="L7650" s="71"/>
      <c r="M7650" s="68" t="s">
        <v>27</v>
      </c>
      <c r="N7650" s="116"/>
      <c r="O7650" s="51"/>
    </row>
    <row r="7651">
      <c r="A7651" s="273"/>
      <c r="B7651" s="71"/>
      <c r="C7651" s="69" t="s">
        <v>30249</v>
      </c>
      <c r="D7651" s="71"/>
      <c r="E7651" s="68" t="s">
        <v>30250</v>
      </c>
      <c r="F7651" s="83">
        <v>42685.0</v>
      </c>
      <c r="G7651" s="68" t="s">
        <v>30251</v>
      </c>
      <c r="H7651" s="71"/>
      <c r="I7651" s="71"/>
      <c r="J7651" s="68" t="s">
        <v>30252</v>
      </c>
      <c r="K7651" s="76">
        <v>43573.0</v>
      </c>
      <c r="L7651" s="71"/>
      <c r="M7651" s="68" t="s">
        <v>27</v>
      </c>
      <c r="N7651" s="116"/>
      <c r="O7651" s="51"/>
    </row>
    <row r="7652">
      <c r="A7652" s="273"/>
      <c r="B7652" s="71"/>
      <c r="C7652" s="69" t="s">
        <v>30253</v>
      </c>
      <c r="D7652" s="71"/>
      <c r="E7652" s="68" t="s">
        <v>30254</v>
      </c>
      <c r="F7652" s="83">
        <v>42685.0</v>
      </c>
      <c r="G7652" s="68" t="s">
        <v>30251</v>
      </c>
      <c r="H7652" s="71"/>
      <c r="I7652" s="71"/>
      <c r="J7652" s="68" t="s">
        <v>30255</v>
      </c>
      <c r="K7652" s="76">
        <v>43573.0</v>
      </c>
      <c r="L7652" s="71"/>
      <c r="M7652" s="68" t="s">
        <v>27</v>
      </c>
      <c r="N7652" s="116"/>
      <c r="O7652" s="51"/>
    </row>
    <row r="7653">
      <c r="A7653" s="273"/>
      <c r="B7653" s="71"/>
      <c r="C7653" s="69" t="s">
        <v>30256</v>
      </c>
      <c r="D7653" s="71"/>
      <c r="E7653" s="68" t="s">
        <v>30257</v>
      </c>
      <c r="F7653" s="83">
        <v>42691.0</v>
      </c>
      <c r="G7653" s="68" t="s">
        <v>30258</v>
      </c>
      <c r="H7653" s="71"/>
      <c r="I7653" s="71"/>
      <c r="J7653" s="68" t="s">
        <v>30259</v>
      </c>
      <c r="K7653" s="76">
        <v>43573.0</v>
      </c>
      <c r="L7653" s="71"/>
      <c r="M7653" s="68" t="s">
        <v>27</v>
      </c>
      <c r="N7653" s="116"/>
      <c r="O7653" s="51"/>
    </row>
    <row r="7654">
      <c r="A7654" s="273"/>
      <c r="B7654" s="71"/>
      <c r="C7654" s="69" t="s">
        <v>30260</v>
      </c>
      <c r="D7654" s="71"/>
      <c r="E7654" s="68" t="s">
        <v>30261</v>
      </c>
      <c r="F7654" s="83">
        <v>42691.0</v>
      </c>
      <c r="G7654" s="68" t="s">
        <v>30262</v>
      </c>
      <c r="H7654" s="71"/>
      <c r="I7654" s="71"/>
      <c r="J7654" s="68" t="s">
        <v>30263</v>
      </c>
      <c r="K7654" s="76">
        <v>43573.0</v>
      </c>
      <c r="L7654" s="71"/>
      <c r="M7654" s="68" t="s">
        <v>27</v>
      </c>
      <c r="N7654" s="116"/>
      <c r="O7654" s="51"/>
    </row>
    <row r="7655">
      <c r="A7655" s="234"/>
      <c r="B7655" s="71"/>
      <c r="C7655" s="79" t="s">
        <v>30264</v>
      </c>
      <c r="D7655" s="82"/>
      <c r="E7655" s="63" t="s">
        <v>30265</v>
      </c>
      <c r="F7655" s="65">
        <v>42691.0</v>
      </c>
      <c r="G7655" s="63" t="s">
        <v>30154</v>
      </c>
      <c r="H7655" s="82"/>
      <c r="I7655" s="82"/>
      <c r="J7655" s="63" t="s">
        <v>136</v>
      </c>
      <c r="K7655" s="81">
        <v>43573.0</v>
      </c>
      <c r="L7655" s="82"/>
      <c r="M7655" s="80" t="s">
        <v>27</v>
      </c>
      <c r="N7655" s="116"/>
      <c r="O7655" s="51"/>
    </row>
    <row r="7656">
      <c r="A7656" s="273"/>
      <c r="B7656" s="71"/>
      <c r="C7656" s="69" t="s">
        <v>30266</v>
      </c>
      <c r="D7656" s="71"/>
      <c r="E7656" s="68" t="s">
        <v>30267</v>
      </c>
      <c r="F7656" s="83">
        <v>42691.0</v>
      </c>
      <c r="G7656" s="68" t="s">
        <v>30268</v>
      </c>
      <c r="H7656" s="71"/>
      <c r="I7656" s="71"/>
      <c r="J7656" s="68" t="s">
        <v>30269</v>
      </c>
      <c r="K7656" s="76">
        <v>43573.0</v>
      </c>
      <c r="L7656" s="71"/>
      <c r="M7656" s="68" t="s">
        <v>27</v>
      </c>
      <c r="N7656" s="116"/>
      <c r="O7656" s="51"/>
    </row>
    <row r="7657">
      <c r="A7657" s="273"/>
      <c r="B7657" s="71"/>
      <c r="C7657" s="69" t="s">
        <v>30270</v>
      </c>
      <c r="D7657" s="71"/>
      <c r="E7657" s="68" t="s">
        <v>30271</v>
      </c>
      <c r="F7657" s="83">
        <v>42692.0</v>
      </c>
      <c r="G7657" s="68" t="s">
        <v>30272</v>
      </c>
      <c r="H7657" s="71"/>
      <c r="I7657" s="71"/>
      <c r="J7657" s="68" t="s">
        <v>30273</v>
      </c>
      <c r="K7657" s="76">
        <v>43573.0</v>
      </c>
      <c r="L7657" s="71"/>
      <c r="M7657" s="68" t="s">
        <v>27</v>
      </c>
      <c r="N7657" s="116"/>
      <c r="O7657" s="51"/>
    </row>
    <row r="7658">
      <c r="A7658" s="273"/>
      <c r="B7658" s="71"/>
      <c r="C7658" s="69" t="s">
        <v>30274</v>
      </c>
      <c r="D7658" s="71"/>
      <c r="E7658" s="68" t="s">
        <v>30275</v>
      </c>
      <c r="F7658" s="83">
        <v>42692.0</v>
      </c>
      <c r="G7658" s="68" t="s">
        <v>30276</v>
      </c>
      <c r="H7658" s="71"/>
      <c r="I7658" s="71"/>
      <c r="J7658" s="68" t="s">
        <v>30277</v>
      </c>
      <c r="K7658" s="76">
        <v>43573.0</v>
      </c>
      <c r="L7658" s="71"/>
      <c r="M7658" s="68" t="s">
        <v>27</v>
      </c>
      <c r="N7658" s="116"/>
      <c r="O7658" s="51"/>
    </row>
    <row r="7659">
      <c r="A7659" s="234"/>
      <c r="B7659" s="71"/>
      <c r="C7659" s="79" t="s">
        <v>30278</v>
      </c>
      <c r="D7659" s="82"/>
      <c r="E7659" s="63" t="s">
        <v>30279</v>
      </c>
      <c r="F7659" s="65">
        <v>42692.0</v>
      </c>
      <c r="G7659" s="63" t="s">
        <v>30154</v>
      </c>
      <c r="H7659" s="82"/>
      <c r="I7659" s="82"/>
      <c r="J7659" s="63" t="s">
        <v>136</v>
      </c>
      <c r="K7659" s="81">
        <v>43573.0</v>
      </c>
      <c r="L7659" s="82"/>
      <c r="M7659" s="80" t="s">
        <v>27</v>
      </c>
      <c r="N7659" s="116"/>
      <c r="O7659" s="51"/>
    </row>
    <row r="7660">
      <c r="A7660" s="273"/>
      <c r="B7660" s="71"/>
      <c r="C7660" s="69" t="s">
        <v>30280</v>
      </c>
      <c r="D7660" s="71"/>
      <c r="E7660" s="68" t="s">
        <v>30281</v>
      </c>
      <c r="F7660" s="83">
        <v>42692.0</v>
      </c>
      <c r="G7660" s="68" t="s">
        <v>30154</v>
      </c>
      <c r="H7660" s="71"/>
      <c r="I7660" s="71"/>
      <c r="J7660" s="68" t="s">
        <v>30282</v>
      </c>
      <c r="K7660" s="76">
        <v>43573.0</v>
      </c>
      <c r="L7660" s="71"/>
      <c r="M7660" s="68" t="s">
        <v>27</v>
      </c>
      <c r="N7660" s="116"/>
      <c r="O7660" s="51"/>
    </row>
    <row r="7661">
      <c r="A7661" s="273"/>
      <c r="B7661" s="71"/>
      <c r="C7661" s="69" t="s">
        <v>30283</v>
      </c>
      <c r="D7661" s="71"/>
      <c r="E7661" s="68" t="s">
        <v>30284</v>
      </c>
      <c r="F7661" s="83">
        <v>42692.0</v>
      </c>
      <c r="G7661" s="68" t="s">
        <v>30285</v>
      </c>
      <c r="H7661" s="71"/>
      <c r="I7661" s="71"/>
      <c r="J7661" s="68" t="s">
        <v>30286</v>
      </c>
      <c r="K7661" s="76">
        <v>43573.0</v>
      </c>
      <c r="L7661" s="71"/>
      <c r="M7661" s="68" t="s">
        <v>27</v>
      </c>
      <c r="N7661" s="116"/>
      <c r="O7661" s="51"/>
    </row>
    <row r="7662">
      <c r="A7662" s="273"/>
      <c r="B7662" s="71"/>
      <c r="C7662" s="69" t="s">
        <v>30287</v>
      </c>
      <c r="D7662" s="71"/>
      <c r="E7662" s="68" t="s">
        <v>30288</v>
      </c>
      <c r="F7662" s="83">
        <v>42692.0</v>
      </c>
      <c r="G7662" s="68" t="s">
        <v>30285</v>
      </c>
      <c r="H7662" s="71"/>
      <c r="I7662" s="71"/>
      <c r="J7662" s="68" t="s">
        <v>30289</v>
      </c>
      <c r="K7662" s="76">
        <v>43573.0</v>
      </c>
      <c r="L7662" s="71"/>
      <c r="M7662" s="68" t="s">
        <v>27</v>
      </c>
      <c r="N7662" s="116"/>
      <c r="O7662" s="51"/>
    </row>
    <row r="7663">
      <c r="A7663" s="273"/>
      <c r="B7663" s="71"/>
      <c r="C7663" s="69" t="s">
        <v>30290</v>
      </c>
      <c r="D7663" s="71"/>
      <c r="E7663" s="68" t="s">
        <v>30291</v>
      </c>
      <c r="F7663" s="83">
        <v>42692.0</v>
      </c>
      <c r="G7663" s="68" t="s">
        <v>30285</v>
      </c>
      <c r="H7663" s="71"/>
      <c r="I7663" s="71"/>
      <c r="J7663" s="68" t="s">
        <v>30292</v>
      </c>
      <c r="K7663" s="76">
        <v>43573.0</v>
      </c>
      <c r="L7663" s="71"/>
      <c r="M7663" s="68" t="s">
        <v>27</v>
      </c>
      <c r="N7663" s="116"/>
      <c r="O7663" s="51"/>
    </row>
    <row r="7664">
      <c r="A7664" s="273"/>
      <c r="B7664" s="71"/>
      <c r="C7664" s="69" t="s">
        <v>30293</v>
      </c>
      <c r="D7664" s="71"/>
      <c r="E7664" s="68" t="s">
        <v>30294</v>
      </c>
      <c r="F7664" s="83">
        <v>42692.0</v>
      </c>
      <c r="G7664" s="68" t="s">
        <v>30285</v>
      </c>
      <c r="H7664" s="71"/>
      <c r="I7664" s="71"/>
      <c r="J7664" s="68" t="s">
        <v>30295</v>
      </c>
      <c r="K7664" s="76">
        <v>43573.0</v>
      </c>
      <c r="L7664" s="71"/>
      <c r="M7664" s="68" t="s">
        <v>27</v>
      </c>
      <c r="N7664" s="116"/>
      <c r="O7664" s="51"/>
    </row>
    <row r="7665">
      <c r="A7665" s="234"/>
      <c r="B7665" s="71"/>
      <c r="C7665" s="79" t="s">
        <v>30296</v>
      </c>
      <c r="D7665" s="82"/>
      <c r="E7665" s="63" t="s">
        <v>30297</v>
      </c>
      <c r="F7665" s="65">
        <v>42692.0</v>
      </c>
      <c r="G7665" s="63" t="s">
        <v>30285</v>
      </c>
      <c r="H7665" s="82"/>
      <c r="I7665" s="82"/>
      <c r="J7665" s="63" t="s">
        <v>136</v>
      </c>
      <c r="K7665" s="81">
        <v>43573.0</v>
      </c>
      <c r="L7665" s="82"/>
      <c r="M7665" s="80" t="s">
        <v>27</v>
      </c>
      <c r="N7665" s="116"/>
      <c r="O7665" s="51"/>
    </row>
    <row r="7666">
      <c r="A7666" s="273"/>
      <c r="B7666" s="71"/>
      <c r="C7666" s="69" t="s">
        <v>30298</v>
      </c>
      <c r="D7666" s="71"/>
      <c r="E7666" s="68" t="s">
        <v>30299</v>
      </c>
      <c r="F7666" s="83">
        <v>42692.0</v>
      </c>
      <c r="G7666" s="68" t="s">
        <v>30285</v>
      </c>
      <c r="H7666" s="71"/>
      <c r="I7666" s="71"/>
      <c r="J7666" s="68" t="s">
        <v>30300</v>
      </c>
      <c r="K7666" s="76">
        <v>43573.0</v>
      </c>
      <c r="L7666" s="71"/>
      <c r="M7666" s="68" t="s">
        <v>27</v>
      </c>
      <c r="N7666" s="116"/>
      <c r="O7666" s="51"/>
    </row>
    <row r="7667">
      <c r="A7667" s="273"/>
      <c r="B7667" s="71"/>
      <c r="C7667" s="69" t="s">
        <v>30301</v>
      </c>
      <c r="D7667" s="71"/>
      <c r="E7667" s="68" t="s">
        <v>30302</v>
      </c>
      <c r="F7667" s="83">
        <v>42692.0</v>
      </c>
      <c r="G7667" s="68" t="s">
        <v>30285</v>
      </c>
      <c r="H7667" s="71"/>
      <c r="I7667" s="71"/>
      <c r="J7667" s="68" t="s">
        <v>30303</v>
      </c>
      <c r="K7667" s="76">
        <v>43573.0</v>
      </c>
      <c r="L7667" s="71"/>
      <c r="M7667" s="68" t="s">
        <v>27</v>
      </c>
      <c r="N7667" s="116"/>
      <c r="O7667" s="51"/>
    </row>
    <row r="7668">
      <c r="A7668" s="273"/>
      <c r="B7668" s="71"/>
      <c r="C7668" s="69" t="s">
        <v>30304</v>
      </c>
      <c r="D7668" s="71"/>
      <c r="E7668" s="68" t="s">
        <v>30305</v>
      </c>
      <c r="F7668" s="83">
        <v>42692.0</v>
      </c>
      <c r="G7668" s="68" t="s">
        <v>30285</v>
      </c>
      <c r="H7668" s="71"/>
      <c r="I7668" s="71"/>
      <c r="J7668" s="68" t="s">
        <v>30306</v>
      </c>
      <c r="K7668" s="76">
        <v>43573.0</v>
      </c>
      <c r="L7668" s="71"/>
      <c r="M7668" s="68" t="s">
        <v>27</v>
      </c>
      <c r="N7668" s="116"/>
      <c r="O7668" s="51"/>
    </row>
    <row r="7669">
      <c r="A7669" s="273"/>
      <c r="B7669" s="71"/>
      <c r="C7669" s="69" t="s">
        <v>30307</v>
      </c>
      <c r="D7669" s="71"/>
      <c r="E7669" s="68" t="s">
        <v>30308</v>
      </c>
      <c r="F7669" s="83">
        <v>42692.0</v>
      </c>
      <c r="G7669" s="68" t="s">
        <v>30285</v>
      </c>
      <c r="H7669" s="71"/>
      <c r="I7669" s="71"/>
      <c r="J7669" s="68" t="s">
        <v>30309</v>
      </c>
      <c r="K7669" s="76">
        <v>43573.0</v>
      </c>
      <c r="L7669" s="71"/>
      <c r="M7669" s="68" t="s">
        <v>27</v>
      </c>
      <c r="N7669" s="116"/>
      <c r="O7669" s="51"/>
    </row>
    <row r="7670">
      <c r="A7670" s="273"/>
      <c r="B7670" s="71"/>
      <c r="C7670" s="69" t="s">
        <v>30310</v>
      </c>
      <c r="D7670" s="71"/>
      <c r="E7670" s="68" t="s">
        <v>30311</v>
      </c>
      <c r="F7670" s="83">
        <v>42692.0</v>
      </c>
      <c r="G7670" s="68" t="s">
        <v>30285</v>
      </c>
      <c r="H7670" s="71"/>
      <c r="I7670" s="71"/>
      <c r="J7670" s="68" t="s">
        <v>30312</v>
      </c>
      <c r="K7670" s="76">
        <v>43573.0</v>
      </c>
      <c r="L7670" s="71"/>
      <c r="M7670" s="68" t="s">
        <v>27</v>
      </c>
      <c r="N7670" s="116"/>
      <c r="O7670" s="51"/>
    </row>
    <row r="7671">
      <c r="A7671" s="234"/>
      <c r="B7671" s="71"/>
      <c r="C7671" s="79" t="s">
        <v>30313</v>
      </c>
      <c r="D7671" s="82"/>
      <c r="E7671" s="63" t="s">
        <v>30314</v>
      </c>
      <c r="F7671" s="65">
        <v>42692.0</v>
      </c>
      <c r="G7671" s="63" t="s">
        <v>30285</v>
      </c>
      <c r="H7671" s="82"/>
      <c r="I7671" s="82"/>
      <c r="J7671" s="63" t="s">
        <v>136</v>
      </c>
      <c r="K7671" s="81">
        <v>43573.0</v>
      </c>
      <c r="L7671" s="82"/>
      <c r="M7671" s="80" t="s">
        <v>27</v>
      </c>
      <c r="N7671" s="116"/>
      <c r="O7671" s="51"/>
    </row>
    <row r="7672">
      <c r="A7672" s="234"/>
      <c r="B7672" s="71"/>
      <c r="C7672" s="79" t="s">
        <v>30315</v>
      </c>
      <c r="D7672" s="82"/>
      <c r="E7672" s="63" t="s">
        <v>30316</v>
      </c>
      <c r="F7672" s="65">
        <v>42692.0</v>
      </c>
      <c r="G7672" s="63" t="s">
        <v>30285</v>
      </c>
      <c r="H7672" s="82"/>
      <c r="I7672" s="82"/>
      <c r="J7672" s="63" t="s">
        <v>136</v>
      </c>
      <c r="K7672" s="81">
        <v>43573.0</v>
      </c>
      <c r="L7672" s="82"/>
      <c r="M7672" s="80" t="s">
        <v>27</v>
      </c>
      <c r="N7672" s="116"/>
      <c r="O7672" s="51"/>
    </row>
    <row r="7673">
      <c r="A7673" s="273"/>
      <c r="B7673" s="71"/>
      <c r="C7673" s="69" t="s">
        <v>30317</v>
      </c>
      <c r="D7673" s="71"/>
      <c r="E7673" s="68" t="s">
        <v>30318</v>
      </c>
      <c r="F7673" s="83">
        <v>42692.0</v>
      </c>
      <c r="G7673" s="68" t="s">
        <v>30285</v>
      </c>
      <c r="H7673" s="71"/>
      <c r="I7673" s="71"/>
      <c r="J7673" s="68" t="s">
        <v>30319</v>
      </c>
      <c r="K7673" s="76">
        <v>43573.0</v>
      </c>
      <c r="L7673" s="71"/>
      <c r="M7673" s="68" t="s">
        <v>27</v>
      </c>
      <c r="N7673" s="116"/>
      <c r="O7673" s="51"/>
    </row>
    <row r="7674">
      <c r="A7674" s="273"/>
      <c r="B7674" s="71"/>
      <c r="C7674" s="69" t="s">
        <v>30320</v>
      </c>
      <c r="D7674" s="71"/>
      <c r="E7674" s="68" t="s">
        <v>30321</v>
      </c>
      <c r="F7674" s="83">
        <v>42692.0</v>
      </c>
      <c r="G7674" s="68" t="s">
        <v>30285</v>
      </c>
      <c r="H7674" s="71"/>
      <c r="I7674" s="71"/>
      <c r="J7674" s="68" t="s">
        <v>30322</v>
      </c>
      <c r="K7674" s="76">
        <v>43573.0</v>
      </c>
      <c r="L7674" s="71"/>
      <c r="M7674" s="68" t="s">
        <v>27</v>
      </c>
      <c r="N7674" s="116"/>
      <c r="O7674" s="51"/>
    </row>
    <row r="7675">
      <c r="A7675" s="273"/>
      <c r="B7675" s="71"/>
      <c r="C7675" s="69" t="s">
        <v>30323</v>
      </c>
      <c r="D7675" s="71"/>
      <c r="E7675" s="68" t="s">
        <v>30324</v>
      </c>
      <c r="F7675" s="83">
        <v>42692.0</v>
      </c>
      <c r="G7675" s="68" t="s">
        <v>30154</v>
      </c>
      <c r="H7675" s="71"/>
      <c r="I7675" s="71"/>
      <c r="J7675" s="68" t="s">
        <v>30325</v>
      </c>
      <c r="K7675" s="76">
        <v>43573.0</v>
      </c>
      <c r="L7675" s="71"/>
      <c r="M7675" s="68" t="s">
        <v>27</v>
      </c>
      <c r="N7675" s="116"/>
      <c r="O7675" s="51"/>
    </row>
    <row r="7676">
      <c r="A7676" s="273"/>
      <c r="B7676" s="71"/>
      <c r="C7676" s="69" t="s">
        <v>30326</v>
      </c>
      <c r="D7676" s="71"/>
      <c r="E7676" s="68" t="s">
        <v>30327</v>
      </c>
      <c r="F7676" s="83">
        <v>42694.0</v>
      </c>
      <c r="G7676" s="68" t="s">
        <v>30328</v>
      </c>
      <c r="H7676" s="71"/>
      <c r="I7676" s="71"/>
      <c r="J7676" s="68" t="s">
        <v>30329</v>
      </c>
      <c r="K7676" s="76">
        <v>43573.0</v>
      </c>
      <c r="L7676" s="71"/>
      <c r="M7676" s="68" t="s">
        <v>27</v>
      </c>
      <c r="N7676" s="116"/>
      <c r="O7676" s="51"/>
    </row>
    <row r="7677">
      <c r="A7677" s="273"/>
      <c r="B7677" s="71"/>
      <c r="C7677" s="69" t="s">
        <v>30330</v>
      </c>
      <c r="D7677" s="71"/>
      <c r="E7677" s="68" t="s">
        <v>30331</v>
      </c>
      <c r="F7677" s="83">
        <v>42694.0</v>
      </c>
      <c r="G7677" s="68" t="s">
        <v>30328</v>
      </c>
      <c r="H7677" s="71"/>
      <c r="I7677" s="71"/>
      <c r="J7677" s="68" t="s">
        <v>30332</v>
      </c>
      <c r="K7677" s="76">
        <v>43573.0</v>
      </c>
      <c r="L7677" s="71"/>
      <c r="M7677" s="68" t="s">
        <v>27</v>
      </c>
      <c r="N7677" s="116"/>
      <c r="O7677" s="51"/>
    </row>
    <row r="7678">
      <c r="A7678" s="273"/>
      <c r="B7678" s="71"/>
      <c r="C7678" s="69" t="s">
        <v>30333</v>
      </c>
      <c r="D7678" s="71"/>
      <c r="E7678" s="68" t="s">
        <v>30334</v>
      </c>
      <c r="F7678" s="83">
        <v>42694.0</v>
      </c>
      <c r="G7678" s="68" t="s">
        <v>30328</v>
      </c>
      <c r="H7678" s="71"/>
      <c r="I7678" s="71"/>
      <c r="J7678" s="68" t="s">
        <v>30335</v>
      </c>
      <c r="K7678" s="76">
        <v>43573.0</v>
      </c>
      <c r="L7678" s="71"/>
      <c r="M7678" s="68" t="s">
        <v>27</v>
      </c>
      <c r="N7678" s="116"/>
      <c r="O7678" s="51"/>
    </row>
    <row r="7679">
      <c r="A7679" s="273"/>
      <c r="B7679" s="71"/>
      <c r="C7679" s="69" t="s">
        <v>30336</v>
      </c>
      <c r="D7679" s="71"/>
      <c r="E7679" s="68" t="s">
        <v>30337</v>
      </c>
      <c r="F7679" s="83">
        <v>42694.0</v>
      </c>
      <c r="G7679" s="68" t="s">
        <v>30338</v>
      </c>
      <c r="H7679" s="71"/>
      <c r="I7679" s="71"/>
      <c r="J7679" s="68" t="s">
        <v>30339</v>
      </c>
      <c r="K7679" s="76">
        <v>43573.0</v>
      </c>
      <c r="L7679" s="71"/>
      <c r="M7679" s="68" t="s">
        <v>27</v>
      </c>
      <c r="N7679" s="116"/>
      <c r="O7679" s="51"/>
    </row>
    <row r="7680">
      <c r="A7680" s="234"/>
      <c r="B7680" s="71"/>
      <c r="C7680" s="79" t="s">
        <v>30340</v>
      </c>
      <c r="D7680" s="82"/>
      <c r="E7680" s="63" t="s">
        <v>30341</v>
      </c>
      <c r="F7680" s="65">
        <v>42694.0</v>
      </c>
      <c r="G7680" s="63" t="s">
        <v>30342</v>
      </c>
      <c r="H7680" s="82"/>
      <c r="I7680" s="82"/>
      <c r="J7680" s="63" t="s">
        <v>136</v>
      </c>
      <c r="K7680" s="81">
        <v>43573.0</v>
      </c>
      <c r="L7680" s="82"/>
      <c r="M7680" s="80" t="s">
        <v>27</v>
      </c>
      <c r="N7680" s="116"/>
      <c r="O7680" s="51"/>
    </row>
    <row r="7681">
      <c r="A7681" s="234"/>
      <c r="B7681" s="71"/>
      <c r="C7681" s="79" t="s">
        <v>30343</v>
      </c>
      <c r="D7681" s="82"/>
      <c r="E7681" s="63" t="s">
        <v>30344</v>
      </c>
      <c r="F7681" s="65">
        <v>42701.0</v>
      </c>
      <c r="G7681" s="63" t="s">
        <v>30345</v>
      </c>
      <c r="H7681" s="82"/>
      <c r="I7681" s="82"/>
      <c r="J7681" s="63" t="s">
        <v>136</v>
      </c>
      <c r="K7681" s="81">
        <v>43573.0</v>
      </c>
      <c r="L7681" s="82"/>
      <c r="M7681" s="80" t="s">
        <v>27</v>
      </c>
      <c r="N7681" s="116"/>
      <c r="O7681" s="51"/>
    </row>
    <row r="7682">
      <c r="A7682" s="273"/>
      <c r="B7682" s="71"/>
      <c r="C7682" s="69" t="s">
        <v>30346</v>
      </c>
      <c r="D7682" s="71"/>
      <c r="E7682" s="68" t="s">
        <v>30347</v>
      </c>
      <c r="F7682" s="83">
        <v>42701.0</v>
      </c>
      <c r="G7682" s="68" t="s">
        <v>30348</v>
      </c>
      <c r="H7682" s="71"/>
      <c r="I7682" s="71"/>
      <c r="J7682" s="68" t="s">
        <v>30349</v>
      </c>
      <c r="K7682" s="76">
        <v>43573.0</v>
      </c>
      <c r="L7682" s="71"/>
      <c r="M7682" s="68" t="s">
        <v>27</v>
      </c>
      <c r="N7682" s="116"/>
      <c r="O7682" s="51"/>
    </row>
    <row r="7683">
      <c r="A7683" s="273"/>
      <c r="B7683" s="71"/>
      <c r="C7683" s="69" t="s">
        <v>30350</v>
      </c>
      <c r="D7683" s="71"/>
      <c r="E7683" s="68" t="s">
        <v>30351</v>
      </c>
      <c r="F7683" s="83">
        <v>42702.0</v>
      </c>
      <c r="G7683" s="68" t="s">
        <v>30352</v>
      </c>
      <c r="H7683" s="71"/>
      <c r="I7683" s="71"/>
      <c r="J7683" s="68" t="s">
        <v>30353</v>
      </c>
      <c r="K7683" s="76">
        <v>43573.0</v>
      </c>
      <c r="L7683" s="71"/>
      <c r="M7683" s="68" t="s">
        <v>27</v>
      </c>
      <c r="N7683" s="116"/>
      <c r="O7683" s="51"/>
    </row>
    <row r="7684">
      <c r="A7684" s="234"/>
      <c r="B7684" s="71"/>
      <c r="C7684" s="79" t="s">
        <v>30354</v>
      </c>
      <c r="D7684" s="82"/>
      <c r="E7684" s="63" t="s">
        <v>30355</v>
      </c>
      <c r="F7684" s="65">
        <v>42703.0</v>
      </c>
      <c r="G7684" s="63" t="s">
        <v>30356</v>
      </c>
      <c r="H7684" s="82"/>
      <c r="I7684" s="82"/>
      <c r="J7684" s="63" t="s">
        <v>136</v>
      </c>
      <c r="K7684" s="81">
        <v>43573.0</v>
      </c>
      <c r="L7684" s="82"/>
      <c r="M7684" s="80" t="s">
        <v>27</v>
      </c>
      <c r="N7684" s="116"/>
      <c r="O7684" s="51"/>
    </row>
    <row r="7685">
      <c r="A7685" s="273"/>
      <c r="B7685" s="71"/>
      <c r="C7685" s="69" t="s">
        <v>30357</v>
      </c>
      <c r="D7685" s="71"/>
      <c r="E7685" s="128" t="s">
        <v>30358</v>
      </c>
      <c r="F7685" s="278">
        <v>42705.0</v>
      </c>
      <c r="G7685" s="128" t="s">
        <v>30359</v>
      </c>
      <c r="H7685" s="71"/>
      <c r="I7685" s="71"/>
      <c r="J7685" s="68" t="s">
        <v>30360</v>
      </c>
      <c r="K7685" s="76">
        <v>43573.0</v>
      </c>
      <c r="L7685" s="71"/>
      <c r="M7685" s="68" t="s">
        <v>27</v>
      </c>
      <c r="N7685" s="116"/>
      <c r="O7685" s="51"/>
    </row>
    <row r="7686">
      <c r="A7686" s="234"/>
      <c r="B7686" s="71"/>
      <c r="C7686" s="79" t="s">
        <v>30361</v>
      </c>
      <c r="D7686" s="82"/>
      <c r="E7686" s="63" t="s">
        <v>30362</v>
      </c>
      <c r="F7686" s="70">
        <v>42707.0</v>
      </c>
      <c r="G7686" s="63" t="s">
        <v>30363</v>
      </c>
      <c r="H7686" s="82"/>
      <c r="I7686" s="82"/>
      <c r="J7686" s="63" t="s">
        <v>136</v>
      </c>
      <c r="K7686" s="81">
        <v>43573.0</v>
      </c>
      <c r="L7686" s="82"/>
      <c r="M7686" s="80" t="s">
        <v>27</v>
      </c>
      <c r="N7686" s="116"/>
      <c r="O7686" s="51"/>
    </row>
    <row r="7687">
      <c r="A7687" s="234"/>
      <c r="B7687" s="71"/>
      <c r="C7687" s="79" t="s">
        <v>30364</v>
      </c>
      <c r="D7687" s="82"/>
      <c r="E7687" s="63" t="s">
        <v>30365</v>
      </c>
      <c r="F7687" s="70">
        <v>42707.0</v>
      </c>
      <c r="G7687" s="63" t="s">
        <v>30363</v>
      </c>
      <c r="H7687" s="82"/>
      <c r="I7687" s="82"/>
      <c r="J7687" s="63" t="s">
        <v>136</v>
      </c>
      <c r="K7687" s="81">
        <v>43573.0</v>
      </c>
      <c r="L7687" s="82"/>
      <c r="M7687" s="80" t="s">
        <v>27</v>
      </c>
      <c r="N7687" s="116"/>
      <c r="O7687" s="51"/>
    </row>
    <row r="7688">
      <c r="A7688" s="273"/>
      <c r="B7688" s="71"/>
      <c r="C7688" s="69" t="s">
        <v>30366</v>
      </c>
      <c r="D7688" s="71"/>
      <c r="E7688" s="68" t="s">
        <v>30367</v>
      </c>
      <c r="F7688" s="76">
        <v>42709.0</v>
      </c>
      <c r="G7688" s="68" t="s">
        <v>30368</v>
      </c>
      <c r="H7688" s="71"/>
      <c r="I7688" s="71"/>
      <c r="J7688" s="68" t="s">
        <v>30369</v>
      </c>
      <c r="K7688" s="76">
        <v>43573.0</v>
      </c>
      <c r="L7688" s="71"/>
      <c r="M7688" s="68" t="s">
        <v>27</v>
      </c>
      <c r="N7688" s="116"/>
      <c r="O7688" s="51"/>
    </row>
    <row r="7689">
      <c r="A7689" s="273"/>
      <c r="B7689" s="71"/>
      <c r="C7689" s="69" t="s">
        <v>30370</v>
      </c>
      <c r="D7689" s="71"/>
      <c r="E7689" s="68" t="s">
        <v>30371</v>
      </c>
      <c r="F7689" s="76">
        <v>42709.0</v>
      </c>
      <c r="G7689" s="68" t="s">
        <v>30368</v>
      </c>
      <c r="H7689" s="71"/>
      <c r="I7689" s="71"/>
      <c r="J7689" s="68" t="s">
        <v>30372</v>
      </c>
      <c r="K7689" s="76">
        <v>43573.0</v>
      </c>
      <c r="L7689" s="71"/>
      <c r="M7689" s="68" t="s">
        <v>27</v>
      </c>
      <c r="N7689" s="116"/>
      <c r="O7689" s="51"/>
    </row>
    <row r="7690">
      <c r="A7690" s="273"/>
      <c r="B7690" s="71"/>
      <c r="C7690" s="69" t="s">
        <v>30373</v>
      </c>
      <c r="D7690" s="71"/>
      <c r="E7690" s="68" t="s">
        <v>30374</v>
      </c>
      <c r="F7690" s="76">
        <v>42709.0</v>
      </c>
      <c r="G7690" s="68" t="s">
        <v>30368</v>
      </c>
      <c r="H7690" s="71"/>
      <c r="I7690" s="71"/>
      <c r="J7690" s="68" t="s">
        <v>30375</v>
      </c>
      <c r="K7690" s="76">
        <v>43573.0</v>
      </c>
      <c r="L7690" s="71"/>
      <c r="M7690" s="68" t="s">
        <v>27</v>
      </c>
      <c r="N7690" s="116"/>
      <c r="O7690" s="51"/>
    </row>
    <row r="7691">
      <c r="A7691" s="273"/>
      <c r="B7691" s="71"/>
      <c r="C7691" s="69" t="s">
        <v>30376</v>
      </c>
      <c r="D7691" s="71"/>
      <c r="E7691" s="68" t="s">
        <v>30377</v>
      </c>
      <c r="F7691" s="76">
        <v>42709.0</v>
      </c>
      <c r="G7691" s="68" t="s">
        <v>30368</v>
      </c>
      <c r="H7691" s="71"/>
      <c r="I7691" s="71"/>
      <c r="J7691" s="68" t="s">
        <v>30378</v>
      </c>
      <c r="K7691" s="76">
        <v>43573.0</v>
      </c>
      <c r="L7691" s="71"/>
      <c r="M7691" s="68" t="s">
        <v>27</v>
      </c>
      <c r="N7691" s="116"/>
      <c r="O7691" s="51"/>
    </row>
    <row r="7692">
      <c r="A7692" s="273"/>
      <c r="B7692" s="71"/>
      <c r="C7692" s="69" t="s">
        <v>30379</v>
      </c>
      <c r="D7692" s="71"/>
      <c r="E7692" s="68" t="s">
        <v>30380</v>
      </c>
      <c r="F7692" s="76">
        <v>42712.0</v>
      </c>
      <c r="G7692" s="68" t="s">
        <v>30381</v>
      </c>
      <c r="H7692" s="71"/>
      <c r="I7692" s="71"/>
      <c r="J7692" s="68" t="s">
        <v>30382</v>
      </c>
      <c r="K7692" s="76">
        <v>43573.0</v>
      </c>
      <c r="L7692" s="71"/>
      <c r="M7692" s="68" t="s">
        <v>27</v>
      </c>
      <c r="N7692" s="116"/>
      <c r="O7692" s="51"/>
    </row>
    <row r="7693">
      <c r="A7693" s="273"/>
      <c r="B7693" s="71"/>
      <c r="C7693" s="69" t="s">
        <v>30383</v>
      </c>
      <c r="D7693" s="71"/>
      <c r="E7693" s="68" t="s">
        <v>30384</v>
      </c>
      <c r="F7693" s="76">
        <v>42712.0</v>
      </c>
      <c r="G7693" s="68" t="s">
        <v>30381</v>
      </c>
      <c r="H7693" s="71"/>
      <c r="I7693" s="71"/>
      <c r="J7693" s="68" t="s">
        <v>30385</v>
      </c>
      <c r="K7693" s="76">
        <v>43573.0</v>
      </c>
      <c r="L7693" s="71"/>
      <c r="M7693" s="68" t="s">
        <v>27</v>
      </c>
      <c r="N7693" s="116"/>
      <c r="O7693" s="51"/>
    </row>
    <row r="7694">
      <c r="A7694" s="273"/>
      <c r="B7694" s="71"/>
      <c r="C7694" s="69" t="s">
        <v>30386</v>
      </c>
      <c r="D7694" s="71"/>
      <c r="E7694" s="68" t="s">
        <v>30387</v>
      </c>
      <c r="F7694" s="76">
        <v>42712.0</v>
      </c>
      <c r="G7694" s="68" t="s">
        <v>30381</v>
      </c>
      <c r="H7694" s="71"/>
      <c r="I7694" s="71"/>
      <c r="J7694" s="68" t="s">
        <v>30388</v>
      </c>
      <c r="K7694" s="76">
        <v>43573.0</v>
      </c>
      <c r="L7694" s="71"/>
      <c r="M7694" s="68" t="s">
        <v>27</v>
      </c>
      <c r="N7694" s="116"/>
      <c r="O7694" s="51"/>
    </row>
    <row r="7695">
      <c r="A7695" s="273"/>
      <c r="B7695" s="71"/>
      <c r="C7695" s="69" t="s">
        <v>30389</v>
      </c>
      <c r="D7695" s="71"/>
      <c r="E7695" s="68" t="s">
        <v>30390</v>
      </c>
      <c r="F7695" s="76">
        <v>42712.0</v>
      </c>
      <c r="G7695" s="68" t="s">
        <v>30381</v>
      </c>
      <c r="H7695" s="71"/>
      <c r="I7695" s="71"/>
      <c r="J7695" s="68" t="s">
        <v>30391</v>
      </c>
      <c r="K7695" s="76">
        <v>43573.0</v>
      </c>
      <c r="L7695" s="71"/>
      <c r="M7695" s="68" t="s">
        <v>27</v>
      </c>
      <c r="N7695" s="116"/>
      <c r="O7695" s="51"/>
    </row>
    <row r="7696">
      <c r="A7696" s="273"/>
      <c r="B7696" s="71"/>
      <c r="C7696" s="69" t="s">
        <v>30392</v>
      </c>
      <c r="D7696" s="71"/>
      <c r="E7696" s="68" t="s">
        <v>30393</v>
      </c>
      <c r="F7696" s="76">
        <v>42712.0</v>
      </c>
      <c r="G7696" s="68" t="s">
        <v>30394</v>
      </c>
      <c r="H7696" s="71"/>
      <c r="I7696" s="71"/>
      <c r="J7696" s="68" t="s">
        <v>30395</v>
      </c>
      <c r="K7696" s="76">
        <v>43573.0</v>
      </c>
      <c r="L7696" s="71"/>
      <c r="M7696" s="68" t="s">
        <v>27</v>
      </c>
      <c r="N7696" s="116"/>
      <c r="O7696" s="51"/>
    </row>
    <row r="7697">
      <c r="A7697" s="273"/>
      <c r="B7697" s="71"/>
      <c r="C7697" s="69" t="s">
        <v>30396</v>
      </c>
      <c r="D7697" s="71"/>
      <c r="E7697" s="68" t="s">
        <v>30397</v>
      </c>
      <c r="F7697" s="76">
        <v>42712.0</v>
      </c>
      <c r="G7697" s="68" t="s">
        <v>30394</v>
      </c>
      <c r="H7697" s="71"/>
      <c r="I7697" s="71"/>
      <c r="J7697" s="68" t="s">
        <v>30398</v>
      </c>
      <c r="K7697" s="76">
        <v>43573.0</v>
      </c>
      <c r="L7697" s="71"/>
      <c r="M7697" s="68" t="s">
        <v>27</v>
      </c>
      <c r="N7697" s="116"/>
      <c r="O7697" s="51"/>
    </row>
    <row r="7698">
      <c r="A7698" s="273"/>
      <c r="B7698" s="71"/>
      <c r="C7698" s="69" t="s">
        <v>30399</v>
      </c>
      <c r="D7698" s="71"/>
      <c r="E7698" s="68" t="s">
        <v>30400</v>
      </c>
      <c r="F7698" s="76">
        <v>42712.0</v>
      </c>
      <c r="G7698" s="68" t="s">
        <v>30394</v>
      </c>
      <c r="H7698" s="71"/>
      <c r="I7698" s="71"/>
      <c r="J7698" s="68" t="s">
        <v>30401</v>
      </c>
      <c r="K7698" s="76">
        <v>43573.0</v>
      </c>
      <c r="L7698" s="71"/>
      <c r="M7698" s="68" t="s">
        <v>27</v>
      </c>
      <c r="N7698" s="116"/>
      <c r="O7698" s="51"/>
    </row>
    <row r="7699">
      <c r="A7699" s="273"/>
      <c r="B7699" s="71"/>
      <c r="C7699" s="69" t="s">
        <v>30402</v>
      </c>
      <c r="D7699" s="71"/>
      <c r="E7699" s="68" t="s">
        <v>30403</v>
      </c>
      <c r="F7699" s="76">
        <v>42712.0</v>
      </c>
      <c r="G7699" s="68" t="s">
        <v>30394</v>
      </c>
      <c r="H7699" s="71"/>
      <c r="I7699" s="71"/>
      <c r="J7699" s="68" t="s">
        <v>30404</v>
      </c>
      <c r="K7699" s="76">
        <v>43573.0</v>
      </c>
      <c r="L7699" s="71"/>
      <c r="M7699" s="68" t="s">
        <v>27</v>
      </c>
      <c r="N7699" s="116"/>
      <c r="O7699" s="51"/>
    </row>
    <row r="7700">
      <c r="A7700" s="273"/>
      <c r="B7700" s="71"/>
      <c r="C7700" s="69" t="s">
        <v>30405</v>
      </c>
      <c r="D7700" s="71"/>
      <c r="E7700" s="68" t="s">
        <v>30406</v>
      </c>
      <c r="F7700" s="76">
        <v>42712.0</v>
      </c>
      <c r="G7700" s="68" t="s">
        <v>30381</v>
      </c>
      <c r="H7700" s="71"/>
      <c r="I7700" s="71"/>
      <c r="J7700" s="68" t="s">
        <v>30407</v>
      </c>
      <c r="K7700" s="76">
        <v>43573.0</v>
      </c>
      <c r="L7700" s="71"/>
      <c r="M7700" s="68" t="s">
        <v>27</v>
      </c>
      <c r="N7700" s="116"/>
      <c r="O7700" s="51"/>
    </row>
    <row r="7701">
      <c r="A7701" s="273"/>
      <c r="B7701" s="71"/>
      <c r="C7701" s="69" t="s">
        <v>30408</v>
      </c>
      <c r="D7701" s="71"/>
      <c r="E7701" s="68" t="s">
        <v>30409</v>
      </c>
      <c r="F7701" s="76">
        <v>42712.0</v>
      </c>
      <c r="G7701" s="68" t="s">
        <v>30381</v>
      </c>
      <c r="H7701" s="71"/>
      <c r="I7701" s="71"/>
      <c r="J7701" s="68" t="s">
        <v>30410</v>
      </c>
      <c r="K7701" s="76">
        <v>43573.0</v>
      </c>
      <c r="L7701" s="71"/>
      <c r="M7701" s="68" t="s">
        <v>27</v>
      </c>
      <c r="N7701" s="116"/>
      <c r="O7701" s="51"/>
    </row>
    <row r="7702">
      <c r="A7702" s="273"/>
      <c r="B7702" s="71"/>
      <c r="C7702" s="69" t="s">
        <v>30411</v>
      </c>
      <c r="D7702" s="71"/>
      <c r="E7702" s="68" t="s">
        <v>30412</v>
      </c>
      <c r="F7702" s="76">
        <v>42712.0</v>
      </c>
      <c r="G7702" s="68" t="s">
        <v>30381</v>
      </c>
      <c r="H7702" s="71"/>
      <c r="I7702" s="71"/>
      <c r="J7702" s="68" t="s">
        <v>30413</v>
      </c>
      <c r="K7702" s="76">
        <v>43573.0</v>
      </c>
      <c r="L7702" s="71"/>
      <c r="M7702" s="68" t="s">
        <v>27</v>
      </c>
      <c r="N7702" s="116"/>
      <c r="O7702" s="51"/>
    </row>
    <row r="7703">
      <c r="A7703" s="273"/>
      <c r="B7703" s="71"/>
      <c r="C7703" s="69" t="s">
        <v>30414</v>
      </c>
      <c r="D7703" s="71"/>
      <c r="E7703" s="68" t="s">
        <v>30415</v>
      </c>
      <c r="F7703" s="76">
        <v>42712.0</v>
      </c>
      <c r="G7703" s="68" t="s">
        <v>30381</v>
      </c>
      <c r="H7703" s="71"/>
      <c r="I7703" s="71"/>
      <c r="J7703" s="68" t="s">
        <v>30416</v>
      </c>
      <c r="K7703" s="76">
        <v>43573.0</v>
      </c>
      <c r="L7703" s="71"/>
      <c r="M7703" s="68" t="s">
        <v>27</v>
      </c>
      <c r="N7703" s="116"/>
      <c r="O7703" s="51"/>
    </row>
    <row r="7704">
      <c r="A7704" s="273"/>
      <c r="B7704" s="71"/>
      <c r="C7704" s="69" t="s">
        <v>30417</v>
      </c>
      <c r="D7704" s="71"/>
      <c r="E7704" s="68" t="s">
        <v>30418</v>
      </c>
      <c r="F7704" s="76">
        <v>42712.0</v>
      </c>
      <c r="G7704" s="68" t="s">
        <v>30381</v>
      </c>
      <c r="H7704" s="71"/>
      <c r="I7704" s="71"/>
      <c r="J7704" s="68" t="s">
        <v>30419</v>
      </c>
      <c r="K7704" s="76">
        <v>43573.0</v>
      </c>
      <c r="L7704" s="71"/>
      <c r="M7704" s="68" t="s">
        <v>27</v>
      </c>
      <c r="N7704" s="116"/>
      <c r="O7704" s="51"/>
    </row>
    <row r="7705">
      <c r="A7705" s="273"/>
      <c r="B7705" s="71"/>
      <c r="C7705" s="69" t="s">
        <v>30420</v>
      </c>
      <c r="D7705" s="71"/>
      <c r="E7705" s="68" t="s">
        <v>30421</v>
      </c>
      <c r="F7705" s="76">
        <v>42712.0</v>
      </c>
      <c r="G7705" s="68" t="s">
        <v>30381</v>
      </c>
      <c r="H7705" s="71"/>
      <c r="I7705" s="71"/>
      <c r="J7705" s="68" t="s">
        <v>30422</v>
      </c>
      <c r="K7705" s="76">
        <v>43573.0</v>
      </c>
      <c r="L7705" s="71"/>
      <c r="M7705" s="68" t="s">
        <v>27</v>
      </c>
      <c r="N7705" s="116"/>
      <c r="O7705" s="51"/>
    </row>
    <row r="7706">
      <c r="A7706" s="273"/>
      <c r="B7706" s="71"/>
      <c r="C7706" s="69" t="s">
        <v>30423</v>
      </c>
      <c r="D7706" s="71"/>
      <c r="E7706" s="68" t="s">
        <v>30424</v>
      </c>
      <c r="F7706" s="76">
        <v>42712.0</v>
      </c>
      <c r="G7706" s="68" t="s">
        <v>30381</v>
      </c>
      <c r="H7706" s="71"/>
      <c r="I7706" s="71"/>
      <c r="J7706" s="68" t="s">
        <v>30425</v>
      </c>
      <c r="K7706" s="76">
        <v>43573.0</v>
      </c>
      <c r="L7706" s="71"/>
      <c r="M7706" s="68" t="s">
        <v>27</v>
      </c>
      <c r="N7706" s="116"/>
      <c r="O7706" s="51"/>
    </row>
    <row r="7707">
      <c r="A7707" s="273"/>
      <c r="B7707" s="71"/>
      <c r="C7707" s="69" t="s">
        <v>30426</v>
      </c>
      <c r="D7707" s="71"/>
      <c r="E7707" s="68" t="s">
        <v>30427</v>
      </c>
      <c r="F7707" s="76">
        <v>42712.0</v>
      </c>
      <c r="G7707" s="68" t="s">
        <v>30381</v>
      </c>
      <c r="H7707" s="71"/>
      <c r="I7707" s="71"/>
      <c r="J7707" s="68" t="s">
        <v>30428</v>
      </c>
      <c r="K7707" s="76">
        <v>43573.0</v>
      </c>
      <c r="L7707" s="71"/>
      <c r="M7707" s="68" t="s">
        <v>27</v>
      </c>
      <c r="N7707" s="116"/>
      <c r="O7707" s="51"/>
    </row>
    <row r="7708">
      <c r="A7708" s="273"/>
      <c r="B7708" s="71"/>
      <c r="C7708" s="69" t="s">
        <v>30429</v>
      </c>
      <c r="D7708" s="71"/>
      <c r="E7708" s="68" t="s">
        <v>30430</v>
      </c>
      <c r="F7708" s="76">
        <v>42712.0</v>
      </c>
      <c r="G7708" s="68" t="s">
        <v>30381</v>
      </c>
      <c r="H7708" s="71"/>
      <c r="I7708" s="71"/>
      <c r="J7708" s="68" t="s">
        <v>30431</v>
      </c>
      <c r="K7708" s="76">
        <v>43573.0</v>
      </c>
      <c r="L7708" s="71"/>
      <c r="M7708" s="68" t="s">
        <v>27</v>
      </c>
      <c r="N7708" s="116"/>
      <c r="O7708" s="51"/>
    </row>
    <row r="7709">
      <c r="A7709" s="273"/>
      <c r="B7709" s="71"/>
      <c r="C7709" s="69" t="s">
        <v>30432</v>
      </c>
      <c r="D7709" s="71"/>
      <c r="E7709" s="68" t="s">
        <v>30433</v>
      </c>
      <c r="F7709" s="76">
        <v>42712.0</v>
      </c>
      <c r="G7709" s="68" t="s">
        <v>30381</v>
      </c>
      <c r="H7709" s="71"/>
      <c r="I7709" s="71"/>
      <c r="J7709" s="68" t="s">
        <v>30434</v>
      </c>
      <c r="K7709" s="76">
        <v>43573.0</v>
      </c>
      <c r="L7709" s="71"/>
      <c r="M7709" s="68" t="s">
        <v>27</v>
      </c>
      <c r="N7709" s="116"/>
      <c r="O7709" s="51"/>
    </row>
    <row r="7710">
      <c r="A7710" s="273"/>
      <c r="B7710" s="71"/>
      <c r="C7710" s="69" t="s">
        <v>30435</v>
      </c>
      <c r="D7710" s="71"/>
      <c r="E7710" s="68" t="s">
        <v>30436</v>
      </c>
      <c r="F7710" s="76">
        <v>42712.0</v>
      </c>
      <c r="G7710" s="68" t="s">
        <v>30381</v>
      </c>
      <c r="H7710" s="71"/>
      <c r="I7710" s="71"/>
      <c r="J7710" s="68" t="s">
        <v>30437</v>
      </c>
      <c r="K7710" s="76">
        <v>43573.0</v>
      </c>
      <c r="L7710" s="71"/>
      <c r="M7710" s="68" t="s">
        <v>27</v>
      </c>
      <c r="N7710" s="116"/>
      <c r="O7710" s="51"/>
    </row>
    <row r="7711">
      <c r="A7711" s="273"/>
      <c r="B7711" s="71"/>
      <c r="C7711" s="69" t="s">
        <v>30438</v>
      </c>
      <c r="D7711" s="71"/>
      <c r="E7711" s="68" t="s">
        <v>30439</v>
      </c>
      <c r="F7711" s="76">
        <v>42712.0</v>
      </c>
      <c r="G7711" s="68" t="s">
        <v>30381</v>
      </c>
      <c r="H7711" s="71"/>
      <c r="I7711" s="71"/>
      <c r="J7711" s="68" t="s">
        <v>30440</v>
      </c>
      <c r="K7711" s="76">
        <v>43573.0</v>
      </c>
      <c r="L7711" s="71"/>
      <c r="M7711" s="68" t="s">
        <v>27</v>
      </c>
      <c r="N7711" s="116"/>
      <c r="O7711" s="51"/>
    </row>
    <row r="7712">
      <c r="A7712" s="273"/>
      <c r="B7712" s="71"/>
      <c r="C7712" s="69" t="s">
        <v>30441</v>
      </c>
      <c r="D7712" s="71"/>
      <c r="E7712" s="68" t="s">
        <v>30442</v>
      </c>
      <c r="F7712" s="76">
        <v>42712.0</v>
      </c>
      <c r="G7712" s="68" t="s">
        <v>30381</v>
      </c>
      <c r="H7712" s="71"/>
      <c r="I7712" s="71"/>
      <c r="J7712" s="68" t="s">
        <v>30443</v>
      </c>
      <c r="K7712" s="76">
        <v>43573.0</v>
      </c>
      <c r="L7712" s="71"/>
      <c r="M7712" s="68" t="s">
        <v>27</v>
      </c>
      <c r="N7712" s="116"/>
      <c r="O7712" s="51"/>
    </row>
    <row r="7713">
      <c r="A7713" s="273"/>
      <c r="B7713" s="71"/>
      <c r="C7713" s="69" t="s">
        <v>30444</v>
      </c>
      <c r="D7713" s="71"/>
      <c r="E7713" s="68" t="s">
        <v>30445</v>
      </c>
      <c r="F7713" s="76">
        <v>42712.0</v>
      </c>
      <c r="G7713" s="68" t="s">
        <v>30381</v>
      </c>
      <c r="H7713" s="71"/>
      <c r="I7713" s="71"/>
      <c r="J7713" s="68" t="s">
        <v>30446</v>
      </c>
      <c r="K7713" s="76">
        <v>43573.0</v>
      </c>
      <c r="L7713" s="71"/>
      <c r="M7713" s="68" t="s">
        <v>27</v>
      </c>
      <c r="N7713" s="116"/>
      <c r="O7713" s="51"/>
    </row>
    <row r="7714">
      <c r="A7714" s="273"/>
      <c r="B7714" s="71"/>
      <c r="C7714" s="69" t="s">
        <v>30447</v>
      </c>
      <c r="D7714" s="71"/>
      <c r="E7714" s="68" t="s">
        <v>30448</v>
      </c>
      <c r="F7714" s="76">
        <v>42712.0</v>
      </c>
      <c r="G7714" s="68" t="s">
        <v>30381</v>
      </c>
      <c r="H7714" s="71"/>
      <c r="I7714" s="71"/>
      <c r="J7714" s="68" t="s">
        <v>30449</v>
      </c>
      <c r="K7714" s="76">
        <v>43573.0</v>
      </c>
      <c r="L7714" s="71"/>
      <c r="M7714" s="68" t="s">
        <v>27</v>
      </c>
      <c r="N7714" s="116"/>
      <c r="O7714" s="51"/>
    </row>
    <row r="7715">
      <c r="A7715" s="273"/>
      <c r="B7715" s="71"/>
      <c r="C7715" s="69" t="s">
        <v>30450</v>
      </c>
      <c r="D7715" s="71"/>
      <c r="E7715" s="68" t="s">
        <v>30451</v>
      </c>
      <c r="F7715" s="76">
        <v>42712.0</v>
      </c>
      <c r="G7715" s="68" t="s">
        <v>30381</v>
      </c>
      <c r="H7715" s="71"/>
      <c r="I7715" s="71"/>
      <c r="J7715" s="68" t="s">
        <v>30452</v>
      </c>
      <c r="K7715" s="76">
        <v>43573.0</v>
      </c>
      <c r="L7715" s="71"/>
      <c r="M7715" s="68" t="s">
        <v>27</v>
      </c>
      <c r="N7715" s="116"/>
      <c r="O7715" s="51"/>
    </row>
    <row r="7716">
      <c r="A7716" s="273"/>
      <c r="B7716" s="71"/>
      <c r="C7716" s="69" t="s">
        <v>30453</v>
      </c>
      <c r="D7716" s="71"/>
      <c r="E7716" s="68" t="s">
        <v>30454</v>
      </c>
      <c r="F7716" s="76">
        <v>42712.0</v>
      </c>
      <c r="G7716" s="68" t="s">
        <v>30381</v>
      </c>
      <c r="H7716" s="71"/>
      <c r="I7716" s="71"/>
      <c r="J7716" s="68" t="s">
        <v>30455</v>
      </c>
      <c r="K7716" s="76">
        <v>43573.0</v>
      </c>
      <c r="L7716" s="71"/>
      <c r="M7716" s="68" t="s">
        <v>27</v>
      </c>
      <c r="N7716" s="116"/>
      <c r="O7716" s="51"/>
    </row>
    <row r="7717">
      <c r="A7717" s="273"/>
      <c r="B7717" s="71"/>
      <c r="C7717" s="69" t="s">
        <v>30456</v>
      </c>
      <c r="D7717" s="71"/>
      <c r="E7717" s="68" t="s">
        <v>30457</v>
      </c>
      <c r="F7717" s="76">
        <v>42712.0</v>
      </c>
      <c r="G7717" s="68" t="s">
        <v>30381</v>
      </c>
      <c r="H7717" s="71"/>
      <c r="I7717" s="71"/>
      <c r="J7717" s="68" t="s">
        <v>30458</v>
      </c>
      <c r="K7717" s="76">
        <v>43573.0</v>
      </c>
      <c r="L7717" s="71"/>
      <c r="M7717" s="68" t="s">
        <v>27</v>
      </c>
      <c r="N7717" s="116"/>
      <c r="O7717" s="51"/>
    </row>
    <row r="7718">
      <c r="A7718" s="273"/>
      <c r="B7718" s="71"/>
      <c r="C7718" s="69" t="s">
        <v>30459</v>
      </c>
      <c r="D7718" s="71"/>
      <c r="E7718" s="68" t="s">
        <v>30460</v>
      </c>
      <c r="F7718" s="76">
        <v>42712.0</v>
      </c>
      <c r="G7718" s="68" t="s">
        <v>30381</v>
      </c>
      <c r="H7718" s="71"/>
      <c r="I7718" s="71"/>
      <c r="J7718" s="68" t="s">
        <v>30461</v>
      </c>
      <c r="K7718" s="76">
        <v>43573.0</v>
      </c>
      <c r="L7718" s="71"/>
      <c r="M7718" s="68" t="s">
        <v>27</v>
      </c>
      <c r="N7718" s="116"/>
      <c r="O7718" s="51"/>
    </row>
    <row r="7719">
      <c r="A7719" s="273"/>
      <c r="B7719" s="71"/>
      <c r="C7719" s="69" t="s">
        <v>30462</v>
      </c>
      <c r="D7719" s="71"/>
      <c r="E7719" s="68" t="s">
        <v>30463</v>
      </c>
      <c r="F7719" s="76">
        <v>42712.0</v>
      </c>
      <c r="G7719" s="68" t="s">
        <v>30381</v>
      </c>
      <c r="H7719" s="71"/>
      <c r="I7719" s="71"/>
      <c r="J7719" s="68" t="s">
        <v>30464</v>
      </c>
      <c r="K7719" s="76">
        <v>43573.0</v>
      </c>
      <c r="L7719" s="71"/>
      <c r="M7719" s="68" t="s">
        <v>27</v>
      </c>
      <c r="N7719" s="116"/>
      <c r="O7719" s="51"/>
    </row>
    <row r="7720">
      <c r="A7720" s="273"/>
      <c r="B7720" s="71"/>
      <c r="C7720" s="69" t="s">
        <v>30465</v>
      </c>
      <c r="D7720" s="71"/>
      <c r="E7720" s="68" t="s">
        <v>30466</v>
      </c>
      <c r="F7720" s="76">
        <v>42712.0</v>
      </c>
      <c r="G7720" s="68" t="s">
        <v>30381</v>
      </c>
      <c r="H7720" s="71"/>
      <c r="I7720" s="71"/>
      <c r="J7720" s="68" t="s">
        <v>30467</v>
      </c>
      <c r="K7720" s="76">
        <v>43573.0</v>
      </c>
      <c r="L7720" s="71"/>
      <c r="M7720" s="68" t="s">
        <v>27</v>
      </c>
      <c r="N7720" s="116"/>
      <c r="O7720" s="51"/>
    </row>
    <row r="7721">
      <c r="A7721" s="273"/>
      <c r="B7721" s="71"/>
      <c r="C7721" s="69" t="s">
        <v>30468</v>
      </c>
      <c r="D7721" s="71"/>
      <c r="E7721" s="68" t="s">
        <v>30469</v>
      </c>
      <c r="F7721" s="76">
        <v>42712.0</v>
      </c>
      <c r="G7721" s="68" t="s">
        <v>30381</v>
      </c>
      <c r="H7721" s="71"/>
      <c r="I7721" s="71"/>
      <c r="J7721" s="68" t="s">
        <v>30470</v>
      </c>
      <c r="K7721" s="76">
        <v>43573.0</v>
      </c>
      <c r="L7721" s="71"/>
      <c r="M7721" s="68" t="s">
        <v>27</v>
      </c>
      <c r="N7721" s="116"/>
      <c r="O7721" s="51"/>
    </row>
    <row r="7722">
      <c r="A7722" s="273"/>
      <c r="B7722" s="71"/>
      <c r="C7722" s="69" t="s">
        <v>30471</v>
      </c>
      <c r="D7722" s="71"/>
      <c r="E7722" s="68" t="s">
        <v>30472</v>
      </c>
      <c r="F7722" s="76">
        <v>42712.0</v>
      </c>
      <c r="G7722" s="68" t="s">
        <v>30381</v>
      </c>
      <c r="H7722" s="71"/>
      <c r="I7722" s="71"/>
      <c r="J7722" s="68" t="s">
        <v>30473</v>
      </c>
      <c r="K7722" s="76">
        <v>43573.0</v>
      </c>
      <c r="L7722" s="71"/>
      <c r="M7722" s="68" t="s">
        <v>27</v>
      </c>
      <c r="N7722" s="116"/>
      <c r="O7722" s="51"/>
    </row>
    <row r="7723">
      <c r="A7723" s="273"/>
      <c r="B7723" s="71"/>
      <c r="C7723" s="69" t="s">
        <v>30474</v>
      </c>
      <c r="D7723" s="71"/>
      <c r="E7723" s="68" t="s">
        <v>30475</v>
      </c>
      <c r="F7723" s="76">
        <v>42712.0</v>
      </c>
      <c r="G7723" s="68" t="s">
        <v>30381</v>
      </c>
      <c r="H7723" s="71"/>
      <c r="I7723" s="71"/>
      <c r="J7723" s="68" t="s">
        <v>30476</v>
      </c>
      <c r="K7723" s="76">
        <v>43573.0</v>
      </c>
      <c r="L7723" s="71"/>
      <c r="M7723" s="68" t="s">
        <v>27</v>
      </c>
      <c r="N7723" s="116"/>
      <c r="O7723" s="51"/>
    </row>
    <row r="7724">
      <c r="A7724" s="273"/>
      <c r="B7724" s="71"/>
      <c r="C7724" s="69" t="s">
        <v>30477</v>
      </c>
      <c r="D7724" s="71"/>
      <c r="E7724" s="68" t="s">
        <v>30478</v>
      </c>
      <c r="F7724" s="76">
        <v>42712.0</v>
      </c>
      <c r="G7724" s="68" t="s">
        <v>30381</v>
      </c>
      <c r="H7724" s="71"/>
      <c r="I7724" s="71"/>
      <c r="J7724" s="68" t="s">
        <v>30479</v>
      </c>
      <c r="K7724" s="76">
        <v>43573.0</v>
      </c>
      <c r="L7724" s="71"/>
      <c r="M7724" s="68" t="s">
        <v>27</v>
      </c>
      <c r="N7724" s="116"/>
      <c r="O7724" s="51"/>
    </row>
    <row r="7725">
      <c r="A7725" s="273"/>
      <c r="B7725" s="71"/>
      <c r="C7725" s="69" t="s">
        <v>30480</v>
      </c>
      <c r="D7725" s="71"/>
      <c r="E7725" s="68" t="s">
        <v>30481</v>
      </c>
      <c r="F7725" s="76">
        <v>42713.0</v>
      </c>
      <c r="G7725" s="68" t="s">
        <v>30482</v>
      </c>
      <c r="H7725" s="71"/>
      <c r="I7725" s="71"/>
      <c r="J7725" s="68" t="s">
        <v>30483</v>
      </c>
      <c r="K7725" s="76">
        <v>43573.0</v>
      </c>
      <c r="L7725" s="71"/>
      <c r="M7725" s="68" t="s">
        <v>27</v>
      </c>
      <c r="N7725" s="116"/>
      <c r="O7725" s="51"/>
    </row>
    <row r="7726">
      <c r="A7726" s="273"/>
      <c r="B7726" s="71"/>
      <c r="C7726" s="69" t="s">
        <v>30484</v>
      </c>
      <c r="D7726" s="71"/>
      <c r="E7726" s="68" t="s">
        <v>30485</v>
      </c>
      <c r="F7726" s="76">
        <v>42738.0</v>
      </c>
      <c r="G7726" s="68" t="s">
        <v>30486</v>
      </c>
      <c r="H7726" s="71"/>
      <c r="I7726" s="71"/>
      <c r="J7726" s="68" t="s">
        <v>30487</v>
      </c>
      <c r="K7726" s="76">
        <v>43573.0</v>
      </c>
      <c r="L7726" s="71"/>
      <c r="M7726" s="68" t="s">
        <v>27</v>
      </c>
      <c r="N7726" s="116"/>
      <c r="O7726" s="51"/>
    </row>
    <row r="7727">
      <c r="A7727" s="273"/>
      <c r="B7727" s="71"/>
      <c r="C7727" s="69" t="s">
        <v>30488</v>
      </c>
      <c r="D7727" s="71"/>
      <c r="E7727" s="68" t="s">
        <v>30489</v>
      </c>
      <c r="F7727" s="76">
        <v>42737.0</v>
      </c>
      <c r="G7727" s="68" t="s">
        <v>30490</v>
      </c>
      <c r="H7727" s="71"/>
      <c r="I7727" s="71"/>
      <c r="J7727" s="68" t="s">
        <v>30491</v>
      </c>
      <c r="K7727" s="76">
        <v>43573.0</v>
      </c>
      <c r="L7727" s="71"/>
      <c r="M7727" s="68" t="s">
        <v>27</v>
      </c>
      <c r="N7727" s="116"/>
      <c r="O7727" s="51"/>
    </row>
    <row r="7728">
      <c r="A7728" s="273"/>
      <c r="B7728" s="71"/>
      <c r="C7728" s="69" t="s">
        <v>30492</v>
      </c>
      <c r="D7728" s="71"/>
      <c r="E7728" s="68" t="s">
        <v>30493</v>
      </c>
      <c r="F7728" s="76">
        <v>42756.0</v>
      </c>
      <c r="G7728" s="68" t="s">
        <v>30494</v>
      </c>
      <c r="H7728" s="71"/>
      <c r="I7728" s="71"/>
      <c r="J7728" s="68" t="s">
        <v>30495</v>
      </c>
      <c r="K7728" s="76">
        <v>43573.0</v>
      </c>
      <c r="L7728" s="71"/>
      <c r="M7728" s="68" t="s">
        <v>27</v>
      </c>
      <c r="N7728" s="116"/>
      <c r="O7728" s="51"/>
    </row>
    <row r="7729">
      <c r="A7729" s="273"/>
      <c r="B7729" s="71"/>
      <c r="C7729" s="69" t="s">
        <v>30496</v>
      </c>
      <c r="D7729" s="71"/>
      <c r="E7729" s="68" t="s">
        <v>30497</v>
      </c>
      <c r="F7729" s="76">
        <v>42756.0</v>
      </c>
      <c r="G7729" s="68" t="s">
        <v>30494</v>
      </c>
      <c r="H7729" s="71"/>
      <c r="I7729" s="71"/>
      <c r="J7729" s="68" t="s">
        <v>30498</v>
      </c>
      <c r="K7729" s="76">
        <v>43573.0</v>
      </c>
      <c r="L7729" s="71"/>
      <c r="M7729" s="68" t="s">
        <v>27</v>
      </c>
      <c r="N7729" s="116"/>
      <c r="O7729" s="51"/>
    </row>
    <row r="7730">
      <c r="A7730" s="273"/>
      <c r="B7730" s="71"/>
      <c r="C7730" s="69" t="s">
        <v>30499</v>
      </c>
      <c r="D7730" s="71"/>
      <c r="E7730" s="68" t="s">
        <v>30500</v>
      </c>
      <c r="F7730" s="76">
        <v>42756.0</v>
      </c>
      <c r="G7730" s="68" t="s">
        <v>30490</v>
      </c>
      <c r="H7730" s="71"/>
      <c r="I7730" s="71"/>
      <c r="J7730" s="68" t="s">
        <v>30501</v>
      </c>
      <c r="K7730" s="76">
        <v>43573.0</v>
      </c>
      <c r="L7730" s="71"/>
      <c r="M7730" s="68" t="s">
        <v>27</v>
      </c>
      <c r="N7730" s="116"/>
      <c r="O7730" s="51"/>
    </row>
    <row r="7731">
      <c r="A7731" s="234"/>
      <c r="B7731" s="71"/>
      <c r="C7731" s="79" t="s">
        <v>30502</v>
      </c>
      <c r="D7731" s="82"/>
      <c r="E7731" s="63" t="s">
        <v>30503</v>
      </c>
      <c r="F7731" s="70">
        <v>42766.0</v>
      </c>
      <c r="G7731" s="63" t="s">
        <v>30504</v>
      </c>
      <c r="H7731" s="82"/>
      <c r="I7731" s="82"/>
      <c r="J7731" s="63" t="s">
        <v>136</v>
      </c>
      <c r="K7731" s="81">
        <v>43573.0</v>
      </c>
      <c r="L7731" s="82"/>
      <c r="M7731" s="80" t="s">
        <v>27</v>
      </c>
      <c r="N7731" s="116"/>
      <c r="O7731" s="51"/>
    </row>
    <row r="7732">
      <c r="A7732" s="273"/>
      <c r="B7732" s="71"/>
      <c r="C7732" s="69" t="s">
        <v>30505</v>
      </c>
      <c r="D7732" s="71"/>
      <c r="E7732" s="68" t="s">
        <v>30506</v>
      </c>
      <c r="F7732" s="76">
        <v>42768.0</v>
      </c>
      <c r="G7732" s="68" t="s">
        <v>30507</v>
      </c>
      <c r="H7732" s="71"/>
      <c r="I7732" s="71"/>
      <c r="J7732" s="68" t="s">
        <v>30508</v>
      </c>
      <c r="K7732" s="76">
        <v>43573.0</v>
      </c>
      <c r="L7732" s="71"/>
      <c r="M7732" s="68" t="s">
        <v>27</v>
      </c>
      <c r="N7732" s="116"/>
      <c r="O7732" s="51"/>
    </row>
    <row r="7733">
      <c r="A7733" s="273"/>
      <c r="B7733" s="71"/>
      <c r="C7733" s="69" t="s">
        <v>30509</v>
      </c>
      <c r="D7733" s="71"/>
      <c r="E7733" s="68" t="s">
        <v>30510</v>
      </c>
      <c r="F7733" s="76">
        <v>42768.0</v>
      </c>
      <c r="G7733" s="68" t="s">
        <v>30507</v>
      </c>
      <c r="H7733" s="71"/>
      <c r="I7733" s="71"/>
      <c r="J7733" s="68" t="s">
        <v>30511</v>
      </c>
      <c r="K7733" s="76">
        <v>43573.0</v>
      </c>
      <c r="L7733" s="71"/>
      <c r="M7733" s="68" t="s">
        <v>27</v>
      </c>
      <c r="N7733" s="116"/>
      <c r="O7733" s="51"/>
    </row>
    <row r="7734">
      <c r="A7734" s="273"/>
      <c r="B7734" s="71"/>
      <c r="C7734" s="69" t="s">
        <v>30512</v>
      </c>
      <c r="D7734" s="71"/>
      <c r="E7734" s="68" t="s">
        <v>30513</v>
      </c>
      <c r="F7734" s="76">
        <v>42768.0</v>
      </c>
      <c r="G7734" s="68" t="s">
        <v>30381</v>
      </c>
      <c r="H7734" s="71"/>
      <c r="I7734" s="71"/>
      <c r="J7734" s="68" t="s">
        <v>30514</v>
      </c>
      <c r="K7734" s="76">
        <v>43573.0</v>
      </c>
      <c r="L7734" s="71"/>
      <c r="M7734" s="68" t="s">
        <v>27</v>
      </c>
      <c r="N7734" s="116"/>
      <c r="O7734" s="51"/>
    </row>
    <row r="7735">
      <c r="A7735" s="273"/>
      <c r="B7735" s="71"/>
      <c r="C7735" s="69" t="s">
        <v>30515</v>
      </c>
      <c r="D7735" s="71"/>
      <c r="E7735" s="68" t="s">
        <v>30516</v>
      </c>
      <c r="F7735" s="76">
        <v>42768.0</v>
      </c>
      <c r="G7735" s="68" t="s">
        <v>30381</v>
      </c>
      <c r="H7735" s="71"/>
      <c r="I7735" s="71"/>
      <c r="J7735" s="68" t="s">
        <v>30517</v>
      </c>
      <c r="K7735" s="76">
        <v>43573.0</v>
      </c>
      <c r="L7735" s="71"/>
      <c r="M7735" s="68" t="s">
        <v>27</v>
      </c>
      <c r="N7735" s="116"/>
      <c r="O7735" s="51"/>
    </row>
    <row r="7736">
      <c r="A7736" s="273"/>
      <c r="B7736" s="71"/>
      <c r="C7736" s="243"/>
      <c r="D7736" s="71"/>
      <c r="E7736" s="68" t="s">
        <v>30518</v>
      </c>
      <c r="F7736" s="83">
        <v>42563.0</v>
      </c>
      <c r="G7736" s="68" t="s">
        <v>30519</v>
      </c>
      <c r="H7736" s="71"/>
      <c r="I7736" s="71"/>
      <c r="J7736" s="68" t="s">
        <v>30520</v>
      </c>
      <c r="K7736" s="71"/>
      <c r="L7736" s="71"/>
      <c r="M7736" s="71"/>
      <c r="N7736" s="116"/>
      <c r="O7736" s="51"/>
    </row>
    <row r="7737">
      <c r="A7737" s="273"/>
      <c r="B7737" s="71"/>
      <c r="C7737" s="69" t="s">
        <v>30521</v>
      </c>
      <c r="D7737" s="71"/>
      <c r="E7737" s="68" t="s">
        <v>30522</v>
      </c>
      <c r="F7737" s="76">
        <v>42772.0</v>
      </c>
      <c r="G7737" s="68" t="s">
        <v>30504</v>
      </c>
      <c r="H7737" s="71"/>
      <c r="I7737" s="71"/>
      <c r="J7737" s="68" t="s">
        <v>30523</v>
      </c>
      <c r="K7737" s="76">
        <v>43573.0</v>
      </c>
      <c r="L7737" s="71"/>
      <c r="M7737" s="68" t="s">
        <v>27</v>
      </c>
      <c r="N7737" s="116"/>
      <c r="O7737" s="51"/>
    </row>
    <row r="7738">
      <c r="A7738" s="273"/>
      <c r="B7738" s="71"/>
      <c r="C7738" s="69" t="s">
        <v>30524</v>
      </c>
      <c r="D7738" s="71"/>
      <c r="E7738" s="68" t="s">
        <v>30525</v>
      </c>
      <c r="F7738" s="76">
        <v>42772.0</v>
      </c>
      <c r="G7738" s="68" t="s">
        <v>30504</v>
      </c>
      <c r="H7738" s="71"/>
      <c r="I7738" s="71"/>
      <c r="J7738" s="68" t="s">
        <v>30526</v>
      </c>
      <c r="K7738" s="76">
        <v>43573.0</v>
      </c>
      <c r="L7738" s="71"/>
      <c r="M7738" s="68" t="s">
        <v>27</v>
      </c>
      <c r="N7738" s="116"/>
      <c r="O7738" s="51"/>
    </row>
    <row r="7739">
      <c r="A7739" s="273"/>
      <c r="B7739" s="71"/>
      <c r="C7739" s="69" t="s">
        <v>30527</v>
      </c>
      <c r="D7739" s="71"/>
      <c r="E7739" s="68" t="s">
        <v>30528</v>
      </c>
      <c r="F7739" s="76">
        <v>42772.0</v>
      </c>
      <c r="G7739" s="68" t="s">
        <v>30504</v>
      </c>
      <c r="H7739" s="71"/>
      <c r="I7739" s="71"/>
      <c r="J7739" s="68" t="s">
        <v>30529</v>
      </c>
      <c r="K7739" s="76">
        <v>43573.0</v>
      </c>
      <c r="L7739" s="71"/>
      <c r="M7739" s="68" t="s">
        <v>27</v>
      </c>
      <c r="N7739" s="116"/>
      <c r="O7739" s="51"/>
    </row>
    <row r="7740">
      <c r="A7740" s="273"/>
      <c r="B7740" s="71"/>
      <c r="C7740" s="69" t="s">
        <v>30530</v>
      </c>
      <c r="D7740" s="71"/>
      <c r="E7740" s="68" t="s">
        <v>30531</v>
      </c>
      <c r="F7740" s="76">
        <v>42782.0</v>
      </c>
      <c r="G7740" s="68" t="s">
        <v>30532</v>
      </c>
      <c r="H7740" s="71"/>
      <c r="I7740" s="71"/>
      <c r="J7740" s="68" t="s">
        <v>30533</v>
      </c>
      <c r="K7740" s="76">
        <v>43573.0</v>
      </c>
      <c r="L7740" s="71"/>
      <c r="M7740" s="68" t="s">
        <v>27</v>
      </c>
      <c r="N7740" s="116"/>
      <c r="O7740" s="51"/>
    </row>
    <row r="7741">
      <c r="A7741" s="273"/>
      <c r="B7741" s="71"/>
      <c r="C7741" s="69" t="s">
        <v>30534</v>
      </c>
      <c r="D7741" s="71"/>
      <c r="E7741" s="68" t="s">
        <v>30535</v>
      </c>
      <c r="F7741" s="76">
        <v>42782.0</v>
      </c>
      <c r="G7741" s="68" t="s">
        <v>30532</v>
      </c>
      <c r="H7741" s="71"/>
      <c r="I7741" s="71"/>
      <c r="J7741" s="68" t="s">
        <v>30536</v>
      </c>
      <c r="K7741" s="76">
        <v>43573.0</v>
      </c>
      <c r="L7741" s="71"/>
      <c r="M7741" s="68" t="s">
        <v>27</v>
      </c>
      <c r="N7741" s="116"/>
      <c r="O7741" s="51"/>
    </row>
    <row r="7742">
      <c r="A7742" s="273"/>
      <c r="B7742" s="71"/>
      <c r="C7742" s="69" t="s">
        <v>30537</v>
      </c>
      <c r="D7742" s="71"/>
      <c r="E7742" s="68" t="s">
        <v>30538</v>
      </c>
      <c r="F7742" s="76">
        <v>42780.0</v>
      </c>
      <c r="G7742" s="68" t="s">
        <v>30539</v>
      </c>
      <c r="H7742" s="71"/>
      <c r="I7742" s="71"/>
      <c r="J7742" s="68" t="s">
        <v>30540</v>
      </c>
      <c r="K7742" s="76">
        <v>43573.0</v>
      </c>
      <c r="L7742" s="71"/>
      <c r="M7742" s="68" t="s">
        <v>27</v>
      </c>
      <c r="N7742" s="116"/>
      <c r="O7742" s="51"/>
    </row>
    <row r="7743">
      <c r="A7743" s="273"/>
      <c r="B7743" s="71"/>
      <c r="C7743" s="69" t="s">
        <v>30541</v>
      </c>
      <c r="D7743" s="71"/>
      <c r="E7743" s="68" t="s">
        <v>30542</v>
      </c>
      <c r="F7743" s="76">
        <v>42780.0</v>
      </c>
      <c r="G7743" s="68" t="s">
        <v>30539</v>
      </c>
      <c r="H7743" s="71"/>
      <c r="I7743" s="71"/>
      <c r="J7743" s="68" t="s">
        <v>30543</v>
      </c>
      <c r="K7743" s="76">
        <v>43573.0</v>
      </c>
      <c r="L7743" s="71"/>
      <c r="M7743" s="68" t="s">
        <v>27</v>
      </c>
      <c r="N7743" s="116"/>
      <c r="O7743" s="51"/>
    </row>
    <row r="7744">
      <c r="A7744" s="273"/>
      <c r="B7744" s="71"/>
      <c r="C7744" s="69" t="s">
        <v>30544</v>
      </c>
      <c r="D7744" s="71"/>
      <c r="E7744" s="68" t="s">
        <v>30545</v>
      </c>
      <c r="F7744" s="76">
        <v>43071.0</v>
      </c>
      <c r="G7744" s="68" t="s">
        <v>30546</v>
      </c>
      <c r="H7744" s="71"/>
      <c r="I7744" s="71"/>
      <c r="J7744" s="68" t="s">
        <v>30547</v>
      </c>
      <c r="K7744" s="76">
        <v>43573.0</v>
      </c>
      <c r="L7744" s="71"/>
      <c r="M7744" s="68" t="s">
        <v>27</v>
      </c>
      <c r="N7744" s="116"/>
      <c r="O7744" s="51"/>
    </row>
    <row r="7745">
      <c r="A7745" s="273"/>
      <c r="B7745" s="71"/>
      <c r="C7745" s="69" t="s">
        <v>30548</v>
      </c>
      <c r="D7745" s="71"/>
      <c r="E7745" s="68" t="s">
        <v>30549</v>
      </c>
      <c r="F7745" s="76">
        <v>42845.0</v>
      </c>
      <c r="G7745" s="68" t="s">
        <v>30504</v>
      </c>
      <c r="H7745" s="71"/>
      <c r="I7745" s="71"/>
      <c r="J7745" s="68" t="s">
        <v>30550</v>
      </c>
      <c r="K7745" s="76">
        <v>43573.0</v>
      </c>
      <c r="L7745" s="71"/>
      <c r="M7745" s="68" t="s">
        <v>27</v>
      </c>
      <c r="N7745" s="116"/>
      <c r="O7745" s="51"/>
    </row>
    <row r="7746">
      <c r="A7746" s="273"/>
      <c r="B7746" s="71"/>
      <c r="C7746" s="69" t="s">
        <v>30551</v>
      </c>
      <c r="D7746" s="71"/>
      <c r="E7746" s="68" t="s">
        <v>30552</v>
      </c>
      <c r="F7746" s="76">
        <v>42851.0</v>
      </c>
      <c r="G7746" s="68" t="s">
        <v>30553</v>
      </c>
      <c r="H7746" s="71"/>
      <c r="I7746" s="71"/>
      <c r="J7746" s="68" t="s">
        <v>30554</v>
      </c>
      <c r="K7746" s="76">
        <v>43573.0</v>
      </c>
      <c r="L7746" s="71"/>
      <c r="M7746" s="68" t="s">
        <v>27</v>
      </c>
      <c r="N7746" s="116"/>
      <c r="O7746" s="51"/>
    </row>
    <row r="7747">
      <c r="A7747" s="273"/>
      <c r="B7747" s="71"/>
      <c r="C7747" s="69" t="s">
        <v>30555</v>
      </c>
      <c r="D7747" s="71"/>
      <c r="E7747" s="68" t="s">
        <v>30556</v>
      </c>
      <c r="F7747" s="76">
        <v>42859.0</v>
      </c>
      <c r="G7747" s="68" t="s">
        <v>30557</v>
      </c>
      <c r="H7747" s="71"/>
      <c r="I7747" s="71"/>
      <c r="J7747" s="68" t="s">
        <v>30558</v>
      </c>
      <c r="K7747" s="76">
        <v>43573.0</v>
      </c>
      <c r="L7747" s="71"/>
      <c r="M7747" s="68" t="s">
        <v>27</v>
      </c>
      <c r="N7747" s="116"/>
      <c r="O7747" s="51"/>
    </row>
    <row r="7748">
      <c r="A7748" s="273"/>
      <c r="B7748" s="71"/>
      <c r="C7748" s="69" t="s">
        <v>30559</v>
      </c>
      <c r="D7748" s="71"/>
      <c r="E7748" s="68" t="s">
        <v>30560</v>
      </c>
      <c r="F7748" s="76">
        <v>42859.0</v>
      </c>
      <c r="G7748" s="68" t="s">
        <v>30557</v>
      </c>
      <c r="H7748" s="71"/>
      <c r="I7748" s="71"/>
      <c r="J7748" s="68" t="s">
        <v>30561</v>
      </c>
      <c r="K7748" s="76">
        <v>43573.0</v>
      </c>
      <c r="L7748" s="71"/>
      <c r="M7748" s="68" t="s">
        <v>27</v>
      </c>
      <c r="N7748" s="116"/>
      <c r="O7748" s="51"/>
    </row>
    <row r="7749">
      <c r="A7749" s="273"/>
      <c r="B7749" s="71"/>
      <c r="C7749" s="69" t="s">
        <v>30562</v>
      </c>
      <c r="D7749" s="71"/>
      <c r="E7749" s="68" t="s">
        <v>30563</v>
      </c>
      <c r="F7749" s="76">
        <v>42859.0</v>
      </c>
      <c r="G7749" s="68" t="s">
        <v>30557</v>
      </c>
      <c r="H7749" s="71"/>
      <c r="I7749" s="71"/>
      <c r="J7749" s="68" t="s">
        <v>30564</v>
      </c>
      <c r="K7749" s="76">
        <v>43573.0</v>
      </c>
      <c r="L7749" s="71"/>
      <c r="M7749" s="68" t="s">
        <v>27</v>
      </c>
      <c r="N7749" s="116"/>
      <c r="O7749" s="51"/>
    </row>
    <row r="7750">
      <c r="A7750" s="273"/>
      <c r="B7750" s="71"/>
      <c r="C7750" s="69" t="s">
        <v>30565</v>
      </c>
      <c r="D7750" s="71"/>
      <c r="E7750" s="68" t="s">
        <v>30566</v>
      </c>
      <c r="F7750" s="76">
        <v>42860.0</v>
      </c>
      <c r="G7750" s="68" t="s">
        <v>30567</v>
      </c>
      <c r="H7750" s="71"/>
      <c r="I7750" s="71"/>
      <c r="J7750" s="68" t="s">
        <v>30568</v>
      </c>
      <c r="K7750" s="76">
        <v>43573.0</v>
      </c>
      <c r="L7750" s="71"/>
      <c r="M7750" s="68" t="s">
        <v>27</v>
      </c>
      <c r="N7750" s="116"/>
      <c r="O7750" s="51"/>
    </row>
    <row r="7751">
      <c r="A7751" s="273"/>
      <c r="B7751" s="71"/>
      <c r="C7751" s="69" t="s">
        <v>30569</v>
      </c>
      <c r="D7751" s="71"/>
      <c r="E7751" s="68" t="s">
        <v>30570</v>
      </c>
      <c r="F7751" s="76">
        <v>42812.0</v>
      </c>
      <c r="G7751" s="68" t="s">
        <v>30571</v>
      </c>
      <c r="H7751" s="71"/>
      <c r="I7751" s="71"/>
      <c r="J7751" s="68" t="s">
        <v>30572</v>
      </c>
      <c r="K7751" s="76">
        <v>43573.0</v>
      </c>
      <c r="L7751" s="71"/>
      <c r="M7751" s="68" t="s">
        <v>27</v>
      </c>
      <c r="N7751" s="116"/>
      <c r="O7751" s="51"/>
    </row>
    <row r="7752">
      <c r="A7752" s="273"/>
      <c r="B7752" s="71"/>
      <c r="C7752" s="69" t="s">
        <v>30573</v>
      </c>
      <c r="D7752" s="71"/>
      <c r="E7752" s="68" t="s">
        <v>30574</v>
      </c>
      <c r="F7752" s="76">
        <v>42812.0</v>
      </c>
      <c r="G7752" s="68" t="s">
        <v>30575</v>
      </c>
      <c r="H7752" s="71"/>
      <c r="I7752" s="71"/>
      <c r="J7752" s="68" t="s">
        <v>30576</v>
      </c>
      <c r="K7752" s="76">
        <v>43573.0</v>
      </c>
      <c r="L7752" s="71"/>
      <c r="M7752" s="68" t="s">
        <v>27</v>
      </c>
      <c r="N7752" s="116"/>
      <c r="O7752" s="51"/>
    </row>
    <row r="7753">
      <c r="A7753" s="273"/>
      <c r="B7753" s="71"/>
      <c r="C7753" s="69" t="s">
        <v>30577</v>
      </c>
      <c r="D7753" s="71"/>
      <c r="E7753" s="68" t="s">
        <v>30578</v>
      </c>
      <c r="F7753" s="76">
        <v>42812.0</v>
      </c>
      <c r="G7753" s="68" t="s">
        <v>30571</v>
      </c>
      <c r="H7753" s="71"/>
      <c r="I7753" s="71"/>
      <c r="J7753" s="68" t="s">
        <v>30579</v>
      </c>
      <c r="K7753" s="76">
        <v>43573.0</v>
      </c>
      <c r="L7753" s="71"/>
      <c r="M7753" s="68" t="s">
        <v>27</v>
      </c>
      <c r="N7753" s="116"/>
      <c r="O7753" s="51"/>
    </row>
    <row r="7754">
      <c r="A7754" s="273"/>
      <c r="B7754" s="71"/>
      <c r="C7754" s="69" t="s">
        <v>30580</v>
      </c>
      <c r="D7754" s="71"/>
      <c r="E7754" s="68" t="s">
        <v>30581</v>
      </c>
      <c r="F7754" s="76">
        <v>42812.0</v>
      </c>
      <c r="G7754" s="68" t="s">
        <v>30571</v>
      </c>
      <c r="H7754" s="71"/>
      <c r="I7754" s="71"/>
      <c r="J7754" s="68" t="s">
        <v>30582</v>
      </c>
      <c r="K7754" s="76">
        <v>43573.0</v>
      </c>
      <c r="L7754" s="71"/>
      <c r="M7754" s="68" t="s">
        <v>27</v>
      </c>
      <c r="N7754" s="116"/>
      <c r="O7754" s="51"/>
    </row>
    <row r="7755">
      <c r="A7755" s="273"/>
      <c r="B7755" s="71"/>
      <c r="C7755" s="69" t="s">
        <v>30583</v>
      </c>
      <c r="D7755" s="71"/>
      <c r="E7755" s="68" t="s">
        <v>30584</v>
      </c>
      <c r="F7755" s="76">
        <v>42814.0</v>
      </c>
      <c r="G7755" s="68" t="s">
        <v>30585</v>
      </c>
      <c r="H7755" s="71"/>
      <c r="I7755" s="71"/>
      <c r="J7755" s="68" t="s">
        <v>30586</v>
      </c>
      <c r="K7755" s="76">
        <v>43573.0</v>
      </c>
      <c r="L7755" s="71"/>
      <c r="M7755" s="68" t="s">
        <v>27</v>
      </c>
      <c r="N7755" s="116"/>
      <c r="O7755" s="51"/>
    </row>
    <row r="7756">
      <c r="A7756" s="273"/>
      <c r="B7756" s="71"/>
      <c r="C7756" s="69" t="s">
        <v>30587</v>
      </c>
      <c r="D7756" s="71"/>
      <c r="E7756" s="68" t="s">
        <v>30588</v>
      </c>
      <c r="F7756" s="76">
        <v>42814.0</v>
      </c>
      <c r="G7756" s="68" t="s">
        <v>30585</v>
      </c>
      <c r="H7756" s="71"/>
      <c r="I7756" s="71"/>
      <c r="J7756" s="68" t="s">
        <v>30589</v>
      </c>
      <c r="K7756" s="76">
        <v>43573.0</v>
      </c>
      <c r="L7756" s="71"/>
      <c r="M7756" s="68" t="s">
        <v>27</v>
      </c>
      <c r="N7756" s="116"/>
      <c r="O7756" s="51"/>
    </row>
    <row r="7757">
      <c r="A7757" s="273"/>
      <c r="B7757" s="71"/>
      <c r="C7757" s="69" t="s">
        <v>30590</v>
      </c>
      <c r="D7757" s="71"/>
      <c r="E7757" s="68" t="s">
        <v>30591</v>
      </c>
      <c r="F7757" s="76">
        <v>42814.0</v>
      </c>
      <c r="G7757" s="68" t="s">
        <v>30585</v>
      </c>
      <c r="H7757" s="71"/>
      <c r="I7757" s="71"/>
      <c r="J7757" s="68" t="s">
        <v>30592</v>
      </c>
      <c r="K7757" s="76">
        <v>43573.0</v>
      </c>
      <c r="L7757" s="71"/>
      <c r="M7757" s="68" t="s">
        <v>27</v>
      </c>
      <c r="N7757" s="116"/>
      <c r="O7757" s="51"/>
    </row>
    <row r="7758">
      <c r="A7758" s="273"/>
      <c r="B7758" s="71"/>
      <c r="C7758" s="69" t="s">
        <v>30593</v>
      </c>
      <c r="D7758" s="71"/>
      <c r="E7758" s="68" t="s">
        <v>30594</v>
      </c>
      <c r="F7758" s="76">
        <v>42814.0</v>
      </c>
      <c r="G7758" s="68" t="s">
        <v>30585</v>
      </c>
      <c r="H7758" s="71"/>
      <c r="I7758" s="71"/>
      <c r="J7758" s="68" t="s">
        <v>30595</v>
      </c>
      <c r="K7758" s="76">
        <v>43573.0</v>
      </c>
      <c r="L7758" s="71"/>
      <c r="M7758" s="68" t="s">
        <v>27</v>
      </c>
      <c r="N7758" s="116"/>
      <c r="O7758" s="51"/>
    </row>
    <row r="7759">
      <c r="A7759" s="273"/>
      <c r="B7759" s="71"/>
      <c r="C7759" s="69" t="s">
        <v>30596</v>
      </c>
      <c r="D7759" s="71"/>
      <c r="E7759" s="68" t="s">
        <v>30597</v>
      </c>
      <c r="F7759" s="76">
        <v>42814.0</v>
      </c>
      <c r="G7759" s="68" t="s">
        <v>30585</v>
      </c>
      <c r="H7759" s="71"/>
      <c r="I7759" s="71"/>
      <c r="J7759" s="68" t="s">
        <v>30598</v>
      </c>
      <c r="K7759" s="76">
        <v>43573.0</v>
      </c>
      <c r="L7759" s="71"/>
      <c r="M7759" s="68" t="s">
        <v>27</v>
      </c>
      <c r="N7759" s="116"/>
      <c r="O7759" s="51"/>
    </row>
    <row r="7760">
      <c r="A7760" s="273"/>
      <c r="B7760" s="71"/>
      <c r="C7760" s="69" t="s">
        <v>30599</v>
      </c>
      <c r="D7760" s="71"/>
      <c r="E7760" s="68" t="s">
        <v>30600</v>
      </c>
      <c r="F7760" s="76">
        <v>42814.0</v>
      </c>
      <c r="G7760" s="68" t="s">
        <v>30585</v>
      </c>
      <c r="H7760" s="71"/>
      <c r="I7760" s="71"/>
      <c r="J7760" s="68" t="s">
        <v>30601</v>
      </c>
      <c r="K7760" s="76">
        <v>43573.0</v>
      </c>
      <c r="L7760" s="71"/>
      <c r="M7760" s="68" t="s">
        <v>27</v>
      </c>
      <c r="N7760" s="116"/>
      <c r="O7760" s="51"/>
    </row>
    <row r="7761">
      <c r="A7761" s="273"/>
      <c r="B7761" s="71"/>
      <c r="C7761" s="69" t="s">
        <v>30602</v>
      </c>
      <c r="D7761" s="71"/>
      <c r="E7761" s="68" t="s">
        <v>30603</v>
      </c>
      <c r="F7761" s="76">
        <v>42814.0</v>
      </c>
      <c r="G7761" s="68" t="s">
        <v>30585</v>
      </c>
      <c r="H7761" s="71"/>
      <c r="I7761" s="71"/>
      <c r="J7761" s="68" t="s">
        <v>30604</v>
      </c>
      <c r="K7761" s="76">
        <v>43573.0</v>
      </c>
      <c r="L7761" s="71"/>
      <c r="M7761" s="68" t="s">
        <v>27</v>
      </c>
      <c r="N7761" s="116"/>
      <c r="O7761" s="51"/>
    </row>
    <row r="7762">
      <c r="A7762" s="273"/>
      <c r="B7762" s="71"/>
      <c r="C7762" s="69" t="s">
        <v>30605</v>
      </c>
      <c r="D7762" s="71"/>
      <c r="E7762" s="68" t="s">
        <v>30531</v>
      </c>
      <c r="F7762" s="76">
        <v>42814.0</v>
      </c>
      <c r="G7762" s="68" t="s">
        <v>30585</v>
      </c>
      <c r="H7762" s="71"/>
      <c r="I7762" s="71"/>
      <c r="J7762" s="68" t="s">
        <v>30533</v>
      </c>
      <c r="K7762" s="76">
        <v>43573.0</v>
      </c>
      <c r="L7762" s="71"/>
      <c r="M7762" s="68" t="s">
        <v>27</v>
      </c>
      <c r="N7762" s="116"/>
      <c r="O7762" s="51"/>
    </row>
    <row r="7763">
      <c r="A7763" s="273"/>
      <c r="B7763" s="71"/>
      <c r="C7763" s="69" t="s">
        <v>30606</v>
      </c>
      <c r="D7763" s="71"/>
      <c r="E7763" s="68" t="s">
        <v>28392</v>
      </c>
      <c r="F7763" s="76">
        <v>42814.0</v>
      </c>
      <c r="G7763" s="68" t="s">
        <v>30585</v>
      </c>
      <c r="H7763" s="71"/>
      <c r="I7763" s="71"/>
      <c r="J7763" s="68" t="s">
        <v>30607</v>
      </c>
      <c r="K7763" s="76">
        <v>43573.0</v>
      </c>
      <c r="L7763" s="71"/>
      <c r="M7763" s="68" t="s">
        <v>27</v>
      </c>
      <c r="N7763" s="116"/>
      <c r="O7763" s="51"/>
    </row>
    <row r="7764">
      <c r="A7764" s="273"/>
      <c r="B7764" s="71"/>
      <c r="C7764" s="69" t="s">
        <v>30608</v>
      </c>
      <c r="D7764" s="71"/>
      <c r="E7764" s="68" t="s">
        <v>30609</v>
      </c>
      <c r="F7764" s="76">
        <v>42814.0</v>
      </c>
      <c r="G7764" s="68" t="s">
        <v>30585</v>
      </c>
      <c r="H7764" s="71"/>
      <c r="I7764" s="71"/>
      <c r="J7764" s="68" t="s">
        <v>30610</v>
      </c>
      <c r="K7764" s="76">
        <v>43573.0</v>
      </c>
      <c r="L7764" s="71"/>
      <c r="M7764" s="68" t="s">
        <v>27</v>
      </c>
      <c r="N7764" s="116"/>
      <c r="O7764" s="51"/>
    </row>
    <row r="7765">
      <c r="A7765" s="273"/>
      <c r="B7765" s="71"/>
      <c r="C7765" s="69" t="s">
        <v>30611</v>
      </c>
      <c r="D7765" s="71"/>
      <c r="E7765" s="68" t="s">
        <v>30612</v>
      </c>
      <c r="F7765" s="76">
        <v>42814.0</v>
      </c>
      <c r="G7765" s="68" t="s">
        <v>30585</v>
      </c>
      <c r="H7765" s="71"/>
      <c r="I7765" s="71"/>
      <c r="J7765" s="68" t="s">
        <v>30613</v>
      </c>
      <c r="K7765" s="76">
        <v>43573.0</v>
      </c>
      <c r="L7765" s="71"/>
      <c r="M7765" s="68" t="s">
        <v>27</v>
      </c>
      <c r="N7765" s="116"/>
      <c r="O7765" s="51"/>
    </row>
    <row r="7766">
      <c r="A7766" s="273"/>
      <c r="B7766" s="71"/>
      <c r="C7766" s="69" t="s">
        <v>30614</v>
      </c>
      <c r="D7766" s="71"/>
      <c r="E7766" s="68" t="s">
        <v>30615</v>
      </c>
      <c r="F7766" s="76">
        <v>42814.0</v>
      </c>
      <c r="G7766" s="68" t="s">
        <v>30585</v>
      </c>
      <c r="H7766" s="71"/>
      <c r="I7766" s="71"/>
      <c r="J7766" s="68" t="s">
        <v>30616</v>
      </c>
      <c r="K7766" s="76">
        <v>43573.0</v>
      </c>
      <c r="L7766" s="71"/>
      <c r="M7766" s="68" t="s">
        <v>27</v>
      </c>
      <c r="N7766" s="116"/>
      <c r="O7766" s="51"/>
    </row>
    <row r="7767">
      <c r="A7767" s="273"/>
      <c r="B7767" s="71"/>
      <c r="C7767" s="69" t="s">
        <v>30617</v>
      </c>
      <c r="D7767" s="71"/>
      <c r="E7767" s="68" t="s">
        <v>29333</v>
      </c>
      <c r="F7767" s="76">
        <v>42814.0</v>
      </c>
      <c r="G7767" s="68" t="s">
        <v>30585</v>
      </c>
      <c r="H7767" s="71"/>
      <c r="I7767" s="71"/>
      <c r="J7767" s="68" t="s">
        <v>30618</v>
      </c>
      <c r="K7767" s="76">
        <v>43573.0</v>
      </c>
      <c r="L7767" s="71"/>
      <c r="M7767" s="68" t="s">
        <v>27</v>
      </c>
      <c r="N7767" s="116"/>
      <c r="O7767" s="51"/>
    </row>
    <row r="7768">
      <c r="A7768" s="273"/>
      <c r="B7768" s="71"/>
      <c r="C7768" s="69" t="s">
        <v>30619</v>
      </c>
      <c r="D7768" s="71"/>
      <c r="E7768" s="68" t="s">
        <v>30620</v>
      </c>
      <c r="F7768" s="76">
        <v>42814.0</v>
      </c>
      <c r="G7768" s="68" t="s">
        <v>30585</v>
      </c>
      <c r="H7768" s="71"/>
      <c r="I7768" s="71"/>
      <c r="J7768" s="68" t="s">
        <v>30621</v>
      </c>
      <c r="K7768" s="76">
        <v>43573.0</v>
      </c>
      <c r="L7768" s="71"/>
      <c r="M7768" s="68" t="s">
        <v>27</v>
      </c>
      <c r="N7768" s="116"/>
      <c r="O7768" s="51"/>
    </row>
    <row r="7769">
      <c r="A7769" s="234"/>
      <c r="B7769" s="71"/>
      <c r="C7769" s="69" t="s">
        <v>30622</v>
      </c>
      <c r="D7769" s="71"/>
      <c r="E7769" s="68" t="s">
        <v>30623</v>
      </c>
      <c r="F7769" s="76">
        <v>42814.0</v>
      </c>
      <c r="G7769" s="68" t="s">
        <v>30585</v>
      </c>
      <c r="H7769" s="71"/>
      <c r="I7769" s="71"/>
      <c r="J7769" s="68" t="s">
        <v>30624</v>
      </c>
      <c r="K7769" s="76">
        <v>43573.0</v>
      </c>
      <c r="L7769" s="71"/>
      <c r="M7769" s="68" t="s">
        <v>27</v>
      </c>
      <c r="N7769" s="116"/>
      <c r="O7769" s="51"/>
    </row>
    <row r="7770">
      <c r="A7770" s="273"/>
      <c r="B7770" s="71"/>
      <c r="C7770" s="69" t="s">
        <v>30625</v>
      </c>
      <c r="D7770" s="71"/>
      <c r="E7770" s="68" t="s">
        <v>30626</v>
      </c>
      <c r="F7770" s="76">
        <v>42814.0</v>
      </c>
      <c r="G7770" s="68" t="s">
        <v>30585</v>
      </c>
      <c r="H7770" s="71"/>
      <c r="I7770" s="71"/>
      <c r="J7770" s="68" t="s">
        <v>30627</v>
      </c>
      <c r="K7770" s="76">
        <v>43573.0</v>
      </c>
      <c r="L7770" s="71"/>
      <c r="M7770" s="68" t="s">
        <v>27</v>
      </c>
      <c r="N7770" s="116"/>
      <c r="O7770" s="51"/>
    </row>
    <row r="7771">
      <c r="A7771" s="273"/>
      <c r="B7771" s="71"/>
      <c r="C7771" s="69" t="s">
        <v>30628</v>
      </c>
      <c r="D7771" s="71"/>
      <c r="E7771" s="68" t="s">
        <v>30629</v>
      </c>
      <c r="F7771" s="76">
        <v>42814.0</v>
      </c>
      <c r="G7771" s="68" t="s">
        <v>30585</v>
      </c>
      <c r="H7771" s="71"/>
      <c r="I7771" s="71"/>
      <c r="J7771" s="68" t="s">
        <v>30630</v>
      </c>
      <c r="K7771" s="76">
        <v>43573.0</v>
      </c>
      <c r="L7771" s="71"/>
      <c r="M7771" s="68" t="s">
        <v>27</v>
      </c>
      <c r="N7771" s="116"/>
      <c r="O7771" s="51"/>
    </row>
    <row r="7772">
      <c r="A7772" s="273"/>
      <c r="B7772" s="71"/>
      <c r="C7772" s="69" t="s">
        <v>30631</v>
      </c>
      <c r="D7772" s="71"/>
      <c r="E7772" s="68" t="s">
        <v>30632</v>
      </c>
      <c r="F7772" s="76">
        <v>42814.0</v>
      </c>
      <c r="G7772" s="68" t="s">
        <v>30585</v>
      </c>
      <c r="H7772" s="71"/>
      <c r="I7772" s="71"/>
      <c r="J7772" s="68" t="s">
        <v>30633</v>
      </c>
      <c r="K7772" s="76">
        <v>43573.0</v>
      </c>
      <c r="L7772" s="71"/>
      <c r="M7772" s="68" t="s">
        <v>27</v>
      </c>
      <c r="N7772" s="116"/>
      <c r="O7772" s="51"/>
    </row>
    <row r="7773">
      <c r="A7773" s="273"/>
      <c r="B7773" s="71"/>
      <c r="C7773" s="69" t="s">
        <v>30634</v>
      </c>
      <c r="D7773" s="71"/>
      <c r="E7773" s="68" t="s">
        <v>30635</v>
      </c>
      <c r="F7773" s="76">
        <v>42814.0</v>
      </c>
      <c r="G7773" s="68" t="s">
        <v>30585</v>
      </c>
      <c r="H7773" s="71"/>
      <c r="I7773" s="71"/>
      <c r="J7773" s="68" t="s">
        <v>30636</v>
      </c>
      <c r="K7773" s="76">
        <v>43573.0</v>
      </c>
      <c r="L7773" s="71"/>
      <c r="M7773" s="68" t="s">
        <v>27</v>
      </c>
      <c r="N7773" s="116"/>
      <c r="O7773" s="51"/>
    </row>
    <row r="7774">
      <c r="A7774" s="273"/>
      <c r="B7774" s="71"/>
      <c r="C7774" s="69" t="s">
        <v>30637</v>
      </c>
      <c r="D7774" s="71"/>
      <c r="E7774" s="68" t="s">
        <v>30638</v>
      </c>
      <c r="F7774" s="76">
        <v>42816.0</v>
      </c>
      <c r="G7774" s="68" t="s">
        <v>30639</v>
      </c>
      <c r="H7774" s="71"/>
      <c r="I7774" s="71"/>
      <c r="J7774" s="68" t="s">
        <v>30640</v>
      </c>
      <c r="K7774" s="76">
        <v>43573.0</v>
      </c>
      <c r="L7774" s="71"/>
      <c r="M7774" s="68" t="s">
        <v>27</v>
      </c>
      <c r="N7774" s="116"/>
      <c r="O7774" s="51"/>
    </row>
    <row r="7775">
      <c r="A7775" s="273"/>
      <c r="B7775" s="71"/>
      <c r="C7775" s="69" t="s">
        <v>30641</v>
      </c>
      <c r="D7775" s="71"/>
      <c r="E7775" s="68" t="s">
        <v>30642</v>
      </c>
      <c r="F7775" s="76">
        <v>42816.0</v>
      </c>
      <c r="G7775" s="68" t="s">
        <v>30639</v>
      </c>
      <c r="H7775" s="71"/>
      <c r="I7775" s="71"/>
      <c r="J7775" s="68" t="s">
        <v>30643</v>
      </c>
      <c r="K7775" s="76">
        <v>43573.0</v>
      </c>
      <c r="L7775" s="71"/>
      <c r="M7775" s="68" t="s">
        <v>27</v>
      </c>
      <c r="N7775" s="116"/>
      <c r="O7775" s="51"/>
    </row>
    <row r="7776">
      <c r="A7776" s="273"/>
      <c r="B7776" s="71"/>
      <c r="C7776" s="69" t="s">
        <v>30644</v>
      </c>
      <c r="D7776" s="71"/>
      <c r="E7776" s="68" t="s">
        <v>30645</v>
      </c>
      <c r="F7776" s="76">
        <v>42816.0</v>
      </c>
      <c r="G7776" s="68" t="s">
        <v>30639</v>
      </c>
      <c r="H7776" s="71"/>
      <c r="I7776" s="71"/>
      <c r="J7776" s="68" t="s">
        <v>30646</v>
      </c>
      <c r="K7776" s="76">
        <v>43573.0</v>
      </c>
      <c r="L7776" s="71"/>
      <c r="M7776" s="68" t="s">
        <v>27</v>
      </c>
      <c r="N7776" s="116"/>
      <c r="O7776" s="51"/>
    </row>
    <row r="7777">
      <c r="A7777" s="273"/>
      <c r="B7777" s="71"/>
      <c r="C7777" s="69" t="s">
        <v>30647</v>
      </c>
      <c r="D7777" s="71"/>
      <c r="E7777" s="68" t="s">
        <v>30648</v>
      </c>
      <c r="F7777" s="76">
        <v>42816.0</v>
      </c>
      <c r="G7777" s="68" t="s">
        <v>30639</v>
      </c>
      <c r="H7777" s="71"/>
      <c r="I7777" s="71"/>
      <c r="J7777" s="68" t="s">
        <v>30649</v>
      </c>
      <c r="K7777" s="76">
        <v>43573.0</v>
      </c>
      <c r="L7777" s="71"/>
      <c r="M7777" s="68" t="s">
        <v>27</v>
      </c>
      <c r="N7777" s="116"/>
      <c r="O7777" s="51"/>
    </row>
    <row r="7778">
      <c r="A7778" s="273"/>
      <c r="B7778" s="71"/>
      <c r="C7778" s="69" t="s">
        <v>30650</v>
      </c>
      <c r="D7778" s="71"/>
      <c r="E7778" s="68" t="s">
        <v>30651</v>
      </c>
      <c r="F7778" s="76">
        <v>42815.0</v>
      </c>
      <c r="G7778" s="68" t="s">
        <v>30652</v>
      </c>
      <c r="H7778" s="71"/>
      <c r="I7778" s="71"/>
      <c r="J7778" s="68" t="s">
        <v>30653</v>
      </c>
      <c r="K7778" s="76">
        <v>43573.0</v>
      </c>
      <c r="L7778" s="71"/>
      <c r="M7778" s="68" t="s">
        <v>27</v>
      </c>
      <c r="N7778" s="116"/>
      <c r="O7778" s="51"/>
    </row>
    <row r="7779">
      <c r="A7779" s="273"/>
      <c r="B7779" s="71"/>
      <c r="C7779" s="69" t="s">
        <v>30654</v>
      </c>
      <c r="D7779" s="71"/>
      <c r="E7779" s="68" t="s">
        <v>30655</v>
      </c>
      <c r="F7779" s="76">
        <v>42815.0</v>
      </c>
      <c r="G7779" s="68" t="s">
        <v>30652</v>
      </c>
      <c r="H7779" s="71"/>
      <c r="I7779" s="71"/>
      <c r="J7779" s="68" t="s">
        <v>30656</v>
      </c>
      <c r="K7779" s="76">
        <v>43573.0</v>
      </c>
      <c r="L7779" s="71"/>
      <c r="M7779" s="68" t="s">
        <v>27</v>
      </c>
      <c r="N7779" s="116"/>
      <c r="O7779" s="51"/>
    </row>
    <row r="7780">
      <c r="A7780" s="234"/>
      <c r="B7780" s="71"/>
      <c r="C7780" s="79" t="s">
        <v>30657</v>
      </c>
      <c r="D7780" s="82"/>
      <c r="E7780" s="63" t="s">
        <v>30658</v>
      </c>
      <c r="F7780" s="70">
        <v>42815.0</v>
      </c>
      <c r="G7780" s="63" t="s">
        <v>30659</v>
      </c>
      <c r="H7780" s="82"/>
      <c r="I7780" s="82"/>
      <c r="J7780" s="63" t="s">
        <v>136</v>
      </c>
      <c r="K7780" s="81">
        <v>43573.0</v>
      </c>
      <c r="L7780" s="82"/>
      <c r="M7780" s="80" t="s">
        <v>27</v>
      </c>
      <c r="N7780" s="116"/>
      <c r="O7780" s="51"/>
    </row>
    <row r="7781">
      <c r="A7781" s="273"/>
      <c r="B7781" s="71"/>
      <c r="C7781" s="69" t="s">
        <v>30660</v>
      </c>
      <c r="D7781" s="71"/>
      <c r="E7781" s="68" t="s">
        <v>28392</v>
      </c>
      <c r="F7781" s="76">
        <v>42815.0</v>
      </c>
      <c r="G7781" s="68" t="s">
        <v>30652</v>
      </c>
      <c r="H7781" s="71"/>
      <c r="I7781" s="71"/>
      <c r="J7781" s="68" t="s">
        <v>30607</v>
      </c>
      <c r="K7781" s="76">
        <v>43573.0</v>
      </c>
      <c r="L7781" s="71"/>
      <c r="M7781" s="68" t="s">
        <v>27</v>
      </c>
      <c r="N7781" s="116"/>
      <c r="O7781" s="51"/>
    </row>
    <row r="7782">
      <c r="A7782" s="273"/>
      <c r="B7782" s="71"/>
      <c r="C7782" s="69" t="s">
        <v>30661</v>
      </c>
      <c r="D7782" s="71"/>
      <c r="E7782" s="68" t="s">
        <v>30662</v>
      </c>
      <c r="F7782" s="76">
        <v>42814.0</v>
      </c>
      <c r="G7782" s="68" t="s">
        <v>30585</v>
      </c>
      <c r="H7782" s="71"/>
      <c r="I7782" s="71"/>
      <c r="J7782" s="68" t="s">
        <v>30663</v>
      </c>
      <c r="K7782" s="76">
        <v>43573.0</v>
      </c>
      <c r="L7782" s="71"/>
      <c r="M7782" s="68" t="s">
        <v>27</v>
      </c>
      <c r="N7782" s="116"/>
      <c r="O7782" s="51"/>
    </row>
    <row r="7783">
      <c r="A7783" s="273"/>
      <c r="B7783" s="71"/>
      <c r="C7783" s="69" t="s">
        <v>30664</v>
      </c>
      <c r="D7783" s="71"/>
      <c r="E7783" s="68" t="s">
        <v>30212</v>
      </c>
      <c r="F7783" s="76">
        <v>42814.0</v>
      </c>
      <c r="G7783" s="68" t="s">
        <v>30585</v>
      </c>
      <c r="H7783" s="71"/>
      <c r="I7783" s="71"/>
      <c r="J7783" s="68" t="s">
        <v>30665</v>
      </c>
      <c r="K7783" s="76">
        <v>43573.0</v>
      </c>
      <c r="L7783" s="71"/>
      <c r="M7783" s="68" t="s">
        <v>27</v>
      </c>
      <c r="N7783" s="116"/>
      <c r="O7783" s="51"/>
    </row>
    <row r="7784">
      <c r="A7784" s="273"/>
      <c r="B7784" s="71"/>
      <c r="C7784" s="69" t="s">
        <v>30666</v>
      </c>
      <c r="D7784" s="71"/>
      <c r="E7784" s="68" t="s">
        <v>30667</v>
      </c>
      <c r="F7784" s="76">
        <v>42814.0</v>
      </c>
      <c r="G7784" s="68" t="s">
        <v>30585</v>
      </c>
      <c r="H7784" s="71"/>
      <c r="I7784" s="71"/>
      <c r="J7784" s="68" t="s">
        <v>30668</v>
      </c>
      <c r="K7784" s="76">
        <v>43573.0</v>
      </c>
      <c r="L7784" s="71"/>
      <c r="M7784" s="68" t="s">
        <v>27</v>
      </c>
      <c r="N7784" s="116"/>
      <c r="O7784" s="51"/>
    </row>
    <row r="7785">
      <c r="A7785" s="273"/>
      <c r="B7785" s="71"/>
      <c r="C7785" s="69" t="s">
        <v>30669</v>
      </c>
      <c r="D7785" s="71"/>
      <c r="E7785" s="68" t="s">
        <v>30670</v>
      </c>
      <c r="F7785" s="76">
        <v>42814.0</v>
      </c>
      <c r="G7785" s="68" t="s">
        <v>30585</v>
      </c>
      <c r="H7785" s="71"/>
      <c r="I7785" s="71"/>
      <c r="J7785" s="68" t="s">
        <v>30671</v>
      </c>
      <c r="K7785" s="76">
        <v>43573.0</v>
      </c>
      <c r="L7785" s="71"/>
      <c r="M7785" s="68" t="s">
        <v>27</v>
      </c>
      <c r="N7785" s="87" t="s">
        <v>30672</v>
      </c>
      <c r="O7785" s="51"/>
    </row>
    <row r="7786">
      <c r="A7786" s="234"/>
      <c r="B7786" s="71"/>
      <c r="C7786" s="79" t="s">
        <v>30673</v>
      </c>
      <c r="D7786" s="82"/>
      <c r="E7786" s="63" t="s">
        <v>30674</v>
      </c>
      <c r="F7786" s="70">
        <v>44006.0</v>
      </c>
      <c r="G7786" s="63" t="s">
        <v>30675</v>
      </c>
      <c r="H7786" s="80" t="s">
        <v>30676</v>
      </c>
      <c r="I7786" s="80" t="s">
        <v>30677</v>
      </c>
      <c r="J7786" s="63" t="s">
        <v>136</v>
      </c>
      <c r="K7786" s="81">
        <v>44286.0</v>
      </c>
      <c r="L7786" s="80" t="s">
        <v>2743</v>
      </c>
      <c r="M7786" s="80" t="s">
        <v>143</v>
      </c>
      <c r="N7786" s="87" t="s">
        <v>30678</v>
      </c>
      <c r="O7786" s="51"/>
    </row>
    <row r="7787">
      <c r="A7787" s="273"/>
      <c r="B7787" s="71"/>
      <c r="C7787" s="69" t="s">
        <v>30679</v>
      </c>
      <c r="D7787" s="71"/>
      <c r="E7787" s="68" t="s">
        <v>30680</v>
      </c>
      <c r="F7787" s="76">
        <v>44274.0</v>
      </c>
      <c r="G7787" s="68" t="s">
        <v>30681</v>
      </c>
      <c r="H7787" s="68" t="s">
        <v>30682</v>
      </c>
      <c r="I7787" s="71"/>
      <c r="J7787" s="68" t="s">
        <v>30683</v>
      </c>
      <c r="K7787" s="76">
        <v>44286.0</v>
      </c>
      <c r="L7787" s="68" t="s">
        <v>2743</v>
      </c>
      <c r="M7787" s="68" t="s">
        <v>143</v>
      </c>
      <c r="N7787" s="116"/>
      <c r="O7787" s="51"/>
    </row>
    <row r="7788">
      <c r="A7788" s="273"/>
      <c r="B7788" s="71"/>
      <c r="C7788" s="69" t="s">
        <v>30684</v>
      </c>
      <c r="D7788" s="71"/>
      <c r="E7788" s="68" t="s">
        <v>30685</v>
      </c>
      <c r="F7788" s="76">
        <v>44274.0</v>
      </c>
      <c r="G7788" s="68" t="s">
        <v>30681</v>
      </c>
      <c r="H7788" s="68" t="s">
        <v>30686</v>
      </c>
      <c r="I7788" s="71"/>
      <c r="J7788" s="68" t="s">
        <v>30687</v>
      </c>
      <c r="K7788" s="76">
        <v>44286.0</v>
      </c>
      <c r="L7788" s="68" t="s">
        <v>2743</v>
      </c>
      <c r="M7788" s="68" t="s">
        <v>143</v>
      </c>
      <c r="N7788" s="116"/>
      <c r="O7788" s="51"/>
    </row>
    <row r="7789">
      <c r="A7789" s="234"/>
      <c r="B7789" s="71"/>
      <c r="C7789" s="79" t="s">
        <v>30688</v>
      </c>
      <c r="D7789" s="82"/>
      <c r="E7789" s="63" t="s">
        <v>30689</v>
      </c>
      <c r="F7789" s="70">
        <v>42526.0</v>
      </c>
      <c r="G7789" s="63" t="s">
        <v>30690</v>
      </c>
      <c r="H7789" s="80" t="s">
        <v>30691</v>
      </c>
      <c r="I7789" s="82"/>
      <c r="J7789" s="63" t="s">
        <v>136</v>
      </c>
      <c r="K7789" s="81">
        <v>44286.0</v>
      </c>
      <c r="L7789" s="80" t="s">
        <v>30692</v>
      </c>
      <c r="M7789" s="80" t="s">
        <v>22473</v>
      </c>
      <c r="N7789" s="116"/>
      <c r="O7789" s="51"/>
    </row>
    <row r="7790">
      <c r="A7790" s="234"/>
      <c r="B7790" s="71"/>
      <c r="C7790" s="79" t="s">
        <v>30693</v>
      </c>
      <c r="D7790" s="82"/>
      <c r="E7790" s="63" t="s">
        <v>30694</v>
      </c>
      <c r="F7790" s="70">
        <v>41457.0</v>
      </c>
      <c r="G7790" s="63" t="s">
        <v>30695</v>
      </c>
      <c r="H7790" s="80" t="s">
        <v>439</v>
      </c>
      <c r="I7790" s="82"/>
      <c r="J7790" s="63" t="s">
        <v>136</v>
      </c>
      <c r="K7790" s="81">
        <v>44286.0</v>
      </c>
      <c r="L7790" s="80" t="s">
        <v>30692</v>
      </c>
      <c r="M7790" s="80" t="s">
        <v>2466</v>
      </c>
      <c r="N7790" s="116"/>
      <c r="O7790" s="51"/>
    </row>
    <row r="7791">
      <c r="A7791" s="234"/>
      <c r="B7791" s="71"/>
      <c r="C7791" s="79" t="s">
        <v>30696</v>
      </c>
      <c r="D7791" s="82"/>
      <c r="E7791" s="63" t="s">
        <v>30697</v>
      </c>
      <c r="F7791" s="70">
        <v>43776.0</v>
      </c>
      <c r="G7791" s="63" t="s">
        <v>30698</v>
      </c>
      <c r="H7791" s="80" t="s">
        <v>30699</v>
      </c>
      <c r="I7791" s="82"/>
      <c r="J7791" s="63" t="s">
        <v>136</v>
      </c>
      <c r="K7791" s="81">
        <v>44286.0</v>
      </c>
      <c r="L7791" s="80" t="s">
        <v>30692</v>
      </c>
      <c r="M7791" s="80" t="s">
        <v>17303</v>
      </c>
      <c r="N7791" s="116"/>
      <c r="O7791" s="51"/>
    </row>
    <row r="7792">
      <c r="A7792" s="234"/>
      <c r="B7792" s="71"/>
      <c r="C7792" s="79" t="s">
        <v>30700</v>
      </c>
      <c r="D7792" s="82"/>
      <c r="E7792" s="63" t="s">
        <v>30701</v>
      </c>
      <c r="F7792" s="70">
        <v>40798.0</v>
      </c>
      <c r="G7792" s="63" t="s">
        <v>30702</v>
      </c>
      <c r="H7792" s="80" t="s">
        <v>30703</v>
      </c>
      <c r="I7792" s="82"/>
      <c r="J7792" s="63" t="s">
        <v>136</v>
      </c>
      <c r="K7792" s="81">
        <v>44286.0</v>
      </c>
      <c r="L7792" s="80" t="s">
        <v>30692</v>
      </c>
      <c r="M7792" s="80" t="s">
        <v>19459</v>
      </c>
      <c r="N7792" s="116"/>
      <c r="O7792" s="51"/>
    </row>
    <row r="7793">
      <c r="A7793" s="234"/>
      <c r="B7793" s="71"/>
      <c r="C7793" s="79" t="s">
        <v>30704</v>
      </c>
      <c r="D7793" s="82"/>
      <c r="E7793" s="63" t="s">
        <v>30705</v>
      </c>
      <c r="F7793" s="70">
        <v>42013.0</v>
      </c>
      <c r="G7793" s="63" t="s">
        <v>30706</v>
      </c>
      <c r="H7793" s="80" t="s">
        <v>30707</v>
      </c>
      <c r="I7793" s="82"/>
      <c r="J7793" s="63" t="s">
        <v>136</v>
      </c>
      <c r="K7793" s="81">
        <v>44286.0</v>
      </c>
      <c r="L7793" s="80" t="s">
        <v>30692</v>
      </c>
      <c r="M7793" s="80" t="s">
        <v>166</v>
      </c>
      <c r="N7793" s="116"/>
      <c r="O7793" s="51"/>
    </row>
    <row r="7794">
      <c r="A7794" s="234"/>
      <c r="B7794" s="71"/>
      <c r="C7794" s="79" t="s">
        <v>30708</v>
      </c>
      <c r="D7794" s="82"/>
      <c r="E7794" s="63" t="s">
        <v>30709</v>
      </c>
      <c r="F7794" s="65">
        <v>41228.0</v>
      </c>
      <c r="G7794" s="63" t="s">
        <v>30710</v>
      </c>
      <c r="H7794" s="80" t="s">
        <v>30711</v>
      </c>
      <c r="I7794" s="82"/>
      <c r="J7794" s="63" t="s">
        <v>136</v>
      </c>
      <c r="K7794" s="81">
        <v>44286.0</v>
      </c>
      <c r="L7794" s="80" t="s">
        <v>30692</v>
      </c>
      <c r="M7794" s="80" t="s">
        <v>19459</v>
      </c>
      <c r="N7794" s="116"/>
      <c r="O7794" s="51"/>
    </row>
    <row r="7795">
      <c r="A7795" s="273"/>
      <c r="B7795" s="71"/>
      <c r="C7795" s="69" t="s">
        <v>30712</v>
      </c>
      <c r="D7795" s="71"/>
      <c r="E7795" s="68" t="s">
        <v>30713</v>
      </c>
      <c r="F7795" s="76">
        <v>44029.0</v>
      </c>
      <c r="G7795" s="68" t="s">
        <v>30714</v>
      </c>
      <c r="H7795" s="68" t="s">
        <v>30715</v>
      </c>
      <c r="I7795" s="71"/>
      <c r="J7795" s="68" t="s">
        <v>30716</v>
      </c>
      <c r="K7795" s="76">
        <v>44286.0</v>
      </c>
      <c r="L7795" s="68" t="s">
        <v>30692</v>
      </c>
      <c r="M7795" s="68" t="s">
        <v>7530</v>
      </c>
      <c r="N7795" s="116"/>
      <c r="O7795" s="51"/>
    </row>
    <row r="7796">
      <c r="A7796" s="234"/>
      <c r="B7796" s="71"/>
      <c r="C7796" s="79" t="s">
        <v>30717</v>
      </c>
      <c r="D7796" s="82"/>
      <c r="E7796" s="63" t="s">
        <v>29338</v>
      </c>
      <c r="F7796" s="70">
        <v>41821.0</v>
      </c>
      <c r="G7796" s="63" t="s">
        <v>30718</v>
      </c>
      <c r="H7796" s="80" t="s">
        <v>27638</v>
      </c>
      <c r="I7796" s="82"/>
      <c r="J7796" s="63" t="s">
        <v>136</v>
      </c>
      <c r="K7796" s="81">
        <v>44286.0</v>
      </c>
      <c r="L7796" s="80" t="s">
        <v>30692</v>
      </c>
      <c r="M7796" s="80" t="s">
        <v>166</v>
      </c>
      <c r="N7796" s="116"/>
      <c r="O7796" s="51"/>
    </row>
    <row r="7797">
      <c r="A7797" s="273"/>
      <c r="B7797" s="71"/>
      <c r="C7797" s="69" t="s">
        <v>30719</v>
      </c>
      <c r="D7797" s="71"/>
      <c r="E7797" s="68" t="s">
        <v>30720</v>
      </c>
      <c r="F7797" s="76">
        <v>44037.0</v>
      </c>
      <c r="G7797" s="68" t="s">
        <v>30721</v>
      </c>
      <c r="H7797" s="68" t="s">
        <v>30722</v>
      </c>
      <c r="I7797" s="71"/>
      <c r="J7797" s="68" t="s">
        <v>30723</v>
      </c>
      <c r="K7797" s="76">
        <v>44286.0</v>
      </c>
      <c r="L7797" s="68" t="s">
        <v>30692</v>
      </c>
      <c r="M7797" s="68" t="s">
        <v>166</v>
      </c>
      <c r="N7797" s="116"/>
      <c r="O7797" s="51"/>
    </row>
    <row r="7798">
      <c r="A7798" s="273"/>
      <c r="B7798" s="71"/>
      <c r="C7798" s="69" t="s">
        <v>30724</v>
      </c>
      <c r="D7798" s="71"/>
      <c r="E7798" s="68" t="s">
        <v>30725</v>
      </c>
      <c r="F7798" s="83">
        <v>44156.0</v>
      </c>
      <c r="G7798" s="68" t="s">
        <v>30726</v>
      </c>
      <c r="H7798" s="68" t="s">
        <v>30727</v>
      </c>
      <c r="I7798" s="71"/>
      <c r="J7798" s="68" t="s">
        <v>30728</v>
      </c>
      <c r="K7798" s="76">
        <v>44286.0</v>
      </c>
      <c r="L7798" s="68" t="s">
        <v>30692</v>
      </c>
      <c r="M7798" s="68" t="s">
        <v>22473</v>
      </c>
      <c r="N7798" s="116"/>
      <c r="O7798" s="51"/>
    </row>
    <row r="7799">
      <c r="A7799" s="273"/>
      <c r="B7799" s="71"/>
      <c r="C7799" s="69" t="s">
        <v>30729</v>
      </c>
      <c r="D7799" s="71"/>
      <c r="E7799" s="68" t="s">
        <v>30730</v>
      </c>
      <c r="F7799" s="76">
        <v>43965.0</v>
      </c>
      <c r="G7799" s="68" t="s">
        <v>30731</v>
      </c>
      <c r="H7799" s="68" t="s">
        <v>30732</v>
      </c>
      <c r="I7799" s="71"/>
      <c r="J7799" s="68" t="s">
        <v>30733</v>
      </c>
      <c r="K7799" s="76">
        <v>44286.0</v>
      </c>
      <c r="L7799" s="68" t="s">
        <v>30692</v>
      </c>
      <c r="M7799" s="68" t="s">
        <v>22473</v>
      </c>
      <c r="N7799" s="116"/>
      <c r="O7799" s="51"/>
    </row>
    <row r="7800">
      <c r="A7800" s="234"/>
      <c r="B7800" s="71"/>
      <c r="C7800" s="79" t="s">
        <v>30734</v>
      </c>
      <c r="D7800" s="82"/>
      <c r="E7800" s="63" t="s">
        <v>30735</v>
      </c>
      <c r="F7800" s="70">
        <v>42096.0</v>
      </c>
      <c r="G7800" s="63" t="s">
        <v>30736</v>
      </c>
      <c r="H7800" s="80" t="s">
        <v>30737</v>
      </c>
      <c r="I7800" s="82"/>
      <c r="J7800" s="63" t="s">
        <v>136</v>
      </c>
      <c r="K7800" s="81">
        <v>44286.0</v>
      </c>
      <c r="L7800" s="80" t="s">
        <v>30692</v>
      </c>
      <c r="M7800" s="80" t="s">
        <v>166</v>
      </c>
      <c r="N7800" s="116"/>
      <c r="O7800" s="51"/>
    </row>
    <row r="7801">
      <c r="A7801" s="273"/>
      <c r="B7801" s="71"/>
      <c r="C7801" s="69" t="s">
        <v>30738</v>
      </c>
      <c r="D7801" s="71"/>
      <c r="E7801" s="68" t="s">
        <v>30739</v>
      </c>
      <c r="F7801" s="76">
        <v>43710.0</v>
      </c>
      <c r="G7801" s="68" t="s">
        <v>30740</v>
      </c>
      <c r="H7801" s="68" t="s">
        <v>30741</v>
      </c>
      <c r="I7801" s="71"/>
      <c r="J7801" s="68" t="s">
        <v>30742</v>
      </c>
      <c r="K7801" s="76">
        <v>44286.0</v>
      </c>
      <c r="L7801" s="68" t="s">
        <v>30692</v>
      </c>
      <c r="M7801" s="68" t="s">
        <v>22473</v>
      </c>
      <c r="N7801" s="116"/>
      <c r="O7801" s="51"/>
    </row>
    <row r="7802">
      <c r="A7802" s="273"/>
      <c r="B7802" s="71"/>
      <c r="C7802" s="69" t="s">
        <v>30743</v>
      </c>
      <c r="D7802" s="71"/>
      <c r="E7802" s="68" t="s">
        <v>30744</v>
      </c>
      <c r="F7802" s="76">
        <v>44071.0</v>
      </c>
      <c r="G7802" s="68" t="s">
        <v>30745</v>
      </c>
      <c r="H7802" s="68" t="s">
        <v>30746</v>
      </c>
      <c r="I7802" s="71"/>
      <c r="J7802" s="68" t="s">
        <v>30747</v>
      </c>
      <c r="K7802" s="76">
        <v>44286.0</v>
      </c>
      <c r="L7802" s="68" t="s">
        <v>30692</v>
      </c>
      <c r="M7802" s="68" t="s">
        <v>542</v>
      </c>
      <c r="N7802" s="116"/>
      <c r="O7802" s="51"/>
    </row>
    <row r="7803">
      <c r="A7803" s="273"/>
      <c r="B7803" s="71"/>
      <c r="C7803" s="69" t="s">
        <v>30748</v>
      </c>
      <c r="D7803" s="71"/>
      <c r="E7803" s="68" t="s">
        <v>30749</v>
      </c>
      <c r="F7803" s="76">
        <v>43356.0</v>
      </c>
      <c r="G7803" s="68" t="s">
        <v>30750</v>
      </c>
      <c r="H7803" s="68" t="s">
        <v>30751</v>
      </c>
      <c r="I7803" s="71"/>
      <c r="J7803" s="68" t="s">
        <v>30752</v>
      </c>
      <c r="K7803" s="76">
        <v>44286.0</v>
      </c>
      <c r="L7803" s="68" t="s">
        <v>30692</v>
      </c>
      <c r="M7803" s="68" t="s">
        <v>542</v>
      </c>
      <c r="N7803" s="116"/>
      <c r="O7803" s="51"/>
    </row>
    <row r="7804">
      <c r="A7804" s="273"/>
      <c r="B7804" s="71"/>
      <c r="C7804" s="69" t="s">
        <v>30753</v>
      </c>
      <c r="D7804" s="71"/>
      <c r="E7804" s="68" t="s">
        <v>30754</v>
      </c>
      <c r="F7804" s="83">
        <v>43067.0</v>
      </c>
      <c r="G7804" s="68" t="s">
        <v>30755</v>
      </c>
      <c r="H7804" s="68" t="s">
        <v>30756</v>
      </c>
      <c r="I7804" s="71"/>
      <c r="J7804" s="68" t="s">
        <v>30757</v>
      </c>
      <c r="K7804" s="76">
        <v>44286.0</v>
      </c>
      <c r="L7804" s="68" t="s">
        <v>30692</v>
      </c>
      <c r="M7804" s="68" t="s">
        <v>542</v>
      </c>
      <c r="N7804" s="116"/>
      <c r="O7804" s="51"/>
    </row>
    <row r="7805">
      <c r="A7805" s="273"/>
      <c r="B7805" s="71"/>
      <c r="C7805" s="69" t="s">
        <v>30758</v>
      </c>
      <c r="D7805" s="71"/>
      <c r="E7805" s="68" t="s">
        <v>30759</v>
      </c>
      <c r="F7805" s="76">
        <v>43600.0</v>
      </c>
      <c r="G7805" s="68" t="s">
        <v>30760</v>
      </c>
      <c r="H7805" s="68" t="s">
        <v>30761</v>
      </c>
      <c r="I7805" s="71"/>
      <c r="J7805" s="68" t="s">
        <v>30762</v>
      </c>
      <c r="K7805" s="76">
        <v>44286.0</v>
      </c>
      <c r="L7805" s="68" t="s">
        <v>30692</v>
      </c>
      <c r="M7805" s="68" t="s">
        <v>22473</v>
      </c>
      <c r="N7805" s="116"/>
      <c r="O7805" s="51"/>
    </row>
    <row r="7806">
      <c r="A7806" s="273"/>
      <c r="B7806" s="71"/>
      <c r="C7806" s="69" t="s">
        <v>30763</v>
      </c>
      <c r="D7806" s="71"/>
      <c r="E7806" s="68" t="s">
        <v>30764</v>
      </c>
      <c r="F7806" s="76">
        <v>41332.0</v>
      </c>
      <c r="G7806" s="68" t="s">
        <v>30765</v>
      </c>
      <c r="H7806" s="68" t="s">
        <v>30766</v>
      </c>
      <c r="I7806" s="71"/>
      <c r="J7806" s="68" t="s">
        <v>30767</v>
      </c>
      <c r="K7806" s="76">
        <v>44286.0</v>
      </c>
      <c r="L7806" s="68" t="s">
        <v>30692</v>
      </c>
      <c r="M7806" s="68" t="s">
        <v>166</v>
      </c>
      <c r="N7806" s="116"/>
      <c r="O7806" s="51"/>
    </row>
    <row r="7807">
      <c r="A7807" s="234"/>
      <c r="B7807" s="71"/>
      <c r="C7807" s="79" t="s">
        <v>30768</v>
      </c>
      <c r="D7807" s="82"/>
      <c r="E7807" s="63" t="s">
        <v>30769</v>
      </c>
      <c r="F7807" s="70">
        <v>42370.0</v>
      </c>
      <c r="G7807" s="63" t="s">
        <v>30770</v>
      </c>
      <c r="H7807" s="80" t="s">
        <v>30771</v>
      </c>
      <c r="I7807" s="82"/>
      <c r="J7807" s="63" t="s">
        <v>136</v>
      </c>
      <c r="K7807" s="81">
        <v>44286.0</v>
      </c>
      <c r="L7807" s="80" t="s">
        <v>30692</v>
      </c>
      <c r="M7807" s="80" t="s">
        <v>125</v>
      </c>
      <c r="N7807" s="116"/>
      <c r="O7807" s="51"/>
    </row>
    <row r="7808">
      <c r="A7808" s="273"/>
      <c r="B7808" s="71"/>
      <c r="C7808" s="69" t="s">
        <v>30772</v>
      </c>
      <c r="D7808" s="71"/>
      <c r="E7808" s="68" t="s">
        <v>30773</v>
      </c>
      <c r="F7808" s="76">
        <v>44107.0</v>
      </c>
      <c r="G7808" s="68" t="s">
        <v>30774</v>
      </c>
      <c r="H7808" s="68" t="s">
        <v>30775</v>
      </c>
      <c r="I7808" s="71"/>
      <c r="J7808" s="68" t="s">
        <v>30776</v>
      </c>
      <c r="K7808" s="76">
        <v>44286.0</v>
      </c>
      <c r="L7808" s="68" t="s">
        <v>30692</v>
      </c>
      <c r="M7808" s="68" t="s">
        <v>22473</v>
      </c>
      <c r="N7808" s="116"/>
      <c r="O7808" s="51"/>
    </row>
    <row r="7809">
      <c r="A7809" s="273"/>
      <c r="B7809" s="71"/>
      <c r="C7809" s="69" t="s">
        <v>30777</v>
      </c>
      <c r="D7809" s="71"/>
      <c r="E7809" s="68" t="s">
        <v>30778</v>
      </c>
      <c r="F7809" s="76">
        <v>44037.0</v>
      </c>
      <c r="G7809" s="68" t="s">
        <v>30779</v>
      </c>
      <c r="H7809" s="68" t="s">
        <v>30780</v>
      </c>
      <c r="I7809" s="71"/>
      <c r="J7809" s="100" t="s">
        <v>30781</v>
      </c>
      <c r="K7809" s="225">
        <v>44286.0</v>
      </c>
      <c r="L7809" s="68" t="s">
        <v>30692</v>
      </c>
      <c r="M7809" s="68" t="s">
        <v>542</v>
      </c>
      <c r="N7809" s="116"/>
      <c r="O7809" s="130"/>
    </row>
    <row r="7810">
      <c r="A7810" s="234"/>
      <c r="B7810" s="71"/>
      <c r="C7810" s="79" t="s">
        <v>30782</v>
      </c>
      <c r="D7810" s="82"/>
      <c r="E7810" s="63" t="s">
        <v>30783</v>
      </c>
      <c r="F7810" s="70">
        <v>42523.0</v>
      </c>
      <c r="G7810" s="63" t="s">
        <v>30784</v>
      </c>
      <c r="H7810" s="80" t="s">
        <v>30785</v>
      </c>
      <c r="I7810" s="82"/>
      <c r="J7810" s="63" t="s">
        <v>136</v>
      </c>
      <c r="K7810" s="81">
        <v>44286.0</v>
      </c>
      <c r="L7810" s="80" t="s">
        <v>30692</v>
      </c>
      <c r="M7810" s="80" t="s">
        <v>22473</v>
      </c>
      <c r="N7810" s="116"/>
      <c r="O7810" s="51"/>
    </row>
    <row r="7811">
      <c r="A7811" s="234"/>
      <c r="B7811" s="71"/>
      <c r="C7811" s="79" t="s">
        <v>30786</v>
      </c>
      <c r="D7811" s="82"/>
      <c r="E7811" s="63" t="s">
        <v>30787</v>
      </c>
      <c r="F7811" s="70">
        <v>41660.0</v>
      </c>
      <c r="G7811" s="63" t="s">
        <v>30788</v>
      </c>
      <c r="H7811" s="80" t="s">
        <v>30789</v>
      </c>
      <c r="I7811" s="82"/>
      <c r="J7811" s="63" t="s">
        <v>136</v>
      </c>
      <c r="K7811" s="81">
        <v>44286.0</v>
      </c>
      <c r="L7811" s="80" t="s">
        <v>30692</v>
      </c>
      <c r="M7811" s="80" t="s">
        <v>27994</v>
      </c>
      <c r="N7811" s="116"/>
      <c r="O7811" s="51"/>
    </row>
    <row r="7812">
      <c r="A7812" s="234"/>
      <c r="B7812" s="71"/>
      <c r="C7812" s="79" t="s">
        <v>30790</v>
      </c>
      <c r="D7812" s="82"/>
      <c r="E7812" s="63" t="s">
        <v>30791</v>
      </c>
      <c r="F7812" s="70">
        <v>44072.0</v>
      </c>
      <c r="G7812" s="63" t="s">
        <v>30792</v>
      </c>
      <c r="H7812" s="80" t="s">
        <v>30793</v>
      </c>
      <c r="I7812" s="82"/>
      <c r="J7812" s="63" t="s">
        <v>136</v>
      </c>
      <c r="K7812" s="81">
        <v>44286.0</v>
      </c>
      <c r="L7812" s="80" t="s">
        <v>30692</v>
      </c>
      <c r="M7812" s="80" t="s">
        <v>872</v>
      </c>
      <c r="N7812" s="116"/>
      <c r="O7812" s="51"/>
    </row>
    <row r="7813">
      <c r="A7813" s="234"/>
      <c r="B7813" s="71"/>
      <c r="C7813" s="79" t="s">
        <v>30794</v>
      </c>
      <c r="D7813" s="82"/>
      <c r="E7813" s="63" t="s">
        <v>30795</v>
      </c>
      <c r="F7813" s="70">
        <v>40787.0</v>
      </c>
      <c r="G7813" s="63" t="s">
        <v>30796</v>
      </c>
      <c r="H7813" s="80" t="s">
        <v>30797</v>
      </c>
      <c r="I7813" s="82"/>
      <c r="J7813" s="63" t="s">
        <v>136</v>
      </c>
      <c r="K7813" s="81">
        <v>44286.0</v>
      </c>
      <c r="L7813" s="80" t="s">
        <v>30692</v>
      </c>
      <c r="M7813" s="80" t="s">
        <v>2527</v>
      </c>
      <c r="N7813" s="116"/>
      <c r="O7813" s="51"/>
    </row>
    <row r="7814">
      <c r="A7814" s="234"/>
      <c r="B7814" s="71"/>
      <c r="C7814" s="79" t="s">
        <v>30798</v>
      </c>
      <c r="D7814" s="82"/>
      <c r="E7814" s="63" t="s">
        <v>30799</v>
      </c>
      <c r="F7814" s="70">
        <v>41580.0</v>
      </c>
      <c r="G7814" s="63" t="s">
        <v>30800</v>
      </c>
      <c r="H7814" s="80" t="s">
        <v>30801</v>
      </c>
      <c r="I7814" s="82"/>
      <c r="J7814" s="63" t="s">
        <v>136</v>
      </c>
      <c r="K7814" s="81">
        <v>44286.0</v>
      </c>
      <c r="L7814" s="80" t="s">
        <v>30692</v>
      </c>
      <c r="M7814" s="80" t="s">
        <v>166</v>
      </c>
      <c r="N7814" s="116"/>
      <c r="O7814" s="51"/>
    </row>
    <row r="7815">
      <c r="A7815" s="273"/>
      <c r="B7815" s="71"/>
      <c r="C7815" s="69" t="s">
        <v>30802</v>
      </c>
      <c r="D7815" s="71"/>
      <c r="E7815" s="68" t="s">
        <v>30803</v>
      </c>
      <c r="F7815" s="76">
        <v>43870.0</v>
      </c>
      <c r="G7815" s="68" t="s">
        <v>30804</v>
      </c>
      <c r="H7815" s="68" t="s">
        <v>30805</v>
      </c>
      <c r="I7815" s="71"/>
      <c r="J7815" s="68" t="s">
        <v>30806</v>
      </c>
      <c r="K7815" s="76">
        <v>44286.0</v>
      </c>
      <c r="L7815" s="68" t="s">
        <v>30692</v>
      </c>
      <c r="M7815" s="68" t="s">
        <v>27</v>
      </c>
      <c r="N7815" s="116"/>
      <c r="O7815" s="51"/>
    </row>
    <row r="7816">
      <c r="A7816" s="273"/>
      <c r="B7816" s="71"/>
      <c r="C7816" s="69" t="s">
        <v>30807</v>
      </c>
      <c r="D7816" s="71"/>
      <c r="E7816" s="68" t="s">
        <v>30808</v>
      </c>
      <c r="F7816" s="76">
        <v>41383.0</v>
      </c>
      <c r="G7816" s="68" t="s">
        <v>30809</v>
      </c>
      <c r="H7816" s="68" t="s">
        <v>30810</v>
      </c>
      <c r="I7816" s="71"/>
      <c r="J7816" s="68" t="s">
        <v>30811</v>
      </c>
      <c r="K7816" s="76">
        <v>44286.0</v>
      </c>
      <c r="L7816" s="68" t="s">
        <v>30692</v>
      </c>
      <c r="M7816" s="68" t="s">
        <v>166</v>
      </c>
      <c r="N7816" s="116"/>
      <c r="O7816" s="51"/>
    </row>
    <row r="7817">
      <c r="A7817" s="273"/>
      <c r="B7817" s="71"/>
      <c r="C7817" s="69" t="s">
        <v>30812</v>
      </c>
      <c r="D7817" s="71"/>
      <c r="E7817" s="68" t="s">
        <v>30813</v>
      </c>
      <c r="F7817" s="76">
        <v>44279.0</v>
      </c>
      <c r="G7817" s="68" t="s">
        <v>30814</v>
      </c>
      <c r="H7817" s="68" t="s">
        <v>30815</v>
      </c>
      <c r="I7817" s="71"/>
      <c r="J7817" s="68" t="s">
        <v>30816</v>
      </c>
      <c r="K7817" s="76">
        <v>44288.0</v>
      </c>
      <c r="L7817" s="68" t="s">
        <v>2743</v>
      </c>
      <c r="M7817" s="68" t="s">
        <v>17743</v>
      </c>
      <c r="N7817" s="116"/>
      <c r="O7817" s="51"/>
    </row>
    <row r="7818">
      <c r="A7818" s="273"/>
      <c r="B7818" s="71"/>
      <c r="C7818" s="69" t="s">
        <v>30817</v>
      </c>
      <c r="D7818" s="71"/>
      <c r="E7818" s="68" t="s">
        <v>30818</v>
      </c>
      <c r="F7818" s="76">
        <v>43970.0</v>
      </c>
      <c r="G7818" s="68" t="s">
        <v>30819</v>
      </c>
      <c r="H7818" s="68" t="s">
        <v>30820</v>
      </c>
      <c r="I7818" s="71"/>
      <c r="J7818" s="68" t="s">
        <v>30821</v>
      </c>
      <c r="K7818" s="76">
        <v>44288.0</v>
      </c>
      <c r="L7818" s="68" t="s">
        <v>2743</v>
      </c>
      <c r="M7818" s="68" t="s">
        <v>542</v>
      </c>
      <c r="N7818" s="116"/>
      <c r="O7818" s="51"/>
    </row>
    <row r="7819">
      <c r="A7819" s="273"/>
      <c r="B7819" s="71"/>
      <c r="C7819" s="69" t="s">
        <v>30822</v>
      </c>
      <c r="D7819" s="71"/>
      <c r="E7819" s="68" t="s">
        <v>30823</v>
      </c>
      <c r="F7819" s="76">
        <v>43970.0</v>
      </c>
      <c r="G7819" s="68" t="s">
        <v>30824</v>
      </c>
      <c r="H7819" s="68" t="s">
        <v>30825</v>
      </c>
      <c r="I7819" s="71"/>
      <c r="J7819" s="68" t="s">
        <v>30826</v>
      </c>
      <c r="K7819" s="76">
        <v>44288.0</v>
      </c>
      <c r="L7819" s="68" t="s">
        <v>2743</v>
      </c>
      <c r="M7819" s="68" t="s">
        <v>542</v>
      </c>
      <c r="N7819" s="116"/>
      <c r="O7819" s="51"/>
    </row>
    <row r="7820">
      <c r="A7820" s="273"/>
      <c r="B7820" s="71"/>
      <c r="C7820" s="69" t="s">
        <v>30827</v>
      </c>
      <c r="D7820" s="71"/>
      <c r="E7820" s="68" t="s">
        <v>30828</v>
      </c>
      <c r="F7820" s="76">
        <v>43970.0</v>
      </c>
      <c r="G7820" s="68" t="s">
        <v>30829</v>
      </c>
      <c r="H7820" s="68" t="s">
        <v>30830</v>
      </c>
      <c r="I7820" s="71"/>
      <c r="J7820" s="68" t="s">
        <v>30831</v>
      </c>
      <c r="K7820" s="76">
        <v>44288.0</v>
      </c>
      <c r="L7820" s="68" t="s">
        <v>2743</v>
      </c>
      <c r="M7820" s="68" t="s">
        <v>542</v>
      </c>
      <c r="N7820" s="116"/>
      <c r="O7820" s="51"/>
    </row>
    <row r="7821">
      <c r="A7821" s="273"/>
      <c r="B7821" s="71"/>
      <c r="C7821" s="69" t="s">
        <v>30832</v>
      </c>
      <c r="D7821" s="71"/>
      <c r="E7821" s="68" t="s">
        <v>30833</v>
      </c>
      <c r="F7821" s="83">
        <v>44185.0</v>
      </c>
      <c r="G7821" s="68" t="s">
        <v>30834</v>
      </c>
      <c r="H7821" s="68" t="s">
        <v>30835</v>
      </c>
      <c r="I7821" s="71"/>
      <c r="J7821" s="68" t="s">
        <v>30836</v>
      </c>
      <c r="K7821" s="76">
        <v>44292.0</v>
      </c>
      <c r="L7821" s="68" t="s">
        <v>24758</v>
      </c>
      <c r="M7821" s="68" t="s">
        <v>30837</v>
      </c>
      <c r="N7821" s="116"/>
      <c r="O7821" s="51"/>
    </row>
    <row r="7822">
      <c r="A7822" s="273"/>
      <c r="B7822" s="71"/>
      <c r="C7822" s="69" t="s">
        <v>30838</v>
      </c>
      <c r="D7822" s="71"/>
      <c r="E7822" s="68" t="s">
        <v>30839</v>
      </c>
      <c r="F7822" s="76">
        <v>44220.0</v>
      </c>
      <c r="G7822" s="68" t="s">
        <v>30840</v>
      </c>
      <c r="H7822" s="68" t="s">
        <v>30841</v>
      </c>
      <c r="I7822" s="71"/>
      <c r="J7822" s="68" t="s">
        <v>30842</v>
      </c>
      <c r="K7822" s="76">
        <v>44292.0</v>
      </c>
      <c r="L7822" s="68" t="s">
        <v>24758</v>
      </c>
      <c r="M7822" s="68" t="s">
        <v>31</v>
      </c>
      <c r="N7822" s="116"/>
      <c r="O7822" s="51"/>
    </row>
    <row r="7823">
      <c r="A7823" s="234"/>
      <c r="B7823" s="71"/>
      <c r="C7823" s="79" t="s">
        <v>30843</v>
      </c>
      <c r="D7823" s="82"/>
      <c r="E7823" s="63" t="s">
        <v>30844</v>
      </c>
      <c r="F7823" s="70">
        <v>42312.0</v>
      </c>
      <c r="G7823" s="63" t="s">
        <v>30845</v>
      </c>
      <c r="H7823" s="80" t="s">
        <v>30846</v>
      </c>
      <c r="I7823" s="82"/>
      <c r="J7823" s="63" t="s">
        <v>136</v>
      </c>
      <c r="K7823" s="81">
        <v>44292.0</v>
      </c>
      <c r="L7823" s="80" t="s">
        <v>2743</v>
      </c>
      <c r="M7823" s="80" t="s">
        <v>30847</v>
      </c>
      <c r="N7823" s="116"/>
      <c r="O7823" s="51"/>
    </row>
    <row r="7824">
      <c r="A7824" s="234"/>
      <c r="B7824" s="71"/>
      <c r="C7824" s="79" t="s">
        <v>30848</v>
      </c>
      <c r="D7824" s="82"/>
      <c r="E7824" s="63" t="s">
        <v>30849</v>
      </c>
      <c r="F7824" s="70">
        <v>43279.0</v>
      </c>
      <c r="G7824" s="63" t="s">
        <v>30850</v>
      </c>
      <c r="H7824" s="80" t="s">
        <v>30851</v>
      </c>
      <c r="I7824" s="82"/>
      <c r="J7824" s="63" t="s">
        <v>136</v>
      </c>
      <c r="K7824" s="81">
        <v>44292.0</v>
      </c>
      <c r="L7824" s="80" t="s">
        <v>2743</v>
      </c>
      <c r="M7824" s="80" t="s">
        <v>30847</v>
      </c>
      <c r="N7824" s="116"/>
      <c r="O7824" s="51"/>
    </row>
    <row r="7825">
      <c r="A7825" s="273"/>
      <c r="B7825" s="71"/>
      <c r="C7825" s="69" t="s">
        <v>30852</v>
      </c>
      <c r="D7825" s="71"/>
      <c r="E7825" s="68" t="s">
        <v>30853</v>
      </c>
      <c r="F7825" s="76">
        <v>42881.0</v>
      </c>
      <c r="G7825" s="68" t="s">
        <v>30854</v>
      </c>
      <c r="H7825" s="68" t="s">
        <v>30855</v>
      </c>
      <c r="I7825" s="71"/>
      <c r="J7825" s="68" t="s">
        <v>30856</v>
      </c>
      <c r="K7825" s="76">
        <v>44292.0</v>
      </c>
      <c r="L7825" s="68" t="s">
        <v>2743</v>
      </c>
      <c r="M7825" s="68" t="s">
        <v>30857</v>
      </c>
      <c r="N7825" s="116"/>
      <c r="O7825" s="51"/>
    </row>
    <row r="7826">
      <c r="A7826" s="234"/>
      <c r="B7826" s="71"/>
      <c r="C7826" s="79" t="s">
        <v>30858</v>
      </c>
      <c r="D7826" s="82"/>
      <c r="E7826" s="63" t="s">
        <v>30859</v>
      </c>
      <c r="F7826" s="70">
        <v>41676.0</v>
      </c>
      <c r="G7826" s="63" t="s">
        <v>30860</v>
      </c>
      <c r="H7826" s="80" t="s">
        <v>30861</v>
      </c>
      <c r="I7826" s="82"/>
      <c r="J7826" s="63" t="s">
        <v>136</v>
      </c>
      <c r="K7826" s="81">
        <v>44293.0</v>
      </c>
      <c r="L7826" s="80" t="s">
        <v>2743</v>
      </c>
      <c r="M7826" s="80" t="s">
        <v>125</v>
      </c>
      <c r="N7826" s="116"/>
      <c r="O7826" s="51"/>
    </row>
    <row r="7827">
      <c r="A7827" s="273"/>
      <c r="B7827" s="71"/>
      <c r="C7827" s="69" t="s">
        <v>30862</v>
      </c>
      <c r="D7827" s="71"/>
      <c r="E7827" s="68" t="s">
        <v>30863</v>
      </c>
      <c r="F7827" s="76">
        <v>44284.0</v>
      </c>
      <c r="G7827" s="68" t="s">
        <v>30864</v>
      </c>
      <c r="H7827" s="68" t="s">
        <v>439</v>
      </c>
      <c r="I7827" s="71"/>
      <c r="J7827" s="68" t="s">
        <v>30865</v>
      </c>
      <c r="K7827" s="76">
        <v>44293.0</v>
      </c>
      <c r="L7827" s="68" t="s">
        <v>2743</v>
      </c>
      <c r="M7827" s="68" t="s">
        <v>143</v>
      </c>
      <c r="N7827" s="116"/>
      <c r="O7827" s="51"/>
    </row>
    <row r="7828">
      <c r="A7828" s="273"/>
      <c r="B7828" s="71"/>
      <c r="C7828" s="69" t="s">
        <v>30866</v>
      </c>
      <c r="D7828" s="71"/>
      <c r="E7828" s="68" t="s">
        <v>30867</v>
      </c>
      <c r="F7828" s="76">
        <v>44283.0</v>
      </c>
      <c r="G7828" s="68" t="s">
        <v>30868</v>
      </c>
      <c r="H7828" s="68" t="s">
        <v>30869</v>
      </c>
      <c r="I7828" s="71"/>
      <c r="J7828" s="68" t="s">
        <v>30870</v>
      </c>
      <c r="K7828" s="76">
        <v>44293.0</v>
      </c>
      <c r="L7828" s="68" t="s">
        <v>2743</v>
      </c>
      <c r="M7828" s="68" t="s">
        <v>31</v>
      </c>
      <c r="N7828" s="116"/>
      <c r="O7828" s="51"/>
    </row>
    <row r="7829">
      <c r="A7829" s="273"/>
      <c r="B7829" s="71"/>
      <c r="C7829" s="69" t="s">
        <v>30871</v>
      </c>
      <c r="D7829" s="71"/>
      <c r="E7829" s="68" t="s">
        <v>30872</v>
      </c>
      <c r="F7829" s="76">
        <v>44283.0</v>
      </c>
      <c r="G7829" s="68" t="s">
        <v>30868</v>
      </c>
      <c r="H7829" s="68" t="s">
        <v>30873</v>
      </c>
      <c r="I7829" s="71"/>
      <c r="J7829" s="68" t="s">
        <v>30874</v>
      </c>
      <c r="K7829" s="76">
        <v>44293.0</v>
      </c>
      <c r="L7829" s="68" t="s">
        <v>2743</v>
      </c>
      <c r="M7829" s="68" t="s">
        <v>31</v>
      </c>
      <c r="N7829" s="116"/>
      <c r="O7829" s="51"/>
    </row>
    <row r="7830">
      <c r="A7830" s="273"/>
      <c r="B7830" s="71"/>
      <c r="C7830" s="69" t="s">
        <v>30875</v>
      </c>
      <c r="D7830" s="71"/>
      <c r="E7830" s="68" t="s">
        <v>30876</v>
      </c>
      <c r="F7830" s="76">
        <v>44239.0</v>
      </c>
      <c r="G7830" s="68" t="s">
        <v>30877</v>
      </c>
      <c r="H7830" s="68" t="s">
        <v>30878</v>
      </c>
      <c r="I7830" s="71"/>
      <c r="J7830" s="68" t="s">
        <v>30879</v>
      </c>
      <c r="K7830" s="76">
        <v>44293.0</v>
      </c>
      <c r="L7830" s="68" t="s">
        <v>2743</v>
      </c>
      <c r="M7830" s="68" t="s">
        <v>143</v>
      </c>
      <c r="N7830" s="116"/>
      <c r="O7830" s="51"/>
    </row>
    <row r="7831">
      <c r="A7831" s="273"/>
      <c r="B7831" s="71"/>
      <c r="C7831" s="69" t="s">
        <v>30880</v>
      </c>
      <c r="D7831" s="71"/>
      <c r="E7831" s="68" t="s">
        <v>30881</v>
      </c>
      <c r="F7831" s="76">
        <v>44254.0</v>
      </c>
      <c r="G7831" s="68" t="s">
        <v>30882</v>
      </c>
      <c r="H7831" s="68" t="s">
        <v>30883</v>
      </c>
      <c r="I7831" s="71"/>
      <c r="J7831" s="68" t="s">
        <v>30884</v>
      </c>
      <c r="K7831" s="76">
        <v>44293.0</v>
      </c>
      <c r="L7831" s="68" t="s">
        <v>2743</v>
      </c>
      <c r="M7831" s="68" t="s">
        <v>201</v>
      </c>
      <c r="N7831" s="116"/>
      <c r="O7831" s="51"/>
    </row>
    <row r="7832">
      <c r="A7832" s="234"/>
      <c r="B7832" s="71"/>
      <c r="C7832" s="79" t="s">
        <v>30885</v>
      </c>
      <c r="D7832" s="82"/>
      <c r="E7832" s="63" t="s">
        <v>30886</v>
      </c>
      <c r="F7832" s="65">
        <v>43058.0</v>
      </c>
      <c r="G7832" s="63" t="s">
        <v>30887</v>
      </c>
      <c r="H7832" s="80" t="s">
        <v>30888</v>
      </c>
      <c r="I7832" s="82"/>
      <c r="J7832" s="63" t="s">
        <v>136</v>
      </c>
      <c r="K7832" s="81">
        <v>44293.0</v>
      </c>
      <c r="L7832" s="80" t="s">
        <v>2743</v>
      </c>
      <c r="M7832" s="80" t="s">
        <v>166</v>
      </c>
      <c r="N7832" s="116"/>
      <c r="O7832" s="51"/>
    </row>
    <row r="7833">
      <c r="A7833" s="273"/>
      <c r="B7833" s="71"/>
      <c r="C7833" s="69" t="s">
        <v>30889</v>
      </c>
      <c r="D7833" s="71"/>
      <c r="E7833" s="68" t="s">
        <v>30890</v>
      </c>
      <c r="F7833" s="76">
        <v>44061.0</v>
      </c>
      <c r="G7833" s="68" t="s">
        <v>30891</v>
      </c>
      <c r="H7833" s="68" t="s">
        <v>30892</v>
      </c>
      <c r="I7833" s="71"/>
      <c r="J7833" s="68" t="s">
        <v>30893</v>
      </c>
      <c r="K7833" s="76">
        <v>44293.0</v>
      </c>
      <c r="L7833" s="68" t="s">
        <v>2743</v>
      </c>
      <c r="M7833" s="68" t="s">
        <v>7530</v>
      </c>
      <c r="N7833" s="116"/>
      <c r="O7833" s="51"/>
    </row>
    <row r="7834">
      <c r="A7834" s="273"/>
      <c r="B7834" s="71"/>
      <c r="C7834" s="69" t="s">
        <v>30894</v>
      </c>
      <c r="D7834" s="71"/>
      <c r="E7834" s="68" t="s">
        <v>30895</v>
      </c>
      <c r="F7834" s="76">
        <v>44286.0</v>
      </c>
      <c r="G7834" s="68" t="s">
        <v>30896</v>
      </c>
      <c r="H7834" s="68" t="s">
        <v>439</v>
      </c>
      <c r="I7834" s="71"/>
      <c r="J7834" s="68" t="s">
        <v>30897</v>
      </c>
      <c r="K7834" s="76">
        <v>44293.0</v>
      </c>
      <c r="L7834" s="68" t="s">
        <v>2743</v>
      </c>
      <c r="M7834" s="68" t="s">
        <v>3407</v>
      </c>
      <c r="N7834" s="116"/>
      <c r="O7834" s="51"/>
    </row>
    <row r="7835">
      <c r="A7835" s="234"/>
      <c r="B7835" s="71"/>
      <c r="C7835" s="79" t="s">
        <v>30898</v>
      </c>
      <c r="D7835" s="82"/>
      <c r="E7835" s="63" t="s">
        <v>30899</v>
      </c>
      <c r="F7835" s="70">
        <v>40691.0</v>
      </c>
      <c r="G7835" s="63" t="s">
        <v>30900</v>
      </c>
      <c r="H7835" s="80" t="s">
        <v>30901</v>
      </c>
      <c r="I7835" s="80" t="s">
        <v>30902</v>
      </c>
      <c r="J7835" s="63" t="s">
        <v>136</v>
      </c>
      <c r="K7835" s="81">
        <v>44294.0</v>
      </c>
      <c r="L7835" s="80" t="s">
        <v>2743</v>
      </c>
      <c r="M7835" s="80" t="s">
        <v>7530</v>
      </c>
      <c r="N7835" s="116"/>
      <c r="O7835" s="51"/>
    </row>
    <row r="7836">
      <c r="A7836" s="234"/>
      <c r="B7836" s="71"/>
      <c r="C7836" s="79" t="s">
        <v>30903</v>
      </c>
      <c r="D7836" s="82"/>
      <c r="E7836" s="63" t="s">
        <v>30904</v>
      </c>
      <c r="F7836" s="70">
        <v>40691.0</v>
      </c>
      <c r="G7836" s="63" t="s">
        <v>30905</v>
      </c>
      <c r="H7836" s="80" t="s">
        <v>30906</v>
      </c>
      <c r="I7836" s="80" t="s">
        <v>30907</v>
      </c>
      <c r="J7836" s="63" t="s">
        <v>136</v>
      </c>
      <c r="K7836" s="81">
        <v>44294.0</v>
      </c>
      <c r="L7836" s="80" t="s">
        <v>2743</v>
      </c>
      <c r="M7836" s="80" t="s">
        <v>7530</v>
      </c>
      <c r="N7836" s="116"/>
      <c r="O7836" s="51"/>
    </row>
    <row r="7837">
      <c r="A7837" s="273"/>
      <c r="B7837" s="71"/>
      <c r="C7837" s="69" t="s">
        <v>30908</v>
      </c>
      <c r="D7837" s="71"/>
      <c r="E7837" s="68" t="s">
        <v>30909</v>
      </c>
      <c r="F7837" s="76">
        <v>43604.0</v>
      </c>
      <c r="G7837" s="68" t="s">
        <v>30910</v>
      </c>
      <c r="H7837" s="68" t="s">
        <v>30911</v>
      </c>
      <c r="I7837" s="71"/>
      <c r="J7837" s="68" t="s">
        <v>30912</v>
      </c>
      <c r="K7837" s="76">
        <v>44294.0</v>
      </c>
      <c r="L7837" s="68" t="s">
        <v>2743</v>
      </c>
      <c r="M7837" s="68" t="s">
        <v>542</v>
      </c>
      <c r="N7837" s="116"/>
      <c r="O7837" s="51"/>
    </row>
    <row r="7838">
      <c r="A7838" s="273"/>
      <c r="B7838" s="71"/>
      <c r="C7838" s="69" t="s">
        <v>30913</v>
      </c>
      <c r="D7838" s="71"/>
      <c r="E7838" s="68" t="s">
        <v>30914</v>
      </c>
      <c r="F7838" s="76">
        <v>43970.0</v>
      </c>
      <c r="G7838" s="68" t="s">
        <v>30915</v>
      </c>
      <c r="H7838" s="68" t="s">
        <v>30916</v>
      </c>
      <c r="I7838" s="71"/>
      <c r="J7838" s="68" t="s">
        <v>30917</v>
      </c>
      <c r="K7838" s="76">
        <v>44294.0</v>
      </c>
      <c r="L7838" s="68" t="s">
        <v>2743</v>
      </c>
      <c r="M7838" s="68" t="s">
        <v>542</v>
      </c>
      <c r="N7838" s="116"/>
      <c r="O7838" s="51"/>
    </row>
    <row r="7839">
      <c r="A7839" s="273"/>
      <c r="B7839" s="71"/>
      <c r="C7839" s="69" t="s">
        <v>30918</v>
      </c>
      <c r="D7839" s="71"/>
      <c r="E7839" s="68" t="s">
        <v>30919</v>
      </c>
      <c r="F7839" s="76">
        <v>43241.0</v>
      </c>
      <c r="G7839" s="68" t="s">
        <v>30920</v>
      </c>
      <c r="H7839" s="68" t="s">
        <v>30921</v>
      </c>
      <c r="I7839" s="71"/>
      <c r="J7839" s="68" t="s">
        <v>30922</v>
      </c>
      <c r="K7839" s="76">
        <v>44294.0</v>
      </c>
      <c r="L7839" s="68" t="s">
        <v>2743</v>
      </c>
      <c r="M7839" s="68" t="s">
        <v>2291</v>
      </c>
      <c r="N7839" s="116"/>
      <c r="O7839" s="51"/>
    </row>
    <row r="7840">
      <c r="A7840" s="273"/>
      <c r="B7840" s="71"/>
      <c r="C7840" s="69" t="s">
        <v>30923</v>
      </c>
      <c r="D7840" s="71"/>
      <c r="E7840" s="68" t="s">
        <v>30924</v>
      </c>
      <c r="F7840" s="76">
        <v>44005.0</v>
      </c>
      <c r="G7840" s="68" t="s">
        <v>30925</v>
      </c>
      <c r="H7840" s="68" t="s">
        <v>30926</v>
      </c>
      <c r="I7840" s="68" t="s">
        <v>30927</v>
      </c>
      <c r="J7840" s="68" t="s">
        <v>30928</v>
      </c>
      <c r="K7840" s="76">
        <v>44294.0</v>
      </c>
      <c r="L7840" s="68" t="s">
        <v>2743</v>
      </c>
      <c r="M7840" s="68" t="s">
        <v>31</v>
      </c>
      <c r="N7840" s="116"/>
      <c r="O7840" s="51"/>
    </row>
    <row r="7841">
      <c r="A7841" s="273"/>
      <c r="B7841" s="71"/>
      <c r="C7841" s="69" t="s">
        <v>30929</v>
      </c>
      <c r="D7841" s="71"/>
      <c r="E7841" s="68" t="s">
        <v>30930</v>
      </c>
      <c r="F7841" s="76">
        <v>44263.0</v>
      </c>
      <c r="G7841" s="68" t="s">
        <v>30931</v>
      </c>
      <c r="H7841" s="68" t="s">
        <v>30932</v>
      </c>
      <c r="I7841" s="71"/>
      <c r="J7841" s="68" t="s">
        <v>30933</v>
      </c>
      <c r="K7841" s="76">
        <v>44309.0</v>
      </c>
      <c r="L7841" s="68" t="s">
        <v>30692</v>
      </c>
      <c r="M7841" s="68" t="s">
        <v>166</v>
      </c>
      <c r="N7841" s="116"/>
      <c r="O7841" s="51"/>
    </row>
    <row r="7842">
      <c r="A7842" s="273"/>
      <c r="B7842" s="71"/>
      <c r="C7842" s="69" t="s">
        <v>30934</v>
      </c>
      <c r="D7842" s="71"/>
      <c r="E7842" s="68" t="s">
        <v>30935</v>
      </c>
      <c r="F7842" s="76">
        <v>44226.0</v>
      </c>
      <c r="G7842" s="68" t="s">
        <v>30936</v>
      </c>
      <c r="H7842" s="68" t="s">
        <v>30937</v>
      </c>
      <c r="I7842" s="71"/>
      <c r="J7842" s="68" t="s">
        <v>30938</v>
      </c>
      <c r="K7842" s="76">
        <v>44312.0</v>
      </c>
      <c r="L7842" s="68" t="s">
        <v>2743</v>
      </c>
      <c r="M7842" s="68" t="s">
        <v>22473</v>
      </c>
      <c r="N7842" s="116"/>
      <c r="O7842" s="51"/>
    </row>
    <row r="7843">
      <c r="A7843" s="273"/>
      <c r="B7843" s="71"/>
      <c r="C7843" s="69" t="s">
        <v>30939</v>
      </c>
      <c r="D7843" s="71"/>
      <c r="E7843" s="68" t="s">
        <v>30940</v>
      </c>
      <c r="F7843" s="83">
        <v>44182.0</v>
      </c>
      <c r="G7843" s="68" t="s">
        <v>30941</v>
      </c>
      <c r="H7843" s="68" t="s">
        <v>30942</v>
      </c>
      <c r="I7843" s="71"/>
      <c r="J7843" s="68" t="s">
        <v>30943</v>
      </c>
      <c r="K7843" s="76">
        <v>44312.0</v>
      </c>
      <c r="L7843" s="68" t="s">
        <v>2743</v>
      </c>
      <c r="M7843" s="68" t="s">
        <v>201</v>
      </c>
      <c r="N7843" s="116"/>
      <c r="O7843" s="51"/>
    </row>
    <row r="7844">
      <c r="A7844" s="273"/>
      <c r="B7844" s="71"/>
      <c r="C7844" s="69" t="s">
        <v>30944</v>
      </c>
      <c r="D7844" s="71"/>
      <c r="E7844" s="68" t="s">
        <v>30945</v>
      </c>
      <c r="F7844" s="76">
        <v>44041.0</v>
      </c>
      <c r="G7844" s="68" t="s">
        <v>30946</v>
      </c>
      <c r="H7844" s="68" t="s">
        <v>30947</v>
      </c>
      <c r="I7844" s="71"/>
      <c r="J7844" s="68" t="s">
        <v>30948</v>
      </c>
      <c r="K7844" s="76">
        <v>44312.0</v>
      </c>
      <c r="L7844" s="68" t="s">
        <v>2743</v>
      </c>
      <c r="M7844" s="68" t="s">
        <v>27</v>
      </c>
      <c r="N7844" s="116"/>
      <c r="O7844" s="51"/>
    </row>
    <row r="7845">
      <c r="A7845" s="273"/>
      <c r="B7845" s="71"/>
      <c r="C7845" s="69" t="s">
        <v>30949</v>
      </c>
      <c r="D7845" s="71"/>
      <c r="E7845" s="68" t="s">
        <v>30950</v>
      </c>
      <c r="F7845" s="83">
        <v>43060.0</v>
      </c>
      <c r="G7845" s="68" t="s">
        <v>30951</v>
      </c>
      <c r="H7845" s="68" t="s">
        <v>30952</v>
      </c>
      <c r="I7845" s="71"/>
      <c r="J7845" s="68" t="s">
        <v>30953</v>
      </c>
      <c r="K7845" s="76">
        <v>44312.0</v>
      </c>
      <c r="L7845" s="68" t="s">
        <v>2743</v>
      </c>
      <c r="M7845" s="68" t="s">
        <v>27</v>
      </c>
      <c r="N7845" s="116"/>
      <c r="O7845" s="51"/>
    </row>
    <row r="7846">
      <c r="A7846" s="234"/>
      <c r="B7846" s="71"/>
      <c r="C7846" s="79" t="s">
        <v>30954</v>
      </c>
      <c r="D7846" s="82"/>
      <c r="E7846" s="63" t="s">
        <v>30955</v>
      </c>
      <c r="F7846" s="70">
        <v>42576.0</v>
      </c>
      <c r="G7846" s="63" t="s">
        <v>30956</v>
      </c>
      <c r="H7846" s="80" t="s">
        <v>30957</v>
      </c>
      <c r="I7846" s="82"/>
      <c r="J7846" s="63" t="s">
        <v>136</v>
      </c>
      <c r="K7846" s="81">
        <v>44312.0</v>
      </c>
      <c r="L7846" s="80" t="s">
        <v>2743</v>
      </c>
      <c r="M7846" s="80" t="s">
        <v>27615</v>
      </c>
      <c r="N7846" s="116"/>
      <c r="O7846" s="51"/>
    </row>
    <row r="7847">
      <c r="A7847" s="234"/>
      <c r="B7847" s="71"/>
      <c r="C7847" s="79" t="s">
        <v>30958</v>
      </c>
      <c r="D7847" s="82"/>
      <c r="E7847" s="63" t="s">
        <v>30959</v>
      </c>
      <c r="F7847" s="70">
        <v>41948.0</v>
      </c>
      <c r="G7847" s="63" t="s">
        <v>30960</v>
      </c>
      <c r="H7847" s="80" t="s">
        <v>30961</v>
      </c>
      <c r="I7847" s="82"/>
      <c r="J7847" s="63" t="s">
        <v>136</v>
      </c>
      <c r="K7847" s="81">
        <v>44312.0</v>
      </c>
      <c r="L7847" s="80" t="s">
        <v>2743</v>
      </c>
      <c r="M7847" s="80" t="s">
        <v>31</v>
      </c>
      <c r="N7847" s="116"/>
      <c r="O7847" s="51"/>
    </row>
    <row r="7848">
      <c r="A7848" s="273"/>
      <c r="B7848" s="71"/>
      <c r="C7848" s="69" t="s">
        <v>30962</v>
      </c>
      <c r="D7848" s="71"/>
      <c r="E7848" s="68" t="s">
        <v>30963</v>
      </c>
      <c r="F7848" s="76">
        <v>42408.0</v>
      </c>
      <c r="G7848" s="68" t="s">
        <v>30964</v>
      </c>
      <c r="H7848" s="68" t="s">
        <v>30965</v>
      </c>
      <c r="I7848" s="71"/>
      <c r="J7848" s="68" t="s">
        <v>30966</v>
      </c>
      <c r="K7848" s="76">
        <v>44312.0</v>
      </c>
      <c r="L7848" s="68" t="s">
        <v>2743</v>
      </c>
      <c r="M7848" s="68" t="s">
        <v>872</v>
      </c>
      <c r="N7848" s="116"/>
      <c r="O7848" s="51"/>
    </row>
    <row r="7849">
      <c r="A7849" s="273"/>
      <c r="B7849" s="71"/>
      <c r="C7849" s="69" t="s">
        <v>30967</v>
      </c>
      <c r="D7849" s="71"/>
      <c r="E7849" s="68" t="s">
        <v>30968</v>
      </c>
      <c r="F7849" s="76">
        <v>43907.0</v>
      </c>
      <c r="G7849" s="68" t="s">
        <v>30969</v>
      </c>
      <c r="H7849" s="68" t="s">
        <v>30970</v>
      </c>
      <c r="I7849" s="71"/>
      <c r="J7849" s="68" t="s">
        <v>30971</v>
      </c>
      <c r="K7849" s="76">
        <v>44313.0</v>
      </c>
      <c r="L7849" s="68" t="s">
        <v>2743</v>
      </c>
      <c r="M7849" s="68" t="s">
        <v>19204</v>
      </c>
      <c r="N7849" s="116"/>
      <c r="O7849" s="51"/>
    </row>
    <row r="7850">
      <c r="A7850" s="234"/>
      <c r="B7850" s="71"/>
      <c r="C7850" s="79" t="s">
        <v>30972</v>
      </c>
      <c r="D7850" s="82"/>
      <c r="E7850" s="63" t="s">
        <v>30973</v>
      </c>
      <c r="F7850" s="65">
        <v>40096.0</v>
      </c>
      <c r="G7850" s="63" t="s">
        <v>30974</v>
      </c>
      <c r="H7850" s="80" t="s">
        <v>30975</v>
      </c>
      <c r="I7850" s="82"/>
      <c r="J7850" s="63" t="s">
        <v>136</v>
      </c>
      <c r="K7850" s="81">
        <v>44313.0</v>
      </c>
      <c r="L7850" s="80" t="s">
        <v>2743</v>
      </c>
      <c r="M7850" s="80" t="s">
        <v>27</v>
      </c>
      <c r="N7850" s="116"/>
      <c r="O7850" s="51"/>
    </row>
    <row r="7851">
      <c r="A7851" s="234"/>
      <c r="B7851" s="71"/>
      <c r="C7851" s="79" t="s">
        <v>30976</v>
      </c>
      <c r="D7851" s="82"/>
      <c r="E7851" s="63" t="s">
        <v>30977</v>
      </c>
      <c r="F7851" s="70">
        <v>44069.0</v>
      </c>
      <c r="G7851" s="63" t="s">
        <v>30978</v>
      </c>
      <c r="H7851" s="80" t="s">
        <v>30979</v>
      </c>
      <c r="I7851" s="82"/>
      <c r="J7851" s="63" t="s">
        <v>136</v>
      </c>
      <c r="K7851" s="81">
        <v>44313.0</v>
      </c>
      <c r="L7851" s="80" t="s">
        <v>2743</v>
      </c>
      <c r="M7851" s="80" t="s">
        <v>166</v>
      </c>
      <c r="N7851" s="116"/>
      <c r="O7851" s="51"/>
    </row>
    <row r="7852">
      <c r="A7852" s="234"/>
      <c r="B7852" s="71"/>
      <c r="C7852" s="79" t="s">
        <v>30980</v>
      </c>
      <c r="D7852" s="82"/>
      <c r="E7852" s="63" t="s">
        <v>30981</v>
      </c>
      <c r="F7852" s="70">
        <v>44046.0</v>
      </c>
      <c r="G7852" s="63" t="s">
        <v>30982</v>
      </c>
      <c r="H7852" s="80" t="s">
        <v>30983</v>
      </c>
      <c r="I7852" s="82"/>
      <c r="J7852" s="63" t="s">
        <v>136</v>
      </c>
      <c r="K7852" s="81">
        <v>44313.0</v>
      </c>
      <c r="L7852" s="80" t="s">
        <v>2743</v>
      </c>
      <c r="M7852" s="80" t="s">
        <v>125</v>
      </c>
      <c r="N7852" s="116"/>
      <c r="O7852" s="51"/>
    </row>
    <row r="7853">
      <c r="A7853" s="273"/>
      <c r="B7853" s="71"/>
      <c r="C7853" s="69" t="s">
        <v>30984</v>
      </c>
      <c r="D7853" s="71"/>
      <c r="E7853" s="68" t="s">
        <v>30985</v>
      </c>
      <c r="F7853" s="76">
        <v>44062.0</v>
      </c>
      <c r="G7853" s="68" t="s">
        <v>30986</v>
      </c>
      <c r="H7853" s="68" t="s">
        <v>30987</v>
      </c>
      <c r="I7853" s="71"/>
      <c r="J7853" s="68" t="s">
        <v>30988</v>
      </c>
      <c r="K7853" s="76">
        <v>44313.0</v>
      </c>
      <c r="L7853" s="68" t="s">
        <v>2743</v>
      </c>
      <c r="M7853" s="68" t="s">
        <v>368</v>
      </c>
      <c r="N7853" s="116"/>
      <c r="O7853" s="51"/>
    </row>
    <row r="7854">
      <c r="A7854" s="234"/>
      <c r="B7854" s="71"/>
      <c r="C7854" s="79" t="s">
        <v>30989</v>
      </c>
      <c r="D7854" s="82"/>
      <c r="E7854" s="63" t="s">
        <v>30990</v>
      </c>
      <c r="F7854" s="65">
        <v>41996.0</v>
      </c>
      <c r="G7854" s="63" t="s">
        <v>30991</v>
      </c>
      <c r="H7854" s="80" t="s">
        <v>30992</v>
      </c>
      <c r="I7854" s="82"/>
      <c r="J7854" s="63" t="s">
        <v>136</v>
      </c>
      <c r="K7854" s="81">
        <v>44313.0</v>
      </c>
      <c r="L7854" s="80" t="s">
        <v>2743</v>
      </c>
      <c r="M7854" s="80" t="s">
        <v>149</v>
      </c>
      <c r="N7854" s="116"/>
      <c r="O7854" s="51"/>
    </row>
    <row r="7855">
      <c r="A7855" s="234"/>
      <c r="B7855" s="71"/>
      <c r="C7855" s="79" t="s">
        <v>30993</v>
      </c>
      <c r="D7855" s="82"/>
      <c r="E7855" s="63" t="s">
        <v>30994</v>
      </c>
      <c r="F7855" s="65">
        <v>41603.0</v>
      </c>
      <c r="G7855" s="63" t="s">
        <v>30995</v>
      </c>
      <c r="H7855" s="80" t="s">
        <v>30996</v>
      </c>
      <c r="I7855" s="82"/>
      <c r="J7855" s="63" t="s">
        <v>136</v>
      </c>
      <c r="K7855" s="81">
        <v>44314.0</v>
      </c>
      <c r="L7855" s="80" t="s">
        <v>2743</v>
      </c>
      <c r="M7855" s="80" t="s">
        <v>166</v>
      </c>
      <c r="N7855" s="116"/>
      <c r="O7855" s="51"/>
    </row>
    <row r="7856">
      <c r="A7856" s="273"/>
      <c r="B7856" s="71"/>
      <c r="C7856" s="69" t="s">
        <v>30997</v>
      </c>
      <c r="D7856" s="71"/>
      <c r="E7856" s="68" t="s">
        <v>12611</v>
      </c>
      <c r="F7856" s="76">
        <v>44292.0</v>
      </c>
      <c r="G7856" s="68" t="s">
        <v>30998</v>
      </c>
      <c r="H7856" s="68" t="s">
        <v>30999</v>
      </c>
      <c r="I7856" s="71"/>
      <c r="J7856" s="68" t="s">
        <v>31000</v>
      </c>
      <c r="K7856" s="76">
        <v>44314.0</v>
      </c>
      <c r="L7856" s="68" t="s">
        <v>2743</v>
      </c>
      <c r="M7856" s="68" t="s">
        <v>2291</v>
      </c>
      <c r="N7856" s="87" t="s">
        <v>31001</v>
      </c>
      <c r="O7856" s="51"/>
    </row>
    <row r="7857">
      <c r="A7857" s="273"/>
      <c r="B7857" s="71"/>
      <c r="C7857" s="69" t="s">
        <v>31002</v>
      </c>
      <c r="D7857" s="71"/>
      <c r="E7857" s="68" t="s">
        <v>31003</v>
      </c>
      <c r="F7857" s="83">
        <v>43432.0</v>
      </c>
      <c r="G7857" s="68" t="s">
        <v>31004</v>
      </c>
      <c r="H7857" s="68" t="s">
        <v>31005</v>
      </c>
      <c r="I7857" s="71"/>
      <c r="J7857" s="68" t="s">
        <v>31006</v>
      </c>
      <c r="K7857" s="76">
        <v>44322.0</v>
      </c>
      <c r="L7857" s="68" t="s">
        <v>2743</v>
      </c>
      <c r="M7857" s="68" t="s">
        <v>872</v>
      </c>
      <c r="N7857" s="87" t="s">
        <v>31007</v>
      </c>
      <c r="O7857" s="51"/>
    </row>
    <row r="7858">
      <c r="A7858" s="273"/>
      <c r="B7858" s="71"/>
      <c r="C7858" s="69" t="s">
        <v>31008</v>
      </c>
      <c r="D7858" s="71"/>
      <c r="E7858" s="68" t="s">
        <v>31009</v>
      </c>
      <c r="F7858" s="76">
        <v>44311.0</v>
      </c>
      <c r="G7858" s="68" t="s">
        <v>31010</v>
      </c>
      <c r="H7858" s="68" t="s">
        <v>31011</v>
      </c>
      <c r="I7858" s="71"/>
      <c r="J7858" s="68" t="s">
        <v>31012</v>
      </c>
      <c r="K7858" s="76">
        <v>44322.0</v>
      </c>
      <c r="L7858" s="68" t="s">
        <v>2743</v>
      </c>
      <c r="M7858" s="68" t="s">
        <v>31</v>
      </c>
      <c r="N7858" s="116"/>
      <c r="O7858" s="51"/>
    </row>
    <row r="7859">
      <c r="A7859" s="234"/>
      <c r="B7859" s="71"/>
      <c r="C7859" s="79" t="s">
        <v>31013</v>
      </c>
      <c r="D7859" s="82"/>
      <c r="E7859" s="63" t="s">
        <v>31014</v>
      </c>
      <c r="F7859" s="70">
        <v>43945.0</v>
      </c>
      <c r="G7859" s="63" t="s">
        <v>31015</v>
      </c>
      <c r="H7859" s="80" t="s">
        <v>31016</v>
      </c>
      <c r="I7859" s="82"/>
      <c r="J7859" s="63" t="s">
        <v>136</v>
      </c>
      <c r="K7859" s="81">
        <v>44322.0</v>
      </c>
      <c r="L7859" s="80" t="s">
        <v>2743</v>
      </c>
      <c r="M7859" s="80" t="s">
        <v>2152</v>
      </c>
      <c r="N7859" s="116"/>
      <c r="O7859" s="51"/>
    </row>
    <row r="7860">
      <c r="A7860" s="234"/>
      <c r="B7860" s="71"/>
      <c r="C7860" s="79" t="s">
        <v>31017</v>
      </c>
      <c r="D7860" s="82"/>
      <c r="E7860" s="63" t="s">
        <v>31018</v>
      </c>
      <c r="F7860" s="70">
        <v>43945.0</v>
      </c>
      <c r="G7860" s="63" t="s">
        <v>31019</v>
      </c>
      <c r="H7860" s="80" t="s">
        <v>31020</v>
      </c>
      <c r="I7860" s="82"/>
      <c r="J7860" s="63" t="s">
        <v>136</v>
      </c>
      <c r="K7860" s="81">
        <v>44322.0</v>
      </c>
      <c r="L7860" s="80" t="s">
        <v>2743</v>
      </c>
      <c r="M7860" s="80" t="s">
        <v>2152</v>
      </c>
      <c r="N7860" s="116"/>
      <c r="O7860" s="51"/>
    </row>
    <row r="7861">
      <c r="A7861" s="234"/>
      <c r="B7861" s="71"/>
      <c r="C7861" s="79" t="s">
        <v>31021</v>
      </c>
      <c r="D7861" s="82"/>
      <c r="E7861" s="63" t="s">
        <v>31022</v>
      </c>
      <c r="F7861" s="70">
        <v>43945.0</v>
      </c>
      <c r="G7861" s="63" t="s">
        <v>31019</v>
      </c>
      <c r="H7861" s="80" t="s">
        <v>31016</v>
      </c>
      <c r="I7861" s="82"/>
      <c r="J7861" s="63" t="s">
        <v>136</v>
      </c>
      <c r="K7861" s="81">
        <v>44322.0</v>
      </c>
      <c r="L7861" s="80" t="s">
        <v>2743</v>
      </c>
      <c r="M7861" s="80" t="s">
        <v>2152</v>
      </c>
      <c r="N7861" s="116"/>
      <c r="O7861" s="51"/>
    </row>
    <row r="7862">
      <c r="A7862" s="273"/>
      <c r="B7862" s="71"/>
      <c r="C7862" s="69" t="s">
        <v>31023</v>
      </c>
      <c r="D7862" s="71"/>
      <c r="E7862" s="68" t="s">
        <v>31024</v>
      </c>
      <c r="F7862" s="76">
        <v>43010.0</v>
      </c>
      <c r="G7862" s="68" t="s">
        <v>31025</v>
      </c>
      <c r="H7862" s="71"/>
      <c r="I7862" s="71"/>
      <c r="J7862" s="68" t="s">
        <v>31026</v>
      </c>
      <c r="K7862" s="76">
        <v>43573.0</v>
      </c>
      <c r="L7862" s="71"/>
      <c r="M7862" s="68" t="s">
        <v>27</v>
      </c>
      <c r="N7862" s="116"/>
      <c r="O7862" s="51"/>
    </row>
    <row r="7863">
      <c r="A7863" s="273"/>
      <c r="B7863" s="71"/>
      <c r="C7863" s="69" t="s">
        <v>31027</v>
      </c>
      <c r="D7863" s="71"/>
      <c r="E7863" s="68" t="s">
        <v>31028</v>
      </c>
      <c r="F7863" s="76">
        <v>42860.0</v>
      </c>
      <c r="G7863" s="68" t="s">
        <v>30567</v>
      </c>
      <c r="H7863" s="71"/>
      <c r="I7863" s="71"/>
      <c r="J7863" s="68" t="s">
        <v>31029</v>
      </c>
      <c r="K7863" s="76">
        <v>43573.0</v>
      </c>
      <c r="L7863" s="71"/>
      <c r="M7863" s="68" t="s">
        <v>27</v>
      </c>
      <c r="N7863" s="116"/>
      <c r="O7863" s="51"/>
    </row>
    <row r="7864">
      <c r="A7864" s="273"/>
      <c r="B7864" s="71"/>
      <c r="C7864" s="69" t="s">
        <v>31030</v>
      </c>
      <c r="D7864" s="71"/>
      <c r="E7864" s="68" t="s">
        <v>31031</v>
      </c>
      <c r="F7864" s="76">
        <v>42860.0</v>
      </c>
      <c r="G7864" s="68" t="s">
        <v>30567</v>
      </c>
      <c r="H7864" s="71"/>
      <c r="I7864" s="71"/>
      <c r="J7864" s="68" t="s">
        <v>31032</v>
      </c>
      <c r="K7864" s="76">
        <v>43573.0</v>
      </c>
      <c r="L7864" s="68" t="s">
        <v>2743</v>
      </c>
      <c r="M7864" s="68" t="s">
        <v>27</v>
      </c>
      <c r="N7864" s="116"/>
      <c r="O7864" s="51"/>
    </row>
    <row r="7865">
      <c r="A7865" s="273"/>
      <c r="B7865" s="71"/>
      <c r="C7865" s="69" t="s">
        <v>31033</v>
      </c>
      <c r="D7865" s="71"/>
      <c r="E7865" s="68" t="s">
        <v>31034</v>
      </c>
      <c r="F7865" s="76">
        <v>42860.0</v>
      </c>
      <c r="G7865" s="68" t="s">
        <v>30567</v>
      </c>
      <c r="H7865" s="71"/>
      <c r="I7865" s="71"/>
      <c r="J7865" s="68" t="s">
        <v>31035</v>
      </c>
      <c r="K7865" s="76">
        <v>43573.0</v>
      </c>
      <c r="L7865" s="68" t="s">
        <v>2743</v>
      </c>
      <c r="M7865" s="68" t="s">
        <v>27</v>
      </c>
      <c r="N7865" s="116"/>
      <c r="O7865" s="51"/>
    </row>
    <row r="7866">
      <c r="A7866" s="273"/>
      <c r="B7866" s="71"/>
      <c r="C7866" s="69" t="s">
        <v>31036</v>
      </c>
      <c r="D7866" s="71"/>
      <c r="E7866" s="68" t="s">
        <v>31037</v>
      </c>
      <c r="F7866" s="76">
        <v>42874.0</v>
      </c>
      <c r="G7866" s="68" t="s">
        <v>31038</v>
      </c>
      <c r="H7866" s="71"/>
      <c r="I7866" s="71"/>
      <c r="J7866" s="68" t="s">
        <v>31039</v>
      </c>
      <c r="K7866" s="76">
        <v>43573.0</v>
      </c>
      <c r="L7866" s="71"/>
      <c r="M7866" s="68" t="s">
        <v>27</v>
      </c>
      <c r="N7866" s="116"/>
      <c r="O7866" s="51"/>
    </row>
    <row r="7867">
      <c r="A7867" s="273"/>
      <c r="B7867" s="71"/>
      <c r="C7867" s="69" t="s">
        <v>31040</v>
      </c>
      <c r="D7867" s="71"/>
      <c r="E7867" s="68" t="s">
        <v>31041</v>
      </c>
      <c r="F7867" s="76">
        <v>42886.0</v>
      </c>
      <c r="G7867" s="68" t="s">
        <v>30567</v>
      </c>
      <c r="H7867" s="71"/>
      <c r="I7867" s="71"/>
      <c r="J7867" s="68" t="s">
        <v>31042</v>
      </c>
      <c r="K7867" s="76">
        <v>43573.0</v>
      </c>
      <c r="L7867" s="71"/>
      <c r="M7867" s="68" t="s">
        <v>27</v>
      </c>
      <c r="N7867" s="116"/>
      <c r="O7867" s="51"/>
    </row>
    <row r="7868">
      <c r="A7868" s="273"/>
      <c r="B7868" s="71"/>
      <c r="C7868" s="69" t="s">
        <v>31043</v>
      </c>
      <c r="D7868" s="71"/>
      <c r="E7868" s="68" t="s">
        <v>31044</v>
      </c>
      <c r="F7868" s="76">
        <v>42886.0</v>
      </c>
      <c r="G7868" s="68" t="s">
        <v>30567</v>
      </c>
      <c r="H7868" s="71"/>
      <c r="I7868" s="71"/>
      <c r="J7868" s="68" t="s">
        <v>31045</v>
      </c>
      <c r="K7868" s="76">
        <v>43573.0</v>
      </c>
      <c r="L7868" s="71"/>
      <c r="M7868" s="68" t="s">
        <v>27</v>
      </c>
      <c r="N7868" s="116"/>
      <c r="O7868" s="51"/>
    </row>
    <row r="7869">
      <c r="A7869" s="273"/>
      <c r="B7869" s="71"/>
      <c r="C7869" s="69" t="s">
        <v>31046</v>
      </c>
      <c r="D7869" s="71"/>
      <c r="E7869" s="68" t="s">
        <v>31047</v>
      </c>
      <c r="F7869" s="76">
        <v>42886.0</v>
      </c>
      <c r="G7869" s="68" t="s">
        <v>30567</v>
      </c>
      <c r="H7869" s="71"/>
      <c r="I7869" s="71"/>
      <c r="J7869" s="68" t="s">
        <v>31048</v>
      </c>
      <c r="K7869" s="76">
        <v>43573.0</v>
      </c>
      <c r="L7869" s="71"/>
      <c r="M7869" s="68" t="s">
        <v>27</v>
      </c>
      <c r="N7869" s="116"/>
      <c r="O7869" s="51"/>
    </row>
    <row r="7870">
      <c r="A7870" s="273"/>
      <c r="B7870" s="71"/>
      <c r="C7870" s="69" t="s">
        <v>31049</v>
      </c>
      <c r="D7870" s="71"/>
      <c r="E7870" s="68" t="s">
        <v>31050</v>
      </c>
      <c r="F7870" s="76">
        <v>42814.0</v>
      </c>
      <c r="G7870" s="68" t="s">
        <v>30585</v>
      </c>
      <c r="H7870" s="71"/>
      <c r="I7870" s="71"/>
      <c r="J7870" s="68" t="s">
        <v>31051</v>
      </c>
      <c r="K7870" s="76">
        <v>43573.0</v>
      </c>
      <c r="L7870" s="71"/>
      <c r="M7870" s="68" t="s">
        <v>27</v>
      </c>
      <c r="N7870" s="116"/>
      <c r="O7870" s="51"/>
    </row>
    <row r="7871">
      <c r="A7871" s="273"/>
      <c r="B7871" s="71"/>
      <c r="C7871" s="69" t="s">
        <v>31052</v>
      </c>
      <c r="D7871" s="71"/>
      <c r="E7871" s="68" t="s">
        <v>31053</v>
      </c>
      <c r="F7871" s="76">
        <v>42814.0</v>
      </c>
      <c r="G7871" s="68" t="s">
        <v>30585</v>
      </c>
      <c r="H7871" s="71"/>
      <c r="I7871" s="71"/>
      <c r="J7871" s="68" t="s">
        <v>31054</v>
      </c>
      <c r="K7871" s="76">
        <v>43573.0</v>
      </c>
      <c r="L7871" s="71"/>
      <c r="M7871" s="68" t="s">
        <v>27</v>
      </c>
      <c r="N7871" s="116"/>
      <c r="O7871" s="51"/>
    </row>
    <row r="7872">
      <c r="A7872" s="273"/>
      <c r="B7872" s="71"/>
      <c r="C7872" s="69" t="s">
        <v>31055</v>
      </c>
      <c r="D7872" s="71"/>
      <c r="E7872" s="68" t="s">
        <v>31056</v>
      </c>
      <c r="F7872" s="76">
        <v>42822.0</v>
      </c>
      <c r="G7872" s="68" t="s">
        <v>30539</v>
      </c>
      <c r="H7872" s="71"/>
      <c r="I7872" s="71"/>
      <c r="J7872" s="68" t="s">
        <v>31057</v>
      </c>
      <c r="K7872" s="76">
        <v>43573.0</v>
      </c>
      <c r="L7872" s="71"/>
      <c r="M7872" s="68" t="s">
        <v>27</v>
      </c>
      <c r="N7872" s="116"/>
      <c r="O7872" s="51"/>
    </row>
    <row r="7873">
      <c r="A7873" s="273"/>
      <c r="B7873" s="71"/>
      <c r="C7873" s="69" t="s">
        <v>31058</v>
      </c>
      <c r="D7873" s="71"/>
      <c r="E7873" s="68" t="s">
        <v>31059</v>
      </c>
      <c r="F7873" s="76">
        <v>42821.0</v>
      </c>
      <c r="G7873" s="68" t="s">
        <v>31060</v>
      </c>
      <c r="H7873" s="71"/>
      <c r="I7873" s="71"/>
      <c r="J7873" s="68" t="s">
        <v>31061</v>
      </c>
      <c r="K7873" s="76">
        <v>43573.0</v>
      </c>
      <c r="L7873" s="71"/>
      <c r="M7873" s="68" t="s">
        <v>27</v>
      </c>
      <c r="N7873" s="116"/>
      <c r="O7873" s="51"/>
    </row>
    <row r="7874">
      <c r="A7874" s="273"/>
      <c r="B7874" s="71"/>
      <c r="C7874" s="69" t="s">
        <v>31062</v>
      </c>
      <c r="D7874" s="71"/>
      <c r="E7874" s="68" t="s">
        <v>31063</v>
      </c>
      <c r="F7874" s="76">
        <v>42829.0</v>
      </c>
      <c r="G7874" s="68" t="s">
        <v>31064</v>
      </c>
      <c r="H7874" s="71"/>
      <c r="I7874" s="71"/>
      <c r="J7874" s="68" t="s">
        <v>31065</v>
      </c>
      <c r="K7874" s="76">
        <v>43573.0</v>
      </c>
      <c r="L7874" s="71"/>
      <c r="M7874" s="68" t="s">
        <v>27</v>
      </c>
      <c r="N7874" s="116"/>
      <c r="O7874" s="51"/>
    </row>
    <row r="7875">
      <c r="A7875" s="273"/>
      <c r="B7875" s="71"/>
      <c r="C7875" s="69" t="s">
        <v>31066</v>
      </c>
      <c r="D7875" s="71"/>
      <c r="E7875" s="68" t="s">
        <v>31067</v>
      </c>
      <c r="F7875" s="76">
        <v>42829.0</v>
      </c>
      <c r="G7875" s="68" t="s">
        <v>31068</v>
      </c>
      <c r="H7875" s="71"/>
      <c r="I7875" s="71"/>
      <c r="J7875" s="68" t="s">
        <v>31069</v>
      </c>
      <c r="K7875" s="76">
        <v>43573.0</v>
      </c>
      <c r="L7875" s="71"/>
      <c r="M7875" s="68" t="s">
        <v>27</v>
      </c>
      <c r="N7875" s="116"/>
      <c r="O7875" s="51"/>
    </row>
    <row r="7876">
      <c r="A7876" s="273"/>
      <c r="B7876" s="71"/>
      <c r="C7876" s="69" t="s">
        <v>31070</v>
      </c>
      <c r="D7876" s="71"/>
      <c r="E7876" s="68" t="s">
        <v>30525</v>
      </c>
      <c r="F7876" s="76">
        <v>42829.0</v>
      </c>
      <c r="G7876" s="68" t="s">
        <v>31068</v>
      </c>
      <c r="H7876" s="71"/>
      <c r="I7876" s="71"/>
      <c r="J7876" s="68" t="s">
        <v>30526</v>
      </c>
      <c r="K7876" s="76">
        <v>43573.0</v>
      </c>
      <c r="L7876" s="71"/>
      <c r="M7876" s="68" t="s">
        <v>27</v>
      </c>
      <c r="N7876" s="116"/>
      <c r="O7876" s="51"/>
    </row>
    <row r="7877">
      <c r="A7877" s="273"/>
      <c r="B7877" s="71"/>
      <c r="C7877" s="69" t="s">
        <v>31071</v>
      </c>
      <c r="D7877" s="71"/>
      <c r="E7877" s="68" t="s">
        <v>31072</v>
      </c>
      <c r="F7877" s="76">
        <v>42829.0</v>
      </c>
      <c r="G7877" s="68" t="s">
        <v>31064</v>
      </c>
      <c r="H7877" s="71"/>
      <c r="I7877" s="71"/>
      <c r="J7877" s="68" t="s">
        <v>31073</v>
      </c>
      <c r="K7877" s="76">
        <v>43573.0</v>
      </c>
      <c r="L7877" s="71"/>
      <c r="M7877" s="68" t="s">
        <v>27</v>
      </c>
      <c r="N7877" s="116"/>
      <c r="O7877" s="51"/>
    </row>
    <row r="7878">
      <c r="A7878" s="273"/>
      <c r="B7878" s="71"/>
      <c r="C7878" s="69" t="s">
        <v>31074</v>
      </c>
      <c r="D7878" s="71"/>
      <c r="E7878" s="68" t="s">
        <v>31075</v>
      </c>
      <c r="F7878" s="76">
        <v>42829.0</v>
      </c>
      <c r="G7878" s="68" t="s">
        <v>31064</v>
      </c>
      <c r="H7878" s="71"/>
      <c r="I7878" s="71"/>
      <c r="J7878" s="68" t="s">
        <v>31076</v>
      </c>
      <c r="K7878" s="76">
        <v>43573.0</v>
      </c>
      <c r="L7878" s="71"/>
      <c r="M7878" s="68" t="s">
        <v>27</v>
      </c>
      <c r="N7878" s="116"/>
      <c r="O7878" s="51"/>
    </row>
    <row r="7879">
      <c r="A7879" s="273"/>
      <c r="B7879" s="71"/>
      <c r="C7879" s="69" t="s">
        <v>31077</v>
      </c>
      <c r="D7879" s="71"/>
      <c r="E7879" s="68" t="s">
        <v>31078</v>
      </c>
      <c r="F7879" s="76">
        <v>42829.0</v>
      </c>
      <c r="G7879" s="68" t="s">
        <v>31064</v>
      </c>
      <c r="H7879" s="71"/>
      <c r="I7879" s="71"/>
      <c r="J7879" s="68" t="s">
        <v>31079</v>
      </c>
      <c r="K7879" s="76">
        <v>43573.0</v>
      </c>
      <c r="L7879" s="71"/>
      <c r="M7879" s="68" t="s">
        <v>27</v>
      </c>
      <c r="N7879" s="116"/>
      <c r="O7879" s="51"/>
    </row>
    <row r="7880">
      <c r="A7880" s="273"/>
      <c r="B7880" s="71"/>
      <c r="C7880" s="69" t="s">
        <v>31080</v>
      </c>
      <c r="D7880" s="71"/>
      <c r="E7880" s="68" t="s">
        <v>31081</v>
      </c>
      <c r="F7880" s="76">
        <v>42829.0</v>
      </c>
      <c r="G7880" s="68" t="s">
        <v>31064</v>
      </c>
      <c r="H7880" s="71"/>
      <c r="I7880" s="71"/>
      <c r="J7880" s="68" t="s">
        <v>31082</v>
      </c>
      <c r="K7880" s="76">
        <v>43573.0</v>
      </c>
      <c r="L7880" s="71"/>
      <c r="M7880" s="68" t="s">
        <v>27</v>
      </c>
      <c r="N7880" s="116"/>
      <c r="O7880" s="51"/>
    </row>
    <row r="7881">
      <c r="A7881" s="273"/>
      <c r="B7881" s="71"/>
      <c r="C7881" s="69" t="s">
        <v>31083</v>
      </c>
      <c r="D7881" s="71"/>
      <c r="E7881" s="68" t="s">
        <v>31084</v>
      </c>
      <c r="F7881" s="76">
        <v>42829.0</v>
      </c>
      <c r="G7881" s="68" t="s">
        <v>31064</v>
      </c>
      <c r="H7881" s="71"/>
      <c r="I7881" s="71"/>
      <c r="J7881" s="68" t="s">
        <v>31085</v>
      </c>
      <c r="K7881" s="76">
        <v>43573.0</v>
      </c>
      <c r="L7881" s="71"/>
      <c r="M7881" s="68" t="s">
        <v>27</v>
      </c>
      <c r="N7881" s="116"/>
      <c r="O7881" s="51"/>
    </row>
    <row r="7882">
      <c r="A7882" s="273"/>
      <c r="B7882" s="71"/>
      <c r="C7882" s="69" t="s">
        <v>31086</v>
      </c>
      <c r="D7882" s="71"/>
      <c r="E7882" s="68" t="s">
        <v>31087</v>
      </c>
      <c r="F7882" s="76">
        <v>42829.0</v>
      </c>
      <c r="G7882" s="68" t="s">
        <v>31064</v>
      </c>
      <c r="H7882" s="71"/>
      <c r="I7882" s="71"/>
      <c r="J7882" s="68" t="s">
        <v>31088</v>
      </c>
      <c r="K7882" s="76">
        <v>43573.0</v>
      </c>
      <c r="L7882" s="71"/>
      <c r="M7882" s="68" t="s">
        <v>27</v>
      </c>
      <c r="N7882" s="116"/>
      <c r="O7882" s="51"/>
    </row>
    <row r="7883">
      <c r="A7883" s="273"/>
      <c r="B7883" s="71"/>
      <c r="C7883" s="69" t="s">
        <v>31089</v>
      </c>
      <c r="D7883" s="71"/>
      <c r="E7883" s="68" t="s">
        <v>31090</v>
      </c>
      <c r="F7883" s="76">
        <v>42843.0</v>
      </c>
      <c r="G7883" s="68" t="s">
        <v>31091</v>
      </c>
      <c r="H7883" s="71"/>
      <c r="I7883" s="71"/>
      <c r="J7883" s="68" t="s">
        <v>31092</v>
      </c>
      <c r="K7883" s="76">
        <v>43573.0</v>
      </c>
      <c r="L7883" s="71"/>
      <c r="M7883" s="68" t="s">
        <v>27</v>
      </c>
      <c r="N7883" s="116"/>
      <c r="O7883" s="51"/>
    </row>
    <row r="7884">
      <c r="A7884" s="273"/>
      <c r="B7884" s="71"/>
      <c r="C7884" s="69" t="s">
        <v>31093</v>
      </c>
      <c r="D7884" s="71"/>
      <c r="E7884" s="68" t="s">
        <v>31094</v>
      </c>
      <c r="F7884" s="76">
        <v>42843.0</v>
      </c>
      <c r="G7884" s="68" t="s">
        <v>31091</v>
      </c>
      <c r="H7884" s="71"/>
      <c r="I7884" s="71"/>
      <c r="J7884" s="68" t="s">
        <v>31095</v>
      </c>
      <c r="K7884" s="76">
        <v>43573.0</v>
      </c>
      <c r="L7884" s="71"/>
      <c r="M7884" s="68" t="s">
        <v>27</v>
      </c>
      <c r="N7884" s="116"/>
      <c r="O7884" s="51"/>
    </row>
    <row r="7885">
      <c r="A7885" s="273"/>
      <c r="B7885" s="71"/>
      <c r="C7885" s="69" t="s">
        <v>31096</v>
      </c>
      <c r="D7885" s="71"/>
      <c r="E7885" s="68" t="s">
        <v>31097</v>
      </c>
      <c r="F7885" s="76">
        <v>42838.0</v>
      </c>
      <c r="G7885" s="68" t="s">
        <v>31098</v>
      </c>
      <c r="H7885" s="71"/>
      <c r="I7885" s="71"/>
      <c r="J7885" s="68" t="s">
        <v>31099</v>
      </c>
      <c r="K7885" s="76">
        <v>43573.0</v>
      </c>
      <c r="L7885" s="71"/>
      <c r="M7885" s="68" t="s">
        <v>27</v>
      </c>
      <c r="N7885" s="116"/>
      <c r="O7885" s="51"/>
    </row>
    <row r="7886">
      <c r="A7886" s="273"/>
      <c r="B7886" s="71"/>
      <c r="C7886" s="69" t="s">
        <v>31100</v>
      </c>
      <c r="D7886" s="71"/>
      <c r="E7886" s="68" t="s">
        <v>31101</v>
      </c>
      <c r="F7886" s="76">
        <v>42838.0</v>
      </c>
      <c r="G7886" s="68" t="s">
        <v>31098</v>
      </c>
      <c r="H7886" s="71"/>
      <c r="I7886" s="71"/>
      <c r="J7886" s="68" t="s">
        <v>31102</v>
      </c>
      <c r="K7886" s="76">
        <v>43573.0</v>
      </c>
      <c r="L7886" s="71"/>
      <c r="M7886" s="68" t="s">
        <v>27</v>
      </c>
      <c r="N7886" s="116"/>
      <c r="O7886" s="51"/>
    </row>
    <row r="7887">
      <c r="A7887" s="273"/>
      <c r="B7887" s="71"/>
      <c r="C7887" s="69" t="s">
        <v>31103</v>
      </c>
      <c r="D7887" s="71"/>
      <c r="E7887" s="68" t="s">
        <v>31104</v>
      </c>
      <c r="F7887" s="76">
        <v>42899.0</v>
      </c>
      <c r="G7887" s="68" t="s">
        <v>31105</v>
      </c>
      <c r="H7887" s="71"/>
      <c r="I7887" s="71"/>
      <c r="J7887" s="68" t="s">
        <v>31106</v>
      </c>
      <c r="K7887" s="76">
        <v>43573.0</v>
      </c>
      <c r="L7887" s="71"/>
      <c r="M7887" s="68" t="s">
        <v>27</v>
      </c>
      <c r="N7887" s="116"/>
      <c r="O7887" s="51"/>
    </row>
    <row r="7888">
      <c r="A7888" s="273"/>
      <c r="B7888" s="71"/>
      <c r="C7888" s="69" t="s">
        <v>31107</v>
      </c>
      <c r="D7888" s="71"/>
      <c r="E7888" s="68" t="s">
        <v>31108</v>
      </c>
      <c r="F7888" s="76">
        <v>42904.0</v>
      </c>
      <c r="G7888" s="68" t="s">
        <v>31109</v>
      </c>
      <c r="H7888" s="71"/>
      <c r="I7888" s="71"/>
      <c r="J7888" s="68" t="s">
        <v>31110</v>
      </c>
      <c r="K7888" s="76">
        <v>43573.0</v>
      </c>
      <c r="L7888" s="71"/>
      <c r="M7888" s="68" t="s">
        <v>27</v>
      </c>
      <c r="N7888" s="116"/>
      <c r="O7888" s="51"/>
    </row>
    <row r="7889">
      <c r="A7889" s="273"/>
      <c r="B7889" s="71"/>
      <c r="C7889" s="69" t="s">
        <v>31111</v>
      </c>
      <c r="D7889" s="71"/>
      <c r="E7889" s="68" t="s">
        <v>31112</v>
      </c>
      <c r="F7889" s="76">
        <v>42904.0</v>
      </c>
      <c r="G7889" s="68" t="s">
        <v>31109</v>
      </c>
      <c r="H7889" s="71"/>
      <c r="I7889" s="71"/>
      <c r="J7889" s="68" t="s">
        <v>31113</v>
      </c>
      <c r="K7889" s="76">
        <v>43573.0</v>
      </c>
      <c r="L7889" s="71"/>
      <c r="M7889" s="68" t="s">
        <v>27</v>
      </c>
      <c r="N7889" s="116"/>
      <c r="O7889" s="51"/>
    </row>
    <row r="7890">
      <c r="A7890" s="273"/>
      <c r="B7890" s="71"/>
      <c r="C7890" s="69" t="s">
        <v>31114</v>
      </c>
      <c r="D7890" s="71"/>
      <c r="E7890" s="68" t="s">
        <v>31115</v>
      </c>
      <c r="F7890" s="76">
        <v>42903.0</v>
      </c>
      <c r="G7890" s="68" t="s">
        <v>31116</v>
      </c>
      <c r="H7890" s="71"/>
      <c r="I7890" s="71"/>
      <c r="J7890" s="68" t="s">
        <v>31117</v>
      </c>
      <c r="K7890" s="71"/>
      <c r="L7890" s="71"/>
      <c r="M7890" s="68" t="s">
        <v>27</v>
      </c>
      <c r="N7890" s="116"/>
      <c r="O7890" s="51"/>
    </row>
    <row r="7891">
      <c r="A7891" s="273"/>
      <c r="B7891" s="71"/>
      <c r="C7891" s="69" t="s">
        <v>31118</v>
      </c>
      <c r="D7891" s="71"/>
      <c r="E7891" s="68" t="s">
        <v>31119</v>
      </c>
      <c r="F7891" s="76">
        <v>42902.0</v>
      </c>
      <c r="G7891" s="68" t="s">
        <v>30504</v>
      </c>
      <c r="H7891" s="71"/>
      <c r="I7891" s="71"/>
      <c r="J7891" s="68" t="s">
        <v>31120</v>
      </c>
      <c r="K7891" s="71"/>
      <c r="L7891" s="71"/>
      <c r="M7891" s="68" t="s">
        <v>27</v>
      </c>
      <c r="N7891" s="116"/>
      <c r="O7891" s="51"/>
    </row>
    <row r="7892">
      <c r="A7892" s="273"/>
      <c r="B7892" s="71"/>
      <c r="C7892" s="69" t="s">
        <v>31121</v>
      </c>
      <c r="D7892" s="71"/>
      <c r="E7892" s="68" t="s">
        <v>31122</v>
      </c>
      <c r="F7892" s="76">
        <v>42911.0</v>
      </c>
      <c r="G7892" s="68" t="s">
        <v>31123</v>
      </c>
      <c r="H7892" s="71"/>
      <c r="I7892" s="71"/>
      <c r="J7892" s="68" t="s">
        <v>31124</v>
      </c>
      <c r="K7892" s="71"/>
      <c r="L7892" s="71"/>
      <c r="M7892" s="68" t="s">
        <v>27</v>
      </c>
      <c r="N7892" s="116"/>
      <c r="O7892" s="51"/>
    </row>
    <row r="7893">
      <c r="A7893" s="273"/>
      <c r="B7893" s="71"/>
      <c r="C7893" s="69" t="s">
        <v>31125</v>
      </c>
      <c r="D7893" s="71"/>
      <c r="E7893" s="68" t="s">
        <v>31126</v>
      </c>
      <c r="F7893" s="76">
        <v>42915.0</v>
      </c>
      <c r="G7893" s="68" t="s">
        <v>31127</v>
      </c>
      <c r="H7893" s="71"/>
      <c r="I7893" s="71"/>
      <c r="J7893" s="68" t="s">
        <v>31128</v>
      </c>
      <c r="K7893" s="71"/>
      <c r="L7893" s="71"/>
      <c r="M7893" s="68" t="s">
        <v>27</v>
      </c>
      <c r="N7893" s="116"/>
      <c r="O7893" s="51"/>
    </row>
    <row r="7894">
      <c r="A7894" s="273"/>
      <c r="B7894" s="71"/>
      <c r="C7894" s="69" t="s">
        <v>31129</v>
      </c>
      <c r="D7894" s="71"/>
      <c r="E7894" s="68" t="s">
        <v>31130</v>
      </c>
      <c r="F7894" s="76">
        <v>42915.0</v>
      </c>
      <c r="G7894" s="68" t="s">
        <v>31127</v>
      </c>
      <c r="H7894" s="71"/>
      <c r="I7894" s="71"/>
      <c r="J7894" s="68" t="s">
        <v>31131</v>
      </c>
      <c r="K7894" s="71"/>
      <c r="L7894" s="71"/>
      <c r="M7894" s="68" t="s">
        <v>27</v>
      </c>
      <c r="N7894" s="116"/>
      <c r="O7894" s="51"/>
    </row>
    <row r="7895">
      <c r="A7895" s="273"/>
      <c r="B7895" s="71"/>
      <c r="C7895" s="69" t="s">
        <v>31132</v>
      </c>
      <c r="D7895" s="71"/>
      <c r="E7895" s="68" t="s">
        <v>31133</v>
      </c>
      <c r="F7895" s="76">
        <v>42915.0</v>
      </c>
      <c r="G7895" s="68" t="s">
        <v>31127</v>
      </c>
      <c r="H7895" s="71"/>
      <c r="I7895" s="71"/>
      <c r="J7895" s="68" t="s">
        <v>31134</v>
      </c>
      <c r="K7895" s="71"/>
      <c r="L7895" s="71"/>
      <c r="M7895" s="68" t="s">
        <v>27</v>
      </c>
      <c r="N7895" s="116"/>
      <c r="O7895" s="51"/>
    </row>
    <row r="7896">
      <c r="A7896" s="273"/>
      <c r="B7896" s="71"/>
      <c r="C7896" s="69" t="s">
        <v>31135</v>
      </c>
      <c r="D7896" s="71"/>
      <c r="E7896" s="68" t="s">
        <v>31136</v>
      </c>
      <c r="F7896" s="76">
        <v>42915.0</v>
      </c>
      <c r="G7896" s="68" t="s">
        <v>31127</v>
      </c>
      <c r="H7896" s="71"/>
      <c r="I7896" s="71"/>
      <c r="J7896" s="68" t="s">
        <v>31137</v>
      </c>
      <c r="K7896" s="71"/>
      <c r="L7896" s="71"/>
      <c r="M7896" s="68" t="s">
        <v>27</v>
      </c>
      <c r="N7896" s="116"/>
      <c r="O7896" s="51"/>
    </row>
    <row r="7897">
      <c r="A7897" s="273"/>
      <c r="B7897" s="71"/>
      <c r="C7897" s="69" t="s">
        <v>31138</v>
      </c>
      <c r="D7897" s="71"/>
      <c r="E7897" s="68" t="s">
        <v>31139</v>
      </c>
      <c r="F7897" s="76">
        <v>42915.0</v>
      </c>
      <c r="G7897" s="68" t="s">
        <v>31127</v>
      </c>
      <c r="H7897" s="71"/>
      <c r="I7897" s="71"/>
      <c r="J7897" s="68" t="s">
        <v>31140</v>
      </c>
      <c r="K7897" s="71"/>
      <c r="L7897" s="71"/>
      <c r="M7897" s="68" t="s">
        <v>27</v>
      </c>
      <c r="N7897" s="116"/>
      <c r="O7897" s="51"/>
    </row>
    <row r="7898">
      <c r="A7898" s="273"/>
      <c r="B7898" s="71"/>
      <c r="C7898" s="69" t="s">
        <v>31141</v>
      </c>
      <c r="D7898" s="71"/>
      <c r="E7898" s="68" t="s">
        <v>31142</v>
      </c>
      <c r="F7898" s="76">
        <v>42801.0</v>
      </c>
      <c r="G7898" s="68" t="s">
        <v>31064</v>
      </c>
      <c r="H7898" s="71"/>
      <c r="I7898" s="71"/>
      <c r="J7898" s="68" t="s">
        <v>31143</v>
      </c>
      <c r="K7898" s="71"/>
      <c r="L7898" s="71"/>
      <c r="M7898" s="68" t="s">
        <v>27</v>
      </c>
      <c r="N7898" s="116"/>
      <c r="O7898" s="51"/>
    </row>
    <row r="7899">
      <c r="A7899" s="273"/>
      <c r="B7899" s="71"/>
      <c r="C7899" s="69" t="s">
        <v>31144</v>
      </c>
      <c r="D7899" s="71"/>
      <c r="E7899" s="68" t="s">
        <v>31145</v>
      </c>
      <c r="F7899" s="76">
        <v>42915.0</v>
      </c>
      <c r="G7899" s="68" t="s">
        <v>31146</v>
      </c>
      <c r="H7899" s="71"/>
      <c r="I7899" s="71"/>
      <c r="J7899" s="68" t="s">
        <v>31147</v>
      </c>
      <c r="K7899" s="71"/>
      <c r="L7899" s="71"/>
      <c r="M7899" s="68" t="s">
        <v>27</v>
      </c>
      <c r="N7899" s="116"/>
      <c r="O7899" s="51"/>
    </row>
    <row r="7900">
      <c r="A7900" s="273"/>
      <c r="B7900" s="71"/>
      <c r="C7900" s="69" t="s">
        <v>31148</v>
      </c>
      <c r="D7900" s="71"/>
      <c r="E7900" s="68" t="s">
        <v>31149</v>
      </c>
      <c r="F7900" s="76">
        <v>42915.0</v>
      </c>
      <c r="G7900" s="68" t="s">
        <v>31146</v>
      </c>
      <c r="H7900" s="71"/>
      <c r="I7900" s="71"/>
      <c r="J7900" s="68" t="s">
        <v>31150</v>
      </c>
      <c r="K7900" s="71"/>
      <c r="L7900" s="71"/>
      <c r="M7900" s="68" t="s">
        <v>27</v>
      </c>
      <c r="N7900" s="116"/>
      <c r="O7900" s="51"/>
    </row>
    <row r="7901">
      <c r="A7901" s="273"/>
      <c r="B7901" s="71"/>
      <c r="C7901" s="69" t="s">
        <v>31151</v>
      </c>
      <c r="D7901" s="71"/>
      <c r="E7901" s="68" t="s">
        <v>31152</v>
      </c>
      <c r="F7901" s="76">
        <v>43015.0</v>
      </c>
      <c r="G7901" s="68" t="s">
        <v>31153</v>
      </c>
      <c r="H7901" s="71"/>
      <c r="I7901" s="71"/>
      <c r="J7901" s="68" t="s">
        <v>31154</v>
      </c>
      <c r="K7901" s="71"/>
      <c r="L7901" s="71"/>
      <c r="M7901" s="68" t="s">
        <v>27</v>
      </c>
      <c r="N7901" s="116"/>
      <c r="O7901" s="51"/>
    </row>
    <row r="7902">
      <c r="A7902" s="273"/>
      <c r="B7902" s="71"/>
      <c r="C7902" s="69" t="s">
        <v>31155</v>
      </c>
      <c r="D7902" s="71"/>
      <c r="E7902" s="68" t="s">
        <v>31156</v>
      </c>
      <c r="F7902" s="76">
        <v>43015.0</v>
      </c>
      <c r="G7902" s="68" t="s">
        <v>31157</v>
      </c>
      <c r="H7902" s="71"/>
      <c r="I7902" s="71"/>
      <c r="J7902" s="68" t="s">
        <v>31158</v>
      </c>
      <c r="K7902" s="71"/>
      <c r="L7902" s="71"/>
      <c r="M7902" s="68" t="s">
        <v>27</v>
      </c>
      <c r="N7902" s="116"/>
      <c r="O7902" s="51"/>
    </row>
    <row r="7903">
      <c r="A7903" s="273"/>
      <c r="B7903" s="71"/>
      <c r="C7903" s="69" t="s">
        <v>31159</v>
      </c>
      <c r="D7903" s="71"/>
      <c r="E7903" s="68" t="s">
        <v>31160</v>
      </c>
      <c r="F7903" s="76">
        <v>42931.0</v>
      </c>
      <c r="G7903" s="68" t="s">
        <v>31161</v>
      </c>
      <c r="H7903" s="71"/>
      <c r="I7903" s="71"/>
      <c r="J7903" s="68" t="s">
        <v>31162</v>
      </c>
      <c r="K7903" s="71"/>
      <c r="L7903" s="71"/>
      <c r="M7903" s="68" t="s">
        <v>27</v>
      </c>
      <c r="N7903" s="116"/>
      <c r="O7903" s="51"/>
    </row>
    <row r="7904">
      <c r="A7904" s="273"/>
      <c r="B7904" s="71"/>
      <c r="C7904" s="69" t="s">
        <v>31163</v>
      </c>
      <c r="D7904" s="71"/>
      <c r="E7904" s="68" t="s">
        <v>31164</v>
      </c>
      <c r="F7904" s="76">
        <v>42940.0</v>
      </c>
      <c r="G7904" s="68" t="s">
        <v>30504</v>
      </c>
      <c r="H7904" s="71"/>
      <c r="I7904" s="71"/>
      <c r="J7904" s="68" t="s">
        <v>31165</v>
      </c>
      <c r="K7904" s="71"/>
      <c r="L7904" s="71"/>
      <c r="M7904" s="68" t="s">
        <v>27</v>
      </c>
      <c r="N7904" s="116"/>
      <c r="O7904" s="51"/>
    </row>
    <row r="7905">
      <c r="A7905" s="273"/>
      <c r="B7905" s="71"/>
      <c r="C7905" s="69" t="s">
        <v>31166</v>
      </c>
      <c r="D7905" s="71"/>
      <c r="E7905" s="68" t="s">
        <v>31167</v>
      </c>
      <c r="F7905" s="76">
        <v>42765.0</v>
      </c>
      <c r="G7905" s="68" t="s">
        <v>31168</v>
      </c>
      <c r="H7905" s="71"/>
      <c r="I7905" s="71"/>
      <c r="J7905" s="68" t="s">
        <v>31169</v>
      </c>
      <c r="K7905" s="71"/>
      <c r="L7905" s="71"/>
      <c r="M7905" s="68" t="s">
        <v>27</v>
      </c>
      <c r="N7905" s="116"/>
      <c r="O7905" s="51"/>
    </row>
    <row r="7906">
      <c r="A7906" s="273"/>
      <c r="B7906" s="71"/>
      <c r="C7906" s="69" t="s">
        <v>31170</v>
      </c>
      <c r="D7906" s="71"/>
      <c r="E7906" s="68" t="s">
        <v>31171</v>
      </c>
      <c r="F7906" s="76">
        <v>42863.0</v>
      </c>
      <c r="G7906" s="68" t="s">
        <v>31172</v>
      </c>
      <c r="H7906" s="71"/>
      <c r="I7906" s="71"/>
      <c r="J7906" s="68" t="s">
        <v>31173</v>
      </c>
      <c r="K7906" s="71"/>
      <c r="L7906" s="71"/>
      <c r="M7906" s="68" t="s">
        <v>27</v>
      </c>
      <c r="N7906" s="116"/>
      <c r="O7906" s="51"/>
    </row>
    <row r="7907">
      <c r="A7907" s="273"/>
      <c r="B7907" s="71"/>
      <c r="C7907" s="69" t="s">
        <v>31174</v>
      </c>
      <c r="D7907" s="71"/>
      <c r="E7907" s="68" t="s">
        <v>31175</v>
      </c>
      <c r="F7907" s="76">
        <v>42962.0</v>
      </c>
      <c r="G7907" s="68" t="s">
        <v>31127</v>
      </c>
      <c r="H7907" s="71"/>
      <c r="I7907" s="71"/>
      <c r="J7907" s="68" t="s">
        <v>31176</v>
      </c>
      <c r="K7907" s="71"/>
      <c r="L7907" s="71"/>
      <c r="M7907" s="68" t="s">
        <v>27</v>
      </c>
      <c r="N7907" s="116"/>
      <c r="O7907" s="51"/>
    </row>
    <row r="7908">
      <c r="A7908" s="273"/>
      <c r="B7908" s="71"/>
      <c r="C7908" s="69" t="s">
        <v>31177</v>
      </c>
      <c r="D7908" s="71"/>
      <c r="E7908" s="68" t="s">
        <v>31178</v>
      </c>
      <c r="F7908" s="76">
        <v>43047.0</v>
      </c>
      <c r="G7908" s="68" t="s">
        <v>31179</v>
      </c>
      <c r="H7908" s="71"/>
      <c r="I7908" s="71"/>
      <c r="J7908" s="68" t="s">
        <v>31180</v>
      </c>
      <c r="K7908" s="71"/>
      <c r="L7908" s="71"/>
      <c r="M7908" s="68" t="s">
        <v>27</v>
      </c>
      <c r="N7908" s="116"/>
      <c r="O7908" s="51"/>
    </row>
    <row r="7909">
      <c r="A7909" s="273"/>
      <c r="B7909" s="71"/>
      <c r="C7909" s="69" t="s">
        <v>31181</v>
      </c>
      <c r="D7909" s="71"/>
      <c r="E7909" s="68" t="s">
        <v>31182</v>
      </c>
      <c r="F7909" s="76">
        <v>43016.0</v>
      </c>
      <c r="G7909" s="68" t="s">
        <v>31183</v>
      </c>
      <c r="H7909" s="71"/>
      <c r="I7909" s="71"/>
      <c r="J7909" s="68" t="s">
        <v>31184</v>
      </c>
      <c r="K7909" s="71"/>
      <c r="L7909" s="71"/>
      <c r="M7909" s="68" t="s">
        <v>27</v>
      </c>
      <c r="N7909" s="116"/>
      <c r="O7909" s="51"/>
    </row>
    <row r="7910">
      <c r="A7910" s="273"/>
      <c r="B7910" s="71"/>
      <c r="C7910" s="69" t="s">
        <v>31185</v>
      </c>
      <c r="D7910" s="71"/>
      <c r="E7910" s="68" t="s">
        <v>31186</v>
      </c>
      <c r="F7910" s="76">
        <v>42976.0</v>
      </c>
      <c r="G7910" s="68" t="s">
        <v>31187</v>
      </c>
      <c r="H7910" s="71"/>
      <c r="I7910" s="71"/>
      <c r="J7910" s="68" t="s">
        <v>31188</v>
      </c>
      <c r="K7910" s="71"/>
      <c r="L7910" s="71"/>
      <c r="M7910" s="68" t="s">
        <v>27</v>
      </c>
      <c r="N7910" s="116"/>
      <c r="O7910" s="51"/>
    </row>
    <row r="7911">
      <c r="A7911" s="273"/>
      <c r="B7911" s="71"/>
      <c r="C7911" s="69" t="s">
        <v>31189</v>
      </c>
      <c r="D7911" s="71"/>
      <c r="E7911" s="68" t="s">
        <v>28392</v>
      </c>
      <c r="F7911" s="76">
        <v>42834.0</v>
      </c>
      <c r="G7911" s="68" t="s">
        <v>31190</v>
      </c>
      <c r="H7911" s="71"/>
      <c r="I7911" s="71"/>
      <c r="J7911" s="68" t="s">
        <v>31191</v>
      </c>
      <c r="K7911" s="71"/>
      <c r="L7911" s="71"/>
      <c r="M7911" s="68" t="s">
        <v>27</v>
      </c>
      <c r="N7911" s="116"/>
      <c r="O7911" s="51"/>
    </row>
    <row r="7912">
      <c r="A7912" s="273"/>
      <c r="B7912" s="71"/>
      <c r="C7912" s="69" t="s">
        <v>31192</v>
      </c>
      <c r="D7912" s="71"/>
      <c r="E7912" s="68" t="s">
        <v>31193</v>
      </c>
      <c r="F7912" s="76">
        <v>43017.0</v>
      </c>
      <c r="G7912" s="68" t="s">
        <v>31194</v>
      </c>
      <c r="H7912" s="71"/>
      <c r="I7912" s="71"/>
      <c r="J7912" s="68" t="s">
        <v>31195</v>
      </c>
      <c r="K7912" s="71"/>
      <c r="L7912" s="71"/>
      <c r="M7912" s="68" t="s">
        <v>27</v>
      </c>
      <c r="N7912" s="116"/>
      <c r="O7912" s="51"/>
    </row>
    <row r="7913">
      <c r="A7913" s="273"/>
      <c r="B7913" s="71"/>
      <c r="C7913" s="69" t="s">
        <v>31196</v>
      </c>
      <c r="D7913" s="71"/>
      <c r="E7913" s="68" t="s">
        <v>31197</v>
      </c>
      <c r="F7913" s="76">
        <v>42956.0</v>
      </c>
      <c r="G7913" s="68" t="s">
        <v>31198</v>
      </c>
      <c r="H7913" s="71"/>
      <c r="I7913" s="71"/>
      <c r="J7913" s="68" t="s">
        <v>31199</v>
      </c>
      <c r="K7913" s="71"/>
      <c r="L7913" s="71"/>
      <c r="M7913" s="68" t="s">
        <v>27</v>
      </c>
      <c r="N7913" s="116"/>
      <c r="O7913" s="51"/>
    </row>
    <row r="7914">
      <c r="A7914" s="273"/>
      <c r="B7914" s="71"/>
      <c r="C7914" s="69" t="s">
        <v>31200</v>
      </c>
      <c r="D7914" s="71"/>
      <c r="E7914" s="68" t="s">
        <v>31201</v>
      </c>
      <c r="F7914" s="76">
        <v>42998.0</v>
      </c>
      <c r="G7914" s="68" t="s">
        <v>31157</v>
      </c>
      <c r="H7914" s="71"/>
      <c r="I7914" s="71"/>
      <c r="J7914" s="68" t="s">
        <v>31202</v>
      </c>
      <c r="K7914" s="71"/>
      <c r="L7914" s="71"/>
      <c r="M7914" s="68" t="s">
        <v>27</v>
      </c>
      <c r="N7914" s="116"/>
      <c r="O7914" s="51"/>
    </row>
    <row r="7915">
      <c r="A7915" s="273"/>
      <c r="B7915" s="71"/>
      <c r="C7915" s="69" t="s">
        <v>31203</v>
      </c>
      <c r="D7915" s="71"/>
      <c r="E7915" s="68" t="s">
        <v>31204</v>
      </c>
      <c r="F7915" s="83">
        <v>43049.0</v>
      </c>
      <c r="G7915" s="68" t="s">
        <v>31205</v>
      </c>
      <c r="H7915" s="71"/>
      <c r="I7915" s="71"/>
      <c r="J7915" s="68" t="s">
        <v>31206</v>
      </c>
      <c r="K7915" s="71"/>
      <c r="L7915" s="71"/>
      <c r="M7915" s="68" t="s">
        <v>27</v>
      </c>
      <c r="N7915" s="116"/>
      <c r="O7915" s="51"/>
    </row>
    <row r="7916">
      <c r="A7916" s="273"/>
      <c r="B7916" s="71"/>
      <c r="C7916" s="69" t="s">
        <v>31207</v>
      </c>
      <c r="D7916" s="71"/>
      <c r="E7916" s="68" t="s">
        <v>31208</v>
      </c>
      <c r="F7916" s="83">
        <v>43049.0</v>
      </c>
      <c r="G7916" s="68" t="s">
        <v>31209</v>
      </c>
      <c r="H7916" s="71"/>
      <c r="I7916" s="71"/>
      <c r="J7916" s="68" t="s">
        <v>31210</v>
      </c>
      <c r="K7916" s="71"/>
      <c r="L7916" s="71"/>
      <c r="M7916" s="68" t="s">
        <v>27</v>
      </c>
      <c r="N7916" s="116"/>
      <c r="O7916" s="51"/>
    </row>
    <row r="7917">
      <c r="A7917" s="273"/>
      <c r="B7917" s="71"/>
      <c r="C7917" s="69" t="s">
        <v>31211</v>
      </c>
      <c r="D7917" s="71"/>
      <c r="E7917" s="68" t="s">
        <v>31212</v>
      </c>
      <c r="F7917" s="76">
        <v>42776.0</v>
      </c>
      <c r="G7917" s="68" t="s">
        <v>31213</v>
      </c>
      <c r="H7917" s="71"/>
      <c r="I7917" s="71"/>
      <c r="J7917" s="68" t="s">
        <v>31214</v>
      </c>
      <c r="K7917" s="71"/>
      <c r="L7917" s="71"/>
      <c r="M7917" s="68" t="s">
        <v>27</v>
      </c>
      <c r="N7917" s="116"/>
      <c r="O7917" s="51"/>
    </row>
    <row r="7918">
      <c r="A7918" s="273"/>
      <c r="B7918" s="71"/>
      <c r="C7918" s="69" t="s">
        <v>31215</v>
      </c>
      <c r="D7918" s="71"/>
      <c r="E7918" s="68" t="s">
        <v>31216</v>
      </c>
      <c r="F7918" s="83">
        <v>43049.0</v>
      </c>
      <c r="G7918" s="68" t="s">
        <v>31205</v>
      </c>
      <c r="H7918" s="71"/>
      <c r="I7918" s="71"/>
      <c r="J7918" s="68" t="s">
        <v>31217</v>
      </c>
      <c r="K7918" s="71"/>
      <c r="L7918" s="71"/>
      <c r="M7918" s="68" t="s">
        <v>27</v>
      </c>
      <c r="N7918" s="116"/>
      <c r="O7918" s="51"/>
    </row>
    <row r="7919">
      <c r="A7919" s="273"/>
      <c r="B7919" s="71"/>
      <c r="C7919" s="69" t="s">
        <v>31218</v>
      </c>
      <c r="D7919" s="71"/>
      <c r="E7919" s="68" t="s">
        <v>31219</v>
      </c>
      <c r="F7919" s="83">
        <v>43049.0</v>
      </c>
      <c r="G7919" s="68" t="s">
        <v>31205</v>
      </c>
      <c r="H7919" s="71"/>
      <c r="I7919" s="71"/>
      <c r="J7919" s="68" t="s">
        <v>31220</v>
      </c>
      <c r="K7919" s="71"/>
      <c r="L7919" s="71"/>
      <c r="M7919" s="68" t="s">
        <v>27</v>
      </c>
      <c r="N7919" s="116"/>
      <c r="O7919" s="51"/>
    </row>
    <row r="7920">
      <c r="A7920" s="273"/>
      <c r="B7920" s="71"/>
      <c r="C7920" s="69" t="s">
        <v>31221</v>
      </c>
      <c r="D7920" s="71"/>
      <c r="E7920" s="68" t="s">
        <v>31222</v>
      </c>
      <c r="F7920" s="83">
        <v>43049.0</v>
      </c>
      <c r="G7920" s="68" t="s">
        <v>31205</v>
      </c>
      <c r="H7920" s="71"/>
      <c r="I7920" s="71"/>
      <c r="J7920" s="68" t="s">
        <v>31223</v>
      </c>
      <c r="K7920" s="71"/>
      <c r="L7920" s="71"/>
      <c r="M7920" s="68" t="s">
        <v>27</v>
      </c>
      <c r="N7920" s="116"/>
      <c r="O7920" s="51"/>
    </row>
    <row r="7921">
      <c r="A7921" s="273"/>
      <c r="B7921" s="71"/>
      <c r="C7921" s="69" t="s">
        <v>31224</v>
      </c>
      <c r="D7921" s="71"/>
      <c r="E7921" s="68" t="s">
        <v>31225</v>
      </c>
      <c r="F7921" s="83">
        <v>43049.0</v>
      </c>
      <c r="G7921" s="68" t="s">
        <v>31205</v>
      </c>
      <c r="H7921" s="71"/>
      <c r="I7921" s="71"/>
      <c r="J7921" s="68" t="s">
        <v>31226</v>
      </c>
      <c r="K7921" s="71"/>
      <c r="L7921" s="71"/>
      <c r="M7921" s="68" t="s">
        <v>27</v>
      </c>
      <c r="N7921" s="116"/>
      <c r="O7921" s="51"/>
    </row>
    <row r="7922">
      <c r="A7922" s="273"/>
      <c r="B7922" s="71"/>
      <c r="C7922" s="69" t="s">
        <v>31227</v>
      </c>
      <c r="D7922" s="71"/>
      <c r="E7922" s="68" t="s">
        <v>31228</v>
      </c>
      <c r="F7922" s="83">
        <v>43049.0</v>
      </c>
      <c r="G7922" s="68" t="s">
        <v>31205</v>
      </c>
      <c r="H7922" s="71"/>
      <c r="I7922" s="71"/>
      <c r="J7922" s="68" t="s">
        <v>31229</v>
      </c>
      <c r="K7922" s="71"/>
      <c r="L7922" s="71"/>
      <c r="M7922" s="68" t="s">
        <v>27</v>
      </c>
      <c r="N7922" s="116"/>
      <c r="O7922" s="51"/>
    </row>
    <row r="7923">
      <c r="A7923" s="273"/>
      <c r="B7923" s="71"/>
      <c r="C7923" s="69" t="s">
        <v>31230</v>
      </c>
      <c r="D7923" s="71"/>
      <c r="E7923" s="68" t="s">
        <v>31231</v>
      </c>
      <c r="F7923" s="83">
        <v>43049.0</v>
      </c>
      <c r="G7923" s="68" t="s">
        <v>31205</v>
      </c>
      <c r="H7923" s="71"/>
      <c r="I7923" s="71"/>
      <c r="J7923" s="68" t="s">
        <v>31232</v>
      </c>
      <c r="K7923" s="71"/>
      <c r="L7923" s="71"/>
      <c r="M7923" s="68" t="s">
        <v>27</v>
      </c>
      <c r="N7923" s="116"/>
      <c r="O7923" s="51"/>
    </row>
    <row r="7924">
      <c r="A7924" s="273"/>
      <c r="B7924" s="71"/>
      <c r="C7924" s="69" t="s">
        <v>31233</v>
      </c>
      <c r="D7924" s="71"/>
      <c r="E7924" s="68" t="s">
        <v>31234</v>
      </c>
      <c r="F7924" s="83">
        <v>43049.0</v>
      </c>
      <c r="G7924" s="68" t="s">
        <v>31205</v>
      </c>
      <c r="H7924" s="71"/>
      <c r="I7924" s="71"/>
      <c r="J7924" s="68" t="s">
        <v>31235</v>
      </c>
      <c r="K7924" s="71"/>
      <c r="L7924" s="71"/>
      <c r="M7924" s="68" t="s">
        <v>27</v>
      </c>
      <c r="N7924" s="116"/>
      <c r="O7924" s="51"/>
    </row>
    <row r="7925">
      <c r="A7925" s="273"/>
      <c r="B7925" s="71"/>
      <c r="C7925" s="69" t="s">
        <v>31236</v>
      </c>
      <c r="D7925" s="71"/>
      <c r="E7925" s="68" t="s">
        <v>31237</v>
      </c>
      <c r="F7925" s="83">
        <v>43049.0</v>
      </c>
      <c r="G7925" s="68" t="s">
        <v>31205</v>
      </c>
      <c r="H7925" s="71"/>
      <c r="I7925" s="71"/>
      <c r="J7925" s="68" t="s">
        <v>31238</v>
      </c>
      <c r="K7925" s="71"/>
      <c r="L7925" s="71"/>
      <c r="M7925" s="68" t="s">
        <v>27</v>
      </c>
      <c r="N7925" s="116"/>
      <c r="O7925" s="51"/>
    </row>
    <row r="7926">
      <c r="A7926" s="273"/>
      <c r="B7926" s="71"/>
      <c r="C7926" s="69" t="s">
        <v>31239</v>
      </c>
      <c r="D7926" s="71"/>
      <c r="E7926" s="68" t="s">
        <v>31240</v>
      </c>
      <c r="F7926" s="83">
        <v>43049.0</v>
      </c>
      <c r="G7926" s="68" t="s">
        <v>31205</v>
      </c>
      <c r="H7926" s="71"/>
      <c r="I7926" s="71"/>
      <c r="J7926" s="68" t="s">
        <v>31241</v>
      </c>
      <c r="K7926" s="71"/>
      <c r="L7926" s="71"/>
      <c r="M7926" s="68" t="s">
        <v>27</v>
      </c>
      <c r="N7926" s="116"/>
      <c r="O7926" s="51"/>
    </row>
    <row r="7927">
      <c r="A7927" s="273"/>
      <c r="B7927" s="71"/>
      <c r="C7927" s="69" t="s">
        <v>31242</v>
      </c>
      <c r="D7927" s="71"/>
      <c r="E7927" s="68" t="s">
        <v>31243</v>
      </c>
      <c r="F7927" s="83">
        <v>43049.0</v>
      </c>
      <c r="G7927" s="68" t="s">
        <v>31205</v>
      </c>
      <c r="H7927" s="71"/>
      <c r="I7927" s="71"/>
      <c r="J7927" s="68" t="s">
        <v>31244</v>
      </c>
      <c r="K7927" s="71"/>
      <c r="L7927" s="71"/>
      <c r="M7927" s="68" t="s">
        <v>27</v>
      </c>
      <c r="N7927" s="116"/>
      <c r="O7927" s="51"/>
    </row>
    <row r="7928">
      <c r="A7928" s="273"/>
      <c r="B7928" s="71"/>
      <c r="C7928" s="69" t="s">
        <v>31245</v>
      </c>
      <c r="D7928" s="71"/>
      <c r="E7928" s="68" t="s">
        <v>31246</v>
      </c>
      <c r="F7928" s="83">
        <v>43049.0</v>
      </c>
      <c r="G7928" s="68" t="s">
        <v>31205</v>
      </c>
      <c r="H7928" s="71"/>
      <c r="I7928" s="71"/>
      <c r="J7928" s="68" t="s">
        <v>31247</v>
      </c>
      <c r="K7928" s="71"/>
      <c r="L7928" s="71"/>
      <c r="M7928" s="68" t="s">
        <v>27</v>
      </c>
      <c r="N7928" s="116"/>
      <c r="O7928" s="51"/>
    </row>
    <row r="7929">
      <c r="A7929" s="273"/>
      <c r="B7929" s="71"/>
      <c r="C7929" s="69" t="s">
        <v>31248</v>
      </c>
      <c r="D7929" s="71"/>
      <c r="E7929" s="68" t="s">
        <v>31249</v>
      </c>
      <c r="F7929" s="83">
        <v>43049.0</v>
      </c>
      <c r="G7929" s="68" t="s">
        <v>31205</v>
      </c>
      <c r="H7929" s="71"/>
      <c r="I7929" s="71"/>
      <c r="J7929" s="68" t="s">
        <v>31250</v>
      </c>
      <c r="K7929" s="71"/>
      <c r="L7929" s="71"/>
      <c r="M7929" s="68" t="s">
        <v>27</v>
      </c>
      <c r="N7929" s="116"/>
      <c r="O7929" s="51"/>
    </row>
    <row r="7930">
      <c r="A7930" s="273"/>
      <c r="B7930" s="71"/>
      <c r="C7930" s="69" t="s">
        <v>31251</v>
      </c>
      <c r="D7930" s="71"/>
      <c r="E7930" s="68" t="s">
        <v>31252</v>
      </c>
      <c r="F7930" s="83">
        <v>43027.0</v>
      </c>
      <c r="G7930" s="68" t="s">
        <v>31253</v>
      </c>
      <c r="H7930" s="71"/>
      <c r="I7930" s="71"/>
      <c r="J7930" s="68" t="s">
        <v>31254</v>
      </c>
      <c r="K7930" s="71"/>
      <c r="L7930" s="71"/>
      <c r="M7930" s="68" t="s">
        <v>27</v>
      </c>
      <c r="N7930" s="116"/>
      <c r="O7930" s="51"/>
    </row>
    <row r="7931">
      <c r="A7931" s="274"/>
      <c r="B7931" s="66"/>
      <c r="C7931" s="64" t="s">
        <v>31255</v>
      </c>
      <c r="D7931" s="66"/>
      <c r="E7931" s="63" t="s">
        <v>31256</v>
      </c>
      <c r="F7931" s="65">
        <v>43030.0</v>
      </c>
      <c r="G7931" s="63" t="s">
        <v>31257</v>
      </c>
      <c r="H7931" s="66"/>
      <c r="I7931" s="66"/>
      <c r="J7931" s="63" t="s">
        <v>136</v>
      </c>
      <c r="K7931" s="66"/>
      <c r="L7931" s="66"/>
      <c r="M7931" s="63" t="s">
        <v>27</v>
      </c>
      <c r="N7931" s="186"/>
      <c r="O7931" s="51"/>
    </row>
    <row r="7932">
      <c r="A7932" s="273"/>
      <c r="B7932" s="71"/>
      <c r="C7932" s="69" t="s">
        <v>31258</v>
      </c>
      <c r="D7932" s="71"/>
      <c r="E7932" s="68" t="s">
        <v>31259</v>
      </c>
      <c r="F7932" s="83">
        <v>43037.0</v>
      </c>
      <c r="G7932" s="68" t="s">
        <v>31260</v>
      </c>
      <c r="H7932" s="71"/>
      <c r="I7932" s="71"/>
      <c r="J7932" s="68" t="s">
        <v>31261</v>
      </c>
      <c r="K7932" s="71"/>
      <c r="L7932" s="71"/>
      <c r="M7932" s="68" t="s">
        <v>27</v>
      </c>
      <c r="N7932" s="116"/>
      <c r="O7932" s="51"/>
    </row>
    <row r="7933">
      <c r="A7933" s="273"/>
      <c r="B7933" s="71"/>
      <c r="C7933" s="69" t="s">
        <v>31262</v>
      </c>
      <c r="D7933" s="71"/>
      <c r="E7933" s="68" t="s">
        <v>31263</v>
      </c>
      <c r="F7933" s="83">
        <v>43036.0</v>
      </c>
      <c r="G7933" s="68" t="s">
        <v>31264</v>
      </c>
      <c r="H7933" s="71"/>
      <c r="I7933" s="71"/>
      <c r="J7933" s="68" t="s">
        <v>31265</v>
      </c>
      <c r="K7933" s="71"/>
      <c r="L7933" s="71"/>
      <c r="M7933" s="68" t="s">
        <v>27</v>
      </c>
      <c r="N7933" s="116"/>
      <c r="O7933" s="51"/>
    </row>
    <row r="7934">
      <c r="A7934" s="273"/>
      <c r="B7934" s="71"/>
      <c r="C7934" s="69" t="s">
        <v>31266</v>
      </c>
      <c r="D7934" s="71"/>
      <c r="E7934" s="68" t="s">
        <v>31267</v>
      </c>
      <c r="F7934" s="83">
        <v>43036.0</v>
      </c>
      <c r="G7934" s="68" t="s">
        <v>31264</v>
      </c>
      <c r="H7934" s="71"/>
      <c r="I7934" s="71"/>
      <c r="J7934" s="68" t="s">
        <v>31268</v>
      </c>
      <c r="K7934" s="71"/>
      <c r="L7934" s="71"/>
      <c r="M7934" s="68" t="s">
        <v>27</v>
      </c>
      <c r="N7934" s="116"/>
      <c r="O7934" s="51"/>
    </row>
    <row r="7935">
      <c r="A7935" s="273"/>
      <c r="B7935" s="71"/>
      <c r="C7935" s="69" t="s">
        <v>31269</v>
      </c>
      <c r="D7935" s="71"/>
      <c r="E7935" s="68" t="s">
        <v>31270</v>
      </c>
      <c r="F7935" s="83">
        <v>43037.0</v>
      </c>
      <c r="G7935" s="68" t="s">
        <v>31260</v>
      </c>
      <c r="H7935" s="71"/>
      <c r="I7935" s="71"/>
      <c r="J7935" s="68" t="s">
        <v>31271</v>
      </c>
      <c r="K7935" s="71"/>
      <c r="L7935" s="71"/>
      <c r="M7935" s="68" t="s">
        <v>27</v>
      </c>
      <c r="N7935" s="116"/>
      <c r="O7935" s="51"/>
    </row>
    <row r="7936">
      <c r="A7936" s="273"/>
      <c r="B7936" s="71"/>
      <c r="C7936" s="69" t="s">
        <v>31272</v>
      </c>
      <c r="D7936" s="71"/>
      <c r="E7936" s="68" t="s">
        <v>31273</v>
      </c>
      <c r="F7936" s="83">
        <v>43037.0</v>
      </c>
      <c r="G7936" s="68" t="s">
        <v>31260</v>
      </c>
      <c r="H7936" s="71"/>
      <c r="I7936" s="71"/>
      <c r="J7936" s="68" t="s">
        <v>31274</v>
      </c>
      <c r="K7936" s="71"/>
      <c r="L7936" s="71"/>
      <c r="M7936" s="68" t="s">
        <v>27</v>
      </c>
      <c r="N7936" s="116"/>
      <c r="O7936" s="51"/>
    </row>
    <row r="7937">
      <c r="A7937" s="273"/>
      <c r="B7937" s="71"/>
      <c r="C7937" s="69" t="s">
        <v>31275</v>
      </c>
      <c r="D7937" s="71"/>
      <c r="E7937" s="68" t="s">
        <v>31276</v>
      </c>
      <c r="F7937" s="83">
        <v>43037.0</v>
      </c>
      <c r="G7937" s="68" t="s">
        <v>31260</v>
      </c>
      <c r="H7937" s="71"/>
      <c r="I7937" s="71"/>
      <c r="J7937" s="68" t="s">
        <v>31277</v>
      </c>
      <c r="K7937" s="71"/>
      <c r="L7937" s="71"/>
      <c r="M7937" s="68" t="s">
        <v>27</v>
      </c>
      <c r="N7937" s="116"/>
      <c r="O7937" s="51"/>
    </row>
    <row r="7938">
      <c r="A7938" s="273"/>
      <c r="B7938" s="71"/>
      <c r="C7938" s="69" t="s">
        <v>31278</v>
      </c>
      <c r="D7938" s="71"/>
      <c r="E7938" s="68" t="s">
        <v>31279</v>
      </c>
      <c r="F7938" s="83">
        <v>43037.0</v>
      </c>
      <c r="G7938" s="68" t="s">
        <v>31260</v>
      </c>
      <c r="H7938" s="71"/>
      <c r="I7938" s="71"/>
      <c r="J7938" s="68" t="s">
        <v>31280</v>
      </c>
      <c r="K7938" s="71"/>
      <c r="L7938" s="71"/>
      <c r="M7938" s="68" t="s">
        <v>27</v>
      </c>
      <c r="N7938" s="116"/>
      <c r="O7938" s="51"/>
    </row>
    <row r="7939">
      <c r="A7939" s="273"/>
      <c r="B7939" s="71"/>
      <c r="C7939" s="69" t="s">
        <v>31281</v>
      </c>
      <c r="D7939" s="71"/>
      <c r="E7939" s="68" t="s">
        <v>31282</v>
      </c>
      <c r="F7939" s="83">
        <v>43037.0</v>
      </c>
      <c r="G7939" s="68" t="s">
        <v>31260</v>
      </c>
      <c r="H7939" s="71"/>
      <c r="I7939" s="71"/>
      <c r="J7939" s="68" t="s">
        <v>31283</v>
      </c>
      <c r="K7939" s="71"/>
      <c r="L7939" s="71"/>
      <c r="M7939" s="68" t="s">
        <v>27</v>
      </c>
      <c r="N7939" s="116"/>
      <c r="O7939" s="51"/>
    </row>
    <row r="7940">
      <c r="A7940" s="273"/>
      <c r="B7940" s="71"/>
      <c r="C7940" s="69" t="s">
        <v>31284</v>
      </c>
      <c r="D7940" s="71"/>
      <c r="E7940" s="68" t="s">
        <v>31285</v>
      </c>
      <c r="F7940" s="83">
        <v>43037.0</v>
      </c>
      <c r="G7940" s="68" t="s">
        <v>31260</v>
      </c>
      <c r="H7940" s="71"/>
      <c r="I7940" s="71"/>
      <c r="J7940" s="68" t="s">
        <v>31286</v>
      </c>
      <c r="K7940" s="71"/>
      <c r="L7940" s="71"/>
      <c r="M7940" s="68" t="s">
        <v>27</v>
      </c>
      <c r="N7940" s="116"/>
      <c r="O7940" s="51"/>
    </row>
    <row r="7941">
      <c r="A7941" s="273"/>
      <c r="B7941" s="71"/>
      <c r="C7941" s="69" t="s">
        <v>31287</v>
      </c>
      <c r="D7941" s="71"/>
      <c r="E7941" s="68" t="s">
        <v>31288</v>
      </c>
      <c r="F7941" s="83">
        <v>43037.0</v>
      </c>
      <c r="G7941" s="68" t="s">
        <v>31260</v>
      </c>
      <c r="H7941" s="71"/>
      <c r="I7941" s="71"/>
      <c r="J7941" s="68" t="s">
        <v>31289</v>
      </c>
      <c r="K7941" s="71"/>
      <c r="L7941" s="71"/>
      <c r="M7941" s="68" t="s">
        <v>27</v>
      </c>
      <c r="N7941" s="116"/>
      <c r="O7941" s="51"/>
    </row>
    <row r="7942">
      <c r="A7942" s="273"/>
      <c r="B7942" s="71"/>
      <c r="C7942" s="69" t="s">
        <v>31290</v>
      </c>
      <c r="D7942" s="71"/>
      <c r="E7942" s="68" t="s">
        <v>31291</v>
      </c>
      <c r="F7942" s="83">
        <v>43037.0</v>
      </c>
      <c r="G7942" s="68" t="s">
        <v>31260</v>
      </c>
      <c r="H7942" s="71"/>
      <c r="I7942" s="71"/>
      <c r="J7942" s="68" t="s">
        <v>31292</v>
      </c>
      <c r="K7942" s="71"/>
      <c r="L7942" s="71"/>
      <c r="M7942" s="68" t="s">
        <v>27</v>
      </c>
      <c r="N7942" s="116"/>
      <c r="O7942" s="51"/>
    </row>
    <row r="7943">
      <c r="A7943" s="273"/>
      <c r="B7943" s="71"/>
      <c r="C7943" s="69" t="s">
        <v>31293</v>
      </c>
      <c r="D7943" s="71"/>
      <c r="E7943" s="68" t="s">
        <v>31294</v>
      </c>
      <c r="F7943" s="83">
        <v>43037.0</v>
      </c>
      <c r="G7943" s="68" t="s">
        <v>31260</v>
      </c>
      <c r="H7943" s="71"/>
      <c r="I7943" s="71"/>
      <c r="J7943" s="68" t="s">
        <v>31295</v>
      </c>
      <c r="K7943" s="71"/>
      <c r="L7943" s="71"/>
      <c r="M7943" s="68" t="s">
        <v>27</v>
      </c>
      <c r="N7943" s="116"/>
      <c r="O7943" s="51"/>
    </row>
    <row r="7944">
      <c r="A7944" s="234"/>
      <c r="B7944" s="71"/>
      <c r="C7944" s="69" t="s">
        <v>31296</v>
      </c>
      <c r="D7944" s="71"/>
      <c r="E7944" s="68" t="s">
        <v>31297</v>
      </c>
      <c r="F7944" s="83">
        <v>43037.0</v>
      </c>
      <c r="G7944" s="68" t="s">
        <v>31260</v>
      </c>
      <c r="H7944" s="71"/>
      <c r="I7944" s="71"/>
      <c r="J7944" s="68" t="s">
        <v>31298</v>
      </c>
      <c r="K7944" s="71"/>
      <c r="L7944" s="71"/>
      <c r="M7944" s="68" t="s">
        <v>27</v>
      </c>
      <c r="N7944" s="116"/>
      <c r="O7944" s="51"/>
    </row>
    <row r="7945">
      <c r="A7945" s="273"/>
      <c r="B7945" s="71"/>
      <c r="C7945" s="69" t="s">
        <v>31299</v>
      </c>
      <c r="D7945" s="71"/>
      <c r="E7945" s="68" t="s">
        <v>18090</v>
      </c>
      <c r="F7945" s="83">
        <v>43037.0</v>
      </c>
      <c r="G7945" s="68" t="s">
        <v>31260</v>
      </c>
      <c r="H7945" s="71"/>
      <c r="I7945" s="71"/>
      <c r="J7945" s="68" t="s">
        <v>31300</v>
      </c>
      <c r="K7945" s="71"/>
      <c r="L7945" s="71"/>
      <c r="M7945" s="68" t="s">
        <v>27</v>
      </c>
      <c r="N7945" s="116"/>
      <c r="O7945" s="51"/>
    </row>
    <row r="7946">
      <c r="A7946" s="273"/>
      <c r="B7946" s="71"/>
      <c r="C7946" s="69" t="s">
        <v>31301</v>
      </c>
      <c r="D7946" s="71"/>
      <c r="E7946" s="68" t="s">
        <v>31302</v>
      </c>
      <c r="F7946" s="83">
        <v>43037.0</v>
      </c>
      <c r="G7946" s="68" t="s">
        <v>31260</v>
      </c>
      <c r="H7946" s="71"/>
      <c r="I7946" s="71"/>
      <c r="J7946" s="68" t="s">
        <v>31303</v>
      </c>
      <c r="K7946" s="71"/>
      <c r="L7946" s="71"/>
      <c r="M7946" s="68" t="s">
        <v>27</v>
      </c>
      <c r="N7946" s="116"/>
      <c r="O7946" s="51"/>
    </row>
    <row r="7947">
      <c r="A7947" s="273"/>
      <c r="B7947" s="71"/>
      <c r="C7947" s="69" t="s">
        <v>31304</v>
      </c>
      <c r="D7947" s="71"/>
      <c r="E7947" s="68" t="s">
        <v>31305</v>
      </c>
      <c r="F7947" s="83">
        <v>43037.0</v>
      </c>
      <c r="G7947" s="68" t="s">
        <v>31260</v>
      </c>
      <c r="H7947" s="71"/>
      <c r="I7947" s="71"/>
      <c r="J7947" s="68" t="s">
        <v>31306</v>
      </c>
      <c r="K7947" s="71"/>
      <c r="L7947" s="71"/>
      <c r="M7947" s="68" t="s">
        <v>27</v>
      </c>
      <c r="N7947" s="116"/>
      <c r="O7947" s="51"/>
    </row>
    <row r="7948">
      <c r="A7948" s="273"/>
      <c r="B7948" s="71"/>
      <c r="C7948" s="69" t="s">
        <v>31307</v>
      </c>
      <c r="D7948" s="71"/>
      <c r="E7948" s="68" t="s">
        <v>31308</v>
      </c>
      <c r="F7948" s="83">
        <v>43037.0</v>
      </c>
      <c r="G7948" s="68" t="s">
        <v>31260</v>
      </c>
      <c r="H7948" s="71"/>
      <c r="I7948" s="71"/>
      <c r="J7948" s="68" t="s">
        <v>31309</v>
      </c>
      <c r="K7948" s="71"/>
      <c r="L7948" s="71"/>
      <c r="M7948" s="68" t="s">
        <v>27</v>
      </c>
      <c r="N7948" s="116"/>
      <c r="O7948" s="51"/>
    </row>
    <row r="7949">
      <c r="A7949" s="273"/>
      <c r="B7949" s="71"/>
      <c r="C7949" s="69" t="s">
        <v>31310</v>
      </c>
      <c r="D7949" s="71"/>
      <c r="E7949" s="68" t="s">
        <v>31311</v>
      </c>
      <c r="F7949" s="83">
        <v>43037.0</v>
      </c>
      <c r="G7949" s="68" t="s">
        <v>31260</v>
      </c>
      <c r="H7949" s="71"/>
      <c r="I7949" s="71"/>
      <c r="J7949" s="68" t="s">
        <v>31312</v>
      </c>
      <c r="K7949" s="71"/>
      <c r="L7949" s="71"/>
      <c r="M7949" s="68" t="s">
        <v>27</v>
      </c>
      <c r="N7949" s="116"/>
      <c r="O7949" s="51"/>
    </row>
    <row r="7950">
      <c r="A7950" s="273"/>
      <c r="B7950" s="71"/>
      <c r="C7950" s="69" t="s">
        <v>31313</v>
      </c>
      <c r="D7950" s="71"/>
      <c r="E7950" s="128" t="s">
        <v>31314</v>
      </c>
      <c r="F7950" s="278">
        <v>44286.0</v>
      </c>
      <c r="G7950" s="128" t="s">
        <v>31315</v>
      </c>
      <c r="H7950" s="68" t="s">
        <v>31316</v>
      </c>
      <c r="I7950" s="71"/>
      <c r="J7950" s="68" t="s">
        <v>31317</v>
      </c>
      <c r="K7950" s="76">
        <v>44341.0</v>
      </c>
      <c r="L7950" s="68" t="s">
        <v>31318</v>
      </c>
      <c r="M7950" s="68" t="s">
        <v>27</v>
      </c>
      <c r="N7950" s="116"/>
      <c r="O7950" s="51"/>
    </row>
    <row r="7951">
      <c r="A7951" s="273"/>
      <c r="B7951" s="71"/>
      <c r="C7951" s="69" t="s">
        <v>31319</v>
      </c>
      <c r="D7951" s="71"/>
      <c r="E7951" s="68" t="s">
        <v>31320</v>
      </c>
      <c r="F7951" s="76">
        <v>44286.0</v>
      </c>
      <c r="G7951" s="68" t="s">
        <v>31315</v>
      </c>
      <c r="H7951" s="68" t="s">
        <v>31321</v>
      </c>
      <c r="I7951" s="71"/>
      <c r="J7951" s="68" t="s">
        <v>31322</v>
      </c>
      <c r="K7951" s="76">
        <v>44341.0</v>
      </c>
      <c r="L7951" s="68" t="s">
        <v>31318</v>
      </c>
      <c r="M7951" s="68" t="s">
        <v>27</v>
      </c>
      <c r="N7951" s="116"/>
      <c r="O7951" s="51"/>
    </row>
    <row r="7952">
      <c r="A7952" s="273"/>
      <c r="B7952" s="71"/>
      <c r="C7952" s="69" t="s">
        <v>31323</v>
      </c>
      <c r="D7952" s="71"/>
      <c r="E7952" s="68" t="s">
        <v>31324</v>
      </c>
      <c r="F7952" s="83">
        <v>44187.0</v>
      </c>
      <c r="G7952" s="68" t="s">
        <v>31325</v>
      </c>
      <c r="H7952" s="68" t="s">
        <v>31326</v>
      </c>
      <c r="I7952" s="71"/>
      <c r="J7952" s="68" t="s">
        <v>31327</v>
      </c>
      <c r="K7952" s="76">
        <v>44341.0</v>
      </c>
      <c r="L7952" s="68" t="s">
        <v>2743</v>
      </c>
      <c r="M7952" s="68" t="s">
        <v>22473</v>
      </c>
      <c r="N7952" s="116"/>
      <c r="O7952" s="51"/>
    </row>
    <row r="7953">
      <c r="A7953" s="273"/>
      <c r="B7953" s="71"/>
      <c r="C7953" s="69" t="s">
        <v>31328</v>
      </c>
      <c r="D7953" s="71"/>
      <c r="E7953" s="68" t="s">
        <v>31329</v>
      </c>
      <c r="F7953" s="76">
        <v>44321.0</v>
      </c>
      <c r="G7953" s="68" t="s">
        <v>31330</v>
      </c>
      <c r="H7953" s="68" t="s">
        <v>31331</v>
      </c>
      <c r="I7953" s="71"/>
      <c r="J7953" s="68" t="s">
        <v>31332</v>
      </c>
      <c r="K7953" s="76">
        <v>44341.0</v>
      </c>
      <c r="L7953" s="68" t="s">
        <v>2743</v>
      </c>
      <c r="M7953" s="68" t="s">
        <v>31</v>
      </c>
      <c r="N7953" s="116"/>
      <c r="O7953" s="51"/>
    </row>
    <row r="7954">
      <c r="A7954" s="273"/>
      <c r="B7954" s="71"/>
      <c r="C7954" s="69" t="s">
        <v>31333</v>
      </c>
      <c r="D7954" s="71"/>
      <c r="E7954" s="68" t="s">
        <v>31334</v>
      </c>
      <c r="F7954" s="76">
        <v>44258.0</v>
      </c>
      <c r="G7954" s="68" t="s">
        <v>31335</v>
      </c>
      <c r="H7954" s="68" t="s">
        <v>31336</v>
      </c>
      <c r="I7954" s="71"/>
      <c r="J7954" s="68" t="s">
        <v>31337</v>
      </c>
      <c r="K7954" s="76">
        <v>44341.0</v>
      </c>
      <c r="L7954" s="68" t="s">
        <v>30692</v>
      </c>
      <c r="M7954" s="68" t="s">
        <v>7530</v>
      </c>
      <c r="N7954" s="116"/>
      <c r="O7954" s="51"/>
    </row>
    <row r="7955">
      <c r="A7955" s="234"/>
      <c r="B7955" s="71"/>
      <c r="C7955" s="79" t="s">
        <v>31338</v>
      </c>
      <c r="D7955" s="82"/>
      <c r="E7955" s="63" t="s">
        <v>31339</v>
      </c>
      <c r="F7955" s="70">
        <v>44265.0</v>
      </c>
      <c r="G7955" s="63" t="s">
        <v>31340</v>
      </c>
      <c r="H7955" s="80" t="s">
        <v>31341</v>
      </c>
      <c r="I7955" s="82"/>
      <c r="J7955" s="63" t="s">
        <v>136</v>
      </c>
      <c r="K7955" s="81">
        <v>44341.0</v>
      </c>
      <c r="L7955" s="80" t="s">
        <v>30692</v>
      </c>
      <c r="M7955" s="80" t="s">
        <v>143</v>
      </c>
      <c r="N7955" s="116"/>
      <c r="O7955" s="51"/>
    </row>
    <row r="7956">
      <c r="A7956" s="234"/>
      <c r="B7956" s="71"/>
      <c r="C7956" s="79" t="s">
        <v>31342</v>
      </c>
      <c r="D7956" s="82"/>
      <c r="E7956" s="63" t="s">
        <v>31343</v>
      </c>
      <c r="F7956" s="70">
        <v>43586.0</v>
      </c>
      <c r="G7956" s="63" t="s">
        <v>31344</v>
      </c>
      <c r="H7956" s="80" t="s">
        <v>31345</v>
      </c>
      <c r="I7956" s="82"/>
      <c r="J7956" s="63" t="s">
        <v>136</v>
      </c>
      <c r="K7956" s="81">
        <v>44342.0</v>
      </c>
      <c r="L7956" s="80" t="s">
        <v>2743</v>
      </c>
      <c r="M7956" s="80" t="s">
        <v>27</v>
      </c>
      <c r="N7956" s="116"/>
      <c r="O7956" s="51"/>
    </row>
    <row r="7957">
      <c r="A7957" s="234"/>
      <c r="B7957" s="71"/>
      <c r="C7957" s="79" t="s">
        <v>31346</v>
      </c>
      <c r="D7957" s="82"/>
      <c r="E7957" s="63" t="s">
        <v>25640</v>
      </c>
      <c r="F7957" s="70">
        <v>39978.0</v>
      </c>
      <c r="G7957" s="63" t="s">
        <v>31347</v>
      </c>
      <c r="H7957" s="80" t="s">
        <v>31348</v>
      </c>
      <c r="I7957" s="82"/>
      <c r="J7957" s="63" t="s">
        <v>136</v>
      </c>
      <c r="K7957" s="81">
        <v>44342.0</v>
      </c>
      <c r="L7957" s="80" t="s">
        <v>2743</v>
      </c>
      <c r="M7957" s="80" t="s">
        <v>530</v>
      </c>
      <c r="N7957" s="116"/>
      <c r="O7957" s="51"/>
    </row>
    <row r="7958">
      <c r="A7958" s="273"/>
      <c r="B7958" s="71"/>
      <c r="C7958" s="69" t="s">
        <v>31349</v>
      </c>
      <c r="D7958" s="71"/>
      <c r="E7958" s="68" t="s">
        <v>31350</v>
      </c>
      <c r="F7958" s="76">
        <v>43015.0</v>
      </c>
      <c r="G7958" s="68" t="s">
        <v>31351</v>
      </c>
      <c r="H7958" s="71"/>
      <c r="I7958" s="71"/>
      <c r="J7958" s="68" t="s">
        <v>31352</v>
      </c>
      <c r="K7958" s="71"/>
      <c r="L7958" s="71"/>
      <c r="M7958" s="68" t="s">
        <v>27</v>
      </c>
      <c r="N7958" s="116"/>
      <c r="O7958" s="51"/>
    </row>
    <row r="7959">
      <c r="A7959" s="273"/>
      <c r="B7959" s="71"/>
      <c r="C7959" s="69" t="s">
        <v>31353</v>
      </c>
      <c r="D7959" s="71"/>
      <c r="E7959" s="68" t="s">
        <v>31354</v>
      </c>
      <c r="F7959" s="76">
        <v>43338.0</v>
      </c>
      <c r="G7959" s="68" t="s">
        <v>29289</v>
      </c>
      <c r="H7959" s="71"/>
      <c r="I7959" s="71"/>
      <c r="J7959" s="68" t="s">
        <v>31355</v>
      </c>
      <c r="K7959" s="71"/>
      <c r="L7959" s="71"/>
      <c r="M7959" s="68" t="s">
        <v>27</v>
      </c>
      <c r="N7959" s="116"/>
      <c r="O7959" s="51"/>
    </row>
    <row r="7960">
      <c r="A7960" s="273"/>
      <c r="B7960" s="71"/>
      <c r="C7960" s="69" t="s">
        <v>31356</v>
      </c>
      <c r="D7960" s="71"/>
      <c r="E7960" s="68" t="s">
        <v>31357</v>
      </c>
      <c r="F7960" s="76">
        <v>43338.0</v>
      </c>
      <c r="G7960" s="68" t="s">
        <v>29289</v>
      </c>
      <c r="H7960" s="71"/>
      <c r="I7960" s="71"/>
      <c r="J7960" s="68" t="s">
        <v>31358</v>
      </c>
      <c r="K7960" s="71"/>
      <c r="L7960" s="71"/>
      <c r="M7960" s="68" t="s">
        <v>27</v>
      </c>
      <c r="N7960" s="116"/>
      <c r="O7960" s="51"/>
    </row>
    <row r="7961">
      <c r="A7961" s="273"/>
      <c r="B7961" s="71"/>
      <c r="C7961" s="69" t="s">
        <v>31359</v>
      </c>
      <c r="D7961" s="71"/>
      <c r="E7961" s="68" t="s">
        <v>31360</v>
      </c>
      <c r="F7961" s="76">
        <v>43338.0</v>
      </c>
      <c r="G7961" s="68" t="s">
        <v>29289</v>
      </c>
      <c r="H7961" s="71"/>
      <c r="I7961" s="71"/>
      <c r="J7961" s="68" t="s">
        <v>31361</v>
      </c>
      <c r="K7961" s="71"/>
      <c r="L7961" s="71"/>
      <c r="M7961" s="68" t="s">
        <v>27</v>
      </c>
      <c r="N7961" s="116"/>
      <c r="O7961" s="51"/>
    </row>
    <row r="7962">
      <c r="A7962" s="273"/>
      <c r="B7962" s="71"/>
      <c r="C7962" s="69" t="s">
        <v>31362</v>
      </c>
      <c r="D7962" s="71"/>
      <c r="E7962" s="68" t="s">
        <v>31363</v>
      </c>
      <c r="F7962" s="76">
        <v>43338.0</v>
      </c>
      <c r="G7962" s="68" t="s">
        <v>29289</v>
      </c>
      <c r="H7962" s="71"/>
      <c r="I7962" s="71"/>
      <c r="J7962" s="68" t="s">
        <v>31364</v>
      </c>
      <c r="K7962" s="71"/>
      <c r="L7962" s="71"/>
      <c r="M7962" s="68" t="s">
        <v>27</v>
      </c>
      <c r="N7962" s="116"/>
      <c r="O7962" s="51"/>
    </row>
    <row r="7963">
      <c r="A7963" s="273"/>
      <c r="B7963" s="71"/>
      <c r="C7963" s="69" t="s">
        <v>31365</v>
      </c>
      <c r="D7963" s="71"/>
      <c r="E7963" s="68" t="s">
        <v>31366</v>
      </c>
      <c r="F7963" s="76">
        <v>43338.0</v>
      </c>
      <c r="G7963" s="68" t="s">
        <v>29289</v>
      </c>
      <c r="H7963" s="71"/>
      <c r="I7963" s="71"/>
      <c r="J7963" s="68" t="s">
        <v>31367</v>
      </c>
      <c r="K7963" s="71"/>
      <c r="L7963" s="71"/>
      <c r="M7963" s="68" t="s">
        <v>27</v>
      </c>
      <c r="N7963" s="116"/>
      <c r="O7963" s="51"/>
    </row>
    <row r="7964">
      <c r="A7964" s="273"/>
      <c r="B7964" s="71"/>
      <c r="C7964" s="69" t="s">
        <v>31368</v>
      </c>
      <c r="D7964" s="71"/>
      <c r="E7964" s="68" t="s">
        <v>31369</v>
      </c>
      <c r="F7964" s="76">
        <v>43338.0</v>
      </c>
      <c r="G7964" s="68" t="s">
        <v>29289</v>
      </c>
      <c r="H7964" s="71"/>
      <c r="I7964" s="71"/>
      <c r="J7964" s="68" t="s">
        <v>31370</v>
      </c>
      <c r="K7964" s="71"/>
      <c r="L7964" s="71"/>
      <c r="M7964" s="68" t="s">
        <v>27</v>
      </c>
      <c r="N7964" s="116"/>
      <c r="O7964" s="51"/>
    </row>
    <row r="7965">
      <c r="A7965" s="273"/>
      <c r="B7965" s="71"/>
      <c r="C7965" s="69" t="s">
        <v>31371</v>
      </c>
      <c r="D7965" s="71"/>
      <c r="E7965" s="68" t="s">
        <v>31372</v>
      </c>
      <c r="F7965" s="76">
        <v>43338.0</v>
      </c>
      <c r="G7965" s="68" t="s">
        <v>29289</v>
      </c>
      <c r="H7965" s="71"/>
      <c r="I7965" s="71"/>
      <c r="J7965" s="68" t="s">
        <v>31373</v>
      </c>
      <c r="K7965" s="71"/>
      <c r="L7965" s="71"/>
      <c r="M7965" s="68" t="s">
        <v>27</v>
      </c>
      <c r="N7965" s="116"/>
      <c r="O7965" s="51"/>
    </row>
    <row r="7966">
      <c r="A7966" s="273"/>
      <c r="B7966" s="71"/>
      <c r="C7966" s="69" t="s">
        <v>31374</v>
      </c>
      <c r="D7966" s="71"/>
      <c r="E7966" s="68" t="s">
        <v>31375</v>
      </c>
      <c r="F7966" s="76">
        <v>43338.0</v>
      </c>
      <c r="G7966" s="68" t="s">
        <v>29289</v>
      </c>
      <c r="H7966" s="71"/>
      <c r="I7966" s="71"/>
      <c r="J7966" s="68" t="s">
        <v>31376</v>
      </c>
      <c r="K7966" s="71"/>
      <c r="L7966" s="71"/>
      <c r="M7966" s="68" t="s">
        <v>27</v>
      </c>
      <c r="N7966" s="116"/>
      <c r="O7966" s="51"/>
    </row>
    <row r="7967">
      <c r="A7967" s="273"/>
      <c r="B7967" s="71"/>
      <c r="C7967" s="69" t="s">
        <v>31377</v>
      </c>
      <c r="D7967" s="71"/>
      <c r="E7967" s="68" t="s">
        <v>31378</v>
      </c>
      <c r="F7967" s="76">
        <v>43338.0</v>
      </c>
      <c r="G7967" s="68" t="s">
        <v>29289</v>
      </c>
      <c r="H7967" s="71"/>
      <c r="I7967" s="71"/>
      <c r="J7967" s="68" t="s">
        <v>31379</v>
      </c>
      <c r="K7967" s="71"/>
      <c r="L7967" s="71"/>
      <c r="M7967" s="68" t="s">
        <v>27</v>
      </c>
      <c r="N7967" s="116"/>
      <c r="O7967" s="51"/>
    </row>
    <row r="7968">
      <c r="A7968" s="273"/>
      <c r="B7968" s="71"/>
      <c r="C7968" s="69" t="s">
        <v>31380</v>
      </c>
      <c r="D7968" s="71"/>
      <c r="E7968" s="68" t="s">
        <v>31381</v>
      </c>
      <c r="F7968" s="76">
        <v>43338.0</v>
      </c>
      <c r="G7968" s="68" t="s">
        <v>29289</v>
      </c>
      <c r="H7968" s="71"/>
      <c r="I7968" s="71"/>
      <c r="J7968" s="68" t="s">
        <v>31382</v>
      </c>
      <c r="K7968" s="71"/>
      <c r="L7968" s="71"/>
      <c r="M7968" s="68" t="s">
        <v>27</v>
      </c>
      <c r="N7968" s="116"/>
      <c r="O7968" s="51"/>
    </row>
    <row r="7969">
      <c r="A7969" s="273"/>
      <c r="B7969" s="71"/>
      <c r="C7969" s="69" t="s">
        <v>31383</v>
      </c>
      <c r="D7969" s="71"/>
      <c r="E7969" s="68" t="s">
        <v>31384</v>
      </c>
      <c r="F7969" s="76">
        <v>42973.0</v>
      </c>
      <c r="G7969" s="68" t="s">
        <v>31385</v>
      </c>
      <c r="H7969" s="71"/>
      <c r="I7969" s="71"/>
      <c r="J7969" s="68" t="s">
        <v>31386</v>
      </c>
      <c r="K7969" s="71"/>
      <c r="L7969" s="71"/>
      <c r="M7969" s="68" t="s">
        <v>27</v>
      </c>
      <c r="N7969" s="116"/>
      <c r="O7969" s="51"/>
    </row>
    <row r="7970">
      <c r="A7970" s="273"/>
      <c r="B7970" s="71"/>
      <c r="C7970" s="69" t="s">
        <v>31387</v>
      </c>
      <c r="D7970" s="71"/>
      <c r="E7970" s="68" t="s">
        <v>31388</v>
      </c>
      <c r="F7970" s="76">
        <v>42973.0</v>
      </c>
      <c r="G7970" s="68" t="s">
        <v>29289</v>
      </c>
      <c r="H7970" s="71"/>
      <c r="I7970" s="71"/>
      <c r="J7970" s="68" t="s">
        <v>31389</v>
      </c>
      <c r="K7970" s="71"/>
      <c r="L7970" s="71"/>
      <c r="M7970" s="68" t="s">
        <v>27</v>
      </c>
      <c r="N7970" s="116"/>
      <c r="O7970" s="51"/>
    </row>
    <row r="7971">
      <c r="A7971" s="273"/>
      <c r="B7971" s="71"/>
      <c r="C7971" s="69" t="s">
        <v>31390</v>
      </c>
      <c r="D7971" s="71"/>
      <c r="E7971" s="68" t="s">
        <v>31391</v>
      </c>
      <c r="F7971" s="76">
        <v>43048.0</v>
      </c>
      <c r="G7971" s="68" t="s">
        <v>31392</v>
      </c>
      <c r="H7971" s="71"/>
      <c r="I7971" s="71"/>
      <c r="J7971" s="68" t="s">
        <v>31393</v>
      </c>
      <c r="K7971" s="71"/>
      <c r="L7971" s="71"/>
      <c r="M7971" s="68" t="s">
        <v>27</v>
      </c>
      <c r="N7971" s="116"/>
      <c r="O7971" s="51"/>
    </row>
    <row r="7972">
      <c r="A7972" s="273"/>
      <c r="B7972" s="71"/>
      <c r="C7972" s="69" t="s">
        <v>31394</v>
      </c>
      <c r="D7972" s="71"/>
      <c r="E7972" s="68" t="s">
        <v>31395</v>
      </c>
      <c r="F7972" s="76">
        <v>43017.0</v>
      </c>
      <c r="G7972" s="68" t="s">
        <v>31392</v>
      </c>
      <c r="H7972" s="71"/>
      <c r="I7972" s="71"/>
      <c r="J7972" s="68" t="s">
        <v>31396</v>
      </c>
      <c r="K7972" s="71"/>
      <c r="L7972" s="71"/>
      <c r="M7972" s="68" t="s">
        <v>27</v>
      </c>
      <c r="N7972" s="116"/>
      <c r="O7972" s="51"/>
    </row>
    <row r="7973">
      <c r="A7973" s="273"/>
      <c r="B7973" s="71"/>
      <c r="C7973" s="69" t="s">
        <v>31397</v>
      </c>
      <c r="D7973" s="71"/>
      <c r="E7973" s="68" t="s">
        <v>31398</v>
      </c>
      <c r="F7973" s="76">
        <v>42993.0</v>
      </c>
      <c r="G7973" s="68" t="s">
        <v>31399</v>
      </c>
      <c r="H7973" s="71"/>
      <c r="I7973" s="71"/>
      <c r="J7973" s="68" t="s">
        <v>31400</v>
      </c>
      <c r="K7973" s="71"/>
      <c r="L7973" s="71"/>
      <c r="M7973" s="68" t="s">
        <v>27</v>
      </c>
      <c r="N7973" s="116"/>
      <c r="O7973" s="51"/>
    </row>
    <row r="7974">
      <c r="A7974" s="273"/>
      <c r="B7974" s="71"/>
      <c r="C7974" s="69" t="s">
        <v>31401</v>
      </c>
      <c r="D7974" s="71"/>
      <c r="E7974" s="68" t="s">
        <v>31402</v>
      </c>
      <c r="F7974" s="76">
        <v>42993.0</v>
      </c>
      <c r="G7974" s="68" t="s">
        <v>31399</v>
      </c>
      <c r="H7974" s="71"/>
      <c r="I7974" s="71"/>
      <c r="J7974" s="68" t="s">
        <v>31403</v>
      </c>
      <c r="K7974" s="71"/>
      <c r="L7974" s="71"/>
      <c r="M7974" s="68" t="s">
        <v>27</v>
      </c>
      <c r="N7974" s="116"/>
      <c r="O7974" s="51"/>
    </row>
    <row r="7975">
      <c r="A7975" s="273"/>
      <c r="B7975" s="71"/>
      <c r="C7975" s="69" t="s">
        <v>31404</v>
      </c>
      <c r="D7975" s="71"/>
      <c r="E7975" s="68" t="s">
        <v>31405</v>
      </c>
      <c r="F7975" s="76">
        <v>42993.0</v>
      </c>
      <c r="G7975" s="68" t="s">
        <v>31399</v>
      </c>
      <c r="H7975" s="71"/>
      <c r="I7975" s="71"/>
      <c r="J7975" s="68" t="s">
        <v>31406</v>
      </c>
      <c r="K7975" s="71"/>
      <c r="L7975" s="71"/>
      <c r="M7975" s="68" t="s">
        <v>27</v>
      </c>
      <c r="N7975" s="116"/>
      <c r="O7975" s="51"/>
    </row>
    <row r="7976">
      <c r="A7976" s="273"/>
      <c r="B7976" s="71"/>
      <c r="C7976" s="69" t="s">
        <v>31407</v>
      </c>
      <c r="D7976" s="71"/>
      <c r="E7976" s="68" t="s">
        <v>31408</v>
      </c>
      <c r="F7976" s="76">
        <v>42993.0</v>
      </c>
      <c r="G7976" s="68" t="s">
        <v>31399</v>
      </c>
      <c r="H7976" s="71"/>
      <c r="I7976" s="71"/>
      <c r="J7976" s="68" t="s">
        <v>31409</v>
      </c>
      <c r="K7976" s="71"/>
      <c r="L7976" s="71"/>
      <c r="M7976" s="68" t="s">
        <v>27</v>
      </c>
      <c r="N7976" s="116"/>
      <c r="O7976" s="51"/>
    </row>
    <row r="7977">
      <c r="A7977" s="273"/>
      <c r="B7977" s="71"/>
      <c r="C7977" s="69" t="s">
        <v>31410</v>
      </c>
      <c r="D7977" s="71"/>
      <c r="E7977" s="68" t="s">
        <v>31411</v>
      </c>
      <c r="F7977" s="76">
        <v>42993.0</v>
      </c>
      <c r="G7977" s="68" t="s">
        <v>31399</v>
      </c>
      <c r="H7977" s="71"/>
      <c r="I7977" s="71"/>
      <c r="J7977" s="68" t="s">
        <v>31412</v>
      </c>
      <c r="K7977" s="71"/>
      <c r="L7977" s="71"/>
      <c r="M7977" s="68" t="s">
        <v>27</v>
      </c>
      <c r="N7977" s="116"/>
      <c r="O7977" s="51"/>
    </row>
    <row r="7978">
      <c r="A7978" s="273"/>
      <c r="B7978" s="71"/>
      <c r="C7978" s="69" t="s">
        <v>31413</v>
      </c>
      <c r="D7978" s="71"/>
      <c r="E7978" s="68" t="s">
        <v>31414</v>
      </c>
      <c r="F7978" s="76">
        <v>42993.0</v>
      </c>
      <c r="G7978" s="68" t="s">
        <v>31415</v>
      </c>
      <c r="H7978" s="71"/>
      <c r="I7978" s="71"/>
      <c r="J7978" s="68" t="s">
        <v>31416</v>
      </c>
      <c r="K7978" s="71"/>
      <c r="L7978" s="71"/>
      <c r="M7978" s="68" t="s">
        <v>27</v>
      </c>
      <c r="N7978" s="116"/>
      <c r="O7978" s="51"/>
    </row>
    <row r="7979">
      <c r="A7979" s="273"/>
      <c r="B7979" s="71"/>
      <c r="C7979" s="69" t="s">
        <v>31417</v>
      </c>
      <c r="D7979" s="71"/>
      <c r="E7979" s="68" t="s">
        <v>31418</v>
      </c>
      <c r="F7979" s="76">
        <v>42993.0</v>
      </c>
      <c r="G7979" s="68" t="s">
        <v>31399</v>
      </c>
      <c r="H7979" s="71"/>
      <c r="I7979" s="71"/>
      <c r="J7979" s="68" t="s">
        <v>31419</v>
      </c>
      <c r="K7979" s="71"/>
      <c r="L7979" s="71"/>
      <c r="M7979" s="68" t="s">
        <v>27</v>
      </c>
      <c r="N7979" s="116"/>
      <c r="O7979" s="51"/>
    </row>
    <row r="7980">
      <c r="A7980" s="273"/>
      <c r="B7980" s="71"/>
      <c r="C7980" s="69" t="s">
        <v>31420</v>
      </c>
      <c r="D7980" s="71"/>
      <c r="E7980" s="68" t="s">
        <v>31421</v>
      </c>
      <c r="F7980" s="76">
        <v>42993.0</v>
      </c>
      <c r="G7980" s="68" t="s">
        <v>31422</v>
      </c>
      <c r="H7980" s="71"/>
      <c r="I7980" s="71"/>
      <c r="J7980" s="68" t="s">
        <v>31423</v>
      </c>
      <c r="K7980" s="71"/>
      <c r="L7980" s="71"/>
      <c r="M7980" s="68" t="s">
        <v>27</v>
      </c>
      <c r="N7980" s="116"/>
      <c r="O7980" s="51"/>
    </row>
    <row r="7981">
      <c r="A7981" s="273"/>
      <c r="B7981" s="71"/>
      <c r="C7981" s="69" t="s">
        <v>31424</v>
      </c>
      <c r="D7981" s="71"/>
      <c r="E7981" s="68" t="s">
        <v>31425</v>
      </c>
      <c r="F7981" s="76">
        <v>42993.0</v>
      </c>
      <c r="G7981" s="68" t="s">
        <v>31399</v>
      </c>
      <c r="H7981" s="71"/>
      <c r="I7981" s="71"/>
      <c r="J7981" s="68" t="s">
        <v>31426</v>
      </c>
      <c r="K7981" s="71"/>
      <c r="L7981" s="71"/>
      <c r="M7981" s="68" t="s">
        <v>27</v>
      </c>
      <c r="N7981" s="116"/>
      <c r="O7981" s="51"/>
    </row>
    <row r="7982">
      <c r="A7982" s="273"/>
      <c r="B7982" s="71"/>
      <c r="C7982" s="69" t="s">
        <v>31427</v>
      </c>
      <c r="D7982" s="71"/>
      <c r="E7982" s="68" t="s">
        <v>31428</v>
      </c>
      <c r="F7982" s="76">
        <v>42993.0</v>
      </c>
      <c r="G7982" s="68" t="s">
        <v>31415</v>
      </c>
      <c r="H7982" s="71"/>
      <c r="I7982" s="71"/>
      <c r="J7982" s="68" t="s">
        <v>31429</v>
      </c>
      <c r="K7982" s="71"/>
      <c r="L7982" s="71"/>
      <c r="M7982" s="68" t="s">
        <v>27</v>
      </c>
      <c r="N7982" s="116"/>
      <c r="O7982" s="51"/>
    </row>
    <row r="7983">
      <c r="A7983" s="273"/>
      <c r="B7983" s="71"/>
      <c r="C7983" s="69" t="s">
        <v>31430</v>
      </c>
      <c r="D7983" s="71"/>
      <c r="E7983" s="68" t="s">
        <v>31431</v>
      </c>
      <c r="F7983" s="76">
        <v>42993.0</v>
      </c>
      <c r="G7983" s="68" t="s">
        <v>31415</v>
      </c>
      <c r="H7983" s="71"/>
      <c r="I7983" s="71"/>
      <c r="J7983" s="68" t="s">
        <v>31432</v>
      </c>
      <c r="K7983" s="71"/>
      <c r="L7983" s="71"/>
      <c r="M7983" s="68" t="s">
        <v>27</v>
      </c>
      <c r="N7983" s="116"/>
      <c r="O7983" s="51"/>
    </row>
    <row r="7984">
      <c r="A7984" s="273"/>
      <c r="B7984" s="71"/>
      <c r="C7984" s="69" t="s">
        <v>31433</v>
      </c>
      <c r="D7984" s="71"/>
      <c r="E7984" s="68" t="s">
        <v>31434</v>
      </c>
      <c r="F7984" s="76">
        <v>42993.0</v>
      </c>
      <c r="G7984" s="68" t="s">
        <v>31415</v>
      </c>
      <c r="H7984" s="71"/>
      <c r="I7984" s="71"/>
      <c r="J7984" s="68" t="s">
        <v>31435</v>
      </c>
      <c r="K7984" s="71"/>
      <c r="L7984" s="71"/>
      <c r="M7984" s="68" t="s">
        <v>27</v>
      </c>
      <c r="N7984" s="116"/>
      <c r="O7984" s="51"/>
    </row>
    <row r="7985">
      <c r="A7985" s="273"/>
      <c r="B7985" s="71"/>
      <c r="C7985" s="69" t="s">
        <v>31436</v>
      </c>
      <c r="D7985" s="71"/>
      <c r="E7985" s="68" t="s">
        <v>31437</v>
      </c>
      <c r="F7985" s="76">
        <v>42993.0</v>
      </c>
      <c r="G7985" s="68" t="s">
        <v>31415</v>
      </c>
      <c r="H7985" s="71"/>
      <c r="I7985" s="71"/>
      <c r="J7985" s="68" t="s">
        <v>31438</v>
      </c>
      <c r="K7985" s="71"/>
      <c r="L7985" s="71"/>
      <c r="M7985" s="68" t="s">
        <v>27</v>
      </c>
      <c r="N7985" s="116"/>
      <c r="O7985" s="51"/>
    </row>
    <row r="7986">
      <c r="A7986" s="273"/>
      <c r="B7986" s="71"/>
      <c r="C7986" s="69" t="s">
        <v>31439</v>
      </c>
      <c r="D7986" s="71"/>
      <c r="E7986" s="68" t="s">
        <v>31440</v>
      </c>
      <c r="F7986" s="76">
        <v>42993.0</v>
      </c>
      <c r="G7986" s="68" t="s">
        <v>31415</v>
      </c>
      <c r="H7986" s="71"/>
      <c r="I7986" s="71"/>
      <c r="J7986" s="68" t="s">
        <v>31441</v>
      </c>
      <c r="K7986" s="71"/>
      <c r="L7986" s="71"/>
      <c r="M7986" s="68" t="s">
        <v>27</v>
      </c>
      <c r="N7986" s="116"/>
      <c r="O7986" s="51"/>
    </row>
    <row r="7987">
      <c r="A7987" s="273"/>
      <c r="B7987" s="71"/>
      <c r="C7987" s="69" t="s">
        <v>31442</v>
      </c>
      <c r="D7987" s="71"/>
      <c r="E7987" s="68" t="s">
        <v>31443</v>
      </c>
      <c r="F7987" s="76">
        <v>42993.0</v>
      </c>
      <c r="G7987" s="68" t="s">
        <v>31415</v>
      </c>
      <c r="H7987" s="71"/>
      <c r="I7987" s="71"/>
      <c r="J7987" s="68" t="s">
        <v>31444</v>
      </c>
      <c r="K7987" s="71"/>
      <c r="L7987" s="71"/>
      <c r="M7987" s="68" t="s">
        <v>27</v>
      </c>
      <c r="N7987" s="116"/>
      <c r="O7987" s="51"/>
    </row>
    <row r="7988">
      <c r="A7988" s="273"/>
      <c r="B7988" s="71"/>
      <c r="C7988" s="69" t="s">
        <v>31445</v>
      </c>
      <c r="D7988" s="71"/>
      <c r="E7988" s="68" t="s">
        <v>31446</v>
      </c>
      <c r="F7988" s="76">
        <v>42993.0</v>
      </c>
      <c r="G7988" s="68" t="s">
        <v>31415</v>
      </c>
      <c r="H7988" s="71"/>
      <c r="I7988" s="71"/>
      <c r="J7988" s="68" t="s">
        <v>31447</v>
      </c>
      <c r="K7988" s="71"/>
      <c r="L7988" s="71"/>
      <c r="M7988" s="68" t="s">
        <v>27</v>
      </c>
      <c r="N7988" s="116"/>
      <c r="O7988" s="51"/>
    </row>
    <row r="7989">
      <c r="A7989" s="273"/>
      <c r="B7989" s="71"/>
      <c r="C7989" s="69" t="s">
        <v>31448</v>
      </c>
      <c r="D7989" s="71"/>
      <c r="E7989" s="68" t="s">
        <v>31449</v>
      </c>
      <c r="F7989" s="76">
        <v>42993.0</v>
      </c>
      <c r="G7989" s="68" t="s">
        <v>31415</v>
      </c>
      <c r="H7989" s="71"/>
      <c r="I7989" s="71"/>
      <c r="J7989" s="68" t="s">
        <v>31450</v>
      </c>
      <c r="K7989" s="71"/>
      <c r="L7989" s="71"/>
      <c r="M7989" s="68" t="s">
        <v>27</v>
      </c>
      <c r="N7989" s="116"/>
      <c r="O7989" s="51"/>
    </row>
    <row r="7990">
      <c r="A7990" s="273"/>
      <c r="B7990" s="71"/>
      <c r="C7990" s="69" t="s">
        <v>31451</v>
      </c>
      <c r="D7990" s="71"/>
      <c r="E7990" s="68" t="s">
        <v>31452</v>
      </c>
      <c r="F7990" s="76">
        <v>42993.0</v>
      </c>
      <c r="G7990" s="68" t="s">
        <v>31415</v>
      </c>
      <c r="H7990" s="71"/>
      <c r="I7990" s="71"/>
      <c r="J7990" s="68" t="s">
        <v>31453</v>
      </c>
      <c r="K7990" s="71"/>
      <c r="L7990" s="71"/>
      <c r="M7990" s="68" t="s">
        <v>27</v>
      </c>
      <c r="N7990" s="116"/>
      <c r="O7990" s="51"/>
    </row>
    <row r="7991">
      <c r="A7991" s="273"/>
      <c r="B7991" s="71"/>
      <c r="C7991" s="69" t="s">
        <v>31454</v>
      </c>
      <c r="D7991" s="71"/>
      <c r="E7991" s="68" t="s">
        <v>31455</v>
      </c>
      <c r="F7991" s="76">
        <v>42993.0</v>
      </c>
      <c r="G7991" s="68" t="s">
        <v>31415</v>
      </c>
      <c r="H7991" s="71"/>
      <c r="I7991" s="71"/>
      <c r="J7991" s="68" t="s">
        <v>31456</v>
      </c>
      <c r="K7991" s="71"/>
      <c r="L7991" s="71"/>
      <c r="M7991" s="68" t="s">
        <v>27</v>
      </c>
      <c r="N7991" s="116"/>
      <c r="O7991" s="51"/>
    </row>
    <row r="7992">
      <c r="A7992" s="273"/>
      <c r="B7992" s="71"/>
      <c r="C7992" s="69" t="s">
        <v>31457</v>
      </c>
      <c r="D7992" s="71"/>
      <c r="E7992" s="68" t="s">
        <v>31458</v>
      </c>
      <c r="F7992" s="76">
        <v>42993.0</v>
      </c>
      <c r="G7992" s="68" t="s">
        <v>31415</v>
      </c>
      <c r="H7992" s="71"/>
      <c r="I7992" s="71"/>
      <c r="J7992" s="68" t="s">
        <v>31459</v>
      </c>
      <c r="K7992" s="71"/>
      <c r="L7992" s="71"/>
      <c r="M7992" s="68" t="s">
        <v>27</v>
      </c>
      <c r="N7992" s="116"/>
      <c r="O7992" s="51"/>
    </row>
    <row r="7993">
      <c r="A7993" s="273"/>
      <c r="B7993" s="71"/>
      <c r="C7993" s="69" t="s">
        <v>31460</v>
      </c>
      <c r="D7993" s="71"/>
      <c r="E7993" s="68" t="s">
        <v>31461</v>
      </c>
      <c r="F7993" s="76">
        <v>42993.0</v>
      </c>
      <c r="G7993" s="68" t="s">
        <v>31415</v>
      </c>
      <c r="H7993" s="71"/>
      <c r="I7993" s="71"/>
      <c r="J7993" s="68" t="s">
        <v>31462</v>
      </c>
      <c r="K7993" s="71"/>
      <c r="L7993" s="71"/>
      <c r="M7993" s="68" t="s">
        <v>27</v>
      </c>
      <c r="N7993" s="116"/>
      <c r="O7993" s="51"/>
    </row>
    <row r="7994">
      <c r="A7994" s="273"/>
      <c r="B7994" s="71"/>
      <c r="C7994" s="69" t="s">
        <v>31463</v>
      </c>
      <c r="D7994" s="71"/>
      <c r="E7994" s="68" t="s">
        <v>31464</v>
      </c>
      <c r="F7994" s="76">
        <v>42993.0</v>
      </c>
      <c r="G7994" s="68" t="s">
        <v>31415</v>
      </c>
      <c r="H7994" s="71"/>
      <c r="I7994" s="71"/>
      <c r="J7994" s="68" t="s">
        <v>31465</v>
      </c>
      <c r="K7994" s="71"/>
      <c r="L7994" s="71"/>
      <c r="M7994" s="68" t="s">
        <v>27</v>
      </c>
      <c r="N7994" s="116"/>
      <c r="O7994" s="51"/>
    </row>
    <row r="7995">
      <c r="A7995" s="273"/>
      <c r="B7995" s="71"/>
      <c r="C7995" s="69" t="s">
        <v>31466</v>
      </c>
      <c r="D7995" s="71"/>
      <c r="E7995" s="68" t="s">
        <v>31467</v>
      </c>
      <c r="F7995" s="76">
        <v>42993.0</v>
      </c>
      <c r="G7995" s="68" t="s">
        <v>31415</v>
      </c>
      <c r="H7995" s="71"/>
      <c r="I7995" s="71"/>
      <c r="J7995" s="68" t="s">
        <v>31465</v>
      </c>
      <c r="K7995" s="71"/>
      <c r="L7995" s="71"/>
      <c r="M7995" s="68" t="s">
        <v>27</v>
      </c>
      <c r="N7995" s="116"/>
      <c r="O7995" s="51"/>
    </row>
    <row r="7996">
      <c r="A7996" s="273"/>
      <c r="B7996" s="71"/>
      <c r="C7996" s="69" t="s">
        <v>31468</v>
      </c>
      <c r="D7996" s="71"/>
      <c r="E7996" s="68" t="s">
        <v>31469</v>
      </c>
      <c r="F7996" s="76">
        <v>42993.0</v>
      </c>
      <c r="G7996" s="68" t="s">
        <v>31399</v>
      </c>
      <c r="H7996" s="71"/>
      <c r="I7996" s="71"/>
      <c r="J7996" s="68" t="s">
        <v>31470</v>
      </c>
      <c r="K7996" s="71"/>
      <c r="L7996" s="71"/>
      <c r="M7996" s="68" t="s">
        <v>27</v>
      </c>
      <c r="N7996" s="116"/>
      <c r="O7996" s="51"/>
    </row>
    <row r="7997">
      <c r="A7997" s="273"/>
      <c r="B7997" s="71"/>
      <c r="C7997" s="69" t="s">
        <v>31471</v>
      </c>
      <c r="D7997" s="71"/>
      <c r="E7997" s="68" t="s">
        <v>31472</v>
      </c>
      <c r="F7997" s="76">
        <v>42987.0</v>
      </c>
      <c r="G7997" s="68" t="s">
        <v>31473</v>
      </c>
      <c r="H7997" s="71"/>
      <c r="I7997" s="71"/>
      <c r="J7997" s="68" t="s">
        <v>31474</v>
      </c>
      <c r="K7997" s="71"/>
      <c r="L7997" s="71"/>
      <c r="M7997" s="68" t="s">
        <v>27</v>
      </c>
      <c r="N7997" s="116"/>
      <c r="O7997" s="51"/>
    </row>
    <row r="7998">
      <c r="A7998" s="273"/>
      <c r="B7998" s="71"/>
      <c r="C7998" s="69" t="s">
        <v>31475</v>
      </c>
      <c r="D7998" s="71"/>
      <c r="E7998" s="68" t="s">
        <v>31476</v>
      </c>
      <c r="F7998" s="76">
        <v>42987.0</v>
      </c>
      <c r="G7998" s="68" t="s">
        <v>31473</v>
      </c>
      <c r="H7998" s="71"/>
      <c r="I7998" s="71"/>
      <c r="J7998" s="68" t="s">
        <v>31477</v>
      </c>
      <c r="K7998" s="71"/>
      <c r="L7998" s="71"/>
      <c r="M7998" s="68" t="s">
        <v>27</v>
      </c>
      <c r="N7998" s="116"/>
      <c r="O7998" s="51"/>
    </row>
    <row r="7999">
      <c r="A7999" s="273"/>
      <c r="B7999" s="71"/>
      <c r="C7999" s="69" t="s">
        <v>31478</v>
      </c>
      <c r="D7999" s="71"/>
      <c r="E7999" s="68" t="s">
        <v>31479</v>
      </c>
      <c r="F7999" s="76">
        <v>42987.0</v>
      </c>
      <c r="G7999" s="68" t="s">
        <v>31473</v>
      </c>
      <c r="H7999" s="71"/>
      <c r="I7999" s="71"/>
      <c r="J7999" s="68" t="s">
        <v>31480</v>
      </c>
      <c r="K7999" s="71"/>
      <c r="L7999" s="71"/>
      <c r="M7999" s="68" t="s">
        <v>27</v>
      </c>
      <c r="N7999" s="116"/>
      <c r="O7999" s="51"/>
    </row>
    <row r="8000">
      <c r="A8000" s="273"/>
      <c r="B8000" s="71"/>
      <c r="C8000" s="69" t="s">
        <v>31481</v>
      </c>
      <c r="D8000" s="71"/>
      <c r="E8000" s="68" t="s">
        <v>31482</v>
      </c>
      <c r="F8000" s="76">
        <v>42987.0</v>
      </c>
      <c r="G8000" s="68" t="s">
        <v>31473</v>
      </c>
      <c r="H8000" s="71"/>
      <c r="I8000" s="71"/>
      <c r="J8000" s="68" t="s">
        <v>31483</v>
      </c>
      <c r="K8000" s="71"/>
      <c r="L8000" s="71"/>
      <c r="M8000" s="68" t="s">
        <v>27</v>
      </c>
      <c r="N8000" s="116"/>
      <c r="O8000" s="51"/>
    </row>
    <row r="8001">
      <c r="A8001" s="273"/>
      <c r="B8001" s="71"/>
      <c r="C8001" s="69" t="s">
        <v>31484</v>
      </c>
      <c r="D8001" s="71"/>
      <c r="E8001" s="68" t="s">
        <v>31485</v>
      </c>
      <c r="F8001" s="76">
        <v>42987.0</v>
      </c>
      <c r="G8001" s="68" t="s">
        <v>31473</v>
      </c>
      <c r="H8001" s="71"/>
      <c r="I8001" s="71"/>
      <c r="J8001" s="68" t="s">
        <v>31486</v>
      </c>
      <c r="K8001" s="71"/>
      <c r="L8001" s="71"/>
      <c r="M8001" s="68" t="s">
        <v>27</v>
      </c>
      <c r="N8001" s="87" t="s">
        <v>31487</v>
      </c>
      <c r="O8001" s="51"/>
    </row>
    <row r="8002">
      <c r="A8002" s="234"/>
      <c r="B8002" s="71"/>
      <c r="C8002" s="79" t="s">
        <v>31488</v>
      </c>
      <c r="D8002" s="82"/>
      <c r="E8002" s="63" t="s">
        <v>31489</v>
      </c>
      <c r="F8002" s="70">
        <v>43941.0</v>
      </c>
      <c r="G8002" s="63" t="s">
        <v>31490</v>
      </c>
      <c r="H8002" s="80" t="s">
        <v>31491</v>
      </c>
      <c r="I8002" s="82"/>
      <c r="J8002" s="80" t="s">
        <v>136</v>
      </c>
      <c r="K8002" s="81">
        <v>44347.0</v>
      </c>
      <c r="L8002" s="80" t="s">
        <v>2743</v>
      </c>
      <c r="M8002" s="80" t="s">
        <v>368</v>
      </c>
      <c r="N8002" s="87" t="s">
        <v>31492</v>
      </c>
      <c r="O8002" s="51"/>
    </row>
    <row r="8003">
      <c r="A8003" s="273"/>
      <c r="B8003" s="71"/>
      <c r="C8003" s="69" t="s">
        <v>31493</v>
      </c>
      <c r="D8003" s="71"/>
      <c r="E8003" s="68" t="s">
        <v>31494</v>
      </c>
      <c r="F8003" s="76">
        <v>44340.0</v>
      </c>
      <c r="G8003" s="68" t="s">
        <v>31495</v>
      </c>
      <c r="H8003" s="68" t="s">
        <v>31496</v>
      </c>
      <c r="I8003" s="71"/>
      <c r="J8003" s="68" t="s">
        <v>31497</v>
      </c>
      <c r="K8003" s="76">
        <v>44347.0</v>
      </c>
      <c r="L8003" s="68" t="s">
        <v>2743</v>
      </c>
      <c r="M8003" s="68" t="s">
        <v>143</v>
      </c>
      <c r="N8003" s="116"/>
      <c r="O8003" s="51"/>
    </row>
    <row r="8004">
      <c r="A8004" s="273"/>
      <c r="B8004" s="71"/>
      <c r="C8004" s="69" t="s">
        <v>31498</v>
      </c>
      <c r="D8004" s="71"/>
      <c r="E8004" s="68" t="s">
        <v>31499</v>
      </c>
      <c r="F8004" s="76">
        <v>44063.0</v>
      </c>
      <c r="G8004" s="68" t="s">
        <v>31500</v>
      </c>
      <c r="H8004" s="68" t="s">
        <v>31501</v>
      </c>
      <c r="I8004" s="71"/>
      <c r="J8004" s="68" t="s">
        <v>31502</v>
      </c>
      <c r="K8004" s="76">
        <v>44350.0</v>
      </c>
      <c r="L8004" s="68" t="s">
        <v>2743</v>
      </c>
      <c r="M8004" s="68" t="s">
        <v>125</v>
      </c>
      <c r="N8004" s="116"/>
      <c r="O8004" s="51"/>
    </row>
    <row r="8005">
      <c r="A8005" s="273"/>
      <c r="B8005" s="71"/>
      <c r="C8005" s="69" t="s">
        <v>31503</v>
      </c>
      <c r="D8005" s="71"/>
      <c r="E8005" s="68" t="s">
        <v>31504</v>
      </c>
      <c r="F8005" s="76">
        <v>44263.0</v>
      </c>
      <c r="G8005" s="68" t="s">
        <v>31505</v>
      </c>
      <c r="H8005" s="68" t="s">
        <v>31506</v>
      </c>
      <c r="I8005" s="71"/>
      <c r="J8005" s="68" t="s">
        <v>31507</v>
      </c>
      <c r="K8005" s="76">
        <v>44350.0</v>
      </c>
      <c r="L8005" s="68" t="s">
        <v>2743</v>
      </c>
      <c r="M8005" s="68" t="s">
        <v>22473</v>
      </c>
      <c r="N8005" s="116"/>
      <c r="O8005" s="51"/>
    </row>
    <row r="8006">
      <c r="A8006" s="234"/>
      <c r="B8006" s="71"/>
      <c r="C8006" s="79" t="s">
        <v>31508</v>
      </c>
      <c r="D8006" s="82"/>
      <c r="E8006" s="63" t="s">
        <v>31509</v>
      </c>
      <c r="F8006" s="70">
        <v>44092.0</v>
      </c>
      <c r="G8006" s="63" t="s">
        <v>31510</v>
      </c>
      <c r="H8006" s="80" t="s">
        <v>31511</v>
      </c>
      <c r="I8006" s="82"/>
      <c r="J8006" s="80" t="s">
        <v>136</v>
      </c>
      <c r="K8006" s="81">
        <v>44350.0</v>
      </c>
      <c r="L8006" s="80" t="s">
        <v>2743</v>
      </c>
      <c r="M8006" s="80" t="s">
        <v>125</v>
      </c>
      <c r="N8006" s="116"/>
      <c r="O8006" s="51"/>
    </row>
    <row r="8007">
      <c r="A8007" s="234"/>
      <c r="B8007" s="71"/>
      <c r="C8007" s="79" t="s">
        <v>31512</v>
      </c>
      <c r="D8007" s="82"/>
      <c r="E8007" s="63" t="s">
        <v>31513</v>
      </c>
      <c r="F8007" s="70">
        <v>42522.0</v>
      </c>
      <c r="G8007" s="63" t="s">
        <v>31514</v>
      </c>
      <c r="H8007" s="80" t="s">
        <v>31515</v>
      </c>
      <c r="I8007" s="82"/>
      <c r="J8007" s="80" t="s">
        <v>136</v>
      </c>
      <c r="K8007" s="81">
        <v>44350.0</v>
      </c>
      <c r="L8007" s="80" t="s">
        <v>2743</v>
      </c>
      <c r="M8007" s="80" t="s">
        <v>143</v>
      </c>
      <c r="N8007" s="116"/>
      <c r="O8007" s="51"/>
    </row>
    <row r="8008">
      <c r="A8008" s="234"/>
      <c r="B8008" s="71"/>
      <c r="C8008" s="79" t="s">
        <v>31516</v>
      </c>
      <c r="D8008" s="82"/>
      <c r="E8008" s="63" t="s">
        <v>31517</v>
      </c>
      <c r="F8008" s="70">
        <v>43494.0</v>
      </c>
      <c r="G8008" s="63" t="s">
        <v>31518</v>
      </c>
      <c r="H8008" s="80" t="s">
        <v>31519</v>
      </c>
      <c r="I8008" s="82"/>
      <c r="J8008" s="80" t="s">
        <v>136</v>
      </c>
      <c r="K8008" s="81">
        <v>44350.0</v>
      </c>
      <c r="L8008" s="80" t="s">
        <v>20958</v>
      </c>
      <c r="M8008" s="80" t="s">
        <v>27</v>
      </c>
      <c r="N8008" s="116"/>
      <c r="O8008" s="51"/>
    </row>
    <row r="8009">
      <c r="A8009" s="273"/>
      <c r="B8009" s="71"/>
      <c r="C8009" s="69" t="s">
        <v>31520</v>
      </c>
      <c r="D8009" s="71"/>
      <c r="E8009" s="68" t="s">
        <v>31521</v>
      </c>
      <c r="F8009" s="83">
        <v>44116.0</v>
      </c>
      <c r="G8009" s="68" t="s">
        <v>31522</v>
      </c>
      <c r="H8009" s="68" t="s">
        <v>31523</v>
      </c>
      <c r="I8009" s="71"/>
      <c r="J8009" s="68" t="s">
        <v>31524</v>
      </c>
      <c r="K8009" s="76">
        <v>44354.0</v>
      </c>
      <c r="L8009" s="68" t="s">
        <v>2743</v>
      </c>
      <c r="M8009" s="68" t="s">
        <v>166</v>
      </c>
      <c r="N8009" s="116"/>
      <c r="O8009" s="51"/>
    </row>
    <row r="8010">
      <c r="A8010" s="234"/>
      <c r="B8010" s="71"/>
      <c r="C8010" s="79" t="s">
        <v>31525</v>
      </c>
      <c r="D8010" s="82"/>
      <c r="E8010" s="63" t="s">
        <v>31526</v>
      </c>
      <c r="F8010" s="65">
        <v>41264.0</v>
      </c>
      <c r="G8010" s="63" t="s">
        <v>31527</v>
      </c>
      <c r="H8010" s="80" t="s">
        <v>31528</v>
      </c>
      <c r="I8010" s="82"/>
      <c r="J8010" s="80" t="s">
        <v>136</v>
      </c>
      <c r="K8010" s="81">
        <v>44354.0</v>
      </c>
      <c r="L8010" s="80" t="s">
        <v>2743</v>
      </c>
      <c r="M8010" s="80" t="s">
        <v>542</v>
      </c>
      <c r="N8010" s="116"/>
      <c r="O8010" s="51"/>
    </row>
    <row r="8011">
      <c r="A8011" s="273"/>
      <c r="B8011" s="71"/>
      <c r="C8011" s="69" t="s">
        <v>31529</v>
      </c>
      <c r="D8011" s="71"/>
      <c r="E8011" s="68" t="s">
        <v>31530</v>
      </c>
      <c r="F8011" s="76">
        <v>44235.0</v>
      </c>
      <c r="G8011" s="68" t="s">
        <v>31531</v>
      </c>
      <c r="H8011" s="68" t="s">
        <v>439</v>
      </c>
      <c r="I8011" s="71"/>
      <c r="J8011" s="68" t="s">
        <v>31532</v>
      </c>
      <c r="K8011" s="76">
        <v>44354.0</v>
      </c>
      <c r="L8011" s="68" t="s">
        <v>2743</v>
      </c>
      <c r="M8011" s="68" t="s">
        <v>530</v>
      </c>
      <c r="N8011" s="116"/>
      <c r="O8011" s="51"/>
    </row>
    <row r="8012">
      <c r="A8012" s="273"/>
      <c r="B8012" s="71"/>
      <c r="C8012" s="69" t="s">
        <v>31533</v>
      </c>
      <c r="D8012" s="71"/>
      <c r="E8012" s="68" t="s">
        <v>31534</v>
      </c>
      <c r="F8012" s="83">
        <v>44193.0</v>
      </c>
      <c r="G8012" s="68" t="s">
        <v>31535</v>
      </c>
      <c r="H8012" s="68" t="s">
        <v>31536</v>
      </c>
      <c r="I8012" s="71"/>
      <c r="J8012" s="68" t="s">
        <v>31537</v>
      </c>
      <c r="K8012" s="76">
        <v>44354.0</v>
      </c>
      <c r="L8012" s="68" t="s">
        <v>2743</v>
      </c>
      <c r="M8012" s="68" t="s">
        <v>27994</v>
      </c>
      <c r="N8012" s="116"/>
      <c r="O8012" s="51"/>
    </row>
    <row r="8013">
      <c r="A8013" s="234"/>
      <c r="B8013" s="71"/>
      <c r="C8013" s="79" t="s">
        <v>31538</v>
      </c>
      <c r="D8013" s="82"/>
      <c r="E8013" s="63" t="s">
        <v>31539</v>
      </c>
      <c r="F8013" s="70">
        <v>42234.0</v>
      </c>
      <c r="G8013" s="63" t="s">
        <v>31540</v>
      </c>
      <c r="H8013" s="80" t="s">
        <v>439</v>
      </c>
      <c r="I8013" s="82"/>
      <c r="J8013" s="80" t="s">
        <v>136</v>
      </c>
      <c r="K8013" s="81">
        <v>44354.0</v>
      </c>
      <c r="L8013" s="80" t="s">
        <v>2743</v>
      </c>
      <c r="M8013" s="80" t="s">
        <v>27</v>
      </c>
      <c r="N8013" s="116"/>
      <c r="O8013" s="51"/>
    </row>
    <row r="8014">
      <c r="A8014" s="234"/>
      <c r="B8014" s="71"/>
      <c r="C8014" s="79" t="s">
        <v>31541</v>
      </c>
      <c r="D8014" s="82"/>
      <c r="E8014" s="63" t="s">
        <v>31542</v>
      </c>
      <c r="F8014" s="70">
        <v>44343.0</v>
      </c>
      <c r="G8014" s="63" t="s">
        <v>31543</v>
      </c>
      <c r="H8014" s="80" t="s">
        <v>31544</v>
      </c>
      <c r="I8014" s="82"/>
      <c r="J8014" s="80" t="s">
        <v>136</v>
      </c>
      <c r="K8014" s="81">
        <v>44354.0</v>
      </c>
      <c r="L8014" s="80" t="s">
        <v>2743</v>
      </c>
      <c r="M8014" s="80" t="s">
        <v>542</v>
      </c>
      <c r="N8014" s="116"/>
      <c r="O8014" s="51"/>
    </row>
    <row r="8015">
      <c r="A8015" s="234"/>
      <c r="B8015" s="71"/>
      <c r="C8015" s="79" t="s">
        <v>31545</v>
      </c>
      <c r="D8015" s="82"/>
      <c r="E8015" s="63" t="s">
        <v>31546</v>
      </c>
      <c r="F8015" s="70">
        <v>43288.0</v>
      </c>
      <c r="G8015" s="63" t="s">
        <v>31547</v>
      </c>
      <c r="H8015" s="80" t="s">
        <v>31548</v>
      </c>
      <c r="I8015" s="82"/>
      <c r="J8015" s="80" t="s">
        <v>136</v>
      </c>
      <c r="K8015" s="81">
        <v>44354.0</v>
      </c>
      <c r="L8015" s="80" t="s">
        <v>2743</v>
      </c>
      <c r="M8015" s="80" t="s">
        <v>166</v>
      </c>
      <c r="N8015" s="116"/>
      <c r="O8015" s="51"/>
    </row>
    <row r="8016">
      <c r="A8016" s="273"/>
      <c r="B8016" s="71"/>
      <c r="C8016" s="69" t="s">
        <v>31549</v>
      </c>
      <c r="D8016" s="71"/>
      <c r="E8016" s="68" t="s">
        <v>31550</v>
      </c>
      <c r="F8016" s="76">
        <v>44042.0</v>
      </c>
      <c r="G8016" s="68" t="s">
        <v>31551</v>
      </c>
      <c r="H8016" s="68" t="s">
        <v>31552</v>
      </c>
      <c r="I8016" s="71"/>
      <c r="J8016" s="68" t="s">
        <v>31553</v>
      </c>
      <c r="K8016" s="76">
        <v>44354.0</v>
      </c>
      <c r="L8016" s="68" t="s">
        <v>31554</v>
      </c>
      <c r="M8016" s="68" t="s">
        <v>1435</v>
      </c>
      <c r="N8016" s="116"/>
      <c r="O8016" s="51"/>
    </row>
    <row r="8017">
      <c r="A8017" s="273"/>
      <c r="B8017" s="71"/>
      <c r="C8017" s="69" t="s">
        <v>31555</v>
      </c>
      <c r="D8017" s="71"/>
      <c r="E8017" s="68" t="s">
        <v>31556</v>
      </c>
      <c r="F8017" s="76">
        <v>41657.0</v>
      </c>
      <c r="G8017" s="68" t="s">
        <v>31557</v>
      </c>
      <c r="H8017" s="68" t="s">
        <v>31558</v>
      </c>
      <c r="I8017" s="71"/>
      <c r="J8017" s="68" t="s">
        <v>31559</v>
      </c>
      <c r="K8017" s="76">
        <v>44354.0</v>
      </c>
      <c r="L8017" s="68" t="s">
        <v>2743</v>
      </c>
      <c r="M8017" s="68" t="s">
        <v>125</v>
      </c>
      <c r="N8017" s="116"/>
      <c r="O8017" s="51"/>
    </row>
    <row r="8018">
      <c r="A8018" s="234"/>
      <c r="B8018" s="71"/>
      <c r="C8018" s="79" t="s">
        <v>31560</v>
      </c>
      <c r="D8018" s="82"/>
      <c r="E8018" s="63" t="s">
        <v>31561</v>
      </c>
      <c r="F8018" s="70">
        <v>39995.0</v>
      </c>
      <c r="G8018" s="63" t="s">
        <v>31562</v>
      </c>
      <c r="H8018" s="80" t="s">
        <v>439</v>
      </c>
      <c r="I8018" s="82"/>
      <c r="J8018" s="80" t="s">
        <v>136</v>
      </c>
      <c r="K8018" s="81">
        <v>44354.0</v>
      </c>
      <c r="L8018" s="80" t="s">
        <v>31563</v>
      </c>
      <c r="M8018" s="80" t="s">
        <v>125</v>
      </c>
      <c r="N8018" s="116"/>
      <c r="O8018" s="51"/>
    </row>
    <row r="8019">
      <c r="A8019" s="234"/>
      <c r="B8019" s="71"/>
      <c r="C8019" s="79" t="s">
        <v>31564</v>
      </c>
      <c r="D8019" s="82"/>
      <c r="E8019" s="63" t="s">
        <v>29461</v>
      </c>
      <c r="F8019" s="70">
        <v>39995.0</v>
      </c>
      <c r="G8019" s="63" t="s">
        <v>31562</v>
      </c>
      <c r="H8019" s="80" t="s">
        <v>439</v>
      </c>
      <c r="I8019" s="82"/>
      <c r="J8019" s="80" t="s">
        <v>136</v>
      </c>
      <c r="K8019" s="81">
        <v>44354.0</v>
      </c>
      <c r="L8019" s="80" t="s">
        <v>31563</v>
      </c>
      <c r="M8019" s="80" t="s">
        <v>125</v>
      </c>
      <c r="N8019" s="116"/>
      <c r="O8019" s="51"/>
    </row>
    <row r="8020">
      <c r="A8020" s="234"/>
      <c r="B8020" s="71"/>
      <c r="C8020" s="79" t="s">
        <v>31565</v>
      </c>
      <c r="D8020" s="82"/>
      <c r="E8020" s="63" t="s">
        <v>31566</v>
      </c>
      <c r="F8020" s="70">
        <v>39995.0</v>
      </c>
      <c r="G8020" s="63" t="s">
        <v>31562</v>
      </c>
      <c r="H8020" s="80" t="s">
        <v>439</v>
      </c>
      <c r="I8020" s="82"/>
      <c r="J8020" s="80" t="s">
        <v>136</v>
      </c>
      <c r="K8020" s="81">
        <v>44354.0</v>
      </c>
      <c r="L8020" s="80" t="s">
        <v>31563</v>
      </c>
      <c r="M8020" s="80" t="s">
        <v>125</v>
      </c>
      <c r="N8020" s="116"/>
      <c r="O8020" s="51"/>
    </row>
    <row r="8021">
      <c r="A8021" s="273"/>
      <c r="B8021" s="71"/>
      <c r="C8021" s="69" t="s">
        <v>31567</v>
      </c>
      <c r="D8021" s="71"/>
      <c r="E8021" s="68" t="s">
        <v>31568</v>
      </c>
      <c r="F8021" s="76">
        <v>44285.0</v>
      </c>
      <c r="G8021" s="68" t="s">
        <v>31569</v>
      </c>
      <c r="H8021" s="68" t="s">
        <v>31570</v>
      </c>
      <c r="I8021" s="71"/>
      <c r="J8021" s="68" t="s">
        <v>31571</v>
      </c>
      <c r="K8021" s="76">
        <v>44364.0</v>
      </c>
      <c r="L8021" s="68" t="s">
        <v>20958</v>
      </c>
      <c r="M8021" s="68" t="s">
        <v>27</v>
      </c>
      <c r="N8021" s="116"/>
      <c r="O8021" s="51"/>
    </row>
    <row r="8022">
      <c r="A8022" s="273"/>
      <c r="B8022" s="71"/>
      <c r="C8022" s="69" t="s">
        <v>31572</v>
      </c>
      <c r="D8022" s="71"/>
      <c r="E8022" s="68" t="s">
        <v>31573</v>
      </c>
      <c r="F8022" s="83">
        <v>44186.0</v>
      </c>
      <c r="G8022" s="68" t="s">
        <v>31574</v>
      </c>
      <c r="H8022" s="68" t="s">
        <v>439</v>
      </c>
      <c r="I8022" s="71"/>
      <c r="J8022" s="68" t="s">
        <v>31575</v>
      </c>
      <c r="K8022" s="76">
        <v>44364.0</v>
      </c>
      <c r="L8022" s="68" t="s">
        <v>2743</v>
      </c>
      <c r="M8022" s="68" t="s">
        <v>201</v>
      </c>
      <c r="N8022" s="116"/>
      <c r="O8022" s="51"/>
    </row>
    <row r="8023">
      <c r="A8023" s="273"/>
      <c r="B8023" s="71"/>
      <c r="C8023" s="69" t="s">
        <v>31576</v>
      </c>
      <c r="D8023" s="71"/>
      <c r="E8023" s="68" t="s">
        <v>31577</v>
      </c>
      <c r="F8023" s="76">
        <v>44345.0</v>
      </c>
      <c r="G8023" s="68" t="s">
        <v>31578</v>
      </c>
      <c r="H8023" s="68" t="s">
        <v>31579</v>
      </c>
      <c r="I8023" s="71"/>
      <c r="J8023" s="68" t="s">
        <v>31580</v>
      </c>
      <c r="K8023" s="76">
        <v>44364.0</v>
      </c>
      <c r="L8023" s="68" t="s">
        <v>2743</v>
      </c>
      <c r="M8023" s="68" t="s">
        <v>542</v>
      </c>
      <c r="N8023" s="116"/>
      <c r="O8023" s="51"/>
    </row>
    <row r="8024">
      <c r="A8024" s="234"/>
      <c r="B8024" s="71"/>
      <c r="C8024" s="79" t="s">
        <v>31581</v>
      </c>
      <c r="D8024" s="82"/>
      <c r="E8024" s="63" t="s">
        <v>31582</v>
      </c>
      <c r="F8024" s="70">
        <v>44345.0</v>
      </c>
      <c r="G8024" s="63" t="s">
        <v>31578</v>
      </c>
      <c r="H8024" s="80" t="s">
        <v>31583</v>
      </c>
      <c r="I8024" s="82"/>
      <c r="J8024" s="80" t="s">
        <v>136</v>
      </c>
      <c r="K8024" s="81">
        <v>44364.0</v>
      </c>
      <c r="L8024" s="80" t="s">
        <v>2743</v>
      </c>
      <c r="M8024" s="80" t="s">
        <v>542</v>
      </c>
      <c r="N8024" s="116"/>
      <c r="O8024" s="51"/>
    </row>
    <row r="8025">
      <c r="A8025" s="234"/>
      <c r="B8025" s="71"/>
      <c r="C8025" s="79" t="s">
        <v>31584</v>
      </c>
      <c r="D8025" s="82"/>
      <c r="E8025" s="63" t="s">
        <v>31585</v>
      </c>
      <c r="F8025" s="70">
        <v>40360.0</v>
      </c>
      <c r="G8025" s="63" t="s">
        <v>31586</v>
      </c>
      <c r="H8025" s="80" t="s">
        <v>31587</v>
      </c>
      <c r="I8025" s="82"/>
      <c r="J8025" s="80" t="s">
        <v>136</v>
      </c>
      <c r="K8025" s="81">
        <v>44364.0</v>
      </c>
      <c r="L8025" s="80" t="s">
        <v>2743</v>
      </c>
      <c r="M8025" s="80" t="s">
        <v>13085</v>
      </c>
      <c r="N8025" s="116"/>
      <c r="O8025" s="51"/>
    </row>
    <row r="8026">
      <c r="A8026" s="273"/>
      <c r="B8026" s="71"/>
      <c r="C8026" s="69" t="s">
        <v>31588</v>
      </c>
      <c r="D8026" s="71"/>
      <c r="E8026" s="68" t="s">
        <v>31589</v>
      </c>
      <c r="F8026" s="76">
        <v>44341.0</v>
      </c>
      <c r="G8026" s="68" t="s">
        <v>31590</v>
      </c>
      <c r="H8026" s="68" t="s">
        <v>31591</v>
      </c>
      <c r="I8026" s="71"/>
      <c r="J8026" s="68" t="s">
        <v>31592</v>
      </c>
      <c r="K8026" s="76">
        <v>44364.0</v>
      </c>
      <c r="L8026" s="68" t="s">
        <v>2743</v>
      </c>
      <c r="M8026" s="68" t="s">
        <v>125</v>
      </c>
      <c r="N8026" s="116"/>
      <c r="O8026" s="51"/>
    </row>
    <row r="8027">
      <c r="A8027" s="234"/>
      <c r="B8027" s="71"/>
      <c r="C8027" s="79" t="s">
        <v>31593</v>
      </c>
      <c r="D8027" s="82"/>
      <c r="E8027" s="63" t="s">
        <v>31594</v>
      </c>
      <c r="F8027" s="70">
        <v>42187.0</v>
      </c>
      <c r="G8027" s="63" t="s">
        <v>31595</v>
      </c>
      <c r="H8027" s="80" t="s">
        <v>31596</v>
      </c>
      <c r="I8027" s="82"/>
      <c r="J8027" s="80" t="s">
        <v>136</v>
      </c>
      <c r="K8027" s="81">
        <v>44364.0</v>
      </c>
      <c r="L8027" s="80" t="s">
        <v>2743</v>
      </c>
      <c r="M8027" s="80" t="s">
        <v>13085</v>
      </c>
      <c r="N8027" s="116"/>
      <c r="O8027" s="51"/>
    </row>
    <row r="8028">
      <c r="A8028" s="273"/>
      <c r="B8028" s="71"/>
      <c r="C8028" s="69" t="s">
        <v>31597</v>
      </c>
      <c r="D8028" s="71"/>
      <c r="E8028" s="68" t="s">
        <v>31598</v>
      </c>
      <c r="F8028" s="83">
        <v>43398.0</v>
      </c>
      <c r="G8028" s="68" t="s">
        <v>31599</v>
      </c>
      <c r="H8028" s="68" t="s">
        <v>31600</v>
      </c>
      <c r="I8028" s="71"/>
      <c r="J8028" s="100" t="s">
        <v>31601</v>
      </c>
      <c r="K8028" s="225">
        <v>44364.0</v>
      </c>
      <c r="L8028" s="68" t="s">
        <v>2743</v>
      </c>
      <c r="M8028" s="68" t="s">
        <v>1509</v>
      </c>
      <c r="N8028" s="116"/>
      <c r="O8028" s="51"/>
    </row>
    <row r="8029">
      <c r="A8029" s="273"/>
      <c r="B8029" s="71"/>
      <c r="C8029" s="69" t="s">
        <v>31602</v>
      </c>
      <c r="D8029" s="71"/>
      <c r="E8029" s="68" t="s">
        <v>31603</v>
      </c>
      <c r="F8029" s="76">
        <v>44356.0</v>
      </c>
      <c r="G8029" s="68" t="s">
        <v>31604</v>
      </c>
      <c r="H8029" s="68" t="s">
        <v>31605</v>
      </c>
      <c r="I8029" s="71"/>
      <c r="J8029" s="68" t="s">
        <v>31606</v>
      </c>
      <c r="K8029" s="76">
        <v>44364.0</v>
      </c>
      <c r="L8029" s="68" t="s">
        <v>2743</v>
      </c>
      <c r="M8029" s="68" t="s">
        <v>31</v>
      </c>
      <c r="N8029" s="116"/>
      <c r="O8029" s="51"/>
    </row>
    <row r="8030">
      <c r="A8030" s="234"/>
      <c r="B8030" s="71"/>
      <c r="C8030" s="79" t="s">
        <v>31607</v>
      </c>
      <c r="D8030" s="82"/>
      <c r="E8030" s="63" t="s">
        <v>31608</v>
      </c>
      <c r="F8030" s="70">
        <v>41821.0</v>
      </c>
      <c r="G8030" s="63" t="s">
        <v>31609</v>
      </c>
      <c r="H8030" s="80" t="s">
        <v>31610</v>
      </c>
      <c r="I8030" s="82"/>
      <c r="J8030" s="80" t="s">
        <v>136</v>
      </c>
      <c r="K8030" s="81">
        <v>44366.0</v>
      </c>
      <c r="L8030" s="80" t="s">
        <v>2743</v>
      </c>
      <c r="M8030" s="80" t="s">
        <v>22473</v>
      </c>
      <c r="N8030" s="116"/>
      <c r="O8030" s="51"/>
    </row>
    <row r="8031">
      <c r="A8031" s="234"/>
      <c r="B8031" s="71"/>
      <c r="C8031" s="79" t="s">
        <v>31611</v>
      </c>
      <c r="D8031" s="82"/>
      <c r="E8031" s="63" t="s">
        <v>31612</v>
      </c>
      <c r="F8031" s="70">
        <v>43343.0</v>
      </c>
      <c r="G8031" s="63" t="s">
        <v>31613</v>
      </c>
      <c r="H8031" s="80" t="s">
        <v>31614</v>
      </c>
      <c r="I8031" s="82"/>
      <c r="J8031" s="80" t="s">
        <v>136</v>
      </c>
      <c r="K8031" s="81">
        <v>44368.0</v>
      </c>
      <c r="L8031" s="80" t="s">
        <v>2743</v>
      </c>
      <c r="M8031" s="80" t="s">
        <v>27</v>
      </c>
      <c r="N8031" s="116"/>
      <c r="O8031" s="51"/>
    </row>
    <row r="8032">
      <c r="A8032" s="234"/>
      <c r="B8032" s="71"/>
      <c r="C8032" s="79" t="s">
        <v>31615</v>
      </c>
      <c r="D8032" s="82"/>
      <c r="E8032" s="63" t="s">
        <v>31616</v>
      </c>
      <c r="F8032" s="70">
        <v>43343.0</v>
      </c>
      <c r="G8032" s="63" t="s">
        <v>31617</v>
      </c>
      <c r="H8032" s="80" t="s">
        <v>31618</v>
      </c>
      <c r="I8032" s="82"/>
      <c r="J8032" s="80" t="s">
        <v>136</v>
      </c>
      <c r="K8032" s="81">
        <v>44368.0</v>
      </c>
      <c r="L8032" s="80" t="s">
        <v>2743</v>
      </c>
      <c r="M8032" s="80" t="s">
        <v>27</v>
      </c>
      <c r="N8032" s="116"/>
      <c r="O8032" s="51"/>
    </row>
    <row r="8033">
      <c r="A8033" s="234"/>
      <c r="B8033" s="71"/>
      <c r="C8033" s="79" t="s">
        <v>31619</v>
      </c>
      <c r="D8033" s="82"/>
      <c r="E8033" s="63" t="s">
        <v>31620</v>
      </c>
      <c r="F8033" s="70">
        <v>44256.0</v>
      </c>
      <c r="G8033" s="63" t="s">
        <v>31621</v>
      </c>
      <c r="H8033" s="80" t="s">
        <v>31622</v>
      </c>
      <c r="I8033" s="82"/>
      <c r="J8033" s="80" t="s">
        <v>136</v>
      </c>
      <c r="K8033" s="81">
        <v>44368.0</v>
      </c>
      <c r="L8033" s="80" t="s">
        <v>2743</v>
      </c>
      <c r="M8033" s="80" t="s">
        <v>1509</v>
      </c>
      <c r="N8033" s="116"/>
      <c r="O8033" s="51"/>
    </row>
    <row r="8034">
      <c r="A8034" s="273"/>
      <c r="B8034" s="71"/>
      <c r="C8034" s="69" t="s">
        <v>31623</v>
      </c>
      <c r="D8034" s="71"/>
      <c r="E8034" s="68" t="s">
        <v>31624</v>
      </c>
      <c r="F8034" s="76">
        <v>42370.0</v>
      </c>
      <c r="G8034" s="68" t="s">
        <v>31625</v>
      </c>
      <c r="H8034" s="68" t="s">
        <v>439</v>
      </c>
      <c r="I8034" s="71"/>
      <c r="J8034" s="68" t="s">
        <v>31626</v>
      </c>
      <c r="K8034" s="76">
        <v>44368.0</v>
      </c>
      <c r="L8034" s="68" t="s">
        <v>2743</v>
      </c>
      <c r="M8034" s="68" t="s">
        <v>31627</v>
      </c>
      <c r="N8034" s="116"/>
      <c r="O8034" s="51"/>
    </row>
    <row r="8035">
      <c r="A8035" s="234"/>
      <c r="B8035" s="71"/>
      <c r="C8035" s="79" t="s">
        <v>31628</v>
      </c>
      <c r="D8035" s="82"/>
      <c r="E8035" s="63" t="s">
        <v>31629</v>
      </c>
      <c r="F8035" s="70">
        <v>42186.0</v>
      </c>
      <c r="G8035" s="63" t="s">
        <v>31630</v>
      </c>
      <c r="H8035" s="80" t="s">
        <v>31631</v>
      </c>
      <c r="I8035" s="82"/>
      <c r="J8035" s="80" t="s">
        <v>136</v>
      </c>
      <c r="K8035" s="81">
        <v>44368.0</v>
      </c>
      <c r="L8035" s="80" t="s">
        <v>2743</v>
      </c>
      <c r="M8035" s="80" t="s">
        <v>368</v>
      </c>
      <c r="N8035" s="116"/>
      <c r="O8035" s="51"/>
    </row>
    <row r="8036">
      <c r="A8036" s="273"/>
      <c r="B8036" s="71"/>
      <c r="C8036" s="69" t="s">
        <v>31632</v>
      </c>
      <c r="D8036" s="71"/>
      <c r="E8036" s="68" t="s">
        <v>31633</v>
      </c>
      <c r="F8036" s="76">
        <v>44341.0</v>
      </c>
      <c r="G8036" s="68" t="s">
        <v>31634</v>
      </c>
      <c r="H8036" s="68" t="s">
        <v>31635</v>
      </c>
      <c r="I8036" s="71"/>
      <c r="J8036" s="68" t="s">
        <v>31636</v>
      </c>
      <c r="K8036" s="76">
        <v>44368.0</v>
      </c>
      <c r="L8036" s="68" t="s">
        <v>2743</v>
      </c>
      <c r="M8036" s="68" t="s">
        <v>31637</v>
      </c>
      <c r="N8036" s="116"/>
      <c r="O8036" s="51"/>
    </row>
    <row r="8037">
      <c r="A8037" s="234"/>
      <c r="B8037" s="71"/>
      <c r="C8037" s="79" t="s">
        <v>31638</v>
      </c>
      <c r="D8037" s="82"/>
      <c r="E8037" s="63" t="s">
        <v>31639</v>
      </c>
      <c r="F8037" s="70">
        <v>40735.0</v>
      </c>
      <c r="G8037" s="63" t="s">
        <v>31640</v>
      </c>
      <c r="H8037" s="80" t="s">
        <v>31641</v>
      </c>
      <c r="I8037" s="82"/>
      <c r="J8037" s="80" t="s">
        <v>136</v>
      </c>
      <c r="K8037" s="81">
        <v>44368.0</v>
      </c>
      <c r="L8037" s="80" t="s">
        <v>2743</v>
      </c>
      <c r="M8037" s="80" t="s">
        <v>125</v>
      </c>
      <c r="N8037" s="116"/>
      <c r="O8037" s="51"/>
    </row>
    <row r="8038">
      <c r="A8038" s="273"/>
      <c r="B8038" s="71"/>
      <c r="C8038" s="69" t="s">
        <v>31642</v>
      </c>
      <c r="D8038" s="71"/>
      <c r="E8038" s="68" t="s">
        <v>31643</v>
      </c>
      <c r="F8038" s="76">
        <v>43042.0</v>
      </c>
      <c r="G8038" s="68" t="s">
        <v>31644</v>
      </c>
      <c r="H8038" s="68" t="s">
        <v>31645</v>
      </c>
      <c r="I8038" s="71"/>
      <c r="J8038" s="68" t="s">
        <v>31646</v>
      </c>
      <c r="K8038" s="76">
        <v>44369.0</v>
      </c>
      <c r="L8038" s="68" t="s">
        <v>2743</v>
      </c>
      <c r="M8038" s="68" t="s">
        <v>22473</v>
      </c>
      <c r="N8038" s="116"/>
      <c r="O8038" s="51"/>
    </row>
    <row r="8039">
      <c r="A8039" s="234"/>
      <c r="B8039" s="71"/>
      <c r="C8039" s="79" t="s">
        <v>31647</v>
      </c>
      <c r="D8039" s="82"/>
      <c r="E8039" s="63" t="s">
        <v>31648</v>
      </c>
      <c r="F8039" s="70">
        <v>42092.0</v>
      </c>
      <c r="G8039" s="63" t="s">
        <v>31649</v>
      </c>
      <c r="H8039" s="80" t="s">
        <v>439</v>
      </c>
      <c r="I8039" s="82"/>
      <c r="J8039" s="80" t="s">
        <v>136</v>
      </c>
      <c r="K8039" s="81">
        <v>44370.0</v>
      </c>
      <c r="L8039" s="80" t="s">
        <v>2743</v>
      </c>
      <c r="M8039" s="80" t="s">
        <v>125</v>
      </c>
      <c r="N8039" s="116"/>
      <c r="O8039" s="51"/>
    </row>
    <row r="8040">
      <c r="A8040" s="273"/>
      <c r="B8040" s="71"/>
      <c r="C8040" s="69" t="s">
        <v>31650</v>
      </c>
      <c r="D8040" s="71"/>
      <c r="E8040" s="68" t="s">
        <v>31651</v>
      </c>
      <c r="F8040" s="76">
        <v>44359.0</v>
      </c>
      <c r="G8040" s="68" t="s">
        <v>31652</v>
      </c>
      <c r="H8040" s="68" t="s">
        <v>439</v>
      </c>
      <c r="I8040" s="71"/>
      <c r="J8040" s="68" t="s">
        <v>31653</v>
      </c>
      <c r="K8040" s="76">
        <v>44370.0</v>
      </c>
      <c r="L8040" s="68" t="s">
        <v>2743</v>
      </c>
      <c r="M8040" s="68" t="s">
        <v>4487</v>
      </c>
      <c r="N8040" s="116"/>
      <c r="O8040" s="51"/>
    </row>
    <row r="8041">
      <c r="A8041" s="273"/>
      <c r="B8041" s="71"/>
      <c r="C8041" s="69" t="s">
        <v>31654</v>
      </c>
      <c r="D8041" s="71"/>
      <c r="E8041" s="68" t="s">
        <v>31655</v>
      </c>
      <c r="F8041" s="83">
        <v>43447.0</v>
      </c>
      <c r="G8041" s="68" t="s">
        <v>31656</v>
      </c>
      <c r="H8041" s="68" t="s">
        <v>31657</v>
      </c>
      <c r="I8041" s="68" t="s">
        <v>31658</v>
      </c>
      <c r="J8041" s="68" t="s">
        <v>31659</v>
      </c>
      <c r="K8041" s="76">
        <v>44376.0</v>
      </c>
      <c r="L8041" s="68" t="s">
        <v>2743</v>
      </c>
      <c r="M8041" s="68" t="s">
        <v>201</v>
      </c>
      <c r="N8041" s="116"/>
      <c r="O8041" s="51"/>
    </row>
    <row r="8042">
      <c r="A8042" s="273"/>
      <c r="B8042" s="71"/>
      <c r="C8042" s="69" t="s">
        <v>31660</v>
      </c>
      <c r="D8042" s="71"/>
      <c r="E8042" s="68" t="s">
        <v>31661</v>
      </c>
      <c r="F8042" s="83">
        <v>44115.0</v>
      </c>
      <c r="G8042" s="68" t="s">
        <v>31662</v>
      </c>
      <c r="H8042" s="68" t="s">
        <v>31663</v>
      </c>
      <c r="I8042" s="71"/>
      <c r="J8042" s="100" t="s">
        <v>31664</v>
      </c>
      <c r="K8042" s="225">
        <v>44376.0</v>
      </c>
      <c r="L8042" s="68" t="s">
        <v>2743</v>
      </c>
      <c r="M8042" s="68" t="s">
        <v>1393</v>
      </c>
      <c r="N8042" s="116"/>
      <c r="O8042" s="51"/>
    </row>
    <row r="8043">
      <c r="A8043" s="273"/>
      <c r="B8043" s="71"/>
      <c r="C8043" s="69" t="s">
        <v>31665</v>
      </c>
      <c r="D8043" s="71"/>
      <c r="E8043" s="68" t="s">
        <v>31666</v>
      </c>
      <c r="F8043" s="76">
        <v>43715.0</v>
      </c>
      <c r="G8043" s="68" t="s">
        <v>31667</v>
      </c>
      <c r="H8043" s="68" t="s">
        <v>31668</v>
      </c>
      <c r="I8043" s="68" t="s">
        <v>31669</v>
      </c>
      <c r="J8043" s="68" t="s">
        <v>31670</v>
      </c>
      <c r="K8043" s="76">
        <v>44376.0</v>
      </c>
      <c r="L8043" s="68" t="s">
        <v>2743</v>
      </c>
      <c r="M8043" s="68" t="s">
        <v>22473</v>
      </c>
      <c r="N8043" s="116"/>
      <c r="O8043" s="51"/>
    </row>
    <row r="8044">
      <c r="A8044" s="273"/>
      <c r="B8044" s="71"/>
      <c r="C8044" s="69" t="s">
        <v>31671</v>
      </c>
      <c r="D8044" s="71"/>
      <c r="E8044" s="68" t="s">
        <v>11824</v>
      </c>
      <c r="F8044" s="76">
        <v>44324.0</v>
      </c>
      <c r="G8044" s="68" t="s">
        <v>31672</v>
      </c>
      <c r="H8044" s="68" t="s">
        <v>31673</v>
      </c>
      <c r="I8044" s="68" t="s">
        <v>31674</v>
      </c>
      <c r="J8044" s="68" t="s">
        <v>31675</v>
      </c>
      <c r="K8044" s="76">
        <v>44376.0</v>
      </c>
      <c r="L8044" s="68" t="s">
        <v>2743</v>
      </c>
      <c r="M8044" s="68" t="s">
        <v>143</v>
      </c>
      <c r="N8044" s="116"/>
      <c r="O8044" s="51"/>
    </row>
    <row r="8045">
      <c r="A8045" s="234"/>
      <c r="B8045" s="71"/>
      <c r="C8045" s="79" t="s">
        <v>31676</v>
      </c>
      <c r="D8045" s="82"/>
      <c r="E8045" s="63" t="s">
        <v>31677</v>
      </c>
      <c r="F8045" s="65">
        <v>42660.0</v>
      </c>
      <c r="G8045" s="63" t="s">
        <v>31678</v>
      </c>
      <c r="H8045" s="80" t="s">
        <v>31679</v>
      </c>
      <c r="I8045" s="80" t="s">
        <v>31680</v>
      </c>
      <c r="J8045" s="80" t="s">
        <v>136</v>
      </c>
      <c r="K8045" s="81">
        <v>44376.0</v>
      </c>
      <c r="L8045" s="80" t="s">
        <v>2743</v>
      </c>
      <c r="M8045" s="80" t="s">
        <v>31</v>
      </c>
      <c r="N8045" s="116"/>
      <c r="O8045" s="51"/>
    </row>
    <row r="8046">
      <c r="A8046" s="234"/>
      <c r="B8046" s="71"/>
      <c r="C8046" s="79" t="s">
        <v>31681</v>
      </c>
      <c r="D8046" s="82"/>
      <c r="E8046" s="63" t="s">
        <v>31682</v>
      </c>
      <c r="F8046" s="70">
        <v>42736.0</v>
      </c>
      <c r="G8046" s="63" t="s">
        <v>31683</v>
      </c>
      <c r="H8046" s="80" t="s">
        <v>439</v>
      </c>
      <c r="I8046" s="82"/>
      <c r="J8046" s="80" t="s">
        <v>136</v>
      </c>
      <c r="K8046" s="81">
        <v>44376.0</v>
      </c>
      <c r="L8046" s="80" t="s">
        <v>2743</v>
      </c>
      <c r="M8046" s="80" t="s">
        <v>31684</v>
      </c>
      <c r="N8046" s="87" t="s">
        <v>31685</v>
      </c>
      <c r="O8046" s="51"/>
    </row>
    <row r="8047">
      <c r="A8047" s="273"/>
      <c r="B8047" s="71"/>
      <c r="C8047" s="69" t="s">
        <v>31686</v>
      </c>
      <c r="D8047" s="71"/>
      <c r="E8047" s="68" t="s">
        <v>31687</v>
      </c>
      <c r="F8047" s="76">
        <v>44369.0</v>
      </c>
      <c r="G8047" s="68" t="s">
        <v>31688</v>
      </c>
      <c r="H8047" s="68" t="s">
        <v>31689</v>
      </c>
      <c r="I8047" s="71"/>
      <c r="J8047" s="68" t="s">
        <v>31690</v>
      </c>
      <c r="K8047" s="76">
        <v>44378.0</v>
      </c>
      <c r="L8047" s="68" t="s">
        <v>2743</v>
      </c>
      <c r="M8047" s="68" t="s">
        <v>17303</v>
      </c>
      <c r="N8047" s="87" t="s">
        <v>31691</v>
      </c>
      <c r="O8047" s="51"/>
    </row>
    <row r="8048">
      <c r="A8048" s="273"/>
      <c r="B8048" s="71"/>
      <c r="C8048" s="69" t="s">
        <v>31692</v>
      </c>
      <c r="D8048" s="71"/>
      <c r="E8048" s="68" t="s">
        <v>31693</v>
      </c>
      <c r="F8048" s="76">
        <v>44362.0</v>
      </c>
      <c r="G8048" s="68" t="s">
        <v>31694</v>
      </c>
      <c r="H8048" s="68" t="s">
        <v>31695</v>
      </c>
      <c r="I8048" s="68" t="s">
        <v>31696</v>
      </c>
      <c r="J8048" s="68" t="s">
        <v>31697</v>
      </c>
      <c r="K8048" s="76">
        <v>44380.0</v>
      </c>
      <c r="L8048" s="68" t="s">
        <v>2743</v>
      </c>
      <c r="M8048" s="68" t="s">
        <v>143</v>
      </c>
      <c r="N8048" s="116"/>
      <c r="O8048" s="51"/>
    </row>
    <row r="8049">
      <c r="A8049" s="273"/>
      <c r="B8049" s="71"/>
      <c r="C8049" s="69" t="s">
        <v>31698</v>
      </c>
      <c r="D8049" s="71"/>
      <c r="E8049" s="68" t="s">
        <v>31699</v>
      </c>
      <c r="F8049" s="76">
        <v>43836.0</v>
      </c>
      <c r="G8049" s="68" t="s">
        <v>31700</v>
      </c>
      <c r="H8049" s="68" t="s">
        <v>31701</v>
      </c>
      <c r="I8049" s="71"/>
      <c r="J8049" s="68" t="s">
        <v>31702</v>
      </c>
      <c r="K8049" s="76">
        <v>44380.0</v>
      </c>
      <c r="L8049" s="68" t="s">
        <v>2743</v>
      </c>
      <c r="M8049" s="68" t="s">
        <v>18616</v>
      </c>
      <c r="N8049" s="116"/>
      <c r="O8049" s="51"/>
    </row>
    <row r="8050">
      <c r="A8050" s="273"/>
      <c r="B8050" s="71"/>
      <c r="C8050" s="69" t="s">
        <v>31703</v>
      </c>
      <c r="D8050" s="71"/>
      <c r="E8050" s="68" t="s">
        <v>31704</v>
      </c>
      <c r="F8050" s="76">
        <v>43833.0</v>
      </c>
      <c r="G8050" s="68" t="s">
        <v>31700</v>
      </c>
      <c r="H8050" s="68" t="s">
        <v>31705</v>
      </c>
      <c r="I8050" s="71"/>
      <c r="J8050" s="68" t="s">
        <v>31706</v>
      </c>
      <c r="K8050" s="76">
        <v>44383.0</v>
      </c>
      <c r="L8050" s="68" t="s">
        <v>2743</v>
      </c>
      <c r="M8050" s="68" t="s">
        <v>31</v>
      </c>
      <c r="N8050" s="116"/>
      <c r="O8050" s="51"/>
    </row>
    <row r="8051">
      <c r="A8051" s="234"/>
      <c r="B8051" s="71"/>
      <c r="C8051" s="79" t="s">
        <v>31707</v>
      </c>
      <c r="D8051" s="82"/>
      <c r="E8051" s="63" t="s">
        <v>31708</v>
      </c>
      <c r="F8051" s="70">
        <v>39727.0</v>
      </c>
      <c r="G8051" s="63" t="s">
        <v>31709</v>
      </c>
      <c r="H8051" s="80" t="s">
        <v>31710</v>
      </c>
      <c r="I8051" s="82"/>
      <c r="J8051" s="80" t="s">
        <v>136</v>
      </c>
      <c r="K8051" s="81">
        <v>44386.0</v>
      </c>
      <c r="L8051" s="80" t="s">
        <v>30692</v>
      </c>
      <c r="M8051" s="80" t="s">
        <v>27</v>
      </c>
      <c r="N8051" s="116"/>
      <c r="O8051" s="51"/>
    </row>
    <row r="8052">
      <c r="A8052" s="234"/>
      <c r="B8052" s="71"/>
      <c r="C8052" s="79" t="s">
        <v>31711</v>
      </c>
      <c r="D8052" s="82"/>
      <c r="E8052" s="63" t="s">
        <v>31712</v>
      </c>
      <c r="F8052" s="70">
        <v>43726.0</v>
      </c>
      <c r="G8052" s="63" t="s">
        <v>31713</v>
      </c>
      <c r="H8052" s="80" t="s">
        <v>31714</v>
      </c>
      <c r="I8052" s="82"/>
      <c r="J8052" s="80" t="s">
        <v>136</v>
      </c>
      <c r="K8052" s="81">
        <v>44386.0</v>
      </c>
      <c r="L8052" s="80" t="s">
        <v>30692</v>
      </c>
      <c r="M8052" s="80" t="s">
        <v>143</v>
      </c>
      <c r="N8052" s="116"/>
      <c r="O8052" s="51"/>
    </row>
    <row r="8053">
      <c r="A8053" s="273"/>
      <c r="B8053" s="71"/>
      <c r="C8053" s="69" t="s">
        <v>31715</v>
      </c>
      <c r="D8053" s="71"/>
      <c r="E8053" s="68" t="s">
        <v>31716</v>
      </c>
      <c r="F8053" s="76">
        <v>40544.0</v>
      </c>
      <c r="G8053" s="68" t="s">
        <v>31717</v>
      </c>
      <c r="H8053" s="68" t="s">
        <v>31718</v>
      </c>
      <c r="I8053" s="71"/>
      <c r="J8053" s="68" t="s">
        <v>31719</v>
      </c>
      <c r="K8053" s="76">
        <v>44386.0</v>
      </c>
      <c r="L8053" s="68" t="s">
        <v>30692</v>
      </c>
      <c r="M8053" s="68" t="s">
        <v>143</v>
      </c>
      <c r="N8053" s="116"/>
      <c r="O8053" s="51"/>
    </row>
    <row r="8054">
      <c r="A8054" s="234"/>
      <c r="B8054" s="71"/>
      <c r="C8054" s="79" t="s">
        <v>31720</v>
      </c>
      <c r="D8054" s="82"/>
      <c r="E8054" s="63" t="s">
        <v>31721</v>
      </c>
      <c r="F8054" s="70">
        <v>41009.0</v>
      </c>
      <c r="G8054" s="63" t="s">
        <v>31722</v>
      </c>
      <c r="H8054" s="80" t="s">
        <v>31723</v>
      </c>
      <c r="I8054" s="82"/>
      <c r="J8054" s="80" t="s">
        <v>136</v>
      </c>
      <c r="K8054" s="81">
        <v>44386.0</v>
      </c>
      <c r="L8054" s="80" t="s">
        <v>30692</v>
      </c>
      <c r="M8054" s="80" t="s">
        <v>542</v>
      </c>
      <c r="N8054" s="116"/>
      <c r="O8054" s="51"/>
    </row>
    <row r="8055">
      <c r="A8055" s="234"/>
      <c r="B8055" s="71"/>
      <c r="C8055" s="79" t="s">
        <v>31724</v>
      </c>
      <c r="D8055" s="82"/>
      <c r="E8055" s="63" t="s">
        <v>31725</v>
      </c>
      <c r="F8055" s="70">
        <v>41418.0</v>
      </c>
      <c r="G8055" s="63" t="s">
        <v>31726</v>
      </c>
      <c r="H8055" s="80" t="s">
        <v>439</v>
      </c>
      <c r="I8055" s="82"/>
      <c r="J8055" s="80" t="s">
        <v>136</v>
      </c>
      <c r="K8055" s="81">
        <v>44386.0</v>
      </c>
      <c r="L8055" s="80" t="s">
        <v>30692</v>
      </c>
      <c r="M8055" s="80" t="s">
        <v>27</v>
      </c>
      <c r="N8055" s="116"/>
      <c r="O8055" s="51"/>
    </row>
    <row r="8056">
      <c r="A8056" s="273"/>
      <c r="B8056" s="71"/>
      <c r="C8056" s="69" t="s">
        <v>31727</v>
      </c>
      <c r="D8056" s="71"/>
      <c r="E8056" s="68" t="s">
        <v>31728</v>
      </c>
      <c r="F8056" s="83">
        <v>44117.0</v>
      </c>
      <c r="G8056" s="68" t="s">
        <v>31729</v>
      </c>
      <c r="H8056" s="68" t="s">
        <v>31730</v>
      </c>
      <c r="I8056" s="71"/>
      <c r="J8056" s="68" t="s">
        <v>31731</v>
      </c>
      <c r="K8056" s="76">
        <v>44386.0</v>
      </c>
      <c r="L8056" s="68" t="s">
        <v>30692</v>
      </c>
      <c r="M8056" s="68" t="s">
        <v>542</v>
      </c>
      <c r="N8056" s="116"/>
      <c r="O8056" s="51"/>
    </row>
    <row r="8057">
      <c r="A8057" s="273"/>
      <c r="B8057" s="71"/>
      <c r="C8057" s="69" t="s">
        <v>31732</v>
      </c>
      <c r="D8057" s="71"/>
      <c r="E8057" s="68" t="s">
        <v>31733</v>
      </c>
      <c r="F8057" s="76">
        <v>43512.0</v>
      </c>
      <c r="G8057" s="68" t="s">
        <v>31734</v>
      </c>
      <c r="H8057" s="68" t="s">
        <v>31735</v>
      </c>
      <c r="I8057" s="71"/>
      <c r="J8057" s="68" t="s">
        <v>31736</v>
      </c>
      <c r="K8057" s="76">
        <v>44386.0</v>
      </c>
      <c r="L8057" s="68" t="s">
        <v>30692</v>
      </c>
      <c r="M8057" s="68" t="s">
        <v>542</v>
      </c>
      <c r="N8057" s="116"/>
      <c r="O8057" s="51"/>
    </row>
    <row r="8058">
      <c r="A8058" s="234"/>
      <c r="B8058" s="71"/>
      <c r="C8058" s="79" t="s">
        <v>31737</v>
      </c>
      <c r="D8058" s="82"/>
      <c r="E8058" s="63" t="s">
        <v>31738</v>
      </c>
      <c r="F8058" s="70">
        <v>41405.0</v>
      </c>
      <c r="G8058" s="63" t="s">
        <v>31739</v>
      </c>
      <c r="H8058" s="80" t="s">
        <v>31740</v>
      </c>
      <c r="I8058" s="82"/>
      <c r="J8058" s="80" t="s">
        <v>136</v>
      </c>
      <c r="K8058" s="81">
        <v>44386.0</v>
      </c>
      <c r="L8058" s="80" t="s">
        <v>30692</v>
      </c>
      <c r="M8058" s="80" t="s">
        <v>27</v>
      </c>
      <c r="N8058" s="116"/>
      <c r="O8058" s="51"/>
    </row>
    <row r="8059">
      <c r="A8059" s="273"/>
      <c r="B8059" s="71"/>
      <c r="C8059" s="69" t="s">
        <v>31741</v>
      </c>
      <c r="D8059" s="71"/>
      <c r="E8059" s="68" t="s">
        <v>31742</v>
      </c>
      <c r="F8059" s="76">
        <v>39870.0</v>
      </c>
      <c r="G8059" s="68" t="s">
        <v>31743</v>
      </c>
      <c r="H8059" s="68" t="s">
        <v>31744</v>
      </c>
      <c r="I8059" s="71"/>
      <c r="J8059" s="68" t="s">
        <v>31745</v>
      </c>
      <c r="K8059" s="76">
        <v>44386.0</v>
      </c>
      <c r="L8059" s="68" t="s">
        <v>30692</v>
      </c>
      <c r="M8059" s="68" t="s">
        <v>166</v>
      </c>
      <c r="N8059" s="116"/>
      <c r="O8059" s="51"/>
    </row>
    <row r="8060">
      <c r="A8060" s="234"/>
      <c r="B8060" s="71"/>
      <c r="C8060" s="79" t="s">
        <v>31746</v>
      </c>
      <c r="D8060" s="82"/>
      <c r="E8060" s="63" t="s">
        <v>31747</v>
      </c>
      <c r="F8060" s="70">
        <v>41855.0</v>
      </c>
      <c r="G8060" s="63" t="s">
        <v>31748</v>
      </c>
      <c r="H8060" s="80" t="s">
        <v>31749</v>
      </c>
      <c r="I8060" s="82"/>
      <c r="J8060" s="80" t="s">
        <v>136</v>
      </c>
      <c r="K8060" s="81">
        <v>44386.0</v>
      </c>
      <c r="L8060" s="80" t="s">
        <v>30692</v>
      </c>
      <c r="M8060" s="80" t="s">
        <v>27</v>
      </c>
      <c r="N8060" s="116"/>
      <c r="O8060" s="51"/>
    </row>
    <row r="8061">
      <c r="A8061" s="273"/>
      <c r="B8061" s="71"/>
      <c r="C8061" s="69" t="s">
        <v>31750</v>
      </c>
      <c r="D8061" s="71"/>
      <c r="E8061" s="68" t="s">
        <v>31751</v>
      </c>
      <c r="F8061" s="83">
        <v>43823.0</v>
      </c>
      <c r="G8061" s="68" t="s">
        <v>31752</v>
      </c>
      <c r="H8061" s="68" t="s">
        <v>31753</v>
      </c>
      <c r="I8061" s="71"/>
      <c r="J8061" s="68" t="s">
        <v>31754</v>
      </c>
      <c r="K8061" s="76">
        <v>44386.0</v>
      </c>
      <c r="L8061" s="68" t="s">
        <v>30692</v>
      </c>
      <c r="M8061" s="68" t="s">
        <v>542</v>
      </c>
      <c r="N8061" s="116"/>
      <c r="O8061" s="51"/>
    </row>
    <row r="8062">
      <c r="A8062" s="234"/>
      <c r="B8062" s="71"/>
      <c r="C8062" s="79" t="s">
        <v>31755</v>
      </c>
      <c r="D8062" s="82"/>
      <c r="E8062" s="63" t="s">
        <v>31756</v>
      </c>
      <c r="F8062" s="65">
        <v>40461.0</v>
      </c>
      <c r="G8062" s="63" t="s">
        <v>31757</v>
      </c>
      <c r="H8062" s="80" t="s">
        <v>31758</v>
      </c>
      <c r="I8062" s="82"/>
      <c r="J8062" s="80" t="s">
        <v>136</v>
      </c>
      <c r="K8062" s="81">
        <v>44386.0</v>
      </c>
      <c r="L8062" s="80" t="s">
        <v>30692</v>
      </c>
      <c r="M8062" s="80" t="s">
        <v>19459</v>
      </c>
      <c r="N8062" s="116"/>
      <c r="O8062" s="51"/>
    </row>
    <row r="8063">
      <c r="A8063" s="273"/>
      <c r="B8063" s="71"/>
      <c r="C8063" s="69" t="s">
        <v>31759</v>
      </c>
      <c r="D8063" s="71"/>
      <c r="E8063" s="68" t="s">
        <v>31760</v>
      </c>
      <c r="F8063" s="76">
        <v>42930.0</v>
      </c>
      <c r="G8063" s="68" t="s">
        <v>31761</v>
      </c>
      <c r="H8063" s="68" t="s">
        <v>31762</v>
      </c>
      <c r="I8063" s="71"/>
      <c r="J8063" s="68" t="s">
        <v>31763</v>
      </c>
      <c r="K8063" s="76">
        <v>44386.0</v>
      </c>
      <c r="L8063" s="68" t="s">
        <v>30692</v>
      </c>
      <c r="M8063" s="68" t="s">
        <v>166</v>
      </c>
      <c r="N8063" s="116"/>
      <c r="O8063" s="51"/>
    </row>
    <row r="8064">
      <c r="A8064" s="273"/>
      <c r="B8064" s="71"/>
      <c r="C8064" s="69" t="s">
        <v>31764</v>
      </c>
      <c r="D8064" s="71"/>
      <c r="E8064" s="68" t="s">
        <v>31765</v>
      </c>
      <c r="F8064" s="76">
        <v>43852.0</v>
      </c>
      <c r="G8064" s="68" t="s">
        <v>31766</v>
      </c>
      <c r="H8064" s="68" t="s">
        <v>31767</v>
      </c>
      <c r="I8064" s="71"/>
      <c r="J8064" s="68" t="s">
        <v>31768</v>
      </c>
      <c r="K8064" s="76">
        <v>44386.0</v>
      </c>
      <c r="L8064" s="68" t="s">
        <v>30692</v>
      </c>
      <c r="M8064" s="68" t="s">
        <v>542</v>
      </c>
      <c r="N8064" s="116"/>
      <c r="O8064" s="51"/>
    </row>
    <row r="8065">
      <c r="A8065" s="234"/>
      <c r="B8065" s="71"/>
      <c r="C8065" s="79" t="s">
        <v>31769</v>
      </c>
      <c r="D8065" s="82"/>
      <c r="E8065" s="63" t="s">
        <v>31770</v>
      </c>
      <c r="F8065" s="70">
        <v>44031.0</v>
      </c>
      <c r="G8065" s="63" t="s">
        <v>31771</v>
      </c>
      <c r="H8065" s="80" t="s">
        <v>31772</v>
      </c>
      <c r="I8065" s="82"/>
      <c r="J8065" s="80" t="s">
        <v>136</v>
      </c>
      <c r="K8065" s="81">
        <v>44386.0</v>
      </c>
      <c r="L8065" s="80" t="s">
        <v>30692</v>
      </c>
      <c r="M8065" s="80" t="s">
        <v>166</v>
      </c>
      <c r="N8065" s="116"/>
      <c r="O8065" s="51"/>
    </row>
    <row r="8066">
      <c r="A8066" s="273"/>
      <c r="B8066" s="71"/>
      <c r="C8066" s="69" t="s">
        <v>31773</v>
      </c>
      <c r="D8066" s="71"/>
      <c r="E8066" s="68" t="s">
        <v>31774</v>
      </c>
      <c r="F8066" s="76">
        <v>44383.0</v>
      </c>
      <c r="G8066" s="68" t="s">
        <v>31775</v>
      </c>
      <c r="H8066" s="68" t="s">
        <v>31776</v>
      </c>
      <c r="I8066" s="71"/>
      <c r="J8066" s="68" t="s">
        <v>31777</v>
      </c>
      <c r="K8066" s="76">
        <v>44389.0</v>
      </c>
      <c r="L8066" s="68" t="s">
        <v>2743</v>
      </c>
      <c r="M8066" s="68" t="s">
        <v>143</v>
      </c>
      <c r="N8066" s="116"/>
      <c r="O8066" s="51"/>
    </row>
    <row r="8067">
      <c r="A8067" s="273"/>
      <c r="B8067" s="71"/>
      <c r="C8067" s="69" t="s">
        <v>31778</v>
      </c>
      <c r="D8067" s="71"/>
      <c r="E8067" s="68" t="s">
        <v>31779</v>
      </c>
      <c r="F8067" s="76">
        <v>42906.0</v>
      </c>
      <c r="G8067" s="68" t="s">
        <v>31780</v>
      </c>
      <c r="H8067" s="68" t="s">
        <v>31781</v>
      </c>
      <c r="I8067" s="71"/>
      <c r="J8067" s="68" t="s">
        <v>31782</v>
      </c>
      <c r="K8067" s="76">
        <v>44389.0</v>
      </c>
      <c r="L8067" s="68" t="s">
        <v>2743</v>
      </c>
      <c r="M8067" s="68" t="s">
        <v>18616</v>
      </c>
      <c r="N8067" s="116"/>
      <c r="O8067" s="51"/>
    </row>
    <row r="8068">
      <c r="A8068" s="273"/>
      <c r="B8068" s="71"/>
      <c r="C8068" s="69" t="s">
        <v>31783</v>
      </c>
      <c r="D8068" s="71"/>
      <c r="E8068" s="68" t="s">
        <v>31784</v>
      </c>
      <c r="F8068" s="76">
        <v>44371.0</v>
      </c>
      <c r="G8068" s="68" t="s">
        <v>31785</v>
      </c>
      <c r="H8068" s="68" t="s">
        <v>31786</v>
      </c>
      <c r="I8068" s="71"/>
      <c r="J8068" s="68" t="s">
        <v>31787</v>
      </c>
      <c r="K8068" s="76">
        <v>44389.0</v>
      </c>
      <c r="L8068" s="68" t="s">
        <v>2743</v>
      </c>
      <c r="M8068" s="68" t="s">
        <v>31</v>
      </c>
      <c r="N8068" s="116"/>
      <c r="O8068" s="51"/>
    </row>
    <row r="8069">
      <c r="A8069" s="273"/>
      <c r="B8069" s="71"/>
      <c r="C8069" s="69" t="s">
        <v>31788</v>
      </c>
      <c r="D8069" s="71"/>
      <c r="E8069" s="68" t="s">
        <v>31789</v>
      </c>
      <c r="F8069" s="76">
        <v>43662.0</v>
      </c>
      <c r="G8069" s="68" t="s">
        <v>31790</v>
      </c>
      <c r="H8069" s="68" t="s">
        <v>439</v>
      </c>
      <c r="I8069" s="71"/>
      <c r="J8069" s="68" t="s">
        <v>31791</v>
      </c>
      <c r="K8069" s="76">
        <v>44389.0</v>
      </c>
      <c r="L8069" s="68" t="s">
        <v>2743</v>
      </c>
      <c r="M8069" s="68" t="s">
        <v>149</v>
      </c>
      <c r="N8069" s="116"/>
      <c r="O8069" s="51"/>
    </row>
    <row r="8070">
      <c r="A8070" s="234"/>
      <c r="B8070" s="71"/>
      <c r="C8070" s="79" t="s">
        <v>31792</v>
      </c>
      <c r="D8070" s="82"/>
      <c r="E8070" s="63" t="s">
        <v>31793</v>
      </c>
      <c r="F8070" s="70">
        <v>42220.0</v>
      </c>
      <c r="G8070" s="63" t="s">
        <v>31794</v>
      </c>
      <c r="H8070" s="80" t="s">
        <v>31795</v>
      </c>
      <c r="I8070" s="82"/>
      <c r="J8070" s="80" t="s">
        <v>136</v>
      </c>
      <c r="K8070" s="81">
        <v>44389.0</v>
      </c>
      <c r="L8070" s="80" t="s">
        <v>2743</v>
      </c>
      <c r="M8070" s="80" t="s">
        <v>18616</v>
      </c>
      <c r="N8070" s="116"/>
      <c r="O8070" s="51"/>
    </row>
    <row r="8071">
      <c r="A8071" s="273"/>
      <c r="B8071" s="71"/>
      <c r="C8071" s="69" t="s">
        <v>31796</v>
      </c>
      <c r="D8071" s="71"/>
      <c r="E8071" s="68" t="s">
        <v>31797</v>
      </c>
      <c r="F8071" s="76">
        <v>44375.0</v>
      </c>
      <c r="G8071" s="68" t="s">
        <v>31798</v>
      </c>
      <c r="H8071" s="68" t="s">
        <v>31799</v>
      </c>
      <c r="I8071" s="71"/>
      <c r="J8071" s="68" t="s">
        <v>31800</v>
      </c>
      <c r="K8071" s="76">
        <v>44389.0</v>
      </c>
      <c r="L8071" s="68" t="s">
        <v>2743</v>
      </c>
      <c r="M8071" s="68" t="s">
        <v>27</v>
      </c>
      <c r="N8071" s="116"/>
      <c r="O8071" s="51"/>
    </row>
    <row r="8072">
      <c r="A8072" s="234"/>
      <c r="B8072" s="71"/>
      <c r="C8072" s="79" t="s">
        <v>31801</v>
      </c>
      <c r="D8072" s="82"/>
      <c r="E8072" s="63" t="s">
        <v>31802</v>
      </c>
      <c r="F8072" s="65">
        <v>41968.0</v>
      </c>
      <c r="G8072" s="63" t="s">
        <v>31803</v>
      </c>
      <c r="H8072" s="80" t="s">
        <v>31804</v>
      </c>
      <c r="I8072" s="82"/>
      <c r="J8072" s="80" t="s">
        <v>136</v>
      </c>
      <c r="K8072" s="81">
        <v>44389.0</v>
      </c>
      <c r="L8072" s="80" t="s">
        <v>2743</v>
      </c>
      <c r="M8072" s="80" t="s">
        <v>27</v>
      </c>
      <c r="N8072" s="116"/>
      <c r="O8072" s="51"/>
    </row>
    <row r="8073">
      <c r="A8073" s="273"/>
      <c r="B8073" s="71"/>
      <c r="C8073" s="69" t="s">
        <v>31805</v>
      </c>
      <c r="D8073" s="71"/>
      <c r="E8073" s="68" t="s">
        <v>31806</v>
      </c>
      <c r="F8073" s="76">
        <v>44385.0</v>
      </c>
      <c r="G8073" s="68" t="s">
        <v>31807</v>
      </c>
      <c r="H8073" s="68">
        <v>1.730114107003E12</v>
      </c>
      <c r="I8073" s="71"/>
      <c r="J8073" s="68" t="s">
        <v>31808</v>
      </c>
      <c r="K8073" s="76">
        <v>44392.0</v>
      </c>
      <c r="L8073" s="68" t="s">
        <v>2743</v>
      </c>
      <c r="M8073" s="68" t="s">
        <v>125</v>
      </c>
      <c r="N8073" s="116"/>
      <c r="O8073" s="51"/>
    </row>
    <row r="8074">
      <c r="A8074" s="273"/>
      <c r="B8074" s="71"/>
      <c r="C8074" s="69" t="s">
        <v>31809</v>
      </c>
      <c r="D8074" s="71"/>
      <c r="E8074" s="68" t="s">
        <v>31810</v>
      </c>
      <c r="F8074" s="76">
        <v>44372.0</v>
      </c>
      <c r="G8074" s="68" t="s">
        <v>31811</v>
      </c>
      <c r="H8074" s="68" t="s">
        <v>31812</v>
      </c>
      <c r="I8074" s="71"/>
      <c r="J8074" s="68" t="s">
        <v>31813</v>
      </c>
      <c r="K8074" s="76">
        <v>44392.0</v>
      </c>
      <c r="L8074" s="68" t="s">
        <v>2743</v>
      </c>
      <c r="M8074" s="68" t="s">
        <v>125</v>
      </c>
      <c r="N8074" s="116"/>
      <c r="O8074" s="51"/>
    </row>
    <row r="8075">
      <c r="A8075" s="234"/>
      <c r="B8075" s="71"/>
      <c r="C8075" s="79" t="s">
        <v>31814</v>
      </c>
      <c r="D8075" s="82"/>
      <c r="E8075" s="63" t="s">
        <v>31815</v>
      </c>
      <c r="F8075" s="70">
        <v>44246.0</v>
      </c>
      <c r="G8075" s="63" t="s">
        <v>31816</v>
      </c>
      <c r="H8075" s="82"/>
      <c r="I8075" s="82"/>
      <c r="J8075" s="80" t="s">
        <v>136</v>
      </c>
      <c r="K8075" s="81">
        <v>44392.0</v>
      </c>
      <c r="L8075" s="80" t="s">
        <v>2743</v>
      </c>
      <c r="M8075" s="80" t="s">
        <v>10279</v>
      </c>
      <c r="N8075" s="116"/>
      <c r="O8075" s="51"/>
    </row>
    <row r="8076">
      <c r="A8076" s="234"/>
      <c r="B8076" s="71"/>
      <c r="C8076" s="79" t="s">
        <v>31817</v>
      </c>
      <c r="D8076" s="82"/>
      <c r="E8076" s="63" t="s">
        <v>31818</v>
      </c>
      <c r="F8076" s="70">
        <v>41456.0</v>
      </c>
      <c r="G8076" s="63" t="s">
        <v>31819</v>
      </c>
      <c r="H8076" s="82"/>
      <c r="I8076" s="82"/>
      <c r="J8076" s="80" t="s">
        <v>136</v>
      </c>
      <c r="K8076" s="81">
        <v>44392.0</v>
      </c>
      <c r="L8076" s="80" t="s">
        <v>2743</v>
      </c>
      <c r="M8076" s="80" t="s">
        <v>31820</v>
      </c>
      <c r="N8076" s="116"/>
      <c r="O8076" s="51"/>
    </row>
    <row r="8077">
      <c r="A8077" s="273"/>
      <c r="B8077" s="71"/>
      <c r="C8077" s="69" t="s">
        <v>31821</v>
      </c>
      <c r="D8077" s="71"/>
      <c r="E8077" s="68" t="s">
        <v>31822</v>
      </c>
      <c r="F8077" s="76">
        <v>44327.0</v>
      </c>
      <c r="G8077" s="68" t="s">
        <v>31823</v>
      </c>
      <c r="H8077" s="68" t="s">
        <v>31824</v>
      </c>
      <c r="I8077" s="71"/>
      <c r="J8077" s="68" t="s">
        <v>31825</v>
      </c>
      <c r="K8077" s="76">
        <v>44400.0</v>
      </c>
      <c r="L8077" s="68" t="s">
        <v>2743</v>
      </c>
      <c r="M8077" s="68" t="s">
        <v>542</v>
      </c>
      <c r="N8077" s="116"/>
      <c r="O8077" s="51"/>
    </row>
    <row r="8078">
      <c r="A8078" s="234"/>
      <c r="B8078" s="71"/>
      <c r="C8078" s="79" t="s">
        <v>31826</v>
      </c>
      <c r="D8078" s="82"/>
      <c r="E8078" s="63" t="s">
        <v>31827</v>
      </c>
      <c r="F8078" s="70">
        <v>42186.0</v>
      </c>
      <c r="G8078" s="63" t="s">
        <v>31828</v>
      </c>
      <c r="H8078" s="80" t="s">
        <v>439</v>
      </c>
      <c r="I8078" s="82"/>
      <c r="J8078" s="80" t="s">
        <v>136</v>
      </c>
      <c r="K8078" s="81">
        <v>44400.0</v>
      </c>
      <c r="L8078" s="80" t="s">
        <v>2743</v>
      </c>
      <c r="M8078" s="80" t="s">
        <v>125</v>
      </c>
      <c r="N8078" s="116"/>
      <c r="O8078" s="51"/>
    </row>
    <row r="8079">
      <c r="A8079" s="234"/>
      <c r="B8079" s="71"/>
      <c r="C8079" s="79" t="s">
        <v>31829</v>
      </c>
      <c r="D8079" s="82"/>
      <c r="E8079" s="63" t="s">
        <v>31830</v>
      </c>
      <c r="F8079" s="70">
        <v>44207.0</v>
      </c>
      <c r="G8079" s="63" t="s">
        <v>31831</v>
      </c>
      <c r="H8079" s="80" t="s">
        <v>31832</v>
      </c>
      <c r="I8079" s="82"/>
      <c r="J8079" s="80" t="s">
        <v>136</v>
      </c>
      <c r="K8079" s="81">
        <v>44400.0</v>
      </c>
      <c r="L8079" s="80" t="s">
        <v>2743</v>
      </c>
      <c r="M8079" s="80" t="s">
        <v>166</v>
      </c>
      <c r="N8079" s="116"/>
      <c r="O8079" s="51"/>
    </row>
    <row r="8080">
      <c r="A8080" s="273"/>
      <c r="B8080" s="71"/>
      <c r="C8080" s="69" t="s">
        <v>31833</v>
      </c>
      <c r="D8080" s="71"/>
      <c r="E8080" s="68" t="s">
        <v>31834</v>
      </c>
      <c r="F8080" s="83">
        <v>44178.0</v>
      </c>
      <c r="G8080" s="68" t="s">
        <v>31835</v>
      </c>
      <c r="H8080" s="68" t="s">
        <v>31836</v>
      </c>
      <c r="I8080" s="71"/>
      <c r="J8080" s="68" t="s">
        <v>31837</v>
      </c>
      <c r="K8080" s="76">
        <v>44400.0</v>
      </c>
      <c r="L8080" s="68" t="s">
        <v>2743</v>
      </c>
      <c r="M8080" s="68" t="s">
        <v>19459</v>
      </c>
      <c r="N8080" s="116"/>
      <c r="O8080" s="51"/>
    </row>
    <row r="8081">
      <c r="A8081" s="234"/>
      <c r="B8081" s="71"/>
      <c r="C8081" s="79" t="s">
        <v>31838</v>
      </c>
      <c r="D8081" s="82"/>
      <c r="E8081" s="63" t="s">
        <v>31839</v>
      </c>
      <c r="F8081" s="70">
        <v>44390.0</v>
      </c>
      <c r="G8081" s="63" t="s">
        <v>31840</v>
      </c>
      <c r="H8081" s="80" t="s">
        <v>31841</v>
      </c>
      <c r="I8081" s="82"/>
      <c r="J8081" s="80" t="s">
        <v>136</v>
      </c>
      <c r="K8081" s="81">
        <v>44400.0</v>
      </c>
      <c r="L8081" s="80" t="s">
        <v>2743</v>
      </c>
      <c r="M8081" s="80" t="s">
        <v>1182</v>
      </c>
      <c r="N8081" s="116"/>
      <c r="O8081" s="51"/>
    </row>
    <row r="8082">
      <c r="A8082" s="273"/>
      <c r="B8082" s="71"/>
      <c r="C8082" s="69" t="s">
        <v>31842</v>
      </c>
      <c r="D8082" s="71"/>
      <c r="E8082" s="68" t="s">
        <v>31843</v>
      </c>
      <c r="F8082" s="76">
        <v>42106.0</v>
      </c>
      <c r="G8082" s="68" t="s">
        <v>31844</v>
      </c>
      <c r="H8082" s="68" t="s">
        <v>31845</v>
      </c>
      <c r="I8082" s="71"/>
      <c r="J8082" s="68" t="s">
        <v>31846</v>
      </c>
      <c r="K8082" s="76">
        <v>44404.0</v>
      </c>
      <c r="L8082" s="68" t="s">
        <v>30692</v>
      </c>
      <c r="M8082" s="68" t="s">
        <v>27</v>
      </c>
      <c r="N8082" s="116"/>
      <c r="O8082" s="51"/>
    </row>
    <row r="8083">
      <c r="A8083" s="234"/>
      <c r="B8083" s="71"/>
      <c r="C8083" s="79" t="s">
        <v>31847</v>
      </c>
      <c r="D8083" s="82"/>
      <c r="E8083" s="63" t="s">
        <v>31848</v>
      </c>
      <c r="F8083" s="70">
        <v>41548.0</v>
      </c>
      <c r="G8083" s="63" t="s">
        <v>31849</v>
      </c>
      <c r="H8083" s="80" t="s">
        <v>439</v>
      </c>
      <c r="I8083" s="82"/>
      <c r="J8083" s="80" t="s">
        <v>136</v>
      </c>
      <c r="K8083" s="81">
        <v>44404.0</v>
      </c>
      <c r="L8083" s="80" t="s">
        <v>2743</v>
      </c>
      <c r="M8083" s="80" t="s">
        <v>17303</v>
      </c>
      <c r="N8083" s="87" t="s">
        <v>31850</v>
      </c>
      <c r="O8083" s="51"/>
    </row>
    <row r="8084">
      <c r="A8084" s="234"/>
      <c r="B8084" s="71"/>
      <c r="C8084" s="79" t="s">
        <v>31851</v>
      </c>
      <c r="D8084" s="82"/>
      <c r="E8084" s="63" t="s">
        <v>31852</v>
      </c>
      <c r="F8084" s="70">
        <v>41946.0</v>
      </c>
      <c r="G8084" s="63" t="s">
        <v>31853</v>
      </c>
      <c r="H8084" s="80" t="s">
        <v>31854</v>
      </c>
      <c r="I8084" s="82"/>
      <c r="J8084" s="80" t="s">
        <v>136</v>
      </c>
      <c r="K8084" s="81">
        <v>44408.0</v>
      </c>
      <c r="L8084" s="80" t="s">
        <v>2743</v>
      </c>
      <c r="M8084" s="80" t="s">
        <v>368</v>
      </c>
      <c r="N8084" s="87" t="s">
        <v>31855</v>
      </c>
      <c r="O8084" s="51"/>
    </row>
    <row r="8085">
      <c r="A8085" s="234"/>
      <c r="B8085" s="71"/>
      <c r="C8085" s="79" t="s">
        <v>31856</v>
      </c>
      <c r="D8085" s="82"/>
      <c r="E8085" s="63" t="s">
        <v>31857</v>
      </c>
      <c r="F8085" s="70">
        <v>44391.0</v>
      </c>
      <c r="G8085" s="63" t="s">
        <v>31858</v>
      </c>
      <c r="H8085" s="80" t="s">
        <v>31859</v>
      </c>
      <c r="I8085" s="82"/>
      <c r="J8085" s="80" t="s">
        <v>136</v>
      </c>
      <c r="K8085" s="81">
        <v>44408.0</v>
      </c>
      <c r="L8085" s="80" t="s">
        <v>2743</v>
      </c>
      <c r="M8085" s="80" t="s">
        <v>19204</v>
      </c>
      <c r="N8085" s="116"/>
      <c r="O8085" s="51"/>
    </row>
    <row r="8086">
      <c r="A8086" s="273"/>
      <c r="B8086" s="71"/>
      <c r="C8086" s="69" t="s">
        <v>31860</v>
      </c>
      <c r="D8086" s="71"/>
      <c r="E8086" s="68" t="s">
        <v>31861</v>
      </c>
      <c r="F8086" s="76">
        <v>44391.0</v>
      </c>
      <c r="G8086" s="68" t="s">
        <v>31858</v>
      </c>
      <c r="H8086" s="68" t="s">
        <v>31862</v>
      </c>
      <c r="I8086" s="71"/>
      <c r="J8086" s="68" t="s">
        <v>31863</v>
      </c>
      <c r="K8086" s="76">
        <v>44408.0</v>
      </c>
      <c r="L8086" s="68" t="s">
        <v>2743</v>
      </c>
      <c r="M8086" s="68" t="s">
        <v>19204</v>
      </c>
      <c r="N8086" s="116"/>
      <c r="O8086" s="51"/>
    </row>
    <row r="8087">
      <c r="A8087" s="273"/>
      <c r="B8087" s="71"/>
      <c r="C8087" s="69" t="s">
        <v>31864</v>
      </c>
      <c r="D8087" s="71"/>
      <c r="E8087" s="68" t="s">
        <v>31865</v>
      </c>
      <c r="F8087" s="76">
        <v>44013.0</v>
      </c>
      <c r="G8087" s="68" t="s">
        <v>31866</v>
      </c>
      <c r="H8087" s="68" t="s">
        <v>439</v>
      </c>
      <c r="I8087" s="71"/>
      <c r="J8087" s="68" t="s">
        <v>31867</v>
      </c>
      <c r="K8087" s="76">
        <v>44408.0</v>
      </c>
      <c r="L8087" s="68" t="s">
        <v>2743</v>
      </c>
      <c r="M8087" s="68" t="s">
        <v>22473</v>
      </c>
      <c r="N8087" s="116"/>
      <c r="O8087" s="51"/>
    </row>
    <row r="8088">
      <c r="A8088" s="234"/>
      <c r="B8088" s="71"/>
      <c r="C8088" s="79" t="s">
        <v>31868</v>
      </c>
      <c r="D8088" s="82"/>
      <c r="E8088" s="63" t="s">
        <v>31869</v>
      </c>
      <c r="F8088" s="65">
        <v>43062.0</v>
      </c>
      <c r="G8088" s="63" t="s">
        <v>31870</v>
      </c>
      <c r="H8088" s="80" t="s">
        <v>31871</v>
      </c>
      <c r="I8088" s="82"/>
      <c r="J8088" s="80" t="s">
        <v>136</v>
      </c>
      <c r="K8088" s="81">
        <v>44412.0</v>
      </c>
      <c r="L8088" s="80" t="s">
        <v>2743</v>
      </c>
      <c r="M8088" s="80" t="s">
        <v>19459</v>
      </c>
      <c r="N8088" s="116"/>
      <c r="O8088" s="51"/>
    </row>
    <row r="8089">
      <c r="A8089" s="234"/>
      <c r="B8089" s="71"/>
      <c r="C8089" s="79" t="s">
        <v>31872</v>
      </c>
      <c r="D8089" s="82"/>
      <c r="E8089" s="63" t="s">
        <v>31873</v>
      </c>
      <c r="F8089" s="70">
        <v>42618.0</v>
      </c>
      <c r="G8089" s="63" t="s">
        <v>31874</v>
      </c>
      <c r="H8089" s="80" t="s">
        <v>439</v>
      </c>
      <c r="I8089" s="82"/>
      <c r="J8089" s="80" t="s">
        <v>136</v>
      </c>
      <c r="K8089" s="81">
        <v>44413.0</v>
      </c>
      <c r="L8089" s="80" t="s">
        <v>2743</v>
      </c>
      <c r="M8089" s="80" t="s">
        <v>368</v>
      </c>
      <c r="N8089" s="116"/>
      <c r="O8089" s="51"/>
    </row>
    <row r="8090">
      <c r="A8090" s="273"/>
      <c r="B8090" s="71"/>
      <c r="C8090" s="69" t="s">
        <v>31875</v>
      </c>
      <c r="D8090" s="71"/>
      <c r="E8090" s="68" t="s">
        <v>31876</v>
      </c>
      <c r="F8090" s="76">
        <v>44337.0</v>
      </c>
      <c r="G8090" s="68" t="s">
        <v>31877</v>
      </c>
      <c r="H8090" s="68" t="s">
        <v>439</v>
      </c>
      <c r="I8090" s="71"/>
      <c r="J8090" s="68" t="s">
        <v>31878</v>
      </c>
      <c r="K8090" s="76">
        <v>44413.0</v>
      </c>
      <c r="L8090" s="68" t="s">
        <v>2743</v>
      </c>
      <c r="M8090" s="68" t="s">
        <v>27994</v>
      </c>
      <c r="N8090" s="116"/>
      <c r="O8090" s="51"/>
    </row>
    <row r="8091">
      <c r="A8091" s="234"/>
      <c r="B8091" s="71"/>
      <c r="C8091" s="79" t="s">
        <v>31879</v>
      </c>
      <c r="D8091" s="82"/>
      <c r="E8091" s="63" t="s">
        <v>31880</v>
      </c>
      <c r="F8091" s="70">
        <v>44297.0</v>
      </c>
      <c r="G8091" s="63" t="s">
        <v>31881</v>
      </c>
      <c r="H8091" s="80" t="s">
        <v>31882</v>
      </c>
      <c r="I8091" s="82"/>
      <c r="J8091" s="80" t="s">
        <v>136</v>
      </c>
      <c r="K8091" s="81">
        <v>44413.0</v>
      </c>
      <c r="L8091" s="80" t="s">
        <v>2743</v>
      </c>
      <c r="M8091" s="80" t="s">
        <v>125</v>
      </c>
      <c r="N8091" s="116"/>
      <c r="O8091" s="51"/>
    </row>
    <row r="8092">
      <c r="A8092" s="273"/>
      <c r="B8092" s="71"/>
      <c r="C8092" s="69" t="s">
        <v>31883</v>
      </c>
      <c r="D8092" s="71"/>
      <c r="E8092" s="68" t="s">
        <v>31884</v>
      </c>
      <c r="F8092" s="76">
        <v>44297.0</v>
      </c>
      <c r="G8092" s="68" t="s">
        <v>31881</v>
      </c>
      <c r="H8092" s="68" t="s">
        <v>439</v>
      </c>
      <c r="I8092" s="71"/>
      <c r="J8092" s="100" t="s">
        <v>31885</v>
      </c>
      <c r="K8092" s="225">
        <v>44413.0</v>
      </c>
      <c r="L8092" s="68" t="s">
        <v>2743</v>
      </c>
      <c r="M8092" s="68" t="s">
        <v>125</v>
      </c>
      <c r="N8092" s="116"/>
      <c r="O8092" s="51"/>
    </row>
    <row r="8093">
      <c r="A8093" s="234"/>
      <c r="B8093" s="71"/>
      <c r="C8093" s="79" t="s">
        <v>31886</v>
      </c>
      <c r="D8093" s="82"/>
      <c r="E8093" s="63" t="s">
        <v>31887</v>
      </c>
      <c r="F8093" s="70">
        <v>43315.0</v>
      </c>
      <c r="G8093" s="63" t="s">
        <v>31888</v>
      </c>
      <c r="H8093" s="80" t="s">
        <v>31889</v>
      </c>
      <c r="I8093" s="82"/>
      <c r="J8093" s="80" t="s">
        <v>136</v>
      </c>
      <c r="K8093" s="81">
        <v>44417.0</v>
      </c>
      <c r="L8093" s="80" t="s">
        <v>2743</v>
      </c>
      <c r="M8093" s="80" t="s">
        <v>166</v>
      </c>
      <c r="N8093" s="116"/>
      <c r="O8093" s="51"/>
    </row>
    <row r="8094">
      <c r="A8094" s="234"/>
      <c r="B8094" s="71"/>
      <c r="C8094" s="79" t="s">
        <v>31890</v>
      </c>
      <c r="D8094" s="82"/>
      <c r="E8094" s="63" t="s">
        <v>31891</v>
      </c>
      <c r="F8094" s="70">
        <v>42889.0</v>
      </c>
      <c r="G8094" s="63" t="s">
        <v>31892</v>
      </c>
      <c r="H8094" s="80" t="s">
        <v>31893</v>
      </c>
      <c r="I8094" s="82"/>
      <c r="J8094" s="80" t="s">
        <v>136</v>
      </c>
      <c r="K8094" s="81">
        <v>44417.0</v>
      </c>
      <c r="L8094" s="80" t="s">
        <v>2743</v>
      </c>
      <c r="M8094" s="80" t="s">
        <v>2152</v>
      </c>
      <c r="N8094" s="116"/>
      <c r="O8094" s="51"/>
    </row>
    <row r="8095">
      <c r="A8095" s="273"/>
      <c r="B8095" s="71"/>
      <c r="C8095" s="69" t="s">
        <v>31894</v>
      </c>
      <c r="D8095" s="71"/>
      <c r="E8095" s="68" t="s">
        <v>31895</v>
      </c>
      <c r="F8095" s="76">
        <v>44348.0</v>
      </c>
      <c r="G8095" s="68" t="s">
        <v>31896</v>
      </c>
      <c r="H8095" s="68" t="s">
        <v>31897</v>
      </c>
      <c r="I8095" s="68" t="s">
        <v>31898</v>
      </c>
      <c r="J8095" s="68" t="s">
        <v>31899</v>
      </c>
      <c r="K8095" s="76">
        <v>44417.0</v>
      </c>
      <c r="L8095" s="68" t="s">
        <v>2743</v>
      </c>
      <c r="M8095" s="68" t="s">
        <v>27</v>
      </c>
      <c r="N8095" s="116"/>
      <c r="O8095" s="51"/>
    </row>
    <row r="8096">
      <c r="A8096" s="273"/>
      <c r="B8096" s="71"/>
      <c r="C8096" s="69" t="s">
        <v>31900</v>
      </c>
      <c r="D8096" s="71"/>
      <c r="E8096" s="68" t="s">
        <v>31901</v>
      </c>
      <c r="F8096" s="76">
        <v>44295.0</v>
      </c>
      <c r="G8096" s="68" t="s">
        <v>31902</v>
      </c>
      <c r="H8096" s="68" t="s">
        <v>31903</v>
      </c>
      <c r="I8096" s="71"/>
      <c r="J8096" s="100" t="s">
        <v>31904</v>
      </c>
      <c r="K8096" s="225">
        <v>44419.0</v>
      </c>
      <c r="L8096" s="68" t="s">
        <v>30692</v>
      </c>
      <c r="M8096" s="68" t="s">
        <v>27</v>
      </c>
      <c r="N8096" s="116"/>
      <c r="O8096" s="51"/>
    </row>
    <row r="8097">
      <c r="A8097" s="273"/>
      <c r="B8097" s="71"/>
      <c r="C8097" s="69" t="s">
        <v>31905</v>
      </c>
      <c r="D8097" s="71"/>
      <c r="E8097" s="68" t="s">
        <v>31906</v>
      </c>
      <c r="F8097" s="76">
        <v>44339.0</v>
      </c>
      <c r="G8097" s="68" t="s">
        <v>31907</v>
      </c>
      <c r="H8097" s="68" t="s">
        <v>439</v>
      </c>
      <c r="I8097" s="71"/>
      <c r="J8097" s="100" t="s">
        <v>31908</v>
      </c>
      <c r="K8097" s="225">
        <v>44419.0</v>
      </c>
      <c r="L8097" s="68" t="s">
        <v>30692</v>
      </c>
      <c r="M8097" s="68" t="s">
        <v>27</v>
      </c>
      <c r="N8097" s="116"/>
      <c r="O8097" s="51"/>
    </row>
    <row r="8098">
      <c r="A8098" s="273"/>
      <c r="B8098" s="71"/>
      <c r="C8098" s="69" t="s">
        <v>31909</v>
      </c>
      <c r="D8098" s="71"/>
      <c r="E8098" s="68" t="s">
        <v>31910</v>
      </c>
      <c r="F8098" s="83">
        <v>43824.0</v>
      </c>
      <c r="G8098" s="68" t="s">
        <v>31911</v>
      </c>
      <c r="H8098" s="68" t="s">
        <v>31912</v>
      </c>
      <c r="I8098" s="71"/>
      <c r="J8098" s="68" t="s">
        <v>31913</v>
      </c>
      <c r="K8098" s="76">
        <v>44420.0</v>
      </c>
      <c r="L8098" s="68" t="s">
        <v>2743</v>
      </c>
      <c r="M8098" s="68" t="s">
        <v>27</v>
      </c>
      <c r="N8098" s="116"/>
      <c r="O8098" s="51"/>
    </row>
    <row r="8099">
      <c r="A8099" s="234"/>
      <c r="B8099" s="71"/>
      <c r="C8099" s="79" t="s">
        <v>31914</v>
      </c>
      <c r="D8099" s="82"/>
      <c r="E8099" s="63" t="s">
        <v>31915</v>
      </c>
      <c r="F8099" s="70">
        <v>41450.0</v>
      </c>
      <c r="G8099" s="63" t="s">
        <v>31916</v>
      </c>
      <c r="H8099" s="80" t="s">
        <v>31917</v>
      </c>
      <c r="I8099" s="82"/>
      <c r="J8099" s="80" t="s">
        <v>136</v>
      </c>
      <c r="K8099" s="81">
        <v>44424.0</v>
      </c>
      <c r="L8099" s="80" t="s">
        <v>2743</v>
      </c>
      <c r="M8099" s="80" t="s">
        <v>166</v>
      </c>
      <c r="N8099" s="116"/>
      <c r="O8099" s="51"/>
    </row>
    <row r="8100">
      <c r="A8100" s="234"/>
      <c r="B8100" s="71"/>
      <c r="C8100" s="79" t="s">
        <v>31918</v>
      </c>
      <c r="D8100" s="82"/>
      <c r="E8100" s="63" t="s">
        <v>31919</v>
      </c>
      <c r="F8100" s="70">
        <v>44028.0</v>
      </c>
      <c r="G8100" s="63" t="s">
        <v>31920</v>
      </c>
      <c r="H8100" s="80" t="s">
        <v>31921</v>
      </c>
      <c r="I8100" s="82"/>
      <c r="J8100" s="80" t="s">
        <v>136</v>
      </c>
      <c r="K8100" s="81">
        <v>44424.0</v>
      </c>
      <c r="L8100" s="80" t="s">
        <v>2743</v>
      </c>
      <c r="M8100" s="80" t="s">
        <v>542</v>
      </c>
      <c r="N8100" s="116"/>
      <c r="O8100" s="51"/>
    </row>
    <row r="8101">
      <c r="A8101" s="234"/>
      <c r="B8101" s="71"/>
      <c r="C8101" s="79" t="s">
        <v>31922</v>
      </c>
      <c r="D8101" s="82"/>
      <c r="E8101" s="63" t="s">
        <v>31923</v>
      </c>
      <c r="F8101" s="70">
        <v>43160.0</v>
      </c>
      <c r="G8101" s="63" t="s">
        <v>31924</v>
      </c>
      <c r="H8101" s="80" t="s">
        <v>31925</v>
      </c>
      <c r="I8101" s="82"/>
      <c r="J8101" s="80" t="s">
        <v>136</v>
      </c>
      <c r="K8101" s="81">
        <v>44424.0</v>
      </c>
      <c r="L8101" s="80" t="s">
        <v>2743</v>
      </c>
      <c r="M8101" s="80" t="s">
        <v>31926</v>
      </c>
      <c r="N8101" s="116"/>
      <c r="O8101" s="51"/>
    </row>
    <row r="8102">
      <c r="A8102" s="234"/>
      <c r="B8102" s="71"/>
      <c r="C8102" s="79" t="s">
        <v>31927</v>
      </c>
      <c r="D8102" s="82"/>
      <c r="E8102" s="63" t="s">
        <v>31928</v>
      </c>
      <c r="F8102" s="70">
        <v>42862.0</v>
      </c>
      <c r="G8102" s="63" t="s">
        <v>31929</v>
      </c>
      <c r="H8102" s="80" t="s">
        <v>31930</v>
      </c>
      <c r="I8102" s="82"/>
      <c r="J8102" s="80" t="s">
        <v>136</v>
      </c>
      <c r="K8102" s="81">
        <v>44429.0</v>
      </c>
      <c r="L8102" s="80" t="s">
        <v>2743</v>
      </c>
      <c r="M8102" s="80" t="s">
        <v>166</v>
      </c>
      <c r="N8102" s="116"/>
      <c r="O8102" s="51"/>
    </row>
    <row r="8103">
      <c r="A8103" s="273"/>
      <c r="B8103" s="71"/>
      <c r="C8103" s="69" t="s">
        <v>31931</v>
      </c>
      <c r="D8103" s="71"/>
      <c r="E8103" s="68" t="s">
        <v>31932</v>
      </c>
      <c r="F8103" s="76">
        <v>44393.0</v>
      </c>
      <c r="G8103" s="68" t="s">
        <v>31933</v>
      </c>
      <c r="H8103" s="68" t="s">
        <v>31934</v>
      </c>
      <c r="I8103" s="68" t="s">
        <v>31935</v>
      </c>
      <c r="J8103" s="68" t="s">
        <v>31936</v>
      </c>
      <c r="K8103" s="76">
        <v>44429.0</v>
      </c>
      <c r="L8103" s="68" t="s">
        <v>2743</v>
      </c>
      <c r="M8103" s="68" t="s">
        <v>2152</v>
      </c>
      <c r="N8103" s="116"/>
      <c r="O8103" s="51"/>
    </row>
    <row r="8104">
      <c r="A8104" s="273"/>
      <c r="B8104" s="71"/>
      <c r="C8104" s="69" t="s">
        <v>31937</v>
      </c>
      <c r="D8104" s="71"/>
      <c r="E8104" s="68" t="s">
        <v>31938</v>
      </c>
      <c r="F8104" s="76">
        <v>44393.0</v>
      </c>
      <c r="G8104" s="68" t="s">
        <v>31939</v>
      </c>
      <c r="H8104" s="68" t="s">
        <v>31940</v>
      </c>
      <c r="I8104" s="68" t="s">
        <v>31935</v>
      </c>
      <c r="J8104" s="68" t="s">
        <v>31941</v>
      </c>
      <c r="K8104" s="76">
        <v>44429.0</v>
      </c>
      <c r="L8104" s="68" t="s">
        <v>2743</v>
      </c>
      <c r="M8104" s="68" t="s">
        <v>2152</v>
      </c>
      <c r="N8104" s="116"/>
      <c r="O8104" s="51"/>
    </row>
    <row r="8105">
      <c r="A8105" s="273"/>
      <c r="B8105" s="71"/>
      <c r="C8105" s="69" t="s">
        <v>31942</v>
      </c>
      <c r="D8105" s="71"/>
      <c r="E8105" s="68" t="s">
        <v>31943</v>
      </c>
      <c r="F8105" s="76">
        <v>44275.0</v>
      </c>
      <c r="G8105" s="68" t="s">
        <v>31944</v>
      </c>
      <c r="H8105" s="68" t="s">
        <v>31945</v>
      </c>
      <c r="I8105" s="71"/>
      <c r="J8105" s="68" t="s">
        <v>31946</v>
      </c>
      <c r="K8105" s="76">
        <v>44435.0</v>
      </c>
      <c r="L8105" s="68" t="s">
        <v>2743</v>
      </c>
      <c r="M8105" s="68" t="s">
        <v>27</v>
      </c>
      <c r="N8105" s="87" t="s">
        <v>31947</v>
      </c>
      <c r="O8105" s="51"/>
    </row>
    <row r="8106">
      <c r="A8106" s="273"/>
      <c r="B8106" s="71"/>
      <c r="C8106" s="69" t="s">
        <v>31948</v>
      </c>
      <c r="D8106" s="71"/>
      <c r="E8106" s="68" t="s">
        <v>31949</v>
      </c>
      <c r="F8106" s="76">
        <v>44421.0</v>
      </c>
      <c r="G8106" s="68" t="s">
        <v>31950</v>
      </c>
      <c r="H8106" s="68" t="s">
        <v>31951</v>
      </c>
      <c r="I8106" s="71"/>
      <c r="J8106" s="68" t="s">
        <v>31952</v>
      </c>
      <c r="K8106" s="76">
        <v>44442.0</v>
      </c>
      <c r="L8106" s="68" t="s">
        <v>2743</v>
      </c>
      <c r="M8106" s="68" t="s">
        <v>27</v>
      </c>
      <c r="N8106" s="87" t="s">
        <v>31953</v>
      </c>
      <c r="O8106" s="51"/>
    </row>
    <row r="8107">
      <c r="A8107" s="234"/>
      <c r="B8107" s="71"/>
      <c r="C8107" s="79" t="s">
        <v>31954</v>
      </c>
      <c r="D8107" s="82"/>
      <c r="E8107" s="63" t="s">
        <v>31955</v>
      </c>
      <c r="F8107" s="70">
        <v>44347.0</v>
      </c>
      <c r="G8107" s="63" t="s">
        <v>31956</v>
      </c>
      <c r="H8107" s="80" t="s">
        <v>31957</v>
      </c>
      <c r="I8107" s="82"/>
      <c r="J8107" s="80" t="s">
        <v>136</v>
      </c>
      <c r="K8107" s="81">
        <v>44442.0</v>
      </c>
      <c r="L8107" s="80" t="s">
        <v>2743</v>
      </c>
      <c r="M8107" s="80" t="s">
        <v>27</v>
      </c>
      <c r="N8107" s="116"/>
      <c r="O8107" s="51"/>
    </row>
    <row r="8108">
      <c r="A8108" s="234"/>
      <c r="B8108" s="71"/>
      <c r="C8108" s="79" t="s">
        <v>31958</v>
      </c>
      <c r="D8108" s="82"/>
      <c r="E8108" s="63" t="s">
        <v>31959</v>
      </c>
      <c r="F8108" s="70">
        <v>44402.0</v>
      </c>
      <c r="G8108" s="63" t="s">
        <v>31956</v>
      </c>
      <c r="H8108" s="80" t="s">
        <v>31960</v>
      </c>
      <c r="I8108" s="82"/>
      <c r="J8108" s="80" t="s">
        <v>136</v>
      </c>
      <c r="K8108" s="81">
        <v>44442.0</v>
      </c>
      <c r="L8108" s="80" t="s">
        <v>2743</v>
      </c>
      <c r="M8108" s="80" t="s">
        <v>27</v>
      </c>
      <c r="N8108" s="116"/>
      <c r="O8108" s="51"/>
    </row>
    <row r="8109">
      <c r="A8109" s="273"/>
      <c r="B8109" s="71"/>
      <c r="C8109" s="69" t="s">
        <v>31961</v>
      </c>
      <c r="D8109" s="71"/>
      <c r="E8109" s="68" t="s">
        <v>31962</v>
      </c>
      <c r="F8109" s="76">
        <v>44419.0</v>
      </c>
      <c r="G8109" s="68" t="s">
        <v>31963</v>
      </c>
      <c r="H8109" s="68" t="s">
        <v>31964</v>
      </c>
      <c r="I8109" s="71"/>
      <c r="J8109" s="68" t="s">
        <v>31965</v>
      </c>
      <c r="K8109" s="76">
        <v>44442.0</v>
      </c>
      <c r="L8109" s="68" t="s">
        <v>2743</v>
      </c>
      <c r="M8109" s="68" t="s">
        <v>166</v>
      </c>
      <c r="N8109" s="116"/>
      <c r="O8109" s="51"/>
    </row>
    <row r="8110">
      <c r="A8110" s="273"/>
      <c r="B8110" s="71"/>
      <c r="C8110" s="69" t="s">
        <v>31966</v>
      </c>
      <c r="D8110" s="71"/>
      <c r="E8110" s="68" t="s">
        <v>31967</v>
      </c>
      <c r="F8110" s="76">
        <v>43963.0</v>
      </c>
      <c r="G8110" s="68" t="s">
        <v>31968</v>
      </c>
      <c r="H8110" s="68" t="s">
        <v>439</v>
      </c>
      <c r="I8110" s="71"/>
      <c r="J8110" s="68" t="s">
        <v>31969</v>
      </c>
      <c r="K8110" s="76">
        <v>44442.0</v>
      </c>
      <c r="L8110" s="68" t="s">
        <v>2743</v>
      </c>
      <c r="M8110" s="68" t="s">
        <v>166</v>
      </c>
      <c r="N8110" s="116"/>
      <c r="O8110" s="51"/>
    </row>
    <row r="8111">
      <c r="A8111" s="273"/>
      <c r="B8111" s="71"/>
      <c r="C8111" s="69" t="s">
        <v>31970</v>
      </c>
      <c r="D8111" s="71"/>
      <c r="E8111" s="68" t="s">
        <v>31971</v>
      </c>
      <c r="F8111" s="76">
        <v>44414.0</v>
      </c>
      <c r="G8111" s="68" t="s">
        <v>31972</v>
      </c>
      <c r="H8111" s="68" t="s">
        <v>31973</v>
      </c>
      <c r="I8111" s="71"/>
      <c r="J8111" s="68" t="s">
        <v>31974</v>
      </c>
      <c r="K8111" s="76">
        <v>44443.0</v>
      </c>
      <c r="L8111" s="68" t="s">
        <v>2743</v>
      </c>
      <c r="M8111" s="68" t="s">
        <v>143</v>
      </c>
      <c r="N8111" s="116"/>
      <c r="O8111" s="51"/>
    </row>
    <row r="8112">
      <c r="A8112" s="234"/>
      <c r="B8112" s="71"/>
      <c r="C8112" s="79" t="s">
        <v>31975</v>
      </c>
      <c r="D8112" s="82"/>
      <c r="E8112" s="63" t="s">
        <v>31976</v>
      </c>
      <c r="F8112" s="70">
        <v>41150.0</v>
      </c>
      <c r="G8112" s="63" t="s">
        <v>31977</v>
      </c>
      <c r="H8112" s="80" t="s">
        <v>31978</v>
      </c>
      <c r="I8112" s="82"/>
      <c r="J8112" s="80" t="s">
        <v>136</v>
      </c>
      <c r="K8112" s="81">
        <v>44443.0</v>
      </c>
      <c r="L8112" s="80" t="s">
        <v>2743</v>
      </c>
      <c r="M8112" s="80" t="s">
        <v>13303</v>
      </c>
      <c r="N8112" s="116"/>
      <c r="O8112" s="51"/>
    </row>
    <row r="8113">
      <c r="A8113" s="234"/>
      <c r="B8113" s="71"/>
      <c r="C8113" s="79" t="s">
        <v>31979</v>
      </c>
      <c r="D8113" s="82"/>
      <c r="E8113" s="63" t="s">
        <v>31980</v>
      </c>
      <c r="F8113" s="70">
        <v>42025.0</v>
      </c>
      <c r="G8113" s="63" t="s">
        <v>31981</v>
      </c>
      <c r="H8113" s="80" t="s">
        <v>439</v>
      </c>
      <c r="I8113" s="82"/>
      <c r="J8113" s="80" t="s">
        <v>136</v>
      </c>
      <c r="K8113" s="81">
        <v>44445.0</v>
      </c>
      <c r="L8113" s="80" t="s">
        <v>2743</v>
      </c>
      <c r="M8113" s="80" t="s">
        <v>13085</v>
      </c>
      <c r="N8113" s="116"/>
      <c r="O8113" s="51"/>
    </row>
    <row r="8114">
      <c r="A8114" s="234"/>
      <c r="B8114" s="71"/>
      <c r="C8114" s="79" t="s">
        <v>31982</v>
      </c>
      <c r="D8114" s="82"/>
      <c r="E8114" s="63" t="s">
        <v>31983</v>
      </c>
      <c r="F8114" s="70">
        <v>42023.0</v>
      </c>
      <c r="G8114" s="63" t="s">
        <v>31984</v>
      </c>
      <c r="H8114" s="80" t="s">
        <v>31985</v>
      </c>
      <c r="I8114" s="82"/>
      <c r="J8114" s="80" t="s">
        <v>136</v>
      </c>
      <c r="K8114" s="81">
        <v>44445.0</v>
      </c>
      <c r="L8114" s="80" t="s">
        <v>2743</v>
      </c>
      <c r="M8114" s="80" t="s">
        <v>13085</v>
      </c>
      <c r="N8114" s="116"/>
      <c r="O8114" s="51"/>
    </row>
    <row r="8115">
      <c r="A8115" s="273"/>
      <c r="B8115" s="71"/>
      <c r="C8115" s="69" t="s">
        <v>31986</v>
      </c>
      <c r="D8115" s="71"/>
      <c r="E8115" s="68" t="s">
        <v>31987</v>
      </c>
      <c r="F8115" s="76">
        <v>44391.0</v>
      </c>
      <c r="G8115" s="68" t="s">
        <v>31988</v>
      </c>
      <c r="H8115" s="68" t="s">
        <v>31989</v>
      </c>
      <c r="I8115" s="71"/>
      <c r="J8115" s="68" t="s">
        <v>31990</v>
      </c>
      <c r="K8115" s="76">
        <v>44445.0</v>
      </c>
      <c r="L8115" s="68" t="s">
        <v>2743</v>
      </c>
      <c r="M8115" s="68" t="s">
        <v>1435</v>
      </c>
      <c r="N8115" s="116"/>
      <c r="O8115" s="51"/>
    </row>
    <row r="8116">
      <c r="A8116" s="273"/>
      <c r="B8116" s="71"/>
      <c r="C8116" s="69" t="s">
        <v>31991</v>
      </c>
      <c r="D8116" s="71"/>
      <c r="E8116" s="68" t="s">
        <v>31992</v>
      </c>
      <c r="F8116" s="76">
        <v>44391.0</v>
      </c>
      <c r="G8116" s="68" t="s">
        <v>31993</v>
      </c>
      <c r="H8116" s="68" t="s">
        <v>31994</v>
      </c>
      <c r="I8116" s="71"/>
      <c r="J8116" s="68" t="s">
        <v>31995</v>
      </c>
      <c r="K8116" s="76">
        <v>44445.0</v>
      </c>
      <c r="L8116" s="68" t="s">
        <v>2743</v>
      </c>
      <c r="M8116" s="68" t="s">
        <v>1435</v>
      </c>
      <c r="N8116" s="116"/>
      <c r="O8116" s="51"/>
    </row>
    <row r="8117">
      <c r="A8117" s="273"/>
      <c r="B8117" s="71"/>
      <c r="C8117" s="69" t="s">
        <v>31996</v>
      </c>
      <c r="D8117" s="71"/>
      <c r="E8117" s="68" t="s">
        <v>31997</v>
      </c>
      <c r="F8117" s="76">
        <v>43647.0</v>
      </c>
      <c r="G8117" s="68" t="s">
        <v>31998</v>
      </c>
      <c r="H8117" s="68" t="s">
        <v>31999</v>
      </c>
      <c r="I8117" s="71"/>
      <c r="J8117" s="68" t="s">
        <v>32000</v>
      </c>
      <c r="K8117" s="76">
        <v>44445.0</v>
      </c>
      <c r="L8117" s="68" t="s">
        <v>2743</v>
      </c>
      <c r="M8117" s="68" t="s">
        <v>201</v>
      </c>
      <c r="N8117" s="116"/>
      <c r="O8117" s="51"/>
    </row>
    <row r="8118">
      <c r="A8118" s="273"/>
      <c r="B8118" s="71"/>
      <c r="C8118" s="69" t="s">
        <v>32001</v>
      </c>
      <c r="D8118" s="71"/>
      <c r="E8118" s="68" t="s">
        <v>32002</v>
      </c>
      <c r="F8118" s="76">
        <v>44375.0</v>
      </c>
      <c r="G8118" s="68" t="s">
        <v>32003</v>
      </c>
      <c r="H8118" s="68" t="s">
        <v>32004</v>
      </c>
      <c r="I8118" s="71"/>
      <c r="J8118" s="100" t="s">
        <v>32005</v>
      </c>
      <c r="K8118" s="225">
        <v>44445.0</v>
      </c>
      <c r="L8118" s="68" t="s">
        <v>2743</v>
      </c>
      <c r="M8118" s="68" t="s">
        <v>27</v>
      </c>
      <c r="N8118" s="116"/>
      <c r="O8118" s="51"/>
    </row>
    <row r="8119">
      <c r="A8119" s="234"/>
      <c r="B8119" s="71"/>
      <c r="C8119" s="79" t="s">
        <v>32006</v>
      </c>
      <c r="D8119" s="82"/>
      <c r="E8119" s="63" t="s">
        <v>32007</v>
      </c>
      <c r="F8119" s="70">
        <v>44434.0</v>
      </c>
      <c r="G8119" s="63" t="s">
        <v>32008</v>
      </c>
      <c r="H8119" s="80" t="s">
        <v>32009</v>
      </c>
      <c r="I8119" s="82"/>
      <c r="J8119" s="80" t="s">
        <v>136</v>
      </c>
      <c r="K8119" s="81">
        <v>44447.0</v>
      </c>
      <c r="L8119" s="80" t="s">
        <v>31554</v>
      </c>
      <c r="M8119" s="80" t="s">
        <v>166</v>
      </c>
      <c r="N8119" s="116"/>
      <c r="O8119" s="51"/>
    </row>
    <row r="8120">
      <c r="A8120" s="273"/>
      <c r="B8120" s="71"/>
      <c r="C8120" s="69" t="s">
        <v>32010</v>
      </c>
      <c r="D8120" s="71"/>
      <c r="E8120" s="68" t="s">
        <v>32011</v>
      </c>
      <c r="F8120" s="76">
        <v>43901.0</v>
      </c>
      <c r="G8120" s="68" t="s">
        <v>32012</v>
      </c>
      <c r="H8120" s="68" t="s">
        <v>32013</v>
      </c>
      <c r="I8120" s="71"/>
      <c r="J8120" s="68" t="s">
        <v>32014</v>
      </c>
      <c r="K8120" s="76">
        <v>44447.0</v>
      </c>
      <c r="L8120" s="68" t="s">
        <v>2743</v>
      </c>
      <c r="M8120" s="68" t="s">
        <v>2466</v>
      </c>
      <c r="N8120" s="116"/>
      <c r="O8120" s="51"/>
    </row>
    <row r="8121">
      <c r="A8121" s="273"/>
      <c r="B8121" s="71"/>
      <c r="C8121" s="69" t="s">
        <v>32015</v>
      </c>
      <c r="D8121" s="71"/>
      <c r="E8121" s="68" t="s">
        <v>32016</v>
      </c>
      <c r="F8121" s="71"/>
      <c r="G8121" s="68" t="s">
        <v>32017</v>
      </c>
      <c r="H8121" s="68" t="s">
        <v>439</v>
      </c>
      <c r="I8121" s="71"/>
      <c r="J8121" s="68" t="s">
        <v>32018</v>
      </c>
      <c r="K8121" s="76">
        <v>44447.0</v>
      </c>
      <c r="L8121" s="68" t="s">
        <v>2743</v>
      </c>
      <c r="M8121" s="68" t="s">
        <v>27994</v>
      </c>
      <c r="N8121" s="116"/>
      <c r="O8121" s="51"/>
    </row>
    <row r="8122">
      <c r="A8122" s="234"/>
      <c r="B8122" s="71"/>
      <c r="C8122" s="79" t="s">
        <v>32019</v>
      </c>
      <c r="D8122" s="82"/>
      <c r="E8122" s="63" t="s">
        <v>32020</v>
      </c>
      <c r="F8122" s="70">
        <v>42416.0</v>
      </c>
      <c r="G8122" s="63" t="s">
        <v>32021</v>
      </c>
      <c r="H8122" s="80" t="s">
        <v>32022</v>
      </c>
      <c r="I8122" s="82"/>
      <c r="J8122" s="80" t="s">
        <v>136</v>
      </c>
      <c r="K8122" s="81">
        <v>44447.0</v>
      </c>
      <c r="L8122" s="80" t="s">
        <v>2743</v>
      </c>
      <c r="M8122" s="80" t="s">
        <v>27</v>
      </c>
      <c r="N8122" s="116"/>
      <c r="O8122" s="51"/>
    </row>
    <row r="8123">
      <c r="A8123" s="234"/>
      <c r="B8123" s="71"/>
      <c r="C8123" s="79" t="s">
        <v>32023</v>
      </c>
      <c r="D8123" s="82"/>
      <c r="E8123" s="63" t="s">
        <v>32024</v>
      </c>
      <c r="F8123" s="70">
        <v>44350.0</v>
      </c>
      <c r="G8123" s="63" t="s">
        <v>32025</v>
      </c>
      <c r="H8123" s="80" t="s">
        <v>32026</v>
      </c>
      <c r="I8123" s="82"/>
      <c r="J8123" s="80" t="s">
        <v>136</v>
      </c>
      <c r="K8123" s="81">
        <v>44466.0</v>
      </c>
      <c r="L8123" s="80" t="s">
        <v>2743</v>
      </c>
      <c r="M8123" s="80" t="s">
        <v>166</v>
      </c>
      <c r="N8123" s="116"/>
      <c r="O8123" s="51"/>
    </row>
    <row r="8124">
      <c r="A8124" s="234"/>
      <c r="B8124" s="71"/>
      <c r="C8124" s="79" t="s">
        <v>32027</v>
      </c>
      <c r="D8124" s="82"/>
      <c r="E8124" s="63" t="s">
        <v>32028</v>
      </c>
      <c r="F8124" s="65">
        <v>42667.0</v>
      </c>
      <c r="G8124" s="63" t="s">
        <v>32029</v>
      </c>
      <c r="H8124" s="80" t="s">
        <v>32030</v>
      </c>
      <c r="I8124" s="82"/>
      <c r="J8124" s="80" t="s">
        <v>136</v>
      </c>
      <c r="K8124" s="81">
        <v>44466.0</v>
      </c>
      <c r="L8124" s="80" t="s">
        <v>2743</v>
      </c>
      <c r="M8124" s="80" t="s">
        <v>166</v>
      </c>
      <c r="N8124" s="116"/>
      <c r="O8124" s="51"/>
    </row>
    <row r="8125">
      <c r="A8125" s="273"/>
      <c r="B8125" s="71"/>
      <c r="C8125" s="69" t="s">
        <v>32031</v>
      </c>
      <c r="D8125" s="71"/>
      <c r="E8125" s="68" t="s">
        <v>32032</v>
      </c>
      <c r="F8125" s="76">
        <v>44449.0</v>
      </c>
      <c r="G8125" s="68" t="s">
        <v>32033</v>
      </c>
      <c r="H8125" s="68" t="s">
        <v>439</v>
      </c>
      <c r="I8125" s="71"/>
      <c r="J8125" s="68" t="s">
        <v>32034</v>
      </c>
      <c r="K8125" s="76">
        <v>44466.0</v>
      </c>
      <c r="L8125" s="68" t="s">
        <v>2743</v>
      </c>
      <c r="M8125" s="68" t="s">
        <v>27994</v>
      </c>
      <c r="N8125" s="116"/>
      <c r="O8125" s="51"/>
    </row>
    <row r="8126">
      <c r="A8126" s="273"/>
      <c r="B8126" s="71"/>
      <c r="C8126" s="69" t="s">
        <v>32035</v>
      </c>
      <c r="D8126" s="71"/>
      <c r="E8126" s="68" t="s">
        <v>32036</v>
      </c>
      <c r="F8126" s="76">
        <v>44107.0</v>
      </c>
      <c r="G8126" s="68" t="s">
        <v>32037</v>
      </c>
      <c r="H8126" s="68" t="s">
        <v>32038</v>
      </c>
      <c r="I8126" s="71"/>
      <c r="J8126" s="68" t="s">
        <v>32039</v>
      </c>
      <c r="K8126" s="76">
        <v>44466.0</v>
      </c>
      <c r="L8126" s="68" t="s">
        <v>2743</v>
      </c>
      <c r="M8126" s="68" t="s">
        <v>542</v>
      </c>
      <c r="N8126" s="116"/>
      <c r="O8126" s="51"/>
    </row>
    <row r="8127">
      <c r="A8127" s="273"/>
      <c r="B8127" s="71"/>
      <c r="C8127" s="69" t="s">
        <v>32040</v>
      </c>
      <c r="D8127" s="71"/>
      <c r="E8127" s="68" t="s">
        <v>32041</v>
      </c>
      <c r="F8127" s="76">
        <v>44461.0</v>
      </c>
      <c r="G8127" s="68" t="s">
        <v>32042</v>
      </c>
      <c r="H8127" s="68" t="s">
        <v>32043</v>
      </c>
      <c r="I8127" s="71"/>
      <c r="J8127" s="68" t="s">
        <v>32044</v>
      </c>
      <c r="K8127" s="76">
        <v>44466.0</v>
      </c>
      <c r="L8127" s="68" t="s">
        <v>2743</v>
      </c>
      <c r="M8127" s="68" t="s">
        <v>3690</v>
      </c>
      <c r="N8127" s="116"/>
      <c r="O8127" s="51"/>
    </row>
    <row r="8128">
      <c r="A8128" s="273"/>
      <c r="B8128" s="71"/>
      <c r="C8128" s="69" t="s">
        <v>32045</v>
      </c>
      <c r="D8128" s="71"/>
      <c r="E8128" s="68" t="s">
        <v>32046</v>
      </c>
      <c r="F8128" s="76">
        <v>44443.0</v>
      </c>
      <c r="G8128" s="68" t="s">
        <v>32047</v>
      </c>
      <c r="H8128" s="68" t="s">
        <v>32048</v>
      </c>
      <c r="I8128" s="71"/>
      <c r="J8128" s="100" t="s">
        <v>32049</v>
      </c>
      <c r="K8128" s="225">
        <v>44466.0</v>
      </c>
      <c r="L8128" s="68" t="s">
        <v>2743</v>
      </c>
      <c r="M8128" s="68" t="s">
        <v>2466</v>
      </c>
      <c r="N8128" s="116"/>
      <c r="O8128" s="51"/>
    </row>
    <row r="8129">
      <c r="A8129" s="234"/>
      <c r="B8129" s="71"/>
      <c r="C8129" s="79" t="s">
        <v>32050</v>
      </c>
      <c r="D8129" s="82"/>
      <c r="E8129" s="63" t="s">
        <v>32051</v>
      </c>
      <c r="F8129" s="70">
        <v>39995.0</v>
      </c>
      <c r="G8129" s="63" t="s">
        <v>32052</v>
      </c>
      <c r="H8129" s="80" t="s">
        <v>32053</v>
      </c>
      <c r="I8129" s="82"/>
      <c r="J8129" s="80" t="s">
        <v>136</v>
      </c>
      <c r="K8129" s="81">
        <v>44466.0</v>
      </c>
      <c r="L8129" s="80" t="s">
        <v>2743</v>
      </c>
      <c r="M8129" s="80" t="s">
        <v>530</v>
      </c>
      <c r="N8129" s="116"/>
      <c r="O8129" s="51"/>
    </row>
    <row r="8130">
      <c r="A8130" s="234"/>
      <c r="B8130" s="71"/>
      <c r="C8130" s="79" t="s">
        <v>32054</v>
      </c>
      <c r="D8130" s="82"/>
      <c r="E8130" s="63" t="s">
        <v>32055</v>
      </c>
      <c r="F8130" s="70">
        <v>44354.0</v>
      </c>
      <c r="G8130" s="63" t="s">
        <v>32056</v>
      </c>
      <c r="H8130" s="80" t="s">
        <v>32057</v>
      </c>
      <c r="I8130" s="82"/>
      <c r="J8130" s="80" t="s">
        <v>136</v>
      </c>
      <c r="K8130" s="81">
        <v>44466.0</v>
      </c>
      <c r="L8130" s="80" t="s">
        <v>2743</v>
      </c>
      <c r="M8130" s="80" t="s">
        <v>143</v>
      </c>
      <c r="N8130" s="116"/>
      <c r="O8130" s="51"/>
    </row>
    <row r="8131">
      <c r="A8131" s="273"/>
      <c r="B8131" s="71"/>
      <c r="C8131" s="69" t="s">
        <v>32058</v>
      </c>
      <c r="D8131" s="71"/>
      <c r="E8131" s="68" t="s">
        <v>32059</v>
      </c>
      <c r="F8131" s="76">
        <v>44442.0</v>
      </c>
      <c r="G8131" s="68" t="s">
        <v>32060</v>
      </c>
      <c r="H8131" s="68" t="s">
        <v>32061</v>
      </c>
      <c r="I8131" s="71"/>
      <c r="J8131" s="68" t="s">
        <v>32062</v>
      </c>
      <c r="K8131" s="76">
        <v>44466.0</v>
      </c>
      <c r="L8131" s="68" t="s">
        <v>2743</v>
      </c>
      <c r="M8131" s="68" t="s">
        <v>17743</v>
      </c>
      <c r="N8131" s="116"/>
      <c r="O8131" s="51"/>
    </row>
    <row r="8132">
      <c r="A8132" s="234"/>
      <c r="B8132" s="71"/>
      <c r="C8132" s="79" t="s">
        <v>32063</v>
      </c>
      <c r="D8132" s="82"/>
      <c r="E8132" s="63" t="s">
        <v>32064</v>
      </c>
      <c r="F8132" s="70">
        <v>44139.0</v>
      </c>
      <c r="G8132" s="63" t="s">
        <v>32065</v>
      </c>
      <c r="H8132" s="80" t="s">
        <v>32066</v>
      </c>
      <c r="I8132" s="82"/>
      <c r="J8132" s="80" t="s">
        <v>136</v>
      </c>
      <c r="K8132" s="81">
        <v>44466.0</v>
      </c>
      <c r="L8132" s="80" t="s">
        <v>2743</v>
      </c>
      <c r="M8132" s="80" t="s">
        <v>27</v>
      </c>
      <c r="N8132" s="116"/>
      <c r="O8132" s="51"/>
    </row>
    <row r="8133">
      <c r="A8133" s="234"/>
      <c r="B8133" s="71"/>
      <c r="C8133" s="79" t="s">
        <v>32067</v>
      </c>
      <c r="D8133" s="82"/>
      <c r="E8133" s="63" t="s">
        <v>32068</v>
      </c>
      <c r="F8133" s="70">
        <v>42256.0</v>
      </c>
      <c r="G8133" s="63" t="s">
        <v>32069</v>
      </c>
      <c r="H8133" s="80" t="s">
        <v>32070</v>
      </c>
      <c r="I8133" s="82"/>
      <c r="J8133" s="80" t="s">
        <v>136</v>
      </c>
      <c r="K8133" s="81">
        <v>44466.0</v>
      </c>
      <c r="L8133" s="80" t="s">
        <v>2743</v>
      </c>
      <c r="M8133" s="80" t="s">
        <v>27</v>
      </c>
      <c r="N8133" s="116"/>
      <c r="O8133" s="51"/>
    </row>
    <row r="8134">
      <c r="A8134" s="234"/>
      <c r="B8134" s="71"/>
      <c r="C8134" s="79" t="s">
        <v>32071</v>
      </c>
      <c r="D8134" s="82"/>
      <c r="E8134" s="63" t="s">
        <v>32072</v>
      </c>
      <c r="F8134" s="70">
        <v>42256.0</v>
      </c>
      <c r="G8134" s="63" t="s">
        <v>32073</v>
      </c>
      <c r="H8134" s="80" t="s">
        <v>32074</v>
      </c>
      <c r="I8134" s="82"/>
      <c r="J8134" s="80" t="s">
        <v>136</v>
      </c>
      <c r="K8134" s="81">
        <v>44466.0</v>
      </c>
      <c r="L8134" s="80" t="s">
        <v>2743</v>
      </c>
      <c r="M8134" s="80" t="s">
        <v>27</v>
      </c>
      <c r="N8134" s="116"/>
      <c r="O8134" s="51"/>
    </row>
    <row r="8135">
      <c r="A8135" s="273"/>
      <c r="B8135" s="71"/>
      <c r="C8135" s="69" t="s">
        <v>32075</v>
      </c>
      <c r="D8135" s="71"/>
      <c r="E8135" s="68" t="s">
        <v>32076</v>
      </c>
      <c r="F8135" s="76">
        <v>44392.0</v>
      </c>
      <c r="G8135" s="68" t="s">
        <v>32077</v>
      </c>
      <c r="H8135" s="68" t="s">
        <v>439</v>
      </c>
      <c r="I8135" s="71"/>
      <c r="J8135" s="68" t="s">
        <v>32078</v>
      </c>
      <c r="K8135" s="76">
        <v>44466.0</v>
      </c>
      <c r="L8135" s="68" t="s">
        <v>2743</v>
      </c>
      <c r="M8135" s="68" t="s">
        <v>27</v>
      </c>
      <c r="N8135" s="116"/>
      <c r="O8135" s="51"/>
    </row>
    <row r="8136">
      <c r="A8136" s="234"/>
      <c r="B8136" s="71"/>
      <c r="C8136" s="79" t="s">
        <v>32079</v>
      </c>
      <c r="D8136" s="82"/>
      <c r="E8136" s="63" t="s">
        <v>32080</v>
      </c>
      <c r="F8136" s="70">
        <v>43620.0</v>
      </c>
      <c r="G8136" s="63" t="s">
        <v>32081</v>
      </c>
      <c r="H8136" s="80" t="s">
        <v>32082</v>
      </c>
      <c r="I8136" s="82"/>
      <c r="J8136" s="80" t="s">
        <v>136</v>
      </c>
      <c r="K8136" s="81">
        <v>44467.0</v>
      </c>
      <c r="L8136" s="80" t="s">
        <v>2743</v>
      </c>
      <c r="M8136" s="80" t="s">
        <v>27</v>
      </c>
      <c r="N8136" s="116"/>
      <c r="O8136" s="51"/>
    </row>
    <row r="8137">
      <c r="A8137" s="234"/>
      <c r="B8137" s="71"/>
      <c r="C8137" s="79" t="s">
        <v>32083</v>
      </c>
      <c r="D8137" s="82"/>
      <c r="E8137" s="63" t="s">
        <v>32084</v>
      </c>
      <c r="F8137" s="70">
        <v>42552.0</v>
      </c>
      <c r="G8137" s="63" t="s">
        <v>32085</v>
      </c>
      <c r="H8137" s="80" t="s">
        <v>439</v>
      </c>
      <c r="I8137" s="82"/>
      <c r="J8137" s="80" t="s">
        <v>136</v>
      </c>
      <c r="K8137" s="81">
        <v>44469.0</v>
      </c>
      <c r="L8137" s="80" t="s">
        <v>2743</v>
      </c>
      <c r="M8137" s="80" t="s">
        <v>18616</v>
      </c>
      <c r="N8137" s="87" t="s">
        <v>32086</v>
      </c>
      <c r="O8137" s="51"/>
    </row>
    <row r="8138">
      <c r="A8138" s="273"/>
      <c r="B8138" s="71"/>
      <c r="C8138" s="69" t="s">
        <v>32087</v>
      </c>
      <c r="D8138" s="71"/>
      <c r="E8138" s="68" t="s">
        <v>32088</v>
      </c>
      <c r="F8138" s="76">
        <v>44438.0</v>
      </c>
      <c r="G8138" s="68" t="s">
        <v>32033</v>
      </c>
      <c r="H8138" s="68" t="s">
        <v>439</v>
      </c>
      <c r="I8138" s="71"/>
      <c r="J8138" s="68" t="s">
        <v>32089</v>
      </c>
      <c r="K8138" s="76">
        <v>44471.0</v>
      </c>
      <c r="L8138" s="68" t="s">
        <v>2743</v>
      </c>
      <c r="M8138" s="68" t="s">
        <v>27994</v>
      </c>
      <c r="N8138" s="87" t="s">
        <v>32090</v>
      </c>
      <c r="O8138" s="51"/>
    </row>
    <row r="8139">
      <c r="A8139" s="234"/>
      <c r="B8139" s="71"/>
      <c r="C8139" s="79" t="s">
        <v>32091</v>
      </c>
      <c r="D8139" s="82"/>
      <c r="E8139" s="63" t="s">
        <v>32092</v>
      </c>
      <c r="F8139" s="70">
        <v>44438.0</v>
      </c>
      <c r="G8139" s="63" t="s">
        <v>32033</v>
      </c>
      <c r="H8139" s="80" t="s">
        <v>439</v>
      </c>
      <c r="I8139" s="82"/>
      <c r="J8139" s="80" t="s">
        <v>136</v>
      </c>
      <c r="K8139" s="81">
        <v>44471.0</v>
      </c>
      <c r="L8139" s="80" t="s">
        <v>2743</v>
      </c>
      <c r="M8139" s="80" t="s">
        <v>27994</v>
      </c>
      <c r="N8139" s="116"/>
      <c r="O8139" s="51"/>
    </row>
    <row r="8140">
      <c r="A8140" s="234"/>
      <c r="B8140" s="71"/>
      <c r="C8140" s="79" t="s">
        <v>32093</v>
      </c>
      <c r="D8140" s="82"/>
      <c r="E8140" s="63" t="s">
        <v>32094</v>
      </c>
      <c r="F8140" s="70">
        <v>44438.0</v>
      </c>
      <c r="G8140" s="63" t="s">
        <v>32033</v>
      </c>
      <c r="H8140" s="80" t="s">
        <v>439</v>
      </c>
      <c r="I8140" s="82"/>
      <c r="J8140" s="80" t="s">
        <v>136</v>
      </c>
      <c r="K8140" s="81">
        <v>44471.0</v>
      </c>
      <c r="L8140" s="80" t="s">
        <v>2743</v>
      </c>
      <c r="M8140" s="80" t="s">
        <v>27994</v>
      </c>
      <c r="N8140" s="116"/>
      <c r="O8140" s="51"/>
    </row>
    <row r="8141">
      <c r="A8141" s="273"/>
      <c r="B8141" s="71"/>
      <c r="C8141" s="69" t="s">
        <v>32095</v>
      </c>
      <c r="D8141" s="71"/>
      <c r="E8141" s="68" t="s">
        <v>23944</v>
      </c>
      <c r="F8141" s="76">
        <v>44438.0</v>
      </c>
      <c r="G8141" s="68" t="s">
        <v>32033</v>
      </c>
      <c r="H8141" s="68" t="s">
        <v>439</v>
      </c>
      <c r="I8141" s="71"/>
      <c r="J8141" s="68" t="s">
        <v>32096</v>
      </c>
      <c r="K8141" s="76">
        <v>44471.0</v>
      </c>
      <c r="L8141" s="68" t="s">
        <v>2743</v>
      </c>
      <c r="M8141" s="68" t="s">
        <v>27994</v>
      </c>
      <c r="N8141" s="116"/>
      <c r="O8141" s="51"/>
    </row>
    <row r="8142">
      <c r="A8142" s="234"/>
      <c r="B8142" s="71"/>
      <c r="C8142" s="79" t="s">
        <v>32097</v>
      </c>
      <c r="D8142" s="82"/>
      <c r="E8142" s="63" t="s">
        <v>32098</v>
      </c>
      <c r="F8142" s="70">
        <v>43579.0</v>
      </c>
      <c r="G8142" s="63" t="s">
        <v>32099</v>
      </c>
      <c r="H8142" s="80" t="s">
        <v>439</v>
      </c>
      <c r="I8142" s="82"/>
      <c r="J8142" s="80" t="s">
        <v>32100</v>
      </c>
      <c r="K8142" s="81">
        <v>44471.0</v>
      </c>
      <c r="L8142" s="80" t="s">
        <v>2743</v>
      </c>
      <c r="M8142" s="80" t="s">
        <v>125</v>
      </c>
      <c r="N8142" s="116"/>
      <c r="O8142" s="51"/>
    </row>
    <row r="8143">
      <c r="A8143" s="273"/>
      <c r="B8143" s="71"/>
      <c r="C8143" s="69" t="s">
        <v>32101</v>
      </c>
      <c r="D8143" s="71"/>
      <c r="E8143" s="68" t="s">
        <v>32102</v>
      </c>
      <c r="F8143" s="76">
        <v>44343.0</v>
      </c>
      <c r="G8143" s="68" t="s">
        <v>32103</v>
      </c>
      <c r="H8143" s="68" t="s">
        <v>32104</v>
      </c>
      <c r="I8143" s="71"/>
      <c r="J8143" s="68" t="s">
        <v>32105</v>
      </c>
      <c r="K8143" s="76">
        <v>44471.0</v>
      </c>
      <c r="L8143" s="68" t="s">
        <v>2743</v>
      </c>
      <c r="M8143" s="68" t="s">
        <v>27</v>
      </c>
      <c r="N8143" s="116"/>
      <c r="O8143" s="51"/>
    </row>
    <row r="8144">
      <c r="A8144" s="234"/>
      <c r="B8144" s="71"/>
      <c r="C8144" s="79" t="s">
        <v>32106</v>
      </c>
      <c r="D8144" s="82"/>
      <c r="E8144" s="63" t="s">
        <v>32107</v>
      </c>
      <c r="F8144" s="70">
        <v>39543.0</v>
      </c>
      <c r="G8144" s="63" t="s">
        <v>32108</v>
      </c>
      <c r="H8144" s="80" t="s">
        <v>439</v>
      </c>
      <c r="I8144" s="82"/>
      <c r="J8144" s="80" t="s">
        <v>136</v>
      </c>
      <c r="K8144" s="81">
        <v>44471.0</v>
      </c>
      <c r="L8144" s="80" t="s">
        <v>2743</v>
      </c>
      <c r="M8144" s="80" t="s">
        <v>2989</v>
      </c>
      <c r="N8144" s="116"/>
      <c r="O8144" s="51"/>
    </row>
    <row r="8145">
      <c r="A8145" s="234"/>
      <c r="B8145" s="71"/>
      <c r="C8145" s="79" t="s">
        <v>32109</v>
      </c>
      <c r="D8145" s="82"/>
      <c r="E8145" s="63" t="s">
        <v>32110</v>
      </c>
      <c r="F8145" s="70">
        <v>41770.0</v>
      </c>
      <c r="G8145" s="63" t="s">
        <v>32111</v>
      </c>
      <c r="H8145" s="80" t="s">
        <v>32112</v>
      </c>
      <c r="I8145" s="82"/>
      <c r="J8145" s="80" t="s">
        <v>136</v>
      </c>
      <c r="K8145" s="81">
        <v>44471.0</v>
      </c>
      <c r="L8145" s="80" t="s">
        <v>2743</v>
      </c>
      <c r="M8145" s="80" t="s">
        <v>27</v>
      </c>
      <c r="N8145" s="116"/>
      <c r="O8145" s="51"/>
    </row>
    <row r="8146">
      <c r="A8146" s="273"/>
      <c r="B8146" s="71"/>
      <c r="C8146" s="69" t="s">
        <v>32113</v>
      </c>
      <c r="D8146" s="71"/>
      <c r="E8146" s="68" t="s">
        <v>32114</v>
      </c>
      <c r="F8146" s="76">
        <v>43555.0</v>
      </c>
      <c r="G8146" s="68" t="s">
        <v>32115</v>
      </c>
      <c r="H8146" s="68" t="s">
        <v>32116</v>
      </c>
      <c r="I8146" s="71"/>
      <c r="J8146" s="68" t="s">
        <v>32117</v>
      </c>
      <c r="K8146" s="76">
        <v>44471.0</v>
      </c>
      <c r="L8146" s="68" t="s">
        <v>2743</v>
      </c>
      <c r="M8146" s="68" t="s">
        <v>27</v>
      </c>
      <c r="N8146" s="116"/>
      <c r="O8146" s="51"/>
    </row>
    <row r="8147">
      <c r="A8147" s="273"/>
      <c r="B8147" s="68" t="s">
        <v>32118</v>
      </c>
      <c r="C8147" s="69" t="s">
        <v>32119</v>
      </c>
      <c r="D8147" s="71"/>
      <c r="E8147" s="68" t="s">
        <v>32120</v>
      </c>
      <c r="F8147" s="76">
        <v>40058.0</v>
      </c>
      <c r="G8147" s="68" t="s">
        <v>32121</v>
      </c>
      <c r="H8147" s="68" t="s">
        <v>32122</v>
      </c>
      <c r="I8147" s="71"/>
      <c r="J8147" s="68" t="s">
        <v>8056</v>
      </c>
      <c r="K8147" s="76">
        <v>44471.0</v>
      </c>
      <c r="L8147" s="68" t="s">
        <v>2743</v>
      </c>
      <c r="M8147" s="68" t="s">
        <v>125</v>
      </c>
      <c r="N8147" s="116"/>
      <c r="O8147" s="51"/>
    </row>
    <row r="8148">
      <c r="A8148" s="273"/>
      <c r="B8148" s="71"/>
      <c r="C8148" s="69" t="s">
        <v>32123</v>
      </c>
      <c r="D8148" s="71"/>
      <c r="E8148" s="68" t="s">
        <v>32124</v>
      </c>
      <c r="F8148" s="76">
        <v>44400.0</v>
      </c>
      <c r="G8148" s="68" t="s">
        <v>32125</v>
      </c>
      <c r="H8148" s="68" t="s">
        <v>32126</v>
      </c>
      <c r="I8148" s="71"/>
      <c r="J8148" s="68" t="s">
        <v>32127</v>
      </c>
      <c r="K8148" s="76">
        <v>44474.0</v>
      </c>
      <c r="L8148" s="68" t="s">
        <v>2743</v>
      </c>
      <c r="M8148" s="68" t="s">
        <v>7530</v>
      </c>
      <c r="N8148" s="116"/>
      <c r="O8148" s="51"/>
    </row>
    <row r="8149">
      <c r="A8149" s="273"/>
      <c r="B8149" s="71"/>
      <c r="C8149" s="69" t="s">
        <v>32128</v>
      </c>
      <c r="D8149" s="71"/>
      <c r="E8149" s="68" t="s">
        <v>32129</v>
      </c>
      <c r="F8149" s="76">
        <v>44468.0</v>
      </c>
      <c r="G8149" s="68" t="s">
        <v>32130</v>
      </c>
      <c r="H8149" s="68" t="s">
        <v>32131</v>
      </c>
      <c r="I8149" s="71"/>
      <c r="J8149" s="68" t="s">
        <v>32132</v>
      </c>
      <c r="K8149" s="76">
        <v>44475.0</v>
      </c>
      <c r="L8149" s="68" t="s">
        <v>31554</v>
      </c>
      <c r="M8149" s="68" t="s">
        <v>31926</v>
      </c>
      <c r="N8149" s="116"/>
      <c r="O8149" s="51"/>
    </row>
    <row r="8150">
      <c r="A8150" s="234"/>
      <c r="B8150" s="71"/>
      <c r="C8150" s="79" t="s">
        <v>32133</v>
      </c>
      <c r="D8150" s="82"/>
      <c r="E8150" s="63" t="s">
        <v>32134</v>
      </c>
      <c r="F8150" s="70">
        <v>43145.0</v>
      </c>
      <c r="G8150" s="63" t="s">
        <v>32135</v>
      </c>
      <c r="H8150" s="80" t="s">
        <v>32136</v>
      </c>
      <c r="I8150" s="82"/>
      <c r="J8150" s="80" t="s">
        <v>136</v>
      </c>
      <c r="K8150" s="81">
        <v>44475.0</v>
      </c>
      <c r="L8150" s="80" t="s">
        <v>2743</v>
      </c>
      <c r="M8150" s="80" t="s">
        <v>17303</v>
      </c>
      <c r="N8150" s="116"/>
      <c r="O8150" s="51"/>
    </row>
    <row r="8151">
      <c r="A8151" s="234"/>
      <c r="B8151" s="71"/>
      <c r="C8151" s="79" t="s">
        <v>32137</v>
      </c>
      <c r="D8151" s="82"/>
      <c r="E8151" s="63" t="s">
        <v>32138</v>
      </c>
      <c r="F8151" s="70">
        <v>44065.0</v>
      </c>
      <c r="G8151" s="63" t="s">
        <v>32139</v>
      </c>
      <c r="H8151" s="80" t="s">
        <v>32140</v>
      </c>
      <c r="I8151" s="82"/>
      <c r="J8151" s="80" t="s">
        <v>136</v>
      </c>
      <c r="K8151" s="81">
        <v>44475.0</v>
      </c>
      <c r="L8151" s="80" t="s">
        <v>2743</v>
      </c>
      <c r="M8151" s="80" t="s">
        <v>31637</v>
      </c>
      <c r="N8151" s="116"/>
      <c r="O8151" s="51"/>
    </row>
    <row r="8152">
      <c r="A8152" s="234"/>
      <c r="B8152" s="71"/>
      <c r="C8152" s="79" t="s">
        <v>32141</v>
      </c>
      <c r="D8152" s="82"/>
      <c r="E8152" s="63" t="s">
        <v>32142</v>
      </c>
      <c r="F8152" s="70">
        <v>41356.0</v>
      </c>
      <c r="G8152" s="63" t="s">
        <v>32143</v>
      </c>
      <c r="H8152" s="80" t="s">
        <v>439</v>
      </c>
      <c r="I8152" s="82"/>
      <c r="J8152" s="80" t="s">
        <v>136</v>
      </c>
      <c r="K8152" s="98">
        <v>44485.0</v>
      </c>
      <c r="L8152" s="80" t="s">
        <v>2743</v>
      </c>
      <c r="M8152" s="80" t="s">
        <v>530</v>
      </c>
      <c r="N8152" s="116"/>
      <c r="O8152" s="51"/>
    </row>
    <row r="8153">
      <c r="A8153" s="273"/>
      <c r="B8153" s="71"/>
      <c r="C8153" s="69" t="s">
        <v>32144</v>
      </c>
      <c r="D8153" s="71"/>
      <c r="E8153" s="68" t="s">
        <v>32145</v>
      </c>
      <c r="F8153" s="76">
        <v>44465.0</v>
      </c>
      <c r="G8153" s="68" t="s">
        <v>32146</v>
      </c>
      <c r="H8153" s="68" t="s">
        <v>32147</v>
      </c>
      <c r="I8153" s="71"/>
      <c r="J8153" s="68" t="s">
        <v>32148</v>
      </c>
      <c r="K8153" s="83">
        <v>44485.0</v>
      </c>
      <c r="L8153" s="68" t="s">
        <v>2743</v>
      </c>
      <c r="M8153" s="68" t="s">
        <v>282</v>
      </c>
      <c r="N8153" s="116"/>
      <c r="O8153" s="51"/>
    </row>
    <row r="8154">
      <c r="A8154" s="234"/>
      <c r="B8154" s="71"/>
      <c r="C8154" s="79" t="s">
        <v>32149</v>
      </c>
      <c r="D8154" s="82"/>
      <c r="E8154" s="63" t="s">
        <v>32150</v>
      </c>
      <c r="F8154" s="65">
        <v>42349.0</v>
      </c>
      <c r="G8154" s="63" t="s">
        <v>32151</v>
      </c>
      <c r="H8154" s="80" t="s">
        <v>32152</v>
      </c>
      <c r="I8154" s="82"/>
      <c r="J8154" s="80" t="s">
        <v>136</v>
      </c>
      <c r="K8154" s="98">
        <v>44485.0</v>
      </c>
      <c r="L8154" s="80" t="s">
        <v>2743</v>
      </c>
      <c r="M8154" s="80" t="s">
        <v>125</v>
      </c>
      <c r="N8154" s="116"/>
      <c r="O8154" s="51"/>
    </row>
    <row r="8155">
      <c r="A8155" s="234"/>
      <c r="B8155" s="71"/>
      <c r="C8155" s="79" t="s">
        <v>32153</v>
      </c>
      <c r="D8155" s="82"/>
      <c r="E8155" s="63" t="s">
        <v>32154</v>
      </c>
      <c r="F8155" s="70">
        <v>44073.0</v>
      </c>
      <c r="G8155" s="63" t="s">
        <v>32155</v>
      </c>
      <c r="H8155" s="80" t="s">
        <v>32156</v>
      </c>
      <c r="I8155" s="82"/>
      <c r="J8155" s="80" t="s">
        <v>136</v>
      </c>
      <c r="K8155" s="98">
        <v>44485.0</v>
      </c>
      <c r="L8155" s="80" t="s">
        <v>2743</v>
      </c>
      <c r="M8155" s="80" t="s">
        <v>4273</v>
      </c>
      <c r="N8155" s="116"/>
      <c r="O8155" s="51"/>
    </row>
    <row r="8156">
      <c r="A8156" s="273"/>
      <c r="B8156" s="71"/>
      <c r="C8156" s="69" t="s">
        <v>32157</v>
      </c>
      <c r="D8156" s="71"/>
      <c r="E8156" s="68" t="s">
        <v>32158</v>
      </c>
      <c r="F8156" s="76">
        <v>44410.0</v>
      </c>
      <c r="G8156" s="68" t="s">
        <v>32159</v>
      </c>
      <c r="H8156" s="68" t="s">
        <v>32160</v>
      </c>
      <c r="I8156" s="71"/>
      <c r="J8156" s="68" t="s">
        <v>32161</v>
      </c>
      <c r="K8156" s="83">
        <v>44485.0</v>
      </c>
      <c r="L8156" s="68" t="s">
        <v>2743</v>
      </c>
      <c r="M8156" s="68" t="s">
        <v>143</v>
      </c>
      <c r="N8156" s="116"/>
      <c r="O8156" s="51"/>
    </row>
    <row r="8157">
      <c r="A8157" s="234"/>
      <c r="B8157" s="71"/>
      <c r="C8157" s="79" t="s">
        <v>32162</v>
      </c>
      <c r="D8157" s="82"/>
      <c r="E8157" s="63" t="s">
        <v>32163</v>
      </c>
      <c r="F8157" s="70">
        <v>44384.0</v>
      </c>
      <c r="G8157" s="63" t="s">
        <v>32164</v>
      </c>
      <c r="H8157" s="80" t="s">
        <v>32165</v>
      </c>
      <c r="I8157" s="82"/>
      <c r="J8157" s="80" t="s">
        <v>136</v>
      </c>
      <c r="K8157" s="98">
        <v>44485.0</v>
      </c>
      <c r="L8157" s="80" t="s">
        <v>2743</v>
      </c>
      <c r="M8157" s="80" t="s">
        <v>143</v>
      </c>
      <c r="N8157" s="116"/>
      <c r="O8157" s="51"/>
    </row>
    <row r="8158">
      <c r="A8158" s="273"/>
      <c r="B8158" s="71"/>
      <c r="C8158" s="69" t="s">
        <v>32166</v>
      </c>
      <c r="D8158" s="71"/>
      <c r="E8158" s="68" t="s">
        <v>32167</v>
      </c>
      <c r="F8158" s="76">
        <v>44476.0</v>
      </c>
      <c r="G8158" s="68" t="s">
        <v>32168</v>
      </c>
      <c r="H8158" s="68" t="s">
        <v>32169</v>
      </c>
      <c r="I8158" s="71"/>
      <c r="J8158" s="68" t="s">
        <v>32170</v>
      </c>
      <c r="K8158" s="83">
        <v>44485.0</v>
      </c>
      <c r="L8158" s="68" t="s">
        <v>2743</v>
      </c>
      <c r="M8158" s="68" t="s">
        <v>166</v>
      </c>
      <c r="N8158" s="116"/>
      <c r="O8158" s="51"/>
    </row>
    <row r="8159">
      <c r="A8159" s="234"/>
      <c r="B8159" s="71"/>
      <c r="C8159" s="79" t="s">
        <v>32171</v>
      </c>
      <c r="D8159" s="82"/>
      <c r="E8159" s="63" t="s">
        <v>32172</v>
      </c>
      <c r="F8159" s="70">
        <v>44438.0</v>
      </c>
      <c r="G8159" s="63" t="s">
        <v>32173</v>
      </c>
      <c r="H8159" s="80" t="s">
        <v>32174</v>
      </c>
      <c r="I8159" s="82"/>
      <c r="J8159" s="80" t="s">
        <v>136</v>
      </c>
      <c r="K8159" s="98">
        <v>44485.0</v>
      </c>
      <c r="L8159" s="80" t="s">
        <v>20958</v>
      </c>
      <c r="M8159" s="80" t="s">
        <v>32175</v>
      </c>
      <c r="N8159" s="116"/>
      <c r="O8159" s="51"/>
    </row>
    <row r="8160">
      <c r="A8160" s="234"/>
      <c r="B8160" s="71"/>
      <c r="C8160" s="79" t="s">
        <v>32176</v>
      </c>
      <c r="D8160" s="82"/>
      <c r="E8160" s="63" t="s">
        <v>32177</v>
      </c>
      <c r="F8160" s="70">
        <v>42865.0</v>
      </c>
      <c r="G8160" s="63" t="s">
        <v>32178</v>
      </c>
      <c r="H8160" s="80" t="s">
        <v>32179</v>
      </c>
      <c r="I8160" s="82"/>
      <c r="J8160" s="80" t="s">
        <v>136</v>
      </c>
      <c r="K8160" s="98">
        <v>44485.0</v>
      </c>
      <c r="L8160" s="80" t="s">
        <v>2743</v>
      </c>
      <c r="M8160" s="80" t="s">
        <v>2989</v>
      </c>
      <c r="N8160" s="116"/>
      <c r="O8160" s="51"/>
    </row>
    <row r="8161">
      <c r="A8161" s="234"/>
      <c r="B8161" s="71"/>
      <c r="C8161" s="79" t="s">
        <v>32180</v>
      </c>
      <c r="D8161" s="82"/>
      <c r="E8161" s="63" t="s">
        <v>32181</v>
      </c>
      <c r="F8161" s="70">
        <v>42921.0</v>
      </c>
      <c r="G8161" s="63" t="s">
        <v>32182</v>
      </c>
      <c r="H8161" s="80" t="s">
        <v>439</v>
      </c>
      <c r="I8161" s="82"/>
      <c r="J8161" s="80" t="s">
        <v>136</v>
      </c>
      <c r="K8161" s="98">
        <v>44485.0</v>
      </c>
      <c r="L8161" s="80" t="s">
        <v>2743</v>
      </c>
      <c r="M8161" s="80" t="s">
        <v>166</v>
      </c>
      <c r="N8161" s="116"/>
      <c r="O8161" s="51"/>
    </row>
    <row r="8162">
      <c r="A8162" s="234"/>
      <c r="B8162" s="71"/>
      <c r="C8162" s="79" t="s">
        <v>32183</v>
      </c>
      <c r="D8162" s="82"/>
      <c r="E8162" s="63" t="s">
        <v>32184</v>
      </c>
      <c r="F8162" s="70">
        <v>39630.0</v>
      </c>
      <c r="G8162" s="63" t="s">
        <v>32185</v>
      </c>
      <c r="H8162" s="80" t="s">
        <v>439</v>
      </c>
      <c r="I8162" s="82"/>
      <c r="J8162" s="80" t="s">
        <v>136</v>
      </c>
      <c r="K8162" s="98">
        <v>44485.0</v>
      </c>
      <c r="L8162" s="80" t="s">
        <v>2743</v>
      </c>
      <c r="M8162" s="80" t="s">
        <v>2152</v>
      </c>
      <c r="N8162" s="116"/>
      <c r="O8162" s="51"/>
    </row>
    <row r="8163">
      <c r="A8163" s="234"/>
      <c r="B8163" s="71"/>
      <c r="C8163" s="79" t="s">
        <v>32186</v>
      </c>
      <c r="D8163" s="82"/>
      <c r="E8163" s="63" t="s">
        <v>32187</v>
      </c>
      <c r="F8163" s="70">
        <v>44371.0</v>
      </c>
      <c r="G8163" s="63" t="s">
        <v>32188</v>
      </c>
      <c r="H8163" s="80" t="s">
        <v>32189</v>
      </c>
      <c r="I8163" s="82"/>
      <c r="J8163" s="80" t="s">
        <v>136</v>
      </c>
      <c r="K8163" s="98">
        <v>44490.0</v>
      </c>
      <c r="L8163" s="80" t="s">
        <v>2743</v>
      </c>
      <c r="M8163" s="80" t="s">
        <v>872</v>
      </c>
      <c r="N8163" s="116"/>
      <c r="O8163" s="51"/>
    </row>
    <row r="8164">
      <c r="A8164" s="234"/>
      <c r="B8164" s="71"/>
      <c r="C8164" s="79" t="s">
        <v>32190</v>
      </c>
      <c r="D8164" s="82"/>
      <c r="E8164" s="63" t="s">
        <v>32191</v>
      </c>
      <c r="F8164" s="70">
        <v>44432.0</v>
      </c>
      <c r="G8164" s="63" t="s">
        <v>32192</v>
      </c>
      <c r="H8164" s="80" t="s">
        <v>32193</v>
      </c>
      <c r="I8164" s="82"/>
      <c r="J8164" s="80" t="s">
        <v>136</v>
      </c>
      <c r="K8164" s="98">
        <v>44490.0</v>
      </c>
      <c r="L8164" s="80" t="s">
        <v>2743</v>
      </c>
      <c r="M8164" s="80" t="s">
        <v>32194</v>
      </c>
      <c r="N8164" s="116"/>
      <c r="O8164" s="51"/>
    </row>
    <row r="8165">
      <c r="A8165" s="234"/>
      <c r="B8165" s="71"/>
      <c r="C8165" s="79" t="s">
        <v>32195</v>
      </c>
      <c r="D8165" s="82"/>
      <c r="E8165" s="63" t="s">
        <v>32196</v>
      </c>
      <c r="F8165" s="65">
        <v>44480.0</v>
      </c>
      <c r="G8165" s="63" t="s">
        <v>32197</v>
      </c>
      <c r="H8165" s="80" t="s">
        <v>32198</v>
      </c>
      <c r="I8165" s="82"/>
      <c r="J8165" s="80" t="s">
        <v>136</v>
      </c>
      <c r="K8165" s="98">
        <v>44490.0</v>
      </c>
      <c r="L8165" s="80" t="s">
        <v>2743</v>
      </c>
      <c r="M8165" s="80" t="s">
        <v>32175</v>
      </c>
      <c r="N8165" s="116"/>
      <c r="O8165" s="51"/>
    </row>
    <row r="8166">
      <c r="A8166" s="234"/>
      <c r="B8166" s="71"/>
      <c r="C8166" s="79" t="s">
        <v>32199</v>
      </c>
      <c r="D8166" s="82"/>
      <c r="E8166" s="63" t="s">
        <v>32200</v>
      </c>
      <c r="F8166" s="70">
        <v>44422.0</v>
      </c>
      <c r="G8166" s="63" t="s">
        <v>32201</v>
      </c>
      <c r="H8166" s="80" t="s">
        <v>32202</v>
      </c>
      <c r="I8166" s="82"/>
      <c r="J8166" s="80" t="s">
        <v>136</v>
      </c>
      <c r="K8166" s="98">
        <v>44490.0</v>
      </c>
      <c r="L8166" s="80" t="s">
        <v>2743</v>
      </c>
      <c r="M8166" s="80" t="s">
        <v>2291</v>
      </c>
      <c r="N8166" s="116"/>
      <c r="O8166" s="51"/>
    </row>
    <row r="8167">
      <c r="A8167" s="234"/>
      <c r="B8167" s="71"/>
      <c r="C8167" s="79" t="s">
        <v>32203</v>
      </c>
      <c r="D8167" s="82"/>
      <c r="E8167" s="63" t="s">
        <v>32204</v>
      </c>
      <c r="F8167" s="70">
        <v>44308.0</v>
      </c>
      <c r="G8167" s="63" t="s">
        <v>32205</v>
      </c>
      <c r="H8167" s="80" t="s">
        <v>32206</v>
      </c>
      <c r="I8167" s="82"/>
      <c r="J8167" s="80" t="s">
        <v>136</v>
      </c>
      <c r="K8167" s="98">
        <v>44490.0</v>
      </c>
      <c r="L8167" s="80" t="s">
        <v>2743</v>
      </c>
      <c r="M8167" s="80" t="s">
        <v>14984</v>
      </c>
      <c r="N8167" s="116"/>
      <c r="O8167" s="51"/>
    </row>
    <row r="8168">
      <c r="A8168" s="234"/>
      <c r="B8168" s="71"/>
      <c r="C8168" s="79" t="s">
        <v>32207</v>
      </c>
      <c r="D8168" s="82"/>
      <c r="E8168" s="63" t="s">
        <v>32208</v>
      </c>
      <c r="F8168" s="70">
        <v>43945.0</v>
      </c>
      <c r="G8168" s="63" t="s">
        <v>32209</v>
      </c>
      <c r="H8168" s="80" t="s">
        <v>32210</v>
      </c>
      <c r="I8168" s="82"/>
      <c r="J8168" s="80" t="s">
        <v>136</v>
      </c>
      <c r="K8168" s="98">
        <v>44490.0</v>
      </c>
      <c r="L8168" s="80" t="s">
        <v>2743</v>
      </c>
      <c r="M8168" s="80" t="s">
        <v>31684</v>
      </c>
      <c r="N8168" s="116"/>
      <c r="O8168" s="51"/>
    </row>
    <row r="8169">
      <c r="A8169" s="234"/>
      <c r="B8169" s="71"/>
      <c r="C8169" s="79" t="s">
        <v>32211</v>
      </c>
      <c r="D8169" s="82"/>
      <c r="E8169" s="63" t="s">
        <v>32212</v>
      </c>
      <c r="F8169" s="70">
        <v>39969.0</v>
      </c>
      <c r="G8169" s="63" t="s">
        <v>32213</v>
      </c>
      <c r="H8169" s="80" t="s">
        <v>32214</v>
      </c>
      <c r="I8169" s="82"/>
      <c r="J8169" s="80" t="s">
        <v>136</v>
      </c>
      <c r="K8169" s="98">
        <v>44490.0</v>
      </c>
      <c r="L8169" s="80" t="s">
        <v>2743</v>
      </c>
      <c r="M8169" s="80" t="s">
        <v>125</v>
      </c>
      <c r="N8169" s="116"/>
      <c r="O8169" s="51"/>
    </row>
    <row r="8170">
      <c r="A8170" s="273"/>
      <c r="B8170" s="71"/>
      <c r="C8170" s="69" t="s">
        <v>32215</v>
      </c>
      <c r="D8170" s="71"/>
      <c r="E8170" s="68" t="s">
        <v>32216</v>
      </c>
      <c r="F8170" s="76">
        <v>42999.0</v>
      </c>
      <c r="G8170" s="68" t="s">
        <v>32217</v>
      </c>
      <c r="H8170" s="68" t="s">
        <v>32218</v>
      </c>
      <c r="I8170" s="71"/>
      <c r="J8170" s="68" t="s">
        <v>32219</v>
      </c>
      <c r="K8170" s="83">
        <v>44496.0</v>
      </c>
      <c r="L8170" s="68" t="s">
        <v>2743</v>
      </c>
      <c r="M8170" s="68" t="s">
        <v>403</v>
      </c>
      <c r="N8170" s="116"/>
      <c r="O8170" s="51"/>
    </row>
    <row r="8171">
      <c r="A8171" s="234"/>
      <c r="B8171" s="71"/>
      <c r="C8171" s="79" t="s">
        <v>32220</v>
      </c>
      <c r="D8171" s="82"/>
      <c r="E8171" s="63" t="s">
        <v>32221</v>
      </c>
      <c r="F8171" s="70">
        <v>41299.0</v>
      </c>
      <c r="G8171" s="63" t="s">
        <v>32222</v>
      </c>
      <c r="H8171" s="80" t="s">
        <v>32223</v>
      </c>
      <c r="I8171" s="82"/>
      <c r="J8171" s="80" t="s">
        <v>136</v>
      </c>
      <c r="K8171" s="98">
        <v>44499.0</v>
      </c>
      <c r="L8171" s="80" t="s">
        <v>2743</v>
      </c>
      <c r="M8171" s="80" t="s">
        <v>125</v>
      </c>
      <c r="N8171" s="116"/>
      <c r="O8171" s="51"/>
    </row>
    <row r="8172">
      <c r="A8172" s="234"/>
      <c r="B8172" s="71"/>
      <c r="C8172" s="79" t="s">
        <v>32224</v>
      </c>
      <c r="D8172" s="82"/>
      <c r="E8172" s="63" t="s">
        <v>32225</v>
      </c>
      <c r="F8172" s="70">
        <v>42924.0</v>
      </c>
      <c r="G8172" s="63" t="s">
        <v>32226</v>
      </c>
      <c r="H8172" s="80" t="s">
        <v>32227</v>
      </c>
      <c r="I8172" s="82"/>
      <c r="J8172" s="80" t="s">
        <v>136</v>
      </c>
      <c r="K8172" s="98">
        <v>44499.0</v>
      </c>
      <c r="L8172" s="80" t="s">
        <v>2743</v>
      </c>
      <c r="M8172" s="80" t="s">
        <v>18616</v>
      </c>
      <c r="N8172" s="116"/>
      <c r="O8172" s="51"/>
    </row>
    <row r="8173">
      <c r="A8173" s="234"/>
      <c r="B8173" s="71"/>
      <c r="C8173" s="79" t="s">
        <v>32228</v>
      </c>
      <c r="D8173" s="82"/>
      <c r="E8173" s="63" t="s">
        <v>32229</v>
      </c>
      <c r="F8173" s="70">
        <v>42023.0</v>
      </c>
      <c r="G8173" s="63" t="s">
        <v>32230</v>
      </c>
      <c r="H8173" s="80" t="s">
        <v>32231</v>
      </c>
      <c r="I8173" s="82"/>
      <c r="J8173" s="80" t="s">
        <v>136</v>
      </c>
      <c r="K8173" s="98">
        <v>44499.0</v>
      </c>
      <c r="L8173" s="80" t="s">
        <v>2743</v>
      </c>
      <c r="M8173" s="80" t="s">
        <v>27994</v>
      </c>
      <c r="N8173" s="116"/>
      <c r="O8173" s="51"/>
    </row>
    <row r="8174">
      <c r="A8174" s="234"/>
      <c r="B8174" s="71"/>
      <c r="C8174" s="79" t="s">
        <v>32232</v>
      </c>
      <c r="D8174" s="82"/>
      <c r="E8174" s="63" t="s">
        <v>32233</v>
      </c>
      <c r="F8174" s="70">
        <v>44326.0</v>
      </c>
      <c r="G8174" s="63" t="s">
        <v>32234</v>
      </c>
      <c r="H8174" s="80" t="s">
        <v>32235</v>
      </c>
      <c r="I8174" s="82"/>
      <c r="J8174" s="80" t="s">
        <v>136</v>
      </c>
      <c r="K8174" s="98">
        <v>44499.0</v>
      </c>
      <c r="L8174" s="80" t="s">
        <v>2743</v>
      </c>
      <c r="M8174" s="80" t="s">
        <v>166</v>
      </c>
      <c r="N8174" s="87" t="s">
        <v>32236</v>
      </c>
      <c r="O8174" s="51"/>
    </row>
    <row r="8175">
      <c r="A8175" s="234"/>
      <c r="B8175" s="71"/>
      <c r="C8175" s="79" t="s">
        <v>32237</v>
      </c>
      <c r="D8175" s="82"/>
      <c r="E8175" s="63" t="s">
        <v>31822</v>
      </c>
      <c r="F8175" s="70">
        <v>44473.0</v>
      </c>
      <c r="G8175" s="63" t="s">
        <v>31823</v>
      </c>
      <c r="H8175" s="80" t="s">
        <v>31824</v>
      </c>
      <c r="I8175" s="82"/>
      <c r="J8175" s="80" t="s">
        <v>136</v>
      </c>
      <c r="K8175" s="81">
        <v>44503.0</v>
      </c>
      <c r="L8175" s="80" t="s">
        <v>2743</v>
      </c>
      <c r="M8175" s="80" t="s">
        <v>542</v>
      </c>
      <c r="N8175" s="87" t="s">
        <v>32238</v>
      </c>
      <c r="O8175" s="51"/>
    </row>
    <row r="8176">
      <c r="A8176" s="234"/>
      <c r="B8176" s="71"/>
      <c r="C8176" s="79" t="s">
        <v>32239</v>
      </c>
      <c r="D8176" s="82"/>
      <c r="E8176" s="63" t="s">
        <v>32240</v>
      </c>
      <c r="F8176" s="279">
        <v>43152.0</v>
      </c>
      <c r="G8176" s="63" t="s">
        <v>32241</v>
      </c>
      <c r="H8176" s="80" t="s">
        <v>32242</v>
      </c>
      <c r="I8176" s="82"/>
      <c r="J8176" s="80" t="s">
        <v>136</v>
      </c>
      <c r="K8176" s="81">
        <v>44508.0</v>
      </c>
      <c r="L8176" s="80" t="s">
        <v>2743</v>
      </c>
      <c r="M8176" s="80" t="s">
        <v>27</v>
      </c>
      <c r="N8176" s="116"/>
      <c r="O8176" s="51"/>
    </row>
    <row r="8177">
      <c r="A8177" s="234"/>
      <c r="B8177" s="71"/>
      <c r="C8177" s="79" t="s">
        <v>32243</v>
      </c>
      <c r="D8177" s="82"/>
      <c r="E8177" s="63" t="s">
        <v>32244</v>
      </c>
      <c r="F8177" s="279">
        <v>44439.0</v>
      </c>
      <c r="G8177" s="63" t="s">
        <v>32245</v>
      </c>
      <c r="H8177" s="80" t="s">
        <v>32246</v>
      </c>
      <c r="I8177" s="82"/>
      <c r="J8177" s="80" t="s">
        <v>136</v>
      </c>
      <c r="K8177" s="81">
        <v>44508.0</v>
      </c>
      <c r="L8177" s="80" t="s">
        <v>2743</v>
      </c>
      <c r="M8177" s="80" t="s">
        <v>27</v>
      </c>
      <c r="N8177" s="116"/>
      <c r="O8177" s="51"/>
    </row>
    <row r="8178">
      <c r="A8178" s="234"/>
      <c r="B8178" s="71"/>
      <c r="C8178" s="79" t="s">
        <v>32247</v>
      </c>
      <c r="D8178" s="82"/>
      <c r="E8178" s="63" t="s">
        <v>32248</v>
      </c>
      <c r="F8178" s="279">
        <v>43218.0</v>
      </c>
      <c r="G8178" s="63" t="s">
        <v>32249</v>
      </c>
      <c r="H8178" s="80" t="s">
        <v>32250</v>
      </c>
      <c r="I8178" s="82"/>
      <c r="J8178" s="80" t="s">
        <v>136</v>
      </c>
      <c r="K8178" s="81">
        <v>44508.0</v>
      </c>
      <c r="L8178" s="80" t="s">
        <v>2743</v>
      </c>
      <c r="M8178" s="80" t="s">
        <v>27</v>
      </c>
      <c r="N8178" s="116"/>
      <c r="O8178" s="51"/>
    </row>
    <row r="8179">
      <c r="A8179" s="234"/>
      <c r="B8179" s="71"/>
      <c r="C8179" s="79" t="s">
        <v>32251</v>
      </c>
      <c r="D8179" s="82"/>
      <c r="E8179" s="63" t="s">
        <v>32252</v>
      </c>
      <c r="F8179" s="279">
        <v>42222.0</v>
      </c>
      <c r="G8179" s="63" t="s">
        <v>32253</v>
      </c>
      <c r="H8179" s="80" t="s">
        <v>32254</v>
      </c>
      <c r="I8179" s="82"/>
      <c r="J8179" s="80" t="s">
        <v>136</v>
      </c>
      <c r="K8179" s="81">
        <v>44508.0</v>
      </c>
      <c r="L8179" s="80" t="s">
        <v>2743</v>
      </c>
      <c r="M8179" s="80" t="s">
        <v>27</v>
      </c>
      <c r="N8179" s="116"/>
      <c r="O8179" s="51"/>
    </row>
    <row r="8180">
      <c r="A8180" s="234"/>
      <c r="B8180" s="71"/>
      <c r="C8180" s="79" t="s">
        <v>32255</v>
      </c>
      <c r="D8180" s="82"/>
      <c r="E8180" s="63" t="s">
        <v>32256</v>
      </c>
      <c r="F8180" s="63">
        <v>2016.0</v>
      </c>
      <c r="G8180" s="63" t="s">
        <v>32257</v>
      </c>
      <c r="H8180" s="82"/>
      <c r="I8180" s="82"/>
      <c r="J8180" s="80" t="s">
        <v>136</v>
      </c>
      <c r="K8180" s="81">
        <v>44508.0</v>
      </c>
      <c r="L8180" s="80" t="s">
        <v>2743</v>
      </c>
      <c r="M8180" s="80" t="s">
        <v>27</v>
      </c>
      <c r="N8180" s="116"/>
      <c r="O8180" s="51"/>
    </row>
    <row r="8181">
      <c r="A8181" s="234"/>
      <c r="B8181" s="71"/>
      <c r="C8181" s="79" t="s">
        <v>32258</v>
      </c>
      <c r="D8181" s="82"/>
      <c r="E8181" s="63" t="s">
        <v>32259</v>
      </c>
      <c r="F8181" s="279">
        <v>44535.0</v>
      </c>
      <c r="G8181" s="63" t="s">
        <v>32260</v>
      </c>
      <c r="H8181" s="80" t="s">
        <v>32261</v>
      </c>
      <c r="I8181" s="82"/>
      <c r="J8181" s="80" t="s">
        <v>136</v>
      </c>
      <c r="K8181" s="81">
        <v>44508.0</v>
      </c>
      <c r="L8181" s="80" t="s">
        <v>2743</v>
      </c>
      <c r="M8181" s="80" t="s">
        <v>27</v>
      </c>
      <c r="N8181" s="116"/>
      <c r="O8181" s="51"/>
    </row>
    <row r="8182">
      <c r="A8182" s="234"/>
      <c r="B8182" s="71"/>
      <c r="C8182" s="79" t="s">
        <v>32262</v>
      </c>
      <c r="D8182" s="82"/>
      <c r="E8182" s="63" t="s">
        <v>32263</v>
      </c>
      <c r="F8182" s="279">
        <v>44279.0</v>
      </c>
      <c r="G8182" s="63" t="s">
        <v>32264</v>
      </c>
      <c r="H8182" s="80" t="s">
        <v>32265</v>
      </c>
      <c r="I8182" s="82"/>
      <c r="J8182" s="80" t="s">
        <v>136</v>
      </c>
      <c r="K8182" s="81">
        <v>44508.0</v>
      </c>
      <c r="L8182" s="80" t="s">
        <v>2743</v>
      </c>
      <c r="M8182" s="80" t="s">
        <v>27</v>
      </c>
      <c r="N8182" s="116"/>
      <c r="O8182" s="51"/>
    </row>
    <row r="8183">
      <c r="A8183" s="234"/>
      <c r="B8183" s="71"/>
      <c r="C8183" s="79" t="s">
        <v>32266</v>
      </c>
      <c r="D8183" s="82"/>
      <c r="E8183" s="63" t="s">
        <v>32267</v>
      </c>
      <c r="F8183" s="279">
        <v>44420.0</v>
      </c>
      <c r="G8183" s="63" t="s">
        <v>32268</v>
      </c>
      <c r="H8183" s="80" t="s">
        <v>32269</v>
      </c>
      <c r="I8183" s="82"/>
      <c r="J8183" s="80" t="s">
        <v>136</v>
      </c>
      <c r="K8183" s="81">
        <v>44508.0</v>
      </c>
      <c r="L8183" s="80" t="s">
        <v>2743</v>
      </c>
      <c r="M8183" s="80" t="s">
        <v>27</v>
      </c>
      <c r="N8183" s="116"/>
      <c r="O8183" s="51"/>
    </row>
    <row r="8184">
      <c r="A8184" s="234"/>
      <c r="B8184" s="71"/>
      <c r="C8184" s="79" t="s">
        <v>32270</v>
      </c>
      <c r="D8184" s="82"/>
      <c r="E8184" s="63" t="s">
        <v>32271</v>
      </c>
      <c r="F8184" s="279">
        <v>43306.0</v>
      </c>
      <c r="G8184" s="63" t="s">
        <v>32272</v>
      </c>
      <c r="H8184" s="82"/>
      <c r="I8184" s="82"/>
      <c r="J8184" s="80" t="s">
        <v>136</v>
      </c>
      <c r="K8184" s="81">
        <v>44508.0</v>
      </c>
      <c r="L8184" s="80" t="s">
        <v>2743</v>
      </c>
      <c r="M8184" s="80" t="s">
        <v>27</v>
      </c>
      <c r="N8184" s="116"/>
      <c r="O8184" s="51"/>
    </row>
    <row r="8185">
      <c r="A8185" s="234"/>
      <c r="B8185" s="71"/>
      <c r="C8185" s="79" t="s">
        <v>32273</v>
      </c>
      <c r="D8185" s="82"/>
      <c r="E8185" s="63" t="s">
        <v>32274</v>
      </c>
      <c r="F8185" s="63">
        <v>2018.0</v>
      </c>
      <c r="G8185" s="63" t="s">
        <v>32275</v>
      </c>
      <c r="H8185" s="82"/>
      <c r="I8185" s="82"/>
      <c r="J8185" s="80" t="s">
        <v>136</v>
      </c>
      <c r="K8185" s="81">
        <v>44508.0</v>
      </c>
      <c r="L8185" s="80" t="s">
        <v>2743</v>
      </c>
      <c r="M8185" s="80" t="s">
        <v>32276</v>
      </c>
      <c r="N8185" s="116"/>
      <c r="O8185" s="51"/>
    </row>
    <row r="8186">
      <c r="A8186" s="234"/>
      <c r="B8186" s="71"/>
      <c r="C8186" s="79" t="s">
        <v>32277</v>
      </c>
      <c r="D8186" s="82"/>
      <c r="E8186" s="63" t="s">
        <v>32278</v>
      </c>
      <c r="F8186" s="63">
        <v>2018.0</v>
      </c>
      <c r="G8186" s="63" t="s">
        <v>32279</v>
      </c>
      <c r="H8186" s="82"/>
      <c r="I8186" s="82"/>
      <c r="J8186" s="80" t="s">
        <v>136</v>
      </c>
      <c r="K8186" s="81">
        <v>44508.0</v>
      </c>
      <c r="L8186" s="80" t="s">
        <v>2743</v>
      </c>
      <c r="M8186" s="80" t="s">
        <v>32276</v>
      </c>
      <c r="N8186" s="116"/>
      <c r="O8186" s="51"/>
    </row>
    <row r="8187">
      <c r="A8187" s="234"/>
      <c r="B8187" s="71"/>
      <c r="C8187" s="79" t="s">
        <v>32280</v>
      </c>
      <c r="D8187" s="82"/>
      <c r="E8187" s="63" t="s">
        <v>32281</v>
      </c>
      <c r="F8187" s="279">
        <v>43277.0</v>
      </c>
      <c r="G8187" s="63" t="s">
        <v>32282</v>
      </c>
      <c r="H8187" s="82"/>
      <c r="I8187" s="82"/>
      <c r="J8187" s="80" t="s">
        <v>136</v>
      </c>
      <c r="K8187" s="81">
        <v>44509.0</v>
      </c>
      <c r="L8187" s="80" t="s">
        <v>2743</v>
      </c>
      <c r="M8187" s="80" t="s">
        <v>872</v>
      </c>
      <c r="N8187" s="116"/>
      <c r="O8187" s="51"/>
    </row>
    <row r="8188">
      <c r="A8188" s="234"/>
      <c r="B8188" s="71"/>
      <c r="C8188" s="79" t="s">
        <v>32283</v>
      </c>
      <c r="D8188" s="82"/>
      <c r="E8188" s="63" t="s">
        <v>32284</v>
      </c>
      <c r="F8188" s="279">
        <v>44199.0</v>
      </c>
      <c r="G8188" s="63" t="s">
        <v>32285</v>
      </c>
      <c r="H8188" s="82"/>
      <c r="I8188" s="82"/>
      <c r="J8188" s="68" t="s">
        <v>136</v>
      </c>
      <c r="K8188" s="98">
        <v>44510.0</v>
      </c>
      <c r="L8188" s="80" t="s">
        <v>2743</v>
      </c>
      <c r="M8188" s="80" t="s">
        <v>27</v>
      </c>
      <c r="N8188" s="116"/>
      <c r="O8188" s="51"/>
    </row>
    <row r="8189">
      <c r="A8189" s="234"/>
      <c r="B8189" s="71"/>
      <c r="C8189" s="79" t="s">
        <v>32286</v>
      </c>
      <c r="D8189" s="82"/>
      <c r="E8189" s="63" t="s">
        <v>32287</v>
      </c>
      <c r="F8189" s="279">
        <v>44285.0</v>
      </c>
      <c r="G8189" s="63" t="s">
        <v>32288</v>
      </c>
      <c r="H8189" s="80" t="s">
        <v>32289</v>
      </c>
      <c r="I8189" s="82"/>
      <c r="J8189" s="68" t="s">
        <v>136</v>
      </c>
      <c r="K8189" s="98">
        <v>44510.0</v>
      </c>
      <c r="L8189" s="80" t="s">
        <v>2743</v>
      </c>
      <c r="M8189" s="80" t="s">
        <v>27</v>
      </c>
      <c r="N8189" s="116"/>
      <c r="O8189" s="51"/>
    </row>
    <row r="8190">
      <c r="A8190" s="234"/>
      <c r="B8190" s="71"/>
      <c r="C8190" s="79" t="s">
        <v>32290</v>
      </c>
      <c r="D8190" s="82"/>
      <c r="E8190" s="63" t="s">
        <v>32291</v>
      </c>
      <c r="F8190" s="279">
        <v>44285.0</v>
      </c>
      <c r="G8190" s="63" t="s">
        <v>32288</v>
      </c>
      <c r="H8190" s="80" t="s">
        <v>32292</v>
      </c>
      <c r="I8190" s="82"/>
      <c r="J8190" s="68" t="s">
        <v>136</v>
      </c>
      <c r="K8190" s="98">
        <v>44510.0</v>
      </c>
      <c r="L8190" s="80" t="s">
        <v>2743</v>
      </c>
      <c r="M8190" s="80" t="s">
        <v>27</v>
      </c>
      <c r="N8190" s="116"/>
      <c r="O8190" s="51"/>
    </row>
    <row r="8191">
      <c r="A8191" s="234"/>
      <c r="B8191" s="71"/>
      <c r="C8191" s="79" t="s">
        <v>32293</v>
      </c>
      <c r="D8191" s="82"/>
      <c r="E8191" s="63" t="s">
        <v>32294</v>
      </c>
      <c r="F8191" s="279">
        <v>44426.0</v>
      </c>
      <c r="G8191" s="63" t="s">
        <v>32295</v>
      </c>
      <c r="H8191" s="80" t="s">
        <v>32296</v>
      </c>
      <c r="I8191" s="82"/>
      <c r="J8191" s="68" t="s">
        <v>136</v>
      </c>
      <c r="K8191" s="98">
        <v>44510.0</v>
      </c>
      <c r="L8191" s="80" t="s">
        <v>2743</v>
      </c>
      <c r="M8191" s="80" t="s">
        <v>27</v>
      </c>
      <c r="N8191" s="116"/>
      <c r="O8191" s="51"/>
    </row>
    <row r="8192">
      <c r="A8192" s="234"/>
      <c r="B8192" s="71"/>
      <c r="C8192" s="79" t="s">
        <v>32297</v>
      </c>
      <c r="D8192" s="82"/>
      <c r="E8192" s="63" t="s">
        <v>32298</v>
      </c>
      <c r="F8192" s="63">
        <v>2014.0</v>
      </c>
      <c r="G8192" s="63" t="s">
        <v>32299</v>
      </c>
      <c r="H8192" s="82"/>
      <c r="I8192" s="82"/>
      <c r="J8192" s="68" t="s">
        <v>136</v>
      </c>
      <c r="K8192" s="98">
        <v>44510.0</v>
      </c>
      <c r="L8192" s="80" t="s">
        <v>2743</v>
      </c>
      <c r="M8192" s="80" t="s">
        <v>32300</v>
      </c>
      <c r="N8192" s="116"/>
      <c r="O8192" s="51"/>
    </row>
    <row r="8193">
      <c r="A8193" s="234"/>
      <c r="B8193" s="71"/>
      <c r="C8193" s="79" t="s">
        <v>32301</v>
      </c>
      <c r="D8193" s="82"/>
      <c r="E8193" s="63" t="s">
        <v>32302</v>
      </c>
      <c r="F8193" s="70">
        <v>42965.0</v>
      </c>
      <c r="G8193" s="63" t="s">
        <v>32303</v>
      </c>
      <c r="H8193" s="80" t="s">
        <v>32304</v>
      </c>
      <c r="I8193" s="82"/>
      <c r="J8193" s="68" t="s">
        <v>136</v>
      </c>
      <c r="K8193" s="98">
        <v>44517.0</v>
      </c>
      <c r="L8193" s="80" t="s">
        <v>2743</v>
      </c>
      <c r="M8193" s="80" t="s">
        <v>368</v>
      </c>
      <c r="N8193" s="116"/>
      <c r="O8193" s="51"/>
    </row>
    <row r="8194">
      <c r="A8194" s="234"/>
      <c r="B8194" s="71"/>
      <c r="C8194" s="79" t="s">
        <v>32305</v>
      </c>
      <c r="D8194" s="82"/>
      <c r="E8194" s="63" t="s">
        <v>32306</v>
      </c>
      <c r="F8194" s="70">
        <v>42965.0</v>
      </c>
      <c r="G8194" s="63" t="s">
        <v>32303</v>
      </c>
      <c r="H8194" s="80" t="s">
        <v>32307</v>
      </c>
      <c r="I8194" s="82"/>
      <c r="J8194" s="68" t="s">
        <v>136</v>
      </c>
      <c r="K8194" s="98">
        <v>44517.0</v>
      </c>
      <c r="L8194" s="80" t="s">
        <v>2743</v>
      </c>
      <c r="M8194" s="80" t="s">
        <v>368</v>
      </c>
      <c r="N8194" s="116"/>
      <c r="O8194" s="51"/>
    </row>
    <row r="8195">
      <c r="A8195" s="234"/>
      <c r="B8195" s="71"/>
      <c r="C8195" s="79" t="s">
        <v>32308</v>
      </c>
      <c r="D8195" s="82"/>
      <c r="E8195" s="63" t="s">
        <v>32309</v>
      </c>
      <c r="F8195" s="70">
        <v>42965.0</v>
      </c>
      <c r="G8195" s="63" t="s">
        <v>32310</v>
      </c>
      <c r="H8195" s="80" t="s">
        <v>32311</v>
      </c>
      <c r="I8195" s="82"/>
      <c r="J8195" s="68" t="s">
        <v>136</v>
      </c>
      <c r="K8195" s="98">
        <v>44517.0</v>
      </c>
      <c r="L8195" s="80" t="s">
        <v>2743</v>
      </c>
      <c r="M8195" s="80" t="s">
        <v>368</v>
      </c>
      <c r="N8195" s="116"/>
      <c r="O8195" s="51"/>
    </row>
    <row r="8196">
      <c r="A8196" s="234"/>
      <c r="B8196" s="71"/>
      <c r="C8196" s="79" t="s">
        <v>32312</v>
      </c>
      <c r="D8196" s="82"/>
      <c r="E8196" s="63" t="s">
        <v>32313</v>
      </c>
      <c r="F8196" s="70">
        <v>44461.0</v>
      </c>
      <c r="G8196" s="63" t="s">
        <v>32314</v>
      </c>
      <c r="H8196" s="80" t="s">
        <v>32315</v>
      </c>
      <c r="I8196" s="82"/>
      <c r="J8196" s="71"/>
      <c r="K8196" s="98">
        <v>44517.0</v>
      </c>
      <c r="L8196" s="80" t="s">
        <v>2743</v>
      </c>
      <c r="M8196" s="80" t="s">
        <v>872</v>
      </c>
      <c r="N8196" s="116"/>
      <c r="O8196" s="51"/>
    </row>
    <row r="8197">
      <c r="A8197" s="273"/>
      <c r="B8197" s="71"/>
      <c r="C8197" s="69" t="s">
        <v>32316</v>
      </c>
      <c r="D8197" s="71"/>
      <c r="E8197" s="68" t="s">
        <v>32317</v>
      </c>
      <c r="F8197" s="76">
        <v>42776.0</v>
      </c>
      <c r="G8197" s="68" t="s">
        <v>32318</v>
      </c>
      <c r="H8197" s="71"/>
      <c r="I8197" s="71"/>
      <c r="J8197" s="68" t="s">
        <v>32319</v>
      </c>
      <c r="K8197" s="71"/>
      <c r="L8197" s="71"/>
      <c r="M8197" s="71"/>
      <c r="N8197" s="116"/>
      <c r="O8197" s="51"/>
    </row>
    <row r="8198">
      <c r="A8198" s="273"/>
      <c r="B8198" s="71"/>
      <c r="C8198" s="69" t="s">
        <v>32320</v>
      </c>
      <c r="D8198" s="71"/>
      <c r="E8198" s="68" t="s">
        <v>32321</v>
      </c>
      <c r="F8198" s="76">
        <v>42776.0</v>
      </c>
      <c r="G8198" s="68" t="s">
        <v>32318</v>
      </c>
      <c r="H8198" s="71"/>
      <c r="I8198" s="71"/>
      <c r="J8198" s="68" t="s">
        <v>32322</v>
      </c>
      <c r="K8198" s="71"/>
      <c r="L8198" s="71"/>
      <c r="M8198" s="71"/>
      <c r="N8198" s="116"/>
      <c r="O8198" s="51"/>
    </row>
    <row r="8199">
      <c r="A8199" s="273"/>
      <c r="B8199" s="71"/>
      <c r="C8199" s="69" t="s">
        <v>32323</v>
      </c>
      <c r="D8199" s="71"/>
      <c r="E8199" s="68" t="s">
        <v>32324</v>
      </c>
      <c r="F8199" s="76">
        <v>42773.0</v>
      </c>
      <c r="G8199" s="68" t="s">
        <v>32325</v>
      </c>
      <c r="H8199" s="71"/>
      <c r="I8199" s="71"/>
      <c r="J8199" s="68" t="s">
        <v>32326</v>
      </c>
      <c r="K8199" s="71"/>
      <c r="L8199" s="71"/>
      <c r="M8199" s="71"/>
      <c r="N8199" s="116"/>
      <c r="O8199" s="51"/>
    </row>
    <row r="8200">
      <c r="A8200" s="273"/>
      <c r="B8200" s="71"/>
      <c r="C8200" s="69" t="s">
        <v>32327</v>
      </c>
      <c r="D8200" s="71"/>
      <c r="E8200" s="68" t="s">
        <v>32328</v>
      </c>
      <c r="F8200" s="76">
        <v>42780.0</v>
      </c>
      <c r="G8200" s="68" t="s">
        <v>32329</v>
      </c>
      <c r="H8200" s="71"/>
      <c r="I8200" s="71"/>
      <c r="J8200" s="68" t="s">
        <v>32330</v>
      </c>
      <c r="K8200" s="71"/>
      <c r="L8200" s="71"/>
      <c r="M8200" s="71"/>
      <c r="N8200" s="116"/>
      <c r="O8200" s="51"/>
    </row>
    <row r="8201">
      <c r="A8201" s="273"/>
      <c r="B8201" s="71"/>
      <c r="C8201" s="69" t="s">
        <v>32331</v>
      </c>
      <c r="D8201" s="71"/>
      <c r="E8201" s="68" t="s">
        <v>32332</v>
      </c>
      <c r="F8201" s="76">
        <v>42780.0</v>
      </c>
      <c r="G8201" s="68" t="s">
        <v>32329</v>
      </c>
      <c r="H8201" s="71"/>
      <c r="I8201" s="71"/>
      <c r="J8201" s="68" t="s">
        <v>32333</v>
      </c>
      <c r="K8201" s="71"/>
      <c r="L8201" s="71"/>
      <c r="M8201" s="82"/>
      <c r="N8201" s="116"/>
      <c r="O8201" s="51"/>
    </row>
    <row r="8202">
      <c r="A8202" s="273"/>
      <c r="B8202" s="71"/>
      <c r="C8202" s="69" t="s">
        <v>32334</v>
      </c>
      <c r="D8202" s="71"/>
      <c r="E8202" s="68" t="s">
        <v>32335</v>
      </c>
      <c r="F8202" s="76">
        <v>43010.0</v>
      </c>
      <c r="G8202" s="68" t="s">
        <v>32318</v>
      </c>
      <c r="H8202" s="71"/>
      <c r="I8202" s="71"/>
      <c r="J8202" s="68" t="s">
        <v>32336</v>
      </c>
      <c r="K8202" s="71"/>
      <c r="L8202" s="71"/>
      <c r="M8202" s="71"/>
      <c r="N8202" s="116"/>
      <c r="O8202" s="51"/>
    </row>
    <row r="8203">
      <c r="A8203" s="273"/>
      <c r="B8203" s="71"/>
      <c r="C8203" s="69" t="s">
        <v>32337</v>
      </c>
      <c r="D8203" s="71"/>
      <c r="E8203" s="68" t="s">
        <v>32338</v>
      </c>
      <c r="F8203" s="76">
        <v>42922.0</v>
      </c>
      <c r="G8203" s="68" t="s">
        <v>32339</v>
      </c>
      <c r="H8203" s="71"/>
      <c r="I8203" s="71"/>
      <c r="J8203" s="87" t="s">
        <v>32340</v>
      </c>
      <c r="K8203" s="71"/>
      <c r="L8203" s="71"/>
      <c r="M8203" s="71"/>
      <c r="N8203" s="116"/>
      <c r="O8203" s="51"/>
    </row>
    <row r="8204">
      <c r="A8204" s="273"/>
      <c r="B8204" s="71"/>
      <c r="C8204" s="69" t="s">
        <v>32341</v>
      </c>
      <c r="D8204" s="71"/>
      <c r="E8204" s="68" t="s">
        <v>32342</v>
      </c>
      <c r="F8204" s="76">
        <v>42812.0</v>
      </c>
      <c r="G8204" s="68" t="s">
        <v>32343</v>
      </c>
      <c r="H8204" s="71"/>
      <c r="I8204" s="71"/>
      <c r="J8204" s="87" t="s">
        <v>32344</v>
      </c>
      <c r="K8204" s="71"/>
      <c r="L8204" s="71"/>
      <c r="M8204" s="71"/>
      <c r="N8204" s="116"/>
      <c r="O8204" s="51"/>
    </row>
    <row r="8205">
      <c r="A8205" s="273"/>
      <c r="B8205" s="71"/>
      <c r="C8205" s="69" t="s">
        <v>32345</v>
      </c>
      <c r="D8205" s="71"/>
      <c r="E8205" s="68" t="s">
        <v>32346</v>
      </c>
      <c r="F8205" s="76">
        <v>42812.0</v>
      </c>
      <c r="G8205" s="68" t="s">
        <v>32343</v>
      </c>
      <c r="H8205" s="71"/>
      <c r="I8205" s="71"/>
      <c r="J8205" s="87" t="s">
        <v>32347</v>
      </c>
      <c r="K8205" s="71"/>
      <c r="L8205" s="71"/>
      <c r="M8205" s="71"/>
      <c r="N8205" s="116"/>
      <c r="O8205" s="51"/>
    </row>
    <row r="8206">
      <c r="A8206" s="273"/>
      <c r="B8206" s="71"/>
      <c r="C8206" s="69" t="s">
        <v>32348</v>
      </c>
      <c r="D8206" s="71"/>
      <c r="E8206" s="68" t="s">
        <v>32349</v>
      </c>
      <c r="F8206" s="76">
        <v>42811.0</v>
      </c>
      <c r="G8206" s="68" t="s">
        <v>32343</v>
      </c>
      <c r="H8206" s="71"/>
      <c r="I8206" s="71"/>
      <c r="J8206" s="87" t="s">
        <v>32350</v>
      </c>
      <c r="K8206" s="71"/>
      <c r="L8206" s="71"/>
      <c r="M8206" s="71"/>
      <c r="N8206" s="116"/>
      <c r="O8206" s="51"/>
    </row>
    <row r="8207">
      <c r="A8207" s="273"/>
      <c r="B8207" s="71"/>
      <c r="C8207" s="69" t="s">
        <v>32351</v>
      </c>
      <c r="D8207" s="71"/>
      <c r="E8207" s="68" t="s">
        <v>32352</v>
      </c>
      <c r="F8207" s="76">
        <v>42814.0</v>
      </c>
      <c r="G8207" s="68" t="s">
        <v>32353</v>
      </c>
      <c r="H8207" s="71"/>
      <c r="I8207" s="71"/>
      <c r="J8207" s="87" t="s">
        <v>32354</v>
      </c>
      <c r="K8207" s="71"/>
      <c r="L8207" s="71"/>
      <c r="M8207" s="71"/>
      <c r="N8207" s="116"/>
      <c r="O8207" s="51"/>
    </row>
    <row r="8208">
      <c r="A8208" s="273"/>
      <c r="B8208" s="71"/>
      <c r="C8208" s="69" t="s">
        <v>32355</v>
      </c>
      <c r="D8208" s="71"/>
      <c r="E8208" s="68" t="s">
        <v>32356</v>
      </c>
      <c r="F8208" s="76">
        <v>42814.0</v>
      </c>
      <c r="G8208" s="68" t="s">
        <v>32353</v>
      </c>
      <c r="H8208" s="71"/>
      <c r="I8208" s="71"/>
      <c r="J8208" s="87" t="s">
        <v>32357</v>
      </c>
      <c r="K8208" s="71"/>
      <c r="L8208" s="71"/>
      <c r="M8208" s="71"/>
      <c r="N8208" s="116"/>
      <c r="O8208" s="51"/>
    </row>
    <row r="8209">
      <c r="A8209" s="273"/>
      <c r="B8209" s="71"/>
      <c r="C8209" s="69" t="s">
        <v>32358</v>
      </c>
      <c r="D8209" s="71"/>
      <c r="E8209" s="68" t="s">
        <v>32359</v>
      </c>
      <c r="F8209" s="76">
        <v>42814.0</v>
      </c>
      <c r="G8209" s="68" t="s">
        <v>32353</v>
      </c>
      <c r="H8209" s="71"/>
      <c r="I8209" s="71"/>
      <c r="J8209" s="87" t="s">
        <v>32360</v>
      </c>
      <c r="K8209" s="71"/>
      <c r="L8209" s="71"/>
      <c r="M8209" s="71"/>
      <c r="N8209" s="116"/>
      <c r="O8209" s="51"/>
    </row>
    <row r="8210">
      <c r="A8210" s="273"/>
      <c r="B8210" s="71"/>
      <c r="C8210" s="69" t="s">
        <v>32361</v>
      </c>
      <c r="D8210" s="71"/>
      <c r="E8210" s="68" t="s">
        <v>32362</v>
      </c>
      <c r="F8210" s="76">
        <v>42814.0</v>
      </c>
      <c r="G8210" s="68" t="s">
        <v>32353</v>
      </c>
      <c r="H8210" s="71"/>
      <c r="I8210" s="71"/>
      <c r="J8210" s="87" t="s">
        <v>32363</v>
      </c>
      <c r="K8210" s="71"/>
      <c r="L8210" s="71"/>
      <c r="M8210" s="71"/>
      <c r="N8210" s="116"/>
      <c r="O8210" s="51"/>
    </row>
    <row r="8211">
      <c r="A8211" s="273"/>
      <c r="B8211" s="71"/>
      <c r="C8211" s="69" t="s">
        <v>32364</v>
      </c>
      <c r="D8211" s="71"/>
      <c r="E8211" s="68" t="s">
        <v>32365</v>
      </c>
      <c r="F8211" s="76">
        <v>42814.0</v>
      </c>
      <c r="G8211" s="68" t="s">
        <v>32353</v>
      </c>
      <c r="H8211" s="71"/>
      <c r="I8211" s="71"/>
      <c r="J8211" s="87" t="s">
        <v>32366</v>
      </c>
      <c r="K8211" s="71"/>
      <c r="L8211" s="71"/>
      <c r="M8211" s="71"/>
      <c r="N8211" s="116"/>
      <c r="O8211" s="51"/>
    </row>
    <row r="8212">
      <c r="A8212" s="273"/>
      <c r="B8212" s="71"/>
      <c r="C8212" s="69" t="s">
        <v>32367</v>
      </c>
      <c r="D8212" s="71"/>
      <c r="E8212" s="68" t="s">
        <v>32368</v>
      </c>
      <c r="F8212" s="76">
        <v>42814.0</v>
      </c>
      <c r="G8212" s="68" t="s">
        <v>32353</v>
      </c>
      <c r="H8212" s="71"/>
      <c r="I8212" s="71"/>
      <c r="J8212" s="87" t="s">
        <v>32369</v>
      </c>
      <c r="K8212" s="71"/>
      <c r="L8212" s="71"/>
      <c r="M8212" s="71"/>
      <c r="N8212" s="116"/>
      <c r="O8212" s="51"/>
    </row>
    <row r="8213">
      <c r="A8213" s="273"/>
      <c r="B8213" s="71"/>
      <c r="C8213" s="69" t="s">
        <v>32370</v>
      </c>
      <c r="D8213" s="71"/>
      <c r="E8213" s="68" t="s">
        <v>32371</v>
      </c>
      <c r="F8213" s="76">
        <v>42814.0</v>
      </c>
      <c r="G8213" s="68" t="s">
        <v>32353</v>
      </c>
      <c r="H8213" s="71"/>
      <c r="I8213" s="71"/>
      <c r="J8213" s="87" t="s">
        <v>32372</v>
      </c>
      <c r="K8213" s="71"/>
      <c r="L8213" s="71"/>
      <c r="M8213" s="71"/>
      <c r="N8213" s="116"/>
      <c r="O8213" s="51"/>
    </row>
    <row r="8214">
      <c r="A8214" s="273"/>
      <c r="B8214" s="71"/>
      <c r="C8214" s="69" t="s">
        <v>32373</v>
      </c>
      <c r="D8214" s="71"/>
      <c r="E8214" s="68" t="s">
        <v>32374</v>
      </c>
      <c r="F8214" s="76">
        <v>42820.0</v>
      </c>
      <c r="G8214" s="68" t="s">
        <v>32353</v>
      </c>
      <c r="H8214" s="71"/>
      <c r="I8214" s="71"/>
      <c r="J8214" s="87" t="s">
        <v>32375</v>
      </c>
      <c r="K8214" s="71"/>
      <c r="L8214" s="71"/>
      <c r="M8214" s="71"/>
      <c r="N8214" s="116"/>
      <c r="O8214" s="51"/>
    </row>
    <row r="8215">
      <c r="A8215" s="273"/>
      <c r="B8215" s="71"/>
      <c r="C8215" s="69" t="s">
        <v>32376</v>
      </c>
      <c r="D8215" s="71"/>
      <c r="E8215" s="68" t="s">
        <v>32377</v>
      </c>
      <c r="F8215" s="76">
        <v>42818.0</v>
      </c>
      <c r="G8215" s="68" t="s">
        <v>32378</v>
      </c>
      <c r="H8215" s="71"/>
      <c r="I8215" s="71"/>
      <c r="J8215" s="87" t="s">
        <v>32379</v>
      </c>
      <c r="K8215" s="71"/>
      <c r="L8215" s="71"/>
      <c r="M8215" s="71"/>
      <c r="N8215" s="116"/>
      <c r="O8215" s="51"/>
    </row>
    <row r="8216">
      <c r="A8216" s="273"/>
      <c r="B8216" s="71"/>
      <c r="C8216" s="69" t="s">
        <v>32380</v>
      </c>
      <c r="D8216" s="71"/>
      <c r="E8216" s="68" t="s">
        <v>32381</v>
      </c>
      <c r="F8216" s="76">
        <v>42818.0</v>
      </c>
      <c r="G8216" s="68" t="s">
        <v>32378</v>
      </c>
      <c r="H8216" s="71"/>
      <c r="I8216" s="71"/>
      <c r="J8216" s="87" t="s">
        <v>32382</v>
      </c>
      <c r="K8216" s="71"/>
      <c r="L8216" s="71"/>
      <c r="M8216" s="71"/>
      <c r="N8216" s="116"/>
      <c r="O8216" s="51"/>
    </row>
    <row r="8217">
      <c r="A8217" s="273"/>
      <c r="B8217" s="71"/>
      <c r="C8217" s="69" t="s">
        <v>32383</v>
      </c>
      <c r="D8217" s="71"/>
      <c r="E8217" s="68" t="s">
        <v>32384</v>
      </c>
      <c r="F8217" s="76">
        <v>42820.0</v>
      </c>
      <c r="G8217" s="68" t="s">
        <v>32353</v>
      </c>
      <c r="H8217" s="71"/>
      <c r="I8217" s="71"/>
      <c r="J8217" s="87" t="s">
        <v>32385</v>
      </c>
      <c r="K8217" s="71"/>
      <c r="L8217" s="71"/>
      <c r="M8217" s="71"/>
      <c r="N8217" s="116"/>
      <c r="O8217" s="51"/>
    </row>
    <row r="8218">
      <c r="A8218" s="273"/>
      <c r="B8218" s="71"/>
      <c r="C8218" s="69" t="s">
        <v>32386</v>
      </c>
      <c r="D8218" s="71"/>
      <c r="E8218" s="68" t="s">
        <v>32387</v>
      </c>
      <c r="F8218" s="76">
        <v>43073.0</v>
      </c>
      <c r="G8218" s="68" t="s">
        <v>32388</v>
      </c>
      <c r="H8218" s="71"/>
      <c r="I8218" s="71"/>
      <c r="J8218" s="87" t="s">
        <v>32389</v>
      </c>
      <c r="K8218" s="71"/>
      <c r="L8218" s="71"/>
      <c r="M8218" s="71"/>
      <c r="N8218" s="116"/>
      <c r="O8218" s="51"/>
    </row>
    <row r="8219">
      <c r="A8219" s="273"/>
      <c r="B8219" s="71"/>
      <c r="C8219" s="69" t="s">
        <v>32390</v>
      </c>
      <c r="D8219" s="71"/>
      <c r="E8219" s="68" t="s">
        <v>32391</v>
      </c>
      <c r="F8219" s="76">
        <v>43073.0</v>
      </c>
      <c r="G8219" s="68" t="s">
        <v>32392</v>
      </c>
      <c r="H8219" s="71"/>
      <c r="I8219" s="71"/>
      <c r="J8219" s="87" t="s">
        <v>32393</v>
      </c>
      <c r="K8219" s="71"/>
      <c r="L8219" s="71"/>
      <c r="M8219" s="71"/>
      <c r="N8219" s="116"/>
      <c r="O8219" s="51"/>
    </row>
    <row r="8220">
      <c r="A8220" s="273"/>
      <c r="B8220" s="71"/>
      <c r="C8220" s="69" t="s">
        <v>32394</v>
      </c>
      <c r="D8220" s="71"/>
      <c r="E8220" s="68" t="s">
        <v>32395</v>
      </c>
      <c r="F8220" s="76">
        <v>43014.0</v>
      </c>
      <c r="G8220" s="68" t="s">
        <v>32396</v>
      </c>
      <c r="H8220" s="71"/>
      <c r="I8220" s="71"/>
      <c r="J8220" s="87" t="s">
        <v>32397</v>
      </c>
      <c r="K8220" s="71"/>
      <c r="L8220" s="71"/>
      <c r="M8220" s="71"/>
      <c r="N8220" s="116"/>
      <c r="O8220" s="51"/>
    </row>
    <row r="8221">
      <c r="A8221" s="273"/>
      <c r="B8221" s="71"/>
      <c r="C8221" s="69" t="s">
        <v>32398</v>
      </c>
      <c r="D8221" s="71"/>
      <c r="E8221" s="68" t="s">
        <v>32399</v>
      </c>
      <c r="F8221" s="76">
        <v>43014.0</v>
      </c>
      <c r="G8221" s="68" t="s">
        <v>32396</v>
      </c>
      <c r="H8221" s="71"/>
      <c r="I8221" s="71"/>
      <c r="J8221" s="87" t="s">
        <v>32400</v>
      </c>
      <c r="K8221" s="71"/>
      <c r="L8221" s="71"/>
      <c r="M8221" s="71"/>
      <c r="N8221" s="116"/>
      <c r="O8221" s="51"/>
    </row>
    <row r="8222">
      <c r="A8222" s="273"/>
      <c r="B8222" s="71"/>
      <c r="C8222" s="69" t="s">
        <v>32401</v>
      </c>
      <c r="D8222" s="71"/>
      <c r="E8222" s="68" t="s">
        <v>32402</v>
      </c>
      <c r="F8222" s="76">
        <v>43014.0</v>
      </c>
      <c r="G8222" s="68" t="s">
        <v>32396</v>
      </c>
      <c r="H8222" s="71"/>
      <c r="I8222" s="71"/>
      <c r="J8222" s="87" t="s">
        <v>32403</v>
      </c>
      <c r="K8222" s="71"/>
      <c r="L8222" s="71"/>
      <c r="M8222" s="71"/>
      <c r="N8222" s="116"/>
      <c r="O8222" s="51"/>
    </row>
    <row r="8223">
      <c r="A8223" s="273"/>
      <c r="B8223" s="71"/>
      <c r="C8223" s="69" t="s">
        <v>32404</v>
      </c>
      <c r="D8223" s="71"/>
      <c r="E8223" s="68" t="s">
        <v>32405</v>
      </c>
      <c r="F8223" s="76">
        <v>43014.0</v>
      </c>
      <c r="G8223" s="68" t="s">
        <v>32396</v>
      </c>
      <c r="H8223" s="71"/>
      <c r="I8223" s="71"/>
      <c r="J8223" s="87" t="s">
        <v>32406</v>
      </c>
      <c r="K8223" s="71"/>
      <c r="L8223" s="71"/>
      <c r="M8223" s="71"/>
      <c r="N8223" s="116"/>
      <c r="O8223" s="51"/>
    </row>
    <row r="8224">
      <c r="A8224" s="273"/>
      <c r="B8224" s="71"/>
      <c r="C8224" s="69" t="s">
        <v>32407</v>
      </c>
      <c r="D8224" s="71"/>
      <c r="E8224" s="68" t="s">
        <v>32408</v>
      </c>
      <c r="F8224" s="76">
        <v>42902.0</v>
      </c>
      <c r="G8224" s="68" t="s">
        <v>32409</v>
      </c>
      <c r="H8224" s="71"/>
      <c r="I8224" s="71"/>
      <c r="J8224" s="87" t="s">
        <v>32410</v>
      </c>
      <c r="K8224" s="71"/>
      <c r="L8224" s="71"/>
      <c r="M8224" s="71"/>
      <c r="N8224" s="116"/>
      <c r="O8224" s="51"/>
    </row>
    <row r="8225">
      <c r="A8225" s="273"/>
      <c r="B8225" s="71"/>
      <c r="C8225" s="69" t="s">
        <v>32411</v>
      </c>
      <c r="D8225" s="71"/>
      <c r="E8225" s="68" t="s">
        <v>32412</v>
      </c>
      <c r="F8225" s="76">
        <v>42902.0</v>
      </c>
      <c r="G8225" s="68" t="s">
        <v>32413</v>
      </c>
      <c r="H8225" s="71"/>
      <c r="I8225" s="71"/>
      <c r="J8225" s="87" t="s">
        <v>32414</v>
      </c>
      <c r="K8225" s="71"/>
      <c r="L8225" s="71"/>
      <c r="M8225" s="71"/>
      <c r="N8225" s="116"/>
      <c r="O8225" s="51"/>
    </row>
    <row r="8226">
      <c r="A8226" s="273"/>
      <c r="B8226" s="71"/>
      <c r="C8226" s="69" t="s">
        <v>32415</v>
      </c>
      <c r="D8226" s="71"/>
      <c r="E8226" s="68" t="s">
        <v>32416</v>
      </c>
      <c r="F8226" s="76">
        <v>42902.0</v>
      </c>
      <c r="G8226" s="68" t="s">
        <v>32417</v>
      </c>
      <c r="H8226" s="71"/>
      <c r="I8226" s="71"/>
      <c r="J8226" s="87" t="s">
        <v>32418</v>
      </c>
      <c r="K8226" s="71"/>
      <c r="L8226" s="71"/>
      <c r="M8226" s="71"/>
      <c r="N8226" s="116"/>
      <c r="O8226" s="51"/>
    </row>
    <row r="8227">
      <c r="A8227" s="273"/>
      <c r="B8227" s="71"/>
      <c r="C8227" s="69" t="s">
        <v>32419</v>
      </c>
      <c r="D8227" s="71"/>
      <c r="E8227" s="68" t="s">
        <v>32420</v>
      </c>
      <c r="F8227" s="76">
        <v>42932.0</v>
      </c>
      <c r="G8227" s="68" t="s">
        <v>32329</v>
      </c>
      <c r="H8227" s="71"/>
      <c r="I8227" s="71"/>
      <c r="J8227" s="87" t="s">
        <v>32421</v>
      </c>
      <c r="K8227" s="71"/>
      <c r="L8227" s="71"/>
      <c r="M8227" s="71"/>
      <c r="N8227" s="116"/>
      <c r="O8227" s="51"/>
    </row>
    <row r="8228">
      <c r="A8228" s="273"/>
      <c r="B8228" s="71"/>
      <c r="C8228" s="69" t="s">
        <v>32422</v>
      </c>
      <c r="D8228" s="71"/>
      <c r="E8228" s="68" t="s">
        <v>32423</v>
      </c>
      <c r="F8228" s="76">
        <v>42932.0</v>
      </c>
      <c r="G8228" s="68" t="s">
        <v>32329</v>
      </c>
      <c r="H8228" s="71"/>
      <c r="I8228" s="71"/>
      <c r="J8228" s="87" t="s">
        <v>32424</v>
      </c>
      <c r="K8228" s="71"/>
      <c r="L8228" s="71"/>
      <c r="M8228" s="71"/>
      <c r="N8228" s="116"/>
      <c r="O8228" s="51"/>
    </row>
    <row r="8229">
      <c r="A8229" s="273"/>
      <c r="B8229" s="71"/>
      <c r="C8229" s="69" t="s">
        <v>32425</v>
      </c>
      <c r="D8229" s="71"/>
      <c r="E8229" s="68" t="s">
        <v>32426</v>
      </c>
      <c r="F8229" s="76">
        <v>42942.0</v>
      </c>
      <c r="G8229" s="68" t="s">
        <v>32388</v>
      </c>
      <c r="H8229" s="71"/>
      <c r="I8229" s="71"/>
      <c r="J8229" s="87" t="s">
        <v>32427</v>
      </c>
      <c r="K8229" s="71"/>
      <c r="L8229" s="71"/>
      <c r="M8229" s="71"/>
      <c r="N8229" s="116"/>
      <c r="O8229" s="51"/>
    </row>
    <row r="8230">
      <c r="A8230" s="273"/>
      <c r="B8230" s="71"/>
      <c r="C8230" s="69" t="s">
        <v>32428</v>
      </c>
      <c r="D8230" s="71"/>
      <c r="E8230" s="68" t="s">
        <v>32429</v>
      </c>
      <c r="F8230" s="76">
        <v>42936.0</v>
      </c>
      <c r="G8230" s="68" t="s">
        <v>32329</v>
      </c>
      <c r="H8230" s="71"/>
      <c r="I8230" s="71"/>
      <c r="J8230" s="87" t="s">
        <v>32430</v>
      </c>
      <c r="K8230" s="71"/>
      <c r="L8230" s="71"/>
      <c r="M8230" s="71"/>
      <c r="N8230" s="116"/>
      <c r="O8230" s="51"/>
    </row>
    <row r="8231">
      <c r="A8231" s="273"/>
      <c r="B8231" s="71"/>
      <c r="C8231" s="69" t="s">
        <v>32431</v>
      </c>
      <c r="D8231" s="71"/>
      <c r="E8231" s="68" t="s">
        <v>32432</v>
      </c>
      <c r="F8231" s="76">
        <v>42942.0</v>
      </c>
      <c r="G8231" s="68" t="s">
        <v>32433</v>
      </c>
      <c r="H8231" s="71"/>
      <c r="I8231" s="71"/>
      <c r="J8231" s="87" t="s">
        <v>32434</v>
      </c>
      <c r="K8231" s="71"/>
      <c r="L8231" s="71"/>
      <c r="M8231" s="71"/>
      <c r="N8231" s="116"/>
      <c r="O8231" s="51"/>
    </row>
    <row r="8232">
      <c r="A8232" s="273"/>
      <c r="B8232" s="71"/>
      <c r="C8232" s="69" t="s">
        <v>32435</v>
      </c>
      <c r="D8232" s="71"/>
      <c r="E8232" s="68" t="s">
        <v>32436</v>
      </c>
      <c r="F8232" s="76">
        <v>42803.0</v>
      </c>
      <c r="G8232" s="68" t="s">
        <v>32437</v>
      </c>
      <c r="H8232" s="71"/>
      <c r="I8232" s="71"/>
      <c r="J8232" s="87" t="s">
        <v>32438</v>
      </c>
      <c r="K8232" s="71"/>
      <c r="L8232" s="71"/>
      <c r="M8232" s="71"/>
      <c r="N8232" s="116"/>
      <c r="O8232" s="51"/>
    </row>
    <row r="8233">
      <c r="A8233" s="273"/>
      <c r="B8233" s="71"/>
      <c r="C8233" s="69" t="s">
        <v>32439</v>
      </c>
      <c r="D8233" s="71"/>
      <c r="E8233" s="68" t="s">
        <v>32440</v>
      </c>
      <c r="F8233" s="76">
        <v>43017.0</v>
      </c>
      <c r="G8233" s="68" t="s">
        <v>32441</v>
      </c>
      <c r="H8233" s="71"/>
      <c r="I8233" s="71"/>
      <c r="J8233" s="87" t="s">
        <v>32442</v>
      </c>
      <c r="K8233" s="71"/>
      <c r="L8233" s="71"/>
      <c r="M8233" s="71"/>
      <c r="N8233" s="116"/>
      <c r="O8233" s="51"/>
    </row>
    <row r="8234">
      <c r="A8234" s="273"/>
      <c r="B8234" s="71"/>
      <c r="C8234" s="69" t="s">
        <v>32443</v>
      </c>
      <c r="D8234" s="71"/>
      <c r="E8234" s="68" t="s">
        <v>32444</v>
      </c>
      <c r="F8234" s="76">
        <v>42998.0</v>
      </c>
      <c r="G8234" s="68" t="s">
        <v>32396</v>
      </c>
      <c r="H8234" s="71"/>
      <c r="I8234" s="71"/>
      <c r="J8234" s="87" t="s">
        <v>32445</v>
      </c>
      <c r="K8234" s="71"/>
      <c r="L8234" s="71"/>
      <c r="M8234" s="71"/>
      <c r="N8234" s="116"/>
      <c r="O8234" s="51"/>
    </row>
    <row r="8235">
      <c r="A8235" s="273"/>
      <c r="B8235" s="71"/>
      <c r="C8235" s="69" t="s">
        <v>32446</v>
      </c>
      <c r="D8235" s="71"/>
      <c r="E8235" s="68" t="s">
        <v>32447</v>
      </c>
      <c r="F8235" s="76">
        <v>42998.0</v>
      </c>
      <c r="G8235" s="68" t="s">
        <v>32396</v>
      </c>
      <c r="H8235" s="71"/>
      <c r="I8235" s="71"/>
      <c r="J8235" s="87" t="s">
        <v>32448</v>
      </c>
      <c r="K8235" s="71"/>
      <c r="L8235" s="71"/>
      <c r="M8235" s="71"/>
      <c r="N8235" s="116"/>
      <c r="O8235" s="51"/>
    </row>
    <row r="8236">
      <c r="A8236" s="273"/>
      <c r="B8236" s="71"/>
      <c r="C8236" s="69" t="s">
        <v>32449</v>
      </c>
      <c r="D8236" s="71"/>
      <c r="E8236" s="68" t="s">
        <v>32450</v>
      </c>
      <c r="F8236" s="76">
        <v>42998.0</v>
      </c>
      <c r="G8236" s="68" t="s">
        <v>32396</v>
      </c>
      <c r="H8236" s="71"/>
      <c r="I8236" s="71"/>
      <c r="J8236" s="87" t="s">
        <v>32451</v>
      </c>
      <c r="K8236" s="71"/>
      <c r="L8236" s="71"/>
      <c r="M8236" s="71"/>
      <c r="N8236" s="116"/>
      <c r="O8236" s="51"/>
    </row>
    <row r="8237">
      <c r="A8237" s="273"/>
      <c r="B8237" s="71"/>
      <c r="C8237" s="69" t="s">
        <v>32452</v>
      </c>
      <c r="D8237" s="71"/>
      <c r="E8237" s="68" t="s">
        <v>32453</v>
      </c>
      <c r="F8237" s="76">
        <v>42998.0</v>
      </c>
      <c r="G8237" s="68" t="s">
        <v>32396</v>
      </c>
      <c r="H8237" s="71"/>
      <c r="I8237" s="71"/>
      <c r="J8237" s="87" t="s">
        <v>32454</v>
      </c>
      <c r="K8237" s="71"/>
      <c r="L8237" s="71"/>
      <c r="M8237" s="71"/>
      <c r="N8237" s="116"/>
      <c r="O8237" s="51"/>
    </row>
    <row r="8238">
      <c r="A8238" s="273"/>
      <c r="B8238" s="71"/>
      <c r="C8238" s="69" t="s">
        <v>32455</v>
      </c>
      <c r="D8238" s="71"/>
      <c r="E8238" s="68" t="s">
        <v>32456</v>
      </c>
      <c r="F8238" s="76">
        <v>42998.0</v>
      </c>
      <c r="G8238" s="68" t="s">
        <v>32396</v>
      </c>
      <c r="H8238" s="71"/>
      <c r="I8238" s="71"/>
      <c r="J8238" s="87" t="s">
        <v>32457</v>
      </c>
      <c r="K8238" s="71"/>
      <c r="L8238" s="71"/>
      <c r="M8238" s="71"/>
      <c r="N8238" s="116"/>
      <c r="O8238" s="51"/>
    </row>
    <row r="8239">
      <c r="A8239" s="273"/>
      <c r="B8239" s="71"/>
      <c r="C8239" s="69" t="s">
        <v>32458</v>
      </c>
      <c r="D8239" s="71"/>
      <c r="E8239" s="68" t="s">
        <v>32459</v>
      </c>
      <c r="F8239" s="83">
        <v>43026.0</v>
      </c>
      <c r="G8239" s="68" t="s">
        <v>32396</v>
      </c>
      <c r="H8239" s="71"/>
      <c r="I8239" s="71"/>
      <c r="J8239" s="87" t="s">
        <v>32460</v>
      </c>
      <c r="K8239" s="71"/>
      <c r="L8239" s="71"/>
      <c r="M8239" s="71"/>
      <c r="N8239" s="116"/>
      <c r="O8239" s="51"/>
    </row>
    <row r="8240">
      <c r="A8240" s="273"/>
      <c r="B8240" s="71"/>
      <c r="C8240" s="69" t="s">
        <v>32461</v>
      </c>
      <c r="D8240" s="71"/>
      <c r="E8240" s="68" t="s">
        <v>32462</v>
      </c>
      <c r="F8240" s="83">
        <v>43022.0</v>
      </c>
      <c r="G8240" s="68" t="s">
        <v>32463</v>
      </c>
      <c r="H8240" s="71"/>
      <c r="I8240" s="71"/>
      <c r="J8240" s="87" t="s">
        <v>32464</v>
      </c>
      <c r="K8240" s="71"/>
      <c r="L8240" s="71"/>
      <c r="M8240" s="71"/>
      <c r="N8240" s="116"/>
      <c r="O8240" s="51"/>
    </row>
    <row r="8241">
      <c r="A8241" s="273"/>
      <c r="B8241" s="71"/>
      <c r="C8241" s="69" t="s">
        <v>32465</v>
      </c>
      <c r="D8241" s="71"/>
      <c r="E8241" s="68" t="s">
        <v>32466</v>
      </c>
      <c r="F8241" s="83">
        <v>43028.0</v>
      </c>
      <c r="G8241" s="68" t="s">
        <v>32467</v>
      </c>
      <c r="H8241" s="71"/>
      <c r="I8241" s="71"/>
      <c r="J8241" s="87" t="s">
        <v>32468</v>
      </c>
      <c r="K8241" s="71"/>
      <c r="L8241" s="71"/>
      <c r="M8241" s="71"/>
      <c r="N8241" s="116"/>
      <c r="O8241" s="51"/>
    </row>
    <row r="8242">
      <c r="A8242" s="273"/>
      <c r="B8242" s="71"/>
      <c r="C8242" s="69" t="s">
        <v>32469</v>
      </c>
      <c r="D8242" s="71"/>
      <c r="E8242" s="68" t="s">
        <v>32470</v>
      </c>
      <c r="F8242" s="83">
        <v>43028.0</v>
      </c>
      <c r="G8242" s="68" t="s">
        <v>32467</v>
      </c>
      <c r="H8242" s="71"/>
      <c r="I8242" s="71"/>
      <c r="J8242" s="87" t="s">
        <v>32471</v>
      </c>
      <c r="K8242" s="71"/>
      <c r="L8242" s="71"/>
      <c r="M8242" s="71"/>
      <c r="N8242" s="116"/>
      <c r="O8242" s="51"/>
    </row>
    <row r="8243">
      <c r="A8243" s="273"/>
      <c r="B8243" s="71"/>
      <c r="C8243" s="69" t="s">
        <v>32472</v>
      </c>
      <c r="D8243" s="71"/>
      <c r="E8243" s="68" t="s">
        <v>32473</v>
      </c>
      <c r="F8243" s="83">
        <v>43028.0</v>
      </c>
      <c r="G8243" s="68" t="s">
        <v>32467</v>
      </c>
      <c r="H8243" s="71"/>
      <c r="I8243" s="71"/>
      <c r="J8243" s="87" t="s">
        <v>32474</v>
      </c>
      <c r="K8243" s="71"/>
      <c r="L8243" s="71"/>
      <c r="M8243" s="71"/>
      <c r="N8243" s="116"/>
      <c r="O8243" s="51"/>
    </row>
    <row r="8244">
      <c r="A8244" s="273"/>
      <c r="B8244" s="71"/>
      <c r="C8244" s="69" t="s">
        <v>32475</v>
      </c>
      <c r="D8244" s="71"/>
      <c r="E8244" s="68" t="s">
        <v>32476</v>
      </c>
      <c r="F8244" s="83">
        <v>43028.0</v>
      </c>
      <c r="G8244" s="68" t="s">
        <v>32467</v>
      </c>
      <c r="H8244" s="71"/>
      <c r="I8244" s="71"/>
      <c r="J8244" s="87" t="s">
        <v>32477</v>
      </c>
      <c r="K8244" s="71"/>
      <c r="L8244" s="71"/>
      <c r="M8244" s="71"/>
      <c r="N8244" s="116"/>
      <c r="O8244" s="51"/>
    </row>
    <row r="8245">
      <c r="A8245" s="273"/>
      <c r="B8245" s="71"/>
      <c r="C8245" s="69" t="s">
        <v>32478</v>
      </c>
      <c r="D8245" s="71"/>
      <c r="E8245" s="68" t="s">
        <v>32479</v>
      </c>
      <c r="F8245" s="76">
        <v>42856.0</v>
      </c>
      <c r="G8245" s="68" t="s">
        <v>32480</v>
      </c>
      <c r="H8245" s="71"/>
      <c r="I8245" s="71"/>
      <c r="J8245" s="87" t="s">
        <v>32481</v>
      </c>
      <c r="K8245" s="71"/>
      <c r="L8245" s="71"/>
      <c r="M8245" s="71"/>
      <c r="N8245" s="116"/>
      <c r="O8245" s="51"/>
    </row>
    <row r="8246">
      <c r="A8246" s="273"/>
      <c r="B8246" s="71"/>
      <c r="C8246" s="69" t="s">
        <v>32482</v>
      </c>
      <c r="D8246" s="71"/>
      <c r="E8246" s="68" t="s">
        <v>30522</v>
      </c>
      <c r="F8246" s="76">
        <v>42856.0</v>
      </c>
      <c r="G8246" s="68" t="s">
        <v>32480</v>
      </c>
      <c r="H8246" s="71"/>
      <c r="I8246" s="71"/>
      <c r="J8246" s="87" t="s">
        <v>32483</v>
      </c>
      <c r="K8246" s="71"/>
      <c r="L8246" s="71"/>
      <c r="M8246" s="71"/>
      <c r="N8246" s="116"/>
      <c r="O8246" s="51"/>
    </row>
    <row r="8247">
      <c r="A8247" s="273"/>
      <c r="B8247" s="71"/>
      <c r="C8247" s="69" t="s">
        <v>32484</v>
      </c>
      <c r="D8247" s="71"/>
      <c r="E8247" s="68" t="s">
        <v>32485</v>
      </c>
      <c r="F8247" s="76">
        <v>42740.0</v>
      </c>
      <c r="G8247" s="68" t="s">
        <v>32480</v>
      </c>
      <c r="H8247" s="71"/>
      <c r="I8247" s="71"/>
      <c r="J8247" s="87" t="s">
        <v>32486</v>
      </c>
      <c r="K8247" s="71"/>
      <c r="L8247" s="71"/>
      <c r="M8247" s="71"/>
      <c r="N8247" s="116"/>
      <c r="O8247" s="51"/>
    </row>
    <row r="8248">
      <c r="A8248" s="273"/>
      <c r="B8248" s="71"/>
      <c r="C8248" s="69" t="s">
        <v>32487</v>
      </c>
      <c r="D8248" s="71"/>
      <c r="E8248" s="68" t="s">
        <v>32488</v>
      </c>
      <c r="F8248" s="76">
        <v>42740.0</v>
      </c>
      <c r="G8248" s="68" t="s">
        <v>32480</v>
      </c>
      <c r="H8248" s="71"/>
      <c r="I8248" s="71"/>
      <c r="J8248" s="87" t="s">
        <v>32489</v>
      </c>
      <c r="K8248" s="71"/>
      <c r="L8248" s="71"/>
      <c r="M8248" s="71"/>
      <c r="N8248" s="116"/>
      <c r="O8248" s="51"/>
    </row>
    <row r="8249">
      <c r="A8249" s="273"/>
      <c r="B8249" s="71"/>
      <c r="C8249" s="69" t="s">
        <v>32490</v>
      </c>
      <c r="D8249" s="71"/>
      <c r="E8249" s="68" t="s">
        <v>32491</v>
      </c>
      <c r="F8249" s="76">
        <v>42740.0</v>
      </c>
      <c r="G8249" s="68" t="s">
        <v>32480</v>
      </c>
      <c r="H8249" s="71"/>
      <c r="I8249" s="71"/>
      <c r="J8249" s="87" t="s">
        <v>32492</v>
      </c>
      <c r="K8249" s="71"/>
      <c r="L8249" s="71"/>
      <c r="M8249" s="71"/>
      <c r="N8249" s="116"/>
      <c r="O8249" s="51"/>
    </row>
    <row r="8250">
      <c r="A8250" s="273"/>
      <c r="B8250" s="71"/>
      <c r="C8250" s="69" t="s">
        <v>32493</v>
      </c>
      <c r="D8250" s="71"/>
      <c r="E8250" s="68" t="s">
        <v>32494</v>
      </c>
      <c r="F8250" s="76">
        <v>42740.0</v>
      </c>
      <c r="G8250" s="68" t="s">
        <v>32480</v>
      </c>
      <c r="H8250" s="71"/>
      <c r="I8250" s="71"/>
      <c r="J8250" s="87" t="s">
        <v>32495</v>
      </c>
      <c r="K8250" s="71"/>
      <c r="L8250" s="71"/>
      <c r="M8250" s="71"/>
      <c r="N8250" s="116"/>
      <c r="O8250" s="51"/>
    </row>
    <row r="8251">
      <c r="A8251" s="273"/>
      <c r="B8251" s="71"/>
      <c r="C8251" s="69" t="s">
        <v>32496</v>
      </c>
      <c r="D8251" s="71"/>
      <c r="E8251" s="68" t="s">
        <v>32497</v>
      </c>
      <c r="F8251" s="76">
        <v>42740.0</v>
      </c>
      <c r="G8251" s="68" t="s">
        <v>32480</v>
      </c>
      <c r="H8251" s="71"/>
      <c r="I8251" s="71"/>
      <c r="J8251" s="87" t="s">
        <v>32498</v>
      </c>
      <c r="K8251" s="71"/>
      <c r="L8251" s="71"/>
      <c r="M8251" s="71"/>
      <c r="N8251" s="116"/>
      <c r="O8251" s="51"/>
    </row>
    <row r="8252">
      <c r="A8252" s="273"/>
      <c r="B8252" s="71"/>
      <c r="C8252" s="69" t="s">
        <v>32499</v>
      </c>
      <c r="D8252" s="71"/>
      <c r="E8252" s="68" t="s">
        <v>32500</v>
      </c>
      <c r="F8252" s="83">
        <v>43028.0</v>
      </c>
      <c r="G8252" s="68" t="s">
        <v>32467</v>
      </c>
      <c r="H8252" s="71"/>
      <c r="I8252" s="71"/>
      <c r="J8252" s="87" t="s">
        <v>32501</v>
      </c>
      <c r="K8252" s="71"/>
      <c r="L8252" s="71"/>
      <c r="M8252" s="71"/>
      <c r="N8252" s="116"/>
      <c r="O8252" s="51"/>
    </row>
    <row r="8253">
      <c r="A8253" s="273"/>
      <c r="B8253" s="71"/>
      <c r="C8253" s="69" t="s">
        <v>32502</v>
      </c>
      <c r="D8253" s="71"/>
      <c r="E8253" s="68" t="s">
        <v>32503</v>
      </c>
      <c r="F8253" s="83">
        <v>43028.0</v>
      </c>
      <c r="G8253" s="68" t="s">
        <v>32467</v>
      </c>
      <c r="H8253" s="71"/>
      <c r="I8253" s="71"/>
      <c r="J8253" s="87" t="s">
        <v>32504</v>
      </c>
      <c r="K8253" s="71"/>
      <c r="L8253" s="71"/>
      <c r="M8253" s="71"/>
      <c r="N8253" s="116"/>
      <c r="O8253" s="51"/>
    </row>
    <row r="8254">
      <c r="A8254" s="273"/>
      <c r="B8254" s="71"/>
      <c r="C8254" s="69" t="s">
        <v>32505</v>
      </c>
      <c r="D8254" s="71"/>
      <c r="E8254" s="68" t="s">
        <v>32506</v>
      </c>
      <c r="F8254" s="83">
        <v>43033.0</v>
      </c>
      <c r="G8254" s="68" t="s">
        <v>32329</v>
      </c>
      <c r="H8254" s="71"/>
      <c r="I8254" s="71"/>
      <c r="J8254" s="87" t="s">
        <v>32507</v>
      </c>
      <c r="K8254" s="71"/>
      <c r="L8254" s="71"/>
      <c r="M8254" s="71"/>
      <c r="N8254" s="116"/>
      <c r="O8254" s="51"/>
    </row>
    <row r="8255">
      <c r="A8255" s="273"/>
      <c r="B8255" s="71"/>
      <c r="C8255" s="69" t="s">
        <v>32508</v>
      </c>
      <c r="D8255" s="71"/>
      <c r="E8255" s="68" t="s">
        <v>32509</v>
      </c>
      <c r="F8255" s="83">
        <v>43028.0</v>
      </c>
      <c r="G8255" s="68" t="s">
        <v>32467</v>
      </c>
      <c r="H8255" s="71"/>
      <c r="I8255" s="71"/>
      <c r="J8255" s="87" t="s">
        <v>32510</v>
      </c>
      <c r="K8255" s="71"/>
      <c r="L8255" s="71"/>
      <c r="M8255" s="71"/>
      <c r="N8255" s="116"/>
      <c r="O8255" s="51"/>
    </row>
    <row r="8256">
      <c r="A8256" s="273"/>
      <c r="B8256" s="71"/>
      <c r="C8256" s="69" t="s">
        <v>32511</v>
      </c>
      <c r="D8256" s="71"/>
      <c r="E8256" s="68" t="s">
        <v>32512</v>
      </c>
      <c r="F8256" s="83">
        <v>43036.0</v>
      </c>
      <c r="G8256" s="68" t="s">
        <v>32329</v>
      </c>
      <c r="H8256" s="71"/>
      <c r="I8256" s="71"/>
      <c r="J8256" s="87" t="s">
        <v>32513</v>
      </c>
      <c r="K8256" s="71"/>
      <c r="L8256" s="71"/>
      <c r="M8256" s="71"/>
      <c r="N8256" s="116"/>
      <c r="O8256" s="51"/>
    </row>
    <row r="8257">
      <c r="A8257" s="273"/>
      <c r="B8257" s="71"/>
      <c r="C8257" s="69" t="s">
        <v>32514</v>
      </c>
      <c r="D8257" s="71"/>
      <c r="E8257" s="68" t="s">
        <v>32515</v>
      </c>
      <c r="F8257" s="83">
        <v>43036.0</v>
      </c>
      <c r="G8257" s="68" t="s">
        <v>32516</v>
      </c>
      <c r="H8257" s="71"/>
      <c r="I8257" s="71"/>
      <c r="J8257" s="87" t="s">
        <v>32517</v>
      </c>
      <c r="K8257" s="71"/>
      <c r="L8257" s="71"/>
      <c r="M8257" s="71"/>
      <c r="N8257" s="116"/>
      <c r="O8257" s="51"/>
    </row>
    <row r="8258">
      <c r="A8258" s="273"/>
      <c r="B8258" s="71"/>
      <c r="C8258" s="69" t="s">
        <v>32518</v>
      </c>
      <c r="D8258" s="71"/>
      <c r="E8258" s="68" t="s">
        <v>32519</v>
      </c>
      <c r="F8258" s="83">
        <v>43036.0</v>
      </c>
      <c r="G8258" s="68" t="s">
        <v>32329</v>
      </c>
      <c r="H8258" s="71"/>
      <c r="I8258" s="71"/>
      <c r="J8258" s="87" t="s">
        <v>32520</v>
      </c>
      <c r="K8258" s="71"/>
      <c r="L8258" s="71"/>
      <c r="M8258" s="71"/>
      <c r="N8258" s="116"/>
      <c r="O8258" s="51"/>
    </row>
    <row r="8259">
      <c r="A8259" s="273"/>
      <c r="B8259" s="71"/>
      <c r="C8259" s="69" t="s">
        <v>32521</v>
      </c>
      <c r="D8259" s="71"/>
      <c r="E8259" s="68" t="s">
        <v>32522</v>
      </c>
      <c r="F8259" s="83">
        <v>43036.0</v>
      </c>
      <c r="G8259" s="68" t="s">
        <v>32329</v>
      </c>
      <c r="H8259" s="71"/>
      <c r="I8259" s="71"/>
      <c r="J8259" s="87" t="s">
        <v>32523</v>
      </c>
      <c r="K8259" s="71"/>
      <c r="L8259" s="71"/>
      <c r="M8259" s="71"/>
      <c r="N8259" s="116"/>
      <c r="O8259" s="51"/>
    </row>
    <row r="8260">
      <c r="A8260" s="273"/>
      <c r="B8260" s="71"/>
      <c r="C8260" s="69" t="s">
        <v>32524</v>
      </c>
      <c r="D8260" s="71"/>
      <c r="E8260" s="68" t="s">
        <v>32525</v>
      </c>
      <c r="F8260" s="83">
        <v>43036.0</v>
      </c>
      <c r="G8260" s="68" t="s">
        <v>32329</v>
      </c>
      <c r="H8260" s="71"/>
      <c r="I8260" s="71"/>
      <c r="J8260" s="87" t="s">
        <v>32526</v>
      </c>
      <c r="K8260" s="71"/>
      <c r="L8260" s="71"/>
      <c r="M8260" s="71"/>
      <c r="N8260" s="116"/>
      <c r="O8260" s="51"/>
    </row>
    <row r="8261">
      <c r="A8261" s="273"/>
      <c r="B8261" s="71"/>
      <c r="C8261" s="69" t="s">
        <v>32527</v>
      </c>
      <c r="D8261" s="71"/>
      <c r="E8261" s="68" t="s">
        <v>32528</v>
      </c>
      <c r="F8261" s="83">
        <v>43036.0</v>
      </c>
      <c r="G8261" s="68" t="s">
        <v>32329</v>
      </c>
      <c r="H8261" s="71"/>
      <c r="I8261" s="71"/>
      <c r="J8261" s="87" t="s">
        <v>32529</v>
      </c>
      <c r="K8261" s="71"/>
      <c r="L8261" s="71"/>
      <c r="M8261" s="71"/>
      <c r="N8261" s="116"/>
      <c r="O8261" s="51"/>
    </row>
    <row r="8262">
      <c r="A8262" s="273"/>
      <c r="B8262" s="71"/>
      <c r="C8262" s="69" t="s">
        <v>32530</v>
      </c>
      <c r="D8262" s="71"/>
      <c r="E8262" s="68" t="s">
        <v>32531</v>
      </c>
      <c r="F8262" s="83">
        <v>43036.0</v>
      </c>
      <c r="G8262" s="68" t="s">
        <v>32329</v>
      </c>
      <c r="H8262" s="71"/>
      <c r="I8262" s="71"/>
      <c r="J8262" s="87" t="s">
        <v>32532</v>
      </c>
      <c r="K8262" s="71"/>
      <c r="L8262" s="71"/>
      <c r="M8262" s="71"/>
      <c r="N8262" s="87" t="s">
        <v>32533</v>
      </c>
      <c r="O8262" s="51"/>
    </row>
    <row r="8263">
      <c r="A8263" s="234"/>
      <c r="B8263" s="71"/>
      <c r="C8263" s="79" t="s">
        <v>32534</v>
      </c>
      <c r="D8263" s="82"/>
      <c r="E8263" s="63" t="s">
        <v>32535</v>
      </c>
      <c r="F8263" s="70">
        <v>44477.0</v>
      </c>
      <c r="G8263" s="63" t="s">
        <v>32536</v>
      </c>
      <c r="H8263" s="80" t="s">
        <v>32537</v>
      </c>
      <c r="I8263" s="82"/>
      <c r="J8263" s="63" t="s">
        <v>136</v>
      </c>
      <c r="K8263" s="81">
        <v>44532.0</v>
      </c>
      <c r="L8263" s="80" t="s">
        <v>30692</v>
      </c>
      <c r="M8263" s="80" t="s">
        <v>166</v>
      </c>
      <c r="N8263" s="87" t="s">
        <v>32538</v>
      </c>
      <c r="O8263" s="51"/>
    </row>
    <row r="8264">
      <c r="A8264" s="234"/>
      <c r="B8264" s="71"/>
      <c r="C8264" s="79" t="s">
        <v>32539</v>
      </c>
      <c r="D8264" s="82"/>
      <c r="E8264" s="63" t="s">
        <v>32540</v>
      </c>
      <c r="F8264" s="70">
        <v>44384.0</v>
      </c>
      <c r="G8264" s="63" t="s">
        <v>32541</v>
      </c>
      <c r="H8264" s="80" t="s">
        <v>32542</v>
      </c>
      <c r="I8264" s="82"/>
      <c r="J8264" s="63" t="s">
        <v>136</v>
      </c>
      <c r="K8264" s="81">
        <v>44532.0</v>
      </c>
      <c r="L8264" s="80" t="s">
        <v>2743</v>
      </c>
      <c r="M8264" s="80" t="s">
        <v>125</v>
      </c>
      <c r="N8264" s="116"/>
      <c r="O8264" s="51"/>
    </row>
    <row r="8265">
      <c r="A8265" s="234"/>
      <c r="B8265" s="71"/>
      <c r="C8265" s="79" t="s">
        <v>32543</v>
      </c>
      <c r="D8265" s="82"/>
      <c r="E8265" s="63" t="s">
        <v>32544</v>
      </c>
      <c r="F8265" s="70">
        <v>41374.0</v>
      </c>
      <c r="G8265" s="63" t="s">
        <v>32545</v>
      </c>
      <c r="H8265" s="80" t="s">
        <v>32546</v>
      </c>
      <c r="I8265" s="82"/>
      <c r="J8265" s="63" t="s">
        <v>136</v>
      </c>
      <c r="K8265" s="81">
        <v>44532.0</v>
      </c>
      <c r="L8265" s="80" t="s">
        <v>2743</v>
      </c>
      <c r="M8265" s="80" t="s">
        <v>32194</v>
      </c>
      <c r="N8265" s="116"/>
      <c r="O8265" s="51"/>
    </row>
    <row r="8266">
      <c r="A8266" s="273"/>
      <c r="B8266" s="71"/>
      <c r="C8266" s="69" t="s">
        <v>32547</v>
      </c>
      <c r="D8266" s="71"/>
      <c r="E8266" s="68" t="s">
        <v>32548</v>
      </c>
      <c r="F8266" s="76">
        <v>44460.0</v>
      </c>
      <c r="G8266" s="68" t="s">
        <v>32549</v>
      </c>
      <c r="H8266" s="68" t="s">
        <v>32550</v>
      </c>
      <c r="I8266" s="71"/>
      <c r="J8266" s="68" t="s">
        <v>32551</v>
      </c>
      <c r="K8266" s="76">
        <v>44532.0</v>
      </c>
      <c r="L8266" s="68" t="s">
        <v>30692</v>
      </c>
      <c r="M8266" s="68" t="s">
        <v>19459</v>
      </c>
      <c r="N8266" s="116"/>
      <c r="O8266" s="51"/>
    </row>
    <row r="8267">
      <c r="A8267" s="273"/>
      <c r="B8267" s="71"/>
      <c r="C8267" s="69" t="s">
        <v>32552</v>
      </c>
      <c r="D8267" s="71"/>
      <c r="E8267" s="68" t="s">
        <v>32553</v>
      </c>
      <c r="F8267" s="76">
        <v>44460.0</v>
      </c>
      <c r="G8267" s="68" t="s">
        <v>32554</v>
      </c>
      <c r="H8267" s="68" t="s">
        <v>32555</v>
      </c>
      <c r="I8267" s="71"/>
      <c r="J8267" s="68" t="s">
        <v>32556</v>
      </c>
      <c r="K8267" s="76">
        <v>44532.0</v>
      </c>
      <c r="L8267" s="68" t="s">
        <v>30692</v>
      </c>
      <c r="M8267" s="68" t="s">
        <v>19459</v>
      </c>
      <c r="N8267" s="116"/>
      <c r="O8267" s="51"/>
    </row>
    <row r="8268">
      <c r="A8268" s="234"/>
      <c r="B8268" s="71"/>
      <c r="C8268" s="79" t="s">
        <v>32557</v>
      </c>
      <c r="D8268" s="82"/>
      <c r="E8268" s="63" t="s">
        <v>32558</v>
      </c>
      <c r="F8268" s="70">
        <v>41470.0</v>
      </c>
      <c r="G8268" s="63" t="s">
        <v>32559</v>
      </c>
      <c r="H8268" s="80" t="s">
        <v>32560</v>
      </c>
      <c r="I8268" s="82"/>
      <c r="J8268" s="63" t="s">
        <v>136</v>
      </c>
      <c r="K8268" s="81">
        <v>44532.0</v>
      </c>
      <c r="L8268" s="80" t="s">
        <v>2743</v>
      </c>
      <c r="M8268" s="80" t="s">
        <v>32561</v>
      </c>
      <c r="N8268" s="116"/>
      <c r="O8268" s="51"/>
    </row>
    <row r="8269">
      <c r="A8269" s="234"/>
      <c r="B8269" s="71"/>
      <c r="C8269" s="79" t="s">
        <v>32562</v>
      </c>
      <c r="D8269" s="82"/>
      <c r="E8269" s="63" t="s">
        <v>32563</v>
      </c>
      <c r="F8269" s="65">
        <v>44489.0</v>
      </c>
      <c r="G8269" s="63" t="s">
        <v>32564</v>
      </c>
      <c r="H8269" s="80" t="s">
        <v>32565</v>
      </c>
      <c r="I8269" s="82"/>
      <c r="J8269" s="63" t="s">
        <v>136</v>
      </c>
      <c r="K8269" s="81">
        <v>44532.0</v>
      </c>
      <c r="L8269" s="80" t="s">
        <v>2743</v>
      </c>
      <c r="M8269" s="80" t="s">
        <v>32175</v>
      </c>
      <c r="N8269" s="116"/>
      <c r="O8269" s="51"/>
    </row>
    <row r="8270">
      <c r="A8270" s="234"/>
      <c r="B8270" s="71"/>
      <c r="C8270" s="79" t="s">
        <v>32566</v>
      </c>
      <c r="D8270" s="82"/>
      <c r="E8270" s="63" t="s">
        <v>32567</v>
      </c>
      <c r="F8270" s="65">
        <v>44149.0</v>
      </c>
      <c r="G8270" s="63" t="s">
        <v>32568</v>
      </c>
      <c r="H8270" s="80" t="s">
        <v>32569</v>
      </c>
      <c r="I8270" s="82"/>
      <c r="J8270" s="63" t="s">
        <v>136</v>
      </c>
      <c r="K8270" s="81">
        <v>44532.0</v>
      </c>
      <c r="L8270" s="80" t="s">
        <v>2743</v>
      </c>
      <c r="M8270" s="80" t="s">
        <v>4749</v>
      </c>
      <c r="N8270" s="116"/>
      <c r="O8270" s="51"/>
    </row>
    <row r="8271">
      <c r="A8271" s="234"/>
      <c r="B8271" s="71"/>
      <c r="C8271" s="79" t="s">
        <v>32570</v>
      </c>
      <c r="D8271" s="82"/>
      <c r="E8271" s="63" t="s">
        <v>32571</v>
      </c>
      <c r="F8271" s="70">
        <v>42143.0</v>
      </c>
      <c r="G8271" s="63" t="s">
        <v>32572</v>
      </c>
      <c r="H8271" s="80" t="s">
        <v>32573</v>
      </c>
      <c r="I8271" s="82"/>
      <c r="J8271" s="63" t="s">
        <v>136</v>
      </c>
      <c r="K8271" s="81">
        <v>44532.0</v>
      </c>
      <c r="L8271" s="80" t="s">
        <v>2743</v>
      </c>
      <c r="M8271" s="80" t="s">
        <v>32574</v>
      </c>
      <c r="N8271" s="116"/>
      <c r="O8271" s="51"/>
    </row>
    <row r="8272">
      <c r="A8272" s="273"/>
      <c r="B8272" s="71"/>
      <c r="C8272" s="69" t="s">
        <v>32575</v>
      </c>
      <c r="D8272" s="71"/>
      <c r="E8272" s="68" t="s">
        <v>32576</v>
      </c>
      <c r="F8272" s="76">
        <v>44505.0</v>
      </c>
      <c r="G8272" s="68" t="s">
        <v>32577</v>
      </c>
      <c r="H8272" s="68" t="s">
        <v>32578</v>
      </c>
      <c r="I8272" s="71"/>
      <c r="J8272" s="68" t="s">
        <v>32579</v>
      </c>
      <c r="K8272" s="76">
        <v>44532.0</v>
      </c>
      <c r="L8272" s="68" t="s">
        <v>2743</v>
      </c>
      <c r="M8272" s="68" t="s">
        <v>32580</v>
      </c>
      <c r="N8272" s="116"/>
      <c r="O8272" s="51"/>
    </row>
    <row r="8273">
      <c r="A8273" s="273"/>
      <c r="B8273" s="71"/>
      <c r="C8273" s="69" t="s">
        <v>32581</v>
      </c>
      <c r="D8273" s="71"/>
      <c r="E8273" s="68" t="s">
        <v>32582</v>
      </c>
      <c r="F8273" s="76">
        <v>44505.0</v>
      </c>
      <c r="G8273" s="68" t="s">
        <v>32577</v>
      </c>
      <c r="H8273" s="68" t="s">
        <v>32583</v>
      </c>
      <c r="I8273" s="71"/>
      <c r="J8273" s="68" t="s">
        <v>32584</v>
      </c>
      <c r="K8273" s="76">
        <v>44532.0</v>
      </c>
      <c r="L8273" s="68" t="s">
        <v>2743</v>
      </c>
      <c r="M8273" s="68" t="s">
        <v>32580</v>
      </c>
      <c r="N8273" s="116"/>
      <c r="O8273" s="51"/>
    </row>
    <row r="8274">
      <c r="A8274" s="234"/>
      <c r="B8274" s="71"/>
      <c r="C8274" s="79" t="s">
        <v>32585</v>
      </c>
      <c r="D8274" s="82"/>
      <c r="E8274" s="63" t="s">
        <v>32586</v>
      </c>
      <c r="F8274" s="70">
        <v>43680.0</v>
      </c>
      <c r="G8274" s="63" t="s">
        <v>32587</v>
      </c>
      <c r="H8274" s="80" t="s">
        <v>32588</v>
      </c>
      <c r="I8274" s="82"/>
      <c r="J8274" s="63" t="s">
        <v>136</v>
      </c>
      <c r="K8274" s="81">
        <v>44532.0</v>
      </c>
      <c r="L8274" s="80" t="s">
        <v>2743</v>
      </c>
      <c r="M8274" s="80" t="s">
        <v>32175</v>
      </c>
      <c r="N8274" s="116"/>
      <c r="O8274" s="51"/>
    </row>
    <row r="8275">
      <c r="A8275" s="273"/>
      <c r="B8275" s="71"/>
      <c r="C8275" s="69" t="s">
        <v>32589</v>
      </c>
      <c r="D8275" s="71"/>
      <c r="E8275" s="68" t="s">
        <v>32590</v>
      </c>
      <c r="F8275" s="83">
        <v>44530.0</v>
      </c>
      <c r="G8275" s="68" t="s">
        <v>32591</v>
      </c>
      <c r="H8275" s="68" t="s">
        <v>32592</v>
      </c>
      <c r="I8275" s="71"/>
      <c r="J8275" s="68" t="s">
        <v>32593</v>
      </c>
      <c r="K8275" s="76">
        <v>44536.0</v>
      </c>
      <c r="L8275" s="68" t="s">
        <v>2743</v>
      </c>
      <c r="M8275" s="68" t="s">
        <v>2527</v>
      </c>
      <c r="N8275" s="116"/>
      <c r="O8275" s="51"/>
    </row>
    <row r="8276">
      <c r="A8276" s="234"/>
      <c r="B8276" s="71"/>
      <c r="C8276" s="79" t="s">
        <v>32594</v>
      </c>
      <c r="D8276" s="82"/>
      <c r="E8276" s="63" t="s">
        <v>32595</v>
      </c>
      <c r="F8276" s="65">
        <v>41966.0</v>
      </c>
      <c r="G8276" s="63" t="s">
        <v>32596</v>
      </c>
      <c r="H8276" s="80" t="s">
        <v>32597</v>
      </c>
      <c r="I8276" s="82"/>
      <c r="J8276" s="63" t="s">
        <v>136</v>
      </c>
      <c r="K8276" s="81">
        <v>44536.0</v>
      </c>
      <c r="L8276" s="80" t="s">
        <v>2743</v>
      </c>
      <c r="M8276" s="80" t="s">
        <v>27994</v>
      </c>
      <c r="N8276" s="116"/>
      <c r="O8276" s="51"/>
    </row>
    <row r="8277">
      <c r="A8277" s="234"/>
      <c r="B8277" s="71"/>
      <c r="C8277" s="79" t="s">
        <v>32598</v>
      </c>
      <c r="D8277" s="82"/>
      <c r="E8277" s="63" t="s">
        <v>32599</v>
      </c>
      <c r="F8277" s="70">
        <v>41751.0</v>
      </c>
      <c r="G8277" s="63" t="s">
        <v>32600</v>
      </c>
      <c r="H8277" s="80" t="s">
        <v>32601</v>
      </c>
      <c r="I8277" s="82"/>
      <c r="J8277" s="63" t="s">
        <v>136</v>
      </c>
      <c r="K8277" s="81">
        <v>44536.0</v>
      </c>
      <c r="L8277" s="80" t="s">
        <v>2743</v>
      </c>
      <c r="M8277" s="80" t="s">
        <v>125</v>
      </c>
      <c r="N8277" s="116"/>
      <c r="O8277" s="51"/>
    </row>
    <row r="8278">
      <c r="A8278" s="234"/>
      <c r="B8278" s="71"/>
      <c r="C8278" s="79" t="s">
        <v>32602</v>
      </c>
      <c r="D8278" s="82"/>
      <c r="E8278" s="63" t="s">
        <v>32603</v>
      </c>
      <c r="F8278" s="70">
        <v>42116.0</v>
      </c>
      <c r="G8278" s="63" t="s">
        <v>32604</v>
      </c>
      <c r="H8278" s="80" t="s">
        <v>32605</v>
      </c>
      <c r="I8278" s="82"/>
      <c r="J8278" s="63" t="s">
        <v>136</v>
      </c>
      <c r="K8278" s="81">
        <v>44537.0</v>
      </c>
      <c r="L8278" s="80" t="s">
        <v>2743</v>
      </c>
      <c r="M8278" s="80" t="s">
        <v>32580</v>
      </c>
      <c r="N8278" s="116"/>
      <c r="O8278" s="51"/>
    </row>
    <row r="8279">
      <c r="A8279" s="234"/>
      <c r="B8279" s="71"/>
      <c r="C8279" s="79" t="s">
        <v>32606</v>
      </c>
      <c r="D8279" s="82"/>
      <c r="E8279" s="63" t="s">
        <v>32607</v>
      </c>
      <c r="F8279" s="65">
        <v>42292.0</v>
      </c>
      <c r="G8279" s="63" t="s">
        <v>32608</v>
      </c>
      <c r="H8279" s="80" t="s">
        <v>32609</v>
      </c>
      <c r="I8279" s="80" t="s">
        <v>32610</v>
      </c>
      <c r="J8279" s="63" t="s">
        <v>136</v>
      </c>
      <c r="K8279" s="81">
        <v>44537.0</v>
      </c>
      <c r="L8279" s="80" t="s">
        <v>2743</v>
      </c>
      <c r="M8279" s="80" t="s">
        <v>7530</v>
      </c>
      <c r="N8279" s="116"/>
      <c r="O8279" s="51"/>
    </row>
    <row r="8280">
      <c r="A8280" s="273"/>
      <c r="B8280" s="71"/>
      <c r="C8280" s="69" t="s">
        <v>32611</v>
      </c>
      <c r="D8280" s="71"/>
      <c r="E8280" s="68" t="s">
        <v>32612</v>
      </c>
      <c r="F8280" s="83">
        <v>44523.0</v>
      </c>
      <c r="G8280" s="68" t="s">
        <v>32613</v>
      </c>
      <c r="H8280" s="68" t="s">
        <v>32614</v>
      </c>
      <c r="I8280" s="71"/>
      <c r="J8280" s="68" t="s">
        <v>32615</v>
      </c>
      <c r="K8280" s="76">
        <v>44537.0</v>
      </c>
      <c r="L8280" s="68" t="s">
        <v>2743</v>
      </c>
      <c r="M8280" s="68" t="s">
        <v>32574</v>
      </c>
      <c r="N8280" s="116"/>
      <c r="O8280" s="51"/>
    </row>
    <row r="8281">
      <c r="A8281" s="234"/>
      <c r="B8281" s="71"/>
      <c r="C8281" s="79" t="s">
        <v>32616</v>
      </c>
      <c r="D8281" s="82"/>
      <c r="E8281" s="63" t="s">
        <v>32617</v>
      </c>
      <c r="F8281" s="70">
        <v>42958.0</v>
      </c>
      <c r="G8281" s="63" t="s">
        <v>32618</v>
      </c>
      <c r="H8281" s="80" t="s">
        <v>32619</v>
      </c>
      <c r="I8281" s="82"/>
      <c r="J8281" s="63" t="s">
        <v>136</v>
      </c>
      <c r="K8281" s="81">
        <v>44537.0</v>
      </c>
      <c r="L8281" s="80" t="s">
        <v>2743</v>
      </c>
      <c r="M8281" s="80" t="s">
        <v>32580</v>
      </c>
      <c r="N8281" s="116"/>
      <c r="O8281" s="51"/>
    </row>
    <row r="8282">
      <c r="A8282" s="234"/>
      <c r="B8282" s="71"/>
      <c r="C8282" s="79" t="s">
        <v>32620</v>
      </c>
      <c r="D8282" s="82"/>
      <c r="E8282" s="63" t="s">
        <v>32621</v>
      </c>
      <c r="F8282" s="65">
        <v>42318.0</v>
      </c>
      <c r="G8282" s="63" t="s">
        <v>32622</v>
      </c>
      <c r="H8282" s="80" t="s">
        <v>32623</v>
      </c>
      <c r="I8282" s="82"/>
      <c r="J8282" s="63" t="s">
        <v>136</v>
      </c>
      <c r="K8282" s="81">
        <v>44538.0</v>
      </c>
      <c r="L8282" s="80" t="s">
        <v>30692</v>
      </c>
      <c r="M8282" s="80" t="s">
        <v>542</v>
      </c>
      <c r="N8282" s="116"/>
      <c r="O8282" s="51"/>
    </row>
    <row r="8283">
      <c r="A8283" s="234"/>
      <c r="B8283" s="71"/>
      <c r="C8283" s="79" t="s">
        <v>32624</v>
      </c>
      <c r="D8283" s="82"/>
      <c r="E8283" s="63" t="s">
        <v>32625</v>
      </c>
      <c r="F8283" s="65">
        <v>43457.0</v>
      </c>
      <c r="G8283" s="63" t="s">
        <v>32626</v>
      </c>
      <c r="H8283" s="80" t="s">
        <v>32627</v>
      </c>
      <c r="I8283" s="82"/>
      <c r="J8283" s="63" t="s">
        <v>136</v>
      </c>
      <c r="K8283" s="81">
        <v>44538.0</v>
      </c>
      <c r="L8283" s="80" t="s">
        <v>30692</v>
      </c>
      <c r="M8283" s="80" t="s">
        <v>2152</v>
      </c>
      <c r="N8283" s="116"/>
      <c r="O8283" s="51"/>
    </row>
    <row r="8284">
      <c r="A8284" s="273"/>
      <c r="B8284" s="71"/>
      <c r="C8284" s="69" t="s">
        <v>32628</v>
      </c>
      <c r="D8284" s="71"/>
      <c r="E8284" s="68" t="s">
        <v>32629</v>
      </c>
      <c r="F8284" s="76">
        <v>43979.0</v>
      </c>
      <c r="G8284" s="68" t="s">
        <v>32630</v>
      </c>
      <c r="H8284" s="68" t="s">
        <v>32631</v>
      </c>
      <c r="I8284" s="71"/>
      <c r="J8284" s="68" t="s">
        <v>32632</v>
      </c>
      <c r="K8284" s="76">
        <v>44538.0</v>
      </c>
      <c r="L8284" s="68" t="s">
        <v>30692</v>
      </c>
      <c r="M8284" s="68" t="s">
        <v>22473</v>
      </c>
      <c r="N8284" s="116"/>
      <c r="O8284" s="51"/>
    </row>
    <row r="8285">
      <c r="A8285" s="234"/>
      <c r="B8285" s="71"/>
      <c r="C8285" s="79" t="s">
        <v>32633</v>
      </c>
      <c r="D8285" s="82"/>
      <c r="E8285" s="63" t="s">
        <v>32634</v>
      </c>
      <c r="F8285" s="70">
        <v>40018.0</v>
      </c>
      <c r="G8285" s="63" t="s">
        <v>32635</v>
      </c>
      <c r="H8285" s="80" t="s">
        <v>32636</v>
      </c>
      <c r="I8285" s="82"/>
      <c r="J8285" s="63" t="s">
        <v>136</v>
      </c>
      <c r="K8285" s="81">
        <v>44538.0</v>
      </c>
      <c r="L8285" s="80" t="s">
        <v>30692</v>
      </c>
      <c r="M8285" s="80" t="s">
        <v>2152</v>
      </c>
      <c r="N8285" s="116"/>
      <c r="O8285" s="51"/>
    </row>
    <row r="8286">
      <c r="A8286" s="234"/>
      <c r="B8286" s="71"/>
      <c r="C8286" s="79" t="s">
        <v>32637</v>
      </c>
      <c r="D8286" s="82"/>
      <c r="E8286" s="63" t="s">
        <v>32638</v>
      </c>
      <c r="F8286" s="70">
        <v>41392.0</v>
      </c>
      <c r="G8286" s="63" t="s">
        <v>32639</v>
      </c>
      <c r="H8286" s="80" t="s">
        <v>32640</v>
      </c>
      <c r="I8286" s="82"/>
      <c r="J8286" s="63" t="s">
        <v>136</v>
      </c>
      <c r="K8286" s="81">
        <v>44538.0</v>
      </c>
      <c r="L8286" s="80" t="s">
        <v>30692</v>
      </c>
      <c r="M8286" s="80" t="s">
        <v>166</v>
      </c>
      <c r="N8286" s="116"/>
      <c r="O8286" s="51"/>
    </row>
    <row r="8287">
      <c r="A8287" s="234"/>
      <c r="B8287" s="71"/>
      <c r="C8287" s="79" t="s">
        <v>32641</v>
      </c>
      <c r="D8287" s="82"/>
      <c r="E8287" s="63" t="s">
        <v>32642</v>
      </c>
      <c r="F8287" s="70">
        <v>44269.0</v>
      </c>
      <c r="G8287" s="63" t="s">
        <v>32643</v>
      </c>
      <c r="H8287" s="80" t="s">
        <v>32644</v>
      </c>
      <c r="I8287" s="82"/>
      <c r="J8287" s="63" t="s">
        <v>136</v>
      </c>
      <c r="K8287" s="81">
        <v>44538.0</v>
      </c>
      <c r="L8287" s="80" t="s">
        <v>30692</v>
      </c>
      <c r="M8287" s="80" t="s">
        <v>542</v>
      </c>
      <c r="N8287" s="116"/>
      <c r="O8287" s="51"/>
    </row>
    <row r="8288">
      <c r="A8288" s="273"/>
      <c r="B8288" s="71"/>
      <c r="C8288" s="69" t="s">
        <v>32645</v>
      </c>
      <c r="D8288" s="71"/>
      <c r="E8288" s="68" t="s">
        <v>32646</v>
      </c>
      <c r="F8288" s="76">
        <v>44287.0</v>
      </c>
      <c r="G8288" s="68" t="s">
        <v>32647</v>
      </c>
      <c r="H8288" s="68" t="s">
        <v>32648</v>
      </c>
      <c r="I8288" s="71"/>
      <c r="J8288" s="68" t="s">
        <v>32649</v>
      </c>
      <c r="K8288" s="76">
        <v>44538.0</v>
      </c>
      <c r="L8288" s="68" t="s">
        <v>30692</v>
      </c>
      <c r="M8288" s="68" t="s">
        <v>22473</v>
      </c>
      <c r="N8288" s="116"/>
      <c r="O8288" s="51"/>
    </row>
    <row r="8289">
      <c r="A8289" s="273"/>
      <c r="B8289" s="71"/>
      <c r="C8289" s="69" t="s">
        <v>32650</v>
      </c>
      <c r="D8289" s="71"/>
      <c r="E8289" s="68" t="s">
        <v>32651</v>
      </c>
      <c r="F8289" s="76">
        <v>43330.0</v>
      </c>
      <c r="G8289" s="68" t="s">
        <v>32652</v>
      </c>
      <c r="H8289" s="68" t="s">
        <v>32653</v>
      </c>
      <c r="I8289" s="71"/>
      <c r="J8289" s="68" t="s">
        <v>32654</v>
      </c>
      <c r="K8289" s="76">
        <v>44538.0</v>
      </c>
      <c r="L8289" s="68" t="s">
        <v>30692</v>
      </c>
      <c r="M8289" s="68" t="s">
        <v>542</v>
      </c>
      <c r="N8289" s="116"/>
      <c r="O8289" s="51"/>
    </row>
    <row r="8290">
      <c r="A8290" s="234"/>
      <c r="B8290" s="71"/>
      <c r="C8290" s="79" t="s">
        <v>32655</v>
      </c>
      <c r="D8290" s="82"/>
      <c r="E8290" s="63" t="s">
        <v>32656</v>
      </c>
      <c r="F8290" s="70">
        <v>43983.0</v>
      </c>
      <c r="G8290" s="63" t="s">
        <v>32657</v>
      </c>
      <c r="H8290" s="80" t="s">
        <v>32658</v>
      </c>
      <c r="I8290" s="82"/>
      <c r="J8290" s="63" t="s">
        <v>136</v>
      </c>
      <c r="K8290" s="81">
        <v>44539.0</v>
      </c>
      <c r="L8290" s="80" t="s">
        <v>30692</v>
      </c>
      <c r="M8290" s="80" t="s">
        <v>22473</v>
      </c>
      <c r="N8290" s="116"/>
      <c r="O8290" s="51"/>
    </row>
    <row r="8291">
      <c r="A8291" s="234"/>
      <c r="B8291" s="71"/>
      <c r="C8291" s="79" t="s">
        <v>32659</v>
      </c>
      <c r="D8291" s="82"/>
      <c r="E8291" s="63" t="s">
        <v>32660</v>
      </c>
      <c r="F8291" s="70">
        <v>41222.0</v>
      </c>
      <c r="G8291" s="63" t="s">
        <v>32661</v>
      </c>
      <c r="H8291" s="80" t="s">
        <v>439</v>
      </c>
      <c r="I8291" s="82"/>
      <c r="J8291" s="63" t="s">
        <v>136</v>
      </c>
      <c r="K8291" s="81">
        <v>44539.0</v>
      </c>
      <c r="L8291" s="80" t="s">
        <v>30692</v>
      </c>
      <c r="M8291" s="80" t="s">
        <v>27994</v>
      </c>
      <c r="N8291" s="116"/>
      <c r="O8291" s="51"/>
    </row>
    <row r="8292">
      <c r="A8292" s="273"/>
      <c r="B8292" s="71"/>
      <c r="C8292" s="69" t="s">
        <v>32662</v>
      </c>
      <c r="D8292" s="71"/>
      <c r="E8292" s="68" t="s">
        <v>32663</v>
      </c>
      <c r="F8292" s="76">
        <v>44009.0</v>
      </c>
      <c r="G8292" s="68" t="s">
        <v>32664</v>
      </c>
      <c r="H8292" s="68" t="s">
        <v>32665</v>
      </c>
      <c r="I8292" s="71"/>
      <c r="J8292" s="68" t="s">
        <v>32666</v>
      </c>
      <c r="K8292" s="76">
        <v>44539.0</v>
      </c>
      <c r="L8292" s="68" t="s">
        <v>30692</v>
      </c>
      <c r="M8292" s="68" t="s">
        <v>22473</v>
      </c>
      <c r="N8292" s="116"/>
      <c r="O8292" s="51"/>
    </row>
    <row r="8293">
      <c r="A8293" s="234"/>
      <c r="B8293" s="71"/>
      <c r="C8293" s="79" t="s">
        <v>32667</v>
      </c>
      <c r="D8293" s="82"/>
      <c r="E8293" s="63" t="s">
        <v>32668</v>
      </c>
      <c r="F8293" s="70">
        <v>44232.0</v>
      </c>
      <c r="G8293" s="63" t="s">
        <v>32669</v>
      </c>
      <c r="H8293" s="80" t="s">
        <v>32670</v>
      </c>
      <c r="I8293" s="82"/>
      <c r="J8293" s="63" t="s">
        <v>136</v>
      </c>
      <c r="K8293" s="81">
        <v>44539.0</v>
      </c>
      <c r="L8293" s="80" t="s">
        <v>30692</v>
      </c>
      <c r="M8293" s="80" t="s">
        <v>32671</v>
      </c>
      <c r="N8293" s="116"/>
      <c r="O8293" s="51"/>
    </row>
    <row r="8294">
      <c r="A8294" s="273"/>
      <c r="B8294" s="71"/>
      <c r="C8294" s="69" t="s">
        <v>32672</v>
      </c>
      <c r="D8294" s="71"/>
      <c r="E8294" s="68" t="s">
        <v>32673</v>
      </c>
      <c r="F8294" s="76">
        <v>43910.0</v>
      </c>
      <c r="G8294" s="68" t="s">
        <v>32674</v>
      </c>
      <c r="H8294" s="68" t="s">
        <v>32675</v>
      </c>
      <c r="I8294" s="71"/>
      <c r="J8294" s="68" t="s">
        <v>32676</v>
      </c>
      <c r="K8294" s="76">
        <v>44539.0</v>
      </c>
      <c r="L8294" s="68" t="s">
        <v>30692</v>
      </c>
      <c r="M8294" s="68" t="s">
        <v>22473</v>
      </c>
      <c r="N8294" s="116"/>
      <c r="O8294" s="51"/>
    </row>
    <row r="8295">
      <c r="A8295" s="273"/>
      <c r="B8295" s="71"/>
      <c r="C8295" s="69" t="s">
        <v>32677</v>
      </c>
      <c r="D8295" s="71"/>
      <c r="E8295" s="68" t="s">
        <v>32678</v>
      </c>
      <c r="F8295" s="76">
        <v>44022.0</v>
      </c>
      <c r="G8295" s="68" t="s">
        <v>32679</v>
      </c>
      <c r="H8295" s="68" t="s">
        <v>32680</v>
      </c>
      <c r="I8295" s="71"/>
      <c r="J8295" s="68" t="s">
        <v>32681</v>
      </c>
      <c r="K8295" s="76">
        <v>44539.0</v>
      </c>
      <c r="L8295" s="68" t="s">
        <v>30692</v>
      </c>
      <c r="M8295" s="68" t="s">
        <v>22473</v>
      </c>
      <c r="N8295" s="116"/>
      <c r="O8295" s="51"/>
    </row>
    <row r="8296">
      <c r="A8296" s="234"/>
      <c r="B8296" s="71"/>
      <c r="C8296" s="79" t="s">
        <v>32682</v>
      </c>
      <c r="D8296" s="82"/>
      <c r="E8296" s="63" t="s">
        <v>32683</v>
      </c>
      <c r="F8296" s="65">
        <v>42669.0</v>
      </c>
      <c r="G8296" s="63" t="s">
        <v>32684</v>
      </c>
      <c r="H8296" s="80" t="s">
        <v>439</v>
      </c>
      <c r="I8296" s="82"/>
      <c r="J8296" s="63" t="s">
        <v>136</v>
      </c>
      <c r="K8296" s="98">
        <v>44540.0</v>
      </c>
      <c r="L8296" s="80" t="s">
        <v>30692</v>
      </c>
      <c r="M8296" s="80" t="s">
        <v>941</v>
      </c>
      <c r="N8296" s="116"/>
      <c r="O8296" s="51"/>
    </row>
    <row r="8297">
      <c r="A8297" s="234"/>
      <c r="B8297" s="71"/>
      <c r="C8297" s="79" t="s">
        <v>32685</v>
      </c>
      <c r="D8297" s="82"/>
      <c r="E8297" s="63" t="s">
        <v>32686</v>
      </c>
      <c r="F8297" s="70">
        <v>40341.0</v>
      </c>
      <c r="G8297" s="63" t="s">
        <v>32687</v>
      </c>
      <c r="H8297" s="80" t="s">
        <v>32688</v>
      </c>
      <c r="I8297" s="82"/>
      <c r="J8297" s="63" t="s">
        <v>136</v>
      </c>
      <c r="K8297" s="98">
        <v>44540.0</v>
      </c>
      <c r="L8297" s="80" t="s">
        <v>30692</v>
      </c>
      <c r="M8297" s="80" t="s">
        <v>19459</v>
      </c>
      <c r="N8297" s="116"/>
      <c r="O8297" s="51"/>
    </row>
    <row r="8298">
      <c r="A8298" s="234"/>
      <c r="B8298" s="71"/>
      <c r="C8298" s="79" t="s">
        <v>32689</v>
      </c>
      <c r="D8298" s="82"/>
      <c r="E8298" s="63" t="s">
        <v>32690</v>
      </c>
      <c r="F8298" s="70">
        <v>44204.0</v>
      </c>
      <c r="G8298" s="63" t="s">
        <v>32691</v>
      </c>
      <c r="H8298" s="80" t="s">
        <v>32692</v>
      </c>
      <c r="I8298" s="82"/>
      <c r="J8298" s="63" t="s">
        <v>136</v>
      </c>
      <c r="K8298" s="98">
        <v>44540.0</v>
      </c>
      <c r="L8298" s="80" t="s">
        <v>30692</v>
      </c>
      <c r="M8298" s="80" t="s">
        <v>22473</v>
      </c>
      <c r="N8298" s="116"/>
      <c r="O8298" s="51"/>
    </row>
    <row r="8299">
      <c r="A8299" s="273"/>
      <c r="B8299" s="71"/>
      <c r="C8299" s="69" t="s">
        <v>32693</v>
      </c>
      <c r="D8299" s="71"/>
      <c r="E8299" s="68" t="s">
        <v>32694</v>
      </c>
      <c r="F8299" s="76">
        <v>43910.0</v>
      </c>
      <c r="G8299" s="68" t="s">
        <v>32695</v>
      </c>
      <c r="H8299" s="68" t="s">
        <v>32696</v>
      </c>
      <c r="I8299" s="71"/>
      <c r="J8299" s="68" t="s">
        <v>32697</v>
      </c>
      <c r="K8299" s="83">
        <v>44540.0</v>
      </c>
      <c r="L8299" s="68" t="s">
        <v>30692</v>
      </c>
      <c r="M8299" s="68" t="s">
        <v>22473</v>
      </c>
      <c r="N8299" s="116"/>
      <c r="O8299" s="51"/>
    </row>
    <row r="8300">
      <c r="A8300" s="234"/>
      <c r="B8300" s="71"/>
      <c r="C8300" s="79" t="s">
        <v>32698</v>
      </c>
      <c r="D8300" s="82"/>
      <c r="E8300" s="63" t="s">
        <v>32699</v>
      </c>
      <c r="F8300" s="70">
        <v>39954.0</v>
      </c>
      <c r="G8300" s="63" t="s">
        <v>32700</v>
      </c>
      <c r="H8300" s="80" t="s">
        <v>32701</v>
      </c>
      <c r="I8300" s="82"/>
      <c r="J8300" s="63" t="s">
        <v>136</v>
      </c>
      <c r="K8300" s="98">
        <v>44540.0</v>
      </c>
      <c r="L8300" s="80" t="s">
        <v>30692</v>
      </c>
      <c r="M8300" s="80" t="s">
        <v>125</v>
      </c>
      <c r="N8300" s="116"/>
      <c r="O8300" s="51"/>
    </row>
    <row r="8301">
      <c r="A8301" s="234"/>
      <c r="B8301" s="71"/>
      <c r="C8301" s="79" t="s">
        <v>32702</v>
      </c>
      <c r="D8301" s="82"/>
      <c r="E8301" s="80" t="s">
        <v>32703</v>
      </c>
      <c r="F8301" s="81">
        <v>41791.0</v>
      </c>
      <c r="G8301" s="80" t="s">
        <v>32704</v>
      </c>
      <c r="H8301" s="80" t="s">
        <v>32705</v>
      </c>
      <c r="I8301" s="280"/>
      <c r="J8301" s="80" t="s">
        <v>136</v>
      </c>
      <c r="K8301" s="98">
        <v>44540.0</v>
      </c>
      <c r="L8301" s="80" t="s">
        <v>30692</v>
      </c>
      <c r="M8301" s="80" t="s">
        <v>22473</v>
      </c>
      <c r="N8301" s="116"/>
      <c r="O8301" s="51"/>
    </row>
    <row r="8302">
      <c r="A8302" s="234"/>
      <c r="B8302" s="71"/>
      <c r="C8302" s="79" t="s">
        <v>32706</v>
      </c>
      <c r="D8302" s="82"/>
      <c r="E8302" s="80" t="s">
        <v>32707</v>
      </c>
      <c r="F8302" s="81">
        <v>42118.0</v>
      </c>
      <c r="G8302" s="80" t="s">
        <v>32708</v>
      </c>
      <c r="H8302" s="80" t="s">
        <v>32709</v>
      </c>
      <c r="I8302" s="280"/>
      <c r="J8302" s="80" t="s">
        <v>136</v>
      </c>
      <c r="K8302" s="98">
        <v>44540.0</v>
      </c>
      <c r="L8302" s="80" t="s">
        <v>30692</v>
      </c>
      <c r="M8302" s="80" t="s">
        <v>18616</v>
      </c>
      <c r="N8302" s="116"/>
      <c r="O8302" s="51"/>
    </row>
    <row r="8303">
      <c r="A8303" s="273"/>
      <c r="B8303" s="71"/>
      <c r="C8303" s="69" t="s">
        <v>32710</v>
      </c>
      <c r="D8303" s="71"/>
      <c r="E8303" s="68" t="s">
        <v>32711</v>
      </c>
      <c r="F8303" s="76">
        <v>43956.0</v>
      </c>
      <c r="G8303" s="68" t="s">
        <v>32712</v>
      </c>
      <c r="H8303" s="68" t="s">
        <v>32713</v>
      </c>
      <c r="I8303" s="281"/>
      <c r="J8303" s="68" t="s">
        <v>32714</v>
      </c>
      <c r="K8303" s="83">
        <v>44540.0</v>
      </c>
      <c r="L8303" s="68" t="s">
        <v>30692</v>
      </c>
      <c r="M8303" s="68" t="s">
        <v>22473</v>
      </c>
      <c r="N8303" s="116"/>
      <c r="O8303" s="51"/>
    </row>
    <row r="8304">
      <c r="A8304" s="234"/>
      <c r="B8304" s="71"/>
      <c r="C8304" s="79" t="s">
        <v>32715</v>
      </c>
      <c r="D8304" s="82"/>
      <c r="E8304" s="80" t="s">
        <v>32716</v>
      </c>
      <c r="F8304" s="81">
        <v>41684.0</v>
      </c>
      <c r="G8304" s="80" t="s">
        <v>32717</v>
      </c>
      <c r="H8304" s="80" t="s">
        <v>32718</v>
      </c>
      <c r="I8304" s="280"/>
      <c r="J8304" s="80" t="s">
        <v>136</v>
      </c>
      <c r="K8304" s="98">
        <v>44540.0</v>
      </c>
      <c r="L8304" s="80" t="s">
        <v>30692</v>
      </c>
      <c r="M8304" s="80" t="s">
        <v>166</v>
      </c>
      <c r="N8304" s="116"/>
      <c r="O8304" s="51"/>
    </row>
    <row r="8305">
      <c r="A8305" s="273"/>
      <c r="B8305" s="71"/>
      <c r="C8305" s="69" t="s">
        <v>32719</v>
      </c>
      <c r="D8305" s="71"/>
      <c r="E8305" s="68" t="s">
        <v>32720</v>
      </c>
      <c r="F8305" s="83">
        <v>44528.0</v>
      </c>
      <c r="G8305" s="68" t="s">
        <v>32721</v>
      </c>
      <c r="H8305" s="68" t="s">
        <v>32722</v>
      </c>
      <c r="I8305" s="71"/>
      <c r="J8305" s="68" t="s">
        <v>32723</v>
      </c>
      <c r="K8305" s="83">
        <v>44540.0</v>
      </c>
      <c r="L8305" s="68" t="s">
        <v>2743</v>
      </c>
      <c r="M8305" s="68" t="s">
        <v>143</v>
      </c>
      <c r="N8305" s="116"/>
      <c r="O8305" s="51"/>
    </row>
    <row r="8306">
      <c r="A8306" s="273"/>
      <c r="B8306" s="71"/>
      <c r="C8306" s="69" t="s">
        <v>32724</v>
      </c>
      <c r="D8306" s="71"/>
      <c r="E8306" s="68" t="s">
        <v>32725</v>
      </c>
      <c r="F8306" s="76">
        <v>44532.0</v>
      </c>
      <c r="G8306" s="68" t="s">
        <v>32726</v>
      </c>
      <c r="H8306" s="68" t="s">
        <v>32727</v>
      </c>
      <c r="I8306" s="71"/>
      <c r="J8306" s="68" t="s">
        <v>32728</v>
      </c>
      <c r="K8306" s="83">
        <v>44546.0</v>
      </c>
      <c r="L8306" s="68" t="s">
        <v>2743</v>
      </c>
      <c r="M8306" s="68" t="s">
        <v>1910</v>
      </c>
      <c r="N8306" s="116"/>
      <c r="O8306" s="51"/>
    </row>
    <row r="8307">
      <c r="A8307" s="234"/>
      <c r="B8307" s="71"/>
      <c r="C8307" s="79" t="s">
        <v>32729</v>
      </c>
      <c r="D8307" s="82"/>
      <c r="E8307" s="63" t="s">
        <v>32730</v>
      </c>
      <c r="F8307" s="70">
        <v>40026.0</v>
      </c>
      <c r="G8307" s="63" t="s">
        <v>32731</v>
      </c>
      <c r="H8307" s="80" t="s">
        <v>32732</v>
      </c>
      <c r="I8307" s="82"/>
      <c r="J8307" s="80" t="s">
        <v>136</v>
      </c>
      <c r="K8307" s="98">
        <v>44546.0</v>
      </c>
      <c r="L8307" s="80" t="s">
        <v>2743</v>
      </c>
      <c r="M8307" s="80" t="s">
        <v>530</v>
      </c>
      <c r="N8307" s="116"/>
      <c r="O8307" s="51"/>
    </row>
    <row r="8308">
      <c r="A8308" s="234"/>
      <c r="B8308" s="71"/>
      <c r="C8308" s="79" t="s">
        <v>32733</v>
      </c>
      <c r="D8308" s="82"/>
      <c r="E8308" s="63" t="s">
        <v>32734</v>
      </c>
      <c r="F8308" s="65">
        <v>44530.0</v>
      </c>
      <c r="G8308" s="63" t="s">
        <v>32735</v>
      </c>
      <c r="H8308" s="80" t="s">
        <v>32736</v>
      </c>
      <c r="I8308" s="82"/>
      <c r="J8308" s="80" t="s">
        <v>136</v>
      </c>
      <c r="K8308" s="98">
        <v>44546.0</v>
      </c>
      <c r="L8308" s="80" t="s">
        <v>2743</v>
      </c>
      <c r="M8308" s="80" t="s">
        <v>31</v>
      </c>
      <c r="N8308" s="116"/>
      <c r="O8308" s="51"/>
    </row>
    <row r="8309">
      <c r="A8309" s="273"/>
      <c r="B8309" s="71"/>
      <c r="C8309" s="69" t="s">
        <v>32737</v>
      </c>
      <c r="D8309" s="71"/>
      <c r="E8309" s="68" t="s">
        <v>32738</v>
      </c>
      <c r="F8309" s="83">
        <v>44541.0</v>
      </c>
      <c r="G8309" s="68" t="s">
        <v>32739</v>
      </c>
      <c r="H8309" s="68" t="s">
        <v>32740</v>
      </c>
      <c r="I8309" s="71"/>
      <c r="J8309" s="68" t="s">
        <v>32741</v>
      </c>
      <c r="K8309" s="83">
        <v>44546.0</v>
      </c>
      <c r="L8309" s="68" t="s">
        <v>2743</v>
      </c>
      <c r="M8309" s="68" t="s">
        <v>166</v>
      </c>
      <c r="N8309" s="116"/>
      <c r="O8309" s="51"/>
    </row>
    <row r="8310">
      <c r="A8310" s="234"/>
      <c r="B8310" s="71"/>
      <c r="C8310" s="79" t="s">
        <v>32742</v>
      </c>
      <c r="D8310" s="82"/>
      <c r="E8310" s="63" t="s">
        <v>32743</v>
      </c>
      <c r="F8310" s="70">
        <v>44532.0</v>
      </c>
      <c r="G8310" s="63" t="s">
        <v>32744</v>
      </c>
      <c r="H8310" s="80" t="s">
        <v>32745</v>
      </c>
      <c r="I8310" s="82"/>
      <c r="J8310" s="80" t="s">
        <v>136</v>
      </c>
      <c r="K8310" s="98">
        <v>44552.0</v>
      </c>
      <c r="L8310" s="80" t="s">
        <v>2743</v>
      </c>
      <c r="M8310" s="80" t="s">
        <v>31</v>
      </c>
      <c r="N8310" s="116"/>
      <c r="O8310" s="51"/>
    </row>
    <row r="8311">
      <c r="A8311" s="234"/>
      <c r="B8311" s="71"/>
      <c r="C8311" s="79" t="s">
        <v>32746</v>
      </c>
      <c r="D8311" s="82"/>
      <c r="E8311" s="63" t="s">
        <v>32747</v>
      </c>
      <c r="F8311" s="70">
        <v>44296.0</v>
      </c>
      <c r="G8311" s="63" t="s">
        <v>32748</v>
      </c>
      <c r="H8311" s="80" t="s">
        <v>32740</v>
      </c>
      <c r="I8311" s="82"/>
      <c r="J8311" s="80" t="s">
        <v>136</v>
      </c>
      <c r="K8311" s="98">
        <v>44552.0</v>
      </c>
      <c r="L8311" s="80" t="s">
        <v>2743</v>
      </c>
      <c r="M8311" s="80" t="s">
        <v>166</v>
      </c>
      <c r="N8311" s="116"/>
      <c r="O8311" s="51"/>
    </row>
    <row r="8312">
      <c r="A8312" s="234"/>
      <c r="B8312" s="71"/>
      <c r="C8312" s="79" t="s">
        <v>32749</v>
      </c>
      <c r="D8312" s="82"/>
      <c r="E8312" s="63" t="s">
        <v>32750</v>
      </c>
      <c r="F8312" s="70">
        <v>40914.0</v>
      </c>
      <c r="G8312" s="63" t="s">
        <v>32751</v>
      </c>
      <c r="H8312" s="80" t="s">
        <v>439</v>
      </c>
      <c r="I8312" s="82"/>
      <c r="J8312" s="80" t="s">
        <v>136</v>
      </c>
      <c r="K8312" s="98">
        <v>44552.0</v>
      </c>
      <c r="L8312" s="80" t="s">
        <v>2743</v>
      </c>
      <c r="M8312" s="80" t="s">
        <v>31</v>
      </c>
      <c r="N8312" s="116"/>
      <c r="O8312" s="51"/>
    </row>
    <row r="8313">
      <c r="A8313" s="234"/>
      <c r="B8313" s="71"/>
      <c r="C8313" s="79" t="s">
        <v>32752</v>
      </c>
      <c r="D8313" s="82"/>
      <c r="E8313" s="63" t="s">
        <v>32753</v>
      </c>
      <c r="F8313" s="70">
        <v>44462.0</v>
      </c>
      <c r="G8313" s="63" t="s">
        <v>32754</v>
      </c>
      <c r="H8313" s="80" t="s">
        <v>32755</v>
      </c>
      <c r="I8313" s="82"/>
      <c r="J8313" s="80" t="s">
        <v>136</v>
      </c>
      <c r="K8313" s="98">
        <v>44552.0</v>
      </c>
      <c r="L8313" s="80" t="s">
        <v>2743</v>
      </c>
      <c r="M8313" s="80" t="s">
        <v>32175</v>
      </c>
      <c r="N8313" s="116"/>
      <c r="O8313" s="51"/>
    </row>
    <row r="8314">
      <c r="A8314" s="234"/>
      <c r="B8314" s="71"/>
      <c r="C8314" s="69" t="s">
        <v>32756</v>
      </c>
      <c r="D8314" s="71"/>
      <c r="E8314" s="68" t="s">
        <v>32757</v>
      </c>
      <c r="F8314" s="83">
        <v>44547.0</v>
      </c>
      <c r="G8314" s="68" t="s">
        <v>32758</v>
      </c>
      <c r="H8314" s="68" t="s">
        <v>32759</v>
      </c>
      <c r="I8314" s="71"/>
      <c r="J8314" s="68" t="s">
        <v>32760</v>
      </c>
      <c r="K8314" s="83">
        <v>44553.0</v>
      </c>
      <c r="L8314" s="68" t="s">
        <v>2743</v>
      </c>
      <c r="M8314" s="68" t="s">
        <v>10808</v>
      </c>
      <c r="N8314" s="116"/>
      <c r="O8314" s="51"/>
    </row>
    <row r="8315">
      <c r="A8315" s="273"/>
      <c r="B8315" s="71"/>
      <c r="C8315" s="69" t="s">
        <v>32761</v>
      </c>
      <c r="D8315" s="71"/>
      <c r="E8315" s="68" t="s">
        <v>32762</v>
      </c>
      <c r="F8315" s="83">
        <v>44547.0</v>
      </c>
      <c r="G8315" s="68" t="s">
        <v>32763</v>
      </c>
      <c r="H8315" s="68" t="s">
        <v>439</v>
      </c>
      <c r="I8315" s="71"/>
      <c r="J8315" s="68" t="s">
        <v>32764</v>
      </c>
      <c r="K8315" s="83">
        <v>44553.0</v>
      </c>
      <c r="L8315" s="68" t="s">
        <v>2743</v>
      </c>
      <c r="M8315" s="68" t="s">
        <v>18270</v>
      </c>
      <c r="N8315" s="116"/>
      <c r="O8315" s="51"/>
    </row>
    <row r="8316">
      <c r="A8316" s="273"/>
      <c r="B8316" s="71"/>
      <c r="C8316" s="69" t="s">
        <v>32765</v>
      </c>
      <c r="D8316" s="71"/>
      <c r="E8316" s="68" t="s">
        <v>32766</v>
      </c>
      <c r="F8316" s="83">
        <v>44545.0</v>
      </c>
      <c r="G8316" s="68" t="s">
        <v>32767</v>
      </c>
      <c r="H8316" s="68" t="s">
        <v>439</v>
      </c>
      <c r="I8316" s="71"/>
      <c r="J8316" s="68" t="s">
        <v>32768</v>
      </c>
      <c r="K8316" s="83">
        <v>44553.0</v>
      </c>
      <c r="L8316" s="68" t="s">
        <v>2743</v>
      </c>
      <c r="M8316" s="68" t="s">
        <v>32769</v>
      </c>
      <c r="N8316" s="116"/>
      <c r="O8316" s="51"/>
    </row>
    <row r="8317">
      <c r="A8317" s="273"/>
      <c r="B8317" s="71"/>
      <c r="C8317" s="69" t="s">
        <v>32770</v>
      </c>
      <c r="D8317" s="71"/>
      <c r="E8317" s="68" t="s">
        <v>32771</v>
      </c>
      <c r="F8317" s="76">
        <v>42846.0</v>
      </c>
      <c r="G8317" s="68" t="s">
        <v>32772</v>
      </c>
      <c r="H8317" s="68" t="s">
        <v>439</v>
      </c>
      <c r="I8317" s="71"/>
      <c r="J8317" s="68" t="s">
        <v>32773</v>
      </c>
      <c r="K8317" s="83">
        <v>44553.0</v>
      </c>
      <c r="L8317" s="68" t="s">
        <v>32774</v>
      </c>
      <c r="M8317" s="68" t="s">
        <v>27</v>
      </c>
      <c r="N8317" s="116"/>
      <c r="O8317" s="51"/>
    </row>
    <row r="8318">
      <c r="A8318" s="273"/>
      <c r="B8318" s="71"/>
      <c r="C8318" s="69" t="s">
        <v>32775</v>
      </c>
      <c r="D8318" s="71"/>
      <c r="E8318" s="68" t="s">
        <v>32776</v>
      </c>
      <c r="F8318" s="76">
        <v>42846.0</v>
      </c>
      <c r="G8318" s="68" t="s">
        <v>32772</v>
      </c>
      <c r="H8318" s="68" t="s">
        <v>439</v>
      </c>
      <c r="I8318" s="71"/>
      <c r="J8318" s="68" t="s">
        <v>32777</v>
      </c>
      <c r="K8318" s="83">
        <v>44918.0</v>
      </c>
      <c r="L8318" s="68" t="s">
        <v>32774</v>
      </c>
      <c r="M8318" s="68" t="s">
        <v>27</v>
      </c>
      <c r="N8318" s="116"/>
      <c r="O8318" s="51"/>
    </row>
    <row r="8319">
      <c r="A8319" s="273"/>
      <c r="B8319" s="71"/>
      <c r="C8319" s="69" t="s">
        <v>32778</v>
      </c>
      <c r="D8319" s="71"/>
      <c r="E8319" s="71"/>
      <c r="F8319" s="71"/>
      <c r="G8319" s="71"/>
      <c r="H8319" s="71"/>
      <c r="I8319" s="71"/>
      <c r="J8319" s="71"/>
      <c r="K8319" s="83">
        <v>45283.0</v>
      </c>
      <c r="L8319" s="68" t="s">
        <v>32774</v>
      </c>
      <c r="M8319" s="68" t="s">
        <v>27</v>
      </c>
      <c r="N8319" s="116"/>
      <c r="O8319" s="51"/>
    </row>
    <row r="8320">
      <c r="A8320" s="273"/>
      <c r="B8320" s="71"/>
      <c r="C8320" s="69" t="s">
        <v>32779</v>
      </c>
      <c r="D8320" s="71"/>
      <c r="E8320" s="68" t="s">
        <v>32780</v>
      </c>
      <c r="F8320" s="76">
        <v>42846.0</v>
      </c>
      <c r="G8320" s="68" t="s">
        <v>32772</v>
      </c>
      <c r="H8320" s="68" t="s">
        <v>439</v>
      </c>
      <c r="I8320" s="71"/>
      <c r="J8320" s="68" t="s">
        <v>32781</v>
      </c>
      <c r="K8320" s="83">
        <v>45649.0</v>
      </c>
      <c r="L8320" s="68" t="s">
        <v>32774</v>
      </c>
      <c r="M8320" s="68" t="s">
        <v>27</v>
      </c>
      <c r="N8320" s="116"/>
      <c r="O8320" s="51"/>
    </row>
    <row r="8321">
      <c r="A8321" s="273"/>
      <c r="B8321" s="71"/>
      <c r="C8321" s="69" t="s">
        <v>32782</v>
      </c>
      <c r="D8321" s="71"/>
      <c r="E8321" s="68" t="s">
        <v>32783</v>
      </c>
      <c r="F8321" s="76">
        <v>42846.0</v>
      </c>
      <c r="G8321" s="68" t="s">
        <v>32772</v>
      </c>
      <c r="H8321" s="68" t="s">
        <v>439</v>
      </c>
      <c r="I8321" s="71"/>
      <c r="J8321" s="68" t="s">
        <v>32784</v>
      </c>
      <c r="K8321" s="83">
        <v>46014.0</v>
      </c>
      <c r="L8321" s="68" t="s">
        <v>32774</v>
      </c>
      <c r="M8321" s="68" t="s">
        <v>27</v>
      </c>
      <c r="N8321" s="116"/>
      <c r="O8321" s="51"/>
    </row>
    <row r="8322">
      <c r="A8322" s="273"/>
      <c r="B8322" s="71"/>
      <c r="C8322" s="69" t="s">
        <v>32785</v>
      </c>
      <c r="D8322" s="71"/>
      <c r="E8322" s="68" t="s">
        <v>32786</v>
      </c>
      <c r="F8322" s="76">
        <v>42846.0</v>
      </c>
      <c r="G8322" s="68" t="s">
        <v>32772</v>
      </c>
      <c r="H8322" s="68" t="s">
        <v>439</v>
      </c>
      <c r="I8322" s="71"/>
      <c r="J8322" s="68" t="s">
        <v>32787</v>
      </c>
      <c r="K8322" s="83">
        <v>46379.0</v>
      </c>
      <c r="L8322" s="68" t="s">
        <v>32774</v>
      </c>
      <c r="M8322" s="68" t="s">
        <v>27</v>
      </c>
      <c r="N8322" s="116"/>
      <c r="O8322" s="51"/>
    </row>
    <row r="8323">
      <c r="A8323" s="273"/>
      <c r="B8323" s="71"/>
      <c r="C8323" s="69" t="s">
        <v>32788</v>
      </c>
      <c r="D8323" s="71"/>
      <c r="E8323" s="68" t="s">
        <v>32789</v>
      </c>
      <c r="F8323" s="76">
        <v>42846.0</v>
      </c>
      <c r="G8323" s="68" t="s">
        <v>32772</v>
      </c>
      <c r="H8323" s="71"/>
      <c r="I8323" s="71"/>
      <c r="J8323" s="68" t="s">
        <v>32790</v>
      </c>
      <c r="K8323" s="71"/>
      <c r="L8323" s="68" t="s">
        <v>32774</v>
      </c>
      <c r="M8323" s="68" t="s">
        <v>27</v>
      </c>
      <c r="N8323" s="116"/>
      <c r="O8323" s="51"/>
    </row>
    <row r="8324">
      <c r="A8324" s="273"/>
      <c r="B8324" s="71"/>
      <c r="C8324" s="69" t="s">
        <v>32791</v>
      </c>
      <c r="D8324" s="71"/>
      <c r="E8324" s="68" t="s">
        <v>32792</v>
      </c>
      <c r="F8324" s="76">
        <v>42846.0</v>
      </c>
      <c r="G8324" s="68" t="s">
        <v>32772</v>
      </c>
      <c r="H8324" s="71"/>
      <c r="I8324" s="71"/>
      <c r="J8324" s="68" t="s">
        <v>32793</v>
      </c>
      <c r="K8324" s="71"/>
      <c r="L8324" s="68" t="s">
        <v>32774</v>
      </c>
      <c r="M8324" s="68" t="s">
        <v>27</v>
      </c>
      <c r="N8324" s="116"/>
      <c r="O8324" s="51"/>
    </row>
    <row r="8325">
      <c r="A8325" s="273"/>
      <c r="B8325" s="71"/>
      <c r="C8325" s="69" t="s">
        <v>32794</v>
      </c>
      <c r="D8325" s="71"/>
      <c r="E8325" s="68" t="s">
        <v>32795</v>
      </c>
      <c r="F8325" s="76">
        <v>42892.0</v>
      </c>
      <c r="G8325" s="68" t="s">
        <v>32772</v>
      </c>
      <c r="H8325" s="71"/>
      <c r="I8325" s="71"/>
      <c r="J8325" s="68" t="s">
        <v>32796</v>
      </c>
      <c r="K8325" s="71"/>
      <c r="L8325" s="68" t="s">
        <v>32774</v>
      </c>
      <c r="M8325" s="68" t="s">
        <v>27</v>
      </c>
      <c r="N8325" s="116"/>
      <c r="O8325" s="51"/>
    </row>
    <row r="8326">
      <c r="A8326" s="273"/>
      <c r="B8326" s="71"/>
      <c r="C8326" s="69" t="s">
        <v>32797</v>
      </c>
      <c r="D8326" s="71"/>
      <c r="E8326" s="68" t="s">
        <v>32798</v>
      </c>
      <c r="F8326" s="76">
        <v>38403.0</v>
      </c>
      <c r="G8326" s="68" t="s">
        <v>32799</v>
      </c>
      <c r="H8326" s="71"/>
      <c r="I8326" s="71"/>
      <c r="J8326" s="68" t="s">
        <v>32800</v>
      </c>
      <c r="K8326" s="71"/>
      <c r="L8326" s="68" t="s">
        <v>32774</v>
      </c>
      <c r="M8326" s="68" t="s">
        <v>27</v>
      </c>
      <c r="N8326" s="116"/>
      <c r="O8326" s="51"/>
    </row>
    <row r="8327">
      <c r="A8327" s="273"/>
      <c r="B8327" s="71"/>
      <c r="C8327" s="69" t="s">
        <v>32801</v>
      </c>
      <c r="D8327" s="71"/>
      <c r="E8327" s="68" t="s">
        <v>32802</v>
      </c>
      <c r="F8327" s="76">
        <v>38768.0</v>
      </c>
      <c r="G8327" s="68" t="s">
        <v>32803</v>
      </c>
      <c r="H8327" s="71"/>
      <c r="I8327" s="71"/>
      <c r="J8327" s="68" t="s">
        <v>32804</v>
      </c>
      <c r="K8327" s="71"/>
      <c r="L8327" s="68" t="s">
        <v>32774</v>
      </c>
      <c r="M8327" s="68" t="s">
        <v>27</v>
      </c>
      <c r="N8327" s="116"/>
      <c r="O8327" s="51"/>
    </row>
    <row r="8328">
      <c r="A8328" s="273"/>
      <c r="B8328" s="71"/>
      <c r="C8328" s="69" t="s">
        <v>32805</v>
      </c>
      <c r="D8328" s="71"/>
      <c r="E8328" s="68" t="s">
        <v>32806</v>
      </c>
      <c r="F8328" s="76">
        <v>38768.0</v>
      </c>
      <c r="G8328" s="68" t="s">
        <v>32807</v>
      </c>
      <c r="H8328" s="71"/>
      <c r="I8328" s="71"/>
      <c r="J8328" s="68" t="s">
        <v>32808</v>
      </c>
      <c r="K8328" s="71"/>
      <c r="L8328" s="68" t="s">
        <v>32774</v>
      </c>
      <c r="M8328" s="68" t="s">
        <v>27</v>
      </c>
      <c r="N8328" s="116"/>
      <c r="O8328" s="51"/>
    </row>
    <row r="8329">
      <c r="A8329" s="273"/>
      <c r="B8329" s="71"/>
      <c r="C8329" s="69" t="s">
        <v>32809</v>
      </c>
      <c r="D8329" s="71"/>
      <c r="E8329" s="68" t="s">
        <v>32810</v>
      </c>
      <c r="F8329" s="76">
        <v>38768.0</v>
      </c>
      <c r="G8329" s="68" t="s">
        <v>32811</v>
      </c>
      <c r="H8329" s="71"/>
      <c r="I8329" s="71"/>
      <c r="J8329" s="68" t="s">
        <v>32812</v>
      </c>
      <c r="K8329" s="71"/>
      <c r="L8329" s="68" t="s">
        <v>32774</v>
      </c>
      <c r="M8329" s="68" t="s">
        <v>27</v>
      </c>
      <c r="N8329" s="116"/>
      <c r="O8329" s="51"/>
    </row>
    <row r="8330">
      <c r="A8330" s="273"/>
      <c r="B8330" s="71"/>
      <c r="C8330" s="69" t="s">
        <v>32813</v>
      </c>
      <c r="D8330" s="71"/>
      <c r="E8330" s="68" t="s">
        <v>32814</v>
      </c>
      <c r="F8330" s="83">
        <v>39840.0</v>
      </c>
      <c r="G8330" s="68" t="s">
        <v>32815</v>
      </c>
      <c r="H8330" s="71"/>
      <c r="I8330" s="71"/>
      <c r="J8330" s="68" t="s">
        <v>32816</v>
      </c>
      <c r="K8330" s="71"/>
      <c r="L8330" s="68" t="s">
        <v>32774</v>
      </c>
      <c r="M8330" s="68" t="s">
        <v>27</v>
      </c>
      <c r="N8330" s="116"/>
      <c r="O8330" s="51"/>
    </row>
    <row r="8331">
      <c r="A8331" s="273"/>
      <c r="B8331" s="71"/>
      <c r="C8331" s="69" t="s">
        <v>32817</v>
      </c>
      <c r="D8331" s="71"/>
      <c r="E8331" s="68" t="s">
        <v>32818</v>
      </c>
      <c r="F8331" s="76">
        <v>40183.0</v>
      </c>
      <c r="G8331" s="68" t="s">
        <v>32819</v>
      </c>
      <c r="H8331" s="71"/>
      <c r="I8331" s="71"/>
      <c r="J8331" s="68" t="s">
        <v>32820</v>
      </c>
      <c r="K8331" s="71"/>
      <c r="L8331" s="68" t="s">
        <v>32774</v>
      </c>
      <c r="M8331" s="68" t="s">
        <v>27</v>
      </c>
      <c r="N8331" s="116"/>
      <c r="O8331" s="51"/>
    </row>
    <row r="8332">
      <c r="A8332" s="273"/>
      <c r="B8332" s="71"/>
      <c r="C8332" s="69" t="s">
        <v>32821</v>
      </c>
      <c r="D8332" s="71"/>
      <c r="E8332" s="68" t="s">
        <v>32822</v>
      </c>
      <c r="F8332" s="76">
        <v>40730.0</v>
      </c>
      <c r="G8332" s="68" t="s">
        <v>32823</v>
      </c>
      <c r="H8332" s="71"/>
      <c r="I8332" s="71"/>
      <c r="J8332" s="68" t="s">
        <v>32824</v>
      </c>
      <c r="K8332" s="71"/>
      <c r="L8332" s="68" t="s">
        <v>32774</v>
      </c>
      <c r="M8332" s="68" t="s">
        <v>27</v>
      </c>
      <c r="N8332" s="116"/>
      <c r="O8332" s="51"/>
    </row>
    <row r="8333">
      <c r="A8333" s="273"/>
      <c r="B8333" s="71"/>
      <c r="C8333" s="69" t="s">
        <v>32825</v>
      </c>
      <c r="D8333" s="71"/>
      <c r="E8333" s="68" t="s">
        <v>32826</v>
      </c>
      <c r="F8333" s="83">
        <v>40721.0</v>
      </c>
      <c r="G8333" s="68" t="s">
        <v>32827</v>
      </c>
      <c r="H8333" s="71"/>
      <c r="I8333" s="71"/>
      <c r="J8333" s="68" t="s">
        <v>32828</v>
      </c>
      <c r="K8333" s="71"/>
      <c r="L8333" s="68" t="s">
        <v>32774</v>
      </c>
      <c r="M8333" s="68" t="s">
        <v>27</v>
      </c>
      <c r="N8333" s="116"/>
      <c r="O8333" s="51"/>
    </row>
    <row r="8334">
      <c r="A8334" s="273"/>
      <c r="B8334" s="71"/>
      <c r="C8334" s="69" t="s">
        <v>32829</v>
      </c>
      <c r="D8334" s="71"/>
      <c r="E8334" s="68" t="s">
        <v>32830</v>
      </c>
      <c r="F8334" s="76">
        <v>41030.0</v>
      </c>
      <c r="G8334" s="68" t="s">
        <v>32827</v>
      </c>
      <c r="H8334" s="71"/>
      <c r="I8334" s="71"/>
      <c r="J8334" s="68" t="s">
        <v>32831</v>
      </c>
      <c r="K8334" s="71"/>
      <c r="L8334" s="68" t="s">
        <v>32774</v>
      </c>
      <c r="M8334" s="68" t="s">
        <v>27</v>
      </c>
      <c r="N8334" s="116"/>
      <c r="O8334" s="51"/>
    </row>
    <row r="8335">
      <c r="A8335" s="273"/>
      <c r="B8335" s="71"/>
      <c r="C8335" s="69" t="s">
        <v>32832</v>
      </c>
      <c r="D8335" s="71"/>
      <c r="E8335" s="68" t="s">
        <v>32833</v>
      </c>
      <c r="F8335" s="76">
        <v>41030.0</v>
      </c>
      <c r="G8335" s="68" t="s">
        <v>32827</v>
      </c>
      <c r="H8335" s="71"/>
      <c r="I8335" s="71"/>
      <c r="J8335" s="68" t="s">
        <v>32834</v>
      </c>
      <c r="K8335" s="71"/>
      <c r="L8335" s="68" t="s">
        <v>32774</v>
      </c>
      <c r="M8335" s="68" t="s">
        <v>27</v>
      </c>
      <c r="N8335" s="116"/>
      <c r="O8335" s="51"/>
    </row>
    <row r="8336">
      <c r="A8336" s="273"/>
      <c r="B8336" s="71"/>
      <c r="C8336" s="69" t="s">
        <v>32835</v>
      </c>
      <c r="D8336" s="71"/>
      <c r="E8336" s="68" t="s">
        <v>32836</v>
      </c>
      <c r="F8336" s="83">
        <v>41204.0</v>
      </c>
      <c r="G8336" s="68" t="s">
        <v>32837</v>
      </c>
      <c r="H8336" s="71"/>
      <c r="I8336" s="71"/>
      <c r="J8336" s="68" t="s">
        <v>32838</v>
      </c>
      <c r="K8336" s="71"/>
      <c r="L8336" s="68" t="s">
        <v>32774</v>
      </c>
      <c r="M8336" s="68" t="s">
        <v>27</v>
      </c>
      <c r="N8336" s="116"/>
      <c r="O8336" s="51"/>
    </row>
    <row r="8337">
      <c r="A8337" s="273"/>
      <c r="B8337" s="71"/>
      <c r="C8337" s="69" t="s">
        <v>32839</v>
      </c>
      <c r="D8337" s="71"/>
      <c r="E8337" s="68" t="s">
        <v>32840</v>
      </c>
      <c r="F8337" s="83">
        <v>41238.0</v>
      </c>
      <c r="G8337" s="68" t="s">
        <v>32841</v>
      </c>
      <c r="H8337" s="71"/>
      <c r="I8337" s="71"/>
      <c r="J8337" s="68" t="s">
        <v>32842</v>
      </c>
      <c r="K8337" s="71"/>
      <c r="L8337" s="68" t="s">
        <v>32774</v>
      </c>
      <c r="M8337" s="68" t="s">
        <v>27</v>
      </c>
      <c r="N8337" s="116"/>
      <c r="O8337" s="51"/>
    </row>
    <row r="8338">
      <c r="A8338" s="273"/>
      <c r="B8338" s="71"/>
      <c r="C8338" s="69" t="s">
        <v>32843</v>
      </c>
      <c r="D8338" s="71"/>
      <c r="E8338" s="68" t="s">
        <v>30655</v>
      </c>
      <c r="F8338" s="76">
        <v>41426.0</v>
      </c>
      <c r="G8338" s="68" t="s">
        <v>32823</v>
      </c>
      <c r="H8338" s="71"/>
      <c r="I8338" s="71"/>
      <c r="J8338" s="68" t="s">
        <v>32844</v>
      </c>
      <c r="K8338" s="71"/>
      <c r="L8338" s="68" t="s">
        <v>32774</v>
      </c>
      <c r="M8338" s="68" t="s">
        <v>27</v>
      </c>
      <c r="N8338" s="116"/>
      <c r="O8338" s="51"/>
    </row>
    <row r="8339">
      <c r="A8339" s="273"/>
      <c r="B8339" s="71"/>
      <c r="C8339" s="69" t="s">
        <v>32845</v>
      </c>
      <c r="D8339" s="71"/>
      <c r="E8339" s="68" t="s">
        <v>32846</v>
      </c>
      <c r="F8339" s="83">
        <v>41932.0</v>
      </c>
      <c r="G8339" s="68" t="s">
        <v>32847</v>
      </c>
      <c r="H8339" s="71"/>
      <c r="I8339" s="71"/>
      <c r="J8339" s="68" t="s">
        <v>32848</v>
      </c>
      <c r="K8339" s="71"/>
      <c r="L8339" s="68" t="s">
        <v>32774</v>
      </c>
      <c r="M8339" s="68" t="s">
        <v>27</v>
      </c>
      <c r="N8339" s="116"/>
      <c r="O8339" s="51"/>
    </row>
    <row r="8340">
      <c r="A8340" s="273"/>
      <c r="B8340" s="71"/>
      <c r="C8340" s="69" t="s">
        <v>32849</v>
      </c>
      <c r="D8340" s="71"/>
      <c r="E8340" s="68" t="s">
        <v>32850</v>
      </c>
      <c r="F8340" s="83">
        <v>41932.0</v>
      </c>
      <c r="G8340" s="68" t="s">
        <v>32847</v>
      </c>
      <c r="H8340" s="71"/>
      <c r="I8340" s="71"/>
      <c r="J8340" s="68" t="s">
        <v>32851</v>
      </c>
      <c r="K8340" s="71"/>
      <c r="L8340" s="68" t="s">
        <v>32774</v>
      </c>
      <c r="M8340" s="68" t="s">
        <v>27</v>
      </c>
      <c r="N8340" s="116"/>
      <c r="O8340" s="51"/>
    </row>
    <row r="8341">
      <c r="A8341" s="273"/>
      <c r="B8341" s="71"/>
      <c r="C8341" s="69" t="s">
        <v>32852</v>
      </c>
      <c r="D8341" s="71"/>
      <c r="E8341" s="68" t="s">
        <v>32853</v>
      </c>
      <c r="F8341" s="83">
        <v>41932.0</v>
      </c>
      <c r="G8341" s="68" t="s">
        <v>32847</v>
      </c>
      <c r="H8341" s="71"/>
      <c r="I8341" s="71"/>
      <c r="J8341" s="68" t="s">
        <v>32854</v>
      </c>
      <c r="K8341" s="71"/>
      <c r="L8341" s="68" t="s">
        <v>32774</v>
      </c>
      <c r="M8341" s="68" t="s">
        <v>27</v>
      </c>
      <c r="N8341" s="116"/>
      <c r="O8341" s="51"/>
    </row>
    <row r="8342">
      <c r="A8342" s="273"/>
      <c r="B8342" s="71"/>
      <c r="C8342" s="69" t="s">
        <v>32855</v>
      </c>
      <c r="D8342" s="71"/>
      <c r="E8342" s="68" t="s">
        <v>32856</v>
      </c>
      <c r="F8342" s="83">
        <v>41932.0</v>
      </c>
      <c r="G8342" s="68" t="s">
        <v>32847</v>
      </c>
      <c r="H8342" s="71"/>
      <c r="I8342" s="71"/>
      <c r="J8342" s="68" t="s">
        <v>32857</v>
      </c>
      <c r="K8342" s="71"/>
      <c r="L8342" s="68" t="s">
        <v>32774</v>
      </c>
      <c r="M8342" s="68" t="s">
        <v>27</v>
      </c>
      <c r="N8342" s="116"/>
      <c r="O8342" s="51"/>
    </row>
    <row r="8343">
      <c r="A8343" s="273"/>
      <c r="B8343" s="71"/>
      <c r="C8343" s="69" t="s">
        <v>32858</v>
      </c>
      <c r="D8343" s="71"/>
      <c r="E8343" s="68" t="s">
        <v>32859</v>
      </c>
      <c r="F8343" s="83">
        <v>41932.0</v>
      </c>
      <c r="G8343" s="68" t="s">
        <v>32847</v>
      </c>
      <c r="H8343" s="71"/>
      <c r="I8343" s="71"/>
      <c r="J8343" s="68" t="s">
        <v>32860</v>
      </c>
      <c r="K8343" s="71"/>
      <c r="L8343" s="68" t="s">
        <v>32774</v>
      </c>
      <c r="M8343" s="68" t="s">
        <v>27</v>
      </c>
      <c r="N8343" s="116"/>
      <c r="O8343" s="51"/>
    </row>
    <row r="8344">
      <c r="A8344" s="273"/>
      <c r="B8344" s="71"/>
      <c r="C8344" s="69" t="s">
        <v>32861</v>
      </c>
      <c r="D8344" s="71"/>
      <c r="E8344" s="68" t="s">
        <v>32862</v>
      </c>
      <c r="F8344" s="83">
        <v>41932.0</v>
      </c>
      <c r="G8344" s="68" t="s">
        <v>32847</v>
      </c>
      <c r="H8344" s="71"/>
      <c r="I8344" s="71"/>
      <c r="J8344" s="68" t="s">
        <v>32863</v>
      </c>
      <c r="K8344" s="71"/>
      <c r="L8344" s="68" t="s">
        <v>32774</v>
      </c>
      <c r="M8344" s="68" t="s">
        <v>27</v>
      </c>
      <c r="N8344" s="116"/>
      <c r="O8344" s="51"/>
    </row>
    <row r="8345">
      <c r="A8345" s="273"/>
      <c r="B8345" s="71"/>
      <c r="C8345" s="69" t="s">
        <v>32864</v>
      </c>
      <c r="D8345" s="71"/>
      <c r="E8345" s="68" t="s">
        <v>32865</v>
      </c>
      <c r="F8345" s="83">
        <v>41932.0</v>
      </c>
      <c r="G8345" s="68" t="s">
        <v>32847</v>
      </c>
      <c r="H8345" s="71"/>
      <c r="I8345" s="71"/>
      <c r="J8345" s="68" t="s">
        <v>32866</v>
      </c>
      <c r="K8345" s="71"/>
      <c r="L8345" s="68" t="s">
        <v>32774</v>
      </c>
      <c r="M8345" s="68" t="s">
        <v>27</v>
      </c>
      <c r="N8345" s="116"/>
      <c r="O8345" s="51"/>
    </row>
    <row r="8346">
      <c r="A8346" s="273"/>
      <c r="B8346" s="71"/>
      <c r="C8346" s="69" t="s">
        <v>32867</v>
      </c>
      <c r="D8346" s="71"/>
      <c r="E8346" s="68" t="s">
        <v>32868</v>
      </c>
      <c r="F8346" s="83">
        <v>41932.0</v>
      </c>
      <c r="G8346" s="68" t="s">
        <v>32847</v>
      </c>
      <c r="H8346" s="71"/>
      <c r="I8346" s="71"/>
      <c r="J8346" s="68" t="s">
        <v>32869</v>
      </c>
      <c r="K8346" s="71"/>
      <c r="L8346" s="68" t="s">
        <v>32774</v>
      </c>
      <c r="M8346" s="68" t="s">
        <v>27</v>
      </c>
      <c r="N8346" s="116"/>
      <c r="O8346" s="51"/>
    </row>
    <row r="8347">
      <c r="A8347" s="273"/>
      <c r="B8347" s="71"/>
      <c r="C8347" s="69" t="s">
        <v>32870</v>
      </c>
      <c r="D8347" s="71"/>
      <c r="E8347" s="68" t="s">
        <v>32871</v>
      </c>
      <c r="F8347" s="76">
        <v>38873.0</v>
      </c>
      <c r="G8347" s="68" t="s">
        <v>32872</v>
      </c>
      <c r="H8347" s="71"/>
      <c r="I8347" s="71"/>
      <c r="J8347" s="68" t="s">
        <v>32873</v>
      </c>
      <c r="K8347" s="71"/>
      <c r="L8347" s="68" t="s">
        <v>32774</v>
      </c>
      <c r="M8347" s="68" t="s">
        <v>27</v>
      </c>
      <c r="N8347" s="116"/>
      <c r="O8347" s="51"/>
    </row>
    <row r="8348">
      <c r="A8348" s="273"/>
      <c r="B8348" s="71"/>
      <c r="C8348" s="69" t="s">
        <v>32874</v>
      </c>
      <c r="D8348" s="71"/>
      <c r="E8348" s="68" t="s">
        <v>32875</v>
      </c>
      <c r="F8348" s="76">
        <v>39101.0</v>
      </c>
      <c r="G8348" s="68" t="s">
        <v>32876</v>
      </c>
      <c r="H8348" s="71"/>
      <c r="I8348" s="71"/>
      <c r="J8348" s="68" t="s">
        <v>32877</v>
      </c>
      <c r="K8348" s="71"/>
      <c r="L8348" s="68" t="s">
        <v>32774</v>
      </c>
      <c r="M8348" s="68" t="s">
        <v>27</v>
      </c>
      <c r="N8348" s="116"/>
      <c r="O8348" s="51"/>
    </row>
    <row r="8349">
      <c r="A8349" s="273"/>
      <c r="B8349" s="71"/>
      <c r="C8349" s="69" t="s">
        <v>32878</v>
      </c>
      <c r="D8349" s="71"/>
      <c r="E8349" s="68" t="s">
        <v>32879</v>
      </c>
      <c r="F8349" s="76">
        <v>39101.0</v>
      </c>
      <c r="G8349" s="68" t="s">
        <v>32876</v>
      </c>
      <c r="H8349" s="71"/>
      <c r="I8349" s="71"/>
      <c r="J8349" s="68" t="s">
        <v>32880</v>
      </c>
      <c r="K8349" s="71"/>
      <c r="L8349" s="68" t="s">
        <v>32774</v>
      </c>
      <c r="M8349" s="68" t="s">
        <v>27</v>
      </c>
      <c r="N8349" s="116"/>
      <c r="O8349" s="51"/>
    </row>
    <row r="8350">
      <c r="A8350" s="273"/>
      <c r="B8350" s="71"/>
      <c r="C8350" s="69" t="s">
        <v>32881</v>
      </c>
      <c r="D8350" s="71"/>
      <c r="E8350" s="68" t="s">
        <v>32882</v>
      </c>
      <c r="F8350" s="76">
        <v>39101.0</v>
      </c>
      <c r="G8350" s="68" t="s">
        <v>32876</v>
      </c>
      <c r="H8350" s="71"/>
      <c r="I8350" s="71"/>
      <c r="J8350" s="68" t="s">
        <v>32883</v>
      </c>
      <c r="K8350" s="71"/>
      <c r="L8350" s="68" t="s">
        <v>32774</v>
      </c>
      <c r="M8350" s="68" t="s">
        <v>27</v>
      </c>
      <c r="N8350" s="116"/>
      <c r="O8350" s="51"/>
    </row>
    <row r="8351">
      <c r="A8351" s="273"/>
      <c r="B8351" s="71"/>
      <c r="C8351" s="69" t="s">
        <v>32884</v>
      </c>
      <c r="D8351" s="71"/>
      <c r="E8351" s="68" t="s">
        <v>32885</v>
      </c>
      <c r="F8351" s="76">
        <v>39101.0</v>
      </c>
      <c r="G8351" s="68" t="s">
        <v>32876</v>
      </c>
      <c r="H8351" s="71"/>
      <c r="I8351" s="71"/>
      <c r="J8351" s="68" t="s">
        <v>32886</v>
      </c>
      <c r="K8351" s="71"/>
      <c r="L8351" s="68" t="s">
        <v>32774</v>
      </c>
      <c r="M8351" s="68" t="s">
        <v>27</v>
      </c>
      <c r="N8351" s="116"/>
      <c r="O8351" s="51"/>
    </row>
    <row r="8352">
      <c r="A8352" s="273"/>
      <c r="B8352" s="71"/>
      <c r="C8352" s="69" t="s">
        <v>32887</v>
      </c>
      <c r="D8352" s="71"/>
      <c r="E8352" s="68" t="s">
        <v>32888</v>
      </c>
      <c r="F8352" s="76">
        <v>39101.0</v>
      </c>
      <c r="G8352" s="68" t="s">
        <v>32876</v>
      </c>
      <c r="H8352" s="71"/>
      <c r="I8352" s="71"/>
      <c r="J8352" s="68" t="s">
        <v>32889</v>
      </c>
      <c r="K8352" s="71"/>
      <c r="L8352" s="68" t="s">
        <v>32774</v>
      </c>
      <c r="M8352" s="68" t="s">
        <v>27</v>
      </c>
      <c r="N8352" s="116"/>
      <c r="O8352" s="51"/>
    </row>
    <row r="8353">
      <c r="A8353" s="273"/>
      <c r="B8353" s="71"/>
      <c r="C8353" s="69" t="s">
        <v>32890</v>
      </c>
      <c r="D8353" s="71"/>
      <c r="E8353" s="68" t="s">
        <v>32891</v>
      </c>
      <c r="F8353" s="76">
        <v>39101.0</v>
      </c>
      <c r="G8353" s="68" t="s">
        <v>32876</v>
      </c>
      <c r="H8353" s="71"/>
      <c r="I8353" s="71"/>
      <c r="J8353" s="68" t="s">
        <v>32892</v>
      </c>
      <c r="K8353" s="71"/>
      <c r="L8353" s="68" t="s">
        <v>32774</v>
      </c>
      <c r="M8353" s="68" t="s">
        <v>27</v>
      </c>
      <c r="N8353" s="116"/>
      <c r="O8353" s="51"/>
    </row>
    <row r="8354">
      <c r="A8354" s="273"/>
      <c r="B8354" s="71"/>
      <c r="C8354" s="69" t="s">
        <v>32893</v>
      </c>
      <c r="D8354" s="71"/>
      <c r="E8354" s="68" t="s">
        <v>32894</v>
      </c>
      <c r="F8354" s="76">
        <v>39101.0</v>
      </c>
      <c r="G8354" s="68" t="s">
        <v>32876</v>
      </c>
      <c r="H8354" s="71"/>
      <c r="I8354" s="71"/>
      <c r="J8354" s="68" t="s">
        <v>32895</v>
      </c>
      <c r="K8354" s="71"/>
      <c r="L8354" s="68" t="s">
        <v>32774</v>
      </c>
      <c r="M8354" s="68" t="s">
        <v>27</v>
      </c>
      <c r="N8354" s="116"/>
      <c r="O8354" s="51"/>
    </row>
    <row r="8355">
      <c r="A8355" s="273"/>
      <c r="B8355" s="71"/>
      <c r="C8355" s="69" t="s">
        <v>32896</v>
      </c>
      <c r="D8355" s="71"/>
      <c r="E8355" s="68" t="s">
        <v>32897</v>
      </c>
      <c r="F8355" s="76">
        <v>39101.0</v>
      </c>
      <c r="G8355" s="68" t="s">
        <v>32876</v>
      </c>
      <c r="H8355" s="71"/>
      <c r="I8355" s="71"/>
      <c r="J8355" s="68" t="s">
        <v>32898</v>
      </c>
      <c r="K8355" s="71"/>
      <c r="L8355" s="68" t="s">
        <v>32774</v>
      </c>
      <c r="M8355" s="68" t="s">
        <v>27</v>
      </c>
      <c r="N8355" s="116"/>
      <c r="O8355" s="51"/>
    </row>
    <row r="8356">
      <c r="A8356" s="273"/>
      <c r="B8356" s="71"/>
      <c r="C8356" s="69" t="s">
        <v>32899</v>
      </c>
      <c r="D8356" s="71"/>
      <c r="E8356" s="68" t="s">
        <v>32900</v>
      </c>
      <c r="F8356" s="76">
        <v>39101.0</v>
      </c>
      <c r="G8356" s="68" t="s">
        <v>32876</v>
      </c>
      <c r="H8356" s="71"/>
      <c r="I8356" s="71"/>
      <c r="J8356" s="68" t="s">
        <v>32901</v>
      </c>
      <c r="K8356" s="71"/>
      <c r="L8356" s="68" t="s">
        <v>32774</v>
      </c>
      <c r="M8356" s="68" t="s">
        <v>27</v>
      </c>
      <c r="N8356" s="116"/>
      <c r="O8356" s="51"/>
    </row>
    <row r="8357">
      <c r="A8357" s="234"/>
      <c r="B8357" s="71"/>
      <c r="C8357" s="69" t="s">
        <v>32902</v>
      </c>
      <c r="D8357" s="71"/>
      <c r="E8357" s="68" t="s">
        <v>32903</v>
      </c>
      <c r="F8357" s="76">
        <v>39103.0</v>
      </c>
      <c r="G8357" s="68" t="s">
        <v>32904</v>
      </c>
      <c r="H8357" s="71"/>
      <c r="I8357" s="71"/>
      <c r="J8357" s="87" t="s">
        <v>32905</v>
      </c>
      <c r="K8357" s="71"/>
      <c r="L8357" s="68" t="s">
        <v>32774</v>
      </c>
      <c r="M8357" s="68" t="s">
        <v>27</v>
      </c>
      <c r="N8357" s="116"/>
      <c r="O8357" s="51"/>
    </row>
    <row r="8358">
      <c r="A8358" s="234"/>
      <c r="B8358" s="71"/>
      <c r="C8358" s="69" t="s">
        <v>32906</v>
      </c>
      <c r="D8358" s="71"/>
      <c r="E8358" s="68" t="s">
        <v>32907</v>
      </c>
      <c r="F8358" s="76">
        <v>39103.0</v>
      </c>
      <c r="G8358" s="68" t="s">
        <v>32908</v>
      </c>
      <c r="H8358" s="71"/>
      <c r="I8358" s="71"/>
      <c r="J8358" s="87" t="s">
        <v>32909</v>
      </c>
      <c r="K8358" s="71"/>
      <c r="L8358" s="68" t="s">
        <v>32774</v>
      </c>
      <c r="M8358" s="68" t="s">
        <v>27</v>
      </c>
      <c r="N8358" s="116"/>
      <c r="O8358" s="51"/>
    </row>
    <row r="8359">
      <c r="A8359" s="234"/>
      <c r="B8359" s="71"/>
      <c r="C8359" s="69" t="s">
        <v>32910</v>
      </c>
      <c r="D8359" s="71"/>
      <c r="E8359" s="68" t="s">
        <v>32911</v>
      </c>
      <c r="F8359" s="76">
        <v>39103.0</v>
      </c>
      <c r="G8359" s="68" t="s">
        <v>32908</v>
      </c>
      <c r="H8359" s="71"/>
      <c r="I8359" s="71"/>
      <c r="J8359" s="282" t="s">
        <v>32912</v>
      </c>
      <c r="K8359" s="71"/>
      <c r="L8359" s="68" t="s">
        <v>32774</v>
      </c>
      <c r="M8359" s="68" t="s">
        <v>27</v>
      </c>
      <c r="N8359" s="116"/>
      <c r="O8359" s="51"/>
    </row>
    <row r="8360">
      <c r="A8360" s="234"/>
      <c r="B8360" s="71"/>
      <c r="C8360" s="69" t="s">
        <v>32913</v>
      </c>
      <c r="D8360" s="71"/>
      <c r="E8360" s="68" t="s">
        <v>32914</v>
      </c>
      <c r="F8360" s="76">
        <v>39103.0</v>
      </c>
      <c r="G8360" s="68" t="s">
        <v>32908</v>
      </c>
      <c r="H8360" s="71"/>
      <c r="I8360" s="71"/>
      <c r="J8360" s="282" t="s">
        <v>32915</v>
      </c>
      <c r="K8360" s="71"/>
      <c r="L8360" s="68" t="s">
        <v>32774</v>
      </c>
      <c r="M8360" s="68" t="s">
        <v>27</v>
      </c>
      <c r="N8360" s="116"/>
      <c r="O8360" s="51"/>
    </row>
    <row r="8361">
      <c r="A8361" s="273"/>
      <c r="B8361" s="71"/>
      <c r="C8361" s="69" t="s">
        <v>32916</v>
      </c>
      <c r="D8361" s="71"/>
      <c r="E8361" s="68" t="s">
        <v>32917</v>
      </c>
      <c r="F8361" s="76">
        <v>39103.0</v>
      </c>
      <c r="G8361" s="68" t="s">
        <v>32908</v>
      </c>
      <c r="H8361" s="71"/>
      <c r="I8361" s="71"/>
      <c r="J8361" s="68" t="s">
        <v>32918</v>
      </c>
      <c r="K8361" s="71"/>
      <c r="L8361" s="68" t="s">
        <v>32774</v>
      </c>
      <c r="M8361" s="68" t="s">
        <v>27</v>
      </c>
      <c r="N8361" s="116"/>
      <c r="O8361" s="51"/>
    </row>
    <row r="8362">
      <c r="A8362" s="273"/>
      <c r="B8362" s="71"/>
      <c r="C8362" s="69" t="s">
        <v>32919</v>
      </c>
      <c r="D8362" s="71"/>
      <c r="E8362" s="68" t="s">
        <v>32920</v>
      </c>
      <c r="F8362" s="76">
        <v>39103.0</v>
      </c>
      <c r="G8362" s="68" t="s">
        <v>32908</v>
      </c>
      <c r="H8362" s="71"/>
      <c r="I8362" s="71"/>
      <c r="J8362" s="68" t="s">
        <v>32921</v>
      </c>
      <c r="K8362" s="71"/>
      <c r="L8362" s="68" t="s">
        <v>32774</v>
      </c>
      <c r="M8362" s="68" t="s">
        <v>27</v>
      </c>
      <c r="N8362" s="116"/>
      <c r="O8362" s="51"/>
    </row>
    <row r="8363">
      <c r="A8363" s="273"/>
      <c r="B8363" s="71"/>
      <c r="C8363" s="69" t="s">
        <v>32922</v>
      </c>
      <c r="D8363" s="71"/>
      <c r="E8363" s="68" t="s">
        <v>32923</v>
      </c>
      <c r="F8363" s="76">
        <v>41154.0</v>
      </c>
      <c r="G8363" s="68" t="s">
        <v>32823</v>
      </c>
      <c r="H8363" s="71"/>
      <c r="I8363" s="71"/>
      <c r="J8363" s="283" t="s">
        <v>32924</v>
      </c>
      <c r="K8363" s="101"/>
      <c r="L8363" s="68" t="s">
        <v>32774</v>
      </c>
      <c r="M8363" s="87" t="s">
        <v>27</v>
      </c>
      <c r="N8363" s="71"/>
      <c r="O8363" s="51"/>
    </row>
    <row r="8364">
      <c r="A8364" s="234"/>
      <c r="B8364" s="71"/>
      <c r="C8364" s="79" t="s">
        <v>32925</v>
      </c>
      <c r="D8364" s="82"/>
      <c r="E8364" s="63" t="s">
        <v>32926</v>
      </c>
      <c r="F8364" s="65">
        <v>43780.0</v>
      </c>
      <c r="G8364" s="63" t="s">
        <v>32927</v>
      </c>
      <c r="H8364" s="82"/>
      <c r="I8364" s="82"/>
      <c r="J8364" s="80" t="s">
        <v>136</v>
      </c>
      <c r="K8364" s="81">
        <v>44562.0</v>
      </c>
      <c r="L8364" s="80" t="s">
        <v>31554</v>
      </c>
      <c r="M8364" s="80" t="s">
        <v>166</v>
      </c>
      <c r="N8364" s="87" t="s">
        <v>32928</v>
      </c>
      <c r="O8364" s="51"/>
    </row>
    <row r="8365">
      <c r="A8365" s="234"/>
      <c r="B8365" s="71"/>
      <c r="C8365" s="79" t="s">
        <v>32929</v>
      </c>
      <c r="D8365" s="82"/>
      <c r="E8365" s="63" t="s">
        <v>32930</v>
      </c>
      <c r="F8365" s="65">
        <v>44545.0</v>
      </c>
      <c r="G8365" s="63" t="s">
        <v>32931</v>
      </c>
      <c r="H8365" s="82"/>
      <c r="I8365" s="82"/>
      <c r="J8365" s="80" t="s">
        <v>136</v>
      </c>
      <c r="K8365" s="81">
        <v>44562.0</v>
      </c>
      <c r="L8365" s="80" t="s">
        <v>2743</v>
      </c>
      <c r="M8365" s="80" t="s">
        <v>31</v>
      </c>
      <c r="N8365" s="87" t="s">
        <v>32932</v>
      </c>
      <c r="O8365" s="51"/>
    </row>
    <row r="8366">
      <c r="A8366" s="273"/>
      <c r="B8366" s="71"/>
      <c r="C8366" s="69" t="s">
        <v>32933</v>
      </c>
      <c r="D8366" s="71"/>
      <c r="E8366" s="68" t="s">
        <v>32934</v>
      </c>
      <c r="F8366" s="76">
        <v>44464.0</v>
      </c>
      <c r="G8366" s="68" t="s">
        <v>32935</v>
      </c>
      <c r="H8366" s="71"/>
      <c r="I8366" s="71"/>
      <c r="J8366" s="68" t="s">
        <v>32936</v>
      </c>
      <c r="K8366" s="76">
        <v>44562.0</v>
      </c>
      <c r="L8366" s="68" t="s">
        <v>2743</v>
      </c>
      <c r="M8366" s="68" t="s">
        <v>2152</v>
      </c>
      <c r="N8366" s="116"/>
      <c r="O8366" s="51"/>
    </row>
    <row r="8367">
      <c r="A8367" s="273"/>
      <c r="B8367" s="71"/>
      <c r="C8367" s="69" t="s">
        <v>32937</v>
      </c>
      <c r="D8367" s="71"/>
      <c r="E8367" s="68" t="s">
        <v>32938</v>
      </c>
      <c r="F8367" s="83">
        <v>44528.0</v>
      </c>
      <c r="G8367" s="68" t="s">
        <v>32939</v>
      </c>
      <c r="H8367" s="68" t="s">
        <v>32940</v>
      </c>
      <c r="I8367" s="71"/>
      <c r="J8367" s="68" t="s">
        <v>32941</v>
      </c>
      <c r="K8367" s="76">
        <v>44562.0</v>
      </c>
      <c r="L8367" s="68" t="s">
        <v>2743</v>
      </c>
      <c r="M8367" s="68" t="s">
        <v>31</v>
      </c>
      <c r="N8367" s="116"/>
      <c r="O8367" s="51"/>
    </row>
    <row r="8368">
      <c r="A8368" s="273"/>
      <c r="B8368" s="71"/>
      <c r="C8368" s="69" t="s">
        <v>32942</v>
      </c>
      <c r="D8368" s="71"/>
      <c r="E8368" s="68" t="s">
        <v>32943</v>
      </c>
      <c r="F8368" s="76">
        <v>44166.0</v>
      </c>
      <c r="G8368" s="68" t="s">
        <v>32944</v>
      </c>
      <c r="H8368" s="71"/>
      <c r="I8368" s="71"/>
      <c r="J8368" s="68" t="s">
        <v>32945</v>
      </c>
      <c r="K8368" s="76">
        <v>44562.0</v>
      </c>
      <c r="L8368" s="68" t="s">
        <v>2743</v>
      </c>
      <c r="M8368" s="68" t="s">
        <v>32946</v>
      </c>
      <c r="N8368" s="116"/>
      <c r="O8368" s="51"/>
    </row>
    <row r="8369">
      <c r="A8369" s="234"/>
      <c r="B8369" s="71"/>
      <c r="C8369" s="79" t="s">
        <v>32947</v>
      </c>
      <c r="D8369" s="82"/>
      <c r="E8369" s="63" t="s">
        <v>32948</v>
      </c>
      <c r="F8369" s="70">
        <v>44166.0</v>
      </c>
      <c r="G8369" s="63" t="s">
        <v>32949</v>
      </c>
      <c r="H8369" s="82"/>
      <c r="I8369" s="82"/>
      <c r="J8369" s="80" t="s">
        <v>136</v>
      </c>
      <c r="K8369" s="81">
        <v>44562.0</v>
      </c>
      <c r="L8369" s="80" t="s">
        <v>2743</v>
      </c>
      <c r="M8369" s="80" t="s">
        <v>32946</v>
      </c>
      <c r="N8369" s="116"/>
      <c r="O8369" s="51"/>
    </row>
    <row r="8370">
      <c r="A8370" s="273"/>
      <c r="B8370" s="71"/>
      <c r="C8370" s="69" t="s">
        <v>32950</v>
      </c>
      <c r="D8370" s="71"/>
      <c r="E8370" s="68" t="s">
        <v>32951</v>
      </c>
      <c r="F8370" s="83">
        <v>44544.0</v>
      </c>
      <c r="G8370" s="68" t="s">
        <v>32952</v>
      </c>
      <c r="H8370" s="68" t="s">
        <v>32953</v>
      </c>
      <c r="I8370" s="71"/>
      <c r="J8370" s="68" t="s">
        <v>32954</v>
      </c>
      <c r="K8370" s="76">
        <v>44562.0</v>
      </c>
      <c r="L8370" s="68" t="s">
        <v>2743</v>
      </c>
      <c r="M8370" s="68" t="s">
        <v>149</v>
      </c>
      <c r="N8370" s="116"/>
      <c r="O8370" s="51"/>
    </row>
    <row r="8371">
      <c r="A8371" s="273"/>
      <c r="B8371" s="71"/>
      <c r="C8371" s="69" t="s">
        <v>32955</v>
      </c>
      <c r="D8371" s="71"/>
      <c r="E8371" s="68" t="s">
        <v>32956</v>
      </c>
      <c r="F8371" s="83">
        <v>44511.0</v>
      </c>
      <c r="G8371" s="68" t="s">
        <v>32957</v>
      </c>
      <c r="H8371" s="68" t="s">
        <v>32958</v>
      </c>
      <c r="I8371" s="71"/>
      <c r="J8371" s="68" t="s">
        <v>32959</v>
      </c>
      <c r="K8371" s="76">
        <v>44562.0</v>
      </c>
      <c r="L8371" s="68" t="s">
        <v>2743</v>
      </c>
      <c r="M8371" s="68" t="s">
        <v>31</v>
      </c>
      <c r="N8371" s="116"/>
      <c r="O8371" s="51"/>
    </row>
    <row r="8372">
      <c r="A8372" s="273"/>
      <c r="B8372" s="71"/>
      <c r="C8372" s="69" t="s">
        <v>32960</v>
      </c>
      <c r="D8372" s="71"/>
      <c r="E8372" s="68" t="s">
        <v>32961</v>
      </c>
      <c r="F8372" s="76">
        <v>44415.0</v>
      </c>
      <c r="G8372" s="68" t="s">
        <v>32962</v>
      </c>
      <c r="H8372" s="68" t="s">
        <v>32963</v>
      </c>
      <c r="I8372" s="71"/>
      <c r="J8372" s="68" t="s">
        <v>32964</v>
      </c>
      <c r="K8372" s="76">
        <v>44562.0</v>
      </c>
      <c r="L8372" s="68" t="s">
        <v>2743</v>
      </c>
      <c r="M8372" s="68" t="s">
        <v>18616</v>
      </c>
      <c r="N8372" s="116"/>
      <c r="O8372" s="51"/>
    </row>
    <row r="8373">
      <c r="A8373" s="234"/>
      <c r="B8373" s="71"/>
      <c r="C8373" s="79" t="s">
        <v>32965</v>
      </c>
      <c r="D8373" s="82"/>
      <c r="E8373" s="63" t="s">
        <v>32966</v>
      </c>
      <c r="F8373" s="65">
        <v>42360.0</v>
      </c>
      <c r="G8373" s="63" t="s">
        <v>32967</v>
      </c>
      <c r="H8373" s="80" t="s">
        <v>32968</v>
      </c>
      <c r="I8373" s="82"/>
      <c r="J8373" s="80" t="s">
        <v>136</v>
      </c>
      <c r="K8373" s="81">
        <v>44562.0</v>
      </c>
      <c r="L8373" s="80" t="s">
        <v>2743</v>
      </c>
      <c r="M8373" s="80" t="s">
        <v>5537</v>
      </c>
      <c r="N8373" s="116"/>
      <c r="O8373" s="51"/>
    </row>
    <row r="8374">
      <c r="A8374" s="234"/>
      <c r="B8374" s="71"/>
      <c r="C8374" s="79" t="s">
        <v>32969</v>
      </c>
      <c r="D8374" s="82"/>
      <c r="E8374" s="63" t="s">
        <v>32970</v>
      </c>
      <c r="F8374" s="65">
        <v>44551.0</v>
      </c>
      <c r="G8374" s="63" t="s">
        <v>32971</v>
      </c>
      <c r="H8374" s="80" t="s">
        <v>32972</v>
      </c>
      <c r="I8374" s="82"/>
      <c r="J8374" s="80" t="s">
        <v>136</v>
      </c>
      <c r="K8374" s="81">
        <v>44562.0</v>
      </c>
      <c r="L8374" s="80" t="s">
        <v>2743</v>
      </c>
      <c r="M8374" s="80" t="s">
        <v>143</v>
      </c>
      <c r="N8374" s="116"/>
      <c r="O8374" s="51"/>
    </row>
    <row r="8375">
      <c r="A8375" s="273"/>
      <c r="B8375" s="71"/>
      <c r="C8375" s="69" t="s">
        <v>32973</v>
      </c>
      <c r="D8375" s="71"/>
      <c r="E8375" s="68" t="s">
        <v>32974</v>
      </c>
      <c r="F8375" s="76">
        <v>43934.0</v>
      </c>
      <c r="G8375" s="68" t="s">
        <v>32975</v>
      </c>
      <c r="H8375" s="71"/>
      <c r="I8375" s="71"/>
      <c r="J8375" s="68" t="s">
        <v>32976</v>
      </c>
      <c r="K8375" s="76">
        <v>44562.0</v>
      </c>
      <c r="L8375" s="68" t="s">
        <v>2743</v>
      </c>
      <c r="M8375" s="68" t="s">
        <v>530</v>
      </c>
      <c r="N8375" s="116"/>
      <c r="O8375" s="51"/>
    </row>
    <row r="8376">
      <c r="A8376" s="234"/>
      <c r="B8376" s="71"/>
      <c r="C8376" s="79" t="s">
        <v>32977</v>
      </c>
      <c r="D8376" s="82"/>
      <c r="E8376" s="63" t="s">
        <v>32978</v>
      </c>
      <c r="F8376" s="70">
        <v>43709.0</v>
      </c>
      <c r="G8376" s="63" t="s">
        <v>32979</v>
      </c>
      <c r="H8376" s="80" t="s">
        <v>32980</v>
      </c>
      <c r="I8376" s="82"/>
      <c r="J8376" s="80" t="s">
        <v>136</v>
      </c>
      <c r="K8376" s="81">
        <v>44564.0</v>
      </c>
      <c r="L8376" s="80" t="s">
        <v>2743</v>
      </c>
      <c r="M8376" s="80" t="s">
        <v>166</v>
      </c>
      <c r="N8376" s="116"/>
      <c r="O8376" s="51"/>
    </row>
    <row r="8377">
      <c r="A8377" s="234"/>
      <c r="B8377" s="71"/>
      <c r="C8377" s="79" t="s">
        <v>32981</v>
      </c>
      <c r="D8377" s="82"/>
      <c r="E8377" s="63" t="s">
        <v>32982</v>
      </c>
      <c r="F8377" s="65">
        <v>44541.0</v>
      </c>
      <c r="G8377" s="63" t="s">
        <v>32983</v>
      </c>
      <c r="H8377" s="80" t="s">
        <v>32984</v>
      </c>
      <c r="I8377" s="82"/>
      <c r="J8377" s="80" t="s">
        <v>136</v>
      </c>
      <c r="K8377" s="81">
        <v>44564.0</v>
      </c>
      <c r="L8377" s="80" t="s">
        <v>2743</v>
      </c>
      <c r="M8377" s="80" t="s">
        <v>149</v>
      </c>
      <c r="N8377" s="116"/>
      <c r="O8377" s="51"/>
    </row>
    <row r="8378">
      <c r="A8378" s="234"/>
      <c r="B8378" s="71"/>
      <c r="C8378" s="79" t="s">
        <v>32985</v>
      </c>
      <c r="D8378" s="82"/>
      <c r="E8378" s="63" t="s">
        <v>32986</v>
      </c>
      <c r="F8378" s="70">
        <v>41480.0</v>
      </c>
      <c r="G8378" s="63" t="s">
        <v>32987</v>
      </c>
      <c r="H8378" s="80" t="s">
        <v>32988</v>
      </c>
      <c r="I8378" s="82"/>
      <c r="J8378" s="80" t="s">
        <v>136</v>
      </c>
      <c r="K8378" s="81">
        <v>44564.0</v>
      </c>
      <c r="L8378" s="80" t="s">
        <v>2743</v>
      </c>
      <c r="M8378" s="80" t="s">
        <v>32989</v>
      </c>
      <c r="N8378" s="116"/>
      <c r="O8378" s="51"/>
    </row>
    <row r="8379">
      <c r="A8379" s="273"/>
      <c r="B8379" s="71"/>
      <c r="C8379" s="69" t="s">
        <v>32990</v>
      </c>
      <c r="D8379" s="71"/>
      <c r="E8379" s="68" t="s">
        <v>32991</v>
      </c>
      <c r="F8379" s="83">
        <v>44544.0</v>
      </c>
      <c r="G8379" s="68" t="s">
        <v>32992</v>
      </c>
      <c r="H8379" s="68" t="s">
        <v>32993</v>
      </c>
      <c r="I8379" s="71"/>
      <c r="J8379" s="68" t="s">
        <v>32994</v>
      </c>
      <c r="K8379" s="76">
        <v>44565.0</v>
      </c>
      <c r="L8379" s="68" t="s">
        <v>2743</v>
      </c>
      <c r="M8379" s="68" t="s">
        <v>32175</v>
      </c>
      <c r="N8379" s="116"/>
      <c r="O8379" s="51"/>
    </row>
    <row r="8380">
      <c r="A8380" s="234"/>
      <c r="B8380" s="71"/>
      <c r="C8380" s="79" t="s">
        <v>32995</v>
      </c>
      <c r="D8380" s="82"/>
      <c r="E8380" s="63" t="s">
        <v>32996</v>
      </c>
      <c r="F8380" s="70">
        <v>42190.0</v>
      </c>
      <c r="G8380" s="63" t="s">
        <v>32997</v>
      </c>
      <c r="H8380" s="80" t="s">
        <v>439</v>
      </c>
      <c r="I8380" s="82"/>
      <c r="J8380" s="80" t="s">
        <v>136</v>
      </c>
      <c r="K8380" s="81">
        <v>44571.0</v>
      </c>
      <c r="L8380" s="80" t="s">
        <v>2743</v>
      </c>
      <c r="M8380" s="80" t="s">
        <v>2152</v>
      </c>
      <c r="N8380" s="116"/>
      <c r="O8380" s="51"/>
    </row>
    <row r="8381">
      <c r="A8381" s="273"/>
      <c r="B8381" s="71"/>
      <c r="C8381" s="69" t="s">
        <v>32998</v>
      </c>
      <c r="D8381" s="71"/>
      <c r="E8381" s="68" t="s">
        <v>32999</v>
      </c>
      <c r="F8381" s="76">
        <v>44413.0</v>
      </c>
      <c r="G8381" s="68" t="s">
        <v>33000</v>
      </c>
      <c r="H8381" s="68" t="s">
        <v>33001</v>
      </c>
      <c r="I8381" s="71"/>
      <c r="J8381" s="68" t="s">
        <v>33002</v>
      </c>
      <c r="K8381" s="76">
        <v>44571.0</v>
      </c>
      <c r="L8381" s="68" t="s">
        <v>31554</v>
      </c>
      <c r="M8381" s="68" t="s">
        <v>166</v>
      </c>
      <c r="N8381" s="116"/>
      <c r="O8381" s="51"/>
    </row>
    <row r="8382">
      <c r="A8382" s="234"/>
      <c r="B8382" s="71"/>
      <c r="C8382" s="79" t="s">
        <v>33003</v>
      </c>
      <c r="D8382" s="82"/>
      <c r="E8382" s="63" t="s">
        <v>33004</v>
      </c>
      <c r="F8382" s="70">
        <v>40360.0</v>
      </c>
      <c r="G8382" s="63" t="s">
        <v>33005</v>
      </c>
      <c r="H8382" s="80" t="s">
        <v>33006</v>
      </c>
      <c r="I8382" s="82"/>
      <c r="J8382" s="80" t="s">
        <v>136</v>
      </c>
      <c r="K8382" s="81">
        <v>44576.0</v>
      </c>
      <c r="L8382" s="80" t="s">
        <v>2743</v>
      </c>
      <c r="M8382" s="80" t="s">
        <v>941</v>
      </c>
      <c r="N8382" s="116"/>
      <c r="O8382" s="51"/>
    </row>
    <row r="8383">
      <c r="A8383" s="234"/>
      <c r="B8383" s="71"/>
      <c r="C8383" s="79" t="s">
        <v>33007</v>
      </c>
      <c r="D8383" s="82"/>
      <c r="E8383" s="63" t="s">
        <v>33008</v>
      </c>
      <c r="F8383" s="70">
        <v>43624.0</v>
      </c>
      <c r="G8383" s="63" t="s">
        <v>33009</v>
      </c>
      <c r="H8383" s="80" t="s">
        <v>33010</v>
      </c>
      <c r="I8383" s="82"/>
      <c r="J8383" s="80" t="s">
        <v>136</v>
      </c>
      <c r="K8383" s="81">
        <v>44576.0</v>
      </c>
      <c r="L8383" s="80" t="s">
        <v>2743</v>
      </c>
      <c r="M8383" s="80" t="s">
        <v>33011</v>
      </c>
      <c r="N8383" s="116"/>
      <c r="O8383" s="51"/>
    </row>
    <row r="8384">
      <c r="A8384" s="234"/>
      <c r="B8384" s="71"/>
      <c r="C8384" s="79" t="s">
        <v>33012</v>
      </c>
      <c r="D8384" s="82"/>
      <c r="E8384" s="63" t="s">
        <v>33013</v>
      </c>
      <c r="F8384" s="70">
        <v>42450.0</v>
      </c>
      <c r="G8384" s="63" t="s">
        <v>33014</v>
      </c>
      <c r="H8384" s="80" t="s">
        <v>33015</v>
      </c>
      <c r="I8384" s="82"/>
      <c r="J8384" s="80" t="s">
        <v>136</v>
      </c>
      <c r="K8384" s="81">
        <v>44579.0</v>
      </c>
      <c r="L8384" s="80" t="s">
        <v>2743</v>
      </c>
      <c r="M8384" s="80" t="s">
        <v>542</v>
      </c>
      <c r="N8384" s="116"/>
      <c r="O8384" s="51"/>
    </row>
    <row r="8385">
      <c r="A8385" s="234"/>
      <c r="B8385" s="71"/>
      <c r="C8385" s="79" t="s">
        <v>33016</v>
      </c>
      <c r="D8385" s="82"/>
      <c r="E8385" s="63" t="s">
        <v>33017</v>
      </c>
      <c r="F8385" s="70">
        <v>44460.0</v>
      </c>
      <c r="G8385" s="63" t="s">
        <v>33018</v>
      </c>
      <c r="H8385" s="80" t="s">
        <v>33019</v>
      </c>
      <c r="I8385" s="82"/>
      <c r="J8385" s="80" t="s">
        <v>136</v>
      </c>
      <c r="K8385" s="81">
        <v>44579.0</v>
      </c>
      <c r="L8385" s="80" t="s">
        <v>30692</v>
      </c>
      <c r="M8385" s="80" t="s">
        <v>19459</v>
      </c>
      <c r="N8385" s="116"/>
      <c r="O8385" s="51"/>
    </row>
    <row r="8386">
      <c r="A8386" s="273"/>
      <c r="B8386" s="71"/>
      <c r="C8386" s="69" t="s">
        <v>33020</v>
      </c>
      <c r="D8386" s="71"/>
      <c r="E8386" s="68" t="s">
        <v>33021</v>
      </c>
      <c r="F8386" s="76">
        <v>42710.0</v>
      </c>
      <c r="G8386" s="68" t="s">
        <v>33022</v>
      </c>
      <c r="H8386" s="68" t="s">
        <v>439</v>
      </c>
      <c r="I8386" s="71"/>
      <c r="J8386" s="68" t="s">
        <v>33023</v>
      </c>
      <c r="K8386" s="71"/>
      <c r="L8386" s="68" t="s">
        <v>32774</v>
      </c>
      <c r="M8386" s="68" t="s">
        <v>27</v>
      </c>
      <c r="N8386" s="116"/>
      <c r="O8386" s="51"/>
    </row>
    <row r="8387">
      <c r="A8387" s="273"/>
      <c r="B8387" s="71"/>
      <c r="C8387" s="69" t="s">
        <v>33024</v>
      </c>
      <c r="D8387" s="71"/>
      <c r="E8387" s="68" t="s">
        <v>33025</v>
      </c>
      <c r="F8387" s="83">
        <v>38639.0</v>
      </c>
      <c r="G8387" s="68" t="s">
        <v>33026</v>
      </c>
      <c r="H8387" s="71"/>
      <c r="I8387" s="71"/>
      <c r="J8387" s="68" t="s">
        <v>33027</v>
      </c>
      <c r="K8387" s="71"/>
      <c r="L8387" s="71"/>
      <c r="M8387" s="71"/>
      <c r="N8387" s="116"/>
      <c r="O8387" s="51"/>
    </row>
    <row r="8388">
      <c r="A8388" s="273"/>
      <c r="B8388" s="71"/>
      <c r="C8388" s="69" t="s">
        <v>33028</v>
      </c>
      <c r="D8388" s="71"/>
      <c r="E8388" s="68" t="s">
        <v>33029</v>
      </c>
      <c r="F8388" s="83">
        <v>39080.0</v>
      </c>
      <c r="G8388" s="68" t="s">
        <v>33030</v>
      </c>
      <c r="H8388" s="71"/>
      <c r="I8388" s="71"/>
      <c r="J8388" s="68" t="s">
        <v>33031</v>
      </c>
      <c r="K8388" s="71"/>
      <c r="L8388" s="71"/>
      <c r="M8388" s="71"/>
      <c r="N8388" s="116"/>
      <c r="O8388" s="51"/>
    </row>
    <row r="8389">
      <c r="A8389" s="273"/>
      <c r="B8389" s="71"/>
      <c r="C8389" s="69" t="s">
        <v>33032</v>
      </c>
      <c r="D8389" s="71"/>
      <c r="E8389" s="68" t="s">
        <v>33033</v>
      </c>
      <c r="F8389" s="76">
        <v>38954.0</v>
      </c>
      <c r="G8389" s="68" t="s">
        <v>33034</v>
      </c>
      <c r="H8389" s="71"/>
      <c r="I8389" s="71"/>
      <c r="J8389" s="68" t="s">
        <v>33035</v>
      </c>
      <c r="K8389" s="71"/>
      <c r="L8389" s="71"/>
      <c r="M8389" s="71"/>
      <c r="N8389" s="116"/>
      <c r="O8389" s="51"/>
    </row>
    <row r="8390">
      <c r="A8390" s="273"/>
      <c r="B8390" s="71"/>
      <c r="C8390" s="69" t="s">
        <v>33036</v>
      </c>
      <c r="D8390" s="71"/>
      <c r="E8390" s="68" t="s">
        <v>33037</v>
      </c>
      <c r="F8390" s="83">
        <v>39011.0</v>
      </c>
      <c r="G8390" s="68" t="s">
        <v>33038</v>
      </c>
      <c r="H8390" s="71"/>
      <c r="I8390" s="71"/>
      <c r="J8390" s="68" t="s">
        <v>33039</v>
      </c>
      <c r="K8390" s="71"/>
      <c r="L8390" s="71"/>
      <c r="M8390" s="71"/>
      <c r="N8390" s="116"/>
      <c r="O8390" s="51"/>
    </row>
    <row r="8391">
      <c r="A8391" s="273"/>
      <c r="B8391" s="71"/>
      <c r="C8391" s="69" t="s">
        <v>33040</v>
      </c>
      <c r="D8391" s="71"/>
      <c r="E8391" s="68" t="s">
        <v>33041</v>
      </c>
      <c r="F8391" s="76">
        <v>37659.0</v>
      </c>
      <c r="G8391" s="68" t="s">
        <v>33026</v>
      </c>
      <c r="H8391" s="71"/>
      <c r="I8391" s="71"/>
      <c r="J8391" s="68" t="s">
        <v>33042</v>
      </c>
      <c r="K8391" s="71"/>
      <c r="L8391" s="71"/>
      <c r="M8391" s="71"/>
      <c r="N8391" s="116"/>
      <c r="O8391" s="51"/>
    </row>
    <row r="8392">
      <c r="A8392" s="273"/>
      <c r="B8392" s="71"/>
      <c r="C8392" s="69" t="s">
        <v>33043</v>
      </c>
      <c r="D8392" s="71"/>
      <c r="E8392" s="68" t="s">
        <v>33044</v>
      </c>
      <c r="F8392" s="68">
        <v>2002.0</v>
      </c>
      <c r="G8392" s="71"/>
      <c r="H8392" s="71"/>
      <c r="I8392" s="71"/>
      <c r="J8392" s="68" t="s">
        <v>33045</v>
      </c>
      <c r="K8392" s="71"/>
      <c r="L8392" s="71"/>
      <c r="M8392" s="71"/>
      <c r="N8392" s="116"/>
      <c r="O8392" s="51"/>
    </row>
    <row r="8393">
      <c r="A8393" s="273"/>
      <c r="B8393" s="71"/>
      <c r="C8393" s="69" t="s">
        <v>33046</v>
      </c>
      <c r="D8393" s="71"/>
      <c r="E8393" s="68" t="s">
        <v>33047</v>
      </c>
      <c r="F8393" s="76">
        <v>42491.0</v>
      </c>
      <c r="G8393" s="68" t="s">
        <v>33048</v>
      </c>
      <c r="H8393" s="71"/>
      <c r="I8393" s="71"/>
      <c r="J8393" s="68" t="s">
        <v>33049</v>
      </c>
      <c r="K8393" s="71"/>
      <c r="L8393" s="71"/>
      <c r="M8393" s="71"/>
      <c r="N8393" s="116"/>
      <c r="O8393" s="51"/>
    </row>
    <row r="8394">
      <c r="A8394" s="273"/>
      <c r="B8394" s="71"/>
      <c r="C8394" s="69" t="s">
        <v>33050</v>
      </c>
      <c r="D8394" s="71"/>
      <c r="E8394" s="68" t="s">
        <v>33051</v>
      </c>
      <c r="F8394" s="76">
        <v>42199.0</v>
      </c>
      <c r="G8394" s="68" t="s">
        <v>33048</v>
      </c>
      <c r="H8394" s="71"/>
      <c r="I8394" s="71"/>
      <c r="J8394" s="68" t="s">
        <v>33052</v>
      </c>
      <c r="K8394" s="71"/>
      <c r="L8394" s="71"/>
      <c r="M8394" s="71"/>
      <c r="N8394" s="116"/>
      <c r="O8394" s="51"/>
    </row>
    <row r="8395">
      <c r="A8395" s="273"/>
      <c r="B8395" s="71"/>
      <c r="C8395" s="69" t="s">
        <v>33053</v>
      </c>
      <c r="D8395" s="71"/>
      <c r="E8395" s="68" t="s">
        <v>33054</v>
      </c>
      <c r="F8395" s="83">
        <v>40112.0</v>
      </c>
      <c r="G8395" s="68" t="s">
        <v>33055</v>
      </c>
      <c r="H8395" s="71"/>
      <c r="I8395" s="71"/>
      <c r="J8395" s="68" t="s">
        <v>33056</v>
      </c>
      <c r="K8395" s="71"/>
      <c r="L8395" s="71"/>
      <c r="M8395" s="71"/>
      <c r="N8395" s="116"/>
      <c r="O8395" s="51"/>
    </row>
    <row r="8396">
      <c r="A8396" s="273"/>
      <c r="B8396" s="71"/>
      <c r="C8396" s="69" t="s">
        <v>33057</v>
      </c>
      <c r="D8396" s="71"/>
      <c r="E8396" s="68" t="s">
        <v>33058</v>
      </c>
      <c r="F8396" s="76">
        <v>40355.0</v>
      </c>
      <c r="G8396" s="68" t="s">
        <v>33059</v>
      </c>
      <c r="H8396" s="71"/>
      <c r="I8396" s="71"/>
      <c r="J8396" s="87" t="s">
        <v>33060</v>
      </c>
      <c r="K8396" s="101"/>
      <c r="L8396" s="71"/>
      <c r="M8396" s="71"/>
      <c r="N8396" s="116"/>
      <c r="O8396" s="51"/>
    </row>
    <row r="8397">
      <c r="A8397" s="273"/>
      <c r="B8397" s="71"/>
      <c r="C8397" s="69" t="s">
        <v>33061</v>
      </c>
      <c r="D8397" s="71"/>
      <c r="E8397" s="68" t="s">
        <v>33062</v>
      </c>
      <c r="F8397" s="76">
        <v>42255.0</v>
      </c>
      <c r="G8397" s="68" t="s">
        <v>33063</v>
      </c>
      <c r="H8397" s="71"/>
      <c r="I8397" s="71"/>
      <c r="J8397" s="68" t="s">
        <v>33064</v>
      </c>
      <c r="K8397" s="71"/>
      <c r="L8397" s="71"/>
      <c r="M8397" s="71"/>
      <c r="N8397" s="116"/>
      <c r="O8397" s="51"/>
    </row>
    <row r="8398">
      <c r="A8398" s="273"/>
      <c r="B8398" s="71"/>
      <c r="C8398" s="69" t="s">
        <v>33065</v>
      </c>
      <c r="D8398" s="71"/>
      <c r="E8398" s="68" t="s">
        <v>33066</v>
      </c>
      <c r="F8398" s="83">
        <v>40264.0</v>
      </c>
      <c r="G8398" s="68" t="s">
        <v>33067</v>
      </c>
      <c r="H8398" s="71"/>
      <c r="I8398" s="71"/>
      <c r="J8398" s="68" t="s">
        <v>33068</v>
      </c>
      <c r="K8398" s="71"/>
      <c r="L8398" s="71"/>
      <c r="M8398" s="71"/>
      <c r="N8398" s="87" t="s">
        <v>33069</v>
      </c>
      <c r="O8398" s="51"/>
    </row>
    <row r="8399">
      <c r="A8399" s="234"/>
      <c r="B8399" s="71"/>
      <c r="C8399" s="79" t="s">
        <v>33070</v>
      </c>
      <c r="D8399" s="82"/>
      <c r="E8399" s="63" t="s">
        <v>33071</v>
      </c>
      <c r="F8399" s="65">
        <v>41961.0</v>
      </c>
      <c r="G8399" s="63" t="s">
        <v>33072</v>
      </c>
      <c r="H8399" s="80" t="s">
        <v>439</v>
      </c>
      <c r="I8399" s="82"/>
      <c r="J8399" s="63" t="s">
        <v>136</v>
      </c>
      <c r="K8399" s="81">
        <v>44592.0</v>
      </c>
      <c r="L8399" s="80" t="s">
        <v>2743</v>
      </c>
      <c r="M8399" s="80" t="s">
        <v>18616</v>
      </c>
      <c r="N8399" s="87" t="s">
        <v>33073</v>
      </c>
      <c r="O8399" s="51"/>
    </row>
    <row r="8400">
      <c r="A8400" s="234"/>
      <c r="B8400" s="71"/>
      <c r="C8400" s="79" t="s">
        <v>33074</v>
      </c>
      <c r="D8400" s="82"/>
      <c r="E8400" s="63" t="s">
        <v>33075</v>
      </c>
      <c r="F8400" s="65">
        <v>41961.0</v>
      </c>
      <c r="G8400" s="63" t="s">
        <v>33072</v>
      </c>
      <c r="H8400" s="80" t="s">
        <v>439</v>
      </c>
      <c r="I8400" s="82"/>
      <c r="J8400" s="63" t="s">
        <v>136</v>
      </c>
      <c r="K8400" s="81">
        <v>44592.0</v>
      </c>
      <c r="L8400" s="80" t="s">
        <v>2743</v>
      </c>
      <c r="M8400" s="80" t="s">
        <v>18616</v>
      </c>
      <c r="N8400" s="116"/>
      <c r="O8400" s="51"/>
    </row>
    <row r="8401">
      <c r="A8401" s="234"/>
      <c r="B8401" s="71"/>
      <c r="C8401" s="79" t="s">
        <v>33076</v>
      </c>
      <c r="D8401" s="82"/>
      <c r="E8401" s="63" t="s">
        <v>33077</v>
      </c>
      <c r="F8401" s="65">
        <v>41961.0</v>
      </c>
      <c r="G8401" s="63" t="s">
        <v>33072</v>
      </c>
      <c r="H8401" s="80" t="s">
        <v>33078</v>
      </c>
      <c r="I8401" s="82"/>
      <c r="J8401" s="63" t="s">
        <v>136</v>
      </c>
      <c r="K8401" s="81">
        <v>44592.0</v>
      </c>
      <c r="L8401" s="80" t="s">
        <v>2743</v>
      </c>
      <c r="M8401" s="80" t="s">
        <v>18616</v>
      </c>
      <c r="N8401" s="116"/>
      <c r="O8401" s="51"/>
    </row>
    <row r="8402">
      <c r="A8402" s="234"/>
      <c r="B8402" s="71"/>
      <c r="C8402" s="79" t="s">
        <v>33079</v>
      </c>
      <c r="D8402" s="82"/>
      <c r="E8402" s="63" t="s">
        <v>33080</v>
      </c>
      <c r="F8402" s="70">
        <v>43115.0</v>
      </c>
      <c r="G8402" s="63" t="s">
        <v>33081</v>
      </c>
      <c r="H8402" s="80" t="s">
        <v>33082</v>
      </c>
      <c r="I8402" s="82"/>
      <c r="J8402" s="63" t="s">
        <v>136</v>
      </c>
      <c r="K8402" s="81">
        <v>44593.0</v>
      </c>
      <c r="L8402" s="80" t="s">
        <v>2743</v>
      </c>
      <c r="M8402" s="80" t="s">
        <v>7530</v>
      </c>
      <c r="N8402" s="116"/>
      <c r="O8402" s="51"/>
    </row>
    <row r="8403">
      <c r="A8403" s="234"/>
      <c r="B8403" s="71"/>
      <c r="C8403" s="79" t="s">
        <v>33083</v>
      </c>
      <c r="D8403" s="82"/>
      <c r="E8403" s="63" t="s">
        <v>33084</v>
      </c>
      <c r="F8403" s="70">
        <v>42457.0</v>
      </c>
      <c r="G8403" s="63" t="s">
        <v>33085</v>
      </c>
      <c r="H8403" s="80" t="s">
        <v>33086</v>
      </c>
      <c r="I8403" s="82"/>
      <c r="J8403" s="63" t="s">
        <v>136</v>
      </c>
      <c r="K8403" s="81">
        <v>44593.0</v>
      </c>
      <c r="L8403" s="80" t="s">
        <v>2743</v>
      </c>
      <c r="M8403" s="80" t="s">
        <v>125</v>
      </c>
      <c r="N8403" s="116"/>
      <c r="O8403" s="51"/>
    </row>
    <row r="8404">
      <c r="A8404" s="234"/>
      <c r="B8404" s="71"/>
      <c r="C8404" s="79" t="s">
        <v>33087</v>
      </c>
      <c r="D8404" s="82"/>
      <c r="E8404" s="63" t="s">
        <v>33088</v>
      </c>
      <c r="F8404" s="70">
        <v>44563.0</v>
      </c>
      <c r="G8404" s="63" t="s">
        <v>33089</v>
      </c>
      <c r="H8404" s="80" t="s">
        <v>33090</v>
      </c>
      <c r="I8404" s="82"/>
      <c r="J8404" s="66"/>
      <c r="K8404" s="81">
        <v>44594.0</v>
      </c>
      <c r="L8404" s="80" t="s">
        <v>2743</v>
      </c>
      <c r="M8404" s="80" t="s">
        <v>31</v>
      </c>
      <c r="N8404" s="116"/>
      <c r="O8404" s="51"/>
    </row>
    <row r="8405">
      <c r="A8405" s="234"/>
      <c r="B8405" s="71"/>
      <c r="C8405" s="79" t="s">
        <v>33091</v>
      </c>
      <c r="D8405" s="82"/>
      <c r="E8405" s="63" t="s">
        <v>33092</v>
      </c>
      <c r="F8405" s="70">
        <v>44016.0</v>
      </c>
      <c r="G8405" s="63" t="s">
        <v>33093</v>
      </c>
      <c r="H8405" s="80" t="s">
        <v>33094</v>
      </c>
      <c r="I8405" s="82"/>
      <c r="J8405" s="63" t="s">
        <v>136</v>
      </c>
      <c r="K8405" s="81">
        <v>44594.0</v>
      </c>
      <c r="L8405" s="80" t="s">
        <v>2743</v>
      </c>
      <c r="M8405" s="80" t="s">
        <v>125</v>
      </c>
      <c r="N8405" s="116"/>
      <c r="O8405" s="51"/>
    </row>
    <row r="8406">
      <c r="A8406" s="234"/>
      <c r="B8406" s="71"/>
      <c r="C8406" s="79" t="s">
        <v>33095</v>
      </c>
      <c r="D8406" s="82"/>
      <c r="E8406" s="63" t="s">
        <v>33096</v>
      </c>
      <c r="F8406" s="70">
        <v>44563.0</v>
      </c>
      <c r="G8406" s="63" t="s">
        <v>33097</v>
      </c>
      <c r="H8406" s="80" t="s">
        <v>33098</v>
      </c>
      <c r="I8406" s="80" t="s">
        <v>33099</v>
      </c>
      <c r="J8406" s="63" t="s">
        <v>136</v>
      </c>
      <c r="K8406" s="81">
        <v>44594.0</v>
      </c>
      <c r="L8406" s="80" t="s">
        <v>2743</v>
      </c>
      <c r="M8406" s="80" t="s">
        <v>32175</v>
      </c>
      <c r="N8406" s="116"/>
      <c r="O8406" s="51"/>
    </row>
    <row r="8407">
      <c r="A8407" s="273"/>
      <c r="B8407" s="71"/>
      <c r="C8407" s="69" t="s">
        <v>33100</v>
      </c>
      <c r="D8407" s="71"/>
      <c r="E8407" s="68" t="s">
        <v>33101</v>
      </c>
      <c r="F8407" s="76">
        <v>44574.0</v>
      </c>
      <c r="G8407" s="68" t="s">
        <v>33102</v>
      </c>
      <c r="H8407" s="68" t="s">
        <v>33103</v>
      </c>
      <c r="I8407" s="71"/>
      <c r="J8407" s="68" t="s">
        <v>33104</v>
      </c>
      <c r="K8407" s="76">
        <v>44594.0</v>
      </c>
      <c r="L8407" s="68" t="s">
        <v>2743</v>
      </c>
      <c r="M8407" s="68" t="s">
        <v>4487</v>
      </c>
      <c r="N8407" s="116"/>
      <c r="O8407" s="51"/>
    </row>
    <row r="8408">
      <c r="A8408" s="234"/>
      <c r="B8408" s="71"/>
      <c r="C8408" s="79" t="s">
        <v>33105</v>
      </c>
      <c r="D8408" s="82"/>
      <c r="E8408" s="63" t="s">
        <v>33106</v>
      </c>
      <c r="F8408" s="70">
        <v>41185.0</v>
      </c>
      <c r="G8408" s="63" t="s">
        <v>33107</v>
      </c>
      <c r="H8408" s="80" t="s">
        <v>33108</v>
      </c>
      <c r="I8408" s="82"/>
      <c r="J8408" s="63" t="s">
        <v>136</v>
      </c>
      <c r="K8408" s="81">
        <v>44594.0</v>
      </c>
      <c r="L8408" s="80" t="s">
        <v>2743</v>
      </c>
      <c r="M8408" s="80" t="s">
        <v>31637</v>
      </c>
      <c r="N8408" s="116"/>
      <c r="O8408" s="51"/>
    </row>
    <row r="8409">
      <c r="A8409" s="234"/>
      <c r="B8409" s="71"/>
      <c r="C8409" s="79" t="s">
        <v>33109</v>
      </c>
      <c r="D8409" s="82"/>
      <c r="E8409" s="63" t="s">
        <v>33110</v>
      </c>
      <c r="F8409" s="63" t="s">
        <v>33111</v>
      </c>
      <c r="G8409" s="63" t="s">
        <v>33112</v>
      </c>
      <c r="H8409" s="80" t="s">
        <v>33113</v>
      </c>
      <c r="I8409" s="82"/>
      <c r="J8409" s="63" t="s">
        <v>136</v>
      </c>
      <c r="K8409" s="81">
        <v>44600.0</v>
      </c>
      <c r="L8409" s="80" t="s">
        <v>2743</v>
      </c>
      <c r="M8409" s="80" t="s">
        <v>2152</v>
      </c>
      <c r="N8409" s="116"/>
      <c r="O8409" s="51"/>
    </row>
    <row r="8410">
      <c r="A8410" s="234"/>
      <c r="B8410" s="71"/>
      <c r="C8410" s="79" t="s">
        <v>33114</v>
      </c>
      <c r="D8410" s="82"/>
      <c r="E8410" s="63" t="s">
        <v>33115</v>
      </c>
      <c r="F8410" s="65">
        <v>44527.0</v>
      </c>
      <c r="G8410" s="63" t="s">
        <v>33116</v>
      </c>
      <c r="H8410" s="80" t="s">
        <v>33117</v>
      </c>
      <c r="I8410" s="82"/>
      <c r="J8410" s="63" t="s">
        <v>136</v>
      </c>
      <c r="K8410" s="81">
        <v>44600.0</v>
      </c>
      <c r="L8410" s="80" t="s">
        <v>30692</v>
      </c>
      <c r="M8410" s="80" t="s">
        <v>166</v>
      </c>
      <c r="N8410" s="116"/>
      <c r="O8410" s="51"/>
    </row>
    <row r="8411">
      <c r="A8411" s="273"/>
      <c r="B8411" s="71"/>
      <c r="C8411" s="69" t="s">
        <v>33118</v>
      </c>
      <c r="D8411" s="71"/>
      <c r="E8411" s="68" t="s">
        <v>33119</v>
      </c>
      <c r="F8411" s="76">
        <v>44571.0</v>
      </c>
      <c r="G8411" s="68" t="s">
        <v>33120</v>
      </c>
      <c r="H8411" s="71"/>
      <c r="I8411" s="71"/>
      <c r="J8411" s="68" t="s">
        <v>33121</v>
      </c>
      <c r="K8411" s="76">
        <v>44600.0</v>
      </c>
      <c r="L8411" s="68" t="s">
        <v>2743</v>
      </c>
      <c r="M8411" s="68" t="s">
        <v>143</v>
      </c>
      <c r="N8411" s="116"/>
      <c r="O8411" s="51"/>
    </row>
    <row r="8412">
      <c r="A8412" s="234"/>
      <c r="B8412" s="71"/>
      <c r="C8412" s="79" t="s">
        <v>33122</v>
      </c>
      <c r="D8412" s="82"/>
      <c r="E8412" s="63" t="s">
        <v>33123</v>
      </c>
      <c r="F8412" s="70">
        <v>43935.0</v>
      </c>
      <c r="G8412" s="63" t="s">
        <v>33124</v>
      </c>
      <c r="H8412" s="80" t="s">
        <v>33125</v>
      </c>
      <c r="I8412" s="82"/>
      <c r="J8412" s="63" t="s">
        <v>136</v>
      </c>
      <c r="K8412" s="81">
        <v>44606.0</v>
      </c>
      <c r="L8412" s="80" t="s">
        <v>2743</v>
      </c>
      <c r="M8412" s="80" t="s">
        <v>19459</v>
      </c>
      <c r="N8412" s="116"/>
      <c r="O8412" s="51"/>
    </row>
    <row r="8413">
      <c r="A8413" s="234"/>
      <c r="B8413" s="71"/>
      <c r="C8413" s="79" t="s">
        <v>33126</v>
      </c>
      <c r="D8413" s="82"/>
      <c r="E8413" s="63" t="s">
        <v>33127</v>
      </c>
      <c r="F8413" s="70">
        <v>43935.0</v>
      </c>
      <c r="G8413" s="63" t="s">
        <v>33128</v>
      </c>
      <c r="H8413" s="80" t="s">
        <v>33129</v>
      </c>
      <c r="I8413" s="82"/>
      <c r="J8413" s="63" t="s">
        <v>136</v>
      </c>
      <c r="K8413" s="81">
        <v>44606.0</v>
      </c>
      <c r="L8413" s="80" t="s">
        <v>2743</v>
      </c>
      <c r="M8413" s="80" t="s">
        <v>19459</v>
      </c>
      <c r="N8413" s="116"/>
      <c r="O8413" s="51"/>
    </row>
    <row r="8414">
      <c r="A8414" s="234"/>
      <c r="B8414" s="71"/>
      <c r="C8414" s="79" t="s">
        <v>33130</v>
      </c>
      <c r="D8414" s="82"/>
      <c r="E8414" s="63" t="s">
        <v>33131</v>
      </c>
      <c r="F8414" s="70">
        <v>44352.0</v>
      </c>
      <c r="G8414" s="63" t="s">
        <v>33132</v>
      </c>
      <c r="H8414" s="80" t="s">
        <v>33133</v>
      </c>
      <c r="I8414" s="82"/>
      <c r="J8414" s="63" t="s">
        <v>136</v>
      </c>
      <c r="K8414" s="81">
        <v>44606.0</v>
      </c>
      <c r="L8414" s="80" t="s">
        <v>2743</v>
      </c>
      <c r="M8414" s="80" t="s">
        <v>18616</v>
      </c>
      <c r="N8414" s="116"/>
      <c r="O8414" s="51"/>
    </row>
    <row r="8415">
      <c r="A8415" s="234"/>
      <c r="B8415" s="71"/>
      <c r="C8415" s="79" t="s">
        <v>33134</v>
      </c>
      <c r="D8415" s="82"/>
      <c r="E8415" s="63" t="s">
        <v>33135</v>
      </c>
      <c r="F8415" s="65">
        <v>44127.0</v>
      </c>
      <c r="G8415" s="63" t="s">
        <v>33136</v>
      </c>
      <c r="H8415" s="80" t="s">
        <v>33137</v>
      </c>
      <c r="I8415" s="82"/>
      <c r="J8415" s="63" t="s">
        <v>136</v>
      </c>
      <c r="K8415" s="81">
        <v>44606.0</v>
      </c>
      <c r="L8415" s="80" t="s">
        <v>2743</v>
      </c>
      <c r="M8415" s="80" t="s">
        <v>125</v>
      </c>
      <c r="N8415" s="116"/>
      <c r="O8415" s="51"/>
    </row>
    <row r="8416">
      <c r="A8416" s="234"/>
      <c r="B8416" s="71"/>
      <c r="C8416" s="79" t="s">
        <v>33138</v>
      </c>
      <c r="D8416" s="82"/>
      <c r="E8416" s="63" t="s">
        <v>33139</v>
      </c>
      <c r="F8416" s="70">
        <v>42124.0</v>
      </c>
      <c r="G8416" s="63" t="s">
        <v>33140</v>
      </c>
      <c r="H8416" s="80" t="s">
        <v>33141</v>
      </c>
      <c r="I8416" s="82"/>
      <c r="J8416" s="63" t="s">
        <v>136</v>
      </c>
      <c r="K8416" s="81">
        <v>44609.0</v>
      </c>
      <c r="L8416" s="80" t="s">
        <v>20958</v>
      </c>
      <c r="M8416" s="80" t="s">
        <v>32574</v>
      </c>
      <c r="N8416" s="116"/>
      <c r="O8416" s="51"/>
    </row>
    <row r="8417">
      <c r="A8417" s="234"/>
      <c r="B8417" s="71"/>
      <c r="C8417" s="79" t="s">
        <v>33142</v>
      </c>
      <c r="D8417" s="82"/>
      <c r="E8417" s="63" t="s">
        <v>33143</v>
      </c>
      <c r="F8417" s="70">
        <v>44233.0</v>
      </c>
      <c r="G8417" s="63" t="s">
        <v>33144</v>
      </c>
      <c r="H8417" s="80" t="s">
        <v>33145</v>
      </c>
      <c r="I8417" s="82"/>
      <c r="J8417" s="63" t="s">
        <v>136</v>
      </c>
      <c r="K8417" s="81">
        <v>44610.0</v>
      </c>
      <c r="L8417" s="80" t="s">
        <v>2743</v>
      </c>
      <c r="M8417" s="80" t="s">
        <v>33146</v>
      </c>
      <c r="N8417" s="116"/>
      <c r="O8417" s="51"/>
    </row>
    <row r="8418">
      <c r="A8418" s="234"/>
      <c r="B8418" s="71"/>
      <c r="C8418" s="79" t="s">
        <v>33147</v>
      </c>
      <c r="D8418" s="82"/>
      <c r="E8418" s="63" t="s">
        <v>33148</v>
      </c>
      <c r="F8418" s="70">
        <v>44604.0</v>
      </c>
      <c r="G8418" s="63" t="s">
        <v>33149</v>
      </c>
      <c r="H8418" s="80" t="s">
        <v>33150</v>
      </c>
      <c r="I8418" s="82"/>
      <c r="J8418" s="63" t="s">
        <v>136</v>
      </c>
      <c r="K8418" s="81">
        <v>44610.0</v>
      </c>
      <c r="L8418" s="80" t="s">
        <v>31554</v>
      </c>
      <c r="M8418" s="80" t="s">
        <v>143</v>
      </c>
      <c r="N8418" s="116"/>
      <c r="O8418" s="51"/>
    </row>
    <row r="8419">
      <c r="A8419" s="234"/>
      <c r="B8419" s="71"/>
      <c r="C8419" s="79" t="s">
        <v>33151</v>
      </c>
      <c r="D8419" s="82"/>
      <c r="E8419" s="63" t="s">
        <v>33152</v>
      </c>
      <c r="F8419" s="65">
        <v>44561.0</v>
      </c>
      <c r="G8419" s="63" t="s">
        <v>33153</v>
      </c>
      <c r="H8419" s="80" t="s">
        <v>33154</v>
      </c>
      <c r="I8419" s="82"/>
      <c r="J8419" s="63" t="s">
        <v>136</v>
      </c>
      <c r="K8419" s="81">
        <v>44610.0</v>
      </c>
      <c r="L8419" s="80" t="s">
        <v>2743</v>
      </c>
      <c r="M8419" s="80" t="s">
        <v>33155</v>
      </c>
      <c r="N8419" s="116"/>
      <c r="O8419" s="51"/>
    </row>
    <row r="8420">
      <c r="A8420" s="234"/>
      <c r="B8420" s="71"/>
      <c r="C8420" s="79" t="s">
        <v>33156</v>
      </c>
      <c r="D8420" s="82"/>
      <c r="E8420" s="63" t="s">
        <v>33157</v>
      </c>
      <c r="F8420" s="70">
        <v>43804.0</v>
      </c>
      <c r="G8420" s="63" t="s">
        <v>33158</v>
      </c>
      <c r="H8420" s="80" t="s">
        <v>439</v>
      </c>
      <c r="I8420" s="82"/>
      <c r="J8420" s="63" t="s">
        <v>136</v>
      </c>
      <c r="K8420" s="81">
        <v>44610.0</v>
      </c>
      <c r="L8420" s="80" t="s">
        <v>2743</v>
      </c>
      <c r="M8420" s="80" t="s">
        <v>125</v>
      </c>
      <c r="N8420" s="116"/>
      <c r="O8420" s="51"/>
    </row>
    <row r="8421">
      <c r="A8421" s="234"/>
      <c r="B8421" s="71"/>
      <c r="C8421" s="79" t="s">
        <v>33159</v>
      </c>
      <c r="D8421" s="82"/>
      <c r="E8421" s="63" t="s">
        <v>33160</v>
      </c>
      <c r="F8421" s="70">
        <v>40185.0</v>
      </c>
      <c r="G8421" s="63" t="s">
        <v>33161</v>
      </c>
      <c r="H8421" s="80" t="s">
        <v>33162</v>
      </c>
      <c r="I8421" s="82"/>
      <c r="J8421" s="63" t="s">
        <v>136</v>
      </c>
      <c r="K8421" s="81">
        <v>44611.0</v>
      </c>
      <c r="L8421" s="80" t="s">
        <v>2743</v>
      </c>
      <c r="M8421" s="80" t="s">
        <v>18616</v>
      </c>
      <c r="N8421" s="116"/>
      <c r="O8421" s="51"/>
    </row>
    <row r="8422">
      <c r="A8422" s="234"/>
      <c r="B8422" s="71"/>
      <c r="C8422" s="79" t="s">
        <v>33163</v>
      </c>
      <c r="D8422" s="82"/>
      <c r="E8422" s="63" t="s">
        <v>33164</v>
      </c>
      <c r="F8422" s="70">
        <v>40185.0</v>
      </c>
      <c r="G8422" s="63" t="s">
        <v>33161</v>
      </c>
      <c r="H8422" s="80" t="s">
        <v>33162</v>
      </c>
      <c r="I8422" s="82"/>
      <c r="J8422" s="63" t="s">
        <v>136</v>
      </c>
      <c r="K8422" s="81">
        <v>44611.0</v>
      </c>
      <c r="L8422" s="80" t="s">
        <v>2743</v>
      </c>
      <c r="M8422" s="80" t="s">
        <v>18616</v>
      </c>
      <c r="N8422" s="116"/>
      <c r="O8422" s="51"/>
    </row>
    <row r="8423">
      <c r="A8423" s="273"/>
      <c r="B8423" s="71"/>
      <c r="C8423" s="69" t="s">
        <v>33165</v>
      </c>
      <c r="D8423" s="71"/>
      <c r="E8423" s="68" t="s">
        <v>33166</v>
      </c>
      <c r="F8423" s="76">
        <v>44583.0</v>
      </c>
      <c r="G8423" s="68" t="s">
        <v>33167</v>
      </c>
      <c r="H8423" s="68" t="s">
        <v>33168</v>
      </c>
      <c r="I8423" s="68" t="s">
        <v>33169</v>
      </c>
      <c r="J8423" s="68" t="s">
        <v>33170</v>
      </c>
      <c r="K8423" s="76">
        <v>44611.0</v>
      </c>
      <c r="L8423" s="68" t="s">
        <v>2743</v>
      </c>
      <c r="M8423" s="68" t="s">
        <v>32175</v>
      </c>
      <c r="N8423" s="116"/>
      <c r="O8423" s="51"/>
    </row>
    <row r="8424">
      <c r="A8424" s="273"/>
      <c r="B8424" s="71"/>
      <c r="C8424" s="69" t="s">
        <v>33171</v>
      </c>
      <c r="D8424" s="71"/>
      <c r="E8424" s="68" t="s">
        <v>33172</v>
      </c>
      <c r="F8424" s="83">
        <v>44161.0</v>
      </c>
      <c r="G8424" s="68" t="s">
        <v>33173</v>
      </c>
      <c r="H8424" s="68" t="s">
        <v>33174</v>
      </c>
      <c r="I8424" s="71"/>
      <c r="J8424" s="68" t="s">
        <v>33175</v>
      </c>
      <c r="K8424" s="76">
        <v>44611.0</v>
      </c>
      <c r="L8424" s="68" t="s">
        <v>2743</v>
      </c>
      <c r="M8424" s="68" t="s">
        <v>19204</v>
      </c>
      <c r="N8424" s="116"/>
      <c r="O8424" s="51"/>
    </row>
    <row r="8425">
      <c r="A8425" s="273"/>
      <c r="B8425" s="71"/>
      <c r="C8425" s="69" t="s">
        <v>33176</v>
      </c>
      <c r="D8425" s="71"/>
      <c r="E8425" s="68" t="s">
        <v>33177</v>
      </c>
      <c r="F8425" s="76">
        <v>44093.0</v>
      </c>
      <c r="G8425" s="68" t="s">
        <v>33178</v>
      </c>
      <c r="H8425" s="68" t="s">
        <v>33179</v>
      </c>
      <c r="I8425" s="71"/>
      <c r="J8425" s="68" t="s">
        <v>33180</v>
      </c>
      <c r="K8425" s="76">
        <v>44611.0</v>
      </c>
      <c r="L8425" s="68" t="s">
        <v>2743</v>
      </c>
      <c r="M8425" s="68" t="s">
        <v>27994</v>
      </c>
      <c r="N8425" s="116"/>
      <c r="O8425" s="51"/>
    </row>
    <row r="8426">
      <c r="A8426" s="273"/>
      <c r="B8426" s="71"/>
      <c r="C8426" s="69" t="s">
        <v>33181</v>
      </c>
      <c r="D8426" s="71"/>
      <c r="E8426" s="68" t="s">
        <v>33182</v>
      </c>
      <c r="F8426" s="76">
        <v>44093.0</v>
      </c>
      <c r="G8426" s="68" t="s">
        <v>33178</v>
      </c>
      <c r="H8426" s="68" t="s">
        <v>33179</v>
      </c>
      <c r="I8426" s="71"/>
      <c r="J8426" s="68" t="s">
        <v>33183</v>
      </c>
      <c r="K8426" s="76">
        <v>44611.0</v>
      </c>
      <c r="L8426" s="68" t="s">
        <v>2743</v>
      </c>
      <c r="M8426" s="68" t="s">
        <v>27994</v>
      </c>
      <c r="N8426" s="116"/>
      <c r="O8426" s="51"/>
    </row>
    <row r="8427">
      <c r="A8427" s="273"/>
      <c r="B8427" s="71"/>
      <c r="C8427" s="69" t="s">
        <v>33184</v>
      </c>
      <c r="D8427" s="71"/>
      <c r="E8427" s="68" t="s">
        <v>33185</v>
      </c>
      <c r="F8427" s="76">
        <v>44007.0</v>
      </c>
      <c r="G8427" s="68" t="s">
        <v>33186</v>
      </c>
      <c r="H8427" s="68" t="s">
        <v>33187</v>
      </c>
      <c r="I8427" s="71"/>
      <c r="J8427" s="68" t="s">
        <v>33188</v>
      </c>
      <c r="K8427" s="76">
        <v>44611.0</v>
      </c>
      <c r="L8427" s="68" t="s">
        <v>2743</v>
      </c>
      <c r="M8427" s="68" t="s">
        <v>542</v>
      </c>
      <c r="N8427" s="116"/>
      <c r="O8427" s="51"/>
    </row>
    <row r="8428">
      <c r="A8428" s="234"/>
      <c r="B8428" s="71"/>
      <c r="C8428" s="79" t="s">
        <v>33189</v>
      </c>
      <c r="D8428" s="82"/>
      <c r="E8428" s="63" t="s">
        <v>33190</v>
      </c>
      <c r="F8428" s="70">
        <v>44593.0</v>
      </c>
      <c r="G8428" s="63" t="s">
        <v>33191</v>
      </c>
      <c r="H8428" s="80" t="s">
        <v>439</v>
      </c>
      <c r="I8428" s="82"/>
      <c r="J8428" s="63" t="s">
        <v>136</v>
      </c>
      <c r="K8428" s="81">
        <v>44611.0</v>
      </c>
      <c r="L8428" s="80" t="s">
        <v>2743</v>
      </c>
      <c r="M8428" s="80" t="s">
        <v>33192</v>
      </c>
      <c r="N8428" s="116"/>
      <c r="O8428" s="51"/>
    </row>
    <row r="8429">
      <c r="A8429" s="234"/>
      <c r="B8429" s="71"/>
      <c r="C8429" s="79" t="s">
        <v>33193</v>
      </c>
      <c r="D8429" s="82"/>
      <c r="E8429" s="63" t="s">
        <v>33194</v>
      </c>
      <c r="F8429" s="70">
        <v>41714.0</v>
      </c>
      <c r="G8429" s="63" t="s">
        <v>33195</v>
      </c>
      <c r="H8429" s="80" t="s">
        <v>33196</v>
      </c>
      <c r="I8429" s="82"/>
      <c r="J8429" s="63" t="s">
        <v>136</v>
      </c>
      <c r="K8429" s="81">
        <v>44611.0</v>
      </c>
      <c r="L8429" s="80" t="s">
        <v>2743</v>
      </c>
      <c r="M8429" s="80" t="s">
        <v>33197</v>
      </c>
      <c r="N8429" s="116"/>
      <c r="O8429" s="51"/>
    </row>
    <row r="8430">
      <c r="A8430" s="273"/>
      <c r="B8430" s="71"/>
      <c r="C8430" s="69" t="s">
        <v>33198</v>
      </c>
      <c r="D8430" s="71"/>
      <c r="E8430" s="68" t="s">
        <v>33199</v>
      </c>
      <c r="F8430" s="76">
        <v>44467.0</v>
      </c>
      <c r="G8430" s="68" t="s">
        <v>33200</v>
      </c>
      <c r="H8430" s="68" t="s">
        <v>33201</v>
      </c>
      <c r="I8430" s="71"/>
      <c r="J8430" s="68" t="s">
        <v>33202</v>
      </c>
      <c r="K8430" s="76">
        <v>44611.0</v>
      </c>
      <c r="L8430" s="68" t="s">
        <v>2743</v>
      </c>
      <c r="M8430" s="68" t="s">
        <v>33203</v>
      </c>
      <c r="N8430" s="116"/>
      <c r="O8430" s="51"/>
    </row>
    <row r="8431">
      <c r="A8431" s="273"/>
      <c r="B8431" s="71"/>
      <c r="C8431" s="69" t="s">
        <v>33204</v>
      </c>
      <c r="D8431" s="71"/>
      <c r="E8431" s="68" t="s">
        <v>33205</v>
      </c>
      <c r="F8431" s="76">
        <v>44035.0</v>
      </c>
      <c r="G8431" s="68" t="s">
        <v>33206</v>
      </c>
      <c r="H8431" s="68" t="s">
        <v>33207</v>
      </c>
      <c r="I8431" s="71"/>
      <c r="J8431" s="68" t="s">
        <v>33208</v>
      </c>
      <c r="K8431" s="76">
        <v>44614.0</v>
      </c>
      <c r="L8431" s="68" t="s">
        <v>2743</v>
      </c>
      <c r="M8431" s="68" t="s">
        <v>33203</v>
      </c>
      <c r="N8431" s="116"/>
      <c r="O8431" s="51"/>
    </row>
    <row r="8432">
      <c r="A8432" s="273"/>
      <c r="B8432" s="71"/>
      <c r="C8432" s="69" t="s">
        <v>33209</v>
      </c>
      <c r="D8432" s="71"/>
      <c r="E8432" s="68" t="s">
        <v>33210</v>
      </c>
      <c r="F8432" s="83">
        <v>42597.0</v>
      </c>
      <c r="G8432" s="68" t="s">
        <v>33211</v>
      </c>
      <c r="H8432" s="71"/>
      <c r="I8432" s="71"/>
      <c r="J8432" s="68" t="s">
        <v>33212</v>
      </c>
      <c r="K8432" s="71"/>
      <c r="L8432" s="68" t="s">
        <v>2743</v>
      </c>
      <c r="M8432" s="68" t="s">
        <v>27</v>
      </c>
      <c r="N8432" s="116"/>
      <c r="O8432" s="51"/>
    </row>
    <row r="8433">
      <c r="A8433" s="273"/>
      <c r="B8433" s="71"/>
      <c r="C8433" s="69" t="s">
        <v>33213</v>
      </c>
      <c r="D8433" s="71"/>
      <c r="E8433" s="68" t="s">
        <v>33214</v>
      </c>
      <c r="F8433" s="68">
        <v>40764.0</v>
      </c>
      <c r="G8433" s="68" t="s">
        <v>33215</v>
      </c>
      <c r="H8433" s="71"/>
      <c r="I8433" s="71"/>
      <c r="J8433" s="68" t="s">
        <v>33216</v>
      </c>
      <c r="K8433" s="71"/>
      <c r="L8433" s="68" t="s">
        <v>2743</v>
      </c>
      <c r="M8433" s="68" t="s">
        <v>27</v>
      </c>
      <c r="N8433" s="116"/>
      <c r="O8433" s="51"/>
    </row>
    <row r="8434">
      <c r="A8434" s="234"/>
      <c r="B8434" s="71"/>
      <c r="C8434" s="79" t="s">
        <v>33217</v>
      </c>
      <c r="D8434" s="82"/>
      <c r="E8434" s="63" t="s">
        <v>33218</v>
      </c>
      <c r="F8434" s="182">
        <v>42917.0</v>
      </c>
      <c r="G8434" s="63" t="s">
        <v>33219</v>
      </c>
      <c r="H8434" s="82"/>
      <c r="I8434" s="82"/>
      <c r="J8434" s="63" t="s">
        <v>136</v>
      </c>
      <c r="K8434" s="81">
        <v>44620.0</v>
      </c>
      <c r="L8434" s="80" t="s">
        <v>2743</v>
      </c>
      <c r="M8434" s="80" t="s">
        <v>166</v>
      </c>
      <c r="N8434" s="116"/>
      <c r="O8434" s="51"/>
    </row>
    <row r="8435">
      <c r="A8435" s="234"/>
      <c r="B8435" s="71"/>
      <c r="C8435" s="79" t="s">
        <v>33220</v>
      </c>
      <c r="D8435" s="82"/>
      <c r="E8435" s="63" t="s">
        <v>33221</v>
      </c>
      <c r="F8435" s="65">
        <v>38712.0</v>
      </c>
      <c r="G8435" s="63" t="s">
        <v>33222</v>
      </c>
      <c r="H8435" s="80" t="s">
        <v>33223</v>
      </c>
      <c r="I8435" s="82"/>
      <c r="J8435" s="63" t="s">
        <v>136</v>
      </c>
      <c r="K8435" s="81">
        <v>44620.0</v>
      </c>
      <c r="L8435" s="80" t="s">
        <v>2743</v>
      </c>
      <c r="M8435" s="80" t="s">
        <v>10808</v>
      </c>
      <c r="N8435" s="116"/>
      <c r="O8435" s="51"/>
    </row>
    <row r="8436">
      <c r="A8436" s="273"/>
      <c r="B8436" s="71"/>
      <c r="C8436" s="69" t="s">
        <v>33224</v>
      </c>
      <c r="D8436" s="71"/>
      <c r="E8436" s="68" t="s">
        <v>33225</v>
      </c>
      <c r="F8436" s="83">
        <v>40108.0</v>
      </c>
      <c r="G8436" s="68" t="s">
        <v>33226</v>
      </c>
      <c r="H8436" s="71"/>
      <c r="I8436" s="71"/>
      <c r="J8436" s="68" t="s">
        <v>33227</v>
      </c>
      <c r="K8436" s="71"/>
      <c r="L8436" s="68" t="s">
        <v>32774</v>
      </c>
      <c r="M8436" s="68" t="s">
        <v>27</v>
      </c>
      <c r="N8436" s="116"/>
      <c r="O8436" s="51"/>
    </row>
    <row r="8437">
      <c r="A8437" s="273"/>
      <c r="B8437" s="71"/>
      <c r="C8437" s="69" t="s">
        <v>33228</v>
      </c>
      <c r="D8437" s="71"/>
      <c r="E8437" s="68" t="s">
        <v>33229</v>
      </c>
      <c r="F8437" s="83">
        <v>40106.0</v>
      </c>
      <c r="G8437" s="68" t="s">
        <v>33230</v>
      </c>
      <c r="H8437" s="71"/>
      <c r="I8437" s="71"/>
      <c r="J8437" s="68" t="s">
        <v>33231</v>
      </c>
      <c r="K8437" s="71"/>
      <c r="L8437" s="68" t="s">
        <v>32774</v>
      </c>
      <c r="M8437" s="68" t="s">
        <v>27</v>
      </c>
      <c r="N8437" s="116"/>
      <c r="O8437" s="51"/>
    </row>
    <row r="8438">
      <c r="A8438" s="273"/>
      <c r="B8438" s="71"/>
      <c r="C8438" s="69" t="s">
        <v>33232</v>
      </c>
      <c r="D8438" s="71"/>
      <c r="E8438" s="68" t="s">
        <v>33233</v>
      </c>
      <c r="F8438" s="284">
        <v>44751.0</v>
      </c>
      <c r="G8438" s="68" t="s">
        <v>33234</v>
      </c>
      <c r="H8438" s="71"/>
      <c r="I8438" s="71"/>
      <c r="J8438" s="68" t="s">
        <v>33235</v>
      </c>
      <c r="K8438" s="71"/>
      <c r="L8438" s="68" t="s">
        <v>32774</v>
      </c>
      <c r="M8438" s="68" t="s">
        <v>27</v>
      </c>
      <c r="N8438" s="116"/>
      <c r="O8438" s="51"/>
    </row>
    <row r="8439">
      <c r="A8439" s="273"/>
      <c r="B8439" s="71"/>
      <c r="C8439" s="69" t="s">
        <v>33236</v>
      </c>
      <c r="D8439" s="71"/>
      <c r="E8439" s="68" t="s">
        <v>33237</v>
      </c>
      <c r="F8439" s="83">
        <v>39885.0</v>
      </c>
      <c r="G8439" s="68" t="s">
        <v>33238</v>
      </c>
      <c r="H8439" s="71"/>
      <c r="I8439" s="71"/>
      <c r="J8439" s="68" t="s">
        <v>33239</v>
      </c>
      <c r="K8439" s="71"/>
      <c r="L8439" s="68" t="s">
        <v>32774</v>
      </c>
      <c r="M8439" s="68" t="s">
        <v>27</v>
      </c>
      <c r="N8439" s="116"/>
      <c r="O8439" s="51"/>
    </row>
    <row r="8440">
      <c r="A8440" s="273"/>
      <c r="B8440" s="71"/>
      <c r="C8440" s="69" t="s">
        <v>33240</v>
      </c>
      <c r="D8440" s="71"/>
      <c r="E8440" s="68" t="s">
        <v>33241</v>
      </c>
      <c r="F8440" s="83">
        <v>40108.0</v>
      </c>
      <c r="G8440" s="68" t="s">
        <v>33226</v>
      </c>
      <c r="H8440" s="71"/>
      <c r="I8440" s="71"/>
      <c r="J8440" s="68" t="s">
        <v>33242</v>
      </c>
      <c r="K8440" s="71"/>
      <c r="L8440" s="68" t="s">
        <v>32774</v>
      </c>
      <c r="M8440" s="68" t="s">
        <v>27</v>
      </c>
      <c r="N8440" s="116"/>
      <c r="O8440" s="51"/>
    </row>
    <row r="8441">
      <c r="A8441" s="273"/>
      <c r="B8441" s="71"/>
      <c r="C8441" s="69" t="s">
        <v>33243</v>
      </c>
      <c r="D8441" s="71"/>
      <c r="E8441" s="68" t="s">
        <v>33066</v>
      </c>
      <c r="F8441" s="83">
        <v>40264.0</v>
      </c>
      <c r="G8441" s="68" t="s">
        <v>33067</v>
      </c>
      <c r="H8441" s="71"/>
      <c r="I8441" s="71"/>
      <c r="J8441" s="87" t="s">
        <v>33244</v>
      </c>
      <c r="K8441" s="71"/>
      <c r="L8441" s="68" t="s">
        <v>32774</v>
      </c>
      <c r="M8441" s="68" t="s">
        <v>27</v>
      </c>
      <c r="N8441" s="116"/>
      <c r="O8441" s="51"/>
    </row>
    <row r="8442">
      <c r="A8442" s="273"/>
      <c r="B8442" s="71"/>
      <c r="C8442" s="69" t="s">
        <v>33245</v>
      </c>
      <c r="D8442" s="71"/>
      <c r="E8442" s="68" t="s">
        <v>33246</v>
      </c>
      <c r="F8442" s="83">
        <v>40112.0</v>
      </c>
      <c r="G8442" s="68" t="s">
        <v>33230</v>
      </c>
      <c r="H8442" s="71"/>
      <c r="I8442" s="71"/>
      <c r="J8442" s="68" t="s">
        <v>33247</v>
      </c>
      <c r="K8442" s="71"/>
      <c r="L8442" s="68" t="s">
        <v>32774</v>
      </c>
      <c r="M8442" s="68" t="s">
        <v>27</v>
      </c>
      <c r="N8442" s="116"/>
      <c r="O8442" s="51"/>
    </row>
    <row r="8443">
      <c r="A8443" s="273"/>
      <c r="B8443" s="71"/>
      <c r="C8443" s="69" t="s">
        <v>33248</v>
      </c>
      <c r="D8443" s="71"/>
      <c r="E8443" s="68" t="s">
        <v>33054</v>
      </c>
      <c r="F8443" s="83">
        <v>40112.0</v>
      </c>
      <c r="G8443" s="68" t="s">
        <v>33055</v>
      </c>
      <c r="H8443" s="71"/>
      <c r="I8443" s="71"/>
      <c r="J8443" s="68" t="s">
        <v>33249</v>
      </c>
      <c r="K8443" s="71"/>
      <c r="L8443" s="68" t="s">
        <v>32774</v>
      </c>
      <c r="M8443" s="68" t="s">
        <v>27</v>
      </c>
      <c r="N8443" s="116"/>
      <c r="O8443" s="51"/>
    </row>
    <row r="8444">
      <c r="A8444" s="273"/>
      <c r="B8444" s="71"/>
      <c r="C8444" s="69" t="s">
        <v>33250</v>
      </c>
      <c r="D8444" s="71"/>
      <c r="E8444" s="68" t="s">
        <v>33251</v>
      </c>
      <c r="F8444" s="83">
        <v>40078.0</v>
      </c>
      <c r="G8444" s="68" t="s">
        <v>33252</v>
      </c>
      <c r="H8444" s="71"/>
      <c r="I8444" s="71"/>
      <c r="J8444" s="68" t="s">
        <v>33253</v>
      </c>
      <c r="K8444" s="71"/>
      <c r="L8444" s="68" t="s">
        <v>32774</v>
      </c>
      <c r="M8444" s="68" t="s">
        <v>27</v>
      </c>
      <c r="N8444" s="116"/>
      <c r="O8444" s="51"/>
    </row>
    <row r="8445">
      <c r="A8445" s="273"/>
      <c r="B8445" s="71"/>
      <c r="C8445" s="69" t="s">
        <v>33254</v>
      </c>
      <c r="D8445" s="71"/>
      <c r="E8445" s="68" t="s">
        <v>33255</v>
      </c>
      <c r="F8445" s="83">
        <v>40815.0</v>
      </c>
      <c r="G8445" s="68" t="s">
        <v>33256</v>
      </c>
      <c r="H8445" s="71"/>
      <c r="I8445" s="71"/>
      <c r="J8445" s="68" t="s">
        <v>33257</v>
      </c>
      <c r="K8445" s="71"/>
      <c r="L8445" s="68" t="s">
        <v>32774</v>
      </c>
      <c r="M8445" s="68" t="s">
        <v>27</v>
      </c>
      <c r="N8445" s="116"/>
      <c r="O8445" s="51"/>
    </row>
    <row r="8446">
      <c r="A8446" s="273"/>
      <c r="B8446" s="71"/>
      <c r="C8446" s="69" t="s">
        <v>33258</v>
      </c>
      <c r="D8446" s="71"/>
      <c r="E8446" s="68" t="s">
        <v>33259</v>
      </c>
      <c r="F8446" s="76">
        <v>40211.0</v>
      </c>
      <c r="G8446" s="68" t="s">
        <v>33260</v>
      </c>
      <c r="H8446" s="71"/>
      <c r="I8446" s="71"/>
      <c r="J8446" s="68" t="s">
        <v>33261</v>
      </c>
      <c r="K8446" s="71"/>
      <c r="L8446" s="68" t="s">
        <v>32774</v>
      </c>
      <c r="M8446" s="68" t="s">
        <v>27</v>
      </c>
      <c r="N8446" s="87" t="s">
        <v>33262</v>
      </c>
      <c r="O8446" s="51"/>
    </row>
    <row r="8447">
      <c r="A8447" s="234"/>
      <c r="B8447" s="71"/>
      <c r="C8447" s="79" t="s">
        <v>33263</v>
      </c>
      <c r="D8447" s="82"/>
      <c r="E8447" s="63" t="s">
        <v>33264</v>
      </c>
      <c r="F8447" s="70">
        <v>42197.0</v>
      </c>
      <c r="G8447" s="63" t="s">
        <v>33265</v>
      </c>
      <c r="H8447" s="80" t="s">
        <v>439</v>
      </c>
      <c r="I8447" s="82"/>
      <c r="J8447" s="63" t="s">
        <v>136</v>
      </c>
      <c r="K8447" s="81">
        <v>44623.0</v>
      </c>
      <c r="L8447" s="80" t="s">
        <v>2743</v>
      </c>
      <c r="M8447" s="80" t="s">
        <v>125</v>
      </c>
      <c r="N8447" s="87" t="s">
        <v>33266</v>
      </c>
      <c r="O8447" s="51"/>
    </row>
    <row r="8448">
      <c r="A8448" s="234"/>
      <c r="B8448" s="71"/>
      <c r="C8448" s="79" t="s">
        <v>33267</v>
      </c>
      <c r="D8448" s="82"/>
      <c r="E8448" s="63" t="s">
        <v>33268</v>
      </c>
      <c r="F8448" s="63" t="s">
        <v>33269</v>
      </c>
      <c r="G8448" s="63" t="s">
        <v>33270</v>
      </c>
      <c r="H8448" s="80" t="s">
        <v>33271</v>
      </c>
      <c r="I8448" s="82"/>
      <c r="J8448" s="63" t="s">
        <v>136</v>
      </c>
      <c r="K8448" s="81">
        <v>44623.0</v>
      </c>
      <c r="L8448" s="80" t="s">
        <v>2743</v>
      </c>
      <c r="M8448" s="80" t="s">
        <v>530</v>
      </c>
      <c r="N8448" s="116"/>
      <c r="O8448" s="51"/>
    </row>
    <row r="8449">
      <c r="A8449" s="273"/>
      <c r="B8449" s="71"/>
      <c r="C8449" s="69" t="s">
        <v>33272</v>
      </c>
      <c r="D8449" s="71"/>
      <c r="E8449" s="68" t="s">
        <v>33273</v>
      </c>
      <c r="F8449" s="76">
        <v>44594.0</v>
      </c>
      <c r="G8449" s="68" t="s">
        <v>33274</v>
      </c>
      <c r="H8449" s="68" t="s">
        <v>33275</v>
      </c>
      <c r="I8449" s="71"/>
      <c r="J8449" s="68" t="s">
        <v>33276</v>
      </c>
      <c r="K8449" s="76">
        <v>44623.0</v>
      </c>
      <c r="L8449" s="68" t="s">
        <v>30692</v>
      </c>
      <c r="M8449" s="68" t="s">
        <v>166</v>
      </c>
      <c r="N8449" s="116"/>
      <c r="O8449" s="51"/>
    </row>
    <row r="8450">
      <c r="A8450" s="234"/>
      <c r="B8450" s="71"/>
      <c r="C8450" s="79" t="s">
        <v>33277</v>
      </c>
      <c r="D8450" s="82"/>
      <c r="E8450" s="63" t="s">
        <v>33278</v>
      </c>
      <c r="F8450" s="70">
        <v>44037.0</v>
      </c>
      <c r="G8450" s="63" t="s">
        <v>33279</v>
      </c>
      <c r="H8450" s="80" t="s">
        <v>33280</v>
      </c>
      <c r="I8450" s="82"/>
      <c r="J8450" s="63" t="s">
        <v>136</v>
      </c>
      <c r="K8450" s="81">
        <v>44627.0</v>
      </c>
      <c r="L8450" s="80" t="s">
        <v>2743</v>
      </c>
      <c r="M8450" s="80" t="s">
        <v>125</v>
      </c>
      <c r="N8450" s="116"/>
      <c r="O8450" s="51"/>
    </row>
    <row r="8451">
      <c r="A8451" s="273"/>
      <c r="B8451" s="71"/>
      <c r="C8451" s="69" t="s">
        <v>33281</v>
      </c>
      <c r="D8451" s="71"/>
      <c r="E8451" s="68" t="s">
        <v>33282</v>
      </c>
      <c r="F8451" s="285">
        <v>44614.0</v>
      </c>
      <c r="G8451" s="68" t="s">
        <v>33283</v>
      </c>
      <c r="H8451" s="130"/>
      <c r="I8451" s="101"/>
      <c r="J8451" s="68" t="s">
        <v>33284</v>
      </c>
      <c r="K8451" s="76">
        <v>44624.0</v>
      </c>
      <c r="L8451" s="68" t="s">
        <v>2743</v>
      </c>
      <c r="M8451" s="68" t="s">
        <v>2291</v>
      </c>
      <c r="N8451" s="116"/>
      <c r="O8451" s="51"/>
    </row>
    <row r="8452">
      <c r="A8452" s="234"/>
      <c r="B8452" s="71"/>
      <c r="C8452" s="79" t="s">
        <v>33285</v>
      </c>
      <c r="D8452" s="82"/>
      <c r="E8452" s="63" t="s">
        <v>33286</v>
      </c>
      <c r="F8452" s="70">
        <v>41845.0</v>
      </c>
      <c r="G8452" s="63" t="s">
        <v>33287</v>
      </c>
      <c r="H8452" s="224" t="s">
        <v>33288</v>
      </c>
      <c r="I8452" s="82"/>
      <c r="J8452" s="63" t="s">
        <v>136</v>
      </c>
      <c r="K8452" s="81">
        <v>44627.0</v>
      </c>
      <c r="L8452" s="80" t="s">
        <v>2743</v>
      </c>
      <c r="M8452" s="80" t="s">
        <v>125</v>
      </c>
      <c r="N8452" s="116"/>
      <c r="O8452" s="51"/>
    </row>
    <row r="8453">
      <c r="A8453" s="273"/>
      <c r="B8453" s="71"/>
      <c r="C8453" s="69" t="s">
        <v>33289</v>
      </c>
      <c r="D8453" s="71"/>
      <c r="E8453" s="68" t="s">
        <v>33290</v>
      </c>
      <c r="F8453" s="76">
        <v>44616.0</v>
      </c>
      <c r="G8453" s="68" t="s">
        <v>33291</v>
      </c>
      <c r="H8453" s="68" t="s">
        <v>33292</v>
      </c>
      <c r="I8453" s="71"/>
      <c r="J8453" s="68" t="s">
        <v>33293</v>
      </c>
      <c r="K8453" s="76">
        <v>44627.0</v>
      </c>
      <c r="L8453" s="68" t="s">
        <v>2743</v>
      </c>
      <c r="M8453" s="68" t="s">
        <v>31</v>
      </c>
      <c r="N8453" s="116"/>
      <c r="O8453" s="51"/>
    </row>
    <row r="8454">
      <c r="A8454" s="234"/>
      <c r="B8454" s="71"/>
      <c r="C8454" s="79" t="s">
        <v>33294</v>
      </c>
      <c r="D8454" s="82"/>
      <c r="E8454" s="63" t="s">
        <v>33295</v>
      </c>
      <c r="F8454" s="65">
        <v>43810.0</v>
      </c>
      <c r="G8454" s="63" t="s">
        <v>33296</v>
      </c>
      <c r="H8454" s="80" t="s">
        <v>33297</v>
      </c>
      <c r="I8454" s="82"/>
      <c r="J8454" s="63" t="s">
        <v>136</v>
      </c>
      <c r="K8454" s="81">
        <v>44627.0</v>
      </c>
      <c r="L8454" s="80" t="s">
        <v>2743</v>
      </c>
      <c r="M8454" s="80" t="s">
        <v>149</v>
      </c>
      <c r="N8454" s="116"/>
      <c r="O8454" s="51"/>
    </row>
    <row r="8455">
      <c r="A8455" s="234"/>
      <c r="B8455" s="71"/>
      <c r="C8455" s="79" t="s">
        <v>33298</v>
      </c>
      <c r="D8455" s="82"/>
      <c r="E8455" s="63" t="s">
        <v>33299</v>
      </c>
      <c r="F8455" s="70">
        <v>42580.0</v>
      </c>
      <c r="G8455" s="63" t="s">
        <v>33300</v>
      </c>
      <c r="H8455" s="80" t="s">
        <v>33301</v>
      </c>
      <c r="I8455" s="82"/>
      <c r="J8455" s="63" t="s">
        <v>136</v>
      </c>
      <c r="K8455" s="81">
        <v>44627.0</v>
      </c>
      <c r="L8455" s="80" t="s">
        <v>16185</v>
      </c>
      <c r="M8455" s="80" t="s">
        <v>25284</v>
      </c>
      <c r="N8455" s="116"/>
      <c r="O8455" s="51"/>
    </row>
    <row r="8456">
      <c r="A8456" s="234"/>
      <c r="B8456" s="71"/>
      <c r="C8456" s="79" t="s">
        <v>33302</v>
      </c>
      <c r="D8456" s="82"/>
      <c r="E8456" s="63" t="s">
        <v>33303</v>
      </c>
      <c r="F8456" s="63" t="s">
        <v>33304</v>
      </c>
      <c r="G8456" s="63" t="s">
        <v>33305</v>
      </c>
      <c r="H8456" s="82"/>
      <c r="I8456" s="82"/>
      <c r="J8456" s="63" t="s">
        <v>136</v>
      </c>
      <c r="K8456" s="81">
        <v>44627.0</v>
      </c>
      <c r="L8456" s="80" t="s">
        <v>16185</v>
      </c>
      <c r="M8456" s="80" t="s">
        <v>2989</v>
      </c>
      <c r="N8456" s="116"/>
      <c r="O8456" s="51"/>
    </row>
    <row r="8457">
      <c r="A8457" s="234"/>
      <c r="B8457" s="71"/>
      <c r="C8457" s="79" t="s">
        <v>33306</v>
      </c>
      <c r="D8457" s="82"/>
      <c r="E8457" s="63" t="s">
        <v>33307</v>
      </c>
      <c r="F8457" s="70">
        <v>41861.0</v>
      </c>
      <c r="G8457" s="63" t="s">
        <v>33308</v>
      </c>
      <c r="H8457" s="80" t="s">
        <v>33309</v>
      </c>
      <c r="I8457" s="82"/>
      <c r="J8457" s="63" t="s">
        <v>136</v>
      </c>
      <c r="K8457" s="81">
        <v>44627.0</v>
      </c>
      <c r="L8457" s="80" t="s">
        <v>16185</v>
      </c>
      <c r="M8457" s="80" t="s">
        <v>125</v>
      </c>
      <c r="N8457" s="116"/>
      <c r="O8457" s="51"/>
    </row>
    <row r="8458">
      <c r="A8458" s="234"/>
      <c r="B8458" s="71"/>
      <c r="C8458" s="79" t="s">
        <v>33310</v>
      </c>
      <c r="D8458" s="82"/>
      <c r="E8458" s="63" t="s">
        <v>33311</v>
      </c>
      <c r="F8458" s="70">
        <v>41672.0</v>
      </c>
      <c r="G8458" s="63" t="s">
        <v>33312</v>
      </c>
      <c r="H8458" s="80" t="s">
        <v>33313</v>
      </c>
      <c r="I8458" s="82"/>
      <c r="J8458" s="63" t="s">
        <v>136</v>
      </c>
      <c r="K8458" s="81">
        <v>44627.0</v>
      </c>
      <c r="L8458" s="80" t="s">
        <v>16185</v>
      </c>
      <c r="M8458" s="80" t="s">
        <v>166</v>
      </c>
      <c r="N8458" s="116"/>
      <c r="O8458" s="51"/>
    </row>
    <row r="8459">
      <c r="A8459" s="234"/>
      <c r="B8459" s="71"/>
      <c r="C8459" s="79" t="s">
        <v>33314</v>
      </c>
      <c r="D8459" s="82"/>
      <c r="E8459" s="63" t="s">
        <v>33315</v>
      </c>
      <c r="F8459" s="70">
        <v>42917.0</v>
      </c>
      <c r="G8459" s="63" t="s">
        <v>33308</v>
      </c>
      <c r="H8459" s="80" t="s">
        <v>33316</v>
      </c>
      <c r="I8459" s="82"/>
      <c r="J8459" s="63" t="s">
        <v>136</v>
      </c>
      <c r="K8459" s="81">
        <v>44627.0</v>
      </c>
      <c r="L8459" s="80" t="s">
        <v>16185</v>
      </c>
      <c r="M8459" s="80" t="s">
        <v>166</v>
      </c>
      <c r="N8459" s="116"/>
      <c r="O8459" s="51"/>
    </row>
    <row r="8460">
      <c r="A8460" s="234"/>
      <c r="B8460" s="71"/>
      <c r="C8460" s="79" t="s">
        <v>33317</v>
      </c>
      <c r="D8460" s="82"/>
      <c r="E8460" s="63" t="s">
        <v>33318</v>
      </c>
      <c r="F8460" s="70">
        <v>42418.0</v>
      </c>
      <c r="G8460" s="63" t="s">
        <v>33319</v>
      </c>
      <c r="H8460" s="82"/>
      <c r="I8460" s="82"/>
      <c r="J8460" s="63" t="s">
        <v>136</v>
      </c>
      <c r="K8460" s="81">
        <v>44627.0</v>
      </c>
      <c r="L8460" s="80" t="s">
        <v>20958</v>
      </c>
      <c r="M8460" s="80" t="s">
        <v>27</v>
      </c>
      <c r="N8460" s="116"/>
      <c r="O8460" s="51"/>
    </row>
    <row r="8461">
      <c r="A8461" s="234"/>
      <c r="B8461" s="71"/>
      <c r="C8461" s="79" t="s">
        <v>33320</v>
      </c>
      <c r="D8461" s="82"/>
      <c r="E8461" s="63" t="s">
        <v>33321</v>
      </c>
      <c r="F8461" s="70">
        <v>42234.0</v>
      </c>
      <c r="G8461" s="63" t="s">
        <v>33322</v>
      </c>
      <c r="H8461" s="82"/>
      <c r="I8461" s="82"/>
      <c r="J8461" s="63" t="s">
        <v>136</v>
      </c>
      <c r="K8461" s="81">
        <v>44627.0</v>
      </c>
      <c r="L8461" s="80" t="s">
        <v>20958</v>
      </c>
      <c r="M8461" s="80" t="s">
        <v>27</v>
      </c>
      <c r="N8461" s="116"/>
      <c r="O8461" s="51"/>
    </row>
    <row r="8462">
      <c r="A8462" s="234"/>
      <c r="B8462" s="71"/>
      <c r="C8462" s="79" t="s">
        <v>33323</v>
      </c>
      <c r="D8462" s="82"/>
      <c r="E8462" s="63" t="s">
        <v>33324</v>
      </c>
      <c r="F8462" s="65">
        <v>43811.0</v>
      </c>
      <c r="G8462" s="63" t="s">
        <v>33325</v>
      </c>
      <c r="H8462" s="80" t="s">
        <v>33326</v>
      </c>
      <c r="I8462" s="82"/>
      <c r="J8462" s="63" t="s">
        <v>136</v>
      </c>
      <c r="K8462" s="81">
        <v>44627.0</v>
      </c>
      <c r="L8462" s="80" t="s">
        <v>20958</v>
      </c>
      <c r="M8462" s="80" t="s">
        <v>27</v>
      </c>
      <c r="N8462" s="116"/>
      <c r="O8462" s="51"/>
    </row>
    <row r="8463">
      <c r="A8463" s="234"/>
      <c r="B8463" s="71"/>
      <c r="C8463" s="79" t="s">
        <v>33327</v>
      </c>
      <c r="D8463" s="82"/>
      <c r="E8463" s="63" t="s">
        <v>33328</v>
      </c>
      <c r="F8463" s="70">
        <v>41864.0</v>
      </c>
      <c r="G8463" s="63" t="s">
        <v>33329</v>
      </c>
      <c r="H8463" s="80" t="s">
        <v>33330</v>
      </c>
      <c r="I8463" s="82"/>
      <c r="J8463" s="63" t="s">
        <v>136</v>
      </c>
      <c r="K8463" s="81">
        <v>44627.0</v>
      </c>
      <c r="L8463" s="80" t="s">
        <v>2743</v>
      </c>
      <c r="M8463" s="80" t="s">
        <v>33331</v>
      </c>
      <c r="N8463" s="116"/>
      <c r="O8463" s="51"/>
    </row>
    <row r="8464">
      <c r="A8464" s="234"/>
      <c r="B8464" s="71"/>
      <c r="C8464" s="79" t="s">
        <v>33332</v>
      </c>
      <c r="D8464" s="82"/>
      <c r="E8464" s="63" t="s">
        <v>33333</v>
      </c>
      <c r="F8464" s="70">
        <v>40980.0</v>
      </c>
      <c r="G8464" s="63" t="s">
        <v>33334</v>
      </c>
      <c r="H8464" s="80" t="s">
        <v>439</v>
      </c>
      <c r="I8464" s="82"/>
      <c r="J8464" s="63" t="s">
        <v>136</v>
      </c>
      <c r="K8464" s="81">
        <v>44628.0</v>
      </c>
      <c r="L8464" s="80" t="s">
        <v>2743</v>
      </c>
      <c r="M8464" s="80" t="s">
        <v>530</v>
      </c>
      <c r="N8464" s="116"/>
      <c r="O8464" s="51"/>
    </row>
    <row r="8465">
      <c r="A8465" s="234"/>
      <c r="B8465" s="71"/>
      <c r="C8465" s="79" t="s">
        <v>33335</v>
      </c>
      <c r="D8465" s="82"/>
      <c r="E8465" s="63" t="s">
        <v>33336</v>
      </c>
      <c r="F8465" s="70">
        <v>40738.0</v>
      </c>
      <c r="G8465" s="63" t="s">
        <v>33337</v>
      </c>
      <c r="H8465" s="80" t="s">
        <v>439</v>
      </c>
      <c r="I8465" s="82"/>
      <c r="J8465" s="63" t="s">
        <v>136</v>
      </c>
      <c r="K8465" s="81">
        <v>44628.0</v>
      </c>
      <c r="L8465" s="80" t="s">
        <v>2743</v>
      </c>
      <c r="M8465" s="80" t="s">
        <v>19459</v>
      </c>
      <c r="N8465" s="116"/>
      <c r="O8465" s="51"/>
    </row>
    <row r="8466">
      <c r="A8466" s="234"/>
      <c r="B8466" s="71"/>
      <c r="C8466" s="79" t="s">
        <v>33338</v>
      </c>
      <c r="D8466" s="82"/>
      <c r="E8466" s="63" t="s">
        <v>33339</v>
      </c>
      <c r="F8466" s="70">
        <v>44608.0</v>
      </c>
      <c r="G8466" s="63" t="s">
        <v>33340</v>
      </c>
      <c r="H8466" s="80" t="s">
        <v>33341</v>
      </c>
      <c r="I8466" s="82"/>
      <c r="J8466" s="63" t="s">
        <v>136</v>
      </c>
      <c r="K8466" s="81">
        <v>44628.0</v>
      </c>
      <c r="L8466" s="80" t="s">
        <v>2743</v>
      </c>
      <c r="M8466" s="80" t="s">
        <v>149</v>
      </c>
      <c r="N8466" s="116"/>
      <c r="O8466" s="51"/>
    </row>
    <row r="8467">
      <c r="A8467" s="234"/>
      <c r="B8467" s="71"/>
      <c r="C8467" s="79" t="s">
        <v>33342</v>
      </c>
      <c r="D8467" s="82"/>
      <c r="E8467" s="63" t="s">
        <v>33343</v>
      </c>
      <c r="F8467" s="65">
        <v>44499.0</v>
      </c>
      <c r="G8467" s="63" t="s">
        <v>33344</v>
      </c>
      <c r="H8467" s="80" t="s">
        <v>439</v>
      </c>
      <c r="I8467" s="82"/>
      <c r="J8467" s="63" t="s">
        <v>136</v>
      </c>
      <c r="K8467" s="81">
        <v>44628.0</v>
      </c>
      <c r="L8467" s="80" t="s">
        <v>2743</v>
      </c>
      <c r="M8467" s="80" t="s">
        <v>33345</v>
      </c>
      <c r="N8467" s="116"/>
      <c r="O8467" s="51"/>
    </row>
    <row r="8468">
      <c r="A8468" s="234"/>
      <c r="B8468" s="71"/>
      <c r="C8468" s="79" t="s">
        <v>33346</v>
      </c>
      <c r="D8468" s="82"/>
      <c r="E8468" s="63" t="s">
        <v>33347</v>
      </c>
      <c r="F8468" s="70">
        <v>41913.0</v>
      </c>
      <c r="G8468" s="63" t="s">
        <v>33348</v>
      </c>
      <c r="H8468" s="80" t="s">
        <v>33349</v>
      </c>
      <c r="I8468" s="82"/>
      <c r="J8468" s="63" t="s">
        <v>136</v>
      </c>
      <c r="K8468" s="81">
        <v>44632.0</v>
      </c>
      <c r="L8468" s="80" t="s">
        <v>31554</v>
      </c>
      <c r="M8468" s="80" t="s">
        <v>125</v>
      </c>
      <c r="N8468" s="116"/>
      <c r="O8468" s="51"/>
    </row>
    <row r="8469">
      <c r="A8469" s="273"/>
      <c r="B8469" s="71"/>
      <c r="C8469" s="69" t="s">
        <v>33350</v>
      </c>
      <c r="D8469" s="71"/>
      <c r="E8469" s="68" t="s">
        <v>33351</v>
      </c>
      <c r="F8469" s="76">
        <v>44626.0</v>
      </c>
      <c r="G8469" s="68" t="s">
        <v>33352</v>
      </c>
      <c r="H8469" s="68" t="s">
        <v>439</v>
      </c>
      <c r="I8469" s="71"/>
      <c r="J8469" s="68" t="s">
        <v>33353</v>
      </c>
      <c r="K8469" s="76">
        <v>44632.0</v>
      </c>
      <c r="L8469" s="68" t="s">
        <v>2743</v>
      </c>
      <c r="M8469" s="68" t="s">
        <v>13085</v>
      </c>
      <c r="N8469" s="116"/>
      <c r="O8469" s="51"/>
    </row>
    <row r="8470">
      <c r="A8470" s="273"/>
      <c r="B8470" s="71"/>
      <c r="C8470" s="69" t="s">
        <v>33354</v>
      </c>
      <c r="D8470" s="71"/>
      <c r="E8470" s="68" t="s">
        <v>33355</v>
      </c>
      <c r="F8470" s="76">
        <v>44626.0</v>
      </c>
      <c r="G8470" s="68" t="s">
        <v>33352</v>
      </c>
      <c r="H8470" s="68" t="s">
        <v>439</v>
      </c>
      <c r="I8470" s="71"/>
      <c r="J8470" s="100" t="s">
        <v>33356</v>
      </c>
      <c r="K8470" s="225">
        <v>44632.0</v>
      </c>
      <c r="L8470" s="68" t="s">
        <v>2743</v>
      </c>
      <c r="M8470" s="68" t="s">
        <v>13085</v>
      </c>
      <c r="N8470" s="116"/>
      <c r="O8470" s="130"/>
    </row>
    <row r="8471">
      <c r="A8471" s="234"/>
      <c r="B8471" s="71"/>
      <c r="C8471" s="79" t="s">
        <v>33357</v>
      </c>
      <c r="D8471" s="82"/>
      <c r="E8471" s="63" t="s">
        <v>33358</v>
      </c>
      <c r="F8471" s="70">
        <v>44626.0</v>
      </c>
      <c r="G8471" s="63" t="s">
        <v>33352</v>
      </c>
      <c r="H8471" s="80" t="s">
        <v>439</v>
      </c>
      <c r="I8471" s="82"/>
      <c r="J8471" s="63" t="s">
        <v>136</v>
      </c>
      <c r="K8471" s="81">
        <v>44632.0</v>
      </c>
      <c r="L8471" s="80" t="s">
        <v>2743</v>
      </c>
      <c r="M8471" s="80" t="s">
        <v>13085</v>
      </c>
      <c r="N8471" s="116"/>
      <c r="O8471" s="51"/>
    </row>
    <row r="8472">
      <c r="A8472" s="273"/>
      <c r="B8472" s="71"/>
      <c r="C8472" s="69" t="s">
        <v>33359</v>
      </c>
      <c r="D8472" s="71"/>
      <c r="E8472" s="68" t="s">
        <v>33360</v>
      </c>
      <c r="F8472" s="76">
        <v>44626.0</v>
      </c>
      <c r="G8472" s="68" t="s">
        <v>33352</v>
      </c>
      <c r="H8472" s="68" t="s">
        <v>439</v>
      </c>
      <c r="I8472" s="71"/>
      <c r="J8472" s="100" t="s">
        <v>33361</v>
      </c>
      <c r="K8472" s="225">
        <v>44632.0</v>
      </c>
      <c r="L8472" s="68" t="s">
        <v>2743</v>
      </c>
      <c r="M8472" s="68" t="s">
        <v>13085</v>
      </c>
      <c r="N8472" s="116"/>
      <c r="O8472" s="130"/>
    </row>
    <row r="8473">
      <c r="A8473" s="273"/>
      <c r="B8473" s="71"/>
      <c r="C8473" s="69" t="s">
        <v>33362</v>
      </c>
      <c r="D8473" s="71"/>
      <c r="E8473" s="68" t="s">
        <v>33363</v>
      </c>
      <c r="F8473" s="76">
        <v>44626.0</v>
      </c>
      <c r="G8473" s="68" t="s">
        <v>33352</v>
      </c>
      <c r="H8473" s="68" t="s">
        <v>439</v>
      </c>
      <c r="I8473" s="71"/>
      <c r="J8473" s="100" t="s">
        <v>33364</v>
      </c>
      <c r="K8473" s="225">
        <v>44632.0</v>
      </c>
      <c r="L8473" s="68" t="s">
        <v>2743</v>
      </c>
      <c r="M8473" s="68" t="s">
        <v>13085</v>
      </c>
      <c r="N8473" s="116"/>
      <c r="O8473" s="130"/>
    </row>
    <row r="8474">
      <c r="A8474" s="234"/>
      <c r="B8474" s="71"/>
      <c r="C8474" s="79" t="s">
        <v>33365</v>
      </c>
      <c r="D8474" s="82"/>
      <c r="E8474" s="63" t="s">
        <v>33366</v>
      </c>
      <c r="F8474" s="70">
        <v>44626.0</v>
      </c>
      <c r="G8474" s="63" t="s">
        <v>33352</v>
      </c>
      <c r="H8474" s="80" t="s">
        <v>439</v>
      </c>
      <c r="I8474" s="82"/>
      <c r="J8474" s="63" t="s">
        <v>136</v>
      </c>
      <c r="K8474" s="81">
        <v>44632.0</v>
      </c>
      <c r="L8474" s="80" t="s">
        <v>2743</v>
      </c>
      <c r="M8474" s="80" t="s">
        <v>13085</v>
      </c>
      <c r="N8474" s="116"/>
      <c r="O8474" s="51"/>
    </row>
    <row r="8475">
      <c r="A8475" s="234"/>
      <c r="B8475" s="71"/>
      <c r="C8475" s="79" t="s">
        <v>33367</v>
      </c>
      <c r="D8475" s="82"/>
      <c r="E8475" s="63" t="s">
        <v>33368</v>
      </c>
      <c r="F8475" s="70">
        <v>44272.0</v>
      </c>
      <c r="G8475" s="63" t="s">
        <v>33369</v>
      </c>
      <c r="H8475" s="80" t="s">
        <v>439</v>
      </c>
      <c r="I8475" s="82"/>
      <c r="J8475" s="63" t="s">
        <v>136</v>
      </c>
      <c r="K8475" s="81">
        <v>44632.0</v>
      </c>
      <c r="L8475" s="80" t="s">
        <v>2743</v>
      </c>
      <c r="M8475" s="80" t="s">
        <v>27994</v>
      </c>
      <c r="N8475" s="116"/>
      <c r="O8475" s="51"/>
    </row>
    <row r="8476">
      <c r="A8476" s="273"/>
      <c r="B8476" s="71"/>
      <c r="C8476" s="69" t="s">
        <v>33370</v>
      </c>
      <c r="D8476" s="71"/>
      <c r="E8476" s="68" t="s">
        <v>33371</v>
      </c>
      <c r="F8476" s="76">
        <v>44590.0</v>
      </c>
      <c r="G8476" s="68" t="s">
        <v>33372</v>
      </c>
      <c r="H8476" s="68" t="s">
        <v>439</v>
      </c>
      <c r="I8476" s="71"/>
      <c r="J8476" s="68" t="s">
        <v>33373</v>
      </c>
      <c r="K8476" s="76">
        <v>44632.0</v>
      </c>
      <c r="L8476" s="68" t="s">
        <v>2743</v>
      </c>
      <c r="M8476" s="68" t="s">
        <v>166</v>
      </c>
      <c r="N8476" s="116"/>
      <c r="O8476" s="51"/>
    </row>
    <row r="8477">
      <c r="A8477" s="273"/>
      <c r="B8477" s="71"/>
      <c r="C8477" s="69" t="s">
        <v>33374</v>
      </c>
      <c r="D8477" s="71"/>
      <c r="E8477" s="68" t="s">
        <v>33375</v>
      </c>
      <c r="F8477" s="76">
        <v>44590.0</v>
      </c>
      <c r="G8477" s="68" t="s">
        <v>33372</v>
      </c>
      <c r="H8477" s="68" t="s">
        <v>439</v>
      </c>
      <c r="I8477" s="71"/>
      <c r="J8477" s="68" t="s">
        <v>33376</v>
      </c>
      <c r="K8477" s="76">
        <v>44632.0</v>
      </c>
      <c r="L8477" s="68" t="s">
        <v>2743</v>
      </c>
      <c r="M8477" s="68" t="s">
        <v>166</v>
      </c>
      <c r="N8477" s="116"/>
      <c r="O8477" s="51"/>
    </row>
    <row r="8478">
      <c r="A8478" s="234"/>
      <c r="B8478" s="71"/>
      <c r="C8478" s="79" t="s">
        <v>33377</v>
      </c>
      <c r="D8478" s="82"/>
      <c r="E8478" s="63" t="s">
        <v>33378</v>
      </c>
      <c r="F8478" s="70">
        <v>43603.0</v>
      </c>
      <c r="G8478" s="63" t="s">
        <v>33379</v>
      </c>
      <c r="H8478" s="80" t="s">
        <v>33380</v>
      </c>
      <c r="I8478" s="82"/>
      <c r="J8478" s="63" t="s">
        <v>136</v>
      </c>
      <c r="K8478" s="81">
        <v>44632.0</v>
      </c>
      <c r="L8478" s="80" t="s">
        <v>2743</v>
      </c>
      <c r="M8478" s="80" t="s">
        <v>32175</v>
      </c>
      <c r="N8478" s="116"/>
      <c r="O8478" s="51"/>
    </row>
    <row r="8479">
      <c r="A8479" s="273"/>
      <c r="B8479" s="71"/>
      <c r="C8479" s="69" t="s">
        <v>33381</v>
      </c>
      <c r="D8479" s="71"/>
      <c r="E8479" s="68" t="s">
        <v>33382</v>
      </c>
      <c r="F8479" s="76">
        <v>44568.0</v>
      </c>
      <c r="G8479" s="252" t="s">
        <v>33383</v>
      </c>
      <c r="H8479" s="68" t="s">
        <v>33384</v>
      </c>
      <c r="I8479" s="71"/>
      <c r="J8479" s="68" t="s">
        <v>33385</v>
      </c>
      <c r="K8479" s="76">
        <v>44632.0</v>
      </c>
      <c r="L8479" s="68" t="s">
        <v>2743</v>
      </c>
      <c r="M8479" s="68" t="s">
        <v>7530</v>
      </c>
      <c r="N8479" s="116"/>
      <c r="O8479" s="51"/>
    </row>
    <row r="8480">
      <c r="A8480" s="273"/>
      <c r="B8480" s="71"/>
      <c r="C8480" s="69" t="s">
        <v>33386</v>
      </c>
      <c r="D8480" s="71"/>
      <c r="E8480" s="68" t="s">
        <v>33387</v>
      </c>
      <c r="F8480" s="76">
        <v>44631.0</v>
      </c>
      <c r="G8480" s="252" t="s">
        <v>33383</v>
      </c>
      <c r="H8480" s="68" t="s">
        <v>33388</v>
      </c>
      <c r="I8480" s="71"/>
      <c r="J8480" s="68" t="s">
        <v>33389</v>
      </c>
      <c r="K8480" s="76">
        <v>44632.0</v>
      </c>
      <c r="L8480" s="68" t="s">
        <v>2743</v>
      </c>
      <c r="M8480" s="68" t="s">
        <v>7530</v>
      </c>
      <c r="N8480" s="116"/>
      <c r="O8480" s="51"/>
    </row>
    <row r="8481">
      <c r="A8481" s="273"/>
      <c r="B8481" s="71"/>
      <c r="C8481" s="69" t="s">
        <v>33390</v>
      </c>
      <c r="D8481" s="71"/>
      <c r="E8481" s="68" t="s">
        <v>33391</v>
      </c>
      <c r="F8481" s="76">
        <v>44570.0</v>
      </c>
      <c r="G8481" s="128" t="s">
        <v>33392</v>
      </c>
      <c r="H8481" s="68" t="s">
        <v>33393</v>
      </c>
      <c r="I8481" s="71"/>
      <c r="J8481" s="68" t="s">
        <v>33394</v>
      </c>
      <c r="K8481" s="76">
        <v>44632.0</v>
      </c>
      <c r="L8481" s="68" t="s">
        <v>2743</v>
      </c>
      <c r="M8481" s="68" t="s">
        <v>7530</v>
      </c>
      <c r="N8481" s="116"/>
      <c r="O8481" s="51"/>
    </row>
    <row r="8482">
      <c r="A8482" s="273"/>
      <c r="B8482" s="71"/>
      <c r="C8482" s="69" t="s">
        <v>33395</v>
      </c>
      <c r="D8482" s="71"/>
      <c r="E8482" s="68" t="s">
        <v>33396</v>
      </c>
      <c r="F8482" s="76">
        <v>41217.0</v>
      </c>
      <c r="G8482" s="68" t="s">
        <v>33067</v>
      </c>
      <c r="H8482" s="71"/>
      <c r="I8482" s="71"/>
      <c r="J8482" s="68" t="s">
        <v>33397</v>
      </c>
      <c r="K8482" s="76">
        <v>44632.0</v>
      </c>
      <c r="L8482" s="68" t="s">
        <v>33398</v>
      </c>
      <c r="M8482" s="68" t="s">
        <v>27</v>
      </c>
      <c r="N8482" s="116"/>
      <c r="O8482" s="51"/>
    </row>
    <row r="8483">
      <c r="A8483" s="273"/>
      <c r="B8483" s="71"/>
      <c r="C8483" s="69" t="s">
        <v>33399</v>
      </c>
      <c r="D8483" s="71"/>
      <c r="E8483" s="68" t="s">
        <v>33400</v>
      </c>
      <c r="F8483" s="76">
        <v>41217.0</v>
      </c>
      <c r="G8483" s="68" t="s">
        <v>33067</v>
      </c>
      <c r="H8483" s="71"/>
      <c r="I8483" s="71"/>
      <c r="J8483" s="68" t="s">
        <v>33401</v>
      </c>
      <c r="K8483" s="76">
        <v>44632.0</v>
      </c>
      <c r="L8483" s="68" t="s">
        <v>33398</v>
      </c>
      <c r="M8483" s="68" t="s">
        <v>27</v>
      </c>
      <c r="N8483" s="116"/>
      <c r="O8483" s="51"/>
    </row>
    <row r="8484">
      <c r="A8484" s="273"/>
      <c r="B8484" s="71"/>
      <c r="C8484" s="69" t="s">
        <v>33402</v>
      </c>
      <c r="D8484" s="71"/>
      <c r="E8484" s="68" t="s">
        <v>33403</v>
      </c>
      <c r="F8484" s="76">
        <v>41616.0</v>
      </c>
      <c r="G8484" s="68" t="s">
        <v>33211</v>
      </c>
      <c r="H8484" s="71"/>
      <c r="I8484" s="71"/>
      <c r="J8484" s="68" t="s">
        <v>33404</v>
      </c>
      <c r="K8484" s="76">
        <v>44632.0</v>
      </c>
      <c r="L8484" s="68" t="s">
        <v>33398</v>
      </c>
      <c r="M8484" s="68" t="s">
        <v>27</v>
      </c>
      <c r="N8484" s="116"/>
      <c r="O8484" s="51"/>
    </row>
    <row r="8485">
      <c r="A8485" s="273"/>
      <c r="B8485" s="71"/>
      <c r="C8485" s="69" t="s">
        <v>33405</v>
      </c>
      <c r="D8485" s="71"/>
      <c r="E8485" s="68" t="s">
        <v>33406</v>
      </c>
      <c r="F8485" s="76">
        <v>41462.0</v>
      </c>
      <c r="G8485" s="68" t="s">
        <v>33407</v>
      </c>
      <c r="H8485" s="71"/>
      <c r="I8485" s="71"/>
      <c r="J8485" s="68" t="s">
        <v>33408</v>
      </c>
      <c r="K8485" s="76">
        <v>44632.0</v>
      </c>
      <c r="L8485" s="68" t="s">
        <v>33398</v>
      </c>
      <c r="M8485" s="68" t="s">
        <v>27</v>
      </c>
      <c r="N8485" s="116"/>
      <c r="O8485" s="51"/>
    </row>
    <row r="8486">
      <c r="A8486" s="273"/>
      <c r="B8486" s="71"/>
      <c r="C8486" s="69" t="s">
        <v>33409</v>
      </c>
      <c r="D8486" s="71"/>
      <c r="E8486" s="68" t="s">
        <v>33410</v>
      </c>
      <c r="F8486" s="76">
        <v>41345.0</v>
      </c>
      <c r="G8486" s="68" t="s">
        <v>33411</v>
      </c>
      <c r="H8486" s="71"/>
      <c r="I8486" s="71"/>
      <c r="J8486" s="68" t="s">
        <v>33412</v>
      </c>
      <c r="K8486" s="76">
        <v>44632.0</v>
      </c>
      <c r="L8486" s="68" t="s">
        <v>33398</v>
      </c>
      <c r="M8486" s="68" t="s">
        <v>27</v>
      </c>
      <c r="N8486" s="116"/>
      <c r="O8486" s="51"/>
    </row>
    <row r="8487">
      <c r="A8487" s="273"/>
      <c r="B8487" s="71"/>
      <c r="C8487" s="69" t="s">
        <v>33413</v>
      </c>
      <c r="D8487" s="71"/>
      <c r="E8487" s="68" t="s">
        <v>33414</v>
      </c>
      <c r="F8487" s="76">
        <v>41764.0</v>
      </c>
      <c r="G8487" s="68" t="s">
        <v>33211</v>
      </c>
      <c r="H8487" s="71"/>
      <c r="I8487" s="71"/>
      <c r="J8487" s="68" t="s">
        <v>33415</v>
      </c>
      <c r="K8487" s="76">
        <v>44632.0</v>
      </c>
      <c r="L8487" s="68" t="s">
        <v>33398</v>
      </c>
      <c r="M8487" s="68" t="s">
        <v>27</v>
      </c>
      <c r="N8487" s="116"/>
      <c r="O8487" s="51"/>
    </row>
    <row r="8488">
      <c r="A8488" s="273"/>
      <c r="B8488" s="71"/>
      <c r="C8488" s="69" t="s">
        <v>33416</v>
      </c>
      <c r="D8488" s="71"/>
      <c r="E8488" s="68" t="s">
        <v>33417</v>
      </c>
      <c r="F8488" s="76">
        <v>41616.0</v>
      </c>
      <c r="G8488" s="68" t="s">
        <v>33211</v>
      </c>
      <c r="H8488" s="71"/>
      <c r="I8488" s="71"/>
      <c r="J8488" s="68" t="s">
        <v>33418</v>
      </c>
      <c r="K8488" s="76">
        <v>44632.0</v>
      </c>
      <c r="L8488" s="68" t="s">
        <v>33398</v>
      </c>
      <c r="M8488" s="68" t="s">
        <v>27</v>
      </c>
      <c r="N8488" s="116"/>
      <c r="O8488" s="51"/>
    </row>
    <row r="8489">
      <c r="A8489" s="273"/>
      <c r="B8489" s="71"/>
      <c r="C8489" s="69" t="s">
        <v>33419</v>
      </c>
      <c r="D8489" s="71"/>
      <c r="E8489" s="68" t="s">
        <v>33420</v>
      </c>
      <c r="F8489" s="83">
        <v>41073.0</v>
      </c>
      <c r="G8489" s="68" t="s">
        <v>33421</v>
      </c>
      <c r="H8489" s="71"/>
      <c r="I8489" s="71"/>
      <c r="J8489" s="100" t="s">
        <v>33422</v>
      </c>
      <c r="K8489" s="71"/>
      <c r="L8489" s="71"/>
      <c r="M8489" s="71"/>
      <c r="N8489" s="116"/>
      <c r="O8489" s="51"/>
    </row>
    <row r="8490">
      <c r="A8490" s="273"/>
      <c r="B8490" s="71"/>
      <c r="C8490" s="69" t="s">
        <v>33423</v>
      </c>
      <c r="D8490" s="71"/>
      <c r="E8490" s="68" t="s">
        <v>33424</v>
      </c>
      <c r="F8490" s="76">
        <v>41616.0</v>
      </c>
      <c r="G8490" s="68" t="s">
        <v>33211</v>
      </c>
      <c r="H8490" s="71"/>
      <c r="I8490" s="71"/>
      <c r="J8490" s="68" t="s">
        <v>33425</v>
      </c>
      <c r="K8490" s="76">
        <v>44632.0</v>
      </c>
      <c r="L8490" s="68" t="s">
        <v>33398</v>
      </c>
      <c r="M8490" s="68" t="s">
        <v>27</v>
      </c>
      <c r="N8490" s="116"/>
      <c r="O8490" s="51"/>
    </row>
    <row r="8491">
      <c r="A8491" s="273"/>
      <c r="B8491" s="71"/>
      <c r="C8491" s="69" t="s">
        <v>33426</v>
      </c>
      <c r="D8491" s="71"/>
      <c r="E8491" s="68" t="s">
        <v>33427</v>
      </c>
      <c r="F8491" s="76">
        <v>41616.0</v>
      </c>
      <c r="G8491" s="68" t="s">
        <v>33211</v>
      </c>
      <c r="H8491" s="71"/>
      <c r="I8491" s="71"/>
      <c r="J8491" s="68" t="s">
        <v>33428</v>
      </c>
      <c r="K8491" s="76">
        <v>44632.0</v>
      </c>
      <c r="L8491" s="68" t="s">
        <v>33398</v>
      </c>
      <c r="M8491" s="68" t="s">
        <v>27</v>
      </c>
      <c r="N8491" s="116"/>
      <c r="O8491" s="51"/>
    </row>
    <row r="8492">
      <c r="A8492" s="273"/>
      <c r="B8492" s="71"/>
      <c r="C8492" s="69" t="s">
        <v>33429</v>
      </c>
      <c r="D8492" s="71"/>
      <c r="E8492" s="68" t="s">
        <v>33430</v>
      </c>
      <c r="F8492" s="76">
        <v>41616.0</v>
      </c>
      <c r="G8492" s="68" t="s">
        <v>33211</v>
      </c>
      <c r="H8492" s="71"/>
      <c r="I8492" s="71"/>
      <c r="J8492" s="68" t="s">
        <v>33431</v>
      </c>
      <c r="K8492" s="76">
        <v>44632.0</v>
      </c>
      <c r="L8492" s="68" t="s">
        <v>33398</v>
      </c>
      <c r="M8492" s="68" t="s">
        <v>27</v>
      </c>
      <c r="N8492" s="116"/>
      <c r="O8492" s="51"/>
    </row>
    <row r="8493">
      <c r="A8493" s="273"/>
      <c r="B8493" s="71"/>
      <c r="C8493" s="69" t="s">
        <v>33432</v>
      </c>
      <c r="D8493" s="71"/>
      <c r="E8493" s="68" t="s">
        <v>33433</v>
      </c>
      <c r="F8493" s="76">
        <v>41616.0</v>
      </c>
      <c r="G8493" s="68" t="s">
        <v>33211</v>
      </c>
      <c r="H8493" s="71"/>
      <c r="I8493" s="71"/>
      <c r="J8493" s="68" t="s">
        <v>33434</v>
      </c>
      <c r="K8493" s="76">
        <v>44632.0</v>
      </c>
      <c r="L8493" s="68" t="s">
        <v>33398</v>
      </c>
      <c r="M8493" s="68" t="s">
        <v>27</v>
      </c>
      <c r="N8493" s="116"/>
      <c r="O8493" s="51"/>
    </row>
    <row r="8494">
      <c r="A8494" s="273"/>
      <c r="B8494" s="71"/>
      <c r="C8494" s="69" t="s">
        <v>33435</v>
      </c>
      <c r="D8494" s="71"/>
      <c r="E8494" s="68" t="s">
        <v>33436</v>
      </c>
      <c r="F8494" s="76">
        <v>41616.0</v>
      </c>
      <c r="G8494" s="68" t="s">
        <v>33211</v>
      </c>
      <c r="H8494" s="71"/>
      <c r="I8494" s="71"/>
      <c r="J8494" s="68" t="s">
        <v>33437</v>
      </c>
      <c r="K8494" s="76">
        <v>44632.0</v>
      </c>
      <c r="L8494" s="68" t="s">
        <v>33398</v>
      </c>
      <c r="M8494" s="68" t="s">
        <v>27</v>
      </c>
      <c r="N8494" s="116"/>
      <c r="O8494" s="51"/>
    </row>
    <row r="8495">
      <c r="A8495" s="273"/>
      <c r="B8495" s="71"/>
      <c r="C8495" s="69" t="s">
        <v>33438</v>
      </c>
      <c r="D8495" s="71"/>
      <c r="E8495" s="68" t="s">
        <v>33439</v>
      </c>
      <c r="F8495" s="76">
        <v>41764.0</v>
      </c>
      <c r="G8495" s="68" t="s">
        <v>33211</v>
      </c>
      <c r="H8495" s="71"/>
      <c r="I8495" s="71"/>
      <c r="J8495" s="68" t="s">
        <v>33440</v>
      </c>
      <c r="K8495" s="76">
        <v>44632.0</v>
      </c>
      <c r="L8495" s="68" t="s">
        <v>33398</v>
      </c>
      <c r="M8495" s="68" t="s">
        <v>27</v>
      </c>
      <c r="N8495" s="116"/>
      <c r="O8495" s="51"/>
    </row>
    <row r="8496">
      <c r="A8496" s="273"/>
      <c r="B8496" s="71"/>
      <c r="C8496" s="69" t="s">
        <v>33441</v>
      </c>
      <c r="D8496" s="71"/>
      <c r="E8496" s="68" t="s">
        <v>33442</v>
      </c>
      <c r="F8496" s="76">
        <v>41764.0</v>
      </c>
      <c r="G8496" s="68" t="s">
        <v>33211</v>
      </c>
      <c r="H8496" s="71"/>
      <c r="I8496" s="71"/>
      <c r="J8496" s="68" t="s">
        <v>33443</v>
      </c>
      <c r="K8496" s="76">
        <v>44632.0</v>
      </c>
      <c r="L8496" s="68" t="s">
        <v>33398</v>
      </c>
      <c r="M8496" s="68" t="s">
        <v>27</v>
      </c>
      <c r="N8496" s="116"/>
      <c r="O8496" s="51"/>
    </row>
    <row r="8497">
      <c r="A8497" s="273"/>
      <c r="B8497" s="71"/>
      <c r="C8497" s="69" t="s">
        <v>33444</v>
      </c>
      <c r="D8497" s="71"/>
      <c r="E8497" s="68" t="s">
        <v>33445</v>
      </c>
      <c r="F8497" s="76">
        <v>41764.0</v>
      </c>
      <c r="G8497" s="68" t="s">
        <v>33211</v>
      </c>
      <c r="H8497" s="71"/>
      <c r="I8497" s="71"/>
      <c r="J8497" s="68" t="s">
        <v>33446</v>
      </c>
      <c r="K8497" s="76">
        <v>44632.0</v>
      </c>
      <c r="L8497" s="68" t="s">
        <v>33398</v>
      </c>
      <c r="M8497" s="68" t="s">
        <v>27</v>
      </c>
      <c r="N8497" s="116"/>
      <c r="O8497" s="51"/>
    </row>
    <row r="8498">
      <c r="A8498" s="187"/>
      <c r="B8498" s="60"/>
      <c r="C8498" s="58" t="s">
        <v>33447</v>
      </c>
      <c r="D8498" s="60"/>
      <c r="E8498" s="57" t="s">
        <v>33448</v>
      </c>
      <c r="F8498" s="57" t="s">
        <v>33449</v>
      </c>
      <c r="G8498" s="57" t="s">
        <v>33211</v>
      </c>
      <c r="H8498" s="60"/>
      <c r="I8498" s="60"/>
      <c r="J8498" s="57" t="s">
        <v>33450</v>
      </c>
      <c r="K8498" s="59">
        <v>44632.0</v>
      </c>
      <c r="L8498" s="57" t="s">
        <v>33398</v>
      </c>
      <c r="M8498" s="57" t="s">
        <v>27</v>
      </c>
      <c r="N8498" s="90"/>
      <c r="O8498" s="51"/>
    </row>
    <row r="8499">
      <c r="A8499" s="187"/>
      <c r="B8499" s="60"/>
      <c r="C8499" s="58" t="s">
        <v>33451</v>
      </c>
      <c r="D8499" s="60"/>
      <c r="E8499" s="57" t="s">
        <v>33452</v>
      </c>
      <c r="F8499" s="78">
        <v>42564.0</v>
      </c>
      <c r="G8499" s="57" t="s">
        <v>33211</v>
      </c>
      <c r="H8499" s="60"/>
      <c r="I8499" s="60"/>
      <c r="J8499" s="57" t="s">
        <v>33453</v>
      </c>
      <c r="K8499" s="60"/>
      <c r="L8499" s="57" t="s">
        <v>33398</v>
      </c>
      <c r="M8499" s="57" t="s">
        <v>27</v>
      </c>
      <c r="N8499" s="90"/>
      <c r="O8499" s="51"/>
    </row>
    <row r="8500">
      <c r="A8500" s="187"/>
      <c r="B8500" s="60"/>
      <c r="C8500" s="58" t="s">
        <v>33454</v>
      </c>
      <c r="D8500" s="60"/>
      <c r="E8500" s="57" t="s">
        <v>33455</v>
      </c>
      <c r="F8500" s="59">
        <v>42409.0</v>
      </c>
      <c r="G8500" s="57" t="s">
        <v>33211</v>
      </c>
      <c r="H8500" s="60"/>
      <c r="I8500" s="60"/>
      <c r="J8500" s="57" t="s">
        <v>33456</v>
      </c>
      <c r="K8500" s="60"/>
      <c r="L8500" s="57" t="s">
        <v>33398</v>
      </c>
      <c r="M8500" s="57" t="s">
        <v>27</v>
      </c>
      <c r="N8500" s="90"/>
      <c r="O8500" s="51"/>
    </row>
    <row r="8501">
      <c r="A8501" s="187"/>
      <c r="B8501" s="60"/>
      <c r="C8501" s="58" t="s">
        <v>33457</v>
      </c>
      <c r="D8501" s="60"/>
      <c r="E8501" s="57" t="s">
        <v>33458</v>
      </c>
      <c r="F8501" s="78">
        <v>42389.0</v>
      </c>
      <c r="G8501" s="57" t="s">
        <v>33459</v>
      </c>
      <c r="H8501" s="60"/>
      <c r="I8501" s="60"/>
      <c r="J8501" s="57" t="s">
        <v>33460</v>
      </c>
      <c r="K8501" s="60"/>
      <c r="L8501" s="57" t="s">
        <v>33398</v>
      </c>
      <c r="M8501" s="57" t="s">
        <v>27</v>
      </c>
      <c r="N8501" s="90"/>
      <c r="O8501" s="51"/>
    </row>
    <row r="8502">
      <c r="A8502" s="187"/>
      <c r="B8502" s="60"/>
      <c r="C8502" s="58" t="s">
        <v>33461</v>
      </c>
      <c r="D8502" s="60"/>
      <c r="E8502" s="57" t="s">
        <v>33462</v>
      </c>
      <c r="F8502" s="59">
        <v>42374.0</v>
      </c>
      <c r="G8502" s="57" t="s">
        <v>33211</v>
      </c>
      <c r="H8502" s="60"/>
      <c r="I8502" s="60"/>
      <c r="J8502" s="89" t="s">
        <v>33463</v>
      </c>
      <c r="K8502" s="60"/>
      <c r="L8502" s="57" t="s">
        <v>33398</v>
      </c>
      <c r="M8502" s="57" t="s">
        <v>27</v>
      </c>
      <c r="N8502" s="90"/>
      <c r="O8502" s="51"/>
    </row>
    <row r="8503">
      <c r="A8503" s="187"/>
      <c r="B8503" s="60"/>
      <c r="C8503" s="58" t="s">
        <v>33464</v>
      </c>
      <c r="D8503" s="60"/>
      <c r="E8503" s="57" t="s">
        <v>33465</v>
      </c>
      <c r="F8503" s="78">
        <v>42564.0</v>
      </c>
      <c r="G8503" s="57" t="s">
        <v>33211</v>
      </c>
      <c r="H8503" s="60"/>
      <c r="I8503" s="60"/>
      <c r="J8503" s="57" t="s">
        <v>33466</v>
      </c>
      <c r="K8503" s="60"/>
      <c r="L8503" s="57" t="s">
        <v>33398</v>
      </c>
      <c r="M8503" s="57" t="s">
        <v>27</v>
      </c>
      <c r="N8503" s="90"/>
      <c r="O8503" s="51"/>
    </row>
    <row r="8504">
      <c r="A8504" s="187"/>
      <c r="B8504" s="60"/>
      <c r="C8504" s="58" t="s">
        <v>33467</v>
      </c>
      <c r="D8504" s="60"/>
      <c r="E8504" s="57" t="s">
        <v>33468</v>
      </c>
      <c r="F8504" s="78">
        <v>42538.0</v>
      </c>
      <c r="G8504" s="57" t="s">
        <v>33048</v>
      </c>
      <c r="H8504" s="60"/>
      <c r="I8504" s="60"/>
      <c r="J8504" s="57" t="s">
        <v>33469</v>
      </c>
      <c r="K8504" s="60"/>
      <c r="L8504" s="57" t="s">
        <v>33398</v>
      </c>
      <c r="M8504" s="57" t="s">
        <v>27</v>
      </c>
      <c r="N8504" s="90"/>
      <c r="O8504" s="51"/>
    </row>
    <row r="8505">
      <c r="A8505" s="187"/>
      <c r="B8505" s="60"/>
      <c r="C8505" s="58" t="s">
        <v>33470</v>
      </c>
      <c r="D8505" s="60"/>
      <c r="E8505" s="57" t="s">
        <v>33471</v>
      </c>
      <c r="F8505" s="78">
        <v>42109.0</v>
      </c>
      <c r="G8505" s="57" t="s">
        <v>33472</v>
      </c>
      <c r="H8505" s="60"/>
      <c r="I8505" s="60"/>
      <c r="J8505" s="57" t="s">
        <v>33473</v>
      </c>
      <c r="K8505" s="60"/>
      <c r="L8505" s="57" t="s">
        <v>33398</v>
      </c>
      <c r="M8505" s="57" t="s">
        <v>27</v>
      </c>
      <c r="N8505" s="90"/>
      <c r="O8505" s="51"/>
    </row>
    <row r="8506">
      <c r="A8506" s="234"/>
      <c r="B8506" s="71"/>
      <c r="C8506" s="79" t="s">
        <v>33474</v>
      </c>
      <c r="D8506" s="82"/>
      <c r="E8506" s="63" t="s">
        <v>33475</v>
      </c>
      <c r="F8506" s="63" t="s">
        <v>33269</v>
      </c>
      <c r="G8506" s="63" t="s">
        <v>33476</v>
      </c>
      <c r="H8506" s="80" t="s">
        <v>33477</v>
      </c>
      <c r="I8506" s="82"/>
      <c r="J8506" s="63" t="s">
        <v>136</v>
      </c>
      <c r="K8506" s="81">
        <v>44637.0</v>
      </c>
      <c r="L8506" s="80" t="s">
        <v>2743</v>
      </c>
      <c r="M8506" s="80" t="s">
        <v>530</v>
      </c>
      <c r="N8506" s="116"/>
      <c r="O8506" s="51"/>
    </row>
    <row r="8507">
      <c r="A8507" s="273"/>
      <c r="B8507" s="71"/>
      <c r="C8507" s="69" t="s">
        <v>33478</v>
      </c>
      <c r="D8507" s="71"/>
      <c r="E8507" s="68" t="s">
        <v>33479</v>
      </c>
      <c r="F8507" s="76">
        <v>44620.0</v>
      </c>
      <c r="G8507" s="68" t="s">
        <v>33480</v>
      </c>
      <c r="H8507" s="68" t="s">
        <v>33481</v>
      </c>
      <c r="I8507" s="71"/>
      <c r="J8507" s="68" t="s">
        <v>33482</v>
      </c>
      <c r="K8507" s="76">
        <v>44637.0</v>
      </c>
      <c r="L8507" s="68" t="s">
        <v>2743</v>
      </c>
      <c r="M8507" s="68" t="s">
        <v>542</v>
      </c>
      <c r="N8507" s="116"/>
      <c r="O8507" s="51"/>
    </row>
    <row r="8508">
      <c r="A8508" s="234"/>
      <c r="B8508" s="71"/>
      <c r="C8508" s="79" t="s">
        <v>33483</v>
      </c>
      <c r="D8508" s="82"/>
      <c r="E8508" s="63" t="s">
        <v>33484</v>
      </c>
      <c r="F8508" s="70">
        <v>44357.0</v>
      </c>
      <c r="G8508" s="63" t="s">
        <v>33485</v>
      </c>
      <c r="H8508" s="80" t="s">
        <v>33486</v>
      </c>
      <c r="I8508" s="82"/>
      <c r="J8508" s="63" t="s">
        <v>136</v>
      </c>
      <c r="K8508" s="81">
        <v>44637.0</v>
      </c>
      <c r="L8508" s="80" t="s">
        <v>2743</v>
      </c>
      <c r="M8508" s="80" t="s">
        <v>31</v>
      </c>
      <c r="N8508" s="116"/>
      <c r="O8508" s="51"/>
    </row>
    <row r="8509">
      <c r="A8509" s="234"/>
      <c r="B8509" s="71"/>
      <c r="C8509" s="79" t="s">
        <v>33487</v>
      </c>
      <c r="D8509" s="82"/>
      <c r="E8509" s="63" t="s">
        <v>33488</v>
      </c>
      <c r="F8509" s="70">
        <v>44580.0</v>
      </c>
      <c r="G8509" s="63" t="s">
        <v>33489</v>
      </c>
      <c r="H8509" s="80" t="s">
        <v>27394</v>
      </c>
      <c r="I8509" s="82"/>
      <c r="J8509" s="63" t="s">
        <v>136</v>
      </c>
      <c r="K8509" s="81">
        <v>44637.0</v>
      </c>
      <c r="L8509" s="80" t="s">
        <v>2743</v>
      </c>
      <c r="M8509" s="80" t="s">
        <v>143</v>
      </c>
      <c r="N8509" s="116"/>
      <c r="O8509" s="51"/>
    </row>
    <row r="8510">
      <c r="A8510" s="234"/>
      <c r="B8510" s="71"/>
      <c r="C8510" s="69" t="s">
        <v>33490</v>
      </c>
      <c r="D8510" s="71"/>
      <c r="E8510" s="68" t="s">
        <v>33491</v>
      </c>
      <c r="F8510" s="68" t="s">
        <v>33492</v>
      </c>
      <c r="G8510" s="68" t="s">
        <v>33493</v>
      </c>
      <c r="H8510" s="68" t="s">
        <v>33494</v>
      </c>
      <c r="I8510" s="71"/>
      <c r="J8510" s="68" t="s">
        <v>33495</v>
      </c>
      <c r="K8510" s="76">
        <v>44637.0</v>
      </c>
      <c r="L8510" s="68" t="s">
        <v>2743</v>
      </c>
      <c r="M8510" s="68" t="s">
        <v>22473</v>
      </c>
      <c r="N8510" s="116"/>
      <c r="O8510" s="51"/>
    </row>
    <row r="8511">
      <c r="A8511" s="273"/>
      <c r="B8511" s="71"/>
      <c r="C8511" s="69" t="s">
        <v>33496</v>
      </c>
      <c r="D8511" s="71"/>
      <c r="E8511" s="68" t="s">
        <v>33497</v>
      </c>
      <c r="F8511" s="76">
        <v>44615.0</v>
      </c>
      <c r="G8511" s="68" t="s">
        <v>33498</v>
      </c>
      <c r="H8511" s="68" t="s">
        <v>33499</v>
      </c>
      <c r="I8511" s="71"/>
      <c r="J8511" s="68" t="s">
        <v>33500</v>
      </c>
      <c r="K8511" s="76">
        <v>44637.0</v>
      </c>
      <c r="L8511" s="68" t="s">
        <v>2743</v>
      </c>
      <c r="M8511" s="68" t="s">
        <v>166</v>
      </c>
      <c r="N8511" s="116"/>
      <c r="O8511" s="51"/>
    </row>
    <row r="8512">
      <c r="A8512" s="234"/>
      <c r="B8512" s="71"/>
      <c r="C8512" s="79" t="s">
        <v>33501</v>
      </c>
      <c r="D8512" s="82"/>
      <c r="E8512" s="63" t="s">
        <v>33502</v>
      </c>
      <c r="F8512" s="70">
        <v>44509.0</v>
      </c>
      <c r="G8512" s="63" t="s">
        <v>33503</v>
      </c>
      <c r="H8512" s="80" t="s">
        <v>33504</v>
      </c>
      <c r="I8512" s="82"/>
      <c r="J8512" s="63" t="s">
        <v>136</v>
      </c>
      <c r="K8512" s="81">
        <v>44637.0</v>
      </c>
      <c r="L8512" s="80" t="s">
        <v>2743</v>
      </c>
      <c r="M8512" s="80" t="s">
        <v>368</v>
      </c>
      <c r="N8512" s="116"/>
      <c r="O8512" s="51"/>
    </row>
    <row r="8513">
      <c r="A8513" s="234"/>
      <c r="B8513" s="71"/>
      <c r="C8513" s="79" t="s">
        <v>33505</v>
      </c>
      <c r="D8513" s="82"/>
      <c r="E8513" s="63" t="s">
        <v>33506</v>
      </c>
      <c r="F8513" s="70">
        <v>44509.0</v>
      </c>
      <c r="G8513" s="63" t="s">
        <v>33507</v>
      </c>
      <c r="H8513" s="80" t="s">
        <v>33508</v>
      </c>
      <c r="I8513" s="82"/>
      <c r="J8513" s="63" t="s">
        <v>136</v>
      </c>
      <c r="K8513" s="81">
        <v>44637.0</v>
      </c>
      <c r="L8513" s="80" t="s">
        <v>2743</v>
      </c>
      <c r="M8513" s="80" t="s">
        <v>368</v>
      </c>
      <c r="N8513" s="116"/>
      <c r="O8513" s="51"/>
    </row>
    <row r="8514">
      <c r="A8514" s="234"/>
      <c r="B8514" s="71"/>
      <c r="C8514" s="79" t="s">
        <v>33509</v>
      </c>
      <c r="D8514" s="82"/>
      <c r="E8514" s="63" t="s">
        <v>33510</v>
      </c>
      <c r="F8514" s="70">
        <v>44205.0</v>
      </c>
      <c r="G8514" s="63" t="s">
        <v>33511</v>
      </c>
      <c r="H8514" s="82"/>
      <c r="I8514" s="82"/>
      <c r="J8514" s="63" t="s">
        <v>136</v>
      </c>
      <c r="K8514" s="81">
        <v>44646.0</v>
      </c>
      <c r="L8514" s="80" t="s">
        <v>2743</v>
      </c>
      <c r="M8514" s="80" t="s">
        <v>1528</v>
      </c>
      <c r="N8514" s="116"/>
      <c r="O8514" s="51"/>
    </row>
    <row r="8515">
      <c r="A8515" s="273"/>
      <c r="B8515" s="71"/>
      <c r="C8515" s="69" t="s">
        <v>33512</v>
      </c>
      <c r="D8515" s="71"/>
      <c r="E8515" s="68" t="s">
        <v>33513</v>
      </c>
      <c r="F8515" s="76">
        <v>38727.0</v>
      </c>
      <c r="G8515" s="68" t="s">
        <v>33514</v>
      </c>
      <c r="H8515" s="71"/>
      <c r="I8515" s="71"/>
      <c r="J8515" s="68" t="s">
        <v>33515</v>
      </c>
      <c r="K8515" s="71"/>
      <c r="L8515" s="68" t="s">
        <v>32774</v>
      </c>
      <c r="M8515" s="68" t="s">
        <v>27</v>
      </c>
      <c r="N8515" s="116"/>
      <c r="O8515" s="51"/>
    </row>
    <row r="8516">
      <c r="A8516" s="273"/>
      <c r="B8516" s="71"/>
      <c r="C8516" s="69" t="s">
        <v>33516</v>
      </c>
      <c r="D8516" s="71"/>
      <c r="E8516" s="68" t="s">
        <v>33517</v>
      </c>
      <c r="F8516" s="76">
        <v>41221.0</v>
      </c>
      <c r="G8516" s="68" t="s">
        <v>33067</v>
      </c>
      <c r="H8516" s="71"/>
      <c r="I8516" s="71"/>
      <c r="J8516" s="68" t="s">
        <v>33518</v>
      </c>
      <c r="K8516" s="71"/>
      <c r="L8516" s="68" t="s">
        <v>32774</v>
      </c>
      <c r="M8516" s="68" t="s">
        <v>27</v>
      </c>
      <c r="N8516" s="116"/>
      <c r="O8516" s="51"/>
    </row>
    <row r="8517">
      <c r="A8517" s="273"/>
      <c r="B8517" s="71"/>
      <c r="C8517" s="69" t="s">
        <v>33519</v>
      </c>
      <c r="D8517" s="71"/>
      <c r="E8517" s="68" t="s">
        <v>33520</v>
      </c>
      <c r="F8517" s="76">
        <v>41221.0</v>
      </c>
      <c r="G8517" s="68" t="s">
        <v>33521</v>
      </c>
      <c r="H8517" s="71"/>
      <c r="I8517" s="71"/>
      <c r="J8517" s="68" t="s">
        <v>33522</v>
      </c>
      <c r="K8517" s="71"/>
      <c r="L8517" s="68" t="s">
        <v>32774</v>
      </c>
      <c r="M8517" s="68" t="s">
        <v>27</v>
      </c>
      <c r="N8517" s="116"/>
      <c r="O8517" s="51"/>
    </row>
    <row r="8518">
      <c r="A8518" s="273"/>
      <c r="B8518" s="71"/>
      <c r="C8518" s="69" t="s">
        <v>33523</v>
      </c>
      <c r="D8518" s="71"/>
      <c r="E8518" s="68" t="s">
        <v>33037</v>
      </c>
      <c r="F8518" s="83">
        <v>39011.0</v>
      </c>
      <c r="G8518" s="68" t="s">
        <v>33038</v>
      </c>
      <c r="H8518" s="71"/>
      <c r="I8518" s="71"/>
      <c r="J8518" s="68" t="s">
        <v>33524</v>
      </c>
      <c r="K8518" s="71"/>
      <c r="L8518" s="68" t="s">
        <v>32774</v>
      </c>
      <c r="M8518" s="68" t="s">
        <v>27</v>
      </c>
      <c r="N8518" s="116"/>
      <c r="O8518" s="51"/>
    </row>
    <row r="8519">
      <c r="A8519" s="234"/>
      <c r="B8519" s="71"/>
      <c r="C8519" s="79" t="s">
        <v>33525</v>
      </c>
      <c r="D8519" s="82"/>
      <c r="E8519" s="63" t="s">
        <v>33526</v>
      </c>
      <c r="F8519" s="70">
        <v>41822.0</v>
      </c>
      <c r="G8519" s="63" t="s">
        <v>33527</v>
      </c>
      <c r="H8519" s="80" t="s">
        <v>33528</v>
      </c>
      <c r="I8519" s="82"/>
      <c r="J8519" s="63" t="s">
        <v>136</v>
      </c>
      <c r="K8519" s="81">
        <v>44649.0</v>
      </c>
      <c r="L8519" s="80" t="s">
        <v>33529</v>
      </c>
      <c r="M8519" s="80" t="s">
        <v>542</v>
      </c>
      <c r="N8519" s="116"/>
      <c r="O8519" s="51"/>
    </row>
    <row r="8520">
      <c r="A8520" s="234"/>
      <c r="B8520" s="71"/>
      <c r="C8520" s="79" t="s">
        <v>33530</v>
      </c>
      <c r="D8520" s="82"/>
      <c r="E8520" s="63" t="s">
        <v>33531</v>
      </c>
      <c r="F8520" s="70">
        <v>42467.0</v>
      </c>
      <c r="G8520" s="63" t="s">
        <v>33532</v>
      </c>
      <c r="H8520" s="80" t="s">
        <v>33533</v>
      </c>
      <c r="I8520" s="82"/>
      <c r="J8520" s="63" t="s">
        <v>136</v>
      </c>
      <c r="K8520" s="81">
        <v>44649.0</v>
      </c>
      <c r="L8520" s="80" t="s">
        <v>2743</v>
      </c>
      <c r="M8520" s="80" t="s">
        <v>125</v>
      </c>
      <c r="N8520" s="116"/>
      <c r="O8520" s="51"/>
    </row>
    <row r="8521">
      <c r="A8521" s="234"/>
      <c r="B8521" s="71"/>
      <c r="C8521" s="79" t="s">
        <v>33534</v>
      </c>
      <c r="D8521" s="82"/>
      <c r="E8521" s="63" t="s">
        <v>33535</v>
      </c>
      <c r="F8521" s="63" t="s">
        <v>33492</v>
      </c>
      <c r="G8521" s="63" t="s">
        <v>33536</v>
      </c>
      <c r="H8521" s="80" t="s">
        <v>33537</v>
      </c>
      <c r="I8521" s="82"/>
      <c r="J8521" s="63" t="s">
        <v>136</v>
      </c>
      <c r="K8521" s="81">
        <v>44649.0</v>
      </c>
      <c r="L8521" s="80" t="s">
        <v>31318</v>
      </c>
      <c r="M8521" s="80" t="s">
        <v>18616</v>
      </c>
      <c r="N8521" s="116"/>
      <c r="O8521" s="51"/>
    </row>
    <row r="8522">
      <c r="A8522" s="234"/>
      <c r="B8522" s="71"/>
      <c r="C8522" s="79" t="s">
        <v>33538</v>
      </c>
      <c r="D8522" s="82"/>
      <c r="E8522" s="63" t="s">
        <v>33539</v>
      </c>
      <c r="F8522" s="262"/>
      <c r="G8522" s="222" t="s">
        <v>33540</v>
      </c>
      <c r="H8522" s="80" t="s">
        <v>33541</v>
      </c>
      <c r="I8522" s="82"/>
      <c r="J8522" s="63" t="s">
        <v>136</v>
      </c>
      <c r="K8522" s="81">
        <v>44649.0</v>
      </c>
      <c r="L8522" s="80" t="s">
        <v>2743</v>
      </c>
      <c r="M8522" s="80" t="s">
        <v>33542</v>
      </c>
      <c r="N8522" s="87" t="s">
        <v>33543</v>
      </c>
      <c r="O8522" s="51"/>
    </row>
    <row r="8523">
      <c r="A8523" s="234"/>
      <c r="B8523" s="71"/>
      <c r="C8523" s="79" t="s">
        <v>33544</v>
      </c>
      <c r="D8523" s="286"/>
      <c r="E8523" s="287" t="s">
        <v>33545</v>
      </c>
      <c r="F8523" s="288">
        <v>42007.0</v>
      </c>
      <c r="G8523" s="287" t="s">
        <v>33546</v>
      </c>
      <c r="H8523" s="287" t="s">
        <v>33547</v>
      </c>
      <c r="I8523" s="289"/>
      <c r="J8523" s="287" t="s">
        <v>136</v>
      </c>
      <c r="K8523" s="288">
        <v>44652.0</v>
      </c>
      <c r="L8523" s="287" t="s">
        <v>31554</v>
      </c>
      <c r="M8523" s="287" t="s">
        <v>368</v>
      </c>
      <c r="N8523" s="207" t="s">
        <v>33548</v>
      </c>
      <c r="O8523" s="51"/>
    </row>
    <row r="8524">
      <c r="A8524" s="234"/>
      <c r="B8524" s="71"/>
      <c r="C8524" s="79" t="s">
        <v>33549</v>
      </c>
      <c r="D8524" s="290"/>
      <c r="E8524" s="291" t="s">
        <v>33550</v>
      </c>
      <c r="F8524" s="292">
        <v>42115.0</v>
      </c>
      <c r="G8524" s="291" t="s">
        <v>33551</v>
      </c>
      <c r="H8524" s="291" t="s">
        <v>439</v>
      </c>
      <c r="I8524" s="293"/>
      <c r="J8524" s="291" t="s">
        <v>136</v>
      </c>
      <c r="K8524" s="292">
        <v>44652.0</v>
      </c>
      <c r="L8524" s="291" t="s">
        <v>31554</v>
      </c>
      <c r="M8524" s="291" t="s">
        <v>22473</v>
      </c>
      <c r="N8524" s="272"/>
      <c r="O8524" s="51"/>
    </row>
    <row r="8525">
      <c r="A8525" s="234"/>
      <c r="B8525" s="71"/>
      <c r="C8525" s="79" t="s">
        <v>33552</v>
      </c>
      <c r="D8525" s="286"/>
      <c r="E8525" s="287" t="s">
        <v>33553</v>
      </c>
      <c r="F8525" s="288">
        <v>42115.0</v>
      </c>
      <c r="G8525" s="287" t="s">
        <v>33551</v>
      </c>
      <c r="H8525" s="287" t="s">
        <v>33554</v>
      </c>
      <c r="I8525" s="289"/>
      <c r="J8525" s="287" t="s">
        <v>136</v>
      </c>
      <c r="K8525" s="288">
        <v>44652.0</v>
      </c>
      <c r="L8525" s="287" t="s">
        <v>31554</v>
      </c>
      <c r="M8525" s="287" t="s">
        <v>22473</v>
      </c>
      <c r="N8525" s="272"/>
      <c r="O8525" s="51"/>
    </row>
    <row r="8526">
      <c r="A8526" s="234"/>
      <c r="B8526" s="71"/>
      <c r="C8526" s="79" t="s">
        <v>33555</v>
      </c>
      <c r="D8526" s="290"/>
      <c r="E8526" s="291" t="s">
        <v>33556</v>
      </c>
      <c r="F8526" s="292">
        <v>42115.0</v>
      </c>
      <c r="G8526" s="291" t="s">
        <v>33551</v>
      </c>
      <c r="H8526" s="291" t="s">
        <v>33557</v>
      </c>
      <c r="I8526" s="293"/>
      <c r="J8526" s="291" t="s">
        <v>136</v>
      </c>
      <c r="K8526" s="292">
        <v>44652.0</v>
      </c>
      <c r="L8526" s="291" t="s">
        <v>31554</v>
      </c>
      <c r="M8526" s="291" t="s">
        <v>22473</v>
      </c>
      <c r="N8526" s="272"/>
      <c r="O8526" s="51"/>
    </row>
    <row r="8527">
      <c r="A8527" s="234"/>
      <c r="B8527" s="71"/>
      <c r="C8527" s="79" t="s">
        <v>33558</v>
      </c>
      <c r="D8527" s="286"/>
      <c r="E8527" s="287" t="s">
        <v>33559</v>
      </c>
      <c r="F8527" s="288">
        <v>42115.0</v>
      </c>
      <c r="G8527" s="287" t="s">
        <v>33551</v>
      </c>
      <c r="H8527" s="287" t="s">
        <v>33560</v>
      </c>
      <c r="I8527" s="289"/>
      <c r="J8527" s="287" t="s">
        <v>136</v>
      </c>
      <c r="K8527" s="288">
        <v>44652.0</v>
      </c>
      <c r="L8527" s="287" t="s">
        <v>31554</v>
      </c>
      <c r="M8527" s="287" t="s">
        <v>22473</v>
      </c>
      <c r="N8527" s="272"/>
      <c r="O8527" s="51"/>
    </row>
    <row r="8528">
      <c r="A8528" s="234"/>
      <c r="B8528" s="71"/>
      <c r="C8528" s="79" t="s">
        <v>33561</v>
      </c>
      <c r="D8528" s="175"/>
      <c r="E8528" s="74" t="s">
        <v>33562</v>
      </c>
      <c r="F8528" s="257">
        <v>43950.0</v>
      </c>
      <c r="G8528" s="74" t="s">
        <v>33563</v>
      </c>
      <c r="H8528" s="74" t="s">
        <v>33564</v>
      </c>
      <c r="I8528" s="175"/>
      <c r="J8528" s="291" t="s">
        <v>136</v>
      </c>
      <c r="K8528" s="292">
        <v>44652.0</v>
      </c>
      <c r="L8528" s="291" t="s">
        <v>31554</v>
      </c>
      <c r="M8528" s="291" t="s">
        <v>143</v>
      </c>
      <c r="N8528" s="272"/>
      <c r="O8528" s="51"/>
    </row>
    <row r="8529">
      <c r="A8529" s="234"/>
      <c r="B8529" s="71"/>
      <c r="C8529" s="79" t="s">
        <v>33565</v>
      </c>
      <c r="D8529" s="286"/>
      <c r="E8529" s="287" t="s">
        <v>33566</v>
      </c>
      <c r="F8529" s="287" t="s">
        <v>33567</v>
      </c>
      <c r="G8529" s="287" t="s">
        <v>33568</v>
      </c>
      <c r="H8529" s="287" t="s">
        <v>33569</v>
      </c>
      <c r="I8529" s="289"/>
      <c r="J8529" s="287" t="s">
        <v>136</v>
      </c>
      <c r="K8529" s="288">
        <v>44652.0</v>
      </c>
      <c r="L8529" s="287" t="s">
        <v>31554</v>
      </c>
      <c r="M8529" s="287" t="s">
        <v>125</v>
      </c>
      <c r="N8529" s="272"/>
      <c r="O8529" s="51"/>
    </row>
    <row r="8530">
      <c r="A8530" s="234"/>
      <c r="B8530" s="71"/>
      <c r="C8530" s="79" t="s">
        <v>33570</v>
      </c>
      <c r="D8530" s="258"/>
      <c r="E8530" s="74" t="s">
        <v>33571</v>
      </c>
      <c r="F8530" s="257">
        <v>44631.0</v>
      </c>
      <c r="G8530" s="74" t="s">
        <v>33572</v>
      </c>
      <c r="H8530" s="224" t="s">
        <v>33573</v>
      </c>
      <c r="I8530" s="258"/>
      <c r="J8530" s="291" t="s">
        <v>136</v>
      </c>
      <c r="K8530" s="292">
        <v>44653.0</v>
      </c>
      <c r="L8530" s="291" t="s">
        <v>31554</v>
      </c>
      <c r="M8530" s="291" t="s">
        <v>33574</v>
      </c>
      <c r="N8530" s="272"/>
      <c r="O8530" s="51"/>
    </row>
    <row r="8531">
      <c r="A8531" s="234"/>
      <c r="B8531" s="71"/>
      <c r="C8531" s="79" t="s">
        <v>33575</v>
      </c>
      <c r="D8531" s="82"/>
      <c r="E8531" s="63" t="s">
        <v>33576</v>
      </c>
      <c r="F8531" s="70">
        <v>44631.0</v>
      </c>
      <c r="G8531" s="63" t="s">
        <v>33577</v>
      </c>
      <c r="H8531" s="80" t="s">
        <v>33578</v>
      </c>
      <c r="I8531" s="82"/>
      <c r="J8531" s="287" t="s">
        <v>136</v>
      </c>
      <c r="K8531" s="288">
        <v>44653.0</v>
      </c>
      <c r="L8531" s="287" t="s">
        <v>31554</v>
      </c>
      <c r="M8531" s="291" t="s">
        <v>33574</v>
      </c>
      <c r="N8531" s="272"/>
      <c r="O8531" s="51"/>
    </row>
    <row r="8532">
      <c r="A8532" s="234"/>
      <c r="B8532" s="71"/>
      <c r="C8532" s="79" t="s">
        <v>33579</v>
      </c>
      <c r="D8532" s="82"/>
      <c r="E8532" s="63" t="s">
        <v>33580</v>
      </c>
      <c r="F8532" s="70">
        <v>44631.0</v>
      </c>
      <c r="G8532" s="63" t="s">
        <v>33572</v>
      </c>
      <c r="H8532" s="80" t="s">
        <v>33581</v>
      </c>
      <c r="I8532" s="82"/>
      <c r="J8532" s="291" t="s">
        <v>136</v>
      </c>
      <c r="K8532" s="292">
        <v>44653.0</v>
      </c>
      <c r="L8532" s="291" t="s">
        <v>31554</v>
      </c>
      <c r="M8532" s="291" t="s">
        <v>33574</v>
      </c>
      <c r="N8532" s="272"/>
      <c r="O8532" s="51"/>
    </row>
    <row r="8533">
      <c r="A8533" s="234"/>
      <c r="B8533" s="71"/>
      <c r="C8533" s="79" t="s">
        <v>33582</v>
      </c>
      <c r="D8533" s="82"/>
      <c r="E8533" s="63" t="s">
        <v>33583</v>
      </c>
      <c r="F8533" s="70">
        <v>42791.0</v>
      </c>
      <c r="G8533" s="63" t="s">
        <v>33584</v>
      </c>
      <c r="H8533" s="80" t="s">
        <v>33585</v>
      </c>
      <c r="I8533" s="82"/>
      <c r="J8533" s="291" t="s">
        <v>136</v>
      </c>
      <c r="K8533" s="292">
        <v>44653.0</v>
      </c>
      <c r="L8533" s="294" t="s">
        <v>2743</v>
      </c>
      <c r="M8533" s="224" t="s">
        <v>33586</v>
      </c>
      <c r="N8533" s="116"/>
      <c r="O8533" s="51"/>
    </row>
    <row r="8534">
      <c r="A8534" s="234"/>
      <c r="B8534" s="71"/>
      <c r="C8534" s="79" t="s">
        <v>33587</v>
      </c>
      <c r="D8534" s="82"/>
      <c r="E8534" s="63" t="s">
        <v>33588</v>
      </c>
      <c r="F8534" s="70">
        <v>42386.0</v>
      </c>
      <c r="G8534" s="63" t="s">
        <v>33589</v>
      </c>
      <c r="H8534" s="80" t="s">
        <v>439</v>
      </c>
      <c r="I8534" s="82"/>
      <c r="J8534" s="291" t="s">
        <v>136</v>
      </c>
      <c r="K8534" s="292">
        <v>44653.0</v>
      </c>
      <c r="L8534" s="295" t="s">
        <v>2743</v>
      </c>
      <c r="M8534" s="80" t="s">
        <v>125</v>
      </c>
      <c r="N8534" s="116"/>
      <c r="O8534" s="51"/>
    </row>
    <row r="8535">
      <c r="A8535" s="234"/>
      <c r="B8535" s="71"/>
      <c r="C8535" s="79" t="s">
        <v>33590</v>
      </c>
      <c r="D8535" s="82"/>
      <c r="E8535" s="63" t="s">
        <v>33591</v>
      </c>
      <c r="F8535" s="63" t="s">
        <v>33269</v>
      </c>
      <c r="G8535" s="63" t="s">
        <v>33592</v>
      </c>
      <c r="H8535" s="80" t="s">
        <v>33593</v>
      </c>
      <c r="I8535" s="82"/>
      <c r="J8535" s="291" t="s">
        <v>136</v>
      </c>
      <c r="K8535" s="292">
        <v>44653.0</v>
      </c>
      <c r="L8535" s="295" t="s">
        <v>2743</v>
      </c>
      <c r="M8535" s="80" t="s">
        <v>530</v>
      </c>
      <c r="N8535" s="116"/>
      <c r="O8535" s="51"/>
    </row>
    <row r="8536">
      <c r="A8536" s="234"/>
      <c r="B8536" s="71"/>
      <c r="C8536" s="79" t="s">
        <v>33594</v>
      </c>
      <c r="D8536" s="82"/>
      <c r="E8536" s="63" t="s">
        <v>33595</v>
      </c>
      <c r="F8536" s="70">
        <v>42374.0</v>
      </c>
      <c r="G8536" s="63" t="s">
        <v>33596</v>
      </c>
      <c r="H8536" s="80" t="s">
        <v>33597</v>
      </c>
      <c r="I8536" s="82"/>
      <c r="J8536" s="291" t="s">
        <v>136</v>
      </c>
      <c r="K8536" s="292">
        <v>44653.0</v>
      </c>
      <c r="L8536" s="295" t="s">
        <v>2743</v>
      </c>
      <c r="M8536" s="80" t="s">
        <v>143</v>
      </c>
      <c r="N8536" s="116"/>
      <c r="O8536" s="51"/>
    </row>
    <row r="8537">
      <c r="A8537" s="273"/>
      <c r="B8537" s="71"/>
      <c r="C8537" s="69" t="s">
        <v>33598</v>
      </c>
      <c r="D8537" s="71"/>
      <c r="E8537" s="68" t="s">
        <v>33599</v>
      </c>
      <c r="F8537" s="76">
        <v>44600.0</v>
      </c>
      <c r="G8537" s="68" t="s">
        <v>33600</v>
      </c>
      <c r="H8537" s="68" t="s">
        <v>33601</v>
      </c>
      <c r="I8537" s="71"/>
      <c r="J8537" s="296" t="s">
        <v>33602</v>
      </c>
      <c r="K8537" s="297">
        <v>44656.0</v>
      </c>
      <c r="L8537" s="73" t="s">
        <v>2743</v>
      </c>
      <c r="M8537" s="68" t="s">
        <v>33586</v>
      </c>
      <c r="N8537" s="116"/>
      <c r="O8537" s="51"/>
    </row>
    <row r="8538">
      <c r="A8538" s="234"/>
      <c r="B8538" s="71"/>
      <c r="C8538" s="79" t="s">
        <v>33603</v>
      </c>
      <c r="D8538" s="82"/>
      <c r="E8538" s="63" t="s">
        <v>33604</v>
      </c>
      <c r="F8538" s="70">
        <v>44504.0</v>
      </c>
      <c r="G8538" s="63" t="s">
        <v>33605</v>
      </c>
      <c r="H8538" s="80" t="s">
        <v>33606</v>
      </c>
      <c r="I8538" s="82"/>
      <c r="J8538" s="291" t="s">
        <v>136</v>
      </c>
      <c r="K8538" s="292">
        <v>44656.0</v>
      </c>
      <c r="L8538" s="295" t="s">
        <v>2743</v>
      </c>
      <c r="M8538" s="80" t="s">
        <v>166</v>
      </c>
      <c r="N8538" s="116"/>
      <c r="O8538" s="51"/>
    </row>
    <row r="8539">
      <c r="A8539" s="234"/>
      <c r="B8539" s="71"/>
      <c r="C8539" s="79" t="s">
        <v>33607</v>
      </c>
      <c r="D8539" s="82"/>
      <c r="E8539" s="63" t="s">
        <v>33608</v>
      </c>
      <c r="F8539" s="70">
        <v>44635.0</v>
      </c>
      <c r="G8539" s="63" t="s">
        <v>33609</v>
      </c>
      <c r="H8539" s="80" t="s">
        <v>33610</v>
      </c>
      <c r="I8539" s="82"/>
      <c r="J8539" s="291" t="s">
        <v>136</v>
      </c>
      <c r="K8539" s="292">
        <v>44660.0</v>
      </c>
      <c r="L8539" s="295" t="s">
        <v>2743</v>
      </c>
      <c r="M8539" s="80" t="s">
        <v>166</v>
      </c>
      <c r="N8539" s="116"/>
      <c r="O8539" s="51"/>
    </row>
    <row r="8540">
      <c r="A8540" s="234"/>
      <c r="B8540" s="71"/>
      <c r="C8540" s="79" t="s">
        <v>33611</v>
      </c>
      <c r="D8540" s="82"/>
      <c r="E8540" s="63" t="s">
        <v>33612</v>
      </c>
      <c r="F8540" s="70">
        <v>44622.0</v>
      </c>
      <c r="G8540" s="63" t="s">
        <v>33613</v>
      </c>
      <c r="H8540" s="80" t="s">
        <v>33614</v>
      </c>
      <c r="I8540" s="82"/>
      <c r="J8540" s="291" t="s">
        <v>136</v>
      </c>
      <c r="K8540" s="292">
        <v>44660.0</v>
      </c>
      <c r="L8540" s="295" t="s">
        <v>2743</v>
      </c>
      <c r="M8540" s="80" t="s">
        <v>149</v>
      </c>
      <c r="N8540" s="116"/>
      <c r="O8540" s="51"/>
    </row>
    <row r="8541">
      <c r="A8541" s="234"/>
      <c r="B8541" s="71"/>
      <c r="C8541" s="79" t="s">
        <v>33615</v>
      </c>
      <c r="D8541" s="82"/>
      <c r="E8541" s="63" t="s">
        <v>33616</v>
      </c>
      <c r="F8541" s="70">
        <v>44631.0</v>
      </c>
      <c r="G8541" s="63" t="s">
        <v>33617</v>
      </c>
      <c r="H8541" s="80" t="s">
        <v>33618</v>
      </c>
      <c r="I8541" s="82"/>
      <c r="J8541" s="291" t="s">
        <v>136</v>
      </c>
      <c r="K8541" s="292">
        <v>44660.0</v>
      </c>
      <c r="L8541" s="295" t="s">
        <v>2743</v>
      </c>
      <c r="M8541" s="80" t="s">
        <v>31</v>
      </c>
      <c r="N8541" s="116"/>
      <c r="O8541" s="51"/>
    </row>
    <row r="8542">
      <c r="A8542" s="273"/>
      <c r="B8542" s="71"/>
      <c r="C8542" s="69" t="s">
        <v>33619</v>
      </c>
      <c r="D8542" s="71"/>
      <c r="E8542" s="68" t="s">
        <v>33620</v>
      </c>
      <c r="F8542" s="76">
        <v>44637.0</v>
      </c>
      <c r="G8542" s="68" t="s">
        <v>33621</v>
      </c>
      <c r="H8542" s="68" t="s">
        <v>33622</v>
      </c>
      <c r="I8542" s="71"/>
      <c r="J8542" s="296" t="s">
        <v>33623</v>
      </c>
      <c r="K8542" s="297">
        <v>44660.0</v>
      </c>
      <c r="L8542" s="73" t="s">
        <v>2743</v>
      </c>
      <c r="M8542" s="68" t="s">
        <v>166</v>
      </c>
      <c r="N8542" s="116"/>
      <c r="O8542" s="51"/>
    </row>
    <row r="8543">
      <c r="A8543" s="234"/>
      <c r="B8543" s="71"/>
      <c r="C8543" s="79" t="s">
        <v>33624</v>
      </c>
      <c r="D8543" s="82"/>
      <c r="E8543" s="63" t="s">
        <v>33625</v>
      </c>
      <c r="F8543" s="70">
        <v>44640.0</v>
      </c>
      <c r="G8543" s="63" t="s">
        <v>33626</v>
      </c>
      <c r="H8543" s="80" t="s">
        <v>33627</v>
      </c>
      <c r="I8543" s="82"/>
      <c r="J8543" s="291" t="s">
        <v>136</v>
      </c>
      <c r="K8543" s="292">
        <v>44660.0</v>
      </c>
      <c r="L8543" s="295" t="s">
        <v>2743</v>
      </c>
      <c r="M8543" s="80" t="s">
        <v>5707</v>
      </c>
      <c r="N8543" s="116"/>
      <c r="O8543" s="51"/>
    </row>
    <row r="8544">
      <c r="A8544" s="234"/>
      <c r="B8544" s="71"/>
      <c r="C8544" s="124" t="s">
        <v>33628</v>
      </c>
      <c r="D8544" s="66"/>
      <c r="E8544" s="63" t="s">
        <v>33629</v>
      </c>
      <c r="F8544" s="70">
        <v>43900.0</v>
      </c>
      <c r="G8544" s="63" t="s">
        <v>33630</v>
      </c>
      <c r="H8544" s="63" t="s">
        <v>33631</v>
      </c>
      <c r="I8544" s="66"/>
      <c r="J8544" s="74" t="s">
        <v>136</v>
      </c>
      <c r="K8544" s="257">
        <v>44663.0</v>
      </c>
      <c r="L8544" s="63" t="s">
        <v>30692</v>
      </c>
      <c r="M8544" s="63" t="s">
        <v>33632</v>
      </c>
      <c r="N8544" s="116"/>
      <c r="O8544" s="51"/>
    </row>
    <row r="8545">
      <c r="A8545" s="234"/>
      <c r="B8545" s="71"/>
      <c r="C8545" s="124" t="s">
        <v>33633</v>
      </c>
      <c r="D8545" s="66"/>
      <c r="E8545" s="63" t="s">
        <v>33634</v>
      </c>
      <c r="F8545" s="65">
        <v>41964.0</v>
      </c>
      <c r="G8545" s="63" t="s">
        <v>33635</v>
      </c>
      <c r="H8545" s="63" t="s">
        <v>33636</v>
      </c>
      <c r="I8545" s="66"/>
      <c r="J8545" s="63" t="s">
        <v>136</v>
      </c>
      <c r="K8545" s="70">
        <v>44663.0</v>
      </c>
      <c r="L8545" s="63" t="s">
        <v>30692</v>
      </c>
      <c r="M8545" s="63" t="s">
        <v>166</v>
      </c>
      <c r="N8545" s="116"/>
      <c r="O8545" s="51"/>
    </row>
    <row r="8546">
      <c r="A8546" s="273"/>
      <c r="B8546" s="71"/>
      <c r="C8546" s="126" t="s">
        <v>33637</v>
      </c>
      <c r="D8546" s="71"/>
      <c r="E8546" s="68" t="s">
        <v>33638</v>
      </c>
      <c r="F8546" s="83">
        <v>43063.0</v>
      </c>
      <c r="G8546" s="68" t="s">
        <v>33639</v>
      </c>
      <c r="H8546" s="68" t="s">
        <v>33640</v>
      </c>
      <c r="I8546" s="71"/>
      <c r="J8546" s="68" t="s">
        <v>33641</v>
      </c>
      <c r="K8546" s="76">
        <v>44663.0</v>
      </c>
      <c r="L8546" s="68" t="s">
        <v>30692</v>
      </c>
      <c r="M8546" s="68" t="s">
        <v>542</v>
      </c>
      <c r="N8546" s="116"/>
      <c r="O8546" s="51"/>
    </row>
    <row r="8547">
      <c r="A8547" s="234"/>
      <c r="B8547" s="71"/>
      <c r="C8547" s="124" t="s">
        <v>33642</v>
      </c>
      <c r="D8547" s="66"/>
      <c r="E8547" s="63" t="s">
        <v>33643</v>
      </c>
      <c r="F8547" s="70">
        <v>44443.0</v>
      </c>
      <c r="G8547" s="63" t="s">
        <v>33644</v>
      </c>
      <c r="H8547" s="63" t="s">
        <v>33645</v>
      </c>
      <c r="I8547" s="66"/>
      <c r="J8547" s="63" t="s">
        <v>136</v>
      </c>
      <c r="K8547" s="70">
        <v>44663.0</v>
      </c>
      <c r="L8547" s="63" t="s">
        <v>30692</v>
      </c>
      <c r="M8547" s="63" t="s">
        <v>2152</v>
      </c>
      <c r="N8547" s="116"/>
      <c r="O8547" s="51"/>
    </row>
    <row r="8548">
      <c r="A8548" s="234"/>
      <c r="B8548" s="71"/>
      <c r="C8548" s="124" t="s">
        <v>33646</v>
      </c>
      <c r="D8548" s="66"/>
      <c r="E8548" s="63" t="s">
        <v>33647</v>
      </c>
      <c r="F8548" s="70">
        <v>44206.0</v>
      </c>
      <c r="G8548" s="63" t="s">
        <v>33648</v>
      </c>
      <c r="H8548" s="63" t="s">
        <v>33649</v>
      </c>
      <c r="I8548" s="66"/>
      <c r="J8548" s="63" t="s">
        <v>136</v>
      </c>
      <c r="K8548" s="70">
        <v>44663.0</v>
      </c>
      <c r="L8548" s="63" t="s">
        <v>30692</v>
      </c>
      <c r="M8548" s="63" t="s">
        <v>33203</v>
      </c>
      <c r="N8548" s="116"/>
      <c r="O8548" s="51"/>
    </row>
    <row r="8549">
      <c r="A8549" s="234"/>
      <c r="B8549" s="71"/>
      <c r="C8549" s="124" t="s">
        <v>33650</v>
      </c>
      <c r="D8549" s="66"/>
      <c r="E8549" s="63" t="s">
        <v>33651</v>
      </c>
      <c r="F8549" s="70">
        <v>44280.0</v>
      </c>
      <c r="G8549" s="63" t="s">
        <v>33652</v>
      </c>
      <c r="H8549" s="63" t="s">
        <v>33653</v>
      </c>
      <c r="I8549" s="66"/>
      <c r="J8549" s="63" t="s">
        <v>136</v>
      </c>
      <c r="K8549" s="70">
        <v>44663.0</v>
      </c>
      <c r="L8549" s="63" t="s">
        <v>30692</v>
      </c>
      <c r="M8549" s="63" t="s">
        <v>33203</v>
      </c>
      <c r="N8549" s="116"/>
      <c r="O8549" s="51"/>
    </row>
    <row r="8550">
      <c r="A8550" s="234"/>
      <c r="B8550" s="71"/>
      <c r="C8550" s="124" t="s">
        <v>33654</v>
      </c>
      <c r="D8550" s="66"/>
      <c r="E8550" s="63" t="s">
        <v>33655</v>
      </c>
      <c r="F8550" s="70">
        <v>44384.0</v>
      </c>
      <c r="G8550" s="63" t="s">
        <v>33656</v>
      </c>
      <c r="H8550" s="63" t="s">
        <v>33657</v>
      </c>
      <c r="I8550" s="66"/>
      <c r="J8550" s="63" t="s">
        <v>136</v>
      </c>
      <c r="K8550" s="70">
        <v>44663.0</v>
      </c>
      <c r="L8550" s="63" t="s">
        <v>30692</v>
      </c>
      <c r="M8550" s="63" t="s">
        <v>4487</v>
      </c>
      <c r="N8550" s="116"/>
      <c r="O8550" s="51"/>
    </row>
    <row r="8551">
      <c r="A8551" s="234"/>
      <c r="B8551" s="71"/>
      <c r="C8551" s="124" t="s">
        <v>33658</v>
      </c>
      <c r="D8551" s="66"/>
      <c r="E8551" s="63" t="s">
        <v>33659</v>
      </c>
      <c r="F8551" s="70">
        <v>41689.0</v>
      </c>
      <c r="G8551" s="63" t="s">
        <v>33660</v>
      </c>
      <c r="H8551" s="63" t="s">
        <v>33661</v>
      </c>
      <c r="I8551" s="66"/>
      <c r="J8551" s="63" t="s">
        <v>136</v>
      </c>
      <c r="K8551" s="70">
        <v>44663.0</v>
      </c>
      <c r="L8551" s="63" t="s">
        <v>30692</v>
      </c>
      <c r="M8551" s="63" t="s">
        <v>125</v>
      </c>
      <c r="N8551" s="116"/>
      <c r="O8551" s="51"/>
    </row>
    <row r="8552">
      <c r="A8552" s="234"/>
      <c r="B8552" s="71"/>
      <c r="C8552" s="124" t="s">
        <v>33662</v>
      </c>
      <c r="D8552" s="66"/>
      <c r="E8552" s="63" t="s">
        <v>33663</v>
      </c>
      <c r="F8552" s="70">
        <v>42139.0</v>
      </c>
      <c r="G8552" s="63" t="s">
        <v>33664</v>
      </c>
      <c r="H8552" s="63" t="s">
        <v>33665</v>
      </c>
      <c r="I8552" s="66"/>
      <c r="J8552" s="63" t="s">
        <v>136</v>
      </c>
      <c r="K8552" s="70">
        <v>44663.0</v>
      </c>
      <c r="L8552" s="63" t="s">
        <v>30692</v>
      </c>
      <c r="M8552" s="63" t="s">
        <v>33203</v>
      </c>
      <c r="N8552" s="116"/>
      <c r="O8552" s="51"/>
    </row>
    <row r="8553">
      <c r="A8553" s="234"/>
      <c r="B8553" s="71"/>
      <c r="C8553" s="124" t="s">
        <v>33666</v>
      </c>
      <c r="D8553" s="66"/>
      <c r="E8553" s="63" t="s">
        <v>33667</v>
      </c>
      <c r="F8553" s="70">
        <v>44171.0</v>
      </c>
      <c r="G8553" s="63" t="s">
        <v>33668</v>
      </c>
      <c r="H8553" s="63" t="s">
        <v>33669</v>
      </c>
      <c r="I8553" s="66"/>
      <c r="J8553" s="63" t="s">
        <v>136</v>
      </c>
      <c r="K8553" s="70">
        <v>44663.0</v>
      </c>
      <c r="L8553" s="63" t="s">
        <v>30692</v>
      </c>
      <c r="M8553" s="63" t="s">
        <v>33203</v>
      </c>
      <c r="N8553" s="116"/>
      <c r="O8553" s="51"/>
    </row>
    <row r="8554">
      <c r="A8554" s="234"/>
      <c r="B8554" s="71"/>
      <c r="C8554" s="124" t="s">
        <v>33670</v>
      </c>
      <c r="D8554" s="66"/>
      <c r="E8554" s="63" t="s">
        <v>33671</v>
      </c>
      <c r="F8554" s="63" t="s">
        <v>33672</v>
      </c>
      <c r="G8554" s="63" t="s">
        <v>33673</v>
      </c>
      <c r="H8554" s="63" t="s">
        <v>33674</v>
      </c>
      <c r="I8554" s="66"/>
      <c r="J8554" s="63" t="s">
        <v>136</v>
      </c>
      <c r="K8554" s="70">
        <v>44665.0</v>
      </c>
      <c r="L8554" s="63" t="s">
        <v>2743</v>
      </c>
      <c r="M8554" s="63" t="s">
        <v>530</v>
      </c>
      <c r="N8554" s="116"/>
      <c r="O8554" s="51"/>
    </row>
    <row r="8555">
      <c r="A8555" s="273"/>
      <c r="B8555" s="71"/>
      <c r="C8555" s="126" t="s">
        <v>33675</v>
      </c>
      <c r="D8555" s="71"/>
      <c r="E8555" s="68" t="s">
        <v>33676</v>
      </c>
      <c r="F8555" s="76">
        <v>44663.0</v>
      </c>
      <c r="G8555" s="68" t="s">
        <v>33677</v>
      </c>
      <c r="H8555" s="68" t="s">
        <v>33678</v>
      </c>
      <c r="I8555" s="71"/>
      <c r="J8555" s="100" t="s">
        <v>33679</v>
      </c>
      <c r="K8555" s="225">
        <v>44665.0</v>
      </c>
      <c r="L8555" s="68" t="s">
        <v>2743</v>
      </c>
      <c r="M8555" s="68" t="s">
        <v>31</v>
      </c>
      <c r="N8555" s="116"/>
      <c r="O8555" s="130"/>
    </row>
    <row r="8556">
      <c r="A8556" s="234"/>
      <c r="B8556" s="71"/>
      <c r="C8556" s="124" t="s">
        <v>33680</v>
      </c>
      <c r="D8556" s="66"/>
      <c r="E8556" s="63" t="s">
        <v>19381</v>
      </c>
      <c r="F8556" s="63" t="s">
        <v>33681</v>
      </c>
      <c r="G8556" s="63" t="s">
        <v>33682</v>
      </c>
      <c r="H8556" s="63" t="s">
        <v>19383</v>
      </c>
      <c r="I8556" s="66"/>
      <c r="J8556" s="63" t="s">
        <v>136</v>
      </c>
      <c r="K8556" s="70">
        <v>44665.0</v>
      </c>
      <c r="L8556" s="63" t="s">
        <v>2743</v>
      </c>
      <c r="M8556" s="63" t="s">
        <v>143</v>
      </c>
      <c r="N8556" s="116"/>
      <c r="O8556" s="51"/>
    </row>
    <row r="8557">
      <c r="A8557" s="234"/>
      <c r="B8557" s="71"/>
      <c r="C8557" s="79" t="s">
        <v>33683</v>
      </c>
      <c r="D8557" s="82"/>
      <c r="E8557" s="63" t="s">
        <v>33684</v>
      </c>
      <c r="F8557" s="63" t="s">
        <v>33685</v>
      </c>
      <c r="G8557" s="63" t="s">
        <v>33686</v>
      </c>
      <c r="H8557" s="80" t="s">
        <v>439</v>
      </c>
      <c r="I8557" s="82"/>
      <c r="J8557" s="63" t="s">
        <v>136</v>
      </c>
      <c r="K8557" s="70">
        <v>44665.0</v>
      </c>
      <c r="L8557" s="63" t="s">
        <v>2743</v>
      </c>
      <c r="M8557" s="80" t="s">
        <v>530</v>
      </c>
      <c r="N8557" s="116"/>
      <c r="O8557" s="51"/>
    </row>
    <row r="8558">
      <c r="A8558" s="167"/>
      <c r="B8558" s="82"/>
      <c r="C8558" s="79" t="s">
        <v>33687</v>
      </c>
      <c r="D8558" s="82"/>
      <c r="E8558" s="80" t="s">
        <v>33688</v>
      </c>
      <c r="F8558" s="81">
        <v>42456.0</v>
      </c>
      <c r="G8558" s="80" t="s">
        <v>33689</v>
      </c>
      <c r="H8558" s="80" t="s">
        <v>439</v>
      </c>
      <c r="I8558" s="82"/>
      <c r="J8558" s="63" t="s">
        <v>136</v>
      </c>
      <c r="K8558" s="70">
        <v>44665.0</v>
      </c>
      <c r="L8558" s="63" t="s">
        <v>2743</v>
      </c>
      <c r="M8558" s="80" t="s">
        <v>872</v>
      </c>
      <c r="N8558" s="82"/>
      <c r="O8558" s="51"/>
    </row>
    <row r="8559">
      <c r="A8559" s="167"/>
      <c r="B8559" s="82"/>
      <c r="C8559" s="79" t="s">
        <v>33690</v>
      </c>
      <c r="D8559" s="82"/>
      <c r="E8559" s="80" t="s">
        <v>33691</v>
      </c>
      <c r="F8559" s="98">
        <v>43038.0</v>
      </c>
      <c r="G8559" s="80" t="s">
        <v>33692</v>
      </c>
      <c r="H8559" s="80" t="s">
        <v>33693</v>
      </c>
      <c r="I8559" s="82"/>
      <c r="J8559" s="80" t="s">
        <v>136</v>
      </c>
      <c r="K8559" s="70">
        <v>44665.0</v>
      </c>
      <c r="L8559" s="80" t="s">
        <v>2743</v>
      </c>
      <c r="M8559" s="80" t="s">
        <v>166</v>
      </c>
      <c r="N8559" s="82"/>
      <c r="O8559" s="51"/>
    </row>
    <row r="8560">
      <c r="A8560" s="101"/>
      <c r="B8560" s="71"/>
      <c r="C8560" s="69" t="s">
        <v>33694</v>
      </c>
      <c r="D8560" s="71"/>
      <c r="E8560" s="68" t="s">
        <v>33695</v>
      </c>
      <c r="F8560" s="76">
        <v>40215.0</v>
      </c>
      <c r="G8560" s="68" t="s">
        <v>33696</v>
      </c>
      <c r="H8560" s="68" t="s">
        <v>439</v>
      </c>
      <c r="I8560" s="71"/>
      <c r="J8560" s="68" t="s">
        <v>33697</v>
      </c>
      <c r="K8560" s="76">
        <v>44665.0</v>
      </c>
      <c r="L8560" s="68" t="s">
        <v>32774</v>
      </c>
      <c r="M8560" s="68" t="s">
        <v>27</v>
      </c>
      <c r="N8560" s="71"/>
      <c r="O8560" s="51"/>
    </row>
    <row r="8561">
      <c r="A8561" s="101"/>
      <c r="B8561" s="71"/>
      <c r="C8561" s="69" t="s">
        <v>33698</v>
      </c>
      <c r="D8561" s="71"/>
      <c r="E8561" s="68" t="s">
        <v>33699</v>
      </c>
      <c r="F8561" s="76">
        <v>40215.0</v>
      </c>
      <c r="G8561" s="68" t="s">
        <v>33696</v>
      </c>
      <c r="H8561" s="68" t="s">
        <v>439</v>
      </c>
      <c r="I8561" s="71"/>
      <c r="J8561" s="68" t="s">
        <v>33700</v>
      </c>
      <c r="K8561" s="76">
        <v>44665.0</v>
      </c>
      <c r="L8561" s="68" t="s">
        <v>32774</v>
      </c>
      <c r="M8561" s="68" t="s">
        <v>27</v>
      </c>
      <c r="N8561" s="71"/>
      <c r="O8561" s="51"/>
    </row>
    <row r="8562">
      <c r="A8562" s="101"/>
      <c r="B8562" s="71"/>
      <c r="C8562" s="69" t="s">
        <v>33701</v>
      </c>
      <c r="D8562" s="71"/>
      <c r="E8562" s="68" t="s">
        <v>33702</v>
      </c>
      <c r="F8562" s="83">
        <v>43028.0</v>
      </c>
      <c r="G8562" s="68" t="s">
        <v>33703</v>
      </c>
      <c r="H8562" s="68" t="s">
        <v>439</v>
      </c>
      <c r="I8562" s="71"/>
      <c r="J8562" s="68" t="s">
        <v>33704</v>
      </c>
      <c r="K8562" s="76">
        <v>44665.0</v>
      </c>
      <c r="L8562" s="68" t="s">
        <v>32774</v>
      </c>
      <c r="M8562" s="68" t="s">
        <v>27</v>
      </c>
      <c r="N8562" s="71"/>
      <c r="O8562" s="51"/>
    </row>
    <row r="8563">
      <c r="A8563" s="167"/>
      <c r="B8563" s="71"/>
      <c r="C8563" s="69" t="s">
        <v>33705</v>
      </c>
      <c r="D8563" s="71"/>
      <c r="E8563" s="68" t="s">
        <v>33706</v>
      </c>
      <c r="F8563" s="83">
        <v>43028.0</v>
      </c>
      <c r="G8563" s="68" t="s">
        <v>4716</v>
      </c>
      <c r="H8563" s="68" t="s">
        <v>439</v>
      </c>
      <c r="I8563" s="71"/>
      <c r="J8563" s="68" t="s">
        <v>33707</v>
      </c>
      <c r="K8563" s="76">
        <v>44665.0</v>
      </c>
      <c r="L8563" s="68" t="s">
        <v>32774</v>
      </c>
      <c r="M8563" s="68" t="s">
        <v>27</v>
      </c>
      <c r="N8563" s="71"/>
      <c r="O8563" s="51"/>
    </row>
    <row r="8564">
      <c r="A8564" s="101"/>
      <c r="B8564" s="71"/>
      <c r="C8564" s="69" t="s">
        <v>33708</v>
      </c>
      <c r="D8564" s="71"/>
      <c r="E8564" s="68" t="s">
        <v>33709</v>
      </c>
      <c r="F8564" s="83">
        <v>43028.0</v>
      </c>
      <c r="G8564" s="68" t="s">
        <v>33703</v>
      </c>
      <c r="H8564" s="68" t="s">
        <v>439</v>
      </c>
      <c r="I8564" s="71"/>
      <c r="J8564" s="68" t="s">
        <v>33710</v>
      </c>
      <c r="K8564" s="76">
        <v>44665.0</v>
      </c>
      <c r="L8564" s="68" t="s">
        <v>32774</v>
      </c>
      <c r="M8564" s="68" t="s">
        <v>27</v>
      </c>
      <c r="N8564" s="71"/>
      <c r="O8564" s="51"/>
    </row>
    <row r="8565">
      <c r="A8565" s="101"/>
      <c r="B8565" s="71"/>
      <c r="C8565" s="69" t="s">
        <v>33711</v>
      </c>
      <c r="D8565" s="71"/>
      <c r="E8565" s="68" t="s">
        <v>33712</v>
      </c>
      <c r="F8565" s="68" t="s">
        <v>33713</v>
      </c>
      <c r="G8565" s="68" t="s">
        <v>33714</v>
      </c>
      <c r="H8565" s="68" t="s">
        <v>439</v>
      </c>
      <c r="I8565" s="71"/>
      <c r="J8565" s="68" t="s">
        <v>33715</v>
      </c>
      <c r="K8565" s="76">
        <v>44665.0</v>
      </c>
      <c r="L8565" s="68" t="s">
        <v>32774</v>
      </c>
      <c r="M8565" s="68" t="s">
        <v>27</v>
      </c>
      <c r="N8565" s="71"/>
      <c r="O8565" s="51"/>
    </row>
    <row r="8566">
      <c r="A8566" s="101"/>
      <c r="B8566" s="71"/>
      <c r="C8566" s="69" t="s">
        <v>33716</v>
      </c>
      <c r="D8566" s="71"/>
      <c r="E8566" s="68" t="s">
        <v>33717</v>
      </c>
      <c r="F8566" s="83">
        <v>43028.0</v>
      </c>
      <c r="G8566" s="68" t="s">
        <v>33703</v>
      </c>
      <c r="H8566" s="68" t="s">
        <v>439</v>
      </c>
      <c r="I8566" s="71"/>
      <c r="J8566" s="68" t="s">
        <v>33718</v>
      </c>
      <c r="K8566" s="76">
        <v>44665.0</v>
      </c>
      <c r="L8566" s="68" t="s">
        <v>32774</v>
      </c>
      <c r="M8566" s="68" t="s">
        <v>27</v>
      </c>
      <c r="N8566" s="71"/>
      <c r="O8566" s="51"/>
    </row>
    <row r="8567">
      <c r="A8567" s="101"/>
      <c r="B8567" s="71"/>
      <c r="C8567" s="69" t="s">
        <v>33719</v>
      </c>
      <c r="D8567" s="71"/>
      <c r="E8567" s="68" t="s">
        <v>33720</v>
      </c>
      <c r="F8567" s="83">
        <v>43028.0</v>
      </c>
      <c r="G8567" s="68" t="s">
        <v>33703</v>
      </c>
      <c r="H8567" s="68" t="s">
        <v>439</v>
      </c>
      <c r="I8567" s="71"/>
      <c r="J8567" s="68" t="s">
        <v>33721</v>
      </c>
      <c r="K8567" s="76">
        <v>44665.0</v>
      </c>
      <c r="L8567" s="68" t="s">
        <v>32774</v>
      </c>
      <c r="M8567" s="68" t="s">
        <v>27</v>
      </c>
      <c r="N8567" s="71"/>
      <c r="O8567" s="51"/>
    </row>
    <row r="8568">
      <c r="A8568" s="101"/>
      <c r="B8568" s="71"/>
      <c r="C8568" s="69" t="s">
        <v>33722</v>
      </c>
      <c r="D8568" s="71"/>
      <c r="E8568" s="68" t="s">
        <v>33723</v>
      </c>
      <c r="F8568" s="76">
        <v>42819.0</v>
      </c>
      <c r="G8568" s="68" t="s">
        <v>33724</v>
      </c>
      <c r="H8568" s="68" t="s">
        <v>439</v>
      </c>
      <c r="I8568" s="71"/>
      <c r="J8568" s="68" t="s">
        <v>33725</v>
      </c>
      <c r="K8568" s="76">
        <v>44665.0</v>
      </c>
      <c r="L8568" s="68" t="s">
        <v>32774</v>
      </c>
      <c r="M8568" s="68" t="s">
        <v>27</v>
      </c>
      <c r="N8568" s="71"/>
      <c r="O8568" s="51"/>
    </row>
    <row r="8569">
      <c r="A8569" s="101"/>
      <c r="B8569" s="71"/>
      <c r="C8569" s="69" t="s">
        <v>33726</v>
      </c>
      <c r="D8569" s="71"/>
      <c r="E8569" s="68" t="s">
        <v>33727</v>
      </c>
      <c r="F8569" s="76">
        <v>40430.0</v>
      </c>
      <c r="G8569" s="68" t="s">
        <v>33714</v>
      </c>
      <c r="H8569" s="68" t="s">
        <v>439</v>
      </c>
      <c r="I8569" s="71"/>
      <c r="J8569" s="68" t="s">
        <v>33728</v>
      </c>
      <c r="K8569" s="76">
        <v>44665.0</v>
      </c>
      <c r="L8569" s="68" t="s">
        <v>32774</v>
      </c>
      <c r="M8569" s="68" t="s">
        <v>27</v>
      </c>
      <c r="N8569" s="71"/>
      <c r="O8569" s="51"/>
    </row>
    <row r="8570">
      <c r="A8570" s="101"/>
      <c r="B8570" s="71"/>
      <c r="C8570" s="69" t="s">
        <v>33729</v>
      </c>
      <c r="D8570" s="71"/>
      <c r="E8570" s="68" t="s">
        <v>33730</v>
      </c>
      <c r="F8570" s="76">
        <v>41311.0</v>
      </c>
      <c r="G8570" s="68" t="s">
        <v>33731</v>
      </c>
      <c r="H8570" s="68" t="s">
        <v>439</v>
      </c>
      <c r="I8570" s="71"/>
      <c r="J8570" s="68" t="s">
        <v>33732</v>
      </c>
      <c r="K8570" s="76">
        <v>44665.0</v>
      </c>
      <c r="L8570" s="68" t="s">
        <v>32774</v>
      </c>
      <c r="M8570" s="68" t="s">
        <v>27</v>
      </c>
      <c r="N8570" s="71"/>
      <c r="O8570" s="51"/>
    </row>
    <row r="8571">
      <c r="A8571" s="101"/>
      <c r="B8571" s="71"/>
      <c r="C8571" s="69" t="s">
        <v>33733</v>
      </c>
      <c r="D8571" s="71"/>
      <c r="E8571" s="68" t="s">
        <v>33734</v>
      </c>
      <c r="F8571" s="68" t="s">
        <v>407</v>
      </c>
      <c r="G8571" s="68" t="s">
        <v>33735</v>
      </c>
      <c r="H8571" s="68" t="s">
        <v>33736</v>
      </c>
      <c r="I8571" s="71"/>
      <c r="J8571" s="100" t="s">
        <v>33737</v>
      </c>
      <c r="K8571" s="225">
        <v>44671.0</v>
      </c>
      <c r="L8571" s="68" t="s">
        <v>2743</v>
      </c>
      <c r="M8571" s="68" t="s">
        <v>2152</v>
      </c>
      <c r="N8571" s="71"/>
      <c r="O8571" s="130"/>
    </row>
    <row r="8572">
      <c r="A8572" s="101"/>
      <c r="B8572" s="71"/>
      <c r="C8572" s="69" t="s">
        <v>33738</v>
      </c>
      <c r="D8572" s="71"/>
      <c r="E8572" s="68" t="s">
        <v>33739</v>
      </c>
      <c r="F8572" s="83">
        <v>41292.0</v>
      </c>
      <c r="G8572" s="68" t="s">
        <v>33714</v>
      </c>
      <c r="H8572" s="68" t="s">
        <v>439</v>
      </c>
      <c r="I8572" s="71"/>
      <c r="J8572" s="68" t="s">
        <v>33740</v>
      </c>
      <c r="K8572" s="76">
        <v>44665.0</v>
      </c>
      <c r="L8572" s="68" t="s">
        <v>32774</v>
      </c>
      <c r="M8572" s="68" t="s">
        <v>27</v>
      </c>
      <c r="N8572" s="71"/>
      <c r="O8572" s="51"/>
    </row>
    <row r="8573">
      <c r="A8573" s="101"/>
      <c r="B8573" s="71"/>
      <c r="C8573" s="69" t="s">
        <v>33741</v>
      </c>
      <c r="D8573" s="71"/>
      <c r="E8573" s="68" t="s">
        <v>33742</v>
      </c>
      <c r="F8573" s="83">
        <v>41138.0</v>
      </c>
      <c r="G8573" s="68" t="s">
        <v>33714</v>
      </c>
      <c r="H8573" s="68" t="s">
        <v>439</v>
      </c>
      <c r="I8573" s="71"/>
      <c r="J8573" s="68" t="s">
        <v>33743</v>
      </c>
      <c r="K8573" s="76">
        <v>44665.0</v>
      </c>
      <c r="L8573" s="68" t="s">
        <v>32774</v>
      </c>
      <c r="M8573" s="68" t="s">
        <v>27</v>
      </c>
      <c r="N8573" s="71"/>
      <c r="O8573" s="51"/>
    </row>
    <row r="8574">
      <c r="A8574" s="101"/>
      <c r="B8574" s="71"/>
      <c r="C8574" s="69" t="s">
        <v>33744</v>
      </c>
      <c r="D8574" s="71"/>
      <c r="E8574" s="68" t="s">
        <v>33745</v>
      </c>
      <c r="F8574" s="83">
        <v>41474.0</v>
      </c>
      <c r="G8574" s="68" t="s">
        <v>33714</v>
      </c>
      <c r="H8574" s="68" t="s">
        <v>439</v>
      </c>
      <c r="I8574" s="71"/>
      <c r="J8574" s="68" t="s">
        <v>33746</v>
      </c>
      <c r="K8574" s="76">
        <v>44665.0</v>
      </c>
      <c r="L8574" s="68" t="s">
        <v>32774</v>
      </c>
      <c r="M8574" s="68" t="s">
        <v>27</v>
      </c>
      <c r="N8574" s="71"/>
      <c r="O8574" s="51"/>
    </row>
    <row r="8575">
      <c r="A8575" s="101"/>
      <c r="B8575" s="71"/>
      <c r="C8575" s="69" t="s">
        <v>33747</v>
      </c>
      <c r="D8575" s="71"/>
      <c r="E8575" s="68" t="s">
        <v>33748</v>
      </c>
      <c r="F8575" s="83">
        <v>41540.0</v>
      </c>
      <c r="G8575" s="68" t="s">
        <v>33749</v>
      </c>
      <c r="H8575" s="68" t="s">
        <v>439</v>
      </c>
      <c r="I8575" s="71"/>
      <c r="J8575" s="68" t="s">
        <v>33750</v>
      </c>
      <c r="K8575" s="76">
        <v>44665.0</v>
      </c>
      <c r="L8575" s="68" t="s">
        <v>32774</v>
      </c>
      <c r="M8575" s="68" t="s">
        <v>27</v>
      </c>
      <c r="N8575" s="71"/>
      <c r="O8575" s="51"/>
    </row>
    <row r="8576">
      <c r="A8576" s="101"/>
      <c r="B8576" s="71"/>
      <c r="C8576" s="69" t="s">
        <v>33751</v>
      </c>
      <c r="D8576" s="71"/>
      <c r="E8576" s="68" t="s">
        <v>33752</v>
      </c>
      <c r="F8576" s="83">
        <v>41742.0</v>
      </c>
      <c r="G8576" s="68" t="s">
        <v>33714</v>
      </c>
      <c r="H8576" s="68" t="s">
        <v>439</v>
      </c>
      <c r="I8576" s="71"/>
      <c r="J8576" s="68" t="s">
        <v>33753</v>
      </c>
      <c r="K8576" s="76">
        <v>44665.0</v>
      </c>
      <c r="L8576" s="68" t="s">
        <v>32774</v>
      </c>
      <c r="M8576" s="68" t="s">
        <v>27</v>
      </c>
      <c r="N8576" s="71"/>
      <c r="O8576" s="51"/>
    </row>
    <row r="8577">
      <c r="A8577" s="101"/>
      <c r="B8577" s="71"/>
      <c r="C8577" s="69" t="s">
        <v>33754</v>
      </c>
      <c r="D8577" s="71"/>
      <c r="E8577" s="68" t="s">
        <v>33755</v>
      </c>
      <c r="F8577" s="76">
        <v>42708.0</v>
      </c>
      <c r="G8577" s="68" t="s">
        <v>33756</v>
      </c>
      <c r="H8577" s="68" t="s">
        <v>439</v>
      </c>
      <c r="I8577" s="71"/>
      <c r="J8577" s="68" t="s">
        <v>33757</v>
      </c>
      <c r="K8577" s="76">
        <v>44665.0</v>
      </c>
      <c r="L8577" s="68" t="s">
        <v>32774</v>
      </c>
      <c r="M8577" s="68" t="s">
        <v>27</v>
      </c>
      <c r="N8577" s="71"/>
      <c r="O8577" s="51"/>
    </row>
    <row r="8578">
      <c r="A8578" s="101"/>
      <c r="B8578" s="71"/>
      <c r="C8578" s="69" t="s">
        <v>33758</v>
      </c>
      <c r="D8578" s="71"/>
      <c r="E8578" s="68" t="s">
        <v>33759</v>
      </c>
      <c r="F8578" s="76">
        <v>42708.0</v>
      </c>
      <c r="G8578" s="68" t="s">
        <v>33756</v>
      </c>
      <c r="H8578" s="68" t="s">
        <v>439</v>
      </c>
      <c r="I8578" s="71"/>
      <c r="J8578" s="68" t="s">
        <v>33760</v>
      </c>
      <c r="K8578" s="76">
        <v>44665.0</v>
      </c>
      <c r="L8578" s="68" t="s">
        <v>32774</v>
      </c>
      <c r="M8578" s="68" t="s">
        <v>27</v>
      </c>
      <c r="N8578" s="71"/>
      <c r="O8578" s="51"/>
    </row>
    <row r="8579">
      <c r="A8579" s="101"/>
      <c r="B8579" s="71"/>
      <c r="C8579" s="69" t="s">
        <v>33761</v>
      </c>
      <c r="D8579" s="71"/>
      <c r="E8579" s="68" t="s">
        <v>33762</v>
      </c>
      <c r="F8579" s="76">
        <v>42708.0</v>
      </c>
      <c r="G8579" s="68" t="s">
        <v>33756</v>
      </c>
      <c r="H8579" s="68" t="s">
        <v>439</v>
      </c>
      <c r="I8579" s="71"/>
      <c r="J8579" s="68" t="s">
        <v>33763</v>
      </c>
      <c r="K8579" s="76">
        <v>44665.0</v>
      </c>
      <c r="L8579" s="68" t="s">
        <v>32774</v>
      </c>
      <c r="M8579" s="68" t="s">
        <v>27</v>
      </c>
      <c r="N8579" s="71"/>
      <c r="O8579" s="51"/>
    </row>
    <row r="8580">
      <c r="A8580" s="101"/>
      <c r="B8580" s="71"/>
      <c r="C8580" s="69" t="s">
        <v>33764</v>
      </c>
      <c r="D8580" s="71"/>
      <c r="E8580" s="68" t="s">
        <v>33765</v>
      </c>
      <c r="F8580" s="76">
        <v>42708.0</v>
      </c>
      <c r="G8580" s="68" t="s">
        <v>33756</v>
      </c>
      <c r="H8580" s="68" t="s">
        <v>439</v>
      </c>
      <c r="I8580" s="71"/>
      <c r="J8580" s="68" t="s">
        <v>33766</v>
      </c>
      <c r="K8580" s="76">
        <v>44665.0</v>
      </c>
      <c r="L8580" s="68" t="s">
        <v>32774</v>
      </c>
      <c r="M8580" s="68" t="s">
        <v>27</v>
      </c>
      <c r="N8580" s="71"/>
      <c r="O8580" s="51"/>
    </row>
    <row r="8581">
      <c r="A8581" s="101"/>
      <c r="B8581" s="71"/>
      <c r="C8581" s="69" t="s">
        <v>33767</v>
      </c>
      <c r="D8581" s="71"/>
      <c r="E8581" s="68" t="s">
        <v>33768</v>
      </c>
      <c r="F8581" s="76">
        <v>40215.0</v>
      </c>
      <c r="G8581" s="68" t="s">
        <v>33769</v>
      </c>
      <c r="H8581" s="68" t="s">
        <v>439</v>
      </c>
      <c r="I8581" s="71"/>
      <c r="J8581" s="68" t="s">
        <v>33770</v>
      </c>
      <c r="K8581" s="76">
        <v>44665.0</v>
      </c>
      <c r="L8581" s="68" t="s">
        <v>32774</v>
      </c>
      <c r="M8581" s="68" t="s">
        <v>27</v>
      </c>
      <c r="N8581" s="71"/>
      <c r="O8581" s="51"/>
    </row>
    <row r="8582">
      <c r="A8582" s="101"/>
      <c r="B8582" s="71"/>
      <c r="C8582" s="69" t="s">
        <v>33771</v>
      </c>
      <c r="D8582" s="71"/>
      <c r="E8582" s="68" t="s">
        <v>33699</v>
      </c>
      <c r="F8582" s="76">
        <v>40215.0</v>
      </c>
      <c r="G8582" s="68" t="s">
        <v>33769</v>
      </c>
      <c r="H8582" s="68" t="s">
        <v>439</v>
      </c>
      <c r="I8582" s="71"/>
      <c r="J8582" s="68" t="s">
        <v>33772</v>
      </c>
      <c r="K8582" s="76">
        <v>44665.0</v>
      </c>
      <c r="L8582" s="68" t="s">
        <v>32774</v>
      </c>
      <c r="M8582" s="68" t="s">
        <v>27</v>
      </c>
      <c r="N8582" s="71"/>
      <c r="O8582" s="51"/>
    </row>
    <row r="8583">
      <c r="A8583" s="101"/>
      <c r="B8583" s="71"/>
      <c r="C8583" s="69" t="s">
        <v>33773</v>
      </c>
      <c r="D8583" s="71"/>
      <c r="E8583" s="68" t="s">
        <v>33774</v>
      </c>
      <c r="F8583" s="83">
        <v>41381.0</v>
      </c>
      <c r="G8583" s="68" t="s">
        <v>33714</v>
      </c>
      <c r="H8583" s="68" t="s">
        <v>439</v>
      </c>
      <c r="I8583" s="71"/>
      <c r="J8583" s="68" t="s">
        <v>33775</v>
      </c>
      <c r="K8583" s="76">
        <v>44665.0</v>
      </c>
      <c r="L8583" s="68" t="s">
        <v>32774</v>
      </c>
      <c r="M8583" s="68" t="s">
        <v>27</v>
      </c>
      <c r="N8583" s="71"/>
      <c r="O8583" s="51"/>
    </row>
    <row r="8584">
      <c r="A8584" s="101"/>
      <c r="B8584" s="71"/>
      <c r="C8584" s="69" t="s">
        <v>33776</v>
      </c>
      <c r="D8584" s="71"/>
      <c r="E8584" s="68" t="s">
        <v>33777</v>
      </c>
      <c r="F8584" s="83">
        <v>41381.0</v>
      </c>
      <c r="G8584" s="68" t="s">
        <v>33714</v>
      </c>
      <c r="H8584" s="68" t="s">
        <v>439</v>
      </c>
      <c r="I8584" s="71"/>
      <c r="J8584" s="68" t="s">
        <v>33778</v>
      </c>
      <c r="K8584" s="76">
        <v>44665.0</v>
      </c>
      <c r="L8584" s="68" t="s">
        <v>32774</v>
      </c>
      <c r="M8584" s="68" t="s">
        <v>27</v>
      </c>
      <c r="N8584" s="71"/>
      <c r="O8584" s="51"/>
    </row>
    <row r="8585">
      <c r="A8585" s="101"/>
      <c r="B8585" s="71"/>
      <c r="C8585" s="69" t="s">
        <v>33779</v>
      </c>
      <c r="D8585" s="71"/>
      <c r="E8585" s="68" t="s">
        <v>16253</v>
      </c>
      <c r="F8585" s="83">
        <v>41381.0</v>
      </c>
      <c r="G8585" s="68" t="s">
        <v>33714</v>
      </c>
      <c r="H8585" s="68" t="s">
        <v>439</v>
      </c>
      <c r="I8585" s="71"/>
      <c r="J8585" s="68" t="s">
        <v>33780</v>
      </c>
      <c r="K8585" s="76">
        <v>44665.0</v>
      </c>
      <c r="L8585" s="68" t="s">
        <v>32774</v>
      </c>
      <c r="M8585" s="68" t="s">
        <v>27</v>
      </c>
      <c r="N8585" s="71"/>
      <c r="O8585" s="51"/>
    </row>
    <row r="8586">
      <c r="A8586" s="101"/>
      <c r="B8586" s="71"/>
      <c r="C8586" s="69" t="s">
        <v>33781</v>
      </c>
      <c r="D8586" s="71"/>
      <c r="E8586" s="68" t="s">
        <v>33782</v>
      </c>
      <c r="F8586" s="76">
        <v>41311.0</v>
      </c>
      <c r="G8586" s="68" t="s">
        <v>33731</v>
      </c>
      <c r="H8586" s="68" t="s">
        <v>439</v>
      </c>
      <c r="I8586" s="71"/>
      <c r="J8586" s="68" t="s">
        <v>33783</v>
      </c>
      <c r="K8586" s="76">
        <v>44665.0</v>
      </c>
      <c r="L8586" s="68" t="s">
        <v>32774</v>
      </c>
      <c r="M8586" s="68" t="s">
        <v>27</v>
      </c>
      <c r="N8586" s="71"/>
      <c r="O8586" s="51"/>
    </row>
    <row r="8587">
      <c r="A8587" s="101"/>
      <c r="B8587" s="71"/>
      <c r="C8587" s="69" t="s">
        <v>33784</v>
      </c>
      <c r="D8587" s="71"/>
      <c r="E8587" s="68" t="s">
        <v>33785</v>
      </c>
      <c r="F8587" s="76">
        <v>41311.0</v>
      </c>
      <c r="G8587" s="68" t="s">
        <v>33731</v>
      </c>
      <c r="H8587" s="68" t="s">
        <v>439</v>
      </c>
      <c r="I8587" s="71"/>
      <c r="J8587" s="68" t="s">
        <v>33786</v>
      </c>
      <c r="K8587" s="76">
        <v>44665.0</v>
      </c>
      <c r="L8587" s="68" t="s">
        <v>32774</v>
      </c>
      <c r="M8587" s="68" t="s">
        <v>27</v>
      </c>
      <c r="N8587" s="71"/>
      <c r="O8587" s="51"/>
    </row>
    <row r="8588">
      <c r="A8588" s="101"/>
      <c r="B8588" s="71"/>
      <c r="C8588" s="69" t="s">
        <v>33787</v>
      </c>
      <c r="D8588" s="71"/>
      <c r="E8588" s="68" t="s">
        <v>33788</v>
      </c>
      <c r="F8588" s="76">
        <v>41311.0</v>
      </c>
      <c r="G8588" s="68" t="s">
        <v>33731</v>
      </c>
      <c r="H8588" s="68" t="s">
        <v>439</v>
      </c>
      <c r="I8588" s="71"/>
      <c r="J8588" s="68" t="s">
        <v>33789</v>
      </c>
      <c r="K8588" s="76">
        <v>44665.0</v>
      </c>
      <c r="L8588" s="68" t="s">
        <v>32774</v>
      </c>
      <c r="M8588" s="68" t="s">
        <v>27</v>
      </c>
      <c r="N8588" s="71"/>
      <c r="O8588" s="51"/>
    </row>
    <row r="8589">
      <c r="A8589" s="101"/>
      <c r="B8589" s="71"/>
      <c r="C8589" s="69" t="s">
        <v>33790</v>
      </c>
      <c r="D8589" s="71"/>
      <c r="E8589" s="68" t="s">
        <v>33791</v>
      </c>
      <c r="F8589" s="76">
        <v>41311.0</v>
      </c>
      <c r="G8589" s="68" t="s">
        <v>33731</v>
      </c>
      <c r="H8589" s="68" t="s">
        <v>439</v>
      </c>
      <c r="I8589" s="71"/>
      <c r="J8589" s="68" t="s">
        <v>33792</v>
      </c>
      <c r="K8589" s="76">
        <v>44665.0</v>
      </c>
      <c r="L8589" s="68" t="s">
        <v>32774</v>
      </c>
      <c r="M8589" s="68" t="s">
        <v>27</v>
      </c>
      <c r="N8589" s="71"/>
      <c r="O8589" s="51"/>
    </row>
    <row r="8590">
      <c r="A8590" s="101"/>
      <c r="B8590" s="71"/>
      <c r="C8590" s="69" t="s">
        <v>33793</v>
      </c>
      <c r="D8590" s="71"/>
      <c r="E8590" s="68" t="s">
        <v>33794</v>
      </c>
      <c r="F8590" s="76">
        <v>41311.0</v>
      </c>
      <c r="G8590" s="68" t="s">
        <v>33731</v>
      </c>
      <c r="H8590" s="68" t="s">
        <v>439</v>
      </c>
      <c r="I8590" s="71"/>
      <c r="J8590" s="68" t="s">
        <v>33795</v>
      </c>
      <c r="K8590" s="76">
        <v>44665.0</v>
      </c>
      <c r="L8590" s="68" t="s">
        <v>32774</v>
      </c>
      <c r="M8590" s="68" t="s">
        <v>27</v>
      </c>
      <c r="N8590" s="71"/>
      <c r="O8590" s="51"/>
    </row>
    <row r="8591">
      <c r="A8591" s="101"/>
      <c r="B8591" s="71"/>
      <c r="C8591" s="69" t="s">
        <v>33796</v>
      </c>
      <c r="D8591" s="71"/>
      <c r="E8591" s="68" t="s">
        <v>33797</v>
      </c>
      <c r="F8591" s="76">
        <v>41403.0</v>
      </c>
      <c r="G8591" s="68" t="s">
        <v>33798</v>
      </c>
      <c r="H8591" s="68" t="s">
        <v>439</v>
      </c>
      <c r="I8591" s="71"/>
      <c r="J8591" s="68" t="s">
        <v>33799</v>
      </c>
      <c r="K8591" s="76">
        <v>44665.0</v>
      </c>
      <c r="L8591" s="68" t="s">
        <v>32774</v>
      </c>
      <c r="M8591" s="68" t="s">
        <v>27</v>
      </c>
      <c r="N8591" s="71"/>
      <c r="O8591" s="51"/>
    </row>
    <row r="8592">
      <c r="A8592" s="101"/>
      <c r="B8592" s="71"/>
      <c r="C8592" s="69" t="s">
        <v>33800</v>
      </c>
      <c r="D8592" s="71"/>
      <c r="E8592" s="68" t="s">
        <v>33801</v>
      </c>
      <c r="F8592" s="76">
        <v>41403.0</v>
      </c>
      <c r="G8592" s="68" t="s">
        <v>33798</v>
      </c>
      <c r="H8592" s="68" t="s">
        <v>439</v>
      </c>
      <c r="I8592" s="71"/>
      <c r="J8592" s="68" t="s">
        <v>33802</v>
      </c>
      <c r="K8592" s="76">
        <v>44665.0</v>
      </c>
      <c r="L8592" s="68" t="s">
        <v>32774</v>
      </c>
      <c r="M8592" s="68" t="s">
        <v>27</v>
      </c>
      <c r="N8592" s="71"/>
      <c r="O8592" s="51"/>
    </row>
    <row r="8593">
      <c r="A8593" s="101"/>
      <c r="B8593" s="71"/>
      <c r="C8593" s="69" t="s">
        <v>33803</v>
      </c>
      <c r="D8593" s="71"/>
      <c r="E8593" s="252" t="s">
        <v>33804</v>
      </c>
      <c r="F8593" s="76">
        <v>41403.0</v>
      </c>
      <c r="G8593" s="68" t="s">
        <v>33798</v>
      </c>
      <c r="H8593" s="68" t="s">
        <v>439</v>
      </c>
      <c r="I8593" s="71"/>
      <c r="J8593" s="68" t="s">
        <v>33805</v>
      </c>
      <c r="K8593" s="76">
        <v>44665.0</v>
      </c>
      <c r="L8593" s="68" t="s">
        <v>32774</v>
      </c>
      <c r="M8593" s="68" t="s">
        <v>27</v>
      </c>
      <c r="N8593" s="71"/>
      <c r="O8593" s="51"/>
    </row>
    <row r="8594">
      <c r="A8594" s="101"/>
      <c r="B8594" s="71"/>
      <c r="C8594" s="69" t="s">
        <v>33806</v>
      </c>
      <c r="D8594" s="71"/>
      <c r="E8594" s="128" t="s">
        <v>33807</v>
      </c>
      <c r="F8594" s="76">
        <v>41403.0</v>
      </c>
      <c r="G8594" s="68" t="s">
        <v>33798</v>
      </c>
      <c r="H8594" s="68" t="s">
        <v>439</v>
      </c>
      <c r="I8594" s="71"/>
      <c r="J8594" s="68" t="s">
        <v>33808</v>
      </c>
      <c r="K8594" s="76">
        <v>44665.0</v>
      </c>
      <c r="L8594" s="68" t="s">
        <v>32774</v>
      </c>
      <c r="M8594" s="68" t="s">
        <v>27</v>
      </c>
      <c r="N8594" s="71"/>
      <c r="O8594" s="51"/>
    </row>
    <row r="8595">
      <c r="A8595" s="101"/>
      <c r="B8595" s="71"/>
      <c r="C8595" s="69" t="s">
        <v>33809</v>
      </c>
      <c r="D8595" s="71"/>
      <c r="E8595" s="68" t="s">
        <v>33810</v>
      </c>
      <c r="F8595" s="76">
        <v>41403.0</v>
      </c>
      <c r="G8595" s="68" t="s">
        <v>33798</v>
      </c>
      <c r="H8595" s="68" t="s">
        <v>439</v>
      </c>
      <c r="I8595" s="71"/>
      <c r="J8595" s="68" t="s">
        <v>33811</v>
      </c>
      <c r="K8595" s="76">
        <v>44665.0</v>
      </c>
      <c r="L8595" s="68" t="s">
        <v>32774</v>
      </c>
      <c r="M8595" s="68" t="s">
        <v>27</v>
      </c>
      <c r="N8595" s="71"/>
      <c r="O8595" s="51"/>
    </row>
    <row r="8596">
      <c r="A8596" s="101"/>
      <c r="B8596" s="71"/>
      <c r="C8596" s="69" t="s">
        <v>33812</v>
      </c>
      <c r="D8596" s="71"/>
      <c r="E8596" s="68" t="s">
        <v>33813</v>
      </c>
      <c r="F8596" s="76">
        <v>41403.0</v>
      </c>
      <c r="G8596" s="68" t="s">
        <v>33798</v>
      </c>
      <c r="H8596" s="68" t="s">
        <v>439</v>
      </c>
      <c r="I8596" s="71"/>
      <c r="J8596" s="68" t="s">
        <v>33814</v>
      </c>
      <c r="K8596" s="76">
        <v>44665.0</v>
      </c>
      <c r="L8596" s="68" t="s">
        <v>32774</v>
      </c>
      <c r="M8596" s="68" t="s">
        <v>27</v>
      </c>
      <c r="N8596" s="71"/>
      <c r="O8596" s="51"/>
    </row>
    <row r="8597">
      <c r="A8597" s="101"/>
      <c r="B8597" s="71"/>
      <c r="C8597" s="69" t="s">
        <v>33815</v>
      </c>
      <c r="D8597" s="71"/>
      <c r="E8597" s="68" t="s">
        <v>33816</v>
      </c>
      <c r="F8597" s="76">
        <v>41403.0</v>
      </c>
      <c r="G8597" s="68" t="s">
        <v>33817</v>
      </c>
      <c r="H8597" s="68" t="s">
        <v>439</v>
      </c>
      <c r="I8597" s="71"/>
      <c r="J8597" s="68" t="s">
        <v>33818</v>
      </c>
      <c r="K8597" s="76">
        <v>44665.0</v>
      </c>
      <c r="L8597" s="68" t="s">
        <v>32774</v>
      </c>
      <c r="M8597" s="68" t="s">
        <v>27</v>
      </c>
      <c r="N8597" s="71"/>
      <c r="O8597" s="51"/>
    </row>
    <row r="8598">
      <c r="A8598" s="101"/>
      <c r="B8598" s="71"/>
      <c r="C8598" s="69" t="s">
        <v>33819</v>
      </c>
      <c r="D8598" s="71"/>
      <c r="E8598" s="68" t="s">
        <v>33820</v>
      </c>
      <c r="F8598" s="76">
        <v>41403.0</v>
      </c>
      <c r="G8598" s="68" t="s">
        <v>33817</v>
      </c>
      <c r="H8598" s="68" t="s">
        <v>439</v>
      </c>
      <c r="I8598" s="71"/>
      <c r="J8598" s="68" t="s">
        <v>33821</v>
      </c>
      <c r="K8598" s="76">
        <v>44665.0</v>
      </c>
      <c r="L8598" s="68" t="s">
        <v>32774</v>
      </c>
      <c r="M8598" s="68" t="s">
        <v>27</v>
      </c>
      <c r="N8598" s="71"/>
      <c r="O8598" s="51"/>
    </row>
    <row r="8599">
      <c r="A8599" s="101"/>
      <c r="B8599" s="71"/>
      <c r="C8599" s="69" t="s">
        <v>33822</v>
      </c>
      <c r="D8599" s="71"/>
      <c r="E8599" s="68" t="s">
        <v>33823</v>
      </c>
      <c r="F8599" s="76">
        <v>42965.0</v>
      </c>
      <c r="G8599" s="68" t="s">
        <v>33824</v>
      </c>
      <c r="H8599" s="68" t="s">
        <v>439</v>
      </c>
      <c r="I8599" s="71"/>
      <c r="J8599" s="68" t="s">
        <v>33825</v>
      </c>
      <c r="K8599" s="76">
        <v>44665.0</v>
      </c>
      <c r="L8599" s="68" t="s">
        <v>32774</v>
      </c>
      <c r="M8599" s="68" t="s">
        <v>27</v>
      </c>
      <c r="N8599" s="71"/>
      <c r="O8599" s="51"/>
    </row>
    <row r="8600">
      <c r="A8600" s="101"/>
      <c r="B8600" s="71"/>
      <c r="C8600" s="69" t="s">
        <v>33826</v>
      </c>
      <c r="D8600" s="71"/>
      <c r="E8600" s="68" t="s">
        <v>33827</v>
      </c>
      <c r="F8600" s="76">
        <v>42965.0</v>
      </c>
      <c r="G8600" s="68" t="s">
        <v>33828</v>
      </c>
      <c r="H8600" s="68" t="s">
        <v>439</v>
      </c>
      <c r="I8600" s="71"/>
      <c r="J8600" s="68" t="s">
        <v>33829</v>
      </c>
      <c r="K8600" s="76">
        <v>44665.0</v>
      </c>
      <c r="L8600" s="68" t="s">
        <v>32774</v>
      </c>
      <c r="M8600" s="68" t="s">
        <v>27</v>
      </c>
      <c r="N8600" s="71"/>
      <c r="O8600" s="51"/>
    </row>
    <row r="8601">
      <c r="A8601" s="101"/>
      <c r="B8601" s="71"/>
      <c r="C8601" s="69" t="s">
        <v>33830</v>
      </c>
      <c r="D8601" s="71"/>
      <c r="E8601" s="68" t="s">
        <v>33831</v>
      </c>
      <c r="F8601" s="83">
        <v>40166.0</v>
      </c>
      <c r="G8601" s="68" t="s">
        <v>33832</v>
      </c>
      <c r="H8601" s="68" t="s">
        <v>439</v>
      </c>
      <c r="I8601" s="71"/>
      <c r="J8601" s="68" t="s">
        <v>33833</v>
      </c>
      <c r="K8601" s="76">
        <v>44665.0</v>
      </c>
      <c r="L8601" s="68" t="s">
        <v>32774</v>
      </c>
      <c r="M8601" s="68" t="s">
        <v>27</v>
      </c>
      <c r="N8601" s="71"/>
      <c r="O8601" s="51"/>
    </row>
    <row r="8602">
      <c r="A8602" s="101"/>
      <c r="B8602" s="71"/>
      <c r="C8602" s="69" t="s">
        <v>33834</v>
      </c>
      <c r="D8602" s="71"/>
      <c r="E8602" s="68" t="s">
        <v>33835</v>
      </c>
      <c r="F8602" s="83">
        <v>40470.0</v>
      </c>
      <c r="G8602" s="68" t="s">
        <v>33836</v>
      </c>
      <c r="H8602" s="68" t="s">
        <v>439</v>
      </c>
      <c r="I8602" s="71"/>
      <c r="J8602" s="68" t="s">
        <v>33837</v>
      </c>
      <c r="K8602" s="76">
        <v>44665.0</v>
      </c>
      <c r="L8602" s="68" t="s">
        <v>32774</v>
      </c>
      <c r="M8602" s="68" t="s">
        <v>27</v>
      </c>
      <c r="N8602" s="71"/>
      <c r="O8602" s="51"/>
    </row>
    <row r="8603">
      <c r="A8603" s="101"/>
      <c r="B8603" s="71"/>
      <c r="C8603" s="205" t="s">
        <v>33838</v>
      </c>
      <c r="D8603" s="71"/>
      <c r="E8603" s="63" t="s">
        <v>33839</v>
      </c>
      <c r="F8603" s="70">
        <v>44405.0</v>
      </c>
      <c r="G8603" s="63" t="s">
        <v>33840</v>
      </c>
      <c r="H8603" s="80" t="s">
        <v>33841</v>
      </c>
      <c r="I8603" s="71"/>
      <c r="J8603" s="80" t="s">
        <v>136</v>
      </c>
      <c r="K8603" s="70">
        <v>44671.0</v>
      </c>
      <c r="L8603" s="80" t="s">
        <v>2743</v>
      </c>
      <c r="M8603" s="80" t="s">
        <v>125</v>
      </c>
      <c r="N8603" s="71"/>
      <c r="O8603" s="51"/>
    </row>
    <row r="8604">
      <c r="A8604" s="101"/>
      <c r="B8604" s="71"/>
      <c r="C8604" s="205" t="s">
        <v>33842</v>
      </c>
      <c r="D8604" s="71"/>
      <c r="E8604" s="63" t="s">
        <v>33843</v>
      </c>
      <c r="F8604" s="70">
        <v>44667.0</v>
      </c>
      <c r="G8604" s="63" t="s">
        <v>33844</v>
      </c>
      <c r="H8604" s="80" t="s">
        <v>33845</v>
      </c>
      <c r="I8604" s="71"/>
      <c r="J8604" s="80" t="s">
        <v>136</v>
      </c>
      <c r="K8604" s="70">
        <v>44672.0</v>
      </c>
      <c r="L8604" s="80" t="s">
        <v>2743</v>
      </c>
      <c r="M8604" s="80" t="s">
        <v>13085</v>
      </c>
      <c r="N8604" s="71"/>
      <c r="O8604" s="51"/>
    </row>
    <row r="8605">
      <c r="A8605" s="101"/>
      <c r="B8605" s="71"/>
      <c r="C8605" s="205" t="s">
        <v>33846</v>
      </c>
      <c r="D8605" s="71"/>
      <c r="E8605" s="80" t="s">
        <v>33847</v>
      </c>
      <c r="F8605" s="70">
        <v>44667.0</v>
      </c>
      <c r="G8605" s="63" t="s">
        <v>33848</v>
      </c>
      <c r="H8605" s="80" t="s">
        <v>33849</v>
      </c>
      <c r="I8605" s="71"/>
      <c r="J8605" s="80" t="s">
        <v>136</v>
      </c>
      <c r="K8605" s="70">
        <v>44672.0</v>
      </c>
      <c r="L8605" s="80" t="s">
        <v>2743</v>
      </c>
      <c r="M8605" s="80" t="s">
        <v>13085</v>
      </c>
      <c r="N8605" s="71"/>
      <c r="O8605" s="51"/>
    </row>
    <row r="8606">
      <c r="A8606" s="167"/>
      <c r="B8606" s="82"/>
      <c r="C8606" s="205" t="s">
        <v>33850</v>
      </c>
      <c r="D8606" s="82"/>
      <c r="E8606" s="80" t="s">
        <v>33851</v>
      </c>
      <c r="F8606" s="81">
        <v>44569.0</v>
      </c>
      <c r="G8606" s="63" t="s">
        <v>33852</v>
      </c>
      <c r="H8606" s="80" t="s">
        <v>33853</v>
      </c>
      <c r="I8606" s="82"/>
      <c r="J8606" s="80" t="s">
        <v>136</v>
      </c>
      <c r="K8606" s="70">
        <v>44672.0</v>
      </c>
      <c r="L8606" s="80" t="s">
        <v>2743</v>
      </c>
      <c r="M8606" s="80" t="s">
        <v>125</v>
      </c>
      <c r="N8606" s="82"/>
      <c r="O8606" s="51"/>
    </row>
    <row r="8607">
      <c r="A8607" s="167"/>
      <c r="B8607" s="82"/>
      <c r="C8607" s="205" t="s">
        <v>33854</v>
      </c>
      <c r="D8607" s="82"/>
      <c r="E8607" s="80" t="s">
        <v>33855</v>
      </c>
      <c r="F8607" s="80" t="s">
        <v>33567</v>
      </c>
      <c r="G8607" s="63" t="s">
        <v>33844</v>
      </c>
      <c r="H8607" s="80" t="s">
        <v>33856</v>
      </c>
      <c r="I8607" s="82"/>
      <c r="J8607" s="80" t="s">
        <v>136</v>
      </c>
      <c r="K8607" s="70">
        <v>44672.0</v>
      </c>
      <c r="L8607" s="80" t="s">
        <v>2743</v>
      </c>
      <c r="M8607" s="80" t="s">
        <v>125</v>
      </c>
      <c r="N8607" s="82"/>
      <c r="O8607" s="51"/>
    </row>
    <row r="8608">
      <c r="A8608" s="167"/>
      <c r="B8608" s="82"/>
      <c r="C8608" s="79" t="s">
        <v>33857</v>
      </c>
      <c r="D8608" s="82"/>
      <c r="E8608" s="80" t="s">
        <v>33858</v>
      </c>
      <c r="F8608" s="80" t="s">
        <v>33859</v>
      </c>
      <c r="G8608" s="80" t="s">
        <v>33860</v>
      </c>
      <c r="H8608" s="82"/>
      <c r="I8608" s="82"/>
      <c r="J8608" s="80" t="s">
        <v>136</v>
      </c>
      <c r="K8608" s="70">
        <v>44672.0</v>
      </c>
      <c r="L8608" s="80" t="s">
        <v>2743</v>
      </c>
      <c r="M8608" s="80" t="s">
        <v>27994</v>
      </c>
      <c r="N8608" s="82"/>
      <c r="O8608" s="51"/>
    </row>
    <row r="8609">
      <c r="A8609" s="167"/>
      <c r="B8609" s="82"/>
      <c r="C8609" s="79" t="s">
        <v>33861</v>
      </c>
      <c r="D8609" s="82"/>
      <c r="E8609" s="80" t="s">
        <v>33862</v>
      </c>
      <c r="F8609" s="80" t="s">
        <v>33863</v>
      </c>
      <c r="G8609" s="80" t="s">
        <v>33864</v>
      </c>
      <c r="H8609" s="80" t="s">
        <v>439</v>
      </c>
      <c r="I8609" s="82"/>
      <c r="J8609" s="80" t="s">
        <v>136</v>
      </c>
      <c r="K8609" s="70">
        <v>44672.0</v>
      </c>
      <c r="L8609" s="80" t="s">
        <v>2743</v>
      </c>
      <c r="M8609" s="80" t="s">
        <v>530</v>
      </c>
      <c r="N8609" s="82"/>
      <c r="O8609" s="51"/>
    </row>
    <row r="8610">
      <c r="A8610" s="101"/>
      <c r="B8610" s="71"/>
      <c r="C8610" s="69" t="s">
        <v>33865</v>
      </c>
      <c r="D8610" s="71"/>
      <c r="E8610" s="68" t="s">
        <v>33866</v>
      </c>
      <c r="F8610" s="76">
        <v>40727.0</v>
      </c>
      <c r="G8610" s="68" t="s">
        <v>33867</v>
      </c>
      <c r="H8610" s="68" t="s">
        <v>439</v>
      </c>
      <c r="I8610" s="71"/>
      <c r="J8610" s="68" t="s">
        <v>33868</v>
      </c>
      <c r="K8610" s="76">
        <v>44665.0</v>
      </c>
      <c r="L8610" s="68" t="s">
        <v>32774</v>
      </c>
      <c r="M8610" s="68" t="s">
        <v>27</v>
      </c>
      <c r="N8610" s="71"/>
      <c r="O8610" s="51"/>
    </row>
    <row r="8611">
      <c r="A8611" s="101"/>
      <c r="B8611" s="71"/>
      <c r="C8611" s="69" t="s">
        <v>33869</v>
      </c>
      <c r="D8611" s="71"/>
      <c r="E8611" s="68" t="s">
        <v>33870</v>
      </c>
      <c r="F8611" s="76">
        <v>41431.0</v>
      </c>
      <c r="G8611" s="68" t="s">
        <v>33867</v>
      </c>
      <c r="H8611" s="68" t="s">
        <v>439</v>
      </c>
      <c r="I8611" s="71"/>
      <c r="J8611" s="68" t="s">
        <v>33871</v>
      </c>
      <c r="K8611" s="76">
        <v>44665.0</v>
      </c>
      <c r="L8611" s="68" t="s">
        <v>32774</v>
      </c>
      <c r="M8611" s="68" t="s">
        <v>27</v>
      </c>
      <c r="N8611" s="71"/>
      <c r="O8611" s="51"/>
    </row>
    <row r="8612">
      <c r="A8612" s="101"/>
      <c r="B8612" s="71"/>
      <c r="C8612" s="69" t="s">
        <v>33872</v>
      </c>
      <c r="D8612" s="71"/>
      <c r="E8612" s="68" t="s">
        <v>30180</v>
      </c>
      <c r="F8612" s="76">
        <v>41431.0</v>
      </c>
      <c r="G8612" s="68" t="s">
        <v>33867</v>
      </c>
      <c r="H8612" s="68" t="s">
        <v>439</v>
      </c>
      <c r="I8612" s="71"/>
      <c r="J8612" s="68" t="s">
        <v>33873</v>
      </c>
      <c r="K8612" s="76">
        <v>44665.0</v>
      </c>
      <c r="L8612" s="68" t="s">
        <v>32774</v>
      </c>
      <c r="M8612" s="68" t="s">
        <v>27</v>
      </c>
      <c r="N8612" s="71"/>
      <c r="O8612" s="51"/>
    </row>
    <row r="8613">
      <c r="A8613" s="101"/>
      <c r="B8613" s="71"/>
      <c r="C8613" s="69" t="s">
        <v>33874</v>
      </c>
      <c r="D8613" s="71"/>
      <c r="E8613" s="68" t="s">
        <v>33875</v>
      </c>
      <c r="F8613" s="76">
        <v>41431.0</v>
      </c>
      <c r="G8613" s="68" t="s">
        <v>33867</v>
      </c>
      <c r="H8613" s="68" t="s">
        <v>439</v>
      </c>
      <c r="I8613" s="71"/>
      <c r="J8613" s="68" t="s">
        <v>33876</v>
      </c>
      <c r="K8613" s="76">
        <v>44665.0</v>
      </c>
      <c r="L8613" s="68" t="s">
        <v>32774</v>
      </c>
      <c r="M8613" s="68" t="s">
        <v>27</v>
      </c>
      <c r="N8613" s="71"/>
      <c r="O8613" s="51"/>
    </row>
    <row r="8614">
      <c r="A8614" s="101"/>
      <c r="B8614" s="71"/>
      <c r="C8614" s="69" t="s">
        <v>33877</v>
      </c>
      <c r="D8614" s="71"/>
      <c r="E8614" s="68" t="s">
        <v>33878</v>
      </c>
      <c r="F8614" s="76">
        <v>41431.0</v>
      </c>
      <c r="G8614" s="68" t="s">
        <v>33867</v>
      </c>
      <c r="H8614" s="68" t="s">
        <v>439</v>
      </c>
      <c r="I8614" s="71"/>
      <c r="J8614" s="68" t="s">
        <v>33879</v>
      </c>
      <c r="K8614" s="76">
        <v>44665.0</v>
      </c>
      <c r="L8614" s="68" t="s">
        <v>32774</v>
      </c>
      <c r="M8614" s="68" t="s">
        <v>27</v>
      </c>
      <c r="N8614" s="71"/>
      <c r="O8614" s="51"/>
    </row>
    <row r="8615">
      <c r="A8615" s="101"/>
      <c r="B8615" s="71"/>
      <c r="C8615" s="69" t="s">
        <v>33880</v>
      </c>
      <c r="D8615" s="71"/>
      <c r="E8615" s="68" t="s">
        <v>33881</v>
      </c>
      <c r="F8615" s="76">
        <v>41431.0</v>
      </c>
      <c r="G8615" s="68" t="s">
        <v>33867</v>
      </c>
      <c r="H8615" s="68" t="s">
        <v>439</v>
      </c>
      <c r="I8615" s="71"/>
      <c r="J8615" s="68" t="s">
        <v>33882</v>
      </c>
      <c r="K8615" s="76">
        <v>44665.0</v>
      </c>
      <c r="L8615" s="68" t="s">
        <v>32774</v>
      </c>
      <c r="M8615" s="68" t="s">
        <v>27</v>
      </c>
      <c r="N8615" s="71"/>
      <c r="O8615" s="51"/>
    </row>
    <row r="8616">
      <c r="A8616" s="101"/>
      <c r="B8616" s="71"/>
      <c r="C8616" s="69" t="s">
        <v>33883</v>
      </c>
      <c r="D8616" s="71"/>
      <c r="E8616" s="68" t="s">
        <v>33884</v>
      </c>
      <c r="F8616" s="76">
        <v>40666.0</v>
      </c>
      <c r="G8616" s="68" t="s">
        <v>33867</v>
      </c>
      <c r="H8616" s="68" t="s">
        <v>439</v>
      </c>
      <c r="I8616" s="71"/>
      <c r="J8616" s="68" t="s">
        <v>33885</v>
      </c>
      <c r="K8616" s="76">
        <v>44665.0</v>
      </c>
      <c r="L8616" s="68" t="s">
        <v>32774</v>
      </c>
      <c r="M8616" s="68" t="s">
        <v>27</v>
      </c>
      <c r="N8616" s="71"/>
      <c r="O8616" s="51"/>
    </row>
    <row r="8617">
      <c r="A8617" s="101"/>
      <c r="B8617" s="71"/>
      <c r="C8617" s="69" t="s">
        <v>33886</v>
      </c>
      <c r="D8617" s="71"/>
      <c r="E8617" s="68" t="s">
        <v>33887</v>
      </c>
      <c r="F8617" s="83">
        <v>40681.0</v>
      </c>
      <c r="G8617" s="68" t="s">
        <v>33888</v>
      </c>
      <c r="H8617" s="68" t="s">
        <v>439</v>
      </c>
      <c r="I8617" s="71"/>
      <c r="J8617" s="68" t="s">
        <v>33889</v>
      </c>
      <c r="K8617" s="76">
        <v>44665.0</v>
      </c>
      <c r="L8617" s="68" t="s">
        <v>32774</v>
      </c>
      <c r="M8617" s="68" t="s">
        <v>27</v>
      </c>
      <c r="N8617" s="71"/>
      <c r="O8617" s="51"/>
    </row>
    <row r="8618">
      <c r="A8618" s="101"/>
      <c r="B8618" s="71"/>
      <c r="C8618" s="69" t="s">
        <v>33890</v>
      </c>
      <c r="D8618" s="71"/>
      <c r="E8618" s="68" t="s">
        <v>33891</v>
      </c>
      <c r="F8618" s="76">
        <v>40578.0</v>
      </c>
      <c r="G8618" s="68" t="s">
        <v>33892</v>
      </c>
      <c r="H8618" s="68" t="s">
        <v>439</v>
      </c>
      <c r="I8618" s="71"/>
      <c r="J8618" s="68" t="s">
        <v>33893</v>
      </c>
      <c r="K8618" s="76">
        <v>44665.0</v>
      </c>
      <c r="L8618" s="68" t="s">
        <v>32774</v>
      </c>
      <c r="M8618" s="68" t="s">
        <v>27</v>
      </c>
      <c r="N8618" s="71"/>
      <c r="O8618" s="51"/>
    </row>
    <row r="8619">
      <c r="A8619" s="101"/>
      <c r="B8619" s="71"/>
      <c r="C8619" s="69" t="s">
        <v>33894</v>
      </c>
      <c r="D8619" s="71"/>
      <c r="E8619" s="68" t="s">
        <v>33895</v>
      </c>
      <c r="F8619" s="83">
        <v>40801.0</v>
      </c>
      <c r="G8619" s="68" t="s">
        <v>33892</v>
      </c>
      <c r="H8619" s="68" t="s">
        <v>439</v>
      </c>
      <c r="I8619" s="71"/>
      <c r="J8619" s="68" t="s">
        <v>33896</v>
      </c>
      <c r="K8619" s="76">
        <v>44665.0</v>
      </c>
      <c r="L8619" s="68" t="s">
        <v>32774</v>
      </c>
      <c r="M8619" s="68" t="s">
        <v>27</v>
      </c>
      <c r="N8619" s="71"/>
      <c r="O8619" s="51"/>
    </row>
    <row r="8620">
      <c r="A8620" s="101"/>
      <c r="B8620" s="71"/>
      <c r="C8620" s="69" t="s">
        <v>33897</v>
      </c>
      <c r="D8620" s="71"/>
      <c r="E8620" s="68" t="s">
        <v>33898</v>
      </c>
      <c r="F8620" s="83">
        <v>41598.0</v>
      </c>
      <c r="G8620" s="68" t="s">
        <v>33892</v>
      </c>
      <c r="H8620" s="68" t="s">
        <v>439</v>
      </c>
      <c r="I8620" s="71"/>
      <c r="J8620" s="68" t="s">
        <v>33899</v>
      </c>
      <c r="K8620" s="76">
        <v>44665.0</v>
      </c>
      <c r="L8620" s="68" t="s">
        <v>32774</v>
      </c>
      <c r="M8620" s="68" t="s">
        <v>27</v>
      </c>
      <c r="N8620" s="71"/>
      <c r="O8620" s="51"/>
    </row>
    <row r="8621">
      <c r="A8621" s="101"/>
      <c r="B8621" s="71"/>
      <c r="C8621" s="69" t="s">
        <v>33900</v>
      </c>
      <c r="D8621" s="71"/>
      <c r="E8621" s="68" t="s">
        <v>33901</v>
      </c>
      <c r="F8621" s="83">
        <v>41486.0</v>
      </c>
      <c r="G8621" s="68" t="s">
        <v>33892</v>
      </c>
      <c r="H8621" s="68" t="s">
        <v>439</v>
      </c>
      <c r="I8621" s="71"/>
      <c r="J8621" s="68" t="s">
        <v>33902</v>
      </c>
      <c r="K8621" s="76">
        <v>44666.0</v>
      </c>
      <c r="L8621" s="68" t="s">
        <v>32774</v>
      </c>
      <c r="M8621" s="68" t="s">
        <v>27</v>
      </c>
      <c r="N8621" s="71"/>
      <c r="O8621" s="51"/>
    </row>
    <row r="8622">
      <c r="A8622" s="101"/>
      <c r="B8622" s="71"/>
      <c r="C8622" s="69" t="s">
        <v>33903</v>
      </c>
      <c r="D8622" s="71"/>
      <c r="E8622" s="68" t="s">
        <v>33904</v>
      </c>
      <c r="F8622" s="83">
        <v>41486.0</v>
      </c>
      <c r="G8622" s="68" t="s">
        <v>33892</v>
      </c>
      <c r="H8622" s="68" t="s">
        <v>439</v>
      </c>
      <c r="I8622" s="71"/>
      <c r="J8622" s="68" t="s">
        <v>33905</v>
      </c>
      <c r="K8622" s="76">
        <v>44667.0</v>
      </c>
      <c r="L8622" s="68" t="s">
        <v>32774</v>
      </c>
      <c r="M8622" s="68" t="s">
        <v>27</v>
      </c>
      <c r="N8622" s="71"/>
      <c r="O8622" s="51"/>
    </row>
    <row r="8623">
      <c r="A8623" s="101"/>
      <c r="B8623" s="71"/>
      <c r="C8623" s="69" t="s">
        <v>33906</v>
      </c>
      <c r="D8623" s="71"/>
      <c r="E8623" s="68" t="s">
        <v>33907</v>
      </c>
      <c r="F8623" s="83">
        <v>41486.0</v>
      </c>
      <c r="G8623" s="68" t="s">
        <v>33892</v>
      </c>
      <c r="H8623" s="68" t="s">
        <v>439</v>
      </c>
      <c r="I8623" s="71"/>
      <c r="J8623" s="68" t="s">
        <v>33908</v>
      </c>
      <c r="K8623" s="76">
        <v>44668.0</v>
      </c>
      <c r="L8623" s="68" t="s">
        <v>32774</v>
      </c>
      <c r="M8623" s="68" t="s">
        <v>27</v>
      </c>
      <c r="N8623" s="71"/>
      <c r="O8623" s="51"/>
    </row>
    <row r="8624">
      <c r="A8624" s="101"/>
      <c r="B8624" s="71"/>
      <c r="C8624" s="69" t="s">
        <v>33909</v>
      </c>
      <c r="D8624" s="71"/>
      <c r="E8624" s="68" t="s">
        <v>33910</v>
      </c>
      <c r="F8624" s="83">
        <v>41486.0</v>
      </c>
      <c r="G8624" s="68" t="s">
        <v>33892</v>
      </c>
      <c r="H8624" s="68" t="s">
        <v>439</v>
      </c>
      <c r="I8624" s="71"/>
      <c r="J8624" s="68" t="s">
        <v>33911</v>
      </c>
      <c r="K8624" s="76">
        <v>44669.0</v>
      </c>
      <c r="L8624" s="68" t="s">
        <v>32774</v>
      </c>
      <c r="M8624" s="68" t="s">
        <v>27</v>
      </c>
      <c r="N8624" s="71"/>
      <c r="O8624" s="51"/>
    </row>
    <row r="8625">
      <c r="A8625" s="101"/>
      <c r="B8625" s="71"/>
      <c r="C8625" s="69" t="s">
        <v>33912</v>
      </c>
      <c r="D8625" s="71"/>
      <c r="E8625" s="68" t="s">
        <v>33913</v>
      </c>
      <c r="F8625" s="83">
        <v>42108.0</v>
      </c>
      <c r="G8625" s="68" t="s">
        <v>33914</v>
      </c>
      <c r="H8625" s="68" t="s">
        <v>439</v>
      </c>
      <c r="I8625" s="71"/>
      <c r="J8625" s="68" t="s">
        <v>33915</v>
      </c>
      <c r="K8625" s="76">
        <v>44670.0</v>
      </c>
      <c r="L8625" s="68" t="s">
        <v>32774</v>
      </c>
      <c r="M8625" s="68" t="s">
        <v>27</v>
      </c>
      <c r="N8625" s="71"/>
      <c r="O8625" s="51"/>
    </row>
    <row r="8626">
      <c r="A8626" s="101"/>
      <c r="B8626" s="71"/>
      <c r="C8626" s="69" t="s">
        <v>33916</v>
      </c>
      <c r="D8626" s="71"/>
      <c r="E8626" s="68" t="s">
        <v>33917</v>
      </c>
      <c r="F8626" s="76">
        <v>41466.0</v>
      </c>
      <c r="G8626" s="68" t="s">
        <v>33918</v>
      </c>
      <c r="H8626" s="68" t="s">
        <v>439</v>
      </c>
      <c r="I8626" s="71"/>
      <c r="J8626" s="68" t="s">
        <v>33919</v>
      </c>
      <c r="K8626" s="76">
        <v>44671.0</v>
      </c>
      <c r="L8626" s="68" t="s">
        <v>32774</v>
      </c>
      <c r="M8626" s="68" t="s">
        <v>27</v>
      </c>
      <c r="N8626" s="71"/>
      <c r="O8626" s="51"/>
    </row>
    <row r="8627">
      <c r="A8627" s="101"/>
      <c r="B8627" s="71"/>
      <c r="C8627" s="69" t="s">
        <v>33920</v>
      </c>
      <c r="D8627" s="71"/>
      <c r="E8627" s="68" t="s">
        <v>33921</v>
      </c>
      <c r="F8627" s="76">
        <v>42217.0</v>
      </c>
      <c r="G8627" s="68" t="s">
        <v>33922</v>
      </c>
      <c r="H8627" s="71"/>
      <c r="I8627" s="71"/>
      <c r="J8627" s="68" t="s">
        <v>33923</v>
      </c>
      <c r="K8627" s="76">
        <v>44671.0</v>
      </c>
      <c r="L8627" s="68" t="s">
        <v>32774</v>
      </c>
      <c r="M8627" s="68" t="s">
        <v>27</v>
      </c>
      <c r="N8627" s="71"/>
      <c r="O8627" s="51"/>
    </row>
    <row r="8628">
      <c r="A8628" s="167"/>
      <c r="B8628" s="82"/>
      <c r="C8628" s="69" t="s">
        <v>33924</v>
      </c>
      <c r="D8628" s="82"/>
      <c r="E8628" s="68" t="s">
        <v>33925</v>
      </c>
      <c r="F8628" s="76">
        <v>41640.0</v>
      </c>
      <c r="G8628" s="68" t="s">
        <v>33867</v>
      </c>
      <c r="H8628" s="68" t="s">
        <v>439</v>
      </c>
      <c r="I8628" s="71"/>
      <c r="J8628" s="68" t="s">
        <v>33926</v>
      </c>
      <c r="K8628" s="76">
        <v>44671.0</v>
      </c>
      <c r="L8628" s="68" t="s">
        <v>32774</v>
      </c>
      <c r="M8628" s="68" t="s">
        <v>27</v>
      </c>
      <c r="N8628" s="82"/>
      <c r="O8628" s="51"/>
    </row>
    <row r="8629">
      <c r="A8629" s="101"/>
      <c r="B8629" s="71"/>
      <c r="C8629" s="69" t="s">
        <v>33927</v>
      </c>
      <c r="D8629" s="71"/>
      <c r="E8629" s="68" t="s">
        <v>33928</v>
      </c>
      <c r="F8629" s="83">
        <v>42182.0</v>
      </c>
      <c r="G8629" s="68" t="s">
        <v>33929</v>
      </c>
      <c r="H8629" s="68" t="s">
        <v>439</v>
      </c>
      <c r="I8629" s="71"/>
      <c r="J8629" s="68" t="s">
        <v>33930</v>
      </c>
      <c r="K8629" s="76">
        <v>44671.0</v>
      </c>
      <c r="L8629" s="68" t="s">
        <v>32774</v>
      </c>
      <c r="M8629" s="68" t="s">
        <v>27</v>
      </c>
      <c r="N8629" s="71"/>
      <c r="O8629" s="51"/>
    </row>
    <row r="8630">
      <c r="A8630" s="101"/>
      <c r="B8630" s="71"/>
      <c r="C8630" s="69" t="s">
        <v>33931</v>
      </c>
      <c r="D8630" s="71"/>
      <c r="E8630" s="68" t="s">
        <v>33932</v>
      </c>
      <c r="F8630" s="83">
        <v>42459.0</v>
      </c>
      <c r="G8630" s="68" t="s">
        <v>33867</v>
      </c>
      <c r="H8630" s="68" t="s">
        <v>439</v>
      </c>
      <c r="I8630" s="71"/>
      <c r="J8630" s="68" t="s">
        <v>33933</v>
      </c>
      <c r="K8630" s="76">
        <v>44671.0</v>
      </c>
      <c r="L8630" s="68" t="s">
        <v>32774</v>
      </c>
      <c r="M8630" s="68" t="s">
        <v>27</v>
      </c>
      <c r="N8630" s="71"/>
      <c r="O8630" s="51"/>
    </row>
    <row r="8631">
      <c r="A8631" s="101"/>
      <c r="B8631" s="71"/>
      <c r="C8631" s="69" t="s">
        <v>33934</v>
      </c>
      <c r="D8631" s="71"/>
      <c r="E8631" s="68" t="s">
        <v>33935</v>
      </c>
      <c r="F8631" s="76">
        <v>41431.0</v>
      </c>
      <c r="G8631" s="68" t="s">
        <v>33867</v>
      </c>
      <c r="H8631" s="68" t="s">
        <v>439</v>
      </c>
      <c r="I8631" s="71"/>
      <c r="J8631" s="68" t="s">
        <v>33936</v>
      </c>
      <c r="K8631" s="76">
        <v>44671.0</v>
      </c>
      <c r="L8631" s="68" t="s">
        <v>32774</v>
      </c>
      <c r="M8631" s="68" t="s">
        <v>27</v>
      </c>
      <c r="N8631" s="71"/>
      <c r="O8631" s="51"/>
    </row>
    <row r="8632">
      <c r="A8632" s="101"/>
      <c r="B8632" s="71"/>
      <c r="C8632" s="69" t="s">
        <v>33937</v>
      </c>
      <c r="D8632" s="71"/>
      <c r="E8632" s="68" t="s">
        <v>33938</v>
      </c>
      <c r="F8632" s="83">
        <v>41479.0</v>
      </c>
      <c r="G8632" s="68" t="s">
        <v>33867</v>
      </c>
      <c r="H8632" s="68" t="s">
        <v>439</v>
      </c>
      <c r="I8632" s="71"/>
      <c r="J8632" s="68" t="s">
        <v>33939</v>
      </c>
      <c r="K8632" s="76">
        <v>44671.0</v>
      </c>
      <c r="L8632" s="68" t="s">
        <v>32774</v>
      </c>
      <c r="M8632" s="68" t="s">
        <v>27</v>
      </c>
      <c r="N8632" s="71"/>
      <c r="O8632" s="51"/>
    </row>
    <row r="8633">
      <c r="A8633" s="101"/>
      <c r="B8633" s="71"/>
      <c r="C8633" s="69" t="s">
        <v>33940</v>
      </c>
      <c r="D8633" s="71"/>
      <c r="E8633" s="68" t="s">
        <v>28814</v>
      </c>
      <c r="F8633" s="83">
        <v>41484.0</v>
      </c>
      <c r="G8633" s="68" t="s">
        <v>33867</v>
      </c>
      <c r="H8633" s="68" t="s">
        <v>439</v>
      </c>
      <c r="I8633" s="71"/>
      <c r="J8633" s="68" t="s">
        <v>33941</v>
      </c>
      <c r="K8633" s="76">
        <v>44671.0</v>
      </c>
      <c r="L8633" s="68" t="s">
        <v>32774</v>
      </c>
      <c r="M8633" s="68" t="s">
        <v>27</v>
      </c>
      <c r="N8633" s="71"/>
      <c r="O8633" s="51"/>
    </row>
    <row r="8634">
      <c r="A8634" s="101"/>
      <c r="B8634" s="71"/>
      <c r="C8634" s="69" t="s">
        <v>33942</v>
      </c>
      <c r="D8634" s="71"/>
      <c r="E8634" s="68" t="s">
        <v>33943</v>
      </c>
      <c r="F8634" s="83">
        <v>41593.0</v>
      </c>
      <c r="G8634" s="68" t="s">
        <v>33867</v>
      </c>
      <c r="H8634" s="68" t="s">
        <v>439</v>
      </c>
      <c r="I8634" s="71"/>
      <c r="J8634" s="68" t="s">
        <v>33944</v>
      </c>
      <c r="K8634" s="76">
        <v>44671.0</v>
      </c>
      <c r="L8634" s="68" t="s">
        <v>32774</v>
      </c>
      <c r="M8634" s="68" t="s">
        <v>27</v>
      </c>
      <c r="N8634" s="71"/>
      <c r="O8634" s="51"/>
    </row>
    <row r="8635">
      <c r="A8635" s="101"/>
      <c r="B8635" s="71"/>
      <c r="C8635" s="69" t="s">
        <v>33945</v>
      </c>
      <c r="D8635" s="71"/>
      <c r="E8635" s="68" t="s">
        <v>33946</v>
      </c>
      <c r="F8635" s="83">
        <v>41601.0</v>
      </c>
      <c r="G8635" s="68" t="s">
        <v>33947</v>
      </c>
      <c r="H8635" s="68" t="s">
        <v>439</v>
      </c>
      <c r="I8635" s="71"/>
      <c r="J8635" s="68" t="s">
        <v>33948</v>
      </c>
      <c r="K8635" s="76">
        <v>44671.0</v>
      </c>
      <c r="L8635" s="68" t="s">
        <v>32774</v>
      </c>
      <c r="M8635" s="68" t="s">
        <v>27</v>
      </c>
      <c r="N8635" s="71"/>
      <c r="O8635" s="51"/>
    </row>
    <row r="8636">
      <c r="A8636" s="101"/>
      <c r="B8636" s="71"/>
      <c r="C8636" s="69" t="s">
        <v>33949</v>
      </c>
      <c r="D8636" s="71"/>
      <c r="E8636" s="68" t="s">
        <v>33950</v>
      </c>
      <c r="F8636" s="76">
        <v>41282.0</v>
      </c>
      <c r="G8636" s="68" t="s">
        <v>33867</v>
      </c>
      <c r="H8636" s="68" t="s">
        <v>439</v>
      </c>
      <c r="I8636" s="71"/>
      <c r="J8636" s="68" t="s">
        <v>33951</v>
      </c>
      <c r="K8636" s="76">
        <v>44671.0</v>
      </c>
      <c r="L8636" s="68" t="s">
        <v>32774</v>
      </c>
      <c r="M8636" s="68" t="s">
        <v>27</v>
      </c>
      <c r="N8636" s="71"/>
      <c r="O8636" s="51"/>
    </row>
    <row r="8637">
      <c r="A8637" s="101"/>
      <c r="B8637" s="71"/>
      <c r="C8637" s="69" t="s">
        <v>33952</v>
      </c>
      <c r="D8637" s="71"/>
      <c r="E8637" s="68" t="s">
        <v>33953</v>
      </c>
      <c r="F8637" s="76">
        <v>41640.0</v>
      </c>
      <c r="G8637" s="68" t="s">
        <v>33867</v>
      </c>
      <c r="H8637" s="68" t="s">
        <v>439</v>
      </c>
      <c r="I8637" s="71"/>
      <c r="J8637" s="68" t="s">
        <v>33954</v>
      </c>
      <c r="K8637" s="76">
        <v>44671.0</v>
      </c>
      <c r="L8637" s="68" t="s">
        <v>32774</v>
      </c>
      <c r="M8637" s="68" t="s">
        <v>27</v>
      </c>
      <c r="N8637" s="71"/>
      <c r="O8637" s="51"/>
    </row>
    <row r="8638">
      <c r="A8638" s="101"/>
      <c r="B8638" s="71"/>
      <c r="C8638" s="69" t="s">
        <v>33955</v>
      </c>
      <c r="D8638" s="71"/>
      <c r="E8638" s="68" t="s">
        <v>18090</v>
      </c>
      <c r="F8638" s="76">
        <v>42313.0</v>
      </c>
      <c r="G8638" s="68" t="s">
        <v>33956</v>
      </c>
      <c r="H8638" s="68" t="s">
        <v>439</v>
      </c>
      <c r="I8638" s="71"/>
      <c r="J8638" s="68" t="s">
        <v>33957</v>
      </c>
      <c r="K8638" s="76">
        <v>44671.0</v>
      </c>
      <c r="L8638" s="68" t="s">
        <v>32774</v>
      </c>
      <c r="M8638" s="68" t="s">
        <v>27</v>
      </c>
      <c r="N8638" s="71"/>
      <c r="O8638" s="51"/>
    </row>
    <row r="8639">
      <c r="A8639" s="101"/>
      <c r="B8639" s="71"/>
      <c r="C8639" s="69" t="s">
        <v>33958</v>
      </c>
      <c r="D8639" s="71"/>
      <c r="E8639" s="68" t="s">
        <v>33959</v>
      </c>
      <c r="F8639" s="76">
        <v>42313.0</v>
      </c>
      <c r="G8639" s="68" t="s">
        <v>33956</v>
      </c>
      <c r="H8639" s="68" t="s">
        <v>439</v>
      </c>
      <c r="I8639" s="71"/>
      <c r="J8639" s="68" t="s">
        <v>33960</v>
      </c>
      <c r="K8639" s="76">
        <v>44672.0</v>
      </c>
      <c r="L8639" s="68" t="s">
        <v>32774</v>
      </c>
      <c r="M8639" s="68" t="s">
        <v>27</v>
      </c>
      <c r="N8639" s="71"/>
      <c r="O8639" s="51"/>
    </row>
    <row r="8640">
      <c r="A8640" s="101"/>
      <c r="B8640" s="71"/>
      <c r="C8640" s="69" t="s">
        <v>33961</v>
      </c>
      <c r="D8640" s="71"/>
      <c r="E8640" s="68" t="s">
        <v>33962</v>
      </c>
      <c r="F8640" s="76">
        <v>43617.0</v>
      </c>
      <c r="G8640" s="68" t="s">
        <v>33963</v>
      </c>
      <c r="H8640" s="68" t="s">
        <v>439</v>
      </c>
      <c r="I8640" s="71"/>
      <c r="J8640" s="68" t="s">
        <v>33964</v>
      </c>
      <c r="K8640" s="76">
        <v>44673.0</v>
      </c>
      <c r="L8640" s="68" t="s">
        <v>32774</v>
      </c>
      <c r="M8640" s="68" t="s">
        <v>27</v>
      </c>
      <c r="N8640" s="71"/>
      <c r="O8640" s="51"/>
    </row>
    <row r="8641">
      <c r="A8641" s="101"/>
      <c r="B8641" s="71"/>
      <c r="C8641" s="69" t="s">
        <v>33965</v>
      </c>
      <c r="D8641" s="71"/>
      <c r="E8641" s="68" t="s">
        <v>33966</v>
      </c>
      <c r="F8641" s="83">
        <v>41483.0</v>
      </c>
      <c r="G8641" s="68" t="s">
        <v>33967</v>
      </c>
      <c r="H8641" s="68" t="s">
        <v>439</v>
      </c>
      <c r="I8641" s="71"/>
      <c r="J8641" s="68" t="s">
        <v>33968</v>
      </c>
      <c r="K8641" s="76">
        <v>44674.0</v>
      </c>
      <c r="L8641" s="68" t="s">
        <v>32774</v>
      </c>
      <c r="M8641" s="68" t="s">
        <v>27</v>
      </c>
      <c r="N8641" s="71"/>
      <c r="O8641" s="51"/>
    </row>
    <row r="8642">
      <c r="A8642" s="101"/>
      <c r="B8642" s="71"/>
      <c r="C8642" s="69" t="s">
        <v>33969</v>
      </c>
      <c r="D8642" s="71"/>
      <c r="E8642" s="68" t="s">
        <v>33970</v>
      </c>
      <c r="F8642" s="76">
        <v>41341.0</v>
      </c>
      <c r="G8642" s="68" t="s">
        <v>33971</v>
      </c>
      <c r="H8642" s="68" t="s">
        <v>439</v>
      </c>
      <c r="I8642" s="71"/>
      <c r="J8642" s="68" t="s">
        <v>33972</v>
      </c>
      <c r="K8642" s="76">
        <v>44675.0</v>
      </c>
      <c r="L8642" s="68" t="s">
        <v>32774</v>
      </c>
      <c r="M8642" s="68" t="s">
        <v>27</v>
      </c>
      <c r="N8642" s="71"/>
      <c r="O8642" s="51"/>
    </row>
    <row r="8643">
      <c r="A8643" s="101"/>
      <c r="B8643" s="71"/>
      <c r="C8643" s="69" t="s">
        <v>33973</v>
      </c>
      <c r="D8643" s="71"/>
      <c r="E8643" s="68" t="s">
        <v>4790</v>
      </c>
      <c r="F8643" s="76">
        <v>41246.0</v>
      </c>
      <c r="G8643" s="68" t="s">
        <v>33867</v>
      </c>
      <c r="H8643" s="68" t="s">
        <v>439</v>
      </c>
      <c r="I8643" s="71"/>
      <c r="J8643" s="68" t="s">
        <v>33974</v>
      </c>
      <c r="K8643" s="76">
        <v>44676.0</v>
      </c>
      <c r="L8643" s="68" t="s">
        <v>32774</v>
      </c>
      <c r="M8643" s="68" t="s">
        <v>27</v>
      </c>
      <c r="N8643" s="71"/>
      <c r="O8643" s="51"/>
    </row>
    <row r="8644">
      <c r="A8644" s="101"/>
      <c r="B8644" s="71"/>
      <c r="C8644" s="69" t="s">
        <v>33975</v>
      </c>
      <c r="D8644" s="71"/>
      <c r="E8644" s="68" t="s">
        <v>33976</v>
      </c>
      <c r="F8644" s="76">
        <v>37730.0</v>
      </c>
      <c r="G8644" s="68" t="s">
        <v>33977</v>
      </c>
      <c r="H8644" s="68" t="s">
        <v>439</v>
      </c>
      <c r="I8644" s="71"/>
      <c r="J8644" s="68" t="s">
        <v>33978</v>
      </c>
      <c r="K8644" s="76">
        <v>44677.0</v>
      </c>
      <c r="L8644" s="68" t="s">
        <v>32774</v>
      </c>
      <c r="M8644" s="68" t="s">
        <v>27</v>
      </c>
      <c r="N8644" s="68" t="s">
        <v>33979</v>
      </c>
      <c r="O8644" s="51"/>
    </row>
    <row r="8645">
      <c r="A8645" s="167"/>
      <c r="B8645" s="82"/>
      <c r="C8645" s="79" t="s">
        <v>33980</v>
      </c>
      <c r="D8645" s="82"/>
      <c r="E8645" s="80" t="s">
        <v>33981</v>
      </c>
      <c r="F8645" s="98">
        <v>44551.0</v>
      </c>
      <c r="G8645" s="80" t="s">
        <v>33982</v>
      </c>
      <c r="H8645" s="80" t="s">
        <v>33983</v>
      </c>
      <c r="I8645" s="82"/>
      <c r="J8645" s="80" t="s">
        <v>136</v>
      </c>
      <c r="K8645" s="81">
        <v>44680.0</v>
      </c>
      <c r="L8645" s="80" t="s">
        <v>20958</v>
      </c>
      <c r="M8645" s="80" t="s">
        <v>32175</v>
      </c>
      <c r="N8645" s="68" t="s">
        <v>33984</v>
      </c>
      <c r="O8645" s="51"/>
    </row>
    <row r="8646">
      <c r="A8646" s="167"/>
      <c r="B8646" s="82"/>
      <c r="C8646" s="79" t="s">
        <v>33985</v>
      </c>
      <c r="D8646" s="82"/>
      <c r="E8646" s="80" t="s">
        <v>33986</v>
      </c>
      <c r="F8646" s="81">
        <v>44598.0</v>
      </c>
      <c r="G8646" s="80" t="s">
        <v>33987</v>
      </c>
      <c r="H8646" s="80" t="s">
        <v>33988</v>
      </c>
      <c r="I8646" s="82"/>
      <c r="J8646" s="80" t="s">
        <v>136</v>
      </c>
      <c r="K8646" s="81">
        <v>44680.0</v>
      </c>
      <c r="L8646" s="80" t="s">
        <v>20958</v>
      </c>
      <c r="M8646" s="80" t="s">
        <v>32175</v>
      </c>
      <c r="N8646" s="82"/>
      <c r="O8646" s="51"/>
    </row>
    <row r="8647">
      <c r="A8647" s="167"/>
      <c r="B8647" s="82"/>
      <c r="C8647" s="79" t="s">
        <v>33989</v>
      </c>
      <c r="D8647" s="82"/>
      <c r="E8647" s="80" t="s">
        <v>31550</v>
      </c>
      <c r="F8647" s="81">
        <v>44663.0</v>
      </c>
      <c r="G8647" s="80" t="s">
        <v>33990</v>
      </c>
      <c r="H8647" s="80" t="s">
        <v>31552</v>
      </c>
      <c r="I8647" s="82"/>
      <c r="J8647" s="80" t="s">
        <v>136</v>
      </c>
      <c r="K8647" s="81">
        <v>44680.0</v>
      </c>
      <c r="L8647" s="80" t="s">
        <v>31554</v>
      </c>
      <c r="M8647" s="80" t="s">
        <v>1435</v>
      </c>
      <c r="N8647" s="82"/>
      <c r="O8647" s="51"/>
    </row>
    <row r="8648">
      <c r="A8648" s="167"/>
      <c r="B8648" s="82"/>
      <c r="C8648" s="79" t="s">
        <v>33991</v>
      </c>
      <c r="D8648" s="82"/>
      <c r="E8648" s="80" t="s">
        <v>33992</v>
      </c>
      <c r="F8648" s="81">
        <v>40403.0</v>
      </c>
      <c r="G8648" s="80" t="s">
        <v>33993</v>
      </c>
      <c r="H8648" s="80" t="s">
        <v>33994</v>
      </c>
      <c r="I8648" s="82"/>
      <c r="J8648" s="80" t="s">
        <v>136</v>
      </c>
      <c r="K8648" s="81">
        <v>44680.0</v>
      </c>
      <c r="L8648" s="80" t="s">
        <v>2743</v>
      </c>
      <c r="M8648" s="80" t="s">
        <v>156</v>
      </c>
      <c r="N8648" s="82"/>
      <c r="O8648" s="51"/>
    </row>
    <row r="8649">
      <c r="A8649" s="167"/>
      <c r="B8649" s="82"/>
      <c r="C8649" s="79" t="s">
        <v>33995</v>
      </c>
      <c r="D8649" s="82"/>
      <c r="E8649" s="80" t="s">
        <v>33996</v>
      </c>
      <c r="F8649" s="81">
        <v>41883.0</v>
      </c>
      <c r="G8649" s="80" t="s">
        <v>33997</v>
      </c>
      <c r="H8649" s="80" t="s">
        <v>33998</v>
      </c>
      <c r="I8649" s="82"/>
      <c r="J8649" s="80" t="s">
        <v>136</v>
      </c>
      <c r="K8649" s="81">
        <v>44680.0</v>
      </c>
      <c r="L8649" s="80" t="s">
        <v>2743</v>
      </c>
      <c r="M8649" s="80" t="s">
        <v>125</v>
      </c>
      <c r="N8649" s="82"/>
      <c r="O8649" s="51"/>
    </row>
    <row r="8650">
      <c r="A8650" s="167"/>
      <c r="B8650" s="82"/>
      <c r="C8650" s="79" t="s">
        <v>33999</v>
      </c>
      <c r="D8650" s="82"/>
      <c r="E8650" s="80" t="s">
        <v>34000</v>
      </c>
      <c r="F8650" s="98">
        <v>42352.0</v>
      </c>
      <c r="G8650" s="80" t="s">
        <v>34001</v>
      </c>
      <c r="H8650" s="80" t="s">
        <v>34002</v>
      </c>
      <c r="I8650" s="82"/>
      <c r="J8650" s="80" t="s">
        <v>136</v>
      </c>
      <c r="K8650" s="81">
        <v>44680.0</v>
      </c>
      <c r="L8650" s="80" t="s">
        <v>2743</v>
      </c>
      <c r="M8650" s="80" t="s">
        <v>542</v>
      </c>
      <c r="N8650" s="82"/>
      <c r="O8650" s="51"/>
    </row>
    <row r="8651">
      <c r="A8651" s="101"/>
      <c r="B8651" s="71"/>
      <c r="C8651" s="69" t="s">
        <v>34003</v>
      </c>
      <c r="D8651" s="71"/>
      <c r="E8651" s="68" t="s">
        <v>34004</v>
      </c>
      <c r="F8651" s="76">
        <v>44678.0</v>
      </c>
      <c r="G8651" s="68" t="s">
        <v>34005</v>
      </c>
      <c r="H8651" s="68" t="s">
        <v>34006</v>
      </c>
      <c r="I8651" s="71"/>
      <c r="J8651" s="68" t="s">
        <v>34007</v>
      </c>
      <c r="K8651" s="76">
        <v>44680.0</v>
      </c>
      <c r="L8651" s="68" t="s">
        <v>2743</v>
      </c>
      <c r="M8651" s="68" t="s">
        <v>149</v>
      </c>
      <c r="N8651" s="71"/>
      <c r="O8651" s="51"/>
    </row>
    <row r="8652">
      <c r="A8652" s="167"/>
      <c r="B8652" s="82"/>
      <c r="C8652" s="79" t="s">
        <v>34008</v>
      </c>
      <c r="D8652" s="82"/>
      <c r="E8652" s="80" t="s">
        <v>34009</v>
      </c>
      <c r="F8652" s="81">
        <v>42839.0</v>
      </c>
      <c r="G8652" s="80" t="s">
        <v>34010</v>
      </c>
      <c r="H8652" s="80" t="s">
        <v>34011</v>
      </c>
      <c r="I8652" s="82"/>
      <c r="J8652" s="80" t="s">
        <v>136</v>
      </c>
      <c r="K8652" s="81">
        <v>44692.0</v>
      </c>
      <c r="L8652" s="80" t="s">
        <v>20958</v>
      </c>
      <c r="M8652" s="80" t="s">
        <v>32175</v>
      </c>
      <c r="N8652" s="82"/>
      <c r="O8652" s="51"/>
    </row>
    <row r="8653">
      <c r="A8653" s="167"/>
      <c r="B8653" s="82"/>
      <c r="C8653" s="79" t="s">
        <v>34012</v>
      </c>
      <c r="D8653" s="82"/>
      <c r="E8653" s="80" t="s">
        <v>34013</v>
      </c>
      <c r="F8653" s="98">
        <v>44516.0</v>
      </c>
      <c r="G8653" s="80" t="s">
        <v>34014</v>
      </c>
      <c r="H8653" s="80" t="s">
        <v>34015</v>
      </c>
      <c r="I8653" s="82"/>
      <c r="J8653" s="80" t="s">
        <v>136</v>
      </c>
      <c r="K8653" s="81">
        <v>44692.0</v>
      </c>
      <c r="L8653" s="80" t="s">
        <v>2743</v>
      </c>
      <c r="M8653" s="80" t="s">
        <v>34016</v>
      </c>
      <c r="N8653" s="82"/>
      <c r="O8653" s="51"/>
    </row>
    <row r="8654">
      <c r="A8654" s="167"/>
      <c r="B8654" s="82"/>
      <c r="C8654" s="79" t="s">
        <v>34017</v>
      </c>
      <c r="D8654" s="82"/>
      <c r="E8654" s="80" t="s">
        <v>34018</v>
      </c>
      <c r="F8654" s="98">
        <v>41958.0</v>
      </c>
      <c r="G8654" s="80" t="s">
        <v>34019</v>
      </c>
      <c r="H8654" s="80" t="s">
        <v>34020</v>
      </c>
      <c r="I8654" s="82"/>
      <c r="J8654" s="80" t="s">
        <v>136</v>
      </c>
      <c r="K8654" s="81">
        <v>44692.0</v>
      </c>
      <c r="L8654" s="80" t="s">
        <v>20958</v>
      </c>
      <c r="M8654" s="80" t="s">
        <v>32580</v>
      </c>
      <c r="N8654" s="82"/>
      <c r="O8654" s="51"/>
    </row>
    <row r="8655">
      <c r="A8655" s="167"/>
      <c r="B8655" s="82"/>
      <c r="C8655" s="79" t="s">
        <v>34021</v>
      </c>
      <c r="D8655" s="82"/>
      <c r="E8655" s="80" t="s">
        <v>34022</v>
      </c>
      <c r="F8655" s="81">
        <v>42018.0</v>
      </c>
      <c r="G8655" s="80" t="s">
        <v>34023</v>
      </c>
      <c r="H8655" s="80" t="s">
        <v>34024</v>
      </c>
      <c r="I8655" s="80" t="s">
        <v>34025</v>
      </c>
      <c r="J8655" s="80" t="s">
        <v>136</v>
      </c>
      <c r="K8655" s="81">
        <v>44692.0</v>
      </c>
      <c r="L8655" s="80" t="s">
        <v>2743</v>
      </c>
      <c r="M8655" s="80" t="s">
        <v>31</v>
      </c>
      <c r="N8655" s="82"/>
      <c r="O8655" s="51"/>
    </row>
    <row r="8656">
      <c r="A8656" s="167"/>
      <c r="B8656" s="82"/>
      <c r="C8656" s="79" t="s">
        <v>34026</v>
      </c>
      <c r="D8656" s="82"/>
      <c r="E8656" s="80" t="s">
        <v>34027</v>
      </c>
      <c r="F8656" s="81">
        <v>44663.0</v>
      </c>
      <c r="G8656" s="80" t="s">
        <v>34028</v>
      </c>
      <c r="H8656" s="80" t="s">
        <v>34029</v>
      </c>
      <c r="I8656" s="82"/>
      <c r="J8656" s="80" t="s">
        <v>136</v>
      </c>
      <c r="K8656" s="81">
        <v>44697.0</v>
      </c>
      <c r="L8656" s="80" t="s">
        <v>2743</v>
      </c>
      <c r="M8656" s="80" t="s">
        <v>166</v>
      </c>
      <c r="N8656" s="82"/>
      <c r="O8656" s="51"/>
    </row>
    <row r="8657">
      <c r="A8657" s="167"/>
      <c r="B8657" s="82"/>
      <c r="C8657" s="79" t="s">
        <v>34030</v>
      </c>
      <c r="D8657" s="82"/>
      <c r="E8657" s="80" t="s">
        <v>34031</v>
      </c>
      <c r="F8657" s="80" t="s">
        <v>34032</v>
      </c>
      <c r="G8657" s="80" t="s">
        <v>34033</v>
      </c>
      <c r="H8657" s="80" t="s">
        <v>439</v>
      </c>
      <c r="I8657" s="82"/>
      <c r="J8657" s="80" t="s">
        <v>136</v>
      </c>
      <c r="K8657" s="81">
        <v>44697.0</v>
      </c>
      <c r="L8657" s="80" t="s">
        <v>2743</v>
      </c>
      <c r="M8657" s="80" t="s">
        <v>125</v>
      </c>
      <c r="N8657" s="82"/>
      <c r="O8657" s="51"/>
    </row>
    <row r="8658">
      <c r="A8658" s="167"/>
      <c r="B8658" s="82"/>
      <c r="C8658" s="79" t="s">
        <v>34034</v>
      </c>
      <c r="D8658" s="82"/>
      <c r="E8658" s="80" t="s">
        <v>34035</v>
      </c>
      <c r="F8658" s="81">
        <v>44588.0</v>
      </c>
      <c r="G8658" s="80" t="s">
        <v>34036</v>
      </c>
      <c r="H8658" s="80" t="s">
        <v>34037</v>
      </c>
      <c r="I8658" s="82"/>
      <c r="J8658" s="80" t="s">
        <v>136</v>
      </c>
      <c r="K8658" s="81">
        <v>44697.0</v>
      </c>
      <c r="L8658" s="80" t="s">
        <v>2743</v>
      </c>
      <c r="M8658" s="80" t="s">
        <v>125</v>
      </c>
      <c r="N8658" s="82"/>
      <c r="O8658" s="51"/>
    </row>
    <row r="8659">
      <c r="A8659" s="167"/>
      <c r="B8659" s="82"/>
      <c r="C8659" s="79" t="s">
        <v>34038</v>
      </c>
      <c r="D8659" s="82"/>
      <c r="E8659" s="80" t="s">
        <v>34039</v>
      </c>
      <c r="F8659" s="81">
        <v>44692.0</v>
      </c>
      <c r="G8659" s="80" t="s">
        <v>34040</v>
      </c>
      <c r="H8659" s="80" t="s">
        <v>34041</v>
      </c>
      <c r="I8659" s="82"/>
      <c r="J8659" s="80" t="s">
        <v>136</v>
      </c>
      <c r="K8659" s="81">
        <v>44697.0</v>
      </c>
      <c r="L8659" s="80" t="s">
        <v>2743</v>
      </c>
      <c r="M8659" s="80" t="s">
        <v>143</v>
      </c>
      <c r="N8659" s="82"/>
      <c r="O8659" s="51"/>
    </row>
    <row r="8660">
      <c r="A8660" s="167"/>
      <c r="B8660" s="82"/>
      <c r="C8660" s="79" t="s">
        <v>34042</v>
      </c>
      <c r="D8660" s="82"/>
      <c r="E8660" s="80" t="s">
        <v>34043</v>
      </c>
      <c r="F8660" s="80" t="s">
        <v>33567</v>
      </c>
      <c r="G8660" s="80" t="s">
        <v>34044</v>
      </c>
      <c r="H8660" s="82"/>
      <c r="I8660" s="82"/>
      <c r="J8660" s="80" t="s">
        <v>136</v>
      </c>
      <c r="K8660" s="81">
        <v>44697.0</v>
      </c>
      <c r="L8660" s="80" t="s">
        <v>2743</v>
      </c>
      <c r="M8660" s="80" t="s">
        <v>166</v>
      </c>
      <c r="N8660" s="82"/>
      <c r="O8660" s="51"/>
    </row>
    <row r="8661">
      <c r="A8661" s="167"/>
      <c r="B8661" s="82"/>
      <c r="C8661" s="79" t="s">
        <v>34045</v>
      </c>
      <c r="D8661" s="82"/>
      <c r="E8661" s="80" t="s">
        <v>34046</v>
      </c>
      <c r="F8661" s="80" t="s">
        <v>33685</v>
      </c>
      <c r="G8661" s="80" t="s">
        <v>32997</v>
      </c>
      <c r="H8661" s="82"/>
      <c r="I8661" s="82"/>
      <c r="J8661" s="80" t="s">
        <v>136</v>
      </c>
      <c r="K8661" s="81">
        <v>44697.0</v>
      </c>
      <c r="L8661" s="80" t="s">
        <v>2743</v>
      </c>
      <c r="M8661" s="80" t="s">
        <v>27994</v>
      </c>
      <c r="N8661" s="82"/>
      <c r="O8661" s="51"/>
    </row>
    <row r="8662">
      <c r="A8662" s="167"/>
      <c r="B8662" s="82"/>
      <c r="C8662" s="79" t="s">
        <v>34047</v>
      </c>
      <c r="D8662" s="82"/>
      <c r="E8662" s="80" t="s">
        <v>34048</v>
      </c>
      <c r="F8662" s="81">
        <v>44239.0</v>
      </c>
      <c r="G8662" s="80" t="s">
        <v>34049</v>
      </c>
      <c r="H8662" s="80" t="s">
        <v>34050</v>
      </c>
      <c r="I8662" s="82"/>
      <c r="J8662" s="80" t="s">
        <v>136</v>
      </c>
      <c r="K8662" s="81">
        <v>44699.0</v>
      </c>
      <c r="L8662" s="80" t="s">
        <v>2743</v>
      </c>
      <c r="M8662" s="80" t="s">
        <v>1435</v>
      </c>
      <c r="N8662" s="82"/>
      <c r="O8662" s="51"/>
    </row>
    <row r="8663">
      <c r="A8663" s="167"/>
      <c r="B8663" s="82"/>
      <c r="C8663" s="79" t="s">
        <v>34051</v>
      </c>
      <c r="D8663" s="82"/>
      <c r="E8663" s="80" t="s">
        <v>34052</v>
      </c>
      <c r="F8663" s="81">
        <v>44646.0</v>
      </c>
      <c r="G8663" s="80" t="s">
        <v>34053</v>
      </c>
      <c r="H8663" s="80" t="s">
        <v>34054</v>
      </c>
      <c r="I8663" s="82"/>
      <c r="J8663" s="80" t="s">
        <v>136</v>
      </c>
      <c r="K8663" s="81">
        <v>44699.0</v>
      </c>
      <c r="L8663" s="80" t="s">
        <v>30692</v>
      </c>
      <c r="M8663" s="80" t="s">
        <v>32175</v>
      </c>
      <c r="N8663" s="82"/>
      <c r="O8663" s="51"/>
    </row>
    <row r="8664">
      <c r="A8664" s="167"/>
      <c r="B8664" s="82"/>
      <c r="C8664" s="79" t="s">
        <v>34055</v>
      </c>
      <c r="D8664" s="82"/>
      <c r="E8664" s="80" t="s">
        <v>34056</v>
      </c>
      <c r="F8664" s="81">
        <v>44660.0</v>
      </c>
      <c r="G8664" s="80" t="s">
        <v>34057</v>
      </c>
      <c r="H8664" s="80" t="s">
        <v>34058</v>
      </c>
      <c r="I8664" s="82"/>
      <c r="J8664" s="80" t="s">
        <v>136</v>
      </c>
      <c r="K8664" s="81">
        <v>44704.0</v>
      </c>
      <c r="L8664" s="80" t="s">
        <v>2743</v>
      </c>
      <c r="M8664" s="80" t="s">
        <v>33586</v>
      </c>
      <c r="N8664" s="82"/>
      <c r="O8664" s="51"/>
    </row>
    <row r="8665">
      <c r="A8665" s="167"/>
      <c r="B8665" s="82"/>
      <c r="C8665" s="79" t="s">
        <v>34059</v>
      </c>
      <c r="D8665" s="82"/>
      <c r="E8665" s="80" t="s">
        <v>34060</v>
      </c>
      <c r="F8665" s="81">
        <v>44604.0</v>
      </c>
      <c r="G8665" s="80" t="s">
        <v>34061</v>
      </c>
      <c r="H8665" s="80" t="s">
        <v>34062</v>
      </c>
      <c r="I8665" s="82"/>
      <c r="J8665" s="80" t="s">
        <v>136</v>
      </c>
      <c r="K8665" s="81">
        <v>44704.0</v>
      </c>
      <c r="L8665" s="80" t="s">
        <v>2743</v>
      </c>
      <c r="M8665" s="80" t="s">
        <v>32175</v>
      </c>
      <c r="N8665" s="82"/>
      <c r="O8665" s="51"/>
    </row>
    <row r="8666">
      <c r="A8666" s="167"/>
      <c r="B8666" s="82"/>
      <c r="C8666" s="79" t="s">
        <v>34063</v>
      </c>
      <c r="D8666" s="82"/>
      <c r="E8666" s="80" t="s">
        <v>34064</v>
      </c>
      <c r="F8666" s="81">
        <v>44599.0</v>
      </c>
      <c r="G8666" s="80" t="s">
        <v>34061</v>
      </c>
      <c r="H8666" s="80" t="s">
        <v>34062</v>
      </c>
      <c r="I8666" s="82"/>
      <c r="J8666" s="80" t="s">
        <v>136</v>
      </c>
      <c r="K8666" s="81">
        <v>44704.0</v>
      </c>
      <c r="L8666" s="80" t="s">
        <v>2743</v>
      </c>
      <c r="M8666" s="80" t="s">
        <v>32175</v>
      </c>
      <c r="N8666" s="82"/>
      <c r="O8666" s="51"/>
    </row>
    <row r="8667">
      <c r="A8667" s="167"/>
      <c r="B8667" s="82"/>
      <c r="C8667" s="79" t="s">
        <v>34065</v>
      </c>
      <c r="D8667" s="82"/>
      <c r="E8667" s="80" t="s">
        <v>34066</v>
      </c>
      <c r="F8667" s="81">
        <v>44599.0</v>
      </c>
      <c r="G8667" s="80" t="s">
        <v>34067</v>
      </c>
      <c r="H8667" s="80" t="s">
        <v>34068</v>
      </c>
      <c r="I8667" s="82"/>
      <c r="J8667" s="80" t="s">
        <v>136</v>
      </c>
      <c r="K8667" s="81">
        <v>44704.0</v>
      </c>
      <c r="L8667" s="80" t="s">
        <v>2743</v>
      </c>
      <c r="M8667" s="80" t="s">
        <v>32175</v>
      </c>
      <c r="N8667" s="82"/>
      <c r="O8667" s="51"/>
    </row>
    <row r="8668">
      <c r="A8668" s="167"/>
      <c r="B8668" s="82"/>
      <c r="C8668" s="79" t="s">
        <v>34069</v>
      </c>
      <c r="D8668" s="82"/>
      <c r="E8668" s="80" t="s">
        <v>34070</v>
      </c>
      <c r="F8668" s="81">
        <v>44604.0</v>
      </c>
      <c r="G8668" s="80" t="s">
        <v>34067</v>
      </c>
      <c r="H8668" s="80" t="s">
        <v>34068</v>
      </c>
      <c r="I8668" s="82"/>
      <c r="J8668" s="80" t="s">
        <v>136</v>
      </c>
      <c r="K8668" s="81">
        <v>44704.0</v>
      </c>
      <c r="L8668" s="80" t="s">
        <v>2743</v>
      </c>
      <c r="M8668" s="80" t="s">
        <v>32175</v>
      </c>
      <c r="N8668" s="82"/>
      <c r="O8668" s="51"/>
    </row>
    <row r="8669">
      <c r="A8669" s="167"/>
      <c r="B8669" s="82"/>
      <c r="C8669" s="79" t="s">
        <v>34071</v>
      </c>
      <c r="D8669" s="82"/>
      <c r="E8669" s="80" t="s">
        <v>34072</v>
      </c>
      <c r="F8669" s="81">
        <v>44598.0</v>
      </c>
      <c r="G8669" s="80" t="s">
        <v>34067</v>
      </c>
      <c r="H8669" s="80" t="s">
        <v>34068</v>
      </c>
      <c r="I8669" s="82"/>
      <c r="J8669" s="80" t="s">
        <v>136</v>
      </c>
      <c r="K8669" s="81">
        <v>44704.0</v>
      </c>
      <c r="L8669" s="80" t="s">
        <v>2743</v>
      </c>
      <c r="M8669" s="80" t="s">
        <v>32175</v>
      </c>
      <c r="N8669" s="82"/>
      <c r="O8669" s="51"/>
    </row>
    <row r="8670">
      <c r="A8670" s="167"/>
      <c r="B8670" s="82"/>
      <c r="C8670" s="79" t="s">
        <v>34073</v>
      </c>
      <c r="D8670" s="82"/>
      <c r="E8670" s="80" t="s">
        <v>34074</v>
      </c>
      <c r="F8670" s="81">
        <v>42845.0</v>
      </c>
      <c r="G8670" s="80" t="s">
        <v>34075</v>
      </c>
      <c r="H8670" s="80" t="s">
        <v>34076</v>
      </c>
      <c r="I8670" s="82"/>
      <c r="J8670" s="80" t="s">
        <v>136</v>
      </c>
      <c r="K8670" s="81">
        <v>44704.0</v>
      </c>
      <c r="L8670" s="80" t="s">
        <v>2743</v>
      </c>
      <c r="M8670" s="80" t="s">
        <v>32175</v>
      </c>
      <c r="N8670" s="82"/>
      <c r="O8670" s="51"/>
    </row>
    <row r="8671">
      <c r="A8671" s="167"/>
      <c r="B8671" s="82"/>
      <c r="C8671" s="79" t="s">
        <v>34077</v>
      </c>
      <c r="D8671" s="82"/>
      <c r="E8671" s="80" t="s">
        <v>34078</v>
      </c>
      <c r="F8671" s="81">
        <v>44415.0</v>
      </c>
      <c r="G8671" s="80" t="s">
        <v>34079</v>
      </c>
      <c r="H8671" s="80" t="s">
        <v>34080</v>
      </c>
      <c r="I8671" s="82"/>
      <c r="J8671" s="80" t="s">
        <v>136</v>
      </c>
      <c r="K8671" s="81">
        <v>44704.0</v>
      </c>
      <c r="L8671" s="80" t="s">
        <v>2743</v>
      </c>
      <c r="M8671" s="80" t="s">
        <v>32175</v>
      </c>
      <c r="N8671" s="82"/>
      <c r="O8671" s="51"/>
    </row>
    <row r="8672">
      <c r="A8672" s="167"/>
      <c r="B8672" s="82"/>
      <c r="C8672" s="79" t="s">
        <v>34081</v>
      </c>
      <c r="D8672" s="82"/>
      <c r="E8672" s="80" t="s">
        <v>34082</v>
      </c>
      <c r="F8672" s="80" t="s">
        <v>34083</v>
      </c>
      <c r="G8672" s="80" t="s">
        <v>34084</v>
      </c>
      <c r="H8672" s="80" t="s">
        <v>34085</v>
      </c>
      <c r="I8672" s="82"/>
      <c r="J8672" s="80" t="s">
        <v>136</v>
      </c>
      <c r="K8672" s="81">
        <v>44704.0</v>
      </c>
      <c r="L8672" s="80" t="s">
        <v>2743</v>
      </c>
      <c r="M8672" s="80" t="s">
        <v>32175</v>
      </c>
      <c r="N8672" s="82"/>
      <c r="O8672" s="51"/>
    </row>
    <row r="8673">
      <c r="A8673" s="167"/>
      <c r="B8673" s="82"/>
      <c r="C8673" s="79" t="s">
        <v>34086</v>
      </c>
      <c r="D8673" s="82"/>
      <c r="E8673" s="80" t="s">
        <v>34087</v>
      </c>
      <c r="F8673" s="81">
        <v>44630.0</v>
      </c>
      <c r="G8673" s="80" t="s">
        <v>34088</v>
      </c>
      <c r="H8673" s="80" t="s">
        <v>34089</v>
      </c>
      <c r="I8673" s="82"/>
      <c r="J8673" s="80" t="s">
        <v>136</v>
      </c>
      <c r="K8673" s="81">
        <v>44708.0</v>
      </c>
      <c r="L8673" s="80" t="s">
        <v>2743</v>
      </c>
      <c r="M8673" s="80" t="s">
        <v>143</v>
      </c>
      <c r="N8673" s="82"/>
      <c r="O8673" s="51"/>
    </row>
    <row r="8674">
      <c r="A8674" s="167"/>
      <c r="B8674" s="82"/>
      <c r="C8674" s="79" t="s">
        <v>34090</v>
      </c>
      <c r="D8674" s="82"/>
      <c r="E8674" s="80" t="s">
        <v>34091</v>
      </c>
      <c r="F8674" s="81">
        <v>40313.0</v>
      </c>
      <c r="G8674" s="80" t="s">
        <v>34092</v>
      </c>
      <c r="H8674" s="80" t="s">
        <v>34093</v>
      </c>
      <c r="I8674" s="82"/>
      <c r="J8674" s="80" t="s">
        <v>136</v>
      </c>
      <c r="K8674" s="81">
        <v>44708.0</v>
      </c>
      <c r="L8674" s="80" t="s">
        <v>2743</v>
      </c>
      <c r="M8674" s="80" t="s">
        <v>530</v>
      </c>
      <c r="N8674" s="82"/>
      <c r="O8674" s="51"/>
    </row>
    <row r="8675">
      <c r="A8675" s="167"/>
      <c r="B8675" s="82"/>
      <c r="C8675" s="79" t="s">
        <v>34094</v>
      </c>
      <c r="D8675" s="82"/>
      <c r="E8675" s="80" t="s">
        <v>34095</v>
      </c>
      <c r="F8675" s="80" t="s">
        <v>33672</v>
      </c>
      <c r="G8675" s="80" t="s">
        <v>34096</v>
      </c>
      <c r="H8675" s="80" t="s">
        <v>439</v>
      </c>
      <c r="I8675" s="82"/>
      <c r="J8675" s="80" t="s">
        <v>136</v>
      </c>
      <c r="K8675" s="81">
        <v>44708.0</v>
      </c>
      <c r="L8675" s="80" t="s">
        <v>2743</v>
      </c>
      <c r="M8675" s="80" t="s">
        <v>530</v>
      </c>
      <c r="N8675" s="82"/>
      <c r="O8675" s="51"/>
    </row>
    <row r="8676">
      <c r="A8676" s="101"/>
      <c r="B8676" s="71"/>
      <c r="C8676" s="69" t="s">
        <v>34097</v>
      </c>
      <c r="D8676" s="71"/>
      <c r="E8676" s="68" t="s">
        <v>34098</v>
      </c>
      <c r="F8676" s="76">
        <v>44701.0</v>
      </c>
      <c r="G8676" s="68" t="s">
        <v>34099</v>
      </c>
      <c r="H8676" s="68" t="s">
        <v>34100</v>
      </c>
      <c r="I8676" s="71"/>
      <c r="J8676" s="100" t="s">
        <v>34101</v>
      </c>
      <c r="K8676" s="225">
        <v>44708.0</v>
      </c>
      <c r="L8676" s="68" t="s">
        <v>2743</v>
      </c>
      <c r="M8676" s="68" t="s">
        <v>31</v>
      </c>
      <c r="N8676" s="71"/>
      <c r="O8676" s="130"/>
    </row>
    <row r="8677">
      <c r="A8677" s="167"/>
      <c r="B8677" s="82"/>
      <c r="C8677" s="79" t="s">
        <v>34102</v>
      </c>
      <c r="D8677" s="82"/>
      <c r="E8677" s="80" t="s">
        <v>34103</v>
      </c>
      <c r="F8677" s="98">
        <v>44151.0</v>
      </c>
      <c r="G8677" s="80" t="s">
        <v>34104</v>
      </c>
      <c r="H8677" s="80" t="s">
        <v>34105</v>
      </c>
      <c r="I8677" s="82"/>
      <c r="J8677" s="80" t="s">
        <v>136</v>
      </c>
      <c r="K8677" s="81">
        <v>44708.0</v>
      </c>
      <c r="L8677" s="80" t="s">
        <v>31554</v>
      </c>
      <c r="M8677" s="80" t="s">
        <v>4749</v>
      </c>
      <c r="N8677" s="82"/>
      <c r="O8677" s="51"/>
    </row>
    <row r="8678">
      <c r="A8678" s="101"/>
      <c r="B8678" s="71"/>
      <c r="C8678" s="69" t="s">
        <v>34106</v>
      </c>
      <c r="D8678" s="71"/>
      <c r="E8678" s="68" t="s">
        <v>34107</v>
      </c>
      <c r="F8678" s="76">
        <v>39308.0</v>
      </c>
      <c r="G8678" s="68" t="s">
        <v>33521</v>
      </c>
      <c r="H8678" s="71"/>
      <c r="I8678" s="68" t="s">
        <v>34108</v>
      </c>
      <c r="J8678" s="68" t="s">
        <v>136</v>
      </c>
      <c r="K8678" s="76">
        <v>44708.0</v>
      </c>
      <c r="L8678" s="68" t="s">
        <v>32774</v>
      </c>
      <c r="M8678" s="68" t="s">
        <v>27</v>
      </c>
      <c r="N8678" s="71"/>
      <c r="O8678" s="51"/>
    </row>
    <row r="8679">
      <c r="A8679" s="167"/>
      <c r="B8679" s="82"/>
      <c r="C8679" s="79" t="s">
        <v>34109</v>
      </c>
      <c r="D8679" s="82"/>
      <c r="E8679" s="80" t="s">
        <v>34110</v>
      </c>
      <c r="F8679" s="81">
        <v>44374.0</v>
      </c>
      <c r="G8679" s="80" t="s">
        <v>34111</v>
      </c>
      <c r="H8679" s="80" t="s">
        <v>34112</v>
      </c>
      <c r="I8679" s="82"/>
      <c r="J8679" s="80" t="s">
        <v>136</v>
      </c>
      <c r="K8679" s="81">
        <v>44708.0</v>
      </c>
      <c r="L8679" s="80" t="s">
        <v>2743</v>
      </c>
      <c r="M8679" s="80" t="s">
        <v>34016</v>
      </c>
      <c r="N8679" s="82"/>
      <c r="O8679" s="51"/>
    </row>
    <row r="8680">
      <c r="A8680" s="167"/>
      <c r="B8680" s="82"/>
      <c r="C8680" s="79" t="s">
        <v>34113</v>
      </c>
      <c r="D8680" s="82"/>
      <c r="E8680" s="80" t="s">
        <v>34114</v>
      </c>
      <c r="F8680" s="81">
        <v>44603.0</v>
      </c>
      <c r="G8680" s="80" t="s">
        <v>34115</v>
      </c>
      <c r="H8680" s="80" t="s">
        <v>34116</v>
      </c>
      <c r="I8680" s="82"/>
      <c r="J8680" s="80" t="s">
        <v>136</v>
      </c>
      <c r="K8680" s="81">
        <v>44715.0</v>
      </c>
      <c r="L8680" s="80" t="s">
        <v>2743</v>
      </c>
      <c r="M8680" s="80" t="s">
        <v>34117</v>
      </c>
      <c r="N8680" s="82"/>
      <c r="O8680" s="51"/>
    </row>
    <row r="8681">
      <c r="A8681" s="167"/>
      <c r="B8681" s="82"/>
      <c r="C8681" s="79" t="s">
        <v>34118</v>
      </c>
      <c r="D8681" s="82"/>
      <c r="E8681" s="80" t="s">
        <v>34119</v>
      </c>
      <c r="F8681" s="81">
        <v>43133.0</v>
      </c>
      <c r="G8681" s="80" t="s">
        <v>34120</v>
      </c>
      <c r="H8681" s="80" t="s">
        <v>34121</v>
      </c>
      <c r="I8681" s="82"/>
      <c r="J8681" s="80" t="s">
        <v>136</v>
      </c>
      <c r="K8681" s="81">
        <v>44715.0</v>
      </c>
      <c r="L8681" s="80" t="s">
        <v>2743</v>
      </c>
      <c r="M8681" s="80" t="s">
        <v>32194</v>
      </c>
      <c r="N8681" s="82"/>
      <c r="O8681" s="51"/>
    </row>
    <row r="8682">
      <c r="A8682" s="167"/>
      <c r="B8682" s="82"/>
      <c r="C8682" s="79" t="s">
        <v>34122</v>
      </c>
      <c r="D8682" s="82"/>
      <c r="E8682" s="80" t="s">
        <v>34123</v>
      </c>
      <c r="F8682" s="81">
        <v>40022.0</v>
      </c>
      <c r="G8682" s="80" t="s">
        <v>34124</v>
      </c>
      <c r="H8682" s="80" t="s">
        <v>34125</v>
      </c>
      <c r="I8682" s="82"/>
      <c r="J8682" s="80" t="s">
        <v>136</v>
      </c>
      <c r="K8682" s="81">
        <v>44715.0</v>
      </c>
      <c r="L8682" s="80" t="s">
        <v>2743</v>
      </c>
      <c r="M8682" s="80" t="s">
        <v>125</v>
      </c>
      <c r="N8682" s="82"/>
      <c r="O8682" s="51"/>
    </row>
    <row r="8683">
      <c r="A8683" s="167"/>
      <c r="B8683" s="82"/>
      <c r="C8683" s="79" t="s">
        <v>34126</v>
      </c>
      <c r="D8683" s="82"/>
      <c r="E8683" s="80" t="s">
        <v>34127</v>
      </c>
      <c r="F8683" s="81">
        <v>43991.0</v>
      </c>
      <c r="G8683" s="80" t="s">
        <v>34128</v>
      </c>
      <c r="H8683" s="80" t="s">
        <v>439</v>
      </c>
      <c r="I8683" s="82"/>
      <c r="J8683" s="80" t="s">
        <v>136</v>
      </c>
      <c r="K8683" s="81">
        <v>44715.0</v>
      </c>
      <c r="L8683" s="80" t="s">
        <v>2743</v>
      </c>
      <c r="M8683" s="80" t="s">
        <v>27994</v>
      </c>
      <c r="N8683" s="82"/>
      <c r="O8683" s="51"/>
    </row>
    <row r="8684">
      <c r="A8684" s="167"/>
      <c r="B8684" s="82"/>
      <c r="C8684" s="79" t="s">
        <v>34129</v>
      </c>
      <c r="D8684" s="82"/>
      <c r="E8684" s="80" t="s">
        <v>34130</v>
      </c>
      <c r="F8684" s="81">
        <v>40337.0</v>
      </c>
      <c r="G8684" s="80" t="s">
        <v>34131</v>
      </c>
      <c r="H8684" s="80" t="s">
        <v>34132</v>
      </c>
      <c r="I8684" s="82"/>
      <c r="J8684" s="80" t="s">
        <v>136</v>
      </c>
      <c r="K8684" s="81">
        <v>44720.0</v>
      </c>
      <c r="L8684" s="80" t="s">
        <v>2743</v>
      </c>
      <c r="M8684" s="80" t="s">
        <v>19459</v>
      </c>
      <c r="N8684" s="82"/>
      <c r="O8684" s="51"/>
    </row>
    <row r="8685">
      <c r="A8685" s="167"/>
      <c r="B8685" s="82"/>
      <c r="C8685" s="79" t="s">
        <v>34133</v>
      </c>
      <c r="D8685" s="82"/>
      <c r="E8685" s="80" t="s">
        <v>34134</v>
      </c>
      <c r="F8685" s="81">
        <v>44476.0</v>
      </c>
      <c r="G8685" s="80" t="s">
        <v>34135</v>
      </c>
      <c r="H8685" s="80" t="s">
        <v>34136</v>
      </c>
      <c r="I8685" s="82"/>
      <c r="J8685" s="80" t="s">
        <v>136</v>
      </c>
      <c r="K8685" s="81">
        <v>44720.0</v>
      </c>
      <c r="L8685" s="80" t="s">
        <v>2743</v>
      </c>
      <c r="M8685" s="80" t="s">
        <v>32175</v>
      </c>
      <c r="N8685" s="82"/>
      <c r="O8685" s="51"/>
    </row>
    <row r="8686">
      <c r="A8686" s="167"/>
      <c r="B8686" s="82"/>
      <c r="C8686" s="79" t="s">
        <v>34137</v>
      </c>
      <c r="D8686" s="82"/>
      <c r="E8686" s="80" t="s">
        <v>34138</v>
      </c>
      <c r="F8686" s="81">
        <v>44090.0</v>
      </c>
      <c r="G8686" s="80" t="s">
        <v>34139</v>
      </c>
      <c r="H8686" s="80" t="s">
        <v>34140</v>
      </c>
      <c r="I8686" s="82"/>
      <c r="J8686" s="80" t="s">
        <v>136</v>
      </c>
      <c r="K8686" s="81">
        <v>44720.0</v>
      </c>
      <c r="L8686" s="80" t="s">
        <v>2743</v>
      </c>
      <c r="M8686" s="80" t="s">
        <v>2152</v>
      </c>
      <c r="N8686" s="82"/>
      <c r="O8686" s="51"/>
    </row>
    <row r="8687">
      <c r="A8687" s="167"/>
      <c r="B8687" s="82"/>
      <c r="C8687" s="79" t="s">
        <v>34141</v>
      </c>
      <c r="D8687" s="82"/>
      <c r="E8687" s="80" t="s">
        <v>34142</v>
      </c>
      <c r="F8687" s="81">
        <v>44715.0</v>
      </c>
      <c r="G8687" s="80" t="s">
        <v>34143</v>
      </c>
      <c r="H8687" s="80" t="s">
        <v>439</v>
      </c>
      <c r="I8687" s="82"/>
      <c r="J8687" s="80" t="s">
        <v>136</v>
      </c>
      <c r="K8687" s="81">
        <v>44720.0</v>
      </c>
      <c r="L8687" s="80" t="s">
        <v>2743</v>
      </c>
      <c r="M8687" s="80" t="s">
        <v>166</v>
      </c>
      <c r="N8687" s="82"/>
      <c r="O8687" s="51"/>
    </row>
    <row r="8688">
      <c r="A8688" s="101"/>
      <c r="B8688" s="71"/>
      <c r="C8688" s="69" t="s">
        <v>34144</v>
      </c>
      <c r="D8688" s="71"/>
      <c r="E8688" s="84" t="s">
        <v>34145</v>
      </c>
      <c r="F8688" s="141">
        <v>40781.0</v>
      </c>
      <c r="G8688" s="84" t="s">
        <v>33521</v>
      </c>
      <c r="H8688" s="71"/>
      <c r="I8688" s="71"/>
      <c r="J8688" s="100" t="s">
        <v>34146</v>
      </c>
      <c r="K8688" s="101"/>
      <c r="L8688" s="68" t="s">
        <v>32774</v>
      </c>
      <c r="M8688" s="68" t="s">
        <v>27</v>
      </c>
      <c r="N8688" s="71"/>
      <c r="O8688" s="130"/>
    </row>
    <row r="8689">
      <c r="A8689" s="101"/>
      <c r="B8689" s="71"/>
      <c r="C8689" s="69" t="s">
        <v>34147</v>
      </c>
      <c r="D8689" s="71"/>
      <c r="E8689" s="68" t="s">
        <v>34148</v>
      </c>
      <c r="F8689" s="76">
        <v>41877.0</v>
      </c>
      <c r="G8689" s="68" t="s">
        <v>33521</v>
      </c>
      <c r="H8689" s="71"/>
      <c r="I8689" s="71"/>
      <c r="J8689" s="100" t="s">
        <v>34149</v>
      </c>
      <c r="K8689" s="101"/>
      <c r="L8689" s="68" t="s">
        <v>32774</v>
      </c>
      <c r="M8689" s="68" t="s">
        <v>27</v>
      </c>
      <c r="N8689" s="71"/>
      <c r="O8689" s="130"/>
    </row>
    <row r="8690">
      <c r="A8690" s="298"/>
      <c r="B8690" s="299"/>
      <c r="C8690" s="69" t="s">
        <v>34150</v>
      </c>
      <c r="D8690" s="299"/>
      <c r="E8690" s="68" t="s">
        <v>34151</v>
      </c>
      <c r="F8690" s="76">
        <v>41512.0</v>
      </c>
      <c r="G8690" s="68" t="s">
        <v>33521</v>
      </c>
      <c r="H8690" s="299"/>
      <c r="I8690" s="299"/>
      <c r="J8690" s="100" t="s">
        <v>34152</v>
      </c>
      <c r="K8690" s="298"/>
      <c r="L8690" s="68" t="s">
        <v>32774</v>
      </c>
      <c r="M8690" s="68" t="s">
        <v>27</v>
      </c>
      <c r="N8690" s="299"/>
      <c r="O8690" s="130"/>
    </row>
    <row r="8691">
      <c r="A8691" s="298"/>
      <c r="B8691" s="299"/>
      <c r="C8691" s="69" t="s">
        <v>34153</v>
      </c>
      <c r="D8691" s="299"/>
      <c r="E8691" s="68" t="s">
        <v>34154</v>
      </c>
      <c r="F8691" s="76">
        <v>42242.0</v>
      </c>
      <c r="G8691" s="68" t="s">
        <v>33521</v>
      </c>
      <c r="H8691" s="299"/>
      <c r="I8691" s="299"/>
      <c r="J8691" s="100" t="s">
        <v>34155</v>
      </c>
      <c r="K8691" s="298"/>
      <c r="L8691" s="68" t="s">
        <v>32774</v>
      </c>
      <c r="M8691" s="68" t="s">
        <v>27</v>
      </c>
      <c r="N8691" s="299"/>
      <c r="O8691" s="130"/>
    </row>
    <row r="8692">
      <c r="A8692" s="298"/>
      <c r="B8692" s="299"/>
      <c r="C8692" s="69" t="s">
        <v>34156</v>
      </c>
      <c r="D8692" s="299"/>
      <c r="E8692" s="68" t="s">
        <v>34157</v>
      </c>
      <c r="F8692" s="76">
        <v>41147.0</v>
      </c>
      <c r="G8692" s="68" t="s">
        <v>33521</v>
      </c>
      <c r="H8692" s="299"/>
      <c r="I8692" s="299"/>
      <c r="J8692" s="100" t="s">
        <v>34158</v>
      </c>
      <c r="K8692" s="298"/>
      <c r="L8692" s="68" t="s">
        <v>32774</v>
      </c>
      <c r="M8692" s="68" t="s">
        <v>27</v>
      </c>
      <c r="N8692" s="299"/>
      <c r="O8692" s="130"/>
    </row>
    <row r="8693">
      <c r="A8693" s="298"/>
      <c r="B8693" s="299"/>
      <c r="C8693" s="69" t="s">
        <v>34159</v>
      </c>
      <c r="D8693" s="299"/>
      <c r="E8693" s="68" t="s">
        <v>34160</v>
      </c>
      <c r="F8693" s="76">
        <v>37730.0</v>
      </c>
      <c r="G8693" s="68" t="s">
        <v>33977</v>
      </c>
      <c r="H8693" s="299"/>
      <c r="I8693" s="299"/>
      <c r="J8693" s="100" t="s">
        <v>34161</v>
      </c>
      <c r="K8693" s="298"/>
      <c r="L8693" s="68" t="s">
        <v>32774</v>
      </c>
      <c r="M8693" s="68" t="s">
        <v>27</v>
      </c>
      <c r="N8693" s="299"/>
      <c r="O8693" s="130"/>
    </row>
    <row r="8694">
      <c r="A8694" s="298"/>
      <c r="B8694" s="299"/>
      <c r="C8694" s="69" t="s">
        <v>34162</v>
      </c>
      <c r="D8694" s="299"/>
      <c r="E8694" s="68" t="s">
        <v>34163</v>
      </c>
      <c r="F8694" s="76">
        <v>37730.0</v>
      </c>
      <c r="G8694" s="68" t="s">
        <v>33977</v>
      </c>
      <c r="H8694" s="299"/>
      <c r="I8694" s="299"/>
      <c r="J8694" s="100" t="s">
        <v>34161</v>
      </c>
      <c r="K8694" s="298"/>
      <c r="L8694" s="68" t="s">
        <v>32774</v>
      </c>
      <c r="M8694" s="68" t="s">
        <v>27</v>
      </c>
      <c r="N8694" s="299"/>
      <c r="O8694" s="130"/>
    </row>
    <row r="8695">
      <c r="A8695" s="300"/>
      <c r="B8695" s="301"/>
      <c r="C8695" s="79" t="s">
        <v>34164</v>
      </c>
      <c r="D8695" s="82"/>
      <c r="E8695" s="80" t="s">
        <v>34165</v>
      </c>
      <c r="F8695" s="81">
        <v>43564.0</v>
      </c>
      <c r="G8695" s="80" t="s">
        <v>34166</v>
      </c>
      <c r="H8695" s="80" t="s">
        <v>34167</v>
      </c>
      <c r="I8695" s="82"/>
      <c r="J8695" s="80" t="s">
        <v>136</v>
      </c>
      <c r="K8695" s="81">
        <v>44723.0</v>
      </c>
      <c r="L8695" s="80" t="s">
        <v>2743</v>
      </c>
      <c r="M8695" s="80" t="s">
        <v>530</v>
      </c>
      <c r="N8695" s="301"/>
      <c r="O8695" s="51"/>
    </row>
    <row r="8696">
      <c r="A8696" s="300"/>
      <c r="B8696" s="301"/>
      <c r="C8696" s="79" t="s">
        <v>34168</v>
      </c>
      <c r="D8696" s="82"/>
      <c r="E8696" s="80" t="s">
        <v>34169</v>
      </c>
      <c r="F8696" s="81">
        <v>44715.0</v>
      </c>
      <c r="G8696" s="80" t="s">
        <v>34170</v>
      </c>
      <c r="H8696" s="80" t="s">
        <v>34171</v>
      </c>
      <c r="I8696" s="82"/>
      <c r="J8696" s="80" t="s">
        <v>136</v>
      </c>
      <c r="K8696" s="81">
        <v>44723.0</v>
      </c>
      <c r="L8696" s="80" t="s">
        <v>2743</v>
      </c>
      <c r="M8696" s="80" t="s">
        <v>31</v>
      </c>
      <c r="N8696" s="301"/>
      <c r="O8696" s="51"/>
    </row>
    <row r="8697">
      <c r="A8697" s="300"/>
      <c r="B8697" s="301"/>
      <c r="C8697" s="79" t="s">
        <v>34172</v>
      </c>
      <c r="D8697" s="82"/>
      <c r="E8697" s="80" t="s">
        <v>34173</v>
      </c>
      <c r="F8697" s="81">
        <v>44637.0</v>
      </c>
      <c r="G8697" s="80" t="s">
        <v>34174</v>
      </c>
      <c r="H8697" s="80" t="s">
        <v>34175</v>
      </c>
      <c r="I8697" s="82"/>
      <c r="J8697" s="80" t="s">
        <v>136</v>
      </c>
      <c r="K8697" s="81">
        <v>44723.0</v>
      </c>
      <c r="L8697" s="80" t="s">
        <v>2743</v>
      </c>
      <c r="M8697" s="80" t="s">
        <v>542</v>
      </c>
      <c r="N8697" s="301"/>
      <c r="O8697" s="51"/>
    </row>
    <row r="8698">
      <c r="A8698" s="300"/>
      <c r="B8698" s="301"/>
      <c r="C8698" s="79" t="s">
        <v>34176</v>
      </c>
      <c r="D8698" s="82"/>
      <c r="E8698" s="80" t="s">
        <v>34177</v>
      </c>
      <c r="F8698" s="81">
        <v>43927.0</v>
      </c>
      <c r="G8698" s="80" t="s">
        <v>34178</v>
      </c>
      <c r="H8698" s="80" t="s">
        <v>34179</v>
      </c>
      <c r="I8698" s="82"/>
      <c r="J8698" s="80" t="s">
        <v>136</v>
      </c>
      <c r="K8698" s="81">
        <v>44725.0</v>
      </c>
      <c r="L8698" s="80" t="s">
        <v>2743</v>
      </c>
      <c r="M8698" s="80" t="s">
        <v>31</v>
      </c>
      <c r="N8698" s="301"/>
      <c r="O8698" s="51"/>
    </row>
    <row r="8699">
      <c r="A8699" s="300"/>
      <c r="B8699" s="301"/>
      <c r="C8699" s="79" t="s">
        <v>34180</v>
      </c>
      <c r="D8699" s="82"/>
      <c r="E8699" s="80" t="s">
        <v>34181</v>
      </c>
      <c r="F8699" s="81">
        <v>40981.0</v>
      </c>
      <c r="G8699" s="80" t="s">
        <v>34182</v>
      </c>
      <c r="H8699" s="80" t="s">
        <v>34183</v>
      </c>
      <c r="I8699" s="82"/>
      <c r="J8699" s="80" t="s">
        <v>136</v>
      </c>
      <c r="K8699" s="81">
        <v>44725.0</v>
      </c>
      <c r="L8699" s="80" t="s">
        <v>2743</v>
      </c>
      <c r="M8699" s="80" t="s">
        <v>125</v>
      </c>
      <c r="N8699" s="301"/>
      <c r="O8699" s="51"/>
    </row>
    <row r="8700">
      <c r="A8700" s="300"/>
      <c r="B8700" s="301"/>
      <c r="C8700" s="79" t="s">
        <v>34184</v>
      </c>
      <c r="D8700" s="82"/>
      <c r="E8700" s="80" t="s">
        <v>34185</v>
      </c>
      <c r="F8700" s="98">
        <v>44540.0</v>
      </c>
      <c r="G8700" s="80" t="s">
        <v>34186</v>
      </c>
      <c r="H8700" s="80" t="s">
        <v>34187</v>
      </c>
      <c r="I8700" s="82"/>
      <c r="J8700" s="80" t="s">
        <v>136</v>
      </c>
      <c r="K8700" s="81">
        <v>44727.0</v>
      </c>
      <c r="L8700" s="80" t="s">
        <v>2743</v>
      </c>
      <c r="M8700" s="80" t="s">
        <v>166</v>
      </c>
      <c r="N8700" s="301"/>
      <c r="O8700" s="51"/>
    </row>
    <row r="8701">
      <c r="A8701" s="300"/>
      <c r="B8701" s="301"/>
      <c r="C8701" s="79" t="s">
        <v>34188</v>
      </c>
      <c r="D8701" s="82"/>
      <c r="E8701" s="80" t="s">
        <v>34189</v>
      </c>
      <c r="F8701" s="81">
        <v>44720.0</v>
      </c>
      <c r="G8701" s="80" t="s">
        <v>34190</v>
      </c>
      <c r="H8701" s="80" t="s">
        <v>34191</v>
      </c>
      <c r="I8701" s="82"/>
      <c r="J8701" s="80" t="s">
        <v>136</v>
      </c>
      <c r="K8701" s="81">
        <v>44727.0</v>
      </c>
      <c r="L8701" s="80" t="s">
        <v>2743</v>
      </c>
      <c r="M8701" s="80" t="s">
        <v>143</v>
      </c>
      <c r="N8701" s="301"/>
      <c r="O8701" s="51"/>
    </row>
    <row r="8702">
      <c r="A8702" s="300"/>
      <c r="B8702" s="301"/>
      <c r="C8702" s="269"/>
      <c r="D8702" s="82"/>
      <c r="E8702" s="82"/>
      <c r="F8702" s="82"/>
      <c r="G8702" s="82"/>
      <c r="H8702" s="82"/>
      <c r="I8702" s="82"/>
      <c r="J8702" s="82"/>
      <c r="K8702" s="82"/>
      <c r="L8702" s="82"/>
      <c r="M8702" s="82"/>
      <c r="N8702" s="301"/>
      <c r="O8702" s="51"/>
    </row>
    <row r="8703">
      <c r="A8703" s="300"/>
      <c r="B8703" s="301"/>
      <c r="C8703" s="269"/>
      <c r="D8703" s="82"/>
      <c r="E8703" s="82"/>
      <c r="F8703" s="82"/>
      <c r="G8703" s="82"/>
      <c r="H8703" s="82"/>
      <c r="I8703" s="82"/>
      <c r="J8703" s="82"/>
      <c r="K8703" s="82"/>
      <c r="L8703" s="82"/>
      <c r="M8703" s="82"/>
      <c r="N8703" s="301"/>
      <c r="O8703" s="51"/>
    </row>
    <row r="8704">
      <c r="A8704" s="300"/>
      <c r="B8704" s="301"/>
      <c r="C8704" s="269"/>
      <c r="D8704" s="82"/>
      <c r="E8704" s="82"/>
      <c r="F8704" s="82"/>
      <c r="G8704" s="82"/>
      <c r="H8704" s="82"/>
      <c r="I8704" s="82"/>
      <c r="J8704" s="82"/>
      <c r="K8704" s="82"/>
      <c r="L8704" s="82"/>
      <c r="M8704" s="82"/>
      <c r="N8704" s="301"/>
      <c r="O8704" s="51"/>
    </row>
    <row r="8705">
      <c r="A8705" s="300"/>
      <c r="B8705" s="301"/>
      <c r="C8705" s="269"/>
      <c r="D8705" s="82"/>
      <c r="E8705" s="82"/>
      <c r="F8705" s="82"/>
      <c r="G8705" s="82"/>
      <c r="H8705" s="82"/>
      <c r="I8705" s="82"/>
      <c r="J8705" s="82"/>
      <c r="K8705" s="82"/>
      <c r="L8705" s="82"/>
      <c r="M8705" s="82"/>
      <c r="N8705" s="301"/>
      <c r="O8705" s="51"/>
    </row>
    <row r="8706">
      <c r="A8706" s="300"/>
      <c r="B8706" s="301"/>
      <c r="C8706" s="269"/>
      <c r="D8706" s="82"/>
      <c r="E8706" s="82"/>
      <c r="F8706" s="82"/>
      <c r="G8706" s="82"/>
      <c r="H8706" s="82"/>
      <c r="I8706" s="82"/>
      <c r="J8706" s="82"/>
      <c r="K8706" s="82"/>
      <c r="L8706" s="82"/>
      <c r="M8706" s="82"/>
      <c r="N8706" s="301"/>
      <c r="O8706" s="51"/>
    </row>
    <row r="8707">
      <c r="A8707" s="300"/>
      <c r="B8707" s="301"/>
      <c r="C8707" s="269"/>
      <c r="D8707" s="82"/>
      <c r="E8707" s="82"/>
      <c r="F8707" s="82"/>
      <c r="G8707" s="82"/>
      <c r="H8707" s="82"/>
      <c r="I8707" s="82"/>
      <c r="J8707" s="82"/>
      <c r="K8707" s="82"/>
      <c r="L8707" s="82"/>
      <c r="M8707" s="82"/>
      <c r="N8707" s="301"/>
      <c r="O8707" s="51"/>
    </row>
    <row r="8708">
      <c r="A8708" s="300"/>
      <c r="B8708" s="301"/>
      <c r="C8708" s="269"/>
      <c r="D8708" s="82"/>
      <c r="E8708" s="82"/>
      <c r="F8708" s="82"/>
      <c r="G8708" s="82"/>
      <c r="H8708" s="82"/>
      <c r="I8708" s="82"/>
      <c r="J8708" s="82"/>
      <c r="K8708" s="82"/>
      <c r="L8708" s="82"/>
      <c r="M8708" s="82"/>
      <c r="N8708" s="301"/>
      <c r="O8708" s="51"/>
    </row>
    <row r="8709">
      <c r="A8709" s="300"/>
      <c r="B8709" s="301"/>
      <c r="C8709" s="269"/>
      <c r="D8709" s="82"/>
      <c r="E8709" s="82"/>
      <c r="F8709" s="82"/>
      <c r="G8709" s="82"/>
      <c r="H8709" s="82"/>
      <c r="I8709" s="82"/>
      <c r="J8709" s="82"/>
      <c r="K8709" s="82"/>
      <c r="L8709" s="82"/>
      <c r="M8709" s="82"/>
      <c r="N8709" s="301"/>
      <c r="O8709" s="51"/>
    </row>
    <row r="8710">
      <c r="A8710" s="300"/>
      <c r="B8710" s="301"/>
      <c r="C8710" s="269"/>
      <c r="D8710" s="82"/>
      <c r="E8710" s="82"/>
      <c r="F8710" s="82"/>
      <c r="G8710" s="82"/>
      <c r="H8710" s="82"/>
      <c r="I8710" s="82"/>
      <c r="J8710" s="82"/>
      <c r="K8710" s="82"/>
      <c r="L8710" s="82"/>
      <c r="M8710" s="82"/>
      <c r="N8710" s="301"/>
      <c r="O8710" s="51"/>
    </row>
    <row r="8711">
      <c r="A8711" s="300"/>
      <c r="B8711" s="301"/>
      <c r="C8711" s="269"/>
      <c r="D8711" s="82"/>
      <c r="E8711" s="82"/>
      <c r="F8711" s="82"/>
      <c r="G8711" s="82"/>
      <c r="H8711" s="82"/>
      <c r="I8711" s="82"/>
      <c r="J8711" s="82"/>
      <c r="K8711" s="82"/>
      <c r="L8711" s="82"/>
      <c r="M8711" s="82"/>
      <c r="N8711" s="301"/>
      <c r="O8711" s="51"/>
    </row>
    <row r="8712">
      <c r="A8712" s="300"/>
      <c r="B8712" s="301"/>
      <c r="C8712" s="269"/>
      <c r="D8712" s="82"/>
      <c r="E8712" s="82"/>
      <c r="F8712" s="82"/>
      <c r="G8712" s="82"/>
      <c r="H8712" s="82"/>
      <c r="I8712" s="82"/>
      <c r="J8712" s="82"/>
      <c r="K8712" s="82"/>
      <c r="L8712" s="82"/>
      <c r="M8712" s="82"/>
      <c r="N8712" s="301"/>
      <c r="O8712" s="51"/>
    </row>
  </sheetData>
  <mergeCells count="2">
    <mergeCell ref="A1:N1"/>
    <mergeCell ref="A2:N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hidden="1" min="1" max="2" width="12.63"/>
    <col customWidth="1" min="3" max="3" width="9.5"/>
    <col hidden="1" min="4" max="4" width="12.63"/>
    <col customWidth="1" hidden="1" min="5" max="5" width="11.5"/>
    <col customWidth="1" min="6" max="6" width="11.0"/>
    <col hidden="1" min="7" max="7" width="12.63"/>
    <col customWidth="1" min="8" max="8" width="25.75"/>
    <col customWidth="1" hidden="1" min="9" max="11" width="22.38"/>
    <col customWidth="1" min="12" max="12" width="12.25"/>
    <col customWidth="1" hidden="1" min="13" max="13" width="27.75"/>
    <col customWidth="1" hidden="1" min="14" max="14" width="16.75"/>
    <col customWidth="1" hidden="1" min="15" max="15" width="16.13"/>
    <col customWidth="1" min="16" max="16" width="51.5"/>
    <col hidden="1" min="17" max="18" width="12.63"/>
    <col customWidth="1" min="19" max="19" width="18.5"/>
    <col customWidth="1" min="20" max="20" width="33.5"/>
    <col hidden="1" min="21" max="22" width="12.63"/>
  </cols>
  <sheetData>
    <row r="1">
      <c r="A1" s="302" t="s">
        <v>106</v>
      </c>
      <c r="B1" s="302" t="s">
        <v>107</v>
      </c>
      <c r="C1" s="302" t="s">
        <v>108</v>
      </c>
      <c r="D1" s="303" t="s">
        <v>34192</v>
      </c>
      <c r="E1" s="303" t="s">
        <v>34193</v>
      </c>
      <c r="F1" s="304" t="s">
        <v>21</v>
      </c>
      <c r="G1" s="302" t="s">
        <v>109</v>
      </c>
      <c r="H1" s="302" t="s">
        <v>110</v>
      </c>
      <c r="I1" s="305" t="s">
        <v>111</v>
      </c>
      <c r="J1" s="303" t="s">
        <v>34194</v>
      </c>
      <c r="K1" s="303" t="s">
        <v>34195</v>
      </c>
      <c r="L1" s="306" t="s">
        <v>18</v>
      </c>
      <c r="M1" s="302" t="s">
        <v>112</v>
      </c>
      <c r="N1" s="302" t="s">
        <v>113</v>
      </c>
      <c r="O1" s="302" t="s">
        <v>114</v>
      </c>
      <c r="P1" s="302" t="s">
        <v>115</v>
      </c>
      <c r="Q1" s="302" t="s">
        <v>116</v>
      </c>
      <c r="R1" s="302" t="s">
        <v>117</v>
      </c>
      <c r="S1" s="306" t="s">
        <v>47</v>
      </c>
      <c r="T1" s="306" t="s">
        <v>34196</v>
      </c>
      <c r="U1" s="302" t="s">
        <v>118</v>
      </c>
      <c r="V1" s="307" t="s">
        <v>34197</v>
      </c>
    </row>
    <row r="2">
      <c r="A2" s="308">
        <v>1.0</v>
      </c>
      <c r="B2" s="308" t="s">
        <v>34198</v>
      </c>
      <c r="C2" s="308" t="s">
        <v>119</v>
      </c>
      <c r="D2" s="308">
        <f>IFERROR(__xludf.DUMMYFUNCTION("SPLIT(C2,""-"")"),1.0)</f>
        <v>1</v>
      </c>
      <c r="E2" s="308" t="str">
        <f>IFERROR(__xludf.DUMMYFUNCTION("""COMPUTED_VALUE"""),"K")</f>
        <v>K</v>
      </c>
      <c r="F2" s="309" t="s">
        <v>34</v>
      </c>
      <c r="G2" s="308" t="s">
        <v>120</v>
      </c>
      <c r="H2" s="308" t="s">
        <v>34199</v>
      </c>
      <c r="I2" s="310">
        <v>37257.0</v>
      </c>
      <c r="J2" s="308">
        <f>IFERROR(__xludf.DUMMYFUNCTION("SPLIT(I2,""/"")"),1.0)</f>
        <v>1</v>
      </c>
      <c r="K2" s="308">
        <f>IFERROR(__xludf.DUMMYFUNCTION("""COMPUTED_VALUE"""),1.0)</f>
        <v>1</v>
      </c>
      <c r="L2" s="308">
        <f>IFERROR(__xludf.DUMMYFUNCTION("""COMPUTED_VALUE"""),2002.0)</f>
        <v>2002</v>
      </c>
      <c r="M2" s="308" t="s">
        <v>122</v>
      </c>
      <c r="N2" s="308"/>
      <c r="O2" s="308" t="s">
        <v>34200</v>
      </c>
      <c r="P2" s="308" t="s">
        <v>124</v>
      </c>
      <c r="Q2" s="308"/>
      <c r="R2" s="308"/>
      <c r="S2" s="311" t="s">
        <v>81</v>
      </c>
      <c r="T2" s="311" t="s">
        <v>34201</v>
      </c>
      <c r="U2" s="308" t="s">
        <v>125</v>
      </c>
      <c r="V2" s="312"/>
    </row>
    <row r="3">
      <c r="A3" s="308">
        <v>2.0</v>
      </c>
      <c r="B3" s="308" t="s">
        <v>34202</v>
      </c>
      <c r="C3" s="308" t="s">
        <v>126</v>
      </c>
      <c r="D3" s="308">
        <f>IFERROR(__xludf.DUMMYFUNCTION("SPLIT(C3,""-"")"),2.0)</f>
        <v>2</v>
      </c>
      <c r="E3" s="308" t="str">
        <f>IFERROR(__xludf.DUMMYFUNCTION("""COMPUTED_VALUE"""),"B")</f>
        <v>B</v>
      </c>
      <c r="F3" s="313" t="s">
        <v>26</v>
      </c>
      <c r="G3" s="308" t="s">
        <v>127</v>
      </c>
      <c r="H3" s="308" t="s">
        <v>128</v>
      </c>
      <c r="I3" s="314">
        <v>37182.0</v>
      </c>
      <c r="J3" s="308">
        <f>IFERROR(__xludf.DUMMYFUNCTION("SPLIT(I3,""/"")"),18.0)</f>
        <v>18</v>
      </c>
      <c r="K3" s="308">
        <f>IFERROR(__xludf.DUMMYFUNCTION("""COMPUTED_VALUE"""),10.0)</f>
        <v>10</v>
      </c>
      <c r="L3" s="308">
        <f>IFERROR(__xludf.DUMMYFUNCTION("""COMPUTED_VALUE"""),2001.0)</f>
        <v>2001</v>
      </c>
      <c r="M3" s="308" t="s">
        <v>129</v>
      </c>
      <c r="N3" s="308"/>
      <c r="O3" s="308" t="s">
        <v>34203</v>
      </c>
      <c r="P3" s="308" t="s">
        <v>34204</v>
      </c>
      <c r="Q3" s="308"/>
      <c r="R3" s="308"/>
      <c r="S3" s="311" t="s">
        <v>100</v>
      </c>
      <c r="T3" s="311" t="s">
        <v>102</v>
      </c>
      <c r="U3" s="308" t="s">
        <v>27</v>
      </c>
      <c r="V3" s="312"/>
    </row>
    <row r="4">
      <c r="A4" s="308">
        <v>3.0</v>
      </c>
      <c r="B4" s="308" t="s">
        <v>34205</v>
      </c>
      <c r="C4" s="308" t="s">
        <v>132</v>
      </c>
      <c r="D4" s="308">
        <f>IFERROR(__xludf.DUMMYFUNCTION("SPLIT(C4,""-"")"),3.0)</f>
        <v>3</v>
      </c>
      <c r="E4" s="308" t="str">
        <f>IFERROR(__xludf.DUMMYFUNCTION("""COMPUTED_VALUE"""),"K")</f>
        <v>K</v>
      </c>
      <c r="F4" s="309" t="s">
        <v>34</v>
      </c>
      <c r="G4" s="308" t="s">
        <v>120</v>
      </c>
      <c r="H4" s="308" t="s">
        <v>133</v>
      </c>
      <c r="I4" s="310">
        <v>38162.0</v>
      </c>
      <c r="J4" s="308">
        <f>IFERROR(__xludf.DUMMYFUNCTION("SPLIT(I4,""/"")"),24.0)</f>
        <v>24</v>
      </c>
      <c r="K4" s="308">
        <f>IFERROR(__xludf.DUMMYFUNCTION("""COMPUTED_VALUE"""),6.0)</f>
        <v>6</v>
      </c>
      <c r="L4" s="308">
        <f>IFERROR(__xludf.DUMMYFUNCTION("""COMPUTED_VALUE"""),2004.0)</f>
        <v>2004</v>
      </c>
      <c r="M4" s="308" t="s">
        <v>34206</v>
      </c>
      <c r="N4" s="308"/>
      <c r="O4" s="308" t="s">
        <v>34207</v>
      </c>
      <c r="P4" s="308" t="s">
        <v>136</v>
      </c>
      <c r="Q4" s="308"/>
      <c r="R4" s="308"/>
      <c r="S4" s="309" t="s">
        <v>100</v>
      </c>
      <c r="T4" s="311" t="s">
        <v>34208</v>
      </c>
      <c r="U4" s="312" t="s">
        <v>125</v>
      </c>
      <c r="V4" s="308" t="s">
        <v>137</v>
      </c>
    </row>
    <row r="5">
      <c r="A5" s="308">
        <v>4.0</v>
      </c>
      <c r="B5" s="308" t="s">
        <v>34209</v>
      </c>
      <c r="C5" s="308" t="s">
        <v>138</v>
      </c>
      <c r="D5" s="308">
        <f>IFERROR(__xludf.DUMMYFUNCTION("SPLIT(C5,""-"")"),4.0)</f>
        <v>4</v>
      </c>
      <c r="E5" s="308" t="str">
        <f>IFERROR(__xludf.DUMMYFUNCTION("""COMPUTED_VALUE"""),"P")</f>
        <v>P</v>
      </c>
      <c r="F5" s="312" t="s">
        <v>37</v>
      </c>
      <c r="G5" s="308" t="s">
        <v>139</v>
      </c>
      <c r="H5" s="308" t="s">
        <v>34210</v>
      </c>
      <c r="I5" s="310">
        <v>38611.0</v>
      </c>
      <c r="J5" s="308">
        <f>IFERROR(__xludf.DUMMYFUNCTION("SPLIT(I5,""/"")"),16.0)</f>
        <v>16</v>
      </c>
      <c r="K5" s="308">
        <f>IFERROR(__xludf.DUMMYFUNCTION("""COMPUTED_VALUE"""),9.0)</f>
        <v>9</v>
      </c>
      <c r="L5" s="308">
        <f>IFERROR(__xludf.DUMMYFUNCTION("""COMPUTED_VALUE"""),2005.0)</f>
        <v>2005</v>
      </c>
      <c r="M5" s="308" t="s">
        <v>141</v>
      </c>
      <c r="N5" s="308"/>
      <c r="O5" s="308" t="s">
        <v>34211</v>
      </c>
      <c r="P5" s="308" t="s">
        <v>34212</v>
      </c>
      <c r="Q5" s="308"/>
      <c r="R5" s="308"/>
      <c r="S5" s="315" t="s">
        <v>100</v>
      </c>
      <c r="T5" s="311" t="s">
        <v>34208</v>
      </c>
      <c r="U5" s="308" t="s">
        <v>143</v>
      </c>
      <c r="V5" s="312"/>
    </row>
    <row r="6">
      <c r="A6" s="308">
        <v>5.0</v>
      </c>
      <c r="B6" s="308" t="s">
        <v>34213</v>
      </c>
      <c r="C6" s="308" t="s">
        <v>144</v>
      </c>
      <c r="D6" s="308">
        <f>IFERROR(__xludf.DUMMYFUNCTION("SPLIT(C6,""-"")"),5.0)</f>
        <v>5</v>
      </c>
      <c r="E6" s="308" t="str">
        <f>IFERROR(__xludf.DUMMYFUNCTION("""COMPUTED_VALUE"""),"P")</f>
        <v>P</v>
      </c>
      <c r="F6" s="312" t="s">
        <v>37</v>
      </c>
      <c r="G6" s="308" t="s">
        <v>120</v>
      </c>
      <c r="H6" s="308" t="s">
        <v>145</v>
      </c>
      <c r="I6" s="310">
        <v>38563.0</v>
      </c>
      <c r="J6" s="308">
        <f>IFERROR(__xludf.DUMMYFUNCTION("SPLIT(I6,""/"")"),30.0)</f>
        <v>30</v>
      </c>
      <c r="K6" s="308">
        <f>IFERROR(__xludf.DUMMYFUNCTION("""COMPUTED_VALUE"""),7.0)</f>
        <v>7</v>
      </c>
      <c r="L6" s="308">
        <f>IFERROR(__xludf.DUMMYFUNCTION("""COMPUTED_VALUE"""),2005.0)</f>
        <v>2005</v>
      </c>
      <c r="M6" s="308" t="s">
        <v>146</v>
      </c>
      <c r="N6" s="308"/>
      <c r="O6" s="308" t="s">
        <v>147</v>
      </c>
      <c r="P6" s="308" t="s">
        <v>148</v>
      </c>
      <c r="Q6" s="308"/>
      <c r="R6" s="308"/>
      <c r="S6" s="311" t="s">
        <v>49</v>
      </c>
      <c r="T6" s="311" t="s">
        <v>51</v>
      </c>
      <c r="U6" s="308" t="s">
        <v>149</v>
      </c>
      <c r="V6" s="312"/>
    </row>
    <row r="7">
      <c r="A7" s="308">
        <v>6.0</v>
      </c>
      <c r="B7" s="308" t="s">
        <v>34214</v>
      </c>
      <c r="C7" s="308" t="s">
        <v>150</v>
      </c>
      <c r="D7" s="308">
        <f>IFERROR(__xludf.DUMMYFUNCTION("SPLIT(C7,""-"")"),6.0)</f>
        <v>6</v>
      </c>
      <c r="E7" s="308" t="str">
        <f>IFERROR(__xludf.DUMMYFUNCTION("""COMPUTED_VALUE"""),"K")</f>
        <v>K</v>
      </c>
      <c r="F7" s="309" t="s">
        <v>34</v>
      </c>
      <c r="G7" s="308" t="s">
        <v>151</v>
      </c>
      <c r="H7" s="308" t="s">
        <v>152</v>
      </c>
      <c r="I7" s="310">
        <v>38959.0</v>
      </c>
      <c r="J7" s="308">
        <f>IFERROR(__xludf.DUMMYFUNCTION("SPLIT(I7,""/"")"),30.0)</f>
        <v>30</v>
      </c>
      <c r="K7" s="308">
        <f>IFERROR(__xludf.DUMMYFUNCTION("""COMPUTED_VALUE"""),8.0)</f>
        <v>8</v>
      </c>
      <c r="L7" s="308">
        <f>IFERROR(__xludf.DUMMYFUNCTION("""COMPUTED_VALUE"""),2006.0)</f>
        <v>2006</v>
      </c>
      <c r="M7" s="308" t="s">
        <v>153</v>
      </c>
      <c r="N7" s="308"/>
      <c r="O7" s="308" t="s">
        <v>154</v>
      </c>
      <c r="P7" s="308" t="s">
        <v>155</v>
      </c>
      <c r="Q7" s="308"/>
      <c r="R7" s="308"/>
      <c r="S7" s="308" t="s">
        <v>49</v>
      </c>
      <c r="T7" s="308" t="s">
        <v>51</v>
      </c>
      <c r="U7" s="308" t="s">
        <v>156</v>
      </c>
      <c r="V7" s="312"/>
    </row>
    <row r="8">
      <c r="A8" s="308">
        <v>7.0</v>
      </c>
      <c r="B8" s="308" t="s">
        <v>34215</v>
      </c>
      <c r="C8" s="308" t="s">
        <v>157</v>
      </c>
      <c r="D8" s="308">
        <f>IFERROR(__xludf.DUMMYFUNCTION("SPLIT(C8,""-"")"),7.0)</f>
        <v>7</v>
      </c>
      <c r="E8" s="308" t="str">
        <f>IFERROR(__xludf.DUMMYFUNCTION("""COMPUTED_VALUE"""),"B")</f>
        <v>B</v>
      </c>
      <c r="F8" s="315" t="s">
        <v>26</v>
      </c>
      <c r="G8" s="308" t="s">
        <v>120</v>
      </c>
      <c r="H8" s="308" t="s">
        <v>158</v>
      </c>
      <c r="I8" s="310">
        <v>37717.0</v>
      </c>
      <c r="J8" s="308">
        <f>IFERROR(__xludf.DUMMYFUNCTION("SPLIT(I8,""/"")"),6.0)</f>
        <v>6</v>
      </c>
      <c r="K8" s="308">
        <f>IFERROR(__xludf.DUMMYFUNCTION("""COMPUTED_VALUE"""),4.0)</f>
        <v>4</v>
      </c>
      <c r="L8" s="308">
        <f>IFERROR(__xludf.DUMMYFUNCTION("""COMPUTED_VALUE"""),2003.0)</f>
        <v>2003</v>
      </c>
      <c r="M8" s="308" t="s">
        <v>159</v>
      </c>
      <c r="N8" s="308"/>
      <c r="O8" s="308" t="s">
        <v>34216</v>
      </c>
      <c r="P8" s="308" t="s">
        <v>160</v>
      </c>
      <c r="Q8" s="308"/>
      <c r="R8" s="308"/>
      <c r="S8" s="308" t="s">
        <v>49</v>
      </c>
      <c r="T8" s="311" t="s">
        <v>72</v>
      </c>
      <c r="U8" s="308" t="s">
        <v>27</v>
      </c>
      <c r="V8" s="312"/>
    </row>
    <row r="9">
      <c r="A9" s="308">
        <v>8.0</v>
      </c>
      <c r="B9" s="308" t="s">
        <v>34217</v>
      </c>
      <c r="C9" s="308" t="s">
        <v>161</v>
      </c>
      <c r="D9" s="308">
        <f>IFERROR(__xludf.DUMMYFUNCTION("SPLIT(C9,""-"")"),8.0)</f>
        <v>8</v>
      </c>
      <c r="E9" s="308" t="str">
        <f>IFERROR(__xludf.DUMMYFUNCTION("""COMPUTED_VALUE"""),"S")</f>
        <v>S</v>
      </c>
      <c r="F9" s="312" t="s">
        <v>39</v>
      </c>
      <c r="G9" s="308" t="s">
        <v>139</v>
      </c>
      <c r="H9" s="308" t="s">
        <v>162</v>
      </c>
      <c r="I9" s="310">
        <v>37995.0</v>
      </c>
      <c r="J9" s="308">
        <f>IFERROR(__xludf.DUMMYFUNCTION("SPLIT(I9,""/"")"),9.0)</f>
        <v>9</v>
      </c>
      <c r="K9" s="308">
        <f>IFERROR(__xludf.DUMMYFUNCTION("""COMPUTED_VALUE"""),1.0)</f>
        <v>1</v>
      </c>
      <c r="L9" s="308">
        <f>IFERROR(__xludf.DUMMYFUNCTION("""COMPUTED_VALUE"""),2004.0)</f>
        <v>2004</v>
      </c>
      <c r="M9" s="308" t="s">
        <v>34218</v>
      </c>
      <c r="N9" s="308"/>
      <c r="O9" s="308" t="s">
        <v>34219</v>
      </c>
      <c r="P9" s="308" t="s">
        <v>34220</v>
      </c>
      <c r="Q9" s="308"/>
      <c r="R9" s="308"/>
      <c r="S9" s="308" t="s">
        <v>49</v>
      </c>
      <c r="T9" s="311" t="s">
        <v>51</v>
      </c>
      <c r="U9" s="308" t="s">
        <v>166</v>
      </c>
      <c r="V9" s="312"/>
    </row>
    <row r="10">
      <c r="A10" s="308">
        <v>9.0</v>
      </c>
      <c r="B10" s="308" t="s">
        <v>34221</v>
      </c>
      <c r="C10" s="308" t="s">
        <v>167</v>
      </c>
      <c r="D10" s="308">
        <f>IFERROR(__xludf.DUMMYFUNCTION("SPLIT(C10,""-"")"),9.0)</f>
        <v>9</v>
      </c>
      <c r="E10" s="308" t="str">
        <f>IFERROR(__xludf.DUMMYFUNCTION("""COMPUTED_VALUE"""),"P")</f>
        <v>P</v>
      </c>
      <c r="F10" s="312" t="s">
        <v>37</v>
      </c>
      <c r="G10" s="308" t="s">
        <v>168</v>
      </c>
      <c r="H10" s="308" t="s">
        <v>169</v>
      </c>
      <c r="I10" s="310">
        <v>38611.0</v>
      </c>
      <c r="J10" s="308">
        <f>IFERROR(__xludf.DUMMYFUNCTION("SPLIT(I10,""/"")"),16.0)</f>
        <v>16</v>
      </c>
      <c r="K10" s="308">
        <f>IFERROR(__xludf.DUMMYFUNCTION("""COMPUTED_VALUE"""),9.0)</f>
        <v>9</v>
      </c>
      <c r="L10" s="308">
        <f>IFERROR(__xludf.DUMMYFUNCTION("""COMPUTED_VALUE"""),2005.0)</f>
        <v>2005</v>
      </c>
      <c r="M10" s="308" t="s">
        <v>170</v>
      </c>
      <c r="N10" s="308"/>
      <c r="O10" s="308" t="s">
        <v>171</v>
      </c>
      <c r="P10" s="308" t="s">
        <v>34212</v>
      </c>
      <c r="Q10" s="308"/>
      <c r="R10" s="308"/>
      <c r="S10" s="315" t="s">
        <v>100</v>
      </c>
      <c r="T10" s="311" t="s">
        <v>34208</v>
      </c>
      <c r="U10" s="308" t="s">
        <v>143</v>
      </c>
      <c r="V10" s="312"/>
    </row>
    <row r="11">
      <c r="A11" s="308">
        <v>10.0</v>
      </c>
      <c r="B11" s="308" t="s">
        <v>34222</v>
      </c>
      <c r="C11" s="308" t="s">
        <v>172</v>
      </c>
      <c r="D11" s="308">
        <f>IFERROR(__xludf.DUMMYFUNCTION("SPLIT(C11,""-"")"),10.0)</f>
        <v>10</v>
      </c>
      <c r="E11" s="308" t="str">
        <f>IFERROR(__xludf.DUMMYFUNCTION("""COMPUTED_VALUE"""),"P")</f>
        <v>P</v>
      </c>
      <c r="F11" s="312" t="s">
        <v>37</v>
      </c>
      <c r="G11" s="308" t="s">
        <v>173</v>
      </c>
      <c r="H11" s="308" t="s">
        <v>174</v>
      </c>
      <c r="I11" s="310">
        <v>38563.0</v>
      </c>
      <c r="J11" s="308">
        <f>IFERROR(__xludf.DUMMYFUNCTION("SPLIT(I11,""/"")"),30.0)</f>
        <v>30</v>
      </c>
      <c r="K11" s="308">
        <f>IFERROR(__xludf.DUMMYFUNCTION("""COMPUTED_VALUE"""),7.0)</f>
        <v>7</v>
      </c>
      <c r="L11" s="308">
        <f>IFERROR(__xludf.DUMMYFUNCTION("""COMPUTED_VALUE"""),2005.0)</f>
        <v>2005</v>
      </c>
      <c r="M11" s="308" t="s">
        <v>175</v>
      </c>
      <c r="N11" s="308"/>
      <c r="O11" s="308" t="s">
        <v>34223</v>
      </c>
      <c r="P11" s="308" t="s">
        <v>148</v>
      </c>
      <c r="Q11" s="308"/>
      <c r="R11" s="308"/>
      <c r="S11" s="308" t="s">
        <v>49</v>
      </c>
      <c r="T11" s="308" t="s">
        <v>51</v>
      </c>
      <c r="U11" s="308" t="s">
        <v>143</v>
      </c>
      <c r="V11" s="312"/>
    </row>
    <row r="12">
      <c r="A12" s="308">
        <v>11.0</v>
      </c>
      <c r="B12" s="308" t="s">
        <v>34224</v>
      </c>
      <c r="C12" s="308" t="s">
        <v>177</v>
      </c>
      <c r="D12" s="308">
        <f>IFERROR(__xludf.DUMMYFUNCTION("SPLIT(C12,""-"")"),11.0)</f>
        <v>11</v>
      </c>
      <c r="E12" s="308" t="str">
        <f>IFERROR(__xludf.DUMMYFUNCTION("""COMPUTED_VALUE"""),"P")</f>
        <v>P</v>
      </c>
      <c r="F12" s="312" t="s">
        <v>37</v>
      </c>
      <c r="G12" s="308" t="s">
        <v>178</v>
      </c>
      <c r="H12" s="308" t="s">
        <v>179</v>
      </c>
      <c r="I12" s="314">
        <v>38274.0</v>
      </c>
      <c r="J12" s="308">
        <f>IFERROR(__xludf.DUMMYFUNCTION("SPLIT(I12,""/"")"),14.0)</f>
        <v>14</v>
      </c>
      <c r="K12" s="308">
        <f>IFERROR(__xludf.DUMMYFUNCTION("""COMPUTED_VALUE"""),10.0)</f>
        <v>10</v>
      </c>
      <c r="L12" s="308">
        <f>IFERROR(__xludf.DUMMYFUNCTION("""COMPUTED_VALUE"""),2004.0)</f>
        <v>2004</v>
      </c>
      <c r="M12" s="308" t="s">
        <v>180</v>
      </c>
      <c r="N12" s="308"/>
      <c r="O12" s="308" t="s">
        <v>34225</v>
      </c>
      <c r="P12" s="308" t="s">
        <v>182</v>
      </c>
      <c r="Q12" s="308"/>
      <c r="R12" s="308"/>
      <c r="S12" s="308" t="s">
        <v>49</v>
      </c>
      <c r="T12" s="311" t="s">
        <v>77</v>
      </c>
      <c r="U12" s="308" t="s">
        <v>156</v>
      </c>
      <c r="V12" s="312"/>
    </row>
    <row r="13">
      <c r="A13" s="308">
        <v>12.0</v>
      </c>
      <c r="B13" s="308" t="s">
        <v>34226</v>
      </c>
      <c r="C13" s="308" t="s">
        <v>183</v>
      </c>
      <c r="D13" s="308">
        <f>IFERROR(__xludf.DUMMYFUNCTION("SPLIT(C13,""-"")"),12.0)</f>
        <v>12</v>
      </c>
      <c r="E13" s="308" t="str">
        <f>IFERROR(__xludf.DUMMYFUNCTION("""COMPUTED_VALUE"""),"K")</f>
        <v>K</v>
      </c>
      <c r="F13" s="309" t="s">
        <v>34</v>
      </c>
      <c r="G13" s="308" t="s">
        <v>168</v>
      </c>
      <c r="H13" s="308" t="s">
        <v>184</v>
      </c>
      <c r="I13" s="310">
        <v>38172.0</v>
      </c>
      <c r="J13" s="308">
        <f>IFERROR(__xludf.DUMMYFUNCTION("SPLIT(I13,""/"")"),4.0)</f>
        <v>4</v>
      </c>
      <c r="K13" s="308">
        <f>IFERROR(__xludf.DUMMYFUNCTION("""COMPUTED_VALUE"""),7.0)</f>
        <v>7</v>
      </c>
      <c r="L13" s="308">
        <f>IFERROR(__xludf.DUMMYFUNCTION("""COMPUTED_VALUE"""),2004.0)</f>
        <v>2004</v>
      </c>
      <c r="M13" s="308" t="s">
        <v>185</v>
      </c>
      <c r="N13" s="308"/>
      <c r="O13" s="308" t="s">
        <v>186</v>
      </c>
      <c r="P13" s="308" t="s">
        <v>34212</v>
      </c>
      <c r="Q13" s="308"/>
      <c r="R13" s="308"/>
      <c r="S13" s="315" t="s">
        <v>100</v>
      </c>
      <c r="T13" s="311" t="s">
        <v>34208</v>
      </c>
      <c r="U13" s="308" t="s">
        <v>125</v>
      </c>
      <c r="V13" s="312"/>
    </row>
    <row r="14">
      <c r="A14" s="308">
        <v>13.0</v>
      </c>
      <c r="B14" s="308" t="s">
        <v>34227</v>
      </c>
      <c r="C14" s="308" t="s">
        <v>187</v>
      </c>
      <c r="D14" s="308">
        <f>IFERROR(__xludf.DUMMYFUNCTION("SPLIT(C14,""-"")"),13.0)</f>
        <v>13</v>
      </c>
      <c r="E14" s="308" t="str">
        <f>IFERROR(__xludf.DUMMYFUNCTION("""COMPUTED_VALUE"""),"B")</f>
        <v>B</v>
      </c>
      <c r="F14" s="315" t="s">
        <v>26</v>
      </c>
      <c r="G14" s="308" t="s">
        <v>120</v>
      </c>
      <c r="H14" s="308" t="s">
        <v>188</v>
      </c>
      <c r="I14" s="310">
        <v>39155.0</v>
      </c>
      <c r="J14" s="308">
        <f>IFERROR(__xludf.DUMMYFUNCTION("SPLIT(I14,""/"")"),14.0)</f>
        <v>14</v>
      </c>
      <c r="K14" s="308">
        <f>IFERROR(__xludf.DUMMYFUNCTION("""COMPUTED_VALUE"""),3.0)</f>
        <v>3</v>
      </c>
      <c r="L14" s="308">
        <f>IFERROR(__xludf.DUMMYFUNCTION("""COMPUTED_VALUE"""),2007.0)</f>
        <v>2007</v>
      </c>
      <c r="M14" s="308" t="s">
        <v>189</v>
      </c>
      <c r="N14" s="308"/>
      <c r="O14" s="308" t="s">
        <v>190</v>
      </c>
      <c r="P14" s="308" t="s">
        <v>34212</v>
      </c>
      <c r="Q14" s="308"/>
      <c r="R14" s="308"/>
      <c r="S14" s="315" t="s">
        <v>100</v>
      </c>
      <c r="T14" s="311" t="s">
        <v>34208</v>
      </c>
      <c r="U14" s="308" t="s">
        <v>27</v>
      </c>
      <c r="V14" s="312"/>
    </row>
    <row r="15">
      <c r="A15" s="308">
        <v>14.0</v>
      </c>
      <c r="B15" s="308" t="s">
        <v>34228</v>
      </c>
      <c r="C15" s="308" t="s">
        <v>191</v>
      </c>
      <c r="D15" s="308">
        <f>IFERROR(__xludf.DUMMYFUNCTION("SPLIT(C15,""-"")"),14.0)</f>
        <v>14</v>
      </c>
      <c r="E15" s="308" t="str">
        <f>IFERROR(__xludf.DUMMYFUNCTION("""COMPUTED_VALUE"""),"F")</f>
        <v>F</v>
      </c>
      <c r="F15" s="309" t="s">
        <v>34</v>
      </c>
      <c r="G15" s="308" t="s">
        <v>120</v>
      </c>
      <c r="H15" s="308" t="s">
        <v>192</v>
      </c>
      <c r="I15" s="310">
        <v>39163.0</v>
      </c>
      <c r="J15" s="308">
        <f>IFERROR(__xludf.DUMMYFUNCTION("SPLIT(I15,""/"")"),22.0)</f>
        <v>22</v>
      </c>
      <c r="K15" s="308">
        <f>IFERROR(__xludf.DUMMYFUNCTION("""COMPUTED_VALUE"""),3.0)</f>
        <v>3</v>
      </c>
      <c r="L15" s="308">
        <f>IFERROR(__xludf.DUMMYFUNCTION("""COMPUTED_VALUE"""),2007.0)</f>
        <v>2007</v>
      </c>
      <c r="M15" s="308" t="s">
        <v>193</v>
      </c>
      <c r="N15" s="308"/>
      <c r="O15" s="308" t="s">
        <v>34216</v>
      </c>
      <c r="P15" s="308" t="s">
        <v>194</v>
      </c>
      <c r="Q15" s="308"/>
      <c r="R15" s="308"/>
      <c r="S15" s="308" t="s">
        <v>49</v>
      </c>
      <c r="T15" s="311" t="s">
        <v>67</v>
      </c>
      <c r="U15" s="308" t="s">
        <v>195</v>
      </c>
      <c r="V15" s="312"/>
    </row>
    <row r="16">
      <c r="A16" s="308">
        <v>15.0</v>
      </c>
      <c r="B16" s="308" t="s">
        <v>34229</v>
      </c>
      <c r="C16" s="308" t="s">
        <v>196</v>
      </c>
      <c r="D16" s="308">
        <f>IFERROR(__xludf.DUMMYFUNCTION("SPLIT(C16,""-"")"),15.0)</f>
        <v>15</v>
      </c>
      <c r="E16" s="308" t="str">
        <f>IFERROR(__xludf.DUMMYFUNCTION("""COMPUTED_VALUE"""),"K")</f>
        <v>K</v>
      </c>
      <c r="F16" s="309" t="s">
        <v>34</v>
      </c>
      <c r="G16" s="308" t="s">
        <v>197</v>
      </c>
      <c r="H16" s="308" t="s">
        <v>198</v>
      </c>
      <c r="I16" s="310">
        <v>39136.0</v>
      </c>
      <c r="J16" s="308">
        <f>IFERROR(__xludf.DUMMYFUNCTION("SPLIT(I16,""/"")"),23.0)</f>
        <v>23</v>
      </c>
      <c r="K16" s="308">
        <f>IFERROR(__xludf.DUMMYFUNCTION("""COMPUTED_VALUE"""),2.0)</f>
        <v>2</v>
      </c>
      <c r="L16" s="308">
        <f>IFERROR(__xludf.DUMMYFUNCTION("""COMPUTED_VALUE"""),2007.0)</f>
        <v>2007</v>
      </c>
      <c r="M16" s="308" t="s">
        <v>199</v>
      </c>
      <c r="N16" s="308"/>
      <c r="O16" s="308" t="s">
        <v>34216</v>
      </c>
      <c r="P16" s="308" t="s">
        <v>200</v>
      </c>
      <c r="Q16" s="308"/>
      <c r="R16" s="308"/>
      <c r="S16" s="308" t="s">
        <v>81</v>
      </c>
      <c r="T16" s="311" t="s">
        <v>75</v>
      </c>
      <c r="U16" s="308" t="s">
        <v>201</v>
      </c>
      <c r="V16" s="312"/>
    </row>
    <row r="17">
      <c r="A17" s="308">
        <v>16.0</v>
      </c>
      <c r="B17" s="308" t="s">
        <v>34230</v>
      </c>
      <c r="C17" s="308" t="s">
        <v>202</v>
      </c>
      <c r="D17" s="308">
        <f>IFERROR(__xludf.DUMMYFUNCTION("SPLIT(C17,""-"")"),16.0)</f>
        <v>16</v>
      </c>
      <c r="E17" s="308" t="str">
        <f>IFERROR(__xludf.DUMMYFUNCTION("""COMPUTED_VALUE"""),"S")</f>
        <v>S</v>
      </c>
      <c r="F17" s="312" t="s">
        <v>39</v>
      </c>
      <c r="G17" s="308" t="s">
        <v>203</v>
      </c>
      <c r="H17" s="308" t="s">
        <v>204</v>
      </c>
      <c r="I17" s="314">
        <v>40129.0</v>
      </c>
      <c r="J17" s="308">
        <f>IFERROR(__xludf.DUMMYFUNCTION("SPLIT(I17,""/"")"),12.0)</f>
        <v>12</v>
      </c>
      <c r="K17" s="308">
        <f>IFERROR(__xludf.DUMMYFUNCTION("""COMPUTED_VALUE"""),11.0)</f>
        <v>11</v>
      </c>
      <c r="L17" s="308">
        <f>IFERROR(__xludf.DUMMYFUNCTION("""COMPUTED_VALUE"""),2009.0)</f>
        <v>2009</v>
      </c>
      <c r="M17" s="308" t="s">
        <v>205</v>
      </c>
      <c r="N17" s="308"/>
      <c r="O17" s="312" t="s">
        <v>34231</v>
      </c>
      <c r="P17" s="308" t="s">
        <v>207</v>
      </c>
      <c r="Q17" s="308"/>
      <c r="R17" s="308"/>
      <c r="S17" s="308" t="s">
        <v>81</v>
      </c>
      <c r="T17" s="311" t="s">
        <v>98</v>
      </c>
      <c r="U17" s="308" t="s">
        <v>166</v>
      </c>
      <c r="V17" s="312"/>
    </row>
    <row r="18">
      <c r="A18" s="308">
        <v>17.0</v>
      </c>
      <c r="B18" s="308" t="s">
        <v>34232</v>
      </c>
      <c r="C18" s="308" t="s">
        <v>208</v>
      </c>
      <c r="D18" s="308">
        <f>IFERROR(__xludf.DUMMYFUNCTION("SPLIT(C18,""-"")"),17.0)</f>
        <v>17</v>
      </c>
      <c r="E18" s="308" t="str">
        <f>IFERROR(__xludf.DUMMYFUNCTION("""COMPUTED_VALUE"""),"B")</f>
        <v>B</v>
      </c>
      <c r="F18" s="315" t="s">
        <v>26</v>
      </c>
      <c r="G18" s="308" t="s">
        <v>120</v>
      </c>
      <c r="H18" s="308" t="s">
        <v>34233</v>
      </c>
      <c r="I18" s="314">
        <v>38671.0</v>
      </c>
      <c r="J18" s="308">
        <f>IFERROR(__xludf.DUMMYFUNCTION("SPLIT(I18,""/"")"),15.0)</f>
        <v>15</v>
      </c>
      <c r="K18" s="308">
        <f>IFERROR(__xludf.DUMMYFUNCTION("""COMPUTED_VALUE"""),11.0)</f>
        <v>11</v>
      </c>
      <c r="L18" s="308">
        <f>IFERROR(__xludf.DUMMYFUNCTION("""COMPUTED_VALUE"""),2005.0)</f>
        <v>2005</v>
      </c>
      <c r="M18" s="308" t="s">
        <v>34234</v>
      </c>
      <c r="N18" s="308"/>
      <c r="O18" s="308" t="s">
        <v>34235</v>
      </c>
      <c r="P18" s="308" t="s">
        <v>212</v>
      </c>
      <c r="Q18" s="308"/>
      <c r="R18" s="308"/>
      <c r="S18" s="308" t="s">
        <v>49</v>
      </c>
      <c r="T18" s="311" t="s">
        <v>77</v>
      </c>
      <c r="U18" s="308" t="s">
        <v>27</v>
      </c>
      <c r="V18" s="312"/>
    </row>
    <row r="19">
      <c r="A19" s="308">
        <v>18.0</v>
      </c>
      <c r="B19" s="308" t="s">
        <v>34236</v>
      </c>
      <c r="C19" s="308" t="s">
        <v>213</v>
      </c>
      <c r="D19" s="308">
        <f>IFERROR(__xludf.DUMMYFUNCTION("SPLIT(C19,""-"")"),18.0)</f>
        <v>18</v>
      </c>
      <c r="E19" s="308" t="str">
        <f>IFERROR(__xludf.DUMMYFUNCTION("""COMPUTED_VALUE"""),"B")</f>
        <v>B</v>
      </c>
      <c r="F19" s="315" t="s">
        <v>26</v>
      </c>
      <c r="G19" s="308" t="s">
        <v>120</v>
      </c>
      <c r="H19" s="308" t="s">
        <v>214</v>
      </c>
      <c r="I19" s="310">
        <v>39966.0</v>
      </c>
      <c r="J19" s="308">
        <f>IFERROR(__xludf.DUMMYFUNCTION("SPLIT(I19,""/"")"),2.0)</f>
        <v>2</v>
      </c>
      <c r="K19" s="308">
        <f>IFERROR(__xludf.DUMMYFUNCTION("""COMPUTED_VALUE"""),6.0)</f>
        <v>6</v>
      </c>
      <c r="L19" s="308">
        <f>IFERROR(__xludf.DUMMYFUNCTION("""COMPUTED_VALUE"""),2009.0)</f>
        <v>2009</v>
      </c>
      <c r="M19" s="308" t="s">
        <v>215</v>
      </c>
      <c r="N19" s="308"/>
      <c r="O19" s="308" t="s">
        <v>34237</v>
      </c>
      <c r="P19" s="308" t="s">
        <v>217</v>
      </c>
      <c r="Q19" s="308"/>
      <c r="R19" s="308"/>
      <c r="S19" s="308" t="s">
        <v>81</v>
      </c>
      <c r="T19" s="308" t="s">
        <v>98</v>
      </c>
      <c r="U19" s="308" t="s">
        <v>27</v>
      </c>
      <c r="V19" s="312"/>
    </row>
    <row r="20">
      <c r="A20" s="308">
        <v>19.0</v>
      </c>
      <c r="B20" s="308" t="s">
        <v>34238</v>
      </c>
      <c r="C20" s="308" t="s">
        <v>218</v>
      </c>
      <c r="D20" s="308">
        <f>IFERROR(__xludf.DUMMYFUNCTION("SPLIT(C20,""-"")"),19.0)</f>
        <v>19</v>
      </c>
      <c r="E20" s="308" t="str">
        <f>IFERROR(__xludf.DUMMYFUNCTION("""COMPUTED_VALUE"""),"S")</f>
        <v>S</v>
      </c>
      <c r="F20" s="312" t="s">
        <v>39</v>
      </c>
      <c r="G20" s="308" t="s">
        <v>120</v>
      </c>
      <c r="H20" s="308" t="s">
        <v>219</v>
      </c>
      <c r="I20" s="310">
        <v>37961.0</v>
      </c>
      <c r="J20" s="308">
        <f>IFERROR(__xludf.DUMMYFUNCTION("SPLIT(I20,""/"")"),6.0)</f>
        <v>6</v>
      </c>
      <c r="K20" s="308">
        <f>IFERROR(__xludf.DUMMYFUNCTION("""COMPUTED_VALUE"""),12.0)</f>
        <v>12</v>
      </c>
      <c r="L20" s="308">
        <f>IFERROR(__xludf.DUMMYFUNCTION("""COMPUTED_VALUE"""),2003.0)</f>
        <v>2003</v>
      </c>
      <c r="M20" s="308" t="s">
        <v>220</v>
      </c>
      <c r="N20" s="308"/>
      <c r="O20" s="308" t="s">
        <v>221</v>
      </c>
      <c r="P20" s="308" t="s">
        <v>34239</v>
      </c>
      <c r="Q20" s="308"/>
      <c r="R20" s="308"/>
      <c r="S20" s="308" t="s">
        <v>81</v>
      </c>
      <c r="T20" s="311" t="s">
        <v>75</v>
      </c>
      <c r="U20" s="308" t="s">
        <v>166</v>
      </c>
      <c r="V20" s="312"/>
    </row>
    <row r="21">
      <c r="A21" s="308">
        <v>20.0</v>
      </c>
      <c r="B21" s="308" t="s">
        <v>34240</v>
      </c>
      <c r="C21" s="308" t="s">
        <v>223</v>
      </c>
      <c r="D21" s="308">
        <f>IFERROR(__xludf.DUMMYFUNCTION("SPLIT(C21,""-"")"),20.0)</f>
        <v>20</v>
      </c>
      <c r="E21" s="308" t="str">
        <f>IFERROR(__xludf.DUMMYFUNCTION("""COMPUTED_VALUE"""),"B")</f>
        <v>B</v>
      </c>
      <c r="F21" s="315" t="s">
        <v>26</v>
      </c>
      <c r="G21" s="308" t="s">
        <v>120</v>
      </c>
      <c r="H21" s="308" t="s">
        <v>224</v>
      </c>
      <c r="I21" s="310">
        <v>39992.0</v>
      </c>
      <c r="J21" s="308">
        <f>IFERROR(__xludf.DUMMYFUNCTION("SPLIT(I21,""/"")"),28.0)</f>
        <v>28</v>
      </c>
      <c r="K21" s="308">
        <f>IFERROR(__xludf.DUMMYFUNCTION("""COMPUTED_VALUE"""),6.0)</f>
        <v>6</v>
      </c>
      <c r="L21" s="308">
        <f>IFERROR(__xludf.DUMMYFUNCTION("""COMPUTED_VALUE"""),2009.0)</f>
        <v>2009</v>
      </c>
      <c r="M21" s="308" t="s">
        <v>225</v>
      </c>
      <c r="N21" s="308"/>
      <c r="O21" s="308" t="s">
        <v>226</v>
      </c>
      <c r="P21" s="308" t="s">
        <v>136</v>
      </c>
      <c r="Q21" s="308"/>
      <c r="R21" s="308"/>
      <c r="S21" s="315" t="s">
        <v>100</v>
      </c>
      <c r="T21" s="308" t="s">
        <v>34208</v>
      </c>
      <c r="U21" s="308" t="s">
        <v>27</v>
      </c>
      <c r="V21" s="312"/>
    </row>
    <row r="22">
      <c r="A22" s="308">
        <v>21.0</v>
      </c>
      <c r="B22" s="308" t="s">
        <v>34241</v>
      </c>
      <c r="C22" s="308" t="s">
        <v>227</v>
      </c>
      <c r="D22" s="308">
        <f>IFERROR(__xludf.DUMMYFUNCTION("SPLIT(C22,""-"")"),21.0)</f>
        <v>21</v>
      </c>
      <c r="E22" s="308" t="str">
        <f>IFERROR(__xludf.DUMMYFUNCTION("""COMPUTED_VALUE"""),"B")</f>
        <v>B</v>
      </c>
      <c r="F22" s="315" t="s">
        <v>26</v>
      </c>
      <c r="G22" s="308" t="s">
        <v>120</v>
      </c>
      <c r="H22" s="308" t="s">
        <v>228</v>
      </c>
      <c r="I22" s="310">
        <v>39899.0</v>
      </c>
      <c r="J22" s="308">
        <f>IFERROR(__xludf.DUMMYFUNCTION("SPLIT(I22,""/"")"),27.0)</f>
        <v>27</v>
      </c>
      <c r="K22" s="308">
        <f>IFERROR(__xludf.DUMMYFUNCTION("""COMPUTED_VALUE"""),3.0)</f>
        <v>3</v>
      </c>
      <c r="L22" s="308">
        <f>IFERROR(__xludf.DUMMYFUNCTION("""COMPUTED_VALUE"""),2009.0)</f>
        <v>2009</v>
      </c>
      <c r="M22" s="308" t="s">
        <v>34242</v>
      </c>
      <c r="N22" s="308"/>
      <c r="O22" s="308" t="s">
        <v>34243</v>
      </c>
      <c r="P22" s="308" t="s">
        <v>231</v>
      </c>
      <c r="Q22" s="308"/>
      <c r="R22" s="308" t="s">
        <v>232</v>
      </c>
      <c r="S22" s="308" t="s">
        <v>49</v>
      </c>
      <c r="T22" s="311" t="s">
        <v>53</v>
      </c>
      <c r="U22" s="308" t="s">
        <v>27</v>
      </c>
      <c r="V22" s="312"/>
    </row>
    <row r="23">
      <c r="A23" s="308">
        <v>22.0</v>
      </c>
      <c r="B23" s="308" t="s">
        <v>34244</v>
      </c>
      <c r="C23" s="308" t="s">
        <v>233</v>
      </c>
      <c r="D23" s="308">
        <f>IFERROR(__xludf.DUMMYFUNCTION("SPLIT(C23,""-"")"),22.0)</f>
        <v>22</v>
      </c>
      <c r="E23" s="308" t="str">
        <f>IFERROR(__xludf.DUMMYFUNCTION("""COMPUTED_VALUE"""),"B")</f>
        <v>B</v>
      </c>
      <c r="F23" s="315" t="s">
        <v>26</v>
      </c>
      <c r="G23" s="308" t="s">
        <v>34216</v>
      </c>
      <c r="H23" s="308" t="s">
        <v>234</v>
      </c>
      <c r="I23" s="310">
        <v>40031.0</v>
      </c>
      <c r="J23" s="308">
        <f>IFERROR(__xludf.DUMMYFUNCTION("SPLIT(I23,""/"")"),6.0)</f>
        <v>6</v>
      </c>
      <c r="K23" s="308">
        <f>IFERROR(__xludf.DUMMYFUNCTION("""COMPUTED_VALUE"""),8.0)</f>
        <v>8</v>
      </c>
      <c r="L23" s="308">
        <f>IFERROR(__xludf.DUMMYFUNCTION("""COMPUTED_VALUE"""),2009.0)</f>
        <v>2009</v>
      </c>
      <c r="M23" s="308" t="s">
        <v>235</v>
      </c>
      <c r="N23" s="308"/>
      <c r="O23" s="308" t="s">
        <v>236</v>
      </c>
      <c r="P23" s="308" t="s">
        <v>237</v>
      </c>
      <c r="Q23" s="308"/>
      <c r="R23" s="308"/>
      <c r="S23" s="311" t="s">
        <v>100</v>
      </c>
      <c r="T23" s="311" t="s">
        <v>102</v>
      </c>
      <c r="U23" s="308" t="s">
        <v>27</v>
      </c>
      <c r="V23" s="312"/>
    </row>
    <row r="24">
      <c r="A24" s="308">
        <v>23.0</v>
      </c>
      <c r="B24" s="308" t="s">
        <v>34245</v>
      </c>
      <c r="C24" s="308" t="s">
        <v>238</v>
      </c>
      <c r="D24" s="308">
        <f>IFERROR(__xludf.DUMMYFUNCTION("SPLIT(C24,""-"")"),23.0)</f>
        <v>23</v>
      </c>
      <c r="E24" s="308" t="str">
        <f>IFERROR(__xludf.DUMMYFUNCTION("""COMPUTED_VALUE"""),"B")</f>
        <v>B</v>
      </c>
      <c r="F24" s="315" t="s">
        <v>26</v>
      </c>
      <c r="G24" s="308" t="s">
        <v>34216</v>
      </c>
      <c r="H24" s="308" t="s">
        <v>34246</v>
      </c>
      <c r="I24" s="310">
        <v>39281.0</v>
      </c>
      <c r="J24" s="308">
        <f>IFERROR(__xludf.DUMMYFUNCTION("SPLIT(I24,""/"")"),18.0)</f>
        <v>18</v>
      </c>
      <c r="K24" s="308">
        <f>IFERROR(__xludf.DUMMYFUNCTION("""COMPUTED_VALUE"""),7.0)</f>
        <v>7</v>
      </c>
      <c r="L24" s="308">
        <f>IFERROR(__xludf.DUMMYFUNCTION("""COMPUTED_VALUE"""),2007.0)</f>
        <v>2007</v>
      </c>
      <c r="M24" s="308" t="s">
        <v>240</v>
      </c>
      <c r="N24" s="308"/>
      <c r="O24" s="308" t="s">
        <v>241</v>
      </c>
      <c r="P24" s="308" t="s">
        <v>148</v>
      </c>
      <c r="Q24" s="308"/>
      <c r="R24" s="308"/>
      <c r="S24" s="308" t="s">
        <v>49</v>
      </c>
      <c r="T24" s="308" t="s">
        <v>51</v>
      </c>
      <c r="U24" s="308" t="s">
        <v>27</v>
      </c>
      <c r="V24" s="312"/>
    </row>
    <row r="25">
      <c r="A25" s="308">
        <v>24.0</v>
      </c>
      <c r="B25" s="308" t="s">
        <v>34247</v>
      </c>
      <c r="C25" s="308" t="s">
        <v>242</v>
      </c>
      <c r="D25" s="308">
        <f>IFERROR(__xludf.DUMMYFUNCTION("SPLIT(C25,""-"")"),24.0)</f>
        <v>24</v>
      </c>
      <c r="E25" s="308" t="str">
        <f>IFERROR(__xludf.DUMMYFUNCTION("""COMPUTED_VALUE"""),"I")</f>
        <v>I</v>
      </c>
      <c r="F25" s="309" t="s">
        <v>31</v>
      </c>
      <c r="G25" s="308" t="s">
        <v>243</v>
      </c>
      <c r="H25" s="308" t="s">
        <v>244</v>
      </c>
      <c r="I25" s="310">
        <v>40124.0</v>
      </c>
      <c r="J25" s="308">
        <f>IFERROR(__xludf.DUMMYFUNCTION("SPLIT(I25,""/"")"),7.0)</f>
        <v>7</v>
      </c>
      <c r="K25" s="308">
        <f>IFERROR(__xludf.DUMMYFUNCTION("""COMPUTED_VALUE"""),11.0)</f>
        <v>11</v>
      </c>
      <c r="L25" s="308">
        <f>IFERROR(__xludf.DUMMYFUNCTION("""COMPUTED_VALUE"""),2009.0)</f>
        <v>2009</v>
      </c>
      <c r="M25" s="308" t="s">
        <v>34248</v>
      </c>
      <c r="N25" s="308"/>
      <c r="O25" s="308" t="s">
        <v>34216</v>
      </c>
      <c r="P25" s="308" t="s">
        <v>246</v>
      </c>
      <c r="Q25" s="308"/>
      <c r="R25" s="308"/>
      <c r="S25" s="311" t="s">
        <v>49</v>
      </c>
      <c r="T25" s="311" t="s">
        <v>77</v>
      </c>
      <c r="U25" s="308" t="s">
        <v>31</v>
      </c>
      <c r="V25" s="312"/>
    </row>
    <row r="26">
      <c r="A26" s="308">
        <v>25.0</v>
      </c>
      <c r="B26" s="308" t="s">
        <v>34249</v>
      </c>
      <c r="C26" s="308" t="s">
        <v>247</v>
      </c>
      <c r="D26" s="308">
        <f>IFERROR(__xludf.DUMMYFUNCTION("SPLIT(C26,""-"")"),25.0)</f>
        <v>25</v>
      </c>
      <c r="E26" s="308" t="str">
        <f>IFERROR(__xludf.DUMMYFUNCTION("""COMPUTED_VALUE"""),"B")</f>
        <v>B</v>
      </c>
      <c r="F26" s="315" t="s">
        <v>26</v>
      </c>
      <c r="G26" s="308" t="s">
        <v>248</v>
      </c>
      <c r="H26" s="308" t="s">
        <v>249</v>
      </c>
      <c r="I26" s="310">
        <v>40050.0</v>
      </c>
      <c r="J26" s="308">
        <f>IFERROR(__xludf.DUMMYFUNCTION("SPLIT(I26,""/"")"),25.0)</f>
        <v>25</v>
      </c>
      <c r="K26" s="308">
        <f>IFERROR(__xludf.DUMMYFUNCTION("""COMPUTED_VALUE"""),8.0)</f>
        <v>8</v>
      </c>
      <c r="L26" s="308">
        <f>IFERROR(__xludf.DUMMYFUNCTION("""COMPUTED_VALUE"""),2009.0)</f>
        <v>2009</v>
      </c>
      <c r="M26" s="308" t="s">
        <v>34250</v>
      </c>
      <c r="N26" s="308"/>
      <c r="O26" s="308" t="s">
        <v>251</v>
      </c>
      <c r="P26" s="308" t="s">
        <v>252</v>
      </c>
      <c r="Q26" s="308"/>
      <c r="R26" s="308"/>
      <c r="S26" s="308" t="s">
        <v>49</v>
      </c>
      <c r="T26" s="308" t="s">
        <v>51</v>
      </c>
      <c r="U26" s="308" t="s">
        <v>27</v>
      </c>
      <c r="V26" s="312"/>
    </row>
    <row r="27">
      <c r="A27" s="308">
        <v>26.0</v>
      </c>
      <c r="B27" s="308" t="s">
        <v>34251</v>
      </c>
      <c r="C27" s="308" t="s">
        <v>34252</v>
      </c>
      <c r="D27" s="308">
        <f>IFERROR(__xludf.DUMMYFUNCTION("SPLIT(C27,""-"")"),26.0)</f>
        <v>26</v>
      </c>
      <c r="E27" s="308" t="str">
        <f>IFERROR(__xludf.DUMMYFUNCTION("""COMPUTED_VALUE"""),"B ")</f>
        <v>B </v>
      </c>
      <c r="F27" s="315" t="s">
        <v>26</v>
      </c>
      <c r="G27" s="308" t="s">
        <v>34216</v>
      </c>
      <c r="H27" s="308" t="s">
        <v>254</v>
      </c>
      <c r="I27" s="310">
        <v>39508.0</v>
      </c>
      <c r="J27" s="308">
        <f>IFERROR(__xludf.DUMMYFUNCTION("SPLIT(I27,""/"")"),1.0)</f>
        <v>1</v>
      </c>
      <c r="K27" s="308">
        <f>IFERROR(__xludf.DUMMYFUNCTION("""COMPUTED_VALUE"""),3.0)</f>
        <v>3</v>
      </c>
      <c r="L27" s="308">
        <f>IFERROR(__xludf.DUMMYFUNCTION("""COMPUTED_VALUE"""),2008.0)</f>
        <v>2008</v>
      </c>
      <c r="M27" s="308" t="s">
        <v>255</v>
      </c>
      <c r="N27" s="308"/>
      <c r="O27" s="308" t="s">
        <v>256</v>
      </c>
      <c r="P27" s="308" t="s">
        <v>257</v>
      </c>
      <c r="Q27" s="308"/>
      <c r="R27" s="308"/>
      <c r="S27" s="308" t="s">
        <v>81</v>
      </c>
      <c r="T27" s="311" t="s">
        <v>75</v>
      </c>
      <c r="U27" s="308" t="s">
        <v>27</v>
      </c>
      <c r="V27" s="312"/>
    </row>
    <row r="28">
      <c r="A28" s="308">
        <v>27.0</v>
      </c>
      <c r="B28" s="308">
        <v>2582.0</v>
      </c>
      <c r="C28" s="308" t="s">
        <v>258</v>
      </c>
      <c r="D28" s="308">
        <f>IFERROR(__xludf.DUMMYFUNCTION("SPLIT(C28,""-"")"),27.0)</f>
        <v>27</v>
      </c>
      <c r="E28" s="308" t="str">
        <f>IFERROR(__xludf.DUMMYFUNCTION("""COMPUTED_VALUE"""),"B")</f>
        <v>B</v>
      </c>
      <c r="F28" s="315" t="s">
        <v>26</v>
      </c>
      <c r="G28" s="308" t="s">
        <v>259</v>
      </c>
      <c r="H28" s="308" t="s">
        <v>260</v>
      </c>
      <c r="I28" s="310">
        <v>40002.0</v>
      </c>
      <c r="J28" s="308">
        <f>IFERROR(__xludf.DUMMYFUNCTION("SPLIT(I28,""/"")"),8.0)</f>
        <v>8</v>
      </c>
      <c r="K28" s="308">
        <f>IFERROR(__xludf.DUMMYFUNCTION("""COMPUTED_VALUE"""),7.0)</f>
        <v>7</v>
      </c>
      <c r="L28" s="308">
        <f>IFERROR(__xludf.DUMMYFUNCTION("""COMPUTED_VALUE"""),2009.0)</f>
        <v>2009</v>
      </c>
      <c r="M28" s="308" t="s">
        <v>34253</v>
      </c>
      <c r="N28" s="308"/>
      <c r="O28" s="308" t="s">
        <v>262</v>
      </c>
      <c r="P28" s="308" t="s">
        <v>34254</v>
      </c>
      <c r="Q28" s="308"/>
      <c r="R28" s="308"/>
      <c r="S28" s="308" t="s">
        <v>81</v>
      </c>
      <c r="T28" s="311" t="s">
        <v>57</v>
      </c>
      <c r="U28" s="308" t="s">
        <v>27</v>
      </c>
      <c r="V28" s="312"/>
    </row>
    <row r="29">
      <c r="A29" s="308">
        <v>28.0</v>
      </c>
      <c r="B29" s="308" t="s">
        <v>34255</v>
      </c>
      <c r="C29" s="308" t="s">
        <v>264</v>
      </c>
      <c r="D29" s="308">
        <f>IFERROR(__xludf.DUMMYFUNCTION("SPLIT(C29,""-"")"),28.0)</f>
        <v>28</v>
      </c>
      <c r="E29" s="308" t="str">
        <f>IFERROR(__xludf.DUMMYFUNCTION("""COMPUTED_VALUE"""),"B")</f>
        <v>B</v>
      </c>
      <c r="F29" s="315" t="s">
        <v>26</v>
      </c>
      <c r="G29" s="308" t="s">
        <v>248</v>
      </c>
      <c r="H29" s="308" t="s">
        <v>265</v>
      </c>
      <c r="I29" s="310">
        <v>39899.0</v>
      </c>
      <c r="J29" s="308">
        <f>IFERROR(__xludf.DUMMYFUNCTION("SPLIT(I29,""/"")"),27.0)</f>
        <v>27</v>
      </c>
      <c r="K29" s="308">
        <f>IFERROR(__xludf.DUMMYFUNCTION("""COMPUTED_VALUE"""),3.0)</f>
        <v>3</v>
      </c>
      <c r="L29" s="308">
        <f>IFERROR(__xludf.DUMMYFUNCTION("""COMPUTED_VALUE"""),2009.0)</f>
        <v>2009</v>
      </c>
      <c r="M29" s="308" t="s">
        <v>266</v>
      </c>
      <c r="N29" s="308"/>
      <c r="O29" s="308" t="s">
        <v>267</v>
      </c>
      <c r="P29" s="308" t="s">
        <v>34212</v>
      </c>
      <c r="Q29" s="308"/>
      <c r="R29" s="308"/>
      <c r="S29" s="315" t="s">
        <v>100</v>
      </c>
      <c r="T29" s="311" t="s">
        <v>34208</v>
      </c>
      <c r="U29" s="308" t="s">
        <v>27</v>
      </c>
      <c r="V29" s="312"/>
    </row>
    <row r="30">
      <c r="A30" s="308">
        <v>29.0</v>
      </c>
      <c r="B30" s="308" t="s">
        <v>34256</v>
      </c>
      <c r="C30" s="308" t="s">
        <v>268</v>
      </c>
      <c r="D30" s="308">
        <f>IFERROR(__xludf.DUMMYFUNCTION("SPLIT(C30,""-"")"),29.0)</f>
        <v>29</v>
      </c>
      <c r="E30" s="308" t="str">
        <f>IFERROR(__xludf.DUMMYFUNCTION("""COMPUTED_VALUE"""),"S")</f>
        <v>S</v>
      </c>
      <c r="F30" s="312" t="s">
        <v>39</v>
      </c>
      <c r="G30" s="308" t="s">
        <v>34216</v>
      </c>
      <c r="H30" s="308" t="s">
        <v>269</v>
      </c>
      <c r="I30" s="314">
        <v>40117.0</v>
      </c>
      <c r="J30" s="308">
        <f>IFERROR(__xludf.DUMMYFUNCTION("SPLIT(I30,""/"")"),31.0)</f>
        <v>31</v>
      </c>
      <c r="K30" s="308">
        <f>IFERROR(__xludf.DUMMYFUNCTION("""COMPUTED_VALUE"""),10.0)</f>
        <v>10</v>
      </c>
      <c r="L30" s="308">
        <f>IFERROR(__xludf.DUMMYFUNCTION("""COMPUTED_VALUE"""),2009.0)</f>
        <v>2009</v>
      </c>
      <c r="M30" s="308" t="s">
        <v>34257</v>
      </c>
      <c r="N30" s="308"/>
      <c r="O30" s="308" t="s">
        <v>34258</v>
      </c>
      <c r="P30" s="308" t="s">
        <v>136</v>
      </c>
      <c r="Q30" s="308"/>
      <c r="R30" s="308"/>
      <c r="S30" s="315" t="s">
        <v>100</v>
      </c>
      <c r="T30" s="308" t="s">
        <v>34208</v>
      </c>
      <c r="U30" s="308" t="s">
        <v>166</v>
      </c>
      <c r="V30" s="312"/>
    </row>
    <row r="31">
      <c r="A31" s="308">
        <v>30.0</v>
      </c>
      <c r="B31" s="308" t="s">
        <v>34259</v>
      </c>
      <c r="C31" s="308" t="s">
        <v>272</v>
      </c>
      <c r="D31" s="308">
        <f>IFERROR(__xludf.DUMMYFUNCTION("SPLIT(C31,""-"")"),30.0)</f>
        <v>30</v>
      </c>
      <c r="E31" s="308" t="str">
        <f>IFERROR(__xludf.DUMMYFUNCTION("""COMPUTED_VALUE"""),"P")</f>
        <v>P</v>
      </c>
      <c r="F31" s="312" t="s">
        <v>37</v>
      </c>
      <c r="G31" s="308" t="s">
        <v>273</v>
      </c>
      <c r="H31" s="308" t="s">
        <v>274</v>
      </c>
      <c r="I31" s="310">
        <v>39987.0</v>
      </c>
      <c r="J31" s="308">
        <f>IFERROR(__xludf.DUMMYFUNCTION("SPLIT(I31,""/"")"),23.0)</f>
        <v>23</v>
      </c>
      <c r="K31" s="308">
        <f>IFERROR(__xludf.DUMMYFUNCTION("""COMPUTED_VALUE"""),6.0)</f>
        <v>6</v>
      </c>
      <c r="L31" s="308">
        <f>IFERROR(__xludf.DUMMYFUNCTION("""COMPUTED_VALUE"""),2009.0)</f>
        <v>2009</v>
      </c>
      <c r="M31" s="308" t="s">
        <v>34260</v>
      </c>
      <c r="N31" s="308"/>
      <c r="O31" s="308" t="s">
        <v>34261</v>
      </c>
      <c r="P31" s="308" t="s">
        <v>124</v>
      </c>
      <c r="Q31" s="308"/>
      <c r="R31" s="308"/>
      <c r="S31" s="308" t="s">
        <v>81</v>
      </c>
      <c r="T31" s="311" t="s">
        <v>34201</v>
      </c>
      <c r="U31" s="308" t="s">
        <v>143</v>
      </c>
      <c r="V31" s="312"/>
    </row>
    <row r="32">
      <c r="A32" s="308">
        <v>31.0</v>
      </c>
      <c r="B32" s="308" t="s">
        <v>34262</v>
      </c>
      <c r="C32" s="308" t="s">
        <v>277</v>
      </c>
      <c r="D32" s="308">
        <f>IFERROR(__xludf.DUMMYFUNCTION("SPLIT(C32,""-"")"),31.0)</f>
        <v>31</v>
      </c>
      <c r="E32" s="308" t="str">
        <f>IFERROR(__xludf.DUMMYFUNCTION("""COMPUTED_VALUE"""),"K")</f>
        <v>K</v>
      </c>
      <c r="F32" s="309" t="s">
        <v>34</v>
      </c>
      <c r="G32" s="308" t="s">
        <v>34216</v>
      </c>
      <c r="H32" s="308" t="s">
        <v>278</v>
      </c>
      <c r="I32" s="310">
        <v>40030.0</v>
      </c>
      <c r="J32" s="308">
        <f>IFERROR(__xludf.DUMMYFUNCTION("SPLIT(I32,""/"")"),5.0)</f>
        <v>5</v>
      </c>
      <c r="K32" s="308">
        <f>IFERROR(__xludf.DUMMYFUNCTION("""COMPUTED_VALUE"""),8.0)</f>
        <v>8</v>
      </c>
      <c r="L32" s="308">
        <f>IFERROR(__xludf.DUMMYFUNCTION("""COMPUTED_VALUE"""),2009.0)</f>
        <v>2009</v>
      </c>
      <c r="M32" s="308" t="s">
        <v>279</v>
      </c>
      <c r="N32" s="308"/>
      <c r="O32" s="308" t="s">
        <v>280</v>
      </c>
      <c r="P32" s="308" t="s">
        <v>34263</v>
      </c>
      <c r="Q32" s="308"/>
      <c r="R32" s="308"/>
      <c r="S32" s="308" t="s">
        <v>81</v>
      </c>
      <c r="T32" s="311" t="s">
        <v>34264</v>
      </c>
      <c r="U32" s="308" t="s">
        <v>282</v>
      </c>
      <c r="V32" s="312"/>
    </row>
    <row r="33">
      <c r="A33" s="308">
        <v>32.0</v>
      </c>
      <c r="B33" s="308" t="s">
        <v>34265</v>
      </c>
      <c r="C33" s="308" t="s">
        <v>283</v>
      </c>
      <c r="D33" s="308">
        <f>IFERROR(__xludf.DUMMYFUNCTION("SPLIT(C33,""-"")"),32.0)</f>
        <v>32</v>
      </c>
      <c r="E33" s="308" t="str">
        <f>IFERROR(__xludf.DUMMYFUNCTION("""COMPUTED_VALUE"""),"S")</f>
        <v>S</v>
      </c>
      <c r="F33" s="312" t="s">
        <v>39</v>
      </c>
      <c r="G33" s="308" t="s">
        <v>120</v>
      </c>
      <c r="H33" s="308" t="s">
        <v>284</v>
      </c>
      <c r="I33" s="310">
        <v>39882.0</v>
      </c>
      <c r="J33" s="308">
        <f>IFERROR(__xludf.DUMMYFUNCTION("SPLIT(I33,""/"")"),10.0)</f>
        <v>10</v>
      </c>
      <c r="K33" s="308">
        <f>IFERROR(__xludf.DUMMYFUNCTION("""COMPUTED_VALUE"""),3.0)</f>
        <v>3</v>
      </c>
      <c r="L33" s="308">
        <f>IFERROR(__xludf.DUMMYFUNCTION("""COMPUTED_VALUE"""),2009.0)</f>
        <v>2009</v>
      </c>
      <c r="M33" s="308" t="s">
        <v>34266</v>
      </c>
      <c r="N33" s="308"/>
      <c r="O33" s="308" t="s">
        <v>34267</v>
      </c>
      <c r="P33" s="308"/>
      <c r="Q33" s="308"/>
      <c r="R33" s="308"/>
      <c r="S33" s="311" t="s">
        <v>79</v>
      </c>
      <c r="T33" s="308" t="s">
        <v>79</v>
      </c>
      <c r="U33" s="308" t="s">
        <v>166</v>
      </c>
      <c r="V33" s="312"/>
    </row>
    <row r="34">
      <c r="A34" s="308">
        <v>33.0</v>
      </c>
      <c r="B34" s="308" t="s">
        <v>34268</v>
      </c>
      <c r="C34" s="308" t="s">
        <v>287</v>
      </c>
      <c r="D34" s="308">
        <f>IFERROR(__xludf.DUMMYFUNCTION("SPLIT(C34,""-"")"),33.0)</f>
        <v>33</v>
      </c>
      <c r="E34" s="308" t="str">
        <f>IFERROR(__xludf.DUMMYFUNCTION("""COMPUTED_VALUE"""),"S")</f>
        <v>S</v>
      </c>
      <c r="F34" s="312" t="s">
        <v>39</v>
      </c>
      <c r="G34" s="308" t="s">
        <v>120</v>
      </c>
      <c r="H34" s="308" t="s">
        <v>288</v>
      </c>
      <c r="I34" s="310">
        <v>39882.0</v>
      </c>
      <c r="J34" s="308">
        <f>IFERROR(__xludf.DUMMYFUNCTION("SPLIT(I34,""/"")"),10.0)</f>
        <v>10</v>
      </c>
      <c r="K34" s="308">
        <f>IFERROR(__xludf.DUMMYFUNCTION("""COMPUTED_VALUE"""),3.0)</f>
        <v>3</v>
      </c>
      <c r="L34" s="308">
        <f>IFERROR(__xludf.DUMMYFUNCTION("""COMPUTED_VALUE"""),2009.0)</f>
        <v>2009</v>
      </c>
      <c r="M34" s="308" t="s">
        <v>34269</v>
      </c>
      <c r="N34" s="308"/>
      <c r="O34" s="312" t="s">
        <v>34270</v>
      </c>
      <c r="P34" s="308" t="s">
        <v>291</v>
      </c>
      <c r="Q34" s="308"/>
      <c r="R34" s="308"/>
      <c r="S34" s="308" t="s">
        <v>81</v>
      </c>
      <c r="T34" s="311" t="s">
        <v>75</v>
      </c>
      <c r="U34" s="308" t="s">
        <v>166</v>
      </c>
      <c r="V34" s="312"/>
    </row>
    <row r="35">
      <c r="A35" s="308">
        <v>34.0</v>
      </c>
      <c r="B35" s="308" t="s">
        <v>34271</v>
      </c>
      <c r="C35" s="308" t="s">
        <v>292</v>
      </c>
      <c r="D35" s="308">
        <f>IFERROR(__xludf.DUMMYFUNCTION("SPLIT(C35,""-"")"),190.0)</f>
        <v>190</v>
      </c>
      <c r="E35" s="308" t="str">
        <f>IFERROR(__xludf.DUMMYFUNCTION("""COMPUTED_VALUE"""),"B")</f>
        <v>B</v>
      </c>
      <c r="F35" s="315" t="s">
        <v>26</v>
      </c>
      <c r="G35" s="308" t="s">
        <v>34216</v>
      </c>
      <c r="H35" s="308" t="s">
        <v>293</v>
      </c>
      <c r="I35" s="314">
        <v>40108.0</v>
      </c>
      <c r="J35" s="308">
        <f>IFERROR(__xludf.DUMMYFUNCTION("SPLIT(I35,""/"")"),22.0)</f>
        <v>22</v>
      </c>
      <c r="K35" s="308">
        <f>IFERROR(__xludf.DUMMYFUNCTION("""COMPUTED_VALUE"""),10.0)</f>
        <v>10</v>
      </c>
      <c r="L35" s="308">
        <f>IFERROR(__xludf.DUMMYFUNCTION("""COMPUTED_VALUE"""),2009.0)</f>
        <v>2009</v>
      </c>
      <c r="M35" s="308" t="s">
        <v>294</v>
      </c>
      <c r="N35" s="308"/>
      <c r="O35" s="312" t="s">
        <v>295</v>
      </c>
      <c r="P35" s="308" t="s">
        <v>296</v>
      </c>
      <c r="Q35" s="308"/>
      <c r="R35" s="308"/>
      <c r="S35" s="308" t="s">
        <v>81</v>
      </c>
      <c r="T35" s="311" t="s">
        <v>75</v>
      </c>
      <c r="U35" s="308" t="s">
        <v>27</v>
      </c>
      <c r="V35" s="312"/>
    </row>
    <row r="36">
      <c r="A36" s="308">
        <v>35.0</v>
      </c>
      <c r="B36" s="308" t="s">
        <v>34272</v>
      </c>
      <c r="C36" s="308" t="s">
        <v>297</v>
      </c>
      <c r="D36" s="308">
        <f>IFERROR(__xludf.DUMMYFUNCTION("SPLIT(C36,""-"")"),34.0)</f>
        <v>34</v>
      </c>
      <c r="E36" s="308" t="str">
        <f>IFERROR(__xludf.DUMMYFUNCTION("""COMPUTED_VALUE"""),"B")</f>
        <v>B</v>
      </c>
      <c r="F36" s="315" t="s">
        <v>26</v>
      </c>
      <c r="G36" s="308" t="s">
        <v>120</v>
      </c>
      <c r="H36" s="308" t="s">
        <v>298</v>
      </c>
      <c r="I36" s="310">
        <v>39899.0</v>
      </c>
      <c r="J36" s="308">
        <f>IFERROR(__xludf.DUMMYFUNCTION("SPLIT(I36,""/"")"),27.0)</f>
        <v>27</v>
      </c>
      <c r="K36" s="308">
        <f>IFERROR(__xludf.DUMMYFUNCTION("""COMPUTED_VALUE"""),3.0)</f>
        <v>3</v>
      </c>
      <c r="L36" s="308">
        <f>IFERROR(__xludf.DUMMYFUNCTION("""COMPUTED_VALUE"""),2009.0)</f>
        <v>2009</v>
      </c>
      <c r="M36" s="308" t="s">
        <v>34273</v>
      </c>
      <c r="N36" s="308"/>
      <c r="O36" s="308" t="s">
        <v>300</v>
      </c>
      <c r="P36" s="308" t="s">
        <v>301</v>
      </c>
      <c r="Q36" s="308"/>
      <c r="R36" s="308"/>
      <c r="S36" s="308" t="s">
        <v>49</v>
      </c>
      <c r="T36" s="308" t="s">
        <v>53</v>
      </c>
      <c r="U36" s="308" t="s">
        <v>27</v>
      </c>
      <c r="V36" s="312"/>
    </row>
    <row r="37">
      <c r="A37" s="308">
        <v>36.0</v>
      </c>
      <c r="B37" s="308" t="s">
        <v>34274</v>
      </c>
      <c r="C37" s="308" t="s">
        <v>302</v>
      </c>
      <c r="D37" s="308">
        <f>IFERROR(__xludf.DUMMYFUNCTION("SPLIT(C37,""-"")"),173.0)</f>
        <v>173</v>
      </c>
      <c r="E37" s="308" t="str">
        <f>IFERROR(__xludf.DUMMYFUNCTION("""COMPUTED_VALUE"""),"B")</f>
        <v>B</v>
      </c>
      <c r="F37" s="315" t="s">
        <v>26</v>
      </c>
      <c r="G37" s="308" t="s">
        <v>34216</v>
      </c>
      <c r="H37" s="308" t="s">
        <v>34275</v>
      </c>
      <c r="I37" s="310">
        <v>39881.0</v>
      </c>
      <c r="J37" s="308">
        <f>IFERROR(__xludf.DUMMYFUNCTION("SPLIT(I37,""/"")"),9.0)</f>
        <v>9</v>
      </c>
      <c r="K37" s="308">
        <f>IFERROR(__xludf.DUMMYFUNCTION("""COMPUTED_VALUE"""),3.0)</f>
        <v>3</v>
      </c>
      <c r="L37" s="308">
        <f>IFERROR(__xludf.DUMMYFUNCTION("""COMPUTED_VALUE"""),2009.0)</f>
        <v>2009</v>
      </c>
      <c r="M37" s="308" t="s">
        <v>304</v>
      </c>
      <c r="N37" s="308"/>
      <c r="O37" s="312" t="s">
        <v>34276</v>
      </c>
      <c r="P37" s="308" t="s">
        <v>34277</v>
      </c>
      <c r="Q37" s="308"/>
      <c r="R37" s="308"/>
      <c r="S37" s="308" t="s">
        <v>81</v>
      </c>
      <c r="T37" s="311" t="s">
        <v>75</v>
      </c>
      <c r="U37" s="308" t="s">
        <v>27</v>
      </c>
      <c r="V37" s="312"/>
    </row>
    <row r="38">
      <c r="A38" s="308">
        <v>37.0</v>
      </c>
      <c r="B38" s="308" t="s">
        <v>34278</v>
      </c>
      <c r="C38" s="308" t="s">
        <v>307</v>
      </c>
      <c r="D38" s="308">
        <f>IFERROR(__xludf.DUMMYFUNCTION("SPLIT(C38,""-"")"),35.0)</f>
        <v>35</v>
      </c>
      <c r="E38" s="311"/>
      <c r="F38" s="309" t="s">
        <v>34</v>
      </c>
      <c r="G38" s="308" t="s">
        <v>34216</v>
      </c>
      <c r="H38" s="308" t="s">
        <v>308</v>
      </c>
      <c r="I38" s="310">
        <v>40185.0</v>
      </c>
      <c r="J38" s="308">
        <f>IFERROR(__xludf.DUMMYFUNCTION("SPLIT(I38,""/"")"),7.0)</f>
        <v>7</v>
      </c>
      <c r="K38" s="308">
        <f>IFERROR(__xludf.DUMMYFUNCTION("""COMPUTED_VALUE"""),1.0)</f>
        <v>1</v>
      </c>
      <c r="L38" s="308">
        <f>IFERROR(__xludf.DUMMYFUNCTION("""COMPUTED_VALUE"""),2010.0)</f>
        <v>2010</v>
      </c>
      <c r="M38" s="308" t="s">
        <v>34279</v>
      </c>
      <c r="N38" s="308"/>
      <c r="O38" s="308" t="s">
        <v>34280</v>
      </c>
      <c r="P38" s="308" t="s">
        <v>311</v>
      </c>
      <c r="Q38" s="308"/>
      <c r="R38" s="308"/>
      <c r="S38" s="308" t="s">
        <v>81</v>
      </c>
      <c r="T38" s="311" t="s">
        <v>73</v>
      </c>
      <c r="U38" s="308"/>
      <c r="V38" s="312"/>
    </row>
    <row r="39">
      <c r="A39" s="308">
        <v>38.0</v>
      </c>
      <c r="B39" s="308" t="s">
        <v>34281</v>
      </c>
      <c r="C39" s="308" t="s">
        <v>312</v>
      </c>
      <c r="D39" s="308">
        <f>IFERROR(__xludf.DUMMYFUNCTION("SPLIT(C39,""-"")"),174.0)</f>
        <v>174</v>
      </c>
      <c r="E39" s="308" t="str">
        <f>IFERROR(__xludf.DUMMYFUNCTION("""COMPUTED_VALUE"""),"K")</f>
        <v>K</v>
      </c>
      <c r="F39" s="309" t="s">
        <v>34</v>
      </c>
      <c r="G39" s="308" t="s">
        <v>34216</v>
      </c>
      <c r="H39" s="308" t="s">
        <v>313</v>
      </c>
      <c r="I39" s="310">
        <v>40064.0</v>
      </c>
      <c r="J39" s="308">
        <f>IFERROR(__xludf.DUMMYFUNCTION("SPLIT(I39,""/"")"),8.0)</f>
        <v>8</v>
      </c>
      <c r="K39" s="308">
        <f>IFERROR(__xludf.DUMMYFUNCTION("""COMPUTED_VALUE"""),9.0)</f>
        <v>9</v>
      </c>
      <c r="L39" s="308">
        <f>IFERROR(__xludf.DUMMYFUNCTION("""COMPUTED_VALUE"""),2009.0)</f>
        <v>2009</v>
      </c>
      <c r="M39" s="308" t="s">
        <v>34282</v>
      </c>
      <c r="N39" s="308"/>
      <c r="O39" s="312" t="s">
        <v>34283</v>
      </c>
      <c r="P39" s="308" t="s">
        <v>316</v>
      </c>
      <c r="Q39" s="308"/>
      <c r="R39" s="308"/>
      <c r="S39" s="308" t="s">
        <v>81</v>
      </c>
      <c r="T39" s="311" t="s">
        <v>75</v>
      </c>
      <c r="U39" s="308" t="s">
        <v>282</v>
      </c>
      <c r="V39" s="312"/>
    </row>
    <row r="40">
      <c r="A40" s="308">
        <v>39.0</v>
      </c>
      <c r="B40" s="308" t="s">
        <v>34284</v>
      </c>
      <c r="C40" s="308" t="s">
        <v>317</v>
      </c>
      <c r="D40" s="308">
        <f>IFERROR(__xludf.DUMMYFUNCTION("SPLIT(C40,""-"")"),36.0)</f>
        <v>36</v>
      </c>
      <c r="E40" s="308" t="str">
        <f>IFERROR(__xludf.DUMMYFUNCTION("""COMPUTED_VALUE"""),"S")</f>
        <v>S</v>
      </c>
      <c r="F40" s="312" t="s">
        <v>39</v>
      </c>
      <c r="G40" s="308" t="s">
        <v>34216</v>
      </c>
      <c r="H40" s="308" t="s">
        <v>318</v>
      </c>
      <c r="I40" s="310">
        <v>39626.0</v>
      </c>
      <c r="J40" s="308">
        <f>IFERROR(__xludf.DUMMYFUNCTION("SPLIT(I40,""/"")"),27.0)</f>
        <v>27</v>
      </c>
      <c r="K40" s="308">
        <f>IFERROR(__xludf.DUMMYFUNCTION("""COMPUTED_VALUE"""),6.0)</f>
        <v>6</v>
      </c>
      <c r="L40" s="308">
        <f>IFERROR(__xludf.DUMMYFUNCTION("""COMPUTED_VALUE"""),2008.0)</f>
        <v>2008</v>
      </c>
      <c r="M40" s="308" t="s">
        <v>319</v>
      </c>
      <c r="N40" s="308"/>
      <c r="O40" s="308" t="s">
        <v>34285</v>
      </c>
      <c r="P40" s="308" t="s">
        <v>321</v>
      </c>
      <c r="Q40" s="308"/>
      <c r="R40" s="308"/>
      <c r="S40" s="308" t="s">
        <v>81</v>
      </c>
      <c r="T40" s="311" t="s">
        <v>75</v>
      </c>
      <c r="U40" s="308" t="s">
        <v>166</v>
      </c>
      <c r="V40" s="312"/>
    </row>
    <row r="41">
      <c r="A41" s="308">
        <v>40.0</v>
      </c>
      <c r="B41" s="308" t="s">
        <v>34286</v>
      </c>
      <c r="C41" s="308" t="s">
        <v>322</v>
      </c>
      <c r="D41" s="308">
        <f>IFERROR(__xludf.DUMMYFUNCTION("SPLIT(C41,""-"")"),37.0)</f>
        <v>37</v>
      </c>
      <c r="E41" s="308" t="str">
        <f>IFERROR(__xludf.DUMMYFUNCTION("""COMPUTED_VALUE"""),"B")</f>
        <v>B</v>
      </c>
      <c r="F41" s="315" t="s">
        <v>26</v>
      </c>
      <c r="G41" s="308" t="s">
        <v>323</v>
      </c>
      <c r="H41" s="308" t="s">
        <v>324</v>
      </c>
      <c r="I41" s="314">
        <v>40167.0</v>
      </c>
      <c r="J41" s="308">
        <f>IFERROR(__xludf.DUMMYFUNCTION("SPLIT(I41,""/"")"),20.0)</f>
        <v>20</v>
      </c>
      <c r="K41" s="308">
        <f>IFERROR(__xludf.DUMMYFUNCTION("""COMPUTED_VALUE"""),12.0)</f>
        <v>12</v>
      </c>
      <c r="L41" s="308">
        <f>IFERROR(__xludf.DUMMYFUNCTION("""COMPUTED_VALUE"""),2009.0)</f>
        <v>2009</v>
      </c>
      <c r="M41" s="308" t="s">
        <v>325</v>
      </c>
      <c r="N41" s="308"/>
      <c r="O41" s="308" t="s">
        <v>34287</v>
      </c>
      <c r="P41" s="308" t="s">
        <v>136</v>
      </c>
      <c r="Q41" s="308"/>
      <c r="R41" s="308"/>
      <c r="S41" s="315" t="s">
        <v>100</v>
      </c>
      <c r="T41" s="308" t="s">
        <v>34208</v>
      </c>
      <c r="U41" s="308" t="s">
        <v>27</v>
      </c>
      <c r="V41" s="312"/>
    </row>
    <row r="42">
      <c r="A42" s="308">
        <v>41.0</v>
      </c>
      <c r="B42" s="308" t="s">
        <v>34288</v>
      </c>
      <c r="C42" s="308" t="s">
        <v>327</v>
      </c>
      <c r="D42" s="308">
        <f>IFERROR(__xludf.DUMMYFUNCTION("SPLIT(C42,""-"")"),38.0)</f>
        <v>38</v>
      </c>
      <c r="E42" s="308" t="str">
        <f>IFERROR(__xludf.DUMMYFUNCTION("""COMPUTED_VALUE"""),"B")</f>
        <v>B</v>
      </c>
      <c r="F42" s="315" t="s">
        <v>26</v>
      </c>
      <c r="G42" s="308" t="s">
        <v>34216</v>
      </c>
      <c r="H42" s="308" t="s">
        <v>328</v>
      </c>
      <c r="I42" s="310">
        <v>39922.0</v>
      </c>
      <c r="J42" s="308">
        <f>IFERROR(__xludf.DUMMYFUNCTION("SPLIT(I42,""/"")"),19.0)</f>
        <v>19</v>
      </c>
      <c r="K42" s="308">
        <f>IFERROR(__xludf.DUMMYFUNCTION("""COMPUTED_VALUE"""),4.0)</f>
        <v>4</v>
      </c>
      <c r="L42" s="308">
        <f>IFERROR(__xludf.DUMMYFUNCTION("""COMPUTED_VALUE"""),2009.0)</f>
        <v>2009</v>
      </c>
      <c r="M42" s="308" t="s">
        <v>34289</v>
      </c>
      <c r="N42" s="308"/>
      <c r="O42" s="308" t="s">
        <v>330</v>
      </c>
      <c r="P42" s="308" t="s">
        <v>331</v>
      </c>
      <c r="Q42" s="308"/>
      <c r="R42" s="308"/>
      <c r="S42" s="308" t="s">
        <v>49</v>
      </c>
      <c r="T42" s="308" t="s">
        <v>51</v>
      </c>
      <c r="U42" s="308" t="s">
        <v>27</v>
      </c>
      <c r="V42" s="312"/>
    </row>
    <row r="43">
      <c r="A43" s="308">
        <v>42.0</v>
      </c>
      <c r="B43" s="308" t="s">
        <v>34290</v>
      </c>
      <c r="C43" s="308" t="s">
        <v>332</v>
      </c>
      <c r="D43" s="308">
        <f>IFERROR(__xludf.DUMMYFUNCTION("SPLIT(C43,""-"")"),191.0)</f>
        <v>191</v>
      </c>
      <c r="E43" s="308" t="str">
        <f>IFERROR(__xludf.DUMMYFUNCTION("""COMPUTED_VALUE"""),"B")</f>
        <v>B</v>
      </c>
      <c r="F43" s="315" t="s">
        <v>26</v>
      </c>
      <c r="G43" s="308" t="s">
        <v>34216</v>
      </c>
      <c r="H43" s="308" t="s">
        <v>333</v>
      </c>
      <c r="I43" s="310">
        <v>40035.0</v>
      </c>
      <c r="J43" s="308">
        <f>IFERROR(__xludf.DUMMYFUNCTION("SPLIT(I43,""/"")"),10.0)</f>
        <v>10</v>
      </c>
      <c r="K43" s="308">
        <f>IFERROR(__xludf.DUMMYFUNCTION("""COMPUTED_VALUE"""),8.0)</f>
        <v>8</v>
      </c>
      <c r="L43" s="308">
        <f>IFERROR(__xludf.DUMMYFUNCTION("""COMPUTED_VALUE"""),2009.0)</f>
        <v>2009</v>
      </c>
      <c r="M43" s="308" t="s">
        <v>34291</v>
      </c>
      <c r="N43" s="308"/>
      <c r="O43" s="312" t="s">
        <v>34292</v>
      </c>
      <c r="P43" s="308" t="s">
        <v>124</v>
      </c>
      <c r="Q43" s="308"/>
      <c r="R43" s="308"/>
      <c r="S43" s="308" t="s">
        <v>81</v>
      </c>
      <c r="T43" s="308" t="s">
        <v>34201</v>
      </c>
      <c r="U43" s="308" t="s">
        <v>27</v>
      </c>
      <c r="V43" s="312"/>
    </row>
    <row r="44">
      <c r="A44" s="308">
        <v>43.0</v>
      </c>
      <c r="B44" s="308" t="s">
        <v>34293</v>
      </c>
      <c r="C44" s="308" t="s">
        <v>336</v>
      </c>
      <c r="D44" s="308">
        <f>IFERROR(__xludf.DUMMYFUNCTION("SPLIT(C44,""-"")"),39.0)</f>
        <v>39</v>
      </c>
      <c r="E44" s="308" t="str">
        <f>IFERROR(__xludf.DUMMYFUNCTION("""COMPUTED_VALUE"""),"B")</f>
        <v>B</v>
      </c>
      <c r="F44" s="315" t="s">
        <v>26</v>
      </c>
      <c r="G44" s="308" t="s">
        <v>337</v>
      </c>
      <c r="H44" s="308" t="s">
        <v>338</v>
      </c>
      <c r="I44" s="314">
        <v>40133.0</v>
      </c>
      <c r="J44" s="308">
        <f>IFERROR(__xludf.DUMMYFUNCTION("SPLIT(I44,""/"")"),16.0)</f>
        <v>16</v>
      </c>
      <c r="K44" s="308">
        <f>IFERROR(__xludf.DUMMYFUNCTION("""COMPUTED_VALUE"""),11.0)</f>
        <v>11</v>
      </c>
      <c r="L44" s="308">
        <f>IFERROR(__xludf.DUMMYFUNCTION("""COMPUTED_VALUE"""),2009.0)</f>
        <v>2009</v>
      </c>
      <c r="M44" s="308" t="s">
        <v>339</v>
      </c>
      <c r="N44" s="308"/>
      <c r="O44" s="308" t="s">
        <v>34294</v>
      </c>
      <c r="P44" s="308" t="s">
        <v>341</v>
      </c>
      <c r="Q44" s="308"/>
      <c r="R44" s="308"/>
      <c r="S44" s="308" t="s">
        <v>49</v>
      </c>
      <c r="T44" s="311" t="s">
        <v>53</v>
      </c>
      <c r="U44" s="308" t="s">
        <v>27</v>
      </c>
      <c r="V44" s="312"/>
    </row>
    <row r="45">
      <c r="A45" s="308">
        <v>44.0</v>
      </c>
      <c r="B45" s="308" t="s">
        <v>34295</v>
      </c>
      <c r="C45" s="308" t="s">
        <v>342</v>
      </c>
      <c r="D45" s="308">
        <f>IFERROR(__xludf.DUMMYFUNCTION("SPLIT(C45,""-"")"),40.0)</f>
        <v>40</v>
      </c>
      <c r="E45" s="308" t="str">
        <f>IFERROR(__xludf.DUMMYFUNCTION("""COMPUTED_VALUE"""),"K")</f>
        <v>K</v>
      </c>
      <c r="F45" s="309" t="s">
        <v>34</v>
      </c>
      <c r="G45" s="308" t="s">
        <v>34216</v>
      </c>
      <c r="H45" s="308" t="s">
        <v>343</v>
      </c>
      <c r="I45" s="314">
        <v>40141.0</v>
      </c>
      <c r="J45" s="308">
        <f>IFERROR(__xludf.DUMMYFUNCTION("SPLIT(I45,""/"")"),24.0)</f>
        <v>24</v>
      </c>
      <c r="K45" s="308">
        <f>IFERROR(__xludf.DUMMYFUNCTION("""COMPUTED_VALUE"""),11.0)</f>
        <v>11</v>
      </c>
      <c r="L45" s="308">
        <f>IFERROR(__xludf.DUMMYFUNCTION("""COMPUTED_VALUE"""),2009.0)</f>
        <v>2009</v>
      </c>
      <c r="M45" s="308" t="s">
        <v>34296</v>
      </c>
      <c r="N45" s="308"/>
      <c r="O45" s="308" t="s">
        <v>345</v>
      </c>
      <c r="P45" s="308" t="s">
        <v>34297</v>
      </c>
      <c r="Q45" s="308"/>
      <c r="R45" s="308"/>
      <c r="S45" s="308" t="s">
        <v>81</v>
      </c>
      <c r="T45" s="311" t="s">
        <v>75</v>
      </c>
      <c r="U45" s="308" t="s">
        <v>125</v>
      </c>
      <c r="V45" s="312"/>
    </row>
    <row r="46">
      <c r="A46" s="308">
        <v>45.0</v>
      </c>
      <c r="B46" s="308" t="s">
        <v>34298</v>
      </c>
      <c r="C46" s="308" t="s">
        <v>347</v>
      </c>
      <c r="D46" s="308">
        <f>IFERROR(__xludf.DUMMYFUNCTION("SPLIT(C46,""-"")"),41.0)</f>
        <v>41</v>
      </c>
      <c r="E46" s="308" t="str">
        <f>IFERROR(__xludf.DUMMYFUNCTION("""COMPUTED_VALUE"""),"K")</f>
        <v>K</v>
      </c>
      <c r="F46" s="309" t="s">
        <v>34</v>
      </c>
      <c r="G46" s="308" t="s">
        <v>34216</v>
      </c>
      <c r="H46" s="308" t="s">
        <v>348</v>
      </c>
      <c r="I46" s="310">
        <v>39937.0</v>
      </c>
      <c r="J46" s="308">
        <f>IFERROR(__xludf.DUMMYFUNCTION("SPLIT(I46,""/"")"),4.0)</f>
        <v>4</v>
      </c>
      <c r="K46" s="308">
        <f>IFERROR(__xludf.DUMMYFUNCTION("""COMPUTED_VALUE"""),5.0)</f>
        <v>5</v>
      </c>
      <c r="L46" s="308">
        <f>IFERROR(__xludf.DUMMYFUNCTION("""COMPUTED_VALUE"""),2009.0)</f>
        <v>2009</v>
      </c>
      <c r="M46" s="308" t="s">
        <v>349</v>
      </c>
      <c r="N46" s="308"/>
      <c r="O46" s="308" t="s">
        <v>350</v>
      </c>
      <c r="P46" s="308" t="s">
        <v>34212</v>
      </c>
      <c r="Q46" s="308"/>
      <c r="R46" s="308"/>
      <c r="S46" s="315" t="s">
        <v>100</v>
      </c>
      <c r="T46" s="311" t="s">
        <v>34208</v>
      </c>
      <c r="U46" s="308" t="s">
        <v>125</v>
      </c>
      <c r="V46" s="312"/>
    </row>
    <row r="47">
      <c r="A47" s="308">
        <v>46.0</v>
      </c>
      <c r="B47" s="308" t="s">
        <v>34299</v>
      </c>
      <c r="C47" s="308" t="s">
        <v>351</v>
      </c>
      <c r="D47" s="308">
        <f>IFERROR(__xludf.DUMMYFUNCTION("SPLIT(C47,""-"")"),42.0)</f>
        <v>42</v>
      </c>
      <c r="E47" s="308" t="str">
        <f>IFERROR(__xludf.DUMMYFUNCTION("""COMPUTED_VALUE"""),"P")</f>
        <v>P</v>
      </c>
      <c r="F47" s="312" t="s">
        <v>37</v>
      </c>
      <c r="G47" s="308" t="s">
        <v>34216</v>
      </c>
      <c r="H47" s="308" t="s">
        <v>352</v>
      </c>
      <c r="I47" s="314">
        <v>40170.0</v>
      </c>
      <c r="J47" s="308">
        <f>IFERROR(__xludf.DUMMYFUNCTION("SPLIT(I47,""/"")"),23.0)</f>
        <v>23</v>
      </c>
      <c r="K47" s="308">
        <f>IFERROR(__xludf.DUMMYFUNCTION("""COMPUTED_VALUE"""),12.0)</f>
        <v>12</v>
      </c>
      <c r="L47" s="308">
        <f>IFERROR(__xludf.DUMMYFUNCTION("""COMPUTED_VALUE"""),2009.0)</f>
        <v>2009</v>
      </c>
      <c r="M47" s="308" t="s">
        <v>34300</v>
      </c>
      <c r="N47" s="308"/>
      <c r="O47" s="308" t="s">
        <v>34301</v>
      </c>
      <c r="P47" s="308" t="s">
        <v>355</v>
      </c>
      <c r="Q47" s="308"/>
      <c r="R47" s="308"/>
      <c r="S47" s="308" t="s">
        <v>81</v>
      </c>
      <c r="T47" s="311" t="s">
        <v>75</v>
      </c>
      <c r="U47" s="308" t="s">
        <v>356</v>
      </c>
      <c r="V47" s="312"/>
    </row>
    <row r="48">
      <c r="A48" s="308">
        <v>47.0</v>
      </c>
      <c r="B48" s="308" t="s">
        <v>34302</v>
      </c>
      <c r="C48" s="308" t="s">
        <v>357</v>
      </c>
      <c r="D48" s="308">
        <f>IFERROR(__xludf.DUMMYFUNCTION("SPLIT(C48,""-"")"),43.0)</f>
        <v>43</v>
      </c>
      <c r="E48" s="308" t="str">
        <f>IFERROR(__xludf.DUMMYFUNCTION("""COMPUTED_VALUE"""),"K")</f>
        <v>K</v>
      </c>
      <c r="F48" s="309" t="s">
        <v>34</v>
      </c>
      <c r="G48" s="308" t="s">
        <v>358</v>
      </c>
      <c r="H48" s="308" t="s">
        <v>359</v>
      </c>
      <c r="I48" s="310">
        <v>39924.0</v>
      </c>
      <c r="J48" s="308">
        <f>IFERROR(__xludf.DUMMYFUNCTION("SPLIT(I48,""/"")"),21.0)</f>
        <v>21</v>
      </c>
      <c r="K48" s="308">
        <f>IFERROR(__xludf.DUMMYFUNCTION("""COMPUTED_VALUE"""),4.0)</f>
        <v>4</v>
      </c>
      <c r="L48" s="308">
        <f>IFERROR(__xludf.DUMMYFUNCTION("""COMPUTED_VALUE"""),2009.0)</f>
        <v>2009</v>
      </c>
      <c r="M48" s="308" t="s">
        <v>34303</v>
      </c>
      <c r="N48" s="308"/>
      <c r="O48" s="308" t="s">
        <v>361</v>
      </c>
      <c r="P48" s="308"/>
      <c r="Q48" s="308" t="s">
        <v>137</v>
      </c>
      <c r="R48" s="308"/>
      <c r="S48" s="308" t="s">
        <v>79</v>
      </c>
      <c r="T48" s="308" t="s">
        <v>79</v>
      </c>
      <c r="U48" s="308" t="s">
        <v>125</v>
      </c>
      <c r="V48" s="312"/>
    </row>
    <row r="49">
      <c r="A49" s="308">
        <v>48.0</v>
      </c>
      <c r="B49" s="308" t="s">
        <v>34304</v>
      </c>
      <c r="C49" s="308" t="s">
        <v>362</v>
      </c>
      <c r="D49" s="308">
        <f>IFERROR(__xludf.DUMMYFUNCTION("SPLIT(C49,""-"")"),44.0)</f>
        <v>44</v>
      </c>
      <c r="E49" s="308" t="str">
        <f>IFERROR(__xludf.DUMMYFUNCTION("""COMPUTED_VALUE"""),"K")</f>
        <v>K</v>
      </c>
      <c r="F49" s="309" t="s">
        <v>34</v>
      </c>
      <c r="G49" s="308" t="s">
        <v>34216</v>
      </c>
      <c r="H49" s="308" t="s">
        <v>363</v>
      </c>
      <c r="I49" s="310">
        <v>39924.0</v>
      </c>
      <c r="J49" s="308">
        <f>IFERROR(__xludf.DUMMYFUNCTION("SPLIT(I49,""/"")"),21.0)</f>
        <v>21</v>
      </c>
      <c r="K49" s="308">
        <f>IFERROR(__xludf.DUMMYFUNCTION("""COMPUTED_VALUE"""),4.0)</f>
        <v>4</v>
      </c>
      <c r="L49" s="308">
        <f>IFERROR(__xludf.DUMMYFUNCTION("""COMPUTED_VALUE"""),2009.0)</f>
        <v>2009</v>
      </c>
      <c r="M49" s="308" t="s">
        <v>34303</v>
      </c>
      <c r="N49" s="308"/>
      <c r="O49" s="308" t="s">
        <v>361</v>
      </c>
      <c r="P49" s="308" t="s">
        <v>34212</v>
      </c>
      <c r="Q49" s="308" t="s">
        <v>137</v>
      </c>
      <c r="R49" s="308"/>
      <c r="S49" s="315" t="s">
        <v>100</v>
      </c>
      <c r="T49" s="311" t="s">
        <v>34208</v>
      </c>
      <c r="U49" s="308" t="s">
        <v>125</v>
      </c>
      <c r="V49" s="312"/>
    </row>
    <row r="50">
      <c r="A50" s="308">
        <v>49.0</v>
      </c>
      <c r="B50" s="308" t="s">
        <v>34305</v>
      </c>
      <c r="C50" s="308" t="s">
        <v>364</v>
      </c>
      <c r="D50" s="308">
        <f>IFERROR(__xludf.DUMMYFUNCTION("SPLIT(C50,""-"")"),45.0)</f>
        <v>45</v>
      </c>
      <c r="E50" s="308" t="str">
        <f>IFERROR(__xludf.DUMMYFUNCTION("""COMPUTED_VALUE"""),"K")</f>
        <v>K</v>
      </c>
      <c r="F50" s="309" t="s">
        <v>34</v>
      </c>
      <c r="G50" s="308" t="s">
        <v>34216</v>
      </c>
      <c r="H50" s="308" t="s">
        <v>365</v>
      </c>
      <c r="I50" s="310">
        <v>39937.0</v>
      </c>
      <c r="J50" s="308">
        <f>IFERROR(__xludf.DUMMYFUNCTION("SPLIT(I50,""/"")"),4.0)</f>
        <v>4</v>
      </c>
      <c r="K50" s="308">
        <f>IFERROR(__xludf.DUMMYFUNCTION("""COMPUTED_VALUE"""),5.0)</f>
        <v>5</v>
      </c>
      <c r="L50" s="308">
        <f>IFERROR(__xludf.DUMMYFUNCTION("""COMPUTED_VALUE"""),2009.0)</f>
        <v>2009</v>
      </c>
      <c r="M50" s="308" t="s">
        <v>366</v>
      </c>
      <c r="N50" s="308"/>
      <c r="O50" s="308" t="s">
        <v>367</v>
      </c>
      <c r="P50" s="308" t="s">
        <v>136</v>
      </c>
      <c r="Q50" s="308" t="s">
        <v>137</v>
      </c>
      <c r="R50" s="308"/>
      <c r="S50" s="315" t="s">
        <v>100</v>
      </c>
      <c r="T50" s="308" t="s">
        <v>34208</v>
      </c>
      <c r="U50" s="308" t="s">
        <v>368</v>
      </c>
      <c r="V50" s="312"/>
    </row>
    <row r="51">
      <c r="A51" s="308">
        <v>50.0</v>
      </c>
      <c r="B51" s="308" t="s">
        <v>34306</v>
      </c>
      <c r="C51" s="308" t="s">
        <v>369</v>
      </c>
      <c r="D51" s="308">
        <f>IFERROR(__xludf.DUMMYFUNCTION("SPLIT(C51,""-"")"),46.0)</f>
        <v>46</v>
      </c>
      <c r="E51" s="308" t="str">
        <f>IFERROR(__xludf.DUMMYFUNCTION("""COMPUTED_VALUE"""),"k")</f>
        <v>k</v>
      </c>
      <c r="F51" s="309" t="s">
        <v>34</v>
      </c>
      <c r="G51" s="308" t="s">
        <v>370</v>
      </c>
      <c r="H51" s="308" t="s">
        <v>371</v>
      </c>
      <c r="I51" s="310">
        <v>40062.0</v>
      </c>
      <c r="J51" s="308">
        <f>IFERROR(__xludf.DUMMYFUNCTION("SPLIT(I51,""/"")"),6.0)</f>
        <v>6</v>
      </c>
      <c r="K51" s="308">
        <f>IFERROR(__xludf.DUMMYFUNCTION("""COMPUTED_VALUE"""),9.0)</f>
        <v>9</v>
      </c>
      <c r="L51" s="308">
        <f>IFERROR(__xludf.DUMMYFUNCTION("""COMPUTED_VALUE"""),2009.0)</f>
        <v>2009</v>
      </c>
      <c r="M51" s="308" t="s">
        <v>34307</v>
      </c>
      <c r="N51" s="308"/>
      <c r="O51" s="308" t="s">
        <v>373</v>
      </c>
      <c r="P51" s="308" t="s">
        <v>136</v>
      </c>
      <c r="Q51" s="308" t="s">
        <v>137</v>
      </c>
      <c r="R51" s="308"/>
      <c r="S51" s="315" t="s">
        <v>100</v>
      </c>
      <c r="T51" s="308" t="s">
        <v>34208</v>
      </c>
      <c r="U51" s="308" t="s">
        <v>137</v>
      </c>
      <c r="V51" s="312"/>
    </row>
    <row r="52">
      <c r="A52" s="308">
        <v>51.0</v>
      </c>
      <c r="B52" s="308" t="s">
        <v>34308</v>
      </c>
      <c r="C52" s="308" t="s">
        <v>374</v>
      </c>
      <c r="D52" s="308">
        <f>IFERROR(__xludf.DUMMYFUNCTION("SPLIT(C52,""-"")"),47.0)</f>
        <v>47</v>
      </c>
      <c r="E52" s="308" t="str">
        <f>IFERROR(__xludf.DUMMYFUNCTION("""COMPUTED_VALUE"""),"K")</f>
        <v>K</v>
      </c>
      <c r="F52" s="309" t="s">
        <v>34</v>
      </c>
      <c r="G52" s="308" t="s">
        <v>370</v>
      </c>
      <c r="H52" s="308" t="s">
        <v>375</v>
      </c>
      <c r="I52" s="310">
        <v>40062.0</v>
      </c>
      <c r="J52" s="308">
        <f>IFERROR(__xludf.DUMMYFUNCTION("SPLIT(I52,""/"")"),6.0)</f>
        <v>6</v>
      </c>
      <c r="K52" s="308">
        <f>IFERROR(__xludf.DUMMYFUNCTION("""COMPUTED_VALUE"""),9.0)</f>
        <v>9</v>
      </c>
      <c r="L52" s="308">
        <f>IFERROR(__xludf.DUMMYFUNCTION("""COMPUTED_VALUE"""),2009.0)</f>
        <v>2009</v>
      </c>
      <c r="M52" s="308" t="s">
        <v>34309</v>
      </c>
      <c r="N52" s="308"/>
      <c r="O52" s="308" t="s">
        <v>373</v>
      </c>
      <c r="P52" s="308" t="s">
        <v>377</v>
      </c>
      <c r="Q52" s="308" t="s">
        <v>137</v>
      </c>
      <c r="R52" s="308"/>
      <c r="S52" s="308" t="s">
        <v>49</v>
      </c>
      <c r="T52" s="308" t="s">
        <v>51</v>
      </c>
      <c r="U52" s="308" t="s">
        <v>137</v>
      </c>
      <c r="V52" s="312"/>
    </row>
    <row r="53">
      <c r="A53" s="308">
        <v>52.0</v>
      </c>
      <c r="B53" s="308" t="s">
        <v>34310</v>
      </c>
      <c r="C53" s="308" t="s">
        <v>378</v>
      </c>
      <c r="D53" s="308">
        <f>IFERROR(__xludf.DUMMYFUNCTION("SPLIT(C53,""-"")"),48.0)</f>
        <v>48</v>
      </c>
      <c r="E53" s="308" t="str">
        <f>IFERROR(__xludf.DUMMYFUNCTION("""COMPUTED_VALUE"""),"K")</f>
        <v>K</v>
      </c>
      <c r="F53" s="309" t="s">
        <v>34</v>
      </c>
      <c r="G53" s="308" t="s">
        <v>370</v>
      </c>
      <c r="H53" s="308" t="s">
        <v>379</v>
      </c>
      <c r="I53" s="310">
        <v>40062.0</v>
      </c>
      <c r="J53" s="308">
        <f>IFERROR(__xludf.DUMMYFUNCTION("SPLIT(I53,""/"")"),6.0)</f>
        <v>6</v>
      </c>
      <c r="K53" s="308">
        <f>IFERROR(__xludf.DUMMYFUNCTION("""COMPUTED_VALUE"""),9.0)</f>
        <v>9</v>
      </c>
      <c r="L53" s="308">
        <f>IFERROR(__xludf.DUMMYFUNCTION("""COMPUTED_VALUE"""),2009.0)</f>
        <v>2009</v>
      </c>
      <c r="M53" s="308" t="s">
        <v>34311</v>
      </c>
      <c r="N53" s="308"/>
      <c r="O53" s="312" t="s">
        <v>34312</v>
      </c>
      <c r="P53" s="308" t="s">
        <v>382</v>
      </c>
      <c r="Q53" s="308" t="s">
        <v>137</v>
      </c>
      <c r="R53" s="308"/>
      <c r="S53" s="308" t="s">
        <v>49</v>
      </c>
      <c r="T53" s="308" t="s">
        <v>51</v>
      </c>
      <c r="U53" s="308" t="s">
        <v>137</v>
      </c>
      <c r="V53" s="312"/>
    </row>
    <row r="54">
      <c r="A54" s="308">
        <v>53.0</v>
      </c>
      <c r="B54" s="308" t="s">
        <v>34313</v>
      </c>
      <c r="C54" s="308" t="s">
        <v>383</v>
      </c>
      <c r="D54" s="308">
        <f>IFERROR(__xludf.DUMMYFUNCTION("SPLIT(C54,""-"")"),49.0)</f>
        <v>49</v>
      </c>
      <c r="E54" s="308" t="str">
        <f>IFERROR(__xludf.DUMMYFUNCTION("""COMPUTED_VALUE"""),"K")</f>
        <v>K</v>
      </c>
      <c r="F54" s="309" t="s">
        <v>34</v>
      </c>
      <c r="G54" s="308" t="s">
        <v>370</v>
      </c>
      <c r="H54" s="308" t="s">
        <v>384</v>
      </c>
      <c r="I54" s="310">
        <v>40062.0</v>
      </c>
      <c r="J54" s="308">
        <f>IFERROR(__xludf.DUMMYFUNCTION("SPLIT(I54,""/"")"),6.0)</f>
        <v>6</v>
      </c>
      <c r="K54" s="308">
        <f>IFERROR(__xludf.DUMMYFUNCTION("""COMPUTED_VALUE"""),9.0)</f>
        <v>9</v>
      </c>
      <c r="L54" s="308">
        <f>IFERROR(__xludf.DUMMYFUNCTION("""COMPUTED_VALUE"""),2009.0)</f>
        <v>2009</v>
      </c>
      <c r="M54" s="308" t="s">
        <v>34314</v>
      </c>
      <c r="N54" s="308"/>
      <c r="O54" s="312" t="s">
        <v>34312</v>
      </c>
      <c r="P54" s="308" t="s">
        <v>382</v>
      </c>
      <c r="Q54" s="308" t="s">
        <v>137</v>
      </c>
      <c r="R54" s="308"/>
      <c r="S54" s="308" t="s">
        <v>49</v>
      </c>
      <c r="T54" s="308" t="s">
        <v>51</v>
      </c>
      <c r="U54" s="308" t="s">
        <v>137</v>
      </c>
      <c r="V54" s="312"/>
    </row>
    <row r="55">
      <c r="A55" s="308">
        <v>54.0</v>
      </c>
      <c r="B55" s="308" t="s">
        <v>34315</v>
      </c>
      <c r="C55" s="308" t="s">
        <v>386</v>
      </c>
      <c r="D55" s="308">
        <f>IFERROR(__xludf.DUMMYFUNCTION("SPLIT(C55,""-"")"),50.0)</f>
        <v>50</v>
      </c>
      <c r="E55" s="308" t="str">
        <f>IFERROR(__xludf.DUMMYFUNCTION("""COMPUTED_VALUE"""),"K")</f>
        <v>K</v>
      </c>
      <c r="F55" s="309" t="s">
        <v>34</v>
      </c>
      <c r="G55" s="308" t="s">
        <v>370</v>
      </c>
      <c r="H55" s="308" t="s">
        <v>387</v>
      </c>
      <c r="I55" s="310">
        <v>40062.0</v>
      </c>
      <c r="J55" s="308">
        <f>IFERROR(__xludf.DUMMYFUNCTION("SPLIT(I55,""/"")"),6.0)</f>
        <v>6</v>
      </c>
      <c r="K55" s="308">
        <f>IFERROR(__xludf.DUMMYFUNCTION("""COMPUTED_VALUE"""),9.0)</f>
        <v>9</v>
      </c>
      <c r="L55" s="308">
        <f>IFERROR(__xludf.DUMMYFUNCTION("""COMPUTED_VALUE"""),2009.0)</f>
        <v>2009</v>
      </c>
      <c r="M55" s="308" t="s">
        <v>34316</v>
      </c>
      <c r="N55" s="308"/>
      <c r="O55" s="312" t="s">
        <v>34312</v>
      </c>
      <c r="P55" s="308" t="s">
        <v>382</v>
      </c>
      <c r="Q55" s="308" t="s">
        <v>137</v>
      </c>
      <c r="R55" s="308"/>
      <c r="S55" s="308" t="s">
        <v>49</v>
      </c>
      <c r="T55" s="308" t="s">
        <v>51</v>
      </c>
      <c r="U55" s="308" t="s">
        <v>137</v>
      </c>
      <c r="V55" s="312"/>
    </row>
    <row r="56">
      <c r="A56" s="308">
        <v>55.0</v>
      </c>
      <c r="B56" s="308" t="s">
        <v>34317</v>
      </c>
      <c r="C56" s="308" t="s">
        <v>388</v>
      </c>
      <c r="D56" s="308">
        <f>IFERROR(__xludf.DUMMYFUNCTION("SPLIT(C56,""-"")"),51.0)</f>
        <v>51</v>
      </c>
      <c r="E56" s="308" t="str">
        <f>IFERROR(__xludf.DUMMYFUNCTION("""COMPUTED_VALUE"""),"B")</f>
        <v>B</v>
      </c>
      <c r="F56" s="315" t="s">
        <v>26</v>
      </c>
      <c r="G56" s="308" t="s">
        <v>34216</v>
      </c>
      <c r="H56" s="308" t="s">
        <v>389</v>
      </c>
      <c r="I56" s="314">
        <v>40112.0</v>
      </c>
      <c r="J56" s="308">
        <f>IFERROR(__xludf.DUMMYFUNCTION("SPLIT(I56,""/"")"),26.0)</f>
        <v>26</v>
      </c>
      <c r="K56" s="308">
        <f>IFERROR(__xludf.DUMMYFUNCTION("""COMPUTED_VALUE"""),10.0)</f>
        <v>10</v>
      </c>
      <c r="L56" s="308">
        <f>IFERROR(__xludf.DUMMYFUNCTION("""COMPUTED_VALUE"""),2009.0)</f>
        <v>2009</v>
      </c>
      <c r="M56" s="308" t="s">
        <v>390</v>
      </c>
      <c r="N56" s="308"/>
      <c r="O56" s="308" t="s">
        <v>391</v>
      </c>
      <c r="P56" s="308" t="s">
        <v>392</v>
      </c>
      <c r="Q56" s="308"/>
      <c r="R56" s="308"/>
      <c r="S56" s="308" t="s">
        <v>49</v>
      </c>
      <c r="T56" s="311" t="s">
        <v>70</v>
      </c>
      <c r="U56" s="308" t="s">
        <v>27</v>
      </c>
      <c r="V56" s="312"/>
    </row>
    <row r="57">
      <c r="A57" s="308">
        <v>56.0</v>
      </c>
      <c r="B57" s="308" t="s">
        <v>34318</v>
      </c>
      <c r="C57" s="308" t="s">
        <v>34319</v>
      </c>
      <c r="D57" s="308">
        <f>IFERROR(__xludf.DUMMYFUNCTION("SPLIT(C57,""-"")"),52.0)</f>
        <v>52</v>
      </c>
      <c r="E57" s="311"/>
      <c r="F57" s="309" t="s">
        <v>31</v>
      </c>
      <c r="G57" s="308" t="s">
        <v>34216</v>
      </c>
      <c r="H57" s="308" t="s">
        <v>393</v>
      </c>
      <c r="I57" s="310">
        <v>40262.0</v>
      </c>
      <c r="J57" s="308">
        <f>IFERROR(__xludf.DUMMYFUNCTION("SPLIT(I57,""/"")"),25.0)</f>
        <v>25</v>
      </c>
      <c r="K57" s="308">
        <f>IFERROR(__xludf.DUMMYFUNCTION("""COMPUTED_VALUE"""),3.0)</f>
        <v>3</v>
      </c>
      <c r="L57" s="308">
        <f>IFERROR(__xludf.DUMMYFUNCTION("""COMPUTED_VALUE"""),2010.0)</f>
        <v>2010</v>
      </c>
      <c r="M57" s="308" t="s">
        <v>394</v>
      </c>
      <c r="N57" s="308"/>
      <c r="O57" s="308" t="s">
        <v>395</v>
      </c>
      <c r="P57" s="308" t="s">
        <v>396</v>
      </c>
      <c r="Q57" s="308"/>
      <c r="R57" s="308"/>
      <c r="S57" s="308" t="s">
        <v>81</v>
      </c>
      <c r="T57" s="311" t="s">
        <v>75</v>
      </c>
      <c r="U57" s="308"/>
      <c r="V57" s="312"/>
    </row>
    <row r="58">
      <c r="A58" s="308">
        <v>57.0</v>
      </c>
      <c r="B58" s="308">
        <v>3072.0</v>
      </c>
      <c r="C58" s="312" t="s">
        <v>397</v>
      </c>
      <c r="D58" s="308">
        <f>IFERROR(__xludf.DUMMYFUNCTION("SPLIT(C58,""-"")"),53.0)</f>
        <v>53</v>
      </c>
      <c r="E58" s="312" t="str">
        <f>IFERROR(__xludf.DUMMYFUNCTION("""COMPUTED_VALUE"""),"A")</f>
        <v>A</v>
      </c>
      <c r="F58" s="309" t="s">
        <v>23</v>
      </c>
      <c r="G58" s="308" t="s">
        <v>398</v>
      </c>
      <c r="H58" s="308" t="s">
        <v>399</v>
      </c>
      <c r="I58" s="310">
        <v>37679.0</v>
      </c>
      <c r="J58" s="308">
        <f>IFERROR(__xludf.DUMMYFUNCTION("SPLIT(I58,""/"")"),27.0)</f>
        <v>27</v>
      </c>
      <c r="K58" s="308">
        <f>IFERROR(__xludf.DUMMYFUNCTION("""COMPUTED_VALUE"""),2.0)</f>
        <v>2</v>
      </c>
      <c r="L58" s="308">
        <f>IFERROR(__xludf.DUMMYFUNCTION("""COMPUTED_VALUE"""),2003.0)</f>
        <v>2003</v>
      </c>
      <c r="M58" s="308" t="s">
        <v>400</v>
      </c>
      <c r="N58" s="308"/>
      <c r="O58" s="312" t="s">
        <v>34320</v>
      </c>
      <c r="P58" s="308" t="s">
        <v>34321</v>
      </c>
      <c r="Q58" s="308"/>
      <c r="R58" s="308" t="s">
        <v>34322</v>
      </c>
      <c r="S58" s="308" t="s">
        <v>49</v>
      </c>
      <c r="T58" s="308" t="s">
        <v>51</v>
      </c>
      <c r="U58" s="308" t="s">
        <v>403</v>
      </c>
      <c r="V58" s="312"/>
    </row>
    <row r="59">
      <c r="A59" s="308">
        <v>58.0</v>
      </c>
      <c r="B59" s="308" t="s">
        <v>34323</v>
      </c>
      <c r="C59" s="308" t="s">
        <v>404</v>
      </c>
      <c r="D59" s="308">
        <f>IFERROR(__xludf.DUMMYFUNCTION("SPLIT(C59,""-"")"),54.0)</f>
        <v>54</v>
      </c>
      <c r="E59" s="308" t="str">
        <f>IFERROR(__xludf.DUMMYFUNCTION("""COMPUTED_VALUE"""),"K")</f>
        <v>K</v>
      </c>
      <c r="F59" s="309" t="s">
        <v>34</v>
      </c>
      <c r="G59" s="308" t="s">
        <v>405</v>
      </c>
      <c r="H59" s="308" t="s">
        <v>406</v>
      </c>
      <c r="I59" s="316" t="s">
        <v>407</v>
      </c>
      <c r="J59" s="308" t="str">
        <f>IFERROR(__xludf.DUMMYFUNCTION("SPLIT(I59,""/"")"),"#REF!")</f>
        <v>#REF!</v>
      </c>
      <c r="K59" s="308"/>
      <c r="L59" s="311" t="s">
        <v>79</v>
      </c>
      <c r="M59" s="308" t="s">
        <v>408</v>
      </c>
      <c r="N59" s="308"/>
      <c r="O59" s="308" t="s">
        <v>34216</v>
      </c>
      <c r="P59" s="308" t="s">
        <v>409</v>
      </c>
      <c r="Q59" s="308"/>
      <c r="R59" s="308"/>
      <c r="S59" s="308" t="s">
        <v>81</v>
      </c>
      <c r="T59" s="308" t="s">
        <v>98</v>
      </c>
      <c r="U59" s="308"/>
      <c r="V59" s="312"/>
    </row>
    <row r="60">
      <c r="A60" s="308">
        <v>59.0</v>
      </c>
      <c r="B60" s="308" t="s">
        <v>34324</v>
      </c>
      <c r="C60" s="308" t="s">
        <v>410</v>
      </c>
      <c r="D60" s="308">
        <f>IFERROR(__xludf.DUMMYFUNCTION("SPLIT(C60,""-"")"),55.0)</f>
        <v>55</v>
      </c>
      <c r="E60" s="308" t="str">
        <f>IFERROR(__xludf.DUMMYFUNCTION("""COMPUTED_VALUE"""),"K")</f>
        <v>K</v>
      </c>
      <c r="F60" s="309" t="s">
        <v>34</v>
      </c>
      <c r="G60" s="308" t="s">
        <v>405</v>
      </c>
      <c r="H60" s="308" t="s">
        <v>411</v>
      </c>
      <c r="I60" s="316" t="s">
        <v>407</v>
      </c>
      <c r="J60" s="308" t="str">
        <f>IFERROR(__xludf.DUMMYFUNCTION("SPLIT(I60,""/"")"),"#REF!")</f>
        <v>#REF!</v>
      </c>
      <c r="K60" s="308"/>
      <c r="L60" s="311" t="s">
        <v>79</v>
      </c>
      <c r="M60" s="308" t="s">
        <v>408</v>
      </c>
      <c r="N60" s="308"/>
      <c r="O60" s="308" t="s">
        <v>34216</v>
      </c>
      <c r="P60" s="308" t="s">
        <v>124</v>
      </c>
      <c r="Q60" s="308"/>
      <c r="R60" s="308"/>
      <c r="S60" s="308" t="s">
        <v>81</v>
      </c>
      <c r="T60" s="308" t="s">
        <v>34201</v>
      </c>
      <c r="U60" s="308"/>
      <c r="V60" s="312"/>
    </row>
    <row r="61">
      <c r="A61" s="308">
        <v>60.0</v>
      </c>
      <c r="B61" s="308" t="s">
        <v>34325</v>
      </c>
      <c r="C61" s="308" t="s">
        <v>412</v>
      </c>
      <c r="D61" s="308">
        <f>IFERROR(__xludf.DUMMYFUNCTION("SPLIT(C61,""-"")"),56.0)</f>
        <v>56</v>
      </c>
      <c r="E61" s="308" t="str">
        <f>IFERROR(__xludf.DUMMYFUNCTION("""COMPUTED_VALUE"""),"B")</f>
        <v>B</v>
      </c>
      <c r="F61" s="315" t="s">
        <v>26</v>
      </c>
      <c r="G61" s="308" t="s">
        <v>34216</v>
      </c>
      <c r="H61" s="308" t="s">
        <v>413</v>
      </c>
      <c r="I61" s="310">
        <v>40026.0</v>
      </c>
      <c r="J61" s="308">
        <f>IFERROR(__xludf.DUMMYFUNCTION("SPLIT(I61,""/"")"),1.0)</f>
        <v>1</v>
      </c>
      <c r="K61" s="308">
        <f>IFERROR(__xludf.DUMMYFUNCTION("""COMPUTED_VALUE"""),8.0)</f>
        <v>8</v>
      </c>
      <c r="L61" s="308">
        <f>IFERROR(__xludf.DUMMYFUNCTION("""COMPUTED_VALUE"""),2009.0)</f>
        <v>2009</v>
      </c>
      <c r="M61" s="308" t="s">
        <v>414</v>
      </c>
      <c r="N61" s="308"/>
      <c r="O61" s="308" t="s">
        <v>415</v>
      </c>
      <c r="P61" s="308" t="s">
        <v>34326</v>
      </c>
      <c r="Q61" s="308"/>
      <c r="R61" s="308"/>
      <c r="S61" s="308" t="s">
        <v>81</v>
      </c>
      <c r="T61" s="308" t="s">
        <v>98</v>
      </c>
      <c r="U61" s="308"/>
      <c r="V61" s="312"/>
    </row>
    <row r="62">
      <c r="A62" s="308">
        <v>61.0</v>
      </c>
      <c r="B62" s="308" t="s">
        <v>34327</v>
      </c>
      <c r="C62" s="308" t="s">
        <v>417</v>
      </c>
      <c r="D62" s="308">
        <f>IFERROR(__xludf.DUMMYFUNCTION("SPLIT(C62,""-"")"),57.0)</f>
        <v>57</v>
      </c>
      <c r="E62" s="308" t="str">
        <f>IFERROR(__xludf.DUMMYFUNCTION("""COMPUTED_VALUE"""),"B")</f>
        <v>B</v>
      </c>
      <c r="F62" s="315" t="s">
        <v>26</v>
      </c>
      <c r="G62" s="308" t="s">
        <v>34216</v>
      </c>
      <c r="H62" s="308" t="s">
        <v>418</v>
      </c>
      <c r="I62" s="314">
        <v>40166.0</v>
      </c>
      <c r="J62" s="308">
        <f>IFERROR(__xludf.DUMMYFUNCTION("SPLIT(I62,""/"")"),19.0)</f>
        <v>19</v>
      </c>
      <c r="K62" s="308">
        <f>IFERROR(__xludf.DUMMYFUNCTION("""COMPUTED_VALUE"""),12.0)</f>
        <v>12</v>
      </c>
      <c r="L62" s="308">
        <f>IFERROR(__xludf.DUMMYFUNCTION("""COMPUTED_VALUE"""),2009.0)</f>
        <v>2009</v>
      </c>
      <c r="M62" s="308" t="s">
        <v>34328</v>
      </c>
      <c r="N62" s="308"/>
      <c r="O62" s="308" t="s">
        <v>420</v>
      </c>
      <c r="P62" s="308" t="s">
        <v>421</v>
      </c>
      <c r="Q62" s="308"/>
      <c r="R62" s="308"/>
      <c r="S62" s="308" t="s">
        <v>49</v>
      </c>
      <c r="T62" s="308" t="s">
        <v>51</v>
      </c>
      <c r="U62" s="308"/>
      <c r="V62" s="312"/>
    </row>
    <row r="63">
      <c r="A63" s="308">
        <v>62.0</v>
      </c>
      <c r="B63" s="308" t="s">
        <v>34329</v>
      </c>
      <c r="C63" s="308" t="s">
        <v>422</v>
      </c>
      <c r="D63" s="308">
        <f>IFERROR(__xludf.DUMMYFUNCTION("SPLIT(C63,""-"")"),58.0)</f>
        <v>58</v>
      </c>
      <c r="E63" s="308" t="str">
        <f>IFERROR(__xludf.DUMMYFUNCTION("""COMPUTED_VALUE"""),"K")</f>
        <v>K</v>
      </c>
      <c r="F63" s="309" t="s">
        <v>34</v>
      </c>
      <c r="G63" s="308" t="s">
        <v>34216</v>
      </c>
      <c r="H63" s="308" t="s">
        <v>423</v>
      </c>
      <c r="I63" s="310">
        <v>40058.0</v>
      </c>
      <c r="J63" s="308">
        <f>IFERROR(__xludf.DUMMYFUNCTION("SPLIT(I63,""/"")"),2.0)</f>
        <v>2</v>
      </c>
      <c r="K63" s="308">
        <f>IFERROR(__xludf.DUMMYFUNCTION("""COMPUTED_VALUE"""),9.0)</f>
        <v>9</v>
      </c>
      <c r="L63" s="308">
        <f>IFERROR(__xludf.DUMMYFUNCTION("""COMPUTED_VALUE"""),2009.0)</f>
        <v>2009</v>
      </c>
      <c r="M63" s="308" t="s">
        <v>424</v>
      </c>
      <c r="N63" s="308"/>
      <c r="O63" s="312" t="s">
        <v>34330</v>
      </c>
      <c r="P63" s="308" t="s">
        <v>34331</v>
      </c>
      <c r="Q63" s="308"/>
      <c r="R63" s="308"/>
      <c r="S63" s="308" t="s">
        <v>81</v>
      </c>
      <c r="T63" s="311" t="s">
        <v>75</v>
      </c>
      <c r="U63" s="308"/>
      <c r="V63" s="312"/>
    </row>
    <row r="64">
      <c r="A64" s="308">
        <v>63.0</v>
      </c>
      <c r="B64" s="308" t="s">
        <v>34332</v>
      </c>
      <c r="C64" s="308" t="s">
        <v>427</v>
      </c>
      <c r="D64" s="308">
        <f>IFERROR(__xludf.DUMMYFUNCTION("SPLIT(C64,""-"")"),59.0)</f>
        <v>59</v>
      </c>
      <c r="E64" s="308" t="str">
        <f>IFERROR(__xludf.DUMMYFUNCTION("""COMPUTED_VALUE"""),"K")</f>
        <v>K</v>
      </c>
      <c r="F64" s="309" t="s">
        <v>34</v>
      </c>
      <c r="G64" s="308" t="s">
        <v>34216</v>
      </c>
      <c r="H64" s="308" t="s">
        <v>428</v>
      </c>
      <c r="I64" s="310">
        <v>40082.0</v>
      </c>
      <c r="J64" s="308">
        <f>IFERROR(__xludf.DUMMYFUNCTION("SPLIT(I64,""/"")"),26.0)</f>
        <v>26</v>
      </c>
      <c r="K64" s="308">
        <f>IFERROR(__xludf.DUMMYFUNCTION("""COMPUTED_VALUE"""),9.0)</f>
        <v>9</v>
      </c>
      <c r="L64" s="308">
        <f>IFERROR(__xludf.DUMMYFUNCTION("""COMPUTED_VALUE"""),2009.0)</f>
        <v>2009</v>
      </c>
      <c r="M64" s="308" t="s">
        <v>429</v>
      </c>
      <c r="N64" s="308"/>
      <c r="O64" s="308" t="s">
        <v>430</v>
      </c>
      <c r="P64" s="308" t="s">
        <v>34333</v>
      </c>
      <c r="Q64" s="308"/>
      <c r="R64" s="308"/>
      <c r="S64" s="308" t="s">
        <v>81</v>
      </c>
      <c r="T64" s="311" t="s">
        <v>75</v>
      </c>
      <c r="U64" s="308"/>
      <c r="V64" s="312"/>
    </row>
    <row r="65">
      <c r="A65" s="308">
        <v>64.0</v>
      </c>
      <c r="B65" s="308"/>
      <c r="C65" s="308" t="s">
        <v>432</v>
      </c>
      <c r="D65" s="308">
        <f>IFERROR(__xludf.DUMMYFUNCTION("SPLIT(C65,""-"")"),60.0)</f>
        <v>60</v>
      </c>
      <c r="E65" s="308" t="str">
        <f>IFERROR(__xludf.DUMMYFUNCTION("""COMPUTED_VALUE"""),"P")</f>
        <v>P</v>
      </c>
      <c r="F65" s="312" t="s">
        <v>37</v>
      </c>
      <c r="G65" s="308"/>
      <c r="H65" s="308" t="s">
        <v>433</v>
      </c>
      <c r="I65" s="310">
        <v>39701.0</v>
      </c>
      <c r="J65" s="308">
        <f>IFERROR(__xludf.DUMMYFUNCTION("SPLIT(I65,""/"")"),10.0)</f>
        <v>10</v>
      </c>
      <c r="K65" s="308">
        <f>IFERROR(__xludf.DUMMYFUNCTION("""COMPUTED_VALUE"""),9.0)</f>
        <v>9</v>
      </c>
      <c r="L65" s="308">
        <f>IFERROR(__xludf.DUMMYFUNCTION("""COMPUTED_VALUE"""),2008.0)</f>
        <v>2008</v>
      </c>
      <c r="M65" s="308" t="s">
        <v>434</v>
      </c>
      <c r="N65" s="308"/>
      <c r="O65" s="308"/>
      <c r="P65" s="308" t="s">
        <v>34334</v>
      </c>
      <c r="Q65" s="308"/>
      <c r="R65" s="308"/>
      <c r="S65" s="308" t="s">
        <v>81</v>
      </c>
      <c r="T65" s="311" t="s">
        <v>51</v>
      </c>
      <c r="U65" s="308" t="s">
        <v>143</v>
      </c>
      <c r="V65" s="308"/>
    </row>
    <row r="66">
      <c r="A66" s="308">
        <v>65.0</v>
      </c>
      <c r="B66" s="308"/>
      <c r="C66" s="308" t="s">
        <v>436</v>
      </c>
      <c r="D66" s="308">
        <f>IFERROR(__xludf.DUMMYFUNCTION("SPLIT(C66,""-"")"),61.0)</f>
        <v>61</v>
      </c>
      <c r="E66" s="308" t="str">
        <f>IFERROR(__xludf.DUMMYFUNCTION("""COMPUTED_VALUE"""),"K")</f>
        <v>K</v>
      </c>
      <c r="F66" s="309" t="s">
        <v>34</v>
      </c>
      <c r="G66" s="308"/>
      <c r="H66" s="308" t="s">
        <v>437</v>
      </c>
      <c r="I66" s="310">
        <v>42021.0</v>
      </c>
      <c r="J66" s="308">
        <f>IFERROR(__xludf.DUMMYFUNCTION("SPLIT(I66,""/"")"),17.0)</f>
        <v>17</v>
      </c>
      <c r="K66" s="308">
        <f>IFERROR(__xludf.DUMMYFUNCTION("""COMPUTED_VALUE"""),1.0)</f>
        <v>1</v>
      </c>
      <c r="L66" s="308">
        <f>IFERROR(__xludf.DUMMYFUNCTION("""COMPUTED_VALUE"""),2015.0)</f>
        <v>2015</v>
      </c>
      <c r="M66" s="308" t="s">
        <v>438</v>
      </c>
      <c r="N66" s="308" t="s">
        <v>439</v>
      </c>
      <c r="O66" s="308" t="s">
        <v>440</v>
      </c>
      <c r="P66" s="308" t="s">
        <v>136</v>
      </c>
      <c r="Q66" s="308"/>
      <c r="R66" s="308"/>
      <c r="S66" s="315" t="s">
        <v>100</v>
      </c>
      <c r="T66" s="308" t="s">
        <v>34208</v>
      </c>
      <c r="U66" s="308" t="s">
        <v>282</v>
      </c>
      <c r="V66" s="312"/>
    </row>
    <row r="67">
      <c r="A67" s="308">
        <v>66.0</v>
      </c>
      <c r="B67" s="308" t="s">
        <v>34335</v>
      </c>
      <c r="C67" s="308" t="s">
        <v>441</v>
      </c>
      <c r="D67" s="308">
        <f>IFERROR(__xludf.DUMMYFUNCTION("SPLIT(C67,""-"")"),62.0)</f>
        <v>62</v>
      </c>
      <c r="E67" s="308" t="str">
        <f>IFERROR(__xludf.DUMMYFUNCTION("""COMPUTED_VALUE"""),"B")</f>
        <v>B</v>
      </c>
      <c r="F67" s="315" t="s">
        <v>26</v>
      </c>
      <c r="G67" s="308" t="s">
        <v>34216</v>
      </c>
      <c r="H67" s="308" t="s">
        <v>442</v>
      </c>
      <c r="I67" s="310">
        <v>40036.0</v>
      </c>
      <c r="J67" s="308">
        <f>IFERROR(__xludf.DUMMYFUNCTION("SPLIT(I67,""/"")"),11.0)</f>
        <v>11</v>
      </c>
      <c r="K67" s="308">
        <f>IFERROR(__xludf.DUMMYFUNCTION("""COMPUTED_VALUE"""),8.0)</f>
        <v>8</v>
      </c>
      <c r="L67" s="308">
        <f>IFERROR(__xludf.DUMMYFUNCTION("""COMPUTED_VALUE"""),2009.0)</f>
        <v>2009</v>
      </c>
      <c r="M67" s="308" t="s">
        <v>443</v>
      </c>
      <c r="N67" s="308"/>
      <c r="O67" s="308" t="s">
        <v>444</v>
      </c>
      <c r="P67" s="308" t="s">
        <v>445</v>
      </c>
      <c r="Q67" s="308"/>
      <c r="R67" s="308"/>
      <c r="S67" s="308" t="s">
        <v>81</v>
      </c>
      <c r="T67" s="311" t="s">
        <v>75</v>
      </c>
      <c r="U67" s="308"/>
      <c r="V67" s="312"/>
    </row>
    <row r="68">
      <c r="A68" s="308">
        <v>67.0</v>
      </c>
      <c r="B68" s="308" t="s">
        <v>34336</v>
      </c>
      <c r="C68" s="308" t="s">
        <v>446</v>
      </c>
      <c r="D68" s="308">
        <f>IFERROR(__xludf.DUMMYFUNCTION("SPLIT(C68,""-"")"),63.0)</f>
        <v>63</v>
      </c>
      <c r="E68" s="308" t="str">
        <f>IFERROR(__xludf.DUMMYFUNCTION("""COMPUTED_VALUE"""),"B")</f>
        <v>B</v>
      </c>
      <c r="F68" s="315" t="s">
        <v>26</v>
      </c>
      <c r="G68" s="308" t="s">
        <v>34216</v>
      </c>
      <c r="H68" s="308" t="s">
        <v>34337</v>
      </c>
      <c r="I68" s="314">
        <v>40136.0</v>
      </c>
      <c r="J68" s="308">
        <f>IFERROR(__xludf.DUMMYFUNCTION("SPLIT(I68,""/"")"),19.0)</f>
        <v>19</v>
      </c>
      <c r="K68" s="308">
        <f>IFERROR(__xludf.DUMMYFUNCTION("""COMPUTED_VALUE"""),11.0)</f>
        <v>11</v>
      </c>
      <c r="L68" s="308">
        <f>IFERROR(__xludf.DUMMYFUNCTION("""COMPUTED_VALUE"""),2009.0)</f>
        <v>2009</v>
      </c>
      <c r="M68" s="308" t="s">
        <v>448</v>
      </c>
      <c r="N68" s="308"/>
      <c r="O68" s="308" t="s">
        <v>449</v>
      </c>
      <c r="P68" s="308" t="s">
        <v>450</v>
      </c>
      <c r="Q68" s="308"/>
      <c r="R68" s="308"/>
      <c r="S68" s="308" t="s">
        <v>49</v>
      </c>
      <c r="T68" s="315" t="s">
        <v>67</v>
      </c>
      <c r="U68" s="308"/>
      <c r="V68" s="312"/>
    </row>
    <row r="69">
      <c r="A69" s="308">
        <v>68.0</v>
      </c>
      <c r="B69" s="308" t="s">
        <v>34338</v>
      </c>
      <c r="C69" s="308" t="s">
        <v>451</v>
      </c>
      <c r="D69" s="308">
        <f>IFERROR(__xludf.DUMMYFUNCTION("SPLIT(C69,""-"")"),64.0)</f>
        <v>64</v>
      </c>
      <c r="E69" s="308" t="str">
        <f>IFERROR(__xludf.DUMMYFUNCTION("""COMPUTED_VALUE"""),"B")</f>
        <v>B</v>
      </c>
      <c r="F69" s="315" t="s">
        <v>26</v>
      </c>
      <c r="G69" s="308" t="s">
        <v>34216</v>
      </c>
      <c r="H69" s="308" t="s">
        <v>34339</v>
      </c>
      <c r="I69" s="310">
        <v>39815.0</v>
      </c>
      <c r="J69" s="308">
        <f>IFERROR(__xludf.DUMMYFUNCTION("SPLIT(I69,""/"")"),2.0)</f>
        <v>2</v>
      </c>
      <c r="K69" s="308">
        <f>IFERROR(__xludf.DUMMYFUNCTION("""COMPUTED_VALUE"""),1.0)</f>
        <v>1</v>
      </c>
      <c r="L69" s="308">
        <f>IFERROR(__xludf.DUMMYFUNCTION("""COMPUTED_VALUE"""),2009.0)</f>
        <v>2009</v>
      </c>
      <c r="M69" s="308" t="s">
        <v>34340</v>
      </c>
      <c r="N69" s="308"/>
      <c r="O69" s="308" t="s">
        <v>34341</v>
      </c>
      <c r="P69" s="308" t="s">
        <v>455</v>
      </c>
      <c r="Q69" s="308"/>
      <c r="R69" s="308"/>
      <c r="S69" s="308" t="s">
        <v>81</v>
      </c>
      <c r="T69" s="308" t="s">
        <v>98</v>
      </c>
      <c r="U69" s="308"/>
      <c r="V69" s="312"/>
    </row>
    <row r="70">
      <c r="A70" s="308">
        <v>69.0</v>
      </c>
      <c r="B70" s="308" t="s">
        <v>34342</v>
      </c>
      <c r="C70" s="308" t="s">
        <v>456</v>
      </c>
      <c r="D70" s="308">
        <f>IFERROR(__xludf.DUMMYFUNCTION("SPLIT(C70,""-"")"),65.0)</f>
        <v>65</v>
      </c>
      <c r="E70" s="308" t="str">
        <f>IFERROR(__xludf.DUMMYFUNCTION("""COMPUTED_VALUE"""),"B")</f>
        <v>B</v>
      </c>
      <c r="F70" s="315" t="s">
        <v>26</v>
      </c>
      <c r="G70" s="308" t="s">
        <v>34216</v>
      </c>
      <c r="H70" s="308" t="s">
        <v>457</v>
      </c>
      <c r="I70" s="310">
        <v>37699.0</v>
      </c>
      <c r="J70" s="308">
        <f>IFERROR(__xludf.DUMMYFUNCTION("SPLIT(I70,""/"")"),19.0)</f>
        <v>19</v>
      </c>
      <c r="K70" s="308">
        <f>IFERROR(__xludf.DUMMYFUNCTION("""COMPUTED_VALUE"""),3.0)</f>
        <v>3</v>
      </c>
      <c r="L70" s="308">
        <f>IFERROR(__xludf.DUMMYFUNCTION("""COMPUTED_VALUE"""),2003.0)</f>
        <v>2003</v>
      </c>
      <c r="M70" s="308" t="s">
        <v>458</v>
      </c>
      <c r="N70" s="308"/>
      <c r="O70" s="312" t="s">
        <v>34343</v>
      </c>
      <c r="P70" s="308" t="s">
        <v>460</v>
      </c>
      <c r="Q70" s="308"/>
      <c r="R70" s="308"/>
      <c r="S70" s="308" t="s">
        <v>49</v>
      </c>
      <c r="T70" s="308" t="s">
        <v>51</v>
      </c>
      <c r="U70" s="308"/>
      <c r="V70" s="312"/>
    </row>
    <row r="71">
      <c r="A71" s="308">
        <v>70.0</v>
      </c>
      <c r="B71" s="308" t="s">
        <v>34344</v>
      </c>
      <c r="C71" s="308" t="s">
        <v>461</v>
      </c>
      <c r="D71" s="308">
        <f>IFERROR(__xludf.DUMMYFUNCTION("SPLIT(C71,""-"")"),66.0)</f>
        <v>66</v>
      </c>
      <c r="E71" s="308" t="str">
        <f>IFERROR(__xludf.DUMMYFUNCTION("""COMPUTED_VALUE"""),"B")</f>
        <v>B</v>
      </c>
      <c r="F71" s="315" t="s">
        <v>26</v>
      </c>
      <c r="G71" s="308" t="s">
        <v>34216</v>
      </c>
      <c r="H71" s="308" t="s">
        <v>34345</v>
      </c>
      <c r="I71" s="314">
        <v>40100.0</v>
      </c>
      <c r="J71" s="308">
        <f>IFERROR(__xludf.DUMMYFUNCTION("SPLIT(I71,""/"")"),14.0)</f>
        <v>14</v>
      </c>
      <c r="K71" s="308">
        <f>IFERROR(__xludf.DUMMYFUNCTION("""COMPUTED_VALUE"""),10.0)</f>
        <v>10</v>
      </c>
      <c r="L71" s="308">
        <f>IFERROR(__xludf.DUMMYFUNCTION("""COMPUTED_VALUE"""),2009.0)</f>
        <v>2009</v>
      </c>
      <c r="M71" s="308" t="s">
        <v>34346</v>
      </c>
      <c r="N71" s="308"/>
      <c r="O71" s="308" t="s">
        <v>464</v>
      </c>
      <c r="P71" s="308" t="s">
        <v>465</v>
      </c>
      <c r="Q71" s="308"/>
      <c r="R71" s="308"/>
      <c r="S71" s="308" t="s">
        <v>49</v>
      </c>
      <c r="T71" s="311" t="s">
        <v>75</v>
      </c>
      <c r="U71" s="308"/>
      <c r="V71" s="312"/>
    </row>
    <row r="72">
      <c r="A72" s="308">
        <v>71.0</v>
      </c>
      <c r="B72" s="308" t="s">
        <v>34347</v>
      </c>
      <c r="C72" s="308" t="s">
        <v>466</v>
      </c>
      <c r="D72" s="308">
        <f>IFERROR(__xludf.DUMMYFUNCTION("SPLIT(C72,""-"")"),192.0)</f>
        <v>192</v>
      </c>
      <c r="E72" s="308" t="str">
        <f>IFERROR(__xludf.DUMMYFUNCTION("""COMPUTED_VALUE"""),"B")</f>
        <v>B</v>
      </c>
      <c r="F72" s="315" t="s">
        <v>26</v>
      </c>
      <c r="G72" s="308" t="s">
        <v>34216</v>
      </c>
      <c r="H72" s="308" t="s">
        <v>34348</v>
      </c>
      <c r="I72" s="310">
        <v>40240.0</v>
      </c>
      <c r="J72" s="308">
        <f>IFERROR(__xludf.DUMMYFUNCTION("SPLIT(I72,""/"")"),3.0)</f>
        <v>3</v>
      </c>
      <c r="K72" s="308">
        <f>IFERROR(__xludf.DUMMYFUNCTION("""COMPUTED_VALUE"""),3.0)</f>
        <v>3</v>
      </c>
      <c r="L72" s="308">
        <f>IFERROR(__xludf.DUMMYFUNCTION("""COMPUTED_VALUE"""),2010.0)</f>
        <v>2010</v>
      </c>
      <c r="M72" s="308" t="s">
        <v>468</v>
      </c>
      <c r="N72" s="308"/>
      <c r="O72" s="312" t="s">
        <v>34349</v>
      </c>
      <c r="P72" s="308" t="s">
        <v>470</v>
      </c>
      <c r="Q72" s="308"/>
      <c r="R72" s="308"/>
      <c r="S72" s="308" t="s">
        <v>81</v>
      </c>
      <c r="T72" s="311" t="s">
        <v>75</v>
      </c>
      <c r="U72" s="308"/>
      <c r="V72" s="312"/>
    </row>
    <row r="73">
      <c r="A73" s="308">
        <v>72.0</v>
      </c>
      <c r="B73" s="308" t="s">
        <v>34350</v>
      </c>
      <c r="C73" s="308" t="s">
        <v>466</v>
      </c>
      <c r="D73" s="308">
        <f>IFERROR(__xludf.DUMMYFUNCTION("SPLIT(C73,""-"")"),192.0)</f>
        <v>192</v>
      </c>
      <c r="E73" s="308" t="str">
        <f>IFERROR(__xludf.DUMMYFUNCTION("""COMPUTED_VALUE"""),"B")</f>
        <v>B</v>
      </c>
      <c r="F73" s="315" t="s">
        <v>26</v>
      </c>
      <c r="G73" s="308" t="s">
        <v>34216</v>
      </c>
      <c r="H73" s="308" t="s">
        <v>34351</v>
      </c>
      <c r="I73" s="314">
        <v>40168.0</v>
      </c>
      <c r="J73" s="308">
        <f>IFERROR(__xludf.DUMMYFUNCTION("SPLIT(I73,""/"")"),21.0)</f>
        <v>21</v>
      </c>
      <c r="K73" s="308">
        <f>IFERROR(__xludf.DUMMYFUNCTION("""COMPUTED_VALUE"""),12.0)</f>
        <v>12</v>
      </c>
      <c r="L73" s="308">
        <f>IFERROR(__xludf.DUMMYFUNCTION("""COMPUTED_VALUE"""),2009.0)</f>
        <v>2009</v>
      </c>
      <c r="M73" s="308" t="s">
        <v>472</v>
      </c>
      <c r="N73" s="308"/>
      <c r="O73" s="312" t="s">
        <v>34352</v>
      </c>
      <c r="P73" s="308" t="s">
        <v>474</v>
      </c>
      <c r="Q73" s="308"/>
      <c r="R73" s="308"/>
      <c r="S73" s="308" t="s">
        <v>81</v>
      </c>
      <c r="T73" s="311" t="s">
        <v>75</v>
      </c>
      <c r="U73" s="308"/>
      <c r="V73" s="312"/>
    </row>
    <row r="74">
      <c r="A74" s="308">
        <v>73.0</v>
      </c>
      <c r="B74" s="308" t="s">
        <v>34353</v>
      </c>
      <c r="C74" s="308" t="s">
        <v>475</v>
      </c>
      <c r="D74" s="308">
        <f>IFERROR(__xludf.DUMMYFUNCTION("SPLIT(C74,""-"")"),67.0)</f>
        <v>67</v>
      </c>
      <c r="E74" s="308" t="str">
        <f>IFERROR(__xludf.DUMMYFUNCTION("""COMPUTED_VALUE"""),"B")</f>
        <v>B</v>
      </c>
      <c r="F74" s="315" t="s">
        <v>26</v>
      </c>
      <c r="G74" s="308" t="s">
        <v>34216</v>
      </c>
      <c r="H74" s="308" t="s">
        <v>476</v>
      </c>
      <c r="I74" s="314">
        <v>39008.0</v>
      </c>
      <c r="J74" s="308">
        <f>IFERROR(__xludf.DUMMYFUNCTION("SPLIT(I74,""/"")"),18.0)</f>
        <v>18</v>
      </c>
      <c r="K74" s="308">
        <f>IFERROR(__xludf.DUMMYFUNCTION("""COMPUTED_VALUE"""),10.0)</f>
        <v>10</v>
      </c>
      <c r="L74" s="308">
        <f>IFERROR(__xludf.DUMMYFUNCTION("""COMPUTED_VALUE"""),2006.0)</f>
        <v>2006</v>
      </c>
      <c r="M74" s="308" t="s">
        <v>477</v>
      </c>
      <c r="N74" s="308"/>
      <c r="O74" s="308" t="s">
        <v>478</v>
      </c>
      <c r="P74" s="308" t="s">
        <v>479</v>
      </c>
      <c r="Q74" s="308"/>
      <c r="R74" s="308"/>
      <c r="S74" s="308" t="s">
        <v>49</v>
      </c>
      <c r="T74" s="308" t="s">
        <v>51</v>
      </c>
      <c r="U74" s="308"/>
      <c r="V74" s="312"/>
    </row>
    <row r="75">
      <c r="A75" s="308">
        <v>74.0</v>
      </c>
      <c r="B75" s="308" t="s">
        <v>34354</v>
      </c>
      <c r="C75" s="308" t="s">
        <v>480</v>
      </c>
      <c r="D75" s="308">
        <f>IFERROR(__xludf.DUMMYFUNCTION("SPLIT(C75,""-"")"),194.0)</f>
        <v>194</v>
      </c>
      <c r="E75" s="308" t="str">
        <f>IFERROR(__xludf.DUMMYFUNCTION("""COMPUTED_VALUE""")," B")</f>
        <v> B</v>
      </c>
      <c r="F75" s="315" t="s">
        <v>26</v>
      </c>
      <c r="G75" s="308" t="s">
        <v>34216</v>
      </c>
      <c r="H75" s="308" t="s">
        <v>481</v>
      </c>
      <c r="I75" s="310">
        <v>40393.0</v>
      </c>
      <c r="J75" s="308">
        <f>IFERROR(__xludf.DUMMYFUNCTION("SPLIT(I75,""/"")"),3.0)</f>
        <v>3</v>
      </c>
      <c r="K75" s="308">
        <f>IFERROR(__xludf.DUMMYFUNCTION("""COMPUTED_VALUE"""),8.0)</f>
        <v>8</v>
      </c>
      <c r="L75" s="308">
        <f>IFERROR(__xludf.DUMMYFUNCTION("""COMPUTED_VALUE"""),2010.0)</f>
        <v>2010</v>
      </c>
      <c r="M75" s="308" t="s">
        <v>482</v>
      </c>
      <c r="N75" s="308"/>
      <c r="O75" s="312" t="s">
        <v>34355</v>
      </c>
      <c r="P75" s="308" t="s">
        <v>484</v>
      </c>
      <c r="Q75" s="308"/>
      <c r="R75" s="308"/>
      <c r="S75" s="308" t="s">
        <v>81</v>
      </c>
      <c r="T75" s="311" t="s">
        <v>75</v>
      </c>
      <c r="U75" s="308"/>
      <c r="V75" s="312"/>
    </row>
    <row r="76">
      <c r="A76" s="308">
        <v>75.0</v>
      </c>
      <c r="B76" s="308" t="s">
        <v>34356</v>
      </c>
      <c r="C76" s="308" t="s">
        <v>485</v>
      </c>
      <c r="D76" s="308">
        <f>IFERROR(__xludf.DUMMYFUNCTION("SPLIT(C76,""-"")"),68.0)</f>
        <v>68</v>
      </c>
      <c r="E76" s="308" t="str">
        <f>IFERROR(__xludf.DUMMYFUNCTION("""COMPUTED_VALUE"""),"B")</f>
        <v>B</v>
      </c>
      <c r="F76" s="315" t="s">
        <v>26</v>
      </c>
      <c r="G76" s="308" t="s">
        <v>34216</v>
      </c>
      <c r="H76" s="308" t="s">
        <v>486</v>
      </c>
      <c r="I76" s="310">
        <v>38755.0</v>
      </c>
      <c r="J76" s="308">
        <f>IFERROR(__xludf.DUMMYFUNCTION("SPLIT(I76,""/"")"),7.0)</f>
        <v>7</v>
      </c>
      <c r="K76" s="308">
        <f>IFERROR(__xludf.DUMMYFUNCTION("""COMPUTED_VALUE"""),2.0)</f>
        <v>2</v>
      </c>
      <c r="L76" s="308">
        <f>IFERROR(__xludf.DUMMYFUNCTION("""COMPUTED_VALUE"""),2006.0)</f>
        <v>2006</v>
      </c>
      <c r="M76" s="308" t="s">
        <v>487</v>
      </c>
      <c r="N76" s="308"/>
      <c r="O76" s="308" t="s">
        <v>488</v>
      </c>
      <c r="P76" s="308" t="s">
        <v>148</v>
      </c>
      <c r="Q76" s="308"/>
      <c r="R76" s="308"/>
      <c r="S76" s="308" t="s">
        <v>49</v>
      </c>
      <c r="T76" s="308" t="s">
        <v>51</v>
      </c>
      <c r="U76" s="308"/>
      <c r="V76" s="312"/>
    </row>
    <row r="77">
      <c r="A77" s="308">
        <v>76.0</v>
      </c>
      <c r="B77" s="308" t="s">
        <v>34357</v>
      </c>
      <c r="C77" s="308" t="s">
        <v>489</v>
      </c>
      <c r="D77" s="308">
        <f>IFERROR(__xludf.DUMMYFUNCTION("SPLIT(C77,""-"")"),69.0)</f>
        <v>69</v>
      </c>
      <c r="E77" s="308" t="str">
        <f>IFERROR(__xludf.DUMMYFUNCTION("""COMPUTED_VALUE"""),"B")</f>
        <v>B</v>
      </c>
      <c r="F77" s="315" t="s">
        <v>26</v>
      </c>
      <c r="G77" s="308" t="s">
        <v>34216</v>
      </c>
      <c r="H77" s="308" t="s">
        <v>490</v>
      </c>
      <c r="I77" s="310">
        <v>39844.0</v>
      </c>
      <c r="J77" s="308">
        <f>IFERROR(__xludf.DUMMYFUNCTION("SPLIT(I77,""/"")"),31.0)</f>
        <v>31</v>
      </c>
      <c r="K77" s="308">
        <f>IFERROR(__xludf.DUMMYFUNCTION("""COMPUTED_VALUE"""),1.0)</f>
        <v>1</v>
      </c>
      <c r="L77" s="308">
        <f>IFERROR(__xludf.DUMMYFUNCTION("""COMPUTED_VALUE"""),2009.0)</f>
        <v>2009</v>
      </c>
      <c r="M77" s="308" t="s">
        <v>491</v>
      </c>
      <c r="N77" s="308"/>
      <c r="O77" s="308" t="s">
        <v>492</v>
      </c>
      <c r="P77" s="308" t="s">
        <v>493</v>
      </c>
      <c r="Q77" s="308"/>
      <c r="R77" s="308"/>
      <c r="S77" s="308" t="s">
        <v>49</v>
      </c>
      <c r="T77" s="311" t="s">
        <v>69</v>
      </c>
      <c r="U77" s="308" t="s">
        <v>27</v>
      </c>
      <c r="V77" s="312"/>
    </row>
    <row r="78">
      <c r="A78" s="308">
        <v>77.0</v>
      </c>
      <c r="B78" s="308" t="s">
        <v>34358</v>
      </c>
      <c r="C78" s="308" t="s">
        <v>494</v>
      </c>
      <c r="D78" s="308">
        <f>IFERROR(__xludf.DUMMYFUNCTION("SPLIT(C78,""-"")"),70.0)</f>
        <v>70</v>
      </c>
      <c r="E78" s="308" t="str">
        <f>IFERROR(__xludf.DUMMYFUNCTION("""COMPUTED_VALUE"""),"B")</f>
        <v>B</v>
      </c>
      <c r="F78" s="315" t="s">
        <v>26</v>
      </c>
      <c r="G78" s="308" t="s">
        <v>34216</v>
      </c>
      <c r="H78" s="308" t="s">
        <v>495</v>
      </c>
      <c r="I78" s="310">
        <v>40210.0</v>
      </c>
      <c r="J78" s="308">
        <f>IFERROR(__xludf.DUMMYFUNCTION("SPLIT(I78,""/"")"),1.0)</f>
        <v>1</v>
      </c>
      <c r="K78" s="308">
        <f>IFERROR(__xludf.DUMMYFUNCTION("""COMPUTED_VALUE"""),2.0)</f>
        <v>2</v>
      </c>
      <c r="L78" s="308">
        <f>IFERROR(__xludf.DUMMYFUNCTION("""COMPUTED_VALUE"""),2010.0)</f>
        <v>2010</v>
      </c>
      <c r="M78" s="308" t="s">
        <v>496</v>
      </c>
      <c r="N78" s="308"/>
      <c r="O78" s="308" t="s">
        <v>497</v>
      </c>
      <c r="P78" s="311" t="s">
        <v>34359</v>
      </c>
      <c r="Q78" s="308"/>
      <c r="R78" s="308"/>
      <c r="S78" s="308" t="s">
        <v>81</v>
      </c>
      <c r="T78" s="311" t="s">
        <v>57</v>
      </c>
      <c r="U78" s="308"/>
      <c r="V78" s="312"/>
    </row>
    <row r="79">
      <c r="A79" s="308">
        <v>78.0</v>
      </c>
      <c r="B79" s="308">
        <v>3149.0</v>
      </c>
      <c r="C79" s="308" t="s">
        <v>499</v>
      </c>
      <c r="D79" s="308">
        <f>IFERROR(__xludf.DUMMYFUNCTION("SPLIT(C79,""-"")"),71.0)</f>
        <v>71</v>
      </c>
      <c r="E79" s="308" t="str">
        <f>IFERROR(__xludf.DUMMYFUNCTION("""COMPUTED_VALUE"""),"B")</f>
        <v>B</v>
      </c>
      <c r="F79" s="315" t="s">
        <v>26</v>
      </c>
      <c r="G79" s="308" t="s">
        <v>34216</v>
      </c>
      <c r="H79" s="308" t="s">
        <v>500</v>
      </c>
      <c r="I79" s="310">
        <v>40318.0</v>
      </c>
      <c r="J79" s="308">
        <f>IFERROR(__xludf.DUMMYFUNCTION("SPLIT(I79,""/"")"),20.0)</f>
        <v>20</v>
      </c>
      <c r="K79" s="308">
        <f>IFERROR(__xludf.DUMMYFUNCTION("""COMPUTED_VALUE"""),5.0)</f>
        <v>5</v>
      </c>
      <c r="L79" s="308">
        <f>IFERROR(__xludf.DUMMYFUNCTION("""COMPUTED_VALUE"""),2010.0)</f>
        <v>2010</v>
      </c>
      <c r="M79" s="308" t="s">
        <v>501</v>
      </c>
      <c r="N79" s="308"/>
      <c r="O79" s="308" t="s">
        <v>502</v>
      </c>
      <c r="P79" s="308" t="s">
        <v>503</v>
      </c>
      <c r="Q79" s="308"/>
      <c r="R79" s="308"/>
      <c r="S79" s="308" t="s">
        <v>81</v>
      </c>
      <c r="T79" s="308" t="s">
        <v>98</v>
      </c>
      <c r="U79" s="308"/>
      <c r="V79" s="312"/>
    </row>
    <row r="80">
      <c r="A80" s="308">
        <v>79.0</v>
      </c>
      <c r="B80" s="308" t="s">
        <v>34360</v>
      </c>
      <c r="C80" s="308" t="s">
        <v>34361</v>
      </c>
      <c r="D80" s="308">
        <f>IFERROR(__xludf.DUMMYFUNCTION("SPLIT(C80,""-"")"),72.0)</f>
        <v>72</v>
      </c>
      <c r="E80" s="311"/>
      <c r="F80" s="309" t="s">
        <v>26</v>
      </c>
      <c r="G80" s="308" t="s">
        <v>504</v>
      </c>
      <c r="H80" s="308" t="s">
        <v>505</v>
      </c>
      <c r="I80" s="310">
        <v>39995.0</v>
      </c>
      <c r="J80" s="308">
        <f>IFERROR(__xludf.DUMMYFUNCTION("SPLIT(I80,""/"")"),1.0)</f>
        <v>1</v>
      </c>
      <c r="K80" s="308">
        <f>IFERROR(__xludf.DUMMYFUNCTION("""COMPUTED_VALUE"""),7.0)</f>
        <v>7</v>
      </c>
      <c r="L80" s="308">
        <f>IFERROR(__xludf.DUMMYFUNCTION("""COMPUTED_VALUE"""),2009.0)</f>
        <v>2009</v>
      </c>
      <c r="M80" s="308" t="s">
        <v>506</v>
      </c>
      <c r="N80" s="308"/>
      <c r="O80" s="308" t="s">
        <v>34216</v>
      </c>
      <c r="P80" s="308" t="s">
        <v>507</v>
      </c>
      <c r="Q80" s="308"/>
      <c r="R80" s="308"/>
      <c r="S80" s="308" t="s">
        <v>49</v>
      </c>
      <c r="T80" s="311" t="s">
        <v>69</v>
      </c>
      <c r="U80" s="308"/>
      <c r="V80" s="312"/>
    </row>
    <row r="81">
      <c r="A81" s="308">
        <v>80.0</v>
      </c>
      <c r="B81" s="308" t="s">
        <v>34362</v>
      </c>
      <c r="C81" s="308" t="s">
        <v>508</v>
      </c>
      <c r="D81" s="308">
        <f>IFERROR(__xludf.DUMMYFUNCTION("SPLIT(C81,""-"")"),73.0)</f>
        <v>73</v>
      </c>
      <c r="E81" s="308" t="str">
        <f>IFERROR(__xludf.DUMMYFUNCTION("""COMPUTED_VALUE"""),"B")</f>
        <v>B</v>
      </c>
      <c r="F81" s="315" t="s">
        <v>26</v>
      </c>
      <c r="G81" s="308" t="s">
        <v>34216</v>
      </c>
      <c r="H81" s="308" t="s">
        <v>509</v>
      </c>
      <c r="I81" s="310">
        <v>39846.0</v>
      </c>
      <c r="J81" s="308">
        <f>IFERROR(__xludf.DUMMYFUNCTION("SPLIT(I81,""/"")"),2.0)</f>
        <v>2</v>
      </c>
      <c r="K81" s="308">
        <f>IFERROR(__xludf.DUMMYFUNCTION("""COMPUTED_VALUE"""),2.0)</f>
        <v>2</v>
      </c>
      <c r="L81" s="308">
        <f>IFERROR(__xludf.DUMMYFUNCTION("""COMPUTED_VALUE"""),2009.0)</f>
        <v>2009</v>
      </c>
      <c r="M81" s="308" t="s">
        <v>510</v>
      </c>
      <c r="N81" s="308"/>
      <c r="O81" s="308" t="s">
        <v>511</v>
      </c>
      <c r="P81" s="308" t="s">
        <v>148</v>
      </c>
      <c r="Q81" s="308"/>
      <c r="R81" s="308"/>
      <c r="S81" s="308" t="s">
        <v>49</v>
      </c>
      <c r="T81" s="308" t="s">
        <v>51</v>
      </c>
      <c r="U81" s="308"/>
      <c r="V81" s="312"/>
    </row>
    <row r="82">
      <c r="A82" s="308">
        <v>81.0</v>
      </c>
      <c r="B82" s="308" t="s">
        <v>34363</v>
      </c>
      <c r="C82" s="308" t="s">
        <v>512</v>
      </c>
      <c r="D82" s="308">
        <f>IFERROR(__xludf.DUMMYFUNCTION("SPLIT(C82,""-"")"),74.0)</f>
        <v>74</v>
      </c>
      <c r="E82" s="308" t="str">
        <f>IFERROR(__xludf.DUMMYFUNCTION("""COMPUTED_VALUE"""),"K")</f>
        <v>K</v>
      </c>
      <c r="F82" s="309" t="s">
        <v>34</v>
      </c>
      <c r="G82" s="308" t="s">
        <v>34216</v>
      </c>
      <c r="H82" s="308" t="s">
        <v>513</v>
      </c>
      <c r="I82" s="310">
        <v>39886.0</v>
      </c>
      <c r="J82" s="308">
        <f>IFERROR(__xludf.DUMMYFUNCTION("SPLIT(I82,""/"")"),14.0)</f>
        <v>14</v>
      </c>
      <c r="K82" s="308">
        <f>IFERROR(__xludf.DUMMYFUNCTION("""COMPUTED_VALUE"""),3.0)</f>
        <v>3</v>
      </c>
      <c r="L82" s="308">
        <f>IFERROR(__xludf.DUMMYFUNCTION("""COMPUTED_VALUE"""),2009.0)</f>
        <v>2009</v>
      </c>
      <c r="M82" s="308" t="s">
        <v>514</v>
      </c>
      <c r="N82" s="308"/>
      <c r="O82" s="312" t="s">
        <v>34364</v>
      </c>
      <c r="P82" s="308" t="s">
        <v>516</v>
      </c>
      <c r="Q82" s="308"/>
      <c r="R82" s="308"/>
      <c r="S82" s="308" t="s">
        <v>81</v>
      </c>
      <c r="T82" s="308" t="s">
        <v>34264</v>
      </c>
      <c r="U82" s="308"/>
      <c r="V82" s="312"/>
    </row>
    <row r="83">
      <c r="A83" s="308">
        <v>82.0</v>
      </c>
      <c r="B83" s="308" t="s">
        <v>34365</v>
      </c>
      <c r="C83" s="308" t="s">
        <v>517</v>
      </c>
      <c r="D83" s="308">
        <f>IFERROR(__xludf.DUMMYFUNCTION("SPLIT(C83,""-"")"),75.0)</f>
        <v>75</v>
      </c>
      <c r="E83" s="308" t="str">
        <f>IFERROR(__xludf.DUMMYFUNCTION("""COMPUTED_VALUE"""),"K")</f>
        <v>K</v>
      </c>
      <c r="F83" s="309" t="s">
        <v>34</v>
      </c>
      <c r="G83" s="308" t="s">
        <v>34216</v>
      </c>
      <c r="H83" s="308" t="s">
        <v>518</v>
      </c>
      <c r="I83" s="310">
        <v>39965.0</v>
      </c>
      <c r="J83" s="308">
        <f>IFERROR(__xludf.DUMMYFUNCTION("SPLIT(I83,""/"")"),1.0)</f>
        <v>1</v>
      </c>
      <c r="K83" s="308">
        <f>IFERROR(__xludf.DUMMYFUNCTION("""COMPUTED_VALUE"""),6.0)</f>
        <v>6</v>
      </c>
      <c r="L83" s="308">
        <f>IFERROR(__xludf.DUMMYFUNCTION("""COMPUTED_VALUE"""),2009.0)</f>
        <v>2009</v>
      </c>
      <c r="M83" s="308" t="s">
        <v>519</v>
      </c>
      <c r="N83" s="308"/>
      <c r="O83" s="312" t="s">
        <v>34366</v>
      </c>
      <c r="P83" s="308" t="s">
        <v>516</v>
      </c>
      <c r="Q83" s="308"/>
      <c r="R83" s="308"/>
      <c r="S83" s="308" t="s">
        <v>81</v>
      </c>
      <c r="T83" s="308" t="s">
        <v>34264</v>
      </c>
      <c r="U83" s="308"/>
      <c r="V83" s="312"/>
    </row>
    <row r="84">
      <c r="A84" s="308">
        <v>83.0</v>
      </c>
      <c r="B84" s="308" t="s">
        <v>34367</v>
      </c>
      <c r="C84" s="308" t="s">
        <v>521</v>
      </c>
      <c r="D84" s="308">
        <f>IFERROR(__xludf.DUMMYFUNCTION("SPLIT(C84,""-"")"),76.0)</f>
        <v>76</v>
      </c>
      <c r="E84" s="308" t="str">
        <f>IFERROR(__xludf.DUMMYFUNCTION("""COMPUTED_VALUE"""),"K")</f>
        <v>K</v>
      </c>
      <c r="F84" s="309" t="s">
        <v>34</v>
      </c>
      <c r="G84" s="308" t="s">
        <v>522</v>
      </c>
      <c r="H84" s="308" t="s">
        <v>523</v>
      </c>
      <c r="I84" s="314">
        <v>40114.0</v>
      </c>
      <c r="J84" s="308">
        <f>IFERROR(__xludf.DUMMYFUNCTION("SPLIT(I84,""/"")"),28.0)</f>
        <v>28</v>
      </c>
      <c r="K84" s="308">
        <f>IFERROR(__xludf.DUMMYFUNCTION("""COMPUTED_VALUE"""),10.0)</f>
        <v>10</v>
      </c>
      <c r="L84" s="308">
        <f>IFERROR(__xludf.DUMMYFUNCTION("""COMPUTED_VALUE"""),2009.0)</f>
        <v>2009</v>
      </c>
      <c r="M84" s="308" t="s">
        <v>524</v>
      </c>
      <c r="N84" s="308"/>
      <c r="O84" s="312" t="s">
        <v>34368</v>
      </c>
      <c r="P84" s="308" t="s">
        <v>124</v>
      </c>
      <c r="Q84" s="308"/>
      <c r="R84" s="308"/>
      <c r="S84" s="308" t="s">
        <v>81</v>
      </c>
      <c r="T84" s="308" t="s">
        <v>34201</v>
      </c>
      <c r="U84" s="308"/>
      <c r="V84" s="312"/>
    </row>
    <row r="85">
      <c r="A85" s="308">
        <v>84.0</v>
      </c>
      <c r="B85" s="308" t="s">
        <v>34369</v>
      </c>
      <c r="C85" s="308" t="s">
        <v>526</v>
      </c>
      <c r="D85" s="308">
        <f>IFERROR(__xludf.DUMMYFUNCTION("SPLIT(C85,""-"")"),77.0)</f>
        <v>77</v>
      </c>
      <c r="E85" s="308" t="str">
        <f>IFERROR(__xludf.DUMMYFUNCTION("""COMPUTED_VALUE"""),"K")</f>
        <v>K</v>
      </c>
      <c r="F85" s="309" t="s">
        <v>34</v>
      </c>
      <c r="G85" s="308" t="s">
        <v>34216</v>
      </c>
      <c r="H85" s="308" t="s">
        <v>527</v>
      </c>
      <c r="I85" s="310">
        <v>40017.0</v>
      </c>
      <c r="J85" s="308">
        <f>IFERROR(__xludf.DUMMYFUNCTION("SPLIT(I85,""/"")"),23.0)</f>
        <v>23</v>
      </c>
      <c r="K85" s="308">
        <f>IFERROR(__xludf.DUMMYFUNCTION("""COMPUTED_VALUE"""),7.0)</f>
        <v>7</v>
      </c>
      <c r="L85" s="308">
        <f>IFERROR(__xludf.DUMMYFUNCTION("""COMPUTED_VALUE"""),2009.0)</f>
        <v>2009</v>
      </c>
      <c r="M85" s="308" t="s">
        <v>34370</v>
      </c>
      <c r="N85" s="308"/>
      <c r="O85" s="312" t="s">
        <v>529</v>
      </c>
      <c r="P85" s="308" t="s">
        <v>34212</v>
      </c>
      <c r="Q85" s="308"/>
      <c r="R85" s="308"/>
      <c r="S85" s="315" t="s">
        <v>100</v>
      </c>
      <c r="T85" s="311" t="s">
        <v>34208</v>
      </c>
      <c r="U85" s="308" t="s">
        <v>530</v>
      </c>
      <c r="V85" s="312"/>
    </row>
    <row r="86">
      <c r="A86" s="308">
        <v>85.0</v>
      </c>
      <c r="B86" s="308" t="s">
        <v>34371</v>
      </c>
      <c r="C86" s="308" t="s">
        <v>531</v>
      </c>
      <c r="D86" s="308">
        <f>IFERROR(__xludf.DUMMYFUNCTION("SPLIT(C86,""-"")"),78.0)</f>
        <v>78</v>
      </c>
      <c r="E86" s="308" t="str">
        <f>IFERROR(__xludf.DUMMYFUNCTION("""COMPUTED_VALUE"""),"K")</f>
        <v>K</v>
      </c>
      <c r="F86" s="309" t="s">
        <v>34</v>
      </c>
      <c r="G86" s="308" t="s">
        <v>34216</v>
      </c>
      <c r="H86" s="308" t="s">
        <v>532</v>
      </c>
      <c r="I86" s="310">
        <v>40269.0</v>
      </c>
      <c r="J86" s="308">
        <f>IFERROR(__xludf.DUMMYFUNCTION("SPLIT(I86,""/"")"),1.0)</f>
        <v>1</v>
      </c>
      <c r="K86" s="308">
        <f>IFERROR(__xludf.DUMMYFUNCTION("""COMPUTED_VALUE"""),4.0)</f>
        <v>4</v>
      </c>
      <c r="L86" s="308">
        <f>IFERROR(__xludf.DUMMYFUNCTION("""COMPUTED_VALUE"""),2010.0)</f>
        <v>2010</v>
      </c>
      <c r="M86" s="308" t="s">
        <v>533</v>
      </c>
      <c r="N86" s="308"/>
      <c r="O86" s="312" t="s">
        <v>34372</v>
      </c>
      <c r="P86" s="308" t="s">
        <v>124</v>
      </c>
      <c r="Q86" s="308"/>
      <c r="R86" s="308"/>
      <c r="S86" s="308" t="s">
        <v>81</v>
      </c>
      <c r="T86" s="308" t="s">
        <v>34201</v>
      </c>
      <c r="U86" s="308"/>
      <c r="V86" s="312"/>
    </row>
    <row r="87">
      <c r="A87" s="308">
        <v>86.0</v>
      </c>
      <c r="B87" s="308" t="s">
        <v>34373</v>
      </c>
      <c r="C87" s="308" t="s">
        <v>535</v>
      </c>
      <c r="D87" s="308">
        <f>IFERROR(__xludf.DUMMYFUNCTION("SPLIT(C87,""-"")"),175.0)</f>
        <v>175</v>
      </c>
      <c r="E87" s="308" t="str">
        <f>IFERROR(__xludf.DUMMYFUNCTION("""COMPUTED_VALUE"""),"K")</f>
        <v>K</v>
      </c>
      <c r="F87" s="309" t="s">
        <v>34</v>
      </c>
      <c r="G87" s="308" t="s">
        <v>34216</v>
      </c>
      <c r="H87" s="308" t="s">
        <v>536</v>
      </c>
      <c r="I87" s="310">
        <v>40269.0</v>
      </c>
      <c r="J87" s="308">
        <f>IFERROR(__xludf.DUMMYFUNCTION("SPLIT(I87,""/"")"),1.0)</f>
        <v>1</v>
      </c>
      <c r="K87" s="308">
        <f>IFERROR(__xludf.DUMMYFUNCTION("""COMPUTED_VALUE"""),4.0)</f>
        <v>4</v>
      </c>
      <c r="L87" s="308">
        <f>IFERROR(__xludf.DUMMYFUNCTION("""COMPUTED_VALUE"""),2010.0)</f>
        <v>2010</v>
      </c>
      <c r="M87" s="308" t="s">
        <v>533</v>
      </c>
      <c r="N87" s="308"/>
      <c r="O87" s="312" t="s">
        <v>34374</v>
      </c>
      <c r="P87" s="308" t="s">
        <v>124</v>
      </c>
      <c r="Q87" s="308"/>
      <c r="R87" s="308"/>
      <c r="S87" s="308" t="s">
        <v>81</v>
      </c>
      <c r="T87" s="308" t="s">
        <v>34201</v>
      </c>
      <c r="U87" s="308"/>
      <c r="V87" s="312"/>
    </row>
    <row r="88">
      <c r="A88" s="308">
        <v>87.0</v>
      </c>
      <c r="B88" s="308" t="s">
        <v>34375</v>
      </c>
      <c r="C88" s="308" t="s">
        <v>538</v>
      </c>
      <c r="D88" s="308">
        <f>IFERROR(__xludf.DUMMYFUNCTION("SPLIT(C88,""-"")"),79.0)</f>
        <v>79</v>
      </c>
      <c r="E88" s="308" t="str">
        <f>IFERROR(__xludf.DUMMYFUNCTION("""COMPUTED_VALUE"""),"K")</f>
        <v>K</v>
      </c>
      <c r="F88" s="309" t="s">
        <v>34</v>
      </c>
      <c r="G88" s="308" t="s">
        <v>34216</v>
      </c>
      <c r="H88" s="308" t="s">
        <v>539</v>
      </c>
      <c r="I88" s="310">
        <v>40267.0</v>
      </c>
      <c r="J88" s="308">
        <f>IFERROR(__xludf.DUMMYFUNCTION("SPLIT(I88,""/"")"),30.0)</f>
        <v>30</v>
      </c>
      <c r="K88" s="308">
        <f>IFERROR(__xludf.DUMMYFUNCTION("""COMPUTED_VALUE"""),3.0)</f>
        <v>3</v>
      </c>
      <c r="L88" s="308">
        <f>IFERROR(__xludf.DUMMYFUNCTION("""COMPUTED_VALUE"""),2010.0)</f>
        <v>2010</v>
      </c>
      <c r="M88" s="308" t="s">
        <v>34376</v>
      </c>
      <c r="N88" s="308"/>
      <c r="O88" s="312" t="s">
        <v>34377</v>
      </c>
      <c r="P88" s="308" t="s">
        <v>34212</v>
      </c>
      <c r="Q88" s="308"/>
      <c r="R88" s="308"/>
      <c r="S88" s="315" t="s">
        <v>100</v>
      </c>
      <c r="T88" s="311" t="s">
        <v>34208</v>
      </c>
      <c r="U88" s="308" t="s">
        <v>542</v>
      </c>
      <c r="V88" s="312"/>
    </row>
    <row r="89">
      <c r="A89" s="308">
        <v>88.0</v>
      </c>
      <c r="B89" s="308" t="s">
        <v>34378</v>
      </c>
      <c r="C89" s="308" t="s">
        <v>543</v>
      </c>
      <c r="D89" s="308">
        <f>IFERROR(__xludf.DUMMYFUNCTION("SPLIT(C89,""-"")"),80.0)</f>
        <v>80</v>
      </c>
      <c r="E89" s="308" t="str">
        <f>IFERROR(__xludf.DUMMYFUNCTION("""COMPUTED_VALUE"""),"A")</f>
        <v>A</v>
      </c>
      <c r="F89" s="309" t="s">
        <v>23</v>
      </c>
      <c r="G89" s="308" t="s">
        <v>34216</v>
      </c>
      <c r="H89" s="308" t="s">
        <v>544</v>
      </c>
      <c r="I89" s="310">
        <v>39760.0</v>
      </c>
      <c r="J89" s="308">
        <f>IFERROR(__xludf.DUMMYFUNCTION("SPLIT(I89,""/"")"),8.0)</f>
        <v>8</v>
      </c>
      <c r="K89" s="308">
        <f>IFERROR(__xludf.DUMMYFUNCTION("""COMPUTED_VALUE"""),11.0)</f>
        <v>11</v>
      </c>
      <c r="L89" s="308">
        <f>IFERROR(__xludf.DUMMYFUNCTION("""COMPUTED_VALUE"""),2008.0)</f>
        <v>2008</v>
      </c>
      <c r="M89" s="308" t="s">
        <v>545</v>
      </c>
      <c r="N89" s="308"/>
      <c r="O89" s="312" t="s">
        <v>34379</v>
      </c>
      <c r="P89" s="308" t="s">
        <v>382</v>
      </c>
      <c r="Q89" s="308"/>
      <c r="R89" s="308"/>
      <c r="S89" s="308" t="s">
        <v>49</v>
      </c>
      <c r="T89" s="308" t="s">
        <v>51</v>
      </c>
      <c r="U89" s="308" t="s">
        <v>31</v>
      </c>
      <c r="V89" s="312"/>
    </row>
    <row r="90">
      <c r="A90" s="308">
        <v>89.0</v>
      </c>
      <c r="B90" s="308" t="s">
        <v>34380</v>
      </c>
      <c r="C90" s="308" t="s">
        <v>547</v>
      </c>
      <c r="D90" s="308">
        <f>IFERROR(__xludf.DUMMYFUNCTION("SPLIT(C90,""-"")"),81.0)</f>
        <v>81</v>
      </c>
      <c r="E90" s="308" t="str">
        <f>IFERROR(__xludf.DUMMYFUNCTION("""COMPUTED_VALUE"""),"K")</f>
        <v>K</v>
      </c>
      <c r="F90" s="309" t="s">
        <v>34</v>
      </c>
      <c r="G90" s="308" t="s">
        <v>548</v>
      </c>
      <c r="H90" s="308" t="s">
        <v>549</v>
      </c>
      <c r="I90" s="310">
        <v>39920.0</v>
      </c>
      <c r="J90" s="308">
        <f>IFERROR(__xludf.DUMMYFUNCTION("SPLIT(I90,""/"")"),17.0)</f>
        <v>17</v>
      </c>
      <c r="K90" s="308">
        <f>IFERROR(__xludf.DUMMYFUNCTION("""COMPUTED_VALUE"""),4.0)</f>
        <v>4</v>
      </c>
      <c r="L90" s="308">
        <f>IFERROR(__xludf.DUMMYFUNCTION("""COMPUTED_VALUE"""),2009.0)</f>
        <v>2009</v>
      </c>
      <c r="M90" s="308" t="s">
        <v>550</v>
      </c>
      <c r="N90" s="308"/>
      <c r="O90" s="308" t="s">
        <v>551</v>
      </c>
      <c r="P90" s="308" t="s">
        <v>382</v>
      </c>
      <c r="Q90" s="308" t="s">
        <v>137</v>
      </c>
      <c r="R90" s="308"/>
      <c r="S90" s="308" t="s">
        <v>49</v>
      </c>
      <c r="T90" s="308" t="s">
        <v>51</v>
      </c>
      <c r="U90" s="308" t="s">
        <v>137</v>
      </c>
      <c r="V90" s="312"/>
    </row>
    <row r="91">
      <c r="A91" s="308">
        <v>90.0</v>
      </c>
      <c r="B91" s="308" t="s">
        <v>34381</v>
      </c>
      <c r="C91" s="308" t="s">
        <v>552</v>
      </c>
      <c r="D91" s="308">
        <f>IFERROR(__xludf.DUMMYFUNCTION("SPLIT(C91,""-"")"),185.0)</f>
        <v>185</v>
      </c>
      <c r="E91" s="308" t="str">
        <f>IFERROR(__xludf.DUMMYFUNCTION("""COMPUTED_VALUE"""),"K")</f>
        <v>K</v>
      </c>
      <c r="F91" s="309" t="s">
        <v>34</v>
      </c>
      <c r="G91" s="308" t="s">
        <v>34216</v>
      </c>
      <c r="H91" s="308" t="s">
        <v>553</v>
      </c>
      <c r="I91" s="310">
        <v>40022.0</v>
      </c>
      <c r="J91" s="308">
        <f>IFERROR(__xludf.DUMMYFUNCTION("SPLIT(I91,""/"")"),28.0)</f>
        <v>28</v>
      </c>
      <c r="K91" s="308">
        <f>IFERROR(__xludf.DUMMYFUNCTION("""COMPUTED_VALUE"""),7.0)</f>
        <v>7</v>
      </c>
      <c r="L91" s="308">
        <f>IFERROR(__xludf.DUMMYFUNCTION("""COMPUTED_VALUE"""),2009.0)</f>
        <v>2009</v>
      </c>
      <c r="M91" s="308" t="s">
        <v>554</v>
      </c>
      <c r="N91" s="308"/>
      <c r="O91" s="308" t="s">
        <v>34216</v>
      </c>
      <c r="P91" s="308" t="s">
        <v>555</v>
      </c>
      <c r="Q91" s="308"/>
      <c r="R91" s="308"/>
      <c r="S91" s="308" t="s">
        <v>81</v>
      </c>
      <c r="T91" s="311" t="s">
        <v>75</v>
      </c>
      <c r="U91" s="308"/>
      <c r="V91" s="312"/>
    </row>
    <row r="92">
      <c r="A92" s="308">
        <v>91.0</v>
      </c>
      <c r="B92" s="308" t="s">
        <v>34382</v>
      </c>
      <c r="C92" s="308" t="s">
        <v>556</v>
      </c>
      <c r="D92" s="308">
        <f>IFERROR(__xludf.DUMMYFUNCTION("SPLIT(C92,""-"")"),186.0)</f>
        <v>186</v>
      </c>
      <c r="E92" s="308" t="str">
        <f>IFERROR(__xludf.DUMMYFUNCTION("""COMPUTED_VALUE"""),"K")</f>
        <v>K</v>
      </c>
      <c r="F92" s="309" t="s">
        <v>34</v>
      </c>
      <c r="G92" s="308" t="s">
        <v>34216</v>
      </c>
      <c r="H92" s="308" t="s">
        <v>557</v>
      </c>
      <c r="I92" s="310">
        <v>40022.0</v>
      </c>
      <c r="J92" s="308">
        <f>IFERROR(__xludf.DUMMYFUNCTION("SPLIT(I92,""/"")"),28.0)</f>
        <v>28</v>
      </c>
      <c r="K92" s="308">
        <f>IFERROR(__xludf.DUMMYFUNCTION("""COMPUTED_VALUE"""),7.0)</f>
        <v>7</v>
      </c>
      <c r="L92" s="308">
        <f>IFERROR(__xludf.DUMMYFUNCTION("""COMPUTED_VALUE"""),2009.0)</f>
        <v>2009</v>
      </c>
      <c r="M92" s="308" t="s">
        <v>554</v>
      </c>
      <c r="N92" s="308"/>
      <c r="O92" s="308"/>
      <c r="P92" s="308" t="s">
        <v>555</v>
      </c>
      <c r="Q92" s="308"/>
      <c r="R92" s="308"/>
      <c r="S92" s="308" t="s">
        <v>81</v>
      </c>
      <c r="T92" s="308" t="s">
        <v>75</v>
      </c>
      <c r="U92" s="308"/>
      <c r="V92" s="312"/>
    </row>
    <row r="93">
      <c r="A93" s="308">
        <v>92.0</v>
      </c>
      <c r="B93" s="308" t="s">
        <v>34383</v>
      </c>
      <c r="C93" s="308" t="s">
        <v>558</v>
      </c>
      <c r="D93" s="308">
        <f>IFERROR(__xludf.DUMMYFUNCTION("SPLIT(C93,""-"")"),187.0)</f>
        <v>187</v>
      </c>
      <c r="E93" s="308" t="str">
        <f>IFERROR(__xludf.DUMMYFUNCTION("""COMPUTED_VALUE"""),"K")</f>
        <v>K</v>
      </c>
      <c r="F93" s="309" t="s">
        <v>34</v>
      </c>
      <c r="G93" s="308" t="s">
        <v>34216</v>
      </c>
      <c r="H93" s="308" t="s">
        <v>559</v>
      </c>
      <c r="I93" s="310">
        <v>40022.0</v>
      </c>
      <c r="J93" s="308">
        <f>IFERROR(__xludf.DUMMYFUNCTION("SPLIT(I93,""/"")"),28.0)</f>
        <v>28</v>
      </c>
      <c r="K93" s="308">
        <f>IFERROR(__xludf.DUMMYFUNCTION("""COMPUTED_VALUE"""),7.0)</f>
        <v>7</v>
      </c>
      <c r="L93" s="308">
        <f>IFERROR(__xludf.DUMMYFUNCTION("""COMPUTED_VALUE"""),2009.0)</f>
        <v>2009</v>
      </c>
      <c r="M93" s="308" t="s">
        <v>554</v>
      </c>
      <c r="N93" s="308"/>
      <c r="O93" s="308" t="s">
        <v>34216</v>
      </c>
      <c r="P93" s="308" t="s">
        <v>555</v>
      </c>
      <c r="Q93" s="308"/>
      <c r="R93" s="308"/>
      <c r="S93" s="308" t="s">
        <v>81</v>
      </c>
      <c r="T93" s="308" t="s">
        <v>75</v>
      </c>
      <c r="U93" s="308"/>
      <c r="V93" s="312"/>
    </row>
    <row r="94">
      <c r="A94" s="308">
        <v>93.0</v>
      </c>
      <c r="B94" s="308" t="s">
        <v>34384</v>
      </c>
      <c r="C94" s="308" t="s">
        <v>560</v>
      </c>
      <c r="D94" s="308">
        <f>IFERROR(__xludf.DUMMYFUNCTION("SPLIT(C94,""-"")"),188.0)</f>
        <v>188</v>
      </c>
      <c r="E94" s="308" t="str">
        <f>IFERROR(__xludf.DUMMYFUNCTION("""COMPUTED_VALUE"""),"K")</f>
        <v>K</v>
      </c>
      <c r="F94" s="309" t="s">
        <v>34</v>
      </c>
      <c r="G94" s="308" t="s">
        <v>34216</v>
      </c>
      <c r="H94" s="308" t="s">
        <v>561</v>
      </c>
      <c r="I94" s="310">
        <v>40022.0</v>
      </c>
      <c r="J94" s="308">
        <f>IFERROR(__xludf.DUMMYFUNCTION("SPLIT(I94,""/"")"),28.0)</f>
        <v>28</v>
      </c>
      <c r="K94" s="308">
        <f>IFERROR(__xludf.DUMMYFUNCTION("""COMPUTED_VALUE"""),7.0)</f>
        <v>7</v>
      </c>
      <c r="L94" s="308">
        <f>IFERROR(__xludf.DUMMYFUNCTION("""COMPUTED_VALUE"""),2009.0)</f>
        <v>2009</v>
      </c>
      <c r="M94" s="308" t="s">
        <v>554</v>
      </c>
      <c r="N94" s="308"/>
      <c r="O94" s="308" t="s">
        <v>34216</v>
      </c>
      <c r="P94" s="308" t="s">
        <v>555</v>
      </c>
      <c r="Q94" s="308"/>
      <c r="R94" s="308"/>
      <c r="S94" s="308" t="s">
        <v>81</v>
      </c>
      <c r="T94" s="308" t="s">
        <v>75</v>
      </c>
      <c r="U94" s="308"/>
      <c r="V94" s="312"/>
    </row>
    <row r="95">
      <c r="A95" s="308">
        <v>94.0</v>
      </c>
      <c r="B95" s="308" t="s">
        <v>34385</v>
      </c>
      <c r="C95" s="308" t="s">
        <v>34386</v>
      </c>
      <c r="D95" s="308">
        <f>IFERROR(__xludf.DUMMYFUNCTION("SPLIT(C95,""-"")"),189.0)</f>
        <v>189</v>
      </c>
      <c r="E95" s="311"/>
      <c r="F95" s="309" t="s">
        <v>34</v>
      </c>
      <c r="G95" s="308" t="s">
        <v>34216</v>
      </c>
      <c r="H95" s="308" t="s">
        <v>562</v>
      </c>
      <c r="I95" s="310">
        <v>40022.0</v>
      </c>
      <c r="J95" s="308">
        <f>IFERROR(__xludf.DUMMYFUNCTION("SPLIT(I95,""/"")"),28.0)</f>
        <v>28</v>
      </c>
      <c r="K95" s="308">
        <f>IFERROR(__xludf.DUMMYFUNCTION("""COMPUTED_VALUE"""),7.0)</f>
        <v>7</v>
      </c>
      <c r="L95" s="308">
        <f>IFERROR(__xludf.DUMMYFUNCTION("""COMPUTED_VALUE"""),2009.0)</f>
        <v>2009</v>
      </c>
      <c r="M95" s="308" t="s">
        <v>554</v>
      </c>
      <c r="N95" s="308"/>
      <c r="O95" s="308" t="s">
        <v>34216</v>
      </c>
      <c r="P95" s="308" t="s">
        <v>555</v>
      </c>
      <c r="Q95" s="308"/>
      <c r="R95" s="308"/>
      <c r="S95" s="308" t="s">
        <v>81</v>
      </c>
      <c r="T95" s="308" t="s">
        <v>75</v>
      </c>
      <c r="U95" s="308"/>
      <c r="V95" s="312"/>
    </row>
    <row r="96">
      <c r="A96" s="308">
        <v>95.0</v>
      </c>
      <c r="B96" s="308" t="s">
        <v>34387</v>
      </c>
      <c r="C96" s="308" t="s">
        <v>563</v>
      </c>
      <c r="D96" s="308">
        <f>IFERROR(__xludf.DUMMYFUNCTION("SPLIT(C96,""-"")"),82.0)</f>
        <v>82</v>
      </c>
      <c r="E96" s="308" t="str">
        <f>IFERROR(__xludf.DUMMYFUNCTION("""COMPUTED_VALUE"""),"I")</f>
        <v>I</v>
      </c>
      <c r="F96" s="309" t="s">
        <v>31</v>
      </c>
      <c r="G96" s="308" t="s">
        <v>564</v>
      </c>
      <c r="H96" s="308" t="s">
        <v>565</v>
      </c>
      <c r="I96" s="314">
        <v>40170.0</v>
      </c>
      <c r="J96" s="308">
        <f>IFERROR(__xludf.DUMMYFUNCTION("SPLIT(I96,""/"")"),23.0)</f>
        <v>23</v>
      </c>
      <c r="K96" s="308">
        <f>IFERROR(__xludf.DUMMYFUNCTION("""COMPUTED_VALUE"""),12.0)</f>
        <v>12</v>
      </c>
      <c r="L96" s="308">
        <f>IFERROR(__xludf.DUMMYFUNCTION("""COMPUTED_VALUE"""),2009.0)</f>
        <v>2009</v>
      </c>
      <c r="M96" s="308" t="s">
        <v>566</v>
      </c>
      <c r="N96" s="308"/>
      <c r="O96" s="312" t="s">
        <v>34388</v>
      </c>
      <c r="P96" s="308" t="s">
        <v>568</v>
      </c>
      <c r="Q96" s="308"/>
      <c r="R96" s="308"/>
      <c r="S96" s="308" t="s">
        <v>81</v>
      </c>
      <c r="T96" s="311" t="s">
        <v>73</v>
      </c>
      <c r="U96" s="308"/>
      <c r="V96" s="312"/>
    </row>
    <row r="97">
      <c r="A97" s="308">
        <v>96.0</v>
      </c>
      <c r="B97" s="308" t="s">
        <v>34389</v>
      </c>
      <c r="C97" s="308" t="s">
        <v>569</v>
      </c>
      <c r="D97" s="308">
        <f>IFERROR(__xludf.DUMMYFUNCTION("SPLIT(C97,""-"")"),184.0)</f>
        <v>184</v>
      </c>
      <c r="E97" s="308" t="str">
        <f>IFERROR(__xludf.DUMMYFUNCTION("""COMPUTED_VALUE"""),"P")</f>
        <v>P</v>
      </c>
      <c r="F97" s="312" t="s">
        <v>37</v>
      </c>
      <c r="G97" s="308" t="s">
        <v>34216</v>
      </c>
      <c r="H97" s="308" t="s">
        <v>570</v>
      </c>
      <c r="I97" s="310">
        <v>40094.0</v>
      </c>
      <c r="J97" s="308">
        <f>IFERROR(__xludf.DUMMYFUNCTION("SPLIT(I97,""/"")"),8.0)</f>
        <v>8</v>
      </c>
      <c r="K97" s="308">
        <f>IFERROR(__xludf.DUMMYFUNCTION("""COMPUTED_VALUE"""),10.0)</f>
        <v>10</v>
      </c>
      <c r="L97" s="308">
        <f>IFERROR(__xludf.DUMMYFUNCTION("""COMPUTED_VALUE"""),2009.0)</f>
        <v>2009</v>
      </c>
      <c r="M97" s="308" t="s">
        <v>571</v>
      </c>
      <c r="N97" s="308"/>
      <c r="O97" s="312" t="s">
        <v>34390</v>
      </c>
      <c r="P97" s="308" t="s">
        <v>573</v>
      </c>
      <c r="Q97" s="308"/>
      <c r="R97" s="308"/>
      <c r="S97" s="311" t="s">
        <v>81</v>
      </c>
      <c r="T97" s="311" t="s">
        <v>73</v>
      </c>
      <c r="U97" s="308"/>
      <c r="V97" s="312"/>
    </row>
    <row r="98">
      <c r="A98" s="308">
        <v>97.0</v>
      </c>
      <c r="B98" s="308" t="s">
        <v>34391</v>
      </c>
      <c r="C98" s="308" t="s">
        <v>574</v>
      </c>
      <c r="D98" s="308">
        <f>IFERROR(__xludf.DUMMYFUNCTION("SPLIT(C98,""-"")"),83.0)</f>
        <v>83</v>
      </c>
      <c r="E98" s="308" t="str">
        <f>IFERROR(__xludf.DUMMYFUNCTION("""COMPUTED_VALUE"""),"K")</f>
        <v>K</v>
      </c>
      <c r="F98" s="309" t="s">
        <v>34</v>
      </c>
      <c r="G98" s="308" t="s">
        <v>575</v>
      </c>
      <c r="H98" s="308" t="s">
        <v>576</v>
      </c>
      <c r="I98" s="310">
        <v>39643.0</v>
      </c>
      <c r="J98" s="308">
        <f>IFERROR(__xludf.DUMMYFUNCTION("SPLIT(I98,""/"")"),14.0)</f>
        <v>14</v>
      </c>
      <c r="K98" s="308">
        <f>IFERROR(__xludf.DUMMYFUNCTION("""COMPUTED_VALUE"""),7.0)</f>
        <v>7</v>
      </c>
      <c r="L98" s="308">
        <f>IFERROR(__xludf.DUMMYFUNCTION("""COMPUTED_VALUE"""),2008.0)</f>
        <v>2008</v>
      </c>
      <c r="M98" s="308" t="s">
        <v>577</v>
      </c>
      <c r="N98" s="308"/>
      <c r="O98" s="312" t="s">
        <v>34392</v>
      </c>
      <c r="P98" s="308" t="s">
        <v>148</v>
      </c>
      <c r="Q98" s="308"/>
      <c r="R98" s="308"/>
      <c r="S98" s="308" t="s">
        <v>49</v>
      </c>
      <c r="T98" s="308" t="s">
        <v>51</v>
      </c>
      <c r="U98" s="308"/>
      <c r="V98" s="312"/>
    </row>
    <row r="99">
      <c r="A99" s="308">
        <v>98.0</v>
      </c>
      <c r="B99" s="308" t="s">
        <v>34393</v>
      </c>
      <c r="C99" s="308" t="s">
        <v>579</v>
      </c>
      <c r="D99" s="308">
        <f>IFERROR(__xludf.DUMMYFUNCTION("SPLIT(C99,""-"")"),176.0)</f>
        <v>176</v>
      </c>
      <c r="E99" s="308" t="str">
        <f>IFERROR(__xludf.DUMMYFUNCTION("""COMPUTED_VALUE"""),"K")</f>
        <v>K</v>
      </c>
      <c r="F99" s="309" t="s">
        <v>34</v>
      </c>
      <c r="G99" s="308" t="s">
        <v>34216</v>
      </c>
      <c r="H99" s="308" t="s">
        <v>580</v>
      </c>
      <c r="I99" s="310">
        <v>40076.0</v>
      </c>
      <c r="J99" s="308">
        <f>IFERROR(__xludf.DUMMYFUNCTION("SPLIT(I99,""/"")"),20.0)</f>
        <v>20</v>
      </c>
      <c r="K99" s="308">
        <f>IFERROR(__xludf.DUMMYFUNCTION("""COMPUTED_VALUE"""),9.0)</f>
        <v>9</v>
      </c>
      <c r="L99" s="308">
        <f>IFERROR(__xludf.DUMMYFUNCTION("""COMPUTED_VALUE"""),2009.0)</f>
        <v>2009</v>
      </c>
      <c r="M99" s="308" t="s">
        <v>581</v>
      </c>
      <c r="N99" s="308"/>
      <c r="O99" s="312" t="s">
        <v>34394</v>
      </c>
      <c r="P99" s="308" t="s">
        <v>34395</v>
      </c>
      <c r="Q99" s="308"/>
      <c r="R99" s="308"/>
      <c r="S99" s="308" t="s">
        <v>81</v>
      </c>
      <c r="T99" s="308" t="s">
        <v>75</v>
      </c>
      <c r="U99" s="308"/>
      <c r="V99" s="312"/>
    </row>
    <row r="100">
      <c r="A100" s="308">
        <v>99.0</v>
      </c>
      <c r="B100" s="308" t="s">
        <v>34396</v>
      </c>
      <c r="C100" s="308" t="s">
        <v>584</v>
      </c>
      <c r="D100" s="308">
        <f>IFERROR(__xludf.DUMMYFUNCTION("SPLIT(C100,""-"")"),84.0)</f>
        <v>84</v>
      </c>
      <c r="E100" s="308" t="str">
        <f>IFERROR(__xludf.DUMMYFUNCTION("""COMPUTED_VALUE"""),"K")</f>
        <v>K</v>
      </c>
      <c r="F100" s="309" t="s">
        <v>34</v>
      </c>
      <c r="G100" s="308" t="s">
        <v>585</v>
      </c>
      <c r="H100" s="308" t="s">
        <v>586</v>
      </c>
      <c r="I100" s="310">
        <v>40179.0</v>
      </c>
      <c r="J100" s="308">
        <f>IFERROR(__xludf.DUMMYFUNCTION("SPLIT(I100,""/"")"),1.0)</f>
        <v>1</v>
      </c>
      <c r="K100" s="308">
        <f>IFERROR(__xludf.DUMMYFUNCTION("""COMPUTED_VALUE"""),1.0)</f>
        <v>1</v>
      </c>
      <c r="L100" s="308">
        <f>IFERROR(__xludf.DUMMYFUNCTION("""COMPUTED_VALUE"""),2010.0)</f>
        <v>2010</v>
      </c>
      <c r="M100" s="308" t="s">
        <v>587</v>
      </c>
      <c r="N100" s="308"/>
      <c r="O100" s="312" t="s">
        <v>34397</v>
      </c>
      <c r="P100" s="308" t="s">
        <v>516</v>
      </c>
      <c r="Q100" s="308"/>
      <c r="R100" s="308"/>
      <c r="S100" s="308" t="s">
        <v>81</v>
      </c>
      <c r="T100" s="308" t="s">
        <v>34264</v>
      </c>
      <c r="U100" s="308"/>
      <c r="V100" s="312"/>
    </row>
    <row r="101">
      <c r="A101" s="308">
        <v>100.0</v>
      </c>
      <c r="B101" s="308" t="s">
        <v>34398</v>
      </c>
      <c r="C101" s="308" t="s">
        <v>589</v>
      </c>
      <c r="D101" s="308">
        <f>IFERROR(__xludf.DUMMYFUNCTION("SPLIT(C101,""-"")"),177.0)</f>
        <v>177</v>
      </c>
      <c r="E101" s="308" t="str">
        <f>IFERROR(__xludf.DUMMYFUNCTION("""COMPUTED_VALUE"""),"P")</f>
        <v>P</v>
      </c>
      <c r="F101" s="312" t="s">
        <v>37</v>
      </c>
      <c r="G101" s="308" t="s">
        <v>34216</v>
      </c>
      <c r="H101" s="308" t="s">
        <v>590</v>
      </c>
      <c r="I101" s="310">
        <v>40200.0</v>
      </c>
      <c r="J101" s="308">
        <f>IFERROR(__xludf.DUMMYFUNCTION("SPLIT(I101,""/"")"),22.0)</f>
        <v>22</v>
      </c>
      <c r="K101" s="308">
        <f>IFERROR(__xludf.DUMMYFUNCTION("""COMPUTED_VALUE"""),1.0)</f>
        <v>1</v>
      </c>
      <c r="L101" s="308">
        <f>IFERROR(__xludf.DUMMYFUNCTION("""COMPUTED_VALUE"""),2010.0)</f>
        <v>2010</v>
      </c>
      <c r="M101" s="308" t="s">
        <v>591</v>
      </c>
      <c r="N101" s="308"/>
      <c r="O101" s="312" t="s">
        <v>34399</v>
      </c>
      <c r="P101" s="308" t="s">
        <v>124</v>
      </c>
      <c r="Q101" s="308"/>
      <c r="R101" s="308"/>
      <c r="S101" s="308" t="s">
        <v>81</v>
      </c>
      <c r="T101" s="308" t="s">
        <v>34201</v>
      </c>
      <c r="U101" s="308"/>
      <c r="V101" s="312"/>
    </row>
    <row r="102">
      <c r="A102" s="308">
        <v>101.0</v>
      </c>
      <c r="B102" s="308">
        <v>3242.0</v>
      </c>
      <c r="C102" s="308" t="s">
        <v>593</v>
      </c>
      <c r="D102" s="308">
        <f>IFERROR(__xludf.DUMMYFUNCTION("SPLIT(C102,""-"")"),85.0)</f>
        <v>85</v>
      </c>
      <c r="E102" s="308" t="str">
        <f>IFERROR(__xludf.DUMMYFUNCTION("""COMPUTED_VALUE"""),"S")</f>
        <v>S</v>
      </c>
      <c r="F102" s="312" t="s">
        <v>39</v>
      </c>
      <c r="G102" s="308" t="s">
        <v>594</v>
      </c>
      <c r="H102" s="308" t="s">
        <v>595</v>
      </c>
      <c r="I102" s="310">
        <v>39489.0</v>
      </c>
      <c r="J102" s="308">
        <f>IFERROR(__xludf.DUMMYFUNCTION("SPLIT(I102,""/"")"),11.0)</f>
        <v>11</v>
      </c>
      <c r="K102" s="308">
        <f>IFERROR(__xludf.DUMMYFUNCTION("""COMPUTED_VALUE"""),2.0)</f>
        <v>2</v>
      </c>
      <c r="L102" s="308">
        <f>IFERROR(__xludf.DUMMYFUNCTION("""COMPUTED_VALUE"""),2008.0)</f>
        <v>2008</v>
      </c>
      <c r="M102" s="308" t="s">
        <v>596</v>
      </c>
      <c r="N102" s="308"/>
      <c r="O102" s="308" t="s">
        <v>597</v>
      </c>
      <c r="P102" s="308" t="s">
        <v>516</v>
      </c>
      <c r="Q102" s="308"/>
      <c r="R102" s="308"/>
      <c r="S102" s="308" t="s">
        <v>81</v>
      </c>
      <c r="T102" s="308" t="s">
        <v>34264</v>
      </c>
      <c r="U102" s="308"/>
      <c r="V102" s="312"/>
    </row>
    <row r="103">
      <c r="A103" s="308">
        <v>102.0</v>
      </c>
      <c r="B103" s="308" t="s">
        <v>34400</v>
      </c>
      <c r="C103" s="308" t="s">
        <v>598</v>
      </c>
      <c r="D103" s="308">
        <f>IFERROR(__xludf.DUMMYFUNCTION("SPLIT(C103,""-"")"),86.0)</f>
        <v>86</v>
      </c>
      <c r="E103" s="308" t="str">
        <f>IFERROR(__xludf.DUMMYFUNCTION("""COMPUTED_VALUE"""),"S")</f>
        <v>S</v>
      </c>
      <c r="F103" s="312" t="s">
        <v>39</v>
      </c>
      <c r="G103" s="308" t="s">
        <v>599</v>
      </c>
      <c r="H103" s="308" t="s">
        <v>600</v>
      </c>
      <c r="I103" s="310">
        <v>40270.0</v>
      </c>
      <c r="J103" s="308">
        <f>IFERROR(__xludf.DUMMYFUNCTION("SPLIT(I103,""/"")"),2.0)</f>
        <v>2</v>
      </c>
      <c r="K103" s="308">
        <f>IFERROR(__xludf.DUMMYFUNCTION("""COMPUTED_VALUE"""),4.0)</f>
        <v>4</v>
      </c>
      <c r="L103" s="308">
        <f>IFERROR(__xludf.DUMMYFUNCTION("""COMPUTED_VALUE"""),2010.0)</f>
        <v>2010</v>
      </c>
      <c r="M103" s="308" t="s">
        <v>601</v>
      </c>
      <c r="N103" s="308"/>
      <c r="O103" s="308" t="s">
        <v>602</v>
      </c>
      <c r="P103" s="308" t="s">
        <v>603</v>
      </c>
      <c r="Q103" s="308"/>
      <c r="R103" s="308"/>
      <c r="S103" s="308" t="s">
        <v>81</v>
      </c>
      <c r="T103" s="308" t="s">
        <v>98</v>
      </c>
      <c r="U103" s="308"/>
      <c r="V103" s="312"/>
    </row>
    <row r="104">
      <c r="A104" s="308">
        <v>103.0</v>
      </c>
      <c r="B104" s="308" t="s">
        <v>34401</v>
      </c>
      <c r="C104" s="308" t="s">
        <v>604</v>
      </c>
      <c r="D104" s="308">
        <f>IFERROR(__xludf.DUMMYFUNCTION("SPLIT(C104,""-"")"),87.0)</f>
        <v>87</v>
      </c>
      <c r="E104" s="308" t="str">
        <f>IFERROR(__xludf.DUMMYFUNCTION("""COMPUTED_VALUE"""),"B")</f>
        <v>B</v>
      </c>
      <c r="F104" s="315" t="s">
        <v>26</v>
      </c>
      <c r="G104" s="308" t="s">
        <v>605</v>
      </c>
      <c r="H104" s="308" t="s">
        <v>606</v>
      </c>
      <c r="I104" s="316" t="s">
        <v>407</v>
      </c>
      <c r="J104" s="308" t="str">
        <f>IFERROR(__xludf.DUMMYFUNCTION("SPLIT(I104,""/"")"),"#REF!")</f>
        <v>#REF!</v>
      </c>
      <c r="K104" s="308"/>
      <c r="L104" s="311" t="s">
        <v>79</v>
      </c>
      <c r="M104" s="308" t="s">
        <v>607</v>
      </c>
      <c r="N104" s="308"/>
      <c r="O104" s="312" t="s">
        <v>34402</v>
      </c>
      <c r="P104" s="308" t="s">
        <v>148</v>
      </c>
      <c r="Q104" s="308"/>
      <c r="R104" s="308"/>
      <c r="S104" s="308" t="s">
        <v>49</v>
      </c>
      <c r="T104" s="308" t="s">
        <v>51</v>
      </c>
      <c r="U104" s="308"/>
      <c r="V104" s="312"/>
    </row>
    <row r="105">
      <c r="A105" s="308">
        <v>104.0</v>
      </c>
      <c r="B105" s="308" t="s">
        <v>34403</v>
      </c>
      <c r="C105" s="308" t="s">
        <v>34404</v>
      </c>
      <c r="D105" s="308">
        <f>IFERROR(__xludf.DUMMYFUNCTION("SPLIT(C105,""-"")"),88.0)</f>
        <v>88</v>
      </c>
      <c r="E105" s="311"/>
      <c r="F105" s="309" t="s">
        <v>34</v>
      </c>
      <c r="G105" s="308" t="s">
        <v>609</v>
      </c>
      <c r="H105" s="308" t="s">
        <v>610</v>
      </c>
      <c r="I105" s="310">
        <v>40220.0</v>
      </c>
      <c r="J105" s="308">
        <f>IFERROR(__xludf.DUMMYFUNCTION("SPLIT(I105,""/"")"),11.0)</f>
        <v>11</v>
      </c>
      <c r="K105" s="308">
        <f>IFERROR(__xludf.DUMMYFUNCTION("""COMPUTED_VALUE"""),2.0)</f>
        <v>2</v>
      </c>
      <c r="L105" s="308">
        <f>IFERROR(__xludf.DUMMYFUNCTION("""COMPUTED_VALUE"""),2010.0)</f>
        <v>2010</v>
      </c>
      <c r="M105" s="308" t="s">
        <v>611</v>
      </c>
      <c r="N105" s="308"/>
      <c r="O105" s="308" t="s">
        <v>34216</v>
      </c>
      <c r="P105" s="308" t="s">
        <v>612</v>
      </c>
      <c r="Q105" s="308"/>
      <c r="R105" s="308"/>
      <c r="S105" s="308" t="s">
        <v>81</v>
      </c>
      <c r="T105" s="311" t="s">
        <v>75</v>
      </c>
      <c r="U105" s="308"/>
      <c r="V105" s="312"/>
    </row>
    <row r="106">
      <c r="A106" s="308">
        <v>105.0</v>
      </c>
      <c r="B106" s="308" t="s">
        <v>34405</v>
      </c>
      <c r="C106" s="308" t="s">
        <v>34406</v>
      </c>
      <c r="D106" s="308"/>
      <c r="E106" s="311"/>
      <c r="F106" s="309" t="s">
        <v>34</v>
      </c>
      <c r="G106" s="308" t="s">
        <v>614</v>
      </c>
      <c r="H106" s="308" t="s">
        <v>615</v>
      </c>
      <c r="I106" s="310">
        <v>39869.0</v>
      </c>
      <c r="J106" s="308">
        <f>IFERROR(__xludf.DUMMYFUNCTION("SPLIT(I106,""/"")"),25.0)</f>
        <v>25</v>
      </c>
      <c r="K106" s="308">
        <f>IFERROR(__xludf.DUMMYFUNCTION("""COMPUTED_VALUE"""),2.0)</f>
        <v>2</v>
      </c>
      <c r="L106" s="308">
        <f>IFERROR(__xludf.DUMMYFUNCTION("""COMPUTED_VALUE"""),2009.0)</f>
        <v>2009</v>
      </c>
      <c r="M106" s="308" t="s">
        <v>616</v>
      </c>
      <c r="N106" s="308"/>
      <c r="O106" s="312" t="s">
        <v>34407</v>
      </c>
      <c r="P106" s="308" t="s">
        <v>34212</v>
      </c>
      <c r="Q106" s="308"/>
      <c r="R106" s="308" t="s">
        <v>618</v>
      </c>
      <c r="S106" s="315" t="s">
        <v>100</v>
      </c>
      <c r="T106" s="311" t="s">
        <v>34208</v>
      </c>
      <c r="U106" s="308" t="s">
        <v>125</v>
      </c>
      <c r="V106" s="312"/>
    </row>
    <row r="107">
      <c r="A107" s="308">
        <v>106.0</v>
      </c>
      <c r="B107" s="308" t="s">
        <v>34408</v>
      </c>
      <c r="C107" s="308" t="s">
        <v>619</v>
      </c>
      <c r="D107" s="308">
        <f>IFERROR(__xludf.DUMMYFUNCTION("SPLIT(C107,""-"")"),90.0)</f>
        <v>90</v>
      </c>
      <c r="E107" s="308" t="str">
        <f>IFERROR(__xludf.DUMMYFUNCTION("""COMPUTED_VALUE"""),"B")</f>
        <v>B</v>
      </c>
      <c r="F107" s="315" t="s">
        <v>26</v>
      </c>
      <c r="G107" s="308" t="s">
        <v>34216</v>
      </c>
      <c r="H107" s="308" t="s">
        <v>620</v>
      </c>
      <c r="I107" s="310">
        <v>40288.0</v>
      </c>
      <c r="J107" s="308">
        <f>IFERROR(__xludf.DUMMYFUNCTION("SPLIT(I107,""/"")"),20.0)</f>
        <v>20</v>
      </c>
      <c r="K107" s="308">
        <f>IFERROR(__xludf.DUMMYFUNCTION("""COMPUTED_VALUE"""),4.0)</f>
        <v>4</v>
      </c>
      <c r="L107" s="308">
        <f>IFERROR(__xludf.DUMMYFUNCTION("""COMPUTED_VALUE"""),2010.0)</f>
        <v>2010</v>
      </c>
      <c r="M107" s="308" t="s">
        <v>621</v>
      </c>
      <c r="N107" s="308"/>
      <c r="O107" s="308" t="s">
        <v>34322</v>
      </c>
      <c r="P107" s="308" t="s">
        <v>622</v>
      </c>
      <c r="Q107" s="308"/>
      <c r="R107" s="308"/>
      <c r="S107" s="308" t="s">
        <v>49</v>
      </c>
      <c r="T107" s="311" t="s">
        <v>34409</v>
      </c>
      <c r="U107" s="308"/>
      <c r="V107" s="312"/>
    </row>
    <row r="108">
      <c r="A108" s="308">
        <v>107.0</v>
      </c>
      <c r="B108" s="308" t="s">
        <v>34410</v>
      </c>
      <c r="C108" s="308" t="s">
        <v>623</v>
      </c>
      <c r="D108" s="308">
        <f>IFERROR(__xludf.DUMMYFUNCTION("SPLIT(C108,""-"")"),91.0)</f>
        <v>91</v>
      </c>
      <c r="E108" s="308" t="str">
        <f>IFERROR(__xludf.DUMMYFUNCTION("""COMPUTED_VALUE"""),"B")</f>
        <v>B</v>
      </c>
      <c r="F108" s="315" t="s">
        <v>26</v>
      </c>
      <c r="G108" s="308" t="s">
        <v>34216</v>
      </c>
      <c r="H108" s="308" t="s">
        <v>624</v>
      </c>
      <c r="I108" s="310">
        <v>40263.0</v>
      </c>
      <c r="J108" s="308">
        <f>IFERROR(__xludf.DUMMYFUNCTION("SPLIT(I108,""/"")"),26.0)</f>
        <v>26</v>
      </c>
      <c r="K108" s="308">
        <f>IFERROR(__xludf.DUMMYFUNCTION("""COMPUTED_VALUE"""),3.0)</f>
        <v>3</v>
      </c>
      <c r="L108" s="308">
        <f>IFERROR(__xludf.DUMMYFUNCTION("""COMPUTED_VALUE"""),2010.0)</f>
        <v>2010</v>
      </c>
      <c r="M108" s="308" t="s">
        <v>34411</v>
      </c>
      <c r="N108" s="308"/>
      <c r="O108" s="312" t="s">
        <v>34412</v>
      </c>
      <c r="P108" s="308" t="s">
        <v>627</v>
      </c>
      <c r="Q108" s="308"/>
      <c r="R108" s="308"/>
      <c r="S108" s="308" t="s">
        <v>49</v>
      </c>
      <c r="T108" s="311" t="s">
        <v>69</v>
      </c>
      <c r="U108" s="308"/>
      <c r="V108" s="312"/>
    </row>
    <row r="109">
      <c r="A109" s="308">
        <v>108.0</v>
      </c>
      <c r="B109" s="308" t="s">
        <v>34413</v>
      </c>
      <c r="C109" s="308" t="s">
        <v>628</v>
      </c>
      <c r="D109" s="308">
        <f>IFERROR(__xludf.DUMMYFUNCTION("SPLIT(C109,""-"")"),92.0)</f>
        <v>92</v>
      </c>
      <c r="E109" s="308" t="str">
        <f>IFERROR(__xludf.DUMMYFUNCTION("""COMPUTED_VALUE"""),"B")</f>
        <v>B</v>
      </c>
      <c r="F109" s="315" t="s">
        <v>26</v>
      </c>
      <c r="G109" s="308" t="s">
        <v>34216</v>
      </c>
      <c r="H109" s="308" t="s">
        <v>629</v>
      </c>
      <c r="I109" s="310">
        <v>40185.0</v>
      </c>
      <c r="J109" s="308">
        <f>IFERROR(__xludf.DUMMYFUNCTION("SPLIT(I109,""/"")"),7.0)</f>
        <v>7</v>
      </c>
      <c r="K109" s="308">
        <f>IFERROR(__xludf.DUMMYFUNCTION("""COMPUTED_VALUE"""),1.0)</f>
        <v>1</v>
      </c>
      <c r="L109" s="308">
        <f>IFERROR(__xludf.DUMMYFUNCTION("""COMPUTED_VALUE"""),2010.0)</f>
        <v>2010</v>
      </c>
      <c r="M109" s="308" t="s">
        <v>630</v>
      </c>
      <c r="N109" s="308"/>
      <c r="O109" s="312" t="s">
        <v>34414</v>
      </c>
      <c r="P109" s="308" t="s">
        <v>34212</v>
      </c>
      <c r="Q109" s="308"/>
      <c r="R109" s="308"/>
      <c r="S109" s="315" t="s">
        <v>100</v>
      </c>
      <c r="T109" s="311" t="s">
        <v>34208</v>
      </c>
      <c r="U109" s="308" t="s">
        <v>27</v>
      </c>
      <c r="V109" s="312"/>
    </row>
    <row r="110">
      <c r="A110" s="308">
        <v>109.0</v>
      </c>
      <c r="B110" s="308" t="s">
        <v>34415</v>
      </c>
      <c r="C110" s="308" t="s">
        <v>632</v>
      </c>
      <c r="D110" s="308">
        <f>IFERROR(__xludf.DUMMYFUNCTION("SPLIT(C110,""-"")"),93.0)</f>
        <v>93</v>
      </c>
      <c r="E110" s="308" t="str">
        <f>IFERROR(__xludf.DUMMYFUNCTION("""COMPUTED_VALUE"""),"K")</f>
        <v>K</v>
      </c>
      <c r="F110" s="309" t="s">
        <v>34</v>
      </c>
      <c r="G110" s="308" t="s">
        <v>34216</v>
      </c>
      <c r="H110" s="308" t="s">
        <v>633</v>
      </c>
      <c r="I110" s="310">
        <v>40379.0</v>
      </c>
      <c r="J110" s="308">
        <f>IFERROR(__xludf.DUMMYFUNCTION("SPLIT(I110,""/"")"),20.0)</f>
        <v>20</v>
      </c>
      <c r="K110" s="308">
        <f>IFERROR(__xludf.DUMMYFUNCTION("""COMPUTED_VALUE"""),7.0)</f>
        <v>7</v>
      </c>
      <c r="L110" s="308">
        <f>IFERROR(__xludf.DUMMYFUNCTION("""COMPUTED_VALUE"""),2010.0)</f>
        <v>2010</v>
      </c>
      <c r="M110" s="308" t="s">
        <v>634</v>
      </c>
      <c r="N110" s="308"/>
      <c r="O110" s="312" t="s">
        <v>635</v>
      </c>
      <c r="P110" s="308" t="s">
        <v>636</v>
      </c>
      <c r="Q110" s="308"/>
      <c r="R110" s="308"/>
      <c r="S110" s="308" t="s">
        <v>81</v>
      </c>
      <c r="T110" s="311" t="s">
        <v>75</v>
      </c>
      <c r="U110" s="308"/>
      <c r="V110" s="312"/>
    </row>
    <row r="111">
      <c r="A111" s="308">
        <v>110.0</v>
      </c>
      <c r="B111" s="308" t="s">
        <v>34416</v>
      </c>
      <c r="C111" s="308" t="s">
        <v>637</v>
      </c>
      <c r="D111" s="308">
        <f>IFERROR(__xludf.DUMMYFUNCTION("SPLIT(C111,""-"")"),94.0)</f>
        <v>94</v>
      </c>
      <c r="E111" s="308" t="str">
        <f>IFERROR(__xludf.DUMMYFUNCTION("""COMPUTED_VALUE"""),"F")</f>
        <v>F</v>
      </c>
      <c r="F111" s="309" t="s">
        <v>34</v>
      </c>
      <c r="G111" s="308" t="s">
        <v>638</v>
      </c>
      <c r="H111" s="308" t="s">
        <v>639</v>
      </c>
      <c r="I111" s="310">
        <v>40234.0</v>
      </c>
      <c r="J111" s="308">
        <f>IFERROR(__xludf.DUMMYFUNCTION("SPLIT(I111,""/"")"),25.0)</f>
        <v>25</v>
      </c>
      <c r="K111" s="308">
        <f>IFERROR(__xludf.DUMMYFUNCTION("""COMPUTED_VALUE"""),2.0)</f>
        <v>2</v>
      </c>
      <c r="L111" s="308">
        <f>IFERROR(__xludf.DUMMYFUNCTION("""COMPUTED_VALUE"""),2010.0)</f>
        <v>2010</v>
      </c>
      <c r="M111" s="308" t="s">
        <v>640</v>
      </c>
      <c r="N111" s="308"/>
      <c r="O111" s="312" t="s">
        <v>635</v>
      </c>
      <c r="P111" s="308" t="s">
        <v>34212</v>
      </c>
      <c r="Q111" s="308"/>
      <c r="R111" s="308"/>
      <c r="S111" s="315" t="s">
        <v>100</v>
      </c>
      <c r="T111" s="311" t="s">
        <v>34208</v>
      </c>
      <c r="U111" s="308" t="s">
        <v>195</v>
      </c>
      <c r="V111" s="312"/>
    </row>
    <row r="112">
      <c r="A112" s="308">
        <v>111.0</v>
      </c>
      <c r="B112" s="308" t="s">
        <v>34417</v>
      </c>
      <c r="C112" s="308" t="s">
        <v>641</v>
      </c>
      <c r="D112" s="308">
        <f>IFERROR(__xludf.DUMMYFUNCTION("SPLIT(C112,""-"")"),95.0)</f>
        <v>95</v>
      </c>
      <c r="E112" s="308" t="str">
        <f>IFERROR(__xludf.DUMMYFUNCTION("""COMPUTED_VALUE"""),"P")</f>
        <v>P</v>
      </c>
      <c r="F112" s="312" t="s">
        <v>37</v>
      </c>
      <c r="G112" s="308" t="s">
        <v>34216</v>
      </c>
      <c r="H112" s="308" t="s">
        <v>642</v>
      </c>
      <c r="I112" s="310">
        <v>39203.0</v>
      </c>
      <c r="J112" s="308">
        <f>IFERROR(__xludf.DUMMYFUNCTION("SPLIT(I112,""/"")"),1.0)</f>
        <v>1</v>
      </c>
      <c r="K112" s="308">
        <f>IFERROR(__xludf.DUMMYFUNCTION("""COMPUTED_VALUE"""),5.0)</f>
        <v>5</v>
      </c>
      <c r="L112" s="308">
        <f>IFERROR(__xludf.DUMMYFUNCTION("""COMPUTED_VALUE"""),2007.0)</f>
        <v>2007</v>
      </c>
      <c r="M112" s="308" t="s">
        <v>643</v>
      </c>
      <c r="N112" s="308"/>
      <c r="O112" s="312" t="s">
        <v>34418</v>
      </c>
      <c r="P112" s="308" t="s">
        <v>382</v>
      </c>
      <c r="Q112" s="308"/>
      <c r="R112" s="308"/>
      <c r="S112" s="308" t="s">
        <v>49</v>
      </c>
      <c r="T112" s="308" t="s">
        <v>51</v>
      </c>
      <c r="U112" s="308" t="s">
        <v>149</v>
      </c>
      <c r="V112" s="312"/>
    </row>
    <row r="113">
      <c r="A113" s="308">
        <v>112.0</v>
      </c>
      <c r="B113" s="308" t="s">
        <v>34419</v>
      </c>
      <c r="C113" s="308" t="s">
        <v>645</v>
      </c>
      <c r="D113" s="308">
        <f>IFERROR(__xludf.DUMMYFUNCTION("SPLIT(C113,""-"")"),96.0)</f>
        <v>96</v>
      </c>
      <c r="E113" s="308" t="str">
        <f>IFERROR(__xludf.DUMMYFUNCTION("""COMPUTED_VALUE"""),"K")</f>
        <v>K</v>
      </c>
      <c r="F113" s="309" t="s">
        <v>34</v>
      </c>
      <c r="G113" s="308" t="s">
        <v>34216</v>
      </c>
      <c r="H113" s="308" t="s">
        <v>646</v>
      </c>
      <c r="I113" s="310">
        <v>40344.0</v>
      </c>
      <c r="J113" s="308">
        <f>IFERROR(__xludf.DUMMYFUNCTION("SPLIT(I113,""/"")"),15.0)</f>
        <v>15</v>
      </c>
      <c r="K113" s="308">
        <f>IFERROR(__xludf.DUMMYFUNCTION("""COMPUTED_VALUE"""),6.0)</f>
        <v>6</v>
      </c>
      <c r="L113" s="308">
        <f>IFERROR(__xludf.DUMMYFUNCTION("""COMPUTED_VALUE"""),2010.0)</f>
        <v>2010</v>
      </c>
      <c r="M113" s="308" t="s">
        <v>647</v>
      </c>
      <c r="N113" s="308"/>
      <c r="O113" s="312" t="s">
        <v>635</v>
      </c>
      <c r="P113" s="308" t="s">
        <v>34420</v>
      </c>
      <c r="Q113" s="308"/>
      <c r="R113" s="308"/>
      <c r="S113" s="308" t="s">
        <v>81</v>
      </c>
      <c r="T113" s="308" t="s">
        <v>75</v>
      </c>
      <c r="U113" s="308"/>
      <c r="V113" s="312"/>
    </row>
    <row r="114">
      <c r="A114" s="308">
        <v>113.0</v>
      </c>
      <c r="B114" s="308" t="s">
        <v>34421</v>
      </c>
      <c r="C114" s="308" t="s">
        <v>649</v>
      </c>
      <c r="D114" s="308">
        <f>IFERROR(__xludf.DUMMYFUNCTION("SPLIT(C114,""-"")"),97.0)</f>
        <v>97</v>
      </c>
      <c r="E114" s="308" t="str">
        <f>IFERROR(__xludf.DUMMYFUNCTION("""COMPUTED_VALUE"""),"P")</f>
        <v>P</v>
      </c>
      <c r="F114" s="312" t="s">
        <v>37</v>
      </c>
      <c r="G114" s="308" t="s">
        <v>650</v>
      </c>
      <c r="H114" s="308" t="s">
        <v>651</v>
      </c>
      <c r="I114" s="310">
        <v>40154.0</v>
      </c>
      <c r="J114" s="308">
        <f>IFERROR(__xludf.DUMMYFUNCTION("SPLIT(I114,""/"")"),7.0)</f>
        <v>7</v>
      </c>
      <c r="K114" s="308">
        <f>IFERROR(__xludf.DUMMYFUNCTION("""COMPUTED_VALUE"""),12.0)</f>
        <v>12</v>
      </c>
      <c r="L114" s="308">
        <f>IFERROR(__xludf.DUMMYFUNCTION("""COMPUTED_VALUE"""),2009.0)</f>
        <v>2009</v>
      </c>
      <c r="M114" s="308" t="s">
        <v>652</v>
      </c>
      <c r="N114" s="308"/>
      <c r="O114" s="312" t="s">
        <v>635</v>
      </c>
      <c r="P114" s="308" t="s">
        <v>653</v>
      </c>
      <c r="Q114" s="308"/>
      <c r="R114" s="308"/>
      <c r="S114" s="308" t="s">
        <v>81</v>
      </c>
      <c r="T114" s="308" t="s">
        <v>75</v>
      </c>
      <c r="U114" s="308"/>
      <c r="V114" s="312"/>
    </row>
    <row r="115">
      <c r="A115" s="308">
        <v>114.0</v>
      </c>
      <c r="B115" s="308" t="s">
        <v>34422</v>
      </c>
      <c r="C115" s="308" t="s">
        <v>654</v>
      </c>
      <c r="D115" s="308">
        <f>IFERROR(__xludf.DUMMYFUNCTION("SPLIT(C115,""-"")"),98.0)</f>
        <v>98</v>
      </c>
      <c r="E115" s="308" t="str">
        <f>IFERROR(__xludf.DUMMYFUNCTION("""COMPUTED_VALUE"""),"K")</f>
        <v>K</v>
      </c>
      <c r="F115" s="309" t="s">
        <v>34</v>
      </c>
      <c r="G115" s="308" t="s">
        <v>34216</v>
      </c>
      <c r="H115" s="308" t="s">
        <v>655</v>
      </c>
      <c r="I115" s="314">
        <v>40134.0</v>
      </c>
      <c r="J115" s="308">
        <f>IFERROR(__xludf.DUMMYFUNCTION("SPLIT(I115,""/"")"),17.0)</f>
        <v>17</v>
      </c>
      <c r="K115" s="308">
        <f>IFERROR(__xludf.DUMMYFUNCTION("""COMPUTED_VALUE"""),11.0)</f>
        <v>11</v>
      </c>
      <c r="L115" s="308">
        <f>IFERROR(__xludf.DUMMYFUNCTION("""COMPUTED_VALUE"""),2009.0)</f>
        <v>2009</v>
      </c>
      <c r="M115" s="308" t="s">
        <v>656</v>
      </c>
      <c r="N115" s="308"/>
      <c r="O115" s="312" t="s">
        <v>657</v>
      </c>
      <c r="P115" s="308" t="s">
        <v>34212</v>
      </c>
      <c r="Q115" s="308"/>
      <c r="R115" s="308"/>
      <c r="S115" s="315" t="s">
        <v>100</v>
      </c>
      <c r="T115" s="311" t="s">
        <v>34208</v>
      </c>
      <c r="U115" s="308" t="s">
        <v>201</v>
      </c>
      <c r="V115" s="312"/>
    </row>
    <row r="116">
      <c r="A116" s="308">
        <v>115.0</v>
      </c>
      <c r="B116" s="308" t="s">
        <v>34423</v>
      </c>
      <c r="C116" s="308" t="s">
        <v>658</v>
      </c>
      <c r="D116" s="308">
        <f>IFERROR(__xludf.DUMMYFUNCTION("SPLIT(C116,""-"")"),99.0)</f>
        <v>99</v>
      </c>
      <c r="E116" s="308" t="str">
        <f>IFERROR(__xludf.DUMMYFUNCTION("""COMPUTED_VALUE"""),"K")</f>
        <v>K</v>
      </c>
      <c r="F116" s="309" t="s">
        <v>34</v>
      </c>
      <c r="G116" s="308" t="s">
        <v>659</v>
      </c>
      <c r="H116" s="308" t="s">
        <v>660</v>
      </c>
      <c r="I116" s="310">
        <v>40376.0</v>
      </c>
      <c r="J116" s="308">
        <f>IFERROR(__xludf.DUMMYFUNCTION("SPLIT(I116,""/"")"),17.0)</f>
        <v>17</v>
      </c>
      <c r="K116" s="308">
        <f>IFERROR(__xludf.DUMMYFUNCTION("""COMPUTED_VALUE"""),7.0)</f>
        <v>7</v>
      </c>
      <c r="L116" s="308">
        <f>IFERROR(__xludf.DUMMYFUNCTION("""COMPUTED_VALUE"""),2010.0)</f>
        <v>2010</v>
      </c>
      <c r="M116" s="308" t="s">
        <v>661</v>
      </c>
      <c r="N116" s="308"/>
      <c r="O116" s="312" t="s">
        <v>34424</v>
      </c>
      <c r="P116" s="308" t="s">
        <v>663</v>
      </c>
      <c r="Q116" s="308"/>
      <c r="R116" s="308"/>
      <c r="S116" s="308" t="s">
        <v>81</v>
      </c>
      <c r="T116" s="308" t="s">
        <v>34264</v>
      </c>
      <c r="U116" s="308"/>
      <c r="V116" s="312"/>
    </row>
    <row r="117">
      <c r="A117" s="308">
        <v>116.0</v>
      </c>
      <c r="B117" s="308" t="s">
        <v>34425</v>
      </c>
      <c r="C117" s="308" t="s">
        <v>664</v>
      </c>
      <c r="D117" s="308">
        <f>IFERROR(__xludf.DUMMYFUNCTION("SPLIT(C117,""-"")"),100.0)</f>
        <v>100</v>
      </c>
      <c r="E117" s="308" t="str">
        <f>IFERROR(__xludf.DUMMYFUNCTION("""COMPUTED_VALUE"""),"K")</f>
        <v>K</v>
      </c>
      <c r="F117" s="309" t="s">
        <v>34</v>
      </c>
      <c r="G117" s="308" t="s">
        <v>34216</v>
      </c>
      <c r="H117" s="308" t="s">
        <v>665</v>
      </c>
      <c r="I117" s="310">
        <v>40360.0</v>
      </c>
      <c r="J117" s="308">
        <f>IFERROR(__xludf.DUMMYFUNCTION("SPLIT(I117,""/"")"),1.0)</f>
        <v>1</v>
      </c>
      <c r="K117" s="308">
        <f>IFERROR(__xludf.DUMMYFUNCTION("""COMPUTED_VALUE"""),7.0)</f>
        <v>7</v>
      </c>
      <c r="L117" s="308">
        <f>IFERROR(__xludf.DUMMYFUNCTION("""COMPUTED_VALUE"""),2010.0)</f>
        <v>2010</v>
      </c>
      <c r="M117" s="308" t="s">
        <v>666</v>
      </c>
      <c r="N117" s="308"/>
      <c r="O117" s="308" t="s">
        <v>667</v>
      </c>
      <c r="P117" s="308" t="s">
        <v>668</v>
      </c>
      <c r="Q117" s="308"/>
      <c r="R117" s="308"/>
      <c r="S117" s="308" t="s">
        <v>81</v>
      </c>
      <c r="T117" s="308" t="s">
        <v>34264</v>
      </c>
      <c r="U117" s="308"/>
      <c r="V117" s="312"/>
    </row>
    <row r="118">
      <c r="A118" s="308">
        <v>117.0</v>
      </c>
      <c r="B118" s="308" t="s">
        <v>34426</v>
      </c>
      <c r="C118" s="308" t="s">
        <v>669</v>
      </c>
      <c r="D118" s="308">
        <f>IFERROR(__xludf.DUMMYFUNCTION("SPLIT(C118,""-"")"),195.0)</f>
        <v>195</v>
      </c>
      <c r="E118" s="308" t="str">
        <f>IFERROR(__xludf.DUMMYFUNCTION("""COMPUTED_VALUE"""),"B")</f>
        <v>B</v>
      </c>
      <c r="F118" s="315" t="s">
        <v>26</v>
      </c>
      <c r="G118" s="308" t="s">
        <v>34216</v>
      </c>
      <c r="H118" s="308" t="s">
        <v>670</v>
      </c>
      <c r="I118" s="310">
        <v>40456.0</v>
      </c>
      <c r="J118" s="308">
        <f>IFERROR(__xludf.DUMMYFUNCTION("SPLIT(I118,""/"")"),5.0)</f>
        <v>5</v>
      </c>
      <c r="K118" s="308">
        <f>IFERROR(__xludf.DUMMYFUNCTION("""COMPUTED_VALUE"""),10.0)</f>
        <v>10</v>
      </c>
      <c r="L118" s="308">
        <f>IFERROR(__xludf.DUMMYFUNCTION("""COMPUTED_VALUE"""),2010.0)</f>
        <v>2010</v>
      </c>
      <c r="M118" s="308" t="s">
        <v>671</v>
      </c>
      <c r="N118" s="308"/>
      <c r="O118" s="312" t="s">
        <v>672</v>
      </c>
      <c r="P118" s="308" t="s">
        <v>124</v>
      </c>
      <c r="Q118" s="308"/>
      <c r="R118" s="308"/>
      <c r="S118" s="308" t="s">
        <v>81</v>
      </c>
      <c r="T118" s="308" t="s">
        <v>34201</v>
      </c>
      <c r="U118" s="308"/>
      <c r="V118" s="312"/>
    </row>
    <row r="119">
      <c r="A119" s="308">
        <v>118.0</v>
      </c>
      <c r="B119" s="308" t="s">
        <v>34427</v>
      </c>
      <c r="C119" s="308" t="s">
        <v>673</v>
      </c>
      <c r="D119" s="308">
        <f>IFERROR(__xludf.DUMMYFUNCTION("SPLIT(C119,""-"")"),178.0)</f>
        <v>178</v>
      </c>
      <c r="E119" s="308" t="str">
        <f>IFERROR(__xludf.DUMMYFUNCTION("""COMPUTED_VALUE"""),"F")</f>
        <v>F</v>
      </c>
      <c r="F119" s="309" t="s">
        <v>34</v>
      </c>
      <c r="G119" s="308" t="s">
        <v>34216</v>
      </c>
      <c r="H119" s="308" t="s">
        <v>674</v>
      </c>
      <c r="I119" s="310">
        <v>40299.0</v>
      </c>
      <c r="J119" s="308">
        <f>IFERROR(__xludf.DUMMYFUNCTION("SPLIT(I119,""/"")"),1.0)</f>
        <v>1</v>
      </c>
      <c r="K119" s="308">
        <f>IFERROR(__xludf.DUMMYFUNCTION("""COMPUTED_VALUE"""),5.0)</f>
        <v>5</v>
      </c>
      <c r="L119" s="308">
        <f>IFERROR(__xludf.DUMMYFUNCTION("""COMPUTED_VALUE"""),2010.0)</f>
        <v>2010</v>
      </c>
      <c r="M119" s="308" t="s">
        <v>675</v>
      </c>
      <c r="N119" s="308"/>
      <c r="O119" s="312" t="s">
        <v>676</v>
      </c>
      <c r="P119" s="308" t="s">
        <v>677</v>
      </c>
      <c r="Q119" s="308"/>
      <c r="R119" s="308"/>
      <c r="S119" s="308" t="s">
        <v>81</v>
      </c>
      <c r="T119" s="308" t="s">
        <v>73</v>
      </c>
      <c r="U119" s="308"/>
      <c r="V119" s="312"/>
    </row>
    <row r="120">
      <c r="A120" s="308">
        <v>119.0</v>
      </c>
      <c r="B120" s="308" t="s">
        <v>34428</v>
      </c>
      <c r="C120" s="308" t="s">
        <v>678</v>
      </c>
      <c r="D120" s="308">
        <f>IFERROR(__xludf.DUMMYFUNCTION("SPLIT(C120,""-"")"),101.0)</f>
        <v>101</v>
      </c>
      <c r="E120" s="308" t="str">
        <f>IFERROR(__xludf.DUMMYFUNCTION("""COMPUTED_VALUE"""),"I")</f>
        <v>I</v>
      </c>
      <c r="F120" s="309" t="s">
        <v>31</v>
      </c>
      <c r="G120" s="308" t="s">
        <v>34216</v>
      </c>
      <c r="H120" s="308" t="s">
        <v>679</v>
      </c>
      <c r="I120" s="310">
        <v>40379.0</v>
      </c>
      <c r="J120" s="308">
        <f>IFERROR(__xludf.DUMMYFUNCTION("SPLIT(I120,""/"")"),20.0)</f>
        <v>20</v>
      </c>
      <c r="K120" s="308">
        <f>IFERROR(__xludf.DUMMYFUNCTION("""COMPUTED_VALUE"""),7.0)</f>
        <v>7</v>
      </c>
      <c r="L120" s="308">
        <f>IFERROR(__xludf.DUMMYFUNCTION("""COMPUTED_VALUE"""),2010.0)</f>
        <v>2010</v>
      </c>
      <c r="M120" s="308" t="s">
        <v>680</v>
      </c>
      <c r="N120" s="308"/>
      <c r="O120" s="308" t="s">
        <v>681</v>
      </c>
      <c r="P120" s="308" t="s">
        <v>682</v>
      </c>
      <c r="Q120" s="308"/>
      <c r="R120" s="308"/>
      <c r="S120" s="308" t="s">
        <v>81</v>
      </c>
      <c r="T120" s="308" t="s">
        <v>75</v>
      </c>
      <c r="U120" s="308"/>
      <c r="V120" s="312"/>
    </row>
    <row r="121">
      <c r="A121" s="308">
        <v>120.0</v>
      </c>
      <c r="B121" s="308" t="s">
        <v>34429</v>
      </c>
      <c r="C121" s="308" t="s">
        <v>683</v>
      </c>
      <c r="D121" s="308">
        <f>IFERROR(__xludf.DUMMYFUNCTION("SPLIT(C121,""-"")"),102.0)</f>
        <v>102</v>
      </c>
      <c r="E121" s="308" t="str">
        <f>IFERROR(__xludf.DUMMYFUNCTION("""COMPUTED_VALUE"""),"K")</f>
        <v>K</v>
      </c>
      <c r="F121" s="309" t="s">
        <v>34</v>
      </c>
      <c r="G121" s="308" t="s">
        <v>684</v>
      </c>
      <c r="H121" s="308" t="s">
        <v>685</v>
      </c>
      <c r="I121" s="310">
        <v>40027.0</v>
      </c>
      <c r="J121" s="308">
        <f>IFERROR(__xludf.DUMMYFUNCTION("SPLIT(I121,""/"")"),2.0)</f>
        <v>2</v>
      </c>
      <c r="K121" s="308">
        <f>IFERROR(__xludf.DUMMYFUNCTION("""COMPUTED_VALUE"""),8.0)</f>
        <v>8</v>
      </c>
      <c r="L121" s="308">
        <f>IFERROR(__xludf.DUMMYFUNCTION("""COMPUTED_VALUE"""),2009.0)</f>
        <v>2009</v>
      </c>
      <c r="M121" s="308" t="s">
        <v>34430</v>
      </c>
      <c r="N121" s="308"/>
      <c r="O121" s="312" t="s">
        <v>34431</v>
      </c>
      <c r="P121" s="308" t="s">
        <v>182</v>
      </c>
      <c r="Q121" s="308"/>
      <c r="R121" s="308"/>
      <c r="S121" s="308" t="s">
        <v>49</v>
      </c>
      <c r="T121" s="311" t="s">
        <v>77</v>
      </c>
      <c r="U121" s="308"/>
      <c r="V121" s="312"/>
    </row>
    <row r="122">
      <c r="A122" s="308">
        <v>121.0</v>
      </c>
      <c r="B122" s="308" t="s">
        <v>34432</v>
      </c>
      <c r="C122" s="308" t="s">
        <v>688</v>
      </c>
      <c r="D122" s="308">
        <f>IFERROR(__xludf.DUMMYFUNCTION("SPLIT(C122,""-"")"),179.0)</f>
        <v>179</v>
      </c>
      <c r="E122" s="308" t="str">
        <f>IFERROR(__xludf.DUMMYFUNCTION("""COMPUTED_VALUE"""),"K")</f>
        <v>K</v>
      </c>
      <c r="F122" s="309" t="s">
        <v>34</v>
      </c>
      <c r="G122" s="308" t="s">
        <v>34216</v>
      </c>
      <c r="H122" s="308" t="s">
        <v>689</v>
      </c>
      <c r="I122" s="310">
        <v>40077.0</v>
      </c>
      <c r="J122" s="308">
        <f>IFERROR(__xludf.DUMMYFUNCTION("SPLIT(I122,""/"")"),21.0)</f>
        <v>21</v>
      </c>
      <c r="K122" s="308">
        <f>IFERROR(__xludf.DUMMYFUNCTION("""COMPUTED_VALUE"""),9.0)</f>
        <v>9</v>
      </c>
      <c r="L122" s="308">
        <f>IFERROR(__xludf.DUMMYFUNCTION("""COMPUTED_VALUE"""),2009.0)</f>
        <v>2009</v>
      </c>
      <c r="M122" s="308" t="s">
        <v>690</v>
      </c>
      <c r="N122" s="308"/>
      <c r="O122" s="312" t="s">
        <v>34433</v>
      </c>
      <c r="P122" s="308" t="s">
        <v>692</v>
      </c>
      <c r="Q122" s="308"/>
      <c r="R122" s="308"/>
      <c r="S122" s="308" t="s">
        <v>81</v>
      </c>
      <c r="T122" s="311" t="s">
        <v>73</v>
      </c>
      <c r="U122" s="308"/>
      <c r="V122" s="312"/>
    </row>
    <row r="123">
      <c r="A123" s="308">
        <v>122.0</v>
      </c>
      <c r="B123" s="308" t="s">
        <v>34434</v>
      </c>
      <c r="C123" s="308" t="s">
        <v>693</v>
      </c>
      <c r="D123" s="308">
        <f>IFERROR(__xludf.DUMMYFUNCTION("SPLIT(C123,""-"")"),103.0)</f>
        <v>103</v>
      </c>
      <c r="E123" s="308" t="str">
        <f>IFERROR(__xludf.DUMMYFUNCTION("""COMPUTED_VALUE"""),"B")</f>
        <v>B</v>
      </c>
      <c r="F123" s="315" t="s">
        <v>26</v>
      </c>
      <c r="G123" s="308" t="s">
        <v>34216</v>
      </c>
      <c r="H123" s="308" t="s">
        <v>694</v>
      </c>
      <c r="I123" s="310">
        <v>40393.0</v>
      </c>
      <c r="J123" s="308">
        <f>IFERROR(__xludf.DUMMYFUNCTION("SPLIT(I123,""/"")"),3.0)</f>
        <v>3</v>
      </c>
      <c r="K123" s="308">
        <f>IFERROR(__xludf.DUMMYFUNCTION("""COMPUTED_VALUE"""),8.0)</f>
        <v>8</v>
      </c>
      <c r="L123" s="308">
        <f>IFERROR(__xludf.DUMMYFUNCTION("""COMPUTED_VALUE"""),2010.0)</f>
        <v>2010</v>
      </c>
      <c r="M123" s="308" t="s">
        <v>695</v>
      </c>
      <c r="N123" s="308"/>
      <c r="O123" s="308" t="s">
        <v>696</v>
      </c>
      <c r="P123" s="308"/>
      <c r="Q123" s="308"/>
      <c r="R123" s="308"/>
      <c r="S123" s="308" t="s">
        <v>79</v>
      </c>
      <c r="T123" s="308" t="s">
        <v>79</v>
      </c>
      <c r="U123" s="308"/>
      <c r="V123" s="312"/>
    </row>
    <row r="124">
      <c r="A124" s="308">
        <v>123.0</v>
      </c>
      <c r="B124" s="308" t="s">
        <v>34435</v>
      </c>
      <c r="C124" s="308" t="s">
        <v>697</v>
      </c>
      <c r="D124" s="308">
        <f>IFERROR(__xludf.DUMMYFUNCTION("SPLIT(C124,""-"")"),104.0)</f>
        <v>104</v>
      </c>
      <c r="E124" s="308" t="str">
        <f>IFERROR(__xludf.DUMMYFUNCTION("""COMPUTED_VALUE"""),"B")</f>
        <v>B</v>
      </c>
      <c r="F124" s="315" t="s">
        <v>26</v>
      </c>
      <c r="G124" s="308" t="s">
        <v>34216</v>
      </c>
      <c r="H124" s="308" t="s">
        <v>698</v>
      </c>
      <c r="I124" s="310">
        <v>40405.0</v>
      </c>
      <c r="J124" s="308">
        <f>IFERROR(__xludf.DUMMYFUNCTION("SPLIT(I124,""/"")"),15.0)</f>
        <v>15</v>
      </c>
      <c r="K124" s="308">
        <f>IFERROR(__xludf.DUMMYFUNCTION("""COMPUTED_VALUE"""),8.0)</f>
        <v>8</v>
      </c>
      <c r="L124" s="308">
        <f>IFERROR(__xludf.DUMMYFUNCTION("""COMPUTED_VALUE"""),2010.0)</f>
        <v>2010</v>
      </c>
      <c r="M124" s="308" t="s">
        <v>699</v>
      </c>
      <c r="N124" s="308"/>
      <c r="O124" s="308" t="s">
        <v>700</v>
      </c>
      <c r="P124" s="308" t="s">
        <v>701</v>
      </c>
      <c r="Q124" s="308"/>
      <c r="R124" s="308"/>
      <c r="S124" s="308" t="s">
        <v>81</v>
      </c>
      <c r="T124" s="308" t="s">
        <v>98</v>
      </c>
      <c r="U124" s="308"/>
      <c r="V124" s="312"/>
    </row>
    <row r="125">
      <c r="A125" s="308">
        <v>124.0</v>
      </c>
      <c r="B125" s="308" t="s">
        <v>34436</v>
      </c>
      <c r="C125" s="308" t="s">
        <v>702</v>
      </c>
      <c r="D125" s="308">
        <f>IFERROR(__xludf.DUMMYFUNCTION("SPLIT(C125,""-"")"),105.0)</f>
        <v>105</v>
      </c>
      <c r="E125" s="308" t="str">
        <f>IFERROR(__xludf.DUMMYFUNCTION("""COMPUTED_VALUE"""),"B")</f>
        <v>B</v>
      </c>
      <c r="F125" s="315" t="s">
        <v>26</v>
      </c>
      <c r="G125" s="308" t="s">
        <v>34216</v>
      </c>
      <c r="H125" s="308" t="s">
        <v>703</v>
      </c>
      <c r="I125" s="310">
        <v>40405.0</v>
      </c>
      <c r="J125" s="308">
        <f>IFERROR(__xludf.DUMMYFUNCTION("SPLIT(I125,""/"")"),15.0)</f>
        <v>15</v>
      </c>
      <c r="K125" s="308">
        <f>IFERROR(__xludf.DUMMYFUNCTION("""COMPUTED_VALUE"""),8.0)</f>
        <v>8</v>
      </c>
      <c r="L125" s="308">
        <f>IFERROR(__xludf.DUMMYFUNCTION("""COMPUTED_VALUE"""),2010.0)</f>
        <v>2010</v>
      </c>
      <c r="M125" s="308" t="s">
        <v>704</v>
      </c>
      <c r="N125" s="308"/>
      <c r="O125" s="308" t="s">
        <v>700</v>
      </c>
      <c r="P125" s="308" t="s">
        <v>701</v>
      </c>
      <c r="Q125" s="308"/>
      <c r="R125" s="308"/>
      <c r="S125" s="308" t="s">
        <v>81</v>
      </c>
      <c r="T125" s="308" t="s">
        <v>98</v>
      </c>
      <c r="U125" s="308"/>
      <c r="V125" s="312"/>
    </row>
    <row r="126">
      <c r="A126" s="308">
        <v>125.0</v>
      </c>
      <c r="B126" s="308" t="s">
        <v>34437</v>
      </c>
      <c r="C126" s="308" t="s">
        <v>705</v>
      </c>
      <c r="D126" s="308">
        <f>IFERROR(__xludf.DUMMYFUNCTION("SPLIT(C126,""-"")"),106.0)</f>
        <v>106</v>
      </c>
      <c r="E126" s="308" t="str">
        <f>IFERROR(__xludf.DUMMYFUNCTION("""COMPUTED_VALUE"""),"B")</f>
        <v>B</v>
      </c>
      <c r="F126" s="315" t="s">
        <v>26</v>
      </c>
      <c r="G126" s="308" t="s">
        <v>34216</v>
      </c>
      <c r="H126" s="308" t="s">
        <v>706</v>
      </c>
      <c r="I126" s="310">
        <v>40405.0</v>
      </c>
      <c r="J126" s="308">
        <f>IFERROR(__xludf.DUMMYFUNCTION("SPLIT(I126,""/"")"),15.0)</f>
        <v>15</v>
      </c>
      <c r="K126" s="308">
        <f>IFERROR(__xludf.DUMMYFUNCTION("""COMPUTED_VALUE"""),8.0)</f>
        <v>8</v>
      </c>
      <c r="L126" s="308">
        <f>IFERROR(__xludf.DUMMYFUNCTION("""COMPUTED_VALUE"""),2010.0)</f>
        <v>2010</v>
      </c>
      <c r="M126" s="308" t="s">
        <v>707</v>
      </c>
      <c r="N126" s="308"/>
      <c r="O126" s="308" t="s">
        <v>700</v>
      </c>
      <c r="P126" s="308" t="s">
        <v>701</v>
      </c>
      <c r="Q126" s="308"/>
      <c r="R126" s="308"/>
      <c r="S126" s="308" t="s">
        <v>81</v>
      </c>
      <c r="T126" s="308" t="s">
        <v>98</v>
      </c>
      <c r="U126" s="308"/>
      <c r="V126" s="312"/>
    </row>
    <row r="127">
      <c r="A127" s="308">
        <v>126.0</v>
      </c>
      <c r="B127" s="308" t="s">
        <v>34438</v>
      </c>
      <c r="C127" s="308" t="s">
        <v>708</v>
      </c>
      <c r="D127" s="308">
        <f>IFERROR(__xludf.DUMMYFUNCTION("SPLIT(C127,""-"")"),180.0)</f>
        <v>180</v>
      </c>
      <c r="E127" s="308" t="str">
        <f>IFERROR(__xludf.DUMMYFUNCTION("""COMPUTED_VALUE"""),"S")</f>
        <v>S</v>
      </c>
      <c r="F127" s="312" t="s">
        <v>39</v>
      </c>
      <c r="G127" s="308" t="s">
        <v>34216</v>
      </c>
      <c r="H127" s="308" t="s">
        <v>709</v>
      </c>
      <c r="I127" s="310">
        <v>40451.0</v>
      </c>
      <c r="J127" s="308">
        <f>IFERROR(__xludf.DUMMYFUNCTION("SPLIT(I127,""/"")"),30.0)</f>
        <v>30</v>
      </c>
      <c r="K127" s="308">
        <f>IFERROR(__xludf.DUMMYFUNCTION("""COMPUTED_VALUE"""),9.0)</f>
        <v>9</v>
      </c>
      <c r="L127" s="308">
        <f>IFERROR(__xludf.DUMMYFUNCTION("""COMPUTED_VALUE"""),2010.0)</f>
        <v>2010</v>
      </c>
      <c r="M127" s="308" t="s">
        <v>710</v>
      </c>
      <c r="N127" s="308"/>
      <c r="O127" s="312" t="s">
        <v>34439</v>
      </c>
      <c r="P127" s="308" t="s">
        <v>712</v>
      </c>
      <c r="Q127" s="308"/>
      <c r="R127" s="308"/>
      <c r="S127" s="308" t="s">
        <v>81</v>
      </c>
      <c r="T127" s="311" t="s">
        <v>75</v>
      </c>
      <c r="U127" s="308"/>
      <c r="V127" s="312"/>
    </row>
    <row r="128">
      <c r="A128" s="308">
        <v>127.0</v>
      </c>
      <c r="B128" s="308" t="s">
        <v>34440</v>
      </c>
      <c r="C128" s="308" t="s">
        <v>713</v>
      </c>
      <c r="D128" s="308">
        <f>IFERROR(__xludf.DUMMYFUNCTION("SPLIT(C128,""-"")"),181.0)</f>
        <v>181</v>
      </c>
      <c r="E128" s="308" t="str">
        <f>IFERROR(__xludf.DUMMYFUNCTION("""COMPUTED_VALUE"""),"S")</f>
        <v>S</v>
      </c>
      <c r="F128" s="312" t="s">
        <v>39</v>
      </c>
      <c r="G128" s="308" t="s">
        <v>34216</v>
      </c>
      <c r="H128" s="308" t="s">
        <v>714</v>
      </c>
      <c r="I128" s="310">
        <v>39992.0</v>
      </c>
      <c r="J128" s="308">
        <f>IFERROR(__xludf.DUMMYFUNCTION("SPLIT(I128,""/"")"),28.0)</f>
        <v>28</v>
      </c>
      <c r="K128" s="308">
        <f>IFERROR(__xludf.DUMMYFUNCTION("""COMPUTED_VALUE"""),6.0)</f>
        <v>6</v>
      </c>
      <c r="L128" s="308">
        <f>IFERROR(__xludf.DUMMYFUNCTION("""COMPUTED_VALUE"""),2009.0)</f>
        <v>2009</v>
      </c>
      <c r="M128" s="308" t="s">
        <v>715</v>
      </c>
      <c r="N128" s="308"/>
      <c r="O128" s="312" t="s">
        <v>34441</v>
      </c>
      <c r="P128" s="308" t="s">
        <v>34442</v>
      </c>
      <c r="Q128" s="308"/>
      <c r="R128" s="308"/>
      <c r="S128" s="308" t="s">
        <v>49</v>
      </c>
      <c r="T128" s="308" t="s">
        <v>72</v>
      </c>
      <c r="U128" s="308"/>
      <c r="V128" s="312"/>
    </row>
    <row r="129">
      <c r="A129" s="308">
        <v>128.0</v>
      </c>
      <c r="B129" s="308" t="s">
        <v>34443</v>
      </c>
      <c r="C129" s="308" t="s">
        <v>718</v>
      </c>
      <c r="D129" s="308">
        <f>IFERROR(__xludf.DUMMYFUNCTION("SPLIT(C129,""-"")"),107.0)</f>
        <v>107</v>
      </c>
      <c r="E129" s="308" t="str">
        <f>IFERROR(__xludf.DUMMYFUNCTION("""COMPUTED_VALUE"""),"K")</f>
        <v>K</v>
      </c>
      <c r="F129" s="309" t="s">
        <v>34</v>
      </c>
      <c r="G129" s="308" t="s">
        <v>719</v>
      </c>
      <c r="H129" s="308" t="s">
        <v>720</v>
      </c>
      <c r="I129" s="310">
        <v>39950.0</v>
      </c>
      <c r="J129" s="308">
        <f>IFERROR(__xludf.DUMMYFUNCTION("SPLIT(I129,""/"")"),17.0)</f>
        <v>17</v>
      </c>
      <c r="K129" s="308">
        <f>IFERROR(__xludf.DUMMYFUNCTION("""COMPUTED_VALUE"""),5.0)</f>
        <v>5</v>
      </c>
      <c r="L129" s="308">
        <f>IFERROR(__xludf.DUMMYFUNCTION("""COMPUTED_VALUE"""),2009.0)</f>
        <v>2009</v>
      </c>
      <c r="M129" s="308" t="s">
        <v>721</v>
      </c>
      <c r="N129" s="308" t="s">
        <v>722</v>
      </c>
      <c r="O129" s="308" t="s">
        <v>34216</v>
      </c>
      <c r="P129" s="308" t="s">
        <v>34442</v>
      </c>
      <c r="Q129" s="308"/>
      <c r="R129" s="308"/>
      <c r="S129" s="308" t="s">
        <v>49</v>
      </c>
      <c r="T129" s="308" t="s">
        <v>72</v>
      </c>
      <c r="U129" s="308"/>
      <c r="V129" s="312"/>
    </row>
    <row r="130">
      <c r="A130" s="308">
        <v>129.0</v>
      </c>
      <c r="B130" s="308" t="s">
        <v>34444</v>
      </c>
      <c r="C130" s="308" t="s">
        <v>723</v>
      </c>
      <c r="D130" s="308">
        <f>IFERROR(__xludf.DUMMYFUNCTION("SPLIT(C130,""-"")"),108.0)</f>
        <v>108</v>
      </c>
      <c r="E130" s="308" t="str">
        <f>IFERROR(__xludf.DUMMYFUNCTION("""COMPUTED_VALUE"""),"K")</f>
        <v>K</v>
      </c>
      <c r="F130" s="309" t="s">
        <v>34</v>
      </c>
      <c r="G130" s="308" t="s">
        <v>719</v>
      </c>
      <c r="H130" s="308" t="s">
        <v>724</v>
      </c>
      <c r="I130" s="310">
        <v>39950.0</v>
      </c>
      <c r="J130" s="308">
        <f>IFERROR(__xludf.DUMMYFUNCTION("SPLIT(I130,""/"")"),17.0)</f>
        <v>17</v>
      </c>
      <c r="K130" s="308">
        <f>IFERROR(__xludf.DUMMYFUNCTION("""COMPUTED_VALUE"""),5.0)</f>
        <v>5</v>
      </c>
      <c r="L130" s="308">
        <f>IFERROR(__xludf.DUMMYFUNCTION("""COMPUTED_VALUE"""),2009.0)</f>
        <v>2009</v>
      </c>
      <c r="M130" s="308" t="s">
        <v>725</v>
      </c>
      <c r="N130" s="308" t="s">
        <v>726</v>
      </c>
      <c r="O130" s="308" t="s">
        <v>34216</v>
      </c>
      <c r="P130" s="308" t="s">
        <v>34442</v>
      </c>
      <c r="Q130" s="308"/>
      <c r="R130" s="308"/>
      <c r="S130" s="308" t="s">
        <v>49</v>
      </c>
      <c r="T130" s="308" t="s">
        <v>72</v>
      </c>
      <c r="U130" s="308"/>
      <c r="V130" s="312"/>
    </row>
    <row r="131">
      <c r="A131" s="308">
        <v>130.0</v>
      </c>
      <c r="B131" s="308" t="s">
        <v>34445</v>
      </c>
      <c r="C131" s="308" t="s">
        <v>727</v>
      </c>
      <c r="D131" s="308">
        <f>IFERROR(__xludf.DUMMYFUNCTION("SPLIT(C131,""-"")"),109.0)</f>
        <v>109</v>
      </c>
      <c r="E131" s="308" t="str">
        <f>IFERROR(__xludf.DUMMYFUNCTION("""COMPUTED_VALUE"""),"K")</f>
        <v>K</v>
      </c>
      <c r="F131" s="309" t="s">
        <v>34</v>
      </c>
      <c r="G131" s="308" t="s">
        <v>719</v>
      </c>
      <c r="H131" s="308" t="s">
        <v>728</v>
      </c>
      <c r="I131" s="310">
        <v>39950.0</v>
      </c>
      <c r="J131" s="308">
        <f>IFERROR(__xludf.DUMMYFUNCTION("SPLIT(I131,""/"")"),17.0)</f>
        <v>17</v>
      </c>
      <c r="K131" s="308">
        <f>IFERROR(__xludf.DUMMYFUNCTION("""COMPUTED_VALUE"""),5.0)</f>
        <v>5</v>
      </c>
      <c r="L131" s="308">
        <f>IFERROR(__xludf.DUMMYFUNCTION("""COMPUTED_VALUE"""),2009.0)</f>
        <v>2009</v>
      </c>
      <c r="M131" s="308" t="s">
        <v>729</v>
      </c>
      <c r="N131" s="308" t="s">
        <v>730</v>
      </c>
      <c r="O131" s="308" t="s">
        <v>34216</v>
      </c>
      <c r="P131" s="308" t="s">
        <v>34442</v>
      </c>
      <c r="Q131" s="308"/>
      <c r="R131" s="308"/>
      <c r="S131" s="308" t="s">
        <v>49</v>
      </c>
      <c r="T131" s="308" t="s">
        <v>72</v>
      </c>
      <c r="U131" s="308"/>
      <c r="V131" s="312"/>
    </row>
    <row r="132">
      <c r="A132" s="308">
        <v>131.0</v>
      </c>
      <c r="B132" s="308" t="s">
        <v>34446</v>
      </c>
      <c r="C132" s="308" t="s">
        <v>731</v>
      </c>
      <c r="D132" s="308">
        <f>IFERROR(__xludf.DUMMYFUNCTION("SPLIT(C132,""-"")"),110.0)</f>
        <v>110</v>
      </c>
      <c r="E132" s="308" t="str">
        <f>IFERROR(__xludf.DUMMYFUNCTION("""COMPUTED_VALUE"""),"K")</f>
        <v>K</v>
      </c>
      <c r="F132" s="309" t="s">
        <v>34</v>
      </c>
      <c r="G132" s="308" t="s">
        <v>719</v>
      </c>
      <c r="H132" s="308" t="s">
        <v>732</v>
      </c>
      <c r="I132" s="310">
        <v>39950.0</v>
      </c>
      <c r="J132" s="308">
        <f>IFERROR(__xludf.DUMMYFUNCTION("SPLIT(I132,""/"")"),17.0)</f>
        <v>17</v>
      </c>
      <c r="K132" s="308">
        <f>IFERROR(__xludf.DUMMYFUNCTION("""COMPUTED_VALUE"""),5.0)</f>
        <v>5</v>
      </c>
      <c r="L132" s="308">
        <f>IFERROR(__xludf.DUMMYFUNCTION("""COMPUTED_VALUE"""),2009.0)</f>
        <v>2009</v>
      </c>
      <c r="M132" s="308" t="s">
        <v>729</v>
      </c>
      <c r="N132" s="308" t="s">
        <v>733</v>
      </c>
      <c r="O132" s="308" t="s">
        <v>34216</v>
      </c>
      <c r="P132" s="308" t="s">
        <v>34442</v>
      </c>
      <c r="Q132" s="308"/>
      <c r="R132" s="308"/>
      <c r="S132" s="308" t="s">
        <v>49</v>
      </c>
      <c r="T132" s="308" t="s">
        <v>72</v>
      </c>
      <c r="U132" s="308"/>
      <c r="V132" s="312"/>
    </row>
    <row r="133">
      <c r="A133" s="308">
        <v>132.0</v>
      </c>
      <c r="B133" s="308" t="s">
        <v>34447</v>
      </c>
      <c r="C133" s="308" t="s">
        <v>734</v>
      </c>
      <c r="D133" s="308">
        <f>IFERROR(__xludf.DUMMYFUNCTION("SPLIT(C133,""-"")"),111.0)</f>
        <v>111</v>
      </c>
      <c r="E133" s="308" t="str">
        <f>IFERROR(__xludf.DUMMYFUNCTION("""COMPUTED_VALUE"""),"K")</f>
        <v>K</v>
      </c>
      <c r="F133" s="309" t="s">
        <v>34</v>
      </c>
      <c r="G133" s="308" t="s">
        <v>719</v>
      </c>
      <c r="H133" s="308" t="s">
        <v>735</v>
      </c>
      <c r="I133" s="310">
        <v>39950.0</v>
      </c>
      <c r="J133" s="308">
        <f>IFERROR(__xludf.DUMMYFUNCTION("SPLIT(I133,""/"")"),17.0)</f>
        <v>17</v>
      </c>
      <c r="K133" s="308">
        <f>IFERROR(__xludf.DUMMYFUNCTION("""COMPUTED_VALUE"""),5.0)</f>
        <v>5</v>
      </c>
      <c r="L133" s="308">
        <f>IFERROR(__xludf.DUMMYFUNCTION("""COMPUTED_VALUE"""),2009.0)</f>
        <v>2009</v>
      </c>
      <c r="M133" s="308" t="s">
        <v>736</v>
      </c>
      <c r="N133" s="308" t="s">
        <v>737</v>
      </c>
      <c r="O133" s="308" t="s">
        <v>34216</v>
      </c>
      <c r="P133" s="308" t="s">
        <v>34442</v>
      </c>
      <c r="Q133" s="308"/>
      <c r="R133" s="308"/>
      <c r="S133" s="308" t="s">
        <v>49</v>
      </c>
      <c r="T133" s="308" t="s">
        <v>72</v>
      </c>
      <c r="U133" s="308"/>
      <c r="V133" s="312"/>
    </row>
    <row r="134">
      <c r="A134" s="308">
        <v>133.0</v>
      </c>
      <c r="B134" s="308" t="s">
        <v>34448</v>
      </c>
      <c r="C134" s="308" t="s">
        <v>738</v>
      </c>
      <c r="D134" s="308">
        <f>IFERROR(__xludf.DUMMYFUNCTION("SPLIT(C134,""-"")"),112.0)</f>
        <v>112</v>
      </c>
      <c r="E134" s="308" t="str">
        <f>IFERROR(__xludf.DUMMYFUNCTION("""COMPUTED_VALUE"""),"K")</f>
        <v>K</v>
      </c>
      <c r="F134" s="309" t="s">
        <v>34</v>
      </c>
      <c r="G134" s="308" t="s">
        <v>719</v>
      </c>
      <c r="H134" s="308" t="s">
        <v>739</v>
      </c>
      <c r="I134" s="310">
        <v>39950.0</v>
      </c>
      <c r="J134" s="308">
        <f>IFERROR(__xludf.DUMMYFUNCTION("SPLIT(I134,""/"")"),17.0)</f>
        <v>17</v>
      </c>
      <c r="K134" s="308">
        <f>IFERROR(__xludf.DUMMYFUNCTION("""COMPUTED_VALUE"""),5.0)</f>
        <v>5</v>
      </c>
      <c r="L134" s="308">
        <f>IFERROR(__xludf.DUMMYFUNCTION("""COMPUTED_VALUE"""),2009.0)</f>
        <v>2009</v>
      </c>
      <c r="M134" s="308" t="s">
        <v>729</v>
      </c>
      <c r="N134" s="308"/>
      <c r="O134" s="308" t="s">
        <v>34216</v>
      </c>
      <c r="P134" s="308" t="s">
        <v>34442</v>
      </c>
      <c r="Q134" s="308"/>
      <c r="R134" s="308"/>
      <c r="S134" s="308" t="s">
        <v>49</v>
      </c>
      <c r="T134" s="308" t="s">
        <v>72</v>
      </c>
      <c r="U134" s="308"/>
      <c r="V134" s="312"/>
    </row>
    <row r="135">
      <c r="A135" s="308">
        <v>134.0</v>
      </c>
      <c r="B135" s="308" t="s">
        <v>34449</v>
      </c>
      <c r="C135" s="308" t="s">
        <v>740</v>
      </c>
      <c r="D135" s="308">
        <f>IFERROR(__xludf.DUMMYFUNCTION("SPLIT(C135,""-"")"),182.0)</f>
        <v>182</v>
      </c>
      <c r="E135" s="308" t="str">
        <f>IFERROR(__xludf.DUMMYFUNCTION("""COMPUTED_VALUE"""),"K")</f>
        <v>K</v>
      </c>
      <c r="F135" s="309" t="s">
        <v>34</v>
      </c>
      <c r="G135" s="308" t="s">
        <v>34216</v>
      </c>
      <c r="H135" s="308" t="s">
        <v>741</v>
      </c>
      <c r="I135" s="310">
        <v>40346.0</v>
      </c>
      <c r="J135" s="308">
        <f>IFERROR(__xludf.DUMMYFUNCTION("SPLIT(I135,""/"")"),17.0)</f>
        <v>17</v>
      </c>
      <c r="K135" s="308">
        <f>IFERROR(__xludf.DUMMYFUNCTION("""COMPUTED_VALUE"""),6.0)</f>
        <v>6</v>
      </c>
      <c r="L135" s="308">
        <f>IFERROR(__xludf.DUMMYFUNCTION("""COMPUTED_VALUE"""),2010.0)</f>
        <v>2010</v>
      </c>
      <c r="M135" s="308" t="s">
        <v>34450</v>
      </c>
      <c r="N135" s="308"/>
      <c r="O135" s="312" t="s">
        <v>34451</v>
      </c>
      <c r="P135" s="308" t="s">
        <v>744</v>
      </c>
      <c r="Q135" s="308"/>
      <c r="R135" s="308"/>
      <c r="S135" s="308" t="s">
        <v>81</v>
      </c>
      <c r="T135" s="311" t="s">
        <v>75</v>
      </c>
      <c r="U135" s="308"/>
      <c r="V135" s="312"/>
    </row>
    <row r="136">
      <c r="A136" s="308">
        <v>135.0</v>
      </c>
      <c r="B136" s="308" t="s">
        <v>34452</v>
      </c>
      <c r="C136" s="308" t="s">
        <v>34453</v>
      </c>
      <c r="D136" s="308">
        <f>IFERROR(__xludf.DUMMYFUNCTION("SPLIT(C136,""-"")"),113.0)</f>
        <v>113</v>
      </c>
      <c r="E136" s="311"/>
      <c r="F136" s="309" t="s">
        <v>34</v>
      </c>
      <c r="G136" s="308" t="s">
        <v>34216</v>
      </c>
      <c r="H136" s="308" t="s">
        <v>745</v>
      </c>
      <c r="I136" s="314">
        <v>40107.0</v>
      </c>
      <c r="J136" s="308">
        <f>IFERROR(__xludf.DUMMYFUNCTION("SPLIT(I136,""/"")"),21.0)</f>
        <v>21</v>
      </c>
      <c r="K136" s="308">
        <f>IFERROR(__xludf.DUMMYFUNCTION("""COMPUTED_VALUE"""),10.0)</f>
        <v>10</v>
      </c>
      <c r="L136" s="308">
        <f>IFERROR(__xludf.DUMMYFUNCTION("""COMPUTED_VALUE"""),2009.0)</f>
        <v>2009</v>
      </c>
      <c r="M136" s="308" t="s">
        <v>746</v>
      </c>
      <c r="N136" s="308"/>
      <c r="O136" s="308" t="s">
        <v>34216</v>
      </c>
      <c r="P136" s="308" t="s">
        <v>34454</v>
      </c>
      <c r="Q136" s="308"/>
      <c r="R136" s="308"/>
      <c r="S136" s="308" t="s">
        <v>81</v>
      </c>
      <c r="T136" s="311" t="s">
        <v>75</v>
      </c>
      <c r="U136" s="308"/>
      <c r="V136" s="312"/>
    </row>
    <row r="137">
      <c r="A137" s="308">
        <v>136.0</v>
      </c>
      <c r="B137" s="308" t="s">
        <v>34455</v>
      </c>
      <c r="C137" s="308" t="s">
        <v>34456</v>
      </c>
      <c r="D137" s="308">
        <f>IFERROR(__xludf.DUMMYFUNCTION("SPLIT(C137,""-"")"),114.0)</f>
        <v>114</v>
      </c>
      <c r="E137" s="311"/>
      <c r="F137" s="317" t="s">
        <v>37</v>
      </c>
      <c r="G137" s="308" t="s">
        <v>34216</v>
      </c>
      <c r="H137" s="308" t="s">
        <v>748</v>
      </c>
      <c r="I137" s="310">
        <v>40359.0</v>
      </c>
      <c r="J137" s="308">
        <f>IFERROR(__xludf.DUMMYFUNCTION("SPLIT(I137,""/"")"),30.0)</f>
        <v>30</v>
      </c>
      <c r="K137" s="308">
        <f>IFERROR(__xludf.DUMMYFUNCTION("""COMPUTED_VALUE"""),6.0)</f>
        <v>6</v>
      </c>
      <c r="L137" s="308">
        <f>IFERROR(__xludf.DUMMYFUNCTION("""COMPUTED_VALUE"""),2010.0)</f>
        <v>2010</v>
      </c>
      <c r="M137" s="308" t="s">
        <v>749</v>
      </c>
      <c r="N137" s="308"/>
      <c r="O137" s="308" t="s">
        <v>34216</v>
      </c>
      <c r="P137" s="308" t="s">
        <v>148</v>
      </c>
      <c r="Q137" s="308"/>
      <c r="R137" s="308"/>
      <c r="S137" s="308" t="s">
        <v>49</v>
      </c>
      <c r="T137" s="308" t="s">
        <v>51</v>
      </c>
      <c r="U137" s="308"/>
      <c r="V137" s="312"/>
    </row>
    <row r="138">
      <c r="A138" s="308">
        <v>137.0</v>
      </c>
      <c r="B138" s="308" t="s">
        <v>34457</v>
      </c>
      <c r="C138" s="308" t="s">
        <v>34214</v>
      </c>
      <c r="D138" s="308">
        <f>IFERROR(__xludf.DUMMYFUNCTION("SPLIT(C138,""-"")"),183.0)</f>
        <v>183</v>
      </c>
      <c r="E138" s="311"/>
      <c r="F138" s="317" t="s">
        <v>37</v>
      </c>
      <c r="G138" s="308" t="s">
        <v>34216</v>
      </c>
      <c r="H138" s="308" t="s">
        <v>750</v>
      </c>
      <c r="I138" s="310">
        <v>39996.0</v>
      </c>
      <c r="J138" s="308">
        <f>IFERROR(__xludf.DUMMYFUNCTION("SPLIT(I138,""/"")"),2.0)</f>
        <v>2</v>
      </c>
      <c r="K138" s="308">
        <f>IFERROR(__xludf.DUMMYFUNCTION("""COMPUTED_VALUE"""),7.0)</f>
        <v>7</v>
      </c>
      <c r="L138" s="308">
        <f>IFERROR(__xludf.DUMMYFUNCTION("""COMPUTED_VALUE"""),2009.0)</f>
        <v>2009</v>
      </c>
      <c r="M138" s="308" t="s">
        <v>751</v>
      </c>
      <c r="N138" s="308"/>
      <c r="O138" s="308" t="s">
        <v>34216</v>
      </c>
      <c r="P138" s="308" t="s">
        <v>124</v>
      </c>
      <c r="Q138" s="308"/>
      <c r="R138" s="308"/>
      <c r="S138" s="308" t="s">
        <v>81</v>
      </c>
      <c r="T138" s="308" t="s">
        <v>34201</v>
      </c>
      <c r="U138" s="308"/>
      <c r="V138" s="312"/>
    </row>
    <row r="139">
      <c r="A139" s="308">
        <v>138.0</v>
      </c>
      <c r="B139" s="308" t="s">
        <v>34458</v>
      </c>
      <c r="C139" s="308" t="s">
        <v>752</v>
      </c>
      <c r="D139" s="308">
        <f>IFERROR(__xludf.DUMMYFUNCTION("SPLIT(C139,""-"")"),115.0)</f>
        <v>115</v>
      </c>
      <c r="E139" s="308" t="str">
        <f>IFERROR(__xludf.DUMMYFUNCTION("""COMPUTED_VALUE"""),"P")</f>
        <v>P</v>
      </c>
      <c r="F139" s="312" t="s">
        <v>37</v>
      </c>
      <c r="G139" s="308" t="s">
        <v>34216</v>
      </c>
      <c r="H139" s="308" t="s">
        <v>753</v>
      </c>
      <c r="I139" s="310">
        <v>40336.0</v>
      </c>
      <c r="J139" s="308">
        <f>IFERROR(__xludf.DUMMYFUNCTION("SPLIT(I139,""/"")"),7.0)</f>
        <v>7</v>
      </c>
      <c r="K139" s="308">
        <f>IFERROR(__xludf.DUMMYFUNCTION("""COMPUTED_VALUE"""),6.0)</f>
        <v>6</v>
      </c>
      <c r="L139" s="308">
        <f>IFERROR(__xludf.DUMMYFUNCTION("""COMPUTED_VALUE"""),2010.0)</f>
        <v>2010</v>
      </c>
      <c r="M139" s="308" t="s">
        <v>754</v>
      </c>
      <c r="N139" s="308"/>
      <c r="O139" s="312" t="s">
        <v>34459</v>
      </c>
      <c r="P139" s="308" t="s">
        <v>756</v>
      </c>
      <c r="Q139" s="308"/>
      <c r="R139" s="308"/>
      <c r="S139" s="308" t="s">
        <v>81</v>
      </c>
      <c r="T139" s="308" t="s">
        <v>75</v>
      </c>
      <c r="U139" s="308"/>
      <c r="V139" s="312"/>
    </row>
    <row r="140">
      <c r="A140" s="308">
        <v>139.0</v>
      </c>
      <c r="B140" s="308" t="s">
        <v>34460</v>
      </c>
      <c r="C140" s="308" t="s">
        <v>757</v>
      </c>
      <c r="D140" s="308">
        <f>IFERROR(__xludf.DUMMYFUNCTION("SPLIT(C140,""-"")"),116.0)</f>
        <v>116</v>
      </c>
      <c r="E140" s="308" t="str">
        <f>IFERROR(__xludf.DUMMYFUNCTION("""COMPUTED_VALUE"""),"K")</f>
        <v>K</v>
      </c>
      <c r="F140" s="309" t="s">
        <v>34</v>
      </c>
      <c r="G140" s="308" t="s">
        <v>34216</v>
      </c>
      <c r="H140" s="308" t="s">
        <v>758</v>
      </c>
      <c r="I140" s="314">
        <v>40509.0</v>
      </c>
      <c r="J140" s="308">
        <f>IFERROR(__xludf.DUMMYFUNCTION("SPLIT(I140,""/"")"),27.0)</f>
        <v>27</v>
      </c>
      <c r="K140" s="308">
        <f>IFERROR(__xludf.DUMMYFUNCTION("""COMPUTED_VALUE"""),11.0)</f>
        <v>11</v>
      </c>
      <c r="L140" s="308">
        <f>IFERROR(__xludf.DUMMYFUNCTION("""COMPUTED_VALUE"""),2010.0)</f>
        <v>2010</v>
      </c>
      <c r="M140" s="308" t="s">
        <v>759</v>
      </c>
      <c r="N140" s="308"/>
      <c r="O140" s="308" t="s">
        <v>760</v>
      </c>
      <c r="P140" s="308" t="s">
        <v>761</v>
      </c>
      <c r="Q140" s="308"/>
      <c r="R140" s="308"/>
      <c r="S140" s="308" t="s">
        <v>49</v>
      </c>
      <c r="T140" s="308" t="s">
        <v>51</v>
      </c>
      <c r="U140" s="308"/>
      <c r="V140" s="312"/>
    </row>
    <row r="141">
      <c r="A141" s="308">
        <v>140.0</v>
      </c>
      <c r="B141" s="308" t="s">
        <v>34461</v>
      </c>
      <c r="C141" s="308" t="s">
        <v>762</v>
      </c>
      <c r="D141" s="308">
        <f>IFERROR(__xludf.DUMMYFUNCTION("SPLIT(C141,""-"")"),117.0)</f>
        <v>117</v>
      </c>
      <c r="E141" s="308" t="str">
        <f>IFERROR(__xludf.DUMMYFUNCTION("""COMPUTED_VALUE"""),"K")</f>
        <v>K</v>
      </c>
      <c r="F141" s="309" t="s">
        <v>34</v>
      </c>
      <c r="G141" s="308" t="s">
        <v>34216</v>
      </c>
      <c r="H141" s="308" t="s">
        <v>763</v>
      </c>
      <c r="I141" s="310">
        <v>40041.0</v>
      </c>
      <c r="J141" s="308">
        <f>IFERROR(__xludf.DUMMYFUNCTION("SPLIT(I141,""/"")"),16.0)</f>
        <v>16</v>
      </c>
      <c r="K141" s="308">
        <f>IFERROR(__xludf.DUMMYFUNCTION("""COMPUTED_VALUE"""),8.0)</f>
        <v>8</v>
      </c>
      <c r="L141" s="308">
        <f>IFERROR(__xludf.DUMMYFUNCTION("""COMPUTED_VALUE"""),2009.0)</f>
        <v>2009</v>
      </c>
      <c r="M141" s="308" t="s">
        <v>764</v>
      </c>
      <c r="N141" s="308"/>
      <c r="O141" s="312" t="s">
        <v>34462</v>
      </c>
      <c r="P141" s="308" t="s">
        <v>766</v>
      </c>
      <c r="Q141" s="308"/>
      <c r="R141" s="308"/>
      <c r="S141" s="308" t="s">
        <v>81</v>
      </c>
      <c r="T141" s="308" t="s">
        <v>34264</v>
      </c>
      <c r="U141" s="308"/>
      <c r="V141" s="312"/>
    </row>
    <row r="142">
      <c r="A142" s="308">
        <v>141.0</v>
      </c>
      <c r="B142" s="308" t="s">
        <v>34463</v>
      </c>
      <c r="C142" s="308" t="s">
        <v>34464</v>
      </c>
      <c r="D142" s="308">
        <f>IFERROR(__xludf.DUMMYFUNCTION("SPLIT(C142,""-"")"),118.0)</f>
        <v>118</v>
      </c>
      <c r="E142" s="311"/>
      <c r="F142" s="309" t="s">
        <v>34</v>
      </c>
      <c r="G142" s="308" t="s">
        <v>34216</v>
      </c>
      <c r="H142" s="308" t="s">
        <v>767</v>
      </c>
      <c r="I142" s="310">
        <v>40448.0</v>
      </c>
      <c r="J142" s="308">
        <f>IFERROR(__xludf.DUMMYFUNCTION("SPLIT(I142,""/"")"),27.0)</f>
        <v>27</v>
      </c>
      <c r="K142" s="308">
        <f>IFERROR(__xludf.DUMMYFUNCTION("""COMPUTED_VALUE"""),9.0)</f>
        <v>9</v>
      </c>
      <c r="L142" s="308">
        <f>IFERROR(__xludf.DUMMYFUNCTION("""COMPUTED_VALUE"""),2010.0)</f>
        <v>2010</v>
      </c>
      <c r="M142" s="308" t="s">
        <v>768</v>
      </c>
      <c r="N142" s="308"/>
      <c r="O142" s="308" t="s">
        <v>34216</v>
      </c>
      <c r="P142" s="308" t="s">
        <v>769</v>
      </c>
      <c r="Q142" s="308"/>
      <c r="R142" s="308"/>
      <c r="S142" s="308" t="s">
        <v>81</v>
      </c>
      <c r="T142" s="308" t="s">
        <v>75</v>
      </c>
      <c r="U142" s="308"/>
      <c r="V142" s="312"/>
    </row>
    <row r="143">
      <c r="A143" s="308">
        <v>142.0</v>
      </c>
      <c r="B143" s="308" t="s">
        <v>34465</v>
      </c>
      <c r="C143" s="308" t="s">
        <v>770</v>
      </c>
      <c r="D143" s="308">
        <f>IFERROR(__xludf.DUMMYFUNCTION("SPLIT(C143,""-"")"),119.0)</f>
        <v>119</v>
      </c>
      <c r="E143" s="308" t="str">
        <f>IFERROR(__xludf.DUMMYFUNCTION("""COMPUTED_VALUE"""),"B")</f>
        <v>B</v>
      </c>
      <c r="F143" s="315" t="s">
        <v>26</v>
      </c>
      <c r="G143" s="308" t="s">
        <v>34216</v>
      </c>
      <c r="H143" s="308" t="s">
        <v>771</v>
      </c>
      <c r="I143" s="314">
        <v>40471.0</v>
      </c>
      <c r="J143" s="308">
        <f>IFERROR(__xludf.DUMMYFUNCTION("SPLIT(I143,""/"")"),20.0)</f>
        <v>20</v>
      </c>
      <c r="K143" s="308">
        <f>IFERROR(__xludf.DUMMYFUNCTION("""COMPUTED_VALUE"""),10.0)</f>
        <v>10</v>
      </c>
      <c r="L143" s="308">
        <f>IFERROR(__xludf.DUMMYFUNCTION("""COMPUTED_VALUE"""),2010.0)</f>
        <v>2010</v>
      </c>
      <c r="M143" s="308" t="s">
        <v>772</v>
      </c>
      <c r="N143" s="308"/>
      <c r="O143" s="312" t="s">
        <v>34466</v>
      </c>
      <c r="P143" s="308" t="s">
        <v>34467</v>
      </c>
      <c r="Q143" s="308"/>
      <c r="R143" s="308"/>
      <c r="S143" s="308" t="s">
        <v>49</v>
      </c>
      <c r="T143" s="308" t="s">
        <v>34409</v>
      </c>
      <c r="U143" s="308"/>
      <c r="V143" s="312"/>
    </row>
    <row r="144">
      <c r="A144" s="308">
        <v>143.0</v>
      </c>
      <c r="B144" s="308" t="s">
        <v>34468</v>
      </c>
      <c r="C144" s="308" t="s">
        <v>774</v>
      </c>
      <c r="D144" s="308">
        <f>IFERROR(__xludf.DUMMYFUNCTION("SPLIT(C144,""-"")"),120.0)</f>
        <v>120</v>
      </c>
      <c r="E144" s="308" t="str">
        <f>IFERROR(__xludf.DUMMYFUNCTION("""COMPUTED_VALUE"""),"P")</f>
        <v>P</v>
      </c>
      <c r="F144" s="312" t="s">
        <v>37</v>
      </c>
      <c r="G144" s="308" t="s">
        <v>34216</v>
      </c>
      <c r="H144" s="308" t="s">
        <v>775</v>
      </c>
      <c r="I144" s="310">
        <v>40367.0</v>
      </c>
      <c r="J144" s="308">
        <f>IFERROR(__xludf.DUMMYFUNCTION("SPLIT(I144,""/"")"),8.0)</f>
        <v>8</v>
      </c>
      <c r="K144" s="308">
        <f>IFERROR(__xludf.DUMMYFUNCTION("""COMPUTED_VALUE"""),7.0)</f>
        <v>7</v>
      </c>
      <c r="L144" s="308">
        <f>IFERROR(__xludf.DUMMYFUNCTION("""COMPUTED_VALUE"""),2010.0)</f>
        <v>2010</v>
      </c>
      <c r="M144" s="308" t="s">
        <v>776</v>
      </c>
      <c r="N144" s="308"/>
      <c r="O144" s="308" t="s">
        <v>777</v>
      </c>
      <c r="P144" s="308" t="s">
        <v>778</v>
      </c>
      <c r="Q144" s="308"/>
      <c r="R144" s="308"/>
      <c r="S144" s="308" t="s">
        <v>81</v>
      </c>
      <c r="T144" s="308" t="s">
        <v>75</v>
      </c>
      <c r="U144" s="308"/>
      <c r="V144" s="312"/>
    </row>
    <row r="145">
      <c r="A145" s="308">
        <v>144.0</v>
      </c>
      <c r="B145" s="308" t="s">
        <v>34469</v>
      </c>
      <c r="C145" s="308" t="s">
        <v>779</v>
      </c>
      <c r="D145" s="308">
        <f>IFERROR(__xludf.DUMMYFUNCTION("SPLIT(C145,""-"")"),121.0)</f>
        <v>121</v>
      </c>
      <c r="E145" s="308" t="str">
        <f>IFERROR(__xludf.DUMMYFUNCTION("""COMPUTED_VALUE"""),"P")</f>
        <v>P</v>
      </c>
      <c r="F145" s="312" t="s">
        <v>37</v>
      </c>
      <c r="G145" s="308" t="s">
        <v>780</v>
      </c>
      <c r="H145" s="308" t="s">
        <v>781</v>
      </c>
      <c r="I145" s="310">
        <v>40324.0</v>
      </c>
      <c r="J145" s="308">
        <f>IFERROR(__xludf.DUMMYFUNCTION("SPLIT(I145,""/"")"),26.0)</f>
        <v>26</v>
      </c>
      <c r="K145" s="308">
        <f>IFERROR(__xludf.DUMMYFUNCTION("""COMPUTED_VALUE"""),5.0)</f>
        <v>5</v>
      </c>
      <c r="L145" s="308">
        <f>IFERROR(__xludf.DUMMYFUNCTION("""COMPUTED_VALUE"""),2010.0)</f>
        <v>2010</v>
      </c>
      <c r="M145" s="308" t="s">
        <v>782</v>
      </c>
      <c r="N145" s="308"/>
      <c r="O145" s="312" t="s">
        <v>34470</v>
      </c>
      <c r="P145" s="308" t="s">
        <v>784</v>
      </c>
      <c r="Q145" s="308"/>
      <c r="R145" s="308"/>
      <c r="S145" s="308" t="s">
        <v>81</v>
      </c>
      <c r="T145" s="308" t="s">
        <v>75</v>
      </c>
      <c r="U145" s="308"/>
      <c r="V145" s="312"/>
    </row>
    <row r="146">
      <c r="A146" s="308">
        <v>145.0</v>
      </c>
      <c r="B146" s="308" t="s">
        <v>34471</v>
      </c>
      <c r="C146" s="308" t="s">
        <v>785</v>
      </c>
      <c r="D146" s="308">
        <f>IFERROR(__xludf.DUMMYFUNCTION("SPLIT(C146,""-"")"),122.0)</f>
        <v>122</v>
      </c>
      <c r="E146" s="308" t="str">
        <f>IFERROR(__xludf.DUMMYFUNCTION("""COMPUTED_VALUE"""),"P")</f>
        <v>P</v>
      </c>
      <c r="F146" s="312" t="s">
        <v>37</v>
      </c>
      <c r="G146" s="308" t="s">
        <v>786</v>
      </c>
      <c r="H146" s="308" t="s">
        <v>787</v>
      </c>
      <c r="I146" s="310">
        <v>40342.0</v>
      </c>
      <c r="J146" s="308">
        <f>IFERROR(__xludf.DUMMYFUNCTION("SPLIT(I146,""/"")"),13.0)</f>
        <v>13</v>
      </c>
      <c r="K146" s="308">
        <f>IFERROR(__xludf.DUMMYFUNCTION("""COMPUTED_VALUE"""),6.0)</f>
        <v>6</v>
      </c>
      <c r="L146" s="308">
        <f>IFERROR(__xludf.DUMMYFUNCTION("""COMPUTED_VALUE"""),2010.0)</f>
        <v>2010</v>
      </c>
      <c r="M146" s="308" t="s">
        <v>788</v>
      </c>
      <c r="N146" s="308"/>
      <c r="O146" s="308" t="s">
        <v>34216</v>
      </c>
      <c r="P146" s="308" t="s">
        <v>789</v>
      </c>
      <c r="Q146" s="308"/>
      <c r="R146" s="308"/>
      <c r="S146" s="308" t="s">
        <v>81</v>
      </c>
      <c r="T146" s="311" t="s">
        <v>75</v>
      </c>
      <c r="U146" s="308"/>
      <c r="V146" s="312"/>
    </row>
    <row r="147">
      <c r="A147" s="308">
        <v>146.0</v>
      </c>
      <c r="B147" s="308" t="s">
        <v>34472</v>
      </c>
      <c r="C147" s="308" t="s">
        <v>790</v>
      </c>
      <c r="D147" s="308">
        <f>IFERROR(__xludf.DUMMYFUNCTION("SPLIT(C147,""-"")"),123.0)</f>
        <v>123</v>
      </c>
      <c r="E147" s="308" t="str">
        <f>IFERROR(__xludf.DUMMYFUNCTION("""COMPUTED_VALUE"""),"K")</f>
        <v>K</v>
      </c>
      <c r="F147" s="309" t="s">
        <v>34</v>
      </c>
      <c r="G147" s="308" t="s">
        <v>34216</v>
      </c>
      <c r="H147" s="308" t="s">
        <v>791</v>
      </c>
      <c r="I147" s="310">
        <v>40393.0</v>
      </c>
      <c r="J147" s="308">
        <f>IFERROR(__xludf.DUMMYFUNCTION("SPLIT(I147,""/"")"),3.0)</f>
        <v>3</v>
      </c>
      <c r="K147" s="308">
        <f>IFERROR(__xludf.DUMMYFUNCTION("""COMPUTED_VALUE"""),8.0)</f>
        <v>8</v>
      </c>
      <c r="L147" s="308">
        <f>IFERROR(__xludf.DUMMYFUNCTION("""COMPUTED_VALUE"""),2010.0)</f>
        <v>2010</v>
      </c>
      <c r="M147" s="308" t="s">
        <v>792</v>
      </c>
      <c r="N147" s="308"/>
      <c r="O147" s="312" t="s">
        <v>34473</v>
      </c>
      <c r="P147" s="308" t="s">
        <v>794</v>
      </c>
      <c r="Q147" s="308"/>
      <c r="R147" s="308"/>
      <c r="S147" s="308" t="s">
        <v>81</v>
      </c>
      <c r="T147" s="311" t="s">
        <v>75</v>
      </c>
      <c r="U147" s="308"/>
      <c r="V147" s="312"/>
    </row>
    <row r="148">
      <c r="A148" s="308">
        <v>147.0</v>
      </c>
      <c r="B148" s="308" t="s">
        <v>34474</v>
      </c>
      <c r="C148" s="308" t="s">
        <v>795</v>
      </c>
      <c r="D148" s="308">
        <f>IFERROR(__xludf.DUMMYFUNCTION("SPLIT(C148,""-"")"),124.0)</f>
        <v>124</v>
      </c>
      <c r="E148" s="308" t="str">
        <f>IFERROR(__xludf.DUMMYFUNCTION("""COMPUTED_VALUE"""),"B")</f>
        <v>B</v>
      </c>
      <c r="F148" s="315" t="s">
        <v>26</v>
      </c>
      <c r="G148" s="308" t="s">
        <v>796</v>
      </c>
      <c r="H148" s="308" t="s">
        <v>797</v>
      </c>
      <c r="I148" s="314">
        <v>40465.0</v>
      </c>
      <c r="J148" s="308">
        <f>IFERROR(__xludf.DUMMYFUNCTION("SPLIT(I148,""/"")"),14.0)</f>
        <v>14</v>
      </c>
      <c r="K148" s="308">
        <f>IFERROR(__xludf.DUMMYFUNCTION("""COMPUTED_VALUE"""),10.0)</f>
        <v>10</v>
      </c>
      <c r="L148" s="308">
        <f>IFERROR(__xludf.DUMMYFUNCTION("""COMPUTED_VALUE"""),2010.0)</f>
        <v>2010</v>
      </c>
      <c r="M148" s="308" t="s">
        <v>798</v>
      </c>
      <c r="N148" s="308"/>
      <c r="O148" s="312" t="s">
        <v>34475</v>
      </c>
      <c r="P148" s="308" t="s">
        <v>800</v>
      </c>
      <c r="Q148" s="308"/>
      <c r="R148" s="308"/>
      <c r="S148" s="308" t="s">
        <v>81</v>
      </c>
      <c r="T148" s="308" t="s">
        <v>98</v>
      </c>
      <c r="U148" s="308"/>
      <c r="V148" s="312"/>
    </row>
    <row r="149">
      <c r="A149" s="308">
        <v>148.0</v>
      </c>
      <c r="B149" s="308" t="s">
        <v>34476</v>
      </c>
      <c r="C149" s="308" t="s">
        <v>801</v>
      </c>
      <c r="D149" s="308">
        <f>IFERROR(__xludf.DUMMYFUNCTION("SPLIT(C149,""-"")"),125.0)</f>
        <v>125</v>
      </c>
      <c r="E149" s="308" t="str">
        <f>IFERROR(__xludf.DUMMYFUNCTION("""COMPUTED_VALUE"""),"B")</f>
        <v>B</v>
      </c>
      <c r="F149" s="315" t="s">
        <v>26</v>
      </c>
      <c r="G149" s="308" t="s">
        <v>796</v>
      </c>
      <c r="H149" s="308" t="s">
        <v>802</v>
      </c>
      <c r="I149" s="314">
        <v>40533.0</v>
      </c>
      <c r="J149" s="308">
        <f>IFERROR(__xludf.DUMMYFUNCTION("SPLIT(I149,""/"")"),21.0)</f>
        <v>21</v>
      </c>
      <c r="K149" s="308">
        <f>IFERROR(__xludf.DUMMYFUNCTION("""COMPUTED_VALUE"""),12.0)</f>
        <v>12</v>
      </c>
      <c r="L149" s="308">
        <f>IFERROR(__xludf.DUMMYFUNCTION("""COMPUTED_VALUE"""),2010.0)</f>
        <v>2010</v>
      </c>
      <c r="M149" s="308" t="s">
        <v>803</v>
      </c>
      <c r="N149" s="308"/>
      <c r="O149" s="312" t="s">
        <v>34477</v>
      </c>
      <c r="P149" s="308" t="s">
        <v>805</v>
      </c>
      <c r="Q149" s="308"/>
      <c r="R149" s="308"/>
      <c r="S149" s="308" t="s">
        <v>81</v>
      </c>
      <c r="T149" s="308" t="s">
        <v>98</v>
      </c>
      <c r="U149" s="308"/>
      <c r="V149" s="312"/>
    </row>
    <row r="150">
      <c r="A150" s="308">
        <v>149.0</v>
      </c>
      <c r="B150" s="308" t="s">
        <v>34478</v>
      </c>
      <c r="C150" s="308" t="s">
        <v>806</v>
      </c>
      <c r="D150" s="308">
        <f>IFERROR(__xludf.DUMMYFUNCTION("SPLIT(C150,""-"")"),126.0)</f>
        <v>126</v>
      </c>
      <c r="E150" s="308" t="str">
        <f>IFERROR(__xludf.DUMMYFUNCTION("""COMPUTED_VALUE"""),"B")</f>
        <v>B</v>
      </c>
      <c r="F150" s="315" t="s">
        <v>26</v>
      </c>
      <c r="G150" s="308" t="s">
        <v>807</v>
      </c>
      <c r="H150" s="308" t="s">
        <v>808</v>
      </c>
      <c r="I150" s="310">
        <v>40235.0</v>
      </c>
      <c r="J150" s="308">
        <f>IFERROR(__xludf.DUMMYFUNCTION("SPLIT(I150,""/"")"),26.0)</f>
        <v>26</v>
      </c>
      <c r="K150" s="308">
        <f>IFERROR(__xludf.DUMMYFUNCTION("""COMPUTED_VALUE"""),2.0)</f>
        <v>2</v>
      </c>
      <c r="L150" s="308">
        <f>IFERROR(__xludf.DUMMYFUNCTION("""COMPUTED_VALUE"""),2010.0)</f>
        <v>2010</v>
      </c>
      <c r="M150" s="308" t="s">
        <v>809</v>
      </c>
      <c r="N150" s="308"/>
      <c r="O150" s="312" t="s">
        <v>810</v>
      </c>
      <c r="P150" s="308" t="s">
        <v>148</v>
      </c>
      <c r="Q150" s="308"/>
      <c r="R150" s="308"/>
      <c r="S150" s="308" t="s">
        <v>49</v>
      </c>
      <c r="T150" s="308" t="s">
        <v>51</v>
      </c>
      <c r="U150" s="308"/>
      <c r="V150" s="312"/>
    </row>
    <row r="151">
      <c r="A151" s="308">
        <v>150.0</v>
      </c>
      <c r="B151" s="308" t="s">
        <v>34479</v>
      </c>
      <c r="C151" s="308" t="s">
        <v>811</v>
      </c>
      <c r="D151" s="308">
        <f>IFERROR(__xludf.DUMMYFUNCTION("SPLIT(C151,""-"")"),127.0)</f>
        <v>127</v>
      </c>
      <c r="E151" s="308" t="str">
        <f>IFERROR(__xludf.DUMMYFUNCTION("""COMPUTED_VALUE"""),"K")</f>
        <v>K</v>
      </c>
      <c r="F151" s="309" t="s">
        <v>34</v>
      </c>
      <c r="G151" s="308" t="s">
        <v>812</v>
      </c>
      <c r="H151" s="308" t="s">
        <v>813</v>
      </c>
      <c r="I151" s="310">
        <v>2010.0</v>
      </c>
      <c r="J151" s="308"/>
      <c r="K151" s="308"/>
      <c r="L151" s="311" t="s">
        <v>79</v>
      </c>
      <c r="M151" s="308" t="s">
        <v>809</v>
      </c>
      <c r="N151" s="308"/>
      <c r="O151" s="312" t="s">
        <v>814</v>
      </c>
      <c r="P151" s="308" t="s">
        <v>815</v>
      </c>
      <c r="Q151" s="308"/>
      <c r="R151" s="308"/>
      <c r="S151" s="308" t="s">
        <v>81</v>
      </c>
      <c r="T151" s="308" t="s">
        <v>75</v>
      </c>
      <c r="U151" s="308"/>
      <c r="V151" s="312"/>
    </row>
    <row r="152">
      <c r="A152" s="308">
        <v>151.0</v>
      </c>
      <c r="B152" s="308" t="s">
        <v>34480</v>
      </c>
      <c r="C152" s="308" t="s">
        <v>816</v>
      </c>
      <c r="D152" s="308">
        <f>IFERROR(__xludf.DUMMYFUNCTION("SPLIT(C152,""-"")"),128.0)</f>
        <v>128</v>
      </c>
      <c r="E152" s="308" t="str">
        <f>IFERROR(__xludf.DUMMYFUNCTION("""COMPUTED_VALUE"""),"K")</f>
        <v>K</v>
      </c>
      <c r="F152" s="309" t="s">
        <v>34</v>
      </c>
      <c r="G152" s="308" t="s">
        <v>817</v>
      </c>
      <c r="H152" s="308" t="s">
        <v>818</v>
      </c>
      <c r="I152" s="314">
        <v>40114.0</v>
      </c>
      <c r="J152" s="308">
        <f>IFERROR(__xludf.DUMMYFUNCTION("SPLIT(I152,""/"")"),28.0)</f>
        <v>28</v>
      </c>
      <c r="K152" s="308">
        <f>IFERROR(__xludf.DUMMYFUNCTION("""COMPUTED_VALUE"""),10.0)</f>
        <v>10</v>
      </c>
      <c r="L152" s="308">
        <f>IFERROR(__xludf.DUMMYFUNCTION("""COMPUTED_VALUE"""),2009.0)</f>
        <v>2009</v>
      </c>
      <c r="M152" s="308" t="s">
        <v>819</v>
      </c>
      <c r="N152" s="308"/>
      <c r="O152" s="308" t="s">
        <v>820</v>
      </c>
      <c r="P152" s="308" t="s">
        <v>821</v>
      </c>
      <c r="Q152" s="308"/>
      <c r="R152" s="308"/>
      <c r="S152" s="308" t="s">
        <v>81</v>
      </c>
      <c r="T152" s="311" t="s">
        <v>63</v>
      </c>
      <c r="U152" s="308"/>
      <c r="V152" s="312"/>
    </row>
    <row r="153">
      <c r="A153" s="308">
        <v>152.0</v>
      </c>
      <c r="B153" s="308" t="s">
        <v>34481</v>
      </c>
      <c r="C153" s="308" t="s">
        <v>822</v>
      </c>
      <c r="D153" s="308">
        <f>IFERROR(__xludf.DUMMYFUNCTION("SPLIT(C153,""-"")"),129.0)</f>
        <v>129</v>
      </c>
      <c r="E153" s="308" t="str">
        <f>IFERROR(__xludf.DUMMYFUNCTION("""COMPUTED_VALUE"""),"K")</f>
        <v>K</v>
      </c>
      <c r="F153" s="309" t="s">
        <v>34</v>
      </c>
      <c r="G153" s="308" t="s">
        <v>817</v>
      </c>
      <c r="H153" s="308" t="s">
        <v>823</v>
      </c>
      <c r="I153" s="314">
        <v>40114.0</v>
      </c>
      <c r="J153" s="308">
        <f>IFERROR(__xludf.DUMMYFUNCTION("SPLIT(I153,""/"")"),28.0)</f>
        <v>28</v>
      </c>
      <c r="K153" s="308">
        <f>IFERROR(__xludf.DUMMYFUNCTION("""COMPUTED_VALUE"""),10.0)</f>
        <v>10</v>
      </c>
      <c r="L153" s="308">
        <f>IFERROR(__xludf.DUMMYFUNCTION("""COMPUTED_VALUE"""),2009.0)</f>
        <v>2009</v>
      </c>
      <c r="M153" s="308" t="s">
        <v>819</v>
      </c>
      <c r="N153" s="308"/>
      <c r="O153" s="308" t="s">
        <v>820</v>
      </c>
      <c r="P153" s="308" t="s">
        <v>821</v>
      </c>
      <c r="Q153" s="308"/>
      <c r="R153" s="308"/>
      <c r="S153" s="308" t="s">
        <v>81</v>
      </c>
      <c r="T153" s="311" t="s">
        <v>63</v>
      </c>
      <c r="U153" s="308"/>
      <c r="V153" s="312"/>
    </row>
    <row r="154">
      <c r="A154" s="308">
        <v>153.0</v>
      </c>
      <c r="B154" s="308" t="s">
        <v>34482</v>
      </c>
      <c r="C154" s="308" t="s">
        <v>824</v>
      </c>
      <c r="D154" s="308">
        <f>IFERROR(__xludf.DUMMYFUNCTION("SPLIT(C154,""-"")"),130.0)</f>
        <v>130</v>
      </c>
      <c r="E154" s="308" t="str">
        <f>IFERROR(__xludf.DUMMYFUNCTION("""COMPUTED_VALUE"""),"P")</f>
        <v>P</v>
      </c>
      <c r="F154" s="312" t="s">
        <v>37</v>
      </c>
      <c r="G154" s="308" t="s">
        <v>34216</v>
      </c>
      <c r="H154" s="308" t="s">
        <v>825</v>
      </c>
      <c r="I154" s="314">
        <v>40533.0</v>
      </c>
      <c r="J154" s="308">
        <f>IFERROR(__xludf.DUMMYFUNCTION("SPLIT(I154,""/"")"),21.0)</f>
        <v>21</v>
      </c>
      <c r="K154" s="308">
        <f>IFERROR(__xludf.DUMMYFUNCTION("""COMPUTED_VALUE"""),12.0)</f>
        <v>12</v>
      </c>
      <c r="L154" s="308">
        <f>IFERROR(__xludf.DUMMYFUNCTION("""COMPUTED_VALUE"""),2010.0)</f>
        <v>2010</v>
      </c>
      <c r="M154" s="308" t="s">
        <v>826</v>
      </c>
      <c r="N154" s="308"/>
      <c r="O154" s="308" t="s">
        <v>827</v>
      </c>
      <c r="P154" s="308" t="s">
        <v>34483</v>
      </c>
      <c r="Q154" s="308"/>
      <c r="R154" s="308"/>
      <c r="S154" s="308" t="s">
        <v>81</v>
      </c>
      <c r="T154" s="308" t="s">
        <v>98</v>
      </c>
      <c r="U154" s="308"/>
      <c r="V154" s="312"/>
    </row>
    <row r="155">
      <c r="A155" s="308">
        <v>154.0</v>
      </c>
      <c r="B155" s="308" t="s">
        <v>34484</v>
      </c>
      <c r="C155" s="308" t="s">
        <v>829</v>
      </c>
      <c r="D155" s="308">
        <f>IFERROR(__xludf.DUMMYFUNCTION("SPLIT(C155,""-"")"),131.0)</f>
        <v>131</v>
      </c>
      <c r="E155" s="308" t="str">
        <f>IFERROR(__xludf.DUMMYFUNCTION("""COMPUTED_VALUE"""),"P")</f>
        <v>P</v>
      </c>
      <c r="F155" s="312" t="s">
        <v>37</v>
      </c>
      <c r="G155" s="308" t="s">
        <v>34216</v>
      </c>
      <c r="H155" s="308" t="s">
        <v>830</v>
      </c>
      <c r="I155" s="310">
        <v>40118.0</v>
      </c>
      <c r="J155" s="308">
        <f>IFERROR(__xludf.DUMMYFUNCTION("SPLIT(I155,""/"")"),1.0)</f>
        <v>1</v>
      </c>
      <c r="K155" s="308">
        <f>IFERROR(__xludf.DUMMYFUNCTION("""COMPUTED_VALUE"""),11.0)</f>
        <v>11</v>
      </c>
      <c r="L155" s="308">
        <f>IFERROR(__xludf.DUMMYFUNCTION("""COMPUTED_VALUE"""),2009.0)</f>
        <v>2009</v>
      </c>
      <c r="M155" s="308" t="s">
        <v>831</v>
      </c>
      <c r="N155" s="308"/>
      <c r="O155" s="312" t="s">
        <v>34485</v>
      </c>
      <c r="P155" s="308" t="s">
        <v>148</v>
      </c>
      <c r="Q155" s="308"/>
      <c r="R155" s="308"/>
      <c r="S155" s="308" t="s">
        <v>49</v>
      </c>
      <c r="T155" s="308" t="s">
        <v>51</v>
      </c>
      <c r="U155" s="308"/>
      <c r="V155" s="312"/>
    </row>
    <row r="156">
      <c r="A156" s="308">
        <v>155.0</v>
      </c>
      <c r="B156" s="308" t="s">
        <v>34486</v>
      </c>
      <c r="C156" s="308" t="s">
        <v>833</v>
      </c>
      <c r="D156" s="308">
        <f>IFERROR(__xludf.DUMMYFUNCTION("SPLIT(C156,""-"")"),132.0)</f>
        <v>132</v>
      </c>
      <c r="E156" s="308" t="str">
        <f>IFERROR(__xludf.DUMMYFUNCTION("""COMPUTED_VALUE"""),"P")</f>
        <v>P</v>
      </c>
      <c r="F156" s="312" t="s">
        <v>37</v>
      </c>
      <c r="G156" s="308" t="s">
        <v>34216</v>
      </c>
      <c r="H156" s="308" t="s">
        <v>834</v>
      </c>
      <c r="I156" s="314">
        <v>40523.0</v>
      </c>
      <c r="J156" s="308">
        <f>IFERROR(__xludf.DUMMYFUNCTION("SPLIT(I156,""/"")"),11.0)</f>
        <v>11</v>
      </c>
      <c r="K156" s="308">
        <f>IFERROR(__xludf.DUMMYFUNCTION("""COMPUTED_VALUE"""),12.0)</f>
        <v>12</v>
      </c>
      <c r="L156" s="308">
        <f>IFERROR(__xludf.DUMMYFUNCTION("""COMPUTED_VALUE"""),2010.0)</f>
        <v>2010</v>
      </c>
      <c r="M156" s="308" t="s">
        <v>835</v>
      </c>
      <c r="N156" s="308"/>
      <c r="O156" s="312" t="s">
        <v>34487</v>
      </c>
      <c r="P156" s="308" t="s">
        <v>837</v>
      </c>
      <c r="Q156" s="308"/>
      <c r="R156" s="308"/>
      <c r="S156" s="308" t="s">
        <v>81</v>
      </c>
      <c r="T156" s="311" t="s">
        <v>75</v>
      </c>
      <c r="U156" s="308" t="s">
        <v>137</v>
      </c>
      <c r="V156" s="312"/>
    </row>
    <row r="157">
      <c r="A157" s="308">
        <v>156.0</v>
      </c>
      <c r="B157" s="308" t="s">
        <v>34488</v>
      </c>
      <c r="C157" s="308" t="s">
        <v>34489</v>
      </c>
      <c r="D157" s="308">
        <f>IFERROR(__xludf.DUMMYFUNCTION("SPLIT(C157,""-"")"),133.0)</f>
        <v>133</v>
      </c>
      <c r="E157" s="311"/>
      <c r="F157" s="309" t="s">
        <v>34</v>
      </c>
      <c r="G157" s="308" t="s">
        <v>34216</v>
      </c>
      <c r="H157" s="308" t="s">
        <v>34490</v>
      </c>
      <c r="I157" s="310">
        <v>40204.0</v>
      </c>
      <c r="J157" s="308">
        <f>IFERROR(__xludf.DUMMYFUNCTION("SPLIT(I157,""/"")"),26.0)</f>
        <v>26</v>
      </c>
      <c r="K157" s="308">
        <f>IFERROR(__xludf.DUMMYFUNCTION("""COMPUTED_VALUE"""),1.0)</f>
        <v>1</v>
      </c>
      <c r="L157" s="308">
        <f>IFERROR(__xludf.DUMMYFUNCTION("""COMPUTED_VALUE"""),2010.0)</f>
        <v>2010</v>
      </c>
      <c r="M157" s="308" t="s">
        <v>839</v>
      </c>
      <c r="N157" s="308"/>
      <c r="O157" s="312" t="s">
        <v>34491</v>
      </c>
      <c r="P157" s="308" t="s">
        <v>841</v>
      </c>
      <c r="Q157" s="308"/>
      <c r="R157" s="308"/>
      <c r="S157" s="308" t="s">
        <v>49</v>
      </c>
      <c r="T157" s="311" t="s">
        <v>77</v>
      </c>
      <c r="U157" s="308" t="s">
        <v>137</v>
      </c>
      <c r="V157" s="312"/>
    </row>
    <row r="158">
      <c r="A158" s="308">
        <v>157.0</v>
      </c>
      <c r="B158" s="312" t="s">
        <v>34492</v>
      </c>
      <c r="C158" s="312" t="s">
        <v>842</v>
      </c>
      <c r="D158" s="308">
        <f>IFERROR(__xludf.DUMMYFUNCTION("SPLIT(C158,""-"")"),134.0)</f>
        <v>134</v>
      </c>
      <c r="E158" s="312" t="str">
        <f>IFERROR(__xludf.DUMMYFUNCTION("""COMPUTED_VALUE"""),"K")</f>
        <v>K</v>
      </c>
      <c r="F158" s="309" t="s">
        <v>34</v>
      </c>
      <c r="G158" s="312" t="s">
        <v>34216</v>
      </c>
      <c r="H158" s="312" t="s">
        <v>843</v>
      </c>
      <c r="I158" s="310">
        <v>40196.0</v>
      </c>
      <c r="J158" s="308">
        <f>IFERROR(__xludf.DUMMYFUNCTION("SPLIT(I158,""/"")"),18.0)</f>
        <v>18</v>
      </c>
      <c r="K158" s="312">
        <f>IFERROR(__xludf.DUMMYFUNCTION("""COMPUTED_VALUE"""),1.0)</f>
        <v>1</v>
      </c>
      <c r="L158" s="312">
        <f>IFERROR(__xludf.DUMMYFUNCTION("""COMPUTED_VALUE"""),2010.0)</f>
        <v>2010</v>
      </c>
      <c r="M158" s="312" t="s">
        <v>844</v>
      </c>
      <c r="N158" s="312" t="s">
        <v>34493</v>
      </c>
      <c r="O158" s="312" t="s">
        <v>34494</v>
      </c>
      <c r="P158" s="312"/>
      <c r="Q158" s="308"/>
      <c r="R158" s="308"/>
      <c r="S158" s="308" t="s">
        <v>79</v>
      </c>
      <c r="T158" s="308" t="s">
        <v>79</v>
      </c>
      <c r="U158" s="308" t="s">
        <v>282</v>
      </c>
      <c r="V158" s="312"/>
    </row>
    <row r="159">
      <c r="A159" s="308">
        <v>158.0</v>
      </c>
      <c r="B159" s="312" t="s">
        <v>34495</v>
      </c>
      <c r="C159" s="312" t="s">
        <v>846</v>
      </c>
      <c r="D159" s="308">
        <f>IFERROR(__xludf.DUMMYFUNCTION("SPLIT(C159,""-"")"),135.0)</f>
        <v>135</v>
      </c>
      <c r="E159" s="312" t="str">
        <f>IFERROR(__xludf.DUMMYFUNCTION("""COMPUTED_VALUE"""),"P")</f>
        <v>P</v>
      </c>
      <c r="F159" s="312" t="s">
        <v>37</v>
      </c>
      <c r="G159" s="312" t="s">
        <v>34216</v>
      </c>
      <c r="H159" s="312" t="s">
        <v>847</v>
      </c>
      <c r="I159" s="310">
        <v>40380.0</v>
      </c>
      <c r="J159" s="308">
        <f>IFERROR(__xludf.DUMMYFUNCTION("SPLIT(I159,""/"")"),21.0)</f>
        <v>21</v>
      </c>
      <c r="K159" s="312">
        <f>IFERROR(__xludf.DUMMYFUNCTION("""COMPUTED_VALUE"""),7.0)</f>
        <v>7</v>
      </c>
      <c r="L159" s="312">
        <f>IFERROR(__xludf.DUMMYFUNCTION("""COMPUTED_VALUE"""),2010.0)</f>
        <v>2010</v>
      </c>
      <c r="M159" s="312" t="s">
        <v>848</v>
      </c>
      <c r="N159" s="312"/>
      <c r="O159" s="312" t="s">
        <v>34496</v>
      </c>
      <c r="P159" s="308" t="s">
        <v>850</v>
      </c>
      <c r="Q159" s="308"/>
      <c r="R159" s="308"/>
      <c r="S159" s="311" t="s">
        <v>100</v>
      </c>
      <c r="T159" s="311" t="s">
        <v>34208</v>
      </c>
      <c r="U159" s="308" t="s">
        <v>149</v>
      </c>
      <c r="V159" s="312"/>
    </row>
    <row r="160">
      <c r="A160" s="308">
        <v>159.0</v>
      </c>
      <c r="B160" s="308" t="s">
        <v>34497</v>
      </c>
      <c r="C160" s="308" t="s">
        <v>851</v>
      </c>
      <c r="D160" s="308">
        <f>IFERROR(__xludf.DUMMYFUNCTION("SPLIT(C160,""-"")"),136.0)</f>
        <v>136</v>
      </c>
      <c r="E160" s="308" t="str">
        <f>IFERROR(__xludf.DUMMYFUNCTION("""COMPUTED_VALUE"""),"P")</f>
        <v>P</v>
      </c>
      <c r="F160" s="312" t="s">
        <v>37</v>
      </c>
      <c r="G160" s="308" t="s">
        <v>34216</v>
      </c>
      <c r="H160" s="308" t="s">
        <v>852</v>
      </c>
      <c r="I160" s="310">
        <v>40458.0</v>
      </c>
      <c r="J160" s="308">
        <f>IFERROR(__xludf.DUMMYFUNCTION("SPLIT(I160,""/"")"),7.0)</f>
        <v>7</v>
      </c>
      <c r="K160" s="308">
        <f>IFERROR(__xludf.DUMMYFUNCTION("""COMPUTED_VALUE"""),10.0)</f>
        <v>10</v>
      </c>
      <c r="L160" s="308">
        <f>IFERROR(__xludf.DUMMYFUNCTION("""COMPUTED_VALUE"""),2010.0)</f>
        <v>2010</v>
      </c>
      <c r="M160" s="308" t="s">
        <v>853</v>
      </c>
      <c r="N160" s="308"/>
      <c r="O160" s="312" t="s">
        <v>34498</v>
      </c>
      <c r="P160" s="308" t="s">
        <v>34212</v>
      </c>
      <c r="Q160" s="308"/>
      <c r="R160" s="308"/>
      <c r="S160" s="315" t="s">
        <v>100</v>
      </c>
      <c r="T160" s="311" t="s">
        <v>34208</v>
      </c>
      <c r="U160" s="308" t="s">
        <v>149</v>
      </c>
      <c r="V160" s="312"/>
    </row>
    <row r="161">
      <c r="A161" s="308">
        <v>160.0</v>
      </c>
      <c r="B161" s="308" t="s">
        <v>34499</v>
      </c>
      <c r="C161" s="308" t="s">
        <v>855</v>
      </c>
      <c r="D161" s="308">
        <f>IFERROR(__xludf.DUMMYFUNCTION("SPLIT(C161,""-"")"),137.0)</f>
        <v>137</v>
      </c>
      <c r="E161" s="308" t="str">
        <f>IFERROR(__xludf.DUMMYFUNCTION("""COMPUTED_VALUE"""),"K")</f>
        <v>K</v>
      </c>
      <c r="F161" s="309" t="s">
        <v>34</v>
      </c>
      <c r="G161" s="308" t="s">
        <v>34216</v>
      </c>
      <c r="H161" s="308" t="s">
        <v>856</v>
      </c>
      <c r="I161" s="310">
        <v>39994.0</v>
      </c>
      <c r="J161" s="308">
        <f>IFERROR(__xludf.DUMMYFUNCTION("SPLIT(I161,""/"")"),30.0)</f>
        <v>30</v>
      </c>
      <c r="K161" s="308">
        <f>IFERROR(__xludf.DUMMYFUNCTION("""COMPUTED_VALUE"""),6.0)</f>
        <v>6</v>
      </c>
      <c r="L161" s="308">
        <f>IFERROR(__xludf.DUMMYFUNCTION("""COMPUTED_VALUE"""),2009.0)</f>
        <v>2009</v>
      </c>
      <c r="M161" s="308" t="s">
        <v>34500</v>
      </c>
      <c r="N161" s="308"/>
      <c r="O161" s="308" t="s">
        <v>858</v>
      </c>
      <c r="P161" s="308" t="s">
        <v>34501</v>
      </c>
      <c r="Q161" s="308"/>
      <c r="R161" s="308"/>
      <c r="S161" s="315" t="s">
        <v>100</v>
      </c>
      <c r="T161" s="311" t="s">
        <v>34208</v>
      </c>
      <c r="U161" s="308" t="s">
        <v>125</v>
      </c>
      <c r="V161" s="312"/>
    </row>
    <row r="162">
      <c r="A162" s="308">
        <v>161.0</v>
      </c>
      <c r="B162" s="308" t="s">
        <v>34502</v>
      </c>
      <c r="C162" s="308" t="s">
        <v>859</v>
      </c>
      <c r="D162" s="308">
        <f>IFERROR(__xludf.DUMMYFUNCTION("SPLIT(C162,""-"")"),138.0)</f>
        <v>138</v>
      </c>
      <c r="E162" s="308" t="str">
        <f>IFERROR(__xludf.DUMMYFUNCTION("""COMPUTED_VALUE"""),"K")</f>
        <v>K</v>
      </c>
      <c r="F162" s="309" t="s">
        <v>34</v>
      </c>
      <c r="G162" s="308" t="s">
        <v>34216</v>
      </c>
      <c r="H162" s="308" t="s">
        <v>860</v>
      </c>
      <c r="I162" s="310">
        <v>39318.0</v>
      </c>
      <c r="J162" s="308">
        <f>IFERROR(__xludf.DUMMYFUNCTION("SPLIT(I162,""/"")"),24.0)</f>
        <v>24</v>
      </c>
      <c r="K162" s="308">
        <f>IFERROR(__xludf.DUMMYFUNCTION("""COMPUTED_VALUE"""),8.0)</f>
        <v>8</v>
      </c>
      <c r="L162" s="308">
        <f>IFERROR(__xludf.DUMMYFUNCTION("""COMPUTED_VALUE"""),2007.0)</f>
        <v>2007</v>
      </c>
      <c r="M162" s="308" t="s">
        <v>861</v>
      </c>
      <c r="N162" s="308"/>
      <c r="O162" s="312" t="s">
        <v>34503</v>
      </c>
      <c r="P162" s="308" t="s">
        <v>148</v>
      </c>
      <c r="Q162" s="308"/>
      <c r="R162" s="308"/>
      <c r="S162" s="308" t="s">
        <v>49</v>
      </c>
      <c r="T162" s="308" t="s">
        <v>51</v>
      </c>
      <c r="U162" s="308"/>
      <c r="V162" s="312"/>
    </row>
    <row r="163">
      <c r="A163" s="308">
        <v>162.0</v>
      </c>
      <c r="B163" s="308" t="s">
        <v>34504</v>
      </c>
      <c r="C163" s="308" t="s">
        <v>34505</v>
      </c>
      <c r="D163" s="308">
        <f>IFERROR(__xludf.DUMMYFUNCTION("SPLIT(C163,""-"")"),139.0)</f>
        <v>139</v>
      </c>
      <c r="E163" s="311"/>
      <c r="F163" s="309" t="s">
        <v>23</v>
      </c>
      <c r="G163" s="308" t="s">
        <v>34216</v>
      </c>
      <c r="H163" s="308" t="s">
        <v>863</v>
      </c>
      <c r="I163" s="310">
        <v>38749.0</v>
      </c>
      <c r="J163" s="308">
        <f>IFERROR(__xludf.DUMMYFUNCTION("SPLIT(I163,""/"")"),1.0)</f>
        <v>1</v>
      </c>
      <c r="K163" s="308">
        <f>IFERROR(__xludf.DUMMYFUNCTION("""COMPUTED_VALUE"""),2.0)</f>
        <v>2</v>
      </c>
      <c r="L163" s="308">
        <f>IFERROR(__xludf.DUMMYFUNCTION("""COMPUTED_VALUE"""),2006.0)</f>
        <v>2006</v>
      </c>
      <c r="M163" s="308" t="s">
        <v>864</v>
      </c>
      <c r="N163" s="308"/>
      <c r="O163" s="312" t="s">
        <v>635</v>
      </c>
      <c r="P163" s="308" t="s">
        <v>865</v>
      </c>
      <c r="Q163" s="308"/>
      <c r="R163" s="308"/>
      <c r="S163" s="308" t="s">
        <v>49</v>
      </c>
      <c r="T163" s="311" t="s">
        <v>67</v>
      </c>
      <c r="U163" s="308"/>
      <c r="V163" s="312"/>
    </row>
    <row r="164">
      <c r="A164" s="308">
        <v>163.0</v>
      </c>
      <c r="B164" s="308" t="s">
        <v>34506</v>
      </c>
      <c r="C164" s="308" t="s">
        <v>866</v>
      </c>
      <c r="D164" s="308">
        <f>IFERROR(__xludf.DUMMYFUNCTION("SPLIT(C164,""-"")"),140.0)</f>
        <v>140</v>
      </c>
      <c r="E164" s="308" t="str">
        <f>IFERROR(__xludf.DUMMYFUNCTION("""COMPUTED_VALUE"""),"K")</f>
        <v>K</v>
      </c>
      <c r="F164" s="309" t="s">
        <v>34</v>
      </c>
      <c r="G164" s="308" t="s">
        <v>34216</v>
      </c>
      <c r="H164" s="308" t="s">
        <v>867</v>
      </c>
      <c r="I164" s="314">
        <v>39376.0</v>
      </c>
      <c r="J164" s="308">
        <f>IFERROR(__xludf.DUMMYFUNCTION("SPLIT(I164,""/"")"),21.0)</f>
        <v>21</v>
      </c>
      <c r="K164" s="308">
        <f>IFERROR(__xludf.DUMMYFUNCTION("""COMPUTED_VALUE"""),10.0)</f>
        <v>10</v>
      </c>
      <c r="L164" s="308">
        <f>IFERROR(__xludf.DUMMYFUNCTION("""COMPUTED_VALUE"""),2007.0)</f>
        <v>2007</v>
      </c>
      <c r="M164" s="308" t="s">
        <v>34507</v>
      </c>
      <c r="N164" s="308" t="s">
        <v>869</v>
      </c>
      <c r="O164" s="312" t="s">
        <v>34508</v>
      </c>
      <c r="P164" s="308" t="s">
        <v>871</v>
      </c>
      <c r="Q164" s="308"/>
      <c r="R164" s="308"/>
      <c r="S164" s="308" t="s">
        <v>49</v>
      </c>
      <c r="T164" s="311" t="s">
        <v>51</v>
      </c>
      <c r="U164" s="308" t="s">
        <v>872</v>
      </c>
      <c r="V164" s="312"/>
    </row>
    <row r="165">
      <c r="A165" s="308">
        <v>164.0</v>
      </c>
      <c r="B165" s="308" t="s">
        <v>34509</v>
      </c>
      <c r="C165" s="308" t="s">
        <v>873</v>
      </c>
      <c r="D165" s="308">
        <f>IFERROR(__xludf.DUMMYFUNCTION("SPLIT(C165,""-"")"),141.0)</f>
        <v>141</v>
      </c>
      <c r="E165" s="308" t="str">
        <f>IFERROR(__xludf.DUMMYFUNCTION("""COMPUTED_VALUE"""),"K")</f>
        <v>K</v>
      </c>
      <c r="F165" s="309" t="s">
        <v>34</v>
      </c>
      <c r="G165" s="308" t="s">
        <v>34216</v>
      </c>
      <c r="H165" s="308" t="s">
        <v>34510</v>
      </c>
      <c r="I165" s="314">
        <v>39797.0</v>
      </c>
      <c r="J165" s="308">
        <f>IFERROR(__xludf.DUMMYFUNCTION("SPLIT(I165,""/"")"),15.0)</f>
        <v>15</v>
      </c>
      <c r="K165" s="308">
        <f>IFERROR(__xludf.DUMMYFUNCTION("""COMPUTED_VALUE"""),12.0)</f>
        <v>12</v>
      </c>
      <c r="L165" s="308">
        <f>IFERROR(__xludf.DUMMYFUNCTION("""COMPUTED_VALUE"""),2008.0)</f>
        <v>2008</v>
      </c>
      <c r="M165" s="308" t="s">
        <v>875</v>
      </c>
      <c r="N165" s="308"/>
      <c r="O165" s="312" t="s">
        <v>635</v>
      </c>
      <c r="P165" s="308" t="s">
        <v>876</v>
      </c>
      <c r="Q165" s="308"/>
      <c r="R165" s="308"/>
      <c r="S165" s="308" t="s">
        <v>81</v>
      </c>
      <c r="T165" s="308" t="s">
        <v>75</v>
      </c>
      <c r="U165" s="308"/>
      <c r="V165" s="312"/>
    </row>
    <row r="166">
      <c r="A166" s="308">
        <v>165.0</v>
      </c>
      <c r="B166" s="308" t="s">
        <v>34511</v>
      </c>
      <c r="C166" s="308" t="s">
        <v>34512</v>
      </c>
      <c r="D166" s="308">
        <f>IFERROR(__xludf.DUMMYFUNCTION("SPLIT(C166,""-"")"),142.0)</f>
        <v>142</v>
      </c>
      <c r="E166" s="311"/>
      <c r="F166" s="309" t="s">
        <v>34</v>
      </c>
      <c r="G166" s="308" t="s">
        <v>34216</v>
      </c>
      <c r="H166" s="308" t="s">
        <v>877</v>
      </c>
      <c r="I166" s="310">
        <v>40255.0</v>
      </c>
      <c r="J166" s="308">
        <f>IFERROR(__xludf.DUMMYFUNCTION("SPLIT(I166,""/"")"),18.0)</f>
        <v>18</v>
      </c>
      <c r="K166" s="308">
        <f>IFERROR(__xludf.DUMMYFUNCTION("""COMPUTED_VALUE"""),3.0)</f>
        <v>3</v>
      </c>
      <c r="L166" s="308">
        <f>IFERROR(__xludf.DUMMYFUNCTION("""COMPUTED_VALUE"""),2010.0)</f>
        <v>2010</v>
      </c>
      <c r="M166" s="308" t="s">
        <v>878</v>
      </c>
      <c r="N166" s="308"/>
      <c r="O166" s="312" t="s">
        <v>635</v>
      </c>
      <c r="P166" s="308" t="s">
        <v>879</v>
      </c>
      <c r="Q166" s="308"/>
      <c r="R166" s="308"/>
      <c r="S166" s="308" t="s">
        <v>81</v>
      </c>
      <c r="T166" s="308" t="s">
        <v>75</v>
      </c>
      <c r="U166" s="308"/>
      <c r="V166" s="312"/>
    </row>
    <row r="167">
      <c r="A167" s="308">
        <v>166.0</v>
      </c>
      <c r="B167" s="308" t="s">
        <v>34513</v>
      </c>
      <c r="C167" s="308" t="s">
        <v>880</v>
      </c>
      <c r="D167" s="308">
        <f>IFERROR(__xludf.DUMMYFUNCTION("SPLIT(C167,""-"")"),143.0)</f>
        <v>143</v>
      </c>
      <c r="E167" s="308" t="str">
        <f>IFERROR(__xludf.DUMMYFUNCTION("""COMPUTED_VALUE"""),"K")</f>
        <v>K</v>
      </c>
      <c r="F167" s="309" t="s">
        <v>34</v>
      </c>
      <c r="G167" s="308" t="s">
        <v>34216</v>
      </c>
      <c r="H167" s="308" t="s">
        <v>881</v>
      </c>
      <c r="I167" s="310">
        <v>40152.0</v>
      </c>
      <c r="J167" s="308">
        <f>IFERROR(__xludf.DUMMYFUNCTION("SPLIT(I167,""/"")"),5.0)</f>
        <v>5</v>
      </c>
      <c r="K167" s="308">
        <f>IFERROR(__xludf.DUMMYFUNCTION("""COMPUTED_VALUE"""),12.0)</f>
        <v>12</v>
      </c>
      <c r="L167" s="308">
        <f>IFERROR(__xludf.DUMMYFUNCTION("""COMPUTED_VALUE"""),2009.0)</f>
        <v>2009</v>
      </c>
      <c r="M167" s="308" t="s">
        <v>882</v>
      </c>
      <c r="N167" s="308"/>
      <c r="O167" s="312" t="s">
        <v>34514</v>
      </c>
      <c r="P167" s="308" t="s">
        <v>34212</v>
      </c>
      <c r="Q167" s="308"/>
      <c r="R167" s="308"/>
      <c r="S167" s="315" t="s">
        <v>100</v>
      </c>
      <c r="T167" s="311" t="s">
        <v>34208</v>
      </c>
      <c r="U167" s="308" t="s">
        <v>884</v>
      </c>
      <c r="V167" s="312"/>
    </row>
    <row r="168">
      <c r="A168" s="308">
        <v>167.0</v>
      </c>
      <c r="B168" s="308" t="s">
        <v>34515</v>
      </c>
      <c r="C168" s="308" t="s">
        <v>885</v>
      </c>
      <c r="D168" s="308">
        <f>IFERROR(__xludf.DUMMYFUNCTION("SPLIT(C168,""-"")"),144.0)</f>
        <v>144</v>
      </c>
      <c r="E168" s="308" t="str">
        <f>IFERROR(__xludf.DUMMYFUNCTION("""COMPUTED_VALUE"""),"K")</f>
        <v>K</v>
      </c>
      <c r="F168" s="309" t="s">
        <v>34</v>
      </c>
      <c r="G168" s="308" t="s">
        <v>34216</v>
      </c>
      <c r="H168" s="308" t="s">
        <v>886</v>
      </c>
      <c r="I168" s="310">
        <v>40262.0</v>
      </c>
      <c r="J168" s="308">
        <f>IFERROR(__xludf.DUMMYFUNCTION("SPLIT(I168,""/"")"),25.0)</f>
        <v>25</v>
      </c>
      <c r="K168" s="308">
        <f>IFERROR(__xludf.DUMMYFUNCTION("""COMPUTED_VALUE"""),3.0)</f>
        <v>3</v>
      </c>
      <c r="L168" s="308">
        <f>IFERROR(__xludf.DUMMYFUNCTION("""COMPUTED_VALUE"""),2010.0)</f>
        <v>2010</v>
      </c>
      <c r="M168" s="308" t="s">
        <v>887</v>
      </c>
      <c r="N168" s="308"/>
      <c r="O168" s="312" t="s">
        <v>34516</v>
      </c>
      <c r="P168" s="308" t="s">
        <v>889</v>
      </c>
      <c r="Q168" s="308"/>
      <c r="R168" s="308"/>
      <c r="S168" s="308" t="s">
        <v>81</v>
      </c>
      <c r="T168" s="308" t="s">
        <v>75</v>
      </c>
      <c r="U168" s="308"/>
      <c r="V168" s="312"/>
    </row>
    <row r="169">
      <c r="A169" s="308">
        <v>168.0</v>
      </c>
      <c r="B169" s="308" t="s">
        <v>34517</v>
      </c>
      <c r="C169" s="308" t="s">
        <v>890</v>
      </c>
      <c r="D169" s="308">
        <f>IFERROR(__xludf.DUMMYFUNCTION("SPLIT(C169,""-"")"),145.0)</f>
        <v>145</v>
      </c>
      <c r="E169" s="308" t="str">
        <f>IFERROR(__xludf.DUMMYFUNCTION("""COMPUTED_VALUE"""),"K")</f>
        <v>K</v>
      </c>
      <c r="F169" s="309" t="s">
        <v>34</v>
      </c>
      <c r="G169" s="308" t="s">
        <v>34216</v>
      </c>
      <c r="H169" s="308" t="s">
        <v>891</v>
      </c>
      <c r="I169" s="314">
        <v>40177.0</v>
      </c>
      <c r="J169" s="308">
        <f>IFERROR(__xludf.DUMMYFUNCTION("SPLIT(I169,""/"")"),30.0)</f>
        <v>30</v>
      </c>
      <c r="K169" s="308">
        <f>IFERROR(__xludf.DUMMYFUNCTION("""COMPUTED_VALUE"""),12.0)</f>
        <v>12</v>
      </c>
      <c r="L169" s="308">
        <f>IFERROR(__xludf.DUMMYFUNCTION("""COMPUTED_VALUE"""),2009.0)</f>
        <v>2009</v>
      </c>
      <c r="M169" s="308" t="s">
        <v>892</v>
      </c>
      <c r="N169" s="308"/>
      <c r="O169" s="312" t="s">
        <v>34518</v>
      </c>
      <c r="P169" s="308" t="s">
        <v>894</v>
      </c>
      <c r="Q169" s="308"/>
      <c r="R169" s="308"/>
      <c r="S169" s="308" t="s">
        <v>81</v>
      </c>
      <c r="T169" s="308" t="s">
        <v>73</v>
      </c>
      <c r="U169" s="308"/>
      <c r="V169" s="312"/>
    </row>
    <row r="170">
      <c r="A170" s="308">
        <v>169.0</v>
      </c>
      <c r="B170" s="308" t="s">
        <v>34519</v>
      </c>
      <c r="C170" s="308" t="s">
        <v>895</v>
      </c>
      <c r="D170" s="308">
        <f>IFERROR(__xludf.DUMMYFUNCTION("SPLIT(C170,""-"")"),146.0)</f>
        <v>146</v>
      </c>
      <c r="E170" s="308" t="str">
        <f>IFERROR(__xludf.DUMMYFUNCTION("""COMPUTED_VALUE"""),"K")</f>
        <v>K</v>
      </c>
      <c r="F170" s="309" t="s">
        <v>34</v>
      </c>
      <c r="G170" s="308" t="s">
        <v>34216</v>
      </c>
      <c r="H170" s="308" t="s">
        <v>896</v>
      </c>
      <c r="I170" s="314">
        <v>40176.0</v>
      </c>
      <c r="J170" s="308">
        <f>IFERROR(__xludf.DUMMYFUNCTION("SPLIT(I170,""/"")"),29.0)</f>
        <v>29</v>
      </c>
      <c r="K170" s="308">
        <f>IFERROR(__xludf.DUMMYFUNCTION("""COMPUTED_VALUE"""),12.0)</f>
        <v>12</v>
      </c>
      <c r="L170" s="308">
        <f>IFERROR(__xludf.DUMMYFUNCTION("""COMPUTED_VALUE"""),2009.0)</f>
        <v>2009</v>
      </c>
      <c r="M170" s="308" t="s">
        <v>892</v>
      </c>
      <c r="N170" s="308"/>
      <c r="O170" s="312" t="s">
        <v>34520</v>
      </c>
      <c r="P170" s="308" t="s">
        <v>898</v>
      </c>
      <c r="Q170" s="308"/>
      <c r="R170" s="308"/>
      <c r="S170" s="308" t="s">
        <v>81</v>
      </c>
      <c r="T170" s="311" t="s">
        <v>73</v>
      </c>
      <c r="U170" s="308"/>
      <c r="V170" s="312"/>
    </row>
    <row r="171">
      <c r="A171" s="308">
        <v>170.0</v>
      </c>
      <c r="B171" s="308" t="s">
        <v>34521</v>
      </c>
      <c r="C171" s="308" t="s">
        <v>34522</v>
      </c>
      <c r="D171" s="308">
        <f>IFERROR(__xludf.DUMMYFUNCTION("SPLIT(C171,""-"")"),147.0)</f>
        <v>147</v>
      </c>
      <c r="E171" s="311"/>
      <c r="F171" s="309" t="s">
        <v>34</v>
      </c>
      <c r="G171" s="308" t="s">
        <v>34216</v>
      </c>
      <c r="H171" s="308" t="s">
        <v>899</v>
      </c>
      <c r="I171" s="310">
        <v>39967.0</v>
      </c>
      <c r="J171" s="308">
        <f>IFERROR(__xludf.DUMMYFUNCTION("SPLIT(I171,""/"")"),3.0)</f>
        <v>3</v>
      </c>
      <c r="K171" s="308">
        <f>IFERROR(__xludf.DUMMYFUNCTION("""COMPUTED_VALUE"""),6.0)</f>
        <v>6</v>
      </c>
      <c r="L171" s="308">
        <f>IFERROR(__xludf.DUMMYFUNCTION("""COMPUTED_VALUE"""),2009.0)</f>
        <v>2009</v>
      </c>
      <c r="M171" s="308" t="s">
        <v>900</v>
      </c>
      <c r="N171" s="308"/>
      <c r="O171" s="312" t="s">
        <v>635</v>
      </c>
      <c r="P171" s="308" t="s">
        <v>901</v>
      </c>
      <c r="Q171" s="308"/>
      <c r="R171" s="308"/>
      <c r="S171" s="308" t="s">
        <v>81</v>
      </c>
      <c r="T171" s="308" t="s">
        <v>75</v>
      </c>
      <c r="U171" s="308"/>
      <c r="V171" s="312"/>
    </row>
    <row r="172">
      <c r="A172" s="308">
        <v>171.0</v>
      </c>
      <c r="B172" s="308" t="s">
        <v>34523</v>
      </c>
      <c r="C172" s="308" t="s">
        <v>902</v>
      </c>
      <c r="D172" s="308">
        <f>IFERROR(__xludf.DUMMYFUNCTION("SPLIT(C172,""-"")"),148.0)</f>
        <v>148</v>
      </c>
      <c r="E172" s="308" t="str">
        <f>IFERROR(__xludf.DUMMYFUNCTION("""COMPUTED_VALUE"""),"K")</f>
        <v>K</v>
      </c>
      <c r="F172" s="309" t="s">
        <v>34</v>
      </c>
      <c r="G172" s="308" t="s">
        <v>34216</v>
      </c>
      <c r="H172" s="308" t="s">
        <v>903</v>
      </c>
      <c r="I172" s="310">
        <v>39827.0</v>
      </c>
      <c r="J172" s="308">
        <f>IFERROR(__xludf.DUMMYFUNCTION("SPLIT(I172,""/"")"),14.0)</f>
        <v>14</v>
      </c>
      <c r="K172" s="308">
        <f>IFERROR(__xludf.DUMMYFUNCTION("""COMPUTED_VALUE"""),1.0)</f>
        <v>1</v>
      </c>
      <c r="L172" s="308">
        <f>IFERROR(__xludf.DUMMYFUNCTION("""COMPUTED_VALUE"""),2009.0)</f>
        <v>2009</v>
      </c>
      <c r="M172" s="308" t="s">
        <v>904</v>
      </c>
      <c r="N172" s="308"/>
      <c r="O172" s="312" t="s">
        <v>34524</v>
      </c>
      <c r="P172" s="308" t="s">
        <v>622</v>
      </c>
      <c r="Q172" s="308"/>
      <c r="R172" s="308"/>
      <c r="S172" s="308" t="s">
        <v>49</v>
      </c>
      <c r="T172" s="308" t="s">
        <v>34409</v>
      </c>
      <c r="U172" s="308"/>
      <c r="V172" s="312"/>
    </row>
    <row r="173">
      <c r="A173" s="308">
        <v>172.0</v>
      </c>
      <c r="B173" s="308" t="s">
        <v>34525</v>
      </c>
      <c r="C173" s="308" t="s">
        <v>34526</v>
      </c>
      <c r="D173" s="308">
        <f>IFERROR(__xludf.DUMMYFUNCTION("SPLIT(C173,""-"")"),149.0)</f>
        <v>149</v>
      </c>
      <c r="E173" s="311"/>
      <c r="F173" s="309" t="s">
        <v>34</v>
      </c>
      <c r="G173" s="308" t="s">
        <v>34216</v>
      </c>
      <c r="H173" s="308" t="s">
        <v>906</v>
      </c>
      <c r="I173" s="310">
        <v>39979.0</v>
      </c>
      <c r="J173" s="308">
        <f>IFERROR(__xludf.DUMMYFUNCTION("SPLIT(I173,""/"")"),15.0)</f>
        <v>15</v>
      </c>
      <c r="K173" s="308">
        <f>IFERROR(__xludf.DUMMYFUNCTION("""COMPUTED_VALUE"""),6.0)</f>
        <v>6</v>
      </c>
      <c r="L173" s="308">
        <f>IFERROR(__xludf.DUMMYFUNCTION("""COMPUTED_VALUE"""),2009.0)</f>
        <v>2009</v>
      </c>
      <c r="M173" s="308" t="s">
        <v>907</v>
      </c>
      <c r="N173" s="308"/>
      <c r="O173" s="312" t="s">
        <v>635</v>
      </c>
      <c r="P173" s="308" t="s">
        <v>908</v>
      </c>
      <c r="Q173" s="308"/>
      <c r="R173" s="308"/>
      <c r="S173" s="308" t="s">
        <v>81</v>
      </c>
      <c r="T173" s="308" t="s">
        <v>75</v>
      </c>
      <c r="U173" s="308"/>
      <c r="V173" s="312"/>
    </row>
    <row r="174">
      <c r="A174" s="308">
        <v>173.0</v>
      </c>
      <c r="B174" s="308"/>
      <c r="C174" s="308" t="s">
        <v>909</v>
      </c>
      <c r="D174" s="308">
        <f>IFERROR(__xludf.DUMMYFUNCTION("SPLIT(C174,""-"")"),150.0)</f>
        <v>150</v>
      </c>
      <c r="E174" s="308" t="str">
        <f>IFERROR(__xludf.DUMMYFUNCTION("""COMPUTED_VALUE"""),"S")</f>
        <v>S</v>
      </c>
      <c r="F174" s="312" t="s">
        <v>39</v>
      </c>
      <c r="G174" s="308"/>
      <c r="H174" s="308" t="s">
        <v>910</v>
      </c>
      <c r="I174" s="310">
        <v>41534.0</v>
      </c>
      <c r="J174" s="308">
        <f>IFERROR(__xludf.DUMMYFUNCTION("SPLIT(I174,""/"")"),17.0)</f>
        <v>17</v>
      </c>
      <c r="K174" s="308">
        <f>IFERROR(__xludf.DUMMYFUNCTION("""COMPUTED_VALUE"""),9.0)</f>
        <v>9</v>
      </c>
      <c r="L174" s="308">
        <f>IFERROR(__xludf.DUMMYFUNCTION("""COMPUTED_VALUE"""),2013.0)</f>
        <v>2013</v>
      </c>
      <c r="M174" s="308" t="s">
        <v>911</v>
      </c>
      <c r="N174" s="308"/>
      <c r="O174" s="308"/>
      <c r="P174" s="308" t="s">
        <v>34527</v>
      </c>
      <c r="Q174" s="308"/>
      <c r="R174" s="308"/>
      <c r="S174" s="308" t="s">
        <v>49</v>
      </c>
      <c r="T174" s="311" t="s">
        <v>51</v>
      </c>
      <c r="U174" s="308" t="s">
        <v>166</v>
      </c>
      <c r="V174" s="308"/>
    </row>
    <row r="175">
      <c r="A175" s="308">
        <v>174.0</v>
      </c>
      <c r="B175" s="308" t="s">
        <v>34528</v>
      </c>
      <c r="C175" s="308" t="s">
        <v>913</v>
      </c>
      <c r="D175" s="308">
        <f>IFERROR(__xludf.DUMMYFUNCTION("SPLIT(C175,""-"")"),151.0)</f>
        <v>151</v>
      </c>
      <c r="E175" s="308" t="str">
        <f>IFERROR(__xludf.DUMMYFUNCTION("""COMPUTED_VALUE"""),"K")</f>
        <v>K</v>
      </c>
      <c r="F175" s="309" t="s">
        <v>34</v>
      </c>
      <c r="G175" s="308" t="s">
        <v>34216</v>
      </c>
      <c r="H175" s="308" t="s">
        <v>914</v>
      </c>
      <c r="I175" s="310">
        <v>40156.0</v>
      </c>
      <c r="J175" s="308">
        <f>IFERROR(__xludf.DUMMYFUNCTION("SPLIT(I175,""/"")"),9.0)</f>
        <v>9</v>
      </c>
      <c r="K175" s="308">
        <f>IFERROR(__xludf.DUMMYFUNCTION("""COMPUTED_VALUE"""),12.0)</f>
        <v>12</v>
      </c>
      <c r="L175" s="308">
        <f>IFERROR(__xludf.DUMMYFUNCTION("""COMPUTED_VALUE"""),2009.0)</f>
        <v>2009</v>
      </c>
      <c r="M175" s="308" t="s">
        <v>915</v>
      </c>
      <c r="N175" s="308"/>
      <c r="O175" s="312" t="s">
        <v>916</v>
      </c>
      <c r="P175" s="308" t="s">
        <v>917</v>
      </c>
      <c r="Q175" s="308"/>
      <c r="R175" s="308"/>
      <c r="S175" s="308" t="s">
        <v>49</v>
      </c>
      <c r="T175" s="311" t="s">
        <v>77</v>
      </c>
      <c r="U175" s="308"/>
      <c r="V175" s="312"/>
    </row>
    <row r="176">
      <c r="A176" s="308">
        <v>175.0</v>
      </c>
      <c r="B176" s="308" t="s">
        <v>34529</v>
      </c>
      <c r="C176" s="308" t="s">
        <v>918</v>
      </c>
      <c r="D176" s="308">
        <f>IFERROR(__xludf.DUMMYFUNCTION("SPLIT(C176,""-"")"),152.0)</f>
        <v>152</v>
      </c>
      <c r="E176" s="308" t="str">
        <f>IFERROR(__xludf.DUMMYFUNCTION("""COMPUTED_VALUE"""),"P")</f>
        <v>P</v>
      </c>
      <c r="F176" s="312" t="s">
        <v>37</v>
      </c>
      <c r="G176" s="308" t="s">
        <v>34216</v>
      </c>
      <c r="H176" s="308" t="s">
        <v>919</v>
      </c>
      <c r="I176" s="310">
        <v>40368.0</v>
      </c>
      <c r="J176" s="308">
        <f>IFERROR(__xludf.DUMMYFUNCTION("SPLIT(I176,""/"")"),9.0)</f>
        <v>9</v>
      </c>
      <c r="K176" s="308">
        <f>IFERROR(__xludf.DUMMYFUNCTION("""COMPUTED_VALUE"""),7.0)</f>
        <v>7</v>
      </c>
      <c r="L176" s="308">
        <f>IFERROR(__xludf.DUMMYFUNCTION("""COMPUTED_VALUE"""),2010.0)</f>
        <v>2010</v>
      </c>
      <c r="M176" s="308" t="s">
        <v>920</v>
      </c>
      <c r="N176" s="308"/>
      <c r="O176" s="312" t="s">
        <v>34530</v>
      </c>
      <c r="P176" s="308" t="s">
        <v>922</v>
      </c>
      <c r="Q176" s="308"/>
      <c r="R176" s="308"/>
      <c r="S176" s="308" t="s">
        <v>81</v>
      </c>
      <c r="T176" s="308" t="s">
        <v>75</v>
      </c>
      <c r="U176" s="308"/>
      <c r="V176" s="312"/>
    </row>
    <row r="177">
      <c r="A177" s="308">
        <v>176.0</v>
      </c>
      <c r="B177" s="308" t="s">
        <v>34531</v>
      </c>
      <c r="C177" s="308" t="s">
        <v>923</v>
      </c>
      <c r="D177" s="308">
        <f>IFERROR(__xludf.DUMMYFUNCTION("SPLIT(C177,""-"")"),153.0)</f>
        <v>153</v>
      </c>
      <c r="E177" s="308" t="str">
        <f>IFERROR(__xludf.DUMMYFUNCTION("""COMPUTED_VALUE"""),"I")</f>
        <v>I</v>
      </c>
      <c r="F177" s="309" t="s">
        <v>31</v>
      </c>
      <c r="G177" s="308" t="s">
        <v>34216</v>
      </c>
      <c r="H177" s="308" t="s">
        <v>924</v>
      </c>
      <c r="I177" s="310">
        <v>39273.0</v>
      </c>
      <c r="J177" s="308">
        <f>IFERROR(__xludf.DUMMYFUNCTION("SPLIT(I177,""/"")"),10.0)</f>
        <v>10</v>
      </c>
      <c r="K177" s="308">
        <f>IFERROR(__xludf.DUMMYFUNCTION("""COMPUTED_VALUE"""),7.0)</f>
        <v>7</v>
      </c>
      <c r="L177" s="308">
        <f>IFERROR(__xludf.DUMMYFUNCTION("""COMPUTED_VALUE"""),2007.0)</f>
        <v>2007</v>
      </c>
      <c r="M177" s="308" t="s">
        <v>925</v>
      </c>
      <c r="N177" s="308"/>
      <c r="O177" s="312" t="s">
        <v>34532</v>
      </c>
      <c r="P177" s="308" t="s">
        <v>148</v>
      </c>
      <c r="Q177" s="308"/>
      <c r="R177" s="308"/>
      <c r="S177" s="308" t="s">
        <v>49</v>
      </c>
      <c r="T177" s="308" t="s">
        <v>51</v>
      </c>
      <c r="U177" s="308"/>
      <c r="V177" s="312"/>
    </row>
    <row r="178">
      <c r="A178" s="308">
        <v>177.0</v>
      </c>
      <c r="B178" s="308" t="s">
        <v>34533</v>
      </c>
      <c r="C178" s="308" t="s">
        <v>927</v>
      </c>
      <c r="D178" s="308">
        <f>IFERROR(__xludf.DUMMYFUNCTION("SPLIT(C178,""-"")"),154.0)</f>
        <v>154</v>
      </c>
      <c r="E178" s="308" t="str">
        <f>IFERROR(__xludf.DUMMYFUNCTION("""COMPUTED_VALUE"""),"K")</f>
        <v>K</v>
      </c>
      <c r="F178" s="309" t="s">
        <v>34</v>
      </c>
      <c r="G178" s="308" t="s">
        <v>34216</v>
      </c>
      <c r="H178" s="308" t="s">
        <v>928</v>
      </c>
      <c r="I178" s="310">
        <v>40583.0</v>
      </c>
      <c r="J178" s="308">
        <f>IFERROR(__xludf.DUMMYFUNCTION("SPLIT(I178,""/"")"),9.0)</f>
        <v>9</v>
      </c>
      <c r="K178" s="308">
        <f>IFERROR(__xludf.DUMMYFUNCTION("""COMPUTED_VALUE"""),2.0)</f>
        <v>2</v>
      </c>
      <c r="L178" s="308">
        <f>IFERROR(__xludf.DUMMYFUNCTION("""COMPUTED_VALUE"""),2011.0)</f>
        <v>2011</v>
      </c>
      <c r="M178" s="308" t="s">
        <v>929</v>
      </c>
      <c r="N178" s="308"/>
      <c r="O178" s="308" t="s">
        <v>930</v>
      </c>
      <c r="P178" s="308" t="s">
        <v>931</v>
      </c>
      <c r="Q178" s="308"/>
      <c r="R178" s="308"/>
      <c r="S178" s="308" t="s">
        <v>81</v>
      </c>
      <c r="T178" s="308" t="s">
        <v>73</v>
      </c>
      <c r="U178" s="308"/>
      <c r="V178" s="312"/>
    </row>
    <row r="179">
      <c r="A179" s="308">
        <v>178.0</v>
      </c>
      <c r="B179" s="308" t="s">
        <v>34534</v>
      </c>
      <c r="C179" s="308" t="s">
        <v>932</v>
      </c>
      <c r="D179" s="308">
        <f>IFERROR(__xludf.DUMMYFUNCTION("SPLIT(C179,""-"")"),155.0)</f>
        <v>155</v>
      </c>
      <c r="E179" s="308" t="str">
        <f>IFERROR(__xludf.DUMMYFUNCTION("""COMPUTED_VALUE"""),"P")</f>
        <v>P</v>
      </c>
      <c r="F179" s="312" t="s">
        <v>37</v>
      </c>
      <c r="G179" s="308" t="s">
        <v>34216</v>
      </c>
      <c r="H179" s="308" t="s">
        <v>933</v>
      </c>
      <c r="I179" s="314">
        <v>40112.0</v>
      </c>
      <c r="J179" s="308">
        <f>IFERROR(__xludf.DUMMYFUNCTION("SPLIT(I179,""/"")"),26.0)</f>
        <v>26</v>
      </c>
      <c r="K179" s="308">
        <f>IFERROR(__xludf.DUMMYFUNCTION("""COMPUTED_VALUE"""),10.0)</f>
        <v>10</v>
      </c>
      <c r="L179" s="308">
        <f>IFERROR(__xludf.DUMMYFUNCTION("""COMPUTED_VALUE"""),2009.0)</f>
        <v>2009</v>
      </c>
      <c r="M179" s="308" t="s">
        <v>34535</v>
      </c>
      <c r="N179" s="308"/>
      <c r="O179" s="308" t="s">
        <v>935</v>
      </c>
      <c r="P179" s="308" t="s">
        <v>936</v>
      </c>
      <c r="Q179" s="308"/>
      <c r="R179" s="308"/>
      <c r="S179" s="308" t="s">
        <v>81</v>
      </c>
      <c r="T179" s="311" t="s">
        <v>73</v>
      </c>
      <c r="U179" s="308"/>
      <c r="V179" s="312"/>
    </row>
    <row r="180">
      <c r="A180" s="308">
        <v>179.0</v>
      </c>
      <c r="B180" s="308" t="s">
        <v>34536</v>
      </c>
      <c r="C180" s="308" t="s">
        <v>937</v>
      </c>
      <c r="D180" s="308">
        <f>IFERROR(__xludf.DUMMYFUNCTION("SPLIT(C180,""-"")"),156.0)</f>
        <v>156</v>
      </c>
      <c r="E180" s="308" t="str">
        <f>IFERROR(__xludf.DUMMYFUNCTION("""COMPUTED_VALUE"""),"K")</f>
        <v>K</v>
      </c>
      <c r="F180" s="309" t="s">
        <v>34</v>
      </c>
      <c r="G180" s="308" t="s">
        <v>34216</v>
      </c>
      <c r="H180" s="308" t="s">
        <v>938</v>
      </c>
      <c r="I180" s="310">
        <v>39966.0</v>
      </c>
      <c r="J180" s="308">
        <f>IFERROR(__xludf.DUMMYFUNCTION("SPLIT(I180,""/"")"),2.0)</f>
        <v>2</v>
      </c>
      <c r="K180" s="308">
        <f>IFERROR(__xludf.DUMMYFUNCTION("""COMPUTED_VALUE"""),6.0)</f>
        <v>6</v>
      </c>
      <c r="L180" s="308">
        <f>IFERROR(__xludf.DUMMYFUNCTION("""COMPUTED_VALUE"""),2009.0)</f>
        <v>2009</v>
      </c>
      <c r="M180" s="308" t="s">
        <v>939</v>
      </c>
      <c r="N180" s="308"/>
      <c r="O180" s="312" t="s">
        <v>635</v>
      </c>
      <c r="P180" s="308" t="s">
        <v>940</v>
      </c>
      <c r="Q180" s="308"/>
      <c r="R180" s="308"/>
      <c r="S180" s="308" t="s">
        <v>81</v>
      </c>
      <c r="T180" s="311" t="s">
        <v>75</v>
      </c>
      <c r="U180" s="308" t="s">
        <v>941</v>
      </c>
      <c r="V180" s="312"/>
    </row>
    <row r="181">
      <c r="A181" s="308">
        <v>180.0</v>
      </c>
      <c r="B181" s="308" t="s">
        <v>34537</v>
      </c>
      <c r="C181" s="308" t="s">
        <v>942</v>
      </c>
      <c r="D181" s="308">
        <f>IFERROR(__xludf.DUMMYFUNCTION("SPLIT(C181,""-"")"),157.0)</f>
        <v>157</v>
      </c>
      <c r="E181" s="308" t="str">
        <f>IFERROR(__xludf.DUMMYFUNCTION("""COMPUTED_VALUE"""),"I")</f>
        <v>I</v>
      </c>
      <c r="F181" s="309" t="s">
        <v>31</v>
      </c>
      <c r="G181" s="308" t="s">
        <v>34216</v>
      </c>
      <c r="H181" s="308" t="s">
        <v>943</v>
      </c>
      <c r="I181" s="310">
        <v>40419.0</v>
      </c>
      <c r="J181" s="308">
        <f>IFERROR(__xludf.DUMMYFUNCTION("SPLIT(I181,""/"")"),29.0)</f>
        <v>29</v>
      </c>
      <c r="K181" s="308">
        <f>IFERROR(__xludf.DUMMYFUNCTION("""COMPUTED_VALUE"""),8.0)</f>
        <v>8</v>
      </c>
      <c r="L181" s="308">
        <f>IFERROR(__xludf.DUMMYFUNCTION("""COMPUTED_VALUE"""),2010.0)</f>
        <v>2010</v>
      </c>
      <c r="M181" s="308" t="s">
        <v>944</v>
      </c>
      <c r="N181" s="308"/>
      <c r="O181" s="312" t="s">
        <v>34538</v>
      </c>
      <c r="P181" s="308" t="s">
        <v>148</v>
      </c>
      <c r="Q181" s="308"/>
      <c r="R181" s="308"/>
      <c r="S181" s="308" t="s">
        <v>49</v>
      </c>
      <c r="T181" s="308" t="s">
        <v>51</v>
      </c>
      <c r="U181" s="308"/>
      <c r="V181" s="312"/>
    </row>
    <row r="182">
      <c r="A182" s="308">
        <v>181.0</v>
      </c>
      <c r="B182" s="308" t="s">
        <v>34539</v>
      </c>
      <c r="C182" s="308" t="s">
        <v>946</v>
      </c>
      <c r="D182" s="308">
        <f>IFERROR(__xludf.DUMMYFUNCTION("SPLIT(C182,""-"")"),158.0)</f>
        <v>158</v>
      </c>
      <c r="E182" s="308" t="str">
        <f>IFERROR(__xludf.DUMMYFUNCTION("""COMPUTED_VALUE"""),"K")</f>
        <v>K</v>
      </c>
      <c r="F182" s="309" t="s">
        <v>34</v>
      </c>
      <c r="G182" s="308" t="s">
        <v>34216</v>
      </c>
      <c r="H182" s="308" t="s">
        <v>947</v>
      </c>
      <c r="I182" s="310">
        <v>40338.0</v>
      </c>
      <c r="J182" s="308">
        <f>IFERROR(__xludf.DUMMYFUNCTION("SPLIT(I182,""/"")"),9.0)</f>
        <v>9</v>
      </c>
      <c r="K182" s="308">
        <f>IFERROR(__xludf.DUMMYFUNCTION("""COMPUTED_VALUE"""),6.0)</f>
        <v>6</v>
      </c>
      <c r="L182" s="308">
        <f>IFERROR(__xludf.DUMMYFUNCTION("""COMPUTED_VALUE"""),2010.0)</f>
        <v>2010</v>
      </c>
      <c r="M182" s="308" t="s">
        <v>34540</v>
      </c>
      <c r="N182" s="308"/>
      <c r="O182" s="312" t="s">
        <v>34541</v>
      </c>
      <c r="P182" s="308" t="s">
        <v>950</v>
      </c>
      <c r="Q182" s="308"/>
      <c r="R182" s="308"/>
      <c r="S182" s="308" t="s">
        <v>81</v>
      </c>
      <c r="T182" s="308" t="s">
        <v>34264</v>
      </c>
      <c r="U182" s="308"/>
      <c r="V182" s="312"/>
    </row>
    <row r="183">
      <c r="A183" s="308">
        <v>182.0</v>
      </c>
      <c r="B183" s="308" t="s">
        <v>34542</v>
      </c>
      <c r="C183" s="308" t="s">
        <v>951</v>
      </c>
      <c r="D183" s="308">
        <f>IFERROR(__xludf.DUMMYFUNCTION("SPLIT(C183,""-"")"),159.0)</f>
        <v>159</v>
      </c>
      <c r="E183" s="308" t="str">
        <f>IFERROR(__xludf.DUMMYFUNCTION("""COMPUTED_VALUE"""),"K")</f>
        <v>K</v>
      </c>
      <c r="F183" s="309" t="s">
        <v>34</v>
      </c>
      <c r="G183" s="308" t="s">
        <v>34216</v>
      </c>
      <c r="H183" s="308" t="s">
        <v>952</v>
      </c>
      <c r="I183" s="314">
        <v>39413.0</v>
      </c>
      <c r="J183" s="308">
        <f>IFERROR(__xludf.DUMMYFUNCTION("SPLIT(I183,""/"")"),27.0)</f>
        <v>27</v>
      </c>
      <c r="K183" s="308">
        <f>IFERROR(__xludf.DUMMYFUNCTION("""COMPUTED_VALUE"""),11.0)</f>
        <v>11</v>
      </c>
      <c r="L183" s="308">
        <f>IFERROR(__xludf.DUMMYFUNCTION("""COMPUTED_VALUE"""),2007.0)</f>
        <v>2007</v>
      </c>
      <c r="M183" s="308" t="s">
        <v>953</v>
      </c>
      <c r="N183" s="308"/>
      <c r="O183" s="312" t="s">
        <v>34543</v>
      </c>
      <c r="P183" s="308" t="s">
        <v>148</v>
      </c>
      <c r="Q183" s="308"/>
      <c r="R183" s="308"/>
      <c r="S183" s="308" t="s">
        <v>49</v>
      </c>
      <c r="T183" s="308" t="s">
        <v>51</v>
      </c>
      <c r="U183" s="308"/>
      <c r="V183" s="312"/>
    </row>
    <row r="184">
      <c r="A184" s="308">
        <v>183.0</v>
      </c>
      <c r="B184" s="312" t="s">
        <v>34544</v>
      </c>
      <c r="C184" s="312" t="s">
        <v>955</v>
      </c>
      <c r="D184" s="308">
        <f>IFERROR(__xludf.DUMMYFUNCTION("SPLIT(C184,""-"")"),160.0)</f>
        <v>160</v>
      </c>
      <c r="E184" s="312" t="str">
        <f>IFERROR(__xludf.DUMMYFUNCTION("""COMPUTED_VALUE"""),"P")</f>
        <v>P</v>
      </c>
      <c r="F184" s="312" t="s">
        <v>37</v>
      </c>
      <c r="G184" s="312" t="s">
        <v>34216</v>
      </c>
      <c r="H184" s="312" t="s">
        <v>956</v>
      </c>
      <c r="I184" s="310">
        <v>40326.0</v>
      </c>
      <c r="J184" s="308">
        <f>IFERROR(__xludf.DUMMYFUNCTION("SPLIT(I184,""/"")"),28.0)</f>
        <v>28</v>
      </c>
      <c r="K184" s="312">
        <f>IFERROR(__xludf.DUMMYFUNCTION("""COMPUTED_VALUE"""),5.0)</f>
        <v>5</v>
      </c>
      <c r="L184" s="312">
        <f>IFERROR(__xludf.DUMMYFUNCTION("""COMPUTED_VALUE"""),2010.0)</f>
        <v>2010</v>
      </c>
      <c r="M184" s="312" t="s">
        <v>957</v>
      </c>
      <c r="N184" s="312"/>
      <c r="O184" s="312" t="s">
        <v>34545</v>
      </c>
      <c r="P184" s="312" t="s">
        <v>34212</v>
      </c>
      <c r="Q184" s="308"/>
      <c r="R184" s="308"/>
      <c r="S184" s="315" t="s">
        <v>100</v>
      </c>
      <c r="T184" s="311" t="s">
        <v>34208</v>
      </c>
      <c r="U184" s="312" t="s">
        <v>149</v>
      </c>
      <c r="V184" s="312"/>
    </row>
    <row r="185">
      <c r="A185" s="308">
        <v>184.0</v>
      </c>
      <c r="B185" s="308" t="s">
        <v>34546</v>
      </c>
      <c r="C185" s="308" t="s">
        <v>959</v>
      </c>
      <c r="D185" s="308">
        <f>IFERROR(__xludf.DUMMYFUNCTION("SPLIT(C185,""-"")"),161.0)</f>
        <v>161</v>
      </c>
      <c r="E185" s="308" t="str">
        <f>IFERROR(__xludf.DUMMYFUNCTION("""COMPUTED_VALUE"""),"P")</f>
        <v>P</v>
      </c>
      <c r="F185" s="312" t="s">
        <v>37</v>
      </c>
      <c r="G185" s="308" t="s">
        <v>34216</v>
      </c>
      <c r="H185" s="308" t="s">
        <v>960</v>
      </c>
      <c r="I185" s="310">
        <v>40395.0</v>
      </c>
      <c r="J185" s="308">
        <f>IFERROR(__xludf.DUMMYFUNCTION("SPLIT(I185,""/"")"),5.0)</f>
        <v>5</v>
      </c>
      <c r="K185" s="308">
        <f>IFERROR(__xludf.DUMMYFUNCTION("""COMPUTED_VALUE"""),8.0)</f>
        <v>8</v>
      </c>
      <c r="L185" s="308">
        <f>IFERROR(__xludf.DUMMYFUNCTION("""COMPUTED_VALUE"""),2010.0)</f>
        <v>2010</v>
      </c>
      <c r="M185" s="308" t="s">
        <v>961</v>
      </c>
      <c r="N185" s="308"/>
      <c r="O185" s="308" t="s">
        <v>962</v>
      </c>
      <c r="P185" s="308" t="s">
        <v>963</v>
      </c>
      <c r="Q185" s="308"/>
      <c r="R185" s="308"/>
      <c r="S185" s="308" t="s">
        <v>81</v>
      </c>
      <c r="T185" s="308" t="s">
        <v>75</v>
      </c>
      <c r="U185" s="308"/>
      <c r="V185" s="312"/>
    </row>
    <row r="186">
      <c r="A186" s="308">
        <v>185.0</v>
      </c>
      <c r="B186" s="308" t="s">
        <v>34547</v>
      </c>
      <c r="C186" s="308" t="s">
        <v>964</v>
      </c>
      <c r="D186" s="308">
        <f>IFERROR(__xludf.DUMMYFUNCTION("SPLIT(C186,""-"")"),162.0)</f>
        <v>162</v>
      </c>
      <c r="E186" s="308" t="str">
        <f>IFERROR(__xludf.DUMMYFUNCTION("""COMPUTED_VALUE"""),"B")</f>
        <v>B</v>
      </c>
      <c r="F186" s="315" t="s">
        <v>26</v>
      </c>
      <c r="G186" s="308" t="s">
        <v>34216</v>
      </c>
      <c r="H186" s="308" t="s">
        <v>965</v>
      </c>
      <c r="I186" s="314">
        <v>40478.0</v>
      </c>
      <c r="J186" s="308">
        <f>IFERROR(__xludf.DUMMYFUNCTION("SPLIT(I186,""/"")"),27.0)</f>
        <v>27</v>
      </c>
      <c r="K186" s="308">
        <f>IFERROR(__xludf.DUMMYFUNCTION("""COMPUTED_VALUE"""),10.0)</f>
        <v>10</v>
      </c>
      <c r="L186" s="308">
        <f>IFERROR(__xludf.DUMMYFUNCTION("""COMPUTED_VALUE"""),2010.0)</f>
        <v>2010</v>
      </c>
      <c r="M186" s="308" t="s">
        <v>966</v>
      </c>
      <c r="N186" s="308"/>
      <c r="O186" s="308" t="s">
        <v>967</v>
      </c>
      <c r="P186" s="308" t="s">
        <v>968</v>
      </c>
      <c r="Q186" s="308"/>
      <c r="R186" s="308"/>
      <c r="S186" s="308" t="s">
        <v>81</v>
      </c>
      <c r="T186" s="308" t="s">
        <v>75</v>
      </c>
      <c r="U186" s="308"/>
      <c r="V186" s="312"/>
    </row>
    <row r="187">
      <c r="A187" s="308">
        <v>186.0</v>
      </c>
      <c r="B187" s="308" t="s">
        <v>34548</v>
      </c>
      <c r="C187" s="308" t="s">
        <v>969</v>
      </c>
      <c r="D187" s="308">
        <f>IFERROR(__xludf.DUMMYFUNCTION("SPLIT(C187,""-"")"),163.0)</f>
        <v>163</v>
      </c>
      <c r="E187" s="308" t="str">
        <f>IFERROR(__xludf.DUMMYFUNCTION("""COMPUTED_VALUE"""),"P")</f>
        <v>P</v>
      </c>
      <c r="F187" s="312" t="s">
        <v>37</v>
      </c>
      <c r="G187" s="308" t="s">
        <v>34216</v>
      </c>
      <c r="H187" s="308" t="s">
        <v>970</v>
      </c>
      <c r="I187" s="314">
        <v>40102.0</v>
      </c>
      <c r="J187" s="308">
        <f>IFERROR(__xludf.DUMMYFUNCTION("SPLIT(I187,""/"")"),16.0)</f>
        <v>16</v>
      </c>
      <c r="K187" s="308">
        <f>IFERROR(__xludf.DUMMYFUNCTION("""COMPUTED_VALUE"""),10.0)</f>
        <v>10</v>
      </c>
      <c r="L187" s="308">
        <f>IFERROR(__xludf.DUMMYFUNCTION("""COMPUTED_VALUE"""),2009.0)</f>
        <v>2009</v>
      </c>
      <c r="M187" s="308" t="s">
        <v>971</v>
      </c>
      <c r="N187" s="308"/>
      <c r="O187" s="308" t="s">
        <v>972</v>
      </c>
      <c r="P187" s="308" t="s">
        <v>973</v>
      </c>
      <c r="Q187" s="308"/>
      <c r="R187" s="308"/>
      <c r="S187" s="308" t="s">
        <v>81</v>
      </c>
      <c r="T187" s="308" t="s">
        <v>75</v>
      </c>
      <c r="U187" s="308"/>
      <c r="V187" s="312"/>
    </row>
    <row r="188">
      <c r="A188" s="308">
        <v>187.0</v>
      </c>
      <c r="B188" s="308" t="s">
        <v>34549</v>
      </c>
      <c r="C188" s="308" t="s">
        <v>974</v>
      </c>
      <c r="D188" s="308">
        <f>IFERROR(__xludf.DUMMYFUNCTION("SPLIT(C188,""-"")"),164.0)</f>
        <v>164</v>
      </c>
      <c r="E188" s="308" t="str">
        <f>IFERROR(__xludf.DUMMYFUNCTION("""COMPUTED_VALUE"""),"P")</f>
        <v>P</v>
      </c>
      <c r="F188" s="312" t="s">
        <v>37</v>
      </c>
      <c r="G188" s="308" t="s">
        <v>34216</v>
      </c>
      <c r="H188" s="308" t="s">
        <v>34550</v>
      </c>
      <c r="I188" s="314">
        <v>40101.0</v>
      </c>
      <c r="J188" s="308">
        <f>IFERROR(__xludf.DUMMYFUNCTION("SPLIT(I188,""/"")"),15.0)</f>
        <v>15</v>
      </c>
      <c r="K188" s="308">
        <f>IFERROR(__xludf.DUMMYFUNCTION("""COMPUTED_VALUE"""),10.0)</f>
        <v>10</v>
      </c>
      <c r="L188" s="308">
        <f>IFERROR(__xludf.DUMMYFUNCTION("""COMPUTED_VALUE"""),2009.0)</f>
        <v>2009</v>
      </c>
      <c r="M188" s="308" t="s">
        <v>971</v>
      </c>
      <c r="N188" s="308"/>
      <c r="O188" s="308" t="s">
        <v>976</v>
      </c>
      <c r="P188" s="308" t="s">
        <v>973</v>
      </c>
      <c r="Q188" s="308"/>
      <c r="R188" s="308"/>
      <c r="S188" s="308" t="s">
        <v>81</v>
      </c>
      <c r="T188" s="308" t="s">
        <v>75</v>
      </c>
      <c r="U188" s="308"/>
      <c r="V188" s="312"/>
    </row>
    <row r="189">
      <c r="A189" s="308">
        <v>188.0</v>
      </c>
      <c r="B189" s="308" t="s">
        <v>34551</v>
      </c>
      <c r="C189" s="308" t="s">
        <v>977</v>
      </c>
      <c r="D189" s="308">
        <f>IFERROR(__xludf.DUMMYFUNCTION("SPLIT(C189,""-"")"),165.0)</f>
        <v>165</v>
      </c>
      <c r="E189" s="308" t="str">
        <f>IFERROR(__xludf.DUMMYFUNCTION("""COMPUTED_VALUE"""),"K")</f>
        <v>K</v>
      </c>
      <c r="F189" s="309" t="s">
        <v>34</v>
      </c>
      <c r="G189" s="308" t="s">
        <v>34216</v>
      </c>
      <c r="H189" s="308" t="s">
        <v>978</v>
      </c>
      <c r="I189" s="310">
        <v>39916.0</v>
      </c>
      <c r="J189" s="308">
        <f>IFERROR(__xludf.DUMMYFUNCTION("SPLIT(I189,""/"")"),13.0)</f>
        <v>13</v>
      </c>
      <c r="K189" s="308">
        <f>IFERROR(__xludf.DUMMYFUNCTION("""COMPUTED_VALUE"""),4.0)</f>
        <v>4</v>
      </c>
      <c r="L189" s="308">
        <f>IFERROR(__xludf.DUMMYFUNCTION("""COMPUTED_VALUE"""),2009.0)</f>
        <v>2009</v>
      </c>
      <c r="M189" s="308" t="s">
        <v>979</v>
      </c>
      <c r="N189" s="308"/>
      <c r="O189" s="308" t="s">
        <v>980</v>
      </c>
      <c r="P189" s="308" t="s">
        <v>148</v>
      </c>
      <c r="Q189" s="308"/>
      <c r="R189" s="308"/>
      <c r="S189" s="308" t="s">
        <v>49</v>
      </c>
      <c r="T189" s="308" t="s">
        <v>51</v>
      </c>
      <c r="U189" s="308"/>
      <c r="V189" s="312"/>
    </row>
    <row r="190">
      <c r="A190" s="308">
        <v>189.0</v>
      </c>
      <c r="B190" s="308" t="s">
        <v>34552</v>
      </c>
      <c r="C190" s="308" t="s">
        <v>981</v>
      </c>
      <c r="D190" s="308">
        <f>IFERROR(__xludf.DUMMYFUNCTION("SPLIT(C190,""-"")"),166.0)</f>
        <v>166</v>
      </c>
      <c r="E190" s="308" t="str">
        <f>IFERROR(__xludf.DUMMYFUNCTION("""COMPUTED_VALUE"""),"S")</f>
        <v>S</v>
      </c>
      <c r="F190" s="312" t="s">
        <v>39</v>
      </c>
      <c r="G190" s="308" t="s">
        <v>34216</v>
      </c>
      <c r="H190" s="308" t="s">
        <v>982</v>
      </c>
      <c r="I190" s="314">
        <v>40141.0</v>
      </c>
      <c r="J190" s="308">
        <f>IFERROR(__xludf.DUMMYFUNCTION("SPLIT(I190,""/"")"),24.0)</f>
        <v>24</v>
      </c>
      <c r="K190" s="308">
        <f>IFERROR(__xludf.DUMMYFUNCTION("""COMPUTED_VALUE"""),11.0)</f>
        <v>11</v>
      </c>
      <c r="L190" s="308">
        <f>IFERROR(__xludf.DUMMYFUNCTION("""COMPUTED_VALUE"""),2009.0)</f>
        <v>2009</v>
      </c>
      <c r="M190" s="308" t="s">
        <v>983</v>
      </c>
      <c r="N190" s="308"/>
      <c r="O190" s="312" t="s">
        <v>34553</v>
      </c>
      <c r="P190" s="308" t="s">
        <v>985</v>
      </c>
      <c r="Q190" s="308"/>
      <c r="R190" s="308"/>
      <c r="S190" s="315" t="s">
        <v>100</v>
      </c>
      <c r="T190" s="311" t="s">
        <v>34208</v>
      </c>
      <c r="U190" s="308"/>
      <c r="V190" s="312"/>
    </row>
    <row r="191">
      <c r="A191" s="308">
        <v>190.0</v>
      </c>
      <c r="B191" s="308" t="s">
        <v>34554</v>
      </c>
      <c r="C191" s="308" t="s">
        <v>986</v>
      </c>
      <c r="D191" s="308">
        <f>IFERROR(__xludf.DUMMYFUNCTION("SPLIT(C191,""-"")"),167.0)</f>
        <v>167</v>
      </c>
      <c r="E191" s="308" t="str">
        <f>IFERROR(__xludf.DUMMYFUNCTION("""COMPUTED_VALUE"""),"P")</f>
        <v>P</v>
      </c>
      <c r="F191" s="312" t="s">
        <v>37</v>
      </c>
      <c r="G191" s="308" t="s">
        <v>34216</v>
      </c>
      <c r="H191" s="308" t="s">
        <v>987</v>
      </c>
      <c r="I191" s="310">
        <v>40284.0</v>
      </c>
      <c r="J191" s="308">
        <f>IFERROR(__xludf.DUMMYFUNCTION("SPLIT(I191,""/"")"),16.0)</f>
        <v>16</v>
      </c>
      <c r="K191" s="308">
        <f>IFERROR(__xludf.DUMMYFUNCTION("""COMPUTED_VALUE"""),4.0)</f>
        <v>4</v>
      </c>
      <c r="L191" s="308">
        <f>IFERROR(__xludf.DUMMYFUNCTION("""COMPUTED_VALUE"""),2010.0)</f>
        <v>2010</v>
      </c>
      <c r="M191" s="308" t="s">
        <v>988</v>
      </c>
      <c r="N191" s="308"/>
      <c r="O191" s="312" t="s">
        <v>34555</v>
      </c>
      <c r="P191" s="308" t="s">
        <v>990</v>
      </c>
      <c r="Q191" s="308"/>
      <c r="R191" s="308"/>
      <c r="S191" s="308" t="s">
        <v>81</v>
      </c>
      <c r="T191" s="308" t="s">
        <v>34264</v>
      </c>
      <c r="U191" s="308"/>
      <c r="V191" s="312"/>
    </row>
    <row r="192">
      <c r="A192" s="308">
        <v>191.0</v>
      </c>
      <c r="B192" s="308" t="s">
        <v>34556</v>
      </c>
      <c r="C192" s="308" t="s">
        <v>991</v>
      </c>
      <c r="D192" s="308">
        <f>IFERROR(__xludf.DUMMYFUNCTION("SPLIT(C192,""-"")"),168.0)</f>
        <v>168</v>
      </c>
      <c r="E192" s="308" t="str">
        <f>IFERROR(__xludf.DUMMYFUNCTION("""COMPUTED_VALUE"""),"S")</f>
        <v>S</v>
      </c>
      <c r="F192" s="312" t="s">
        <v>39</v>
      </c>
      <c r="G192" s="308" t="s">
        <v>34216</v>
      </c>
      <c r="H192" s="308" t="s">
        <v>992</v>
      </c>
      <c r="I192" s="314">
        <v>40482.0</v>
      </c>
      <c r="J192" s="308">
        <f>IFERROR(__xludf.DUMMYFUNCTION("SPLIT(I192,""/"")"),31.0)</f>
        <v>31</v>
      </c>
      <c r="K192" s="308">
        <f>IFERROR(__xludf.DUMMYFUNCTION("""COMPUTED_VALUE"""),10.0)</f>
        <v>10</v>
      </c>
      <c r="L192" s="308">
        <f>IFERROR(__xludf.DUMMYFUNCTION("""COMPUTED_VALUE"""),2010.0)</f>
        <v>2010</v>
      </c>
      <c r="M192" s="308" t="s">
        <v>993</v>
      </c>
      <c r="N192" s="308"/>
      <c r="O192" s="308" t="s">
        <v>994</v>
      </c>
      <c r="P192" s="308" t="s">
        <v>995</v>
      </c>
      <c r="Q192" s="308"/>
      <c r="R192" s="308"/>
      <c r="S192" s="308" t="s">
        <v>81</v>
      </c>
      <c r="T192" s="308" t="s">
        <v>98</v>
      </c>
      <c r="U192" s="308"/>
      <c r="V192" s="312"/>
    </row>
    <row r="193">
      <c r="A193" s="308">
        <v>192.0</v>
      </c>
      <c r="B193" s="308" t="s">
        <v>34557</v>
      </c>
      <c r="C193" s="308" t="s">
        <v>996</v>
      </c>
      <c r="D193" s="308">
        <f>IFERROR(__xludf.DUMMYFUNCTION("SPLIT(C193,""-"")"),169.0)</f>
        <v>169</v>
      </c>
      <c r="E193" s="308" t="str">
        <f>IFERROR(__xludf.DUMMYFUNCTION("""COMPUTED_VALUE"""),"P")</f>
        <v>P</v>
      </c>
      <c r="F193" s="312" t="s">
        <v>37</v>
      </c>
      <c r="G193" s="308" t="s">
        <v>34216</v>
      </c>
      <c r="H193" s="308" t="s">
        <v>997</v>
      </c>
      <c r="I193" s="310">
        <v>40353.0</v>
      </c>
      <c r="J193" s="308">
        <f>IFERROR(__xludf.DUMMYFUNCTION("SPLIT(I193,""/"")"),24.0)</f>
        <v>24</v>
      </c>
      <c r="K193" s="308">
        <f>IFERROR(__xludf.DUMMYFUNCTION("""COMPUTED_VALUE"""),6.0)</f>
        <v>6</v>
      </c>
      <c r="L193" s="308">
        <f>IFERROR(__xludf.DUMMYFUNCTION("""COMPUTED_VALUE"""),2010.0)</f>
        <v>2010</v>
      </c>
      <c r="M193" s="308" t="s">
        <v>998</v>
      </c>
      <c r="N193" s="308"/>
      <c r="O193" s="308" t="s">
        <v>999</v>
      </c>
      <c r="P193" s="308" t="s">
        <v>34212</v>
      </c>
      <c r="Q193" s="308"/>
      <c r="R193" s="308"/>
      <c r="S193" s="315" t="s">
        <v>100</v>
      </c>
      <c r="T193" s="311" t="s">
        <v>34208</v>
      </c>
      <c r="U193" s="308" t="s">
        <v>149</v>
      </c>
      <c r="V193" s="312"/>
    </row>
    <row r="194">
      <c r="A194" s="308">
        <v>193.0</v>
      </c>
      <c r="B194" s="308" t="s">
        <v>34558</v>
      </c>
      <c r="C194" s="308" t="s">
        <v>34559</v>
      </c>
      <c r="D194" s="308">
        <f>IFERROR(__xludf.DUMMYFUNCTION("SPLIT(C194,""-"")"),170.0)</f>
        <v>170</v>
      </c>
      <c r="E194" s="311"/>
      <c r="F194" s="309" t="s">
        <v>23</v>
      </c>
      <c r="G194" s="308" t="s">
        <v>34216</v>
      </c>
      <c r="H194" s="308" t="s">
        <v>1000</v>
      </c>
      <c r="I194" s="314">
        <v>40503.0</v>
      </c>
      <c r="J194" s="308">
        <f>IFERROR(__xludf.DUMMYFUNCTION("SPLIT(I194,""/"")"),21.0)</f>
        <v>21</v>
      </c>
      <c r="K194" s="308">
        <f>IFERROR(__xludf.DUMMYFUNCTION("""COMPUTED_VALUE"""),11.0)</f>
        <v>11</v>
      </c>
      <c r="L194" s="308">
        <f>IFERROR(__xludf.DUMMYFUNCTION("""COMPUTED_VALUE"""),2010.0)</f>
        <v>2010</v>
      </c>
      <c r="M194" s="308" t="s">
        <v>1001</v>
      </c>
      <c r="N194" s="308"/>
      <c r="O194" s="312" t="s">
        <v>635</v>
      </c>
      <c r="P194" s="308" t="s">
        <v>1002</v>
      </c>
      <c r="Q194" s="308"/>
      <c r="R194" s="308"/>
      <c r="S194" s="308" t="s">
        <v>81</v>
      </c>
      <c r="T194" s="311" t="s">
        <v>75</v>
      </c>
      <c r="U194" s="308"/>
      <c r="V194" s="312"/>
    </row>
    <row r="195">
      <c r="A195" s="308">
        <v>194.0</v>
      </c>
      <c r="B195" s="312" t="s">
        <v>34560</v>
      </c>
      <c r="C195" s="312" t="s">
        <v>1003</v>
      </c>
      <c r="D195" s="308">
        <f>IFERROR(__xludf.DUMMYFUNCTION("SPLIT(C195,""-"")"),171.0)</f>
        <v>171</v>
      </c>
      <c r="E195" s="312" t="str">
        <f>IFERROR(__xludf.DUMMYFUNCTION("""COMPUTED_VALUE"""),"K")</f>
        <v>K</v>
      </c>
      <c r="F195" s="309" t="s">
        <v>34</v>
      </c>
      <c r="G195" s="312" t="s">
        <v>34216</v>
      </c>
      <c r="H195" s="312" t="s">
        <v>1004</v>
      </c>
      <c r="I195" s="310">
        <v>40152.0</v>
      </c>
      <c r="J195" s="308">
        <f>IFERROR(__xludf.DUMMYFUNCTION("SPLIT(I195,""/"")"),5.0)</f>
        <v>5</v>
      </c>
      <c r="K195" s="312">
        <f>IFERROR(__xludf.DUMMYFUNCTION("""COMPUTED_VALUE"""),12.0)</f>
        <v>12</v>
      </c>
      <c r="L195" s="312">
        <f>IFERROR(__xludf.DUMMYFUNCTION("""COMPUTED_VALUE"""),2009.0)</f>
        <v>2009</v>
      </c>
      <c r="M195" s="312" t="s">
        <v>1005</v>
      </c>
      <c r="N195" s="312"/>
      <c r="O195" s="312" t="s">
        <v>34561</v>
      </c>
      <c r="P195" s="312" t="s">
        <v>136</v>
      </c>
      <c r="Q195" s="308"/>
      <c r="R195" s="308"/>
      <c r="S195" s="315" t="s">
        <v>100</v>
      </c>
      <c r="T195" s="308" t="s">
        <v>34208</v>
      </c>
      <c r="U195" s="308"/>
      <c r="V195" s="312"/>
    </row>
    <row r="196">
      <c r="A196" s="308">
        <v>195.0</v>
      </c>
      <c r="B196" s="308" t="s">
        <v>34562</v>
      </c>
      <c r="C196" s="308" t="s">
        <v>1007</v>
      </c>
      <c r="D196" s="308">
        <f>IFERROR(__xludf.DUMMYFUNCTION("SPLIT(C196,""-"")"),172.0)</f>
        <v>172</v>
      </c>
      <c r="E196" s="308" t="str">
        <f>IFERROR(__xludf.DUMMYFUNCTION("""COMPUTED_VALUE"""),"P")</f>
        <v>P</v>
      </c>
      <c r="F196" s="312" t="s">
        <v>37</v>
      </c>
      <c r="G196" s="308" t="s">
        <v>34216</v>
      </c>
      <c r="H196" s="308" t="s">
        <v>1008</v>
      </c>
      <c r="I196" s="310">
        <v>40122.0</v>
      </c>
      <c r="J196" s="308">
        <f>IFERROR(__xludf.DUMMYFUNCTION("SPLIT(I196,""/"")"),5.0)</f>
        <v>5</v>
      </c>
      <c r="K196" s="308">
        <f>IFERROR(__xludf.DUMMYFUNCTION("""COMPUTED_VALUE"""),11.0)</f>
        <v>11</v>
      </c>
      <c r="L196" s="308">
        <f>IFERROR(__xludf.DUMMYFUNCTION("""COMPUTED_VALUE"""),2009.0)</f>
        <v>2009</v>
      </c>
      <c r="M196" s="308" t="s">
        <v>1009</v>
      </c>
      <c r="N196" s="308"/>
      <c r="O196" s="312" t="s">
        <v>34563</v>
      </c>
      <c r="P196" s="308" t="s">
        <v>1011</v>
      </c>
      <c r="Q196" s="308"/>
      <c r="R196" s="308"/>
      <c r="S196" s="308" t="s">
        <v>81</v>
      </c>
      <c r="T196" s="308" t="s">
        <v>73</v>
      </c>
      <c r="U196" s="308"/>
      <c r="V196" s="312"/>
    </row>
    <row r="197">
      <c r="A197" s="308">
        <v>196.0</v>
      </c>
      <c r="B197" s="308"/>
      <c r="C197" s="308" t="s">
        <v>1012</v>
      </c>
      <c r="D197" s="308">
        <f>IFERROR(__xludf.DUMMYFUNCTION("SPLIT(C197,""-"")"),193.0)</f>
        <v>193</v>
      </c>
      <c r="E197" s="308" t="str">
        <f>IFERROR(__xludf.DUMMYFUNCTION("""COMPUTED_VALUE"""),"K")</f>
        <v>K</v>
      </c>
      <c r="F197" s="309" t="s">
        <v>34</v>
      </c>
      <c r="G197" s="308"/>
      <c r="H197" s="308" t="s">
        <v>1013</v>
      </c>
      <c r="I197" s="314">
        <v>42703.0</v>
      </c>
      <c r="J197" s="308">
        <f>IFERROR(__xludf.DUMMYFUNCTION("SPLIT(I197,""/"")"),29.0)</f>
        <v>29</v>
      </c>
      <c r="K197" s="308">
        <f>IFERROR(__xludf.DUMMYFUNCTION("""COMPUTED_VALUE"""),11.0)</f>
        <v>11</v>
      </c>
      <c r="L197" s="308">
        <f>IFERROR(__xludf.DUMMYFUNCTION("""COMPUTED_VALUE"""),2016.0)</f>
        <v>2016</v>
      </c>
      <c r="M197" s="308" t="s">
        <v>1014</v>
      </c>
      <c r="N197" s="308"/>
      <c r="O197" s="308"/>
      <c r="P197" s="308" t="s">
        <v>34564</v>
      </c>
      <c r="Q197" s="308"/>
      <c r="R197" s="308"/>
      <c r="S197" s="308" t="s">
        <v>81</v>
      </c>
      <c r="T197" s="311" t="s">
        <v>34565</v>
      </c>
      <c r="U197" s="308" t="s">
        <v>368</v>
      </c>
      <c r="V197" s="308"/>
    </row>
    <row r="198">
      <c r="A198" s="308">
        <v>197.0</v>
      </c>
      <c r="B198" s="308" t="s">
        <v>34566</v>
      </c>
      <c r="C198" s="308" t="s">
        <v>1016</v>
      </c>
      <c r="D198" s="308">
        <f>IFERROR(__xludf.DUMMYFUNCTION("SPLIT(C198,""-"")"),196.0)</f>
        <v>196</v>
      </c>
      <c r="E198" s="308" t="str">
        <f>IFERROR(__xludf.DUMMYFUNCTION("""COMPUTED_VALUE"""),"P")</f>
        <v>P</v>
      </c>
      <c r="F198" s="312" t="s">
        <v>37</v>
      </c>
      <c r="G198" s="308" t="s">
        <v>34216</v>
      </c>
      <c r="H198" s="308" t="s">
        <v>1017</v>
      </c>
      <c r="I198" s="310">
        <v>37339.0</v>
      </c>
      <c r="J198" s="308">
        <f>IFERROR(__xludf.DUMMYFUNCTION("SPLIT(I198,""/"")"),24.0)</f>
        <v>24</v>
      </c>
      <c r="K198" s="308">
        <f>IFERROR(__xludf.DUMMYFUNCTION("""COMPUTED_VALUE"""),3.0)</f>
        <v>3</v>
      </c>
      <c r="L198" s="308">
        <f>IFERROR(__xludf.DUMMYFUNCTION("""COMPUTED_VALUE"""),2002.0)</f>
        <v>2002</v>
      </c>
      <c r="M198" s="308" t="s">
        <v>34567</v>
      </c>
      <c r="N198" s="308"/>
      <c r="O198" s="308" t="s">
        <v>999</v>
      </c>
      <c r="P198" s="308" t="s">
        <v>34212</v>
      </c>
      <c r="Q198" s="308"/>
      <c r="R198" s="308"/>
      <c r="S198" s="315" t="s">
        <v>100</v>
      </c>
      <c r="T198" s="311" t="s">
        <v>34208</v>
      </c>
      <c r="U198" s="308" t="s">
        <v>149</v>
      </c>
      <c r="V198" s="312"/>
    </row>
    <row r="199">
      <c r="A199" s="308">
        <v>198.0</v>
      </c>
      <c r="B199" s="308" t="s">
        <v>34568</v>
      </c>
      <c r="C199" s="308" t="s">
        <v>1019</v>
      </c>
      <c r="D199" s="308">
        <f>IFERROR(__xludf.DUMMYFUNCTION("SPLIT(C199,""-"")"),197.0)</f>
        <v>197</v>
      </c>
      <c r="E199" s="308" t="str">
        <f>IFERROR(__xludf.DUMMYFUNCTION("""COMPUTED_VALUE"""),"S")</f>
        <v>S</v>
      </c>
      <c r="F199" s="312" t="s">
        <v>39</v>
      </c>
      <c r="G199" s="308" t="s">
        <v>34216</v>
      </c>
      <c r="H199" s="308" t="s">
        <v>1020</v>
      </c>
      <c r="I199" s="310">
        <v>40304.0</v>
      </c>
      <c r="J199" s="308">
        <f>IFERROR(__xludf.DUMMYFUNCTION("SPLIT(I199,""/"")"),6.0)</f>
        <v>6</v>
      </c>
      <c r="K199" s="308">
        <f>IFERROR(__xludf.DUMMYFUNCTION("""COMPUTED_VALUE"""),5.0)</f>
        <v>5</v>
      </c>
      <c r="L199" s="308">
        <f>IFERROR(__xludf.DUMMYFUNCTION("""COMPUTED_VALUE"""),2010.0)</f>
        <v>2010</v>
      </c>
      <c r="M199" s="308" t="s">
        <v>1021</v>
      </c>
      <c r="N199" s="308"/>
      <c r="O199" s="308" t="s">
        <v>34216</v>
      </c>
      <c r="P199" s="308" t="s">
        <v>1022</v>
      </c>
      <c r="Q199" s="308"/>
      <c r="R199" s="308"/>
      <c r="S199" s="308" t="s">
        <v>81</v>
      </c>
      <c r="T199" s="308" t="s">
        <v>75</v>
      </c>
      <c r="U199" s="308"/>
      <c r="V199" s="312"/>
    </row>
    <row r="200">
      <c r="A200" s="308">
        <v>199.0</v>
      </c>
      <c r="B200" s="308" t="s">
        <v>34569</v>
      </c>
      <c r="C200" s="308" t="s">
        <v>1023</v>
      </c>
      <c r="D200" s="308">
        <f>IFERROR(__xludf.DUMMYFUNCTION("SPLIT(C200,""-"")"),198.0)</f>
        <v>198</v>
      </c>
      <c r="E200" s="308" t="str">
        <f>IFERROR(__xludf.DUMMYFUNCTION("""COMPUTED_VALUE"""),"K")</f>
        <v>K</v>
      </c>
      <c r="F200" s="309" t="s">
        <v>34</v>
      </c>
      <c r="G200" s="308" t="s">
        <v>1024</v>
      </c>
      <c r="H200" s="308" t="s">
        <v>1025</v>
      </c>
      <c r="I200" s="310">
        <v>38657.0</v>
      </c>
      <c r="J200" s="308">
        <f>IFERROR(__xludf.DUMMYFUNCTION("SPLIT(I200,""/"")"),1.0)</f>
        <v>1</v>
      </c>
      <c r="K200" s="308">
        <f>IFERROR(__xludf.DUMMYFUNCTION("""COMPUTED_VALUE"""),11.0)</f>
        <v>11</v>
      </c>
      <c r="L200" s="308">
        <f>IFERROR(__xludf.DUMMYFUNCTION("""COMPUTED_VALUE"""),2005.0)</f>
        <v>2005</v>
      </c>
      <c r="M200" s="308" t="s">
        <v>1026</v>
      </c>
      <c r="N200" s="308"/>
      <c r="O200" s="312"/>
      <c r="P200" s="308" t="s">
        <v>148</v>
      </c>
      <c r="Q200" s="308"/>
      <c r="R200" s="308"/>
      <c r="S200" s="308" t="s">
        <v>49</v>
      </c>
      <c r="T200" s="308" t="s">
        <v>51</v>
      </c>
      <c r="U200" s="308"/>
      <c r="V200" s="312"/>
    </row>
    <row r="201">
      <c r="A201" s="308">
        <v>200.0</v>
      </c>
      <c r="B201" s="308" t="s">
        <v>34570</v>
      </c>
      <c r="C201" s="308" t="s">
        <v>1027</v>
      </c>
      <c r="D201" s="308">
        <f>IFERROR(__xludf.DUMMYFUNCTION("SPLIT(C201,""-"")"),199.0)</f>
        <v>199</v>
      </c>
      <c r="E201" s="308" t="str">
        <f>IFERROR(__xludf.DUMMYFUNCTION("""COMPUTED_VALUE"""),"P")</f>
        <v>P</v>
      </c>
      <c r="F201" s="312" t="s">
        <v>37</v>
      </c>
      <c r="G201" s="308" t="s">
        <v>34216</v>
      </c>
      <c r="H201" s="308" t="s">
        <v>1028</v>
      </c>
      <c r="I201" s="310">
        <v>40582.0</v>
      </c>
      <c r="J201" s="308">
        <f>IFERROR(__xludf.DUMMYFUNCTION("SPLIT(I201,""/"")"),8.0)</f>
        <v>8</v>
      </c>
      <c r="K201" s="308">
        <f>IFERROR(__xludf.DUMMYFUNCTION("""COMPUTED_VALUE"""),2.0)</f>
        <v>2</v>
      </c>
      <c r="L201" s="308">
        <f>IFERROR(__xludf.DUMMYFUNCTION("""COMPUTED_VALUE"""),2011.0)</f>
        <v>2011</v>
      </c>
      <c r="M201" s="308" t="s">
        <v>1029</v>
      </c>
      <c r="N201" s="308"/>
      <c r="O201" s="312" t="s">
        <v>34571</v>
      </c>
      <c r="P201" s="308" t="s">
        <v>1031</v>
      </c>
      <c r="Q201" s="308"/>
      <c r="R201" s="308"/>
      <c r="S201" s="308" t="s">
        <v>81</v>
      </c>
      <c r="T201" s="308" t="s">
        <v>75</v>
      </c>
      <c r="U201" s="308"/>
      <c r="V201" s="312"/>
    </row>
    <row r="202">
      <c r="A202" s="308">
        <v>201.0</v>
      </c>
      <c r="B202" s="308" t="s">
        <v>34572</v>
      </c>
      <c r="C202" s="308" t="s">
        <v>1032</v>
      </c>
      <c r="D202" s="308">
        <f>IFERROR(__xludf.DUMMYFUNCTION("SPLIT(C202,""-"")"),200.0)</f>
        <v>200</v>
      </c>
      <c r="E202" s="308" t="str">
        <f>IFERROR(__xludf.DUMMYFUNCTION("""COMPUTED_VALUE"""),"S")</f>
        <v>S</v>
      </c>
      <c r="F202" s="312" t="s">
        <v>39</v>
      </c>
      <c r="G202" s="308" t="s">
        <v>34216</v>
      </c>
      <c r="H202" s="308" t="s">
        <v>1033</v>
      </c>
      <c r="I202" s="310">
        <v>40568.0</v>
      </c>
      <c r="J202" s="308">
        <f>IFERROR(__xludf.DUMMYFUNCTION("SPLIT(I202,""/"")"),25.0)</f>
        <v>25</v>
      </c>
      <c r="K202" s="308">
        <f>IFERROR(__xludf.DUMMYFUNCTION("""COMPUTED_VALUE"""),1.0)</f>
        <v>1</v>
      </c>
      <c r="L202" s="308">
        <f>IFERROR(__xludf.DUMMYFUNCTION("""COMPUTED_VALUE"""),2011.0)</f>
        <v>2011</v>
      </c>
      <c r="M202" s="308" t="s">
        <v>1034</v>
      </c>
      <c r="N202" s="308"/>
      <c r="O202" s="312" t="s">
        <v>34573</v>
      </c>
      <c r="P202" s="308" t="s">
        <v>1036</v>
      </c>
      <c r="Q202" s="308"/>
      <c r="R202" s="308"/>
      <c r="S202" s="308" t="s">
        <v>81</v>
      </c>
      <c r="T202" s="308" t="s">
        <v>98</v>
      </c>
      <c r="U202" s="308"/>
      <c r="V202" s="312"/>
    </row>
    <row r="203">
      <c r="A203" s="308">
        <v>202.0</v>
      </c>
      <c r="B203" s="308" t="s">
        <v>34574</v>
      </c>
      <c r="C203" s="308" t="s">
        <v>1037</v>
      </c>
      <c r="D203" s="308">
        <f>IFERROR(__xludf.DUMMYFUNCTION("SPLIT(C203,""-"")"),201.0)</f>
        <v>201</v>
      </c>
      <c r="E203" s="308" t="str">
        <f>IFERROR(__xludf.DUMMYFUNCTION("""COMPUTED_VALUE"""),"I")</f>
        <v>I</v>
      </c>
      <c r="F203" s="309" t="s">
        <v>31</v>
      </c>
      <c r="G203" s="308" t="s">
        <v>34216</v>
      </c>
      <c r="H203" s="308" t="s">
        <v>1038</v>
      </c>
      <c r="I203" s="310">
        <v>40185.0</v>
      </c>
      <c r="J203" s="308">
        <f>IFERROR(__xludf.DUMMYFUNCTION("SPLIT(I203,""/"")"),7.0)</f>
        <v>7</v>
      </c>
      <c r="K203" s="308">
        <f>IFERROR(__xludf.DUMMYFUNCTION("""COMPUTED_VALUE"""),1.0)</f>
        <v>1</v>
      </c>
      <c r="L203" s="308">
        <f>IFERROR(__xludf.DUMMYFUNCTION("""COMPUTED_VALUE"""),2010.0)</f>
        <v>2010</v>
      </c>
      <c r="M203" s="308" t="s">
        <v>1039</v>
      </c>
      <c r="N203" s="308"/>
      <c r="O203" s="308" t="s">
        <v>1040</v>
      </c>
      <c r="P203" s="308" t="s">
        <v>124</v>
      </c>
      <c r="Q203" s="308"/>
      <c r="R203" s="308"/>
      <c r="S203" s="308" t="s">
        <v>81</v>
      </c>
      <c r="T203" s="308" t="s">
        <v>34201</v>
      </c>
      <c r="U203" s="308"/>
      <c r="V203" s="312"/>
    </row>
    <row r="204">
      <c r="A204" s="308">
        <v>203.0</v>
      </c>
      <c r="B204" s="308" t="s">
        <v>34575</v>
      </c>
      <c r="C204" s="312" t="s">
        <v>1041</v>
      </c>
      <c r="D204" s="308">
        <f>IFERROR(__xludf.DUMMYFUNCTION("SPLIT(C204,""-"")"),202.0)</f>
        <v>202</v>
      </c>
      <c r="E204" s="312" t="str">
        <f>IFERROR(__xludf.DUMMYFUNCTION("""COMPUTED_VALUE"""),"K")</f>
        <v>K</v>
      </c>
      <c r="F204" s="309" t="s">
        <v>34</v>
      </c>
      <c r="G204" s="312" t="s">
        <v>34216</v>
      </c>
      <c r="H204" s="312" t="s">
        <v>1042</v>
      </c>
      <c r="I204" s="314">
        <v>40141.0</v>
      </c>
      <c r="J204" s="308">
        <f>IFERROR(__xludf.DUMMYFUNCTION("SPLIT(I204,""/"")"),24.0)</f>
        <v>24</v>
      </c>
      <c r="K204" s="312">
        <f>IFERROR(__xludf.DUMMYFUNCTION("""COMPUTED_VALUE"""),11.0)</f>
        <v>11</v>
      </c>
      <c r="L204" s="312">
        <f>IFERROR(__xludf.DUMMYFUNCTION("""COMPUTED_VALUE"""),2009.0)</f>
        <v>2009</v>
      </c>
      <c r="M204" s="312" t="s">
        <v>1043</v>
      </c>
      <c r="N204" s="312"/>
      <c r="O204" s="312" t="s">
        <v>34576</v>
      </c>
      <c r="P204" s="312" t="s">
        <v>34212</v>
      </c>
      <c r="Q204" s="312" t="s">
        <v>137</v>
      </c>
      <c r="R204" s="312"/>
      <c r="S204" s="315" t="s">
        <v>100</v>
      </c>
      <c r="T204" s="311" t="s">
        <v>34208</v>
      </c>
      <c r="U204" s="312" t="s">
        <v>125</v>
      </c>
      <c r="V204" s="312"/>
    </row>
    <row r="205">
      <c r="A205" s="308">
        <v>204.0</v>
      </c>
      <c r="B205" s="312" t="s">
        <v>34577</v>
      </c>
      <c r="C205" s="312" t="s">
        <v>1045</v>
      </c>
      <c r="D205" s="308">
        <f>IFERROR(__xludf.DUMMYFUNCTION("SPLIT(C205,""-"")"),203.0)</f>
        <v>203</v>
      </c>
      <c r="E205" s="312" t="str">
        <f>IFERROR(__xludf.DUMMYFUNCTION("""COMPUTED_VALUE"""),"K")</f>
        <v>K</v>
      </c>
      <c r="F205" s="309" t="s">
        <v>34</v>
      </c>
      <c r="G205" s="312" t="s">
        <v>1046</v>
      </c>
      <c r="H205" s="312" t="s">
        <v>1047</v>
      </c>
      <c r="I205" s="310">
        <v>40062.0</v>
      </c>
      <c r="J205" s="308">
        <f>IFERROR(__xludf.DUMMYFUNCTION("SPLIT(I205,""/"")"),6.0)</f>
        <v>6</v>
      </c>
      <c r="K205" s="312">
        <f>IFERROR(__xludf.DUMMYFUNCTION("""COMPUTED_VALUE"""),9.0)</f>
        <v>9</v>
      </c>
      <c r="L205" s="312">
        <f>IFERROR(__xludf.DUMMYFUNCTION("""COMPUTED_VALUE"""),2009.0)</f>
        <v>2009</v>
      </c>
      <c r="M205" s="312" t="s">
        <v>1048</v>
      </c>
      <c r="N205" s="312"/>
      <c r="O205" s="312" t="s">
        <v>34578</v>
      </c>
      <c r="P205" s="312" t="s">
        <v>34212</v>
      </c>
      <c r="Q205" s="308"/>
      <c r="R205" s="308"/>
      <c r="S205" s="315" t="s">
        <v>100</v>
      </c>
      <c r="T205" s="311" t="s">
        <v>34208</v>
      </c>
      <c r="U205" s="308" t="s">
        <v>137</v>
      </c>
      <c r="V205" s="312"/>
    </row>
    <row r="206">
      <c r="A206" s="308">
        <v>205.0</v>
      </c>
      <c r="B206" s="308" t="s">
        <v>34579</v>
      </c>
      <c r="C206" s="308" t="s">
        <v>1050</v>
      </c>
      <c r="D206" s="308">
        <f>IFERROR(__xludf.DUMMYFUNCTION("SPLIT(C206,""-"")"),204.0)</f>
        <v>204</v>
      </c>
      <c r="E206" s="308" t="str">
        <f>IFERROR(__xludf.DUMMYFUNCTION("""COMPUTED_VALUE"""),"K")</f>
        <v>K</v>
      </c>
      <c r="F206" s="309" t="s">
        <v>34</v>
      </c>
      <c r="G206" s="308" t="s">
        <v>1051</v>
      </c>
      <c r="H206" s="308" t="s">
        <v>1052</v>
      </c>
      <c r="I206" s="310">
        <v>39814.0</v>
      </c>
      <c r="J206" s="308">
        <f>IFERROR(__xludf.DUMMYFUNCTION("SPLIT(I206,""/"")"),1.0)</f>
        <v>1</v>
      </c>
      <c r="K206" s="308">
        <f>IFERROR(__xludf.DUMMYFUNCTION("""COMPUTED_VALUE"""),1.0)</f>
        <v>1</v>
      </c>
      <c r="L206" s="308">
        <f>IFERROR(__xludf.DUMMYFUNCTION("""COMPUTED_VALUE"""),2009.0)</f>
        <v>2009</v>
      </c>
      <c r="M206" s="308" t="s">
        <v>1053</v>
      </c>
      <c r="N206" s="308"/>
      <c r="O206" s="312" t="s">
        <v>34580</v>
      </c>
      <c r="P206" s="308" t="s">
        <v>34581</v>
      </c>
      <c r="Q206" s="308"/>
      <c r="R206" s="308"/>
      <c r="S206" s="308" t="s">
        <v>81</v>
      </c>
      <c r="T206" s="308" t="s">
        <v>34264</v>
      </c>
      <c r="U206" s="308"/>
      <c r="V206" s="312"/>
    </row>
    <row r="207">
      <c r="A207" s="308">
        <v>206.0</v>
      </c>
      <c r="B207" s="308">
        <v>3413.0</v>
      </c>
      <c r="C207" s="308" t="s">
        <v>1056</v>
      </c>
      <c r="D207" s="308">
        <f>IFERROR(__xludf.DUMMYFUNCTION("SPLIT(C207,""-"")"),205.0)</f>
        <v>205</v>
      </c>
      <c r="E207" s="308" t="str">
        <f>IFERROR(__xludf.DUMMYFUNCTION("""COMPUTED_VALUE"""),"P")</f>
        <v>P</v>
      </c>
      <c r="F207" s="312" t="s">
        <v>37</v>
      </c>
      <c r="G207" s="308" t="s">
        <v>34216</v>
      </c>
      <c r="H207" s="308" t="s">
        <v>1057</v>
      </c>
      <c r="I207" s="310">
        <v>40353.0</v>
      </c>
      <c r="J207" s="308">
        <f>IFERROR(__xludf.DUMMYFUNCTION("SPLIT(I207,""/"")"),24.0)</f>
        <v>24</v>
      </c>
      <c r="K207" s="308">
        <f>IFERROR(__xludf.DUMMYFUNCTION("""COMPUTED_VALUE"""),6.0)</f>
        <v>6</v>
      </c>
      <c r="L207" s="308">
        <f>IFERROR(__xludf.DUMMYFUNCTION("""COMPUTED_VALUE"""),2010.0)</f>
        <v>2010</v>
      </c>
      <c r="M207" s="308" t="s">
        <v>1058</v>
      </c>
      <c r="N207" s="308"/>
      <c r="O207" s="312" t="s">
        <v>34582</v>
      </c>
      <c r="P207" s="308" t="s">
        <v>136</v>
      </c>
      <c r="Q207" s="308"/>
      <c r="R207" s="308"/>
      <c r="S207" s="315" t="s">
        <v>100</v>
      </c>
      <c r="T207" s="308" t="s">
        <v>34208</v>
      </c>
      <c r="U207" s="308"/>
      <c r="V207" s="312"/>
    </row>
    <row r="208">
      <c r="A208" s="308">
        <v>207.0</v>
      </c>
      <c r="B208" s="308" t="s">
        <v>34583</v>
      </c>
      <c r="C208" s="308" t="s">
        <v>1060</v>
      </c>
      <c r="D208" s="308">
        <f>IFERROR(__xludf.DUMMYFUNCTION("SPLIT(C208,""-"")"),206.0)</f>
        <v>206</v>
      </c>
      <c r="E208" s="308" t="str">
        <f>IFERROR(__xludf.DUMMYFUNCTION("""COMPUTED_VALUE"""),"S")</f>
        <v>S</v>
      </c>
      <c r="F208" s="312" t="s">
        <v>39</v>
      </c>
      <c r="G208" s="308" t="s">
        <v>34216</v>
      </c>
      <c r="H208" s="308" t="s">
        <v>1061</v>
      </c>
      <c r="I208" s="310">
        <v>40585.0</v>
      </c>
      <c r="J208" s="308">
        <f>IFERROR(__xludf.DUMMYFUNCTION("SPLIT(I208,""/"")"),11.0)</f>
        <v>11</v>
      </c>
      <c r="K208" s="308">
        <f>IFERROR(__xludf.DUMMYFUNCTION("""COMPUTED_VALUE"""),2.0)</f>
        <v>2</v>
      </c>
      <c r="L208" s="308">
        <f>IFERROR(__xludf.DUMMYFUNCTION("""COMPUTED_VALUE"""),2011.0)</f>
        <v>2011</v>
      </c>
      <c r="M208" s="308" t="s">
        <v>1062</v>
      </c>
      <c r="N208" s="308"/>
      <c r="O208" s="312" t="s">
        <v>34584</v>
      </c>
      <c r="P208" s="308" t="s">
        <v>34585</v>
      </c>
      <c r="Q208" s="308"/>
      <c r="R208" s="308"/>
      <c r="S208" s="308" t="s">
        <v>81</v>
      </c>
      <c r="T208" s="308" t="s">
        <v>34264</v>
      </c>
      <c r="U208" s="308"/>
      <c r="V208" s="312"/>
    </row>
    <row r="209">
      <c r="A209" s="308">
        <v>208.0</v>
      </c>
      <c r="B209" s="308" t="s">
        <v>34586</v>
      </c>
      <c r="C209" s="308" t="s">
        <v>34587</v>
      </c>
      <c r="D209" s="308">
        <f>IFERROR(__xludf.DUMMYFUNCTION("SPLIT(C209,""-"")"),207.0)</f>
        <v>207</v>
      </c>
      <c r="E209" s="311"/>
      <c r="F209" s="309" t="s">
        <v>34</v>
      </c>
      <c r="G209" s="308" t="s">
        <v>34216</v>
      </c>
      <c r="H209" s="308" t="s">
        <v>1065</v>
      </c>
      <c r="I209" s="310">
        <v>40577.0</v>
      </c>
      <c r="J209" s="308">
        <f>IFERROR(__xludf.DUMMYFUNCTION("SPLIT(I209,""/"")"),3.0)</f>
        <v>3</v>
      </c>
      <c r="K209" s="308">
        <f>IFERROR(__xludf.DUMMYFUNCTION("""COMPUTED_VALUE"""),2.0)</f>
        <v>2</v>
      </c>
      <c r="L209" s="308">
        <f>IFERROR(__xludf.DUMMYFUNCTION("""COMPUTED_VALUE"""),2011.0)</f>
        <v>2011</v>
      </c>
      <c r="M209" s="308" t="s">
        <v>1066</v>
      </c>
      <c r="N209" s="308"/>
      <c r="O209" s="312" t="s">
        <v>635</v>
      </c>
      <c r="P209" s="308" t="s">
        <v>1067</v>
      </c>
      <c r="Q209" s="308"/>
      <c r="R209" s="308"/>
      <c r="S209" s="308" t="s">
        <v>81</v>
      </c>
      <c r="T209" s="308" t="s">
        <v>34264</v>
      </c>
      <c r="U209" s="308"/>
      <c r="V209" s="312"/>
    </row>
    <row r="210">
      <c r="A210" s="308">
        <v>209.0</v>
      </c>
      <c r="B210" s="308" t="s">
        <v>34588</v>
      </c>
      <c r="C210" s="308" t="s">
        <v>1068</v>
      </c>
      <c r="D210" s="308">
        <f>IFERROR(__xludf.DUMMYFUNCTION("SPLIT(C210,""-"")"),208.0)</f>
        <v>208</v>
      </c>
      <c r="E210" s="308" t="str">
        <f>IFERROR(__xludf.DUMMYFUNCTION("""COMPUTED_VALUE"""),"P")</f>
        <v>P</v>
      </c>
      <c r="F210" s="312" t="s">
        <v>37</v>
      </c>
      <c r="G210" s="308" t="s">
        <v>34216</v>
      </c>
      <c r="H210" s="308" t="s">
        <v>1069</v>
      </c>
      <c r="I210" s="310">
        <v>40561.0</v>
      </c>
      <c r="J210" s="308">
        <f>IFERROR(__xludf.DUMMYFUNCTION("SPLIT(I210,""/"")"),18.0)</f>
        <v>18</v>
      </c>
      <c r="K210" s="308">
        <f>IFERROR(__xludf.DUMMYFUNCTION("""COMPUTED_VALUE"""),1.0)</f>
        <v>1</v>
      </c>
      <c r="L210" s="308">
        <f>IFERROR(__xludf.DUMMYFUNCTION("""COMPUTED_VALUE"""),2011.0)</f>
        <v>2011</v>
      </c>
      <c r="M210" s="308" t="s">
        <v>1070</v>
      </c>
      <c r="N210" s="308"/>
      <c r="O210" s="312" t="s">
        <v>34589</v>
      </c>
      <c r="P210" s="308" t="s">
        <v>182</v>
      </c>
      <c r="Q210" s="308"/>
      <c r="R210" s="308"/>
      <c r="S210" s="308" t="s">
        <v>49</v>
      </c>
      <c r="T210" s="311" t="s">
        <v>77</v>
      </c>
      <c r="U210" s="308"/>
      <c r="V210" s="312"/>
    </row>
    <row r="211">
      <c r="A211" s="308">
        <v>210.0</v>
      </c>
      <c r="B211" s="308" t="s">
        <v>34590</v>
      </c>
      <c r="C211" s="308" t="s">
        <v>1072</v>
      </c>
      <c r="D211" s="308">
        <f>IFERROR(__xludf.DUMMYFUNCTION("SPLIT(C211,""-"")"),209.0)</f>
        <v>209</v>
      </c>
      <c r="E211" s="308" t="str">
        <f>IFERROR(__xludf.DUMMYFUNCTION("""COMPUTED_VALUE"""),"P")</f>
        <v>P</v>
      </c>
      <c r="F211" s="312" t="s">
        <v>37</v>
      </c>
      <c r="G211" s="308" t="s">
        <v>34216</v>
      </c>
      <c r="H211" s="308" t="s">
        <v>1073</v>
      </c>
      <c r="I211" s="310">
        <v>2011.0</v>
      </c>
      <c r="J211" s="308"/>
      <c r="K211" s="308"/>
      <c r="L211" s="311" t="s">
        <v>79</v>
      </c>
      <c r="M211" s="308" t="s">
        <v>1074</v>
      </c>
      <c r="N211" s="308"/>
      <c r="O211" s="312" t="s">
        <v>34591</v>
      </c>
      <c r="P211" s="308" t="s">
        <v>1076</v>
      </c>
      <c r="Q211" s="308"/>
      <c r="R211" s="308"/>
      <c r="S211" s="308" t="s">
        <v>81</v>
      </c>
      <c r="T211" s="308" t="s">
        <v>75</v>
      </c>
      <c r="U211" s="308"/>
      <c r="V211" s="312"/>
    </row>
    <row r="212">
      <c r="A212" s="308">
        <v>211.0</v>
      </c>
      <c r="B212" s="308" t="s">
        <v>34592</v>
      </c>
      <c r="C212" s="308" t="s">
        <v>34593</v>
      </c>
      <c r="D212" s="308">
        <f>IFERROR(__xludf.DUMMYFUNCTION("SPLIT(C212,""-"")"),210.0)</f>
        <v>210</v>
      </c>
      <c r="E212" s="311"/>
      <c r="F212" s="309" t="s">
        <v>34</v>
      </c>
      <c r="G212" s="308" t="s">
        <v>34216</v>
      </c>
      <c r="H212" s="308" t="s">
        <v>1077</v>
      </c>
      <c r="I212" s="310">
        <v>40727.0</v>
      </c>
      <c r="J212" s="308">
        <f>IFERROR(__xludf.DUMMYFUNCTION("SPLIT(I212,""/"")"),3.0)</f>
        <v>3</v>
      </c>
      <c r="K212" s="308">
        <f>IFERROR(__xludf.DUMMYFUNCTION("""COMPUTED_VALUE"""),7.0)</f>
        <v>7</v>
      </c>
      <c r="L212" s="308">
        <f>IFERROR(__xludf.DUMMYFUNCTION("""COMPUTED_VALUE"""),2011.0)</f>
        <v>2011</v>
      </c>
      <c r="M212" s="308" t="s">
        <v>1078</v>
      </c>
      <c r="N212" s="308"/>
      <c r="O212" s="312" t="s">
        <v>635</v>
      </c>
      <c r="P212" s="308" t="s">
        <v>1079</v>
      </c>
      <c r="Q212" s="308"/>
      <c r="R212" s="308"/>
      <c r="S212" s="311" t="s">
        <v>81</v>
      </c>
      <c r="T212" s="308" t="s">
        <v>75</v>
      </c>
      <c r="U212" s="308"/>
      <c r="V212" s="312"/>
    </row>
    <row r="213">
      <c r="A213" s="308">
        <v>212.0</v>
      </c>
      <c r="B213" s="308" t="s">
        <v>34594</v>
      </c>
      <c r="C213" s="308" t="s">
        <v>1080</v>
      </c>
      <c r="D213" s="308">
        <f>IFERROR(__xludf.DUMMYFUNCTION("SPLIT(C213,""-"")"),211.0)</f>
        <v>211</v>
      </c>
      <c r="E213" s="308" t="str">
        <f>IFERROR(__xludf.DUMMYFUNCTION("""COMPUTED_VALUE"""),"P")</f>
        <v>P</v>
      </c>
      <c r="F213" s="312" t="s">
        <v>37</v>
      </c>
      <c r="G213" s="308" t="s">
        <v>34216</v>
      </c>
      <c r="H213" s="308" t="s">
        <v>1081</v>
      </c>
      <c r="I213" s="310">
        <v>40574.0</v>
      </c>
      <c r="J213" s="308">
        <f>IFERROR(__xludf.DUMMYFUNCTION("SPLIT(I213,""/"")"),31.0)</f>
        <v>31</v>
      </c>
      <c r="K213" s="308">
        <f>IFERROR(__xludf.DUMMYFUNCTION("""COMPUTED_VALUE"""),1.0)</f>
        <v>1</v>
      </c>
      <c r="L213" s="308">
        <f>IFERROR(__xludf.DUMMYFUNCTION("""COMPUTED_VALUE"""),2011.0)</f>
        <v>2011</v>
      </c>
      <c r="M213" s="308" t="s">
        <v>1082</v>
      </c>
      <c r="N213" s="308"/>
      <c r="O213" s="312" t="s">
        <v>34595</v>
      </c>
      <c r="P213" s="308" t="s">
        <v>1084</v>
      </c>
      <c r="Q213" s="308"/>
      <c r="R213" s="308"/>
      <c r="S213" s="308" t="s">
        <v>81</v>
      </c>
      <c r="T213" s="308" t="s">
        <v>75</v>
      </c>
      <c r="U213" s="308"/>
      <c r="V213" s="312"/>
    </row>
    <row r="214">
      <c r="A214" s="308">
        <v>213.0</v>
      </c>
      <c r="B214" s="308" t="s">
        <v>34596</v>
      </c>
      <c r="C214" s="308" t="s">
        <v>1085</v>
      </c>
      <c r="D214" s="308">
        <f>IFERROR(__xludf.DUMMYFUNCTION("SPLIT(C214,""-"")"),212.0)</f>
        <v>212</v>
      </c>
      <c r="E214" s="308" t="str">
        <f>IFERROR(__xludf.DUMMYFUNCTION("""COMPUTED_VALUE"""),"P")</f>
        <v>P</v>
      </c>
      <c r="F214" s="312" t="s">
        <v>37</v>
      </c>
      <c r="G214" s="308" t="s">
        <v>34216</v>
      </c>
      <c r="H214" s="308" t="s">
        <v>1086</v>
      </c>
      <c r="I214" s="310">
        <v>40569.0</v>
      </c>
      <c r="J214" s="308">
        <f>IFERROR(__xludf.DUMMYFUNCTION("SPLIT(I214,""/"")"),26.0)</f>
        <v>26</v>
      </c>
      <c r="K214" s="308">
        <f>IFERROR(__xludf.DUMMYFUNCTION("""COMPUTED_VALUE"""),1.0)</f>
        <v>1</v>
      </c>
      <c r="L214" s="308">
        <f>IFERROR(__xludf.DUMMYFUNCTION("""COMPUTED_VALUE"""),2011.0)</f>
        <v>2011</v>
      </c>
      <c r="M214" s="308" t="s">
        <v>1087</v>
      </c>
      <c r="N214" s="308"/>
      <c r="O214" s="312" t="s">
        <v>34597</v>
      </c>
      <c r="P214" s="308" t="s">
        <v>1089</v>
      </c>
      <c r="Q214" s="308"/>
      <c r="R214" s="308"/>
      <c r="S214" s="308" t="s">
        <v>81</v>
      </c>
      <c r="T214" s="308" t="s">
        <v>75</v>
      </c>
      <c r="U214" s="308"/>
      <c r="V214" s="312"/>
    </row>
    <row r="215">
      <c r="A215" s="308">
        <v>214.0</v>
      </c>
      <c r="B215" s="308" t="s">
        <v>34598</v>
      </c>
      <c r="C215" s="308" t="s">
        <v>1090</v>
      </c>
      <c r="D215" s="308">
        <f>IFERROR(__xludf.DUMMYFUNCTION("SPLIT(C215,""-"")"),213.0)</f>
        <v>213</v>
      </c>
      <c r="E215" s="308" t="str">
        <f>IFERROR(__xludf.DUMMYFUNCTION("""COMPUTED_VALUE"""),"P")</f>
        <v>P</v>
      </c>
      <c r="F215" s="312" t="s">
        <v>37</v>
      </c>
      <c r="G215" s="308" t="s">
        <v>34216</v>
      </c>
      <c r="H215" s="308" t="s">
        <v>1091</v>
      </c>
      <c r="I215" s="310">
        <v>39289.0</v>
      </c>
      <c r="J215" s="308">
        <f>IFERROR(__xludf.DUMMYFUNCTION("SPLIT(I215,""/"")"),26.0)</f>
        <v>26</v>
      </c>
      <c r="K215" s="308">
        <f>IFERROR(__xludf.DUMMYFUNCTION("""COMPUTED_VALUE"""),7.0)</f>
        <v>7</v>
      </c>
      <c r="L215" s="308">
        <f>IFERROR(__xludf.DUMMYFUNCTION("""COMPUTED_VALUE"""),2007.0)</f>
        <v>2007</v>
      </c>
      <c r="M215" s="308" t="s">
        <v>1092</v>
      </c>
      <c r="N215" s="308"/>
      <c r="O215" s="312" t="s">
        <v>34599</v>
      </c>
      <c r="P215" s="308" t="s">
        <v>1094</v>
      </c>
      <c r="Q215" s="308"/>
      <c r="R215" s="308"/>
      <c r="S215" s="308" t="s">
        <v>49</v>
      </c>
      <c r="T215" s="308" t="s">
        <v>51</v>
      </c>
      <c r="U215" s="308"/>
      <c r="V215" s="312"/>
    </row>
    <row r="216">
      <c r="A216" s="308">
        <v>215.0</v>
      </c>
      <c r="B216" s="308" t="s">
        <v>34600</v>
      </c>
      <c r="C216" s="308" t="s">
        <v>1095</v>
      </c>
      <c r="D216" s="308">
        <f>IFERROR(__xludf.DUMMYFUNCTION("SPLIT(C216,""-"")"),214.0)</f>
        <v>214</v>
      </c>
      <c r="E216" s="308" t="str">
        <f>IFERROR(__xludf.DUMMYFUNCTION("""COMPUTED_VALUE"""),"P")</f>
        <v>P</v>
      </c>
      <c r="F216" s="312" t="s">
        <v>37</v>
      </c>
      <c r="G216" s="308" t="s">
        <v>34216</v>
      </c>
      <c r="H216" s="308" t="s">
        <v>1096</v>
      </c>
      <c r="I216" s="310">
        <v>40068.0</v>
      </c>
      <c r="J216" s="308">
        <f>IFERROR(__xludf.DUMMYFUNCTION("SPLIT(I216,""/"")"),12.0)</f>
        <v>12</v>
      </c>
      <c r="K216" s="308">
        <f>IFERROR(__xludf.DUMMYFUNCTION("""COMPUTED_VALUE"""),9.0)</f>
        <v>9</v>
      </c>
      <c r="L216" s="308">
        <f>IFERROR(__xludf.DUMMYFUNCTION("""COMPUTED_VALUE"""),2009.0)</f>
        <v>2009</v>
      </c>
      <c r="M216" s="308" t="s">
        <v>1097</v>
      </c>
      <c r="N216" s="308"/>
      <c r="O216" s="312" t="s">
        <v>34601</v>
      </c>
      <c r="P216" s="308" t="s">
        <v>1099</v>
      </c>
      <c r="Q216" s="308"/>
      <c r="R216" s="308"/>
      <c r="S216" s="308" t="s">
        <v>49</v>
      </c>
      <c r="T216" s="308" t="s">
        <v>51</v>
      </c>
      <c r="U216" s="308"/>
      <c r="V216" s="312"/>
    </row>
    <row r="217">
      <c r="A217" s="308">
        <v>216.0</v>
      </c>
      <c r="B217" s="308" t="s">
        <v>34602</v>
      </c>
      <c r="C217" s="308" t="s">
        <v>1100</v>
      </c>
      <c r="D217" s="308">
        <f>IFERROR(__xludf.DUMMYFUNCTION("SPLIT(C217,""-"")"),215.0)</f>
        <v>215</v>
      </c>
      <c r="E217" s="308" t="str">
        <f>IFERROR(__xludf.DUMMYFUNCTION("""COMPUTED_VALUE"""),"K")</f>
        <v>K</v>
      </c>
      <c r="F217" s="309" t="s">
        <v>34</v>
      </c>
      <c r="G217" s="308" t="s">
        <v>34216</v>
      </c>
      <c r="H217" s="308" t="s">
        <v>1101</v>
      </c>
      <c r="I217" s="310">
        <v>39925.0</v>
      </c>
      <c r="J217" s="308">
        <f>IFERROR(__xludf.DUMMYFUNCTION("SPLIT(I217,""/"")"),22.0)</f>
        <v>22</v>
      </c>
      <c r="K217" s="308">
        <f>IFERROR(__xludf.DUMMYFUNCTION("""COMPUTED_VALUE"""),4.0)</f>
        <v>4</v>
      </c>
      <c r="L217" s="308">
        <f>IFERROR(__xludf.DUMMYFUNCTION("""COMPUTED_VALUE"""),2009.0)</f>
        <v>2009</v>
      </c>
      <c r="M217" s="308" t="s">
        <v>1102</v>
      </c>
      <c r="N217" s="308"/>
      <c r="O217" s="312" t="s">
        <v>1103</v>
      </c>
      <c r="P217" s="308" t="s">
        <v>1104</v>
      </c>
      <c r="Q217" s="308"/>
      <c r="R217" s="308"/>
      <c r="S217" s="308" t="s">
        <v>81</v>
      </c>
      <c r="T217" s="308" t="s">
        <v>73</v>
      </c>
      <c r="U217" s="308"/>
      <c r="V217" s="312"/>
    </row>
    <row r="218">
      <c r="A218" s="308">
        <v>217.0</v>
      </c>
      <c r="B218" s="308" t="s">
        <v>34603</v>
      </c>
      <c r="C218" s="308" t="s">
        <v>1105</v>
      </c>
      <c r="D218" s="308">
        <f>IFERROR(__xludf.DUMMYFUNCTION("SPLIT(C218,""-"")"),216.0)</f>
        <v>216</v>
      </c>
      <c r="E218" s="308" t="str">
        <f>IFERROR(__xludf.DUMMYFUNCTION("""COMPUTED_VALUE"""),"P")</f>
        <v>P</v>
      </c>
      <c r="F218" s="312" t="s">
        <v>37</v>
      </c>
      <c r="G218" s="308" t="s">
        <v>34216</v>
      </c>
      <c r="H218" s="308" t="s">
        <v>1106</v>
      </c>
      <c r="I218" s="310">
        <v>40215.0</v>
      </c>
      <c r="J218" s="308">
        <f>IFERROR(__xludf.DUMMYFUNCTION("SPLIT(I218,""/"")"),6.0)</f>
        <v>6</v>
      </c>
      <c r="K218" s="308">
        <f>IFERROR(__xludf.DUMMYFUNCTION("""COMPUTED_VALUE"""),2.0)</f>
        <v>2</v>
      </c>
      <c r="L218" s="308">
        <f>IFERROR(__xludf.DUMMYFUNCTION("""COMPUTED_VALUE"""),2010.0)</f>
        <v>2010</v>
      </c>
      <c r="M218" s="308" t="s">
        <v>1107</v>
      </c>
      <c r="N218" s="308"/>
      <c r="O218" s="312" t="s">
        <v>34604</v>
      </c>
      <c r="P218" s="308" t="s">
        <v>1109</v>
      </c>
      <c r="Q218" s="308"/>
      <c r="R218" s="308"/>
      <c r="S218" s="308" t="s">
        <v>81</v>
      </c>
      <c r="T218" s="308" t="s">
        <v>75</v>
      </c>
      <c r="U218" s="308"/>
      <c r="V218" s="312"/>
    </row>
    <row r="219">
      <c r="A219" s="308">
        <v>218.0</v>
      </c>
      <c r="B219" s="308" t="s">
        <v>34605</v>
      </c>
      <c r="C219" s="308" t="s">
        <v>1110</v>
      </c>
      <c r="D219" s="308">
        <f>IFERROR(__xludf.DUMMYFUNCTION("SPLIT(C219,""-"")"),217.0)</f>
        <v>217</v>
      </c>
      <c r="E219" s="308" t="str">
        <f>IFERROR(__xludf.DUMMYFUNCTION("""COMPUTED_VALUE"""),"P")</f>
        <v>P</v>
      </c>
      <c r="F219" s="312" t="s">
        <v>37</v>
      </c>
      <c r="G219" s="308" t="s">
        <v>34216</v>
      </c>
      <c r="H219" s="308" t="s">
        <v>1111</v>
      </c>
      <c r="I219" s="310">
        <v>40215.0</v>
      </c>
      <c r="J219" s="308">
        <f>IFERROR(__xludf.DUMMYFUNCTION("SPLIT(I219,""/"")"),6.0)</f>
        <v>6</v>
      </c>
      <c r="K219" s="308">
        <f>IFERROR(__xludf.DUMMYFUNCTION("""COMPUTED_VALUE"""),2.0)</f>
        <v>2</v>
      </c>
      <c r="L219" s="308">
        <f>IFERROR(__xludf.DUMMYFUNCTION("""COMPUTED_VALUE"""),2010.0)</f>
        <v>2010</v>
      </c>
      <c r="M219" s="308" t="s">
        <v>1112</v>
      </c>
      <c r="N219" s="308"/>
      <c r="O219" s="312" t="s">
        <v>34606</v>
      </c>
      <c r="P219" s="308" t="s">
        <v>124</v>
      </c>
      <c r="Q219" s="308"/>
      <c r="R219" s="308"/>
      <c r="S219" s="308" t="s">
        <v>81</v>
      </c>
      <c r="T219" s="308" t="s">
        <v>34201</v>
      </c>
      <c r="U219" s="308"/>
      <c r="V219" s="312"/>
    </row>
    <row r="220">
      <c r="A220" s="308">
        <v>219.0</v>
      </c>
      <c r="B220" s="308" t="s">
        <v>34607</v>
      </c>
      <c r="C220" s="308" t="s">
        <v>1114</v>
      </c>
      <c r="D220" s="308">
        <f>IFERROR(__xludf.DUMMYFUNCTION("SPLIT(C220,""-"")"),218.0)</f>
        <v>218</v>
      </c>
      <c r="E220" s="308" t="str">
        <f>IFERROR(__xludf.DUMMYFUNCTION("""COMPUTED_VALUE"""),"P")</f>
        <v>P</v>
      </c>
      <c r="F220" s="312" t="s">
        <v>37</v>
      </c>
      <c r="G220" s="308" t="s">
        <v>34216</v>
      </c>
      <c r="H220" s="308" t="s">
        <v>1115</v>
      </c>
      <c r="I220" s="310">
        <v>42005.0</v>
      </c>
      <c r="J220" s="308">
        <f>IFERROR(__xludf.DUMMYFUNCTION("SPLIT(I220,""/"")"),1.0)</f>
        <v>1</v>
      </c>
      <c r="K220" s="308">
        <f>IFERROR(__xludf.DUMMYFUNCTION("""COMPUTED_VALUE"""),1.0)</f>
        <v>1</v>
      </c>
      <c r="L220" s="308">
        <f>IFERROR(__xludf.DUMMYFUNCTION("""COMPUTED_VALUE"""),2015.0)</f>
        <v>2015</v>
      </c>
      <c r="M220" s="308" t="s">
        <v>1116</v>
      </c>
      <c r="N220" s="308"/>
      <c r="O220" s="312" t="s">
        <v>34608</v>
      </c>
      <c r="P220" s="308" t="s">
        <v>124</v>
      </c>
      <c r="Q220" s="308"/>
      <c r="R220" s="308"/>
      <c r="S220" s="308" t="s">
        <v>81</v>
      </c>
      <c r="T220" s="308" t="s">
        <v>34201</v>
      </c>
      <c r="U220" s="308"/>
      <c r="V220" s="312"/>
    </row>
    <row r="221">
      <c r="A221" s="308">
        <v>220.0</v>
      </c>
      <c r="B221" s="308" t="s">
        <v>34609</v>
      </c>
      <c r="C221" s="308" t="s">
        <v>1118</v>
      </c>
      <c r="D221" s="308">
        <f>IFERROR(__xludf.DUMMYFUNCTION("SPLIT(C221,""-"")"),219.0)</f>
        <v>219</v>
      </c>
      <c r="E221" s="308" t="str">
        <f>IFERROR(__xludf.DUMMYFUNCTION("""COMPUTED_VALUE"""),"P")</f>
        <v>P</v>
      </c>
      <c r="F221" s="312" t="s">
        <v>37</v>
      </c>
      <c r="G221" s="308" t="s">
        <v>34216</v>
      </c>
      <c r="H221" s="308" t="s">
        <v>1119</v>
      </c>
      <c r="I221" s="310">
        <v>40196.0</v>
      </c>
      <c r="J221" s="308">
        <f>IFERROR(__xludf.DUMMYFUNCTION("SPLIT(I221,""/"")"),18.0)</f>
        <v>18</v>
      </c>
      <c r="K221" s="308">
        <f>IFERROR(__xludf.DUMMYFUNCTION("""COMPUTED_VALUE"""),1.0)</f>
        <v>1</v>
      </c>
      <c r="L221" s="308">
        <f>IFERROR(__xludf.DUMMYFUNCTION("""COMPUTED_VALUE"""),2010.0)</f>
        <v>2010</v>
      </c>
      <c r="M221" s="308" t="s">
        <v>1120</v>
      </c>
      <c r="N221" s="308"/>
      <c r="O221" s="312" t="s">
        <v>34610</v>
      </c>
      <c r="P221" s="308" t="s">
        <v>252</v>
      </c>
      <c r="Q221" s="308"/>
      <c r="R221" s="308"/>
      <c r="S221" s="308" t="s">
        <v>49</v>
      </c>
      <c r="T221" s="308" t="s">
        <v>51</v>
      </c>
      <c r="U221" s="308"/>
      <c r="V221" s="312"/>
    </row>
    <row r="222">
      <c r="A222" s="308">
        <v>221.0</v>
      </c>
      <c r="B222" s="308" t="s">
        <v>34611</v>
      </c>
      <c r="C222" s="308" t="s">
        <v>1122</v>
      </c>
      <c r="D222" s="308">
        <f>IFERROR(__xludf.DUMMYFUNCTION("SPLIT(C222,""-"")"),220.0)</f>
        <v>220</v>
      </c>
      <c r="E222" s="308" t="str">
        <f>IFERROR(__xludf.DUMMYFUNCTION("""COMPUTED_VALUE"""),"P")</f>
        <v>P</v>
      </c>
      <c r="F222" s="312" t="s">
        <v>37</v>
      </c>
      <c r="G222" s="308" t="s">
        <v>34216</v>
      </c>
      <c r="H222" s="308" t="s">
        <v>1123</v>
      </c>
      <c r="I222" s="310">
        <v>40447.0</v>
      </c>
      <c r="J222" s="308">
        <f>IFERROR(__xludf.DUMMYFUNCTION("SPLIT(I222,""/"")"),26.0)</f>
        <v>26</v>
      </c>
      <c r="K222" s="308">
        <f>IFERROR(__xludf.DUMMYFUNCTION("""COMPUTED_VALUE"""),9.0)</f>
        <v>9</v>
      </c>
      <c r="L222" s="308">
        <f>IFERROR(__xludf.DUMMYFUNCTION("""COMPUTED_VALUE"""),2010.0)</f>
        <v>2010</v>
      </c>
      <c r="M222" s="308" t="s">
        <v>1124</v>
      </c>
      <c r="N222" s="308"/>
      <c r="O222" s="312" t="s">
        <v>34612</v>
      </c>
      <c r="P222" s="308" t="s">
        <v>1126</v>
      </c>
      <c r="Q222" s="308"/>
      <c r="R222" s="308"/>
      <c r="S222" s="308" t="s">
        <v>81</v>
      </c>
      <c r="T222" s="308" t="s">
        <v>34264</v>
      </c>
      <c r="U222" s="308"/>
      <c r="V222" s="312"/>
    </row>
    <row r="223">
      <c r="A223" s="308">
        <v>222.0</v>
      </c>
      <c r="B223" s="308" t="s">
        <v>34613</v>
      </c>
      <c r="C223" s="308" t="s">
        <v>1127</v>
      </c>
      <c r="D223" s="308">
        <f>IFERROR(__xludf.DUMMYFUNCTION("SPLIT(C223,""-"")"),221.0)</f>
        <v>221</v>
      </c>
      <c r="E223" s="308" t="str">
        <f>IFERROR(__xludf.DUMMYFUNCTION("""COMPUTED_VALUE"""),"P")</f>
        <v>P</v>
      </c>
      <c r="F223" s="312" t="s">
        <v>37</v>
      </c>
      <c r="G223" s="308" t="s">
        <v>34216</v>
      </c>
      <c r="H223" s="308" t="s">
        <v>1128</v>
      </c>
      <c r="I223" s="314">
        <v>40172.0</v>
      </c>
      <c r="J223" s="308">
        <f>IFERROR(__xludf.DUMMYFUNCTION("SPLIT(I223,""/"")"),25.0)</f>
        <v>25</v>
      </c>
      <c r="K223" s="308">
        <f>IFERROR(__xludf.DUMMYFUNCTION("""COMPUTED_VALUE"""),12.0)</f>
        <v>12</v>
      </c>
      <c r="L223" s="308">
        <f>IFERROR(__xludf.DUMMYFUNCTION("""COMPUTED_VALUE"""),2009.0)</f>
        <v>2009</v>
      </c>
      <c r="M223" s="308" t="s">
        <v>1129</v>
      </c>
      <c r="N223" s="308"/>
      <c r="O223" s="312" t="s">
        <v>34614</v>
      </c>
      <c r="P223" s="308" t="s">
        <v>1131</v>
      </c>
      <c r="Q223" s="308"/>
      <c r="R223" s="308"/>
      <c r="S223" s="308" t="s">
        <v>81</v>
      </c>
      <c r="T223" s="311" t="s">
        <v>73</v>
      </c>
      <c r="U223" s="308"/>
      <c r="V223" s="312"/>
    </row>
    <row r="224">
      <c r="A224" s="308">
        <v>223.0</v>
      </c>
      <c r="B224" s="308" t="s">
        <v>34615</v>
      </c>
      <c r="C224" s="308" t="s">
        <v>1132</v>
      </c>
      <c r="D224" s="308">
        <f>IFERROR(__xludf.DUMMYFUNCTION("SPLIT(C224,""-"")"),222.0)</f>
        <v>222</v>
      </c>
      <c r="E224" s="308" t="str">
        <f>IFERROR(__xludf.DUMMYFUNCTION("""COMPUTED_VALUE"""),"P")</f>
        <v>P</v>
      </c>
      <c r="F224" s="312" t="s">
        <v>37</v>
      </c>
      <c r="G224" s="308" t="s">
        <v>34216</v>
      </c>
      <c r="H224" s="308" t="s">
        <v>1133</v>
      </c>
      <c r="I224" s="314">
        <v>40170.0</v>
      </c>
      <c r="J224" s="308">
        <f>IFERROR(__xludf.DUMMYFUNCTION("SPLIT(I224,""/"")"),23.0)</f>
        <v>23</v>
      </c>
      <c r="K224" s="308">
        <f>IFERROR(__xludf.DUMMYFUNCTION("""COMPUTED_VALUE"""),12.0)</f>
        <v>12</v>
      </c>
      <c r="L224" s="308">
        <f>IFERROR(__xludf.DUMMYFUNCTION("""COMPUTED_VALUE"""),2009.0)</f>
        <v>2009</v>
      </c>
      <c r="M224" s="308" t="s">
        <v>1134</v>
      </c>
      <c r="N224" s="308"/>
      <c r="O224" s="312" t="s">
        <v>34616</v>
      </c>
      <c r="P224" s="308" t="s">
        <v>1136</v>
      </c>
      <c r="Q224" s="308"/>
      <c r="R224" s="308"/>
      <c r="S224" s="308" t="s">
        <v>81</v>
      </c>
      <c r="T224" s="311" t="s">
        <v>75</v>
      </c>
      <c r="U224" s="308"/>
      <c r="V224" s="312"/>
    </row>
    <row r="225">
      <c r="A225" s="308">
        <v>224.0</v>
      </c>
      <c r="B225" s="308" t="s">
        <v>34617</v>
      </c>
      <c r="C225" s="308" t="s">
        <v>1137</v>
      </c>
      <c r="D225" s="308">
        <f>IFERROR(__xludf.DUMMYFUNCTION("SPLIT(C225,""-"")"),223.0)</f>
        <v>223</v>
      </c>
      <c r="E225" s="308" t="str">
        <f>IFERROR(__xludf.DUMMYFUNCTION("""COMPUTED_VALUE"""),"B")</f>
        <v>B</v>
      </c>
      <c r="F225" s="315" t="s">
        <v>26</v>
      </c>
      <c r="G225" s="308" t="s">
        <v>1138</v>
      </c>
      <c r="H225" s="308" t="s">
        <v>1139</v>
      </c>
      <c r="I225" s="310">
        <v>2010.0</v>
      </c>
      <c r="J225" s="308"/>
      <c r="K225" s="308"/>
      <c r="L225" s="311" t="s">
        <v>79</v>
      </c>
      <c r="M225" s="308" t="s">
        <v>1140</v>
      </c>
      <c r="N225" s="308"/>
      <c r="O225" s="312" t="s">
        <v>34618</v>
      </c>
      <c r="P225" s="308" t="s">
        <v>148</v>
      </c>
      <c r="Q225" s="308"/>
      <c r="R225" s="308"/>
      <c r="S225" s="308" t="s">
        <v>49</v>
      </c>
      <c r="T225" s="308" t="s">
        <v>51</v>
      </c>
      <c r="U225" s="308"/>
      <c r="V225" s="312"/>
    </row>
    <row r="226">
      <c r="A226" s="308">
        <v>225.0</v>
      </c>
      <c r="B226" s="308" t="s">
        <v>34619</v>
      </c>
      <c r="C226" s="308" t="s">
        <v>1142</v>
      </c>
      <c r="D226" s="308">
        <f>IFERROR(__xludf.DUMMYFUNCTION("SPLIT(C226,""-"")"),224.0)</f>
        <v>224</v>
      </c>
      <c r="E226" s="308" t="str">
        <f>IFERROR(__xludf.DUMMYFUNCTION("""COMPUTED_VALUE"""),"B")</f>
        <v>B</v>
      </c>
      <c r="F226" s="315" t="s">
        <v>26</v>
      </c>
      <c r="G226" s="308" t="s">
        <v>1138</v>
      </c>
      <c r="H226" s="308" t="s">
        <v>1143</v>
      </c>
      <c r="I226" s="310">
        <v>2010.0</v>
      </c>
      <c r="J226" s="308"/>
      <c r="K226" s="308"/>
      <c r="L226" s="311" t="s">
        <v>79</v>
      </c>
      <c r="M226" s="308" t="s">
        <v>1140</v>
      </c>
      <c r="N226" s="308"/>
      <c r="O226" s="312" t="s">
        <v>34618</v>
      </c>
      <c r="P226" s="308" t="s">
        <v>148</v>
      </c>
      <c r="Q226" s="308"/>
      <c r="R226" s="308"/>
      <c r="S226" s="308" t="s">
        <v>49</v>
      </c>
      <c r="T226" s="308" t="s">
        <v>51</v>
      </c>
      <c r="U226" s="308"/>
      <c r="V226" s="312"/>
    </row>
    <row r="227">
      <c r="A227" s="308">
        <v>226.0</v>
      </c>
      <c r="B227" s="308" t="s">
        <v>34620</v>
      </c>
      <c r="C227" s="308" t="s">
        <v>1144</v>
      </c>
      <c r="D227" s="308">
        <f>IFERROR(__xludf.DUMMYFUNCTION("SPLIT(C227,""-"")"),225.0)</f>
        <v>225</v>
      </c>
      <c r="E227" s="308" t="str">
        <f>IFERROR(__xludf.DUMMYFUNCTION("""COMPUTED_VALUE"""),"B")</f>
        <v>B</v>
      </c>
      <c r="F227" s="315" t="s">
        <v>26</v>
      </c>
      <c r="G227" s="308" t="s">
        <v>1138</v>
      </c>
      <c r="H227" s="308" t="s">
        <v>1145</v>
      </c>
      <c r="I227" s="310">
        <v>2010.0</v>
      </c>
      <c r="J227" s="308"/>
      <c r="K227" s="308"/>
      <c r="L227" s="311" t="s">
        <v>79</v>
      </c>
      <c r="M227" s="308" t="s">
        <v>1140</v>
      </c>
      <c r="N227" s="308"/>
      <c r="O227" s="312" t="s">
        <v>34618</v>
      </c>
      <c r="P227" s="308" t="s">
        <v>148</v>
      </c>
      <c r="Q227" s="308"/>
      <c r="R227" s="308"/>
      <c r="S227" s="308" t="s">
        <v>49</v>
      </c>
      <c r="T227" s="308" t="s">
        <v>51</v>
      </c>
      <c r="U227" s="308"/>
      <c r="V227" s="312"/>
    </row>
    <row r="228">
      <c r="A228" s="308">
        <v>227.0</v>
      </c>
      <c r="B228" s="308" t="s">
        <v>34621</v>
      </c>
      <c r="C228" s="308" t="s">
        <v>1146</v>
      </c>
      <c r="D228" s="308">
        <f>IFERROR(__xludf.DUMMYFUNCTION("SPLIT(C228,""-"")"),226.0)</f>
        <v>226</v>
      </c>
      <c r="E228" s="308" t="str">
        <f>IFERROR(__xludf.DUMMYFUNCTION("""COMPUTED_VALUE"""),"P")</f>
        <v>P</v>
      </c>
      <c r="F228" s="312" t="s">
        <v>37</v>
      </c>
      <c r="G228" s="308" t="s">
        <v>34216</v>
      </c>
      <c r="H228" s="308" t="s">
        <v>1147</v>
      </c>
      <c r="I228" s="310">
        <v>40043.0</v>
      </c>
      <c r="J228" s="308">
        <f>IFERROR(__xludf.DUMMYFUNCTION("SPLIT(I228,""/"")"),18.0)</f>
        <v>18</v>
      </c>
      <c r="K228" s="308">
        <f>IFERROR(__xludf.DUMMYFUNCTION("""COMPUTED_VALUE"""),8.0)</f>
        <v>8</v>
      </c>
      <c r="L228" s="308">
        <f>IFERROR(__xludf.DUMMYFUNCTION("""COMPUTED_VALUE"""),2009.0)</f>
        <v>2009</v>
      </c>
      <c r="M228" s="308" t="s">
        <v>1148</v>
      </c>
      <c r="N228" s="308"/>
      <c r="O228" s="312" t="s">
        <v>34622</v>
      </c>
      <c r="P228" s="308" t="s">
        <v>1150</v>
      </c>
      <c r="Q228" s="308"/>
      <c r="R228" s="308"/>
      <c r="S228" s="308" t="s">
        <v>81</v>
      </c>
      <c r="T228" s="308" t="s">
        <v>75</v>
      </c>
      <c r="U228" s="308"/>
      <c r="V228" s="312"/>
    </row>
    <row r="229">
      <c r="A229" s="308">
        <v>228.0</v>
      </c>
      <c r="B229" s="308" t="s">
        <v>34623</v>
      </c>
      <c r="C229" s="308" t="s">
        <v>1151</v>
      </c>
      <c r="D229" s="308">
        <f>IFERROR(__xludf.DUMMYFUNCTION("SPLIT(C229,""-"")"),227.0)</f>
        <v>227</v>
      </c>
      <c r="E229" s="308" t="str">
        <f>IFERROR(__xludf.DUMMYFUNCTION("""COMPUTED_VALUE"""),"K")</f>
        <v>K</v>
      </c>
      <c r="F229" s="309" t="s">
        <v>34</v>
      </c>
      <c r="G229" s="308" t="s">
        <v>34216</v>
      </c>
      <c r="H229" s="308" t="s">
        <v>1152</v>
      </c>
      <c r="I229" s="314">
        <v>39769.0</v>
      </c>
      <c r="J229" s="308">
        <f>IFERROR(__xludf.DUMMYFUNCTION("SPLIT(I229,""/"")"),17.0)</f>
        <v>17</v>
      </c>
      <c r="K229" s="308">
        <f>IFERROR(__xludf.DUMMYFUNCTION("""COMPUTED_VALUE"""),11.0)</f>
        <v>11</v>
      </c>
      <c r="L229" s="308">
        <f>IFERROR(__xludf.DUMMYFUNCTION("""COMPUTED_VALUE"""),2008.0)</f>
        <v>2008</v>
      </c>
      <c r="M229" s="308" t="s">
        <v>1153</v>
      </c>
      <c r="N229" s="308"/>
      <c r="O229" s="312" t="s">
        <v>34624</v>
      </c>
      <c r="P229" s="308" t="s">
        <v>34212</v>
      </c>
      <c r="Q229" s="308"/>
      <c r="R229" s="308"/>
      <c r="S229" s="315" t="s">
        <v>100</v>
      </c>
      <c r="T229" s="311" t="s">
        <v>34208</v>
      </c>
      <c r="U229" s="308" t="s">
        <v>530</v>
      </c>
      <c r="V229" s="312"/>
    </row>
    <row r="230">
      <c r="A230" s="308">
        <v>229.0</v>
      </c>
      <c r="B230" s="308" t="s">
        <v>34625</v>
      </c>
      <c r="C230" s="308" t="s">
        <v>1155</v>
      </c>
      <c r="D230" s="308">
        <f>IFERROR(__xludf.DUMMYFUNCTION("SPLIT(C230,""-"")"),228.0)</f>
        <v>228</v>
      </c>
      <c r="E230" s="308" t="str">
        <f>IFERROR(__xludf.DUMMYFUNCTION("""COMPUTED_VALUE"""),"K")</f>
        <v>K</v>
      </c>
      <c r="F230" s="309" t="s">
        <v>34</v>
      </c>
      <c r="G230" s="308" t="s">
        <v>34216</v>
      </c>
      <c r="H230" s="308" t="s">
        <v>1156</v>
      </c>
      <c r="I230" s="310">
        <v>39158.0</v>
      </c>
      <c r="J230" s="308">
        <f>IFERROR(__xludf.DUMMYFUNCTION("SPLIT(I230,""/"")"),17.0)</f>
        <v>17</v>
      </c>
      <c r="K230" s="308">
        <f>IFERROR(__xludf.DUMMYFUNCTION("""COMPUTED_VALUE"""),3.0)</f>
        <v>3</v>
      </c>
      <c r="L230" s="308">
        <f>IFERROR(__xludf.DUMMYFUNCTION("""COMPUTED_VALUE"""),2007.0)</f>
        <v>2007</v>
      </c>
      <c r="M230" s="308" t="s">
        <v>1157</v>
      </c>
      <c r="N230" s="308"/>
      <c r="O230" s="312" t="s">
        <v>1158</v>
      </c>
      <c r="P230" s="308" t="s">
        <v>252</v>
      </c>
      <c r="Q230" s="308"/>
      <c r="R230" s="308"/>
      <c r="S230" s="308" t="s">
        <v>49</v>
      </c>
      <c r="T230" s="308" t="s">
        <v>51</v>
      </c>
      <c r="U230" s="308" t="s">
        <v>125</v>
      </c>
      <c r="V230" s="312"/>
    </row>
    <row r="231">
      <c r="A231" s="308">
        <v>230.0</v>
      </c>
      <c r="B231" s="308" t="s">
        <v>34626</v>
      </c>
      <c r="C231" s="308" t="s">
        <v>1159</v>
      </c>
      <c r="D231" s="308">
        <f>IFERROR(__xludf.DUMMYFUNCTION("SPLIT(C231,""-"")"),229.0)</f>
        <v>229</v>
      </c>
      <c r="E231" s="308" t="str">
        <f>IFERROR(__xludf.DUMMYFUNCTION("""COMPUTED_VALUE"""),"P")</f>
        <v>P</v>
      </c>
      <c r="F231" s="312" t="s">
        <v>37</v>
      </c>
      <c r="G231" s="308" t="s">
        <v>34216</v>
      </c>
      <c r="H231" s="308" t="s">
        <v>1160</v>
      </c>
      <c r="I231" s="314">
        <v>40157.0</v>
      </c>
      <c r="J231" s="308">
        <f>IFERROR(__xludf.DUMMYFUNCTION("SPLIT(I231,""/"")"),10.0)</f>
        <v>10</v>
      </c>
      <c r="K231" s="308">
        <f>IFERROR(__xludf.DUMMYFUNCTION("""COMPUTED_VALUE"""),12.0)</f>
        <v>12</v>
      </c>
      <c r="L231" s="308">
        <f>IFERROR(__xludf.DUMMYFUNCTION("""COMPUTED_VALUE"""),2009.0)</f>
        <v>2009</v>
      </c>
      <c r="M231" s="308" t="s">
        <v>1161</v>
      </c>
      <c r="N231" s="308"/>
      <c r="O231" s="312" t="s">
        <v>34627</v>
      </c>
      <c r="P231" s="308" t="s">
        <v>1163</v>
      </c>
      <c r="Q231" s="308"/>
      <c r="R231" s="308"/>
      <c r="S231" s="308" t="s">
        <v>81</v>
      </c>
      <c r="T231" s="308" t="s">
        <v>34264</v>
      </c>
      <c r="U231" s="308"/>
      <c r="V231" s="312"/>
    </row>
    <row r="232">
      <c r="A232" s="308">
        <v>231.0</v>
      </c>
      <c r="B232" s="308" t="s">
        <v>34628</v>
      </c>
      <c r="C232" s="308" t="s">
        <v>1164</v>
      </c>
      <c r="D232" s="308">
        <f>IFERROR(__xludf.DUMMYFUNCTION("SPLIT(C232,""-"")"),230.0)</f>
        <v>230</v>
      </c>
      <c r="E232" s="308" t="str">
        <f>IFERROR(__xludf.DUMMYFUNCTION("""COMPUTED_VALUE"""),"K")</f>
        <v>K</v>
      </c>
      <c r="F232" s="309" t="s">
        <v>34</v>
      </c>
      <c r="G232" s="308" t="s">
        <v>34216</v>
      </c>
      <c r="H232" s="308" t="s">
        <v>1165</v>
      </c>
      <c r="I232" s="310">
        <v>40009.0</v>
      </c>
      <c r="J232" s="308">
        <f>IFERROR(__xludf.DUMMYFUNCTION("SPLIT(I232,""/"")"),15.0)</f>
        <v>15</v>
      </c>
      <c r="K232" s="308">
        <f>IFERROR(__xludf.DUMMYFUNCTION("""COMPUTED_VALUE"""),7.0)</f>
        <v>7</v>
      </c>
      <c r="L232" s="308">
        <f>IFERROR(__xludf.DUMMYFUNCTION("""COMPUTED_VALUE"""),2009.0)</f>
        <v>2009</v>
      </c>
      <c r="M232" s="308" t="s">
        <v>1166</v>
      </c>
      <c r="N232" s="308"/>
      <c r="O232" s="312" t="s">
        <v>34629</v>
      </c>
      <c r="P232" s="308" t="s">
        <v>1168</v>
      </c>
      <c r="Q232" s="308"/>
      <c r="R232" s="308"/>
      <c r="S232" s="308" t="s">
        <v>81</v>
      </c>
      <c r="T232" s="308" t="s">
        <v>34264</v>
      </c>
      <c r="U232" s="308"/>
      <c r="V232" s="312"/>
    </row>
    <row r="233">
      <c r="A233" s="308">
        <v>232.0</v>
      </c>
      <c r="B233" s="308" t="s">
        <v>34630</v>
      </c>
      <c r="C233" s="308" t="s">
        <v>1169</v>
      </c>
      <c r="D233" s="308">
        <f>IFERROR(__xludf.DUMMYFUNCTION("SPLIT(C233,""-"")"),231.0)</f>
        <v>231</v>
      </c>
      <c r="E233" s="308" t="str">
        <f>IFERROR(__xludf.DUMMYFUNCTION("""COMPUTED_VALUE"""),"B")</f>
        <v>B</v>
      </c>
      <c r="F233" s="315" t="s">
        <v>26</v>
      </c>
      <c r="G233" s="308"/>
      <c r="H233" s="308" t="s">
        <v>1170</v>
      </c>
      <c r="I233" s="310">
        <v>40240.0</v>
      </c>
      <c r="J233" s="308">
        <f>IFERROR(__xludf.DUMMYFUNCTION("SPLIT(I233,""/"")"),3.0)</f>
        <v>3</v>
      </c>
      <c r="K233" s="308">
        <f>IFERROR(__xludf.DUMMYFUNCTION("""COMPUTED_VALUE"""),3.0)</f>
        <v>3</v>
      </c>
      <c r="L233" s="308">
        <f>IFERROR(__xludf.DUMMYFUNCTION("""COMPUTED_VALUE"""),2010.0)</f>
        <v>2010</v>
      </c>
      <c r="M233" s="308" t="s">
        <v>468</v>
      </c>
      <c r="N233" s="308"/>
      <c r="O233" s="308" t="s">
        <v>1171</v>
      </c>
      <c r="P233" s="308" t="s">
        <v>1172</v>
      </c>
      <c r="Q233" s="308"/>
      <c r="R233" s="308"/>
      <c r="S233" s="308" t="s">
        <v>81</v>
      </c>
      <c r="T233" s="308" t="s">
        <v>75</v>
      </c>
      <c r="U233" s="308"/>
      <c r="V233" s="312"/>
    </row>
    <row r="234">
      <c r="A234" s="308">
        <v>233.0</v>
      </c>
      <c r="B234" s="308">
        <v>3440.0</v>
      </c>
      <c r="C234" s="308" t="s">
        <v>1173</v>
      </c>
      <c r="D234" s="308">
        <f>IFERROR(__xludf.DUMMYFUNCTION("SPLIT(C234,""-"")"),232.0)</f>
        <v>232</v>
      </c>
      <c r="E234" s="308" t="str">
        <f>IFERROR(__xludf.DUMMYFUNCTION("""COMPUTED_VALUE"""),"S")</f>
        <v>S</v>
      </c>
      <c r="F234" s="312" t="s">
        <v>39</v>
      </c>
      <c r="G234" s="308"/>
      <c r="H234" s="308" t="s">
        <v>1174</v>
      </c>
      <c r="I234" s="310">
        <v>40549.0</v>
      </c>
      <c r="J234" s="308">
        <f>IFERROR(__xludf.DUMMYFUNCTION("SPLIT(I234,""/"")"),6.0)</f>
        <v>6</v>
      </c>
      <c r="K234" s="308">
        <f>IFERROR(__xludf.DUMMYFUNCTION("""COMPUTED_VALUE"""),1.0)</f>
        <v>1</v>
      </c>
      <c r="L234" s="308">
        <f>IFERROR(__xludf.DUMMYFUNCTION("""COMPUTED_VALUE"""),2011.0)</f>
        <v>2011</v>
      </c>
      <c r="M234" s="308" t="s">
        <v>1175</v>
      </c>
      <c r="N234" s="308"/>
      <c r="O234" s="312" t="s">
        <v>34631</v>
      </c>
      <c r="P234" s="308" t="s">
        <v>34632</v>
      </c>
      <c r="Q234" s="308"/>
      <c r="R234" s="308"/>
      <c r="S234" s="308" t="s">
        <v>81</v>
      </c>
      <c r="T234" s="308" t="s">
        <v>98</v>
      </c>
      <c r="U234" s="308"/>
      <c r="V234" s="312"/>
    </row>
    <row r="235">
      <c r="A235" s="308">
        <v>234.0</v>
      </c>
      <c r="B235" s="308" t="s">
        <v>34633</v>
      </c>
      <c r="C235" s="308" t="s">
        <v>1178</v>
      </c>
      <c r="D235" s="308">
        <f>IFERROR(__xludf.DUMMYFUNCTION("SPLIT(C235,""-"")"),233.0)</f>
        <v>233</v>
      </c>
      <c r="E235" s="308" t="str">
        <f>IFERROR(__xludf.DUMMYFUNCTION("""COMPUTED_VALUE"""),"P")</f>
        <v>P</v>
      </c>
      <c r="F235" s="312" t="s">
        <v>37</v>
      </c>
      <c r="G235" s="308" t="s">
        <v>34216</v>
      </c>
      <c r="H235" s="308" t="s">
        <v>1179</v>
      </c>
      <c r="I235" s="310">
        <v>40615.0</v>
      </c>
      <c r="J235" s="308">
        <f>IFERROR(__xludf.DUMMYFUNCTION("SPLIT(I235,""/"")"),13.0)</f>
        <v>13</v>
      </c>
      <c r="K235" s="308">
        <f>IFERROR(__xludf.DUMMYFUNCTION("""COMPUTED_VALUE"""),3.0)</f>
        <v>3</v>
      </c>
      <c r="L235" s="308">
        <f>IFERROR(__xludf.DUMMYFUNCTION("""COMPUTED_VALUE"""),2011.0)</f>
        <v>2011</v>
      </c>
      <c r="M235" s="308" t="s">
        <v>34634</v>
      </c>
      <c r="N235" s="308"/>
      <c r="O235" s="308" t="s">
        <v>34635</v>
      </c>
      <c r="P235" s="308" t="s">
        <v>34212</v>
      </c>
      <c r="Q235" s="308"/>
      <c r="R235" s="308"/>
      <c r="S235" s="315" t="s">
        <v>100</v>
      </c>
      <c r="T235" s="311" t="s">
        <v>34208</v>
      </c>
      <c r="U235" s="308" t="s">
        <v>1182</v>
      </c>
      <c r="V235" s="312"/>
    </row>
    <row r="236">
      <c r="A236" s="308">
        <v>235.0</v>
      </c>
      <c r="B236" s="308" t="s">
        <v>34636</v>
      </c>
      <c r="C236" s="308" t="s">
        <v>1183</v>
      </c>
      <c r="D236" s="308">
        <f>IFERROR(__xludf.DUMMYFUNCTION("SPLIT(C236,""-"")"),234.0)</f>
        <v>234</v>
      </c>
      <c r="E236" s="308" t="str">
        <f>IFERROR(__xludf.DUMMYFUNCTION("""COMPUTED_VALUE"""),"P")</f>
        <v>P</v>
      </c>
      <c r="F236" s="312" t="s">
        <v>37</v>
      </c>
      <c r="G236" s="308" t="s">
        <v>34216</v>
      </c>
      <c r="H236" s="308" t="s">
        <v>1184</v>
      </c>
      <c r="I236" s="310">
        <v>40269.0</v>
      </c>
      <c r="J236" s="308">
        <f>IFERROR(__xludf.DUMMYFUNCTION("SPLIT(I236,""/"")"),1.0)</f>
        <v>1</v>
      </c>
      <c r="K236" s="308">
        <f>IFERROR(__xludf.DUMMYFUNCTION("""COMPUTED_VALUE"""),4.0)</f>
        <v>4</v>
      </c>
      <c r="L236" s="308">
        <f>IFERROR(__xludf.DUMMYFUNCTION("""COMPUTED_VALUE"""),2010.0)</f>
        <v>2010</v>
      </c>
      <c r="M236" s="308" t="s">
        <v>1185</v>
      </c>
      <c r="N236" s="308"/>
      <c r="O236" s="308" t="s">
        <v>34637</v>
      </c>
      <c r="P236" s="308" t="s">
        <v>1187</v>
      </c>
      <c r="Q236" s="308"/>
      <c r="R236" s="308"/>
      <c r="S236" s="308" t="s">
        <v>81</v>
      </c>
      <c r="T236" s="311" t="s">
        <v>73</v>
      </c>
      <c r="U236" s="308"/>
      <c r="V236" s="312"/>
    </row>
    <row r="237">
      <c r="A237" s="308">
        <v>236.0</v>
      </c>
      <c r="B237" s="308" t="s">
        <v>34638</v>
      </c>
      <c r="C237" s="308" t="s">
        <v>1188</v>
      </c>
      <c r="D237" s="308">
        <f>IFERROR(__xludf.DUMMYFUNCTION("SPLIT(C237,""-"")"),235.0)</f>
        <v>235</v>
      </c>
      <c r="E237" s="308" t="str">
        <f>IFERROR(__xludf.DUMMYFUNCTION("""COMPUTED_VALUE"""),"S")</f>
        <v>S</v>
      </c>
      <c r="F237" s="312" t="s">
        <v>39</v>
      </c>
      <c r="G237" s="308" t="s">
        <v>34216</v>
      </c>
      <c r="H237" s="308" t="s">
        <v>1189</v>
      </c>
      <c r="I237" s="310">
        <v>40578.0</v>
      </c>
      <c r="J237" s="308">
        <f>IFERROR(__xludf.DUMMYFUNCTION("SPLIT(I237,""/"")"),4.0)</f>
        <v>4</v>
      </c>
      <c r="K237" s="308">
        <f>IFERROR(__xludf.DUMMYFUNCTION("""COMPUTED_VALUE"""),2.0)</f>
        <v>2</v>
      </c>
      <c r="L237" s="308">
        <f>IFERROR(__xludf.DUMMYFUNCTION("""COMPUTED_VALUE"""),2011.0)</f>
        <v>2011</v>
      </c>
      <c r="M237" s="308" t="s">
        <v>34639</v>
      </c>
      <c r="N237" s="308"/>
      <c r="O237" s="308" t="s">
        <v>1191</v>
      </c>
      <c r="P237" s="308" t="s">
        <v>124</v>
      </c>
      <c r="Q237" s="308"/>
      <c r="R237" s="308"/>
      <c r="S237" s="308" t="s">
        <v>81</v>
      </c>
      <c r="T237" s="308" t="s">
        <v>34201</v>
      </c>
      <c r="U237" s="308"/>
      <c r="V237" s="312"/>
    </row>
    <row r="238">
      <c r="A238" s="308">
        <v>237.0</v>
      </c>
      <c r="B238" s="308" t="s">
        <v>34640</v>
      </c>
      <c r="C238" s="308" t="s">
        <v>1192</v>
      </c>
      <c r="D238" s="308">
        <f>IFERROR(__xludf.DUMMYFUNCTION("SPLIT(C238,""-"")"),236.0)</f>
        <v>236</v>
      </c>
      <c r="E238" s="308" t="str">
        <f>IFERROR(__xludf.DUMMYFUNCTION("""COMPUTED_VALUE"""),"K")</f>
        <v>K</v>
      </c>
      <c r="F238" s="309" t="s">
        <v>34</v>
      </c>
      <c r="G238" s="308" t="s">
        <v>34216</v>
      </c>
      <c r="H238" s="308" t="s">
        <v>1193</v>
      </c>
      <c r="I238" s="310">
        <v>40587.0</v>
      </c>
      <c r="J238" s="308">
        <f>IFERROR(__xludf.DUMMYFUNCTION("SPLIT(I238,""/"")"),13.0)</f>
        <v>13</v>
      </c>
      <c r="K238" s="308">
        <f>IFERROR(__xludf.DUMMYFUNCTION("""COMPUTED_VALUE"""),2.0)</f>
        <v>2</v>
      </c>
      <c r="L238" s="308">
        <f>IFERROR(__xludf.DUMMYFUNCTION("""COMPUTED_VALUE"""),2011.0)</f>
        <v>2011</v>
      </c>
      <c r="M238" s="308" t="s">
        <v>34641</v>
      </c>
      <c r="N238" s="308"/>
      <c r="O238" s="312" t="s">
        <v>34642</v>
      </c>
      <c r="P238" s="308" t="s">
        <v>34643</v>
      </c>
      <c r="Q238" s="308"/>
      <c r="R238" s="308"/>
      <c r="S238" s="308" t="s">
        <v>81</v>
      </c>
      <c r="T238" s="308" t="s">
        <v>34264</v>
      </c>
      <c r="U238" s="308"/>
      <c r="V238" s="312"/>
    </row>
    <row r="239">
      <c r="A239" s="308">
        <v>238.0</v>
      </c>
      <c r="B239" s="308" t="s">
        <v>34644</v>
      </c>
      <c r="C239" s="308" t="s">
        <v>1197</v>
      </c>
      <c r="D239" s="308">
        <f>IFERROR(__xludf.DUMMYFUNCTION("SPLIT(C239,""-"")"),237.0)</f>
        <v>237</v>
      </c>
      <c r="E239" s="308" t="str">
        <f>IFERROR(__xludf.DUMMYFUNCTION("""COMPUTED_VALUE"""),"P")</f>
        <v>P</v>
      </c>
      <c r="F239" s="312" t="s">
        <v>37</v>
      </c>
      <c r="G239" s="308" t="s">
        <v>34216</v>
      </c>
      <c r="H239" s="308" t="s">
        <v>1198</v>
      </c>
      <c r="I239" s="310">
        <v>40289.0</v>
      </c>
      <c r="J239" s="308">
        <f>IFERROR(__xludf.DUMMYFUNCTION("SPLIT(I239,""/"")"),21.0)</f>
        <v>21</v>
      </c>
      <c r="K239" s="308">
        <f>IFERROR(__xludf.DUMMYFUNCTION("""COMPUTED_VALUE"""),4.0)</f>
        <v>4</v>
      </c>
      <c r="L239" s="308">
        <f>IFERROR(__xludf.DUMMYFUNCTION("""COMPUTED_VALUE"""),2010.0)</f>
        <v>2010</v>
      </c>
      <c r="M239" s="308" t="s">
        <v>34645</v>
      </c>
      <c r="N239" s="308"/>
      <c r="O239" s="312" t="s">
        <v>34646</v>
      </c>
      <c r="P239" s="308" t="s">
        <v>1201</v>
      </c>
      <c r="Q239" s="308"/>
      <c r="R239" s="308"/>
      <c r="S239" s="308" t="s">
        <v>49</v>
      </c>
      <c r="T239" s="308" t="s">
        <v>51</v>
      </c>
      <c r="U239" s="308"/>
      <c r="V239" s="312"/>
    </row>
    <row r="240">
      <c r="A240" s="308">
        <v>239.0</v>
      </c>
      <c r="B240" s="308" t="s">
        <v>34647</v>
      </c>
      <c r="C240" s="308" t="s">
        <v>34648</v>
      </c>
      <c r="D240" s="308">
        <f>IFERROR(__xludf.DUMMYFUNCTION("SPLIT(C240,""-"")"),238.0)</f>
        <v>238</v>
      </c>
      <c r="E240" s="311"/>
      <c r="F240" s="317" t="s">
        <v>39</v>
      </c>
      <c r="G240" s="308" t="s">
        <v>34216</v>
      </c>
      <c r="H240" s="308" t="s">
        <v>1202</v>
      </c>
      <c r="I240" s="310">
        <v>40186.0</v>
      </c>
      <c r="J240" s="308">
        <f>IFERROR(__xludf.DUMMYFUNCTION("SPLIT(I240,""/"")"),8.0)</f>
        <v>8</v>
      </c>
      <c r="K240" s="308">
        <f>IFERROR(__xludf.DUMMYFUNCTION("""COMPUTED_VALUE"""),1.0)</f>
        <v>1</v>
      </c>
      <c r="L240" s="308">
        <f>IFERROR(__xludf.DUMMYFUNCTION("""COMPUTED_VALUE"""),2010.0)</f>
        <v>2010</v>
      </c>
      <c r="M240" s="308" t="s">
        <v>34649</v>
      </c>
      <c r="N240" s="308"/>
      <c r="O240" s="308" t="s">
        <v>34650</v>
      </c>
      <c r="P240" s="308" t="s">
        <v>34651</v>
      </c>
      <c r="Q240" s="308"/>
      <c r="R240" s="308"/>
      <c r="S240" s="308" t="s">
        <v>81</v>
      </c>
      <c r="T240" s="308" t="s">
        <v>75</v>
      </c>
      <c r="U240" s="308"/>
      <c r="V240" s="312"/>
    </row>
    <row r="241">
      <c r="A241" s="308">
        <v>240.0</v>
      </c>
      <c r="B241" s="308" t="s">
        <v>34652</v>
      </c>
      <c r="C241" s="308" t="s">
        <v>1206</v>
      </c>
      <c r="D241" s="308">
        <f>IFERROR(__xludf.DUMMYFUNCTION("SPLIT(C241,""-"")"),239.0)</f>
        <v>239</v>
      </c>
      <c r="E241" s="308" t="str">
        <f>IFERROR(__xludf.DUMMYFUNCTION("""COMPUTED_VALUE"""),"S")</f>
        <v>S</v>
      </c>
      <c r="F241" s="312" t="s">
        <v>39</v>
      </c>
      <c r="G241" s="308" t="s">
        <v>34216</v>
      </c>
      <c r="H241" s="308" t="s">
        <v>1207</v>
      </c>
      <c r="I241" s="310">
        <v>40618.0</v>
      </c>
      <c r="J241" s="308">
        <f>IFERROR(__xludf.DUMMYFUNCTION("SPLIT(I241,""/"")"),16.0)</f>
        <v>16</v>
      </c>
      <c r="K241" s="308">
        <f>IFERROR(__xludf.DUMMYFUNCTION("""COMPUTED_VALUE"""),3.0)</f>
        <v>3</v>
      </c>
      <c r="L241" s="308">
        <f>IFERROR(__xludf.DUMMYFUNCTION("""COMPUTED_VALUE"""),2011.0)</f>
        <v>2011</v>
      </c>
      <c r="M241" s="308" t="s">
        <v>34653</v>
      </c>
      <c r="N241" s="308"/>
      <c r="O241" s="312" t="s">
        <v>34654</v>
      </c>
      <c r="P241" s="308" t="s">
        <v>1210</v>
      </c>
      <c r="Q241" s="308"/>
      <c r="R241" s="308"/>
      <c r="S241" s="308" t="s">
        <v>81</v>
      </c>
      <c r="T241" s="308" t="s">
        <v>75</v>
      </c>
      <c r="U241" s="308"/>
      <c r="V241" s="312"/>
    </row>
    <row r="242">
      <c r="A242" s="308">
        <v>241.0</v>
      </c>
      <c r="B242" s="308" t="s">
        <v>34655</v>
      </c>
      <c r="C242" s="308" t="s">
        <v>1211</v>
      </c>
      <c r="D242" s="308">
        <f>IFERROR(__xludf.DUMMYFUNCTION("SPLIT(C242,""-"")"),240.0)</f>
        <v>240</v>
      </c>
      <c r="E242" s="308" t="str">
        <f>IFERROR(__xludf.DUMMYFUNCTION("""COMPUTED_VALUE"""),"B")</f>
        <v>B</v>
      </c>
      <c r="F242" s="315" t="s">
        <v>26</v>
      </c>
      <c r="G242" s="308" t="s">
        <v>34216</v>
      </c>
      <c r="H242" s="308" t="s">
        <v>1212</v>
      </c>
      <c r="I242" s="310">
        <v>40575.0</v>
      </c>
      <c r="J242" s="308">
        <f>IFERROR(__xludf.DUMMYFUNCTION("SPLIT(I242,""/"")"),1.0)</f>
        <v>1</v>
      </c>
      <c r="K242" s="308">
        <f>IFERROR(__xludf.DUMMYFUNCTION("""COMPUTED_VALUE"""),2.0)</f>
        <v>2</v>
      </c>
      <c r="L242" s="308">
        <f>IFERROR(__xludf.DUMMYFUNCTION("""COMPUTED_VALUE"""),2011.0)</f>
        <v>2011</v>
      </c>
      <c r="M242" s="308" t="s">
        <v>34656</v>
      </c>
      <c r="N242" s="308"/>
      <c r="O242" s="312" t="s">
        <v>34657</v>
      </c>
      <c r="P242" s="308" t="s">
        <v>34658</v>
      </c>
      <c r="Q242" s="308"/>
      <c r="R242" s="308"/>
      <c r="S242" s="308" t="s">
        <v>81</v>
      </c>
      <c r="T242" s="308" t="s">
        <v>98</v>
      </c>
      <c r="U242" s="308"/>
      <c r="V242" s="312"/>
    </row>
    <row r="243">
      <c r="A243" s="308">
        <v>242.0</v>
      </c>
      <c r="B243" s="308" t="s">
        <v>34659</v>
      </c>
      <c r="C243" s="308" t="s">
        <v>34660</v>
      </c>
      <c r="D243" s="308">
        <f>IFERROR(__xludf.DUMMYFUNCTION("SPLIT(C243,""-"")"),241.0)</f>
        <v>241</v>
      </c>
      <c r="E243" s="311"/>
      <c r="F243" s="309" t="s">
        <v>34</v>
      </c>
      <c r="G243" s="308" t="s">
        <v>34216</v>
      </c>
      <c r="H243" s="308" t="s">
        <v>1216</v>
      </c>
      <c r="I243" s="310">
        <v>40441.0</v>
      </c>
      <c r="J243" s="308">
        <f>IFERROR(__xludf.DUMMYFUNCTION("SPLIT(I243,""/"")"),20.0)</f>
        <v>20</v>
      </c>
      <c r="K243" s="308">
        <f>IFERROR(__xludf.DUMMYFUNCTION("""COMPUTED_VALUE"""),9.0)</f>
        <v>9</v>
      </c>
      <c r="L243" s="308">
        <f>IFERROR(__xludf.DUMMYFUNCTION("""COMPUTED_VALUE"""),2010.0)</f>
        <v>2010</v>
      </c>
      <c r="M243" s="308" t="s">
        <v>34661</v>
      </c>
      <c r="N243" s="308"/>
      <c r="O243" s="312" t="s">
        <v>635</v>
      </c>
      <c r="P243" s="308" t="s">
        <v>1218</v>
      </c>
      <c r="Q243" s="308"/>
      <c r="R243" s="308"/>
      <c r="S243" s="308" t="s">
        <v>49</v>
      </c>
      <c r="T243" s="308" t="s">
        <v>51</v>
      </c>
      <c r="U243" s="308"/>
      <c r="V243" s="312"/>
    </row>
    <row r="244">
      <c r="A244" s="308">
        <v>243.0</v>
      </c>
      <c r="B244" s="308" t="s">
        <v>34662</v>
      </c>
      <c r="C244" s="308" t="s">
        <v>1219</v>
      </c>
      <c r="D244" s="308">
        <f>IFERROR(__xludf.DUMMYFUNCTION("SPLIT(C244,""-"")"),242.0)</f>
        <v>242</v>
      </c>
      <c r="E244" s="308" t="str">
        <f>IFERROR(__xludf.DUMMYFUNCTION("""COMPUTED_VALUE"""),"P")</f>
        <v>P</v>
      </c>
      <c r="F244" s="312" t="s">
        <v>37</v>
      </c>
      <c r="G244" s="308" t="s">
        <v>34216</v>
      </c>
      <c r="H244" s="308" t="s">
        <v>1220</v>
      </c>
      <c r="I244" s="310">
        <v>40396.0</v>
      </c>
      <c r="J244" s="308">
        <f>IFERROR(__xludf.DUMMYFUNCTION("SPLIT(I244,""/"")"),6.0)</f>
        <v>6</v>
      </c>
      <c r="K244" s="308">
        <f>IFERROR(__xludf.DUMMYFUNCTION("""COMPUTED_VALUE"""),8.0)</f>
        <v>8</v>
      </c>
      <c r="L244" s="308">
        <f>IFERROR(__xludf.DUMMYFUNCTION("""COMPUTED_VALUE"""),2010.0)</f>
        <v>2010</v>
      </c>
      <c r="M244" s="308" t="s">
        <v>1221</v>
      </c>
      <c r="N244" s="308"/>
      <c r="O244" s="312" t="s">
        <v>34663</v>
      </c>
      <c r="P244" s="308" t="s">
        <v>1223</v>
      </c>
      <c r="Q244" s="308"/>
      <c r="R244" s="308"/>
      <c r="S244" s="308" t="s">
        <v>81</v>
      </c>
      <c r="T244" s="308" t="s">
        <v>98</v>
      </c>
      <c r="U244" s="308"/>
      <c r="V244" s="312"/>
    </row>
    <row r="245">
      <c r="A245" s="308">
        <v>244.0</v>
      </c>
      <c r="B245" s="308" t="s">
        <v>34664</v>
      </c>
      <c r="C245" s="308" t="s">
        <v>34665</v>
      </c>
      <c r="D245" s="308">
        <f>IFERROR(__xludf.DUMMYFUNCTION("SPLIT(C245,""-"")"),243.0)</f>
        <v>243</v>
      </c>
      <c r="E245" s="311"/>
      <c r="F245" s="309" t="s">
        <v>34</v>
      </c>
      <c r="G245" s="308" t="s">
        <v>34216</v>
      </c>
      <c r="H245" s="308" t="s">
        <v>1224</v>
      </c>
      <c r="I245" s="310">
        <v>40452.0</v>
      </c>
      <c r="J245" s="308">
        <f>IFERROR(__xludf.DUMMYFUNCTION("SPLIT(I245,""/"")"),1.0)</f>
        <v>1</v>
      </c>
      <c r="K245" s="308">
        <f>IFERROR(__xludf.DUMMYFUNCTION("""COMPUTED_VALUE"""),10.0)</f>
        <v>10</v>
      </c>
      <c r="L245" s="308">
        <f>IFERROR(__xludf.DUMMYFUNCTION("""COMPUTED_VALUE"""),2010.0)</f>
        <v>2010</v>
      </c>
      <c r="M245" s="308" t="s">
        <v>1225</v>
      </c>
      <c r="N245" s="308"/>
      <c r="O245" s="312" t="s">
        <v>635</v>
      </c>
      <c r="P245" s="308" t="s">
        <v>1226</v>
      </c>
      <c r="Q245" s="308"/>
      <c r="R245" s="308"/>
      <c r="S245" s="308" t="s">
        <v>81</v>
      </c>
      <c r="T245" s="308" t="s">
        <v>75</v>
      </c>
      <c r="U245" s="308"/>
      <c r="V245" s="312"/>
    </row>
    <row r="246">
      <c r="A246" s="308">
        <v>245.0</v>
      </c>
      <c r="B246" s="308" t="s">
        <v>34666</v>
      </c>
      <c r="C246" s="308" t="s">
        <v>1227</v>
      </c>
      <c r="D246" s="308">
        <f>IFERROR(__xludf.DUMMYFUNCTION("SPLIT(C246,""-"")"),244.0)</f>
        <v>244</v>
      </c>
      <c r="E246" s="308" t="str">
        <f>IFERROR(__xludf.DUMMYFUNCTION("""COMPUTED_VALUE"""),"S")</f>
        <v>S</v>
      </c>
      <c r="F246" s="312" t="s">
        <v>39</v>
      </c>
      <c r="G246" s="308" t="s">
        <v>1228</v>
      </c>
      <c r="H246" s="308" t="s">
        <v>1229</v>
      </c>
      <c r="I246" s="314">
        <v>40466.0</v>
      </c>
      <c r="J246" s="308">
        <f>IFERROR(__xludf.DUMMYFUNCTION("SPLIT(I246,""/"")"),15.0)</f>
        <v>15</v>
      </c>
      <c r="K246" s="308">
        <f>IFERROR(__xludf.DUMMYFUNCTION("""COMPUTED_VALUE"""),10.0)</f>
        <v>10</v>
      </c>
      <c r="L246" s="308">
        <f>IFERROR(__xludf.DUMMYFUNCTION("""COMPUTED_VALUE"""),2010.0)</f>
        <v>2010</v>
      </c>
      <c r="M246" s="308" t="s">
        <v>1230</v>
      </c>
      <c r="N246" s="308"/>
      <c r="O246" s="312" t="s">
        <v>1231</v>
      </c>
      <c r="P246" s="308" t="s">
        <v>34667</v>
      </c>
      <c r="Q246" s="308"/>
      <c r="R246" s="308"/>
      <c r="S246" s="308" t="s">
        <v>81</v>
      </c>
      <c r="T246" s="308" t="s">
        <v>75</v>
      </c>
      <c r="U246" s="308"/>
      <c r="V246" s="312"/>
    </row>
    <row r="247">
      <c r="A247" s="308">
        <v>246.0</v>
      </c>
      <c r="B247" s="308" t="s">
        <v>34668</v>
      </c>
      <c r="C247" s="308" t="s">
        <v>1233</v>
      </c>
      <c r="D247" s="308">
        <f>IFERROR(__xludf.DUMMYFUNCTION("SPLIT(C247,""-"")"),245.0)</f>
        <v>245</v>
      </c>
      <c r="E247" s="308" t="str">
        <f>IFERROR(__xludf.DUMMYFUNCTION("""COMPUTED_VALUE"""),"B")</f>
        <v>B</v>
      </c>
      <c r="F247" s="315" t="s">
        <v>26</v>
      </c>
      <c r="G247" s="308" t="s">
        <v>34216</v>
      </c>
      <c r="H247" s="308" t="s">
        <v>1234</v>
      </c>
      <c r="I247" s="314">
        <v>40496.0</v>
      </c>
      <c r="J247" s="308">
        <f>IFERROR(__xludf.DUMMYFUNCTION("SPLIT(I247,""/"")"),14.0)</f>
        <v>14</v>
      </c>
      <c r="K247" s="308">
        <f>IFERROR(__xludf.DUMMYFUNCTION("""COMPUTED_VALUE"""),11.0)</f>
        <v>11</v>
      </c>
      <c r="L247" s="308">
        <f>IFERROR(__xludf.DUMMYFUNCTION("""COMPUTED_VALUE"""),2010.0)</f>
        <v>2010</v>
      </c>
      <c r="M247" s="308" t="s">
        <v>1235</v>
      </c>
      <c r="N247" s="308"/>
      <c r="O247" s="312" t="s">
        <v>635</v>
      </c>
      <c r="P247" s="308" t="s">
        <v>1236</v>
      </c>
      <c r="Q247" s="308"/>
      <c r="R247" s="308"/>
      <c r="S247" s="308" t="s">
        <v>81</v>
      </c>
      <c r="T247" s="308" t="s">
        <v>98</v>
      </c>
      <c r="U247" s="308"/>
      <c r="V247" s="312"/>
    </row>
    <row r="248">
      <c r="A248" s="308">
        <v>247.0</v>
      </c>
      <c r="B248" s="308" t="s">
        <v>34669</v>
      </c>
      <c r="C248" s="308" t="s">
        <v>1237</v>
      </c>
      <c r="D248" s="308">
        <f>IFERROR(__xludf.DUMMYFUNCTION("SPLIT(C248,""-"")"),246.0)</f>
        <v>246</v>
      </c>
      <c r="E248" s="308" t="str">
        <f>IFERROR(__xludf.DUMMYFUNCTION("""COMPUTED_VALUE"""),"K")</f>
        <v>K</v>
      </c>
      <c r="F248" s="309" t="s">
        <v>34</v>
      </c>
      <c r="G248" s="308" t="s">
        <v>1238</v>
      </c>
      <c r="H248" s="308" t="s">
        <v>1239</v>
      </c>
      <c r="I248" s="310">
        <v>40405.0</v>
      </c>
      <c r="J248" s="308">
        <f>IFERROR(__xludf.DUMMYFUNCTION("SPLIT(I248,""/"")"),15.0)</f>
        <v>15</v>
      </c>
      <c r="K248" s="308">
        <f>IFERROR(__xludf.DUMMYFUNCTION("""COMPUTED_VALUE"""),8.0)</f>
        <v>8</v>
      </c>
      <c r="L248" s="308">
        <f>IFERROR(__xludf.DUMMYFUNCTION("""COMPUTED_VALUE"""),2010.0)</f>
        <v>2010</v>
      </c>
      <c r="M248" s="308" t="s">
        <v>1240</v>
      </c>
      <c r="N248" s="308"/>
      <c r="O248" s="312" t="s">
        <v>34670</v>
      </c>
      <c r="P248" s="308" t="s">
        <v>1242</v>
      </c>
      <c r="Q248" s="308"/>
      <c r="R248" s="308"/>
      <c r="S248" s="308" t="s">
        <v>81</v>
      </c>
      <c r="T248" s="308" t="s">
        <v>34264</v>
      </c>
      <c r="U248" s="308"/>
      <c r="V248" s="312"/>
    </row>
    <row r="249">
      <c r="A249" s="308">
        <v>248.0</v>
      </c>
      <c r="B249" s="308">
        <v>3455.0</v>
      </c>
      <c r="C249" s="308" t="s">
        <v>1243</v>
      </c>
      <c r="D249" s="308">
        <f>IFERROR(__xludf.DUMMYFUNCTION("SPLIT(C249,""-"")"),247.0)</f>
        <v>247</v>
      </c>
      <c r="E249" s="308" t="str">
        <f>IFERROR(__xludf.DUMMYFUNCTION("""COMPUTED_VALUE"""),"K")</f>
        <v>K</v>
      </c>
      <c r="F249" s="309" t="s">
        <v>34</v>
      </c>
      <c r="G249" s="308" t="s">
        <v>34216</v>
      </c>
      <c r="H249" s="308" t="s">
        <v>1244</v>
      </c>
      <c r="I249" s="310">
        <v>39920.0</v>
      </c>
      <c r="J249" s="308">
        <f>IFERROR(__xludf.DUMMYFUNCTION("SPLIT(I249,""/"")"),17.0)</f>
        <v>17</v>
      </c>
      <c r="K249" s="308">
        <f>IFERROR(__xludf.DUMMYFUNCTION("""COMPUTED_VALUE"""),4.0)</f>
        <v>4</v>
      </c>
      <c r="L249" s="308">
        <f>IFERROR(__xludf.DUMMYFUNCTION("""COMPUTED_VALUE"""),2009.0)</f>
        <v>2009</v>
      </c>
      <c r="M249" s="308" t="s">
        <v>1245</v>
      </c>
      <c r="N249" s="308"/>
      <c r="O249" s="312" t="s">
        <v>34671</v>
      </c>
      <c r="P249" s="308" t="s">
        <v>252</v>
      </c>
      <c r="Q249" s="308"/>
      <c r="R249" s="308"/>
      <c r="S249" s="308" t="s">
        <v>49</v>
      </c>
      <c r="T249" s="308" t="s">
        <v>51</v>
      </c>
      <c r="U249" s="308" t="s">
        <v>137</v>
      </c>
      <c r="V249" s="312"/>
    </row>
    <row r="250">
      <c r="A250" s="308">
        <v>249.0</v>
      </c>
      <c r="B250" s="308">
        <v>3456.0</v>
      </c>
      <c r="C250" s="308" t="s">
        <v>1247</v>
      </c>
      <c r="D250" s="308">
        <f>IFERROR(__xludf.DUMMYFUNCTION("SPLIT(C250,""-"")"),248.0)</f>
        <v>248</v>
      </c>
      <c r="E250" s="308" t="str">
        <f>IFERROR(__xludf.DUMMYFUNCTION("""COMPUTED_VALUE"""),"K")</f>
        <v>K</v>
      </c>
      <c r="F250" s="309" t="s">
        <v>34</v>
      </c>
      <c r="G250" s="308" t="s">
        <v>34216</v>
      </c>
      <c r="H250" s="308" t="s">
        <v>1248</v>
      </c>
      <c r="I250" s="310">
        <v>39920.0</v>
      </c>
      <c r="J250" s="308">
        <f>IFERROR(__xludf.DUMMYFUNCTION("SPLIT(I250,""/"")"),17.0)</f>
        <v>17</v>
      </c>
      <c r="K250" s="308">
        <f>IFERROR(__xludf.DUMMYFUNCTION("""COMPUTED_VALUE"""),4.0)</f>
        <v>4</v>
      </c>
      <c r="L250" s="308">
        <f>IFERROR(__xludf.DUMMYFUNCTION("""COMPUTED_VALUE"""),2009.0)</f>
        <v>2009</v>
      </c>
      <c r="M250" s="308" t="s">
        <v>1245</v>
      </c>
      <c r="N250" s="308"/>
      <c r="O250" s="308" t="s">
        <v>1249</v>
      </c>
      <c r="P250" s="308" t="s">
        <v>252</v>
      </c>
      <c r="Q250" s="308"/>
      <c r="R250" s="308"/>
      <c r="S250" s="308" t="s">
        <v>49</v>
      </c>
      <c r="T250" s="308" t="s">
        <v>51</v>
      </c>
      <c r="U250" s="308" t="s">
        <v>137</v>
      </c>
      <c r="V250" s="312"/>
    </row>
    <row r="251">
      <c r="A251" s="308">
        <v>250.0</v>
      </c>
      <c r="B251" s="308">
        <v>3457.0</v>
      </c>
      <c r="C251" s="308" t="s">
        <v>1250</v>
      </c>
      <c r="D251" s="308">
        <f>IFERROR(__xludf.DUMMYFUNCTION("SPLIT(C251,""-"")"),249.0)</f>
        <v>249</v>
      </c>
      <c r="E251" s="308" t="str">
        <f>IFERROR(__xludf.DUMMYFUNCTION("""COMPUTED_VALUE"""),"K")</f>
        <v>K</v>
      </c>
      <c r="F251" s="309" t="s">
        <v>34</v>
      </c>
      <c r="G251" s="308" t="s">
        <v>34216</v>
      </c>
      <c r="H251" s="308" t="s">
        <v>1251</v>
      </c>
      <c r="I251" s="314">
        <v>40522.0</v>
      </c>
      <c r="J251" s="308">
        <f>IFERROR(__xludf.DUMMYFUNCTION("SPLIT(I251,""/"")"),10.0)</f>
        <v>10</v>
      </c>
      <c r="K251" s="308">
        <f>IFERROR(__xludf.DUMMYFUNCTION("""COMPUTED_VALUE"""),12.0)</f>
        <v>12</v>
      </c>
      <c r="L251" s="308">
        <f>IFERROR(__xludf.DUMMYFUNCTION("""COMPUTED_VALUE"""),2010.0)</f>
        <v>2010</v>
      </c>
      <c r="M251" s="308" t="s">
        <v>1252</v>
      </c>
      <c r="N251" s="308"/>
      <c r="O251" s="312" t="s">
        <v>34672</v>
      </c>
      <c r="P251" s="308" t="s">
        <v>34673</v>
      </c>
      <c r="Q251" s="308"/>
      <c r="R251" s="308"/>
      <c r="S251" s="308" t="s">
        <v>81</v>
      </c>
      <c r="T251" s="308" t="s">
        <v>98</v>
      </c>
      <c r="U251" s="308"/>
      <c r="V251" s="312"/>
    </row>
    <row r="252">
      <c r="A252" s="308">
        <v>251.0</v>
      </c>
      <c r="B252" s="308">
        <v>3458.0</v>
      </c>
      <c r="C252" s="308" t="s">
        <v>1255</v>
      </c>
      <c r="D252" s="308">
        <f>IFERROR(__xludf.DUMMYFUNCTION("SPLIT(C252,""-"")"),250.0)</f>
        <v>250</v>
      </c>
      <c r="E252" s="308" t="str">
        <f>IFERROR(__xludf.DUMMYFUNCTION("""COMPUTED_VALUE"""),"P")</f>
        <v>P</v>
      </c>
      <c r="F252" s="312" t="s">
        <v>37</v>
      </c>
      <c r="G252" s="308" t="s">
        <v>34216</v>
      </c>
      <c r="H252" s="308" t="s">
        <v>1256</v>
      </c>
      <c r="I252" s="310">
        <v>40611.0</v>
      </c>
      <c r="J252" s="308">
        <f>IFERROR(__xludf.DUMMYFUNCTION("SPLIT(I252,""/"")"),9.0)</f>
        <v>9</v>
      </c>
      <c r="K252" s="308">
        <f>IFERROR(__xludf.DUMMYFUNCTION("""COMPUTED_VALUE"""),3.0)</f>
        <v>3</v>
      </c>
      <c r="L252" s="308">
        <f>IFERROR(__xludf.DUMMYFUNCTION("""COMPUTED_VALUE"""),2011.0)</f>
        <v>2011</v>
      </c>
      <c r="M252" s="308" t="s">
        <v>1257</v>
      </c>
      <c r="N252" s="308"/>
      <c r="O252" s="312" t="s">
        <v>34674</v>
      </c>
      <c r="P252" s="308" t="s">
        <v>1210</v>
      </c>
      <c r="Q252" s="308"/>
      <c r="R252" s="308"/>
      <c r="S252" s="308" t="s">
        <v>81</v>
      </c>
      <c r="T252" s="308" t="s">
        <v>75</v>
      </c>
      <c r="U252" s="308"/>
      <c r="V252" s="312"/>
    </row>
    <row r="253">
      <c r="A253" s="308">
        <v>252.0</v>
      </c>
      <c r="B253" s="308">
        <v>3459.0</v>
      </c>
      <c r="C253" s="308" t="s">
        <v>34675</v>
      </c>
      <c r="D253" s="308">
        <f>IFERROR(__xludf.DUMMYFUNCTION("SPLIT(C253,""-"")"),251.0)</f>
        <v>251</v>
      </c>
      <c r="E253" s="311"/>
      <c r="F253" s="309" t="s">
        <v>26</v>
      </c>
      <c r="G253" s="308" t="s">
        <v>34216</v>
      </c>
      <c r="H253" s="308" t="s">
        <v>1259</v>
      </c>
      <c r="I253" s="314">
        <v>40525.0</v>
      </c>
      <c r="J253" s="308">
        <f>IFERROR(__xludf.DUMMYFUNCTION("SPLIT(I253,""/"")"),13.0)</f>
        <v>13</v>
      </c>
      <c r="K253" s="308">
        <f>IFERROR(__xludf.DUMMYFUNCTION("""COMPUTED_VALUE"""),12.0)</f>
        <v>12</v>
      </c>
      <c r="L253" s="308">
        <f>IFERROR(__xludf.DUMMYFUNCTION("""COMPUTED_VALUE"""),2010.0)</f>
        <v>2010</v>
      </c>
      <c r="M253" s="308" t="s">
        <v>1260</v>
      </c>
      <c r="N253" s="308"/>
      <c r="O253" s="308" t="s">
        <v>1261</v>
      </c>
      <c r="P253" s="308" t="s">
        <v>1262</v>
      </c>
      <c r="Q253" s="308"/>
      <c r="R253" s="308"/>
      <c r="S253" s="308" t="s">
        <v>81</v>
      </c>
      <c r="T253" s="308" t="s">
        <v>98</v>
      </c>
      <c r="U253" s="308"/>
      <c r="V253" s="312"/>
    </row>
    <row r="254">
      <c r="A254" s="308">
        <v>253.0</v>
      </c>
      <c r="B254" s="308">
        <v>3460.0</v>
      </c>
      <c r="C254" s="308" t="s">
        <v>34676</v>
      </c>
      <c r="D254" s="308">
        <f>IFERROR(__xludf.DUMMYFUNCTION("SPLIT(C254,""-"")"),252.0)</f>
        <v>252</v>
      </c>
      <c r="E254" s="311"/>
      <c r="F254" s="309" t="s">
        <v>31</v>
      </c>
      <c r="G254" s="308" t="s">
        <v>34216</v>
      </c>
      <c r="H254" s="308" t="s">
        <v>1263</v>
      </c>
      <c r="I254" s="310">
        <v>40513.0</v>
      </c>
      <c r="J254" s="308">
        <f>IFERROR(__xludf.DUMMYFUNCTION("SPLIT(I254,""/"")"),1.0)</f>
        <v>1</v>
      </c>
      <c r="K254" s="308">
        <f>IFERROR(__xludf.DUMMYFUNCTION("""COMPUTED_VALUE"""),12.0)</f>
        <v>12</v>
      </c>
      <c r="L254" s="308">
        <f>IFERROR(__xludf.DUMMYFUNCTION("""COMPUTED_VALUE"""),2010.0)</f>
        <v>2010</v>
      </c>
      <c r="M254" s="308" t="s">
        <v>1264</v>
      </c>
      <c r="N254" s="308"/>
      <c r="O254" s="312" t="s">
        <v>34677</v>
      </c>
      <c r="P254" s="308" t="s">
        <v>1266</v>
      </c>
      <c r="Q254" s="308"/>
      <c r="R254" s="308"/>
      <c r="S254" s="308" t="s">
        <v>49</v>
      </c>
      <c r="T254" s="311" t="s">
        <v>77</v>
      </c>
      <c r="U254" s="308"/>
      <c r="V254" s="312"/>
    </row>
    <row r="255">
      <c r="A255" s="308">
        <v>254.0</v>
      </c>
      <c r="B255" s="308">
        <v>3461.0</v>
      </c>
      <c r="C255" s="308" t="s">
        <v>34678</v>
      </c>
      <c r="D255" s="308">
        <f>IFERROR(__xludf.DUMMYFUNCTION("SPLIT(C255,""-"")"),253.0)</f>
        <v>253</v>
      </c>
      <c r="E255" s="311"/>
      <c r="F255" s="317" t="s">
        <v>37</v>
      </c>
      <c r="G255" s="308" t="s">
        <v>34216</v>
      </c>
      <c r="H255" s="308" t="s">
        <v>1267</v>
      </c>
      <c r="I255" s="310">
        <v>40155.0</v>
      </c>
      <c r="J255" s="308">
        <f>IFERROR(__xludf.DUMMYFUNCTION("SPLIT(I255,""/"")"),8.0)</f>
        <v>8</v>
      </c>
      <c r="K255" s="308">
        <f>IFERROR(__xludf.DUMMYFUNCTION("""COMPUTED_VALUE"""),12.0)</f>
        <v>12</v>
      </c>
      <c r="L255" s="308">
        <f>IFERROR(__xludf.DUMMYFUNCTION("""COMPUTED_VALUE"""),2009.0)</f>
        <v>2009</v>
      </c>
      <c r="M255" s="308" t="s">
        <v>1268</v>
      </c>
      <c r="N255" s="308"/>
      <c r="O255" s="312" t="s">
        <v>34679</v>
      </c>
      <c r="P255" s="308" t="s">
        <v>1270</v>
      </c>
      <c r="Q255" s="308"/>
      <c r="R255" s="308"/>
      <c r="S255" s="308" t="s">
        <v>81</v>
      </c>
      <c r="T255" s="308" t="s">
        <v>75</v>
      </c>
      <c r="U255" s="308"/>
      <c r="V255" s="312"/>
    </row>
    <row r="256">
      <c r="A256" s="308">
        <v>255.0</v>
      </c>
      <c r="B256" s="308">
        <v>3462.0</v>
      </c>
      <c r="C256" s="308" t="s">
        <v>34680</v>
      </c>
      <c r="D256" s="308">
        <f>IFERROR(__xludf.DUMMYFUNCTION("SPLIT(C256,""-"")"),254.0)</f>
        <v>254</v>
      </c>
      <c r="E256" s="311"/>
      <c r="F256" s="317" t="s">
        <v>37</v>
      </c>
      <c r="G256" s="308" t="s">
        <v>34216</v>
      </c>
      <c r="H256" s="308" t="s">
        <v>1271</v>
      </c>
      <c r="I256" s="314">
        <v>40172.0</v>
      </c>
      <c r="J256" s="308">
        <f>IFERROR(__xludf.DUMMYFUNCTION("SPLIT(I256,""/"")"),25.0)</f>
        <v>25</v>
      </c>
      <c r="K256" s="308">
        <f>IFERROR(__xludf.DUMMYFUNCTION("""COMPUTED_VALUE"""),12.0)</f>
        <v>12</v>
      </c>
      <c r="L256" s="308">
        <f>IFERROR(__xludf.DUMMYFUNCTION("""COMPUTED_VALUE"""),2009.0)</f>
        <v>2009</v>
      </c>
      <c r="M256" s="308" t="s">
        <v>1272</v>
      </c>
      <c r="N256" s="308"/>
      <c r="O256" s="312" t="s">
        <v>34681</v>
      </c>
      <c r="P256" s="308" t="s">
        <v>1274</v>
      </c>
      <c r="Q256" s="308"/>
      <c r="R256" s="308"/>
      <c r="S256" s="308" t="s">
        <v>81</v>
      </c>
      <c r="T256" s="308" t="s">
        <v>75</v>
      </c>
      <c r="U256" s="308"/>
      <c r="V256" s="312"/>
    </row>
    <row r="257">
      <c r="A257" s="308">
        <v>256.0</v>
      </c>
      <c r="B257" s="312" t="s">
        <v>34682</v>
      </c>
      <c r="C257" s="312" t="s">
        <v>1275</v>
      </c>
      <c r="D257" s="308">
        <f>IFERROR(__xludf.DUMMYFUNCTION("SPLIT(C257,""-"")"),255.0)</f>
        <v>255</v>
      </c>
      <c r="E257" s="312" t="str">
        <f>IFERROR(__xludf.DUMMYFUNCTION("""COMPUTED_VALUE"""),"S")</f>
        <v>S</v>
      </c>
      <c r="F257" s="312" t="s">
        <v>39</v>
      </c>
      <c r="G257" s="312" t="s">
        <v>1276</v>
      </c>
      <c r="H257" s="312" t="s">
        <v>1277</v>
      </c>
      <c r="I257" s="310">
        <v>35236.0</v>
      </c>
      <c r="J257" s="308">
        <f>IFERROR(__xludf.DUMMYFUNCTION("SPLIT(I257,""/"")"),20.0)</f>
        <v>20</v>
      </c>
      <c r="K257" s="312">
        <f>IFERROR(__xludf.DUMMYFUNCTION("""COMPUTED_VALUE"""),6.0)</f>
        <v>6</v>
      </c>
      <c r="L257" s="312">
        <f>IFERROR(__xludf.DUMMYFUNCTION("""COMPUTED_VALUE"""),1996.0)</f>
        <v>1996</v>
      </c>
      <c r="M257" s="312" t="s">
        <v>1278</v>
      </c>
      <c r="N257" s="312"/>
      <c r="O257" s="312" t="s">
        <v>1279</v>
      </c>
      <c r="P257" s="312" t="s">
        <v>34683</v>
      </c>
      <c r="Q257" s="312"/>
      <c r="R257" s="312"/>
      <c r="S257" s="308" t="s">
        <v>49</v>
      </c>
      <c r="T257" s="308" t="s">
        <v>72</v>
      </c>
      <c r="U257" s="312"/>
      <c r="V257" s="312"/>
    </row>
    <row r="258">
      <c r="A258" s="308">
        <v>257.0</v>
      </c>
      <c r="B258" s="312" t="s">
        <v>34684</v>
      </c>
      <c r="C258" s="312" t="s">
        <v>1281</v>
      </c>
      <c r="D258" s="308">
        <f>IFERROR(__xludf.DUMMYFUNCTION("SPLIT(C258,""-"")"),256.0)</f>
        <v>256</v>
      </c>
      <c r="E258" s="312" t="str">
        <f>IFERROR(__xludf.DUMMYFUNCTION("""COMPUTED_VALUE"""),"S")</f>
        <v>S</v>
      </c>
      <c r="F258" s="312" t="s">
        <v>39</v>
      </c>
      <c r="G258" s="312" t="s">
        <v>1276</v>
      </c>
      <c r="H258" s="312" t="s">
        <v>1282</v>
      </c>
      <c r="I258" s="310">
        <v>35236.0</v>
      </c>
      <c r="J258" s="308">
        <f>IFERROR(__xludf.DUMMYFUNCTION("SPLIT(I258,""/"")"),20.0)</f>
        <v>20</v>
      </c>
      <c r="K258" s="312">
        <f>IFERROR(__xludf.DUMMYFUNCTION("""COMPUTED_VALUE"""),6.0)</f>
        <v>6</v>
      </c>
      <c r="L258" s="312">
        <f>IFERROR(__xludf.DUMMYFUNCTION("""COMPUTED_VALUE"""),1996.0)</f>
        <v>1996</v>
      </c>
      <c r="M258" s="312" t="s">
        <v>1283</v>
      </c>
      <c r="N258" s="312"/>
      <c r="O258" s="312" t="s">
        <v>1284</v>
      </c>
      <c r="P258" s="308" t="s">
        <v>34685</v>
      </c>
      <c r="Q258" s="312"/>
      <c r="R258" s="312"/>
      <c r="S258" s="308" t="s">
        <v>49</v>
      </c>
      <c r="T258" s="308" t="s">
        <v>69</v>
      </c>
      <c r="U258" s="312"/>
      <c r="V258" s="312"/>
    </row>
    <row r="259">
      <c r="A259" s="308">
        <v>258.0</v>
      </c>
      <c r="B259" s="312" t="s">
        <v>34686</v>
      </c>
      <c r="C259" s="312" t="s">
        <v>1286</v>
      </c>
      <c r="D259" s="308">
        <f>IFERROR(__xludf.DUMMYFUNCTION("SPLIT(C259,""-"")"),257.0)</f>
        <v>257</v>
      </c>
      <c r="E259" s="312" t="str">
        <f>IFERROR(__xludf.DUMMYFUNCTION("""COMPUTED_VALUE"""),"S")</f>
        <v>S</v>
      </c>
      <c r="F259" s="312" t="s">
        <v>39</v>
      </c>
      <c r="G259" s="312" t="s">
        <v>1276</v>
      </c>
      <c r="H259" s="312" t="s">
        <v>1287</v>
      </c>
      <c r="I259" s="310">
        <v>35236.0</v>
      </c>
      <c r="J259" s="308">
        <f>IFERROR(__xludf.DUMMYFUNCTION("SPLIT(I259,""/"")"),20.0)</f>
        <v>20</v>
      </c>
      <c r="K259" s="312">
        <f>IFERROR(__xludf.DUMMYFUNCTION("""COMPUTED_VALUE"""),6.0)</f>
        <v>6</v>
      </c>
      <c r="L259" s="312">
        <f>IFERROR(__xludf.DUMMYFUNCTION("""COMPUTED_VALUE"""),1996.0)</f>
        <v>1996</v>
      </c>
      <c r="M259" s="312" t="s">
        <v>1288</v>
      </c>
      <c r="N259" s="312"/>
      <c r="O259" s="312" t="s">
        <v>1289</v>
      </c>
      <c r="P259" s="312" t="s">
        <v>34683</v>
      </c>
      <c r="Q259" s="312"/>
      <c r="R259" s="312"/>
      <c r="S259" s="308" t="s">
        <v>49</v>
      </c>
      <c r="T259" s="308" t="s">
        <v>72</v>
      </c>
      <c r="U259" s="312"/>
      <c r="V259" s="312"/>
    </row>
    <row r="260">
      <c r="A260" s="308">
        <v>259.0</v>
      </c>
      <c r="B260" s="312" t="s">
        <v>34687</v>
      </c>
      <c r="C260" s="312" t="s">
        <v>1290</v>
      </c>
      <c r="D260" s="308">
        <f>IFERROR(__xludf.DUMMYFUNCTION("SPLIT(C260,""-"")"),258.0)</f>
        <v>258</v>
      </c>
      <c r="E260" s="312" t="str">
        <f>IFERROR(__xludf.DUMMYFUNCTION("""COMPUTED_VALUE"""),"S")</f>
        <v>S</v>
      </c>
      <c r="F260" s="312" t="s">
        <v>39</v>
      </c>
      <c r="G260" s="312" t="s">
        <v>1276</v>
      </c>
      <c r="H260" s="312" t="s">
        <v>1291</v>
      </c>
      <c r="I260" s="310">
        <v>35236.0</v>
      </c>
      <c r="J260" s="308">
        <f>IFERROR(__xludf.DUMMYFUNCTION("SPLIT(I260,""/"")"),20.0)</f>
        <v>20</v>
      </c>
      <c r="K260" s="312">
        <f>IFERROR(__xludf.DUMMYFUNCTION("""COMPUTED_VALUE"""),6.0)</f>
        <v>6</v>
      </c>
      <c r="L260" s="312">
        <f>IFERROR(__xludf.DUMMYFUNCTION("""COMPUTED_VALUE"""),1996.0)</f>
        <v>1996</v>
      </c>
      <c r="M260" s="312" t="s">
        <v>1292</v>
      </c>
      <c r="N260" s="312"/>
      <c r="O260" s="312" t="s">
        <v>34688</v>
      </c>
      <c r="P260" s="312" t="s">
        <v>34683</v>
      </c>
      <c r="Q260" s="312"/>
      <c r="R260" s="312"/>
      <c r="S260" s="308" t="s">
        <v>49</v>
      </c>
      <c r="T260" s="308" t="s">
        <v>72</v>
      </c>
      <c r="U260" s="312"/>
      <c r="V260" s="312"/>
    </row>
    <row r="261">
      <c r="A261" s="308">
        <v>260.0</v>
      </c>
      <c r="B261" s="312" t="s">
        <v>34689</v>
      </c>
      <c r="C261" s="312" t="s">
        <v>34690</v>
      </c>
      <c r="D261" s="308">
        <f>IFERROR(__xludf.DUMMYFUNCTION("SPLIT(C261,""-"")"),259.0)</f>
        <v>259</v>
      </c>
      <c r="E261" s="309"/>
      <c r="F261" s="317" t="s">
        <v>39</v>
      </c>
      <c r="G261" s="312" t="s">
        <v>1276</v>
      </c>
      <c r="H261" s="312" t="s">
        <v>1294</v>
      </c>
      <c r="I261" s="310">
        <v>34708.0</v>
      </c>
      <c r="J261" s="308">
        <f>IFERROR(__xludf.DUMMYFUNCTION("SPLIT(I261,""/"")"),9.0)</f>
        <v>9</v>
      </c>
      <c r="K261" s="312">
        <f>IFERROR(__xludf.DUMMYFUNCTION("""COMPUTED_VALUE"""),1.0)</f>
        <v>1</v>
      </c>
      <c r="L261" s="312">
        <f>IFERROR(__xludf.DUMMYFUNCTION("""COMPUTED_VALUE"""),1995.0)</f>
        <v>1995</v>
      </c>
      <c r="M261" s="312" t="s">
        <v>1295</v>
      </c>
      <c r="N261" s="312"/>
      <c r="O261" s="312" t="s">
        <v>1296</v>
      </c>
      <c r="P261" s="312" t="s">
        <v>34683</v>
      </c>
      <c r="Q261" s="312"/>
      <c r="R261" s="312"/>
      <c r="S261" s="308" t="s">
        <v>49</v>
      </c>
      <c r="T261" s="308" t="s">
        <v>72</v>
      </c>
      <c r="U261" s="312"/>
      <c r="V261" s="312"/>
    </row>
    <row r="262">
      <c r="A262" s="308">
        <v>261.0</v>
      </c>
      <c r="B262" s="312" t="s">
        <v>34691</v>
      </c>
      <c r="C262" s="312" t="s">
        <v>1297</v>
      </c>
      <c r="D262" s="308">
        <f>IFERROR(__xludf.DUMMYFUNCTION("SPLIT(C262,""-"")"),260.0)</f>
        <v>260</v>
      </c>
      <c r="E262" s="312" t="str">
        <f>IFERROR(__xludf.DUMMYFUNCTION("""COMPUTED_VALUE"""),"S")</f>
        <v>S</v>
      </c>
      <c r="F262" s="312" t="s">
        <v>39</v>
      </c>
      <c r="G262" s="312" t="s">
        <v>1276</v>
      </c>
      <c r="H262" s="312" t="s">
        <v>1298</v>
      </c>
      <c r="I262" s="318">
        <v>35153.0</v>
      </c>
      <c r="J262" s="308">
        <f>IFERROR(__xludf.DUMMYFUNCTION("SPLIT(I262,""-"")"),29.0)</f>
        <v>29</v>
      </c>
      <c r="K262" s="312">
        <f>IFERROR(__xludf.DUMMYFUNCTION("""COMPUTED_VALUE"""),3.0)</f>
        <v>3</v>
      </c>
      <c r="L262" s="312">
        <f>IFERROR(__xludf.DUMMYFUNCTION("""COMPUTED_VALUE"""),1996.0)</f>
        <v>1996</v>
      </c>
      <c r="M262" s="312" t="s">
        <v>1299</v>
      </c>
      <c r="N262" s="312"/>
      <c r="O262" s="312" t="s">
        <v>1300</v>
      </c>
      <c r="P262" s="312" t="s">
        <v>34683</v>
      </c>
      <c r="Q262" s="312"/>
      <c r="R262" s="312"/>
      <c r="S262" s="308" t="s">
        <v>49</v>
      </c>
      <c r="T262" s="308" t="s">
        <v>72</v>
      </c>
      <c r="U262" s="312"/>
      <c r="V262" s="312"/>
    </row>
    <row r="263">
      <c r="A263" s="308">
        <v>262.0</v>
      </c>
      <c r="B263" s="312" t="s">
        <v>34692</v>
      </c>
      <c r="C263" s="312" t="s">
        <v>1301</v>
      </c>
      <c r="D263" s="308">
        <f>IFERROR(__xludf.DUMMYFUNCTION("SPLIT(C263,""-"")"),261.0)</f>
        <v>261</v>
      </c>
      <c r="E263" s="312" t="str">
        <f>IFERROR(__xludf.DUMMYFUNCTION("""COMPUTED_VALUE"""),"S")</f>
        <v>S</v>
      </c>
      <c r="F263" s="312" t="s">
        <v>39</v>
      </c>
      <c r="G263" s="312" t="s">
        <v>1276</v>
      </c>
      <c r="H263" s="312" t="s">
        <v>1302</v>
      </c>
      <c r="I263" s="310">
        <v>35157.0</v>
      </c>
      <c r="J263" s="308">
        <f>IFERROR(__xludf.DUMMYFUNCTION("SPLIT(I263,""/"")"),2.0)</f>
        <v>2</v>
      </c>
      <c r="K263" s="312">
        <f>IFERROR(__xludf.DUMMYFUNCTION("""COMPUTED_VALUE"""),4.0)</f>
        <v>4</v>
      </c>
      <c r="L263" s="312">
        <f>IFERROR(__xludf.DUMMYFUNCTION("""COMPUTED_VALUE"""),1996.0)</f>
        <v>1996</v>
      </c>
      <c r="M263" s="312" t="s">
        <v>1303</v>
      </c>
      <c r="N263" s="312"/>
      <c r="O263" s="312" t="s">
        <v>1304</v>
      </c>
      <c r="P263" s="312" t="s">
        <v>34683</v>
      </c>
      <c r="Q263" s="312"/>
      <c r="R263" s="312"/>
      <c r="S263" s="308" t="s">
        <v>49</v>
      </c>
      <c r="T263" s="308" t="s">
        <v>72</v>
      </c>
      <c r="U263" s="312"/>
      <c r="V263" s="312"/>
    </row>
    <row r="264">
      <c r="A264" s="308">
        <v>263.0</v>
      </c>
      <c r="B264" s="312" t="s">
        <v>34693</v>
      </c>
      <c r="C264" s="312" t="s">
        <v>1305</v>
      </c>
      <c r="D264" s="308">
        <f>IFERROR(__xludf.DUMMYFUNCTION("SPLIT(C264,""-"")"),262.0)</f>
        <v>262</v>
      </c>
      <c r="E264" s="312" t="str">
        <f>IFERROR(__xludf.DUMMYFUNCTION("""COMPUTED_VALUE"""),"S")</f>
        <v>S</v>
      </c>
      <c r="F264" s="312" t="s">
        <v>39</v>
      </c>
      <c r="G264" s="312" t="s">
        <v>1276</v>
      </c>
      <c r="H264" s="312" t="s">
        <v>1306</v>
      </c>
      <c r="I264" s="310">
        <v>35230.0</v>
      </c>
      <c r="J264" s="308">
        <f>IFERROR(__xludf.DUMMYFUNCTION("SPLIT(I264,""/"")"),14.0)</f>
        <v>14</v>
      </c>
      <c r="K264" s="312">
        <f>IFERROR(__xludf.DUMMYFUNCTION("""COMPUTED_VALUE"""),6.0)</f>
        <v>6</v>
      </c>
      <c r="L264" s="312">
        <f>IFERROR(__xludf.DUMMYFUNCTION("""COMPUTED_VALUE"""),1996.0)</f>
        <v>1996</v>
      </c>
      <c r="M264" s="312" t="s">
        <v>1307</v>
      </c>
      <c r="N264" s="312"/>
      <c r="O264" s="312" t="s">
        <v>1308</v>
      </c>
      <c r="P264" s="312" t="s">
        <v>34683</v>
      </c>
      <c r="Q264" s="312"/>
      <c r="R264" s="312"/>
      <c r="S264" s="308" t="s">
        <v>49</v>
      </c>
      <c r="T264" s="308" t="s">
        <v>72</v>
      </c>
      <c r="U264" s="312"/>
      <c r="V264" s="312"/>
    </row>
    <row r="265">
      <c r="A265" s="308">
        <v>264.0</v>
      </c>
      <c r="B265" s="312" t="s">
        <v>34694</v>
      </c>
      <c r="C265" s="312" t="s">
        <v>1309</v>
      </c>
      <c r="D265" s="308">
        <f>IFERROR(__xludf.DUMMYFUNCTION("SPLIT(C265,""-"")"),263.0)</f>
        <v>263</v>
      </c>
      <c r="E265" s="312" t="str">
        <f>IFERROR(__xludf.DUMMYFUNCTION("""COMPUTED_VALUE"""),"S")</f>
        <v>S</v>
      </c>
      <c r="F265" s="312" t="s">
        <v>39</v>
      </c>
      <c r="G265" s="312" t="s">
        <v>1276</v>
      </c>
      <c r="H265" s="312" t="s">
        <v>1310</v>
      </c>
      <c r="I265" s="314">
        <v>34988.0</v>
      </c>
      <c r="J265" s="308">
        <f>IFERROR(__xludf.DUMMYFUNCTION("SPLIT(I265,""/"")"),16.0)</f>
        <v>16</v>
      </c>
      <c r="K265" s="312">
        <f>IFERROR(__xludf.DUMMYFUNCTION("""COMPUTED_VALUE"""),10.0)</f>
        <v>10</v>
      </c>
      <c r="L265" s="312">
        <f>IFERROR(__xludf.DUMMYFUNCTION("""COMPUTED_VALUE"""),1995.0)</f>
        <v>1995</v>
      </c>
      <c r="M265" s="312" t="s">
        <v>1311</v>
      </c>
      <c r="N265" s="312"/>
      <c r="O265" s="312" t="s">
        <v>1312</v>
      </c>
      <c r="P265" s="308" t="s">
        <v>34695</v>
      </c>
      <c r="Q265" s="312"/>
      <c r="R265" s="312"/>
      <c r="S265" s="308" t="s">
        <v>49</v>
      </c>
      <c r="T265" s="308" t="s">
        <v>72</v>
      </c>
      <c r="U265" s="312"/>
      <c r="V265" s="312"/>
    </row>
    <row r="266">
      <c r="A266" s="308">
        <v>265.0</v>
      </c>
      <c r="B266" s="312" t="s">
        <v>34696</v>
      </c>
      <c r="C266" s="312" t="s">
        <v>1314</v>
      </c>
      <c r="D266" s="308">
        <f>IFERROR(__xludf.DUMMYFUNCTION("SPLIT(C266,""-"")"),264.0)</f>
        <v>264</v>
      </c>
      <c r="E266" s="312" t="str">
        <f>IFERROR(__xludf.DUMMYFUNCTION("""COMPUTED_VALUE"""),"S")</f>
        <v>S</v>
      </c>
      <c r="F266" s="312" t="s">
        <v>39</v>
      </c>
      <c r="G266" s="312" t="s">
        <v>1276</v>
      </c>
      <c r="H266" s="312" t="s">
        <v>1315</v>
      </c>
      <c r="I266" s="310">
        <v>35343.0</v>
      </c>
      <c r="J266" s="308">
        <f>IFERROR(__xludf.DUMMYFUNCTION("SPLIT(I266,""/"")"),5.0)</f>
        <v>5</v>
      </c>
      <c r="K266" s="312">
        <f>IFERROR(__xludf.DUMMYFUNCTION("""COMPUTED_VALUE"""),10.0)</f>
        <v>10</v>
      </c>
      <c r="L266" s="312">
        <f>IFERROR(__xludf.DUMMYFUNCTION("""COMPUTED_VALUE"""),1996.0)</f>
        <v>1996</v>
      </c>
      <c r="M266" s="312" t="s">
        <v>1316</v>
      </c>
      <c r="N266" s="312"/>
      <c r="O266" s="312" t="s">
        <v>1317</v>
      </c>
      <c r="P266" s="308" t="s">
        <v>34697</v>
      </c>
      <c r="Q266" s="312"/>
      <c r="R266" s="312"/>
      <c r="S266" s="308" t="s">
        <v>49</v>
      </c>
      <c r="T266" s="308" t="s">
        <v>72</v>
      </c>
      <c r="U266" s="312"/>
      <c r="V266" s="312"/>
    </row>
    <row r="267">
      <c r="A267" s="308">
        <v>266.0</v>
      </c>
      <c r="B267" s="312" t="s">
        <v>34698</v>
      </c>
      <c r="C267" s="312" t="s">
        <v>1319</v>
      </c>
      <c r="D267" s="308">
        <f>IFERROR(__xludf.DUMMYFUNCTION("SPLIT(C267,""-"")"),265.0)</f>
        <v>265</v>
      </c>
      <c r="E267" s="312" t="str">
        <f>IFERROR(__xludf.DUMMYFUNCTION("""COMPUTED_VALUE"""),"S")</f>
        <v>S</v>
      </c>
      <c r="F267" s="312" t="s">
        <v>39</v>
      </c>
      <c r="G267" s="312" t="s">
        <v>1276</v>
      </c>
      <c r="H267" s="312" t="s">
        <v>1320</v>
      </c>
      <c r="I267" s="314">
        <v>34988.0</v>
      </c>
      <c r="J267" s="308">
        <f>IFERROR(__xludf.DUMMYFUNCTION("SPLIT(I267,""/"")"),16.0)</f>
        <v>16</v>
      </c>
      <c r="K267" s="312">
        <f>IFERROR(__xludf.DUMMYFUNCTION("""COMPUTED_VALUE"""),10.0)</f>
        <v>10</v>
      </c>
      <c r="L267" s="312">
        <f>IFERROR(__xludf.DUMMYFUNCTION("""COMPUTED_VALUE"""),1995.0)</f>
        <v>1995</v>
      </c>
      <c r="M267" s="312" t="s">
        <v>1321</v>
      </c>
      <c r="N267" s="312"/>
      <c r="O267" s="312" t="s">
        <v>1322</v>
      </c>
      <c r="P267" s="308" t="s">
        <v>34699</v>
      </c>
      <c r="Q267" s="312"/>
      <c r="R267" s="312"/>
      <c r="S267" s="308" t="s">
        <v>49</v>
      </c>
      <c r="T267" s="308" t="s">
        <v>72</v>
      </c>
      <c r="U267" s="312"/>
      <c r="V267" s="312"/>
    </row>
    <row r="268">
      <c r="A268" s="308">
        <v>267.0</v>
      </c>
      <c r="B268" s="312" t="s">
        <v>34700</v>
      </c>
      <c r="C268" s="312" t="s">
        <v>1324</v>
      </c>
      <c r="D268" s="308">
        <f>IFERROR(__xludf.DUMMYFUNCTION("SPLIT(C268,""-"")"),266.0)</f>
        <v>266</v>
      </c>
      <c r="E268" s="312" t="str">
        <f>IFERROR(__xludf.DUMMYFUNCTION("""COMPUTED_VALUE"""),"S")</f>
        <v>S</v>
      </c>
      <c r="F268" s="312" t="s">
        <v>39</v>
      </c>
      <c r="G268" s="312" t="s">
        <v>1276</v>
      </c>
      <c r="H268" s="312" t="s">
        <v>1325</v>
      </c>
      <c r="I268" s="314">
        <v>34988.0</v>
      </c>
      <c r="J268" s="308">
        <f>IFERROR(__xludf.DUMMYFUNCTION("SPLIT(I268,""/"")"),16.0)</f>
        <v>16</v>
      </c>
      <c r="K268" s="312">
        <f>IFERROR(__xludf.DUMMYFUNCTION("""COMPUTED_VALUE"""),10.0)</f>
        <v>10</v>
      </c>
      <c r="L268" s="312">
        <f>IFERROR(__xludf.DUMMYFUNCTION("""COMPUTED_VALUE"""),1995.0)</f>
        <v>1995</v>
      </c>
      <c r="M268" s="312" t="s">
        <v>1326</v>
      </c>
      <c r="N268" s="312"/>
      <c r="O268" s="312" t="s">
        <v>1327</v>
      </c>
      <c r="P268" s="312" t="s">
        <v>34683</v>
      </c>
      <c r="Q268" s="312"/>
      <c r="R268" s="312"/>
      <c r="S268" s="308" t="s">
        <v>49</v>
      </c>
      <c r="T268" s="308" t="s">
        <v>72</v>
      </c>
      <c r="U268" s="312"/>
      <c r="V268" s="312"/>
    </row>
    <row r="269">
      <c r="A269" s="308">
        <v>268.0</v>
      </c>
      <c r="B269" s="312" t="s">
        <v>34701</v>
      </c>
      <c r="C269" s="312" t="s">
        <v>1328</v>
      </c>
      <c r="D269" s="308">
        <f>IFERROR(__xludf.DUMMYFUNCTION("SPLIT(C269,""-"")"),267.0)</f>
        <v>267</v>
      </c>
      <c r="E269" s="312" t="str">
        <f>IFERROR(__xludf.DUMMYFUNCTION("""COMPUTED_VALUE"""),"S")</f>
        <v>S</v>
      </c>
      <c r="F269" s="312" t="s">
        <v>39</v>
      </c>
      <c r="G269" s="312" t="s">
        <v>1276</v>
      </c>
      <c r="H269" s="312" t="s">
        <v>1329</v>
      </c>
      <c r="I269" s="310">
        <v>34877.0</v>
      </c>
      <c r="J269" s="308">
        <f>IFERROR(__xludf.DUMMYFUNCTION("SPLIT(I269,""/"")"),27.0)</f>
        <v>27</v>
      </c>
      <c r="K269" s="312">
        <f>IFERROR(__xludf.DUMMYFUNCTION("""COMPUTED_VALUE"""),6.0)</f>
        <v>6</v>
      </c>
      <c r="L269" s="312">
        <f>IFERROR(__xludf.DUMMYFUNCTION("""COMPUTED_VALUE"""),1995.0)</f>
        <v>1995</v>
      </c>
      <c r="M269" s="312" t="s">
        <v>1330</v>
      </c>
      <c r="N269" s="312"/>
      <c r="O269" s="312" t="s">
        <v>1331</v>
      </c>
      <c r="P269" s="312" t="s">
        <v>34683</v>
      </c>
      <c r="Q269" s="312"/>
      <c r="R269" s="312"/>
      <c r="S269" s="308" t="s">
        <v>49</v>
      </c>
      <c r="T269" s="308" t="s">
        <v>72</v>
      </c>
      <c r="U269" s="312"/>
      <c r="V269" s="312"/>
    </row>
    <row r="270">
      <c r="A270" s="308">
        <v>269.0</v>
      </c>
      <c r="B270" s="312" t="s">
        <v>34702</v>
      </c>
      <c r="C270" s="312" t="s">
        <v>1332</v>
      </c>
      <c r="D270" s="308">
        <f>IFERROR(__xludf.DUMMYFUNCTION("SPLIT(C270,""-"")"),268.0)</f>
        <v>268</v>
      </c>
      <c r="E270" s="312" t="str">
        <f>IFERROR(__xludf.DUMMYFUNCTION("""COMPUTED_VALUE"""),"S")</f>
        <v>S</v>
      </c>
      <c r="F270" s="312" t="s">
        <v>39</v>
      </c>
      <c r="G270" s="312" t="s">
        <v>1276</v>
      </c>
      <c r="H270" s="312" t="s">
        <v>1333</v>
      </c>
      <c r="I270" s="310">
        <v>34398.0</v>
      </c>
      <c r="J270" s="308">
        <f>IFERROR(__xludf.DUMMYFUNCTION("SPLIT(I270,""/"")"),5.0)</f>
        <v>5</v>
      </c>
      <c r="K270" s="312">
        <f>IFERROR(__xludf.DUMMYFUNCTION("""COMPUTED_VALUE"""),3.0)</f>
        <v>3</v>
      </c>
      <c r="L270" s="312">
        <f>IFERROR(__xludf.DUMMYFUNCTION("""COMPUTED_VALUE"""),1994.0)</f>
        <v>1994</v>
      </c>
      <c r="M270" s="312" t="s">
        <v>1334</v>
      </c>
      <c r="N270" s="312"/>
      <c r="O270" s="312" t="s">
        <v>1335</v>
      </c>
      <c r="P270" s="312" t="s">
        <v>34683</v>
      </c>
      <c r="Q270" s="312"/>
      <c r="R270" s="312"/>
      <c r="S270" s="308" t="s">
        <v>49</v>
      </c>
      <c r="T270" s="308" t="s">
        <v>72</v>
      </c>
      <c r="U270" s="312"/>
      <c r="V270" s="312"/>
    </row>
    <row r="271">
      <c r="A271" s="308">
        <v>270.0</v>
      </c>
      <c r="B271" s="312" t="s">
        <v>34703</v>
      </c>
      <c r="C271" s="312" t="s">
        <v>1336</v>
      </c>
      <c r="D271" s="308">
        <f>IFERROR(__xludf.DUMMYFUNCTION("SPLIT(C271,""-"")"),269.0)</f>
        <v>269</v>
      </c>
      <c r="E271" s="312" t="str">
        <f>IFERROR(__xludf.DUMMYFUNCTION("""COMPUTED_VALUE"""),"S")</f>
        <v>S</v>
      </c>
      <c r="F271" s="312" t="s">
        <v>39</v>
      </c>
      <c r="G271" s="312" t="s">
        <v>1276</v>
      </c>
      <c r="H271" s="312" t="s">
        <v>1337</v>
      </c>
      <c r="I271" s="310">
        <v>35212.0</v>
      </c>
      <c r="J271" s="308">
        <f>IFERROR(__xludf.DUMMYFUNCTION("SPLIT(I271,""/"")"),27.0)</f>
        <v>27</v>
      </c>
      <c r="K271" s="312">
        <f>IFERROR(__xludf.DUMMYFUNCTION("""COMPUTED_VALUE"""),5.0)</f>
        <v>5</v>
      </c>
      <c r="L271" s="312">
        <f>IFERROR(__xludf.DUMMYFUNCTION("""COMPUTED_VALUE"""),1996.0)</f>
        <v>1996</v>
      </c>
      <c r="M271" s="312" t="s">
        <v>1338</v>
      </c>
      <c r="N271" s="312"/>
      <c r="O271" s="312" t="s">
        <v>1339</v>
      </c>
      <c r="P271" s="312" t="s">
        <v>34683</v>
      </c>
      <c r="Q271" s="312"/>
      <c r="R271" s="312"/>
      <c r="S271" s="308" t="s">
        <v>49</v>
      </c>
      <c r="T271" s="308" t="s">
        <v>72</v>
      </c>
      <c r="U271" s="312"/>
      <c r="V271" s="312"/>
    </row>
    <row r="272">
      <c r="A272" s="308">
        <v>271.0</v>
      </c>
      <c r="B272" s="312" t="s">
        <v>34704</v>
      </c>
      <c r="C272" s="312" t="s">
        <v>1340</v>
      </c>
      <c r="D272" s="308">
        <f>IFERROR(__xludf.DUMMYFUNCTION("SPLIT(C272,""-"")"),270.0)</f>
        <v>270</v>
      </c>
      <c r="E272" s="312" t="str">
        <f>IFERROR(__xludf.DUMMYFUNCTION("""COMPUTED_VALUE"""),"S")</f>
        <v>S</v>
      </c>
      <c r="F272" s="312" t="s">
        <v>39</v>
      </c>
      <c r="G272" s="312" t="s">
        <v>1276</v>
      </c>
      <c r="H272" s="312" t="s">
        <v>1341</v>
      </c>
      <c r="I272" s="310">
        <v>34536.0</v>
      </c>
      <c r="J272" s="308">
        <f>IFERROR(__xludf.DUMMYFUNCTION("SPLIT(I272,""/"")"),21.0)</f>
        <v>21</v>
      </c>
      <c r="K272" s="312">
        <f>IFERROR(__xludf.DUMMYFUNCTION("""COMPUTED_VALUE"""),7.0)</f>
        <v>7</v>
      </c>
      <c r="L272" s="312">
        <f>IFERROR(__xludf.DUMMYFUNCTION("""COMPUTED_VALUE"""),1994.0)</f>
        <v>1994</v>
      </c>
      <c r="M272" s="312" t="s">
        <v>1342</v>
      </c>
      <c r="N272" s="312"/>
      <c r="O272" s="312" t="s">
        <v>1343</v>
      </c>
      <c r="P272" s="312" t="s">
        <v>34683</v>
      </c>
      <c r="Q272" s="312"/>
      <c r="R272" s="312"/>
      <c r="S272" s="308" t="s">
        <v>49</v>
      </c>
      <c r="T272" s="308" t="s">
        <v>72</v>
      </c>
      <c r="U272" s="312"/>
      <c r="V272" s="312"/>
    </row>
    <row r="273">
      <c r="A273" s="308">
        <v>272.0</v>
      </c>
      <c r="B273" s="312" t="s">
        <v>34705</v>
      </c>
      <c r="C273" s="312" t="s">
        <v>1344</v>
      </c>
      <c r="D273" s="308">
        <f>IFERROR(__xludf.DUMMYFUNCTION("SPLIT(C273,""-"")"),271.0)</f>
        <v>271</v>
      </c>
      <c r="E273" s="312" t="str">
        <f>IFERROR(__xludf.DUMMYFUNCTION("""COMPUTED_VALUE"""),"S")</f>
        <v>S</v>
      </c>
      <c r="F273" s="312" t="s">
        <v>39</v>
      </c>
      <c r="G273" s="312" t="s">
        <v>1276</v>
      </c>
      <c r="H273" s="312" t="s">
        <v>1345</v>
      </c>
      <c r="I273" s="310">
        <v>34856.0</v>
      </c>
      <c r="J273" s="308">
        <f>IFERROR(__xludf.DUMMYFUNCTION("SPLIT(I273,""/"")"),6.0)</f>
        <v>6</v>
      </c>
      <c r="K273" s="312">
        <f>IFERROR(__xludf.DUMMYFUNCTION("""COMPUTED_VALUE"""),6.0)</f>
        <v>6</v>
      </c>
      <c r="L273" s="312">
        <f>IFERROR(__xludf.DUMMYFUNCTION("""COMPUTED_VALUE"""),1995.0)</f>
        <v>1995</v>
      </c>
      <c r="M273" s="312" t="s">
        <v>1346</v>
      </c>
      <c r="N273" s="312"/>
      <c r="O273" s="312" t="s">
        <v>1347</v>
      </c>
      <c r="P273" s="308" t="s">
        <v>34706</v>
      </c>
      <c r="Q273" s="312"/>
      <c r="R273" s="312"/>
      <c r="S273" s="308" t="s">
        <v>49</v>
      </c>
      <c r="T273" s="308" t="s">
        <v>72</v>
      </c>
      <c r="U273" s="312"/>
      <c r="V273" s="312"/>
    </row>
    <row r="274">
      <c r="A274" s="308">
        <v>273.0</v>
      </c>
      <c r="B274" s="312" t="s">
        <v>34707</v>
      </c>
      <c r="C274" s="312" t="s">
        <v>1348</v>
      </c>
      <c r="D274" s="308">
        <f>IFERROR(__xludf.DUMMYFUNCTION("SPLIT(C274,""-"")"),272.0)</f>
        <v>272</v>
      </c>
      <c r="E274" s="312" t="str">
        <f>IFERROR(__xludf.DUMMYFUNCTION("""COMPUTED_VALUE"""),"S")</f>
        <v>S</v>
      </c>
      <c r="F274" s="312" t="s">
        <v>39</v>
      </c>
      <c r="G274" s="312" t="s">
        <v>1276</v>
      </c>
      <c r="H274" s="312" t="s">
        <v>1349</v>
      </c>
      <c r="I274" s="310">
        <v>34899.0</v>
      </c>
      <c r="J274" s="308">
        <f>IFERROR(__xludf.DUMMYFUNCTION("SPLIT(I274,""/"")"),19.0)</f>
        <v>19</v>
      </c>
      <c r="K274" s="312">
        <f>IFERROR(__xludf.DUMMYFUNCTION("""COMPUTED_VALUE"""),7.0)</f>
        <v>7</v>
      </c>
      <c r="L274" s="312">
        <f>IFERROR(__xludf.DUMMYFUNCTION("""COMPUTED_VALUE"""),1995.0)</f>
        <v>1995</v>
      </c>
      <c r="M274" s="312" t="s">
        <v>1350</v>
      </c>
      <c r="N274" s="312"/>
      <c r="O274" s="312" t="s">
        <v>1351</v>
      </c>
      <c r="P274" s="312" t="s">
        <v>34683</v>
      </c>
      <c r="Q274" s="312"/>
      <c r="R274" s="312"/>
      <c r="S274" s="308" t="s">
        <v>49</v>
      </c>
      <c r="T274" s="308" t="s">
        <v>72</v>
      </c>
      <c r="U274" s="312"/>
      <c r="V274" s="312"/>
    </row>
    <row r="275">
      <c r="A275" s="308">
        <v>274.0</v>
      </c>
      <c r="B275" s="312" t="s">
        <v>34708</v>
      </c>
      <c r="C275" s="312" t="s">
        <v>1352</v>
      </c>
      <c r="D275" s="308">
        <f>IFERROR(__xludf.DUMMYFUNCTION("SPLIT(C275,""-"")"),273.0)</f>
        <v>273</v>
      </c>
      <c r="E275" s="312" t="str">
        <f>IFERROR(__xludf.DUMMYFUNCTION("""COMPUTED_VALUE"""),"S")</f>
        <v>S</v>
      </c>
      <c r="F275" s="312" t="s">
        <v>39</v>
      </c>
      <c r="G275" s="312" t="s">
        <v>1276</v>
      </c>
      <c r="H275" s="312" t="s">
        <v>1353</v>
      </c>
      <c r="I275" s="310">
        <v>34711.0</v>
      </c>
      <c r="J275" s="308">
        <f>IFERROR(__xludf.DUMMYFUNCTION("SPLIT(I275,""/"")"),12.0)</f>
        <v>12</v>
      </c>
      <c r="K275" s="312">
        <f>IFERROR(__xludf.DUMMYFUNCTION("""COMPUTED_VALUE"""),1.0)</f>
        <v>1</v>
      </c>
      <c r="L275" s="312">
        <f>IFERROR(__xludf.DUMMYFUNCTION("""COMPUTED_VALUE"""),1995.0)</f>
        <v>1995</v>
      </c>
      <c r="M275" s="312" t="s">
        <v>1354</v>
      </c>
      <c r="N275" s="312"/>
      <c r="O275" s="312" t="s">
        <v>1355</v>
      </c>
      <c r="P275" s="312" t="s">
        <v>34683</v>
      </c>
      <c r="Q275" s="312"/>
      <c r="R275" s="312"/>
      <c r="S275" s="308" t="s">
        <v>49</v>
      </c>
      <c r="T275" s="308" t="s">
        <v>72</v>
      </c>
      <c r="U275" s="312"/>
      <c r="V275" s="312"/>
    </row>
    <row r="276">
      <c r="A276" s="308">
        <v>275.0</v>
      </c>
      <c r="B276" s="312" t="s">
        <v>34709</v>
      </c>
      <c r="C276" s="312" t="s">
        <v>1356</v>
      </c>
      <c r="D276" s="308">
        <f>IFERROR(__xludf.DUMMYFUNCTION("SPLIT(C276,""-"")"),274.0)</f>
        <v>274</v>
      </c>
      <c r="E276" s="312" t="str">
        <f>IFERROR(__xludf.DUMMYFUNCTION("""COMPUTED_VALUE"""),"S")</f>
        <v>S</v>
      </c>
      <c r="F276" s="312" t="s">
        <v>39</v>
      </c>
      <c r="G276" s="312" t="s">
        <v>1276</v>
      </c>
      <c r="H276" s="312" t="s">
        <v>1357</v>
      </c>
      <c r="I276" s="310">
        <v>34856.0</v>
      </c>
      <c r="J276" s="308">
        <f>IFERROR(__xludf.DUMMYFUNCTION("SPLIT(I276,""/"")"),6.0)</f>
        <v>6</v>
      </c>
      <c r="K276" s="312">
        <f>IFERROR(__xludf.DUMMYFUNCTION("""COMPUTED_VALUE"""),6.0)</f>
        <v>6</v>
      </c>
      <c r="L276" s="312">
        <f>IFERROR(__xludf.DUMMYFUNCTION("""COMPUTED_VALUE"""),1995.0)</f>
        <v>1995</v>
      </c>
      <c r="M276" s="312" t="s">
        <v>1358</v>
      </c>
      <c r="N276" s="312"/>
      <c r="O276" s="312" t="s">
        <v>1359</v>
      </c>
      <c r="P276" s="312" t="s">
        <v>34683</v>
      </c>
      <c r="Q276" s="312"/>
      <c r="R276" s="312"/>
      <c r="S276" s="308" t="s">
        <v>49</v>
      </c>
      <c r="T276" s="308" t="s">
        <v>72</v>
      </c>
      <c r="U276" s="312"/>
      <c r="V276" s="312"/>
    </row>
    <row r="277">
      <c r="A277" s="308">
        <v>276.0</v>
      </c>
      <c r="B277" s="312" t="s">
        <v>34710</v>
      </c>
      <c r="C277" s="312" t="s">
        <v>1360</v>
      </c>
      <c r="D277" s="308">
        <f>IFERROR(__xludf.DUMMYFUNCTION("SPLIT(C277,""-"")"),275.0)</f>
        <v>275</v>
      </c>
      <c r="E277" s="312" t="str">
        <f>IFERROR(__xludf.DUMMYFUNCTION("""COMPUTED_VALUE"""),"S")</f>
        <v>S</v>
      </c>
      <c r="F277" s="312" t="s">
        <v>39</v>
      </c>
      <c r="G277" s="312" t="s">
        <v>1276</v>
      </c>
      <c r="H277" s="312" t="s">
        <v>1361</v>
      </c>
      <c r="I277" s="314">
        <v>34621.0</v>
      </c>
      <c r="J277" s="308">
        <f>IFERROR(__xludf.DUMMYFUNCTION("SPLIT(I277,""/"")"),14.0)</f>
        <v>14</v>
      </c>
      <c r="K277" s="312">
        <f>IFERROR(__xludf.DUMMYFUNCTION("""COMPUTED_VALUE"""),10.0)</f>
        <v>10</v>
      </c>
      <c r="L277" s="312">
        <f>IFERROR(__xludf.DUMMYFUNCTION("""COMPUTED_VALUE"""),1994.0)</f>
        <v>1994</v>
      </c>
      <c r="M277" s="312" t="s">
        <v>1362</v>
      </c>
      <c r="N277" s="312"/>
      <c r="O277" s="312" t="s">
        <v>1363</v>
      </c>
      <c r="P277" s="312" t="s">
        <v>34683</v>
      </c>
      <c r="Q277" s="312"/>
      <c r="R277" s="312"/>
      <c r="S277" s="308" t="s">
        <v>49</v>
      </c>
      <c r="T277" s="308" t="s">
        <v>72</v>
      </c>
      <c r="U277" s="312"/>
      <c r="V277" s="312"/>
    </row>
    <row r="278">
      <c r="A278" s="308">
        <v>277.0</v>
      </c>
      <c r="B278" s="312" t="s">
        <v>34711</v>
      </c>
      <c r="C278" s="312" t="s">
        <v>1364</v>
      </c>
      <c r="D278" s="308">
        <f>IFERROR(__xludf.DUMMYFUNCTION("SPLIT(C278,""-"")"),276.0)</f>
        <v>276</v>
      </c>
      <c r="E278" s="312" t="str">
        <f>IFERROR(__xludf.DUMMYFUNCTION("""COMPUTED_VALUE"""),"S")</f>
        <v>S</v>
      </c>
      <c r="F278" s="312" t="s">
        <v>39</v>
      </c>
      <c r="G278" s="312" t="s">
        <v>1276</v>
      </c>
      <c r="H278" s="312" t="s">
        <v>1365</v>
      </c>
      <c r="I278" s="314">
        <v>33897.0</v>
      </c>
      <c r="J278" s="308">
        <f>IFERROR(__xludf.DUMMYFUNCTION("SPLIT(I278,""/"")"),20.0)</f>
        <v>20</v>
      </c>
      <c r="K278" s="312">
        <f>IFERROR(__xludf.DUMMYFUNCTION("""COMPUTED_VALUE"""),10.0)</f>
        <v>10</v>
      </c>
      <c r="L278" s="312">
        <f>IFERROR(__xludf.DUMMYFUNCTION("""COMPUTED_VALUE"""),1992.0)</f>
        <v>1992</v>
      </c>
      <c r="M278" s="312" t="s">
        <v>1366</v>
      </c>
      <c r="N278" s="312"/>
      <c r="O278" s="312" t="s">
        <v>1367</v>
      </c>
      <c r="P278" s="312" t="s">
        <v>34712</v>
      </c>
      <c r="Q278" s="312"/>
      <c r="R278" s="312"/>
      <c r="S278" s="308" t="s">
        <v>49</v>
      </c>
      <c r="T278" s="308" t="s">
        <v>72</v>
      </c>
      <c r="U278" s="312"/>
      <c r="V278" s="312"/>
    </row>
    <row r="279">
      <c r="A279" s="308">
        <v>278.0</v>
      </c>
      <c r="B279" s="312" t="s">
        <v>34713</v>
      </c>
      <c r="C279" s="312" t="s">
        <v>1369</v>
      </c>
      <c r="D279" s="308">
        <f>IFERROR(__xludf.DUMMYFUNCTION("SPLIT(C279,""-"")"),277.0)</f>
        <v>277</v>
      </c>
      <c r="E279" s="312" t="str">
        <f>IFERROR(__xludf.DUMMYFUNCTION("""COMPUTED_VALUE"""),"S")</f>
        <v>S</v>
      </c>
      <c r="F279" s="312" t="s">
        <v>39</v>
      </c>
      <c r="G279" s="312" t="s">
        <v>1276</v>
      </c>
      <c r="H279" s="312" t="s">
        <v>1370</v>
      </c>
      <c r="I279" s="310">
        <v>35315.0</v>
      </c>
      <c r="J279" s="308">
        <f>IFERROR(__xludf.DUMMYFUNCTION("SPLIT(I279,""/"")"),7.0)</f>
        <v>7</v>
      </c>
      <c r="K279" s="312">
        <f>IFERROR(__xludf.DUMMYFUNCTION("""COMPUTED_VALUE"""),9.0)</f>
        <v>9</v>
      </c>
      <c r="L279" s="312">
        <f>IFERROR(__xludf.DUMMYFUNCTION("""COMPUTED_VALUE"""),1996.0)</f>
        <v>1996</v>
      </c>
      <c r="M279" s="312" t="s">
        <v>1371</v>
      </c>
      <c r="N279" s="312"/>
      <c r="O279" s="312" t="s">
        <v>1372</v>
      </c>
      <c r="P279" s="312" t="s">
        <v>34683</v>
      </c>
      <c r="Q279" s="312"/>
      <c r="R279" s="312"/>
      <c r="S279" s="308" t="s">
        <v>49</v>
      </c>
      <c r="T279" s="308" t="s">
        <v>72</v>
      </c>
      <c r="U279" s="312"/>
      <c r="V279" s="312"/>
    </row>
    <row r="280">
      <c r="A280" s="308">
        <v>279.0</v>
      </c>
      <c r="B280" s="312" t="s">
        <v>34714</v>
      </c>
      <c r="C280" s="312" t="s">
        <v>1373</v>
      </c>
      <c r="D280" s="308">
        <f>IFERROR(__xludf.DUMMYFUNCTION("SPLIT(C280,""-"")"),278.0)</f>
        <v>278</v>
      </c>
      <c r="E280" s="312" t="str">
        <f>IFERROR(__xludf.DUMMYFUNCTION("""COMPUTED_VALUE"""),"S")</f>
        <v>S</v>
      </c>
      <c r="F280" s="312" t="s">
        <v>39</v>
      </c>
      <c r="G280" s="312" t="s">
        <v>1276</v>
      </c>
      <c r="H280" s="312" t="s">
        <v>1374</v>
      </c>
      <c r="I280" s="310">
        <v>34770.0</v>
      </c>
      <c r="J280" s="308">
        <f>IFERROR(__xludf.DUMMYFUNCTION("SPLIT(I280,""/"")"),12.0)</f>
        <v>12</v>
      </c>
      <c r="K280" s="312">
        <f>IFERROR(__xludf.DUMMYFUNCTION("""COMPUTED_VALUE"""),3.0)</f>
        <v>3</v>
      </c>
      <c r="L280" s="312">
        <f>IFERROR(__xludf.DUMMYFUNCTION("""COMPUTED_VALUE"""),1995.0)</f>
        <v>1995</v>
      </c>
      <c r="M280" s="312" t="s">
        <v>1375</v>
      </c>
      <c r="N280" s="312"/>
      <c r="O280" s="312" t="s">
        <v>1376</v>
      </c>
      <c r="P280" s="308" t="s">
        <v>34706</v>
      </c>
      <c r="Q280" s="312"/>
      <c r="R280" s="312"/>
      <c r="S280" s="308" t="s">
        <v>49</v>
      </c>
      <c r="T280" s="308" t="s">
        <v>72</v>
      </c>
      <c r="U280" s="312"/>
      <c r="V280" s="312"/>
    </row>
    <row r="281">
      <c r="A281" s="308">
        <v>280.0</v>
      </c>
      <c r="B281" s="312" t="s">
        <v>34715</v>
      </c>
      <c r="C281" s="312" t="s">
        <v>1377</v>
      </c>
      <c r="D281" s="308">
        <f>IFERROR(__xludf.DUMMYFUNCTION("SPLIT(C281,""-"")"),279.0)</f>
        <v>279</v>
      </c>
      <c r="E281" s="312" t="str">
        <f>IFERROR(__xludf.DUMMYFUNCTION("""COMPUTED_VALUE"""),"S")</f>
        <v>S</v>
      </c>
      <c r="F281" s="312" t="s">
        <v>39</v>
      </c>
      <c r="G281" s="312" t="s">
        <v>1276</v>
      </c>
      <c r="H281" s="312" t="s">
        <v>1378</v>
      </c>
      <c r="I281" s="314">
        <v>34325.0</v>
      </c>
      <c r="J281" s="308">
        <f>IFERROR(__xludf.DUMMYFUNCTION("SPLIT(I281,""/"")"),22.0)</f>
        <v>22</v>
      </c>
      <c r="K281" s="312">
        <f>IFERROR(__xludf.DUMMYFUNCTION("""COMPUTED_VALUE"""),12.0)</f>
        <v>12</v>
      </c>
      <c r="L281" s="312">
        <f>IFERROR(__xludf.DUMMYFUNCTION("""COMPUTED_VALUE"""),1993.0)</f>
        <v>1993</v>
      </c>
      <c r="M281" s="312" t="s">
        <v>34716</v>
      </c>
      <c r="N281" s="312"/>
      <c r="O281" s="312" t="s">
        <v>34717</v>
      </c>
      <c r="P281" s="312" t="s">
        <v>34683</v>
      </c>
      <c r="Q281" s="312"/>
      <c r="R281" s="312"/>
      <c r="S281" s="308" t="s">
        <v>49</v>
      </c>
      <c r="T281" s="308" t="s">
        <v>72</v>
      </c>
      <c r="U281" s="312"/>
      <c r="V281" s="312"/>
    </row>
    <row r="282">
      <c r="A282" s="308">
        <v>281.0</v>
      </c>
      <c r="B282" s="308">
        <v>3488.0</v>
      </c>
      <c r="C282" s="308" t="s">
        <v>34221</v>
      </c>
      <c r="D282" s="308">
        <f>IFERROR(__xludf.DUMMYFUNCTION("SPLIT(C282,""-"")"),280.0)</f>
        <v>280</v>
      </c>
      <c r="E282" s="311"/>
      <c r="F282" s="317" t="s">
        <v>37</v>
      </c>
      <c r="G282" s="308" t="s">
        <v>34216</v>
      </c>
      <c r="H282" s="308" t="s">
        <v>1381</v>
      </c>
      <c r="I282" s="310">
        <v>40642.0</v>
      </c>
      <c r="J282" s="308">
        <f>IFERROR(__xludf.DUMMYFUNCTION("SPLIT(I282,""/"")"),9.0)</f>
        <v>9</v>
      </c>
      <c r="K282" s="308">
        <f>IFERROR(__xludf.DUMMYFUNCTION("""COMPUTED_VALUE"""),4.0)</f>
        <v>4</v>
      </c>
      <c r="L282" s="308">
        <f>IFERROR(__xludf.DUMMYFUNCTION("""COMPUTED_VALUE"""),2011.0)</f>
        <v>2011</v>
      </c>
      <c r="M282" s="308" t="s">
        <v>1382</v>
      </c>
      <c r="N282" s="308"/>
      <c r="O282" s="312" t="s">
        <v>34718</v>
      </c>
      <c r="P282" s="308" t="s">
        <v>34719</v>
      </c>
      <c r="Q282" s="308"/>
      <c r="R282" s="308"/>
      <c r="S282" s="308" t="s">
        <v>81</v>
      </c>
      <c r="T282" s="308" t="s">
        <v>34264</v>
      </c>
      <c r="U282" s="308"/>
      <c r="V282" s="312"/>
    </row>
    <row r="283">
      <c r="A283" s="308">
        <v>282.0</v>
      </c>
      <c r="B283" s="308">
        <v>3489.0</v>
      </c>
      <c r="C283" s="308" t="s">
        <v>34720</v>
      </c>
      <c r="D283" s="308">
        <f>IFERROR(__xludf.DUMMYFUNCTION("SPLIT(C283,""-"")"),281.0)</f>
        <v>281</v>
      </c>
      <c r="E283" s="311"/>
      <c r="F283" s="309" t="s">
        <v>34</v>
      </c>
      <c r="G283" s="308" t="s">
        <v>34216</v>
      </c>
      <c r="H283" s="308" t="s">
        <v>1385</v>
      </c>
      <c r="I283" s="310">
        <v>40229.0</v>
      </c>
      <c r="J283" s="308">
        <f>IFERROR(__xludf.DUMMYFUNCTION("SPLIT(I283,""/"")"),20.0)</f>
        <v>20</v>
      </c>
      <c r="K283" s="308">
        <f>IFERROR(__xludf.DUMMYFUNCTION("""COMPUTED_VALUE"""),2.0)</f>
        <v>2</v>
      </c>
      <c r="L283" s="308">
        <f>IFERROR(__xludf.DUMMYFUNCTION("""COMPUTED_VALUE"""),2010.0)</f>
        <v>2010</v>
      </c>
      <c r="M283" s="308" t="s">
        <v>1386</v>
      </c>
      <c r="N283" s="308"/>
      <c r="O283" s="312" t="s">
        <v>635</v>
      </c>
      <c r="P283" s="308" t="s">
        <v>1387</v>
      </c>
      <c r="Q283" s="308"/>
      <c r="R283" s="308"/>
      <c r="S283" s="308" t="s">
        <v>81</v>
      </c>
      <c r="T283" s="308" t="s">
        <v>75</v>
      </c>
      <c r="U283" s="308"/>
      <c r="V283" s="312"/>
    </row>
    <row r="284">
      <c r="A284" s="308">
        <v>283.0</v>
      </c>
      <c r="B284" s="308">
        <v>3490.0</v>
      </c>
      <c r="C284" s="308" t="s">
        <v>1388</v>
      </c>
      <c r="D284" s="308">
        <f>IFERROR(__xludf.DUMMYFUNCTION("SPLIT(C284,""-"")"),282.0)</f>
        <v>282</v>
      </c>
      <c r="E284" s="308" t="str">
        <f>IFERROR(__xludf.DUMMYFUNCTION("""COMPUTED_VALUE"""),"K")</f>
        <v>K</v>
      </c>
      <c r="F284" s="309" t="s">
        <v>34</v>
      </c>
      <c r="G284" s="308" t="s">
        <v>34216</v>
      </c>
      <c r="H284" s="308" t="s">
        <v>1389</v>
      </c>
      <c r="I284" s="310">
        <v>40009.0</v>
      </c>
      <c r="J284" s="308">
        <f>IFERROR(__xludf.DUMMYFUNCTION("SPLIT(I284,""/"")"),15.0)</f>
        <v>15</v>
      </c>
      <c r="K284" s="308">
        <f>IFERROR(__xludf.DUMMYFUNCTION("""COMPUTED_VALUE"""),7.0)</f>
        <v>7</v>
      </c>
      <c r="L284" s="308">
        <f>IFERROR(__xludf.DUMMYFUNCTION("""COMPUTED_VALUE"""),2009.0)</f>
        <v>2009</v>
      </c>
      <c r="M284" s="308" t="s">
        <v>1390</v>
      </c>
      <c r="N284" s="308"/>
      <c r="O284" s="312" t="s">
        <v>34721</v>
      </c>
      <c r="P284" s="308" t="s">
        <v>1392</v>
      </c>
      <c r="Q284" s="308"/>
      <c r="R284" s="308"/>
      <c r="S284" s="308" t="s">
        <v>49</v>
      </c>
      <c r="T284" s="315" t="s">
        <v>69</v>
      </c>
      <c r="U284" s="308" t="s">
        <v>1393</v>
      </c>
      <c r="V284" s="312"/>
    </row>
    <row r="285">
      <c r="A285" s="308">
        <v>284.0</v>
      </c>
      <c r="B285" s="308"/>
      <c r="C285" s="308" t="s">
        <v>1394</v>
      </c>
      <c r="D285" s="308">
        <f>IFERROR(__xludf.DUMMYFUNCTION("SPLIT(C285,""-"")"),283.0)</f>
        <v>283</v>
      </c>
      <c r="E285" s="308" t="str">
        <f>IFERROR(__xludf.DUMMYFUNCTION("""COMPUTED_VALUE"""),"F")</f>
        <v>F</v>
      </c>
      <c r="F285" s="309" t="s">
        <v>34</v>
      </c>
      <c r="G285" s="308"/>
      <c r="H285" s="308" t="s">
        <v>1395</v>
      </c>
      <c r="I285" s="310">
        <v>43101.0</v>
      </c>
      <c r="J285" s="308">
        <f>IFERROR(__xludf.DUMMYFUNCTION("SPLIT(I285,""/"")"),1.0)</f>
        <v>1</v>
      </c>
      <c r="K285" s="308">
        <f>IFERROR(__xludf.DUMMYFUNCTION("""COMPUTED_VALUE"""),1.0)</f>
        <v>1</v>
      </c>
      <c r="L285" s="308">
        <f>IFERROR(__xludf.DUMMYFUNCTION("""COMPUTED_VALUE"""),2018.0)</f>
        <v>2018</v>
      </c>
      <c r="M285" s="308" t="s">
        <v>1396</v>
      </c>
      <c r="N285" s="308"/>
      <c r="O285" s="312"/>
      <c r="P285" s="308" t="s">
        <v>34722</v>
      </c>
      <c r="Q285" s="308"/>
      <c r="R285" s="308"/>
      <c r="S285" s="308" t="s">
        <v>81</v>
      </c>
      <c r="T285" s="308" t="s">
        <v>34264</v>
      </c>
      <c r="U285" s="308" t="s">
        <v>195</v>
      </c>
      <c r="V285" s="312"/>
    </row>
    <row r="286">
      <c r="A286" s="308">
        <v>285.0</v>
      </c>
      <c r="B286" s="308">
        <v>3492.0</v>
      </c>
      <c r="C286" s="308" t="s">
        <v>34723</v>
      </c>
      <c r="D286" s="308">
        <f>IFERROR(__xludf.DUMMYFUNCTION("SPLIT(C286,""-"")"),284.0)</f>
        <v>284</v>
      </c>
      <c r="E286" s="311"/>
      <c r="F286" s="309" t="s">
        <v>26</v>
      </c>
      <c r="G286" s="308" t="s">
        <v>34216</v>
      </c>
      <c r="H286" s="308" t="s">
        <v>1398</v>
      </c>
      <c r="I286" s="310">
        <v>39886.0</v>
      </c>
      <c r="J286" s="308">
        <f>IFERROR(__xludf.DUMMYFUNCTION("SPLIT(I286,""/"")"),14.0)</f>
        <v>14</v>
      </c>
      <c r="K286" s="308">
        <f>IFERROR(__xludf.DUMMYFUNCTION("""COMPUTED_VALUE"""),3.0)</f>
        <v>3</v>
      </c>
      <c r="L286" s="308">
        <f>IFERROR(__xludf.DUMMYFUNCTION("""COMPUTED_VALUE"""),2009.0)</f>
        <v>2009</v>
      </c>
      <c r="M286" s="308" t="s">
        <v>1399</v>
      </c>
      <c r="N286" s="308"/>
      <c r="O286" s="312" t="s">
        <v>635</v>
      </c>
      <c r="P286" s="308" t="s">
        <v>34724</v>
      </c>
      <c r="Q286" s="308"/>
      <c r="R286" s="308"/>
      <c r="S286" s="308" t="s">
        <v>49</v>
      </c>
      <c r="T286" s="311" t="s">
        <v>51</v>
      </c>
      <c r="U286" s="308"/>
      <c r="V286" s="312"/>
    </row>
    <row r="287">
      <c r="A287" s="308">
        <v>286.0</v>
      </c>
      <c r="B287" s="308">
        <v>3493.0</v>
      </c>
      <c r="C287" s="308" t="s">
        <v>34725</v>
      </c>
      <c r="D287" s="308">
        <f>IFERROR(__xludf.DUMMYFUNCTION("SPLIT(C287,""-"")"),285.0)</f>
        <v>285</v>
      </c>
      <c r="E287" s="311"/>
      <c r="F287" s="309" t="s">
        <v>26</v>
      </c>
      <c r="G287" s="308" t="s">
        <v>34216</v>
      </c>
      <c r="H287" s="308" t="s">
        <v>1401</v>
      </c>
      <c r="I287" s="310">
        <v>39886.0</v>
      </c>
      <c r="J287" s="308">
        <f>IFERROR(__xludf.DUMMYFUNCTION("SPLIT(I287,""/"")"),14.0)</f>
        <v>14</v>
      </c>
      <c r="K287" s="308">
        <f>IFERROR(__xludf.DUMMYFUNCTION("""COMPUTED_VALUE"""),3.0)</f>
        <v>3</v>
      </c>
      <c r="L287" s="308">
        <f>IFERROR(__xludf.DUMMYFUNCTION("""COMPUTED_VALUE"""),2009.0)</f>
        <v>2009</v>
      </c>
      <c r="M287" s="308" t="s">
        <v>1402</v>
      </c>
      <c r="N287" s="308"/>
      <c r="O287" s="312" t="s">
        <v>635</v>
      </c>
      <c r="P287" s="308" t="s">
        <v>1403</v>
      </c>
      <c r="Q287" s="308"/>
      <c r="R287" s="308"/>
      <c r="S287" s="308" t="s">
        <v>81</v>
      </c>
      <c r="T287" s="308" t="s">
        <v>75</v>
      </c>
      <c r="U287" s="308"/>
      <c r="V287" s="312"/>
    </row>
    <row r="288">
      <c r="A288" s="308">
        <v>287.0</v>
      </c>
      <c r="B288" s="308">
        <v>3494.0</v>
      </c>
      <c r="C288" s="308" t="s">
        <v>34726</v>
      </c>
      <c r="D288" s="308">
        <f>IFERROR(__xludf.DUMMYFUNCTION("SPLIT(C288,""-"")"),286.0)</f>
        <v>286</v>
      </c>
      <c r="E288" s="311"/>
      <c r="F288" s="317" t="s">
        <v>37</v>
      </c>
      <c r="G288" s="308" t="s">
        <v>34216</v>
      </c>
      <c r="H288" s="308" t="s">
        <v>1404</v>
      </c>
      <c r="I288" s="310">
        <v>40610.0</v>
      </c>
      <c r="J288" s="308">
        <f>IFERROR(__xludf.DUMMYFUNCTION("SPLIT(I288,""/"")"),8.0)</f>
        <v>8</v>
      </c>
      <c r="K288" s="308">
        <f>IFERROR(__xludf.DUMMYFUNCTION("""COMPUTED_VALUE"""),3.0)</f>
        <v>3</v>
      </c>
      <c r="L288" s="308">
        <f>IFERROR(__xludf.DUMMYFUNCTION("""COMPUTED_VALUE"""),2011.0)</f>
        <v>2011</v>
      </c>
      <c r="M288" s="308" t="s">
        <v>1405</v>
      </c>
      <c r="N288" s="308"/>
      <c r="O288" s="312" t="s">
        <v>635</v>
      </c>
      <c r="P288" s="308" t="s">
        <v>1406</v>
      </c>
      <c r="Q288" s="308"/>
      <c r="R288" s="308"/>
      <c r="S288" s="308" t="s">
        <v>81</v>
      </c>
      <c r="T288" s="311" t="s">
        <v>73</v>
      </c>
      <c r="U288" s="308"/>
      <c r="V288" s="312"/>
    </row>
    <row r="289">
      <c r="A289" s="308">
        <v>288.0</v>
      </c>
      <c r="B289" s="308"/>
      <c r="C289" s="308" t="s">
        <v>1407</v>
      </c>
      <c r="D289" s="308">
        <f>IFERROR(__xludf.DUMMYFUNCTION("SPLIT(C289,""-"")"),287.0)</f>
        <v>287</v>
      </c>
      <c r="E289" s="308" t="str">
        <f>IFERROR(__xludf.DUMMYFUNCTION("""COMPUTED_VALUE"""),"K")</f>
        <v>K</v>
      </c>
      <c r="F289" s="309" t="s">
        <v>34</v>
      </c>
      <c r="G289" s="308"/>
      <c r="H289" s="308" t="s">
        <v>1408</v>
      </c>
      <c r="I289" s="310">
        <v>39995.0</v>
      </c>
      <c r="J289" s="308">
        <f>IFERROR(__xludf.DUMMYFUNCTION("SPLIT(I289,""/"")"),1.0)</f>
        <v>1</v>
      </c>
      <c r="K289" s="308">
        <f>IFERROR(__xludf.DUMMYFUNCTION("""COMPUTED_VALUE"""),7.0)</f>
        <v>7</v>
      </c>
      <c r="L289" s="308">
        <f>IFERROR(__xludf.DUMMYFUNCTION("""COMPUTED_VALUE"""),2009.0)</f>
        <v>2009</v>
      </c>
      <c r="M289" s="308" t="s">
        <v>1409</v>
      </c>
      <c r="N289" s="308"/>
      <c r="O289" s="308"/>
      <c r="P289" s="308" t="s">
        <v>34727</v>
      </c>
      <c r="Q289" s="308"/>
      <c r="R289" s="308"/>
      <c r="S289" s="308" t="s">
        <v>81</v>
      </c>
      <c r="T289" s="308" t="s">
        <v>73</v>
      </c>
      <c r="U289" s="308" t="s">
        <v>530</v>
      </c>
      <c r="V289" s="308"/>
    </row>
    <row r="290">
      <c r="A290" s="308">
        <v>289.0</v>
      </c>
      <c r="B290" s="308">
        <v>3496.0</v>
      </c>
      <c r="C290" s="308" t="s">
        <v>34728</v>
      </c>
      <c r="D290" s="308">
        <f>IFERROR(__xludf.DUMMYFUNCTION("SPLIT(C290,""-"")"),288.0)</f>
        <v>288</v>
      </c>
      <c r="E290" s="311"/>
      <c r="F290" s="309" t="s">
        <v>34</v>
      </c>
      <c r="G290" s="308" t="s">
        <v>34216</v>
      </c>
      <c r="H290" s="308" t="s">
        <v>1411</v>
      </c>
      <c r="I290" s="310">
        <v>40004.0</v>
      </c>
      <c r="J290" s="308">
        <f>IFERROR(__xludf.DUMMYFUNCTION("SPLIT(I290,""/"")"),10.0)</f>
        <v>10</v>
      </c>
      <c r="K290" s="308">
        <f>IFERROR(__xludf.DUMMYFUNCTION("""COMPUTED_VALUE"""),7.0)</f>
        <v>7</v>
      </c>
      <c r="L290" s="308">
        <f>IFERROR(__xludf.DUMMYFUNCTION("""COMPUTED_VALUE"""),2009.0)</f>
        <v>2009</v>
      </c>
      <c r="M290" s="308" t="s">
        <v>1412</v>
      </c>
      <c r="N290" s="308"/>
      <c r="O290" s="312" t="s">
        <v>34718</v>
      </c>
      <c r="P290" s="308" t="s">
        <v>136</v>
      </c>
      <c r="Q290" s="308"/>
      <c r="R290" s="308"/>
      <c r="S290" s="315" t="s">
        <v>100</v>
      </c>
      <c r="T290" s="308" t="s">
        <v>34208</v>
      </c>
      <c r="U290" s="308"/>
      <c r="V290" s="312"/>
    </row>
    <row r="291">
      <c r="A291" s="308">
        <v>290.0</v>
      </c>
      <c r="B291" s="308">
        <v>3497.0</v>
      </c>
      <c r="C291" s="308" t="s">
        <v>34729</v>
      </c>
      <c r="D291" s="308">
        <f>IFERROR(__xludf.DUMMYFUNCTION("SPLIT(C291,""-"")"),289.0)</f>
        <v>289</v>
      </c>
      <c r="E291" s="311"/>
      <c r="F291" s="309" t="s">
        <v>34</v>
      </c>
      <c r="G291" s="308"/>
      <c r="H291" s="308" t="s">
        <v>1413</v>
      </c>
      <c r="I291" s="310">
        <v>40458.0</v>
      </c>
      <c r="J291" s="308">
        <f>IFERROR(__xludf.DUMMYFUNCTION("SPLIT(I291,""/"")"),7.0)</f>
        <v>7</v>
      </c>
      <c r="K291" s="308">
        <f>IFERROR(__xludf.DUMMYFUNCTION("""COMPUTED_VALUE"""),10.0)</f>
        <v>10</v>
      </c>
      <c r="L291" s="308">
        <f>IFERROR(__xludf.DUMMYFUNCTION("""COMPUTED_VALUE"""),2010.0)</f>
        <v>2010</v>
      </c>
      <c r="M291" s="308" t="s">
        <v>34730</v>
      </c>
      <c r="N291" s="308"/>
      <c r="O291" s="308" t="s">
        <v>1415</v>
      </c>
      <c r="P291" s="308" t="s">
        <v>1416</v>
      </c>
      <c r="Q291" s="308"/>
      <c r="R291" s="308"/>
      <c r="S291" s="308" t="s">
        <v>81</v>
      </c>
      <c r="T291" s="308" t="s">
        <v>98</v>
      </c>
      <c r="U291" s="308"/>
      <c r="V291" s="312"/>
    </row>
    <row r="292">
      <c r="A292" s="308">
        <v>291.0</v>
      </c>
      <c r="B292" s="308">
        <v>3498.0</v>
      </c>
      <c r="C292" s="308" t="s">
        <v>1417</v>
      </c>
      <c r="D292" s="308">
        <f>IFERROR(__xludf.DUMMYFUNCTION("SPLIT(C292,""-"")"),290.0)</f>
        <v>290</v>
      </c>
      <c r="E292" s="308" t="str">
        <f>IFERROR(__xludf.DUMMYFUNCTION("""COMPUTED_VALUE"""),"P")</f>
        <v>P</v>
      </c>
      <c r="F292" s="312" t="s">
        <v>37</v>
      </c>
      <c r="G292" s="308"/>
      <c r="H292" s="308" t="s">
        <v>1418</v>
      </c>
      <c r="I292" s="310">
        <v>40395.0</v>
      </c>
      <c r="J292" s="308">
        <f>IFERROR(__xludf.DUMMYFUNCTION("SPLIT(I292,""/"")"),5.0)</f>
        <v>5</v>
      </c>
      <c r="K292" s="308">
        <f>IFERROR(__xludf.DUMMYFUNCTION("""COMPUTED_VALUE"""),8.0)</f>
        <v>8</v>
      </c>
      <c r="L292" s="308">
        <f>IFERROR(__xludf.DUMMYFUNCTION("""COMPUTED_VALUE"""),2010.0)</f>
        <v>2010</v>
      </c>
      <c r="M292" s="308" t="s">
        <v>1419</v>
      </c>
      <c r="N292" s="308"/>
      <c r="O292" s="308" t="s">
        <v>1420</v>
      </c>
      <c r="P292" s="308" t="s">
        <v>1421</v>
      </c>
      <c r="Q292" s="308"/>
      <c r="R292" s="308"/>
      <c r="S292" s="315" t="s">
        <v>100</v>
      </c>
      <c r="T292" s="311" t="s">
        <v>34208</v>
      </c>
      <c r="U292" s="308"/>
      <c r="V292" s="312"/>
    </row>
    <row r="293">
      <c r="A293" s="308">
        <v>292.0</v>
      </c>
      <c r="B293" s="308">
        <v>3499.0</v>
      </c>
      <c r="C293" s="308" t="s">
        <v>1422</v>
      </c>
      <c r="D293" s="308">
        <f>IFERROR(__xludf.DUMMYFUNCTION("SPLIT(C293,""-"")"),291.0)</f>
        <v>291</v>
      </c>
      <c r="E293" s="308" t="str">
        <f>IFERROR(__xludf.DUMMYFUNCTION("""COMPUTED_VALUE"""),"P")</f>
        <v>P</v>
      </c>
      <c r="F293" s="312" t="s">
        <v>37</v>
      </c>
      <c r="G293" s="308"/>
      <c r="H293" s="308" t="s">
        <v>1423</v>
      </c>
      <c r="I293" s="310">
        <v>40394.0</v>
      </c>
      <c r="J293" s="308">
        <f>IFERROR(__xludf.DUMMYFUNCTION("SPLIT(I293,""/"")"),4.0)</f>
        <v>4</v>
      </c>
      <c r="K293" s="308">
        <f>IFERROR(__xludf.DUMMYFUNCTION("""COMPUTED_VALUE"""),8.0)</f>
        <v>8</v>
      </c>
      <c r="L293" s="308">
        <f>IFERROR(__xludf.DUMMYFUNCTION("""COMPUTED_VALUE"""),2010.0)</f>
        <v>2010</v>
      </c>
      <c r="M293" s="308" t="s">
        <v>1424</v>
      </c>
      <c r="N293" s="308"/>
      <c r="O293" s="308" t="s">
        <v>1425</v>
      </c>
      <c r="P293" s="308" t="s">
        <v>1426</v>
      </c>
      <c r="Q293" s="308"/>
      <c r="R293" s="308"/>
      <c r="S293" s="315" t="s">
        <v>100</v>
      </c>
      <c r="T293" s="311" t="s">
        <v>34208</v>
      </c>
      <c r="U293" s="308"/>
      <c r="V293" s="312"/>
    </row>
    <row r="294">
      <c r="A294" s="308">
        <v>293.0</v>
      </c>
      <c r="B294" s="308"/>
      <c r="C294" s="308" t="s">
        <v>1427</v>
      </c>
      <c r="D294" s="308">
        <f>IFERROR(__xludf.DUMMYFUNCTION("SPLIT(C294,""-"")"),293.0)</f>
        <v>293</v>
      </c>
      <c r="E294" s="308" t="str">
        <f>IFERROR(__xludf.DUMMYFUNCTION("""COMPUTED_VALUE"""),"K")</f>
        <v>K</v>
      </c>
      <c r="F294" s="309" t="s">
        <v>34</v>
      </c>
      <c r="G294" s="308"/>
      <c r="H294" s="308" t="s">
        <v>1428</v>
      </c>
      <c r="I294" s="314">
        <v>41597.0</v>
      </c>
      <c r="J294" s="308">
        <f>IFERROR(__xludf.DUMMYFUNCTION("SPLIT(I294,""/"")"),19.0)</f>
        <v>19</v>
      </c>
      <c r="K294" s="308">
        <f>IFERROR(__xludf.DUMMYFUNCTION("""COMPUTED_VALUE"""),11.0)</f>
        <v>11</v>
      </c>
      <c r="L294" s="308">
        <f>IFERROR(__xludf.DUMMYFUNCTION("""COMPUTED_VALUE"""),2013.0)</f>
        <v>2013</v>
      </c>
      <c r="M294" s="308" t="s">
        <v>1429</v>
      </c>
      <c r="N294" s="308"/>
      <c r="O294" s="308"/>
      <c r="P294" s="308" t="s">
        <v>34212</v>
      </c>
      <c r="Q294" s="308"/>
      <c r="R294" s="308"/>
      <c r="S294" s="315" t="s">
        <v>100</v>
      </c>
      <c r="T294" s="311" t="s">
        <v>34208</v>
      </c>
      <c r="U294" s="308" t="s">
        <v>542</v>
      </c>
      <c r="V294" s="312"/>
    </row>
    <row r="295">
      <c r="A295" s="308">
        <v>294.0</v>
      </c>
      <c r="B295" s="308"/>
      <c r="C295" s="308" t="s">
        <v>1430</v>
      </c>
      <c r="D295" s="308">
        <f>IFERROR(__xludf.DUMMYFUNCTION("SPLIT(C295,""-"")"),292.0)</f>
        <v>292</v>
      </c>
      <c r="E295" s="308" t="str">
        <f>IFERROR(__xludf.DUMMYFUNCTION("""COMPUTED_VALUE"""),"P")</f>
        <v>P</v>
      </c>
      <c r="F295" s="312" t="s">
        <v>37</v>
      </c>
      <c r="G295" s="308"/>
      <c r="H295" s="308" t="s">
        <v>1431</v>
      </c>
      <c r="I295" s="314">
        <v>42325.0</v>
      </c>
      <c r="J295" s="308">
        <f>IFERROR(__xludf.DUMMYFUNCTION("SPLIT(I295,""/"")"),17.0)</f>
        <v>17</v>
      </c>
      <c r="K295" s="308">
        <f>IFERROR(__xludf.DUMMYFUNCTION("""COMPUTED_VALUE"""),11.0)</f>
        <v>11</v>
      </c>
      <c r="L295" s="308">
        <f>IFERROR(__xludf.DUMMYFUNCTION("""COMPUTED_VALUE"""),2015.0)</f>
        <v>2015</v>
      </c>
      <c r="M295" s="308" t="s">
        <v>34731</v>
      </c>
      <c r="N295" s="308"/>
      <c r="O295" s="308" t="s">
        <v>1433</v>
      </c>
      <c r="P295" s="308" t="s">
        <v>1434</v>
      </c>
      <c r="Q295" s="308"/>
      <c r="R295" s="308"/>
      <c r="S295" s="308" t="s">
        <v>49</v>
      </c>
      <c r="T295" s="308" t="s">
        <v>51</v>
      </c>
      <c r="U295" s="308" t="s">
        <v>1435</v>
      </c>
      <c r="V295" s="312"/>
    </row>
    <row r="296">
      <c r="A296" s="308">
        <v>295.0</v>
      </c>
      <c r="B296" s="308"/>
      <c r="C296" s="308" t="s">
        <v>1436</v>
      </c>
      <c r="D296" s="308">
        <f>IFERROR(__xludf.DUMMYFUNCTION("SPLIT(C296,""-"")"),294.0)</f>
        <v>294</v>
      </c>
      <c r="E296" s="308" t="str">
        <f>IFERROR(__xludf.DUMMYFUNCTION("""COMPUTED_VALUE"""),"K")</f>
        <v>K</v>
      </c>
      <c r="F296" s="309" t="s">
        <v>34</v>
      </c>
      <c r="G296" s="308"/>
      <c r="H296" s="308" t="s">
        <v>1437</v>
      </c>
      <c r="I296" s="310">
        <v>42475.0</v>
      </c>
      <c r="J296" s="308">
        <f>IFERROR(__xludf.DUMMYFUNCTION("SPLIT(I296,""/"")"),15.0)</f>
        <v>15</v>
      </c>
      <c r="K296" s="308">
        <f>IFERROR(__xludf.DUMMYFUNCTION("""COMPUTED_VALUE"""),4.0)</f>
        <v>4</v>
      </c>
      <c r="L296" s="308">
        <f>IFERROR(__xludf.DUMMYFUNCTION("""COMPUTED_VALUE"""),2016.0)</f>
        <v>2016</v>
      </c>
      <c r="M296" s="308" t="s">
        <v>1438</v>
      </c>
      <c r="N296" s="308"/>
      <c r="O296" s="308"/>
      <c r="P296" s="308" t="s">
        <v>34732</v>
      </c>
      <c r="Q296" s="308"/>
      <c r="R296" s="308"/>
      <c r="S296" s="308" t="s">
        <v>81</v>
      </c>
      <c r="T296" s="308" t="s">
        <v>34264</v>
      </c>
      <c r="U296" s="308" t="s">
        <v>125</v>
      </c>
      <c r="V296" s="312"/>
    </row>
    <row r="297">
      <c r="A297" s="308">
        <v>296.0</v>
      </c>
      <c r="B297" s="308">
        <v>3503.0</v>
      </c>
      <c r="C297" s="308" t="s">
        <v>34733</v>
      </c>
      <c r="D297" s="308">
        <f>IFERROR(__xludf.DUMMYFUNCTION("SPLIT(C297,""-"")"),295.0)</f>
        <v>295</v>
      </c>
      <c r="E297" s="311"/>
      <c r="F297" s="309" t="s">
        <v>34</v>
      </c>
      <c r="G297" s="308"/>
      <c r="H297" s="308" t="s">
        <v>1440</v>
      </c>
      <c r="I297" s="314">
        <v>40471.0</v>
      </c>
      <c r="J297" s="308">
        <f>IFERROR(__xludf.DUMMYFUNCTION("SPLIT(I297,""/"")"),20.0)</f>
        <v>20</v>
      </c>
      <c r="K297" s="308">
        <f>IFERROR(__xludf.DUMMYFUNCTION("""COMPUTED_VALUE"""),10.0)</f>
        <v>10</v>
      </c>
      <c r="L297" s="308">
        <f>IFERROR(__xludf.DUMMYFUNCTION("""COMPUTED_VALUE"""),2010.0)</f>
        <v>2010</v>
      </c>
      <c r="M297" s="308" t="s">
        <v>34734</v>
      </c>
      <c r="N297" s="308"/>
      <c r="O297" s="308" t="s">
        <v>1442</v>
      </c>
      <c r="P297" s="308" t="s">
        <v>34212</v>
      </c>
      <c r="Q297" s="308"/>
      <c r="R297" s="308"/>
      <c r="S297" s="315" t="s">
        <v>100</v>
      </c>
      <c r="T297" s="311" t="s">
        <v>34208</v>
      </c>
      <c r="U297" s="308" t="s">
        <v>137</v>
      </c>
      <c r="V297" s="312"/>
    </row>
    <row r="298">
      <c r="A298" s="308">
        <v>297.0</v>
      </c>
      <c r="B298" s="308">
        <v>3504.0</v>
      </c>
      <c r="C298" s="308" t="s">
        <v>34735</v>
      </c>
      <c r="D298" s="308">
        <f>IFERROR(__xludf.DUMMYFUNCTION("SPLIT(C298,""-"")"),296.0)</f>
        <v>296</v>
      </c>
      <c r="E298" s="311"/>
      <c r="F298" s="309" t="s">
        <v>34</v>
      </c>
      <c r="G298" s="308"/>
      <c r="H298" s="308" t="s">
        <v>1443</v>
      </c>
      <c r="I298" s="310">
        <v>40438.0</v>
      </c>
      <c r="J298" s="308">
        <f>IFERROR(__xludf.DUMMYFUNCTION("SPLIT(I298,""/"")"),17.0)</f>
        <v>17</v>
      </c>
      <c r="K298" s="308">
        <f>IFERROR(__xludf.DUMMYFUNCTION("""COMPUTED_VALUE"""),9.0)</f>
        <v>9</v>
      </c>
      <c r="L298" s="308">
        <f>IFERROR(__xludf.DUMMYFUNCTION("""COMPUTED_VALUE"""),2010.0)</f>
        <v>2010</v>
      </c>
      <c r="M298" s="308" t="s">
        <v>34736</v>
      </c>
      <c r="N298" s="308"/>
      <c r="O298" s="308" t="s">
        <v>1445</v>
      </c>
      <c r="P298" s="308" t="s">
        <v>34212</v>
      </c>
      <c r="Q298" s="308"/>
      <c r="R298" s="308"/>
      <c r="S298" s="315" t="s">
        <v>100</v>
      </c>
      <c r="T298" s="311" t="s">
        <v>34208</v>
      </c>
      <c r="U298" s="308" t="s">
        <v>137</v>
      </c>
      <c r="V298" s="312"/>
    </row>
    <row r="299">
      <c r="A299" s="308">
        <v>298.0</v>
      </c>
      <c r="B299" s="308">
        <v>3505.0</v>
      </c>
      <c r="C299" s="308" t="s">
        <v>34737</v>
      </c>
      <c r="D299" s="308">
        <f>IFERROR(__xludf.DUMMYFUNCTION("SPLIT(C299,""-"")"),297.0)</f>
        <v>297</v>
      </c>
      <c r="E299" s="311"/>
      <c r="F299" s="309" t="s">
        <v>23</v>
      </c>
      <c r="G299" s="308" t="s">
        <v>34216</v>
      </c>
      <c r="H299" s="308" t="s">
        <v>1446</v>
      </c>
      <c r="I299" s="310">
        <v>40515.0</v>
      </c>
      <c r="J299" s="308">
        <f>IFERROR(__xludf.DUMMYFUNCTION("SPLIT(I299,""/"")"),3.0)</f>
        <v>3</v>
      </c>
      <c r="K299" s="308">
        <f>IFERROR(__xludf.DUMMYFUNCTION("""COMPUTED_VALUE"""),12.0)</f>
        <v>12</v>
      </c>
      <c r="L299" s="308">
        <f>IFERROR(__xludf.DUMMYFUNCTION("""COMPUTED_VALUE"""),2010.0)</f>
        <v>2010</v>
      </c>
      <c r="M299" s="308" t="s">
        <v>34738</v>
      </c>
      <c r="N299" s="308"/>
      <c r="O299" s="308" t="s">
        <v>1448</v>
      </c>
      <c r="P299" s="308" t="s">
        <v>34739</v>
      </c>
      <c r="Q299" s="308"/>
      <c r="R299" s="308"/>
      <c r="S299" s="308" t="s">
        <v>81</v>
      </c>
      <c r="T299" s="311" t="s">
        <v>73</v>
      </c>
      <c r="U299" s="308"/>
      <c r="V299" s="312"/>
    </row>
    <row r="300">
      <c r="A300" s="308">
        <v>299.0</v>
      </c>
      <c r="B300" s="308">
        <v>3506.0</v>
      </c>
      <c r="C300" s="308" t="s">
        <v>34740</v>
      </c>
      <c r="D300" s="308">
        <f>IFERROR(__xludf.DUMMYFUNCTION("SPLIT(C300,""-"")"),298.0)</f>
        <v>298</v>
      </c>
      <c r="E300" s="311"/>
      <c r="F300" s="309" t="s">
        <v>23</v>
      </c>
      <c r="G300" s="308" t="s">
        <v>34216</v>
      </c>
      <c r="H300" s="308" t="s">
        <v>1450</v>
      </c>
      <c r="I300" s="310">
        <v>40515.0</v>
      </c>
      <c r="J300" s="308">
        <f>IFERROR(__xludf.DUMMYFUNCTION("SPLIT(I300,""/"")"),3.0)</f>
        <v>3</v>
      </c>
      <c r="K300" s="308">
        <f>IFERROR(__xludf.DUMMYFUNCTION("""COMPUTED_VALUE"""),12.0)</f>
        <v>12</v>
      </c>
      <c r="L300" s="308">
        <f>IFERROR(__xludf.DUMMYFUNCTION("""COMPUTED_VALUE"""),2010.0)</f>
        <v>2010</v>
      </c>
      <c r="M300" s="308" t="s">
        <v>1451</v>
      </c>
      <c r="N300" s="308"/>
      <c r="O300" s="308" t="s">
        <v>1452</v>
      </c>
      <c r="P300" s="308" t="s">
        <v>34739</v>
      </c>
      <c r="Q300" s="308"/>
      <c r="R300" s="308"/>
      <c r="S300" s="308" t="s">
        <v>81</v>
      </c>
      <c r="T300" s="311" t="s">
        <v>73</v>
      </c>
      <c r="U300" s="308"/>
      <c r="V300" s="312"/>
    </row>
    <row r="301">
      <c r="A301" s="308">
        <v>300.0</v>
      </c>
      <c r="B301" s="308">
        <v>3507.0</v>
      </c>
      <c r="C301" s="308" t="s">
        <v>34741</v>
      </c>
      <c r="D301" s="308">
        <f>IFERROR(__xludf.DUMMYFUNCTION("SPLIT(C301,""-"")"),299.0)</f>
        <v>299</v>
      </c>
      <c r="E301" s="311"/>
      <c r="F301" s="309" t="s">
        <v>26</v>
      </c>
      <c r="G301" s="308" t="s">
        <v>34216</v>
      </c>
      <c r="H301" s="308" t="s">
        <v>1453</v>
      </c>
      <c r="I301" s="310">
        <v>40450.0</v>
      </c>
      <c r="J301" s="308">
        <f>IFERROR(__xludf.DUMMYFUNCTION("SPLIT(I301,""/"")"),29.0)</f>
        <v>29</v>
      </c>
      <c r="K301" s="308">
        <f>IFERROR(__xludf.DUMMYFUNCTION("""COMPUTED_VALUE"""),9.0)</f>
        <v>9</v>
      </c>
      <c r="L301" s="308">
        <f>IFERROR(__xludf.DUMMYFUNCTION("""COMPUTED_VALUE"""),2010.0)</f>
        <v>2010</v>
      </c>
      <c r="M301" s="308" t="s">
        <v>1454</v>
      </c>
      <c r="N301" s="308"/>
      <c r="O301" s="308" t="s">
        <v>1455</v>
      </c>
      <c r="P301" s="308" t="s">
        <v>1456</v>
      </c>
      <c r="Q301" s="308"/>
      <c r="R301" s="308"/>
      <c r="S301" s="308" t="s">
        <v>81</v>
      </c>
      <c r="T301" s="308" t="s">
        <v>75</v>
      </c>
      <c r="U301" s="308"/>
      <c r="V301" s="312"/>
    </row>
    <row r="302">
      <c r="A302" s="308">
        <v>301.0</v>
      </c>
      <c r="B302" s="308">
        <v>3508.0</v>
      </c>
      <c r="C302" s="308" t="s">
        <v>34742</v>
      </c>
      <c r="D302" s="308">
        <f>IFERROR(__xludf.DUMMYFUNCTION("SPLIT(C302,""-"")"),300.0)</f>
        <v>300</v>
      </c>
      <c r="E302" s="311"/>
      <c r="F302" s="317" t="s">
        <v>37</v>
      </c>
      <c r="G302" s="308" t="s">
        <v>34216</v>
      </c>
      <c r="H302" s="308" t="s">
        <v>1457</v>
      </c>
      <c r="I302" s="310">
        <v>40630.0</v>
      </c>
      <c r="J302" s="308">
        <f>IFERROR(__xludf.DUMMYFUNCTION("SPLIT(I302,""/"")"),28.0)</f>
        <v>28</v>
      </c>
      <c r="K302" s="308">
        <f>IFERROR(__xludf.DUMMYFUNCTION("""COMPUTED_VALUE"""),3.0)</f>
        <v>3</v>
      </c>
      <c r="L302" s="308">
        <f>IFERROR(__xludf.DUMMYFUNCTION("""COMPUTED_VALUE"""),2011.0)</f>
        <v>2011</v>
      </c>
      <c r="M302" s="308" t="s">
        <v>1458</v>
      </c>
      <c r="N302" s="308"/>
      <c r="O302" s="312" t="s">
        <v>34743</v>
      </c>
      <c r="P302" s="308" t="s">
        <v>124</v>
      </c>
      <c r="Q302" s="308"/>
      <c r="R302" s="308"/>
      <c r="S302" s="308" t="s">
        <v>81</v>
      </c>
      <c r="T302" s="308" t="s">
        <v>34201</v>
      </c>
      <c r="U302" s="308"/>
      <c r="V302" s="312"/>
    </row>
    <row r="303">
      <c r="A303" s="308">
        <v>302.0</v>
      </c>
      <c r="B303" s="308">
        <v>3509.0</v>
      </c>
      <c r="C303" s="308" t="s">
        <v>1460</v>
      </c>
      <c r="D303" s="308">
        <f>IFERROR(__xludf.DUMMYFUNCTION("SPLIT(C303,""-"")"),301.0)</f>
        <v>301</v>
      </c>
      <c r="E303" s="308" t="str">
        <f>IFERROR(__xludf.DUMMYFUNCTION("""COMPUTED_VALUE"""),"P")</f>
        <v>P</v>
      </c>
      <c r="F303" s="312" t="s">
        <v>37</v>
      </c>
      <c r="G303" s="308" t="s">
        <v>34216</v>
      </c>
      <c r="H303" s="308" t="s">
        <v>1461</v>
      </c>
      <c r="I303" s="310">
        <v>40630.0</v>
      </c>
      <c r="J303" s="308">
        <f>IFERROR(__xludf.DUMMYFUNCTION("SPLIT(I303,""/"")"),28.0)</f>
        <v>28</v>
      </c>
      <c r="K303" s="308">
        <f>IFERROR(__xludf.DUMMYFUNCTION("""COMPUTED_VALUE"""),3.0)</f>
        <v>3</v>
      </c>
      <c r="L303" s="308">
        <f>IFERROR(__xludf.DUMMYFUNCTION("""COMPUTED_VALUE"""),2011.0)</f>
        <v>2011</v>
      </c>
      <c r="M303" s="308" t="s">
        <v>1458</v>
      </c>
      <c r="N303" s="308"/>
      <c r="O303" s="312" t="s">
        <v>34744</v>
      </c>
      <c r="P303" s="308" t="s">
        <v>1421</v>
      </c>
      <c r="Q303" s="308"/>
      <c r="R303" s="308"/>
      <c r="S303" s="315" t="s">
        <v>100</v>
      </c>
      <c r="T303" s="311" t="s">
        <v>34208</v>
      </c>
      <c r="U303" s="308" t="s">
        <v>149</v>
      </c>
      <c r="V303" s="312"/>
    </row>
    <row r="304">
      <c r="A304" s="308">
        <v>303.0</v>
      </c>
      <c r="B304" s="308">
        <v>3510.0</v>
      </c>
      <c r="C304" s="308" t="s">
        <v>34745</v>
      </c>
      <c r="D304" s="308">
        <f>IFERROR(__xludf.DUMMYFUNCTION("SPLIT(C304,""-"")"),302.0)</f>
        <v>302</v>
      </c>
      <c r="E304" s="311"/>
      <c r="F304" s="317" t="s">
        <v>37</v>
      </c>
      <c r="G304" s="308" t="s">
        <v>34216</v>
      </c>
      <c r="H304" s="308" t="s">
        <v>1463</v>
      </c>
      <c r="I304" s="314">
        <v>40499.0</v>
      </c>
      <c r="J304" s="308">
        <f>IFERROR(__xludf.DUMMYFUNCTION("SPLIT(I304,""/"")"),17.0)</f>
        <v>17</v>
      </c>
      <c r="K304" s="308">
        <f>IFERROR(__xludf.DUMMYFUNCTION("""COMPUTED_VALUE"""),11.0)</f>
        <v>11</v>
      </c>
      <c r="L304" s="308">
        <f>IFERROR(__xludf.DUMMYFUNCTION("""COMPUTED_VALUE"""),2010.0)</f>
        <v>2010</v>
      </c>
      <c r="M304" s="308" t="s">
        <v>1464</v>
      </c>
      <c r="N304" s="308"/>
      <c r="O304" s="312" t="s">
        <v>34663</v>
      </c>
      <c r="P304" s="308" t="s">
        <v>34746</v>
      </c>
      <c r="Q304" s="308"/>
      <c r="R304" s="308"/>
      <c r="S304" s="308" t="s">
        <v>49</v>
      </c>
      <c r="T304" s="308" t="s">
        <v>51</v>
      </c>
      <c r="U304" s="308"/>
      <c r="V304" s="312"/>
    </row>
    <row r="305">
      <c r="A305" s="308">
        <v>304.0</v>
      </c>
      <c r="B305" s="308">
        <v>3511.0</v>
      </c>
      <c r="C305" s="308" t="s">
        <v>1466</v>
      </c>
      <c r="D305" s="308">
        <f>IFERROR(__xludf.DUMMYFUNCTION("SPLIT(C305,""-"")"),303.0)</f>
        <v>303</v>
      </c>
      <c r="E305" s="308" t="str">
        <f>IFERROR(__xludf.DUMMYFUNCTION("""COMPUTED_VALUE"""),"K")</f>
        <v>K</v>
      </c>
      <c r="F305" s="309" t="s">
        <v>34</v>
      </c>
      <c r="G305" s="308" t="s">
        <v>34216</v>
      </c>
      <c r="H305" s="308" t="s">
        <v>1467</v>
      </c>
      <c r="I305" s="310">
        <v>40452.0</v>
      </c>
      <c r="J305" s="308">
        <f>IFERROR(__xludf.DUMMYFUNCTION("SPLIT(I305,""/"")"),1.0)</f>
        <v>1</v>
      </c>
      <c r="K305" s="308">
        <f>IFERROR(__xludf.DUMMYFUNCTION("""COMPUTED_VALUE"""),10.0)</f>
        <v>10</v>
      </c>
      <c r="L305" s="308">
        <f>IFERROR(__xludf.DUMMYFUNCTION("""COMPUTED_VALUE"""),2010.0)</f>
        <v>2010</v>
      </c>
      <c r="M305" s="308" t="s">
        <v>1464</v>
      </c>
      <c r="N305" s="308"/>
      <c r="O305" s="312" t="s">
        <v>34747</v>
      </c>
      <c r="P305" s="308" t="s">
        <v>34748</v>
      </c>
      <c r="Q305" s="308"/>
      <c r="R305" s="308"/>
      <c r="S305" s="315" t="s">
        <v>100</v>
      </c>
      <c r="T305" s="311" t="s">
        <v>34208</v>
      </c>
      <c r="U305" s="308"/>
      <c r="V305" s="312"/>
    </row>
    <row r="306">
      <c r="A306" s="308">
        <v>305.0</v>
      </c>
      <c r="B306" s="308">
        <v>3512.0</v>
      </c>
      <c r="C306" s="308" t="s">
        <v>34749</v>
      </c>
      <c r="D306" s="308">
        <f>IFERROR(__xludf.DUMMYFUNCTION("SPLIT(C306,""-"")"),304.0)</f>
        <v>304</v>
      </c>
      <c r="E306" s="311"/>
      <c r="F306" s="309" t="s">
        <v>26</v>
      </c>
      <c r="G306" s="308" t="s">
        <v>34216</v>
      </c>
      <c r="H306" s="308" t="s">
        <v>1470</v>
      </c>
      <c r="I306" s="310">
        <v>40589.0</v>
      </c>
      <c r="J306" s="308">
        <f>IFERROR(__xludf.DUMMYFUNCTION("SPLIT(I306,""/"")"),15.0)</f>
        <v>15</v>
      </c>
      <c r="K306" s="308">
        <f>IFERROR(__xludf.DUMMYFUNCTION("""COMPUTED_VALUE"""),2.0)</f>
        <v>2</v>
      </c>
      <c r="L306" s="308">
        <f>IFERROR(__xludf.DUMMYFUNCTION("""COMPUTED_VALUE"""),2011.0)</f>
        <v>2011</v>
      </c>
      <c r="M306" s="308" t="s">
        <v>1471</v>
      </c>
      <c r="N306" s="308"/>
      <c r="O306" s="308" t="s">
        <v>1472</v>
      </c>
      <c r="P306" s="308" t="s">
        <v>1473</v>
      </c>
      <c r="Q306" s="308"/>
      <c r="R306" s="308"/>
      <c r="S306" s="308" t="s">
        <v>81</v>
      </c>
      <c r="T306" s="311" t="s">
        <v>75</v>
      </c>
      <c r="U306" s="308"/>
      <c r="V306" s="312"/>
    </row>
    <row r="307">
      <c r="A307" s="308">
        <v>306.0</v>
      </c>
      <c r="B307" s="308">
        <v>3513.0</v>
      </c>
      <c r="C307" s="308" t="s">
        <v>34750</v>
      </c>
      <c r="D307" s="308">
        <f>IFERROR(__xludf.DUMMYFUNCTION("SPLIT(C307,""-"")"),305.0)</f>
        <v>305</v>
      </c>
      <c r="E307" s="311"/>
      <c r="F307" s="309" t="s">
        <v>26</v>
      </c>
      <c r="G307" s="308" t="s">
        <v>34216</v>
      </c>
      <c r="H307" s="308" t="s">
        <v>1474</v>
      </c>
      <c r="I307" s="310">
        <v>40566.0</v>
      </c>
      <c r="J307" s="308">
        <f>IFERROR(__xludf.DUMMYFUNCTION("SPLIT(I307,""/"")"),23.0)</f>
        <v>23</v>
      </c>
      <c r="K307" s="308">
        <f>IFERROR(__xludf.DUMMYFUNCTION("""COMPUTED_VALUE"""),1.0)</f>
        <v>1</v>
      </c>
      <c r="L307" s="308">
        <f>IFERROR(__xludf.DUMMYFUNCTION("""COMPUTED_VALUE"""),2011.0)</f>
        <v>2011</v>
      </c>
      <c r="M307" s="308" t="s">
        <v>34751</v>
      </c>
      <c r="N307" s="308"/>
      <c r="O307" s="312" t="s">
        <v>34752</v>
      </c>
      <c r="P307" s="308" t="s">
        <v>1477</v>
      </c>
      <c r="Q307" s="308"/>
      <c r="R307" s="308"/>
      <c r="S307" s="308" t="s">
        <v>81</v>
      </c>
      <c r="T307" s="308" t="s">
        <v>98</v>
      </c>
      <c r="U307" s="308"/>
      <c r="V307" s="312"/>
    </row>
    <row r="308">
      <c r="A308" s="308">
        <v>307.0</v>
      </c>
      <c r="B308" s="308">
        <v>3514.0</v>
      </c>
      <c r="C308" s="308" t="s">
        <v>34753</v>
      </c>
      <c r="D308" s="308">
        <f>IFERROR(__xludf.DUMMYFUNCTION("SPLIT(C308,""-"")"),306.0)</f>
        <v>306</v>
      </c>
      <c r="E308" s="311"/>
      <c r="F308" s="309" t="s">
        <v>26</v>
      </c>
      <c r="G308" s="308" t="s">
        <v>34216</v>
      </c>
      <c r="H308" s="308" t="s">
        <v>1478</v>
      </c>
      <c r="I308" s="314">
        <v>40472.0</v>
      </c>
      <c r="J308" s="308">
        <f>IFERROR(__xludf.DUMMYFUNCTION("SPLIT(I308,""/"")"),21.0)</f>
        <v>21</v>
      </c>
      <c r="K308" s="308">
        <f>IFERROR(__xludf.DUMMYFUNCTION("""COMPUTED_VALUE"""),10.0)</f>
        <v>10</v>
      </c>
      <c r="L308" s="308">
        <f>IFERROR(__xludf.DUMMYFUNCTION("""COMPUTED_VALUE"""),2010.0)</f>
        <v>2010</v>
      </c>
      <c r="M308" s="308" t="s">
        <v>34754</v>
      </c>
      <c r="N308" s="308"/>
      <c r="O308" s="312" t="s">
        <v>34755</v>
      </c>
      <c r="P308" s="308" t="s">
        <v>34756</v>
      </c>
      <c r="Q308" s="308"/>
      <c r="R308" s="308"/>
      <c r="S308" s="308" t="s">
        <v>81</v>
      </c>
      <c r="T308" s="311" t="s">
        <v>75</v>
      </c>
      <c r="U308" s="308"/>
      <c r="V308" s="312"/>
    </row>
    <row r="309">
      <c r="A309" s="308">
        <v>308.0</v>
      </c>
      <c r="B309" s="308">
        <v>3515.0</v>
      </c>
      <c r="C309" s="308" t="s">
        <v>34757</v>
      </c>
      <c r="D309" s="308">
        <f>IFERROR(__xludf.DUMMYFUNCTION("SPLIT(C309,""-"")"),307.0)</f>
        <v>307</v>
      </c>
      <c r="E309" s="311"/>
      <c r="F309" s="309" t="s">
        <v>26</v>
      </c>
      <c r="G309" s="308" t="s">
        <v>34216</v>
      </c>
      <c r="H309" s="308" t="s">
        <v>1482</v>
      </c>
      <c r="I309" s="310">
        <v>40566.0</v>
      </c>
      <c r="J309" s="308">
        <f>IFERROR(__xludf.DUMMYFUNCTION("SPLIT(I309,""/"")"),23.0)</f>
        <v>23</v>
      </c>
      <c r="K309" s="308">
        <f>IFERROR(__xludf.DUMMYFUNCTION("""COMPUTED_VALUE"""),1.0)</f>
        <v>1</v>
      </c>
      <c r="L309" s="308">
        <f>IFERROR(__xludf.DUMMYFUNCTION("""COMPUTED_VALUE"""),2011.0)</f>
        <v>2011</v>
      </c>
      <c r="M309" s="308" t="s">
        <v>34758</v>
      </c>
      <c r="N309" s="308"/>
      <c r="O309" s="308" t="s">
        <v>1484</v>
      </c>
      <c r="P309" s="308" t="s">
        <v>1485</v>
      </c>
      <c r="Q309" s="308"/>
      <c r="R309" s="308"/>
      <c r="S309" s="308" t="s">
        <v>81</v>
      </c>
      <c r="T309" s="308" t="s">
        <v>98</v>
      </c>
      <c r="U309" s="308"/>
      <c r="V309" s="312"/>
    </row>
    <row r="310">
      <c r="A310" s="308">
        <v>309.0</v>
      </c>
      <c r="B310" s="308">
        <v>3516.0</v>
      </c>
      <c r="C310" s="308" t="s">
        <v>1486</v>
      </c>
      <c r="D310" s="308">
        <f>IFERROR(__xludf.DUMMYFUNCTION("SPLIT(C310,""-"")"),308.0)</f>
        <v>308</v>
      </c>
      <c r="E310" s="308" t="str">
        <f>IFERROR(__xludf.DUMMYFUNCTION("""COMPUTED_VALUE"""),"B")</f>
        <v>B</v>
      </c>
      <c r="F310" s="315" t="s">
        <v>26</v>
      </c>
      <c r="G310" s="308" t="s">
        <v>34216</v>
      </c>
      <c r="H310" s="308" t="s">
        <v>1487</v>
      </c>
      <c r="I310" s="310">
        <v>40372.0</v>
      </c>
      <c r="J310" s="308">
        <f>IFERROR(__xludf.DUMMYFUNCTION("SPLIT(I310,""/"")"),13.0)</f>
        <v>13</v>
      </c>
      <c r="K310" s="308">
        <f>IFERROR(__xludf.DUMMYFUNCTION("""COMPUTED_VALUE"""),7.0)</f>
        <v>7</v>
      </c>
      <c r="L310" s="308">
        <f>IFERROR(__xludf.DUMMYFUNCTION("""COMPUTED_VALUE"""),2010.0)</f>
        <v>2010</v>
      </c>
      <c r="M310" s="308" t="s">
        <v>1488</v>
      </c>
      <c r="N310" s="308"/>
      <c r="O310" s="308" t="s">
        <v>1489</v>
      </c>
      <c r="P310" s="308" t="s">
        <v>1490</v>
      </c>
      <c r="Q310" s="308"/>
      <c r="R310" s="308"/>
      <c r="S310" s="315" t="s">
        <v>100</v>
      </c>
      <c r="T310" s="311" t="s">
        <v>34208</v>
      </c>
      <c r="U310" s="308" t="s">
        <v>27</v>
      </c>
      <c r="V310" s="312"/>
    </row>
    <row r="311">
      <c r="A311" s="308">
        <v>310.0</v>
      </c>
      <c r="B311" s="308">
        <v>3517.0</v>
      </c>
      <c r="C311" s="308" t="s">
        <v>1491</v>
      </c>
      <c r="D311" s="308">
        <f>IFERROR(__xludf.DUMMYFUNCTION("SPLIT(C311,""-"")"),309.0)</f>
        <v>309</v>
      </c>
      <c r="E311" s="308" t="str">
        <f>IFERROR(__xludf.DUMMYFUNCTION("""COMPUTED_VALUE"""),"K")</f>
        <v>K</v>
      </c>
      <c r="F311" s="309" t="s">
        <v>34</v>
      </c>
      <c r="G311" s="308"/>
      <c r="H311" s="308" t="s">
        <v>1492</v>
      </c>
      <c r="I311" s="310">
        <v>40069.0</v>
      </c>
      <c r="J311" s="308">
        <f>IFERROR(__xludf.DUMMYFUNCTION("SPLIT(I311,""/"")"),13.0)</f>
        <v>13</v>
      </c>
      <c r="K311" s="308">
        <f>IFERROR(__xludf.DUMMYFUNCTION("""COMPUTED_VALUE"""),9.0)</f>
        <v>9</v>
      </c>
      <c r="L311" s="308">
        <f>IFERROR(__xludf.DUMMYFUNCTION("""COMPUTED_VALUE"""),2009.0)</f>
        <v>2009</v>
      </c>
      <c r="M311" s="308" t="s">
        <v>1493</v>
      </c>
      <c r="N311" s="308"/>
      <c r="O311" s="312" t="s">
        <v>34759</v>
      </c>
      <c r="P311" s="308" t="s">
        <v>1495</v>
      </c>
      <c r="Q311" s="308"/>
      <c r="R311" s="308" t="s">
        <v>1496</v>
      </c>
      <c r="S311" s="315" t="s">
        <v>100</v>
      </c>
      <c r="T311" s="311" t="s">
        <v>34208</v>
      </c>
      <c r="U311" s="308" t="s">
        <v>201</v>
      </c>
      <c r="V311" s="312"/>
    </row>
    <row r="312">
      <c r="A312" s="308">
        <v>311.0</v>
      </c>
      <c r="B312" s="308"/>
      <c r="C312" s="308" t="s">
        <v>1497</v>
      </c>
      <c r="D312" s="308">
        <f>IFERROR(__xludf.DUMMYFUNCTION("SPLIT(C312,""-"")"),310.0)</f>
        <v>310</v>
      </c>
      <c r="E312" s="308" t="str">
        <f>IFERROR(__xludf.DUMMYFUNCTION("""COMPUTED_VALUE"""),"F")</f>
        <v>F</v>
      </c>
      <c r="F312" s="309" t="s">
        <v>34</v>
      </c>
      <c r="G312" s="308"/>
      <c r="H312" s="308" t="s">
        <v>1498</v>
      </c>
      <c r="I312" s="314">
        <v>41984.0</v>
      </c>
      <c r="J312" s="308">
        <f>IFERROR(__xludf.DUMMYFUNCTION("SPLIT(I312,""/"")"),11.0)</f>
        <v>11</v>
      </c>
      <c r="K312" s="308">
        <f>IFERROR(__xludf.DUMMYFUNCTION("""COMPUTED_VALUE"""),12.0)</f>
        <v>12</v>
      </c>
      <c r="L312" s="308">
        <f>IFERROR(__xludf.DUMMYFUNCTION("""COMPUTED_VALUE"""),2014.0)</f>
        <v>2014</v>
      </c>
      <c r="M312" s="308" t="s">
        <v>1499</v>
      </c>
      <c r="N312" s="308" t="s">
        <v>1500</v>
      </c>
      <c r="O312" s="312"/>
      <c r="P312" s="308" t="s">
        <v>34212</v>
      </c>
      <c r="Q312" s="308"/>
      <c r="R312" s="308"/>
      <c r="S312" s="315" t="s">
        <v>100</v>
      </c>
      <c r="T312" s="311" t="s">
        <v>34208</v>
      </c>
      <c r="U312" s="308" t="s">
        <v>195</v>
      </c>
      <c r="V312" s="312"/>
    </row>
    <row r="313">
      <c r="A313" s="308">
        <v>312.0</v>
      </c>
      <c r="B313" s="308"/>
      <c r="C313" s="308" t="s">
        <v>1501</v>
      </c>
      <c r="D313" s="308">
        <f>IFERROR(__xludf.DUMMYFUNCTION("SPLIT(C313,""-"")"),311.0)</f>
        <v>311</v>
      </c>
      <c r="E313" s="308" t="str">
        <f>IFERROR(__xludf.DUMMYFUNCTION("""COMPUTED_VALUE"""),"F")</f>
        <v>F</v>
      </c>
      <c r="F313" s="309" t="s">
        <v>34</v>
      </c>
      <c r="G313" s="308"/>
      <c r="H313" s="308" t="s">
        <v>1502</v>
      </c>
      <c r="I313" s="310">
        <v>42580.0</v>
      </c>
      <c r="J313" s="308">
        <f>IFERROR(__xludf.DUMMYFUNCTION("SPLIT(I313,""/"")"),29.0)</f>
        <v>29</v>
      </c>
      <c r="K313" s="308">
        <f>IFERROR(__xludf.DUMMYFUNCTION("""COMPUTED_VALUE"""),7.0)</f>
        <v>7</v>
      </c>
      <c r="L313" s="308">
        <f>IFERROR(__xludf.DUMMYFUNCTION("""COMPUTED_VALUE"""),2016.0)</f>
        <v>2016</v>
      </c>
      <c r="M313" s="308" t="s">
        <v>1503</v>
      </c>
      <c r="N313" s="308"/>
      <c r="O313" s="312"/>
      <c r="P313" s="308" t="s">
        <v>1504</v>
      </c>
      <c r="Q313" s="308"/>
      <c r="R313" s="308"/>
      <c r="S313" s="308" t="s">
        <v>49</v>
      </c>
      <c r="T313" s="311" t="s">
        <v>51</v>
      </c>
      <c r="U313" s="308" t="s">
        <v>195</v>
      </c>
      <c r="V313" s="312"/>
    </row>
    <row r="314">
      <c r="A314" s="308">
        <v>313.0</v>
      </c>
      <c r="B314" s="308"/>
      <c r="C314" s="308" t="s">
        <v>1505</v>
      </c>
      <c r="D314" s="308">
        <f>IFERROR(__xludf.DUMMYFUNCTION("SPLIT(C314,""-"")"),312.0)</f>
        <v>312</v>
      </c>
      <c r="E314" s="308" t="str">
        <f>IFERROR(__xludf.DUMMYFUNCTION("""COMPUTED_VALUE"""),"K")</f>
        <v>K</v>
      </c>
      <c r="F314" s="309" t="s">
        <v>34</v>
      </c>
      <c r="G314" s="308"/>
      <c r="H314" s="308" t="s">
        <v>1506</v>
      </c>
      <c r="I314" s="310">
        <v>42239.0</v>
      </c>
      <c r="J314" s="308">
        <f>IFERROR(__xludf.DUMMYFUNCTION("SPLIT(I314,""/"")"),23.0)</f>
        <v>23</v>
      </c>
      <c r="K314" s="308">
        <f>IFERROR(__xludf.DUMMYFUNCTION("""COMPUTED_VALUE"""),8.0)</f>
        <v>8</v>
      </c>
      <c r="L314" s="308">
        <f>IFERROR(__xludf.DUMMYFUNCTION("""COMPUTED_VALUE"""),2015.0)</f>
        <v>2015</v>
      </c>
      <c r="M314" s="308" t="s">
        <v>1507</v>
      </c>
      <c r="N314" s="308"/>
      <c r="O314" s="312"/>
      <c r="P314" s="308" t="s">
        <v>1508</v>
      </c>
      <c r="Q314" s="308"/>
      <c r="R314" s="308"/>
      <c r="S314" s="308" t="s">
        <v>49</v>
      </c>
      <c r="T314" s="308" t="s">
        <v>51</v>
      </c>
      <c r="U314" s="308" t="s">
        <v>1509</v>
      </c>
      <c r="V314" s="312"/>
    </row>
    <row r="315">
      <c r="A315" s="308">
        <v>314.0</v>
      </c>
      <c r="B315" s="308"/>
      <c r="C315" s="308" t="s">
        <v>1510</v>
      </c>
      <c r="D315" s="308">
        <f>IFERROR(__xludf.DUMMYFUNCTION("SPLIT(C315,""-"")"),313.0)</f>
        <v>313</v>
      </c>
      <c r="E315" s="308" t="str">
        <f>IFERROR(__xludf.DUMMYFUNCTION("""COMPUTED_VALUE"""),"F")</f>
        <v>F</v>
      </c>
      <c r="F315" s="309" t="s">
        <v>34</v>
      </c>
      <c r="G315" s="308"/>
      <c r="H315" s="308" t="s">
        <v>1511</v>
      </c>
      <c r="I315" s="310">
        <v>41552.0</v>
      </c>
      <c r="J315" s="308">
        <f>IFERROR(__xludf.DUMMYFUNCTION("SPLIT(I315,""/"")"),5.0)</f>
        <v>5</v>
      </c>
      <c r="K315" s="308">
        <f>IFERROR(__xludf.DUMMYFUNCTION("""COMPUTED_VALUE"""),10.0)</f>
        <v>10</v>
      </c>
      <c r="L315" s="308">
        <f>IFERROR(__xludf.DUMMYFUNCTION("""COMPUTED_VALUE"""),2013.0)</f>
        <v>2013</v>
      </c>
      <c r="M315" s="308" t="s">
        <v>1512</v>
      </c>
      <c r="N315" s="308" t="s">
        <v>439</v>
      </c>
      <c r="O315" s="312"/>
      <c r="P315" s="308" t="s">
        <v>34212</v>
      </c>
      <c r="Q315" s="308"/>
      <c r="R315" s="308"/>
      <c r="S315" s="315" t="s">
        <v>100</v>
      </c>
      <c r="T315" s="311" t="s">
        <v>34208</v>
      </c>
      <c r="U315" s="308" t="s">
        <v>195</v>
      </c>
      <c r="V315" s="312"/>
    </row>
    <row r="316">
      <c r="A316" s="308">
        <v>315.0</v>
      </c>
      <c r="B316" s="308"/>
      <c r="C316" s="308" t="s">
        <v>1513</v>
      </c>
      <c r="D316" s="308">
        <f>IFERROR(__xludf.DUMMYFUNCTION("SPLIT(C316,""-"")"),314.0)</f>
        <v>314</v>
      </c>
      <c r="E316" s="308" t="str">
        <f>IFERROR(__xludf.DUMMYFUNCTION("""COMPUTED_VALUE"""),"K")</f>
        <v>K</v>
      </c>
      <c r="F316" s="309" t="s">
        <v>34</v>
      </c>
      <c r="G316" s="308"/>
      <c r="H316" s="308" t="s">
        <v>1514</v>
      </c>
      <c r="I316" s="310">
        <v>39973.0</v>
      </c>
      <c r="J316" s="308">
        <f>IFERROR(__xludf.DUMMYFUNCTION("SPLIT(I316,""/"")"),9.0)</f>
        <v>9</v>
      </c>
      <c r="K316" s="308">
        <f>IFERROR(__xludf.DUMMYFUNCTION("""COMPUTED_VALUE"""),6.0)</f>
        <v>6</v>
      </c>
      <c r="L316" s="308">
        <f>IFERROR(__xludf.DUMMYFUNCTION("""COMPUTED_VALUE"""),2009.0)</f>
        <v>2009</v>
      </c>
      <c r="M316" s="308" t="s">
        <v>1515</v>
      </c>
      <c r="N316" s="308"/>
      <c r="O316" s="312"/>
      <c r="P316" s="308" t="s">
        <v>34212</v>
      </c>
      <c r="Q316" s="308"/>
      <c r="R316" s="308"/>
      <c r="S316" s="315" t="s">
        <v>100</v>
      </c>
      <c r="T316" s="311" t="s">
        <v>34208</v>
      </c>
      <c r="U316" s="308" t="s">
        <v>1516</v>
      </c>
      <c r="V316" s="312"/>
    </row>
    <row r="317">
      <c r="A317" s="308">
        <v>316.0</v>
      </c>
      <c r="B317" s="308">
        <v>3523.0</v>
      </c>
      <c r="C317" s="308" t="s">
        <v>34760</v>
      </c>
      <c r="D317" s="308">
        <f>IFERROR(__xludf.DUMMYFUNCTION("SPLIT(C317,""-"")"),315.0)</f>
        <v>315</v>
      </c>
      <c r="E317" s="311"/>
      <c r="F317" s="317" t="s">
        <v>39</v>
      </c>
      <c r="G317" s="308"/>
      <c r="H317" s="308" t="s">
        <v>1517</v>
      </c>
      <c r="I317" s="310">
        <v>40486.0</v>
      </c>
      <c r="J317" s="308">
        <f>IFERROR(__xludf.DUMMYFUNCTION("SPLIT(I317,""/"")"),4.0)</f>
        <v>4</v>
      </c>
      <c r="K317" s="308">
        <f>IFERROR(__xludf.DUMMYFUNCTION("""COMPUTED_VALUE"""),11.0)</f>
        <v>11</v>
      </c>
      <c r="L317" s="308">
        <f>IFERROR(__xludf.DUMMYFUNCTION("""COMPUTED_VALUE"""),2010.0)</f>
        <v>2010</v>
      </c>
      <c r="M317" s="308" t="s">
        <v>1518</v>
      </c>
      <c r="N317" s="308"/>
      <c r="O317" s="308" t="s">
        <v>1519</v>
      </c>
      <c r="P317" s="308" t="s">
        <v>1520</v>
      </c>
      <c r="Q317" s="308"/>
      <c r="R317" s="308"/>
      <c r="S317" s="308" t="s">
        <v>81</v>
      </c>
      <c r="T317" s="308" t="s">
        <v>75</v>
      </c>
      <c r="U317" s="308"/>
      <c r="V317" s="312"/>
    </row>
    <row r="318">
      <c r="A318" s="308">
        <v>317.0</v>
      </c>
      <c r="B318" s="308"/>
      <c r="C318" s="308" t="s">
        <v>1521</v>
      </c>
      <c r="D318" s="308">
        <f>IFERROR(__xludf.DUMMYFUNCTION("SPLIT(C318,""-"")"),316.0)</f>
        <v>316</v>
      </c>
      <c r="E318" s="308" t="str">
        <f>IFERROR(__xludf.DUMMYFUNCTION("""COMPUTED_VALUE"""),"K")</f>
        <v>K</v>
      </c>
      <c r="F318" s="309" t="s">
        <v>34</v>
      </c>
      <c r="G318" s="308"/>
      <c r="H318" s="308" t="s">
        <v>1522</v>
      </c>
      <c r="I318" s="310">
        <v>42790.0</v>
      </c>
      <c r="J318" s="311">
        <v>24.0</v>
      </c>
      <c r="K318" s="311">
        <v>2.0</v>
      </c>
      <c r="L318" s="308">
        <v>2017.0</v>
      </c>
      <c r="M318" s="308" t="s">
        <v>1523</v>
      </c>
      <c r="N318" s="308"/>
      <c r="O318" s="308"/>
      <c r="P318" s="308" t="s">
        <v>136</v>
      </c>
      <c r="Q318" s="308"/>
      <c r="R318" s="308"/>
      <c r="S318" s="315" t="s">
        <v>100</v>
      </c>
      <c r="T318" s="308" t="s">
        <v>34208</v>
      </c>
      <c r="U318" s="308" t="s">
        <v>125</v>
      </c>
      <c r="V318" s="312"/>
    </row>
    <row r="319">
      <c r="A319" s="308">
        <v>318.0</v>
      </c>
      <c r="B319" s="308"/>
      <c r="C319" s="308" t="s">
        <v>1524</v>
      </c>
      <c r="D319" s="308">
        <f>IFERROR(__xludf.DUMMYFUNCTION("SPLIT(C319,""-"")"),317.0)</f>
        <v>317</v>
      </c>
      <c r="E319" s="308" t="str">
        <f>IFERROR(__xludf.DUMMYFUNCTION("""COMPUTED_VALUE"""),"K")</f>
        <v>K</v>
      </c>
      <c r="F319" s="309" t="s">
        <v>34</v>
      </c>
      <c r="G319" s="308"/>
      <c r="H319" s="308" t="s">
        <v>1525</v>
      </c>
      <c r="I319" s="310">
        <v>41367.0</v>
      </c>
      <c r="J319" s="308">
        <f>IFERROR(__xludf.DUMMYFUNCTION("SPLIT(I319,""/"")"),3.0)</f>
        <v>3</v>
      </c>
      <c r="K319" s="308">
        <f>IFERROR(__xludf.DUMMYFUNCTION("""COMPUTED_VALUE"""),4.0)</f>
        <v>4</v>
      </c>
      <c r="L319" s="308">
        <f>IFERROR(__xludf.DUMMYFUNCTION("""COMPUTED_VALUE"""),2013.0)</f>
        <v>2013</v>
      </c>
      <c r="M319" s="308" t="s">
        <v>1526</v>
      </c>
      <c r="N319" s="308"/>
      <c r="O319" s="308"/>
      <c r="P319" s="308" t="s">
        <v>1527</v>
      </c>
      <c r="Q319" s="308"/>
      <c r="R319" s="308"/>
      <c r="S319" s="308" t="s">
        <v>81</v>
      </c>
      <c r="T319" s="311" t="s">
        <v>75</v>
      </c>
      <c r="U319" s="308" t="s">
        <v>1528</v>
      </c>
      <c r="V319" s="312"/>
    </row>
    <row r="320">
      <c r="A320" s="308">
        <v>319.0</v>
      </c>
      <c r="B320" s="308">
        <v>3526.0</v>
      </c>
      <c r="C320" s="308" t="s">
        <v>34761</v>
      </c>
      <c r="D320" s="308">
        <f>IFERROR(__xludf.DUMMYFUNCTION("SPLIT(C320,""-"")"),318.0)</f>
        <v>318</v>
      </c>
      <c r="E320" s="311"/>
      <c r="F320" s="309" t="s">
        <v>34</v>
      </c>
      <c r="G320" s="308"/>
      <c r="H320" s="308" t="s">
        <v>1529</v>
      </c>
      <c r="I320" s="310">
        <v>39924.0</v>
      </c>
      <c r="J320" s="308">
        <f>IFERROR(__xludf.DUMMYFUNCTION("SPLIT(I320,""/"")"),21.0)</f>
        <v>21</v>
      </c>
      <c r="K320" s="308">
        <f>IFERROR(__xludf.DUMMYFUNCTION("""COMPUTED_VALUE"""),4.0)</f>
        <v>4</v>
      </c>
      <c r="L320" s="308">
        <f>IFERROR(__xludf.DUMMYFUNCTION("""COMPUTED_VALUE"""),2009.0)</f>
        <v>2009</v>
      </c>
      <c r="M320" s="308" t="s">
        <v>1530</v>
      </c>
      <c r="N320" s="308"/>
      <c r="O320" s="312" t="s">
        <v>34762</v>
      </c>
      <c r="P320" s="308" t="s">
        <v>1532</v>
      </c>
      <c r="Q320" s="308"/>
      <c r="R320" s="308"/>
      <c r="S320" s="308" t="s">
        <v>81</v>
      </c>
      <c r="T320" s="308" t="s">
        <v>34264</v>
      </c>
      <c r="U320" s="308"/>
      <c r="V320" s="312"/>
    </row>
    <row r="321">
      <c r="A321" s="308">
        <v>320.0</v>
      </c>
      <c r="B321" s="308">
        <v>3527.0</v>
      </c>
      <c r="C321" s="308" t="s">
        <v>34763</v>
      </c>
      <c r="D321" s="308">
        <f>IFERROR(__xludf.DUMMYFUNCTION("SPLIT(C321,""-"")"),319.0)</f>
        <v>319</v>
      </c>
      <c r="E321" s="311"/>
      <c r="F321" s="309" t="s">
        <v>34</v>
      </c>
      <c r="G321" s="308"/>
      <c r="H321" s="308" t="s">
        <v>1533</v>
      </c>
      <c r="I321" s="310">
        <v>39924.0</v>
      </c>
      <c r="J321" s="308">
        <f>IFERROR(__xludf.DUMMYFUNCTION("SPLIT(I321,""/"")"),21.0)</f>
        <v>21</v>
      </c>
      <c r="K321" s="308">
        <f>IFERROR(__xludf.DUMMYFUNCTION("""COMPUTED_VALUE"""),4.0)</f>
        <v>4</v>
      </c>
      <c r="L321" s="308">
        <f>IFERROR(__xludf.DUMMYFUNCTION("""COMPUTED_VALUE"""),2009.0)</f>
        <v>2009</v>
      </c>
      <c r="M321" s="308" t="s">
        <v>1530</v>
      </c>
      <c r="N321" s="308"/>
      <c r="O321" s="312" t="s">
        <v>34762</v>
      </c>
      <c r="P321" s="308" t="s">
        <v>1532</v>
      </c>
      <c r="Q321" s="308"/>
      <c r="R321" s="308"/>
      <c r="S321" s="308" t="s">
        <v>81</v>
      </c>
      <c r="T321" s="308" t="s">
        <v>34264</v>
      </c>
      <c r="U321" s="308"/>
      <c r="V321" s="312"/>
    </row>
    <row r="322">
      <c r="A322" s="308">
        <v>321.0</v>
      </c>
      <c r="B322" s="308">
        <v>3528.0</v>
      </c>
      <c r="C322" s="308" t="s">
        <v>34764</v>
      </c>
      <c r="D322" s="308">
        <f>IFERROR(__xludf.DUMMYFUNCTION("SPLIT(C322,""-"")"),320.0)</f>
        <v>320</v>
      </c>
      <c r="E322" s="311"/>
      <c r="F322" s="309" t="s">
        <v>34</v>
      </c>
      <c r="G322" s="308" t="s">
        <v>1534</v>
      </c>
      <c r="H322" s="308" t="s">
        <v>1535</v>
      </c>
      <c r="I322" s="316" t="s">
        <v>407</v>
      </c>
      <c r="J322" s="308" t="str">
        <f>IFERROR(__xludf.DUMMYFUNCTION("SPLIT(I322,""/"")"),"#REF!")</f>
        <v>#REF!</v>
      </c>
      <c r="K322" s="308"/>
      <c r="L322" s="311" t="s">
        <v>79</v>
      </c>
      <c r="M322" s="308" t="s">
        <v>1536</v>
      </c>
      <c r="N322" s="308"/>
      <c r="O322" s="312" t="s">
        <v>34765</v>
      </c>
      <c r="P322" s="308" t="s">
        <v>1538</v>
      </c>
      <c r="Q322" s="308"/>
      <c r="R322" s="308"/>
      <c r="S322" s="308" t="s">
        <v>81</v>
      </c>
      <c r="T322" s="311" t="s">
        <v>51</v>
      </c>
      <c r="U322" s="308"/>
      <c r="V322" s="312"/>
    </row>
    <row r="323">
      <c r="A323" s="308">
        <v>322.0</v>
      </c>
      <c r="B323" s="308">
        <v>3529.0</v>
      </c>
      <c r="C323" s="308" t="s">
        <v>34766</v>
      </c>
      <c r="D323" s="308">
        <f>IFERROR(__xludf.DUMMYFUNCTION("SPLIT(C323,""-"")"),321.0)</f>
        <v>321</v>
      </c>
      <c r="E323" s="311"/>
      <c r="F323" s="309" t="s">
        <v>34</v>
      </c>
      <c r="G323" s="308" t="s">
        <v>1534</v>
      </c>
      <c r="H323" s="308" t="s">
        <v>1539</v>
      </c>
      <c r="I323" s="316" t="s">
        <v>407</v>
      </c>
      <c r="J323" s="308" t="str">
        <f>IFERROR(__xludf.DUMMYFUNCTION("SPLIT(I323,""/"")"),"#REF!")</f>
        <v>#REF!</v>
      </c>
      <c r="K323" s="308"/>
      <c r="L323" s="311" t="s">
        <v>79</v>
      </c>
      <c r="M323" s="308" t="s">
        <v>1540</v>
      </c>
      <c r="N323" s="308"/>
      <c r="O323" s="312" t="s">
        <v>34765</v>
      </c>
      <c r="P323" s="308" t="s">
        <v>1481</v>
      </c>
      <c r="Q323" s="308"/>
      <c r="R323" s="308"/>
      <c r="S323" s="308" t="s">
        <v>81</v>
      </c>
      <c r="T323" s="311" t="s">
        <v>34201</v>
      </c>
      <c r="U323" s="308"/>
      <c r="V323" s="312"/>
    </row>
    <row r="324">
      <c r="A324" s="308">
        <v>323.0</v>
      </c>
      <c r="B324" s="308">
        <v>3530.0</v>
      </c>
      <c r="C324" s="308" t="s">
        <v>1541</v>
      </c>
      <c r="D324" s="308">
        <f>IFERROR(__xludf.DUMMYFUNCTION("SPLIT(C324,""-"")"),322.0)</f>
        <v>322</v>
      </c>
      <c r="E324" s="308" t="str">
        <f>IFERROR(__xludf.DUMMYFUNCTION("""COMPUTED_VALUE"""),"S")</f>
        <v>S</v>
      </c>
      <c r="F324" s="312" t="s">
        <v>39</v>
      </c>
      <c r="G324" s="308" t="s">
        <v>1542</v>
      </c>
      <c r="H324" s="308" t="s">
        <v>1543</v>
      </c>
      <c r="I324" s="310">
        <v>40318.0</v>
      </c>
      <c r="J324" s="308">
        <f>IFERROR(__xludf.DUMMYFUNCTION("SPLIT(I324,""/"")"),20.0)</f>
        <v>20</v>
      </c>
      <c r="K324" s="308">
        <f>IFERROR(__xludf.DUMMYFUNCTION("""COMPUTED_VALUE"""),5.0)</f>
        <v>5</v>
      </c>
      <c r="L324" s="308">
        <f>IFERROR(__xludf.DUMMYFUNCTION("""COMPUTED_VALUE"""),2010.0)</f>
        <v>2010</v>
      </c>
      <c r="M324" s="308" t="s">
        <v>1544</v>
      </c>
      <c r="N324" s="308"/>
      <c r="O324" s="312" t="s">
        <v>34767</v>
      </c>
      <c r="P324" s="308" t="s">
        <v>1546</v>
      </c>
      <c r="Q324" s="308"/>
      <c r="R324" s="308"/>
      <c r="S324" s="308" t="s">
        <v>49</v>
      </c>
      <c r="T324" s="311" t="s">
        <v>51</v>
      </c>
      <c r="U324" s="308"/>
      <c r="V324" s="312"/>
    </row>
    <row r="325">
      <c r="A325" s="308">
        <v>324.0</v>
      </c>
      <c r="B325" s="308">
        <v>3531.0</v>
      </c>
      <c r="C325" s="308" t="s">
        <v>34768</v>
      </c>
      <c r="D325" s="308">
        <f>IFERROR(__xludf.DUMMYFUNCTION("SPLIT(C325,""-"")"),323.0)</f>
        <v>323</v>
      </c>
      <c r="E325" s="311"/>
      <c r="F325" s="317" t="s">
        <v>37</v>
      </c>
      <c r="G325" s="308"/>
      <c r="H325" s="308" t="s">
        <v>1547</v>
      </c>
      <c r="I325" s="314">
        <v>40480.0</v>
      </c>
      <c r="J325" s="308">
        <f>IFERROR(__xludf.DUMMYFUNCTION("SPLIT(I325,""/"")"),29.0)</f>
        <v>29</v>
      </c>
      <c r="K325" s="308">
        <f>IFERROR(__xludf.DUMMYFUNCTION("""COMPUTED_VALUE"""),10.0)</f>
        <v>10</v>
      </c>
      <c r="L325" s="308">
        <f>IFERROR(__xludf.DUMMYFUNCTION("""COMPUTED_VALUE"""),2010.0)</f>
        <v>2010</v>
      </c>
      <c r="M325" s="308" t="s">
        <v>1548</v>
      </c>
      <c r="N325" s="308"/>
      <c r="O325" s="308" t="s">
        <v>1549</v>
      </c>
      <c r="P325" s="308" t="s">
        <v>1550</v>
      </c>
      <c r="Q325" s="308"/>
      <c r="R325" s="308"/>
      <c r="S325" s="308" t="s">
        <v>81</v>
      </c>
      <c r="T325" s="308" t="s">
        <v>75</v>
      </c>
      <c r="U325" s="308"/>
      <c r="V325" s="312"/>
    </row>
    <row r="326">
      <c r="A326" s="308">
        <v>325.0</v>
      </c>
      <c r="B326" s="308">
        <v>3532.0</v>
      </c>
      <c r="C326" s="308" t="s">
        <v>1551</v>
      </c>
      <c r="D326" s="308">
        <f>IFERROR(__xludf.DUMMYFUNCTION("SPLIT(C326,""-"")"),324.0)</f>
        <v>324</v>
      </c>
      <c r="E326" s="308" t="str">
        <f>IFERROR(__xludf.DUMMYFUNCTION("""COMPUTED_VALUE"""),"K")</f>
        <v>K</v>
      </c>
      <c r="F326" s="309" t="s">
        <v>34</v>
      </c>
      <c r="G326" s="308"/>
      <c r="H326" s="308" t="s">
        <v>1552</v>
      </c>
      <c r="I326" s="310">
        <v>39966.0</v>
      </c>
      <c r="J326" s="308">
        <f>IFERROR(__xludf.DUMMYFUNCTION("SPLIT(I326,""/"")"),2.0)</f>
        <v>2</v>
      </c>
      <c r="K326" s="308">
        <f>IFERROR(__xludf.DUMMYFUNCTION("""COMPUTED_VALUE"""),6.0)</f>
        <v>6</v>
      </c>
      <c r="L326" s="308">
        <f>IFERROR(__xludf.DUMMYFUNCTION("""COMPUTED_VALUE"""),2009.0)</f>
        <v>2009</v>
      </c>
      <c r="M326" s="308" t="s">
        <v>34769</v>
      </c>
      <c r="N326" s="308"/>
      <c r="O326" s="312" t="s">
        <v>34770</v>
      </c>
      <c r="P326" s="308" t="s">
        <v>1555</v>
      </c>
      <c r="Q326" s="308"/>
      <c r="R326" s="308"/>
      <c r="S326" s="315" t="s">
        <v>100</v>
      </c>
      <c r="T326" s="311" t="s">
        <v>34208</v>
      </c>
      <c r="U326" s="308" t="s">
        <v>1393</v>
      </c>
      <c r="V326" s="312"/>
    </row>
    <row r="327">
      <c r="A327" s="308">
        <v>326.0</v>
      </c>
      <c r="B327" s="308">
        <v>3533.0</v>
      </c>
      <c r="C327" s="308" t="s">
        <v>34771</v>
      </c>
      <c r="D327" s="308">
        <f>IFERROR(__xludf.DUMMYFUNCTION("SPLIT(C327,""-"")"),325.0)</f>
        <v>325</v>
      </c>
      <c r="E327" s="311"/>
      <c r="F327" s="317" t="s">
        <v>39</v>
      </c>
      <c r="G327" s="308"/>
      <c r="H327" s="308" t="s">
        <v>1556</v>
      </c>
      <c r="I327" s="310">
        <v>40429.0</v>
      </c>
      <c r="J327" s="308">
        <f>IFERROR(__xludf.DUMMYFUNCTION("SPLIT(I327,""/"")"),8.0)</f>
        <v>8</v>
      </c>
      <c r="K327" s="308">
        <f>IFERROR(__xludf.DUMMYFUNCTION("""COMPUTED_VALUE"""),9.0)</f>
        <v>9</v>
      </c>
      <c r="L327" s="308">
        <f>IFERROR(__xludf.DUMMYFUNCTION("""COMPUTED_VALUE"""),2010.0)</f>
        <v>2010</v>
      </c>
      <c r="M327" s="308" t="s">
        <v>1557</v>
      </c>
      <c r="N327" s="308"/>
      <c r="O327" s="308" t="s">
        <v>34772</v>
      </c>
      <c r="P327" s="308" t="s">
        <v>1559</v>
      </c>
      <c r="Q327" s="308"/>
      <c r="R327" s="308"/>
      <c r="S327" s="308" t="s">
        <v>81</v>
      </c>
      <c r="T327" s="308" t="s">
        <v>75</v>
      </c>
      <c r="U327" s="308"/>
      <c r="V327" s="312"/>
    </row>
    <row r="328">
      <c r="A328" s="308">
        <v>327.0</v>
      </c>
      <c r="B328" s="308">
        <v>3534.0</v>
      </c>
      <c r="C328" s="308" t="s">
        <v>34773</v>
      </c>
      <c r="D328" s="308">
        <f>IFERROR(__xludf.DUMMYFUNCTION("SPLIT(C328,""-"")"),326.0)</f>
        <v>326</v>
      </c>
      <c r="E328" s="311"/>
      <c r="F328" s="309" t="s">
        <v>31</v>
      </c>
      <c r="G328" s="308"/>
      <c r="H328" s="308" t="s">
        <v>1560</v>
      </c>
      <c r="I328" s="310">
        <v>40582.0</v>
      </c>
      <c r="J328" s="308">
        <f>IFERROR(__xludf.DUMMYFUNCTION("SPLIT(I328,""/"")"),8.0)</f>
        <v>8</v>
      </c>
      <c r="K328" s="308">
        <f>IFERROR(__xludf.DUMMYFUNCTION("""COMPUTED_VALUE"""),2.0)</f>
        <v>2</v>
      </c>
      <c r="L328" s="308">
        <f>IFERROR(__xludf.DUMMYFUNCTION("""COMPUTED_VALUE"""),2011.0)</f>
        <v>2011</v>
      </c>
      <c r="M328" s="308" t="s">
        <v>1561</v>
      </c>
      <c r="N328" s="308"/>
      <c r="O328" s="308" t="s">
        <v>1562</v>
      </c>
      <c r="P328" s="308" t="s">
        <v>1563</v>
      </c>
      <c r="Q328" s="308"/>
      <c r="R328" s="308"/>
      <c r="S328" s="308" t="s">
        <v>81</v>
      </c>
      <c r="T328" s="311" t="s">
        <v>51</v>
      </c>
      <c r="U328" s="308"/>
      <c r="V328" s="312"/>
    </row>
    <row r="329">
      <c r="A329" s="308">
        <v>328.0</v>
      </c>
      <c r="B329" s="308">
        <v>3535.0</v>
      </c>
      <c r="C329" s="308" t="s">
        <v>34774</v>
      </c>
      <c r="D329" s="308">
        <f>IFERROR(__xludf.DUMMYFUNCTION("SPLIT(C329,""-"")"),327.0)</f>
        <v>327</v>
      </c>
      <c r="E329" s="311"/>
      <c r="F329" s="317" t="s">
        <v>39</v>
      </c>
      <c r="G329" s="308"/>
      <c r="H329" s="308" t="s">
        <v>1564</v>
      </c>
      <c r="I329" s="310">
        <v>39992.0</v>
      </c>
      <c r="J329" s="308">
        <f>IFERROR(__xludf.DUMMYFUNCTION("SPLIT(I329,""/"")"),28.0)</f>
        <v>28</v>
      </c>
      <c r="K329" s="308">
        <f>IFERROR(__xludf.DUMMYFUNCTION("""COMPUTED_VALUE"""),6.0)</f>
        <v>6</v>
      </c>
      <c r="L329" s="308">
        <f>IFERROR(__xludf.DUMMYFUNCTION("""COMPUTED_VALUE"""),2009.0)</f>
        <v>2009</v>
      </c>
      <c r="M329" s="308" t="s">
        <v>34775</v>
      </c>
      <c r="N329" s="308"/>
      <c r="O329" s="312" t="s">
        <v>1566</v>
      </c>
      <c r="P329" s="308" t="s">
        <v>1567</v>
      </c>
      <c r="Q329" s="308"/>
      <c r="R329" s="308"/>
      <c r="S329" s="308" t="s">
        <v>81</v>
      </c>
      <c r="T329" s="311" t="s">
        <v>75</v>
      </c>
      <c r="U329" s="308"/>
      <c r="V329" s="312"/>
    </row>
    <row r="330">
      <c r="A330" s="308">
        <v>329.0</v>
      </c>
      <c r="B330" s="308">
        <v>3536.0</v>
      </c>
      <c r="C330" s="308" t="s">
        <v>34776</v>
      </c>
      <c r="D330" s="308">
        <f>IFERROR(__xludf.DUMMYFUNCTION("SPLIT(C330,""-"")"),328.0)</f>
        <v>328</v>
      </c>
      <c r="E330" s="311"/>
      <c r="F330" s="309" t="s">
        <v>26</v>
      </c>
      <c r="G330" s="308"/>
      <c r="H330" s="308" t="s">
        <v>1568</v>
      </c>
      <c r="I330" s="310">
        <v>40668.0</v>
      </c>
      <c r="J330" s="308">
        <f>IFERROR(__xludf.DUMMYFUNCTION("SPLIT(I330,""/"")"),5.0)</f>
        <v>5</v>
      </c>
      <c r="K330" s="308">
        <f>IFERROR(__xludf.DUMMYFUNCTION("""COMPUTED_VALUE"""),5.0)</f>
        <v>5</v>
      </c>
      <c r="L330" s="308">
        <f>IFERROR(__xludf.DUMMYFUNCTION("""COMPUTED_VALUE"""),2011.0)</f>
        <v>2011</v>
      </c>
      <c r="M330" s="308" t="s">
        <v>34777</v>
      </c>
      <c r="N330" s="308"/>
      <c r="O330" s="308" t="s">
        <v>1570</v>
      </c>
      <c r="P330" s="308" t="s">
        <v>1571</v>
      </c>
      <c r="Q330" s="308"/>
      <c r="R330" s="308"/>
      <c r="S330" s="308" t="s">
        <v>81</v>
      </c>
      <c r="T330" s="308" t="s">
        <v>98</v>
      </c>
      <c r="U330" s="308"/>
      <c r="V330" s="312"/>
    </row>
    <row r="331">
      <c r="A331" s="308">
        <v>330.0</v>
      </c>
      <c r="B331" s="308">
        <v>3537.0</v>
      </c>
      <c r="C331" s="308" t="s">
        <v>34778</v>
      </c>
      <c r="D331" s="308">
        <f>IFERROR(__xludf.DUMMYFUNCTION("SPLIT(C331,""-"")"),329.0)</f>
        <v>329</v>
      </c>
      <c r="E331" s="311"/>
      <c r="F331" s="317" t="s">
        <v>37</v>
      </c>
      <c r="G331" s="308"/>
      <c r="H331" s="308" t="s">
        <v>1572</v>
      </c>
      <c r="I331" s="310">
        <v>40687.0</v>
      </c>
      <c r="J331" s="308">
        <f>IFERROR(__xludf.DUMMYFUNCTION("SPLIT(I331,""/"")"),24.0)</f>
        <v>24</v>
      </c>
      <c r="K331" s="308">
        <f>IFERROR(__xludf.DUMMYFUNCTION("""COMPUTED_VALUE"""),5.0)</f>
        <v>5</v>
      </c>
      <c r="L331" s="308">
        <f>IFERROR(__xludf.DUMMYFUNCTION("""COMPUTED_VALUE"""),2011.0)</f>
        <v>2011</v>
      </c>
      <c r="M331" s="308" t="s">
        <v>1573</v>
      </c>
      <c r="N331" s="308"/>
      <c r="O331" s="308" t="s">
        <v>1574</v>
      </c>
      <c r="P331" s="308" t="s">
        <v>1575</v>
      </c>
      <c r="Q331" s="308"/>
      <c r="R331" s="308"/>
      <c r="S331" s="308" t="s">
        <v>81</v>
      </c>
      <c r="T331" s="308" t="s">
        <v>73</v>
      </c>
      <c r="U331" s="308"/>
      <c r="V331" s="312"/>
    </row>
    <row r="332">
      <c r="A332" s="308">
        <v>331.0</v>
      </c>
      <c r="B332" s="308">
        <v>3538.0</v>
      </c>
      <c r="C332" s="308" t="s">
        <v>34779</v>
      </c>
      <c r="D332" s="308">
        <f>IFERROR(__xludf.DUMMYFUNCTION("SPLIT(C332,""-"")"),330.0)</f>
        <v>330</v>
      </c>
      <c r="E332" s="311"/>
      <c r="F332" s="317" t="s">
        <v>37</v>
      </c>
      <c r="G332" s="308"/>
      <c r="H332" s="308" t="s">
        <v>1576</v>
      </c>
      <c r="I332" s="310">
        <v>40692.0</v>
      </c>
      <c r="J332" s="308">
        <f>IFERROR(__xludf.DUMMYFUNCTION("SPLIT(I332,""/"")"),29.0)</f>
        <v>29</v>
      </c>
      <c r="K332" s="308">
        <f>IFERROR(__xludf.DUMMYFUNCTION("""COMPUTED_VALUE"""),5.0)</f>
        <v>5</v>
      </c>
      <c r="L332" s="308">
        <f>IFERROR(__xludf.DUMMYFUNCTION("""COMPUTED_VALUE"""),2011.0)</f>
        <v>2011</v>
      </c>
      <c r="M332" s="308" t="s">
        <v>1573</v>
      </c>
      <c r="N332" s="308"/>
      <c r="O332" s="308" t="s">
        <v>1577</v>
      </c>
      <c r="P332" s="308" t="s">
        <v>1578</v>
      </c>
      <c r="Q332" s="308"/>
      <c r="R332" s="308"/>
      <c r="S332" s="308" t="s">
        <v>81</v>
      </c>
      <c r="T332" s="308" t="s">
        <v>73</v>
      </c>
      <c r="U332" s="308"/>
      <c r="V332" s="312"/>
    </row>
    <row r="333">
      <c r="A333" s="308">
        <v>332.0</v>
      </c>
      <c r="B333" s="308">
        <v>3539.0</v>
      </c>
      <c r="C333" s="308" t="s">
        <v>34780</v>
      </c>
      <c r="D333" s="308">
        <f>IFERROR(__xludf.DUMMYFUNCTION("SPLIT(C333,""-"")"),331.0)</f>
        <v>331</v>
      </c>
      <c r="E333" s="311"/>
      <c r="F333" s="317" t="s">
        <v>37</v>
      </c>
      <c r="G333" s="308"/>
      <c r="H333" s="308" t="s">
        <v>1579</v>
      </c>
      <c r="I333" s="310">
        <v>40354.0</v>
      </c>
      <c r="J333" s="308">
        <f>IFERROR(__xludf.DUMMYFUNCTION("SPLIT(I333,""/"")"),25.0)</f>
        <v>25</v>
      </c>
      <c r="K333" s="308">
        <f>IFERROR(__xludf.DUMMYFUNCTION("""COMPUTED_VALUE"""),6.0)</f>
        <v>6</v>
      </c>
      <c r="L333" s="308">
        <f>IFERROR(__xludf.DUMMYFUNCTION("""COMPUTED_VALUE"""),2010.0)</f>
        <v>2010</v>
      </c>
      <c r="M333" s="308" t="s">
        <v>1580</v>
      </c>
      <c r="N333" s="308"/>
      <c r="O333" s="308" t="s">
        <v>1581</v>
      </c>
      <c r="P333" s="308" t="s">
        <v>1582</v>
      </c>
      <c r="Q333" s="308"/>
      <c r="R333" s="308"/>
      <c r="S333" s="308" t="s">
        <v>49</v>
      </c>
      <c r="T333" s="308" t="s">
        <v>51</v>
      </c>
      <c r="U333" s="308"/>
      <c r="V333" s="312"/>
    </row>
    <row r="334">
      <c r="A334" s="308">
        <v>333.0</v>
      </c>
      <c r="B334" s="308">
        <v>3540.0</v>
      </c>
      <c r="C334" s="308" t="s">
        <v>34781</v>
      </c>
      <c r="D334" s="308">
        <f>IFERROR(__xludf.DUMMYFUNCTION("SPLIT(C334,""-"")"),332.0)</f>
        <v>332</v>
      </c>
      <c r="E334" s="311"/>
      <c r="F334" s="317" t="s">
        <v>39</v>
      </c>
      <c r="G334" s="308"/>
      <c r="H334" s="308" t="s">
        <v>1583</v>
      </c>
      <c r="I334" s="310">
        <v>40391.0</v>
      </c>
      <c r="J334" s="308">
        <f>IFERROR(__xludf.DUMMYFUNCTION("SPLIT(I334,""/"")"),1.0)</f>
        <v>1</v>
      </c>
      <c r="K334" s="308">
        <f>IFERROR(__xludf.DUMMYFUNCTION("""COMPUTED_VALUE"""),8.0)</f>
        <v>8</v>
      </c>
      <c r="L334" s="308">
        <f>IFERROR(__xludf.DUMMYFUNCTION("""COMPUTED_VALUE"""),2010.0)</f>
        <v>2010</v>
      </c>
      <c r="M334" s="308" t="s">
        <v>1584</v>
      </c>
      <c r="N334" s="308"/>
      <c r="O334" s="308" t="s">
        <v>1585</v>
      </c>
      <c r="P334" s="308" t="s">
        <v>34782</v>
      </c>
      <c r="Q334" s="308"/>
      <c r="R334" s="308"/>
      <c r="S334" s="308" t="s">
        <v>49</v>
      </c>
      <c r="T334" s="308" t="s">
        <v>51</v>
      </c>
      <c r="U334" s="308"/>
      <c r="V334" s="312"/>
    </row>
    <row r="335">
      <c r="A335" s="308">
        <v>334.0</v>
      </c>
      <c r="B335" s="308">
        <v>3541.0</v>
      </c>
      <c r="C335" s="308" t="s">
        <v>34224</v>
      </c>
      <c r="D335" s="308">
        <f>IFERROR(__xludf.DUMMYFUNCTION("SPLIT(C335,""-"")"),333.0)</f>
        <v>333</v>
      </c>
      <c r="E335" s="311"/>
      <c r="F335" s="317" t="s">
        <v>39</v>
      </c>
      <c r="G335" s="308"/>
      <c r="H335" s="308" t="s">
        <v>1586</v>
      </c>
      <c r="I335" s="310">
        <v>40391.0</v>
      </c>
      <c r="J335" s="308">
        <f>IFERROR(__xludf.DUMMYFUNCTION("SPLIT(I335,""/"")"),1.0)</f>
        <v>1</v>
      </c>
      <c r="K335" s="308">
        <f>IFERROR(__xludf.DUMMYFUNCTION("""COMPUTED_VALUE"""),8.0)</f>
        <v>8</v>
      </c>
      <c r="L335" s="308">
        <f>IFERROR(__xludf.DUMMYFUNCTION("""COMPUTED_VALUE"""),2010.0)</f>
        <v>2010</v>
      </c>
      <c r="M335" s="308" t="s">
        <v>1587</v>
      </c>
      <c r="N335" s="308"/>
      <c r="O335" s="308" t="s">
        <v>1585</v>
      </c>
      <c r="P335" s="308" t="s">
        <v>34782</v>
      </c>
      <c r="Q335" s="308"/>
      <c r="R335" s="308"/>
      <c r="S335" s="308" t="s">
        <v>49</v>
      </c>
      <c r="T335" s="308" t="s">
        <v>51</v>
      </c>
      <c r="U335" s="308"/>
      <c r="V335" s="312"/>
    </row>
    <row r="336">
      <c r="A336" s="308">
        <v>335.0</v>
      </c>
      <c r="B336" s="308">
        <v>3542.0</v>
      </c>
      <c r="C336" s="308" t="s">
        <v>34783</v>
      </c>
      <c r="D336" s="308">
        <f>IFERROR(__xludf.DUMMYFUNCTION("SPLIT(C336,""-"")"),334.0)</f>
        <v>334</v>
      </c>
      <c r="E336" s="311"/>
      <c r="F336" s="317" t="s">
        <v>39</v>
      </c>
      <c r="G336" s="308"/>
      <c r="H336" s="308" t="s">
        <v>1588</v>
      </c>
      <c r="I336" s="310">
        <v>40391.0</v>
      </c>
      <c r="J336" s="308">
        <f>IFERROR(__xludf.DUMMYFUNCTION("SPLIT(I336,""/"")"),1.0)</f>
        <v>1</v>
      </c>
      <c r="K336" s="308">
        <f>IFERROR(__xludf.DUMMYFUNCTION("""COMPUTED_VALUE"""),8.0)</f>
        <v>8</v>
      </c>
      <c r="L336" s="308">
        <f>IFERROR(__xludf.DUMMYFUNCTION("""COMPUTED_VALUE"""),2010.0)</f>
        <v>2010</v>
      </c>
      <c r="M336" s="308" t="s">
        <v>1587</v>
      </c>
      <c r="N336" s="308"/>
      <c r="O336" s="308" t="s">
        <v>1585</v>
      </c>
      <c r="P336" s="308" t="s">
        <v>34782</v>
      </c>
      <c r="Q336" s="308"/>
      <c r="R336" s="308"/>
      <c r="S336" s="308" t="s">
        <v>49</v>
      </c>
      <c r="T336" s="308" t="s">
        <v>51</v>
      </c>
      <c r="U336" s="308"/>
      <c r="V336" s="312"/>
    </row>
    <row r="337">
      <c r="A337" s="308">
        <v>336.0</v>
      </c>
      <c r="B337" s="308">
        <v>3543.0</v>
      </c>
      <c r="C337" s="308" t="s">
        <v>34784</v>
      </c>
      <c r="D337" s="308">
        <f>IFERROR(__xludf.DUMMYFUNCTION("SPLIT(C337,""-"")"),335.0)</f>
        <v>335</v>
      </c>
      <c r="E337" s="311"/>
      <c r="F337" s="309" t="s">
        <v>26</v>
      </c>
      <c r="G337" s="308"/>
      <c r="H337" s="308" t="s">
        <v>1589</v>
      </c>
      <c r="I337" s="314">
        <v>40540.0</v>
      </c>
      <c r="J337" s="308">
        <f>IFERROR(__xludf.DUMMYFUNCTION("SPLIT(I337,""/"")"),28.0)</f>
        <v>28</v>
      </c>
      <c r="K337" s="308">
        <f>IFERROR(__xludf.DUMMYFUNCTION("""COMPUTED_VALUE"""),12.0)</f>
        <v>12</v>
      </c>
      <c r="L337" s="308">
        <f>IFERROR(__xludf.DUMMYFUNCTION("""COMPUTED_VALUE"""),2010.0)</f>
        <v>2010</v>
      </c>
      <c r="M337" s="308" t="s">
        <v>1590</v>
      </c>
      <c r="N337" s="308"/>
      <c r="O337" s="312" t="s">
        <v>34785</v>
      </c>
      <c r="P337" s="308" t="s">
        <v>1592</v>
      </c>
      <c r="Q337" s="308"/>
      <c r="R337" s="308"/>
      <c r="S337" s="308" t="s">
        <v>49</v>
      </c>
      <c r="T337" s="311" t="s">
        <v>53</v>
      </c>
      <c r="U337" s="308"/>
      <c r="V337" s="312"/>
    </row>
    <row r="338">
      <c r="A338" s="308">
        <v>337.0</v>
      </c>
      <c r="B338" s="308">
        <v>3544.0</v>
      </c>
      <c r="C338" s="308" t="s">
        <v>34786</v>
      </c>
      <c r="D338" s="308">
        <f>IFERROR(__xludf.DUMMYFUNCTION("SPLIT(C338,""-"")"),336.0)</f>
        <v>336</v>
      </c>
      <c r="E338" s="311"/>
      <c r="F338" s="309" t="s">
        <v>26</v>
      </c>
      <c r="G338" s="308"/>
      <c r="H338" s="308" t="s">
        <v>1593</v>
      </c>
      <c r="I338" s="314">
        <v>40540.0</v>
      </c>
      <c r="J338" s="308">
        <f>IFERROR(__xludf.DUMMYFUNCTION("SPLIT(I338,""/"")"),28.0)</f>
        <v>28</v>
      </c>
      <c r="K338" s="308">
        <f>IFERROR(__xludf.DUMMYFUNCTION("""COMPUTED_VALUE"""),12.0)</f>
        <v>12</v>
      </c>
      <c r="L338" s="308">
        <f>IFERROR(__xludf.DUMMYFUNCTION("""COMPUTED_VALUE"""),2010.0)</f>
        <v>2010</v>
      </c>
      <c r="M338" s="308" t="s">
        <v>1590</v>
      </c>
      <c r="N338" s="308"/>
      <c r="O338" s="312" t="s">
        <v>635</v>
      </c>
      <c r="P338" s="308" t="s">
        <v>1594</v>
      </c>
      <c r="Q338" s="308"/>
      <c r="R338" s="308"/>
      <c r="S338" s="308" t="s">
        <v>49</v>
      </c>
      <c r="T338" s="311" t="s">
        <v>53</v>
      </c>
      <c r="U338" s="308"/>
      <c r="V338" s="312"/>
    </row>
    <row r="339">
      <c r="A339" s="308">
        <v>338.0</v>
      </c>
      <c r="B339" s="308">
        <v>3545.0</v>
      </c>
      <c r="C339" s="308" t="s">
        <v>1595</v>
      </c>
      <c r="D339" s="308">
        <f>IFERROR(__xludf.DUMMYFUNCTION("SPLIT(C339,""-"")"),337.0)</f>
        <v>337</v>
      </c>
      <c r="E339" s="308" t="str">
        <f>IFERROR(__xludf.DUMMYFUNCTION("""COMPUTED_VALUE"""),"S")</f>
        <v>S</v>
      </c>
      <c r="F339" s="312" t="s">
        <v>39</v>
      </c>
      <c r="G339" s="308" t="s">
        <v>1596</v>
      </c>
      <c r="H339" s="308" t="s">
        <v>1597</v>
      </c>
      <c r="I339" s="310">
        <v>39844.0</v>
      </c>
      <c r="J339" s="308">
        <f>IFERROR(__xludf.DUMMYFUNCTION("SPLIT(I339,""/"")"),31.0)</f>
        <v>31</v>
      </c>
      <c r="K339" s="308">
        <f>IFERROR(__xludf.DUMMYFUNCTION("""COMPUTED_VALUE"""),1.0)</f>
        <v>1</v>
      </c>
      <c r="L339" s="308">
        <f>IFERROR(__xludf.DUMMYFUNCTION("""COMPUTED_VALUE"""),2009.0)</f>
        <v>2009</v>
      </c>
      <c r="M339" s="308" t="s">
        <v>1598</v>
      </c>
      <c r="N339" s="308"/>
      <c r="O339" s="308" t="s">
        <v>34787</v>
      </c>
      <c r="P339" s="308" t="s">
        <v>985</v>
      </c>
      <c r="Q339" s="308"/>
      <c r="R339" s="308"/>
      <c r="S339" s="315" t="s">
        <v>100</v>
      </c>
      <c r="T339" s="311" t="s">
        <v>34208</v>
      </c>
      <c r="U339" s="308" t="s">
        <v>166</v>
      </c>
      <c r="V339" s="312"/>
    </row>
    <row r="340">
      <c r="A340" s="308">
        <v>339.0</v>
      </c>
      <c r="B340" s="308">
        <v>3546.0</v>
      </c>
      <c r="C340" s="308" t="s">
        <v>1600</v>
      </c>
      <c r="D340" s="308">
        <f>IFERROR(__xludf.DUMMYFUNCTION("SPLIT(C340,""-"")"),338.0)</f>
        <v>338</v>
      </c>
      <c r="E340" s="308" t="str">
        <f>IFERROR(__xludf.DUMMYFUNCTION("""COMPUTED_VALUE"""),"K")</f>
        <v>K</v>
      </c>
      <c r="F340" s="309" t="s">
        <v>34</v>
      </c>
      <c r="G340" s="308"/>
      <c r="H340" s="308" t="s">
        <v>1601</v>
      </c>
      <c r="I340" s="310">
        <v>40272.0</v>
      </c>
      <c r="J340" s="308">
        <f>IFERROR(__xludf.DUMMYFUNCTION("SPLIT(I340,""/"")"),4.0)</f>
        <v>4</v>
      </c>
      <c r="K340" s="308">
        <f>IFERROR(__xludf.DUMMYFUNCTION("""COMPUTED_VALUE"""),4.0)</f>
        <v>4</v>
      </c>
      <c r="L340" s="308">
        <f>IFERROR(__xludf.DUMMYFUNCTION("""COMPUTED_VALUE"""),2010.0)</f>
        <v>2010</v>
      </c>
      <c r="M340" s="308" t="s">
        <v>1602</v>
      </c>
      <c r="N340" s="308" t="s">
        <v>1603</v>
      </c>
      <c r="O340" s="312" t="s">
        <v>34788</v>
      </c>
      <c r="P340" s="308" t="s">
        <v>1605</v>
      </c>
      <c r="Q340" s="308"/>
      <c r="R340" s="308" t="s">
        <v>1606</v>
      </c>
      <c r="S340" s="315" t="s">
        <v>100</v>
      </c>
      <c r="T340" s="311" t="s">
        <v>34208</v>
      </c>
      <c r="U340" s="308" t="s">
        <v>125</v>
      </c>
      <c r="V340" s="312"/>
    </row>
    <row r="341">
      <c r="A341" s="308">
        <v>340.0</v>
      </c>
      <c r="B341" s="308"/>
      <c r="C341" s="308" t="s">
        <v>1607</v>
      </c>
      <c r="D341" s="308">
        <f>IFERROR(__xludf.DUMMYFUNCTION("SPLIT(C341,""-"")"),339.0)</f>
        <v>339</v>
      </c>
      <c r="E341" s="308" t="str">
        <f>IFERROR(__xludf.DUMMYFUNCTION("""COMPUTED_VALUE"""),"K")</f>
        <v>K</v>
      </c>
      <c r="F341" s="309" t="s">
        <v>34</v>
      </c>
      <c r="G341" s="308"/>
      <c r="H341" s="308" t="s">
        <v>1608</v>
      </c>
      <c r="I341" s="310">
        <v>42491.0</v>
      </c>
      <c r="J341" s="308">
        <f>IFERROR(__xludf.DUMMYFUNCTION("SPLIT(I341,""/"")"),1.0)</f>
        <v>1</v>
      </c>
      <c r="K341" s="308">
        <f>IFERROR(__xludf.DUMMYFUNCTION("""COMPUTED_VALUE"""),5.0)</f>
        <v>5</v>
      </c>
      <c r="L341" s="308">
        <f>IFERROR(__xludf.DUMMYFUNCTION("""COMPUTED_VALUE"""),2016.0)</f>
        <v>2016</v>
      </c>
      <c r="M341" s="308" t="s">
        <v>1609</v>
      </c>
      <c r="N341" s="308"/>
      <c r="O341" s="312"/>
      <c r="P341" s="308" t="s">
        <v>34212</v>
      </c>
      <c r="Q341" s="308"/>
      <c r="R341" s="308" t="s">
        <v>1610</v>
      </c>
      <c r="S341" s="315" t="s">
        <v>100</v>
      </c>
      <c r="T341" s="311" t="s">
        <v>34208</v>
      </c>
      <c r="U341" s="308" t="s">
        <v>542</v>
      </c>
      <c r="V341" s="312"/>
    </row>
    <row r="342">
      <c r="A342" s="308">
        <v>341.0</v>
      </c>
      <c r="B342" s="308">
        <v>3548.0</v>
      </c>
      <c r="C342" s="308" t="s">
        <v>34789</v>
      </c>
      <c r="D342" s="308">
        <f>IFERROR(__xludf.DUMMYFUNCTION("SPLIT(C342,""-"")"),340.0)</f>
        <v>340</v>
      </c>
      <c r="E342" s="311"/>
      <c r="F342" s="317" t="s">
        <v>39</v>
      </c>
      <c r="G342" s="308"/>
      <c r="H342" s="308" t="s">
        <v>1611</v>
      </c>
      <c r="I342" s="310">
        <v>40644.0</v>
      </c>
      <c r="J342" s="308">
        <f>IFERROR(__xludf.DUMMYFUNCTION("SPLIT(I342,""/"")"),11.0)</f>
        <v>11</v>
      </c>
      <c r="K342" s="308">
        <f>IFERROR(__xludf.DUMMYFUNCTION("""COMPUTED_VALUE"""),4.0)</f>
        <v>4</v>
      </c>
      <c r="L342" s="308">
        <f>IFERROR(__xludf.DUMMYFUNCTION("""COMPUTED_VALUE"""),2011.0)</f>
        <v>2011</v>
      </c>
      <c r="M342" s="308" t="s">
        <v>1612</v>
      </c>
      <c r="N342" s="308"/>
      <c r="O342" s="312" t="s">
        <v>34790</v>
      </c>
      <c r="P342" s="308" t="s">
        <v>1614</v>
      </c>
      <c r="Q342" s="308"/>
      <c r="R342" s="308"/>
      <c r="S342" s="308" t="s">
        <v>81</v>
      </c>
      <c r="T342" s="308" t="s">
        <v>75</v>
      </c>
      <c r="U342" s="308"/>
      <c r="V342" s="312"/>
    </row>
    <row r="343">
      <c r="A343" s="308">
        <v>342.0</v>
      </c>
      <c r="B343" s="308">
        <v>3549.0</v>
      </c>
      <c r="C343" s="308" t="s">
        <v>34791</v>
      </c>
      <c r="D343" s="308">
        <f>IFERROR(__xludf.DUMMYFUNCTION("SPLIT(C343,""-"")"),341.0)</f>
        <v>341</v>
      </c>
      <c r="E343" s="311"/>
      <c r="F343" s="317" t="s">
        <v>39</v>
      </c>
      <c r="G343" s="308"/>
      <c r="H343" s="308" t="s">
        <v>1615</v>
      </c>
      <c r="I343" s="310">
        <v>40644.0</v>
      </c>
      <c r="J343" s="308">
        <f>IFERROR(__xludf.DUMMYFUNCTION("SPLIT(I343,""/"")"),11.0)</f>
        <v>11</v>
      </c>
      <c r="K343" s="308">
        <f>IFERROR(__xludf.DUMMYFUNCTION("""COMPUTED_VALUE"""),4.0)</f>
        <v>4</v>
      </c>
      <c r="L343" s="308">
        <f>IFERROR(__xludf.DUMMYFUNCTION("""COMPUTED_VALUE"""),2011.0)</f>
        <v>2011</v>
      </c>
      <c r="M343" s="308" t="s">
        <v>34792</v>
      </c>
      <c r="N343" s="308"/>
      <c r="O343" s="312" t="s">
        <v>34790</v>
      </c>
      <c r="P343" s="308" t="s">
        <v>1614</v>
      </c>
      <c r="Q343" s="308"/>
      <c r="R343" s="308"/>
      <c r="S343" s="308" t="s">
        <v>81</v>
      </c>
      <c r="T343" s="308" t="s">
        <v>75</v>
      </c>
      <c r="U343" s="308"/>
      <c r="V343" s="312"/>
    </row>
    <row r="344">
      <c r="A344" s="308">
        <v>343.0</v>
      </c>
      <c r="B344" s="308">
        <v>3550.0</v>
      </c>
      <c r="C344" s="308" t="s">
        <v>34793</v>
      </c>
      <c r="D344" s="308">
        <f>IFERROR(__xludf.DUMMYFUNCTION("SPLIT(C344,""-"")"),342.0)</f>
        <v>342</v>
      </c>
      <c r="E344" s="311"/>
      <c r="F344" s="317" t="s">
        <v>39</v>
      </c>
      <c r="G344" s="308"/>
      <c r="H344" s="308" t="s">
        <v>1617</v>
      </c>
      <c r="I344" s="310">
        <v>40644.0</v>
      </c>
      <c r="J344" s="308">
        <f>IFERROR(__xludf.DUMMYFUNCTION("SPLIT(I344,""/"")"),11.0)</f>
        <v>11</v>
      </c>
      <c r="K344" s="308">
        <f>IFERROR(__xludf.DUMMYFUNCTION("""COMPUTED_VALUE"""),4.0)</f>
        <v>4</v>
      </c>
      <c r="L344" s="308">
        <f>IFERROR(__xludf.DUMMYFUNCTION("""COMPUTED_VALUE"""),2011.0)</f>
        <v>2011</v>
      </c>
      <c r="M344" s="308" t="s">
        <v>34794</v>
      </c>
      <c r="N344" s="308"/>
      <c r="O344" s="312" t="s">
        <v>34790</v>
      </c>
      <c r="P344" s="308" t="s">
        <v>1614</v>
      </c>
      <c r="Q344" s="308"/>
      <c r="R344" s="308"/>
      <c r="S344" s="308" t="s">
        <v>81</v>
      </c>
      <c r="T344" s="308" t="s">
        <v>75</v>
      </c>
      <c r="U344" s="308"/>
      <c r="V344" s="312"/>
    </row>
    <row r="345">
      <c r="A345" s="308">
        <v>344.0</v>
      </c>
      <c r="B345" s="308">
        <v>3551.0</v>
      </c>
      <c r="C345" s="308" t="s">
        <v>34226</v>
      </c>
      <c r="D345" s="308">
        <f>IFERROR(__xludf.DUMMYFUNCTION("SPLIT(C345,""-"")"),343.0)</f>
        <v>343</v>
      </c>
      <c r="E345" s="311"/>
      <c r="F345" s="317" t="s">
        <v>39</v>
      </c>
      <c r="G345" s="308"/>
      <c r="H345" s="308" t="s">
        <v>1619</v>
      </c>
      <c r="I345" s="310">
        <v>40644.0</v>
      </c>
      <c r="J345" s="308">
        <f>IFERROR(__xludf.DUMMYFUNCTION("SPLIT(I345,""/"")"),11.0)</f>
        <v>11</v>
      </c>
      <c r="K345" s="308">
        <f>IFERROR(__xludf.DUMMYFUNCTION("""COMPUTED_VALUE"""),4.0)</f>
        <v>4</v>
      </c>
      <c r="L345" s="308">
        <f>IFERROR(__xludf.DUMMYFUNCTION("""COMPUTED_VALUE"""),2011.0)</f>
        <v>2011</v>
      </c>
      <c r="M345" s="308" t="s">
        <v>1620</v>
      </c>
      <c r="N345" s="308"/>
      <c r="O345" s="312" t="s">
        <v>34790</v>
      </c>
      <c r="P345" s="308" t="s">
        <v>1614</v>
      </c>
      <c r="Q345" s="308"/>
      <c r="R345" s="308"/>
      <c r="S345" s="308" t="s">
        <v>81</v>
      </c>
      <c r="T345" s="308" t="s">
        <v>75</v>
      </c>
      <c r="U345" s="308"/>
      <c r="V345" s="312"/>
    </row>
    <row r="346">
      <c r="A346" s="308">
        <v>345.0</v>
      </c>
      <c r="B346" s="308">
        <v>3552.0</v>
      </c>
      <c r="C346" s="308" t="s">
        <v>34795</v>
      </c>
      <c r="D346" s="308">
        <f>IFERROR(__xludf.DUMMYFUNCTION("SPLIT(C346,""-"")"),344.0)</f>
        <v>344</v>
      </c>
      <c r="E346" s="311"/>
      <c r="F346" s="317" t="s">
        <v>37</v>
      </c>
      <c r="G346" s="308"/>
      <c r="H346" s="308" t="s">
        <v>1621</v>
      </c>
      <c r="I346" s="314">
        <v>40105.0</v>
      </c>
      <c r="J346" s="308">
        <f>IFERROR(__xludf.DUMMYFUNCTION("SPLIT(I346,""/"")"),19.0)</f>
        <v>19</v>
      </c>
      <c r="K346" s="308">
        <f>IFERROR(__xludf.DUMMYFUNCTION("""COMPUTED_VALUE"""),10.0)</f>
        <v>10</v>
      </c>
      <c r="L346" s="308">
        <f>IFERROR(__xludf.DUMMYFUNCTION("""COMPUTED_VALUE"""),2009.0)</f>
        <v>2009</v>
      </c>
      <c r="M346" s="308" t="s">
        <v>1622</v>
      </c>
      <c r="N346" s="308"/>
      <c r="O346" s="308" t="s">
        <v>1623</v>
      </c>
      <c r="P346" s="308" t="s">
        <v>1624</v>
      </c>
      <c r="Q346" s="308"/>
      <c r="R346" s="308"/>
      <c r="S346" s="308" t="s">
        <v>81</v>
      </c>
      <c r="T346" s="308" t="s">
        <v>75</v>
      </c>
      <c r="U346" s="308"/>
      <c r="V346" s="312"/>
    </row>
    <row r="347">
      <c r="A347" s="308">
        <v>346.0</v>
      </c>
      <c r="B347" s="308">
        <v>3553.0</v>
      </c>
      <c r="C347" s="308" t="s">
        <v>34796</v>
      </c>
      <c r="D347" s="308">
        <f>IFERROR(__xludf.DUMMYFUNCTION("SPLIT(C347,""-"")"),345.0)</f>
        <v>345</v>
      </c>
      <c r="E347" s="311"/>
      <c r="F347" s="309" t="s">
        <v>26</v>
      </c>
      <c r="G347" s="308"/>
      <c r="H347" s="308" t="s">
        <v>1625</v>
      </c>
      <c r="I347" s="310">
        <v>40346.0</v>
      </c>
      <c r="J347" s="308">
        <f>IFERROR(__xludf.DUMMYFUNCTION("SPLIT(I347,""/"")"),17.0)</f>
        <v>17</v>
      </c>
      <c r="K347" s="308">
        <f>IFERROR(__xludf.DUMMYFUNCTION("""COMPUTED_VALUE"""),6.0)</f>
        <v>6</v>
      </c>
      <c r="L347" s="308">
        <f>IFERROR(__xludf.DUMMYFUNCTION("""COMPUTED_VALUE"""),2010.0)</f>
        <v>2010</v>
      </c>
      <c r="M347" s="308" t="s">
        <v>1626</v>
      </c>
      <c r="N347" s="308"/>
      <c r="O347" s="312" t="s">
        <v>34797</v>
      </c>
      <c r="P347" s="308" t="s">
        <v>1628</v>
      </c>
      <c r="Q347" s="308"/>
      <c r="R347" s="308"/>
      <c r="S347" s="308" t="s">
        <v>49</v>
      </c>
      <c r="T347" s="311" t="s">
        <v>51</v>
      </c>
      <c r="U347" s="308"/>
      <c r="V347" s="312"/>
    </row>
    <row r="348">
      <c r="A348" s="308">
        <v>347.0</v>
      </c>
      <c r="B348" s="308">
        <v>3554.0</v>
      </c>
      <c r="C348" s="308" t="s">
        <v>34798</v>
      </c>
      <c r="D348" s="308">
        <f>IFERROR(__xludf.DUMMYFUNCTION("SPLIT(C348,""-"")"),346.0)</f>
        <v>346</v>
      </c>
      <c r="E348" s="311"/>
      <c r="F348" s="309" t="s">
        <v>26</v>
      </c>
      <c r="G348" s="308"/>
      <c r="H348" s="308" t="s">
        <v>1629</v>
      </c>
      <c r="I348" s="310">
        <v>40355.0</v>
      </c>
      <c r="J348" s="308">
        <f>IFERROR(__xludf.DUMMYFUNCTION("SPLIT(I348,""/"")"),26.0)</f>
        <v>26</v>
      </c>
      <c r="K348" s="308">
        <f>IFERROR(__xludf.DUMMYFUNCTION("""COMPUTED_VALUE"""),6.0)</f>
        <v>6</v>
      </c>
      <c r="L348" s="308">
        <f>IFERROR(__xludf.DUMMYFUNCTION("""COMPUTED_VALUE"""),2010.0)</f>
        <v>2010</v>
      </c>
      <c r="M348" s="308" t="s">
        <v>1630</v>
      </c>
      <c r="N348" s="308"/>
      <c r="O348" s="312" t="s">
        <v>34799</v>
      </c>
      <c r="P348" s="308" t="s">
        <v>252</v>
      </c>
      <c r="Q348" s="308"/>
      <c r="R348" s="308"/>
      <c r="S348" s="308" t="s">
        <v>49</v>
      </c>
      <c r="T348" s="308" t="s">
        <v>51</v>
      </c>
      <c r="U348" s="312"/>
      <c r="V348" s="312"/>
    </row>
    <row r="349">
      <c r="A349" s="308">
        <v>348.0</v>
      </c>
      <c r="B349" s="308">
        <v>3555.0</v>
      </c>
      <c r="C349" s="308" t="s">
        <v>34800</v>
      </c>
      <c r="D349" s="308">
        <f>IFERROR(__xludf.DUMMYFUNCTION("SPLIT(C349,""-"")"),347.0)</f>
        <v>347</v>
      </c>
      <c r="E349" s="311"/>
      <c r="F349" s="317" t="s">
        <v>39</v>
      </c>
      <c r="G349" s="308"/>
      <c r="H349" s="308" t="s">
        <v>1632</v>
      </c>
      <c r="I349" s="310">
        <v>40655.0</v>
      </c>
      <c r="J349" s="308">
        <f>IFERROR(__xludf.DUMMYFUNCTION("SPLIT(I349,""/"")"),22.0)</f>
        <v>22</v>
      </c>
      <c r="K349" s="308">
        <f>IFERROR(__xludf.DUMMYFUNCTION("""COMPUTED_VALUE"""),4.0)</f>
        <v>4</v>
      </c>
      <c r="L349" s="308">
        <f>IFERROR(__xludf.DUMMYFUNCTION("""COMPUTED_VALUE"""),2011.0)</f>
        <v>2011</v>
      </c>
      <c r="M349" s="308" t="s">
        <v>1633</v>
      </c>
      <c r="N349" s="308"/>
      <c r="O349" s="308" t="s">
        <v>34801</v>
      </c>
      <c r="P349" s="308" t="s">
        <v>34802</v>
      </c>
      <c r="Q349" s="308"/>
      <c r="R349" s="308"/>
      <c r="S349" s="308" t="s">
        <v>81</v>
      </c>
      <c r="T349" s="308" t="s">
        <v>75</v>
      </c>
      <c r="U349" s="308"/>
      <c r="V349" s="312"/>
    </row>
    <row r="350">
      <c r="A350" s="308">
        <v>349.0</v>
      </c>
      <c r="B350" s="308">
        <v>3556.0</v>
      </c>
      <c r="C350" s="308" t="s">
        <v>34803</v>
      </c>
      <c r="D350" s="308">
        <f>IFERROR(__xludf.DUMMYFUNCTION("SPLIT(C350,""-"")"),348.0)</f>
        <v>348</v>
      </c>
      <c r="E350" s="311"/>
      <c r="F350" s="317" t="s">
        <v>37</v>
      </c>
      <c r="G350" s="308"/>
      <c r="H350" s="308" t="s">
        <v>1636</v>
      </c>
      <c r="I350" s="310">
        <v>40083.0</v>
      </c>
      <c r="J350" s="308">
        <f>IFERROR(__xludf.DUMMYFUNCTION("SPLIT(I350,""/"")"),27.0)</f>
        <v>27</v>
      </c>
      <c r="K350" s="308">
        <f>IFERROR(__xludf.DUMMYFUNCTION("""COMPUTED_VALUE"""),9.0)</f>
        <v>9</v>
      </c>
      <c r="L350" s="308">
        <f>IFERROR(__xludf.DUMMYFUNCTION("""COMPUTED_VALUE"""),2009.0)</f>
        <v>2009</v>
      </c>
      <c r="M350" s="308" t="s">
        <v>1637</v>
      </c>
      <c r="N350" s="308"/>
      <c r="O350" s="308" t="s">
        <v>1638</v>
      </c>
      <c r="P350" s="308" t="s">
        <v>252</v>
      </c>
      <c r="Q350" s="308"/>
      <c r="R350" s="308"/>
      <c r="S350" s="308" t="s">
        <v>49</v>
      </c>
      <c r="T350" s="308" t="s">
        <v>51</v>
      </c>
      <c r="U350" s="308" t="s">
        <v>137</v>
      </c>
      <c r="V350" s="312"/>
    </row>
    <row r="351">
      <c r="A351" s="308">
        <v>350.0</v>
      </c>
      <c r="B351" s="308">
        <v>3557.0</v>
      </c>
      <c r="C351" s="308" t="s">
        <v>1639</v>
      </c>
      <c r="D351" s="308">
        <f>IFERROR(__xludf.DUMMYFUNCTION("SPLIT(C351,""-"")"),349.0)</f>
        <v>349</v>
      </c>
      <c r="E351" s="308" t="str">
        <f>IFERROR(__xludf.DUMMYFUNCTION("""COMPUTED_VALUE"""),"S")</f>
        <v>S</v>
      </c>
      <c r="F351" s="312" t="s">
        <v>39</v>
      </c>
      <c r="G351" s="308"/>
      <c r="H351" s="308" t="s">
        <v>1640</v>
      </c>
      <c r="I351" s="310">
        <v>40671.0</v>
      </c>
      <c r="J351" s="308">
        <f>IFERROR(__xludf.DUMMYFUNCTION("SPLIT(I351,""/"")"),8.0)</f>
        <v>8</v>
      </c>
      <c r="K351" s="308">
        <f>IFERROR(__xludf.DUMMYFUNCTION("""COMPUTED_VALUE"""),5.0)</f>
        <v>5</v>
      </c>
      <c r="L351" s="308">
        <f>IFERROR(__xludf.DUMMYFUNCTION("""COMPUTED_VALUE"""),2011.0)</f>
        <v>2011</v>
      </c>
      <c r="M351" s="308" t="s">
        <v>1641</v>
      </c>
      <c r="N351" s="308"/>
      <c r="O351" s="312" t="s">
        <v>34804</v>
      </c>
      <c r="P351" s="308" t="s">
        <v>34805</v>
      </c>
      <c r="Q351" s="308"/>
      <c r="R351" s="308"/>
      <c r="S351" s="308" t="s">
        <v>49</v>
      </c>
      <c r="T351" s="308" t="s">
        <v>51</v>
      </c>
      <c r="U351" s="308"/>
      <c r="V351" s="312"/>
    </row>
    <row r="352">
      <c r="A352" s="308">
        <v>351.0</v>
      </c>
      <c r="B352" s="308">
        <v>3559.0</v>
      </c>
      <c r="C352" s="308" t="s">
        <v>34806</v>
      </c>
      <c r="D352" s="308">
        <f>IFERROR(__xludf.DUMMYFUNCTION("SPLIT(C352,""-"")"),351.0)</f>
        <v>351</v>
      </c>
      <c r="E352" s="311"/>
      <c r="F352" s="309" t="s">
        <v>34</v>
      </c>
      <c r="G352" s="308" t="s">
        <v>1644</v>
      </c>
      <c r="H352" s="308" t="s">
        <v>1645</v>
      </c>
      <c r="I352" s="310">
        <v>40725.0</v>
      </c>
      <c r="J352" s="308">
        <f>IFERROR(__xludf.DUMMYFUNCTION("SPLIT(I352,""/"")"),1.0)</f>
        <v>1</v>
      </c>
      <c r="K352" s="308">
        <f>IFERROR(__xludf.DUMMYFUNCTION("""COMPUTED_VALUE"""),7.0)</f>
        <v>7</v>
      </c>
      <c r="L352" s="308">
        <f>IFERROR(__xludf.DUMMYFUNCTION("""COMPUTED_VALUE"""),2011.0)</f>
        <v>2011</v>
      </c>
      <c r="M352" s="308" t="s">
        <v>1646</v>
      </c>
      <c r="N352" s="308"/>
      <c r="O352" s="312" t="s">
        <v>34807</v>
      </c>
      <c r="P352" s="308" t="s">
        <v>1648</v>
      </c>
      <c r="Q352" s="308"/>
      <c r="R352" s="308"/>
      <c r="S352" s="308" t="s">
        <v>81</v>
      </c>
      <c r="T352" s="311" t="s">
        <v>75</v>
      </c>
      <c r="U352" s="308"/>
      <c r="V352" s="312"/>
    </row>
    <row r="353">
      <c r="A353" s="308">
        <v>352.0</v>
      </c>
      <c r="B353" s="308">
        <v>3560.0</v>
      </c>
      <c r="C353" s="308" t="s">
        <v>34808</v>
      </c>
      <c r="D353" s="308">
        <f>IFERROR(__xludf.DUMMYFUNCTION("SPLIT(C353,""-"")"),352.0)</f>
        <v>352</v>
      </c>
      <c r="E353" s="311"/>
      <c r="F353" s="317" t="s">
        <v>37</v>
      </c>
      <c r="G353" s="308"/>
      <c r="H353" s="308" t="s">
        <v>1649</v>
      </c>
      <c r="I353" s="310">
        <v>40710.0</v>
      </c>
      <c r="J353" s="308">
        <f>IFERROR(__xludf.DUMMYFUNCTION("SPLIT(I353,""/"")"),16.0)</f>
        <v>16</v>
      </c>
      <c r="K353" s="308">
        <f>IFERROR(__xludf.DUMMYFUNCTION("""COMPUTED_VALUE"""),6.0)</f>
        <v>6</v>
      </c>
      <c r="L353" s="308">
        <f>IFERROR(__xludf.DUMMYFUNCTION("""COMPUTED_VALUE"""),2011.0)</f>
        <v>2011</v>
      </c>
      <c r="M353" s="308" t="s">
        <v>1650</v>
      </c>
      <c r="N353" s="308"/>
      <c r="O353" s="308" t="s">
        <v>1651</v>
      </c>
      <c r="P353" s="308" t="s">
        <v>1652</v>
      </c>
      <c r="Q353" s="308"/>
      <c r="R353" s="308"/>
      <c r="S353" s="308" t="s">
        <v>81</v>
      </c>
      <c r="T353" s="308" t="s">
        <v>75</v>
      </c>
      <c r="U353" s="308"/>
      <c r="V353" s="312"/>
    </row>
    <row r="354">
      <c r="A354" s="308">
        <v>353.0</v>
      </c>
      <c r="B354" s="308">
        <v>3561.0</v>
      </c>
      <c r="C354" s="308" t="s">
        <v>1653</v>
      </c>
      <c r="D354" s="308">
        <f>IFERROR(__xludf.DUMMYFUNCTION("SPLIT(C354,""-"")"),353.0)</f>
        <v>353</v>
      </c>
      <c r="E354" s="308" t="str">
        <f>IFERROR(__xludf.DUMMYFUNCTION("""COMPUTED_VALUE"""),"K")</f>
        <v>K</v>
      </c>
      <c r="F354" s="309" t="s">
        <v>34</v>
      </c>
      <c r="G354" s="308"/>
      <c r="H354" s="308" t="s">
        <v>1654</v>
      </c>
      <c r="I354" s="310">
        <v>40012.0</v>
      </c>
      <c r="J354" s="308">
        <f>IFERROR(__xludf.DUMMYFUNCTION("SPLIT(I354,""/"")"),18.0)</f>
        <v>18</v>
      </c>
      <c r="K354" s="308">
        <f>IFERROR(__xludf.DUMMYFUNCTION("""COMPUTED_VALUE"""),7.0)</f>
        <v>7</v>
      </c>
      <c r="L354" s="308">
        <f>IFERROR(__xludf.DUMMYFUNCTION("""COMPUTED_VALUE"""),2009.0)</f>
        <v>2009</v>
      </c>
      <c r="M354" s="308" t="s">
        <v>1655</v>
      </c>
      <c r="N354" s="308"/>
      <c r="O354" s="312" t="s">
        <v>34809</v>
      </c>
      <c r="P354" s="308" t="s">
        <v>1495</v>
      </c>
      <c r="Q354" s="308"/>
      <c r="R354" s="308"/>
      <c r="S354" s="315" t="s">
        <v>100</v>
      </c>
      <c r="T354" s="311" t="s">
        <v>34208</v>
      </c>
      <c r="U354" s="308"/>
      <c r="V354" s="312"/>
    </row>
    <row r="355">
      <c r="A355" s="308">
        <v>354.0</v>
      </c>
      <c r="B355" s="308">
        <v>3562.0</v>
      </c>
      <c r="C355" s="308" t="s">
        <v>34810</v>
      </c>
      <c r="D355" s="308">
        <f>IFERROR(__xludf.DUMMYFUNCTION("SPLIT(C355,""-"")"),354.0)</f>
        <v>354</v>
      </c>
      <c r="E355" s="311"/>
      <c r="F355" s="309" t="s">
        <v>34</v>
      </c>
      <c r="G355" s="308"/>
      <c r="H355" s="308" t="s">
        <v>1657</v>
      </c>
      <c r="I355" s="310">
        <v>40521.0</v>
      </c>
      <c r="J355" s="308">
        <f>IFERROR(__xludf.DUMMYFUNCTION("SPLIT(I355,""/"")"),9.0)</f>
        <v>9</v>
      </c>
      <c r="K355" s="308">
        <f>IFERROR(__xludf.DUMMYFUNCTION("""COMPUTED_VALUE"""),12.0)</f>
        <v>12</v>
      </c>
      <c r="L355" s="308">
        <f>IFERROR(__xludf.DUMMYFUNCTION("""COMPUTED_VALUE"""),2010.0)</f>
        <v>2010</v>
      </c>
      <c r="M355" s="308" t="s">
        <v>1658</v>
      </c>
      <c r="N355" s="308"/>
      <c r="O355" s="312" t="s">
        <v>635</v>
      </c>
      <c r="P355" s="308" t="s">
        <v>1659</v>
      </c>
      <c r="Q355" s="308"/>
      <c r="R355" s="308"/>
      <c r="S355" s="308" t="s">
        <v>49</v>
      </c>
      <c r="T355" s="311" t="s">
        <v>69</v>
      </c>
      <c r="U355" s="308"/>
      <c r="V355" s="312"/>
    </row>
    <row r="356">
      <c r="A356" s="308">
        <v>355.0</v>
      </c>
      <c r="B356" s="308">
        <v>3563.0</v>
      </c>
      <c r="C356" s="308" t="s">
        <v>34811</v>
      </c>
      <c r="D356" s="308">
        <f>IFERROR(__xludf.DUMMYFUNCTION("SPLIT(C356,""-"")"),355.0)</f>
        <v>355</v>
      </c>
      <c r="E356" s="311"/>
      <c r="F356" s="317" t="s">
        <v>37</v>
      </c>
      <c r="G356" s="308" t="s">
        <v>1660</v>
      </c>
      <c r="H356" s="308" t="s">
        <v>1661</v>
      </c>
      <c r="I356" s="310">
        <v>40408.0</v>
      </c>
      <c r="J356" s="308">
        <f>IFERROR(__xludf.DUMMYFUNCTION("SPLIT(I356,""/"")"),18.0)</f>
        <v>18</v>
      </c>
      <c r="K356" s="308">
        <f>IFERROR(__xludf.DUMMYFUNCTION("""COMPUTED_VALUE"""),8.0)</f>
        <v>8</v>
      </c>
      <c r="L356" s="308">
        <f>IFERROR(__xludf.DUMMYFUNCTION("""COMPUTED_VALUE"""),2010.0)</f>
        <v>2010</v>
      </c>
      <c r="M356" s="308" t="s">
        <v>1662</v>
      </c>
      <c r="N356" s="308"/>
      <c r="O356" s="312" t="s">
        <v>34812</v>
      </c>
      <c r="P356" s="308" t="s">
        <v>34782</v>
      </c>
      <c r="Q356" s="308"/>
      <c r="R356" s="308"/>
      <c r="S356" s="308" t="s">
        <v>49</v>
      </c>
      <c r="T356" s="308" t="s">
        <v>51</v>
      </c>
      <c r="U356" s="308" t="s">
        <v>1664</v>
      </c>
      <c r="V356" s="312"/>
    </row>
    <row r="357">
      <c r="A357" s="308">
        <v>356.0</v>
      </c>
      <c r="B357" s="308">
        <v>3564.0</v>
      </c>
      <c r="C357" s="308" t="s">
        <v>34813</v>
      </c>
      <c r="D357" s="308">
        <f>IFERROR(__xludf.DUMMYFUNCTION("SPLIT(C357,""-"")"),356.0)</f>
        <v>356</v>
      </c>
      <c r="E357" s="311"/>
      <c r="F357" s="317" t="s">
        <v>37</v>
      </c>
      <c r="G357" s="308"/>
      <c r="H357" s="308" t="s">
        <v>1665</v>
      </c>
      <c r="I357" s="310">
        <v>38934.0</v>
      </c>
      <c r="J357" s="308">
        <f>IFERROR(__xludf.DUMMYFUNCTION("SPLIT(I357,""/"")"),5.0)</f>
        <v>5</v>
      </c>
      <c r="K357" s="308">
        <f>IFERROR(__xludf.DUMMYFUNCTION("""COMPUTED_VALUE"""),8.0)</f>
        <v>8</v>
      </c>
      <c r="L357" s="308">
        <f>IFERROR(__xludf.DUMMYFUNCTION("""COMPUTED_VALUE"""),2006.0)</f>
        <v>2006</v>
      </c>
      <c r="M357" s="308" t="s">
        <v>1666</v>
      </c>
      <c r="N357" s="308"/>
      <c r="O357" s="308" t="s">
        <v>1667</v>
      </c>
      <c r="P357" s="308" t="s">
        <v>1668</v>
      </c>
      <c r="Q357" s="308"/>
      <c r="R357" s="308"/>
      <c r="S357" s="308" t="s">
        <v>49</v>
      </c>
      <c r="T357" s="311" t="s">
        <v>51</v>
      </c>
      <c r="U357" s="308"/>
      <c r="V357" s="312"/>
    </row>
    <row r="358">
      <c r="A358" s="308">
        <v>357.0</v>
      </c>
      <c r="B358" s="308">
        <v>3565.0</v>
      </c>
      <c r="C358" s="308" t="s">
        <v>34814</v>
      </c>
      <c r="D358" s="308">
        <f>IFERROR(__xludf.DUMMYFUNCTION("SPLIT(C358,""-"")"),357.0)</f>
        <v>357</v>
      </c>
      <c r="E358" s="311"/>
      <c r="F358" s="309" t="s">
        <v>26</v>
      </c>
      <c r="G358" s="308"/>
      <c r="H358" s="308" t="s">
        <v>1669</v>
      </c>
      <c r="I358" s="314">
        <v>40466.0</v>
      </c>
      <c r="J358" s="308">
        <f>IFERROR(__xludf.DUMMYFUNCTION("SPLIT(I358,""/"")"),15.0)</f>
        <v>15</v>
      </c>
      <c r="K358" s="308">
        <f>IFERROR(__xludf.DUMMYFUNCTION("""COMPUTED_VALUE"""),10.0)</f>
        <v>10</v>
      </c>
      <c r="L358" s="308">
        <f>IFERROR(__xludf.DUMMYFUNCTION("""COMPUTED_VALUE"""),2010.0)</f>
        <v>2010</v>
      </c>
      <c r="M358" s="308" t="s">
        <v>1670</v>
      </c>
      <c r="N358" s="308"/>
      <c r="O358" s="308" t="s">
        <v>1671</v>
      </c>
      <c r="P358" s="308" t="s">
        <v>1672</v>
      </c>
      <c r="Q358" s="308"/>
      <c r="R358" s="308"/>
      <c r="S358" s="308" t="s">
        <v>81</v>
      </c>
      <c r="T358" s="311" t="s">
        <v>75</v>
      </c>
      <c r="U358" s="308"/>
      <c r="V358" s="312"/>
    </row>
    <row r="359">
      <c r="A359" s="308">
        <v>358.0</v>
      </c>
      <c r="B359" s="308">
        <v>3566.0</v>
      </c>
      <c r="C359" s="308" t="s">
        <v>34815</v>
      </c>
      <c r="D359" s="308">
        <f>IFERROR(__xludf.DUMMYFUNCTION("SPLIT(C359,""-"")"),358.0)</f>
        <v>358</v>
      </c>
      <c r="E359" s="311"/>
      <c r="F359" s="309" t="s">
        <v>26</v>
      </c>
      <c r="G359" s="308"/>
      <c r="H359" s="308" t="s">
        <v>1673</v>
      </c>
      <c r="I359" s="314">
        <v>40466.0</v>
      </c>
      <c r="J359" s="308">
        <f>IFERROR(__xludf.DUMMYFUNCTION("SPLIT(I359,""/"")"),15.0)</f>
        <v>15</v>
      </c>
      <c r="K359" s="308">
        <f>IFERROR(__xludf.DUMMYFUNCTION("""COMPUTED_VALUE"""),10.0)</f>
        <v>10</v>
      </c>
      <c r="L359" s="308">
        <f>IFERROR(__xludf.DUMMYFUNCTION("""COMPUTED_VALUE"""),2010.0)</f>
        <v>2010</v>
      </c>
      <c r="M359" s="308" t="s">
        <v>1674</v>
      </c>
      <c r="N359" s="308"/>
      <c r="O359" s="308" t="s">
        <v>1671</v>
      </c>
      <c r="P359" s="308" t="s">
        <v>1672</v>
      </c>
      <c r="Q359" s="308"/>
      <c r="R359" s="308"/>
      <c r="S359" s="308" t="s">
        <v>81</v>
      </c>
      <c r="T359" s="311" t="s">
        <v>75</v>
      </c>
      <c r="U359" s="308"/>
      <c r="V359" s="312"/>
    </row>
    <row r="360">
      <c r="A360" s="308">
        <v>359.0</v>
      </c>
      <c r="B360" s="308">
        <v>3567.0</v>
      </c>
      <c r="C360" s="308" t="s">
        <v>34816</v>
      </c>
      <c r="D360" s="308">
        <f>IFERROR(__xludf.DUMMYFUNCTION("SPLIT(C360,""-"")"),359.0)</f>
        <v>359</v>
      </c>
      <c r="E360" s="311"/>
      <c r="F360" s="317" t="s">
        <v>37</v>
      </c>
      <c r="G360" s="308"/>
      <c r="H360" s="308" t="s">
        <v>1675</v>
      </c>
      <c r="I360" s="310">
        <v>40680.0</v>
      </c>
      <c r="J360" s="308">
        <f>IFERROR(__xludf.DUMMYFUNCTION("SPLIT(I360,""/"")"),17.0)</f>
        <v>17</v>
      </c>
      <c r="K360" s="308">
        <f>IFERROR(__xludf.DUMMYFUNCTION("""COMPUTED_VALUE"""),5.0)</f>
        <v>5</v>
      </c>
      <c r="L360" s="308">
        <f>IFERROR(__xludf.DUMMYFUNCTION("""COMPUTED_VALUE"""),2011.0)</f>
        <v>2011</v>
      </c>
      <c r="M360" s="308" t="s">
        <v>1676</v>
      </c>
      <c r="N360" s="308"/>
      <c r="O360" s="308" t="s">
        <v>1677</v>
      </c>
      <c r="P360" s="308" t="s">
        <v>34817</v>
      </c>
      <c r="Q360" s="308"/>
      <c r="R360" s="308"/>
      <c r="S360" s="308" t="s">
        <v>81</v>
      </c>
      <c r="T360" s="308" t="s">
        <v>75</v>
      </c>
      <c r="U360" s="308"/>
      <c r="V360" s="312"/>
    </row>
    <row r="361">
      <c r="A361" s="308">
        <v>360.0</v>
      </c>
      <c r="B361" s="308">
        <v>3568.0</v>
      </c>
      <c r="C361" s="308" t="s">
        <v>34818</v>
      </c>
      <c r="D361" s="308">
        <f>IFERROR(__xludf.DUMMYFUNCTION("SPLIT(C361,""-"")"),360.0)</f>
        <v>360</v>
      </c>
      <c r="E361" s="311"/>
      <c r="F361" s="309" t="s">
        <v>34</v>
      </c>
      <c r="G361" s="308" t="s">
        <v>1679</v>
      </c>
      <c r="H361" s="308" t="s">
        <v>1680</v>
      </c>
      <c r="I361" s="310">
        <v>40311.0</v>
      </c>
      <c r="J361" s="308">
        <f>IFERROR(__xludf.DUMMYFUNCTION("SPLIT(I361,""/"")"),13.0)</f>
        <v>13</v>
      </c>
      <c r="K361" s="308">
        <f>IFERROR(__xludf.DUMMYFUNCTION("""COMPUTED_VALUE"""),5.0)</f>
        <v>5</v>
      </c>
      <c r="L361" s="308">
        <f>IFERROR(__xludf.DUMMYFUNCTION("""COMPUTED_VALUE"""),2010.0)</f>
        <v>2010</v>
      </c>
      <c r="M361" s="308" t="s">
        <v>1681</v>
      </c>
      <c r="N361" s="308"/>
      <c r="O361" s="312" t="s">
        <v>34819</v>
      </c>
      <c r="P361" s="308" t="s">
        <v>1683</v>
      </c>
      <c r="Q361" s="308"/>
      <c r="R361" s="308"/>
      <c r="S361" s="308" t="s">
        <v>49</v>
      </c>
      <c r="T361" s="311" t="s">
        <v>77</v>
      </c>
      <c r="U361" s="308"/>
      <c r="V361" s="312"/>
    </row>
    <row r="362">
      <c r="A362" s="308">
        <v>361.0</v>
      </c>
      <c r="B362" s="308">
        <v>3569.0</v>
      </c>
      <c r="C362" s="308" t="s">
        <v>1684</v>
      </c>
      <c r="D362" s="308">
        <f>IFERROR(__xludf.DUMMYFUNCTION("SPLIT(C362,""-"")"),361.0)</f>
        <v>361</v>
      </c>
      <c r="E362" s="308" t="str">
        <f>IFERROR(__xludf.DUMMYFUNCTION("""COMPUTED_VALUE"""),"P")</f>
        <v>P</v>
      </c>
      <c r="F362" s="312" t="s">
        <v>37</v>
      </c>
      <c r="G362" s="308"/>
      <c r="H362" s="308" t="s">
        <v>1685</v>
      </c>
      <c r="I362" s="310">
        <v>40032.0</v>
      </c>
      <c r="J362" s="308">
        <f>IFERROR(__xludf.DUMMYFUNCTION("SPLIT(I362,""/"")"),7.0)</f>
        <v>7</v>
      </c>
      <c r="K362" s="308">
        <f>IFERROR(__xludf.DUMMYFUNCTION("""COMPUTED_VALUE"""),8.0)</f>
        <v>8</v>
      </c>
      <c r="L362" s="308">
        <f>IFERROR(__xludf.DUMMYFUNCTION("""COMPUTED_VALUE"""),2009.0)</f>
        <v>2009</v>
      </c>
      <c r="M362" s="308" t="s">
        <v>1686</v>
      </c>
      <c r="N362" s="308"/>
      <c r="O362" s="312" t="s">
        <v>34820</v>
      </c>
      <c r="P362" s="308" t="s">
        <v>34212</v>
      </c>
      <c r="Q362" s="308"/>
      <c r="R362" s="308"/>
      <c r="S362" s="315" t="s">
        <v>100</v>
      </c>
      <c r="T362" s="311" t="s">
        <v>34208</v>
      </c>
      <c r="U362" s="308" t="s">
        <v>1182</v>
      </c>
      <c r="V362" s="312"/>
    </row>
    <row r="363">
      <c r="A363" s="308">
        <v>362.0</v>
      </c>
      <c r="B363" s="308">
        <v>3570.0</v>
      </c>
      <c r="C363" s="308" t="s">
        <v>34821</v>
      </c>
      <c r="D363" s="308">
        <f>IFERROR(__xludf.DUMMYFUNCTION("SPLIT(C363,""-"")"),362.0)</f>
        <v>362</v>
      </c>
      <c r="E363" s="311"/>
      <c r="F363" s="309" t="s">
        <v>34</v>
      </c>
      <c r="G363" s="308"/>
      <c r="H363" s="308" t="s">
        <v>1688</v>
      </c>
      <c r="I363" s="310">
        <v>39992.0</v>
      </c>
      <c r="J363" s="308">
        <f>IFERROR(__xludf.DUMMYFUNCTION("SPLIT(I363,""/"")"),28.0)</f>
        <v>28</v>
      </c>
      <c r="K363" s="308">
        <f>IFERROR(__xludf.DUMMYFUNCTION("""COMPUTED_VALUE"""),6.0)</f>
        <v>6</v>
      </c>
      <c r="L363" s="308">
        <f>IFERROR(__xludf.DUMMYFUNCTION("""COMPUTED_VALUE"""),2009.0)</f>
        <v>2009</v>
      </c>
      <c r="M363" s="308" t="s">
        <v>1689</v>
      </c>
      <c r="N363" s="308"/>
      <c r="O363" s="312" t="s">
        <v>635</v>
      </c>
      <c r="P363" s="308" t="s">
        <v>34822</v>
      </c>
      <c r="Q363" s="308"/>
      <c r="R363" s="308"/>
      <c r="S363" s="311" t="s">
        <v>49</v>
      </c>
      <c r="T363" s="308" t="s">
        <v>53</v>
      </c>
      <c r="U363" s="308"/>
      <c r="V363" s="312"/>
    </row>
    <row r="364">
      <c r="A364" s="308">
        <v>363.0</v>
      </c>
      <c r="B364" s="308">
        <v>3571.0</v>
      </c>
      <c r="C364" s="308" t="s">
        <v>34823</v>
      </c>
      <c r="D364" s="308">
        <f>IFERROR(__xludf.DUMMYFUNCTION("SPLIT(C364,""-"")"),363.0)</f>
        <v>363</v>
      </c>
      <c r="E364" s="311"/>
      <c r="F364" s="317" t="s">
        <v>39</v>
      </c>
      <c r="G364" s="308"/>
      <c r="H364" s="308" t="s">
        <v>1691</v>
      </c>
      <c r="I364" s="310">
        <v>34140.0</v>
      </c>
      <c r="J364" s="308">
        <f>IFERROR(__xludf.DUMMYFUNCTION("SPLIT(I364,""/"")"),20.0)</f>
        <v>20</v>
      </c>
      <c r="K364" s="308">
        <f>IFERROR(__xludf.DUMMYFUNCTION("""COMPUTED_VALUE"""),6.0)</f>
        <v>6</v>
      </c>
      <c r="L364" s="308">
        <f>IFERROR(__xludf.DUMMYFUNCTION("""COMPUTED_VALUE"""),1993.0)</f>
        <v>1993</v>
      </c>
      <c r="M364" s="308" t="s">
        <v>1692</v>
      </c>
      <c r="N364" s="308"/>
      <c r="O364" s="312" t="s">
        <v>34824</v>
      </c>
      <c r="P364" s="308" t="s">
        <v>1694</v>
      </c>
      <c r="Q364" s="308"/>
      <c r="R364" s="308"/>
      <c r="S364" s="308" t="s">
        <v>49</v>
      </c>
      <c r="T364" s="311" t="s">
        <v>55</v>
      </c>
      <c r="U364" s="308"/>
      <c r="V364" s="312"/>
    </row>
    <row r="365">
      <c r="A365" s="308">
        <v>364.0</v>
      </c>
      <c r="B365" s="308">
        <v>3572.0</v>
      </c>
      <c r="C365" s="308" t="s">
        <v>1695</v>
      </c>
      <c r="D365" s="308">
        <f>IFERROR(__xludf.DUMMYFUNCTION("SPLIT(C365,""-"")"),364.0)</f>
        <v>364</v>
      </c>
      <c r="E365" s="308" t="str">
        <f>IFERROR(__xludf.DUMMYFUNCTION("""COMPUTED_VALUE"""),"K")</f>
        <v>K</v>
      </c>
      <c r="F365" s="309" t="s">
        <v>34</v>
      </c>
      <c r="G365" s="308"/>
      <c r="H365" s="308" t="s">
        <v>1696</v>
      </c>
      <c r="I365" s="310">
        <v>39966.0</v>
      </c>
      <c r="J365" s="308">
        <f>IFERROR(__xludf.DUMMYFUNCTION("SPLIT(I365,""/"")"),2.0)</f>
        <v>2</v>
      </c>
      <c r="K365" s="308">
        <f>IFERROR(__xludf.DUMMYFUNCTION("""COMPUTED_VALUE"""),6.0)</f>
        <v>6</v>
      </c>
      <c r="L365" s="308">
        <f>IFERROR(__xludf.DUMMYFUNCTION("""COMPUTED_VALUE"""),2009.0)</f>
        <v>2009</v>
      </c>
      <c r="M365" s="308" t="s">
        <v>1697</v>
      </c>
      <c r="N365" s="308"/>
      <c r="O365" s="312" t="s">
        <v>1698</v>
      </c>
      <c r="P365" s="308" t="s">
        <v>136</v>
      </c>
      <c r="Q365" s="308"/>
      <c r="R365" s="308"/>
      <c r="S365" s="315" t="s">
        <v>100</v>
      </c>
      <c r="T365" s="308" t="s">
        <v>34208</v>
      </c>
      <c r="U365" s="308" t="s">
        <v>530</v>
      </c>
      <c r="V365" s="312"/>
    </row>
    <row r="366">
      <c r="A366" s="308">
        <v>365.0</v>
      </c>
      <c r="B366" s="308">
        <v>3573.0</v>
      </c>
      <c r="C366" s="308" t="s">
        <v>1699</v>
      </c>
      <c r="D366" s="308">
        <f>IFERROR(__xludf.DUMMYFUNCTION("SPLIT(C366,""-"")"),365.0)</f>
        <v>365</v>
      </c>
      <c r="E366" s="308" t="str">
        <f>IFERROR(__xludf.DUMMYFUNCTION("""COMPUTED_VALUE"""),"K")</f>
        <v>K</v>
      </c>
      <c r="F366" s="309" t="s">
        <v>34</v>
      </c>
      <c r="G366" s="308" t="s">
        <v>1700</v>
      </c>
      <c r="H366" s="308" t="s">
        <v>1701</v>
      </c>
      <c r="I366" s="310">
        <v>39966.0</v>
      </c>
      <c r="J366" s="308">
        <f>IFERROR(__xludf.DUMMYFUNCTION("SPLIT(I366,""/"")"),2.0)</f>
        <v>2</v>
      </c>
      <c r="K366" s="308">
        <f>IFERROR(__xludf.DUMMYFUNCTION("""COMPUTED_VALUE"""),6.0)</f>
        <v>6</v>
      </c>
      <c r="L366" s="308">
        <f>IFERROR(__xludf.DUMMYFUNCTION("""COMPUTED_VALUE"""),2009.0)</f>
        <v>2009</v>
      </c>
      <c r="M366" s="308" t="s">
        <v>1697</v>
      </c>
      <c r="N366" s="308"/>
      <c r="O366" s="308" t="s">
        <v>1702</v>
      </c>
      <c r="P366" s="308" t="s">
        <v>136</v>
      </c>
      <c r="Q366" s="308"/>
      <c r="R366" s="308"/>
      <c r="S366" s="315" t="s">
        <v>100</v>
      </c>
      <c r="T366" s="308" t="s">
        <v>34208</v>
      </c>
      <c r="U366" s="308" t="s">
        <v>530</v>
      </c>
      <c r="V366" s="312"/>
    </row>
    <row r="367">
      <c r="A367" s="308">
        <v>366.0</v>
      </c>
      <c r="B367" s="308">
        <v>3574.0</v>
      </c>
      <c r="C367" s="308" t="s">
        <v>34825</v>
      </c>
      <c r="D367" s="308">
        <f>IFERROR(__xludf.DUMMYFUNCTION("SPLIT(C367,""-"")"),366.0)</f>
        <v>366</v>
      </c>
      <c r="E367" s="311"/>
      <c r="F367" s="309" t="s">
        <v>34</v>
      </c>
      <c r="G367" s="308"/>
      <c r="H367" s="308" t="s">
        <v>1703</v>
      </c>
      <c r="I367" s="314">
        <v>40543.0</v>
      </c>
      <c r="J367" s="308">
        <f>IFERROR(__xludf.DUMMYFUNCTION("SPLIT(I367,""/"")"),31.0)</f>
        <v>31</v>
      </c>
      <c r="K367" s="308">
        <f>IFERROR(__xludf.DUMMYFUNCTION("""COMPUTED_VALUE"""),12.0)</f>
        <v>12</v>
      </c>
      <c r="L367" s="308">
        <f>IFERROR(__xludf.DUMMYFUNCTION("""COMPUTED_VALUE"""),2010.0)</f>
        <v>2010</v>
      </c>
      <c r="M367" s="308" t="s">
        <v>1704</v>
      </c>
      <c r="N367" s="308"/>
      <c r="O367" s="312" t="s">
        <v>34826</v>
      </c>
      <c r="P367" s="308" t="s">
        <v>1706</v>
      </c>
      <c r="Q367" s="308"/>
      <c r="R367" s="308"/>
      <c r="S367" s="308" t="s">
        <v>81</v>
      </c>
      <c r="T367" s="311" t="s">
        <v>75</v>
      </c>
      <c r="U367" s="308"/>
      <c r="V367" s="312"/>
    </row>
    <row r="368">
      <c r="A368" s="308">
        <v>367.0</v>
      </c>
      <c r="B368" s="308">
        <v>3575.0</v>
      </c>
      <c r="C368" s="308" t="s">
        <v>34827</v>
      </c>
      <c r="D368" s="308">
        <f>IFERROR(__xludf.DUMMYFUNCTION("SPLIT(C368,""-"")"),367.0)</f>
        <v>367</v>
      </c>
      <c r="E368" s="311"/>
      <c r="F368" s="317" t="s">
        <v>37</v>
      </c>
      <c r="G368" s="308"/>
      <c r="H368" s="308" t="s">
        <v>1707</v>
      </c>
      <c r="I368" s="316" t="s">
        <v>407</v>
      </c>
      <c r="J368" s="308" t="str">
        <f>IFERROR(__xludf.DUMMYFUNCTION("SPLIT(I368,""/"")"),"#REF!")</f>
        <v>#REF!</v>
      </c>
      <c r="K368" s="308"/>
      <c r="L368" s="311" t="s">
        <v>79</v>
      </c>
      <c r="M368" s="308" t="s">
        <v>1708</v>
      </c>
      <c r="N368" s="308"/>
      <c r="O368" s="312" t="s">
        <v>1709</v>
      </c>
      <c r="P368" s="308" t="s">
        <v>1710</v>
      </c>
      <c r="Q368" s="308"/>
      <c r="R368" s="308"/>
      <c r="S368" s="308" t="s">
        <v>49</v>
      </c>
      <c r="T368" s="308" t="s">
        <v>51</v>
      </c>
      <c r="U368" s="308" t="s">
        <v>1711</v>
      </c>
      <c r="V368" s="312"/>
    </row>
    <row r="369">
      <c r="A369" s="308">
        <v>368.0</v>
      </c>
      <c r="B369" s="308">
        <v>3576.0</v>
      </c>
      <c r="C369" s="308" t="s">
        <v>34828</v>
      </c>
      <c r="D369" s="308">
        <f>IFERROR(__xludf.DUMMYFUNCTION("SPLIT(C369,""-"")"),368.0)</f>
        <v>368</v>
      </c>
      <c r="E369" s="311"/>
      <c r="F369" s="309" t="s">
        <v>34</v>
      </c>
      <c r="G369" s="308"/>
      <c r="H369" s="308" t="s">
        <v>1712</v>
      </c>
      <c r="I369" s="310">
        <v>40007.0</v>
      </c>
      <c r="J369" s="308">
        <f>IFERROR(__xludf.DUMMYFUNCTION("SPLIT(I369,""/"")"),13.0)</f>
        <v>13</v>
      </c>
      <c r="K369" s="308">
        <f>IFERROR(__xludf.DUMMYFUNCTION("""COMPUTED_VALUE"""),7.0)</f>
        <v>7</v>
      </c>
      <c r="L369" s="308">
        <f>IFERROR(__xludf.DUMMYFUNCTION("""COMPUTED_VALUE"""),2009.0)</f>
        <v>2009</v>
      </c>
      <c r="M369" s="308" t="s">
        <v>1713</v>
      </c>
      <c r="N369" s="308"/>
      <c r="O369" s="312" t="s">
        <v>34829</v>
      </c>
      <c r="P369" s="308" t="s">
        <v>148</v>
      </c>
      <c r="Q369" s="308"/>
      <c r="R369" s="308"/>
      <c r="S369" s="308" t="s">
        <v>49</v>
      </c>
      <c r="T369" s="308" t="s">
        <v>51</v>
      </c>
      <c r="U369" s="308"/>
      <c r="V369" s="312"/>
    </row>
    <row r="370">
      <c r="A370" s="308">
        <v>369.0</v>
      </c>
      <c r="B370" s="308">
        <v>3577.0</v>
      </c>
      <c r="C370" s="308" t="s">
        <v>34830</v>
      </c>
      <c r="D370" s="308">
        <f>IFERROR(__xludf.DUMMYFUNCTION("SPLIT(C370,""-"")"),369.0)</f>
        <v>369</v>
      </c>
      <c r="E370" s="311"/>
      <c r="F370" s="309" t="s">
        <v>34</v>
      </c>
      <c r="G370" s="308"/>
      <c r="H370" s="308" t="s">
        <v>1715</v>
      </c>
      <c r="I370" s="310">
        <v>40007.0</v>
      </c>
      <c r="J370" s="308">
        <f>IFERROR(__xludf.DUMMYFUNCTION("SPLIT(I370,""/"")"),13.0)</f>
        <v>13</v>
      </c>
      <c r="K370" s="308">
        <f>IFERROR(__xludf.DUMMYFUNCTION("""COMPUTED_VALUE"""),7.0)</f>
        <v>7</v>
      </c>
      <c r="L370" s="308">
        <f>IFERROR(__xludf.DUMMYFUNCTION("""COMPUTED_VALUE"""),2009.0)</f>
        <v>2009</v>
      </c>
      <c r="M370" s="308" t="s">
        <v>1713</v>
      </c>
      <c r="N370" s="308"/>
      <c r="O370" s="312" t="s">
        <v>34829</v>
      </c>
      <c r="P370" s="308" t="s">
        <v>148</v>
      </c>
      <c r="Q370" s="308"/>
      <c r="R370" s="308"/>
      <c r="S370" s="308" t="s">
        <v>49</v>
      </c>
      <c r="T370" s="308" t="s">
        <v>51</v>
      </c>
      <c r="U370" s="308"/>
      <c r="V370" s="312"/>
    </row>
    <row r="371">
      <c r="A371" s="308">
        <v>370.0</v>
      </c>
      <c r="B371" s="308">
        <v>3578.0</v>
      </c>
      <c r="C371" s="308" t="s">
        <v>34831</v>
      </c>
      <c r="D371" s="308">
        <f>IFERROR(__xludf.DUMMYFUNCTION("SPLIT(C371,""-"")"),370.0)</f>
        <v>370</v>
      </c>
      <c r="E371" s="311"/>
      <c r="F371" s="309" t="s">
        <v>34</v>
      </c>
      <c r="G371" s="308"/>
      <c r="H371" s="308" t="s">
        <v>1716</v>
      </c>
      <c r="I371" s="310">
        <v>40653.0</v>
      </c>
      <c r="J371" s="308">
        <f>IFERROR(__xludf.DUMMYFUNCTION("SPLIT(I371,""/"")"),20.0)</f>
        <v>20</v>
      </c>
      <c r="K371" s="308">
        <f>IFERROR(__xludf.DUMMYFUNCTION("""COMPUTED_VALUE"""),4.0)</f>
        <v>4</v>
      </c>
      <c r="L371" s="308">
        <f>IFERROR(__xludf.DUMMYFUNCTION("""COMPUTED_VALUE"""),2011.0)</f>
        <v>2011</v>
      </c>
      <c r="M371" s="308" t="s">
        <v>1717</v>
      </c>
      <c r="N371" s="308"/>
      <c r="O371" s="312" t="s">
        <v>1718</v>
      </c>
      <c r="P371" s="308" t="s">
        <v>1719</v>
      </c>
      <c r="Q371" s="308"/>
      <c r="R371" s="308"/>
      <c r="S371" s="308" t="s">
        <v>81</v>
      </c>
      <c r="T371" s="311" t="s">
        <v>73</v>
      </c>
      <c r="U371" s="308"/>
      <c r="V371" s="312"/>
    </row>
    <row r="372">
      <c r="A372" s="308">
        <v>371.0</v>
      </c>
      <c r="B372" s="308">
        <v>3579.0</v>
      </c>
      <c r="C372" s="308" t="s">
        <v>34832</v>
      </c>
      <c r="D372" s="308">
        <f>IFERROR(__xludf.DUMMYFUNCTION("SPLIT(C372,""-"")"),371.0)</f>
        <v>371</v>
      </c>
      <c r="E372" s="311"/>
      <c r="F372" s="309" t="s">
        <v>34</v>
      </c>
      <c r="G372" s="308"/>
      <c r="H372" s="308" t="s">
        <v>1720</v>
      </c>
      <c r="I372" s="310">
        <v>39995.0</v>
      </c>
      <c r="J372" s="308">
        <f>IFERROR(__xludf.DUMMYFUNCTION("SPLIT(I372,""/"")"),1.0)</f>
        <v>1</v>
      </c>
      <c r="K372" s="308">
        <f>IFERROR(__xludf.DUMMYFUNCTION("""COMPUTED_VALUE"""),7.0)</f>
        <v>7</v>
      </c>
      <c r="L372" s="308">
        <f>IFERROR(__xludf.DUMMYFUNCTION("""COMPUTED_VALUE"""),2009.0)</f>
        <v>2009</v>
      </c>
      <c r="M372" s="308" t="s">
        <v>34833</v>
      </c>
      <c r="N372" s="308"/>
      <c r="O372" s="312" t="s">
        <v>34834</v>
      </c>
      <c r="P372" s="308" t="s">
        <v>1723</v>
      </c>
      <c r="Q372" s="308"/>
      <c r="R372" s="308"/>
      <c r="S372" s="308" t="s">
        <v>81</v>
      </c>
      <c r="T372" s="311" t="s">
        <v>98</v>
      </c>
      <c r="U372" s="308"/>
      <c r="V372" s="312"/>
    </row>
    <row r="373">
      <c r="A373" s="308">
        <v>372.0</v>
      </c>
      <c r="B373" s="308">
        <v>3580.0</v>
      </c>
      <c r="C373" s="308" t="s">
        <v>34835</v>
      </c>
      <c r="D373" s="308">
        <f>IFERROR(__xludf.DUMMYFUNCTION("SPLIT(C373,""-"")"),372.0)</f>
        <v>372</v>
      </c>
      <c r="E373" s="311"/>
      <c r="F373" s="317" t="s">
        <v>39</v>
      </c>
      <c r="G373" s="308"/>
      <c r="H373" s="308" t="s">
        <v>1724</v>
      </c>
      <c r="I373" s="310">
        <v>40644.0</v>
      </c>
      <c r="J373" s="308">
        <f>IFERROR(__xludf.DUMMYFUNCTION("SPLIT(I373,""/"")"),11.0)</f>
        <v>11</v>
      </c>
      <c r="K373" s="308">
        <f>IFERROR(__xludf.DUMMYFUNCTION("""COMPUTED_VALUE"""),4.0)</f>
        <v>4</v>
      </c>
      <c r="L373" s="308">
        <f>IFERROR(__xludf.DUMMYFUNCTION("""COMPUTED_VALUE"""),2011.0)</f>
        <v>2011</v>
      </c>
      <c r="M373" s="308" t="s">
        <v>1725</v>
      </c>
      <c r="N373" s="308"/>
      <c r="O373" s="308" t="s">
        <v>1726</v>
      </c>
      <c r="P373" s="308" t="s">
        <v>148</v>
      </c>
      <c r="Q373" s="308"/>
      <c r="R373" s="308"/>
      <c r="S373" s="308" t="s">
        <v>49</v>
      </c>
      <c r="T373" s="308" t="s">
        <v>51</v>
      </c>
      <c r="U373" s="308"/>
      <c r="V373" s="312"/>
    </row>
    <row r="374">
      <c r="A374" s="308">
        <v>373.0</v>
      </c>
      <c r="B374" s="308">
        <v>3581.0</v>
      </c>
      <c r="C374" s="308" t="s">
        <v>34836</v>
      </c>
      <c r="D374" s="308">
        <f>IFERROR(__xludf.DUMMYFUNCTION("SPLIT(C374,""-"")"),373.0)</f>
        <v>373</v>
      </c>
      <c r="E374" s="311"/>
      <c r="F374" s="317" t="s">
        <v>37</v>
      </c>
      <c r="G374" s="308"/>
      <c r="H374" s="308" t="s">
        <v>1727</v>
      </c>
      <c r="I374" s="310">
        <v>40710.0</v>
      </c>
      <c r="J374" s="308">
        <f>IFERROR(__xludf.DUMMYFUNCTION("SPLIT(I374,""/"")"),16.0)</f>
        <v>16</v>
      </c>
      <c r="K374" s="308">
        <f>IFERROR(__xludf.DUMMYFUNCTION("""COMPUTED_VALUE"""),6.0)</f>
        <v>6</v>
      </c>
      <c r="L374" s="308">
        <f>IFERROR(__xludf.DUMMYFUNCTION("""COMPUTED_VALUE"""),2011.0)</f>
        <v>2011</v>
      </c>
      <c r="M374" s="308" t="s">
        <v>1728</v>
      </c>
      <c r="N374" s="308"/>
      <c r="O374" s="312" t="s">
        <v>34837</v>
      </c>
      <c r="P374" s="308" t="s">
        <v>1730</v>
      </c>
      <c r="Q374" s="308"/>
      <c r="R374" s="308"/>
      <c r="S374" s="308" t="s">
        <v>81</v>
      </c>
      <c r="T374" s="311" t="s">
        <v>75</v>
      </c>
      <c r="U374" s="308"/>
      <c r="V374" s="312"/>
    </row>
    <row r="375">
      <c r="A375" s="308">
        <v>374.0</v>
      </c>
      <c r="B375" s="308">
        <v>3582.0</v>
      </c>
      <c r="C375" s="308" t="s">
        <v>34838</v>
      </c>
      <c r="D375" s="308">
        <f>IFERROR(__xludf.DUMMYFUNCTION("SPLIT(C375,""-"")"),374.0)</f>
        <v>374</v>
      </c>
      <c r="E375" s="311"/>
      <c r="F375" s="309" t="s">
        <v>34</v>
      </c>
      <c r="G375" s="308" t="s">
        <v>1731</v>
      </c>
      <c r="H375" s="308" t="s">
        <v>1732</v>
      </c>
      <c r="I375" s="310">
        <v>40045.0</v>
      </c>
      <c r="J375" s="308">
        <f>IFERROR(__xludf.DUMMYFUNCTION("SPLIT(I375,""/"")"),20.0)</f>
        <v>20</v>
      </c>
      <c r="K375" s="308">
        <f>IFERROR(__xludf.DUMMYFUNCTION("""COMPUTED_VALUE"""),8.0)</f>
        <v>8</v>
      </c>
      <c r="L375" s="308">
        <f>IFERROR(__xludf.DUMMYFUNCTION("""COMPUTED_VALUE"""),2009.0)</f>
        <v>2009</v>
      </c>
      <c r="M375" s="308" t="s">
        <v>1733</v>
      </c>
      <c r="N375" s="308"/>
      <c r="O375" s="308" t="s">
        <v>1734</v>
      </c>
      <c r="P375" s="308" t="s">
        <v>252</v>
      </c>
      <c r="Q375" s="308"/>
      <c r="R375" s="308"/>
      <c r="S375" s="308" t="s">
        <v>49</v>
      </c>
      <c r="T375" s="308" t="s">
        <v>51</v>
      </c>
      <c r="U375" s="312"/>
      <c r="V375" s="312"/>
    </row>
    <row r="376">
      <c r="A376" s="308">
        <v>375.0</v>
      </c>
      <c r="B376" s="308">
        <v>3583.0</v>
      </c>
      <c r="C376" s="308" t="s">
        <v>34839</v>
      </c>
      <c r="D376" s="308">
        <f>IFERROR(__xludf.DUMMYFUNCTION("SPLIT(C376,""-"")"),375.0)</f>
        <v>375</v>
      </c>
      <c r="E376" s="311"/>
      <c r="F376" s="309" t="s">
        <v>34</v>
      </c>
      <c r="G376" s="308"/>
      <c r="H376" s="308" t="s">
        <v>1735</v>
      </c>
      <c r="I376" s="310">
        <v>40410.0</v>
      </c>
      <c r="J376" s="308">
        <f>IFERROR(__xludf.DUMMYFUNCTION("SPLIT(I376,""/"")"),20.0)</f>
        <v>20</v>
      </c>
      <c r="K376" s="308">
        <f>IFERROR(__xludf.DUMMYFUNCTION("""COMPUTED_VALUE"""),8.0)</f>
        <v>8</v>
      </c>
      <c r="L376" s="308">
        <f>IFERROR(__xludf.DUMMYFUNCTION("""COMPUTED_VALUE"""),2010.0)</f>
        <v>2010</v>
      </c>
      <c r="M376" s="308" t="s">
        <v>1736</v>
      </c>
      <c r="N376" s="308"/>
      <c r="O376" s="308" t="s">
        <v>1734</v>
      </c>
      <c r="P376" s="308" t="s">
        <v>252</v>
      </c>
      <c r="Q376" s="308"/>
      <c r="R376" s="308"/>
      <c r="S376" s="308" t="s">
        <v>49</v>
      </c>
      <c r="T376" s="308" t="s">
        <v>51</v>
      </c>
      <c r="U376" s="308"/>
      <c r="V376" s="312"/>
    </row>
    <row r="377">
      <c r="A377" s="308">
        <v>376.0</v>
      </c>
      <c r="B377" s="308">
        <v>3584.0</v>
      </c>
      <c r="C377" s="308" t="s">
        <v>34840</v>
      </c>
      <c r="D377" s="308">
        <f>IFERROR(__xludf.DUMMYFUNCTION("SPLIT(C377,""-"")"),376.0)</f>
        <v>376</v>
      </c>
      <c r="E377" s="311"/>
      <c r="F377" s="309" t="s">
        <v>26</v>
      </c>
      <c r="G377" s="308"/>
      <c r="H377" s="308" t="s">
        <v>1737</v>
      </c>
      <c r="I377" s="310">
        <v>40714.0</v>
      </c>
      <c r="J377" s="308">
        <f>IFERROR(__xludf.DUMMYFUNCTION("SPLIT(I377,""/"")"),20.0)</f>
        <v>20</v>
      </c>
      <c r="K377" s="308">
        <f>IFERROR(__xludf.DUMMYFUNCTION("""COMPUTED_VALUE"""),6.0)</f>
        <v>6</v>
      </c>
      <c r="L377" s="308">
        <f>IFERROR(__xludf.DUMMYFUNCTION("""COMPUTED_VALUE"""),2011.0)</f>
        <v>2011</v>
      </c>
      <c r="M377" s="308" t="s">
        <v>34841</v>
      </c>
      <c r="N377" s="308"/>
      <c r="O377" s="308"/>
      <c r="P377" s="308" t="s">
        <v>252</v>
      </c>
      <c r="Q377" s="308"/>
      <c r="R377" s="308"/>
      <c r="S377" s="308" t="s">
        <v>49</v>
      </c>
      <c r="T377" s="308" t="s">
        <v>51</v>
      </c>
      <c r="U377" s="308"/>
      <c r="V377" s="312"/>
    </row>
    <row r="378">
      <c r="A378" s="308">
        <v>377.0</v>
      </c>
      <c r="B378" s="308">
        <v>3585.0</v>
      </c>
      <c r="C378" s="308" t="s">
        <v>34842</v>
      </c>
      <c r="D378" s="308">
        <f>IFERROR(__xludf.DUMMYFUNCTION("SPLIT(C378,""-"")"),377.0)</f>
        <v>377</v>
      </c>
      <c r="E378" s="311"/>
      <c r="F378" s="309" t="s">
        <v>26</v>
      </c>
      <c r="G378" s="308"/>
      <c r="H378" s="308" t="s">
        <v>1739</v>
      </c>
      <c r="I378" s="310">
        <v>40714.0</v>
      </c>
      <c r="J378" s="308">
        <f>IFERROR(__xludf.DUMMYFUNCTION("SPLIT(I378,""/"")"),20.0)</f>
        <v>20</v>
      </c>
      <c r="K378" s="308">
        <f>IFERROR(__xludf.DUMMYFUNCTION("""COMPUTED_VALUE"""),6.0)</f>
        <v>6</v>
      </c>
      <c r="L378" s="308">
        <f>IFERROR(__xludf.DUMMYFUNCTION("""COMPUTED_VALUE"""),2011.0)</f>
        <v>2011</v>
      </c>
      <c r="M378" s="308" t="s">
        <v>34841</v>
      </c>
      <c r="N378" s="308"/>
      <c r="O378" s="308"/>
      <c r="P378" s="308" t="s">
        <v>1740</v>
      </c>
      <c r="Q378" s="308"/>
      <c r="R378" s="308"/>
      <c r="S378" s="308" t="s">
        <v>81</v>
      </c>
      <c r="T378" s="308" t="s">
        <v>75</v>
      </c>
      <c r="U378" s="308"/>
      <c r="V378" s="312"/>
    </row>
    <row r="379">
      <c r="A379" s="308">
        <v>378.0</v>
      </c>
      <c r="B379" s="308">
        <v>3586.0</v>
      </c>
      <c r="C379" s="308" t="s">
        <v>1741</v>
      </c>
      <c r="D379" s="308">
        <f>IFERROR(__xludf.DUMMYFUNCTION("SPLIT(C379,""-"")"),378.0)</f>
        <v>378</v>
      </c>
      <c r="E379" s="308" t="str">
        <f>IFERROR(__xludf.DUMMYFUNCTION("""COMPUTED_VALUE"""),"S")</f>
        <v>S</v>
      </c>
      <c r="F379" s="312" t="s">
        <v>39</v>
      </c>
      <c r="G379" s="308" t="s">
        <v>1742</v>
      </c>
      <c r="H379" s="308" t="s">
        <v>1743</v>
      </c>
      <c r="I379" s="310">
        <v>40220.0</v>
      </c>
      <c r="J379" s="308">
        <f>IFERROR(__xludf.DUMMYFUNCTION("SPLIT(I379,""/"")"),11.0)</f>
        <v>11</v>
      </c>
      <c r="K379" s="308">
        <f>IFERROR(__xludf.DUMMYFUNCTION("""COMPUTED_VALUE"""),2.0)</f>
        <v>2</v>
      </c>
      <c r="L379" s="308">
        <f>IFERROR(__xludf.DUMMYFUNCTION("""COMPUTED_VALUE"""),2010.0)</f>
        <v>2010</v>
      </c>
      <c r="M379" s="308" t="s">
        <v>1744</v>
      </c>
      <c r="N379" s="308"/>
      <c r="O379" s="308"/>
      <c r="P379" s="308" t="s">
        <v>1745</v>
      </c>
      <c r="Q379" s="308"/>
      <c r="R379" s="308"/>
      <c r="S379" s="308" t="s">
        <v>49</v>
      </c>
      <c r="T379" s="308" t="s">
        <v>70</v>
      </c>
      <c r="U379" s="308"/>
      <c r="V379" s="312"/>
    </row>
    <row r="380">
      <c r="A380" s="308">
        <v>379.0</v>
      </c>
      <c r="B380" s="308">
        <v>3587.0</v>
      </c>
      <c r="C380" s="308" t="s">
        <v>34843</v>
      </c>
      <c r="D380" s="308">
        <f>IFERROR(__xludf.DUMMYFUNCTION("SPLIT(C380,""-"")"),379.0)</f>
        <v>379</v>
      </c>
      <c r="E380" s="311"/>
      <c r="F380" s="309" t="s">
        <v>31</v>
      </c>
      <c r="G380" s="308"/>
      <c r="H380" s="308" t="s">
        <v>1746</v>
      </c>
      <c r="I380" s="310">
        <v>40722.0</v>
      </c>
      <c r="J380" s="308">
        <f>IFERROR(__xludf.DUMMYFUNCTION("SPLIT(I380,""/"")"),28.0)</f>
        <v>28</v>
      </c>
      <c r="K380" s="308">
        <f>IFERROR(__xludf.DUMMYFUNCTION("""COMPUTED_VALUE"""),6.0)</f>
        <v>6</v>
      </c>
      <c r="L380" s="308">
        <f>IFERROR(__xludf.DUMMYFUNCTION("""COMPUTED_VALUE"""),2011.0)</f>
        <v>2011</v>
      </c>
      <c r="M380" s="308" t="s">
        <v>1747</v>
      </c>
      <c r="N380" s="308"/>
      <c r="O380" s="308"/>
      <c r="P380" s="308" t="s">
        <v>1748</v>
      </c>
      <c r="Q380" s="308"/>
      <c r="R380" s="308"/>
      <c r="S380" s="308" t="s">
        <v>81</v>
      </c>
      <c r="T380" s="308" t="s">
        <v>75</v>
      </c>
      <c r="U380" s="308"/>
      <c r="V380" s="312"/>
    </row>
    <row r="381">
      <c r="A381" s="308">
        <v>380.0</v>
      </c>
      <c r="B381" s="308">
        <v>3588.0</v>
      </c>
      <c r="C381" s="308" t="s">
        <v>34844</v>
      </c>
      <c r="D381" s="308">
        <f>IFERROR(__xludf.DUMMYFUNCTION("SPLIT(C381,""-"")"),380.0)</f>
        <v>380</v>
      </c>
      <c r="E381" s="311"/>
      <c r="F381" s="317" t="s">
        <v>37</v>
      </c>
      <c r="G381" s="308"/>
      <c r="H381" s="308" t="s">
        <v>1749</v>
      </c>
      <c r="I381" s="310">
        <v>40087.0</v>
      </c>
      <c r="J381" s="308">
        <f>IFERROR(__xludf.DUMMYFUNCTION("SPLIT(I381,""/"")"),1.0)</f>
        <v>1</v>
      </c>
      <c r="K381" s="308">
        <f>IFERROR(__xludf.DUMMYFUNCTION("""COMPUTED_VALUE"""),10.0)</f>
        <v>10</v>
      </c>
      <c r="L381" s="308">
        <f>IFERROR(__xludf.DUMMYFUNCTION("""COMPUTED_VALUE"""),2009.0)</f>
        <v>2009</v>
      </c>
      <c r="M381" s="308" t="s">
        <v>34845</v>
      </c>
      <c r="N381" s="308"/>
      <c r="O381" s="308"/>
      <c r="P381" s="308" t="s">
        <v>34846</v>
      </c>
      <c r="Q381" s="308"/>
      <c r="R381" s="308"/>
      <c r="S381" s="308" t="s">
        <v>81</v>
      </c>
      <c r="T381" s="308" t="s">
        <v>75</v>
      </c>
      <c r="U381" s="308"/>
      <c r="V381" s="312"/>
    </row>
    <row r="382">
      <c r="A382" s="308">
        <v>381.0</v>
      </c>
      <c r="B382" s="308">
        <v>3589.0</v>
      </c>
      <c r="C382" s="308" t="s">
        <v>34847</v>
      </c>
      <c r="D382" s="308">
        <f>IFERROR(__xludf.DUMMYFUNCTION("SPLIT(C382,""-"")"),381.0)</f>
        <v>381</v>
      </c>
      <c r="E382" s="311"/>
      <c r="F382" s="309" t="s">
        <v>34</v>
      </c>
      <c r="G382" s="308" t="s">
        <v>1752</v>
      </c>
      <c r="H382" s="308" t="s">
        <v>1753</v>
      </c>
      <c r="I382" s="310">
        <v>40457.0</v>
      </c>
      <c r="J382" s="308">
        <f>IFERROR(__xludf.DUMMYFUNCTION("SPLIT(I382,""/"")"),6.0)</f>
        <v>6</v>
      </c>
      <c r="K382" s="308">
        <f>IFERROR(__xludf.DUMMYFUNCTION("""COMPUTED_VALUE"""),10.0)</f>
        <v>10</v>
      </c>
      <c r="L382" s="308">
        <f>IFERROR(__xludf.DUMMYFUNCTION("""COMPUTED_VALUE"""),2010.0)</f>
        <v>2010</v>
      </c>
      <c r="M382" s="308" t="s">
        <v>1754</v>
      </c>
      <c r="N382" s="308"/>
      <c r="O382" s="308"/>
      <c r="P382" s="308" t="s">
        <v>34848</v>
      </c>
      <c r="Q382" s="308"/>
      <c r="R382" s="308"/>
      <c r="S382" s="308" t="s">
        <v>81</v>
      </c>
      <c r="T382" s="311" t="s">
        <v>75</v>
      </c>
      <c r="U382" s="308"/>
      <c r="V382" s="312"/>
    </row>
    <row r="383">
      <c r="A383" s="308">
        <v>382.0</v>
      </c>
      <c r="B383" s="308">
        <v>3590.0</v>
      </c>
      <c r="C383" s="308" t="s">
        <v>34849</v>
      </c>
      <c r="D383" s="308">
        <f>IFERROR(__xludf.DUMMYFUNCTION("SPLIT(C383,""-"")"),382.0)</f>
        <v>382</v>
      </c>
      <c r="E383" s="311"/>
      <c r="F383" s="309" t="s">
        <v>31</v>
      </c>
      <c r="G383" s="308"/>
      <c r="H383" s="308" t="s">
        <v>1756</v>
      </c>
      <c r="I383" s="310">
        <v>38169.0</v>
      </c>
      <c r="J383" s="308">
        <f>IFERROR(__xludf.DUMMYFUNCTION("SPLIT(I383,""/"")"),1.0)</f>
        <v>1</v>
      </c>
      <c r="K383" s="308">
        <f>IFERROR(__xludf.DUMMYFUNCTION("""COMPUTED_VALUE"""),7.0)</f>
        <v>7</v>
      </c>
      <c r="L383" s="308">
        <f>IFERROR(__xludf.DUMMYFUNCTION("""COMPUTED_VALUE"""),2004.0)</f>
        <v>2004</v>
      </c>
      <c r="M383" s="308" t="s">
        <v>1757</v>
      </c>
      <c r="N383" s="308"/>
      <c r="O383" s="308" t="s">
        <v>1758</v>
      </c>
      <c r="P383" s="308" t="s">
        <v>148</v>
      </c>
      <c r="Q383" s="308"/>
      <c r="R383" s="308"/>
      <c r="S383" s="308" t="s">
        <v>49</v>
      </c>
      <c r="T383" s="308" t="s">
        <v>51</v>
      </c>
      <c r="U383" s="308"/>
      <c r="V383" s="312"/>
    </row>
    <row r="384">
      <c r="A384" s="308">
        <v>383.0</v>
      </c>
      <c r="B384" s="308">
        <v>3591.0</v>
      </c>
      <c r="C384" s="308" t="s">
        <v>34850</v>
      </c>
      <c r="D384" s="308">
        <f>IFERROR(__xludf.DUMMYFUNCTION("SPLIT(C384,""-"")"),383.0)</f>
        <v>383</v>
      </c>
      <c r="E384" s="311"/>
      <c r="F384" s="309" t="s">
        <v>34</v>
      </c>
      <c r="G384" s="308"/>
      <c r="H384" s="308" t="s">
        <v>1759</v>
      </c>
      <c r="I384" s="310">
        <v>40155.0</v>
      </c>
      <c r="J384" s="308">
        <f>IFERROR(__xludf.DUMMYFUNCTION("SPLIT(I384,""/"")"),8.0)</f>
        <v>8</v>
      </c>
      <c r="K384" s="308">
        <f>IFERROR(__xludf.DUMMYFUNCTION("""COMPUTED_VALUE"""),12.0)</f>
        <v>12</v>
      </c>
      <c r="L384" s="308">
        <f>IFERROR(__xludf.DUMMYFUNCTION("""COMPUTED_VALUE"""),2009.0)</f>
        <v>2009</v>
      </c>
      <c r="M384" s="308" t="s">
        <v>1760</v>
      </c>
      <c r="N384" s="308"/>
      <c r="O384" s="312" t="s">
        <v>34851</v>
      </c>
      <c r="P384" s="308" t="s">
        <v>1762</v>
      </c>
      <c r="Q384" s="308"/>
      <c r="R384" s="308"/>
      <c r="S384" s="315" t="s">
        <v>100</v>
      </c>
      <c r="T384" s="311" t="s">
        <v>34208</v>
      </c>
      <c r="U384" s="308" t="s">
        <v>137</v>
      </c>
      <c r="V384" s="312"/>
    </row>
    <row r="385">
      <c r="A385" s="308">
        <v>384.0</v>
      </c>
      <c r="B385" s="308">
        <v>3592.0</v>
      </c>
      <c r="C385" s="308" t="s">
        <v>34852</v>
      </c>
      <c r="D385" s="308">
        <f>IFERROR(__xludf.DUMMYFUNCTION("SPLIT(C385,""-"")"),384.0)</f>
        <v>384</v>
      </c>
      <c r="E385" s="311"/>
      <c r="F385" s="309" t="s">
        <v>34</v>
      </c>
      <c r="G385" s="308"/>
      <c r="H385" s="308" t="s">
        <v>1763</v>
      </c>
      <c r="I385" s="310">
        <v>40155.0</v>
      </c>
      <c r="J385" s="308">
        <f>IFERROR(__xludf.DUMMYFUNCTION("SPLIT(I385,""/"")"),8.0)</f>
        <v>8</v>
      </c>
      <c r="K385" s="308">
        <f>IFERROR(__xludf.DUMMYFUNCTION("""COMPUTED_VALUE"""),12.0)</f>
        <v>12</v>
      </c>
      <c r="L385" s="308">
        <f>IFERROR(__xludf.DUMMYFUNCTION("""COMPUTED_VALUE"""),2009.0)</f>
        <v>2009</v>
      </c>
      <c r="M385" s="308" t="s">
        <v>1760</v>
      </c>
      <c r="N385" s="308"/>
      <c r="O385" s="312" t="s">
        <v>34851</v>
      </c>
      <c r="P385" s="308" t="s">
        <v>252</v>
      </c>
      <c r="Q385" s="308"/>
      <c r="R385" s="308"/>
      <c r="S385" s="308" t="s">
        <v>49</v>
      </c>
      <c r="T385" s="308" t="s">
        <v>51</v>
      </c>
      <c r="U385" s="308"/>
      <c r="V385" s="312"/>
    </row>
    <row r="386">
      <c r="A386" s="308">
        <v>385.0</v>
      </c>
      <c r="B386" s="308">
        <v>3593.0</v>
      </c>
      <c r="C386" s="308" t="s">
        <v>34853</v>
      </c>
      <c r="D386" s="308">
        <f>IFERROR(__xludf.DUMMYFUNCTION("SPLIT(C386,""-"")"),385.0)</f>
        <v>385</v>
      </c>
      <c r="E386" s="311"/>
      <c r="F386" s="309" t="s">
        <v>34</v>
      </c>
      <c r="G386" s="308"/>
      <c r="H386" s="308" t="s">
        <v>1764</v>
      </c>
      <c r="I386" s="310">
        <v>39992.0</v>
      </c>
      <c r="J386" s="308">
        <f>IFERROR(__xludf.DUMMYFUNCTION("SPLIT(I386,""/"")"),28.0)</f>
        <v>28</v>
      </c>
      <c r="K386" s="308">
        <f>IFERROR(__xludf.DUMMYFUNCTION("""COMPUTED_VALUE"""),6.0)</f>
        <v>6</v>
      </c>
      <c r="L386" s="308">
        <f>IFERROR(__xludf.DUMMYFUNCTION("""COMPUTED_VALUE"""),2009.0)</f>
        <v>2009</v>
      </c>
      <c r="M386" s="308" t="s">
        <v>1765</v>
      </c>
      <c r="N386" s="308"/>
      <c r="O386" s="312" t="s">
        <v>34854</v>
      </c>
      <c r="P386" s="308" t="s">
        <v>1767</v>
      </c>
      <c r="Q386" s="308"/>
      <c r="R386" s="308"/>
      <c r="S386" s="308" t="s">
        <v>81</v>
      </c>
      <c r="T386" s="308" t="s">
        <v>34264</v>
      </c>
      <c r="U386" s="308"/>
      <c r="V386" s="312"/>
    </row>
    <row r="387">
      <c r="A387" s="308">
        <v>386.0</v>
      </c>
      <c r="B387" s="308">
        <v>3594.0</v>
      </c>
      <c r="C387" s="308" t="s">
        <v>34855</v>
      </c>
      <c r="D387" s="308">
        <f>IFERROR(__xludf.DUMMYFUNCTION("SPLIT(C387,""-"")"),386.0)</f>
        <v>386</v>
      </c>
      <c r="E387" s="311"/>
      <c r="F387" s="317" t="s">
        <v>37</v>
      </c>
      <c r="G387" s="308"/>
      <c r="H387" s="308" t="s">
        <v>1768</v>
      </c>
      <c r="I387" s="310">
        <v>40728.0</v>
      </c>
      <c r="J387" s="308">
        <f>IFERROR(__xludf.DUMMYFUNCTION("SPLIT(I387,""/"")"),4.0)</f>
        <v>4</v>
      </c>
      <c r="K387" s="308">
        <f>IFERROR(__xludf.DUMMYFUNCTION("""COMPUTED_VALUE"""),7.0)</f>
        <v>7</v>
      </c>
      <c r="L387" s="308">
        <f>IFERROR(__xludf.DUMMYFUNCTION("""COMPUTED_VALUE"""),2011.0)</f>
        <v>2011</v>
      </c>
      <c r="M387" s="308" t="s">
        <v>1769</v>
      </c>
      <c r="N387" s="308"/>
      <c r="O387" s="308"/>
      <c r="P387" s="308" t="s">
        <v>1481</v>
      </c>
      <c r="Q387" s="308"/>
      <c r="R387" s="308"/>
      <c r="S387" s="308" t="s">
        <v>81</v>
      </c>
      <c r="T387" s="308" t="s">
        <v>34201</v>
      </c>
      <c r="U387" s="308"/>
      <c r="V387" s="312"/>
    </row>
    <row r="388">
      <c r="A388" s="308">
        <v>387.0</v>
      </c>
      <c r="B388" s="308">
        <v>3595.0</v>
      </c>
      <c r="C388" s="308" t="s">
        <v>34856</v>
      </c>
      <c r="D388" s="308">
        <f>IFERROR(__xludf.DUMMYFUNCTION("SPLIT(C388,""-"")"),387.0)</f>
        <v>387</v>
      </c>
      <c r="E388" s="311"/>
      <c r="F388" s="309" t="s">
        <v>34</v>
      </c>
      <c r="G388" s="308" t="s">
        <v>1770</v>
      </c>
      <c r="H388" s="308" t="s">
        <v>1771</v>
      </c>
      <c r="I388" s="314">
        <v>40098.0</v>
      </c>
      <c r="J388" s="308">
        <f>IFERROR(__xludf.DUMMYFUNCTION("SPLIT(I388,""/"")"),12.0)</f>
        <v>12</v>
      </c>
      <c r="K388" s="308">
        <f>IFERROR(__xludf.DUMMYFUNCTION("""COMPUTED_VALUE"""),10.0)</f>
        <v>10</v>
      </c>
      <c r="L388" s="308">
        <f>IFERROR(__xludf.DUMMYFUNCTION("""COMPUTED_VALUE"""),2009.0)</f>
        <v>2009</v>
      </c>
      <c r="M388" s="308" t="s">
        <v>1772</v>
      </c>
      <c r="N388" s="308"/>
      <c r="O388" s="308"/>
      <c r="P388" s="308" t="s">
        <v>1773</v>
      </c>
      <c r="Q388" s="308"/>
      <c r="R388" s="308"/>
      <c r="S388" s="308" t="s">
        <v>81</v>
      </c>
      <c r="T388" s="308" t="s">
        <v>75</v>
      </c>
      <c r="U388" s="308"/>
      <c r="V388" s="312"/>
    </row>
    <row r="389">
      <c r="A389" s="308">
        <v>388.0</v>
      </c>
      <c r="B389" s="308">
        <v>3596.0</v>
      </c>
      <c r="C389" s="308" t="s">
        <v>34857</v>
      </c>
      <c r="D389" s="308">
        <f>IFERROR(__xludf.DUMMYFUNCTION("SPLIT(C389,""-"")"),388.0)</f>
        <v>388</v>
      </c>
      <c r="E389" s="311"/>
      <c r="F389" s="309" t="s">
        <v>31</v>
      </c>
      <c r="G389" s="308"/>
      <c r="H389" s="308" t="s">
        <v>1774</v>
      </c>
      <c r="I389" s="310">
        <v>40745.0</v>
      </c>
      <c r="J389" s="308">
        <f>IFERROR(__xludf.DUMMYFUNCTION("SPLIT(I389,""/"")"),21.0)</f>
        <v>21</v>
      </c>
      <c r="K389" s="308">
        <f>IFERROR(__xludf.DUMMYFUNCTION("""COMPUTED_VALUE"""),7.0)</f>
        <v>7</v>
      </c>
      <c r="L389" s="308">
        <f>IFERROR(__xludf.DUMMYFUNCTION("""COMPUTED_VALUE"""),2011.0)</f>
        <v>2011</v>
      </c>
      <c r="M389" s="308" t="s">
        <v>1775</v>
      </c>
      <c r="N389" s="308"/>
      <c r="O389" s="308" t="s">
        <v>1776</v>
      </c>
      <c r="P389" s="308" t="s">
        <v>1777</v>
      </c>
      <c r="Q389" s="308"/>
      <c r="R389" s="308"/>
      <c r="S389" s="308" t="s">
        <v>81</v>
      </c>
      <c r="T389" s="308" t="s">
        <v>75</v>
      </c>
      <c r="U389" s="308"/>
      <c r="V389" s="312"/>
    </row>
    <row r="390">
      <c r="A390" s="308">
        <v>389.0</v>
      </c>
      <c r="B390" s="308">
        <v>3597.0</v>
      </c>
      <c r="C390" s="308" t="s">
        <v>34858</v>
      </c>
      <c r="D390" s="308">
        <f>IFERROR(__xludf.DUMMYFUNCTION("SPLIT(C390,""-"")"),389.0)</f>
        <v>389</v>
      </c>
      <c r="E390" s="311"/>
      <c r="F390" s="317" t="s">
        <v>37</v>
      </c>
      <c r="G390" s="308"/>
      <c r="H390" s="308" t="s">
        <v>1778</v>
      </c>
      <c r="I390" s="310">
        <v>40751.0</v>
      </c>
      <c r="J390" s="308">
        <f>IFERROR(__xludf.DUMMYFUNCTION("SPLIT(I390,""/"")"),27.0)</f>
        <v>27</v>
      </c>
      <c r="K390" s="308">
        <f>IFERROR(__xludf.DUMMYFUNCTION("""COMPUTED_VALUE"""),7.0)</f>
        <v>7</v>
      </c>
      <c r="L390" s="308">
        <f>IFERROR(__xludf.DUMMYFUNCTION("""COMPUTED_VALUE"""),2011.0)</f>
        <v>2011</v>
      </c>
      <c r="M390" s="308" t="s">
        <v>1779</v>
      </c>
      <c r="N390" s="308"/>
      <c r="O390" s="308" t="s">
        <v>1780</v>
      </c>
      <c r="P390" s="308" t="s">
        <v>34859</v>
      </c>
      <c r="Q390" s="308"/>
      <c r="R390" s="308"/>
      <c r="S390" s="308" t="s">
        <v>81</v>
      </c>
      <c r="T390" s="308" t="s">
        <v>75</v>
      </c>
      <c r="U390" s="308"/>
      <c r="V390" s="312"/>
    </row>
    <row r="391">
      <c r="A391" s="308">
        <v>390.0</v>
      </c>
      <c r="B391" s="308">
        <v>3598.0</v>
      </c>
      <c r="C391" s="308" t="s">
        <v>34860</v>
      </c>
      <c r="D391" s="308">
        <f>IFERROR(__xludf.DUMMYFUNCTION("SPLIT(C391,""-"")"),390.0)</f>
        <v>390</v>
      </c>
      <c r="E391" s="311"/>
      <c r="F391" s="309" t="s">
        <v>31</v>
      </c>
      <c r="G391" s="308"/>
      <c r="H391" s="308" t="s">
        <v>1782</v>
      </c>
      <c r="I391" s="310">
        <v>40737.0</v>
      </c>
      <c r="J391" s="308">
        <f>IFERROR(__xludf.DUMMYFUNCTION("SPLIT(I391,""/"")"),13.0)</f>
        <v>13</v>
      </c>
      <c r="K391" s="308">
        <f>IFERROR(__xludf.DUMMYFUNCTION("""COMPUTED_VALUE"""),7.0)</f>
        <v>7</v>
      </c>
      <c r="L391" s="308">
        <f>IFERROR(__xludf.DUMMYFUNCTION("""COMPUTED_VALUE"""),2011.0)</f>
        <v>2011</v>
      </c>
      <c r="M391" s="308" t="s">
        <v>34861</v>
      </c>
      <c r="N391" s="308"/>
      <c r="O391" s="308" t="s">
        <v>1784</v>
      </c>
      <c r="P391" s="308" t="s">
        <v>1785</v>
      </c>
      <c r="Q391" s="308"/>
      <c r="R391" s="308"/>
      <c r="S391" s="308" t="s">
        <v>81</v>
      </c>
      <c r="T391" s="311" t="s">
        <v>75</v>
      </c>
      <c r="U391" s="308"/>
      <c r="V391" s="312"/>
    </row>
    <row r="392">
      <c r="A392" s="308">
        <v>391.0</v>
      </c>
      <c r="B392" s="308">
        <v>3599.0</v>
      </c>
      <c r="C392" s="308" t="s">
        <v>34862</v>
      </c>
      <c r="D392" s="308">
        <f>IFERROR(__xludf.DUMMYFUNCTION("SPLIT(C392,""-"")"),391.0)</f>
        <v>391</v>
      </c>
      <c r="E392" s="311"/>
      <c r="F392" s="309" t="s">
        <v>31</v>
      </c>
      <c r="G392" s="308"/>
      <c r="H392" s="308" t="s">
        <v>1786</v>
      </c>
      <c r="I392" s="310">
        <v>40736.0</v>
      </c>
      <c r="J392" s="308">
        <f>IFERROR(__xludf.DUMMYFUNCTION("SPLIT(I392,""/"")"),12.0)</f>
        <v>12</v>
      </c>
      <c r="K392" s="308">
        <f>IFERROR(__xludf.DUMMYFUNCTION("""COMPUTED_VALUE"""),7.0)</f>
        <v>7</v>
      </c>
      <c r="L392" s="308">
        <f>IFERROR(__xludf.DUMMYFUNCTION("""COMPUTED_VALUE"""),2011.0)</f>
        <v>2011</v>
      </c>
      <c r="M392" s="308" t="s">
        <v>1787</v>
      </c>
      <c r="N392" s="308"/>
      <c r="O392" s="312" t="s">
        <v>34863</v>
      </c>
      <c r="P392" s="308" t="s">
        <v>1789</v>
      </c>
      <c r="Q392" s="308"/>
      <c r="R392" s="308"/>
      <c r="S392" s="308" t="s">
        <v>81</v>
      </c>
      <c r="T392" s="311" t="s">
        <v>75</v>
      </c>
      <c r="U392" s="308"/>
      <c r="V392" s="312"/>
    </row>
    <row r="393">
      <c r="A393" s="308">
        <v>392.0</v>
      </c>
      <c r="B393" s="308">
        <v>3600.0</v>
      </c>
      <c r="C393" s="308" t="s">
        <v>1790</v>
      </c>
      <c r="D393" s="308">
        <f>IFERROR(__xludf.DUMMYFUNCTION("SPLIT(C393,""-"")"),392.0)</f>
        <v>392</v>
      </c>
      <c r="E393" s="308" t="str">
        <f>IFERROR(__xludf.DUMMYFUNCTION("""COMPUTED_VALUE"""),"K")</f>
        <v>K</v>
      </c>
      <c r="F393" s="309" t="s">
        <v>34</v>
      </c>
      <c r="G393" s="308"/>
      <c r="H393" s="308" t="s">
        <v>1791</v>
      </c>
      <c r="I393" s="310">
        <v>40318.0</v>
      </c>
      <c r="J393" s="308">
        <f>IFERROR(__xludf.DUMMYFUNCTION("SPLIT(I393,""/"")"),20.0)</f>
        <v>20</v>
      </c>
      <c r="K393" s="308">
        <f>IFERROR(__xludf.DUMMYFUNCTION("""COMPUTED_VALUE"""),5.0)</f>
        <v>5</v>
      </c>
      <c r="L393" s="308">
        <f>IFERROR(__xludf.DUMMYFUNCTION("""COMPUTED_VALUE"""),2010.0)</f>
        <v>2010</v>
      </c>
      <c r="M393" s="308" t="s">
        <v>1792</v>
      </c>
      <c r="N393" s="308"/>
      <c r="O393" s="308" t="s">
        <v>1793</v>
      </c>
      <c r="P393" s="308" t="s">
        <v>1605</v>
      </c>
      <c r="Q393" s="308"/>
      <c r="R393" s="308"/>
      <c r="S393" s="315" t="s">
        <v>100</v>
      </c>
      <c r="T393" s="311" t="s">
        <v>34208</v>
      </c>
      <c r="U393" s="308" t="s">
        <v>125</v>
      </c>
      <c r="V393" s="312"/>
    </row>
    <row r="394">
      <c r="A394" s="308">
        <v>393.0</v>
      </c>
      <c r="B394" s="308">
        <v>3601.0</v>
      </c>
      <c r="C394" s="308" t="s">
        <v>34864</v>
      </c>
      <c r="D394" s="308">
        <f>IFERROR(__xludf.DUMMYFUNCTION("SPLIT(C394,""-"")"),393.0)</f>
        <v>393</v>
      </c>
      <c r="E394" s="311"/>
      <c r="F394" s="309" t="s">
        <v>34</v>
      </c>
      <c r="G394" s="308"/>
      <c r="H394" s="308" t="s">
        <v>1794</v>
      </c>
      <c r="I394" s="310">
        <v>39945.0</v>
      </c>
      <c r="J394" s="308">
        <f>IFERROR(__xludf.DUMMYFUNCTION("SPLIT(I394,""/"")"),12.0)</f>
        <v>12</v>
      </c>
      <c r="K394" s="308">
        <f>IFERROR(__xludf.DUMMYFUNCTION("""COMPUTED_VALUE"""),5.0)</f>
        <v>5</v>
      </c>
      <c r="L394" s="308">
        <f>IFERROR(__xludf.DUMMYFUNCTION("""COMPUTED_VALUE"""),2009.0)</f>
        <v>2009</v>
      </c>
      <c r="M394" s="308" t="s">
        <v>1795</v>
      </c>
      <c r="N394" s="308"/>
      <c r="O394" s="308" t="s">
        <v>1796</v>
      </c>
      <c r="P394" s="308" t="s">
        <v>1797</v>
      </c>
      <c r="Q394" s="308"/>
      <c r="R394" s="308"/>
      <c r="S394" s="308" t="s">
        <v>81</v>
      </c>
      <c r="T394" s="308" t="s">
        <v>34264</v>
      </c>
      <c r="U394" s="308"/>
      <c r="V394" s="312"/>
    </row>
    <row r="395">
      <c r="A395" s="308">
        <v>394.0</v>
      </c>
      <c r="B395" s="308">
        <v>3602.0</v>
      </c>
      <c r="C395" s="308" t="s">
        <v>34865</v>
      </c>
      <c r="D395" s="308">
        <f>IFERROR(__xludf.DUMMYFUNCTION("SPLIT(C395,""-"")"),394.0)</f>
        <v>394</v>
      </c>
      <c r="E395" s="311"/>
      <c r="F395" s="309" t="s">
        <v>31</v>
      </c>
      <c r="G395" s="308" t="s">
        <v>1798</v>
      </c>
      <c r="H395" s="308" t="s">
        <v>1799</v>
      </c>
      <c r="I395" s="310">
        <v>40738.0</v>
      </c>
      <c r="J395" s="308">
        <f>IFERROR(__xludf.DUMMYFUNCTION("SPLIT(I395,""/"")"),14.0)</f>
        <v>14</v>
      </c>
      <c r="K395" s="308">
        <f>IFERROR(__xludf.DUMMYFUNCTION("""COMPUTED_VALUE"""),7.0)</f>
        <v>7</v>
      </c>
      <c r="L395" s="308">
        <f>IFERROR(__xludf.DUMMYFUNCTION("""COMPUTED_VALUE"""),2011.0)</f>
        <v>2011</v>
      </c>
      <c r="M395" s="308" t="s">
        <v>1800</v>
      </c>
      <c r="N395" s="308"/>
      <c r="O395" s="308" t="s">
        <v>1801</v>
      </c>
      <c r="P395" s="308" t="s">
        <v>136</v>
      </c>
      <c r="Q395" s="308"/>
      <c r="R395" s="308"/>
      <c r="S395" s="315" t="s">
        <v>100</v>
      </c>
      <c r="T395" s="308" t="s">
        <v>34208</v>
      </c>
      <c r="U395" s="308"/>
      <c r="V395" s="312"/>
    </row>
    <row r="396">
      <c r="A396" s="308">
        <v>395.0</v>
      </c>
      <c r="B396" s="308">
        <v>3603.0</v>
      </c>
      <c r="C396" s="308" t="s">
        <v>34866</v>
      </c>
      <c r="D396" s="308">
        <f>IFERROR(__xludf.DUMMYFUNCTION("SPLIT(C396,""-"")"),395.0)</f>
        <v>395</v>
      </c>
      <c r="E396" s="311"/>
      <c r="F396" s="309" t="s">
        <v>34</v>
      </c>
      <c r="G396" s="308"/>
      <c r="H396" s="308" t="s">
        <v>1802</v>
      </c>
      <c r="I396" s="310">
        <v>40458.0</v>
      </c>
      <c r="J396" s="308">
        <f>IFERROR(__xludf.DUMMYFUNCTION("SPLIT(I396,""/"")"),7.0)</f>
        <v>7</v>
      </c>
      <c r="K396" s="308">
        <f>IFERROR(__xludf.DUMMYFUNCTION("""COMPUTED_VALUE"""),10.0)</f>
        <v>10</v>
      </c>
      <c r="L396" s="308">
        <f>IFERROR(__xludf.DUMMYFUNCTION("""COMPUTED_VALUE"""),2010.0)</f>
        <v>2010</v>
      </c>
      <c r="M396" s="308" t="s">
        <v>1803</v>
      </c>
      <c r="N396" s="308"/>
      <c r="O396" s="312" t="s">
        <v>34867</v>
      </c>
      <c r="P396" s="308" t="s">
        <v>1805</v>
      </c>
      <c r="Q396" s="308"/>
      <c r="R396" s="308"/>
      <c r="S396" s="308" t="s">
        <v>81</v>
      </c>
      <c r="T396" s="308" t="s">
        <v>75</v>
      </c>
      <c r="U396" s="308"/>
      <c r="V396" s="312"/>
    </row>
    <row r="397">
      <c r="A397" s="308">
        <v>396.0</v>
      </c>
      <c r="B397" s="308">
        <v>3604.0</v>
      </c>
      <c r="C397" s="308" t="s">
        <v>34868</v>
      </c>
      <c r="D397" s="308">
        <f>IFERROR(__xludf.DUMMYFUNCTION("SPLIT(C397,""-"")"),396.0)</f>
        <v>396</v>
      </c>
      <c r="E397" s="311"/>
      <c r="F397" s="309" t="s">
        <v>23</v>
      </c>
      <c r="G397" s="308"/>
      <c r="H397" s="308" t="s">
        <v>1806</v>
      </c>
      <c r="I397" s="310">
        <v>40090.0</v>
      </c>
      <c r="J397" s="308">
        <f>IFERROR(__xludf.DUMMYFUNCTION("SPLIT(I397,""/"")"),4.0)</f>
        <v>4</v>
      </c>
      <c r="K397" s="308">
        <f>IFERROR(__xludf.DUMMYFUNCTION("""COMPUTED_VALUE"""),10.0)</f>
        <v>10</v>
      </c>
      <c r="L397" s="308">
        <f>IFERROR(__xludf.DUMMYFUNCTION("""COMPUTED_VALUE"""),2009.0)</f>
        <v>2009</v>
      </c>
      <c r="M397" s="308" t="s">
        <v>1807</v>
      </c>
      <c r="N397" s="308"/>
      <c r="O397" s="312" t="s">
        <v>34869</v>
      </c>
      <c r="P397" s="308" t="s">
        <v>252</v>
      </c>
      <c r="Q397" s="308"/>
      <c r="R397" s="308"/>
      <c r="S397" s="308" t="s">
        <v>49</v>
      </c>
      <c r="T397" s="308" t="s">
        <v>51</v>
      </c>
      <c r="U397" s="308"/>
      <c r="V397" s="312"/>
    </row>
    <row r="398">
      <c r="A398" s="308">
        <v>397.0</v>
      </c>
      <c r="B398" s="308">
        <v>3605.0</v>
      </c>
      <c r="C398" s="308" t="s">
        <v>34870</v>
      </c>
      <c r="D398" s="308">
        <f>IFERROR(__xludf.DUMMYFUNCTION("SPLIT(C398,""-"")"),397.0)</f>
        <v>397</v>
      </c>
      <c r="E398" s="311"/>
      <c r="F398" s="309" t="s">
        <v>31</v>
      </c>
      <c r="G398" s="308"/>
      <c r="H398" s="308" t="s">
        <v>1809</v>
      </c>
      <c r="I398" s="310">
        <v>35186.0</v>
      </c>
      <c r="J398" s="308">
        <f>IFERROR(__xludf.DUMMYFUNCTION("SPLIT(I398,""/"")"),1.0)</f>
        <v>1</v>
      </c>
      <c r="K398" s="308">
        <f>IFERROR(__xludf.DUMMYFUNCTION("""COMPUTED_VALUE"""),5.0)</f>
        <v>5</v>
      </c>
      <c r="L398" s="308">
        <f>IFERROR(__xludf.DUMMYFUNCTION("""COMPUTED_VALUE"""),1996.0)</f>
        <v>1996</v>
      </c>
      <c r="M398" s="308" t="s">
        <v>1810</v>
      </c>
      <c r="N398" s="308"/>
      <c r="O398" s="308" t="s">
        <v>1811</v>
      </c>
      <c r="P398" s="308" t="s">
        <v>148</v>
      </c>
      <c r="Q398" s="308"/>
      <c r="R398" s="308"/>
      <c r="S398" s="308" t="s">
        <v>49</v>
      </c>
      <c r="T398" s="308" t="s">
        <v>51</v>
      </c>
      <c r="U398" s="308"/>
      <c r="V398" s="312"/>
    </row>
    <row r="399">
      <c r="A399" s="308">
        <v>398.0</v>
      </c>
      <c r="B399" s="308">
        <v>3606.0</v>
      </c>
      <c r="C399" s="308" t="s">
        <v>34871</v>
      </c>
      <c r="D399" s="308">
        <f>IFERROR(__xludf.DUMMYFUNCTION("SPLIT(C399,""-"")"),398.0)</f>
        <v>398</v>
      </c>
      <c r="E399" s="311"/>
      <c r="F399" s="309" t="s">
        <v>31</v>
      </c>
      <c r="G399" s="308"/>
      <c r="H399" s="308" t="s">
        <v>1812</v>
      </c>
      <c r="I399" s="310">
        <v>35186.0</v>
      </c>
      <c r="J399" s="308">
        <f>IFERROR(__xludf.DUMMYFUNCTION("SPLIT(I399,""/"")"),1.0)</f>
        <v>1</v>
      </c>
      <c r="K399" s="308">
        <f>IFERROR(__xludf.DUMMYFUNCTION("""COMPUTED_VALUE"""),5.0)</f>
        <v>5</v>
      </c>
      <c r="L399" s="308">
        <f>IFERROR(__xludf.DUMMYFUNCTION("""COMPUTED_VALUE"""),1996.0)</f>
        <v>1996</v>
      </c>
      <c r="M399" s="308" t="s">
        <v>1810</v>
      </c>
      <c r="N399" s="308"/>
      <c r="O399" s="308" t="s">
        <v>1811</v>
      </c>
      <c r="P399" s="308" t="s">
        <v>148</v>
      </c>
      <c r="Q399" s="308"/>
      <c r="R399" s="308"/>
      <c r="S399" s="308" t="s">
        <v>49</v>
      </c>
      <c r="T399" s="308" t="s">
        <v>51</v>
      </c>
      <c r="U399" s="308"/>
      <c r="V399" s="312"/>
    </row>
    <row r="400">
      <c r="A400" s="308">
        <v>399.0</v>
      </c>
      <c r="B400" s="308">
        <v>3607.0</v>
      </c>
      <c r="C400" s="308" t="s">
        <v>34872</v>
      </c>
      <c r="D400" s="308">
        <f>IFERROR(__xludf.DUMMYFUNCTION("SPLIT(C400,""-"")"),399.0)</f>
        <v>399</v>
      </c>
      <c r="E400" s="311"/>
      <c r="F400" s="309" t="s">
        <v>31</v>
      </c>
      <c r="G400" s="308"/>
      <c r="H400" s="308" t="s">
        <v>1813</v>
      </c>
      <c r="I400" s="310">
        <v>35186.0</v>
      </c>
      <c r="J400" s="308">
        <f>IFERROR(__xludf.DUMMYFUNCTION("SPLIT(I400,""/"")"),1.0)</f>
        <v>1</v>
      </c>
      <c r="K400" s="308">
        <f>IFERROR(__xludf.DUMMYFUNCTION("""COMPUTED_VALUE"""),5.0)</f>
        <v>5</v>
      </c>
      <c r="L400" s="308">
        <f>IFERROR(__xludf.DUMMYFUNCTION("""COMPUTED_VALUE"""),1996.0)</f>
        <v>1996</v>
      </c>
      <c r="M400" s="308" t="s">
        <v>1810</v>
      </c>
      <c r="N400" s="308"/>
      <c r="O400" s="308" t="s">
        <v>1811</v>
      </c>
      <c r="P400" s="308" t="s">
        <v>148</v>
      </c>
      <c r="Q400" s="308"/>
      <c r="R400" s="308"/>
      <c r="S400" s="308" t="s">
        <v>49</v>
      </c>
      <c r="T400" s="308" t="s">
        <v>51</v>
      </c>
      <c r="U400" s="308"/>
      <c r="V400" s="312"/>
    </row>
    <row r="401">
      <c r="A401" s="308">
        <v>400.0</v>
      </c>
      <c r="B401" s="308">
        <v>3608.0</v>
      </c>
      <c r="C401" s="308" t="s">
        <v>34873</v>
      </c>
      <c r="D401" s="308">
        <f>IFERROR(__xludf.DUMMYFUNCTION("SPLIT(C401,""-"")"),400.0)</f>
        <v>400</v>
      </c>
      <c r="E401" s="311"/>
      <c r="F401" s="309" t="s">
        <v>31</v>
      </c>
      <c r="G401" s="308"/>
      <c r="H401" s="308" t="s">
        <v>1814</v>
      </c>
      <c r="I401" s="310">
        <v>35186.0</v>
      </c>
      <c r="J401" s="308">
        <f>IFERROR(__xludf.DUMMYFUNCTION("SPLIT(I401,""/"")"),1.0)</f>
        <v>1</v>
      </c>
      <c r="K401" s="308">
        <f>IFERROR(__xludf.DUMMYFUNCTION("""COMPUTED_VALUE"""),5.0)</f>
        <v>5</v>
      </c>
      <c r="L401" s="308">
        <f>IFERROR(__xludf.DUMMYFUNCTION("""COMPUTED_VALUE"""),1996.0)</f>
        <v>1996</v>
      </c>
      <c r="M401" s="308" t="s">
        <v>1810</v>
      </c>
      <c r="N401" s="308"/>
      <c r="O401" s="308" t="s">
        <v>1811</v>
      </c>
      <c r="P401" s="308" t="s">
        <v>148</v>
      </c>
      <c r="Q401" s="308"/>
      <c r="R401" s="308"/>
      <c r="S401" s="308" t="s">
        <v>49</v>
      </c>
      <c r="T401" s="308" t="s">
        <v>51</v>
      </c>
      <c r="U401" s="308"/>
      <c r="V401" s="312"/>
    </row>
    <row r="402">
      <c r="A402" s="308">
        <v>401.0</v>
      </c>
      <c r="B402" s="308">
        <v>3609.0</v>
      </c>
      <c r="C402" s="308" t="s">
        <v>34874</v>
      </c>
      <c r="D402" s="308">
        <f>IFERROR(__xludf.DUMMYFUNCTION("SPLIT(C402,""-"")"),401.0)</f>
        <v>401</v>
      </c>
      <c r="E402" s="311"/>
      <c r="F402" s="309" t="s">
        <v>26</v>
      </c>
      <c r="G402" s="308" t="s">
        <v>34875</v>
      </c>
      <c r="H402" s="308" t="s">
        <v>1816</v>
      </c>
      <c r="I402" s="310">
        <v>40360.0</v>
      </c>
      <c r="J402" s="308">
        <f>IFERROR(__xludf.DUMMYFUNCTION("SPLIT(I402,""/"")"),1.0)</f>
        <v>1</v>
      </c>
      <c r="K402" s="308">
        <f>IFERROR(__xludf.DUMMYFUNCTION("""COMPUTED_VALUE"""),7.0)</f>
        <v>7</v>
      </c>
      <c r="L402" s="308">
        <f>IFERROR(__xludf.DUMMYFUNCTION("""COMPUTED_VALUE"""),2010.0)</f>
        <v>2010</v>
      </c>
      <c r="M402" s="308" t="s">
        <v>1817</v>
      </c>
      <c r="N402" s="308"/>
      <c r="O402" s="312" t="s">
        <v>34876</v>
      </c>
      <c r="P402" s="308" t="s">
        <v>34877</v>
      </c>
      <c r="Q402" s="308"/>
      <c r="R402" s="308"/>
      <c r="S402" s="308" t="s">
        <v>81</v>
      </c>
      <c r="T402" s="308" t="s">
        <v>75</v>
      </c>
      <c r="U402" s="308"/>
      <c r="V402" s="312"/>
    </row>
    <row r="403">
      <c r="A403" s="308">
        <v>402.0</v>
      </c>
      <c r="B403" s="308">
        <v>3610.0</v>
      </c>
      <c r="C403" s="308" t="s">
        <v>1820</v>
      </c>
      <c r="D403" s="308">
        <f>IFERROR(__xludf.DUMMYFUNCTION("SPLIT(C403,""-"")"),402.0)</f>
        <v>402</v>
      </c>
      <c r="E403" s="308" t="str">
        <f>IFERROR(__xludf.DUMMYFUNCTION("""COMPUTED_VALUE"""),"K")</f>
        <v>K</v>
      </c>
      <c r="F403" s="309" t="s">
        <v>34</v>
      </c>
      <c r="G403" s="308"/>
      <c r="H403" s="308" t="s">
        <v>34878</v>
      </c>
      <c r="I403" s="316" t="s">
        <v>407</v>
      </c>
      <c r="J403" s="308" t="str">
        <f>IFERROR(__xludf.DUMMYFUNCTION("SPLIT(I403,""/"")"),"#REF!")</f>
        <v>#REF!</v>
      </c>
      <c r="K403" s="308"/>
      <c r="L403" s="311" t="s">
        <v>79</v>
      </c>
      <c r="M403" s="308"/>
      <c r="N403" s="308" t="s">
        <v>1822</v>
      </c>
      <c r="O403" s="312" t="s">
        <v>34879</v>
      </c>
      <c r="P403" s="308" t="s">
        <v>1824</v>
      </c>
      <c r="Q403" s="308"/>
      <c r="R403" s="308"/>
      <c r="S403" s="315" t="s">
        <v>100</v>
      </c>
      <c r="T403" s="311" t="s">
        <v>34208</v>
      </c>
      <c r="U403" s="308" t="s">
        <v>282</v>
      </c>
      <c r="V403" s="312"/>
    </row>
    <row r="404">
      <c r="A404" s="308">
        <v>403.0</v>
      </c>
      <c r="B404" s="308">
        <v>3611.0</v>
      </c>
      <c r="C404" s="308" t="s">
        <v>34880</v>
      </c>
      <c r="D404" s="308">
        <f>IFERROR(__xludf.DUMMYFUNCTION("SPLIT(C404,""-"")"),403.0)</f>
        <v>403</v>
      </c>
      <c r="E404" s="311"/>
      <c r="F404" s="309" t="s">
        <v>34</v>
      </c>
      <c r="G404" s="308"/>
      <c r="H404" s="308" t="s">
        <v>1825</v>
      </c>
      <c r="I404" s="310">
        <v>40291.0</v>
      </c>
      <c r="J404" s="308">
        <f>IFERROR(__xludf.DUMMYFUNCTION("SPLIT(I404,""/"")"),23.0)</f>
        <v>23</v>
      </c>
      <c r="K404" s="308">
        <f>IFERROR(__xludf.DUMMYFUNCTION("""COMPUTED_VALUE"""),4.0)</f>
        <v>4</v>
      </c>
      <c r="L404" s="308">
        <f>IFERROR(__xludf.DUMMYFUNCTION("""COMPUTED_VALUE"""),2010.0)</f>
        <v>2010</v>
      </c>
      <c r="M404" s="308" t="s">
        <v>1826</v>
      </c>
      <c r="N404" s="308" t="s">
        <v>1827</v>
      </c>
      <c r="O404" s="312" t="s">
        <v>635</v>
      </c>
      <c r="P404" s="308" t="s">
        <v>1828</v>
      </c>
      <c r="Q404" s="308"/>
      <c r="R404" s="308"/>
      <c r="S404" s="308" t="s">
        <v>81</v>
      </c>
      <c r="T404" s="311" t="s">
        <v>73</v>
      </c>
      <c r="U404" s="308"/>
      <c r="V404" s="312"/>
    </row>
    <row r="405">
      <c r="A405" s="308">
        <v>404.0</v>
      </c>
      <c r="B405" s="308">
        <v>3612.0</v>
      </c>
      <c r="C405" s="308" t="s">
        <v>34881</v>
      </c>
      <c r="D405" s="308">
        <f>IFERROR(__xludf.DUMMYFUNCTION("SPLIT(C405,""-"")"),404.0)</f>
        <v>404</v>
      </c>
      <c r="E405" s="311"/>
      <c r="F405" s="309" t="s">
        <v>34</v>
      </c>
      <c r="G405" s="308"/>
      <c r="H405" s="308" t="s">
        <v>1829</v>
      </c>
      <c r="I405" s="310">
        <v>40278.0</v>
      </c>
      <c r="J405" s="308">
        <f>IFERROR(__xludf.DUMMYFUNCTION("SPLIT(I405,""/"")"),10.0)</f>
        <v>10</v>
      </c>
      <c r="K405" s="308">
        <f>IFERROR(__xludf.DUMMYFUNCTION("""COMPUTED_VALUE"""),4.0)</f>
        <v>4</v>
      </c>
      <c r="L405" s="308">
        <f>IFERROR(__xludf.DUMMYFUNCTION("""COMPUTED_VALUE"""),2010.0)</f>
        <v>2010</v>
      </c>
      <c r="M405" s="308" t="s">
        <v>1826</v>
      </c>
      <c r="N405" s="308" t="s">
        <v>1830</v>
      </c>
      <c r="O405" s="312" t="s">
        <v>34882</v>
      </c>
      <c r="P405" s="308" t="s">
        <v>1832</v>
      </c>
      <c r="Q405" s="308"/>
      <c r="R405" s="308"/>
      <c r="S405" s="308" t="s">
        <v>81</v>
      </c>
      <c r="T405" s="308" t="s">
        <v>75</v>
      </c>
      <c r="U405" s="308"/>
      <c r="V405" s="312"/>
    </row>
    <row r="406">
      <c r="A406" s="308">
        <v>405.0</v>
      </c>
      <c r="B406" s="308">
        <v>3613.0</v>
      </c>
      <c r="C406" s="308" t="s">
        <v>34883</v>
      </c>
      <c r="D406" s="308">
        <f>IFERROR(__xludf.DUMMYFUNCTION("SPLIT(C406,""-"")"),405.0)</f>
        <v>405</v>
      </c>
      <c r="E406" s="311"/>
      <c r="F406" s="309" t="s">
        <v>34</v>
      </c>
      <c r="G406" s="308"/>
      <c r="H406" s="308" t="s">
        <v>1833</v>
      </c>
      <c r="I406" s="314">
        <v>40508.0</v>
      </c>
      <c r="J406" s="308">
        <f>IFERROR(__xludf.DUMMYFUNCTION("SPLIT(I406,""/"")"),26.0)</f>
        <v>26</v>
      </c>
      <c r="K406" s="308">
        <f>IFERROR(__xludf.DUMMYFUNCTION("""COMPUTED_VALUE"""),11.0)</f>
        <v>11</v>
      </c>
      <c r="L406" s="308">
        <f>IFERROR(__xludf.DUMMYFUNCTION("""COMPUTED_VALUE"""),2010.0)</f>
        <v>2010</v>
      </c>
      <c r="M406" s="308" t="s">
        <v>1834</v>
      </c>
      <c r="N406" s="308"/>
      <c r="O406" s="312" t="s">
        <v>635</v>
      </c>
      <c r="P406" s="308" t="s">
        <v>1835</v>
      </c>
      <c r="Q406" s="308"/>
      <c r="R406" s="308"/>
      <c r="S406" s="308" t="s">
        <v>49</v>
      </c>
      <c r="T406" s="308" t="s">
        <v>51</v>
      </c>
      <c r="U406" s="308"/>
      <c r="V406" s="312"/>
    </row>
    <row r="407">
      <c r="A407" s="308">
        <v>406.0</v>
      </c>
      <c r="B407" s="308">
        <v>3614.0</v>
      </c>
      <c r="C407" s="308" t="s">
        <v>1836</v>
      </c>
      <c r="D407" s="308">
        <f>IFERROR(__xludf.DUMMYFUNCTION("SPLIT(C407,""-"")"),406.0)</f>
        <v>406</v>
      </c>
      <c r="E407" s="308" t="str">
        <f>IFERROR(__xludf.DUMMYFUNCTION("""COMPUTED_VALUE"""),"K")</f>
        <v>K</v>
      </c>
      <c r="F407" s="309" t="s">
        <v>34</v>
      </c>
      <c r="G407" s="308"/>
      <c r="H407" s="308" t="s">
        <v>1837</v>
      </c>
      <c r="I407" s="310">
        <v>40785.0</v>
      </c>
      <c r="J407" s="308">
        <f>IFERROR(__xludf.DUMMYFUNCTION("SPLIT(I407,""/"")"),30.0)</f>
        <v>30</v>
      </c>
      <c r="K407" s="308">
        <f>IFERROR(__xludf.DUMMYFUNCTION("""COMPUTED_VALUE"""),8.0)</f>
        <v>8</v>
      </c>
      <c r="L407" s="308">
        <f>IFERROR(__xludf.DUMMYFUNCTION("""COMPUTED_VALUE"""),2011.0)</f>
        <v>2011</v>
      </c>
      <c r="M407" s="308" t="s">
        <v>1838</v>
      </c>
      <c r="N407" s="308"/>
      <c r="O407" s="312" t="s">
        <v>34884</v>
      </c>
      <c r="P407" s="308"/>
      <c r="Q407" s="308"/>
      <c r="R407" s="308"/>
      <c r="S407" s="308" t="s">
        <v>79</v>
      </c>
      <c r="T407" s="308" t="s">
        <v>79</v>
      </c>
      <c r="U407" s="308" t="s">
        <v>1528</v>
      </c>
      <c r="V407" s="312"/>
    </row>
    <row r="408">
      <c r="A408" s="308">
        <v>407.0</v>
      </c>
      <c r="B408" s="308">
        <v>3615.0</v>
      </c>
      <c r="C408" s="308" t="s">
        <v>34885</v>
      </c>
      <c r="D408" s="308">
        <f>IFERROR(__xludf.DUMMYFUNCTION("SPLIT(C408,""-"")"),407.0)</f>
        <v>407</v>
      </c>
      <c r="E408" s="311"/>
      <c r="F408" s="309" t="s">
        <v>34</v>
      </c>
      <c r="G408" s="308"/>
      <c r="H408" s="308" t="s">
        <v>1840</v>
      </c>
      <c r="I408" s="314">
        <v>40174.0</v>
      </c>
      <c r="J408" s="308">
        <f>IFERROR(__xludf.DUMMYFUNCTION("SPLIT(I408,""/"")"),27.0)</f>
        <v>27</v>
      </c>
      <c r="K408" s="308">
        <f>IFERROR(__xludf.DUMMYFUNCTION("""COMPUTED_VALUE"""),12.0)</f>
        <v>12</v>
      </c>
      <c r="L408" s="308">
        <f>IFERROR(__xludf.DUMMYFUNCTION("""COMPUTED_VALUE"""),2009.0)</f>
        <v>2009</v>
      </c>
      <c r="M408" s="308" t="s">
        <v>1841</v>
      </c>
      <c r="N408" s="308"/>
      <c r="O408" s="312" t="s">
        <v>34886</v>
      </c>
      <c r="P408" s="308" t="s">
        <v>34887</v>
      </c>
      <c r="Q408" s="308"/>
      <c r="R408" s="308"/>
      <c r="S408" s="308" t="s">
        <v>81</v>
      </c>
      <c r="T408" s="308" t="s">
        <v>34264</v>
      </c>
      <c r="U408" s="308"/>
      <c r="V408" s="312"/>
    </row>
    <row r="409">
      <c r="A409" s="308">
        <v>408.0</v>
      </c>
      <c r="B409" s="312">
        <v>3616.0</v>
      </c>
      <c r="C409" s="312" t="s">
        <v>34888</v>
      </c>
      <c r="D409" s="308">
        <f>IFERROR(__xludf.DUMMYFUNCTION("SPLIT(C409,""-"")"),408.0)</f>
        <v>408</v>
      </c>
      <c r="E409" s="309"/>
      <c r="F409" s="309" t="s">
        <v>34</v>
      </c>
      <c r="G409" s="312"/>
      <c r="H409" s="312" t="s">
        <v>1844</v>
      </c>
      <c r="I409" s="310">
        <v>39630.0</v>
      </c>
      <c r="J409" s="308">
        <f>IFERROR(__xludf.DUMMYFUNCTION("SPLIT(I409,""/"")"),1.0)</f>
        <v>1</v>
      </c>
      <c r="K409" s="312">
        <f>IFERROR(__xludf.DUMMYFUNCTION("""COMPUTED_VALUE"""),7.0)</f>
        <v>7</v>
      </c>
      <c r="L409" s="312">
        <f>IFERROR(__xludf.DUMMYFUNCTION("""COMPUTED_VALUE"""),2008.0)</f>
        <v>2008</v>
      </c>
      <c r="M409" s="312" t="s">
        <v>34889</v>
      </c>
      <c r="N409" s="312"/>
      <c r="O409" s="312" t="s">
        <v>34890</v>
      </c>
      <c r="P409" s="312" t="s">
        <v>1847</v>
      </c>
      <c r="Q409" s="308"/>
      <c r="R409" s="308"/>
      <c r="S409" s="308" t="s">
        <v>100</v>
      </c>
      <c r="T409" s="311" t="s">
        <v>34208</v>
      </c>
      <c r="U409" s="308"/>
      <c r="V409" s="312"/>
    </row>
    <row r="410">
      <c r="A410" s="308">
        <v>409.0</v>
      </c>
      <c r="B410" s="308">
        <v>3617.0</v>
      </c>
      <c r="C410" s="308" t="s">
        <v>34891</v>
      </c>
      <c r="D410" s="308">
        <f>IFERROR(__xludf.DUMMYFUNCTION("SPLIT(C410,""-"")"),409.0)</f>
        <v>409</v>
      </c>
      <c r="E410" s="311"/>
      <c r="F410" s="317" t="s">
        <v>37</v>
      </c>
      <c r="G410" s="308"/>
      <c r="H410" s="308" t="s">
        <v>1848</v>
      </c>
      <c r="I410" s="314">
        <v>40836.0</v>
      </c>
      <c r="J410" s="308">
        <f>IFERROR(__xludf.DUMMYFUNCTION("SPLIT(I410,""/"")"),20.0)</f>
        <v>20</v>
      </c>
      <c r="K410" s="308">
        <f>IFERROR(__xludf.DUMMYFUNCTION("""COMPUTED_VALUE"""),10.0)</f>
        <v>10</v>
      </c>
      <c r="L410" s="308">
        <f>IFERROR(__xludf.DUMMYFUNCTION("""COMPUTED_VALUE"""),2011.0)</f>
        <v>2011</v>
      </c>
      <c r="M410" s="308" t="s">
        <v>1849</v>
      </c>
      <c r="N410" s="308"/>
      <c r="O410" s="312" t="s">
        <v>34892</v>
      </c>
      <c r="P410" s="308" t="s">
        <v>1851</v>
      </c>
      <c r="Q410" s="308"/>
      <c r="R410" s="308"/>
      <c r="S410" s="308" t="s">
        <v>81</v>
      </c>
      <c r="T410" s="308" t="s">
        <v>75</v>
      </c>
      <c r="U410" s="308"/>
      <c r="V410" s="312"/>
    </row>
    <row r="411">
      <c r="A411" s="308">
        <v>410.0</v>
      </c>
      <c r="B411" s="308">
        <v>3618.0</v>
      </c>
      <c r="C411" s="308" t="s">
        <v>34893</v>
      </c>
      <c r="D411" s="308">
        <f>IFERROR(__xludf.DUMMYFUNCTION("SPLIT(C411,""-"")"),410.0)</f>
        <v>410</v>
      </c>
      <c r="E411" s="311"/>
      <c r="F411" s="309" t="s">
        <v>34</v>
      </c>
      <c r="G411" s="308"/>
      <c r="H411" s="308" t="s">
        <v>1852</v>
      </c>
      <c r="I411" s="314">
        <v>39069.0</v>
      </c>
      <c r="J411" s="308">
        <f>IFERROR(__xludf.DUMMYFUNCTION("SPLIT(I411,""/"")"),18.0)</f>
        <v>18</v>
      </c>
      <c r="K411" s="308">
        <f>IFERROR(__xludf.DUMMYFUNCTION("""COMPUTED_VALUE"""),12.0)</f>
        <v>12</v>
      </c>
      <c r="L411" s="308">
        <f>IFERROR(__xludf.DUMMYFUNCTION("""COMPUTED_VALUE"""),2006.0)</f>
        <v>2006</v>
      </c>
      <c r="M411" s="308" t="s">
        <v>1853</v>
      </c>
      <c r="N411" s="308"/>
      <c r="O411" s="312" t="s">
        <v>635</v>
      </c>
      <c r="P411" s="308" t="s">
        <v>34894</v>
      </c>
      <c r="Q411" s="308"/>
      <c r="R411" s="308"/>
      <c r="S411" s="308" t="s">
        <v>81</v>
      </c>
      <c r="T411" s="311" t="s">
        <v>77</v>
      </c>
      <c r="U411" s="308"/>
      <c r="V411" s="312"/>
    </row>
    <row r="412">
      <c r="A412" s="308">
        <v>411.0</v>
      </c>
      <c r="B412" s="308">
        <v>3619.0</v>
      </c>
      <c r="C412" s="308" t="s">
        <v>34895</v>
      </c>
      <c r="D412" s="308">
        <f>IFERROR(__xludf.DUMMYFUNCTION("SPLIT(C412,""-"")"),411.0)</f>
        <v>411</v>
      </c>
      <c r="E412" s="311"/>
      <c r="F412" s="309" t="s">
        <v>31</v>
      </c>
      <c r="G412" s="308"/>
      <c r="H412" s="308" t="s">
        <v>1855</v>
      </c>
      <c r="I412" s="310">
        <v>40551.0</v>
      </c>
      <c r="J412" s="308">
        <f>IFERROR(__xludf.DUMMYFUNCTION("SPLIT(I412,""/"")"),8.0)</f>
        <v>8</v>
      </c>
      <c r="K412" s="308">
        <f>IFERROR(__xludf.DUMMYFUNCTION("""COMPUTED_VALUE"""),1.0)</f>
        <v>1</v>
      </c>
      <c r="L412" s="308">
        <f>IFERROR(__xludf.DUMMYFUNCTION("""COMPUTED_VALUE"""),2011.0)</f>
        <v>2011</v>
      </c>
      <c r="M412" s="308" t="s">
        <v>1856</v>
      </c>
      <c r="N412" s="308"/>
      <c r="O412" s="312" t="s">
        <v>34896</v>
      </c>
      <c r="P412" s="308" t="s">
        <v>34897</v>
      </c>
      <c r="Q412" s="308"/>
      <c r="R412" s="308"/>
      <c r="S412" s="308" t="s">
        <v>81</v>
      </c>
      <c r="T412" s="308" t="s">
        <v>75</v>
      </c>
      <c r="U412" s="308"/>
      <c r="V412" s="312"/>
    </row>
    <row r="413">
      <c r="A413" s="308">
        <v>412.0</v>
      </c>
      <c r="B413" s="308">
        <v>3620.0</v>
      </c>
      <c r="C413" s="308" t="s">
        <v>1859</v>
      </c>
      <c r="D413" s="308">
        <f>IFERROR(__xludf.DUMMYFUNCTION("SPLIT(C413,""-"")"),412.0)</f>
        <v>412</v>
      </c>
      <c r="E413" s="308" t="str">
        <f>IFERROR(__xludf.DUMMYFUNCTION("""COMPUTED_VALUE"""),"K")</f>
        <v>K</v>
      </c>
      <c r="F413" s="309" t="s">
        <v>34</v>
      </c>
      <c r="G413" s="308" t="s">
        <v>1860</v>
      </c>
      <c r="H413" s="308" t="s">
        <v>1861</v>
      </c>
      <c r="I413" s="310">
        <v>39687.0</v>
      </c>
      <c r="J413" s="308">
        <f>IFERROR(__xludf.DUMMYFUNCTION("SPLIT(I413,""/"")"),27.0)</f>
        <v>27</v>
      </c>
      <c r="K413" s="308">
        <f>IFERROR(__xludf.DUMMYFUNCTION("""COMPUTED_VALUE"""),8.0)</f>
        <v>8</v>
      </c>
      <c r="L413" s="308">
        <f>IFERROR(__xludf.DUMMYFUNCTION("""COMPUTED_VALUE"""),2008.0)</f>
        <v>2008</v>
      </c>
      <c r="M413" s="308" t="s">
        <v>34898</v>
      </c>
      <c r="N413" s="308"/>
      <c r="O413" s="312" t="s">
        <v>34899</v>
      </c>
      <c r="P413" s="308" t="s">
        <v>1605</v>
      </c>
      <c r="Q413" s="308"/>
      <c r="R413" s="308"/>
      <c r="S413" s="315" t="s">
        <v>100</v>
      </c>
      <c r="T413" s="311" t="s">
        <v>34208</v>
      </c>
      <c r="U413" s="308" t="s">
        <v>125</v>
      </c>
      <c r="V413" s="312"/>
    </row>
    <row r="414">
      <c r="A414" s="308">
        <v>413.0</v>
      </c>
      <c r="B414" s="308">
        <v>3621.0</v>
      </c>
      <c r="C414" s="308" t="s">
        <v>34900</v>
      </c>
      <c r="D414" s="308">
        <f>IFERROR(__xludf.DUMMYFUNCTION("SPLIT(C414,""-"")"),413.0)</f>
        <v>413</v>
      </c>
      <c r="E414" s="311"/>
      <c r="F414" s="317" t="s">
        <v>37</v>
      </c>
      <c r="G414" s="308"/>
      <c r="H414" s="308" t="s">
        <v>1864</v>
      </c>
      <c r="I414" s="310">
        <v>40219.0</v>
      </c>
      <c r="J414" s="308">
        <f>IFERROR(__xludf.DUMMYFUNCTION("SPLIT(I414,""/"")"),10.0)</f>
        <v>10</v>
      </c>
      <c r="K414" s="308">
        <f>IFERROR(__xludf.DUMMYFUNCTION("""COMPUTED_VALUE"""),2.0)</f>
        <v>2</v>
      </c>
      <c r="L414" s="308">
        <f>IFERROR(__xludf.DUMMYFUNCTION("""COMPUTED_VALUE"""),2010.0)</f>
        <v>2010</v>
      </c>
      <c r="M414" s="308" t="s">
        <v>1865</v>
      </c>
      <c r="N414" s="308"/>
      <c r="O414" s="312" t="s">
        <v>34901</v>
      </c>
      <c r="P414" s="308" t="s">
        <v>1481</v>
      </c>
      <c r="Q414" s="308"/>
      <c r="R414" s="308"/>
      <c r="S414" s="308" t="s">
        <v>81</v>
      </c>
      <c r="T414" s="308" t="s">
        <v>34201</v>
      </c>
      <c r="U414" s="308"/>
      <c r="V414" s="312"/>
    </row>
    <row r="415">
      <c r="A415" s="308">
        <v>414.0</v>
      </c>
      <c r="B415" s="308">
        <v>3622.0</v>
      </c>
      <c r="C415" s="308" t="s">
        <v>1867</v>
      </c>
      <c r="D415" s="308">
        <f>IFERROR(__xludf.DUMMYFUNCTION("SPLIT(C415,""-"")"),414.0)</f>
        <v>414</v>
      </c>
      <c r="E415" s="308" t="str">
        <f>IFERROR(__xludf.DUMMYFUNCTION("""COMPUTED_VALUE"""),"K")</f>
        <v>K</v>
      </c>
      <c r="F415" s="309" t="s">
        <v>34</v>
      </c>
      <c r="G415" s="308"/>
      <c r="H415" s="308" t="s">
        <v>1868</v>
      </c>
      <c r="I415" s="310">
        <v>39948.0</v>
      </c>
      <c r="J415" s="308">
        <f>IFERROR(__xludf.DUMMYFUNCTION("SPLIT(I415,""/"")"),15.0)</f>
        <v>15</v>
      </c>
      <c r="K415" s="308">
        <f>IFERROR(__xludf.DUMMYFUNCTION("""COMPUTED_VALUE"""),5.0)</f>
        <v>5</v>
      </c>
      <c r="L415" s="308">
        <f>IFERROR(__xludf.DUMMYFUNCTION("""COMPUTED_VALUE"""),2009.0)</f>
        <v>2009</v>
      </c>
      <c r="M415" s="308" t="s">
        <v>1869</v>
      </c>
      <c r="N415" s="308" t="s">
        <v>1870</v>
      </c>
      <c r="O415" s="312" t="s">
        <v>34902</v>
      </c>
      <c r="P415" s="308" t="s">
        <v>1872</v>
      </c>
      <c r="Q415" s="308"/>
      <c r="R415" s="308"/>
      <c r="S415" s="315" t="s">
        <v>100</v>
      </c>
      <c r="T415" s="311" t="s">
        <v>34208</v>
      </c>
      <c r="U415" s="308" t="s">
        <v>530</v>
      </c>
      <c r="V415" s="312"/>
    </row>
    <row r="416">
      <c r="A416" s="308">
        <v>415.0</v>
      </c>
      <c r="B416" s="308">
        <v>3623.0</v>
      </c>
      <c r="C416" s="308" t="s">
        <v>34903</v>
      </c>
      <c r="D416" s="308">
        <f>IFERROR(__xludf.DUMMYFUNCTION("SPLIT(C416,""-"")"),415.0)</f>
        <v>415</v>
      </c>
      <c r="E416" s="311"/>
      <c r="F416" s="317" t="s">
        <v>37</v>
      </c>
      <c r="G416" s="308"/>
      <c r="H416" s="308" t="s">
        <v>1873</v>
      </c>
      <c r="I416" s="310">
        <v>40232.0</v>
      </c>
      <c r="J416" s="308">
        <f>IFERROR(__xludf.DUMMYFUNCTION("SPLIT(I416,""/"")"),23.0)</f>
        <v>23</v>
      </c>
      <c r="K416" s="308">
        <f>IFERROR(__xludf.DUMMYFUNCTION("""COMPUTED_VALUE"""),2.0)</f>
        <v>2</v>
      </c>
      <c r="L416" s="308">
        <f>IFERROR(__xludf.DUMMYFUNCTION("""COMPUTED_VALUE"""),2010.0)</f>
        <v>2010</v>
      </c>
      <c r="M416" s="308" t="s">
        <v>34904</v>
      </c>
      <c r="N416" s="308"/>
      <c r="O416" s="312" t="s">
        <v>34905</v>
      </c>
      <c r="P416" s="308" t="s">
        <v>1876</v>
      </c>
      <c r="Q416" s="308"/>
      <c r="R416" s="308"/>
      <c r="S416" s="308" t="s">
        <v>81</v>
      </c>
      <c r="T416" s="308" t="s">
        <v>75</v>
      </c>
      <c r="U416" s="308"/>
      <c r="V416" s="312"/>
    </row>
    <row r="417">
      <c r="A417" s="308">
        <v>416.0</v>
      </c>
      <c r="B417" s="308">
        <v>3624.0</v>
      </c>
      <c r="C417" s="308" t="s">
        <v>34906</v>
      </c>
      <c r="D417" s="308">
        <f>IFERROR(__xludf.DUMMYFUNCTION("SPLIT(C417,""-"")"),416.0)</f>
        <v>416</v>
      </c>
      <c r="E417" s="311"/>
      <c r="F417" s="317" t="s">
        <v>37</v>
      </c>
      <c r="G417" s="308"/>
      <c r="H417" s="308" t="s">
        <v>1877</v>
      </c>
      <c r="I417" s="310">
        <v>40647.0</v>
      </c>
      <c r="J417" s="308">
        <f>IFERROR(__xludf.DUMMYFUNCTION("SPLIT(I417,""/"")"),14.0)</f>
        <v>14</v>
      </c>
      <c r="K417" s="308">
        <f>IFERROR(__xludf.DUMMYFUNCTION("""COMPUTED_VALUE"""),4.0)</f>
        <v>4</v>
      </c>
      <c r="L417" s="308">
        <f>IFERROR(__xludf.DUMMYFUNCTION("""COMPUTED_VALUE"""),2011.0)</f>
        <v>2011</v>
      </c>
      <c r="M417" s="308" t="s">
        <v>1878</v>
      </c>
      <c r="N417" s="308"/>
      <c r="O417" s="312" t="s">
        <v>1879</v>
      </c>
      <c r="P417" s="308" t="s">
        <v>1880</v>
      </c>
      <c r="Q417" s="308"/>
      <c r="R417" s="308"/>
      <c r="S417" s="308" t="s">
        <v>81</v>
      </c>
      <c r="T417" s="308" t="s">
        <v>75</v>
      </c>
      <c r="U417" s="308"/>
      <c r="V417" s="312"/>
    </row>
    <row r="418">
      <c r="A418" s="308">
        <v>417.0</v>
      </c>
      <c r="B418" s="308">
        <v>3625.0</v>
      </c>
      <c r="C418" s="308" t="s">
        <v>34907</v>
      </c>
      <c r="D418" s="308">
        <f>IFERROR(__xludf.DUMMYFUNCTION("SPLIT(C418,""-"")"),417.0)</f>
        <v>417</v>
      </c>
      <c r="E418" s="311"/>
      <c r="F418" s="317" t="s">
        <v>37</v>
      </c>
      <c r="G418" s="308"/>
      <c r="H418" s="308" t="s">
        <v>1881</v>
      </c>
      <c r="I418" s="310">
        <v>40759.0</v>
      </c>
      <c r="J418" s="308">
        <f>IFERROR(__xludf.DUMMYFUNCTION("SPLIT(I418,""/"")"),4.0)</f>
        <v>4</v>
      </c>
      <c r="K418" s="308">
        <f>IFERROR(__xludf.DUMMYFUNCTION("""COMPUTED_VALUE"""),8.0)</f>
        <v>8</v>
      </c>
      <c r="L418" s="308">
        <f>IFERROR(__xludf.DUMMYFUNCTION("""COMPUTED_VALUE"""),2011.0)</f>
        <v>2011</v>
      </c>
      <c r="M418" s="308" t="s">
        <v>1882</v>
      </c>
      <c r="N418" s="308"/>
      <c r="O418" s="312" t="s">
        <v>635</v>
      </c>
      <c r="P418" s="308" t="s">
        <v>34908</v>
      </c>
      <c r="Q418" s="308"/>
      <c r="R418" s="308"/>
      <c r="S418" s="308" t="s">
        <v>81</v>
      </c>
      <c r="T418" s="308" t="s">
        <v>75</v>
      </c>
      <c r="U418" s="308"/>
      <c r="V418" s="312"/>
    </row>
    <row r="419">
      <c r="A419" s="308">
        <v>418.0</v>
      </c>
      <c r="B419" s="308">
        <v>3626.0</v>
      </c>
      <c r="C419" s="308" t="s">
        <v>34909</v>
      </c>
      <c r="D419" s="308">
        <f>IFERROR(__xludf.DUMMYFUNCTION("SPLIT(C419,""-"")"),418.0)</f>
        <v>418</v>
      </c>
      <c r="E419" s="311"/>
      <c r="F419" s="317" t="s">
        <v>37</v>
      </c>
      <c r="G419" s="308"/>
      <c r="H419" s="308" t="s">
        <v>1884</v>
      </c>
      <c r="I419" s="310">
        <v>40567.0</v>
      </c>
      <c r="J419" s="308">
        <f>IFERROR(__xludf.DUMMYFUNCTION("SPLIT(I419,""/"")"),24.0)</f>
        <v>24</v>
      </c>
      <c r="K419" s="308">
        <f>IFERROR(__xludf.DUMMYFUNCTION("""COMPUTED_VALUE"""),1.0)</f>
        <v>1</v>
      </c>
      <c r="L419" s="308">
        <f>IFERROR(__xludf.DUMMYFUNCTION("""COMPUTED_VALUE"""),2011.0)</f>
        <v>2011</v>
      </c>
      <c r="M419" s="308" t="s">
        <v>1885</v>
      </c>
      <c r="N419" s="308"/>
      <c r="O419" s="312" t="s">
        <v>34910</v>
      </c>
      <c r="P419" s="308" t="s">
        <v>148</v>
      </c>
      <c r="Q419" s="308"/>
      <c r="R419" s="308"/>
      <c r="S419" s="308" t="s">
        <v>49</v>
      </c>
      <c r="T419" s="308" t="s">
        <v>51</v>
      </c>
      <c r="U419" s="308"/>
      <c r="V419" s="312"/>
    </row>
    <row r="420">
      <c r="A420" s="308">
        <v>419.0</v>
      </c>
      <c r="B420" s="308">
        <v>3627.0</v>
      </c>
      <c r="C420" s="308" t="s">
        <v>34911</v>
      </c>
      <c r="D420" s="308">
        <f>IFERROR(__xludf.DUMMYFUNCTION("SPLIT(C420,""-"")"),419.0)</f>
        <v>419</v>
      </c>
      <c r="E420" s="311"/>
      <c r="F420" s="317" t="s">
        <v>37</v>
      </c>
      <c r="G420" s="308"/>
      <c r="H420" s="308" t="s">
        <v>1887</v>
      </c>
      <c r="I420" s="310">
        <v>40436.0</v>
      </c>
      <c r="J420" s="308">
        <f>IFERROR(__xludf.DUMMYFUNCTION("SPLIT(I420,""/"")"),15.0)</f>
        <v>15</v>
      </c>
      <c r="K420" s="308">
        <f>IFERROR(__xludf.DUMMYFUNCTION("""COMPUTED_VALUE"""),9.0)</f>
        <v>9</v>
      </c>
      <c r="L420" s="308">
        <f>IFERROR(__xludf.DUMMYFUNCTION("""COMPUTED_VALUE"""),2010.0)</f>
        <v>2010</v>
      </c>
      <c r="M420" s="308" t="s">
        <v>1888</v>
      </c>
      <c r="N420" s="308"/>
      <c r="O420" s="312" t="s">
        <v>1889</v>
      </c>
      <c r="P420" s="312"/>
      <c r="Q420" s="308"/>
      <c r="R420" s="308"/>
      <c r="S420" s="308" t="s">
        <v>79</v>
      </c>
      <c r="T420" s="308" t="s">
        <v>79</v>
      </c>
      <c r="U420" s="308"/>
      <c r="V420" s="312"/>
    </row>
    <row r="421">
      <c r="A421" s="308">
        <v>420.0</v>
      </c>
      <c r="B421" s="308">
        <v>3628.0</v>
      </c>
      <c r="C421" s="308" t="s">
        <v>34912</v>
      </c>
      <c r="D421" s="308">
        <f>IFERROR(__xludf.DUMMYFUNCTION("SPLIT(C421,""-"")"),420.0)</f>
        <v>420</v>
      </c>
      <c r="E421" s="311"/>
      <c r="F421" s="317" t="s">
        <v>37</v>
      </c>
      <c r="G421" s="308"/>
      <c r="H421" s="308" t="s">
        <v>1890</v>
      </c>
      <c r="I421" s="310">
        <v>40807.0</v>
      </c>
      <c r="J421" s="308">
        <f>IFERROR(__xludf.DUMMYFUNCTION("SPLIT(I421,""/"")"),21.0)</f>
        <v>21</v>
      </c>
      <c r="K421" s="308">
        <f>IFERROR(__xludf.DUMMYFUNCTION("""COMPUTED_VALUE"""),9.0)</f>
        <v>9</v>
      </c>
      <c r="L421" s="308">
        <f>IFERROR(__xludf.DUMMYFUNCTION("""COMPUTED_VALUE"""),2011.0)</f>
        <v>2011</v>
      </c>
      <c r="M421" s="308" t="s">
        <v>34913</v>
      </c>
      <c r="N421" s="308"/>
      <c r="O421" s="312" t="s">
        <v>34914</v>
      </c>
      <c r="P421" s="308" t="s">
        <v>1893</v>
      </c>
      <c r="Q421" s="308"/>
      <c r="R421" s="308"/>
      <c r="S421" s="308" t="s">
        <v>81</v>
      </c>
      <c r="T421" s="308" t="s">
        <v>75</v>
      </c>
      <c r="U421" s="308"/>
      <c r="V421" s="312"/>
    </row>
    <row r="422">
      <c r="A422" s="308">
        <v>421.0</v>
      </c>
      <c r="B422" s="308">
        <v>3629.0</v>
      </c>
      <c r="C422" s="308" t="s">
        <v>34915</v>
      </c>
      <c r="D422" s="308">
        <f>IFERROR(__xludf.DUMMYFUNCTION("SPLIT(C422,""-"")"),421.0)</f>
        <v>421</v>
      </c>
      <c r="E422" s="311"/>
      <c r="F422" s="317" t="s">
        <v>37</v>
      </c>
      <c r="G422" s="308"/>
      <c r="H422" s="312" t="s">
        <v>1894</v>
      </c>
      <c r="I422" s="310">
        <v>40729.0</v>
      </c>
      <c r="J422" s="308">
        <f>IFERROR(__xludf.DUMMYFUNCTION("SPLIT(I422,""/"")"),5.0)</f>
        <v>5</v>
      </c>
      <c r="K422" s="312">
        <f>IFERROR(__xludf.DUMMYFUNCTION("""COMPUTED_VALUE"""),7.0)</f>
        <v>7</v>
      </c>
      <c r="L422" s="312">
        <f>IFERROR(__xludf.DUMMYFUNCTION("""COMPUTED_VALUE"""),2011.0)</f>
        <v>2011</v>
      </c>
      <c r="M422" s="312" t="s">
        <v>1895</v>
      </c>
      <c r="N422" s="312"/>
      <c r="O422" s="312" t="s">
        <v>1896</v>
      </c>
      <c r="P422" s="312" t="s">
        <v>137</v>
      </c>
      <c r="Q422" s="308"/>
      <c r="R422" s="308"/>
      <c r="S422" s="311" t="s">
        <v>34916</v>
      </c>
      <c r="T422" s="311" t="s">
        <v>34917</v>
      </c>
      <c r="U422" s="308" t="s">
        <v>137</v>
      </c>
      <c r="V422" s="312"/>
    </row>
    <row r="423">
      <c r="A423" s="308">
        <v>422.0</v>
      </c>
      <c r="B423" s="308">
        <v>3630.0</v>
      </c>
      <c r="C423" s="308" t="s">
        <v>34918</v>
      </c>
      <c r="D423" s="308">
        <f>IFERROR(__xludf.DUMMYFUNCTION("SPLIT(C423,""-"")"),422.0)</f>
        <v>422</v>
      </c>
      <c r="E423" s="311"/>
      <c r="F423" s="317" t="s">
        <v>37</v>
      </c>
      <c r="G423" s="308"/>
      <c r="H423" s="308" t="s">
        <v>1897</v>
      </c>
      <c r="I423" s="310">
        <v>40732.0</v>
      </c>
      <c r="J423" s="308">
        <f>IFERROR(__xludf.DUMMYFUNCTION("SPLIT(I423,""/"")"),8.0)</f>
        <v>8</v>
      </c>
      <c r="K423" s="308">
        <f>IFERROR(__xludf.DUMMYFUNCTION("""COMPUTED_VALUE"""),7.0)</f>
        <v>7</v>
      </c>
      <c r="L423" s="308">
        <f>IFERROR(__xludf.DUMMYFUNCTION("""COMPUTED_VALUE"""),2011.0)</f>
        <v>2011</v>
      </c>
      <c r="M423" s="308" t="s">
        <v>1898</v>
      </c>
      <c r="N423" s="308"/>
      <c r="O423" s="308" t="s">
        <v>1899</v>
      </c>
      <c r="P423" s="308" t="s">
        <v>1900</v>
      </c>
      <c r="Q423" s="308"/>
      <c r="R423" s="308"/>
      <c r="S423" s="308" t="s">
        <v>81</v>
      </c>
      <c r="T423" s="308" t="s">
        <v>75</v>
      </c>
      <c r="U423" s="308"/>
      <c r="V423" s="312"/>
    </row>
    <row r="424">
      <c r="A424" s="308">
        <v>423.0</v>
      </c>
      <c r="B424" s="308">
        <v>3631.0</v>
      </c>
      <c r="C424" s="308" t="s">
        <v>34919</v>
      </c>
      <c r="D424" s="308">
        <f>IFERROR(__xludf.DUMMYFUNCTION("SPLIT(C424,""-"")"),423.0)</f>
        <v>423</v>
      </c>
      <c r="E424" s="311"/>
      <c r="F424" s="317" t="s">
        <v>37</v>
      </c>
      <c r="G424" s="308"/>
      <c r="H424" s="308" t="s">
        <v>1901</v>
      </c>
      <c r="I424" s="310">
        <v>40711.0</v>
      </c>
      <c r="J424" s="308">
        <f>IFERROR(__xludf.DUMMYFUNCTION("SPLIT(I424,""/"")"),17.0)</f>
        <v>17</v>
      </c>
      <c r="K424" s="308">
        <f>IFERROR(__xludf.DUMMYFUNCTION("""COMPUTED_VALUE"""),6.0)</f>
        <v>6</v>
      </c>
      <c r="L424" s="308">
        <f>IFERROR(__xludf.DUMMYFUNCTION("""COMPUTED_VALUE"""),2011.0)</f>
        <v>2011</v>
      </c>
      <c r="M424" s="308" t="s">
        <v>1902</v>
      </c>
      <c r="N424" s="308"/>
      <c r="O424" s="308" t="s">
        <v>1903</v>
      </c>
      <c r="P424" s="311" t="s">
        <v>1904</v>
      </c>
      <c r="Q424" s="308"/>
      <c r="R424" s="308"/>
      <c r="S424" s="311" t="s">
        <v>81</v>
      </c>
      <c r="T424" s="311" t="s">
        <v>75</v>
      </c>
      <c r="U424" s="308"/>
      <c r="V424" s="312"/>
    </row>
    <row r="425">
      <c r="A425" s="308">
        <v>424.0</v>
      </c>
      <c r="B425" s="308">
        <v>3632.0</v>
      </c>
      <c r="C425" s="308" t="s">
        <v>1905</v>
      </c>
      <c r="D425" s="308">
        <f>IFERROR(__xludf.DUMMYFUNCTION("SPLIT(C425,""-"")"),424.0)</f>
        <v>424</v>
      </c>
      <c r="E425" s="308" t="str">
        <f>IFERROR(__xludf.DUMMYFUNCTION("""COMPUTED_VALUE"""),"P")</f>
        <v>P</v>
      </c>
      <c r="F425" s="312" t="s">
        <v>37</v>
      </c>
      <c r="G425" s="308"/>
      <c r="H425" s="308" t="s">
        <v>1906</v>
      </c>
      <c r="I425" s="314">
        <v>39793.0</v>
      </c>
      <c r="J425" s="308">
        <f>IFERROR(__xludf.DUMMYFUNCTION("SPLIT(I425,""/"")"),11.0)</f>
        <v>11</v>
      </c>
      <c r="K425" s="308">
        <f>IFERROR(__xludf.DUMMYFUNCTION("""COMPUTED_VALUE"""),12.0)</f>
        <v>12</v>
      </c>
      <c r="L425" s="308">
        <f>IFERROR(__xludf.DUMMYFUNCTION("""COMPUTED_VALUE"""),2008.0)</f>
        <v>2008</v>
      </c>
      <c r="M425" s="308" t="s">
        <v>1907</v>
      </c>
      <c r="N425" s="308"/>
      <c r="O425" s="312" t="s">
        <v>34920</v>
      </c>
      <c r="P425" s="308" t="s">
        <v>34921</v>
      </c>
      <c r="Q425" s="308"/>
      <c r="R425" s="308"/>
      <c r="S425" s="308" t="s">
        <v>49</v>
      </c>
      <c r="T425" s="311" t="s">
        <v>51</v>
      </c>
      <c r="U425" s="308" t="s">
        <v>1910</v>
      </c>
      <c r="V425" s="312"/>
    </row>
    <row r="426">
      <c r="A426" s="308">
        <v>425.0</v>
      </c>
      <c r="B426" s="308">
        <v>3633.0</v>
      </c>
      <c r="C426" s="308" t="s">
        <v>34922</v>
      </c>
      <c r="D426" s="308">
        <f>IFERROR(__xludf.DUMMYFUNCTION("SPLIT(C426,""-"")"),425.0)</f>
        <v>425</v>
      </c>
      <c r="E426" s="311"/>
      <c r="F426" s="317" t="s">
        <v>37</v>
      </c>
      <c r="G426" s="308"/>
      <c r="H426" s="308" t="s">
        <v>1911</v>
      </c>
      <c r="I426" s="310">
        <v>40780.0</v>
      </c>
      <c r="J426" s="308">
        <f>IFERROR(__xludf.DUMMYFUNCTION("SPLIT(I426,""/"")"),25.0)</f>
        <v>25</v>
      </c>
      <c r="K426" s="308">
        <f>IFERROR(__xludf.DUMMYFUNCTION("""COMPUTED_VALUE"""),8.0)</f>
        <v>8</v>
      </c>
      <c r="L426" s="308">
        <f>IFERROR(__xludf.DUMMYFUNCTION("""COMPUTED_VALUE"""),2011.0)</f>
        <v>2011</v>
      </c>
      <c r="M426" s="308" t="s">
        <v>1912</v>
      </c>
      <c r="N426" s="308"/>
      <c r="O426" s="312" t="s">
        <v>1913</v>
      </c>
      <c r="P426" s="308" t="s">
        <v>1914</v>
      </c>
      <c r="Q426" s="308"/>
      <c r="R426" s="308"/>
      <c r="S426" s="308" t="s">
        <v>81</v>
      </c>
      <c r="T426" s="308" t="s">
        <v>98</v>
      </c>
      <c r="U426" s="308"/>
      <c r="V426" s="312"/>
    </row>
    <row r="427">
      <c r="A427" s="308">
        <v>426.0</v>
      </c>
      <c r="B427" s="308">
        <v>3634.0</v>
      </c>
      <c r="C427" s="308" t="s">
        <v>1915</v>
      </c>
      <c r="D427" s="308">
        <f>IFERROR(__xludf.DUMMYFUNCTION("SPLIT(C427,""-"")"),426.0)</f>
        <v>426</v>
      </c>
      <c r="E427" s="308" t="str">
        <f>IFERROR(__xludf.DUMMYFUNCTION("""COMPUTED_VALUE"""),"P")</f>
        <v>P</v>
      </c>
      <c r="F427" s="312" t="s">
        <v>37</v>
      </c>
      <c r="G427" s="308"/>
      <c r="H427" s="308" t="s">
        <v>1916</v>
      </c>
      <c r="I427" s="310">
        <v>40600.0</v>
      </c>
      <c r="J427" s="308">
        <f>IFERROR(__xludf.DUMMYFUNCTION("SPLIT(I427,""/"")"),26.0)</f>
        <v>26</v>
      </c>
      <c r="K427" s="308">
        <f>IFERROR(__xludf.DUMMYFUNCTION("""COMPUTED_VALUE"""),2.0)</f>
        <v>2</v>
      </c>
      <c r="L427" s="308">
        <f>IFERROR(__xludf.DUMMYFUNCTION("""COMPUTED_VALUE"""),2011.0)</f>
        <v>2011</v>
      </c>
      <c r="M427" s="308" t="s">
        <v>1917</v>
      </c>
      <c r="N427" s="308"/>
      <c r="O427" s="312" t="s">
        <v>34923</v>
      </c>
      <c r="P427" s="308" t="s">
        <v>34924</v>
      </c>
      <c r="Q427" s="308"/>
      <c r="R427" s="308"/>
      <c r="S427" s="315" t="s">
        <v>100</v>
      </c>
      <c r="T427" s="311" t="s">
        <v>34208</v>
      </c>
      <c r="U427" s="308" t="s">
        <v>143</v>
      </c>
      <c r="V427" s="312"/>
    </row>
    <row r="428">
      <c r="A428" s="308">
        <v>427.0</v>
      </c>
      <c r="B428" s="308">
        <v>3635.0</v>
      </c>
      <c r="C428" s="308" t="s">
        <v>1920</v>
      </c>
      <c r="D428" s="308">
        <f>IFERROR(__xludf.DUMMYFUNCTION("SPLIT(C428,""-"")"),427.0)</f>
        <v>427</v>
      </c>
      <c r="E428" s="308" t="str">
        <f>IFERROR(__xludf.DUMMYFUNCTION("""COMPUTED_VALUE"""),"K")</f>
        <v>K</v>
      </c>
      <c r="F428" s="309" t="s">
        <v>34</v>
      </c>
      <c r="G428" s="308"/>
      <c r="H428" s="308" t="s">
        <v>1921</v>
      </c>
      <c r="I428" s="310">
        <v>40785.0</v>
      </c>
      <c r="J428" s="308">
        <f>IFERROR(__xludf.DUMMYFUNCTION("SPLIT(I428,""/"")"),30.0)</f>
        <v>30</v>
      </c>
      <c r="K428" s="308">
        <f>IFERROR(__xludf.DUMMYFUNCTION("""COMPUTED_VALUE"""),8.0)</f>
        <v>8</v>
      </c>
      <c r="L428" s="308">
        <f>IFERROR(__xludf.DUMMYFUNCTION("""COMPUTED_VALUE"""),2011.0)</f>
        <v>2011</v>
      </c>
      <c r="M428" s="308" t="s">
        <v>34925</v>
      </c>
      <c r="N428" s="308"/>
      <c r="O428" s="312" t="s">
        <v>34884</v>
      </c>
      <c r="P428" s="308" t="s">
        <v>182</v>
      </c>
      <c r="Q428" s="308"/>
      <c r="R428" s="308"/>
      <c r="S428" s="308" t="s">
        <v>49</v>
      </c>
      <c r="T428" s="311" t="s">
        <v>77</v>
      </c>
      <c r="U428" s="308" t="s">
        <v>1528</v>
      </c>
      <c r="V428" s="312"/>
    </row>
    <row r="429">
      <c r="A429" s="308">
        <v>428.0</v>
      </c>
      <c r="B429" s="308">
        <v>3636.0</v>
      </c>
      <c r="C429" s="308" t="s">
        <v>34926</v>
      </c>
      <c r="D429" s="308">
        <f>IFERROR(__xludf.DUMMYFUNCTION("SPLIT(C429,""-"")"),428.0)</f>
        <v>428</v>
      </c>
      <c r="E429" s="311"/>
      <c r="F429" s="317" t="s">
        <v>37</v>
      </c>
      <c r="G429" s="308"/>
      <c r="H429" s="308" t="s">
        <v>1923</v>
      </c>
      <c r="I429" s="310">
        <v>40849.0</v>
      </c>
      <c r="J429" s="308">
        <f>IFERROR(__xludf.DUMMYFUNCTION("SPLIT(I429,""/"")"),2.0)</f>
        <v>2</v>
      </c>
      <c r="K429" s="308">
        <f>IFERROR(__xludf.DUMMYFUNCTION("""COMPUTED_VALUE"""),11.0)</f>
        <v>11</v>
      </c>
      <c r="L429" s="308">
        <f>IFERROR(__xludf.DUMMYFUNCTION("""COMPUTED_VALUE"""),2011.0)</f>
        <v>2011</v>
      </c>
      <c r="M429" s="308" t="s">
        <v>1924</v>
      </c>
      <c r="N429" s="308"/>
      <c r="O429" s="312" t="s">
        <v>34927</v>
      </c>
      <c r="P429" s="308" t="s">
        <v>1926</v>
      </c>
      <c r="Q429" s="308"/>
      <c r="R429" s="308"/>
      <c r="S429" s="308" t="s">
        <v>81</v>
      </c>
      <c r="T429" s="311" t="s">
        <v>75</v>
      </c>
      <c r="U429" s="308"/>
      <c r="V429" s="312"/>
    </row>
    <row r="430">
      <c r="A430" s="308">
        <v>429.0</v>
      </c>
      <c r="B430" s="308">
        <v>3637.0</v>
      </c>
      <c r="C430" s="308" t="s">
        <v>34928</v>
      </c>
      <c r="D430" s="308">
        <f>IFERROR(__xludf.DUMMYFUNCTION("SPLIT(C430,""-"")"),429.0)</f>
        <v>429</v>
      </c>
      <c r="E430" s="311"/>
      <c r="F430" s="309" t="s">
        <v>34</v>
      </c>
      <c r="G430" s="308" t="s">
        <v>1927</v>
      </c>
      <c r="H430" s="308" t="s">
        <v>1928</v>
      </c>
      <c r="I430" s="310">
        <v>40719.0</v>
      </c>
      <c r="J430" s="308">
        <f>IFERROR(__xludf.DUMMYFUNCTION("SPLIT(I430,""/"")"),25.0)</f>
        <v>25</v>
      </c>
      <c r="K430" s="308">
        <f>IFERROR(__xludf.DUMMYFUNCTION("""COMPUTED_VALUE"""),6.0)</f>
        <v>6</v>
      </c>
      <c r="L430" s="308">
        <f>IFERROR(__xludf.DUMMYFUNCTION("""COMPUTED_VALUE"""),2011.0)</f>
        <v>2011</v>
      </c>
      <c r="M430" s="308" t="s">
        <v>34929</v>
      </c>
      <c r="N430" s="308"/>
      <c r="O430" s="308"/>
      <c r="P430" s="308" t="s">
        <v>1930</v>
      </c>
      <c r="Q430" s="308"/>
      <c r="R430" s="308"/>
      <c r="S430" s="308" t="s">
        <v>81</v>
      </c>
      <c r="T430" s="311" t="s">
        <v>75</v>
      </c>
      <c r="U430" s="308"/>
      <c r="V430" s="312"/>
    </row>
    <row r="431">
      <c r="A431" s="308">
        <v>430.0</v>
      </c>
      <c r="B431" s="308">
        <v>3638.0</v>
      </c>
      <c r="C431" s="308" t="s">
        <v>34930</v>
      </c>
      <c r="D431" s="308">
        <f>IFERROR(__xludf.DUMMYFUNCTION("SPLIT(C431,""-"")"),430.0)</f>
        <v>430</v>
      </c>
      <c r="E431" s="311"/>
      <c r="F431" s="309" t="s">
        <v>26</v>
      </c>
      <c r="G431" s="308"/>
      <c r="H431" s="308" t="s">
        <v>1931</v>
      </c>
      <c r="I431" s="310">
        <v>40823.0</v>
      </c>
      <c r="J431" s="308">
        <f>IFERROR(__xludf.DUMMYFUNCTION("SPLIT(I431,""/"")"),7.0)</f>
        <v>7</v>
      </c>
      <c r="K431" s="308">
        <f>IFERROR(__xludf.DUMMYFUNCTION("""COMPUTED_VALUE"""),10.0)</f>
        <v>10</v>
      </c>
      <c r="L431" s="308">
        <f>IFERROR(__xludf.DUMMYFUNCTION("""COMPUTED_VALUE"""),2011.0)</f>
        <v>2011</v>
      </c>
      <c r="M431" s="308" t="s">
        <v>1932</v>
      </c>
      <c r="N431" s="308"/>
      <c r="O431" s="308" t="s">
        <v>1933</v>
      </c>
      <c r="P431" s="308" t="s">
        <v>34931</v>
      </c>
      <c r="Q431" s="308"/>
      <c r="R431" s="308"/>
      <c r="S431" s="308" t="s">
        <v>81</v>
      </c>
      <c r="T431" s="311" t="s">
        <v>98</v>
      </c>
      <c r="U431" s="308"/>
      <c r="V431" s="312"/>
    </row>
    <row r="432">
      <c r="A432" s="308">
        <v>431.0</v>
      </c>
      <c r="B432" s="308">
        <v>3639.0</v>
      </c>
      <c r="C432" s="308" t="s">
        <v>34932</v>
      </c>
      <c r="D432" s="308">
        <f>IFERROR(__xludf.DUMMYFUNCTION("SPLIT(C432,""-"")"),431.0)</f>
        <v>431</v>
      </c>
      <c r="E432" s="311"/>
      <c r="F432" s="317" t="s">
        <v>37</v>
      </c>
      <c r="G432" s="308"/>
      <c r="H432" s="308" t="s">
        <v>1935</v>
      </c>
      <c r="I432" s="310">
        <v>40238.0</v>
      </c>
      <c r="J432" s="308">
        <f>IFERROR(__xludf.DUMMYFUNCTION("SPLIT(I432,""/"")"),1.0)</f>
        <v>1</v>
      </c>
      <c r="K432" s="308">
        <f>IFERROR(__xludf.DUMMYFUNCTION("""COMPUTED_VALUE"""),3.0)</f>
        <v>3</v>
      </c>
      <c r="L432" s="308">
        <f>IFERROR(__xludf.DUMMYFUNCTION("""COMPUTED_VALUE"""),2010.0)</f>
        <v>2010</v>
      </c>
      <c r="M432" s="308" t="s">
        <v>1936</v>
      </c>
      <c r="N432" s="308"/>
      <c r="O432" s="312" t="s">
        <v>635</v>
      </c>
      <c r="P432" s="308" t="s">
        <v>1937</v>
      </c>
      <c r="Q432" s="308"/>
      <c r="R432" s="308"/>
      <c r="S432" s="308" t="s">
        <v>49</v>
      </c>
      <c r="T432" s="315" t="s">
        <v>67</v>
      </c>
      <c r="U432" s="308"/>
      <c r="V432" s="312"/>
    </row>
    <row r="433">
      <c r="A433" s="308">
        <v>432.0</v>
      </c>
      <c r="B433" s="308">
        <v>3640.0</v>
      </c>
      <c r="C433" s="308" t="s">
        <v>34933</v>
      </c>
      <c r="D433" s="308">
        <f>IFERROR(__xludf.DUMMYFUNCTION("SPLIT(C433,""-"")"),432.0)</f>
        <v>432</v>
      </c>
      <c r="E433" s="311"/>
      <c r="F433" s="309" t="s">
        <v>34</v>
      </c>
      <c r="G433" s="308"/>
      <c r="H433" s="308" t="s">
        <v>1938</v>
      </c>
      <c r="I433" s="310">
        <v>40772.0</v>
      </c>
      <c r="J433" s="308">
        <f>IFERROR(__xludf.DUMMYFUNCTION("SPLIT(I433,""/"")"),17.0)</f>
        <v>17</v>
      </c>
      <c r="K433" s="308">
        <f>IFERROR(__xludf.DUMMYFUNCTION("""COMPUTED_VALUE"""),8.0)</f>
        <v>8</v>
      </c>
      <c r="L433" s="308">
        <f>IFERROR(__xludf.DUMMYFUNCTION("""COMPUTED_VALUE"""),2011.0)</f>
        <v>2011</v>
      </c>
      <c r="M433" s="308" t="s">
        <v>1939</v>
      </c>
      <c r="N433" s="308"/>
      <c r="O433" s="312" t="s">
        <v>34934</v>
      </c>
      <c r="P433" s="308" t="s">
        <v>1941</v>
      </c>
      <c r="Q433" s="308"/>
      <c r="R433" s="308"/>
      <c r="S433" s="308" t="s">
        <v>81</v>
      </c>
      <c r="T433" s="308" t="s">
        <v>34264</v>
      </c>
      <c r="U433" s="308"/>
      <c r="V433" s="312"/>
    </row>
    <row r="434">
      <c r="A434" s="308">
        <v>433.0</v>
      </c>
      <c r="B434" s="308">
        <v>3641.0</v>
      </c>
      <c r="C434" s="308" t="s">
        <v>34935</v>
      </c>
      <c r="D434" s="308">
        <f>IFERROR(__xludf.DUMMYFUNCTION("SPLIT(C434,""-"")"),433.0)</f>
        <v>433</v>
      </c>
      <c r="E434" s="311"/>
      <c r="F434" s="317" t="s">
        <v>39</v>
      </c>
      <c r="G434" s="308"/>
      <c r="H434" s="308" t="s">
        <v>1942</v>
      </c>
      <c r="I434" s="314">
        <v>40864.0</v>
      </c>
      <c r="J434" s="308">
        <f>IFERROR(__xludf.DUMMYFUNCTION("SPLIT(I434,""/"")"),17.0)</f>
        <v>17</v>
      </c>
      <c r="K434" s="308">
        <f>IFERROR(__xludf.DUMMYFUNCTION("""COMPUTED_VALUE"""),11.0)</f>
        <v>11</v>
      </c>
      <c r="L434" s="308">
        <f>IFERROR(__xludf.DUMMYFUNCTION("""COMPUTED_VALUE"""),2011.0)</f>
        <v>2011</v>
      </c>
      <c r="M434" s="308" t="s">
        <v>1943</v>
      </c>
      <c r="N434" s="308"/>
      <c r="O434" s="312" t="s">
        <v>34936</v>
      </c>
      <c r="P434" s="308" t="s">
        <v>1945</v>
      </c>
      <c r="Q434" s="308"/>
      <c r="R434" s="308"/>
      <c r="S434" s="308" t="s">
        <v>81</v>
      </c>
      <c r="T434" s="308" t="s">
        <v>75</v>
      </c>
      <c r="U434" s="308"/>
      <c r="V434" s="312"/>
    </row>
    <row r="435">
      <c r="A435" s="308">
        <v>434.0</v>
      </c>
      <c r="B435" s="308">
        <v>3642.0</v>
      </c>
      <c r="C435" s="308" t="s">
        <v>34937</v>
      </c>
      <c r="D435" s="308">
        <f>IFERROR(__xludf.DUMMYFUNCTION("SPLIT(C435,""-"")"),434.0)</f>
        <v>434</v>
      </c>
      <c r="E435" s="311"/>
      <c r="F435" s="309" t="s">
        <v>34</v>
      </c>
      <c r="G435" s="308" t="s">
        <v>1946</v>
      </c>
      <c r="H435" s="308" t="s">
        <v>1947</v>
      </c>
      <c r="I435" s="310">
        <v>40823.0</v>
      </c>
      <c r="J435" s="308">
        <f>IFERROR(__xludf.DUMMYFUNCTION("SPLIT(I435,""/"")"),7.0)</f>
        <v>7</v>
      </c>
      <c r="K435" s="308">
        <f>IFERROR(__xludf.DUMMYFUNCTION("""COMPUTED_VALUE"""),10.0)</f>
        <v>10</v>
      </c>
      <c r="L435" s="308">
        <f>IFERROR(__xludf.DUMMYFUNCTION("""COMPUTED_VALUE"""),2011.0)</f>
        <v>2011</v>
      </c>
      <c r="M435" s="308" t="s">
        <v>1948</v>
      </c>
      <c r="N435" s="308"/>
      <c r="O435" s="312" t="s">
        <v>34938</v>
      </c>
      <c r="P435" s="308" t="s">
        <v>1950</v>
      </c>
      <c r="Q435" s="308"/>
      <c r="R435" s="308"/>
      <c r="S435" s="308" t="s">
        <v>81</v>
      </c>
      <c r="T435" s="308" t="s">
        <v>34264</v>
      </c>
      <c r="U435" s="308"/>
      <c r="V435" s="312"/>
    </row>
    <row r="436">
      <c r="A436" s="308">
        <v>435.0</v>
      </c>
      <c r="B436" s="308">
        <v>3643.0</v>
      </c>
      <c r="C436" s="308" t="s">
        <v>34939</v>
      </c>
      <c r="D436" s="308">
        <f>IFERROR(__xludf.DUMMYFUNCTION("SPLIT(C436,""-"")"),435.0)</f>
        <v>435</v>
      </c>
      <c r="E436" s="311"/>
      <c r="F436" s="309" t="s">
        <v>34</v>
      </c>
      <c r="G436" s="308" t="s">
        <v>1951</v>
      </c>
      <c r="H436" s="308" t="s">
        <v>1952</v>
      </c>
      <c r="I436" s="310">
        <v>40823.0</v>
      </c>
      <c r="J436" s="308">
        <f>IFERROR(__xludf.DUMMYFUNCTION("SPLIT(I436,""/"")"),7.0)</f>
        <v>7</v>
      </c>
      <c r="K436" s="308">
        <f>IFERROR(__xludf.DUMMYFUNCTION("""COMPUTED_VALUE"""),10.0)</f>
        <v>10</v>
      </c>
      <c r="L436" s="308">
        <f>IFERROR(__xludf.DUMMYFUNCTION("""COMPUTED_VALUE"""),2011.0)</f>
        <v>2011</v>
      </c>
      <c r="M436" s="308" t="s">
        <v>1953</v>
      </c>
      <c r="N436" s="308"/>
      <c r="O436" s="312" t="s">
        <v>34938</v>
      </c>
      <c r="P436" s="308" t="s">
        <v>1950</v>
      </c>
      <c r="Q436" s="308"/>
      <c r="R436" s="308"/>
      <c r="S436" s="308" t="s">
        <v>81</v>
      </c>
      <c r="T436" s="308" t="s">
        <v>34264</v>
      </c>
      <c r="U436" s="308"/>
      <c r="V436" s="312"/>
    </row>
    <row r="437">
      <c r="A437" s="308">
        <v>436.0</v>
      </c>
      <c r="B437" s="308">
        <v>3644.0</v>
      </c>
      <c r="C437" s="308" t="s">
        <v>34940</v>
      </c>
      <c r="D437" s="308">
        <f>IFERROR(__xludf.DUMMYFUNCTION("SPLIT(C437,""-"")"),436.0)</f>
        <v>436</v>
      </c>
      <c r="E437" s="311"/>
      <c r="F437" s="317" t="s">
        <v>37</v>
      </c>
      <c r="G437" s="308" t="s">
        <v>1954</v>
      </c>
      <c r="H437" s="308" t="s">
        <v>1955</v>
      </c>
      <c r="I437" s="310">
        <v>40764.0</v>
      </c>
      <c r="J437" s="308">
        <f>IFERROR(__xludf.DUMMYFUNCTION("SPLIT(I437,""/"")"),9.0)</f>
        <v>9</v>
      </c>
      <c r="K437" s="308">
        <f>IFERROR(__xludf.DUMMYFUNCTION("""COMPUTED_VALUE"""),8.0)</f>
        <v>8</v>
      </c>
      <c r="L437" s="308">
        <f>IFERROR(__xludf.DUMMYFUNCTION("""COMPUTED_VALUE"""),2011.0)</f>
        <v>2011</v>
      </c>
      <c r="M437" s="308" t="s">
        <v>1956</v>
      </c>
      <c r="N437" s="308"/>
      <c r="O437" s="312" t="s">
        <v>34941</v>
      </c>
      <c r="P437" s="308" t="s">
        <v>34942</v>
      </c>
      <c r="Q437" s="308"/>
      <c r="R437" s="308"/>
      <c r="S437" s="308" t="s">
        <v>81</v>
      </c>
      <c r="T437" s="308" t="s">
        <v>75</v>
      </c>
      <c r="U437" s="308"/>
      <c r="V437" s="312"/>
    </row>
    <row r="438">
      <c r="A438" s="308">
        <v>437.0</v>
      </c>
      <c r="B438" s="308">
        <v>3646.0</v>
      </c>
      <c r="C438" s="308" t="s">
        <v>34943</v>
      </c>
      <c r="D438" s="308">
        <f>IFERROR(__xludf.DUMMYFUNCTION("SPLIT(C438,""-"")"),438.0)</f>
        <v>438</v>
      </c>
      <c r="E438" s="311"/>
      <c r="F438" s="317" t="s">
        <v>39</v>
      </c>
      <c r="G438" s="308" t="s">
        <v>1959</v>
      </c>
      <c r="H438" s="308" t="s">
        <v>1960</v>
      </c>
      <c r="I438" s="314">
        <v>40845.0</v>
      </c>
      <c r="J438" s="308">
        <f>IFERROR(__xludf.DUMMYFUNCTION("SPLIT(I438,""/"")"),29.0)</f>
        <v>29</v>
      </c>
      <c r="K438" s="308">
        <f>IFERROR(__xludf.DUMMYFUNCTION("""COMPUTED_VALUE"""),10.0)</f>
        <v>10</v>
      </c>
      <c r="L438" s="308">
        <f>IFERROR(__xludf.DUMMYFUNCTION("""COMPUTED_VALUE"""),2011.0)</f>
        <v>2011</v>
      </c>
      <c r="M438" s="308" t="s">
        <v>1961</v>
      </c>
      <c r="N438" s="308"/>
      <c r="O438" s="312" t="s">
        <v>635</v>
      </c>
      <c r="P438" s="308" t="s">
        <v>1962</v>
      </c>
      <c r="Q438" s="308"/>
      <c r="R438" s="308"/>
      <c r="S438" s="308" t="s">
        <v>81</v>
      </c>
      <c r="T438" s="308" t="s">
        <v>75</v>
      </c>
      <c r="U438" s="308"/>
      <c r="V438" s="312"/>
    </row>
    <row r="439">
      <c r="A439" s="308">
        <v>438.0</v>
      </c>
      <c r="B439" s="308">
        <v>3647.0</v>
      </c>
      <c r="C439" s="308" t="s">
        <v>34944</v>
      </c>
      <c r="D439" s="308">
        <f>IFERROR(__xludf.DUMMYFUNCTION("SPLIT(C439,""-"")"),439.0)</f>
        <v>439</v>
      </c>
      <c r="E439" s="311"/>
      <c r="F439" s="317" t="s">
        <v>37</v>
      </c>
      <c r="G439" s="308"/>
      <c r="H439" s="308" t="s">
        <v>1963</v>
      </c>
      <c r="I439" s="314">
        <v>40839.0</v>
      </c>
      <c r="J439" s="308">
        <f>IFERROR(__xludf.DUMMYFUNCTION("SPLIT(I439,""/"")"),23.0)</f>
        <v>23</v>
      </c>
      <c r="K439" s="308">
        <f>IFERROR(__xludf.DUMMYFUNCTION("""COMPUTED_VALUE"""),10.0)</f>
        <v>10</v>
      </c>
      <c r="L439" s="308">
        <f>IFERROR(__xludf.DUMMYFUNCTION("""COMPUTED_VALUE"""),2011.0)</f>
        <v>2011</v>
      </c>
      <c r="M439" s="308" t="s">
        <v>1964</v>
      </c>
      <c r="N439" s="308"/>
      <c r="O439" s="312" t="s">
        <v>34945</v>
      </c>
      <c r="P439" s="308" t="s">
        <v>148</v>
      </c>
      <c r="Q439" s="308"/>
      <c r="R439" s="308"/>
      <c r="S439" s="308" t="s">
        <v>49</v>
      </c>
      <c r="T439" s="308" t="s">
        <v>51</v>
      </c>
      <c r="U439" s="308"/>
      <c r="V439" s="312"/>
    </row>
    <row r="440">
      <c r="A440" s="308">
        <v>439.0</v>
      </c>
      <c r="B440" s="308">
        <v>3648.0</v>
      </c>
      <c r="C440" s="308" t="s">
        <v>1966</v>
      </c>
      <c r="D440" s="308">
        <f>IFERROR(__xludf.DUMMYFUNCTION("SPLIT(C440,""-"")"),440.0)</f>
        <v>440</v>
      </c>
      <c r="E440" s="308" t="str">
        <f>IFERROR(__xludf.DUMMYFUNCTION("""COMPUTED_VALUE"""),"K")</f>
        <v>K</v>
      </c>
      <c r="F440" s="309" t="s">
        <v>34</v>
      </c>
      <c r="G440" s="308" t="s">
        <v>1967</v>
      </c>
      <c r="H440" s="308" t="s">
        <v>1968</v>
      </c>
      <c r="I440" s="310">
        <v>40013.0</v>
      </c>
      <c r="J440" s="308">
        <f>IFERROR(__xludf.DUMMYFUNCTION("SPLIT(I440,""/"")"),19.0)</f>
        <v>19</v>
      </c>
      <c r="K440" s="308">
        <f>IFERROR(__xludf.DUMMYFUNCTION("""COMPUTED_VALUE"""),7.0)</f>
        <v>7</v>
      </c>
      <c r="L440" s="308">
        <f>IFERROR(__xludf.DUMMYFUNCTION("""COMPUTED_VALUE"""),2009.0)</f>
        <v>2009</v>
      </c>
      <c r="M440" s="308" t="s">
        <v>1969</v>
      </c>
      <c r="N440" s="308"/>
      <c r="O440" s="312" t="s">
        <v>1970</v>
      </c>
      <c r="P440" s="308" t="s">
        <v>1971</v>
      </c>
      <c r="Q440" s="308"/>
      <c r="R440" s="308"/>
      <c r="S440" s="315" t="s">
        <v>100</v>
      </c>
      <c r="T440" s="311" t="s">
        <v>34208</v>
      </c>
      <c r="U440" s="308" t="s">
        <v>530</v>
      </c>
      <c r="V440" s="312"/>
    </row>
    <row r="441">
      <c r="A441" s="308">
        <v>440.0</v>
      </c>
      <c r="B441" s="308">
        <v>3649.0</v>
      </c>
      <c r="C441" s="308" t="s">
        <v>34946</v>
      </c>
      <c r="D441" s="308">
        <f>IFERROR(__xludf.DUMMYFUNCTION("SPLIT(C441,""-"")"),441.0)</f>
        <v>441</v>
      </c>
      <c r="E441" s="311"/>
      <c r="F441" s="309" t="s">
        <v>34</v>
      </c>
      <c r="G441" s="308" t="s">
        <v>1967</v>
      </c>
      <c r="H441" s="308" t="s">
        <v>1972</v>
      </c>
      <c r="I441" s="310">
        <v>40013.0</v>
      </c>
      <c r="J441" s="308">
        <f>IFERROR(__xludf.DUMMYFUNCTION("SPLIT(I441,""/"")"),19.0)</f>
        <v>19</v>
      </c>
      <c r="K441" s="308">
        <f>IFERROR(__xludf.DUMMYFUNCTION("""COMPUTED_VALUE"""),7.0)</f>
        <v>7</v>
      </c>
      <c r="L441" s="308">
        <f>IFERROR(__xludf.DUMMYFUNCTION("""COMPUTED_VALUE"""),2009.0)</f>
        <v>2009</v>
      </c>
      <c r="M441" s="308" t="s">
        <v>1969</v>
      </c>
      <c r="N441" s="308"/>
      <c r="O441" s="312" t="s">
        <v>1970</v>
      </c>
      <c r="P441" s="308" t="s">
        <v>34947</v>
      </c>
      <c r="Q441" s="308"/>
      <c r="R441" s="308"/>
      <c r="S441" s="308" t="s">
        <v>81</v>
      </c>
      <c r="T441" s="308" t="s">
        <v>34264</v>
      </c>
      <c r="U441" s="308"/>
      <c r="V441" s="312"/>
    </row>
    <row r="442">
      <c r="A442" s="308">
        <v>441.0</v>
      </c>
      <c r="B442" s="308">
        <v>3650.0</v>
      </c>
      <c r="C442" s="308" t="s">
        <v>1974</v>
      </c>
      <c r="D442" s="308">
        <f>IFERROR(__xludf.DUMMYFUNCTION("SPLIT(C442,""-"")"),442.0)</f>
        <v>442</v>
      </c>
      <c r="E442" s="308" t="str">
        <f>IFERROR(__xludf.DUMMYFUNCTION("""COMPUTED_VALUE"""),"P")</f>
        <v>P</v>
      </c>
      <c r="F442" s="312" t="s">
        <v>37</v>
      </c>
      <c r="G442" s="308"/>
      <c r="H442" s="308" t="s">
        <v>1975</v>
      </c>
      <c r="I442" s="310">
        <v>39264.0</v>
      </c>
      <c r="J442" s="308">
        <f>IFERROR(__xludf.DUMMYFUNCTION("SPLIT(I442,""/"")"),1.0)</f>
        <v>1</v>
      </c>
      <c r="K442" s="308">
        <f>IFERROR(__xludf.DUMMYFUNCTION("""COMPUTED_VALUE"""),7.0)</f>
        <v>7</v>
      </c>
      <c r="L442" s="308">
        <f>IFERROR(__xludf.DUMMYFUNCTION("""COMPUTED_VALUE"""),2007.0)</f>
        <v>2007</v>
      </c>
      <c r="M442" s="308" t="s">
        <v>1976</v>
      </c>
      <c r="N442" s="308"/>
      <c r="O442" s="312" t="s">
        <v>34948</v>
      </c>
      <c r="P442" s="308" t="s">
        <v>252</v>
      </c>
      <c r="Q442" s="308"/>
      <c r="R442" s="308"/>
      <c r="S442" s="308" t="s">
        <v>49</v>
      </c>
      <c r="T442" s="308" t="s">
        <v>51</v>
      </c>
      <c r="U442" s="308" t="s">
        <v>143</v>
      </c>
      <c r="V442" s="312"/>
    </row>
    <row r="443">
      <c r="A443" s="308">
        <v>442.0</v>
      </c>
      <c r="B443" s="308">
        <v>3651.0</v>
      </c>
      <c r="C443" s="308" t="s">
        <v>34949</v>
      </c>
      <c r="D443" s="308">
        <f>IFERROR(__xludf.DUMMYFUNCTION("SPLIT(C443,""-"")"),443.0)</f>
        <v>443</v>
      </c>
      <c r="E443" s="311"/>
      <c r="F443" s="309" t="s">
        <v>34</v>
      </c>
      <c r="G443" s="308"/>
      <c r="H443" s="308" t="s">
        <v>1978</v>
      </c>
      <c r="I443" s="314">
        <v>40831.0</v>
      </c>
      <c r="J443" s="308">
        <f>IFERROR(__xludf.DUMMYFUNCTION("SPLIT(I443,""/"")"),15.0)</f>
        <v>15</v>
      </c>
      <c r="K443" s="308">
        <f>IFERROR(__xludf.DUMMYFUNCTION("""COMPUTED_VALUE"""),10.0)</f>
        <v>10</v>
      </c>
      <c r="L443" s="308">
        <f>IFERROR(__xludf.DUMMYFUNCTION("""COMPUTED_VALUE"""),2011.0)</f>
        <v>2011</v>
      </c>
      <c r="M443" s="308" t="s">
        <v>1979</v>
      </c>
      <c r="N443" s="308"/>
      <c r="O443" s="312" t="s">
        <v>34950</v>
      </c>
      <c r="P443" s="308" t="s">
        <v>1981</v>
      </c>
      <c r="Q443" s="308"/>
      <c r="R443" s="308"/>
      <c r="S443" s="308" t="s">
        <v>81</v>
      </c>
      <c r="T443" s="308" t="s">
        <v>75</v>
      </c>
      <c r="U443" s="308"/>
      <c r="V443" s="312"/>
    </row>
    <row r="444">
      <c r="A444" s="308">
        <v>443.0</v>
      </c>
      <c r="B444" s="308">
        <v>3652.0</v>
      </c>
      <c r="C444" s="308" t="s">
        <v>34951</v>
      </c>
      <c r="D444" s="308">
        <f>IFERROR(__xludf.DUMMYFUNCTION("SPLIT(C444,""-"")"),444.0)</f>
        <v>444</v>
      </c>
      <c r="E444" s="311"/>
      <c r="F444" s="309" t="s">
        <v>34</v>
      </c>
      <c r="G444" s="308" t="s">
        <v>1982</v>
      </c>
      <c r="H444" s="308" t="s">
        <v>1983</v>
      </c>
      <c r="I444" s="310">
        <v>40325.0</v>
      </c>
      <c r="J444" s="308">
        <f>IFERROR(__xludf.DUMMYFUNCTION("SPLIT(I444,""/"")"),27.0)</f>
        <v>27</v>
      </c>
      <c r="K444" s="308">
        <f>IFERROR(__xludf.DUMMYFUNCTION("""COMPUTED_VALUE"""),5.0)</f>
        <v>5</v>
      </c>
      <c r="L444" s="308">
        <f>IFERROR(__xludf.DUMMYFUNCTION("""COMPUTED_VALUE"""),2010.0)</f>
        <v>2010</v>
      </c>
      <c r="M444" s="308" t="s">
        <v>1984</v>
      </c>
      <c r="N444" s="308"/>
      <c r="O444" s="312" t="s">
        <v>34952</v>
      </c>
      <c r="P444" s="308" t="s">
        <v>252</v>
      </c>
      <c r="Q444" s="308"/>
      <c r="R444" s="308"/>
      <c r="S444" s="308" t="s">
        <v>49</v>
      </c>
      <c r="T444" s="308" t="s">
        <v>51</v>
      </c>
      <c r="U444" s="308" t="s">
        <v>137</v>
      </c>
      <c r="V444" s="312"/>
    </row>
    <row r="445">
      <c r="A445" s="308">
        <v>444.0</v>
      </c>
      <c r="B445" s="308">
        <v>3653.0</v>
      </c>
      <c r="C445" s="308" t="s">
        <v>34953</v>
      </c>
      <c r="D445" s="308">
        <f>IFERROR(__xludf.DUMMYFUNCTION("SPLIT(C445,""-"")"),445.0)</f>
        <v>445</v>
      </c>
      <c r="E445" s="311"/>
      <c r="F445" s="309" t="s">
        <v>34</v>
      </c>
      <c r="G445" s="308"/>
      <c r="H445" s="308" t="s">
        <v>1986</v>
      </c>
      <c r="I445" s="310">
        <v>40772.0</v>
      </c>
      <c r="J445" s="308">
        <f>IFERROR(__xludf.DUMMYFUNCTION("SPLIT(I445,""/"")"),17.0)</f>
        <v>17</v>
      </c>
      <c r="K445" s="308">
        <f>IFERROR(__xludf.DUMMYFUNCTION("""COMPUTED_VALUE"""),8.0)</f>
        <v>8</v>
      </c>
      <c r="L445" s="308">
        <f>IFERROR(__xludf.DUMMYFUNCTION("""COMPUTED_VALUE"""),2011.0)</f>
        <v>2011</v>
      </c>
      <c r="M445" s="308" t="s">
        <v>1987</v>
      </c>
      <c r="N445" s="308"/>
      <c r="O445" s="312" t="s">
        <v>34681</v>
      </c>
      <c r="P445" s="308" t="s">
        <v>1988</v>
      </c>
      <c r="Q445" s="308"/>
      <c r="R445" s="308"/>
      <c r="S445" s="308" t="s">
        <v>81</v>
      </c>
      <c r="T445" s="308" t="s">
        <v>34264</v>
      </c>
      <c r="U445" s="308"/>
      <c r="V445" s="312"/>
    </row>
    <row r="446">
      <c r="A446" s="308">
        <v>445.0</v>
      </c>
      <c r="B446" s="308">
        <v>3654.0</v>
      </c>
      <c r="C446" s="308" t="s">
        <v>34954</v>
      </c>
      <c r="D446" s="308">
        <f>IFERROR(__xludf.DUMMYFUNCTION("SPLIT(C446,""-"")"),446.0)</f>
        <v>446</v>
      </c>
      <c r="E446" s="311"/>
      <c r="F446" s="317" t="s">
        <v>37</v>
      </c>
      <c r="G446" s="308"/>
      <c r="H446" s="308" t="s">
        <v>1989</v>
      </c>
      <c r="I446" s="314">
        <v>40877.0</v>
      </c>
      <c r="J446" s="308">
        <f>IFERROR(__xludf.DUMMYFUNCTION("SPLIT(I446,""/"")"),30.0)</f>
        <v>30</v>
      </c>
      <c r="K446" s="308">
        <f>IFERROR(__xludf.DUMMYFUNCTION("""COMPUTED_VALUE"""),11.0)</f>
        <v>11</v>
      </c>
      <c r="L446" s="308">
        <f>IFERROR(__xludf.DUMMYFUNCTION("""COMPUTED_VALUE"""),2011.0)</f>
        <v>2011</v>
      </c>
      <c r="M446" s="308" t="s">
        <v>1990</v>
      </c>
      <c r="N446" s="308"/>
      <c r="O446" s="312" t="s">
        <v>34955</v>
      </c>
      <c r="P446" s="308" t="s">
        <v>1992</v>
      </c>
      <c r="Q446" s="308"/>
      <c r="R446" s="308"/>
      <c r="S446" s="308" t="s">
        <v>81</v>
      </c>
      <c r="T446" s="308" t="s">
        <v>75</v>
      </c>
      <c r="U446" s="308"/>
      <c r="V446" s="312"/>
    </row>
    <row r="447">
      <c r="A447" s="308">
        <v>446.0</v>
      </c>
      <c r="B447" s="308">
        <v>3655.0</v>
      </c>
      <c r="C447" s="308" t="s">
        <v>34956</v>
      </c>
      <c r="D447" s="308">
        <f>IFERROR(__xludf.DUMMYFUNCTION("SPLIT(C447,""-"")"),447.0)</f>
        <v>447</v>
      </c>
      <c r="E447" s="311"/>
      <c r="F447" s="309" t="s">
        <v>23</v>
      </c>
      <c r="G447" s="308"/>
      <c r="H447" s="308" t="s">
        <v>1993</v>
      </c>
      <c r="I447" s="314">
        <v>40466.0</v>
      </c>
      <c r="J447" s="308">
        <f>IFERROR(__xludf.DUMMYFUNCTION("SPLIT(I447,""/"")"),15.0)</f>
        <v>15</v>
      </c>
      <c r="K447" s="308">
        <f>IFERROR(__xludf.DUMMYFUNCTION("""COMPUTED_VALUE"""),10.0)</f>
        <v>10</v>
      </c>
      <c r="L447" s="308">
        <f>IFERROR(__xludf.DUMMYFUNCTION("""COMPUTED_VALUE"""),2010.0)</f>
        <v>2010</v>
      </c>
      <c r="M447" s="308" t="s">
        <v>34957</v>
      </c>
      <c r="N447" s="308"/>
      <c r="O447" s="312" t="s">
        <v>34958</v>
      </c>
      <c r="P447" s="308" t="s">
        <v>34959</v>
      </c>
      <c r="Q447" s="308"/>
      <c r="R447" s="308"/>
      <c r="S447" s="308" t="s">
        <v>81</v>
      </c>
      <c r="T447" s="308" t="s">
        <v>73</v>
      </c>
      <c r="U447" s="308"/>
      <c r="V447" s="312"/>
    </row>
    <row r="448">
      <c r="A448" s="308">
        <v>447.0</v>
      </c>
      <c r="B448" s="308">
        <v>3656.0</v>
      </c>
      <c r="C448" s="308" t="s">
        <v>34960</v>
      </c>
      <c r="D448" s="308">
        <f>IFERROR(__xludf.DUMMYFUNCTION("SPLIT(C448,""-"")"),448.0)</f>
        <v>448</v>
      </c>
      <c r="E448" s="311"/>
      <c r="F448" s="317" t="s">
        <v>37</v>
      </c>
      <c r="G448" s="308"/>
      <c r="H448" s="308" t="s">
        <v>1997</v>
      </c>
      <c r="I448" s="310">
        <v>40423.0</v>
      </c>
      <c r="J448" s="308">
        <f>IFERROR(__xludf.DUMMYFUNCTION("SPLIT(I448,""/"")"),2.0)</f>
        <v>2</v>
      </c>
      <c r="K448" s="308">
        <f>IFERROR(__xludf.DUMMYFUNCTION("""COMPUTED_VALUE"""),9.0)</f>
        <v>9</v>
      </c>
      <c r="L448" s="308">
        <f>IFERROR(__xludf.DUMMYFUNCTION("""COMPUTED_VALUE"""),2010.0)</f>
        <v>2010</v>
      </c>
      <c r="M448" s="308" t="s">
        <v>34961</v>
      </c>
      <c r="N448" s="308"/>
      <c r="O448" s="312" t="s">
        <v>34962</v>
      </c>
      <c r="P448" s="308" t="s">
        <v>148</v>
      </c>
      <c r="Q448" s="308"/>
      <c r="R448" s="308"/>
      <c r="S448" s="308" t="s">
        <v>49</v>
      </c>
      <c r="T448" s="308" t="s">
        <v>51</v>
      </c>
      <c r="U448" s="308" t="s">
        <v>1711</v>
      </c>
      <c r="V448" s="312"/>
    </row>
    <row r="449">
      <c r="A449" s="308">
        <v>448.0</v>
      </c>
      <c r="B449" s="308">
        <v>3657.0</v>
      </c>
      <c r="C449" s="308" t="s">
        <v>34963</v>
      </c>
      <c r="D449" s="308">
        <f>IFERROR(__xludf.DUMMYFUNCTION("SPLIT(C449,""-"")"),449.0)</f>
        <v>449</v>
      </c>
      <c r="E449" s="311"/>
      <c r="F449" s="317" t="s">
        <v>39</v>
      </c>
      <c r="G449" s="308"/>
      <c r="H449" s="308" t="s">
        <v>2000</v>
      </c>
      <c r="I449" s="314">
        <v>40844.0</v>
      </c>
      <c r="J449" s="308">
        <f>IFERROR(__xludf.DUMMYFUNCTION("SPLIT(I449,""/"")"),28.0)</f>
        <v>28</v>
      </c>
      <c r="K449" s="308">
        <f>IFERROR(__xludf.DUMMYFUNCTION("""COMPUTED_VALUE"""),10.0)</f>
        <v>10</v>
      </c>
      <c r="L449" s="308">
        <f>IFERROR(__xludf.DUMMYFUNCTION("""COMPUTED_VALUE"""),2011.0)</f>
        <v>2011</v>
      </c>
      <c r="M449" s="308" t="s">
        <v>34964</v>
      </c>
      <c r="N449" s="308"/>
      <c r="O449" s="312" t="s">
        <v>635</v>
      </c>
      <c r="P449" s="308" t="s">
        <v>2002</v>
      </c>
      <c r="Q449" s="308"/>
      <c r="R449" s="308"/>
      <c r="S449" s="308" t="s">
        <v>81</v>
      </c>
      <c r="T449" s="311" t="s">
        <v>96</v>
      </c>
      <c r="U449" s="308"/>
      <c r="V449" s="312"/>
    </row>
    <row r="450">
      <c r="A450" s="308">
        <v>449.0</v>
      </c>
      <c r="B450" s="308">
        <v>3658.0</v>
      </c>
      <c r="C450" s="308" t="s">
        <v>34965</v>
      </c>
      <c r="D450" s="308">
        <f>IFERROR(__xludf.DUMMYFUNCTION("SPLIT(C450,""-"")"),450.0)</f>
        <v>450</v>
      </c>
      <c r="E450" s="311"/>
      <c r="F450" s="309" t="s">
        <v>26</v>
      </c>
      <c r="G450" s="308"/>
      <c r="H450" s="308" t="s">
        <v>2003</v>
      </c>
      <c r="I450" s="314">
        <v>40876.0</v>
      </c>
      <c r="J450" s="308">
        <f>IFERROR(__xludf.DUMMYFUNCTION("SPLIT(I450,""/"")"),29.0)</f>
        <v>29</v>
      </c>
      <c r="K450" s="308">
        <f>IFERROR(__xludf.DUMMYFUNCTION("""COMPUTED_VALUE"""),11.0)</f>
        <v>11</v>
      </c>
      <c r="L450" s="308">
        <f>IFERROR(__xludf.DUMMYFUNCTION("""COMPUTED_VALUE"""),2011.0)</f>
        <v>2011</v>
      </c>
      <c r="M450" s="308" t="s">
        <v>2004</v>
      </c>
      <c r="N450" s="308"/>
      <c r="O450" s="312" t="s">
        <v>34966</v>
      </c>
      <c r="P450" s="308" t="s">
        <v>2006</v>
      </c>
      <c r="Q450" s="308"/>
      <c r="R450" s="308"/>
      <c r="S450" s="308" t="s">
        <v>81</v>
      </c>
      <c r="T450" s="311" t="s">
        <v>75</v>
      </c>
      <c r="U450" s="308"/>
      <c r="V450" s="312"/>
    </row>
    <row r="451">
      <c r="A451" s="308">
        <v>450.0</v>
      </c>
      <c r="B451" s="308">
        <v>3659.0</v>
      </c>
      <c r="C451" s="308" t="s">
        <v>2007</v>
      </c>
      <c r="D451" s="308">
        <f>IFERROR(__xludf.DUMMYFUNCTION("SPLIT(C451,""-"")"),451.0)</f>
        <v>451</v>
      </c>
      <c r="E451" s="308" t="str">
        <f>IFERROR(__xludf.DUMMYFUNCTION("""COMPUTED_VALUE"""),"P")</f>
        <v>P</v>
      </c>
      <c r="F451" s="312" t="s">
        <v>37</v>
      </c>
      <c r="G451" s="308"/>
      <c r="H451" s="308" t="s">
        <v>2008</v>
      </c>
      <c r="I451" s="310">
        <v>40676.0</v>
      </c>
      <c r="J451" s="308">
        <f>IFERROR(__xludf.DUMMYFUNCTION("SPLIT(I451,""/"")"),13.0)</f>
        <v>13</v>
      </c>
      <c r="K451" s="308">
        <f>IFERROR(__xludf.DUMMYFUNCTION("""COMPUTED_VALUE"""),5.0)</f>
        <v>5</v>
      </c>
      <c r="L451" s="308">
        <f>IFERROR(__xludf.DUMMYFUNCTION("""COMPUTED_VALUE"""),2011.0)</f>
        <v>2011</v>
      </c>
      <c r="M451" s="308" t="s">
        <v>2009</v>
      </c>
      <c r="N451" s="308"/>
      <c r="O451" s="308" t="s">
        <v>2010</v>
      </c>
      <c r="P451" s="308" t="s">
        <v>2011</v>
      </c>
      <c r="Q451" s="308"/>
      <c r="R451" s="308"/>
      <c r="S451" s="308" t="s">
        <v>49</v>
      </c>
      <c r="T451" s="308" t="s">
        <v>51</v>
      </c>
      <c r="U451" s="312"/>
      <c r="V451" s="312"/>
    </row>
    <row r="452">
      <c r="A452" s="308">
        <v>451.0</v>
      </c>
      <c r="B452" s="308">
        <v>3660.0</v>
      </c>
      <c r="C452" s="308" t="s">
        <v>2012</v>
      </c>
      <c r="D452" s="308">
        <f>IFERROR(__xludf.DUMMYFUNCTION("SPLIT(C452,""-"")"),452.0)</f>
        <v>452</v>
      </c>
      <c r="E452" s="308" t="str">
        <f>IFERROR(__xludf.DUMMYFUNCTION("""COMPUTED_VALUE"""),"K")</f>
        <v>K</v>
      </c>
      <c r="F452" s="309" t="s">
        <v>34</v>
      </c>
      <c r="G452" s="308"/>
      <c r="H452" s="308" t="s">
        <v>2013</v>
      </c>
      <c r="I452" s="310">
        <v>40729.0</v>
      </c>
      <c r="J452" s="308">
        <f>IFERROR(__xludf.DUMMYFUNCTION("SPLIT(I452,""/"")"),5.0)</f>
        <v>5</v>
      </c>
      <c r="K452" s="308">
        <f>IFERROR(__xludf.DUMMYFUNCTION("""COMPUTED_VALUE"""),7.0)</f>
        <v>7</v>
      </c>
      <c r="L452" s="308">
        <f>IFERROR(__xludf.DUMMYFUNCTION("""COMPUTED_VALUE"""),2011.0)</f>
        <v>2011</v>
      </c>
      <c r="M452" s="308" t="s">
        <v>34967</v>
      </c>
      <c r="N452" s="308"/>
      <c r="O452" s="308" t="s">
        <v>2015</v>
      </c>
      <c r="P452" s="308" t="s">
        <v>34968</v>
      </c>
      <c r="Q452" s="308"/>
      <c r="R452" s="308"/>
      <c r="S452" s="308" t="s">
        <v>81</v>
      </c>
      <c r="T452" s="311" t="s">
        <v>51</v>
      </c>
      <c r="U452" s="308"/>
      <c r="V452" s="312"/>
    </row>
    <row r="453">
      <c r="A453" s="308">
        <v>452.0</v>
      </c>
      <c r="B453" s="308">
        <v>3661.0</v>
      </c>
      <c r="C453" s="308" t="s">
        <v>34969</v>
      </c>
      <c r="D453" s="308">
        <f>IFERROR(__xludf.DUMMYFUNCTION("SPLIT(C453,""-"")"),453.0)</f>
        <v>453</v>
      </c>
      <c r="E453" s="311"/>
      <c r="F453" s="317" t="s">
        <v>37</v>
      </c>
      <c r="G453" s="308" t="s">
        <v>2017</v>
      </c>
      <c r="H453" s="308" t="s">
        <v>2018</v>
      </c>
      <c r="I453" s="316" t="s">
        <v>407</v>
      </c>
      <c r="J453" s="308" t="str">
        <f>IFERROR(__xludf.DUMMYFUNCTION("SPLIT(I453,""/"")"),"#REF!")</f>
        <v>#REF!</v>
      </c>
      <c r="K453" s="308"/>
      <c r="L453" s="311" t="s">
        <v>79</v>
      </c>
      <c r="M453" s="308" t="s">
        <v>34970</v>
      </c>
      <c r="N453" s="308"/>
      <c r="O453" s="312" t="s">
        <v>34971</v>
      </c>
      <c r="P453" s="308" t="s">
        <v>2021</v>
      </c>
      <c r="Q453" s="308"/>
      <c r="R453" s="308"/>
      <c r="S453" s="308" t="s">
        <v>49</v>
      </c>
      <c r="T453" s="308" t="s">
        <v>51</v>
      </c>
      <c r="U453" s="308"/>
      <c r="V453" s="312"/>
    </row>
    <row r="454">
      <c r="A454" s="308">
        <v>453.0</v>
      </c>
      <c r="B454" s="308">
        <v>3662.0</v>
      </c>
      <c r="C454" s="308" t="s">
        <v>2022</v>
      </c>
      <c r="D454" s="308">
        <f>IFERROR(__xludf.DUMMYFUNCTION("SPLIT(C454,""-"")"),454.0)</f>
        <v>454</v>
      </c>
      <c r="E454" s="308" t="str">
        <f>IFERROR(__xludf.DUMMYFUNCTION("""COMPUTED_VALUE"""),"K")</f>
        <v>K</v>
      </c>
      <c r="F454" s="309" t="s">
        <v>34</v>
      </c>
      <c r="G454" s="308" t="s">
        <v>2023</v>
      </c>
      <c r="H454" s="308" t="s">
        <v>2024</v>
      </c>
      <c r="I454" s="310">
        <v>39999.0</v>
      </c>
      <c r="J454" s="308">
        <f>IFERROR(__xludf.DUMMYFUNCTION("SPLIT(I454,""/"")"),5.0)</f>
        <v>5</v>
      </c>
      <c r="K454" s="308">
        <f>IFERROR(__xludf.DUMMYFUNCTION("""COMPUTED_VALUE"""),7.0)</f>
        <v>7</v>
      </c>
      <c r="L454" s="308">
        <f>IFERROR(__xludf.DUMMYFUNCTION("""COMPUTED_VALUE"""),2009.0)</f>
        <v>2009</v>
      </c>
      <c r="M454" s="308" t="s">
        <v>2025</v>
      </c>
      <c r="N454" s="308"/>
      <c r="O454" s="312" t="s">
        <v>2026</v>
      </c>
      <c r="P454" s="308" t="s">
        <v>1971</v>
      </c>
      <c r="Q454" s="308"/>
      <c r="R454" s="308"/>
      <c r="S454" s="315" t="s">
        <v>100</v>
      </c>
      <c r="T454" s="311" t="s">
        <v>34208</v>
      </c>
      <c r="U454" s="308" t="s">
        <v>530</v>
      </c>
      <c r="V454" s="312"/>
    </row>
    <row r="455">
      <c r="A455" s="308">
        <v>454.0</v>
      </c>
      <c r="B455" s="308">
        <v>3663.0</v>
      </c>
      <c r="C455" s="308" t="s">
        <v>2027</v>
      </c>
      <c r="D455" s="308">
        <f>IFERROR(__xludf.DUMMYFUNCTION("SPLIT(C455,""-"")"),455.0)</f>
        <v>455</v>
      </c>
      <c r="E455" s="308" t="str">
        <f>IFERROR(__xludf.DUMMYFUNCTION("""COMPUTED_VALUE"""),"K")</f>
        <v>K</v>
      </c>
      <c r="F455" s="309" t="s">
        <v>34</v>
      </c>
      <c r="G455" s="308" t="s">
        <v>2023</v>
      </c>
      <c r="H455" s="308" t="s">
        <v>2028</v>
      </c>
      <c r="I455" s="310">
        <v>39999.0</v>
      </c>
      <c r="J455" s="308">
        <f>IFERROR(__xludf.DUMMYFUNCTION("SPLIT(I455,""/"")"),5.0)</f>
        <v>5</v>
      </c>
      <c r="K455" s="308">
        <f>IFERROR(__xludf.DUMMYFUNCTION("""COMPUTED_VALUE"""),7.0)</f>
        <v>7</v>
      </c>
      <c r="L455" s="308">
        <f>IFERROR(__xludf.DUMMYFUNCTION("""COMPUTED_VALUE"""),2009.0)</f>
        <v>2009</v>
      </c>
      <c r="M455" s="308" t="s">
        <v>2025</v>
      </c>
      <c r="N455" s="308"/>
      <c r="O455" s="312" t="s">
        <v>2026</v>
      </c>
      <c r="P455" s="308" t="s">
        <v>1971</v>
      </c>
      <c r="Q455" s="308"/>
      <c r="R455" s="308"/>
      <c r="S455" s="315" t="s">
        <v>100</v>
      </c>
      <c r="T455" s="311" t="s">
        <v>34208</v>
      </c>
      <c r="U455" s="308" t="s">
        <v>530</v>
      </c>
      <c r="V455" s="312"/>
    </row>
    <row r="456">
      <c r="A456" s="308">
        <v>455.0</v>
      </c>
      <c r="B456" s="308">
        <v>3664.0</v>
      </c>
      <c r="C456" s="308" t="s">
        <v>34972</v>
      </c>
      <c r="D456" s="308">
        <f>IFERROR(__xludf.DUMMYFUNCTION("SPLIT(C456,""-"")"),456.0)</f>
        <v>456</v>
      </c>
      <c r="E456" s="311"/>
      <c r="F456" s="309" t="s">
        <v>34</v>
      </c>
      <c r="G456" s="308"/>
      <c r="H456" s="308" t="s">
        <v>2029</v>
      </c>
      <c r="I456" s="310">
        <v>40725.0</v>
      </c>
      <c r="J456" s="308">
        <f>IFERROR(__xludf.DUMMYFUNCTION("SPLIT(I456,""/"")"),1.0)</f>
        <v>1</v>
      </c>
      <c r="K456" s="308">
        <f>IFERROR(__xludf.DUMMYFUNCTION("""COMPUTED_VALUE"""),7.0)</f>
        <v>7</v>
      </c>
      <c r="L456" s="308">
        <f>IFERROR(__xludf.DUMMYFUNCTION("""COMPUTED_VALUE"""),2011.0)</f>
        <v>2011</v>
      </c>
      <c r="M456" s="308" t="s">
        <v>2030</v>
      </c>
      <c r="N456" s="308"/>
      <c r="O456" s="312" t="s">
        <v>635</v>
      </c>
      <c r="P456" s="308" t="s">
        <v>2031</v>
      </c>
      <c r="Q456" s="308"/>
      <c r="R456" s="308"/>
      <c r="S456" s="308" t="s">
        <v>81</v>
      </c>
      <c r="T456" s="308" t="s">
        <v>34264</v>
      </c>
      <c r="U456" s="308"/>
      <c r="V456" s="312"/>
    </row>
    <row r="457">
      <c r="A457" s="308">
        <v>456.0</v>
      </c>
      <c r="B457" s="308">
        <v>3665.0</v>
      </c>
      <c r="C457" s="308" t="s">
        <v>34973</v>
      </c>
      <c r="D457" s="308">
        <f>IFERROR(__xludf.DUMMYFUNCTION("SPLIT(C457,""-"")"),457.0)</f>
        <v>457</v>
      </c>
      <c r="E457" s="311"/>
      <c r="F457" s="317" t="s">
        <v>37</v>
      </c>
      <c r="G457" s="308"/>
      <c r="H457" s="308" t="s">
        <v>2032</v>
      </c>
      <c r="I457" s="314">
        <v>40901.0</v>
      </c>
      <c r="J457" s="308">
        <f>IFERROR(__xludf.DUMMYFUNCTION("SPLIT(I457,""/"")"),24.0)</f>
        <v>24</v>
      </c>
      <c r="K457" s="308">
        <f>IFERROR(__xludf.DUMMYFUNCTION("""COMPUTED_VALUE"""),12.0)</f>
        <v>12</v>
      </c>
      <c r="L457" s="308">
        <f>IFERROR(__xludf.DUMMYFUNCTION("""COMPUTED_VALUE"""),2011.0)</f>
        <v>2011</v>
      </c>
      <c r="M457" s="308" t="s">
        <v>2033</v>
      </c>
      <c r="N457" s="308"/>
      <c r="O457" s="312" t="s">
        <v>34974</v>
      </c>
      <c r="P457" s="308" t="s">
        <v>2035</v>
      </c>
      <c r="Q457" s="308"/>
      <c r="R457" s="308"/>
      <c r="S457" s="308" t="s">
        <v>81</v>
      </c>
      <c r="T457" s="311" t="s">
        <v>96</v>
      </c>
      <c r="U457" s="308"/>
      <c r="V457" s="312"/>
    </row>
    <row r="458">
      <c r="A458" s="308">
        <v>457.0</v>
      </c>
      <c r="B458" s="308">
        <v>3666.0</v>
      </c>
      <c r="C458" s="308" t="s">
        <v>34975</v>
      </c>
      <c r="D458" s="308">
        <f>IFERROR(__xludf.DUMMYFUNCTION("SPLIT(C458,""-"")"),458.0)</f>
        <v>458</v>
      </c>
      <c r="E458" s="311"/>
      <c r="F458" s="317" t="s">
        <v>37</v>
      </c>
      <c r="G458" s="308"/>
      <c r="H458" s="308" t="s">
        <v>2036</v>
      </c>
      <c r="I458" s="310">
        <v>38961.0</v>
      </c>
      <c r="J458" s="308">
        <f>IFERROR(__xludf.DUMMYFUNCTION("SPLIT(I458,""/"")"),1.0)</f>
        <v>1</v>
      </c>
      <c r="K458" s="308">
        <f>IFERROR(__xludf.DUMMYFUNCTION("""COMPUTED_VALUE"""),9.0)</f>
        <v>9</v>
      </c>
      <c r="L458" s="308">
        <f>IFERROR(__xludf.DUMMYFUNCTION("""COMPUTED_VALUE"""),2006.0)</f>
        <v>2006</v>
      </c>
      <c r="M458" s="308" t="s">
        <v>2037</v>
      </c>
      <c r="N458" s="308"/>
      <c r="O458" s="308" t="s">
        <v>2038</v>
      </c>
      <c r="P458" s="308" t="s">
        <v>2039</v>
      </c>
      <c r="Q458" s="308"/>
      <c r="R458" s="308"/>
      <c r="S458" s="308" t="s">
        <v>49</v>
      </c>
      <c r="T458" s="308" t="s">
        <v>51</v>
      </c>
      <c r="U458" s="308"/>
      <c r="V458" s="312"/>
    </row>
    <row r="459">
      <c r="A459" s="308">
        <v>458.0</v>
      </c>
      <c r="B459" s="308">
        <v>3667.0</v>
      </c>
      <c r="C459" s="308" t="s">
        <v>2040</v>
      </c>
      <c r="D459" s="308">
        <f>IFERROR(__xludf.DUMMYFUNCTION("SPLIT(C459,""-"")"),459.0)</f>
        <v>459</v>
      </c>
      <c r="E459" s="308" t="str">
        <f>IFERROR(__xludf.DUMMYFUNCTION("""COMPUTED_VALUE""")," ICT")</f>
        <v> ICT</v>
      </c>
      <c r="F459" s="315" t="s">
        <v>31</v>
      </c>
      <c r="G459" s="308"/>
      <c r="H459" s="308" t="s">
        <v>2041</v>
      </c>
      <c r="I459" s="310">
        <v>39760.0</v>
      </c>
      <c r="J459" s="308">
        <f>IFERROR(__xludf.DUMMYFUNCTION("SPLIT(I459,""/"")"),8.0)</f>
        <v>8</v>
      </c>
      <c r="K459" s="308">
        <f>IFERROR(__xludf.DUMMYFUNCTION("""COMPUTED_VALUE"""),11.0)</f>
        <v>11</v>
      </c>
      <c r="L459" s="308">
        <f>IFERROR(__xludf.DUMMYFUNCTION("""COMPUTED_VALUE"""),2008.0)</f>
        <v>2008</v>
      </c>
      <c r="M459" s="308" t="s">
        <v>2042</v>
      </c>
      <c r="N459" s="308"/>
      <c r="O459" s="312" t="s">
        <v>34976</v>
      </c>
      <c r="P459" s="308" t="s">
        <v>34977</v>
      </c>
      <c r="Q459" s="308"/>
      <c r="R459" s="308"/>
      <c r="S459" s="308" t="s">
        <v>49</v>
      </c>
      <c r="T459" s="311" t="s">
        <v>51</v>
      </c>
      <c r="U459" s="308" t="s">
        <v>31</v>
      </c>
      <c r="V459" s="312"/>
    </row>
    <row r="460">
      <c r="A460" s="308">
        <v>459.0</v>
      </c>
      <c r="B460" s="308">
        <v>3668.0</v>
      </c>
      <c r="C460" s="308" t="s">
        <v>34978</v>
      </c>
      <c r="D460" s="308">
        <f>IFERROR(__xludf.DUMMYFUNCTION("SPLIT(C460,""-"")"),460.0)</f>
        <v>460</v>
      </c>
      <c r="E460" s="311"/>
      <c r="F460" s="317" t="s">
        <v>37</v>
      </c>
      <c r="G460" s="308"/>
      <c r="H460" s="308" t="s">
        <v>2045</v>
      </c>
      <c r="I460" s="314">
        <v>40860.0</v>
      </c>
      <c r="J460" s="308">
        <f>IFERROR(__xludf.DUMMYFUNCTION("SPLIT(I460,""/"")"),13.0)</f>
        <v>13</v>
      </c>
      <c r="K460" s="308">
        <f>IFERROR(__xludf.DUMMYFUNCTION("""COMPUTED_VALUE"""),11.0)</f>
        <v>11</v>
      </c>
      <c r="L460" s="308">
        <f>IFERROR(__xludf.DUMMYFUNCTION("""COMPUTED_VALUE"""),2011.0)</f>
        <v>2011</v>
      </c>
      <c r="M460" s="308" t="s">
        <v>2046</v>
      </c>
      <c r="N460" s="308"/>
      <c r="O460" s="312" t="s">
        <v>34979</v>
      </c>
      <c r="P460" s="308" t="s">
        <v>2048</v>
      </c>
      <c r="Q460" s="308"/>
      <c r="R460" s="308"/>
      <c r="S460" s="308" t="s">
        <v>81</v>
      </c>
      <c r="T460" s="311" t="s">
        <v>96</v>
      </c>
      <c r="U460" s="308"/>
      <c r="V460" s="312"/>
    </row>
    <row r="461">
      <c r="A461" s="308">
        <v>460.0</v>
      </c>
      <c r="B461" s="308">
        <v>3669.0</v>
      </c>
      <c r="C461" s="308" t="s">
        <v>34980</v>
      </c>
      <c r="D461" s="308">
        <f>IFERROR(__xludf.DUMMYFUNCTION("SPLIT(C461,""-"")"),461.0)</f>
        <v>461</v>
      </c>
      <c r="E461" s="311"/>
      <c r="F461" s="309" t="s">
        <v>34</v>
      </c>
      <c r="G461" s="308"/>
      <c r="H461" s="308" t="s">
        <v>2049</v>
      </c>
      <c r="I461" s="310">
        <v>40672.0</v>
      </c>
      <c r="J461" s="308">
        <f>IFERROR(__xludf.DUMMYFUNCTION("SPLIT(I461,""/"")"),9.0)</f>
        <v>9</v>
      </c>
      <c r="K461" s="308">
        <f>IFERROR(__xludf.DUMMYFUNCTION("""COMPUTED_VALUE"""),5.0)</f>
        <v>5</v>
      </c>
      <c r="L461" s="308">
        <f>IFERROR(__xludf.DUMMYFUNCTION("""COMPUTED_VALUE"""),2011.0)</f>
        <v>2011</v>
      </c>
      <c r="M461" s="308" t="s">
        <v>2050</v>
      </c>
      <c r="N461" s="308"/>
      <c r="O461" s="308" t="s">
        <v>2051</v>
      </c>
      <c r="P461" s="308" t="s">
        <v>2052</v>
      </c>
      <c r="Q461" s="308"/>
      <c r="R461" s="308"/>
      <c r="S461" s="308" t="s">
        <v>49</v>
      </c>
      <c r="T461" s="311" t="s">
        <v>77</v>
      </c>
      <c r="U461" s="308"/>
      <c r="V461" s="312"/>
    </row>
    <row r="462">
      <c r="A462" s="308">
        <v>461.0</v>
      </c>
      <c r="B462" s="308">
        <v>3670.0</v>
      </c>
      <c r="C462" s="308" t="s">
        <v>34981</v>
      </c>
      <c r="D462" s="308">
        <f>IFERROR(__xludf.DUMMYFUNCTION("SPLIT(C462,""-"")"),462.0)</f>
        <v>462</v>
      </c>
      <c r="E462" s="311"/>
      <c r="F462" s="317" t="s">
        <v>37</v>
      </c>
      <c r="G462" s="308"/>
      <c r="H462" s="308" t="s">
        <v>2053</v>
      </c>
      <c r="I462" s="310">
        <v>40910.0</v>
      </c>
      <c r="J462" s="308">
        <f>IFERROR(__xludf.DUMMYFUNCTION("SPLIT(I462,""/"")"),2.0)</f>
        <v>2</v>
      </c>
      <c r="K462" s="308">
        <f>IFERROR(__xludf.DUMMYFUNCTION("""COMPUTED_VALUE"""),1.0)</f>
        <v>1</v>
      </c>
      <c r="L462" s="308">
        <f>IFERROR(__xludf.DUMMYFUNCTION("""COMPUTED_VALUE"""),2012.0)</f>
        <v>2012</v>
      </c>
      <c r="M462" s="308" t="s">
        <v>2054</v>
      </c>
      <c r="N462" s="308"/>
      <c r="O462" s="308" t="s">
        <v>2055</v>
      </c>
      <c r="P462" s="308" t="s">
        <v>2056</v>
      </c>
      <c r="Q462" s="308"/>
      <c r="R462" s="308"/>
      <c r="S462" s="308" t="s">
        <v>49</v>
      </c>
      <c r="T462" s="311" t="s">
        <v>51</v>
      </c>
      <c r="U462" s="308"/>
      <c r="V462" s="312"/>
    </row>
    <row r="463">
      <c r="A463" s="308">
        <v>462.0</v>
      </c>
      <c r="B463" s="308">
        <v>3671.0</v>
      </c>
      <c r="C463" s="308" t="s">
        <v>34982</v>
      </c>
      <c r="D463" s="308">
        <f>IFERROR(__xludf.DUMMYFUNCTION("SPLIT(C463,""-"")"),463.0)</f>
        <v>463</v>
      </c>
      <c r="E463" s="311"/>
      <c r="F463" s="317" t="s">
        <v>37</v>
      </c>
      <c r="G463" s="308"/>
      <c r="H463" s="308" t="s">
        <v>2057</v>
      </c>
      <c r="I463" s="314">
        <v>39412.0</v>
      </c>
      <c r="J463" s="308">
        <f>IFERROR(__xludf.DUMMYFUNCTION("SPLIT(I463,""/"")"),26.0)</f>
        <v>26</v>
      </c>
      <c r="K463" s="308">
        <f>IFERROR(__xludf.DUMMYFUNCTION("""COMPUTED_VALUE"""),11.0)</f>
        <v>11</v>
      </c>
      <c r="L463" s="308">
        <f>IFERROR(__xludf.DUMMYFUNCTION("""COMPUTED_VALUE"""),2007.0)</f>
        <v>2007</v>
      </c>
      <c r="M463" s="308" t="s">
        <v>2058</v>
      </c>
      <c r="N463" s="308"/>
      <c r="O463" s="308" t="s">
        <v>2059</v>
      </c>
      <c r="P463" s="308" t="s">
        <v>148</v>
      </c>
      <c r="Q463" s="308"/>
      <c r="R463" s="308"/>
      <c r="S463" s="308" t="s">
        <v>49</v>
      </c>
      <c r="T463" s="308" t="s">
        <v>51</v>
      </c>
      <c r="U463" s="308"/>
      <c r="V463" s="312"/>
    </row>
    <row r="464">
      <c r="A464" s="308">
        <v>463.0</v>
      </c>
      <c r="B464" s="308">
        <v>3672.0</v>
      </c>
      <c r="C464" s="308" t="s">
        <v>34983</v>
      </c>
      <c r="D464" s="308">
        <f>IFERROR(__xludf.DUMMYFUNCTION("SPLIT(C464,""-"")"),464.0)</f>
        <v>464</v>
      </c>
      <c r="E464" s="311"/>
      <c r="F464" s="309" t="s">
        <v>34</v>
      </c>
      <c r="G464" s="308" t="s">
        <v>2060</v>
      </c>
      <c r="H464" s="308" t="s">
        <v>2061</v>
      </c>
      <c r="I464" s="310">
        <v>40791.0</v>
      </c>
      <c r="J464" s="308">
        <f>IFERROR(__xludf.DUMMYFUNCTION("SPLIT(I464,""/"")"),5.0)</f>
        <v>5</v>
      </c>
      <c r="K464" s="308">
        <f>IFERROR(__xludf.DUMMYFUNCTION("""COMPUTED_VALUE"""),9.0)</f>
        <v>9</v>
      </c>
      <c r="L464" s="308">
        <f>IFERROR(__xludf.DUMMYFUNCTION("""COMPUTED_VALUE"""),2011.0)</f>
        <v>2011</v>
      </c>
      <c r="M464" s="308" t="s">
        <v>2062</v>
      </c>
      <c r="N464" s="308"/>
      <c r="O464" s="312" t="s">
        <v>34984</v>
      </c>
      <c r="P464" s="308" t="s">
        <v>2064</v>
      </c>
      <c r="Q464" s="308"/>
      <c r="R464" s="308"/>
      <c r="S464" s="308" t="s">
        <v>81</v>
      </c>
      <c r="T464" s="308" t="s">
        <v>34264</v>
      </c>
      <c r="U464" s="308"/>
      <c r="V464" s="312"/>
    </row>
    <row r="465">
      <c r="A465" s="308">
        <v>464.0</v>
      </c>
      <c r="B465" s="308">
        <v>3673.0</v>
      </c>
      <c r="C465" s="308" t="s">
        <v>34985</v>
      </c>
      <c r="D465" s="308">
        <f>IFERROR(__xludf.DUMMYFUNCTION("SPLIT(C465,""-"")"),465.0)</f>
        <v>465</v>
      </c>
      <c r="E465" s="311"/>
      <c r="F465" s="309" t="s">
        <v>26</v>
      </c>
      <c r="G465" s="308"/>
      <c r="H465" s="308" t="s">
        <v>2065</v>
      </c>
      <c r="I465" s="310">
        <v>40683.0</v>
      </c>
      <c r="J465" s="308">
        <f>IFERROR(__xludf.DUMMYFUNCTION("SPLIT(I465,""/"")"),20.0)</f>
        <v>20</v>
      </c>
      <c r="K465" s="308">
        <f>IFERROR(__xludf.DUMMYFUNCTION("""COMPUTED_VALUE"""),5.0)</f>
        <v>5</v>
      </c>
      <c r="L465" s="308">
        <f>IFERROR(__xludf.DUMMYFUNCTION("""COMPUTED_VALUE"""),2011.0)</f>
        <v>2011</v>
      </c>
      <c r="M465" s="308" t="s">
        <v>2066</v>
      </c>
      <c r="N465" s="308"/>
      <c r="O465" s="312" t="s">
        <v>635</v>
      </c>
      <c r="P465" s="308" t="s">
        <v>2067</v>
      </c>
      <c r="Q465" s="308"/>
      <c r="R465" s="308"/>
      <c r="S465" s="308" t="s">
        <v>81</v>
      </c>
      <c r="T465" s="308" t="s">
        <v>75</v>
      </c>
      <c r="U465" s="308"/>
      <c r="V465" s="312"/>
    </row>
    <row r="466">
      <c r="A466" s="308">
        <v>465.0</v>
      </c>
      <c r="B466" s="308">
        <v>3674.0</v>
      </c>
      <c r="C466" s="308" t="s">
        <v>34986</v>
      </c>
      <c r="D466" s="308">
        <f>IFERROR(__xludf.DUMMYFUNCTION("SPLIT(C466,""-"")"),466.0)</f>
        <v>466</v>
      </c>
      <c r="E466" s="311"/>
      <c r="F466" s="317" t="s">
        <v>37</v>
      </c>
      <c r="G466" s="308"/>
      <c r="H466" s="308" t="s">
        <v>2068</v>
      </c>
      <c r="I466" s="316" t="s">
        <v>407</v>
      </c>
      <c r="J466" s="308" t="str">
        <f>IFERROR(__xludf.DUMMYFUNCTION("SPLIT(I466,""/"")"),"#REF!")</f>
        <v>#REF!</v>
      </c>
      <c r="K466" s="308"/>
      <c r="L466" s="311" t="s">
        <v>79</v>
      </c>
      <c r="M466" s="308" t="s">
        <v>2069</v>
      </c>
      <c r="N466" s="308"/>
      <c r="O466" s="312"/>
      <c r="P466" s="308" t="s">
        <v>34987</v>
      </c>
      <c r="Q466" s="308"/>
      <c r="R466" s="308"/>
      <c r="S466" s="308" t="s">
        <v>81</v>
      </c>
      <c r="T466" s="311" t="s">
        <v>75</v>
      </c>
      <c r="U466" s="308"/>
      <c r="V466" s="312"/>
    </row>
    <row r="467">
      <c r="A467" s="308">
        <v>466.0</v>
      </c>
      <c r="B467" s="308">
        <v>3675.0</v>
      </c>
      <c r="C467" s="308" t="s">
        <v>2071</v>
      </c>
      <c r="D467" s="308">
        <f>IFERROR(__xludf.DUMMYFUNCTION("SPLIT(C467,""-"")"),467.0)</f>
        <v>467</v>
      </c>
      <c r="E467" s="308" t="str">
        <f>IFERROR(__xludf.DUMMYFUNCTION("""COMPUTED_VALUE"""),"B")</f>
        <v>B</v>
      </c>
      <c r="F467" s="315" t="s">
        <v>26</v>
      </c>
      <c r="G467" s="308"/>
      <c r="H467" s="308" t="s">
        <v>2072</v>
      </c>
      <c r="I467" s="310">
        <v>40592.0</v>
      </c>
      <c r="J467" s="308">
        <f>IFERROR(__xludf.DUMMYFUNCTION("SPLIT(I467,""/"")"),18.0)</f>
        <v>18</v>
      </c>
      <c r="K467" s="308">
        <f>IFERROR(__xludf.DUMMYFUNCTION("""COMPUTED_VALUE"""),2.0)</f>
        <v>2</v>
      </c>
      <c r="L467" s="308">
        <f>IFERROR(__xludf.DUMMYFUNCTION("""COMPUTED_VALUE"""),2011.0)</f>
        <v>2011</v>
      </c>
      <c r="M467" s="308" t="s">
        <v>2073</v>
      </c>
      <c r="N467" s="308"/>
      <c r="O467" s="312" t="s">
        <v>34988</v>
      </c>
      <c r="P467" s="308" t="s">
        <v>1490</v>
      </c>
      <c r="Q467" s="308"/>
      <c r="R467" s="308"/>
      <c r="S467" s="315" t="s">
        <v>100</v>
      </c>
      <c r="T467" s="311" t="s">
        <v>34208</v>
      </c>
      <c r="U467" s="308" t="s">
        <v>27</v>
      </c>
      <c r="V467" s="312"/>
    </row>
    <row r="468">
      <c r="A468" s="308">
        <v>467.0</v>
      </c>
      <c r="B468" s="308">
        <v>3676.0</v>
      </c>
      <c r="C468" s="308" t="s">
        <v>2075</v>
      </c>
      <c r="D468" s="308">
        <f>IFERROR(__xludf.DUMMYFUNCTION("SPLIT(C468,""-"")"),468.0)</f>
        <v>468</v>
      </c>
      <c r="E468" s="308" t="str">
        <f>IFERROR(__xludf.DUMMYFUNCTION("""COMPUTED_VALUE"""),"B")</f>
        <v>B</v>
      </c>
      <c r="F468" s="315" t="s">
        <v>26</v>
      </c>
      <c r="G468" s="308"/>
      <c r="H468" s="308" t="s">
        <v>2076</v>
      </c>
      <c r="I468" s="310">
        <v>40592.0</v>
      </c>
      <c r="J468" s="308">
        <f>IFERROR(__xludf.DUMMYFUNCTION("SPLIT(I468,""/"")"),18.0)</f>
        <v>18</v>
      </c>
      <c r="K468" s="308">
        <f>IFERROR(__xludf.DUMMYFUNCTION("""COMPUTED_VALUE"""),2.0)</f>
        <v>2</v>
      </c>
      <c r="L468" s="308">
        <f>IFERROR(__xludf.DUMMYFUNCTION("""COMPUTED_VALUE"""),2011.0)</f>
        <v>2011</v>
      </c>
      <c r="M468" s="308" t="s">
        <v>2073</v>
      </c>
      <c r="N468" s="308"/>
      <c r="O468" s="308" t="s">
        <v>2073</v>
      </c>
      <c r="P468" s="308" t="s">
        <v>1490</v>
      </c>
      <c r="Q468" s="308"/>
      <c r="R468" s="308"/>
      <c r="S468" s="315" t="s">
        <v>100</v>
      </c>
      <c r="T468" s="311" t="s">
        <v>34208</v>
      </c>
      <c r="U468" s="308" t="s">
        <v>27</v>
      </c>
      <c r="V468" s="312"/>
    </row>
    <row r="469">
      <c r="A469" s="308">
        <v>468.0</v>
      </c>
      <c r="B469" s="308">
        <v>3677.0</v>
      </c>
      <c r="C469" s="308" t="s">
        <v>2077</v>
      </c>
      <c r="D469" s="308">
        <f>IFERROR(__xludf.DUMMYFUNCTION("SPLIT(C469,""-"")"),469.0)</f>
        <v>469</v>
      </c>
      <c r="E469" s="308" t="str">
        <f>IFERROR(__xludf.DUMMYFUNCTION("""COMPUTED_VALUE"""),"B")</f>
        <v>B</v>
      </c>
      <c r="F469" s="315" t="s">
        <v>26</v>
      </c>
      <c r="G469" s="308"/>
      <c r="H469" s="308" t="s">
        <v>2078</v>
      </c>
      <c r="I469" s="310">
        <v>40592.0</v>
      </c>
      <c r="J469" s="308">
        <f>IFERROR(__xludf.DUMMYFUNCTION("SPLIT(I469,""/"")"),18.0)</f>
        <v>18</v>
      </c>
      <c r="K469" s="308">
        <f>IFERROR(__xludf.DUMMYFUNCTION("""COMPUTED_VALUE"""),2.0)</f>
        <v>2</v>
      </c>
      <c r="L469" s="308">
        <f>IFERROR(__xludf.DUMMYFUNCTION("""COMPUTED_VALUE"""),2011.0)</f>
        <v>2011</v>
      </c>
      <c r="M469" s="308" t="s">
        <v>2073</v>
      </c>
      <c r="N469" s="308"/>
      <c r="O469" s="312" t="s">
        <v>34988</v>
      </c>
      <c r="P469" s="308" t="s">
        <v>1490</v>
      </c>
      <c r="Q469" s="308"/>
      <c r="R469" s="308"/>
      <c r="S469" s="315" t="s">
        <v>100</v>
      </c>
      <c r="T469" s="311" t="s">
        <v>34208</v>
      </c>
      <c r="U469" s="308" t="s">
        <v>27</v>
      </c>
      <c r="V469" s="312"/>
    </row>
    <row r="470">
      <c r="A470" s="308">
        <v>469.0</v>
      </c>
      <c r="B470" s="308">
        <v>3678.0</v>
      </c>
      <c r="C470" s="308" t="s">
        <v>34989</v>
      </c>
      <c r="D470" s="308">
        <f>IFERROR(__xludf.DUMMYFUNCTION("SPLIT(C470,""-"")"),470.0)</f>
        <v>470</v>
      </c>
      <c r="E470" s="311"/>
      <c r="F470" s="317" t="s">
        <v>37</v>
      </c>
      <c r="G470" s="308"/>
      <c r="H470" s="308" t="s">
        <v>2079</v>
      </c>
      <c r="I470" s="314">
        <v>40507.0</v>
      </c>
      <c r="J470" s="308">
        <f>IFERROR(__xludf.DUMMYFUNCTION("SPLIT(I470,""/"")"),25.0)</f>
        <v>25</v>
      </c>
      <c r="K470" s="308">
        <f>IFERROR(__xludf.DUMMYFUNCTION("""COMPUTED_VALUE"""),11.0)</f>
        <v>11</v>
      </c>
      <c r="L470" s="308">
        <f>IFERROR(__xludf.DUMMYFUNCTION("""COMPUTED_VALUE"""),2010.0)</f>
        <v>2010</v>
      </c>
      <c r="M470" s="308" t="s">
        <v>2080</v>
      </c>
      <c r="N470" s="308"/>
      <c r="O470" s="308" t="s">
        <v>2081</v>
      </c>
      <c r="P470" s="308" t="s">
        <v>2082</v>
      </c>
      <c r="Q470" s="308"/>
      <c r="R470" s="308"/>
      <c r="S470" s="308" t="s">
        <v>81</v>
      </c>
      <c r="T470" s="308" t="s">
        <v>75</v>
      </c>
      <c r="U470" s="308"/>
      <c r="V470" s="312"/>
    </row>
    <row r="471">
      <c r="A471" s="308">
        <v>470.0</v>
      </c>
      <c r="B471" s="308">
        <v>3679.0</v>
      </c>
      <c r="C471" s="308" t="s">
        <v>2083</v>
      </c>
      <c r="D471" s="308">
        <f>IFERROR(__xludf.DUMMYFUNCTION("SPLIT(C471,""-"")"),471.0)</f>
        <v>471</v>
      </c>
      <c r="E471" s="308" t="str">
        <f>IFERROR(__xludf.DUMMYFUNCTION("""COMPUTED_VALUE"""),"S")</f>
        <v>S</v>
      </c>
      <c r="F471" s="312" t="s">
        <v>39</v>
      </c>
      <c r="G471" s="308" t="s">
        <v>2084</v>
      </c>
      <c r="H471" s="308" t="s">
        <v>2085</v>
      </c>
      <c r="I471" s="310">
        <v>40618.0</v>
      </c>
      <c r="J471" s="308">
        <f>IFERROR(__xludf.DUMMYFUNCTION("SPLIT(I471,""/"")"),16.0)</f>
        <v>16</v>
      </c>
      <c r="K471" s="308">
        <f>IFERROR(__xludf.DUMMYFUNCTION("""COMPUTED_VALUE"""),3.0)</f>
        <v>3</v>
      </c>
      <c r="L471" s="308">
        <f>IFERROR(__xludf.DUMMYFUNCTION("""COMPUTED_VALUE"""),2011.0)</f>
        <v>2011</v>
      </c>
      <c r="M471" s="308" t="s">
        <v>2086</v>
      </c>
      <c r="N471" s="308"/>
      <c r="O471" s="312" t="s">
        <v>34990</v>
      </c>
      <c r="P471" s="308"/>
      <c r="Q471" s="308"/>
      <c r="R471" s="308"/>
      <c r="S471" s="308" t="s">
        <v>79</v>
      </c>
      <c r="T471" s="308" t="s">
        <v>79</v>
      </c>
      <c r="U471" s="308"/>
      <c r="V471" s="312"/>
    </row>
    <row r="472">
      <c r="A472" s="308">
        <v>471.0</v>
      </c>
      <c r="B472" s="308">
        <v>3680.0</v>
      </c>
      <c r="C472" s="308" t="s">
        <v>34991</v>
      </c>
      <c r="D472" s="308">
        <f>IFERROR(__xludf.DUMMYFUNCTION("SPLIT(C472,""-"")"),472.0)</f>
        <v>472</v>
      </c>
      <c r="E472" s="311"/>
      <c r="F472" s="317" t="s">
        <v>37</v>
      </c>
      <c r="G472" s="308"/>
      <c r="H472" s="308" t="s">
        <v>2088</v>
      </c>
      <c r="I472" s="314">
        <v>40099.0</v>
      </c>
      <c r="J472" s="308">
        <f>IFERROR(__xludf.DUMMYFUNCTION("SPLIT(I472,""/"")"),13.0)</f>
        <v>13</v>
      </c>
      <c r="K472" s="308">
        <f>IFERROR(__xludf.DUMMYFUNCTION("""COMPUTED_VALUE"""),10.0)</f>
        <v>10</v>
      </c>
      <c r="L472" s="308">
        <f>IFERROR(__xludf.DUMMYFUNCTION("""COMPUTED_VALUE"""),2009.0)</f>
        <v>2009</v>
      </c>
      <c r="M472" s="308" t="s">
        <v>2089</v>
      </c>
      <c r="N472" s="308"/>
      <c r="O472" s="312" t="s">
        <v>34992</v>
      </c>
      <c r="P472" s="308" t="s">
        <v>2091</v>
      </c>
      <c r="Q472" s="308"/>
      <c r="R472" s="308"/>
      <c r="S472" s="308" t="s">
        <v>81</v>
      </c>
      <c r="T472" s="308" t="s">
        <v>75</v>
      </c>
      <c r="U472" s="308"/>
      <c r="V472" s="312"/>
    </row>
    <row r="473">
      <c r="A473" s="308">
        <v>472.0</v>
      </c>
      <c r="B473" s="308">
        <v>3681.0</v>
      </c>
      <c r="C473" s="308" t="s">
        <v>2092</v>
      </c>
      <c r="D473" s="308">
        <f>IFERROR(__xludf.DUMMYFUNCTION("SPLIT(C473,""-"")"),473.0)</f>
        <v>473</v>
      </c>
      <c r="E473" s="308" t="str">
        <f>IFERROR(__xludf.DUMMYFUNCTION("""COMPUTED_VALUE"""),"K")</f>
        <v>K</v>
      </c>
      <c r="F473" s="309" t="s">
        <v>34</v>
      </c>
      <c r="G473" s="308"/>
      <c r="H473" s="308" t="s">
        <v>34993</v>
      </c>
      <c r="I473" s="310">
        <v>39950.0</v>
      </c>
      <c r="J473" s="308">
        <f>IFERROR(__xludf.DUMMYFUNCTION("SPLIT(I473,""/"")"),17.0)</f>
        <v>17</v>
      </c>
      <c r="K473" s="308">
        <f>IFERROR(__xludf.DUMMYFUNCTION("""COMPUTED_VALUE"""),5.0)</f>
        <v>5</v>
      </c>
      <c r="L473" s="308">
        <f>IFERROR(__xludf.DUMMYFUNCTION("""COMPUTED_VALUE"""),2009.0)</f>
        <v>2009</v>
      </c>
      <c r="M473" s="308" t="s">
        <v>2094</v>
      </c>
      <c r="N473" s="308"/>
      <c r="O473" s="308" t="s">
        <v>2095</v>
      </c>
      <c r="P473" s="308" t="s">
        <v>34994</v>
      </c>
      <c r="Q473" s="308"/>
      <c r="R473" s="308"/>
      <c r="S473" s="308" t="s">
        <v>49</v>
      </c>
      <c r="T473" s="311" t="s">
        <v>51</v>
      </c>
      <c r="U473" s="308" t="s">
        <v>34995</v>
      </c>
      <c r="V473" s="312"/>
    </row>
    <row r="474">
      <c r="A474" s="308">
        <v>473.0</v>
      </c>
      <c r="B474" s="308">
        <v>3682.0</v>
      </c>
      <c r="C474" s="308" t="s">
        <v>34996</v>
      </c>
      <c r="D474" s="308">
        <f>IFERROR(__xludf.DUMMYFUNCTION("SPLIT(C474,""-"")"),474.0)</f>
        <v>474</v>
      </c>
      <c r="E474" s="311"/>
      <c r="F474" s="309" t="s">
        <v>34</v>
      </c>
      <c r="G474" s="308"/>
      <c r="H474" s="308" t="s">
        <v>34997</v>
      </c>
      <c r="I474" s="310">
        <v>39885.0</v>
      </c>
      <c r="J474" s="308">
        <f>IFERROR(__xludf.DUMMYFUNCTION("SPLIT(I474,""/"")"),13.0)</f>
        <v>13</v>
      </c>
      <c r="K474" s="308">
        <f>IFERROR(__xludf.DUMMYFUNCTION("""COMPUTED_VALUE"""),3.0)</f>
        <v>3</v>
      </c>
      <c r="L474" s="308">
        <f>IFERROR(__xludf.DUMMYFUNCTION("""COMPUTED_VALUE"""),2009.0)</f>
        <v>2009</v>
      </c>
      <c r="M474" s="308" t="s">
        <v>2099</v>
      </c>
      <c r="N474" s="308"/>
      <c r="O474" s="312" t="s">
        <v>34998</v>
      </c>
      <c r="P474" s="308" t="s">
        <v>2101</v>
      </c>
      <c r="Q474" s="308"/>
      <c r="R474" s="308"/>
      <c r="S474" s="308" t="s">
        <v>81</v>
      </c>
      <c r="T474" s="308" t="s">
        <v>34264</v>
      </c>
      <c r="U474" s="308"/>
      <c r="V474" s="312"/>
    </row>
    <row r="475">
      <c r="A475" s="308">
        <v>474.0</v>
      </c>
      <c r="B475" s="308">
        <v>3683.0</v>
      </c>
      <c r="C475" s="308" t="s">
        <v>34999</v>
      </c>
      <c r="D475" s="308">
        <f>IFERROR(__xludf.DUMMYFUNCTION("SPLIT(C475,""-"")"),475.0)</f>
        <v>475</v>
      </c>
      <c r="E475" s="311"/>
      <c r="F475" s="317" t="s">
        <v>39</v>
      </c>
      <c r="G475" s="308"/>
      <c r="H475" s="308" t="s">
        <v>2102</v>
      </c>
      <c r="I475" s="314">
        <v>40894.0</v>
      </c>
      <c r="J475" s="308">
        <f>IFERROR(__xludf.DUMMYFUNCTION("SPLIT(I475,""/"")"),17.0)</f>
        <v>17</v>
      </c>
      <c r="K475" s="308">
        <f>IFERROR(__xludf.DUMMYFUNCTION("""COMPUTED_VALUE"""),12.0)</f>
        <v>12</v>
      </c>
      <c r="L475" s="308">
        <f>IFERROR(__xludf.DUMMYFUNCTION("""COMPUTED_VALUE"""),2011.0)</f>
        <v>2011</v>
      </c>
      <c r="M475" s="308" t="s">
        <v>2103</v>
      </c>
      <c r="N475" s="308"/>
      <c r="O475" s="308" t="s">
        <v>2104</v>
      </c>
      <c r="P475" s="308" t="s">
        <v>2105</v>
      </c>
      <c r="Q475" s="308"/>
      <c r="R475" s="308"/>
      <c r="S475" s="308" t="s">
        <v>81</v>
      </c>
      <c r="T475" s="308" t="s">
        <v>75</v>
      </c>
      <c r="U475" s="308"/>
      <c r="V475" s="312"/>
    </row>
    <row r="476">
      <c r="A476" s="308">
        <v>475.0</v>
      </c>
      <c r="B476" s="308">
        <v>3684.0</v>
      </c>
      <c r="C476" s="308" t="s">
        <v>35000</v>
      </c>
      <c r="D476" s="308">
        <f>IFERROR(__xludf.DUMMYFUNCTION("SPLIT(C476,""-"")"),476.0)</f>
        <v>476</v>
      </c>
      <c r="E476" s="311"/>
      <c r="F476" s="309" t="s">
        <v>34</v>
      </c>
      <c r="G476" s="308"/>
      <c r="H476" s="308" t="s">
        <v>2106</v>
      </c>
      <c r="I476" s="310">
        <v>40609.0</v>
      </c>
      <c r="J476" s="308">
        <f>IFERROR(__xludf.DUMMYFUNCTION("SPLIT(I476,""/"")"),7.0)</f>
        <v>7</v>
      </c>
      <c r="K476" s="308">
        <f>IFERROR(__xludf.DUMMYFUNCTION("""COMPUTED_VALUE"""),3.0)</f>
        <v>3</v>
      </c>
      <c r="L476" s="308">
        <f>IFERROR(__xludf.DUMMYFUNCTION("""COMPUTED_VALUE"""),2011.0)</f>
        <v>2011</v>
      </c>
      <c r="M476" s="308" t="s">
        <v>2107</v>
      </c>
      <c r="N476" s="308"/>
      <c r="O476" s="312" t="s">
        <v>635</v>
      </c>
      <c r="P476" s="308" t="s">
        <v>2108</v>
      </c>
      <c r="Q476" s="308"/>
      <c r="R476" s="308"/>
      <c r="S476" s="308" t="s">
        <v>81</v>
      </c>
      <c r="T476" s="308" t="s">
        <v>75</v>
      </c>
      <c r="U476" s="308"/>
      <c r="V476" s="312"/>
    </row>
    <row r="477">
      <c r="A477" s="308">
        <v>476.0</v>
      </c>
      <c r="B477" s="308">
        <v>3685.0</v>
      </c>
      <c r="C477" s="308" t="s">
        <v>35001</v>
      </c>
      <c r="D477" s="308">
        <f>IFERROR(__xludf.DUMMYFUNCTION("SPLIT(C477,""-"")"),477.0)</f>
        <v>477</v>
      </c>
      <c r="E477" s="311"/>
      <c r="F477" s="309" t="s">
        <v>34</v>
      </c>
      <c r="G477" s="308"/>
      <c r="H477" s="308" t="s">
        <v>2109</v>
      </c>
      <c r="I477" s="310">
        <v>40343.0</v>
      </c>
      <c r="J477" s="308">
        <f>IFERROR(__xludf.DUMMYFUNCTION("SPLIT(I477,""/"")"),14.0)</f>
        <v>14</v>
      </c>
      <c r="K477" s="308">
        <f>IFERROR(__xludf.DUMMYFUNCTION("""COMPUTED_VALUE"""),6.0)</f>
        <v>6</v>
      </c>
      <c r="L477" s="308">
        <f>IFERROR(__xludf.DUMMYFUNCTION("""COMPUTED_VALUE"""),2010.0)</f>
        <v>2010</v>
      </c>
      <c r="M477" s="308" t="s">
        <v>2110</v>
      </c>
      <c r="N477" s="308"/>
      <c r="O477" s="312" t="s">
        <v>35002</v>
      </c>
      <c r="P477" s="308" t="s">
        <v>2112</v>
      </c>
      <c r="Q477" s="308"/>
      <c r="R477" s="308"/>
      <c r="S477" s="308" t="s">
        <v>49</v>
      </c>
      <c r="T477" s="308" t="s">
        <v>51</v>
      </c>
      <c r="U477" s="308"/>
      <c r="V477" s="312"/>
    </row>
    <row r="478">
      <c r="A478" s="308">
        <v>477.0</v>
      </c>
      <c r="B478" s="308">
        <v>3686.0</v>
      </c>
      <c r="C478" s="308" t="s">
        <v>35003</v>
      </c>
      <c r="D478" s="308">
        <f>IFERROR(__xludf.DUMMYFUNCTION("SPLIT(C478,""-"")"),478.0)</f>
        <v>478</v>
      </c>
      <c r="E478" s="311"/>
      <c r="F478" s="317" t="s">
        <v>37</v>
      </c>
      <c r="G478" s="308"/>
      <c r="H478" s="308" t="s">
        <v>35004</v>
      </c>
      <c r="I478" s="310">
        <v>40773.0</v>
      </c>
      <c r="J478" s="308">
        <f>IFERROR(__xludf.DUMMYFUNCTION("SPLIT(I478,""/"")"),18.0)</f>
        <v>18</v>
      </c>
      <c r="K478" s="308">
        <f>IFERROR(__xludf.DUMMYFUNCTION("""COMPUTED_VALUE"""),8.0)</f>
        <v>8</v>
      </c>
      <c r="L478" s="308">
        <f>IFERROR(__xludf.DUMMYFUNCTION("""COMPUTED_VALUE"""),2011.0)</f>
        <v>2011</v>
      </c>
      <c r="M478" s="308" t="s">
        <v>2114</v>
      </c>
      <c r="N478" s="308"/>
      <c r="O478" s="312" t="s">
        <v>35005</v>
      </c>
      <c r="P478" s="308" t="s">
        <v>2116</v>
      </c>
      <c r="Q478" s="308"/>
      <c r="R478" s="308"/>
      <c r="S478" s="308" t="s">
        <v>81</v>
      </c>
      <c r="T478" s="308" t="s">
        <v>96</v>
      </c>
      <c r="U478" s="308"/>
      <c r="V478" s="312"/>
    </row>
    <row r="479">
      <c r="A479" s="308">
        <v>478.0</v>
      </c>
      <c r="B479" s="308">
        <v>3687.0</v>
      </c>
      <c r="C479" s="308" t="s">
        <v>35006</v>
      </c>
      <c r="D479" s="308">
        <f>IFERROR(__xludf.DUMMYFUNCTION("SPLIT(C479,""-"")"),479.0)</f>
        <v>479</v>
      </c>
      <c r="E479" s="311"/>
      <c r="F479" s="317" t="s">
        <v>37</v>
      </c>
      <c r="G479" s="308"/>
      <c r="H479" s="308" t="s">
        <v>2117</v>
      </c>
      <c r="I479" s="310">
        <v>40566.0</v>
      </c>
      <c r="J479" s="308">
        <f>IFERROR(__xludf.DUMMYFUNCTION("SPLIT(I479,""/"")"),23.0)</f>
        <v>23</v>
      </c>
      <c r="K479" s="308">
        <f>IFERROR(__xludf.DUMMYFUNCTION("""COMPUTED_VALUE"""),1.0)</f>
        <v>1</v>
      </c>
      <c r="L479" s="308">
        <f>IFERROR(__xludf.DUMMYFUNCTION("""COMPUTED_VALUE"""),2011.0)</f>
        <v>2011</v>
      </c>
      <c r="M479" s="308" t="s">
        <v>2118</v>
      </c>
      <c r="N479" s="308"/>
      <c r="O479" s="312" t="s">
        <v>35007</v>
      </c>
      <c r="P479" s="308" t="s">
        <v>2120</v>
      </c>
      <c r="Q479" s="308"/>
      <c r="R479" s="308"/>
      <c r="S479" s="308" t="s">
        <v>81</v>
      </c>
      <c r="T479" s="311" t="s">
        <v>75</v>
      </c>
      <c r="U479" s="308"/>
      <c r="V479" s="312"/>
    </row>
    <row r="480">
      <c r="A480" s="308">
        <v>479.0</v>
      </c>
      <c r="B480" s="308">
        <v>3688.0</v>
      </c>
      <c r="C480" s="308" t="s">
        <v>35008</v>
      </c>
      <c r="D480" s="308">
        <f>IFERROR(__xludf.DUMMYFUNCTION("SPLIT(C480,""-"")"),480.0)</f>
        <v>480</v>
      </c>
      <c r="E480" s="311"/>
      <c r="F480" s="309" t="s">
        <v>31</v>
      </c>
      <c r="G480" s="308"/>
      <c r="H480" s="308" t="s">
        <v>2121</v>
      </c>
      <c r="I480" s="310">
        <v>40921.0</v>
      </c>
      <c r="J480" s="308">
        <f>IFERROR(__xludf.DUMMYFUNCTION("SPLIT(I480,""/"")"),13.0)</f>
        <v>13</v>
      </c>
      <c r="K480" s="308">
        <f>IFERROR(__xludf.DUMMYFUNCTION("""COMPUTED_VALUE"""),1.0)</f>
        <v>1</v>
      </c>
      <c r="L480" s="308">
        <f>IFERROR(__xludf.DUMMYFUNCTION("""COMPUTED_VALUE"""),2012.0)</f>
        <v>2012</v>
      </c>
      <c r="M480" s="308" t="s">
        <v>2122</v>
      </c>
      <c r="N480" s="308"/>
      <c r="O480" s="312" t="s">
        <v>35009</v>
      </c>
      <c r="P480" s="308" t="s">
        <v>2124</v>
      </c>
      <c r="Q480" s="308"/>
      <c r="R480" s="308"/>
      <c r="S480" s="308" t="s">
        <v>81</v>
      </c>
      <c r="T480" s="311" t="s">
        <v>75</v>
      </c>
      <c r="U480" s="308"/>
      <c r="V480" s="312"/>
    </row>
    <row r="481">
      <c r="A481" s="308">
        <v>480.0</v>
      </c>
      <c r="B481" s="308">
        <v>3689.0</v>
      </c>
      <c r="C481" s="308" t="s">
        <v>35010</v>
      </c>
      <c r="D481" s="308">
        <f>IFERROR(__xludf.DUMMYFUNCTION("SPLIT(C481,""-"")"),481.0)</f>
        <v>481</v>
      </c>
      <c r="E481" s="311"/>
      <c r="F481" s="317" t="s">
        <v>37</v>
      </c>
      <c r="G481" s="308"/>
      <c r="H481" s="308" t="s">
        <v>2125</v>
      </c>
      <c r="I481" s="310">
        <v>40916.0</v>
      </c>
      <c r="J481" s="308">
        <f>IFERROR(__xludf.DUMMYFUNCTION("SPLIT(I481,""/"")"),8.0)</f>
        <v>8</v>
      </c>
      <c r="K481" s="308">
        <f>IFERROR(__xludf.DUMMYFUNCTION("""COMPUTED_VALUE"""),1.0)</f>
        <v>1</v>
      </c>
      <c r="L481" s="308">
        <f>IFERROR(__xludf.DUMMYFUNCTION("""COMPUTED_VALUE"""),2012.0)</f>
        <v>2012</v>
      </c>
      <c r="M481" s="308" t="s">
        <v>35011</v>
      </c>
      <c r="N481" s="308"/>
      <c r="O481" s="312" t="s">
        <v>35012</v>
      </c>
      <c r="P481" s="308" t="s">
        <v>2128</v>
      </c>
      <c r="Q481" s="308"/>
      <c r="R481" s="308"/>
      <c r="S481" s="308" t="s">
        <v>81</v>
      </c>
      <c r="T481" s="311" t="s">
        <v>75</v>
      </c>
      <c r="U481" s="308"/>
      <c r="V481" s="312"/>
    </row>
    <row r="482">
      <c r="A482" s="308">
        <v>481.0</v>
      </c>
      <c r="B482" s="308">
        <v>3690.0</v>
      </c>
      <c r="C482" s="308" t="s">
        <v>35013</v>
      </c>
      <c r="D482" s="308">
        <f>IFERROR(__xludf.DUMMYFUNCTION("SPLIT(C482,""-"")"),482.0)</f>
        <v>482</v>
      </c>
      <c r="E482" s="311"/>
      <c r="F482" s="309" t="s">
        <v>34</v>
      </c>
      <c r="G482" s="308"/>
      <c r="H482" s="308" t="s">
        <v>2129</v>
      </c>
      <c r="I482" s="310">
        <v>39710.0</v>
      </c>
      <c r="J482" s="308">
        <f>IFERROR(__xludf.DUMMYFUNCTION("SPLIT(I482,""/"")"),19.0)</f>
        <v>19</v>
      </c>
      <c r="K482" s="308">
        <f>IFERROR(__xludf.DUMMYFUNCTION("""COMPUTED_VALUE"""),9.0)</f>
        <v>9</v>
      </c>
      <c r="L482" s="308">
        <f>IFERROR(__xludf.DUMMYFUNCTION("""COMPUTED_VALUE"""),2008.0)</f>
        <v>2008</v>
      </c>
      <c r="M482" s="308" t="s">
        <v>2130</v>
      </c>
      <c r="N482" s="308"/>
      <c r="O482" s="312" t="s">
        <v>35014</v>
      </c>
      <c r="P482" s="308" t="s">
        <v>2132</v>
      </c>
      <c r="Q482" s="308"/>
      <c r="R482" s="308"/>
      <c r="S482" s="308" t="s">
        <v>81</v>
      </c>
      <c r="T482" s="311" t="s">
        <v>75</v>
      </c>
      <c r="U482" s="308"/>
      <c r="V482" s="312"/>
    </row>
    <row r="483">
      <c r="A483" s="308">
        <v>482.0</v>
      </c>
      <c r="B483" s="308">
        <v>3691.0</v>
      </c>
      <c r="C483" s="308" t="s">
        <v>35015</v>
      </c>
      <c r="D483" s="308">
        <f>IFERROR(__xludf.DUMMYFUNCTION("SPLIT(C483,""-"")"),483.0)</f>
        <v>483</v>
      </c>
      <c r="E483" s="311"/>
      <c r="F483" s="309" t="s">
        <v>34</v>
      </c>
      <c r="G483" s="308"/>
      <c r="H483" s="308" t="s">
        <v>2133</v>
      </c>
      <c r="I483" s="314">
        <v>40873.0</v>
      </c>
      <c r="J483" s="308">
        <f>IFERROR(__xludf.DUMMYFUNCTION("SPLIT(I483,""/"")"),26.0)</f>
        <v>26</v>
      </c>
      <c r="K483" s="308">
        <f>IFERROR(__xludf.DUMMYFUNCTION("""COMPUTED_VALUE"""),11.0)</f>
        <v>11</v>
      </c>
      <c r="L483" s="308">
        <f>IFERROR(__xludf.DUMMYFUNCTION("""COMPUTED_VALUE"""),2011.0)</f>
        <v>2011</v>
      </c>
      <c r="M483" s="308" t="s">
        <v>2134</v>
      </c>
      <c r="N483" s="308"/>
      <c r="O483" s="312" t="s">
        <v>35016</v>
      </c>
      <c r="P483" s="308" t="s">
        <v>2136</v>
      </c>
      <c r="Q483" s="308"/>
      <c r="R483" s="308"/>
      <c r="S483" s="308" t="s">
        <v>81</v>
      </c>
      <c r="T483" s="308" t="s">
        <v>34264</v>
      </c>
      <c r="U483" s="308"/>
      <c r="V483" s="312"/>
    </row>
    <row r="484">
      <c r="A484" s="308">
        <v>483.0</v>
      </c>
      <c r="B484" s="308">
        <v>3692.0</v>
      </c>
      <c r="C484" s="308" t="s">
        <v>2137</v>
      </c>
      <c r="D484" s="308">
        <f>IFERROR(__xludf.DUMMYFUNCTION("SPLIT(C484,""-"")"),484.0)</f>
        <v>484</v>
      </c>
      <c r="E484" s="308" t="str">
        <f>IFERROR(__xludf.DUMMYFUNCTION("""COMPUTED_VALUE"""),"S")</f>
        <v>S</v>
      </c>
      <c r="F484" s="312" t="s">
        <v>39</v>
      </c>
      <c r="G484" s="308"/>
      <c r="H484" s="308" t="s">
        <v>2138</v>
      </c>
      <c r="I484" s="310">
        <v>40749.0</v>
      </c>
      <c r="J484" s="308">
        <f>IFERROR(__xludf.DUMMYFUNCTION("SPLIT(I484,""/"")"),25.0)</f>
        <v>25</v>
      </c>
      <c r="K484" s="308">
        <f>IFERROR(__xludf.DUMMYFUNCTION("""COMPUTED_VALUE"""),7.0)</f>
        <v>7</v>
      </c>
      <c r="L484" s="308">
        <f>IFERROR(__xludf.DUMMYFUNCTION("""COMPUTED_VALUE"""),2011.0)</f>
        <v>2011</v>
      </c>
      <c r="M484" s="308" t="s">
        <v>2139</v>
      </c>
      <c r="N484" s="308"/>
      <c r="O484" s="308" t="s">
        <v>2140</v>
      </c>
      <c r="P484" s="308" t="s">
        <v>2141</v>
      </c>
      <c r="Q484" s="308"/>
      <c r="R484" s="308"/>
      <c r="S484" s="308" t="s">
        <v>49</v>
      </c>
      <c r="T484" s="308" t="s">
        <v>70</v>
      </c>
      <c r="U484" s="308"/>
      <c r="V484" s="312"/>
    </row>
    <row r="485">
      <c r="A485" s="308">
        <v>484.0</v>
      </c>
      <c r="B485" s="308">
        <v>3693.0</v>
      </c>
      <c r="C485" s="308" t="s">
        <v>35017</v>
      </c>
      <c r="D485" s="308">
        <f>IFERROR(__xludf.DUMMYFUNCTION("SPLIT(C485,""-"")"),485.0)</f>
        <v>485</v>
      </c>
      <c r="E485" s="311"/>
      <c r="F485" s="317" t="s">
        <v>37</v>
      </c>
      <c r="G485" s="308"/>
      <c r="H485" s="308" t="s">
        <v>2142</v>
      </c>
      <c r="I485" s="310">
        <v>40720.0</v>
      </c>
      <c r="J485" s="308">
        <f>IFERROR(__xludf.DUMMYFUNCTION("SPLIT(I485,""/"")"),26.0)</f>
        <v>26</v>
      </c>
      <c r="K485" s="308">
        <f>IFERROR(__xludf.DUMMYFUNCTION("""COMPUTED_VALUE"""),6.0)</f>
        <v>6</v>
      </c>
      <c r="L485" s="308">
        <f>IFERROR(__xludf.DUMMYFUNCTION("""COMPUTED_VALUE"""),2011.0)</f>
        <v>2011</v>
      </c>
      <c r="M485" s="308" t="s">
        <v>2143</v>
      </c>
      <c r="N485" s="308"/>
      <c r="O485" s="308" t="s">
        <v>2144</v>
      </c>
      <c r="P485" s="308" t="s">
        <v>2145</v>
      </c>
      <c r="Q485" s="308"/>
      <c r="R485" s="308"/>
      <c r="S485" s="308" t="s">
        <v>81</v>
      </c>
      <c r="T485" s="311" t="s">
        <v>75</v>
      </c>
      <c r="U485" s="308"/>
      <c r="V485" s="312"/>
    </row>
    <row r="486">
      <c r="A486" s="308">
        <v>485.0</v>
      </c>
      <c r="B486" s="308">
        <v>3694.0</v>
      </c>
      <c r="C486" s="308" t="s">
        <v>2146</v>
      </c>
      <c r="D486" s="308">
        <f>IFERROR(__xludf.DUMMYFUNCTION("SPLIT(C486,""-"")"),486.0)</f>
        <v>486</v>
      </c>
      <c r="E486" s="308" t="str">
        <f>IFERROR(__xludf.DUMMYFUNCTION("""COMPUTED_VALUE"""),"K")</f>
        <v>K</v>
      </c>
      <c r="F486" s="309" t="s">
        <v>34</v>
      </c>
      <c r="G486" s="308"/>
      <c r="H486" s="308" t="s">
        <v>35018</v>
      </c>
      <c r="I486" s="314">
        <v>40099.0</v>
      </c>
      <c r="J486" s="308">
        <f>IFERROR(__xludf.DUMMYFUNCTION("SPLIT(I486,""/"")"),13.0)</f>
        <v>13</v>
      </c>
      <c r="K486" s="308">
        <f>IFERROR(__xludf.DUMMYFUNCTION("""COMPUTED_VALUE"""),10.0)</f>
        <v>10</v>
      </c>
      <c r="L486" s="308">
        <f>IFERROR(__xludf.DUMMYFUNCTION("""COMPUTED_VALUE"""),2009.0)</f>
        <v>2009</v>
      </c>
      <c r="M486" s="308" t="s">
        <v>2148</v>
      </c>
      <c r="N486" s="308" t="s">
        <v>2149</v>
      </c>
      <c r="O486" s="312" t="s">
        <v>35019</v>
      </c>
      <c r="P486" s="308" t="s">
        <v>35020</v>
      </c>
      <c r="Q486" s="308"/>
      <c r="R486" s="308"/>
      <c r="S486" s="308" t="s">
        <v>49</v>
      </c>
      <c r="T486" s="311" t="s">
        <v>51</v>
      </c>
      <c r="U486" s="308" t="s">
        <v>2152</v>
      </c>
      <c r="V486" s="312"/>
    </row>
    <row r="487">
      <c r="A487" s="308">
        <v>486.0</v>
      </c>
      <c r="B487" s="308">
        <v>3695.0</v>
      </c>
      <c r="C487" s="308" t="s">
        <v>35021</v>
      </c>
      <c r="D487" s="308">
        <f>IFERROR(__xludf.DUMMYFUNCTION("SPLIT(C487,""-"")"),487.0)</f>
        <v>487</v>
      </c>
      <c r="E487" s="311"/>
      <c r="F487" s="317" t="s">
        <v>39</v>
      </c>
      <c r="G487" s="308" t="s">
        <v>2153</v>
      </c>
      <c r="H487" s="308" t="s">
        <v>2154</v>
      </c>
      <c r="I487" s="310">
        <v>40885.0</v>
      </c>
      <c r="J487" s="308">
        <f>IFERROR(__xludf.DUMMYFUNCTION("SPLIT(I487,""/"")"),8.0)</f>
        <v>8</v>
      </c>
      <c r="K487" s="308">
        <f>IFERROR(__xludf.DUMMYFUNCTION("""COMPUTED_VALUE"""),12.0)</f>
        <v>12</v>
      </c>
      <c r="L487" s="308">
        <f>IFERROR(__xludf.DUMMYFUNCTION("""COMPUTED_VALUE"""),2011.0)</f>
        <v>2011</v>
      </c>
      <c r="M487" s="308" t="s">
        <v>2155</v>
      </c>
      <c r="N487" s="308"/>
      <c r="O487" s="312" t="s">
        <v>35022</v>
      </c>
      <c r="P487" s="308" t="s">
        <v>2157</v>
      </c>
      <c r="Q487" s="308"/>
      <c r="R487" s="308"/>
      <c r="S487" s="308" t="s">
        <v>81</v>
      </c>
      <c r="T487" s="311" t="s">
        <v>90</v>
      </c>
      <c r="U487" s="308"/>
      <c r="V487" s="312"/>
    </row>
    <row r="488">
      <c r="A488" s="308">
        <v>487.0</v>
      </c>
      <c r="B488" s="308">
        <v>3696.0</v>
      </c>
      <c r="C488" s="308" t="s">
        <v>35023</v>
      </c>
      <c r="D488" s="308">
        <f>IFERROR(__xludf.DUMMYFUNCTION("SPLIT(C488,""-"")"),488.0)</f>
        <v>488</v>
      </c>
      <c r="E488" s="311"/>
      <c r="F488" s="317" t="s">
        <v>37</v>
      </c>
      <c r="G488" s="308"/>
      <c r="H488" s="308" t="s">
        <v>2158</v>
      </c>
      <c r="I488" s="310">
        <v>40775.0</v>
      </c>
      <c r="J488" s="308">
        <f>IFERROR(__xludf.DUMMYFUNCTION("SPLIT(I488,""/"")"),20.0)</f>
        <v>20</v>
      </c>
      <c r="K488" s="308">
        <f>IFERROR(__xludf.DUMMYFUNCTION("""COMPUTED_VALUE"""),8.0)</f>
        <v>8</v>
      </c>
      <c r="L488" s="308">
        <f>IFERROR(__xludf.DUMMYFUNCTION("""COMPUTED_VALUE"""),2011.0)</f>
        <v>2011</v>
      </c>
      <c r="M488" s="308" t="s">
        <v>2159</v>
      </c>
      <c r="N488" s="308"/>
      <c r="O488" s="312" t="s">
        <v>35024</v>
      </c>
      <c r="P488" s="308" t="s">
        <v>2161</v>
      </c>
      <c r="Q488" s="308"/>
      <c r="R488" s="308"/>
      <c r="S488" s="308" t="s">
        <v>81</v>
      </c>
      <c r="T488" s="311" t="s">
        <v>75</v>
      </c>
      <c r="U488" s="308"/>
      <c r="V488" s="312"/>
    </row>
    <row r="489">
      <c r="A489" s="308">
        <v>488.0</v>
      </c>
      <c r="B489" s="308">
        <v>3697.0</v>
      </c>
      <c r="C489" s="308" t="s">
        <v>35025</v>
      </c>
      <c r="D489" s="308">
        <f>IFERROR(__xludf.DUMMYFUNCTION("SPLIT(C489,""-"")"),489.0)</f>
        <v>489</v>
      </c>
      <c r="E489" s="311"/>
      <c r="F489" s="309" t="s">
        <v>34</v>
      </c>
      <c r="G489" s="308" t="s">
        <v>2162</v>
      </c>
      <c r="H489" s="308" t="s">
        <v>2163</v>
      </c>
      <c r="I489" s="310">
        <v>40785.0</v>
      </c>
      <c r="J489" s="308">
        <f>IFERROR(__xludf.DUMMYFUNCTION("SPLIT(I489,""/"")"),30.0)</f>
        <v>30</v>
      </c>
      <c r="K489" s="308">
        <f>IFERROR(__xludf.DUMMYFUNCTION("""COMPUTED_VALUE"""),8.0)</f>
        <v>8</v>
      </c>
      <c r="L489" s="308">
        <f>IFERROR(__xludf.DUMMYFUNCTION("""COMPUTED_VALUE"""),2011.0)</f>
        <v>2011</v>
      </c>
      <c r="M489" s="308" t="s">
        <v>2164</v>
      </c>
      <c r="N489" s="308"/>
      <c r="O489" s="312" t="s">
        <v>35026</v>
      </c>
      <c r="P489" s="308" t="s">
        <v>2166</v>
      </c>
      <c r="Q489" s="308"/>
      <c r="R489" s="308"/>
      <c r="S489" s="308" t="s">
        <v>81</v>
      </c>
      <c r="T489" s="308" t="s">
        <v>34264</v>
      </c>
      <c r="U489" s="308"/>
      <c r="V489" s="312"/>
    </row>
    <row r="490">
      <c r="A490" s="308">
        <v>489.0</v>
      </c>
      <c r="B490" s="308">
        <v>3698.0</v>
      </c>
      <c r="C490" s="308" t="s">
        <v>35027</v>
      </c>
      <c r="D490" s="308">
        <f>IFERROR(__xludf.DUMMYFUNCTION("SPLIT(C490,""-"")"),490.0)</f>
        <v>490</v>
      </c>
      <c r="E490" s="311"/>
      <c r="F490" s="317" t="s">
        <v>37</v>
      </c>
      <c r="G490" s="308"/>
      <c r="H490" s="308" t="s">
        <v>2167</v>
      </c>
      <c r="I490" s="310">
        <v>40620.0</v>
      </c>
      <c r="J490" s="308">
        <f>IFERROR(__xludf.DUMMYFUNCTION("SPLIT(I490,""/"")"),18.0)</f>
        <v>18</v>
      </c>
      <c r="K490" s="308">
        <f>IFERROR(__xludf.DUMMYFUNCTION("""COMPUTED_VALUE"""),3.0)</f>
        <v>3</v>
      </c>
      <c r="L490" s="308">
        <f>IFERROR(__xludf.DUMMYFUNCTION("""COMPUTED_VALUE"""),2011.0)</f>
        <v>2011</v>
      </c>
      <c r="M490" s="308" t="s">
        <v>2168</v>
      </c>
      <c r="N490" s="308"/>
      <c r="O490" s="308" t="s">
        <v>2169</v>
      </c>
      <c r="P490" s="308" t="s">
        <v>2170</v>
      </c>
      <c r="Q490" s="308"/>
      <c r="R490" s="308"/>
      <c r="S490" s="308" t="s">
        <v>81</v>
      </c>
      <c r="T490" s="311" t="s">
        <v>75</v>
      </c>
      <c r="U490" s="308"/>
      <c r="V490" s="312"/>
    </row>
    <row r="491">
      <c r="A491" s="308">
        <v>490.0</v>
      </c>
      <c r="B491" s="308">
        <v>3699.0</v>
      </c>
      <c r="C491" s="308" t="s">
        <v>2171</v>
      </c>
      <c r="D491" s="308">
        <f>IFERROR(__xludf.DUMMYFUNCTION("SPLIT(C491,""-"")"),491.0)</f>
        <v>491</v>
      </c>
      <c r="E491" s="308" t="str">
        <f>IFERROR(__xludf.DUMMYFUNCTION("""COMPUTED_VALUE"""),"K")</f>
        <v>K</v>
      </c>
      <c r="F491" s="309" t="s">
        <v>34</v>
      </c>
      <c r="G491" s="308"/>
      <c r="H491" s="308" t="s">
        <v>2172</v>
      </c>
      <c r="I491" s="310">
        <v>40091.0</v>
      </c>
      <c r="J491" s="308">
        <f>IFERROR(__xludf.DUMMYFUNCTION("SPLIT(I491,""/"")"),5.0)</f>
        <v>5</v>
      </c>
      <c r="K491" s="308">
        <f>IFERROR(__xludf.DUMMYFUNCTION("""COMPUTED_VALUE"""),10.0)</f>
        <v>10</v>
      </c>
      <c r="L491" s="308">
        <f>IFERROR(__xludf.DUMMYFUNCTION("""COMPUTED_VALUE"""),2009.0)</f>
        <v>2009</v>
      </c>
      <c r="M491" s="308" t="s">
        <v>2173</v>
      </c>
      <c r="N491" s="308"/>
      <c r="O491" s="312" t="s">
        <v>2174</v>
      </c>
      <c r="P491" s="308" t="s">
        <v>35028</v>
      </c>
      <c r="Q491" s="308"/>
      <c r="R491" s="308"/>
      <c r="S491" s="308" t="s">
        <v>49</v>
      </c>
      <c r="T491" s="308" t="s">
        <v>69</v>
      </c>
      <c r="U491" s="308" t="s">
        <v>530</v>
      </c>
      <c r="V491" s="312"/>
    </row>
    <row r="492">
      <c r="A492" s="308">
        <v>491.0</v>
      </c>
      <c r="B492" s="308">
        <v>3700.0</v>
      </c>
      <c r="C492" s="308" t="s">
        <v>35029</v>
      </c>
      <c r="D492" s="308">
        <f>IFERROR(__xludf.DUMMYFUNCTION("SPLIT(C492,""-"")"),492.0)</f>
        <v>492</v>
      </c>
      <c r="E492" s="311"/>
      <c r="F492" s="317" t="s">
        <v>39</v>
      </c>
      <c r="G492" s="308"/>
      <c r="H492" s="308" t="s">
        <v>2176</v>
      </c>
      <c r="I492" s="314">
        <v>40859.0</v>
      </c>
      <c r="J492" s="308">
        <f>IFERROR(__xludf.DUMMYFUNCTION("SPLIT(I492,""/"")"),12.0)</f>
        <v>12</v>
      </c>
      <c r="K492" s="308">
        <f>IFERROR(__xludf.DUMMYFUNCTION("""COMPUTED_VALUE"""),11.0)</f>
        <v>11</v>
      </c>
      <c r="L492" s="308">
        <f>IFERROR(__xludf.DUMMYFUNCTION("""COMPUTED_VALUE"""),2011.0)</f>
        <v>2011</v>
      </c>
      <c r="M492" s="308" t="s">
        <v>2177</v>
      </c>
      <c r="N492" s="308"/>
      <c r="O492" s="308" t="s">
        <v>2178</v>
      </c>
      <c r="P492" s="308" t="s">
        <v>761</v>
      </c>
      <c r="Q492" s="308"/>
      <c r="R492" s="308"/>
      <c r="S492" s="308" t="s">
        <v>49</v>
      </c>
      <c r="T492" s="308" t="s">
        <v>51</v>
      </c>
      <c r="U492" s="308"/>
      <c r="V492" s="312"/>
    </row>
    <row r="493">
      <c r="A493" s="308">
        <v>492.0</v>
      </c>
      <c r="B493" s="308">
        <v>3701.0</v>
      </c>
      <c r="C493" s="308" t="s">
        <v>35030</v>
      </c>
      <c r="D493" s="308">
        <f>IFERROR(__xludf.DUMMYFUNCTION("SPLIT(C493,""-"")"),493.0)</f>
        <v>493</v>
      </c>
      <c r="E493" s="311"/>
      <c r="F493" s="309" t="s">
        <v>26</v>
      </c>
      <c r="G493" s="308"/>
      <c r="H493" s="308" t="s">
        <v>2179</v>
      </c>
      <c r="I493" s="310">
        <v>40949.0</v>
      </c>
      <c r="J493" s="308">
        <f>IFERROR(__xludf.DUMMYFUNCTION("SPLIT(I493,""/"")"),10.0)</f>
        <v>10</v>
      </c>
      <c r="K493" s="308">
        <f>IFERROR(__xludf.DUMMYFUNCTION("""COMPUTED_VALUE"""),2.0)</f>
        <v>2</v>
      </c>
      <c r="L493" s="308">
        <f>IFERROR(__xludf.DUMMYFUNCTION("""COMPUTED_VALUE"""),2012.0)</f>
        <v>2012</v>
      </c>
      <c r="M493" s="308" t="s">
        <v>2180</v>
      </c>
      <c r="N493" s="308"/>
      <c r="O493" s="312" t="s">
        <v>635</v>
      </c>
      <c r="P493" s="308" t="s">
        <v>2181</v>
      </c>
      <c r="Q493" s="308"/>
      <c r="R493" s="308"/>
      <c r="S493" s="308" t="s">
        <v>81</v>
      </c>
      <c r="T493" s="308" t="s">
        <v>75</v>
      </c>
      <c r="U493" s="308"/>
      <c r="V493" s="312"/>
    </row>
    <row r="494">
      <c r="A494" s="308">
        <v>493.0</v>
      </c>
      <c r="B494" s="308">
        <v>3702.0</v>
      </c>
      <c r="C494" s="308" t="s">
        <v>35031</v>
      </c>
      <c r="D494" s="308">
        <f>IFERROR(__xludf.DUMMYFUNCTION("SPLIT(C494,""-"")"),494.0)</f>
        <v>494</v>
      </c>
      <c r="E494" s="311"/>
      <c r="F494" s="309" t="s">
        <v>34</v>
      </c>
      <c r="G494" s="308"/>
      <c r="H494" s="308" t="s">
        <v>2182</v>
      </c>
      <c r="I494" s="310">
        <v>40933.0</v>
      </c>
      <c r="J494" s="308">
        <f>IFERROR(__xludf.DUMMYFUNCTION("SPLIT(I494,""/"")"),25.0)</f>
        <v>25</v>
      </c>
      <c r="K494" s="308">
        <f>IFERROR(__xludf.DUMMYFUNCTION("""COMPUTED_VALUE"""),1.0)</f>
        <v>1</v>
      </c>
      <c r="L494" s="308">
        <f>IFERROR(__xludf.DUMMYFUNCTION("""COMPUTED_VALUE"""),2012.0)</f>
        <v>2012</v>
      </c>
      <c r="M494" s="308" t="s">
        <v>2183</v>
      </c>
      <c r="N494" s="308"/>
      <c r="O494" s="312" t="s">
        <v>635</v>
      </c>
      <c r="P494" s="308" t="s">
        <v>2184</v>
      </c>
      <c r="Q494" s="308"/>
      <c r="R494" s="308"/>
      <c r="S494" s="308" t="s">
        <v>81</v>
      </c>
      <c r="T494" s="308" t="s">
        <v>73</v>
      </c>
      <c r="U494" s="308"/>
      <c r="V494" s="312"/>
    </row>
    <row r="495">
      <c r="A495" s="308">
        <v>494.0</v>
      </c>
      <c r="B495" s="308">
        <v>3703.0</v>
      </c>
      <c r="C495" s="308" t="s">
        <v>35032</v>
      </c>
      <c r="D495" s="308">
        <f>IFERROR(__xludf.DUMMYFUNCTION("SPLIT(C495,""-"")"),495.0)</f>
        <v>495</v>
      </c>
      <c r="E495" s="311"/>
      <c r="F495" s="317" t="s">
        <v>37</v>
      </c>
      <c r="G495" s="308"/>
      <c r="H495" s="308" t="s">
        <v>2185</v>
      </c>
      <c r="I495" s="310">
        <v>40938.0</v>
      </c>
      <c r="J495" s="308">
        <f>IFERROR(__xludf.DUMMYFUNCTION("SPLIT(I495,""/"")"),30.0)</f>
        <v>30</v>
      </c>
      <c r="K495" s="308">
        <f>IFERROR(__xludf.DUMMYFUNCTION("""COMPUTED_VALUE"""),1.0)</f>
        <v>1</v>
      </c>
      <c r="L495" s="308">
        <f>IFERROR(__xludf.DUMMYFUNCTION("""COMPUTED_VALUE"""),2012.0)</f>
        <v>2012</v>
      </c>
      <c r="M495" s="308" t="s">
        <v>2186</v>
      </c>
      <c r="N495" s="308"/>
      <c r="O495" s="312" t="s">
        <v>35033</v>
      </c>
      <c r="P495" s="308" t="s">
        <v>2188</v>
      </c>
      <c r="Q495" s="308"/>
      <c r="R495" s="308"/>
      <c r="S495" s="308" t="s">
        <v>81</v>
      </c>
      <c r="T495" s="311" t="s">
        <v>75</v>
      </c>
      <c r="U495" s="308"/>
      <c r="V495" s="312"/>
    </row>
    <row r="496">
      <c r="A496" s="308">
        <v>495.0</v>
      </c>
      <c r="B496" s="308">
        <v>3704.0</v>
      </c>
      <c r="C496" s="308" t="s">
        <v>35034</v>
      </c>
      <c r="D496" s="308">
        <f>IFERROR(__xludf.DUMMYFUNCTION("SPLIT(C496,""-"")"),496.0)</f>
        <v>496</v>
      </c>
      <c r="E496" s="311"/>
      <c r="F496" s="317" t="s">
        <v>37</v>
      </c>
      <c r="G496" s="308"/>
      <c r="H496" s="308" t="s">
        <v>35035</v>
      </c>
      <c r="I496" s="310">
        <v>40938.0</v>
      </c>
      <c r="J496" s="308">
        <f>IFERROR(__xludf.DUMMYFUNCTION("SPLIT(I496,""/"")"),30.0)</f>
        <v>30</v>
      </c>
      <c r="K496" s="308">
        <f>IFERROR(__xludf.DUMMYFUNCTION("""COMPUTED_VALUE"""),1.0)</f>
        <v>1</v>
      </c>
      <c r="L496" s="308">
        <f>IFERROR(__xludf.DUMMYFUNCTION("""COMPUTED_VALUE"""),2012.0)</f>
        <v>2012</v>
      </c>
      <c r="M496" s="308" t="s">
        <v>2190</v>
      </c>
      <c r="N496" s="308"/>
      <c r="O496" s="312" t="s">
        <v>35033</v>
      </c>
      <c r="P496" s="308" t="s">
        <v>2188</v>
      </c>
      <c r="Q496" s="308"/>
      <c r="R496" s="308"/>
      <c r="S496" s="308" t="s">
        <v>81</v>
      </c>
      <c r="T496" s="311" t="s">
        <v>75</v>
      </c>
      <c r="U496" s="308"/>
      <c r="V496" s="312"/>
    </row>
    <row r="497">
      <c r="A497" s="308">
        <v>496.0</v>
      </c>
      <c r="B497" s="308">
        <v>3705.0</v>
      </c>
      <c r="C497" s="308" t="s">
        <v>35036</v>
      </c>
      <c r="D497" s="308">
        <f>IFERROR(__xludf.DUMMYFUNCTION("SPLIT(C497,""-"")"),497.0)</f>
        <v>497</v>
      </c>
      <c r="E497" s="311"/>
      <c r="F497" s="317" t="s">
        <v>37</v>
      </c>
      <c r="G497" s="308"/>
      <c r="H497" s="308" t="s">
        <v>2191</v>
      </c>
      <c r="I497" s="310">
        <v>40915.0</v>
      </c>
      <c r="J497" s="308">
        <f>IFERROR(__xludf.DUMMYFUNCTION("SPLIT(I497,""/"")"),7.0)</f>
        <v>7</v>
      </c>
      <c r="K497" s="308">
        <f>IFERROR(__xludf.DUMMYFUNCTION("""COMPUTED_VALUE"""),1.0)</f>
        <v>1</v>
      </c>
      <c r="L497" s="308">
        <f>IFERROR(__xludf.DUMMYFUNCTION("""COMPUTED_VALUE"""),2012.0)</f>
        <v>2012</v>
      </c>
      <c r="M497" s="308" t="s">
        <v>2192</v>
      </c>
      <c r="N497" s="308"/>
      <c r="O497" s="312" t="s">
        <v>635</v>
      </c>
      <c r="P497" s="308" t="s">
        <v>2193</v>
      </c>
      <c r="Q497" s="308"/>
      <c r="R497" s="308"/>
      <c r="S497" s="308" t="s">
        <v>81</v>
      </c>
      <c r="T497" s="308" t="s">
        <v>73</v>
      </c>
      <c r="U497" s="308"/>
      <c r="V497" s="312"/>
    </row>
    <row r="498">
      <c r="A498" s="308">
        <v>497.0</v>
      </c>
      <c r="B498" s="308">
        <v>3706.0</v>
      </c>
      <c r="C498" s="308" t="s">
        <v>35037</v>
      </c>
      <c r="D498" s="308">
        <f>IFERROR(__xludf.DUMMYFUNCTION("SPLIT(C498,""-"")"),498.0)</f>
        <v>498</v>
      </c>
      <c r="E498" s="311"/>
      <c r="F498" s="317" t="s">
        <v>39</v>
      </c>
      <c r="G498" s="308"/>
      <c r="H498" s="308" t="s">
        <v>2194</v>
      </c>
      <c r="I498" s="310">
        <v>40939.0</v>
      </c>
      <c r="J498" s="308">
        <f>IFERROR(__xludf.DUMMYFUNCTION("SPLIT(I498,""/"")"),31.0)</f>
        <v>31</v>
      </c>
      <c r="K498" s="308">
        <f>IFERROR(__xludf.DUMMYFUNCTION("""COMPUTED_VALUE"""),1.0)</f>
        <v>1</v>
      </c>
      <c r="L498" s="308">
        <f>IFERROR(__xludf.DUMMYFUNCTION("""COMPUTED_VALUE"""),2012.0)</f>
        <v>2012</v>
      </c>
      <c r="M498" s="308" t="s">
        <v>2195</v>
      </c>
      <c r="N498" s="308"/>
      <c r="O498" s="312" t="s">
        <v>635</v>
      </c>
      <c r="P498" s="308" t="s">
        <v>2196</v>
      </c>
      <c r="Q498" s="308"/>
      <c r="R498" s="308"/>
      <c r="S498" s="308" t="s">
        <v>81</v>
      </c>
      <c r="T498" s="311" t="s">
        <v>75</v>
      </c>
      <c r="U498" s="308"/>
      <c r="V498" s="312"/>
    </row>
    <row r="499">
      <c r="A499" s="308">
        <v>498.0</v>
      </c>
      <c r="B499" s="308">
        <v>3707.0</v>
      </c>
      <c r="C499" s="308" t="s">
        <v>2197</v>
      </c>
      <c r="D499" s="308">
        <f>IFERROR(__xludf.DUMMYFUNCTION("SPLIT(C499,""-"")"),499.0)</f>
        <v>499</v>
      </c>
      <c r="E499" s="308" t="str">
        <f>IFERROR(__xludf.DUMMYFUNCTION("""COMPUTED_VALUE"""),"P")</f>
        <v>P</v>
      </c>
      <c r="F499" s="312" t="s">
        <v>37</v>
      </c>
      <c r="G499" s="308"/>
      <c r="H499" s="308" t="s">
        <v>2198</v>
      </c>
      <c r="I499" s="310">
        <v>40394.0</v>
      </c>
      <c r="J499" s="308">
        <f>IFERROR(__xludf.DUMMYFUNCTION("SPLIT(I499,""/"")"),4.0)</f>
        <v>4</v>
      </c>
      <c r="K499" s="308">
        <f>IFERROR(__xludf.DUMMYFUNCTION("""COMPUTED_VALUE"""),8.0)</f>
        <v>8</v>
      </c>
      <c r="L499" s="308">
        <f>IFERROR(__xludf.DUMMYFUNCTION("""COMPUTED_VALUE"""),2010.0)</f>
        <v>2010</v>
      </c>
      <c r="M499" s="308" t="s">
        <v>2199</v>
      </c>
      <c r="N499" s="308"/>
      <c r="O499" s="308" t="s">
        <v>2200</v>
      </c>
      <c r="P499" s="308" t="s">
        <v>136</v>
      </c>
      <c r="Q499" s="308"/>
      <c r="R499" s="308"/>
      <c r="S499" s="315" t="s">
        <v>100</v>
      </c>
      <c r="T499" s="308" t="s">
        <v>34208</v>
      </c>
      <c r="U499" s="308" t="s">
        <v>2201</v>
      </c>
      <c r="V499" s="312"/>
    </row>
    <row r="500">
      <c r="A500" s="308">
        <v>499.0</v>
      </c>
      <c r="B500" s="308">
        <v>3708.0</v>
      </c>
      <c r="C500" s="308" t="s">
        <v>35038</v>
      </c>
      <c r="D500" s="308">
        <f>IFERROR(__xludf.DUMMYFUNCTION("SPLIT(C500,""-"")"),500.0)</f>
        <v>500</v>
      </c>
      <c r="E500" s="311"/>
      <c r="F500" s="309" t="s">
        <v>34</v>
      </c>
      <c r="G500" s="308" t="s">
        <v>2202</v>
      </c>
      <c r="H500" s="308" t="s">
        <v>2203</v>
      </c>
      <c r="I500" s="310">
        <v>40725.0</v>
      </c>
      <c r="J500" s="308">
        <f>IFERROR(__xludf.DUMMYFUNCTION("SPLIT(I500,""/"")"),1.0)</f>
        <v>1</v>
      </c>
      <c r="K500" s="308">
        <f>IFERROR(__xludf.DUMMYFUNCTION("""COMPUTED_VALUE"""),7.0)</f>
        <v>7</v>
      </c>
      <c r="L500" s="308">
        <f>IFERROR(__xludf.DUMMYFUNCTION("""COMPUTED_VALUE"""),2011.0)</f>
        <v>2011</v>
      </c>
      <c r="M500" s="308" t="s">
        <v>2204</v>
      </c>
      <c r="N500" s="308"/>
      <c r="O500" s="308" t="s">
        <v>2205</v>
      </c>
      <c r="P500" s="308" t="s">
        <v>35039</v>
      </c>
      <c r="Q500" s="308"/>
      <c r="R500" s="308"/>
      <c r="S500" s="308" t="s">
        <v>81</v>
      </c>
      <c r="T500" s="311" t="s">
        <v>34264</v>
      </c>
      <c r="U500" s="308"/>
      <c r="V500" s="312"/>
    </row>
    <row r="501">
      <c r="A501" s="308">
        <v>500.0</v>
      </c>
      <c r="B501" s="308">
        <v>3709.0</v>
      </c>
      <c r="C501" s="308" t="s">
        <v>35040</v>
      </c>
      <c r="D501" s="308">
        <f>IFERROR(__xludf.DUMMYFUNCTION("SPLIT(C501,""-"")"),501.0)</f>
        <v>501</v>
      </c>
      <c r="E501" s="311"/>
      <c r="F501" s="317" t="s">
        <v>39</v>
      </c>
      <c r="G501" s="308" t="s">
        <v>2202</v>
      </c>
      <c r="H501" s="308" t="s">
        <v>2207</v>
      </c>
      <c r="I501" s="310">
        <v>40725.0</v>
      </c>
      <c r="J501" s="308">
        <f>IFERROR(__xludf.DUMMYFUNCTION("SPLIT(I501,""/"")"),1.0)</f>
        <v>1</v>
      </c>
      <c r="K501" s="308">
        <f>IFERROR(__xludf.DUMMYFUNCTION("""COMPUTED_VALUE"""),7.0)</f>
        <v>7</v>
      </c>
      <c r="L501" s="308">
        <f>IFERROR(__xludf.DUMMYFUNCTION("""COMPUTED_VALUE"""),2011.0)</f>
        <v>2011</v>
      </c>
      <c r="M501" s="308" t="s">
        <v>2208</v>
      </c>
      <c r="N501" s="308"/>
      <c r="O501" s="308" t="s">
        <v>2205</v>
      </c>
      <c r="P501" s="308" t="s">
        <v>35041</v>
      </c>
      <c r="Q501" s="308"/>
      <c r="R501" s="308"/>
      <c r="S501" s="308" t="s">
        <v>81</v>
      </c>
      <c r="T501" s="311" t="s">
        <v>75</v>
      </c>
      <c r="U501" s="308"/>
      <c r="V501" s="312"/>
    </row>
    <row r="502">
      <c r="A502" s="308">
        <v>501.0</v>
      </c>
      <c r="B502" s="308">
        <v>3710.0</v>
      </c>
      <c r="C502" s="308" t="s">
        <v>35042</v>
      </c>
      <c r="D502" s="308">
        <f>IFERROR(__xludf.DUMMYFUNCTION("SPLIT(C502,""-"")"),502.0)</f>
        <v>502</v>
      </c>
      <c r="E502" s="311"/>
      <c r="F502" s="317" t="s">
        <v>39</v>
      </c>
      <c r="G502" s="308"/>
      <c r="H502" s="308" t="s">
        <v>2210</v>
      </c>
      <c r="I502" s="310">
        <v>39784.0</v>
      </c>
      <c r="J502" s="308">
        <f>IFERROR(__xludf.DUMMYFUNCTION("SPLIT(I502,""/"")"),2.0)</f>
        <v>2</v>
      </c>
      <c r="K502" s="308">
        <f>IFERROR(__xludf.DUMMYFUNCTION("""COMPUTED_VALUE"""),12.0)</f>
        <v>12</v>
      </c>
      <c r="L502" s="308">
        <f>IFERROR(__xludf.DUMMYFUNCTION("""COMPUTED_VALUE"""),2008.0)</f>
        <v>2008</v>
      </c>
      <c r="M502" s="308" t="s">
        <v>2211</v>
      </c>
      <c r="N502" s="308"/>
      <c r="O502" s="312" t="s">
        <v>635</v>
      </c>
      <c r="P502" s="308" t="s">
        <v>2212</v>
      </c>
      <c r="Q502" s="308"/>
      <c r="R502" s="308"/>
      <c r="S502" s="308" t="s">
        <v>81</v>
      </c>
      <c r="T502" s="311" t="s">
        <v>35043</v>
      </c>
      <c r="U502" s="308"/>
      <c r="V502" s="312"/>
    </row>
    <row r="503">
      <c r="A503" s="308">
        <v>502.0</v>
      </c>
      <c r="B503" s="308">
        <v>3711.0</v>
      </c>
      <c r="C503" s="308" t="s">
        <v>35044</v>
      </c>
      <c r="D503" s="308">
        <f>IFERROR(__xludf.DUMMYFUNCTION("SPLIT(C503,""-"")"),503.0)</f>
        <v>503</v>
      </c>
      <c r="E503" s="311"/>
      <c r="F503" s="317" t="s">
        <v>39</v>
      </c>
      <c r="G503" s="308"/>
      <c r="H503" s="308" t="s">
        <v>35045</v>
      </c>
      <c r="I503" s="310">
        <v>40211.0</v>
      </c>
      <c r="J503" s="308">
        <f>IFERROR(__xludf.DUMMYFUNCTION("SPLIT(I503,""/"")"),2.0)</f>
        <v>2</v>
      </c>
      <c r="K503" s="308">
        <f>IFERROR(__xludf.DUMMYFUNCTION("""COMPUTED_VALUE"""),2.0)</f>
        <v>2</v>
      </c>
      <c r="L503" s="308">
        <f>IFERROR(__xludf.DUMMYFUNCTION("""COMPUTED_VALUE"""),2010.0)</f>
        <v>2010</v>
      </c>
      <c r="M503" s="308" t="s">
        <v>2214</v>
      </c>
      <c r="N503" s="308">
        <v>3.0</v>
      </c>
      <c r="O503" s="312" t="s">
        <v>635</v>
      </c>
      <c r="P503" s="308" t="s">
        <v>2215</v>
      </c>
      <c r="Q503" s="308"/>
      <c r="R503" s="308"/>
      <c r="S503" s="308" t="s">
        <v>81</v>
      </c>
      <c r="T503" s="311" t="s">
        <v>35043</v>
      </c>
      <c r="U503" s="308"/>
      <c r="V503" s="312"/>
    </row>
    <row r="504">
      <c r="A504" s="308">
        <v>503.0</v>
      </c>
      <c r="B504" s="308">
        <v>3712.0</v>
      </c>
      <c r="C504" s="308" t="s">
        <v>35046</v>
      </c>
      <c r="D504" s="308">
        <f>IFERROR(__xludf.DUMMYFUNCTION("SPLIT(C504,""-"")"),504.0)</f>
        <v>504</v>
      </c>
      <c r="E504" s="311"/>
      <c r="F504" s="317" t="s">
        <v>37</v>
      </c>
      <c r="G504" s="308"/>
      <c r="H504" s="308" t="s">
        <v>2216</v>
      </c>
      <c r="I504" s="310">
        <v>40369.0</v>
      </c>
      <c r="J504" s="308">
        <f>IFERROR(__xludf.DUMMYFUNCTION("SPLIT(I504,""/"")"),10.0)</f>
        <v>10</v>
      </c>
      <c r="K504" s="308">
        <f>IFERROR(__xludf.DUMMYFUNCTION("""COMPUTED_VALUE"""),7.0)</f>
        <v>7</v>
      </c>
      <c r="L504" s="308">
        <f>IFERROR(__xludf.DUMMYFUNCTION("""COMPUTED_VALUE"""),2010.0)</f>
        <v>2010</v>
      </c>
      <c r="M504" s="308" t="s">
        <v>2217</v>
      </c>
      <c r="N504" s="308"/>
      <c r="O504" s="312" t="s">
        <v>35047</v>
      </c>
      <c r="P504" s="308" t="s">
        <v>124</v>
      </c>
      <c r="Q504" s="308"/>
      <c r="R504" s="308"/>
      <c r="S504" s="308" t="s">
        <v>81</v>
      </c>
      <c r="T504" s="311" t="s">
        <v>35048</v>
      </c>
      <c r="U504" s="308"/>
      <c r="V504" s="312"/>
    </row>
    <row r="505">
      <c r="A505" s="308">
        <v>504.0</v>
      </c>
      <c r="B505" s="308">
        <v>3713.0</v>
      </c>
      <c r="C505" s="308" t="s">
        <v>34227</v>
      </c>
      <c r="D505" s="308">
        <f>IFERROR(__xludf.DUMMYFUNCTION("SPLIT(C505,""-"")"),505.0)</f>
        <v>505</v>
      </c>
      <c r="E505" s="311"/>
      <c r="F505" s="309" t="s">
        <v>34</v>
      </c>
      <c r="G505" s="308"/>
      <c r="H505" s="308" t="s">
        <v>35049</v>
      </c>
      <c r="I505" s="310">
        <v>40071.0</v>
      </c>
      <c r="J505" s="308">
        <f>IFERROR(__xludf.DUMMYFUNCTION("SPLIT(I505,""/"")"),15.0)</f>
        <v>15</v>
      </c>
      <c r="K505" s="308">
        <f>IFERROR(__xludf.DUMMYFUNCTION("""COMPUTED_VALUE"""),9.0)</f>
        <v>9</v>
      </c>
      <c r="L505" s="308">
        <f>IFERROR(__xludf.DUMMYFUNCTION("""COMPUTED_VALUE"""),2009.0)</f>
        <v>2009</v>
      </c>
      <c r="M505" s="308" t="s">
        <v>2220</v>
      </c>
      <c r="N505" s="308"/>
      <c r="O505" s="308" t="s">
        <v>35050</v>
      </c>
      <c r="P505" s="308"/>
      <c r="Q505" s="308"/>
      <c r="R505" s="308"/>
      <c r="S505" s="308" t="s">
        <v>79</v>
      </c>
      <c r="T505" s="308" t="s">
        <v>79</v>
      </c>
      <c r="U505" s="308" t="s">
        <v>201</v>
      </c>
      <c r="V505" s="312"/>
    </row>
    <row r="506">
      <c r="A506" s="308">
        <v>505.0</v>
      </c>
      <c r="B506" s="308">
        <v>3714.0</v>
      </c>
      <c r="C506" s="308" t="s">
        <v>35051</v>
      </c>
      <c r="D506" s="308">
        <f>IFERROR(__xludf.DUMMYFUNCTION("SPLIT(C506,""-"")"),506.0)</f>
        <v>506</v>
      </c>
      <c r="E506" s="311"/>
      <c r="F506" s="317" t="s">
        <v>39</v>
      </c>
      <c r="G506" s="308"/>
      <c r="H506" s="308" t="s">
        <v>2222</v>
      </c>
      <c r="I506" s="310">
        <v>40549.0</v>
      </c>
      <c r="J506" s="308">
        <f>IFERROR(__xludf.DUMMYFUNCTION("SPLIT(I506,""/"")"),6.0)</f>
        <v>6</v>
      </c>
      <c r="K506" s="308">
        <f>IFERROR(__xludf.DUMMYFUNCTION("""COMPUTED_VALUE"""),1.0)</f>
        <v>1</v>
      </c>
      <c r="L506" s="308">
        <f>IFERROR(__xludf.DUMMYFUNCTION("""COMPUTED_VALUE"""),2011.0)</f>
        <v>2011</v>
      </c>
      <c r="M506" s="308" t="s">
        <v>2223</v>
      </c>
      <c r="N506" s="308"/>
      <c r="O506" s="308" t="s">
        <v>2224</v>
      </c>
      <c r="P506" s="308" t="s">
        <v>2225</v>
      </c>
      <c r="Q506" s="308"/>
      <c r="R506" s="308"/>
      <c r="S506" s="308" t="s">
        <v>81</v>
      </c>
      <c r="T506" s="311" t="s">
        <v>73</v>
      </c>
      <c r="U506" s="308"/>
      <c r="V506" s="312"/>
    </row>
    <row r="507">
      <c r="A507" s="308">
        <v>506.0</v>
      </c>
      <c r="B507" s="308">
        <v>3715.0</v>
      </c>
      <c r="C507" s="308" t="s">
        <v>2226</v>
      </c>
      <c r="D507" s="308">
        <f>IFERROR(__xludf.DUMMYFUNCTION("SPLIT(C507,""-"")"),507.0)</f>
        <v>507</v>
      </c>
      <c r="E507" s="308" t="str">
        <f>IFERROR(__xludf.DUMMYFUNCTION("""COMPUTED_VALUE"""),"K")</f>
        <v>K</v>
      </c>
      <c r="F507" s="309" t="s">
        <v>34</v>
      </c>
      <c r="G507" s="308"/>
      <c r="H507" s="308" t="s">
        <v>2227</v>
      </c>
      <c r="I507" s="310">
        <v>40327.0</v>
      </c>
      <c r="J507" s="308">
        <f>IFERROR(__xludf.DUMMYFUNCTION("SPLIT(I507,""/"")"),29.0)</f>
        <v>29</v>
      </c>
      <c r="K507" s="308">
        <f>IFERROR(__xludf.DUMMYFUNCTION("""COMPUTED_VALUE"""),5.0)</f>
        <v>5</v>
      </c>
      <c r="L507" s="308">
        <f>IFERROR(__xludf.DUMMYFUNCTION("""COMPUTED_VALUE"""),2010.0)</f>
        <v>2010</v>
      </c>
      <c r="M507" s="308" t="s">
        <v>2228</v>
      </c>
      <c r="N507" s="308"/>
      <c r="O507" s="308" t="s">
        <v>2229</v>
      </c>
      <c r="P507" s="308" t="s">
        <v>2230</v>
      </c>
      <c r="Q507" s="308"/>
      <c r="R507" s="308"/>
      <c r="S507" s="315" t="s">
        <v>100</v>
      </c>
      <c r="T507" s="311" t="s">
        <v>34208</v>
      </c>
      <c r="U507" s="308" t="s">
        <v>1509</v>
      </c>
      <c r="V507" s="312"/>
    </row>
    <row r="508">
      <c r="A508" s="308">
        <v>507.0</v>
      </c>
      <c r="B508" s="308">
        <v>3716.0</v>
      </c>
      <c r="C508" s="308" t="s">
        <v>35052</v>
      </c>
      <c r="D508" s="308">
        <f>IFERROR(__xludf.DUMMYFUNCTION("SPLIT(C508,""-"")"),508.0)</f>
        <v>508</v>
      </c>
      <c r="E508" s="311"/>
      <c r="F508" s="309" t="s">
        <v>34</v>
      </c>
      <c r="G508" s="308"/>
      <c r="H508" s="308" t="s">
        <v>2231</v>
      </c>
      <c r="I508" s="310">
        <v>40663.0</v>
      </c>
      <c r="J508" s="308">
        <f>IFERROR(__xludf.DUMMYFUNCTION("SPLIT(I508,""/"")"),30.0)</f>
        <v>30</v>
      </c>
      <c r="K508" s="308">
        <f>IFERROR(__xludf.DUMMYFUNCTION("""COMPUTED_VALUE"""),4.0)</f>
        <v>4</v>
      </c>
      <c r="L508" s="308">
        <f>IFERROR(__xludf.DUMMYFUNCTION("""COMPUTED_VALUE"""),2011.0)</f>
        <v>2011</v>
      </c>
      <c r="M508" s="308" t="s">
        <v>2232</v>
      </c>
      <c r="N508" s="308"/>
      <c r="O508" s="312" t="s">
        <v>635</v>
      </c>
      <c r="P508" s="308" t="s">
        <v>2233</v>
      </c>
      <c r="Q508" s="308"/>
      <c r="R508" s="308"/>
      <c r="S508" s="308" t="s">
        <v>81</v>
      </c>
      <c r="T508" s="308" t="s">
        <v>34264</v>
      </c>
      <c r="U508" s="308"/>
      <c r="V508" s="312"/>
    </row>
    <row r="509">
      <c r="A509" s="308">
        <v>508.0</v>
      </c>
      <c r="B509" s="308">
        <v>3717.0</v>
      </c>
      <c r="C509" s="308" t="s">
        <v>35053</v>
      </c>
      <c r="D509" s="308">
        <f>IFERROR(__xludf.DUMMYFUNCTION("SPLIT(C509,""-"")"),509.0)</f>
        <v>509</v>
      </c>
      <c r="E509" s="311"/>
      <c r="F509" s="317" t="s">
        <v>39</v>
      </c>
      <c r="G509" s="308"/>
      <c r="H509" s="308" t="s">
        <v>2234</v>
      </c>
      <c r="I509" s="310">
        <v>40323.0</v>
      </c>
      <c r="J509" s="308">
        <f>IFERROR(__xludf.DUMMYFUNCTION("SPLIT(I509,""/"")"),25.0)</f>
        <v>25</v>
      </c>
      <c r="K509" s="308">
        <f>IFERROR(__xludf.DUMMYFUNCTION("""COMPUTED_VALUE"""),5.0)</f>
        <v>5</v>
      </c>
      <c r="L509" s="308">
        <f>IFERROR(__xludf.DUMMYFUNCTION("""COMPUTED_VALUE"""),2010.0)</f>
        <v>2010</v>
      </c>
      <c r="M509" s="308" t="s">
        <v>2235</v>
      </c>
      <c r="N509" s="308"/>
      <c r="O509" s="312" t="s">
        <v>635</v>
      </c>
      <c r="P509" s="308" t="s">
        <v>2236</v>
      </c>
      <c r="Q509" s="308"/>
      <c r="R509" s="308"/>
      <c r="S509" s="308" t="s">
        <v>81</v>
      </c>
      <c r="T509" s="308" t="s">
        <v>73</v>
      </c>
      <c r="U509" s="308"/>
      <c r="V509" s="312"/>
    </row>
    <row r="510">
      <c r="A510" s="308">
        <v>509.0</v>
      </c>
      <c r="B510" s="308">
        <v>3718.0</v>
      </c>
      <c r="C510" s="308" t="s">
        <v>35054</v>
      </c>
      <c r="D510" s="308">
        <f>IFERROR(__xludf.DUMMYFUNCTION("SPLIT(C510,""-"")"),510.0)</f>
        <v>510</v>
      </c>
      <c r="E510" s="311"/>
      <c r="F510" s="317" t="s">
        <v>39</v>
      </c>
      <c r="G510" s="308"/>
      <c r="H510" s="308" t="s">
        <v>2237</v>
      </c>
      <c r="I510" s="310">
        <v>40916.0</v>
      </c>
      <c r="J510" s="308">
        <f>IFERROR(__xludf.DUMMYFUNCTION("SPLIT(I510,""/"")"),8.0)</f>
        <v>8</v>
      </c>
      <c r="K510" s="308">
        <f>IFERROR(__xludf.DUMMYFUNCTION("""COMPUTED_VALUE"""),1.0)</f>
        <v>1</v>
      </c>
      <c r="L510" s="308">
        <f>IFERROR(__xludf.DUMMYFUNCTION("""COMPUTED_VALUE"""),2012.0)</f>
        <v>2012</v>
      </c>
      <c r="M510" s="308" t="s">
        <v>2238</v>
      </c>
      <c r="N510" s="308"/>
      <c r="O510" s="312" t="s">
        <v>635</v>
      </c>
      <c r="P510" s="308" t="s">
        <v>2239</v>
      </c>
      <c r="Q510" s="308"/>
      <c r="R510" s="308"/>
      <c r="S510" s="308" t="s">
        <v>81</v>
      </c>
      <c r="T510" s="308" t="s">
        <v>73</v>
      </c>
      <c r="U510" s="308"/>
      <c r="V510" s="312"/>
    </row>
    <row r="511">
      <c r="A511" s="308">
        <v>510.0</v>
      </c>
      <c r="B511" s="308">
        <v>3719.0</v>
      </c>
      <c r="C511" s="308" t="s">
        <v>35055</v>
      </c>
      <c r="D511" s="308">
        <f>IFERROR(__xludf.DUMMYFUNCTION("SPLIT(C511,""-"")"),511.0)</f>
        <v>511</v>
      </c>
      <c r="E511" s="311"/>
      <c r="F511" s="317" t="s">
        <v>39</v>
      </c>
      <c r="G511" s="308"/>
      <c r="H511" s="308" t="s">
        <v>2240</v>
      </c>
      <c r="I511" s="310">
        <v>40916.0</v>
      </c>
      <c r="J511" s="308">
        <f>IFERROR(__xludf.DUMMYFUNCTION("SPLIT(I511,""/"")"),8.0)</f>
        <v>8</v>
      </c>
      <c r="K511" s="308">
        <f>IFERROR(__xludf.DUMMYFUNCTION("""COMPUTED_VALUE"""),1.0)</f>
        <v>1</v>
      </c>
      <c r="L511" s="308">
        <f>IFERROR(__xludf.DUMMYFUNCTION("""COMPUTED_VALUE"""),2012.0)</f>
        <v>2012</v>
      </c>
      <c r="M511" s="308" t="s">
        <v>2241</v>
      </c>
      <c r="N511" s="308"/>
      <c r="O511" s="312" t="s">
        <v>635</v>
      </c>
      <c r="P511" s="308" t="s">
        <v>2239</v>
      </c>
      <c r="Q511" s="308"/>
      <c r="R511" s="308"/>
      <c r="S511" s="308" t="s">
        <v>81</v>
      </c>
      <c r="T511" s="308" t="s">
        <v>73</v>
      </c>
      <c r="U511" s="308"/>
      <c r="V511" s="312"/>
    </row>
    <row r="512">
      <c r="A512" s="308">
        <v>511.0</v>
      </c>
      <c r="B512" s="308">
        <v>3720.0</v>
      </c>
      <c r="C512" s="308" t="s">
        <v>35056</v>
      </c>
      <c r="D512" s="308">
        <f>IFERROR(__xludf.DUMMYFUNCTION("SPLIT(C512,""-"")"),512.0)</f>
        <v>512</v>
      </c>
      <c r="E512" s="311"/>
      <c r="F512" s="317" t="s">
        <v>39</v>
      </c>
      <c r="G512" s="308"/>
      <c r="H512" s="308" t="s">
        <v>2242</v>
      </c>
      <c r="I512" s="310">
        <v>40651.0</v>
      </c>
      <c r="J512" s="308">
        <f>IFERROR(__xludf.DUMMYFUNCTION("SPLIT(I512,""/"")"),18.0)</f>
        <v>18</v>
      </c>
      <c r="K512" s="308">
        <f>IFERROR(__xludf.DUMMYFUNCTION("""COMPUTED_VALUE"""),4.0)</f>
        <v>4</v>
      </c>
      <c r="L512" s="308">
        <f>IFERROR(__xludf.DUMMYFUNCTION("""COMPUTED_VALUE"""),2011.0)</f>
        <v>2011</v>
      </c>
      <c r="M512" s="308" t="s">
        <v>2243</v>
      </c>
      <c r="N512" s="308"/>
      <c r="O512" s="312" t="s">
        <v>635</v>
      </c>
      <c r="P512" s="308" t="s">
        <v>2239</v>
      </c>
      <c r="Q512" s="308"/>
      <c r="R512" s="308"/>
      <c r="S512" s="308" t="s">
        <v>81</v>
      </c>
      <c r="T512" s="308" t="s">
        <v>73</v>
      </c>
      <c r="U512" s="308"/>
      <c r="V512" s="312"/>
    </row>
    <row r="513">
      <c r="A513" s="308">
        <v>512.0</v>
      </c>
      <c r="B513" s="308">
        <v>3721.0</v>
      </c>
      <c r="C513" s="308" t="s">
        <v>35057</v>
      </c>
      <c r="D513" s="308">
        <f>IFERROR(__xludf.DUMMYFUNCTION("SPLIT(C513,""-"")"),513.0)</f>
        <v>513</v>
      </c>
      <c r="E513" s="311"/>
      <c r="F513" s="317" t="s">
        <v>39</v>
      </c>
      <c r="G513" s="308"/>
      <c r="H513" s="308" t="s">
        <v>2244</v>
      </c>
      <c r="I513" s="310">
        <v>40791.0</v>
      </c>
      <c r="J513" s="308">
        <f>IFERROR(__xludf.DUMMYFUNCTION("SPLIT(I513,""/"")"),5.0)</f>
        <v>5</v>
      </c>
      <c r="K513" s="308">
        <f>IFERROR(__xludf.DUMMYFUNCTION("""COMPUTED_VALUE"""),9.0)</f>
        <v>9</v>
      </c>
      <c r="L513" s="308">
        <f>IFERROR(__xludf.DUMMYFUNCTION("""COMPUTED_VALUE"""),2011.0)</f>
        <v>2011</v>
      </c>
      <c r="M513" s="308" t="s">
        <v>2245</v>
      </c>
      <c r="N513" s="308"/>
      <c r="O513" s="312" t="s">
        <v>35058</v>
      </c>
      <c r="P513" s="308" t="s">
        <v>2247</v>
      </c>
      <c r="Q513" s="308"/>
      <c r="R513" s="308"/>
      <c r="S513" s="308" t="s">
        <v>81</v>
      </c>
      <c r="T513" s="311" t="s">
        <v>73</v>
      </c>
      <c r="U513" s="308"/>
      <c r="V513" s="312"/>
    </row>
    <row r="514">
      <c r="A514" s="308">
        <v>513.0</v>
      </c>
      <c r="B514" s="308">
        <v>3722.0</v>
      </c>
      <c r="C514" s="308" t="s">
        <v>35059</v>
      </c>
      <c r="D514" s="308">
        <f>IFERROR(__xludf.DUMMYFUNCTION("SPLIT(C514,""-"")"),514.0)</f>
        <v>514</v>
      </c>
      <c r="E514" s="311"/>
      <c r="F514" s="317" t="s">
        <v>39</v>
      </c>
      <c r="G514" s="308"/>
      <c r="H514" s="308" t="s">
        <v>2248</v>
      </c>
      <c r="I514" s="314">
        <v>40129.0</v>
      </c>
      <c r="J514" s="308">
        <f>IFERROR(__xludf.DUMMYFUNCTION("SPLIT(I514,""/"")"),12.0)</f>
        <v>12</v>
      </c>
      <c r="K514" s="308">
        <f>IFERROR(__xludf.DUMMYFUNCTION("""COMPUTED_VALUE"""),11.0)</f>
        <v>11</v>
      </c>
      <c r="L514" s="308">
        <f>IFERROR(__xludf.DUMMYFUNCTION("""COMPUTED_VALUE"""),2009.0)</f>
        <v>2009</v>
      </c>
      <c r="M514" s="308" t="s">
        <v>2249</v>
      </c>
      <c r="N514" s="308"/>
      <c r="O514" s="312" t="s">
        <v>635</v>
      </c>
      <c r="P514" s="308" t="s">
        <v>2239</v>
      </c>
      <c r="Q514" s="308"/>
      <c r="R514" s="308"/>
      <c r="S514" s="308" t="s">
        <v>81</v>
      </c>
      <c r="T514" s="308" t="s">
        <v>73</v>
      </c>
      <c r="U514" s="308"/>
      <c r="V514" s="312"/>
    </row>
    <row r="515">
      <c r="A515" s="308">
        <v>514.0</v>
      </c>
      <c r="B515" s="308">
        <v>3723.0</v>
      </c>
      <c r="C515" s="308" t="s">
        <v>35060</v>
      </c>
      <c r="D515" s="308">
        <f>IFERROR(__xludf.DUMMYFUNCTION("SPLIT(C515,""-"")"),515.0)</f>
        <v>515</v>
      </c>
      <c r="E515" s="311"/>
      <c r="F515" s="317" t="s">
        <v>39</v>
      </c>
      <c r="G515" s="308"/>
      <c r="H515" s="308" t="s">
        <v>2250</v>
      </c>
      <c r="I515" s="310">
        <v>40917.0</v>
      </c>
      <c r="J515" s="308">
        <f>IFERROR(__xludf.DUMMYFUNCTION("SPLIT(I515,""/"")"),9.0)</f>
        <v>9</v>
      </c>
      <c r="K515" s="308">
        <f>IFERROR(__xludf.DUMMYFUNCTION("""COMPUTED_VALUE"""),1.0)</f>
        <v>1</v>
      </c>
      <c r="L515" s="308">
        <f>IFERROR(__xludf.DUMMYFUNCTION("""COMPUTED_VALUE"""),2012.0)</f>
        <v>2012</v>
      </c>
      <c r="M515" s="308" t="s">
        <v>2251</v>
      </c>
      <c r="N515" s="308"/>
      <c r="O515" s="312" t="s">
        <v>635</v>
      </c>
      <c r="P515" s="308" t="s">
        <v>2239</v>
      </c>
      <c r="Q515" s="308"/>
      <c r="R515" s="308"/>
      <c r="S515" s="308" t="s">
        <v>81</v>
      </c>
      <c r="T515" s="308" t="s">
        <v>73</v>
      </c>
      <c r="U515" s="308"/>
      <c r="V515" s="312"/>
    </row>
    <row r="516">
      <c r="A516" s="308">
        <v>515.0</v>
      </c>
      <c r="B516" s="308">
        <v>3724.0</v>
      </c>
      <c r="C516" s="308" t="s">
        <v>34228</v>
      </c>
      <c r="D516" s="308">
        <f>IFERROR(__xludf.DUMMYFUNCTION("SPLIT(C516,""-"")"),516.0)</f>
        <v>516</v>
      </c>
      <c r="E516" s="311"/>
      <c r="F516" s="317" t="s">
        <v>39</v>
      </c>
      <c r="G516" s="308"/>
      <c r="H516" s="308" t="s">
        <v>2252</v>
      </c>
      <c r="I516" s="310">
        <v>40089.0</v>
      </c>
      <c r="J516" s="308">
        <f>IFERROR(__xludf.DUMMYFUNCTION("SPLIT(I516,""/"")"),3.0)</f>
        <v>3</v>
      </c>
      <c r="K516" s="308">
        <f>IFERROR(__xludf.DUMMYFUNCTION("""COMPUTED_VALUE"""),10.0)</f>
        <v>10</v>
      </c>
      <c r="L516" s="308">
        <f>IFERROR(__xludf.DUMMYFUNCTION("""COMPUTED_VALUE"""),2009.0)</f>
        <v>2009</v>
      </c>
      <c r="M516" s="308" t="s">
        <v>2253</v>
      </c>
      <c r="N516" s="308"/>
      <c r="O516" s="312" t="s">
        <v>635</v>
      </c>
      <c r="P516" s="308" t="s">
        <v>2239</v>
      </c>
      <c r="Q516" s="308"/>
      <c r="R516" s="308"/>
      <c r="S516" s="308" t="s">
        <v>81</v>
      </c>
      <c r="T516" s="308" t="s">
        <v>73</v>
      </c>
      <c r="U516" s="308"/>
      <c r="V516" s="312"/>
    </row>
    <row r="517">
      <c r="A517" s="308">
        <v>516.0</v>
      </c>
      <c r="B517" s="308">
        <v>3725.0</v>
      </c>
      <c r="C517" s="308" t="s">
        <v>35061</v>
      </c>
      <c r="D517" s="308">
        <f>IFERROR(__xludf.DUMMYFUNCTION("SPLIT(C517,""-"")"),517.0)</f>
        <v>517</v>
      </c>
      <c r="E517" s="311"/>
      <c r="F517" s="309" t="s">
        <v>34</v>
      </c>
      <c r="G517" s="308"/>
      <c r="H517" s="308" t="s">
        <v>2254</v>
      </c>
      <c r="I517" s="310">
        <v>40963.0</v>
      </c>
      <c r="J517" s="308">
        <f>IFERROR(__xludf.DUMMYFUNCTION("SPLIT(I517,""/"")"),24.0)</f>
        <v>24</v>
      </c>
      <c r="K517" s="308">
        <f>IFERROR(__xludf.DUMMYFUNCTION("""COMPUTED_VALUE"""),2.0)</f>
        <v>2</v>
      </c>
      <c r="L517" s="308">
        <f>IFERROR(__xludf.DUMMYFUNCTION("""COMPUTED_VALUE"""),2012.0)</f>
        <v>2012</v>
      </c>
      <c r="M517" s="308" t="s">
        <v>2255</v>
      </c>
      <c r="N517" s="308"/>
      <c r="O517" s="308" t="s">
        <v>2256</v>
      </c>
      <c r="P517" s="308" t="s">
        <v>2257</v>
      </c>
      <c r="Q517" s="308"/>
      <c r="R517" s="308"/>
      <c r="S517" s="308" t="s">
        <v>81</v>
      </c>
      <c r="T517" s="308" t="s">
        <v>34264</v>
      </c>
      <c r="U517" s="308"/>
      <c r="V517" s="312"/>
    </row>
    <row r="518">
      <c r="A518" s="308">
        <v>517.0</v>
      </c>
      <c r="B518" s="308">
        <v>3726.0</v>
      </c>
      <c r="C518" s="308" t="s">
        <v>2258</v>
      </c>
      <c r="D518" s="308">
        <f>IFERROR(__xludf.DUMMYFUNCTION("SPLIT(C518,""-"")"),518.0)</f>
        <v>518</v>
      </c>
      <c r="E518" s="308" t="str">
        <f>IFERROR(__xludf.DUMMYFUNCTION("""COMPUTED_VALUE"""),"P")</f>
        <v>P</v>
      </c>
      <c r="F518" s="312" t="s">
        <v>37</v>
      </c>
      <c r="G518" s="308"/>
      <c r="H518" s="308" t="s">
        <v>2259</v>
      </c>
      <c r="I518" s="310">
        <v>40451.0</v>
      </c>
      <c r="J518" s="308">
        <f>IFERROR(__xludf.DUMMYFUNCTION("SPLIT(I518,""/"")"),30.0)</f>
        <v>30</v>
      </c>
      <c r="K518" s="308">
        <f>IFERROR(__xludf.DUMMYFUNCTION("""COMPUTED_VALUE"""),9.0)</f>
        <v>9</v>
      </c>
      <c r="L518" s="308">
        <f>IFERROR(__xludf.DUMMYFUNCTION("""COMPUTED_VALUE"""),2010.0)</f>
        <v>2010</v>
      </c>
      <c r="M518" s="308" t="s">
        <v>2260</v>
      </c>
      <c r="N518" s="308"/>
      <c r="O518" s="308" t="s">
        <v>2261</v>
      </c>
      <c r="P518" s="308" t="s">
        <v>2262</v>
      </c>
      <c r="Q518" s="308"/>
      <c r="R518" s="308"/>
      <c r="S518" s="315" t="s">
        <v>100</v>
      </c>
      <c r="T518" s="311" t="s">
        <v>34208</v>
      </c>
      <c r="U518" s="308" t="s">
        <v>2263</v>
      </c>
      <c r="V518" s="312"/>
    </row>
    <row r="519">
      <c r="A519" s="308">
        <v>518.0</v>
      </c>
      <c r="B519" s="308">
        <v>3727.0</v>
      </c>
      <c r="C519" s="308" t="s">
        <v>35062</v>
      </c>
      <c r="D519" s="308">
        <f>IFERROR(__xludf.DUMMYFUNCTION("SPLIT(C519,""-"")"),519.0)</f>
        <v>519</v>
      </c>
      <c r="E519" s="311"/>
      <c r="F519" s="309" t="s">
        <v>26</v>
      </c>
      <c r="G519" s="308"/>
      <c r="H519" s="308" t="s">
        <v>2264</v>
      </c>
      <c r="I519" s="310">
        <v>40968.0</v>
      </c>
      <c r="J519" s="308">
        <f>IFERROR(__xludf.DUMMYFUNCTION("SPLIT(I519,""/"")"),29.0)</f>
        <v>29</v>
      </c>
      <c r="K519" s="308">
        <f>IFERROR(__xludf.DUMMYFUNCTION("""COMPUTED_VALUE"""),2.0)</f>
        <v>2</v>
      </c>
      <c r="L519" s="308">
        <f>IFERROR(__xludf.DUMMYFUNCTION("""COMPUTED_VALUE"""),2012.0)</f>
        <v>2012</v>
      </c>
      <c r="M519" s="308" t="s">
        <v>2265</v>
      </c>
      <c r="N519" s="308"/>
      <c r="O519" s="308" t="s">
        <v>2266</v>
      </c>
      <c r="P519" s="308" t="s">
        <v>1481</v>
      </c>
      <c r="Q519" s="308"/>
      <c r="R519" s="308"/>
      <c r="S519" s="308" t="s">
        <v>81</v>
      </c>
      <c r="T519" s="308" t="s">
        <v>35048</v>
      </c>
      <c r="U519" s="308"/>
      <c r="V519" s="312"/>
    </row>
    <row r="520">
      <c r="A520" s="308">
        <v>519.0</v>
      </c>
      <c r="B520" s="308">
        <v>3728.0</v>
      </c>
      <c r="C520" s="308" t="s">
        <v>35063</v>
      </c>
      <c r="D520" s="308">
        <f>IFERROR(__xludf.DUMMYFUNCTION("SPLIT(C520,""-"")"),520.0)</f>
        <v>520</v>
      </c>
      <c r="E520" s="311"/>
      <c r="F520" s="309" t="s">
        <v>23</v>
      </c>
      <c r="G520" s="308"/>
      <c r="H520" s="308" t="s">
        <v>2267</v>
      </c>
      <c r="I520" s="310">
        <v>38586.0</v>
      </c>
      <c r="J520" s="308">
        <f>IFERROR(__xludf.DUMMYFUNCTION("SPLIT(I520,""/"")"),22.0)</f>
        <v>22</v>
      </c>
      <c r="K520" s="308">
        <f>IFERROR(__xludf.DUMMYFUNCTION("""COMPUTED_VALUE"""),8.0)</f>
        <v>8</v>
      </c>
      <c r="L520" s="308">
        <f>IFERROR(__xludf.DUMMYFUNCTION("""COMPUTED_VALUE"""),2005.0)</f>
        <v>2005</v>
      </c>
      <c r="M520" s="308" t="s">
        <v>2268</v>
      </c>
      <c r="N520" s="308"/>
      <c r="O520" s="308" t="s">
        <v>2269</v>
      </c>
      <c r="P520" s="308" t="s">
        <v>148</v>
      </c>
      <c r="Q520" s="308"/>
      <c r="R520" s="308"/>
      <c r="S520" s="308" t="s">
        <v>49</v>
      </c>
      <c r="T520" s="308" t="s">
        <v>51</v>
      </c>
      <c r="U520" s="308"/>
      <c r="V520" s="312"/>
    </row>
    <row r="521">
      <c r="A521" s="308">
        <v>520.0</v>
      </c>
      <c r="B521" s="308">
        <v>3729.0</v>
      </c>
      <c r="C521" s="308" t="s">
        <v>2270</v>
      </c>
      <c r="D521" s="308">
        <f>IFERROR(__xludf.DUMMYFUNCTION("SPLIT(C521,""-"")"),521.0)</f>
        <v>521</v>
      </c>
      <c r="E521" s="308" t="str">
        <f>IFERROR(__xludf.DUMMYFUNCTION("""COMPUTED_VALUE"""),"P")</f>
        <v>P</v>
      </c>
      <c r="F521" s="312" t="s">
        <v>37</v>
      </c>
      <c r="G521" s="308"/>
      <c r="H521" s="308" t="s">
        <v>2271</v>
      </c>
      <c r="I521" s="310">
        <v>40154.0</v>
      </c>
      <c r="J521" s="308">
        <f>IFERROR(__xludf.DUMMYFUNCTION("SPLIT(I521,""/"")"),7.0)</f>
        <v>7</v>
      </c>
      <c r="K521" s="308">
        <f>IFERROR(__xludf.DUMMYFUNCTION("""COMPUTED_VALUE"""),12.0)</f>
        <v>12</v>
      </c>
      <c r="L521" s="308">
        <f>IFERROR(__xludf.DUMMYFUNCTION("""COMPUTED_VALUE"""),2009.0)</f>
        <v>2009</v>
      </c>
      <c r="M521" s="308" t="s">
        <v>2272</v>
      </c>
      <c r="N521" s="308"/>
      <c r="O521" s="312" t="s">
        <v>35064</v>
      </c>
      <c r="P521" s="308" t="s">
        <v>1421</v>
      </c>
      <c r="Q521" s="308"/>
      <c r="R521" s="308"/>
      <c r="S521" s="315" t="s">
        <v>100</v>
      </c>
      <c r="T521" s="311" t="s">
        <v>34208</v>
      </c>
      <c r="U521" s="308" t="s">
        <v>149</v>
      </c>
      <c r="V521" s="312"/>
    </row>
    <row r="522">
      <c r="A522" s="308">
        <v>521.0</v>
      </c>
      <c r="B522" s="308">
        <v>3730.0</v>
      </c>
      <c r="C522" s="308" t="s">
        <v>2274</v>
      </c>
      <c r="D522" s="308">
        <f>IFERROR(__xludf.DUMMYFUNCTION("SPLIT(C522,""-"")"),522.0)</f>
        <v>522</v>
      </c>
      <c r="E522" s="308" t="str">
        <f>IFERROR(__xludf.DUMMYFUNCTION("""COMPUTED_VALUE"""),"K")</f>
        <v>K</v>
      </c>
      <c r="F522" s="309" t="s">
        <v>34</v>
      </c>
      <c r="G522" s="308"/>
      <c r="H522" s="308" t="s">
        <v>2275</v>
      </c>
      <c r="I522" s="310">
        <v>40970.0</v>
      </c>
      <c r="J522" s="308">
        <f>IFERROR(__xludf.DUMMYFUNCTION("SPLIT(I522,""/"")"),2.0)</f>
        <v>2</v>
      </c>
      <c r="K522" s="308">
        <f>IFERROR(__xludf.DUMMYFUNCTION("""COMPUTED_VALUE"""),3.0)</f>
        <v>3</v>
      </c>
      <c r="L522" s="308">
        <f>IFERROR(__xludf.DUMMYFUNCTION("""COMPUTED_VALUE"""),2012.0)</f>
        <v>2012</v>
      </c>
      <c r="M522" s="308" t="s">
        <v>2276</v>
      </c>
      <c r="N522" s="308"/>
      <c r="O522" s="312" t="s">
        <v>35065</v>
      </c>
      <c r="P522" s="308" t="s">
        <v>1762</v>
      </c>
      <c r="Q522" s="308"/>
      <c r="R522" s="308"/>
      <c r="S522" s="315" t="s">
        <v>100</v>
      </c>
      <c r="T522" s="311" t="s">
        <v>34208</v>
      </c>
      <c r="U522" s="308" t="s">
        <v>542</v>
      </c>
      <c r="V522" s="312"/>
    </row>
    <row r="523">
      <c r="A523" s="308">
        <v>522.0</v>
      </c>
      <c r="B523" s="308">
        <v>3731.0</v>
      </c>
      <c r="C523" s="308" t="s">
        <v>2278</v>
      </c>
      <c r="D523" s="308">
        <f>IFERROR(__xludf.DUMMYFUNCTION("SPLIT(C523,""-"")"),523.0)</f>
        <v>523</v>
      </c>
      <c r="E523" s="308" t="str">
        <f>IFERROR(__xludf.DUMMYFUNCTION("""COMPUTED_VALUE"""),"K")</f>
        <v>K</v>
      </c>
      <c r="F523" s="309" t="s">
        <v>34</v>
      </c>
      <c r="G523" s="308"/>
      <c r="H523" s="308" t="s">
        <v>2279</v>
      </c>
      <c r="I523" s="310">
        <v>40970.0</v>
      </c>
      <c r="J523" s="308">
        <f>IFERROR(__xludf.DUMMYFUNCTION("SPLIT(I523,""/"")"),2.0)</f>
        <v>2</v>
      </c>
      <c r="K523" s="308">
        <f>IFERROR(__xludf.DUMMYFUNCTION("""COMPUTED_VALUE"""),3.0)</f>
        <v>3</v>
      </c>
      <c r="L523" s="308">
        <f>IFERROR(__xludf.DUMMYFUNCTION("""COMPUTED_VALUE"""),2012.0)</f>
        <v>2012</v>
      </c>
      <c r="M523" s="308" t="s">
        <v>2280</v>
      </c>
      <c r="N523" s="308"/>
      <c r="O523" s="312" t="s">
        <v>35065</v>
      </c>
      <c r="P523" s="308" t="s">
        <v>1762</v>
      </c>
      <c r="Q523" s="308"/>
      <c r="R523" s="308"/>
      <c r="S523" s="315" t="s">
        <v>100</v>
      </c>
      <c r="T523" s="311" t="s">
        <v>34208</v>
      </c>
      <c r="U523" s="308" t="s">
        <v>542</v>
      </c>
      <c r="V523" s="312"/>
    </row>
    <row r="524">
      <c r="A524" s="308">
        <v>523.0</v>
      </c>
      <c r="B524" s="308">
        <v>3732.0</v>
      </c>
      <c r="C524" s="308" t="s">
        <v>35066</v>
      </c>
      <c r="D524" s="308">
        <f>IFERROR(__xludf.DUMMYFUNCTION("SPLIT(C524,""-"")"),524.0)</f>
        <v>524</v>
      </c>
      <c r="E524" s="311"/>
      <c r="F524" s="317" t="s">
        <v>37</v>
      </c>
      <c r="G524" s="308" t="s">
        <v>2281</v>
      </c>
      <c r="H524" s="308" t="s">
        <v>2282</v>
      </c>
      <c r="I524" s="310">
        <v>40583.0</v>
      </c>
      <c r="J524" s="308">
        <f>IFERROR(__xludf.DUMMYFUNCTION("SPLIT(I524,""/"")"),9.0)</f>
        <v>9</v>
      </c>
      <c r="K524" s="308">
        <f>IFERROR(__xludf.DUMMYFUNCTION("""COMPUTED_VALUE"""),2.0)</f>
        <v>2</v>
      </c>
      <c r="L524" s="308">
        <f>IFERROR(__xludf.DUMMYFUNCTION("""COMPUTED_VALUE"""),2011.0)</f>
        <v>2011</v>
      </c>
      <c r="M524" s="308" t="s">
        <v>2283</v>
      </c>
      <c r="N524" s="308"/>
      <c r="O524" s="308" t="s">
        <v>2284</v>
      </c>
      <c r="P524" s="308" t="s">
        <v>35067</v>
      </c>
      <c r="Q524" s="308"/>
      <c r="R524" s="308"/>
      <c r="S524" s="308" t="s">
        <v>49</v>
      </c>
      <c r="T524" s="308" t="s">
        <v>51</v>
      </c>
      <c r="U524" s="308"/>
      <c r="V524" s="312"/>
    </row>
    <row r="525">
      <c r="A525" s="308">
        <v>524.0</v>
      </c>
      <c r="B525" s="308">
        <v>3733.0</v>
      </c>
      <c r="C525" s="308" t="s">
        <v>2286</v>
      </c>
      <c r="D525" s="308">
        <f>IFERROR(__xludf.DUMMYFUNCTION("SPLIT(C525,""-"")"),525.0)</f>
        <v>525</v>
      </c>
      <c r="E525" s="308" t="str">
        <f>IFERROR(__xludf.DUMMYFUNCTION("""COMPUTED_VALUE"""),"P")</f>
        <v>P</v>
      </c>
      <c r="F525" s="312" t="s">
        <v>37</v>
      </c>
      <c r="G525" s="308"/>
      <c r="H525" s="308" t="s">
        <v>2287</v>
      </c>
      <c r="I525" s="310">
        <v>40629.0</v>
      </c>
      <c r="J525" s="308">
        <f>IFERROR(__xludf.DUMMYFUNCTION("SPLIT(I525,""/"")"),27.0)</f>
        <v>27</v>
      </c>
      <c r="K525" s="308">
        <f>IFERROR(__xludf.DUMMYFUNCTION("""COMPUTED_VALUE"""),3.0)</f>
        <v>3</v>
      </c>
      <c r="L525" s="308">
        <f>IFERROR(__xludf.DUMMYFUNCTION("""COMPUTED_VALUE"""),2011.0)</f>
        <v>2011</v>
      </c>
      <c r="M525" s="308" t="s">
        <v>35068</v>
      </c>
      <c r="N525" s="308"/>
      <c r="O525" s="308" t="s">
        <v>2289</v>
      </c>
      <c r="P525" s="308" t="s">
        <v>2290</v>
      </c>
      <c r="Q525" s="308"/>
      <c r="R525" s="308"/>
      <c r="S525" s="308" t="s">
        <v>49</v>
      </c>
      <c r="T525" s="308" t="s">
        <v>51</v>
      </c>
      <c r="U525" s="308" t="s">
        <v>2291</v>
      </c>
      <c r="V525" s="312"/>
    </row>
    <row r="526">
      <c r="A526" s="308">
        <v>525.0</v>
      </c>
      <c r="B526" s="308">
        <v>3734.0</v>
      </c>
      <c r="C526" s="308" t="s">
        <v>35069</v>
      </c>
      <c r="D526" s="308">
        <f>IFERROR(__xludf.DUMMYFUNCTION("SPLIT(C526,""-"")"),526.0)</f>
        <v>526</v>
      </c>
      <c r="E526" s="311"/>
      <c r="F526" s="317" t="s">
        <v>37</v>
      </c>
      <c r="G526" s="308" t="s">
        <v>2292</v>
      </c>
      <c r="H526" s="308" t="s">
        <v>2198</v>
      </c>
      <c r="I526" s="310">
        <v>40686.0</v>
      </c>
      <c r="J526" s="308">
        <f>IFERROR(__xludf.DUMMYFUNCTION("SPLIT(I526,""/"")"),23.0)</f>
        <v>23</v>
      </c>
      <c r="K526" s="308">
        <f>IFERROR(__xludf.DUMMYFUNCTION("""COMPUTED_VALUE"""),5.0)</f>
        <v>5</v>
      </c>
      <c r="L526" s="308">
        <f>IFERROR(__xludf.DUMMYFUNCTION("""COMPUTED_VALUE"""),2011.0)</f>
        <v>2011</v>
      </c>
      <c r="M526" s="308" t="s">
        <v>2293</v>
      </c>
      <c r="N526" s="308"/>
      <c r="O526" s="308" t="s">
        <v>2294</v>
      </c>
      <c r="P526" s="308" t="s">
        <v>2295</v>
      </c>
      <c r="Q526" s="308"/>
      <c r="R526" s="308"/>
      <c r="S526" s="308" t="s">
        <v>81</v>
      </c>
      <c r="T526" s="308" t="s">
        <v>75</v>
      </c>
      <c r="U526" s="308"/>
      <c r="V526" s="312"/>
    </row>
    <row r="527">
      <c r="A527" s="308">
        <v>526.0</v>
      </c>
      <c r="B527" s="308">
        <v>3735.0</v>
      </c>
      <c r="C527" s="308" t="s">
        <v>2296</v>
      </c>
      <c r="D527" s="308">
        <f>IFERROR(__xludf.DUMMYFUNCTION("SPLIT(C527,""-"")"),527.0)</f>
        <v>527</v>
      </c>
      <c r="E527" s="308" t="str">
        <f>IFERROR(__xludf.DUMMYFUNCTION("""COMPUTED_VALUE"""),"K")</f>
        <v>K</v>
      </c>
      <c r="F527" s="309" t="s">
        <v>34</v>
      </c>
      <c r="G527" s="308" t="s">
        <v>2297</v>
      </c>
      <c r="H527" s="308" t="s">
        <v>2298</v>
      </c>
      <c r="I527" s="310">
        <v>40044.0</v>
      </c>
      <c r="J527" s="308">
        <f>IFERROR(__xludf.DUMMYFUNCTION("SPLIT(I527,""/"")"),19.0)</f>
        <v>19</v>
      </c>
      <c r="K527" s="308">
        <f>IFERROR(__xludf.DUMMYFUNCTION("""COMPUTED_VALUE"""),8.0)</f>
        <v>8</v>
      </c>
      <c r="L527" s="308">
        <f>IFERROR(__xludf.DUMMYFUNCTION("""COMPUTED_VALUE"""),2009.0)</f>
        <v>2009</v>
      </c>
      <c r="M527" s="308" t="s">
        <v>2299</v>
      </c>
      <c r="N527" s="308"/>
      <c r="O527" s="312" t="s">
        <v>35070</v>
      </c>
      <c r="P527" s="308" t="s">
        <v>1971</v>
      </c>
      <c r="Q527" s="308"/>
      <c r="R527" s="308"/>
      <c r="S527" s="315" t="s">
        <v>100</v>
      </c>
      <c r="T527" s="311" t="s">
        <v>34208</v>
      </c>
      <c r="U527" s="308" t="s">
        <v>530</v>
      </c>
      <c r="V527" s="312"/>
    </row>
    <row r="528">
      <c r="A528" s="308">
        <v>527.0</v>
      </c>
      <c r="B528" s="308">
        <v>3736.0</v>
      </c>
      <c r="C528" s="308" t="s">
        <v>2301</v>
      </c>
      <c r="D528" s="308">
        <f>IFERROR(__xludf.DUMMYFUNCTION("SPLIT(C528,""-"")"),528.0)</f>
        <v>528</v>
      </c>
      <c r="E528" s="308" t="str">
        <f>IFERROR(__xludf.DUMMYFUNCTION("""COMPUTED_VALUE"""),"K")</f>
        <v>K</v>
      </c>
      <c r="F528" s="309" t="s">
        <v>34</v>
      </c>
      <c r="G528" s="308" t="s">
        <v>2297</v>
      </c>
      <c r="H528" s="308" t="s">
        <v>2302</v>
      </c>
      <c r="I528" s="310">
        <v>40044.0</v>
      </c>
      <c r="J528" s="308">
        <f>IFERROR(__xludf.DUMMYFUNCTION("SPLIT(I528,""/"")"),19.0)</f>
        <v>19</v>
      </c>
      <c r="K528" s="308">
        <f>IFERROR(__xludf.DUMMYFUNCTION("""COMPUTED_VALUE"""),8.0)</f>
        <v>8</v>
      </c>
      <c r="L528" s="308">
        <f>IFERROR(__xludf.DUMMYFUNCTION("""COMPUTED_VALUE"""),2009.0)</f>
        <v>2009</v>
      </c>
      <c r="M528" s="308" t="s">
        <v>2303</v>
      </c>
      <c r="N528" s="308"/>
      <c r="O528" s="312" t="s">
        <v>35070</v>
      </c>
      <c r="P528" s="308" t="s">
        <v>1971</v>
      </c>
      <c r="Q528" s="308"/>
      <c r="R528" s="308"/>
      <c r="S528" s="315" t="s">
        <v>100</v>
      </c>
      <c r="T528" s="311" t="s">
        <v>34208</v>
      </c>
      <c r="U528" s="308" t="s">
        <v>530</v>
      </c>
      <c r="V528" s="312"/>
    </row>
    <row r="529">
      <c r="A529" s="308">
        <v>528.0</v>
      </c>
      <c r="B529" s="308">
        <v>3737.0</v>
      </c>
      <c r="C529" s="308" t="s">
        <v>2304</v>
      </c>
      <c r="D529" s="308">
        <f>IFERROR(__xludf.DUMMYFUNCTION("SPLIT(C529,""-"")"),529.0)</f>
        <v>529</v>
      </c>
      <c r="E529" s="308" t="str">
        <f>IFERROR(__xludf.DUMMYFUNCTION("""COMPUTED_VALUE"""),"K")</f>
        <v>K</v>
      </c>
      <c r="F529" s="309" t="s">
        <v>34</v>
      </c>
      <c r="G529" s="308" t="s">
        <v>2297</v>
      </c>
      <c r="H529" s="308" t="s">
        <v>2305</v>
      </c>
      <c r="I529" s="310">
        <v>40044.0</v>
      </c>
      <c r="J529" s="308">
        <f>IFERROR(__xludf.DUMMYFUNCTION("SPLIT(I529,""/"")"),19.0)</f>
        <v>19</v>
      </c>
      <c r="K529" s="308">
        <f>IFERROR(__xludf.DUMMYFUNCTION("""COMPUTED_VALUE"""),8.0)</f>
        <v>8</v>
      </c>
      <c r="L529" s="308">
        <f>IFERROR(__xludf.DUMMYFUNCTION("""COMPUTED_VALUE"""),2009.0)</f>
        <v>2009</v>
      </c>
      <c r="M529" s="308" t="s">
        <v>2303</v>
      </c>
      <c r="N529" s="308"/>
      <c r="O529" s="312" t="s">
        <v>35070</v>
      </c>
      <c r="P529" s="308" t="s">
        <v>1971</v>
      </c>
      <c r="Q529" s="308"/>
      <c r="R529" s="308"/>
      <c r="S529" s="315" t="s">
        <v>100</v>
      </c>
      <c r="T529" s="311" t="s">
        <v>34208</v>
      </c>
      <c r="U529" s="308" t="s">
        <v>530</v>
      </c>
      <c r="V529" s="312"/>
    </row>
    <row r="530">
      <c r="A530" s="308">
        <v>529.0</v>
      </c>
      <c r="B530" s="308">
        <v>3738.0</v>
      </c>
      <c r="C530" s="308" t="s">
        <v>2306</v>
      </c>
      <c r="D530" s="308">
        <f>IFERROR(__xludf.DUMMYFUNCTION("SPLIT(C530,""-"")"),530.0)</f>
        <v>530</v>
      </c>
      <c r="E530" s="308" t="str">
        <f>IFERROR(__xludf.DUMMYFUNCTION("""COMPUTED_VALUE"""),"P")</f>
        <v>P</v>
      </c>
      <c r="F530" s="312" t="s">
        <v>37</v>
      </c>
      <c r="G530" s="308"/>
      <c r="H530" s="308" t="s">
        <v>2307</v>
      </c>
      <c r="I530" s="310">
        <v>35960.0</v>
      </c>
      <c r="J530" s="308">
        <f>IFERROR(__xludf.DUMMYFUNCTION("SPLIT(I530,""/"")"),14.0)</f>
        <v>14</v>
      </c>
      <c r="K530" s="308">
        <f>IFERROR(__xludf.DUMMYFUNCTION("""COMPUTED_VALUE"""),6.0)</f>
        <v>6</v>
      </c>
      <c r="L530" s="308">
        <f>IFERROR(__xludf.DUMMYFUNCTION("""COMPUTED_VALUE"""),1998.0)</f>
        <v>1998</v>
      </c>
      <c r="M530" s="308" t="s">
        <v>2308</v>
      </c>
      <c r="N530" s="308"/>
      <c r="O530" s="308" t="s">
        <v>2309</v>
      </c>
      <c r="P530" s="308" t="s">
        <v>2310</v>
      </c>
      <c r="Q530" s="308"/>
      <c r="R530" s="308"/>
      <c r="S530" s="315" t="s">
        <v>100</v>
      </c>
      <c r="T530" s="311" t="s">
        <v>34208</v>
      </c>
      <c r="U530" s="308" t="s">
        <v>1711</v>
      </c>
      <c r="V530" s="312"/>
    </row>
    <row r="531">
      <c r="A531" s="308">
        <v>530.0</v>
      </c>
      <c r="B531" s="308">
        <v>3739.0</v>
      </c>
      <c r="C531" s="308" t="s">
        <v>35071</v>
      </c>
      <c r="D531" s="308">
        <f>IFERROR(__xludf.DUMMYFUNCTION("SPLIT(C531,""-"")"),531.0)</f>
        <v>531</v>
      </c>
      <c r="E531" s="311"/>
      <c r="F531" s="309" t="s">
        <v>34</v>
      </c>
      <c r="G531" s="308"/>
      <c r="H531" s="308" t="s">
        <v>2311</v>
      </c>
      <c r="I531" s="310">
        <v>40255.0</v>
      </c>
      <c r="J531" s="308">
        <f>IFERROR(__xludf.DUMMYFUNCTION("SPLIT(I531,""/"")"),18.0)</f>
        <v>18</v>
      </c>
      <c r="K531" s="308">
        <f>IFERROR(__xludf.DUMMYFUNCTION("""COMPUTED_VALUE"""),3.0)</f>
        <v>3</v>
      </c>
      <c r="L531" s="308">
        <f>IFERROR(__xludf.DUMMYFUNCTION("""COMPUTED_VALUE"""),2010.0)</f>
        <v>2010</v>
      </c>
      <c r="M531" s="308" t="s">
        <v>2312</v>
      </c>
      <c r="N531" s="308"/>
      <c r="O531" s="312" t="s">
        <v>35072</v>
      </c>
      <c r="P531" s="308" t="s">
        <v>2021</v>
      </c>
      <c r="Q531" s="308"/>
      <c r="R531" s="308"/>
      <c r="S531" s="308" t="s">
        <v>49</v>
      </c>
      <c r="T531" s="308" t="s">
        <v>51</v>
      </c>
      <c r="U531" s="308"/>
      <c r="V531" s="312"/>
    </row>
    <row r="532">
      <c r="A532" s="308">
        <v>531.0</v>
      </c>
      <c r="B532" s="308">
        <v>3740.0</v>
      </c>
      <c r="C532" s="308" t="s">
        <v>35073</v>
      </c>
      <c r="D532" s="308">
        <f>IFERROR(__xludf.DUMMYFUNCTION("SPLIT(C532,""-"")"),532.0)</f>
        <v>532</v>
      </c>
      <c r="E532" s="311"/>
      <c r="F532" s="317" t="s">
        <v>37</v>
      </c>
      <c r="G532" s="308" t="s">
        <v>2314</v>
      </c>
      <c r="H532" s="312" t="s">
        <v>2315</v>
      </c>
      <c r="I532" s="314">
        <v>40889.0</v>
      </c>
      <c r="J532" s="308">
        <f>IFERROR(__xludf.DUMMYFUNCTION("SPLIT(I532,""/"")"),12.0)</f>
        <v>12</v>
      </c>
      <c r="K532" s="312">
        <f>IFERROR(__xludf.DUMMYFUNCTION("""COMPUTED_VALUE"""),12.0)</f>
        <v>12</v>
      </c>
      <c r="L532" s="312">
        <f>IFERROR(__xludf.DUMMYFUNCTION("""COMPUTED_VALUE"""),2011.0)</f>
        <v>2011</v>
      </c>
      <c r="M532" s="312" t="s">
        <v>2316</v>
      </c>
      <c r="N532" s="312"/>
      <c r="O532" s="312" t="s">
        <v>2317</v>
      </c>
      <c r="P532" s="312" t="s">
        <v>1847</v>
      </c>
      <c r="Q532" s="308"/>
      <c r="R532" s="308"/>
      <c r="S532" s="308" t="s">
        <v>100</v>
      </c>
      <c r="T532" s="311" t="s">
        <v>34208</v>
      </c>
      <c r="U532" s="312" t="s">
        <v>2318</v>
      </c>
      <c r="V532" s="312"/>
    </row>
    <row r="533">
      <c r="A533" s="308">
        <v>532.0</v>
      </c>
      <c r="B533" s="308">
        <v>3741.0</v>
      </c>
      <c r="C533" s="308" t="s">
        <v>35074</v>
      </c>
      <c r="D533" s="308">
        <f>IFERROR(__xludf.DUMMYFUNCTION("SPLIT(C533,""-"")"),533.0)</f>
        <v>533</v>
      </c>
      <c r="E533" s="311"/>
      <c r="F533" s="317" t="s">
        <v>37</v>
      </c>
      <c r="G533" s="308"/>
      <c r="H533" s="308" t="s">
        <v>2319</v>
      </c>
      <c r="I533" s="314">
        <v>39808.0</v>
      </c>
      <c r="J533" s="308">
        <f>IFERROR(__xludf.DUMMYFUNCTION("SPLIT(I533,""/"")"),26.0)</f>
        <v>26</v>
      </c>
      <c r="K533" s="308">
        <f>IFERROR(__xludf.DUMMYFUNCTION("""COMPUTED_VALUE"""),12.0)</f>
        <v>12</v>
      </c>
      <c r="L533" s="308">
        <f>IFERROR(__xludf.DUMMYFUNCTION("""COMPUTED_VALUE"""),2008.0)</f>
        <v>2008</v>
      </c>
      <c r="M533" s="308" t="s">
        <v>2320</v>
      </c>
      <c r="N533" s="308"/>
      <c r="O533" s="312" t="s">
        <v>35075</v>
      </c>
      <c r="P533" s="308" t="s">
        <v>148</v>
      </c>
      <c r="Q533" s="308"/>
      <c r="R533" s="308"/>
      <c r="S533" s="308" t="s">
        <v>49</v>
      </c>
      <c r="T533" s="308" t="s">
        <v>51</v>
      </c>
      <c r="U533" s="308"/>
      <c r="V533" s="312"/>
    </row>
    <row r="534">
      <c r="A534" s="308">
        <v>533.0</v>
      </c>
      <c r="B534" s="308">
        <v>3742.0</v>
      </c>
      <c r="C534" s="308" t="s">
        <v>35076</v>
      </c>
      <c r="D534" s="308">
        <f>IFERROR(__xludf.DUMMYFUNCTION("SPLIT(C534,""-"")"),534.0)</f>
        <v>534</v>
      </c>
      <c r="E534" s="311"/>
      <c r="F534" s="309" t="s">
        <v>34</v>
      </c>
      <c r="G534" s="308"/>
      <c r="H534" s="308" t="s">
        <v>2322</v>
      </c>
      <c r="I534" s="310">
        <v>39928.0</v>
      </c>
      <c r="J534" s="308">
        <f>IFERROR(__xludf.DUMMYFUNCTION("SPLIT(I534,""/"")"),25.0)</f>
        <v>25</v>
      </c>
      <c r="K534" s="308">
        <f>IFERROR(__xludf.DUMMYFUNCTION("""COMPUTED_VALUE"""),4.0)</f>
        <v>4</v>
      </c>
      <c r="L534" s="308">
        <f>IFERROR(__xludf.DUMMYFUNCTION("""COMPUTED_VALUE"""),2009.0)</f>
        <v>2009</v>
      </c>
      <c r="M534" s="308" t="s">
        <v>2323</v>
      </c>
      <c r="N534" s="308"/>
      <c r="O534" s="308" t="s">
        <v>2324</v>
      </c>
      <c r="P534" s="308" t="s">
        <v>252</v>
      </c>
      <c r="Q534" s="308"/>
      <c r="R534" s="308"/>
      <c r="S534" s="308" t="s">
        <v>49</v>
      </c>
      <c r="T534" s="308" t="s">
        <v>51</v>
      </c>
      <c r="U534" s="308"/>
      <c r="V534" s="312"/>
    </row>
    <row r="535">
      <c r="A535" s="308">
        <v>534.0</v>
      </c>
      <c r="B535" s="308">
        <v>3743.0</v>
      </c>
      <c r="C535" s="308" t="s">
        <v>35077</v>
      </c>
      <c r="D535" s="308">
        <f>IFERROR(__xludf.DUMMYFUNCTION("SPLIT(C535,""-"")"),535.0)</f>
        <v>535</v>
      </c>
      <c r="E535" s="311"/>
      <c r="F535" s="309" t="s">
        <v>44</v>
      </c>
      <c r="G535" s="308" t="s">
        <v>2325</v>
      </c>
      <c r="H535" s="308" t="s">
        <v>2326</v>
      </c>
      <c r="I535" s="310">
        <v>39457.0</v>
      </c>
      <c r="J535" s="308">
        <f>IFERROR(__xludf.DUMMYFUNCTION("SPLIT(I535,""/"")"),10.0)</f>
        <v>10</v>
      </c>
      <c r="K535" s="308">
        <f>IFERROR(__xludf.DUMMYFUNCTION("""COMPUTED_VALUE"""),1.0)</f>
        <v>1</v>
      </c>
      <c r="L535" s="308">
        <f>IFERROR(__xludf.DUMMYFUNCTION("""COMPUTED_VALUE"""),2008.0)</f>
        <v>2008</v>
      </c>
      <c r="M535" s="308" t="s">
        <v>2327</v>
      </c>
      <c r="N535" s="308"/>
      <c r="O535" s="312" t="s">
        <v>635</v>
      </c>
      <c r="P535" s="308" t="s">
        <v>2328</v>
      </c>
      <c r="Q535" s="308"/>
      <c r="R535" s="308"/>
      <c r="S535" s="308" t="s">
        <v>49</v>
      </c>
      <c r="T535" s="308" t="s">
        <v>51</v>
      </c>
      <c r="U535" s="308" t="s">
        <v>137</v>
      </c>
      <c r="V535" s="312"/>
    </row>
    <row r="536">
      <c r="A536" s="308">
        <v>535.0</v>
      </c>
      <c r="B536" s="308">
        <v>3744.0</v>
      </c>
      <c r="C536" s="308" t="s">
        <v>35078</v>
      </c>
      <c r="D536" s="308">
        <f>IFERROR(__xludf.DUMMYFUNCTION("SPLIT(C536,""-"")"),536.0)</f>
        <v>536</v>
      </c>
      <c r="E536" s="311"/>
      <c r="F536" s="309" t="s">
        <v>34</v>
      </c>
      <c r="G536" s="308"/>
      <c r="H536" s="308" t="s">
        <v>2329</v>
      </c>
      <c r="I536" s="310">
        <v>40212.0</v>
      </c>
      <c r="J536" s="308">
        <f>IFERROR(__xludf.DUMMYFUNCTION("SPLIT(I536,""/"")"),3.0)</f>
        <v>3</v>
      </c>
      <c r="K536" s="308">
        <f>IFERROR(__xludf.DUMMYFUNCTION("""COMPUTED_VALUE"""),2.0)</f>
        <v>2</v>
      </c>
      <c r="L536" s="308">
        <f>IFERROR(__xludf.DUMMYFUNCTION("""COMPUTED_VALUE"""),2010.0)</f>
        <v>2010</v>
      </c>
      <c r="M536" s="308" t="s">
        <v>2330</v>
      </c>
      <c r="N536" s="308"/>
      <c r="O536" s="312" t="s">
        <v>35079</v>
      </c>
      <c r="P536" s="308" t="s">
        <v>2332</v>
      </c>
      <c r="Q536" s="308"/>
      <c r="R536" s="308"/>
      <c r="S536" s="308" t="s">
        <v>81</v>
      </c>
      <c r="T536" s="308" t="s">
        <v>34264</v>
      </c>
      <c r="U536" s="308"/>
      <c r="V536" s="312"/>
    </row>
    <row r="537">
      <c r="A537" s="308">
        <v>536.0</v>
      </c>
      <c r="B537" s="308">
        <v>3745.0</v>
      </c>
      <c r="C537" s="308" t="s">
        <v>35080</v>
      </c>
      <c r="D537" s="308">
        <f>IFERROR(__xludf.DUMMYFUNCTION("SPLIT(C537,""-"")"),537.0)</f>
        <v>537</v>
      </c>
      <c r="E537" s="311"/>
      <c r="F537" s="309" t="s">
        <v>34</v>
      </c>
      <c r="G537" s="308"/>
      <c r="H537" s="308" t="s">
        <v>2333</v>
      </c>
      <c r="I537" s="310">
        <v>40296.0</v>
      </c>
      <c r="J537" s="308">
        <f>IFERROR(__xludf.DUMMYFUNCTION("SPLIT(I537,""/"")"),28.0)</f>
        <v>28</v>
      </c>
      <c r="K537" s="308">
        <f>IFERROR(__xludf.DUMMYFUNCTION("""COMPUTED_VALUE"""),4.0)</f>
        <v>4</v>
      </c>
      <c r="L537" s="308">
        <f>IFERROR(__xludf.DUMMYFUNCTION("""COMPUTED_VALUE"""),2010.0)</f>
        <v>2010</v>
      </c>
      <c r="M537" s="308" t="s">
        <v>35081</v>
      </c>
      <c r="N537" s="308"/>
      <c r="O537" s="312" t="s">
        <v>635</v>
      </c>
      <c r="P537" s="308" t="s">
        <v>2335</v>
      </c>
      <c r="Q537" s="308"/>
      <c r="R537" s="308"/>
      <c r="S537" s="308" t="s">
        <v>81</v>
      </c>
      <c r="T537" s="308" t="s">
        <v>34264</v>
      </c>
      <c r="U537" s="308"/>
      <c r="V537" s="312"/>
    </row>
    <row r="538">
      <c r="A538" s="308">
        <v>537.0</v>
      </c>
      <c r="B538" s="308">
        <v>3746.0</v>
      </c>
      <c r="C538" s="308" t="s">
        <v>35082</v>
      </c>
      <c r="D538" s="308">
        <f>IFERROR(__xludf.DUMMYFUNCTION("SPLIT(C538,""-"")"),538.0)</f>
        <v>538</v>
      </c>
      <c r="E538" s="311"/>
      <c r="F538" s="317" t="s">
        <v>37</v>
      </c>
      <c r="G538" s="308"/>
      <c r="H538" s="308" t="s">
        <v>2336</v>
      </c>
      <c r="I538" s="310">
        <v>40800.0</v>
      </c>
      <c r="J538" s="308">
        <f>IFERROR(__xludf.DUMMYFUNCTION("SPLIT(I538,""/"")"),14.0)</f>
        <v>14</v>
      </c>
      <c r="K538" s="308">
        <f>IFERROR(__xludf.DUMMYFUNCTION("""COMPUTED_VALUE"""),9.0)</f>
        <v>9</v>
      </c>
      <c r="L538" s="308">
        <f>IFERROR(__xludf.DUMMYFUNCTION("""COMPUTED_VALUE"""),2011.0)</f>
        <v>2011</v>
      </c>
      <c r="M538" s="308" t="s">
        <v>2337</v>
      </c>
      <c r="N538" s="308"/>
      <c r="O538" s="312" t="s">
        <v>35083</v>
      </c>
      <c r="P538" s="308" t="s">
        <v>35084</v>
      </c>
      <c r="Q538" s="308"/>
      <c r="R538" s="308"/>
      <c r="S538" s="308" t="s">
        <v>49</v>
      </c>
      <c r="T538" s="311" t="s">
        <v>51</v>
      </c>
      <c r="U538" s="308" t="s">
        <v>149</v>
      </c>
      <c r="V538" s="312"/>
    </row>
    <row r="539">
      <c r="A539" s="308">
        <v>538.0</v>
      </c>
      <c r="B539" s="308">
        <v>3747.0</v>
      </c>
      <c r="C539" s="308" t="s">
        <v>35085</v>
      </c>
      <c r="D539" s="308">
        <f>IFERROR(__xludf.DUMMYFUNCTION("SPLIT(C539,""-"")"),539.0)</f>
        <v>539</v>
      </c>
      <c r="E539" s="311"/>
      <c r="F539" s="309" t="s">
        <v>26</v>
      </c>
      <c r="G539" s="308"/>
      <c r="H539" s="308" t="s">
        <v>2340</v>
      </c>
      <c r="I539" s="310">
        <v>40982.0</v>
      </c>
      <c r="J539" s="308">
        <f>IFERROR(__xludf.DUMMYFUNCTION("SPLIT(I539,""/"")"),14.0)</f>
        <v>14</v>
      </c>
      <c r="K539" s="308">
        <f>IFERROR(__xludf.DUMMYFUNCTION("""COMPUTED_VALUE"""),3.0)</f>
        <v>3</v>
      </c>
      <c r="L539" s="308">
        <f>IFERROR(__xludf.DUMMYFUNCTION("""COMPUTED_VALUE"""),2012.0)</f>
        <v>2012</v>
      </c>
      <c r="M539" s="308" t="s">
        <v>2341</v>
      </c>
      <c r="N539" s="308"/>
      <c r="O539" s="308" t="s">
        <v>2342</v>
      </c>
      <c r="P539" s="308" t="s">
        <v>124</v>
      </c>
      <c r="Q539" s="308"/>
      <c r="R539" s="308"/>
      <c r="S539" s="308" t="s">
        <v>81</v>
      </c>
      <c r="T539" s="308" t="s">
        <v>35048</v>
      </c>
      <c r="U539" s="308"/>
      <c r="V539" s="312"/>
    </row>
    <row r="540">
      <c r="A540" s="308">
        <v>539.0</v>
      </c>
      <c r="B540" s="308">
        <v>3748.0</v>
      </c>
      <c r="C540" s="308" t="s">
        <v>35086</v>
      </c>
      <c r="D540" s="308">
        <f>IFERROR(__xludf.DUMMYFUNCTION("SPLIT(C540,""-"")"),540.0)</f>
        <v>540</v>
      </c>
      <c r="E540" s="311"/>
      <c r="F540" s="309" t="s">
        <v>34</v>
      </c>
      <c r="G540" s="308"/>
      <c r="H540" s="308" t="s">
        <v>2343</v>
      </c>
      <c r="I540" s="310">
        <v>40955.0</v>
      </c>
      <c r="J540" s="308">
        <f>IFERROR(__xludf.DUMMYFUNCTION("SPLIT(I540,""/"")"),16.0)</f>
        <v>16</v>
      </c>
      <c r="K540" s="308">
        <f>IFERROR(__xludf.DUMMYFUNCTION("""COMPUTED_VALUE"""),2.0)</f>
        <v>2</v>
      </c>
      <c r="L540" s="308">
        <f>IFERROR(__xludf.DUMMYFUNCTION("""COMPUTED_VALUE"""),2012.0)</f>
        <v>2012</v>
      </c>
      <c r="M540" s="308" t="s">
        <v>2344</v>
      </c>
      <c r="N540" s="308"/>
      <c r="O540" s="312" t="s">
        <v>35087</v>
      </c>
      <c r="P540" s="308" t="s">
        <v>148</v>
      </c>
      <c r="Q540" s="308"/>
      <c r="R540" s="308"/>
      <c r="S540" s="308" t="s">
        <v>49</v>
      </c>
      <c r="T540" s="308" t="s">
        <v>51</v>
      </c>
      <c r="U540" s="308"/>
      <c r="V540" s="312"/>
    </row>
    <row r="541">
      <c r="A541" s="308">
        <v>540.0</v>
      </c>
      <c r="B541" s="308">
        <v>3749.0</v>
      </c>
      <c r="C541" s="308" t="s">
        <v>35088</v>
      </c>
      <c r="D541" s="308">
        <f>IFERROR(__xludf.DUMMYFUNCTION("SPLIT(C541,""-"")"),541.0)</f>
        <v>541</v>
      </c>
      <c r="E541" s="311"/>
      <c r="F541" s="309" t="s">
        <v>34</v>
      </c>
      <c r="G541" s="308" t="s">
        <v>2346</v>
      </c>
      <c r="H541" s="308" t="s">
        <v>2347</v>
      </c>
      <c r="I541" s="316" t="s">
        <v>407</v>
      </c>
      <c r="J541" s="308" t="str">
        <f>IFERROR(__xludf.DUMMYFUNCTION("SPLIT(I541,""/"")"),"#REF!")</f>
        <v>#REF!</v>
      </c>
      <c r="K541" s="308"/>
      <c r="L541" s="311" t="s">
        <v>79</v>
      </c>
      <c r="M541" s="308" t="s">
        <v>2348</v>
      </c>
      <c r="N541" s="308"/>
      <c r="O541" s="312" t="s">
        <v>35089</v>
      </c>
      <c r="P541" s="308" t="s">
        <v>1605</v>
      </c>
      <c r="Q541" s="308"/>
      <c r="R541" s="308"/>
      <c r="S541" s="315" t="s">
        <v>100</v>
      </c>
      <c r="T541" s="311" t="s">
        <v>34208</v>
      </c>
      <c r="U541" s="308" t="s">
        <v>125</v>
      </c>
      <c r="V541" s="312"/>
    </row>
    <row r="542">
      <c r="A542" s="308">
        <v>541.0</v>
      </c>
      <c r="B542" s="308">
        <v>3750.0</v>
      </c>
      <c r="C542" s="308" t="s">
        <v>2350</v>
      </c>
      <c r="D542" s="308">
        <f>IFERROR(__xludf.DUMMYFUNCTION("SPLIT(C542,""-"")"),542.0)</f>
        <v>542</v>
      </c>
      <c r="E542" s="308" t="str">
        <f>IFERROR(__xludf.DUMMYFUNCTION("""COMPUTED_VALUE"""),"K")</f>
        <v>K</v>
      </c>
      <c r="F542" s="309" t="s">
        <v>34</v>
      </c>
      <c r="G542" s="308" t="s">
        <v>2351</v>
      </c>
      <c r="H542" s="308" t="s">
        <v>2352</v>
      </c>
      <c r="I542" s="310">
        <v>39827.0</v>
      </c>
      <c r="J542" s="308">
        <f>IFERROR(__xludf.DUMMYFUNCTION("SPLIT(I542,""/"")"),14.0)</f>
        <v>14</v>
      </c>
      <c r="K542" s="308">
        <f>IFERROR(__xludf.DUMMYFUNCTION("""COMPUTED_VALUE"""),1.0)</f>
        <v>1</v>
      </c>
      <c r="L542" s="308">
        <f>IFERROR(__xludf.DUMMYFUNCTION("""COMPUTED_VALUE"""),2009.0)</f>
        <v>2009</v>
      </c>
      <c r="M542" s="308" t="s">
        <v>2353</v>
      </c>
      <c r="N542" s="308"/>
      <c r="O542" s="312" t="s">
        <v>35090</v>
      </c>
      <c r="P542" s="308" t="s">
        <v>2355</v>
      </c>
      <c r="Q542" s="308"/>
      <c r="R542" s="308" t="s">
        <v>1496</v>
      </c>
      <c r="S542" s="311" t="s">
        <v>49</v>
      </c>
      <c r="T542" s="309" t="s">
        <v>77</v>
      </c>
      <c r="U542" s="308" t="s">
        <v>530</v>
      </c>
      <c r="V542" s="312"/>
    </row>
    <row r="543">
      <c r="A543" s="308">
        <v>542.0</v>
      </c>
      <c r="B543" s="308">
        <v>3751.0</v>
      </c>
      <c r="C543" s="308" t="s">
        <v>35091</v>
      </c>
      <c r="D543" s="308">
        <f>IFERROR(__xludf.DUMMYFUNCTION("SPLIT(C543,""-"")"),543.0)</f>
        <v>543</v>
      </c>
      <c r="E543" s="311"/>
      <c r="F543" s="309" t="s">
        <v>23</v>
      </c>
      <c r="G543" s="308" t="s">
        <v>2356</v>
      </c>
      <c r="H543" s="308" t="s">
        <v>2357</v>
      </c>
      <c r="I543" s="310">
        <v>39965.0</v>
      </c>
      <c r="J543" s="308">
        <f>IFERROR(__xludf.DUMMYFUNCTION("SPLIT(I543,""/"")"),1.0)</f>
        <v>1</v>
      </c>
      <c r="K543" s="308">
        <f>IFERROR(__xludf.DUMMYFUNCTION("""COMPUTED_VALUE"""),6.0)</f>
        <v>6</v>
      </c>
      <c r="L543" s="308">
        <f>IFERROR(__xludf.DUMMYFUNCTION("""COMPUTED_VALUE"""),2009.0)</f>
        <v>2009</v>
      </c>
      <c r="M543" s="308" t="s">
        <v>2358</v>
      </c>
      <c r="N543" s="308"/>
      <c r="O543" s="312" t="s">
        <v>35092</v>
      </c>
      <c r="P543" s="308" t="s">
        <v>2360</v>
      </c>
      <c r="Q543" s="308"/>
      <c r="R543" s="308"/>
      <c r="S543" s="308" t="s">
        <v>49</v>
      </c>
      <c r="T543" s="311" t="s">
        <v>51</v>
      </c>
      <c r="U543" s="308"/>
      <c r="V543" s="312"/>
    </row>
    <row r="544">
      <c r="A544" s="308">
        <v>543.0</v>
      </c>
      <c r="B544" s="308">
        <v>3752.0</v>
      </c>
      <c r="C544" s="308" t="s">
        <v>35093</v>
      </c>
      <c r="D544" s="308">
        <f>IFERROR(__xludf.DUMMYFUNCTION("SPLIT(C544,""-"")"),544.0)</f>
        <v>544</v>
      </c>
      <c r="E544" s="311"/>
      <c r="F544" s="309" t="s">
        <v>34</v>
      </c>
      <c r="G544" s="308" t="s">
        <v>2361</v>
      </c>
      <c r="H544" s="308" t="s">
        <v>2362</v>
      </c>
      <c r="I544" s="310">
        <v>39925.0</v>
      </c>
      <c r="J544" s="308">
        <f>IFERROR(__xludf.DUMMYFUNCTION("SPLIT(I544,""/"")"),22.0)</f>
        <v>22</v>
      </c>
      <c r="K544" s="308">
        <f>IFERROR(__xludf.DUMMYFUNCTION("""COMPUTED_VALUE"""),4.0)</f>
        <v>4</v>
      </c>
      <c r="L544" s="308">
        <f>IFERROR(__xludf.DUMMYFUNCTION("""COMPUTED_VALUE"""),2009.0)</f>
        <v>2009</v>
      </c>
      <c r="M544" s="308" t="s">
        <v>2363</v>
      </c>
      <c r="N544" s="308"/>
      <c r="O544" s="308" t="s">
        <v>2364</v>
      </c>
      <c r="P544" s="308" t="s">
        <v>2355</v>
      </c>
      <c r="Q544" s="308"/>
      <c r="R544" s="308"/>
      <c r="S544" s="311" t="s">
        <v>49</v>
      </c>
      <c r="T544" s="309" t="s">
        <v>77</v>
      </c>
      <c r="U544" s="308"/>
      <c r="V544" s="312"/>
    </row>
    <row r="545">
      <c r="A545" s="308">
        <v>544.0</v>
      </c>
      <c r="B545" s="308">
        <v>3753.0</v>
      </c>
      <c r="C545" s="308" t="s">
        <v>35094</v>
      </c>
      <c r="D545" s="308">
        <f>IFERROR(__xludf.DUMMYFUNCTION("SPLIT(C545,""-"")"),545.0)</f>
        <v>545</v>
      </c>
      <c r="E545" s="311"/>
      <c r="F545" s="309" t="s">
        <v>26</v>
      </c>
      <c r="G545" s="308" t="s">
        <v>2365</v>
      </c>
      <c r="H545" s="308" t="s">
        <v>2366</v>
      </c>
      <c r="I545" s="310">
        <v>40752.0</v>
      </c>
      <c r="J545" s="308">
        <f>IFERROR(__xludf.DUMMYFUNCTION("SPLIT(I545,""/"")"),28.0)</f>
        <v>28</v>
      </c>
      <c r="K545" s="308">
        <f>IFERROR(__xludf.DUMMYFUNCTION("""COMPUTED_VALUE"""),7.0)</f>
        <v>7</v>
      </c>
      <c r="L545" s="308">
        <f>IFERROR(__xludf.DUMMYFUNCTION("""COMPUTED_VALUE"""),2011.0)</f>
        <v>2011</v>
      </c>
      <c r="M545" s="308" t="s">
        <v>2367</v>
      </c>
      <c r="N545" s="308"/>
      <c r="O545" s="312" t="s">
        <v>635</v>
      </c>
      <c r="P545" s="308" t="s">
        <v>35095</v>
      </c>
      <c r="Q545" s="308"/>
      <c r="R545" s="308"/>
      <c r="S545" s="308" t="s">
        <v>81</v>
      </c>
      <c r="T545" s="308" t="s">
        <v>75</v>
      </c>
      <c r="U545" s="308" t="s">
        <v>27</v>
      </c>
      <c r="V545" s="312"/>
    </row>
    <row r="546">
      <c r="A546" s="308">
        <v>545.0</v>
      </c>
      <c r="B546" s="308">
        <v>3754.0</v>
      </c>
      <c r="C546" s="308" t="s">
        <v>35096</v>
      </c>
      <c r="D546" s="308">
        <f>IFERROR(__xludf.DUMMYFUNCTION("SPLIT(C546,""-"")"),546.0)</f>
        <v>546</v>
      </c>
      <c r="E546" s="311"/>
      <c r="F546" s="309" t="s">
        <v>26</v>
      </c>
      <c r="G546" s="308" t="s">
        <v>2365</v>
      </c>
      <c r="H546" s="308" t="s">
        <v>2369</v>
      </c>
      <c r="I546" s="310">
        <v>40752.0</v>
      </c>
      <c r="J546" s="308">
        <f>IFERROR(__xludf.DUMMYFUNCTION("SPLIT(I546,""/"")"),28.0)</f>
        <v>28</v>
      </c>
      <c r="K546" s="308">
        <f>IFERROR(__xludf.DUMMYFUNCTION("""COMPUTED_VALUE"""),7.0)</f>
        <v>7</v>
      </c>
      <c r="L546" s="308">
        <f>IFERROR(__xludf.DUMMYFUNCTION("""COMPUTED_VALUE"""),2011.0)</f>
        <v>2011</v>
      </c>
      <c r="M546" s="308" t="s">
        <v>2370</v>
      </c>
      <c r="N546" s="308"/>
      <c r="O546" s="312" t="s">
        <v>635</v>
      </c>
      <c r="P546" s="308" t="s">
        <v>35095</v>
      </c>
      <c r="Q546" s="308"/>
      <c r="R546" s="308"/>
      <c r="S546" s="308" t="s">
        <v>81</v>
      </c>
      <c r="T546" s="308" t="s">
        <v>75</v>
      </c>
      <c r="U546" s="308" t="s">
        <v>27</v>
      </c>
      <c r="V546" s="312"/>
    </row>
    <row r="547">
      <c r="A547" s="308">
        <v>546.0</v>
      </c>
      <c r="B547" s="308">
        <v>3755.0</v>
      </c>
      <c r="C547" s="308" t="s">
        <v>35097</v>
      </c>
      <c r="D547" s="308">
        <f>IFERROR(__xludf.DUMMYFUNCTION("SPLIT(C547,""-"")"),547.0)</f>
        <v>547</v>
      </c>
      <c r="E547" s="311"/>
      <c r="F547" s="309" t="s">
        <v>34</v>
      </c>
      <c r="G547" s="308" t="s">
        <v>2371</v>
      </c>
      <c r="H547" s="308" t="s">
        <v>2372</v>
      </c>
      <c r="I547" s="310">
        <v>40937.0</v>
      </c>
      <c r="J547" s="308">
        <f>IFERROR(__xludf.DUMMYFUNCTION("SPLIT(I547,""/"")"),29.0)</f>
        <v>29</v>
      </c>
      <c r="K547" s="308">
        <f>IFERROR(__xludf.DUMMYFUNCTION("""COMPUTED_VALUE"""),1.0)</f>
        <v>1</v>
      </c>
      <c r="L547" s="308">
        <f>IFERROR(__xludf.DUMMYFUNCTION("""COMPUTED_VALUE"""),2012.0)</f>
        <v>2012</v>
      </c>
      <c r="M547" s="308" t="s">
        <v>2373</v>
      </c>
      <c r="N547" s="308"/>
      <c r="O547" s="312" t="s">
        <v>635</v>
      </c>
      <c r="P547" s="308" t="s">
        <v>2374</v>
      </c>
      <c r="Q547" s="308"/>
      <c r="R547" s="308"/>
      <c r="S547" s="308" t="s">
        <v>81</v>
      </c>
      <c r="T547" s="311" t="s">
        <v>77</v>
      </c>
      <c r="U547" s="308"/>
      <c r="V547" s="312"/>
    </row>
    <row r="548">
      <c r="A548" s="308">
        <v>547.0</v>
      </c>
      <c r="B548" s="308">
        <v>3756.0</v>
      </c>
      <c r="C548" s="308" t="s">
        <v>35098</v>
      </c>
      <c r="D548" s="308">
        <f>IFERROR(__xludf.DUMMYFUNCTION("SPLIT(C548,""-"")"),548.0)</f>
        <v>548</v>
      </c>
      <c r="E548" s="311"/>
      <c r="F548" s="309" t="s">
        <v>34</v>
      </c>
      <c r="G548" s="308" t="s">
        <v>2371</v>
      </c>
      <c r="H548" s="308" t="s">
        <v>2375</v>
      </c>
      <c r="I548" s="310">
        <v>40937.0</v>
      </c>
      <c r="J548" s="308">
        <f>IFERROR(__xludf.DUMMYFUNCTION("SPLIT(I548,""/"")"),29.0)</f>
        <v>29</v>
      </c>
      <c r="K548" s="308">
        <f>IFERROR(__xludf.DUMMYFUNCTION("""COMPUTED_VALUE"""),1.0)</f>
        <v>1</v>
      </c>
      <c r="L548" s="308">
        <f>IFERROR(__xludf.DUMMYFUNCTION("""COMPUTED_VALUE"""),2012.0)</f>
        <v>2012</v>
      </c>
      <c r="M548" s="308" t="s">
        <v>2376</v>
      </c>
      <c r="N548" s="308"/>
      <c r="O548" s="312" t="s">
        <v>635</v>
      </c>
      <c r="P548" s="308" t="s">
        <v>2374</v>
      </c>
      <c r="Q548" s="308"/>
      <c r="R548" s="308"/>
      <c r="S548" s="308" t="s">
        <v>81</v>
      </c>
      <c r="T548" s="311" t="s">
        <v>77</v>
      </c>
      <c r="U548" s="308"/>
      <c r="V548" s="312"/>
    </row>
    <row r="549">
      <c r="A549" s="308">
        <v>548.0</v>
      </c>
      <c r="B549" s="308">
        <v>3757.0</v>
      </c>
      <c r="C549" s="308" t="s">
        <v>35099</v>
      </c>
      <c r="D549" s="308">
        <f>IFERROR(__xludf.DUMMYFUNCTION("SPLIT(C549,""-"")"),549.0)</f>
        <v>549</v>
      </c>
      <c r="E549" s="311"/>
      <c r="F549" s="309" t="s">
        <v>34</v>
      </c>
      <c r="G549" s="308"/>
      <c r="H549" s="308" t="s">
        <v>2377</v>
      </c>
      <c r="I549" s="310">
        <v>39630.0</v>
      </c>
      <c r="J549" s="308">
        <f>IFERROR(__xludf.DUMMYFUNCTION("SPLIT(I549,""/"")"),1.0)</f>
        <v>1</v>
      </c>
      <c r="K549" s="308">
        <f>IFERROR(__xludf.DUMMYFUNCTION("""COMPUTED_VALUE"""),7.0)</f>
        <v>7</v>
      </c>
      <c r="L549" s="308">
        <f>IFERROR(__xludf.DUMMYFUNCTION("""COMPUTED_VALUE"""),2008.0)</f>
        <v>2008</v>
      </c>
      <c r="M549" s="308" t="s">
        <v>2378</v>
      </c>
      <c r="N549" s="308" t="s">
        <v>2379</v>
      </c>
      <c r="O549" s="312" t="s">
        <v>35100</v>
      </c>
      <c r="P549" s="308" t="s">
        <v>2381</v>
      </c>
      <c r="Q549" s="308"/>
      <c r="R549" s="308"/>
      <c r="S549" s="315" t="s">
        <v>100</v>
      </c>
      <c r="T549" s="311" t="s">
        <v>34208</v>
      </c>
      <c r="U549" s="308" t="s">
        <v>195</v>
      </c>
      <c r="V549" s="312"/>
    </row>
    <row r="550">
      <c r="A550" s="308">
        <v>549.0</v>
      </c>
      <c r="B550" s="308">
        <v>3758.0</v>
      </c>
      <c r="C550" s="308" t="s">
        <v>35101</v>
      </c>
      <c r="D550" s="308">
        <f>IFERROR(__xludf.DUMMYFUNCTION("SPLIT(C550,""-"")"),550.0)</f>
        <v>550</v>
      </c>
      <c r="E550" s="311"/>
      <c r="F550" s="309" t="s">
        <v>34</v>
      </c>
      <c r="G550" s="308"/>
      <c r="H550" s="308" t="s">
        <v>2382</v>
      </c>
      <c r="I550" s="310">
        <v>40180.0</v>
      </c>
      <c r="J550" s="308">
        <f>IFERROR(__xludf.DUMMYFUNCTION("SPLIT(I550,""/"")"),2.0)</f>
        <v>2</v>
      </c>
      <c r="K550" s="308">
        <f>IFERROR(__xludf.DUMMYFUNCTION("""COMPUTED_VALUE"""),1.0)</f>
        <v>1</v>
      </c>
      <c r="L550" s="308">
        <f>IFERROR(__xludf.DUMMYFUNCTION("""COMPUTED_VALUE"""),2010.0)</f>
        <v>2010</v>
      </c>
      <c r="M550" s="308" t="s">
        <v>2383</v>
      </c>
      <c r="N550" s="308"/>
      <c r="O550" s="312" t="s">
        <v>635</v>
      </c>
      <c r="P550" s="308" t="s">
        <v>2332</v>
      </c>
      <c r="Q550" s="308"/>
      <c r="R550" s="308"/>
      <c r="S550" s="308" t="s">
        <v>81</v>
      </c>
      <c r="T550" s="308" t="s">
        <v>34264</v>
      </c>
      <c r="U550" s="308"/>
      <c r="V550" s="312"/>
    </row>
    <row r="551">
      <c r="A551" s="308">
        <v>550.0</v>
      </c>
      <c r="B551" s="308">
        <v>3759.0</v>
      </c>
      <c r="C551" s="308" t="s">
        <v>35102</v>
      </c>
      <c r="D551" s="308">
        <f>IFERROR(__xludf.DUMMYFUNCTION("SPLIT(C551,""-"")"),551.0)</f>
        <v>551</v>
      </c>
      <c r="E551" s="311"/>
      <c r="F551" s="309" t="s">
        <v>34</v>
      </c>
      <c r="G551" s="308"/>
      <c r="H551" s="308" t="s">
        <v>2384</v>
      </c>
      <c r="I551" s="310">
        <v>40576.0</v>
      </c>
      <c r="J551" s="308">
        <f>IFERROR(__xludf.DUMMYFUNCTION("SPLIT(I551,""/"")"),2.0)</f>
        <v>2</v>
      </c>
      <c r="K551" s="308">
        <f>IFERROR(__xludf.DUMMYFUNCTION("""COMPUTED_VALUE"""),2.0)</f>
        <v>2</v>
      </c>
      <c r="L551" s="308">
        <f>IFERROR(__xludf.DUMMYFUNCTION("""COMPUTED_VALUE"""),2011.0)</f>
        <v>2011</v>
      </c>
      <c r="M551" s="308" t="s">
        <v>2385</v>
      </c>
      <c r="N551" s="308"/>
      <c r="O551" s="312" t="s">
        <v>35103</v>
      </c>
      <c r="P551" s="308" t="s">
        <v>2387</v>
      </c>
      <c r="Q551" s="308"/>
      <c r="R551" s="308"/>
      <c r="S551" s="308" t="s">
        <v>81</v>
      </c>
      <c r="T551" s="308" t="s">
        <v>75</v>
      </c>
      <c r="U551" s="308"/>
      <c r="V551" s="312"/>
    </row>
    <row r="552">
      <c r="A552" s="308">
        <v>551.0</v>
      </c>
      <c r="B552" s="308">
        <v>3760.0</v>
      </c>
      <c r="C552" s="308" t="s">
        <v>35104</v>
      </c>
      <c r="D552" s="308">
        <f>IFERROR(__xludf.DUMMYFUNCTION("SPLIT(C552,""-"")"),552.0)</f>
        <v>552</v>
      </c>
      <c r="E552" s="311"/>
      <c r="F552" s="317" t="s">
        <v>37</v>
      </c>
      <c r="G552" s="308"/>
      <c r="H552" s="308" t="s">
        <v>2388</v>
      </c>
      <c r="I552" s="310">
        <v>40927.0</v>
      </c>
      <c r="J552" s="308">
        <f>IFERROR(__xludf.DUMMYFUNCTION("SPLIT(I552,""/"")"),19.0)</f>
        <v>19</v>
      </c>
      <c r="K552" s="308">
        <f>IFERROR(__xludf.DUMMYFUNCTION("""COMPUTED_VALUE"""),1.0)</f>
        <v>1</v>
      </c>
      <c r="L552" s="308">
        <f>IFERROR(__xludf.DUMMYFUNCTION("""COMPUTED_VALUE"""),2012.0)</f>
        <v>2012</v>
      </c>
      <c r="M552" s="308" t="s">
        <v>149</v>
      </c>
      <c r="N552" s="308"/>
      <c r="O552" s="312" t="s">
        <v>35105</v>
      </c>
      <c r="P552" s="308" t="s">
        <v>2390</v>
      </c>
      <c r="Q552" s="308"/>
      <c r="R552" s="308"/>
      <c r="S552" s="308" t="s">
        <v>81</v>
      </c>
      <c r="T552" s="308" t="s">
        <v>73</v>
      </c>
      <c r="U552" s="308"/>
      <c r="V552" s="312"/>
    </row>
    <row r="553">
      <c r="A553" s="308">
        <v>552.0</v>
      </c>
      <c r="B553" s="308">
        <v>1808.0</v>
      </c>
      <c r="C553" s="308" t="s">
        <v>35106</v>
      </c>
      <c r="D553" s="308">
        <f>IFERROR(__xludf.DUMMYFUNCTION("SPLIT(C553,""-"")"),553.0)</f>
        <v>553</v>
      </c>
      <c r="E553" s="311"/>
      <c r="F553" s="309" t="s">
        <v>34</v>
      </c>
      <c r="G553" s="308"/>
      <c r="H553" s="308" t="s">
        <v>2391</v>
      </c>
      <c r="I553" s="310">
        <v>40032.0</v>
      </c>
      <c r="J553" s="308">
        <f>IFERROR(__xludf.DUMMYFUNCTION("SPLIT(I553,""/"")"),7.0)</f>
        <v>7</v>
      </c>
      <c r="K553" s="308">
        <f>IFERROR(__xludf.DUMMYFUNCTION("""COMPUTED_VALUE"""),8.0)</f>
        <v>8</v>
      </c>
      <c r="L553" s="308">
        <f>IFERROR(__xludf.DUMMYFUNCTION("""COMPUTED_VALUE"""),2009.0)</f>
        <v>2009</v>
      </c>
      <c r="M553" s="308" t="s">
        <v>2392</v>
      </c>
      <c r="N553" s="308"/>
      <c r="O553" s="312" t="s">
        <v>2393</v>
      </c>
      <c r="P553" s="308" t="s">
        <v>35107</v>
      </c>
      <c r="Q553" s="308"/>
      <c r="R553" s="308"/>
      <c r="S553" s="308" t="s">
        <v>49</v>
      </c>
      <c r="T553" s="311" t="s">
        <v>70</v>
      </c>
      <c r="U553" s="308" t="s">
        <v>125</v>
      </c>
      <c r="V553" s="312"/>
    </row>
    <row r="554">
      <c r="A554" s="308">
        <v>553.0</v>
      </c>
      <c r="B554" s="308">
        <v>3762.0</v>
      </c>
      <c r="C554" s="308" t="s">
        <v>35108</v>
      </c>
      <c r="D554" s="308">
        <f>IFERROR(__xludf.DUMMYFUNCTION("SPLIT(C554,""-"")"),554.0)</f>
        <v>554</v>
      </c>
      <c r="E554" s="311"/>
      <c r="F554" s="309" t="s">
        <v>26</v>
      </c>
      <c r="G554" s="308"/>
      <c r="H554" s="308" t="s">
        <v>2395</v>
      </c>
      <c r="I554" s="310">
        <v>40990.0</v>
      </c>
      <c r="J554" s="308">
        <f>IFERROR(__xludf.DUMMYFUNCTION("SPLIT(I554,""/"")"),22.0)</f>
        <v>22</v>
      </c>
      <c r="K554" s="308">
        <f>IFERROR(__xludf.DUMMYFUNCTION("""COMPUTED_VALUE"""),3.0)</f>
        <v>3</v>
      </c>
      <c r="L554" s="308">
        <f>IFERROR(__xludf.DUMMYFUNCTION("""COMPUTED_VALUE"""),2012.0)</f>
        <v>2012</v>
      </c>
      <c r="M554" s="308" t="s">
        <v>2396</v>
      </c>
      <c r="N554" s="308"/>
      <c r="O554" s="308" t="s">
        <v>2397</v>
      </c>
      <c r="P554" s="308" t="s">
        <v>2398</v>
      </c>
      <c r="Q554" s="308"/>
      <c r="R554" s="308"/>
      <c r="S554" s="308" t="s">
        <v>81</v>
      </c>
      <c r="T554" s="308" t="s">
        <v>98</v>
      </c>
      <c r="U554" s="308"/>
      <c r="V554" s="312"/>
    </row>
    <row r="555">
      <c r="A555" s="308">
        <v>554.0</v>
      </c>
      <c r="B555" s="308">
        <v>3763.0</v>
      </c>
      <c r="C555" s="308" t="s">
        <v>35109</v>
      </c>
      <c r="D555" s="308">
        <f>IFERROR(__xludf.DUMMYFUNCTION("SPLIT(C555,""-"")"),555.0)</f>
        <v>555</v>
      </c>
      <c r="E555" s="311"/>
      <c r="F555" s="317" t="s">
        <v>37</v>
      </c>
      <c r="G555" s="308"/>
      <c r="H555" s="308" t="s">
        <v>2399</v>
      </c>
      <c r="I555" s="310">
        <v>40056.0</v>
      </c>
      <c r="J555" s="308">
        <f>IFERROR(__xludf.DUMMYFUNCTION("SPLIT(I555,""/"")"),31.0)</f>
        <v>31</v>
      </c>
      <c r="K555" s="308">
        <f>IFERROR(__xludf.DUMMYFUNCTION("""COMPUTED_VALUE"""),8.0)</f>
        <v>8</v>
      </c>
      <c r="L555" s="308">
        <f>IFERROR(__xludf.DUMMYFUNCTION("""COMPUTED_VALUE"""),2009.0)</f>
        <v>2009</v>
      </c>
      <c r="M555" s="308" t="s">
        <v>2400</v>
      </c>
      <c r="N555" s="308"/>
      <c r="O555" s="312" t="s">
        <v>635</v>
      </c>
      <c r="P555" s="308" t="s">
        <v>2401</v>
      </c>
      <c r="Q555" s="308"/>
      <c r="R555" s="308"/>
      <c r="S555" s="308" t="s">
        <v>81</v>
      </c>
      <c r="T555" s="308" t="s">
        <v>34264</v>
      </c>
      <c r="U555" s="308"/>
      <c r="V555" s="312"/>
    </row>
    <row r="556">
      <c r="A556" s="308">
        <v>555.0</v>
      </c>
      <c r="B556" s="308">
        <v>3764.0</v>
      </c>
      <c r="C556" s="308" t="s">
        <v>35110</v>
      </c>
      <c r="D556" s="308">
        <f>IFERROR(__xludf.DUMMYFUNCTION("SPLIT(C556,""-"")"),556.0)</f>
        <v>556</v>
      </c>
      <c r="E556" s="311"/>
      <c r="F556" s="317" t="s">
        <v>39</v>
      </c>
      <c r="G556" s="308"/>
      <c r="H556" s="308" t="s">
        <v>2402</v>
      </c>
      <c r="I556" s="310">
        <v>40773.0</v>
      </c>
      <c r="J556" s="308">
        <f>IFERROR(__xludf.DUMMYFUNCTION("SPLIT(I556,""/"")"),18.0)</f>
        <v>18</v>
      </c>
      <c r="K556" s="308">
        <f>IFERROR(__xludf.DUMMYFUNCTION("""COMPUTED_VALUE"""),8.0)</f>
        <v>8</v>
      </c>
      <c r="L556" s="308">
        <f>IFERROR(__xludf.DUMMYFUNCTION("""COMPUTED_VALUE"""),2011.0)</f>
        <v>2011</v>
      </c>
      <c r="M556" s="308" t="s">
        <v>2403</v>
      </c>
      <c r="N556" s="308"/>
      <c r="O556" s="312" t="s">
        <v>35111</v>
      </c>
      <c r="P556" s="308" t="s">
        <v>2405</v>
      </c>
      <c r="Q556" s="308"/>
      <c r="R556" s="308"/>
      <c r="S556" s="308" t="s">
        <v>81</v>
      </c>
      <c r="T556" s="308" t="s">
        <v>75</v>
      </c>
      <c r="U556" s="308"/>
      <c r="V556" s="312"/>
    </row>
    <row r="557">
      <c r="A557" s="308">
        <v>556.0</v>
      </c>
      <c r="B557" s="308">
        <v>3765.0</v>
      </c>
      <c r="C557" s="308" t="s">
        <v>35112</v>
      </c>
      <c r="D557" s="308">
        <f>IFERROR(__xludf.DUMMYFUNCTION("SPLIT(C557,""-"")"),557.0)</f>
        <v>557</v>
      </c>
      <c r="E557" s="311"/>
      <c r="F557" s="317" t="s">
        <v>37</v>
      </c>
      <c r="G557" s="308"/>
      <c r="H557" s="308" t="s">
        <v>2406</v>
      </c>
      <c r="I557" s="314">
        <v>40867.0</v>
      </c>
      <c r="J557" s="308">
        <f>IFERROR(__xludf.DUMMYFUNCTION("SPLIT(I557,""/"")"),20.0)</f>
        <v>20</v>
      </c>
      <c r="K557" s="308">
        <f>IFERROR(__xludf.DUMMYFUNCTION("""COMPUTED_VALUE"""),11.0)</f>
        <v>11</v>
      </c>
      <c r="L557" s="308">
        <f>IFERROR(__xludf.DUMMYFUNCTION("""COMPUTED_VALUE"""),2011.0)</f>
        <v>2011</v>
      </c>
      <c r="M557" s="308" t="s">
        <v>2407</v>
      </c>
      <c r="N557" s="308"/>
      <c r="O557" s="312" t="s">
        <v>35113</v>
      </c>
      <c r="P557" s="308" t="s">
        <v>2409</v>
      </c>
      <c r="Q557" s="308"/>
      <c r="R557" s="308"/>
      <c r="S557" s="308" t="s">
        <v>81</v>
      </c>
      <c r="T557" s="308" t="s">
        <v>75</v>
      </c>
      <c r="U557" s="308"/>
      <c r="V557" s="312"/>
    </row>
    <row r="558">
      <c r="A558" s="308">
        <v>557.0</v>
      </c>
      <c r="B558" s="308">
        <v>3766.0</v>
      </c>
      <c r="C558" s="308" t="s">
        <v>35114</v>
      </c>
      <c r="D558" s="308">
        <f>IFERROR(__xludf.DUMMYFUNCTION("SPLIT(C558,""-"")"),558.0)</f>
        <v>558</v>
      </c>
      <c r="E558" s="311"/>
      <c r="F558" s="317" t="s">
        <v>39</v>
      </c>
      <c r="G558" s="308"/>
      <c r="H558" s="308" t="s">
        <v>2410</v>
      </c>
      <c r="I558" s="310">
        <v>40783.0</v>
      </c>
      <c r="J558" s="308">
        <f>IFERROR(__xludf.DUMMYFUNCTION("SPLIT(I558,""/"")"),28.0)</f>
        <v>28</v>
      </c>
      <c r="K558" s="308">
        <f>IFERROR(__xludf.DUMMYFUNCTION("""COMPUTED_VALUE"""),8.0)</f>
        <v>8</v>
      </c>
      <c r="L558" s="308">
        <f>IFERROR(__xludf.DUMMYFUNCTION("""COMPUTED_VALUE"""),2011.0)</f>
        <v>2011</v>
      </c>
      <c r="M558" s="308" t="s">
        <v>2411</v>
      </c>
      <c r="N558" s="308"/>
      <c r="O558" s="312" t="s">
        <v>635</v>
      </c>
      <c r="P558" s="308" t="s">
        <v>2412</v>
      </c>
      <c r="Q558" s="308"/>
      <c r="R558" s="308"/>
      <c r="S558" s="308" t="s">
        <v>81</v>
      </c>
      <c r="T558" s="311" t="s">
        <v>75</v>
      </c>
      <c r="U558" s="308"/>
      <c r="V558" s="312"/>
    </row>
    <row r="559">
      <c r="A559" s="308">
        <v>558.0</v>
      </c>
      <c r="B559" s="308">
        <v>3767.0</v>
      </c>
      <c r="C559" s="308" t="s">
        <v>35115</v>
      </c>
      <c r="D559" s="308">
        <f>IFERROR(__xludf.DUMMYFUNCTION("SPLIT(C559,""-"")"),559.0)</f>
        <v>559</v>
      </c>
      <c r="E559" s="311"/>
      <c r="F559" s="309" t="s">
        <v>34</v>
      </c>
      <c r="G559" s="308"/>
      <c r="H559" s="308" t="s">
        <v>2413</v>
      </c>
      <c r="I559" s="310">
        <v>39995.0</v>
      </c>
      <c r="J559" s="308">
        <f>IFERROR(__xludf.DUMMYFUNCTION("SPLIT(I559,""/"")"),1.0)</f>
        <v>1</v>
      </c>
      <c r="K559" s="308">
        <f>IFERROR(__xludf.DUMMYFUNCTION("""COMPUTED_VALUE"""),7.0)</f>
        <v>7</v>
      </c>
      <c r="L559" s="308">
        <f>IFERROR(__xludf.DUMMYFUNCTION("""COMPUTED_VALUE"""),2009.0)</f>
        <v>2009</v>
      </c>
      <c r="M559" s="308" t="s">
        <v>2414</v>
      </c>
      <c r="N559" s="308"/>
      <c r="O559" s="312" t="s">
        <v>35116</v>
      </c>
      <c r="P559" s="308" t="s">
        <v>1872</v>
      </c>
      <c r="Q559" s="308"/>
      <c r="R559" s="308"/>
      <c r="S559" s="315" t="s">
        <v>100</v>
      </c>
      <c r="T559" s="311" t="s">
        <v>34208</v>
      </c>
      <c r="U559" s="308" t="s">
        <v>530</v>
      </c>
      <c r="V559" s="312"/>
    </row>
    <row r="560">
      <c r="A560" s="308">
        <v>559.0</v>
      </c>
      <c r="B560" s="308">
        <v>3768.0</v>
      </c>
      <c r="C560" s="308" t="s">
        <v>35117</v>
      </c>
      <c r="D560" s="308">
        <f>IFERROR(__xludf.DUMMYFUNCTION("SPLIT(C560,""-"")"),560.0)</f>
        <v>560</v>
      </c>
      <c r="E560" s="311"/>
      <c r="F560" s="309" t="s">
        <v>34</v>
      </c>
      <c r="G560" s="308"/>
      <c r="H560" s="308" t="s">
        <v>2416</v>
      </c>
      <c r="I560" s="310">
        <v>39830.0</v>
      </c>
      <c r="J560" s="308">
        <f>IFERROR(__xludf.DUMMYFUNCTION("SPLIT(I560,""/"")"),17.0)</f>
        <v>17</v>
      </c>
      <c r="K560" s="308">
        <f>IFERROR(__xludf.DUMMYFUNCTION("""COMPUTED_VALUE"""),1.0)</f>
        <v>1</v>
      </c>
      <c r="L560" s="308">
        <f>IFERROR(__xludf.DUMMYFUNCTION("""COMPUTED_VALUE"""),2009.0)</f>
        <v>2009</v>
      </c>
      <c r="M560" s="308" t="s">
        <v>2417</v>
      </c>
      <c r="N560" s="308"/>
      <c r="O560" s="312" t="s">
        <v>35118</v>
      </c>
      <c r="P560" s="308" t="s">
        <v>35119</v>
      </c>
      <c r="Q560" s="308"/>
      <c r="R560" s="308"/>
      <c r="S560" s="308" t="s">
        <v>49</v>
      </c>
      <c r="T560" s="315" t="s">
        <v>69</v>
      </c>
      <c r="U560" s="308" t="s">
        <v>1393</v>
      </c>
      <c r="V560" s="312"/>
    </row>
    <row r="561">
      <c r="A561" s="308">
        <v>560.0</v>
      </c>
      <c r="B561" s="308">
        <v>3769.0</v>
      </c>
      <c r="C561" s="308" t="s">
        <v>35120</v>
      </c>
      <c r="D561" s="308">
        <f>IFERROR(__xludf.DUMMYFUNCTION("SPLIT(C561,""-"")"),561.0)</f>
        <v>561</v>
      </c>
      <c r="E561" s="311"/>
      <c r="F561" s="309" t="s">
        <v>34</v>
      </c>
      <c r="G561" s="308"/>
      <c r="H561" s="308" t="s">
        <v>2420</v>
      </c>
      <c r="I561" s="310">
        <v>40783.0</v>
      </c>
      <c r="J561" s="308">
        <f>IFERROR(__xludf.DUMMYFUNCTION("SPLIT(I561,""/"")"),28.0)</f>
        <v>28</v>
      </c>
      <c r="K561" s="308">
        <f>IFERROR(__xludf.DUMMYFUNCTION("""COMPUTED_VALUE"""),8.0)</f>
        <v>8</v>
      </c>
      <c r="L561" s="308">
        <f>IFERROR(__xludf.DUMMYFUNCTION("""COMPUTED_VALUE"""),2011.0)</f>
        <v>2011</v>
      </c>
      <c r="M561" s="308" t="s">
        <v>2421</v>
      </c>
      <c r="N561" s="308"/>
      <c r="O561" s="312" t="s">
        <v>635</v>
      </c>
      <c r="P561" s="308" t="s">
        <v>35121</v>
      </c>
      <c r="Q561" s="308"/>
      <c r="R561" s="308"/>
      <c r="S561" s="308" t="s">
        <v>81</v>
      </c>
      <c r="T561" s="308" t="s">
        <v>75</v>
      </c>
      <c r="U561" s="312"/>
      <c r="V561" s="312"/>
    </row>
    <row r="562">
      <c r="A562" s="308">
        <v>561.0</v>
      </c>
      <c r="B562" s="308">
        <v>3770.0</v>
      </c>
      <c r="C562" s="308" t="s">
        <v>35122</v>
      </c>
      <c r="D562" s="308">
        <f>IFERROR(__xludf.DUMMYFUNCTION("SPLIT(C562,""-"")"),562.0)</f>
        <v>562</v>
      </c>
      <c r="E562" s="311"/>
      <c r="F562" s="309" t="s">
        <v>34</v>
      </c>
      <c r="G562" s="308"/>
      <c r="H562" s="308" t="s">
        <v>2423</v>
      </c>
      <c r="I562" s="310">
        <v>40703.0</v>
      </c>
      <c r="J562" s="308">
        <f>IFERROR(__xludf.DUMMYFUNCTION("SPLIT(I562,""/"")"),9.0)</f>
        <v>9</v>
      </c>
      <c r="K562" s="308">
        <f>IFERROR(__xludf.DUMMYFUNCTION("""COMPUTED_VALUE"""),6.0)</f>
        <v>6</v>
      </c>
      <c r="L562" s="308">
        <f>IFERROR(__xludf.DUMMYFUNCTION("""COMPUTED_VALUE"""),2011.0)</f>
        <v>2011</v>
      </c>
      <c r="M562" s="308" t="s">
        <v>2424</v>
      </c>
      <c r="N562" s="308"/>
      <c r="O562" s="312" t="s">
        <v>35123</v>
      </c>
      <c r="P562" s="308" t="s">
        <v>2426</v>
      </c>
      <c r="Q562" s="308"/>
      <c r="R562" s="308"/>
      <c r="S562" s="308" t="s">
        <v>49</v>
      </c>
      <c r="T562" s="311" t="s">
        <v>77</v>
      </c>
      <c r="U562" s="308"/>
      <c r="V562" s="312"/>
    </row>
    <row r="563">
      <c r="A563" s="308">
        <v>562.0</v>
      </c>
      <c r="B563" s="308">
        <v>3771.0</v>
      </c>
      <c r="C563" s="308" t="s">
        <v>35124</v>
      </c>
      <c r="D563" s="308">
        <f>IFERROR(__xludf.DUMMYFUNCTION("SPLIT(C563,""-"")"),563.0)</f>
        <v>563</v>
      </c>
      <c r="E563" s="311"/>
      <c r="F563" s="309" t="s">
        <v>34</v>
      </c>
      <c r="G563" s="308"/>
      <c r="H563" s="308" t="s">
        <v>2427</v>
      </c>
      <c r="I563" s="310">
        <v>40773.0</v>
      </c>
      <c r="J563" s="308">
        <f>IFERROR(__xludf.DUMMYFUNCTION("SPLIT(I563,""/"")"),18.0)</f>
        <v>18</v>
      </c>
      <c r="K563" s="308">
        <f>IFERROR(__xludf.DUMMYFUNCTION("""COMPUTED_VALUE"""),8.0)</f>
        <v>8</v>
      </c>
      <c r="L563" s="308">
        <f>IFERROR(__xludf.DUMMYFUNCTION("""COMPUTED_VALUE"""),2011.0)</f>
        <v>2011</v>
      </c>
      <c r="M563" s="308" t="s">
        <v>2428</v>
      </c>
      <c r="N563" s="308"/>
      <c r="O563" s="312" t="s">
        <v>635</v>
      </c>
      <c r="P563" s="308" t="s">
        <v>35125</v>
      </c>
      <c r="Q563" s="308"/>
      <c r="R563" s="308"/>
      <c r="S563" s="308" t="s">
        <v>81</v>
      </c>
      <c r="T563" s="308" t="s">
        <v>75</v>
      </c>
      <c r="U563" s="308"/>
      <c r="V563" s="312"/>
    </row>
    <row r="564">
      <c r="A564" s="308">
        <v>563.0</v>
      </c>
      <c r="B564" s="308">
        <v>3772.0</v>
      </c>
      <c r="C564" s="308" t="s">
        <v>35126</v>
      </c>
      <c r="D564" s="308">
        <f>IFERROR(__xludf.DUMMYFUNCTION("SPLIT(C564,""-"")"),564.0)</f>
        <v>564</v>
      </c>
      <c r="E564" s="311"/>
      <c r="F564" s="317" t="s">
        <v>37</v>
      </c>
      <c r="G564" s="308"/>
      <c r="H564" s="308" t="s">
        <v>2430</v>
      </c>
      <c r="I564" s="310">
        <v>40856.0</v>
      </c>
      <c r="J564" s="308">
        <f>IFERROR(__xludf.DUMMYFUNCTION("SPLIT(I564,""/"")"),9.0)</f>
        <v>9</v>
      </c>
      <c r="K564" s="308">
        <f>IFERROR(__xludf.DUMMYFUNCTION("""COMPUTED_VALUE"""),11.0)</f>
        <v>11</v>
      </c>
      <c r="L564" s="308">
        <f>IFERROR(__xludf.DUMMYFUNCTION("""COMPUTED_VALUE"""),2011.0)</f>
        <v>2011</v>
      </c>
      <c r="M564" s="308" t="s">
        <v>2431</v>
      </c>
      <c r="N564" s="308"/>
      <c r="O564" s="312" t="s">
        <v>35127</v>
      </c>
      <c r="P564" s="308" t="s">
        <v>124</v>
      </c>
      <c r="Q564" s="308"/>
      <c r="R564" s="308"/>
      <c r="S564" s="308" t="s">
        <v>81</v>
      </c>
      <c r="T564" s="308" t="s">
        <v>35048</v>
      </c>
      <c r="U564" s="308"/>
      <c r="V564" s="312"/>
    </row>
    <row r="565">
      <c r="A565" s="308">
        <v>564.0</v>
      </c>
      <c r="B565" s="308">
        <v>3773.0</v>
      </c>
      <c r="C565" s="308" t="s">
        <v>35128</v>
      </c>
      <c r="D565" s="308">
        <f>IFERROR(__xludf.DUMMYFUNCTION("SPLIT(C565,""-"")"),565.0)</f>
        <v>565</v>
      </c>
      <c r="E565" s="311"/>
      <c r="F565" s="309" t="s">
        <v>34</v>
      </c>
      <c r="G565" s="308"/>
      <c r="H565" s="308" t="s">
        <v>2433</v>
      </c>
      <c r="I565" s="310">
        <v>39853.0</v>
      </c>
      <c r="J565" s="308">
        <f>IFERROR(__xludf.DUMMYFUNCTION("SPLIT(I565,""/"")"),9.0)</f>
        <v>9</v>
      </c>
      <c r="K565" s="308">
        <f>IFERROR(__xludf.DUMMYFUNCTION("""COMPUTED_VALUE"""),2.0)</f>
        <v>2</v>
      </c>
      <c r="L565" s="308">
        <f>IFERROR(__xludf.DUMMYFUNCTION("""COMPUTED_VALUE"""),2009.0)</f>
        <v>2009</v>
      </c>
      <c r="M565" s="308" t="s">
        <v>2434</v>
      </c>
      <c r="N565" s="308"/>
      <c r="O565" s="312" t="s">
        <v>35129</v>
      </c>
      <c r="P565" s="308" t="s">
        <v>1605</v>
      </c>
      <c r="Q565" s="308"/>
      <c r="R565" s="308"/>
      <c r="S565" s="315" t="s">
        <v>100</v>
      </c>
      <c r="T565" s="311" t="s">
        <v>34208</v>
      </c>
      <c r="U565" s="308" t="s">
        <v>125</v>
      </c>
      <c r="V565" s="312"/>
    </row>
    <row r="566">
      <c r="A566" s="308">
        <v>565.0</v>
      </c>
      <c r="B566" s="308">
        <v>3774.0</v>
      </c>
      <c r="C566" s="308" t="s">
        <v>35130</v>
      </c>
      <c r="D566" s="308">
        <f>IFERROR(__xludf.DUMMYFUNCTION("SPLIT(C566,""-"")"),566.0)</f>
        <v>566</v>
      </c>
      <c r="E566" s="311"/>
      <c r="F566" s="317" t="s">
        <v>39</v>
      </c>
      <c r="G566" s="308"/>
      <c r="H566" s="308" t="s">
        <v>2436</v>
      </c>
      <c r="I566" s="310">
        <v>40118.0</v>
      </c>
      <c r="J566" s="308">
        <f>IFERROR(__xludf.DUMMYFUNCTION("SPLIT(I566,""/"")"),1.0)</f>
        <v>1</v>
      </c>
      <c r="K566" s="308">
        <f>IFERROR(__xludf.DUMMYFUNCTION("""COMPUTED_VALUE"""),11.0)</f>
        <v>11</v>
      </c>
      <c r="L566" s="308">
        <f>IFERROR(__xludf.DUMMYFUNCTION("""COMPUTED_VALUE"""),2009.0)</f>
        <v>2009</v>
      </c>
      <c r="M566" s="308" t="s">
        <v>2437</v>
      </c>
      <c r="N566" s="308"/>
      <c r="O566" s="312" t="s">
        <v>2438</v>
      </c>
      <c r="P566" s="308" t="s">
        <v>2439</v>
      </c>
      <c r="Q566" s="308"/>
      <c r="R566" s="308"/>
      <c r="S566" s="308" t="s">
        <v>49</v>
      </c>
      <c r="T566" s="311" t="s">
        <v>51</v>
      </c>
      <c r="U566" s="308"/>
      <c r="V566" s="312"/>
    </row>
    <row r="567">
      <c r="A567" s="308">
        <v>566.0</v>
      </c>
      <c r="B567" s="308">
        <v>3775.0</v>
      </c>
      <c r="C567" s="308" t="s">
        <v>35131</v>
      </c>
      <c r="D567" s="308">
        <f>IFERROR(__xludf.DUMMYFUNCTION("SPLIT(C567,""-"")"),567.0)</f>
        <v>567</v>
      </c>
      <c r="E567" s="311"/>
      <c r="F567" s="317" t="s">
        <v>39</v>
      </c>
      <c r="G567" s="308"/>
      <c r="H567" s="308" t="s">
        <v>2440</v>
      </c>
      <c r="I567" s="310">
        <v>40398.0</v>
      </c>
      <c r="J567" s="308">
        <f>IFERROR(__xludf.DUMMYFUNCTION("SPLIT(I567,""/"")"),8.0)</f>
        <v>8</v>
      </c>
      <c r="K567" s="308">
        <f>IFERROR(__xludf.DUMMYFUNCTION("""COMPUTED_VALUE"""),8.0)</f>
        <v>8</v>
      </c>
      <c r="L567" s="308">
        <f>IFERROR(__xludf.DUMMYFUNCTION("""COMPUTED_VALUE"""),2010.0)</f>
        <v>2010</v>
      </c>
      <c r="M567" s="308" t="s">
        <v>2441</v>
      </c>
      <c r="N567" s="308"/>
      <c r="O567" s="308" t="s">
        <v>2442</v>
      </c>
      <c r="P567" s="308" t="s">
        <v>2443</v>
      </c>
      <c r="Q567" s="308"/>
      <c r="R567" s="308"/>
      <c r="S567" s="308" t="s">
        <v>81</v>
      </c>
      <c r="T567" s="308" t="s">
        <v>98</v>
      </c>
      <c r="U567" s="308"/>
      <c r="V567" s="312"/>
    </row>
    <row r="568">
      <c r="A568" s="308">
        <v>567.0</v>
      </c>
      <c r="B568" s="308">
        <v>3776.0</v>
      </c>
      <c r="C568" s="308" t="s">
        <v>35132</v>
      </c>
      <c r="D568" s="308">
        <f>IFERROR(__xludf.DUMMYFUNCTION("SPLIT(C568,""-"")"),568.0)</f>
        <v>568</v>
      </c>
      <c r="E568" s="311"/>
      <c r="F568" s="317" t="s">
        <v>37</v>
      </c>
      <c r="G568" s="308"/>
      <c r="H568" s="308" t="s">
        <v>2444</v>
      </c>
      <c r="I568" s="310">
        <v>39950.0</v>
      </c>
      <c r="J568" s="308">
        <f>IFERROR(__xludf.DUMMYFUNCTION("SPLIT(I568,""/"")"),17.0)</f>
        <v>17</v>
      </c>
      <c r="K568" s="308">
        <f>IFERROR(__xludf.DUMMYFUNCTION("""COMPUTED_VALUE"""),5.0)</f>
        <v>5</v>
      </c>
      <c r="L568" s="308">
        <f>IFERROR(__xludf.DUMMYFUNCTION("""COMPUTED_VALUE"""),2009.0)</f>
        <v>2009</v>
      </c>
      <c r="M568" s="308" t="s">
        <v>2445</v>
      </c>
      <c r="N568" s="308"/>
      <c r="O568" s="312" t="s">
        <v>635</v>
      </c>
      <c r="P568" s="308" t="s">
        <v>2446</v>
      </c>
      <c r="Q568" s="308"/>
      <c r="R568" s="308"/>
      <c r="S568" s="308" t="s">
        <v>81</v>
      </c>
      <c r="T568" s="311" t="s">
        <v>53</v>
      </c>
      <c r="U568" s="308"/>
      <c r="V568" s="312"/>
    </row>
    <row r="569">
      <c r="A569" s="308">
        <v>568.0</v>
      </c>
      <c r="B569" s="308">
        <v>3777.0</v>
      </c>
      <c r="C569" s="308" t="s">
        <v>35133</v>
      </c>
      <c r="D569" s="308">
        <f>IFERROR(__xludf.DUMMYFUNCTION("SPLIT(C569,""-"")"),569.0)</f>
        <v>569</v>
      </c>
      <c r="E569" s="311"/>
      <c r="F569" s="309" t="s">
        <v>34</v>
      </c>
      <c r="G569" s="308"/>
      <c r="H569" s="308" t="s">
        <v>2447</v>
      </c>
      <c r="I569" s="310">
        <v>40431.0</v>
      </c>
      <c r="J569" s="308">
        <f>IFERROR(__xludf.DUMMYFUNCTION("SPLIT(I569,""/"")"),10.0)</f>
        <v>10</v>
      </c>
      <c r="K569" s="308">
        <f>IFERROR(__xludf.DUMMYFUNCTION("""COMPUTED_VALUE"""),9.0)</f>
        <v>9</v>
      </c>
      <c r="L569" s="308">
        <f>IFERROR(__xludf.DUMMYFUNCTION("""COMPUTED_VALUE"""),2010.0)</f>
        <v>2010</v>
      </c>
      <c r="M569" s="308" t="s">
        <v>2448</v>
      </c>
      <c r="N569" s="308"/>
      <c r="O569" s="312" t="s">
        <v>635</v>
      </c>
      <c r="P569" s="308" t="s">
        <v>2381</v>
      </c>
      <c r="Q569" s="308"/>
      <c r="R569" s="308"/>
      <c r="S569" s="315" t="s">
        <v>100</v>
      </c>
      <c r="T569" s="311" t="s">
        <v>34208</v>
      </c>
      <c r="U569" s="308" t="s">
        <v>195</v>
      </c>
      <c r="V569" s="312"/>
    </row>
    <row r="570">
      <c r="A570" s="308">
        <v>569.0</v>
      </c>
      <c r="B570" s="308">
        <v>3778.0</v>
      </c>
      <c r="C570" s="308" t="s">
        <v>35134</v>
      </c>
      <c r="D570" s="308">
        <f>IFERROR(__xludf.DUMMYFUNCTION("SPLIT(C570,""-"")"),570.0)</f>
        <v>570</v>
      </c>
      <c r="E570" s="311"/>
      <c r="F570" s="317" t="s">
        <v>37</v>
      </c>
      <c r="G570" s="308"/>
      <c r="H570" s="308" t="s">
        <v>2449</v>
      </c>
      <c r="I570" s="310">
        <v>40856.0</v>
      </c>
      <c r="J570" s="308">
        <f>IFERROR(__xludf.DUMMYFUNCTION("SPLIT(I570,""/"")"),9.0)</f>
        <v>9</v>
      </c>
      <c r="K570" s="308">
        <f>IFERROR(__xludf.DUMMYFUNCTION("""COMPUTED_VALUE"""),11.0)</f>
        <v>11</v>
      </c>
      <c r="L570" s="308">
        <f>IFERROR(__xludf.DUMMYFUNCTION("""COMPUTED_VALUE"""),2011.0)</f>
        <v>2011</v>
      </c>
      <c r="M570" s="308" t="s">
        <v>2450</v>
      </c>
      <c r="N570" s="308"/>
      <c r="O570" s="312" t="s">
        <v>35135</v>
      </c>
      <c r="P570" s="308" t="s">
        <v>2452</v>
      </c>
      <c r="Q570" s="308"/>
      <c r="R570" s="308"/>
      <c r="S570" s="308" t="s">
        <v>81</v>
      </c>
      <c r="T570" s="308" t="s">
        <v>73</v>
      </c>
      <c r="U570" s="308"/>
      <c r="V570" s="312"/>
    </row>
    <row r="571">
      <c r="A571" s="308">
        <v>570.0</v>
      </c>
      <c r="B571" s="308">
        <v>3779.0</v>
      </c>
      <c r="C571" s="308" t="s">
        <v>35136</v>
      </c>
      <c r="D571" s="308">
        <f>IFERROR(__xludf.DUMMYFUNCTION("SPLIT(C571,""-"")"),571.0)</f>
        <v>571</v>
      </c>
      <c r="E571" s="311"/>
      <c r="F571" s="317" t="s">
        <v>37</v>
      </c>
      <c r="G571" s="308"/>
      <c r="H571" s="308" t="s">
        <v>2453</v>
      </c>
      <c r="I571" s="310">
        <v>40763.0</v>
      </c>
      <c r="J571" s="308">
        <f>IFERROR(__xludf.DUMMYFUNCTION("SPLIT(I571,""/"")"),8.0)</f>
        <v>8</v>
      </c>
      <c r="K571" s="308">
        <f>IFERROR(__xludf.DUMMYFUNCTION("""COMPUTED_VALUE"""),8.0)</f>
        <v>8</v>
      </c>
      <c r="L571" s="308">
        <f>IFERROR(__xludf.DUMMYFUNCTION("""COMPUTED_VALUE"""),2011.0)</f>
        <v>2011</v>
      </c>
      <c r="M571" s="308" t="s">
        <v>2454</v>
      </c>
      <c r="N571" s="308"/>
      <c r="O571" s="312" t="s">
        <v>35137</v>
      </c>
      <c r="P571" s="308" t="s">
        <v>2452</v>
      </c>
      <c r="Q571" s="308"/>
      <c r="R571" s="308"/>
      <c r="S571" s="308" t="s">
        <v>81</v>
      </c>
      <c r="T571" s="308" t="s">
        <v>73</v>
      </c>
      <c r="U571" s="308"/>
      <c r="V571" s="312"/>
    </row>
    <row r="572">
      <c r="A572" s="308">
        <v>571.0</v>
      </c>
      <c r="B572" s="308">
        <v>3780.0</v>
      </c>
      <c r="C572" s="308" t="s">
        <v>35138</v>
      </c>
      <c r="D572" s="308">
        <f>IFERROR(__xludf.DUMMYFUNCTION("SPLIT(C572,""-"")"),572.0)</f>
        <v>572</v>
      </c>
      <c r="E572" s="311"/>
      <c r="F572" s="309" t="s">
        <v>34</v>
      </c>
      <c r="G572" s="308"/>
      <c r="H572" s="308" t="s">
        <v>2456</v>
      </c>
      <c r="I572" s="310">
        <v>40358.0</v>
      </c>
      <c r="J572" s="308">
        <f>IFERROR(__xludf.DUMMYFUNCTION("SPLIT(I572,""/"")"),29.0)</f>
        <v>29</v>
      </c>
      <c r="K572" s="308">
        <f>IFERROR(__xludf.DUMMYFUNCTION("""COMPUTED_VALUE"""),6.0)</f>
        <v>6</v>
      </c>
      <c r="L572" s="308">
        <f>IFERROR(__xludf.DUMMYFUNCTION("""COMPUTED_VALUE"""),2010.0)</f>
        <v>2010</v>
      </c>
      <c r="M572" s="308" t="s">
        <v>2457</v>
      </c>
      <c r="N572" s="308"/>
      <c r="O572" s="312" t="s">
        <v>35139</v>
      </c>
      <c r="P572" s="308" t="s">
        <v>1495</v>
      </c>
      <c r="Q572" s="308"/>
      <c r="R572" s="308"/>
      <c r="S572" s="315" t="s">
        <v>100</v>
      </c>
      <c r="T572" s="311" t="s">
        <v>34208</v>
      </c>
      <c r="U572" s="308" t="s">
        <v>201</v>
      </c>
      <c r="V572" s="312"/>
    </row>
    <row r="573">
      <c r="A573" s="308">
        <v>572.0</v>
      </c>
      <c r="B573" s="308">
        <v>3781.0</v>
      </c>
      <c r="C573" s="308" t="s">
        <v>35140</v>
      </c>
      <c r="D573" s="308">
        <f>IFERROR(__xludf.DUMMYFUNCTION("SPLIT(C573,""-"")"),573.0)</f>
        <v>573</v>
      </c>
      <c r="E573" s="311"/>
      <c r="F573" s="309" t="s">
        <v>34</v>
      </c>
      <c r="G573" s="308"/>
      <c r="H573" s="308" t="s">
        <v>2459</v>
      </c>
      <c r="I573" s="310">
        <v>40002.0</v>
      </c>
      <c r="J573" s="308">
        <f>IFERROR(__xludf.DUMMYFUNCTION("SPLIT(I573,""/"")"),8.0)</f>
        <v>8</v>
      </c>
      <c r="K573" s="308">
        <f>IFERROR(__xludf.DUMMYFUNCTION("""COMPUTED_VALUE"""),7.0)</f>
        <v>7</v>
      </c>
      <c r="L573" s="308">
        <f>IFERROR(__xludf.DUMMYFUNCTION("""COMPUTED_VALUE"""),2009.0)</f>
        <v>2009</v>
      </c>
      <c r="M573" s="308" t="s">
        <v>2460</v>
      </c>
      <c r="N573" s="308"/>
      <c r="O573" s="312" t="s">
        <v>35141</v>
      </c>
      <c r="P573" s="308" t="s">
        <v>35142</v>
      </c>
      <c r="Q573" s="308"/>
      <c r="R573" s="308"/>
      <c r="S573" s="308" t="s">
        <v>49</v>
      </c>
      <c r="T573" s="308" t="s">
        <v>51</v>
      </c>
      <c r="U573" s="308"/>
      <c r="V573" s="312"/>
    </row>
    <row r="574">
      <c r="A574" s="308">
        <v>573.0</v>
      </c>
      <c r="B574" s="308">
        <v>3782.0</v>
      </c>
      <c r="C574" s="308" t="s">
        <v>35143</v>
      </c>
      <c r="D574" s="308">
        <f>IFERROR(__xludf.DUMMYFUNCTION("SPLIT(C574,""-"")"),574.0)</f>
        <v>574</v>
      </c>
      <c r="E574" s="311"/>
      <c r="F574" s="309" t="s">
        <v>34</v>
      </c>
      <c r="G574" s="308"/>
      <c r="H574" s="308" t="s">
        <v>2463</v>
      </c>
      <c r="I574" s="314">
        <v>40096.0</v>
      </c>
      <c r="J574" s="308">
        <f>IFERROR(__xludf.DUMMYFUNCTION("SPLIT(I574,""/"")"),10.0)</f>
        <v>10</v>
      </c>
      <c r="K574" s="308">
        <f>IFERROR(__xludf.DUMMYFUNCTION("""COMPUTED_VALUE"""),10.0)</f>
        <v>10</v>
      </c>
      <c r="L574" s="308">
        <f>IFERROR(__xludf.DUMMYFUNCTION("""COMPUTED_VALUE"""),2009.0)</f>
        <v>2009</v>
      </c>
      <c r="M574" s="308" t="s">
        <v>35144</v>
      </c>
      <c r="N574" s="308"/>
      <c r="O574" s="312" t="s">
        <v>35145</v>
      </c>
      <c r="P574" s="308" t="s">
        <v>1392</v>
      </c>
      <c r="Q574" s="308"/>
      <c r="R574" s="308"/>
      <c r="S574" s="308" t="s">
        <v>49</v>
      </c>
      <c r="T574" s="315" t="s">
        <v>69</v>
      </c>
      <c r="U574" s="308" t="s">
        <v>2466</v>
      </c>
      <c r="V574" s="312" t="s">
        <v>2467</v>
      </c>
    </row>
    <row r="575">
      <c r="A575" s="308">
        <v>574.0</v>
      </c>
      <c r="B575" s="308">
        <v>3783.0</v>
      </c>
      <c r="C575" s="308" t="s">
        <v>35146</v>
      </c>
      <c r="D575" s="308">
        <f>IFERROR(__xludf.DUMMYFUNCTION("SPLIT(C575,""-"")"),575.0)</f>
        <v>575</v>
      </c>
      <c r="E575" s="311"/>
      <c r="F575" s="317" t="s">
        <v>37</v>
      </c>
      <c r="G575" s="308"/>
      <c r="H575" s="308" t="s">
        <v>2468</v>
      </c>
      <c r="I575" s="310">
        <v>40575.0</v>
      </c>
      <c r="J575" s="308">
        <f>IFERROR(__xludf.DUMMYFUNCTION("SPLIT(I575,""/"")"),1.0)</f>
        <v>1</v>
      </c>
      <c r="K575" s="308">
        <f>IFERROR(__xludf.DUMMYFUNCTION("""COMPUTED_VALUE"""),2.0)</f>
        <v>2</v>
      </c>
      <c r="L575" s="308">
        <f>IFERROR(__xludf.DUMMYFUNCTION("""COMPUTED_VALUE"""),2011.0)</f>
        <v>2011</v>
      </c>
      <c r="M575" s="308" t="s">
        <v>2469</v>
      </c>
      <c r="N575" s="308"/>
      <c r="O575" s="312" t="s">
        <v>635</v>
      </c>
      <c r="P575" s="308" t="s">
        <v>2470</v>
      </c>
      <c r="Q575" s="308"/>
      <c r="R575" s="308"/>
      <c r="S575" s="308" t="s">
        <v>81</v>
      </c>
      <c r="T575" s="308" t="s">
        <v>75</v>
      </c>
      <c r="U575" s="308"/>
      <c r="V575" s="312"/>
    </row>
    <row r="576">
      <c r="A576" s="308">
        <v>575.0</v>
      </c>
      <c r="B576" s="308">
        <v>3784.0</v>
      </c>
      <c r="C576" s="308" t="s">
        <v>34229</v>
      </c>
      <c r="D576" s="308">
        <f>IFERROR(__xludf.DUMMYFUNCTION("SPLIT(C576,""-"")"),576.0)</f>
        <v>576</v>
      </c>
      <c r="E576" s="311"/>
      <c r="F576" s="309" t="s">
        <v>34</v>
      </c>
      <c r="G576" s="308"/>
      <c r="H576" s="308" t="s">
        <v>2471</v>
      </c>
      <c r="I576" s="314">
        <v>40888.0</v>
      </c>
      <c r="J576" s="308">
        <f>IFERROR(__xludf.DUMMYFUNCTION("SPLIT(I576,""/"")"),11.0)</f>
        <v>11</v>
      </c>
      <c r="K576" s="308">
        <f>IFERROR(__xludf.DUMMYFUNCTION("""COMPUTED_VALUE"""),12.0)</f>
        <v>12</v>
      </c>
      <c r="L576" s="308">
        <f>IFERROR(__xludf.DUMMYFUNCTION("""COMPUTED_VALUE"""),2011.0)</f>
        <v>2011</v>
      </c>
      <c r="M576" s="308" t="s">
        <v>2472</v>
      </c>
      <c r="N576" s="308"/>
      <c r="O576" s="312" t="s">
        <v>635</v>
      </c>
      <c r="P576" s="308" t="s">
        <v>35147</v>
      </c>
      <c r="Q576" s="308"/>
      <c r="R576" s="308"/>
      <c r="S576" s="308" t="s">
        <v>81</v>
      </c>
      <c r="T576" s="308" t="s">
        <v>98</v>
      </c>
      <c r="U576" s="308" t="s">
        <v>195</v>
      </c>
      <c r="V576" s="312"/>
    </row>
    <row r="577">
      <c r="A577" s="308">
        <v>576.0</v>
      </c>
      <c r="B577" s="308">
        <v>3785.0</v>
      </c>
      <c r="C577" s="308" t="s">
        <v>35148</v>
      </c>
      <c r="D577" s="308">
        <f>IFERROR(__xludf.DUMMYFUNCTION("SPLIT(C577,""-"")"),577.0)</f>
        <v>577</v>
      </c>
      <c r="E577" s="311"/>
      <c r="F577" s="317" t="s">
        <v>37</v>
      </c>
      <c r="G577" s="308"/>
      <c r="H577" s="308" t="s">
        <v>2474</v>
      </c>
      <c r="I577" s="310">
        <v>40661.0</v>
      </c>
      <c r="J577" s="308">
        <f>IFERROR(__xludf.DUMMYFUNCTION("SPLIT(I577,""/"")"),28.0)</f>
        <v>28</v>
      </c>
      <c r="K577" s="308">
        <f>IFERROR(__xludf.DUMMYFUNCTION("""COMPUTED_VALUE"""),4.0)</f>
        <v>4</v>
      </c>
      <c r="L577" s="308">
        <f>IFERROR(__xludf.DUMMYFUNCTION("""COMPUTED_VALUE"""),2011.0)</f>
        <v>2011</v>
      </c>
      <c r="M577" s="308" t="s">
        <v>2475</v>
      </c>
      <c r="N577" s="308"/>
      <c r="O577" s="312" t="s">
        <v>35149</v>
      </c>
      <c r="P577" s="308" t="s">
        <v>35150</v>
      </c>
      <c r="Q577" s="308"/>
      <c r="R577" s="308"/>
      <c r="S577" s="308" t="s">
        <v>49</v>
      </c>
      <c r="T577" s="311" t="s">
        <v>51</v>
      </c>
      <c r="U577" s="308" t="s">
        <v>149</v>
      </c>
      <c r="V577" s="312"/>
    </row>
    <row r="578">
      <c r="A578" s="308">
        <v>577.0</v>
      </c>
      <c r="B578" s="308">
        <v>3786.0</v>
      </c>
      <c r="C578" s="308" t="s">
        <v>35151</v>
      </c>
      <c r="D578" s="308">
        <f>IFERROR(__xludf.DUMMYFUNCTION("SPLIT(C578,""-"")"),578.0)</f>
        <v>578</v>
      </c>
      <c r="E578" s="311"/>
      <c r="F578" s="317" t="s">
        <v>37</v>
      </c>
      <c r="G578" s="308"/>
      <c r="H578" s="308" t="s">
        <v>2478</v>
      </c>
      <c r="I578" s="310">
        <v>40661.0</v>
      </c>
      <c r="J578" s="308">
        <f>IFERROR(__xludf.DUMMYFUNCTION("SPLIT(I578,""/"")"),28.0)</f>
        <v>28</v>
      </c>
      <c r="K578" s="308">
        <f>IFERROR(__xludf.DUMMYFUNCTION("""COMPUTED_VALUE"""),4.0)</f>
        <v>4</v>
      </c>
      <c r="L578" s="308">
        <f>IFERROR(__xludf.DUMMYFUNCTION("""COMPUTED_VALUE"""),2011.0)</f>
        <v>2011</v>
      </c>
      <c r="M578" s="308" t="s">
        <v>2479</v>
      </c>
      <c r="N578" s="308"/>
      <c r="O578" s="312" t="s">
        <v>35149</v>
      </c>
      <c r="P578" s="308" t="s">
        <v>35152</v>
      </c>
      <c r="Q578" s="308"/>
      <c r="R578" s="308"/>
      <c r="S578" s="308" t="s">
        <v>49</v>
      </c>
      <c r="T578" s="311" t="s">
        <v>51</v>
      </c>
      <c r="U578" s="308" t="s">
        <v>149</v>
      </c>
      <c r="V578" s="312"/>
    </row>
    <row r="579">
      <c r="A579" s="308">
        <v>578.0</v>
      </c>
      <c r="B579" s="308">
        <v>3787.0</v>
      </c>
      <c r="C579" s="308" t="s">
        <v>35153</v>
      </c>
      <c r="D579" s="308">
        <f>IFERROR(__xludf.DUMMYFUNCTION("SPLIT(C579,""-"")"),579.0)</f>
        <v>579</v>
      </c>
      <c r="E579" s="311"/>
      <c r="F579" s="309" t="s">
        <v>34</v>
      </c>
      <c r="G579" s="308"/>
      <c r="H579" s="308" t="s">
        <v>35154</v>
      </c>
      <c r="I579" s="310">
        <v>40630.0</v>
      </c>
      <c r="J579" s="308">
        <f>IFERROR(__xludf.DUMMYFUNCTION("SPLIT(I579,""/"")"),28.0)</f>
        <v>28</v>
      </c>
      <c r="K579" s="308">
        <f>IFERROR(__xludf.DUMMYFUNCTION("""COMPUTED_VALUE"""),3.0)</f>
        <v>3</v>
      </c>
      <c r="L579" s="308">
        <f>IFERROR(__xludf.DUMMYFUNCTION("""COMPUTED_VALUE"""),2011.0)</f>
        <v>2011</v>
      </c>
      <c r="M579" s="308" t="s">
        <v>2482</v>
      </c>
      <c r="N579" s="308"/>
      <c r="O579" s="312" t="s">
        <v>635</v>
      </c>
      <c r="P579" s="308" t="s">
        <v>2483</v>
      </c>
      <c r="Q579" s="308"/>
      <c r="R579" s="308"/>
      <c r="S579" s="308" t="s">
        <v>81</v>
      </c>
      <c r="T579" s="308" t="s">
        <v>34264</v>
      </c>
      <c r="U579" s="308"/>
      <c r="V579" s="312"/>
    </row>
    <row r="580">
      <c r="A580" s="308">
        <v>579.0</v>
      </c>
      <c r="B580" s="308">
        <v>3788.0</v>
      </c>
      <c r="C580" s="308" t="s">
        <v>35155</v>
      </c>
      <c r="D580" s="308">
        <f>IFERROR(__xludf.DUMMYFUNCTION("SPLIT(C580,""-"")"),580.0)</f>
        <v>580</v>
      </c>
      <c r="E580" s="311"/>
      <c r="F580" s="309" t="s">
        <v>34</v>
      </c>
      <c r="G580" s="308"/>
      <c r="H580" s="308" t="s">
        <v>2484</v>
      </c>
      <c r="I580" s="310">
        <v>40630.0</v>
      </c>
      <c r="J580" s="308">
        <f>IFERROR(__xludf.DUMMYFUNCTION("SPLIT(I580,""/"")"),28.0)</f>
        <v>28</v>
      </c>
      <c r="K580" s="308">
        <f>IFERROR(__xludf.DUMMYFUNCTION("""COMPUTED_VALUE"""),3.0)</f>
        <v>3</v>
      </c>
      <c r="L580" s="308">
        <f>IFERROR(__xludf.DUMMYFUNCTION("""COMPUTED_VALUE"""),2011.0)</f>
        <v>2011</v>
      </c>
      <c r="M580" s="308" t="s">
        <v>2485</v>
      </c>
      <c r="N580" s="308"/>
      <c r="O580" s="312" t="s">
        <v>635</v>
      </c>
      <c r="P580" s="308" t="s">
        <v>2483</v>
      </c>
      <c r="Q580" s="308"/>
      <c r="R580" s="308"/>
      <c r="S580" s="308" t="s">
        <v>81</v>
      </c>
      <c r="T580" s="308" t="s">
        <v>34264</v>
      </c>
      <c r="U580" s="308"/>
      <c r="V580" s="312"/>
    </row>
    <row r="581">
      <c r="A581" s="308">
        <v>580.0</v>
      </c>
      <c r="B581" s="308">
        <v>3789.0</v>
      </c>
      <c r="C581" s="308" t="s">
        <v>35156</v>
      </c>
      <c r="D581" s="308">
        <f>IFERROR(__xludf.DUMMYFUNCTION("SPLIT(C581,""-"")"),581.0)</f>
        <v>581</v>
      </c>
      <c r="E581" s="311"/>
      <c r="F581" s="309" t="s">
        <v>34</v>
      </c>
      <c r="G581" s="308"/>
      <c r="H581" s="308" t="s">
        <v>35157</v>
      </c>
      <c r="I581" s="310">
        <v>40148.0</v>
      </c>
      <c r="J581" s="308">
        <f>IFERROR(__xludf.DUMMYFUNCTION("SPLIT(I581,""/"")"),1.0)</f>
        <v>1</v>
      </c>
      <c r="K581" s="308">
        <f>IFERROR(__xludf.DUMMYFUNCTION("""COMPUTED_VALUE"""),12.0)</f>
        <v>12</v>
      </c>
      <c r="L581" s="308">
        <f>IFERROR(__xludf.DUMMYFUNCTION("""COMPUTED_VALUE"""),2009.0)</f>
        <v>2009</v>
      </c>
      <c r="M581" s="308" t="s">
        <v>2487</v>
      </c>
      <c r="N581" s="308"/>
      <c r="O581" s="312" t="s">
        <v>35158</v>
      </c>
      <c r="P581" s="308" t="s">
        <v>1971</v>
      </c>
      <c r="Q581" s="308"/>
      <c r="R581" s="308"/>
      <c r="S581" s="315" t="s">
        <v>100</v>
      </c>
      <c r="T581" s="311" t="s">
        <v>34208</v>
      </c>
      <c r="U581" s="308" t="s">
        <v>530</v>
      </c>
      <c r="V581" s="312"/>
    </row>
    <row r="582">
      <c r="A582" s="308">
        <v>581.0</v>
      </c>
      <c r="B582" s="308">
        <v>3790.0</v>
      </c>
      <c r="C582" s="308" t="s">
        <v>35159</v>
      </c>
      <c r="D582" s="308">
        <f>IFERROR(__xludf.DUMMYFUNCTION("SPLIT(C582,""-"")"),582.0)</f>
        <v>582</v>
      </c>
      <c r="E582" s="311"/>
      <c r="F582" s="309" t="s">
        <v>34</v>
      </c>
      <c r="G582" s="308"/>
      <c r="H582" s="308" t="s">
        <v>2489</v>
      </c>
      <c r="I582" s="310">
        <v>40148.0</v>
      </c>
      <c r="J582" s="308">
        <f>IFERROR(__xludf.DUMMYFUNCTION("SPLIT(I582,""/"")"),1.0)</f>
        <v>1</v>
      </c>
      <c r="K582" s="308">
        <f>IFERROR(__xludf.DUMMYFUNCTION("""COMPUTED_VALUE"""),12.0)</f>
        <v>12</v>
      </c>
      <c r="L582" s="308">
        <f>IFERROR(__xludf.DUMMYFUNCTION("""COMPUTED_VALUE"""),2009.0)</f>
        <v>2009</v>
      </c>
      <c r="M582" s="308" t="s">
        <v>2490</v>
      </c>
      <c r="N582" s="308"/>
      <c r="O582" s="312" t="s">
        <v>35158</v>
      </c>
      <c r="P582" s="308" t="s">
        <v>136</v>
      </c>
      <c r="Q582" s="308"/>
      <c r="R582" s="308"/>
      <c r="S582" s="315" t="s">
        <v>100</v>
      </c>
      <c r="T582" s="308" t="s">
        <v>34208</v>
      </c>
      <c r="U582" s="308" t="s">
        <v>530</v>
      </c>
      <c r="V582" s="312"/>
    </row>
    <row r="583">
      <c r="A583" s="308">
        <v>582.0</v>
      </c>
      <c r="B583" s="308">
        <v>3791.0</v>
      </c>
      <c r="C583" s="308" t="s">
        <v>35160</v>
      </c>
      <c r="D583" s="308">
        <f>IFERROR(__xludf.DUMMYFUNCTION("SPLIT(C583,""-"")"),583.0)</f>
        <v>583</v>
      </c>
      <c r="E583" s="311"/>
      <c r="F583" s="317" t="s">
        <v>37</v>
      </c>
      <c r="G583" s="308"/>
      <c r="H583" s="308" t="s">
        <v>2491</v>
      </c>
      <c r="I583" s="310">
        <v>40733.0</v>
      </c>
      <c r="J583" s="308">
        <f>IFERROR(__xludf.DUMMYFUNCTION("SPLIT(I583,""/"")"),9.0)</f>
        <v>9</v>
      </c>
      <c r="K583" s="308">
        <f>IFERROR(__xludf.DUMMYFUNCTION("""COMPUTED_VALUE"""),7.0)</f>
        <v>7</v>
      </c>
      <c r="L583" s="308">
        <f>IFERROR(__xludf.DUMMYFUNCTION("""COMPUTED_VALUE"""),2011.0)</f>
        <v>2011</v>
      </c>
      <c r="M583" s="308" t="s">
        <v>2492</v>
      </c>
      <c r="N583" s="308"/>
      <c r="O583" s="312" t="s">
        <v>35161</v>
      </c>
      <c r="P583" s="308" t="s">
        <v>2494</v>
      </c>
      <c r="Q583" s="308"/>
      <c r="R583" s="308"/>
      <c r="S583" s="308" t="s">
        <v>49</v>
      </c>
      <c r="T583" s="311" t="s">
        <v>51</v>
      </c>
      <c r="U583" s="308"/>
      <c r="V583" s="312"/>
    </row>
    <row r="584">
      <c r="A584" s="308">
        <v>583.0</v>
      </c>
      <c r="B584" s="308">
        <v>3792.0</v>
      </c>
      <c r="C584" s="308" t="s">
        <v>35162</v>
      </c>
      <c r="D584" s="308">
        <f>IFERROR(__xludf.DUMMYFUNCTION("SPLIT(C584,""-"")"),584.0)</f>
        <v>584</v>
      </c>
      <c r="E584" s="311"/>
      <c r="F584" s="309" t="s">
        <v>34</v>
      </c>
      <c r="G584" s="308" t="s">
        <v>2495</v>
      </c>
      <c r="H584" s="308" t="s">
        <v>2496</v>
      </c>
      <c r="I584" s="310">
        <v>40568.0</v>
      </c>
      <c r="J584" s="308">
        <f>IFERROR(__xludf.DUMMYFUNCTION("SPLIT(I584,""/"")"),25.0)</f>
        <v>25</v>
      </c>
      <c r="K584" s="308">
        <f>IFERROR(__xludf.DUMMYFUNCTION("""COMPUTED_VALUE"""),1.0)</f>
        <v>1</v>
      </c>
      <c r="L584" s="308">
        <f>IFERROR(__xludf.DUMMYFUNCTION("""COMPUTED_VALUE"""),2011.0)</f>
        <v>2011</v>
      </c>
      <c r="M584" s="308" t="s">
        <v>2497</v>
      </c>
      <c r="N584" s="308"/>
      <c r="O584" s="312"/>
      <c r="P584" s="308" t="s">
        <v>2498</v>
      </c>
      <c r="Q584" s="308"/>
      <c r="R584" s="308"/>
      <c r="S584" s="308" t="s">
        <v>81</v>
      </c>
      <c r="T584" s="311" t="s">
        <v>75</v>
      </c>
      <c r="U584" s="308"/>
      <c r="V584" s="312"/>
    </row>
    <row r="585">
      <c r="A585" s="308">
        <v>584.0</v>
      </c>
      <c r="B585" s="308">
        <v>3793.0</v>
      </c>
      <c r="C585" s="308" t="s">
        <v>35163</v>
      </c>
      <c r="D585" s="308">
        <f>IFERROR(__xludf.DUMMYFUNCTION("SPLIT(C585,""-"")"),585.0)</f>
        <v>585</v>
      </c>
      <c r="E585" s="311"/>
      <c r="F585" s="317" t="s">
        <v>37</v>
      </c>
      <c r="G585" s="308"/>
      <c r="H585" s="308" t="s">
        <v>2499</v>
      </c>
      <c r="I585" s="310">
        <v>40772.0</v>
      </c>
      <c r="J585" s="308">
        <f>IFERROR(__xludf.DUMMYFUNCTION("SPLIT(I585,""/"")"),17.0)</f>
        <v>17</v>
      </c>
      <c r="K585" s="308">
        <f>IFERROR(__xludf.DUMMYFUNCTION("""COMPUTED_VALUE"""),8.0)</f>
        <v>8</v>
      </c>
      <c r="L585" s="308">
        <f>IFERROR(__xludf.DUMMYFUNCTION("""COMPUTED_VALUE"""),2011.0)</f>
        <v>2011</v>
      </c>
      <c r="M585" s="308" t="s">
        <v>2500</v>
      </c>
      <c r="N585" s="308"/>
      <c r="O585" s="308" t="s">
        <v>35164</v>
      </c>
      <c r="P585" s="308" t="s">
        <v>1988</v>
      </c>
      <c r="Q585" s="308"/>
      <c r="R585" s="308"/>
      <c r="S585" s="308" t="s">
        <v>81</v>
      </c>
      <c r="T585" s="308" t="s">
        <v>34264</v>
      </c>
      <c r="U585" s="308"/>
      <c r="V585" s="312"/>
    </row>
    <row r="586">
      <c r="A586" s="308">
        <v>585.0</v>
      </c>
      <c r="B586" s="308">
        <v>3794.0</v>
      </c>
      <c r="C586" s="308" t="s">
        <v>35165</v>
      </c>
      <c r="D586" s="308">
        <f>IFERROR(__xludf.DUMMYFUNCTION("SPLIT(C586,""-"")"),586.0)</f>
        <v>586</v>
      </c>
      <c r="E586" s="311"/>
      <c r="F586" s="309" t="s">
        <v>26</v>
      </c>
      <c r="G586" s="308"/>
      <c r="H586" s="308" t="s">
        <v>2502</v>
      </c>
      <c r="I586" s="310">
        <v>40952.0</v>
      </c>
      <c r="J586" s="308">
        <f>IFERROR(__xludf.DUMMYFUNCTION("SPLIT(I586,""/"")"),13.0)</f>
        <v>13</v>
      </c>
      <c r="K586" s="308">
        <f>IFERROR(__xludf.DUMMYFUNCTION("""COMPUTED_VALUE"""),2.0)</f>
        <v>2</v>
      </c>
      <c r="L586" s="308">
        <f>IFERROR(__xludf.DUMMYFUNCTION("""COMPUTED_VALUE"""),2012.0)</f>
        <v>2012</v>
      </c>
      <c r="M586" s="308" t="s">
        <v>2503</v>
      </c>
      <c r="N586" s="308"/>
      <c r="O586" s="312" t="s">
        <v>35166</v>
      </c>
      <c r="P586" s="308" t="s">
        <v>148</v>
      </c>
      <c r="Q586" s="308"/>
      <c r="R586" s="308"/>
      <c r="S586" s="308" t="s">
        <v>49</v>
      </c>
      <c r="T586" s="308" t="s">
        <v>51</v>
      </c>
      <c r="U586" s="308"/>
      <c r="V586" s="312"/>
    </row>
    <row r="587">
      <c r="A587" s="308">
        <v>586.0</v>
      </c>
      <c r="B587" s="308">
        <v>3795.0</v>
      </c>
      <c r="C587" s="308" t="s">
        <v>35167</v>
      </c>
      <c r="D587" s="308">
        <f>IFERROR(__xludf.DUMMYFUNCTION("SPLIT(C587,""-"")"),587.0)</f>
        <v>587</v>
      </c>
      <c r="E587" s="311"/>
      <c r="F587" s="309" t="s">
        <v>34</v>
      </c>
      <c r="G587" s="308"/>
      <c r="H587" s="308" t="s">
        <v>2505</v>
      </c>
      <c r="I587" s="310">
        <v>40995.0</v>
      </c>
      <c r="J587" s="308">
        <f>IFERROR(__xludf.DUMMYFUNCTION("SPLIT(I587,""/"")"),27.0)</f>
        <v>27</v>
      </c>
      <c r="K587" s="308">
        <f>IFERROR(__xludf.DUMMYFUNCTION("""COMPUTED_VALUE"""),3.0)</f>
        <v>3</v>
      </c>
      <c r="L587" s="308">
        <f>IFERROR(__xludf.DUMMYFUNCTION("""COMPUTED_VALUE"""),2012.0)</f>
        <v>2012</v>
      </c>
      <c r="M587" s="308" t="s">
        <v>2506</v>
      </c>
      <c r="N587" s="308"/>
      <c r="O587" s="312" t="s">
        <v>35168</v>
      </c>
      <c r="P587" s="308" t="s">
        <v>2508</v>
      </c>
      <c r="Q587" s="308"/>
      <c r="R587" s="308"/>
      <c r="S587" s="308" t="s">
        <v>81</v>
      </c>
      <c r="T587" s="308" t="s">
        <v>75</v>
      </c>
      <c r="U587" s="308"/>
      <c r="V587" s="312"/>
    </row>
    <row r="588">
      <c r="A588" s="308">
        <v>587.0</v>
      </c>
      <c r="B588" s="308">
        <v>3796.0</v>
      </c>
      <c r="C588" s="308" t="s">
        <v>35169</v>
      </c>
      <c r="D588" s="308">
        <f>IFERROR(__xludf.DUMMYFUNCTION("SPLIT(C588,""-"")"),588.0)</f>
        <v>588</v>
      </c>
      <c r="E588" s="311"/>
      <c r="F588" s="309" t="s">
        <v>26</v>
      </c>
      <c r="G588" s="308"/>
      <c r="H588" s="308" t="s">
        <v>35170</v>
      </c>
      <c r="I588" s="310">
        <v>40953.0</v>
      </c>
      <c r="J588" s="308">
        <f>IFERROR(__xludf.DUMMYFUNCTION("SPLIT(I588,""/"")"),14.0)</f>
        <v>14</v>
      </c>
      <c r="K588" s="308">
        <f>IFERROR(__xludf.DUMMYFUNCTION("""COMPUTED_VALUE"""),2.0)</f>
        <v>2</v>
      </c>
      <c r="L588" s="308">
        <f>IFERROR(__xludf.DUMMYFUNCTION("""COMPUTED_VALUE"""),2012.0)</f>
        <v>2012</v>
      </c>
      <c r="M588" s="308" t="s">
        <v>2510</v>
      </c>
      <c r="N588" s="308"/>
      <c r="O588" s="312" t="s">
        <v>35171</v>
      </c>
      <c r="P588" s="308" t="s">
        <v>124</v>
      </c>
      <c r="Q588" s="308"/>
      <c r="R588" s="308"/>
      <c r="S588" s="308" t="s">
        <v>81</v>
      </c>
      <c r="T588" s="308" t="s">
        <v>35048</v>
      </c>
      <c r="U588" s="308"/>
      <c r="V588" s="312"/>
    </row>
    <row r="589">
      <c r="A589" s="308">
        <v>588.0</v>
      </c>
      <c r="B589" s="308">
        <v>3797.0</v>
      </c>
      <c r="C589" s="308" t="s">
        <v>35172</v>
      </c>
      <c r="D589" s="308">
        <f>IFERROR(__xludf.DUMMYFUNCTION("SPLIT(C589,""-"")"),589.0)</f>
        <v>589</v>
      </c>
      <c r="E589" s="311"/>
      <c r="F589" s="309" t="s">
        <v>34</v>
      </c>
      <c r="G589" s="308"/>
      <c r="H589" s="308" t="s">
        <v>2512</v>
      </c>
      <c r="I589" s="310">
        <v>40387.0</v>
      </c>
      <c r="J589" s="308">
        <f>IFERROR(__xludf.DUMMYFUNCTION("SPLIT(I589,""/"")"),28.0)</f>
        <v>28</v>
      </c>
      <c r="K589" s="308">
        <f>IFERROR(__xludf.DUMMYFUNCTION("""COMPUTED_VALUE"""),7.0)</f>
        <v>7</v>
      </c>
      <c r="L589" s="308">
        <f>IFERROR(__xludf.DUMMYFUNCTION("""COMPUTED_VALUE"""),2010.0)</f>
        <v>2010</v>
      </c>
      <c r="M589" s="308" t="s">
        <v>2513</v>
      </c>
      <c r="N589" s="308"/>
      <c r="O589" s="312" t="s">
        <v>35173</v>
      </c>
      <c r="P589" s="308" t="s">
        <v>1495</v>
      </c>
      <c r="Q589" s="308"/>
      <c r="R589" s="308" t="s">
        <v>2515</v>
      </c>
      <c r="S589" s="315" t="s">
        <v>100</v>
      </c>
      <c r="T589" s="311" t="s">
        <v>34208</v>
      </c>
      <c r="U589" s="308" t="s">
        <v>201</v>
      </c>
      <c r="V589" s="312"/>
    </row>
    <row r="590">
      <c r="A590" s="308">
        <v>589.0</v>
      </c>
      <c r="B590" s="308">
        <v>3798.0</v>
      </c>
      <c r="C590" s="308" t="s">
        <v>35174</v>
      </c>
      <c r="D590" s="308">
        <f>IFERROR(__xludf.DUMMYFUNCTION("SPLIT(C590,""-"")"),590.0)</f>
        <v>590</v>
      </c>
      <c r="E590" s="311"/>
      <c r="F590" s="309" t="s">
        <v>23</v>
      </c>
      <c r="G590" s="308"/>
      <c r="H590" s="308" t="s">
        <v>2516</v>
      </c>
      <c r="I590" s="310">
        <v>33050.0</v>
      </c>
      <c r="J590" s="308">
        <f>IFERROR(__xludf.DUMMYFUNCTION("SPLIT(I590,""/"")"),26.0)</f>
        <v>26</v>
      </c>
      <c r="K590" s="308">
        <f>IFERROR(__xludf.DUMMYFUNCTION("""COMPUTED_VALUE"""),6.0)</f>
        <v>6</v>
      </c>
      <c r="L590" s="308">
        <f>IFERROR(__xludf.DUMMYFUNCTION("""COMPUTED_VALUE"""),1990.0)</f>
        <v>1990</v>
      </c>
      <c r="M590" s="308" t="s">
        <v>2517</v>
      </c>
      <c r="N590" s="308"/>
      <c r="O590" s="312" t="s">
        <v>35175</v>
      </c>
      <c r="P590" s="308" t="s">
        <v>35176</v>
      </c>
      <c r="Q590" s="308"/>
      <c r="R590" s="308"/>
      <c r="S590" s="308" t="s">
        <v>49</v>
      </c>
      <c r="T590" s="311" t="s">
        <v>51</v>
      </c>
      <c r="U590" s="308"/>
      <c r="V590" s="312"/>
    </row>
    <row r="591">
      <c r="A591" s="308">
        <v>590.0</v>
      </c>
      <c r="B591" s="308">
        <v>3799.0</v>
      </c>
      <c r="C591" s="308" t="s">
        <v>35177</v>
      </c>
      <c r="D591" s="308">
        <f>IFERROR(__xludf.DUMMYFUNCTION("SPLIT(C591,""-"")"),591.0)</f>
        <v>591</v>
      </c>
      <c r="E591" s="311"/>
      <c r="F591" s="309" t="s">
        <v>34</v>
      </c>
      <c r="G591" s="308"/>
      <c r="H591" s="308" t="s">
        <v>2520</v>
      </c>
      <c r="I591" s="310">
        <v>40092.0</v>
      </c>
      <c r="J591" s="308">
        <f>IFERROR(__xludf.DUMMYFUNCTION("SPLIT(I591,""/"")"),6.0)</f>
        <v>6</v>
      </c>
      <c r="K591" s="308">
        <f>IFERROR(__xludf.DUMMYFUNCTION("""COMPUTED_VALUE"""),10.0)</f>
        <v>10</v>
      </c>
      <c r="L591" s="308">
        <f>IFERROR(__xludf.DUMMYFUNCTION("""COMPUTED_VALUE"""),2009.0)</f>
        <v>2009</v>
      </c>
      <c r="M591" s="308" t="s">
        <v>2521</v>
      </c>
      <c r="N591" s="308"/>
      <c r="O591" s="312" t="s">
        <v>35178</v>
      </c>
      <c r="P591" s="308" t="s">
        <v>1605</v>
      </c>
      <c r="Q591" s="308"/>
      <c r="R591" s="308" t="s">
        <v>618</v>
      </c>
      <c r="S591" s="315" t="s">
        <v>100</v>
      </c>
      <c r="T591" s="311" t="s">
        <v>34208</v>
      </c>
      <c r="U591" s="308" t="s">
        <v>125</v>
      </c>
      <c r="V591" s="312"/>
    </row>
    <row r="592">
      <c r="A592" s="308">
        <v>591.0</v>
      </c>
      <c r="B592" s="308">
        <v>3800.0</v>
      </c>
      <c r="C592" s="308" t="s">
        <v>35179</v>
      </c>
      <c r="D592" s="308">
        <f>IFERROR(__xludf.DUMMYFUNCTION("SPLIT(C592,""-"")"),592.0)</f>
        <v>592</v>
      </c>
      <c r="E592" s="311"/>
      <c r="F592" s="317" t="s">
        <v>37</v>
      </c>
      <c r="G592" s="308"/>
      <c r="H592" s="308" t="s">
        <v>35180</v>
      </c>
      <c r="I592" s="310">
        <v>40761.0</v>
      </c>
      <c r="J592" s="308">
        <f>IFERROR(__xludf.DUMMYFUNCTION("SPLIT(I592,""/"")"),6.0)</f>
        <v>6</v>
      </c>
      <c r="K592" s="308">
        <f>IFERROR(__xludf.DUMMYFUNCTION("""COMPUTED_VALUE"""),8.0)</f>
        <v>8</v>
      </c>
      <c r="L592" s="308">
        <f>IFERROR(__xludf.DUMMYFUNCTION("""COMPUTED_VALUE"""),2011.0)</f>
        <v>2011</v>
      </c>
      <c r="M592" s="308" t="s">
        <v>2524</v>
      </c>
      <c r="N592" s="308"/>
      <c r="O592" s="312" t="s">
        <v>2525</v>
      </c>
      <c r="P592" s="308" t="s">
        <v>2526</v>
      </c>
      <c r="Q592" s="308"/>
      <c r="R592" s="308"/>
      <c r="S592" s="315" t="s">
        <v>100</v>
      </c>
      <c r="T592" s="311" t="s">
        <v>34208</v>
      </c>
      <c r="U592" s="308" t="s">
        <v>2527</v>
      </c>
      <c r="V592" s="312"/>
    </row>
    <row r="593">
      <c r="A593" s="308">
        <v>592.0</v>
      </c>
      <c r="B593" s="308">
        <v>3801.0</v>
      </c>
      <c r="C593" s="308" t="s">
        <v>35181</v>
      </c>
      <c r="D593" s="308">
        <f>IFERROR(__xludf.DUMMYFUNCTION("SPLIT(C593,""-"")"),593.0)</f>
        <v>593</v>
      </c>
      <c r="E593" s="311"/>
      <c r="F593" s="309" t="s">
        <v>23</v>
      </c>
      <c r="G593" s="308"/>
      <c r="H593" s="308" t="s">
        <v>2528</v>
      </c>
      <c r="I593" s="310">
        <v>39969.0</v>
      </c>
      <c r="J593" s="308">
        <f>IFERROR(__xludf.DUMMYFUNCTION("SPLIT(I593,""/"")"),5.0)</f>
        <v>5</v>
      </c>
      <c r="K593" s="308">
        <f>IFERROR(__xludf.DUMMYFUNCTION("""COMPUTED_VALUE"""),6.0)</f>
        <v>6</v>
      </c>
      <c r="L593" s="308">
        <f>IFERROR(__xludf.DUMMYFUNCTION("""COMPUTED_VALUE"""),2009.0)</f>
        <v>2009</v>
      </c>
      <c r="M593" s="308" t="s">
        <v>2529</v>
      </c>
      <c r="N593" s="308"/>
      <c r="O593" s="312" t="s">
        <v>35182</v>
      </c>
      <c r="P593" s="308" t="s">
        <v>2531</v>
      </c>
      <c r="Q593" s="308"/>
      <c r="R593" s="308"/>
      <c r="S593" s="308" t="s">
        <v>49</v>
      </c>
      <c r="T593" s="308" t="s">
        <v>51</v>
      </c>
      <c r="U593" s="308"/>
      <c r="V593" s="312"/>
    </row>
    <row r="594">
      <c r="A594" s="308">
        <v>593.0</v>
      </c>
      <c r="B594" s="308">
        <v>3802.0</v>
      </c>
      <c r="C594" s="308" t="s">
        <v>35183</v>
      </c>
      <c r="D594" s="308">
        <f>IFERROR(__xludf.DUMMYFUNCTION("SPLIT(C594,""-"")"),594.0)</f>
        <v>594</v>
      </c>
      <c r="E594" s="311"/>
      <c r="F594" s="309" t="s">
        <v>34</v>
      </c>
      <c r="G594" s="308"/>
      <c r="H594" s="308" t="s">
        <v>1184</v>
      </c>
      <c r="I594" s="310">
        <v>40755.0</v>
      </c>
      <c r="J594" s="308">
        <f>IFERROR(__xludf.DUMMYFUNCTION("SPLIT(I594,""/"")"),31.0)</f>
        <v>31</v>
      </c>
      <c r="K594" s="308">
        <f>IFERROR(__xludf.DUMMYFUNCTION("""COMPUTED_VALUE"""),7.0)</f>
        <v>7</v>
      </c>
      <c r="L594" s="308">
        <f>IFERROR(__xludf.DUMMYFUNCTION("""COMPUTED_VALUE"""),2011.0)</f>
        <v>2011</v>
      </c>
      <c r="M594" s="308" t="s">
        <v>2532</v>
      </c>
      <c r="N594" s="308"/>
      <c r="O594" s="312" t="s">
        <v>35184</v>
      </c>
      <c r="P594" s="308" t="s">
        <v>2534</v>
      </c>
      <c r="Q594" s="308"/>
      <c r="R594" s="308"/>
      <c r="S594" s="308" t="s">
        <v>81</v>
      </c>
      <c r="T594" s="308" t="s">
        <v>34264</v>
      </c>
      <c r="U594" s="308"/>
      <c r="V594" s="312"/>
    </row>
    <row r="595">
      <c r="A595" s="308">
        <v>594.0</v>
      </c>
      <c r="B595" s="308">
        <v>3803.0</v>
      </c>
      <c r="C595" s="308" t="s">
        <v>35185</v>
      </c>
      <c r="D595" s="308">
        <f>IFERROR(__xludf.DUMMYFUNCTION("SPLIT(C595,""-"")"),595.0)</f>
        <v>595</v>
      </c>
      <c r="E595" s="311"/>
      <c r="F595" s="317" t="s">
        <v>37</v>
      </c>
      <c r="G595" s="308"/>
      <c r="H595" s="308" t="s">
        <v>35186</v>
      </c>
      <c r="I595" s="310">
        <v>40578.0</v>
      </c>
      <c r="J595" s="308">
        <f>IFERROR(__xludf.DUMMYFUNCTION("SPLIT(I595,""/"")"),4.0)</f>
        <v>4</v>
      </c>
      <c r="K595" s="308">
        <f>IFERROR(__xludf.DUMMYFUNCTION("""COMPUTED_VALUE"""),2.0)</f>
        <v>2</v>
      </c>
      <c r="L595" s="308">
        <f>IFERROR(__xludf.DUMMYFUNCTION("""COMPUTED_VALUE"""),2011.0)</f>
        <v>2011</v>
      </c>
      <c r="M595" s="308" t="s">
        <v>2536</v>
      </c>
      <c r="N595" s="308"/>
      <c r="O595" s="312" t="s">
        <v>35187</v>
      </c>
      <c r="P595" s="308" t="s">
        <v>35188</v>
      </c>
      <c r="Q595" s="308"/>
      <c r="R595" s="308"/>
      <c r="S595" s="308" t="s">
        <v>49</v>
      </c>
      <c r="T595" s="308" t="s">
        <v>51</v>
      </c>
      <c r="U595" s="308" t="s">
        <v>143</v>
      </c>
      <c r="V595" s="312"/>
    </row>
    <row r="596">
      <c r="A596" s="308">
        <v>595.0</v>
      </c>
      <c r="B596" s="308">
        <v>3804.0</v>
      </c>
      <c r="C596" s="308" t="s">
        <v>35189</v>
      </c>
      <c r="D596" s="308">
        <f>IFERROR(__xludf.DUMMYFUNCTION("SPLIT(C596,""-"")"),596.0)</f>
        <v>596</v>
      </c>
      <c r="E596" s="311"/>
      <c r="F596" s="309" t="s">
        <v>23</v>
      </c>
      <c r="G596" s="308"/>
      <c r="H596" s="308" t="s">
        <v>2539</v>
      </c>
      <c r="I596" s="310">
        <v>40619.0</v>
      </c>
      <c r="J596" s="308">
        <f>IFERROR(__xludf.DUMMYFUNCTION("SPLIT(I596,""/"")"),17.0)</f>
        <v>17</v>
      </c>
      <c r="K596" s="308">
        <f>IFERROR(__xludf.DUMMYFUNCTION("""COMPUTED_VALUE"""),3.0)</f>
        <v>3</v>
      </c>
      <c r="L596" s="308">
        <f>IFERROR(__xludf.DUMMYFUNCTION("""COMPUTED_VALUE"""),2011.0)</f>
        <v>2011</v>
      </c>
      <c r="M596" s="308" t="s">
        <v>35190</v>
      </c>
      <c r="N596" s="308"/>
      <c r="O596" s="312" t="s">
        <v>35191</v>
      </c>
      <c r="P596" s="308" t="s">
        <v>2542</v>
      </c>
      <c r="Q596" s="308"/>
      <c r="R596" s="308"/>
      <c r="S596" s="308" t="s">
        <v>81</v>
      </c>
      <c r="T596" s="311" t="s">
        <v>73</v>
      </c>
      <c r="U596" s="308"/>
      <c r="V596" s="312"/>
    </row>
    <row r="597">
      <c r="A597" s="308">
        <v>596.0</v>
      </c>
      <c r="B597" s="308">
        <v>3805.0</v>
      </c>
      <c r="C597" s="308" t="s">
        <v>35192</v>
      </c>
      <c r="D597" s="308">
        <f>IFERROR(__xludf.DUMMYFUNCTION("SPLIT(C597,""-"")"),597.0)</f>
        <v>597</v>
      </c>
      <c r="E597" s="311"/>
      <c r="F597" s="309" t="s">
        <v>23</v>
      </c>
      <c r="G597" s="308"/>
      <c r="H597" s="308" t="s">
        <v>2543</v>
      </c>
      <c r="I597" s="310">
        <v>40590.0</v>
      </c>
      <c r="J597" s="308">
        <f>IFERROR(__xludf.DUMMYFUNCTION("SPLIT(I597,""/"")"),16.0)</f>
        <v>16</v>
      </c>
      <c r="K597" s="308">
        <f>IFERROR(__xludf.DUMMYFUNCTION("""COMPUTED_VALUE"""),2.0)</f>
        <v>2</v>
      </c>
      <c r="L597" s="308">
        <f>IFERROR(__xludf.DUMMYFUNCTION("""COMPUTED_VALUE"""),2011.0)</f>
        <v>2011</v>
      </c>
      <c r="M597" s="308" t="s">
        <v>35190</v>
      </c>
      <c r="N597" s="308"/>
      <c r="O597" s="312" t="s">
        <v>35191</v>
      </c>
      <c r="P597" s="308" t="s">
        <v>2544</v>
      </c>
      <c r="Q597" s="308"/>
      <c r="R597" s="308"/>
      <c r="S597" s="308" t="s">
        <v>81</v>
      </c>
      <c r="T597" s="311" t="s">
        <v>96</v>
      </c>
      <c r="U597" s="308"/>
      <c r="V597" s="312"/>
    </row>
    <row r="598">
      <c r="A598" s="308">
        <v>597.0</v>
      </c>
      <c r="B598" s="308">
        <v>3806.0</v>
      </c>
      <c r="C598" s="308" t="s">
        <v>35193</v>
      </c>
      <c r="D598" s="308">
        <f>IFERROR(__xludf.DUMMYFUNCTION("SPLIT(C598,""-"")"),598.0)</f>
        <v>598</v>
      </c>
      <c r="E598" s="311"/>
      <c r="F598" s="309" t="s">
        <v>34</v>
      </c>
      <c r="G598" s="308"/>
      <c r="H598" s="308" t="s">
        <v>2545</v>
      </c>
      <c r="I598" s="310">
        <v>39953.0</v>
      </c>
      <c r="J598" s="308">
        <f>IFERROR(__xludf.DUMMYFUNCTION("SPLIT(I598,""/"")"),20.0)</f>
        <v>20</v>
      </c>
      <c r="K598" s="308">
        <f>IFERROR(__xludf.DUMMYFUNCTION("""COMPUTED_VALUE"""),5.0)</f>
        <v>5</v>
      </c>
      <c r="L598" s="308">
        <f>IFERROR(__xludf.DUMMYFUNCTION("""COMPUTED_VALUE"""),2009.0)</f>
        <v>2009</v>
      </c>
      <c r="M598" s="308" t="s">
        <v>2546</v>
      </c>
      <c r="N598" s="308" t="s">
        <v>2547</v>
      </c>
      <c r="O598" s="312" t="s">
        <v>35194</v>
      </c>
      <c r="P598" s="308" t="s">
        <v>1971</v>
      </c>
      <c r="Q598" s="308"/>
      <c r="R598" s="308"/>
      <c r="S598" s="315" t="s">
        <v>100</v>
      </c>
      <c r="T598" s="311" t="s">
        <v>34208</v>
      </c>
      <c r="U598" s="308" t="s">
        <v>530</v>
      </c>
      <c r="V598" s="312"/>
    </row>
    <row r="599">
      <c r="A599" s="308">
        <v>598.0</v>
      </c>
      <c r="B599" s="308">
        <v>3807.0</v>
      </c>
      <c r="C599" s="308" t="s">
        <v>35195</v>
      </c>
      <c r="D599" s="308">
        <f>IFERROR(__xludf.DUMMYFUNCTION("SPLIT(C599,""-"")"),599.0)</f>
        <v>599</v>
      </c>
      <c r="E599" s="311"/>
      <c r="F599" s="309" t="s">
        <v>34</v>
      </c>
      <c r="G599" s="308"/>
      <c r="H599" s="308" t="s">
        <v>2549</v>
      </c>
      <c r="I599" s="310">
        <v>40080.0</v>
      </c>
      <c r="J599" s="308">
        <f>IFERROR(__xludf.DUMMYFUNCTION("SPLIT(I599,""/"")"),24.0)</f>
        <v>24</v>
      </c>
      <c r="K599" s="308">
        <f>IFERROR(__xludf.DUMMYFUNCTION("""COMPUTED_VALUE"""),9.0)</f>
        <v>9</v>
      </c>
      <c r="L599" s="308">
        <f>IFERROR(__xludf.DUMMYFUNCTION("""COMPUTED_VALUE"""),2009.0)</f>
        <v>2009</v>
      </c>
      <c r="M599" s="308" t="s">
        <v>2550</v>
      </c>
      <c r="N599" s="308"/>
      <c r="O599" s="312" t="s">
        <v>35196</v>
      </c>
      <c r="P599" s="308" t="s">
        <v>35028</v>
      </c>
      <c r="Q599" s="308"/>
      <c r="R599" s="308"/>
      <c r="S599" s="308" t="s">
        <v>49</v>
      </c>
      <c r="T599" s="308" t="s">
        <v>69</v>
      </c>
      <c r="U599" s="308" t="s">
        <v>2466</v>
      </c>
      <c r="V599" s="312"/>
    </row>
    <row r="600">
      <c r="A600" s="308">
        <v>599.0</v>
      </c>
      <c r="B600" s="308">
        <v>3808.0</v>
      </c>
      <c r="C600" s="308" t="s">
        <v>35197</v>
      </c>
      <c r="D600" s="308">
        <f>IFERROR(__xludf.DUMMYFUNCTION("SPLIT(C600,""-"")"),600.0)</f>
        <v>600</v>
      </c>
      <c r="E600" s="311"/>
      <c r="F600" s="309" t="s">
        <v>34</v>
      </c>
      <c r="G600" s="308" t="s">
        <v>2552</v>
      </c>
      <c r="H600" s="308" t="s">
        <v>2553</v>
      </c>
      <c r="I600" s="310">
        <v>40753.0</v>
      </c>
      <c r="J600" s="308">
        <f>IFERROR(__xludf.DUMMYFUNCTION("SPLIT(I600,""/"")"),29.0)</f>
        <v>29</v>
      </c>
      <c r="K600" s="308">
        <f>IFERROR(__xludf.DUMMYFUNCTION("""COMPUTED_VALUE"""),7.0)</f>
        <v>7</v>
      </c>
      <c r="L600" s="308">
        <f>IFERROR(__xludf.DUMMYFUNCTION("""COMPUTED_VALUE"""),2011.0)</f>
        <v>2011</v>
      </c>
      <c r="M600" s="308" t="s">
        <v>2554</v>
      </c>
      <c r="N600" s="308"/>
      <c r="O600" s="312" t="s">
        <v>35198</v>
      </c>
      <c r="P600" s="308" t="s">
        <v>2556</v>
      </c>
      <c r="Q600" s="308"/>
      <c r="R600" s="308"/>
      <c r="S600" s="308" t="s">
        <v>81</v>
      </c>
      <c r="T600" s="311" t="s">
        <v>75</v>
      </c>
      <c r="U600" s="308"/>
      <c r="V600" s="312"/>
    </row>
    <row r="601">
      <c r="A601" s="308">
        <v>600.0</v>
      </c>
      <c r="B601" s="308">
        <v>3809.0</v>
      </c>
      <c r="C601" s="308" t="s">
        <v>35199</v>
      </c>
      <c r="D601" s="308">
        <f>IFERROR(__xludf.DUMMYFUNCTION("SPLIT(C601,""-"")"),601.0)</f>
        <v>601</v>
      </c>
      <c r="E601" s="311"/>
      <c r="F601" s="309" t="s">
        <v>34</v>
      </c>
      <c r="G601" s="308"/>
      <c r="H601" s="308" t="s">
        <v>2557</v>
      </c>
      <c r="I601" s="310">
        <v>40379.0</v>
      </c>
      <c r="J601" s="308">
        <f>IFERROR(__xludf.DUMMYFUNCTION("SPLIT(I601,""/"")"),20.0)</f>
        <v>20</v>
      </c>
      <c r="K601" s="308">
        <f>IFERROR(__xludf.DUMMYFUNCTION("""COMPUTED_VALUE"""),7.0)</f>
        <v>7</v>
      </c>
      <c r="L601" s="308">
        <f>IFERROR(__xludf.DUMMYFUNCTION("""COMPUTED_VALUE"""),2010.0)</f>
        <v>2010</v>
      </c>
      <c r="M601" s="308" t="s">
        <v>2558</v>
      </c>
      <c r="N601" s="308"/>
      <c r="O601" s="312" t="s">
        <v>35200</v>
      </c>
      <c r="P601" s="308" t="s">
        <v>1495</v>
      </c>
      <c r="Q601" s="308"/>
      <c r="R601" s="308"/>
      <c r="S601" s="315" t="s">
        <v>100</v>
      </c>
      <c r="T601" s="311" t="s">
        <v>34208</v>
      </c>
      <c r="U601" s="308" t="s">
        <v>201</v>
      </c>
      <c r="V601" s="312"/>
    </row>
    <row r="602">
      <c r="A602" s="308">
        <v>601.0</v>
      </c>
      <c r="B602" s="308">
        <v>3810.0</v>
      </c>
      <c r="C602" s="308" t="s">
        <v>35201</v>
      </c>
      <c r="D602" s="308">
        <f>IFERROR(__xludf.DUMMYFUNCTION("SPLIT(C602,""-"")"),602.0)</f>
        <v>602</v>
      </c>
      <c r="E602" s="311"/>
      <c r="F602" s="309" t="s">
        <v>34</v>
      </c>
      <c r="G602" s="308"/>
      <c r="H602" s="308" t="s">
        <v>2560</v>
      </c>
      <c r="I602" s="310">
        <v>40026.0</v>
      </c>
      <c r="J602" s="308">
        <f>IFERROR(__xludf.DUMMYFUNCTION("SPLIT(I602,""/"")"),1.0)</f>
        <v>1</v>
      </c>
      <c r="K602" s="308">
        <f>IFERROR(__xludf.DUMMYFUNCTION("""COMPUTED_VALUE"""),8.0)</f>
        <v>8</v>
      </c>
      <c r="L602" s="308">
        <f>IFERROR(__xludf.DUMMYFUNCTION("""COMPUTED_VALUE"""),2009.0)</f>
        <v>2009</v>
      </c>
      <c r="M602" s="308" t="s">
        <v>2561</v>
      </c>
      <c r="N602" s="308"/>
      <c r="O602" s="312" t="s">
        <v>35202</v>
      </c>
      <c r="P602" s="308" t="s">
        <v>1392</v>
      </c>
      <c r="Q602" s="308"/>
      <c r="R602" s="308"/>
      <c r="S602" s="308" t="s">
        <v>49</v>
      </c>
      <c r="T602" s="315" t="s">
        <v>69</v>
      </c>
      <c r="U602" s="308" t="s">
        <v>530</v>
      </c>
      <c r="V602" s="312"/>
    </row>
    <row r="603">
      <c r="A603" s="308">
        <v>602.0</v>
      </c>
      <c r="B603" s="308">
        <v>3811.0</v>
      </c>
      <c r="C603" s="308" t="s">
        <v>35203</v>
      </c>
      <c r="D603" s="308">
        <f>IFERROR(__xludf.DUMMYFUNCTION("SPLIT(C603,""-"")"),603.0)</f>
        <v>603</v>
      </c>
      <c r="E603" s="311"/>
      <c r="F603" s="309" t="s">
        <v>23</v>
      </c>
      <c r="G603" s="308"/>
      <c r="H603" s="308" t="s">
        <v>2563</v>
      </c>
      <c r="I603" s="314">
        <v>40469.0</v>
      </c>
      <c r="J603" s="308">
        <f>IFERROR(__xludf.DUMMYFUNCTION("SPLIT(I603,""/"")"),18.0)</f>
        <v>18</v>
      </c>
      <c r="K603" s="308">
        <f>IFERROR(__xludf.DUMMYFUNCTION("""COMPUTED_VALUE"""),10.0)</f>
        <v>10</v>
      </c>
      <c r="L603" s="308">
        <f>IFERROR(__xludf.DUMMYFUNCTION("""COMPUTED_VALUE"""),2010.0)</f>
        <v>2010</v>
      </c>
      <c r="M603" s="308" t="s">
        <v>2564</v>
      </c>
      <c r="N603" s="308"/>
      <c r="O603" s="312" t="s">
        <v>35204</v>
      </c>
      <c r="P603" s="308" t="s">
        <v>2566</v>
      </c>
      <c r="Q603" s="308"/>
      <c r="R603" s="308"/>
      <c r="S603" s="308" t="s">
        <v>81</v>
      </c>
      <c r="T603" s="308" t="s">
        <v>75</v>
      </c>
      <c r="U603" s="308"/>
      <c r="V603" s="312"/>
    </row>
    <row r="604">
      <c r="A604" s="308">
        <v>603.0</v>
      </c>
      <c r="B604" s="308">
        <v>3812.0</v>
      </c>
      <c r="C604" s="308" t="s">
        <v>35205</v>
      </c>
      <c r="D604" s="308">
        <f>IFERROR(__xludf.DUMMYFUNCTION("SPLIT(C604,""-"")"),604.0)</f>
        <v>604</v>
      </c>
      <c r="E604" s="311"/>
      <c r="F604" s="309" t="s">
        <v>34</v>
      </c>
      <c r="G604" s="308"/>
      <c r="H604" s="308" t="s">
        <v>2567</v>
      </c>
      <c r="I604" s="310">
        <v>40026.0</v>
      </c>
      <c r="J604" s="308">
        <f>IFERROR(__xludf.DUMMYFUNCTION("SPLIT(I604,""/"")"),1.0)</f>
        <v>1</v>
      </c>
      <c r="K604" s="308">
        <f>IFERROR(__xludf.DUMMYFUNCTION("""COMPUTED_VALUE"""),8.0)</f>
        <v>8</v>
      </c>
      <c r="L604" s="308">
        <f>IFERROR(__xludf.DUMMYFUNCTION("""COMPUTED_VALUE"""),2009.0)</f>
        <v>2009</v>
      </c>
      <c r="M604" s="308" t="s">
        <v>2568</v>
      </c>
      <c r="N604" s="308"/>
      <c r="O604" s="312" t="s">
        <v>2569</v>
      </c>
      <c r="P604" s="308" t="s">
        <v>34977</v>
      </c>
      <c r="Q604" s="308"/>
      <c r="R604" s="308"/>
      <c r="S604" s="308" t="s">
        <v>49</v>
      </c>
      <c r="T604" s="311" t="s">
        <v>51</v>
      </c>
      <c r="U604" s="308" t="s">
        <v>530</v>
      </c>
      <c r="V604" s="312"/>
    </row>
    <row r="605">
      <c r="A605" s="308">
        <v>604.0</v>
      </c>
      <c r="B605" s="308">
        <v>3813.0</v>
      </c>
      <c r="C605" s="308" t="s">
        <v>35206</v>
      </c>
      <c r="D605" s="308">
        <f>IFERROR(__xludf.DUMMYFUNCTION("SPLIT(C605,""-"")"),605.0)</f>
        <v>605</v>
      </c>
      <c r="E605" s="311"/>
      <c r="F605" s="309" t="s">
        <v>34</v>
      </c>
      <c r="G605" s="308"/>
      <c r="H605" s="308" t="s">
        <v>2570</v>
      </c>
      <c r="I605" s="310">
        <v>40260.0</v>
      </c>
      <c r="J605" s="308">
        <f>IFERROR(__xludf.DUMMYFUNCTION("SPLIT(I605,""/"")"),23.0)</f>
        <v>23</v>
      </c>
      <c r="K605" s="308">
        <f>IFERROR(__xludf.DUMMYFUNCTION("""COMPUTED_VALUE"""),3.0)</f>
        <v>3</v>
      </c>
      <c r="L605" s="308">
        <f>IFERROR(__xludf.DUMMYFUNCTION("""COMPUTED_VALUE"""),2010.0)</f>
        <v>2010</v>
      </c>
      <c r="M605" s="308" t="s">
        <v>35207</v>
      </c>
      <c r="N605" s="308" t="s">
        <v>2572</v>
      </c>
      <c r="O605" s="312" t="s">
        <v>35208</v>
      </c>
      <c r="P605" s="308" t="s">
        <v>2574</v>
      </c>
      <c r="Q605" s="308"/>
      <c r="R605" s="308"/>
      <c r="S605" s="308" t="s">
        <v>49</v>
      </c>
      <c r="T605" s="308" t="s">
        <v>51</v>
      </c>
      <c r="U605" s="308"/>
      <c r="V605" s="312"/>
    </row>
    <row r="606">
      <c r="A606" s="308">
        <v>605.0</v>
      </c>
      <c r="B606" s="308">
        <v>3814.0</v>
      </c>
      <c r="C606" s="308" t="s">
        <v>35209</v>
      </c>
      <c r="D606" s="308">
        <f>IFERROR(__xludf.DUMMYFUNCTION("SPLIT(C606,""-"")"),606.0)</f>
        <v>606</v>
      </c>
      <c r="E606" s="311"/>
      <c r="F606" s="309" t="s">
        <v>34</v>
      </c>
      <c r="G606" s="308"/>
      <c r="H606" s="308" t="s">
        <v>2575</v>
      </c>
      <c r="I606" s="310">
        <v>41059.0</v>
      </c>
      <c r="J606" s="308">
        <f>IFERROR(__xludf.DUMMYFUNCTION("SPLIT(I606,""/"")"),30.0)</f>
        <v>30</v>
      </c>
      <c r="K606" s="308">
        <f>IFERROR(__xludf.DUMMYFUNCTION("""COMPUTED_VALUE"""),5.0)</f>
        <v>5</v>
      </c>
      <c r="L606" s="308">
        <f>IFERROR(__xludf.DUMMYFUNCTION("""COMPUTED_VALUE"""),2012.0)</f>
        <v>2012</v>
      </c>
      <c r="M606" s="308" t="s">
        <v>2576</v>
      </c>
      <c r="N606" s="308"/>
      <c r="O606" s="312" t="s">
        <v>35210</v>
      </c>
      <c r="P606" s="308" t="s">
        <v>2578</v>
      </c>
      <c r="Q606" s="308"/>
      <c r="R606" s="308"/>
      <c r="S606" s="308" t="s">
        <v>49</v>
      </c>
      <c r="T606" s="311" t="s">
        <v>77</v>
      </c>
      <c r="U606" s="308" t="s">
        <v>137</v>
      </c>
      <c r="V606" s="312"/>
    </row>
    <row r="607">
      <c r="A607" s="308">
        <v>606.0</v>
      </c>
      <c r="B607" s="308">
        <v>3815.0</v>
      </c>
      <c r="C607" s="308" t="s">
        <v>35211</v>
      </c>
      <c r="D607" s="308">
        <f>IFERROR(__xludf.DUMMYFUNCTION("SPLIT(C607,""-"")"),607.0)</f>
        <v>607</v>
      </c>
      <c r="E607" s="311"/>
      <c r="F607" s="309" t="s">
        <v>34</v>
      </c>
      <c r="G607" s="308"/>
      <c r="H607" s="308" t="s">
        <v>2579</v>
      </c>
      <c r="I607" s="310">
        <v>39995.0</v>
      </c>
      <c r="J607" s="308">
        <f>IFERROR(__xludf.DUMMYFUNCTION("SPLIT(I607,""/"")"),1.0)</f>
        <v>1</v>
      </c>
      <c r="K607" s="308">
        <f>IFERROR(__xludf.DUMMYFUNCTION("""COMPUTED_VALUE"""),7.0)</f>
        <v>7</v>
      </c>
      <c r="L607" s="308">
        <f>IFERROR(__xludf.DUMMYFUNCTION("""COMPUTED_VALUE"""),2009.0)</f>
        <v>2009</v>
      </c>
      <c r="M607" s="308" t="s">
        <v>2580</v>
      </c>
      <c r="N607" s="308"/>
      <c r="O607" s="312" t="s">
        <v>35212</v>
      </c>
      <c r="P607" s="308" t="s">
        <v>35213</v>
      </c>
      <c r="Q607" s="308"/>
      <c r="R607" s="308"/>
      <c r="S607" s="308" t="s">
        <v>81</v>
      </c>
      <c r="T607" s="308" t="s">
        <v>75</v>
      </c>
      <c r="U607" s="308"/>
      <c r="V607" s="312"/>
    </row>
    <row r="608">
      <c r="A608" s="308">
        <v>607.0</v>
      </c>
      <c r="B608" s="308">
        <v>3816.0</v>
      </c>
      <c r="C608" s="308" t="s">
        <v>35214</v>
      </c>
      <c r="D608" s="308">
        <f>IFERROR(__xludf.DUMMYFUNCTION("SPLIT(C608,""-"")"),608.0)</f>
        <v>608</v>
      </c>
      <c r="E608" s="311"/>
      <c r="F608" s="309" t="s">
        <v>34</v>
      </c>
      <c r="G608" s="308"/>
      <c r="H608" s="308" t="s">
        <v>2583</v>
      </c>
      <c r="I608" s="310">
        <v>40023.0</v>
      </c>
      <c r="J608" s="308">
        <f>IFERROR(__xludf.DUMMYFUNCTION("SPLIT(I608,""/"")"),29.0)</f>
        <v>29</v>
      </c>
      <c r="K608" s="308">
        <f>IFERROR(__xludf.DUMMYFUNCTION("""COMPUTED_VALUE"""),7.0)</f>
        <v>7</v>
      </c>
      <c r="L608" s="308">
        <f>IFERROR(__xludf.DUMMYFUNCTION("""COMPUTED_VALUE"""),2009.0)</f>
        <v>2009</v>
      </c>
      <c r="M608" s="308" t="s">
        <v>2584</v>
      </c>
      <c r="N608" s="308"/>
      <c r="O608" s="312" t="s">
        <v>35215</v>
      </c>
      <c r="P608" s="308" t="s">
        <v>1971</v>
      </c>
      <c r="Q608" s="308"/>
      <c r="R608" s="308"/>
      <c r="S608" s="315" t="s">
        <v>100</v>
      </c>
      <c r="T608" s="311" t="s">
        <v>34208</v>
      </c>
      <c r="U608" s="308" t="s">
        <v>530</v>
      </c>
      <c r="V608" s="312"/>
    </row>
    <row r="609">
      <c r="A609" s="308">
        <v>608.0</v>
      </c>
      <c r="B609" s="308">
        <v>3817.0</v>
      </c>
      <c r="C609" s="308" t="s">
        <v>35216</v>
      </c>
      <c r="D609" s="308">
        <f>IFERROR(__xludf.DUMMYFUNCTION("SPLIT(C609,""-"")"),609.0)</f>
        <v>609</v>
      </c>
      <c r="E609" s="311"/>
      <c r="F609" s="309" t="s">
        <v>34</v>
      </c>
      <c r="G609" s="308"/>
      <c r="H609" s="308" t="s">
        <v>2586</v>
      </c>
      <c r="I609" s="310">
        <v>39970.0</v>
      </c>
      <c r="J609" s="308">
        <f>IFERROR(__xludf.DUMMYFUNCTION("SPLIT(I609,""/"")"),6.0)</f>
        <v>6</v>
      </c>
      <c r="K609" s="308">
        <f>IFERROR(__xludf.DUMMYFUNCTION("""COMPUTED_VALUE"""),6.0)</f>
        <v>6</v>
      </c>
      <c r="L609" s="308">
        <f>IFERROR(__xludf.DUMMYFUNCTION("""COMPUTED_VALUE"""),2009.0)</f>
        <v>2009</v>
      </c>
      <c r="M609" s="308" t="s">
        <v>2587</v>
      </c>
      <c r="N609" s="308"/>
      <c r="O609" s="312" t="s">
        <v>35217</v>
      </c>
      <c r="P609" s="308" t="s">
        <v>1872</v>
      </c>
      <c r="Q609" s="308"/>
      <c r="R609" s="308"/>
      <c r="S609" s="315" t="s">
        <v>100</v>
      </c>
      <c r="T609" s="311" t="s">
        <v>34208</v>
      </c>
      <c r="U609" s="308" t="s">
        <v>530</v>
      </c>
      <c r="V609" s="312"/>
    </row>
    <row r="610">
      <c r="A610" s="308">
        <v>609.0</v>
      </c>
      <c r="B610" s="308">
        <v>3818.0</v>
      </c>
      <c r="C610" s="308" t="s">
        <v>35218</v>
      </c>
      <c r="D610" s="308">
        <f>IFERROR(__xludf.DUMMYFUNCTION("SPLIT(C610,""-"")"),610.0)</f>
        <v>610</v>
      </c>
      <c r="E610" s="311"/>
      <c r="F610" s="309" t="s">
        <v>34</v>
      </c>
      <c r="G610" s="308"/>
      <c r="H610" s="308" t="s">
        <v>2589</v>
      </c>
      <c r="I610" s="310">
        <v>39995.0</v>
      </c>
      <c r="J610" s="308">
        <f>IFERROR(__xludf.DUMMYFUNCTION("SPLIT(I610,""/"")"),1.0)</f>
        <v>1</v>
      </c>
      <c r="K610" s="308">
        <f>IFERROR(__xludf.DUMMYFUNCTION("""COMPUTED_VALUE"""),7.0)</f>
        <v>7</v>
      </c>
      <c r="L610" s="308">
        <f>IFERROR(__xludf.DUMMYFUNCTION("""COMPUTED_VALUE"""),2009.0)</f>
        <v>2009</v>
      </c>
      <c r="M610" s="308" t="s">
        <v>2580</v>
      </c>
      <c r="N610" s="308"/>
      <c r="O610" s="312" t="s">
        <v>35219</v>
      </c>
      <c r="P610" s="308" t="s">
        <v>2591</v>
      </c>
      <c r="Q610" s="308"/>
      <c r="R610" s="308"/>
      <c r="S610" s="308" t="s">
        <v>81</v>
      </c>
      <c r="T610" s="308" t="s">
        <v>75</v>
      </c>
      <c r="U610" s="308"/>
      <c r="V610" s="312"/>
    </row>
    <row r="611">
      <c r="A611" s="308">
        <v>610.0</v>
      </c>
      <c r="B611" s="308">
        <v>3819.0</v>
      </c>
      <c r="C611" s="308" t="s">
        <v>35220</v>
      </c>
      <c r="D611" s="308">
        <f>IFERROR(__xludf.DUMMYFUNCTION("SPLIT(C611,""-"")"),611.0)</f>
        <v>611</v>
      </c>
      <c r="E611" s="311"/>
      <c r="F611" s="317" t="s">
        <v>37</v>
      </c>
      <c r="G611" s="308"/>
      <c r="H611" s="308" t="s">
        <v>2592</v>
      </c>
      <c r="I611" s="310">
        <v>40642.0</v>
      </c>
      <c r="J611" s="308">
        <f>IFERROR(__xludf.DUMMYFUNCTION("SPLIT(I611,""/"")"),9.0)</f>
        <v>9</v>
      </c>
      <c r="K611" s="308">
        <f>IFERROR(__xludf.DUMMYFUNCTION("""COMPUTED_VALUE"""),4.0)</f>
        <v>4</v>
      </c>
      <c r="L611" s="308">
        <f>IFERROR(__xludf.DUMMYFUNCTION("""COMPUTED_VALUE"""),2011.0)</f>
        <v>2011</v>
      </c>
      <c r="M611" s="308" t="s">
        <v>2593</v>
      </c>
      <c r="N611" s="308"/>
      <c r="O611" s="308" t="s">
        <v>35221</v>
      </c>
      <c r="P611" s="308" t="s">
        <v>2595</v>
      </c>
      <c r="Q611" s="308"/>
      <c r="R611" s="308"/>
      <c r="S611" s="308" t="s">
        <v>49</v>
      </c>
      <c r="T611" s="308" t="s">
        <v>51</v>
      </c>
      <c r="U611" s="308"/>
      <c r="V611" s="312"/>
    </row>
    <row r="612">
      <c r="A612" s="308">
        <v>611.0</v>
      </c>
      <c r="B612" s="308">
        <v>3820.0</v>
      </c>
      <c r="C612" s="308" t="s">
        <v>35222</v>
      </c>
      <c r="D612" s="308">
        <f>IFERROR(__xludf.DUMMYFUNCTION("SPLIT(C612,""-"")"),612.0)</f>
        <v>612</v>
      </c>
      <c r="E612" s="311"/>
      <c r="F612" s="309" t="s">
        <v>34</v>
      </c>
      <c r="G612" s="308"/>
      <c r="H612" s="308" t="s">
        <v>2596</v>
      </c>
      <c r="I612" s="310">
        <v>40346.0</v>
      </c>
      <c r="J612" s="308">
        <f>IFERROR(__xludf.DUMMYFUNCTION("SPLIT(I612,""/"")"),17.0)</f>
        <v>17</v>
      </c>
      <c r="K612" s="308">
        <f>IFERROR(__xludf.DUMMYFUNCTION("""COMPUTED_VALUE"""),6.0)</f>
        <v>6</v>
      </c>
      <c r="L612" s="308">
        <f>IFERROR(__xludf.DUMMYFUNCTION("""COMPUTED_VALUE"""),2010.0)</f>
        <v>2010</v>
      </c>
      <c r="M612" s="308" t="s">
        <v>2597</v>
      </c>
      <c r="N612" s="308"/>
      <c r="O612" s="308" t="s">
        <v>35223</v>
      </c>
      <c r="P612" s="308" t="s">
        <v>2599</v>
      </c>
      <c r="Q612" s="308"/>
      <c r="R612" s="308"/>
      <c r="S612" s="308" t="s">
        <v>81</v>
      </c>
      <c r="T612" s="311" t="s">
        <v>85</v>
      </c>
      <c r="U612" s="308"/>
      <c r="V612" s="312"/>
    </row>
    <row r="613">
      <c r="A613" s="308">
        <v>612.0</v>
      </c>
      <c r="B613" s="308">
        <v>3821.0</v>
      </c>
      <c r="C613" s="308" t="s">
        <v>35224</v>
      </c>
      <c r="D613" s="308">
        <f>IFERROR(__xludf.DUMMYFUNCTION("SPLIT(C613,""-"")"),613.0)</f>
        <v>613</v>
      </c>
      <c r="E613" s="311"/>
      <c r="F613" s="309" t="s">
        <v>34</v>
      </c>
      <c r="G613" s="308"/>
      <c r="H613" s="308" t="s">
        <v>2600</v>
      </c>
      <c r="I613" s="310">
        <v>40352.0</v>
      </c>
      <c r="J613" s="308">
        <f>IFERROR(__xludf.DUMMYFUNCTION("SPLIT(I613,""/"")"),23.0)</f>
        <v>23</v>
      </c>
      <c r="K613" s="308">
        <f>IFERROR(__xludf.DUMMYFUNCTION("""COMPUTED_VALUE"""),6.0)</f>
        <v>6</v>
      </c>
      <c r="L613" s="308">
        <f>IFERROR(__xludf.DUMMYFUNCTION("""COMPUTED_VALUE"""),2010.0)</f>
        <v>2010</v>
      </c>
      <c r="M613" s="308" t="s">
        <v>2601</v>
      </c>
      <c r="N613" s="308"/>
      <c r="O613" s="312" t="s">
        <v>35225</v>
      </c>
      <c r="P613" s="308" t="s">
        <v>2603</v>
      </c>
      <c r="Q613" s="308"/>
      <c r="R613" s="308"/>
      <c r="S613" s="308" t="s">
        <v>81</v>
      </c>
      <c r="T613" s="308" t="s">
        <v>34264</v>
      </c>
      <c r="U613" s="308"/>
      <c r="V613" s="312"/>
    </row>
    <row r="614">
      <c r="A614" s="308">
        <v>613.0</v>
      </c>
      <c r="B614" s="308">
        <v>3822.0</v>
      </c>
      <c r="C614" s="308" t="s">
        <v>35226</v>
      </c>
      <c r="D614" s="308">
        <f>IFERROR(__xludf.DUMMYFUNCTION("SPLIT(C614,""-"")"),614.0)</f>
        <v>614</v>
      </c>
      <c r="E614" s="311"/>
      <c r="F614" s="309" t="s">
        <v>34</v>
      </c>
      <c r="G614" s="308"/>
      <c r="H614" s="308" t="s">
        <v>2604</v>
      </c>
      <c r="I614" s="310">
        <v>40051.0</v>
      </c>
      <c r="J614" s="308">
        <f>IFERROR(__xludf.DUMMYFUNCTION("SPLIT(I614,""/"")"),26.0)</f>
        <v>26</v>
      </c>
      <c r="K614" s="308">
        <f>IFERROR(__xludf.DUMMYFUNCTION("""COMPUTED_VALUE"""),8.0)</f>
        <v>8</v>
      </c>
      <c r="L614" s="308">
        <f>IFERROR(__xludf.DUMMYFUNCTION("""COMPUTED_VALUE"""),2009.0)</f>
        <v>2009</v>
      </c>
      <c r="M614" s="308" t="s">
        <v>2605</v>
      </c>
      <c r="N614" s="308"/>
      <c r="O614" s="312" t="s">
        <v>35225</v>
      </c>
      <c r="P614" s="308" t="s">
        <v>1872</v>
      </c>
      <c r="Q614" s="308"/>
      <c r="R614" s="308"/>
      <c r="S614" s="315" t="s">
        <v>100</v>
      </c>
      <c r="T614" s="311" t="s">
        <v>34208</v>
      </c>
      <c r="U614" s="308" t="s">
        <v>530</v>
      </c>
      <c r="V614" s="312"/>
    </row>
    <row r="615">
      <c r="A615" s="308">
        <v>614.0</v>
      </c>
      <c r="B615" s="308">
        <v>3823.0</v>
      </c>
      <c r="C615" s="308" t="s">
        <v>35227</v>
      </c>
      <c r="D615" s="308">
        <f>IFERROR(__xludf.DUMMYFUNCTION("SPLIT(C615,""-"")"),615.0)</f>
        <v>615</v>
      </c>
      <c r="E615" s="311"/>
      <c r="F615" s="309" t="s">
        <v>34</v>
      </c>
      <c r="G615" s="308"/>
      <c r="H615" s="308" t="s">
        <v>2606</v>
      </c>
      <c r="I615" s="314">
        <v>40478.0</v>
      </c>
      <c r="J615" s="308">
        <f>IFERROR(__xludf.DUMMYFUNCTION("SPLIT(I615,""/"")"),27.0)</f>
        <v>27</v>
      </c>
      <c r="K615" s="308">
        <f>IFERROR(__xludf.DUMMYFUNCTION("""COMPUTED_VALUE"""),10.0)</f>
        <v>10</v>
      </c>
      <c r="L615" s="308">
        <f>IFERROR(__xludf.DUMMYFUNCTION("""COMPUTED_VALUE"""),2010.0)</f>
        <v>2010</v>
      </c>
      <c r="M615" s="308" t="s">
        <v>2607</v>
      </c>
      <c r="N615" s="308"/>
      <c r="O615" s="312" t="s">
        <v>35228</v>
      </c>
      <c r="P615" s="308" t="s">
        <v>1605</v>
      </c>
      <c r="Q615" s="308"/>
      <c r="R615" s="308"/>
      <c r="S615" s="315" t="s">
        <v>100</v>
      </c>
      <c r="T615" s="311" t="s">
        <v>34208</v>
      </c>
      <c r="U615" s="308" t="s">
        <v>125</v>
      </c>
      <c r="V615" s="312"/>
    </row>
    <row r="616">
      <c r="A616" s="308">
        <v>615.0</v>
      </c>
      <c r="B616" s="308">
        <v>3824.0</v>
      </c>
      <c r="C616" s="308" t="s">
        <v>35229</v>
      </c>
      <c r="D616" s="308">
        <f>IFERROR(__xludf.DUMMYFUNCTION("SPLIT(C616,""-"")"),616.0)</f>
        <v>616</v>
      </c>
      <c r="E616" s="311"/>
      <c r="F616" s="309" t="s">
        <v>34</v>
      </c>
      <c r="G616" s="308"/>
      <c r="H616" s="308" t="s">
        <v>2609</v>
      </c>
      <c r="I616" s="314">
        <v>40478.0</v>
      </c>
      <c r="J616" s="308">
        <f>IFERROR(__xludf.DUMMYFUNCTION("SPLIT(I616,""/"")"),27.0)</f>
        <v>27</v>
      </c>
      <c r="K616" s="308">
        <f>IFERROR(__xludf.DUMMYFUNCTION("""COMPUTED_VALUE"""),10.0)</f>
        <v>10</v>
      </c>
      <c r="L616" s="308">
        <f>IFERROR(__xludf.DUMMYFUNCTION("""COMPUTED_VALUE"""),2010.0)</f>
        <v>2010</v>
      </c>
      <c r="M616" s="308" t="s">
        <v>2607</v>
      </c>
      <c r="N616" s="308"/>
      <c r="O616" s="312" t="s">
        <v>35228</v>
      </c>
      <c r="P616" s="308" t="s">
        <v>1605</v>
      </c>
      <c r="Q616" s="308"/>
      <c r="R616" s="308"/>
      <c r="S616" s="315" t="s">
        <v>100</v>
      </c>
      <c r="T616" s="311" t="s">
        <v>34208</v>
      </c>
      <c r="U616" s="308" t="s">
        <v>125</v>
      </c>
      <c r="V616" s="312"/>
    </row>
    <row r="617">
      <c r="A617" s="308">
        <v>616.0</v>
      </c>
      <c r="B617" s="308">
        <v>3825.0</v>
      </c>
      <c r="C617" s="308" t="s">
        <v>35230</v>
      </c>
      <c r="D617" s="308">
        <f>IFERROR(__xludf.DUMMYFUNCTION("SPLIT(C617,""-"")"),617.0)</f>
        <v>617</v>
      </c>
      <c r="E617" s="311"/>
      <c r="F617" s="309" t="s">
        <v>34</v>
      </c>
      <c r="G617" s="308" t="s">
        <v>2610</v>
      </c>
      <c r="H617" s="308" t="s">
        <v>2611</v>
      </c>
      <c r="I617" s="310">
        <v>39995.0</v>
      </c>
      <c r="J617" s="308">
        <f>IFERROR(__xludf.DUMMYFUNCTION("SPLIT(I617,""/"")"),1.0)</f>
        <v>1</v>
      </c>
      <c r="K617" s="308">
        <f>IFERROR(__xludf.DUMMYFUNCTION("""COMPUTED_VALUE"""),7.0)</f>
        <v>7</v>
      </c>
      <c r="L617" s="308">
        <f>IFERROR(__xludf.DUMMYFUNCTION("""COMPUTED_VALUE"""),2009.0)</f>
        <v>2009</v>
      </c>
      <c r="M617" s="308" t="s">
        <v>2612</v>
      </c>
      <c r="N617" s="308"/>
      <c r="O617" s="312" t="s">
        <v>2613</v>
      </c>
      <c r="P617" s="308" t="s">
        <v>1392</v>
      </c>
      <c r="Q617" s="308"/>
      <c r="R617" s="308"/>
      <c r="S617" s="308" t="s">
        <v>49</v>
      </c>
      <c r="T617" s="315" t="s">
        <v>69</v>
      </c>
      <c r="U617" s="308" t="s">
        <v>2466</v>
      </c>
      <c r="V617" s="312"/>
    </row>
    <row r="618">
      <c r="A618" s="308">
        <v>617.0</v>
      </c>
      <c r="B618" s="308">
        <v>3826.0</v>
      </c>
      <c r="C618" s="308" t="s">
        <v>35231</v>
      </c>
      <c r="D618" s="308">
        <f>IFERROR(__xludf.DUMMYFUNCTION("SPLIT(C618,""-"")"),618.0)</f>
        <v>618</v>
      </c>
      <c r="E618" s="311"/>
      <c r="F618" s="309" t="s">
        <v>34</v>
      </c>
      <c r="G618" s="308"/>
      <c r="H618" s="308" t="s">
        <v>2614</v>
      </c>
      <c r="I618" s="310">
        <v>39995.0</v>
      </c>
      <c r="J618" s="308">
        <f>IFERROR(__xludf.DUMMYFUNCTION("SPLIT(I618,""/"")"),1.0)</f>
        <v>1</v>
      </c>
      <c r="K618" s="308">
        <f>IFERROR(__xludf.DUMMYFUNCTION("""COMPUTED_VALUE"""),7.0)</f>
        <v>7</v>
      </c>
      <c r="L618" s="308">
        <f>IFERROR(__xludf.DUMMYFUNCTION("""COMPUTED_VALUE"""),2009.0)</f>
        <v>2009</v>
      </c>
      <c r="M618" s="308" t="s">
        <v>2615</v>
      </c>
      <c r="N618" s="308"/>
      <c r="O618" s="312" t="s">
        <v>35232</v>
      </c>
      <c r="P618" s="308" t="s">
        <v>1872</v>
      </c>
      <c r="Q618" s="308"/>
      <c r="R618" s="308"/>
      <c r="S618" s="315" t="s">
        <v>100</v>
      </c>
      <c r="T618" s="311" t="s">
        <v>34208</v>
      </c>
      <c r="U618" s="308" t="s">
        <v>530</v>
      </c>
      <c r="V618" s="312"/>
    </row>
    <row r="619">
      <c r="A619" s="308">
        <v>618.0</v>
      </c>
      <c r="B619" s="308">
        <v>3827.0</v>
      </c>
      <c r="C619" s="308" t="s">
        <v>35233</v>
      </c>
      <c r="D619" s="308">
        <f>IFERROR(__xludf.DUMMYFUNCTION("SPLIT(C619,""-"")"),619.0)</f>
        <v>619</v>
      </c>
      <c r="E619" s="311"/>
      <c r="F619" s="309" t="s">
        <v>34</v>
      </c>
      <c r="G619" s="308"/>
      <c r="H619" s="308" t="s">
        <v>2617</v>
      </c>
      <c r="I619" s="310">
        <v>39958.0</v>
      </c>
      <c r="J619" s="308">
        <f>IFERROR(__xludf.DUMMYFUNCTION("SPLIT(I619,""/"")"),25.0)</f>
        <v>25</v>
      </c>
      <c r="K619" s="308">
        <f>IFERROR(__xludf.DUMMYFUNCTION("""COMPUTED_VALUE"""),5.0)</f>
        <v>5</v>
      </c>
      <c r="L619" s="308">
        <f>IFERROR(__xludf.DUMMYFUNCTION("""COMPUTED_VALUE"""),2009.0)</f>
        <v>2009</v>
      </c>
      <c r="M619" s="308" t="s">
        <v>2618</v>
      </c>
      <c r="N619" s="308"/>
      <c r="O619" s="312" t="s">
        <v>35234</v>
      </c>
      <c r="P619" s="308" t="s">
        <v>2620</v>
      </c>
      <c r="Q619" s="308"/>
      <c r="R619" s="308"/>
      <c r="S619" s="308" t="s">
        <v>49</v>
      </c>
      <c r="T619" s="311" t="s">
        <v>53</v>
      </c>
      <c r="U619" s="308"/>
      <c r="V619" s="312"/>
    </row>
    <row r="620">
      <c r="A620" s="308">
        <v>619.0</v>
      </c>
      <c r="B620" s="308">
        <v>3828.0</v>
      </c>
      <c r="C620" s="308" t="s">
        <v>35235</v>
      </c>
      <c r="D620" s="308">
        <f>IFERROR(__xludf.DUMMYFUNCTION("SPLIT(C620,""-"")"),620.0)</f>
        <v>620</v>
      </c>
      <c r="E620" s="311"/>
      <c r="F620" s="309" t="s">
        <v>34</v>
      </c>
      <c r="G620" s="308"/>
      <c r="H620" s="308" t="s">
        <v>2621</v>
      </c>
      <c r="I620" s="310">
        <v>39958.0</v>
      </c>
      <c r="J620" s="308">
        <f>IFERROR(__xludf.DUMMYFUNCTION("SPLIT(I620,""/"")"),25.0)</f>
        <v>25</v>
      </c>
      <c r="K620" s="308">
        <f>IFERROR(__xludf.DUMMYFUNCTION("""COMPUTED_VALUE"""),5.0)</f>
        <v>5</v>
      </c>
      <c r="L620" s="308">
        <f>IFERROR(__xludf.DUMMYFUNCTION("""COMPUTED_VALUE"""),2009.0)</f>
        <v>2009</v>
      </c>
      <c r="M620" s="308" t="s">
        <v>2618</v>
      </c>
      <c r="N620" s="308"/>
      <c r="O620" s="312" t="s">
        <v>635</v>
      </c>
      <c r="P620" s="308" t="s">
        <v>2622</v>
      </c>
      <c r="Q620" s="308"/>
      <c r="R620" s="308"/>
      <c r="S620" s="308" t="s">
        <v>81</v>
      </c>
      <c r="T620" s="308" t="s">
        <v>73</v>
      </c>
      <c r="U620" s="308"/>
      <c r="V620" s="312"/>
    </row>
    <row r="621">
      <c r="A621" s="308">
        <v>620.0</v>
      </c>
      <c r="B621" s="308">
        <v>3829.0</v>
      </c>
      <c r="C621" s="308" t="s">
        <v>2623</v>
      </c>
      <c r="D621" s="308">
        <f>IFERROR(__xludf.DUMMYFUNCTION("SPLIT(C621,""-"")"),621.0)</f>
        <v>621</v>
      </c>
      <c r="E621" s="308" t="str">
        <f>IFERROR(__xludf.DUMMYFUNCTION("""COMPUTED_VALUE"""),"K")</f>
        <v>K</v>
      </c>
      <c r="F621" s="309" t="s">
        <v>34</v>
      </c>
      <c r="G621" s="308"/>
      <c r="H621" s="308" t="s">
        <v>35236</v>
      </c>
      <c r="I621" s="310">
        <v>39977.0</v>
      </c>
      <c r="J621" s="308">
        <f>IFERROR(__xludf.DUMMYFUNCTION("SPLIT(I621,""/"")"),13.0)</f>
        <v>13</v>
      </c>
      <c r="K621" s="308">
        <f>IFERROR(__xludf.DUMMYFUNCTION("""COMPUTED_VALUE"""),6.0)</f>
        <v>6</v>
      </c>
      <c r="L621" s="308">
        <f>IFERROR(__xludf.DUMMYFUNCTION("""COMPUTED_VALUE"""),2009.0)</f>
        <v>2009</v>
      </c>
      <c r="M621" s="308" t="s">
        <v>2625</v>
      </c>
      <c r="N621" s="308" t="s">
        <v>439</v>
      </c>
      <c r="O621" s="312" t="s">
        <v>35237</v>
      </c>
      <c r="P621" s="308" t="s">
        <v>1971</v>
      </c>
      <c r="Q621" s="308"/>
      <c r="R621" s="308"/>
      <c r="S621" s="315" t="s">
        <v>100</v>
      </c>
      <c r="T621" s="311" t="s">
        <v>34208</v>
      </c>
      <c r="U621" s="308" t="s">
        <v>530</v>
      </c>
      <c r="V621" s="312"/>
    </row>
    <row r="622">
      <c r="A622" s="308">
        <v>621.0</v>
      </c>
      <c r="B622" s="308">
        <v>3830.0</v>
      </c>
      <c r="C622" s="308" t="s">
        <v>2627</v>
      </c>
      <c r="D622" s="308">
        <f>IFERROR(__xludf.DUMMYFUNCTION("SPLIT(C622,""-"")"),622.0)</f>
        <v>622</v>
      </c>
      <c r="E622" s="308" t="str">
        <f>IFERROR(__xludf.DUMMYFUNCTION("""COMPUTED_VALUE"""),"K")</f>
        <v>K</v>
      </c>
      <c r="F622" s="309" t="s">
        <v>34</v>
      </c>
      <c r="G622" s="308"/>
      <c r="H622" s="308" t="s">
        <v>2628</v>
      </c>
      <c r="I622" s="310">
        <v>39977.0</v>
      </c>
      <c r="J622" s="308">
        <f>IFERROR(__xludf.DUMMYFUNCTION("SPLIT(I622,""/"")"),13.0)</f>
        <v>13</v>
      </c>
      <c r="K622" s="308">
        <f>IFERROR(__xludf.DUMMYFUNCTION("""COMPUTED_VALUE"""),6.0)</f>
        <v>6</v>
      </c>
      <c r="L622" s="308">
        <f>IFERROR(__xludf.DUMMYFUNCTION("""COMPUTED_VALUE"""),2009.0)</f>
        <v>2009</v>
      </c>
      <c r="M622" s="308" t="s">
        <v>2629</v>
      </c>
      <c r="N622" s="308" t="s">
        <v>2630</v>
      </c>
      <c r="O622" s="312" t="s">
        <v>35237</v>
      </c>
      <c r="P622" s="308" t="s">
        <v>1971</v>
      </c>
      <c r="Q622" s="308"/>
      <c r="R622" s="308"/>
      <c r="S622" s="315" t="s">
        <v>100</v>
      </c>
      <c r="T622" s="311" t="s">
        <v>34208</v>
      </c>
      <c r="U622" s="308" t="s">
        <v>530</v>
      </c>
      <c r="V622" s="312"/>
    </row>
    <row r="623">
      <c r="A623" s="308">
        <v>622.0</v>
      </c>
      <c r="B623" s="308">
        <v>3831.0</v>
      </c>
      <c r="C623" s="308" t="s">
        <v>35238</v>
      </c>
      <c r="D623" s="308">
        <f>IFERROR(__xludf.DUMMYFUNCTION("SPLIT(C623,""-"")"),623.0)</f>
        <v>623</v>
      </c>
      <c r="E623" s="311"/>
      <c r="F623" s="309" t="s">
        <v>23</v>
      </c>
      <c r="G623" s="308"/>
      <c r="H623" s="308" t="s">
        <v>2631</v>
      </c>
      <c r="I623" s="310">
        <v>39969.0</v>
      </c>
      <c r="J623" s="308">
        <f>IFERROR(__xludf.DUMMYFUNCTION("SPLIT(I623,""/"")"),5.0)</f>
        <v>5</v>
      </c>
      <c r="K623" s="308">
        <f>IFERROR(__xludf.DUMMYFUNCTION("""COMPUTED_VALUE"""),6.0)</f>
        <v>6</v>
      </c>
      <c r="L623" s="308">
        <f>IFERROR(__xludf.DUMMYFUNCTION("""COMPUTED_VALUE"""),2009.0)</f>
        <v>2009</v>
      </c>
      <c r="M623" s="308" t="s">
        <v>2632</v>
      </c>
      <c r="N623" s="308"/>
      <c r="O623" s="312" t="s">
        <v>2633</v>
      </c>
      <c r="P623" s="308" t="s">
        <v>622</v>
      </c>
      <c r="Q623" s="308"/>
      <c r="R623" s="308"/>
      <c r="S623" s="308" t="s">
        <v>49</v>
      </c>
      <c r="T623" s="308" t="s">
        <v>34409</v>
      </c>
      <c r="U623" s="308"/>
      <c r="V623" s="312"/>
    </row>
    <row r="624">
      <c r="A624" s="308">
        <v>623.0</v>
      </c>
      <c r="B624" s="308">
        <v>3832.0</v>
      </c>
      <c r="C624" s="308" t="s">
        <v>35239</v>
      </c>
      <c r="D624" s="308">
        <f>IFERROR(__xludf.DUMMYFUNCTION("SPLIT(C624,""-"")"),624.0)</f>
        <v>624</v>
      </c>
      <c r="E624" s="311"/>
      <c r="F624" s="309" t="s">
        <v>31</v>
      </c>
      <c r="G624" s="308"/>
      <c r="H624" s="308" t="s">
        <v>2634</v>
      </c>
      <c r="I624" s="310">
        <v>40967.0</v>
      </c>
      <c r="J624" s="308">
        <f>IFERROR(__xludf.DUMMYFUNCTION("SPLIT(I624,""/"")"),28.0)</f>
        <v>28</v>
      </c>
      <c r="K624" s="308">
        <f>IFERROR(__xludf.DUMMYFUNCTION("""COMPUTED_VALUE"""),2.0)</f>
        <v>2</v>
      </c>
      <c r="L624" s="308">
        <f>IFERROR(__xludf.DUMMYFUNCTION("""COMPUTED_VALUE"""),2012.0)</f>
        <v>2012</v>
      </c>
      <c r="M624" s="308" t="s">
        <v>2635</v>
      </c>
      <c r="N624" s="308"/>
      <c r="O624" s="312" t="s">
        <v>635</v>
      </c>
      <c r="P624" s="308" t="s">
        <v>2636</v>
      </c>
      <c r="Q624" s="308"/>
      <c r="R624" s="308"/>
      <c r="S624" s="308" t="s">
        <v>81</v>
      </c>
      <c r="T624" s="308" t="s">
        <v>75</v>
      </c>
      <c r="U624" s="308"/>
      <c r="V624" s="312"/>
    </row>
    <row r="625">
      <c r="A625" s="308">
        <v>624.0</v>
      </c>
      <c r="B625" s="308">
        <v>3833.0</v>
      </c>
      <c r="C625" s="308" t="s">
        <v>35240</v>
      </c>
      <c r="D625" s="308">
        <f>IFERROR(__xludf.DUMMYFUNCTION("SPLIT(C625,""-"")"),625.0)</f>
        <v>625</v>
      </c>
      <c r="E625" s="311"/>
      <c r="F625" s="309" t="s">
        <v>31</v>
      </c>
      <c r="G625" s="308"/>
      <c r="H625" s="308" t="s">
        <v>2637</v>
      </c>
      <c r="I625" s="310">
        <v>39266.0</v>
      </c>
      <c r="J625" s="308">
        <f>IFERROR(__xludf.DUMMYFUNCTION("SPLIT(I625,""/"")"),3.0)</f>
        <v>3</v>
      </c>
      <c r="K625" s="308">
        <f>IFERROR(__xludf.DUMMYFUNCTION("""COMPUTED_VALUE"""),7.0)</f>
        <v>7</v>
      </c>
      <c r="L625" s="308">
        <f>IFERROR(__xludf.DUMMYFUNCTION("""COMPUTED_VALUE"""),2007.0)</f>
        <v>2007</v>
      </c>
      <c r="M625" s="308" t="s">
        <v>2638</v>
      </c>
      <c r="N625" s="308"/>
      <c r="O625" s="312" t="s">
        <v>35241</v>
      </c>
      <c r="P625" s="308" t="s">
        <v>2640</v>
      </c>
      <c r="Q625" s="308"/>
      <c r="R625" s="308"/>
      <c r="S625" s="308" t="s">
        <v>49</v>
      </c>
      <c r="T625" s="308" t="s">
        <v>51</v>
      </c>
      <c r="U625" s="308"/>
      <c r="V625" s="312"/>
    </row>
    <row r="626">
      <c r="A626" s="308">
        <v>625.0</v>
      </c>
      <c r="B626" s="308">
        <v>3834.0</v>
      </c>
      <c r="C626" s="308" t="s">
        <v>35242</v>
      </c>
      <c r="D626" s="308">
        <f>IFERROR(__xludf.DUMMYFUNCTION("SPLIT(C626,""-"")"),626.0)</f>
        <v>626</v>
      </c>
      <c r="E626" s="311"/>
      <c r="F626" s="309" t="s">
        <v>31</v>
      </c>
      <c r="G626" s="308"/>
      <c r="H626" s="308" t="s">
        <v>2641</v>
      </c>
      <c r="I626" s="310">
        <v>39949.0</v>
      </c>
      <c r="J626" s="308">
        <f>IFERROR(__xludf.DUMMYFUNCTION("SPLIT(I626,""/"")"),16.0)</f>
        <v>16</v>
      </c>
      <c r="K626" s="308">
        <f>IFERROR(__xludf.DUMMYFUNCTION("""COMPUTED_VALUE"""),5.0)</f>
        <v>5</v>
      </c>
      <c r="L626" s="308">
        <f>IFERROR(__xludf.DUMMYFUNCTION("""COMPUTED_VALUE"""),2009.0)</f>
        <v>2009</v>
      </c>
      <c r="M626" s="308" t="s">
        <v>2642</v>
      </c>
      <c r="N626" s="308"/>
      <c r="O626" s="312" t="s">
        <v>35243</v>
      </c>
      <c r="P626" s="308" t="s">
        <v>2644</v>
      </c>
      <c r="Q626" s="308"/>
      <c r="R626" s="308"/>
      <c r="S626" s="308" t="s">
        <v>81</v>
      </c>
      <c r="T626" s="308" t="s">
        <v>98</v>
      </c>
      <c r="U626" s="308"/>
      <c r="V626" s="312"/>
    </row>
    <row r="627">
      <c r="A627" s="308">
        <v>626.0</v>
      </c>
      <c r="B627" s="308">
        <v>3835.0</v>
      </c>
      <c r="C627" s="308" t="s">
        <v>35244</v>
      </c>
      <c r="D627" s="308">
        <f>IFERROR(__xludf.DUMMYFUNCTION("SPLIT(C627,""-"")"),627.0)</f>
        <v>627</v>
      </c>
      <c r="E627" s="311"/>
      <c r="F627" s="309" t="s">
        <v>34</v>
      </c>
      <c r="G627" s="308" t="s">
        <v>2645</v>
      </c>
      <c r="H627" s="308" t="s">
        <v>2646</v>
      </c>
      <c r="I627" s="310">
        <v>40047.0</v>
      </c>
      <c r="J627" s="308">
        <f>IFERROR(__xludf.DUMMYFUNCTION("SPLIT(I627,""/"")"),22.0)</f>
        <v>22</v>
      </c>
      <c r="K627" s="308">
        <f>IFERROR(__xludf.DUMMYFUNCTION("""COMPUTED_VALUE"""),8.0)</f>
        <v>8</v>
      </c>
      <c r="L627" s="308">
        <f>IFERROR(__xludf.DUMMYFUNCTION("""COMPUTED_VALUE"""),2009.0)</f>
        <v>2009</v>
      </c>
      <c r="M627" s="308" t="s">
        <v>2647</v>
      </c>
      <c r="N627" s="308"/>
      <c r="O627" s="312" t="s">
        <v>2648</v>
      </c>
      <c r="P627" s="308" t="s">
        <v>2649</v>
      </c>
      <c r="Q627" s="308"/>
      <c r="R627" s="308"/>
      <c r="S627" s="308" t="s">
        <v>49</v>
      </c>
      <c r="T627" s="308" t="s">
        <v>51</v>
      </c>
      <c r="U627" s="308"/>
      <c r="V627" s="312"/>
    </row>
    <row r="628">
      <c r="A628" s="308">
        <v>627.0</v>
      </c>
      <c r="B628" s="308">
        <v>3836.0</v>
      </c>
      <c r="C628" s="308" t="s">
        <v>35245</v>
      </c>
      <c r="D628" s="308">
        <f>IFERROR(__xludf.DUMMYFUNCTION("SPLIT(C628,""-"")"),628.0)</f>
        <v>628</v>
      </c>
      <c r="E628" s="311"/>
      <c r="F628" s="317" t="s">
        <v>39</v>
      </c>
      <c r="G628" s="308"/>
      <c r="H628" s="308" t="s">
        <v>2650</v>
      </c>
      <c r="I628" s="310">
        <v>40810.0</v>
      </c>
      <c r="J628" s="308">
        <f>IFERROR(__xludf.DUMMYFUNCTION("SPLIT(I628,""/"")"),24.0)</f>
        <v>24</v>
      </c>
      <c r="K628" s="308">
        <f>IFERROR(__xludf.DUMMYFUNCTION("""COMPUTED_VALUE"""),9.0)</f>
        <v>9</v>
      </c>
      <c r="L628" s="308">
        <f>IFERROR(__xludf.DUMMYFUNCTION("""COMPUTED_VALUE"""),2011.0)</f>
        <v>2011</v>
      </c>
      <c r="M628" s="308" t="s">
        <v>35246</v>
      </c>
      <c r="N628" s="308"/>
      <c r="O628" s="312" t="s">
        <v>35247</v>
      </c>
      <c r="P628" s="308" t="s">
        <v>35248</v>
      </c>
      <c r="Q628" s="308"/>
      <c r="R628" s="308"/>
      <c r="S628" s="308" t="s">
        <v>49</v>
      </c>
      <c r="T628" s="308" t="s">
        <v>70</v>
      </c>
      <c r="U628" s="308"/>
      <c r="V628" s="312"/>
    </row>
    <row r="629">
      <c r="A629" s="308">
        <v>628.0</v>
      </c>
      <c r="B629" s="308">
        <v>3837.0</v>
      </c>
      <c r="C629" s="308" t="s">
        <v>35249</v>
      </c>
      <c r="D629" s="308">
        <f>IFERROR(__xludf.DUMMYFUNCTION("SPLIT(C629,""-"")"),629.0)</f>
        <v>629</v>
      </c>
      <c r="E629" s="311"/>
      <c r="F629" s="309" t="s">
        <v>26</v>
      </c>
      <c r="G629" s="308"/>
      <c r="H629" s="308" t="s">
        <v>2654</v>
      </c>
      <c r="I629" s="310">
        <v>40679.0</v>
      </c>
      <c r="J629" s="308">
        <f>IFERROR(__xludf.DUMMYFUNCTION("SPLIT(I629,""/"")"),16.0)</f>
        <v>16</v>
      </c>
      <c r="K629" s="308">
        <f>IFERROR(__xludf.DUMMYFUNCTION("""COMPUTED_VALUE"""),5.0)</f>
        <v>5</v>
      </c>
      <c r="L629" s="308">
        <f>IFERROR(__xludf.DUMMYFUNCTION("""COMPUTED_VALUE"""),2011.0)</f>
        <v>2011</v>
      </c>
      <c r="M629" s="308" t="s">
        <v>2655</v>
      </c>
      <c r="N629" s="308"/>
      <c r="O629" s="312" t="s">
        <v>35250</v>
      </c>
      <c r="P629" s="308" t="s">
        <v>1490</v>
      </c>
      <c r="Q629" s="308"/>
      <c r="R629" s="308"/>
      <c r="S629" s="315" t="s">
        <v>100</v>
      </c>
      <c r="T629" s="311" t="s">
        <v>34208</v>
      </c>
      <c r="U629" s="308" t="s">
        <v>27</v>
      </c>
      <c r="V629" s="312"/>
    </row>
    <row r="630">
      <c r="A630" s="308">
        <v>629.0</v>
      </c>
      <c r="B630" s="308">
        <v>3838.0</v>
      </c>
      <c r="C630" s="308" t="s">
        <v>35251</v>
      </c>
      <c r="D630" s="308">
        <f>IFERROR(__xludf.DUMMYFUNCTION("SPLIT(C630,""-"")"),630.0)</f>
        <v>630</v>
      </c>
      <c r="E630" s="311"/>
      <c r="F630" s="309" t="s">
        <v>26</v>
      </c>
      <c r="G630" s="308"/>
      <c r="H630" s="308" t="s">
        <v>2657</v>
      </c>
      <c r="I630" s="310">
        <v>39891.0</v>
      </c>
      <c r="J630" s="308">
        <f>IFERROR(__xludf.DUMMYFUNCTION("SPLIT(I630,""/"")"),19.0)</f>
        <v>19</v>
      </c>
      <c r="K630" s="308">
        <f>IFERROR(__xludf.DUMMYFUNCTION("""COMPUTED_VALUE"""),3.0)</f>
        <v>3</v>
      </c>
      <c r="L630" s="308">
        <f>IFERROR(__xludf.DUMMYFUNCTION("""COMPUTED_VALUE"""),2009.0)</f>
        <v>2009</v>
      </c>
      <c r="M630" s="308" t="s">
        <v>2658</v>
      </c>
      <c r="N630" s="308"/>
      <c r="O630" s="312" t="s">
        <v>35252</v>
      </c>
      <c r="P630" s="308" t="s">
        <v>2660</v>
      </c>
      <c r="Q630" s="308"/>
      <c r="R630" s="308"/>
      <c r="S630" s="308" t="s">
        <v>49</v>
      </c>
      <c r="T630" s="308" t="s">
        <v>51</v>
      </c>
      <c r="U630" s="308"/>
      <c r="V630" s="312"/>
    </row>
    <row r="631">
      <c r="A631" s="308">
        <v>630.0</v>
      </c>
      <c r="B631" s="308">
        <v>3839.0</v>
      </c>
      <c r="C631" s="308" t="s">
        <v>35253</v>
      </c>
      <c r="D631" s="308">
        <f>IFERROR(__xludf.DUMMYFUNCTION("SPLIT(C631,""-"")"),631.0)</f>
        <v>631</v>
      </c>
      <c r="E631" s="311"/>
      <c r="F631" s="309" t="s">
        <v>26</v>
      </c>
      <c r="G631" s="308"/>
      <c r="H631" s="308" t="s">
        <v>2661</v>
      </c>
      <c r="I631" s="310">
        <v>38173.0</v>
      </c>
      <c r="J631" s="308">
        <f>IFERROR(__xludf.DUMMYFUNCTION("SPLIT(I631,""/"")"),5.0)</f>
        <v>5</v>
      </c>
      <c r="K631" s="308">
        <f>IFERROR(__xludf.DUMMYFUNCTION("""COMPUTED_VALUE"""),7.0)</f>
        <v>7</v>
      </c>
      <c r="L631" s="308">
        <f>IFERROR(__xludf.DUMMYFUNCTION("""COMPUTED_VALUE"""),2004.0)</f>
        <v>2004</v>
      </c>
      <c r="M631" s="308" t="s">
        <v>2662</v>
      </c>
      <c r="N631" s="308"/>
      <c r="O631" s="312" t="s">
        <v>635</v>
      </c>
      <c r="P631" s="308" t="s">
        <v>2355</v>
      </c>
      <c r="Q631" s="308"/>
      <c r="R631" s="308"/>
      <c r="S631" s="311" t="s">
        <v>49</v>
      </c>
      <c r="T631" s="309" t="s">
        <v>77</v>
      </c>
      <c r="U631" s="312"/>
      <c r="V631" s="312"/>
    </row>
    <row r="632">
      <c r="A632" s="308">
        <v>631.0</v>
      </c>
      <c r="B632" s="308">
        <v>3840.0</v>
      </c>
      <c r="C632" s="308" t="s">
        <v>35254</v>
      </c>
      <c r="D632" s="308">
        <f>IFERROR(__xludf.DUMMYFUNCTION("SPLIT(C632,""-"")"),632.0)</f>
        <v>632</v>
      </c>
      <c r="E632" s="311"/>
      <c r="F632" s="317" t="s">
        <v>37</v>
      </c>
      <c r="G632" s="308" t="s">
        <v>2663</v>
      </c>
      <c r="H632" s="308" t="s">
        <v>2664</v>
      </c>
      <c r="I632" s="310">
        <v>40655.0</v>
      </c>
      <c r="J632" s="308">
        <f>IFERROR(__xludf.DUMMYFUNCTION("SPLIT(I632,""/"")"),22.0)</f>
        <v>22</v>
      </c>
      <c r="K632" s="308">
        <f>IFERROR(__xludf.DUMMYFUNCTION("""COMPUTED_VALUE"""),4.0)</f>
        <v>4</v>
      </c>
      <c r="L632" s="308">
        <f>IFERROR(__xludf.DUMMYFUNCTION("""COMPUTED_VALUE"""),2011.0)</f>
        <v>2011</v>
      </c>
      <c r="M632" s="308" t="s">
        <v>2665</v>
      </c>
      <c r="N632" s="308"/>
      <c r="O632" s="312" t="s">
        <v>35255</v>
      </c>
      <c r="P632" s="308" t="s">
        <v>2667</v>
      </c>
      <c r="Q632" s="308"/>
      <c r="R632" s="308"/>
      <c r="S632" s="308" t="s">
        <v>81</v>
      </c>
      <c r="T632" s="308" t="s">
        <v>75</v>
      </c>
      <c r="U632" s="308"/>
      <c r="V632" s="312"/>
    </row>
    <row r="633">
      <c r="A633" s="308">
        <v>632.0</v>
      </c>
      <c r="B633" s="308">
        <v>3841.0</v>
      </c>
      <c r="C633" s="308" t="s">
        <v>35256</v>
      </c>
      <c r="D633" s="308">
        <f>IFERROR(__xludf.DUMMYFUNCTION("SPLIT(C633,""-"")"),633.0)</f>
        <v>633</v>
      </c>
      <c r="E633" s="311"/>
      <c r="F633" s="317" t="s">
        <v>37</v>
      </c>
      <c r="G633" s="308"/>
      <c r="H633" s="308" t="s">
        <v>2668</v>
      </c>
      <c r="I633" s="310">
        <v>40656.0</v>
      </c>
      <c r="J633" s="308">
        <f>IFERROR(__xludf.DUMMYFUNCTION("SPLIT(I633,""/"")"),23.0)</f>
        <v>23</v>
      </c>
      <c r="K633" s="308">
        <f>IFERROR(__xludf.DUMMYFUNCTION("""COMPUTED_VALUE"""),4.0)</f>
        <v>4</v>
      </c>
      <c r="L633" s="308">
        <f>IFERROR(__xludf.DUMMYFUNCTION("""COMPUTED_VALUE"""),2011.0)</f>
        <v>2011</v>
      </c>
      <c r="M633" s="308" t="s">
        <v>2669</v>
      </c>
      <c r="N633" s="308"/>
      <c r="O633" s="312" t="s">
        <v>35257</v>
      </c>
      <c r="P633" s="308" t="s">
        <v>2671</v>
      </c>
      <c r="Q633" s="308"/>
      <c r="R633" s="308"/>
      <c r="S633" s="308" t="s">
        <v>81</v>
      </c>
      <c r="T633" s="311" t="s">
        <v>75</v>
      </c>
      <c r="U633" s="308"/>
      <c r="V633" s="312"/>
    </row>
    <row r="634">
      <c r="A634" s="308">
        <v>633.0</v>
      </c>
      <c r="B634" s="308">
        <v>3842.0</v>
      </c>
      <c r="C634" s="308" t="s">
        <v>35258</v>
      </c>
      <c r="D634" s="308">
        <f>IFERROR(__xludf.DUMMYFUNCTION("SPLIT(C634,""-"")"),634.0)</f>
        <v>634</v>
      </c>
      <c r="E634" s="311"/>
      <c r="F634" s="317" t="s">
        <v>37</v>
      </c>
      <c r="G634" s="308"/>
      <c r="H634" s="308" t="s">
        <v>2672</v>
      </c>
      <c r="I634" s="310">
        <v>40661.0</v>
      </c>
      <c r="J634" s="308">
        <f>IFERROR(__xludf.DUMMYFUNCTION("SPLIT(I634,""/"")"),28.0)</f>
        <v>28</v>
      </c>
      <c r="K634" s="308">
        <f>IFERROR(__xludf.DUMMYFUNCTION("""COMPUTED_VALUE"""),4.0)</f>
        <v>4</v>
      </c>
      <c r="L634" s="308">
        <f>IFERROR(__xludf.DUMMYFUNCTION("""COMPUTED_VALUE"""),2011.0)</f>
        <v>2011</v>
      </c>
      <c r="M634" s="308" t="s">
        <v>2673</v>
      </c>
      <c r="N634" s="308"/>
      <c r="O634" s="312" t="s">
        <v>35259</v>
      </c>
      <c r="P634" s="308" t="s">
        <v>2675</v>
      </c>
      <c r="Q634" s="308"/>
      <c r="R634" s="308"/>
      <c r="S634" s="308" t="s">
        <v>49</v>
      </c>
      <c r="T634" s="308" t="s">
        <v>51</v>
      </c>
      <c r="U634" s="308"/>
      <c r="V634" s="312"/>
    </row>
    <row r="635">
      <c r="A635" s="308">
        <v>634.0</v>
      </c>
      <c r="B635" s="308">
        <v>3843.0</v>
      </c>
      <c r="C635" s="308" t="s">
        <v>35260</v>
      </c>
      <c r="D635" s="308">
        <f>IFERROR(__xludf.DUMMYFUNCTION("SPLIT(C635,""-"")"),635.0)</f>
        <v>635</v>
      </c>
      <c r="E635" s="311"/>
      <c r="F635" s="317" t="s">
        <v>37</v>
      </c>
      <c r="G635" s="308"/>
      <c r="H635" s="308" t="s">
        <v>35261</v>
      </c>
      <c r="I635" s="310">
        <v>40656.0</v>
      </c>
      <c r="J635" s="308">
        <f>IFERROR(__xludf.DUMMYFUNCTION("SPLIT(I635,""/"")"),23.0)</f>
        <v>23</v>
      </c>
      <c r="K635" s="308">
        <f>IFERROR(__xludf.DUMMYFUNCTION("""COMPUTED_VALUE"""),4.0)</f>
        <v>4</v>
      </c>
      <c r="L635" s="308">
        <f>IFERROR(__xludf.DUMMYFUNCTION("""COMPUTED_VALUE"""),2011.0)</f>
        <v>2011</v>
      </c>
      <c r="M635" s="308" t="s">
        <v>2673</v>
      </c>
      <c r="N635" s="308"/>
      <c r="O635" s="312" t="s">
        <v>35262</v>
      </c>
      <c r="P635" s="312" t="s">
        <v>2678</v>
      </c>
      <c r="Q635" s="308"/>
      <c r="R635" s="308"/>
      <c r="S635" s="308" t="s">
        <v>81</v>
      </c>
      <c r="T635" s="311" t="s">
        <v>51</v>
      </c>
      <c r="U635" s="308" t="s">
        <v>1664</v>
      </c>
      <c r="V635" s="312"/>
    </row>
    <row r="636">
      <c r="A636" s="308">
        <v>635.0</v>
      </c>
      <c r="B636" s="308">
        <v>3844.0</v>
      </c>
      <c r="C636" s="308" t="s">
        <v>35263</v>
      </c>
      <c r="D636" s="308">
        <f>IFERROR(__xludf.DUMMYFUNCTION("SPLIT(C636,""-"")"),636.0)</f>
        <v>636</v>
      </c>
      <c r="E636" s="311"/>
      <c r="F636" s="317" t="s">
        <v>37</v>
      </c>
      <c r="G636" s="308"/>
      <c r="H636" s="308" t="s">
        <v>2679</v>
      </c>
      <c r="I636" s="310">
        <v>39152.0</v>
      </c>
      <c r="J636" s="308">
        <f>IFERROR(__xludf.DUMMYFUNCTION("SPLIT(I636,""/"")"),11.0)</f>
        <v>11</v>
      </c>
      <c r="K636" s="308">
        <f>IFERROR(__xludf.DUMMYFUNCTION("""COMPUTED_VALUE"""),3.0)</f>
        <v>3</v>
      </c>
      <c r="L636" s="308">
        <f>IFERROR(__xludf.DUMMYFUNCTION("""COMPUTED_VALUE"""),2007.0)</f>
        <v>2007</v>
      </c>
      <c r="M636" s="308" t="s">
        <v>2680</v>
      </c>
      <c r="N636" s="308"/>
      <c r="O636" s="312" t="s">
        <v>2681</v>
      </c>
      <c r="P636" s="308" t="s">
        <v>2682</v>
      </c>
      <c r="Q636" s="308"/>
      <c r="R636" s="308"/>
      <c r="S636" s="308" t="s">
        <v>49</v>
      </c>
      <c r="T636" s="311" t="s">
        <v>51</v>
      </c>
      <c r="U636" s="308"/>
      <c r="V636" s="312"/>
    </row>
    <row r="637">
      <c r="A637" s="308">
        <v>636.0</v>
      </c>
      <c r="B637" s="308">
        <v>3845.0</v>
      </c>
      <c r="C637" s="308" t="s">
        <v>35264</v>
      </c>
      <c r="D637" s="308">
        <f>IFERROR(__xludf.DUMMYFUNCTION("SPLIT(C637,""-"")"),637.0)</f>
        <v>637</v>
      </c>
      <c r="E637" s="311"/>
      <c r="F637" s="317" t="s">
        <v>37</v>
      </c>
      <c r="G637" s="308"/>
      <c r="H637" s="308" t="s">
        <v>2683</v>
      </c>
      <c r="I637" s="310">
        <v>40756.0</v>
      </c>
      <c r="J637" s="308">
        <f>IFERROR(__xludf.DUMMYFUNCTION("SPLIT(I637,""/"")"),1.0)</f>
        <v>1</v>
      </c>
      <c r="K637" s="308">
        <f>IFERROR(__xludf.DUMMYFUNCTION("""COMPUTED_VALUE"""),8.0)</f>
        <v>8</v>
      </c>
      <c r="L637" s="308">
        <f>IFERROR(__xludf.DUMMYFUNCTION("""COMPUTED_VALUE"""),2011.0)</f>
        <v>2011</v>
      </c>
      <c r="M637" s="308" t="s">
        <v>2684</v>
      </c>
      <c r="N637" s="308"/>
      <c r="O637" s="312" t="s">
        <v>35265</v>
      </c>
      <c r="P637" s="308" t="s">
        <v>2686</v>
      </c>
      <c r="Q637" s="308"/>
      <c r="R637" s="308"/>
      <c r="S637" s="308" t="s">
        <v>81</v>
      </c>
      <c r="T637" s="308" t="s">
        <v>34264</v>
      </c>
      <c r="U637" s="308"/>
      <c r="V637" s="312"/>
    </row>
    <row r="638">
      <c r="A638" s="308">
        <v>637.0</v>
      </c>
      <c r="B638" s="308">
        <v>3846.0</v>
      </c>
      <c r="C638" s="308" t="s">
        <v>2687</v>
      </c>
      <c r="D638" s="308">
        <f>IFERROR(__xludf.DUMMYFUNCTION("SPLIT(C638,""-"")"),638.0)</f>
        <v>638</v>
      </c>
      <c r="E638" s="308" t="str">
        <f>IFERROR(__xludf.DUMMYFUNCTION("""COMPUTED_VALUE"""),"P")</f>
        <v>P</v>
      </c>
      <c r="F638" s="312" t="s">
        <v>37</v>
      </c>
      <c r="G638" s="308"/>
      <c r="H638" s="308" t="s">
        <v>35266</v>
      </c>
      <c r="I638" s="314">
        <v>40827.0</v>
      </c>
      <c r="J638" s="308">
        <f>IFERROR(__xludf.DUMMYFUNCTION("SPLIT(I638,""/"")"),11.0)</f>
        <v>11</v>
      </c>
      <c r="K638" s="308">
        <f>IFERROR(__xludf.DUMMYFUNCTION("""COMPUTED_VALUE"""),10.0)</f>
        <v>10</v>
      </c>
      <c r="L638" s="308">
        <f>IFERROR(__xludf.DUMMYFUNCTION("""COMPUTED_VALUE"""),2011.0)</f>
        <v>2011</v>
      </c>
      <c r="M638" s="308" t="s">
        <v>2689</v>
      </c>
      <c r="N638" s="308"/>
      <c r="O638" s="312" t="s">
        <v>35267</v>
      </c>
      <c r="P638" s="308" t="s">
        <v>2691</v>
      </c>
      <c r="Q638" s="308"/>
      <c r="R638" s="308"/>
      <c r="S638" s="315" t="s">
        <v>100</v>
      </c>
      <c r="T638" s="311" t="s">
        <v>34208</v>
      </c>
      <c r="U638" s="308" t="s">
        <v>2692</v>
      </c>
      <c r="V638" s="312"/>
    </row>
    <row r="639">
      <c r="A639" s="308">
        <v>638.0</v>
      </c>
      <c r="B639" s="308">
        <v>3847.0</v>
      </c>
      <c r="C639" s="308" t="s">
        <v>35268</v>
      </c>
      <c r="D639" s="308">
        <f>IFERROR(__xludf.DUMMYFUNCTION("SPLIT(C639,""-"")"),639.0)</f>
        <v>639</v>
      </c>
      <c r="E639" s="311"/>
      <c r="F639" s="317" t="s">
        <v>37</v>
      </c>
      <c r="G639" s="308" t="s">
        <v>2693</v>
      </c>
      <c r="H639" s="308" t="s">
        <v>2694</v>
      </c>
      <c r="I639" s="310">
        <v>40226.0</v>
      </c>
      <c r="J639" s="308">
        <f>IFERROR(__xludf.DUMMYFUNCTION("SPLIT(I639,""/"")"),17.0)</f>
        <v>17</v>
      </c>
      <c r="K639" s="308">
        <f>IFERROR(__xludf.DUMMYFUNCTION("""COMPUTED_VALUE"""),2.0)</f>
        <v>2</v>
      </c>
      <c r="L639" s="308">
        <f>IFERROR(__xludf.DUMMYFUNCTION("""COMPUTED_VALUE"""),2010.0)</f>
        <v>2010</v>
      </c>
      <c r="M639" s="308" t="s">
        <v>2695</v>
      </c>
      <c r="N639" s="308"/>
      <c r="O639" s="312" t="s">
        <v>35269</v>
      </c>
      <c r="P639" s="311" t="s">
        <v>35270</v>
      </c>
      <c r="Q639" s="308"/>
      <c r="R639" s="308"/>
      <c r="S639" s="308" t="s">
        <v>81</v>
      </c>
      <c r="T639" s="311" t="s">
        <v>75</v>
      </c>
      <c r="U639" s="308"/>
      <c r="V639" s="312"/>
    </row>
    <row r="640">
      <c r="A640" s="308">
        <v>639.0</v>
      </c>
      <c r="B640" s="308">
        <v>3848.0</v>
      </c>
      <c r="C640" s="308" t="s">
        <v>35271</v>
      </c>
      <c r="D640" s="308">
        <f>IFERROR(__xludf.DUMMYFUNCTION("SPLIT(C640,""-"")"),640.0)</f>
        <v>640</v>
      </c>
      <c r="E640" s="311"/>
      <c r="F640" s="309" t="s">
        <v>34</v>
      </c>
      <c r="G640" s="308"/>
      <c r="H640" s="308" t="s">
        <v>2698</v>
      </c>
      <c r="I640" s="314">
        <v>40867.0</v>
      </c>
      <c r="J640" s="308">
        <f>IFERROR(__xludf.DUMMYFUNCTION("SPLIT(I640,""/"")"),20.0)</f>
        <v>20</v>
      </c>
      <c r="K640" s="308">
        <f>IFERROR(__xludf.DUMMYFUNCTION("""COMPUTED_VALUE"""),11.0)</f>
        <v>11</v>
      </c>
      <c r="L640" s="308">
        <f>IFERROR(__xludf.DUMMYFUNCTION("""COMPUTED_VALUE"""),2011.0)</f>
        <v>2011</v>
      </c>
      <c r="M640" s="308" t="s">
        <v>2699</v>
      </c>
      <c r="N640" s="308"/>
      <c r="O640" s="312" t="s">
        <v>2700</v>
      </c>
      <c r="P640" s="308" t="s">
        <v>2701</v>
      </c>
      <c r="Q640" s="308"/>
      <c r="R640" s="308"/>
      <c r="S640" s="308" t="s">
        <v>81</v>
      </c>
      <c r="T640" s="308" t="s">
        <v>34264</v>
      </c>
      <c r="U640" s="308"/>
      <c r="V640" s="312"/>
    </row>
    <row r="641">
      <c r="A641" s="308">
        <v>640.0</v>
      </c>
      <c r="B641" s="308">
        <v>3849.0</v>
      </c>
      <c r="C641" s="308" t="s">
        <v>35272</v>
      </c>
      <c r="D641" s="308">
        <f>IFERROR(__xludf.DUMMYFUNCTION("SPLIT(C641,""-"")"),641.0)</f>
        <v>641</v>
      </c>
      <c r="E641" s="311"/>
      <c r="F641" s="317" t="s">
        <v>37</v>
      </c>
      <c r="G641" s="308"/>
      <c r="H641" s="308" t="s">
        <v>2702</v>
      </c>
      <c r="I641" s="310">
        <v>40564.0</v>
      </c>
      <c r="J641" s="308">
        <f>IFERROR(__xludf.DUMMYFUNCTION("SPLIT(I641,""/"")"),21.0)</f>
        <v>21</v>
      </c>
      <c r="K641" s="308">
        <f>IFERROR(__xludf.DUMMYFUNCTION("""COMPUTED_VALUE"""),1.0)</f>
        <v>1</v>
      </c>
      <c r="L641" s="308">
        <f>IFERROR(__xludf.DUMMYFUNCTION("""COMPUTED_VALUE"""),2011.0)</f>
        <v>2011</v>
      </c>
      <c r="M641" s="308" t="s">
        <v>2703</v>
      </c>
      <c r="N641" s="308"/>
      <c r="O641" s="312" t="s">
        <v>2704</v>
      </c>
      <c r="P641" s="308" t="s">
        <v>2705</v>
      </c>
      <c r="Q641" s="308"/>
      <c r="R641" s="308"/>
      <c r="S641" s="308" t="s">
        <v>81</v>
      </c>
      <c r="T641" s="311" t="s">
        <v>75</v>
      </c>
      <c r="U641" s="308"/>
      <c r="V641" s="312"/>
    </row>
    <row r="642">
      <c r="A642" s="308">
        <v>641.0</v>
      </c>
      <c r="B642" s="308">
        <v>3850.0</v>
      </c>
      <c r="C642" s="308" t="s">
        <v>35273</v>
      </c>
      <c r="D642" s="308">
        <f>IFERROR(__xludf.DUMMYFUNCTION("SPLIT(C642,""-"")"),642.0)</f>
        <v>642</v>
      </c>
      <c r="E642" s="311"/>
      <c r="F642" s="317" t="s">
        <v>37</v>
      </c>
      <c r="G642" s="308"/>
      <c r="H642" s="308" t="s">
        <v>2706</v>
      </c>
      <c r="I642" s="314">
        <v>40129.0</v>
      </c>
      <c r="J642" s="308">
        <f>IFERROR(__xludf.DUMMYFUNCTION("SPLIT(I642,""/"")"),12.0)</f>
        <v>12</v>
      </c>
      <c r="K642" s="308">
        <f>IFERROR(__xludf.DUMMYFUNCTION("""COMPUTED_VALUE"""),11.0)</f>
        <v>11</v>
      </c>
      <c r="L642" s="308">
        <f>IFERROR(__xludf.DUMMYFUNCTION("""COMPUTED_VALUE"""),2009.0)</f>
        <v>2009</v>
      </c>
      <c r="M642" s="308" t="s">
        <v>2707</v>
      </c>
      <c r="N642" s="308"/>
      <c r="O642" s="312" t="s">
        <v>35274</v>
      </c>
      <c r="P642" s="308" t="s">
        <v>2709</v>
      </c>
      <c r="Q642" s="308"/>
      <c r="R642" s="308"/>
      <c r="S642" s="308" t="s">
        <v>81</v>
      </c>
      <c r="T642" s="308" t="s">
        <v>75</v>
      </c>
      <c r="U642" s="308"/>
      <c r="V642" s="312"/>
    </row>
    <row r="643">
      <c r="A643" s="308">
        <v>642.0</v>
      </c>
      <c r="B643" s="308">
        <v>3851.0</v>
      </c>
      <c r="C643" s="308" t="s">
        <v>35275</v>
      </c>
      <c r="D643" s="308">
        <f>IFERROR(__xludf.DUMMYFUNCTION("SPLIT(C643,""-"")"),643.0)</f>
        <v>643</v>
      </c>
      <c r="E643" s="311"/>
      <c r="F643" s="317" t="s">
        <v>37</v>
      </c>
      <c r="G643" s="308"/>
      <c r="H643" s="308" t="s">
        <v>2710</v>
      </c>
      <c r="I643" s="310">
        <v>40970.0</v>
      </c>
      <c r="J643" s="308">
        <f>IFERROR(__xludf.DUMMYFUNCTION("SPLIT(I643,""/"")"),2.0)</f>
        <v>2</v>
      </c>
      <c r="K643" s="308">
        <f>IFERROR(__xludf.DUMMYFUNCTION("""COMPUTED_VALUE"""),3.0)</f>
        <v>3</v>
      </c>
      <c r="L643" s="308">
        <f>IFERROR(__xludf.DUMMYFUNCTION("""COMPUTED_VALUE"""),2012.0)</f>
        <v>2012</v>
      </c>
      <c r="M643" s="308" t="s">
        <v>2711</v>
      </c>
      <c r="N643" s="308"/>
      <c r="O643" s="312" t="s">
        <v>35276</v>
      </c>
      <c r="P643" s="308" t="s">
        <v>2713</v>
      </c>
      <c r="Q643" s="308"/>
      <c r="R643" s="308"/>
      <c r="S643" s="308" t="s">
        <v>81</v>
      </c>
      <c r="T643" s="311" t="s">
        <v>73</v>
      </c>
      <c r="U643" s="308"/>
      <c r="V643" s="312"/>
    </row>
    <row r="644">
      <c r="A644" s="308">
        <v>643.0</v>
      </c>
      <c r="B644" s="308">
        <v>3852.0</v>
      </c>
      <c r="C644" s="308" t="s">
        <v>35277</v>
      </c>
      <c r="D644" s="308">
        <f>IFERROR(__xludf.DUMMYFUNCTION("SPLIT(C644,""-"")"),644.0)</f>
        <v>644</v>
      </c>
      <c r="E644" s="311"/>
      <c r="F644" s="317" t="s">
        <v>37</v>
      </c>
      <c r="G644" s="308"/>
      <c r="H644" s="308" t="s">
        <v>2714</v>
      </c>
      <c r="I644" s="310">
        <v>40639.0</v>
      </c>
      <c r="J644" s="308">
        <f>IFERROR(__xludf.DUMMYFUNCTION("SPLIT(I644,""/"")"),6.0)</f>
        <v>6</v>
      </c>
      <c r="K644" s="308">
        <f>IFERROR(__xludf.DUMMYFUNCTION("""COMPUTED_VALUE"""),4.0)</f>
        <v>4</v>
      </c>
      <c r="L644" s="308">
        <f>IFERROR(__xludf.DUMMYFUNCTION("""COMPUTED_VALUE"""),2011.0)</f>
        <v>2011</v>
      </c>
      <c r="M644" s="308" t="s">
        <v>2715</v>
      </c>
      <c r="N644" s="308"/>
      <c r="O644" s="312" t="s">
        <v>2716</v>
      </c>
      <c r="P644" s="308" t="s">
        <v>2667</v>
      </c>
      <c r="Q644" s="308"/>
      <c r="R644" s="308"/>
      <c r="S644" s="308" t="s">
        <v>81</v>
      </c>
      <c r="T644" s="308" t="s">
        <v>75</v>
      </c>
      <c r="U644" s="308"/>
      <c r="V644" s="312"/>
    </row>
    <row r="645">
      <c r="A645" s="308">
        <v>644.0</v>
      </c>
      <c r="B645" s="308">
        <v>3854.0</v>
      </c>
      <c r="C645" s="308" t="s">
        <v>35278</v>
      </c>
      <c r="D645" s="308">
        <f>IFERROR(__xludf.DUMMYFUNCTION("SPLIT(C645,""-"")"),646.0)</f>
        <v>646</v>
      </c>
      <c r="E645" s="311"/>
      <c r="F645" s="317" t="s">
        <v>37</v>
      </c>
      <c r="G645" s="308"/>
      <c r="H645" s="308" t="s">
        <v>2717</v>
      </c>
      <c r="I645" s="310">
        <v>37347.0</v>
      </c>
      <c r="J645" s="308">
        <f>IFERROR(__xludf.DUMMYFUNCTION("SPLIT(I645,""/"")"),1.0)</f>
        <v>1</v>
      </c>
      <c r="K645" s="308">
        <f>IFERROR(__xludf.DUMMYFUNCTION("""COMPUTED_VALUE"""),4.0)</f>
        <v>4</v>
      </c>
      <c r="L645" s="308">
        <f>IFERROR(__xludf.DUMMYFUNCTION("""COMPUTED_VALUE"""),2002.0)</f>
        <v>2002</v>
      </c>
      <c r="M645" s="308" t="s">
        <v>2718</v>
      </c>
      <c r="N645" s="308"/>
      <c r="O645" s="312" t="s">
        <v>35279</v>
      </c>
      <c r="P645" s="308" t="s">
        <v>252</v>
      </c>
      <c r="Q645" s="308"/>
      <c r="R645" s="308"/>
      <c r="S645" s="308" t="s">
        <v>49</v>
      </c>
      <c r="T645" s="308" t="s">
        <v>51</v>
      </c>
      <c r="U645" s="308"/>
      <c r="V645" s="312"/>
    </row>
    <row r="646">
      <c r="A646" s="308">
        <v>645.0</v>
      </c>
      <c r="B646" s="308">
        <v>3855.0</v>
      </c>
      <c r="C646" s="308" t="s">
        <v>35280</v>
      </c>
      <c r="D646" s="308">
        <f>IFERROR(__xludf.DUMMYFUNCTION("SPLIT(C646,""-"")"),647.0)</f>
        <v>647</v>
      </c>
      <c r="E646" s="311"/>
      <c r="F646" s="317" t="s">
        <v>37</v>
      </c>
      <c r="G646" s="308"/>
      <c r="H646" s="308" t="s">
        <v>2720</v>
      </c>
      <c r="I646" s="310">
        <v>40313.0</v>
      </c>
      <c r="J646" s="308">
        <f>IFERROR(__xludf.DUMMYFUNCTION("SPLIT(I646,""/"")"),15.0)</f>
        <v>15</v>
      </c>
      <c r="K646" s="308">
        <f>IFERROR(__xludf.DUMMYFUNCTION("""COMPUTED_VALUE"""),5.0)</f>
        <v>5</v>
      </c>
      <c r="L646" s="308">
        <f>IFERROR(__xludf.DUMMYFUNCTION("""COMPUTED_VALUE"""),2010.0)</f>
        <v>2010</v>
      </c>
      <c r="M646" s="308" t="s">
        <v>2721</v>
      </c>
      <c r="N646" s="308"/>
      <c r="O646" s="312" t="s">
        <v>35281</v>
      </c>
      <c r="P646" s="308" t="s">
        <v>2723</v>
      </c>
      <c r="Q646" s="308"/>
      <c r="R646" s="308"/>
      <c r="S646" s="308" t="s">
        <v>81</v>
      </c>
      <c r="T646" s="311" t="s">
        <v>75</v>
      </c>
      <c r="U646" s="308"/>
      <c r="V646" s="312"/>
    </row>
    <row r="647">
      <c r="A647" s="308">
        <v>646.0</v>
      </c>
      <c r="B647" s="308">
        <v>3856.0</v>
      </c>
      <c r="C647" s="308" t="s">
        <v>35282</v>
      </c>
      <c r="D647" s="308">
        <f>IFERROR(__xludf.DUMMYFUNCTION("SPLIT(C647,""-"")"),648.0)</f>
        <v>648</v>
      </c>
      <c r="E647" s="311"/>
      <c r="F647" s="317" t="s">
        <v>37</v>
      </c>
      <c r="G647" s="308"/>
      <c r="H647" s="308" t="s">
        <v>2724</v>
      </c>
      <c r="I647" s="314">
        <v>40833.0</v>
      </c>
      <c r="J647" s="308">
        <f>IFERROR(__xludf.DUMMYFUNCTION("SPLIT(I647,""/"")"),17.0)</f>
        <v>17</v>
      </c>
      <c r="K647" s="308">
        <f>IFERROR(__xludf.DUMMYFUNCTION("""COMPUTED_VALUE"""),10.0)</f>
        <v>10</v>
      </c>
      <c r="L647" s="308">
        <f>IFERROR(__xludf.DUMMYFUNCTION("""COMPUTED_VALUE"""),2011.0)</f>
        <v>2011</v>
      </c>
      <c r="M647" s="308" t="s">
        <v>2725</v>
      </c>
      <c r="N647" s="308"/>
      <c r="O647" s="312" t="s">
        <v>35283</v>
      </c>
      <c r="P647" s="308" t="s">
        <v>2727</v>
      </c>
      <c r="Q647" s="308"/>
      <c r="R647" s="308"/>
      <c r="S647" s="308" t="s">
        <v>81</v>
      </c>
      <c r="T647" s="311" t="s">
        <v>75</v>
      </c>
      <c r="U647" s="308"/>
      <c r="V647" s="312"/>
    </row>
    <row r="648">
      <c r="A648" s="308">
        <v>647.0</v>
      </c>
      <c r="B648" s="308">
        <v>3857.0</v>
      </c>
      <c r="C648" s="308" t="s">
        <v>35284</v>
      </c>
      <c r="D648" s="308">
        <f>IFERROR(__xludf.DUMMYFUNCTION("SPLIT(C648,""-"")"),649.0)</f>
        <v>649</v>
      </c>
      <c r="E648" s="311"/>
      <c r="F648" s="309" t="s">
        <v>34</v>
      </c>
      <c r="G648" s="308"/>
      <c r="H648" s="308" t="s">
        <v>2728</v>
      </c>
      <c r="I648" s="310">
        <v>40596.0</v>
      </c>
      <c r="J648" s="308">
        <f>IFERROR(__xludf.DUMMYFUNCTION("SPLIT(I648,""/"")"),22.0)</f>
        <v>22</v>
      </c>
      <c r="K648" s="308">
        <f>IFERROR(__xludf.DUMMYFUNCTION("""COMPUTED_VALUE"""),2.0)</f>
        <v>2</v>
      </c>
      <c r="L648" s="308">
        <f>IFERROR(__xludf.DUMMYFUNCTION("""COMPUTED_VALUE"""),2011.0)</f>
        <v>2011</v>
      </c>
      <c r="M648" s="308" t="s">
        <v>2729</v>
      </c>
      <c r="N648" s="308"/>
      <c r="O648" s="312" t="s">
        <v>35285</v>
      </c>
      <c r="P648" s="308" t="s">
        <v>2731</v>
      </c>
      <c r="Q648" s="308"/>
      <c r="R648" s="308"/>
      <c r="S648" s="308" t="s">
        <v>81</v>
      </c>
      <c r="T648" s="308" t="s">
        <v>34264</v>
      </c>
      <c r="U648" s="308"/>
      <c r="V648" s="312"/>
    </row>
    <row r="649">
      <c r="A649" s="308">
        <v>648.0</v>
      </c>
      <c r="B649" s="308">
        <v>3858.0</v>
      </c>
      <c r="C649" s="308" t="s">
        <v>35286</v>
      </c>
      <c r="D649" s="308">
        <f>IFERROR(__xludf.DUMMYFUNCTION("SPLIT(C649,""-"")"),650.0)</f>
        <v>650</v>
      </c>
      <c r="E649" s="311"/>
      <c r="F649" s="317" t="s">
        <v>37</v>
      </c>
      <c r="G649" s="308"/>
      <c r="H649" s="308" t="s">
        <v>2732</v>
      </c>
      <c r="I649" s="310">
        <v>40651.0</v>
      </c>
      <c r="J649" s="308">
        <f>IFERROR(__xludf.DUMMYFUNCTION("SPLIT(I649,""/"")"),18.0)</f>
        <v>18</v>
      </c>
      <c r="K649" s="308">
        <f>IFERROR(__xludf.DUMMYFUNCTION("""COMPUTED_VALUE"""),4.0)</f>
        <v>4</v>
      </c>
      <c r="L649" s="308">
        <f>IFERROR(__xludf.DUMMYFUNCTION("""COMPUTED_VALUE"""),2011.0)</f>
        <v>2011</v>
      </c>
      <c r="M649" s="308" t="s">
        <v>2733</v>
      </c>
      <c r="N649" s="308"/>
      <c r="O649" s="312" t="s">
        <v>35287</v>
      </c>
      <c r="P649" s="308" t="s">
        <v>2735</v>
      </c>
      <c r="Q649" s="308"/>
      <c r="R649" s="308"/>
      <c r="S649" s="308" t="s">
        <v>81</v>
      </c>
      <c r="T649" s="308" t="s">
        <v>75</v>
      </c>
      <c r="U649" s="308"/>
      <c r="V649" s="312"/>
    </row>
    <row r="650">
      <c r="A650" s="308">
        <v>649.0</v>
      </c>
      <c r="B650" s="308">
        <v>3859.0</v>
      </c>
      <c r="C650" s="308" t="s">
        <v>35288</v>
      </c>
      <c r="D650" s="308">
        <f>IFERROR(__xludf.DUMMYFUNCTION("SPLIT(C650,""-"")"),651.0)</f>
        <v>651</v>
      </c>
      <c r="E650" s="311"/>
      <c r="F650" s="317" t="s">
        <v>37</v>
      </c>
      <c r="G650" s="308"/>
      <c r="H650" s="308" t="s">
        <v>2736</v>
      </c>
      <c r="I650" s="310">
        <v>38839.0</v>
      </c>
      <c r="J650" s="308">
        <f>IFERROR(__xludf.DUMMYFUNCTION("SPLIT(I650,""/"")"),2.0)</f>
        <v>2</v>
      </c>
      <c r="K650" s="308">
        <f>IFERROR(__xludf.DUMMYFUNCTION("""COMPUTED_VALUE"""),5.0)</f>
        <v>5</v>
      </c>
      <c r="L650" s="308">
        <f>IFERROR(__xludf.DUMMYFUNCTION("""COMPUTED_VALUE"""),2006.0)</f>
        <v>2006</v>
      </c>
      <c r="M650" s="308" t="s">
        <v>2737</v>
      </c>
      <c r="N650" s="308"/>
      <c r="O650" s="312" t="s">
        <v>35289</v>
      </c>
      <c r="P650" s="308" t="s">
        <v>2739</v>
      </c>
      <c r="Q650" s="308"/>
      <c r="R650" s="308"/>
      <c r="S650" s="308" t="s">
        <v>49</v>
      </c>
      <c r="T650" s="308" t="s">
        <v>51</v>
      </c>
      <c r="U650" s="308"/>
      <c r="V650" s="312"/>
    </row>
    <row r="651">
      <c r="A651" s="308">
        <v>650.0</v>
      </c>
      <c r="B651" s="308">
        <v>3860.0</v>
      </c>
      <c r="C651" s="308" t="s">
        <v>35290</v>
      </c>
      <c r="D651" s="308">
        <f>IFERROR(__xludf.DUMMYFUNCTION("SPLIT(C651,""-"")"),652.0)</f>
        <v>652</v>
      </c>
      <c r="E651" s="311"/>
      <c r="F651" s="317" t="s">
        <v>37</v>
      </c>
      <c r="G651" s="308" t="s">
        <v>2740</v>
      </c>
      <c r="H651" s="308" t="s">
        <v>2741</v>
      </c>
      <c r="I651" s="314">
        <v>40889.0</v>
      </c>
      <c r="J651" s="308">
        <f>IFERROR(__xludf.DUMMYFUNCTION("SPLIT(I651,""/"")"),12.0)</f>
        <v>12</v>
      </c>
      <c r="K651" s="308">
        <f>IFERROR(__xludf.DUMMYFUNCTION("""COMPUTED_VALUE"""),12.0)</f>
        <v>12</v>
      </c>
      <c r="L651" s="308">
        <f>IFERROR(__xludf.DUMMYFUNCTION("""COMPUTED_VALUE"""),2011.0)</f>
        <v>2011</v>
      </c>
      <c r="M651" s="308"/>
      <c r="N651" s="308"/>
      <c r="O651" s="312" t="s">
        <v>2742</v>
      </c>
      <c r="P651" s="308" t="s">
        <v>137</v>
      </c>
      <c r="Q651" s="308"/>
      <c r="R651" s="308" t="s">
        <v>2743</v>
      </c>
      <c r="S651" s="311" t="s">
        <v>34916</v>
      </c>
      <c r="T651" s="311" t="s">
        <v>34917</v>
      </c>
      <c r="U651" s="308" t="s">
        <v>149</v>
      </c>
      <c r="V651" s="312"/>
    </row>
    <row r="652">
      <c r="A652" s="308">
        <v>651.0</v>
      </c>
      <c r="B652" s="308">
        <v>3861.0</v>
      </c>
      <c r="C652" s="308" t="s">
        <v>35291</v>
      </c>
      <c r="D652" s="308">
        <f>IFERROR(__xludf.DUMMYFUNCTION("SPLIT(C652,""-"")"),653.0)</f>
        <v>653</v>
      </c>
      <c r="E652" s="311"/>
      <c r="F652" s="317" t="s">
        <v>37</v>
      </c>
      <c r="G652" s="308"/>
      <c r="H652" s="308" t="s">
        <v>2744</v>
      </c>
      <c r="I652" s="310">
        <v>40760.0</v>
      </c>
      <c r="J652" s="308">
        <f>IFERROR(__xludf.DUMMYFUNCTION("SPLIT(I652,""/"")"),5.0)</f>
        <v>5</v>
      </c>
      <c r="K652" s="308">
        <f>IFERROR(__xludf.DUMMYFUNCTION("""COMPUTED_VALUE"""),8.0)</f>
        <v>8</v>
      </c>
      <c r="L652" s="308">
        <f>IFERROR(__xludf.DUMMYFUNCTION("""COMPUTED_VALUE"""),2011.0)</f>
        <v>2011</v>
      </c>
      <c r="M652" s="308" t="s">
        <v>2745</v>
      </c>
      <c r="N652" s="308"/>
      <c r="O652" s="312" t="s">
        <v>35292</v>
      </c>
      <c r="P652" s="308" t="s">
        <v>2747</v>
      </c>
      <c r="Q652" s="308"/>
      <c r="R652" s="308"/>
      <c r="S652" s="315" t="s">
        <v>100</v>
      </c>
      <c r="T652" s="311" t="s">
        <v>34208</v>
      </c>
      <c r="U652" s="308" t="s">
        <v>2748</v>
      </c>
      <c r="V652" s="312"/>
    </row>
    <row r="653">
      <c r="A653" s="308">
        <v>652.0</v>
      </c>
      <c r="B653" s="308">
        <v>3862.0</v>
      </c>
      <c r="C653" s="308" t="s">
        <v>35293</v>
      </c>
      <c r="D653" s="308">
        <f>IFERROR(__xludf.DUMMYFUNCTION("SPLIT(C653,""-"")"),654.0)</f>
        <v>654</v>
      </c>
      <c r="E653" s="311"/>
      <c r="F653" s="317" t="s">
        <v>39</v>
      </c>
      <c r="G653" s="308"/>
      <c r="H653" s="308" t="s">
        <v>2749</v>
      </c>
      <c r="I653" s="314">
        <v>40865.0</v>
      </c>
      <c r="J653" s="308">
        <f>IFERROR(__xludf.DUMMYFUNCTION("SPLIT(I653,""/"")"),18.0)</f>
        <v>18</v>
      </c>
      <c r="K653" s="308">
        <f>IFERROR(__xludf.DUMMYFUNCTION("""COMPUTED_VALUE"""),11.0)</f>
        <v>11</v>
      </c>
      <c r="L653" s="308">
        <f>IFERROR(__xludf.DUMMYFUNCTION("""COMPUTED_VALUE"""),2011.0)</f>
        <v>2011</v>
      </c>
      <c r="M653" s="308" t="s">
        <v>35294</v>
      </c>
      <c r="N653" s="308"/>
      <c r="O653" s="312" t="s">
        <v>635</v>
      </c>
      <c r="P653" s="308" t="s">
        <v>2751</v>
      </c>
      <c r="Q653" s="308"/>
      <c r="R653" s="308"/>
      <c r="S653" s="308" t="s">
        <v>81</v>
      </c>
      <c r="T653" s="311" t="s">
        <v>51</v>
      </c>
      <c r="U653" s="308"/>
      <c r="V653" s="312"/>
    </row>
    <row r="654">
      <c r="A654" s="308">
        <v>653.0</v>
      </c>
      <c r="B654" s="308">
        <v>3863.0</v>
      </c>
      <c r="C654" s="308" t="s">
        <v>35295</v>
      </c>
      <c r="D654" s="308">
        <f>IFERROR(__xludf.DUMMYFUNCTION("SPLIT(C654,""-"")"),655.0)</f>
        <v>655</v>
      </c>
      <c r="E654" s="311"/>
      <c r="F654" s="309" t="s">
        <v>34</v>
      </c>
      <c r="G654" s="308"/>
      <c r="H654" s="308" t="s">
        <v>2752</v>
      </c>
      <c r="I654" s="310">
        <v>40764.0</v>
      </c>
      <c r="J654" s="308">
        <f>IFERROR(__xludf.DUMMYFUNCTION("SPLIT(I654,""/"")"),9.0)</f>
        <v>9</v>
      </c>
      <c r="K654" s="308">
        <f>IFERROR(__xludf.DUMMYFUNCTION("""COMPUTED_VALUE"""),8.0)</f>
        <v>8</v>
      </c>
      <c r="L654" s="308">
        <f>IFERROR(__xludf.DUMMYFUNCTION("""COMPUTED_VALUE"""),2011.0)</f>
        <v>2011</v>
      </c>
      <c r="M654" s="308" t="s">
        <v>2753</v>
      </c>
      <c r="N654" s="308"/>
      <c r="O654" s="312" t="s">
        <v>35296</v>
      </c>
      <c r="P654" s="308" t="s">
        <v>2755</v>
      </c>
      <c r="Q654" s="308"/>
      <c r="R654" s="308"/>
      <c r="S654" s="308" t="s">
        <v>81</v>
      </c>
      <c r="T654" s="308" t="s">
        <v>34264</v>
      </c>
      <c r="U654" s="308"/>
      <c r="V654" s="312"/>
    </row>
    <row r="655">
      <c r="A655" s="308">
        <v>654.0</v>
      </c>
      <c r="B655" s="308">
        <v>3864.0</v>
      </c>
      <c r="C655" s="308" t="s">
        <v>35297</v>
      </c>
      <c r="D655" s="308">
        <f>IFERROR(__xludf.DUMMYFUNCTION("SPLIT(C655,""-"")"),656.0)</f>
        <v>656</v>
      </c>
      <c r="E655" s="311"/>
      <c r="F655" s="317" t="s">
        <v>37</v>
      </c>
      <c r="G655" s="308"/>
      <c r="H655" s="308" t="s">
        <v>2756</v>
      </c>
      <c r="I655" s="314">
        <v>40099.0</v>
      </c>
      <c r="J655" s="308">
        <f>IFERROR(__xludf.DUMMYFUNCTION("SPLIT(I655,""/"")"),13.0)</f>
        <v>13</v>
      </c>
      <c r="K655" s="308">
        <f>IFERROR(__xludf.DUMMYFUNCTION("""COMPUTED_VALUE"""),10.0)</f>
        <v>10</v>
      </c>
      <c r="L655" s="308">
        <f>IFERROR(__xludf.DUMMYFUNCTION("""COMPUTED_VALUE"""),2009.0)</f>
        <v>2009</v>
      </c>
      <c r="M655" s="308" t="s">
        <v>2757</v>
      </c>
      <c r="N655" s="308"/>
      <c r="O655" s="312" t="s">
        <v>35298</v>
      </c>
      <c r="P655" s="308" t="s">
        <v>2709</v>
      </c>
      <c r="Q655" s="308"/>
      <c r="R655" s="308"/>
      <c r="S655" s="308" t="s">
        <v>81</v>
      </c>
      <c r="T655" s="308" t="s">
        <v>75</v>
      </c>
      <c r="U655" s="308"/>
      <c r="V655" s="312"/>
    </row>
    <row r="656">
      <c r="A656" s="308">
        <v>655.0</v>
      </c>
      <c r="B656" s="308">
        <v>3865.0</v>
      </c>
      <c r="C656" s="308" t="s">
        <v>35299</v>
      </c>
      <c r="D656" s="308">
        <f>IFERROR(__xludf.DUMMYFUNCTION("SPLIT(C656,""-"")"),657.0)</f>
        <v>657</v>
      </c>
      <c r="E656" s="311"/>
      <c r="F656" s="309" t="s">
        <v>34</v>
      </c>
      <c r="G656" s="308"/>
      <c r="H656" s="308" t="s">
        <v>2759</v>
      </c>
      <c r="I656" s="314">
        <v>40159.0</v>
      </c>
      <c r="J656" s="308">
        <f>IFERROR(__xludf.DUMMYFUNCTION("SPLIT(I656,""/"")"),12.0)</f>
        <v>12</v>
      </c>
      <c r="K656" s="308">
        <f>IFERROR(__xludf.DUMMYFUNCTION("""COMPUTED_VALUE"""),12.0)</f>
        <v>12</v>
      </c>
      <c r="L656" s="308">
        <f>IFERROR(__xludf.DUMMYFUNCTION("""COMPUTED_VALUE"""),2009.0)</f>
        <v>2009</v>
      </c>
      <c r="M656" s="308" t="s">
        <v>2760</v>
      </c>
      <c r="N656" s="308"/>
      <c r="O656" s="312" t="s">
        <v>2761</v>
      </c>
      <c r="P656" s="308" t="s">
        <v>2762</v>
      </c>
      <c r="Q656" s="308"/>
      <c r="R656" s="308"/>
      <c r="S656" s="315" t="s">
        <v>100</v>
      </c>
      <c r="T656" s="311" t="s">
        <v>34208</v>
      </c>
      <c r="U656" s="308" t="s">
        <v>941</v>
      </c>
      <c r="V656" s="312"/>
    </row>
    <row r="657">
      <c r="A657" s="308">
        <v>656.0</v>
      </c>
      <c r="B657" s="308">
        <v>3866.0</v>
      </c>
      <c r="C657" s="308" t="s">
        <v>35300</v>
      </c>
      <c r="D657" s="308">
        <f>IFERROR(__xludf.DUMMYFUNCTION("SPLIT(C657,""-"")"),658.0)</f>
        <v>658</v>
      </c>
      <c r="E657" s="311"/>
      <c r="F657" s="317" t="s">
        <v>37</v>
      </c>
      <c r="G657" s="308"/>
      <c r="H657" s="308" t="s">
        <v>2763</v>
      </c>
      <c r="I657" s="310">
        <v>39127.0</v>
      </c>
      <c r="J657" s="308">
        <f>IFERROR(__xludf.DUMMYFUNCTION("SPLIT(I657,""/"")"),14.0)</f>
        <v>14</v>
      </c>
      <c r="K657" s="308">
        <f>IFERROR(__xludf.DUMMYFUNCTION("""COMPUTED_VALUE"""),2.0)</f>
        <v>2</v>
      </c>
      <c r="L657" s="308">
        <f>IFERROR(__xludf.DUMMYFUNCTION("""COMPUTED_VALUE"""),2007.0)</f>
        <v>2007</v>
      </c>
      <c r="M657" s="308" t="s">
        <v>2764</v>
      </c>
      <c r="N657" s="308"/>
      <c r="O657" s="312" t="s">
        <v>35301</v>
      </c>
      <c r="P657" s="308" t="s">
        <v>2766</v>
      </c>
      <c r="Q657" s="308"/>
      <c r="R657" s="308"/>
      <c r="S657" s="308" t="s">
        <v>49</v>
      </c>
      <c r="T657" s="308" t="s">
        <v>51</v>
      </c>
      <c r="U657" s="308"/>
      <c r="V657" s="312"/>
    </row>
    <row r="658">
      <c r="A658" s="308">
        <v>657.0</v>
      </c>
      <c r="B658" s="308">
        <v>3867.0</v>
      </c>
      <c r="C658" s="308" t="s">
        <v>35302</v>
      </c>
      <c r="D658" s="308">
        <f>IFERROR(__xludf.DUMMYFUNCTION("SPLIT(C658,""-"")"),659.0)</f>
        <v>659</v>
      </c>
      <c r="E658" s="311"/>
      <c r="F658" s="317" t="s">
        <v>37</v>
      </c>
      <c r="G658" s="308"/>
      <c r="H658" s="308" t="s">
        <v>2767</v>
      </c>
      <c r="I658" s="314">
        <v>40466.0</v>
      </c>
      <c r="J658" s="308">
        <f>IFERROR(__xludf.DUMMYFUNCTION("SPLIT(I658,""/"")"),15.0)</f>
        <v>15</v>
      </c>
      <c r="K658" s="308">
        <f>IFERROR(__xludf.DUMMYFUNCTION("""COMPUTED_VALUE"""),10.0)</f>
        <v>10</v>
      </c>
      <c r="L658" s="308">
        <f>IFERROR(__xludf.DUMMYFUNCTION("""COMPUTED_VALUE"""),2010.0)</f>
        <v>2010</v>
      </c>
      <c r="M658" s="308" t="s">
        <v>2768</v>
      </c>
      <c r="N658" s="308"/>
      <c r="O658" s="312" t="s">
        <v>35303</v>
      </c>
      <c r="P658" s="308" t="s">
        <v>2770</v>
      </c>
      <c r="Q658" s="308"/>
      <c r="R658" s="308"/>
      <c r="S658" s="308" t="s">
        <v>49</v>
      </c>
      <c r="T658" s="308" t="s">
        <v>51</v>
      </c>
      <c r="U658" s="308"/>
      <c r="V658" s="312"/>
    </row>
    <row r="659">
      <c r="A659" s="308">
        <v>658.0</v>
      </c>
      <c r="B659" s="308">
        <v>3868.0</v>
      </c>
      <c r="C659" s="308" t="s">
        <v>35304</v>
      </c>
      <c r="D659" s="308">
        <f>IFERROR(__xludf.DUMMYFUNCTION("SPLIT(C659,""-"")"),660.0)</f>
        <v>660</v>
      </c>
      <c r="E659" s="311"/>
      <c r="F659" s="317" t="s">
        <v>39</v>
      </c>
      <c r="G659" s="308"/>
      <c r="H659" s="308" t="s">
        <v>2771</v>
      </c>
      <c r="I659" s="314">
        <v>40523.0</v>
      </c>
      <c r="J659" s="308">
        <f>IFERROR(__xludf.DUMMYFUNCTION("SPLIT(I659,""/"")"),11.0)</f>
        <v>11</v>
      </c>
      <c r="K659" s="308">
        <f>IFERROR(__xludf.DUMMYFUNCTION("""COMPUTED_VALUE"""),12.0)</f>
        <v>12</v>
      </c>
      <c r="L659" s="308">
        <f>IFERROR(__xludf.DUMMYFUNCTION("""COMPUTED_VALUE"""),2010.0)</f>
        <v>2010</v>
      </c>
      <c r="M659" s="308" t="s">
        <v>2772</v>
      </c>
      <c r="N659" s="308"/>
      <c r="O659" s="312" t="s">
        <v>35305</v>
      </c>
      <c r="P659" s="308" t="s">
        <v>2774</v>
      </c>
      <c r="Q659" s="308"/>
      <c r="R659" s="308"/>
      <c r="S659" s="308" t="s">
        <v>49</v>
      </c>
      <c r="T659" s="308" t="s">
        <v>51</v>
      </c>
      <c r="U659" s="308"/>
      <c r="V659" s="312"/>
    </row>
    <row r="660">
      <c r="A660" s="308">
        <v>659.0</v>
      </c>
      <c r="B660" s="308">
        <v>3869.0</v>
      </c>
      <c r="C660" s="308" t="s">
        <v>35306</v>
      </c>
      <c r="D660" s="308">
        <f>IFERROR(__xludf.DUMMYFUNCTION("SPLIT(C660,""-"")"),661.0)</f>
        <v>661</v>
      </c>
      <c r="E660" s="311"/>
      <c r="F660" s="317" t="s">
        <v>39</v>
      </c>
      <c r="G660" s="308"/>
      <c r="H660" s="308" t="s">
        <v>2775</v>
      </c>
      <c r="I660" s="314">
        <v>40523.0</v>
      </c>
      <c r="J660" s="308">
        <f>IFERROR(__xludf.DUMMYFUNCTION("SPLIT(I660,""/"")"),11.0)</f>
        <v>11</v>
      </c>
      <c r="K660" s="308">
        <f>IFERROR(__xludf.DUMMYFUNCTION("""COMPUTED_VALUE"""),12.0)</f>
        <v>12</v>
      </c>
      <c r="L660" s="308">
        <f>IFERROR(__xludf.DUMMYFUNCTION("""COMPUTED_VALUE"""),2010.0)</f>
        <v>2010</v>
      </c>
      <c r="M660" s="308" t="s">
        <v>2776</v>
      </c>
      <c r="N660" s="308"/>
      <c r="O660" s="312" t="s">
        <v>2777</v>
      </c>
      <c r="P660" s="308" t="s">
        <v>35307</v>
      </c>
      <c r="Q660" s="308"/>
      <c r="R660" s="308"/>
      <c r="S660" s="308" t="s">
        <v>49</v>
      </c>
      <c r="T660" s="308" t="s">
        <v>51</v>
      </c>
      <c r="U660" s="308"/>
      <c r="V660" s="312"/>
    </row>
    <row r="661">
      <c r="A661" s="308">
        <v>660.0</v>
      </c>
      <c r="B661" s="308">
        <v>3870.0</v>
      </c>
      <c r="C661" s="308" t="s">
        <v>35308</v>
      </c>
      <c r="D661" s="308">
        <f>IFERROR(__xludf.DUMMYFUNCTION("SPLIT(C661,""-"")"),662.0)</f>
        <v>662</v>
      </c>
      <c r="E661" s="311"/>
      <c r="F661" s="317" t="s">
        <v>37</v>
      </c>
      <c r="G661" s="308"/>
      <c r="H661" s="308" t="s">
        <v>2779</v>
      </c>
      <c r="I661" s="314">
        <v>40875.0</v>
      </c>
      <c r="J661" s="308">
        <f>IFERROR(__xludf.DUMMYFUNCTION("SPLIT(I661,""/"")"),28.0)</f>
        <v>28</v>
      </c>
      <c r="K661" s="308">
        <f>IFERROR(__xludf.DUMMYFUNCTION("""COMPUTED_VALUE"""),11.0)</f>
        <v>11</v>
      </c>
      <c r="L661" s="308">
        <f>IFERROR(__xludf.DUMMYFUNCTION("""COMPUTED_VALUE"""),2011.0)</f>
        <v>2011</v>
      </c>
      <c r="M661" s="308" t="s">
        <v>2780</v>
      </c>
      <c r="N661" s="308"/>
      <c r="O661" s="312" t="s">
        <v>35309</v>
      </c>
      <c r="P661" s="308" t="s">
        <v>2770</v>
      </c>
      <c r="Q661" s="308"/>
      <c r="R661" s="308"/>
      <c r="S661" s="308" t="s">
        <v>49</v>
      </c>
      <c r="T661" s="308" t="s">
        <v>51</v>
      </c>
      <c r="U661" s="308"/>
      <c r="V661" s="312"/>
    </row>
    <row r="662">
      <c r="A662" s="308">
        <v>661.0</v>
      </c>
      <c r="B662" s="308">
        <v>3871.0</v>
      </c>
      <c r="C662" s="308" t="s">
        <v>35310</v>
      </c>
      <c r="D662" s="308">
        <f>IFERROR(__xludf.DUMMYFUNCTION("SPLIT(C662,""-"")"),663.0)</f>
        <v>663</v>
      </c>
      <c r="E662" s="311"/>
      <c r="F662" s="317" t="s">
        <v>37</v>
      </c>
      <c r="G662" s="308" t="s">
        <v>2782</v>
      </c>
      <c r="H662" s="308" t="s">
        <v>2783</v>
      </c>
      <c r="I662" s="310">
        <v>40979.0</v>
      </c>
      <c r="J662" s="308">
        <f>IFERROR(__xludf.DUMMYFUNCTION("SPLIT(I662,""/"")"),11.0)</f>
        <v>11</v>
      </c>
      <c r="K662" s="308">
        <f>IFERROR(__xludf.DUMMYFUNCTION("""COMPUTED_VALUE"""),3.0)</f>
        <v>3</v>
      </c>
      <c r="L662" s="308">
        <f>IFERROR(__xludf.DUMMYFUNCTION("""COMPUTED_VALUE"""),2012.0)</f>
        <v>2012</v>
      </c>
      <c r="M662" s="308" t="s">
        <v>2784</v>
      </c>
      <c r="N662" s="308"/>
      <c r="O662" s="312" t="s">
        <v>35311</v>
      </c>
      <c r="P662" s="308" t="s">
        <v>2786</v>
      </c>
      <c r="Q662" s="308"/>
      <c r="R662" s="308"/>
      <c r="S662" s="308" t="s">
        <v>81</v>
      </c>
      <c r="T662" s="311" t="s">
        <v>75</v>
      </c>
      <c r="U662" s="308"/>
      <c r="V662" s="312"/>
    </row>
    <row r="663">
      <c r="A663" s="308">
        <v>662.0</v>
      </c>
      <c r="B663" s="308">
        <v>3872.0</v>
      </c>
      <c r="C663" s="308" t="s">
        <v>35312</v>
      </c>
      <c r="D663" s="308">
        <f>IFERROR(__xludf.DUMMYFUNCTION("SPLIT(C663,""-"")"),664.0)</f>
        <v>664</v>
      </c>
      <c r="E663" s="311"/>
      <c r="F663" s="317" t="s">
        <v>37</v>
      </c>
      <c r="G663" s="308"/>
      <c r="H663" s="308" t="s">
        <v>2787</v>
      </c>
      <c r="I663" s="310">
        <v>40922.0</v>
      </c>
      <c r="J663" s="308">
        <f>IFERROR(__xludf.DUMMYFUNCTION("SPLIT(I663,""/"")"),14.0)</f>
        <v>14</v>
      </c>
      <c r="K663" s="308">
        <f>IFERROR(__xludf.DUMMYFUNCTION("""COMPUTED_VALUE"""),1.0)</f>
        <v>1</v>
      </c>
      <c r="L663" s="308">
        <f>IFERROR(__xludf.DUMMYFUNCTION("""COMPUTED_VALUE"""),2012.0)</f>
        <v>2012</v>
      </c>
      <c r="M663" s="308" t="s">
        <v>2788</v>
      </c>
      <c r="N663" s="308"/>
      <c r="O663" s="312" t="s">
        <v>35313</v>
      </c>
      <c r="P663" s="308" t="s">
        <v>2790</v>
      </c>
      <c r="Q663" s="308"/>
      <c r="R663" s="308"/>
      <c r="S663" s="308" t="s">
        <v>81</v>
      </c>
      <c r="T663" s="311" t="s">
        <v>75</v>
      </c>
      <c r="U663" s="308"/>
      <c r="V663" s="312"/>
    </row>
    <row r="664">
      <c r="A664" s="308">
        <v>663.0</v>
      </c>
      <c r="B664" s="308">
        <v>3873.0</v>
      </c>
      <c r="C664" s="308" t="s">
        <v>35314</v>
      </c>
      <c r="D664" s="308">
        <f>IFERROR(__xludf.DUMMYFUNCTION("SPLIT(C664,""-"")"),665.0)</f>
        <v>665</v>
      </c>
      <c r="E664" s="311"/>
      <c r="F664" s="317" t="s">
        <v>37</v>
      </c>
      <c r="G664" s="308"/>
      <c r="H664" s="308" t="s">
        <v>2791</v>
      </c>
      <c r="I664" s="310">
        <v>40809.0</v>
      </c>
      <c r="J664" s="308">
        <f>IFERROR(__xludf.DUMMYFUNCTION("SPLIT(I664,""/"")"),23.0)</f>
        <v>23</v>
      </c>
      <c r="K664" s="308">
        <f>IFERROR(__xludf.DUMMYFUNCTION("""COMPUTED_VALUE"""),9.0)</f>
        <v>9</v>
      </c>
      <c r="L664" s="308">
        <f>IFERROR(__xludf.DUMMYFUNCTION("""COMPUTED_VALUE"""),2011.0)</f>
        <v>2011</v>
      </c>
      <c r="M664" s="308" t="s">
        <v>2792</v>
      </c>
      <c r="N664" s="308"/>
      <c r="O664" s="312" t="s">
        <v>35315</v>
      </c>
      <c r="P664" s="308" t="s">
        <v>2794</v>
      </c>
      <c r="Q664" s="308"/>
      <c r="R664" s="308"/>
      <c r="S664" s="308" t="s">
        <v>81</v>
      </c>
      <c r="T664" s="308" t="s">
        <v>75</v>
      </c>
      <c r="U664" s="308"/>
      <c r="V664" s="312"/>
    </row>
    <row r="665">
      <c r="A665" s="308">
        <v>664.0</v>
      </c>
      <c r="B665" s="308">
        <v>3874.0</v>
      </c>
      <c r="C665" s="308" t="s">
        <v>35316</v>
      </c>
      <c r="D665" s="308">
        <f>IFERROR(__xludf.DUMMYFUNCTION("SPLIT(C665,""-"")"),666.0)</f>
        <v>666</v>
      </c>
      <c r="E665" s="311"/>
      <c r="F665" s="317" t="s">
        <v>37</v>
      </c>
      <c r="G665" s="308"/>
      <c r="H665" s="308" t="s">
        <v>2795</v>
      </c>
      <c r="I665" s="310">
        <v>40809.0</v>
      </c>
      <c r="J665" s="308">
        <f>IFERROR(__xludf.DUMMYFUNCTION("SPLIT(I665,""/"")"),23.0)</f>
        <v>23</v>
      </c>
      <c r="K665" s="308">
        <f>IFERROR(__xludf.DUMMYFUNCTION("""COMPUTED_VALUE"""),9.0)</f>
        <v>9</v>
      </c>
      <c r="L665" s="308">
        <f>IFERROR(__xludf.DUMMYFUNCTION("""COMPUTED_VALUE"""),2011.0)</f>
        <v>2011</v>
      </c>
      <c r="M665" s="308" t="s">
        <v>2796</v>
      </c>
      <c r="N665" s="308"/>
      <c r="O665" s="312" t="s">
        <v>35315</v>
      </c>
      <c r="P665" s="308" t="s">
        <v>2797</v>
      </c>
      <c r="Q665" s="308"/>
      <c r="R665" s="308"/>
      <c r="S665" s="308" t="s">
        <v>81</v>
      </c>
      <c r="T665" s="308" t="s">
        <v>75</v>
      </c>
      <c r="U665" s="308"/>
      <c r="V665" s="312"/>
    </row>
    <row r="666">
      <c r="A666" s="308">
        <v>665.0</v>
      </c>
      <c r="B666" s="308">
        <v>3875.0</v>
      </c>
      <c r="C666" s="308" t="s">
        <v>35317</v>
      </c>
      <c r="D666" s="308">
        <f>IFERROR(__xludf.DUMMYFUNCTION("SPLIT(C666,""-"")"),667.0)</f>
        <v>667</v>
      </c>
      <c r="E666" s="311"/>
      <c r="F666" s="309" t="s">
        <v>34</v>
      </c>
      <c r="G666" s="308"/>
      <c r="H666" s="308" t="s">
        <v>2798</v>
      </c>
      <c r="I666" s="310">
        <v>39970.0</v>
      </c>
      <c r="J666" s="308">
        <f>IFERROR(__xludf.DUMMYFUNCTION("SPLIT(I666,""/"")"),6.0)</f>
        <v>6</v>
      </c>
      <c r="K666" s="308">
        <f>IFERROR(__xludf.DUMMYFUNCTION("""COMPUTED_VALUE"""),6.0)</f>
        <v>6</v>
      </c>
      <c r="L666" s="308">
        <f>IFERROR(__xludf.DUMMYFUNCTION("""COMPUTED_VALUE"""),2009.0)</f>
        <v>2009</v>
      </c>
      <c r="M666" s="308" t="s">
        <v>2799</v>
      </c>
      <c r="N666" s="308"/>
      <c r="O666" s="312" t="s">
        <v>635</v>
      </c>
      <c r="P666" s="308" t="s">
        <v>2800</v>
      </c>
      <c r="Q666" s="308"/>
      <c r="R666" s="308"/>
      <c r="S666" s="308" t="s">
        <v>81</v>
      </c>
      <c r="T666" s="308" t="s">
        <v>34264</v>
      </c>
      <c r="U666" s="308"/>
      <c r="V666" s="312"/>
    </row>
    <row r="667">
      <c r="A667" s="308">
        <v>666.0</v>
      </c>
      <c r="B667" s="308">
        <v>3876.0</v>
      </c>
      <c r="C667" s="308" t="s">
        <v>35318</v>
      </c>
      <c r="D667" s="308">
        <f>IFERROR(__xludf.DUMMYFUNCTION("SPLIT(C667,""-"")"),668.0)</f>
        <v>668</v>
      </c>
      <c r="E667" s="311"/>
      <c r="F667" s="309" t="s">
        <v>34</v>
      </c>
      <c r="G667" s="308"/>
      <c r="H667" s="308" t="s">
        <v>2801</v>
      </c>
      <c r="I667" s="310">
        <v>40940.0</v>
      </c>
      <c r="J667" s="308">
        <f>IFERROR(__xludf.DUMMYFUNCTION("SPLIT(I667,""/"")"),1.0)</f>
        <v>1</v>
      </c>
      <c r="K667" s="308">
        <f>IFERROR(__xludf.DUMMYFUNCTION("""COMPUTED_VALUE"""),2.0)</f>
        <v>2</v>
      </c>
      <c r="L667" s="308">
        <f>IFERROR(__xludf.DUMMYFUNCTION("""COMPUTED_VALUE"""),2012.0)</f>
        <v>2012</v>
      </c>
      <c r="M667" s="308" t="s">
        <v>2802</v>
      </c>
      <c r="N667" s="308"/>
      <c r="O667" s="312" t="s">
        <v>35319</v>
      </c>
      <c r="P667" s="308" t="s">
        <v>2804</v>
      </c>
      <c r="Q667" s="308"/>
      <c r="R667" s="308"/>
      <c r="S667" s="308" t="s">
        <v>81</v>
      </c>
      <c r="T667" s="308" t="s">
        <v>75</v>
      </c>
      <c r="U667" s="308"/>
      <c r="V667" s="312"/>
    </row>
    <row r="668">
      <c r="A668" s="308">
        <v>667.0</v>
      </c>
      <c r="B668" s="308">
        <v>3877.0</v>
      </c>
      <c r="C668" s="308" t="s">
        <v>35320</v>
      </c>
      <c r="D668" s="308">
        <f>IFERROR(__xludf.DUMMYFUNCTION("SPLIT(C668,""-"")"),669.0)</f>
        <v>669</v>
      </c>
      <c r="E668" s="311"/>
      <c r="F668" s="309" t="s">
        <v>34</v>
      </c>
      <c r="G668" s="308"/>
      <c r="H668" s="308" t="s">
        <v>2805</v>
      </c>
      <c r="I668" s="310">
        <v>40940.0</v>
      </c>
      <c r="J668" s="308">
        <f>IFERROR(__xludf.DUMMYFUNCTION("SPLIT(I668,""/"")"),1.0)</f>
        <v>1</v>
      </c>
      <c r="K668" s="308">
        <f>IFERROR(__xludf.DUMMYFUNCTION("""COMPUTED_VALUE"""),2.0)</f>
        <v>2</v>
      </c>
      <c r="L668" s="308">
        <f>IFERROR(__xludf.DUMMYFUNCTION("""COMPUTED_VALUE"""),2012.0)</f>
        <v>2012</v>
      </c>
      <c r="M668" s="308" t="s">
        <v>2806</v>
      </c>
      <c r="N668" s="308"/>
      <c r="O668" s="312" t="s">
        <v>35319</v>
      </c>
      <c r="P668" s="308" t="s">
        <v>2807</v>
      </c>
      <c r="Q668" s="308"/>
      <c r="R668" s="308"/>
      <c r="S668" s="308" t="s">
        <v>81</v>
      </c>
      <c r="T668" s="308" t="s">
        <v>75</v>
      </c>
      <c r="U668" s="308"/>
      <c r="V668" s="312"/>
    </row>
    <row r="669">
      <c r="A669" s="308">
        <v>668.0</v>
      </c>
      <c r="B669" s="308">
        <v>3878.0</v>
      </c>
      <c r="C669" s="308" t="s">
        <v>35321</v>
      </c>
      <c r="D669" s="308">
        <f>IFERROR(__xludf.DUMMYFUNCTION("SPLIT(C669,""-"")"),670.0)</f>
        <v>670</v>
      </c>
      <c r="E669" s="311"/>
      <c r="F669" s="317" t="s">
        <v>37</v>
      </c>
      <c r="G669" s="308"/>
      <c r="H669" s="308" t="s">
        <v>2808</v>
      </c>
      <c r="I669" s="310">
        <v>40787.0</v>
      </c>
      <c r="J669" s="308">
        <f>IFERROR(__xludf.DUMMYFUNCTION("SPLIT(I669,""/"")"),1.0)</f>
        <v>1</v>
      </c>
      <c r="K669" s="308">
        <f>IFERROR(__xludf.DUMMYFUNCTION("""COMPUTED_VALUE"""),9.0)</f>
        <v>9</v>
      </c>
      <c r="L669" s="308">
        <f>IFERROR(__xludf.DUMMYFUNCTION("""COMPUTED_VALUE"""),2011.0)</f>
        <v>2011</v>
      </c>
      <c r="M669" s="308" t="s">
        <v>2809</v>
      </c>
      <c r="N669" s="308"/>
      <c r="O669" s="312"/>
      <c r="P669" s="308" t="s">
        <v>2810</v>
      </c>
      <c r="Q669" s="308"/>
      <c r="R669" s="308"/>
      <c r="S669" s="308" t="s">
        <v>81</v>
      </c>
      <c r="T669" s="308" t="s">
        <v>73</v>
      </c>
      <c r="U669" s="308"/>
      <c r="V669" s="312"/>
    </row>
    <row r="670">
      <c r="A670" s="308">
        <v>669.0</v>
      </c>
      <c r="B670" s="308">
        <v>3879.0</v>
      </c>
      <c r="C670" s="308" t="s">
        <v>35322</v>
      </c>
      <c r="D670" s="308">
        <f>IFERROR(__xludf.DUMMYFUNCTION("SPLIT(C670,""-"")"),671.0)</f>
        <v>671</v>
      </c>
      <c r="E670" s="311"/>
      <c r="F670" s="317" t="s">
        <v>37</v>
      </c>
      <c r="G670" s="308"/>
      <c r="H670" s="308" t="s">
        <v>2811</v>
      </c>
      <c r="I670" s="310">
        <v>40583.0</v>
      </c>
      <c r="J670" s="308">
        <f>IFERROR(__xludf.DUMMYFUNCTION("SPLIT(I670,""/"")"),9.0)</f>
        <v>9</v>
      </c>
      <c r="K670" s="308">
        <f>IFERROR(__xludf.DUMMYFUNCTION("""COMPUTED_VALUE"""),2.0)</f>
        <v>2</v>
      </c>
      <c r="L670" s="308">
        <f>IFERROR(__xludf.DUMMYFUNCTION("""COMPUTED_VALUE"""),2011.0)</f>
        <v>2011</v>
      </c>
      <c r="M670" s="308" t="s">
        <v>2812</v>
      </c>
      <c r="N670" s="308"/>
      <c r="O670" s="312" t="s">
        <v>35323</v>
      </c>
      <c r="P670" s="308" t="s">
        <v>2814</v>
      </c>
      <c r="Q670" s="308"/>
      <c r="R670" s="308"/>
      <c r="S670" s="308" t="s">
        <v>49</v>
      </c>
      <c r="T670" s="311" t="s">
        <v>51</v>
      </c>
      <c r="U670" s="308"/>
      <c r="V670" s="312"/>
    </row>
    <row r="671">
      <c r="A671" s="308">
        <v>670.0</v>
      </c>
      <c r="B671" s="308">
        <v>3880.0</v>
      </c>
      <c r="C671" s="308" t="s">
        <v>35324</v>
      </c>
      <c r="D671" s="308">
        <f>IFERROR(__xludf.DUMMYFUNCTION("SPLIT(C671,""-"")"),672.0)</f>
        <v>672</v>
      </c>
      <c r="E671" s="311"/>
      <c r="F671" s="317" t="s">
        <v>37</v>
      </c>
      <c r="G671" s="308"/>
      <c r="H671" s="308" t="s">
        <v>2815</v>
      </c>
      <c r="I671" s="310">
        <v>35632.0</v>
      </c>
      <c r="J671" s="308">
        <f>IFERROR(__xludf.DUMMYFUNCTION("SPLIT(I671,""/"")"),21.0)</f>
        <v>21</v>
      </c>
      <c r="K671" s="308">
        <f>IFERROR(__xludf.DUMMYFUNCTION("""COMPUTED_VALUE"""),7.0)</f>
        <v>7</v>
      </c>
      <c r="L671" s="308">
        <f>IFERROR(__xludf.DUMMYFUNCTION("""COMPUTED_VALUE"""),1997.0)</f>
        <v>1997</v>
      </c>
      <c r="M671" s="308" t="s">
        <v>2816</v>
      </c>
      <c r="N671" s="308"/>
      <c r="O671" s="312" t="s">
        <v>35325</v>
      </c>
      <c r="P671" s="308" t="s">
        <v>2818</v>
      </c>
      <c r="Q671" s="308"/>
      <c r="R671" s="308"/>
      <c r="S671" s="308" t="s">
        <v>81</v>
      </c>
      <c r="T671" s="311" t="s">
        <v>75</v>
      </c>
      <c r="U671" s="308"/>
      <c r="V671" s="312"/>
    </row>
    <row r="672">
      <c r="A672" s="308">
        <v>671.0</v>
      </c>
      <c r="B672" s="308">
        <v>3881.0</v>
      </c>
      <c r="C672" s="308" t="s">
        <v>2819</v>
      </c>
      <c r="D672" s="308">
        <f>IFERROR(__xludf.DUMMYFUNCTION("SPLIT(C672,""-"")"),673.0)</f>
        <v>673</v>
      </c>
      <c r="E672" s="308" t="str">
        <f>IFERROR(__xludf.DUMMYFUNCTION("""COMPUTED_VALUE"""),"K")</f>
        <v>K</v>
      </c>
      <c r="F672" s="309" t="s">
        <v>34</v>
      </c>
      <c r="G672" s="308"/>
      <c r="H672" s="308" t="s">
        <v>2820</v>
      </c>
      <c r="I672" s="310">
        <v>40599.0</v>
      </c>
      <c r="J672" s="308">
        <f>IFERROR(__xludf.DUMMYFUNCTION("SPLIT(I672,""/"")"),25.0)</f>
        <v>25</v>
      </c>
      <c r="K672" s="308">
        <f>IFERROR(__xludf.DUMMYFUNCTION("""COMPUTED_VALUE"""),2.0)</f>
        <v>2</v>
      </c>
      <c r="L672" s="308">
        <f>IFERROR(__xludf.DUMMYFUNCTION("""COMPUTED_VALUE"""),2011.0)</f>
        <v>2011</v>
      </c>
      <c r="M672" s="308" t="s">
        <v>2821</v>
      </c>
      <c r="N672" s="308"/>
      <c r="O672" s="312" t="s">
        <v>35326</v>
      </c>
      <c r="P672" s="308" t="s">
        <v>2823</v>
      </c>
      <c r="Q672" s="308"/>
      <c r="R672" s="308"/>
      <c r="S672" s="308" t="s">
        <v>81</v>
      </c>
      <c r="T672" s="311" t="s">
        <v>75</v>
      </c>
      <c r="U672" s="308"/>
      <c r="V672" s="312"/>
    </row>
    <row r="673">
      <c r="A673" s="308">
        <v>672.0</v>
      </c>
      <c r="B673" s="308">
        <v>3882.0</v>
      </c>
      <c r="C673" s="308" t="s">
        <v>35327</v>
      </c>
      <c r="D673" s="308">
        <f>IFERROR(__xludf.DUMMYFUNCTION("SPLIT(C673,""-"")"),674.0)</f>
        <v>674</v>
      </c>
      <c r="E673" s="311"/>
      <c r="F673" s="309" t="s">
        <v>34</v>
      </c>
      <c r="G673" s="308"/>
      <c r="H673" s="308" t="s">
        <v>2824</v>
      </c>
      <c r="I673" s="310">
        <v>39992.0</v>
      </c>
      <c r="J673" s="308">
        <f>IFERROR(__xludf.DUMMYFUNCTION("SPLIT(I673,""/"")"),28.0)</f>
        <v>28</v>
      </c>
      <c r="K673" s="308">
        <f>IFERROR(__xludf.DUMMYFUNCTION("""COMPUTED_VALUE"""),6.0)</f>
        <v>6</v>
      </c>
      <c r="L673" s="308">
        <f>IFERROR(__xludf.DUMMYFUNCTION("""COMPUTED_VALUE"""),2009.0)</f>
        <v>2009</v>
      </c>
      <c r="M673" s="308" t="s">
        <v>2825</v>
      </c>
      <c r="N673" s="308"/>
      <c r="O673" s="312" t="s">
        <v>35328</v>
      </c>
      <c r="P673" s="308" t="s">
        <v>2827</v>
      </c>
      <c r="Q673" s="308"/>
      <c r="R673" s="308"/>
      <c r="S673" s="308" t="s">
        <v>49</v>
      </c>
      <c r="T673" s="311" t="s">
        <v>51</v>
      </c>
      <c r="U673" s="308"/>
      <c r="V673" s="312"/>
    </row>
    <row r="674">
      <c r="A674" s="308">
        <v>673.0</v>
      </c>
      <c r="B674" s="308">
        <v>3883.0</v>
      </c>
      <c r="C674" s="308" t="s">
        <v>35329</v>
      </c>
      <c r="D674" s="308">
        <f>IFERROR(__xludf.DUMMYFUNCTION("SPLIT(C674,""-"")"),675.0)</f>
        <v>675</v>
      </c>
      <c r="E674" s="311"/>
      <c r="F674" s="309" t="s">
        <v>34</v>
      </c>
      <c r="G674" s="308"/>
      <c r="H674" s="308" t="s">
        <v>2828</v>
      </c>
      <c r="I674" s="310">
        <v>40063.0</v>
      </c>
      <c r="J674" s="308">
        <f>IFERROR(__xludf.DUMMYFUNCTION("SPLIT(I674,""/"")"),7.0)</f>
        <v>7</v>
      </c>
      <c r="K674" s="308">
        <f>IFERROR(__xludf.DUMMYFUNCTION("""COMPUTED_VALUE"""),9.0)</f>
        <v>9</v>
      </c>
      <c r="L674" s="308">
        <f>IFERROR(__xludf.DUMMYFUNCTION("""COMPUTED_VALUE"""),2009.0)</f>
        <v>2009</v>
      </c>
      <c r="M674" s="308" t="s">
        <v>2829</v>
      </c>
      <c r="N674" s="308"/>
      <c r="O674" s="312" t="s">
        <v>35330</v>
      </c>
      <c r="P674" s="308" t="s">
        <v>2831</v>
      </c>
      <c r="Q674" s="308"/>
      <c r="R674" s="308"/>
      <c r="S674" s="315" t="s">
        <v>100</v>
      </c>
      <c r="T674" s="311" t="s">
        <v>34208</v>
      </c>
      <c r="U674" s="308" t="s">
        <v>530</v>
      </c>
      <c r="V674" s="312"/>
    </row>
    <row r="675">
      <c r="A675" s="308">
        <v>674.0</v>
      </c>
      <c r="B675" s="308">
        <v>3884.0</v>
      </c>
      <c r="C675" s="308" t="s">
        <v>35331</v>
      </c>
      <c r="D675" s="308">
        <f>IFERROR(__xludf.DUMMYFUNCTION("SPLIT(C675,""-"")"),676.0)</f>
        <v>676</v>
      </c>
      <c r="E675" s="311"/>
      <c r="F675" s="309" t="s">
        <v>34</v>
      </c>
      <c r="G675" s="308"/>
      <c r="H675" s="308" t="s">
        <v>2832</v>
      </c>
      <c r="I675" s="310">
        <v>39569.0</v>
      </c>
      <c r="J675" s="308">
        <f>IFERROR(__xludf.DUMMYFUNCTION("SPLIT(I675,""/"")"),1.0)</f>
        <v>1</v>
      </c>
      <c r="K675" s="308">
        <f>IFERROR(__xludf.DUMMYFUNCTION("""COMPUTED_VALUE"""),5.0)</f>
        <v>5</v>
      </c>
      <c r="L675" s="308">
        <f>IFERROR(__xludf.DUMMYFUNCTION("""COMPUTED_VALUE"""),2008.0)</f>
        <v>2008</v>
      </c>
      <c r="M675" s="308" t="s">
        <v>2833</v>
      </c>
      <c r="N675" s="308" t="s">
        <v>2834</v>
      </c>
      <c r="O675" s="312" t="s">
        <v>35332</v>
      </c>
      <c r="P675" s="308" t="s">
        <v>2836</v>
      </c>
      <c r="Q675" s="308"/>
      <c r="R675" s="308"/>
      <c r="S675" s="315" t="s">
        <v>100</v>
      </c>
      <c r="T675" s="311" t="s">
        <v>34208</v>
      </c>
      <c r="U675" s="308" t="s">
        <v>2152</v>
      </c>
      <c r="V675" s="312"/>
    </row>
    <row r="676">
      <c r="A676" s="308">
        <v>675.0</v>
      </c>
      <c r="B676" s="308">
        <v>3885.0</v>
      </c>
      <c r="C676" s="308" t="s">
        <v>35333</v>
      </c>
      <c r="D676" s="308">
        <f>IFERROR(__xludf.DUMMYFUNCTION("SPLIT(C676,""-"")"),677.0)</f>
        <v>677</v>
      </c>
      <c r="E676" s="311"/>
      <c r="F676" s="309" t="s">
        <v>34</v>
      </c>
      <c r="G676" s="308"/>
      <c r="H676" s="308" t="s">
        <v>2837</v>
      </c>
      <c r="I676" s="310">
        <v>39964.0</v>
      </c>
      <c r="J676" s="308">
        <f>IFERROR(__xludf.DUMMYFUNCTION("SPLIT(I676,""/"")"),31.0)</f>
        <v>31</v>
      </c>
      <c r="K676" s="308">
        <f>IFERROR(__xludf.DUMMYFUNCTION("""COMPUTED_VALUE"""),5.0)</f>
        <v>5</v>
      </c>
      <c r="L676" s="308">
        <f>IFERROR(__xludf.DUMMYFUNCTION("""COMPUTED_VALUE"""),2009.0)</f>
        <v>2009</v>
      </c>
      <c r="M676" s="308" t="s">
        <v>2838</v>
      </c>
      <c r="N676" s="308"/>
      <c r="O676" s="312" t="s">
        <v>35334</v>
      </c>
      <c r="P676" s="308" t="s">
        <v>1872</v>
      </c>
      <c r="Q676" s="308"/>
      <c r="R676" s="308"/>
      <c r="S676" s="315" t="s">
        <v>100</v>
      </c>
      <c r="T676" s="311" t="s">
        <v>34208</v>
      </c>
      <c r="U676" s="308" t="s">
        <v>530</v>
      </c>
      <c r="V676" s="312"/>
    </row>
    <row r="677">
      <c r="A677" s="308">
        <v>676.0</v>
      </c>
      <c r="B677" s="308">
        <v>3886.0</v>
      </c>
      <c r="C677" s="308" t="s">
        <v>35335</v>
      </c>
      <c r="D677" s="308">
        <f>IFERROR(__xludf.DUMMYFUNCTION("SPLIT(C677,""-"")"),678.0)</f>
        <v>678</v>
      </c>
      <c r="E677" s="311"/>
      <c r="F677" s="309" t="s">
        <v>34</v>
      </c>
      <c r="G677" s="308"/>
      <c r="H677" s="308" t="s">
        <v>2840</v>
      </c>
      <c r="I677" s="310">
        <v>40284.0</v>
      </c>
      <c r="J677" s="308">
        <f>IFERROR(__xludf.DUMMYFUNCTION("SPLIT(I677,""/"")"),16.0)</f>
        <v>16</v>
      </c>
      <c r="K677" s="308">
        <f>IFERROR(__xludf.DUMMYFUNCTION("""COMPUTED_VALUE"""),4.0)</f>
        <v>4</v>
      </c>
      <c r="L677" s="308">
        <f>IFERROR(__xludf.DUMMYFUNCTION("""COMPUTED_VALUE"""),2010.0)</f>
        <v>2010</v>
      </c>
      <c r="M677" s="308" t="s">
        <v>2841</v>
      </c>
      <c r="N677" s="308"/>
      <c r="O677" s="312" t="s">
        <v>35336</v>
      </c>
      <c r="P677" s="308" t="s">
        <v>2774</v>
      </c>
      <c r="Q677" s="308"/>
      <c r="R677" s="308"/>
      <c r="S677" s="308" t="s">
        <v>49</v>
      </c>
      <c r="T677" s="308" t="s">
        <v>51</v>
      </c>
      <c r="U677" s="308"/>
      <c r="V677" s="312"/>
    </row>
    <row r="678">
      <c r="A678" s="308">
        <v>677.0</v>
      </c>
      <c r="B678" s="308">
        <v>3887.0</v>
      </c>
      <c r="C678" s="308" t="s">
        <v>35337</v>
      </c>
      <c r="D678" s="308">
        <f>IFERROR(__xludf.DUMMYFUNCTION("SPLIT(C678,""-"")"),679.0)</f>
        <v>679</v>
      </c>
      <c r="E678" s="311"/>
      <c r="F678" s="309" t="s">
        <v>34</v>
      </c>
      <c r="G678" s="308"/>
      <c r="H678" s="308" t="s">
        <v>2843</v>
      </c>
      <c r="I678" s="310">
        <v>39990.0</v>
      </c>
      <c r="J678" s="308">
        <f>IFERROR(__xludf.DUMMYFUNCTION("SPLIT(I678,""/"")"),26.0)</f>
        <v>26</v>
      </c>
      <c r="K678" s="308">
        <f>IFERROR(__xludf.DUMMYFUNCTION("""COMPUTED_VALUE"""),6.0)</f>
        <v>6</v>
      </c>
      <c r="L678" s="308">
        <f>IFERROR(__xludf.DUMMYFUNCTION("""COMPUTED_VALUE"""),2009.0)</f>
        <v>2009</v>
      </c>
      <c r="M678" s="308" t="s">
        <v>2844</v>
      </c>
      <c r="N678" s="308"/>
      <c r="O678" s="312" t="s">
        <v>35338</v>
      </c>
      <c r="P678" s="308" t="s">
        <v>2846</v>
      </c>
      <c r="Q678" s="308"/>
      <c r="R678" s="308"/>
      <c r="S678" s="308" t="s">
        <v>81</v>
      </c>
      <c r="T678" s="311" t="s">
        <v>51</v>
      </c>
      <c r="U678" s="308"/>
      <c r="V678" s="312"/>
    </row>
    <row r="679">
      <c r="A679" s="308">
        <v>678.0</v>
      </c>
      <c r="B679" s="308">
        <v>3888.0</v>
      </c>
      <c r="C679" s="308" t="s">
        <v>35339</v>
      </c>
      <c r="D679" s="308">
        <f>IFERROR(__xludf.DUMMYFUNCTION("SPLIT(C679,""-"")"),680.0)</f>
        <v>680</v>
      </c>
      <c r="E679" s="311"/>
      <c r="F679" s="309" t="s">
        <v>34</v>
      </c>
      <c r="G679" s="308"/>
      <c r="H679" s="308" t="s">
        <v>2847</v>
      </c>
      <c r="I679" s="310">
        <v>40081.0</v>
      </c>
      <c r="J679" s="308">
        <f>IFERROR(__xludf.DUMMYFUNCTION("SPLIT(I679,""/"")"),25.0)</f>
        <v>25</v>
      </c>
      <c r="K679" s="308">
        <f>IFERROR(__xludf.DUMMYFUNCTION("""COMPUTED_VALUE"""),9.0)</f>
        <v>9</v>
      </c>
      <c r="L679" s="308">
        <f>IFERROR(__xludf.DUMMYFUNCTION("""COMPUTED_VALUE"""),2009.0)</f>
        <v>2009</v>
      </c>
      <c r="M679" s="308" t="s">
        <v>2848</v>
      </c>
      <c r="N679" s="308"/>
      <c r="O679" s="312" t="s">
        <v>35340</v>
      </c>
      <c r="P679" s="308" t="s">
        <v>34977</v>
      </c>
      <c r="Q679" s="308"/>
      <c r="R679" s="308"/>
      <c r="S679" s="308" t="s">
        <v>49</v>
      </c>
      <c r="T679" s="311" t="s">
        <v>51</v>
      </c>
      <c r="U679" s="308" t="s">
        <v>530</v>
      </c>
      <c r="V679" s="312"/>
    </row>
    <row r="680">
      <c r="A680" s="308">
        <v>679.0</v>
      </c>
      <c r="B680" s="308">
        <v>3889.0</v>
      </c>
      <c r="C680" s="308" t="s">
        <v>35341</v>
      </c>
      <c r="D680" s="308">
        <f>IFERROR(__xludf.DUMMYFUNCTION("SPLIT(C680,""-"")"),681.0)</f>
        <v>681</v>
      </c>
      <c r="E680" s="311"/>
      <c r="F680" s="309" t="s">
        <v>34</v>
      </c>
      <c r="G680" s="308"/>
      <c r="H680" s="308" t="s">
        <v>2850</v>
      </c>
      <c r="I680" s="310">
        <v>40640.0</v>
      </c>
      <c r="J680" s="308">
        <f>IFERROR(__xludf.DUMMYFUNCTION("SPLIT(I680,""/"")"),7.0)</f>
        <v>7</v>
      </c>
      <c r="K680" s="308">
        <f>IFERROR(__xludf.DUMMYFUNCTION("""COMPUTED_VALUE"""),4.0)</f>
        <v>4</v>
      </c>
      <c r="L680" s="308">
        <f>IFERROR(__xludf.DUMMYFUNCTION("""COMPUTED_VALUE"""),2011.0)</f>
        <v>2011</v>
      </c>
      <c r="M680" s="308" t="s">
        <v>2851</v>
      </c>
      <c r="N680" s="308"/>
      <c r="O680" s="312" t="s">
        <v>635</v>
      </c>
      <c r="P680" s="308" t="s">
        <v>2852</v>
      </c>
      <c r="Q680" s="308"/>
      <c r="R680" s="308"/>
      <c r="S680" s="308" t="s">
        <v>49</v>
      </c>
      <c r="T680" s="308" t="s">
        <v>72</v>
      </c>
      <c r="U680" s="308"/>
      <c r="V680" s="312"/>
    </row>
    <row r="681">
      <c r="A681" s="308">
        <v>680.0</v>
      </c>
      <c r="B681" s="308">
        <v>3890.0</v>
      </c>
      <c r="C681" s="308" t="s">
        <v>35342</v>
      </c>
      <c r="D681" s="308">
        <f>IFERROR(__xludf.DUMMYFUNCTION("SPLIT(C681,""-"")"),682.0)</f>
        <v>682</v>
      </c>
      <c r="E681" s="311"/>
      <c r="F681" s="309" t="s">
        <v>34</v>
      </c>
      <c r="G681" s="308"/>
      <c r="H681" s="308" t="s">
        <v>2853</v>
      </c>
      <c r="I681" s="310">
        <v>40737.0</v>
      </c>
      <c r="J681" s="308">
        <f>IFERROR(__xludf.DUMMYFUNCTION("SPLIT(I681,""/"")"),13.0)</f>
        <v>13</v>
      </c>
      <c r="K681" s="308">
        <f>IFERROR(__xludf.DUMMYFUNCTION("""COMPUTED_VALUE"""),7.0)</f>
        <v>7</v>
      </c>
      <c r="L681" s="308">
        <f>IFERROR(__xludf.DUMMYFUNCTION("""COMPUTED_VALUE"""),2011.0)</f>
        <v>2011</v>
      </c>
      <c r="M681" s="308" t="s">
        <v>2854</v>
      </c>
      <c r="N681" s="308"/>
      <c r="O681" s="312" t="s">
        <v>635</v>
      </c>
      <c r="P681" s="308" t="s">
        <v>2855</v>
      </c>
      <c r="Q681" s="308"/>
      <c r="R681" s="308"/>
      <c r="S681" s="308" t="s">
        <v>81</v>
      </c>
      <c r="T681" s="311" t="s">
        <v>98</v>
      </c>
      <c r="U681" s="308"/>
      <c r="V681" s="312"/>
    </row>
    <row r="682">
      <c r="A682" s="308">
        <v>681.0</v>
      </c>
      <c r="B682" s="308">
        <v>3891.0</v>
      </c>
      <c r="C682" s="308" t="s">
        <v>35343</v>
      </c>
      <c r="D682" s="308">
        <f>IFERROR(__xludf.DUMMYFUNCTION("SPLIT(C682,""-"")"),683.0)</f>
        <v>683</v>
      </c>
      <c r="E682" s="311"/>
      <c r="F682" s="309" t="s">
        <v>34</v>
      </c>
      <c r="G682" s="308"/>
      <c r="H682" s="308" t="s">
        <v>2856</v>
      </c>
      <c r="I682" s="310">
        <v>40957.0</v>
      </c>
      <c r="J682" s="308">
        <f>IFERROR(__xludf.DUMMYFUNCTION("SPLIT(I682,""/"")"),18.0)</f>
        <v>18</v>
      </c>
      <c r="K682" s="308">
        <f>IFERROR(__xludf.DUMMYFUNCTION("""COMPUTED_VALUE"""),2.0)</f>
        <v>2</v>
      </c>
      <c r="L682" s="308">
        <f>IFERROR(__xludf.DUMMYFUNCTION("""COMPUTED_VALUE"""),2012.0)</f>
        <v>2012</v>
      </c>
      <c r="M682" s="308" t="s">
        <v>2857</v>
      </c>
      <c r="N682" s="308"/>
      <c r="O682" s="312" t="s">
        <v>35344</v>
      </c>
      <c r="P682" s="308" t="s">
        <v>35345</v>
      </c>
      <c r="Q682" s="308"/>
      <c r="R682" s="308"/>
      <c r="S682" s="308" t="s">
        <v>49</v>
      </c>
      <c r="T682" s="311" t="s">
        <v>51</v>
      </c>
      <c r="U682" s="308" t="s">
        <v>125</v>
      </c>
      <c r="V682" s="312"/>
    </row>
    <row r="683">
      <c r="A683" s="308">
        <v>682.0</v>
      </c>
      <c r="B683" s="308">
        <v>3892.0</v>
      </c>
      <c r="C683" s="308" t="s">
        <v>35346</v>
      </c>
      <c r="D683" s="308">
        <f>IFERROR(__xludf.DUMMYFUNCTION("SPLIT(C683,""-"")"),684.0)</f>
        <v>684</v>
      </c>
      <c r="E683" s="311"/>
      <c r="F683" s="309" t="s">
        <v>34</v>
      </c>
      <c r="G683" s="308"/>
      <c r="H683" s="308" t="s">
        <v>2860</v>
      </c>
      <c r="I683" s="310">
        <v>40001.0</v>
      </c>
      <c r="J683" s="308">
        <f>IFERROR(__xludf.DUMMYFUNCTION("SPLIT(I683,""/"")"),7.0)</f>
        <v>7</v>
      </c>
      <c r="K683" s="308">
        <f>IFERROR(__xludf.DUMMYFUNCTION("""COMPUTED_VALUE"""),7.0)</f>
        <v>7</v>
      </c>
      <c r="L683" s="308">
        <f>IFERROR(__xludf.DUMMYFUNCTION("""COMPUTED_VALUE"""),2009.0)</f>
        <v>2009</v>
      </c>
      <c r="M683" s="308" t="s">
        <v>2861</v>
      </c>
      <c r="N683" s="308"/>
      <c r="O683" s="312" t="s">
        <v>35347</v>
      </c>
      <c r="P683" s="312" t="s">
        <v>2044</v>
      </c>
      <c r="Q683" s="308"/>
      <c r="R683" s="308"/>
      <c r="S683" s="308" t="s">
        <v>49</v>
      </c>
      <c r="T683" s="311" t="s">
        <v>51</v>
      </c>
      <c r="U683" s="308" t="s">
        <v>530</v>
      </c>
      <c r="V683" s="312"/>
    </row>
    <row r="684">
      <c r="A684" s="308">
        <v>683.0</v>
      </c>
      <c r="B684" s="308">
        <v>3893.0</v>
      </c>
      <c r="C684" s="308" t="s">
        <v>35348</v>
      </c>
      <c r="D684" s="308">
        <f>IFERROR(__xludf.DUMMYFUNCTION("SPLIT(C684,""-"")"),685.0)</f>
        <v>685</v>
      </c>
      <c r="E684" s="311"/>
      <c r="F684" s="309" t="s">
        <v>34</v>
      </c>
      <c r="G684" s="308"/>
      <c r="H684" s="308" t="s">
        <v>2863</v>
      </c>
      <c r="I684" s="310">
        <v>40193.0</v>
      </c>
      <c r="J684" s="308">
        <f>IFERROR(__xludf.DUMMYFUNCTION("SPLIT(I684,""/"")"),15.0)</f>
        <v>15</v>
      </c>
      <c r="K684" s="308">
        <f>IFERROR(__xludf.DUMMYFUNCTION("""COMPUTED_VALUE"""),1.0)</f>
        <v>1</v>
      </c>
      <c r="L684" s="308">
        <f>IFERROR(__xludf.DUMMYFUNCTION("""COMPUTED_VALUE"""),2010.0)</f>
        <v>2010</v>
      </c>
      <c r="M684" s="308" t="s">
        <v>2864</v>
      </c>
      <c r="N684" s="308"/>
      <c r="O684" s="312" t="s">
        <v>2865</v>
      </c>
      <c r="P684" s="308" t="s">
        <v>2866</v>
      </c>
      <c r="Q684" s="308"/>
      <c r="R684" s="308"/>
      <c r="S684" s="308" t="s">
        <v>49</v>
      </c>
      <c r="T684" s="311" t="s">
        <v>53</v>
      </c>
      <c r="U684" s="308"/>
      <c r="V684" s="312"/>
    </row>
    <row r="685">
      <c r="A685" s="308">
        <v>684.0</v>
      </c>
      <c r="B685" s="308">
        <v>3894.0</v>
      </c>
      <c r="C685" s="308" t="s">
        <v>35349</v>
      </c>
      <c r="D685" s="308">
        <f>IFERROR(__xludf.DUMMYFUNCTION("SPLIT(C685,""-"")"),686.0)</f>
        <v>686</v>
      </c>
      <c r="E685" s="311"/>
      <c r="F685" s="309" t="s">
        <v>34</v>
      </c>
      <c r="G685" s="308"/>
      <c r="H685" s="308" t="s">
        <v>2867</v>
      </c>
      <c r="I685" s="310">
        <v>40948.0</v>
      </c>
      <c r="J685" s="308">
        <f>IFERROR(__xludf.DUMMYFUNCTION("SPLIT(I685,""/"")"),9.0)</f>
        <v>9</v>
      </c>
      <c r="K685" s="308">
        <f>IFERROR(__xludf.DUMMYFUNCTION("""COMPUTED_VALUE"""),2.0)</f>
        <v>2</v>
      </c>
      <c r="L685" s="308">
        <f>IFERROR(__xludf.DUMMYFUNCTION("""COMPUTED_VALUE"""),2012.0)</f>
        <v>2012</v>
      </c>
      <c r="M685" s="308" t="s">
        <v>2868</v>
      </c>
      <c r="N685" s="308"/>
      <c r="O685" s="312" t="s">
        <v>35350</v>
      </c>
      <c r="P685" s="308" t="s">
        <v>1762</v>
      </c>
      <c r="Q685" s="308"/>
      <c r="R685" s="308"/>
      <c r="S685" s="315" t="s">
        <v>100</v>
      </c>
      <c r="T685" s="311" t="s">
        <v>34208</v>
      </c>
      <c r="U685" s="308" t="s">
        <v>542</v>
      </c>
      <c r="V685" s="312"/>
    </row>
    <row r="686">
      <c r="A686" s="308">
        <v>685.0</v>
      </c>
      <c r="B686" s="308">
        <v>3895.0</v>
      </c>
      <c r="C686" s="308" t="s">
        <v>35351</v>
      </c>
      <c r="D686" s="308">
        <f>IFERROR(__xludf.DUMMYFUNCTION("SPLIT(C686,""-"")"),687.0)</f>
        <v>687</v>
      </c>
      <c r="E686" s="311"/>
      <c r="F686" s="309" t="s">
        <v>34</v>
      </c>
      <c r="G686" s="308"/>
      <c r="H686" s="308" t="s">
        <v>2870</v>
      </c>
      <c r="I686" s="310">
        <v>40234.0</v>
      </c>
      <c r="J686" s="308">
        <f>IFERROR(__xludf.DUMMYFUNCTION("SPLIT(I686,""/"")"),25.0)</f>
        <v>25</v>
      </c>
      <c r="K686" s="308">
        <f>IFERROR(__xludf.DUMMYFUNCTION("""COMPUTED_VALUE"""),2.0)</f>
        <v>2</v>
      </c>
      <c r="L686" s="308">
        <f>IFERROR(__xludf.DUMMYFUNCTION("""COMPUTED_VALUE"""),2010.0)</f>
        <v>2010</v>
      </c>
      <c r="M686" s="308" t="s">
        <v>2871</v>
      </c>
      <c r="N686" s="308"/>
      <c r="O686" s="312" t="s">
        <v>635</v>
      </c>
      <c r="P686" s="308" t="s">
        <v>2872</v>
      </c>
      <c r="Q686" s="308"/>
      <c r="R686" s="308"/>
      <c r="S686" s="315" t="s">
        <v>100</v>
      </c>
      <c r="T686" s="311" t="s">
        <v>34208</v>
      </c>
      <c r="U686" s="308" t="s">
        <v>125</v>
      </c>
      <c r="V686" s="312"/>
    </row>
    <row r="687">
      <c r="A687" s="308">
        <v>686.0</v>
      </c>
      <c r="B687" s="308">
        <v>3896.0</v>
      </c>
      <c r="C687" s="308" t="s">
        <v>35352</v>
      </c>
      <c r="D687" s="308">
        <f>IFERROR(__xludf.DUMMYFUNCTION("SPLIT(C687,""-"")"),688.0)</f>
        <v>688</v>
      </c>
      <c r="E687" s="311"/>
      <c r="F687" s="309" t="s">
        <v>34</v>
      </c>
      <c r="G687" s="308"/>
      <c r="H687" s="308" t="s">
        <v>2873</v>
      </c>
      <c r="I687" s="310">
        <v>40005.0</v>
      </c>
      <c r="J687" s="308">
        <f>IFERROR(__xludf.DUMMYFUNCTION("SPLIT(I687,""/"")"),11.0)</f>
        <v>11</v>
      </c>
      <c r="K687" s="308">
        <f>IFERROR(__xludf.DUMMYFUNCTION("""COMPUTED_VALUE"""),7.0)</f>
        <v>7</v>
      </c>
      <c r="L687" s="308">
        <f>IFERROR(__xludf.DUMMYFUNCTION("""COMPUTED_VALUE"""),2009.0)</f>
        <v>2009</v>
      </c>
      <c r="M687" s="308" t="s">
        <v>2874</v>
      </c>
      <c r="N687" s="308"/>
      <c r="O687" s="312" t="s">
        <v>35353</v>
      </c>
      <c r="P687" s="308" t="s">
        <v>2876</v>
      </c>
      <c r="Q687" s="308"/>
      <c r="R687" s="308"/>
      <c r="S687" s="315" t="s">
        <v>100</v>
      </c>
      <c r="T687" s="311" t="s">
        <v>34208</v>
      </c>
      <c r="U687" s="308" t="s">
        <v>368</v>
      </c>
      <c r="V687" s="312"/>
    </row>
    <row r="688">
      <c r="A688" s="308">
        <v>687.0</v>
      </c>
      <c r="B688" s="308">
        <v>3897.0</v>
      </c>
      <c r="C688" s="308" t="s">
        <v>35354</v>
      </c>
      <c r="D688" s="308">
        <f>IFERROR(__xludf.DUMMYFUNCTION("SPLIT(C688,""-"")"),689.0)</f>
        <v>689</v>
      </c>
      <c r="E688" s="311"/>
      <c r="F688" s="309" t="s">
        <v>34</v>
      </c>
      <c r="G688" s="308"/>
      <c r="H688" s="308" t="s">
        <v>2877</v>
      </c>
      <c r="I688" s="310">
        <v>40005.0</v>
      </c>
      <c r="J688" s="308">
        <f>IFERROR(__xludf.DUMMYFUNCTION("SPLIT(I688,""/"")"),11.0)</f>
        <v>11</v>
      </c>
      <c r="K688" s="308">
        <f>IFERROR(__xludf.DUMMYFUNCTION("""COMPUTED_VALUE"""),7.0)</f>
        <v>7</v>
      </c>
      <c r="L688" s="308">
        <f>IFERROR(__xludf.DUMMYFUNCTION("""COMPUTED_VALUE"""),2009.0)</f>
        <v>2009</v>
      </c>
      <c r="M688" s="308" t="s">
        <v>2878</v>
      </c>
      <c r="N688" s="308"/>
      <c r="O688" s="312" t="s">
        <v>35355</v>
      </c>
      <c r="P688" s="308" t="s">
        <v>35356</v>
      </c>
      <c r="Q688" s="308"/>
      <c r="R688" s="308"/>
      <c r="S688" s="308" t="s">
        <v>81</v>
      </c>
      <c r="T688" s="308" t="s">
        <v>34264</v>
      </c>
      <c r="U688" s="308"/>
      <c r="V688" s="312"/>
    </row>
    <row r="689">
      <c r="A689" s="308">
        <v>688.0</v>
      </c>
      <c r="B689" s="308">
        <v>3898.0</v>
      </c>
      <c r="C689" s="308" t="s">
        <v>35357</v>
      </c>
      <c r="D689" s="308">
        <f>IFERROR(__xludf.DUMMYFUNCTION("SPLIT(C689,""-"")"),690.0)</f>
        <v>690</v>
      </c>
      <c r="E689" s="311"/>
      <c r="F689" s="309" t="s">
        <v>34</v>
      </c>
      <c r="G689" s="308" t="s">
        <v>2881</v>
      </c>
      <c r="H689" s="308" t="s">
        <v>2882</v>
      </c>
      <c r="I689" s="310">
        <v>39887.0</v>
      </c>
      <c r="J689" s="308">
        <f>IFERROR(__xludf.DUMMYFUNCTION("SPLIT(I689,""/"")"),15.0)</f>
        <v>15</v>
      </c>
      <c r="K689" s="308">
        <f>IFERROR(__xludf.DUMMYFUNCTION("""COMPUTED_VALUE"""),3.0)</f>
        <v>3</v>
      </c>
      <c r="L689" s="308">
        <f>IFERROR(__xludf.DUMMYFUNCTION("""COMPUTED_VALUE"""),2009.0)</f>
        <v>2009</v>
      </c>
      <c r="M689" s="308" t="s">
        <v>2883</v>
      </c>
      <c r="N689" s="308"/>
      <c r="O689" s="312" t="s">
        <v>635</v>
      </c>
      <c r="P689" s="308" t="s">
        <v>2884</v>
      </c>
      <c r="Q689" s="308"/>
      <c r="R689" s="308"/>
      <c r="S689" s="308" t="s">
        <v>81</v>
      </c>
      <c r="T689" s="308" t="s">
        <v>34264</v>
      </c>
      <c r="U689" s="308"/>
      <c r="V689" s="312"/>
    </row>
    <row r="690">
      <c r="A690" s="308">
        <v>689.0</v>
      </c>
      <c r="B690" s="308">
        <v>3899.0</v>
      </c>
      <c r="C690" s="308" t="s">
        <v>35358</v>
      </c>
      <c r="D690" s="308">
        <f>IFERROR(__xludf.DUMMYFUNCTION("SPLIT(C690,""-"")"),691.0)</f>
        <v>691</v>
      </c>
      <c r="E690" s="311"/>
      <c r="F690" s="309" t="s">
        <v>34</v>
      </c>
      <c r="G690" s="308"/>
      <c r="H690" s="308" t="s">
        <v>2885</v>
      </c>
      <c r="I690" s="310">
        <v>40909.0</v>
      </c>
      <c r="J690" s="308">
        <f>IFERROR(__xludf.DUMMYFUNCTION("SPLIT(I690,""/"")"),1.0)</f>
        <v>1</v>
      </c>
      <c r="K690" s="308">
        <f>IFERROR(__xludf.DUMMYFUNCTION("""COMPUTED_VALUE"""),1.0)</f>
        <v>1</v>
      </c>
      <c r="L690" s="308">
        <f>IFERROR(__xludf.DUMMYFUNCTION("""COMPUTED_VALUE"""),2012.0)</f>
        <v>2012</v>
      </c>
      <c r="M690" s="308" t="s">
        <v>2886</v>
      </c>
      <c r="N690" s="308"/>
      <c r="O690" s="312" t="s">
        <v>35359</v>
      </c>
      <c r="P690" s="308" t="s">
        <v>2888</v>
      </c>
      <c r="Q690" s="308"/>
      <c r="R690" s="308"/>
      <c r="S690" s="308" t="s">
        <v>81</v>
      </c>
      <c r="T690" s="311" t="s">
        <v>57</v>
      </c>
      <c r="U690" s="308"/>
      <c r="V690" s="312"/>
    </row>
    <row r="691">
      <c r="A691" s="308">
        <v>690.0</v>
      </c>
      <c r="B691" s="308">
        <v>3900.0</v>
      </c>
      <c r="C691" s="308" t="s">
        <v>35360</v>
      </c>
      <c r="D691" s="308">
        <f>IFERROR(__xludf.DUMMYFUNCTION("SPLIT(C691,""-"")"),692.0)</f>
        <v>692</v>
      </c>
      <c r="E691" s="311"/>
      <c r="F691" s="309" t="s">
        <v>34</v>
      </c>
      <c r="G691" s="308"/>
      <c r="H691" s="308" t="s">
        <v>2889</v>
      </c>
      <c r="I691" s="310">
        <v>40773.0</v>
      </c>
      <c r="J691" s="308">
        <f>IFERROR(__xludf.DUMMYFUNCTION("SPLIT(I691,""/"")"),18.0)</f>
        <v>18</v>
      </c>
      <c r="K691" s="308">
        <f>IFERROR(__xludf.DUMMYFUNCTION("""COMPUTED_VALUE"""),8.0)</f>
        <v>8</v>
      </c>
      <c r="L691" s="308">
        <f>IFERROR(__xludf.DUMMYFUNCTION("""COMPUTED_VALUE"""),2011.0)</f>
        <v>2011</v>
      </c>
      <c r="M691" s="308" t="s">
        <v>2890</v>
      </c>
      <c r="N691" s="308"/>
      <c r="O691" s="312" t="s">
        <v>35361</v>
      </c>
      <c r="P691" s="308" t="s">
        <v>2892</v>
      </c>
      <c r="Q691" s="308"/>
      <c r="R691" s="308"/>
      <c r="S691" s="308" t="s">
        <v>81</v>
      </c>
      <c r="T691" s="308" t="s">
        <v>34264</v>
      </c>
      <c r="U691" s="308"/>
      <c r="V691" s="312"/>
    </row>
    <row r="692">
      <c r="A692" s="308">
        <v>691.0</v>
      </c>
      <c r="B692" s="308">
        <v>3901.0</v>
      </c>
      <c r="C692" s="308" t="s">
        <v>35362</v>
      </c>
      <c r="D692" s="308">
        <f>IFERROR(__xludf.DUMMYFUNCTION("SPLIT(C692,""-"")"),693.0)</f>
        <v>693</v>
      </c>
      <c r="E692" s="311"/>
      <c r="F692" s="309" t="s">
        <v>34</v>
      </c>
      <c r="G692" s="308"/>
      <c r="H692" s="308" t="s">
        <v>2893</v>
      </c>
      <c r="I692" s="310">
        <v>40911.0</v>
      </c>
      <c r="J692" s="308">
        <f>IFERROR(__xludf.DUMMYFUNCTION("SPLIT(I692,""/"")"),3.0)</f>
        <v>3</v>
      </c>
      <c r="K692" s="308">
        <f>IFERROR(__xludf.DUMMYFUNCTION("""COMPUTED_VALUE"""),1.0)</f>
        <v>1</v>
      </c>
      <c r="L692" s="308">
        <f>IFERROR(__xludf.DUMMYFUNCTION("""COMPUTED_VALUE"""),2012.0)</f>
        <v>2012</v>
      </c>
      <c r="M692" s="308" t="s">
        <v>2894</v>
      </c>
      <c r="N692" s="308"/>
      <c r="O692" s="312" t="s">
        <v>635</v>
      </c>
      <c r="P692" s="308" t="s">
        <v>2895</v>
      </c>
      <c r="Q692" s="308"/>
      <c r="R692" s="308"/>
      <c r="S692" s="308" t="s">
        <v>81</v>
      </c>
      <c r="T692" s="311" t="s">
        <v>34264</v>
      </c>
      <c r="U692" s="308"/>
      <c r="V692" s="312"/>
    </row>
    <row r="693">
      <c r="A693" s="308">
        <v>692.0</v>
      </c>
      <c r="B693" s="308">
        <v>3902.0</v>
      </c>
      <c r="C693" s="308" t="s">
        <v>35363</v>
      </c>
      <c r="D693" s="308">
        <f>IFERROR(__xludf.DUMMYFUNCTION("SPLIT(C693,""-"")"),694.0)</f>
        <v>694</v>
      </c>
      <c r="E693" s="311"/>
      <c r="F693" s="309" t="s">
        <v>34</v>
      </c>
      <c r="G693" s="308"/>
      <c r="H693" s="308" t="s">
        <v>35364</v>
      </c>
      <c r="I693" s="310">
        <v>40911.0</v>
      </c>
      <c r="J693" s="308">
        <f>IFERROR(__xludf.DUMMYFUNCTION("SPLIT(I693,""/"")"),3.0)</f>
        <v>3</v>
      </c>
      <c r="K693" s="308">
        <f>IFERROR(__xludf.DUMMYFUNCTION("""COMPUTED_VALUE"""),1.0)</f>
        <v>1</v>
      </c>
      <c r="L693" s="308">
        <f>IFERROR(__xludf.DUMMYFUNCTION("""COMPUTED_VALUE"""),2012.0)</f>
        <v>2012</v>
      </c>
      <c r="M693" s="308" t="s">
        <v>2897</v>
      </c>
      <c r="N693" s="308"/>
      <c r="O693" s="312" t="s">
        <v>635</v>
      </c>
      <c r="P693" s="308" t="s">
        <v>2898</v>
      </c>
      <c r="Q693" s="308"/>
      <c r="R693" s="308"/>
      <c r="S693" s="308" t="s">
        <v>81</v>
      </c>
      <c r="T693" s="311" t="s">
        <v>75</v>
      </c>
      <c r="U693" s="308"/>
      <c r="V693" s="312"/>
    </row>
    <row r="694">
      <c r="A694" s="308">
        <v>693.0</v>
      </c>
      <c r="B694" s="308">
        <v>3903.0</v>
      </c>
      <c r="C694" s="308" t="s">
        <v>35365</v>
      </c>
      <c r="D694" s="308">
        <f>IFERROR(__xludf.DUMMYFUNCTION("SPLIT(C694,""-"")"),695.0)</f>
        <v>695</v>
      </c>
      <c r="E694" s="311"/>
      <c r="F694" s="317" t="s">
        <v>37</v>
      </c>
      <c r="G694" s="308"/>
      <c r="H694" s="308" t="s">
        <v>2899</v>
      </c>
      <c r="I694" s="310">
        <v>40033.0</v>
      </c>
      <c r="J694" s="308">
        <f>IFERROR(__xludf.DUMMYFUNCTION("SPLIT(I694,""/"")"),8.0)</f>
        <v>8</v>
      </c>
      <c r="K694" s="308">
        <f>IFERROR(__xludf.DUMMYFUNCTION("""COMPUTED_VALUE"""),8.0)</f>
        <v>8</v>
      </c>
      <c r="L694" s="308">
        <f>IFERROR(__xludf.DUMMYFUNCTION("""COMPUTED_VALUE"""),2009.0)</f>
        <v>2009</v>
      </c>
      <c r="M694" s="308" t="s">
        <v>2900</v>
      </c>
      <c r="N694" s="308"/>
      <c r="O694" s="312" t="s">
        <v>35366</v>
      </c>
      <c r="P694" s="308" t="s">
        <v>2902</v>
      </c>
      <c r="Q694" s="308"/>
      <c r="R694" s="308"/>
      <c r="S694" s="315" t="s">
        <v>100</v>
      </c>
      <c r="T694" s="311" t="s">
        <v>34208</v>
      </c>
      <c r="U694" s="308" t="s">
        <v>143</v>
      </c>
      <c r="V694" s="312"/>
    </row>
    <row r="695">
      <c r="A695" s="308">
        <v>694.0</v>
      </c>
      <c r="B695" s="308">
        <v>3904.0</v>
      </c>
      <c r="C695" s="308" t="s">
        <v>35367</v>
      </c>
      <c r="D695" s="308">
        <f>IFERROR(__xludf.DUMMYFUNCTION("SPLIT(C695,""-"")"),696.0)</f>
        <v>696</v>
      </c>
      <c r="E695" s="311"/>
      <c r="F695" s="309" t="s">
        <v>34</v>
      </c>
      <c r="G695" s="308"/>
      <c r="H695" s="308" t="s">
        <v>2903</v>
      </c>
      <c r="I695" s="310">
        <v>40576.0</v>
      </c>
      <c r="J695" s="308">
        <f>IFERROR(__xludf.DUMMYFUNCTION("SPLIT(I695,""/"")"),2.0)</f>
        <v>2</v>
      </c>
      <c r="K695" s="308">
        <f>IFERROR(__xludf.DUMMYFUNCTION("""COMPUTED_VALUE"""),2.0)</f>
        <v>2</v>
      </c>
      <c r="L695" s="308">
        <f>IFERROR(__xludf.DUMMYFUNCTION("""COMPUTED_VALUE"""),2011.0)</f>
        <v>2011</v>
      </c>
      <c r="M695" s="308" t="s">
        <v>2904</v>
      </c>
      <c r="N695" s="308"/>
      <c r="O695" s="308" t="s">
        <v>35368</v>
      </c>
      <c r="P695" s="308" t="s">
        <v>2906</v>
      </c>
      <c r="Q695" s="308"/>
      <c r="R695" s="308"/>
      <c r="S695" s="308" t="s">
        <v>81</v>
      </c>
      <c r="T695" s="308" t="s">
        <v>75</v>
      </c>
      <c r="U695" s="308"/>
      <c r="V695" s="312"/>
    </row>
    <row r="696">
      <c r="A696" s="308">
        <v>695.0</v>
      </c>
      <c r="B696" s="308">
        <v>3905.0</v>
      </c>
      <c r="C696" s="308" t="s">
        <v>35369</v>
      </c>
      <c r="D696" s="308">
        <f>IFERROR(__xludf.DUMMYFUNCTION("SPLIT(C696,""-"")"),697.0)</f>
        <v>697</v>
      </c>
      <c r="E696" s="311"/>
      <c r="F696" s="309" t="s">
        <v>34</v>
      </c>
      <c r="G696" s="308" t="s">
        <v>2907</v>
      </c>
      <c r="H696" s="308" t="s">
        <v>2908</v>
      </c>
      <c r="I696" s="310">
        <v>39995.0</v>
      </c>
      <c r="J696" s="308">
        <f>IFERROR(__xludf.DUMMYFUNCTION("SPLIT(I696,""/"")"),1.0)</f>
        <v>1</v>
      </c>
      <c r="K696" s="308">
        <f>IFERROR(__xludf.DUMMYFUNCTION("""COMPUTED_VALUE"""),7.0)</f>
        <v>7</v>
      </c>
      <c r="L696" s="308">
        <f>IFERROR(__xludf.DUMMYFUNCTION("""COMPUTED_VALUE"""),2009.0)</f>
        <v>2009</v>
      </c>
      <c r="M696" s="308" t="s">
        <v>2909</v>
      </c>
      <c r="N696" s="308"/>
      <c r="O696" s="312" t="s">
        <v>635</v>
      </c>
      <c r="P696" s="308" t="s">
        <v>35370</v>
      </c>
      <c r="Q696" s="308"/>
      <c r="R696" s="308"/>
      <c r="S696" s="308" t="s">
        <v>81</v>
      </c>
      <c r="T696" s="308" t="s">
        <v>34264</v>
      </c>
      <c r="U696" s="308"/>
      <c r="V696" s="312"/>
    </row>
    <row r="697">
      <c r="A697" s="308">
        <v>696.0</v>
      </c>
      <c r="B697" s="308">
        <v>3906.0</v>
      </c>
      <c r="C697" s="308" t="s">
        <v>35371</v>
      </c>
      <c r="D697" s="308">
        <f>IFERROR(__xludf.DUMMYFUNCTION("SPLIT(C697,""-"")"),698.0)</f>
        <v>698</v>
      </c>
      <c r="E697" s="311"/>
      <c r="F697" s="309" t="s">
        <v>34</v>
      </c>
      <c r="G697" s="308"/>
      <c r="H697" s="308" t="s">
        <v>2911</v>
      </c>
      <c r="I697" s="310">
        <v>41025.0</v>
      </c>
      <c r="J697" s="308">
        <f>IFERROR(__xludf.DUMMYFUNCTION("SPLIT(I697,""/"")"),26.0)</f>
        <v>26</v>
      </c>
      <c r="K697" s="308">
        <f>IFERROR(__xludf.DUMMYFUNCTION("""COMPUTED_VALUE"""),4.0)</f>
        <v>4</v>
      </c>
      <c r="L697" s="308">
        <f>IFERROR(__xludf.DUMMYFUNCTION("""COMPUTED_VALUE"""),2012.0)</f>
        <v>2012</v>
      </c>
      <c r="M697" s="308" t="s">
        <v>2912</v>
      </c>
      <c r="N697" s="308"/>
      <c r="O697" s="308" t="s">
        <v>35372</v>
      </c>
      <c r="P697" s="308" t="s">
        <v>2914</v>
      </c>
      <c r="Q697" s="308"/>
      <c r="R697" s="308"/>
      <c r="S697" s="308" t="s">
        <v>81</v>
      </c>
      <c r="T697" s="308" t="s">
        <v>75</v>
      </c>
      <c r="U697" s="308"/>
      <c r="V697" s="312"/>
    </row>
    <row r="698">
      <c r="A698" s="308">
        <v>697.0</v>
      </c>
      <c r="B698" s="308">
        <v>3907.0</v>
      </c>
      <c r="C698" s="308" t="s">
        <v>35373</v>
      </c>
      <c r="D698" s="308">
        <f>IFERROR(__xludf.DUMMYFUNCTION("SPLIT(C698,""-"")"),699.0)</f>
        <v>699</v>
      </c>
      <c r="E698" s="311"/>
      <c r="F698" s="309" t="s">
        <v>34</v>
      </c>
      <c r="G698" s="308"/>
      <c r="H698" s="308" t="s">
        <v>2915</v>
      </c>
      <c r="I698" s="310">
        <v>40605.0</v>
      </c>
      <c r="J698" s="308">
        <f>IFERROR(__xludf.DUMMYFUNCTION("SPLIT(I698,""/"")"),3.0)</f>
        <v>3</v>
      </c>
      <c r="K698" s="308">
        <f>IFERROR(__xludf.DUMMYFUNCTION("""COMPUTED_VALUE"""),3.0)</f>
        <v>3</v>
      </c>
      <c r="L698" s="308">
        <f>IFERROR(__xludf.DUMMYFUNCTION("""COMPUTED_VALUE"""),2011.0)</f>
        <v>2011</v>
      </c>
      <c r="M698" s="308" t="s">
        <v>2916</v>
      </c>
      <c r="N698" s="308"/>
      <c r="O698" s="312" t="s">
        <v>35374</v>
      </c>
      <c r="P698" s="308" t="s">
        <v>2918</v>
      </c>
      <c r="Q698" s="308"/>
      <c r="R698" s="308"/>
      <c r="S698" s="308" t="s">
        <v>81</v>
      </c>
      <c r="T698" s="311" t="s">
        <v>57</v>
      </c>
      <c r="U698" s="308"/>
      <c r="V698" s="312"/>
    </row>
    <row r="699">
      <c r="A699" s="308">
        <v>698.0</v>
      </c>
      <c r="B699" s="308">
        <v>3908.0</v>
      </c>
      <c r="C699" s="308" t="s">
        <v>35375</v>
      </c>
      <c r="D699" s="308">
        <f>IFERROR(__xludf.DUMMYFUNCTION("SPLIT(C699,""-"")"),700.0)</f>
        <v>700</v>
      </c>
      <c r="E699" s="311"/>
      <c r="F699" s="309" t="s">
        <v>34</v>
      </c>
      <c r="G699" s="308" t="s">
        <v>2919</v>
      </c>
      <c r="H699" s="308" t="s">
        <v>2920</v>
      </c>
      <c r="I699" s="310">
        <v>40964.0</v>
      </c>
      <c r="J699" s="308">
        <f>IFERROR(__xludf.DUMMYFUNCTION("SPLIT(I699,""/"")"),25.0)</f>
        <v>25</v>
      </c>
      <c r="K699" s="308">
        <f>IFERROR(__xludf.DUMMYFUNCTION("""COMPUTED_VALUE"""),2.0)</f>
        <v>2</v>
      </c>
      <c r="L699" s="308">
        <f>IFERROR(__xludf.DUMMYFUNCTION("""COMPUTED_VALUE"""),2012.0)</f>
        <v>2012</v>
      </c>
      <c r="M699" s="308" t="s">
        <v>2921</v>
      </c>
      <c r="N699" s="308"/>
      <c r="O699" s="312" t="s">
        <v>35376</v>
      </c>
      <c r="P699" s="308" t="s">
        <v>2923</v>
      </c>
      <c r="Q699" s="308"/>
      <c r="R699" s="308"/>
      <c r="S699" s="308" t="s">
        <v>81</v>
      </c>
      <c r="T699" s="311" t="s">
        <v>85</v>
      </c>
      <c r="U699" s="308"/>
      <c r="V699" s="312"/>
    </row>
    <row r="700">
      <c r="A700" s="308">
        <v>699.0</v>
      </c>
      <c r="B700" s="308">
        <v>3909.0</v>
      </c>
      <c r="C700" s="308" t="s">
        <v>35377</v>
      </c>
      <c r="D700" s="308">
        <f>IFERROR(__xludf.DUMMYFUNCTION("SPLIT(C700,""-"")"),701.0)</f>
        <v>701</v>
      </c>
      <c r="E700" s="311"/>
      <c r="F700" s="309" t="s">
        <v>34</v>
      </c>
      <c r="G700" s="308"/>
      <c r="H700" s="308" t="s">
        <v>2924</v>
      </c>
      <c r="I700" s="310">
        <v>38378.0</v>
      </c>
      <c r="J700" s="308">
        <f>IFERROR(__xludf.DUMMYFUNCTION("SPLIT(I700,""/"")"),26.0)</f>
        <v>26</v>
      </c>
      <c r="K700" s="308">
        <f>IFERROR(__xludf.DUMMYFUNCTION("""COMPUTED_VALUE"""),1.0)</f>
        <v>1</v>
      </c>
      <c r="L700" s="308">
        <f>IFERROR(__xludf.DUMMYFUNCTION("""COMPUTED_VALUE"""),2005.0)</f>
        <v>2005</v>
      </c>
      <c r="M700" s="308" t="s">
        <v>2925</v>
      </c>
      <c r="N700" s="308"/>
      <c r="O700" s="308" t="s">
        <v>35378</v>
      </c>
      <c r="P700" s="308" t="s">
        <v>35379</v>
      </c>
      <c r="Q700" s="308"/>
      <c r="R700" s="308"/>
      <c r="S700" s="308" t="s">
        <v>49</v>
      </c>
      <c r="T700" s="308" t="s">
        <v>51</v>
      </c>
      <c r="U700" s="308"/>
      <c r="V700" s="312"/>
    </row>
    <row r="701">
      <c r="A701" s="308">
        <v>700.0</v>
      </c>
      <c r="B701" s="308">
        <v>3910.0</v>
      </c>
      <c r="C701" s="308" t="s">
        <v>35380</v>
      </c>
      <c r="D701" s="308">
        <f>IFERROR(__xludf.DUMMYFUNCTION("SPLIT(C701,""-"")"),702.0)</f>
        <v>702</v>
      </c>
      <c r="E701" s="311"/>
      <c r="F701" s="309" t="s">
        <v>31</v>
      </c>
      <c r="G701" s="308"/>
      <c r="H701" s="308" t="s">
        <v>2928</v>
      </c>
      <c r="I701" s="316" t="s">
        <v>407</v>
      </c>
      <c r="J701" s="308" t="str">
        <f>IFERROR(__xludf.DUMMYFUNCTION("SPLIT(I701,""/"")"),"#REF!")</f>
        <v>#REF!</v>
      </c>
      <c r="K701" s="308"/>
      <c r="L701" s="311" t="s">
        <v>79</v>
      </c>
      <c r="M701" s="308" t="s">
        <v>2929</v>
      </c>
      <c r="N701" s="308"/>
      <c r="O701" s="312" t="s">
        <v>35381</v>
      </c>
      <c r="P701" s="308" t="s">
        <v>2931</v>
      </c>
      <c r="Q701" s="308"/>
      <c r="R701" s="308"/>
      <c r="S701" s="308" t="s">
        <v>49</v>
      </c>
      <c r="T701" s="308" t="s">
        <v>51</v>
      </c>
      <c r="U701" s="308"/>
      <c r="V701" s="312"/>
    </row>
    <row r="702">
      <c r="A702" s="308">
        <v>701.0</v>
      </c>
      <c r="B702" s="308">
        <v>3911.0</v>
      </c>
      <c r="C702" s="308" t="s">
        <v>35382</v>
      </c>
      <c r="D702" s="308">
        <f>IFERROR(__xludf.DUMMYFUNCTION("SPLIT(C702,""-"")"),703.0)</f>
        <v>703</v>
      </c>
      <c r="E702" s="311"/>
      <c r="F702" s="309" t="s">
        <v>31</v>
      </c>
      <c r="G702" s="308"/>
      <c r="H702" s="308" t="s">
        <v>35383</v>
      </c>
      <c r="I702" s="316" t="s">
        <v>407</v>
      </c>
      <c r="J702" s="308" t="str">
        <f>IFERROR(__xludf.DUMMYFUNCTION("SPLIT(I702,""/"")"),"#REF!")</f>
        <v>#REF!</v>
      </c>
      <c r="K702" s="308"/>
      <c r="L702" s="311" t="s">
        <v>79</v>
      </c>
      <c r="M702" s="308" t="s">
        <v>2933</v>
      </c>
      <c r="N702" s="308"/>
      <c r="O702" s="312" t="s">
        <v>35381</v>
      </c>
      <c r="P702" s="308" t="s">
        <v>2931</v>
      </c>
      <c r="Q702" s="308"/>
      <c r="R702" s="308"/>
      <c r="S702" s="308" t="s">
        <v>49</v>
      </c>
      <c r="T702" s="308" t="s">
        <v>51</v>
      </c>
      <c r="U702" s="308"/>
      <c r="V702" s="312"/>
    </row>
    <row r="703">
      <c r="A703" s="308">
        <v>702.0</v>
      </c>
      <c r="B703" s="308">
        <v>3912.0</v>
      </c>
      <c r="C703" s="308" t="s">
        <v>35384</v>
      </c>
      <c r="D703" s="308">
        <f>IFERROR(__xludf.DUMMYFUNCTION("SPLIT(C703,""-"")"),704.0)</f>
        <v>704</v>
      </c>
      <c r="E703" s="311"/>
      <c r="F703" s="309" t="s">
        <v>31</v>
      </c>
      <c r="G703" s="308"/>
      <c r="H703" s="308" t="s">
        <v>2934</v>
      </c>
      <c r="I703" s="316" t="s">
        <v>407</v>
      </c>
      <c r="J703" s="308" t="str">
        <f>IFERROR(__xludf.DUMMYFUNCTION("SPLIT(I703,""/"")"),"#REF!")</f>
        <v>#REF!</v>
      </c>
      <c r="K703" s="308"/>
      <c r="L703" s="311" t="s">
        <v>79</v>
      </c>
      <c r="M703" s="308" t="s">
        <v>2935</v>
      </c>
      <c r="N703" s="308"/>
      <c r="O703" s="312" t="s">
        <v>35381</v>
      </c>
      <c r="P703" s="308" t="s">
        <v>2931</v>
      </c>
      <c r="Q703" s="308"/>
      <c r="R703" s="308"/>
      <c r="S703" s="308" t="s">
        <v>49</v>
      </c>
      <c r="T703" s="308" t="s">
        <v>51</v>
      </c>
      <c r="U703" s="308"/>
      <c r="V703" s="312"/>
    </row>
    <row r="704">
      <c r="A704" s="308">
        <v>703.0</v>
      </c>
      <c r="B704" s="308">
        <v>3913.0</v>
      </c>
      <c r="C704" s="308" t="s">
        <v>35385</v>
      </c>
      <c r="D704" s="308">
        <f>IFERROR(__xludf.DUMMYFUNCTION("SPLIT(C704,""-"")"),705.0)</f>
        <v>705</v>
      </c>
      <c r="E704" s="311"/>
      <c r="F704" s="317" t="s">
        <v>39</v>
      </c>
      <c r="G704" s="308" t="s">
        <v>2936</v>
      </c>
      <c r="H704" s="308" t="s">
        <v>2937</v>
      </c>
      <c r="I704" s="310">
        <v>41019.0</v>
      </c>
      <c r="J704" s="308">
        <f>IFERROR(__xludf.DUMMYFUNCTION("SPLIT(I704,""/"")"),20.0)</f>
        <v>20</v>
      </c>
      <c r="K704" s="308">
        <f>IFERROR(__xludf.DUMMYFUNCTION("""COMPUTED_VALUE"""),4.0)</f>
        <v>4</v>
      </c>
      <c r="L704" s="308">
        <f>IFERROR(__xludf.DUMMYFUNCTION("""COMPUTED_VALUE"""),2012.0)</f>
        <v>2012</v>
      </c>
      <c r="M704" s="308" t="s">
        <v>2938</v>
      </c>
      <c r="N704" s="308" t="s">
        <v>2939</v>
      </c>
      <c r="O704" s="312" t="s">
        <v>635</v>
      </c>
      <c r="P704" s="308" t="s">
        <v>35386</v>
      </c>
      <c r="Q704" s="308"/>
      <c r="R704" s="308"/>
      <c r="S704" s="308" t="s">
        <v>81</v>
      </c>
      <c r="T704" s="311" t="s">
        <v>73</v>
      </c>
      <c r="U704" s="308"/>
      <c r="V704" s="312"/>
    </row>
    <row r="705">
      <c r="A705" s="308">
        <v>704.0</v>
      </c>
      <c r="B705" s="308">
        <v>3914.0</v>
      </c>
      <c r="C705" s="308" t="s">
        <v>35387</v>
      </c>
      <c r="D705" s="308">
        <f>IFERROR(__xludf.DUMMYFUNCTION("SPLIT(C705,""-"")"),706.0)</f>
        <v>706</v>
      </c>
      <c r="E705" s="311"/>
      <c r="F705" s="309" t="s">
        <v>26</v>
      </c>
      <c r="G705" s="308" t="s">
        <v>2941</v>
      </c>
      <c r="H705" s="308" t="s">
        <v>2942</v>
      </c>
      <c r="I705" s="310">
        <v>40758.0</v>
      </c>
      <c r="J705" s="308">
        <f>IFERROR(__xludf.DUMMYFUNCTION("SPLIT(I705,""/"")"),3.0)</f>
        <v>3</v>
      </c>
      <c r="K705" s="308">
        <f>IFERROR(__xludf.DUMMYFUNCTION("""COMPUTED_VALUE"""),8.0)</f>
        <v>8</v>
      </c>
      <c r="L705" s="308">
        <f>IFERROR(__xludf.DUMMYFUNCTION("""COMPUTED_VALUE"""),2011.0)</f>
        <v>2011</v>
      </c>
      <c r="M705" s="308" t="s">
        <v>2943</v>
      </c>
      <c r="N705" s="308"/>
      <c r="O705" s="312" t="s">
        <v>35388</v>
      </c>
      <c r="P705" s="308" t="s">
        <v>2945</v>
      </c>
      <c r="Q705" s="308"/>
      <c r="R705" s="308"/>
      <c r="S705" s="308" t="s">
        <v>81</v>
      </c>
      <c r="T705" s="308" t="s">
        <v>75</v>
      </c>
      <c r="U705" s="308"/>
      <c r="V705" s="312"/>
    </row>
    <row r="706">
      <c r="A706" s="308">
        <v>705.0</v>
      </c>
      <c r="B706" s="308">
        <v>3915.0</v>
      </c>
      <c r="C706" s="308" t="s">
        <v>35389</v>
      </c>
      <c r="D706" s="308">
        <f>IFERROR(__xludf.DUMMYFUNCTION("SPLIT(C706,""-"")"),707.0)</f>
        <v>707</v>
      </c>
      <c r="E706" s="311"/>
      <c r="F706" s="309" t="s">
        <v>26</v>
      </c>
      <c r="G706" s="308" t="s">
        <v>2946</v>
      </c>
      <c r="H706" s="308" t="s">
        <v>2947</v>
      </c>
      <c r="I706" s="314">
        <v>40871.0</v>
      </c>
      <c r="J706" s="308">
        <f>IFERROR(__xludf.DUMMYFUNCTION("SPLIT(I706,""/"")"),24.0)</f>
        <v>24</v>
      </c>
      <c r="K706" s="308">
        <f>IFERROR(__xludf.DUMMYFUNCTION("""COMPUTED_VALUE"""),11.0)</f>
        <v>11</v>
      </c>
      <c r="L706" s="308">
        <f>IFERROR(__xludf.DUMMYFUNCTION("""COMPUTED_VALUE"""),2011.0)</f>
        <v>2011</v>
      </c>
      <c r="M706" s="308" t="s">
        <v>2948</v>
      </c>
      <c r="N706" s="308"/>
      <c r="O706" s="312" t="s">
        <v>35390</v>
      </c>
      <c r="P706" s="308" t="s">
        <v>2950</v>
      </c>
      <c r="Q706" s="308"/>
      <c r="R706" s="308"/>
      <c r="S706" s="308" t="s">
        <v>81</v>
      </c>
      <c r="T706" s="308" t="s">
        <v>75</v>
      </c>
      <c r="U706" s="308"/>
      <c r="V706" s="312"/>
    </row>
    <row r="707">
      <c r="A707" s="308">
        <v>706.0</v>
      </c>
      <c r="B707" s="308">
        <v>3916.0</v>
      </c>
      <c r="C707" s="308" t="s">
        <v>35391</v>
      </c>
      <c r="D707" s="308">
        <f>IFERROR(__xludf.DUMMYFUNCTION("SPLIT(C707,""-"")"),708.0)</f>
        <v>708</v>
      </c>
      <c r="E707" s="311"/>
      <c r="F707" s="309" t="s">
        <v>34</v>
      </c>
      <c r="G707" s="308" t="s">
        <v>2951</v>
      </c>
      <c r="H707" s="308" t="s">
        <v>2952</v>
      </c>
      <c r="I707" s="310">
        <v>39995.0</v>
      </c>
      <c r="J707" s="308">
        <f>IFERROR(__xludf.DUMMYFUNCTION("SPLIT(I707,""/"")"),1.0)</f>
        <v>1</v>
      </c>
      <c r="K707" s="308">
        <f>IFERROR(__xludf.DUMMYFUNCTION("""COMPUTED_VALUE"""),7.0)</f>
        <v>7</v>
      </c>
      <c r="L707" s="308">
        <f>IFERROR(__xludf.DUMMYFUNCTION("""COMPUTED_VALUE"""),2009.0)</f>
        <v>2009</v>
      </c>
      <c r="M707" s="308" t="s">
        <v>2953</v>
      </c>
      <c r="N707" s="308"/>
      <c r="O707" s="312" t="s">
        <v>35392</v>
      </c>
      <c r="P707" s="308" t="s">
        <v>35393</v>
      </c>
      <c r="Q707" s="308"/>
      <c r="R707" s="308"/>
      <c r="S707" s="308" t="s">
        <v>81</v>
      </c>
      <c r="T707" s="308" t="s">
        <v>34264</v>
      </c>
      <c r="U707" s="308"/>
      <c r="V707" s="312"/>
    </row>
    <row r="708">
      <c r="A708" s="308">
        <v>707.0</v>
      </c>
      <c r="B708" s="308">
        <v>3917.0</v>
      </c>
      <c r="C708" s="308" t="s">
        <v>35394</v>
      </c>
      <c r="D708" s="308">
        <f>IFERROR(__xludf.DUMMYFUNCTION("SPLIT(C708,""-"")"),709.0)</f>
        <v>709</v>
      </c>
      <c r="E708" s="311"/>
      <c r="F708" s="309" t="s">
        <v>34</v>
      </c>
      <c r="G708" s="308"/>
      <c r="H708" s="308" t="s">
        <v>2956</v>
      </c>
      <c r="I708" s="310">
        <v>40783.0</v>
      </c>
      <c r="J708" s="308">
        <f>IFERROR(__xludf.DUMMYFUNCTION("SPLIT(I708,""/"")"),28.0)</f>
        <v>28</v>
      </c>
      <c r="K708" s="308">
        <f>IFERROR(__xludf.DUMMYFUNCTION("""COMPUTED_VALUE"""),8.0)</f>
        <v>8</v>
      </c>
      <c r="L708" s="308">
        <f>IFERROR(__xludf.DUMMYFUNCTION("""COMPUTED_VALUE"""),2011.0)</f>
        <v>2011</v>
      </c>
      <c r="M708" s="308" t="s">
        <v>2957</v>
      </c>
      <c r="N708" s="308"/>
      <c r="O708" s="312" t="s">
        <v>35395</v>
      </c>
      <c r="P708" s="308" t="s">
        <v>2959</v>
      </c>
      <c r="Q708" s="308"/>
      <c r="R708" s="308"/>
      <c r="S708" s="308" t="s">
        <v>81</v>
      </c>
      <c r="T708" s="311" t="s">
        <v>51</v>
      </c>
      <c r="U708" s="308"/>
      <c r="V708" s="312"/>
    </row>
    <row r="709">
      <c r="A709" s="308">
        <v>708.0</v>
      </c>
      <c r="B709" s="308">
        <v>3918.0</v>
      </c>
      <c r="C709" s="308" t="s">
        <v>35396</v>
      </c>
      <c r="D709" s="308">
        <f>IFERROR(__xludf.DUMMYFUNCTION("SPLIT(C709,""-"")"),710.0)</f>
        <v>710</v>
      </c>
      <c r="E709" s="311"/>
      <c r="F709" s="309" t="s">
        <v>34</v>
      </c>
      <c r="G709" s="308" t="s">
        <v>2960</v>
      </c>
      <c r="H709" s="308" t="s">
        <v>2961</v>
      </c>
      <c r="I709" s="310">
        <v>40716.0</v>
      </c>
      <c r="J709" s="308">
        <f>IFERROR(__xludf.DUMMYFUNCTION("SPLIT(I709,""/"")"),22.0)</f>
        <v>22</v>
      </c>
      <c r="K709" s="308">
        <f>IFERROR(__xludf.DUMMYFUNCTION("""COMPUTED_VALUE"""),6.0)</f>
        <v>6</v>
      </c>
      <c r="L709" s="308">
        <f>IFERROR(__xludf.DUMMYFUNCTION("""COMPUTED_VALUE"""),2011.0)</f>
        <v>2011</v>
      </c>
      <c r="M709" s="308" t="s">
        <v>35397</v>
      </c>
      <c r="N709" s="308"/>
      <c r="O709" s="312" t="s">
        <v>635</v>
      </c>
      <c r="P709" s="308" t="s">
        <v>2963</v>
      </c>
      <c r="Q709" s="308"/>
      <c r="R709" s="308"/>
      <c r="S709" s="308" t="s">
        <v>81</v>
      </c>
      <c r="T709" s="308" t="s">
        <v>34264</v>
      </c>
      <c r="U709" s="308"/>
      <c r="V709" s="312"/>
    </row>
    <row r="710">
      <c r="A710" s="308">
        <v>709.0</v>
      </c>
      <c r="B710" s="308">
        <v>3919.0</v>
      </c>
      <c r="C710" s="308" t="s">
        <v>35398</v>
      </c>
      <c r="D710" s="308">
        <f>IFERROR(__xludf.DUMMYFUNCTION("SPLIT(C710,""-"")"),711.0)</f>
        <v>711</v>
      </c>
      <c r="E710" s="311"/>
      <c r="F710" s="317" t="s">
        <v>37</v>
      </c>
      <c r="G710" s="308" t="s">
        <v>2964</v>
      </c>
      <c r="H710" s="308" t="s">
        <v>2965</v>
      </c>
      <c r="I710" s="310">
        <v>40195.0</v>
      </c>
      <c r="J710" s="308">
        <f>IFERROR(__xludf.DUMMYFUNCTION("SPLIT(I710,""/"")"),17.0)</f>
        <v>17</v>
      </c>
      <c r="K710" s="308">
        <f>IFERROR(__xludf.DUMMYFUNCTION("""COMPUTED_VALUE"""),1.0)</f>
        <v>1</v>
      </c>
      <c r="L710" s="308">
        <f>IFERROR(__xludf.DUMMYFUNCTION("""COMPUTED_VALUE"""),2010.0)</f>
        <v>2010</v>
      </c>
      <c r="M710" s="308" t="s">
        <v>2966</v>
      </c>
      <c r="N710" s="308"/>
      <c r="O710" s="312" t="s">
        <v>35399</v>
      </c>
      <c r="P710" s="308" t="s">
        <v>2968</v>
      </c>
      <c r="Q710" s="308"/>
      <c r="R710" s="308"/>
      <c r="S710" s="308" t="s">
        <v>49</v>
      </c>
      <c r="T710" s="311" t="s">
        <v>51</v>
      </c>
      <c r="U710" s="308"/>
      <c r="V710" s="312"/>
    </row>
    <row r="711">
      <c r="A711" s="308">
        <v>710.0</v>
      </c>
      <c r="B711" s="308">
        <v>3920.0</v>
      </c>
      <c r="C711" s="308" t="s">
        <v>35400</v>
      </c>
      <c r="D711" s="308">
        <f>IFERROR(__xludf.DUMMYFUNCTION("SPLIT(C711,""-"")"),712.0)</f>
        <v>712</v>
      </c>
      <c r="E711" s="311"/>
      <c r="F711" s="317" t="s">
        <v>37</v>
      </c>
      <c r="G711" s="308"/>
      <c r="H711" s="308" t="s">
        <v>2969</v>
      </c>
      <c r="I711" s="310">
        <v>40756.0</v>
      </c>
      <c r="J711" s="308">
        <f>IFERROR(__xludf.DUMMYFUNCTION("SPLIT(I711,""/"")"),1.0)</f>
        <v>1</v>
      </c>
      <c r="K711" s="308">
        <f>IFERROR(__xludf.DUMMYFUNCTION("""COMPUTED_VALUE"""),8.0)</f>
        <v>8</v>
      </c>
      <c r="L711" s="308">
        <f>IFERROR(__xludf.DUMMYFUNCTION("""COMPUTED_VALUE"""),2011.0)</f>
        <v>2011</v>
      </c>
      <c r="M711" s="308" t="s">
        <v>2970</v>
      </c>
      <c r="N711" s="308"/>
      <c r="O711" s="312" t="s">
        <v>35401</v>
      </c>
      <c r="P711" s="308" t="s">
        <v>35402</v>
      </c>
      <c r="Q711" s="308"/>
      <c r="R711" s="308"/>
      <c r="S711" s="308" t="s">
        <v>81</v>
      </c>
      <c r="T711" s="308" t="s">
        <v>73</v>
      </c>
      <c r="U711" s="308"/>
      <c r="V711" s="312"/>
    </row>
    <row r="712">
      <c r="A712" s="308">
        <v>711.0</v>
      </c>
      <c r="B712" s="308">
        <v>3921.0</v>
      </c>
      <c r="C712" s="308" t="s">
        <v>35403</v>
      </c>
      <c r="D712" s="308">
        <f>IFERROR(__xludf.DUMMYFUNCTION("SPLIT(C712,""-"")"),713.0)</f>
        <v>713</v>
      </c>
      <c r="E712" s="311"/>
      <c r="F712" s="317" t="s">
        <v>39</v>
      </c>
      <c r="G712" s="308"/>
      <c r="H712" s="308" t="s">
        <v>2973</v>
      </c>
      <c r="I712" s="314">
        <v>36146.0</v>
      </c>
      <c r="J712" s="308">
        <f>IFERROR(__xludf.DUMMYFUNCTION("SPLIT(I712,""/"")"),17.0)</f>
        <v>17</v>
      </c>
      <c r="K712" s="308">
        <f>IFERROR(__xludf.DUMMYFUNCTION("""COMPUTED_VALUE"""),12.0)</f>
        <v>12</v>
      </c>
      <c r="L712" s="308">
        <f>IFERROR(__xludf.DUMMYFUNCTION("""COMPUTED_VALUE"""),1998.0)</f>
        <v>1998</v>
      </c>
      <c r="M712" s="308" t="s">
        <v>2974</v>
      </c>
      <c r="N712" s="308"/>
      <c r="O712" s="312" t="s">
        <v>35404</v>
      </c>
      <c r="P712" s="308" t="s">
        <v>35405</v>
      </c>
      <c r="Q712" s="308"/>
      <c r="R712" s="308"/>
      <c r="S712" s="308" t="s">
        <v>49</v>
      </c>
      <c r="T712" s="311" t="s">
        <v>51</v>
      </c>
      <c r="U712" s="308"/>
      <c r="V712" s="312"/>
    </row>
    <row r="713">
      <c r="A713" s="308">
        <v>712.0</v>
      </c>
      <c r="B713" s="308">
        <v>3922.0</v>
      </c>
      <c r="C713" s="308" t="s">
        <v>35406</v>
      </c>
      <c r="D713" s="308">
        <f>IFERROR(__xludf.DUMMYFUNCTION("SPLIT(C713,""-"")"),714.0)</f>
        <v>714</v>
      </c>
      <c r="E713" s="311"/>
      <c r="F713" s="309" t="s">
        <v>26</v>
      </c>
      <c r="G713" s="308"/>
      <c r="H713" s="308" t="s">
        <v>2977</v>
      </c>
      <c r="I713" s="310">
        <v>40078.0</v>
      </c>
      <c r="J713" s="308">
        <f>IFERROR(__xludf.DUMMYFUNCTION("SPLIT(I713,""/"")"),22.0)</f>
        <v>22</v>
      </c>
      <c r="K713" s="308">
        <f>IFERROR(__xludf.DUMMYFUNCTION("""COMPUTED_VALUE"""),9.0)</f>
        <v>9</v>
      </c>
      <c r="L713" s="308">
        <f>IFERROR(__xludf.DUMMYFUNCTION("""COMPUTED_VALUE"""),2009.0)</f>
        <v>2009</v>
      </c>
      <c r="M713" s="308" t="s">
        <v>2978</v>
      </c>
      <c r="N713" s="308"/>
      <c r="O713" s="312" t="s">
        <v>35407</v>
      </c>
      <c r="P713" s="308" t="s">
        <v>2980</v>
      </c>
      <c r="Q713" s="308"/>
      <c r="R713" s="308"/>
      <c r="S713" s="308" t="s">
        <v>49</v>
      </c>
      <c r="T713" s="311" t="s">
        <v>77</v>
      </c>
      <c r="U713" s="308"/>
      <c r="V713" s="312"/>
    </row>
    <row r="714">
      <c r="A714" s="308">
        <v>713.0</v>
      </c>
      <c r="B714" s="308">
        <v>3923.0</v>
      </c>
      <c r="C714" s="308" t="s">
        <v>35408</v>
      </c>
      <c r="D714" s="308">
        <f>IFERROR(__xludf.DUMMYFUNCTION("SPLIT(C714,""-"")"),715.0)</f>
        <v>715</v>
      </c>
      <c r="E714" s="311"/>
      <c r="F714" s="309" t="s">
        <v>34</v>
      </c>
      <c r="G714" s="308" t="s">
        <v>2981</v>
      </c>
      <c r="H714" s="308" t="s">
        <v>2982</v>
      </c>
      <c r="I714" s="310">
        <v>40338.0</v>
      </c>
      <c r="J714" s="308">
        <f>IFERROR(__xludf.DUMMYFUNCTION("SPLIT(I714,""/"")"),9.0)</f>
        <v>9</v>
      </c>
      <c r="K714" s="308">
        <f>IFERROR(__xludf.DUMMYFUNCTION("""COMPUTED_VALUE"""),6.0)</f>
        <v>6</v>
      </c>
      <c r="L714" s="308">
        <f>IFERROR(__xludf.DUMMYFUNCTION("""COMPUTED_VALUE"""),2010.0)</f>
        <v>2010</v>
      </c>
      <c r="M714" s="308" t="s">
        <v>2983</v>
      </c>
      <c r="N714" s="308"/>
      <c r="O714" s="312" t="s">
        <v>35409</v>
      </c>
      <c r="P714" s="308" t="s">
        <v>124</v>
      </c>
      <c r="Q714" s="308"/>
      <c r="R714" s="308"/>
      <c r="S714" s="308" t="s">
        <v>81</v>
      </c>
      <c r="T714" s="308" t="s">
        <v>35048</v>
      </c>
      <c r="U714" s="308"/>
      <c r="V714" s="312"/>
    </row>
    <row r="715">
      <c r="A715" s="308">
        <v>714.0</v>
      </c>
      <c r="B715" s="308">
        <v>3924.0</v>
      </c>
      <c r="C715" s="308" t="s">
        <v>35410</v>
      </c>
      <c r="D715" s="308">
        <f>IFERROR(__xludf.DUMMYFUNCTION("SPLIT(C715,""-"")"),716.0)</f>
        <v>716</v>
      </c>
      <c r="E715" s="311"/>
      <c r="F715" s="309" t="s">
        <v>34</v>
      </c>
      <c r="G715" s="308" t="s">
        <v>2985</v>
      </c>
      <c r="H715" s="308" t="s">
        <v>2986</v>
      </c>
      <c r="I715" s="316" t="s">
        <v>407</v>
      </c>
      <c r="J715" s="308" t="str">
        <f>IFERROR(__xludf.DUMMYFUNCTION("SPLIT(I715,""/"")"),"#REF!")</f>
        <v>#REF!</v>
      </c>
      <c r="K715" s="308"/>
      <c r="L715" s="311" t="s">
        <v>79</v>
      </c>
      <c r="M715" s="308" t="s">
        <v>35411</v>
      </c>
      <c r="N715" s="308"/>
      <c r="O715" s="312" t="s">
        <v>2988</v>
      </c>
      <c r="P715" s="308" t="s">
        <v>136</v>
      </c>
      <c r="Q715" s="308"/>
      <c r="R715" s="308"/>
      <c r="S715" s="315" t="s">
        <v>100</v>
      </c>
      <c r="T715" s="308" t="s">
        <v>34208</v>
      </c>
      <c r="U715" s="308" t="s">
        <v>2989</v>
      </c>
      <c r="V715" s="312"/>
    </row>
    <row r="716">
      <c r="A716" s="308">
        <v>715.0</v>
      </c>
      <c r="B716" s="308">
        <v>3925.0</v>
      </c>
      <c r="C716" s="308" t="s">
        <v>35412</v>
      </c>
      <c r="D716" s="308">
        <f>IFERROR(__xludf.DUMMYFUNCTION("SPLIT(C716,""-"")"),717.0)</f>
        <v>717</v>
      </c>
      <c r="E716" s="311"/>
      <c r="F716" s="309" t="s">
        <v>34</v>
      </c>
      <c r="G716" s="308" t="s">
        <v>2985</v>
      </c>
      <c r="H716" s="308" t="s">
        <v>2990</v>
      </c>
      <c r="I716" s="316" t="s">
        <v>407</v>
      </c>
      <c r="J716" s="308" t="str">
        <f>IFERROR(__xludf.DUMMYFUNCTION("SPLIT(I716,""/"")"),"#REF!")</f>
        <v>#REF!</v>
      </c>
      <c r="K716" s="308"/>
      <c r="L716" s="311" t="s">
        <v>79</v>
      </c>
      <c r="M716" s="308" t="s">
        <v>35411</v>
      </c>
      <c r="N716" s="308"/>
      <c r="O716" s="312" t="s">
        <v>2991</v>
      </c>
      <c r="P716" s="308" t="s">
        <v>136</v>
      </c>
      <c r="Q716" s="308"/>
      <c r="R716" s="308"/>
      <c r="S716" s="315" t="s">
        <v>100</v>
      </c>
      <c r="T716" s="308" t="s">
        <v>34208</v>
      </c>
      <c r="U716" s="308" t="s">
        <v>2989</v>
      </c>
      <c r="V716" s="312"/>
    </row>
    <row r="717">
      <c r="A717" s="308">
        <v>716.0</v>
      </c>
      <c r="B717" s="308">
        <v>3926.0</v>
      </c>
      <c r="C717" s="308" t="s">
        <v>35413</v>
      </c>
      <c r="D717" s="308">
        <f>IFERROR(__xludf.DUMMYFUNCTION("SPLIT(C717,""-"")"),718.0)</f>
        <v>718</v>
      </c>
      <c r="E717" s="311"/>
      <c r="F717" s="317" t="s">
        <v>39</v>
      </c>
      <c r="G717" s="308" t="s">
        <v>2992</v>
      </c>
      <c r="H717" s="308" t="s">
        <v>2993</v>
      </c>
      <c r="I717" s="310">
        <v>39686.0</v>
      </c>
      <c r="J717" s="308">
        <f>IFERROR(__xludf.DUMMYFUNCTION("SPLIT(I717,""/"")"),26.0)</f>
        <v>26</v>
      </c>
      <c r="K717" s="308">
        <f>IFERROR(__xludf.DUMMYFUNCTION("""COMPUTED_VALUE"""),8.0)</f>
        <v>8</v>
      </c>
      <c r="L717" s="308">
        <f>IFERROR(__xludf.DUMMYFUNCTION("""COMPUTED_VALUE"""),2008.0)</f>
        <v>2008</v>
      </c>
      <c r="M717" s="308" t="s">
        <v>2994</v>
      </c>
      <c r="N717" s="308"/>
      <c r="O717" s="312" t="s">
        <v>35414</v>
      </c>
      <c r="P717" s="308" t="s">
        <v>2996</v>
      </c>
      <c r="Q717" s="308"/>
      <c r="R717" s="308"/>
      <c r="S717" s="308" t="s">
        <v>81</v>
      </c>
      <c r="T717" s="308" t="s">
        <v>73</v>
      </c>
      <c r="U717" s="308"/>
      <c r="V717" s="312"/>
    </row>
    <row r="718">
      <c r="A718" s="308">
        <v>717.0</v>
      </c>
      <c r="B718" s="308">
        <v>3927.0</v>
      </c>
      <c r="C718" s="308" t="s">
        <v>35415</v>
      </c>
      <c r="D718" s="308">
        <f>IFERROR(__xludf.DUMMYFUNCTION("SPLIT(C718,""-"")"),719.0)</f>
        <v>719</v>
      </c>
      <c r="E718" s="311"/>
      <c r="F718" s="317" t="s">
        <v>37</v>
      </c>
      <c r="G718" s="308" t="s">
        <v>2992</v>
      </c>
      <c r="H718" s="308" t="s">
        <v>35416</v>
      </c>
      <c r="I718" s="310">
        <v>40854.0</v>
      </c>
      <c r="J718" s="308">
        <f>IFERROR(__xludf.DUMMYFUNCTION("SPLIT(I718,""/"")"),7.0)</f>
        <v>7</v>
      </c>
      <c r="K718" s="308">
        <f>IFERROR(__xludf.DUMMYFUNCTION("""COMPUTED_VALUE"""),11.0)</f>
        <v>11</v>
      </c>
      <c r="L718" s="308">
        <f>IFERROR(__xludf.DUMMYFUNCTION("""COMPUTED_VALUE"""),2011.0)</f>
        <v>2011</v>
      </c>
      <c r="M718" s="308" t="s">
        <v>2998</v>
      </c>
      <c r="N718" s="308"/>
      <c r="O718" s="312" t="s">
        <v>35417</v>
      </c>
      <c r="P718" s="308" t="s">
        <v>3000</v>
      </c>
      <c r="Q718" s="308"/>
      <c r="R718" s="308"/>
      <c r="S718" s="308" t="s">
        <v>81</v>
      </c>
      <c r="T718" s="308" t="s">
        <v>73</v>
      </c>
      <c r="U718" s="308"/>
      <c r="V718" s="312"/>
    </row>
    <row r="719">
      <c r="A719" s="308">
        <v>718.0</v>
      </c>
      <c r="B719" s="308">
        <v>3928.0</v>
      </c>
      <c r="C719" s="308" t="s">
        <v>35418</v>
      </c>
      <c r="D719" s="308">
        <f>IFERROR(__xludf.DUMMYFUNCTION("SPLIT(C719,""-"")"),720.0)</f>
        <v>720</v>
      </c>
      <c r="E719" s="311"/>
      <c r="F719" s="309" t="s">
        <v>34</v>
      </c>
      <c r="G719" s="308" t="s">
        <v>3001</v>
      </c>
      <c r="H719" s="308" t="s">
        <v>3002</v>
      </c>
      <c r="I719" s="310">
        <v>40973.0</v>
      </c>
      <c r="J719" s="308">
        <f>IFERROR(__xludf.DUMMYFUNCTION("SPLIT(I719,""/"")"),5.0)</f>
        <v>5</v>
      </c>
      <c r="K719" s="308">
        <f>IFERROR(__xludf.DUMMYFUNCTION("""COMPUTED_VALUE"""),3.0)</f>
        <v>3</v>
      </c>
      <c r="L719" s="308">
        <f>IFERROR(__xludf.DUMMYFUNCTION("""COMPUTED_VALUE"""),2012.0)</f>
        <v>2012</v>
      </c>
      <c r="M719" s="308" t="s">
        <v>3003</v>
      </c>
      <c r="N719" s="308"/>
      <c r="O719" s="312" t="s">
        <v>35419</v>
      </c>
      <c r="P719" s="308" t="s">
        <v>3005</v>
      </c>
      <c r="Q719" s="308"/>
      <c r="R719" s="308"/>
      <c r="S719" s="308" t="s">
        <v>81</v>
      </c>
      <c r="T719" s="311" t="s">
        <v>77</v>
      </c>
      <c r="U719" s="308"/>
      <c r="V719" s="312"/>
    </row>
    <row r="720">
      <c r="A720" s="308">
        <v>719.0</v>
      </c>
      <c r="B720" s="308">
        <v>3929.0</v>
      </c>
      <c r="C720" s="308" t="s">
        <v>35420</v>
      </c>
      <c r="D720" s="308">
        <f>IFERROR(__xludf.DUMMYFUNCTION("SPLIT(C720,""-"")"),721.0)</f>
        <v>721</v>
      </c>
      <c r="E720" s="311"/>
      <c r="F720" s="309" t="s">
        <v>34</v>
      </c>
      <c r="G720" s="308" t="s">
        <v>3001</v>
      </c>
      <c r="H720" s="308" t="s">
        <v>3006</v>
      </c>
      <c r="I720" s="310">
        <v>40973.0</v>
      </c>
      <c r="J720" s="308">
        <f>IFERROR(__xludf.DUMMYFUNCTION("SPLIT(I720,""/"")"),5.0)</f>
        <v>5</v>
      </c>
      <c r="K720" s="308">
        <f>IFERROR(__xludf.DUMMYFUNCTION("""COMPUTED_VALUE"""),3.0)</f>
        <v>3</v>
      </c>
      <c r="L720" s="308">
        <f>IFERROR(__xludf.DUMMYFUNCTION("""COMPUTED_VALUE"""),2012.0)</f>
        <v>2012</v>
      </c>
      <c r="M720" s="308" t="s">
        <v>3003</v>
      </c>
      <c r="N720" s="308"/>
      <c r="O720" s="312" t="s">
        <v>35419</v>
      </c>
      <c r="P720" s="308" t="s">
        <v>3005</v>
      </c>
      <c r="Q720" s="308"/>
      <c r="R720" s="308"/>
      <c r="S720" s="308" t="s">
        <v>81</v>
      </c>
      <c r="T720" s="311" t="s">
        <v>77</v>
      </c>
      <c r="U720" s="308"/>
      <c r="V720" s="312"/>
    </row>
    <row r="721">
      <c r="A721" s="308">
        <v>720.0</v>
      </c>
      <c r="B721" s="308">
        <v>3930.0</v>
      </c>
      <c r="C721" s="308" t="s">
        <v>35421</v>
      </c>
      <c r="D721" s="308">
        <f>IFERROR(__xludf.DUMMYFUNCTION("SPLIT(C721,""-"")"),722.0)</f>
        <v>722</v>
      </c>
      <c r="E721" s="311"/>
      <c r="F721" s="317" t="s">
        <v>37</v>
      </c>
      <c r="G721" s="308" t="s">
        <v>3007</v>
      </c>
      <c r="H721" s="308" t="s">
        <v>3008</v>
      </c>
      <c r="I721" s="310">
        <v>39630.0</v>
      </c>
      <c r="J721" s="308">
        <f>IFERROR(__xludf.DUMMYFUNCTION("SPLIT(I721,""/"")"),1.0)</f>
        <v>1</v>
      </c>
      <c r="K721" s="308">
        <f>IFERROR(__xludf.DUMMYFUNCTION("""COMPUTED_VALUE"""),7.0)</f>
        <v>7</v>
      </c>
      <c r="L721" s="308">
        <f>IFERROR(__xludf.DUMMYFUNCTION("""COMPUTED_VALUE"""),2008.0)</f>
        <v>2008</v>
      </c>
      <c r="M721" s="308" t="s">
        <v>3009</v>
      </c>
      <c r="N721" s="308"/>
      <c r="O721" s="312" t="s">
        <v>35422</v>
      </c>
      <c r="P721" s="308" t="s">
        <v>3011</v>
      </c>
      <c r="Q721" s="308"/>
      <c r="R721" s="308"/>
      <c r="S721" s="315" t="s">
        <v>100</v>
      </c>
      <c r="T721" s="311" t="s">
        <v>34208</v>
      </c>
      <c r="U721" s="308" t="s">
        <v>3012</v>
      </c>
      <c r="V721" s="312"/>
    </row>
    <row r="722">
      <c r="A722" s="308">
        <v>721.0</v>
      </c>
      <c r="B722" s="308">
        <v>3931.0</v>
      </c>
      <c r="C722" s="308" t="s">
        <v>35423</v>
      </c>
      <c r="D722" s="308">
        <f>IFERROR(__xludf.DUMMYFUNCTION("SPLIT(C722,""-"")"),723.0)</f>
        <v>723</v>
      </c>
      <c r="E722" s="311"/>
      <c r="F722" s="317" t="s">
        <v>37</v>
      </c>
      <c r="G722" s="308"/>
      <c r="H722" s="308" t="s">
        <v>3013</v>
      </c>
      <c r="I722" s="310">
        <v>41027.0</v>
      </c>
      <c r="J722" s="308">
        <f>IFERROR(__xludf.DUMMYFUNCTION("SPLIT(I722,""/"")"),28.0)</f>
        <v>28</v>
      </c>
      <c r="K722" s="308">
        <f>IFERROR(__xludf.DUMMYFUNCTION("""COMPUTED_VALUE"""),4.0)</f>
        <v>4</v>
      </c>
      <c r="L722" s="308">
        <f>IFERROR(__xludf.DUMMYFUNCTION("""COMPUTED_VALUE"""),2012.0)</f>
        <v>2012</v>
      </c>
      <c r="M722" s="308" t="s">
        <v>3014</v>
      </c>
      <c r="N722" s="308"/>
      <c r="O722" s="312" t="s">
        <v>35424</v>
      </c>
      <c r="P722" s="308" t="s">
        <v>35425</v>
      </c>
      <c r="Q722" s="308"/>
      <c r="R722" s="308"/>
      <c r="S722" s="308" t="s">
        <v>81</v>
      </c>
      <c r="T722" s="311" t="s">
        <v>77</v>
      </c>
      <c r="U722" s="308"/>
      <c r="V722" s="312"/>
    </row>
    <row r="723">
      <c r="A723" s="308">
        <v>722.0</v>
      </c>
      <c r="B723" s="308">
        <v>3932.0</v>
      </c>
      <c r="C723" s="308" t="s">
        <v>35426</v>
      </c>
      <c r="D723" s="308">
        <f>IFERROR(__xludf.DUMMYFUNCTION("SPLIT(C723,""-"")"),724.0)</f>
        <v>724</v>
      </c>
      <c r="E723" s="311"/>
      <c r="F723" s="317" t="s">
        <v>37</v>
      </c>
      <c r="G723" s="308"/>
      <c r="H723" s="308" t="s">
        <v>3017</v>
      </c>
      <c r="I723" s="314">
        <v>40873.0</v>
      </c>
      <c r="J723" s="308">
        <f>IFERROR(__xludf.DUMMYFUNCTION("SPLIT(I723,""/"")"),26.0)</f>
        <v>26</v>
      </c>
      <c r="K723" s="308">
        <f>IFERROR(__xludf.DUMMYFUNCTION("""COMPUTED_VALUE"""),11.0)</f>
        <v>11</v>
      </c>
      <c r="L723" s="308">
        <f>IFERROR(__xludf.DUMMYFUNCTION("""COMPUTED_VALUE"""),2011.0)</f>
        <v>2011</v>
      </c>
      <c r="M723" s="308" t="s">
        <v>3018</v>
      </c>
      <c r="N723" s="308"/>
      <c r="O723" s="312" t="s">
        <v>35427</v>
      </c>
      <c r="P723" s="308" t="s">
        <v>3020</v>
      </c>
      <c r="Q723" s="308"/>
      <c r="R723" s="308"/>
      <c r="S723" s="308" t="s">
        <v>81</v>
      </c>
      <c r="T723" s="308" t="s">
        <v>98</v>
      </c>
      <c r="U723" s="308"/>
      <c r="V723" s="312"/>
    </row>
    <row r="724">
      <c r="A724" s="308">
        <v>723.0</v>
      </c>
      <c r="B724" s="308">
        <v>3933.0</v>
      </c>
      <c r="C724" s="308" t="s">
        <v>35428</v>
      </c>
      <c r="D724" s="308">
        <f>IFERROR(__xludf.DUMMYFUNCTION("SPLIT(C724,""-"")"),725.0)</f>
        <v>725</v>
      </c>
      <c r="E724" s="311"/>
      <c r="F724" s="317" t="s">
        <v>37</v>
      </c>
      <c r="G724" s="308"/>
      <c r="H724" s="308" t="s">
        <v>3021</v>
      </c>
      <c r="I724" s="314">
        <v>40129.0</v>
      </c>
      <c r="J724" s="308">
        <f>IFERROR(__xludf.DUMMYFUNCTION("SPLIT(I724,""/"")"),12.0)</f>
        <v>12</v>
      </c>
      <c r="K724" s="308">
        <f>IFERROR(__xludf.DUMMYFUNCTION("""COMPUTED_VALUE"""),11.0)</f>
        <v>11</v>
      </c>
      <c r="L724" s="308">
        <f>IFERROR(__xludf.DUMMYFUNCTION("""COMPUTED_VALUE"""),2009.0)</f>
        <v>2009</v>
      </c>
      <c r="M724" s="308" t="s">
        <v>3022</v>
      </c>
      <c r="N724" s="308"/>
      <c r="O724" s="312" t="s">
        <v>35429</v>
      </c>
      <c r="P724" s="308" t="s">
        <v>3024</v>
      </c>
      <c r="Q724" s="308"/>
      <c r="R724" s="308"/>
      <c r="S724" s="308" t="s">
        <v>81</v>
      </c>
      <c r="T724" s="311" t="s">
        <v>75</v>
      </c>
      <c r="U724" s="308"/>
      <c r="V724" s="312"/>
    </row>
    <row r="725">
      <c r="A725" s="308">
        <v>724.0</v>
      </c>
      <c r="B725" s="308">
        <v>3934.0</v>
      </c>
      <c r="C725" s="308" t="s">
        <v>35430</v>
      </c>
      <c r="D725" s="308">
        <f>IFERROR(__xludf.DUMMYFUNCTION("SPLIT(C725,""-"")"),726.0)</f>
        <v>726</v>
      </c>
      <c r="E725" s="311"/>
      <c r="F725" s="309" t="s">
        <v>34</v>
      </c>
      <c r="G725" s="308"/>
      <c r="H725" s="308" t="s">
        <v>3025</v>
      </c>
      <c r="I725" s="310">
        <v>41032.0</v>
      </c>
      <c r="J725" s="308">
        <f>IFERROR(__xludf.DUMMYFUNCTION("SPLIT(I725,""/"")"),3.0)</f>
        <v>3</v>
      </c>
      <c r="K725" s="308">
        <f>IFERROR(__xludf.DUMMYFUNCTION("""COMPUTED_VALUE"""),5.0)</f>
        <v>5</v>
      </c>
      <c r="L725" s="308">
        <f>IFERROR(__xludf.DUMMYFUNCTION("""COMPUTED_VALUE"""),2012.0)</f>
        <v>2012</v>
      </c>
      <c r="M725" s="308" t="s">
        <v>3026</v>
      </c>
      <c r="N725" s="308"/>
      <c r="O725" s="312" t="s">
        <v>3027</v>
      </c>
      <c r="P725" s="308" t="s">
        <v>35431</v>
      </c>
      <c r="Q725" s="308"/>
      <c r="R725" s="308"/>
      <c r="S725" s="308" t="s">
        <v>81</v>
      </c>
      <c r="T725" s="308" t="s">
        <v>34264</v>
      </c>
      <c r="U725" s="308"/>
      <c r="V725" s="312"/>
    </row>
    <row r="726">
      <c r="A726" s="308">
        <v>725.0</v>
      </c>
      <c r="B726" s="308">
        <v>3935.0</v>
      </c>
      <c r="C726" s="308" t="s">
        <v>35432</v>
      </c>
      <c r="D726" s="308">
        <f>IFERROR(__xludf.DUMMYFUNCTION("SPLIT(C726,""-"")"),727.0)</f>
        <v>727</v>
      </c>
      <c r="E726" s="311"/>
      <c r="F726" s="309" t="s">
        <v>34</v>
      </c>
      <c r="G726" s="308"/>
      <c r="H726" s="308" t="s">
        <v>3029</v>
      </c>
      <c r="I726" s="310">
        <v>40301.0</v>
      </c>
      <c r="J726" s="308">
        <f>IFERROR(__xludf.DUMMYFUNCTION("SPLIT(I726,""/"")"),3.0)</f>
        <v>3</v>
      </c>
      <c r="K726" s="308">
        <f>IFERROR(__xludf.DUMMYFUNCTION("""COMPUTED_VALUE"""),5.0)</f>
        <v>5</v>
      </c>
      <c r="L726" s="308">
        <f>IFERROR(__xludf.DUMMYFUNCTION("""COMPUTED_VALUE"""),2010.0)</f>
        <v>2010</v>
      </c>
      <c r="M726" s="308" t="s">
        <v>3030</v>
      </c>
      <c r="N726" s="308"/>
      <c r="O726" s="312" t="s">
        <v>35433</v>
      </c>
      <c r="P726" s="308" t="s">
        <v>35434</v>
      </c>
      <c r="Q726" s="308"/>
      <c r="R726" s="308"/>
      <c r="S726" s="308" t="s">
        <v>81</v>
      </c>
      <c r="T726" s="308" t="s">
        <v>34264</v>
      </c>
      <c r="U726" s="308"/>
      <c r="V726" s="312"/>
    </row>
    <row r="727">
      <c r="A727" s="308">
        <v>726.0</v>
      </c>
      <c r="B727" s="308">
        <v>3936.0</v>
      </c>
      <c r="C727" s="308" t="s">
        <v>35435</v>
      </c>
      <c r="D727" s="308">
        <f>IFERROR(__xludf.DUMMYFUNCTION("SPLIT(C727,""-"")"),728.0)</f>
        <v>728</v>
      </c>
      <c r="E727" s="311"/>
      <c r="F727" s="309" t="s">
        <v>34</v>
      </c>
      <c r="G727" s="308"/>
      <c r="H727" s="308" t="s">
        <v>3033</v>
      </c>
      <c r="I727" s="310">
        <v>40662.0</v>
      </c>
      <c r="J727" s="308">
        <f>IFERROR(__xludf.DUMMYFUNCTION("SPLIT(I727,""/"")"),29.0)</f>
        <v>29</v>
      </c>
      <c r="K727" s="308">
        <f>IFERROR(__xludf.DUMMYFUNCTION("""COMPUTED_VALUE"""),4.0)</f>
        <v>4</v>
      </c>
      <c r="L727" s="308">
        <f>IFERROR(__xludf.DUMMYFUNCTION("""COMPUTED_VALUE"""),2011.0)</f>
        <v>2011</v>
      </c>
      <c r="M727" s="308" t="s">
        <v>3034</v>
      </c>
      <c r="N727" s="308"/>
      <c r="O727" s="312" t="s">
        <v>35436</v>
      </c>
      <c r="P727" s="308" t="s">
        <v>35434</v>
      </c>
      <c r="Q727" s="308"/>
      <c r="R727" s="308"/>
      <c r="S727" s="308" t="s">
        <v>81</v>
      </c>
      <c r="T727" s="308" t="s">
        <v>34264</v>
      </c>
      <c r="U727" s="308"/>
      <c r="V727" s="312"/>
    </row>
    <row r="728">
      <c r="A728" s="308">
        <v>727.0</v>
      </c>
      <c r="B728" s="308">
        <v>3937.0</v>
      </c>
      <c r="C728" s="308" t="s">
        <v>35437</v>
      </c>
      <c r="D728" s="308">
        <f>IFERROR(__xludf.DUMMYFUNCTION("SPLIT(C728,""-"")"),729.0)</f>
        <v>729</v>
      </c>
      <c r="E728" s="311"/>
      <c r="F728" s="309" t="s">
        <v>34</v>
      </c>
      <c r="G728" s="308"/>
      <c r="H728" s="308" t="s">
        <v>3036</v>
      </c>
      <c r="I728" s="310">
        <v>40087.0</v>
      </c>
      <c r="J728" s="308">
        <f>IFERROR(__xludf.DUMMYFUNCTION("SPLIT(I728,""/"")"),1.0)</f>
        <v>1</v>
      </c>
      <c r="K728" s="308">
        <f>IFERROR(__xludf.DUMMYFUNCTION("""COMPUTED_VALUE"""),10.0)</f>
        <v>10</v>
      </c>
      <c r="L728" s="308">
        <f>IFERROR(__xludf.DUMMYFUNCTION("""COMPUTED_VALUE"""),2009.0)</f>
        <v>2009</v>
      </c>
      <c r="M728" s="308" t="s">
        <v>3037</v>
      </c>
      <c r="N728" s="308"/>
      <c r="O728" s="312" t="s">
        <v>35438</v>
      </c>
      <c r="P728" s="308" t="s">
        <v>1392</v>
      </c>
      <c r="Q728" s="308"/>
      <c r="R728" s="308"/>
      <c r="S728" s="308" t="s">
        <v>49</v>
      </c>
      <c r="T728" s="315" t="s">
        <v>69</v>
      </c>
      <c r="U728" s="308" t="s">
        <v>1393</v>
      </c>
      <c r="V728" s="312"/>
    </row>
    <row r="729">
      <c r="A729" s="308">
        <v>728.0</v>
      </c>
      <c r="B729" s="308">
        <v>3938.0</v>
      </c>
      <c r="C729" s="308" t="s">
        <v>35439</v>
      </c>
      <c r="D729" s="308">
        <f>IFERROR(__xludf.DUMMYFUNCTION("SPLIT(C729,""-"")"),730.0)</f>
        <v>730</v>
      </c>
      <c r="E729" s="311"/>
      <c r="F729" s="309" t="s">
        <v>34</v>
      </c>
      <c r="G729" s="308"/>
      <c r="H729" s="308" t="s">
        <v>35440</v>
      </c>
      <c r="I729" s="310">
        <v>40328.0</v>
      </c>
      <c r="J729" s="308">
        <f>IFERROR(__xludf.DUMMYFUNCTION("SPLIT(I729,""/"")"),30.0)</f>
        <v>30</v>
      </c>
      <c r="K729" s="308">
        <f>IFERROR(__xludf.DUMMYFUNCTION("""COMPUTED_VALUE"""),5.0)</f>
        <v>5</v>
      </c>
      <c r="L729" s="308">
        <f>IFERROR(__xludf.DUMMYFUNCTION("""COMPUTED_VALUE"""),2010.0)</f>
        <v>2010</v>
      </c>
      <c r="M729" s="308" t="s">
        <v>3040</v>
      </c>
      <c r="N729" s="308"/>
      <c r="O729" s="312" t="s">
        <v>35441</v>
      </c>
      <c r="P729" s="308" t="s">
        <v>2230</v>
      </c>
      <c r="Q729" s="308"/>
      <c r="R729" s="308"/>
      <c r="S729" s="315" t="s">
        <v>100</v>
      </c>
      <c r="T729" s="311" t="s">
        <v>34208</v>
      </c>
      <c r="U729" s="308" t="s">
        <v>156</v>
      </c>
      <c r="V729" s="312"/>
    </row>
    <row r="730">
      <c r="A730" s="308">
        <v>729.0</v>
      </c>
      <c r="B730" s="308">
        <v>3939.0</v>
      </c>
      <c r="C730" s="308" t="s">
        <v>35442</v>
      </c>
      <c r="D730" s="308">
        <f>IFERROR(__xludf.DUMMYFUNCTION("SPLIT(C730,""-"")"),731.0)</f>
        <v>731</v>
      </c>
      <c r="E730" s="311"/>
      <c r="F730" s="309" t="s">
        <v>34</v>
      </c>
      <c r="G730" s="308"/>
      <c r="H730" s="308" t="s">
        <v>35443</v>
      </c>
      <c r="I730" s="310">
        <v>40316.0</v>
      </c>
      <c r="J730" s="308">
        <f>IFERROR(__xludf.DUMMYFUNCTION("SPLIT(I730,""/"")"),18.0)</f>
        <v>18</v>
      </c>
      <c r="K730" s="308">
        <f>IFERROR(__xludf.DUMMYFUNCTION("""COMPUTED_VALUE"""),5.0)</f>
        <v>5</v>
      </c>
      <c r="L730" s="308">
        <f>IFERROR(__xludf.DUMMYFUNCTION("""COMPUTED_VALUE"""),2010.0)</f>
        <v>2010</v>
      </c>
      <c r="M730" s="308" t="s">
        <v>3043</v>
      </c>
      <c r="N730" s="308"/>
      <c r="O730" s="312" t="s">
        <v>635</v>
      </c>
      <c r="P730" s="308" t="s">
        <v>3044</v>
      </c>
      <c r="Q730" s="308"/>
      <c r="R730" s="308"/>
      <c r="S730" s="308" t="s">
        <v>81</v>
      </c>
      <c r="T730" s="308" t="s">
        <v>34264</v>
      </c>
      <c r="U730" s="308"/>
      <c r="V730" s="312"/>
    </row>
    <row r="731">
      <c r="A731" s="308">
        <v>730.0</v>
      </c>
      <c r="B731" s="308">
        <v>3940.0</v>
      </c>
      <c r="C731" s="308" t="s">
        <v>35444</v>
      </c>
      <c r="D731" s="308">
        <f>IFERROR(__xludf.DUMMYFUNCTION("SPLIT(C731,""-"")"),732.0)</f>
        <v>732</v>
      </c>
      <c r="E731" s="311"/>
      <c r="F731" s="309" t="s">
        <v>34</v>
      </c>
      <c r="G731" s="308"/>
      <c r="H731" s="308" t="s">
        <v>3045</v>
      </c>
      <c r="I731" s="310">
        <v>40316.0</v>
      </c>
      <c r="J731" s="308">
        <f>IFERROR(__xludf.DUMMYFUNCTION("SPLIT(I731,""/"")"),18.0)</f>
        <v>18</v>
      </c>
      <c r="K731" s="308">
        <f>IFERROR(__xludf.DUMMYFUNCTION("""COMPUTED_VALUE"""),5.0)</f>
        <v>5</v>
      </c>
      <c r="L731" s="308">
        <f>IFERROR(__xludf.DUMMYFUNCTION("""COMPUTED_VALUE"""),2010.0)</f>
        <v>2010</v>
      </c>
      <c r="M731" s="308" t="s">
        <v>3046</v>
      </c>
      <c r="N731" s="308"/>
      <c r="O731" s="312" t="s">
        <v>3047</v>
      </c>
      <c r="P731" s="308" t="s">
        <v>148</v>
      </c>
      <c r="Q731" s="308"/>
      <c r="R731" s="308"/>
      <c r="S731" s="308" t="s">
        <v>49</v>
      </c>
      <c r="T731" s="308" t="s">
        <v>51</v>
      </c>
      <c r="U731" s="308"/>
      <c r="V731" s="312"/>
    </row>
    <row r="732">
      <c r="A732" s="308">
        <v>731.0</v>
      </c>
      <c r="B732" s="308">
        <v>3941.0</v>
      </c>
      <c r="C732" s="308" t="s">
        <v>35445</v>
      </c>
      <c r="D732" s="308">
        <f>IFERROR(__xludf.DUMMYFUNCTION("SPLIT(C732,""-"")"),733.0)</f>
        <v>733</v>
      </c>
      <c r="E732" s="311"/>
      <c r="F732" s="309" t="s">
        <v>34</v>
      </c>
      <c r="G732" s="308"/>
      <c r="H732" s="308" t="s">
        <v>3048</v>
      </c>
      <c r="I732" s="310">
        <v>40063.0</v>
      </c>
      <c r="J732" s="308">
        <f>IFERROR(__xludf.DUMMYFUNCTION("SPLIT(I732,""/"")"),7.0)</f>
        <v>7</v>
      </c>
      <c r="K732" s="308">
        <f>IFERROR(__xludf.DUMMYFUNCTION("""COMPUTED_VALUE"""),9.0)</f>
        <v>9</v>
      </c>
      <c r="L732" s="308">
        <f>IFERROR(__xludf.DUMMYFUNCTION("""COMPUTED_VALUE"""),2009.0)</f>
        <v>2009</v>
      </c>
      <c r="M732" s="308" t="s">
        <v>3049</v>
      </c>
      <c r="N732" s="308"/>
      <c r="O732" s="312" t="s">
        <v>35446</v>
      </c>
      <c r="P732" s="308" t="s">
        <v>35028</v>
      </c>
      <c r="Q732" s="308"/>
      <c r="R732" s="308"/>
      <c r="S732" s="308" t="s">
        <v>49</v>
      </c>
      <c r="T732" s="308" t="s">
        <v>69</v>
      </c>
      <c r="U732" s="308" t="s">
        <v>1393</v>
      </c>
      <c r="V732" s="312"/>
    </row>
    <row r="733">
      <c r="A733" s="308">
        <v>732.0</v>
      </c>
      <c r="B733" s="308">
        <v>3942.0</v>
      </c>
      <c r="C733" s="308" t="s">
        <v>35447</v>
      </c>
      <c r="D733" s="308">
        <f>IFERROR(__xludf.DUMMYFUNCTION("SPLIT(C733,""-"")"),734.0)</f>
        <v>734</v>
      </c>
      <c r="E733" s="311"/>
      <c r="F733" s="309" t="s">
        <v>34</v>
      </c>
      <c r="G733" s="308"/>
      <c r="H733" s="308" t="s">
        <v>3051</v>
      </c>
      <c r="I733" s="310">
        <v>40092.0</v>
      </c>
      <c r="J733" s="308">
        <f>IFERROR(__xludf.DUMMYFUNCTION("SPLIT(I733,""/"")"),6.0)</f>
        <v>6</v>
      </c>
      <c r="K733" s="308">
        <f>IFERROR(__xludf.DUMMYFUNCTION("""COMPUTED_VALUE"""),10.0)</f>
        <v>10</v>
      </c>
      <c r="L733" s="308">
        <f>IFERROR(__xludf.DUMMYFUNCTION("""COMPUTED_VALUE"""),2009.0)</f>
        <v>2009</v>
      </c>
      <c r="M733" s="308" t="s">
        <v>3052</v>
      </c>
      <c r="N733" s="308" t="s">
        <v>3053</v>
      </c>
      <c r="O733" s="312" t="s">
        <v>35448</v>
      </c>
      <c r="P733" s="308" t="s">
        <v>1555</v>
      </c>
      <c r="Q733" s="308"/>
      <c r="R733" s="308" t="s">
        <v>35449</v>
      </c>
      <c r="S733" s="315" t="s">
        <v>100</v>
      </c>
      <c r="T733" s="311" t="s">
        <v>34208</v>
      </c>
      <c r="U733" s="308" t="s">
        <v>1393</v>
      </c>
      <c r="V733" s="312"/>
    </row>
    <row r="734">
      <c r="A734" s="308">
        <v>733.0</v>
      </c>
      <c r="B734" s="308">
        <v>3943.0</v>
      </c>
      <c r="C734" s="308" t="s">
        <v>35450</v>
      </c>
      <c r="D734" s="308">
        <f>IFERROR(__xludf.DUMMYFUNCTION("SPLIT(C734,""-"")"),735.0)</f>
        <v>735</v>
      </c>
      <c r="E734" s="311"/>
      <c r="F734" s="317" t="s">
        <v>37</v>
      </c>
      <c r="G734" s="308"/>
      <c r="H734" s="308" t="s">
        <v>3055</v>
      </c>
      <c r="I734" s="310">
        <v>39940.0</v>
      </c>
      <c r="J734" s="308">
        <f>IFERROR(__xludf.DUMMYFUNCTION("SPLIT(I734,""/"")"),7.0)</f>
        <v>7</v>
      </c>
      <c r="K734" s="308">
        <f>IFERROR(__xludf.DUMMYFUNCTION("""COMPUTED_VALUE"""),5.0)</f>
        <v>5</v>
      </c>
      <c r="L734" s="308">
        <f>IFERROR(__xludf.DUMMYFUNCTION("""COMPUTED_VALUE"""),2009.0)</f>
        <v>2009</v>
      </c>
      <c r="M734" s="308" t="s">
        <v>3056</v>
      </c>
      <c r="N734" s="308"/>
      <c r="O734" s="312" t="s">
        <v>35451</v>
      </c>
      <c r="P734" s="308" t="s">
        <v>3058</v>
      </c>
      <c r="Q734" s="308"/>
      <c r="R734" s="308"/>
      <c r="S734" s="308" t="s">
        <v>81</v>
      </c>
      <c r="T734" s="311" t="s">
        <v>51</v>
      </c>
      <c r="U734" s="308"/>
      <c r="V734" s="312"/>
    </row>
    <row r="735">
      <c r="A735" s="308">
        <v>734.0</v>
      </c>
      <c r="B735" s="308">
        <v>3944.0</v>
      </c>
      <c r="C735" s="308" t="s">
        <v>35452</v>
      </c>
      <c r="D735" s="308">
        <f>IFERROR(__xludf.DUMMYFUNCTION("SPLIT(C735,""-"")"),736.0)</f>
        <v>736</v>
      </c>
      <c r="E735" s="311"/>
      <c r="F735" s="309" t="s">
        <v>34</v>
      </c>
      <c r="G735" s="308"/>
      <c r="H735" s="308" t="s">
        <v>3059</v>
      </c>
      <c r="I735" s="310">
        <v>40181.0</v>
      </c>
      <c r="J735" s="308">
        <f>IFERROR(__xludf.DUMMYFUNCTION("SPLIT(I735,""/"")"),3.0)</f>
        <v>3</v>
      </c>
      <c r="K735" s="308">
        <f>IFERROR(__xludf.DUMMYFUNCTION("""COMPUTED_VALUE"""),1.0)</f>
        <v>1</v>
      </c>
      <c r="L735" s="308">
        <f>IFERROR(__xludf.DUMMYFUNCTION("""COMPUTED_VALUE"""),2010.0)</f>
        <v>2010</v>
      </c>
      <c r="M735" s="308" t="s">
        <v>3060</v>
      </c>
      <c r="N735" s="308"/>
      <c r="O735" s="312" t="s">
        <v>35453</v>
      </c>
      <c r="P735" s="308" t="s">
        <v>1605</v>
      </c>
      <c r="Q735" s="308"/>
      <c r="R735" s="308"/>
      <c r="S735" s="315" t="s">
        <v>100</v>
      </c>
      <c r="T735" s="311" t="s">
        <v>34208</v>
      </c>
      <c r="U735" s="308" t="s">
        <v>125</v>
      </c>
      <c r="V735" s="312"/>
    </row>
    <row r="736">
      <c r="A736" s="308">
        <v>735.0</v>
      </c>
      <c r="B736" s="308">
        <v>3945.0</v>
      </c>
      <c r="C736" s="308" t="s">
        <v>35454</v>
      </c>
      <c r="D736" s="308">
        <f>IFERROR(__xludf.DUMMYFUNCTION("SPLIT(C736,""-"")"),737.0)</f>
        <v>737</v>
      </c>
      <c r="E736" s="311"/>
      <c r="F736" s="317" t="s">
        <v>39</v>
      </c>
      <c r="G736" s="308"/>
      <c r="H736" s="308" t="s">
        <v>3062</v>
      </c>
      <c r="I736" s="310">
        <v>40271.0</v>
      </c>
      <c r="J736" s="308">
        <f>IFERROR(__xludf.DUMMYFUNCTION("SPLIT(I736,""/"")"),3.0)</f>
        <v>3</v>
      </c>
      <c r="K736" s="308">
        <f>IFERROR(__xludf.DUMMYFUNCTION("""COMPUTED_VALUE"""),4.0)</f>
        <v>4</v>
      </c>
      <c r="L736" s="308">
        <f>IFERROR(__xludf.DUMMYFUNCTION("""COMPUTED_VALUE"""),2010.0)</f>
        <v>2010</v>
      </c>
      <c r="M736" s="308" t="s">
        <v>3063</v>
      </c>
      <c r="N736" s="308"/>
      <c r="O736" s="312" t="s">
        <v>35455</v>
      </c>
      <c r="P736" s="308" t="s">
        <v>3065</v>
      </c>
      <c r="Q736" s="308"/>
      <c r="R736" s="308"/>
      <c r="S736" s="308" t="s">
        <v>81</v>
      </c>
      <c r="T736" s="308" t="s">
        <v>73</v>
      </c>
      <c r="U736" s="308"/>
      <c r="V736" s="312"/>
    </row>
    <row r="737">
      <c r="A737" s="308">
        <v>736.0</v>
      </c>
      <c r="B737" s="308">
        <v>3946.0</v>
      </c>
      <c r="C737" s="308" t="s">
        <v>35456</v>
      </c>
      <c r="D737" s="308">
        <f>IFERROR(__xludf.DUMMYFUNCTION("SPLIT(C737,""-"")"),738.0)</f>
        <v>738</v>
      </c>
      <c r="E737" s="311"/>
      <c r="F737" s="309" t="s">
        <v>34</v>
      </c>
      <c r="G737" s="308"/>
      <c r="H737" s="308" t="s">
        <v>3066</v>
      </c>
      <c r="I737" s="314">
        <v>40165.0</v>
      </c>
      <c r="J737" s="308">
        <f>IFERROR(__xludf.DUMMYFUNCTION("SPLIT(I737,""/"")"),18.0)</f>
        <v>18</v>
      </c>
      <c r="K737" s="308">
        <f>IFERROR(__xludf.DUMMYFUNCTION("""COMPUTED_VALUE"""),12.0)</f>
        <v>12</v>
      </c>
      <c r="L737" s="308">
        <f>IFERROR(__xludf.DUMMYFUNCTION("""COMPUTED_VALUE"""),2009.0)</f>
        <v>2009</v>
      </c>
      <c r="M737" s="308" t="s">
        <v>3067</v>
      </c>
      <c r="N737" s="308"/>
      <c r="O737" s="312" t="s">
        <v>35457</v>
      </c>
      <c r="P737" s="308" t="s">
        <v>3069</v>
      </c>
      <c r="Q737" s="308"/>
      <c r="R737" s="308"/>
      <c r="S737" s="308" t="s">
        <v>81</v>
      </c>
      <c r="T737" s="308" t="s">
        <v>98</v>
      </c>
      <c r="U737" s="308"/>
      <c r="V737" s="312"/>
    </row>
    <row r="738">
      <c r="A738" s="308">
        <v>737.0</v>
      </c>
      <c r="B738" s="308">
        <v>3947.0</v>
      </c>
      <c r="C738" s="308" t="s">
        <v>35458</v>
      </c>
      <c r="D738" s="308">
        <f>IFERROR(__xludf.DUMMYFUNCTION("SPLIT(C738,""-"")"),739.0)</f>
        <v>739</v>
      </c>
      <c r="E738" s="311"/>
      <c r="F738" s="317" t="s">
        <v>37</v>
      </c>
      <c r="G738" s="308"/>
      <c r="H738" s="308" t="s">
        <v>3070</v>
      </c>
      <c r="I738" s="310">
        <v>39611.0</v>
      </c>
      <c r="J738" s="308">
        <f>IFERROR(__xludf.DUMMYFUNCTION("SPLIT(I738,""/"")"),12.0)</f>
        <v>12</v>
      </c>
      <c r="K738" s="308">
        <f>IFERROR(__xludf.DUMMYFUNCTION("""COMPUTED_VALUE"""),6.0)</f>
        <v>6</v>
      </c>
      <c r="L738" s="308">
        <f>IFERROR(__xludf.DUMMYFUNCTION("""COMPUTED_VALUE"""),2008.0)</f>
        <v>2008</v>
      </c>
      <c r="M738" s="308" t="s">
        <v>35459</v>
      </c>
      <c r="N738" s="308"/>
      <c r="O738" s="312" t="s">
        <v>35460</v>
      </c>
      <c r="P738" s="308" t="s">
        <v>3073</v>
      </c>
      <c r="Q738" s="308"/>
      <c r="R738" s="308"/>
      <c r="S738" s="315" t="s">
        <v>100</v>
      </c>
      <c r="T738" s="311" t="s">
        <v>34208</v>
      </c>
      <c r="U738" s="308" t="s">
        <v>2291</v>
      </c>
      <c r="V738" s="312"/>
    </row>
    <row r="739">
      <c r="A739" s="308">
        <v>738.0</v>
      </c>
      <c r="B739" s="308">
        <v>3948.0</v>
      </c>
      <c r="C739" s="308" t="s">
        <v>35461</v>
      </c>
      <c r="D739" s="308">
        <f>IFERROR(__xludf.DUMMYFUNCTION("SPLIT(C739,""-"")"),740.0)</f>
        <v>740</v>
      </c>
      <c r="E739" s="311"/>
      <c r="F739" s="317" t="s">
        <v>37</v>
      </c>
      <c r="G739" s="308"/>
      <c r="H739" s="308" t="s">
        <v>3074</v>
      </c>
      <c r="I739" s="310">
        <v>40571.0</v>
      </c>
      <c r="J739" s="308">
        <f>IFERROR(__xludf.DUMMYFUNCTION("SPLIT(I739,""/"")"),28.0)</f>
        <v>28</v>
      </c>
      <c r="K739" s="308">
        <f>IFERROR(__xludf.DUMMYFUNCTION("""COMPUTED_VALUE"""),1.0)</f>
        <v>1</v>
      </c>
      <c r="L739" s="308">
        <f>IFERROR(__xludf.DUMMYFUNCTION("""COMPUTED_VALUE"""),2011.0)</f>
        <v>2011</v>
      </c>
      <c r="M739" s="308" t="s">
        <v>3075</v>
      </c>
      <c r="N739" s="308"/>
      <c r="O739" s="312" t="s">
        <v>35462</v>
      </c>
      <c r="P739" s="308" t="s">
        <v>35463</v>
      </c>
      <c r="Q739" s="308"/>
      <c r="R739" s="308"/>
      <c r="S739" s="308" t="s">
        <v>81</v>
      </c>
      <c r="T739" s="308" t="s">
        <v>75</v>
      </c>
      <c r="U739" s="308"/>
      <c r="V739" s="312"/>
    </row>
    <row r="740">
      <c r="A740" s="308">
        <v>739.0</v>
      </c>
      <c r="B740" s="308">
        <v>3949.0</v>
      </c>
      <c r="C740" s="308" t="s">
        <v>35464</v>
      </c>
      <c r="D740" s="308">
        <f>IFERROR(__xludf.DUMMYFUNCTION("SPLIT(C740,""-"")"),741.0)</f>
        <v>741</v>
      </c>
      <c r="E740" s="311"/>
      <c r="F740" s="317" t="s">
        <v>37</v>
      </c>
      <c r="G740" s="308"/>
      <c r="H740" s="308" t="s">
        <v>3078</v>
      </c>
      <c r="I740" s="314">
        <v>40532.0</v>
      </c>
      <c r="J740" s="308">
        <f>IFERROR(__xludf.DUMMYFUNCTION("SPLIT(I740,""/"")"),20.0)</f>
        <v>20</v>
      </c>
      <c r="K740" s="308">
        <f>IFERROR(__xludf.DUMMYFUNCTION("""COMPUTED_VALUE"""),12.0)</f>
        <v>12</v>
      </c>
      <c r="L740" s="308">
        <f>IFERROR(__xludf.DUMMYFUNCTION("""COMPUTED_VALUE"""),2010.0)</f>
        <v>2010</v>
      </c>
      <c r="M740" s="308" t="s">
        <v>3079</v>
      </c>
      <c r="N740" s="308"/>
      <c r="O740" s="312" t="s">
        <v>35465</v>
      </c>
      <c r="P740" s="308" t="s">
        <v>35466</v>
      </c>
      <c r="Q740" s="308"/>
      <c r="R740" s="308"/>
      <c r="S740" s="308" t="s">
        <v>81</v>
      </c>
      <c r="T740" s="308" t="s">
        <v>75</v>
      </c>
      <c r="U740" s="308"/>
      <c r="V740" s="312"/>
    </row>
    <row r="741">
      <c r="A741" s="308">
        <v>740.0</v>
      </c>
      <c r="B741" s="308">
        <v>3950.0</v>
      </c>
      <c r="C741" s="308" t="s">
        <v>35467</v>
      </c>
      <c r="D741" s="308">
        <f>IFERROR(__xludf.DUMMYFUNCTION("SPLIT(C741,""-"")"),742.0)</f>
        <v>742</v>
      </c>
      <c r="E741" s="311"/>
      <c r="F741" s="309" t="s">
        <v>34</v>
      </c>
      <c r="G741" s="308"/>
      <c r="H741" s="308" t="s">
        <v>3082</v>
      </c>
      <c r="I741" s="310">
        <v>39942.0</v>
      </c>
      <c r="J741" s="308">
        <f>IFERROR(__xludf.DUMMYFUNCTION("SPLIT(I741,""/"")"),9.0)</f>
        <v>9</v>
      </c>
      <c r="K741" s="308">
        <f>IFERROR(__xludf.DUMMYFUNCTION("""COMPUTED_VALUE"""),5.0)</f>
        <v>5</v>
      </c>
      <c r="L741" s="308">
        <f>IFERROR(__xludf.DUMMYFUNCTION("""COMPUTED_VALUE"""),2009.0)</f>
        <v>2009</v>
      </c>
      <c r="M741" s="308" t="s">
        <v>3083</v>
      </c>
      <c r="N741" s="308"/>
      <c r="O741" s="312" t="s">
        <v>35468</v>
      </c>
      <c r="P741" s="308" t="s">
        <v>1872</v>
      </c>
      <c r="Q741" s="308"/>
      <c r="R741" s="308"/>
      <c r="S741" s="315" t="s">
        <v>100</v>
      </c>
      <c r="T741" s="311" t="s">
        <v>34208</v>
      </c>
      <c r="U741" s="308" t="s">
        <v>530</v>
      </c>
      <c r="V741" s="312"/>
    </row>
    <row r="742">
      <c r="A742" s="308">
        <v>741.0</v>
      </c>
      <c r="B742" s="308">
        <v>3951.0</v>
      </c>
      <c r="C742" s="308" t="s">
        <v>35469</v>
      </c>
      <c r="D742" s="308">
        <f>IFERROR(__xludf.DUMMYFUNCTION("SPLIT(C742,""-"")"),743.0)</f>
        <v>743</v>
      </c>
      <c r="E742" s="311"/>
      <c r="F742" s="309" t="s">
        <v>34</v>
      </c>
      <c r="G742" s="308"/>
      <c r="H742" s="308" t="s">
        <v>3085</v>
      </c>
      <c r="I742" s="310">
        <v>40652.0</v>
      </c>
      <c r="J742" s="308">
        <f>IFERROR(__xludf.DUMMYFUNCTION("SPLIT(I742,""/"")"),19.0)</f>
        <v>19</v>
      </c>
      <c r="K742" s="308">
        <f>IFERROR(__xludf.DUMMYFUNCTION("""COMPUTED_VALUE"""),4.0)</f>
        <v>4</v>
      </c>
      <c r="L742" s="308">
        <f>IFERROR(__xludf.DUMMYFUNCTION("""COMPUTED_VALUE"""),2011.0)</f>
        <v>2011</v>
      </c>
      <c r="M742" s="308" t="s">
        <v>3086</v>
      </c>
      <c r="N742" s="308"/>
      <c r="O742" s="312" t="s">
        <v>3087</v>
      </c>
      <c r="P742" s="308" t="s">
        <v>3088</v>
      </c>
      <c r="Q742" s="308"/>
      <c r="R742" s="308"/>
      <c r="S742" s="308" t="s">
        <v>81</v>
      </c>
      <c r="T742" s="308" t="s">
        <v>34264</v>
      </c>
      <c r="U742" s="308"/>
      <c r="V742" s="312"/>
    </row>
    <row r="743">
      <c r="A743" s="308">
        <v>742.0</v>
      </c>
      <c r="B743" s="308">
        <v>3952.0</v>
      </c>
      <c r="C743" s="308">
        <v>744.0</v>
      </c>
      <c r="D743" s="308">
        <f>IFERROR(__xludf.DUMMYFUNCTION("SPLIT(C743,""-"")"),744.0)</f>
        <v>744</v>
      </c>
      <c r="E743" s="311"/>
      <c r="F743" s="317" t="s">
        <v>37</v>
      </c>
      <c r="G743" s="308"/>
      <c r="H743" s="308" t="s">
        <v>3089</v>
      </c>
      <c r="I743" s="310">
        <v>37433.0</v>
      </c>
      <c r="J743" s="308">
        <f>IFERROR(__xludf.DUMMYFUNCTION("SPLIT(I743,""/"")"),26.0)</f>
        <v>26</v>
      </c>
      <c r="K743" s="308">
        <f>IFERROR(__xludf.DUMMYFUNCTION("""COMPUTED_VALUE"""),6.0)</f>
        <v>6</v>
      </c>
      <c r="L743" s="308">
        <f>IFERROR(__xludf.DUMMYFUNCTION("""COMPUTED_VALUE"""),2002.0)</f>
        <v>2002</v>
      </c>
      <c r="M743" s="308" t="s">
        <v>3090</v>
      </c>
      <c r="N743" s="308"/>
      <c r="O743" s="312" t="s">
        <v>35470</v>
      </c>
      <c r="P743" s="308" t="s">
        <v>3092</v>
      </c>
      <c r="Q743" s="308"/>
      <c r="R743" s="308"/>
      <c r="S743" s="308" t="s">
        <v>49</v>
      </c>
      <c r="T743" s="308" t="s">
        <v>51</v>
      </c>
      <c r="U743" s="308"/>
      <c r="V743" s="312"/>
    </row>
    <row r="744">
      <c r="A744" s="308">
        <v>743.0</v>
      </c>
      <c r="B744" s="308">
        <v>3953.0</v>
      </c>
      <c r="C744" s="308" t="s">
        <v>35471</v>
      </c>
      <c r="D744" s="308">
        <f>IFERROR(__xludf.DUMMYFUNCTION("SPLIT(C744,""-"")"),745.0)</f>
        <v>745</v>
      </c>
      <c r="E744" s="311"/>
      <c r="F744" s="309" t="s">
        <v>34</v>
      </c>
      <c r="G744" s="308"/>
      <c r="H744" s="308" t="s">
        <v>3093</v>
      </c>
      <c r="I744" s="310">
        <v>39991.0</v>
      </c>
      <c r="J744" s="308">
        <f>IFERROR(__xludf.DUMMYFUNCTION("SPLIT(I744,""/"")"),27.0)</f>
        <v>27</v>
      </c>
      <c r="K744" s="308">
        <f>IFERROR(__xludf.DUMMYFUNCTION("""COMPUTED_VALUE"""),6.0)</f>
        <v>6</v>
      </c>
      <c r="L744" s="308">
        <f>IFERROR(__xludf.DUMMYFUNCTION("""COMPUTED_VALUE"""),2009.0)</f>
        <v>2009</v>
      </c>
      <c r="M744" s="308" t="s">
        <v>3094</v>
      </c>
      <c r="N744" s="308"/>
      <c r="O744" s="312" t="s">
        <v>35472</v>
      </c>
      <c r="P744" s="308" t="s">
        <v>841</v>
      </c>
      <c r="Q744" s="308"/>
      <c r="R744" s="308"/>
      <c r="S744" s="308" t="s">
        <v>49</v>
      </c>
      <c r="T744" s="311" t="s">
        <v>77</v>
      </c>
      <c r="U744" s="308"/>
      <c r="V744" s="312"/>
    </row>
    <row r="745">
      <c r="A745" s="308">
        <v>744.0</v>
      </c>
      <c r="B745" s="308">
        <v>3954.0</v>
      </c>
      <c r="C745" s="308" t="s">
        <v>35473</v>
      </c>
      <c r="D745" s="308">
        <f>IFERROR(__xludf.DUMMYFUNCTION("SPLIT(C745,""-"")"),746.0)</f>
        <v>746</v>
      </c>
      <c r="E745" s="311"/>
      <c r="F745" s="309" t="s">
        <v>34</v>
      </c>
      <c r="G745" s="308"/>
      <c r="H745" s="308" t="s">
        <v>3096</v>
      </c>
      <c r="I745" s="310">
        <v>39916.0</v>
      </c>
      <c r="J745" s="308">
        <f>IFERROR(__xludf.DUMMYFUNCTION("SPLIT(I745,""/"")"),13.0)</f>
        <v>13</v>
      </c>
      <c r="K745" s="308">
        <f>IFERROR(__xludf.DUMMYFUNCTION("""COMPUTED_VALUE"""),4.0)</f>
        <v>4</v>
      </c>
      <c r="L745" s="308">
        <f>IFERROR(__xludf.DUMMYFUNCTION("""COMPUTED_VALUE"""),2009.0)</f>
        <v>2009</v>
      </c>
      <c r="M745" s="308" t="s">
        <v>3097</v>
      </c>
      <c r="N745" s="308" t="s">
        <v>3098</v>
      </c>
      <c r="O745" s="312" t="s">
        <v>3099</v>
      </c>
      <c r="P745" s="308" t="s">
        <v>1824</v>
      </c>
      <c r="Q745" s="308"/>
      <c r="R745" s="308"/>
      <c r="S745" s="315" t="s">
        <v>100</v>
      </c>
      <c r="T745" s="311" t="s">
        <v>34208</v>
      </c>
      <c r="U745" s="308" t="s">
        <v>282</v>
      </c>
      <c r="V745" s="312"/>
    </row>
    <row r="746">
      <c r="A746" s="308">
        <v>745.0</v>
      </c>
      <c r="B746" s="308">
        <v>3955.0</v>
      </c>
      <c r="C746" s="308" t="s">
        <v>35474</v>
      </c>
      <c r="D746" s="308">
        <f>IFERROR(__xludf.DUMMYFUNCTION("SPLIT(C746,""-"")"),747.0)</f>
        <v>747</v>
      </c>
      <c r="E746" s="311"/>
      <c r="F746" s="309" t="s">
        <v>34</v>
      </c>
      <c r="G746" s="308"/>
      <c r="H746" s="308" t="s">
        <v>3100</v>
      </c>
      <c r="I746" s="314">
        <v>40465.0</v>
      </c>
      <c r="J746" s="308">
        <f>IFERROR(__xludf.DUMMYFUNCTION("SPLIT(I746,""/"")"),14.0)</f>
        <v>14</v>
      </c>
      <c r="K746" s="308">
        <f>IFERROR(__xludf.DUMMYFUNCTION("""COMPUTED_VALUE"""),10.0)</f>
        <v>10</v>
      </c>
      <c r="L746" s="308">
        <f>IFERROR(__xludf.DUMMYFUNCTION("""COMPUTED_VALUE"""),2010.0)</f>
        <v>2010</v>
      </c>
      <c r="M746" s="308" t="s">
        <v>3101</v>
      </c>
      <c r="N746" s="308"/>
      <c r="O746" s="312" t="s">
        <v>35475</v>
      </c>
      <c r="P746" s="308" t="s">
        <v>3103</v>
      </c>
      <c r="Q746" s="308"/>
      <c r="R746" s="308"/>
      <c r="S746" s="308" t="s">
        <v>49</v>
      </c>
      <c r="T746" s="311" t="s">
        <v>51</v>
      </c>
      <c r="U746" s="308"/>
      <c r="V746" s="312"/>
    </row>
    <row r="747">
      <c r="A747" s="308">
        <v>746.0</v>
      </c>
      <c r="B747" s="308">
        <v>3956.0</v>
      </c>
      <c r="C747" s="308" t="s">
        <v>35476</v>
      </c>
      <c r="D747" s="308">
        <f>IFERROR(__xludf.DUMMYFUNCTION("SPLIT(C747,""-"")"),748.0)</f>
        <v>748</v>
      </c>
      <c r="E747" s="311"/>
      <c r="F747" s="309" t="s">
        <v>34</v>
      </c>
      <c r="G747" s="308"/>
      <c r="H747" s="308" t="s">
        <v>3104</v>
      </c>
      <c r="I747" s="310">
        <v>40288.0</v>
      </c>
      <c r="J747" s="308">
        <f>IFERROR(__xludf.DUMMYFUNCTION("SPLIT(I747,""/"")"),20.0)</f>
        <v>20</v>
      </c>
      <c r="K747" s="308">
        <f>IFERROR(__xludf.DUMMYFUNCTION("""COMPUTED_VALUE"""),4.0)</f>
        <v>4</v>
      </c>
      <c r="L747" s="308">
        <f>IFERROR(__xludf.DUMMYFUNCTION("""COMPUTED_VALUE"""),2010.0)</f>
        <v>2010</v>
      </c>
      <c r="M747" s="308" t="s">
        <v>3105</v>
      </c>
      <c r="N747" s="308"/>
      <c r="O747" s="312" t="s">
        <v>35477</v>
      </c>
      <c r="P747" s="308" t="s">
        <v>2762</v>
      </c>
      <c r="Q747" s="308"/>
      <c r="R747" s="308"/>
      <c r="S747" s="315" t="s">
        <v>100</v>
      </c>
      <c r="T747" s="311" t="s">
        <v>34208</v>
      </c>
      <c r="U747" s="308" t="s">
        <v>941</v>
      </c>
      <c r="V747" s="312"/>
    </row>
    <row r="748">
      <c r="A748" s="308">
        <v>747.0</v>
      </c>
      <c r="B748" s="308">
        <v>3957.0</v>
      </c>
      <c r="C748" s="308" t="s">
        <v>35478</v>
      </c>
      <c r="D748" s="308">
        <f>IFERROR(__xludf.DUMMYFUNCTION("SPLIT(C748,""-"")"),749.0)</f>
        <v>749</v>
      </c>
      <c r="E748" s="311"/>
      <c r="F748" s="309" t="s">
        <v>34</v>
      </c>
      <c r="G748" s="308"/>
      <c r="H748" s="308" t="s">
        <v>3107</v>
      </c>
      <c r="I748" s="314">
        <v>40175.0</v>
      </c>
      <c r="J748" s="308">
        <f>IFERROR(__xludf.DUMMYFUNCTION("SPLIT(I748,""/"")"),28.0)</f>
        <v>28</v>
      </c>
      <c r="K748" s="308">
        <f>IFERROR(__xludf.DUMMYFUNCTION("""COMPUTED_VALUE"""),12.0)</f>
        <v>12</v>
      </c>
      <c r="L748" s="308">
        <f>IFERROR(__xludf.DUMMYFUNCTION("""COMPUTED_VALUE"""),2009.0)</f>
        <v>2009</v>
      </c>
      <c r="M748" s="308" t="s">
        <v>3108</v>
      </c>
      <c r="N748" s="308"/>
      <c r="O748" s="312" t="s">
        <v>35479</v>
      </c>
      <c r="P748" s="308" t="s">
        <v>3110</v>
      </c>
      <c r="Q748" s="308"/>
      <c r="R748" s="308"/>
      <c r="S748" s="308" t="s">
        <v>81</v>
      </c>
      <c r="T748" s="308" t="s">
        <v>34264</v>
      </c>
      <c r="U748" s="308"/>
      <c r="V748" s="312"/>
    </row>
    <row r="749">
      <c r="A749" s="308">
        <v>748.0</v>
      </c>
      <c r="B749" s="308">
        <v>3958.0</v>
      </c>
      <c r="C749" s="308" t="s">
        <v>35480</v>
      </c>
      <c r="D749" s="308">
        <f>IFERROR(__xludf.DUMMYFUNCTION("SPLIT(C749,""-"")"),750.0)</f>
        <v>750</v>
      </c>
      <c r="E749" s="311"/>
      <c r="F749" s="317" t="s">
        <v>39</v>
      </c>
      <c r="G749" s="308"/>
      <c r="H749" s="308" t="s">
        <v>3111</v>
      </c>
      <c r="I749" s="310">
        <v>39512.0</v>
      </c>
      <c r="J749" s="308">
        <f>IFERROR(__xludf.DUMMYFUNCTION("SPLIT(I749,""/"")"),5.0)</f>
        <v>5</v>
      </c>
      <c r="K749" s="308">
        <f>IFERROR(__xludf.DUMMYFUNCTION("""COMPUTED_VALUE"""),3.0)</f>
        <v>3</v>
      </c>
      <c r="L749" s="308">
        <f>IFERROR(__xludf.DUMMYFUNCTION("""COMPUTED_VALUE"""),2008.0)</f>
        <v>2008</v>
      </c>
      <c r="M749" s="308" t="s">
        <v>3112</v>
      </c>
      <c r="N749" s="308"/>
      <c r="O749" s="312" t="s">
        <v>3113</v>
      </c>
      <c r="P749" s="308" t="s">
        <v>3114</v>
      </c>
      <c r="Q749" s="308"/>
      <c r="R749" s="308"/>
      <c r="S749" s="308" t="s">
        <v>49</v>
      </c>
      <c r="T749" s="308" t="s">
        <v>51</v>
      </c>
      <c r="U749" s="308"/>
      <c r="V749" s="312"/>
    </row>
    <row r="750">
      <c r="A750" s="308">
        <v>749.0</v>
      </c>
      <c r="B750" s="308">
        <v>3959.0</v>
      </c>
      <c r="C750" s="308" t="s">
        <v>35481</v>
      </c>
      <c r="D750" s="308">
        <f>IFERROR(__xludf.DUMMYFUNCTION("SPLIT(C750,""-"")"),751.0)</f>
        <v>751</v>
      </c>
      <c r="E750" s="311"/>
      <c r="F750" s="309" t="s">
        <v>34</v>
      </c>
      <c r="G750" s="308" t="s">
        <v>3115</v>
      </c>
      <c r="H750" s="308" t="s">
        <v>3116</v>
      </c>
      <c r="I750" s="310">
        <v>40378.0</v>
      </c>
      <c r="J750" s="308">
        <f>IFERROR(__xludf.DUMMYFUNCTION("SPLIT(I750,""/"")"),19.0)</f>
        <v>19</v>
      </c>
      <c r="K750" s="308">
        <f>IFERROR(__xludf.DUMMYFUNCTION("""COMPUTED_VALUE"""),7.0)</f>
        <v>7</v>
      </c>
      <c r="L750" s="308">
        <f>IFERROR(__xludf.DUMMYFUNCTION("""COMPUTED_VALUE"""),2010.0)</f>
        <v>2010</v>
      </c>
      <c r="M750" s="308" t="s">
        <v>3117</v>
      </c>
      <c r="N750" s="308"/>
      <c r="O750" s="312" t="s">
        <v>35482</v>
      </c>
      <c r="P750" s="308" t="s">
        <v>1495</v>
      </c>
      <c r="Q750" s="308"/>
      <c r="R750" s="308"/>
      <c r="S750" s="315" t="s">
        <v>100</v>
      </c>
      <c r="T750" s="311" t="s">
        <v>34208</v>
      </c>
      <c r="U750" s="308" t="s">
        <v>201</v>
      </c>
      <c r="V750" s="312"/>
    </row>
    <row r="751">
      <c r="A751" s="308">
        <v>750.0</v>
      </c>
      <c r="B751" s="308">
        <v>3960.0</v>
      </c>
      <c r="C751" s="308" t="s">
        <v>35483</v>
      </c>
      <c r="D751" s="308">
        <f>IFERROR(__xludf.DUMMYFUNCTION("SPLIT(C751,""-"")"),752.0)</f>
        <v>752</v>
      </c>
      <c r="E751" s="311"/>
      <c r="F751" s="309" t="s">
        <v>34</v>
      </c>
      <c r="G751" s="308" t="s">
        <v>3119</v>
      </c>
      <c r="H751" s="308" t="s">
        <v>3120</v>
      </c>
      <c r="I751" s="310">
        <v>39887.0</v>
      </c>
      <c r="J751" s="308">
        <f>IFERROR(__xludf.DUMMYFUNCTION("SPLIT(I751,""/"")"),15.0)</f>
        <v>15</v>
      </c>
      <c r="K751" s="308">
        <f>IFERROR(__xludf.DUMMYFUNCTION("""COMPUTED_VALUE"""),3.0)</f>
        <v>3</v>
      </c>
      <c r="L751" s="308">
        <f>IFERROR(__xludf.DUMMYFUNCTION("""COMPUTED_VALUE"""),2009.0)</f>
        <v>2009</v>
      </c>
      <c r="M751" s="308" t="s">
        <v>35484</v>
      </c>
      <c r="N751" s="308"/>
      <c r="O751" s="312" t="s">
        <v>35485</v>
      </c>
      <c r="P751" s="308" t="s">
        <v>3123</v>
      </c>
      <c r="Q751" s="308"/>
      <c r="R751" s="308"/>
      <c r="S751" s="308" t="s">
        <v>81</v>
      </c>
      <c r="T751" s="308" t="s">
        <v>73</v>
      </c>
      <c r="U751" s="308"/>
      <c r="V751" s="312"/>
    </row>
    <row r="752">
      <c r="A752" s="308">
        <v>751.0</v>
      </c>
      <c r="B752" s="308">
        <v>3961.0</v>
      </c>
      <c r="C752" s="308" t="s">
        <v>3124</v>
      </c>
      <c r="D752" s="308">
        <f>IFERROR(__xludf.DUMMYFUNCTION("SPLIT(C752,""-"")"),753.0)</f>
        <v>753</v>
      </c>
      <c r="E752" s="308" t="str">
        <f>IFERROR(__xludf.DUMMYFUNCTION("""COMPUTED_VALUE"""),"P")</f>
        <v>P</v>
      </c>
      <c r="F752" s="312" t="s">
        <v>37</v>
      </c>
      <c r="G752" s="308"/>
      <c r="H752" s="308" t="s">
        <v>3125</v>
      </c>
      <c r="I752" s="310">
        <v>40332.0</v>
      </c>
      <c r="J752" s="308">
        <f>IFERROR(__xludf.DUMMYFUNCTION("SPLIT(I752,""/"")"),3.0)</f>
        <v>3</v>
      </c>
      <c r="K752" s="308">
        <f>IFERROR(__xludf.DUMMYFUNCTION("""COMPUTED_VALUE"""),6.0)</f>
        <v>6</v>
      </c>
      <c r="L752" s="308">
        <f>IFERROR(__xludf.DUMMYFUNCTION("""COMPUTED_VALUE"""),2010.0)</f>
        <v>2010</v>
      </c>
      <c r="M752" s="308" t="s">
        <v>3126</v>
      </c>
      <c r="N752" s="308"/>
      <c r="O752" s="312" t="s">
        <v>35486</v>
      </c>
      <c r="P752" s="308" t="s">
        <v>3128</v>
      </c>
      <c r="Q752" s="308"/>
      <c r="R752" s="308"/>
      <c r="S752" s="315" t="s">
        <v>100</v>
      </c>
      <c r="T752" s="311" t="s">
        <v>34208</v>
      </c>
      <c r="U752" s="308" t="s">
        <v>1182</v>
      </c>
      <c r="V752" s="312"/>
    </row>
    <row r="753">
      <c r="A753" s="308">
        <v>752.0</v>
      </c>
      <c r="B753" s="308">
        <v>3962.0</v>
      </c>
      <c r="C753" s="308" t="s">
        <v>35487</v>
      </c>
      <c r="D753" s="308">
        <f>IFERROR(__xludf.DUMMYFUNCTION("SPLIT(C753,""-"")"),754.0)</f>
        <v>754</v>
      </c>
      <c r="E753" s="311"/>
      <c r="F753" s="317" t="s">
        <v>37</v>
      </c>
      <c r="G753" s="308"/>
      <c r="H753" s="308" t="s">
        <v>3129</v>
      </c>
      <c r="I753" s="310">
        <v>39845.0</v>
      </c>
      <c r="J753" s="308">
        <f>IFERROR(__xludf.DUMMYFUNCTION("SPLIT(I753,""/"")"),1.0)</f>
        <v>1</v>
      </c>
      <c r="K753" s="308">
        <f>IFERROR(__xludf.DUMMYFUNCTION("""COMPUTED_VALUE"""),2.0)</f>
        <v>2</v>
      </c>
      <c r="L753" s="308">
        <f>IFERROR(__xludf.DUMMYFUNCTION("""COMPUTED_VALUE"""),2009.0)</f>
        <v>2009</v>
      </c>
      <c r="M753" s="308" t="s">
        <v>3130</v>
      </c>
      <c r="N753" s="308"/>
      <c r="O753" s="312" t="s">
        <v>35488</v>
      </c>
      <c r="P753" s="308" t="s">
        <v>3132</v>
      </c>
      <c r="Q753" s="308"/>
      <c r="R753" s="308"/>
      <c r="S753" s="308" t="s">
        <v>81</v>
      </c>
      <c r="T753" s="308" t="s">
        <v>98</v>
      </c>
      <c r="U753" s="308"/>
      <c r="V753" s="312"/>
    </row>
    <row r="754">
      <c r="A754" s="308">
        <v>753.0</v>
      </c>
      <c r="B754" s="308">
        <v>3963.0</v>
      </c>
      <c r="C754" s="308" t="s">
        <v>35489</v>
      </c>
      <c r="D754" s="308">
        <f>IFERROR(__xludf.DUMMYFUNCTION("SPLIT(C754,""-"")"),755.0)</f>
        <v>755</v>
      </c>
      <c r="E754" s="311"/>
      <c r="F754" s="309" t="s">
        <v>34</v>
      </c>
      <c r="G754" s="308"/>
      <c r="H754" s="308" t="s">
        <v>3133</v>
      </c>
      <c r="I754" s="310">
        <v>39846.0</v>
      </c>
      <c r="J754" s="308">
        <f>IFERROR(__xludf.DUMMYFUNCTION("SPLIT(I754,""/"")"),2.0)</f>
        <v>2</v>
      </c>
      <c r="K754" s="308">
        <f>IFERROR(__xludf.DUMMYFUNCTION("""COMPUTED_VALUE"""),2.0)</f>
        <v>2</v>
      </c>
      <c r="L754" s="308">
        <f>IFERROR(__xludf.DUMMYFUNCTION("""COMPUTED_VALUE"""),2009.0)</f>
        <v>2009</v>
      </c>
      <c r="M754" s="308" t="s">
        <v>3134</v>
      </c>
      <c r="N754" s="308"/>
      <c r="O754" s="312" t="s">
        <v>35490</v>
      </c>
      <c r="P754" s="308" t="s">
        <v>2230</v>
      </c>
      <c r="Q754" s="308"/>
      <c r="R754" s="308"/>
      <c r="S754" s="315" t="s">
        <v>100</v>
      </c>
      <c r="T754" s="311" t="s">
        <v>34208</v>
      </c>
      <c r="U754" s="308" t="s">
        <v>1509</v>
      </c>
      <c r="V754" s="312"/>
    </row>
    <row r="755">
      <c r="A755" s="308">
        <v>754.0</v>
      </c>
      <c r="B755" s="308">
        <v>3964.0</v>
      </c>
      <c r="C755" s="308" t="s">
        <v>35491</v>
      </c>
      <c r="D755" s="308">
        <f>IFERROR(__xludf.DUMMYFUNCTION("SPLIT(C755,""-"")"),756.0)</f>
        <v>756</v>
      </c>
      <c r="E755" s="311"/>
      <c r="F755" s="317" t="s">
        <v>37</v>
      </c>
      <c r="G755" s="308"/>
      <c r="H755" s="308" t="s">
        <v>3136</v>
      </c>
      <c r="I755" s="310">
        <v>40991.0</v>
      </c>
      <c r="J755" s="308">
        <f>IFERROR(__xludf.DUMMYFUNCTION("SPLIT(I755,""/"")"),23.0)</f>
        <v>23</v>
      </c>
      <c r="K755" s="308">
        <f>IFERROR(__xludf.DUMMYFUNCTION("""COMPUTED_VALUE"""),3.0)</f>
        <v>3</v>
      </c>
      <c r="L755" s="308">
        <f>IFERROR(__xludf.DUMMYFUNCTION("""COMPUTED_VALUE"""),2012.0)</f>
        <v>2012</v>
      </c>
      <c r="M755" s="308" t="s">
        <v>3137</v>
      </c>
      <c r="N755" s="308"/>
      <c r="O755" s="312" t="s">
        <v>35492</v>
      </c>
      <c r="P755" s="311" t="s">
        <v>35493</v>
      </c>
      <c r="Q755" s="308">
        <v>4.0</v>
      </c>
      <c r="R755" s="308"/>
      <c r="S755" s="308" t="s">
        <v>81</v>
      </c>
      <c r="T755" s="311" t="s">
        <v>75</v>
      </c>
      <c r="U755" s="308"/>
      <c r="V755" s="312"/>
    </row>
    <row r="756">
      <c r="A756" s="308">
        <v>755.0</v>
      </c>
      <c r="B756" s="308">
        <v>3965.0</v>
      </c>
      <c r="C756" s="308" t="s">
        <v>35494</v>
      </c>
      <c r="D756" s="308">
        <f>IFERROR(__xludf.DUMMYFUNCTION("SPLIT(C756,""-"")"),757.0)</f>
        <v>757</v>
      </c>
      <c r="E756" s="311"/>
      <c r="F756" s="309" t="s">
        <v>34</v>
      </c>
      <c r="G756" s="308"/>
      <c r="H756" s="308" t="s">
        <v>3140</v>
      </c>
      <c r="I756" s="314">
        <v>40899.0</v>
      </c>
      <c r="J756" s="308">
        <f>IFERROR(__xludf.DUMMYFUNCTION("SPLIT(I756,""/"")"),22.0)</f>
        <v>22</v>
      </c>
      <c r="K756" s="308">
        <f>IFERROR(__xludf.DUMMYFUNCTION("""COMPUTED_VALUE"""),12.0)</f>
        <v>12</v>
      </c>
      <c r="L756" s="308">
        <f>IFERROR(__xludf.DUMMYFUNCTION("""COMPUTED_VALUE"""),2011.0)</f>
        <v>2011</v>
      </c>
      <c r="M756" s="308" t="s">
        <v>3141</v>
      </c>
      <c r="N756" s="308"/>
      <c r="O756" s="312" t="s">
        <v>35495</v>
      </c>
      <c r="P756" s="308" t="s">
        <v>3143</v>
      </c>
      <c r="Q756" s="308"/>
      <c r="R756" s="308"/>
      <c r="S756" s="308" t="s">
        <v>81</v>
      </c>
      <c r="T756" s="308" t="s">
        <v>75</v>
      </c>
      <c r="U756" s="308"/>
      <c r="V756" s="312"/>
    </row>
    <row r="757">
      <c r="A757" s="308">
        <v>756.0</v>
      </c>
      <c r="B757" s="308">
        <v>3966.0</v>
      </c>
      <c r="C757" s="308" t="s">
        <v>35496</v>
      </c>
      <c r="D757" s="308">
        <f>IFERROR(__xludf.DUMMYFUNCTION("SPLIT(C757,""-"")"),758.0)</f>
        <v>758</v>
      </c>
      <c r="E757" s="311"/>
      <c r="F757" s="309" t="s">
        <v>34</v>
      </c>
      <c r="G757" s="308"/>
      <c r="H757" s="308" t="s">
        <v>3144</v>
      </c>
      <c r="I757" s="310">
        <v>40179.0</v>
      </c>
      <c r="J757" s="308">
        <f>IFERROR(__xludf.DUMMYFUNCTION("SPLIT(I757,""/"")"),1.0)</f>
        <v>1</v>
      </c>
      <c r="K757" s="308">
        <f>IFERROR(__xludf.DUMMYFUNCTION("""COMPUTED_VALUE"""),1.0)</f>
        <v>1</v>
      </c>
      <c r="L757" s="308">
        <f>IFERROR(__xludf.DUMMYFUNCTION("""COMPUTED_VALUE"""),2010.0)</f>
        <v>2010</v>
      </c>
      <c r="M757" s="308" t="s">
        <v>3145</v>
      </c>
      <c r="N757" s="308"/>
      <c r="O757" s="312" t="s">
        <v>35497</v>
      </c>
      <c r="P757" s="308" t="s">
        <v>35498</v>
      </c>
      <c r="Q757" s="308"/>
      <c r="R757" s="308"/>
      <c r="S757" s="308" t="s">
        <v>49</v>
      </c>
      <c r="T757" s="311" t="s">
        <v>77</v>
      </c>
      <c r="U757" s="308" t="s">
        <v>125</v>
      </c>
      <c r="V757" s="312"/>
    </row>
    <row r="758">
      <c r="A758" s="308">
        <v>757.0</v>
      </c>
      <c r="B758" s="308">
        <v>3967.0</v>
      </c>
      <c r="C758" s="308" t="s">
        <v>35499</v>
      </c>
      <c r="D758" s="308">
        <f>IFERROR(__xludf.DUMMYFUNCTION("SPLIT(C758,""-"")"),759.0)</f>
        <v>759</v>
      </c>
      <c r="E758" s="311"/>
      <c r="F758" s="309" t="s">
        <v>34</v>
      </c>
      <c r="G758" s="308"/>
      <c r="H758" s="308" t="s">
        <v>3148</v>
      </c>
      <c r="I758" s="310">
        <v>39814.0</v>
      </c>
      <c r="J758" s="308">
        <f>IFERROR(__xludf.DUMMYFUNCTION("SPLIT(I758,""/"")"),1.0)</f>
        <v>1</v>
      </c>
      <c r="K758" s="308">
        <f>IFERROR(__xludf.DUMMYFUNCTION("""COMPUTED_VALUE"""),1.0)</f>
        <v>1</v>
      </c>
      <c r="L758" s="308">
        <f>IFERROR(__xludf.DUMMYFUNCTION("""COMPUTED_VALUE"""),2009.0)</f>
        <v>2009</v>
      </c>
      <c r="M758" s="308" t="s">
        <v>3149</v>
      </c>
      <c r="N758" s="308"/>
      <c r="O758" s="312" t="s">
        <v>35500</v>
      </c>
      <c r="P758" s="308" t="s">
        <v>3151</v>
      </c>
      <c r="Q758" s="308"/>
      <c r="R758" s="308"/>
      <c r="S758" s="308" t="s">
        <v>81</v>
      </c>
      <c r="T758" s="308" t="s">
        <v>34264</v>
      </c>
      <c r="U758" s="308"/>
      <c r="V758" s="312"/>
    </row>
    <row r="759">
      <c r="A759" s="308">
        <v>758.0</v>
      </c>
      <c r="B759" s="308">
        <v>3968.0</v>
      </c>
      <c r="C759" s="308" t="s">
        <v>35501</v>
      </c>
      <c r="D759" s="308">
        <f>IFERROR(__xludf.DUMMYFUNCTION("SPLIT(C759,""-"")"),760.0)</f>
        <v>760</v>
      </c>
      <c r="E759" s="311"/>
      <c r="F759" s="317" t="s">
        <v>37</v>
      </c>
      <c r="G759" s="308"/>
      <c r="H759" s="308" t="s">
        <v>3152</v>
      </c>
      <c r="I759" s="310">
        <v>39391.0</v>
      </c>
      <c r="J759" s="308">
        <f>IFERROR(__xludf.DUMMYFUNCTION("SPLIT(I759,""/"")"),5.0)</f>
        <v>5</v>
      </c>
      <c r="K759" s="308">
        <f>IFERROR(__xludf.DUMMYFUNCTION("""COMPUTED_VALUE"""),11.0)</f>
        <v>11</v>
      </c>
      <c r="L759" s="308">
        <f>IFERROR(__xludf.DUMMYFUNCTION("""COMPUTED_VALUE"""),2007.0)</f>
        <v>2007</v>
      </c>
      <c r="M759" s="308" t="s">
        <v>3153</v>
      </c>
      <c r="N759" s="308"/>
      <c r="O759" s="312" t="s">
        <v>35502</v>
      </c>
      <c r="P759" s="308" t="s">
        <v>3155</v>
      </c>
      <c r="Q759" s="308"/>
      <c r="R759" s="308"/>
      <c r="S759" s="308" t="s">
        <v>49</v>
      </c>
      <c r="T759" s="308" t="s">
        <v>51</v>
      </c>
      <c r="U759" s="308"/>
      <c r="V759" s="312"/>
    </row>
    <row r="760">
      <c r="A760" s="308">
        <v>759.0</v>
      </c>
      <c r="B760" s="308">
        <v>3969.0</v>
      </c>
      <c r="C760" s="308" t="s">
        <v>35503</v>
      </c>
      <c r="D760" s="308">
        <f>IFERROR(__xludf.DUMMYFUNCTION("SPLIT(C760,""-"")"),761.0)</f>
        <v>761</v>
      </c>
      <c r="E760" s="311"/>
      <c r="F760" s="309" t="s">
        <v>34</v>
      </c>
      <c r="G760" s="308"/>
      <c r="H760" s="308" t="s">
        <v>3156</v>
      </c>
      <c r="I760" s="310">
        <v>39965.0</v>
      </c>
      <c r="J760" s="308">
        <f>IFERROR(__xludf.DUMMYFUNCTION("SPLIT(I760,""/"")"),1.0)</f>
        <v>1</v>
      </c>
      <c r="K760" s="308">
        <f>IFERROR(__xludf.DUMMYFUNCTION("""COMPUTED_VALUE"""),6.0)</f>
        <v>6</v>
      </c>
      <c r="L760" s="308">
        <f>IFERROR(__xludf.DUMMYFUNCTION("""COMPUTED_VALUE"""),2009.0)</f>
        <v>2009</v>
      </c>
      <c r="M760" s="308" t="s">
        <v>3157</v>
      </c>
      <c r="N760" s="308"/>
      <c r="O760" s="312" t="s">
        <v>35504</v>
      </c>
      <c r="P760" s="308" t="s">
        <v>3159</v>
      </c>
      <c r="Q760" s="308"/>
      <c r="R760" s="308"/>
      <c r="S760" s="315" t="s">
        <v>100</v>
      </c>
      <c r="T760" s="311" t="s">
        <v>34208</v>
      </c>
      <c r="U760" s="308" t="s">
        <v>368</v>
      </c>
      <c r="V760" s="312"/>
    </row>
    <row r="761">
      <c r="A761" s="308">
        <v>760.0</v>
      </c>
      <c r="B761" s="308">
        <v>3970.0</v>
      </c>
      <c r="C761" s="308" t="s">
        <v>35505</v>
      </c>
      <c r="D761" s="308">
        <f>IFERROR(__xludf.DUMMYFUNCTION("SPLIT(C761,""-"")"),762.0)</f>
        <v>762</v>
      </c>
      <c r="E761" s="311"/>
      <c r="F761" s="317" t="s">
        <v>37</v>
      </c>
      <c r="G761" s="308"/>
      <c r="H761" s="308" t="s">
        <v>3160</v>
      </c>
      <c r="I761" s="310">
        <v>40575.0</v>
      </c>
      <c r="J761" s="308">
        <f>IFERROR(__xludf.DUMMYFUNCTION("SPLIT(I761,""/"")"),1.0)</f>
        <v>1</v>
      </c>
      <c r="K761" s="308">
        <f>IFERROR(__xludf.DUMMYFUNCTION("""COMPUTED_VALUE"""),2.0)</f>
        <v>2</v>
      </c>
      <c r="L761" s="308">
        <f>IFERROR(__xludf.DUMMYFUNCTION("""COMPUTED_VALUE"""),2011.0)</f>
        <v>2011</v>
      </c>
      <c r="M761" s="308" t="s">
        <v>3161</v>
      </c>
      <c r="N761" s="308"/>
      <c r="O761" s="312" t="s">
        <v>35506</v>
      </c>
      <c r="P761" s="308" t="s">
        <v>3163</v>
      </c>
      <c r="Q761" s="308"/>
      <c r="R761" s="308"/>
      <c r="S761" s="308" t="s">
        <v>81</v>
      </c>
      <c r="T761" s="311" t="s">
        <v>51</v>
      </c>
      <c r="U761" s="308"/>
      <c r="V761" s="312"/>
    </row>
    <row r="762">
      <c r="A762" s="308">
        <v>761.0</v>
      </c>
      <c r="B762" s="308">
        <v>3971.0</v>
      </c>
      <c r="C762" s="308" t="s">
        <v>35507</v>
      </c>
      <c r="D762" s="308">
        <f>IFERROR(__xludf.DUMMYFUNCTION("SPLIT(C762,""-"")"),763.0)</f>
        <v>763</v>
      </c>
      <c r="E762" s="311"/>
      <c r="F762" s="317" t="s">
        <v>37</v>
      </c>
      <c r="G762" s="308" t="s">
        <v>3164</v>
      </c>
      <c r="H762" s="308" t="s">
        <v>3165</v>
      </c>
      <c r="I762" s="310">
        <v>40793.0</v>
      </c>
      <c r="J762" s="308">
        <f>IFERROR(__xludf.DUMMYFUNCTION("SPLIT(I762,""/"")"),7.0)</f>
        <v>7</v>
      </c>
      <c r="K762" s="308">
        <f>IFERROR(__xludf.DUMMYFUNCTION("""COMPUTED_VALUE"""),9.0)</f>
        <v>9</v>
      </c>
      <c r="L762" s="308">
        <f>IFERROR(__xludf.DUMMYFUNCTION("""COMPUTED_VALUE"""),2011.0)</f>
        <v>2011</v>
      </c>
      <c r="M762" s="308" t="s">
        <v>3166</v>
      </c>
      <c r="N762" s="308"/>
      <c r="O762" s="312" t="s">
        <v>635</v>
      </c>
      <c r="P762" s="308" t="s">
        <v>35508</v>
      </c>
      <c r="Q762" s="308"/>
      <c r="R762" s="308"/>
      <c r="S762" s="308" t="s">
        <v>81</v>
      </c>
      <c r="T762" s="311" t="s">
        <v>73</v>
      </c>
      <c r="U762" s="308"/>
      <c r="V762" s="312"/>
    </row>
    <row r="763">
      <c r="A763" s="308">
        <v>762.0</v>
      </c>
      <c r="B763" s="308">
        <v>3972.0</v>
      </c>
      <c r="C763" s="308" t="s">
        <v>35509</v>
      </c>
      <c r="D763" s="308">
        <f>IFERROR(__xludf.DUMMYFUNCTION("SPLIT(C763,""-"")"),764.0)</f>
        <v>764</v>
      </c>
      <c r="E763" s="311"/>
      <c r="F763" s="317" t="s">
        <v>37</v>
      </c>
      <c r="G763" s="308"/>
      <c r="H763" s="308" t="s">
        <v>3168</v>
      </c>
      <c r="I763" s="310">
        <v>41014.0</v>
      </c>
      <c r="J763" s="308">
        <f>IFERROR(__xludf.DUMMYFUNCTION("SPLIT(I763,""/"")"),15.0)</f>
        <v>15</v>
      </c>
      <c r="K763" s="308">
        <f>IFERROR(__xludf.DUMMYFUNCTION("""COMPUTED_VALUE"""),4.0)</f>
        <v>4</v>
      </c>
      <c r="L763" s="308">
        <f>IFERROR(__xludf.DUMMYFUNCTION("""COMPUTED_VALUE"""),2012.0)</f>
        <v>2012</v>
      </c>
      <c r="M763" s="308" t="s">
        <v>3169</v>
      </c>
      <c r="N763" s="308"/>
      <c r="O763" s="312" t="s">
        <v>3170</v>
      </c>
      <c r="P763" s="308" t="s">
        <v>3171</v>
      </c>
      <c r="Q763" s="308"/>
      <c r="R763" s="308"/>
      <c r="S763" s="308" t="s">
        <v>81</v>
      </c>
      <c r="T763" s="308" t="s">
        <v>75</v>
      </c>
      <c r="U763" s="308"/>
      <c r="V763" s="312"/>
    </row>
    <row r="764">
      <c r="A764" s="308">
        <v>763.0</v>
      </c>
      <c r="B764" s="308">
        <v>3973.0</v>
      </c>
      <c r="C764" s="308" t="s">
        <v>35510</v>
      </c>
      <c r="D764" s="308">
        <f>IFERROR(__xludf.DUMMYFUNCTION("SPLIT(C764,""-"")"),765.0)</f>
        <v>765</v>
      </c>
      <c r="E764" s="311"/>
      <c r="F764" s="317" t="s">
        <v>37</v>
      </c>
      <c r="G764" s="308"/>
      <c r="H764" s="308" t="s">
        <v>3172</v>
      </c>
      <c r="I764" s="310">
        <v>40824.0</v>
      </c>
      <c r="J764" s="308">
        <f>IFERROR(__xludf.DUMMYFUNCTION("SPLIT(I764,""/"")"),8.0)</f>
        <v>8</v>
      </c>
      <c r="K764" s="308">
        <f>IFERROR(__xludf.DUMMYFUNCTION("""COMPUTED_VALUE"""),10.0)</f>
        <v>10</v>
      </c>
      <c r="L764" s="308">
        <f>IFERROR(__xludf.DUMMYFUNCTION("""COMPUTED_VALUE"""),2011.0)</f>
        <v>2011</v>
      </c>
      <c r="M764" s="308" t="s">
        <v>35511</v>
      </c>
      <c r="N764" s="308"/>
      <c r="O764" s="312" t="s">
        <v>35512</v>
      </c>
      <c r="P764" s="308" t="s">
        <v>35513</v>
      </c>
      <c r="Q764" s="308"/>
      <c r="R764" s="308"/>
      <c r="S764" s="308" t="s">
        <v>81</v>
      </c>
      <c r="T764" s="311" t="s">
        <v>75</v>
      </c>
      <c r="U764" s="308"/>
      <c r="V764" s="312"/>
    </row>
    <row r="765">
      <c r="A765" s="308">
        <v>764.0</v>
      </c>
      <c r="B765" s="308">
        <v>3974.0</v>
      </c>
      <c r="C765" s="308" t="s">
        <v>35514</v>
      </c>
      <c r="D765" s="308">
        <f>IFERROR(__xludf.DUMMYFUNCTION("SPLIT(C765,""-"")"),766.0)</f>
        <v>766</v>
      </c>
      <c r="E765" s="311"/>
      <c r="F765" s="317" t="s">
        <v>37</v>
      </c>
      <c r="G765" s="308"/>
      <c r="H765" s="308" t="s">
        <v>3176</v>
      </c>
      <c r="I765" s="310">
        <v>40824.0</v>
      </c>
      <c r="J765" s="308">
        <f>IFERROR(__xludf.DUMMYFUNCTION("SPLIT(I765,""/"")"),8.0)</f>
        <v>8</v>
      </c>
      <c r="K765" s="308">
        <f>IFERROR(__xludf.DUMMYFUNCTION("""COMPUTED_VALUE"""),10.0)</f>
        <v>10</v>
      </c>
      <c r="L765" s="308">
        <f>IFERROR(__xludf.DUMMYFUNCTION("""COMPUTED_VALUE"""),2011.0)</f>
        <v>2011</v>
      </c>
      <c r="M765" s="308" t="s">
        <v>35511</v>
      </c>
      <c r="N765" s="308"/>
      <c r="O765" s="312" t="s">
        <v>35512</v>
      </c>
      <c r="P765" s="308" t="s">
        <v>3177</v>
      </c>
      <c r="Q765" s="308"/>
      <c r="R765" s="308"/>
      <c r="S765" s="308" t="s">
        <v>81</v>
      </c>
      <c r="T765" s="308" t="s">
        <v>75</v>
      </c>
      <c r="U765" s="308"/>
      <c r="V765" s="312"/>
    </row>
    <row r="766">
      <c r="A766" s="308">
        <v>765.0</v>
      </c>
      <c r="B766" s="308">
        <v>3975.0</v>
      </c>
      <c r="C766" s="308" t="s">
        <v>35515</v>
      </c>
      <c r="D766" s="308">
        <f>IFERROR(__xludf.DUMMYFUNCTION("SPLIT(C766,""-"")"),767.0)</f>
        <v>767</v>
      </c>
      <c r="E766" s="311"/>
      <c r="F766" s="309" t="s">
        <v>34</v>
      </c>
      <c r="G766" s="308"/>
      <c r="H766" s="308" t="s">
        <v>3178</v>
      </c>
      <c r="I766" s="310">
        <v>40195.0</v>
      </c>
      <c r="J766" s="308">
        <f>IFERROR(__xludf.DUMMYFUNCTION("SPLIT(I766,""/"")"),17.0)</f>
        <v>17</v>
      </c>
      <c r="K766" s="308">
        <f>IFERROR(__xludf.DUMMYFUNCTION("""COMPUTED_VALUE"""),1.0)</f>
        <v>1</v>
      </c>
      <c r="L766" s="308">
        <f>IFERROR(__xludf.DUMMYFUNCTION("""COMPUTED_VALUE"""),2010.0)</f>
        <v>2010</v>
      </c>
      <c r="M766" s="308" t="s">
        <v>3179</v>
      </c>
      <c r="N766" s="308"/>
      <c r="O766" s="312" t="s">
        <v>3180</v>
      </c>
      <c r="P766" s="308" t="s">
        <v>136</v>
      </c>
      <c r="Q766" s="308"/>
      <c r="R766" s="308"/>
      <c r="S766" s="315" t="s">
        <v>100</v>
      </c>
      <c r="T766" s="308" t="s">
        <v>34208</v>
      </c>
      <c r="U766" s="308" t="s">
        <v>2989</v>
      </c>
      <c r="V766" s="312"/>
    </row>
    <row r="767">
      <c r="A767" s="308">
        <v>766.0</v>
      </c>
      <c r="B767" s="308">
        <v>3976.0</v>
      </c>
      <c r="C767" s="308" t="s">
        <v>35516</v>
      </c>
      <c r="D767" s="308">
        <f>IFERROR(__xludf.DUMMYFUNCTION("SPLIT(C767,""-"")"),768.0)</f>
        <v>768</v>
      </c>
      <c r="E767" s="311"/>
      <c r="F767" s="309" t="s">
        <v>34</v>
      </c>
      <c r="G767" s="308"/>
      <c r="H767" s="308" t="s">
        <v>3181</v>
      </c>
      <c r="I767" s="310">
        <v>40046.0</v>
      </c>
      <c r="J767" s="308">
        <f>IFERROR(__xludf.DUMMYFUNCTION("SPLIT(I767,""/"")"),21.0)</f>
        <v>21</v>
      </c>
      <c r="K767" s="308">
        <f>IFERROR(__xludf.DUMMYFUNCTION("""COMPUTED_VALUE"""),8.0)</f>
        <v>8</v>
      </c>
      <c r="L767" s="308">
        <f>IFERROR(__xludf.DUMMYFUNCTION("""COMPUTED_VALUE"""),2009.0)</f>
        <v>2009</v>
      </c>
      <c r="M767" s="308" t="s">
        <v>3182</v>
      </c>
      <c r="N767" s="308" t="s">
        <v>3183</v>
      </c>
      <c r="O767" s="308" t="s">
        <v>3184</v>
      </c>
      <c r="P767" s="308" t="s">
        <v>2836</v>
      </c>
      <c r="Q767" s="308"/>
      <c r="R767" s="308"/>
      <c r="S767" s="315" t="s">
        <v>100</v>
      </c>
      <c r="T767" s="311" t="s">
        <v>34208</v>
      </c>
      <c r="U767" s="308" t="s">
        <v>2152</v>
      </c>
      <c r="V767" s="312"/>
    </row>
    <row r="768">
      <c r="A768" s="308">
        <v>767.0</v>
      </c>
      <c r="B768" s="308">
        <v>3977.0</v>
      </c>
      <c r="C768" s="308" t="s">
        <v>35517</v>
      </c>
      <c r="D768" s="308">
        <f>IFERROR(__xludf.DUMMYFUNCTION("SPLIT(C768,""-"")"),769.0)</f>
        <v>769</v>
      </c>
      <c r="E768" s="311"/>
      <c r="F768" s="309" t="s">
        <v>34</v>
      </c>
      <c r="G768" s="308"/>
      <c r="H768" s="308" t="s">
        <v>3185</v>
      </c>
      <c r="I768" s="310">
        <v>40334.0</v>
      </c>
      <c r="J768" s="308">
        <f>IFERROR(__xludf.DUMMYFUNCTION("SPLIT(I768,""/"")"),5.0)</f>
        <v>5</v>
      </c>
      <c r="K768" s="308">
        <f>IFERROR(__xludf.DUMMYFUNCTION("""COMPUTED_VALUE"""),6.0)</f>
        <v>6</v>
      </c>
      <c r="L768" s="308">
        <f>IFERROR(__xludf.DUMMYFUNCTION("""COMPUTED_VALUE"""),2010.0)</f>
        <v>2010</v>
      </c>
      <c r="M768" s="308" t="s">
        <v>3186</v>
      </c>
      <c r="N768" s="308"/>
      <c r="O768" s="312"/>
      <c r="P768" s="308" t="s">
        <v>3187</v>
      </c>
      <c r="Q768" s="308"/>
      <c r="R768" s="308"/>
      <c r="S768" s="308" t="s">
        <v>81</v>
      </c>
      <c r="T768" s="311" t="s">
        <v>75</v>
      </c>
      <c r="U768" s="308"/>
      <c r="V768" s="312"/>
    </row>
    <row r="769">
      <c r="A769" s="308">
        <v>768.0</v>
      </c>
      <c r="B769" s="308">
        <v>3978.0</v>
      </c>
      <c r="C769" s="308" t="s">
        <v>3188</v>
      </c>
      <c r="D769" s="308">
        <f>IFERROR(__xludf.DUMMYFUNCTION("SPLIT(C769,""-"")"),770.0)</f>
        <v>770</v>
      </c>
      <c r="E769" s="308" t="str">
        <f>IFERROR(__xludf.DUMMYFUNCTION("""COMPUTED_VALUE"""),"K")</f>
        <v>K</v>
      </c>
      <c r="F769" s="309" t="s">
        <v>34</v>
      </c>
      <c r="G769" s="308"/>
      <c r="H769" s="308" t="s">
        <v>3189</v>
      </c>
      <c r="I769" s="310">
        <v>40046.0</v>
      </c>
      <c r="J769" s="308">
        <f>IFERROR(__xludf.DUMMYFUNCTION("SPLIT(I769,""/"")"),21.0)</f>
        <v>21</v>
      </c>
      <c r="K769" s="308">
        <f>IFERROR(__xludf.DUMMYFUNCTION("""COMPUTED_VALUE"""),8.0)</f>
        <v>8</v>
      </c>
      <c r="L769" s="308">
        <f>IFERROR(__xludf.DUMMYFUNCTION("""COMPUTED_VALUE"""),2009.0)</f>
        <v>2009</v>
      </c>
      <c r="M769" s="308" t="s">
        <v>3190</v>
      </c>
      <c r="N769" s="308" t="s">
        <v>439</v>
      </c>
      <c r="O769" s="312" t="s">
        <v>3191</v>
      </c>
      <c r="P769" s="308" t="s">
        <v>2836</v>
      </c>
      <c r="Q769" s="308"/>
      <c r="R769" s="308"/>
      <c r="S769" s="315" t="s">
        <v>100</v>
      </c>
      <c r="T769" s="311" t="s">
        <v>34208</v>
      </c>
      <c r="U769" s="308" t="s">
        <v>2152</v>
      </c>
      <c r="V769" s="312"/>
    </row>
    <row r="770">
      <c r="A770" s="308">
        <v>769.0</v>
      </c>
      <c r="B770" s="308">
        <v>3979.0</v>
      </c>
      <c r="C770" s="308" t="s">
        <v>3192</v>
      </c>
      <c r="D770" s="308"/>
      <c r="E770" s="311"/>
      <c r="F770" s="309" t="s">
        <v>34</v>
      </c>
      <c r="G770" s="308"/>
      <c r="H770" s="308" t="s">
        <v>3193</v>
      </c>
      <c r="I770" s="310">
        <v>40854.0</v>
      </c>
      <c r="J770" s="308">
        <f>IFERROR(__xludf.DUMMYFUNCTION("SPLIT(I770,""/"")"),7.0)</f>
        <v>7</v>
      </c>
      <c r="K770" s="308">
        <f>IFERROR(__xludf.DUMMYFUNCTION("""COMPUTED_VALUE"""),11.0)</f>
        <v>11</v>
      </c>
      <c r="L770" s="308">
        <f>IFERROR(__xludf.DUMMYFUNCTION("""COMPUTED_VALUE"""),2011.0)</f>
        <v>2011</v>
      </c>
      <c r="M770" s="308" t="s">
        <v>3194</v>
      </c>
      <c r="N770" s="308"/>
      <c r="O770" s="312" t="s">
        <v>35518</v>
      </c>
      <c r="P770" s="308" t="s">
        <v>3196</v>
      </c>
      <c r="Q770" s="308"/>
      <c r="R770" s="308"/>
      <c r="S770" s="308" t="s">
        <v>81</v>
      </c>
      <c r="T770" s="308" t="s">
        <v>34264</v>
      </c>
      <c r="U770" s="308"/>
      <c r="V770" s="312"/>
    </row>
    <row r="771">
      <c r="A771" s="308">
        <v>770.0</v>
      </c>
      <c r="B771" s="308">
        <v>3980.0</v>
      </c>
      <c r="C771" s="308" t="s">
        <v>35519</v>
      </c>
      <c r="D771" s="308">
        <f>IFERROR(__xludf.DUMMYFUNCTION("SPLIT(C771,""-"")"),772.0)</f>
        <v>772</v>
      </c>
      <c r="E771" s="311"/>
      <c r="F771" s="309" t="s">
        <v>23</v>
      </c>
      <c r="G771" s="308"/>
      <c r="H771" s="308" t="s">
        <v>3197</v>
      </c>
      <c r="I771" s="310">
        <v>38526.0</v>
      </c>
      <c r="J771" s="308">
        <f>IFERROR(__xludf.DUMMYFUNCTION("SPLIT(I771,""/"")"),23.0)</f>
        <v>23</v>
      </c>
      <c r="K771" s="308">
        <f>IFERROR(__xludf.DUMMYFUNCTION("""COMPUTED_VALUE"""),6.0)</f>
        <v>6</v>
      </c>
      <c r="L771" s="308">
        <f>IFERROR(__xludf.DUMMYFUNCTION("""COMPUTED_VALUE"""),2005.0)</f>
        <v>2005</v>
      </c>
      <c r="M771" s="308" t="s">
        <v>3198</v>
      </c>
      <c r="N771" s="308"/>
      <c r="O771" s="312" t="s">
        <v>35520</v>
      </c>
      <c r="P771" s="308" t="s">
        <v>35521</v>
      </c>
      <c r="Q771" s="308"/>
      <c r="R771" s="308"/>
      <c r="S771" s="308" t="s">
        <v>49</v>
      </c>
      <c r="T771" s="311" t="s">
        <v>51</v>
      </c>
      <c r="U771" s="308"/>
      <c r="V771" s="312"/>
    </row>
    <row r="772">
      <c r="A772" s="308">
        <v>771.0</v>
      </c>
      <c r="B772" s="308">
        <v>3981.0</v>
      </c>
      <c r="C772" s="308" t="s">
        <v>35522</v>
      </c>
      <c r="D772" s="308">
        <f>IFERROR(__xludf.DUMMYFUNCTION("SPLIT(C772,""-"")"),773.0)</f>
        <v>773</v>
      </c>
      <c r="E772" s="311"/>
      <c r="F772" s="309" t="s">
        <v>34</v>
      </c>
      <c r="G772" s="308"/>
      <c r="H772" s="308" t="s">
        <v>3201</v>
      </c>
      <c r="I772" s="314">
        <v>40838.0</v>
      </c>
      <c r="J772" s="308">
        <f>IFERROR(__xludf.DUMMYFUNCTION("SPLIT(I772,""/"")"),22.0)</f>
        <v>22</v>
      </c>
      <c r="K772" s="308">
        <f>IFERROR(__xludf.DUMMYFUNCTION("""COMPUTED_VALUE"""),10.0)</f>
        <v>10</v>
      </c>
      <c r="L772" s="308">
        <f>IFERROR(__xludf.DUMMYFUNCTION("""COMPUTED_VALUE"""),2011.0)</f>
        <v>2011</v>
      </c>
      <c r="M772" s="308" t="s">
        <v>3202</v>
      </c>
      <c r="N772" s="308"/>
      <c r="O772" s="312" t="s">
        <v>35523</v>
      </c>
      <c r="P772" s="308" t="s">
        <v>35393</v>
      </c>
      <c r="Q772" s="308"/>
      <c r="R772" s="308"/>
      <c r="S772" s="308" t="s">
        <v>81</v>
      </c>
      <c r="T772" s="308" t="s">
        <v>34264</v>
      </c>
      <c r="U772" s="308"/>
      <c r="V772" s="312"/>
    </row>
    <row r="773">
      <c r="A773" s="308">
        <v>772.0</v>
      </c>
      <c r="B773" s="308">
        <v>3982.0</v>
      </c>
      <c r="C773" s="308" t="s">
        <v>35524</v>
      </c>
      <c r="D773" s="308">
        <f>IFERROR(__xludf.DUMMYFUNCTION("SPLIT(C773,""-"")"),774.0)</f>
        <v>774</v>
      </c>
      <c r="E773" s="311"/>
      <c r="F773" s="309" t="s">
        <v>34</v>
      </c>
      <c r="G773" s="308"/>
      <c r="H773" s="308" t="s">
        <v>3204</v>
      </c>
      <c r="I773" s="314">
        <v>40838.0</v>
      </c>
      <c r="J773" s="308">
        <f>IFERROR(__xludf.DUMMYFUNCTION("SPLIT(I773,""/"")"),22.0)</f>
        <v>22</v>
      </c>
      <c r="K773" s="308">
        <f>IFERROR(__xludf.DUMMYFUNCTION("""COMPUTED_VALUE"""),10.0)</f>
        <v>10</v>
      </c>
      <c r="L773" s="308">
        <f>IFERROR(__xludf.DUMMYFUNCTION("""COMPUTED_VALUE"""),2011.0)</f>
        <v>2011</v>
      </c>
      <c r="M773" s="308" t="s">
        <v>3202</v>
      </c>
      <c r="N773" s="308"/>
      <c r="O773" s="312" t="s">
        <v>35523</v>
      </c>
      <c r="P773" s="308" t="s">
        <v>35393</v>
      </c>
      <c r="Q773" s="308"/>
      <c r="R773" s="308"/>
      <c r="S773" s="308" t="s">
        <v>81</v>
      </c>
      <c r="T773" s="308" t="s">
        <v>34264</v>
      </c>
      <c r="U773" s="308"/>
      <c r="V773" s="312"/>
    </row>
    <row r="774">
      <c r="A774" s="308">
        <v>773.0</v>
      </c>
      <c r="B774" s="308">
        <v>3983.0</v>
      </c>
      <c r="C774" s="308" t="s">
        <v>35525</v>
      </c>
      <c r="D774" s="308">
        <f>IFERROR(__xludf.DUMMYFUNCTION("SPLIT(C774,""-"")"),775.0)</f>
        <v>775</v>
      </c>
      <c r="E774" s="311"/>
      <c r="F774" s="317" t="s">
        <v>39</v>
      </c>
      <c r="G774" s="308"/>
      <c r="H774" s="308" t="s">
        <v>3205</v>
      </c>
      <c r="I774" s="310">
        <v>40360.0</v>
      </c>
      <c r="J774" s="308">
        <f>IFERROR(__xludf.DUMMYFUNCTION("SPLIT(I774,""/"")"),1.0)</f>
        <v>1</v>
      </c>
      <c r="K774" s="308">
        <f>IFERROR(__xludf.DUMMYFUNCTION("""COMPUTED_VALUE"""),7.0)</f>
        <v>7</v>
      </c>
      <c r="L774" s="308">
        <f>IFERROR(__xludf.DUMMYFUNCTION("""COMPUTED_VALUE"""),2010.0)</f>
        <v>2010</v>
      </c>
      <c r="M774" s="308" t="s">
        <v>3202</v>
      </c>
      <c r="N774" s="308"/>
      <c r="O774" s="312" t="s">
        <v>3206</v>
      </c>
      <c r="P774" s="308" t="s">
        <v>3207</v>
      </c>
      <c r="Q774" s="308"/>
      <c r="R774" s="308"/>
      <c r="S774" s="308" t="s">
        <v>81</v>
      </c>
      <c r="T774" s="308" t="s">
        <v>73</v>
      </c>
      <c r="U774" s="308"/>
      <c r="V774" s="312"/>
    </row>
    <row r="775">
      <c r="A775" s="308">
        <v>774.0</v>
      </c>
      <c r="B775" s="308">
        <v>3984.0</v>
      </c>
      <c r="C775" s="308" t="s">
        <v>35526</v>
      </c>
      <c r="D775" s="308">
        <f>IFERROR(__xludf.DUMMYFUNCTION("SPLIT(C775,""-"")"),776.0)</f>
        <v>776</v>
      </c>
      <c r="E775" s="311"/>
      <c r="F775" s="317" t="s">
        <v>37</v>
      </c>
      <c r="G775" s="308"/>
      <c r="H775" s="308" t="s">
        <v>3208</v>
      </c>
      <c r="I775" s="310">
        <v>40273.0</v>
      </c>
      <c r="J775" s="308">
        <f>IFERROR(__xludf.DUMMYFUNCTION("SPLIT(I775,""/"")"),5.0)</f>
        <v>5</v>
      </c>
      <c r="K775" s="308">
        <f>IFERROR(__xludf.DUMMYFUNCTION("""COMPUTED_VALUE"""),4.0)</f>
        <v>4</v>
      </c>
      <c r="L775" s="308">
        <f>IFERROR(__xludf.DUMMYFUNCTION("""COMPUTED_VALUE"""),2010.0)</f>
        <v>2010</v>
      </c>
      <c r="M775" s="308" t="s">
        <v>3209</v>
      </c>
      <c r="N775" s="308"/>
      <c r="O775" s="312" t="s">
        <v>35527</v>
      </c>
      <c r="P775" s="308" t="s">
        <v>3211</v>
      </c>
      <c r="Q775" s="308"/>
      <c r="R775" s="308"/>
      <c r="S775" s="315" t="s">
        <v>100</v>
      </c>
      <c r="T775" s="311" t="s">
        <v>34208</v>
      </c>
      <c r="U775" s="308"/>
      <c r="V775" s="312"/>
    </row>
    <row r="776">
      <c r="A776" s="308">
        <v>775.0</v>
      </c>
      <c r="B776" s="308">
        <v>3985.0</v>
      </c>
      <c r="C776" s="308" t="s">
        <v>35528</v>
      </c>
      <c r="D776" s="308">
        <f>IFERROR(__xludf.DUMMYFUNCTION("SPLIT(C776,""-"")"),777.0)</f>
        <v>777</v>
      </c>
      <c r="E776" s="311"/>
      <c r="F776" s="317" t="s">
        <v>37</v>
      </c>
      <c r="G776" s="308"/>
      <c r="H776" s="308" t="s">
        <v>3212</v>
      </c>
      <c r="I776" s="310">
        <v>40273.0</v>
      </c>
      <c r="J776" s="308">
        <f>IFERROR(__xludf.DUMMYFUNCTION("SPLIT(I776,""/"")"),5.0)</f>
        <v>5</v>
      </c>
      <c r="K776" s="308">
        <f>IFERROR(__xludf.DUMMYFUNCTION("""COMPUTED_VALUE"""),4.0)</f>
        <v>4</v>
      </c>
      <c r="L776" s="308">
        <f>IFERROR(__xludf.DUMMYFUNCTION("""COMPUTED_VALUE"""),2010.0)</f>
        <v>2010</v>
      </c>
      <c r="M776" s="308" t="s">
        <v>3209</v>
      </c>
      <c r="N776" s="308"/>
      <c r="O776" s="312" t="s">
        <v>35527</v>
      </c>
      <c r="P776" s="308" t="s">
        <v>3211</v>
      </c>
      <c r="Q776" s="308"/>
      <c r="R776" s="308"/>
      <c r="S776" s="315" t="s">
        <v>100</v>
      </c>
      <c r="T776" s="311" t="s">
        <v>34208</v>
      </c>
      <c r="U776" s="308"/>
      <c r="V776" s="312"/>
    </row>
    <row r="777">
      <c r="A777" s="308">
        <v>776.0</v>
      </c>
      <c r="B777" s="308">
        <v>3986.0</v>
      </c>
      <c r="C777" s="308" t="s">
        <v>35529</v>
      </c>
      <c r="D777" s="308">
        <f>IFERROR(__xludf.DUMMYFUNCTION("SPLIT(C777,""-"")"),778.0)</f>
        <v>778</v>
      </c>
      <c r="E777" s="311"/>
      <c r="F777" s="309" t="s">
        <v>34</v>
      </c>
      <c r="G777" s="308"/>
      <c r="H777" s="308" t="s">
        <v>3213</v>
      </c>
      <c r="I777" s="310">
        <v>40680.0</v>
      </c>
      <c r="J777" s="308">
        <f>IFERROR(__xludf.DUMMYFUNCTION("SPLIT(I777,""/"")"),17.0)</f>
        <v>17</v>
      </c>
      <c r="K777" s="308">
        <f>IFERROR(__xludf.DUMMYFUNCTION("""COMPUTED_VALUE"""),5.0)</f>
        <v>5</v>
      </c>
      <c r="L777" s="308">
        <f>IFERROR(__xludf.DUMMYFUNCTION("""COMPUTED_VALUE"""),2011.0)</f>
        <v>2011</v>
      </c>
      <c r="M777" s="308" t="s">
        <v>3214</v>
      </c>
      <c r="N777" s="308"/>
      <c r="O777" s="312" t="s">
        <v>35530</v>
      </c>
      <c r="P777" s="308" t="s">
        <v>252</v>
      </c>
      <c r="Q777" s="308"/>
      <c r="R777" s="308"/>
      <c r="S777" s="308" t="s">
        <v>49</v>
      </c>
      <c r="T777" s="308" t="s">
        <v>51</v>
      </c>
      <c r="U777" s="308"/>
      <c r="V777" s="312"/>
    </row>
    <row r="778">
      <c r="A778" s="308">
        <v>777.0</v>
      </c>
      <c r="B778" s="308">
        <v>3987.0</v>
      </c>
      <c r="C778" s="308" t="s">
        <v>35531</v>
      </c>
      <c r="D778" s="308">
        <f>IFERROR(__xludf.DUMMYFUNCTION("SPLIT(C778,""-"")"),779.0)</f>
        <v>779</v>
      </c>
      <c r="E778" s="311"/>
      <c r="F778" s="309" t="s">
        <v>34</v>
      </c>
      <c r="G778" s="308"/>
      <c r="H778" s="308" t="s">
        <v>3216</v>
      </c>
      <c r="I778" s="314">
        <v>40166.0</v>
      </c>
      <c r="J778" s="308">
        <f>IFERROR(__xludf.DUMMYFUNCTION("SPLIT(I778,""/"")"),19.0)</f>
        <v>19</v>
      </c>
      <c r="K778" s="308">
        <f>IFERROR(__xludf.DUMMYFUNCTION("""COMPUTED_VALUE"""),12.0)</f>
        <v>12</v>
      </c>
      <c r="L778" s="308">
        <f>IFERROR(__xludf.DUMMYFUNCTION("""COMPUTED_VALUE"""),2009.0)</f>
        <v>2009</v>
      </c>
      <c r="M778" s="308" t="s">
        <v>3217</v>
      </c>
      <c r="N778" s="308"/>
      <c r="O778" s="312" t="s">
        <v>35532</v>
      </c>
      <c r="P778" s="308" t="s">
        <v>1392</v>
      </c>
      <c r="Q778" s="308"/>
      <c r="R778" s="308"/>
      <c r="S778" s="308" t="s">
        <v>49</v>
      </c>
      <c r="T778" s="315" t="s">
        <v>69</v>
      </c>
      <c r="U778" s="308" t="s">
        <v>35533</v>
      </c>
      <c r="V778" s="312"/>
    </row>
    <row r="779">
      <c r="A779" s="308">
        <v>778.0</v>
      </c>
      <c r="B779" s="308">
        <v>3988.0</v>
      </c>
      <c r="C779" s="308" t="s">
        <v>35534</v>
      </c>
      <c r="D779" s="308">
        <f>IFERROR(__xludf.DUMMYFUNCTION("SPLIT(C779,""-"")"),780.0)</f>
        <v>780</v>
      </c>
      <c r="E779" s="311"/>
      <c r="F779" s="317" t="s">
        <v>37</v>
      </c>
      <c r="G779" s="308"/>
      <c r="H779" s="308" t="s">
        <v>3219</v>
      </c>
      <c r="I779" s="310">
        <v>40353.0</v>
      </c>
      <c r="J779" s="308">
        <f>IFERROR(__xludf.DUMMYFUNCTION("SPLIT(I779,""/"")"),24.0)</f>
        <v>24</v>
      </c>
      <c r="K779" s="308">
        <f>IFERROR(__xludf.DUMMYFUNCTION("""COMPUTED_VALUE"""),6.0)</f>
        <v>6</v>
      </c>
      <c r="L779" s="308">
        <f>IFERROR(__xludf.DUMMYFUNCTION("""COMPUTED_VALUE"""),2010.0)</f>
        <v>2010</v>
      </c>
      <c r="M779" s="308" t="s">
        <v>3220</v>
      </c>
      <c r="N779" s="308"/>
      <c r="O779" s="312"/>
      <c r="P779" s="308" t="s">
        <v>3221</v>
      </c>
      <c r="Q779" s="308"/>
      <c r="R779" s="308"/>
      <c r="S779" s="308" t="s">
        <v>81</v>
      </c>
      <c r="T779" s="311" t="s">
        <v>98</v>
      </c>
      <c r="U779" s="308"/>
      <c r="V779" s="312"/>
    </row>
    <row r="780">
      <c r="A780" s="308">
        <v>779.0</v>
      </c>
      <c r="B780" s="308">
        <v>3989.0</v>
      </c>
      <c r="C780" s="308" t="s">
        <v>35535</v>
      </c>
      <c r="D780" s="308">
        <f>IFERROR(__xludf.DUMMYFUNCTION("SPLIT(C780,""-"")"),781.0)</f>
        <v>781</v>
      </c>
      <c r="E780" s="311"/>
      <c r="F780" s="309" t="s">
        <v>34</v>
      </c>
      <c r="G780" s="308"/>
      <c r="H780" s="308" t="s">
        <v>3222</v>
      </c>
      <c r="I780" s="310">
        <v>39969.0</v>
      </c>
      <c r="J780" s="308">
        <f>IFERROR(__xludf.DUMMYFUNCTION("SPLIT(I780,""/"")"),5.0)</f>
        <v>5</v>
      </c>
      <c r="K780" s="308">
        <f>IFERROR(__xludf.DUMMYFUNCTION("""COMPUTED_VALUE"""),6.0)</f>
        <v>6</v>
      </c>
      <c r="L780" s="308">
        <f>IFERROR(__xludf.DUMMYFUNCTION("""COMPUTED_VALUE"""),2009.0)</f>
        <v>2009</v>
      </c>
      <c r="M780" s="308" t="s">
        <v>2025</v>
      </c>
      <c r="N780" s="308"/>
      <c r="O780" s="312" t="s">
        <v>35536</v>
      </c>
      <c r="P780" s="308" t="s">
        <v>2831</v>
      </c>
      <c r="Q780" s="308"/>
      <c r="R780" s="308"/>
      <c r="S780" s="315" t="s">
        <v>100</v>
      </c>
      <c r="T780" s="311" t="s">
        <v>34208</v>
      </c>
      <c r="U780" s="308" t="s">
        <v>530</v>
      </c>
      <c r="V780" s="312"/>
    </row>
    <row r="781">
      <c r="A781" s="308">
        <v>780.0</v>
      </c>
      <c r="B781" s="308">
        <v>3990.0</v>
      </c>
      <c r="C781" s="308" t="s">
        <v>35537</v>
      </c>
      <c r="D781" s="308">
        <f>IFERROR(__xludf.DUMMYFUNCTION("SPLIT(C781,""-"")"),782.0)</f>
        <v>782</v>
      </c>
      <c r="E781" s="311"/>
      <c r="F781" s="309" t="s">
        <v>34</v>
      </c>
      <c r="G781" s="308"/>
      <c r="H781" s="308" t="s">
        <v>3224</v>
      </c>
      <c r="I781" s="310">
        <v>40552.0</v>
      </c>
      <c r="J781" s="308">
        <f>IFERROR(__xludf.DUMMYFUNCTION("SPLIT(I781,""/"")"),9.0)</f>
        <v>9</v>
      </c>
      <c r="K781" s="308">
        <f>IFERROR(__xludf.DUMMYFUNCTION("""COMPUTED_VALUE"""),1.0)</f>
        <v>1</v>
      </c>
      <c r="L781" s="308">
        <f>IFERROR(__xludf.DUMMYFUNCTION("""COMPUTED_VALUE"""),2011.0)</f>
        <v>2011</v>
      </c>
      <c r="M781" s="308" t="s">
        <v>3225</v>
      </c>
      <c r="N781" s="308"/>
      <c r="O781" s="312" t="s">
        <v>35538</v>
      </c>
      <c r="P781" s="308" t="s">
        <v>3227</v>
      </c>
      <c r="Q781" s="308"/>
      <c r="R781" s="308"/>
      <c r="S781" s="308" t="s">
        <v>81</v>
      </c>
      <c r="T781" s="311" t="s">
        <v>51</v>
      </c>
      <c r="U781" s="308"/>
      <c r="V781" s="312"/>
    </row>
    <row r="782">
      <c r="A782" s="308">
        <v>781.0</v>
      </c>
      <c r="B782" s="308">
        <v>3991.0</v>
      </c>
      <c r="C782" s="308" t="s">
        <v>35539</v>
      </c>
      <c r="D782" s="308">
        <f>IFERROR(__xludf.DUMMYFUNCTION("SPLIT(C782,""-"")"),783.0)</f>
        <v>783</v>
      </c>
      <c r="E782" s="311"/>
      <c r="F782" s="309" t="s">
        <v>34</v>
      </c>
      <c r="G782" s="308"/>
      <c r="H782" s="308" t="s">
        <v>3228</v>
      </c>
      <c r="I782" s="310">
        <v>40260.0</v>
      </c>
      <c r="J782" s="308">
        <f>IFERROR(__xludf.DUMMYFUNCTION("SPLIT(I782,""/"")"),23.0)</f>
        <v>23</v>
      </c>
      <c r="K782" s="308">
        <f>IFERROR(__xludf.DUMMYFUNCTION("""COMPUTED_VALUE"""),3.0)</f>
        <v>3</v>
      </c>
      <c r="L782" s="308">
        <f>IFERROR(__xludf.DUMMYFUNCTION("""COMPUTED_VALUE"""),2010.0)</f>
        <v>2010</v>
      </c>
      <c r="M782" s="308" t="s">
        <v>3229</v>
      </c>
      <c r="N782" s="308"/>
      <c r="O782" s="312" t="s">
        <v>635</v>
      </c>
      <c r="P782" s="308" t="s">
        <v>3230</v>
      </c>
      <c r="Q782" s="308"/>
      <c r="R782" s="308"/>
      <c r="S782" s="308" t="s">
        <v>81</v>
      </c>
      <c r="T782" s="311" t="s">
        <v>75</v>
      </c>
      <c r="U782" s="308"/>
      <c r="V782" s="312"/>
    </row>
    <row r="783">
      <c r="A783" s="308">
        <v>782.0</v>
      </c>
      <c r="B783" s="308">
        <v>3992.0</v>
      </c>
      <c r="C783" s="308" t="s">
        <v>35540</v>
      </c>
      <c r="D783" s="308">
        <f>IFERROR(__xludf.DUMMYFUNCTION("SPLIT(C783,""-"")"),784.0)</f>
        <v>784</v>
      </c>
      <c r="E783" s="311"/>
      <c r="F783" s="309" t="s">
        <v>34</v>
      </c>
      <c r="G783" s="308"/>
      <c r="H783" s="308" t="s">
        <v>3231</v>
      </c>
      <c r="I783" s="310">
        <v>40220.0</v>
      </c>
      <c r="J783" s="308">
        <f>IFERROR(__xludf.DUMMYFUNCTION("SPLIT(I783,""/"")"),11.0)</f>
        <v>11</v>
      </c>
      <c r="K783" s="308">
        <f>IFERROR(__xludf.DUMMYFUNCTION("""COMPUTED_VALUE"""),2.0)</f>
        <v>2</v>
      </c>
      <c r="L783" s="308">
        <f>IFERROR(__xludf.DUMMYFUNCTION("""COMPUTED_VALUE"""),2010.0)</f>
        <v>2010</v>
      </c>
      <c r="M783" s="308" t="s">
        <v>3232</v>
      </c>
      <c r="N783" s="308"/>
      <c r="O783" s="312" t="s">
        <v>35541</v>
      </c>
      <c r="P783" s="308" t="s">
        <v>35542</v>
      </c>
      <c r="Q783" s="308"/>
      <c r="R783" s="308"/>
      <c r="S783" s="308" t="s">
        <v>49</v>
      </c>
      <c r="T783" s="308" t="s">
        <v>51</v>
      </c>
      <c r="U783" s="312"/>
      <c r="V783" s="312"/>
    </row>
    <row r="784">
      <c r="A784" s="308">
        <v>783.0</v>
      </c>
      <c r="B784" s="308">
        <v>3993.0</v>
      </c>
      <c r="C784" s="308" t="s">
        <v>35543</v>
      </c>
      <c r="D784" s="308">
        <f>IFERROR(__xludf.DUMMYFUNCTION("SPLIT(C784,""-"")"),785.0)</f>
        <v>785</v>
      </c>
      <c r="E784" s="311"/>
      <c r="F784" s="309" t="s">
        <v>34</v>
      </c>
      <c r="G784" s="308"/>
      <c r="H784" s="308" t="s">
        <v>3234</v>
      </c>
      <c r="I784" s="310">
        <v>40926.0</v>
      </c>
      <c r="J784" s="308">
        <f>IFERROR(__xludf.DUMMYFUNCTION("SPLIT(I784,""/"")"),18.0)</f>
        <v>18</v>
      </c>
      <c r="K784" s="308">
        <f>IFERROR(__xludf.DUMMYFUNCTION("""COMPUTED_VALUE"""),1.0)</f>
        <v>1</v>
      </c>
      <c r="L784" s="308">
        <f>IFERROR(__xludf.DUMMYFUNCTION("""COMPUTED_VALUE"""),2012.0)</f>
        <v>2012</v>
      </c>
      <c r="M784" s="308" t="s">
        <v>3235</v>
      </c>
      <c r="N784" s="308"/>
      <c r="O784" s="312" t="s">
        <v>35544</v>
      </c>
      <c r="P784" s="308" t="s">
        <v>35545</v>
      </c>
      <c r="Q784" s="308"/>
      <c r="R784" s="308"/>
      <c r="S784" s="308" t="s">
        <v>49</v>
      </c>
      <c r="T784" s="308" t="s">
        <v>51</v>
      </c>
      <c r="U784" s="308" t="s">
        <v>542</v>
      </c>
      <c r="V784" s="312"/>
    </row>
    <row r="785">
      <c r="A785" s="308">
        <v>784.0</v>
      </c>
      <c r="B785" s="308">
        <v>3994.0</v>
      </c>
      <c r="C785" s="308" t="s">
        <v>35546</v>
      </c>
      <c r="D785" s="308">
        <f>IFERROR(__xludf.DUMMYFUNCTION("SPLIT(C785,""-"")"),786.0)</f>
        <v>786</v>
      </c>
      <c r="E785" s="311"/>
      <c r="F785" s="309" t="s">
        <v>34</v>
      </c>
      <c r="G785" s="308" t="s">
        <v>3238</v>
      </c>
      <c r="H785" s="308" t="s">
        <v>35547</v>
      </c>
      <c r="I785" s="310">
        <v>41060.0</v>
      </c>
      <c r="J785" s="308">
        <f>IFERROR(__xludf.DUMMYFUNCTION("SPLIT(I785,""/"")"),31.0)</f>
        <v>31</v>
      </c>
      <c r="K785" s="308">
        <f>IFERROR(__xludf.DUMMYFUNCTION("""COMPUTED_VALUE"""),5.0)</f>
        <v>5</v>
      </c>
      <c r="L785" s="308">
        <f>IFERROR(__xludf.DUMMYFUNCTION("""COMPUTED_VALUE"""),2012.0)</f>
        <v>2012</v>
      </c>
      <c r="M785" s="308" t="s">
        <v>3240</v>
      </c>
      <c r="N785" s="308"/>
      <c r="O785" s="312" t="s">
        <v>35548</v>
      </c>
      <c r="P785" s="308" t="s">
        <v>3242</v>
      </c>
      <c r="Q785" s="308"/>
      <c r="R785" s="308"/>
      <c r="S785" s="308" t="s">
        <v>81</v>
      </c>
      <c r="T785" s="311" t="s">
        <v>75</v>
      </c>
      <c r="U785" s="308"/>
      <c r="V785" s="312"/>
    </row>
    <row r="786">
      <c r="A786" s="308">
        <v>785.0</v>
      </c>
      <c r="B786" s="308">
        <v>3995.0</v>
      </c>
      <c r="C786" s="308" t="s">
        <v>35549</v>
      </c>
      <c r="D786" s="308">
        <f>IFERROR(__xludf.DUMMYFUNCTION("SPLIT(C786,""-"")"),787.0)</f>
        <v>787</v>
      </c>
      <c r="E786" s="311"/>
      <c r="F786" s="317" t="s">
        <v>37</v>
      </c>
      <c r="G786" s="308"/>
      <c r="H786" s="308" t="s">
        <v>35550</v>
      </c>
      <c r="I786" s="310">
        <v>39995.0</v>
      </c>
      <c r="J786" s="308">
        <f>IFERROR(__xludf.DUMMYFUNCTION("SPLIT(I786,""/"")"),1.0)</f>
        <v>1</v>
      </c>
      <c r="K786" s="308">
        <f>IFERROR(__xludf.DUMMYFUNCTION("""COMPUTED_VALUE"""),7.0)</f>
        <v>7</v>
      </c>
      <c r="L786" s="308">
        <f>IFERROR(__xludf.DUMMYFUNCTION("""COMPUTED_VALUE"""),2009.0)</f>
        <v>2009</v>
      </c>
      <c r="M786" s="308" t="s">
        <v>35551</v>
      </c>
      <c r="N786" s="308"/>
      <c r="O786" s="312"/>
      <c r="P786" s="308" t="s">
        <v>3244</v>
      </c>
      <c r="Q786" s="308"/>
      <c r="R786" s="308"/>
      <c r="S786" s="308" t="s">
        <v>81</v>
      </c>
      <c r="T786" s="308" t="s">
        <v>34264</v>
      </c>
      <c r="U786" s="308"/>
      <c r="V786" s="312"/>
    </row>
    <row r="787">
      <c r="A787" s="308">
        <v>786.0</v>
      </c>
      <c r="B787" s="308">
        <v>3996.0</v>
      </c>
      <c r="C787" s="308" t="s">
        <v>35552</v>
      </c>
      <c r="D787" s="308">
        <f>IFERROR(__xludf.DUMMYFUNCTION("SPLIT(C787,""-"")"),788.0)</f>
        <v>788</v>
      </c>
      <c r="E787" s="311"/>
      <c r="F787" s="317" t="s">
        <v>37</v>
      </c>
      <c r="G787" s="308" t="s">
        <v>3245</v>
      </c>
      <c r="H787" s="308" t="s">
        <v>3246</v>
      </c>
      <c r="I787" s="310">
        <v>40603.0</v>
      </c>
      <c r="J787" s="308">
        <f>IFERROR(__xludf.DUMMYFUNCTION("SPLIT(I787,""/"")"),1.0)</f>
        <v>1</v>
      </c>
      <c r="K787" s="308">
        <f>IFERROR(__xludf.DUMMYFUNCTION("""COMPUTED_VALUE"""),3.0)</f>
        <v>3</v>
      </c>
      <c r="L787" s="308">
        <f>IFERROR(__xludf.DUMMYFUNCTION("""COMPUTED_VALUE"""),2011.0)</f>
        <v>2011</v>
      </c>
      <c r="M787" s="308" t="s">
        <v>3247</v>
      </c>
      <c r="N787" s="308"/>
      <c r="O787" s="312" t="s">
        <v>35553</v>
      </c>
      <c r="P787" s="308" t="s">
        <v>3249</v>
      </c>
      <c r="Q787" s="308"/>
      <c r="R787" s="308"/>
      <c r="S787" s="315" t="s">
        <v>100</v>
      </c>
      <c r="T787" s="311" t="s">
        <v>34208</v>
      </c>
      <c r="U787" s="308" t="s">
        <v>149</v>
      </c>
      <c r="V787" s="312"/>
    </row>
    <row r="788">
      <c r="A788" s="308">
        <v>787.0</v>
      </c>
      <c r="B788" s="308">
        <v>3997.0</v>
      </c>
      <c r="C788" s="308" t="s">
        <v>35554</v>
      </c>
      <c r="D788" s="308">
        <f>IFERROR(__xludf.DUMMYFUNCTION("SPLIT(C788,""-"")"),789.0)</f>
        <v>789</v>
      </c>
      <c r="E788" s="311"/>
      <c r="F788" s="309" t="s">
        <v>26</v>
      </c>
      <c r="G788" s="308"/>
      <c r="H788" s="308" t="s">
        <v>3250</v>
      </c>
      <c r="I788" s="310">
        <v>41068.0</v>
      </c>
      <c r="J788" s="308">
        <f>IFERROR(__xludf.DUMMYFUNCTION("SPLIT(I788,""/"")"),8.0)</f>
        <v>8</v>
      </c>
      <c r="K788" s="308">
        <f>IFERROR(__xludf.DUMMYFUNCTION("""COMPUTED_VALUE"""),6.0)</f>
        <v>6</v>
      </c>
      <c r="L788" s="308">
        <f>IFERROR(__xludf.DUMMYFUNCTION("""COMPUTED_VALUE"""),2012.0)</f>
        <v>2012</v>
      </c>
      <c r="M788" s="308" t="s">
        <v>3251</v>
      </c>
      <c r="N788" s="308"/>
      <c r="O788" s="312" t="s">
        <v>3252</v>
      </c>
      <c r="P788" s="308" t="s">
        <v>3253</v>
      </c>
      <c r="Q788" s="308"/>
      <c r="R788" s="308"/>
      <c r="S788" s="308" t="s">
        <v>49</v>
      </c>
      <c r="T788" s="308" t="s">
        <v>51</v>
      </c>
      <c r="U788" s="308"/>
      <c r="V788" s="312"/>
    </row>
    <row r="789">
      <c r="A789" s="308">
        <v>788.0</v>
      </c>
      <c r="B789" s="308">
        <v>3998.0</v>
      </c>
      <c r="C789" s="308" t="s">
        <v>35555</v>
      </c>
      <c r="D789" s="308">
        <f>IFERROR(__xludf.DUMMYFUNCTION("SPLIT(C789,""-"")"),790.0)</f>
        <v>790</v>
      </c>
      <c r="E789" s="311"/>
      <c r="F789" s="309" t="s">
        <v>34</v>
      </c>
      <c r="G789" s="308" t="s">
        <v>3254</v>
      </c>
      <c r="H789" s="308" t="s">
        <v>3255</v>
      </c>
      <c r="I789" s="310">
        <v>40180.0</v>
      </c>
      <c r="J789" s="308">
        <f>IFERROR(__xludf.DUMMYFUNCTION("SPLIT(I789,""/"")"),2.0)</f>
        <v>2</v>
      </c>
      <c r="K789" s="308">
        <f>IFERROR(__xludf.DUMMYFUNCTION("""COMPUTED_VALUE"""),1.0)</f>
        <v>1</v>
      </c>
      <c r="L789" s="308">
        <f>IFERROR(__xludf.DUMMYFUNCTION("""COMPUTED_VALUE"""),2010.0)</f>
        <v>2010</v>
      </c>
      <c r="M789" s="308" t="s">
        <v>3256</v>
      </c>
      <c r="N789" s="308"/>
      <c r="O789" s="312" t="s">
        <v>635</v>
      </c>
      <c r="P789" s="308" t="s">
        <v>841</v>
      </c>
      <c r="Q789" s="308"/>
      <c r="R789" s="308"/>
      <c r="S789" s="308" t="s">
        <v>49</v>
      </c>
      <c r="T789" s="311" t="s">
        <v>77</v>
      </c>
      <c r="U789" s="312"/>
      <c r="V789" s="312"/>
    </row>
    <row r="790">
      <c r="A790" s="308">
        <v>789.0</v>
      </c>
      <c r="B790" s="308">
        <v>3999.0</v>
      </c>
      <c r="C790" s="308" t="s">
        <v>35556</v>
      </c>
      <c r="D790" s="308">
        <f>IFERROR(__xludf.DUMMYFUNCTION("SPLIT(C790,""-"")"),791.0)</f>
        <v>791</v>
      </c>
      <c r="E790" s="311"/>
      <c r="F790" s="317" t="s">
        <v>37</v>
      </c>
      <c r="G790" s="308"/>
      <c r="H790" s="308" t="s">
        <v>3257</v>
      </c>
      <c r="I790" s="310">
        <v>40720.0</v>
      </c>
      <c r="J790" s="308">
        <f>IFERROR(__xludf.DUMMYFUNCTION("SPLIT(I790,""/"")"),26.0)</f>
        <v>26</v>
      </c>
      <c r="K790" s="308">
        <f>IFERROR(__xludf.DUMMYFUNCTION("""COMPUTED_VALUE"""),6.0)</f>
        <v>6</v>
      </c>
      <c r="L790" s="308">
        <f>IFERROR(__xludf.DUMMYFUNCTION("""COMPUTED_VALUE"""),2011.0)</f>
        <v>2011</v>
      </c>
      <c r="M790" s="308" t="s">
        <v>3258</v>
      </c>
      <c r="N790" s="308"/>
      <c r="O790" s="312" t="s">
        <v>35557</v>
      </c>
      <c r="P790" s="308" t="s">
        <v>124</v>
      </c>
      <c r="Q790" s="308"/>
      <c r="R790" s="308"/>
      <c r="S790" s="308" t="s">
        <v>81</v>
      </c>
      <c r="T790" s="308" t="s">
        <v>35048</v>
      </c>
      <c r="U790" s="308"/>
      <c r="V790" s="312"/>
    </row>
    <row r="791">
      <c r="A791" s="308">
        <v>790.0</v>
      </c>
      <c r="B791" s="308">
        <v>4000.0</v>
      </c>
      <c r="C791" s="308" t="s">
        <v>35558</v>
      </c>
      <c r="D791" s="308">
        <f>IFERROR(__xludf.DUMMYFUNCTION("SPLIT(C791,""-"")"),792.0)</f>
        <v>792</v>
      </c>
      <c r="E791" s="311"/>
      <c r="F791" s="317" t="s">
        <v>37</v>
      </c>
      <c r="G791" s="308"/>
      <c r="H791" s="308" t="s">
        <v>3260</v>
      </c>
      <c r="I791" s="310">
        <v>41017.0</v>
      </c>
      <c r="J791" s="308">
        <f>IFERROR(__xludf.DUMMYFUNCTION("SPLIT(I791,""/"")"),18.0)</f>
        <v>18</v>
      </c>
      <c r="K791" s="308">
        <f>IFERROR(__xludf.DUMMYFUNCTION("""COMPUTED_VALUE"""),4.0)</f>
        <v>4</v>
      </c>
      <c r="L791" s="308">
        <f>IFERROR(__xludf.DUMMYFUNCTION("""COMPUTED_VALUE"""),2012.0)</f>
        <v>2012</v>
      </c>
      <c r="M791" s="308" t="s">
        <v>3261</v>
      </c>
      <c r="N791" s="308"/>
      <c r="O791" s="312" t="s">
        <v>35559</v>
      </c>
      <c r="P791" s="308" t="s">
        <v>3263</v>
      </c>
      <c r="Q791" s="308"/>
      <c r="R791" s="308"/>
      <c r="S791" s="308" t="s">
        <v>81</v>
      </c>
      <c r="T791" s="308" t="s">
        <v>75</v>
      </c>
      <c r="U791" s="308"/>
      <c r="V791" s="312"/>
    </row>
    <row r="792">
      <c r="A792" s="308">
        <v>791.0</v>
      </c>
      <c r="B792" s="308">
        <v>4001.0</v>
      </c>
      <c r="C792" s="308" t="s">
        <v>35560</v>
      </c>
      <c r="D792" s="308">
        <f>IFERROR(__xludf.DUMMYFUNCTION("SPLIT(C792,""-"")"),793.0)</f>
        <v>793</v>
      </c>
      <c r="E792" s="311"/>
      <c r="F792" s="317" t="s">
        <v>39</v>
      </c>
      <c r="G792" s="308"/>
      <c r="H792" s="308" t="s">
        <v>3264</v>
      </c>
      <c r="I792" s="314">
        <v>40527.0</v>
      </c>
      <c r="J792" s="308">
        <f>IFERROR(__xludf.DUMMYFUNCTION("SPLIT(I792,""/"")"),15.0)</f>
        <v>15</v>
      </c>
      <c r="K792" s="308">
        <f>IFERROR(__xludf.DUMMYFUNCTION("""COMPUTED_VALUE"""),12.0)</f>
        <v>12</v>
      </c>
      <c r="L792" s="308">
        <f>IFERROR(__xludf.DUMMYFUNCTION("""COMPUTED_VALUE"""),2010.0)</f>
        <v>2010</v>
      </c>
      <c r="M792" s="308" t="s">
        <v>35561</v>
      </c>
      <c r="N792" s="308"/>
      <c r="O792" s="312" t="s">
        <v>35562</v>
      </c>
      <c r="P792" s="308" t="s">
        <v>3267</v>
      </c>
      <c r="Q792" s="308"/>
      <c r="R792" s="308"/>
      <c r="S792" s="308" t="s">
        <v>49</v>
      </c>
      <c r="T792" s="311" t="s">
        <v>59</v>
      </c>
      <c r="U792" s="308"/>
      <c r="V792" s="312"/>
    </row>
    <row r="793">
      <c r="A793" s="308">
        <v>792.0</v>
      </c>
      <c r="B793" s="308">
        <v>4002.0</v>
      </c>
      <c r="C793" s="308" t="s">
        <v>35563</v>
      </c>
      <c r="D793" s="308">
        <f>IFERROR(__xludf.DUMMYFUNCTION("SPLIT(C793,""-"")"),794.0)</f>
        <v>794</v>
      </c>
      <c r="E793" s="311"/>
      <c r="F793" s="317" t="s">
        <v>37</v>
      </c>
      <c r="G793" s="308"/>
      <c r="H793" s="308" t="s">
        <v>3268</v>
      </c>
      <c r="I793" s="310">
        <v>41037.0</v>
      </c>
      <c r="J793" s="308">
        <f>IFERROR(__xludf.DUMMYFUNCTION("SPLIT(I793,""/"")"),8.0)</f>
        <v>8</v>
      </c>
      <c r="K793" s="308">
        <f>IFERROR(__xludf.DUMMYFUNCTION("""COMPUTED_VALUE"""),5.0)</f>
        <v>5</v>
      </c>
      <c r="L793" s="308">
        <f>IFERROR(__xludf.DUMMYFUNCTION("""COMPUTED_VALUE"""),2012.0)</f>
        <v>2012</v>
      </c>
      <c r="M793" s="308" t="s">
        <v>3269</v>
      </c>
      <c r="N793" s="308"/>
      <c r="O793" s="312" t="s">
        <v>3270</v>
      </c>
      <c r="P793" s="308" t="s">
        <v>1481</v>
      </c>
      <c r="Q793" s="308"/>
      <c r="R793" s="308"/>
      <c r="S793" s="308" t="s">
        <v>81</v>
      </c>
      <c r="T793" s="308" t="s">
        <v>35048</v>
      </c>
      <c r="U793" s="308"/>
      <c r="V793" s="312"/>
    </row>
    <row r="794">
      <c r="A794" s="308">
        <v>793.0</v>
      </c>
      <c r="B794" s="308">
        <v>4003.0</v>
      </c>
      <c r="C794" s="308" t="s">
        <v>35564</v>
      </c>
      <c r="D794" s="308">
        <f>IFERROR(__xludf.DUMMYFUNCTION("SPLIT(C794,""-"")"),795.0)</f>
        <v>795</v>
      </c>
      <c r="E794" s="311"/>
      <c r="F794" s="309" t="s">
        <v>34</v>
      </c>
      <c r="G794" s="308"/>
      <c r="H794" s="308" t="s">
        <v>3271</v>
      </c>
      <c r="I794" s="310">
        <v>40091.0</v>
      </c>
      <c r="J794" s="308">
        <f>IFERROR(__xludf.DUMMYFUNCTION("SPLIT(I794,""/"")"),5.0)</f>
        <v>5</v>
      </c>
      <c r="K794" s="308">
        <f>IFERROR(__xludf.DUMMYFUNCTION("""COMPUTED_VALUE"""),10.0)</f>
        <v>10</v>
      </c>
      <c r="L794" s="308">
        <f>IFERROR(__xludf.DUMMYFUNCTION("""COMPUTED_VALUE"""),2009.0)</f>
        <v>2009</v>
      </c>
      <c r="M794" s="308" t="s">
        <v>35565</v>
      </c>
      <c r="N794" s="308"/>
      <c r="O794" s="312" t="s">
        <v>35566</v>
      </c>
      <c r="P794" s="308" t="s">
        <v>3274</v>
      </c>
      <c r="Q794" s="308"/>
      <c r="R794" s="308"/>
      <c r="S794" s="308" t="s">
        <v>81</v>
      </c>
      <c r="T794" s="308" t="s">
        <v>34264</v>
      </c>
      <c r="U794" s="308"/>
      <c r="V794" s="312"/>
    </row>
    <row r="795">
      <c r="A795" s="308">
        <v>794.0</v>
      </c>
      <c r="B795" s="308">
        <v>4004.0</v>
      </c>
      <c r="C795" s="308" t="s">
        <v>35567</v>
      </c>
      <c r="D795" s="308">
        <f>IFERROR(__xludf.DUMMYFUNCTION("SPLIT(C795,""-"")"),796.0)</f>
        <v>796</v>
      </c>
      <c r="E795" s="311"/>
      <c r="F795" s="309" t="s">
        <v>34</v>
      </c>
      <c r="G795" s="308" t="s">
        <v>3275</v>
      </c>
      <c r="H795" s="308" t="s">
        <v>35568</v>
      </c>
      <c r="I795" s="314">
        <v>40889.0</v>
      </c>
      <c r="J795" s="308">
        <f>IFERROR(__xludf.DUMMYFUNCTION("SPLIT(I795,""/"")"),12.0)</f>
        <v>12</v>
      </c>
      <c r="K795" s="308">
        <f>IFERROR(__xludf.DUMMYFUNCTION("""COMPUTED_VALUE"""),12.0)</f>
        <v>12</v>
      </c>
      <c r="L795" s="308">
        <f>IFERROR(__xludf.DUMMYFUNCTION("""COMPUTED_VALUE"""),2011.0)</f>
        <v>2011</v>
      </c>
      <c r="M795" s="308" t="s">
        <v>3277</v>
      </c>
      <c r="N795" s="308"/>
      <c r="O795" s="312" t="s">
        <v>35569</v>
      </c>
      <c r="P795" s="308" t="s">
        <v>3279</v>
      </c>
      <c r="Q795" s="308"/>
      <c r="R795" s="308"/>
      <c r="S795" s="308" t="s">
        <v>81</v>
      </c>
      <c r="T795" s="308" t="s">
        <v>98</v>
      </c>
      <c r="U795" s="308"/>
      <c r="V795" s="312"/>
    </row>
    <row r="796">
      <c r="A796" s="308">
        <v>795.0</v>
      </c>
      <c r="B796" s="308">
        <v>4005.0</v>
      </c>
      <c r="C796" s="308" t="s">
        <v>35570</v>
      </c>
      <c r="D796" s="308">
        <f>IFERROR(__xludf.DUMMYFUNCTION("SPLIT(C796,""-"")"),797.0)</f>
        <v>797</v>
      </c>
      <c r="E796" s="311"/>
      <c r="F796" s="317" t="s">
        <v>37</v>
      </c>
      <c r="G796" s="308"/>
      <c r="H796" s="308" t="s">
        <v>3280</v>
      </c>
      <c r="I796" s="310">
        <v>41011.0</v>
      </c>
      <c r="J796" s="308">
        <f>IFERROR(__xludf.DUMMYFUNCTION("SPLIT(I796,""/"")"),12.0)</f>
        <v>12</v>
      </c>
      <c r="K796" s="308">
        <f>IFERROR(__xludf.DUMMYFUNCTION("""COMPUTED_VALUE"""),4.0)</f>
        <v>4</v>
      </c>
      <c r="L796" s="308">
        <f>IFERROR(__xludf.DUMMYFUNCTION("""COMPUTED_VALUE"""),2012.0)</f>
        <v>2012</v>
      </c>
      <c r="M796" s="308" t="s">
        <v>3281</v>
      </c>
      <c r="N796" s="308"/>
      <c r="O796" s="312" t="s">
        <v>35571</v>
      </c>
      <c r="P796" s="308" t="s">
        <v>3283</v>
      </c>
      <c r="Q796" s="308"/>
      <c r="R796" s="308"/>
      <c r="S796" s="308" t="s">
        <v>81</v>
      </c>
      <c r="T796" s="311" t="s">
        <v>75</v>
      </c>
      <c r="U796" s="308"/>
      <c r="V796" s="312"/>
    </row>
    <row r="797">
      <c r="A797" s="308">
        <v>796.0</v>
      </c>
      <c r="B797" s="308">
        <v>4006.0</v>
      </c>
      <c r="C797" s="308" t="s">
        <v>35572</v>
      </c>
      <c r="D797" s="308">
        <f>IFERROR(__xludf.DUMMYFUNCTION("SPLIT(C797,""-"")"),798.0)</f>
        <v>798</v>
      </c>
      <c r="E797" s="311"/>
      <c r="F797" s="309" t="s">
        <v>34</v>
      </c>
      <c r="G797" s="308"/>
      <c r="H797" s="308" t="s">
        <v>3284</v>
      </c>
      <c r="I797" s="314">
        <v>40134.0</v>
      </c>
      <c r="J797" s="308">
        <f>IFERROR(__xludf.DUMMYFUNCTION("SPLIT(I797,""/"")"),17.0)</f>
        <v>17</v>
      </c>
      <c r="K797" s="308">
        <f>IFERROR(__xludf.DUMMYFUNCTION("""COMPUTED_VALUE"""),11.0)</f>
        <v>11</v>
      </c>
      <c r="L797" s="308">
        <f>IFERROR(__xludf.DUMMYFUNCTION("""COMPUTED_VALUE"""),2009.0)</f>
        <v>2009</v>
      </c>
      <c r="M797" s="308" t="s">
        <v>3285</v>
      </c>
      <c r="N797" s="308"/>
      <c r="O797" s="312" t="s">
        <v>35573</v>
      </c>
      <c r="P797" s="308" t="s">
        <v>3287</v>
      </c>
      <c r="Q797" s="308"/>
      <c r="R797" s="308"/>
      <c r="S797" s="308" t="s">
        <v>81</v>
      </c>
      <c r="T797" s="308" t="s">
        <v>34264</v>
      </c>
      <c r="U797" s="308"/>
      <c r="V797" s="312"/>
    </row>
    <row r="798">
      <c r="A798" s="308">
        <v>797.0</v>
      </c>
      <c r="B798" s="308">
        <v>4007.0</v>
      </c>
      <c r="C798" s="308" t="s">
        <v>35574</v>
      </c>
      <c r="D798" s="308">
        <f>IFERROR(__xludf.DUMMYFUNCTION("SPLIT(C798,""-"")"),799.0)</f>
        <v>799</v>
      </c>
      <c r="E798" s="311"/>
      <c r="F798" s="309" t="s">
        <v>34</v>
      </c>
      <c r="G798" s="308"/>
      <c r="H798" s="308" t="s">
        <v>35575</v>
      </c>
      <c r="I798" s="310">
        <v>39923.0</v>
      </c>
      <c r="J798" s="308">
        <f>IFERROR(__xludf.DUMMYFUNCTION("SPLIT(I798,""/"")"),20.0)</f>
        <v>20</v>
      </c>
      <c r="K798" s="308">
        <f>IFERROR(__xludf.DUMMYFUNCTION("""COMPUTED_VALUE"""),4.0)</f>
        <v>4</v>
      </c>
      <c r="L798" s="308">
        <f>IFERROR(__xludf.DUMMYFUNCTION("""COMPUTED_VALUE"""),2009.0)</f>
        <v>2009</v>
      </c>
      <c r="M798" s="308" t="s">
        <v>3285</v>
      </c>
      <c r="N798" s="308"/>
      <c r="O798" s="312" t="s">
        <v>3289</v>
      </c>
      <c r="P798" s="308" t="s">
        <v>1605</v>
      </c>
      <c r="Q798" s="308"/>
      <c r="R798" s="308"/>
      <c r="S798" s="315" t="s">
        <v>100</v>
      </c>
      <c r="T798" s="311" t="s">
        <v>34208</v>
      </c>
      <c r="U798" s="308" t="s">
        <v>125</v>
      </c>
      <c r="V798" s="312"/>
    </row>
    <row r="799">
      <c r="A799" s="308">
        <v>798.0</v>
      </c>
      <c r="B799" s="308">
        <v>4008.0</v>
      </c>
      <c r="C799" s="308" t="s">
        <v>35576</v>
      </c>
      <c r="D799" s="308">
        <f>IFERROR(__xludf.DUMMYFUNCTION("SPLIT(C799,""-"")"),800.0)</f>
        <v>800</v>
      </c>
      <c r="E799" s="311"/>
      <c r="F799" s="309" t="s">
        <v>34</v>
      </c>
      <c r="G799" s="308"/>
      <c r="H799" s="308" t="s">
        <v>3290</v>
      </c>
      <c r="I799" s="310">
        <v>40292.0</v>
      </c>
      <c r="J799" s="308">
        <f>IFERROR(__xludf.DUMMYFUNCTION("SPLIT(I799,""/"")"),24.0)</f>
        <v>24</v>
      </c>
      <c r="K799" s="308">
        <f>IFERROR(__xludf.DUMMYFUNCTION("""COMPUTED_VALUE"""),4.0)</f>
        <v>4</v>
      </c>
      <c r="L799" s="308">
        <f>IFERROR(__xludf.DUMMYFUNCTION("""COMPUTED_VALUE"""),2010.0)</f>
        <v>2010</v>
      </c>
      <c r="M799" s="308" t="s">
        <v>35577</v>
      </c>
      <c r="N799" s="308"/>
      <c r="O799" s="312" t="s">
        <v>635</v>
      </c>
      <c r="P799" s="308" t="s">
        <v>3292</v>
      </c>
      <c r="Q799" s="308"/>
      <c r="R799" s="308"/>
      <c r="S799" s="308" t="s">
        <v>81</v>
      </c>
      <c r="T799" s="311" t="s">
        <v>34264</v>
      </c>
      <c r="U799" s="308"/>
      <c r="V799" s="312"/>
    </row>
    <row r="800">
      <c r="A800" s="308">
        <v>799.0</v>
      </c>
      <c r="B800" s="308">
        <v>4009.0</v>
      </c>
      <c r="C800" s="308" t="s">
        <v>35578</v>
      </c>
      <c r="D800" s="308">
        <f>IFERROR(__xludf.DUMMYFUNCTION("SPLIT(C800,""-"")"),801.0)</f>
        <v>801</v>
      </c>
      <c r="E800" s="311"/>
      <c r="F800" s="309" t="s">
        <v>34</v>
      </c>
      <c r="G800" s="308" t="s">
        <v>3293</v>
      </c>
      <c r="H800" s="308" t="s">
        <v>3294</v>
      </c>
      <c r="I800" s="310">
        <v>40292.0</v>
      </c>
      <c r="J800" s="308">
        <f>IFERROR(__xludf.DUMMYFUNCTION("SPLIT(I800,""/"")"),24.0)</f>
        <v>24</v>
      </c>
      <c r="K800" s="308">
        <f>IFERROR(__xludf.DUMMYFUNCTION("""COMPUTED_VALUE"""),4.0)</f>
        <v>4</v>
      </c>
      <c r="L800" s="308">
        <f>IFERROR(__xludf.DUMMYFUNCTION("""COMPUTED_VALUE"""),2010.0)</f>
        <v>2010</v>
      </c>
      <c r="M800" s="308" t="s">
        <v>3295</v>
      </c>
      <c r="N800" s="308"/>
      <c r="O800" s="312" t="s">
        <v>635</v>
      </c>
      <c r="P800" s="308" t="s">
        <v>3296</v>
      </c>
      <c r="Q800" s="308"/>
      <c r="R800" s="308"/>
      <c r="S800" s="308" t="s">
        <v>81</v>
      </c>
      <c r="T800" s="311" t="s">
        <v>34264</v>
      </c>
      <c r="U800" s="308"/>
      <c r="V800" s="312"/>
    </row>
    <row r="801">
      <c r="A801" s="308">
        <v>800.0</v>
      </c>
      <c r="B801" s="308">
        <v>4010.0</v>
      </c>
      <c r="C801" s="308" t="s">
        <v>35579</v>
      </c>
      <c r="D801" s="308">
        <f>IFERROR(__xludf.DUMMYFUNCTION("SPLIT(C801,""-"")"),802.0)</f>
        <v>802</v>
      </c>
      <c r="E801" s="311"/>
      <c r="F801" s="309" t="s">
        <v>34</v>
      </c>
      <c r="G801" s="308"/>
      <c r="H801" s="308" t="s">
        <v>3297</v>
      </c>
      <c r="I801" s="310">
        <v>41014.0</v>
      </c>
      <c r="J801" s="308">
        <f>IFERROR(__xludf.DUMMYFUNCTION("SPLIT(I801,""/"")"),15.0)</f>
        <v>15</v>
      </c>
      <c r="K801" s="308">
        <f>IFERROR(__xludf.DUMMYFUNCTION("""COMPUTED_VALUE"""),4.0)</f>
        <v>4</v>
      </c>
      <c r="L801" s="308">
        <f>IFERROR(__xludf.DUMMYFUNCTION("""COMPUTED_VALUE"""),2012.0)</f>
        <v>2012</v>
      </c>
      <c r="M801" s="308" t="s">
        <v>3298</v>
      </c>
      <c r="N801" s="308"/>
      <c r="O801" s="312" t="s">
        <v>3299</v>
      </c>
      <c r="P801" s="308" t="s">
        <v>136</v>
      </c>
      <c r="Q801" s="308"/>
      <c r="R801" s="308"/>
      <c r="S801" s="315" t="s">
        <v>100</v>
      </c>
      <c r="T801" s="308" t="s">
        <v>34208</v>
      </c>
      <c r="U801" s="308"/>
      <c r="V801" s="312"/>
    </row>
    <row r="802">
      <c r="A802" s="308">
        <v>801.0</v>
      </c>
      <c r="B802" s="308">
        <v>4011.0</v>
      </c>
      <c r="C802" s="308" t="s">
        <v>3300</v>
      </c>
      <c r="D802" s="308">
        <f>IFERROR(__xludf.DUMMYFUNCTION("SPLIT(C802,""-"")"),803.0)</f>
        <v>803</v>
      </c>
      <c r="E802" s="308" t="str">
        <f>IFERROR(__xludf.DUMMYFUNCTION("""COMPUTED_VALUE"""),"K")</f>
        <v>K</v>
      </c>
      <c r="F802" s="309" t="s">
        <v>34</v>
      </c>
      <c r="G802" s="308"/>
      <c r="H802" s="308" t="s">
        <v>3301</v>
      </c>
      <c r="I802" s="310">
        <v>40241.0</v>
      </c>
      <c r="J802" s="308">
        <f>IFERROR(__xludf.DUMMYFUNCTION("SPLIT(I802,""/"")"),4.0)</f>
        <v>4</v>
      </c>
      <c r="K802" s="308">
        <f>IFERROR(__xludf.DUMMYFUNCTION("""COMPUTED_VALUE"""),3.0)</f>
        <v>3</v>
      </c>
      <c r="L802" s="308">
        <f>IFERROR(__xludf.DUMMYFUNCTION("""COMPUTED_VALUE"""),2010.0)</f>
        <v>2010</v>
      </c>
      <c r="M802" s="308" t="s">
        <v>3302</v>
      </c>
      <c r="N802" s="308"/>
      <c r="O802" s="312" t="s">
        <v>35580</v>
      </c>
      <c r="P802" s="308" t="s">
        <v>1392</v>
      </c>
      <c r="Q802" s="308"/>
      <c r="R802" s="308" t="s">
        <v>1496</v>
      </c>
      <c r="S802" s="308" t="s">
        <v>49</v>
      </c>
      <c r="T802" s="315" t="s">
        <v>69</v>
      </c>
      <c r="U802" s="308" t="s">
        <v>35533</v>
      </c>
      <c r="V802" s="312"/>
    </row>
    <row r="803">
      <c r="A803" s="308">
        <v>802.0</v>
      </c>
      <c r="B803" s="308">
        <v>4012.0</v>
      </c>
      <c r="C803" s="308" t="s">
        <v>35581</v>
      </c>
      <c r="D803" s="308">
        <f>IFERROR(__xludf.DUMMYFUNCTION("SPLIT(C803,""-"")"),804.0)</f>
        <v>804</v>
      </c>
      <c r="E803" s="311"/>
      <c r="F803" s="309" t="s">
        <v>34</v>
      </c>
      <c r="G803" s="308"/>
      <c r="H803" s="308" t="s">
        <v>3304</v>
      </c>
      <c r="I803" s="310">
        <v>39964.0</v>
      </c>
      <c r="J803" s="308">
        <f>IFERROR(__xludf.DUMMYFUNCTION("SPLIT(I803,""/"")"),31.0)</f>
        <v>31</v>
      </c>
      <c r="K803" s="308">
        <f>IFERROR(__xludf.DUMMYFUNCTION("""COMPUTED_VALUE"""),5.0)</f>
        <v>5</v>
      </c>
      <c r="L803" s="308">
        <f>IFERROR(__xludf.DUMMYFUNCTION("""COMPUTED_VALUE"""),2009.0)</f>
        <v>2009</v>
      </c>
      <c r="M803" s="308" t="s">
        <v>3305</v>
      </c>
      <c r="N803" s="308"/>
      <c r="O803" s="312" t="s">
        <v>35582</v>
      </c>
      <c r="P803" s="308" t="s">
        <v>1872</v>
      </c>
      <c r="Q803" s="308"/>
      <c r="R803" s="308"/>
      <c r="S803" s="315" t="s">
        <v>100</v>
      </c>
      <c r="T803" s="311" t="s">
        <v>34208</v>
      </c>
      <c r="U803" s="308" t="s">
        <v>530</v>
      </c>
      <c r="V803" s="312"/>
    </row>
    <row r="804">
      <c r="A804" s="308">
        <v>803.0</v>
      </c>
      <c r="B804" s="308">
        <v>4013.0</v>
      </c>
      <c r="C804" s="308" t="s">
        <v>35583</v>
      </c>
      <c r="D804" s="308">
        <f>IFERROR(__xludf.DUMMYFUNCTION("SPLIT(C804,""-"")"),805.0)</f>
        <v>805</v>
      </c>
      <c r="E804" s="311"/>
      <c r="F804" s="309" t="s">
        <v>34</v>
      </c>
      <c r="G804" s="308"/>
      <c r="H804" s="308" t="s">
        <v>3307</v>
      </c>
      <c r="I804" s="310">
        <v>39995.0</v>
      </c>
      <c r="J804" s="308">
        <f>IFERROR(__xludf.DUMMYFUNCTION("SPLIT(I804,""/"")"),1.0)</f>
        <v>1</v>
      </c>
      <c r="K804" s="308">
        <f>IFERROR(__xludf.DUMMYFUNCTION("""COMPUTED_VALUE"""),7.0)</f>
        <v>7</v>
      </c>
      <c r="L804" s="308">
        <f>IFERROR(__xludf.DUMMYFUNCTION("""COMPUTED_VALUE"""),2009.0)</f>
        <v>2009</v>
      </c>
      <c r="M804" s="308" t="s">
        <v>3308</v>
      </c>
      <c r="N804" s="308"/>
      <c r="O804" s="312" t="s">
        <v>35584</v>
      </c>
      <c r="P804" s="308" t="s">
        <v>1872</v>
      </c>
      <c r="Q804" s="308"/>
      <c r="R804" s="308"/>
      <c r="S804" s="315" t="s">
        <v>100</v>
      </c>
      <c r="T804" s="311" t="s">
        <v>34208</v>
      </c>
      <c r="U804" s="308" t="s">
        <v>3310</v>
      </c>
      <c r="V804" s="312"/>
    </row>
    <row r="805">
      <c r="A805" s="308">
        <v>804.0</v>
      </c>
      <c r="B805" s="308">
        <v>4014.0</v>
      </c>
      <c r="C805" s="308" t="s">
        <v>35585</v>
      </c>
      <c r="D805" s="308">
        <f>IFERROR(__xludf.DUMMYFUNCTION("SPLIT(C805,""-"")"),806.0)</f>
        <v>806</v>
      </c>
      <c r="E805" s="311"/>
      <c r="F805" s="309" t="s">
        <v>34</v>
      </c>
      <c r="G805" s="308"/>
      <c r="H805" s="308" t="s">
        <v>3311</v>
      </c>
      <c r="I805" s="310">
        <v>40995.0</v>
      </c>
      <c r="J805" s="308">
        <f>IFERROR(__xludf.DUMMYFUNCTION("SPLIT(I805,""/"")"),27.0)</f>
        <v>27</v>
      </c>
      <c r="K805" s="308">
        <f>IFERROR(__xludf.DUMMYFUNCTION("""COMPUTED_VALUE"""),3.0)</f>
        <v>3</v>
      </c>
      <c r="L805" s="308">
        <f>IFERROR(__xludf.DUMMYFUNCTION("""COMPUTED_VALUE"""),2012.0)</f>
        <v>2012</v>
      </c>
      <c r="M805" s="308" t="s">
        <v>3312</v>
      </c>
      <c r="N805" s="308"/>
      <c r="O805" s="312" t="s">
        <v>3313</v>
      </c>
      <c r="P805" s="308" t="s">
        <v>3314</v>
      </c>
      <c r="Q805" s="308"/>
      <c r="R805" s="308"/>
      <c r="S805" s="308" t="s">
        <v>81</v>
      </c>
      <c r="T805" s="308" t="s">
        <v>73</v>
      </c>
      <c r="U805" s="308"/>
      <c r="V805" s="312"/>
    </row>
    <row r="806">
      <c r="A806" s="308">
        <v>805.0</v>
      </c>
      <c r="B806" s="308">
        <v>4015.0</v>
      </c>
      <c r="C806" s="308" t="s">
        <v>35586</v>
      </c>
      <c r="D806" s="308">
        <f>IFERROR(__xludf.DUMMYFUNCTION("SPLIT(C806,""-"")"),807.0)</f>
        <v>807</v>
      </c>
      <c r="E806" s="311"/>
      <c r="F806" s="317" t="s">
        <v>37</v>
      </c>
      <c r="G806" s="308"/>
      <c r="H806" s="308" t="s">
        <v>3315</v>
      </c>
      <c r="I806" s="310">
        <v>41056.0</v>
      </c>
      <c r="J806" s="308">
        <f>IFERROR(__xludf.DUMMYFUNCTION("SPLIT(I806,""/"")"),27.0)</f>
        <v>27</v>
      </c>
      <c r="K806" s="308">
        <f>IFERROR(__xludf.DUMMYFUNCTION("""COMPUTED_VALUE"""),5.0)</f>
        <v>5</v>
      </c>
      <c r="L806" s="308">
        <f>IFERROR(__xludf.DUMMYFUNCTION("""COMPUTED_VALUE"""),2012.0)</f>
        <v>2012</v>
      </c>
      <c r="M806" s="308" t="s">
        <v>3316</v>
      </c>
      <c r="N806" s="308"/>
      <c r="O806" s="312" t="s">
        <v>35587</v>
      </c>
      <c r="P806" s="308" t="s">
        <v>3318</v>
      </c>
      <c r="Q806" s="308"/>
      <c r="R806" s="308"/>
      <c r="S806" s="308" t="s">
        <v>81</v>
      </c>
      <c r="T806" s="311" t="s">
        <v>75</v>
      </c>
      <c r="U806" s="308"/>
      <c r="V806" s="312"/>
    </row>
    <row r="807">
      <c r="A807" s="308">
        <v>806.0</v>
      </c>
      <c r="B807" s="308">
        <v>4016.0</v>
      </c>
      <c r="C807" s="308" t="s">
        <v>35588</v>
      </c>
      <c r="D807" s="308">
        <f>IFERROR(__xludf.DUMMYFUNCTION("SPLIT(C807,""-"")"),808.0)</f>
        <v>808</v>
      </c>
      <c r="E807" s="311"/>
      <c r="F807" s="309" t="s">
        <v>34</v>
      </c>
      <c r="G807" s="308" t="s">
        <v>3319</v>
      </c>
      <c r="H807" s="308" t="s">
        <v>3320</v>
      </c>
      <c r="I807" s="314">
        <v>40468.0</v>
      </c>
      <c r="J807" s="308">
        <f>IFERROR(__xludf.DUMMYFUNCTION("SPLIT(I807,""/"")"),17.0)</f>
        <v>17</v>
      </c>
      <c r="K807" s="308">
        <f>IFERROR(__xludf.DUMMYFUNCTION("""COMPUTED_VALUE"""),10.0)</f>
        <v>10</v>
      </c>
      <c r="L807" s="308">
        <f>IFERROR(__xludf.DUMMYFUNCTION("""COMPUTED_VALUE"""),2010.0)</f>
        <v>2010</v>
      </c>
      <c r="M807" s="308" t="s">
        <v>3321</v>
      </c>
      <c r="N807" s="308"/>
      <c r="O807" s="312" t="s">
        <v>3322</v>
      </c>
      <c r="P807" s="308" t="s">
        <v>3323</v>
      </c>
      <c r="Q807" s="308"/>
      <c r="R807" s="308"/>
      <c r="S807" s="308" t="s">
        <v>81</v>
      </c>
      <c r="T807" s="308" t="s">
        <v>34264</v>
      </c>
      <c r="U807" s="308"/>
      <c r="V807" s="312"/>
    </row>
    <row r="808">
      <c r="A808" s="308">
        <v>807.0</v>
      </c>
      <c r="B808" s="308">
        <v>4017.0</v>
      </c>
      <c r="C808" s="308" t="s">
        <v>35589</v>
      </c>
      <c r="D808" s="308">
        <f>IFERROR(__xludf.DUMMYFUNCTION("SPLIT(C808,""-"")"),809.0)</f>
        <v>809</v>
      </c>
      <c r="E808" s="311"/>
      <c r="F808" s="317" t="s">
        <v>37</v>
      </c>
      <c r="G808" s="308" t="s">
        <v>3319</v>
      </c>
      <c r="H808" s="308" t="s">
        <v>3324</v>
      </c>
      <c r="I808" s="310">
        <v>40998.0</v>
      </c>
      <c r="J808" s="308">
        <f>IFERROR(__xludf.DUMMYFUNCTION("SPLIT(I808,""/"")"),30.0)</f>
        <v>30</v>
      </c>
      <c r="K808" s="308">
        <f>IFERROR(__xludf.DUMMYFUNCTION("""COMPUTED_VALUE"""),3.0)</f>
        <v>3</v>
      </c>
      <c r="L808" s="308">
        <f>IFERROR(__xludf.DUMMYFUNCTION("""COMPUTED_VALUE"""),2012.0)</f>
        <v>2012</v>
      </c>
      <c r="M808" s="308" t="s">
        <v>3325</v>
      </c>
      <c r="N808" s="308"/>
      <c r="O808" s="312" t="s">
        <v>635</v>
      </c>
      <c r="P808" s="308" t="s">
        <v>3326</v>
      </c>
      <c r="Q808" s="308"/>
      <c r="R808" s="308"/>
      <c r="S808" s="315" t="s">
        <v>100</v>
      </c>
      <c r="T808" s="311" t="s">
        <v>34208</v>
      </c>
      <c r="U808" s="308" t="s">
        <v>3327</v>
      </c>
      <c r="V808" s="312"/>
    </row>
    <row r="809">
      <c r="A809" s="308">
        <v>808.0</v>
      </c>
      <c r="B809" s="308">
        <v>4018.0</v>
      </c>
      <c r="C809" s="308" t="s">
        <v>35590</v>
      </c>
      <c r="D809" s="308">
        <f>IFERROR(__xludf.DUMMYFUNCTION("SPLIT(C809,""-"")"),810.0)</f>
        <v>810</v>
      </c>
      <c r="E809" s="311"/>
      <c r="F809" s="317" t="s">
        <v>37</v>
      </c>
      <c r="G809" s="308"/>
      <c r="H809" s="308" t="s">
        <v>3328</v>
      </c>
      <c r="I809" s="310">
        <v>41011.0</v>
      </c>
      <c r="J809" s="308">
        <f>IFERROR(__xludf.DUMMYFUNCTION("SPLIT(I809,""/"")"),12.0)</f>
        <v>12</v>
      </c>
      <c r="K809" s="308">
        <f>IFERROR(__xludf.DUMMYFUNCTION("""COMPUTED_VALUE"""),4.0)</f>
        <v>4</v>
      </c>
      <c r="L809" s="308">
        <f>IFERROR(__xludf.DUMMYFUNCTION("""COMPUTED_VALUE"""),2012.0)</f>
        <v>2012</v>
      </c>
      <c r="M809" s="308" t="s">
        <v>3329</v>
      </c>
      <c r="N809" s="308"/>
      <c r="O809" s="312"/>
      <c r="P809" s="308" t="s">
        <v>3330</v>
      </c>
      <c r="Q809" s="308"/>
      <c r="R809" s="308"/>
      <c r="S809" s="308" t="s">
        <v>81</v>
      </c>
      <c r="T809" s="311" t="s">
        <v>75</v>
      </c>
      <c r="U809" s="308"/>
      <c r="V809" s="312"/>
    </row>
    <row r="810">
      <c r="A810" s="308">
        <v>809.0</v>
      </c>
      <c r="B810" s="308">
        <v>4019.0</v>
      </c>
      <c r="C810" s="308" t="s">
        <v>35591</v>
      </c>
      <c r="D810" s="308">
        <f>IFERROR(__xludf.DUMMYFUNCTION("SPLIT(C810,""-"")"),811.0)</f>
        <v>811</v>
      </c>
      <c r="E810" s="311"/>
      <c r="F810" s="309" t="s">
        <v>34</v>
      </c>
      <c r="G810" s="308"/>
      <c r="H810" s="308" t="s">
        <v>3331</v>
      </c>
      <c r="I810" s="310">
        <v>39991.0</v>
      </c>
      <c r="J810" s="308">
        <f>IFERROR(__xludf.DUMMYFUNCTION("SPLIT(I810,""/"")"),27.0)</f>
        <v>27</v>
      </c>
      <c r="K810" s="308">
        <f>IFERROR(__xludf.DUMMYFUNCTION("""COMPUTED_VALUE"""),6.0)</f>
        <v>6</v>
      </c>
      <c r="L810" s="308">
        <f>IFERROR(__xludf.DUMMYFUNCTION("""COMPUTED_VALUE"""),2009.0)</f>
        <v>2009</v>
      </c>
      <c r="M810" s="308" t="s">
        <v>3332</v>
      </c>
      <c r="N810" s="308"/>
      <c r="O810" s="312" t="s">
        <v>35592</v>
      </c>
      <c r="P810" s="308" t="s">
        <v>1971</v>
      </c>
      <c r="Q810" s="308"/>
      <c r="R810" s="308"/>
      <c r="S810" s="315" t="s">
        <v>100</v>
      </c>
      <c r="T810" s="311" t="s">
        <v>34208</v>
      </c>
      <c r="U810" s="308" t="s">
        <v>530</v>
      </c>
      <c r="V810" s="312"/>
    </row>
    <row r="811">
      <c r="A811" s="308">
        <v>810.0</v>
      </c>
      <c r="B811" s="308">
        <v>4020.0</v>
      </c>
      <c r="C811" s="308" t="s">
        <v>35593</v>
      </c>
      <c r="D811" s="308">
        <f>IFERROR(__xludf.DUMMYFUNCTION("SPLIT(C811,""-"")"),812.0)</f>
        <v>812</v>
      </c>
      <c r="E811" s="311"/>
      <c r="F811" s="309" t="s">
        <v>34</v>
      </c>
      <c r="G811" s="308"/>
      <c r="H811" s="308" t="s">
        <v>3334</v>
      </c>
      <c r="I811" s="310">
        <v>39991.0</v>
      </c>
      <c r="J811" s="308">
        <f>IFERROR(__xludf.DUMMYFUNCTION("SPLIT(I811,""/"")"),27.0)</f>
        <v>27</v>
      </c>
      <c r="K811" s="308">
        <f>IFERROR(__xludf.DUMMYFUNCTION("""COMPUTED_VALUE"""),6.0)</f>
        <v>6</v>
      </c>
      <c r="L811" s="308">
        <f>IFERROR(__xludf.DUMMYFUNCTION("""COMPUTED_VALUE"""),2009.0)</f>
        <v>2009</v>
      </c>
      <c r="M811" s="308" t="s">
        <v>3332</v>
      </c>
      <c r="N811" s="308"/>
      <c r="O811" s="312" t="s">
        <v>35592</v>
      </c>
      <c r="P811" s="308" t="s">
        <v>1971</v>
      </c>
      <c r="Q811" s="308"/>
      <c r="R811" s="308"/>
      <c r="S811" s="315" t="s">
        <v>100</v>
      </c>
      <c r="T811" s="311" t="s">
        <v>34208</v>
      </c>
      <c r="U811" s="308" t="s">
        <v>530</v>
      </c>
      <c r="V811" s="312"/>
    </row>
    <row r="812">
      <c r="A812" s="308">
        <v>811.0</v>
      </c>
      <c r="B812" s="308">
        <v>4021.0</v>
      </c>
      <c r="C812" s="308" t="s">
        <v>35594</v>
      </c>
      <c r="D812" s="308">
        <f>IFERROR(__xludf.DUMMYFUNCTION("SPLIT(C812,""-"")"),813.0)</f>
        <v>813</v>
      </c>
      <c r="E812" s="311"/>
      <c r="F812" s="317" t="s">
        <v>39</v>
      </c>
      <c r="G812" s="308"/>
      <c r="H812" s="308" t="s">
        <v>3335</v>
      </c>
      <c r="I812" s="310">
        <v>39990.0</v>
      </c>
      <c r="J812" s="308">
        <f>IFERROR(__xludf.DUMMYFUNCTION("SPLIT(I812,""/"")"),26.0)</f>
        <v>26</v>
      </c>
      <c r="K812" s="308">
        <f>IFERROR(__xludf.DUMMYFUNCTION("""COMPUTED_VALUE"""),6.0)</f>
        <v>6</v>
      </c>
      <c r="L812" s="308">
        <f>IFERROR(__xludf.DUMMYFUNCTION("""COMPUTED_VALUE"""),2009.0)</f>
        <v>2009</v>
      </c>
      <c r="M812" s="308" t="s">
        <v>35595</v>
      </c>
      <c r="N812" s="308"/>
      <c r="O812" s="312" t="s">
        <v>3337</v>
      </c>
      <c r="P812" s="308" t="s">
        <v>136</v>
      </c>
      <c r="Q812" s="308"/>
      <c r="R812" s="308"/>
      <c r="S812" s="315" t="s">
        <v>100</v>
      </c>
      <c r="T812" s="308" t="s">
        <v>34208</v>
      </c>
      <c r="U812" s="308"/>
      <c r="V812" s="312"/>
    </row>
    <row r="813">
      <c r="A813" s="308">
        <v>812.0</v>
      </c>
      <c r="B813" s="308">
        <v>4022.0</v>
      </c>
      <c r="C813" s="308" t="s">
        <v>35596</v>
      </c>
      <c r="D813" s="308">
        <f>IFERROR(__xludf.DUMMYFUNCTION("SPLIT(C813,""-"")"),814.0)</f>
        <v>814</v>
      </c>
      <c r="E813" s="311"/>
      <c r="F813" s="309" t="s">
        <v>34</v>
      </c>
      <c r="G813" s="308" t="s">
        <v>3338</v>
      </c>
      <c r="H813" s="308" t="s">
        <v>3339</v>
      </c>
      <c r="I813" s="310">
        <v>39995.0</v>
      </c>
      <c r="J813" s="308">
        <f>IFERROR(__xludf.DUMMYFUNCTION("SPLIT(I813,""/"")"),1.0)</f>
        <v>1</v>
      </c>
      <c r="K813" s="308">
        <f>IFERROR(__xludf.DUMMYFUNCTION("""COMPUTED_VALUE"""),7.0)</f>
        <v>7</v>
      </c>
      <c r="L813" s="308">
        <f>IFERROR(__xludf.DUMMYFUNCTION("""COMPUTED_VALUE"""),2009.0)</f>
        <v>2009</v>
      </c>
      <c r="M813" s="308" t="s">
        <v>3340</v>
      </c>
      <c r="N813" s="308"/>
      <c r="O813" s="312" t="s">
        <v>35597</v>
      </c>
      <c r="P813" s="308" t="s">
        <v>34977</v>
      </c>
      <c r="Q813" s="308"/>
      <c r="R813" s="308"/>
      <c r="S813" s="308" t="s">
        <v>49</v>
      </c>
      <c r="T813" s="311" t="s">
        <v>51</v>
      </c>
      <c r="U813" s="308" t="s">
        <v>530</v>
      </c>
      <c r="V813" s="312"/>
    </row>
    <row r="814">
      <c r="A814" s="308">
        <v>813.0</v>
      </c>
      <c r="B814" s="308">
        <v>4023.0</v>
      </c>
      <c r="C814" s="308" t="s">
        <v>35598</v>
      </c>
      <c r="D814" s="308">
        <f>IFERROR(__xludf.DUMMYFUNCTION("SPLIT(C814,""-"")"),815.0)</f>
        <v>815</v>
      </c>
      <c r="E814" s="311"/>
      <c r="F814" s="309" t="s">
        <v>34</v>
      </c>
      <c r="G814" s="308"/>
      <c r="H814" s="308" t="s">
        <v>3342</v>
      </c>
      <c r="I814" s="310">
        <v>40940.0</v>
      </c>
      <c r="J814" s="308">
        <f>IFERROR(__xludf.DUMMYFUNCTION("SPLIT(I814,""/"")"),1.0)</f>
        <v>1</v>
      </c>
      <c r="K814" s="308">
        <f>IFERROR(__xludf.DUMMYFUNCTION("""COMPUTED_VALUE"""),2.0)</f>
        <v>2</v>
      </c>
      <c r="L814" s="308">
        <f>IFERROR(__xludf.DUMMYFUNCTION("""COMPUTED_VALUE"""),2012.0)</f>
        <v>2012</v>
      </c>
      <c r="M814" s="308" t="s">
        <v>3343</v>
      </c>
      <c r="N814" s="308"/>
      <c r="O814" s="312" t="s">
        <v>3344</v>
      </c>
      <c r="P814" s="308" t="s">
        <v>3345</v>
      </c>
      <c r="Q814" s="308"/>
      <c r="R814" s="308"/>
      <c r="S814" s="308" t="s">
        <v>81</v>
      </c>
      <c r="T814" s="308" t="s">
        <v>75</v>
      </c>
      <c r="U814" s="308"/>
      <c r="V814" s="312"/>
    </row>
    <row r="815">
      <c r="A815" s="308">
        <v>814.0</v>
      </c>
      <c r="B815" s="308">
        <v>4024.0</v>
      </c>
      <c r="C815" s="308" t="s">
        <v>35599</v>
      </c>
      <c r="D815" s="308">
        <f>IFERROR(__xludf.DUMMYFUNCTION("SPLIT(C815,""-"")"),816.0)</f>
        <v>816</v>
      </c>
      <c r="E815" s="311"/>
      <c r="F815" s="317" t="s">
        <v>37</v>
      </c>
      <c r="G815" s="308"/>
      <c r="H815" s="308" t="s">
        <v>3346</v>
      </c>
      <c r="I815" s="310">
        <v>40577.0</v>
      </c>
      <c r="J815" s="308">
        <f>IFERROR(__xludf.DUMMYFUNCTION("SPLIT(I815,""/"")"),3.0)</f>
        <v>3</v>
      </c>
      <c r="K815" s="308">
        <f>IFERROR(__xludf.DUMMYFUNCTION("""COMPUTED_VALUE"""),2.0)</f>
        <v>2</v>
      </c>
      <c r="L815" s="308">
        <f>IFERROR(__xludf.DUMMYFUNCTION("""COMPUTED_VALUE"""),2011.0)</f>
        <v>2011</v>
      </c>
      <c r="M815" s="308" t="s">
        <v>3347</v>
      </c>
      <c r="N815" s="308"/>
      <c r="O815" s="312" t="s">
        <v>35600</v>
      </c>
      <c r="P815" s="308" t="s">
        <v>3349</v>
      </c>
      <c r="Q815" s="308"/>
      <c r="R815" s="308"/>
      <c r="S815" s="308" t="s">
        <v>81</v>
      </c>
      <c r="T815" s="308" t="s">
        <v>75</v>
      </c>
      <c r="U815" s="308"/>
      <c r="V815" s="312"/>
    </row>
    <row r="816">
      <c r="A816" s="308">
        <v>815.0</v>
      </c>
      <c r="B816" s="308">
        <v>4025.0</v>
      </c>
      <c r="C816" s="308" t="s">
        <v>35601</v>
      </c>
      <c r="D816" s="308">
        <f>IFERROR(__xludf.DUMMYFUNCTION("SPLIT(C816,""-"")"),817.0)</f>
        <v>817</v>
      </c>
      <c r="E816" s="311"/>
      <c r="F816" s="309" t="s">
        <v>34</v>
      </c>
      <c r="G816" s="308"/>
      <c r="H816" s="308" t="s">
        <v>3350</v>
      </c>
      <c r="I816" s="310">
        <v>39682.0</v>
      </c>
      <c r="J816" s="308">
        <f>IFERROR(__xludf.DUMMYFUNCTION("SPLIT(I816,""/"")"),22.0)</f>
        <v>22</v>
      </c>
      <c r="K816" s="308">
        <f>IFERROR(__xludf.DUMMYFUNCTION("""COMPUTED_VALUE"""),8.0)</f>
        <v>8</v>
      </c>
      <c r="L816" s="308">
        <f>IFERROR(__xludf.DUMMYFUNCTION("""COMPUTED_VALUE"""),2008.0)</f>
        <v>2008</v>
      </c>
      <c r="M816" s="308" t="s">
        <v>3351</v>
      </c>
      <c r="N816" s="308"/>
      <c r="O816" s="312" t="s">
        <v>35602</v>
      </c>
      <c r="P816" s="308" t="s">
        <v>1971</v>
      </c>
      <c r="Q816" s="308"/>
      <c r="R816" s="308"/>
      <c r="S816" s="315" t="s">
        <v>100</v>
      </c>
      <c r="T816" s="311" t="s">
        <v>34208</v>
      </c>
      <c r="U816" s="308" t="s">
        <v>530</v>
      </c>
      <c r="V816" s="312"/>
    </row>
    <row r="817">
      <c r="A817" s="308">
        <v>816.0</v>
      </c>
      <c r="B817" s="308">
        <v>4026.0</v>
      </c>
      <c r="C817" s="308" t="s">
        <v>35603</v>
      </c>
      <c r="D817" s="308">
        <f>IFERROR(__xludf.DUMMYFUNCTION("SPLIT(C817,""-"")"),818.0)</f>
        <v>818</v>
      </c>
      <c r="E817" s="311"/>
      <c r="F817" s="309" t="s">
        <v>34</v>
      </c>
      <c r="G817" s="308"/>
      <c r="H817" s="308" t="s">
        <v>35604</v>
      </c>
      <c r="I817" s="310">
        <v>39714.0</v>
      </c>
      <c r="J817" s="308">
        <f>IFERROR(__xludf.DUMMYFUNCTION("SPLIT(I817,""/"")"),23.0)</f>
        <v>23</v>
      </c>
      <c r="K817" s="308">
        <f>IFERROR(__xludf.DUMMYFUNCTION("""COMPUTED_VALUE"""),9.0)</f>
        <v>9</v>
      </c>
      <c r="L817" s="308">
        <f>IFERROR(__xludf.DUMMYFUNCTION("""COMPUTED_VALUE"""),2008.0)</f>
        <v>2008</v>
      </c>
      <c r="M817" s="308" t="s">
        <v>35605</v>
      </c>
      <c r="N817" s="308"/>
      <c r="O817" s="312" t="s">
        <v>35602</v>
      </c>
      <c r="P817" s="308" t="s">
        <v>1971</v>
      </c>
      <c r="Q817" s="308"/>
      <c r="R817" s="308"/>
      <c r="S817" s="315" t="s">
        <v>100</v>
      </c>
      <c r="T817" s="311" t="s">
        <v>34208</v>
      </c>
      <c r="U817" s="308" t="s">
        <v>530</v>
      </c>
      <c r="V817" s="312"/>
    </row>
    <row r="818">
      <c r="A818" s="308">
        <v>817.0</v>
      </c>
      <c r="B818" s="308">
        <v>4027.0</v>
      </c>
      <c r="C818" s="308" t="s">
        <v>35606</v>
      </c>
      <c r="D818" s="308">
        <f>IFERROR(__xludf.DUMMYFUNCTION("SPLIT(C818,""-"")"),819.0)</f>
        <v>819</v>
      </c>
      <c r="E818" s="311"/>
      <c r="F818" s="309" t="s">
        <v>34</v>
      </c>
      <c r="G818" s="308"/>
      <c r="H818" s="308" t="s">
        <v>3355</v>
      </c>
      <c r="I818" s="310">
        <v>40427.0</v>
      </c>
      <c r="J818" s="308">
        <f>IFERROR(__xludf.DUMMYFUNCTION("SPLIT(I818,""/"")"),6.0)</f>
        <v>6</v>
      </c>
      <c r="K818" s="308">
        <f>IFERROR(__xludf.DUMMYFUNCTION("""COMPUTED_VALUE"""),9.0)</f>
        <v>9</v>
      </c>
      <c r="L818" s="308">
        <f>IFERROR(__xludf.DUMMYFUNCTION("""COMPUTED_VALUE"""),2010.0)</f>
        <v>2010</v>
      </c>
      <c r="M818" s="308" t="s">
        <v>3356</v>
      </c>
      <c r="N818" s="308"/>
      <c r="O818" s="312" t="s">
        <v>35607</v>
      </c>
      <c r="P818" s="308" t="s">
        <v>35608</v>
      </c>
      <c r="Q818" s="308"/>
      <c r="R818" s="308"/>
      <c r="S818" s="308" t="s">
        <v>81</v>
      </c>
      <c r="T818" s="311" t="s">
        <v>96</v>
      </c>
      <c r="U818" s="308" t="s">
        <v>872</v>
      </c>
      <c r="V818" s="312"/>
    </row>
    <row r="819">
      <c r="A819" s="308">
        <v>818.0</v>
      </c>
      <c r="B819" s="308">
        <v>4028.0</v>
      </c>
      <c r="C819" s="308" t="s">
        <v>35609</v>
      </c>
      <c r="D819" s="308">
        <f>IFERROR(__xludf.DUMMYFUNCTION("SPLIT(C819,""-"")"),820.0)</f>
        <v>820</v>
      </c>
      <c r="E819" s="311"/>
      <c r="F819" s="309" t="s">
        <v>34</v>
      </c>
      <c r="G819" s="308"/>
      <c r="H819" s="308" t="s">
        <v>3359</v>
      </c>
      <c r="I819" s="310">
        <v>40764.0</v>
      </c>
      <c r="J819" s="308">
        <f>IFERROR(__xludf.DUMMYFUNCTION("SPLIT(I819,""/"")"),9.0)</f>
        <v>9</v>
      </c>
      <c r="K819" s="308">
        <f>IFERROR(__xludf.DUMMYFUNCTION("""COMPUTED_VALUE"""),8.0)</f>
        <v>8</v>
      </c>
      <c r="L819" s="308">
        <f>IFERROR(__xludf.DUMMYFUNCTION("""COMPUTED_VALUE"""),2011.0)</f>
        <v>2011</v>
      </c>
      <c r="M819" s="308" t="s">
        <v>3360</v>
      </c>
      <c r="N819" s="308"/>
      <c r="O819" s="312" t="s">
        <v>35610</v>
      </c>
      <c r="P819" s="308" t="s">
        <v>3362</v>
      </c>
      <c r="Q819" s="308"/>
      <c r="R819" s="308"/>
      <c r="S819" s="315" t="s">
        <v>100</v>
      </c>
      <c r="T819" s="311" t="s">
        <v>34208</v>
      </c>
      <c r="U819" s="308" t="s">
        <v>2989</v>
      </c>
      <c r="V819" s="312"/>
    </row>
    <row r="820">
      <c r="A820" s="308">
        <v>819.0</v>
      </c>
      <c r="B820" s="308">
        <v>4029.0</v>
      </c>
      <c r="C820" s="308" t="s">
        <v>35611</v>
      </c>
      <c r="D820" s="308">
        <f>IFERROR(__xludf.DUMMYFUNCTION("SPLIT(C820,""-"")"),821.0)</f>
        <v>821</v>
      </c>
      <c r="E820" s="311"/>
      <c r="F820" s="317" t="s">
        <v>37</v>
      </c>
      <c r="G820" s="308"/>
      <c r="H820" s="308" t="s">
        <v>3363</v>
      </c>
      <c r="I820" s="310">
        <v>41082.0</v>
      </c>
      <c r="J820" s="308">
        <f>IFERROR(__xludf.DUMMYFUNCTION("SPLIT(I820,""/"")"),22.0)</f>
        <v>22</v>
      </c>
      <c r="K820" s="308">
        <f>IFERROR(__xludf.DUMMYFUNCTION("""COMPUTED_VALUE"""),6.0)</f>
        <v>6</v>
      </c>
      <c r="L820" s="308">
        <f>IFERROR(__xludf.DUMMYFUNCTION("""COMPUTED_VALUE"""),2012.0)</f>
        <v>2012</v>
      </c>
      <c r="M820" s="308" t="s">
        <v>3364</v>
      </c>
      <c r="N820" s="308"/>
      <c r="O820" s="312" t="s">
        <v>35612</v>
      </c>
      <c r="P820" s="308" t="s">
        <v>35613</v>
      </c>
      <c r="Q820" s="308"/>
      <c r="R820" s="308"/>
      <c r="S820" s="308" t="s">
        <v>81</v>
      </c>
      <c r="T820" s="308" t="s">
        <v>75</v>
      </c>
      <c r="U820" s="308"/>
      <c r="V820" s="312"/>
    </row>
    <row r="821">
      <c r="A821" s="308">
        <v>820.0</v>
      </c>
      <c r="B821" s="308">
        <v>4030.0</v>
      </c>
      <c r="C821" s="308" t="s">
        <v>35614</v>
      </c>
      <c r="D821" s="308">
        <f>IFERROR(__xludf.DUMMYFUNCTION("SPLIT(C821,""-"")"),822.0)</f>
        <v>822</v>
      </c>
      <c r="E821" s="311"/>
      <c r="F821" s="317" t="s">
        <v>37</v>
      </c>
      <c r="G821" s="308"/>
      <c r="H821" s="308" t="s">
        <v>3367</v>
      </c>
      <c r="I821" s="310">
        <v>40960.0</v>
      </c>
      <c r="J821" s="308">
        <f>IFERROR(__xludf.DUMMYFUNCTION("SPLIT(I821,""/"")"),21.0)</f>
        <v>21</v>
      </c>
      <c r="K821" s="308">
        <f>IFERROR(__xludf.DUMMYFUNCTION("""COMPUTED_VALUE"""),2.0)</f>
        <v>2</v>
      </c>
      <c r="L821" s="308">
        <f>IFERROR(__xludf.DUMMYFUNCTION("""COMPUTED_VALUE"""),2012.0)</f>
        <v>2012</v>
      </c>
      <c r="M821" s="308" t="s">
        <v>3368</v>
      </c>
      <c r="N821" s="308"/>
      <c r="O821" s="312" t="s">
        <v>3369</v>
      </c>
      <c r="P821" s="308" t="s">
        <v>35615</v>
      </c>
      <c r="Q821" s="308"/>
      <c r="R821" s="308"/>
      <c r="S821" s="308" t="s">
        <v>49</v>
      </c>
      <c r="T821" s="311" t="s">
        <v>51</v>
      </c>
      <c r="U821" s="308"/>
      <c r="V821" s="312"/>
    </row>
    <row r="822">
      <c r="A822" s="308">
        <v>821.0</v>
      </c>
      <c r="B822" s="308">
        <v>4031.0</v>
      </c>
      <c r="C822" s="308" t="s">
        <v>35616</v>
      </c>
      <c r="D822" s="308">
        <f>IFERROR(__xludf.DUMMYFUNCTION("SPLIT(C822,""-"")"),823.0)</f>
        <v>823</v>
      </c>
      <c r="E822" s="311"/>
      <c r="F822" s="309" t="s">
        <v>34</v>
      </c>
      <c r="G822" s="308"/>
      <c r="H822" s="308" t="s">
        <v>3371</v>
      </c>
      <c r="I822" s="310">
        <v>40566.0</v>
      </c>
      <c r="J822" s="308">
        <f>IFERROR(__xludf.DUMMYFUNCTION("SPLIT(I822,""/"")"),23.0)</f>
        <v>23</v>
      </c>
      <c r="K822" s="308">
        <f>IFERROR(__xludf.DUMMYFUNCTION("""COMPUTED_VALUE"""),1.0)</f>
        <v>1</v>
      </c>
      <c r="L822" s="308">
        <f>IFERROR(__xludf.DUMMYFUNCTION("""COMPUTED_VALUE"""),2011.0)</f>
        <v>2011</v>
      </c>
      <c r="M822" s="308" t="s">
        <v>3372</v>
      </c>
      <c r="N822" s="308"/>
      <c r="O822" s="312" t="s">
        <v>35617</v>
      </c>
      <c r="P822" s="308" t="s">
        <v>35618</v>
      </c>
      <c r="Q822" s="308"/>
      <c r="R822" s="308"/>
      <c r="S822" s="308" t="s">
        <v>49</v>
      </c>
      <c r="T822" s="308" t="s">
        <v>51</v>
      </c>
      <c r="U822" s="308" t="s">
        <v>2989</v>
      </c>
      <c r="V822" s="312"/>
    </row>
    <row r="823">
      <c r="A823" s="308">
        <v>822.0</v>
      </c>
      <c r="B823" s="308">
        <v>4032.0</v>
      </c>
      <c r="C823" s="308" t="s">
        <v>35619</v>
      </c>
      <c r="D823" s="308">
        <f>IFERROR(__xludf.DUMMYFUNCTION("SPLIT(C823,""-"")"),824.0)</f>
        <v>824</v>
      </c>
      <c r="E823" s="311"/>
      <c r="F823" s="317" t="s">
        <v>37</v>
      </c>
      <c r="G823" s="308"/>
      <c r="H823" s="308" t="s">
        <v>3375</v>
      </c>
      <c r="I823" s="310">
        <v>37315.0</v>
      </c>
      <c r="J823" s="308">
        <f>IFERROR(__xludf.DUMMYFUNCTION("SPLIT(I823,""/"")"),28.0)</f>
        <v>28</v>
      </c>
      <c r="K823" s="308">
        <f>IFERROR(__xludf.DUMMYFUNCTION("""COMPUTED_VALUE"""),2.0)</f>
        <v>2</v>
      </c>
      <c r="L823" s="308">
        <f>IFERROR(__xludf.DUMMYFUNCTION("""COMPUTED_VALUE"""),2002.0)</f>
        <v>2002</v>
      </c>
      <c r="M823" s="308" t="s">
        <v>35620</v>
      </c>
      <c r="N823" s="308"/>
      <c r="O823" s="312" t="s">
        <v>35621</v>
      </c>
      <c r="P823" s="308" t="s">
        <v>3378</v>
      </c>
      <c r="Q823" s="308"/>
      <c r="R823" s="308"/>
      <c r="S823" s="308" t="s">
        <v>49</v>
      </c>
      <c r="T823" s="308" t="s">
        <v>51</v>
      </c>
      <c r="U823" s="308"/>
      <c r="V823" s="312"/>
    </row>
    <row r="824">
      <c r="A824" s="308">
        <v>823.0</v>
      </c>
      <c r="B824" s="308">
        <v>4033.0</v>
      </c>
      <c r="C824" s="308" t="s">
        <v>35622</v>
      </c>
      <c r="D824" s="308">
        <f>IFERROR(__xludf.DUMMYFUNCTION("SPLIT(C824,""-"")"),825.0)</f>
        <v>825</v>
      </c>
      <c r="E824" s="311"/>
      <c r="F824" s="309" t="s">
        <v>34</v>
      </c>
      <c r="G824" s="308" t="s">
        <v>35623</v>
      </c>
      <c r="H824" s="308" t="s">
        <v>35624</v>
      </c>
      <c r="I824" s="310">
        <v>40179.0</v>
      </c>
      <c r="J824" s="308">
        <f>IFERROR(__xludf.DUMMYFUNCTION("SPLIT(I824,""/"")"),1.0)</f>
        <v>1</v>
      </c>
      <c r="K824" s="308">
        <f>IFERROR(__xludf.DUMMYFUNCTION("""COMPUTED_VALUE"""),1.0)</f>
        <v>1</v>
      </c>
      <c r="L824" s="308">
        <f>IFERROR(__xludf.DUMMYFUNCTION("""COMPUTED_VALUE"""),2010.0)</f>
        <v>2010</v>
      </c>
      <c r="M824" s="308" t="s">
        <v>3381</v>
      </c>
      <c r="N824" s="308"/>
      <c r="O824" s="312" t="s">
        <v>635</v>
      </c>
      <c r="P824" s="308" t="s">
        <v>35625</v>
      </c>
      <c r="Q824" s="308"/>
      <c r="R824" s="308"/>
      <c r="S824" s="308" t="s">
        <v>49</v>
      </c>
      <c r="T824" s="308" t="s">
        <v>51</v>
      </c>
      <c r="U824" s="308"/>
      <c r="V824" s="312"/>
    </row>
    <row r="825">
      <c r="A825" s="308">
        <v>824.0</v>
      </c>
      <c r="B825" s="308">
        <v>4034.0</v>
      </c>
      <c r="C825" s="308" t="s">
        <v>35626</v>
      </c>
      <c r="D825" s="308">
        <f>IFERROR(__xludf.DUMMYFUNCTION("SPLIT(C825,""-"")"),826.0)</f>
        <v>826</v>
      </c>
      <c r="E825" s="311"/>
      <c r="F825" s="317" t="s">
        <v>37</v>
      </c>
      <c r="G825" s="308"/>
      <c r="H825" s="308" t="s">
        <v>3383</v>
      </c>
      <c r="I825" s="310">
        <v>41099.0</v>
      </c>
      <c r="J825" s="308">
        <f>IFERROR(__xludf.DUMMYFUNCTION("SPLIT(I825,""/"")"),9.0)</f>
        <v>9</v>
      </c>
      <c r="K825" s="308">
        <f>IFERROR(__xludf.DUMMYFUNCTION("""COMPUTED_VALUE"""),7.0)</f>
        <v>7</v>
      </c>
      <c r="L825" s="308">
        <f>IFERROR(__xludf.DUMMYFUNCTION("""COMPUTED_VALUE"""),2012.0)</f>
        <v>2012</v>
      </c>
      <c r="M825" s="308" t="s">
        <v>3384</v>
      </c>
      <c r="N825" s="308"/>
      <c r="O825" s="312" t="s">
        <v>3385</v>
      </c>
      <c r="P825" s="308" t="s">
        <v>3386</v>
      </c>
      <c r="Q825" s="308"/>
      <c r="R825" s="308"/>
      <c r="S825" s="308" t="s">
        <v>81</v>
      </c>
      <c r="T825" s="308" t="s">
        <v>98</v>
      </c>
      <c r="U825" s="308"/>
      <c r="V825" s="312"/>
    </row>
    <row r="826">
      <c r="A826" s="308">
        <v>825.0</v>
      </c>
      <c r="B826" s="308">
        <v>4035.0</v>
      </c>
      <c r="C826" s="308" t="s">
        <v>35627</v>
      </c>
      <c r="D826" s="308">
        <f>IFERROR(__xludf.DUMMYFUNCTION("SPLIT(C826,""-"")"),827.0)</f>
        <v>827</v>
      </c>
      <c r="E826" s="311"/>
      <c r="F826" s="317" t="s">
        <v>37</v>
      </c>
      <c r="G826" s="308"/>
      <c r="H826" s="308" t="s">
        <v>3387</v>
      </c>
      <c r="I826" s="310">
        <v>40581.0</v>
      </c>
      <c r="J826" s="308">
        <f>IFERROR(__xludf.DUMMYFUNCTION("SPLIT(I826,""/"")"),7.0)</f>
        <v>7</v>
      </c>
      <c r="K826" s="308">
        <f>IFERROR(__xludf.DUMMYFUNCTION("""COMPUTED_VALUE"""),2.0)</f>
        <v>2</v>
      </c>
      <c r="L826" s="308">
        <f>IFERROR(__xludf.DUMMYFUNCTION("""COMPUTED_VALUE"""),2011.0)</f>
        <v>2011</v>
      </c>
      <c r="M826" s="308" t="s">
        <v>3388</v>
      </c>
      <c r="N826" s="308"/>
      <c r="O826" s="312" t="s">
        <v>3389</v>
      </c>
      <c r="P826" s="308" t="s">
        <v>3390</v>
      </c>
      <c r="Q826" s="308"/>
      <c r="R826" s="308"/>
      <c r="S826" s="315" t="s">
        <v>100</v>
      </c>
      <c r="T826" s="311" t="s">
        <v>34208</v>
      </c>
      <c r="U826" s="308" t="s">
        <v>3391</v>
      </c>
      <c r="V826" s="312"/>
    </row>
    <row r="827">
      <c r="A827" s="308">
        <v>826.0</v>
      </c>
      <c r="B827" s="308">
        <v>4036.0</v>
      </c>
      <c r="C827" s="308" t="s">
        <v>35628</v>
      </c>
      <c r="D827" s="308">
        <f>IFERROR(__xludf.DUMMYFUNCTION("SPLIT(C827,""-"")"),828.0)</f>
        <v>828</v>
      </c>
      <c r="E827" s="311"/>
      <c r="F827" s="317" t="s">
        <v>37</v>
      </c>
      <c r="G827" s="308"/>
      <c r="H827" s="308" t="s">
        <v>3392</v>
      </c>
      <c r="I827" s="310">
        <v>40782.0</v>
      </c>
      <c r="J827" s="308">
        <f>IFERROR(__xludf.DUMMYFUNCTION("SPLIT(I827,""/"")"),27.0)</f>
        <v>27</v>
      </c>
      <c r="K827" s="308">
        <f>IFERROR(__xludf.DUMMYFUNCTION("""COMPUTED_VALUE"""),8.0)</f>
        <v>8</v>
      </c>
      <c r="L827" s="308">
        <f>IFERROR(__xludf.DUMMYFUNCTION("""COMPUTED_VALUE"""),2011.0)</f>
        <v>2011</v>
      </c>
      <c r="M827" s="308" t="s">
        <v>3393</v>
      </c>
      <c r="N827" s="308"/>
      <c r="O827" s="312" t="s">
        <v>635</v>
      </c>
      <c r="P827" s="308" t="s">
        <v>3394</v>
      </c>
      <c r="Q827" s="308"/>
      <c r="R827" s="308"/>
      <c r="S827" s="308" t="s">
        <v>81</v>
      </c>
      <c r="T827" s="308" t="s">
        <v>73</v>
      </c>
      <c r="U827" s="308"/>
      <c r="V827" s="312"/>
    </row>
    <row r="828">
      <c r="A828" s="308">
        <v>827.0</v>
      </c>
      <c r="B828" s="308">
        <v>4037.0</v>
      </c>
      <c r="C828" s="308" t="s">
        <v>35629</v>
      </c>
      <c r="D828" s="308">
        <f>IFERROR(__xludf.DUMMYFUNCTION("SPLIT(C828,""-"")"),829.0)</f>
        <v>829</v>
      </c>
      <c r="E828" s="311"/>
      <c r="F828" s="309" t="s">
        <v>34</v>
      </c>
      <c r="G828" s="308" t="s">
        <v>3395</v>
      </c>
      <c r="H828" s="308" t="s">
        <v>3396</v>
      </c>
      <c r="I828" s="310">
        <v>40909.0</v>
      </c>
      <c r="J828" s="308">
        <f>IFERROR(__xludf.DUMMYFUNCTION("SPLIT(I828,""/"")"),1.0)</f>
        <v>1</v>
      </c>
      <c r="K828" s="308">
        <f>IFERROR(__xludf.DUMMYFUNCTION("""COMPUTED_VALUE"""),1.0)</f>
        <v>1</v>
      </c>
      <c r="L828" s="308">
        <f>IFERROR(__xludf.DUMMYFUNCTION("""COMPUTED_VALUE"""),2012.0)</f>
        <v>2012</v>
      </c>
      <c r="M828" s="308" t="s">
        <v>3397</v>
      </c>
      <c r="N828" s="308"/>
      <c r="O828" s="312" t="s">
        <v>35630</v>
      </c>
      <c r="P828" s="308" t="s">
        <v>3399</v>
      </c>
      <c r="Q828" s="308"/>
      <c r="R828" s="308"/>
      <c r="S828" s="308" t="s">
        <v>81</v>
      </c>
      <c r="T828" s="311" t="s">
        <v>75</v>
      </c>
      <c r="U828" s="308"/>
      <c r="V828" s="312"/>
    </row>
    <row r="829">
      <c r="A829" s="308">
        <v>828.0</v>
      </c>
      <c r="B829" s="308">
        <v>4038.0</v>
      </c>
      <c r="C829" s="308" t="s">
        <v>35631</v>
      </c>
      <c r="D829" s="308">
        <f>IFERROR(__xludf.DUMMYFUNCTION("SPLIT(C829,""-"")"),830.0)</f>
        <v>830</v>
      </c>
      <c r="E829" s="311"/>
      <c r="F829" s="309" t="s">
        <v>34</v>
      </c>
      <c r="G829" s="308"/>
      <c r="H829" s="308" t="s">
        <v>3400</v>
      </c>
      <c r="I829" s="310">
        <v>40373.0</v>
      </c>
      <c r="J829" s="308">
        <f>IFERROR(__xludf.DUMMYFUNCTION("SPLIT(I829,""/"")"),14.0)</f>
        <v>14</v>
      </c>
      <c r="K829" s="308">
        <f>IFERROR(__xludf.DUMMYFUNCTION("""COMPUTED_VALUE"""),7.0)</f>
        <v>7</v>
      </c>
      <c r="L829" s="308">
        <f>IFERROR(__xludf.DUMMYFUNCTION("""COMPUTED_VALUE"""),2010.0)</f>
        <v>2010</v>
      </c>
      <c r="M829" s="308" t="s">
        <v>35632</v>
      </c>
      <c r="N829" s="308"/>
      <c r="O829" s="312" t="s">
        <v>635</v>
      </c>
      <c r="P829" s="308" t="s">
        <v>622</v>
      </c>
      <c r="Q829" s="308"/>
      <c r="R829" s="308"/>
      <c r="S829" s="308" t="s">
        <v>49</v>
      </c>
      <c r="T829" s="308" t="s">
        <v>34409</v>
      </c>
      <c r="U829" s="308"/>
      <c r="V829" s="312"/>
    </row>
    <row r="830">
      <c r="A830" s="308">
        <v>829.0</v>
      </c>
      <c r="B830" s="308">
        <v>4039.0</v>
      </c>
      <c r="C830" s="308" t="s">
        <v>3402</v>
      </c>
      <c r="D830" s="308">
        <f>IFERROR(__xludf.DUMMYFUNCTION("SPLIT(C830,""-"")"),831.0)</f>
        <v>831</v>
      </c>
      <c r="E830" s="308" t="str">
        <f>IFERROR(__xludf.DUMMYFUNCTION("""COMPUTED_VALUE"""),"P")</f>
        <v>P</v>
      </c>
      <c r="F830" s="312" t="s">
        <v>37</v>
      </c>
      <c r="G830" s="308"/>
      <c r="H830" s="308" t="s">
        <v>3403</v>
      </c>
      <c r="I830" s="310">
        <v>41091.0</v>
      </c>
      <c r="J830" s="308">
        <f>IFERROR(__xludf.DUMMYFUNCTION("SPLIT(I830,""/"")"),1.0)</f>
        <v>1</v>
      </c>
      <c r="K830" s="308">
        <f>IFERROR(__xludf.DUMMYFUNCTION("""COMPUTED_VALUE"""),7.0)</f>
        <v>7</v>
      </c>
      <c r="L830" s="308">
        <f>IFERROR(__xludf.DUMMYFUNCTION("""COMPUTED_VALUE"""),2012.0)</f>
        <v>2012</v>
      </c>
      <c r="M830" s="308" t="s">
        <v>3404</v>
      </c>
      <c r="N830" s="308"/>
      <c r="O830" s="312" t="s">
        <v>35633</v>
      </c>
      <c r="P830" s="308" t="s">
        <v>3406</v>
      </c>
      <c r="Q830" s="308"/>
      <c r="R830" s="308"/>
      <c r="S830" s="315" t="s">
        <v>100</v>
      </c>
      <c r="T830" s="311" t="s">
        <v>34208</v>
      </c>
      <c r="U830" s="308" t="s">
        <v>3407</v>
      </c>
      <c r="V830" s="312"/>
    </row>
    <row r="831">
      <c r="A831" s="308">
        <v>830.0</v>
      </c>
      <c r="B831" s="308">
        <v>4040.0</v>
      </c>
      <c r="C831" s="308" t="s">
        <v>35634</v>
      </c>
      <c r="D831" s="308">
        <f>IFERROR(__xludf.DUMMYFUNCTION("SPLIT(C831,""-"")"),832.0)</f>
        <v>832</v>
      </c>
      <c r="E831" s="311"/>
      <c r="F831" s="317" t="s">
        <v>39</v>
      </c>
      <c r="G831" s="308" t="s">
        <v>3408</v>
      </c>
      <c r="H831" s="308" t="s">
        <v>3409</v>
      </c>
      <c r="I831" s="310">
        <v>40849.0</v>
      </c>
      <c r="J831" s="308">
        <f>IFERROR(__xludf.DUMMYFUNCTION("SPLIT(I831,""/"")"),2.0)</f>
        <v>2</v>
      </c>
      <c r="K831" s="308">
        <f>IFERROR(__xludf.DUMMYFUNCTION("""COMPUTED_VALUE"""),11.0)</f>
        <v>11</v>
      </c>
      <c r="L831" s="308">
        <f>IFERROR(__xludf.DUMMYFUNCTION("""COMPUTED_VALUE"""),2011.0)</f>
        <v>2011</v>
      </c>
      <c r="M831" s="308" t="s">
        <v>3410</v>
      </c>
      <c r="N831" s="308"/>
      <c r="O831" s="312" t="s">
        <v>35635</v>
      </c>
      <c r="P831" s="308" t="s">
        <v>3412</v>
      </c>
      <c r="Q831" s="308"/>
      <c r="R831" s="308"/>
      <c r="S831" s="308" t="s">
        <v>49</v>
      </c>
      <c r="T831" s="311" t="s">
        <v>67</v>
      </c>
      <c r="U831" s="312"/>
      <c r="V831" s="312"/>
    </row>
    <row r="832">
      <c r="A832" s="308">
        <v>831.0</v>
      </c>
      <c r="B832" s="308">
        <v>4041.0</v>
      </c>
      <c r="C832" s="308" t="s">
        <v>35636</v>
      </c>
      <c r="D832" s="308">
        <f>IFERROR(__xludf.DUMMYFUNCTION("SPLIT(C832,""-"")"),833.0)</f>
        <v>833</v>
      </c>
      <c r="E832" s="311"/>
      <c r="F832" s="309" t="s">
        <v>34</v>
      </c>
      <c r="G832" s="308"/>
      <c r="H832" s="308" t="s">
        <v>3413</v>
      </c>
      <c r="I832" s="310">
        <v>41058.0</v>
      </c>
      <c r="J832" s="308">
        <f>IFERROR(__xludf.DUMMYFUNCTION("SPLIT(I832,""/"")"),29.0)</f>
        <v>29</v>
      </c>
      <c r="K832" s="308">
        <f>IFERROR(__xludf.DUMMYFUNCTION("""COMPUTED_VALUE"""),5.0)</f>
        <v>5</v>
      </c>
      <c r="L832" s="308">
        <f>IFERROR(__xludf.DUMMYFUNCTION("""COMPUTED_VALUE"""),2012.0)</f>
        <v>2012</v>
      </c>
      <c r="M832" s="308" t="s">
        <v>35637</v>
      </c>
      <c r="N832" s="308"/>
      <c r="O832" s="312" t="s">
        <v>35638</v>
      </c>
      <c r="P832" s="308" t="s">
        <v>3416</v>
      </c>
      <c r="Q832" s="308"/>
      <c r="R832" s="308"/>
      <c r="S832" s="308" t="s">
        <v>81</v>
      </c>
      <c r="T832" s="308" t="s">
        <v>34264</v>
      </c>
      <c r="U832" s="308"/>
      <c r="V832" s="312"/>
    </row>
    <row r="833">
      <c r="A833" s="308">
        <v>832.0</v>
      </c>
      <c r="B833" s="308">
        <v>4042.0</v>
      </c>
      <c r="C833" s="308" t="s">
        <v>35639</v>
      </c>
      <c r="D833" s="308">
        <f>IFERROR(__xludf.DUMMYFUNCTION("SPLIT(C833,""-"")"),834.0)</f>
        <v>834</v>
      </c>
      <c r="E833" s="311"/>
      <c r="F833" s="317" t="s">
        <v>37</v>
      </c>
      <c r="G833" s="308"/>
      <c r="H833" s="308" t="s">
        <v>3417</v>
      </c>
      <c r="I833" s="310">
        <v>41103.0</v>
      </c>
      <c r="J833" s="308">
        <f>IFERROR(__xludf.DUMMYFUNCTION("SPLIT(I833,""/"")"),13.0)</f>
        <v>13</v>
      </c>
      <c r="K833" s="308">
        <f>IFERROR(__xludf.DUMMYFUNCTION("""COMPUTED_VALUE"""),7.0)</f>
        <v>7</v>
      </c>
      <c r="L833" s="308">
        <f>IFERROR(__xludf.DUMMYFUNCTION("""COMPUTED_VALUE"""),2012.0)</f>
        <v>2012</v>
      </c>
      <c r="M833" s="308" t="s">
        <v>35640</v>
      </c>
      <c r="N833" s="308"/>
      <c r="O833" s="312" t="s">
        <v>635</v>
      </c>
      <c r="P833" s="308" t="s">
        <v>3419</v>
      </c>
      <c r="Q833" s="308"/>
      <c r="R833" s="308"/>
      <c r="S833" s="308" t="s">
        <v>81</v>
      </c>
      <c r="T833" s="311" t="s">
        <v>75</v>
      </c>
      <c r="U833" s="308"/>
      <c r="V833" s="312"/>
    </row>
    <row r="834">
      <c r="A834" s="308">
        <v>833.0</v>
      </c>
      <c r="B834" s="308">
        <v>4043.0</v>
      </c>
      <c r="C834" s="308" t="s">
        <v>3420</v>
      </c>
      <c r="D834" s="308">
        <f>IFERROR(__xludf.DUMMYFUNCTION("SPLIT(C834,""-"")"),835.0)</f>
        <v>835</v>
      </c>
      <c r="E834" s="308" t="str">
        <f>IFERROR(__xludf.DUMMYFUNCTION("""COMPUTED_VALUE"""),"K")</f>
        <v>K</v>
      </c>
      <c r="F834" s="309" t="s">
        <v>34</v>
      </c>
      <c r="G834" s="308"/>
      <c r="H834" s="308" t="s">
        <v>3421</v>
      </c>
      <c r="I834" s="310">
        <v>40366.0</v>
      </c>
      <c r="J834" s="308">
        <f>IFERROR(__xludf.DUMMYFUNCTION("SPLIT(I834,""/"")"),7.0)</f>
        <v>7</v>
      </c>
      <c r="K834" s="308">
        <f>IFERROR(__xludf.DUMMYFUNCTION("""COMPUTED_VALUE"""),7.0)</f>
        <v>7</v>
      </c>
      <c r="L834" s="308">
        <f>IFERROR(__xludf.DUMMYFUNCTION("""COMPUTED_VALUE"""),2010.0)</f>
        <v>2010</v>
      </c>
      <c r="M834" s="308" t="s">
        <v>35641</v>
      </c>
      <c r="N834" s="308" t="s">
        <v>3423</v>
      </c>
      <c r="O834" s="312" t="s">
        <v>35642</v>
      </c>
      <c r="P834" s="308" t="s">
        <v>2230</v>
      </c>
      <c r="Q834" s="308"/>
      <c r="R834" s="308"/>
      <c r="S834" s="315" t="s">
        <v>100</v>
      </c>
      <c r="T834" s="311" t="s">
        <v>34208</v>
      </c>
      <c r="U834" s="308" t="s">
        <v>1509</v>
      </c>
      <c r="V834" s="312"/>
    </row>
    <row r="835">
      <c r="A835" s="308">
        <v>834.0</v>
      </c>
      <c r="B835" s="308">
        <v>4044.0</v>
      </c>
      <c r="C835" s="308" t="s">
        <v>35643</v>
      </c>
      <c r="D835" s="308">
        <f>IFERROR(__xludf.DUMMYFUNCTION("SPLIT(C835,""-"")"),836.0)</f>
        <v>836</v>
      </c>
      <c r="E835" s="311"/>
      <c r="F835" s="317" t="s">
        <v>39</v>
      </c>
      <c r="G835" s="308"/>
      <c r="H835" s="308" t="s">
        <v>3425</v>
      </c>
      <c r="I835" s="310">
        <v>41038.0</v>
      </c>
      <c r="J835" s="308">
        <f>IFERROR(__xludf.DUMMYFUNCTION("SPLIT(I835,""/"")"),9.0)</f>
        <v>9</v>
      </c>
      <c r="K835" s="308">
        <f>IFERROR(__xludf.DUMMYFUNCTION("""COMPUTED_VALUE"""),5.0)</f>
        <v>5</v>
      </c>
      <c r="L835" s="308">
        <f>IFERROR(__xludf.DUMMYFUNCTION("""COMPUTED_VALUE"""),2012.0)</f>
        <v>2012</v>
      </c>
      <c r="M835" s="308" t="s">
        <v>3426</v>
      </c>
      <c r="N835" s="308"/>
      <c r="O835" s="312" t="s">
        <v>3427</v>
      </c>
      <c r="P835" s="308" t="s">
        <v>35644</v>
      </c>
      <c r="Q835" s="308"/>
      <c r="R835" s="308"/>
      <c r="S835" s="308" t="s">
        <v>81</v>
      </c>
      <c r="T835" s="311" t="s">
        <v>75</v>
      </c>
      <c r="U835" s="308"/>
      <c r="V835" s="312"/>
    </row>
    <row r="836">
      <c r="A836" s="308">
        <v>835.0</v>
      </c>
      <c r="B836" s="308">
        <v>4045.0</v>
      </c>
      <c r="C836" s="308" t="s">
        <v>35645</v>
      </c>
      <c r="D836" s="308">
        <f>IFERROR(__xludf.DUMMYFUNCTION("SPLIT(C836,""-"")"),837.0)</f>
        <v>837</v>
      </c>
      <c r="E836" s="311"/>
      <c r="F836" s="309" t="s">
        <v>34</v>
      </c>
      <c r="G836" s="308"/>
      <c r="H836" s="308" t="s">
        <v>3429</v>
      </c>
      <c r="I836" s="310">
        <v>41077.0</v>
      </c>
      <c r="J836" s="308">
        <f>IFERROR(__xludf.DUMMYFUNCTION("SPLIT(I836,""/"")"),17.0)</f>
        <v>17</v>
      </c>
      <c r="K836" s="308">
        <f>IFERROR(__xludf.DUMMYFUNCTION("""COMPUTED_VALUE"""),6.0)</f>
        <v>6</v>
      </c>
      <c r="L836" s="308">
        <f>IFERROR(__xludf.DUMMYFUNCTION("""COMPUTED_VALUE"""),2012.0)</f>
        <v>2012</v>
      </c>
      <c r="M836" s="308" t="s">
        <v>3430</v>
      </c>
      <c r="N836" s="308"/>
      <c r="O836" s="312"/>
      <c r="P836" s="308" t="s">
        <v>3431</v>
      </c>
      <c r="Q836" s="308"/>
      <c r="R836" s="308"/>
      <c r="S836" s="308" t="s">
        <v>81</v>
      </c>
      <c r="T836" s="308" t="s">
        <v>34264</v>
      </c>
      <c r="U836" s="308"/>
      <c r="V836" s="312"/>
    </row>
    <row r="837">
      <c r="A837" s="308">
        <v>836.0</v>
      </c>
      <c r="B837" s="308">
        <v>4046.0</v>
      </c>
      <c r="C837" s="308" t="s">
        <v>35646</v>
      </c>
      <c r="D837" s="308">
        <f>IFERROR(__xludf.DUMMYFUNCTION("SPLIT(C837,""-"")"),838.0)</f>
        <v>838</v>
      </c>
      <c r="E837" s="311"/>
      <c r="F837" s="317" t="s">
        <v>37</v>
      </c>
      <c r="G837" s="308"/>
      <c r="H837" s="308" t="s">
        <v>3432</v>
      </c>
      <c r="I837" s="310">
        <v>40978.0</v>
      </c>
      <c r="J837" s="308">
        <f>IFERROR(__xludf.DUMMYFUNCTION("SPLIT(I837,""/"")"),10.0)</f>
        <v>10</v>
      </c>
      <c r="K837" s="308">
        <f>IFERROR(__xludf.DUMMYFUNCTION("""COMPUTED_VALUE"""),3.0)</f>
        <v>3</v>
      </c>
      <c r="L837" s="308">
        <f>IFERROR(__xludf.DUMMYFUNCTION("""COMPUTED_VALUE"""),2012.0)</f>
        <v>2012</v>
      </c>
      <c r="M837" s="308" t="s">
        <v>3433</v>
      </c>
      <c r="N837" s="308"/>
      <c r="O837" s="312" t="s">
        <v>35647</v>
      </c>
      <c r="P837" s="308" t="s">
        <v>3435</v>
      </c>
      <c r="Q837" s="308"/>
      <c r="R837" s="308"/>
      <c r="S837" s="308" t="s">
        <v>81</v>
      </c>
      <c r="T837" s="308" t="s">
        <v>75</v>
      </c>
      <c r="U837" s="308"/>
      <c r="V837" s="312"/>
    </row>
    <row r="838">
      <c r="A838" s="308">
        <v>837.0</v>
      </c>
      <c r="B838" s="308">
        <v>4047.0</v>
      </c>
      <c r="C838" s="308" t="s">
        <v>35648</v>
      </c>
      <c r="D838" s="308">
        <f>IFERROR(__xludf.DUMMYFUNCTION("SPLIT(C838,""-"")"),839.0)</f>
        <v>839</v>
      </c>
      <c r="E838" s="311"/>
      <c r="F838" s="309" t="s">
        <v>23</v>
      </c>
      <c r="G838" s="308"/>
      <c r="H838" s="308" t="s">
        <v>3436</v>
      </c>
      <c r="I838" s="310">
        <v>40740.0</v>
      </c>
      <c r="J838" s="308">
        <f>IFERROR(__xludf.DUMMYFUNCTION("SPLIT(I838,""/"")"),16.0)</f>
        <v>16</v>
      </c>
      <c r="K838" s="308">
        <f>IFERROR(__xludf.DUMMYFUNCTION("""COMPUTED_VALUE"""),7.0)</f>
        <v>7</v>
      </c>
      <c r="L838" s="308">
        <f>IFERROR(__xludf.DUMMYFUNCTION("""COMPUTED_VALUE"""),2011.0)</f>
        <v>2011</v>
      </c>
      <c r="M838" s="308" t="s">
        <v>3437</v>
      </c>
      <c r="N838" s="308"/>
      <c r="O838" s="312" t="s">
        <v>3438</v>
      </c>
      <c r="P838" s="308" t="s">
        <v>3439</v>
      </c>
      <c r="Q838" s="308"/>
      <c r="R838" s="308"/>
      <c r="S838" s="308" t="s">
        <v>49</v>
      </c>
      <c r="T838" s="308" t="s">
        <v>51</v>
      </c>
      <c r="U838" s="308"/>
      <c r="V838" s="312"/>
    </row>
    <row r="839">
      <c r="A839" s="308">
        <v>838.0</v>
      </c>
      <c r="B839" s="308">
        <v>4048.0</v>
      </c>
      <c r="C839" s="308" t="s">
        <v>35649</v>
      </c>
      <c r="D839" s="308">
        <f>IFERROR(__xludf.DUMMYFUNCTION("SPLIT(C839,""-"")"),840.0)</f>
        <v>840</v>
      </c>
      <c r="E839" s="311"/>
      <c r="F839" s="309" t="s">
        <v>26</v>
      </c>
      <c r="G839" s="308"/>
      <c r="H839" s="308" t="s">
        <v>35650</v>
      </c>
      <c r="I839" s="310">
        <v>41080.0</v>
      </c>
      <c r="J839" s="308">
        <f>IFERROR(__xludf.DUMMYFUNCTION("SPLIT(I839,""/"")"),20.0)</f>
        <v>20</v>
      </c>
      <c r="K839" s="308">
        <f>IFERROR(__xludf.DUMMYFUNCTION("""COMPUTED_VALUE"""),6.0)</f>
        <v>6</v>
      </c>
      <c r="L839" s="308">
        <f>IFERROR(__xludf.DUMMYFUNCTION("""COMPUTED_VALUE"""),2012.0)</f>
        <v>2012</v>
      </c>
      <c r="M839" s="308" t="s">
        <v>3441</v>
      </c>
      <c r="N839" s="308"/>
      <c r="O839" s="312" t="s">
        <v>35651</v>
      </c>
      <c r="P839" s="308" t="s">
        <v>3443</v>
      </c>
      <c r="Q839" s="308"/>
      <c r="R839" s="308"/>
      <c r="S839" s="308" t="s">
        <v>81</v>
      </c>
      <c r="T839" s="308" t="s">
        <v>75</v>
      </c>
      <c r="U839" s="308"/>
      <c r="V839" s="312"/>
    </row>
    <row r="840">
      <c r="A840" s="308">
        <v>839.0</v>
      </c>
      <c r="B840" s="308">
        <v>4049.0</v>
      </c>
      <c r="C840" s="308" t="s">
        <v>3444</v>
      </c>
      <c r="D840" s="308">
        <f>IFERROR(__xludf.DUMMYFUNCTION("SPLIT(C840,""-"")"),841.0)</f>
        <v>841</v>
      </c>
      <c r="E840" s="308" t="str">
        <f>IFERROR(__xludf.DUMMYFUNCTION("""COMPUTED_VALUE"""),"K")</f>
        <v>K</v>
      </c>
      <c r="F840" s="309" t="s">
        <v>34</v>
      </c>
      <c r="G840" s="308"/>
      <c r="H840" s="308" t="s">
        <v>3445</v>
      </c>
      <c r="I840" s="310">
        <v>40195.0</v>
      </c>
      <c r="J840" s="308">
        <f>IFERROR(__xludf.DUMMYFUNCTION("SPLIT(I840,""/"")"),17.0)</f>
        <v>17</v>
      </c>
      <c r="K840" s="308">
        <f>IFERROR(__xludf.DUMMYFUNCTION("""COMPUTED_VALUE"""),1.0)</f>
        <v>1</v>
      </c>
      <c r="L840" s="308">
        <f>IFERROR(__xludf.DUMMYFUNCTION("""COMPUTED_VALUE"""),2010.0)</f>
        <v>2010</v>
      </c>
      <c r="M840" s="308" t="s">
        <v>3446</v>
      </c>
      <c r="N840" s="308"/>
      <c r="O840" s="312" t="s">
        <v>3447</v>
      </c>
      <c r="P840" s="308" t="s">
        <v>3362</v>
      </c>
      <c r="Q840" s="308"/>
      <c r="R840" s="308"/>
      <c r="S840" s="315" t="s">
        <v>100</v>
      </c>
      <c r="T840" s="311" t="s">
        <v>34208</v>
      </c>
      <c r="U840" s="308" t="s">
        <v>2989</v>
      </c>
      <c r="V840" s="312"/>
    </row>
    <row r="841">
      <c r="A841" s="308">
        <v>840.0</v>
      </c>
      <c r="B841" s="308">
        <v>4050.0</v>
      </c>
      <c r="C841" s="308" t="s">
        <v>3448</v>
      </c>
      <c r="D841" s="308">
        <f>IFERROR(__xludf.DUMMYFUNCTION("SPLIT(C841,""-"")"),842.0)</f>
        <v>842</v>
      </c>
      <c r="E841" s="308" t="str">
        <f>IFERROR(__xludf.DUMMYFUNCTION("""COMPUTED_VALUE"""),"K")</f>
        <v>K</v>
      </c>
      <c r="F841" s="309" t="s">
        <v>34</v>
      </c>
      <c r="G841" s="308"/>
      <c r="H841" s="308" t="s">
        <v>3449</v>
      </c>
      <c r="I841" s="310">
        <v>40204.0</v>
      </c>
      <c r="J841" s="308">
        <f>IFERROR(__xludf.DUMMYFUNCTION("SPLIT(I841,""/"")"),26.0)</f>
        <v>26</v>
      </c>
      <c r="K841" s="308">
        <f>IFERROR(__xludf.DUMMYFUNCTION("""COMPUTED_VALUE"""),1.0)</f>
        <v>1</v>
      </c>
      <c r="L841" s="308">
        <f>IFERROR(__xludf.DUMMYFUNCTION("""COMPUTED_VALUE"""),2010.0)</f>
        <v>2010</v>
      </c>
      <c r="M841" s="308" t="s">
        <v>3450</v>
      </c>
      <c r="N841" s="308"/>
      <c r="O841" s="312" t="s">
        <v>35652</v>
      </c>
      <c r="P841" s="308" t="s">
        <v>3362</v>
      </c>
      <c r="Q841" s="308"/>
      <c r="R841" s="308"/>
      <c r="S841" s="315" t="s">
        <v>100</v>
      </c>
      <c r="T841" s="311" t="s">
        <v>34208</v>
      </c>
      <c r="U841" s="308" t="s">
        <v>2989</v>
      </c>
      <c r="V841" s="312"/>
    </row>
    <row r="842">
      <c r="A842" s="308">
        <v>841.0</v>
      </c>
      <c r="B842" s="308">
        <v>4051.0</v>
      </c>
      <c r="C842" s="308" t="s">
        <v>35653</v>
      </c>
      <c r="D842" s="308">
        <f>IFERROR(__xludf.DUMMYFUNCTION("SPLIT(C842,""-"")"),843.0)</f>
        <v>843</v>
      </c>
      <c r="E842" s="311"/>
      <c r="F842" s="309" t="s">
        <v>34</v>
      </c>
      <c r="G842" s="308"/>
      <c r="H842" s="308" t="s">
        <v>3452</v>
      </c>
      <c r="I842" s="310">
        <v>41143.0</v>
      </c>
      <c r="J842" s="308">
        <f>IFERROR(__xludf.DUMMYFUNCTION("SPLIT(I842,""/"")"),22.0)</f>
        <v>22</v>
      </c>
      <c r="K842" s="308">
        <f>IFERROR(__xludf.DUMMYFUNCTION("""COMPUTED_VALUE"""),8.0)</f>
        <v>8</v>
      </c>
      <c r="L842" s="308">
        <f>IFERROR(__xludf.DUMMYFUNCTION("""COMPUTED_VALUE"""),2012.0)</f>
        <v>2012</v>
      </c>
      <c r="M842" s="308" t="s">
        <v>3453</v>
      </c>
      <c r="N842" s="308"/>
      <c r="O842" s="312" t="s">
        <v>35654</v>
      </c>
      <c r="P842" s="308" t="s">
        <v>3455</v>
      </c>
      <c r="Q842" s="308"/>
      <c r="R842" s="308"/>
      <c r="S842" s="308" t="s">
        <v>81</v>
      </c>
      <c r="T842" s="308" t="s">
        <v>75</v>
      </c>
      <c r="U842" s="308"/>
      <c r="V842" s="312"/>
    </row>
    <row r="843">
      <c r="A843" s="308">
        <v>842.0</v>
      </c>
      <c r="B843" s="308">
        <v>4052.0</v>
      </c>
      <c r="C843" s="308" t="s">
        <v>35655</v>
      </c>
      <c r="D843" s="308">
        <f>IFERROR(__xludf.DUMMYFUNCTION("SPLIT(C843,""-"")"),844.0)</f>
        <v>844</v>
      </c>
      <c r="E843" s="311"/>
      <c r="F843" s="309" t="s">
        <v>34</v>
      </c>
      <c r="G843" s="308"/>
      <c r="H843" s="308" t="s">
        <v>3456</v>
      </c>
      <c r="I843" s="314">
        <v>40479.0</v>
      </c>
      <c r="J843" s="308">
        <f>IFERROR(__xludf.DUMMYFUNCTION("SPLIT(I843,""/"")"),28.0)</f>
        <v>28</v>
      </c>
      <c r="K843" s="308">
        <f>IFERROR(__xludf.DUMMYFUNCTION("""COMPUTED_VALUE"""),10.0)</f>
        <v>10</v>
      </c>
      <c r="L843" s="308">
        <f>IFERROR(__xludf.DUMMYFUNCTION("""COMPUTED_VALUE"""),2010.0)</f>
        <v>2010</v>
      </c>
      <c r="M843" s="308" t="s">
        <v>3457</v>
      </c>
      <c r="N843" s="308"/>
      <c r="O843" s="312" t="s">
        <v>3458</v>
      </c>
      <c r="P843" s="308" t="s">
        <v>3459</v>
      </c>
      <c r="Q843" s="308"/>
      <c r="R843" s="308"/>
      <c r="S843" s="308" t="s">
        <v>81</v>
      </c>
      <c r="T843" s="308" t="s">
        <v>34264</v>
      </c>
      <c r="U843" s="308"/>
      <c r="V843" s="312"/>
    </row>
    <row r="844">
      <c r="A844" s="308">
        <v>843.0</v>
      </c>
      <c r="B844" s="308">
        <v>4053.0</v>
      </c>
      <c r="C844" s="308" t="s">
        <v>35656</v>
      </c>
      <c r="D844" s="308">
        <f>IFERROR(__xludf.DUMMYFUNCTION("SPLIT(C844,""-"")"),855.0)</f>
        <v>855</v>
      </c>
      <c r="E844" s="311"/>
      <c r="F844" s="309" t="s">
        <v>26</v>
      </c>
      <c r="G844" s="308"/>
      <c r="H844" s="308" t="s">
        <v>3460</v>
      </c>
      <c r="I844" s="310">
        <v>40983.0</v>
      </c>
      <c r="J844" s="308">
        <f>IFERROR(__xludf.DUMMYFUNCTION("SPLIT(I844,""/"")"),15.0)</f>
        <v>15</v>
      </c>
      <c r="K844" s="308">
        <f>IFERROR(__xludf.DUMMYFUNCTION("""COMPUTED_VALUE"""),3.0)</f>
        <v>3</v>
      </c>
      <c r="L844" s="308">
        <f>IFERROR(__xludf.DUMMYFUNCTION("""COMPUTED_VALUE"""),2012.0)</f>
        <v>2012</v>
      </c>
      <c r="M844" s="308" t="s">
        <v>3461</v>
      </c>
      <c r="N844" s="308"/>
      <c r="O844" s="312" t="s">
        <v>3462</v>
      </c>
      <c r="P844" s="308" t="s">
        <v>3463</v>
      </c>
      <c r="Q844" s="308"/>
      <c r="R844" s="308"/>
      <c r="S844" s="308" t="s">
        <v>81</v>
      </c>
      <c r="T844" s="311" t="s">
        <v>77</v>
      </c>
      <c r="U844" s="308"/>
      <c r="V844" s="312"/>
    </row>
    <row r="845">
      <c r="A845" s="308">
        <v>844.0</v>
      </c>
      <c r="B845" s="308">
        <v>4054.0</v>
      </c>
      <c r="C845" s="308" t="s">
        <v>35657</v>
      </c>
      <c r="D845" s="308">
        <f>IFERROR(__xludf.DUMMYFUNCTION("SPLIT(C845,""-"")"),856.0)</f>
        <v>856</v>
      </c>
      <c r="E845" s="311"/>
      <c r="F845" s="309" t="s">
        <v>34</v>
      </c>
      <c r="G845" s="308" t="s">
        <v>3464</v>
      </c>
      <c r="H845" s="308" t="s">
        <v>3465</v>
      </c>
      <c r="I845" s="310">
        <v>41064.0</v>
      </c>
      <c r="J845" s="308">
        <f>IFERROR(__xludf.DUMMYFUNCTION("SPLIT(I845,""/"")"),4.0)</f>
        <v>4</v>
      </c>
      <c r="K845" s="308">
        <f>IFERROR(__xludf.DUMMYFUNCTION("""COMPUTED_VALUE"""),6.0)</f>
        <v>6</v>
      </c>
      <c r="L845" s="308">
        <f>IFERROR(__xludf.DUMMYFUNCTION("""COMPUTED_VALUE"""),2012.0)</f>
        <v>2012</v>
      </c>
      <c r="M845" s="308" t="s">
        <v>3466</v>
      </c>
      <c r="N845" s="308"/>
      <c r="O845" s="312" t="s">
        <v>3467</v>
      </c>
      <c r="P845" s="308" t="s">
        <v>3468</v>
      </c>
      <c r="Q845" s="308"/>
      <c r="R845" s="308"/>
      <c r="S845" s="308" t="s">
        <v>81</v>
      </c>
      <c r="T845" s="311" t="s">
        <v>77</v>
      </c>
      <c r="U845" s="308"/>
      <c r="V845" s="312"/>
    </row>
    <row r="846">
      <c r="A846" s="308">
        <v>845.0</v>
      </c>
      <c r="B846" s="308">
        <v>4055.0</v>
      </c>
      <c r="C846" s="308" t="s">
        <v>35658</v>
      </c>
      <c r="D846" s="308">
        <f>IFERROR(__xludf.DUMMYFUNCTION("SPLIT(C846,""-"")"),857.0)</f>
        <v>857</v>
      </c>
      <c r="E846" s="311"/>
      <c r="F846" s="309" t="s">
        <v>34</v>
      </c>
      <c r="G846" s="308" t="s">
        <v>3469</v>
      </c>
      <c r="H846" s="308" t="s">
        <v>3470</v>
      </c>
      <c r="I846" s="310">
        <v>40850.0</v>
      </c>
      <c r="J846" s="308">
        <f>IFERROR(__xludf.DUMMYFUNCTION("SPLIT(I846,""/"")"),3.0)</f>
        <v>3</v>
      </c>
      <c r="K846" s="308">
        <f>IFERROR(__xludf.DUMMYFUNCTION("""COMPUTED_VALUE"""),11.0)</f>
        <v>11</v>
      </c>
      <c r="L846" s="308">
        <f>IFERROR(__xludf.DUMMYFUNCTION("""COMPUTED_VALUE"""),2011.0)</f>
        <v>2011</v>
      </c>
      <c r="M846" s="308" t="s">
        <v>3471</v>
      </c>
      <c r="N846" s="308"/>
      <c r="O846" s="312" t="s">
        <v>635</v>
      </c>
      <c r="P846" s="308" t="s">
        <v>3472</v>
      </c>
      <c r="Q846" s="308"/>
      <c r="R846" s="308"/>
      <c r="S846" s="308" t="s">
        <v>81</v>
      </c>
      <c r="T846" s="308" t="s">
        <v>34264</v>
      </c>
      <c r="U846" s="308"/>
      <c r="V846" s="312"/>
    </row>
    <row r="847">
      <c r="A847" s="308">
        <v>846.0</v>
      </c>
      <c r="B847" s="308">
        <v>4056.0</v>
      </c>
      <c r="C847" s="308" t="s">
        <v>35659</v>
      </c>
      <c r="D847" s="308">
        <f>IFERROR(__xludf.DUMMYFUNCTION("SPLIT(C847,""-"")"),859.0)</f>
        <v>859</v>
      </c>
      <c r="E847" s="311"/>
      <c r="F847" s="309" t="s">
        <v>34</v>
      </c>
      <c r="G847" s="308" t="s">
        <v>3473</v>
      </c>
      <c r="H847" s="308" t="s">
        <v>3474</v>
      </c>
      <c r="I847" s="314">
        <v>40462.0</v>
      </c>
      <c r="J847" s="308">
        <f>IFERROR(__xludf.DUMMYFUNCTION("SPLIT(I847,""/"")"),11.0)</f>
        <v>11</v>
      </c>
      <c r="K847" s="308">
        <f>IFERROR(__xludf.DUMMYFUNCTION("""COMPUTED_VALUE"""),10.0)</f>
        <v>10</v>
      </c>
      <c r="L847" s="308">
        <f>IFERROR(__xludf.DUMMYFUNCTION("""COMPUTED_VALUE"""),2010.0)</f>
        <v>2010</v>
      </c>
      <c r="M847" s="308" t="s">
        <v>3475</v>
      </c>
      <c r="N847" s="308"/>
      <c r="O847" s="312" t="s">
        <v>35660</v>
      </c>
      <c r="P847" s="308" t="s">
        <v>3477</v>
      </c>
      <c r="Q847" s="308"/>
      <c r="R847" s="308"/>
      <c r="S847" s="308" t="s">
        <v>81</v>
      </c>
      <c r="T847" s="308" t="s">
        <v>34264</v>
      </c>
      <c r="U847" s="308"/>
      <c r="V847" s="312"/>
    </row>
    <row r="848">
      <c r="A848" s="308">
        <v>847.0</v>
      </c>
      <c r="B848" s="308">
        <v>4057.0</v>
      </c>
      <c r="C848" s="308" t="s">
        <v>35659</v>
      </c>
      <c r="D848" s="308">
        <f>IFERROR(__xludf.DUMMYFUNCTION("SPLIT(C848,""-"")"),859.0)</f>
        <v>859</v>
      </c>
      <c r="E848" s="311"/>
      <c r="F848" s="317" t="s">
        <v>39</v>
      </c>
      <c r="G848" s="308" t="s">
        <v>3478</v>
      </c>
      <c r="H848" s="308" t="s">
        <v>3479</v>
      </c>
      <c r="I848" s="310">
        <v>41114.0</v>
      </c>
      <c r="J848" s="308">
        <f>IFERROR(__xludf.DUMMYFUNCTION("SPLIT(I848,""/"")"),24.0)</f>
        <v>24</v>
      </c>
      <c r="K848" s="308">
        <f>IFERROR(__xludf.DUMMYFUNCTION("""COMPUTED_VALUE"""),7.0)</f>
        <v>7</v>
      </c>
      <c r="L848" s="308">
        <f>IFERROR(__xludf.DUMMYFUNCTION("""COMPUTED_VALUE"""),2012.0)</f>
        <v>2012</v>
      </c>
      <c r="M848" s="308" t="s">
        <v>3480</v>
      </c>
      <c r="N848" s="308"/>
      <c r="O848" s="312" t="s">
        <v>635</v>
      </c>
      <c r="P848" s="308" t="s">
        <v>34212</v>
      </c>
      <c r="Q848" s="308"/>
      <c r="R848" s="308"/>
      <c r="S848" s="315" t="s">
        <v>100</v>
      </c>
      <c r="T848" s="311" t="s">
        <v>34208</v>
      </c>
      <c r="U848" s="308"/>
      <c r="V848" s="312"/>
    </row>
    <row r="849">
      <c r="A849" s="308">
        <v>848.0</v>
      </c>
      <c r="B849" s="308">
        <v>4058.0</v>
      </c>
      <c r="C849" s="308" t="s">
        <v>35661</v>
      </c>
      <c r="D849" s="308">
        <f>IFERROR(__xludf.DUMMYFUNCTION("SPLIT(C849,""-"")"),860.0)</f>
        <v>860</v>
      </c>
      <c r="E849" s="311"/>
      <c r="F849" s="317" t="s">
        <v>37</v>
      </c>
      <c r="G849" s="308" t="s">
        <v>3481</v>
      </c>
      <c r="H849" s="308" t="s">
        <v>3482</v>
      </c>
      <c r="I849" s="310">
        <v>41085.0</v>
      </c>
      <c r="J849" s="308">
        <f>IFERROR(__xludf.DUMMYFUNCTION("SPLIT(I849,""/"")"),25.0)</f>
        <v>25</v>
      </c>
      <c r="K849" s="308">
        <f>IFERROR(__xludf.DUMMYFUNCTION("""COMPUTED_VALUE"""),6.0)</f>
        <v>6</v>
      </c>
      <c r="L849" s="308">
        <f>IFERROR(__xludf.DUMMYFUNCTION("""COMPUTED_VALUE"""),2012.0)</f>
        <v>2012</v>
      </c>
      <c r="M849" s="308" t="s">
        <v>3483</v>
      </c>
      <c r="N849" s="308"/>
      <c r="O849" s="312" t="s">
        <v>3484</v>
      </c>
      <c r="P849" s="308" t="s">
        <v>35662</v>
      </c>
      <c r="Q849" s="308"/>
      <c r="R849" s="308"/>
      <c r="S849" s="315" t="s">
        <v>100</v>
      </c>
      <c r="T849" s="311" t="s">
        <v>34208</v>
      </c>
      <c r="U849" s="308" t="s">
        <v>149</v>
      </c>
      <c r="V849" s="312"/>
    </row>
    <row r="850">
      <c r="A850" s="308">
        <v>849.0</v>
      </c>
      <c r="B850" s="308">
        <v>4059.0</v>
      </c>
      <c r="C850" s="308" t="s">
        <v>35663</v>
      </c>
      <c r="D850" s="308">
        <f>IFERROR(__xludf.DUMMYFUNCTION("SPLIT(C850,""-"")"),861.0)</f>
        <v>861</v>
      </c>
      <c r="E850" s="311"/>
      <c r="F850" s="317" t="s">
        <v>37</v>
      </c>
      <c r="G850" s="308" t="s">
        <v>3485</v>
      </c>
      <c r="H850" s="308" t="s">
        <v>3486</v>
      </c>
      <c r="I850" s="310">
        <v>40360.0</v>
      </c>
      <c r="J850" s="308">
        <f>IFERROR(__xludf.DUMMYFUNCTION("SPLIT(I850,""/"")"),1.0)</f>
        <v>1</v>
      </c>
      <c r="K850" s="308">
        <f>IFERROR(__xludf.DUMMYFUNCTION("""COMPUTED_VALUE"""),7.0)</f>
        <v>7</v>
      </c>
      <c r="L850" s="308">
        <f>IFERROR(__xludf.DUMMYFUNCTION("""COMPUTED_VALUE"""),2010.0)</f>
        <v>2010</v>
      </c>
      <c r="M850" s="308" t="s">
        <v>3487</v>
      </c>
      <c r="N850" s="308"/>
      <c r="O850" s="312" t="s">
        <v>3488</v>
      </c>
      <c r="P850" s="308"/>
      <c r="Q850" s="308"/>
      <c r="R850" s="308"/>
      <c r="S850" s="308" t="s">
        <v>79</v>
      </c>
      <c r="T850" s="308" t="s">
        <v>79</v>
      </c>
      <c r="U850" s="308" t="s">
        <v>137</v>
      </c>
      <c r="V850" s="312"/>
    </row>
    <row r="851">
      <c r="A851" s="308">
        <v>850.0</v>
      </c>
      <c r="B851" s="308">
        <v>4060.0</v>
      </c>
      <c r="C851" s="308" t="s">
        <v>3489</v>
      </c>
      <c r="D851" s="308">
        <f>IFERROR(__xludf.DUMMYFUNCTION("SPLIT(C851,""-"")"),862.0)</f>
        <v>862</v>
      </c>
      <c r="E851" s="308" t="str">
        <f>IFERROR(__xludf.DUMMYFUNCTION("""COMPUTED_VALUE"""),"B")</f>
        <v>B</v>
      </c>
      <c r="F851" s="315" t="s">
        <v>26</v>
      </c>
      <c r="G851" s="308" t="s">
        <v>3490</v>
      </c>
      <c r="H851" s="308" t="s">
        <v>3491</v>
      </c>
      <c r="I851" s="310">
        <v>36617.0</v>
      </c>
      <c r="J851" s="308">
        <f>IFERROR(__xludf.DUMMYFUNCTION("SPLIT(I851,""/"")"),1.0)</f>
        <v>1</v>
      </c>
      <c r="K851" s="308">
        <f>IFERROR(__xludf.DUMMYFUNCTION("""COMPUTED_VALUE"""),4.0)</f>
        <v>4</v>
      </c>
      <c r="L851" s="308">
        <f>IFERROR(__xludf.DUMMYFUNCTION("""COMPUTED_VALUE"""),2000.0)</f>
        <v>2000</v>
      </c>
      <c r="M851" s="308" t="s">
        <v>3492</v>
      </c>
      <c r="N851" s="308"/>
      <c r="O851" s="312" t="s">
        <v>3493</v>
      </c>
      <c r="P851" s="308" t="s">
        <v>3494</v>
      </c>
      <c r="Q851" s="308"/>
      <c r="R851" s="308"/>
      <c r="S851" s="308" t="s">
        <v>49</v>
      </c>
      <c r="T851" s="308" t="s">
        <v>51</v>
      </c>
      <c r="U851" s="308" t="s">
        <v>27</v>
      </c>
      <c r="V851" s="312"/>
    </row>
    <row r="852">
      <c r="A852" s="308">
        <v>851.0</v>
      </c>
      <c r="B852" s="308">
        <v>4061.0</v>
      </c>
      <c r="C852" s="308" t="s">
        <v>35664</v>
      </c>
      <c r="D852" s="308">
        <f>IFERROR(__xludf.DUMMYFUNCTION("SPLIT(C852,""-"")"),863.0)</f>
        <v>863</v>
      </c>
      <c r="E852" s="311"/>
      <c r="F852" s="309" t="s">
        <v>34</v>
      </c>
      <c r="G852" s="308" t="s">
        <v>3495</v>
      </c>
      <c r="H852" s="308" t="s">
        <v>3496</v>
      </c>
      <c r="I852" s="310">
        <v>41030.0</v>
      </c>
      <c r="J852" s="308">
        <f>IFERROR(__xludf.DUMMYFUNCTION("SPLIT(I852,""/"")"),1.0)</f>
        <v>1</v>
      </c>
      <c r="K852" s="308">
        <f>IFERROR(__xludf.DUMMYFUNCTION("""COMPUTED_VALUE"""),5.0)</f>
        <v>5</v>
      </c>
      <c r="L852" s="308">
        <f>IFERROR(__xludf.DUMMYFUNCTION("""COMPUTED_VALUE"""),2012.0)</f>
        <v>2012</v>
      </c>
      <c r="M852" s="308" t="s">
        <v>3497</v>
      </c>
      <c r="N852" s="308"/>
      <c r="O852" s="312" t="s">
        <v>35665</v>
      </c>
      <c r="P852" s="308" t="s">
        <v>3499</v>
      </c>
      <c r="Q852" s="308"/>
      <c r="R852" s="308"/>
      <c r="S852" s="308" t="s">
        <v>81</v>
      </c>
      <c r="T852" s="308" t="s">
        <v>34264</v>
      </c>
      <c r="U852" s="308"/>
      <c r="V852" s="312"/>
    </row>
    <row r="853">
      <c r="A853" s="308">
        <v>852.0</v>
      </c>
      <c r="B853" s="308">
        <v>4062.0</v>
      </c>
      <c r="C853" s="308" t="s">
        <v>35666</v>
      </c>
      <c r="D853" s="308">
        <f>IFERROR(__xludf.DUMMYFUNCTION("SPLIT(C853,""-"")"),864.0)</f>
        <v>864</v>
      </c>
      <c r="E853" s="311"/>
      <c r="F853" s="309" t="s">
        <v>34</v>
      </c>
      <c r="G853" s="308" t="s">
        <v>3500</v>
      </c>
      <c r="H853" s="308" t="s">
        <v>3501</v>
      </c>
      <c r="I853" s="310">
        <v>39995.0</v>
      </c>
      <c r="J853" s="308">
        <f>IFERROR(__xludf.DUMMYFUNCTION("SPLIT(I853,""/"")"),1.0)</f>
        <v>1</v>
      </c>
      <c r="K853" s="308">
        <f>IFERROR(__xludf.DUMMYFUNCTION("""COMPUTED_VALUE"""),7.0)</f>
        <v>7</v>
      </c>
      <c r="L853" s="308">
        <f>IFERROR(__xludf.DUMMYFUNCTION("""COMPUTED_VALUE"""),2009.0)</f>
        <v>2009</v>
      </c>
      <c r="M853" s="308" t="s">
        <v>3502</v>
      </c>
      <c r="N853" s="308" t="s">
        <v>3503</v>
      </c>
      <c r="O853" s="312" t="s">
        <v>35667</v>
      </c>
      <c r="P853" s="308" t="s">
        <v>1971</v>
      </c>
      <c r="Q853" s="308"/>
      <c r="R853" s="308"/>
      <c r="S853" s="315" t="s">
        <v>100</v>
      </c>
      <c r="T853" s="311" t="s">
        <v>34208</v>
      </c>
      <c r="U853" s="308" t="s">
        <v>530</v>
      </c>
      <c r="V853" s="312"/>
    </row>
    <row r="854">
      <c r="A854" s="308">
        <v>853.0</v>
      </c>
      <c r="B854" s="308">
        <v>4063.0</v>
      </c>
      <c r="C854" s="308" t="s">
        <v>35668</v>
      </c>
      <c r="D854" s="308">
        <f>IFERROR(__xludf.DUMMYFUNCTION("SPLIT(C854,""-"")"),865.0)</f>
        <v>865</v>
      </c>
      <c r="E854" s="311"/>
      <c r="F854" s="309" t="s">
        <v>34</v>
      </c>
      <c r="G854" s="308" t="s">
        <v>3500</v>
      </c>
      <c r="H854" s="308" t="s">
        <v>3505</v>
      </c>
      <c r="I854" s="310">
        <v>39995.0</v>
      </c>
      <c r="J854" s="308">
        <f>IFERROR(__xludf.DUMMYFUNCTION("SPLIT(I854,""/"")"),1.0)</f>
        <v>1</v>
      </c>
      <c r="K854" s="308">
        <f>IFERROR(__xludf.DUMMYFUNCTION("""COMPUTED_VALUE"""),7.0)</f>
        <v>7</v>
      </c>
      <c r="L854" s="308">
        <f>IFERROR(__xludf.DUMMYFUNCTION("""COMPUTED_VALUE"""),2009.0)</f>
        <v>2009</v>
      </c>
      <c r="M854" s="308" t="s">
        <v>3506</v>
      </c>
      <c r="N854" s="308" t="s">
        <v>3507</v>
      </c>
      <c r="O854" s="312" t="s">
        <v>35667</v>
      </c>
      <c r="P854" s="308" t="s">
        <v>35669</v>
      </c>
      <c r="Q854" s="308"/>
      <c r="R854" s="308"/>
      <c r="S854" s="315" t="s">
        <v>100</v>
      </c>
      <c r="T854" s="311" t="s">
        <v>34208</v>
      </c>
      <c r="U854" s="308" t="s">
        <v>530</v>
      </c>
      <c r="V854" s="312"/>
    </row>
    <row r="855">
      <c r="A855" s="308">
        <v>854.0</v>
      </c>
      <c r="B855" s="308">
        <v>4064.0</v>
      </c>
      <c r="C855" s="308" t="s">
        <v>35670</v>
      </c>
      <c r="D855" s="308">
        <f>IFERROR(__xludf.DUMMYFUNCTION("SPLIT(C855,""-"")"),866.0)</f>
        <v>866</v>
      </c>
      <c r="E855" s="311"/>
      <c r="F855" s="309" t="s">
        <v>34</v>
      </c>
      <c r="G855" s="308" t="s">
        <v>3500</v>
      </c>
      <c r="H855" s="308" t="s">
        <v>3508</v>
      </c>
      <c r="I855" s="310">
        <v>39995.0</v>
      </c>
      <c r="J855" s="308">
        <f>IFERROR(__xludf.DUMMYFUNCTION("SPLIT(I855,""/"")"),1.0)</f>
        <v>1</v>
      </c>
      <c r="K855" s="308">
        <f>IFERROR(__xludf.DUMMYFUNCTION("""COMPUTED_VALUE"""),7.0)</f>
        <v>7</v>
      </c>
      <c r="L855" s="308">
        <f>IFERROR(__xludf.DUMMYFUNCTION("""COMPUTED_VALUE"""),2009.0)</f>
        <v>2009</v>
      </c>
      <c r="M855" s="308" t="s">
        <v>3506</v>
      </c>
      <c r="N855" s="308" t="s">
        <v>3509</v>
      </c>
      <c r="O855" s="312" t="s">
        <v>35667</v>
      </c>
      <c r="P855" s="308" t="s">
        <v>1971</v>
      </c>
      <c r="Q855" s="308"/>
      <c r="R855" s="308"/>
      <c r="S855" s="315" t="s">
        <v>100</v>
      </c>
      <c r="T855" s="311" t="s">
        <v>34208</v>
      </c>
      <c r="U855" s="308" t="s">
        <v>530</v>
      </c>
      <c r="V855" s="312"/>
    </row>
    <row r="856">
      <c r="A856" s="308">
        <v>855.0</v>
      </c>
      <c r="B856" s="308">
        <v>4065.0</v>
      </c>
      <c r="C856" s="308" t="s">
        <v>35671</v>
      </c>
      <c r="D856" s="308">
        <f>IFERROR(__xludf.DUMMYFUNCTION("SPLIT(C856,""-"")"),867.0)</f>
        <v>867</v>
      </c>
      <c r="E856" s="311"/>
      <c r="F856" s="309" t="s">
        <v>34</v>
      </c>
      <c r="G856" s="308" t="s">
        <v>3500</v>
      </c>
      <c r="H856" s="308" t="s">
        <v>3510</v>
      </c>
      <c r="I856" s="310">
        <v>39995.0</v>
      </c>
      <c r="J856" s="308">
        <f>IFERROR(__xludf.DUMMYFUNCTION("SPLIT(I856,""/"")"),1.0)</f>
        <v>1</v>
      </c>
      <c r="K856" s="308">
        <f>IFERROR(__xludf.DUMMYFUNCTION("""COMPUTED_VALUE"""),7.0)</f>
        <v>7</v>
      </c>
      <c r="L856" s="308">
        <f>IFERROR(__xludf.DUMMYFUNCTION("""COMPUTED_VALUE"""),2009.0)</f>
        <v>2009</v>
      </c>
      <c r="M856" s="308" t="s">
        <v>3506</v>
      </c>
      <c r="N856" s="308" t="s">
        <v>3511</v>
      </c>
      <c r="O856" s="312" t="s">
        <v>35667</v>
      </c>
      <c r="P856" s="308" t="s">
        <v>1971</v>
      </c>
      <c r="Q856" s="308"/>
      <c r="R856" s="308"/>
      <c r="S856" s="315" t="s">
        <v>100</v>
      </c>
      <c r="T856" s="311" t="s">
        <v>34208</v>
      </c>
      <c r="U856" s="308" t="s">
        <v>530</v>
      </c>
      <c r="V856" s="312"/>
    </row>
    <row r="857">
      <c r="A857" s="308">
        <v>856.0</v>
      </c>
      <c r="B857" s="308">
        <v>4066.0</v>
      </c>
      <c r="C857" s="308" t="s">
        <v>35672</v>
      </c>
      <c r="D857" s="308">
        <f>IFERROR(__xludf.DUMMYFUNCTION("SPLIT(C857,""-"")"),868.0)</f>
        <v>868</v>
      </c>
      <c r="E857" s="311"/>
      <c r="F857" s="309" t="s">
        <v>34</v>
      </c>
      <c r="G857" s="308" t="s">
        <v>3500</v>
      </c>
      <c r="H857" s="308" t="s">
        <v>3512</v>
      </c>
      <c r="I857" s="310">
        <v>39995.0</v>
      </c>
      <c r="J857" s="308">
        <f>IFERROR(__xludf.DUMMYFUNCTION("SPLIT(I857,""/"")"),1.0)</f>
        <v>1</v>
      </c>
      <c r="K857" s="308">
        <f>IFERROR(__xludf.DUMMYFUNCTION("""COMPUTED_VALUE"""),7.0)</f>
        <v>7</v>
      </c>
      <c r="L857" s="308">
        <f>IFERROR(__xludf.DUMMYFUNCTION("""COMPUTED_VALUE"""),2009.0)</f>
        <v>2009</v>
      </c>
      <c r="M857" s="308" t="s">
        <v>3506</v>
      </c>
      <c r="N857" s="308"/>
      <c r="O857" s="312" t="s">
        <v>35667</v>
      </c>
      <c r="P857" s="308" t="s">
        <v>1971</v>
      </c>
      <c r="Q857" s="308"/>
      <c r="R857" s="308"/>
      <c r="S857" s="315" t="s">
        <v>100</v>
      </c>
      <c r="T857" s="311" t="s">
        <v>34208</v>
      </c>
      <c r="U857" s="308" t="s">
        <v>530</v>
      </c>
      <c r="V857" s="312"/>
    </row>
    <row r="858">
      <c r="A858" s="308">
        <v>857.0</v>
      </c>
      <c r="B858" s="308">
        <v>4067.0</v>
      </c>
      <c r="C858" s="308" t="s">
        <v>35673</v>
      </c>
      <c r="D858" s="308">
        <f>IFERROR(__xludf.DUMMYFUNCTION("SPLIT(C858,""-"")"),869.0)</f>
        <v>869</v>
      </c>
      <c r="E858" s="311"/>
      <c r="F858" s="309" t="s">
        <v>34</v>
      </c>
      <c r="G858" s="308" t="s">
        <v>35674</v>
      </c>
      <c r="H858" s="308" t="s">
        <v>3514</v>
      </c>
      <c r="I858" s="310">
        <v>39995.0</v>
      </c>
      <c r="J858" s="308">
        <f>IFERROR(__xludf.DUMMYFUNCTION("SPLIT(I858,""/"")"),1.0)</f>
        <v>1</v>
      </c>
      <c r="K858" s="308">
        <f>IFERROR(__xludf.DUMMYFUNCTION("""COMPUTED_VALUE"""),7.0)</f>
        <v>7</v>
      </c>
      <c r="L858" s="308">
        <f>IFERROR(__xludf.DUMMYFUNCTION("""COMPUTED_VALUE"""),2009.0)</f>
        <v>2009</v>
      </c>
      <c r="M858" s="308" t="s">
        <v>3506</v>
      </c>
      <c r="N858" s="308"/>
      <c r="O858" s="312" t="s">
        <v>35667</v>
      </c>
      <c r="P858" s="308" t="s">
        <v>1971</v>
      </c>
      <c r="Q858" s="308"/>
      <c r="R858" s="308"/>
      <c r="S858" s="315" t="s">
        <v>100</v>
      </c>
      <c r="T858" s="311" t="s">
        <v>34208</v>
      </c>
      <c r="U858" s="308" t="s">
        <v>530</v>
      </c>
      <c r="V858" s="312"/>
    </row>
    <row r="859">
      <c r="A859" s="308">
        <v>858.0</v>
      </c>
      <c r="B859" s="308">
        <v>4068.0</v>
      </c>
      <c r="C859" s="308" t="s">
        <v>35675</v>
      </c>
      <c r="D859" s="308">
        <f>IFERROR(__xludf.DUMMYFUNCTION("SPLIT(C859,""-"")"),870.0)</f>
        <v>870</v>
      </c>
      <c r="E859" s="311"/>
      <c r="F859" s="309" t="s">
        <v>34</v>
      </c>
      <c r="G859" s="308" t="s">
        <v>3500</v>
      </c>
      <c r="H859" s="308" t="s">
        <v>3515</v>
      </c>
      <c r="I859" s="310">
        <v>39995.0</v>
      </c>
      <c r="J859" s="308">
        <f>IFERROR(__xludf.DUMMYFUNCTION("SPLIT(I859,""/"")"),1.0)</f>
        <v>1</v>
      </c>
      <c r="K859" s="308">
        <f>IFERROR(__xludf.DUMMYFUNCTION("""COMPUTED_VALUE"""),7.0)</f>
        <v>7</v>
      </c>
      <c r="L859" s="308">
        <f>IFERROR(__xludf.DUMMYFUNCTION("""COMPUTED_VALUE"""),2009.0)</f>
        <v>2009</v>
      </c>
      <c r="M859" s="308" t="s">
        <v>3506</v>
      </c>
      <c r="N859" s="308"/>
      <c r="O859" s="312" t="s">
        <v>35676</v>
      </c>
      <c r="P859" s="308" t="s">
        <v>1971</v>
      </c>
      <c r="Q859" s="308"/>
      <c r="R859" s="308"/>
      <c r="S859" s="315" t="s">
        <v>100</v>
      </c>
      <c r="T859" s="311" t="s">
        <v>34208</v>
      </c>
      <c r="U859" s="308" t="s">
        <v>530</v>
      </c>
      <c r="V859" s="312"/>
    </row>
    <row r="860">
      <c r="A860" s="308">
        <v>859.0</v>
      </c>
      <c r="B860" s="308">
        <v>4069.0</v>
      </c>
      <c r="C860" s="308" t="s">
        <v>35677</v>
      </c>
      <c r="D860" s="308">
        <f>IFERROR(__xludf.DUMMYFUNCTION("SPLIT(C860,""-"")"),871.0)</f>
        <v>871</v>
      </c>
      <c r="E860" s="311"/>
      <c r="F860" s="309" t="s">
        <v>26</v>
      </c>
      <c r="G860" s="308"/>
      <c r="H860" s="308" t="s">
        <v>3517</v>
      </c>
      <c r="I860" s="310">
        <v>40644.0</v>
      </c>
      <c r="J860" s="308">
        <f>IFERROR(__xludf.DUMMYFUNCTION("SPLIT(I860,""/"")"),11.0)</f>
        <v>11</v>
      </c>
      <c r="K860" s="308">
        <f>IFERROR(__xludf.DUMMYFUNCTION("""COMPUTED_VALUE"""),4.0)</f>
        <v>4</v>
      </c>
      <c r="L860" s="308">
        <f>IFERROR(__xludf.DUMMYFUNCTION("""COMPUTED_VALUE"""),2011.0)</f>
        <v>2011</v>
      </c>
      <c r="M860" s="308" t="s">
        <v>35678</v>
      </c>
      <c r="N860" s="308"/>
      <c r="O860" s="312" t="s">
        <v>35679</v>
      </c>
      <c r="P860" s="308" t="s">
        <v>34212</v>
      </c>
      <c r="Q860" s="308"/>
      <c r="R860" s="308"/>
      <c r="S860" s="315" t="s">
        <v>100</v>
      </c>
      <c r="T860" s="311" t="s">
        <v>34208</v>
      </c>
      <c r="U860" s="308" t="s">
        <v>27</v>
      </c>
      <c r="V860" s="312"/>
    </row>
    <row r="861">
      <c r="A861" s="308">
        <v>860.0</v>
      </c>
      <c r="B861" s="308">
        <v>4070.0</v>
      </c>
      <c r="C861" s="308" t="s">
        <v>35680</v>
      </c>
      <c r="D861" s="308">
        <f>IFERROR(__xludf.DUMMYFUNCTION("SPLIT(C861,""-"")"),872.0)</f>
        <v>872</v>
      </c>
      <c r="E861" s="311"/>
      <c r="F861" s="317" t="s">
        <v>39</v>
      </c>
      <c r="G861" s="308" t="s">
        <v>3520</v>
      </c>
      <c r="H861" s="308" t="s">
        <v>3521</v>
      </c>
      <c r="I861" s="310">
        <v>40796.0</v>
      </c>
      <c r="J861" s="308">
        <f>IFERROR(__xludf.DUMMYFUNCTION("SPLIT(I861,""/"")"),10.0)</f>
        <v>10</v>
      </c>
      <c r="K861" s="308">
        <f>IFERROR(__xludf.DUMMYFUNCTION("""COMPUTED_VALUE"""),9.0)</f>
        <v>9</v>
      </c>
      <c r="L861" s="308">
        <f>IFERROR(__xludf.DUMMYFUNCTION("""COMPUTED_VALUE"""),2011.0)</f>
        <v>2011</v>
      </c>
      <c r="M861" s="308" t="s">
        <v>3522</v>
      </c>
      <c r="N861" s="308"/>
      <c r="O861" s="312" t="s">
        <v>35681</v>
      </c>
      <c r="P861" s="308" t="s">
        <v>3524</v>
      </c>
      <c r="Q861" s="308"/>
      <c r="R861" s="308"/>
      <c r="S861" s="308" t="s">
        <v>81</v>
      </c>
      <c r="T861" s="308" t="s">
        <v>75</v>
      </c>
      <c r="U861" s="308"/>
      <c r="V861" s="312"/>
    </row>
    <row r="862">
      <c r="A862" s="308">
        <v>861.0</v>
      </c>
      <c r="B862" s="308">
        <v>4071.0</v>
      </c>
      <c r="C862" s="308" t="s">
        <v>35682</v>
      </c>
      <c r="D862" s="308">
        <f>IFERROR(__xludf.DUMMYFUNCTION("SPLIT(C862,""-"")"),873.0)</f>
        <v>873</v>
      </c>
      <c r="E862" s="311"/>
      <c r="F862" s="309" t="s">
        <v>29</v>
      </c>
      <c r="G862" s="308"/>
      <c r="H862" s="308" t="s">
        <v>3525</v>
      </c>
      <c r="I862" s="314">
        <v>40908.0</v>
      </c>
      <c r="J862" s="308">
        <f>IFERROR(__xludf.DUMMYFUNCTION("SPLIT(I862,""/"")"),31.0)</f>
        <v>31</v>
      </c>
      <c r="K862" s="308">
        <f>IFERROR(__xludf.DUMMYFUNCTION("""COMPUTED_VALUE"""),12.0)</f>
        <v>12</v>
      </c>
      <c r="L862" s="308">
        <f>IFERROR(__xludf.DUMMYFUNCTION("""COMPUTED_VALUE"""),2011.0)</f>
        <v>2011</v>
      </c>
      <c r="M862" s="308" t="s">
        <v>3526</v>
      </c>
      <c r="N862" s="308"/>
      <c r="O862" s="312" t="s">
        <v>35683</v>
      </c>
      <c r="P862" s="308" t="s">
        <v>148</v>
      </c>
      <c r="Q862" s="308"/>
      <c r="R862" s="308"/>
      <c r="S862" s="308" t="s">
        <v>49</v>
      </c>
      <c r="T862" s="308" t="s">
        <v>51</v>
      </c>
      <c r="U862" s="308" t="s">
        <v>3528</v>
      </c>
      <c r="V862" s="312"/>
    </row>
    <row r="863">
      <c r="A863" s="308">
        <v>862.0</v>
      </c>
      <c r="B863" s="308">
        <v>4072.0</v>
      </c>
      <c r="C863" s="308" t="s">
        <v>35684</v>
      </c>
      <c r="D863" s="308">
        <f>IFERROR(__xludf.DUMMYFUNCTION("SPLIT(C863,""-"")"),874.0)</f>
        <v>874</v>
      </c>
      <c r="E863" s="311"/>
      <c r="F863" s="317" t="s">
        <v>39</v>
      </c>
      <c r="G863" s="308" t="s">
        <v>3529</v>
      </c>
      <c r="H863" s="308" t="s">
        <v>3530</v>
      </c>
      <c r="I863" s="310">
        <v>39995.0</v>
      </c>
      <c r="J863" s="308">
        <f>IFERROR(__xludf.DUMMYFUNCTION("SPLIT(I863,""/"")"),1.0)</f>
        <v>1</v>
      </c>
      <c r="K863" s="308">
        <f>IFERROR(__xludf.DUMMYFUNCTION("""COMPUTED_VALUE"""),7.0)</f>
        <v>7</v>
      </c>
      <c r="L863" s="308">
        <f>IFERROR(__xludf.DUMMYFUNCTION("""COMPUTED_VALUE"""),2009.0)</f>
        <v>2009</v>
      </c>
      <c r="M863" s="308" t="s">
        <v>3531</v>
      </c>
      <c r="N863" s="308"/>
      <c r="O863" s="312" t="s">
        <v>3532</v>
      </c>
      <c r="P863" s="308" t="s">
        <v>3533</v>
      </c>
      <c r="Q863" s="308"/>
      <c r="R863" s="308"/>
      <c r="S863" s="308" t="s">
        <v>49</v>
      </c>
      <c r="T863" s="308" t="s">
        <v>51</v>
      </c>
      <c r="U863" s="308"/>
      <c r="V863" s="312"/>
    </row>
    <row r="864">
      <c r="A864" s="308">
        <v>863.0</v>
      </c>
      <c r="B864" s="308">
        <v>4073.0</v>
      </c>
      <c r="C864" s="308" t="s">
        <v>35685</v>
      </c>
      <c r="D864" s="308">
        <f>IFERROR(__xludf.DUMMYFUNCTION("SPLIT(C864,""-"")"),875.0)</f>
        <v>875</v>
      </c>
      <c r="E864" s="311"/>
      <c r="F864" s="317" t="s">
        <v>37</v>
      </c>
      <c r="G864" s="308" t="s">
        <v>3534</v>
      </c>
      <c r="H864" s="308" t="s">
        <v>35686</v>
      </c>
      <c r="I864" s="310">
        <v>41133.0</v>
      </c>
      <c r="J864" s="308">
        <f>IFERROR(__xludf.DUMMYFUNCTION("SPLIT(I864,""/"")"),12.0)</f>
        <v>12</v>
      </c>
      <c r="K864" s="308">
        <f>IFERROR(__xludf.DUMMYFUNCTION("""COMPUTED_VALUE"""),8.0)</f>
        <v>8</v>
      </c>
      <c r="L864" s="308">
        <f>IFERROR(__xludf.DUMMYFUNCTION("""COMPUTED_VALUE"""),2012.0)</f>
        <v>2012</v>
      </c>
      <c r="M864" s="308" t="s">
        <v>35687</v>
      </c>
      <c r="N864" s="308"/>
      <c r="O864" s="312" t="s">
        <v>35688</v>
      </c>
      <c r="P864" s="308" t="s">
        <v>3538</v>
      </c>
      <c r="Q864" s="308"/>
      <c r="R864" s="308"/>
      <c r="S864" s="308" t="s">
        <v>81</v>
      </c>
      <c r="T864" s="311" t="s">
        <v>96</v>
      </c>
      <c r="U864" s="308"/>
      <c r="V864" s="312"/>
    </row>
    <row r="865">
      <c r="A865" s="308">
        <v>864.0</v>
      </c>
      <c r="B865" s="308">
        <v>4074.0</v>
      </c>
      <c r="C865" s="308" t="s">
        <v>3539</v>
      </c>
      <c r="D865" s="308">
        <f>IFERROR(__xludf.DUMMYFUNCTION("SPLIT(C865,""-"")"),876.0)</f>
        <v>876</v>
      </c>
      <c r="E865" s="308" t="str">
        <f>IFERROR(__xludf.DUMMYFUNCTION("""COMPUTED_VALUE"""),"K")</f>
        <v>K</v>
      </c>
      <c r="F865" s="309" t="s">
        <v>34</v>
      </c>
      <c r="G865" s="308" t="s">
        <v>3540</v>
      </c>
      <c r="H865" s="308" t="s">
        <v>35689</v>
      </c>
      <c r="I865" s="310">
        <v>40033.0</v>
      </c>
      <c r="J865" s="308">
        <f>IFERROR(__xludf.DUMMYFUNCTION("SPLIT(I865,""/"")"),8.0)</f>
        <v>8</v>
      </c>
      <c r="K865" s="308">
        <f>IFERROR(__xludf.DUMMYFUNCTION("""COMPUTED_VALUE"""),8.0)</f>
        <v>8</v>
      </c>
      <c r="L865" s="308">
        <f>IFERROR(__xludf.DUMMYFUNCTION("""COMPUTED_VALUE"""),2009.0)</f>
        <v>2009</v>
      </c>
      <c r="M865" s="308" t="s">
        <v>3542</v>
      </c>
      <c r="N865" s="308"/>
      <c r="O865" s="312" t="s">
        <v>35690</v>
      </c>
      <c r="P865" s="308" t="s">
        <v>35691</v>
      </c>
      <c r="Q865" s="308"/>
      <c r="R865" s="308"/>
      <c r="S865" s="315" t="s">
        <v>100</v>
      </c>
      <c r="T865" s="311" t="s">
        <v>34208</v>
      </c>
      <c r="U865" s="308" t="s">
        <v>530</v>
      </c>
      <c r="V865" s="312"/>
    </row>
    <row r="866">
      <c r="A866" s="308">
        <v>865.0</v>
      </c>
      <c r="B866" s="308">
        <v>4076.0</v>
      </c>
      <c r="C866" s="308" t="s">
        <v>35692</v>
      </c>
      <c r="D866" s="308">
        <f>IFERROR(__xludf.DUMMYFUNCTION("SPLIT(C866,""-"")"),877.0)</f>
        <v>877</v>
      </c>
      <c r="E866" s="311"/>
      <c r="F866" s="317" t="s">
        <v>37</v>
      </c>
      <c r="G866" s="308"/>
      <c r="H866" s="308" t="s">
        <v>3544</v>
      </c>
      <c r="I866" s="310">
        <v>41139.0</v>
      </c>
      <c r="J866" s="308">
        <f>IFERROR(__xludf.DUMMYFUNCTION("SPLIT(I866,""/"")"),18.0)</f>
        <v>18</v>
      </c>
      <c r="K866" s="308">
        <f>IFERROR(__xludf.DUMMYFUNCTION("""COMPUTED_VALUE"""),8.0)</f>
        <v>8</v>
      </c>
      <c r="L866" s="308">
        <f>IFERROR(__xludf.DUMMYFUNCTION("""COMPUTED_VALUE"""),2012.0)</f>
        <v>2012</v>
      </c>
      <c r="M866" s="308" t="s">
        <v>3545</v>
      </c>
      <c r="N866" s="308"/>
      <c r="O866" s="312" t="s">
        <v>35693</v>
      </c>
      <c r="P866" s="308" t="s">
        <v>3547</v>
      </c>
      <c r="Q866" s="308"/>
      <c r="R866" s="308"/>
      <c r="S866" s="308" t="s">
        <v>81</v>
      </c>
      <c r="T866" s="311" t="s">
        <v>75</v>
      </c>
      <c r="U866" s="308"/>
      <c r="V866" s="312"/>
    </row>
    <row r="867">
      <c r="A867" s="308">
        <v>866.0</v>
      </c>
      <c r="B867" s="308">
        <v>4077.0</v>
      </c>
      <c r="C867" s="308" t="s">
        <v>35694</v>
      </c>
      <c r="D867" s="308">
        <f>IFERROR(__xludf.DUMMYFUNCTION("SPLIT(C867,""-"")"),879.0)</f>
        <v>879</v>
      </c>
      <c r="E867" s="311"/>
      <c r="F867" s="317" t="s">
        <v>37</v>
      </c>
      <c r="G867" s="308"/>
      <c r="H867" s="308" t="s">
        <v>3548</v>
      </c>
      <c r="I867" s="310">
        <v>41139.0</v>
      </c>
      <c r="J867" s="308">
        <f>IFERROR(__xludf.DUMMYFUNCTION("SPLIT(I867,""/"")"),18.0)</f>
        <v>18</v>
      </c>
      <c r="K867" s="308">
        <f>IFERROR(__xludf.DUMMYFUNCTION("""COMPUTED_VALUE"""),8.0)</f>
        <v>8</v>
      </c>
      <c r="L867" s="308">
        <f>IFERROR(__xludf.DUMMYFUNCTION("""COMPUTED_VALUE"""),2012.0)</f>
        <v>2012</v>
      </c>
      <c r="M867" s="308" t="s">
        <v>3545</v>
      </c>
      <c r="N867" s="308"/>
      <c r="O867" s="312" t="s">
        <v>35693</v>
      </c>
      <c r="P867" s="308" t="s">
        <v>3547</v>
      </c>
      <c r="Q867" s="308"/>
      <c r="R867" s="308"/>
      <c r="S867" s="308" t="s">
        <v>81</v>
      </c>
      <c r="T867" s="311" t="s">
        <v>75</v>
      </c>
      <c r="U867" s="308"/>
      <c r="V867" s="312"/>
    </row>
    <row r="868">
      <c r="A868" s="308">
        <v>867.0</v>
      </c>
      <c r="B868" s="308">
        <v>4078.0</v>
      </c>
      <c r="C868" s="308" t="s">
        <v>3549</v>
      </c>
      <c r="D868" s="308">
        <f>IFERROR(__xludf.DUMMYFUNCTION("SPLIT(C868,""-"")"),880.0)</f>
        <v>880</v>
      </c>
      <c r="E868" s="308" t="str">
        <f>IFERROR(__xludf.DUMMYFUNCTION("""COMPUTED_VALUE"""),"K")</f>
        <v>K</v>
      </c>
      <c r="F868" s="309" t="s">
        <v>34</v>
      </c>
      <c r="G868" s="308" t="s">
        <v>3550</v>
      </c>
      <c r="H868" s="308" t="s">
        <v>3551</v>
      </c>
      <c r="I868" s="310">
        <v>40059.0</v>
      </c>
      <c r="J868" s="308">
        <f>IFERROR(__xludf.DUMMYFUNCTION("SPLIT(I868,""/"")"),3.0)</f>
        <v>3</v>
      </c>
      <c r="K868" s="308">
        <f>IFERROR(__xludf.DUMMYFUNCTION("""COMPUTED_VALUE"""),9.0)</f>
        <v>9</v>
      </c>
      <c r="L868" s="308">
        <f>IFERROR(__xludf.DUMMYFUNCTION("""COMPUTED_VALUE"""),2009.0)</f>
        <v>2009</v>
      </c>
      <c r="M868" s="308" t="s">
        <v>3552</v>
      </c>
      <c r="N868" s="308"/>
      <c r="O868" s="312" t="s">
        <v>35695</v>
      </c>
      <c r="P868" s="308" t="s">
        <v>1971</v>
      </c>
      <c r="Q868" s="308"/>
      <c r="R868" s="308" t="s">
        <v>1496</v>
      </c>
      <c r="S868" s="315" t="s">
        <v>100</v>
      </c>
      <c r="T868" s="311" t="s">
        <v>34208</v>
      </c>
      <c r="U868" s="308" t="s">
        <v>530</v>
      </c>
      <c r="V868" s="312"/>
    </row>
    <row r="869">
      <c r="A869" s="308">
        <v>868.0</v>
      </c>
      <c r="B869" s="308">
        <v>4079.0</v>
      </c>
      <c r="C869" s="308" t="s">
        <v>35696</v>
      </c>
      <c r="D869" s="308">
        <f>IFERROR(__xludf.DUMMYFUNCTION("SPLIT(C869,""-"")"),881.0)</f>
        <v>881</v>
      </c>
      <c r="E869" s="311"/>
      <c r="F869" s="309" t="s">
        <v>34</v>
      </c>
      <c r="G869" s="308"/>
      <c r="H869" s="308" t="s">
        <v>3554</v>
      </c>
      <c r="I869" s="310">
        <v>42196.0</v>
      </c>
      <c r="J869" s="308">
        <f>IFERROR(__xludf.DUMMYFUNCTION("SPLIT(I869,""/"")"),11.0)</f>
        <v>11</v>
      </c>
      <c r="K869" s="308">
        <f>IFERROR(__xludf.DUMMYFUNCTION("""COMPUTED_VALUE"""),7.0)</f>
        <v>7</v>
      </c>
      <c r="L869" s="308">
        <f>IFERROR(__xludf.DUMMYFUNCTION("""COMPUTED_VALUE"""),2015.0)</f>
        <v>2015</v>
      </c>
      <c r="M869" s="308" t="s">
        <v>3555</v>
      </c>
      <c r="N869" s="308"/>
      <c r="O869" s="312" t="s">
        <v>3556</v>
      </c>
      <c r="P869" s="308"/>
      <c r="Q869" s="308"/>
      <c r="R869" s="308"/>
      <c r="S869" s="308" t="s">
        <v>79</v>
      </c>
      <c r="T869" s="308" t="s">
        <v>79</v>
      </c>
      <c r="U869" s="308" t="s">
        <v>137</v>
      </c>
      <c r="V869" s="312"/>
    </row>
    <row r="870">
      <c r="A870" s="308">
        <v>869.0</v>
      </c>
      <c r="B870" s="308">
        <v>4080.0</v>
      </c>
      <c r="C870" s="308" t="s">
        <v>35697</v>
      </c>
      <c r="D870" s="308">
        <f>IFERROR(__xludf.DUMMYFUNCTION("SPLIT(C870,""-"")"),882.0)</f>
        <v>882</v>
      </c>
      <c r="E870" s="311"/>
      <c r="F870" s="317" t="s">
        <v>37</v>
      </c>
      <c r="G870" s="308"/>
      <c r="H870" s="308" t="s">
        <v>3557</v>
      </c>
      <c r="I870" s="310">
        <v>41138.0</v>
      </c>
      <c r="J870" s="308">
        <f>IFERROR(__xludf.DUMMYFUNCTION("SPLIT(I870,""/"")"),17.0)</f>
        <v>17</v>
      </c>
      <c r="K870" s="308">
        <f>IFERROR(__xludf.DUMMYFUNCTION("""COMPUTED_VALUE"""),8.0)</f>
        <v>8</v>
      </c>
      <c r="L870" s="308">
        <f>IFERROR(__xludf.DUMMYFUNCTION("""COMPUTED_VALUE"""),2012.0)</f>
        <v>2012</v>
      </c>
      <c r="M870" s="308" t="s">
        <v>3558</v>
      </c>
      <c r="N870" s="308"/>
      <c r="O870" s="312" t="s">
        <v>35698</v>
      </c>
      <c r="P870" s="308" t="s">
        <v>3560</v>
      </c>
      <c r="Q870" s="308"/>
      <c r="R870" s="308"/>
      <c r="S870" s="308" t="s">
        <v>81</v>
      </c>
      <c r="T870" s="311" t="s">
        <v>75</v>
      </c>
      <c r="U870" s="308"/>
      <c r="V870" s="312"/>
    </row>
    <row r="871">
      <c r="A871" s="308">
        <v>870.0</v>
      </c>
      <c r="B871" s="308">
        <v>4081.0</v>
      </c>
      <c r="C871" s="308" t="s">
        <v>35699</v>
      </c>
      <c r="D871" s="308">
        <f>IFERROR(__xludf.DUMMYFUNCTION("SPLIT(C871,""-"")"),883.0)</f>
        <v>883</v>
      </c>
      <c r="E871" s="311"/>
      <c r="F871" s="317" t="s">
        <v>37</v>
      </c>
      <c r="G871" s="308" t="s">
        <v>3561</v>
      </c>
      <c r="H871" s="308" t="s">
        <v>3562</v>
      </c>
      <c r="I871" s="310">
        <v>40959.0</v>
      </c>
      <c r="J871" s="308">
        <f>IFERROR(__xludf.DUMMYFUNCTION("SPLIT(I871,""/"")"),20.0)</f>
        <v>20</v>
      </c>
      <c r="K871" s="308">
        <f>IFERROR(__xludf.DUMMYFUNCTION("""COMPUTED_VALUE"""),2.0)</f>
        <v>2</v>
      </c>
      <c r="L871" s="308">
        <f>IFERROR(__xludf.DUMMYFUNCTION("""COMPUTED_VALUE"""),2012.0)</f>
        <v>2012</v>
      </c>
      <c r="M871" s="308" t="s">
        <v>3563</v>
      </c>
      <c r="N871" s="308"/>
      <c r="O871" s="312" t="s">
        <v>635</v>
      </c>
      <c r="P871" s="308" t="s">
        <v>3564</v>
      </c>
      <c r="Q871" s="308"/>
      <c r="R871" s="308"/>
      <c r="S871" s="308" t="s">
        <v>81</v>
      </c>
      <c r="T871" s="311" t="s">
        <v>91</v>
      </c>
      <c r="U871" s="308"/>
      <c r="V871" s="312"/>
    </row>
    <row r="872">
      <c r="A872" s="308">
        <v>871.0</v>
      </c>
      <c r="B872" s="308">
        <v>4082.0</v>
      </c>
      <c r="C872" s="308" t="s">
        <v>35700</v>
      </c>
      <c r="D872" s="308">
        <f>IFERROR(__xludf.DUMMYFUNCTION("SPLIT(C872,""-"")"),884.0)</f>
        <v>884</v>
      </c>
      <c r="E872" s="311"/>
      <c r="F872" s="317" t="s">
        <v>39</v>
      </c>
      <c r="G872" s="308"/>
      <c r="H872" s="308" t="s">
        <v>3565</v>
      </c>
      <c r="I872" s="314">
        <v>40896.0</v>
      </c>
      <c r="J872" s="308">
        <f>IFERROR(__xludf.DUMMYFUNCTION("SPLIT(I872,""/"")"),19.0)</f>
        <v>19</v>
      </c>
      <c r="K872" s="308">
        <f>IFERROR(__xludf.DUMMYFUNCTION("""COMPUTED_VALUE"""),12.0)</f>
        <v>12</v>
      </c>
      <c r="L872" s="308">
        <f>IFERROR(__xludf.DUMMYFUNCTION("""COMPUTED_VALUE"""),2011.0)</f>
        <v>2011</v>
      </c>
      <c r="M872" s="308" t="s">
        <v>3566</v>
      </c>
      <c r="N872" s="308"/>
      <c r="O872" s="312" t="s">
        <v>35701</v>
      </c>
      <c r="P872" s="308" t="s">
        <v>3568</v>
      </c>
      <c r="Q872" s="308"/>
      <c r="R872" s="308"/>
      <c r="S872" s="311" t="s">
        <v>81</v>
      </c>
      <c r="T872" s="308" t="s">
        <v>75</v>
      </c>
      <c r="U872" s="312"/>
      <c r="V872" s="312"/>
    </row>
    <row r="873">
      <c r="A873" s="308">
        <v>872.0</v>
      </c>
      <c r="B873" s="308">
        <v>4083.0</v>
      </c>
      <c r="C873" s="308" t="s">
        <v>35702</v>
      </c>
      <c r="D873" s="308">
        <f>IFERROR(__xludf.DUMMYFUNCTION("SPLIT(C873,""-"")"),885.0)</f>
        <v>885</v>
      </c>
      <c r="E873" s="311"/>
      <c r="F873" s="309" t="s">
        <v>26</v>
      </c>
      <c r="G873" s="308"/>
      <c r="H873" s="308" t="s">
        <v>3569</v>
      </c>
      <c r="I873" s="310">
        <v>40118.0</v>
      </c>
      <c r="J873" s="308">
        <f>IFERROR(__xludf.DUMMYFUNCTION("SPLIT(I873,""/"")"),1.0)</f>
        <v>1</v>
      </c>
      <c r="K873" s="308">
        <f>IFERROR(__xludf.DUMMYFUNCTION("""COMPUTED_VALUE"""),11.0)</f>
        <v>11</v>
      </c>
      <c r="L873" s="308">
        <f>IFERROR(__xludf.DUMMYFUNCTION("""COMPUTED_VALUE"""),2009.0)</f>
        <v>2009</v>
      </c>
      <c r="M873" s="308" t="s">
        <v>3570</v>
      </c>
      <c r="N873" s="308"/>
      <c r="O873" s="312" t="s">
        <v>635</v>
      </c>
      <c r="P873" s="308" t="s">
        <v>3571</v>
      </c>
      <c r="Q873" s="308"/>
      <c r="R873" s="308"/>
      <c r="S873" s="308" t="s">
        <v>49</v>
      </c>
      <c r="T873" s="311" t="s">
        <v>51</v>
      </c>
      <c r="U873" s="308"/>
      <c r="V873" s="312"/>
    </row>
    <row r="874">
      <c r="A874" s="308">
        <v>873.0</v>
      </c>
      <c r="B874" s="308">
        <v>4084.0</v>
      </c>
      <c r="C874" s="308" t="s">
        <v>35703</v>
      </c>
      <c r="D874" s="308">
        <f>IFERROR(__xludf.DUMMYFUNCTION("SPLIT(C874,""-"")"),886.0)</f>
        <v>886</v>
      </c>
      <c r="E874" s="311"/>
      <c r="F874" s="309" t="s">
        <v>34</v>
      </c>
      <c r="G874" s="308"/>
      <c r="H874" s="308" t="s">
        <v>3572</v>
      </c>
      <c r="I874" s="310">
        <v>39784.0</v>
      </c>
      <c r="J874" s="308">
        <f>IFERROR(__xludf.DUMMYFUNCTION("SPLIT(I874,""/"")"),2.0)</f>
        <v>2</v>
      </c>
      <c r="K874" s="308">
        <f>IFERROR(__xludf.DUMMYFUNCTION("""COMPUTED_VALUE"""),12.0)</f>
        <v>12</v>
      </c>
      <c r="L874" s="308">
        <f>IFERROR(__xludf.DUMMYFUNCTION("""COMPUTED_VALUE"""),2008.0)</f>
        <v>2008</v>
      </c>
      <c r="M874" s="308" t="s">
        <v>3573</v>
      </c>
      <c r="N874" s="308"/>
      <c r="O874" s="312" t="s">
        <v>35704</v>
      </c>
      <c r="P874" s="308" t="s">
        <v>3575</v>
      </c>
      <c r="Q874" s="308"/>
      <c r="R874" s="308"/>
      <c r="S874" s="315" t="s">
        <v>100</v>
      </c>
      <c r="T874" s="311" t="s">
        <v>34208</v>
      </c>
      <c r="U874" s="308" t="s">
        <v>2152</v>
      </c>
      <c r="V874" s="312"/>
    </row>
    <row r="875">
      <c r="A875" s="308">
        <v>874.0</v>
      </c>
      <c r="B875" s="308">
        <v>4085.0</v>
      </c>
      <c r="C875" s="308" t="s">
        <v>35705</v>
      </c>
      <c r="D875" s="308">
        <f>IFERROR(__xludf.DUMMYFUNCTION("SPLIT(C875,""-"")"),887.0)</f>
        <v>887</v>
      </c>
      <c r="E875" s="311"/>
      <c r="F875" s="317" t="s">
        <v>37</v>
      </c>
      <c r="G875" s="308" t="s">
        <v>3576</v>
      </c>
      <c r="H875" s="308" t="s">
        <v>3577</v>
      </c>
      <c r="I875" s="310">
        <v>41059.0</v>
      </c>
      <c r="J875" s="308">
        <f>IFERROR(__xludf.DUMMYFUNCTION("SPLIT(I875,""/"")"),30.0)</f>
        <v>30</v>
      </c>
      <c r="K875" s="308">
        <f>IFERROR(__xludf.DUMMYFUNCTION("""COMPUTED_VALUE"""),5.0)</f>
        <v>5</v>
      </c>
      <c r="L875" s="308">
        <f>IFERROR(__xludf.DUMMYFUNCTION("""COMPUTED_VALUE"""),2012.0)</f>
        <v>2012</v>
      </c>
      <c r="M875" s="308" t="s">
        <v>3578</v>
      </c>
      <c r="N875" s="308"/>
      <c r="O875" s="312" t="s">
        <v>35706</v>
      </c>
      <c r="P875" s="308" t="s">
        <v>3580</v>
      </c>
      <c r="Q875" s="308"/>
      <c r="R875" s="308"/>
      <c r="S875" s="308" t="s">
        <v>81</v>
      </c>
      <c r="T875" s="308" t="s">
        <v>34264</v>
      </c>
      <c r="U875" s="308"/>
      <c r="V875" s="312"/>
    </row>
    <row r="876">
      <c r="A876" s="308">
        <v>875.0</v>
      </c>
      <c r="B876" s="308">
        <v>4086.0</v>
      </c>
      <c r="C876" s="308" t="s">
        <v>35707</v>
      </c>
      <c r="D876" s="308">
        <f>IFERROR(__xludf.DUMMYFUNCTION("SPLIT(C876,""-"")"),888.0)</f>
        <v>888</v>
      </c>
      <c r="E876" s="311"/>
      <c r="F876" s="317" t="s">
        <v>37</v>
      </c>
      <c r="G876" s="308"/>
      <c r="H876" s="308" t="s">
        <v>3581</v>
      </c>
      <c r="I876" s="310">
        <v>41131.0</v>
      </c>
      <c r="J876" s="308">
        <f>IFERROR(__xludf.DUMMYFUNCTION("SPLIT(I876,""/"")"),10.0)</f>
        <v>10</v>
      </c>
      <c r="K876" s="308">
        <f>IFERROR(__xludf.DUMMYFUNCTION("""COMPUTED_VALUE"""),8.0)</f>
        <v>8</v>
      </c>
      <c r="L876" s="308">
        <f>IFERROR(__xludf.DUMMYFUNCTION("""COMPUTED_VALUE"""),2012.0)</f>
        <v>2012</v>
      </c>
      <c r="M876" s="308" t="s">
        <v>3582</v>
      </c>
      <c r="N876" s="308"/>
      <c r="O876" s="312" t="s">
        <v>35708</v>
      </c>
      <c r="P876" s="308" t="s">
        <v>3584</v>
      </c>
      <c r="Q876" s="308"/>
      <c r="R876" s="308"/>
      <c r="S876" s="308" t="s">
        <v>81</v>
      </c>
      <c r="T876" s="311" t="s">
        <v>96</v>
      </c>
      <c r="U876" s="308"/>
      <c r="V876" s="312"/>
    </row>
    <row r="877">
      <c r="A877" s="308">
        <v>876.0</v>
      </c>
      <c r="B877" s="308">
        <v>4087.0</v>
      </c>
      <c r="C877" s="308" t="s">
        <v>35709</v>
      </c>
      <c r="D877" s="308">
        <f>IFERROR(__xludf.DUMMYFUNCTION("SPLIT(C877,""-"")"),889.0)</f>
        <v>889</v>
      </c>
      <c r="E877" s="311"/>
      <c r="F877" s="317" t="s">
        <v>37</v>
      </c>
      <c r="G877" s="308"/>
      <c r="H877" s="308" t="s">
        <v>3585</v>
      </c>
      <c r="I877" s="310">
        <v>41139.0</v>
      </c>
      <c r="J877" s="308">
        <f>IFERROR(__xludf.DUMMYFUNCTION("SPLIT(I877,""/"")"),18.0)</f>
        <v>18</v>
      </c>
      <c r="K877" s="308">
        <f>IFERROR(__xludf.DUMMYFUNCTION("""COMPUTED_VALUE"""),8.0)</f>
        <v>8</v>
      </c>
      <c r="L877" s="308">
        <f>IFERROR(__xludf.DUMMYFUNCTION("""COMPUTED_VALUE"""),2012.0)</f>
        <v>2012</v>
      </c>
      <c r="M877" s="308" t="s">
        <v>35710</v>
      </c>
      <c r="N877" s="308"/>
      <c r="O877" s="312" t="s">
        <v>3587</v>
      </c>
      <c r="P877" s="308" t="s">
        <v>3588</v>
      </c>
      <c r="Q877" s="308"/>
      <c r="R877" s="308"/>
      <c r="S877" s="308" t="s">
        <v>81</v>
      </c>
      <c r="T877" s="308" t="s">
        <v>75</v>
      </c>
      <c r="U877" s="308"/>
      <c r="V877" s="312"/>
    </row>
    <row r="878">
      <c r="A878" s="308">
        <v>877.0</v>
      </c>
      <c r="B878" s="308">
        <v>4088.0</v>
      </c>
      <c r="C878" s="308" t="s">
        <v>35711</v>
      </c>
      <c r="D878" s="308">
        <f>IFERROR(__xludf.DUMMYFUNCTION("SPLIT(C878,""-"")"),890.0)</f>
        <v>890</v>
      </c>
      <c r="E878" s="311"/>
      <c r="F878" s="317" t="s">
        <v>37</v>
      </c>
      <c r="G878" s="308"/>
      <c r="H878" s="308" t="s">
        <v>3589</v>
      </c>
      <c r="I878" s="310">
        <v>41133.0</v>
      </c>
      <c r="J878" s="308">
        <f>IFERROR(__xludf.DUMMYFUNCTION("SPLIT(I878,""/"")"),12.0)</f>
        <v>12</v>
      </c>
      <c r="K878" s="308">
        <f>IFERROR(__xludf.DUMMYFUNCTION("""COMPUTED_VALUE"""),8.0)</f>
        <v>8</v>
      </c>
      <c r="L878" s="308">
        <f>IFERROR(__xludf.DUMMYFUNCTION("""COMPUTED_VALUE"""),2012.0)</f>
        <v>2012</v>
      </c>
      <c r="M878" s="308" t="s">
        <v>3590</v>
      </c>
      <c r="N878" s="308"/>
      <c r="O878" s="312" t="s">
        <v>35712</v>
      </c>
      <c r="P878" s="308" t="s">
        <v>35713</v>
      </c>
      <c r="Q878" s="308"/>
      <c r="R878" s="308"/>
      <c r="S878" s="308" t="s">
        <v>81</v>
      </c>
      <c r="T878" s="311" t="s">
        <v>75</v>
      </c>
      <c r="U878" s="308"/>
      <c r="V878" s="312"/>
    </row>
    <row r="879">
      <c r="A879" s="308">
        <v>878.0</v>
      </c>
      <c r="B879" s="308">
        <v>4089.0</v>
      </c>
      <c r="C879" s="308" t="s">
        <v>3593</v>
      </c>
      <c r="D879" s="308">
        <f>IFERROR(__xludf.DUMMYFUNCTION("SPLIT(C879,""-"")"),891.0)</f>
        <v>891</v>
      </c>
      <c r="E879" s="308" t="str">
        <f>IFERROR(__xludf.DUMMYFUNCTION("""COMPUTED_VALUE"""),"K")</f>
        <v>K</v>
      </c>
      <c r="F879" s="309" t="s">
        <v>34</v>
      </c>
      <c r="G879" s="308"/>
      <c r="H879" s="308" t="s">
        <v>3594</v>
      </c>
      <c r="I879" s="310">
        <v>40258.0</v>
      </c>
      <c r="J879" s="308">
        <f>IFERROR(__xludf.DUMMYFUNCTION("SPLIT(I879,""/"")"),21.0)</f>
        <v>21</v>
      </c>
      <c r="K879" s="308">
        <f>IFERROR(__xludf.DUMMYFUNCTION("""COMPUTED_VALUE"""),3.0)</f>
        <v>3</v>
      </c>
      <c r="L879" s="308">
        <f>IFERROR(__xludf.DUMMYFUNCTION("""COMPUTED_VALUE"""),2010.0)</f>
        <v>2010</v>
      </c>
      <c r="M879" s="308" t="s">
        <v>3595</v>
      </c>
      <c r="N879" s="308"/>
      <c r="O879" s="312" t="s">
        <v>35714</v>
      </c>
      <c r="P879" s="308" t="s">
        <v>1392</v>
      </c>
      <c r="Q879" s="308"/>
      <c r="R879" s="308"/>
      <c r="S879" s="308" t="s">
        <v>49</v>
      </c>
      <c r="T879" s="315" t="s">
        <v>69</v>
      </c>
      <c r="U879" s="308" t="s">
        <v>530</v>
      </c>
      <c r="V879" s="312"/>
    </row>
    <row r="880">
      <c r="A880" s="308">
        <v>879.0</v>
      </c>
      <c r="B880" s="308">
        <v>4090.0</v>
      </c>
      <c r="C880" s="308" t="s">
        <v>35715</v>
      </c>
      <c r="D880" s="308">
        <f>IFERROR(__xludf.DUMMYFUNCTION("SPLIT(C880,""-"")"),892.0)</f>
        <v>892</v>
      </c>
      <c r="E880" s="311"/>
      <c r="F880" s="317" t="s">
        <v>37</v>
      </c>
      <c r="G880" s="308"/>
      <c r="H880" s="308" t="s">
        <v>3597</v>
      </c>
      <c r="I880" s="310">
        <v>41140.0</v>
      </c>
      <c r="J880" s="308">
        <f>IFERROR(__xludf.DUMMYFUNCTION("SPLIT(I880,""/"")"),19.0)</f>
        <v>19</v>
      </c>
      <c r="K880" s="308">
        <f>IFERROR(__xludf.DUMMYFUNCTION("""COMPUTED_VALUE"""),8.0)</f>
        <v>8</v>
      </c>
      <c r="L880" s="308">
        <f>IFERROR(__xludf.DUMMYFUNCTION("""COMPUTED_VALUE"""),2012.0)</f>
        <v>2012</v>
      </c>
      <c r="M880" s="308" t="s">
        <v>3598</v>
      </c>
      <c r="N880" s="308"/>
      <c r="O880" s="312" t="s">
        <v>3599</v>
      </c>
      <c r="P880" s="308" t="s">
        <v>3600</v>
      </c>
      <c r="Q880" s="308"/>
      <c r="R880" s="308"/>
      <c r="S880" s="308" t="s">
        <v>81</v>
      </c>
      <c r="T880" s="311" t="s">
        <v>75</v>
      </c>
      <c r="U880" s="308"/>
      <c r="V880" s="312"/>
    </row>
    <row r="881">
      <c r="A881" s="308">
        <v>880.0</v>
      </c>
      <c r="B881" s="308">
        <v>4091.0</v>
      </c>
      <c r="C881" s="308" t="s">
        <v>3601</v>
      </c>
      <c r="D881" s="308">
        <f>IFERROR(__xludf.DUMMYFUNCTION("SPLIT(C881,""-"")"),893.0)</f>
        <v>893</v>
      </c>
      <c r="E881" s="308" t="str">
        <f>IFERROR(__xludf.DUMMYFUNCTION("""COMPUTED_VALUE"""),"I")</f>
        <v>I</v>
      </c>
      <c r="F881" s="309" t="s">
        <v>31</v>
      </c>
      <c r="G881" s="308"/>
      <c r="H881" s="308" t="s">
        <v>35716</v>
      </c>
      <c r="I881" s="310">
        <v>40360.0</v>
      </c>
      <c r="J881" s="308">
        <f>IFERROR(__xludf.DUMMYFUNCTION("SPLIT(I881,""/"")"),1.0)</f>
        <v>1</v>
      </c>
      <c r="K881" s="308">
        <f>IFERROR(__xludf.DUMMYFUNCTION("""COMPUTED_VALUE"""),7.0)</f>
        <v>7</v>
      </c>
      <c r="L881" s="308">
        <f>IFERROR(__xludf.DUMMYFUNCTION("""COMPUTED_VALUE"""),2010.0)</f>
        <v>2010</v>
      </c>
      <c r="M881" s="308" t="s">
        <v>35717</v>
      </c>
      <c r="N881" s="308"/>
      <c r="O881" s="312" t="s">
        <v>3604</v>
      </c>
      <c r="P881" s="308" t="s">
        <v>35718</v>
      </c>
      <c r="Q881" s="308"/>
      <c r="R881" s="308"/>
      <c r="S881" s="315" t="s">
        <v>100</v>
      </c>
      <c r="T881" s="311" t="s">
        <v>34208</v>
      </c>
      <c r="U881" s="308" t="s">
        <v>31</v>
      </c>
      <c r="V881" s="312"/>
    </row>
    <row r="882">
      <c r="A882" s="308">
        <v>881.0</v>
      </c>
      <c r="B882" s="308">
        <v>4092.0</v>
      </c>
      <c r="C882" s="308" t="s">
        <v>35719</v>
      </c>
      <c r="D882" s="308">
        <f>IFERROR(__xludf.DUMMYFUNCTION("SPLIT(C882,""-"")"),894.0)</f>
        <v>894</v>
      </c>
      <c r="E882" s="311"/>
      <c r="F882" s="309" t="s">
        <v>34</v>
      </c>
      <c r="G882" s="308"/>
      <c r="H882" s="308" t="s">
        <v>3606</v>
      </c>
      <c r="I882" s="310">
        <v>39927.0</v>
      </c>
      <c r="J882" s="308">
        <f>IFERROR(__xludf.DUMMYFUNCTION("SPLIT(I882,""/"")"),24.0)</f>
        <v>24</v>
      </c>
      <c r="K882" s="308">
        <f>IFERROR(__xludf.DUMMYFUNCTION("""COMPUTED_VALUE"""),4.0)</f>
        <v>4</v>
      </c>
      <c r="L882" s="308">
        <f>IFERROR(__xludf.DUMMYFUNCTION("""COMPUTED_VALUE"""),2009.0)</f>
        <v>2009</v>
      </c>
      <c r="M882" s="308" t="s">
        <v>3607</v>
      </c>
      <c r="N882" s="308"/>
      <c r="O882" s="312" t="s">
        <v>635</v>
      </c>
      <c r="P882" s="308" t="s">
        <v>3608</v>
      </c>
      <c r="Q882" s="308"/>
      <c r="R882" s="308"/>
      <c r="S882" s="308" t="s">
        <v>81</v>
      </c>
      <c r="T882" s="308" t="s">
        <v>34264</v>
      </c>
      <c r="U882" s="308"/>
      <c r="V882" s="312"/>
    </row>
    <row r="883">
      <c r="A883" s="308">
        <v>882.0</v>
      </c>
      <c r="B883" s="308">
        <v>4093.0</v>
      </c>
      <c r="C883" s="308" t="s">
        <v>35720</v>
      </c>
      <c r="D883" s="308">
        <f>IFERROR(__xludf.DUMMYFUNCTION("SPLIT(C883,""-"")"),895.0)</f>
        <v>895</v>
      </c>
      <c r="E883" s="311"/>
      <c r="F883" s="309" t="s">
        <v>26</v>
      </c>
      <c r="G883" s="308"/>
      <c r="H883" s="308" t="s">
        <v>3609</v>
      </c>
      <c r="I883" s="316" t="s">
        <v>407</v>
      </c>
      <c r="J883" s="308" t="str">
        <f>IFERROR(__xludf.DUMMYFUNCTION("SPLIT(I883,""/"")"),"#REF!")</f>
        <v>#REF!</v>
      </c>
      <c r="K883" s="308"/>
      <c r="L883" s="311" t="s">
        <v>79</v>
      </c>
      <c r="M883" s="308" t="s">
        <v>3610</v>
      </c>
      <c r="N883" s="308"/>
      <c r="O883" s="312"/>
      <c r="P883" s="308" t="s">
        <v>35721</v>
      </c>
      <c r="Q883" s="308"/>
      <c r="R883" s="308"/>
      <c r="S883" s="315" t="s">
        <v>100</v>
      </c>
      <c r="T883" s="311" t="s">
        <v>34208</v>
      </c>
      <c r="U883" s="308"/>
      <c r="V883" s="312"/>
    </row>
    <row r="884">
      <c r="A884" s="308">
        <v>883.0</v>
      </c>
      <c r="B884" s="308">
        <v>4094.0</v>
      </c>
      <c r="C884" s="308" t="s">
        <v>35722</v>
      </c>
      <c r="D884" s="308">
        <f>IFERROR(__xludf.DUMMYFUNCTION("SPLIT(C884,""-"")"),896.0)</f>
        <v>896</v>
      </c>
      <c r="E884" s="311"/>
      <c r="F884" s="309" t="s">
        <v>34</v>
      </c>
      <c r="G884" s="308" t="s">
        <v>3611</v>
      </c>
      <c r="H884" s="308" t="s">
        <v>3612</v>
      </c>
      <c r="I884" s="310">
        <v>40086.0</v>
      </c>
      <c r="J884" s="308">
        <f>IFERROR(__xludf.DUMMYFUNCTION("SPLIT(I884,""/"")"),30.0)</f>
        <v>30</v>
      </c>
      <c r="K884" s="308">
        <f>IFERROR(__xludf.DUMMYFUNCTION("""COMPUTED_VALUE"""),9.0)</f>
        <v>9</v>
      </c>
      <c r="L884" s="308">
        <f>IFERROR(__xludf.DUMMYFUNCTION("""COMPUTED_VALUE"""),2009.0)</f>
        <v>2009</v>
      </c>
      <c r="M884" s="308" t="s">
        <v>3613</v>
      </c>
      <c r="N884" s="308"/>
      <c r="O884" s="312" t="s">
        <v>35723</v>
      </c>
      <c r="P884" s="308" t="s">
        <v>1971</v>
      </c>
      <c r="Q884" s="308"/>
      <c r="R884" s="308"/>
      <c r="S884" s="315" t="s">
        <v>100</v>
      </c>
      <c r="T884" s="311" t="s">
        <v>34208</v>
      </c>
      <c r="U884" s="308" t="s">
        <v>530</v>
      </c>
      <c r="V884" s="312"/>
    </row>
    <row r="885">
      <c r="A885" s="308">
        <v>884.0</v>
      </c>
      <c r="B885" s="308">
        <v>4095.0</v>
      </c>
      <c r="C885" s="308" t="s">
        <v>35724</v>
      </c>
      <c r="D885" s="308">
        <f>IFERROR(__xludf.DUMMYFUNCTION("SPLIT(C885,""-"")"),897.0)</f>
        <v>897</v>
      </c>
      <c r="E885" s="311"/>
      <c r="F885" s="309" t="s">
        <v>34</v>
      </c>
      <c r="G885" s="308" t="s">
        <v>3611</v>
      </c>
      <c r="H885" s="308" t="s">
        <v>3615</v>
      </c>
      <c r="I885" s="310">
        <v>40086.0</v>
      </c>
      <c r="J885" s="308">
        <f>IFERROR(__xludf.DUMMYFUNCTION("SPLIT(I885,""/"")"),30.0)</f>
        <v>30</v>
      </c>
      <c r="K885" s="308">
        <f>IFERROR(__xludf.DUMMYFUNCTION("""COMPUTED_VALUE"""),9.0)</f>
        <v>9</v>
      </c>
      <c r="L885" s="308">
        <f>IFERROR(__xludf.DUMMYFUNCTION("""COMPUTED_VALUE"""),2009.0)</f>
        <v>2009</v>
      </c>
      <c r="M885" s="308" t="s">
        <v>3616</v>
      </c>
      <c r="N885" s="308"/>
      <c r="O885" s="312" t="s">
        <v>35725</v>
      </c>
      <c r="P885" s="308" t="s">
        <v>1971</v>
      </c>
      <c r="Q885" s="308"/>
      <c r="R885" s="308"/>
      <c r="S885" s="315" t="s">
        <v>100</v>
      </c>
      <c r="T885" s="311" t="s">
        <v>34208</v>
      </c>
      <c r="U885" s="308" t="s">
        <v>530</v>
      </c>
      <c r="V885" s="312"/>
    </row>
    <row r="886">
      <c r="A886" s="308">
        <v>885.0</v>
      </c>
      <c r="B886" s="308">
        <v>4096.0</v>
      </c>
      <c r="C886" s="308" t="s">
        <v>35726</v>
      </c>
      <c r="D886" s="308">
        <f>IFERROR(__xludf.DUMMYFUNCTION("SPLIT(C886,""-"")"),898.0)</f>
        <v>898</v>
      </c>
      <c r="E886" s="311"/>
      <c r="F886" s="317" t="s">
        <v>37</v>
      </c>
      <c r="G886" s="308"/>
      <c r="H886" s="308" t="s">
        <v>3618</v>
      </c>
      <c r="I886" s="310">
        <v>38516.0</v>
      </c>
      <c r="J886" s="308">
        <f>IFERROR(__xludf.DUMMYFUNCTION("SPLIT(I886,""/"")"),13.0)</f>
        <v>13</v>
      </c>
      <c r="K886" s="308">
        <f>IFERROR(__xludf.DUMMYFUNCTION("""COMPUTED_VALUE"""),6.0)</f>
        <v>6</v>
      </c>
      <c r="L886" s="308">
        <f>IFERROR(__xludf.DUMMYFUNCTION("""COMPUTED_VALUE"""),2005.0)</f>
        <v>2005</v>
      </c>
      <c r="M886" s="308" t="s">
        <v>3619</v>
      </c>
      <c r="N886" s="308"/>
      <c r="O886" s="312" t="s">
        <v>35727</v>
      </c>
      <c r="P886" s="308" t="s">
        <v>34212</v>
      </c>
      <c r="Q886" s="308"/>
      <c r="R886" s="308"/>
      <c r="S886" s="315" t="s">
        <v>100</v>
      </c>
      <c r="T886" s="311" t="s">
        <v>34208</v>
      </c>
      <c r="U886" s="308"/>
      <c r="V886" s="312"/>
    </row>
    <row r="887">
      <c r="A887" s="308">
        <v>886.0</v>
      </c>
      <c r="B887" s="308">
        <v>4097.0</v>
      </c>
      <c r="C887" s="308" t="s">
        <v>35728</v>
      </c>
      <c r="D887" s="308">
        <f>IFERROR(__xludf.DUMMYFUNCTION("SPLIT(C887,""-"")"),899.0)</f>
        <v>899</v>
      </c>
      <c r="E887" s="311"/>
      <c r="F887" s="309" t="s">
        <v>34</v>
      </c>
      <c r="G887" s="308" t="s">
        <v>3621</v>
      </c>
      <c r="H887" s="308" t="s">
        <v>3622</v>
      </c>
      <c r="I887" s="310">
        <v>40001.0</v>
      </c>
      <c r="J887" s="308">
        <f>IFERROR(__xludf.DUMMYFUNCTION("SPLIT(I887,""/"")"),7.0)</f>
        <v>7</v>
      </c>
      <c r="K887" s="308">
        <f>IFERROR(__xludf.DUMMYFUNCTION("""COMPUTED_VALUE"""),7.0)</f>
        <v>7</v>
      </c>
      <c r="L887" s="308">
        <f>IFERROR(__xludf.DUMMYFUNCTION("""COMPUTED_VALUE"""),2009.0)</f>
        <v>2009</v>
      </c>
      <c r="M887" s="308" t="s">
        <v>3623</v>
      </c>
      <c r="N887" s="308"/>
      <c r="O887" s="312" t="s">
        <v>35729</v>
      </c>
      <c r="P887" s="308" t="s">
        <v>1971</v>
      </c>
      <c r="Q887" s="308"/>
      <c r="R887" s="308"/>
      <c r="S887" s="315" t="s">
        <v>100</v>
      </c>
      <c r="T887" s="311" t="s">
        <v>34208</v>
      </c>
      <c r="U887" s="308" t="s">
        <v>530</v>
      </c>
      <c r="V887" s="312"/>
    </row>
    <row r="888">
      <c r="A888" s="308">
        <v>887.0</v>
      </c>
      <c r="B888" s="308">
        <v>4098.0</v>
      </c>
      <c r="C888" s="308" t="s">
        <v>35730</v>
      </c>
      <c r="D888" s="308">
        <f>IFERROR(__xludf.DUMMYFUNCTION("SPLIT(C888,""-"")"),900.0)</f>
        <v>900</v>
      </c>
      <c r="E888" s="311"/>
      <c r="F888" s="309" t="s">
        <v>34</v>
      </c>
      <c r="G888" s="308" t="s">
        <v>3621</v>
      </c>
      <c r="H888" s="308" t="s">
        <v>3625</v>
      </c>
      <c r="I888" s="310">
        <v>40001.0</v>
      </c>
      <c r="J888" s="308">
        <f>IFERROR(__xludf.DUMMYFUNCTION("SPLIT(I888,""/"")"),7.0)</f>
        <v>7</v>
      </c>
      <c r="K888" s="308">
        <f>IFERROR(__xludf.DUMMYFUNCTION("""COMPUTED_VALUE"""),7.0)</f>
        <v>7</v>
      </c>
      <c r="L888" s="308">
        <f>IFERROR(__xludf.DUMMYFUNCTION("""COMPUTED_VALUE"""),2009.0)</f>
        <v>2009</v>
      </c>
      <c r="M888" s="308" t="s">
        <v>3623</v>
      </c>
      <c r="N888" s="308"/>
      <c r="O888" s="312" t="s">
        <v>35729</v>
      </c>
      <c r="P888" s="308" t="s">
        <v>35669</v>
      </c>
      <c r="Q888" s="308"/>
      <c r="R888" s="308"/>
      <c r="S888" s="315" t="s">
        <v>100</v>
      </c>
      <c r="T888" s="311" t="s">
        <v>34208</v>
      </c>
      <c r="U888" s="308" t="s">
        <v>530</v>
      </c>
      <c r="V888" s="312"/>
    </row>
    <row r="889">
      <c r="A889" s="308">
        <v>888.0</v>
      </c>
      <c r="B889" s="308">
        <v>4100.0</v>
      </c>
      <c r="C889" s="308" t="s">
        <v>35731</v>
      </c>
      <c r="D889" s="308">
        <f>IFERROR(__xludf.DUMMYFUNCTION("SPLIT(C889,""-"")"),902.0)</f>
        <v>902</v>
      </c>
      <c r="E889" s="311"/>
      <c r="F889" s="317" t="s">
        <v>39</v>
      </c>
      <c r="G889" s="308" t="s">
        <v>3626</v>
      </c>
      <c r="H889" s="308" t="s">
        <v>3627</v>
      </c>
      <c r="I889" s="310">
        <v>41155.0</v>
      </c>
      <c r="J889" s="308">
        <f>IFERROR(__xludf.DUMMYFUNCTION("SPLIT(I889,""/"")"),3.0)</f>
        <v>3</v>
      </c>
      <c r="K889" s="308">
        <f>IFERROR(__xludf.DUMMYFUNCTION("""COMPUTED_VALUE"""),9.0)</f>
        <v>9</v>
      </c>
      <c r="L889" s="308">
        <f>IFERROR(__xludf.DUMMYFUNCTION("""COMPUTED_VALUE"""),2012.0)</f>
        <v>2012</v>
      </c>
      <c r="M889" s="308" t="s">
        <v>3628</v>
      </c>
      <c r="N889" s="308"/>
      <c r="O889" s="312" t="s">
        <v>635</v>
      </c>
      <c r="P889" s="308" t="s">
        <v>3629</v>
      </c>
      <c r="Q889" s="308"/>
      <c r="R889" s="308"/>
      <c r="S889" s="308" t="s">
        <v>81</v>
      </c>
      <c r="T889" s="308" t="s">
        <v>73</v>
      </c>
      <c r="U889" s="308"/>
      <c r="V889" s="312"/>
    </row>
    <row r="890">
      <c r="A890" s="308">
        <v>889.0</v>
      </c>
      <c r="B890" s="308">
        <v>4101.0</v>
      </c>
      <c r="C890" s="308" t="s">
        <v>35732</v>
      </c>
      <c r="D890" s="308">
        <f>IFERROR(__xludf.DUMMYFUNCTION("SPLIT(C890,""-"")"),903.0)</f>
        <v>903</v>
      </c>
      <c r="E890" s="311"/>
      <c r="F890" s="309" t="s">
        <v>34</v>
      </c>
      <c r="G890" s="308" t="s">
        <v>3630</v>
      </c>
      <c r="H890" s="308" t="s">
        <v>3631</v>
      </c>
      <c r="I890" s="310">
        <v>40725.0</v>
      </c>
      <c r="J890" s="308">
        <f>IFERROR(__xludf.DUMMYFUNCTION("SPLIT(I890,""/"")"),1.0)</f>
        <v>1</v>
      </c>
      <c r="K890" s="308">
        <f>IFERROR(__xludf.DUMMYFUNCTION("""COMPUTED_VALUE"""),7.0)</f>
        <v>7</v>
      </c>
      <c r="L890" s="308">
        <f>IFERROR(__xludf.DUMMYFUNCTION("""COMPUTED_VALUE"""),2011.0)</f>
        <v>2011</v>
      </c>
      <c r="M890" s="308" t="s">
        <v>3632</v>
      </c>
      <c r="N890" s="308"/>
      <c r="O890" s="312" t="s">
        <v>3633</v>
      </c>
      <c r="P890" s="308" t="s">
        <v>3634</v>
      </c>
      <c r="Q890" s="308"/>
      <c r="R890" s="308"/>
      <c r="S890" s="308" t="s">
        <v>81</v>
      </c>
      <c r="T890" s="308" t="s">
        <v>34264</v>
      </c>
      <c r="U890" s="308"/>
      <c r="V890" s="312"/>
    </row>
    <row r="891">
      <c r="A891" s="308">
        <v>890.0</v>
      </c>
      <c r="B891" s="308">
        <v>4102.0</v>
      </c>
      <c r="C891" s="308" t="s">
        <v>3635</v>
      </c>
      <c r="D891" s="308">
        <f>IFERROR(__xludf.DUMMYFUNCTION("SPLIT(C891,""-"")"),904.0)</f>
        <v>904</v>
      </c>
      <c r="E891" s="308" t="str">
        <f>IFERROR(__xludf.DUMMYFUNCTION("""COMPUTED_VALUE"""),"K")</f>
        <v>K</v>
      </c>
      <c r="F891" s="309" t="s">
        <v>34</v>
      </c>
      <c r="G891" s="308" t="s">
        <v>3636</v>
      </c>
      <c r="H891" s="308" t="s">
        <v>3637</v>
      </c>
      <c r="I891" s="310">
        <v>40059.0</v>
      </c>
      <c r="J891" s="308">
        <f>IFERROR(__xludf.DUMMYFUNCTION("SPLIT(I891,""/"")"),3.0)</f>
        <v>3</v>
      </c>
      <c r="K891" s="308">
        <f>IFERROR(__xludf.DUMMYFUNCTION("""COMPUTED_VALUE"""),9.0)</f>
        <v>9</v>
      </c>
      <c r="L891" s="308">
        <f>IFERROR(__xludf.DUMMYFUNCTION("""COMPUTED_VALUE"""),2009.0)</f>
        <v>2009</v>
      </c>
      <c r="M891" s="308" t="s">
        <v>3638</v>
      </c>
      <c r="N891" s="308"/>
      <c r="O891" s="312" t="s">
        <v>35733</v>
      </c>
      <c r="P891" s="308" t="s">
        <v>35734</v>
      </c>
      <c r="Q891" s="308"/>
      <c r="R891" s="308"/>
      <c r="S891" s="315" t="s">
        <v>100</v>
      </c>
      <c r="T891" s="311" t="s">
        <v>34208</v>
      </c>
      <c r="U891" s="308" t="s">
        <v>530</v>
      </c>
      <c r="V891" s="312"/>
    </row>
    <row r="892">
      <c r="A892" s="308">
        <v>891.0</v>
      </c>
      <c r="B892" s="308">
        <v>4103.0</v>
      </c>
      <c r="C892" s="308" t="s">
        <v>3640</v>
      </c>
      <c r="D892" s="308">
        <f>IFERROR(__xludf.DUMMYFUNCTION("SPLIT(C892,""-"")"),905.0)</f>
        <v>905</v>
      </c>
      <c r="E892" s="308" t="str">
        <f>IFERROR(__xludf.DUMMYFUNCTION("""COMPUTED_VALUE"""),"K")</f>
        <v>K</v>
      </c>
      <c r="F892" s="309" t="s">
        <v>34</v>
      </c>
      <c r="G892" s="308" t="s">
        <v>3641</v>
      </c>
      <c r="H892" s="308" t="s">
        <v>3642</v>
      </c>
      <c r="I892" s="310">
        <v>40074.0</v>
      </c>
      <c r="J892" s="308">
        <f>IFERROR(__xludf.DUMMYFUNCTION("SPLIT(I892,""/"")"),18.0)</f>
        <v>18</v>
      </c>
      <c r="K892" s="308">
        <f>IFERROR(__xludf.DUMMYFUNCTION("""COMPUTED_VALUE"""),9.0)</f>
        <v>9</v>
      </c>
      <c r="L892" s="308">
        <f>IFERROR(__xludf.DUMMYFUNCTION("""COMPUTED_VALUE"""),2009.0)</f>
        <v>2009</v>
      </c>
      <c r="M892" s="308" t="s">
        <v>3643</v>
      </c>
      <c r="N892" s="308"/>
      <c r="O892" s="312" t="s">
        <v>35735</v>
      </c>
      <c r="P892" s="308" t="s">
        <v>1872</v>
      </c>
      <c r="Q892" s="308"/>
      <c r="R892" s="308"/>
      <c r="S892" s="315" t="s">
        <v>100</v>
      </c>
      <c r="T892" s="311" t="s">
        <v>34208</v>
      </c>
      <c r="U892" s="308"/>
      <c r="V892" s="312"/>
    </row>
    <row r="893">
      <c r="A893" s="308">
        <v>892.0</v>
      </c>
      <c r="B893" s="308">
        <v>4104.0</v>
      </c>
      <c r="C893" s="308" t="s">
        <v>3645</v>
      </c>
      <c r="D893" s="308">
        <f>IFERROR(__xludf.DUMMYFUNCTION("SPLIT(C893,""-"")"),906.0)</f>
        <v>906</v>
      </c>
      <c r="E893" s="308" t="str">
        <f>IFERROR(__xludf.DUMMYFUNCTION("""COMPUTED_VALUE"""),"K")</f>
        <v>K</v>
      </c>
      <c r="F893" s="309" t="s">
        <v>34</v>
      </c>
      <c r="G893" s="308" t="s">
        <v>3641</v>
      </c>
      <c r="H893" s="308" t="s">
        <v>3646</v>
      </c>
      <c r="I893" s="310">
        <v>40074.0</v>
      </c>
      <c r="J893" s="308">
        <f>IFERROR(__xludf.DUMMYFUNCTION("SPLIT(I893,""/"")"),18.0)</f>
        <v>18</v>
      </c>
      <c r="K893" s="308">
        <f>IFERROR(__xludf.DUMMYFUNCTION("""COMPUTED_VALUE"""),9.0)</f>
        <v>9</v>
      </c>
      <c r="L893" s="308">
        <f>IFERROR(__xludf.DUMMYFUNCTION("""COMPUTED_VALUE"""),2009.0)</f>
        <v>2009</v>
      </c>
      <c r="M893" s="308" t="s">
        <v>3643</v>
      </c>
      <c r="N893" s="308"/>
      <c r="O893" s="312" t="s">
        <v>35735</v>
      </c>
      <c r="P893" s="308" t="s">
        <v>1872</v>
      </c>
      <c r="Q893" s="308"/>
      <c r="R893" s="308"/>
      <c r="S893" s="315" t="s">
        <v>100</v>
      </c>
      <c r="T893" s="311" t="s">
        <v>34208</v>
      </c>
      <c r="U893" s="308"/>
      <c r="V893" s="312"/>
    </row>
    <row r="894">
      <c r="A894" s="308">
        <v>893.0</v>
      </c>
      <c r="B894" s="308">
        <v>4105.0</v>
      </c>
      <c r="C894" s="308" t="s">
        <v>3647</v>
      </c>
      <c r="D894" s="308">
        <f>IFERROR(__xludf.DUMMYFUNCTION("SPLIT(C894,""-"")"),907.0)</f>
        <v>907</v>
      </c>
      <c r="E894" s="308" t="str">
        <f>IFERROR(__xludf.DUMMYFUNCTION("""COMPUTED_VALUE"""),"K")</f>
        <v>K</v>
      </c>
      <c r="F894" s="309" t="s">
        <v>34</v>
      </c>
      <c r="G894" s="308" t="s">
        <v>3641</v>
      </c>
      <c r="H894" s="308" t="s">
        <v>3648</v>
      </c>
      <c r="I894" s="310">
        <v>40591.0</v>
      </c>
      <c r="J894" s="308">
        <f>IFERROR(__xludf.DUMMYFUNCTION("SPLIT(I894,""/"")"),17.0)</f>
        <v>17</v>
      </c>
      <c r="K894" s="308">
        <f>IFERROR(__xludf.DUMMYFUNCTION("""COMPUTED_VALUE"""),2.0)</f>
        <v>2</v>
      </c>
      <c r="L894" s="308">
        <f>IFERROR(__xludf.DUMMYFUNCTION("""COMPUTED_VALUE"""),2011.0)</f>
        <v>2011</v>
      </c>
      <c r="M894" s="308" t="s">
        <v>3643</v>
      </c>
      <c r="N894" s="308"/>
      <c r="O894" s="312" t="s">
        <v>35735</v>
      </c>
      <c r="P894" s="308" t="s">
        <v>1872</v>
      </c>
      <c r="Q894" s="308"/>
      <c r="R894" s="308"/>
      <c r="S894" s="315" t="s">
        <v>100</v>
      </c>
      <c r="T894" s="311" t="s">
        <v>34208</v>
      </c>
      <c r="U894" s="308"/>
      <c r="V894" s="312"/>
    </row>
    <row r="895">
      <c r="A895" s="308">
        <v>894.0</v>
      </c>
      <c r="B895" s="308">
        <v>4106.0</v>
      </c>
      <c r="C895" s="308" t="s">
        <v>3649</v>
      </c>
      <c r="D895" s="308">
        <f>IFERROR(__xludf.DUMMYFUNCTION("SPLIT(C895,""-"")"),908.0)</f>
        <v>908</v>
      </c>
      <c r="E895" s="308" t="str">
        <f>IFERROR(__xludf.DUMMYFUNCTION("""COMPUTED_VALUE"""),"K")</f>
        <v>K</v>
      </c>
      <c r="F895" s="309" t="s">
        <v>34</v>
      </c>
      <c r="G895" s="308" t="s">
        <v>3641</v>
      </c>
      <c r="H895" s="308" t="s">
        <v>3650</v>
      </c>
      <c r="I895" s="310">
        <v>40078.0</v>
      </c>
      <c r="J895" s="308">
        <f>IFERROR(__xludf.DUMMYFUNCTION("SPLIT(I895,""/"")"),22.0)</f>
        <v>22</v>
      </c>
      <c r="K895" s="308">
        <f>IFERROR(__xludf.DUMMYFUNCTION("""COMPUTED_VALUE"""),9.0)</f>
        <v>9</v>
      </c>
      <c r="L895" s="308">
        <f>IFERROR(__xludf.DUMMYFUNCTION("""COMPUTED_VALUE"""),2009.0)</f>
        <v>2009</v>
      </c>
      <c r="M895" s="308" t="s">
        <v>3643</v>
      </c>
      <c r="N895" s="308"/>
      <c r="O895" s="312" t="s">
        <v>35735</v>
      </c>
      <c r="P895" s="308" t="s">
        <v>1872</v>
      </c>
      <c r="Q895" s="308"/>
      <c r="R895" s="308"/>
      <c r="S895" s="315" t="s">
        <v>100</v>
      </c>
      <c r="T895" s="311" t="s">
        <v>34208</v>
      </c>
      <c r="U895" s="308"/>
      <c r="V895" s="312"/>
    </row>
    <row r="896">
      <c r="A896" s="308">
        <v>895.0</v>
      </c>
      <c r="B896" s="308">
        <v>4107.0</v>
      </c>
      <c r="C896" s="308" t="s">
        <v>3651</v>
      </c>
      <c r="D896" s="308">
        <f>IFERROR(__xludf.DUMMYFUNCTION("SPLIT(C896,""-"")"),909.0)</f>
        <v>909</v>
      </c>
      <c r="E896" s="308" t="str">
        <f>IFERROR(__xludf.DUMMYFUNCTION("""COMPUTED_VALUE"""),"K")</f>
        <v>K</v>
      </c>
      <c r="F896" s="309" t="s">
        <v>34</v>
      </c>
      <c r="G896" s="308" t="s">
        <v>3652</v>
      </c>
      <c r="H896" s="308" t="s">
        <v>3653</v>
      </c>
      <c r="I896" s="310">
        <v>40063.0</v>
      </c>
      <c r="J896" s="308">
        <f>IFERROR(__xludf.DUMMYFUNCTION("SPLIT(I896,""/"")"),7.0)</f>
        <v>7</v>
      </c>
      <c r="K896" s="308">
        <f>IFERROR(__xludf.DUMMYFUNCTION("""COMPUTED_VALUE"""),9.0)</f>
        <v>9</v>
      </c>
      <c r="L896" s="308">
        <f>IFERROR(__xludf.DUMMYFUNCTION("""COMPUTED_VALUE"""),2009.0)</f>
        <v>2009</v>
      </c>
      <c r="M896" s="308" t="s">
        <v>35736</v>
      </c>
      <c r="N896" s="308"/>
      <c r="O896" s="312" t="s">
        <v>3655</v>
      </c>
      <c r="P896" s="308" t="s">
        <v>3656</v>
      </c>
      <c r="Q896" s="308"/>
      <c r="R896" s="308"/>
      <c r="S896" s="308" t="s">
        <v>81</v>
      </c>
      <c r="T896" s="311" t="s">
        <v>85</v>
      </c>
      <c r="U896" s="308"/>
      <c r="V896" s="312"/>
    </row>
    <row r="897">
      <c r="A897" s="308">
        <v>896.0</v>
      </c>
      <c r="B897" s="308">
        <v>4108.0</v>
      </c>
      <c r="C897" s="308" t="s">
        <v>3657</v>
      </c>
      <c r="D897" s="308">
        <f>IFERROR(__xludf.DUMMYFUNCTION("SPLIT(C897,""-"")"),910.0)</f>
        <v>910</v>
      </c>
      <c r="E897" s="308" t="str">
        <f>IFERROR(__xludf.DUMMYFUNCTION("""COMPUTED_VALUE"""),"K")</f>
        <v>K</v>
      </c>
      <c r="F897" s="309" t="s">
        <v>34</v>
      </c>
      <c r="G897" s="308" t="s">
        <v>3652</v>
      </c>
      <c r="H897" s="308" t="s">
        <v>3658</v>
      </c>
      <c r="I897" s="310">
        <v>40063.0</v>
      </c>
      <c r="J897" s="308">
        <f>IFERROR(__xludf.DUMMYFUNCTION("SPLIT(I897,""/"")"),7.0)</f>
        <v>7</v>
      </c>
      <c r="K897" s="308">
        <f>IFERROR(__xludf.DUMMYFUNCTION("""COMPUTED_VALUE"""),9.0)</f>
        <v>9</v>
      </c>
      <c r="L897" s="308">
        <f>IFERROR(__xludf.DUMMYFUNCTION("""COMPUTED_VALUE"""),2009.0)</f>
        <v>2009</v>
      </c>
      <c r="M897" s="308" t="s">
        <v>35736</v>
      </c>
      <c r="N897" s="308"/>
      <c r="O897" s="312" t="s">
        <v>3655</v>
      </c>
      <c r="P897" s="308" t="s">
        <v>3656</v>
      </c>
      <c r="Q897" s="308"/>
      <c r="R897" s="308"/>
      <c r="S897" s="308" t="s">
        <v>81</v>
      </c>
      <c r="T897" s="311" t="s">
        <v>85</v>
      </c>
      <c r="U897" s="308"/>
      <c r="V897" s="312"/>
    </row>
    <row r="898">
      <c r="A898" s="308">
        <v>897.0</v>
      </c>
      <c r="B898" s="308">
        <v>4109.0</v>
      </c>
      <c r="C898" s="308" t="s">
        <v>3659</v>
      </c>
      <c r="D898" s="308">
        <f>IFERROR(__xludf.DUMMYFUNCTION("SPLIT(C898,""-"")"),911.0)</f>
        <v>911</v>
      </c>
      <c r="E898" s="308" t="str">
        <f>IFERROR(__xludf.DUMMYFUNCTION("""COMPUTED_VALUE"""),"K")</f>
        <v>K</v>
      </c>
      <c r="F898" s="309" t="s">
        <v>34</v>
      </c>
      <c r="G898" s="308" t="s">
        <v>3660</v>
      </c>
      <c r="H898" s="308" t="s">
        <v>3661</v>
      </c>
      <c r="I898" s="310">
        <v>40001.0</v>
      </c>
      <c r="J898" s="308">
        <f>IFERROR(__xludf.DUMMYFUNCTION("SPLIT(I898,""/"")"),7.0)</f>
        <v>7</v>
      </c>
      <c r="K898" s="308">
        <f>IFERROR(__xludf.DUMMYFUNCTION("""COMPUTED_VALUE"""),7.0)</f>
        <v>7</v>
      </c>
      <c r="L898" s="308">
        <f>IFERROR(__xludf.DUMMYFUNCTION("""COMPUTED_VALUE"""),2009.0)</f>
        <v>2009</v>
      </c>
      <c r="M898" s="308" t="s">
        <v>3662</v>
      </c>
      <c r="N898" s="308"/>
      <c r="O898" s="312" t="s">
        <v>35737</v>
      </c>
      <c r="P898" s="308" t="s">
        <v>1392</v>
      </c>
      <c r="Q898" s="308"/>
      <c r="R898" s="308"/>
      <c r="S898" s="308" t="s">
        <v>49</v>
      </c>
      <c r="T898" s="315" t="s">
        <v>69</v>
      </c>
      <c r="U898" s="308" t="s">
        <v>530</v>
      </c>
      <c r="V898" s="312"/>
    </row>
    <row r="899">
      <c r="A899" s="308">
        <v>898.0</v>
      </c>
      <c r="B899" s="308">
        <v>4110.0</v>
      </c>
      <c r="C899" s="308" t="s">
        <v>3664</v>
      </c>
      <c r="D899" s="308">
        <f>IFERROR(__xludf.DUMMYFUNCTION("SPLIT(C899,""-"")"),912.0)</f>
        <v>912</v>
      </c>
      <c r="E899" s="308" t="str">
        <f>IFERROR(__xludf.DUMMYFUNCTION("""COMPUTED_VALUE"""),"K")</f>
        <v>K</v>
      </c>
      <c r="F899" s="309" t="s">
        <v>34</v>
      </c>
      <c r="G899" s="308" t="s">
        <v>3660</v>
      </c>
      <c r="H899" s="308" t="s">
        <v>3665</v>
      </c>
      <c r="I899" s="310">
        <v>40001.0</v>
      </c>
      <c r="J899" s="308">
        <f>IFERROR(__xludf.DUMMYFUNCTION("SPLIT(I899,""/"")"),7.0)</f>
        <v>7</v>
      </c>
      <c r="K899" s="308">
        <f>IFERROR(__xludf.DUMMYFUNCTION("""COMPUTED_VALUE"""),7.0)</f>
        <v>7</v>
      </c>
      <c r="L899" s="308">
        <f>IFERROR(__xludf.DUMMYFUNCTION("""COMPUTED_VALUE"""),2009.0)</f>
        <v>2009</v>
      </c>
      <c r="M899" s="308" t="s">
        <v>3666</v>
      </c>
      <c r="N899" s="308"/>
      <c r="O899" s="312" t="s">
        <v>35737</v>
      </c>
      <c r="P899" s="308" t="s">
        <v>1392</v>
      </c>
      <c r="Q899" s="308"/>
      <c r="R899" s="308"/>
      <c r="S899" s="308" t="s">
        <v>49</v>
      </c>
      <c r="T899" s="315" t="s">
        <v>69</v>
      </c>
      <c r="U899" s="308" t="s">
        <v>530</v>
      </c>
      <c r="V899" s="312"/>
    </row>
    <row r="900">
      <c r="A900" s="308">
        <v>899.0</v>
      </c>
      <c r="B900" s="308">
        <v>4111.0</v>
      </c>
      <c r="C900" s="308" t="s">
        <v>3667</v>
      </c>
      <c r="D900" s="308">
        <f>IFERROR(__xludf.DUMMYFUNCTION("SPLIT(C900,""-"")"),913.0)</f>
        <v>913</v>
      </c>
      <c r="E900" s="308" t="str">
        <f>IFERROR(__xludf.DUMMYFUNCTION("""COMPUTED_VALUE"""),"P")</f>
        <v>P</v>
      </c>
      <c r="F900" s="312" t="s">
        <v>37</v>
      </c>
      <c r="G900" s="308"/>
      <c r="H900" s="308" t="s">
        <v>35738</v>
      </c>
      <c r="I900" s="310">
        <v>41118.0</v>
      </c>
      <c r="J900" s="308">
        <f>IFERROR(__xludf.DUMMYFUNCTION("SPLIT(I900,""/"")"),28.0)</f>
        <v>28</v>
      </c>
      <c r="K900" s="308">
        <f>IFERROR(__xludf.DUMMYFUNCTION("""COMPUTED_VALUE"""),7.0)</f>
        <v>7</v>
      </c>
      <c r="L900" s="308">
        <f>IFERROR(__xludf.DUMMYFUNCTION("""COMPUTED_VALUE"""),2012.0)</f>
        <v>2012</v>
      </c>
      <c r="M900" s="308" t="s">
        <v>3669</v>
      </c>
      <c r="N900" s="308"/>
      <c r="O900" s="312" t="s">
        <v>3670</v>
      </c>
      <c r="P900" s="308" t="s">
        <v>2747</v>
      </c>
      <c r="Q900" s="308"/>
      <c r="R900" s="308"/>
      <c r="S900" s="315" t="s">
        <v>100</v>
      </c>
      <c r="T900" s="311" t="s">
        <v>34208</v>
      </c>
      <c r="U900" s="308" t="s">
        <v>2748</v>
      </c>
      <c r="V900" s="312"/>
    </row>
    <row r="901">
      <c r="A901" s="308">
        <v>900.0</v>
      </c>
      <c r="B901" s="308">
        <v>4112.0</v>
      </c>
      <c r="C901" s="308" t="s">
        <v>35739</v>
      </c>
      <c r="D901" s="308">
        <f>IFERROR(__xludf.DUMMYFUNCTION("SPLIT(C901,""-"")"),914.0)</f>
        <v>914</v>
      </c>
      <c r="E901" s="311"/>
      <c r="F901" s="309" t="s">
        <v>34</v>
      </c>
      <c r="G901" s="308"/>
      <c r="H901" s="308" t="s">
        <v>3671</v>
      </c>
      <c r="I901" s="310">
        <v>40982.0</v>
      </c>
      <c r="J901" s="308">
        <f>IFERROR(__xludf.DUMMYFUNCTION("SPLIT(I901,""/"")"),14.0)</f>
        <v>14</v>
      </c>
      <c r="K901" s="308">
        <f>IFERROR(__xludf.DUMMYFUNCTION("""COMPUTED_VALUE"""),3.0)</f>
        <v>3</v>
      </c>
      <c r="L901" s="308">
        <f>IFERROR(__xludf.DUMMYFUNCTION("""COMPUTED_VALUE"""),2012.0)</f>
        <v>2012</v>
      </c>
      <c r="M901" s="308" t="s">
        <v>3672</v>
      </c>
      <c r="N901" s="308"/>
      <c r="O901" s="312" t="s">
        <v>3673</v>
      </c>
      <c r="P901" s="308" t="s">
        <v>3674</v>
      </c>
      <c r="Q901" s="308"/>
      <c r="R901" s="308"/>
      <c r="S901" s="308" t="s">
        <v>81</v>
      </c>
      <c r="T901" s="311" t="s">
        <v>75</v>
      </c>
      <c r="U901" s="308"/>
      <c r="V901" s="312"/>
    </row>
    <row r="902">
      <c r="A902" s="308">
        <v>901.0</v>
      </c>
      <c r="B902" s="308">
        <v>4113.0</v>
      </c>
      <c r="C902" s="308" t="s">
        <v>3675</v>
      </c>
      <c r="D902" s="308">
        <f>IFERROR(__xludf.DUMMYFUNCTION("SPLIT(C902,""-"")"),915.0)</f>
        <v>915</v>
      </c>
      <c r="E902" s="308" t="str">
        <f>IFERROR(__xludf.DUMMYFUNCTION("""COMPUTED_VALUE"""),"K")</f>
        <v>K</v>
      </c>
      <c r="F902" s="309" t="s">
        <v>34</v>
      </c>
      <c r="G902" s="308"/>
      <c r="H902" s="308" t="s">
        <v>3676</v>
      </c>
      <c r="I902" s="310">
        <v>40072.0</v>
      </c>
      <c r="J902" s="308">
        <f>IFERROR(__xludf.DUMMYFUNCTION("SPLIT(I902,""/"")"),16.0)</f>
        <v>16</v>
      </c>
      <c r="K902" s="308">
        <f>IFERROR(__xludf.DUMMYFUNCTION("""COMPUTED_VALUE"""),9.0)</f>
        <v>9</v>
      </c>
      <c r="L902" s="308">
        <f>IFERROR(__xludf.DUMMYFUNCTION("""COMPUTED_VALUE"""),2009.0)</f>
        <v>2009</v>
      </c>
      <c r="M902" s="308" t="s">
        <v>3677</v>
      </c>
      <c r="N902" s="308"/>
      <c r="O902" s="312" t="s">
        <v>3678</v>
      </c>
      <c r="P902" s="308" t="s">
        <v>35028</v>
      </c>
      <c r="Q902" s="308"/>
      <c r="R902" s="308" t="s">
        <v>3679</v>
      </c>
      <c r="S902" s="308" t="s">
        <v>49</v>
      </c>
      <c r="T902" s="308" t="s">
        <v>69</v>
      </c>
      <c r="U902" s="308" t="s">
        <v>35533</v>
      </c>
      <c r="V902" s="312"/>
    </row>
    <row r="903">
      <c r="A903" s="308">
        <v>902.0</v>
      </c>
      <c r="B903" s="308">
        <v>4114.0</v>
      </c>
      <c r="C903" s="308" t="s">
        <v>3680</v>
      </c>
      <c r="D903" s="308">
        <f>IFERROR(__xludf.DUMMYFUNCTION("SPLIT(C903,""-"")"),916.0)</f>
        <v>916</v>
      </c>
      <c r="E903" s="308" t="str">
        <f>IFERROR(__xludf.DUMMYFUNCTION("""COMPUTED_VALUE"""),"K")</f>
        <v>K</v>
      </c>
      <c r="F903" s="309" t="s">
        <v>34</v>
      </c>
      <c r="G903" s="308"/>
      <c r="H903" s="308" t="s">
        <v>3681</v>
      </c>
      <c r="I903" s="310">
        <v>40066.0</v>
      </c>
      <c r="J903" s="308">
        <f>IFERROR(__xludf.DUMMYFUNCTION("SPLIT(I903,""/"")"),10.0)</f>
        <v>10</v>
      </c>
      <c r="K903" s="308">
        <f>IFERROR(__xludf.DUMMYFUNCTION("""COMPUTED_VALUE"""),9.0)</f>
        <v>9</v>
      </c>
      <c r="L903" s="308">
        <f>IFERROR(__xludf.DUMMYFUNCTION("""COMPUTED_VALUE"""),2009.0)</f>
        <v>2009</v>
      </c>
      <c r="M903" s="308" t="s">
        <v>3682</v>
      </c>
      <c r="N903" s="308"/>
      <c r="O903" s="312" t="s">
        <v>3683</v>
      </c>
      <c r="P903" s="308" t="s">
        <v>35740</v>
      </c>
      <c r="Q903" s="308"/>
      <c r="R903" s="308"/>
      <c r="S903" s="308" t="s">
        <v>49</v>
      </c>
      <c r="T903" s="308" t="s">
        <v>69</v>
      </c>
      <c r="U903" s="308" t="s">
        <v>35533</v>
      </c>
      <c r="V903" s="312"/>
    </row>
    <row r="904">
      <c r="A904" s="308">
        <v>903.0</v>
      </c>
      <c r="B904" s="308">
        <v>4115.0</v>
      </c>
      <c r="C904" s="308" t="s">
        <v>3684</v>
      </c>
      <c r="D904" s="308">
        <f>IFERROR(__xludf.DUMMYFUNCTION("SPLIT(C904,""-"")"),917.0)</f>
        <v>917</v>
      </c>
      <c r="E904" s="308" t="str">
        <f>IFERROR(__xludf.DUMMYFUNCTION("""COMPUTED_VALUE"""),"P")</f>
        <v>P</v>
      </c>
      <c r="F904" s="312" t="s">
        <v>37</v>
      </c>
      <c r="G904" s="308" t="s">
        <v>3685</v>
      </c>
      <c r="H904" s="308" t="s">
        <v>3686</v>
      </c>
      <c r="I904" s="310">
        <v>41151.0</v>
      </c>
      <c r="J904" s="308">
        <f>IFERROR(__xludf.DUMMYFUNCTION("SPLIT(I904,""/"")"),30.0)</f>
        <v>30</v>
      </c>
      <c r="K904" s="308">
        <f>IFERROR(__xludf.DUMMYFUNCTION("""COMPUTED_VALUE"""),8.0)</f>
        <v>8</v>
      </c>
      <c r="L904" s="308">
        <f>IFERROR(__xludf.DUMMYFUNCTION("""COMPUTED_VALUE"""),2012.0)</f>
        <v>2012</v>
      </c>
      <c r="M904" s="308" t="s">
        <v>3687</v>
      </c>
      <c r="N904" s="308"/>
      <c r="O904" s="312" t="s">
        <v>3688</v>
      </c>
      <c r="P904" s="308" t="s">
        <v>3689</v>
      </c>
      <c r="Q904" s="308"/>
      <c r="R904" s="308"/>
      <c r="S904" s="315" t="s">
        <v>100</v>
      </c>
      <c r="T904" s="311" t="s">
        <v>34208</v>
      </c>
      <c r="U904" s="308" t="s">
        <v>3690</v>
      </c>
      <c r="V904" s="312"/>
    </row>
    <row r="905">
      <c r="A905" s="308">
        <v>904.0</v>
      </c>
      <c r="B905" s="308">
        <v>4116.0</v>
      </c>
      <c r="C905" s="308" t="s">
        <v>35741</v>
      </c>
      <c r="D905" s="308">
        <f>IFERROR(__xludf.DUMMYFUNCTION("SPLIT(C905,""-"")"),918.0)</f>
        <v>918</v>
      </c>
      <c r="E905" s="311"/>
      <c r="F905" s="309" t="s">
        <v>31</v>
      </c>
      <c r="G905" s="308"/>
      <c r="H905" s="308" t="s">
        <v>3691</v>
      </c>
      <c r="I905" s="310">
        <v>41176.0</v>
      </c>
      <c r="J905" s="308">
        <f>IFERROR(__xludf.DUMMYFUNCTION("SPLIT(I905,""/"")"),24.0)</f>
        <v>24</v>
      </c>
      <c r="K905" s="308">
        <f>IFERROR(__xludf.DUMMYFUNCTION("""COMPUTED_VALUE"""),9.0)</f>
        <v>9</v>
      </c>
      <c r="L905" s="308">
        <f>IFERROR(__xludf.DUMMYFUNCTION("""COMPUTED_VALUE"""),2012.0)</f>
        <v>2012</v>
      </c>
      <c r="M905" s="308" t="s">
        <v>3692</v>
      </c>
      <c r="N905" s="308"/>
      <c r="O905" s="312" t="s">
        <v>35742</v>
      </c>
      <c r="P905" s="308" t="s">
        <v>3694</v>
      </c>
      <c r="Q905" s="308"/>
      <c r="R905" s="308"/>
      <c r="S905" s="308" t="s">
        <v>81</v>
      </c>
      <c r="T905" s="311" t="s">
        <v>77</v>
      </c>
      <c r="U905" s="308"/>
      <c r="V905" s="312"/>
    </row>
    <row r="906">
      <c r="A906" s="308">
        <v>905.0</v>
      </c>
      <c r="B906" s="308">
        <v>4117.0</v>
      </c>
      <c r="C906" s="308" t="s">
        <v>35743</v>
      </c>
      <c r="D906" s="308">
        <f>IFERROR(__xludf.DUMMYFUNCTION("SPLIT(C906,""-"")"),919.0)</f>
        <v>919</v>
      </c>
      <c r="E906" s="311"/>
      <c r="F906" s="309" t="s">
        <v>31</v>
      </c>
      <c r="G906" s="308"/>
      <c r="H906" s="308" t="s">
        <v>3695</v>
      </c>
      <c r="I906" s="310">
        <v>41171.0</v>
      </c>
      <c r="J906" s="308">
        <f>IFERROR(__xludf.DUMMYFUNCTION("SPLIT(I906,""/"")"),19.0)</f>
        <v>19</v>
      </c>
      <c r="K906" s="308">
        <f>IFERROR(__xludf.DUMMYFUNCTION("""COMPUTED_VALUE"""),9.0)</f>
        <v>9</v>
      </c>
      <c r="L906" s="308">
        <f>IFERROR(__xludf.DUMMYFUNCTION("""COMPUTED_VALUE"""),2012.0)</f>
        <v>2012</v>
      </c>
      <c r="M906" s="308" t="s">
        <v>3696</v>
      </c>
      <c r="N906" s="308"/>
      <c r="O906" s="312" t="s">
        <v>3697</v>
      </c>
      <c r="P906" s="308" t="s">
        <v>2675</v>
      </c>
      <c r="Q906" s="308"/>
      <c r="R906" s="308"/>
      <c r="S906" s="308" t="s">
        <v>49</v>
      </c>
      <c r="T906" s="308" t="s">
        <v>51</v>
      </c>
      <c r="U906" s="308"/>
      <c r="V906" s="312"/>
    </row>
    <row r="907">
      <c r="A907" s="308">
        <v>906.0</v>
      </c>
      <c r="B907" s="308">
        <v>4118.0</v>
      </c>
      <c r="C907" s="308" t="s">
        <v>35744</v>
      </c>
      <c r="D907" s="308">
        <f>IFERROR(__xludf.DUMMYFUNCTION("SPLIT(C907,""-"")"),920.0)</f>
        <v>920</v>
      </c>
      <c r="E907" s="311"/>
      <c r="F907" s="309" t="s">
        <v>34</v>
      </c>
      <c r="G907" s="308" t="s">
        <v>3698</v>
      </c>
      <c r="H907" s="308" t="s">
        <v>3699</v>
      </c>
      <c r="I907" s="314">
        <v>40890.0</v>
      </c>
      <c r="J907" s="308">
        <f>IFERROR(__xludf.DUMMYFUNCTION("SPLIT(I907,""/"")"),13.0)</f>
        <v>13</v>
      </c>
      <c r="K907" s="308">
        <f>IFERROR(__xludf.DUMMYFUNCTION("""COMPUTED_VALUE"""),12.0)</f>
        <v>12</v>
      </c>
      <c r="L907" s="308">
        <f>IFERROR(__xludf.DUMMYFUNCTION("""COMPUTED_VALUE"""),2011.0)</f>
        <v>2011</v>
      </c>
      <c r="M907" s="308" t="s">
        <v>35745</v>
      </c>
      <c r="N907" s="308"/>
      <c r="O907" s="312" t="s">
        <v>635</v>
      </c>
      <c r="P907" s="308" t="s">
        <v>3701</v>
      </c>
      <c r="Q907" s="308"/>
      <c r="R907" s="308"/>
      <c r="S907" s="308" t="s">
        <v>81</v>
      </c>
      <c r="T907" s="308" t="s">
        <v>75</v>
      </c>
      <c r="U907" s="308"/>
      <c r="V907" s="312"/>
    </row>
    <row r="908">
      <c r="A908" s="308">
        <v>907.0</v>
      </c>
      <c r="B908" s="308">
        <v>4119.0</v>
      </c>
      <c r="C908" s="308" t="s">
        <v>35746</v>
      </c>
      <c r="D908" s="308">
        <f>IFERROR(__xludf.DUMMYFUNCTION("SPLIT(C908,""-"")"),921.0)</f>
        <v>921</v>
      </c>
      <c r="E908" s="311"/>
      <c r="F908" s="309" t="s">
        <v>34</v>
      </c>
      <c r="G908" s="308" t="s">
        <v>3698</v>
      </c>
      <c r="H908" s="308" t="s">
        <v>35747</v>
      </c>
      <c r="I908" s="314">
        <v>40890.0</v>
      </c>
      <c r="J908" s="308">
        <f>IFERROR(__xludf.DUMMYFUNCTION("SPLIT(I908,""/"")"),13.0)</f>
        <v>13</v>
      </c>
      <c r="K908" s="308">
        <f>IFERROR(__xludf.DUMMYFUNCTION("""COMPUTED_VALUE"""),12.0)</f>
        <v>12</v>
      </c>
      <c r="L908" s="308">
        <f>IFERROR(__xludf.DUMMYFUNCTION("""COMPUTED_VALUE"""),2011.0)</f>
        <v>2011</v>
      </c>
      <c r="M908" s="308" t="s">
        <v>35748</v>
      </c>
      <c r="N908" s="308"/>
      <c r="O908" s="312" t="s">
        <v>635</v>
      </c>
      <c r="P908" s="308" t="s">
        <v>3701</v>
      </c>
      <c r="Q908" s="308"/>
      <c r="R908" s="308"/>
      <c r="S908" s="308" t="s">
        <v>81</v>
      </c>
      <c r="T908" s="308" t="s">
        <v>75</v>
      </c>
      <c r="U908" s="308"/>
      <c r="V908" s="312"/>
    </row>
    <row r="909">
      <c r="A909" s="308">
        <v>908.0</v>
      </c>
      <c r="B909" s="308">
        <v>4120.0</v>
      </c>
      <c r="C909" s="308" t="s">
        <v>35749</v>
      </c>
      <c r="D909" s="308">
        <f>IFERROR(__xludf.DUMMYFUNCTION("SPLIT(C909,""-"")"),923.0)</f>
        <v>923</v>
      </c>
      <c r="E909" s="311"/>
      <c r="F909" s="309" t="s">
        <v>34</v>
      </c>
      <c r="G909" s="308" t="s">
        <v>3698</v>
      </c>
      <c r="H909" s="308" t="s">
        <v>35750</v>
      </c>
      <c r="I909" s="314">
        <v>40890.0</v>
      </c>
      <c r="J909" s="308">
        <f>IFERROR(__xludf.DUMMYFUNCTION("SPLIT(I909,""/"")"),13.0)</f>
        <v>13</v>
      </c>
      <c r="K909" s="308">
        <f>IFERROR(__xludf.DUMMYFUNCTION("""COMPUTED_VALUE"""),12.0)</f>
        <v>12</v>
      </c>
      <c r="L909" s="308">
        <f>IFERROR(__xludf.DUMMYFUNCTION("""COMPUTED_VALUE"""),2011.0)</f>
        <v>2011</v>
      </c>
      <c r="M909" s="308" t="s">
        <v>35748</v>
      </c>
      <c r="N909" s="308"/>
      <c r="O909" s="312" t="s">
        <v>635</v>
      </c>
      <c r="P909" s="308" t="s">
        <v>3701</v>
      </c>
      <c r="Q909" s="308"/>
      <c r="R909" s="308"/>
      <c r="S909" s="308" t="s">
        <v>81</v>
      </c>
      <c r="T909" s="308" t="s">
        <v>75</v>
      </c>
      <c r="U909" s="308"/>
      <c r="V909" s="312"/>
    </row>
    <row r="910">
      <c r="A910" s="308">
        <v>909.0</v>
      </c>
      <c r="B910" s="308">
        <v>4121.0</v>
      </c>
      <c r="C910" s="308" t="s">
        <v>35751</v>
      </c>
      <c r="D910" s="308">
        <f>IFERROR(__xludf.DUMMYFUNCTION("SPLIT(C910,""-"")"),924.0)</f>
        <v>924</v>
      </c>
      <c r="E910" s="311"/>
      <c r="F910" s="309" t="s">
        <v>34</v>
      </c>
      <c r="G910" s="308" t="s">
        <v>3705</v>
      </c>
      <c r="H910" s="308" t="s">
        <v>3706</v>
      </c>
      <c r="I910" s="310">
        <v>40360.0</v>
      </c>
      <c r="J910" s="308">
        <f>IFERROR(__xludf.DUMMYFUNCTION("SPLIT(I910,""/"")"),1.0)</f>
        <v>1</v>
      </c>
      <c r="K910" s="308">
        <f>IFERROR(__xludf.DUMMYFUNCTION("""COMPUTED_VALUE"""),7.0)</f>
        <v>7</v>
      </c>
      <c r="L910" s="308">
        <f>IFERROR(__xludf.DUMMYFUNCTION("""COMPUTED_VALUE"""),2010.0)</f>
        <v>2010</v>
      </c>
      <c r="M910" s="308" t="s">
        <v>3707</v>
      </c>
      <c r="N910" s="308"/>
      <c r="O910" s="312" t="s">
        <v>635</v>
      </c>
      <c r="P910" s="308" t="s">
        <v>3708</v>
      </c>
      <c r="Q910" s="308"/>
      <c r="R910" s="308"/>
      <c r="S910" s="308" t="s">
        <v>81</v>
      </c>
      <c r="T910" s="308" t="s">
        <v>34264</v>
      </c>
      <c r="U910" s="308"/>
      <c r="V910" s="312"/>
    </row>
    <row r="911">
      <c r="A911" s="308">
        <v>910.0</v>
      </c>
      <c r="B911" s="308">
        <v>4122.0</v>
      </c>
      <c r="C911" s="308" t="s">
        <v>3709</v>
      </c>
      <c r="D911" s="308">
        <f>IFERROR(__xludf.DUMMYFUNCTION("SPLIT(C911,""-"")"),925.0)</f>
        <v>925</v>
      </c>
      <c r="E911" s="308" t="str">
        <f>IFERROR(__xludf.DUMMYFUNCTION("""COMPUTED_VALUE"""),"K")</f>
        <v>K</v>
      </c>
      <c r="F911" s="309" t="s">
        <v>34</v>
      </c>
      <c r="G911" s="308"/>
      <c r="H911" s="308" t="s">
        <v>3710</v>
      </c>
      <c r="I911" s="314">
        <v>40465.0</v>
      </c>
      <c r="J911" s="308">
        <f>IFERROR(__xludf.DUMMYFUNCTION("SPLIT(I911,""/"")"),14.0)</f>
        <v>14</v>
      </c>
      <c r="K911" s="308">
        <f>IFERROR(__xludf.DUMMYFUNCTION("""COMPUTED_VALUE"""),10.0)</f>
        <v>10</v>
      </c>
      <c r="L911" s="308">
        <f>IFERROR(__xludf.DUMMYFUNCTION("""COMPUTED_VALUE"""),2010.0)</f>
        <v>2010</v>
      </c>
      <c r="M911" s="308" t="s">
        <v>3711</v>
      </c>
      <c r="N911" s="308"/>
      <c r="O911" s="312" t="s">
        <v>35752</v>
      </c>
      <c r="P911" s="308" t="s">
        <v>3713</v>
      </c>
      <c r="Q911" s="308"/>
      <c r="R911" s="308"/>
      <c r="S911" s="308" t="s">
        <v>49</v>
      </c>
      <c r="T911" s="308" t="s">
        <v>51</v>
      </c>
      <c r="U911" s="308" t="s">
        <v>3714</v>
      </c>
      <c r="V911" s="312"/>
    </row>
    <row r="912">
      <c r="A912" s="308">
        <v>911.0</v>
      </c>
      <c r="B912" s="308">
        <v>4123.0</v>
      </c>
      <c r="C912" s="308" t="s">
        <v>3715</v>
      </c>
      <c r="D912" s="308">
        <f>IFERROR(__xludf.DUMMYFUNCTION("SPLIT(C912,""-"")"),926.0)</f>
        <v>926</v>
      </c>
      <c r="E912" s="308" t="str">
        <f>IFERROR(__xludf.DUMMYFUNCTION("""COMPUTED_VALUE"""),"K")</f>
        <v>K</v>
      </c>
      <c r="F912" s="309" t="s">
        <v>34</v>
      </c>
      <c r="G912" s="308"/>
      <c r="H912" s="308" t="s">
        <v>3716</v>
      </c>
      <c r="I912" s="310">
        <v>40021.0</v>
      </c>
      <c r="J912" s="308">
        <f>IFERROR(__xludf.DUMMYFUNCTION("SPLIT(I912,""/"")"),27.0)</f>
        <v>27</v>
      </c>
      <c r="K912" s="308">
        <f>IFERROR(__xludf.DUMMYFUNCTION("""COMPUTED_VALUE"""),7.0)</f>
        <v>7</v>
      </c>
      <c r="L912" s="308">
        <f>IFERROR(__xludf.DUMMYFUNCTION("""COMPUTED_VALUE"""),2009.0)</f>
        <v>2009</v>
      </c>
      <c r="M912" s="308" t="s">
        <v>3717</v>
      </c>
      <c r="N912" s="308"/>
      <c r="O912" s="312" t="s">
        <v>3718</v>
      </c>
      <c r="P912" s="308" t="s">
        <v>1495</v>
      </c>
      <c r="Q912" s="308"/>
      <c r="R912" s="308"/>
      <c r="S912" s="315" t="s">
        <v>100</v>
      </c>
      <c r="T912" s="311" t="s">
        <v>34208</v>
      </c>
      <c r="U912" s="308" t="s">
        <v>201</v>
      </c>
      <c r="V912" s="312"/>
    </row>
    <row r="913">
      <c r="A913" s="308">
        <v>912.0</v>
      </c>
      <c r="B913" s="308">
        <v>4124.0</v>
      </c>
      <c r="C913" s="308" t="s">
        <v>35753</v>
      </c>
      <c r="D913" s="308">
        <f>IFERROR(__xludf.DUMMYFUNCTION("SPLIT(C913,""-"")"),927.0)</f>
        <v>927</v>
      </c>
      <c r="E913" s="311"/>
      <c r="F913" s="309" t="s">
        <v>34</v>
      </c>
      <c r="G913" s="308" t="s">
        <v>3719</v>
      </c>
      <c r="H913" s="308" t="s">
        <v>3720</v>
      </c>
      <c r="I913" s="310">
        <v>40695.0</v>
      </c>
      <c r="J913" s="308">
        <f>IFERROR(__xludf.DUMMYFUNCTION("SPLIT(I913,""/"")"),1.0)</f>
        <v>1</v>
      </c>
      <c r="K913" s="308">
        <f>IFERROR(__xludf.DUMMYFUNCTION("""COMPUTED_VALUE"""),6.0)</f>
        <v>6</v>
      </c>
      <c r="L913" s="308">
        <f>IFERROR(__xludf.DUMMYFUNCTION("""COMPUTED_VALUE"""),2011.0)</f>
        <v>2011</v>
      </c>
      <c r="M913" s="308" t="s">
        <v>3721</v>
      </c>
      <c r="N913" s="308"/>
      <c r="O913" s="312" t="s">
        <v>3722</v>
      </c>
      <c r="P913" s="308" t="s">
        <v>3723</v>
      </c>
      <c r="Q913" s="308"/>
      <c r="R913" s="308"/>
      <c r="S913" s="308" t="s">
        <v>81</v>
      </c>
      <c r="T913" s="308" t="s">
        <v>34264</v>
      </c>
      <c r="U913" s="308"/>
      <c r="V913" s="312"/>
    </row>
    <row r="914">
      <c r="A914" s="308">
        <v>913.0</v>
      </c>
      <c r="B914" s="308">
        <v>4125.0</v>
      </c>
      <c r="C914" s="308" t="s">
        <v>35754</v>
      </c>
      <c r="D914" s="308">
        <f>IFERROR(__xludf.DUMMYFUNCTION("SPLIT(C914,""-"")"),928.0)</f>
        <v>928</v>
      </c>
      <c r="E914" s="311"/>
      <c r="F914" s="317" t="s">
        <v>37</v>
      </c>
      <c r="G914" s="308"/>
      <c r="H914" s="308" t="s">
        <v>3724</v>
      </c>
      <c r="I914" s="314">
        <v>41198.0</v>
      </c>
      <c r="J914" s="308">
        <f>IFERROR(__xludf.DUMMYFUNCTION("SPLIT(I914,""/"")"),16.0)</f>
        <v>16</v>
      </c>
      <c r="K914" s="308">
        <f>IFERROR(__xludf.DUMMYFUNCTION("""COMPUTED_VALUE"""),10.0)</f>
        <v>10</v>
      </c>
      <c r="L914" s="308">
        <f>IFERROR(__xludf.DUMMYFUNCTION("""COMPUTED_VALUE"""),2012.0)</f>
        <v>2012</v>
      </c>
      <c r="M914" s="308" t="s">
        <v>3725</v>
      </c>
      <c r="N914" s="308"/>
      <c r="O914" s="312" t="s">
        <v>3726</v>
      </c>
      <c r="P914" s="308" t="s">
        <v>3727</v>
      </c>
      <c r="Q914" s="308"/>
      <c r="R914" s="308"/>
      <c r="S914" s="308" t="s">
        <v>81</v>
      </c>
      <c r="T914" s="308" t="s">
        <v>73</v>
      </c>
      <c r="U914" s="308"/>
      <c r="V914" s="312"/>
    </row>
    <row r="915">
      <c r="A915" s="308">
        <v>914.0</v>
      </c>
      <c r="B915" s="308">
        <v>4126.0</v>
      </c>
      <c r="C915" s="308" t="s">
        <v>35755</v>
      </c>
      <c r="D915" s="308">
        <f>IFERROR(__xludf.DUMMYFUNCTION("SPLIT(C915,""-"")"),929.0)</f>
        <v>929</v>
      </c>
      <c r="E915" s="311"/>
      <c r="F915" s="317" t="s">
        <v>37</v>
      </c>
      <c r="G915" s="308"/>
      <c r="H915" s="308" t="s">
        <v>3728</v>
      </c>
      <c r="I915" s="314">
        <v>41198.0</v>
      </c>
      <c r="J915" s="308">
        <f>IFERROR(__xludf.DUMMYFUNCTION("SPLIT(I915,""/"")"),16.0)</f>
        <v>16</v>
      </c>
      <c r="K915" s="308">
        <f>IFERROR(__xludf.DUMMYFUNCTION("""COMPUTED_VALUE"""),10.0)</f>
        <v>10</v>
      </c>
      <c r="L915" s="308">
        <f>IFERROR(__xludf.DUMMYFUNCTION("""COMPUTED_VALUE"""),2012.0)</f>
        <v>2012</v>
      </c>
      <c r="M915" s="308" t="s">
        <v>3725</v>
      </c>
      <c r="N915" s="308"/>
      <c r="O915" s="312" t="s">
        <v>3726</v>
      </c>
      <c r="P915" s="308" t="s">
        <v>3727</v>
      </c>
      <c r="Q915" s="308"/>
      <c r="R915" s="308"/>
      <c r="S915" s="308" t="s">
        <v>81</v>
      </c>
      <c r="T915" s="308" t="s">
        <v>73</v>
      </c>
      <c r="U915" s="308"/>
      <c r="V915" s="312"/>
    </row>
    <row r="916">
      <c r="A916" s="308">
        <v>915.0</v>
      </c>
      <c r="B916" s="308">
        <v>4127.0</v>
      </c>
      <c r="C916" s="308" t="s">
        <v>35756</v>
      </c>
      <c r="D916" s="308">
        <f>IFERROR(__xludf.DUMMYFUNCTION("SPLIT(C916,""-"")"),930.0)</f>
        <v>930</v>
      </c>
      <c r="E916" s="311"/>
      <c r="F916" s="317" t="s">
        <v>37</v>
      </c>
      <c r="G916" s="308"/>
      <c r="H916" s="308" t="s">
        <v>3729</v>
      </c>
      <c r="I916" s="314">
        <v>41193.0</v>
      </c>
      <c r="J916" s="308">
        <f>IFERROR(__xludf.DUMMYFUNCTION("SPLIT(I916,""/"")"),11.0)</f>
        <v>11</v>
      </c>
      <c r="K916" s="308">
        <f>IFERROR(__xludf.DUMMYFUNCTION("""COMPUTED_VALUE"""),10.0)</f>
        <v>10</v>
      </c>
      <c r="L916" s="308">
        <f>IFERROR(__xludf.DUMMYFUNCTION("""COMPUTED_VALUE"""),2012.0)</f>
        <v>2012</v>
      </c>
      <c r="M916" s="308" t="s">
        <v>3730</v>
      </c>
      <c r="N916" s="308"/>
      <c r="O916" s="312" t="s">
        <v>3731</v>
      </c>
      <c r="P916" s="308" t="s">
        <v>3732</v>
      </c>
      <c r="Q916" s="308"/>
      <c r="R916" s="308"/>
      <c r="S916" s="308" t="s">
        <v>81</v>
      </c>
      <c r="T916" s="311" t="s">
        <v>75</v>
      </c>
      <c r="U916" s="308"/>
      <c r="V916" s="312"/>
    </row>
    <row r="917">
      <c r="A917" s="308">
        <v>916.0</v>
      </c>
      <c r="B917" s="308">
        <v>4128.0</v>
      </c>
      <c r="C917" s="308" t="s">
        <v>35757</v>
      </c>
      <c r="D917" s="308">
        <f>IFERROR(__xludf.DUMMYFUNCTION("SPLIT(C917,""-"")"),931.0)</f>
        <v>931</v>
      </c>
      <c r="E917" s="311"/>
      <c r="F917" s="317" t="s">
        <v>37</v>
      </c>
      <c r="G917" s="308"/>
      <c r="H917" s="308" t="s">
        <v>3733</v>
      </c>
      <c r="I917" s="310">
        <v>41091.0</v>
      </c>
      <c r="J917" s="308">
        <f>IFERROR(__xludf.DUMMYFUNCTION("SPLIT(I917,""/"")"),1.0)</f>
        <v>1</v>
      </c>
      <c r="K917" s="308">
        <f>IFERROR(__xludf.DUMMYFUNCTION("""COMPUTED_VALUE"""),7.0)</f>
        <v>7</v>
      </c>
      <c r="L917" s="308">
        <f>IFERROR(__xludf.DUMMYFUNCTION("""COMPUTED_VALUE"""),2012.0)</f>
        <v>2012</v>
      </c>
      <c r="M917" s="308" t="s">
        <v>3734</v>
      </c>
      <c r="N917" s="308"/>
      <c r="O917" s="312" t="s">
        <v>35758</v>
      </c>
      <c r="P917" s="308" t="s">
        <v>3736</v>
      </c>
      <c r="Q917" s="308"/>
      <c r="R917" s="308"/>
      <c r="S917" s="308" t="s">
        <v>81</v>
      </c>
      <c r="T917" s="308" t="s">
        <v>98</v>
      </c>
      <c r="U917" s="308"/>
      <c r="V917" s="312"/>
    </row>
    <row r="918">
      <c r="A918" s="308">
        <v>917.0</v>
      </c>
      <c r="B918" s="308">
        <v>4129.0</v>
      </c>
      <c r="C918" s="308" t="s">
        <v>35759</v>
      </c>
      <c r="D918" s="308">
        <f>IFERROR(__xludf.DUMMYFUNCTION("SPLIT(C918,""-"")"),932.0)</f>
        <v>932</v>
      </c>
      <c r="E918" s="311"/>
      <c r="F918" s="317" t="s">
        <v>37</v>
      </c>
      <c r="G918" s="308"/>
      <c r="H918" s="308" t="s">
        <v>35760</v>
      </c>
      <c r="I918" s="314">
        <v>41199.0</v>
      </c>
      <c r="J918" s="308">
        <f>IFERROR(__xludf.DUMMYFUNCTION("SPLIT(I918,""/"")"),17.0)</f>
        <v>17</v>
      </c>
      <c r="K918" s="308">
        <f>IFERROR(__xludf.DUMMYFUNCTION("""COMPUTED_VALUE"""),10.0)</f>
        <v>10</v>
      </c>
      <c r="L918" s="308">
        <f>IFERROR(__xludf.DUMMYFUNCTION("""COMPUTED_VALUE"""),2012.0)</f>
        <v>2012</v>
      </c>
      <c r="M918" s="308" t="s">
        <v>3738</v>
      </c>
      <c r="N918" s="308"/>
      <c r="O918" s="312" t="s">
        <v>35761</v>
      </c>
      <c r="P918" s="308" t="s">
        <v>3740</v>
      </c>
      <c r="Q918" s="308"/>
      <c r="R918" s="308"/>
      <c r="S918" s="308" t="s">
        <v>81</v>
      </c>
      <c r="T918" s="308" t="s">
        <v>75</v>
      </c>
      <c r="U918" s="308"/>
      <c r="V918" s="312"/>
    </row>
    <row r="919">
      <c r="A919" s="308">
        <v>918.0</v>
      </c>
      <c r="B919" s="308">
        <v>4130.0</v>
      </c>
      <c r="C919" s="308" t="s">
        <v>35762</v>
      </c>
      <c r="D919" s="308">
        <f>IFERROR(__xludf.DUMMYFUNCTION("SPLIT(C919,""-"")"),933.0)</f>
        <v>933</v>
      </c>
      <c r="E919" s="311"/>
      <c r="F919" s="317" t="s">
        <v>37</v>
      </c>
      <c r="G919" s="308"/>
      <c r="H919" s="308" t="s">
        <v>3741</v>
      </c>
      <c r="I919" s="314">
        <v>41195.0</v>
      </c>
      <c r="J919" s="308">
        <f>IFERROR(__xludf.DUMMYFUNCTION("SPLIT(I919,""/"")"),13.0)</f>
        <v>13</v>
      </c>
      <c r="K919" s="308">
        <f>IFERROR(__xludf.DUMMYFUNCTION("""COMPUTED_VALUE"""),10.0)</f>
        <v>10</v>
      </c>
      <c r="L919" s="308">
        <f>IFERROR(__xludf.DUMMYFUNCTION("""COMPUTED_VALUE"""),2012.0)</f>
        <v>2012</v>
      </c>
      <c r="M919" s="308" t="s">
        <v>3742</v>
      </c>
      <c r="N919" s="308"/>
      <c r="O919" s="312" t="s">
        <v>3743</v>
      </c>
      <c r="P919" s="308" t="s">
        <v>3744</v>
      </c>
      <c r="Q919" s="308"/>
      <c r="R919" s="308"/>
      <c r="S919" s="308" t="s">
        <v>81</v>
      </c>
      <c r="T919" s="311" t="s">
        <v>75</v>
      </c>
      <c r="U919" s="308"/>
      <c r="V919" s="312"/>
    </row>
    <row r="920">
      <c r="A920" s="308">
        <v>919.0</v>
      </c>
      <c r="B920" s="308">
        <v>4131.0</v>
      </c>
      <c r="C920" s="308" t="s">
        <v>35763</v>
      </c>
      <c r="D920" s="308">
        <f>IFERROR(__xludf.DUMMYFUNCTION("SPLIT(C920,""-"")"),934.0)</f>
        <v>934</v>
      </c>
      <c r="E920" s="311"/>
      <c r="F920" s="317" t="s">
        <v>37</v>
      </c>
      <c r="G920" s="308"/>
      <c r="H920" s="308" t="s">
        <v>3745</v>
      </c>
      <c r="I920" s="314">
        <v>41195.0</v>
      </c>
      <c r="J920" s="308">
        <f>IFERROR(__xludf.DUMMYFUNCTION("SPLIT(I920,""/"")"),13.0)</f>
        <v>13</v>
      </c>
      <c r="K920" s="308">
        <f>IFERROR(__xludf.DUMMYFUNCTION("""COMPUTED_VALUE"""),10.0)</f>
        <v>10</v>
      </c>
      <c r="L920" s="308">
        <f>IFERROR(__xludf.DUMMYFUNCTION("""COMPUTED_VALUE"""),2012.0)</f>
        <v>2012</v>
      </c>
      <c r="M920" s="308" t="s">
        <v>3742</v>
      </c>
      <c r="N920" s="308"/>
      <c r="O920" s="312" t="s">
        <v>3743</v>
      </c>
      <c r="P920" s="308" t="s">
        <v>3744</v>
      </c>
      <c r="Q920" s="308"/>
      <c r="R920" s="308"/>
      <c r="S920" s="308" t="s">
        <v>81</v>
      </c>
      <c r="T920" s="311" t="s">
        <v>75</v>
      </c>
      <c r="U920" s="308"/>
      <c r="V920" s="312"/>
    </row>
    <row r="921">
      <c r="A921" s="308">
        <v>920.0</v>
      </c>
      <c r="B921" s="308">
        <v>4132.0</v>
      </c>
      <c r="C921" s="308" t="s">
        <v>35764</v>
      </c>
      <c r="D921" s="308">
        <f>IFERROR(__xludf.DUMMYFUNCTION("SPLIT(C921,""-"")"),935.0)</f>
        <v>935</v>
      </c>
      <c r="E921" s="311"/>
      <c r="F921" s="317" t="s">
        <v>37</v>
      </c>
      <c r="G921" s="308"/>
      <c r="H921" s="308" t="s">
        <v>3746</v>
      </c>
      <c r="I921" s="314">
        <v>41195.0</v>
      </c>
      <c r="J921" s="308">
        <f>IFERROR(__xludf.DUMMYFUNCTION("SPLIT(I921,""/"")"),13.0)</f>
        <v>13</v>
      </c>
      <c r="K921" s="308">
        <f>IFERROR(__xludf.DUMMYFUNCTION("""COMPUTED_VALUE"""),10.0)</f>
        <v>10</v>
      </c>
      <c r="L921" s="308">
        <f>IFERROR(__xludf.DUMMYFUNCTION("""COMPUTED_VALUE"""),2012.0)</f>
        <v>2012</v>
      </c>
      <c r="M921" s="308" t="s">
        <v>3742</v>
      </c>
      <c r="N921" s="308"/>
      <c r="O921" s="312" t="s">
        <v>3743</v>
      </c>
      <c r="P921" s="308" t="s">
        <v>3744</v>
      </c>
      <c r="Q921" s="308"/>
      <c r="R921" s="308"/>
      <c r="S921" s="308" t="s">
        <v>81</v>
      </c>
      <c r="T921" s="311" t="s">
        <v>75</v>
      </c>
      <c r="U921" s="308"/>
      <c r="V921" s="312"/>
    </row>
    <row r="922">
      <c r="A922" s="308">
        <v>921.0</v>
      </c>
      <c r="B922" s="308">
        <v>4133.0</v>
      </c>
      <c r="C922" s="308" t="s">
        <v>35765</v>
      </c>
      <c r="D922" s="308">
        <f>IFERROR(__xludf.DUMMYFUNCTION("SPLIT(C922,""-"")"),936.0)</f>
        <v>936</v>
      </c>
      <c r="E922" s="311"/>
      <c r="F922" s="309" t="s">
        <v>34</v>
      </c>
      <c r="G922" s="308" t="s">
        <v>3747</v>
      </c>
      <c r="H922" s="308" t="s">
        <v>3748</v>
      </c>
      <c r="I922" s="310">
        <v>41021.0</v>
      </c>
      <c r="J922" s="308">
        <f>IFERROR(__xludf.DUMMYFUNCTION("SPLIT(I922,""/"")"),22.0)</f>
        <v>22</v>
      </c>
      <c r="K922" s="308">
        <f>IFERROR(__xludf.DUMMYFUNCTION("""COMPUTED_VALUE"""),4.0)</f>
        <v>4</v>
      </c>
      <c r="L922" s="308">
        <f>IFERROR(__xludf.DUMMYFUNCTION("""COMPUTED_VALUE"""),2012.0)</f>
        <v>2012</v>
      </c>
      <c r="M922" s="308" t="s">
        <v>3749</v>
      </c>
      <c r="N922" s="308"/>
      <c r="O922" s="312" t="s">
        <v>3750</v>
      </c>
      <c r="P922" s="308" t="s">
        <v>3751</v>
      </c>
      <c r="Q922" s="308"/>
      <c r="R922" s="308"/>
      <c r="S922" s="308" t="s">
        <v>81</v>
      </c>
      <c r="T922" s="308" t="s">
        <v>75</v>
      </c>
      <c r="U922" s="308"/>
      <c r="V922" s="312"/>
    </row>
    <row r="923">
      <c r="A923" s="308">
        <v>922.0</v>
      </c>
      <c r="B923" s="308">
        <v>4134.0</v>
      </c>
      <c r="C923" s="308" t="s">
        <v>35766</v>
      </c>
      <c r="D923" s="308">
        <f>IFERROR(__xludf.DUMMYFUNCTION("SPLIT(C923,""-"")"),937.0)</f>
        <v>937</v>
      </c>
      <c r="E923" s="311"/>
      <c r="F923" s="317" t="s">
        <v>37</v>
      </c>
      <c r="G923" s="308" t="s">
        <v>3752</v>
      </c>
      <c r="H923" s="308" t="s">
        <v>3753</v>
      </c>
      <c r="I923" s="310">
        <v>41137.0</v>
      </c>
      <c r="J923" s="308">
        <f>IFERROR(__xludf.DUMMYFUNCTION("SPLIT(I923,""/"")"),16.0)</f>
        <v>16</v>
      </c>
      <c r="K923" s="308">
        <f>IFERROR(__xludf.DUMMYFUNCTION("""COMPUTED_VALUE"""),8.0)</f>
        <v>8</v>
      </c>
      <c r="L923" s="308">
        <f>IFERROR(__xludf.DUMMYFUNCTION("""COMPUTED_VALUE"""),2012.0)</f>
        <v>2012</v>
      </c>
      <c r="M923" s="308" t="s">
        <v>3754</v>
      </c>
      <c r="N923" s="308"/>
      <c r="O923" s="312" t="s">
        <v>3755</v>
      </c>
      <c r="P923" s="308" t="s">
        <v>3756</v>
      </c>
      <c r="Q923" s="308"/>
      <c r="R923" s="308"/>
      <c r="S923" s="308" t="s">
        <v>81</v>
      </c>
      <c r="T923" s="311" t="s">
        <v>75</v>
      </c>
      <c r="U923" s="308"/>
      <c r="V923" s="312"/>
    </row>
    <row r="924">
      <c r="A924" s="308">
        <v>923.0</v>
      </c>
      <c r="B924" s="308">
        <v>4135.0</v>
      </c>
      <c r="C924" s="308" t="s">
        <v>35767</v>
      </c>
      <c r="D924" s="308">
        <f>IFERROR(__xludf.DUMMYFUNCTION("SPLIT(C924,""-"")"),938.0)</f>
        <v>938</v>
      </c>
      <c r="E924" s="311"/>
      <c r="F924" s="309" t="s">
        <v>34</v>
      </c>
      <c r="G924" s="308" t="s">
        <v>3757</v>
      </c>
      <c r="H924" s="308" t="s">
        <v>3758</v>
      </c>
      <c r="I924" s="310">
        <v>40031.0</v>
      </c>
      <c r="J924" s="308">
        <f>IFERROR(__xludf.DUMMYFUNCTION("SPLIT(I924,""/"")"),6.0)</f>
        <v>6</v>
      </c>
      <c r="K924" s="308">
        <f>IFERROR(__xludf.DUMMYFUNCTION("""COMPUTED_VALUE"""),8.0)</f>
        <v>8</v>
      </c>
      <c r="L924" s="308">
        <f>IFERROR(__xludf.DUMMYFUNCTION("""COMPUTED_VALUE"""),2009.0)</f>
        <v>2009</v>
      </c>
      <c r="M924" s="308" t="s">
        <v>3759</v>
      </c>
      <c r="N924" s="308"/>
      <c r="O924" s="312" t="s">
        <v>35768</v>
      </c>
      <c r="P924" s="308" t="s">
        <v>3761</v>
      </c>
      <c r="Q924" s="308"/>
      <c r="R924" s="308"/>
      <c r="S924" s="308" t="s">
        <v>81</v>
      </c>
      <c r="T924" s="308" t="s">
        <v>34264</v>
      </c>
      <c r="U924" s="308"/>
      <c r="V924" s="312"/>
    </row>
    <row r="925">
      <c r="A925" s="308">
        <v>924.0</v>
      </c>
      <c r="B925" s="308">
        <v>4136.0</v>
      </c>
      <c r="C925" s="308" t="s">
        <v>35769</v>
      </c>
      <c r="D925" s="308">
        <f>IFERROR(__xludf.DUMMYFUNCTION("SPLIT(C925,""-"")"),939.0)</f>
        <v>939</v>
      </c>
      <c r="E925" s="311"/>
      <c r="F925" s="309" t="s">
        <v>34</v>
      </c>
      <c r="G925" s="308"/>
      <c r="H925" s="308" t="s">
        <v>3762</v>
      </c>
      <c r="I925" s="310">
        <v>40384.0</v>
      </c>
      <c r="J925" s="308">
        <f>IFERROR(__xludf.DUMMYFUNCTION("SPLIT(I925,""/"")"),25.0)</f>
        <v>25</v>
      </c>
      <c r="K925" s="308">
        <f>IFERROR(__xludf.DUMMYFUNCTION("""COMPUTED_VALUE"""),7.0)</f>
        <v>7</v>
      </c>
      <c r="L925" s="308">
        <f>IFERROR(__xludf.DUMMYFUNCTION("""COMPUTED_VALUE"""),2010.0)</f>
        <v>2010</v>
      </c>
      <c r="M925" s="308" t="s">
        <v>3763</v>
      </c>
      <c r="N925" s="308"/>
      <c r="O925" s="312" t="s">
        <v>35770</v>
      </c>
      <c r="P925" s="308" t="s">
        <v>35771</v>
      </c>
      <c r="Q925" s="308"/>
      <c r="R925" s="308"/>
      <c r="S925" s="308" t="s">
        <v>49</v>
      </c>
      <c r="T925" s="308" t="s">
        <v>70</v>
      </c>
      <c r="U925" s="308"/>
      <c r="V925" s="312"/>
    </row>
    <row r="926">
      <c r="A926" s="308">
        <v>925.0</v>
      </c>
      <c r="B926" s="308">
        <v>4137.0</v>
      </c>
      <c r="C926" s="308" t="s">
        <v>35772</v>
      </c>
      <c r="D926" s="308">
        <f>IFERROR(__xludf.DUMMYFUNCTION("SPLIT(C926,""-"")"),940.0)</f>
        <v>940</v>
      </c>
      <c r="E926" s="311"/>
      <c r="F926" s="309" t="s">
        <v>34</v>
      </c>
      <c r="G926" s="308" t="s">
        <v>3766</v>
      </c>
      <c r="H926" s="308" t="s">
        <v>3767</v>
      </c>
      <c r="I926" s="310">
        <v>40617.0</v>
      </c>
      <c r="J926" s="308">
        <f>IFERROR(__xludf.DUMMYFUNCTION("SPLIT(I926,""/"")"),15.0)</f>
        <v>15</v>
      </c>
      <c r="K926" s="308">
        <f>IFERROR(__xludf.DUMMYFUNCTION("""COMPUTED_VALUE"""),3.0)</f>
        <v>3</v>
      </c>
      <c r="L926" s="308">
        <f>IFERROR(__xludf.DUMMYFUNCTION("""COMPUTED_VALUE"""),2011.0)</f>
        <v>2011</v>
      </c>
      <c r="M926" s="308" t="s">
        <v>35773</v>
      </c>
      <c r="N926" s="308"/>
      <c r="O926" s="312" t="s">
        <v>3769</v>
      </c>
      <c r="P926" s="308" t="s">
        <v>3770</v>
      </c>
      <c r="Q926" s="308"/>
      <c r="R926" s="308"/>
      <c r="S926" s="308" t="s">
        <v>81</v>
      </c>
      <c r="T926" s="308" t="s">
        <v>34264</v>
      </c>
      <c r="U926" s="308"/>
      <c r="V926" s="312"/>
    </row>
    <row r="927">
      <c r="A927" s="308">
        <v>926.0</v>
      </c>
      <c r="B927" s="308">
        <v>4138.0</v>
      </c>
      <c r="C927" s="308" t="s">
        <v>35774</v>
      </c>
      <c r="D927" s="308">
        <f>IFERROR(__xludf.DUMMYFUNCTION("SPLIT(C927,""-"")"),941.0)</f>
        <v>941</v>
      </c>
      <c r="E927" s="311"/>
      <c r="F927" s="309" t="s">
        <v>34</v>
      </c>
      <c r="G927" s="308"/>
      <c r="H927" s="308" t="s">
        <v>3771</v>
      </c>
      <c r="I927" s="310">
        <v>40743.0</v>
      </c>
      <c r="J927" s="308">
        <f>IFERROR(__xludf.DUMMYFUNCTION("SPLIT(I927,""/"")"),19.0)</f>
        <v>19</v>
      </c>
      <c r="K927" s="308">
        <f>IFERROR(__xludf.DUMMYFUNCTION("""COMPUTED_VALUE"""),7.0)</f>
        <v>7</v>
      </c>
      <c r="L927" s="308">
        <f>IFERROR(__xludf.DUMMYFUNCTION("""COMPUTED_VALUE"""),2011.0)</f>
        <v>2011</v>
      </c>
      <c r="M927" s="308" t="s">
        <v>3772</v>
      </c>
      <c r="N927" s="308"/>
      <c r="O927" s="312" t="s">
        <v>35775</v>
      </c>
      <c r="P927" s="308" t="s">
        <v>35776</v>
      </c>
      <c r="Q927" s="308"/>
      <c r="R927" s="308"/>
      <c r="S927" s="308" t="s">
        <v>49</v>
      </c>
      <c r="T927" s="311" t="s">
        <v>51</v>
      </c>
      <c r="U927" s="308" t="s">
        <v>3775</v>
      </c>
      <c r="V927" s="312"/>
    </row>
    <row r="928">
      <c r="A928" s="308">
        <v>927.0</v>
      </c>
      <c r="B928" s="308">
        <v>4139.0</v>
      </c>
      <c r="C928" s="308" t="s">
        <v>3776</v>
      </c>
      <c r="D928" s="308">
        <f>IFERROR(__xludf.DUMMYFUNCTION("SPLIT(C928,""-"")"),942.0)</f>
        <v>942</v>
      </c>
      <c r="E928" s="308" t="str">
        <f>IFERROR(__xludf.DUMMYFUNCTION("""COMPUTED_VALUE"""),"K")</f>
        <v>K</v>
      </c>
      <c r="F928" s="309" t="s">
        <v>34</v>
      </c>
      <c r="G928" s="308" t="s">
        <v>3777</v>
      </c>
      <c r="H928" s="308" t="s">
        <v>3778</v>
      </c>
      <c r="I928" s="310">
        <v>40452.0</v>
      </c>
      <c r="J928" s="308">
        <f>IFERROR(__xludf.DUMMYFUNCTION("SPLIT(I928,""/"")"),1.0)</f>
        <v>1</v>
      </c>
      <c r="K928" s="308">
        <f>IFERROR(__xludf.DUMMYFUNCTION("""COMPUTED_VALUE"""),10.0)</f>
        <v>10</v>
      </c>
      <c r="L928" s="308">
        <f>IFERROR(__xludf.DUMMYFUNCTION("""COMPUTED_VALUE"""),2010.0)</f>
        <v>2010</v>
      </c>
      <c r="M928" s="308" t="s">
        <v>3779</v>
      </c>
      <c r="N928" s="308"/>
      <c r="O928" s="312" t="s">
        <v>35777</v>
      </c>
      <c r="P928" s="308" t="s">
        <v>34212</v>
      </c>
      <c r="Q928" s="308"/>
      <c r="R928" s="308"/>
      <c r="S928" s="315" t="s">
        <v>100</v>
      </c>
      <c r="T928" s="311" t="s">
        <v>34208</v>
      </c>
      <c r="U928" s="308" t="s">
        <v>201</v>
      </c>
      <c r="V928" s="312"/>
    </row>
    <row r="929">
      <c r="A929" s="308">
        <v>928.0</v>
      </c>
      <c r="B929" s="308">
        <v>4140.0</v>
      </c>
      <c r="C929" s="308" t="s">
        <v>35778</v>
      </c>
      <c r="D929" s="308">
        <f>IFERROR(__xludf.DUMMYFUNCTION("SPLIT(C929,""-"")"),943.0)</f>
        <v>943</v>
      </c>
      <c r="E929" s="311"/>
      <c r="F929" s="309" t="s">
        <v>34</v>
      </c>
      <c r="G929" s="308" t="s">
        <v>3781</v>
      </c>
      <c r="H929" s="308" t="s">
        <v>3782</v>
      </c>
      <c r="I929" s="310">
        <v>41122.0</v>
      </c>
      <c r="J929" s="308">
        <f>IFERROR(__xludf.DUMMYFUNCTION("SPLIT(I929,""/"")"),1.0)</f>
        <v>1</v>
      </c>
      <c r="K929" s="308">
        <f>IFERROR(__xludf.DUMMYFUNCTION("""COMPUTED_VALUE"""),8.0)</f>
        <v>8</v>
      </c>
      <c r="L929" s="308">
        <f>IFERROR(__xludf.DUMMYFUNCTION("""COMPUTED_VALUE"""),2012.0)</f>
        <v>2012</v>
      </c>
      <c r="M929" s="308" t="s">
        <v>3783</v>
      </c>
      <c r="N929" s="308"/>
      <c r="O929" s="312" t="s">
        <v>3784</v>
      </c>
      <c r="P929" s="308" t="s">
        <v>3785</v>
      </c>
      <c r="Q929" s="308"/>
      <c r="R929" s="308"/>
      <c r="S929" s="308" t="s">
        <v>81</v>
      </c>
      <c r="T929" s="308" t="s">
        <v>34264</v>
      </c>
      <c r="U929" s="308"/>
      <c r="V929" s="312"/>
    </row>
    <row r="930">
      <c r="A930" s="308">
        <v>929.0</v>
      </c>
      <c r="B930" s="308">
        <v>4141.0</v>
      </c>
      <c r="C930" s="308" t="s">
        <v>35779</v>
      </c>
      <c r="D930" s="308">
        <f>IFERROR(__xludf.DUMMYFUNCTION("SPLIT(C930,""-"")"),944.0)</f>
        <v>944</v>
      </c>
      <c r="E930" s="311"/>
      <c r="F930" s="317" t="s">
        <v>37</v>
      </c>
      <c r="G930" s="308" t="s">
        <v>3786</v>
      </c>
      <c r="H930" s="308" t="s">
        <v>3787</v>
      </c>
      <c r="I930" s="310">
        <v>41090.0</v>
      </c>
      <c r="J930" s="308">
        <f>IFERROR(__xludf.DUMMYFUNCTION("SPLIT(I930,""/"")"),30.0)</f>
        <v>30</v>
      </c>
      <c r="K930" s="308">
        <f>IFERROR(__xludf.DUMMYFUNCTION("""COMPUTED_VALUE"""),6.0)</f>
        <v>6</v>
      </c>
      <c r="L930" s="308">
        <f>IFERROR(__xludf.DUMMYFUNCTION("""COMPUTED_VALUE"""),2012.0)</f>
        <v>2012</v>
      </c>
      <c r="M930" s="308" t="s">
        <v>3788</v>
      </c>
      <c r="N930" s="308"/>
      <c r="O930" s="312" t="s">
        <v>35780</v>
      </c>
      <c r="P930" s="308" t="s">
        <v>3790</v>
      </c>
      <c r="Q930" s="308"/>
      <c r="R930" s="308"/>
      <c r="S930" s="308" t="s">
        <v>81</v>
      </c>
      <c r="T930" s="311" t="s">
        <v>96</v>
      </c>
      <c r="U930" s="308"/>
      <c r="V930" s="312"/>
    </row>
    <row r="931">
      <c r="A931" s="308">
        <v>930.0</v>
      </c>
      <c r="B931" s="308">
        <v>4142.0</v>
      </c>
      <c r="C931" s="308" t="s">
        <v>35781</v>
      </c>
      <c r="D931" s="308">
        <f>IFERROR(__xludf.DUMMYFUNCTION("SPLIT(C931,""-"")"),945.0)</f>
        <v>945</v>
      </c>
      <c r="E931" s="311"/>
      <c r="F931" s="317" t="s">
        <v>37</v>
      </c>
      <c r="G931" s="308"/>
      <c r="H931" s="308" t="s">
        <v>3791</v>
      </c>
      <c r="I931" s="314">
        <v>41197.0</v>
      </c>
      <c r="J931" s="308">
        <f>IFERROR(__xludf.DUMMYFUNCTION("SPLIT(I931,""/"")"),15.0)</f>
        <v>15</v>
      </c>
      <c r="K931" s="308">
        <f>IFERROR(__xludf.DUMMYFUNCTION("""COMPUTED_VALUE"""),10.0)</f>
        <v>10</v>
      </c>
      <c r="L931" s="308">
        <f>IFERROR(__xludf.DUMMYFUNCTION("""COMPUTED_VALUE"""),2012.0)</f>
        <v>2012</v>
      </c>
      <c r="M931" s="308" t="s">
        <v>3792</v>
      </c>
      <c r="N931" s="308"/>
      <c r="O931" s="312" t="s">
        <v>35782</v>
      </c>
      <c r="P931" s="308" t="s">
        <v>35783</v>
      </c>
      <c r="Q931" s="308"/>
      <c r="R931" s="308"/>
      <c r="S931" s="308" t="s">
        <v>81</v>
      </c>
      <c r="T931" s="311" t="s">
        <v>63</v>
      </c>
      <c r="U931" s="308" t="s">
        <v>3795</v>
      </c>
      <c r="V931" s="312"/>
    </row>
    <row r="932">
      <c r="A932" s="308">
        <v>931.0</v>
      </c>
      <c r="B932" s="308">
        <v>4143.0</v>
      </c>
      <c r="C932" s="308" t="s">
        <v>35784</v>
      </c>
      <c r="D932" s="308">
        <f>IFERROR(__xludf.DUMMYFUNCTION("SPLIT(C932,""-"")"),946.0)</f>
        <v>946</v>
      </c>
      <c r="E932" s="311"/>
      <c r="F932" s="317" t="s">
        <v>37</v>
      </c>
      <c r="G932" s="308"/>
      <c r="H932" s="308" t="s">
        <v>3796</v>
      </c>
      <c r="I932" s="314">
        <v>41195.0</v>
      </c>
      <c r="J932" s="308">
        <f>IFERROR(__xludf.DUMMYFUNCTION("SPLIT(I932,""/"")"),13.0)</f>
        <v>13</v>
      </c>
      <c r="K932" s="308">
        <f>IFERROR(__xludf.DUMMYFUNCTION("""COMPUTED_VALUE"""),10.0)</f>
        <v>10</v>
      </c>
      <c r="L932" s="308">
        <f>IFERROR(__xludf.DUMMYFUNCTION("""COMPUTED_VALUE"""),2012.0)</f>
        <v>2012</v>
      </c>
      <c r="M932" s="308" t="s">
        <v>3797</v>
      </c>
      <c r="N932" s="308"/>
      <c r="O932" s="312" t="s">
        <v>35785</v>
      </c>
      <c r="P932" s="308" t="s">
        <v>3799</v>
      </c>
      <c r="Q932" s="308"/>
      <c r="R932" s="308"/>
      <c r="S932" s="308" t="s">
        <v>49</v>
      </c>
      <c r="T932" s="308" t="s">
        <v>51</v>
      </c>
      <c r="U932" s="308"/>
      <c r="V932" s="312"/>
    </row>
    <row r="933">
      <c r="A933" s="308">
        <v>932.0</v>
      </c>
      <c r="B933" s="308">
        <v>4144.0</v>
      </c>
      <c r="C933" s="308" t="s">
        <v>35786</v>
      </c>
      <c r="D933" s="308">
        <f>IFERROR(__xludf.DUMMYFUNCTION("SPLIT(C933,""-"")"),947.0)</f>
        <v>947</v>
      </c>
      <c r="E933" s="311"/>
      <c r="F933" s="317" t="s">
        <v>39</v>
      </c>
      <c r="G933" s="308" t="s">
        <v>3800</v>
      </c>
      <c r="H933" s="308" t="s">
        <v>3801</v>
      </c>
      <c r="I933" s="310">
        <v>41099.0</v>
      </c>
      <c r="J933" s="308">
        <f>IFERROR(__xludf.DUMMYFUNCTION("SPLIT(I933,""/"")"),9.0)</f>
        <v>9</v>
      </c>
      <c r="K933" s="308">
        <f>IFERROR(__xludf.DUMMYFUNCTION("""COMPUTED_VALUE"""),7.0)</f>
        <v>7</v>
      </c>
      <c r="L933" s="308">
        <f>IFERROR(__xludf.DUMMYFUNCTION("""COMPUTED_VALUE"""),2012.0)</f>
        <v>2012</v>
      </c>
      <c r="M933" s="308" t="s">
        <v>3802</v>
      </c>
      <c r="N933" s="308"/>
      <c r="O933" s="312" t="s">
        <v>3803</v>
      </c>
      <c r="P933" s="308" t="s">
        <v>2675</v>
      </c>
      <c r="Q933" s="308"/>
      <c r="R933" s="308"/>
      <c r="S933" s="308" t="s">
        <v>49</v>
      </c>
      <c r="T933" s="308" t="s">
        <v>51</v>
      </c>
      <c r="U933" s="308"/>
      <c r="V933" s="312"/>
    </row>
    <row r="934">
      <c r="A934" s="308">
        <v>933.0</v>
      </c>
      <c r="B934" s="308">
        <v>4145.0</v>
      </c>
      <c r="C934" s="308" t="s">
        <v>35787</v>
      </c>
      <c r="D934" s="308">
        <f>IFERROR(__xludf.DUMMYFUNCTION("SPLIT(C934,""-"")"),948.0)</f>
        <v>948</v>
      </c>
      <c r="E934" s="311"/>
      <c r="F934" s="309" t="s">
        <v>34</v>
      </c>
      <c r="G934" s="308"/>
      <c r="H934" s="308" t="s">
        <v>3804</v>
      </c>
      <c r="I934" s="310">
        <v>41183.0</v>
      </c>
      <c r="J934" s="308">
        <f>IFERROR(__xludf.DUMMYFUNCTION("SPLIT(I934,""/"")"),1.0)</f>
        <v>1</v>
      </c>
      <c r="K934" s="308">
        <f>IFERROR(__xludf.DUMMYFUNCTION("""COMPUTED_VALUE"""),10.0)</f>
        <v>10</v>
      </c>
      <c r="L934" s="308">
        <f>IFERROR(__xludf.DUMMYFUNCTION("""COMPUTED_VALUE"""),2012.0)</f>
        <v>2012</v>
      </c>
      <c r="M934" s="308" t="s">
        <v>3805</v>
      </c>
      <c r="N934" s="308"/>
      <c r="O934" s="312" t="s">
        <v>635</v>
      </c>
      <c r="P934" s="311" t="s">
        <v>35788</v>
      </c>
      <c r="Q934" s="308"/>
      <c r="R934" s="308"/>
      <c r="S934" s="308" t="s">
        <v>81</v>
      </c>
      <c r="T934" s="311" t="s">
        <v>75</v>
      </c>
      <c r="U934" s="308"/>
      <c r="V934" s="312"/>
    </row>
    <row r="935">
      <c r="A935" s="308">
        <v>934.0</v>
      </c>
      <c r="B935" s="308">
        <v>4146.0</v>
      </c>
      <c r="C935" s="308" t="s">
        <v>35789</v>
      </c>
      <c r="D935" s="308">
        <f>IFERROR(__xludf.DUMMYFUNCTION("SPLIT(C935,""-"")"),949.0)</f>
        <v>949</v>
      </c>
      <c r="E935" s="311"/>
      <c r="F935" s="309" t="s">
        <v>34</v>
      </c>
      <c r="G935" s="308"/>
      <c r="H935" s="308" t="s">
        <v>3807</v>
      </c>
      <c r="I935" s="310">
        <v>41183.0</v>
      </c>
      <c r="J935" s="308">
        <f>IFERROR(__xludf.DUMMYFUNCTION("SPLIT(I935,""/"")"),1.0)</f>
        <v>1</v>
      </c>
      <c r="K935" s="308">
        <f>IFERROR(__xludf.DUMMYFUNCTION("""COMPUTED_VALUE"""),10.0)</f>
        <v>10</v>
      </c>
      <c r="L935" s="308">
        <f>IFERROR(__xludf.DUMMYFUNCTION("""COMPUTED_VALUE"""),2012.0)</f>
        <v>2012</v>
      </c>
      <c r="M935" s="308" t="s">
        <v>3805</v>
      </c>
      <c r="N935" s="308"/>
      <c r="O935" s="312" t="s">
        <v>635</v>
      </c>
      <c r="P935" s="311" t="s">
        <v>35788</v>
      </c>
      <c r="Q935" s="308"/>
      <c r="R935" s="308"/>
      <c r="S935" s="308" t="s">
        <v>81</v>
      </c>
      <c r="T935" s="311" t="s">
        <v>75</v>
      </c>
      <c r="U935" s="308"/>
      <c r="V935" s="312"/>
    </row>
    <row r="936">
      <c r="A936" s="308">
        <v>935.0</v>
      </c>
      <c r="B936" s="308">
        <v>4147.0</v>
      </c>
      <c r="C936" s="308" t="s">
        <v>35790</v>
      </c>
      <c r="D936" s="308">
        <f>IFERROR(__xludf.DUMMYFUNCTION("SPLIT(C936,""-"")"),950.0)</f>
        <v>950</v>
      </c>
      <c r="E936" s="311"/>
      <c r="F936" s="309" t="s">
        <v>34</v>
      </c>
      <c r="G936" s="308" t="s">
        <v>3808</v>
      </c>
      <c r="H936" s="308" t="s">
        <v>3809</v>
      </c>
      <c r="I936" s="310">
        <v>41166.0</v>
      </c>
      <c r="J936" s="308">
        <f>IFERROR(__xludf.DUMMYFUNCTION("SPLIT(I936,""/"")"),14.0)</f>
        <v>14</v>
      </c>
      <c r="K936" s="308">
        <f>IFERROR(__xludf.DUMMYFUNCTION("""COMPUTED_VALUE"""),9.0)</f>
        <v>9</v>
      </c>
      <c r="L936" s="308">
        <f>IFERROR(__xludf.DUMMYFUNCTION("""COMPUTED_VALUE"""),2012.0)</f>
        <v>2012</v>
      </c>
      <c r="M936" s="308" t="s">
        <v>3810</v>
      </c>
      <c r="N936" s="308"/>
      <c r="O936" s="312" t="s">
        <v>635</v>
      </c>
      <c r="P936" s="308" t="s">
        <v>3811</v>
      </c>
      <c r="Q936" s="308"/>
      <c r="R936" s="308"/>
      <c r="S936" s="308" t="s">
        <v>81</v>
      </c>
      <c r="T936" s="308" t="s">
        <v>75</v>
      </c>
      <c r="U936" s="308"/>
      <c r="V936" s="312"/>
    </row>
    <row r="937">
      <c r="A937" s="308">
        <v>936.0</v>
      </c>
      <c r="B937" s="308">
        <v>4148.0</v>
      </c>
      <c r="C937" s="308" t="s">
        <v>35791</v>
      </c>
      <c r="D937" s="308">
        <f>IFERROR(__xludf.DUMMYFUNCTION("SPLIT(C937,""-"")"),951.0)</f>
        <v>951</v>
      </c>
      <c r="E937" s="311"/>
      <c r="F937" s="309" t="s">
        <v>34</v>
      </c>
      <c r="G937" s="308"/>
      <c r="H937" s="308" t="s">
        <v>3812</v>
      </c>
      <c r="I937" s="310">
        <v>41145.0</v>
      </c>
      <c r="J937" s="308">
        <f>IFERROR(__xludf.DUMMYFUNCTION("SPLIT(I937,""/"")"),24.0)</f>
        <v>24</v>
      </c>
      <c r="K937" s="308">
        <f>IFERROR(__xludf.DUMMYFUNCTION("""COMPUTED_VALUE"""),8.0)</f>
        <v>8</v>
      </c>
      <c r="L937" s="308">
        <f>IFERROR(__xludf.DUMMYFUNCTION("""COMPUTED_VALUE"""),2012.0)</f>
        <v>2012</v>
      </c>
      <c r="M937" s="308" t="s">
        <v>35792</v>
      </c>
      <c r="N937" s="308"/>
      <c r="O937" s="312" t="s">
        <v>35793</v>
      </c>
      <c r="P937" s="308" t="s">
        <v>3815</v>
      </c>
      <c r="Q937" s="308"/>
      <c r="R937" s="308"/>
      <c r="S937" s="315" t="s">
        <v>100</v>
      </c>
      <c r="T937" s="311" t="s">
        <v>34208</v>
      </c>
      <c r="U937" s="308" t="s">
        <v>872</v>
      </c>
      <c r="V937" s="312"/>
    </row>
    <row r="938">
      <c r="A938" s="308">
        <v>937.0</v>
      </c>
      <c r="B938" s="308">
        <v>4149.0</v>
      </c>
      <c r="C938" s="308" t="s">
        <v>3816</v>
      </c>
      <c r="D938" s="308">
        <f>IFERROR(__xludf.DUMMYFUNCTION("SPLIT(C938,""-"")"),952.0)</f>
        <v>952</v>
      </c>
      <c r="E938" s="308" t="str">
        <f>IFERROR(__xludf.DUMMYFUNCTION("""COMPUTED_VALUE"""),"K")</f>
        <v>K</v>
      </c>
      <c r="F938" s="309" t="s">
        <v>34</v>
      </c>
      <c r="G938" s="308" t="s">
        <v>3817</v>
      </c>
      <c r="H938" s="308" t="s">
        <v>3818</v>
      </c>
      <c r="I938" s="314">
        <v>40165.0</v>
      </c>
      <c r="J938" s="308">
        <f>IFERROR(__xludf.DUMMYFUNCTION("SPLIT(I938,""/"")"),18.0)</f>
        <v>18</v>
      </c>
      <c r="K938" s="308">
        <f>IFERROR(__xludf.DUMMYFUNCTION("""COMPUTED_VALUE"""),12.0)</f>
        <v>12</v>
      </c>
      <c r="L938" s="308">
        <f>IFERROR(__xludf.DUMMYFUNCTION("""COMPUTED_VALUE"""),2009.0)</f>
        <v>2009</v>
      </c>
      <c r="M938" s="308" t="s">
        <v>35794</v>
      </c>
      <c r="N938" s="308"/>
      <c r="O938" s="312" t="s">
        <v>35795</v>
      </c>
      <c r="P938" s="308" t="s">
        <v>1971</v>
      </c>
      <c r="Q938" s="308"/>
      <c r="R938" s="308" t="s">
        <v>1496</v>
      </c>
      <c r="S938" s="315" t="s">
        <v>100</v>
      </c>
      <c r="T938" s="311" t="s">
        <v>34208</v>
      </c>
      <c r="U938" s="308" t="s">
        <v>530</v>
      </c>
      <c r="V938" s="312"/>
    </row>
    <row r="939">
      <c r="A939" s="308">
        <v>938.0</v>
      </c>
      <c r="B939" s="308">
        <v>4150.0</v>
      </c>
      <c r="C939" s="308" t="s">
        <v>35796</v>
      </c>
      <c r="D939" s="308">
        <f>IFERROR(__xludf.DUMMYFUNCTION("SPLIT(C939,""-"")"),953.0)</f>
        <v>953</v>
      </c>
      <c r="E939" s="311"/>
      <c r="F939" s="309" t="s">
        <v>34</v>
      </c>
      <c r="G939" s="308" t="s">
        <v>3817</v>
      </c>
      <c r="H939" s="308" t="s">
        <v>35797</v>
      </c>
      <c r="I939" s="314">
        <v>40165.0</v>
      </c>
      <c r="J939" s="308">
        <f>IFERROR(__xludf.DUMMYFUNCTION("SPLIT(I939,""/"")"),18.0)</f>
        <v>18</v>
      </c>
      <c r="K939" s="308">
        <f>IFERROR(__xludf.DUMMYFUNCTION("""COMPUTED_VALUE"""),12.0)</f>
        <v>12</v>
      </c>
      <c r="L939" s="308">
        <f>IFERROR(__xludf.DUMMYFUNCTION("""COMPUTED_VALUE"""),2009.0)</f>
        <v>2009</v>
      </c>
      <c r="M939" s="308" t="s">
        <v>35794</v>
      </c>
      <c r="N939" s="308"/>
      <c r="O939" s="312" t="s">
        <v>35795</v>
      </c>
      <c r="P939" s="308" t="s">
        <v>35691</v>
      </c>
      <c r="Q939" s="308"/>
      <c r="R939" s="308"/>
      <c r="S939" s="315" t="s">
        <v>100</v>
      </c>
      <c r="T939" s="311" t="s">
        <v>34208</v>
      </c>
      <c r="U939" s="308" t="s">
        <v>530</v>
      </c>
      <c r="V939" s="312"/>
    </row>
    <row r="940">
      <c r="A940" s="308">
        <v>939.0</v>
      </c>
      <c r="B940" s="308">
        <v>4151.0</v>
      </c>
      <c r="C940" s="308" t="s">
        <v>35798</v>
      </c>
      <c r="D940" s="308">
        <f>IFERROR(__xludf.DUMMYFUNCTION("SPLIT(C940,""-"")"),954.0)</f>
        <v>954</v>
      </c>
      <c r="E940" s="311"/>
      <c r="F940" s="317" t="s">
        <v>39</v>
      </c>
      <c r="G940" s="308" t="s">
        <v>3822</v>
      </c>
      <c r="H940" s="308" t="s">
        <v>3823</v>
      </c>
      <c r="I940" s="310">
        <v>41120.0</v>
      </c>
      <c r="J940" s="308">
        <f>IFERROR(__xludf.DUMMYFUNCTION("SPLIT(I940,""/"")"),30.0)</f>
        <v>30</v>
      </c>
      <c r="K940" s="308">
        <f>IFERROR(__xludf.DUMMYFUNCTION("""COMPUTED_VALUE"""),7.0)</f>
        <v>7</v>
      </c>
      <c r="L940" s="308">
        <f>IFERROR(__xludf.DUMMYFUNCTION("""COMPUTED_VALUE"""),2012.0)</f>
        <v>2012</v>
      </c>
      <c r="M940" s="308" t="s">
        <v>3824</v>
      </c>
      <c r="N940" s="308"/>
      <c r="O940" s="312" t="s">
        <v>35799</v>
      </c>
      <c r="P940" s="308" t="s">
        <v>35800</v>
      </c>
      <c r="Q940" s="308"/>
      <c r="R940" s="308"/>
      <c r="S940" s="308" t="s">
        <v>49</v>
      </c>
      <c r="T940" s="311" t="s">
        <v>67</v>
      </c>
      <c r="U940" s="308"/>
      <c r="V940" s="312"/>
    </row>
    <row r="941">
      <c r="A941" s="308">
        <v>940.0</v>
      </c>
      <c r="B941" s="308">
        <v>4152.0</v>
      </c>
      <c r="C941" s="308" t="s">
        <v>35801</v>
      </c>
      <c r="D941" s="308">
        <f>IFERROR(__xludf.DUMMYFUNCTION("SPLIT(C941,""-"")"),955.0)</f>
        <v>955</v>
      </c>
      <c r="E941" s="311"/>
      <c r="F941" s="309" t="s">
        <v>34</v>
      </c>
      <c r="G941" s="308" t="s">
        <v>3827</v>
      </c>
      <c r="H941" s="308" t="s">
        <v>3828</v>
      </c>
      <c r="I941" s="310">
        <v>41115.0</v>
      </c>
      <c r="J941" s="308">
        <f>IFERROR(__xludf.DUMMYFUNCTION("SPLIT(I941,""/"")"),25.0)</f>
        <v>25</v>
      </c>
      <c r="K941" s="308">
        <f>IFERROR(__xludf.DUMMYFUNCTION("""COMPUTED_VALUE"""),7.0)</f>
        <v>7</v>
      </c>
      <c r="L941" s="308">
        <f>IFERROR(__xludf.DUMMYFUNCTION("""COMPUTED_VALUE"""),2012.0)</f>
        <v>2012</v>
      </c>
      <c r="M941" s="308" t="s">
        <v>3829</v>
      </c>
      <c r="N941" s="308"/>
      <c r="O941" s="312" t="s">
        <v>3830</v>
      </c>
      <c r="P941" s="308" t="s">
        <v>3831</v>
      </c>
      <c r="Q941" s="308"/>
      <c r="R941" s="308"/>
      <c r="S941" s="308" t="s">
        <v>81</v>
      </c>
      <c r="T941" s="308" t="s">
        <v>34264</v>
      </c>
      <c r="U941" s="308"/>
      <c r="V941" s="312"/>
    </row>
    <row r="942">
      <c r="A942" s="308">
        <v>941.0</v>
      </c>
      <c r="B942" s="308">
        <v>4153.0</v>
      </c>
      <c r="C942" s="308" t="s">
        <v>35802</v>
      </c>
      <c r="D942" s="308">
        <f>IFERROR(__xludf.DUMMYFUNCTION("SPLIT(C942,""-"")"),956.0)</f>
        <v>956</v>
      </c>
      <c r="E942" s="311"/>
      <c r="F942" s="309" t="s">
        <v>34</v>
      </c>
      <c r="G942" s="308" t="s">
        <v>3832</v>
      </c>
      <c r="H942" s="308" t="s">
        <v>3833</v>
      </c>
      <c r="I942" s="310">
        <v>41214.0</v>
      </c>
      <c r="J942" s="308">
        <f>IFERROR(__xludf.DUMMYFUNCTION("SPLIT(I942,""/"")"),1.0)</f>
        <v>1</v>
      </c>
      <c r="K942" s="308">
        <f>IFERROR(__xludf.DUMMYFUNCTION("""COMPUTED_VALUE"""),11.0)</f>
        <v>11</v>
      </c>
      <c r="L942" s="308">
        <f>IFERROR(__xludf.DUMMYFUNCTION("""COMPUTED_VALUE"""),2012.0)</f>
        <v>2012</v>
      </c>
      <c r="M942" s="308" t="s">
        <v>3834</v>
      </c>
      <c r="N942" s="308"/>
      <c r="O942" s="312" t="s">
        <v>35803</v>
      </c>
      <c r="P942" s="308" t="s">
        <v>3835</v>
      </c>
      <c r="Q942" s="308"/>
      <c r="R942" s="308"/>
      <c r="S942" s="308" t="s">
        <v>81</v>
      </c>
      <c r="T942" s="308" t="s">
        <v>34264</v>
      </c>
      <c r="U942" s="308"/>
      <c r="V942" s="312"/>
    </row>
    <row r="943">
      <c r="A943" s="308">
        <v>942.0</v>
      </c>
      <c r="B943" s="308">
        <v>4154.0</v>
      </c>
      <c r="C943" s="308" t="s">
        <v>35804</v>
      </c>
      <c r="D943" s="308">
        <f>IFERROR(__xludf.DUMMYFUNCTION("SPLIT(C943,""-"")"),957.0)</f>
        <v>957</v>
      </c>
      <c r="E943" s="311"/>
      <c r="F943" s="309" t="s">
        <v>34</v>
      </c>
      <c r="G943" s="308"/>
      <c r="H943" s="308" t="s">
        <v>3836</v>
      </c>
      <c r="I943" s="314">
        <v>40166.0</v>
      </c>
      <c r="J943" s="308">
        <f>IFERROR(__xludf.DUMMYFUNCTION("SPLIT(I943,""/"")"),19.0)</f>
        <v>19</v>
      </c>
      <c r="K943" s="308">
        <f>IFERROR(__xludf.DUMMYFUNCTION("""COMPUTED_VALUE"""),12.0)</f>
        <v>12</v>
      </c>
      <c r="L943" s="308">
        <f>IFERROR(__xludf.DUMMYFUNCTION("""COMPUTED_VALUE"""),2009.0)</f>
        <v>2009</v>
      </c>
      <c r="M943" s="308" t="s">
        <v>35805</v>
      </c>
      <c r="N943" s="308"/>
      <c r="O943" s="312" t="s">
        <v>3838</v>
      </c>
      <c r="P943" s="308" t="s">
        <v>1872</v>
      </c>
      <c r="Q943" s="308"/>
      <c r="R943" s="308"/>
      <c r="S943" s="315" t="s">
        <v>100</v>
      </c>
      <c r="T943" s="311" t="s">
        <v>34208</v>
      </c>
      <c r="U943" s="308" t="s">
        <v>530</v>
      </c>
      <c r="V943" s="312"/>
    </row>
    <row r="944">
      <c r="A944" s="308">
        <v>943.0</v>
      </c>
      <c r="B944" s="308">
        <v>4155.0</v>
      </c>
      <c r="C944" s="308" t="s">
        <v>35806</v>
      </c>
      <c r="D944" s="308">
        <f>IFERROR(__xludf.DUMMYFUNCTION("SPLIT(C944,""-"")"),958.0)</f>
        <v>958</v>
      </c>
      <c r="E944" s="311"/>
      <c r="F944" s="309" t="s">
        <v>34</v>
      </c>
      <c r="G944" s="308"/>
      <c r="H944" s="308" t="s">
        <v>3839</v>
      </c>
      <c r="I944" s="310">
        <v>41082.0</v>
      </c>
      <c r="J944" s="308">
        <f>IFERROR(__xludf.DUMMYFUNCTION("SPLIT(I944,""/"")"),22.0)</f>
        <v>22</v>
      </c>
      <c r="K944" s="308">
        <f>IFERROR(__xludf.DUMMYFUNCTION("""COMPUTED_VALUE"""),6.0)</f>
        <v>6</v>
      </c>
      <c r="L944" s="308">
        <f>IFERROR(__xludf.DUMMYFUNCTION("""COMPUTED_VALUE"""),2012.0)</f>
        <v>2012</v>
      </c>
      <c r="M944" s="308" t="s">
        <v>3840</v>
      </c>
      <c r="N944" s="308"/>
      <c r="O944" s="312" t="s">
        <v>635</v>
      </c>
      <c r="P944" s="308" t="s">
        <v>3841</v>
      </c>
      <c r="Q944" s="308"/>
      <c r="R944" s="308"/>
      <c r="S944" s="308" t="s">
        <v>81</v>
      </c>
      <c r="T944" s="308" t="s">
        <v>34264</v>
      </c>
      <c r="U944" s="308"/>
      <c r="V944" s="312"/>
    </row>
    <row r="945">
      <c r="A945" s="308">
        <v>944.0</v>
      </c>
      <c r="B945" s="308">
        <v>4156.0</v>
      </c>
      <c r="C945" s="308" t="s">
        <v>35807</v>
      </c>
      <c r="D945" s="308">
        <f>IFERROR(__xludf.DUMMYFUNCTION("SPLIT(C945,""-"")"),959.0)</f>
        <v>959</v>
      </c>
      <c r="E945" s="311"/>
      <c r="F945" s="309" t="s">
        <v>34</v>
      </c>
      <c r="G945" s="308"/>
      <c r="H945" s="308" t="s">
        <v>3842</v>
      </c>
      <c r="I945" s="310">
        <v>41251.0</v>
      </c>
      <c r="J945" s="308">
        <f>IFERROR(__xludf.DUMMYFUNCTION("SPLIT(I945,""/"")"),8.0)</f>
        <v>8</v>
      </c>
      <c r="K945" s="308">
        <f>IFERROR(__xludf.DUMMYFUNCTION("""COMPUTED_VALUE"""),12.0)</f>
        <v>12</v>
      </c>
      <c r="L945" s="308">
        <f>IFERROR(__xludf.DUMMYFUNCTION("""COMPUTED_VALUE"""),2012.0)</f>
        <v>2012</v>
      </c>
      <c r="M945" s="308" t="s">
        <v>3843</v>
      </c>
      <c r="N945" s="308"/>
      <c r="O945" s="312" t="s">
        <v>35808</v>
      </c>
      <c r="P945" s="308" t="s">
        <v>1971</v>
      </c>
      <c r="Q945" s="308"/>
      <c r="R945" s="308"/>
      <c r="S945" s="315" t="s">
        <v>100</v>
      </c>
      <c r="T945" s="311" t="s">
        <v>34208</v>
      </c>
      <c r="U945" s="308" t="s">
        <v>530</v>
      </c>
      <c r="V945" s="312"/>
    </row>
    <row r="946">
      <c r="A946" s="308">
        <v>945.0</v>
      </c>
      <c r="B946" s="308">
        <v>4157.0</v>
      </c>
      <c r="C946" s="308" t="s">
        <v>35809</v>
      </c>
      <c r="D946" s="308">
        <f>IFERROR(__xludf.DUMMYFUNCTION("SPLIT(C946,""-"")"),960.0)</f>
        <v>960</v>
      </c>
      <c r="E946" s="311"/>
      <c r="F946" s="309" t="s">
        <v>34</v>
      </c>
      <c r="G946" s="308"/>
      <c r="H946" s="308" t="s">
        <v>3845</v>
      </c>
      <c r="I946" s="310">
        <v>41190.0</v>
      </c>
      <c r="J946" s="308">
        <f>IFERROR(__xludf.DUMMYFUNCTION("SPLIT(I946,""/"")"),8.0)</f>
        <v>8</v>
      </c>
      <c r="K946" s="308">
        <f>IFERROR(__xludf.DUMMYFUNCTION("""COMPUTED_VALUE"""),10.0)</f>
        <v>10</v>
      </c>
      <c r="L946" s="308">
        <f>IFERROR(__xludf.DUMMYFUNCTION("""COMPUTED_VALUE"""),2012.0)</f>
        <v>2012</v>
      </c>
      <c r="M946" s="308" t="s">
        <v>3846</v>
      </c>
      <c r="N946" s="308"/>
      <c r="O946" s="312" t="s">
        <v>35810</v>
      </c>
      <c r="P946" s="308" t="s">
        <v>1971</v>
      </c>
      <c r="Q946" s="308"/>
      <c r="R946" s="308"/>
      <c r="S946" s="315" t="s">
        <v>100</v>
      </c>
      <c r="T946" s="311" t="s">
        <v>34208</v>
      </c>
      <c r="U946" s="308" t="s">
        <v>530</v>
      </c>
      <c r="V946" s="312"/>
    </row>
    <row r="947">
      <c r="A947" s="308">
        <v>946.0</v>
      </c>
      <c r="B947" s="308">
        <v>4158.0</v>
      </c>
      <c r="C947" s="308" t="s">
        <v>35811</v>
      </c>
      <c r="D947" s="308">
        <f>IFERROR(__xludf.DUMMYFUNCTION("SPLIT(C947,""-"")"),961.0)</f>
        <v>961</v>
      </c>
      <c r="E947" s="311"/>
      <c r="F947" s="317" t="s">
        <v>37</v>
      </c>
      <c r="G947" s="308"/>
      <c r="H947" s="308" t="s">
        <v>3848</v>
      </c>
      <c r="I947" s="310">
        <v>40961.0</v>
      </c>
      <c r="J947" s="308">
        <f>IFERROR(__xludf.DUMMYFUNCTION("SPLIT(I947,""/"")"),22.0)</f>
        <v>22</v>
      </c>
      <c r="K947" s="308">
        <f>IFERROR(__xludf.DUMMYFUNCTION("""COMPUTED_VALUE"""),2.0)</f>
        <v>2</v>
      </c>
      <c r="L947" s="308">
        <f>IFERROR(__xludf.DUMMYFUNCTION("""COMPUTED_VALUE"""),2012.0)</f>
        <v>2012</v>
      </c>
      <c r="M947" s="308" t="s">
        <v>3849</v>
      </c>
      <c r="N947" s="308"/>
      <c r="O947" s="312" t="s">
        <v>3850</v>
      </c>
      <c r="P947" s="308" t="s">
        <v>3851</v>
      </c>
      <c r="Q947" s="308"/>
      <c r="R947" s="308"/>
      <c r="S947" s="308" t="s">
        <v>81</v>
      </c>
      <c r="T947" s="308" t="s">
        <v>75</v>
      </c>
      <c r="U947" s="308"/>
      <c r="V947" s="312"/>
    </row>
    <row r="948">
      <c r="A948" s="308">
        <v>947.0</v>
      </c>
      <c r="B948" s="308">
        <v>4159.0</v>
      </c>
      <c r="C948" s="308" t="s">
        <v>35812</v>
      </c>
      <c r="D948" s="308">
        <f>IFERROR(__xludf.DUMMYFUNCTION("SPLIT(C948,""-"")"),962.0)</f>
        <v>962</v>
      </c>
      <c r="E948" s="311"/>
      <c r="F948" s="317" t="s">
        <v>39</v>
      </c>
      <c r="G948" s="308"/>
      <c r="H948" s="308" t="s">
        <v>3852</v>
      </c>
      <c r="I948" s="310">
        <v>40356.0</v>
      </c>
      <c r="J948" s="308">
        <f>IFERROR(__xludf.DUMMYFUNCTION("SPLIT(I948,""/"")"),27.0)</f>
        <v>27</v>
      </c>
      <c r="K948" s="308">
        <f>IFERROR(__xludf.DUMMYFUNCTION("""COMPUTED_VALUE"""),6.0)</f>
        <v>6</v>
      </c>
      <c r="L948" s="308">
        <f>IFERROR(__xludf.DUMMYFUNCTION("""COMPUTED_VALUE"""),2010.0)</f>
        <v>2010</v>
      </c>
      <c r="M948" s="308" t="s">
        <v>3853</v>
      </c>
      <c r="N948" s="308"/>
      <c r="O948" s="312" t="s">
        <v>3854</v>
      </c>
      <c r="P948" s="308" t="s">
        <v>35813</v>
      </c>
      <c r="Q948" s="308"/>
      <c r="R948" s="308"/>
      <c r="S948" s="308" t="s">
        <v>49</v>
      </c>
      <c r="T948" s="308" t="s">
        <v>51</v>
      </c>
      <c r="U948" s="308"/>
      <c r="V948" s="312"/>
    </row>
    <row r="949">
      <c r="A949" s="308">
        <v>948.0</v>
      </c>
      <c r="B949" s="308">
        <v>4160.0</v>
      </c>
      <c r="C949" s="308" t="s">
        <v>35814</v>
      </c>
      <c r="D949" s="308">
        <f>IFERROR(__xludf.DUMMYFUNCTION("SPLIT(C949,""-"")"),963.0)</f>
        <v>963</v>
      </c>
      <c r="E949" s="311"/>
      <c r="F949" s="309" t="s">
        <v>34</v>
      </c>
      <c r="G949" s="308" t="s">
        <v>3856</v>
      </c>
      <c r="H949" s="308" t="s">
        <v>3857</v>
      </c>
      <c r="I949" s="310">
        <v>40360.0</v>
      </c>
      <c r="J949" s="308">
        <f>IFERROR(__xludf.DUMMYFUNCTION("SPLIT(I949,""/"")"),1.0)</f>
        <v>1</v>
      </c>
      <c r="K949" s="308">
        <f>IFERROR(__xludf.DUMMYFUNCTION("""COMPUTED_VALUE"""),7.0)</f>
        <v>7</v>
      </c>
      <c r="L949" s="308">
        <f>IFERROR(__xludf.DUMMYFUNCTION("""COMPUTED_VALUE"""),2010.0)</f>
        <v>2010</v>
      </c>
      <c r="M949" s="308" t="s">
        <v>3858</v>
      </c>
      <c r="N949" s="308"/>
      <c r="O949" s="312" t="s">
        <v>35815</v>
      </c>
      <c r="P949" s="308" t="s">
        <v>34782</v>
      </c>
      <c r="Q949" s="308"/>
      <c r="R949" s="308"/>
      <c r="S949" s="308" t="s">
        <v>49</v>
      </c>
      <c r="T949" s="308" t="s">
        <v>51</v>
      </c>
      <c r="U949" s="308" t="s">
        <v>542</v>
      </c>
      <c r="V949" s="312"/>
    </row>
    <row r="950">
      <c r="A950" s="308">
        <v>949.0</v>
      </c>
      <c r="B950" s="308">
        <v>4161.0</v>
      </c>
      <c r="C950" s="308" t="s">
        <v>35816</v>
      </c>
      <c r="D950" s="308">
        <f>IFERROR(__xludf.DUMMYFUNCTION("SPLIT(C950,""-"")"),964.0)</f>
        <v>964</v>
      </c>
      <c r="E950" s="311"/>
      <c r="F950" s="317" t="s">
        <v>39</v>
      </c>
      <c r="G950" s="308" t="s">
        <v>3860</v>
      </c>
      <c r="H950" s="308" t="s">
        <v>35817</v>
      </c>
      <c r="I950" s="310">
        <v>39486.0</v>
      </c>
      <c r="J950" s="308">
        <f>IFERROR(__xludf.DUMMYFUNCTION("SPLIT(I950,""/"")"),8.0)</f>
        <v>8</v>
      </c>
      <c r="K950" s="308">
        <f>IFERROR(__xludf.DUMMYFUNCTION("""COMPUTED_VALUE"""),2.0)</f>
        <v>2</v>
      </c>
      <c r="L950" s="308">
        <f>IFERROR(__xludf.DUMMYFUNCTION("""COMPUTED_VALUE"""),2008.0)</f>
        <v>2008</v>
      </c>
      <c r="M950" s="308" t="s">
        <v>3862</v>
      </c>
      <c r="N950" s="308"/>
      <c r="O950" s="312" t="s">
        <v>3863</v>
      </c>
      <c r="P950" s="308" t="s">
        <v>3864</v>
      </c>
      <c r="Q950" s="308"/>
      <c r="R950" s="308"/>
      <c r="S950" s="308" t="s">
        <v>49</v>
      </c>
      <c r="T950" s="311" t="s">
        <v>67</v>
      </c>
      <c r="U950" s="308"/>
      <c r="V950" s="312"/>
    </row>
    <row r="951">
      <c r="A951" s="308">
        <v>950.0</v>
      </c>
      <c r="B951" s="308">
        <v>4162.0</v>
      </c>
      <c r="C951" s="308" t="s">
        <v>35818</v>
      </c>
      <c r="D951" s="308">
        <f>IFERROR(__xludf.DUMMYFUNCTION("SPLIT(C951,""-"")"),965.0)</f>
        <v>965</v>
      </c>
      <c r="E951" s="311"/>
      <c r="F951" s="317" t="s">
        <v>37</v>
      </c>
      <c r="G951" s="308" t="s">
        <v>3865</v>
      </c>
      <c r="H951" s="308" t="s">
        <v>3866</v>
      </c>
      <c r="I951" s="310">
        <v>41153.0</v>
      </c>
      <c r="J951" s="308">
        <f>IFERROR(__xludf.DUMMYFUNCTION("SPLIT(I951,""/"")"),1.0)</f>
        <v>1</v>
      </c>
      <c r="K951" s="308">
        <f>IFERROR(__xludf.DUMMYFUNCTION("""COMPUTED_VALUE"""),9.0)</f>
        <v>9</v>
      </c>
      <c r="L951" s="308">
        <f>IFERROR(__xludf.DUMMYFUNCTION("""COMPUTED_VALUE"""),2012.0)</f>
        <v>2012</v>
      </c>
      <c r="M951" s="308" t="s">
        <v>3867</v>
      </c>
      <c r="N951" s="308"/>
      <c r="O951" s="312" t="s">
        <v>35819</v>
      </c>
      <c r="P951" s="308" t="s">
        <v>3869</v>
      </c>
      <c r="Q951" s="308"/>
      <c r="R951" s="308"/>
      <c r="S951" s="308" t="s">
        <v>81</v>
      </c>
      <c r="T951" s="311" t="s">
        <v>96</v>
      </c>
      <c r="U951" s="308"/>
      <c r="V951" s="312"/>
    </row>
    <row r="952">
      <c r="A952" s="308">
        <v>951.0</v>
      </c>
      <c r="B952" s="308">
        <v>4163.0</v>
      </c>
      <c r="C952" s="308" t="s">
        <v>35820</v>
      </c>
      <c r="D952" s="308">
        <f>IFERROR(__xludf.DUMMYFUNCTION("SPLIT(C952,""-"")"),966.0)</f>
        <v>966</v>
      </c>
      <c r="E952" s="311"/>
      <c r="F952" s="317" t="s">
        <v>37</v>
      </c>
      <c r="G952" s="308" t="s">
        <v>3870</v>
      </c>
      <c r="H952" s="308" t="s">
        <v>3871</v>
      </c>
      <c r="I952" s="314">
        <v>41201.0</v>
      </c>
      <c r="J952" s="308">
        <f>IFERROR(__xludf.DUMMYFUNCTION("SPLIT(I952,""/"")"),19.0)</f>
        <v>19</v>
      </c>
      <c r="K952" s="308">
        <f>IFERROR(__xludf.DUMMYFUNCTION("""COMPUTED_VALUE"""),10.0)</f>
        <v>10</v>
      </c>
      <c r="L952" s="308">
        <f>IFERROR(__xludf.DUMMYFUNCTION("""COMPUTED_VALUE"""),2012.0)</f>
        <v>2012</v>
      </c>
      <c r="M952" s="308" t="s">
        <v>3872</v>
      </c>
      <c r="N952" s="308"/>
      <c r="O952" s="312" t="s">
        <v>3873</v>
      </c>
      <c r="P952" s="308" t="s">
        <v>3874</v>
      </c>
      <c r="Q952" s="308"/>
      <c r="R952" s="308"/>
      <c r="S952" s="308" t="s">
        <v>81</v>
      </c>
      <c r="T952" s="311" t="s">
        <v>75</v>
      </c>
      <c r="U952" s="308"/>
      <c r="V952" s="312"/>
    </row>
    <row r="953">
      <c r="A953" s="308">
        <v>952.0</v>
      </c>
      <c r="B953" s="308">
        <v>4164.0</v>
      </c>
      <c r="C953" s="308" t="s">
        <v>35821</v>
      </c>
      <c r="D953" s="308">
        <f>IFERROR(__xludf.DUMMYFUNCTION("SPLIT(C953,""-"")"),967.0)</f>
        <v>967</v>
      </c>
      <c r="E953" s="311"/>
      <c r="F953" s="309" t="s">
        <v>34</v>
      </c>
      <c r="G953" s="308" t="s">
        <v>3875</v>
      </c>
      <c r="H953" s="308" t="s">
        <v>3876</v>
      </c>
      <c r="I953" s="310">
        <v>39995.0</v>
      </c>
      <c r="J953" s="308">
        <f>IFERROR(__xludf.DUMMYFUNCTION("SPLIT(I953,""/"")"),1.0)</f>
        <v>1</v>
      </c>
      <c r="K953" s="308">
        <f>IFERROR(__xludf.DUMMYFUNCTION("""COMPUTED_VALUE"""),7.0)</f>
        <v>7</v>
      </c>
      <c r="L953" s="308">
        <f>IFERROR(__xludf.DUMMYFUNCTION("""COMPUTED_VALUE"""),2009.0)</f>
        <v>2009</v>
      </c>
      <c r="M953" s="308" t="s">
        <v>3877</v>
      </c>
      <c r="N953" s="308"/>
      <c r="O953" s="312" t="s">
        <v>3878</v>
      </c>
      <c r="P953" s="308" t="s">
        <v>3879</v>
      </c>
      <c r="Q953" s="308"/>
      <c r="R953" s="308"/>
      <c r="S953" s="308" t="s">
        <v>81</v>
      </c>
      <c r="T953" s="308" t="s">
        <v>34264</v>
      </c>
      <c r="U953" s="308"/>
      <c r="V953" s="312"/>
    </row>
    <row r="954">
      <c r="A954" s="308">
        <v>953.0</v>
      </c>
      <c r="B954" s="308">
        <v>4165.0</v>
      </c>
      <c r="C954" s="308" t="s">
        <v>35822</v>
      </c>
      <c r="D954" s="308">
        <f>IFERROR(__xludf.DUMMYFUNCTION("SPLIT(C954,""-"")"),968.0)</f>
        <v>968</v>
      </c>
      <c r="E954" s="311"/>
      <c r="F954" s="317" t="s">
        <v>39</v>
      </c>
      <c r="G954" s="308" t="s">
        <v>3880</v>
      </c>
      <c r="H954" s="308" t="s">
        <v>3881</v>
      </c>
      <c r="I954" s="310">
        <v>40446.0</v>
      </c>
      <c r="J954" s="308">
        <f>IFERROR(__xludf.DUMMYFUNCTION("SPLIT(I954,""/"")"),25.0)</f>
        <v>25</v>
      </c>
      <c r="K954" s="308">
        <f>IFERROR(__xludf.DUMMYFUNCTION("""COMPUTED_VALUE"""),9.0)</f>
        <v>9</v>
      </c>
      <c r="L954" s="308">
        <f>IFERROR(__xludf.DUMMYFUNCTION("""COMPUTED_VALUE"""),2010.0)</f>
        <v>2010</v>
      </c>
      <c r="M954" s="308" t="s">
        <v>35823</v>
      </c>
      <c r="N954" s="308"/>
      <c r="O954" s="312" t="s">
        <v>635</v>
      </c>
      <c r="P954" s="308" t="s">
        <v>3883</v>
      </c>
      <c r="Q954" s="308"/>
      <c r="R954" s="308"/>
      <c r="S954" s="308" t="s">
        <v>81</v>
      </c>
      <c r="T954" s="311" t="s">
        <v>75</v>
      </c>
      <c r="U954" s="308"/>
      <c r="V954" s="312"/>
    </row>
    <row r="955">
      <c r="A955" s="308">
        <v>954.0</v>
      </c>
      <c r="B955" s="308">
        <v>4166.0</v>
      </c>
      <c r="C955" s="308" t="s">
        <v>3884</v>
      </c>
      <c r="D955" s="308">
        <f>IFERROR(__xludf.DUMMYFUNCTION("SPLIT(C955,""-"")"),969.0)</f>
        <v>969</v>
      </c>
      <c r="E955" s="308" t="str">
        <f>IFERROR(__xludf.DUMMYFUNCTION("""COMPUTED_VALUE"""),"B")</f>
        <v>B</v>
      </c>
      <c r="F955" s="315" t="s">
        <v>26</v>
      </c>
      <c r="G955" s="308" t="s">
        <v>3885</v>
      </c>
      <c r="H955" s="308" t="s">
        <v>3886</v>
      </c>
      <c r="I955" s="310">
        <v>40245.0</v>
      </c>
      <c r="J955" s="308">
        <f>IFERROR(__xludf.DUMMYFUNCTION("SPLIT(I955,""/"")"),8.0)</f>
        <v>8</v>
      </c>
      <c r="K955" s="308">
        <f>IFERROR(__xludf.DUMMYFUNCTION("""COMPUTED_VALUE"""),3.0)</f>
        <v>3</v>
      </c>
      <c r="L955" s="308">
        <f>IFERROR(__xludf.DUMMYFUNCTION("""COMPUTED_VALUE"""),2010.0)</f>
        <v>2010</v>
      </c>
      <c r="M955" s="308" t="s">
        <v>3887</v>
      </c>
      <c r="N955" s="308"/>
      <c r="O955" s="312" t="s">
        <v>35824</v>
      </c>
      <c r="P955" s="308" t="s">
        <v>3889</v>
      </c>
      <c r="Q955" s="308"/>
      <c r="R955" s="308"/>
      <c r="S955" s="308" t="s">
        <v>49</v>
      </c>
      <c r="T955" s="308" t="s">
        <v>53</v>
      </c>
      <c r="U955" s="308" t="s">
        <v>27</v>
      </c>
      <c r="V955" s="312"/>
    </row>
    <row r="956">
      <c r="A956" s="308">
        <v>955.0</v>
      </c>
      <c r="B956" s="308">
        <v>4167.0</v>
      </c>
      <c r="C956" s="308" t="s">
        <v>3890</v>
      </c>
      <c r="D956" s="308">
        <f>IFERROR(__xludf.DUMMYFUNCTION("SPLIT(C956,""-"")"),970.0)</f>
        <v>970</v>
      </c>
      <c r="E956" s="308" t="str">
        <f>IFERROR(__xludf.DUMMYFUNCTION("""COMPUTED_VALUE"""),"B")</f>
        <v>B</v>
      </c>
      <c r="F956" s="315" t="s">
        <v>26</v>
      </c>
      <c r="G956" s="308" t="s">
        <v>3885</v>
      </c>
      <c r="H956" s="308" t="s">
        <v>3891</v>
      </c>
      <c r="I956" s="310">
        <v>40420.0</v>
      </c>
      <c r="J956" s="308">
        <f>IFERROR(__xludf.DUMMYFUNCTION("SPLIT(I956,""/"")"),30.0)</f>
        <v>30</v>
      </c>
      <c r="K956" s="308">
        <f>IFERROR(__xludf.DUMMYFUNCTION("""COMPUTED_VALUE"""),8.0)</f>
        <v>8</v>
      </c>
      <c r="L956" s="308">
        <f>IFERROR(__xludf.DUMMYFUNCTION("""COMPUTED_VALUE"""),2010.0)</f>
        <v>2010</v>
      </c>
      <c r="M956" s="308" t="s">
        <v>3892</v>
      </c>
      <c r="N956" s="308"/>
      <c r="O956" s="312" t="s">
        <v>35824</v>
      </c>
      <c r="P956" s="308" t="s">
        <v>3889</v>
      </c>
      <c r="Q956" s="308"/>
      <c r="R956" s="308"/>
      <c r="S956" s="308" t="s">
        <v>49</v>
      </c>
      <c r="T956" s="308" t="s">
        <v>53</v>
      </c>
      <c r="U956" s="308" t="s">
        <v>27</v>
      </c>
      <c r="V956" s="312"/>
    </row>
    <row r="957">
      <c r="A957" s="308">
        <v>956.0</v>
      </c>
      <c r="B957" s="308">
        <v>4168.0</v>
      </c>
      <c r="C957" s="308" t="s">
        <v>35825</v>
      </c>
      <c r="D957" s="308">
        <f>IFERROR(__xludf.DUMMYFUNCTION("SPLIT(C957,""-"")"),971.0)</f>
        <v>971</v>
      </c>
      <c r="E957" s="311"/>
      <c r="F957" s="317" t="s">
        <v>37</v>
      </c>
      <c r="G957" s="308"/>
      <c r="H957" s="308" t="s">
        <v>3893</v>
      </c>
      <c r="I957" s="310">
        <v>40444.0</v>
      </c>
      <c r="J957" s="308">
        <f>IFERROR(__xludf.DUMMYFUNCTION("SPLIT(I957,""/"")"),23.0)</f>
        <v>23</v>
      </c>
      <c r="K957" s="308">
        <f>IFERROR(__xludf.DUMMYFUNCTION("""COMPUTED_VALUE"""),9.0)</f>
        <v>9</v>
      </c>
      <c r="L957" s="308">
        <f>IFERROR(__xludf.DUMMYFUNCTION("""COMPUTED_VALUE"""),2010.0)</f>
        <v>2010</v>
      </c>
      <c r="M957" s="308" t="s">
        <v>3894</v>
      </c>
      <c r="N957" s="308"/>
      <c r="O957" s="312" t="s">
        <v>3895</v>
      </c>
      <c r="P957" s="308" t="s">
        <v>3896</v>
      </c>
      <c r="Q957" s="308"/>
      <c r="R957" s="308"/>
      <c r="S957" s="308" t="s">
        <v>49</v>
      </c>
      <c r="T957" s="308" t="s">
        <v>51</v>
      </c>
      <c r="U957" s="308"/>
      <c r="V957" s="312"/>
    </row>
    <row r="958">
      <c r="A958" s="308">
        <v>957.0</v>
      </c>
      <c r="B958" s="308">
        <v>4169.0</v>
      </c>
      <c r="C958" s="308" t="s">
        <v>35826</v>
      </c>
      <c r="D958" s="308">
        <f>IFERROR(__xludf.DUMMYFUNCTION("SPLIT(C958,""-"")"),972.0)</f>
        <v>972</v>
      </c>
      <c r="E958" s="311"/>
      <c r="F958" s="317" t="s">
        <v>39</v>
      </c>
      <c r="G958" s="308" t="s">
        <v>3897</v>
      </c>
      <c r="H958" s="308" t="s">
        <v>3898</v>
      </c>
      <c r="I958" s="314">
        <v>41234.0</v>
      </c>
      <c r="J958" s="308">
        <f>IFERROR(__xludf.DUMMYFUNCTION("SPLIT(I958,""/"")"),21.0)</f>
        <v>21</v>
      </c>
      <c r="K958" s="308">
        <f>IFERROR(__xludf.DUMMYFUNCTION("""COMPUTED_VALUE"""),11.0)</f>
        <v>11</v>
      </c>
      <c r="L958" s="308">
        <f>IFERROR(__xludf.DUMMYFUNCTION("""COMPUTED_VALUE"""),2012.0)</f>
        <v>2012</v>
      </c>
      <c r="M958" s="308" t="s">
        <v>3899</v>
      </c>
      <c r="N958" s="308"/>
      <c r="O958" s="312" t="s">
        <v>3900</v>
      </c>
      <c r="P958" s="308" t="s">
        <v>124</v>
      </c>
      <c r="Q958" s="308"/>
      <c r="R958" s="308"/>
      <c r="S958" s="308" t="s">
        <v>81</v>
      </c>
      <c r="T958" s="308" t="s">
        <v>35048</v>
      </c>
      <c r="U958" s="308"/>
      <c r="V958" s="312"/>
    </row>
    <row r="959">
      <c r="A959" s="308">
        <v>958.0</v>
      </c>
      <c r="B959" s="308">
        <v>4170.0</v>
      </c>
      <c r="C959" s="308" t="s">
        <v>35827</v>
      </c>
      <c r="D959" s="308">
        <f>IFERROR(__xludf.DUMMYFUNCTION("SPLIT(C959,""-"")"),973.0)</f>
        <v>973</v>
      </c>
      <c r="E959" s="311"/>
      <c r="F959" s="317" t="s">
        <v>37</v>
      </c>
      <c r="G959" s="308" t="s">
        <v>3901</v>
      </c>
      <c r="H959" s="308" t="s">
        <v>3902</v>
      </c>
      <c r="I959" s="310">
        <v>41214.0</v>
      </c>
      <c r="J959" s="308">
        <f>IFERROR(__xludf.DUMMYFUNCTION("SPLIT(I959,""/"")"),1.0)</f>
        <v>1</v>
      </c>
      <c r="K959" s="308">
        <f>IFERROR(__xludf.DUMMYFUNCTION("""COMPUTED_VALUE"""),11.0)</f>
        <v>11</v>
      </c>
      <c r="L959" s="308">
        <f>IFERROR(__xludf.DUMMYFUNCTION("""COMPUTED_VALUE"""),2012.0)</f>
        <v>2012</v>
      </c>
      <c r="M959" s="308" t="s">
        <v>3903</v>
      </c>
      <c r="N959" s="308"/>
      <c r="O959" s="312" t="s">
        <v>35828</v>
      </c>
      <c r="P959" s="308" t="s">
        <v>3905</v>
      </c>
      <c r="Q959" s="308"/>
      <c r="R959" s="308"/>
      <c r="S959" s="308" t="s">
        <v>81</v>
      </c>
      <c r="T959" s="308" t="s">
        <v>75</v>
      </c>
      <c r="U959" s="308"/>
      <c r="V959" s="312"/>
    </row>
    <row r="960">
      <c r="A960" s="308">
        <v>959.0</v>
      </c>
      <c r="B960" s="308">
        <v>4171.0</v>
      </c>
      <c r="C960" s="308" t="s">
        <v>35829</v>
      </c>
      <c r="D960" s="308">
        <f>IFERROR(__xludf.DUMMYFUNCTION("SPLIT(C960,""-"")"),974.0)</f>
        <v>974</v>
      </c>
      <c r="E960" s="311"/>
      <c r="F960" s="317" t="s">
        <v>37</v>
      </c>
      <c r="G960" s="308" t="s">
        <v>3906</v>
      </c>
      <c r="H960" s="308" t="s">
        <v>3907</v>
      </c>
      <c r="I960" s="310">
        <v>40979.0</v>
      </c>
      <c r="J960" s="308">
        <f>IFERROR(__xludf.DUMMYFUNCTION("SPLIT(I960,""/"")"),11.0)</f>
        <v>11</v>
      </c>
      <c r="K960" s="308">
        <f>IFERROR(__xludf.DUMMYFUNCTION("""COMPUTED_VALUE"""),3.0)</f>
        <v>3</v>
      </c>
      <c r="L960" s="308">
        <f>IFERROR(__xludf.DUMMYFUNCTION("""COMPUTED_VALUE"""),2012.0)</f>
        <v>2012</v>
      </c>
      <c r="M960" s="308" t="s">
        <v>3908</v>
      </c>
      <c r="N960" s="308"/>
      <c r="O960" s="312" t="s">
        <v>3909</v>
      </c>
      <c r="P960" s="308" t="s">
        <v>3910</v>
      </c>
      <c r="Q960" s="308"/>
      <c r="R960" s="308"/>
      <c r="S960" s="308" t="s">
        <v>81</v>
      </c>
      <c r="T960" s="308" t="s">
        <v>75</v>
      </c>
      <c r="U960" s="308"/>
      <c r="V960" s="312"/>
    </row>
    <row r="961">
      <c r="A961" s="308">
        <v>960.0</v>
      </c>
      <c r="B961" s="308">
        <v>4172.0</v>
      </c>
      <c r="C961" s="308" t="s">
        <v>35830</v>
      </c>
      <c r="D961" s="308">
        <f>IFERROR(__xludf.DUMMYFUNCTION("SPLIT(C961,""-"")"),975.0)</f>
        <v>975</v>
      </c>
      <c r="E961" s="311"/>
      <c r="F961" s="309" t="s">
        <v>34</v>
      </c>
      <c r="G961" s="308" t="s">
        <v>3911</v>
      </c>
      <c r="H961" s="308" t="s">
        <v>3912</v>
      </c>
      <c r="I961" s="310">
        <v>40183.0</v>
      </c>
      <c r="J961" s="308">
        <f>IFERROR(__xludf.DUMMYFUNCTION("SPLIT(I961,""/"")"),5.0)</f>
        <v>5</v>
      </c>
      <c r="K961" s="308">
        <f>IFERROR(__xludf.DUMMYFUNCTION("""COMPUTED_VALUE"""),1.0)</f>
        <v>1</v>
      </c>
      <c r="L961" s="308">
        <f>IFERROR(__xludf.DUMMYFUNCTION("""COMPUTED_VALUE"""),2010.0)</f>
        <v>2010</v>
      </c>
      <c r="M961" s="308" t="s">
        <v>3913</v>
      </c>
      <c r="N961" s="308"/>
      <c r="O961" s="312" t="s">
        <v>635</v>
      </c>
      <c r="P961" s="308" t="s">
        <v>3914</v>
      </c>
      <c r="Q961" s="308"/>
      <c r="R961" s="308"/>
      <c r="S961" s="308" t="s">
        <v>81</v>
      </c>
      <c r="T961" s="308" t="s">
        <v>34264</v>
      </c>
      <c r="U961" s="308"/>
      <c r="V961" s="312"/>
    </row>
    <row r="962">
      <c r="A962" s="308">
        <v>961.0</v>
      </c>
      <c r="B962" s="308">
        <v>4173.0</v>
      </c>
      <c r="C962" s="308" t="s">
        <v>35831</v>
      </c>
      <c r="D962" s="308">
        <f>IFERROR(__xludf.DUMMYFUNCTION("SPLIT(C962,""-"")"),976.0)</f>
        <v>976</v>
      </c>
      <c r="E962" s="311"/>
      <c r="F962" s="309" t="s">
        <v>34</v>
      </c>
      <c r="G962" s="308" t="s">
        <v>3915</v>
      </c>
      <c r="H962" s="308" t="s">
        <v>3916</v>
      </c>
      <c r="I962" s="310">
        <v>39983.0</v>
      </c>
      <c r="J962" s="308">
        <f>IFERROR(__xludf.DUMMYFUNCTION("SPLIT(I962,""/"")"),19.0)</f>
        <v>19</v>
      </c>
      <c r="K962" s="308">
        <f>IFERROR(__xludf.DUMMYFUNCTION("""COMPUTED_VALUE"""),6.0)</f>
        <v>6</v>
      </c>
      <c r="L962" s="308">
        <f>IFERROR(__xludf.DUMMYFUNCTION("""COMPUTED_VALUE"""),2009.0)</f>
        <v>2009</v>
      </c>
      <c r="M962" s="308" t="s">
        <v>3917</v>
      </c>
      <c r="N962" s="308"/>
      <c r="O962" s="312" t="s">
        <v>3918</v>
      </c>
      <c r="P962" s="308" t="s">
        <v>34212</v>
      </c>
      <c r="Q962" s="308"/>
      <c r="R962" s="308"/>
      <c r="S962" s="315" t="s">
        <v>100</v>
      </c>
      <c r="T962" s="311" t="s">
        <v>34208</v>
      </c>
      <c r="U962" s="308" t="s">
        <v>530</v>
      </c>
      <c r="V962" s="312"/>
    </row>
    <row r="963">
      <c r="A963" s="308">
        <v>962.0</v>
      </c>
      <c r="B963" s="308">
        <v>4174.0</v>
      </c>
      <c r="C963" s="308" t="s">
        <v>35832</v>
      </c>
      <c r="D963" s="308">
        <f>IFERROR(__xludf.DUMMYFUNCTION("SPLIT(C963,""-"")"),977.0)</f>
        <v>977</v>
      </c>
      <c r="E963" s="311"/>
      <c r="F963" s="309" t="s">
        <v>34</v>
      </c>
      <c r="G963" s="308" t="s">
        <v>3919</v>
      </c>
      <c r="H963" s="308" t="s">
        <v>3920</v>
      </c>
      <c r="I963" s="310">
        <v>41061.0</v>
      </c>
      <c r="J963" s="308">
        <f>IFERROR(__xludf.DUMMYFUNCTION("SPLIT(I963,""/"")"),1.0)</f>
        <v>1</v>
      </c>
      <c r="K963" s="308">
        <f>IFERROR(__xludf.DUMMYFUNCTION("""COMPUTED_VALUE"""),6.0)</f>
        <v>6</v>
      </c>
      <c r="L963" s="308">
        <f>IFERROR(__xludf.DUMMYFUNCTION("""COMPUTED_VALUE"""),2012.0)</f>
        <v>2012</v>
      </c>
      <c r="M963" s="308" t="s">
        <v>3921</v>
      </c>
      <c r="N963" s="308"/>
      <c r="O963" s="312" t="s">
        <v>635</v>
      </c>
      <c r="P963" s="308" t="s">
        <v>3922</v>
      </c>
      <c r="Q963" s="308"/>
      <c r="R963" s="308"/>
      <c r="S963" s="308" t="s">
        <v>81</v>
      </c>
      <c r="T963" s="311" t="s">
        <v>75</v>
      </c>
      <c r="U963" s="308"/>
      <c r="V963" s="312"/>
    </row>
    <row r="964">
      <c r="A964" s="308">
        <v>963.0</v>
      </c>
      <c r="B964" s="308">
        <v>4175.0</v>
      </c>
      <c r="C964" s="308" t="s">
        <v>3923</v>
      </c>
      <c r="D964" s="308">
        <f>IFERROR(__xludf.DUMMYFUNCTION("SPLIT(C964,""-"")"),978.0)</f>
        <v>978</v>
      </c>
      <c r="E964" s="308" t="str">
        <f>IFERROR(__xludf.DUMMYFUNCTION("""COMPUTED_VALUE"""),"K")</f>
        <v>K</v>
      </c>
      <c r="F964" s="309" t="s">
        <v>34</v>
      </c>
      <c r="G964" s="308" t="s">
        <v>3924</v>
      </c>
      <c r="H964" s="308" t="s">
        <v>3925</v>
      </c>
      <c r="I964" s="310">
        <v>40356.0</v>
      </c>
      <c r="J964" s="308">
        <f>IFERROR(__xludf.DUMMYFUNCTION("SPLIT(I964,""/"")"),27.0)</f>
        <v>27</v>
      </c>
      <c r="K964" s="308">
        <f>IFERROR(__xludf.DUMMYFUNCTION("""COMPUTED_VALUE"""),6.0)</f>
        <v>6</v>
      </c>
      <c r="L964" s="308">
        <f>IFERROR(__xludf.DUMMYFUNCTION("""COMPUTED_VALUE"""),2010.0)</f>
        <v>2010</v>
      </c>
      <c r="M964" s="308" t="s">
        <v>3926</v>
      </c>
      <c r="N964" s="308"/>
      <c r="O964" s="312" t="s">
        <v>35833</v>
      </c>
      <c r="P964" s="308" t="s">
        <v>35834</v>
      </c>
      <c r="Q964" s="308"/>
      <c r="R964" s="308"/>
      <c r="S964" s="308" t="s">
        <v>49</v>
      </c>
      <c r="T964" s="311" t="s">
        <v>51</v>
      </c>
      <c r="U964" s="308" t="s">
        <v>125</v>
      </c>
      <c r="V964" s="312"/>
    </row>
    <row r="965">
      <c r="A965" s="308">
        <v>964.0</v>
      </c>
      <c r="B965" s="308">
        <v>4176.0</v>
      </c>
      <c r="C965" s="308" t="s">
        <v>35835</v>
      </c>
      <c r="D965" s="308">
        <f>IFERROR(__xludf.DUMMYFUNCTION("SPLIT(C965,""-"")"),979.0)</f>
        <v>979</v>
      </c>
      <c r="E965" s="311"/>
      <c r="F965" s="309" t="s">
        <v>26</v>
      </c>
      <c r="G965" s="308" t="s">
        <v>3928</v>
      </c>
      <c r="H965" s="308" t="s">
        <v>3929</v>
      </c>
      <c r="I965" s="310">
        <v>41091.0</v>
      </c>
      <c r="J965" s="308">
        <f>IFERROR(__xludf.DUMMYFUNCTION("SPLIT(I965,""/"")"),1.0)</f>
        <v>1</v>
      </c>
      <c r="K965" s="308">
        <f>IFERROR(__xludf.DUMMYFUNCTION("""COMPUTED_VALUE"""),7.0)</f>
        <v>7</v>
      </c>
      <c r="L965" s="308">
        <f>IFERROR(__xludf.DUMMYFUNCTION("""COMPUTED_VALUE"""),2012.0)</f>
        <v>2012</v>
      </c>
      <c r="M965" s="308" t="s">
        <v>3930</v>
      </c>
      <c r="N965" s="308"/>
      <c r="O965" s="312" t="s">
        <v>635</v>
      </c>
      <c r="P965" s="308" t="s">
        <v>3931</v>
      </c>
      <c r="Q965" s="308"/>
      <c r="R965" s="308"/>
      <c r="S965" s="308" t="s">
        <v>81</v>
      </c>
      <c r="T965" s="311" t="s">
        <v>51</v>
      </c>
      <c r="U965" s="308"/>
      <c r="V965" s="312"/>
    </row>
    <row r="966">
      <c r="A966" s="308">
        <v>965.0</v>
      </c>
      <c r="B966" s="308">
        <v>4177.0</v>
      </c>
      <c r="C966" s="308" t="s">
        <v>3932</v>
      </c>
      <c r="D966" s="308">
        <f>IFERROR(__xludf.DUMMYFUNCTION("SPLIT(C966,""-"")"),980.0)</f>
        <v>980</v>
      </c>
      <c r="E966" s="308" t="str">
        <f>IFERROR(__xludf.DUMMYFUNCTION("""COMPUTED_VALUE"""),"K")</f>
        <v>K</v>
      </c>
      <c r="F966" s="309" t="s">
        <v>34</v>
      </c>
      <c r="G966" s="308" t="s">
        <v>3933</v>
      </c>
      <c r="H966" s="308" t="s">
        <v>3934</v>
      </c>
      <c r="I966" s="310">
        <v>40854.0</v>
      </c>
      <c r="J966" s="308">
        <f>IFERROR(__xludf.DUMMYFUNCTION("SPLIT(I966,""/"")"),7.0)</f>
        <v>7</v>
      </c>
      <c r="K966" s="308">
        <f>IFERROR(__xludf.DUMMYFUNCTION("""COMPUTED_VALUE"""),11.0)</f>
        <v>11</v>
      </c>
      <c r="L966" s="308">
        <f>IFERROR(__xludf.DUMMYFUNCTION("""COMPUTED_VALUE"""),2011.0)</f>
        <v>2011</v>
      </c>
      <c r="M966" s="308" t="s">
        <v>3935</v>
      </c>
      <c r="N966" s="308"/>
      <c r="O966" s="312" t="s">
        <v>3936</v>
      </c>
      <c r="P966" s="308" t="s">
        <v>35836</v>
      </c>
      <c r="Q966" s="308"/>
      <c r="R966" s="308"/>
      <c r="S966" s="315" t="s">
        <v>100</v>
      </c>
      <c r="T966" s="311" t="s">
        <v>34208</v>
      </c>
      <c r="U966" s="308" t="s">
        <v>125</v>
      </c>
      <c r="V966" s="312"/>
    </row>
    <row r="967">
      <c r="A967" s="308">
        <v>966.0</v>
      </c>
      <c r="B967" s="308">
        <v>4178.0</v>
      </c>
      <c r="C967" s="308" t="s">
        <v>35837</v>
      </c>
      <c r="D967" s="308">
        <f>IFERROR(__xludf.DUMMYFUNCTION("SPLIT(C967,""-"")"),981.0)</f>
        <v>981</v>
      </c>
      <c r="E967" s="311"/>
      <c r="F967" s="309" t="s">
        <v>34</v>
      </c>
      <c r="G967" s="308"/>
      <c r="H967" s="308" t="s">
        <v>3938</v>
      </c>
      <c r="I967" s="310">
        <v>41093.0</v>
      </c>
      <c r="J967" s="308">
        <f>IFERROR(__xludf.DUMMYFUNCTION("SPLIT(I967,""/"")"),3.0)</f>
        <v>3</v>
      </c>
      <c r="K967" s="308">
        <f>IFERROR(__xludf.DUMMYFUNCTION("""COMPUTED_VALUE"""),7.0)</f>
        <v>7</v>
      </c>
      <c r="L967" s="308">
        <f>IFERROR(__xludf.DUMMYFUNCTION("""COMPUTED_VALUE"""),2012.0)</f>
        <v>2012</v>
      </c>
      <c r="M967" s="308" t="s">
        <v>3939</v>
      </c>
      <c r="N967" s="308"/>
      <c r="O967" s="312" t="s">
        <v>3940</v>
      </c>
      <c r="P967" s="308" t="s">
        <v>3941</v>
      </c>
      <c r="Q967" s="308"/>
      <c r="R967" s="308"/>
      <c r="S967" s="308" t="s">
        <v>81</v>
      </c>
      <c r="T967" s="308" t="s">
        <v>75</v>
      </c>
      <c r="U967" s="308"/>
      <c r="V967" s="312"/>
    </row>
    <row r="968">
      <c r="A968" s="308">
        <v>967.0</v>
      </c>
      <c r="B968" s="308">
        <v>4180.0</v>
      </c>
      <c r="C968" s="308" t="s">
        <v>35838</v>
      </c>
      <c r="D968" s="308">
        <f>IFERROR(__xludf.DUMMYFUNCTION("SPLIT(C968,""-"")"),983.0)</f>
        <v>983</v>
      </c>
      <c r="E968" s="311"/>
      <c r="F968" s="309" t="s">
        <v>31</v>
      </c>
      <c r="G968" s="308"/>
      <c r="H968" s="308" t="s">
        <v>35839</v>
      </c>
      <c r="I968" s="310">
        <v>40360.0</v>
      </c>
      <c r="J968" s="308">
        <f>IFERROR(__xludf.DUMMYFUNCTION("SPLIT(I968,""/"")"),1.0)</f>
        <v>1</v>
      </c>
      <c r="K968" s="308">
        <f>IFERROR(__xludf.DUMMYFUNCTION("""COMPUTED_VALUE"""),7.0)</f>
        <v>7</v>
      </c>
      <c r="L968" s="308">
        <f>IFERROR(__xludf.DUMMYFUNCTION("""COMPUTED_VALUE"""),2010.0)</f>
        <v>2010</v>
      </c>
      <c r="M968" s="308" t="s">
        <v>3943</v>
      </c>
      <c r="N968" s="308"/>
      <c r="O968" s="312" t="s">
        <v>35840</v>
      </c>
      <c r="P968" s="308" t="s">
        <v>3945</v>
      </c>
      <c r="Q968" s="308"/>
      <c r="R968" s="308"/>
      <c r="S968" s="308" t="s">
        <v>81</v>
      </c>
      <c r="T968" s="311" t="s">
        <v>75</v>
      </c>
      <c r="U968" s="308"/>
      <c r="V968" s="312"/>
    </row>
    <row r="969">
      <c r="A969" s="308">
        <v>968.0</v>
      </c>
      <c r="B969" s="308">
        <v>4181.0</v>
      </c>
      <c r="C969" s="308" t="s">
        <v>35841</v>
      </c>
      <c r="D969" s="308">
        <f>IFERROR(__xludf.DUMMYFUNCTION("SPLIT(C969,""-"")"),984.0)</f>
        <v>984</v>
      </c>
      <c r="E969" s="311"/>
      <c r="F969" s="309" t="s">
        <v>34</v>
      </c>
      <c r="G969" s="308"/>
      <c r="H969" s="308" t="s">
        <v>3946</v>
      </c>
      <c r="I969" s="310">
        <v>40577.0</v>
      </c>
      <c r="J969" s="308">
        <f>IFERROR(__xludf.DUMMYFUNCTION("SPLIT(I969,""/"")"),3.0)</f>
        <v>3</v>
      </c>
      <c r="K969" s="308">
        <f>IFERROR(__xludf.DUMMYFUNCTION("""COMPUTED_VALUE"""),2.0)</f>
        <v>2</v>
      </c>
      <c r="L969" s="308">
        <f>IFERROR(__xludf.DUMMYFUNCTION("""COMPUTED_VALUE"""),2011.0)</f>
        <v>2011</v>
      </c>
      <c r="M969" s="308" t="s">
        <v>3947</v>
      </c>
      <c r="N969" s="308"/>
      <c r="O969" s="312" t="s">
        <v>35842</v>
      </c>
      <c r="P969" s="308" t="s">
        <v>3949</v>
      </c>
      <c r="Q969" s="308"/>
      <c r="R969" s="308"/>
      <c r="S969" s="308" t="s">
        <v>81</v>
      </c>
      <c r="T969" s="311" t="s">
        <v>98</v>
      </c>
      <c r="U969" s="308"/>
      <c r="V969" s="312"/>
    </row>
    <row r="970">
      <c r="A970" s="308">
        <v>969.0</v>
      </c>
      <c r="B970" s="308">
        <v>4182.0</v>
      </c>
      <c r="C970" s="308" t="s">
        <v>3950</v>
      </c>
      <c r="D970" s="308">
        <f>IFERROR(__xludf.DUMMYFUNCTION("SPLIT(C970,""-"")"),985.0)</f>
        <v>985</v>
      </c>
      <c r="E970" s="308" t="str">
        <f>IFERROR(__xludf.DUMMYFUNCTION("""COMPUTED_VALUE"""),"K")</f>
        <v>K</v>
      </c>
      <c r="F970" s="309" t="s">
        <v>34</v>
      </c>
      <c r="G970" s="308"/>
      <c r="H970" s="308" t="s">
        <v>3951</v>
      </c>
      <c r="I970" s="310">
        <v>39630.0</v>
      </c>
      <c r="J970" s="308">
        <f>IFERROR(__xludf.DUMMYFUNCTION("SPLIT(I970,""/"")"),1.0)</f>
        <v>1</v>
      </c>
      <c r="K970" s="308">
        <f>IFERROR(__xludf.DUMMYFUNCTION("""COMPUTED_VALUE"""),7.0)</f>
        <v>7</v>
      </c>
      <c r="L970" s="308">
        <f>IFERROR(__xludf.DUMMYFUNCTION("""COMPUTED_VALUE"""),2008.0)</f>
        <v>2008</v>
      </c>
      <c r="M970" s="308" t="s">
        <v>3952</v>
      </c>
      <c r="N970" s="308"/>
      <c r="O970" s="312" t="s">
        <v>35843</v>
      </c>
      <c r="P970" s="308" t="s">
        <v>1971</v>
      </c>
      <c r="Q970" s="308"/>
      <c r="R970" s="308"/>
      <c r="S970" s="315" t="s">
        <v>100</v>
      </c>
      <c r="T970" s="311" t="s">
        <v>34208</v>
      </c>
      <c r="U970" s="308" t="s">
        <v>530</v>
      </c>
      <c r="V970" s="312"/>
    </row>
    <row r="971">
      <c r="A971" s="308">
        <v>970.0</v>
      </c>
      <c r="B971" s="308">
        <v>4183.0</v>
      </c>
      <c r="C971" s="308" t="s">
        <v>35844</v>
      </c>
      <c r="D971" s="308">
        <f>IFERROR(__xludf.DUMMYFUNCTION("SPLIT(C971,""-"")"),986.0)</f>
        <v>986</v>
      </c>
      <c r="E971" s="311"/>
      <c r="F971" s="309" t="s">
        <v>34</v>
      </c>
      <c r="G971" s="308"/>
      <c r="H971" s="308" t="s">
        <v>3954</v>
      </c>
      <c r="I971" s="310">
        <v>41031.0</v>
      </c>
      <c r="J971" s="308">
        <f>IFERROR(__xludf.DUMMYFUNCTION("SPLIT(I971,""/"")"),2.0)</f>
        <v>2</v>
      </c>
      <c r="K971" s="308">
        <f>IFERROR(__xludf.DUMMYFUNCTION("""COMPUTED_VALUE"""),5.0)</f>
        <v>5</v>
      </c>
      <c r="L971" s="308">
        <f>IFERROR(__xludf.DUMMYFUNCTION("""COMPUTED_VALUE"""),2012.0)</f>
        <v>2012</v>
      </c>
      <c r="M971" s="308" t="s">
        <v>3955</v>
      </c>
      <c r="N971" s="308"/>
      <c r="O971" s="312" t="s">
        <v>35845</v>
      </c>
      <c r="P971" s="308" t="s">
        <v>3957</v>
      </c>
      <c r="Q971" s="308"/>
      <c r="R971" s="308"/>
      <c r="S971" s="308" t="s">
        <v>81</v>
      </c>
      <c r="T971" s="311" t="s">
        <v>75</v>
      </c>
      <c r="U971" s="308"/>
      <c r="V971" s="312"/>
    </row>
    <row r="972">
      <c r="A972" s="308">
        <v>971.0</v>
      </c>
      <c r="B972" s="308">
        <v>4184.0</v>
      </c>
      <c r="C972" s="308" t="s">
        <v>3958</v>
      </c>
      <c r="D972" s="308">
        <f>IFERROR(__xludf.DUMMYFUNCTION("SPLIT(C972,""-"")"),987.0)</f>
        <v>987</v>
      </c>
      <c r="E972" s="308" t="str">
        <f>IFERROR(__xludf.DUMMYFUNCTION("""COMPUTED_VALUE"""),"K")</f>
        <v>K</v>
      </c>
      <c r="F972" s="309" t="s">
        <v>34</v>
      </c>
      <c r="G972" s="308"/>
      <c r="H972" s="308" t="s">
        <v>3959</v>
      </c>
      <c r="I972" s="310">
        <v>39630.0</v>
      </c>
      <c r="J972" s="308">
        <f>IFERROR(__xludf.DUMMYFUNCTION("SPLIT(I972,""/"")"),1.0)</f>
        <v>1</v>
      </c>
      <c r="K972" s="308">
        <f>IFERROR(__xludf.DUMMYFUNCTION("""COMPUTED_VALUE"""),7.0)</f>
        <v>7</v>
      </c>
      <c r="L972" s="308">
        <f>IFERROR(__xludf.DUMMYFUNCTION("""COMPUTED_VALUE"""),2008.0)</f>
        <v>2008</v>
      </c>
      <c r="M972" s="308" t="s">
        <v>3960</v>
      </c>
      <c r="N972" s="308"/>
      <c r="O972" s="312" t="s">
        <v>35846</v>
      </c>
      <c r="P972" s="308" t="s">
        <v>1971</v>
      </c>
      <c r="Q972" s="308"/>
      <c r="R972" s="308"/>
      <c r="S972" s="315" t="s">
        <v>100</v>
      </c>
      <c r="T972" s="311" t="s">
        <v>34208</v>
      </c>
      <c r="U972" s="308" t="s">
        <v>530</v>
      </c>
      <c r="V972" s="312"/>
    </row>
    <row r="973">
      <c r="A973" s="308">
        <v>972.0</v>
      </c>
      <c r="B973" s="308">
        <v>4185.0</v>
      </c>
      <c r="C973" s="308" t="s">
        <v>3962</v>
      </c>
      <c r="D973" s="308">
        <f>IFERROR(__xludf.DUMMYFUNCTION("SPLIT(C973,""-"")"),988.0)</f>
        <v>988</v>
      </c>
      <c r="E973" s="308" t="str">
        <f>IFERROR(__xludf.DUMMYFUNCTION("""COMPUTED_VALUE"""),"K")</f>
        <v>K</v>
      </c>
      <c r="F973" s="309" t="s">
        <v>34</v>
      </c>
      <c r="G973" s="308"/>
      <c r="H973" s="308" t="s">
        <v>3963</v>
      </c>
      <c r="I973" s="310">
        <v>39630.0</v>
      </c>
      <c r="J973" s="308">
        <f>IFERROR(__xludf.DUMMYFUNCTION("SPLIT(I973,""/"")"),1.0)</f>
        <v>1</v>
      </c>
      <c r="K973" s="308">
        <f>IFERROR(__xludf.DUMMYFUNCTION("""COMPUTED_VALUE"""),7.0)</f>
        <v>7</v>
      </c>
      <c r="L973" s="308">
        <f>IFERROR(__xludf.DUMMYFUNCTION("""COMPUTED_VALUE"""),2008.0)</f>
        <v>2008</v>
      </c>
      <c r="M973" s="308" t="s">
        <v>3960</v>
      </c>
      <c r="N973" s="308"/>
      <c r="O973" s="312" t="s">
        <v>35846</v>
      </c>
      <c r="P973" s="308" t="s">
        <v>1971</v>
      </c>
      <c r="Q973" s="308"/>
      <c r="R973" s="308"/>
      <c r="S973" s="315" t="s">
        <v>100</v>
      </c>
      <c r="T973" s="311" t="s">
        <v>34208</v>
      </c>
      <c r="U973" s="308" t="s">
        <v>530</v>
      </c>
      <c r="V973" s="312"/>
    </row>
    <row r="974">
      <c r="A974" s="308">
        <v>973.0</v>
      </c>
      <c r="B974" s="308">
        <v>4186.0</v>
      </c>
      <c r="C974" s="308" t="s">
        <v>3964</v>
      </c>
      <c r="D974" s="308">
        <f>IFERROR(__xludf.DUMMYFUNCTION("SPLIT(C974,""-"")"),989.0)</f>
        <v>989</v>
      </c>
      <c r="E974" s="308" t="str">
        <f>IFERROR(__xludf.DUMMYFUNCTION("""COMPUTED_VALUE"""),"K")</f>
        <v>K</v>
      </c>
      <c r="F974" s="309" t="s">
        <v>34</v>
      </c>
      <c r="G974" s="308"/>
      <c r="H974" s="308" t="s">
        <v>3965</v>
      </c>
      <c r="I974" s="310">
        <v>39630.0</v>
      </c>
      <c r="J974" s="308">
        <f>IFERROR(__xludf.DUMMYFUNCTION("SPLIT(I974,""/"")"),1.0)</f>
        <v>1</v>
      </c>
      <c r="K974" s="308">
        <f>IFERROR(__xludf.DUMMYFUNCTION("""COMPUTED_VALUE"""),7.0)</f>
        <v>7</v>
      </c>
      <c r="L974" s="308">
        <f>IFERROR(__xludf.DUMMYFUNCTION("""COMPUTED_VALUE"""),2008.0)</f>
        <v>2008</v>
      </c>
      <c r="M974" s="308" t="s">
        <v>3966</v>
      </c>
      <c r="N974" s="308"/>
      <c r="O974" s="312" t="s">
        <v>35847</v>
      </c>
      <c r="P974" s="308" t="s">
        <v>1392</v>
      </c>
      <c r="Q974" s="308"/>
      <c r="R974" s="308"/>
      <c r="S974" s="308" t="s">
        <v>49</v>
      </c>
      <c r="T974" s="315" t="s">
        <v>69</v>
      </c>
      <c r="U974" s="308" t="s">
        <v>530</v>
      </c>
      <c r="V974" s="312"/>
    </row>
    <row r="975">
      <c r="A975" s="308">
        <v>974.0</v>
      </c>
      <c r="B975" s="308">
        <v>4187.0</v>
      </c>
      <c r="C975" s="308" t="s">
        <v>35848</v>
      </c>
      <c r="D975" s="308">
        <f>IFERROR(__xludf.DUMMYFUNCTION("SPLIT(C975,""-"")"),990.0)</f>
        <v>990</v>
      </c>
      <c r="E975" s="311"/>
      <c r="F975" s="309" t="s">
        <v>34</v>
      </c>
      <c r="G975" s="308"/>
      <c r="H975" s="308" t="s">
        <v>3968</v>
      </c>
      <c r="I975" s="310">
        <v>39630.0</v>
      </c>
      <c r="J975" s="308">
        <f>IFERROR(__xludf.DUMMYFUNCTION("SPLIT(I975,""/"")"),1.0)</f>
        <v>1</v>
      </c>
      <c r="K975" s="308">
        <f>IFERROR(__xludf.DUMMYFUNCTION("""COMPUTED_VALUE"""),7.0)</f>
        <v>7</v>
      </c>
      <c r="L975" s="308">
        <f>IFERROR(__xludf.DUMMYFUNCTION("""COMPUTED_VALUE"""),2008.0)</f>
        <v>2008</v>
      </c>
      <c r="M975" s="308" t="s">
        <v>3969</v>
      </c>
      <c r="N975" s="308" t="s">
        <v>3970</v>
      </c>
      <c r="O975" s="312" t="s">
        <v>35849</v>
      </c>
      <c r="P975" s="308" t="s">
        <v>1392</v>
      </c>
      <c r="Q975" s="308"/>
      <c r="R975" s="308"/>
      <c r="S975" s="308" t="s">
        <v>49</v>
      </c>
      <c r="T975" s="315" t="s">
        <v>69</v>
      </c>
      <c r="U975" s="308"/>
      <c r="V975" s="312"/>
    </row>
    <row r="976">
      <c r="A976" s="308">
        <v>975.0</v>
      </c>
      <c r="B976" s="308">
        <v>4188.0</v>
      </c>
      <c r="C976" s="308" t="s">
        <v>35850</v>
      </c>
      <c r="D976" s="308">
        <f>IFERROR(__xludf.DUMMYFUNCTION("SPLIT(C976,""-"")"),991.0)</f>
        <v>991</v>
      </c>
      <c r="E976" s="311"/>
      <c r="F976" s="309" t="s">
        <v>34</v>
      </c>
      <c r="G976" s="308"/>
      <c r="H976" s="308" t="s">
        <v>3972</v>
      </c>
      <c r="I976" s="310">
        <v>39630.0</v>
      </c>
      <c r="J976" s="308">
        <f>IFERROR(__xludf.DUMMYFUNCTION("SPLIT(I976,""/"")"),1.0)</f>
        <v>1</v>
      </c>
      <c r="K976" s="308">
        <f>IFERROR(__xludf.DUMMYFUNCTION("""COMPUTED_VALUE"""),7.0)</f>
        <v>7</v>
      </c>
      <c r="L976" s="308">
        <f>IFERROR(__xludf.DUMMYFUNCTION("""COMPUTED_VALUE"""),2008.0)</f>
        <v>2008</v>
      </c>
      <c r="M976" s="308" t="s">
        <v>3969</v>
      </c>
      <c r="N976" s="308" t="s">
        <v>3973</v>
      </c>
      <c r="O976" s="312" t="s">
        <v>35849</v>
      </c>
      <c r="P976" s="308" t="s">
        <v>1392</v>
      </c>
      <c r="Q976" s="308"/>
      <c r="R976" s="308"/>
      <c r="S976" s="308" t="s">
        <v>49</v>
      </c>
      <c r="T976" s="315" t="s">
        <v>69</v>
      </c>
      <c r="U976" s="308"/>
      <c r="V976" s="312"/>
    </row>
    <row r="977">
      <c r="A977" s="308">
        <v>976.0</v>
      </c>
      <c r="B977" s="308">
        <v>4189.0</v>
      </c>
      <c r="C977" s="308" t="s">
        <v>35851</v>
      </c>
      <c r="D977" s="308">
        <f>IFERROR(__xludf.DUMMYFUNCTION("SPLIT(C977,""-"")"),992.0)</f>
        <v>992</v>
      </c>
      <c r="E977" s="311"/>
      <c r="F977" s="309" t="s">
        <v>34</v>
      </c>
      <c r="G977" s="308"/>
      <c r="H977" s="308" t="s">
        <v>3974</v>
      </c>
      <c r="I977" s="310">
        <v>39630.0</v>
      </c>
      <c r="J977" s="308">
        <f>IFERROR(__xludf.DUMMYFUNCTION("SPLIT(I977,""/"")"),1.0)</f>
        <v>1</v>
      </c>
      <c r="K977" s="308">
        <f>IFERROR(__xludf.DUMMYFUNCTION("""COMPUTED_VALUE"""),7.0)</f>
        <v>7</v>
      </c>
      <c r="L977" s="308">
        <f>IFERROR(__xludf.DUMMYFUNCTION("""COMPUTED_VALUE"""),2008.0)</f>
        <v>2008</v>
      </c>
      <c r="M977" s="308" t="s">
        <v>3969</v>
      </c>
      <c r="N977" s="308" t="s">
        <v>3973</v>
      </c>
      <c r="O977" s="312" t="s">
        <v>35849</v>
      </c>
      <c r="P977" s="308" t="s">
        <v>1392</v>
      </c>
      <c r="Q977" s="308"/>
      <c r="R977" s="308"/>
      <c r="S977" s="308" t="s">
        <v>49</v>
      </c>
      <c r="T977" s="311" t="s">
        <v>69</v>
      </c>
      <c r="U977" s="308"/>
      <c r="V977" s="312"/>
    </row>
    <row r="978">
      <c r="A978" s="308">
        <v>977.0</v>
      </c>
      <c r="B978" s="308">
        <v>4190.0</v>
      </c>
      <c r="C978" s="308" t="s">
        <v>35852</v>
      </c>
      <c r="D978" s="308">
        <f>IFERROR(__xludf.DUMMYFUNCTION("SPLIT(C978,""-"")"),993.0)</f>
        <v>993</v>
      </c>
      <c r="E978" s="311"/>
      <c r="F978" s="309" t="s">
        <v>34</v>
      </c>
      <c r="G978" s="308"/>
      <c r="H978" s="308" t="s">
        <v>3975</v>
      </c>
      <c r="I978" s="310">
        <v>39630.0</v>
      </c>
      <c r="J978" s="308">
        <f>IFERROR(__xludf.DUMMYFUNCTION("SPLIT(I978,""/"")"),1.0)</f>
        <v>1</v>
      </c>
      <c r="K978" s="308">
        <f>IFERROR(__xludf.DUMMYFUNCTION("""COMPUTED_VALUE"""),7.0)</f>
        <v>7</v>
      </c>
      <c r="L978" s="308">
        <f>IFERROR(__xludf.DUMMYFUNCTION("""COMPUTED_VALUE"""),2008.0)</f>
        <v>2008</v>
      </c>
      <c r="M978" s="308" t="s">
        <v>3969</v>
      </c>
      <c r="N978" s="308" t="s">
        <v>3973</v>
      </c>
      <c r="O978" s="312" t="s">
        <v>35849</v>
      </c>
      <c r="P978" s="308" t="s">
        <v>1392</v>
      </c>
      <c r="Q978" s="308"/>
      <c r="R978" s="308"/>
      <c r="S978" s="308" t="s">
        <v>49</v>
      </c>
      <c r="T978" s="315" t="s">
        <v>69</v>
      </c>
      <c r="U978" s="308"/>
      <c r="V978" s="312"/>
    </row>
    <row r="979">
      <c r="A979" s="308">
        <v>978.0</v>
      </c>
      <c r="B979" s="308">
        <v>4191.0</v>
      </c>
      <c r="C979" s="308" t="s">
        <v>35853</v>
      </c>
      <c r="D979" s="308">
        <f>IFERROR(__xludf.DUMMYFUNCTION("SPLIT(C979,""-"")"),994.0)</f>
        <v>994</v>
      </c>
      <c r="E979" s="311"/>
      <c r="F979" s="309" t="s">
        <v>34</v>
      </c>
      <c r="G979" s="308"/>
      <c r="H979" s="308" t="s">
        <v>3976</v>
      </c>
      <c r="I979" s="310">
        <v>39995.0</v>
      </c>
      <c r="J979" s="308">
        <f>IFERROR(__xludf.DUMMYFUNCTION("SPLIT(I979,""/"")"),1.0)</f>
        <v>1</v>
      </c>
      <c r="K979" s="308">
        <f>IFERROR(__xludf.DUMMYFUNCTION("""COMPUTED_VALUE"""),7.0)</f>
        <v>7</v>
      </c>
      <c r="L979" s="308">
        <f>IFERROR(__xludf.DUMMYFUNCTION("""COMPUTED_VALUE"""),2009.0)</f>
        <v>2009</v>
      </c>
      <c r="M979" s="308" t="s">
        <v>3977</v>
      </c>
      <c r="N979" s="308"/>
      <c r="O979" s="312" t="s">
        <v>3978</v>
      </c>
      <c r="P979" s="308" t="s">
        <v>3979</v>
      </c>
      <c r="Q979" s="308"/>
      <c r="R979" s="308"/>
      <c r="S979" s="308" t="s">
        <v>81</v>
      </c>
      <c r="T979" s="308" t="s">
        <v>34264</v>
      </c>
      <c r="U979" s="308"/>
      <c r="V979" s="312"/>
    </row>
    <row r="980">
      <c r="A980" s="308">
        <v>979.0</v>
      </c>
      <c r="B980" s="308">
        <v>4192.0</v>
      </c>
      <c r="C980" s="308" t="s">
        <v>3980</v>
      </c>
      <c r="D980" s="308">
        <f>IFERROR(__xludf.DUMMYFUNCTION("SPLIT(C980,""-"")"),995.0)</f>
        <v>995</v>
      </c>
      <c r="E980" s="308" t="str">
        <f>IFERROR(__xludf.DUMMYFUNCTION("""COMPUTED_VALUE"""),"K")</f>
        <v>K</v>
      </c>
      <c r="F980" s="309" t="s">
        <v>34</v>
      </c>
      <c r="G980" s="308"/>
      <c r="H980" s="308" t="s">
        <v>3981</v>
      </c>
      <c r="I980" s="310">
        <v>39995.0</v>
      </c>
      <c r="J980" s="308">
        <f>IFERROR(__xludf.DUMMYFUNCTION("SPLIT(I980,""/"")"),1.0)</f>
        <v>1</v>
      </c>
      <c r="K980" s="308">
        <f>IFERROR(__xludf.DUMMYFUNCTION("""COMPUTED_VALUE"""),7.0)</f>
        <v>7</v>
      </c>
      <c r="L980" s="308">
        <f>IFERROR(__xludf.DUMMYFUNCTION("""COMPUTED_VALUE"""),2009.0)</f>
        <v>2009</v>
      </c>
      <c r="M980" s="308" t="s">
        <v>3982</v>
      </c>
      <c r="N980" s="308" t="s">
        <v>3983</v>
      </c>
      <c r="O980" s="312" t="s">
        <v>35854</v>
      </c>
      <c r="P980" s="308" t="s">
        <v>1971</v>
      </c>
      <c r="Q980" s="308"/>
      <c r="R980" s="308"/>
      <c r="S980" s="315" t="s">
        <v>100</v>
      </c>
      <c r="T980" s="311" t="s">
        <v>34208</v>
      </c>
      <c r="U980" s="308" t="s">
        <v>530</v>
      </c>
      <c r="V980" s="312"/>
    </row>
    <row r="981">
      <c r="A981" s="308">
        <v>980.0</v>
      </c>
      <c r="B981" s="308">
        <v>4193.0</v>
      </c>
      <c r="C981" s="308" t="s">
        <v>35855</v>
      </c>
      <c r="D981" s="308">
        <f>IFERROR(__xludf.DUMMYFUNCTION("SPLIT(C981,""-"")"),996.0)</f>
        <v>996</v>
      </c>
      <c r="E981" s="311"/>
      <c r="F981" s="317" t="s">
        <v>37</v>
      </c>
      <c r="G981" s="308"/>
      <c r="H981" s="308" t="s">
        <v>3985</v>
      </c>
      <c r="I981" s="314">
        <v>41225.0</v>
      </c>
      <c r="J981" s="308">
        <f>IFERROR(__xludf.DUMMYFUNCTION("SPLIT(I981,""/"")"),12.0)</f>
        <v>12</v>
      </c>
      <c r="K981" s="308">
        <f>IFERROR(__xludf.DUMMYFUNCTION("""COMPUTED_VALUE"""),11.0)</f>
        <v>11</v>
      </c>
      <c r="L981" s="308">
        <f>IFERROR(__xludf.DUMMYFUNCTION("""COMPUTED_VALUE"""),2012.0)</f>
        <v>2012</v>
      </c>
      <c r="M981" s="308" t="s">
        <v>3986</v>
      </c>
      <c r="N981" s="308"/>
      <c r="O981" s="312" t="s">
        <v>3987</v>
      </c>
      <c r="P981" s="308" t="s">
        <v>3988</v>
      </c>
      <c r="Q981" s="308"/>
      <c r="R981" s="308"/>
      <c r="S981" s="308" t="s">
        <v>81</v>
      </c>
      <c r="T981" s="311" t="s">
        <v>51</v>
      </c>
      <c r="U981" s="308"/>
      <c r="V981" s="312"/>
    </row>
    <row r="982">
      <c r="A982" s="308">
        <v>981.0</v>
      </c>
      <c r="B982" s="308">
        <v>4194.0</v>
      </c>
      <c r="C982" s="308" t="s">
        <v>35856</v>
      </c>
      <c r="D982" s="308">
        <f>IFERROR(__xludf.DUMMYFUNCTION("SPLIT(C982,""-"")"),997.0)</f>
        <v>997</v>
      </c>
      <c r="E982" s="311"/>
      <c r="F982" s="317" t="s">
        <v>37</v>
      </c>
      <c r="G982" s="308"/>
      <c r="H982" s="308" t="s">
        <v>3989</v>
      </c>
      <c r="I982" s="310">
        <v>40751.0</v>
      </c>
      <c r="J982" s="308">
        <f>IFERROR(__xludf.DUMMYFUNCTION("SPLIT(I982,""/"")"),27.0)</f>
        <v>27</v>
      </c>
      <c r="K982" s="308">
        <f>IFERROR(__xludf.DUMMYFUNCTION("""COMPUTED_VALUE"""),7.0)</f>
        <v>7</v>
      </c>
      <c r="L982" s="308">
        <f>IFERROR(__xludf.DUMMYFUNCTION("""COMPUTED_VALUE"""),2011.0)</f>
        <v>2011</v>
      </c>
      <c r="M982" s="308" t="s">
        <v>3990</v>
      </c>
      <c r="N982" s="308"/>
      <c r="O982" s="312" t="s">
        <v>3991</v>
      </c>
      <c r="P982" s="308" t="s">
        <v>3992</v>
      </c>
      <c r="Q982" s="308"/>
      <c r="R982" s="308"/>
      <c r="S982" s="308" t="s">
        <v>81</v>
      </c>
      <c r="T982" s="308" t="s">
        <v>98</v>
      </c>
      <c r="U982" s="308"/>
      <c r="V982" s="312"/>
    </row>
    <row r="983">
      <c r="A983" s="308">
        <v>982.0</v>
      </c>
      <c r="B983" s="308">
        <v>4195.0</v>
      </c>
      <c r="C983" s="308" t="s">
        <v>35857</v>
      </c>
      <c r="D983" s="308">
        <f>IFERROR(__xludf.DUMMYFUNCTION("SPLIT(C983,""-"")"),998.0)</f>
        <v>998</v>
      </c>
      <c r="E983" s="311"/>
      <c r="F983" s="317" t="s">
        <v>37</v>
      </c>
      <c r="G983" s="308" t="s">
        <v>3993</v>
      </c>
      <c r="H983" s="308" t="s">
        <v>35858</v>
      </c>
      <c r="I983" s="310">
        <v>41184.0</v>
      </c>
      <c r="J983" s="308">
        <f>IFERROR(__xludf.DUMMYFUNCTION("SPLIT(I983,""/"")"),2.0)</f>
        <v>2</v>
      </c>
      <c r="K983" s="308">
        <f>IFERROR(__xludf.DUMMYFUNCTION("""COMPUTED_VALUE"""),10.0)</f>
        <v>10</v>
      </c>
      <c r="L983" s="308">
        <f>IFERROR(__xludf.DUMMYFUNCTION("""COMPUTED_VALUE"""),2012.0)</f>
        <v>2012</v>
      </c>
      <c r="M983" s="308" t="s">
        <v>3995</v>
      </c>
      <c r="N983" s="308"/>
      <c r="O983" s="312" t="s">
        <v>3996</v>
      </c>
      <c r="P983" s="308" t="s">
        <v>34212</v>
      </c>
      <c r="Q983" s="308"/>
      <c r="R983" s="308"/>
      <c r="S983" s="315" t="s">
        <v>100</v>
      </c>
      <c r="T983" s="311" t="s">
        <v>34208</v>
      </c>
      <c r="U983" s="308"/>
      <c r="V983" s="312"/>
    </row>
    <row r="984">
      <c r="A984" s="308">
        <v>983.0</v>
      </c>
      <c r="B984" s="308">
        <v>4196.0</v>
      </c>
      <c r="C984" s="308" t="s">
        <v>3997</v>
      </c>
      <c r="D984" s="308">
        <f>IFERROR(__xludf.DUMMYFUNCTION("SPLIT(C984,""-"")"),999.0)</f>
        <v>999</v>
      </c>
      <c r="E984" s="308" t="str">
        <f>IFERROR(__xludf.DUMMYFUNCTION("""COMPUTED_VALUE"""),"P")</f>
        <v>P</v>
      </c>
      <c r="F984" s="312" t="s">
        <v>37</v>
      </c>
      <c r="G984" s="308"/>
      <c r="H984" s="308" t="s">
        <v>3998</v>
      </c>
      <c r="I984" s="314">
        <v>40846.0</v>
      </c>
      <c r="J984" s="308">
        <f>IFERROR(__xludf.DUMMYFUNCTION("SPLIT(I984,""/"")"),30.0)</f>
        <v>30</v>
      </c>
      <c r="K984" s="308">
        <f>IFERROR(__xludf.DUMMYFUNCTION("""COMPUTED_VALUE"""),10.0)</f>
        <v>10</v>
      </c>
      <c r="L984" s="308">
        <f>IFERROR(__xludf.DUMMYFUNCTION("""COMPUTED_VALUE"""),2011.0)</f>
        <v>2011</v>
      </c>
      <c r="M984" s="308" t="s">
        <v>3999</v>
      </c>
      <c r="N984" s="308"/>
      <c r="O984" s="312" t="s">
        <v>4000</v>
      </c>
      <c r="P984" s="308" t="s">
        <v>34212</v>
      </c>
      <c r="Q984" s="308"/>
      <c r="R984" s="308"/>
      <c r="S984" s="315" t="s">
        <v>100</v>
      </c>
      <c r="T984" s="311" t="s">
        <v>34208</v>
      </c>
      <c r="U984" s="308" t="s">
        <v>4001</v>
      </c>
      <c r="V984" s="312"/>
    </row>
    <row r="985">
      <c r="A985" s="308">
        <v>984.0</v>
      </c>
      <c r="B985" s="308">
        <v>4197.0</v>
      </c>
      <c r="C985" s="308">
        <v>1000.0</v>
      </c>
      <c r="D985" s="308">
        <f>IFERROR(__xludf.DUMMYFUNCTION("SPLIT(C985,""-"")"),1000.0)</f>
        <v>1000</v>
      </c>
      <c r="E985" s="311"/>
      <c r="F985" s="309" t="s">
        <v>34</v>
      </c>
      <c r="G985" s="308" t="s">
        <v>4002</v>
      </c>
      <c r="H985" s="308" t="s">
        <v>4003</v>
      </c>
      <c r="I985" s="310">
        <v>40452.0</v>
      </c>
      <c r="J985" s="308">
        <f>IFERROR(__xludf.DUMMYFUNCTION("SPLIT(I985,""/"")"),1.0)</f>
        <v>1</v>
      </c>
      <c r="K985" s="308">
        <f>IFERROR(__xludf.DUMMYFUNCTION("""COMPUTED_VALUE"""),10.0)</f>
        <v>10</v>
      </c>
      <c r="L985" s="308">
        <f>IFERROR(__xludf.DUMMYFUNCTION("""COMPUTED_VALUE"""),2010.0)</f>
        <v>2010</v>
      </c>
      <c r="M985" s="308" t="s">
        <v>4004</v>
      </c>
      <c r="N985" s="308"/>
      <c r="O985" s="312" t="s">
        <v>35859</v>
      </c>
      <c r="P985" s="308" t="s">
        <v>3770</v>
      </c>
      <c r="Q985" s="308"/>
      <c r="R985" s="308"/>
      <c r="S985" s="308" t="s">
        <v>81</v>
      </c>
      <c r="T985" s="308" t="s">
        <v>34264</v>
      </c>
      <c r="U985" s="308"/>
      <c r="V985" s="312"/>
    </row>
    <row r="986">
      <c r="A986" s="308">
        <v>985.0</v>
      </c>
      <c r="B986" s="308">
        <v>4198.0</v>
      </c>
      <c r="C986" s="308">
        <v>1001.0</v>
      </c>
      <c r="D986" s="308">
        <f>IFERROR(__xludf.DUMMYFUNCTION("SPLIT(C986,""-"")"),1001.0)</f>
        <v>1001</v>
      </c>
      <c r="E986" s="311"/>
      <c r="F986" s="317" t="s">
        <v>37</v>
      </c>
      <c r="G986" s="308"/>
      <c r="H986" s="308" t="s">
        <v>4006</v>
      </c>
      <c r="I986" s="310">
        <v>40725.0</v>
      </c>
      <c r="J986" s="308">
        <f>IFERROR(__xludf.DUMMYFUNCTION("SPLIT(I986,""/"")"),1.0)</f>
        <v>1</v>
      </c>
      <c r="K986" s="308">
        <f>IFERROR(__xludf.DUMMYFUNCTION("""COMPUTED_VALUE"""),7.0)</f>
        <v>7</v>
      </c>
      <c r="L986" s="308">
        <f>IFERROR(__xludf.DUMMYFUNCTION("""COMPUTED_VALUE"""),2011.0)</f>
        <v>2011</v>
      </c>
      <c r="M986" s="308" t="s">
        <v>4007</v>
      </c>
      <c r="N986" s="308"/>
      <c r="O986" s="312" t="s">
        <v>635</v>
      </c>
      <c r="P986" s="308" t="s">
        <v>4008</v>
      </c>
      <c r="Q986" s="308"/>
      <c r="R986" s="308"/>
      <c r="S986" s="308" t="s">
        <v>81</v>
      </c>
      <c r="T986" s="308" t="s">
        <v>75</v>
      </c>
      <c r="U986" s="308"/>
      <c r="V986" s="312"/>
    </row>
    <row r="987">
      <c r="A987" s="308">
        <v>986.0</v>
      </c>
      <c r="B987" s="308">
        <v>4199.0</v>
      </c>
      <c r="C987" s="308">
        <v>1002.0</v>
      </c>
      <c r="D987" s="308">
        <f>IFERROR(__xludf.DUMMYFUNCTION("SPLIT(C987,""-"")"),1002.0)</f>
        <v>1002</v>
      </c>
      <c r="E987" s="311"/>
      <c r="F987" s="317" t="s">
        <v>37</v>
      </c>
      <c r="G987" s="308"/>
      <c r="H987" s="308" t="s">
        <v>35860</v>
      </c>
      <c r="I987" s="310">
        <v>41185.0</v>
      </c>
      <c r="J987" s="308">
        <f>IFERROR(__xludf.DUMMYFUNCTION("SPLIT(I987,""/"")"),3.0)</f>
        <v>3</v>
      </c>
      <c r="K987" s="308">
        <f>IFERROR(__xludf.DUMMYFUNCTION("""COMPUTED_VALUE"""),10.0)</f>
        <v>10</v>
      </c>
      <c r="L987" s="308">
        <f>IFERROR(__xludf.DUMMYFUNCTION("""COMPUTED_VALUE"""),2012.0)</f>
        <v>2012</v>
      </c>
      <c r="M987" s="308" t="s">
        <v>4010</v>
      </c>
      <c r="N987" s="308"/>
      <c r="O987" s="312" t="s">
        <v>4011</v>
      </c>
      <c r="P987" s="308" t="s">
        <v>4012</v>
      </c>
      <c r="Q987" s="308"/>
      <c r="R987" s="308"/>
      <c r="S987" s="308" t="s">
        <v>81</v>
      </c>
      <c r="T987" s="308" t="s">
        <v>75</v>
      </c>
      <c r="U987" s="308"/>
      <c r="V987" s="312"/>
    </row>
    <row r="988">
      <c r="A988" s="308">
        <v>987.0</v>
      </c>
      <c r="B988" s="308">
        <v>4200.0</v>
      </c>
      <c r="C988" s="308">
        <v>1003.0</v>
      </c>
      <c r="D988" s="308">
        <f>IFERROR(__xludf.DUMMYFUNCTION("SPLIT(C988,""-"")"),1003.0)</f>
        <v>1003</v>
      </c>
      <c r="E988" s="311"/>
      <c r="F988" s="317" t="s">
        <v>37</v>
      </c>
      <c r="G988" s="308"/>
      <c r="H988" s="308" t="s">
        <v>4013</v>
      </c>
      <c r="I988" s="310">
        <v>40975.0</v>
      </c>
      <c r="J988" s="308">
        <f>IFERROR(__xludf.DUMMYFUNCTION("SPLIT(I988,""/"")"),7.0)</f>
        <v>7</v>
      </c>
      <c r="K988" s="308">
        <f>IFERROR(__xludf.DUMMYFUNCTION("""COMPUTED_VALUE"""),3.0)</f>
        <v>3</v>
      </c>
      <c r="L988" s="308">
        <f>IFERROR(__xludf.DUMMYFUNCTION("""COMPUTED_VALUE"""),2012.0)</f>
        <v>2012</v>
      </c>
      <c r="M988" s="308" t="s">
        <v>4014</v>
      </c>
      <c r="N988" s="308"/>
      <c r="O988" s="312" t="s">
        <v>4015</v>
      </c>
      <c r="P988" s="308" t="s">
        <v>4016</v>
      </c>
      <c r="Q988" s="308"/>
      <c r="R988" s="308"/>
      <c r="S988" s="308" t="s">
        <v>81</v>
      </c>
      <c r="T988" s="308" t="s">
        <v>98</v>
      </c>
      <c r="U988" s="308"/>
      <c r="V988" s="312"/>
    </row>
    <row r="989">
      <c r="A989" s="308">
        <v>988.0</v>
      </c>
      <c r="B989" s="308">
        <v>4201.0</v>
      </c>
      <c r="C989" s="308">
        <v>1004.0</v>
      </c>
      <c r="D989" s="308">
        <f>IFERROR(__xludf.DUMMYFUNCTION("SPLIT(C989,""-"")"),1004.0)</f>
        <v>1004</v>
      </c>
      <c r="E989" s="311"/>
      <c r="F989" s="317" t="s">
        <v>37</v>
      </c>
      <c r="G989" s="308"/>
      <c r="H989" s="308" t="s">
        <v>4017</v>
      </c>
      <c r="I989" s="314">
        <v>41254.0</v>
      </c>
      <c r="J989" s="308">
        <f>IFERROR(__xludf.DUMMYFUNCTION("SPLIT(I989,""/"")"),11.0)</f>
        <v>11</v>
      </c>
      <c r="K989" s="308">
        <f>IFERROR(__xludf.DUMMYFUNCTION("""COMPUTED_VALUE"""),12.0)</f>
        <v>12</v>
      </c>
      <c r="L989" s="308">
        <f>IFERROR(__xludf.DUMMYFUNCTION("""COMPUTED_VALUE"""),2012.0)</f>
        <v>2012</v>
      </c>
      <c r="M989" s="308" t="s">
        <v>4018</v>
      </c>
      <c r="N989" s="308"/>
      <c r="O989" s="312" t="s">
        <v>4019</v>
      </c>
      <c r="P989" s="308" t="s">
        <v>35861</v>
      </c>
      <c r="Q989" s="308"/>
      <c r="R989" s="308"/>
      <c r="S989" s="308" t="s">
        <v>81</v>
      </c>
      <c r="T989" s="308" t="s">
        <v>75</v>
      </c>
      <c r="U989" s="308" t="s">
        <v>3690</v>
      </c>
      <c r="V989" s="312"/>
    </row>
    <row r="990">
      <c r="A990" s="308">
        <v>989.0</v>
      </c>
      <c r="B990" s="308">
        <v>4202.0</v>
      </c>
      <c r="C990" s="308">
        <v>1005.0</v>
      </c>
      <c r="D990" s="308">
        <f>IFERROR(__xludf.DUMMYFUNCTION("SPLIT(C990,""-"")"),1005.0)</f>
        <v>1005</v>
      </c>
      <c r="E990" s="311"/>
      <c r="F990" s="309" t="s">
        <v>34</v>
      </c>
      <c r="G990" s="308" t="s">
        <v>4021</v>
      </c>
      <c r="H990" s="308" t="s">
        <v>4022</v>
      </c>
      <c r="I990" s="310">
        <v>41079.0</v>
      </c>
      <c r="J990" s="308">
        <f>IFERROR(__xludf.DUMMYFUNCTION("SPLIT(I990,""/"")"),19.0)</f>
        <v>19</v>
      </c>
      <c r="K990" s="308">
        <f>IFERROR(__xludf.DUMMYFUNCTION("""COMPUTED_VALUE"""),6.0)</f>
        <v>6</v>
      </c>
      <c r="L990" s="308">
        <f>IFERROR(__xludf.DUMMYFUNCTION("""COMPUTED_VALUE"""),2012.0)</f>
        <v>2012</v>
      </c>
      <c r="M990" s="308" t="s">
        <v>4023</v>
      </c>
      <c r="N990" s="308"/>
      <c r="O990" s="312" t="s">
        <v>4024</v>
      </c>
      <c r="P990" s="308" t="s">
        <v>4025</v>
      </c>
      <c r="Q990" s="308"/>
      <c r="R990" s="308"/>
      <c r="S990" s="308" t="s">
        <v>81</v>
      </c>
      <c r="T990" s="308" t="s">
        <v>34264</v>
      </c>
      <c r="U990" s="308"/>
      <c r="V990" s="312"/>
    </row>
    <row r="991">
      <c r="A991" s="308">
        <v>990.0</v>
      </c>
      <c r="B991" s="308">
        <v>4203.0</v>
      </c>
      <c r="C991" s="308">
        <v>1006.0</v>
      </c>
      <c r="D991" s="308">
        <f>IFERROR(__xludf.DUMMYFUNCTION("SPLIT(C991,""-"")"),1006.0)</f>
        <v>1006</v>
      </c>
      <c r="E991" s="311"/>
      <c r="F991" s="309" t="s">
        <v>34</v>
      </c>
      <c r="G991" s="308" t="s">
        <v>4026</v>
      </c>
      <c r="H991" s="308" t="s">
        <v>4027</v>
      </c>
      <c r="I991" s="310">
        <v>41171.0</v>
      </c>
      <c r="J991" s="308">
        <f>IFERROR(__xludf.DUMMYFUNCTION("SPLIT(I991,""/"")"),19.0)</f>
        <v>19</v>
      </c>
      <c r="K991" s="308">
        <f>IFERROR(__xludf.DUMMYFUNCTION("""COMPUTED_VALUE"""),9.0)</f>
        <v>9</v>
      </c>
      <c r="L991" s="308">
        <f>IFERROR(__xludf.DUMMYFUNCTION("""COMPUTED_VALUE"""),2012.0)</f>
        <v>2012</v>
      </c>
      <c r="M991" s="308" t="s">
        <v>4028</v>
      </c>
      <c r="N991" s="308"/>
      <c r="O991" s="312" t="s">
        <v>4029</v>
      </c>
      <c r="P991" s="308" t="s">
        <v>35862</v>
      </c>
      <c r="Q991" s="308"/>
      <c r="R991" s="308"/>
      <c r="S991" s="308" t="s">
        <v>81</v>
      </c>
      <c r="T991" s="308" t="s">
        <v>34264</v>
      </c>
      <c r="U991" s="308" t="s">
        <v>2152</v>
      </c>
      <c r="V991" s="312"/>
    </row>
    <row r="992">
      <c r="A992" s="308">
        <v>991.0</v>
      </c>
      <c r="B992" s="308">
        <v>4204.0</v>
      </c>
      <c r="C992" s="308">
        <v>1007.0</v>
      </c>
      <c r="D992" s="308">
        <f>IFERROR(__xludf.DUMMYFUNCTION("SPLIT(C992,""-"")"),1007.0)</f>
        <v>1007</v>
      </c>
      <c r="E992" s="311"/>
      <c r="F992" s="309" t="s">
        <v>34</v>
      </c>
      <c r="G992" s="308"/>
      <c r="H992" s="308" t="s">
        <v>4031</v>
      </c>
      <c r="I992" s="310">
        <v>40545.0</v>
      </c>
      <c r="J992" s="308">
        <f>IFERROR(__xludf.DUMMYFUNCTION("SPLIT(I992,""/"")"),2.0)</f>
        <v>2</v>
      </c>
      <c r="K992" s="308">
        <f>IFERROR(__xludf.DUMMYFUNCTION("""COMPUTED_VALUE"""),1.0)</f>
        <v>1</v>
      </c>
      <c r="L992" s="308">
        <f>IFERROR(__xludf.DUMMYFUNCTION("""COMPUTED_VALUE"""),2011.0)</f>
        <v>2011</v>
      </c>
      <c r="M992" s="308" t="s">
        <v>4032</v>
      </c>
      <c r="N992" s="308"/>
      <c r="O992" s="312" t="s">
        <v>4033</v>
      </c>
      <c r="P992" s="308" t="s">
        <v>4034</v>
      </c>
      <c r="Q992" s="308"/>
      <c r="R992" s="308"/>
      <c r="S992" s="308" t="s">
        <v>81</v>
      </c>
      <c r="T992" s="308" t="s">
        <v>34264</v>
      </c>
      <c r="U992" s="308" t="s">
        <v>201</v>
      </c>
      <c r="V992" s="312"/>
    </row>
    <row r="993">
      <c r="A993" s="308">
        <v>992.0</v>
      </c>
      <c r="B993" s="308">
        <v>4205.0</v>
      </c>
      <c r="C993" s="308">
        <v>1008.0</v>
      </c>
      <c r="D993" s="308">
        <f>IFERROR(__xludf.DUMMYFUNCTION("SPLIT(C993,""-"")"),1008.0)</f>
        <v>1008</v>
      </c>
      <c r="E993" s="311"/>
      <c r="F993" s="317" t="s">
        <v>39</v>
      </c>
      <c r="G993" s="308"/>
      <c r="H993" s="308" t="s">
        <v>4035</v>
      </c>
      <c r="I993" s="314">
        <v>41267.0</v>
      </c>
      <c r="J993" s="308">
        <f>IFERROR(__xludf.DUMMYFUNCTION("SPLIT(I993,""/"")"),24.0)</f>
        <v>24</v>
      </c>
      <c r="K993" s="308">
        <f>IFERROR(__xludf.DUMMYFUNCTION("""COMPUTED_VALUE"""),12.0)</f>
        <v>12</v>
      </c>
      <c r="L993" s="308">
        <f>IFERROR(__xludf.DUMMYFUNCTION("""COMPUTED_VALUE"""),2012.0)</f>
        <v>2012</v>
      </c>
      <c r="M993" s="308" t="s">
        <v>35863</v>
      </c>
      <c r="N993" s="308"/>
      <c r="O993" s="312" t="s">
        <v>635</v>
      </c>
      <c r="P993" s="308" t="s">
        <v>4037</v>
      </c>
      <c r="Q993" s="308"/>
      <c r="R993" s="308"/>
      <c r="S993" s="308" t="s">
        <v>81</v>
      </c>
      <c r="T993" s="311" t="s">
        <v>91</v>
      </c>
      <c r="U993" s="308"/>
      <c r="V993" s="312"/>
    </row>
    <row r="994">
      <c r="A994" s="308">
        <v>993.0</v>
      </c>
      <c r="B994" s="308">
        <v>4206.0</v>
      </c>
      <c r="C994" s="308">
        <v>1009.0</v>
      </c>
      <c r="D994" s="308">
        <f>IFERROR(__xludf.DUMMYFUNCTION("SPLIT(C994,""-"")"),1009.0)</f>
        <v>1009</v>
      </c>
      <c r="E994" s="311"/>
      <c r="F994" s="309" t="s">
        <v>34</v>
      </c>
      <c r="G994" s="308"/>
      <c r="H994" s="308" t="s">
        <v>4038</v>
      </c>
      <c r="I994" s="314">
        <v>40135.0</v>
      </c>
      <c r="J994" s="308">
        <f>IFERROR(__xludf.DUMMYFUNCTION("SPLIT(I994,""/"")"),18.0)</f>
        <v>18</v>
      </c>
      <c r="K994" s="308">
        <f>IFERROR(__xludf.DUMMYFUNCTION("""COMPUTED_VALUE"""),11.0)</f>
        <v>11</v>
      </c>
      <c r="L994" s="308">
        <f>IFERROR(__xludf.DUMMYFUNCTION("""COMPUTED_VALUE"""),2009.0)</f>
        <v>2009</v>
      </c>
      <c r="M994" s="308" t="s">
        <v>4039</v>
      </c>
      <c r="N994" s="308" t="s">
        <v>4040</v>
      </c>
      <c r="O994" s="312" t="s">
        <v>4041</v>
      </c>
      <c r="P994" s="308" t="s">
        <v>1872</v>
      </c>
      <c r="Q994" s="308"/>
      <c r="R994" s="308"/>
      <c r="S994" s="315" t="s">
        <v>100</v>
      </c>
      <c r="T994" s="311" t="s">
        <v>34208</v>
      </c>
      <c r="U994" s="308"/>
      <c r="V994" s="312"/>
    </row>
    <row r="995">
      <c r="A995" s="308">
        <v>994.0</v>
      </c>
      <c r="B995" s="308">
        <v>4207.0</v>
      </c>
      <c r="C995" s="308">
        <v>1010.0</v>
      </c>
      <c r="D995" s="308">
        <f>IFERROR(__xludf.DUMMYFUNCTION("SPLIT(C995,""-"")"),1010.0)</f>
        <v>1010</v>
      </c>
      <c r="E995" s="311"/>
      <c r="F995" s="309" t="s">
        <v>34</v>
      </c>
      <c r="G995" s="308"/>
      <c r="H995" s="308" t="s">
        <v>4042</v>
      </c>
      <c r="I995" s="310">
        <v>39964.0</v>
      </c>
      <c r="J995" s="308">
        <f>IFERROR(__xludf.DUMMYFUNCTION("SPLIT(I995,""/"")"),31.0)</f>
        <v>31</v>
      </c>
      <c r="K995" s="308">
        <f>IFERROR(__xludf.DUMMYFUNCTION("""COMPUTED_VALUE"""),5.0)</f>
        <v>5</v>
      </c>
      <c r="L995" s="308">
        <f>IFERROR(__xludf.DUMMYFUNCTION("""COMPUTED_VALUE"""),2009.0)</f>
        <v>2009</v>
      </c>
      <c r="M995" s="308" t="s">
        <v>4043</v>
      </c>
      <c r="N995" s="308"/>
      <c r="O995" s="312" t="s">
        <v>4044</v>
      </c>
      <c r="P995" s="308" t="s">
        <v>4045</v>
      </c>
      <c r="Q995" s="308"/>
      <c r="R995" s="308"/>
      <c r="S995" s="311" t="s">
        <v>81</v>
      </c>
      <c r="T995" s="311" t="s">
        <v>98</v>
      </c>
      <c r="U995" s="308"/>
      <c r="V995" s="312"/>
    </row>
    <row r="996">
      <c r="A996" s="308">
        <v>995.0</v>
      </c>
      <c r="B996" s="308">
        <v>4208.0</v>
      </c>
      <c r="C996" s="308">
        <v>1011.0</v>
      </c>
      <c r="D996" s="308">
        <f>IFERROR(__xludf.DUMMYFUNCTION("SPLIT(C996,""-"")"),1011.0)</f>
        <v>1011</v>
      </c>
      <c r="E996" s="311"/>
      <c r="F996" s="309" t="s">
        <v>34</v>
      </c>
      <c r="G996" s="308"/>
      <c r="H996" s="308" t="s">
        <v>4046</v>
      </c>
      <c r="I996" s="310">
        <v>39964.0</v>
      </c>
      <c r="J996" s="308">
        <f>IFERROR(__xludf.DUMMYFUNCTION("SPLIT(I996,""/"")"),31.0)</f>
        <v>31</v>
      </c>
      <c r="K996" s="308">
        <f>IFERROR(__xludf.DUMMYFUNCTION("""COMPUTED_VALUE"""),5.0)</f>
        <v>5</v>
      </c>
      <c r="L996" s="308">
        <f>IFERROR(__xludf.DUMMYFUNCTION("""COMPUTED_VALUE"""),2009.0)</f>
        <v>2009</v>
      </c>
      <c r="M996" s="308" t="s">
        <v>4047</v>
      </c>
      <c r="N996" s="308"/>
      <c r="O996" s="312" t="s">
        <v>4048</v>
      </c>
      <c r="P996" s="308" t="s">
        <v>1872</v>
      </c>
      <c r="Q996" s="308"/>
      <c r="R996" s="308"/>
      <c r="S996" s="315" t="s">
        <v>100</v>
      </c>
      <c r="T996" s="311" t="s">
        <v>34208</v>
      </c>
      <c r="U996" s="308"/>
      <c r="V996" s="312"/>
    </row>
    <row r="997">
      <c r="A997" s="308">
        <v>996.0</v>
      </c>
      <c r="B997" s="308">
        <v>4209.0</v>
      </c>
      <c r="C997" s="308">
        <v>1012.0</v>
      </c>
      <c r="D997" s="308">
        <f>IFERROR(__xludf.DUMMYFUNCTION("SPLIT(C997,""-"")"),1012.0)</f>
        <v>1012</v>
      </c>
      <c r="E997" s="311"/>
      <c r="F997" s="309" t="s">
        <v>34</v>
      </c>
      <c r="G997" s="308"/>
      <c r="H997" s="308" t="s">
        <v>4049</v>
      </c>
      <c r="I997" s="310">
        <v>40963.0</v>
      </c>
      <c r="J997" s="308">
        <f>IFERROR(__xludf.DUMMYFUNCTION("SPLIT(I997,""/"")"),24.0)</f>
        <v>24</v>
      </c>
      <c r="K997" s="308">
        <f>IFERROR(__xludf.DUMMYFUNCTION("""COMPUTED_VALUE"""),2.0)</f>
        <v>2</v>
      </c>
      <c r="L997" s="308">
        <f>IFERROR(__xludf.DUMMYFUNCTION("""COMPUTED_VALUE"""),2012.0)</f>
        <v>2012</v>
      </c>
      <c r="M997" s="308" t="s">
        <v>35864</v>
      </c>
      <c r="N997" s="308"/>
      <c r="O997" s="312" t="s">
        <v>4051</v>
      </c>
      <c r="P997" s="308" t="s">
        <v>4052</v>
      </c>
      <c r="Q997" s="308"/>
      <c r="R997" s="308"/>
      <c r="S997" s="315" t="s">
        <v>100</v>
      </c>
      <c r="T997" s="311" t="s">
        <v>34208</v>
      </c>
      <c r="U997" s="308" t="s">
        <v>872</v>
      </c>
      <c r="V997" s="312"/>
    </row>
    <row r="998">
      <c r="A998" s="308">
        <v>997.0</v>
      </c>
      <c r="B998" s="308">
        <v>4210.0</v>
      </c>
      <c r="C998" s="308">
        <v>1013.0</v>
      </c>
      <c r="D998" s="308">
        <f>IFERROR(__xludf.DUMMYFUNCTION("SPLIT(C998,""-"")"),1013.0)</f>
        <v>1013</v>
      </c>
      <c r="E998" s="311"/>
      <c r="F998" s="309" t="s">
        <v>34</v>
      </c>
      <c r="G998" s="308"/>
      <c r="H998" s="308" t="s">
        <v>4053</v>
      </c>
      <c r="I998" s="310">
        <v>39955.0</v>
      </c>
      <c r="J998" s="308">
        <f>IFERROR(__xludf.DUMMYFUNCTION("SPLIT(I998,""/"")"),22.0)</f>
        <v>22</v>
      </c>
      <c r="K998" s="308">
        <f>IFERROR(__xludf.DUMMYFUNCTION("""COMPUTED_VALUE"""),5.0)</f>
        <v>5</v>
      </c>
      <c r="L998" s="308">
        <f>IFERROR(__xludf.DUMMYFUNCTION("""COMPUTED_VALUE"""),2009.0)</f>
        <v>2009</v>
      </c>
      <c r="M998" s="308" t="s">
        <v>4054</v>
      </c>
      <c r="N998" s="308" t="s">
        <v>4055</v>
      </c>
      <c r="O998" s="312" t="s">
        <v>4056</v>
      </c>
      <c r="P998" s="308" t="s">
        <v>35865</v>
      </c>
      <c r="Q998" s="308"/>
      <c r="R998" s="308"/>
      <c r="S998" s="308" t="s">
        <v>49</v>
      </c>
      <c r="T998" s="311" t="s">
        <v>51</v>
      </c>
      <c r="U998" s="308" t="s">
        <v>34995</v>
      </c>
      <c r="V998" s="312"/>
    </row>
    <row r="999">
      <c r="A999" s="308">
        <v>998.0</v>
      </c>
      <c r="B999" s="308">
        <v>4211.0</v>
      </c>
      <c r="C999" s="308">
        <v>1014.0</v>
      </c>
      <c r="D999" s="308">
        <f>IFERROR(__xludf.DUMMYFUNCTION("SPLIT(C999,""-"")"),1014.0)</f>
        <v>1014</v>
      </c>
      <c r="E999" s="311"/>
      <c r="F999" s="317" t="s">
        <v>37</v>
      </c>
      <c r="G999" s="308"/>
      <c r="H999" s="308" t="s">
        <v>4058</v>
      </c>
      <c r="I999" s="310">
        <v>39243.0</v>
      </c>
      <c r="J999" s="308">
        <f>IFERROR(__xludf.DUMMYFUNCTION("SPLIT(I999,""/"")"),10.0)</f>
        <v>10</v>
      </c>
      <c r="K999" s="308">
        <f>IFERROR(__xludf.DUMMYFUNCTION("""COMPUTED_VALUE"""),6.0)</f>
        <v>6</v>
      </c>
      <c r="L999" s="308">
        <f>IFERROR(__xludf.DUMMYFUNCTION("""COMPUTED_VALUE"""),2007.0)</f>
        <v>2007</v>
      </c>
      <c r="M999" s="308" t="s">
        <v>4059</v>
      </c>
      <c r="N999" s="308"/>
      <c r="O999" s="312" t="s">
        <v>4060</v>
      </c>
      <c r="P999" s="308" t="s">
        <v>35866</v>
      </c>
      <c r="Q999" s="308"/>
      <c r="R999" s="308"/>
      <c r="S999" s="308" t="s">
        <v>49</v>
      </c>
      <c r="T999" s="311" t="s">
        <v>55</v>
      </c>
      <c r="U999" s="308"/>
      <c r="V999" s="312"/>
    </row>
    <row r="1000">
      <c r="A1000" s="308">
        <v>999.0</v>
      </c>
      <c r="B1000" s="308">
        <v>4212.0</v>
      </c>
      <c r="C1000" s="308">
        <v>1015.0</v>
      </c>
      <c r="D1000" s="308">
        <f>IFERROR(__xludf.DUMMYFUNCTION("SPLIT(C1000,""-"")"),1015.0)</f>
        <v>1015</v>
      </c>
      <c r="E1000" s="311"/>
      <c r="F1000" s="317" t="s">
        <v>37</v>
      </c>
      <c r="G1000" s="308" t="s">
        <v>4062</v>
      </c>
      <c r="H1000" s="308" t="s">
        <v>35867</v>
      </c>
      <c r="I1000" s="310">
        <v>41250.0</v>
      </c>
      <c r="J1000" s="308">
        <f>IFERROR(__xludf.DUMMYFUNCTION("SPLIT(I1000,""/"")"),7.0)</f>
        <v>7</v>
      </c>
      <c r="K1000" s="308">
        <f>IFERROR(__xludf.DUMMYFUNCTION("""COMPUTED_VALUE"""),12.0)</f>
        <v>12</v>
      </c>
      <c r="L1000" s="308">
        <f>IFERROR(__xludf.DUMMYFUNCTION("""COMPUTED_VALUE"""),2012.0)</f>
        <v>2012</v>
      </c>
      <c r="M1000" s="308" t="s">
        <v>35868</v>
      </c>
      <c r="N1000" s="308"/>
      <c r="O1000" s="312" t="s">
        <v>4065</v>
      </c>
      <c r="P1000" s="308" t="s">
        <v>4066</v>
      </c>
      <c r="Q1000" s="308"/>
      <c r="R1000" s="308"/>
      <c r="S1000" s="308" t="s">
        <v>81</v>
      </c>
      <c r="T1000" s="308" t="s">
        <v>75</v>
      </c>
      <c r="U1000" s="308"/>
      <c r="V1000" s="312"/>
    </row>
    <row r="1001">
      <c r="A1001" s="308">
        <v>1000.0</v>
      </c>
      <c r="B1001" s="308">
        <v>4213.0</v>
      </c>
      <c r="C1001" s="308">
        <v>1016.0</v>
      </c>
      <c r="D1001" s="308">
        <f>IFERROR(__xludf.DUMMYFUNCTION("SPLIT(C1001,""-"")"),1016.0)</f>
        <v>1016</v>
      </c>
      <c r="E1001" s="311"/>
      <c r="F1001" s="309" t="s">
        <v>26</v>
      </c>
      <c r="G1001" s="308" t="s">
        <v>4067</v>
      </c>
      <c r="H1001" s="308" t="s">
        <v>35869</v>
      </c>
      <c r="I1001" s="310">
        <v>41249.0</v>
      </c>
      <c r="J1001" s="308">
        <f>IFERROR(__xludf.DUMMYFUNCTION("SPLIT(I1001,""/"")"),6.0)</f>
        <v>6</v>
      </c>
      <c r="K1001" s="308">
        <f>IFERROR(__xludf.DUMMYFUNCTION("""COMPUTED_VALUE"""),12.0)</f>
        <v>12</v>
      </c>
      <c r="L1001" s="308">
        <f>IFERROR(__xludf.DUMMYFUNCTION("""COMPUTED_VALUE"""),2012.0)</f>
        <v>2012</v>
      </c>
      <c r="M1001" s="308" t="s">
        <v>35870</v>
      </c>
      <c r="N1001" s="308"/>
      <c r="O1001" s="312" t="s">
        <v>4070</v>
      </c>
      <c r="P1001" s="308" t="s">
        <v>35871</v>
      </c>
      <c r="Q1001" s="308"/>
      <c r="R1001" s="308"/>
      <c r="S1001" s="308" t="s">
        <v>81</v>
      </c>
      <c r="T1001" s="311" t="s">
        <v>75</v>
      </c>
      <c r="U1001" s="308"/>
      <c r="V1001" s="312"/>
    </row>
    <row r="1002">
      <c r="A1002" s="308">
        <v>1001.0</v>
      </c>
      <c r="B1002" s="308">
        <v>4214.0</v>
      </c>
      <c r="C1002" s="308">
        <v>1017.0</v>
      </c>
      <c r="D1002" s="308">
        <f>IFERROR(__xludf.DUMMYFUNCTION("SPLIT(C1002,""-"")"),1017.0)</f>
        <v>1017</v>
      </c>
      <c r="E1002" s="311"/>
      <c r="F1002" s="309" t="s">
        <v>34</v>
      </c>
      <c r="G1002" s="308" t="s">
        <v>4072</v>
      </c>
      <c r="H1002" s="308" t="s">
        <v>4073</v>
      </c>
      <c r="I1002" s="310">
        <v>39981.0</v>
      </c>
      <c r="J1002" s="308">
        <f>IFERROR(__xludf.DUMMYFUNCTION("SPLIT(I1002,""/"")"),17.0)</f>
        <v>17</v>
      </c>
      <c r="K1002" s="308">
        <f>IFERROR(__xludf.DUMMYFUNCTION("""COMPUTED_VALUE"""),6.0)</f>
        <v>6</v>
      </c>
      <c r="L1002" s="308">
        <f>IFERROR(__xludf.DUMMYFUNCTION("""COMPUTED_VALUE"""),2009.0)</f>
        <v>2009</v>
      </c>
      <c r="M1002" s="308" t="s">
        <v>4074</v>
      </c>
      <c r="N1002" s="308"/>
      <c r="O1002" s="312" t="s">
        <v>35872</v>
      </c>
      <c r="P1002" s="308"/>
      <c r="Q1002" s="308"/>
      <c r="R1002" s="308"/>
      <c r="S1002" s="308" t="s">
        <v>79</v>
      </c>
      <c r="T1002" s="308" t="s">
        <v>79</v>
      </c>
      <c r="U1002" s="308" t="s">
        <v>137</v>
      </c>
      <c r="V1002" s="312"/>
    </row>
    <row r="1003">
      <c r="A1003" s="308">
        <v>1002.0</v>
      </c>
      <c r="B1003" s="308">
        <v>4215.0</v>
      </c>
      <c r="C1003" s="308">
        <v>1018.0</v>
      </c>
      <c r="D1003" s="308">
        <f>IFERROR(__xludf.DUMMYFUNCTION("SPLIT(C1003,""-"")"),1018.0)</f>
        <v>1018</v>
      </c>
      <c r="E1003" s="311"/>
      <c r="F1003" s="309" t="s">
        <v>34</v>
      </c>
      <c r="G1003" s="308" t="s">
        <v>4072</v>
      </c>
      <c r="H1003" s="308" t="s">
        <v>35873</v>
      </c>
      <c r="I1003" s="310">
        <v>39981.0</v>
      </c>
      <c r="J1003" s="308">
        <f>IFERROR(__xludf.DUMMYFUNCTION("SPLIT(I1003,""/"")"),17.0)</f>
        <v>17</v>
      </c>
      <c r="K1003" s="308">
        <f>IFERROR(__xludf.DUMMYFUNCTION("""COMPUTED_VALUE"""),6.0)</f>
        <v>6</v>
      </c>
      <c r="L1003" s="308">
        <f>IFERROR(__xludf.DUMMYFUNCTION("""COMPUTED_VALUE"""),2009.0)</f>
        <v>2009</v>
      </c>
      <c r="M1003" s="308" t="s">
        <v>4074</v>
      </c>
      <c r="N1003" s="308"/>
      <c r="O1003" s="312" t="s">
        <v>35872</v>
      </c>
      <c r="P1003" s="308"/>
      <c r="Q1003" s="308"/>
      <c r="R1003" s="308"/>
      <c r="S1003" s="308" t="s">
        <v>79</v>
      </c>
      <c r="T1003" s="308" t="s">
        <v>79</v>
      </c>
      <c r="U1003" s="308" t="s">
        <v>137</v>
      </c>
      <c r="V1003" s="312"/>
    </row>
    <row r="1004">
      <c r="A1004" s="308">
        <v>1003.0</v>
      </c>
      <c r="B1004" s="308">
        <v>4216.0</v>
      </c>
      <c r="C1004" s="308">
        <v>1019.0</v>
      </c>
      <c r="D1004" s="308">
        <f>IFERROR(__xludf.DUMMYFUNCTION("SPLIT(C1004,""-"")"),1019.0)</f>
        <v>1019</v>
      </c>
      <c r="E1004" s="311"/>
      <c r="F1004" s="309" t="s">
        <v>34</v>
      </c>
      <c r="G1004" s="308" t="s">
        <v>4072</v>
      </c>
      <c r="H1004" s="308" t="s">
        <v>4077</v>
      </c>
      <c r="I1004" s="310">
        <v>39981.0</v>
      </c>
      <c r="J1004" s="308">
        <f>IFERROR(__xludf.DUMMYFUNCTION("SPLIT(I1004,""/"")"),17.0)</f>
        <v>17</v>
      </c>
      <c r="K1004" s="308">
        <f>IFERROR(__xludf.DUMMYFUNCTION("""COMPUTED_VALUE"""),6.0)</f>
        <v>6</v>
      </c>
      <c r="L1004" s="308">
        <f>IFERROR(__xludf.DUMMYFUNCTION("""COMPUTED_VALUE"""),2009.0)</f>
        <v>2009</v>
      </c>
      <c r="M1004" s="308" t="s">
        <v>4074</v>
      </c>
      <c r="N1004" s="308"/>
      <c r="O1004" s="312" t="s">
        <v>35872</v>
      </c>
      <c r="P1004" s="308"/>
      <c r="Q1004" s="308"/>
      <c r="R1004" s="308"/>
      <c r="S1004" s="308" t="s">
        <v>79</v>
      </c>
      <c r="T1004" s="308" t="s">
        <v>79</v>
      </c>
      <c r="U1004" s="308" t="s">
        <v>137</v>
      </c>
      <c r="V1004" s="312"/>
    </row>
    <row r="1005">
      <c r="A1005" s="308">
        <v>1004.0</v>
      </c>
      <c r="B1005" s="308">
        <v>4217.0</v>
      </c>
      <c r="C1005" s="308">
        <v>1020.0</v>
      </c>
      <c r="D1005" s="308">
        <f>IFERROR(__xludf.DUMMYFUNCTION("SPLIT(C1005,""-"")"),1020.0)</f>
        <v>1020</v>
      </c>
      <c r="E1005" s="311"/>
      <c r="F1005" s="309" t="s">
        <v>34</v>
      </c>
      <c r="G1005" s="308" t="s">
        <v>4072</v>
      </c>
      <c r="H1005" s="308" t="s">
        <v>4078</v>
      </c>
      <c r="I1005" s="310">
        <v>39981.0</v>
      </c>
      <c r="J1005" s="308">
        <f>IFERROR(__xludf.DUMMYFUNCTION("SPLIT(I1005,""/"")"),17.0)</f>
        <v>17</v>
      </c>
      <c r="K1005" s="308">
        <f>IFERROR(__xludf.DUMMYFUNCTION("""COMPUTED_VALUE"""),6.0)</f>
        <v>6</v>
      </c>
      <c r="L1005" s="308">
        <f>IFERROR(__xludf.DUMMYFUNCTION("""COMPUTED_VALUE"""),2009.0)</f>
        <v>2009</v>
      </c>
      <c r="M1005" s="308" t="s">
        <v>4074</v>
      </c>
      <c r="N1005" s="308"/>
      <c r="O1005" s="312" t="s">
        <v>35872</v>
      </c>
      <c r="P1005" s="308"/>
      <c r="Q1005" s="308"/>
      <c r="R1005" s="308"/>
      <c r="S1005" s="308" t="s">
        <v>79</v>
      </c>
      <c r="T1005" s="308" t="s">
        <v>79</v>
      </c>
      <c r="U1005" s="308" t="s">
        <v>137</v>
      </c>
      <c r="V1005" s="312"/>
    </row>
    <row r="1006">
      <c r="A1006" s="308">
        <v>1005.0</v>
      </c>
      <c r="B1006" s="308">
        <v>4218.0</v>
      </c>
      <c r="C1006" s="308">
        <v>1021.0</v>
      </c>
      <c r="D1006" s="308">
        <f>IFERROR(__xludf.DUMMYFUNCTION("SPLIT(C1006,""-"")"),1021.0)</f>
        <v>1021</v>
      </c>
      <c r="E1006" s="311"/>
      <c r="F1006" s="309" t="s">
        <v>34</v>
      </c>
      <c r="G1006" s="308" t="s">
        <v>4072</v>
      </c>
      <c r="H1006" s="308" t="s">
        <v>4079</v>
      </c>
      <c r="I1006" s="310">
        <v>40000.0</v>
      </c>
      <c r="J1006" s="308">
        <f>IFERROR(__xludf.DUMMYFUNCTION("SPLIT(I1006,""/"")"),6.0)</f>
        <v>6</v>
      </c>
      <c r="K1006" s="308">
        <f>IFERROR(__xludf.DUMMYFUNCTION("""COMPUTED_VALUE"""),7.0)</f>
        <v>7</v>
      </c>
      <c r="L1006" s="308">
        <f>IFERROR(__xludf.DUMMYFUNCTION("""COMPUTED_VALUE"""),2009.0)</f>
        <v>2009</v>
      </c>
      <c r="M1006" s="308" t="s">
        <v>4074</v>
      </c>
      <c r="N1006" s="308"/>
      <c r="O1006" s="312" t="s">
        <v>635</v>
      </c>
      <c r="P1006" s="308"/>
      <c r="Q1006" s="308"/>
      <c r="R1006" s="308"/>
      <c r="S1006" s="308" t="s">
        <v>79</v>
      </c>
      <c r="T1006" s="308" t="s">
        <v>79</v>
      </c>
      <c r="U1006" s="308" t="s">
        <v>137</v>
      </c>
      <c r="V1006" s="312"/>
    </row>
    <row r="1007">
      <c r="A1007" s="308">
        <v>1006.0</v>
      </c>
      <c r="B1007" s="308">
        <v>4219.0</v>
      </c>
      <c r="C1007" s="308">
        <v>1022.0</v>
      </c>
      <c r="D1007" s="308">
        <f>IFERROR(__xludf.DUMMYFUNCTION("SPLIT(C1007,""-"")"),1022.0)</f>
        <v>1022</v>
      </c>
      <c r="E1007" s="311"/>
      <c r="F1007" s="309" t="s">
        <v>34</v>
      </c>
      <c r="G1007" s="308" t="s">
        <v>4072</v>
      </c>
      <c r="H1007" s="308" t="s">
        <v>4080</v>
      </c>
      <c r="I1007" s="310">
        <v>39981.0</v>
      </c>
      <c r="J1007" s="308">
        <f>IFERROR(__xludf.DUMMYFUNCTION("SPLIT(I1007,""/"")"),17.0)</f>
        <v>17</v>
      </c>
      <c r="K1007" s="308">
        <f>IFERROR(__xludf.DUMMYFUNCTION("""COMPUTED_VALUE"""),6.0)</f>
        <v>6</v>
      </c>
      <c r="L1007" s="308">
        <f>IFERROR(__xludf.DUMMYFUNCTION("""COMPUTED_VALUE"""),2009.0)</f>
        <v>2009</v>
      </c>
      <c r="M1007" s="308" t="s">
        <v>4074</v>
      </c>
      <c r="N1007" s="308"/>
      <c r="O1007" s="312" t="s">
        <v>35872</v>
      </c>
      <c r="P1007" s="308" t="s">
        <v>2675</v>
      </c>
      <c r="Q1007" s="308"/>
      <c r="R1007" s="308"/>
      <c r="S1007" s="308" t="s">
        <v>49</v>
      </c>
      <c r="T1007" s="308" t="s">
        <v>51</v>
      </c>
      <c r="U1007" s="308" t="s">
        <v>137</v>
      </c>
      <c r="V1007" s="312"/>
    </row>
    <row r="1008">
      <c r="A1008" s="308">
        <v>1007.0</v>
      </c>
      <c r="B1008" s="308">
        <v>4220.0</v>
      </c>
      <c r="C1008" s="308" t="s">
        <v>4081</v>
      </c>
      <c r="D1008" s="308">
        <f>IFERROR(__xludf.DUMMYFUNCTION("SPLIT(C1008,""-"")"),1023.0)</f>
        <v>1023</v>
      </c>
      <c r="E1008" s="308" t="str">
        <f>IFERROR(__xludf.DUMMYFUNCTION("""COMPUTED_VALUE"""),"K")</f>
        <v>K</v>
      </c>
      <c r="F1008" s="309" t="s">
        <v>34</v>
      </c>
      <c r="G1008" s="308" t="s">
        <v>35874</v>
      </c>
      <c r="H1008" s="308" t="s">
        <v>4083</v>
      </c>
      <c r="I1008" s="310">
        <v>40278.0</v>
      </c>
      <c r="J1008" s="308">
        <f>IFERROR(__xludf.DUMMYFUNCTION("SPLIT(I1008,""/"")"),10.0)</f>
        <v>10</v>
      </c>
      <c r="K1008" s="308">
        <f>IFERROR(__xludf.DUMMYFUNCTION("""COMPUTED_VALUE"""),4.0)</f>
        <v>4</v>
      </c>
      <c r="L1008" s="308">
        <f>IFERROR(__xludf.DUMMYFUNCTION("""COMPUTED_VALUE"""),2010.0)</f>
        <v>2010</v>
      </c>
      <c r="M1008" s="308" t="s">
        <v>4084</v>
      </c>
      <c r="N1008" s="308" t="s">
        <v>4085</v>
      </c>
      <c r="O1008" s="312" t="s">
        <v>4086</v>
      </c>
      <c r="P1008" s="308" t="s">
        <v>1605</v>
      </c>
      <c r="Q1008" s="308"/>
      <c r="R1008" s="308" t="s">
        <v>1496</v>
      </c>
      <c r="S1008" s="315" t="s">
        <v>100</v>
      </c>
      <c r="T1008" s="311" t="s">
        <v>34208</v>
      </c>
      <c r="U1008" s="308" t="s">
        <v>125</v>
      </c>
      <c r="V1008" s="312"/>
    </row>
    <row r="1009">
      <c r="A1009" s="308">
        <v>1008.0</v>
      </c>
      <c r="B1009" s="308">
        <v>4221.0</v>
      </c>
      <c r="C1009" s="308">
        <v>1024.0</v>
      </c>
      <c r="D1009" s="308">
        <f>IFERROR(__xludf.DUMMYFUNCTION("SPLIT(C1009,""-"")"),1024.0)</f>
        <v>1024</v>
      </c>
      <c r="E1009" s="311"/>
      <c r="F1009" s="309" t="s">
        <v>26</v>
      </c>
      <c r="G1009" s="308" t="s">
        <v>4087</v>
      </c>
      <c r="H1009" s="308" t="s">
        <v>4088</v>
      </c>
      <c r="I1009" s="310">
        <v>36664.0</v>
      </c>
      <c r="J1009" s="308">
        <f>IFERROR(__xludf.DUMMYFUNCTION("SPLIT(I1009,""/"")"),18.0)</f>
        <v>18</v>
      </c>
      <c r="K1009" s="308">
        <f>IFERROR(__xludf.DUMMYFUNCTION("""COMPUTED_VALUE"""),5.0)</f>
        <v>5</v>
      </c>
      <c r="L1009" s="308">
        <f>IFERROR(__xludf.DUMMYFUNCTION("""COMPUTED_VALUE"""),2000.0)</f>
        <v>2000</v>
      </c>
      <c r="M1009" s="308" t="s">
        <v>4089</v>
      </c>
      <c r="N1009" s="308"/>
      <c r="O1009" s="312" t="s">
        <v>35875</v>
      </c>
      <c r="P1009" s="308" t="s">
        <v>4091</v>
      </c>
      <c r="Q1009" s="308"/>
      <c r="R1009" s="308"/>
      <c r="S1009" s="308" t="s">
        <v>49</v>
      </c>
      <c r="T1009" s="311" t="s">
        <v>55</v>
      </c>
      <c r="U1009" s="308"/>
      <c r="V1009" s="312"/>
    </row>
    <row r="1010">
      <c r="A1010" s="308">
        <v>1009.0</v>
      </c>
      <c r="B1010" s="308">
        <v>4222.0</v>
      </c>
      <c r="C1010" s="308">
        <v>1025.0</v>
      </c>
      <c r="D1010" s="308">
        <f>IFERROR(__xludf.DUMMYFUNCTION("SPLIT(C1010,""-"")"),1025.0)</f>
        <v>1025</v>
      </c>
      <c r="E1010" s="311"/>
      <c r="F1010" s="309" t="s">
        <v>26</v>
      </c>
      <c r="G1010" s="308"/>
      <c r="H1010" s="308" t="s">
        <v>4092</v>
      </c>
      <c r="I1010" s="310">
        <v>41248.0</v>
      </c>
      <c r="J1010" s="308">
        <f>IFERROR(__xludf.DUMMYFUNCTION("SPLIT(I1010,""/"")"),5.0)</f>
        <v>5</v>
      </c>
      <c r="K1010" s="308">
        <f>IFERROR(__xludf.DUMMYFUNCTION("""COMPUTED_VALUE"""),12.0)</f>
        <v>12</v>
      </c>
      <c r="L1010" s="308">
        <f>IFERROR(__xludf.DUMMYFUNCTION("""COMPUTED_VALUE"""),2012.0)</f>
        <v>2012</v>
      </c>
      <c r="M1010" s="308" t="s">
        <v>35876</v>
      </c>
      <c r="N1010" s="308"/>
      <c r="O1010" s="312" t="s">
        <v>635</v>
      </c>
      <c r="P1010" s="308" t="s">
        <v>4094</v>
      </c>
      <c r="Q1010" s="308"/>
      <c r="R1010" s="308"/>
      <c r="S1010" s="308" t="s">
        <v>81</v>
      </c>
      <c r="T1010" s="308" t="s">
        <v>75</v>
      </c>
      <c r="U1010" s="308" t="s">
        <v>27</v>
      </c>
      <c r="V1010" s="312"/>
    </row>
    <row r="1011">
      <c r="A1011" s="308">
        <v>1010.0</v>
      </c>
      <c r="B1011" s="308">
        <v>4223.0</v>
      </c>
      <c r="C1011" s="308">
        <v>1026.0</v>
      </c>
      <c r="D1011" s="308">
        <f>IFERROR(__xludf.DUMMYFUNCTION("SPLIT(C1011,""-"")"),1026.0)</f>
        <v>1026</v>
      </c>
      <c r="E1011" s="311"/>
      <c r="F1011" s="317" t="s">
        <v>37</v>
      </c>
      <c r="G1011" s="308"/>
      <c r="H1011" s="308" t="s">
        <v>4095</v>
      </c>
      <c r="I1011" s="310">
        <v>41153.0</v>
      </c>
      <c r="J1011" s="308">
        <f>IFERROR(__xludf.DUMMYFUNCTION("SPLIT(I1011,""/"")"),1.0)</f>
        <v>1</v>
      </c>
      <c r="K1011" s="308">
        <f>IFERROR(__xludf.DUMMYFUNCTION("""COMPUTED_VALUE"""),9.0)</f>
        <v>9</v>
      </c>
      <c r="L1011" s="308">
        <f>IFERROR(__xludf.DUMMYFUNCTION("""COMPUTED_VALUE"""),2012.0)</f>
        <v>2012</v>
      </c>
      <c r="M1011" s="308" t="s">
        <v>4096</v>
      </c>
      <c r="N1011" s="308" t="s">
        <v>4097</v>
      </c>
      <c r="O1011" s="312" t="s">
        <v>4098</v>
      </c>
      <c r="P1011" s="308" t="s">
        <v>4099</v>
      </c>
      <c r="Q1011" s="308"/>
      <c r="R1011" s="308"/>
      <c r="S1011" s="308" t="s">
        <v>81</v>
      </c>
      <c r="T1011" s="311" t="s">
        <v>51</v>
      </c>
      <c r="U1011" s="308"/>
      <c r="V1011" s="312"/>
    </row>
    <row r="1012">
      <c r="A1012" s="308">
        <v>1011.0</v>
      </c>
      <c r="B1012" s="308">
        <v>4224.0</v>
      </c>
      <c r="C1012" s="308">
        <v>1027.0</v>
      </c>
      <c r="D1012" s="308">
        <f>IFERROR(__xludf.DUMMYFUNCTION("SPLIT(C1012,""-"")"),1027.0)</f>
        <v>1027</v>
      </c>
      <c r="E1012" s="311"/>
      <c r="F1012" s="309" t="s">
        <v>34</v>
      </c>
      <c r="G1012" s="308"/>
      <c r="H1012" s="308" t="s">
        <v>4100</v>
      </c>
      <c r="I1012" s="314">
        <v>41200.0</v>
      </c>
      <c r="J1012" s="308">
        <f>IFERROR(__xludf.DUMMYFUNCTION("SPLIT(I1012,""/"")"),18.0)</f>
        <v>18</v>
      </c>
      <c r="K1012" s="308">
        <f>IFERROR(__xludf.DUMMYFUNCTION("""COMPUTED_VALUE"""),10.0)</f>
        <v>10</v>
      </c>
      <c r="L1012" s="308">
        <f>IFERROR(__xludf.DUMMYFUNCTION("""COMPUTED_VALUE"""),2012.0)</f>
        <v>2012</v>
      </c>
      <c r="M1012" s="308" t="s">
        <v>35877</v>
      </c>
      <c r="N1012" s="308"/>
      <c r="O1012" s="312" t="s">
        <v>4102</v>
      </c>
      <c r="P1012" s="308" t="s">
        <v>4103</v>
      </c>
      <c r="Q1012" s="308"/>
      <c r="R1012" s="308"/>
      <c r="S1012" s="308" t="s">
        <v>81</v>
      </c>
      <c r="T1012" s="311" t="s">
        <v>96</v>
      </c>
      <c r="U1012" s="308"/>
      <c r="V1012" s="312"/>
    </row>
    <row r="1013">
      <c r="A1013" s="308">
        <v>1012.0</v>
      </c>
      <c r="B1013" s="308">
        <v>4225.0</v>
      </c>
      <c r="C1013" s="308">
        <v>1028.0</v>
      </c>
      <c r="D1013" s="308">
        <f>IFERROR(__xludf.DUMMYFUNCTION("SPLIT(C1013,""-"")"),1028.0)</f>
        <v>1028</v>
      </c>
      <c r="E1013" s="311"/>
      <c r="F1013" s="309" t="s">
        <v>34</v>
      </c>
      <c r="G1013" s="308"/>
      <c r="H1013" s="308" t="s">
        <v>4104</v>
      </c>
      <c r="I1013" s="310">
        <v>41296.0</v>
      </c>
      <c r="J1013" s="308">
        <f>IFERROR(__xludf.DUMMYFUNCTION("SPLIT(I1013,""/"")"),22.0)</f>
        <v>22</v>
      </c>
      <c r="K1013" s="308">
        <f>IFERROR(__xludf.DUMMYFUNCTION("""COMPUTED_VALUE"""),1.0)</f>
        <v>1</v>
      </c>
      <c r="L1013" s="308">
        <f>IFERROR(__xludf.DUMMYFUNCTION("""COMPUTED_VALUE"""),2013.0)</f>
        <v>2013</v>
      </c>
      <c r="M1013" s="308" t="s">
        <v>4105</v>
      </c>
      <c r="N1013" s="308"/>
      <c r="O1013" s="312" t="s">
        <v>4106</v>
      </c>
      <c r="P1013" s="308" t="s">
        <v>4107</v>
      </c>
      <c r="Q1013" s="308"/>
      <c r="R1013" s="308"/>
      <c r="S1013" s="308" t="s">
        <v>81</v>
      </c>
      <c r="T1013" s="311" t="s">
        <v>51</v>
      </c>
      <c r="U1013" s="308"/>
      <c r="V1013" s="312"/>
    </row>
    <row r="1014">
      <c r="A1014" s="308">
        <v>1013.0</v>
      </c>
      <c r="B1014" s="308">
        <v>4226.0</v>
      </c>
      <c r="C1014" s="308">
        <v>1029.0</v>
      </c>
      <c r="D1014" s="308">
        <f>IFERROR(__xludf.DUMMYFUNCTION("SPLIT(C1014,""-"")"),1029.0)</f>
        <v>1029</v>
      </c>
      <c r="E1014" s="311"/>
      <c r="F1014" s="317" t="s">
        <v>37</v>
      </c>
      <c r="G1014" s="308"/>
      <c r="H1014" s="308" t="s">
        <v>4108</v>
      </c>
      <c r="I1014" s="310">
        <v>38761.0</v>
      </c>
      <c r="J1014" s="308">
        <f>IFERROR(__xludf.DUMMYFUNCTION("SPLIT(I1014,""/"")"),13.0)</f>
        <v>13</v>
      </c>
      <c r="K1014" s="308">
        <f>IFERROR(__xludf.DUMMYFUNCTION("""COMPUTED_VALUE"""),2.0)</f>
        <v>2</v>
      </c>
      <c r="L1014" s="308">
        <f>IFERROR(__xludf.DUMMYFUNCTION("""COMPUTED_VALUE"""),2006.0)</f>
        <v>2006</v>
      </c>
      <c r="M1014" s="308" t="s">
        <v>4109</v>
      </c>
      <c r="N1014" s="308"/>
      <c r="O1014" s="312" t="s">
        <v>4110</v>
      </c>
      <c r="P1014" s="308" t="s">
        <v>4111</v>
      </c>
      <c r="Q1014" s="308"/>
      <c r="R1014" s="308"/>
      <c r="S1014" s="308" t="s">
        <v>49</v>
      </c>
      <c r="T1014" s="308" t="s">
        <v>51</v>
      </c>
      <c r="U1014" s="308"/>
      <c r="V1014" s="312"/>
    </row>
    <row r="1015">
      <c r="A1015" s="308">
        <v>1014.0</v>
      </c>
      <c r="B1015" s="308">
        <v>4227.0</v>
      </c>
      <c r="C1015" s="308">
        <v>1030.0</v>
      </c>
      <c r="D1015" s="308">
        <f>IFERROR(__xludf.DUMMYFUNCTION("SPLIT(C1015,""-"")"),1030.0)</f>
        <v>1030</v>
      </c>
      <c r="E1015" s="311"/>
      <c r="F1015" s="309" t="s">
        <v>34</v>
      </c>
      <c r="G1015" s="308" t="s">
        <v>4112</v>
      </c>
      <c r="H1015" s="308" t="s">
        <v>4113</v>
      </c>
      <c r="I1015" s="316" t="s">
        <v>407</v>
      </c>
      <c r="J1015" s="308" t="str">
        <f>IFERROR(__xludf.DUMMYFUNCTION("SPLIT(I1015,""/"")"),"#REF!")</f>
        <v>#REF!</v>
      </c>
      <c r="K1015" s="308"/>
      <c r="L1015" s="311" t="s">
        <v>79</v>
      </c>
      <c r="M1015" s="308" t="s">
        <v>4114</v>
      </c>
      <c r="N1015" s="308"/>
      <c r="O1015" s="312" t="s">
        <v>35878</v>
      </c>
      <c r="P1015" s="308" t="s">
        <v>4116</v>
      </c>
      <c r="Q1015" s="308"/>
      <c r="R1015" s="308"/>
      <c r="S1015" s="308" t="s">
        <v>81</v>
      </c>
      <c r="T1015" s="311" t="s">
        <v>34264</v>
      </c>
      <c r="U1015" s="308"/>
      <c r="V1015" s="312"/>
    </row>
    <row r="1016">
      <c r="A1016" s="308">
        <v>1015.0</v>
      </c>
      <c r="B1016" s="308">
        <v>4228.0</v>
      </c>
      <c r="C1016" s="308">
        <v>1031.0</v>
      </c>
      <c r="D1016" s="308">
        <f>IFERROR(__xludf.DUMMYFUNCTION("SPLIT(C1016,""-"")"),1031.0)</f>
        <v>1031</v>
      </c>
      <c r="E1016" s="311"/>
      <c r="F1016" s="309" t="s">
        <v>34</v>
      </c>
      <c r="G1016" s="308" t="s">
        <v>4117</v>
      </c>
      <c r="H1016" s="308" t="s">
        <v>4118</v>
      </c>
      <c r="I1016" s="314">
        <v>41194.0</v>
      </c>
      <c r="J1016" s="308">
        <f>IFERROR(__xludf.DUMMYFUNCTION("SPLIT(I1016,""/"")"),12.0)</f>
        <v>12</v>
      </c>
      <c r="K1016" s="308">
        <f>IFERROR(__xludf.DUMMYFUNCTION("""COMPUTED_VALUE"""),10.0)</f>
        <v>10</v>
      </c>
      <c r="L1016" s="308">
        <f>IFERROR(__xludf.DUMMYFUNCTION("""COMPUTED_VALUE"""),2012.0)</f>
        <v>2012</v>
      </c>
      <c r="M1016" s="308" t="s">
        <v>4119</v>
      </c>
      <c r="N1016" s="308"/>
      <c r="O1016" s="312" t="s">
        <v>35879</v>
      </c>
      <c r="P1016" s="308" t="s">
        <v>35880</v>
      </c>
      <c r="Q1016" s="308"/>
      <c r="R1016" s="308"/>
      <c r="S1016" s="308" t="s">
        <v>81</v>
      </c>
      <c r="T1016" s="308" t="s">
        <v>75</v>
      </c>
      <c r="U1016" s="308" t="s">
        <v>872</v>
      </c>
      <c r="V1016" s="312"/>
    </row>
    <row r="1017">
      <c r="A1017" s="308">
        <v>1016.0</v>
      </c>
      <c r="B1017" s="308">
        <v>4229.0</v>
      </c>
      <c r="C1017" s="308">
        <v>1032.0</v>
      </c>
      <c r="D1017" s="308">
        <f>IFERROR(__xludf.DUMMYFUNCTION("SPLIT(C1017,""-"")"),1032.0)</f>
        <v>1032</v>
      </c>
      <c r="E1017" s="311"/>
      <c r="F1017" s="317" t="s">
        <v>39</v>
      </c>
      <c r="G1017" s="308" t="s">
        <v>4122</v>
      </c>
      <c r="H1017" s="308" t="s">
        <v>4123</v>
      </c>
      <c r="I1017" s="314">
        <v>41228.0</v>
      </c>
      <c r="J1017" s="308">
        <f>IFERROR(__xludf.DUMMYFUNCTION("SPLIT(I1017,""/"")"),15.0)</f>
        <v>15</v>
      </c>
      <c r="K1017" s="308">
        <f>IFERROR(__xludf.DUMMYFUNCTION("""COMPUTED_VALUE"""),11.0)</f>
        <v>11</v>
      </c>
      <c r="L1017" s="308">
        <f>IFERROR(__xludf.DUMMYFUNCTION("""COMPUTED_VALUE"""),2012.0)</f>
        <v>2012</v>
      </c>
      <c r="M1017" s="308" t="s">
        <v>4124</v>
      </c>
      <c r="N1017" s="308"/>
      <c r="O1017" s="312" t="s">
        <v>4125</v>
      </c>
      <c r="P1017" s="308" t="s">
        <v>35881</v>
      </c>
      <c r="Q1017" s="308"/>
      <c r="R1017" s="308"/>
      <c r="S1017" s="308" t="s">
        <v>81</v>
      </c>
      <c r="T1017" s="308" t="s">
        <v>75</v>
      </c>
      <c r="U1017" s="308"/>
      <c r="V1017" s="312"/>
    </row>
    <row r="1018">
      <c r="A1018" s="308">
        <v>1017.0</v>
      </c>
      <c r="B1018" s="308">
        <v>4230.0</v>
      </c>
      <c r="C1018" s="308">
        <v>1033.0</v>
      </c>
      <c r="D1018" s="308">
        <f>IFERROR(__xludf.DUMMYFUNCTION("SPLIT(C1018,""-"")"),1033.0)</f>
        <v>1033</v>
      </c>
      <c r="E1018" s="311"/>
      <c r="F1018" s="309" t="s">
        <v>34</v>
      </c>
      <c r="G1018" s="308" t="s">
        <v>4127</v>
      </c>
      <c r="H1018" s="308" t="s">
        <v>4128</v>
      </c>
      <c r="I1018" s="314">
        <v>41243.0</v>
      </c>
      <c r="J1018" s="308">
        <f>IFERROR(__xludf.DUMMYFUNCTION("SPLIT(I1018,""/"")"),30.0)</f>
        <v>30</v>
      </c>
      <c r="K1018" s="308">
        <f>IFERROR(__xludf.DUMMYFUNCTION("""COMPUTED_VALUE"""),11.0)</f>
        <v>11</v>
      </c>
      <c r="L1018" s="308">
        <f>IFERROR(__xludf.DUMMYFUNCTION("""COMPUTED_VALUE"""),2012.0)</f>
        <v>2012</v>
      </c>
      <c r="M1018" s="308" t="s">
        <v>4129</v>
      </c>
      <c r="N1018" s="308" t="s">
        <v>4130</v>
      </c>
      <c r="O1018" s="312" t="s">
        <v>4131</v>
      </c>
      <c r="P1018" s="308" t="s">
        <v>4132</v>
      </c>
      <c r="Q1018" s="308"/>
      <c r="R1018" s="308"/>
      <c r="S1018" s="308" t="s">
        <v>81</v>
      </c>
      <c r="T1018" s="308" t="s">
        <v>75</v>
      </c>
      <c r="U1018" s="308"/>
      <c r="V1018" s="312"/>
    </row>
    <row r="1019">
      <c r="A1019" s="308">
        <v>1018.0</v>
      </c>
      <c r="B1019" s="308">
        <v>4231.0</v>
      </c>
      <c r="C1019" s="308">
        <v>1034.0</v>
      </c>
      <c r="D1019" s="308">
        <f>IFERROR(__xludf.DUMMYFUNCTION("SPLIT(C1019,""-"")"),1034.0)</f>
        <v>1034</v>
      </c>
      <c r="E1019" s="311"/>
      <c r="F1019" s="309" t="s">
        <v>34</v>
      </c>
      <c r="G1019" s="308" t="s">
        <v>4133</v>
      </c>
      <c r="H1019" s="308" t="s">
        <v>4134</v>
      </c>
      <c r="I1019" s="310">
        <v>40912.0</v>
      </c>
      <c r="J1019" s="308">
        <f>IFERROR(__xludf.DUMMYFUNCTION("SPLIT(I1019,""/"")"),4.0)</f>
        <v>4</v>
      </c>
      <c r="K1019" s="308">
        <f>IFERROR(__xludf.DUMMYFUNCTION("""COMPUTED_VALUE"""),1.0)</f>
        <v>1</v>
      </c>
      <c r="L1019" s="308">
        <f>IFERROR(__xludf.DUMMYFUNCTION("""COMPUTED_VALUE"""),2012.0)</f>
        <v>2012</v>
      </c>
      <c r="M1019" s="308" t="s">
        <v>4135</v>
      </c>
      <c r="N1019" s="308"/>
      <c r="O1019" s="312" t="s">
        <v>635</v>
      </c>
      <c r="P1019" s="308" t="s">
        <v>4136</v>
      </c>
      <c r="Q1019" s="308"/>
      <c r="R1019" s="308"/>
      <c r="S1019" s="308" t="s">
        <v>81</v>
      </c>
      <c r="T1019" s="308" t="s">
        <v>75</v>
      </c>
      <c r="U1019" s="308"/>
      <c r="V1019" s="312"/>
    </row>
    <row r="1020">
      <c r="A1020" s="308">
        <v>1019.0</v>
      </c>
      <c r="B1020" s="308">
        <v>4232.0</v>
      </c>
      <c r="C1020" s="308">
        <v>1035.0</v>
      </c>
      <c r="D1020" s="308">
        <f>IFERROR(__xludf.DUMMYFUNCTION("SPLIT(C1020,""-"")"),1035.0)</f>
        <v>1035</v>
      </c>
      <c r="E1020" s="311"/>
      <c r="F1020" s="309" t="s">
        <v>34</v>
      </c>
      <c r="G1020" s="308" t="s">
        <v>4137</v>
      </c>
      <c r="H1020" s="308" t="s">
        <v>35882</v>
      </c>
      <c r="I1020" s="314">
        <v>40536.0</v>
      </c>
      <c r="J1020" s="308">
        <f>IFERROR(__xludf.DUMMYFUNCTION("SPLIT(I1020,""/"")"),24.0)</f>
        <v>24</v>
      </c>
      <c r="K1020" s="308">
        <f>IFERROR(__xludf.DUMMYFUNCTION("""COMPUTED_VALUE"""),12.0)</f>
        <v>12</v>
      </c>
      <c r="L1020" s="308">
        <f>IFERROR(__xludf.DUMMYFUNCTION("""COMPUTED_VALUE"""),2010.0)</f>
        <v>2010</v>
      </c>
      <c r="M1020" s="308" t="s">
        <v>4139</v>
      </c>
      <c r="N1020" s="308"/>
      <c r="O1020" s="312" t="s">
        <v>635</v>
      </c>
      <c r="P1020" s="308" t="s">
        <v>4140</v>
      </c>
      <c r="Q1020" s="308"/>
      <c r="R1020" s="308"/>
      <c r="S1020" s="308" t="s">
        <v>81</v>
      </c>
      <c r="T1020" s="308" t="s">
        <v>98</v>
      </c>
      <c r="U1020" s="308"/>
      <c r="V1020" s="312"/>
    </row>
    <row r="1021">
      <c r="A1021" s="308">
        <v>1020.0</v>
      </c>
      <c r="B1021" s="308">
        <v>4233.0</v>
      </c>
      <c r="C1021" s="308">
        <v>1036.0</v>
      </c>
      <c r="D1021" s="308">
        <f>IFERROR(__xludf.DUMMYFUNCTION("SPLIT(C1021,""-"")"),1036.0)</f>
        <v>1036</v>
      </c>
      <c r="E1021" s="311"/>
      <c r="F1021" s="309" t="s">
        <v>31</v>
      </c>
      <c r="G1021" s="308" t="s">
        <v>4141</v>
      </c>
      <c r="H1021" s="308" t="s">
        <v>4142</v>
      </c>
      <c r="I1021" s="310">
        <v>40239.0</v>
      </c>
      <c r="J1021" s="308">
        <f>IFERROR(__xludf.DUMMYFUNCTION("SPLIT(I1021,""/"")"),2.0)</f>
        <v>2</v>
      </c>
      <c r="K1021" s="308">
        <f>IFERROR(__xludf.DUMMYFUNCTION("""COMPUTED_VALUE"""),3.0)</f>
        <v>3</v>
      </c>
      <c r="L1021" s="308">
        <f>IFERROR(__xludf.DUMMYFUNCTION("""COMPUTED_VALUE"""),2010.0)</f>
        <v>2010</v>
      </c>
      <c r="M1021" s="308" t="s">
        <v>4143</v>
      </c>
      <c r="N1021" s="308"/>
      <c r="O1021" s="312" t="s">
        <v>35883</v>
      </c>
      <c r="P1021" s="308" t="s">
        <v>35718</v>
      </c>
      <c r="Q1021" s="308"/>
      <c r="R1021" s="308"/>
      <c r="S1021" s="315" t="s">
        <v>100</v>
      </c>
      <c r="T1021" s="311" t="s">
        <v>34208</v>
      </c>
      <c r="U1021" s="308" t="s">
        <v>31</v>
      </c>
      <c r="V1021" s="312"/>
    </row>
    <row r="1022">
      <c r="A1022" s="308">
        <v>1021.0</v>
      </c>
      <c r="B1022" s="308">
        <v>4234.0</v>
      </c>
      <c r="C1022" s="308">
        <v>1037.0</v>
      </c>
      <c r="D1022" s="308">
        <f>IFERROR(__xludf.DUMMYFUNCTION("SPLIT(C1022,""-"")"),1037.0)</f>
        <v>1037</v>
      </c>
      <c r="E1022" s="311"/>
      <c r="F1022" s="317" t="s">
        <v>37</v>
      </c>
      <c r="G1022" s="308" t="s">
        <v>4145</v>
      </c>
      <c r="H1022" s="308" t="s">
        <v>4146</v>
      </c>
      <c r="I1022" s="310">
        <v>41138.0</v>
      </c>
      <c r="J1022" s="308">
        <f>IFERROR(__xludf.DUMMYFUNCTION("SPLIT(I1022,""/"")"),17.0)</f>
        <v>17</v>
      </c>
      <c r="K1022" s="308">
        <f>IFERROR(__xludf.DUMMYFUNCTION("""COMPUTED_VALUE"""),8.0)</f>
        <v>8</v>
      </c>
      <c r="L1022" s="308">
        <f>IFERROR(__xludf.DUMMYFUNCTION("""COMPUTED_VALUE"""),2012.0)</f>
        <v>2012</v>
      </c>
      <c r="M1022" s="308" t="s">
        <v>4147</v>
      </c>
      <c r="N1022" s="308"/>
      <c r="O1022" s="312" t="s">
        <v>635</v>
      </c>
      <c r="P1022" s="308" t="s">
        <v>4148</v>
      </c>
      <c r="Q1022" s="308"/>
      <c r="R1022" s="308"/>
      <c r="S1022" s="308" t="s">
        <v>81</v>
      </c>
      <c r="T1022" s="311" t="s">
        <v>75</v>
      </c>
      <c r="U1022" s="308"/>
      <c r="V1022" s="312"/>
    </row>
    <row r="1023">
      <c r="A1023" s="308">
        <v>1022.0</v>
      </c>
      <c r="B1023" s="308">
        <v>4235.0</v>
      </c>
      <c r="C1023" s="308">
        <v>1038.0</v>
      </c>
      <c r="D1023" s="308">
        <f>IFERROR(__xludf.DUMMYFUNCTION("SPLIT(C1023,""-"")"),1038.0)</f>
        <v>1038</v>
      </c>
      <c r="E1023" s="311"/>
      <c r="F1023" s="309" t="s">
        <v>34</v>
      </c>
      <c r="G1023" s="308" t="s">
        <v>4149</v>
      </c>
      <c r="H1023" s="308" t="s">
        <v>4150</v>
      </c>
      <c r="I1023" s="310">
        <v>40721.0</v>
      </c>
      <c r="J1023" s="308">
        <f>IFERROR(__xludf.DUMMYFUNCTION("SPLIT(I1023,""/"")"),27.0)</f>
        <v>27</v>
      </c>
      <c r="K1023" s="308">
        <f>IFERROR(__xludf.DUMMYFUNCTION("""COMPUTED_VALUE"""),6.0)</f>
        <v>6</v>
      </c>
      <c r="L1023" s="308">
        <f>IFERROR(__xludf.DUMMYFUNCTION("""COMPUTED_VALUE"""),2011.0)</f>
        <v>2011</v>
      </c>
      <c r="M1023" s="308" t="s">
        <v>4151</v>
      </c>
      <c r="N1023" s="308"/>
      <c r="O1023" s="312" t="s">
        <v>4152</v>
      </c>
      <c r="P1023" s="308" t="s">
        <v>4153</v>
      </c>
      <c r="Q1023" s="308"/>
      <c r="R1023" s="308"/>
      <c r="S1023" s="315" t="s">
        <v>100</v>
      </c>
      <c r="T1023" s="311" t="s">
        <v>34208</v>
      </c>
      <c r="U1023" s="308" t="s">
        <v>125</v>
      </c>
      <c r="V1023" s="312"/>
    </row>
    <row r="1024">
      <c r="A1024" s="308">
        <v>1023.0</v>
      </c>
      <c r="B1024" s="308">
        <v>4236.0</v>
      </c>
      <c r="C1024" s="308">
        <v>1039.0</v>
      </c>
      <c r="D1024" s="308">
        <f>IFERROR(__xludf.DUMMYFUNCTION("SPLIT(C1024,""-"")"),1039.0)</f>
        <v>1039</v>
      </c>
      <c r="E1024" s="311"/>
      <c r="F1024" s="309" t="s">
        <v>34</v>
      </c>
      <c r="G1024" s="308" t="s">
        <v>4154</v>
      </c>
      <c r="H1024" s="308" t="s">
        <v>4155</v>
      </c>
      <c r="I1024" s="310">
        <v>41152.0</v>
      </c>
      <c r="J1024" s="308">
        <f>IFERROR(__xludf.DUMMYFUNCTION("SPLIT(I1024,""/"")"),31.0)</f>
        <v>31</v>
      </c>
      <c r="K1024" s="308">
        <f>IFERROR(__xludf.DUMMYFUNCTION("""COMPUTED_VALUE"""),8.0)</f>
        <v>8</v>
      </c>
      <c r="L1024" s="308">
        <f>IFERROR(__xludf.DUMMYFUNCTION("""COMPUTED_VALUE"""),2012.0)</f>
        <v>2012</v>
      </c>
      <c r="M1024" s="308" t="s">
        <v>4156</v>
      </c>
      <c r="N1024" s="308"/>
      <c r="O1024" s="312" t="s">
        <v>635</v>
      </c>
      <c r="P1024" s="308" t="s">
        <v>34212</v>
      </c>
      <c r="Q1024" s="308"/>
      <c r="R1024" s="308"/>
      <c r="S1024" s="315" t="s">
        <v>100</v>
      </c>
      <c r="T1024" s="311" t="s">
        <v>34208</v>
      </c>
      <c r="U1024" s="308"/>
      <c r="V1024" s="312"/>
    </row>
    <row r="1025">
      <c r="A1025" s="308">
        <v>1024.0</v>
      </c>
      <c r="B1025" s="308">
        <v>4237.0</v>
      </c>
      <c r="C1025" s="308">
        <v>1040.0</v>
      </c>
      <c r="D1025" s="308">
        <f>IFERROR(__xludf.DUMMYFUNCTION("SPLIT(C1025,""-"")"),1040.0)</f>
        <v>1040</v>
      </c>
      <c r="E1025" s="311"/>
      <c r="F1025" s="309" t="s">
        <v>34</v>
      </c>
      <c r="G1025" s="308" t="s">
        <v>4157</v>
      </c>
      <c r="H1025" s="308" t="s">
        <v>4158</v>
      </c>
      <c r="I1025" s="310">
        <v>41123.0</v>
      </c>
      <c r="J1025" s="308">
        <f>IFERROR(__xludf.DUMMYFUNCTION("SPLIT(I1025,""/"")"),2.0)</f>
        <v>2</v>
      </c>
      <c r="K1025" s="308">
        <f>IFERROR(__xludf.DUMMYFUNCTION("""COMPUTED_VALUE"""),8.0)</f>
        <v>8</v>
      </c>
      <c r="L1025" s="308">
        <f>IFERROR(__xludf.DUMMYFUNCTION("""COMPUTED_VALUE"""),2012.0)</f>
        <v>2012</v>
      </c>
      <c r="M1025" s="308" t="s">
        <v>35884</v>
      </c>
      <c r="N1025" s="308"/>
      <c r="O1025" s="312" t="s">
        <v>635</v>
      </c>
      <c r="P1025" s="308" t="s">
        <v>4160</v>
      </c>
      <c r="Q1025" s="308"/>
      <c r="R1025" s="308"/>
      <c r="S1025" s="308" t="s">
        <v>81</v>
      </c>
      <c r="T1025" s="308" t="s">
        <v>34264</v>
      </c>
      <c r="U1025" s="308"/>
      <c r="V1025" s="312"/>
    </row>
    <row r="1026">
      <c r="A1026" s="308">
        <v>1025.0</v>
      </c>
      <c r="B1026" s="308">
        <v>4238.0</v>
      </c>
      <c r="C1026" s="308">
        <v>1041.0</v>
      </c>
      <c r="D1026" s="308">
        <f>IFERROR(__xludf.DUMMYFUNCTION("SPLIT(C1026,""-"")"),1041.0)</f>
        <v>1041</v>
      </c>
      <c r="E1026" s="311"/>
      <c r="F1026" s="309" t="s">
        <v>31</v>
      </c>
      <c r="G1026" s="308" t="s">
        <v>4161</v>
      </c>
      <c r="H1026" s="308" t="s">
        <v>35885</v>
      </c>
      <c r="I1026" s="310">
        <v>41275.0</v>
      </c>
      <c r="J1026" s="308">
        <f>IFERROR(__xludf.DUMMYFUNCTION("SPLIT(I1026,""/"")"),1.0)</f>
        <v>1</v>
      </c>
      <c r="K1026" s="308">
        <f>IFERROR(__xludf.DUMMYFUNCTION("""COMPUTED_VALUE"""),1.0)</f>
        <v>1</v>
      </c>
      <c r="L1026" s="308">
        <f>IFERROR(__xludf.DUMMYFUNCTION("""COMPUTED_VALUE"""),2013.0)</f>
        <v>2013</v>
      </c>
      <c r="M1026" s="308" t="s">
        <v>4163</v>
      </c>
      <c r="N1026" s="308"/>
      <c r="O1026" s="312" t="s">
        <v>4164</v>
      </c>
      <c r="P1026" s="308" t="s">
        <v>4165</v>
      </c>
      <c r="Q1026" s="308"/>
      <c r="R1026" s="308"/>
      <c r="S1026" s="308" t="s">
        <v>81</v>
      </c>
      <c r="T1026" s="311" t="s">
        <v>83</v>
      </c>
      <c r="U1026" s="308"/>
      <c r="V1026" s="312"/>
    </row>
    <row r="1027">
      <c r="A1027" s="308">
        <v>1026.0</v>
      </c>
      <c r="B1027" s="308">
        <v>4239.0</v>
      </c>
      <c r="C1027" s="308">
        <v>1042.0</v>
      </c>
      <c r="D1027" s="308">
        <f>IFERROR(__xludf.DUMMYFUNCTION("SPLIT(C1027,""-"")"),1042.0)</f>
        <v>1042</v>
      </c>
      <c r="E1027" s="311"/>
      <c r="F1027" s="309" t="s">
        <v>34</v>
      </c>
      <c r="G1027" s="308" t="s">
        <v>4166</v>
      </c>
      <c r="H1027" s="308" t="s">
        <v>4167</v>
      </c>
      <c r="I1027" s="310">
        <v>41176.0</v>
      </c>
      <c r="J1027" s="308">
        <f>IFERROR(__xludf.DUMMYFUNCTION("SPLIT(I1027,""/"")"),24.0)</f>
        <v>24</v>
      </c>
      <c r="K1027" s="308">
        <f>IFERROR(__xludf.DUMMYFUNCTION("""COMPUTED_VALUE"""),9.0)</f>
        <v>9</v>
      </c>
      <c r="L1027" s="308">
        <f>IFERROR(__xludf.DUMMYFUNCTION("""COMPUTED_VALUE"""),2012.0)</f>
        <v>2012</v>
      </c>
      <c r="M1027" s="308" t="s">
        <v>4168</v>
      </c>
      <c r="N1027" s="308"/>
      <c r="O1027" s="312" t="s">
        <v>635</v>
      </c>
      <c r="P1027" s="308" t="s">
        <v>4169</v>
      </c>
      <c r="Q1027" s="308"/>
      <c r="R1027" s="308"/>
      <c r="S1027" s="308" t="s">
        <v>81</v>
      </c>
      <c r="T1027" s="308" t="s">
        <v>98</v>
      </c>
      <c r="U1027" s="308"/>
      <c r="V1027" s="312"/>
    </row>
    <row r="1028">
      <c r="A1028" s="308">
        <v>1027.0</v>
      </c>
      <c r="B1028" s="308">
        <v>4240.0</v>
      </c>
      <c r="C1028" s="308">
        <v>1043.0</v>
      </c>
      <c r="D1028" s="308">
        <f>IFERROR(__xludf.DUMMYFUNCTION("SPLIT(C1028,""-"")"),1043.0)</f>
        <v>1043</v>
      </c>
      <c r="E1028" s="311"/>
      <c r="F1028" s="309" t="s">
        <v>34</v>
      </c>
      <c r="G1028" s="308" t="s">
        <v>4170</v>
      </c>
      <c r="H1028" s="308" t="s">
        <v>4171</v>
      </c>
      <c r="I1028" s="310">
        <v>40655.0</v>
      </c>
      <c r="J1028" s="308">
        <f>IFERROR(__xludf.DUMMYFUNCTION("SPLIT(I1028,""/"")"),22.0)</f>
        <v>22</v>
      </c>
      <c r="K1028" s="308">
        <f>IFERROR(__xludf.DUMMYFUNCTION("""COMPUTED_VALUE"""),4.0)</f>
        <v>4</v>
      </c>
      <c r="L1028" s="308">
        <f>IFERROR(__xludf.DUMMYFUNCTION("""COMPUTED_VALUE"""),2011.0)</f>
        <v>2011</v>
      </c>
      <c r="M1028" s="308" t="s">
        <v>4151</v>
      </c>
      <c r="N1028" s="308"/>
      <c r="O1028" s="312"/>
      <c r="P1028" s="308" t="s">
        <v>2955</v>
      </c>
      <c r="Q1028" s="308"/>
      <c r="R1028" s="308"/>
      <c r="S1028" s="308" t="s">
        <v>81</v>
      </c>
      <c r="T1028" s="308" t="s">
        <v>34264</v>
      </c>
      <c r="U1028" s="308"/>
      <c r="V1028" s="312"/>
    </row>
    <row r="1029">
      <c r="A1029" s="308">
        <v>1028.0</v>
      </c>
      <c r="B1029" s="308">
        <v>4241.0</v>
      </c>
      <c r="C1029" s="308">
        <v>1044.0</v>
      </c>
      <c r="D1029" s="308">
        <f>IFERROR(__xludf.DUMMYFUNCTION("SPLIT(C1029,""-"")"),1044.0)</f>
        <v>1044</v>
      </c>
      <c r="E1029" s="311"/>
      <c r="F1029" s="309" t="s">
        <v>34</v>
      </c>
      <c r="G1029" s="308" t="s">
        <v>4172</v>
      </c>
      <c r="H1029" s="308" t="s">
        <v>4173</v>
      </c>
      <c r="I1029" s="310">
        <v>40038.0</v>
      </c>
      <c r="J1029" s="308">
        <f>IFERROR(__xludf.DUMMYFUNCTION("SPLIT(I1029,""/"")"),13.0)</f>
        <v>13</v>
      </c>
      <c r="K1029" s="308">
        <f>IFERROR(__xludf.DUMMYFUNCTION("""COMPUTED_VALUE"""),8.0)</f>
        <v>8</v>
      </c>
      <c r="L1029" s="308">
        <f>IFERROR(__xludf.DUMMYFUNCTION("""COMPUTED_VALUE"""),2009.0)</f>
        <v>2009</v>
      </c>
      <c r="M1029" s="308" t="s">
        <v>4174</v>
      </c>
      <c r="N1029" s="308"/>
      <c r="O1029" s="312" t="s">
        <v>4175</v>
      </c>
      <c r="P1029" s="308" t="s">
        <v>1872</v>
      </c>
      <c r="Q1029" s="308"/>
      <c r="R1029" s="308"/>
      <c r="S1029" s="315" t="s">
        <v>100</v>
      </c>
      <c r="T1029" s="311" t="s">
        <v>34208</v>
      </c>
      <c r="U1029" s="308" t="s">
        <v>530</v>
      </c>
      <c r="V1029" s="312"/>
    </row>
    <row r="1030">
      <c r="A1030" s="308">
        <v>1029.0</v>
      </c>
      <c r="B1030" s="308">
        <v>4242.0</v>
      </c>
      <c r="C1030" s="308">
        <v>1045.0</v>
      </c>
      <c r="D1030" s="308">
        <f>IFERROR(__xludf.DUMMYFUNCTION("SPLIT(C1030,""-"")"),1045.0)</f>
        <v>1045</v>
      </c>
      <c r="E1030" s="311"/>
      <c r="F1030" s="309" t="s">
        <v>34</v>
      </c>
      <c r="G1030" s="308" t="s">
        <v>4176</v>
      </c>
      <c r="H1030" s="308" t="s">
        <v>4177</v>
      </c>
      <c r="I1030" s="310">
        <v>39976.0</v>
      </c>
      <c r="J1030" s="308">
        <f>IFERROR(__xludf.DUMMYFUNCTION("SPLIT(I1030,""/"")"),12.0)</f>
        <v>12</v>
      </c>
      <c r="K1030" s="308">
        <f>IFERROR(__xludf.DUMMYFUNCTION("""COMPUTED_VALUE"""),6.0)</f>
        <v>6</v>
      </c>
      <c r="L1030" s="308">
        <f>IFERROR(__xludf.DUMMYFUNCTION("""COMPUTED_VALUE"""),2009.0)</f>
        <v>2009</v>
      </c>
      <c r="M1030" s="308" t="s">
        <v>4178</v>
      </c>
      <c r="N1030" s="308"/>
      <c r="O1030" s="312" t="s">
        <v>635</v>
      </c>
      <c r="P1030" s="308" t="s">
        <v>4179</v>
      </c>
      <c r="Q1030" s="308"/>
      <c r="R1030" s="308"/>
      <c r="S1030" s="308" t="s">
        <v>49</v>
      </c>
      <c r="T1030" s="311" t="s">
        <v>59</v>
      </c>
      <c r="U1030" s="308" t="s">
        <v>137</v>
      </c>
      <c r="V1030" s="312"/>
    </row>
    <row r="1031">
      <c r="A1031" s="308">
        <v>1030.0</v>
      </c>
      <c r="B1031" s="308">
        <v>4243.0</v>
      </c>
      <c r="C1031" s="308">
        <v>1046.0</v>
      </c>
      <c r="D1031" s="308">
        <f>IFERROR(__xludf.DUMMYFUNCTION("SPLIT(C1031,""-"")"),1046.0)</f>
        <v>1046</v>
      </c>
      <c r="E1031" s="311"/>
      <c r="F1031" s="309" t="s">
        <v>34</v>
      </c>
      <c r="G1031" s="308" t="s">
        <v>4180</v>
      </c>
      <c r="H1031" s="308" t="s">
        <v>4181</v>
      </c>
      <c r="I1031" s="310">
        <v>40286.0</v>
      </c>
      <c r="J1031" s="308">
        <f>IFERROR(__xludf.DUMMYFUNCTION("SPLIT(I1031,""/"")"),18.0)</f>
        <v>18</v>
      </c>
      <c r="K1031" s="308">
        <f>IFERROR(__xludf.DUMMYFUNCTION("""COMPUTED_VALUE"""),4.0)</f>
        <v>4</v>
      </c>
      <c r="L1031" s="308">
        <f>IFERROR(__xludf.DUMMYFUNCTION("""COMPUTED_VALUE"""),2010.0)</f>
        <v>2010</v>
      </c>
      <c r="M1031" s="308" t="s">
        <v>4182</v>
      </c>
      <c r="N1031" s="308"/>
      <c r="O1031" s="312" t="s">
        <v>635</v>
      </c>
      <c r="P1031" s="308" t="s">
        <v>4183</v>
      </c>
      <c r="Q1031" s="308"/>
      <c r="R1031" s="308"/>
      <c r="S1031" s="308" t="s">
        <v>81</v>
      </c>
      <c r="T1031" s="308" t="s">
        <v>34264</v>
      </c>
      <c r="U1031" s="308"/>
      <c r="V1031" s="312"/>
    </row>
    <row r="1032">
      <c r="A1032" s="308">
        <v>1031.0</v>
      </c>
      <c r="B1032" s="308">
        <v>4244.0</v>
      </c>
      <c r="C1032" s="308">
        <v>1047.0</v>
      </c>
      <c r="D1032" s="308">
        <f>IFERROR(__xludf.DUMMYFUNCTION("SPLIT(C1032,""-"")"),1047.0)</f>
        <v>1047</v>
      </c>
      <c r="E1032" s="311"/>
      <c r="F1032" s="309" t="s">
        <v>26</v>
      </c>
      <c r="G1032" s="308"/>
      <c r="H1032" s="308" t="s">
        <v>4184</v>
      </c>
      <c r="I1032" s="310">
        <v>41321.0</v>
      </c>
      <c r="J1032" s="308">
        <f>IFERROR(__xludf.DUMMYFUNCTION("SPLIT(I1032,""/"")"),16.0)</f>
        <v>16</v>
      </c>
      <c r="K1032" s="308">
        <f>IFERROR(__xludf.DUMMYFUNCTION("""COMPUTED_VALUE"""),2.0)</f>
        <v>2</v>
      </c>
      <c r="L1032" s="308">
        <f>IFERROR(__xludf.DUMMYFUNCTION("""COMPUTED_VALUE"""),2013.0)</f>
        <v>2013</v>
      </c>
      <c r="M1032" s="308" t="s">
        <v>4185</v>
      </c>
      <c r="N1032" s="308"/>
      <c r="O1032" s="312" t="s">
        <v>4186</v>
      </c>
      <c r="P1032" s="308" t="s">
        <v>4187</v>
      </c>
      <c r="Q1032" s="308"/>
      <c r="R1032" s="308"/>
      <c r="S1032" s="308" t="s">
        <v>81</v>
      </c>
      <c r="T1032" s="311" t="s">
        <v>96</v>
      </c>
      <c r="U1032" s="308"/>
      <c r="V1032" s="312"/>
    </row>
    <row r="1033">
      <c r="A1033" s="308">
        <v>1032.0</v>
      </c>
      <c r="B1033" s="308">
        <v>4245.0</v>
      </c>
      <c r="C1033" s="308" t="s">
        <v>4188</v>
      </c>
      <c r="D1033" s="308">
        <f>IFERROR(__xludf.DUMMYFUNCTION("SPLIT(C1033,""-"")"),1048.0)</f>
        <v>1048</v>
      </c>
      <c r="E1033" s="308" t="str">
        <f>IFERROR(__xludf.DUMMYFUNCTION("""COMPUTED_VALUE"""),"K")</f>
        <v>K</v>
      </c>
      <c r="F1033" s="309" t="s">
        <v>34</v>
      </c>
      <c r="G1033" s="308"/>
      <c r="H1033" s="308" t="s">
        <v>4189</v>
      </c>
      <c r="I1033" s="310">
        <v>41295.0</v>
      </c>
      <c r="J1033" s="308">
        <f>IFERROR(__xludf.DUMMYFUNCTION("SPLIT(I1033,""/"")"),21.0)</f>
        <v>21</v>
      </c>
      <c r="K1033" s="308">
        <f>IFERROR(__xludf.DUMMYFUNCTION("""COMPUTED_VALUE"""),1.0)</f>
        <v>1</v>
      </c>
      <c r="L1033" s="308">
        <f>IFERROR(__xludf.DUMMYFUNCTION("""COMPUTED_VALUE"""),2013.0)</f>
        <v>2013</v>
      </c>
      <c r="M1033" s="308" t="s">
        <v>4190</v>
      </c>
      <c r="N1033" s="308" t="s">
        <v>439</v>
      </c>
      <c r="O1033" s="312" t="s">
        <v>35886</v>
      </c>
      <c r="P1033" s="308" t="s">
        <v>34756</v>
      </c>
      <c r="Q1033" s="308"/>
      <c r="R1033" s="308"/>
      <c r="S1033" s="308" t="s">
        <v>81</v>
      </c>
      <c r="T1033" s="311" t="s">
        <v>35048</v>
      </c>
      <c r="U1033" s="308"/>
      <c r="V1033" s="312"/>
    </row>
    <row r="1034">
      <c r="A1034" s="308">
        <v>1033.0</v>
      </c>
      <c r="B1034" s="308">
        <v>4246.0</v>
      </c>
      <c r="C1034" s="308">
        <v>1049.0</v>
      </c>
      <c r="D1034" s="308">
        <f>IFERROR(__xludf.DUMMYFUNCTION("SPLIT(C1034,""-"")"),1049.0)</f>
        <v>1049</v>
      </c>
      <c r="E1034" s="311"/>
      <c r="F1034" s="317" t="s">
        <v>37</v>
      </c>
      <c r="G1034" s="308"/>
      <c r="H1034" s="308" t="s">
        <v>4192</v>
      </c>
      <c r="I1034" s="310">
        <v>40882.0</v>
      </c>
      <c r="J1034" s="308">
        <f>IFERROR(__xludf.DUMMYFUNCTION("SPLIT(I1034,""/"")"),5.0)</f>
        <v>5</v>
      </c>
      <c r="K1034" s="308">
        <f>IFERROR(__xludf.DUMMYFUNCTION("""COMPUTED_VALUE"""),12.0)</f>
        <v>12</v>
      </c>
      <c r="L1034" s="308">
        <f>IFERROR(__xludf.DUMMYFUNCTION("""COMPUTED_VALUE"""),2011.0)</f>
        <v>2011</v>
      </c>
      <c r="M1034" s="308" t="s">
        <v>4193</v>
      </c>
      <c r="N1034" s="308"/>
      <c r="O1034" s="312" t="s">
        <v>4194</v>
      </c>
      <c r="P1034" s="308" t="s">
        <v>35887</v>
      </c>
      <c r="Q1034" s="308"/>
      <c r="R1034" s="308"/>
      <c r="S1034" s="308" t="s">
        <v>81</v>
      </c>
      <c r="T1034" s="311" t="s">
        <v>51</v>
      </c>
      <c r="U1034" s="308"/>
      <c r="V1034" s="312"/>
    </row>
    <row r="1035">
      <c r="A1035" s="308">
        <v>1034.0</v>
      </c>
      <c r="B1035" s="308">
        <v>4247.0</v>
      </c>
      <c r="C1035" s="308">
        <v>1050.0</v>
      </c>
      <c r="D1035" s="308">
        <f>IFERROR(__xludf.DUMMYFUNCTION("SPLIT(C1035,""-"")"),1050.0)</f>
        <v>1050</v>
      </c>
      <c r="E1035" s="311"/>
      <c r="F1035" s="317" t="s">
        <v>37</v>
      </c>
      <c r="G1035" s="308"/>
      <c r="H1035" s="308" t="s">
        <v>4196</v>
      </c>
      <c r="I1035" s="314">
        <v>40102.0</v>
      </c>
      <c r="J1035" s="308">
        <f>IFERROR(__xludf.DUMMYFUNCTION("SPLIT(I1035,""/"")"),16.0)</f>
        <v>16</v>
      </c>
      <c r="K1035" s="308">
        <f>IFERROR(__xludf.DUMMYFUNCTION("""COMPUTED_VALUE"""),10.0)</f>
        <v>10</v>
      </c>
      <c r="L1035" s="308">
        <f>IFERROR(__xludf.DUMMYFUNCTION("""COMPUTED_VALUE"""),2009.0)</f>
        <v>2009</v>
      </c>
      <c r="M1035" s="308" t="s">
        <v>4197</v>
      </c>
      <c r="N1035" s="308"/>
      <c r="O1035" s="312" t="s">
        <v>4198</v>
      </c>
      <c r="P1035" s="308" t="s">
        <v>4199</v>
      </c>
      <c r="Q1035" s="308"/>
      <c r="R1035" s="308"/>
      <c r="S1035" s="308" t="s">
        <v>49</v>
      </c>
      <c r="T1035" s="308" t="s">
        <v>51</v>
      </c>
      <c r="U1035" s="308" t="s">
        <v>3407</v>
      </c>
      <c r="V1035" s="312"/>
    </row>
    <row r="1036">
      <c r="A1036" s="308">
        <v>1035.0</v>
      </c>
      <c r="B1036" s="308">
        <v>4248.0</v>
      </c>
      <c r="C1036" s="308">
        <v>1051.0</v>
      </c>
      <c r="D1036" s="308">
        <f>IFERROR(__xludf.DUMMYFUNCTION("SPLIT(C1036,""-"")"),1051.0)</f>
        <v>1051</v>
      </c>
      <c r="E1036" s="311"/>
      <c r="F1036" s="309" t="s">
        <v>23</v>
      </c>
      <c r="G1036" s="308"/>
      <c r="H1036" s="308" t="s">
        <v>4200</v>
      </c>
      <c r="I1036" s="314">
        <v>41180.0</v>
      </c>
      <c r="J1036" s="308">
        <f>IFERROR(__xludf.DUMMYFUNCTION("SPLIT(I1036,""/"")"),28.0)</f>
        <v>28</v>
      </c>
      <c r="K1036" s="308">
        <f>IFERROR(__xludf.DUMMYFUNCTION("""COMPUTED_VALUE"""),9.0)</f>
        <v>9</v>
      </c>
      <c r="L1036" s="308">
        <f>IFERROR(__xludf.DUMMYFUNCTION("""COMPUTED_VALUE"""),2012.0)</f>
        <v>2012</v>
      </c>
      <c r="M1036" s="308" t="s">
        <v>4201</v>
      </c>
      <c r="N1036" s="308"/>
      <c r="O1036" s="312" t="s">
        <v>4202</v>
      </c>
      <c r="P1036" s="308" t="s">
        <v>35888</v>
      </c>
      <c r="Q1036" s="308"/>
      <c r="R1036" s="308"/>
      <c r="S1036" s="308" t="s">
        <v>49</v>
      </c>
      <c r="T1036" s="308" t="s">
        <v>51</v>
      </c>
      <c r="U1036" s="308" t="s">
        <v>403</v>
      </c>
      <c r="V1036" s="312"/>
    </row>
    <row r="1037">
      <c r="A1037" s="308">
        <v>1036.0</v>
      </c>
      <c r="B1037" s="308">
        <v>4249.0</v>
      </c>
      <c r="C1037" s="308">
        <v>1052.0</v>
      </c>
      <c r="D1037" s="308">
        <f>IFERROR(__xludf.DUMMYFUNCTION("SPLIT(C1037,""-"")"),1052.0)</f>
        <v>1052</v>
      </c>
      <c r="E1037" s="311"/>
      <c r="F1037" s="317" t="s">
        <v>37</v>
      </c>
      <c r="G1037" s="308"/>
      <c r="H1037" s="308" t="s">
        <v>4204</v>
      </c>
      <c r="I1037" s="310">
        <v>40725.0</v>
      </c>
      <c r="J1037" s="308">
        <f>IFERROR(__xludf.DUMMYFUNCTION("SPLIT(I1037,""/"")"),1.0)</f>
        <v>1</v>
      </c>
      <c r="K1037" s="308">
        <f>IFERROR(__xludf.DUMMYFUNCTION("""COMPUTED_VALUE"""),7.0)</f>
        <v>7</v>
      </c>
      <c r="L1037" s="308">
        <f>IFERROR(__xludf.DUMMYFUNCTION("""COMPUTED_VALUE"""),2011.0)</f>
        <v>2011</v>
      </c>
      <c r="M1037" s="308" t="s">
        <v>4205</v>
      </c>
      <c r="N1037" s="308"/>
      <c r="O1037" s="312" t="s">
        <v>635</v>
      </c>
      <c r="P1037" s="308" t="s">
        <v>4206</v>
      </c>
      <c r="Q1037" s="308"/>
      <c r="R1037" s="308"/>
      <c r="S1037" s="308" t="s">
        <v>49</v>
      </c>
      <c r="T1037" s="308" t="s">
        <v>51</v>
      </c>
      <c r="U1037" s="308"/>
      <c r="V1037" s="312"/>
    </row>
    <row r="1038">
      <c r="A1038" s="308">
        <v>1037.0</v>
      </c>
      <c r="B1038" s="308">
        <v>4250.0</v>
      </c>
      <c r="C1038" s="308">
        <v>1053.0</v>
      </c>
      <c r="D1038" s="308">
        <f>IFERROR(__xludf.DUMMYFUNCTION("SPLIT(C1038,""-"")"),1053.0)</f>
        <v>1053</v>
      </c>
      <c r="E1038" s="311"/>
      <c r="F1038" s="309" t="s">
        <v>31</v>
      </c>
      <c r="G1038" s="308"/>
      <c r="H1038" s="308" t="s">
        <v>35889</v>
      </c>
      <c r="I1038" s="310">
        <v>41487.0</v>
      </c>
      <c r="J1038" s="308">
        <f>IFERROR(__xludf.DUMMYFUNCTION("SPLIT(I1038,""/"")"),1.0)</f>
        <v>1</v>
      </c>
      <c r="K1038" s="308">
        <f>IFERROR(__xludf.DUMMYFUNCTION("""COMPUTED_VALUE"""),8.0)</f>
        <v>8</v>
      </c>
      <c r="L1038" s="308">
        <f>IFERROR(__xludf.DUMMYFUNCTION("""COMPUTED_VALUE"""),2013.0)</f>
        <v>2013</v>
      </c>
      <c r="M1038" s="308" t="s">
        <v>4208</v>
      </c>
      <c r="N1038" s="308"/>
      <c r="O1038" s="312" t="s">
        <v>635</v>
      </c>
      <c r="P1038" s="308" t="s">
        <v>4209</v>
      </c>
      <c r="Q1038" s="308"/>
      <c r="R1038" s="308"/>
      <c r="S1038" s="308" t="s">
        <v>49</v>
      </c>
      <c r="T1038" s="311" t="s">
        <v>51</v>
      </c>
      <c r="U1038" s="308"/>
      <c r="V1038" s="312"/>
    </row>
    <row r="1039">
      <c r="A1039" s="308">
        <v>1038.0</v>
      </c>
      <c r="B1039" s="308">
        <v>4251.0</v>
      </c>
      <c r="C1039" s="308">
        <v>1054.0</v>
      </c>
      <c r="D1039" s="308">
        <f>IFERROR(__xludf.DUMMYFUNCTION("SPLIT(C1039,""-"")"),1054.0)</f>
        <v>1054</v>
      </c>
      <c r="E1039" s="311"/>
      <c r="F1039" s="317" t="s">
        <v>37</v>
      </c>
      <c r="G1039" s="308"/>
      <c r="H1039" s="308" t="s">
        <v>4210</v>
      </c>
      <c r="I1039" s="314">
        <v>41243.0</v>
      </c>
      <c r="J1039" s="308">
        <f>IFERROR(__xludf.DUMMYFUNCTION("SPLIT(I1039,""/"")"),30.0)</f>
        <v>30</v>
      </c>
      <c r="K1039" s="308">
        <f>IFERROR(__xludf.DUMMYFUNCTION("""COMPUTED_VALUE"""),11.0)</f>
        <v>11</v>
      </c>
      <c r="L1039" s="308">
        <f>IFERROR(__xludf.DUMMYFUNCTION("""COMPUTED_VALUE"""),2012.0)</f>
        <v>2012</v>
      </c>
      <c r="M1039" s="308" t="s">
        <v>35890</v>
      </c>
      <c r="N1039" s="308"/>
      <c r="O1039" s="312" t="s">
        <v>4212</v>
      </c>
      <c r="P1039" s="308" t="s">
        <v>4213</v>
      </c>
      <c r="Q1039" s="308"/>
      <c r="R1039" s="308"/>
      <c r="S1039" s="315" t="s">
        <v>100</v>
      </c>
      <c r="T1039" s="311" t="s">
        <v>34208</v>
      </c>
      <c r="U1039" s="308" t="s">
        <v>4001</v>
      </c>
      <c r="V1039" s="312"/>
    </row>
    <row r="1040">
      <c r="A1040" s="308">
        <v>1039.0</v>
      </c>
      <c r="B1040" s="308">
        <v>4252.0</v>
      </c>
      <c r="C1040" s="308">
        <v>1055.0</v>
      </c>
      <c r="D1040" s="308">
        <f>IFERROR(__xludf.DUMMYFUNCTION("SPLIT(C1040,""-"")"),1055.0)</f>
        <v>1055</v>
      </c>
      <c r="E1040" s="311"/>
      <c r="F1040" s="309" t="s">
        <v>34</v>
      </c>
      <c r="G1040" s="308"/>
      <c r="H1040" s="308" t="s">
        <v>4214</v>
      </c>
      <c r="I1040" s="314">
        <v>40897.0</v>
      </c>
      <c r="J1040" s="308">
        <f>IFERROR(__xludf.DUMMYFUNCTION("SPLIT(I1040,""/"")"),20.0)</f>
        <v>20</v>
      </c>
      <c r="K1040" s="308">
        <f>IFERROR(__xludf.DUMMYFUNCTION("""COMPUTED_VALUE"""),12.0)</f>
        <v>12</v>
      </c>
      <c r="L1040" s="308">
        <f>IFERROR(__xludf.DUMMYFUNCTION("""COMPUTED_VALUE"""),2011.0)</f>
        <v>2011</v>
      </c>
      <c r="M1040" s="308" t="s">
        <v>4215</v>
      </c>
      <c r="N1040" s="308"/>
      <c r="O1040" s="312" t="s">
        <v>4216</v>
      </c>
      <c r="P1040" s="308" t="s">
        <v>4217</v>
      </c>
      <c r="Q1040" s="308"/>
      <c r="R1040" s="308"/>
      <c r="S1040" s="308" t="s">
        <v>81</v>
      </c>
      <c r="T1040" s="308" t="s">
        <v>34264</v>
      </c>
      <c r="U1040" s="308"/>
      <c r="V1040" s="312"/>
    </row>
    <row r="1041">
      <c r="A1041" s="308">
        <v>1040.0</v>
      </c>
      <c r="B1041" s="308">
        <v>4253.0</v>
      </c>
      <c r="C1041" s="308">
        <v>1056.0</v>
      </c>
      <c r="D1041" s="308">
        <f>IFERROR(__xludf.DUMMYFUNCTION("SPLIT(C1041,""-"")"),1056.0)</f>
        <v>1056</v>
      </c>
      <c r="E1041" s="311"/>
      <c r="F1041" s="317" t="s">
        <v>37</v>
      </c>
      <c r="G1041" s="308"/>
      <c r="H1041" s="308" t="s">
        <v>4218</v>
      </c>
      <c r="I1041" s="310">
        <v>41277.0</v>
      </c>
      <c r="J1041" s="308">
        <f>IFERROR(__xludf.DUMMYFUNCTION("SPLIT(I1041,""/"")"),3.0)</f>
        <v>3</v>
      </c>
      <c r="K1041" s="308">
        <f>IFERROR(__xludf.DUMMYFUNCTION("""COMPUTED_VALUE"""),1.0)</f>
        <v>1</v>
      </c>
      <c r="L1041" s="308">
        <f>IFERROR(__xludf.DUMMYFUNCTION("""COMPUTED_VALUE"""),2013.0)</f>
        <v>2013</v>
      </c>
      <c r="M1041" s="308" t="s">
        <v>4219</v>
      </c>
      <c r="N1041" s="308"/>
      <c r="O1041" s="312" t="s">
        <v>4220</v>
      </c>
      <c r="P1041" s="308" t="s">
        <v>4221</v>
      </c>
      <c r="Q1041" s="308"/>
      <c r="R1041" s="308"/>
      <c r="S1041" s="308" t="s">
        <v>49</v>
      </c>
      <c r="T1041" s="311" t="s">
        <v>51</v>
      </c>
      <c r="U1041" s="308"/>
      <c r="V1041" s="312"/>
    </row>
    <row r="1042">
      <c r="A1042" s="308">
        <v>1041.0</v>
      </c>
      <c r="B1042" s="308">
        <v>4254.0</v>
      </c>
      <c r="C1042" s="308">
        <v>1057.0</v>
      </c>
      <c r="D1042" s="308">
        <f>IFERROR(__xludf.DUMMYFUNCTION("SPLIT(C1042,""-"")"),1057.0)</f>
        <v>1057</v>
      </c>
      <c r="E1042" s="311"/>
      <c r="F1042" s="317" t="s">
        <v>39</v>
      </c>
      <c r="G1042" s="308" t="s">
        <v>4222</v>
      </c>
      <c r="H1042" s="308" t="s">
        <v>4223</v>
      </c>
      <c r="I1042" s="310">
        <v>41340.0</v>
      </c>
      <c r="J1042" s="308">
        <f>IFERROR(__xludf.DUMMYFUNCTION("SPLIT(I1042,""/"")"),7.0)</f>
        <v>7</v>
      </c>
      <c r="K1042" s="308">
        <f>IFERROR(__xludf.DUMMYFUNCTION("""COMPUTED_VALUE"""),3.0)</f>
        <v>3</v>
      </c>
      <c r="L1042" s="308">
        <f>IFERROR(__xludf.DUMMYFUNCTION("""COMPUTED_VALUE"""),2013.0)</f>
        <v>2013</v>
      </c>
      <c r="M1042" s="308" t="s">
        <v>4224</v>
      </c>
      <c r="N1042" s="308"/>
      <c r="O1042" s="312"/>
      <c r="P1042" s="308" t="s">
        <v>4225</v>
      </c>
      <c r="Q1042" s="308"/>
      <c r="R1042" s="308"/>
      <c r="S1042" s="308" t="s">
        <v>81</v>
      </c>
      <c r="T1042" s="308" t="s">
        <v>75</v>
      </c>
      <c r="U1042" s="308"/>
      <c r="V1042" s="312"/>
    </row>
    <row r="1043">
      <c r="A1043" s="308">
        <v>1042.0</v>
      </c>
      <c r="B1043" s="308">
        <v>4255.0</v>
      </c>
      <c r="C1043" s="308" t="s">
        <v>4226</v>
      </c>
      <c r="D1043" s="308">
        <f>IFERROR(__xludf.DUMMYFUNCTION("SPLIT(C1043,""-"")"),1058.0)</f>
        <v>1058</v>
      </c>
      <c r="E1043" s="308" t="str">
        <f>IFERROR(__xludf.DUMMYFUNCTION("""COMPUTED_VALUE"""),"P")</f>
        <v>P</v>
      </c>
      <c r="F1043" s="312" t="s">
        <v>37</v>
      </c>
      <c r="G1043" s="308" t="s">
        <v>4227</v>
      </c>
      <c r="H1043" s="308" t="s">
        <v>4228</v>
      </c>
      <c r="I1043" s="310">
        <v>40590.0</v>
      </c>
      <c r="J1043" s="308">
        <f>IFERROR(__xludf.DUMMYFUNCTION("SPLIT(I1043,""/"")"),16.0)</f>
        <v>16</v>
      </c>
      <c r="K1043" s="308">
        <f>IFERROR(__xludf.DUMMYFUNCTION("""COMPUTED_VALUE"""),2.0)</f>
        <v>2</v>
      </c>
      <c r="L1043" s="308">
        <f>IFERROR(__xludf.DUMMYFUNCTION("""COMPUTED_VALUE"""),2011.0)</f>
        <v>2011</v>
      </c>
      <c r="M1043" s="308" t="s">
        <v>4229</v>
      </c>
      <c r="N1043" s="308"/>
      <c r="O1043" s="312" t="s">
        <v>35891</v>
      </c>
      <c r="P1043" s="308" t="s">
        <v>1421</v>
      </c>
      <c r="Q1043" s="308"/>
      <c r="R1043" s="308"/>
      <c r="S1043" s="315" t="s">
        <v>100</v>
      </c>
      <c r="T1043" s="311" t="s">
        <v>34208</v>
      </c>
      <c r="U1043" s="308" t="s">
        <v>149</v>
      </c>
      <c r="V1043" s="312"/>
    </row>
    <row r="1044">
      <c r="A1044" s="308">
        <v>1043.0</v>
      </c>
      <c r="B1044" s="308">
        <v>4256.0</v>
      </c>
      <c r="C1044" s="308">
        <v>1059.0</v>
      </c>
      <c r="D1044" s="308">
        <f>IFERROR(__xludf.DUMMYFUNCTION("SPLIT(C1044,""-"")"),1059.0)</f>
        <v>1059</v>
      </c>
      <c r="E1044" s="311"/>
      <c r="F1044" s="309" t="s">
        <v>34</v>
      </c>
      <c r="G1044" s="308" t="s">
        <v>4231</v>
      </c>
      <c r="H1044" s="308" t="s">
        <v>4232</v>
      </c>
      <c r="I1044" s="310">
        <v>41184.0</v>
      </c>
      <c r="J1044" s="308">
        <f>IFERROR(__xludf.DUMMYFUNCTION("SPLIT(I1044,""/"")"),2.0)</f>
        <v>2</v>
      </c>
      <c r="K1044" s="308">
        <f>IFERROR(__xludf.DUMMYFUNCTION("""COMPUTED_VALUE"""),10.0)</f>
        <v>10</v>
      </c>
      <c r="L1044" s="308">
        <f>IFERROR(__xludf.DUMMYFUNCTION("""COMPUTED_VALUE"""),2012.0)</f>
        <v>2012</v>
      </c>
      <c r="M1044" s="308" t="s">
        <v>4233</v>
      </c>
      <c r="N1044" s="308"/>
      <c r="O1044" s="312" t="s">
        <v>4234</v>
      </c>
      <c r="P1044" s="308" t="s">
        <v>35892</v>
      </c>
      <c r="Q1044" s="308"/>
      <c r="R1044" s="308"/>
      <c r="S1044" s="308" t="s">
        <v>81</v>
      </c>
      <c r="T1044" s="308" t="s">
        <v>75</v>
      </c>
      <c r="U1044" s="308"/>
      <c r="V1044" s="312"/>
    </row>
    <row r="1045">
      <c r="A1045" s="308">
        <v>1044.0</v>
      </c>
      <c r="B1045" s="308">
        <v>4257.0</v>
      </c>
      <c r="C1045" s="308">
        <v>1060.0</v>
      </c>
      <c r="D1045" s="308">
        <f>IFERROR(__xludf.DUMMYFUNCTION("SPLIT(C1045,""-"")"),1060.0)</f>
        <v>1060</v>
      </c>
      <c r="E1045" s="311"/>
      <c r="F1045" s="317" t="s">
        <v>39</v>
      </c>
      <c r="G1045" s="308" t="s">
        <v>4236</v>
      </c>
      <c r="H1045" s="308" t="s">
        <v>4237</v>
      </c>
      <c r="I1045" s="310">
        <v>41180.0</v>
      </c>
      <c r="J1045" s="308">
        <f>IFERROR(__xludf.DUMMYFUNCTION("SPLIT(I1045,""/"")"),28.0)</f>
        <v>28</v>
      </c>
      <c r="K1045" s="308">
        <f>IFERROR(__xludf.DUMMYFUNCTION("""COMPUTED_VALUE"""),9.0)</f>
        <v>9</v>
      </c>
      <c r="L1045" s="308">
        <f>IFERROR(__xludf.DUMMYFUNCTION("""COMPUTED_VALUE"""),2012.0)</f>
        <v>2012</v>
      </c>
      <c r="M1045" s="308" t="s">
        <v>4238</v>
      </c>
      <c r="N1045" s="308"/>
      <c r="O1045" s="312" t="s">
        <v>35893</v>
      </c>
      <c r="P1045" s="308" t="s">
        <v>4240</v>
      </c>
      <c r="Q1045" s="308"/>
      <c r="R1045" s="308"/>
      <c r="S1045" s="315" t="s">
        <v>100</v>
      </c>
      <c r="T1045" s="311" t="s">
        <v>34208</v>
      </c>
      <c r="U1045" s="308"/>
      <c r="V1045" s="312"/>
    </row>
    <row r="1046">
      <c r="A1046" s="308">
        <v>1045.0</v>
      </c>
      <c r="B1046" s="308">
        <v>4258.0</v>
      </c>
      <c r="C1046" s="308">
        <v>1061.0</v>
      </c>
      <c r="D1046" s="308">
        <f>IFERROR(__xludf.DUMMYFUNCTION("SPLIT(C1046,""-"")"),1061.0)</f>
        <v>1061</v>
      </c>
      <c r="E1046" s="311"/>
      <c r="F1046" s="317" t="s">
        <v>39</v>
      </c>
      <c r="G1046" s="308" t="s">
        <v>4236</v>
      </c>
      <c r="H1046" s="308" t="s">
        <v>4241</v>
      </c>
      <c r="I1046" s="310">
        <v>41180.0</v>
      </c>
      <c r="J1046" s="308">
        <f>IFERROR(__xludf.DUMMYFUNCTION("SPLIT(I1046,""/"")"),28.0)</f>
        <v>28</v>
      </c>
      <c r="K1046" s="308">
        <f>IFERROR(__xludf.DUMMYFUNCTION("""COMPUTED_VALUE"""),9.0)</f>
        <v>9</v>
      </c>
      <c r="L1046" s="308">
        <f>IFERROR(__xludf.DUMMYFUNCTION("""COMPUTED_VALUE"""),2012.0)</f>
        <v>2012</v>
      </c>
      <c r="M1046" s="308" t="s">
        <v>4238</v>
      </c>
      <c r="N1046" s="308"/>
      <c r="O1046" s="312" t="s">
        <v>35894</v>
      </c>
      <c r="P1046" s="308" t="s">
        <v>34212</v>
      </c>
      <c r="Q1046" s="308"/>
      <c r="R1046" s="308"/>
      <c r="S1046" s="315" t="s">
        <v>100</v>
      </c>
      <c r="T1046" s="311" t="s">
        <v>34208</v>
      </c>
      <c r="U1046" s="308"/>
      <c r="V1046" s="312"/>
    </row>
    <row r="1047">
      <c r="A1047" s="308">
        <v>1046.0</v>
      </c>
      <c r="B1047" s="308">
        <v>4259.0</v>
      </c>
      <c r="C1047" s="308">
        <v>1062.0</v>
      </c>
      <c r="D1047" s="308">
        <f>IFERROR(__xludf.DUMMYFUNCTION("SPLIT(C1047,""-"")"),1062.0)</f>
        <v>1062</v>
      </c>
      <c r="E1047" s="311"/>
      <c r="F1047" s="317" t="s">
        <v>39</v>
      </c>
      <c r="G1047" s="308" t="s">
        <v>4243</v>
      </c>
      <c r="H1047" s="308" t="s">
        <v>4244</v>
      </c>
      <c r="I1047" s="310">
        <v>40344.0</v>
      </c>
      <c r="J1047" s="308">
        <f>IFERROR(__xludf.DUMMYFUNCTION("SPLIT(I1047,""/"")"),15.0)</f>
        <v>15</v>
      </c>
      <c r="K1047" s="308">
        <f>IFERROR(__xludf.DUMMYFUNCTION("""COMPUTED_VALUE"""),6.0)</f>
        <v>6</v>
      </c>
      <c r="L1047" s="308">
        <f>IFERROR(__xludf.DUMMYFUNCTION("""COMPUTED_VALUE"""),2010.0)</f>
        <v>2010</v>
      </c>
      <c r="M1047" s="308" t="s">
        <v>4245</v>
      </c>
      <c r="N1047" s="308"/>
      <c r="O1047" s="312" t="s">
        <v>4246</v>
      </c>
      <c r="P1047" s="312" t="s">
        <v>4247</v>
      </c>
      <c r="Q1047" s="308"/>
      <c r="R1047" s="308"/>
      <c r="S1047" s="308" t="s">
        <v>81</v>
      </c>
      <c r="T1047" s="308" t="s">
        <v>75</v>
      </c>
      <c r="U1047" s="308"/>
      <c r="V1047" s="312"/>
    </row>
    <row r="1048">
      <c r="A1048" s="308">
        <v>1047.0</v>
      </c>
      <c r="B1048" s="308">
        <v>4260.0</v>
      </c>
      <c r="C1048" s="308">
        <v>1063.0</v>
      </c>
      <c r="D1048" s="308">
        <f>IFERROR(__xludf.DUMMYFUNCTION("SPLIT(C1048,""-"")"),1063.0)</f>
        <v>1063</v>
      </c>
      <c r="E1048" s="311"/>
      <c r="F1048" s="309" t="s">
        <v>26</v>
      </c>
      <c r="G1048" s="308" t="s">
        <v>4248</v>
      </c>
      <c r="H1048" s="308" t="s">
        <v>4249</v>
      </c>
      <c r="I1048" s="310">
        <v>40932.0</v>
      </c>
      <c r="J1048" s="308">
        <f>IFERROR(__xludf.DUMMYFUNCTION("SPLIT(I1048,""/"")"),24.0)</f>
        <v>24</v>
      </c>
      <c r="K1048" s="308">
        <f>IFERROR(__xludf.DUMMYFUNCTION("""COMPUTED_VALUE"""),1.0)</f>
        <v>1</v>
      </c>
      <c r="L1048" s="308">
        <f>IFERROR(__xludf.DUMMYFUNCTION("""COMPUTED_VALUE"""),2012.0)</f>
        <v>2012</v>
      </c>
      <c r="M1048" s="308" t="s">
        <v>4250</v>
      </c>
      <c r="N1048" s="308"/>
      <c r="O1048" s="312" t="s">
        <v>35895</v>
      </c>
      <c r="P1048" s="308" t="s">
        <v>35721</v>
      </c>
      <c r="Q1048" s="308"/>
      <c r="R1048" s="308"/>
      <c r="S1048" s="315" t="s">
        <v>100</v>
      </c>
      <c r="T1048" s="311" t="s">
        <v>34208</v>
      </c>
      <c r="U1048" s="308" t="s">
        <v>27</v>
      </c>
      <c r="V1048" s="312"/>
    </row>
    <row r="1049">
      <c r="A1049" s="308">
        <v>1048.0</v>
      </c>
      <c r="B1049" s="308">
        <v>4261.0</v>
      </c>
      <c r="C1049" s="308">
        <v>1064.0</v>
      </c>
      <c r="D1049" s="308">
        <f>IFERROR(__xludf.DUMMYFUNCTION("SPLIT(C1049,""-"")"),1064.0)</f>
        <v>1064</v>
      </c>
      <c r="E1049" s="311"/>
      <c r="F1049" s="309" t="s">
        <v>34</v>
      </c>
      <c r="G1049" s="308" t="s">
        <v>4252</v>
      </c>
      <c r="H1049" s="308" t="s">
        <v>4253</v>
      </c>
      <c r="I1049" s="314">
        <v>40845.0</v>
      </c>
      <c r="J1049" s="308">
        <f>IFERROR(__xludf.DUMMYFUNCTION("SPLIT(I1049,""/"")"),29.0)</f>
        <v>29</v>
      </c>
      <c r="K1049" s="308">
        <f>IFERROR(__xludf.DUMMYFUNCTION("""COMPUTED_VALUE"""),10.0)</f>
        <v>10</v>
      </c>
      <c r="L1049" s="308">
        <f>IFERROR(__xludf.DUMMYFUNCTION("""COMPUTED_VALUE"""),2011.0)</f>
        <v>2011</v>
      </c>
      <c r="M1049" s="308" t="s">
        <v>4254</v>
      </c>
      <c r="N1049" s="308"/>
      <c r="O1049" s="312" t="s">
        <v>4255</v>
      </c>
      <c r="P1049" s="308" t="s">
        <v>1605</v>
      </c>
      <c r="Q1049" s="308"/>
      <c r="R1049" s="308"/>
      <c r="S1049" s="315" t="s">
        <v>100</v>
      </c>
      <c r="T1049" s="311" t="s">
        <v>34208</v>
      </c>
      <c r="U1049" s="308" t="s">
        <v>125</v>
      </c>
      <c r="V1049" s="312"/>
    </row>
    <row r="1050">
      <c r="A1050" s="308">
        <v>1049.0</v>
      </c>
      <c r="B1050" s="308">
        <v>4262.0</v>
      </c>
      <c r="C1050" s="308">
        <v>1065.0</v>
      </c>
      <c r="D1050" s="308">
        <f>IFERROR(__xludf.DUMMYFUNCTION("SPLIT(C1050,""-"")"),1065.0)</f>
        <v>1065</v>
      </c>
      <c r="E1050" s="311"/>
      <c r="F1050" s="309" t="s">
        <v>34</v>
      </c>
      <c r="G1050" s="308" t="s">
        <v>4256</v>
      </c>
      <c r="H1050" s="308" t="s">
        <v>4257</v>
      </c>
      <c r="I1050" s="310">
        <v>40360.0</v>
      </c>
      <c r="J1050" s="308">
        <f>IFERROR(__xludf.DUMMYFUNCTION("SPLIT(I1050,""/"")"),1.0)</f>
        <v>1</v>
      </c>
      <c r="K1050" s="308">
        <f>IFERROR(__xludf.DUMMYFUNCTION("""COMPUTED_VALUE"""),7.0)</f>
        <v>7</v>
      </c>
      <c r="L1050" s="308">
        <f>IFERROR(__xludf.DUMMYFUNCTION("""COMPUTED_VALUE"""),2010.0)</f>
        <v>2010</v>
      </c>
      <c r="M1050" s="308" t="s">
        <v>4258</v>
      </c>
      <c r="N1050" s="308"/>
      <c r="O1050" s="312" t="s">
        <v>35896</v>
      </c>
      <c r="P1050" s="308" t="s">
        <v>1392</v>
      </c>
      <c r="Q1050" s="308"/>
      <c r="R1050" s="308"/>
      <c r="S1050" s="308" t="s">
        <v>49</v>
      </c>
      <c r="T1050" s="311" t="s">
        <v>69</v>
      </c>
      <c r="U1050" s="308" t="s">
        <v>530</v>
      </c>
      <c r="V1050" s="312"/>
    </row>
    <row r="1051">
      <c r="A1051" s="308">
        <v>1050.0</v>
      </c>
      <c r="B1051" s="308">
        <v>4263.0</v>
      </c>
      <c r="C1051" s="308">
        <v>1066.0</v>
      </c>
      <c r="D1051" s="308">
        <f>IFERROR(__xludf.DUMMYFUNCTION("SPLIT(C1051,""-"")"),1066.0)</f>
        <v>1066</v>
      </c>
      <c r="E1051" s="311"/>
      <c r="F1051" s="309" t="s">
        <v>34</v>
      </c>
      <c r="G1051" s="308" t="s">
        <v>4260</v>
      </c>
      <c r="H1051" s="308" t="s">
        <v>4261</v>
      </c>
      <c r="I1051" s="314">
        <v>40503.0</v>
      </c>
      <c r="J1051" s="308">
        <f>IFERROR(__xludf.DUMMYFUNCTION("SPLIT(I1051,""/"")"),21.0)</f>
        <v>21</v>
      </c>
      <c r="K1051" s="308">
        <f>IFERROR(__xludf.DUMMYFUNCTION("""COMPUTED_VALUE"""),11.0)</f>
        <v>11</v>
      </c>
      <c r="L1051" s="308">
        <f>IFERROR(__xludf.DUMMYFUNCTION("""COMPUTED_VALUE"""),2010.0)</f>
        <v>2010</v>
      </c>
      <c r="M1051" s="308" t="s">
        <v>4262</v>
      </c>
      <c r="N1051" s="308" t="s">
        <v>439</v>
      </c>
      <c r="O1051" s="312" t="s">
        <v>635</v>
      </c>
      <c r="P1051" s="308" t="s">
        <v>35897</v>
      </c>
      <c r="Q1051" s="308"/>
      <c r="R1051" s="308"/>
      <c r="S1051" s="308" t="s">
        <v>81</v>
      </c>
      <c r="T1051" s="311" t="s">
        <v>98</v>
      </c>
      <c r="U1051" s="308" t="s">
        <v>530</v>
      </c>
      <c r="V1051" s="312"/>
    </row>
    <row r="1052">
      <c r="A1052" s="308">
        <v>1051.0</v>
      </c>
      <c r="B1052" s="308">
        <v>4264.0</v>
      </c>
      <c r="C1052" s="308" t="s">
        <v>4264</v>
      </c>
      <c r="D1052" s="308">
        <f>IFERROR(__xludf.DUMMYFUNCTION("SPLIT(C1052,""-"")"),1067.0)</f>
        <v>1067</v>
      </c>
      <c r="E1052" s="308" t="str">
        <f>IFERROR(__xludf.DUMMYFUNCTION("""COMPUTED_VALUE"""),"P")</f>
        <v>P</v>
      </c>
      <c r="F1052" s="312" t="s">
        <v>37</v>
      </c>
      <c r="G1052" s="308"/>
      <c r="H1052" s="308" t="s">
        <v>4265</v>
      </c>
      <c r="I1052" s="310">
        <v>38979.0</v>
      </c>
      <c r="J1052" s="308">
        <f>IFERROR(__xludf.DUMMYFUNCTION("SPLIT(I1052,""/"")"),19.0)</f>
        <v>19</v>
      </c>
      <c r="K1052" s="308">
        <f>IFERROR(__xludf.DUMMYFUNCTION("""COMPUTED_VALUE"""),9.0)</f>
        <v>9</v>
      </c>
      <c r="L1052" s="308">
        <f>IFERROR(__xludf.DUMMYFUNCTION("""COMPUTED_VALUE"""),2006.0)</f>
        <v>2006</v>
      </c>
      <c r="M1052" s="308" t="s">
        <v>4266</v>
      </c>
      <c r="N1052" s="308"/>
      <c r="O1052" s="312" t="s">
        <v>4267</v>
      </c>
      <c r="P1052" s="308" t="s">
        <v>35898</v>
      </c>
      <c r="Q1052" s="308"/>
      <c r="R1052" s="308"/>
      <c r="S1052" s="308" t="s">
        <v>49</v>
      </c>
      <c r="T1052" s="308" t="s">
        <v>51</v>
      </c>
      <c r="U1052" s="308" t="s">
        <v>143</v>
      </c>
      <c r="V1052" s="312"/>
    </row>
    <row r="1053">
      <c r="A1053" s="308">
        <v>1052.0</v>
      </c>
      <c r="B1053" s="308">
        <v>4265.0</v>
      </c>
      <c r="C1053" s="308">
        <v>1068.0</v>
      </c>
      <c r="D1053" s="308">
        <f>IFERROR(__xludf.DUMMYFUNCTION("SPLIT(C1053,""-"")"),1068.0)</f>
        <v>1068</v>
      </c>
      <c r="E1053" s="311"/>
      <c r="F1053" s="317" t="s">
        <v>37</v>
      </c>
      <c r="G1053" s="308"/>
      <c r="H1053" s="308" t="s">
        <v>4269</v>
      </c>
      <c r="I1053" s="314">
        <v>41272.0</v>
      </c>
      <c r="J1053" s="308">
        <f>IFERROR(__xludf.DUMMYFUNCTION("SPLIT(I1053,""/"")"),29.0)</f>
        <v>29</v>
      </c>
      <c r="K1053" s="308">
        <f>IFERROR(__xludf.DUMMYFUNCTION("""COMPUTED_VALUE"""),12.0)</f>
        <v>12</v>
      </c>
      <c r="L1053" s="308">
        <f>IFERROR(__xludf.DUMMYFUNCTION("""COMPUTED_VALUE"""),2012.0)</f>
        <v>2012</v>
      </c>
      <c r="M1053" s="308" t="s">
        <v>4270</v>
      </c>
      <c r="N1053" s="308"/>
      <c r="O1053" s="312" t="s">
        <v>35899</v>
      </c>
      <c r="P1053" s="308" t="s">
        <v>4272</v>
      </c>
      <c r="Q1053" s="308"/>
      <c r="R1053" s="308"/>
      <c r="S1053" s="308" t="s">
        <v>81</v>
      </c>
      <c r="T1053" s="311" t="s">
        <v>34565</v>
      </c>
      <c r="U1053" s="308" t="s">
        <v>4273</v>
      </c>
      <c r="V1053" s="312"/>
    </row>
    <row r="1054">
      <c r="A1054" s="308">
        <v>1053.0</v>
      </c>
      <c r="B1054" s="308">
        <v>4266.0</v>
      </c>
      <c r="C1054" s="308">
        <v>1069.0</v>
      </c>
      <c r="D1054" s="308">
        <f>IFERROR(__xludf.DUMMYFUNCTION("SPLIT(C1054,""-"")"),1069.0)</f>
        <v>1069</v>
      </c>
      <c r="E1054" s="311"/>
      <c r="F1054" s="309" t="s">
        <v>34</v>
      </c>
      <c r="G1054" s="308" t="s">
        <v>4274</v>
      </c>
      <c r="H1054" s="308" t="s">
        <v>4275</v>
      </c>
      <c r="I1054" s="310">
        <v>40383.0</v>
      </c>
      <c r="J1054" s="308">
        <f>IFERROR(__xludf.DUMMYFUNCTION("SPLIT(I1054,""/"")"),24.0)</f>
        <v>24</v>
      </c>
      <c r="K1054" s="308">
        <f>IFERROR(__xludf.DUMMYFUNCTION("""COMPUTED_VALUE"""),7.0)</f>
        <v>7</v>
      </c>
      <c r="L1054" s="308">
        <f>IFERROR(__xludf.DUMMYFUNCTION("""COMPUTED_VALUE"""),2010.0)</f>
        <v>2010</v>
      </c>
      <c r="M1054" s="308" t="s">
        <v>4276</v>
      </c>
      <c r="N1054" s="308" t="s">
        <v>4277</v>
      </c>
      <c r="O1054" s="312" t="s">
        <v>635</v>
      </c>
      <c r="P1054" s="308" t="s">
        <v>34212</v>
      </c>
      <c r="Q1054" s="308"/>
      <c r="R1054" s="308"/>
      <c r="S1054" s="315" t="s">
        <v>100</v>
      </c>
      <c r="T1054" s="311" t="s">
        <v>34208</v>
      </c>
      <c r="U1054" s="308" t="s">
        <v>125</v>
      </c>
      <c r="V1054" s="312"/>
    </row>
    <row r="1055">
      <c r="A1055" s="308">
        <v>1054.0</v>
      </c>
      <c r="B1055" s="308">
        <v>4267.0</v>
      </c>
      <c r="C1055" s="308">
        <v>1070.0</v>
      </c>
      <c r="D1055" s="308">
        <f>IFERROR(__xludf.DUMMYFUNCTION("SPLIT(C1055,""-"")"),1070.0)</f>
        <v>1070</v>
      </c>
      <c r="E1055" s="311"/>
      <c r="F1055" s="309" t="s">
        <v>34</v>
      </c>
      <c r="G1055" s="308" t="s">
        <v>4278</v>
      </c>
      <c r="H1055" s="308" t="s">
        <v>4279</v>
      </c>
      <c r="I1055" s="310">
        <v>40699.0</v>
      </c>
      <c r="J1055" s="308">
        <f>IFERROR(__xludf.DUMMYFUNCTION("SPLIT(I1055,""/"")"),5.0)</f>
        <v>5</v>
      </c>
      <c r="K1055" s="308">
        <f>IFERROR(__xludf.DUMMYFUNCTION("""COMPUTED_VALUE"""),6.0)</f>
        <v>6</v>
      </c>
      <c r="L1055" s="308">
        <f>IFERROR(__xludf.DUMMYFUNCTION("""COMPUTED_VALUE"""),2011.0)</f>
        <v>2011</v>
      </c>
      <c r="M1055" s="308" t="s">
        <v>4280</v>
      </c>
      <c r="N1055" s="308"/>
      <c r="O1055" s="312" t="s">
        <v>635</v>
      </c>
      <c r="P1055" s="308" t="s">
        <v>34212</v>
      </c>
      <c r="Q1055" s="308"/>
      <c r="R1055" s="308"/>
      <c r="S1055" s="315" t="s">
        <v>100</v>
      </c>
      <c r="T1055" s="311" t="s">
        <v>34208</v>
      </c>
      <c r="U1055" s="308"/>
      <c r="V1055" s="312"/>
    </row>
    <row r="1056">
      <c r="A1056" s="308">
        <v>1055.0</v>
      </c>
      <c r="B1056" s="308">
        <v>4268.0</v>
      </c>
      <c r="C1056" s="308">
        <v>1071.0</v>
      </c>
      <c r="D1056" s="308">
        <f>IFERROR(__xludf.DUMMYFUNCTION("SPLIT(C1056,""-"")"),1071.0)</f>
        <v>1071</v>
      </c>
      <c r="E1056" s="311"/>
      <c r="F1056" s="309" t="s">
        <v>26</v>
      </c>
      <c r="G1056" s="308"/>
      <c r="H1056" s="308" t="s">
        <v>4281</v>
      </c>
      <c r="I1056" s="310">
        <v>41132.0</v>
      </c>
      <c r="J1056" s="308">
        <f>IFERROR(__xludf.DUMMYFUNCTION("SPLIT(I1056,""/"")"),11.0)</f>
        <v>11</v>
      </c>
      <c r="K1056" s="308">
        <f>IFERROR(__xludf.DUMMYFUNCTION("""COMPUTED_VALUE"""),8.0)</f>
        <v>8</v>
      </c>
      <c r="L1056" s="308">
        <f>IFERROR(__xludf.DUMMYFUNCTION("""COMPUTED_VALUE"""),2012.0)</f>
        <v>2012</v>
      </c>
      <c r="M1056" s="308" t="s">
        <v>4282</v>
      </c>
      <c r="N1056" s="308"/>
      <c r="O1056" s="312" t="s">
        <v>35900</v>
      </c>
      <c r="P1056" s="308" t="s">
        <v>4284</v>
      </c>
      <c r="Q1056" s="308"/>
      <c r="R1056" s="308"/>
      <c r="S1056" s="308" t="s">
        <v>81</v>
      </c>
      <c r="T1056" s="311" t="s">
        <v>73</v>
      </c>
      <c r="U1056" s="308"/>
      <c r="V1056" s="312"/>
    </row>
    <row r="1057">
      <c r="A1057" s="308">
        <v>1056.0</v>
      </c>
      <c r="B1057" s="308">
        <v>4269.0</v>
      </c>
      <c r="C1057" s="308">
        <v>1072.0</v>
      </c>
      <c r="D1057" s="308"/>
      <c r="E1057" s="311"/>
      <c r="F1057" s="309" t="s">
        <v>26</v>
      </c>
      <c r="G1057" s="308"/>
      <c r="H1057" s="308" t="s">
        <v>35901</v>
      </c>
      <c r="I1057" s="310">
        <v>41292.0</v>
      </c>
      <c r="J1057" s="308">
        <f>IFERROR(__xludf.DUMMYFUNCTION("SPLIT(I1057,""/"")"),18.0)</f>
        <v>18</v>
      </c>
      <c r="K1057" s="308">
        <f>IFERROR(__xludf.DUMMYFUNCTION("""COMPUTED_VALUE"""),1.0)</f>
        <v>1</v>
      </c>
      <c r="L1057" s="308">
        <f>IFERROR(__xludf.DUMMYFUNCTION("""COMPUTED_VALUE"""),2013.0)</f>
        <v>2013</v>
      </c>
      <c r="M1057" s="308" t="s">
        <v>4286</v>
      </c>
      <c r="N1057" s="308"/>
      <c r="O1057" s="312" t="s">
        <v>4287</v>
      </c>
      <c r="P1057" s="308" t="s">
        <v>4288</v>
      </c>
      <c r="Q1057" s="308"/>
      <c r="R1057" s="308"/>
      <c r="S1057" s="308" t="s">
        <v>81</v>
      </c>
      <c r="T1057" s="311" t="s">
        <v>51</v>
      </c>
      <c r="U1057" s="308"/>
      <c r="V1057" s="312"/>
    </row>
    <row r="1058">
      <c r="A1058" s="308">
        <v>1057.0</v>
      </c>
      <c r="B1058" s="308">
        <v>4270.0</v>
      </c>
      <c r="C1058" s="308">
        <v>1073.0</v>
      </c>
      <c r="D1058" s="308">
        <f>IFERROR(__xludf.DUMMYFUNCTION("SPLIT(C1058,""-"")"),1073.0)</f>
        <v>1073</v>
      </c>
      <c r="E1058" s="311"/>
      <c r="F1058" s="309" t="s">
        <v>26</v>
      </c>
      <c r="G1058" s="308" t="s">
        <v>4289</v>
      </c>
      <c r="H1058" s="308" t="s">
        <v>4290</v>
      </c>
      <c r="I1058" s="314">
        <v>41268.0</v>
      </c>
      <c r="J1058" s="308">
        <f>IFERROR(__xludf.DUMMYFUNCTION("SPLIT(I1058,""/"")"),25.0)</f>
        <v>25</v>
      </c>
      <c r="K1058" s="308">
        <f>IFERROR(__xludf.DUMMYFUNCTION("""COMPUTED_VALUE"""),12.0)</f>
        <v>12</v>
      </c>
      <c r="L1058" s="308">
        <f>IFERROR(__xludf.DUMMYFUNCTION("""COMPUTED_VALUE"""),2012.0)</f>
        <v>2012</v>
      </c>
      <c r="M1058" s="308" t="s">
        <v>4291</v>
      </c>
      <c r="N1058" s="308"/>
      <c r="O1058" s="312" t="s">
        <v>4292</v>
      </c>
      <c r="P1058" s="308" t="s">
        <v>35902</v>
      </c>
      <c r="Q1058" s="308"/>
      <c r="R1058" s="308"/>
      <c r="S1058" s="308" t="s">
        <v>81</v>
      </c>
      <c r="T1058" s="311" t="s">
        <v>96</v>
      </c>
      <c r="U1058" s="308" t="s">
        <v>27</v>
      </c>
      <c r="V1058" s="312"/>
    </row>
    <row r="1059">
      <c r="A1059" s="308">
        <v>1058.0</v>
      </c>
      <c r="B1059" s="308">
        <v>4271.0</v>
      </c>
      <c r="C1059" s="308">
        <v>1074.0</v>
      </c>
      <c r="D1059" s="308">
        <f>IFERROR(__xludf.DUMMYFUNCTION("SPLIT(C1059,""-"")"),1074.0)</f>
        <v>1074</v>
      </c>
      <c r="E1059" s="311"/>
      <c r="F1059" s="309" t="s">
        <v>26</v>
      </c>
      <c r="G1059" s="308"/>
      <c r="H1059" s="308" t="s">
        <v>4294</v>
      </c>
      <c r="I1059" s="310">
        <v>40331.0</v>
      </c>
      <c r="J1059" s="308">
        <f>IFERROR(__xludf.DUMMYFUNCTION("SPLIT(I1059,""/"")"),2.0)</f>
        <v>2</v>
      </c>
      <c r="K1059" s="308">
        <f>IFERROR(__xludf.DUMMYFUNCTION("""COMPUTED_VALUE"""),6.0)</f>
        <v>6</v>
      </c>
      <c r="L1059" s="308">
        <f>IFERROR(__xludf.DUMMYFUNCTION("""COMPUTED_VALUE"""),2010.0)</f>
        <v>2010</v>
      </c>
      <c r="M1059" s="308" t="s">
        <v>4295</v>
      </c>
      <c r="N1059" s="308"/>
      <c r="O1059" s="312" t="s">
        <v>4296</v>
      </c>
      <c r="P1059" s="308" t="s">
        <v>4297</v>
      </c>
      <c r="Q1059" s="308"/>
      <c r="R1059" s="308"/>
      <c r="S1059" s="308" t="s">
        <v>49</v>
      </c>
      <c r="T1059" s="308" t="s">
        <v>51</v>
      </c>
      <c r="U1059" s="308" t="s">
        <v>27</v>
      </c>
      <c r="V1059" s="312"/>
    </row>
    <row r="1060">
      <c r="A1060" s="308">
        <v>1059.0</v>
      </c>
      <c r="B1060" s="308">
        <v>4272.0</v>
      </c>
      <c r="C1060" s="308">
        <v>1075.0</v>
      </c>
      <c r="D1060" s="308">
        <f>IFERROR(__xludf.DUMMYFUNCTION("SPLIT(C1060,""-"")"),1075.0)</f>
        <v>1075</v>
      </c>
      <c r="E1060" s="311"/>
      <c r="F1060" s="309" t="s">
        <v>26</v>
      </c>
      <c r="G1060" s="308"/>
      <c r="H1060" s="308" t="s">
        <v>4298</v>
      </c>
      <c r="I1060" s="310">
        <v>40331.0</v>
      </c>
      <c r="J1060" s="308">
        <f>IFERROR(__xludf.DUMMYFUNCTION("SPLIT(I1060,""/"")"),2.0)</f>
        <v>2</v>
      </c>
      <c r="K1060" s="308">
        <f>IFERROR(__xludf.DUMMYFUNCTION("""COMPUTED_VALUE"""),6.0)</f>
        <v>6</v>
      </c>
      <c r="L1060" s="308">
        <f>IFERROR(__xludf.DUMMYFUNCTION("""COMPUTED_VALUE"""),2010.0)</f>
        <v>2010</v>
      </c>
      <c r="M1060" s="308" t="s">
        <v>4295</v>
      </c>
      <c r="N1060" s="308"/>
      <c r="O1060" s="312" t="s">
        <v>4296</v>
      </c>
      <c r="P1060" s="308" t="s">
        <v>4297</v>
      </c>
      <c r="Q1060" s="308"/>
      <c r="R1060" s="308"/>
      <c r="S1060" s="308" t="s">
        <v>49</v>
      </c>
      <c r="T1060" s="308" t="s">
        <v>51</v>
      </c>
      <c r="U1060" s="308" t="s">
        <v>27</v>
      </c>
      <c r="V1060" s="312"/>
    </row>
    <row r="1061">
      <c r="A1061" s="308">
        <v>1060.0</v>
      </c>
      <c r="B1061" s="308">
        <v>4273.0</v>
      </c>
      <c r="C1061" s="308">
        <v>1076.0</v>
      </c>
      <c r="D1061" s="308">
        <f>IFERROR(__xludf.DUMMYFUNCTION("SPLIT(C1061,""-"")"),1076.0)</f>
        <v>1076</v>
      </c>
      <c r="E1061" s="311"/>
      <c r="F1061" s="309" t="s">
        <v>26</v>
      </c>
      <c r="G1061" s="308"/>
      <c r="H1061" s="308" t="s">
        <v>4299</v>
      </c>
      <c r="I1061" s="310">
        <v>40383.0</v>
      </c>
      <c r="J1061" s="308">
        <f>IFERROR(__xludf.DUMMYFUNCTION("SPLIT(I1061,""/"")"),24.0)</f>
        <v>24</v>
      </c>
      <c r="K1061" s="308">
        <f>IFERROR(__xludf.DUMMYFUNCTION("""COMPUTED_VALUE"""),7.0)</f>
        <v>7</v>
      </c>
      <c r="L1061" s="308">
        <f>IFERROR(__xludf.DUMMYFUNCTION("""COMPUTED_VALUE"""),2010.0)</f>
        <v>2010</v>
      </c>
      <c r="M1061" s="308" t="s">
        <v>4300</v>
      </c>
      <c r="N1061" s="308"/>
      <c r="O1061" s="312" t="s">
        <v>4301</v>
      </c>
      <c r="P1061" s="308" t="s">
        <v>2675</v>
      </c>
      <c r="Q1061" s="308"/>
      <c r="R1061" s="308"/>
      <c r="S1061" s="308" t="s">
        <v>49</v>
      </c>
      <c r="T1061" s="308" t="s">
        <v>51</v>
      </c>
      <c r="U1061" s="308"/>
      <c r="V1061" s="312"/>
    </row>
    <row r="1062">
      <c r="A1062" s="308">
        <v>1061.0</v>
      </c>
      <c r="B1062" s="308">
        <v>4274.0</v>
      </c>
      <c r="C1062" s="308">
        <v>1077.0</v>
      </c>
      <c r="D1062" s="308">
        <f>IFERROR(__xludf.DUMMYFUNCTION("SPLIT(C1062,""-"")"),1077.0)</f>
        <v>1077</v>
      </c>
      <c r="E1062" s="311"/>
      <c r="F1062" s="309" t="s">
        <v>26</v>
      </c>
      <c r="G1062" s="308" t="s">
        <v>4302</v>
      </c>
      <c r="H1062" s="308" t="s">
        <v>4303</v>
      </c>
      <c r="I1062" s="310">
        <v>39614.0</v>
      </c>
      <c r="J1062" s="308">
        <f>IFERROR(__xludf.DUMMYFUNCTION("SPLIT(I1062,""/"")"),15.0)</f>
        <v>15</v>
      </c>
      <c r="K1062" s="308">
        <f>IFERROR(__xludf.DUMMYFUNCTION("""COMPUTED_VALUE"""),6.0)</f>
        <v>6</v>
      </c>
      <c r="L1062" s="308">
        <f>IFERROR(__xludf.DUMMYFUNCTION("""COMPUTED_VALUE"""),2008.0)</f>
        <v>2008</v>
      </c>
      <c r="M1062" s="308" t="s">
        <v>4304</v>
      </c>
      <c r="N1062" s="308"/>
      <c r="O1062" s="312" t="s">
        <v>4305</v>
      </c>
      <c r="P1062" s="308" t="s">
        <v>35903</v>
      </c>
      <c r="Q1062" s="308"/>
      <c r="R1062" s="308"/>
      <c r="S1062" s="308" t="s">
        <v>49</v>
      </c>
      <c r="T1062" s="308" t="s">
        <v>51</v>
      </c>
      <c r="U1062" s="308"/>
      <c r="V1062" s="312"/>
    </row>
    <row r="1063">
      <c r="A1063" s="308">
        <v>1062.0</v>
      </c>
      <c r="B1063" s="308">
        <v>4275.0</v>
      </c>
      <c r="C1063" s="308">
        <v>1078.0</v>
      </c>
      <c r="D1063" s="308">
        <f>IFERROR(__xludf.DUMMYFUNCTION("SPLIT(C1063,""-"")"),1078.0)</f>
        <v>1078</v>
      </c>
      <c r="E1063" s="311"/>
      <c r="F1063" s="309" t="s">
        <v>34</v>
      </c>
      <c r="G1063" s="308"/>
      <c r="H1063" s="308" t="s">
        <v>4306</v>
      </c>
      <c r="I1063" s="310">
        <v>41181.0</v>
      </c>
      <c r="J1063" s="308">
        <f>IFERROR(__xludf.DUMMYFUNCTION("SPLIT(I1063,""/"")"),29.0)</f>
        <v>29</v>
      </c>
      <c r="K1063" s="308">
        <f>IFERROR(__xludf.DUMMYFUNCTION("""COMPUTED_VALUE"""),9.0)</f>
        <v>9</v>
      </c>
      <c r="L1063" s="308">
        <f>IFERROR(__xludf.DUMMYFUNCTION("""COMPUTED_VALUE"""),2012.0)</f>
        <v>2012</v>
      </c>
      <c r="M1063" s="308" t="s">
        <v>4307</v>
      </c>
      <c r="N1063" s="308"/>
      <c r="O1063" s="312" t="s">
        <v>635</v>
      </c>
      <c r="P1063" s="308" t="s">
        <v>4308</v>
      </c>
      <c r="Q1063" s="308"/>
      <c r="R1063" s="308"/>
      <c r="S1063" s="308" t="s">
        <v>81</v>
      </c>
      <c r="T1063" s="311" t="s">
        <v>75</v>
      </c>
      <c r="U1063" s="308"/>
      <c r="V1063" s="312"/>
    </row>
    <row r="1064">
      <c r="A1064" s="308">
        <v>1063.0</v>
      </c>
      <c r="B1064" s="308">
        <v>4276.0</v>
      </c>
      <c r="C1064" s="308">
        <v>1079.0</v>
      </c>
      <c r="D1064" s="308">
        <f>IFERROR(__xludf.DUMMYFUNCTION("SPLIT(C1064,""-"")"),1079.0)</f>
        <v>1079</v>
      </c>
      <c r="E1064" s="311"/>
      <c r="F1064" s="317" t="s">
        <v>37</v>
      </c>
      <c r="G1064" s="308"/>
      <c r="H1064" s="308" t="s">
        <v>4309</v>
      </c>
      <c r="I1064" s="310">
        <v>41348.0</v>
      </c>
      <c r="J1064" s="308">
        <f>IFERROR(__xludf.DUMMYFUNCTION("SPLIT(I1064,""/"")"),15.0)</f>
        <v>15</v>
      </c>
      <c r="K1064" s="308">
        <f>IFERROR(__xludf.DUMMYFUNCTION("""COMPUTED_VALUE"""),3.0)</f>
        <v>3</v>
      </c>
      <c r="L1064" s="308">
        <f>IFERROR(__xludf.DUMMYFUNCTION("""COMPUTED_VALUE"""),2013.0)</f>
        <v>2013</v>
      </c>
      <c r="M1064" s="308" t="s">
        <v>4310</v>
      </c>
      <c r="N1064" s="308"/>
      <c r="O1064" s="312" t="s">
        <v>35904</v>
      </c>
      <c r="P1064" s="308" t="s">
        <v>35905</v>
      </c>
      <c r="Q1064" s="308"/>
      <c r="R1064" s="308"/>
      <c r="S1064" s="308" t="s">
        <v>49</v>
      </c>
      <c r="T1064" s="308" t="s">
        <v>51</v>
      </c>
      <c r="U1064" s="308" t="s">
        <v>3407</v>
      </c>
      <c r="V1064" s="312"/>
    </row>
    <row r="1065">
      <c r="A1065" s="308">
        <v>1064.0</v>
      </c>
      <c r="B1065" s="308">
        <v>4277.0</v>
      </c>
      <c r="C1065" s="308">
        <v>1080.0</v>
      </c>
      <c r="D1065" s="308">
        <f>IFERROR(__xludf.DUMMYFUNCTION("SPLIT(C1065,""-"")"),1080.0)</f>
        <v>1080</v>
      </c>
      <c r="E1065" s="311"/>
      <c r="F1065" s="309" t="s">
        <v>34</v>
      </c>
      <c r="G1065" s="308"/>
      <c r="H1065" s="308" t="s">
        <v>4313</v>
      </c>
      <c r="I1065" s="314">
        <v>41263.0</v>
      </c>
      <c r="J1065" s="308">
        <f>IFERROR(__xludf.DUMMYFUNCTION("SPLIT(I1065,""/"")"),20.0)</f>
        <v>20</v>
      </c>
      <c r="K1065" s="308">
        <f>IFERROR(__xludf.DUMMYFUNCTION("""COMPUTED_VALUE"""),12.0)</f>
        <v>12</v>
      </c>
      <c r="L1065" s="308">
        <f>IFERROR(__xludf.DUMMYFUNCTION("""COMPUTED_VALUE"""),2012.0)</f>
        <v>2012</v>
      </c>
      <c r="M1065" s="308" t="s">
        <v>4314</v>
      </c>
      <c r="N1065" s="308"/>
      <c r="O1065" s="312" t="s">
        <v>4315</v>
      </c>
      <c r="P1065" s="308" t="s">
        <v>34212</v>
      </c>
      <c r="Q1065" s="308"/>
      <c r="R1065" s="308"/>
      <c r="S1065" s="315" t="s">
        <v>100</v>
      </c>
      <c r="T1065" s="311" t="s">
        <v>34208</v>
      </c>
      <c r="U1065" s="308" t="s">
        <v>125</v>
      </c>
      <c r="V1065" s="312"/>
    </row>
    <row r="1066">
      <c r="A1066" s="308">
        <v>1065.0</v>
      </c>
      <c r="B1066" s="308">
        <v>4278.0</v>
      </c>
      <c r="C1066" s="308">
        <v>1081.0</v>
      </c>
      <c r="D1066" s="308">
        <f>IFERROR(__xludf.DUMMYFUNCTION("SPLIT(C1066,""-"")"),1081.0)</f>
        <v>1081</v>
      </c>
      <c r="E1066" s="311"/>
      <c r="F1066" s="309" t="s">
        <v>34</v>
      </c>
      <c r="G1066" s="308"/>
      <c r="H1066" s="308" t="s">
        <v>4316</v>
      </c>
      <c r="I1066" s="314">
        <v>40834.0</v>
      </c>
      <c r="J1066" s="308">
        <f>IFERROR(__xludf.DUMMYFUNCTION("SPLIT(I1066,""/"")"),18.0)</f>
        <v>18</v>
      </c>
      <c r="K1066" s="308">
        <f>IFERROR(__xludf.DUMMYFUNCTION("""COMPUTED_VALUE"""),10.0)</f>
        <v>10</v>
      </c>
      <c r="L1066" s="308">
        <f>IFERROR(__xludf.DUMMYFUNCTION("""COMPUTED_VALUE"""),2011.0)</f>
        <v>2011</v>
      </c>
      <c r="M1066" s="308" t="s">
        <v>4317</v>
      </c>
      <c r="N1066" s="308"/>
      <c r="O1066" s="312" t="s">
        <v>4318</v>
      </c>
      <c r="P1066" s="308" t="s">
        <v>4319</v>
      </c>
      <c r="Q1066" s="308"/>
      <c r="R1066" s="308"/>
      <c r="S1066" s="308" t="s">
        <v>81</v>
      </c>
      <c r="T1066" s="308" t="s">
        <v>34264</v>
      </c>
      <c r="U1066" s="308"/>
      <c r="V1066" s="312"/>
    </row>
    <row r="1067">
      <c r="A1067" s="308">
        <v>1066.0</v>
      </c>
      <c r="B1067" s="308">
        <v>4279.0</v>
      </c>
      <c r="C1067" s="308">
        <v>1082.0</v>
      </c>
      <c r="D1067" s="308">
        <f>IFERROR(__xludf.DUMMYFUNCTION("SPLIT(C1067,""-"")"),1082.0)</f>
        <v>1082</v>
      </c>
      <c r="E1067" s="311"/>
      <c r="F1067" s="309" t="s">
        <v>34</v>
      </c>
      <c r="G1067" s="308" t="s">
        <v>4320</v>
      </c>
      <c r="H1067" s="308" t="s">
        <v>4321</v>
      </c>
      <c r="I1067" s="310">
        <v>39995.0</v>
      </c>
      <c r="J1067" s="308">
        <f>IFERROR(__xludf.DUMMYFUNCTION("SPLIT(I1067,""/"")"),1.0)</f>
        <v>1</v>
      </c>
      <c r="K1067" s="308">
        <f>IFERROR(__xludf.DUMMYFUNCTION("""COMPUTED_VALUE"""),7.0)</f>
        <v>7</v>
      </c>
      <c r="L1067" s="308">
        <f>IFERROR(__xludf.DUMMYFUNCTION("""COMPUTED_VALUE"""),2009.0)</f>
        <v>2009</v>
      </c>
      <c r="M1067" s="308" t="s">
        <v>4322</v>
      </c>
      <c r="N1067" s="308"/>
      <c r="O1067" s="312" t="s">
        <v>35906</v>
      </c>
      <c r="P1067" s="308" t="s">
        <v>1872</v>
      </c>
      <c r="Q1067" s="308"/>
      <c r="R1067" s="308"/>
      <c r="S1067" s="315" t="s">
        <v>100</v>
      </c>
      <c r="T1067" s="311" t="s">
        <v>34208</v>
      </c>
      <c r="U1067" s="308"/>
      <c r="V1067" s="312"/>
    </row>
    <row r="1068">
      <c r="A1068" s="308">
        <v>1067.0</v>
      </c>
      <c r="B1068" s="308">
        <v>4280.0</v>
      </c>
      <c r="C1068" s="308" t="s">
        <v>4324</v>
      </c>
      <c r="D1068" s="308">
        <f>IFERROR(__xludf.DUMMYFUNCTION("SPLIT(C1068,""-"")"),1083.0)</f>
        <v>1083</v>
      </c>
      <c r="E1068" s="308" t="str">
        <f>IFERROR(__xludf.DUMMYFUNCTION("""COMPUTED_VALUE"""),"K")</f>
        <v>K</v>
      </c>
      <c r="F1068" s="309" t="s">
        <v>34</v>
      </c>
      <c r="G1068" s="308" t="s">
        <v>4320</v>
      </c>
      <c r="H1068" s="308" t="s">
        <v>4325</v>
      </c>
      <c r="I1068" s="310">
        <v>40725.0</v>
      </c>
      <c r="J1068" s="308">
        <f>IFERROR(__xludf.DUMMYFUNCTION("SPLIT(I1068,""/"")"),1.0)</f>
        <v>1</v>
      </c>
      <c r="K1068" s="308">
        <f>IFERROR(__xludf.DUMMYFUNCTION("""COMPUTED_VALUE"""),7.0)</f>
        <v>7</v>
      </c>
      <c r="L1068" s="308">
        <f>IFERROR(__xludf.DUMMYFUNCTION("""COMPUTED_VALUE"""),2011.0)</f>
        <v>2011</v>
      </c>
      <c r="M1068" s="308" t="s">
        <v>4326</v>
      </c>
      <c r="N1068" s="308" t="s">
        <v>4327</v>
      </c>
      <c r="O1068" s="312" t="s">
        <v>35906</v>
      </c>
      <c r="P1068" s="308" t="s">
        <v>1872</v>
      </c>
      <c r="Q1068" s="308"/>
      <c r="R1068" s="308" t="s">
        <v>2743</v>
      </c>
      <c r="S1068" s="315" t="s">
        <v>100</v>
      </c>
      <c r="T1068" s="311" t="s">
        <v>34208</v>
      </c>
      <c r="U1068" s="308" t="s">
        <v>530</v>
      </c>
      <c r="V1068" s="312"/>
    </row>
    <row r="1069">
      <c r="A1069" s="308">
        <v>1068.0</v>
      </c>
      <c r="B1069" s="308">
        <v>4281.0</v>
      </c>
      <c r="C1069" s="308">
        <v>1084.0</v>
      </c>
      <c r="D1069" s="308">
        <f>IFERROR(__xludf.DUMMYFUNCTION("SPLIT(C1069,""-"")"),1084.0)</f>
        <v>1084</v>
      </c>
      <c r="E1069" s="311"/>
      <c r="F1069" s="309" t="s">
        <v>34</v>
      </c>
      <c r="G1069" s="308" t="s">
        <v>4328</v>
      </c>
      <c r="H1069" s="308" t="s">
        <v>4329</v>
      </c>
      <c r="I1069" s="316" t="s">
        <v>407</v>
      </c>
      <c r="J1069" s="308" t="str">
        <f>IFERROR(__xludf.DUMMYFUNCTION("SPLIT(I1069,""/"")"),"#REF!")</f>
        <v>#REF!</v>
      </c>
      <c r="K1069" s="308"/>
      <c r="L1069" s="311" t="s">
        <v>79</v>
      </c>
      <c r="M1069" s="308" t="s">
        <v>4330</v>
      </c>
      <c r="N1069" s="308"/>
      <c r="O1069" s="312" t="s">
        <v>635</v>
      </c>
      <c r="P1069" s="308" t="s">
        <v>4331</v>
      </c>
      <c r="Q1069" s="308"/>
      <c r="R1069" s="308"/>
      <c r="S1069" s="308" t="s">
        <v>81</v>
      </c>
      <c r="T1069" s="311" t="s">
        <v>73</v>
      </c>
      <c r="U1069" s="308"/>
      <c r="V1069" s="312"/>
    </row>
    <row r="1070">
      <c r="A1070" s="308">
        <v>1069.0</v>
      </c>
      <c r="B1070" s="308">
        <v>4282.0</v>
      </c>
      <c r="C1070" s="308" t="s">
        <v>4332</v>
      </c>
      <c r="D1070" s="308">
        <f>IFERROR(__xludf.DUMMYFUNCTION("SPLIT(C1070,""-"")"),1085.0)</f>
        <v>1085</v>
      </c>
      <c r="E1070" s="308" t="str">
        <f>IFERROR(__xludf.DUMMYFUNCTION("""COMPUTED_VALUE"""),"K")</f>
        <v>K</v>
      </c>
      <c r="F1070" s="309" t="s">
        <v>34</v>
      </c>
      <c r="G1070" s="308" t="s">
        <v>4333</v>
      </c>
      <c r="H1070" s="308" t="s">
        <v>4334</v>
      </c>
      <c r="I1070" s="310">
        <v>39995.0</v>
      </c>
      <c r="J1070" s="308">
        <f>IFERROR(__xludf.DUMMYFUNCTION("SPLIT(I1070,""/"")"),1.0)</f>
        <v>1</v>
      </c>
      <c r="K1070" s="308">
        <f>IFERROR(__xludf.DUMMYFUNCTION("""COMPUTED_VALUE"""),7.0)</f>
        <v>7</v>
      </c>
      <c r="L1070" s="308">
        <f>IFERROR(__xludf.DUMMYFUNCTION("""COMPUTED_VALUE"""),2009.0)</f>
        <v>2009</v>
      </c>
      <c r="M1070" s="308" t="s">
        <v>4335</v>
      </c>
      <c r="N1070" s="308" t="s">
        <v>4336</v>
      </c>
      <c r="O1070" s="312" t="s">
        <v>4337</v>
      </c>
      <c r="P1070" s="308" t="s">
        <v>1971</v>
      </c>
      <c r="Q1070" s="308"/>
      <c r="R1070" s="308" t="s">
        <v>1496</v>
      </c>
      <c r="S1070" s="315" t="s">
        <v>100</v>
      </c>
      <c r="T1070" s="311" t="s">
        <v>34208</v>
      </c>
      <c r="U1070" s="308" t="s">
        <v>530</v>
      </c>
      <c r="V1070" s="312"/>
    </row>
    <row r="1071">
      <c r="A1071" s="308">
        <v>1070.0</v>
      </c>
      <c r="B1071" s="308">
        <v>4283.0</v>
      </c>
      <c r="C1071" s="308">
        <v>1086.0</v>
      </c>
      <c r="D1071" s="308">
        <f>IFERROR(__xludf.DUMMYFUNCTION("SPLIT(C1071,""-"")"),1086.0)</f>
        <v>1086</v>
      </c>
      <c r="E1071" s="311"/>
      <c r="F1071" s="309" t="s">
        <v>34</v>
      </c>
      <c r="G1071" s="308" t="s">
        <v>4338</v>
      </c>
      <c r="H1071" s="308" t="s">
        <v>4339</v>
      </c>
      <c r="I1071" s="310">
        <v>40026.0</v>
      </c>
      <c r="J1071" s="308">
        <f>IFERROR(__xludf.DUMMYFUNCTION("SPLIT(I1071,""/"")"),1.0)</f>
        <v>1</v>
      </c>
      <c r="K1071" s="308">
        <f>IFERROR(__xludf.DUMMYFUNCTION("""COMPUTED_VALUE"""),8.0)</f>
        <v>8</v>
      </c>
      <c r="L1071" s="308">
        <f>IFERROR(__xludf.DUMMYFUNCTION("""COMPUTED_VALUE"""),2009.0)</f>
        <v>2009</v>
      </c>
      <c r="M1071" s="308" t="s">
        <v>4340</v>
      </c>
      <c r="N1071" s="308"/>
      <c r="O1071" s="312" t="s">
        <v>35907</v>
      </c>
      <c r="P1071" s="308" t="s">
        <v>1872</v>
      </c>
      <c r="Q1071" s="312"/>
      <c r="R1071" s="308"/>
      <c r="S1071" s="315" t="s">
        <v>100</v>
      </c>
      <c r="T1071" s="311" t="s">
        <v>34208</v>
      </c>
      <c r="U1071" s="308" t="s">
        <v>530</v>
      </c>
      <c r="V1071" s="312"/>
    </row>
    <row r="1072">
      <c r="A1072" s="308">
        <v>1071.0</v>
      </c>
      <c r="B1072" s="308">
        <v>4284.0</v>
      </c>
      <c r="C1072" s="308">
        <v>1087.0</v>
      </c>
      <c r="D1072" s="308">
        <f>IFERROR(__xludf.DUMMYFUNCTION("SPLIT(C1072,""-"")"),1087.0)</f>
        <v>1087</v>
      </c>
      <c r="E1072" s="311"/>
      <c r="F1072" s="309" t="s">
        <v>34</v>
      </c>
      <c r="G1072" s="308" t="s">
        <v>4342</v>
      </c>
      <c r="H1072" s="308" t="s">
        <v>4343</v>
      </c>
      <c r="I1072" s="310">
        <v>40179.0</v>
      </c>
      <c r="J1072" s="308">
        <f>IFERROR(__xludf.DUMMYFUNCTION("SPLIT(I1072,""/"")"),1.0)</f>
        <v>1</v>
      </c>
      <c r="K1072" s="308">
        <f>IFERROR(__xludf.DUMMYFUNCTION("""COMPUTED_VALUE"""),1.0)</f>
        <v>1</v>
      </c>
      <c r="L1072" s="308">
        <f>IFERROR(__xludf.DUMMYFUNCTION("""COMPUTED_VALUE"""),2010.0)</f>
        <v>2010</v>
      </c>
      <c r="M1072" s="308" t="s">
        <v>4344</v>
      </c>
      <c r="N1072" s="308"/>
      <c r="O1072" s="312" t="s">
        <v>35908</v>
      </c>
      <c r="P1072" s="308" t="s">
        <v>4346</v>
      </c>
      <c r="Q1072" s="308"/>
      <c r="R1072" s="308"/>
      <c r="S1072" s="308" t="s">
        <v>81</v>
      </c>
      <c r="T1072" s="311" t="s">
        <v>85</v>
      </c>
      <c r="U1072" s="308"/>
      <c r="V1072" s="312"/>
    </row>
    <row r="1073">
      <c r="A1073" s="308">
        <v>1072.0</v>
      </c>
      <c r="B1073" s="308">
        <v>4285.0</v>
      </c>
      <c r="C1073" s="308">
        <v>1088.0</v>
      </c>
      <c r="D1073" s="308">
        <f>IFERROR(__xludf.DUMMYFUNCTION("SPLIT(C1073,""-"")"),1088.0)</f>
        <v>1088</v>
      </c>
      <c r="E1073" s="311"/>
      <c r="F1073" s="309" t="s">
        <v>34</v>
      </c>
      <c r="G1073" s="308" t="s">
        <v>4347</v>
      </c>
      <c r="H1073" s="308" t="s">
        <v>4348</v>
      </c>
      <c r="I1073" s="310">
        <v>40603.0</v>
      </c>
      <c r="J1073" s="308">
        <f>IFERROR(__xludf.DUMMYFUNCTION("SPLIT(I1073,""/"")"),1.0)</f>
        <v>1</v>
      </c>
      <c r="K1073" s="308">
        <f>IFERROR(__xludf.DUMMYFUNCTION("""COMPUTED_VALUE"""),3.0)</f>
        <v>3</v>
      </c>
      <c r="L1073" s="308">
        <f>IFERROR(__xludf.DUMMYFUNCTION("""COMPUTED_VALUE"""),2011.0)</f>
        <v>2011</v>
      </c>
      <c r="M1073" s="308" t="s">
        <v>4349</v>
      </c>
      <c r="N1073" s="308"/>
      <c r="O1073" s="312" t="s">
        <v>4350</v>
      </c>
      <c r="P1073" s="308" t="s">
        <v>3044</v>
      </c>
      <c r="Q1073" s="308"/>
      <c r="R1073" s="308"/>
      <c r="S1073" s="308" t="s">
        <v>81</v>
      </c>
      <c r="T1073" s="308" t="s">
        <v>34264</v>
      </c>
      <c r="U1073" s="308"/>
      <c r="V1073" s="312"/>
    </row>
    <row r="1074">
      <c r="A1074" s="308">
        <v>1073.0</v>
      </c>
      <c r="B1074" s="308">
        <v>4286.0</v>
      </c>
      <c r="C1074" s="308">
        <v>1089.0</v>
      </c>
      <c r="D1074" s="308">
        <f>IFERROR(__xludf.DUMMYFUNCTION("SPLIT(C1074,""-"")"),1089.0)</f>
        <v>1089</v>
      </c>
      <c r="E1074" s="311"/>
      <c r="F1074" s="309" t="s">
        <v>34</v>
      </c>
      <c r="G1074" s="308"/>
      <c r="H1074" s="308" t="s">
        <v>4351</v>
      </c>
      <c r="I1074" s="314">
        <v>40837.0</v>
      </c>
      <c r="J1074" s="308">
        <f>IFERROR(__xludf.DUMMYFUNCTION("SPLIT(I1074,""/"")"),21.0)</f>
        <v>21</v>
      </c>
      <c r="K1074" s="308">
        <f>IFERROR(__xludf.DUMMYFUNCTION("""COMPUTED_VALUE"""),10.0)</f>
        <v>10</v>
      </c>
      <c r="L1074" s="308">
        <f>IFERROR(__xludf.DUMMYFUNCTION("""COMPUTED_VALUE"""),2011.0)</f>
        <v>2011</v>
      </c>
      <c r="M1074" s="308" t="s">
        <v>4352</v>
      </c>
      <c r="N1074" s="308"/>
      <c r="O1074" s="312" t="s">
        <v>4353</v>
      </c>
      <c r="P1074" s="308" t="s">
        <v>4025</v>
      </c>
      <c r="Q1074" s="308"/>
      <c r="R1074" s="308"/>
      <c r="S1074" s="308" t="s">
        <v>81</v>
      </c>
      <c r="T1074" s="308" t="s">
        <v>34264</v>
      </c>
      <c r="U1074" s="308"/>
      <c r="V1074" s="312"/>
    </row>
    <row r="1075">
      <c r="A1075" s="308">
        <v>1074.0</v>
      </c>
      <c r="B1075" s="308">
        <v>4287.0</v>
      </c>
      <c r="C1075" s="308">
        <v>1090.0</v>
      </c>
      <c r="D1075" s="308">
        <f>IFERROR(__xludf.DUMMYFUNCTION("SPLIT(C1075,""-"")"),1090.0)</f>
        <v>1090</v>
      </c>
      <c r="E1075" s="311"/>
      <c r="F1075" s="317" t="s">
        <v>39</v>
      </c>
      <c r="G1075" s="308" t="s">
        <v>4354</v>
      </c>
      <c r="H1075" s="308" t="s">
        <v>35909</v>
      </c>
      <c r="I1075" s="310">
        <v>41330.0</v>
      </c>
      <c r="J1075" s="308">
        <f>IFERROR(__xludf.DUMMYFUNCTION("SPLIT(I1075,""/"")"),25.0)</f>
        <v>25</v>
      </c>
      <c r="K1075" s="308">
        <f>IFERROR(__xludf.DUMMYFUNCTION("""COMPUTED_VALUE"""),2.0)</f>
        <v>2</v>
      </c>
      <c r="L1075" s="308">
        <f>IFERROR(__xludf.DUMMYFUNCTION("""COMPUTED_VALUE"""),2013.0)</f>
        <v>2013</v>
      </c>
      <c r="M1075" s="308" t="s">
        <v>4356</v>
      </c>
      <c r="N1075" s="308"/>
      <c r="O1075" s="312" t="s">
        <v>635</v>
      </c>
      <c r="P1075" s="308" t="s">
        <v>34212</v>
      </c>
      <c r="Q1075" s="308"/>
      <c r="R1075" s="308"/>
      <c r="S1075" s="315" t="s">
        <v>100</v>
      </c>
      <c r="T1075" s="311" t="s">
        <v>34208</v>
      </c>
      <c r="U1075" s="308"/>
      <c r="V1075" s="312"/>
    </row>
    <row r="1076">
      <c r="A1076" s="308">
        <v>1075.0</v>
      </c>
      <c r="B1076" s="308">
        <v>4288.0</v>
      </c>
      <c r="C1076" s="308">
        <v>1091.0</v>
      </c>
      <c r="D1076" s="308">
        <f>IFERROR(__xludf.DUMMYFUNCTION("SPLIT(C1076,""-"")"),1091.0)</f>
        <v>1091</v>
      </c>
      <c r="E1076" s="311"/>
      <c r="F1076" s="317" t="s">
        <v>39</v>
      </c>
      <c r="G1076" s="308" t="s">
        <v>4354</v>
      </c>
      <c r="H1076" s="308" t="s">
        <v>4357</v>
      </c>
      <c r="I1076" s="310">
        <v>41330.0</v>
      </c>
      <c r="J1076" s="308">
        <f>IFERROR(__xludf.DUMMYFUNCTION("SPLIT(I1076,""/"")"),25.0)</f>
        <v>25</v>
      </c>
      <c r="K1076" s="308">
        <f>IFERROR(__xludf.DUMMYFUNCTION("""COMPUTED_VALUE"""),2.0)</f>
        <v>2</v>
      </c>
      <c r="L1076" s="308">
        <f>IFERROR(__xludf.DUMMYFUNCTION("""COMPUTED_VALUE"""),2013.0)</f>
        <v>2013</v>
      </c>
      <c r="M1076" s="308" t="s">
        <v>4356</v>
      </c>
      <c r="N1076" s="308"/>
      <c r="O1076" s="312" t="s">
        <v>635</v>
      </c>
      <c r="P1076" s="308" t="s">
        <v>35910</v>
      </c>
      <c r="Q1076" s="308"/>
      <c r="R1076" s="308"/>
      <c r="S1076" s="308" t="s">
        <v>81</v>
      </c>
      <c r="T1076" s="311" t="s">
        <v>90</v>
      </c>
      <c r="U1076" s="308"/>
      <c r="V1076" s="312"/>
    </row>
    <row r="1077">
      <c r="A1077" s="308">
        <v>1076.0</v>
      </c>
      <c r="B1077" s="308">
        <v>4289.0</v>
      </c>
      <c r="C1077" s="308">
        <v>1092.0</v>
      </c>
      <c r="D1077" s="308">
        <f>IFERROR(__xludf.DUMMYFUNCTION("SPLIT(C1077,""-"")"),1092.0)</f>
        <v>1092</v>
      </c>
      <c r="E1077" s="311"/>
      <c r="F1077" s="317" t="s">
        <v>39</v>
      </c>
      <c r="G1077" s="308" t="s">
        <v>4354</v>
      </c>
      <c r="H1077" s="308" t="s">
        <v>4359</v>
      </c>
      <c r="I1077" s="310">
        <v>41330.0</v>
      </c>
      <c r="J1077" s="308">
        <f>IFERROR(__xludf.DUMMYFUNCTION("SPLIT(I1077,""/"")"),25.0)</f>
        <v>25</v>
      </c>
      <c r="K1077" s="308">
        <f>IFERROR(__xludf.DUMMYFUNCTION("""COMPUTED_VALUE"""),2.0)</f>
        <v>2</v>
      </c>
      <c r="L1077" s="308">
        <f>IFERROR(__xludf.DUMMYFUNCTION("""COMPUTED_VALUE"""),2013.0)</f>
        <v>2013</v>
      </c>
      <c r="M1077" s="308" t="s">
        <v>4356</v>
      </c>
      <c r="N1077" s="308"/>
      <c r="O1077" s="312" t="s">
        <v>635</v>
      </c>
      <c r="P1077" s="308" t="s">
        <v>35911</v>
      </c>
      <c r="Q1077" s="308"/>
      <c r="R1077" s="308"/>
      <c r="S1077" s="308" t="s">
        <v>81</v>
      </c>
      <c r="T1077" s="311" t="s">
        <v>90</v>
      </c>
      <c r="U1077" s="308"/>
      <c r="V1077" s="312"/>
    </row>
    <row r="1078">
      <c r="A1078" s="308">
        <v>1077.0</v>
      </c>
      <c r="B1078" s="308">
        <v>4290.0</v>
      </c>
      <c r="C1078" s="308">
        <v>1093.0</v>
      </c>
      <c r="D1078" s="308">
        <f>IFERROR(__xludf.DUMMYFUNCTION("SPLIT(C1078,""-"")"),1093.0)</f>
        <v>1093</v>
      </c>
      <c r="E1078" s="311"/>
      <c r="F1078" s="317" t="s">
        <v>39</v>
      </c>
      <c r="G1078" s="308" t="s">
        <v>4354</v>
      </c>
      <c r="H1078" s="308" t="s">
        <v>4361</v>
      </c>
      <c r="I1078" s="310">
        <v>41330.0</v>
      </c>
      <c r="J1078" s="308">
        <f>IFERROR(__xludf.DUMMYFUNCTION("SPLIT(I1078,""/"")"),25.0)</f>
        <v>25</v>
      </c>
      <c r="K1078" s="308">
        <f>IFERROR(__xludf.DUMMYFUNCTION("""COMPUTED_VALUE"""),2.0)</f>
        <v>2</v>
      </c>
      <c r="L1078" s="308">
        <f>IFERROR(__xludf.DUMMYFUNCTION("""COMPUTED_VALUE"""),2013.0)</f>
        <v>2013</v>
      </c>
      <c r="M1078" s="308" t="s">
        <v>4356</v>
      </c>
      <c r="N1078" s="308"/>
      <c r="O1078" s="312" t="s">
        <v>635</v>
      </c>
      <c r="P1078" s="308" t="s">
        <v>35912</v>
      </c>
      <c r="Q1078" s="308"/>
      <c r="R1078" s="308"/>
      <c r="S1078" s="308" t="s">
        <v>81</v>
      </c>
      <c r="T1078" s="311" t="s">
        <v>90</v>
      </c>
      <c r="U1078" s="308"/>
      <c r="V1078" s="312"/>
    </row>
    <row r="1079">
      <c r="A1079" s="308">
        <v>1078.0</v>
      </c>
      <c r="B1079" s="308">
        <v>4291.0</v>
      </c>
      <c r="C1079" s="308">
        <v>1094.0</v>
      </c>
      <c r="D1079" s="308">
        <f>IFERROR(__xludf.DUMMYFUNCTION("SPLIT(C1079,""-"")"),1094.0)</f>
        <v>1094</v>
      </c>
      <c r="E1079" s="311"/>
      <c r="F1079" s="317" t="s">
        <v>39</v>
      </c>
      <c r="G1079" s="308" t="s">
        <v>4354</v>
      </c>
      <c r="H1079" s="308" t="s">
        <v>4363</v>
      </c>
      <c r="I1079" s="310">
        <v>41330.0</v>
      </c>
      <c r="J1079" s="308">
        <f>IFERROR(__xludf.DUMMYFUNCTION("SPLIT(I1079,""/"")"),25.0)</f>
        <v>25</v>
      </c>
      <c r="K1079" s="308">
        <f>IFERROR(__xludf.DUMMYFUNCTION("""COMPUTED_VALUE"""),2.0)</f>
        <v>2</v>
      </c>
      <c r="L1079" s="308">
        <f>IFERROR(__xludf.DUMMYFUNCTION("""COMPUTED_VALUE"""),2013.0)</f>
        <v>2013</v>
      </c>
      <c r="M1079" s="308" t="s">
        <v>4356</v>
      </c>
      <c r="N1079" s="308"/>
      <c r="O1079" s="312" t="s">
        <v>635</v>
      </c>
      <c r="P1079" s="308" t="s">
        <v>35913</v>
      </c>
      <c r="Q1079" s="308"/>
      <c r="R1079" s="308"/>
      <c r="S1079" s="308" t="s">
        <v>81</v>
      </c>
      <c r="T1079" s="311" t="s">
        <v>90</v>
      </c>
      <c r="U1079" s="308"/>
      <c r="V1079" s="312"/>
    </row>
    <row r="1080">
      <c r="A1080" s="308">
        <v>1079.0</v>
      </c>
      <c r="B1080" s="308">
        <v>4292.0</v>
      </c>
      <c r="C1080" s="308">
        <v>1095.0</v>
      </c>
      <c r="D1080" s="308">
        <f>IFERROR(__xludf.DUMMYFUNCTION("SPLIT(C1080,""-"")"),1095.0)</f>
        <v>1095</v>
      </c>
      <c r="E1080" s="311"/>
      <c r="F1080" s="317" t="s">
        <v>39</v>
      </c>
      <c r="G1080" s="308" t="s">
        <v>4354</v>
      </c>
      <c r="H1080" s="308" t="s">
        <v>4365</v>
      </c>
      <c r="I1080" s="310">
        <v>41330.0</v>
      </c>
      <c r="J1080" s="308">
        <f>IFERROR(__xludf.DUMMYFUNCTION("SPLIT(I1080,""/"")"),25.0)</f>
        <v>25</v>
      </c>
      <c r="K1080" s="308">
        <f>IFERROR(__xludf.DUMMYFUNCTION("""COMPUTED_VALUE"""),2.0)</f>
        <v>2</v>
      </c>
      <c r="L1080" s="308">
        <f>IFERROR(__xludf.DUMMYFUNCTION("""COMPUTED_VALUE"""),2013.0)</f>
        <v>2013</v>
      </c>
      <c r="M1080" s="308" t="s">
        <v>4356</v>
      </c>
      <c r="N1080" s="308"/>
      <c r="O1080" s="312" t="s">
        <v>635</v>
      </c>
      <c r="P1080" s="308" t="s">
        <v>35914</v>
      </c>
      <c r="Q1080" s="308"/>
      <c r="R1080" s="308"/>
      <c r="S1080" s="308" t="s">
        <v>81</v>
      </c>
      <c r="T1080" s="311" t="s">
        <v>90</v>
      </c>
      <c r="U1080" s="308"/>
      <c r="V1080" s="312"/>
    </row>
    <row r="1081">
      <c r="A1081" s="308">
        <v>1080.0</v>
      </c>
      <c r="B1081" s="308">
        <v>4293.0</v>
      </c>
      <c r="C1081" s="308">
        <v>1096.0</v>
      </c>
      <c r="D1081" s="308">
        <f>IFERROR(__xludf.DUMMYFUNCTION("SPLIT(C1081,""-"")"),1096.0)</f>
        <v>1096</v>
      </c>
      <c r="E1081" s="311"/>
      <c r="F1081" s="317" t="s">
        <v>39</v>
      </c>
      <c r="G1081" s="308" t="s">
        <v>4354</v>
      </c>
      <c r="H1081" s="308" t="s">
        <v>4367</v>
      </c>
      <c r="I1081" s="310">
        <v>41330.0</v>
      </c>
      <c r="J1081" s="308">
        <f>IFERROR(__xludf.DUMMYFUNCTION("SPLIT(I1081,""/"")"),25.0)</f>
        <v>25</v>
      </c>
      <c r="K1081" s="308">
        <f>IFERROR(__xludf.DUMMYFUNCTION("""COMPUTED_VALUE"""),2.0)</f>
        <v>2</v>
      </c>
      <c r="L1081" s="308">
        <f>IFERROR(__xludf.DUMMYFUNCTION("""COMPUTED_VALUE"""),2013.0)</f>
        <v>2013</v>
      </c>
      <c r="M1081" s="308" t="s">
        <v>4356</v>
      </c>
      <c r="N1081" s="308"/>
      <c r="O1081" s="312" t="s">
        <v>635</v>
      </c>
      <c r="P1081" s="308" t="s">
        <v>35915</v>
      </c>
      <c r="Q1081" s="308"/>
      <c r="R1081" s="308"/>
      <c r="S1081" s="308" t="s">
        <v>81</v>
      </c>
      <c r="T1081" s="311" t="s">
        <v>90</v>
      </c>
      <c r="U1081" s="308"/>
      <c r="V1081" s="312"/>
    </row>
    <row r="1082">
      <c r="A1082" s="308">
        <v>1081.0</v>
      </c>
      <c r="B1082" s="308">
        <v>4294.0</v>
      </c>
      <c r="C1082" s="308">
        <v>1097.0</v>
      </c>
      <c r="D1082" s="308">
        <f>IFERROR(__xludf.DUMMYFUNCTION("SPLIT(C1082,""-"")"),1097.0)</f>
        <v>1097</v>
      </c>
      <c r="E1082" s="311"/>
      <c r="F1082" s="317" t="s">
        <v>39</v>
      </c>
      <c r="G1082" s="308" t="s">
        <v>4354</v>
      </c>
      <c r="H1082" s="308" t="s">
        <v>4369</v>
      </c>
      <c r="I1082" s="310">
        <v>41330.0</v>
      </c>
      <c r="J1082" s="308">
        <f>IFERROR(__xludf.DUMMYFUNCTION("SPLIT(I1082,""/"")"),25.0)</f>
        <v>25</v>
      </c>
      <c r="K1082" s="308">
        <f>IFERROR(__xludf.DUMMYFUNCTION("""COMPUTED_VALUE"""),2.0)</f>
        <v>2</v>
      </c>
      <c r="L1082" s="308">
        <f>IFERROR(__xludf.DUMMYFUNCTION("""COMPUTED_VALUE"""),2013.0)</f>
        <v>2013</v>
      </c>
      <c r="M1082" s="308" t="s">
        <v>4356</v>
      </c>
      <c r="N1082" s="308"/>
      <c r="O1082" s="312" t="s">
        <v>635</v>
      </c>
      <c r="P1082" s="308" t="s">
        <v>35916</v>
      </c>
      <c r="Q1082" s="308"/>
      <c r="R1082" s="308"/>
      <c r="S1082" s="308" t="s">
        <v>81</v>
      </c>
      <c r="T1082" s="311" t="s">
        <v>90</v>
      </c>
      <c r="U1082" s="308"/>
      <c r="V1082" s="312"/>
    </row>
    <row r="1083">
      <c r="A1083" s="308">
        <v>1082.0</v>
      </c>
      <c r="B1083" s="308">
        <v>4295.0</v>
      </c>
      <c r="C1083" s="308">
        <v>1098.0</v>
      </c>
      <c r="D1083" s="308">
        <f>IFERROR(__xludf.DUMMYFUNCTION("SPLIT(C1083,""-"")"),1098.0)</f>
        <v>1098</v>
      </c>
      <c r="E1083" s="311"/>
      <c r="F1083" s="317" t="s">
        <v>39</v>
      </c>
      <c r="G1083" s="308" t="s">
        <v>4354</v>
      </c>
      <c r="H1083" s="308" t="s">
        <v>4371</v>
      </c>
      <c r="I1083" s="310">
        <v>41330.0</v>
      </c>
      <c r="J1083" s="308">
        <f>IFERROR(__xludf.DUMMYFUNCTION("SPLIT(I1083,""/"")"),25.0)</f>
        <v>25</v>
      </c>
      <c r="K1083" s="308">
        <f>IFERROR(__xludf.DUMMYFUNCTION("""COMPUTED_VALUE"""),2.0)</f>
        <v>2</v>
      </c>
      <c r="L1083" s="308">
        <f>IFERROR(__xludf.DUMMYFUNCTION("""COMPUTED_VALUE"""),2013.0)</f>
        <v>2013</v>
      </c>
      <c r="M1083" s="308" t="s">
        <v>4356</v>
      </c>
      <c r="N1083" s="308"/>
      <c r="O1083" s="312" t="s">
        <v>635</v>
      </c>
      <c r="P1083" s="308" t="s">
        <v>35917</v>
      </c>
      <c r="Q1083" s="308"/>
      <c r="R1083" s="308"/>
      <c r="S1083" s="308" t="s">
        <v>81</v>
      </c>
      <c r="T1083" s="311" t="s">
        <v>90</v>
      </c>
      <c r="U1083" s="308"/>
      <c r="V1083" s="312"/>
    </row>
    <row r="1084">
      <c r="A1084" s="308">
        <v>1083.0</v>
      </c>
      <c r="B1084" s="308">
        <v>4296.0</v>
      </c>
      <c r="C1084" s="308">
        <v>1099.0</v>
      </c>
      <c r="D1084" s="308">
        <f>IFERROR(__xludf.DUMMYFUNCTION("SPLIT(C1084,""-"")"),1099.0)</f>
        <v>1099</v>
      </c>
      <c r="E1084" s="311"/>
      <c r="F1084" s="317" t="s">
        <v>39</v>
      </c>
      <c r="G1084" s="308" t="s">
        <v>4354</v>
      </c>
      <c r="H1084" s="308" t="s">
        <v>4373</v>
      </c>
      <c r="I1084" s="310">
        <v>41330.0</v>
      </c>
      <c r="J1084" s="308">
        <f>IFERROR(__xludf.DUMMYFUNCTION("SPLIT(I1084,""/"")"),25.0)</f>
        <v>25</v>
      </c>
      <c r="K1084" s="308">
        <f>IFERROR(__xludf.DUMMYFUNCTION("""COMPUTED_VALUE"""),2.0)</f>
        <v>2</v>
      </c>
      <c r="L1084" s="308">
        <f>IFERROR(__xludf.DUMMYFUNCTION("""COMPUTED_VALUE"""),2013.0)</f>
        <v>2013</v>
      </c>
      <c r="M1084" s="308" t="s">
        <v>4356</v>
      </c>
      <c r="N1084" s="308"/>
      <c r="O1084" s="312" t="s">
        <v>635</v>
      </c>
      <c r="P1084" s="308" t="s">
        <v>35918</v>
      </c>
      <c r="Q1084" s="308"/>
      <c r="R1084" s="308"/>
      <c r="S1084" s="308" t="s">
        <v>81</v>
      </c>
      <c r="T1084" s="311" t="s">
        <v>90</v>
      </c>
      <c r="U1084" s="308"/>
      <c r="V1084" s="312"/>
    </row>
    <row r="1085">
      <c r="A1085" s="308">
        <v>1084.0</v>
      </c>
      <c r="B1085" s="308">
        <v>4297.0</v>
      </c>
      <c r="C1085" s="308">
        <v>1100.0</v>
      </c>
      <c r="D1085" s="308">
        <f>IFERROR(__xludf.DUMMYFUNCTION("SPLIT(C1085,""-"")"),1100.0)</f>
        <v>1100</v>
      </c>
      <c r="E1085" s="311"/>
      <c r="F1085" s="317" t="s">
        <v>39</v>
      </c>
      <c r="G1085" s="308" t="s">
        <v>4354</v>
      </c>
      <c r="H1085" s="308" t="s">
        <v>4375</v>
      </c>
      <c r="I1085" s="310">
        <v>41330.0</v>
      </c>
      <c r="J1085" s="308">
        <f>IFERROR(__xludf.DUMMYFUNCTION("SPLIT(I1085,""/"")"),25.0)</f>
        <v>25</v>
      </c>
      <c r="K1085" s="308">
        <f>IFERROR(__xludf.DUMMYFUNCTION("""COMPUTED_VALUE"""),2.0)</f>
        <v>2</v>
      </c>
      <c r="L1085" s="308">
        <f>IFERROR(__xludf.DUMMYFUNCTION("""COMPUTED_VALUE"""),2013.0)</f>
        <v>2013</v>
      </c>
      <c r="M1085" s="308" t="s">
        <v>4356</v>
      </c>
      <c r="N1085" s="308"/>
      <c r="O1085" s="312" t="s">
        <v>635</v>
      </c>
      <c r="P1085" s="308" t="s">
        <v>35919</v>
      </c>
      <c r="Q1085" s="308"/>
      <c r="R1085" s="308"/>
      <c r="S1085" s="308" t="s">
        <v>81</v>
      </c>
      <c r="T1085" s="311" t="s">
        <v>35920</v>
      </c>
      <c r="U1085" s="308"/>
      <c r="V1085" s="312"/>
    </row>
    <row r="1086">
      <c r="A1086" s="308">
        <v>1085.0</v>
      </c>
      <c r="B1086" s="308">
        <v>4298.0</v>
      </c>
      <c r="C1086" s="308">
        <v>1101.0</v>
      </c>
      <c r="D1086" s="308">
        <f>IFERROR(__xludf.DUMMYFUNCTION("SPLIT(C1086,""-"")"),1101.0)</f>
        <v>1101</v>
      </c>
      <c r="E1086" s="311"/>
      <c r="F1086" s="317" t="s">
        <v>39</v>
      </c>
      <c r="G1086" s="308" t="s">
        <v>4354</v>
      </c>
      <c r="H1086" s="308" t="s">
        <v>4377</v>
      </c>
      <c r="I1086" s="310">
        <v>41330.0</v>
      </c>
      <c r="J1086" s="308">
        <f>IFERROR(__xludf.DUMMYFUNCTION("SPLIT(I1086,""/"")"),25.0)</f>
        <v>25</v>
      </c>
      <c r="K1086" s="308">
        <f>IFERROR(__xludf.DUMMYFUNCTION("""COMPUTED_VALUE"""),2.0)</f>
        <v>2</v>
      </c>
      <c r="L1086" s="308">
        <f>IFERROR(__xludf.DUMMYFUNCTION("""COMPUTED_VALUE"""),2013.0)</f>
        <v>2013</v>
      </c>
      <c r="M1086" s="308" t="s">
        <v>4356</v>
      </c>
      <c r="N1086" s="308"/>
      <c r="O1086" s="312" t="s">
        <v>635</v>
      </c>
      <c r="P1086" s="308" t="s">
        <v>4378</v>
      </c>
      <c r="Q1086" s="308"/>
      <c r="R1086" s="308"/>
      <c r="S1086" s="308" t="s">
        <v>81</v>
      </c>
      <c r="T1086" s="311" t="s">
        <v>91</v>
      </c>
      <c r="U1086" s="308"/>
      <c r="V1086" s="312"/>
    </row>
    <row r="1087">
      <c r="A1087" s="308">
        <v>1086.0</v>
      </c>
      <c r="B1087" s="308">
        <v>4299.0</v>
      </c>
      <c r="C1087" s="308">
        <v>1102.0</v>
      </c>
      <c r="D1087" s="308">
        <f>IFERROR(__xludf.DUMMYFUNCTION("SPLIT(C1087,""-"")"),1102.0)</f>
        <v>1102</v>
      </c>
      <c r="E1087" s="311"/>
      <c r="F1087" s="317" t="s">
        <v>39</v>
      </c>
      <c r="G1087" s="308" t="s">
        <v>4354</v>
      </c>
      <c r="H1087" s="308" t="s">
        <v>4379</v>
      </c>
      <c r="I1087" s="310">
        <v>41330.0</v>
      </c>
      <c r="J1087" s="308">
        <f>IFERROR(__xludf.DUMMYFUNCTION("SPLIT(I1087,""/"")"),25.0)</f>
        <v>25</v>
      </c>
      <c r="K1087" s="308">
        <f>IFERROR(__xludf.DUMMYFUNCTION("""COMPUTED_VALUE"""),2.0)</f>
        <v>2</v>
      </c>
      <c r="L1087" s="308">
        <f>IFERROR(__xludf.DUMMYFUNCTION("""COMPUTED_VALUE"""),2013.0)</f>
        <v>2013</v>
      </c>
      <c r="M1087" s="308" t="s">
        <v>4356</v>
      </c>
      <c r="N1087" s="308"/>
      <c r="O1087" s="312" t="s">
        <v>635</v>
      </c>
      <c r="P1087" s="308" t="s">
        <v>35921</v>
      </c>
      <c r="Q1087" s="308"/>
      <c r="R1087" s="308"/>
      <c r="S1087" s="308" t="s">
        <v>81</v>
      </c>
      <c r="T1087" s="311" t="s">
        <v>35920</v>
      </c>
      <c r="U1087" s="308"/>
      <c r="V1087" s="312"/>
    </row>
    <row r="1088">
      <c r="A1088" s="308">
        <v>1087.0</v>
      </c>
      <c r="B1088" s="308">
        <v>4300.0</v>
      </c>
      <c r="C1088" s="308">
        <v>1103.0</v>
      </c>
      <c r="D1088" s="308">
        <f>IFERROR(__xludf.DUMMYFUNCTION("SPLIT(C1088,""-"")"),1103.0)</f>
        <v>1103</v>
      </c>
      <c r="E1088" s="311"/>
      <c r="F1088" s="317" t="s">
        <v>39</v>
      </c>
      <c r="G1088" s="308" t="s">
        <v>4354</v>
      </c>
      <c r="H1088" s="308" t="s">
        <v>4381</v>
      </c>
      <c r="I1088" s="310">
        <v>41330.0</v>
      </c>
      <c r="J1088" s="308">
        <f>IFERROR(__xludf.DUMMYFUNCTION("SPLIT(I1088,""/"")"),25.0)</f>
        <v>25</v>
      </c>
      <c r="K1088" s="308">
        <f>IFERROR(__xludf.DUMMYFUNCTION("""COMPUTED_VALUE"""),2.0)</f>
        <v>2</v>
      </c>
      <c r="L1088" s="308">
        <f>IFERROR(__xludf.DUMMYFUNCTION("""COMPUTED_VALUE"""),2013.0)</f>
        <v>2013</v>
      </c>
      <c r="M1088" s="308" t="s">
        <v>4356</v>
      </c>
      <c r="N1088" s="308"/>
      <c r="O1088" s="312" t="s">
        <v>635</v>
      </c>
      <c r="P1088" s="308" t="s">
        <v>35922</v>
      </c>
      <c r="Q1088" s="308"/>
      <c r="R1088" s="308"/>
      <c r="S1088" s="308" t="s">
        <v>81</v>
      </c>
      <c r="T1088" s="311" t="s">
        <v>35920</v>
      </c>
      <c r="U1088" s="308"/>
      <c r="V1088" s="312"/>
    </row>
    <row r="1089">
      <c r="A1089" s="308">
        <v>1088.0</v>
      </c>
      <c r="B1089" s="308">
        <v>4301.0</v>
      </c>
      <c r="C1089" s="308">
        <v>1104.0</v>
      </c>
      <c r="D1089" s="308">
        <f>IFERROR(__xludf.DUMMYFUNCTION("SPLIT(C1089,""-"")"),1104.0)</f>
        <v>1104</v>
      </c>
      <c r="E1089" s="311"/>
      <c r="F1089" s="317" t="s">
        <v>39</v>
      </c>
      <c r="G1089" s="308" t="s">
        <v>4354</v>
      </c>
      <c r="H1089" s="308" t="s">
        <v>4383</v>
      </c>
      <c r="I1089" s="310">
        <v>41330.0</v>
      </c>
      <c r="J1089" s="308">
        <f>IFERROR(__xludf.DUMMYFUNCTION("SPLIT(I1089,""/"")"),25.0)</f>
        <v>25</v>
      </c>
      <c r="K1089" s="308">
        <f>IFERROR(__xludf.DUMMYFUNCTION("""COMPUTED_VALUE"""),2.0)</f>
        <v>2</v>
      </c>
      <c r="L1089" s="308">
        <f>IFERROR(__xludf.DUMMYFUNCTION("""COMPUTED_VALUE"""),2013.0)</f>
        <v>2013</v>
      </c>
      <c r="M1089" s="308" t="s">
        <v>4356</v>
      </c>
      <c r="N1089" s="308"/>
      <c r="O1089" s="312" t="s">
        <v>635</v>
      </c>
      <c r="P1089" s="308" t="s">
        <v>35923</v>
      </c>
      <c r="Q1089" s="308"/>
      <c r="R1089" s="308"/>
      <c r="S1089" s="308" t="s">
        <v>81</v>
      </c>
      <c r="T1089" s="311" t="s">
        <v>35920</v>
      </c>
      <c r="U1089" s="308" t="s">
        <v>166</v>
      </c>
      <c r="V1089" s="312"/>
    </row>
    <row r="1090">
      <c r="A1090" s="308">
        <v>1089.0</v>
      </c>
      <c r="B1090" s="308">
        <v>4302.0</v>
      </c>
      <c r="C1090" s="308">
        <v>1105.0</v>
      </c>
      <c r="D1090" s="308">
        <f>IFERROR(__xludf.DUMMYFUNCTION("SPLIT(C1090,""-"")"),1105.0)</f>
        <v>1105</v>
      </c>
      <c r="E1090" s="311"/>
      <c r="F1090" s="317" t="s">
        <v>39</v>
      </c>
      <c r="G1090" s="308" t="s">
        <v>4354</v>
      </c>
      <c r="H1090" s="308" t="s">
        <v>4385</v>
      </c>
      <c r="I1090" s="310">
        <v>41330.0</v>
      </c>
      <c r="J1090" s="308">
        <f>IFERROR(__xludf.DUMMYFUNCTION("SPLIT(I1090,""/"")"),25.0)</f>
        <v>25</v>
      </c>
      <c r="K1090" s="308">
        <f>IFERROR(__xludf.DUMMYFUNCTION("""COMPUTED_VALUE"""),2.0)</f>
        <v>2</v>
      </c>
      <c r="L1090" s="308">
        <f>IFERROR(__xludf.DUMMYFUNCTION("""COMPUTED_VALUE"""),2013.0)</f>
        <v>2013</v>
      </c>
      <c r="M1090" s="308" t="s">
        <v>4356</v>
      </c>
      <c r="N1090" s="308"/>
      <c r="O1090" s="312" t="s">
        <v>635</v>
      </c>
      <c r="P1090" s="308" t="s">
        <v>35924</v>
      </c>
      <c r="Q1090" s="308"/>
      <c r="R1090" s="308"/>
      <c r="S1090" s="308" t="s">
        <v>81</v>
      </c>
      <c r="T1090" s="311" t="s">
        <v>35920</v>
      </c>
      <c r="U1090" s="308" t="s">
        <v>166</v>
      </c>
      <c r="V1090" s="312"/>
    </row>
    <row r="1091">
      <c r="A1091" s="308">
        <v>1090.0</v>
      </c>
      <c r="B1091" s="308">
        <v>4303.0</v>
      </c>
      <c r="C1091" s="308">
        <v>1106.0</v>
      </c>
      <c r="D1091" s="308">
        <f>IFERROR(__xludf.DUMMYFUNCTION("SPLIT(C1091,""-"")"),1106.0)</f>
        <v>1106</v>
      </c>
      <c r="E1091" s="311"/>
      <c r="F1091" s="317" t="s">
        <v>39</v>
      </c>
      <c r="G1091" s="308" t="s">
        <v>4354</v>
      </c>
      <c r="H1091" s="308" t="s">
        <v>4387</v>
      </c>
      <c r="I1091" s="310">
        <v>41330.0</v>
      </c>
      <c r="J1091" s="308">
        <f>IFERROR(__xludf.DUMMYFUNCTION("SPLIT(I1091,""/"")"),25.0)</f>
        <v>25</v>
      </c>
      <c r="K1091" s="308">
        <f>IFERROR(__xludf.DUMMYFUNCTION("""COMPUTED_VALUE"""),2.0)</f>
        <v>2</v>
      </c>
      <c r="L1091" s="308">
        <f>IFERROR(__xludf.DUMMYFUNCTION("""COMPUTED_VALUE"""),2013.0)</f>
        <v>2013</v>
      </c>
      <c r="M1091" s="308" t="s">
        <v>4356</v>
      </c>
      <c r="N1091" s="308"/>
      <c r="O1091" s="312" t="s">
        <v>635</v>
      </c>
      <c r="P1091" s="308" t="s">
        <v>4388</v>
      </c>
      <c r="Q1091" s="308"/>
      <c r="R1091" s="308"/>
      <c r="S1091" s="308" t="s">
        <v>81</v>
      </c>
      <c r="T1091" s="311" t="s">
        <v>75</v>
      </c>
      <c r="U1091" s="308"/>
      <c r="V1091" s="312"/>
    </row>
    <row r="1092">
      <c r="A1092" s="308">
        <v>1091.0</v>
      </c>
      <c r="B1092" s="308">
        <v>4304.0</v>
      </c>
      <c r="C1092" s="308">
        <v>1107.0</v>
      </c>
      <c r="D1092" s="308">
        <f>IFERROR(__xludf.DUMMYFUNCTION("SPLIT(C1092,""-"")"),1107.0)</f>
        <v>1107</v>
      </c>
      <c r="E1092" s="311"/>
      <c r="F1092" s="317" t="s">
        <v>39</v>
      </c>
      <c r="G1092" s="308" t="s">
        <v>4354</v>
      </c>
      <c r="H1092" s="308" t="s">
        <v>4389</v>
      </c>
      <c r="I1092" s="310">
        <v>41330.0</v>
      </c>
      <c r="J1092" s="308">
        <f>IFERROR(__xludf.DUMMYFUNCTION("SPLIT(I1092,""/"")"),25.0)</f>
        <v>25</v>
      </c>
      <c r="K1092" s="308">
        <f>IFERROR(__xludf.DUMMYFUNCTION("""COMPUTED_VALUE"""),2.0)</f>
        <v>2</v>
      </c>
      <c r="L1092" s="308">
        <f>IFERROR(__xludf.DUMMYFUNCTION("""COMPUTED_VALUE"""),2013.0)</f>
        <v>2013</v>
      </c>
      <c r="M1092" s="308" t="s">
        <v>4356</v>
      </c>
      <c r="N1092" s="308"/>
      <c r="O1092" s="312" t="s">
        <v>635</v>
      </c>
      <c r="P1092" s="308" t="s">
        <v>4390</v>
      </c>
      <c r="Q1092" s="308"/>
      <c r="R1092" s="308"/>
      <c r="S1092" s="308" t="s">
        <v>81</v>
      </c>
      <c r="T1092" s="308" t="s">
        <v>75</v>
      </c>
      <c r="U1092" s="308"/>
      <c r="V1092" s="312"/>
    </row>
    <row r="1093">
      <c r="A1093" s="308">
        <v>1092.0</v>
      </c>
      <c r="B1093" s="308">
        <v>4305.0</v>
      </c>
      <c r="C1093" s="308">
        <v>1108.0</v>
      </c>
      <c r="D1093" s="308">
        <f>IFERROR(__xludf.DUMMYFUNCTION("SPLIT(C1093,""-"")"),1108.0)</f>
        <v>1108</v>
      </c>
      <c r="E1093" s="311"/>
      <c r="F1093" s="309" t="s">
        <v>26</v>
      </c>
      <c r="G1093" s="308"/>
      <c r="H1093" s="308" t="s">
        <v>4391</v>
      </c>
      <c r="I1093" s="310">
        <v>41097.0</v>
      </c>
      <c r="J1093" s="308">
        <f>IFERROR(__xludf.DUMMYFUNCTION("SPLIT(I1093,""/"")"),7.0)</f>
        <v>7</v>
      </c>
      <c r="K1093" s="308">
        <f>IFERROR(__xludf.DUMMYFUNCTION("""COMPUTED_VALUE"""),7.0)</f>
        <v>7</v>
      </c>
      <c r="L1093" s="308">
        <f>IFERROR(__xludf.DUMMYFUNCTION("""COMPUTED_VALUE"""),2012.0)</f>
        <v>2012</v>
      </c>
      <c r="M1093" s="308" t="s">
        <v>4392</v>
      </c>
      <c r="N1093" s="308"/>
      <c r="O1093" s="312" t="s">
        <v>4393</v>
      </c>
      <c r="P1093" s="308" t="s">
        <v>4394</v>
      </c>
      <c r="Q1093" s="308"/>
      <c r="R1093" s="308"/>
      <c r="S1093" s="308" t="s">
        <v>49</v>
      </c>
      <c r="T1093" s="308" t="s">
        <v>51</v>
      </c>
      <c r="U1093" s="308" t="s">
        <v>27</v>
      </c>
      <c r="V1093" s="312"/>
    </row>
    <row r="1094">
      <c r="A1094" s="308">
        <v>1093.0</v>
      </c>
      <c r="B1094" s="308">
        <v>4306.0</v>
      </c>
      <c r="C1094" s="308">
        <v>1109.0</v>
      </c>
      <c r="D1094" s="308">
        <f>IFERROR(__xludf.DUMMYFUNCTION("SPLIT(C1094,""-"")"),1109.0)</f>
        <v>1109</v>
      </c>
      <c r="E1094" s="311"/>
      <c r="F1094" s="317" t="s">
        <v>37</v>
      </c>
      <c r="G1094" s="308"/>
      <c r="H1094" s="308" t="s">
        <v>4395</v>
      </c>
      <c r="I1094" s="310">
        <v>40616.0</v>
      </c>
      <c r="J1094" s="308">
        <f>IFERROR(__xludf.DUMMYFUNCTION("SPLIT(I1094,""/"")"),14.0)</f>
        <v>14</v>
      </c>
      <c r="K1094" s="308">
        <f>IFERROR(__xludf.DUMMYFUNCTION("""COMPUTED_VALUE"""),3.0)</f>
        <v>3</v>
      </c>
      <c r="L1094" s="308">
        <f>IFERROR(__xludf.DUMMYFUNCTION("""COMPUTED_VALUE"""),2011.0)</f>
        <v>2011</v>
      </c>
      <c r="M1094" s="308" t="s">
        <v>4396</v>
      </c>
      <c r="N1094" s="308"/>
      <c r="O1094" s="312" t="s">
        <v>4397</v>
      </c>
      <c r="P1094" s="308" t="s">
        <v>3390</v>
      </c>
      <c r="Q1094" s="308"/>
      <c r="R1094" s="308"/>
      <c r="S1094" s="315" t="s">
        <v>100</v>
      </c>
      <c r="T1094" s="311" t="s">
        <v>34208</v>
      </c>
      <c r="U1094" s="308" t="s">
        <v>3391</v>
      </c>
      <c r="V1094" s="312"/>
    </row>
    <row r="1095">
      <c r="A1095" s="308">
        <v>1094.0</v>
      </c>
      <c r="B1095" s="308">
        <v>4307.0</v>
      </c>
      <c r="C1095" s="308">
        <v>1110.0</v>
      </c>
      <c r="D1095" s="308">
        <f>IFERROR(__xludf.DUMMYFUNCTION("SPLIT(C1095,""-"")"),1110.0)</f>
        <v>1110</v>
      </c>
      <c r="E1095" s="311"/>
      <c r="F1095" s="317" t="s">
        <v>39</v>
      </c>
      <c r="G1095" s="308" t="s">
        <v>4398</v>
      </c>
      <c r="H1095" s="308" t="s">
        <v>4399</v>
      </c>
      <c r="I1095" s="310">
        <v>41327.0</v>
      </c>
      <c r="J1095" s="308">
        <f>IFERROR(__xludf.DUMMYFUNCTION("SPLIT(I1095,""/"")"),22.0)</f>
        <v>22</v>
      </c>
      <c r="K1095" s="308">
        <f>IFERROR(__xludf.DUMMYFUNCTION("""COMPUTED_VALUE"""),2.0)</f>
        <v>2</v>
      </c>
      <c r="L1095" s="308">
        <f>IFERROR(__xludf.DUMMYFUNCTION("""COMPUTED_VALUE"""),2013.0)</f>
        <v>2013</v>
      </c>
      <c r="M1095" s="308" t="s">
        <v>4400</v>
      </c>
      <c r="N1095" s="308"/>
      <c r="O1095" s="312" t="s">
        <v>4401</v>
      </c>
      <c r="P1095" s="308" t="s">
        <v>35925</v>
      </c>
      <c r="Q1095" s="308"/>
      <c r="R1095" s="308"/>
      <c r="S1095" s="308" t="s">
        <v>49</v>
      </c>
      <c r="T1095" s="311" t="s">
        <v>51</v>
      </c>
      <c r="U1095" s="308" t="s">
        <v>166</v>
      </c>
      <c r="V1095" s="312"/>
    </row>
    <row r="1096">
      <c r="A1096" s="308">
        <v>1095.0</v>
      </c>
      <c r="B1096" s="308">
        <v>4308.0</v>
      </c>
      <c r="C1096" s="308">
        <v>1111.0</v>
      </c>
      <c r="D1096" s="308">
        <f>IFERROR(__xludf.DUMMYFUNCTION("SPLIT(C1096,""-"")"),1111.0)</f>
        <v>1111</v>
      </c>
      <c r="E1096" s="311"/>
      <c r="F1096" s="317" t="s">
        <v>37</v>
      </c>
      <c r="G1096" s="308"/>
      <c r="H1096" s="308" t="s">
        <v>4403</v>
      </c>
      <c r="I1096" s="310">
        <v>41250.0</v>
      </c>
      <c r="J1096" s="308">
        <f>IFERROR(__xludf.DUMMYFUNCTION("SPLIT(I1096,""/"")"),7.0)</f>
        <v>7</v>
      </c>
      <c r="K1096" s="308">
        <f>IFERROR(__xludf.DUMMYFUNCTION("""COMPUTED_VALUE"""),12.0)</f>
        <v>12</v>
      </c>
      <c r="L1096" s="308">
        <f>IFERROR(__xludf.DUMMYFUNCTION("""COMPUTED_VALUE"""),2012.0)</f>
        <v>2012</v>
      </c>
      <c r="M1096" s="308" t="s">
        <v>4404</v>
      </c>
      <c r="N1096" s="308"/>
      <c r="O1096" s="312"/>
      <c r="P1096" s="308" t="s">
        <v>124</v>
      </c>
      <c r="Q1096" s="308"/>
      <c r="R1096" s="308"/>
      <c r="S1096" s="308" t="s">
        <v>81</v>
      </c>
      <c r="T1096" s="308" t="s">
        <v>35048</v>
      </c>
      <c r="U1096" s="308"/>
      <c r="V1096" s="312"/>
    </row>
    <row r="1097">
      <c r="A1097" s="308">
        <v>1096.0</v>
      </c>
      <c r="B1097" s="308">
        <v>4309.0</v>
      </c>
      <c r="C1097" s="308">
        <v>1112.0</v>
      </c>
      <c r="D1097" s="308">
        <f>IFERROR(__xludf.DUMMYFUNCTION("SPLIT(C1097,""-"")"),1112.0)</f>
        <v>1112</v>
      </c>
      <c r="E1097" s="311"/>
      <c r="F1097" s="309" t="s">
        <v>34</v>
      </c>
      <c r="G1097" s="308" t="s">
        <v>4405</v>
      </c>
      <c r="H1097" s="308" t="s">
        <v>4406</v>
      </c>
      <c r="I1097" s="310">
        <v>40023.0</v>
      </c>
      <c r="J1097" s="308">
        <f>IFERROR(__xludf.DUMMYFUNCTION("SPLIT(I1097,""/"")"),29.0)</f>
        <v>29</v>
      </c>
      <c r="K1097" s="308">
        <f>IFERROR(__xludf.DUMMYFUNCTION("""COMPUTED_VALUE"""),7.0)</f>
        <v>7</v>
      </c>
      <c r="L1097" s="308">
        <f>IFERROR(__xludf.DUMMYFUNCTION("""COMPUTED_VALUE"""),2009.0)</f>
        <v>2009</v>
      </c>
      <c r="M1097" s="308" t="s">
        <v>4407</v>
      </c>
      <c r="N1097" s="308"/>
      <c r="O1097" s="312" t="s">
        <v>35926</v>
      </c>
      <c r="P1097" s="308" t="s">
        <v>1971</v>
      </c>
      <c r="Q1097" s="308"/>
      <c r="R1097" s="308"/>
      <c r="S1097" s="315" t="s">
        <v>100</v>
      </c>
      <c r="T1097" s="311" t="s">
        <v>34208</v>
      </c>
      <c r="U1097" s="308" t="s">
        <v>530</v>
      </c>
      <c r="V1097" s="312"/>
    </row>
    <row r="1098">
      <c r="A1098" s="308">
        <v>1097.0</v>
      </c>
      <c r="B1098" s="308">
        <v>4310.0</v>
      </c>
      <c r="C1098" s="308">
        <v>1113.0</v>
      </c>
      <c r="D1098" s="308">
        <f>IFERROR(__xludf.DUMMYFUNCTION("SPLIT(C1098,""-"")"),1113.0)</f>
        <v>1113</v>
      </c>
      <c r="E1098" s="311"/>
      <c r="F1098" s="309" t="s">
        <v>34</v>
      </c>
      <c r="G1098" s="308" t="s">
        <v>4409</v>
      </c>
      <c r="H1098" s="308" t="s">
        <v>4410</v>
      </c>
      <c r="I1098" s="310">
        <v>40360.0</v>
      </c>
      <c r="J1098" s="308">
        <f>IFERROR(__xludf.DUMMYFUNCTION("SPLIT(I1098,""/"")"),1.0)</f>
        <v>1</v>
      </c>
      <c r="K1098" s="308">
        <f>IFERROR(__xludf.DUMMYFUNCTION("""COMPUTED_VALUE"""),7.0)</f>
        <v>7</v>
      </c>
      <c r="L1098" s="308">
        <f>IFERROR(__xludf.DUMMYFUNCTION("""COMPUTED_VALUE"""),2010.0)</f>
        <v>2010</v>
      </c>
      <c r="M1098" s="308" t="s">
        <v>4411</v>
      </c>
      <c r="N1098" s="308"/>
      <c r="O1098" s="312"/>
      <c r="P1098" s="308" t="s">
        <v>4412</v>
      </c>
      <c r="Q1098" s="308"/>
      <c r="R1098" s="308"/>
      <c r="S1098" s="308" t="s">
        <v>81</v>
      </c>
      <c r="T1098" s="308" t="s">
        <v>34264</v>
      </c>
      <c r="U1098" s="308"/>
      <c r="V1098" s="312"/>
    </row>
    <row r="1099">
      <c r="A1099" s="308">
        <v>1098.0</v>
      </c>
      <c r="B1099" s="308">
        <v>4311.0</v>
      </c>
      <c r="C1099" s="308">
        <v>1114.0</v>
      </c>
      <c r="D1099" s="308">
        <f>IFERROR(__xludf.DUMMYFUNCTION("SPLIT(C1099,""-"")"),1114.0)</f>
        <v>1114</v>
      </c>
      <c r="E1099" s="311"/>
      <c r="F1099" s="317" t="s">
        <v>39</v>
      </c>
      <c r="G1099" s="308" t="s">
        <v>4413</v>
      </c>
      <c r="H1099" s="308" t="s">
        <v>35927</v>
      </c>
      <c r="I1099" s="310">
        <v>41358.0</v>
      </c>
      <c r="J1099" s="308">
        <f>IFERROR(__xludf.DUMMYFUNCTION("SPLIT(I1099,""/"")"),25.0)</f>
        <v>25</v>
      </c>
      <c r="K1099" s="308">
        <f>IFERROR(__xludf.DUMMYFUNCTION("""COMPUTED_VALUE"""),3.0)</f>
        <v>3</v>
      </c>
      <c r="L1099" s="308">
        <f>IFERROR(__xludf.DUMMYFUNCTION("""COMPUTED_VALUE"""),2013.0)</f>
        <v>2013</v>
      </c>
      <c r="M1099" s="308" t="s">
        <v>4415</v>
      </c>
      <c r="N1099" s="308"/>
      <c r="O1099" s="312"/>
      <c r="P1099" s="308" t="s">
        <v>4416</v>
      </c>
      <c r="Q1099" s="308"/>
      <c r="R1099" s="308"/>
      <c r="S1099" s="308" t="s">
        <v>81</v>
      </c>
      <c r="T1099" s="308" t="s">
        <v>75</v>
      </c>
      <c r="U1099" s="308"/>
      <c r="V1099" s="312"/>
    </row>
    <row r="1100">
      <c r="A1100" s="308">
        <v>1099.0</v>
      </c>
      <c r="B1100" s="308">
        <v>4312.0</v>
      </c>
      <c r="C1100" s="308">
        <v>1115.0</v>
      </c>
      <c r="D1100" s="308">
        <f>IFERROR(__xludf.DUMMYFUNCTION("SPLIT(C1100,""-"")"),1115.0)</f>
        <v>1115</v>
      </c>
      <c r="E1100" s="311"/>
      <c r="F1100" s="317" t="s">
        <v>39</v>
      </c>
      <c r="G1100" s="308" t="s">
        <v>4417</v>
      </c>
      <c r="H1100" s="308" t="s">
        <v>4418</v>
      </c>
      <c r="I1100" s="310">
        <v>41295.0</v>
      </c>
      <c r="J1100" s="308">
        <f>IFERROR(__xludf.DUMMYFUNCTION("SPLIT(I1100,""/"")"),21.0)</f>
        <v>21</v>
      </c>
      <c r="K1100" s="308">
        <f>IFERROR(__xludf.DUMMYFUNCTION("""COMPUTED_VALUE"""),1.0)</f>
        <v>1</v>
      </c>
      <c r="L1100" s="308">
        <f>IFERROR(__xludf.DUMMYFUNCTION("""COMPUTED_VALUE"""),2013.0)</f>
        <v>2013</v>
      </c>
      <c r="M1100" s="308" t="s">
        <v>35928</v>
      </c>
      <c r="N1100" s="308"/>
      <c r="O1100" s="312" t="s">
        <v>635</v>
      </c>
      <c r="P1100" s="308" t="s">
        <v>4420</v>
      </c>
      <c r="Q1100" s="308"/>
      <c r="R1100" s="308"/>
      <c r="S1100" s="308" t="s">
        <v>81</v>
      </c>
      <c r="T1100" s="311" t="s">
        <v>90</v>
      </c>
      <c r="U1100" s="308"/>
      <c r="V1100" s="312"/>
    </row>
    <row r="1101">
      <c r="A1101" s="308">
        <v>1100.0</v>
      </c>
      <c r="B1101" s="308">
        <v>4313.0</v>
      </c>
      <c r="C1101" s="308">
        <v>1116.0</v>
      </c>
      <c r="D1101" s="308">
        <f>IFERROR(__xludf.DUMMYFUNCTION("SPLIT(C1101,""-"")"),1116.0)</f>
        <v>1116</v>
      </c>
      <c r="E1101" s="311"/>
      <c r="F1101" s="317" t="s">
        <v>39</v>
      </c>
      <c r="G1101" s="308" t="s">
        <v>4421</v>
      </c>
      <c r="H1101" s="308" t="s">
        <v>4422</v>
      </c>
      <c r="I1101" s="310">
        <v>41343.0</v>
      </c>
      <c r="J1101" s="308">
        <f>IFERROR(__xludf.DUMMYFUNCTION("SPLIT(I1101,""/"")"),10.0)</f>
        <v>10</v>
      </c>
      <c r="K1101" s="308">
        <f>IFERROR(__xludf.DUMMYFUNCTION("""COMPUTED_VALUE"""),3.0)</f>
        <v>3</v>
      </c>
      <c r="L1101" s="308">
        <f>IFERROR(__xludf.DUMMYFUNCTION("""COMPUTED_VALUE"""),2013.0)</f>
        <v>2013</v>
      </c>
      <c r="M1101" s="308" t="s">
        <v>35929</v>
      </c>
      <c r="N1101" s="308"/>
      <c r="O1101" s="312" t="s">
        <v>35930</v>
      </c>
      <c r="P1101" s="308" t="s">
        <v>35931</v>
      </c>
      <c r="Q1101" s="308"/>
      <c r="R1101" s="308"/>
      <c r="S1101" s="308" t="s">
        <v>81</v>
      </c>
      <c r="T1101" s="308" t="s">
        <v>75</v>
      </c>
      <c r="U1101" s="308"/>
      <c r="V1101" s="312"/>
    </row>
    <row r="1102">
      <c r="A1102" s="308">
        <v>1101.0</v>
      </c>
      <c r="B1102" s="308">
        <v>4314.0</v>
      </c>
      <c r="C1102" s="308" t="s">
        <v>4426</v>
      </c>
      <c r="D1102" s="308">
        <f>IFERROR(__xludf.DUMMYFUNCTION("SPLIT(C1102,""-"")"),1117.0)</f>
        <v>1117</v>
      </c>
      <c r="E1102" s="308" t="str">
        <f>IFERROR(__xludf.DUMMYFUNCTION("""COMPUTED_VALUE"""),"K")</f>
        <v>K</v>
      </c>
      <c r="F1102" s="309" t="s">
        <v>34</v>
      </c>
      <c r="G1102" s="308" t="s">
        <v>4427</v>
      </c>
      <c r="H1102" s="308" t="s">
        <v>4428</v>
      </c>
      <c r="I1102" s="314">
        <v>40479.0</v>
      </c>
      <c r="J1102" s="308">
        <f>IFERROR(__xludf.DUMMYFUNCTION("SPLIT(I1102,""/"")"),28.0)</f>
        <v>28</v>
      </c>
      <c r="K1102" s="308">
        <f>IFERROR(__xludf.DUMMYFUNCTION("""COMPUTED_VALUE"""),10.0)</f>
        <v>10</v>
      </c>
      <c r="L1102" s="308">
        <f>IFERROR(__xludf.DUMMYFUNCTION("""COMPUTED_VALUE"""),2010.0)</f>
        <v>2010</v>
      </c>
      <c r="M1102" s="308" t="s">
        <v>4429</v>
      </c>
      <c r="N1102" s="308"/>
      <c r="O1102" s="312" t="s">
        <v>635</v>
      </c>
      <c r="P1102" s="308" t="s">
        <v>4430</v>
      </c>
      <c r="Q1102" s="308"/>
      <c r="R1102" s="308"/>
      <c r="S1102" s="308" t="s">
        <v>49</v>
      </c>
      <c r="T1102" s="308" t="s">
        <v>51</v>
      </c>
      <c r="U1102" s="308" t="s">
        <v>201</v>
      </c>
      <c r="V1102" s="312"/>
    </row>
    <row r="1103">
      <c r="A1103" s="308">
        <v>1102.0</v>
      </c>
      <c r="B1103" s="308">
        <v>4315.0</v>
      </c>
      <c r="C1103" s="308">
        <v>1118.0</v>
      </c>
      <c r="D1103" s="308">
        <f>IFERROR(__xludf.DUMMYFUNCTION("SPLIT(C1103,""-"")"),1118.0)</f>
        <v>1118</v>
      </c>
      <c r="E1103" s="311"/>
      <c r="F1103" s="309" t="s">
        <v>34</v>
      </c>
      <c r="G1103" s="308" t="s">
        <v>4431</v>
      </c>
      <c r="H1103" s="308" t="s">
        <v>4432</v>
      </c>
      <c r="I1103" s="310">
        <v>39995.0</v>
      </c>
      <c r="J1103" s="308">
        <f>IFERROR(__xludf.DUMMYFUNCTION("SPLIT(I1103,""/"")"),1.0)</f>
        <v>1</v>
      </c>
      <c r="K1103" s="308">
        <f>IFERROR(__xludf.DUMMYFUNCTION("""COMPUTED_VALUE"""),7.0)</f>
        <v>7</v>
      </c>
      <c r="L1103" s="308">
        <f>IFERROR(__xludf.DUMMYFUNCTION("""COMPUTED_VALUE"""),2009.0)</f>
        <v>2009</v>
      </c>
      <c r="M1103" s="308" t="s">
        <v>4433</v>
      </c>
      <c r="N1103" s="308"/>
      <c r="O1103" s="312" t="s">
        <v>35932</v>
      </c>
      <c r="P1103" s="308" t="s">
        <v>1971</v>
      </c>
      <c r="Q1103" s="308"/>
      <c r="R1103" s="308"/>
      <c r="S1103" s="315" t="s">
        <v>100</v>
      </c>
      <c r="T1103" s="311" t="s">
        <v>34208</v>
      </c>
      <c r="U1103" s="308" t="s">
        <v>530</v>
      </c>
      <c r="V1103" s="312"/>
    </row>
    <row r="1104">
      <c r="A1104" s="308">
        <v>1103.0</v>
      </c>
      <c r="B1104" s="308">
        <v>4316.0</v>
      </c>
      <c r="C1104" s="308">
        <v>1119.0</v>
      </c>
      <c r="D1104" s="308">
        <f>IFERROR(__xludf.DUMMYFUNCTION("SPLIT(C1104,""-"")"),1119.0)</f>
        <v>1119</v>
      </c>
      <c r="E1104" s="311"/>
      <c r="F1104" s="309" t="s">
        <v>34</v>
      </c>
      <c r="G1104" s="308" t="s">
        <v>4431</v>
      </c>
      <c r="H1104" s="308" t="s">
        <v>4435</v>
      </c>
      <c r="I1104" s="310">
        <v>39995.0</v>
      </c>
      <c r="J1104" s="308">
        <f>IFERROR(__xludf.DUMMYFUNCTION("SPLIT(I1104,""/"")"),1.0)</f>
        <v>1</v>
      </c>
      <c r="K1104" s="308">
        <f>IFERROR(__xludf.DUMMYFUNCTION("""COMPUTED_VALUE"""),7.0)</f>
        <v>7</v>
      </c>
      <c r="L1104" s="308">
        <f>IFERROR(__xludf.DUMMYFUNCTION("""COMPUTED_VALUE"""),2009.0)</f>
        <v>2009</v>
      </c>
      <c r="M1104" s="308" t="s">
        <v>4433</v>
      </c>
      <c r="N1104" s="308"/>
      <c r="O1104" s="312" t="s">
        <v>35932</v>
      </c>
      <c r="P1104" s="308" t="s">
        <v>34756</v>
      </c>
      <c r="Q1104" s="308"/>
      <c r="R1104" s="308"/>
      <c r="S1104" s="308" t="s">
        <v>81</v>
      </c>
      <c r="T1104" s="311" t="s">
        <v>75</v>
      </c>
      <c r="U1104" s="308"/>
      <c r="V1104" s="312"/>
    </row>
    <row r="1105">
      <c r="A1105" s="308">
        <v>1104.0</v>
      </c>
      <c r="B1105" s="308">
        <v>4317.0</v>
      </c>
      <c r="C1105" s="308">
        <v>1120.0</v>
      </c>
      <c r="D1105" s="308">
        <f>IFERROR(__xludf.DUMMYFUNCTION("SPLIT(C1105,""-"")"),1120.0)</f>
        <v>1120</v>
      </c>
      <c r="E1105" s="311"/>
      <c r="F1105" s="309" t="s">
        <v>26</v>
      </c>
      <c r="G1105" s="308"/>
      <c r="H1105" s="308" t="s">
        <v>4436</v>
      </c>
      <c r="I1105" s="310">
        <v>41338.0</v>
      </c>
      <c r="J1105" s="308">
        <f>IFERROR(__xludf.DUMMYFUNCTION("SPLIT(I1105,""/"")"),5.0)</f>
        <v>5</v>
      </c>
      <c r="K1105" s="308">
        <f>IFERROR(__xludf.DUMMYFUNCTION("""COMPUTED_VALUE"""),3.0)</f>
        <v>3</v>
      </c>
      <c r="L1105" s="308">
        <f>IFERROR(__xludf.DUMMYFUNCTION("""COMPUTED_VALUE"""),2013.0)</f>
        <v>2013</v>
      </c>
      <c r="M1105" s="308" t="s">
        <v>4437</v>
      </c>
      <c r="N1105" s="308"/>
      <c r="O1105" s="312"/>
      <c r="P1105" s="308" t="s">
        <v>4438</v>
      </c>
      <c r="Q1105" s="308"/>
      <c r="R1105" s="308"/>
      <c r="S1105" s="308" t="s">
        <v>81</v>
      </c>
      <c r="T1105" s="311" t="s">
        <v>51</v>
      </c>
      <c r="U1105" s="308"/>
      <c r="V1105" s="312"/>
    </row>
    <row r="1106">
      <c r="A1106" s="308">
        <v>1105.0</v>
      </c>
      <c r="B1106" s="308">
        <v>4318.0</v>
      </c>
      <c r="C1106" s="308">
        <v>1121.0</v>
      </c>
      <c r="D1106" s="308">
        <f>IFERROR(__xludf.DUMMYFUNCTION("SPLIT(C1106,""-"")"),1121.0)</f>
        <v>1121</v>
      </c>
      <c r="E1106" s="311"/>
      <c r="F1106" s="309" t="s">
        <v>26</v>
      </c>
      <c r="G1106" s="308"/>
      <c r="H1106" s="308" t="s">
        <v>4439</v>
      </c>
      <c r="I1106" s="310">
        <v>41338.0</v>
      </c>
      <c r="J1106" s="308">
        <f>IFERROR(__xludf.DUMMYFUNCTION("SPLIT(I1106,""/"")"),5.0)</f>
        <v>5</v>
      </c>
      <c r="K1106" s="308">
        <f>IFERROR(__xludf.DUMMYFUNCTION("""COMPUTED_VALUE"""),3.0)</f>
        <v>3</v>
      </c>
      <c r="L1106" s="308">
        <f>IFERROR(__xludf.DUMMYFUNCTION("""COMPUTED_VALUE"""),2013.0)</f>
        <v>2013</v>
      </c>
      <c r="M1106" s="308" t="s">
        <v>4440</v>
      </c>
      <c r="N1106" s="308"/>
      <c r="O1106" s="312"/>
      <c r="P1106" s="308" t="s">
        <v>4438</v>
      </c>
      <c r="Q1106" s="308"/>
      <c r="R1106" s="308"/>
      <c r="S1106" s="308" t="s">
        <v>81</v>
      </c>
      <c r="T1106" s="311" t="s">
        <v>51</v>
      </c>
      <c r="U1106" s="308"/>
      <c r="V1106" s="312"/>
    </row>
    <row r="1107">
      <c r="A1107" s="308">
        <v>1106.0</v>
      </c>
      <c r="B1107" s="308">
        <v>4319.0</v>
      </c>
      <c r="C1107" s="308">
        <v>1122.0</v>
      </c>
      <c r="D1107" s="308">
        <f>IFERROR(__xludf.DUMMYFUNCTION("SPLIT(C1107,""-"")"),1122.0)</f>
        <v>1122</v>
      </c>
      <c r="E1107" s="311"/>
      <c r="F1107" s="309" t="s">
        <v>26</v>
      </c>
      <c r="G1107" s="308"/>
      <c r="H1107" s="308" t="s">
        <v>4441</v>
      </c>
      <c r="I1107" s="310">
        <v>41338.0</v>
      </c>
      <c r="J1107" s="308">
        <f>IFERROR(__xludf.DUMMYFUNCTION("SPLIT(I1107,""/"")"),5.0)</f>
        <v>5</v>
      </c>
      <c r="K1107" s="308">
        <f>IFERROR(__xludf.DUMMYFUNCTION("""COMPUTED_VALUE"""),3.0)</f>
        <v>3</v>
      </c>
      <c r="L1107" s="308">
        <f>IFERROR(__xludf.DUMMYFUNCTION("""COMPUTED_VALUE"""),2013.0)</f>
        <v>2013</v>
      </c>
      <c r="M1107" s="308" t="s">
        <v>4442</v>
      </c>
      <c r="N1107" s="308"/>
      <c r="O1107" s="312"/>
      <c r="P1107" s="308" t="s">
        <v>4438</v>
      </c>
      <c r="Q1107" s="308"/>
      <c r="R1107" s="308"/>
      <c r="S1107" s="308" t="s">
        <v>81</v>
      </c>
      <c r="T1107" s="311" t="s">
        <v>51</v>
      </c>
      <c r="U1107" s="308"/>
      <c r="V1107" s="312"/>
    </row>
    <row r="1108">
      <c r="A1108" s="308">
        <v>1107.0</v>
      </c>
      <c r="B1108" s="308">
        <v>4320.0</v>
      </c>
      <c r="C1108" s="308">
        <v>1123.0</v>
      </c>
      <c r="D1108" s="308">
        <f>IFERROR(__xludf.DUMMYFUNCTION("SPLIT(C1108,""-"")"),1123.0)</f>
        <v>1123</v>
      </c>
      <c r="E1108" s="311"/>
      <c r="F1108" s="309" t="s">
        <v>34</v>
      </c>
      <c r="G1108" s="308" t="s">
        <v>4443</v>
      </c>
      <c r="H1108" s="308" t="s">
        <v>4444</v>
      </c>
      <c r="I1108" s="310">
        <v>39904.0</v>
      </c>
      <c r="J1108" s="308">
        <f>IFERROR(__xludf.DUMMYFUNCTION("SPLIT(I1108,""/"")"),1.0)</f>
        <v>1</v>
      </c>
      <c r="K1108" s="308">
        <f>IFERROR(__xludf.DUMMYFUNCTION("""COMPUTED_VALUE"""),4.0)</f>
        <v>4</v>
      </c>
      <c r="L1108" s="308">
        <f>IFERROR(__xludf.DUMMYFUNCTION("""COMPUTED_VALUE"""),2009.0)</f>
        <v>2009</v>
      </c>
      <c r="M1108" s="308" t="s">
        <v>4445</v>
      </c>
      <c r="N1108" s="308"/>
      <c r="O1108" s="312" t="s">
        <v>4446</v>
      </c>
      <c r="P1108" s="308" t="s">
        <v>4447</v>
      </c>
      <c r="Q1108" s="308"/>
      <c r="R1108" s="308"/>
      <c r="S1108" s="315" t="s">
        <v>100</v>
      </c>
      <c r="T1108" s="311" t="s">
        <v>34208</v>
      </c>
      <c r="U1108" s="308" t="s">
        <v>2097</v>
      </c>
      <c r="V1108" s="312"/>
    </row>
    <row r="1109">
      <c r="A1109" s="308">
        <v>1108.0</v>
      </c>
      <c r="B1109" s="308">
        <v>4321.0</v>
      </c>
      <c r="C1109" s="308">
        <v>1124.0</v>
      </c>
      <c r="D1109" s="308">
        <f>IFERROR(__xludf.DUMMYFUNCTION("SPLIT(C1109,""-"")"),1124.0)</f>
        <v>1124</v>
      </c>
      <c r="E1109" s="311"/>
      <c r="F1109" s="309" t="s">
        <v>34</v>
      </c>
      <c r="G1109" s="308" t="s">
        <v>4443</v>
      </c>
      <c r="H1109" s="308" t="s">
        <v>4448</v>
      </c>
      <c r="I1109" s="310">
        <v>39904.0</v>
      </c>
      <c r="J1109" s="308">
        <f>IFERROR(__xludf.DUMMYFUNCTION("SPLIT(I1109,""/"")"),1.0)</f>
        <v>1</v>
      </c>
      <c r="K1109" s="308">
        <f>IFERROR(__xludf.DUMMYFUNCTION("""COMPUTED_VALUE"""),4.0)</f>
        <v>4</v>
      </c>
      <c r="L1109" s="308">
        <f>IFERROR(__xludf.DUMMYFUNCTION("""COMPUTED_VALUE"""),2009.0)</f>
        <v>2009</v>
      </c>
      <c r="M1109" s="308" t="s">
        <v>4445</v>
      </c>
      <c r="N1109" s="308"/>
      <c r="O1109" s="312" t="s">
        <v>4446</v>
      </c>
      <c r="P1109" s="308" t="s">
        <v>4447</v>
      </c>
      <c r="Q1109" s="308"/>
      <c r="R1109" s="308"/>
      <c r="S1109" s="315" t="s">
        <v>100</v>
      </c>
      <c r="T1109" s="311" t="s">
        <v>34208</v>
      </c>
      <c r="U1109" s="308" t="s">
        <v>2097</v>
      </c>
      <c r="V1109" s="312"/>
    </row>
    <row r="1110">
      <c r="A1110" s="308">
        <v>1109.0</v>
      </c>
      <c r="B1110" s="308">
        <v>4322.0</v>
      </c>
      <c r="C1110" s="308" t="s">
        <v>35933</v>
      </c>
      <c r="D1110" s="308">
        <f>IFERROR(__xludf.DUMMYFUNCTION("SPLIT(C1110,""-"")"),1125.0)</f>
        <v>1125</v>
      </c>
      <c r="E1110" s="311"/>
      <c r="F1110" s="309" t="s">
        <v>23</v>
      </c>
      <c r="G1110" s="308"/>
      <c r="H1110" s="308" t="s">
        <v>4449</v>
      </c>
      <c r="I1110" s="310">
        <v>38545.0</v>
      </c>
      <c r="J1110" s="308">
        <f>IFERROR(__xludf.DUMMYFUNCTION("SPLIT(I1110,""/"")"),12.0)</f>
        <v>12</v>
      </c>
      <c r="K1110" s="308">
        <f>IFERROR(__xludf.DUMMYFUNCTION("""COMPUTED_VALUE"""),7.0)</f>
        <v>7</v>
      </c>
      <c r="L1110" s="308">
        <f>IFERROR(__xludf.DUMMYFUNCTION("""COMPUTED_VALUE"""),2005.0)</f>
        <v>2005</v>
      </c>
      <c r="M1110" s="308" t="s">
        <v>4450</v>
      </c>
      <c r="N1110" s="308"/>
      <c r="O1110" s="312" t="s">
        <v>4451</v>
      </c>
      <c r="P1110" s="308" t="s">
        <v>4452</v>
      </c>
      <c r="Q1110" s="308"/>
      <c r="R1110" s="308"/>
      <c r="S1110" s="308" t="s">
        <v>49</v>
      </c>
      <c r="T1110" s="311" t="s">
        <v>77</v>
      </c>
      <c r="U1110" s="308" t="s">
        <v>403</v>
      </c>
      <c r="V1110" s="312"/>
    </row>
    <row r="1111">
      <c r="A1111" s="308">
        <v>1110.0</v>
      </c>
      <c r="B1111" s="308">
        <v>4323.0</v>
      </c>
      <c r="C1111" s="308">
        <v>1126.0</v>
      </c>
      <c r="D1111" s="308">
        <f>IFERROR(__xludf.DUMMYFUNCTION("SPLIT(C1111,""-"")"),1126.0)</f>
        <v>1126</v>
      </c>
      <c r="E1111" s="311"/>
      <c r="F1111" s="317" t="s">
        <v>37</v>
      </c>
      <c r="G1111" s="308"/>
      <c r="H1111" s="308" t="s">
        <v>4453</v>
      </c>
      <c r="I1111" s="310">
        <v>41153.0</v>
      </c>
      <c r="J1111" s="308">
        <f>IFERROR(__xludf.DUMMYFUNCTION("SPLIT(I1111,""/"")"),1.0)</f>
        <v>1</v>
      </c>
      <c r="K1111" s="308">
        <f>IFERROR(__xludf.DUMMYFUNCTION("""COMPUTED_VALUE"""),9.0)</f>
        <v>9</v>
      </c>
      <c r="L1111" s="308">
        <f>IFERROR(__xludf.DUMMYFUNCTION("""COMPUTED_VALUE"""),2012.0)</f>
        <v>2012</v>
      </c>
      <c r="M1111" s="308" t="s">
        <v>4454</v>
      </c>
      <c r="N1111" s="308"/>
      <c r="O1111" s="312" t="s">
        <v>4455</v>
      </c>
      <c r="P1111" s="308" t="s">
        <v>4456</v>
      </c>
      <c r="Q1111" s="308"/>
      <c r="R1111" s="308"/>
      <c r="S1111" s="308" t="s">
        <v>81</v>
      </c>
      <c r="T1111" s="311" t="s">
        <v>51</v>
      </c>
      <c r="U1111" s="308"/>
      <c r="V1111" s="312"/>
    </row>
    <row r="1112">
      <c r="A1112" s="308">
        <v>1111.0</v>
      </c>
      <c r="B1112" s="308">
        <v>4324.0</v>
      </c>
      <c r="C1112" s="308">
        <v>1127.0</v>
      </c>
      <c r="D1112" s="308">
        <f>IFERROR(__xludf.DUMMYFUNCTION("SPLIT(C1112,""-"")"),1127.0)</f>
        <v>1127</v>
      </c>
      <c r="E1112" s="311"/>
      <c r="F1112" s="309" t="s">
        <v>34</v>
      </c>
      <c r="G1112" s="308"/>
      <c r="H1112" s="308" t="s">
        <v>4457</v>
      </c>
      <c r="I1112" s="314">
        <v>41226.0</v>
      </c>
      <c r="J1112" s="308">
        <f>IFERROR(__xludf.DUMMYFUNCTION("SPLIT(I1112,""/"")"),13.0)</f>
        <v>13</v>
      </c>
      <c r="K1112" s="308">
        <f>IFERROR(__xludf.DUMMYFUNCTION("""COMPUTED_VALUE"""),11.0)</f>
        <v>11</v>
      </c>
      <c r="L1112" s="308">
        <f>IFERROR(__xludf.DUMMYFUNCTION("""COMPUTED_VALUE"""),2012.0)</f>
        <v>2012</v>
      </c>
      <c r="M1112" s="308" t="s">
        <v>4458</v>
      </c>
      <c r="N1112" s="308"/>
      <c r="O1112" s="312" t="s">
        <v>4459</v>
      </c>
      <c r="P1112" s="308" t="s">
        <v>4460</v>
      </c>
      <c r="Q1112" s="308"/>
      <c r="R1112" s="308"/>
      <c r="S1112" s="308" t="s">
        <v>81</v>
      </c>
      <c r="T1112" s="308" t="s">
        <v>75</v>
      </c>
      <c r="U1112" s="308"/>
      <c r="V1112" s="312"/>
    </row>
    <row r="1113">
      <c r="A1113" s="308">
        <v>1112.0</v>
      </c>
      <c r="B1113" s="308">
        <v>4325.0</v>
      </c>
      <c r="C1113" s="308">
        <v>1128.0</v>
      </c>
      <c r="D1113" s="308">
        <f>IFERROR(__xludf.DUMMYFUNCTION("SPLIT(C1113,""-"")"),1128.0)</f>
        <v>1128</v>
      </c>
      <c r="E1113" s="311"/>
      <c r="F1113" s="309" t="s">
        <v>34</v>
      </c>
      <c r="G1113" s="308"/>
      <c r="H1113" s="308" t="s">
        <v>4461</v>
      </c>
      <c r="I1113" s="310">
        <v>40122.0</v>
      </c>
      <c r="J1113" s="308">
        <f>IFERROR(__xludf.DUMMYFUNCTION("SPLIT(I1113,""/"")"),5.0)</f>
        <v>5</v>
      </c>
      <c r="K1113" s="308">
        <f>IFERROR(__xludf.DUMMYFUNCTION("""COMPUTED_VALUE"""),11.0)</f>
        <v>11</v>
      </c>
      <c r="L1113" s="308">
        <f>IFERROR(__xludf.DUMMYFUNCTION("""COMPUTED_VALUE"""),2009.0)</f>
        <v>2009</v>
      </c>
      <c r="M1113" s="308" t="s">
        <v>4462</v>
      </c>
      <c r="N1113" s="308"/>
      <c r="O1113" s="312" t="s">
        <v>35934</v>
      </c>
      <c r="P1113" s="308" t="s">
        <v>35935</v>
      </c>
      <c r="Q1113" s="308"/>
      <c r="R1113" s="308"/>
      <c r="S1113" s="315" t="s">
        <v>100</v>
      </c>
      <c r="T1113" s="311" t="s">
        <v>34208</v>
      </c>
      <c r="U1113" s="308" t="s">
        <v>2989</v>
      </c>
      <c r="V1113" s="312"/>
    </row>
    <row r="1114">
      <c r="A1114" s="308">
        <v>1113.0</v>
      </c>
      <c r="B1114" s="308">
        <v>4326.0</v>
      </c>
      <c r="C1114" s="308">
        <v>1129.0</v>
      </c>
      <c r="D1114" s="308">
        <f>IFERROR(__xludf.DUMMYFUNCTION("SPLIT(C1114,""-"")"),1129.0)</f>
        <v>1129</v>
      </c>
      <c r="E1114" s="311"/>
      <c r="F1114" s="317" t="s">
        <v>37</v>
      </c>
      <c r="G1114" s="308"/>
      <c r="H1114" s="308" t="s">
        <v>4465</v>
      </c>
      <c r="I1114" s="310">
        <v>40270.0</v>
      </c>
      <c r="J1114" s="308">
        <f>IFERROR(__xludf.DUMMYFUNCTION("SPLIT(I1114,""/"")"),2.0)</f>
        <v>2</v>
      </c>
      <c r="K1114" s="308">
        <f>IFERROR(__xludf.DUMMYFUNCTION("""COMPUTED_VALUE"""),4.0)</f>
        <v>4</v>
      </c>
      <c r="L1114" s="308">
        <f>IFERROR(__xludf.DUMMYFUNCTION("""COMPUTED_VALUE"""),2010.0)</f>
        <v>2010</v>
      </c>
      <c r="M1114" s="308" t="s">
        <v>4466</v>
      </c>
      <c r="N1114" s="308"/>
      <c r="O1114" s="312" t="s">
        <v>4467</v>
      </c>
      <c r="P1114" s="308" t="s">
        <v>4468</v>
      </c>
      <c r="Q1114" s="308"/>
      <c r="R1114" s="308"/>
      <c r="S1114" s="308" t="s">
        <v>49</v>
      </c>
      <c r="T1114" s="308" t="s">
        <v>51</v>
      </c>
      <c r="U1114" s="308"/>
      <c r="V1114" s="312"/>
    </row>
    <row r="1115">
      <c r="A1115" s="308">
        <v>1114.0</v>
      </c>
      <c r="B1115" s="308">
        <v>4327.0</v>
      </c>
      <c r="C1115" s="308">
        <v>1130.0</v>
      </c>
      <c r="D1115" s="308">
        <f>IFERROR(__xludf.DUMMYFUNCTION("SPLIT(C1115,""-"")"),1130.0)</f>
        <v>1130</v>
      </c>
      <c r="E1115" s="311"/>
      <c r="F1115" s="309" t="s">
        <v>34</v>
      </c>
      <c r="G1115" s="308" t="s">
        <v>4469</v>
      </c>
      <c r="H1115" s="308" t="s">
        <v>4470</v>
      </c>
      <c r="I1115" s="310">
        <v>41191.0</v>
      </c>
      <c r="J1115" s="308">
        <f>IFERROR(__xludf.DUMMYFUNCTION("SPLIT(I1115,""/"")"),9.0)</f>
        <v>9</v>
      </c>
      <c r="K1115" s="308">
        <f>IFERROR(__xludf.DUMMYFUNCTION("""COMPUTED_VALUE"""),10.0)</f>
        <v>10</v>
      </c>
      <c r="L1115" s="308">
        <f>IFERROR(__xludf.DUMMYFUNCTION("""COMPUTED_VALUE"""),2012.0)</f>
        <v>2012</v>
      </c>
      <c r="M1115" s="308" t="s">
        <v>4471</v>
      </c>
      <c r="N1115" s="308"/>
      <c r="O1115" s="312" t="s">
        <v>4472</v>
      </c>
      <c r="P1115" s="308" t="s">
        <v>4473</v>
      </c>
      <c r="Q1115" s="308"/>
      <c r="R1115" s="308"/>
      <c r="S1115" s="308" t="s">
        <v>81</v>
      </c>
      <c r="T1115" s="308" t="s">
        <v>34264</v>
      </c>
      <c r="U1115" s="308"/>
      <c r="V1115" s="312"/>
    </row>
    <row r="1116">
      <c r="A1116" s="308">
        <v>1115.0</v>
      </c>
      <c r="B1116" s="308">
        <v>4328.0</v>
      </c>
      <c r="C1116" s="308">
        <v>1131.0</v>
      </c>
      <c r="D1116" s="308">
        <f>IFERROR(__xludf.DUMMYFUNCTION("SPLIT(C1116,""-"")"),1131.0)</f>
        <v>1131</v>
      </c>
      <c r="E1116" s="311"/>
      <c r="F1116" s="309" t="s">
        <v>34</v>
      </c>
      <c r="G1116" s="308"/>
      <c r="H1116" s="308" t="s">
        <v>4474</v>
      </c>
      <c r="I1116" s="310">
        <v>40659.0</v>
      </c>
      <c r="J1116" s="308">
        <f>IFERROR(__xludf.DUMMYFUNCTION("SPLIT(I1116,""/"")"),26.0)</f>
        <v>26</v>
      </c>
      <c r="K1116" s="308">
        <f>IFERROR(__xludf.DUMMYFUNCTION("""COMPUTED_VALUE"""),4.0)</f>
        <v>4</v>
      </c>
      <c r="L1116" s="308">
        <f>IFERROR(__xludf.DUMMYFUNCTION("""COMPUTED_VALUE"""),2011.0)</f>
        <v>2011</v>
      </c>
      <c r="M1116" s="308" t="s">
        <v>4475</v>
      </c>
      <c r="N1116" s="308"/>
      <c r="O1116" s="312" t="s">
        <v>4476</v>
      </c>
      <c r="P1116" s="308" t="s">
        <v>4477</v>
      </c>
      <c r="Q1116" s="308"/>
      <c r="R1116" s="308"/>
      <c r="S1116" s="308" t="s">
        <v>81</v>
      </c>
      <c r="T1116" s="308" t="s">
        <v>34264</v>
      </c>
      <c r="U1116" s="308"/>
      <c r="V1116" s="312"/>
    </row>
    <row r="1117">
      <c r="A1117" s="308">
        <v>1116.0</v>
      </c>
      <c r="B1117" s="308">
        <v>4329.0</v>
      </c>
      <c r="C1117" s="308">
        <v>1132.0</v>
      </c>
      <c r="D1117" s="308">
        <f>IFERROR(__xludf.DUMMYFUNCTION("SPLIT(C1117,""-"")"),1132.0)</f>
        <v>1132</v>
      </c>
      <c r="E1117" s="311"/>
      <c r="F1117" s="309" t="s">
        <v>34</v>
      </c>
      <c r="G1117" s="308"/>
      <c r="H1117" s="308" t="s">
        <v>4478</v>
      </c>
      <c r="I1117" s="310">
        <v>41301.0</v>
      </c>
      <c r="J1117" s="308">
        <f>IFERROR(__xludf.DUMMYFUNCTION("SPLIT(I1117,""/"")"),27.0)</f>
        <v>27</v>
      </c>
      <c r="K1117" s="308">
        <f>IFERROR(__xludf.DUMMYFUNCTION("""COMPUTED_VALUE"""),1.0)</f>
        <v>1</v>
      </c>
      <c r="L1117" s="308">
        <f>IFERROR(__xludf.DUMMYFUNCTION("""COMPUTED_VALUE"""),2013.0)</f>
        <v>2013</v>
      </c>
      <c r="M1117" s="308" t="s">
        <v>4479</v>
      </c>
      <c r="N1117" s="308"/>
      <c r="O1117" s="312" t="s">
        <v>4480</v>
      </c>
      <c r="P1117" s="308" t="s">
        <v>35936</v>
      </c>
      <c r="Q1117" s="308"/>
      <c r="R1117" s="308"/>
      <c r="S1117" s="308" t="s">
        <v>81</v>
      </c>
      <c r="T1117" s="308" t="s">
        <v>98</v>
      </c>
      <c r="U1117" s="308"/>
      <c r="V1117" s="312"/>
    </row>
    <row r="1118">
      <c r="A1118" s="308">
        <v>1117.0</v>
      </c>
      <c r="B1118" s="308">
        <v>4330.0</v>
      </c>
      <c r="C1118" s="308" t="s">
        <v>4482</v>
      </c>
      <c r="D1118" s="308">
        <f>IFERROR(__xludf.DUMMYFUNCTION("SPLIT(C1118,""-"")"),1133.0)</f>
        <v>1133</v>
      </c>
      <c r="E1118" s="308" t="str">
        <f>IFERROR(__xludf.DUMMYFUNCTION("""COMPUTED_VALUE"""),"K")</f>
        <v>K</v>
      </c>
      <c r="F1118" s="309" t="s">
        <v>34</v>
      </c>
      <c r="G1118" s="308"/>
      <c r="H1118" s="308" t="s">
        <v>4483</v>
      </c>
      <c r="I1118" s="310">
        <v>40848.0</v>
      </c>
      <c r="J1118" s="308">
        <f>IFERROR(__xludf.DUMMYFUNCTION("SPLIT(I1118,""/"")"),1.0)</f>
        <v>1</v>
      </c>
      <c r="K1118" s="308">
        <f>IFERROR(__xludf.DUMMYFUNCTION("""COMPUTED_VALUE"""),11.0)</f>
        <v>11</v>
      </c>
      <c r="L1118" s="308">
        <f>IFERROR(__xludf.DUMMYFUNCTION("""COMPUTED_VALUE"""),2011.0)</f>
        <v>2011</v>
      </c>
      <c r="M1118" s="308" t="s">
        <v>4484</v>
      </c>
      <c r="N1118" s="308"/>
      <c r="O1118" s="312" t="s">
        <v>4485</v>
      </c>
      <c r="P1118" s="308" t="s">
        <v>35937</v>
      </c>
      <c r="Q1118" s="308"/>
      <c r="R1118" s="308"/>
      <c r="S1118" s="315" t="s">
        <v>100</v>
      </c>
      <c r="T1118" s="311" t="s">
        <v>34208</v>
      </c>
      <c r="U1118" s="308" t="s">
        <v>4487</v>
      </c>
      <c r="V1118" s="312"/>
    </row>
    <row r="1119">
      <c r="A1119" s="308">
        <v>1118.0</v>
      </c>
      <c r="B1119" s="308">
        <v>4331.0</v>
      </c>
      <c r="C1119" s="308" t="s">
        <v>4488</v>
      </c>
      <c r="D1119" s="308">
        <f>IFERROR(__xludf.DUMMYFUNCTION("SPLIT(C1119,""-"")"),1134.0)</f>
        <v>1134</v>
      </c>
      <c r="E1119" s="308" t="str">
        <f>IFERROR(__xludf.DUMMYFUNCTION("""COMPUTED_VALUE"""),"K")</f>
        <v>K</v>
      </c>
      <c r="F1119" s="309" t="s">
        <v>34</v>
      </c>
      <c r="G1119" s="308"/>
      <c r="H1119" s="308" t="s">
        <v>4489</v>
      </c>
      <c r="I1119" s="310">
        <v>40299.0</v>
      </c>
      <c r="J1119" s="308">
        <f>IFERROR(__xludf.DUMMYFUNCTION("SPLIT(I1119,""/"")"),1.0)</f>
        <v>1</v>
      </c>
      <c r="K1119" s="308">
        <f>IFERROR(__xludf.DUMMYFUNCTION("""COMPUTED_VALUE"""),5.0)</f>
        <v>5</v>
      </c>
      <c r="L1119" s="308">
        <f>IFERROR(__xludf.DUMMYFUNCTION("""COMPUTED_VALUE"""),2010.0)</f>
        <v>2010</v>
      </c>
      <c r="M1119" s="308" t="s">
        <v>4490</v>
      </c>
      <c r="N1119" s="308" t="s">
        <v>4491</v>
      </c>
      <c r="O1119" s="312" t="s">
        <v>35938</v>
      </c>
      <c r="P1119" s="308" t="s">
        <v>35669</v>
      </c>
      <c r="Q1119" s="308"/>
      <c r="R1119" s="308"/>
      <c r="S1119" s="315" t="s">
        <v>100</v>
      </c>
      <c r="T1119" s="311" t="s">
        <v>34208</v>
      </c>
      <c r="U1119" s="308" t="s">
        <v>530</v>
      </c>
      <c r="V1119" s="312"/>
    </row>
    <row r="1120">
      <c r="A1120" s="308">
        <v>1119.0</v>
      </c>
      <c r="B1120" s="308">
        <v>4332.0</v>
      </c>
      <c r="C1120" s="308">
        <v>1135.0</v>
      </c>
      <c r="D1120" s="308">
        <f>IFERROR(__xludf.DUMMYFUNCTION("SPLIT(C1120,""-"")"),1135.0)</f>
        <v>1135</v>
      </c>
      <c r="E1120" s="311"/>
      <c r="F1120" s="309" t="s">
        <v>34</v>
      </c>
      <c r="G1120" s="308"/>
      <c r="H1120" s="308" t="s">
        <v>4493</v>
      </c>
      <c r="I1120" s="310">
        <v>39995.0</v>
      </c>
      <c r="J1120" s="308">
        <f>IFERROR(__xludf.DUMMYFUNCTION("SPLIT(I1120,""/"")"),1.0)</f>
        <v>1</v>
      </c>
      <c r="K1120" s="308">
        <f>IFERROR(__xludf.DUMMYFUNCTION("""COMPUTED_VALUE"""),7.0)</f>
        <v>7</v>
      </c>
      <c r="L1120" s="308">
        <f>IFERROR(__xludf.DUMMYFUNCTION("""COMPUTED_VALUE"""),2009.0)</f>
        <v>2009</v>
      </c>
      <c r="M1120" s="308" t="s">
        <v>35939</v>
      </c>
      <c r="N1120" s="308"/>
      <c r="O1120" s="312" t="s">
        <v>35940</v>
      </c>
      <c r="P1120" s="308" t="s">
        <v>35941</v>
      </c>
      <c r="Q1120" s="308"/>
      <c r="R1120" s="308"/>
      <c r="S1120" s="308" t="s">
        <v>81</v>
      </c>
      <c r="T1120" s="308" t="s">
        <v>34264</v>
      </c>
      <c r="U1120" s="308"/>
      <c r="V1120" s="312"/>
    </row>
    <row r="1121">
      <c r="A1121" s="308">
        <v>1120.0</v>
      </c>
      <c r="B1121" s="308">
        <v>4333.0</v>
      </c>
      <c r="C1121" s="308">
        <v>1136.0</v>
      </c>
      <c r="D1121" s="308">
        <f>IFERROR(__xludf.DUMMYFUNCTION("SPLIT(C1121,""-"")"),1136.0)</f>
        <v>1136</v>
      </c>
      <c r="E1121" s="311"/>
      <c r="F1121" s="309" t="s">
        <v>34</v>
      </c>
      <c r="G1121" s="308"/>
      <c r="H1121" s="308" t="s">
        <v>35942</v>
      </c>
      <c r="I1121" s="310">
        <v>41162.0</v>
      </c>
      <c r="J1121" s="308">
        <f>IFERROR(__xludf.DUMMYFUNCTION("SPLIT(I1121,""/"")"),10.0)</f>
        <v>10</v>
      </c>
      <c r="K1121" s="308">
        <f>IFERROR(__xludf.DUMMYFUNCTION("""COMPUTED_VALUE"""),9.0)</f>
        <v>9</v>
      </c>
      <c r="L1121" s="308">
        <f>IFERROR(__xludf.DUMMYFUNCTION("""COMPUTED_VALUE"""),2012.0)</f>
        <v>2012</v>
      </c>
      <c r="M1121" s="308" t="s">
        <v>4498</v>
      </c>
      <c r="N1121" s="308"/>
      <c r="O1121" s="312" t="s">
        <v>4499</v>
      </c>
      <c r="P1121" s="308" t="s">
        <v>4500</v>
      </c>
      <c r="Q1121" s="308"/>
      <c r="R1121" s="308"/>
      <c r="S1121" s="308" t="s">
        <v>81</v>
      </c>
      <c r="T1121" s="308" t="s">
        <v>34264</v>
      </c>
      <c r="U1121" s="308"/>
      <c r="V1121" s="312"/>
    </row>
    <row r="1122">
      <c r="A1122" s="308">
        <v>1121.0</v>
      </c>
      <c r="B1122" s="308">
        <v>4334.0</v>
      </c>
      <c r="C1122" s="308">
        <v>1137.0</v>
      </c>
      <c r="D1122" s="308">
        <f>IFERROR(__xludf.DUMMYFUNCTION("SPLIT(C1122,""-"")"),1137.0)</f>
        <v>1137</v>
      </c>
      <c r="E1122" s="311"/>
      <c r="F1122" s="317" t="s">
        <v>37</v>
      </c>
      <c r="G1122" s="308"/>
      <c r="H1122" s="308" t="s">
        <v>4501</v>
      </c>
      <c r="I1122" s="310">
        <v>41215.0</v>
      </c>
      <c r="J1122" s="308">
        <f>IFERROR(__xludf.DUMMYFUNCTION("SPLIT(I1122,""/"")"),2.0)</f>
        <v>2</v>
      </c>
      <c r="K1122" s="308">
        <f>IFERROR(__xludf.DUMMYFUNCTION("""COMPUTED_VALUE"""),11.0)</f>
        <v>11</v>
      </c>
      <c r="L1122" s="308">
        <f>IFERROR(__xludf.DUMMYFUNCTION("""COMPUTED_VALUE"""),2012.0)</f>
        <v>2012</v>
      </c>
      <c r="M1122" s="308" t="s">
        <v>4502</v>
      </c>
      <c r="N1122" s="308"/>
      <c r="O1122" s="312" t="s">
        <v>4503</v>
      </c>
      <c r="P1122" s="308" t="s">
        <v>4504</v>
      </c>
      <c r="Q1122" s="308"/>
      <c r="R1122" s="308"/>
      <c r="S1122" s="311" t="s">
        <v>81</v>
      </c>
      <c r="T1122" s="311" t="s">
        <v>73</v>
      </c>
      <c r="U1122" s="308"/>
      <c r="V1122" s="312"/>
    </row>
    <row r="1123">
      <c r="A1123" s="308">
        <v>1122.0</v>
      </c>
      <c r="B1123" s="308">
        <v>4335.0</v>
      </c>
      <c r="C1123" s="308">
        <v>1138.0</v>
      </c>
      <c r="D1123" s="308">
        <f>IFERROR(__xludf.DUMMYFUNCTION("SPLIT(C1123,""-"")"),1138.0)</f>
        <v>1138</v>
      </c>
      <c r="E1123" s="311"/>
      <c r="F1123" s="317" t="s">
        <v>39</v>
      </c>
      <c r="G1123" s="308"/>
      <c r="H1123" s="308" t="s">
        <v>4505</v>
      </c>
      <c r="I1123" s="310">
        <v>41054.0</v>
      </c>
      <c r="J1123" s="308">
        <f>IFERROR(__xludf.DUMMYFUNCTION("SPLIT(I1123,""/"")"),25.0)</f>
        <v>25</v>
      </c>
      <c r="K1123" s="308">
        <f>IFERROR(__xludf.DUMMYFUNCTION("""COMPUTED_VALUE"""),5.0)</f>
        <v>5</v>
      </c>
      <c r="L1123" s="308">
        <f>IFERROR(__xludf.DUMMYFUNCTION("""COMPUTED_VALUE"""),2012.0)</f>
        <v>2012</v>
      </c>
      <c r="M1123" s="308" t="s">
        <v>4506</v>
      </c>
      <c r="N1123" s="308"/>
      <c r="O1123" s="312" t="s">
        <v>4507</v>
      </c>
      <c r="P1123" s="308" t="s">
        <v>4508</v>
      </c>
      <c r="Q1123" s="308"/>
      <c r="R1123" s="308"/>
      <c r="S1123" s="308" t="s">
        <v>81</v>
      </c>
      <c r="T1123" s="308" t="s">
        <v>75</v>
      </c>
      <c r="U1123" s="308"/>
      <c r="V1123" s="312"/>
    </row>
    <row r="1124">
      <c r="A1124" s="308">
        <v>1123.0</v>
      </c>
      <c r="B1124" s="308">
        <v>4336.0</v>
      </c>
      <c r="C1124" s="308">
        <v>1139.0</v>
      </c>
      <c r="D1124" s="308">
        <f>IFERROR(__xludf.DUMMYFUNCTION("SPLIT(C1124,""-"")"),1139.0)</f>
        <v>1139</v>
      </c>
      <c r="E1124" s="311"/>
      <c r="F1124" s="317" t="s">
        <v>37</v>
      </c>
      <c r="G1124" s="308" t="s">
        <v>4509</v>
      </c>
      <c r="H1124" s="308" t="s">
        <v>4510</v>
      </c>
      <c r="I1124" s="310">
        <v>41178.0</v>
      </c>
      <c r="J1124" s="308">
        <f>IFERROR(__xludf.DUMMYFUNCTION("SPLIT(I1124,""/"")"),26.0)</f>
        <v>26</v>
      </c>
      <c r="K1124" s="308">
        <f>IFERROR(__xludf.DUMMYFUNCTION("""COMPUTED_VALUE"""),9.0)</f>
        <v>9</v>
      </c>
      <c r="L1124" s="308">
        <f>IFERROR(__xludf.DUMMYFUNCTION("""COMPUTED_VALUE"""),2012.0)</f>
        <v>2012</v>
      </c>
      <c r="M1124" s="308" t="s">
        <v>4511</v>
      </c>
      <c r="N1124" s="308"/>
      <c r="O1124" s="312" t="s">
        <v>4512</v>
      </c>
      <c r="P1124" s="308" t="s">
        <v>34527</v>
      </c>
      <c r="Q1124" s="308"/>
      <c r="R1124" s="308"/>
      <c r="S1124" s="308" t="s">
        <v>49</v>
      </c>
      <c r="T1124" s="311" t="s">
        <v>51</v>
      </c>
      <c r="U1124" s="308"/>
      <c r="V1124" s="312"/>
    </row>
    <row r="1125">
      <c r="A1125" s="308">
        <v>1124.0</v>
      </c>
      <c r="B1125" s="308">
        <v>4337.0</v>
      </c>
      <c r="C1125" s="308">
        <v>1140.0</v>
      </c>
      <c r="D1125" s="308">
        <f>IFERROR(__xludf.DUMMYFUNCTION("SPLIT(C1125,""-"")"),1140.0)</f>
        <v>1140</v>
      </c>
      <c r="E1125" s="311"/>
      <c r="F1125" s="317" t="s">
        <v>37</v>
      </c>
      <c r="G1125" s="308"/>
      <c r="H1125" s="308" t="s">
        <v>4513</v>
      </c>
      <c r="I1125" s="310">
        <v>41356.0</v>
      </c>
      <c r="J1125" s="308">
        <f>IFERROR(__xludf.DUMMYFUNCTION("SPLIT(I1125,""/"")"),23.0)</f>
        <v>23</v>
      </c>
      <c r="K1125" s="308">
        <f>IFERROR(__xludf.DUMMYFUNCTION("""COMPUTED_VALUE"""),3.0)</f>
        <v>3</v>
      </c>
      <c r="L1125" s="308">
        <f>IFERROR(__xludf.DUMMYFUNCTION("""COMPUTED_VALUE"""),2013.0)</f>
        <v>2013</v>
      </c>
      <c r="M1125" s="311" t="s">
        <v>4514</v>
      </c>
      <c r="N1125" s="308"/>
      <c r="O1125" s="312" t="s">
        <v>35943</v>
      </c>
      <c r="P1125" s="308" t="s">
        <v>4516</v>
      </c>
      <c r="Q1125" s="308"/>
      <c r="R1125" s="308"/>
      <c r="S1125" s="308" t="s">
        <v>81</v>
      </c>
      <c r="T1125" s="311" t="s">
        <v>51</v>
      </c>
      <c r="U1125" s="308"/>
      <c r="V1125" s="312"/>
    </row>
    <row r="1126">
      <c r="A1126" s="308">
        <v>1125.0</v>
      </c>
      <c r="B1126" s="308">
        <v>4338.0</v>
      </c>
      <c r="C1126" s="308">
        <v>1141.0</v>
      </c>
      <c r="D1126" s="308">
        <f>IFERROR(__xludf.DUMMYFUNCTION("SPLIT(C1126,""-"")"),1141.0)</f>
        <v>1141</v>
      </c>
      <c r="E1126" s="311"/>
      <c r="F1126" s="317" t="s">
        <v>37</v>
      </c>
      <c r="G1126" s="308"/>
      <c r="H1126" s="308" t="s">
        <v>4517</v>
      </c>
      <c r="I1126" s="310">
        <v>41150.0</v>
      </c>
      <c r="J1126" s="308">
        <f>IFERROR(__xludf.DUMMYFUNCTION("SPLIT(I1126,""/"")"),29.0)</f>
        <v>29</v>
      </c>
      <c r="K1126" s="308">
        <f>IFERROR(__xludf.DUMMYFUNCTION("""COMPUTED_VALUE"""),8.0)</f>
        <v>8</v>
      </c>
      <c r="L1126" s="308">
        <f>IFERROR(__xludf.DUMMYFUNCTION("""COMPUTED_VALUE"""),2012.0)</f>
        <v>2012</v>
      </c>
      <c r="M1126" s="308" t="s">
        <v>4518</v>
      </c>
      <c r="N1126" s="308"/>
      <c r="O1126" s="312" t="s">
        <v>4519</v>
      </c>
      <c r="P1126" s="308" t="s">
        <v>4520</v>
      </c>
      <c r="Q1126" s="308"/>
      <c r="R1126" s="308"/>
      <c r="S1126" s="308" t="s">
        <v>81</v>
      </c>
      <c r="T1126" s="308" t="s">
        <v>75</v>
      </c>
      <c r="U1126" s="308"/>
      <c r="V1126" s="312"/>
    </row>
    <row r="1127">
      <c r="A1127" s="308">
        <v>1126.0</v>
      </c>
      <c r="B1127" s="308">
        <v>4339.0</v>
      </c>
      <c r="C1127" s="308">
        <v>1142.0</v>
      </c>
      <c r="D1127" s="308">
        <f>IFERROR(__xludf.DUMMYFUNCTION("SPLIT(C1127,""-"")"),1142.0)</f>
        <v>1142</v>
      </c>
      <c r="E1127" s="311"/>
      <c r="F1127" s="317" t="s">
        <v>37</v>
      </c>
      <c r="G1127" s="308"/>
      <c r="H1127" s="308" t="s">
        <v>4521</v>
      </c>
      <c r="I1127" s="310">
        <v>41332.0</v>
      </c>
      <c r="J1127" s="308">
        <f>IFERROR(__xludf.DUMMYFUNCTION("SPLIT(I1127,""/"")"),27.0)</f>
        <v>27</v>
      </c>
      <c r="K1127" s="308">
        <f>IFERROR(__xludf.DUMMYFUNCTION("""COMPUTED_VALUE"""),2.0)</f>
        <v>2</v>
      </c>
      <c r="L1127" s="308">
        <f>IFERROR(__xludf.DUMMYFUNCTION("""COMPUTED_VALUE"""),2013.0)</f>
        <v>2013</v>
      </c>
      <c r="M1127" s="308" t="s">
        <v>4522</v>
      </c>
      <c r="N1127" s="308"/>
      <c r="O1127" s="312" t="s">
        <v>4523</v>
      </c>
      <c r="P1127" s="308" t="s">
        <v>4524</v>
      </c>
      <c r="Q1127" s="308"/>
      <c r="R1127" s="308"/>
      <c r="S1127" s="308" t="s">
        <v>49</v>
      </c>
      <c r="T1127" s="311" t="s">
        <v>51</v>
      </c>
      <c r="U1127" s="308"/>
      <c r="V1127" s="312"/>
    </row>
    <row r="1128">
      <c r="A1128" s="308">
        <v>1127.0</v>
      </c>
      <c r="B1128" s="308">
        <v>4340.0</v>
      </c>
      <c r="C1128" s="308">
        <v>1143.0</v>
      </c>
      <c r="D1128" s="308">
        <f>IFERROR(__xludf.DUMMYFUNCTION("SPLIT(C1128,""-"")"),1143.0)</f>
        <v>1143</v>
      </c>
      <c r="E1128" s="311"/>
      <c r="F1128" s="317" t="s">
        <v>39</v>
      </c>
      <c r="G1128" s="308"/>
      <c r="H1128" s="308" t="s">
        <v>4525</v>
      </c>
      <c r="I1128" s="310">
        <v>41303.0</v>
      </c>
      <c r="J1128" s="308">
        <f>IFERROR(__xludf.DUMMYFUNCTION("SPLIT(I1128,""/"")"),29.0)</f>
        <v>29</v>
      </c>
      <c r="K1128" s="308">
        <f>IFERROR(__xludf.DUMMYFUNCTION("""COMPUTED_VALUE"""),1.0)</f>
        <v>1</v>
      </c>
      <c r="L1128" s="308">
        <f>IFERROR(__xludf.DUMMYFUNCTION("""COMPUTED_VALUE"""),2013.0)</f>
        <v>2013</v>
      </c>
      <c r="M1128" s="308" t="s">
        <v>4526</v>
      </c>
      <c r="N1128" s="308"/>
      <c r="O1128" s="312" t="s">
        <v>635</v>
      </c>
      <c r="P1128" s="308" t="s">
        <v>35944</v>
      </c>
      <c r="Q1128" s="308"/>
      <c r="R1128" s="308"/>
      <c r="S1128" s="308" t="s">
        <v>81</v>
      </c>
      <c r="T1128" s="308" t="s">
        <v>75</v>
      </c>
      <c r="U1128" s="308"/>
      <c r="V1128" s="312"/>
    </row>
    <row r="1129">
      <c r="A1129" s="308">
        <v>1128.0</v>
      </c>
      <c r="B1129" s="308">
        <v>4341.0</v>
      </c>
      <c r="C1129" s="308">
        <v>1144.0</v>
      </c>
      <c r="D1129" s="308">
        <f>IFERROR(__xludf.DUMMYFUNCTION("SPLIT(C1129,""-"")"),1144.0)</f>
        <v>1144</v>
      </c>
      <c r="E1129" s="311"/>
      <c r="F1129" s="317" t="s">
        <v>39</v>
      </c>
      <c r="G1129" s="308"/>
      <c r="H1129" s="308" t="s">
        <v>4528</v>
      </c>
      <c r="I1129" s="310">
        <v>41347.0</v>
      </c>
      <c r="J1129" s="308">
        <f>IFERROR(__xludf.DUMMYFUNCTION("SPLIT(I1129,""/"")"),14.0)</f>
        <v>14</v>
      </c>
      <c r="K1129" s="308">
        <f>IFERROR(__xludf.DUMMYFUNCTION("""COMPUTED_VALUE"""),3.0)</f>
        <v>3</v>
      </c>
      <c r="L1129" s="308">
        <f>IFERROR(__xludf.DUMMYFUNCTION("""COMPUTED_VALUE"""),2013.0)</f>
        <v>2013</v>
      </c>
      <c r="M1129" s="308" t="s">
        <v>4529</v>
      </c>
      <c r="N1129" s="308"/>
      <c r="O1129" s="312" t="s">
        <v>4530</v>
      </c>
      <c r="P1129" s="308" t="s">
        <v>4531</v>
      </c>
      <c r="Q1129" s="308"/>
      <c r="R1129" s="308"/>
      <c r="S1129" s="308" t="s">
        <v>81</v>
      </c>
      <c r="T1129" s="311" t="s">
        <v>57</v>
      </c>
      <c r="U1129" s="308"/>
      <c r="V1129" s="312"/>
    </row>
    <row r="1130">
      <c r="A1130" s="308">
        <v>1129.0</v>
      </c>
      <c r="B1130" s="308">
        <v>4342.0</v>
      </c>
      <c r="C1130" s="308">
        <v>1145.0</v>
      </c>
      <c r="D1130" s="308">
        <f>IFERROR(__xludf.DUMMYFUNCTION("SPLIT(C1130,""-"")"),1145.0)</f>
        <v>1145</v>
      </c>
      <c r="E1130" s="311"/>
      <c r="F1130" s="317" t="s">
        <v>39</v>
      </c>
      <c r="G1130" s="308"/>
      <c r="H1130" s="308" t="s">
        <v>4532</v>
      </c>
      <c r="I1130" s="310">
        <v>41347.0</v>
      </c>
      <c r="J1130" s="308">
        <f>IFERROR(__xludf.DUMMYFUNCTION("SPLIT(I1130,""/"")"),14.0)</f>
        <v>14</v>
      </c>
      <c r="K1130" s="308">
        <f>IFERROR(__xludf.DUMMYFUNCTION("""COMPUTED_VALUE"""),3.0)</f>
        <v>3</v>
      </c>
      <c r="L1130" s="308">
        <f>IFERROR(__xludf.DUMMYFUNCTION("""COMPUTED_VALUE"""),2013.0)</f>
        <v>2013</v>
      </c>
      <c r="M1130" s="308" t="s">
        <v>4529</v>
      </c>
      <c r="N1130" s="308"/>
      <c r="O1130" s="312" t="s">
        <v>4530</v>
      </c>
      <c r="P1130" s="308" t="s">
        <v>4531</v>
      </c>
      <c r="Q1130" s="308"/>
      <c r="R1130" s="308"/>
      <c r="S1130" s="308" t="s">
        <v>81</v>
      </c>
      <c r="T1130" s="311" t="s">
        <v>57</v>
      </c>
      <c r="U1130" s="308"/>
      <c r="V1130" s="312"/>
    </row>
    <row r="1131">
      <c r="A1131" s="308">
        <v>1130.0</v>
      </c>
      <c r="B1131" s="308">
        <v>4343.0</v>
      </c>
      <c r="C1131" s="308">
        <v>1146.0</v>
      </c>
      <c r="D1131" s="308">
        <f>IFERROR(__xludf.DUMMYFUNCTION("SPLIT(C1131,""-"")"),1146.0)</f>
        <v>1146</v>
      </c>
      <c r="E1131" s="311"/>
      <c r="F1131" s="309" t="s">
        <v>26</v>
      </c>
      <c r="G1131" s="308"/>
      <c r="H1131" s="308" t="s">
        <v>4533</v>
      </c>
      <c r="I1131" s="310">
        <v>40427.0</v>
      </c>
      <c r="J1131" s="308">
        <f>IFERROR(__xludf.DUMMYFUNCTION("SPLIT(I1131,""/"")"),6.0)</f>
        <v>6</v>
      </c>
      <c r="K1131" s="308">
        <f>IFERROR(__xludf.DUMMYFUNCTION("""COMPUTED_VALUE"""),9.0)</f>
        <v>9</v>
      </c>
      <c r="L1131" s="308">
        <f>IFERROR(__xludf.DUMMYFUNCTION("""COMPUTED_VALUE"""),2010.0)</f>
        <v>2010</v>
      </c>
      <c r="M1131" s="308" t="s">
        <v>4534</v>
      </c>
      <c r="N1131" s="308"/>
      <c r="O1131" s="312" t="s">
        <v>4535</v>
      </c>
      <c r="P1131" s="308" t="s">
        <v>4536</v>
      </c>
      <c r="Q1131" s="308"/>
      <c r="R1131" s="308"/>
      <c r="S1131" s="308" t="s">
        <v>49</v>
      </c>
      <c r="T1131" s="308" t="s">
        <v>51</v>
      </c>
      <c r="U1131" s="308" t="s">
        <v>27</v>
      </c>
      <c r="V1131" s="312"/>
    </row>
    <row r="1132">
      <c r="A1132" s="308">
        <v>1131.0</v>
      </c>
      <c r="B1132" s="308">
        <v>4344.0</v>
      </c>
      <c r="C1132" s="308">
        <v>1147.0</v>
      </c>
      <c r="D1132" s="308">
        <f>IFERROR(__xludf.DUMMYFUNCTION("SPLIT(C1132,""-"")"),1147.0)</f>
        <v>1147</v>
      </c>
      <c r="E1132" s="311"/>
      <c r="F1132" s="309" t="s">
        <v>26</v>
      </c>
      <c r="G1132" s="308" t="s">
        <v>4537</v>
      </c>
      <c r="H1132" s="308" t="s">
        <v>4538</v>
      </c>
      <c r="I1132" s="310">
        <v>41123.0</v>
      </c>
      <c r="J1132" s="308">
        <f>IFERROR(__xludf.DUMMYFUNCTION("SPLIT(I1132,""/"")"),2.0)</f>
        <v>2</v>
      </c>
      <c r="K1132" s="308">
        <f>IFERROR(__xludf.DUMMYFUNCTION("""COMPUTED_VALUE"""),8.0)</f>
        <v>8</v>
      </c>
      <c r="L1132" s="308">
        <f>IFERROR(__xludf.DUMMYFUNCTION("""COMPUTED_VALUE"""),2012.0)</f>
        <v>2012</v>
      </c>
      <c r="M1132" s="308" t="s">
        <v>4539</v>
      </c>
      <c r="N1132" s="308"/>
      <c r="O1132" s="312"/>
      <c r="P1132" s="308" t="s">
        <v>4540</v>
      </c>
      <c r="Q1132" s="308"/>
      <c r="R1132" s="308"/>
      <c r="S1132" s="308" t="s">
        <v>49</v>
      </c>
      <c r="T1132" s="308" t="s">
        <v>51</v>
      </c>
      <c r="U1132" s="308"/>
      <c r="V1132" s="312"/>
    </row>
    <row r="1133">
      <c r="A1133" s="308">
        <v>1132.0</v>
      </c>
      <c r="B1133" s="308">
        <v>4345.0</v>
      </c>
      <c r="C1133" s="308">
        <v>1148.0</v>
      </c>
      <c r="D1133" s="308">
        <f>IFERROR(__xludf.DUMMYFUNCTION("SPLIT(C1133,""-"")"),1148.0)</f>
        <v>1148</v>
      </c>
      <c r="E1133" s="311"/>
      <c r="F1133" s="317" t="s">
        <v>37</v>
      </c>
      <c r="G1133" s="308"/>
      <c r="H1133" s="308" t="s">
        <v>4541</v>
      </c>
      <c r="I1133" s="310">
        <v>40621.0</v>
      </c>
      <c r="J1133" s="308">
        <f>IFERROR(__xludf.DUMMYFUNCTION("SPLIT(I1133,""/"")"),19.0)</f>
        <v>19</v>
      </c>
      <c r="K1133" s="308">
        <f>IFERROR(__xludf.DUMMYFUNCTION("""COMPUTED_VALUE"""),3.0)</f>
        <v>3</v>
      </c>
      <c r="L1133" s="308">
        <f>IFERROR(__xludf.DUMMYFUNCTION("""COMPUTED_VALUE"""),2011.0)</f>
        <v>2011</v>
      </c>
      <c r="M1133" s="308" t="s">
        <v>4542</v>
      </c>
      <c r="N1133" s="308"/>
      <c r="O1133" s="312" t="s">
        <v>35945</v>
      </c>
      <c r="P1133" s="308" t="s">
        <v>4544</v>
      </c>
      <c r="Q1133" s="308"/>
      <c r="R1133" s="308"/>
      <c r="S1133" s="308" t="s">
        <v>49</v>
      </c>
      <c r="T1133" s="308" t="s">
        <v>51</v>
      </c>
      <c r="U1133" s="308"/>
      <c r="V1133" s="312"/>
    </row>
    <row r="1134">
      <c r="A1134" s="308">
        <v>1133.0</v>
      </c>
      <c r="B1134" s="308">
        <v>4346.0</v>
      </c>
      <c r="C1134" s="308">
        <v>1149.0</v>
      </c>
      <c r="D1134" s="308">
        <f>IFERROR(__xludf.DUMMYFUNCTION("SPLIT(C1134,""-"")"),1149.0)</f>
        <v>1149</v>
      </c>
      <c r="E1134" s="311"/>
      <c r="F1134" s="309" t="s">
        <v>31</v>
      </c>
      <c r="G1134" s="308"/>
      <c r="H1134" s="308" t="s">
        <v>4545</v>
      </c>
      <c r="I1134" s="310">
        <v>41403.0</v>
      </c>
      <c r="J1134" s="308">
        <f>IFERROR(__xludf.DUMMYFUNCTION("SPLIT(I1134,""/"")"),9.0)</f>
        <v>9</v>
      </c>
      <c r="K1134" s="308">
        <f>IFERROR(__xludf.DUMMYFUNCTION("""COMPUTED_VALUE"""),5.0)</f>
        <v>5</v>
      </c>
      <c r="L1134" s="308">
        <f>IFERROR(__xludf.DUMMYFUNCTION("""COMPUTED_VALUE"""),2013.0)</f>
        <v>2013</v>
      </c>
      <c r="M1134" s="308" t="s">
        <v>4546</v>
      </c>
      <c r="N1134" s="308"/>
      <c r="O1134" s="312" t="s">
        <v>35946</v>
      </c>
      <c r="P1134" s="308" t="s">
        <v>4548</v>
      </c>
      <c r="Q1134" s="308"/>
      <c r="R1134" s="308"/>
      <c r="S1134" s="308" t="s">
        <v>81</v>
      </c>
      <c r="T1134" s="311" t="s">
        <v>83</v>
      </c>
      <c r="U1134" s="308"/>
      <c r="V1134" s="312"/>
    </row>
    <row r="1135">
      <c r="A1135" s="308">
        <v>1134.0</v>
      </c>
      <c r="B1135" s="308">
        <v>4347.0</v>
      </c>
      <c r="C1135" s="308" t="s">
        <v>4549</v>
      </c>
      <c r="D1135" s="308">
        <f>IFERROR(__xludf.DUMMYFUNCTION("SPLIT(C1135,""-"")"),1150.0)</f>
        <v>1150</v>
      </c>
      <c r="E1135" s="308" t="str">
        <f>IFERROR(__xludf.DUMMYFUNCTION("""COMPUTED_VALUE"""),"I")</f>
        <v>I</v>
      </c>
      <c r="F1135" s="309" t="s">
        <v>31</v>
      </c>
      <c r="G1135" s="308"/>
      <c r="H1135" s="308" t="s">
        <v>4550</v>
      </c>
      <c r="I1135" s="310">
        <v>41361.0</v>
      </c>
      <c r="J1135" s="308">
        <f>IFERROR(__xludf.DUMMYFUNCTION("SPLIT(I1135,""/"")"),28.0)</f>
        <v>28</v>
      </c>
      <c r="K1135" s="308">
        <f>IFERROR(__xludf.DUMMYFUNCTION("""COMPUTED_VALUE"""),3.0)</f>
        <v>3</v>
      </c>
      <c r="L1135" s="308">
        <f>IFERROR(__xludf.DUMMYFUNCTION("""COMPUTED_VALUE"""),2013.0)</f>
        <v>2013</v>
      </c>
      <c r="M1135" s="308" t="s">
        <v>4551</v>
      </c>
      <c r="N1135" s="308"/>
      <c r="O1135" s="312" t="s">
        <v>35947</v>
      </c>
      <c r="P1135" s="308" t="s">
        <v>4553</v>
      </c>
      <c r="Q1135" s="308"/>
      <c r="R1135" s="308" t="s">
        <v>1496</v>
      </c>
      <c r="S1135" s="308" t="s">
        <v>49</v>
      </c>
      <c r="T1135" s="308" t="s">
        <v>51</v>
      </c>
      <c r="U1135" s="308"/>
      <c r="V1135" s="312"/>
    </row>
    <row r="1136">
      <c r="A1136" s="308">
        <v>1135.0</v>
      </c>
      <c r="B1136" s="308">
        <v>4348.0</v>
      </c>
      <c r="C1136" s="308">
        <v>1151.0</v>
      </c>
      <c r="D1136" s="308">
        <f>IFERROR(__xludf.DUMMYFUNCTION("SPLIT(C1136,""-"")"),1151.0)</f>
        <v>1151</v>
      </c>
      <c r="E1136" s="311"/>
      <c r="F1136" s="309" t="s">
        <v>34</v>
      </c>
      <c r="G1136" s="308"/>
      <c r="H1136" s="308" t="s">
        <v>4554</v>
      </c>
      <c r="I1136" s="310">
        <v>41162.0</v>
      </c>
      <c r="J1136" s="308">
        <f>IFERROR(__xludf.DUMMYFUNCTION("SPLIT(I1136,""/"")"),10.0)</f>
        <v>10</v>
      </c>
      <c r="K1136" s="308">
        <f>IFERROR(__xludf.DUMMYFUNCTION("""COMPUTED_VALUE"""),9.0)</f>
        <v>9</v>
      </c>
      <c r="L1136" s="308">
        <f>IFERROR(__xludf.DUMMYFUNCTION("""COMPUTED_VALUE"""),2012.0)</f>
        <v>2012</v>
      </c>
      <c r="M1136" s="308" t="s">
        <v>4555</v>
      </c>
      <c r="N1136" s="308"/>
      <c r="O1136" s="312" t="s">
        <v>35948</v>
      </c>
      <c r="P1136" s="308" t="s">
        <v>4557</v>
      </c>
      <c r="Q1136" s="308"/>
      <c r="R1136" s="308"/>
      <c r="S1136" s="308" t="s">
        <v>81</v>
      </c>
      <c r="T1136" s="308" t="s">
        <v>34264</v>
      </c>
      <c r="U1136" s="308"/>
      <c r="V1136" s="312"/>
    </row>
    <row r="1137">
      <c r="A1137" s="308">
        <v>1136.0</v>
      </c>
      <c r="B1137" s="308">
        <v>4349.0</v>
      </c>
      <c r="C1137" s="308">
        <v>1152.0</v>
      </c>
      <c r="D1137" s="308">
        <f>IFERROR(__xludf.DUMMYFUNCTION("SPLIT(C1137,""-"")"),1152.0)</f>
        <v>1152</v>
      </c>
      <c r="E1137" s="311"/>
      <c r="F1137" s="317" t="s">
        <v>37</v>
      </c>
      <c r="G1137" s="308" t="s">
        <v>4558</v>
      </c>
      <c r="H1137" s="308" t="s">
        <v>4559</v>
      </c>
      <c r="I1137" s="310">
        <v>41377.0</v>
      </c>
      <c r="J1137" s="308">
        <f>IFERROR(__xludf.DUMMYFUNCTION("SPLIT(I1137,""/"")"),13.0)</f>
        <v>13</v>
      </c>
      <c r="K1137" s="308">
        <f>IFERROR(__xludf.DUMMYFUNCTION("""COMPUTED_VALUE"""),4.0)</f>
        <v>4</v>
      </c>
      <c r="L1137" s="308">
        <f>IFERROR(__xludf.DUMMYFUNCTION("""COMPUTED_VALUE"""),2013.0)</f>
        <v>2013</v>
      </c>
      <c r="M1137" s="308" t="s">
        <v>4560</v>
      </c>
      <c r="N1137" s="308"/>
      <c r="O1137" s="312" t="s">
        <v>4561</v>
      </c>
      <c r="P1137" s="308" t="s">
        <v>4562</v>
      </c>
      <c r="Q1137" s="308"/>
      <c r="R1137" s="308"/>
      <c r="S1137" s="308" t="s">
        <v>81</v>
      </c>
      <c r="T1137" s="308" t="s">
        <v>75</v>
      </c>
      <c r="U1137" s="308"/>
      <c r="V1137" s="312"/>
    </row>
    <row r="1138">
      <c r="A1138" s="308">
        <v>1137.0</v>
      </c>
      <c r="B1138" s="308">
        <v>4350.0</v>
      </c>
      <c r="C1138" s="308">
        <v>1153.0</v>
      </c>
      <c r="D1138" s="308">
        <f>IFERROR(__xludf.DUMMYFUNCTION("SPLIT(C1138,""-"")"),1153.0)</f>
        <v>1153</v>
      </c>
      <c r="E1138" s="311"/>
      <c r="F1138" s="317" t="s">
        <v>37</v>
      </c>
      <c r="G1138" s="308"/>
      <c r="H1138" s="308" t="s">
        <v>4563</v>
      </c>
      <c r="I1138" s="310">
        <v>41303.0</v>
      </c>
      <c r="J1138" s="308">
        <f>IFERROR(__xludf.DUMMYFUNCTION("SPLIT(I1138,""/"")"),29.0)</f>
        <v>29</v>
      </c>
      <c r="K1138" s="308">
        <f>IFERROR(__xludf.DUMMYFUNCTION("""COMPUTED_VALUE"""),1.0)</f>
        <v>1</v>
      </c>
      <c r="L1138" s="308">
        <f>IFERROR(__xludf.DUMMYFUNCTION("""COMPUTED_VALUE"""),2013.0)</f>
        <v>2013</v>
      </c>
      <c r="M1138" s="308" t="s">
        <v>4564</v>
      </c>
      <c r="N1138" s="308"/>
      <c r="O1138" s="312" t="s">
        <v>635</v>
      </c>
      <c r="P1138" s="308" t="s">
        <v>4565</v>
      </c>
      <c r="Q1138" s="308"/>
      <c r="R1138" s="308"/>
      <c r="S1138" s="308" t="s">
        <v>49</v>
      </c>
      <c r="T1138" s="311" t="s">
        <v>77</v>
      </c>
      <c r="U1138" s="308"/>
      <c r="V1138" s="312"/>
    </row>
    <row r="1139">
      <c r="A1139" s="308">
        <v>1138.0</v>
      </c>
      <c r="B1139" s="308">
        <v>4351.0</v>
      </c>
      <c r="C1139" s="308">
        <v>1154.0</v>
      </c>
      <c r="D1139" s="308">
        <f>IFERROR(__xludf.DUMMYFUNCTION("SPLIT(C1139,""-"")"),1154.0)</f>
        <v>1154</v>
      </c>
      <c r="E1139" s="311"/>
      <c r="F1139" s="309" t="s">
        <v>34</v>
      </c>
      <c r="G1139" s="308"/>
      <c r="H1139" s="308" t="s">
        <v>4566</v>
      </c>
      <c r="I1139" s="310">
        <v>39995.0</v>
      </c>
      <c r="J1139" s="308">
        <f>IFERROR(__xludf.DUMMYFUNCTION("SPLIT(I1139,""/"")"),1.0)</f>
        <v>1</v>
      </c>
      <c r="K1139" s="308">
        <f>IFERROR(__xludf.DUMMYFUNCTION("""COMPUTED_VALUE"""),7.0)</f>
        <v>7</v>
      </c>
      <c r="L1139" s="308">
        <f>IFERROR(__xludf.DUMMYFUNCTION("""COMPUTED_VALUE"""),2009.0)</f>
        <v>2009</v>
      </c>
      <c r="M1139" s="308" t="s">
        <v>35949</v>
      </c>
      <c r="N1139" s="308"/>
      <c r="O1139" s="312" t="s">
        <v>4568</v>
      </c>
      <c r="P1139" s="308" t="s">
        <v>2675</v>
      </c>
      <c r="Q1139" s="308"/>
      <c r="R1139" s="308"/>
      <c r="S1139" s="308" t="s">
        <v>49</v>
      </c>
      <c r="T1139" s="308" t="s">
        <v>51</v>
      </c>
      <c r="U1139" s="308"/>
      <c r="V1139" s="312"/>
    </row>
    <row r="1140">
      <c r="A1140" s="308">
        <v>1139.0</v>
      </c>
      <c r="B1140" s="308">
        <v>4352.0</v>
      </c>
      <c r="C1140" s="308">
        <v>1155.0</v>
      </c>
      <c r="D1140" s="308">
        <f>IFERROR(__xludf.DUMMYFUNCTION("SPLIT(C1140,""-"")"),1155.0)</f>
        <v>1155</v>
      </c>
      <c r="E1140" s="311"/>
      <c r="F1140" s="309" t="s">
        <v>34</v>
      </c>
      <c r="G1140" s="308"/>
      <c r="H1140" s="308" t="s">
        <v>4569</v>
      </c>
      <c r="I1140" s="310">
        <v>39630.0</v>
      </c>
      <c r="J1140" s="308">
        <f>IFERROR(__xludf.DUMMYFUNCTION("SPLIT(I1140,""/"")"),1.0)</f>
        <v>1</v>
      </c>
      <c r="K1140" s="308">
        <f>IFERROR(__xludf.DUMMYFUNCTION("""COMPUTED_VALUE"""),7.0)</f>
        <v>7</v>
      </c>
      <c r="L1140" s="308">
        <f>IFERROR(__xludf.DUMMYFUNCTION("""COMPUTED_VALUE"""),2008.0)</f>
        <v>2008</v>
      </c>
      <c r="M1140" s="308" t="s">
        <v>4570</v>
      </c>
      <c r="N1140" s="308"/>
      <c r="O1140" s="312" t="s">
        <v>4571</v>
      </c>
      <c r="P1140" s="308" t="s">
        <v>4572</v>
      </c>
      <c r="Q1140" s="308"/>
      <c r="R1140" s="308"/>
      <c r="S1140" s="308" t="s">
        <v>81</v>
      </c>
      <c r="T1140" s="308" t="s">
        <v>34264</v>
      </c>
      <c r="U1140" s="308"/>
      <c r="V1140" s="312"/>
    </row>
    <row r="1141">
      <c r="A1141" s="308">
        <v>1140.0</v>
      </c>
      <c r="B1141" s="308">
        <v>4353.0</v>
      </c>
      <c r="C1141" s="308">
        <v>1156.0</v>
      </c>
      <c r="D1141" s="308">
        <f>IFERROR(__xludf.DUMMYFUNCTION("SPLIT(C1141,""-"")"),1156.0)</f>
        <v>1156</v>
      </c>
      <c r="E1141" s="311"/>
      <c r="F1141" s="309" t="s">
        <v>34</v>
      </c>
      <c r="G1141" s="308"/>
      <c r="H1141" s="308" t="s">
        <v>4573</v>
      </c>
      <c r="I1141" s="310">
        <v>39995.0</v>
      </c>
      <c r="J1141" s="308">
        <f>IFERROR(__xludf.DUMMYFUNCTION("SPLIT(I1141,""/"")"),1.0)</f>
        <v>1</v>
      </c>
      <c r="K1141" s="308">
        <f>IFERROR(__xludf.DUMMYFUNCTION("""COMPUTED_VALUE"""),7.0)</f>
        <v>7</v>
      </c>
      <c r="L1141" s="308">
        <f>IFERROR(__xludf.DUMMYFUNCTION("""COMPUTED_VALUE"""),2009.0)</f>
        <v>2009</v>
      </c>
      <c r="M1141" s="308" t="s">
        <v>35950</v>
      </c>
      <c r="N1141" s="308"/>
      <c r="O1141" s="312" t="s">
        <v>4575</v>
      </c>
      <c r="P1141" s="308" t="s">
        <v>4576</v>
      </c>
      <c r="Q1141" s="308"/>
      <c r="R1141" s="308"/>
      <c r="S1141" s="308" t="s">
        <v>81</v>
      </c>
      <c r="T1141" s="308" t="s">
        <v>34264</v>
      </c>
      <c r="U1141" s="308"/>
      <c r="V1141" s="312"/>
    </row>
    <row r="1142">
      <c r="A1142" s="308">
        <v>1141.0</v>
      </c>
      <c r="B1142" s="308">
        <v>4354.0</v>
      </c>
      <c r="C1142" s="308">
        <v>1157.0</v>
      </c>
      <c r="D1142" s="308">
        <f>IFERROR(__xludf.DUMMYFUNCTION("SPLIT(C1142,""-"")"),1157.0)</f>
        <v>1157</v>
      </c>
      <c r="E1142" s="311"/>
      <c r="F1142" s="309" t="s">
        <v>34</v>
      </c>
      <c r="G1142" s="308"/>
      <c r="H1142" s="308" t="s">
        <v>4577</v>
      </c>
      <c r="I1142" s="310">
        <v>39630.0</v>
      </c>
      <c r="J1142" s="308">
        <f>IFERROR(__xludf.DUMMYFUNCTION("SPLIT(I1142,""/"")"),1.0)</f>
        <v>1</v>
      </c>
      <c r="K1142" s="308">
        <f>IFERROR(__xludf.DUMMYFUNCTION("""COMPUTED_VALUE"""),7.0)</f>
        <v>7</v>
      </c>
      <c r="L1142" s="308">
        <f>IFERROR(__xludf.DUMMYFUNCTION("""COMPUTED_VALUE"""),2008.0)</f>
        <v>2008</v>
      </c>
      <c r="M1142" s="308" t="s">
        <v>35951</v>
      </c>
      <c r="N1142" s="308"/>
      <c r="O1142" s="312" t="s">
        <v>4579</v>
      </c>
      <c r="P1142" s="308" t="s">
        <v>4572</v>
      </c>
      <c r="Q1142" s="308"/>
      <c r="R1142" s="308"/>
      <c r="S1142" s="308" t="s">
        <v>81</v>
      </c>
      <c r="T1142" s="308" t="s">
        <v>34264</v>
      </c>
      <c r="U1142" s="308"/>
      <c r="V1142" s="312"/>
    </row>
    <row r="1143">
      <c r="A1143" s="308">
        <v>1142.0</v>
      </c>
      <c r="B1143" s="308">
        <v>4355.0</v>
      </c>
      <c r="C1143" s="308">
        <v>1158.0</v>
      </c>
      <c r="D1143" s="308">
        <f>IFERROR(__xludf.DUMMYFUNCTION("SPLIT(C1143,""-"")"),1158.0)</f>
        <v>1158</v>
      </c>
      <c r="E1143" s="311"/>
      <c r="F1143" s="309" t="s">
        <v>34</v>
      </c>
      <c r="G1143" s="308"/>
      <c r="H1143" s="308" t="s">
        <v>4580</v>
      </c>
      <c r="I1143" s="310">
        <v>39630.0</v>
      </c>
      <c r="J1143" s="308">
        <f>IFERROR(__xludf.DUMMYFUNCTION("SPLIT(I1143,""/"")"),1.0)</f>
        <v>1</v>
      </c>
      <c r="K1143" s="308">
        <f>IFERROR(__xludf.DUMMYFUNCTION("""COMPUTED_VALUE"""),7.0)</f>
        <v>7</v>
      </c>
      <c r="L1143" s="308">
        <f>IFERROR(__xludf.DUMMYFUNCTION("""COMPUTED_VALUE"""),2008.0)</f>
        <v>2008</v>
      </c>
      <c r="M1143" s="308" t="s">
        <v>35951</v>
      </c>
      <c r="N1143" s="308"/>
      <c r="O1143" s="312" t="s">
        <v>4579</v>
      </c>
      <c r="P1143" s="308" t="s">
        <v>4572</v>
      </c>
      <c r="Q1143" s="308"/>
      <c r="R1143" s="308"/>
      <c r="S1143" s="308" t="s">
        <v>81</v>
      </c>
      <c r="T1143" s="308" t="s">
        <v>34264</v>
      </c>
      <c r="U1143" s="308"/>
      <c r="V1143" s="312"/>
    </row>
    <row r="1144">
      <c r="A1144" s="308">
        <v>1143.0</v>
      </c>
      <c r="B1144" s="308">
        <v>4356.0</v>
      </c>
      <c r="C1144" s="308">
        <v>1159.0</v>
      </c>
      <c r="D1144" s="308">
        <f>IFERROR(__xludf.DUMMYFUNCTION("SPLIT(C1144,""-"")"),1159.0)</f>
        <v>1159</v>
      </c>
      <c r="E1144" s="311"/>
      <c r="F1144" s="309" t="s">
        <v>34</v>
      </c>
      <c r="G1144" s="308"/>
      <c r="H1144" s="308" t="s">
        <v>4581</v>
      </c>
      <c r="I1144" s="310">
        <v>40318.0</v>
      </c>
      <c r="J1144" s="308">
        <f>IFERROR(__xludf.DUMMYFUNCTION("SPLIT(I1144,""/"")"),20.0)</f>
        <v>20</v>
      </c>
      <c r="K1144" s="308">
        <f>IFERROR(__xludf.DUMMYFUNCTION("""COMPUTED_VALUE"""),5.0)</f>
        <v>5</v>
      </c>
      <c r="L1144" s="308">
        <f>IFERROR(__xludf.DUMMYFUNCTION("""COMPUTED_VALUE"""),2010.0)</f>
        <v>2010</v>
      </c>
      <c r="M1144" s="308" t="s">
        <v>35952</v>
      </c>
      <c r="N1144" s="308"/>
      <c r="O1144" s="312" t="s">
        <v>4583</v>
      </c>
      <c r="P1144" s="308" t="s">
        <v>4412</v>
      </c>
      <c r="Q1144" s="308"/>
      <c r="R1144" s="308"/>
      <c r="S1144" s="308" t="s">
        <v>81</v>
      </c>
      <c r="T1144" s="308" t="s">
        <v>34264</v>
      </c>
      <c r="U1144" s="308"/>
      <c r="V1144" s="312"/>
    </row>
    <row r="1145">
      <c r="A1145" s="308">
        <v>1144.0</v>
      </c>
      <c r="B1145" s="308">
        <v>4357.0</v>
      </c>
      <c r="C1145" s="308">
        <v>1160.0</v>
      </c>
      <c r="D1145" s="308">
        <f>IFERROR(__xludf.DUMMYFUNCTION("SPLIT(C1145,""-"")"),1160.0)</f>
        <v>1160</v>
      </c>
      <c r="E1145" s="311"/>
      <c r="F1145" s="309" t="s">
        <v>34</v>
      </c>
      <c r="G1145" s="308"/>
      <c r="H1145" s="308" t="s">
        <v>4584</v>
      </c>
      <c r="I1145" s="310">
        <v>39845.0</v>
      </c>
      <c r="J1145" s="308">
        <f>IFERROR(__xludf.DUMMYFUNCTION("SPLIT(I1145,""/"")"),1.0)</f>
        <v>1</v>
      </c>
      <c r="K1145" s="308">
        <f>IFERROR(__xludf.DUMMYFUNCTION("""COMPUTED_VALUE"""),2.0)</f>
        <v>2</v>
      </c>
      <c r="L1145" s="308">
        <f>IFERROR(__xludf.DUMMYFUNCTION("""COMPUTED_VALUE"""),2009.0)</f>
        <v>2009</v>
      </c>
      <c r="M1145" s="308" t="s">
        <v>35953</v>
      </c>
      <c r="N1145" s="308" t="s">
        <v>4586</v>
      </c>
      <c r="O1145" s="312" t="s">
        <v>4587</v>
      </c>
      <c r="P1145" s="308" t="s">
        <v>4588</v>
      </c>
      <c r="Q1145" s="308"/>
      <c r="R1145" s="308"/>
      <c r="S1145" s="308" t="s">
        <v>81</v>
      </c>
      <c r="T1145" s="308" t="s">
        <v>34264</v>
      </c>
      <c r="U1145" s="308"/>
      <c r="V1145" s="312"/>
    </row>
    <row r="1146">
      <c r="A1146" s="308">
        <v>1145.0</v>
      </c>
      <c r="B1146" s="308">
        <v>4358.0</v>
      </c>
      <c r="C1146" s="308">
        <v>1161.0</v>
      </c>
      <c r="D1146" s="308">
        <f>IFERROR(__xludf.DUMMYFUNCTION("SPLIT(C1146,""-"")"),1161.0)</f>
        <v>1161</v>
      </c>
      <c r="E1146" s="311"/>
      <c r="F1146" s="309" t="s">
        <v>34</v>
      </c>
      <c r="G1146" s="308"/>
      <c r="H1146" s="308" t="s">
        <v>4589</v>
      </c>
      <c r="I1146" s="310">
        <v>39995.0</v>
      </c>
      <c r="J1146" s="308">
        <f>IFERROR(__xludf.DUMMYFUNCTION("SPLIT(I1146,""/"")"),1.0)</f>
        <v>1</v>
      </c>
      <c r="K1146" s="308">
        <f>IFERROR(__xludf.DUMMYFUNCTION("""COMPUTED_VALUE"""),7.0)</f>
        <v>7</v>
      </c>
      <c r="L1146" s="308">
        <f>IFERROR(__xludf.DUMMYFUNCTION("""COMPUTED_VALUE"""),2009.0)</f>
        <v>2009</v>
      </c>
      <c r="M1146" s="308" t="s">
        <v>4590</v>
      </c>
      <c r="N1146" s="308"/>
      <c r="O1146" s="312" t="s">
        <v>4591</v>
      </c>
      <c r="P1146" s="308" t="s">
        <v>4592</v>
      </c>
      <c r="Q1146" s="308"/>
      <c r="R1146" s="308"/>
      <c r="S1146" s="308" t="s">
        <v>81</v>
      </c>
      <c r="T1146" s="308" t="s">
        <v>34264</v>
      </c>
      <c r="U1146" s="308"/>
      <c r="V1146" s="312"/>
    </row>
    <row r="1147">
      <c r="A1147" s="308">
        <v>1146.0</v>
      </c>
      <c r="B1147" s="308">
        <v>4359.0</v>
      </c>
      <c r="C1147" s="308">
        <v>1162.0</v>
      </c>
      <c r="D1147" s="308">
        <f>IFERROR(__xludf.DUMMYFUNCTION("SPLIT(C1147,""-"")"),1162.0)</f>
        <v>1162</v>
      </c>
      <c r="E1147" s="311"/>
      <c r="F1147" s="309" t="s">
        <v>34</v>
      </c>
      <c r="G1147" s="308"/>
      <c r="H1147" s="308" t="s">
        <v>4593</v>
      </c>
      <c r="I1147" s="310">
        <v>40270.0</v>
      </c>
      <c r="J1147" s="308">
        <f>IFERROR(__xludf.DUMMYFUNCTION("SPLIT(I1147,""/"")"),2.0)</f>
        <v>2</v>
      </c>
      <c r="K1147" s="308">
        <f>IFERROR(__xludf.DUMMYFUNCTION("""COMPUTED_VALUE"""),4.0)</f>
        <v>4</v>
      </c>
      <c r="L1147" s="308">
        <f>IFERROR(__xludf.DUMMYFUNCTION("""COMPUTED_VALUE"""),2010.0)</f>
        <v>2010</v>
      </c>
      <c r="M1147" s="308" t="s">
        <v>4594</v>
      </c>
      <c r="N1147" s="308"/>
      <c r="O1147" s="312" t="s">
        <v>4595</v>
      </c>
      <c r="P1147" s="308" t="s">
        <v>4596</v>
      </c>
      <c r="Q1147" s="308"/>
      <c r="R1147" s="308"/>
      <c r="S1147" s="308" t="s">
        <v>81</v>
      </c>
      <c r="T1147" s="308" t="s">
        <v>34264</v>
      </c>
      <c r="U1147" s="308"/>
      <c r="V1147" s="312"/>
    </row>
    <row r="1148">
      <c r="A1148" s="308">
        <v>1147.0</v>
      </c>
      <c r="B1148" s="308">
        <v>4360.0</v>
      </c>
      <c r="C1148" s="308">
        <v>1163.0</v>
      </c>
      <c r="D1148" s="308">
        <f>IFERROR(__xludf.DUMMYFUNCTION("SPLIT(C1148,""-"")"),1163.0)</f>
        <v>1163</v>
      </c>
      <c r="E1148" s="311"/>
      <c r="F1148" s="309" t="s">
        <v>34</v>
      </c>
      <c r="G1148" s="308"/>
      <c r="H1148" s="308" t="s">
        <v>4597</v>
      </c>
      <c r="I1148" s="310">
        <v>40020.0</v>
      </c>
      <c r="J1148" s="308">
        <f>IFERROR(__xludf.DUMMYFUNCTION("SPLIT(I1148,""/"")"),26.0)</f>
        <v>26</v>
      </c>
      <c r="K1148" s="308">
        <f>IFERROR(__xludf.DUMMYFUNCTION("""COMPUTED_VALUE"""),7.0)</f>
        <v>7</v>
      </c>
      <c r="L1148" s="308">
        <f>IFERROR(__xludf.DUMMYFUNCTION("""COMPUTED_VALUE"""),2009.0)</f>
        <v>2009</v>
      </c>
      <c r="M1148" s="308" t="s">
        <v>4598</v>
      </c>
      <c r="N1148" s="308" t="s">
        <v>4599</v>
      </c>
      <c r="O1148" s="312" t="s">
        <v>4600</v>
      </c>
      <c r="P1148" s="308" t="s">
        <v>4601</v>
      </c>
      <c r="Q1148" s="308"/>
      <c r="R1148" s="308"/>
      <c r="S1148" s="308" t="s">
        <v>81</v>
      </c>
      <c r="T1148" s="308" t="s">
        <v>34264</v>
      </c>
      <c r="U1148" s="308"/>
      <c r="V1148" s="312"/>
    </row>
    <row r="1149">
      <c r="A1149" s="308">
        <v>1148.0</v>
      </c>
      <c r="B1149" s="308">
        <v>4361.0</v>
      </c>
      <c r="C1149" s="308">
        <v>1164.0</v>
      </c>
      <c r="D1149" s="308">
        <f>IFERROR(__xludf.DUMMYFUNCTION("SPLIT(C1149,""-"")"),1164.0)</f>
        <v>1164</v>
      </c>
      <c r="E1149" s="311"/>
      <c r="F1149" s="309" t="s">
        <v>34</v>
      </c>
      <c r="G1149" s="308"/>
      <c r="H1149" s="308" t="s">
        <v>4602</v>
      </c>
      <c r="I1149" s="310">
        <v>39630.0</v>
      </c>
      <c r="J1149" s="308">
        <f>IFERROR(__xludf.DUMMYFUNCTION("SPLIT(I1149,""/"")"),1.0)</f>
        <v>1</v>
      </c>
      <c r="K1149" s="308">
        <f>IFERROR(__xludf.DUMMYFUNCTION("""COMPUTED_VALUE"""),7.0)</f>
        <v>7</v>
      </c>
      <c r="L1149" s="308">
        <f>IFERROR(__xludf.DUMMYFUNCTION("""COMPUTED_VALUE"""),2008.0)</f>
        <v>2008</v>
      </c>
      <c r="M1149" s="308" t="s">
        <v>35954</v>
      </c>
      <c r="N1149" s="308"/>
      <c r="O1149" s="312" t="s">
        <v>4604</v>
      </c>
      <c r="P1149" s="308" t="s">
        <v>34212</v>
      </c>
      <c r="Q1149" s="308"/>
      <c r="R1149" s="308"/>
      <c r="S1149" s="315" t="s">
        <v>100</v>
      </c>
      <c r="T1149" s="311" t="s">
        <v>34208</v>
      </c>
      <c r="U1149" s="308"/>
      <c r="V1149" s="312"/>
    </row>
    <row r="1150">
      <c r="A1150" s="308">
        <v>1149.0</v>
      </c>
      <c r="B1150" s="308">
        <v>4362.0</v>
      </c>
      <c r="C1150" s="308">
        <v>1165.0</v>
      </c>
      <c r="D1150" s="308">
        <f>IFERROR(__xludf.DUMMYFUNCTION("SPLIT(C1150,""-"")"),1165.0)</f>
        <v>1165</v>
      </c>
      <c r="E1150" s="311"/>
      <c r="F1150" s="309" t="s">
        <v>34</v>
      </c>
      <c r="G1150" s="308"/>
      <c r="H1150" s="308" t="s">
        <v>4605</v>
      </c>
      <c r="I1150" s="310">
        <v>40756.0</v>
      </c>
      <c r="J1150" s="308">
        <f>IFERROR(__xludf.DUMMYFUNCTION("SPLIT(I1150,""/"")"),1.0)</f>
        <v>1</v>
      </c>
      <c r="K1150" s="308">
        <f>IFERROR(__xludf.DUMMYFUNCTION("""COMPUTED_VALUE"""),8.0)</f>
        <v>8</v>
      </c>
      <c r="L1150" s="308">
        <f>IFERROR(__xludf.DUMMYFUNCTION("""COMPUTED_VALUE"""),2011.0)</f>
        <v>2011</v>
      </c>
      <c r="M1150" s="308" t="s">
        <v>35955</v>
      </c>
      <c r="N1150" s="308"/>
      <c r="O1150" s="312" t="s">
        <v>4607</v>
      </c>
      <c r="P1150" s="308" t="s">
        <v>4608</v>
      </c>
      <c r="Q1150" s="308"/>
      <c r="R1150" s="308"/>
      <c r="S1150" s="308" t="s">
        <v>81</v>
      </c>
      <c r="T1150" s="308" t="s">
        <v>75</v>
      </c>
      <c r="U1150" s="308"/>
      <c r="V1150" s="312"/>
    </row>
    <row r="1151">
      <c r="A1151" s="308">
        <v>1150.0</v>
      </c>
      <c r="B1151" s="308">
        <v>4363.0</v>
      </c>
      <c r="C1151" s="308">
        <v>1166.0</v>
      </c>
      <c r="D1151" s="308">
        <f>IFERROR(__xludf.DUMMYFUNCTION("SPLIT(C1151,""-"")"),1166.0)</f>
        <v>1166</v>
      </c>
      <c r="E1151" s="311"/>
      <c r="F1151" s="309" t="s">
        <v>34</v>
      </c>
      <c r="G1151" s="308"/>
      <c r="H1151" s="308" t="s">
        <v>4609</v>
      </c>
      <c r="I1151" s="310">
        <v>40045.0</v>
      </c>
      <c r="J1151" s="308">
        <f>IFERROR(__xludf.DUMMYFUNCTION("SPLIT(I1151,""/"")"),20.0)</f>
        <v>20</v>
      </c>
      <c r="K1151" s="308">
        <f>IFERROR(__xludf.DUMMYFUNCTION("""COMPUTED_VALUE"""),8.0)</f>
        <v>8</v>
      </c>
      <c r="L1151" s="308">
        <f>IFERROR(__xludf.DUMMYFUNCTION("""COMPUTED_VALUE"""),2009.0)</f>
        <v>2009</v>
      </c>
      <c r="M1151" s="308" t="s">
        <v>4610</v>
      </c>
      <c r="N1151" s="308"/>
      <c r="O1151" s="312" t="s">
        <v>4611</v>
      </c>
      <c r="P1151" s="308" t="s">
        <v>1971</v>
      </c>
      <c r="Q1151" s="308"/>
      <c r="R1151" s="308"/>
      <c r="S1151" s="315" t="s">
        <v>100</v>
      </c>
      <c r="T1151" s="311" t="s">
        <v>34208</v>
      </c>
      <c r="U1151" s="308" t="s">
        <v>530</v>
      </c>
      <c r="V1151" s="312"/>
    </row>
    <row r="1152">
      <c r="A1152" s="308">
        <v>1151.0</v>
      </c>
      <c r="B1152" s="308">
        <v>4364.0</v>
      </c>
      <c r="C1152" s="308">
        <v>1167.0</v>
      </c>
      <c r="D1152" s="308">
        <f>IFERROR(__xludf.DUMMYFUNCTION("SPLIT(C1152,""-"")"),1167.0)</f>
        <v>1167</v>
      </c>
      <c r="E1152" s="311"/>
      <c r="F1152" s="309" t="s">
        <v>34</v>
      </c>
      <c r="G1152" s="308"/>
      <c r="H1152" s="308" t="s">
        <v>4612</v>
      </c>
      <c r="I1152" s="310">
        <v>40045.0</v>
      </c>
      <c r="J1152" s="308">
        <f>IFERROR(__xludf.DUMMYFUNCTION("SPLIT(I1152,""/"")"),20.0)</f>
        <v>20</v>
      </c>
      <c r="K1152" s="308">
        <f>IFERROR(__xludf.DUMMYFUNCTION("""COMPUTED_VALUE"""),8.0)</f>
        <v>8</v>
      </c>
      <c r="L1152" s="308">
        <f>IFERROR(__xludf.DUMMYFUNCTION("""COMPUTED_VALUE"""),2009.0)</f>
        <v>2009</v>
      </c>
      <c r="M1152" s="308" t="s">
        <v>4610</v>
      </c>
      <c r="N1152" s="308"/>
      <c r="O1152" s="312" t="s">
        <v>4611</v>
      </c>
      <c r="P1152" s="308" t="s">
        <v>4613</v>
      </c>
      <c r="Q1152" s="308"/>
      <c r="R1152" s="308"/>
      <c r="S1152" s="308" t="s">
        <v>81</v>
      </c>
      <c r="T1152" s="311" t="s">
        <v>87</v>
      </c>
      <c r="U1152" s="308"/>
      <c r="V1152" s="312"/>
    </row>
    <row r="1153">
      <c r="A1153" s="308">
        <v>1152.0</v>
      </c>
      <c r="B1153" s="308">
        <v>4365.0</v>
      </c>
      <c r="C1153" s="308">
        <v>1168.0</v>
      </c>
      <c r="D1153" s="308">
        <f>IFERROR(__xludf.DUMMYFUNCTION("SPLIT(C1153,""-"")"),1168.0)</f>
        <v>1168</v>
      </c>
      <c r="E1153" s="311"/>
      <c r="F1153" s="309" t="s">
        <v>34</v>
      </c>
      <c r="G1153" s="308"/>
      <c r="H1153" s="308" t="s">
        <v>4614</v>
      </c>
      <c r="I1153" s="314">
        <v>40536.0</v>
      </c>
      <c r="J1153" s="308">
        <f>IFERROR(__xludf.DUMMYFUNCTION("SPLIT(I1153,""/"")"),24.0)</f>
        <v>24</v>
      </c>
      <c r="K1153" s="308">
        <f>IFERROR(__xludf.DUMMYFUNCTION("""COMPUTED_VALUE"""),12.0)</f>
        <v>12</v>
      </c>
      <c r="L1153" s="308">
        <f>IFERROR(__xludf.DUMMYFUNCTION("""COMPUTED_VALUE"""),2010.0)</f>
        <v>2010</v>
      </c>
      <c r="M1153" s="308" t="s">
        <v>4615</v>
      </c>
      <c r="N1153" s="308"/>
      <c r="O1153" s="312" t="s">
        <v>4616</v>
      </c>
      <c r="P1153" s="308" t="s">
        <v>4617</v>
      </c>
      <c r="Q1153" s="308"/>
      <c r="R1153" s="308"/>
      <c r="S1153" s="308" t="s">
        <v>81</v>
      </c>
      <c r="T1153" s="308" t="s">
        <v>34264</v>
      </c>
      <c r="U1153" s="308"/>
      <c r="V1153" s="312"/>
    </row>
    <row r="1154">
      <c r="A1154" s="308">
        <v>1153.0</v>
      </c>
      <c r="B1154" s="308">
        <v>4366.0</v>
      </c>
      <c r="C1154" s="308">
        <v>1169.0</v>
      </c>
      <c r="D1154" s="308">
        <f>IFERROR(__xludf.DUMMYFUNCTION("SPLIT(C1154,""-"")"),1169.0)</f>
        <v>1169</v>
      </c>
      <c r="E1154" s="311"/>
      <c r="F1154" s="309" t="s">
        <v>34</v>
      </c>
      <c r="G1154" s="308"/>
      <c r="H1154" s="308" t="s">
        <v>4618</v>
      </c>
      <c r="I1154" s="310">
        <v>39694.0</v>
      </c>
      <c r="J1154" s="308">
        <f>IFERROR(__xludf.DUMMYFUNCTION("SPLIT(I1154,""/"")"),3.0)</f>
        <v>3</v>
      </c>
      <c r="K1154" s="308">
        <f>IFERROR(__xludf.DUMMYFUNCTION("""COMPUTED_VALUE"""),9.0)</f>
        <v>9</v>
      </c>
      <c r="L1154" s="308">
        <f>IFERROR(__xludf.DUMMYFUNCTION("""COMPUTED_VALUE"""),2008.0)</f>
        <v>2008</v>
      </c>
      <c r="M1154" s="308" t="s">
        <v>4619</v>
      </c>
      <c r="N1154" s="308" t="s">
        <v>4620</v>
      </c>
      <c r="O1154" s="312" t="s">
        <v>4621</v>
      </c>
      <c r="P1154" s="308" t="s">
        <v>4319</v>
      </c>
      <c r="Q1154" s="308"/>
      <c r="R1154" s="308"/>
      <c r="S1154" s="308" t="s">
        <v>81</v>
      </c>
      <c r="T1154" s="308" t="s">
        <v>34264</v>
      </c>
      <c r="U1154" s="308"/>
      <c r="V1154" s="312"/>
    </row>
    <row r="1155">
      <c r="A1155" s="308">
        <v>1154.0</v>
      </c>
      <c r="B1155" s="308">
        <v>4367.0</v>
      </c>
      <c r="C1155" s="308">
        <v>1170.0</v>
      </c>
      <c r="D1155" s="308">
        <f>IFERROR(__xludf.DUMMYFUNCTION("SPLIT(C1155,""-"")"),1170.0)</f>
        <v>1170</v>
      </c>
      <c r="E1155" s="311"/>
      <c r="F1155" s="309" t="s">
        <v>34</v>
      </c>
      <c r="G1155" s="308"/>
      <c r="H1155" s="308" t="s">
        <v>4622</v>
      </c>
      <c r="I1155" s="310">
        <v>40001.0</v>
      </c>
      <c r="J1155" s="308">
        <f>IFERROR(__xludf.DUMMYFUNCTION("SPLIT(I1155,""/"")"),7.0)</f>
        <v>7</v>
      </c>
      <c r="K1155" s="308">
        <f>IFERROR(__xludf.DUMMYFUNCTION("""COMPUTED_VALUE"""),7.0)</f>
        <v>7</v>
      </c>
      <c r="L1155" s="308">
        <f>IFERROR(__xludf.DUMMYFUNCTION("""COMPUTED_VALUE"""),2009.0)</f>
        <v>2009</v>
      </c>
      <c r="M1155" s="308" t="s">
        <v>4623</v>
      </c>
      <c r="N1155" s="308" t="s">
        <v>4624</v>
      </c>
      <c r="O1155" s="312" t="s">
        <v>4625</v>
      </c>
      <c r="P1155" s="308" t="s">
        <v>4626</v>
      </c>
      <c r="Q1155" s="308" t="s">
        <v>4627</v>
      </c>
      <c r="R1155" s="308"/>
      <c r="S1155" s="308" t="s">
        <v>81</v>
      </c>
      <c r="T1155" s="308" t="s">
        <v>98</v>
      </c>
      <c r="U1155" s="308"/>
      <c r="V1155" s="308" t="s">
        <v>4628</v>
      </c>
    </row>
    <row r="1156">
      <c r="A1156" s="308">
        <v>1155.0</v>
      </c>
      <c r="B1156" s="308">
        <v>4368.0</v>
      </c>
      <c r="C1156" s="308" t="s">
        <v>4629</v>
      </c>
      <c r="D1156" s="308">
        <f>IFERROR(__xludf.DUMMYFUNCTION("SPLIT(C1156,""-"")"),1171.0)</f>
        <v>1171</v>
      </c>
      <c r="E1156" s="308" t="str">
        <f>IFERROR(__xludf.DUMMYFUNCTION("""COMPUTED_VALUE"""),"K")</f>
        <v>K</v>
      </c>
      <c r="F1156" s="309" t="s">
        <v>34</v>
      </c>
      <c r="G1156" s="308"/>
      <c r="H1156" s="308" t="s">
        <v>4630</v>
      </c>
      <c r="I1156" s="310">
        <v>39630.0</v>
      </c>
      <c r="J1156" s="308">
        <f>IFERROR(__xludf.DUMMYFUNCTION("SPLIT(I1156,""/"")"),1.0)</f>
        <v>1</v>
      </c>
      <c r="K1156" s="308">
        <f>IFERROR(__xludf.DUMMYFUNCTION("""COMPUTED_VALUE"""),7.0)</f>
        <v>7</v>
      </c>
      <c r="L1156" s="308">
        <f>IFERROR(__xludf.DUMMYFUNCTION("""COMPUTED_VALUE"""),2008.0)</f>
        <v>2008</v>
      </c>
      <c r="M1156" s="308" t="s">
        <v>4631</v>
      </c>
      <c r="N1156" s="308"/>
      <c r="O1156" s="312" t="s">
        <v>35956</v>
      </c>
      <c r="P1156" s="308" t="s">
        <v>1392</v>
      </c>
      <c r="Q1156" s="308"/>
      <c r="R1156" s="308"/>
      <c r="S1156" s="308" t="s">
        <v>49</v>
      </c>
      <c r="T1156" s="315" t="s">
        <v>69</v>
      </c>
      <c r="U1156" s="308" t="s">
        <v>530</v>
      </c>
      <c r="V1156" s="312"/>
    </row>
    <row r="1157">
      <c r="A1157" s="308">
        <v>1156.0</v>
      </c>
      <c r="B1157" s="308">
        <v>4369.0</v>
      </c>
      <c r="C1157" s="308">
        <v>1172.0</v>
      </c>
      <c r="D1157" s="308">
        <f>IFERROR(__xludf.DUMMYFUNCTION("SPLIT(C1157,""-"")"),1172.0)</f>
        <v>1172</v>
      </c>
      <c r="E1157" s="311"/>
      <c r="F1157" s="317" t="s">
        <v>37</v>
      </c>
      <c r="G1157" s="308" t="s">
        <v>4633</v>
      </c>
      <c r="H1157" s="308" t="s">
        <v>4634</v>
      </c>
      <c r="I1157" s="310">
        <v>41374.0</v>
      </c>
      <c r="J1157" s="308">
        <f>IFERROR(__xludf.DUMMYFUNCTION("SPLIT(I1157,""/"")"),10.0)</f>
        <v>10</v>
      </c>
      <c r="K1157" s="308">
        <f>IFERROR(__xludf.DUMMYFUNCTION("""COMPUTED_VALUE"""),4.0)</f>
        <v>4</v>
      </c>
      <c r="L1157" s="308">
        <f>IFERROR(__xludf.DUMMYFUNCTION("""COMPUTED_VALUE"""),2013.0)</f>
        <v>2013</v>
      </c>
      <c r="M1157" s="308" t="s">
        <v>4635</v>
      </c>
      <c r="N1157" s="308"/>
      <c r="O1157" s="312" t="s">
        <v>4636</v>
      </c>
      <c r="P1157" s="308" t="s">
        <v>4637</v>
      </c>
      <c r="Q1157" s="308"/>
      <c r="R1157" s="308"/>
      <c r="S1157" s="308" t="s">
        <v>81</v>
      </c>
      <c r="T1157" s="311" t="s">
        <v>75</v>
      </c>
      <c r="U1157" s="308"/>
      <c r="V1157" s="312"/>
    </row>
    <row r="1158">
      <c r="A1158" s="308">
        <v>1157.0</v>
      </c>
      <c r="B1158" s="308">
        <v>4370.0</v>
      </c>
      <c r="C1158" s="308">
        <v>1173.0</v>
      </c>
      <c r="D1158" s="308">
        <f>IFERROR(__xludf.DUMMYFUNCTION("SPLIT(C1158,""-"")"),1173.0)</f>
        <v>1173</v>
      </c>
      <c r="E1158" s="311"/>
      <c r="F1158" s="309" t="s">
        <v>23</v>
      </c>
      <c r="G1158" s="308" t="s">
        <v>4638</v>
      </c>
      <c r="H1158" s="308" t="s">
        <v>4639</v>
      </c>
      <c r="I1158" s="310">
        <v>41325.0</v>
      </c>
      <c r="J1158" s="308">
        <f>IFERROR(__xludf.DUMMYFUNCTION("SPLIT(I1158,""/"")"),20.0)</f>
        <v>20</v>
      </c>
      <c r="K1158" s="308">
        <f>IFERROR(__xludf.DUMMYFUNCTION("""COMPUTED_VALUE"""),2.0)</f>
        <v>2</v>
      </c>
      <c r="L1158" s="308">
        <f>IFERROR(__xludf.DUMMYFUNCTION("""COMPUTED_VALUE"""),2013.0)</f>
        <v>2013</v>
      </c>
      <c r="M1158" s="308" t="s">
        <v>4640</v>
      </c>
      <c r="N1158" s="308"/>
      <c r="O1158" s="312" t="s">
        <v>4641</v>
      </c>
      <c r="P1158" s="308" t="s">
        <v>4642</v>
      </c>
      <c r="Q1158" s="308"/>
      <c r="R1158" s="308"/>
      <c r="S1158" s="308" t="s">
        <v>81</v>
      </c>
      <c r="T1158" s="308" t="s">
        <v>75</v>
      </c>
      <c r="U1158" s="308"/>
      <c r="V1158" s="312"/>
    </row>
    <row r="1159">
      <c r="A1159" s="308">
        <v>1158.0</v>
      </c>
      <c r="B1159" s="308">
        <v>4371.0</v>
      </c>
      <c r="C1159" s="308">
        <v>1174.0</v>
      </c>
      <c r="D1159" s="308">
        <f>IFERROR(__xludf.DUMMYFUNCTION("SPLIT(C1159,""-"")"),1174.0)</f>
        <v>1174</v>
      </c>
      <c r="E1159" s="311"/>
      <c r="F1159" s="309" t="s">
        <v>34</v>
      </c>
      <c r="G1159" s="308" t="s">
        <v>4643</v>
      </c>
      <c r="H1159" s="308" t="s">
        <v>4644</v>
      </c>
      <c r="I1159" s="310">
        <v>40269.0</v>
      </c>
      <c r="J1159" s="308">
        <f>IFERROR(__xludf.DUMMYFUNCTION("SPLIT(I1159,""/"")"),1.0)</f>
        <v>1</v>
      </c>
      <c r="K1159" s="308">
        <f>IFERROR(__xludf.DUMMYFUNCTION("""COMPUTED_VALUE"""),4.0)</f>
        <v>4</v>
      </c>
      <c r="L1159" s="308">
        <f>IFERROR(__xludf.DUMMYFUNCTION("""COMPUTED_VALUE"""),2010.0)</f>
        <v>2010</v>
      </c>
      <c r="M1159" s="308" t="s">
        <v>4645</v>
      </c>
      <c r="N1159" s="308"/>
      <c r="O1159" s="312" t="s">
        <v>4646</v>
      </c>
      <c r="P1159" s="308" t="s">
        <v>4647</v>
      </c>
      <c r="Q1159" s="308"/>
      <c r="R1159" s="308"/>
      <c r="S1159" s="308" t="s">
        <v>81</v>
      </c>
      <c r="T1159" s="308" t="s">
        <v>34264</v>
      </c>
      <c r="U1159" s="308"/>
      <c r="V1159" s="312"/>
    </row>
    <row r="1160">
      <c r="A1160" s="308">
        <v>1159.0</v>
      </c>
      <c r="B1160" s="308">
        <v>4372.0</v>
      </c>
      <c r="C1160" s="308">
        <v>1175.0</v>
      </c>
      <c r="D1160" s="308">
        <f>IFERROR(__xludf.DUMMYFUNCTION("SPLIT(C1160,""-"")"),1175.0)</f>
        <v>1175</v>
      </c>
      <c r="E1160" s="311"/>
      <c r="F1160" s="309" t="s">
        <v>34</v>
      </c>
      <c r="G1160" s="308" t="s">
        <v>4648</v>
      </c>
      <c r="H1160" s="308" t="s">
        <v>4649</v>
      </c>
      <c r="I1160" s="310">
        <v>40019.0</v>
      </c>
      <c r="J1160" s="308">
        <f>IFERROR(__xludf.DUMMYFUNCTION("SPLIT(I1160,""/"")"),25.0)</f>
        <v>25</v>
      </c>
      <c r="K1160" s="308">
        <f>IFERROR(__xludf.DUMMYFUNCTION("""COMPUTED_VALUE"""),7.0)</f>
        <v>7</v>
      </c>
      <c r="L1160" s="308">
        <f>IFERROR(__xludf.DUMMYFUNCTION("""COMPUTED_VALUE"""),2009.0)</f>
        <v>2009</v>
      </c>
      <c r="M1160" s="308" t="s">
        <v>4650</v>
      </c>
      <c r="N1160" s="308"/>
      <c r="O1160" s="312" t="s">
        <v>4651</v>
      </c>
      <c r="P1160" s="308" t="s">
        <v>1971</v>
      </c>
      <c r="Q1160" s="308"/>
      <c r="R1160" s="308"/>
      <c r="S1160" s="315" t="s">
        <v>100</v>
      </c>
      <c r="T1160" s="311" t="s">
        <v>34208</v>
      </c>
      <c r="U1160" s="308" t="s">
        <v>530</v>
      </c>
      <c r="V1160" s="312"/>
    </row>
    <row r="1161">
      <c r="A1161" s="308">
        <v>1160.0</v>
      </c>
      <c r="B1161" s="308">
        <v>4373.0</v>
      </c>
      <c r="C1161" s="308">
        <v>1176.0</v>
      </c>
      <c r="D1161" s="308">
        <f>IFERROR(__xludf.DUMMYFUNCTION("SPLIT(C1161,""-"")"),1176.0)</f>
        <v>1176</v>
      </c>
      <c r="E1161" s="311"/>
      <c r="F1161" s="309" t="s">
        <v>34</v>
      </c>
      <c r="G1161" s="308" t="s">
        <v>4652</v>
      </c>
      <c r="H1161" s="308" t="s">
        <v>4653</v>
      </c>
      <c r="I1161" s="310">
        <v>40019.0</v>
      </c>
      <c r="J1161" s="308">
        <f>IFERROR(__xludf.DUMMYFUNCTION("SPLIT(I1161,""/"")"),25.0)</f>
        <v>25</v>
      </c>
      <c r="K1161" s="308">
        <f>IFERROR(__xludf.DUMMYFUNCTION("""COMPUTED_VALUE"""),7.0)</f>
        <v>7</v>
      </c>
      <c r="L1161" s="308">
        <f>IFERROR(__xludf.DUMMYFUNCTION("""COMPUTED_VALUE"""),2009.0)</f>
        <v>2009</v>
      </c>
      <c r="M1161" s="308" t="s">
        <v>4650</v>
      </c>
      <c r="N1161" s="308"/>
      <c r="O1161" s="312" t="s">
        <v>4651</v>
      </c>
      <c r="P1161" s="308" t="s">
        <v>1971</v>
      </c>
      <c r="Q1161" s="308"/>
      <c r="R1161" s="308"/>
      <c r="S1161" s="315" t="s">
        <v>100</v>
      </c>
      <c r="T1161" s="311" t="s">
        <v>34208</v>
      </c>
      <c r="U1161" s="308" t="s">
        <v>530</v>
      </c>
      <c r="V1161" s="312"/>
    </row>
    <row r="1162">
      <c r="A1162" s="308">
        <v>1161.0</v>
      </c>
      <c r="B1162" s="308">
        <v>4374.0</v>
      </c>
      <c r="C1162" s="308">
        <v>1177.0</v>
      </c>
      <c r="D1162" s="308">
        <f>IFERROR(__xludf.DUMMYFUNCTION("SPLIT(C1162,""-"")"),1177.0)</f>
        <v>1177</v>
      </c>
      <c r="E1162" s="311"/>
      <c r="F1162" s="309" t="s">
        <v>34</v>
      </c>
      <c r="G1162" s="308" t="s">
        <v>4654</v>
      </c>
      <c r="H1162" s="308" t="s">
        <v>4655</v>
      </c>
      <c r="I1162" s="310">
        <v>41277.0</v>
      </c>
      <c r="J1162" s="308">
        <f>IFERROR(__xludf.DUMMYFUNCTION("SPLIT(I1162,""/"")"),3.0)</f>
        <v>3</v>
      </c>
      <c r="K1162" s="308">
        <f>IFERROR(__xludf.DUMMYFUNCTION("""COMPUTED_VALUE"""),1.0)</f>
        <v>1</v>
      </c>
      <c r="L1162" s="308">
        <f>IFERROR(__xludf.DUMMYFUNCTION("""COMPUTED_VALUE"""),2013.0)</f>
        <v>2013</v>
      </c>
      <c r="M1162" s="308" t="s">
        <v>4656</v>
      </c>
      <c r="N1162" s="308"/>
      <c r="O1162" s="312"/>
      <c r="P1162" s="308" t="s">
        <v>4657</v>
      </c>
      <c r="Q1162" s="308"/>
      <c r="R1162" s="308"/>
      <c r="S1162" s="308" t="s">
        <v>81</v>
      </c>
      <c r="T1162" s="308" t="s">
        <v>34264</v>
      </c>
      <c r="U1162" s="308"/>
      <c r="V1162" s="312"/>
    </row>
    <row r="1163">
      <c r="A1163" s="308">
        <v>1162.0</v>
      </c>
      <c r="B1163" s="308">
        <v>4375.0</v>
      </c>
      <c r="C1163" s="308">
        <v>1178.0</v>
      </c>
      <c r="D1163" s="308">
        <f>IFERROR(__xludf.DUMMYFUNCTION("SPLIT(C1163,""-"")"),1178.0)</f>
        <v>1178</v>
      </c>
      <c r="E1163" s="311"/>
      <c r="F1163" s="317" t="s">
        <v>37</v>
      </c>
      <c r="G1163" s="308"/>
      <c r="H1163" s="308" t="s">
        <v>4658</v>
      </c>
      <c r="I1163" s="310">
        <v>41518.0</v>
      </c>
      <c r="J1163" s="308">
        <f>IFERROR(__xludf.DUMMYFUNCTION("SPLIT(I1163,""/"")"),1.0)</f>
        <v>1</v>
      </c>
      <c r="K1163" s="308">
        <f>IFERROR(__xludf.DUMMYFUNCTION("""COMPUTED_VALUE"""),9.0)</f>
        <v>9</v>
      </c>
      <c r="L1163" s="308">
        <f>IFERROR(__xludf.DUMMYFUNCTION("""COMPUTED_VALUE"""),2013.0)</f>
        <v>2013</v>
      </c>
      <c r="M1163" s="308" t="s">
        <v>4659</v>
      </c>
      <c r="N1163" s="308"/>
      <c r="O1163" s="312" t="s">
        <v>4660</v>
      </c>
      <c r="P1163" s="308" t="s">
        <v>4661</v>
      </c>
      <c r="Q1163" s="308"/>
      <c r="R1163" s="308"/>
      <c r="S1163" s="308" t="s">
        <v>81</v>
      </c>
      <c r="T1163" s="311" t="s">
        <v>75</v>
      </c>
      <c r="U1163" s="308"/>
      <c r="V1163" s="312"/>
    </row>
    <row r="1164">
      <c r="A1164" s="308">
        <v>1163.0</v>
      </c>
      <c r="B1164" s="308">
        <v>4376.0</v>
      </c>
      <c r="C1164" s="308">
        <v>1179.0</v>
      </c>
      <c r="D1164" s="308">
        <f>IFERROR(__xludf.DUMMYFUNCTION("SPLIT(C1164,""-"")"),1179.0)</f>
        <v>1179</v>
      </c>
      <c r="E1164" s="311"/>
      <c r="F1164" s="317" t="s">
        <v>37</v>
      </c>
      <c r="G1164" s="308"/>
      <c r="H1164" s="308" t="s">
        <v>4662</v>
      </c>
      <c r="I1164" s="310">
        <v>41314.0</v>
      </c>
      <c r="J1164" s="308">
        <f>IFERROR(__xludf.DUMMYFUNCTION("SPLIT(I1164,""/"")"),9.0)</f>
        <v>9</v>
      </c>
      <c r="K1164" s="308">
        <f>IFERROR(__xludf.DUMMYFUNCTION("""COMPUTED_VALUE"""),2.0)</f>
        <v>2</v>
      </c>
      <c r="L1164" s="308">
        <f>IFERROR(__xludf.DUMMYFUNCTION("""COMPUTED_VALUE"""),2013.0)</f>
        <v>2013</v>
      </c>
      <c r="M1164" s="308" t="s">
        <v>4663</v>
      </c>
      <c r="N1164" s="308"/>
      <c r="O1164" s="312" t="s">
        <v>4664</v>
      </c>
      <c r="P1164" s="308" t="s">
        <v>35957</v>
      </c>
      <c r="Q1164" s="308"/>
      <c r="R1164" s="308"/>
      <c r="S1164" s="308" t="s">
        <v>81</v>
      </c>
      <c r="T1164" s="311" t="s">
        <v>57</v>
      </c>
      <c r="U1164" s="308"/>
      <c r="V1164" s="312"/>
    </row>
    <row r="1165">
      <c r="A1165" s="308">
        <v>1164.0</v>
      </c>
      <c r="B1165" s="308">
        <v>4377.0</v>
      </c>
      <c r="C1165" s="308">
        <v>1180.0</v>
      </c>
      <c r="D1165" s="308">
        <f>IFERROR(__xludf.DUMMYFUNCTION("SPLIT(C1165,""-"")"),1180.0)</f>
        <v>1180</v>
      </c>
      <c r="E1165" s="311"/>
      <c r="F1165" s="309" t="s">
        <v>26</v>
      </c>
      <c r="G1165" s="308" t="s">
        <v>4666</v>
      </c>
      <c r="H1165" s="308" t="s">
        <v>4667</v>
      </c>
      <c r="I1165" s="310">
        <v>41317.0</v>
      </c>
      <c r="J1165" s="308">
        <f>IFERROR(__xludf.DUMMYFUNCTION("SPLIT(I1165,""/"")"),12.0)</f>
        <v>12</v>
      </c>
      <c r="K1165" s="308">
        <f>IFERROR(__xludf.DUMMYFUNCTION("""COMPUTED_VALUE"""),2.0)</f>
        <v>2</v>
      </c>
      <c r="L1165" s="308">
        <f>IFERROR(__xludf.DUMMYFUNCTION("""COMPUTED_VALUE"""),2013.0)</f>
        <v>2013</v>
      </c>
      <c r="M1165" s="308" t="s">
        <v>4668</v>
      </c>
      <c r="N1165" s="308"/>
      <c r="O1165" s="312" t="s">
        <v>635</v>
      </c>
      <c r="P1165" s="308" t="s">
        <v>4669</v>
      </c>
      <c r="Q1165" s="308"/>
      <c r="R1165" s="308"/>
      <c r="S1165" s="308" t="s">
        <v>49</v>
      </c>
      <c r="T1165" s="308" t="s">
        <v>70</v>
      </c>
      <c r="U1165" s="308" t="s">
        <v>27</v>
      </c>
      <c r="V1165" s="312"/>
    </row>
    <row r="1166">
      <c r="A1166" s="308">
        <v>1165.0</v>
      </c>
      <c r="B1166" s="308">
        <v>4378.0</v>
      </c>
      <c r="C1166" s="308">
        <v>1181.0</v>
      </c>
      <c r="D1166" s="308">
        <f>IFERROR(__xludf.DUMMYFUNCTION("SPLIT(C1166,""-"")"),1181.0)</f>
        <v>1181</v>
      </c>
      <c r="E1166" s="311"/>
      <c r="F1166" s="317" t="s">
        <v>39</v>
      </c>
      <c r="G1166" s="308" t="s">
        <v>4670</v>
      </c>
      <c r="H1166" s="308" t="s">
        <v>4671</v>
      </c>
      <c r="I1166" s="310">
        <v>41091.0</v>
      </c>
      <c r="J1166" s="308">
        <f>IFERROR(__xludf.DUMMYFUNCTION("SPLIT(I1166,""/"")"),1.0)</f>
        <v>1</v>
      </c>
      <c r="K1166" s="308">
        <f>IFERROR(__xludf.DUMMYFUNCTION("""COMPUTED_VALUE"""),7.0)</f>
        <v>7</v>
      </c>
      <c r="L1166" s="308">
        <f>IFERROR(__xludf.DUMMYFUNCTION("""COMPUTED_VALUE"""),2012.0)</f>
        <v>2012</v>
      </c>
      <c r="M1166" s="308" t="s">
        <v>4672</v>
      </c>
      <c r="N1166" s="308"/>
      <c r="O1166" s="312" t="s">
        <v>635</v>
      </c>
      <c r="P1166" s="308" t="s">
        <v>35958</v>
      </c>
      <c r="Q1166" s="308"/>
      <c r="R1166" s="308"/>
      <c r="S1166" s="308" t="s">
        <v>81</v>
      </c>
      <c r="T1166" s="311" t="s">
        <v>75</v>
      </c>
      <c r="U1166" s="308"/>
      <c r="V1166" s="312"/>
    </row>
    <row r="1167">
      <c r="A1167" s="308">
        <v>1166.0</v>
      </c>
      <c r="B1167" s="308">
        <v>4379.0</v>
      </c>
      <c r="C1167" s="308">
        <v>1182.0</v>
      </c>
      <c r="D1167" s="308">
        <f>IFERROR(__xludf.DUMMYFUNCTION("SPLIT(C1167,""-"")"),1182.0)</f>
        <v>1182</v>
      </c>
      <c r="E1167" s="311"/>
      <c r="F1167" s="317" t="s">
        <v>39</v>
      </c>
      <c r="G1167" s="308" t="s">
        <v>4674</v>
      </c>
      <c r="H1167" s="308" t="s">
        <v>4675</v>
      </c>
      <c r="I1167" s="310">
        <v>41357.0</v>
      </c>
      <c r="J1167" s="308">
        <f>IFERROR(__xludf.DUMMYFUNCTION("SPLIT(I1167,""/"")"),24.0)</f>
        <v>24</v>
      </c>
      <c r="K1167" s="308">
        <f>IFERROR(__xludf.DUMMYFUNCTION("""COMPUTED_VALUE"""),3.0)</f>
        <v>3</v>
      </c>
      <c r="L1167" s="308">
        <f>IFERROR(__xludf.DUMMYFUNCTION("""COMPUTED_VALUE"""),2013.0)</f>
        <v>2013</v>
      </c>
      <c r="M1167" s="308" t="s">
        <v>4676</v>
      </c>
      <c r="N1167" s="308"/>
      <c r="O1167" s="312" t="s">
        <v>4677</v>
      </c>
      <c r="P1167" s="308" t="s">
        <v>35959</v>
      </c>
      <c r="Q1167" s="308"/>
      <c r="R1167" s="308"/>
      <c r="S1167" s="308" t="s">
        <v>81</v>
      </c>
      <c r="T1167" s="308" t="s">
        <v>98</v>
      </c>
      <c r="U1167" s="308"/>
      <c r="V1167" s="312"/>
    </row>
    <row r="1168">
      <c r="A1168" s="308">
        <v>1167.0</v>
      </c>
      <c r="B1168" s="308">
        <v>4380.0</v>
      </c>
      <c r="C1168" s="308">
        <v>1183.0</v>
      </c>
      <c r="D1168" s="308">
        <f>IFERROR(__xludf.DUMMYFUNCTION("SPLIT(C1168,""-"")"),1183.0)</f>
        <v>1183</v>
      </c>
      <c r="E1168" s="311"/>
      <c r="F1168" s="309" t="s">
        <v>34</v>
      </c>
      <c r="G1168" s="308" t="s">
        <v>4679</v>
      </c>
      <c r="H1168" s="308" t="s">
        <v>4680</v>
      </c>
      <c r="I1168" s="310">
        <v>39995.0</v>
      </c>
      <c r="J1168" s="308">
        <f>IFERROR(__xludf.DUMMYFUNCTION("SPLIT(I1168,""/"")"),1.0)</f>
        <v>1</v>
      </c>
      <c r="K1168" s="308">
        <f>IFERROR(__xludf.DUMMYFUNCTION("""COMPUTED_VALUE"""),7.0)</f>
        <v>7</v>
      </c>
      <c r="L1168" s="308">
        <f>IFERROR(__xludf.DUMMYFUNCTION("""COMPUTED_VALUE"""),2009.0)</f>
        <v>2009</v>
      </c>
      <c r="M1168" s="308" t="s">
        <v>4681</v>
      </c>
      <c r="N1168" s="308"/>
      <c r="O1168" s="312" t="s">
        <v>4682</v>
      </c>
      <c r="P1168" s="308" t="s">
        <v>1971</v>
      </c>
      <c r="Q1168" s="308"/>
      <c r="R1168" s="308"/>
      <c r="S1168" s="315" t="s">
        <v>100</v>
      </c>
      <c r="T1168" s="311" t="s">
        <v>34208</v>
      </c>
      <c r="U1168" s="308" t="s">
        <v>530</v>
      </c>
      <c r="V1168" s="312"/>
    </row>
    <row r="1169">
      <c r="A1169" s="308">
        <v>1168.0</v>
      </c>
      <c r="B1169" s="308">
        <v>4381.0</v>
      </c>
      <c r="C1169" s="308">
        <v>1184.0</v>
      </c>
      <c r="D1169" s="308">
        <f>IFERROR(__xludf.DUMMYFUNCTION("SPLIT(C1169,""-"")"),1184.0)</f>
        <v>1184</v>
      </c>
      <c r="E1169" s="311"/>
      <c r="F1169" s="309" t="s">
        <v>34</v>
      </c>
      <c r="G1169" s="308" t="s">
        <v>4683</v>
      </c>
      <c r="H1169" s="308" t="s">
        <v>4684</v>
      </c>
      <c r="I1169" s="310">
        <v>39630.0</v>
      </c>
      <c r="J1169" s="308">
        <f>IFERROR(__xludf.DUMMYFUNCTION("SPLIT(I1169,""/"")"),1.0)</f>
        <v>1</v>
      </c>
      <c r="K1169" s="308">
        <f>IFERROR(__xludf.DUMMYFUNCTION("""COMPUTED_VALUE"""),7.0)</f>
        <v>7</v>
      </c>
      <c r="L1169" s="308">
        <f>IFERROR(__xludf.DUMMYFUNCTION("""COMPUTED_VALUE"""),2008.0)</f>
        <v>2008</v>
      </c>
      <c r="M1169" s="308" t="s">
        <v>4685</v>
      </c>
      <c r="N1169" s="308"/>
      <c r="O1169" s="312" t="s">
        <v>4686</v>
      </c>
      <c r="P1169" s="308" t="s">
        <v>1392</v>
      </c>
      <c r="Q1169" s="308"/>
      <c r="R1169" s="308"/>
      <c r="S1169" s="308" t="s">
        <v>49</v>
      </c>
      <c r="T1169" s="315" t="s">
        <v>69</v>
      </c>
      <c r="U1169" s="308" t="s">
        <v>530</v>
      </c>
      <c r="V1169" s="312"/>
    </row>
    <row r="1170">
      <c r="A1170" s="308">
        <v>1169.0</v>
      </c>
      <c r="B1170" s="308">
        <v>4382.0</v>
      </c>
      <c r="C1170" s="308">
        <v>1185.0</v>
      </c>
      <c r="D1170" s="308">
        <f>IFERROR(__xludf.DUMMYFUNCTION("SPLIT(C1170,""-"")"),1185.0)</f>
        <v>1185</v>
      </c>
      <c r="E1170" s="311"/>
      <c r="F1170" s="309" t="s">
        <v>34</v>
      </c>
      <c r="G1170" s="308" t="s">
        <v>4683</v>
      </c>
      <c r="H1170" s="308" t="s">
        <v>4687</v>
      </c>
      <c r="I1170" s="310">
        <v>39630.0</v>
      </c>
      <c r="J1170" s="308">
        <f>IFERROR(__xludf.DUMMYFUNCTION("SPLIT(I1170,""/"")"),1.0)</f>
        <v>1</v>
      </c>
      <c r="K1170" s="308">
        <f>IFERROR(__xludf.DUMMYFUNCTION("""COMPUTED_VALUE"""),7.0)</f>
        <v>7</v>
      </c>
      <c r="L1170" s="308">
        <f>IFERROR(__xludf.DUMMYFUNCTION("""COMPUTED_VALUE"""),2008.0)</f>
        <v>2008</v>
      </c>
      <c r="M1170" s="308" t="s">
        <v>4685</v>
      </c>
      <c r="N1170" s="308"/>
      <c r="O1170" s="312" t="s">
        <v>4686</v>
      </c>
      <c r="P1170" s="308" t="s">
        <v>1392</v>
      </c>
      <c r="Q1170" s="308"/>
      <c r="R1170" s="308"/>
      <c r="S1170" s="308" t="s">
        <v>49</v>
      </c>
      <c r="T1170" s="315" t="s">
        <v>69</v>
      </c>
      <c r="U1170" s="308" t="s">
        <v>530</v>
      </c>
      <c r="V1170" s="312"/>
    </row>
    <row r="1171">
      <c r="A1171" s="308">
        <v>1170.0</v>
      </c>
      <c r="B1171" s="308">
        <v>4383.0</v>
      </c>
      <c r="C1171" s="308">
        <v>1186.0</v>
      </c>
      <c r="D1171" s="308">
        <f>IFERROR(__xludf.DUMMYFUNCTION("SPLIT(C1171,""-"")"),1186.0)</f>
        <v>1186</v>
      </c>
      <c r="E1171" s="311"/>
      <c r="F1171" s="309" t="s">
        <v>34</v>
      </c>
      <c r="G1171" s="308"/>
      <c r="H1171" s="308" t="s">
        <v>4688</v>
      </c>
      <c r="I1171" s="310">
        <v>39976.0</v>
      </c>
      <c r="J1171" s="308">
        <f>IFERROR(__xludf.DUMMYFUNCTION("SPLIT(I1171,""/"")"),12.0)</f>
        <v>12</v>
      </c>
      <c r="K1171" s="308">
        <f>IFERROR(__xludf.DUMMYFUNCTION("""COMPUTED_VALUE"""),6.0)</f>
        <v>6</v>
      </c>
      <c r="L1171" s="308">
        <f>IFERROR(__xludf.DUMMYFUNCTION("""COMPUTED_VALUE"""),2009.0)</f>
        <v>2009</v>
      </c>
      <c r="M1171" s="308" t="s">
        <v>4689</v>
      </c>
      <c r="N1171" s="308"/>
      <c r="O1171" s="312" t="s">
        <v>4690</v>
      </c>
      <c r="P1171" s="308" t="s">
        <v>1392</v>
      </c>
      <c r="Q1171" s="308"/>
      <c r="R1171" s="308"/>
      <c r="S1171" s="308" t="s">
        <v>49</v>
      </c>
      <c r="T1171" s="315" t="s">
        <v>69</v>
      </c>
      <c r="U1171" s="308" t="s">
        <v>530</v>
      </c>
      <c r="V1171" s="312"/>
    </row>
    <row r="1172">
      <c r="A1172" s="308">
        <v>1171.0</v>
      </c>
      <c r="B1172" s="308">
        <v>4384.0</v>
      </c>
      <c r="C1172" s="308">
        <v>1187.0</v>
      </c>
      <c r="D1172" s="308">
        <f>IFERROR(__xludf.DUMMYFUNCTION("SPLIT(C1172,""-"")"),1187.0)</f>
        <v>1187</v>
      </c>
      <c r="E1172" s="311"/>
      <c r="F1172" s="309" t="s">
        <v>34</v>
      </c>
      <c r="G1172" s="308"/>
      <c r="H1172" s="308" t="s">
        <v>4691</v>
      </c>
      <c r="I1172" s="310">
        <v>39995.0</v>
      </c>
      <c r="J1172" s="308">
        <f>IFERROR(__xludf.DUMMYFUNCTION("SPLIT(I1172,""/"")"),1.0)</f>
        <v>1</v>
      </c>
      <c r="K1172" s="308">
        <f>IFERROR(__xludf.DUMMYFUNCTION("""COMPUTED_VALUE"""),7.0)</f>
        <v>7</v>
      </c>
      <c r="L1172" s="308">
        <f>IFERROR(__xludf.DUMMYFUNCTION("""COMPUTED_VALUE"""),2009.0)</f>
        <v>2009</v>
      </c>
      <c r="M1172" s="308" t="s">
        <v>4692</v>
      </c>
      <c r="N1172" s="308"/>
      <c r="O1172" s="312" t="s">
        <v>4693</v>
      </c>
      <c r="P1172" s="308" t="s">
        <v>4694</v>
      </c>
      <c r="Q1172" s="308"/>
      <c r="R1172" s="308"/>
      <c r="S1172" s="308" t="s">
        <v>81</v>
      </c>
      <c r="T1172" s="308" t="s">
        <v>34264</v>
      </c>
      <c r="U1172" s="308"/>
      <c r="V1172" s="312"/>
    </row>
    <row r="1173">
      <c r="A1173" s="308">
        <v>1172.0</v>
      </c>
      <c r="B1173" s="308">
        <v>4385.0</v>
      </c>
      <c r="C1173" s="308">
        <v>1188.0</v>
      </c>
      <c r="D1173" s="308">
        <f>IFERROR(__xludf.DUMMYFUNCTION("SPLIT(C1173,""-"")"),1188.0)</f>
        <v>1188</v>
      </c>
      <c r="E1173" s="311"/>
      <c r="F1173" s="309" t="s">
        <v>34</v>
      </c>
      <c r="G1173" s="308"/>
      <c r="H1173" s="308" t="s">
        <v>4695</v>
      </c>
      <c r="I1173" s="310">
        <v>39995.0</v>
      </c>
      <c r="J1173" s="308">
        <f>IFERROR(__xludf.DUMMYFUNCTION("SPLIT(I1173,""/"")"),1.0)</f>
        <v>1</v>
      </c>
      <c r="K1173" s="308">
        <f>IFERROR(__xludf.DUMMYFUNCTION("""COMPUTED_VALUE"""),7.0)</f>
        <v>7</v>
      </c>
      <c r="L1173" s="308">
        <f>IFERROR(__xludf.DUMMYFUNCTION("""COMPUTED_VALUE"""),2009.0)</f>
        <v>2009</v>
      </c>
      <c r="M1173" s="308" t="s">
        <v>4692</v>
      </c>
      <c r="N1173" s="308"/>
      <c r="O1173" s="312" t="s">
        <v>4693</v>
      </c>
      <c r="P1173" s="308" t="s">
        <v>4694</v>
      </c>
      <c r="Q1173" s="308"/>
      <c r="R1173" s="308"/>
      <c r="S1173" s="308" t="s">
        <v>81</v>
      </c>
      <c r="T1173" s="308" t="s">
        <v>34264</v>
      </c>
      <c r="U1173" s="308"/>
      <c r="V1173" s="312"/>
    </row>
    <row r="1174">
      <c r="A1174" s="308">
        <v>1173.0</v>
      </c>
      <c r="B1174" s="308">
        <v>4386.0</v>
      </c>
      <c r="C1174" s="308">
        <v>1189.0</v>
      </c>
      <c r="D1174" s="308">
        <f>IFERROR(__xludf.DUMMYFUNCTION("SPLIT(C1174,""-"")"),1189.0)</f>
        <v>1189</v>
      </c>
      <c r="E1174" s="311"/>
      <c r="F1174" s="309" t="s">
        <v>34</v>
      </c>
      <c r="G1174" s="308"/>
      <c r="H1174" s="308" t="s">
        <v>35960</v>
      </c>
      <c r="I1174" s="310">
        <v>39948.0</v>
      </c>
      <c r="J1174" s="308">
        <f>IFERROR(__xludf.DUMMYFUNCTION("SPLIT(I1174,""/"")"),15.0)</f>
        <v>15</v>
      </c>
      <c r="K1174" s="308">
        <f>IFERROR(__xludf.DUMMYFUNCTION("""COMPUTED_VALUE"""),5.0)</f>
        <v>5</v>
      </c>
      <c r="L1174" s="308">
        <f>IFERROR(__xludf.DUMMYFUNCTION("""COMPUTED_VALUE"""),2009.0)</f>
        <v>2009</v>
      </c>
      <c r="M1174" s="308" t="s">
        <v>35961</v>
      </c>
      <c r="N1174" s="308"/>
      <c r="O1174" s="312" t="s">
        <v>35962</v>
      </c>
      <c r="P1174" s="308" t="s">
        <v>1392</v>
      </c>
      <c r="Q1174" s="308"/>
      <c r="R1174" s="308"/>
      <c r="S1174" s="308" t="s">
        <v>49</v>
      </c>
      <c r="T1174" s="315" t="s">
        <v>69</v>
      </c>
      <c r="U1174" s="308" t="s">
        <v>530</v>
      </c>
      <c r="V1174" s="312"/>
    </row>
    <row r="1175">
      <c r="A1175" s="308">
        <v>1174.0</v>
      </c>
      <c r="B1175" s="308">
        <v>4387.0</v>
      </c>
      <c r="C1175" s="308">
        <v>1190.0</v>
      </c>
      <c r="D1175" s="308">
        <f>IFERROR(__xludf.DUMMYFUNCTION("SPLIT(C1175,""-"")"),1190.0)</f>
        <v>1190</v>
      </c>
      <c r="E1175" s="311"/>
      <c r="F1175" s="309" t="s">
        <v>34</v>
      </c>
      <c r="G1175" s="308"/>
      <c r="H1175" s="308" t="s">
        <v>4699</v>
      </c>
      <c r="I1175" s="310">
        <v>40123.0</v>
      </c>
      <c r="J1175" s="308">
        <f>IFERROR(__xludf.DUMMYFUNCTION("SPLIT(I1175,""/"")"),6.0)</f>
        <v>6</v>
      </c>
      <c r="K1175" s="308">
        <f>IFERROR(__xludf.DUMMYFUNCTION("""COMPUTED_VALUE"""),11.0)</f>
        <v>11</v>
      </c>
      <c r="L1175" s="308">
        <f>IFERROR(__xludf.DUMMYFUNCTION("""COMPUTED_VALUE"""),2009.0)</f>
        <v>2009</v>
      </c>
      <c r="M1175" s="308" t="s">
        <v>4700</v>
      </c>
      <c r="N1175" s="308"/>
      <c r="O1175" s="312" t="s">
        <v>35963</v>
      </c>
      <c r="P1175" s="308" t="s">
        <v>35691</v>
      </c>
      <c r="Q1175" s="308"/>
      <c r="R1175" s="308"/>
      <c r="S1175" s="315" t="s">
        <v>100</v>
      </c>
      <c r="T1175" s="311" t="s">
        <v>34208</v>
      </c>
      <c r="U1175" s="308" t="s">
        <v>530</v>
      </c>
      <c r="V1175" s="312"/>
    </row>
    <row r="1176">
      <c r="A1176" s="308">
        <v>1175.0</v>
      </c>
      <c r="B1176" s="308">
        <v>4388.0</v>
      </c>
      <c r="C1176" s="308">
        <v>1191.0</v>
      </c>
      <c r="D1176" s="308">
        <f>IFERROR(__xludf.DUMMYFUNCTION("SPLIT(C1176,""-"")"),1191.0)</f>
        <v>1191</v>
      </c>
      <c r="E1176" s="311"/>
      <c r="F1176" s="309" t="s">
        <v>34</v>
      </c>
      <c r="G1176" s="308"/>
      <c r="H1176" s="308" t="s">
        <v>4702</v>
      </c>
      <c r="I1176" s="310">
        <v>39995.0</v>
      </c>
      <c r="J1176" s="308">
        <f>IFERROR(__xludf.DUMMYFUNCTION("SPLIT(I1176,""/"")"),1.0)</f>
        <v>1</v>
      </c>
      <c r="K1176" s="308">
        <f>IFERROR(__xludf.DUMMYFUNCTION("""COMPUTED_VALUE"""),7.0)</f>
        <v>7</v>
      </c>
      <c r="L1176" s="308">
        <f>IFERROR(__xludf.DUMMYFUNCTION("""COMPUTED_VALUE"""),2009.0)</f>
        <v>2009</v>
      </c>
      <c r="M1176" s="308" t="s">
        <v>35964</v>
      </c>
      <c r="N1176" s="308"/>
      <c r="O1176" s="312" t="s">
        <v>4704</v>
      </c>
      <c r="P1176" s="308" t="s">
        <v>4705</v>
      </c>
      <c r="Q1176" s="308"/>
      <c r="R1176" s="308"/>
      <c r="S1176" s="308" t="s">
        <v>81</v>
      </c>
      <c r="T1176" s="311" t="s">
        <v>98</v>
      </c>
      <c r="U1176" s="308"/>
      <c r="V1176" s="312"/>
    </row>
    <row r="1177">
      <c r="A1177" s="308">
        <v>1176.0</v>
      </c>
      <c r="B1177" s="308">
        <v>4389.0</v>
      </c>
      <c r="C1177" s="308">
        <v>1192.0</v>
      </c>
      <c r="D1177" s="308">
        <f>IFERROR(__xludf.DUMMYFUNCTION("SPLIT(C1177,""-"")"),1192.0)</f>
        <v>1192</v>
      </c>
      <c r="E1177" s="311"/>
      <c r="F1177" s="309" t="s">
        <v>34</v>
      </c>
      <c r="G1177" s="308"/>
      <c r="H1177" s="308" t="s">
        <v>4706</v>
      </c>
      <c r="I1177" s="310">
        <v>40981.0</v>
      </c>
      <c r="J1177" s="308">
        <f>IFERROR(__xludf.DUMMYFUNCTION("SPLIT(I1177,""/"")"),13.0)</f>
        <v>13</v>
      </c>
      <c r="K1177" s="308">
        <f>IFERROR(__xludf.DUMMYFUNCTION("""COMPUTED_VALUE"""),3.0)</f>
        <v>3</v>
      </c>
      <c r="L1177" s="308">
        <f>IFERROR(__xludf.DUMMYFUNCTION("""COMPUTED_VALUE"""),2012.0)</f>
        <v>2012</v>
      </c>
      <c r="M1177" s="308" t="s">
        <v>35965</v>
      </c>
      <c r="N1177" s="308"/>
      <c r="O1177" s="312"/>
      <c r="P1177" s="308" t="s">
        <v>4708</v>
      </c>
      <c r="Q1177" s="308"/>
      <c r="R1177" s="308"/>
      <c r="S1177" s="311" t="s">
        <v>49</v>
      </c>
      <c r="T1177" s="311" t="s">
        <v>34409</v>
      </c>
      <c r="U1177" s="308"/>
      <c r="V1177" s="312"/>
    </row>
    <row r="1178">
      <c r="A1178" s="308">
        <v>1177.0</v>
      </c>
      <c r="B1178" s="308">
        <v>4390.0</v>
      </c>
      <c r="C1178" s="308">
        <v>1193.0</v>
      </c>
      <c r="D1178" s="308">
        <f>IFERROR(__xludf.DUMMYFUNCTION("SPLIT(C1178,""-"")"),1193.0)</f>
        <v>1193</v>
      </c>
      <c r="E1178" s="311"/>
      <c r="F1178" s="309" t="s">
        <v>34</v>
      </c>
      <c r="G1178" s="308"/>
      <c r="H1178" s="308" t="s">
        <v>4709</v>
      </c>
      <c r="I1178" s="310">
        <v>40981.0</v>
      </c>
      <c r="J1178" s="308">
        <f>IFERROR(__xludf.DUMMYFUNCTION("SPLIT(I1178,""/"")"),13.0)</f>
        <v>13</v>
      </c>
      <c r="K1178" s="308">
        <f>IFERROR(__xludf.DUMMYFUNCTION("""COMPUTED_VALUE"""),3.0)</f>
        <v>3</v>
      </c>
      <c r="L1178" s="308">
        <f>IFERROR(__xludf.DUMMYFUNCTION("""COMPUTED_VALUE"""),2012.0)</f>
        <v>2012</v>
      </c>
      <c r="M1178" s="308" t="s">
        <v>35965</v>
      </c>
      <c r="N1178" s="308"/>
      <c r="O1178" s="312"/>
      <c r="P1178" s="308" t="s">
        <v>4708</v>
      </c>
      <c r="Q1178" s="308"/>
      <c r="R1178" s="308"/>
      <c r="S1178" s="311" t="s">
        <v>49</v>
      </c>
      <c r="T1178" s="311" t="s">
        <v>34409</v>
      </c>
      <c r="U1178" s="308"/>
      <c r="V1178" s="312"/>
    </row>
    <row r="1179">
      <c r="A1179" s="308">
        <v>1178.0</v>
      </c>
      <c r="B1179" s="308">
        <v>4391.0</v>
      </c>
      <c r="C1179" s="308">
        <v>1194.0</v>
      </c>
      <c r="D1179" s="308">
        <f>IFERROR(__xludf.DUMMYFUNCTION("SPLIT(C1179,""-"")"),1194.0)</f>
        <v>1194</v>
      </c>
      <c r="E1179" s="311"/>
      <c r="F1179" s="309" t="s">
        <v>34</v>
      </c>
      <c r="G1179" s="308"/>
      <c r="H1179" s="308" t="s">
        <v>4710</v>
      </c>
      <c r="I1179" s="310">
        <v>40360.0</v>
      </c>
      <c r="J1179" s="308">
        <f>IFERROR(__xludf.DUMMYFUNCTION("SPLIT(I1179,""/"")"),1.0)</f>
        <v>1</v>
      </c>
      <c r="K1179" s="308">
        <f>IFERROR(__xludf.DUMMYFUNCTION("""COMPUTED_VALUE"""),7.0)</f>
        <v>7</v>
      </c>
      <c r="L1179" s="308">
        <f>IFERROR(__xludf.DUMMYFUNCTION("""COMPUTED_VALUE"""),2010.0)</f>
        <v>2010</v>
      </c>
      <c r="M1179" s="308" t="s">
        <v>4711</v>
      </c>
      <c r="N1179" s="308"/>
      <c r="O1179" s="312" t="s">
        <v>4712</v>
      </c>
      <c r="P1179" s="308" t="s">
        <v>4713</v>
      </c>
      <c r="Q1179" s="308"/>
      <c r="R1179" s="308"/>
      <c r="S1179" s="308" t="s">
        <v>81</v>
      </c>
      <c r="T1179" s="308" t="s">
        <v>34264</v>
      </c>
      <c r="U1179" s="308"/>
      <c r="V1179" s="312"/>
    </row>
    <row r="1180">
      <c r="A1180" s="308">
        <v>1179.0</v>
      </c>
      <c r="B1180" s="308">
        <v>4392.0</v>
      </c>
      <c r="C1180" s="308" t="s">
        <v>4714</v>
      </c>
      <c r="D1180" s="308">
        <f>IFERROR(__xludf.DUMMYFUNCTION("SPLIT(C1180,""-"")"),1195.0)</f>
        <v>1195</v>
      </c>
      <c r="E1180" s="308" t="str">
        <f>IFERROR(__xludf.DUMMYFUNCTION("""COMPUTED_VALUE"""),"K")</f>
        <v>K</v>
      </c>
      <c r="F1180" s="309" t="s">
        <v>34</v>
      </c>
      <c r="G1180" s="308"/>
      <c r="H1180" s="308" t="s">
        <v>4715</v>
      </c>
      <c r="I1180" s="310">
        <v>40298.0</v>
      </c>
      <c r="J1180" s="308">
        <f>IFERROR(__xludf.DUMMYFUNCTION("SPLIT(I1180,""/"")"),30.0)</f>
        <v>30</v>
      </c>
      <c r="K1180" s="308">
        <f>IFERROR(__xludf.DUMMYFUNCTION("""COMPUTED_VALUE"""),4.0)</f>
        <v>4</v>
      </c>
      <c r="L1180" s="308">
        <f>IFERROR(__xludf.DUMMYFUNCTION("""COMPUTED_VALUE"""),2010.0)</f>
        <v>2010</v>
      </c>
      <c r="M1180" s="308" t="s">
        <v>4716</v>
      </c>
      <c r="N1180" s="308" t="s">
        <v>439</v>
      </c>
      <c r="O1180" s="312" t="s">
        <v>35966</v>
      </c>
      <c r="P1180" s="308" t="s">
        <v>4718</v>
      </c>
      <c r="Q1180" s="308"/>
      <c r="R1180" s="308"/>
      <c r="S1180" s="308" t="s">
        <v>49</v>
      </c>
      <c r="T1180" s="308" t="s">
        <v>51</v>
      </c>
      <c r="U1180" s="308" t="s">
        <v>2152</v>
      </c>
      <c r="V1180" s="312"/>
    </row>
    <row r="1181">
      <c r="A1181" s="308">
        <v>1180.0</v>
      </c>
      <c r="B1181" s="308">
        <v>4393.0</v>
      </c>
      <c r="C1181" s="308">
        <v>1196.0</v>
      </c>
      <c r="D1181" s="308">
        <f>IFERROR(__xludf.DUMMYFUNCTION("SPLIT(C1181,""-"")"),1196.0)</f>
        <v>1196</v>
      </c>
      <c r="E1181" s="311"/>
      <c r="F1181" s="309" t="s">
        <v>34</v>
      </c>
      <c r="G1181" s="308"/>
      <c r="H1181" s="308" t="s">
        <v>4719</v>
      </c>
      <c r="I1181" s="310">
        <v>40155.0</v>
      </c>
      <c r="J1181" s="308">
        <f>IFERROR(__xludf.DUMMYFUNCTION("SPLIT(I1181,""/"")"),8.0)</f>
        <v>8</v>
      </c>
      <c r="K1181" s="308">
        <f>IFERROR(__xludf.DUMMYFUNCTION("""COMPUTED_VALUE"""),12.0)</f>
        <v>12</v>
      </c>
      <c r="L1181" s="308">
        <f>IFERROR(__xludf.DUMMYFUNCTION("""COMPUTED_VALUE"""),2009.0)</f>
        <v>2009</v>
      </c>
      <c r="M1181" s="308" t="s">
        <v>4720</v>
      </c>
      <c r="N1181" s="308"/>
      <c r="O1181" s="312" t="s">
        <v>4721</v>
      </c>
      <c r="P1181" s="308" t="s">
        <v>1971</v>
      </c>
      <c r="Q1181" s="308"/>
      <c r="R1181" s="308"/>
      <c r="S1181" s="315" t="s">
        <v>100</v>
      </c>
      <c r="T1181" s="311" t="s">
        <v>34208</v>
      </c>
      <c r="U1181" s="308" t="s">
        <v>530</v>
      </c>
      <c r="V1181" s="312"/>
    </row>
    <row r="1182">
      <c r="A1182" s="308">
        <v>1181.0</v>
      </c>
      <c r="B1182" s="308">
        <v>4394.0</v>
      </c>
      <c r="C1182" s="308">
        <v>1197.0</v>
      </c>
      <c r="D1182" s="308">
        <f>IFERROR(__xludf.DUMMYFUNCTION("SPLIT(C1182,""-"")"),1197.0)</f>
        <v>1197</v>
      </c>
      <c r="E1182" s="311"/>
      <c r="F1182" s="309" t="s">
        <v>34</v>
      </c>
      <c r="G1182" s="308"/>
      <c r="H1182" s="308" t="s">
        <v>4722</v>
      </c>
      <c r="I1182" s="310">
        <v>39938.0</v>
      </c>
      <c r="J1182" s="308">
        <f>IFERROR(__xludf.DUMMYFUNCTION("SPLIT(I1182,""/"")"),5.0)</f>
        <v>5</v>
      </c>
      <c r="K1182" s="308">
        <f>IFERROR(__xludf.DUMMYFUNCTION("""COMPUTED_VALUE"""),5.0)</f>
        <v>5</v>
      </c>
      <c r="L1182" s="308">
        <f>IFERROR(__xludf.DUMMYFUNCTION("""COMPUTED_VALUE"""),2009.0)</f>
        <v>2009</v>
      </c>
      <c r="M1182" s="308" t="s">
        <v>4723</v>
      </c>
      <c r="N1182" s="308"/>
      <c r="O1182" s="312" t="s">
        <v>4724</v>
      </c>
      <c r="P1182" s="308" t="s">
        <v>1392</v>
      </c>
      <c r="Q1182" s="308"/>
      <c r="R1182" s="308"/>
      <c r="S1182" s="308" t="s">
        <v>49</v>
      </c>
      <c r="T1182" s="315" t="s">
        <v>69</v>
      </c>
      <c r="U1182" s="308" t="s">
        <v>530</v>
      </c>
      <c r="V1182" s="312"/>
    </row>
    <row r="1183">
      <c r="A1183" s="308">
        <v>1182.0</v>
      </c>
      <c r="B1183" s="308">
        <v>4395.0</v>
      </c>
      <c r="C1183" s="308">
        <v>1198.0</v>
      </c>
      <c r="D1183" s="308">
        <f>IFERROR(__xludf.DUMMYFUNCTION("SPLIT(C1183,""-"")"),1198.0)</f>
        <v>1198</v>
      </c>
      <c r="E1183" s="311"/>
      <c r="F1183" s="309" t="s">
        <v>34</v>
      </c>
      <c r="G1183" s="308"/>
      <c r="H1183" s="308" t="s">
        <v>4725</v>
      </c>
      <c r="I1183" s="310">
        <v>39995.0</v>
      </c>
      <c r="J1183" s="308">
        <f>IFERROR(__xludf.DUMMYFUNCTION("SPLIT(I1183,""/"")"),1.0)</f>
        <v>1</v>
      </c>
      <c r="K1183" s="308">
        <f>IFERROR(__xludf.DUMMYFUNCTION("""COMPUTED_VALUE"""),7.0)</f>
        <v>7</v>
      </c>
      <c r="L1183" s="308">
        <f>IFERROR(__xludf.DUMMYFUNCTION("""COMPUTED_VALUE"""),2009.0)</f>
        <v>2009</v>
      </c>
      <c r="M1183" s="308" t="s">
        <v>4726</v>
      </c>
      <c r="N1183" s="308"/>
      <c r="O1183" s="312" t="s">
        <v>35967</v>
      </c>
      <c r="P1183" s="308" t="s">
        <v>1971</v>
      </c>
      <c r="Q1183" s="308"/>
      <c r="R1183" s="308"/>
      <c r="S1183" s="315" t="s">
        <v>100</v>
      </c>
      <c r="T1183" s="311" t="s">
        <v>34208</v>
      </c>
      <c r="U1183" s="308" t="s">
        <v>530</v>
      </c>
      <c r="V1183" s="312"/>
    </row>
    <row r="1184">
      <c r="A1184" s="308">
        <v>1183.0</v>
      </c>
      <c r="B1184" s="308">
        <v>4396.0</v>
      </c>
      <c r="C1184" s="308">
        <v>1199.0</v>
      </c>
      <c r="D1184" s="308">
        <f>IFERROR(__xludf.DUMMYFUNCTION("SPLIT(C1184,""-"")"),1199.0)</f>
        <v>1199</v>
      </c>
      <c r="E1184" s="311"/>
      <c r="F1184" s="317" t="s">
        <v>39</v>
      </c>
      <c r="G1184" s="308" t="s">
        <v>4728</v>
      </c>
      <c r="H1184" s="308" t="s">
        <v>4729</v>
      </c>
      <c r="I1184" s="310">
        <v>41372.0</v>
      </c>
      <c r="J1184" s="308">
        <f>IFERROR(__xludf.DUMMYFUNCTION("SPLIT(I1184,""/"")"),8.0)</f>
        <v>8</v>
      </c>
      <c r="K1184" s="308">
        <f>IFERROR(__xludf.DUMMYFUNCTION("""COMPUTED_VALUE"""),4.0)</f>
        <v>4</v>
      </c>
      <c r="L1184" s="308">
        <f>IFERROR(__xludf.DUMMYFUNCTION("""COMPUTED_VALUE"""),2013.0)</f>
        <v>2013</v>
      </c>
      <c r="M1184" s="308" t="s">
        <v>4730</v>
      </c>
      <c r="N1184" s="308"/>
      <c r="O1184" s="312" t="s">
        <v>35967</v>
      </c>
      <c r="P1184" s="308" t="s">
        <v>4731</v>
      </c>
      <c r="Q1184" s="308"/>
      <c r="R1184" s="308"/>
      <c r="S1184" s="308" t="s">
        <v>81</v>
      </c>
      <c r="T1184" s="308" t="s">
        <v>98</v>
      </c>
      <c r="U1184" s="308"/>
      <c r="V1184" s="312"/>
    </row>
    <row r="1185">
      <c r="A1185" s="308">
        <v>1184.0</v>
      </c>
      <c r="B1185" s="308">
        <v>4397.0</v>
      </c>
      <c r="C1185" s="308">
        <v>1200.0</v>
      </c>
      <c r="D1185" s="308">
        <f>IFERROR(__xludf.DUMMYFUNCTION("SPLIT(C1185,""-"")"),1200.0)</f>
        <v>1200</v>
      </c>
      <c r="E1185" s="311"/>
      <c r="F1185" s="317" t="s">
        <v>39</v>
      </c>
      <c r="G1185" s="308" t="s">
        <v>4732</v>
      </c>
      <c r="H1185" s="308" t="s">
        <v>4733</v>
      </c>
      <c r="I1185" s="310">
        <v>41374.0</v>
      </c>
      <c r="J1185" s="308">
        <f>IFERROR(__xludf.DUMMYFUNCTION("SPLIT(I1185,""/"")"),10.0)</f>
        <v>10</v>
      </c>
      <c r="K1185" s="308">
        <f>IFERROR(__xludf.DUMMYFUNCTION("""COMPUTED_VALUE"""),4.0)</f>
        <v>4</v>
      </c>
      <c r="L1185" s="308">
        <f>IFERROR(__xludf.DUMMYFUNCTION("""COMPUTED_VALUE"""),2013.0)</f>
        <v>2013</v>
      </c>
      <c r="M1185" s="308" t="s">
        <v>4734</v>
      </c>
      <c r="N1185" s="308"/>
      <c r="O1185" s="312" t="s">
        <v>4735</v>
      </c>
      <c r="P1185" s="308" t="s">
        <v>4736</v>
      </c>
      <c r="Q1185" s="308"/>
      <c r="R1185" s="308"/>
      <c r="S1185" s="308" t="s">
        <v>81</v>
      </c>
      <c r="T1185" s="308" t="s">
        <v>98</v>
      </c>
      <c r="U1185" s="308"/>
      <c r="V1185" s="312"/>
    </row>
    <row r="1186">
      <c r="A1186" s="308">
        <v>1185.0</v>
      </c>
      <c r="B1186" s="308">
        <v>4398.0</v>
      </c>
      <c r="C1186" s="308">
        <v>1201.0</v>
      </c>
      <c r="D1186" s="308">
        <f>IFERROR(__xludf.DUMMYFUNCTION("SPLIT(C1186,""-"")"),1201.0)</f>
        <v>1201</v>
      </c>
      <c r="E1186" s="311"/>
      <c r="F1186" s="317" t="s">
        <v>39</v>
      </c>
      <c r="G1186" s="308" t="s">
        <v>4732</v>
      </c>
      <c r="H1186" s="308" t="s">
        <v>4737</v>
      </c>
      <c r="I1186" s="310">
        <v>41339.0</v>
      </c>
      <c r="J1186" s="308">
        <f>IFERROR(__xludf.DUMMYFUNCTION("SPLIT(I1186,""/"")"),6.0)</f>
        <v>6</v>
      </c>
      <c r="K1186" s="308">
        <f>IFERROR(__xludf.DUMMYFUNCTION("""COMPUTED_VALUE"""),3.0)</f>
        <v>3</v>
      </c>
      <c r="L1186" s="308">
        <f>IFERROR(__xludf.DUMMYFUNCTION("""COMPUTED_VALUE"""),2013.0)</f>
        <v>2013</v>
      </c>
      <c r="M1186" s="308" t="s">
        <v>4738</v>
      </c>
      <c r="N1186" s="308"/>
      <c r="O1186" s="312" t="s">
        <v>635</v>
      </c>
      <c r="P1186" s="308" t="s">
        <v>35968</v>
      </c>
      <c r="Q1186" s="308"/>
      <c r="R1186" s="308"/>
      <c r="S1186" s="308" t="s">
        <v>81</v>
      </c>
      <c r="T1186" s="311" t="s">
        <v>75</v>
      </c>
      <c r="U1186" s="308"/>
      <c r="V1186" s="312"/>
    </row>
    <row r="1187">
      <c r="A1187" s="308">
        <v>1186.0</v>
      </c>
      <c r="B1187" s="308">
        <v>4399.0</v>
      </c>
      <c r="C1187" s="308">
        <v>1202.0</v>
      </c>
      <c r="D1187" s="308">
        <f>IFERROR(__xludf.DUMMYFUNCTION("SPLIT(C1187,""-"")"),1202.0)</f>
        <v>1202</v>
      </c>
      <c r="E1187" s="311"/>
      <c r="F1187" s="309" t="s">
        <v>34</v>
      </c>
      <c r="G1187" s="308" t="s">
        <v>4740</v>
      </c>
      <c r="H1187" s="308" t="s">
        <v>4741</v>
      </c>
      <c r="I1187" s="310">
        <v>41091.0</v>
      </c>
      <c r="J1187" s="308">
        <f>IFERROR(__xludf.DUMMYFUNCTION("SPLIT(I1187,""/"")"),1.0)</f>
        <v>1</v>
      </c>
      <c r="K1187" s="308">
        <f>IFERROR(__xludf.DUMMYFUNCTION("""COMPUTED_VALUE"""),7.0)</f>
        <v>7</v>
      </c>
      <c r="L1187" s="308">
        <f>IFERROR(__xludf.DUMMYFUNCTION("""COMPUTED_VALUE"""),2012.0)</f>
        <v>2012</v>
      </c>
      <c r="M1187" s="308" t="s">
        <v>4742</v>
      </c>
      <c r="N1187" s="308"/>
      <c r="O1187" s="312" t="s">
        <v>635</v>
      </c>
      <c r="P1187" s="308" t="s">
        <v>4743</v>
      </c>
      <c r="Q1187" s="308"/>
      <c r="R1187" s="308"/>
      <c r="S1187" s="308" t="s">
        <v>81</v>
      </c>
      <c r="T1187" s="308" t="s">
        <v>34264</v>
      </c>
      <c r="U1187" s="308"/>
      <c r="V1187" s="312"/>
    </row>
    <row r="1188">
      <c r="A1188" s="308">
        <v>1187.0</v>
      </c>
      <c r="B1188" s="308">
        <v>4400.0</v>
      </c>
      <c r="C1188" s="308">
        <v>1203.0</v>
      </c>
      <c r="D1188" s="308">
        <f>IFERROR(__xludf.DUMMYFUNCTION("SPLIT(C1188,""-"")"),1203.0)</f>
        <v>1203</v>
      </c>
      <c r="E1188" s="311"/>
      <c r="F1188" s="309" t="s">
        <v>34</v>
      </c>
      <c r="G1188" s="308" t="s">
        <v>4744</v>
      </c>
      <c r="H1188" s="308" t="s">
        <v>4745</v>
      </c>
      <c r="I1188" s="310">
        <v>40211.0</v>
      </c>
      <c r="J1188" s="308">
        <f>IFERROR(__xludf.DUMMYFUNCTION("SPLIT(I1188,""/"")"),2.0)</f>
        <v>2</v>
      </c>
      <c r="K1188" s="308">
        <f>IFERROR(__xludf.DUMMYFUNCTION("""COMPUTED_VALUE"""),2.0)</f>
        <v>2</v>
      </c>
      <c r="L1188" s="308">
        <f>IFERROR(__xludf.DUMMYFUNCTION("""COMPUTED_VALUE"""),2010.0)</f>
        <v>2010</v>
      </c>
      <c r="M1188" s="308" t="s">
        <v>4746</v>
      </c>
      <c r="N1188" s="308"/>
      <c r="O1188" s="312" t="s">
        <v>35969</v>
      </c>
      <c r="P1188" s="308" t="s">
        <v>35970</v>
      </c>
      <c r="Q1188" s="308"/>
      <c r="R1188" s="308"/>
      <c r="S1188" s="315" t="s">
        <v>100</v>
      </c>
      <c r="T1188" s="311" t="s">
        <v>34208</v>
      </c>
      <c r="U1188" s="308" t="s">
        <v>4749</v>
      </c>
      <c r="V1188" s="312"/>
    </row>
    <row r="1189">
      <c r="A1189" s="308">
        <v>1188.0</v>
      </c>
      <c r="B1189" s="308">
        <v>4401.0</v>
      </c>
      <c r="C1189" s="308">
        <v>1204.0</v>
      </c>
      <c r="D1189" s="308">
        <f>IFERROR(__xludf.DUMMYFUNCTION("SPLIT(C1189,""-"")"),1204.0)</f>
        <v>1204</v>
      </c>
      <c r="E1189" s="311"/>
      <c r="F1189" s="309" t="s">
        <v>34</v>
      </c>
      <c r="G1189" s="308" t="s">
        <v>4750</v>
      </c>
      <c r="H1189" s="308" t="s">
        <v>4751</v>
      </c>
      <c r="I1189" s="310">
        <v>41385.0</v>
      </c>
      <c r="J1189" s="308">
        <f>IFERROR(__xludf.DUMMYFUNCTION("SPLIT(I1189,""/"")"),21.0)</f>
        <v>21</v>
      </c>
      <c r="K1189" s="308">
        <f>IFERROR(__xludf.DUMMYFUNCTION("""COMPUTED_VALUE"""),4.0)</f>
        <v>4</v>
      </c>
      <c r="L1189" s="308">
        <f>IFERROR(__xludf.DUMMYFUNCTION("""COMPUTED_VALUE"""),2013.0)</f>
        <v>2013</v>
      </c>
      <c r="M1189" s="308" t="s">
        <v>4752</v>
      </c>
      <c r="N1189" s="308"/>
      <c r="O1189" s="312" t="s">
        <v>35971</v>
      </c>
      <c r="P1189" s="308" t="s">
        <v>4754</v>
      </c>
      <c r="Q1189" s="308"/>
      <c r="R1189" s="308"/>
      <c r="S1189" s="308" t="s">
        <v>81</v>
      </c>
      <c r="T1189" s="308" t="s">
        <v>75</v>
      </c>
      <c r="U1189" s="308"/>
      <c r="V1189" s="312"/>
    </row>
    <row r="1190">
      <c r="A1190" s="308">
        <v>1189.0</v>
      </c>
      <c r="B1190" s="308">
        <v>4402.0</v>
      </c>
      <c r="C1190" s="308">
        <v>1205.0</v>
      </c>
      <c r="D1190" s="308">
        <f>IFERROR(__xludf.DUMMYFUNCTION("SPLIT(C1190,""-"")"),1205.0)</f>
        <v>1205</v>
      </c>
      <c r="E1190" s="311"/>
      <c r="F1190" s="317" t="s">
        <v>39</v>
      </c>
      <c r="G1190" s="308" t="s">
        <v>4755</v>
      </c>
      <c r="H1190" s="308" t="s">
        <v>4756</v>
      </c>
      <c r="I1190" s="310">
        <v>41397.0</v>
      </c>
      <c r="J1190" s="308">
        <f>IFERROR(__xludf.DUMMYFUNCTION("SPLIT(I1190,""/"")"),3.0)</f>
        <v>3</v>
      </c>
      <c r="K1190" s="308">
        <f>IFERROR(__xludf.DUMMYFUNCTION("""COMPUTED_VALUE"""),5.0)</f>
        <v>5</v>
      </c>
      <c r="L1190" s="308">
        <f>IFERROR(__xludf.DUMMYFUNCTION("""COMPUTED_VALUE"""),2013.0)</f>
        <v>2013</v>
      </c>
      <c r="M1190" s="308" t="s">
        <v>35972</v>
      </c>
      <c r="N1190" s="308"/>
      <c r="O1190" s="312" t="s">
        <v>635</v>
      </c>
      <c r="P1190" s="308" t="s">
        <v>34212</v>
      </c>
      <c r="Q1190" s="308"/>
      <c r="R1190" s="308"/>
      <c r="S1190" s="315" t="s">
        <v>100</v>
      </c>
      <c r="T1190" s="311" t="s">
        <v>34208</v>
      </c>
      <c r="U1190" s="308"/>
      <c r="V1190" s="312"/>
    </row>
    <row r="1191">
      <c r="A1191" s="308">
        <v>1190.0</v>
      </c>
      <c r="B1191" s="308">
        <v>4403.0</v>
      </c>
      <c r="C1191" s="308">
        <v>1206.0</v>
      </c>
      <c r="D1191" s="308">
        <f>IFERROR(__xludf.DUMMYFUNCTION("SPLIT(C1191,""-"")"),1206.0)</f>
        <v>1206</v>
      </c>
      <c r="E1191" s="311"/>
      <c r="F1191" s="317" t="s">
        <v>39</v>
      </c>
      <c r="G1191" s="308" t="s">
        <v>4758</v>
      </c>
      <c r="H1191" s="308" t="s">
        <v>4759</v>
      </c>
      <c r="I1191" s="310">
        <v>41151.0</v>
      </c>
      <c r="J1191" s="308">
        <f>IFERROR(__xludf.DUMMYFUNCTION("SPLIT(I1191,""/"")"),30.0)</f>
        <v>30</v>
      </c>
      <c r="K1191" s="308">
        <f>IFERROR(__xludf.DUMMYFUNCTION("""COMPUTED_VALUE"""),8.0)</f>
        <v>8</v>
      </c>
      <c r="L1191" s="308">
        <f>IFERROR(__xludf.DUMMYFUNCTION("""COMPUTED_VALUE"""),2012.0)</f>
        <v>2012</v>
      </c>
      <c r="M1191" s="308" t="s">
        <v>4760</v>
      </c>
      <c r="N1191" s="308"/>
      <c r="O1191" s="312" t="s">
        <v>4761</v>
      </c>
      <c r="P1191" s="308" t="s">
        <v>35973</v>
      </c>
      <c r="Q1191" s="308"/>
      <c r="R1191" s="308"/>
      <c r="S1191" s="308" t="s">
        <v>81</v>
      </c>
      <c r="T1191" s="308" t="s">
        <v>75</v>
      </c>
      <c r="U1191" s="308"/>
      <c r="V1191" s="312"/>
    </row>
    <row r="1192">
      <c r="A1192" s="308">
        <v>1191.0</v>
      </c>
      <c r="B1192" s="308">
        <v>4404.0</v>
      </c>
      <c r="C1192" s="308">
        <v>1207.0</v>
      </c>
      <c r="D1192" s="308">
        <f>IFERROR(__xludf.DUMMYFUNCTION("SPLIT(C1192,""-"")"),1207.0)</f>
        <v>1207</v>
      </c>
      <c r="E1192" s="311"/>
      <c r="F1192" s="317" t="s">
        <v>37</v>
      </c>
      <c r="G1192" s="308" t="s">
        <v>4763</v>
      </c>
      <c r="H1192" s="308" t="s">
        <v>4764</v>
      </c>
      <c r="I1192" s="310">
        <v>39630.0</v>
      </c>
      <c r="J1192" s="308">
        <f>IFERROR(__xludf.DUMMYFUNCTION("SPLIT(I1192,""/"")"),1.0)</f>
        <v>1</v>
      </c>
      <c r="K1192" s="308">
        <f>IFERROR(__xludf.DUMMYFUNCTION("""COMPUTED_VALUE"""),7.0)</f>
        <v>7</v>
      </c>
      <c r="L1192" s="308">
        <f>IFERROR(__xludf.DUMMYFUNCTION("""COMPUTED_VALUE"""),2008.0)</f>
        <v>2008</v>
      </c>
      <c r="M1192" s="308" t="s">
        <v>4765</v>
      </c>
      <c r="N1192" s="308"/>
      <c r="O1192" s="312" t="s">
        <v>4766</v>
      </c>
      <c r="P1192" s="308" t="s">
        <v>35974</v>
      </c>
      <c r="Q1192" s="308"/>
      <c r="R1192" s="308"/>
      <c r="S1192" s="308" t="s">
        <v>49</v>
      </c>
      <c r="T1192" s="311" t="s">
        <v>51</v>
      </c>
      <c r="U1192" s="308"/>
      <c r="V1192" s="312"/>
    </row>
    <row r="1193">
      <c r="A1193" s="308">
        <v>1192.0</v>
      </c>
      <c r="B1193" s="308">
        <v>4405.0</v>
      </c>
      <c r="C1193" s="308">
        <v>1208.0</v>
      </c>
      <c r="D1193" s="308">
        <f>IFERROR(__xludf.DUMMYFUNCTION("SPLIT(C1193,""-"")"),1208.0)</f>
        <v>1208</v>
      </c>
      <c r="E1193" s="311"/>
      <c r="F1193" s="317" t="s">
        <v>39</v>
      </c>
      <c r="G1193" s="308"/>
      <c r="H1193" s="308" t="s">
        <v>4768</v>
      </c>
      <c r="I1193" s="310">
        <v>40280.0</v>
      </c>
      <c r="J1193" s="308">
        <f>IFERROR(__xludf.DUMMYFUNCTION("SPLIT(I1193,""/"")"),12.0)</f>
        <v>12</v>
      </c>
      <c r="K1193" s="308">
        <f>IFERROR(__xludf.DUMMYFUNCTION("""COMPUTED_VALUE"""),4.0)</f>
        <v>4</v>
      </c>
      <c r="L1193" s="308">
        <f>IFERROR(__xludf.DUMMYFUNCTION("""COMPUTED_VALUE"""),2010.0)</f>
        <v>2010</v>
      </c>
      <c r="M1193" s="308" t="s">
        <v>4769</v>
      </c>
      <c r="N1193" s="308"/>
      <c r="O1193" s="312" t="s">
        <v>635</v>
      </c>
      <c r="P1193" s="308" t="s">
        <v>4770</v>
      </c>
      <c r="Q1193" s="308"/>
      <c r="R1193" s="308"/>
      <c r="S1193" s="315" t="s">
        <v>100</v>
      </c>
      <c r="T1193" s="311" t="s">
        <v>34208</v>
      </c>
      <c r="U1193" s="308" t="s">
        <v>4771</v>
      </c>
      <c r="V1193" s="312"/>
    </row>
    <row r="1194">
      <c r="A1194" s="308">
        <v>1193.0</v>
      </c>
      <c r="B1194" s="308">
        <v>4406.0</v>
      </c>
      <c r="C1194" s="308">
        <v>1209.0</v>
      </c>
      <c r="D1194" s="308">
        <f>IFERROR(__xludf.DUMMYFUNCTION("SPLIT(C1194,""-"")"),1209.0)</f>
        <v>1209</v>
      </c>
      <c r="E1194" s="311"/>
      <c r="F1194" s="309" t="s">
        <v>34</v>
      </c>
      <c r="G1194" s="308"/>
      <c r="H1194" s="308" t="s">
        <v>4772</v>
      </c>
      <c r="I1194" s="310">
        <v>39667.0</v>
      </c>
      <c r="J1194" s="308">
        <f>IFERROR(__xludf.DUMMYFUNCTION("SPLIT(I1194,""/"")"),7.0)</f>
        <v>7</v>
      </c>
      <c r="K1194" s="308">
        <f>IFERROR(__xludf.DUMMYFUNCTION("""COMPUTED_VALUE"""),8.0)</f>
        <v>8</v>
      </c>
      <c r="L1194" s="308">
        <f>IFERROR(__xludf.DUMMYFUNCTION("""COMPUTED_VALUE"""),2008.0)</f>
        <v>2008</v>
      </c>
      <c r="M1194" s="308" t="s">
        <v>4773</v>
      </c>
      <c r="N1194" s="308"/>
      <c r="O1194" s="312" t="s">
        <v>4774</v>
      </c>
      <c r="P1194" s="308" t="s">
        <v>1971</v>
      </c>
      <c r="Q1194" s="308"/>
      <c r="R1194" s="308"/>
      <c r="S1194" s="315" t="s">
        <v>100</v>
      </c>
      <c r="T1194" s="311" t="s">
        <v>34208</v>
      </c>
      <c r="U1194" s="308" t="s">
        <v>530</v>
      </c>
      <c r="V1194" s="312"/>
    </row>
    <row r="1195">
      <c r="A1195" s="308">
        <v>1194.0</v>
      </c>
      <c r="B1195" s="308">
        <v>4407.0</v>
      </c>
      <c r="C1195" s="308">
        <v>1210.0</v>
      </c>
      <c r="D1195" s="308">
        <f>IFERROR(__xludf.DUMMYFUNCTION("SPLIT(C1195,""-"")"),1210.0)</f>
        <v>1210</v>
      </c>
      <c r="E1195" s="311"/>
      <c r="F1195" s="309" t="s">
        <v>34</v>
      </c>
      <c r="G1195" s="308" t="s">
        <v>1731</v>
      </c>
      <c r="H1195" s="308" t="s">
        <v>35975</v>
      </c>
      <c r="I1195" s="310">
        <v>41067.0</v>
      </c>
      <c r="J1195" s="308">
        <f>IFERROR(__xludf.DUMMYFUNCTION("SPLIT(I1195,""/"")"),7.0)</f>
        <v>7</v>
      </c>
      <c r="K1195" s="308">
        <f>IFERROR(__xludf.DUMMYFUNCTION("""COMPUTED_VALUE"""),6.0)</f>
        <v>6</v>
      </c>
      <c r="L1195" s="308">
        <f>IFERROR(__xludf.DUMMYFUNCTION("""COMPUTED_VALUE"""),2012.0)</f>
        <v>2012</v>
      </c>
      <c r="M1195" s="308" t="s">
        <v>4776</v>
      </c>
      <c r="N1195" s="308"/>
      <c r="O1195" s="312" t="s">
        <v>4777</v>
      </c>
      <c r="P1195" s="308" t="s">
        <v>35976</v>
      </c>
      <c r="Q1195" s="308"/>
      <c r="R1195" s="308"/>
      <c r="S1195" s="315" t="s">
        <v>100</v>
      </c>
      <c r="T1195" s="311" t="s">
        <v>34208</v>
      </c>
      <c r="U1195" s="308" t="s">
        <v>125</v>
      </c>
      <c r="V1195" s="312"/>
    </row>
    <row r="1196">
      <c r="A1196" s="308">
        <v>1195.0</v>
      </c>
      <c r="B1196" s="308">
        <v>4408.0</v>
      </c>
      <c r="C1196" s="308">
        <v>1211.0</v>
      </c>
      <c r="D1196" s="308">
        <f>IFERROR(__xludf.DUMMYFUNCTION("SPLIT(C1196,""-"")"),1211.0)</f>
        <v>1211</v>
      </c>
      <c r="E1196" s="311"/>
      <c r="F1196" s="309" t="s">
        <v>34</v>
      </c>
      <c r="G1196" s="308"/>
      <c r="H1196" s="308" t="s">
        <v>4778</v>
      </c>
      <c r="I1196" s="314">
        <v>40096.0</v>
      </c>
      <c r="J1196" s="308">
        <f>IFERROR(__xludf.DUMMYFUNCTION("SPLIT(I1196,""/"")"),10.0)</f>
        <v>10</v>
      </c>
      <c r="K1196" s="308">
        <f>IFERROR(__xludf.DUMMYFUNCTION("""COMPUTED_VALUE"""),10.0)</f>
        <v>10</v>
      </c>
      <c r="L1196" s="308">
        <f>IFERROR(__xludf.DUMMYFUNCTION("""COMPUTED_VALUE"""),2009.0)</f>
        <v>2009</v>
      </c>
      <c r="M1196" s="308" t="s">
        <v>4779</v>
      </c>
      <c r="N1196" s="308"/>
      <c r="O1196" s="312" t="s">
        <v>4780</v>
      </c>
      <c r="P1196" s="308" t="s">
        <v>4781</v>
      </c>
      <c r="Q1196" s="308"/>
      <c r="R1196" s="308"/>
      <c r="S1196" s="308" t="s">
        <v>81</v>
      </c>
      <c r="T1196" s="308" t="s">
        <v>34264</v>
      </c>
      <c r="U1196" s="308"/>
      <c r="V1196" s="312"/>
    </row>
    <row r="1197">
      <c r="A1197" s="308">
        <v>1196.0</v>
      </c>
      <c r="B1197" s="308">
        <v>4409.0</v>
      </c>
      <c r="C1197" s="308">
        <v>1212.0</v>
      </c>
      <c r="D1197" s="308">
        <f>IFERROR(__xludf.DUMMYFUNCTION("SPLIT(C1197,""-"")"),1212.0)</f>
        <v>1212</v>
      </c>
      <c r="E1197" s="311"/>
      <c r="F1197" s="309" t="s">
        <v>34</v>
      </c>
      <c r="G1197" s="308"/>
      <c r="H1197" s="308" t="s">
        <v>4782</v>
      </c>
      <c r="I1197" s="310">
        <v>41314.0</v>
      </c>
      <c r="J1197" s="308">
        <f>IFERROR(__xludf.DUMMYFUNCTION("SPLIT(I1197,""/"")"),9.0)</f>
        <v>9</v>
      </c>
      <c r="K1197" s="308">
        <f>IFERROR(__xludf.DUMMYFUNCTION("""COMPUTED_VALUE"""),2.0)</f>
        <v>2</v>
      </c>
      <c r="L1197" s="308">
        <f>IFERROR(__xludf.DUMMYFUNCTION("""COMPUTED_VALUE"""),2013.0)</f>
        <v>2013</v>
      </c>
      <c r="M1197" s="308" t="s">
        <v>4783</v>
      </c>
      <c r="N1197" s="308"/>
      <c r="O1197" s="312" t="s">
        <v>4784</v>
      </c>
      <c r="P1197" s="308" t="s">
        <v>4785</v>
      </c>
      <c r="Q1197" s="308"/>
      <c r="R1197" s="308"/>
      <c r="S1197" s="308" t="s">
        <v>81</v>
      </c>
      <c r="T1197" s="308" t="s">
        <v>75</v>
      </c>
      <c r="U1197" s="308"/>
      <c r="V1197" s="312"/>
    </row>
    <row r="1198">
      <c r="A1198" s="308">
        <v>1197.0</v>
      </c>
      <c r="B1198" s="308">
        <v>4410.0</v>
      </c>
      <c r="C1198" s="308">
        <v>1213.0</v>
      </c>
      <c r="D1198" s="308">
        <f>IFERROR(__xludf.DUMMYFUNCTION("SPLIT(C1198,""-"")"),1213.0)</f>
        <v>1213</v>
      </c>
      <c r="E1198" s="311"/>
      <c r="F1198" s="317" t="s">
        <v>37</v>
      </c>
      <c r="G1198" s="308"/>
      <c r="H1198" s="308" t="s">
        <v>4786</v>
      </c>
      <c r="I1198" s="310">
        <v>41393.0</v>
      </c>
      <c r="J1198" s="308">
        <f>IFERROR(__xludf.DUMMYFUNCTION("SPLIT(I1198,""/"")"),29.0)</f>
        <v>29</v>
      </c>
      <c r="K1198" s="308">
        <f>IFERROR(__xludf.DUMMYFUNCTION("""COMPUTED_VALUE"""),4.0)</f>
        <v>4</v>
      </c>
      <c r="L1198" s="308">
        <f>IFERROR(__xludf.DUMMYFUNCTION("""COMPUTED_VALUE"""),2013.0)</f>
        <v>2013</v>
      </c>
      <c r="M1198" s="308" t="s">
        <v>4787</v>
      </c>
      <c r="N1198" s="308"/>
      <c r="O1198" s="312" t="s">
        <v>35977</v>
      </c>
      <c r="P1198" s="308" t="s">
        <v>4789</v>
      </c>
      <c r="Q1198" s="308"/>
      <c r="R1198" s="308"/>
      <c r="S1198" s="308" t="s">
        <v>81</v>
      </c>
      <c r="T1198" s="308" t="s">
        <v>75</v>
      </c>
      <c r="U1198" s="308"/>
      <c r="V1198" s="312"/>
    </row>
    <row r="1199">
      <c r="A1199" s="308">
        <v>1198.0</v>
      </c>
      <c r="B1199" s="308">
        <v>4411.0</v>
      </c>
      <c r="C1199" s="308">
        <v>1214.0</v>
      </c>
      <c r="D1199" s="308">
        <f>IFERROR(__xludf.DUMMYFUNCTION("SPLIT(C1199,""-"")"),1214.0)</f>
        <v>1214</v>
      </c>
      <c r="E1199" s="311"/>
      <c r="F1199" s="317" t="s">
        <v>37</v>
      </c>
      <c r="G1199" s="308"/>
      <c r="H1199" s="308" t="s">
        <v>4790</v>
      </c>
      <c r="I1199" s="310">
        <v>41393.0</v>
      </c>
      <c r="J1199" s="308">
        <f>IFERROR(__xludf.DUMMYFUNCTION("SPLIT(I1199,""/"")"),29.0)</f>
        <v>29</v>
      </c>
      <c r="K1199" s="308">
        <f>IFERROR(__xludf.DUMMYFUNCTION("""COMPUTED_VALUE"""),4.0)</f>
        <v>4</v>
      </c>
      <c r="L1199" s="308">
        <f>IFERROR(__xludf.DUMMYFUNCTION("""COMPUTED_VALUE"""),2013.0)</f>
        <v>2013</v>
      </c>
      <c r="M1199" s="308" t="s">
        <v>4791</v>
      </c>
      <c r="N1199" s="308"/>
      <c r="O1199" s="312" t="s">
        <v>35977</v>
      </c>
      <c r="P1199" s="308" t="s">
        <v>4792</v>
      </c>
      <c r="Q1199" s="308"/>
      <c r="R1199" s="308"/>
      <c r="S1199" s="308" t="s">
        <v>81</v>
      </c>
      <c r="T1199" s="308" t="s">
        <v>75</v>
      </c>
      <c r="U1199" s="308"/>
      <c r="V1199" s="312"/>
    </row>
    <row r="1200">
      <c r="A1200" s="308">
        <v>1199.0</v>
      </c>
      <c r="B1200" s="308">
        <v>4412.0</v>
      </c>
      <c r="C1200" s="308">
        <v>1215.0</v>
      </c>
      <c r="D1200" s="308">
        <f>IFERROR(__xludf.DUMMYFUNCTION("SPLIT(C1200,""-"")"),1215.0)</f>
        <v>1215</v>
      </c>
      <c r="E1200" s="311"/>
      <c r="F1200" s="317" t="s">
        <v>37</v>
      </c>
      <c r="G1200" s="308"/>
      <c r="H1200" s="308" t="s">
        <v>4793</v>
      </c>
      <c r="I1200" s="310">
        <v>41436.0</v>
      </c>
      <c r="J1200" s="308">
        <f>IFERROR(__xludf.DUMMYFUNCTION("SPLIT(I1200,""/"")"),11.0)</f>
        <v>11</v>
      </c>
      <c r="K1200" s="308">
        <f>IFERROR(__xludf.DUMMYFUNCTION("""COMPUTED_VALUE"""),6.0)</f>
        <v>6</v>
      </c>
      <c r="L1200" s="308">
        <f>IFERROR(__xludf.DUMMYFUNCTION("""COMPUTED_VALUE"""),2013.0)</f>
        <v>2013</v>
      </c>
      <c r="M1200" s="308" t="s">
        <v>4794</v>
      </c>
      <c r="N1200" s="308"/>
      <c r="O1200" s="312" t="s">
        <v>35978</v>
      </c>
      <c r="P1200" s="308" t="s">
        <v>4796</v>
      </c>
      <c r="Q1200" s="308"/>
      <c r="R1200" s="308"/>
      <c r="S1200" s="308" t="s">
        <v>81</v>
      </c>
      <c r="T1200" s="311" t="s">
        <v>75</v>
      </c>
      <c r="U1200" s="308"/>
      <c r="V1200" s="312"/>
    </row>
    <row r="1201">
      <c r="A1201" s="308">
        <v>1200.0</v>
      </c>
      <c r="B1201" s="308">
        <v>4413.0</v>
      </c>
      <c r="C1201" s="308">
        <v>1216.0</v>
      </c>
      <c r="D1201" s="308">
        <f>IFERROR(__xludf.DUMMYFUNCTION("SPLIT(C1201,""-"")"),1216.0)</f>
        <v>1216</v>
      </c>
      <c r="E1201" s="311"/>
      <c r="F1201" s="317" t="s">
        <v>37</v>
      </c>
      <c r="G1201" s="308"/>
      <c r="H1201" s="308" t="s">
        <v>4797</v>
      </c>
      <c r="I1201" s="310">
        <v>41061.0</v>
      </c>
      <c r="J1201" s="308">
        <f>IFERROR(__xludf.DUMMYFUNCTION("SPLIT(I1201,""/"")"),1.0)</f>
        <v>1</v>
      </c>
      <c r="K1201" s="308">
        <f>IFERROR(__xludf.DUMMYFUNCTION("""COMPUTED_VALUE"""),6.0)</f>
        <v>6</v>
      </c>
      <c r="L1201" s="308">
        <f>IFERROR(__xludf.DUMMYFUNCTION("""COMPUTED_VALUE"""),2012.0)</f>
        <v>2012</v>
      </c>
      <c r="M1201" s="308" t="s">
        <v>4798</v>
      </c>
      <c r="N1201" s="308" t="s">
        <v>4799</v>
      </c>
      <c r="O1201" s="312" t="s">
        <v>4800</v>
      </c>
      <c r="P1201" s="308" t="s">
        <v>35979</v>
      </c>
      <c r="Q1201" s="308"/>
      <c r="R1201" s="308"/>
      <c r="S1201" s="315" t="s">
        <v>100</v>
      </c>
      <c r="T1201" s="311" t="s">
        <v>34208</v>
      </c>
      <c r="U1201" s="308" t="s">
        <v>149</v>
      </c>
      <c r="V1201" s="312"/>
    </row>
    <row r="1202">
      <c r="A1202" s="308">
        <v>1201.0</v>
      </c>
      <c r="B1202" s="308">
        <v>4414.0</v>
      </c>
      <c r="C1202" s="308">
        <v>1217.0</v>
      </c>
      <c r="D1202" s="308">
        <f>IFERROR(__xludf.DUMMYFUNCTION("SPLIT(C1202,""-"")"),1217.0)</f>
        <v>1217</v>
      </c>
      <c r="E1202" s="311"/>
      <c r="F1202" s="317" t="s">
        <v>37</v>
      </c>
      <c r="G1202" s="308"/>
      <c r="H1202" s="308" t="s">
        <v>4802</v>
      </c>
      <c r="I1202" s="310">
        <v>41292.0</v>
      </c>
      <c r="J1202" s="308">
        <f>IFERROR(__xludf.DUMMYFUNCTION("SPLIT(I1202,""/"")"),18.0)</f>
        <v>18</v>
      </c>
      <c r="K1202" s="308">
        <f>IFERROR(__xludf.DUMMYFUNCTION("""COMPUTED_VALUE"""),1.0)</f>
        <v>1</v>
      </c>
      <c r="L1202" s="308">
        <f>IFERROR(__xludf.DUMMYFUNCTION("""COMPUTED_VALUE"""),2013.0)</f>
        <v>2013</v>
      </c>
      <c r="M1202" s="308" t="s">
        <v>4803</v>
      </c>
      <c r="N1202" s="308" t="s">
        <v>4804</v>
      </c>
      <c r="O1202" s="312" t="s">
        <v>35980</v>
      </c>
      <c r="P1202" s="308" t="s">
        <v>4806</v>
      </c>
      <c r="Q1202" s="308"/>
      <c r="R1202" s="308"/>
      <c r="S1202" s="308" t="s">
        <v>81</v>
      </c>
      <c r="T1202" s="308" t="s">
        <v>75</v>
      </c>
      <c r="U1202" s="308"/>
      <c r="V1202" s="312"/>
    </row>
    <row r="1203">
      <c r="A1203" s="308">
        <v>1202.0</v>
      </c>
      <c r="B1203" s="308">
        <v>4415.0</v>
      </c>
      <c r="C1203" s="308">
        <v>1218.0</v>
      </c>
      <c r="D1203" s="308">
        <f>IFERROR(__xludf.DUMMYFUNCTION("SPLIT(C1203,""-"")"),1218.0)</f>
        <v>1218</v>
      </c>
      <c r="E1203" s="311"/>
      <c r="F1203" s="309" t="s">
        <v>31</v>
      </c>
      <c r="G1203" s="308"/>
      <c r="H1203" s="308" t="s">
        <v>4807</v>
      </c>
      <c r="I1203" s="310">
        <v>41430.0</v>
      </c>
      <c r="J1203" s="308">
        <f>IFERROR(__xludf.DUMMYFUNCTION("SPLIT(I1203,""/"")"),5.0)</f>
        <v>5</v>
      </c>
      <c r="K1203" s="308">
        <f>IFERROR(__xludf.DUMMYFUNCTION("""COMPUTED_VALUE"""),6.0)</f>
        <v>6</v>
      </c>
      <c r="L1203" s="308">
        <f>IFERROR(__xludf.DUMMYFUNCTION("""COMPUTED_VALUE"""),2013.0)</f>
        <v>2013</v>
      </c>
      <c r="M1203" s="308" t="s">
        <v>4808</v>
      </c>
      <c r="N1203" s="308"/>
      <c r="O1203" s="312" t="s">
        <v>4809</v>
      </c>
      <c r="P1203" s="308" t="s">
        <v>35981</v>
      </c>
      <c r="Q1203" s="308"/>
      <c r="R1203" s="308"/>
      <c r="S1203" s="308" t="s">
        <v>81</v>
      </c>
      <c r="T1203" s="308" t="s">
        <v>75</v>
      </c>
      <c r="U1203" s="308" t="s">
        <v>31</v>
      </c>
      <c r="V1203" s="312"/>
    </row>
    <row r="1204">
      <c r="A1204" s="308">
        <v>1203.0</v>
      </c>
      <c r="B1204" s="308">
        <v>4416.0</v>
      </c>
      <c r="C1204" s="308">
        <v>1219.0</v>
      </c>
      <c r="D1204" s="308">
        <f>IFERROR(__xludf.DUMMYFUNCTION("SPLIT(C1204,""-"")"),1219.0)</f>
        <v>1219</v>
      </c>
      <c r="E1204" s="311"/>
      <c r="F1204" s="309" t="s">
        <v>29</v>
      </c>
      <c r="G1204" s="308"/>
      <c r="H1204" s="308" t="s">
        <v>4811</v>
      </c>
      <c r="I1204" s="310">
        <v>41418.0</v>
      </c>
      <c r="J1204" s="308">
        <f>IFERROR(__xludf.DUMMYFUNCTION("SPLIT(I1204,""/"")"),24.0)</f>
        <v>24</v>
      </c>
      <c r="K1204" s="308">
        <f>IFERROR(__xludf.DUMMYFUNCTION("""COMPUTED_VALUE"""),5.0)</f>
        <v>5</v>
      </c>
      <c r="L1204" s="308">
        <f>IFERROR(__xludf.DUMMYFUNCTION("""COMPUTED_VALUE"""),2013.0)</f>
        <v>2013</v>
      </c>
      <c r="M1204" s="308" t="s">
        <v>4812</v>
      </c>
      <c r="N1204" s="308"/>
      <c r="O1204" s="312" t="s">
        <v>35982</v>
      </c>
      <c r="P1204" s="308" t="s">
        <v>4814</v>
      </c>
      <c r="Q1204" s="308"/>
      <c r="R1204" s="308"/>
      <c r="S1204" s="308" t="s">
        <v>81</v>
      </c>
      <c r="T1204" s="311" t="s">
        <v>51</v>
      </c>
      <c r="U1204" s="308"/>
      <c r="V1204" s="312"/>
    </row>
    <row r="1205">
      <c r="A1205" s="308">
        <v>1204.0</v>
      </c>
      <c r="B1205" s="308">
        <v>4417.0</v>
      </c>
      <c r="C1205" s="308">
        <v>1220.0</v>
      </c>
      <c r="D1205" s="308">
        <f>IFERROR(__xludf.DUMMYFUNCTION("SPLIT(C1205,""-"")"),1220.0)</f>
        <v>1220</v>
      </c>
      <c r="E1205" s="311"/>
      <c r="F1205" s="309" t="s">
        <v>34</v>
      </c>
      <c r="G1205" s="308" t="s">
        <v>4815</v>
      </c>
      <c r="H1205" s="308" t="s">
        <v>4816</v>
      </c>
      <c r="I1205" s="314">
        <v>41199.0</v>
      </c>
      <c r="J1205" s="308">
        <f>IFERROR(__xludf.DUMMYFUNCTION("SPLIT(I1205,""/"")"),17.0)</f>
        <v>17</v>
      </c>
      <c r="K1205" s="308">
        <f>IFERROR(__xludf.DUMMYFUNCTION("""COMPUTED_VALUE"""),10.0)</f>
        <v>10</v>
      </c>
      <c r="L1205" s="308">
        <f>IFERROR(__xludf.DUMMYFUNCTION("""COMPUTED_VALUE"""),2012.0)</f>
        <v>2012</v>
      </c>
      <c r="M1205" s="308" t="s">
        <v>4817</v>
      </c>
      <c r="N1205" s="308"/>
      <c r="O1205" s="312" t="s">
        <v>35983</v>
      </c>
      <c r="P1205" s="308"/>
      <c r="Q1205" s="308"/>
      <c r="R1205" s="308"/>
      <c r="S1205" s="308" t="s">
        <v>79</v>
      </c>
      <c r="T1205" s="308" t="s">
        <v>79</v>
      </c>
      <c r="U1205" s="308" t="s">
        <v>125</v>
      </c>
      <c r="V1205" s="312"/>
    </row>
    <row r="1206">
      <c r="A1206" s="308">
        <v>1205.0</v>
      </c>
      <c r="B1206" s="308">
        <v>4418.0</v>
      </c>
      <c r="C1206" s="308">
        <v>1221.0</v>
      </c>
      <c r="D1206" s="308">
        <f>IFERROR(__xludf.DUMMYFUNCTION("SPLIT(C1206,""-"")"),1221.0)</f>
        <v>1221</v>
      </c>
      <c r="E1206" s="311"/>
      <c r="F1206" s="317" t="s">
        <v>37</v>
      </c>
      <c r="G1206" s="308"/>
      <c r="H1206" s="308" t="s">
        <v>4819</v>
      </c>
      <c r="I1206" s="310">
        <v>38454.0</v>
      </c>
      <c r="J1206" s="308">
        <f>IFERROR(__xludf.DUMMYFUNCTION("SPLIT(I1206,""/"")"),12.0)</f>
        <v>12</v>
      </c>
      <c r="K1206" s="308">
        <f>IFERROR(__xludf.DUMMYFUNCTION("""COMPUTED_VALUE"""),4.0)</f>
        <v>4</v>
      </c>
      <c r="L1206" s="308">
        <f>IFERROR(__xludf.DUMMYFUNCTION("""COMPUTED_VALUE"""),2005.0)</f>
        <v>2005</v>
      </c>
      <c r="M1206" s="308" t="s">
        <v>4820</v>
      </c>
      <c r="N1206" s="308"/>
      <c r="O1206" s="312" t="s">
        <v>35984</v>
      </c>
      <c r="P1206" s="308" t="s">
        <v>4822</v>
      </c>
      <c r="Q1206" s="308"/>
      <c r="R1206" s="308"/>
      <c r="S1206" s="308" t="s">
        <v>81</v>
      </c>
      <c r="T1206" s="308" t="s">
        <v>98</v>
      </c>
      <c r="U1206" s="308"/>
      <c r="V1206" s="312"/>
    </row>
    <row r="1207">
      <c r="A1207" s="308">
        <v>1206.0</v>
      </c>
      <c r="B1207" s="308">
        <v>4419.0</v>
      </c>
      <c r="C1207" s="308">
        <v>1222.0</v>
      </c>
      <c r="D1207" s="308">
        <f>IFERROR(__xludf.DUMMYFUNCTION("SPLIT(C1207,""-"")"),1222.0)</f>
        <v>1222</v>
      </c>
      <c r="E1207" s="311"/>
      <c r="F1207" s="317" t="s">
        <v>37</v>
      </c>
      <c r="G1207" s="308"/>
      <c r="H1207" s="308" t="s">
        <v>4823</v>
      </c>
      <c r="I1207" s="310">
        <v>41312.0</v>
      </c>
      <c r="J1207" s="308">
        <f>IFERROR(__xludf.DUMMYFUNCTION("SPLIT(I1207,""/"")"),7.0)</f>
        <v>7</v>
      </c>
      <c r="K1207" s="308">
        <f>IFERROR(__xludf.DUMMYFUNCTION("""COMPUTED_VALUE"""),2.0)</f>
        <v>2</v>
      </c>
      <c r="L1207" s="308">
        <f>IFERROR(__xludf.DUMMYFUNCTION("""COMPUTED_VALUE"""),2013.0)</f>
        <v>2013</v>
      </c>
      <c r="M1207" s="308" t="s">
        <v>4824</v>
      </c>
      <c r="N1207" s="308"/>
      <c r="O1207" s="312" t="s">
        <v>35985</v>
      </c>
      <c r="P1207" s="308" t="s">
        <v>4826</v>
      </c>
      <c r="Q1207" s="308"/>
      <c r="R1207" s="308"/>
      <c r="S1207" s="308" t="s">
        <v>81</v>
      </c>
      <c r="T1207" s="311" t="s">
        <v>75</v>
      </c>
      <c r="U1207" s="308"/>
      <c r="V1207" s="312"/>
    </row>
    <row r="1208">
      <c r="A1208" s="308">
        <v>1207.0</v>
      </c>
      <c r="B1208" s="308">
        <v>4420.0</v>
      </c>
      <c r="C1208" s="308">
        <v>1223.0</v>
      </c>
      <c r="D1208" s="308">
        <f>IFERROR(__xludf.DUMMYFUNCTION("SPLIT(C1208,""-"")"),1223.0)</f>
        <v>1223</v>
      </c>
      <c r="E1208" s="311"/>
      <c r="F1208" s="317" t="s">
        <v>39</v>
      </c>
      <c r="G1208" s="308"/>
      <c r="H1208" s="308" t="s">
        <v>4827</v>
      </c>
      <c r="I1208" s="310">
        <v>41328.0</v>
      </c>
      <c r="J1208" s="308">
        <f>IFERROR(__xludf.DUMMYFUNCTION("SPLIT(I1208,""/"")"),23.0)</f>
        <v>23</v>
      </c>
      <c r="K1208" s="308">
        <f>IFERROR(__xludf.DUMMYFUNCTION("""COMPUTED_VALUE"""),2.0)</f>
        <v>2</v>
      </c>
      <c r="L1208" s="308">
        <f>IFERROR(__xludf.DUMMYFUNCTION("""COMPUTED_VALUE"""),2013.0)</f>
        <v>2013</v>
      </c>
      <c r="M1208" s="308" t="s">
        <v>4828</v>
      </c>
      <c r="N1208" s="308"/>
      <c r="O1208" s="312" t="s">
        <v>635</v>
      </c>
      <c r="P1208" s="308" t="s">
        <v>3864</v>
      </c>
      <c r="Q1208" s="308"/>
      <c r="R1208" s="308"/>
      <c r="S1208" s="308" t="s">
        <v>49</v>
      </c>
      <c r="T1208" s="308" t="s">
        <v>67</v>
      </c>
      <c r="U1208" s="308"/>
      <c r="V1208" s="312"/>
    </row>
    <row r="1209">
      <c r="A1209" s="308">
        <v>1208.0</v>
      </c>
      <c r="B1209" s="308">
        <v>4421.0</v>
      </c>
      <c r="C1209" s="308">
        <v>1224.0</v>
      </c>
      <c r="D1209" s="308">
        <f>IFERROR(__xludf.DUMMYFUNCTION("SPLIT(C1209,""-"")"),1224.0)</f>
        <v>1224</v>
      </c>
      <c r="E1209" s="311"/>
      <c r="F1209" s="317" t="s">
        <v>39</v>
      </c>
      <c r="G1209" s="308"/>
      <c r="H1209" s="308" t="s">
        <v>4829</v>
      </c>
      <c r="I1209" s="310">
        <v>41328.0</v>
      </c>
      <c r="J1209" s="308">
        <f>IFERROR(__xludf.DUMMYFUNCTION("SPLIT(I1209,""/"")"),23.0)</f>
        <v>23</v>
      </c>
      <c r="K1209" s="308">
        <f>IFERROR(__xludf.DUMMYFUNCTION("""COMPUTED_VALUE"""),2.0)</f>
        <v>2</v>
      </c>
      <c r="L1209" s="308">
        <f>IFERROR(__xludf.DUMMYFUNCTION("""COMPUTED_VALUE"""),2013.0)</f>
        <v>2013</v>
      </c>
      <c r="M1209" s="308" t="s">
        <v>4828</v>
      </c>
      <c r="N1209" s="308"/>
      <c r="O1209" s="312" t="s">
        <v>635</v>
      </c>
      <c r="P1209" s="308" t="s">
        <v>3864</v>
      </c>
      <c r="Q1209" s="308"/>
      <c r="R1209" s="308"/>
      <c r="S1209" s="308" t="s">
        <v>49</v>
      </c>
      <c r="T1209" s="308" t="s">
        <v>67</v>
      </c>
      <c r="U1209" s="308"/>
      <c r="V1209" s="312"/>
    </row>
    <row r="1210">
      <c r="A1210" s="308">
        <v>1209.0</v>
      </c>
      <c r="B1210" s="308">
        <v>4422.0</v>
      </c>
      <c r="C1210" s="308">
        <v>1225.0</v>
      </c>
      <c r="D1210" s="308">
        <f>IFERROR(__xludf.DUMMYFUNCTION("SPLIT(C1210,""-"")"),1225.0)</f>
        <v>1225</v>
      </c>
      <c r="E1210" s="311"/>
      <c r="F1210" s="317" t="s">
        <v>39</v>
      </c>
      <c r="G1210" s="308"/>
      <c r="H1210" s="308" t="s">
        <v>4830</v>
      </c>
      <c r="I1210" s="310">
        <v>41328.0</v>
      </c>
      <c r="J1210" s="308">
        <f>IFERROR(__xludf.DUMMYFUNCTION("SPLIT(I1210,""/"")"),23.0)</f>
        <v>23</v>
      </c>
      <c r="K1210" s="308">
        <f>IFERROR(__xludf.DUMMYFUNCTION("""COMPUTED_VALUE"""),2.0)</f>
        <v>2</v>
      </c>
      <c r="L1210" s="308">
        <f>IFERROR(__xludf.DUMMYFUNCTION("""COMPUTED_VALUE"""),2013.0)</f>
        <v>2013</v>
      </c>
      <c r="M1210" s="308" t="s">
        <v>4828</v>
      </c>
      <c r="N1210" s="308"/>
      <c r="O1210" s="312" t="s">
        <v>635</v>
      </c>
      <c r="P1210" s="308" t="s">
        <v>3864</v>
      </c>
      <c r="Q1210" s="308"/>
      <c r="R1210" s="308"/>
      <c r="S1210" s="308" t="s">
        <v>49</v>
      </c>
      <c r="T1210" s="308" t="s">
        <v>67</v>
      </c>
      <c r="U1210" s="308"/>
      <c r="V1210" s="312"/>
    </row>
    <row r="1211">
      <c r="A1211" s="308">
        <v>1210.0</v>
      </c>
      <c r="B1211" s="308">
        <v>4423.0</v>
      </c>
      <c r="C1211" s="308">
        <v>1226.0</v>
      </c>
      <c r="D1211" s="308">
        <f>IFERROR(__xludf.DUMMYFUNCTION("SPLIT(C1211,""-"")"),1226.0)</f>
        <v>1226</v>
      </c>
      <c r="E1211" s="311"/>
      <c r="F1211" s="309" t="s">
        <v>34</v>
      </c>
      <c r="G1211" s="308"/>
      <c r="H1211" s="308" t="s">
        <v>4831</v>
      </c>
      <c r="I1211" s="310">
        <v>41222.0</v>
      </c>
      <c r="J1211" s="308">
        <f>IFERROR(__xludf.DUMMYFUNCTION("SPLIT(I1211,""/"")"),9.0)</f>
        <v>9</v>
      </c>
      <c r="K1211" s="308">
        <f>IFERROR(__xludf.DUMMYFUNCTION("""COMPUTED_VALUE"""),11.0)</f>
        <v>11</v>
      </c>
      <c r="L1211" s="308">
        <f>IFERROR(__xludf.DUMMYFUNCTION("""COMPUTED_VALUE"""),2012.0)</f>
        <v>2012</v>
      </c>
      <c r="M1211" s="308" t="s">
        <v>4832</v>
      </c>
      <c r="N1211" s="308"/>
      <c r="O1211" s="312" t="s">
        <v>35986</v>
      </c>
      <c r="P1211" s="308" t="s">
        <v>4834</v>
      </c>
      <c r="Q1211" s="308"/>
      <c r="R1211" s="308"/>
      <c r="S1211" s="308" t="s">
        <v>81</v>
      </c>
      <c r="T1211" s="311" t="s">
        <v>75</v>
      </c>
      <c r="U1211" s="308"/>
      <c r="V1211" s="312"/>
    </row>
    <row r="1212">
      <c r="A1212" s="308">
        <v>1211.0</v>
      </c>
      <c r="B1212" s="308">
        <v>4424.0</v>
      </c>
      <c r="C1212" s="308">
        <v>1227.0</v>
      </c>
      <c r="D1212" s="308">
        <f>IFERROR(__xludf.DUMMYFUNCTION("SPLIT(C1212,""-"")"),1227.0)</f>
        <v>1227</v>
      </c>
      <c r="E1212" s="311"/>
      <c r="F1212" s="309" t="s">
        <v>26</v>
      </c>
      <c r="G1212" s="308"/>
      <c r="H1212" s="308" t="s">
        <v>4835</v>
      </c>
      <c r="I1212" s="310">
        <v>40360.0</v>
      </c>
      <c r="J1212" s="308">
        <f>IFERROR(__xludf.DUMMYFUNCTION("SPLIT(I1212,""/"")"),1.0)</f>
        <v>1</v>
      </c>
      <c r="K1212" s="308">
        <f>IFERROR(__xludf.DUMMYFUNCTION("""COMPUTED_VALUE"""),7.0)</f>
        <v>7</v>
      </c>
      <c r="L1212" s="308">
        <f>IFERROR(__xludf.DUMMYFUNCTION("""COMPUTED_VALUE"""),2010.0)</f>
        <v>2010</v>
      </c>
      <c r="M1212" s="308" t="s">
        <v>4836</v>
      </c>
      <c r="N1212" s="308"/>
      <c r="O1212" s="312" t="s">
        <v>4837</v>
      </c>
      <c r="P1212" s="308" t="s">
        <v>622</v>
      </c>
      <c r="Q1212" s="308"/>
      <c r="R1212" s="308"/>
      <c r="S1212" s="308" t="s">
        <v>49</v>
      </c>
      <c r="T1212" s="308" t="s">
        <v>34409</v>
      </c>
      <c r="U1212" s="308"/>
      <c r="V1212" s="312"/>
    </row>
    <row r="1213">
      <c r="A1213" s="308">
        <v>1212.0</v>
      </c>
      <c r="B1213" s="308">
        <v>4425.0</v>
      </c>
      <c r="C1213" s="308">
        <v>1228.0</v>
      </c>
      <c r="D1213" s="308">
        <f>IFERROR(__xludf.DUMMYFUNCTION("SPLIT(C1213,""-"")"),1228.0)</f>
        <v>1228</v>
      </c>
      <c r="E1213" s="311"/>
      <c r="F1213" s="309" t="s">
        <v>23</v>
      </c>
      <c r="G1213" s="308"/>
      <c r="H1213" s="308" t="s">
        <v>4838</v>
      </c>
      <c r="I1213" s="310">
        <v>41070.0</v>
      </c>
      <c r="J1213" s="308">
        <f>IFERROR(__xludf.DUMMYFUNCTION("SPLIT(I1213,""/"")"),10.0)</f>
        <v>10</v>
      </c>
      <c r="K1213" s="308">
        <f>IFERROR(__xludf.DUMMYFUNCTION("""COMPUTED_VALUE"""),6.0)</f>
        <v>6</v>
      </c>
      <c r="L1213" s="308">
        <f>IFERROR(__xludf.DUMMYFUNCTION("""COMPUTED_VALUE"""),2012.0)</f>
        <v>2012</v>
      </c>
      <c r="M1213" s="308" t="s">
        <v>35987</v>
      </c>
      <c r="N1213" s="308"/>
      <c r="O1213" s="312" t="s">
        <v>35988</v>
      </c>
      <c r="P1213" s="308" t="s">
        <v>4841</v>
      </c>
      <c r="Q1213" s="308"/>
      <c r="R1213" s="308"/>
      <c r="S1213" s="308" t="s">
        <v>81</v>
      </c>
      <c r="T1213" s="311" t="s">
        <v>90</v>
      </c>
      <c r="U1213" s="308"/>
      <c r="V1213" s="312"/>
    </row>
    <row r="1214">
      <c r="A1214" s="308">
        <v>1213.0</v>
      </c>
      <c r="B1214" s="308">
        <v>4426.0</v>
      </c>
      <c r="C1214" s="308">
        <v>1229.0</v>
      </c>
      <c r="D1214" s="308">
        <f>IFERROR(__xludf.DUMMYFUNCTION("SPLIT(C1214,""-"")"),1229.0)</f>
        <v>1229</v>
      </c>
      <c r="E1214" s="311"/>
      <c r="F1214" s="309" t="s">
        <v>34</v>
      </c>
      <c r="G1214" s="308" t="s">
        <v>4842</v>
      </c>
      <c r="H1214" s="308" t="s">
        <v>35989</v>
      </c>
      <c r="I1214" s="310">
        <v>39974.0</v>
      </c>
      <c r="J1214" s="308">
        <f>IFERROR(__xludf.DUMMYFUNCTION("SPLIT(I1214,""/"")"),10.0)</f>
        <v>10</v>
      </c>
      <c r="K1214" s="308">
        <f>IFERROR(__xludf.DUMMYFUNCTION("""COMPUTED_VALUE"""),6.0)</f>
        <v>6</v>
      </c>
      <c r="L1214" s="308">
        <f>IFERROR(__xludf.DUMMYFUNCTION("""COMPUTED_VALUE"""),2009.0)</f>
        <v>2009</v>
      </c>
      <c r="M1214" s="308" t="s">
        <v>4844</v>
      </c>
      <c r="N1214" s="308"/>
      <c r="O1214" s="312" t="s">
        <v>4845</v>
      </c>
      <c r="P1214" s="308" t="s">
        <v>1971</v>
      </c>
      <c r="Q1214" s="308"/>
      <c r="R1214" s="308"/>
      <c r="S1214" s="315" t="s">
        <v>100</v>
      </c>
      <c r="T1214" s="311" t="s">
        <v>34208</v>
      </c>
      <c r="U1214" s="308" t="s">
        <v>530</v>
      </c>
      <c r="V1214" s="312"/>
    </row>
    <row r="1215">
      <c r="A1215" s="308">
        <v>1214.0</v>
      </c>
      <c r="B1215" s="308">
        <v>4427.0</v>
      </c>
      <c r="C1215" s="308">
        <v>1230.0</v>
      </c>
      <c r="D1215" s="308">
        <f>IFERROR(__xludf.DUMMYFUNCTION("SPLIT(C1215,""-"")"),1230.0)</f>
        <v>1230</v>
      </c>
      <c r="E1215" s="311"/>
      <c r="F1215" s="309" t="s">
        <v>34</v>
      </c>
      <c r="G1215" s="308"/>
      <c r="H1215" s="308" t="s">
        <v>4846</v>
      </c>
      <c r="I1215" s="310">
        <v>39995.0</v>
      </c>
      <c r="J1215" s="308">
        <f>IFERROR(__xludf.DUMMYFUNCTION("SPLIT(I1215,""/"")"),1.0)</f>
        <v>1</v>
      </c>
      <c r="K1215" s="308">
        <f>IFERROR(__xludf.DUMMYFUNCTION("""COMPUTED_VALUE"""),7.0)</f>
        <v>7</v>
      </c>
      <c r="L1215" s="308">
        <f>IFERROR(__xludf.DUMMYFUNCTION("""COMPUTED_VALUE"""),2009.0)</f>
        <v>2009</v>
      </c>
      <c r="M1215" s="308" t="s">
        <v>4847</v>
      </c>
      <c r="N1215" s="308"/>
      <c r="O1215" s="312" t="s">
        <v>635</v>
      </c>
      <c r="P1215" s="308" t="s">
        <v>4848</v>
      </c>
      <c r="Q1215" s="308"/>
      <c r="R1215" s="308"/>
      <c r="S1215" s="308" t="s">
        <v>81</v>
      </c>
      <c r="T1215" s="308" t="s">
        <v>34264</v>
      </c>
      <c r="U1215" s="308"/>
      <c r="V1215" s="312"/>
    </row>
    <row r="1216">
      <c r="A1216" s="308">
        <v>1215.0</v>
      </c>
      <c r="B1216" s="308">
        <v>4428.0</v>
      </c>
      <c r="C1216" s="308">
        <v>1231.0</v>
      </c>
      <c r="D1216" s="308">
        <f>IFERROR(__xludf.DUMMYFUNCTION("SPLIT(C1216,""-"")"),1231.0)</f>
        <v>1231</v>
      </c>
      <c r="E1216" s="311"/>
      <c r="F1216" s="309" t="s">
        <v>34</v>
      </c>
      <c r="G1216" s="308"/>
      <c r="H1216" s="308" t="s">
        <v>4849</v>
      </c>
      <c r="I1216" s="310">
        <v>40039.0</v>
      </c>
      <c r="J1216" s="308">
        <f>IFERROR(__xludf.DUMMYFUNCTION("SPLIT(I1216,""/"")"),14.0)</f>
        <v>14</v>
      </c>
      <c r="K1216" s="308">
        <f>IFERROR(__xludf.DUMMYFUNCTION("""COMPUTED_VALUE"""),8.0)</f>
        <v>8</v>
      </c>
      <c r="L1216" s="308">
        <f>IFERROR(__xludf.DUMMYFUNCTION("""COMPUTED_VALUE"""),2009.0)</f>
        <v>2009</v>
      </c>
      <c r="M1216" s="308" t="s">
        <v>4850</v>
      </c>
      <c r="N1216" s="308"/>
      <c r="O1216" s="312" t="s">
        <v>4851</v>
      </c>
      <c r="P1216" s="308" t="s">
        <v>1971</v>
      </c>
      <c r="Q1216" s="308"/>
      <c r="R1216" s="308"/>
      <c r="S1216" s="315" t="s">
        <v>100</v>
      </c>
      <c r="T1216" s="311" t="s">
        <v>34208</v>
      </c>
      <c r="U1216" s="308" t="s">
        <v>530</v>
      </c>
      <c r="V1216" s="312"/>
    </row>
    <row r="1217">
      <c r="A1217" s="308">
        <v>1216.0</v>
      </c>
      <c r="B1217" s="308">
        <v>4429.0</v>
      </c>
      <c r="C1217" s="308">
        <v>1232.0</v>
      </c>
      <c r="D1217" s="308">
        <f>IFERROR(__xludf.DUMMYFUNCTION("SPLIT(C1217,""-"")"),1232.0)</f>
        <v>1232</v>
      </c>
      <c r="E1217" s="311"/>
      <c r="F1217" s="309" t="s">
        <v>34</v>
      </c>
      <c r="G1217" s="308"/>
      <c r="H1217" s="308" t="s">
        <v>4852</v>
      </c>
      <c r="I1217" s="310">
        <v>40360.0</v>
      </c>
      <c r="J1217" s="308">
        <f>IFERROR(__xludf.DUMMYFUNCTION("SPLIT(I1217,""/"")"),1.0)</f>
        <v>1</v>
      </c>
      <c r="K1217" s="308">
        <f>IFERROR(__xludf.DUMMYFUNCTION("""COMPUTED_VALUE"""),7.0)</f>
        <v>7</v>
      </c>
      <c r="L1217" s="308">
        <f>IFERROR(__xludf.DUMMYFUNCTION("""COMPUTED_VALUE"""),2010.0)</f>
        <v>2010</v>
      </c>
      <c r="M1217" s="308" t="s">
        <v>4853</v>
      </c>
      <c r="N1217" s="308"/>
      <c r="O1217" s="312" t="s">
        <v>635</v>
      </c>
      <c r="P1217" s="308" t="s">
        <v>4854</v>
      </c>
      <c r="Q1217" s="308"/>
      <c r="R1217" s="308"/>
      <c r="S1217" s="308" t="s">
        <v>81</v>
      </c>
      <c r="T1217" s="311" t="s">
        <v>85</v>
      </c>
      <c r="U1217" s="308"/>
      <c r="V1217" s="312"/>
    </row>
    <row r="1218">
      <c r="A1218" s="308">
        <v>1217.0</v>
      </c>
      <c r="B1218" s="308">
        <v>4430.0</v>
      </c>
      <c r="C1218" s="308">
        <v>1233.0</v>
      </c>
      <c r="D1218" s="308">
        <f>IFERROR(__xludf.DUMMYFUNCTION("SPLIT(C1218,""-"")"),1233.0)</f>
        <v>1233</v>
      </c>
      <c r="E1218" s="311"/>
      <c r="F1218" s="309" t="s">
        <v>34</v>
      </c>
      <c r="G1218" s="308"/>
      <c r="H1218" s="308" t="s">
        <v>4855</v>
      </c>
      <c r="I1218" s="310">
        <v>39995.0</v>
      </c>
      <c r="J1218" s="308">
        <f>IFERROR(__xludf.DUMMYFUNCTION("SPLIT(I1218,""/"")"),1.0)</f>
        <v>1</v>
      </c>
      <c r="K1218" s="308">
        <f>IFERROR(__xludf.DUMMYFUNCTION("""COMPUTED_VALUE"""),7.0)</f>
        <v>7</v>
      </c>
      <c r="L1218" s="308">
        <f>IFERROR(__xludf.DUMMYFUNCTION("""COMPUTED_VALUE"""),2009.0)</f>
        <v>2009</v>
      </c>
      <c r="M1218" s="308" t="s">
        <v>4856</v>
      </c>
      <c r="N1218" s="308"/>
      <c r="O1218" s="312" t="s">
        <v>4857</v>
      </c>
      <c r="P1218" s="308" t="s">
        <v>4858</v>
      </c>
      <c r="Q1218" s="308"/>
      <c r="R1218" s="308"/>
      <c r="S1218" s="308" t="s">
        <v>81</v>
      </c>
      <c r="T1218" s="308" t="s">
        <v>34264</v>
      </c>
      <c r="U1218" s="308"/>
      <c r="V1218" s="312"/>
    </row>
    <row r="1219">
      <c r="A1219" s="308">
        <v>1218.0</v>
      </c>
      <c r="B1219" s="308">
        <v>4431.0</v>
      </c>
      <c r="C1219" s="308" t="s">
        <v>4859</v>
      </c>
      <c r="D1219" s="308">
        <f>IFERROR(__xludf.DUMMYFUNCTION("SPLIT(C1219,""-"")"),1234.0)</f>
        <v>1234</v>
      </c>
      <c r="E1219" s="308" t="str">
        <f>IFERROR(__xludf.DUMMYFUNCTION("""COMPUTED_VALUE"""),"K")</f>
        <v>K</v>
      </c>
      <c r="F1219" s="309" t="s">
        <v>34</v>
      </c>
      <c r="G1219" s="308"/>
      <c r="H1219" s="308" t="s">
        <v>4860</v>
      </c>
      <c r="I1219" s="310">
        <v>41414.0</v>
      </c>
      <c r="J1219" s="308">
        <f>IFERROR(__xludf.DUMMYFUNCTION("SPLIT(I1219,""/"")"),20.0)</f>
        <v>20</v>
      </c>
      <c r="K1219" s="308">
        <f>IFERROR(__xludf.DUMMYFUNCTION("""COMPUTED_VALUE"""),5.0)</f>
        <v>5</v>
      </c>
      <c r="L1219" s="308">
        <f>IFERROR(__xludf.DUMMYFUNCTION("""COMPUTED_VALUE"""),2013.0)</f>
        <v>2013</v>
      </c>
      <c r="M1219" s="308" t="s">
        <v>4861</v>
      </c>
      <c r="N1219" s="308"/>
      <c r="O1219" s="312" t="s">
        <v>35990</v>
      </c>
      <c r="P1219" s="308" t="s">
        <v>2230</v>
      </c>
      <c r="Q1219" s="308"/>
      <c r="R1219" s="308" t="s">
        <v>1496</v>
      </c>
      <c r="S1219" s="315" t="s">
        <v>100</v>
      </c>
      <c r="T1219" s="311" t="s">
        <v>34208</v>
      </c>
      <c r="U1219" s="308" t="s">
        <v>1509</v>
      </c>
      <c r="V1219" s="312"/>
    </row>
    <row r="1220">
      <c r="A1220" s="308">
        <v>1219.0</v>
      </c>
      <c r="B1220" s="308">
        <v>4432.0</v>
      </c>
      <c r="C1220" s="308" t="s">
        <v>4863</v>
      </c>
      <c r="D1220" s="308">
        <f>IFERROR(__xludf.DUMMYFUNCTION("SPLIT(C1220,""-"")"),1235.0)</f>
        <v>1235</v>
      </c>
      <c r="E1220" s="308" t="str">
        <f>IFERROR(__xludf.DUMMYFUNCTION("""COMPUTED_VALUE"""),"P")</f>
        <v>P</v>
      </c>
      <c r="F1220" s="312" t="s">
        <v>37</v>
      </c>
      <c r="G1220" s="308"/>
      <c r="H1220" s="308" t="s">
        <v>4864</v>
      </c>
      <c r="I1220" s="310">
        <v>41167.0</v>
      </c>
      <c r="J1220" s="308">
        <f>IFERROR(__xludf.DUMMYFUNCTION("SPLIT(I1220,""/"")"),15.0)</f>
        <v>15</v>
      </c>
      <c r="K1220" s="308">
        <f>IFERROR(__xludf.DUMMYFUNCTION("""COMPUTED_VALUE"""),9.0)</f>
        <v>9</v>
      </c>
      <c r="L1220" s="308">
        <f>IFERROR(__xludf.DUMMYFUNCTION("""COMPUTED_VALUE"""),2012.0)</f>
        <v>2012</v>
      </c>
      <c r="M1220" s="308" t="s">
        <v>4865</v>
      </c>
      <c r="N1220" s="308"/>
      <c r="O1220" s="312" t="s">
        <v>4866</v>
      </c>
      <c r="P1220" s="308" t="s">
        <v>2526</v>
      </c>
      <c r="Q1220" s="308"/>
      <c r="R1220" s="308" t="s">
        <v>1496</v>
      </c>
      <c r="S1220" s="315" t="s">
        <v>100</v>
      </c>
      <c r="T1220" s="311" t="s">
        <v>34208</v>
      </c>
      <c r="U1220" s="308" t="s">
        <v>2527</v>
      </c>
      <c r="V1220" s="312"/>
    </row>
    <row r="1221">
      <c r="A1221" s="308">
        <v>1220.0</v>
      </c>
      <c r="B1221" s="308">
        <v>4433.0</v>
      </c>
      <c r="C1221" s="308">
        <v>1236.0</v>
      </c>
      <c r="D1221" s="308">
        <f>IFERROR(__xludf.DUMMYFUNCTION("SPLIT(C1221,""-"")"),1236.0)</f>
        <v>1236</v>
      </c>
      <c r="E1221" s="311"/>
      <c r="F1221" s="317" t="s">
        <v>37</v>
      </c>
      <c r="G1221" s="308"/>
      <c r="H1221" s="308" t="s">
        <v>4867</v>
      </c>
      <c r="I1221" s="310">
        <v>41155.0</v>
      </c>
      <c r="J1221" s="308">
        <f>IFERROR(__xludf.DUMMYFUNCTION("SPLIT(I1221,""/"")"),3.0)</f>
        <v>3</v>
      </c>
      <c r="K1221" s="308">
        <f>IFERROR(__xludf.DUMMYFUNCTION("""COMPUTED_VALUE"""),9.0)</f>
        <v>9</v>
      </c>
      <c r="L1221" s="308">
        <f>IFERROR(__xludf.DUMMYFUNCTION("""COMPUTED_VALUE"""),2012.0)</f>
        <v>2012</v>
      </c>
      <c r="M1221" s="308" t="s">
        <v>4868</v>
      </c>
      <c r="N1221" s="308"/>
      <c r="O1221" s="312" t="s">
        <v>4869</v>
      </c>
      <c r="P1221" s="308" t="s">
        <v>4870</v>
      </c>
      <c r="Q1221" s="308"/>
      <c r="R1221" s="308"/>
      <c r="S1221" s="308" t="s">
        <v>81</v>
      </c>
      <c r="T1221" s="311" t="s">
        <v>75</v>
      </c>
      <c r="U1221" s="308"/>
      <c r="V1221" s="312"/>
    </row>
    <row r="1222">
      <c r="A1222" s="308">
        <v>1221.0</v>
      </c>
      <c r="B1222" s="308">
        <v>4434.0</v>
      </c>
      <c r="C1222" s="308">
        <v>1237.0</v>
      </c>
      <c r="D1222" s="308">
        <f>IFERROR(__xludf.DUMMYFUNCTION("SPLIT(C1222,""-"")"),1237.0)</f>
        <v>1237</v>
      </c>
      <c r="E1222" s="311"/>
      <c r="F1222" s="317" t="s">
        <v>37</v>
      </c>
      <c r="G1222" s="308"/>
      <c r="H1222" s="308" t="s">
        <v>4871</v>
      </c>
      <c r="I1222" s="310">
        <v>41312.0</v>
      </c>
      <c r="J1222" s="308">
        <f>IFERROR(__xludf.DUMMYFUNCTION("SPLIT(I1222,""/"")"),7.0)</f>
        <v>7</v>
      </c>
      <c r="K1222" s="308">
        <f>IFERROR(__xludf.DUMMYFUNCTION("""COMPUTED_VALUE"""),2.0)</f>
        <v>2</v>
      </c>
      <c r="L1222" s="308">
        <f>IFERROR(__xludf.DUMMYFUNCTION("""COMPUTED_VALUE"""),2013.0)</f>
        <v>2013</v>
      </c>
      <c r="M1222" s="308" t="s">
        <v>4872</v>
      </c>
      <c r="N1222" s="308"/>
      <c r="O1222" s="312" t="s">
        <v>4873</v>
      </c>
      <c r="P1222" s="308" t="s">
        <v>4874</v>
      </c>
      <c r="Q1222" s="308"/>
      <c r="R1222" s="308"/>
      <c r="S1222" s="308" t="s">
        <v>81</v>
      </c>
      <c r="T1222" s="308" t="s">
        <v>75</v>
      </c>
      <c r="U1222" s="308"/>
      <c r="V1222" s="312"/>
    </row>
    <row r="1223">
      <c r="A1223" s="308">
        <v>1222.0</v>
      </c>
      <c r="B1223" s="308">
        <v>4435.0</v>
      </c>
      <c r="C1223" s="308">
        <v>1238.0</v>
      </c>
      <c r="D1223" s="308">
        <f>IFERROR(__xludf.DUMMYFUNCTION("SPLIT(C1223,""-"")"),1238.0)</f>
        <v>1238</v>
      </c>
      <c r="E1223" s="311"/>
      <c r="F1223" s="317" t="s">
        <v>37</v>
      </c>
      <c r="G1223" s="308"/>
      <c r="H1223" s="308" t="s">
        <v>4875</v>
      </c>
      <c r="I1223" s="310">
        <v>41312.0</v>
      </c>
      <c r="J1223" s="308">
        <f>IFERROR(__xludf.DUMMYFUNCTION("SPLIT(I1223,""/"")"),7.0)</f>
        <v>7</v>
      </c>
      <c r="K1223" s="308">
        <f>IFERROR(__xludf.DUMMYFUNCTION("""COMPUTED_VALUE"""),2.0)</f>
        <v>2</v>
      </c>
      <c r="L1223" s="308">
        <f>IFERROR(__xludf.DUMMYFUNCTION("""COMPUTED_VALUE"""),2013.0)</f>
        <v>2013</v>
      </c>
      <c r="M1223" s="308" t="s">
        <v>4872</v>
      </c>
      <c r="N1223" s="308"/>
      <c r="O1223" s="312" t="s">
        <v>4873</v>
      </c>
      <c r="P1223" s="308" t="s">
        <v>4876</v>
      </c>
      <c r="Q1223" s="308"/>
      <c r="R1223" s="308"/>
      <c r="S1223" s="308" t="s">
        <v>81</v>
      </c>
      <c r="T1223" s="308" t="s">
        <v>75</v>
      </c>
      <c r="U1223" s="308"/>
      <c r="V1223" s="312"/>
    </row>
    <row r="1224">
      <c r="A1224" s="308">
        <v>1223.0</v>
      </c>
      <c r="B1224" s="308">
        <v>4436.0</v>
      </c>
      <c r="C1224" s="308">
        <v>1239.0</v>
      </c>
      <c r="D1224" s="308">
        <f>IFERROR(__xludf.DUMMYFUNCTION("SPLIT(C1224,""-"")"),1239.0)</f>
        <v>1239</v>
      </c>
      <c r="E1224" s="311"/>
      <c r="F1224" s="317" t="s">
        <v>37</v>
      </c>
      <c r="G1224" s="308"/>
      <c r="H1224" s="308" t="s">
        <v>4877</v>
      </c>
      <c r="I1224" s="310">
        <v>41417.0</v>
      </c>
      <c r="J1224" s="308">
        <f>IFERROR(__xludf.DUMMYFUNCTION("SPLIT(I1224,""/"")"),23.0)</f>
        <v>23</v>
      </c>
      <c r="K1224" s="308">
        <f>IFERROR(__xludf.DUMMYFUNCTION("""COMPUTED_VALUE"""),5.0)</f>
        <v>5</v>
      </c>
      <c r="L1224" s="308">
        <f>IFERROR(__xludf.DUMMYFUNCTION("""COMPUTED_VALUE"""),2013.0)</f>
        <v>2013</v>
      </c>
      <c r="M1224" s="308" t="s">
        <v>4878</v>
      </c>
      <c r="N1224" s="308"/>
      <c r="O1224" s="312" t="s">
        <v>35991</v>
      </c>
      <c r="P1224" s="308" t="s">
        <v>4880</v>
      </c>
      <c r="Q1224" s="308"/>
      <c r="R1224" s="308"/>
      <c r="S1224" s="308" t="s">
        <v>81</v>
      </c>
      <c r="T1224" s="308" t="s">
        <v>75</v>
      </c>
      <c r="U1224" s="308"/>
      <c r="V1224" s="312"/>
    </row>
    <row r="1225">
      <c r="A1225" s="308">
        <v>1224.0</v>
      </c>
      <c r="B1225" s="308">
        <v>4437.0</v>
      </c>
      <c r="C1225" s="308">
        <v>1240.0</v>
      </c>
      <c r="D1225" s="308">
        <f>IFERROR(__xludf.DUMMYFUNCTION("SPLIT(C1225,""-"")"),1240.0)</f>
        <v>1240</v>
      </c>
      <c r="E1225" s="311"/>
      <c r="F1225" s="317" t="s">
        <v>39</v>
      </c>
      <c r="G1225" s="308"/>
      <c r="H1225" s="308" t="s">
        <v>4881</v>
      </c>
      <c r="I1225" s="314">
        <v>40494.0</v>
      </c>
      <c r="J1225" s="308">
        <f>IFERROR(__xludf.DUMMYFUNCTION("SPLIT(I1225,""/"")"),12.0)</f>
        <v>12</v>
      </c>
      <c r="K1225" s="308">
        <f>IFERROR(__xludf.DUMMYFUNCTION("""COMPUTED_VALUE"""),11.0)</f>
        <v>11</v>
      </c>
      <c r="L1225" s="308">
        <f>IFERROR(__xludf.DUMMYFUNCTION("""COMPUTED_VALUE"""),2010.0)</f>
        <v>2010</v>
      </c>
      <c r="M1225" s="308" t="s">
        <v>35992</v>
      </c>
      <c r="N1225" s="308"/>
      <c r="O1225" s="312" t="s">
        <v>4883</v>
      </c>
      <c r="P1225" s="308" t="s">
        <v>35993</v>
      </c>
      <c r="Q1225" s="308"/>
      <c r="R1225" s="308"/>
      <c r="S1225" s="308" t="s">
        <v>49</v>
      </c>
      <c r="T1225" s="308" t="s">
        <v>53</v>
      </c>
      <c r="U1225" s="308"/>
      <c r="V1225" s="312"/>
    </row>
    <row r="1226">
      <c r="A1226" s="308">
        <v>1225.0</v>
      </c>
      <c r="B1226" s="308">
        <v>4438.0</v>
      </c>
      <c r="C1226" s="308" t="s">
        <v>4885</v>
      </c>
      <c r="D1226" s="308">
        <f>IFERROR(__xludf.DUMMYFUNCTION("SPLIT(C1226,""-"")"),1241.0)</f>
        <v>1241</v>
      </c>
      <c r="E1226" s="308" t="str">
        <f>IFERROR(__xludf.DUMMYFUNCTION("""COMPUTED_VALUE"""),"S")</f>
        <v>S</v>
      </c>
      <c r="F1226" s="312" t="s">
        <v>39</v>
      </c>
      <c r="G1226" s="308"/>
      <c r="H1226" s="308" t="s">
        <v>4886</v>
      </c>
      <c r="I1226" s="314">
        <v>40494.0</v>
      </c>
      <c r="J1226" s="308">
        <f>IFERROR(__xludf.DUMMYFUNCTION("SPLIT(I1226,""/"")"),12.0)</f>
        <v>12</v>
      </c>
      <c r="K1226" s="308">
        <f>IFERROR(__xludf.DUMMYFUNCTION("""COMPUTED_VALUE"""),11.0)</f>
        <v>11</v>
      </c>
      <c r="L1226" s="308">
        <f>IFERROR(__xludf.DUMMYFUNCTION("""COMPUTED_VALUE"""),2010.0)</f>
        <v>2010</v>
      </c>
      <c r="M1226" s="308" t="s">
        <v>4887</v>
      </c>
      <c r="N1226" s="308"/>
      <c r="O1226" s="312" t="s">
        <v>35994</v>
      </c>
      <c r="P1226" s="308" t="s">
        <v>4240</v>
      </c>
      <c r="Q1226" s="308"/>
      <c r="R1226" s="308" t="s">
        <v>4889</v>
      </c>
      <c r="S1226" s="315" t="s">
        <v>100</v>
      </c>
      <c r="T1226" s="311" t="s">
        <v>34208</v>
      </c>
      <c r="U1226" s="308" t="s">
        <v>166</v>
      </c>
      <c r="V1226" s="312"/>
    </row>
    <row r="1227">
      <c r="A1227" s="308">
        <v>1226.0</v>
      </c>
      <c r="B1227" s="308">
        <v>4439.0</v>
      </c>
      <c r="C1227" s="308">
        <v>1242.0</v>
      </c>
      <c r="D1227" s="308">
        <f>IFERROR(__xludf.DUMMYFUNCTION("SPLIT(C1227,""-"")"),1242.0)</f>
        <v>1242</v>
      </c>
      <c r="E1227" s="311"/>
      <c r="F1227" s="309" t="s">
        <v>31</v>
      </c>
      <c r="G1227" s="308"/>
      <c r="H1227" s="308" t="s">
        <v>4890</v>
      </c>
      <c r="I1227" s="310">
        <v>41046.0</v>
      </c>
      <c r="J1227" s="308">
        <f>IFERROR(__xludf.DUMMYFUNCTION("SPLIT(I1227,""/"")"),17.0)</f>
        <v>17</v>
      </c>
      <c r="K1227" s="308">
        <f>IFERROR(__xludf.DUMMYFUNCTION("""COMPUTED_VALUE"""),5.0)</f>
        <v>5</v>
      </c>
      <c r="L1227" s="308">
        <f>IFERROR(__xludf.DUMMYFUNCTION("""COMPUTED_VALUE"""),2012.0)</f>
        <v>2012</v>
      </c>
      <c r="M1227" s="308" t="s">
        <v>4891</v>
      </c>
      <c r="N1227" s="308"/>
      <c r="O1227" s="312" t="s">
        <v>4892</v>
      </c>
      <c r="P1227" s="308" t="s">
        <v>4893</v>
      </c>
      <c r="Q1227" s="308"/>
      <c r="R1227" s="308"/>
      <c r="S1227" s="308" t="s">
        <v>49</v>
      </c>
      <c r="T1227" s="308" t="s">
        <v>51</v>
      </c>
      <c r="U1227" s="308" t="s">
        <v>31</v>
      </c>
      <c r="V1227" s="312"/>
    </row>
    <row r="1228">
      <c r="A1228" s="308">
        <v>1227.0</v>
      </c>
      <c r="B1228" s="308">
        <v>4440.0</v>
      </c>
      <c r="C1228" s="308">
        <v>1243.0</v>
      </c>
      <c r="D1228" s="308">
        <f>IFERROR(__xludf.DUMMYFUNCTION("SPLIT(C1228,""-"")"),1243.0)</f>
        <v>1243</v>
      </c>
      <c r="E1228" s="311"/>
      <c r="F1228" s="317" t="s">
        <v>37</v>
      </c>
      <c r="G1228" s="308"/>
      <c r="H1228" s="308" t="s">
        <v>35995</v>
      </c>
      <c r="I1228" s="310">
        <v>38723.0</v>
      </c>
      <c r="J1228" s="308">
        <f>IFERROR(__xludf.DUMMYFUNCTION("SPLIT(I1228,""/"")"),6.0)</f>
        <v>6</v>
      </c>
      <c r="K1228" s="308">
        <f>IFERROR(__xludf.DUMMYFUNCTION("""COMPUTED_VALUE"""),1.0)</f>
        <v>1</v>
      </c>
      <c r="L1228" s="308">
        <f>IFERROR(__xludf.DUMMYFUNCTION("""COMPUTED_VALUE"""),2006.0)</f>
        <v>2006</v>
      </c>
      <c r="M1228" s="308" t="s">
        <v>35996</v>
      </c>
      <c r="N1228" s="308"/>
      <c r="O1228" s="312" t="s">
        <v>4896</v>
      </c>
      <c r="P1228" s="308" t="s">
        <v>4897</v>
      </c>
      <c r="Q1228" s="308"/>
      <c r="R1228" s="308"/>
      <c r="S1228" s="308" t="s">
        <v>49</v>
      </c>
      <c r="T1228" s="308" t="s">
        <v>51</v>
      </c>
      <c r="U1228" s="308"/>
      <c r="V1228" s="312"/>
    </row>
    <row r="1229">
      <c r="A1229" s="308">
        <v>1228.0</v>
      </c>
      <c r="B1229" s="308">
        <v>4441.0</v>
      </c>
      <c r="C1229" s="308">
        <v>1244.0</v>
      </c>
      <c r="D1229" s="308">
        <f>IFERROR(__xludf.DUMMYFUNCTION("SPLIT(C1229,""-"")"),1244.0)</f>
        <v>1244</v>
      </c>
      <c r="E1229" s="311"/>
      <c r="F1229" s="317" t="s">
        <v>37</v>
      </c>
      <c r="G1229" s="308"/>
      <c r="H1229" s="308" t="s">
        <v>4898</v>
      </c>
      <c r="I1229" s="314">
        <v>41197.0</v>
      </c>
      <c r="J1229" s="308">
        <f>IFERROR(__xludf.DUMMYFUNCTION("SPLIT(I1229,""/"")"),15.0)</f>
        <v>15</v>
      </c>
      <c r="K1229" s="308">
        <f>IFERROR(__xludf.DUMMYFUNCTION("""COMPUTED_VALUE"""),10.0)</f>
        <v>10</v>
      </c>
      <c r="L1229" s="308">
        <f>IFERROR(__xludf.DUMMYFUNCTION("""COMPUTED_VALUE"""),2012.0)</f>
        <v>2012</v>
      </c>
      <c r="M1229" s="308" t="s">
        <v>4899</v>
      </c>
      <c r="N1229" s="308"/>
      <c r="O1229" s="312" t="s">
        <v>4900</v>
      </c>
      <c r="P1229" s="308" t="s">
        <v>4901</v>
      </c>
      <c r="Q1229" s="308"/>
      <c r="R1229" s="308"/>
      <c r="S1229" s="308" t="s">
        <v>81</v>
      </c>
      <c r="T1229" s="308" t="s">
        <v>75</v>
      </c>
      <c r="U1229" s="308"/>
      <c r="V1229" s="312"/>
    </row>
    <row r="1230">
      <c r="A1230" s="308">
        <v>1229.0</v>
      </c>
      <c r="B1230" s="308">
        <v>4442.0</v>
      </c>
      <c r="C1230" s="308">
        <v>1245.0</v>
      </c>
      <c r="D1230" s="308">
        <f>IFERROR(__xludf.DUMMYFUNCTION("SPLIT(C1230,""-"")"),1245.0)</f>
        <v>1245</v>
      </c>
      <c r="E1230" s="311"/>
      <c r="F1230" s="309" t="s">
        <v>34</v>
      </c>
      <c r="G1230" s="308" t="s">
        <v>4902</v>
      </c>
      <c r="H1230" s="308" t="s">
        <v>4903</v>
      </c>
      <c r="I1230" s="310">
        <v>40956.0</v>
      </c>
      <c r="J1230" s="308">
        <f>IFERROR(__xludf.DUMMYFUNCTION("SPLIT(I1230,""/"")"),17.0)</f>
        <v>17</v>
      </c>
      <c r="K1230" s="308">
        <f>IFERROR(__xludf.DUMMYFUNCTION("""COMPUTED_VALUE"""),2.0)</f>
        <v>2</v>
      </c>
      <c r="L1230" s="308">
        <f>IFERROR(__xludf.DUMMYFUNCTION("""COMPUTED_VALUE"""),2012.0)</f>
        <v>2012</v>
      </c>
      <c r="M1230" s="308" t="s">
        <v>4904</v>
      </c>
      <c r="N1230" s="308"/>
      <c r="O1230" s="312" t="s">
        <v>4900</v>
      </c>
      <c r="P1230" s="308" t="s">
        <v>4905</v>
      </c>
      <c r="Q1230" s="308"/>
      <c r="R1230" s="308"/>
      <c r="S1230" s="308" t="s">
        <v>81</v>
      </c>
      <c r="T1230" s="308" t="s">
        <v>34264</v>
      </c>
      <c r="U1230" s="308"/>
      <c r="V1230" s="312"/>
    </row>
    <row r="1231">
      <c r="A1231" s="308">
        <v>1230.0</v>
      </c>
      <c r="B1231" s="308">
        <v>4443.0</v>
      </c>
      <c r="C1231" s="308">
        <v>1246.0</v>
      </c>
      <c r="D1231" s="308">
        <f>IFERROR(__xludf.DUMMYFUNCTION("SPLIT(C1231,""-"")"),1246.0)</f>
        <v>1246</v>
      </c>
      <c r="E1231" s="311"/>
      <c r="F1231" s="309" t="s">
        <v>34</v>
      </c>
      <c r="G1231" s="308" t="s">
        <v>4906</v>
      </c>
      <c r="H1231" s="308" t="s">
        <v>4907</v>
      </c>
      <c r="I1231" s="310">
        <v>41283.0</v>
      </c>
      <c r="J1231" s="308">
        <f>IFERROR(__xludf.DUMMYFUNCTION("SPLIT(I1231,""/"")"),9.0)</f>
        <v>9</v>
      </c>
      <c r="K1231" s="308">
        <f>IFERROR(__xludf.DUMMYFUNCTION("""COMPUTED_VALUE"""),1.0)</f>
        <v>1</v>
      </c>
      <c r="L1231" s="308">
        <f>IFERROR(__xludf.DUMMYFUNCTION("""COMPUTED_VALUE"""),2013.0)</f>
        <v>2013</v>
      </c>
      <c r="M1231" s="308" t="s">
        <v>4908</v>
      </c>
      <c r="N1231" s="308"/>
      <c r="O1231" s="312" t="s">
        <v>35997</v>
      </c>
      <c r="P1231" s="308" t="s">
        <v>252</v>
      </c>
      <c r="Q1231" s="308"/>
      <c r="R1231" s="308"/>
      <c r="S1231" s="308" t="s">
        <v>49</v>
      </c>
      <c r="T1231" s="308" t="s">
        <v>51</v>
      </c>
      <c r="U1231" s="308" t="s">
        <v>137</v>
      </c>
      <c r="V1231" s="312"/>
    </row>
    <row r="1232">
      <c r="A1232" s="308">
        <v>1231.0</v>
      </c>
      <c r="B1232" s="308">
        <v>4444.0</v>
      </c>
      <c r="C1232" s="308">
        <v>1247.0</v>
      </c>
      <c r="D1232" s="308">
        <f>IFERROR(__xludf.DUMMYFUNCTION("SPLIT(C1232,""-"")"),1247.0)</f>
        <v>1247</v>
      </c>
      <c r="E1232" s="311"/>
      <c r="F1232" s="317" t="s">
        <v>39</v>
      </c>
      <c r="G1232" s="308" t="s">
        <v>4910</v>
      </c>
      <c r="H1232" s="308" t="s">
        <v>4911</v>
      </c>
      <c r="I1232" s="310">
        <v>41361.0</v>
      </c>
      <c r="J1232" s="308">
        <f>IFERROR(__xludf.DUMMYFUNCTION("SPLIT(I1232,""/"")"),28.0)</f>
        <v>28</v>
      </c>
      <c r="K1232" s="308">
        <f>IFERROR(__xludf.DUMMYFUNCTION("""COMPUTED_VALUE"""),3.0)</f>
        <v>3</v>
      </c>
      <c r="L1232" s="308">
        <f>IFERROR(__xludf.DUMMYFUNCTION("""COMPUTED_VALUE"""),2013.0)</f>
        <v>2013</v>
      </c>
      <c r="M1232" s="308" t="s">
        <v>4912</v>
      </c>
      <c r="N1232" s="308"/>
      <c r="O1232" s="312" t="s">
        <v>4913</v>
      </c>
      <c r="P1232" s="312" t="s">
        <v>4914</v>
      </c>
      <c r="Q1232" s="308"/>
      <c r="R1232" s="308"/>
      <c r="S1232" s="308" t="s">
        <v>81</v>
      </c>
      <c r="T1232" s="308" t="s">
        <v>75</v>
      </c>
      <c r="U1232" s="308"/>
      <c r="V1232" s="312"/>
    </row>
    <row r="1233">
      <c r="A1233" s="308">
        <v>1232.0</v>
      </c>
      <c r="B1233" s="308">
        <v>4445.0</v>
      </c>
      <c r="C1233" s="308">
        <v>1248.0</v>
      </c>
      <c r="D1233" s="308">
        <f>IFERROR(__xludf.DUMMYFUNCTION("SPLIT(C1233,""-"")"),1248.0)</f>
        <v>1248</v>
      </c>
      <c r="E1233" s="311"/>
      <c r="F1233" s="317" t="s">
        <v>39</v>
      </c>
      <c r="G1233" s="308" t="s">
        <v>4915</v>
      </c>
      <c r="H1233" s="308" t="s">
        <v>4916</v>
      </c>
      <c r="I1233" s="310">
        <v>41614.0</v>
      </c>
      <c r="J1233" s="308">
        <f>IFERROR(__xludf.DUMMYFUNCTION("SPLIT(I1233,""/"")"),6.0)</f>
        <v>6</v>
      </c>
      <c r="K1233" s="308">
        <f>IFERROR(__xludf.DUMMYFUNCTION("""COMPUTED_VALUE"""),12.0)</f>
        <v>12</v>
      </c>
      <c r="L1233" s="308">
        <f>IFERROR(__xludf.DUMMYFUNCTION("""COMPUTED_VALUE"""),2013.0)</f>
        <v>2013</v>
      </c>
      <c r="M1233" s="308" t="s">
        <v>4917</v>
      </c>
      <c r="N1233" s="308" t="s">
        <v>4918</v>
      </c>
      <c r="O1233" s="312"/>
      <c r="P1233" s="308"/>
      <c r="Q1233" s="308"/>
      <c r="R1233" s="308"/>
      <c r="S1233" s="308" t="s">
        <v>79</v>
      </c>
      <c r="T1233" s="308" t="s">
        <v>79</v>
      </c>
      <c r="U1233" s="308" t="s">
        <v>166</v>
      </c>
      <c r="V1233" s="312"/>
    </row>
    <row r="1234">
      <c r="A1234" s="308">
        <v>1233.0</v>
      </c>
      <c r="B1234" s="308">
        <v>4446.0</v>
      </c>
      <c r="C1234" s="308">
        <v>1249.0</v>
      </c>
      <c r="D1234" s="308">
        <f>IFERROR(__xludf.DUMMYFUNCTION("SPLIT(C1234,""-"")"),1249.0)</f>
        <v>1249</v>
      </c>
      <c r="E1234" s="311"/>
      <c r="F1234" s="309" t="s">
        <v>34</v>
      </c>
      <c r="G1234" s="308"/>
      <c r="H1234" s="308" t="s">
        <v>4919</v>
      </c>
      <c r="I1234" s="310">
        <v>40118.0</v>
      </c>
      <c r="J1234" s="308">
        <f>IFERROR(__xludf.DUMMYFUNCTION("SPLIT(I1234,""/"")"),1.0)</f>
        <v>1</v>
      </c>
      <c r="K1234" s="308">
        <f>IFERROR(__xludf.DUMMYFUNCTION("""COMPUTED_VALUE"""),11.0)</f>
        <v>11</v>
      </c>
      <c r="L1234" s="308">
        <f>IFERROR(__xludf.DUMMYFUNCTION("""COMPUTED_VALUE"""),2009.0)</f>
        <v>2009</v>
      </c>
      <c r="M1234" s="308" t="s">
        <v>4920</v>
      </c>
      <c r="N1234" s="308"/>
      <c r="O1234" s="312" t="s">
        <v>635</v>
      </c>
      <c r="P1234" s="308" t="s">
        <v>35119</v>
      </c>
      <c r="Q1234" s="308"/>
      <c r="R1234" s="308"/>
      <c r="S1234" s="308" t="s">
        <v>49</v>
      </c>
      <c r="T1234" s="315" t="s">
        <v>69</v>
      </c>
      <c r="U1234" s="308" t="s">
        <v>2097</v>
      </c>
      <c r="V1234" s="312"/>
    </row>
    <row r="1235">
      <c r="A1235" s="308">
        <v>1234.0</v>
      </c>
      <c r="B1235" s="308">
        <v>4447.0</v>
      </c>
      <c r="C1235" s="308">
        <v>1250.0</v>
      </c>
      <c r="D1235" s="308">
        <f>IFERROR(__xludf.DUMMYFUNCTION("SPLIT(C1235,""-"")"),1250.0)</f>
        <v>1250</v>
      </c>
      <c r="E1235" s="311"/>
      <c r="F1235" s="317" t="s">
        <v>37</v>
      </c>
      <c r="G1235" s="308"/>
      <c r="H1235" s="308" t="s">
        <v>4921</v>
      </c>
      <c r="I1235" s="310">
        <v>41414.0</v>
      </c>
      <c r="J1235" s="308">
        <f>IFERROR(__xludf.DUMMYFUNCTION("SPLIT(I1235,""/"")"),20.0)</f>
        <v>20</v>
      </c>
      <c r="K1235" s="308">
        <f>IFERROR(__xludf.DUMMYFUNCTION("""COMPUTED_VALUE"""),5.0)</f>
        <v>5</v>
      </c>
      <c r="L1235" s="308">
        <f>IFERROR(__xludf.DUMMYFUNCTION("""COMPUTED_VALUE"""),2013.0)</f>
        <v>2013</v>
      </c>
      <c r="M1235" s="308" t="s">
        <v>4922</v>
      </c>
      <c r="N1235" s="308"/>
      <c r="O1235" s="312" t="s">
        <v>4923</v>
      </c>
      <c r="P1235" s="308" t="s">
        <v>2675</v>
      </c>
      <c r="Q1235" s="308"/>
      <c r="R1235" s="308"/>
      <c r="S1235" s="308" t="s">
        <v>49</v>
      </c>
      <c r="T1235" s="308" t="s">
        <v>51</v>
      </c>
      <c r="U1235" s="308" t="s">
        <v>137</v>
      </c>
      <c r="V1235" s="312"/>
    </row>
    <row r="1236">
      <c r="A1236" s="308">
        <v>1235.0</v>
      </c>
      <c r="B1236" s="308">
        <v>4448.0</v>
      </c>
      <c r="C1236" s="308">
        <v>1251.0</v>
      </c>
      <c r="D1236" s="308">
        <f>IFERROR(__xludf.DUMMYFUNCTION("SPLIT(C1236,""-"")"),1251.0)</f>
        <v>1251</v>
      </c>
      <c r="E1236" s="311"/>
      <c r="F1236" s="309" t="s">
        <v>34</v>
      </c>
      <c r="G1236" s="308"/>
      <c r="H1236" s="308" t="s">
        <v>4924</v>
      </c>
      <c r="I1236" s="314">
        <v>40498.0</v>
      </c>
      <c r="J1236" s="308">
        <f>IFERROR(__xludf.DUMMYFUNCTION("SPLIT(I1236,""/"")"),16.0)</f>
        <v>16</v>
      </c>
      <c r="K1236" s="308">
        <f>IFERROR(__xludf.DUMMYFUNCTION("""COMPUTED_VALUE"""),11.0)</f>
        <v>11</v>
      </c>
      <c r="L1236" s="308">
        <f>IFERROR(__xludf.DUMMYFUNCTION("""COMPUTED_VALUE"""),2010.0)</f>
        <v>2010</v>
      </c>
      <c r="M1236" s="308" t="s">
        <v>4925</v>
      </c>
      <c r="N1236" s="308"/>
      <c r="O1236" s="312" t="s">
        <v>4926</v>
      </c>
      <c r="P1236" s="308" t="s">
        <v>4927</v>
      </c>
      <c r="Q1236" s="308"/>
      <c r="R1236" s="308"/>
      <c r="S1236" s="308" t="s">
        <v>49</v>
      </c>
      <c r="T1236" s="308" t="s">
        <v>51</v>
      </c>
      <c r="U1236" s="308"/>
      <c r="V1236" s="312"/>
    </row>
    <row r="1237">
      <c r="A1237" s="308">
        <v>1236.0</v>
      </c>
      <c r="B1237" s="308">
        <v>4449.0</v>
      </c>
      <c r="C1237" s="308">
        <v>1252.0</v>
      </c>
      <c r="D1237" s="308">
        <f>IFERROR(__xludf.DUMMYFUNCTION("SPLIT(C1237,""-"")"),1252.0)</f>
        <v>1252</v>
      </c>
      <c r="E1237" s="311"/>
      <c r="F1237" s="309" t="s">
        <v>34</v>
      </c>
      <c r="G1237" s="308"/>
      <c r="H1237" s="308" t="s">
        <v>4928</v>
      </c>
      <c r="I1237" s="310">
        <v>41130.0</v>
      </c>
      <c r="J1237" s="308">
        <f>IFERROR(__xludf.DUMMYFUNCTION("SPLIT(I1237,""/"")"),9.0)</f>
        <v>9</v>
      </c>
      <c r="K1237" s="308">
        <f>IFERROR(__xludf.DUMMYFUNCTION("""COMPUTED_VALUE"""),8.0)</f>
        <v>8</v>
      </c>
      <c r="L1237" s="308">
        <f>IFERROR(__xludf.DUMMYFUNCTION("""COMPUTED_VALUE"""),2012.0)</f>
        <v>2012</v>
      </c>
      <c r="M1237" s="308" t="s">
        <v>4929</v>
      </c>
      <c r="N1237" s="308"/>
      <c r="O1237" s="312" t="s">
        <v>4930</v>
      </c>
      <c r="P1237" s="308" t="s">
        <v>4931</v>
      </c>
      <c r="Q1237" s="308"/>
      <c r="R1237" s="308"/>
      <c r="S1237" s="308" t="s">
        <v>81</v>
      </c>
      <c r="T1237" s="308" t="s">
        <v>34264</v>
      </c>
      <c r="U1237" s="308"/>
      <c r="V1237" s="312"/>
    </row>
    <row r="1238">
      <c r="A1238" s="308">
        <v>1237.0</v>
      </c>
      <c r="B1238" s="308">
        <v>4450.0</v>
      </c>
      <c r="C1238" s="308">
        <v>1253.0</v>
      </c>
      <c r="D1238" s="308">
        <f>IFERROR(__xludf.DUMMYFUNCTION("SPLIT(C1238,""-"")"),1253.0)</f>
        <v>1253</v>
      </c>
      <c r="E1238" s="311"/>
      <c r="F1238" s="317" t="s">
        <v>39</v>
      </c>
      <c r="G1238" s="308" t="s">
        <v>4932</v>
      </c>
      <c r="H1238" s="308" t="s">
        <v>4933</v>
      </c>
      <c r="I1238" s="314">
        <v>40493.0</v>
      </c>
      <c r="J1238" s="308">
        <f>IFERROR(__xludf.DUMMYFUNCTION("SPLIT(I1238,""/"")"),11.0)</f>
        <v>11</v>
      </c>
      <c r="K1238" s="308">
        <f>IFERROR(__xludf.DUMMYFUNCTION("""COMPUTED_VALUE"""),11.0)</f>
        <v>11</v>
      </c>
      <c r="L1238" s="308">
        <f>IFERROR(__xludf.DUMMYFUNCTION("""COMPUTED_VALUE"""),2010.0)</f>
        <v>2010</v>
      </c>
      <c r="M1238" s="308" t="s">
        <v>4934</v>
      </c>
      <c r="N1238" s="308"/>
      <c r="O1238" s="312" t="s">
        <v>4935</v>
      </c>
      <c r="P1238" s="308" t="s">
        <v>4240</v>
      </c>
      <c r="Q1238" s="308"/>
      <c r="R1238" s="308"/>
      <c r="S1238" s="315" t="s">
        <v>100</v>
      </c>
      <c r="T1238" s="311" t="s">
        <v>34208</v>
      </c>
      <c r="U1238" s="308"/>
      <c r="V1238" s="312"/>
    </row>
    <row r="1239">
      <c r="A1239" s="308">
        <v>1238.0</v>
      </c>
      <c r="B1239" s="308">
        <v>4451.0</v>
      </c>
      <c r="C1239" s="308">
        <v>1254.0</v>
      </c>
      <c r="D1239" s="308">
        <f>IFERROR(__xludf.DUMMYFUNCTION("SPLIT(C1239,""-"")"),1254.0)</f>
        <v>1254</v>
      </c>
      <c r="E1239" s="311"/>
      <c r="F1239" s="317" t="s">
        <v>39</v>
      </c>
      <c r="G1239" s="308" t="s">
        <v>4936</v>
      </c>
      <c r="H1239" s="308" t="s">
        <v>4937</v>
      </c>
      <c r="I1239" s="310">
        <v>40057.0</v>
      </c>
      <c r="J1239" s="308">
        <f>IFERROR(__xludf.DUMMYFUNCTION("SPLIT(I1239,""/"")"),1.0)</f>
        <v>1</v>
      </c>
      <c r="K1239" s="308">
        <f>IFERROR(__xludf.DUMMYFUNCTION("""COMPUTED_VALUE"""),9.0)</f>
        <v>9</v>
      </c>
      <c r="L1239" s="308">
        <f>IFERROR(__xludf.DUMMYFUNCTION("""COMPUTED_VALUE"""),2009.0)</f>
        <v>2009</v>
      </c>
      <c r="M1239" s="308" t="s">
        <v>4938</v>
      </c>
      <c r="N1239" s="308"/>
      <c r="O1239" s="312" t="s">
        <v>4939</v>
      </c>
      <c r="P1239" s="308" t="s">
        <v>2011</v>
      </c>
      <c r="Q1239" s="308" t="s">
        <v>34322</v>
      </c>
      <c r="R1239" s="308"/>
      <c r="S1239" s="308" t="s">
        <v>49</v>
      </c>
      <c r="T1239" s="308" t="s">
        <v>51</v>
      </c>
      <c r="U1239" s="308"/>
      <c r="V1239" s="312"/>
    </row>
    <row r="1240">
      <c r="A1240" s="308">
        <v>1239.0</v>
      </c>
      <c r="B1240" s="308">
        <v>4452.0</v>
      </c>
      <c r="C1240" s="308">
        <v>1255.0</v>
      </c>
      <c r="D1240" s="308">
        <f>IFERROR(__xludf.DUMMYFUNCTION("SPLIT(C1240,""-"")"),1255.0)</f>
        <v>1255</v>
      </c>
      <c r="E1240" s="311"/>
      <c r="F1240" s="309" t="s">
        <v>34</v>
      </c>
      <c r="G1240" s="308" t="s">
        <v>4940</v>
      </c>
      <c r="H1240" s="308" t="s">
        <v>35998</v>
      </c>
      <c r="I1240" s="314">
        <v>40479.0</v>
      </c>
      <c r="J1240" s="308">
        <f>IFERROR(__xludf.DUMMYFUNCTION("SPLIT(I1240,""/"")"),28.0)</f>
        <v>28</v>
      </c>
      <c r="K1240" s="308">
        <f>IFERROR(__xludf.DUMMYFUNCTION("""COMPUTED_VALUE"""),10.0)</f>
        <v>10</v>
      </c>
      <c r="L1240" s="308">
        <f>IFERROR(__xludf.DUMMYFUNCTION("""COMPUTED_VALUE"""),2010.0)</f>
        <v>2010</v>
      </c>
      <c r="M1240" s="308" t="s">
        <v>4942</v>
      </c>
      <c r="N1240" s="308"/>
      <c r="O1240" s="312" t="s">
        <v>4943</v>
      </c>
      <c r="P1240" s="308" t="s">
        <v>4944</v>
      </c>
      <c r="Q1240" s="308"/>
      <c r="R1240" s="308"/>
      <c r="S1240" s="308" t="s">
        <v>81</v>
      </c>
      <c r="T1240" s="308" t="s">
        <v>34264</v>
      </c>
      <c r="U1240" s="308"/>
      <c r="V1240" s="312"/>
    </row>
    <row r="1241">
      <c r="A1241" s="308">
        <v>1240.0</v>
      </c>
      <c r="B1241" s="308">
        <v>4453.0</v>
      </c>
      <c r="C1241" s="308">
        <v>1256.0</v>
      </c>
      <c r="D1241" s="308">
        <f>IFERROR(__xludf.DUMMYFUNCTION("SPLIT(C1241,""-"")"),1256.0)</f>
        <v>1256</v>
      </c>
      <c r="E1241" s="311"/>
      <c r="F1241" s="317" t="s">
        <v>37</v>
      </c>
      <c r="G1241" s="308"/>
      <c r="H1241" s="308" t="s">
        <v>4945</v>
      </c>
      <c r="I1241" s="310">
        <v>41412.0</v>
      </c>
      <c r="J1241" s="308">
        <f>IFERROR(__xludf.DUMMYFUNCTION("SPLIT(I1241,""/"")"),18.0)</f>
        <v>18</v>
      </c>
      <c r="K1241" s="308">
        <f>IFERROR(__xludf.DUMMYFUNCTION("""COMPUTED_VALUE"""),5.0)</f>
        <v>5</v>
      </c>
      <c r="L1241" s="308">
        <f>IFERROR(__xludf.DUMMYFUNCTION("""COMPUTED_VALUE"""),2013.0)</f>
        <v>2013</v>
      </c>
      <c r="M1241" s="308" t="s">
        <v>4946</v>
      </c>
      <c r="N1241" s="308"/>
      <c r="O1241" s="312" t="s">
        <v>4947</v>
      </c>
      <c r="P1241" s="308" t="s">
        <v>4948</v>
      </c>
      <c r="Q1241" s="308"/>
      <c r="R1241" s="308"/>
      <c r="S1241" s="308" t="s">
        <v>81</v>
      </c>
      <c r="T1241" s="311" t="s">
        <v>75</v>
      </c>
      <c r="U1241" s="308"/>
      <c r="V1241" s="312"/>
    </row>
    <row r="1242">
      <c r="A1242" s="308">
        <v>1241.0</v>
      </c>
      <c r="B1242" s="308">
        <v>4454.0</v>
      </c>
      <c r="C1242" s="308">
        <v>1257.0</v>
      </c>
      <c r="D1242" s="308">
        <f>IFERROR(__xludf.DUMMYFUNCTION("SPLIT(C1242,""-"")"),1257.0)</f>
        <v>1257</v>
      </c>
      <c r="E1242" s="311"/>
      <c r="F1242" s="317" t="s">
        <v>37</v>
      </c>
      <c r="G1242" s="308" t="s">
        <v>4949</v>
      </c>
      <c r="H1242" s="308" t="s">
        <v>4950</v>
      </c>
      <c r="I1242" s="310">
        <v>41412.0</v>
      </c>
      <c r="J1242" s="308">
        <f>IFERROR(__xludf.DUMMYFUNCTION("SPLIT(I1242,""/"")"),18.0)</f>
        <v>18</v>
      </c>
      <c r="K1242" s="308">
        <f>IFERROR(__xludf.DUMMYFUNCTION("""COMPUTED_VALUE"""),5.0)</f>
        <v>5</v>
      </c>
      <c r="L1242" s="308">
        <f>IFERROR(__xludf.DUMMYFUNCTION("""COMPUTED_VALUE"""),2013.0)</f>
        <v>2013</v>
      </c>
      <c r="M1242" s="308" t="s">
        <v>4951</v>
      </c>
      <c r="N1242" s="308"/>
      <c r="O1242" s="312" t="s">
        <v>4952</v>
      </c>
      <c r="P1242" s="308" t="s">
        <v>4953</v>
      </c>
      <c r="Q1242" s="308"/>
      <c r="R1242" s="308"/>
      <c r="S1242" s="308" t="s">
        <v>81</v>
      </c>
      <c r="T1242" s="311" t="s">
        <v>75</v>
      </c>
      <c r="U1242" s="308"/>
      <c r="V1242" s="312"/>
    </row>
    <row r="1243">
      <c r="A1243" s="308">
        <v>1242.0</v>
      </c>
      <c r="B1243" s="308">
        <v>4455.0</v>
      </c>
      <c r="C1243" s="308">
        <v>1258.0</v>
      </c>
      <c r="D1243" s="308">
        <f>IFERROR(__xludf.DUMMYFUNCTION("SPLIT(C1243,""-"")"),1258.0)</f>
        <v>1258</v>
      </c>
      <c r="E1243" s="311"/>
      <c r="F1243" s="317" t="s">
        <v>37</v>
      </c>
      <c r="G1243" s="308" t="s">
        <v>4949</v>
      </c>
      <c r="H1243" s="308" t="s">
        <v>4954</v>
      </c>
      <c r="I1243" s="310">
        <v>41412.0</v>
      </c>
      <c r="J1243" s="308">
        <f>IFERROR(__xludf.DUMMYFUNCTION("SPLIT(I1243,""/"")"),18.0)</f>
        <v>18</v>
      </c>
      <c r="K1243" s="308">
        <f>IFERROR(__xludf.DUMMYFUNCTION("""COMPUTED_VALUE"""),5.0)</f>
        <v>5</v>
      </c>
      <c r="L1243" s="308">
        <f>IFERROR(__xludf.DUMMYFUNCTION("""COMPUTED_VALUE"""),2013.0)</f>
        <v>2013</v>
      </c>
      <c r="M1243" s="308" t="s">
        <v>4951</v>
      </c>
      <c r="N1243" s="308"/>
      <c r="O1243" s="312" t="s">
        <v>4952</v>
      </c>
      <c r="P1243" s="308" t="s">
        <v>4953</v>
      </c>
      <c r="Q1243" s="308"/>
      <c r="R1243" s="308"/>
      <c r="S1243" s="308" t="s">
        <v>81</v>
      </c>
      <c r="T1243" s="311" t="s">
        <v>75</v>
      </c>
      <c r="U1243" s="308"/>
      <c r="V1243" s="312"/>
    </row>
    <row r="1244">
      <c r="A1244" s="308">
        <v>1243.0</v>
      </c>
      <c r="B1244" s="308">
        <v>4456.0</v>
      </c>
      <c r="C1244" s="308" t="s">
        <v>4955</v>
      </c>
      <c r="D1244" s="308">
        <f>IFERROR(__xludf.DUMMYFUNCTION("SPLIT(C1244,""-"")"),1259.0)</f>
        <v>1259</v>
      </c>
      <c r="E1244" s="308" t="str">
        <f>IFERROR(__xludf.DUMMYFUNCTION("""COMPUTED_VALUE"""),"P")</f>
        <v>P</v>
      </c>
      <c r="F1244" s="312" t="s">
        <v>37</v>
      </c>
      <c r="G1244" s="308" t="s">
        <v>4956</v>
      </c>
      <c r="H1244" s="308" t="s">
        <v>4957</v>
      </c>
      <c r="I1244" s="310">
        <v>41110.0</v>
      </c>
      <c r="J1244" s="308">
        <f>IFERROR(__xludf.DUMMYFUNCTION("SPLIT(I1244,""/"")"),20.0)</f>
        <v>20</v>
      </c>
      <c r="K1244" s="308">
        <f>IFERROR(__xludf.DUMMYFUNCTION("""COMPUTED_VALUE"""),7.0)</f>
        <v>7</v>
      </c>
      <c r="L1244" s="308">
        <f>IFERROR(__xludf.DUMMYFUNCTION("""COMPUTED_VALUE"""),2012.0)</f>
        <v>2012</v>
      </c>
      <c r="M1244" s="308" t="s">
        <v>4958</v>
      </c>
      <c r="N1244" s="308"/>
      <c r="O1244" s="312" t="s">
        <v>4959</v>
      </c>
      <c r="P1244" s="308" t="s">
        <v>4960</v>
      </c>
      <c r="Q1244" s="308"/>
      <c r="R1244" s="308" t="s">
        <v>1496</v>
      </c>
      <c r="S1244" s="308" t="s">
        <v>81</v>
      </c>
      <c r="T1244" s="308" t="s">
        <v>75</v>
      </c>
      <c r="U1244" s="308" t="s">
        <v>149</v>
      </c>
      <c r="V1244" s="312"/>
    </row>
    <row r="1245">
      <c r="A1245" s="308">
        <v>1244.0</v>
      </c>
      <c r="B1245" s="308">
        <v>4457.0</v>
      </c>
      <c r="C1245" s="308">
        <v>1260.0</v>
      </c>
      <c r="D1245" s="308">
        <f>IFERROR(__xludf.DUMMYFUNCTION("SPLIT(C1245,""-"")"),1260.0)</f>
        <v>1260</v>
      </c>
      <c r="E1245" s="311"/>
      <c r="F1245" s="309" t="s">
        <v>34</v>
      </c>
      <c r="G1245" s="308" t="s">
        <v>4961</v>
      </c>
      <c r="H1245" s="308" t="s">
        <v>4962</v>
      </c>
      <c r="I1245" s="310">
        <v>39995.0</v>
      </c>
      <c r="J1245" s="308">
        <f>IFERROR(__xludf.DUMMYFUNCTION("SPLIT(I1245,""/"")"),1.0)</f>
        <v>1</v>
      </c>
      <c r="K1245" s="308">
        <f>IFERROR(__xludf.DUMMYFUNCTION("""COMPUTED_VALUE"""),7.0)</f>
        <v>7</v>
      </c>
      <c r="L1245" s="308">
        <f>IFERROR(__xludf.DUMMYFUNCTION("""COMPUTED_VALUE"""),2009.0)</f>
        <v>2009</v>
      </c>
      <c r="M1245" s="308" t="s">
        <v>35999</v>
      </c>
      <c r="N1245" s="308" t="s">
        <v>4964</v>
      </c>
      <c r="O1245" s="312" t="s">
        <v>4965</v>
      </c>
      <c r="P1245" s="308" t="s">
        <v>1971</v>
      </c>
      <c r="Q1245" s="308"/>
      <c r="R1245" s="308"/>
      <c r="S1245" s="315" t="s">
        <v>100</v>
      </c>
      <c r="T1245" s="311" t="s">
        <v>34208</v>
      </c>
      <c r="U1245" s="308" t="s">
        <v>530</v>
      </c>
      <c r="V1245" s="312"/>
    </row>
    <row r="1246">
      <c r="A1246" s="308">
        <v>1245.0</v>
      </c>
      <c r="B1246" s="308">
        <v>4458.0</v>
      </c>
      <c r="C1246" s="308">
        <v>1261.0</v>
      </c>
      <c r="D1246" s="308">
        <f>IFERROR(__xludf.DUMMYFUNCTION("SPLIT(C1246,""-"")"),1261.0)</f>
        <v>1261</v>
      </c>
      <c r="E1246" s="311"/>
      <c r="F1246" s="309" t="s">
        <v>34</v>
      </c>
      <c r="G1246" s="308"/>
      <c r="H1246" s="308" t="s">
        <v>4966</v>
      </c>
      <c r="I1246" s="310">
        <v>41430.0</v>
      </c>
      <c r="J1246" s="308">
        <f>IFERROR(__xludf.DUMMYFUNCTION("SPLIT(I1246,""/"")"),5.0)</f>
        <v>5</v>
      </c>
      <c r="K1246" s="308">
        <f>IFERROR(__xludf.DUMMYFUNCTION("""COMPUTED_VALUE"""),6.0)</f>
        <v>6</v>
      </c>
      <c r="L1246" s="308">
        <f>IFERROR(__xludf.DUMMYFUNCTION("""COMPUTED_VALUE"""),2013.0)</f>
        <v>2013</v>
      </c>
      <c r="M1246" s="308" t="s">
        <v>4967</v>
      </c>
      <c r="N1246" s="308"/>
      <c r="O1246" s="312" t="s">
        <v>4968</v>
      </c>
      <c r="P1246" s="308" t="s">
        <v>4969</v>
      </c>
      <c r="Q1246" s="308"/>
      <c r="R1246" s="308"/>
      <c r="S1246" s="308" t="s">
        <v>81</v>
      </c>
      <c r="T1246" s="308" t="s">
        <v>34264</v>
      </c>
      <c r="U1246" s="308" t="s">
        <v>2152</v>
      </c>
      <c r="V1246" s="312"/>
    </row>
    <row r="1247">
      <c r="A1247" s="308">
        <v>1246.0</v>
      </c>
      <c r="B1247" s="308">
        <v>4459.0</v>
      </c>
      <c r="C1247" s="308" t="s">
        <v>4970</v>
      </c>
      <c r="D1247" s="308"/>
      <c r="E1247" s="311"/>
      <c r="F1247" s="317" t="s">
        <v>39</v>
      </c>
      <c r="G1247" s="308" t="s">
        <v>4971</v>
      </c>
      <c r="H1247" s="308" t="s">
        <v>36000</v>
      </c>
      <c r="I1247" s="310">
        <v>41343.0</v>
      </c>
      <c r="J1247" s="308">
        <f>IFERROR(__xludf.DUMMYFUNCTION("SPLIT(I1247,""/"")"),10.0)</f>
        <v>10</v>
      </c>
      <c r="K1247" s="308">
        <f>IFERROR(__xludf.DUMMYFUNCTION("""COMPUTED_VALUE"""),3.0)</f>
        <v>3</v>
      </c>
      <c r="L1247" s="308">
        <f>IFERROR(__xludf.DUMMYFUNCTION("""COMPUTED_VALUE"""),2013.0)</f>
        <v>2013</v>
      </c>
      <c r="M1247" s="308" t="s">
        <v>4973</v>
      </c>
      <c r="N1247" s="308"/>
      <c r="O1247" s="312" t="s">
        <v>4974</v>
      </c>
      <c r="P1247" s="308" t="s">
        <v>4240</v>
      </c>
      <c r="Q1247" s="308"/>
      <c r="R1247" s="308"/>
      <c r="S1247" s="315" t="s">
        <v>100</v>
      </c>
      <c r="T1247" s="311" t="s">
        <v>34208</v>
      </c>
      <c r="U1247" s="308"/>
      <c r="V1247" s="312"/>
    </row>
    <row r="1248">
      <c r="A1248" s="308">
        <v>1247.0</v>
      </c>
      <c r="B1248" s="308">
        <v>4460.0</v>
      </c>
      <c r="C1248" s="308" t="s">
        <v>4975</v>
      </c>
      <c r="D1248" s="308">
        <f>IFERROR(__xludf.DUMMYFUNCTION("SPLIT(C1248,""-"")"),1263.0)</f>
        <v>1263</v>
      </c>
      <c r="E1248" s="308" t="str">
        <f>IFERROR(__xludf.DUMMYFUNCTION("""COMPUTED_VALUE"""),"S")</f>
        <v>S</v>
      </c>
      <c r="F1248" s="312" t="s">
        <v>39</v>
      </c>
      <c r="G1248" s="308" t="s">
        <v>4971</v>
      </c>
      <c r="H1248" s="308" t="s">
        <v>4976</v>
      </c>
      <c r="I1248" s="310">
        <v>41379.0</v>
      </c>
      <c r="J1248" s="308">
        <f>IFERROR(__xludf.DUMMYFUNCTION("SPLIT(I1248,""/"")"),15.0)</f>
        <v>15</v>
      </c>
      <c r="K1248" s="308">
        <f>IFERROR(__xludf.DUMMYFUNCTION("""COMPUTED_VALUE"""),4.0)</f>
        <v>4</v>
      </c>
      <c r="L1248" s="308">
        <f>IFERROR(__xludf.DUMMYFUNCTION("""COMPUTED_VALUE"""),2013.0)</f>
        <v>2013</v>
      </c>
      <c r="M1248" s="308" t="s">
        <v>4977</v>
      </c>
      <c r="N1248" s="308"/>
      <c r="O1248" s="312" t="s">
        <v>4978</v>
      </c>
      <c r="P1248" s="308" t="s">
        <v>4240</v>
      </c>
      <c r="Q1248" s="308"/>
      <c r="R1248" s="308" t="s">
        <v>4979</v>
      </c>
      <c r="S1248" s="315" t="s">
        <v>100</v>
      </c>
      <c r="T1248" s="311" t="s">
        <v>34208</v>
      </c>
      <c r="U1248" s="308"/>
      <c r="V1248" s="312"/>
    </row>
    <row r="1249">
      <c r="A1249" s="308">
        <v>1248.0</v>
      </c>
      <c r="B1249" s="308">
        <v>4461.0</v>
      </c>
      <c r="C1249" s="308">
        <v>1264.0</v>
      </c>
      <c r="D1249" s="308">
        <f>IFERROR(__xludf.DUMMYFUNCTION("SPLIT(C1249,""-"")"),1264.0)</f>
        <v>1264</v>
      </c>
      <c r="E1249" s="311"/>
      <c r="F1249" s="317" t="s">
        <v>39</v>
      </c>
      <c r="G1249" s="308" t="s">
        <v>4971</v>
      </c>
      <c r="H1249" s="308" t="s">
        <v>36001</v>
      </c>
      <c r="I1249" s="310">
        <v>41368.0</v>
      </c>
      <c r="J1249" s="308">
        <f>IFERROR(__xludf.DUMMYFUNCTION("SPLIT(I1249,""/"")"),4.0)</f>
        <v>4</v>
      </c>
      <c r="K1249" s="308">
        <f>IFERROR(__xludf.DUMMYFUNCTION("""COMPUTED_VALUE"""),4.0)</f>
        <v>4</v>
      </c>
      <c r="L1249" s="308">
        <f>IFERROR(__xludf.DUMMYFUNCTION("""COMPUTED_VALUE"""),2013.0)</f>
        <v>2013</v>
      </c>
      <c r="M1249" s="308" t="s">
        <v>4981</v>
      </c>
      <c r="N1249" s="308"/>
      <c r="O1249" s="308" t="s">
        <v>4982</v>
      </c>
      <c r="P1249" s="308" t="s">
        <v>4983</v>
      </c>
      <c r="Q1249" s="308"/>
      <c r="R1249" s="308"/>
      <c r="S1249" s="308" t="s">
        <v>49</v>
      </c>
      <c r="T1249" s="311" t="s">
        <v>51</v>
      </c>
      <c r="U1249" s="308"/>
      <c r="V1249" s="312"/>
    </row>
    <row r="1250">
      <c r="A1250" s="308">
        <v>1249.0</v>
      </c>
      <c r="B1250" s="308">
        <v>4462.0</v>
      </c>
      <c r="C1250" s="308" t="s">
        <v>36002</v>
      </c>
      <c r="D1250" s="308">
        <f>IFERROR(__xludf.DUMMYFUNCTION("SPLIT(C1250,""-"")"),1265.0)</f>
        <v>1265</v>
      </c>
      <c r="E1250" s="308" t="str">
        <f>IFERROR(__xludf.DUMMYFUNCTION("""COMPUTED_VALUE"""),"S ")</f>
        <v>S </v>
      </c>
      <c r="F1250" s="312" t="s">
        <v>39</v>
      </c>
      <c r="G1250" s="308" t="s">
        <v>4971</v>
      </c>
      <c r="H1250" s="308" t="s">
        <v>36003</v>
      </c>
      <c r="I1250" s="310">
        <v>41406.0</v>
      </c>
      <c r="J1250" s="308">
        <f>IFERROR(__xludf.DUMMYFUNCTION("SPLIT(I1250,""/"")"),12.0)</f>
        <v>12</v>
      </c>
      <c r="K1250" s="308">
        <f>IFERROR(__xludf.DUMMYFUNCTION("""COMPUTED_VALUE"""),5.0)</f>
        <v>5</v>
      </c>
      <c r="L1250" s="308">
        <f>IFERROR(__xludf.DUMMYFUNCTION("""COMPUTED_VALUE"""),2013.0)</f>
        <v>2013</v>
      </c>
      <c r="M1250" s="308" t="s">
        <v>36004</v>
      </c>
      <c r="N1250" s="308"/>
      <c r="O1250" s="312" t="s">
        <v>4987</v>
      </c>
      <c r="P1250" s="308" t="s">
        <v>4240</v>
      </c>
      <c r="Q1250" s="308"/>
      <c r="R1250" s="308" t="s">
        <v>4988</v>
      </c>
      <c r="S1250" s="315" t="s">
        <v>100</v>
      </c>
      <c r="T1250" s="311" t="s">
        <v>34208</v>
      </c>
      <c r="U1250" s="308"/>
      <c r="V1250" s="312"/>
    </row>
    <row r="1251">
      <c r="A1251" s="308">
        <v>1250.0</v>
      </c>
      <c r="B1251" s="308">
        <v>4463.0</v>
      </c>
      <c r="C1251" s="308" t="s">
        <v>4989</v>
      </c>
      <c r="D1251" s="308"/>
      <c r="E1251" s="311"/>
      <c r="F1251" s="317" t="s">
        <v>39</v>
      </c>
      <c r="G1251" s="308" t="s">
        <v>4971</v>
      </c>
      <c r="H1251" s="308" t="s">
        <v>36005</v>
      </c>
      <c r="I1251" s="310">
        <v>41613.0</v>
      </c>
      <c r="J1251" s="308">
        <f>IFERROR(__xludf.DUMMYFUNCTION("SPLIT(I1251,""/"")"),5.0)</f>
        <v>5</v>
      </c>
      <c r="K1251" s="308">
        <f>IFERROR(__xludf.DUMMYFUNCTION("""COMPUTED_VALUE"""),12.0)</f>
        <v>12</v>
      </c>
      <c r="L1251" s="308">
        <f>IFERROR(__xludf.DUMMYFUNCTION("""COMPUTED_VALUE"""),2013.0)</f>
        <v>2013</v>
      </c>
      <c r="M1251" s="308" t="s">
        <v>4991</v>
      </c>
      <c r="N1251" s="308"/>
      <c r="O1251" s="312" t="s">
        <v>4987</v>
      </c>
      <c r="P1251" s="308" t="s">
        <v>4240</v>
      </c>
      <c r="Q1251" s="308"/>
      <c r="R1251" s="308" t="s">
        <v>4992</v>
      </c>
      <c r="S1251" s="315" t="s">
        <v>100</v>
      </c>
      <c r="T1251" s="311" t="s">
        <v>34208</v>
      </c>
      <c r="U1251" s="308"/>
      <c r="V1251" s="312"/>
    </row>
    <row r="1252">
      <c r="A1252" s="308">
        <v>1251.0</v>
      </c>
      <c r="B1252" s="308">
        <v>4464.0</v>
      </c>
      <c r="C1252" s="308">
        <v>1267.0</v>
      </c>
      <c r="D1252" s="308">
        <f>IFERROR(__xludf.DUMMYFUNCTION("SPLIT(C1252,""-"")"),1267.0)</f>
        <v>1267</v>
      </c>
      <c r="E1252" s="311"/>
      <c r="F1252" s="317" t="s">
        <v>39</v>
      </c>
      <c r="G1252" s="308" t="s">
        <v>4993</v>
      </c>
      <c r="H1252" s="308" t="s">
        <v>4994</v>
      </c>
      <c r="I1252" s="310">
        <v>41163.0</v>
      </c>
      <c r="J1252" s="308">
        <f>IFERROR(__xludf.DUMMYFUNCTION("SPLIT(I1252,""/"")"),11.0)</f>
        <v>11</v>
      </c>
      <c r="K1252" s="308">
        <f>IFERROR(__xludf.DUMMYFUNCTION("""COMPUTED_VALUE"""),9.0)</f>
        <v>9</v>
      </c>
      <c r="L1252" s="308">
        <f>IFERROR(__xludf.DUMMYFUNCTION("""COMPUTED_VALUE"""),2012.0)</f>
        <v>2012</v>
      </c>
      <c r="M1252" s="308" t="s">
        <v>4995</v>
      </c>
      <c r="N1252" s="308"/>
      <c r="O1252" s="312"/>
      <c r="P1252" s="308" t="s">
        <v>4996</v>
      </c>
      <c r="Q1252" s="308"/>
      <c r="R1252" s="312"/>
      <c r="S1252" s="308" t="s">
        <v>81</v>
      </c>
      <c r="T1252" s="308" t="s">
        <v>98</v>
      </c>
      <c r="U1252" s="308"/>
      <c r="V1252" s="312"/>
    </row>
    <row r="1253">
      <c r="A1253" s="308">
        <v>1252.0</v>
      </c>
      <c r="B1253" s="308">
        <v>4465.0</v>
      </c>
      <c r="C1253" s="308">
        <v>1268.0</v>
      </c>
      <c r="D1253" s="308">
        <f>IFERROR(__xludf.DUMMYFUNCTION("SPLIT(C1253,""-"")"),1268.0)</f>
        <v>1268</v>
      </c>
      <c r="E1253" s="311"/>
      <c r="F1253" s="317" t="s">
        <v>39</v>
      </c>
      <c r="G1253" s="308" t="s">
        <v>4997</v>
      </c>
      <c r="H1253" s="308" t="s">
        <v>4998</v>
      </c>
      <c r="I1253" s="310">
        <v>41430.0</v>
      </c>
      <c r="J1253" s="308">
        <f>IFERROR(__xludf.DUMMYFUNCTION("SPLIT(I1253,""/"")"),5.0)</f>
        <v>5</v>
      </c>
      <c r="K1253" s="308">
        <f>IFERROR(__xludf.DUMMYFUNCTION("""COMPUTED_VALUE"""),6.0)</f>
        <v>6</v>
      </c>
      <c r="L1253" s="308">
        <f>IFERROR(__xludf.DUMMYFUNCTION("""COMPUTED_VALUE"""),2013.0)</f>
        <v>2013</v>
      </c>
      <c r="M1253" s="308" t="s">
        <v>4999</v>
      </c>
      <c r="N1253" s="308"/>
      <c r="O1253" s="312" t="s">
        <v>635</v>
      </c>
      <c r="P1253" s="312"/>
      <c r="Q1253" s="308"/>
      <c r="R1253" s="312"/>
      <c r="S1253" s="308" t="s">
        <v>79</v>
      </c>
      <c r="T1253" s="308" t="s">
        <v>79</v>
      </c>
      <c r="U1253" s="308"/>
      <c r="V1253" s="312"/>
    </row>
    <row r="1254">
      <c r="A1254" s="308">
        <v>1253.0</v>
      </c>
      <c r="B1254" s="308">
        <v>4466.0</v>
      </c>
      <c r="C1254" s="308">
        <v>1269.0</v>
      </c>
      <c r="D1254" s="308">
        <f>IFERROR(__xludf.DUMMYFUNCTION("SPLIT(C1254,""-"")"),1269.0)</f>
        <v>1269</v>
      </c>
      <c r="E1254" s="311"/>
      <c r="F1254" s="317" t="s">
        <v>39</v>
      </c>
      <c r="G1254" s="308" t="s">
        <v>5000</v>
      </c>
      <c r="H1254" s="308" t="s">
        <v>5001</v>
      </c>
      <c r="I1254" s="310">
        <v>41431.0</v>
      </c>
      <c r="J1254" s="308">
        <f>IFERROR(__xludf.DUMMYFUNCTION("SPLIT(I1254,""/"")"),6.0)</f>
        <v>6</v>
      </c>
      <c r="K1254" s="308">
        <f>IFERROR(__xludf.DUMMYFUNCTION("""COMPUTED_VALUE"""),6.0)</f>
        <v>6</v>
      </c>
      <c r="L1254" s="308">
        <f>IFERROR(__xludf.DUMMYFUNCTION("""COMPUTED_VALUE"""),2013.0)</f>
        <v>2013</v>
      </c>
      <c r="M1254" s="308" t="s">
        <v>5002</v>
      </c>
      <c r="N1254" s="308"/>
      <c r="O1254" s="312" t="s">
        <v>635</v>
      </c>
      <c r="P1254" s="308" t="s">
        <v>5003</v>
      </c>
      <c r="Q1254" s="308"/>
      <c r="R1254" s="308"/>
      <c r="S1254" s="308" t="s">
        <v>81</v>
      </c>
      <c r="T1254" s="311" t="s">
        <v>73</v>
      </c>
      <c r="U1254" s="308"/>
      <c r="V1254" s="312"/>
    </row>
    <row r="1255">
      <c r="A1255" s="308">
        <v>1254.0</v>
      </c>
      <c r="B1255" s="308">
        <v>4467.0</v>
      </c>
      <c r="C1255" s="308">
        <v>1270.0</v>
      </c>
      <c r="D1255" s="308">
        <f>IFERROR(__xludf.DUMMYFUNCTION("SPLIT(C1255,""-"")"),1270.0)</f>
        <v>1270</v>
      </c>
      <c r="E1255" s="311"/>
      <c r="F1255" s="309" t="s">
        <v>34</v>
      </c>
      <c r="G1255" s="308" t="s">
        <v>5004</v>
      </c>
      <c r="H1255" s="308" t="s">
        <v>5005</v>
      </c>
      <c r="I1255" s="310">
        <v>41244.0</v>
      </c>
      <c r="J1255" s="308">
        <f>IFERROR(__xludf.DUMMYFUNCTION("SPLIT(I1255,""/"")"),1.0)</f>
        <v>1</v>
      </c>
      <c r="K1255" s="308">
        <f>IFERROR(__xludf.DUMMYFUNCTION("""COMPUTED_VALUE"""),12.0)</f>
        <v>12</v>
      </c>
      <c r="L1255" s="308">
        <f>IFERROR(__xludf.DUMMYFUNCTION("""COMPUTED_VALUE"""),2012.0)</f>
        <v>2012</v>
      </c>
      <c r="M1255" s="308" t="s">
        <v>5006</v>
      </c>
      <c r="N1255" s="308"/>
      <c r="O1255" s="312" t="s">
        <v>5007</v>
      </c>
      <c r="P1255" s="308" t="s">
        <v>5008</v>
      </c>
      <c r="Q1255" s="308"/>
      <c r="R1255" s="308"/>
      <c r="S1255" s="308" t="s">
        <v>81</v>
      </c>
      <c r="T1255" s="311" t="s">
        <v>88</v>
      </c>
      <c r="U1255" s="308"/>
      <c r="V1255" s="312"/>
    </row>
    <row r="1256">
      <c r="A1256" s="308">
        <v>1255.0</v>
      </c>
      <c r="B1256" s="308">
        <v>4468.0</v>
      </c>
      <c r="C1256" s="308">
        <v>1271.0</v>
      </c>
      <c r="D1256" s="308">
        <f>IFERROR(__xludf.DUMMYFUNCTION("SPLIT(C1256,""-"")"),1271.0)</f>
        <v>1271</v>
      </c>
      <c r="E1256" s="311"/>
      <c r="F1256" s="309" t="s">
        <v>34</v>
      </c>
      <c r="G1256" s="308" t="s">
        <v>5009</v>
      </c>
      <c r="H1256" s="308" t="s">
        <v>5010</v>
      </c>
      <c r="I1256" s="310">
        <v>41426.0</v>
      </c>
      <c r="J1256" s="308">
        <f>IFERROR(__xludf.DUMMYFUNCTION("SPLIT(I1256,""/"")"),1.0)</f>
        <v>1</v>
      </c>
      <c r="K1256" s="308">
        <f>IFERROR(__xludf.DUMMYFUNCTION("""COMPUTED_VALUE"""),6.0)</f>
        <v>6</v>
      </c>
      <c r="L1256" s="308">
        <f>IFERROR(__xludf.DUMMYFUNCTION("""COMPUTED_VALUE"""),2013.0)</f>
        <v>2013</v>
      </c>
      <c r="M1256" s="308" t="s">
        <v>5011</v>
      </c>
      <c r="N1256" s="308"/>
      <c r="O1256" s="312" t="s">
        <v>5012</v>
      </c>
      <c r="P1256" s="308" t="s">
        <v>5013</v>
      </c>
      <c r="Q1256" s="308"/>
      <c r="R1256" s="308"/>
      <c r="S1256" s="308" t="s">
        <v>81</v>
      </c>
      <c r="T1256" s="308" t="s">
        <v>34264</v>
      </c>
      <c r="U1256" s="308"/>
      <c r="V1256" s="312"/>
    </row>
    <row r="1257">
      <c r="A1257" s="308">
        <v>1256.0</v>
      </c>
      <c r="B1257" s="308">
        <v>4469.0</v>
      </c>
      <c r="C1257" s="308">
        <v>1272.0</v>
      </c>
      <c r="D1257" s="308">
        <f>IFERROR(__xludf.DUMMYFUNCTION("SPLIT(C1257,""-"")"),1272.0)</f>
        <v>1272</v>
      </c>
      <c r="E1257" s="311"/>
      <c r="F1257" s="309" t="s">
        <v>34</v>
      </c>
      <c r="G1257" s="308" t="s">
        <v>5014</v>
      </c>
      <c r="H1257" s="308" t="s">
        <v>5015</v>
      </c>
      <c r="I1257" s="310">
        <v>40640.0</v>
      </c>
      <c r="J1257" s="308">
        <f>IFERROR(__xludf.DUMMYFUNCTION("SPLIT(I1257,""/"")"),7.0)</f>
        <v>7</v>
      </c>
      <c r="K1257" s="308">
        <f>IFERROR(__xludf.DUMMYFUNCTION("""COMPUTED_VALUE"""),4.0)</f>
        <v>4</v>
      </c>
      <c r="L1257" s="308">
        <f>IFERROR(__xludf.DUMMYFUNCTION("""COMPUTED_VALUE"""),2011.0)</f>
        <v>2011</v>
      </c>
      <c r="M1257" s="308" t="s">
        <v>5016</v>
      </c>
      <c r="N1257" s="308"/>
      <c r="O1257" s="312" t="s">
        <v>5017</v>
      </c>
      <c r="P1257" s="308" t="s">
        <v>3044</v>
      </c>
      <c r="Q1257" s="308"/>
      <c r="R1257" s="308"/>
      <c r="S1257" s="308" t="s">
        <v>81</v>
      </c>
      <c r="T1257" s="308" t="s">
        <v>34264</v>
      </c>
      <c r="U1257" s="308"/>
      <c r="V1257" s="312"/>
    </row>
    <row r="1258">
      <c r="A1258" s="308">
        <v>1257.0</v>
      </c>
      <c r="B1258" s="308">
        <v>4470.0</v>
      </c>
      <c r="C1258" s="308">
        <v>1273.0</v>
      </c>
      <c r="D1258" s="308">
        <f>IFERROR(__xludf.DUMMYFUNCTION("SPLIT(C1258,""-"")"),1273.0)</f>
        <v>1273</v>
      </c>
      <c r="E1258" s="311"/>
      <c r="F1258" s="309" t="s">
        <v>26</v>
      </c>
      <c r="G1258" s="308" t="s">
        <v>5018</v>
      </c>
      <c r="H1258" s="308" t="s">
        <v>5019</v>
      </c>
      <c r="I1258" s="310">
        <v>41294.0</v>
      </c>
      <c r="J1258" s="308">
        <f>IFERROR(__xludf.DUMMYFUNCTION("SPLIT(I1258,""/"")"),20.0)</f>
        <v>20</v>
      </c>
      <c r="K1258" s="308">
        <f>IFERROR(__xludf.DUMMYFUNCTION("""COMPUTED_VALUE"""),1.0)</f>
        <v>1</v>
      </c>
      <c r="L1258" s="308">
        <f>IFERROR(__xludf.DUMMYFUNCTION("""COMPUTED_VALUE"""),2013.0)</f>
        <v>2013</v>
      </c>
      <c r="M1258" s="308" t="s">
        <v>5020</v>
      </c>
      <c r="N1258" s="308"/>
      <c r="O1258" s="312"/>
      <c r="P1258" s="308" t="s">
        <v>5021</v>
      </c>
      <c r="Q1258" s="308"/>
      <c r="R1258" s="308"/>
      <c r="S1258" s="308" t="s">
        <v>81</v>
      </c>
      <c r="T1258" s="308" t="s">
        <v>75</v>
      </c>
      <c r="U1258" s="308"/>
      <c r="V1258" s="312"/>
    </row>
    <row r="1259">
      <c r="A1259" s="308">
        <v>1258.0</v>
      </c>
      <c r="B1259" s="308">
        <v>4471.0</v>
      </c>
      <c r="C1259" s="308" t="s">
        <v>5022</v>
      </c>
      <c r="D1259" s="308"/>
      <c r="E1259" s="311"/>
      <c r="F1259" s="309" t="s">
        <v>31</v>
      </c>
      <c r="G1259" s="308"/>
      <c r="H1259" s="308" t="s">
        <v>5023</v>
      </c>
      <c r="I1259" s="310">
        <v>41436.0</v>
      </c>
      <c r="J1259" s="308">
        <f>IFERROR(__xludf.DUMMYFUNCTION("SPLIT(I1259,""/"")"),11.0)</f>
        <v>11</v>
      </c>
      <c r="K1259" s="308">
        <f>IFERROR(__xludf.DUMMYFUNCTION("""COMPUTED_VALUE"""),6.0)</f>
        <v>6</v>
      </c>
      <c r="L1259" s="308">
        <f>IFERROR(__xludf.DUMMYFUNCTION("""COMPUTED_VALUE"""),2013.0)</f>
        <v>2013</v>
      </c>
      <c r="M1259" s="308" t="s">
        <v>5024</v>
      </c>
      <c r="N1259" s="308" t="s">
        <v>4716</v>
      </c>
      <c r="O1259" s="312" t="s">
        <v>36006</v>
      </c>
      <c r="P1259" s="308" t="s">
        <v>36007</v>
      </c>
      <c r="Q1259" s="308"/>
      <c r="R1259" s="308"/>
      <c r="S1259" s="308" t="s">
        <v>49</v>
      </c>
      <c r="T1259" s="311" t="s">
        <v>70</v>
      </c>
      <c r="U1259" s="308" t="s">
        <v>31</v>
      </c>
      <c r="V1259" s="312"/>
    </row>
    <row r="1260">
      <c r="A1260" s="308">
        <v>1259.0</v>
      </c>
      <c r="B1260" s="308">
        <v>4472.0</v>
      </c>
      <c r="C1260" s="308">
        <v>1275.0</v>
      </c>
      <c r="D1260" s="308">
        <f>IFERROR(__xludf.DUMMYFUNCTION("SPLIT(C1260,""-"")"),1275.0)</f>
        <v>1275</v>
      </c>
      <c r="E1260" s="311"/>
      <c r="F1260" s="317" t="s">
        <v>37</v>
      </c>
      <c r="G1260" s="308"/>
      <c r="H1260" s="308" t="s">
        <v>5027</v>
      </c>
      <c r="I1260" s="310">
        <v>41435.0</v>
      </c>
      <c r="J1260" s="308">
        <f>IFERROR(__xludf.DUMMYFUNCTION("SPLIT(I1260,""/"")"),10.0)</f>
        <v>10</v>
      </c>
      <c r="K1260" s="308">
        <f>IFERROR(__xludf.DUMMYFUNCTION("""COMPUTED_VALUE"""),6.0)</f>
        <v>6</v>
      </c>
      <c r="L1260" s="308">
        <f>IFERROR(__xludf.DUMMYFUNCTION("""COMPUTED_VALUE"""),2013.0)</f>
        <v>2013</v>
      </c>
      <c r="M1260" s="308" t="s">
        <v>5028</v>
      </c>
      <c r="N1260" s="308"/>
      <c r="O1260" s="312" t="s">
        <v>5029</v>
      </c>
      <c r="P1260" s="308" t="s">
        <v>5030</v>
      </c>
      <c r="Q1260" s="308"/>
      <c r="R1260" s="308"/>
      <c r="S1260" s="308" t="s">
        <v>81</v>
      </c>
      <c r="T1260" s="308" t="s">
        <v>98</v>
      </c>
      <c r="U1260" s="308"/>
      <c r="V1260" s="312"/>
    </row>
    <row r="1261">
      <c r="A1261" s="308">
        <v>1260.0</v>
      </c>
      <c r="B1261" s="308">
        <v>4473.0</v>
      </c>
      <c r="C1261" s="308" t="s">
        <v>5031</v>
      </c>
      <c r="D1261" s="308">
        <f>IFERROR(__xludf.DUMMYFUNCTION("SPLIT(C1261,""-"")"),1276.0)</f>
        <v>1276</v>
      </c>
      <c r="E1261" s="308" t="str">
        <f>IFERROR(__xludf.DUMMYFUNCTION("""COMPUTED_VALUE"""),"P")</f>
        <v>P</v>
      </c>
      <c r="F1261" s="312" t="s">
        <v>37</v>
      </c>
      <c r="G1261" s="308"/>
      <c r="H1261" s="308" t="s">
        <v>36008</v>
      </c>
      <c r="I1261" s="310">
        <v>41312.0</v>
      </c>
      <c r="J1261" s="308">
        <f>IFERROR(__xludf.DUMMYFUNCTION("SPLIT(I1261,""/"")"),7.0)</f>
        <v>7</v>
      </c>
      <c r="K1261" s="308">
        <f>IFERROR(__xludf.DUMMYFUNCTION("""COMPUTED_VALUE"""),2.0)</f>
        <v>2</v>
      </c>
      <c r="L1261" s="308">
        <f>IFERROR(__xludf.DUMMYFUNCTION("""COMPUTED_VALUE"""),2013.0)</f>
        <v>2013</v>
      </c>
      <c r="M1261" s="308" t="s">
        <v>2217</v>
      </c>
      <c r="N1261" s="308"/>
      <c r="O1261" s="312" t="s">
        <v>4873</v>
      </c>
      <c r="P1261" s="308" t="s">
        <v>5033</v>
      </c>
      <c r="Q1261" s="308"/>
      <c r="R1261" s="308" t="s">
        <v>1496</v>
      </c>
      <c r="S1261" s="308" t="s">
        <v>81</v>
      </c>
      <c r="T1261" s="308" t="s">
        <v>75</v>
      </c>
      <c r="U1261" s="308" t="s">
        <v>149</v>
      </c>
      <c r="V1261" s="312"/>
    </row>
    <row r="1262">
      <c r="A1262" s="308">
        <v>1261.0</v>
      </c>
      <c r="B1262" s="308">
        <v>4474.0</v>
      </c>
      <c r="C1262" s="308">
        <v>1277.0</v>
      </c>
      <c r="D1262" s="308">
        <f>IFERROR(__xludf.DUMMYFUNCTION("SPLIT(C1262,""-"")"),1277.0)</f>
        <v>1277</v>
      </c>
      <c r="E1262" s="311"/>
      <c r="F1262" s="317" t="s">
        <v>37</v>
      </c>
      <c r="G1262" s="308"/>
      <c r="H1262" s="308" t="s">
        <v>36009</v>
      </c>
      <c r="I1262" s="310">
        <v>41014.0</v>
      </c>
      <c r="J1262" s="308">
        <f>IFERROR(__xludf.DUMMYFUNCTION("SPLIT(I1262,""/"")"),15.0)</f>
        <v>15</v>
      </c>
      <c r="K1262" s="308">
        <f>IFERROR(__xludf.DUMMYFUNCTION("""COMPUTED_VALUE"""),4.0)</f>
        <v>4</v>
      </c>
      <c r="L1262" s="308">
        <f>IFERROR(__xludf.DUMMYFUNCTION("""COMPUTED_VALUE"""),2012.0)</f>
        <v>2012</v>
      </c>
      <c r="M1262" s="308" t="s">
        <v>5035</v>
      </c>
      <c r="N1262" s="308"/>
      <c r="O1262" s="312" t="s">
        <v>36010</v>
      </c>
      <c r="P1262" s="308" t="s">
        <v>5037</v>
      </c>
      <c r="Q1262" s="308"/>
      <c r="R1262" s="308"/>
      <c r="S1262" s="308" t="s">
        <v>49</v>
      </c>
      <c r="T1262" s="308" t="s">
        <v>51</v>
      </c>
      <c r="U1262" s="308"/>
      <c r="V1262" s="312"/>
    </row>
    <row r="1263">
      <c r="A1263" s="308">
        <v>1262.0</v>
      </c>
      <c r="B1263" s="308">
        <v>4475.0</v>
      </c>
      <c r="C1263" s="308">
        <v>1278.0</v>
      </c>
      <c r="D1263" s="308">
        <f>IFERROR(__xludf.DUMMYFUNCTION("SPLIT(C1263,""-"")"),1278.0)</f>
        <v>1278</v>
      </c>
      <c r="E1263" s="311"/>
      <c r="F1263" s="317" t="s">
        <v>37</v>
      </c>
      <c r="G1263" s="308"/>
      <c r="H1263" s="308" t="s">
        <v>36011</v>
      </c>
      <c r="I1263" s="310">
        <v>41339.0</v>
      </c>
      <c r="J1263" s="308">
        <f>IFERROR(__xludf.DUMMYFUNCTION("SPLIT(I1263,""/"")"),6.0)</f>
        <v>6</v>
      </c>
      <c r="K1263" s="308">
        <f>IFERROR(__xludf.DUMMYFUNCTION("""COMPUTED_VALUE"""),3.0)</f>
        <v>3</v>
      </c>
      <c r="L1263" s="308">
        <f>IFERROR(__xludf.DUMMYFUNCTION("""COMPUTED_VALUE"""),2013.0)</f>
        <v>2013</v>
      </c>
      <c r="M1263" s="308" t="s">
        <v>5039</v>
      </c>
      <c r="N1263" s="308"/>
      <c r="O1263" s="312" t="s">
        <v>5040</v>
      </c>
      <c r="P1263" s="308" t="s">
        <v>5041</v>
      </c>
      <c r="Q1263" s="308"/>
      <c r="R1263" s="308"/>
      <c r="S1263" s="308" t="s">
        <v>81</v>
      </c>
      <c r="T1263" s="308" t="s">
        <v>75</v>
      </c>
      <c r="U1263" s="308"/>
      <c r="V1263" s="312"/>
    </row>
    <row r="1264">
      <c r="A1264" s="308">
        <v>1263.0</v>
      </c>
      <c r="B1264" s="308">
        <v>4476.0</v>
      </c>
      <c r="C1264" s="308">
        <v>1279.0</v>
      </c>
      <c r="D1264" s="308">
        <f>IFERROR(__xludf.DUMMYFUNCTION("SPLIT(C1264,""-"")"),1279.0)</f>
        <v>1279</v>
      </c>
      <c r="E1264" s="311"/>
      <c r="F1264" s="317" t="s">
        <v>39</v>
      </c>
      <c r="G1264" s="308"/>
      <c r="H1264" s="308" t="s">
        <v>36012</v>
      </c>
      <c r="I1264" s="310">
        <v>41444.0</v>
      </c>
      <c r="J1264" s="308">
        <f>IFERROR(__xludf.DUMMYFUNCTION("SPLIT(I1264,""/"")"),19.0)</f>
        <v>19</v>
      </c>
      <c r="K1264" s="308">
        <f>IFERROR(__xludf.DUMMYFUNCTION("""COMPUTED_VALUE"""),6.0)</f>
        <v>6</v>
      </c>
      <c r="L1264" s="308">
        <f>IFERROR(__xludf.DUMMYFUNCTION("""COMPUTED_VALUE"""),2013.0)</f>
        <v>2013</v>
      </c>
      <c r="M1264" s="308" t="s">
        <v>5043</v>
      </c>
      <c r="N1264" s="308"/>
      <c r="O1264" s="312" t="s">
        <v>5044</v>
      </c>
      <c r="P1264" s="308" t="s">
        <v>36013</v>
      </c>
      <c r="Q1264" s="308"/>
      <c r="R1264" s="308"/>
      <c r="S1264" s="308" t="s">
        <v>81</v>
      </c>
      <c r="T1264" s="311" t="s">
        <v>75</v>
      </c>
      <c r="U1264" s="308"/>
      <c r="V1264" s="312"/>
    </row>
    <row r="1265">
      <c r="A1265" s="308">
        <v>1264.0</v>
      </c>
      <c r="B1265" s="308">
        <v>4477.0</v>
      </c>
      <c r="C1265" s="308">
        <v>1280.0</v>
      </c>
      <c r="D1265" s="308">
        <f>IFERROR(__xludf.DUMMYFUNCTION("SPLIT(C1265,""-"")"),1280.0)</f>
        <v>1280</v>
      </c>
      <c r="E1265" s="311"/>
      <c r="F1265" s="309" t="s">
        <v>34</v>
      </c>
      <c r="G1265" s="308"/>
      <c r="H1265" s="308" t="s">
        <v>36014</v>
      </c>
      <c r="I1265" s="310">
        <v>40851.0</v>
      </c>
      <c r="J1265" s="308">
        <f>IFERROR(__xludf.DUMMYFUNCTION("SPLIT(I1265,""/"")"),4.0)</f>
        <v>4</v>
      </c>
      <c r="K1265" s="308">
        <f>IFERROR(__xludf.DUMMYFUNCTION("""COMPUTED_VALUE"""),11.0)</f>
        <v>11</v>
      </c>
      <c r="L1265" s="308">
        <f>IFERROR(__xludf.DUMMYFUNCTION("""COMPUTED_VALUE"""),2011.0)</f>
        <v>2011</v>
      </c>
      <c r="M1265" s="308" t="s">
        <v>5047</v>
      </c>
      <c r="N1265" s="308"/>
      <c r="O1265" s="312" t="s">
        <v>5048</v>
      </c>
      <c r="P1265" s="308" t="s">
        <v>5049</v>
      </c>
      <c r="Q1265" s="308"/>
      <c r="R1265" s="308"/>
      <c r="S1265" s="308" t="s">
        <v>81</v>
      </c>
      <c r="T1265" s="308" t="s">
        <v>34264</v>
      </c>
      <c r="U1265" s="308"/>
      <c r="V1265" s="312"/>
    </row>
    <row r="1266">
      <c r="A1266" s="308">
        <v>1265.0</v>
      </c>
      <c r="B1266" s="308">
        <v>4478.0</v>
      </c>
      <c r="C1266" s="308">
        <v>1281.0</v>
      </c>
      <c r="D1266" s="308">
        <f>IFERROR(__xludf.DUMMYFUNCTION("SPLIT(C1266,""-"")"),1281.0)</f>
        <v>1281</v>
      </c>
      <c r="E1266" s="311"/>
      <c r="F1266" s="309" t="s">
        <v>34</v>
      </c>
      <c r="G1266" s="308"/>
      <c r="H1266" s="308" t="s">
        <v>36015</v>
      </c>
      <c r="I1266" s="310">
        <v>40993.0</v>
      </c>
      <c r="J1266" s="308">
        <f>IFERROR(__xludf.DUMMYFUNCTION("SPLIT(I1266,""/"")"),25.0)</f>
        <v>25</v>
      </c>
      <c r="K1266" s="308">
        <f>IFERROR(__xludf.DUMMYFUNCTION("""COMPUTED_VALUE"""),3.0)</f>
        <v>3</v>
      </c>
      <c r="L1266" s="308">
        <f>IFERROR(__xludf.DUMMYFUNCTION("""COMPUTED_VALUE"""),2012.0)</f>
        <v>2012</v>
      </c>
      <c r="M1266" s="308" t="s">
        <v>5051</v>
      </c>
      <c r="N1266" s="308"/>
      <c r="O1266" s="312" t="s">
        <v>635</v>
      </c>
      <c r="P1266" s="308" t="s">
        <v>5052</v>
      </c>
      <c r="Q1266" s="308"/>
      <c r="R1266" s="308"/>
      <c r="S1266" s="308" t="s">
        <v>81</v>
      </c>
      <c r="T1266" s="311" t="s">
        <v>77</v>
      </c>
      <c r="U1266" s="308"/>
      <c r="V1266" s="312"/>
    </row>
    <row r="1267">
      <c r="A1267" s="308">
        <v>1266.0</v>
      </c>
      <c r="B1267" s="308">
        <v>4480.0</v>
      </c>
      <c r="C1267" s="308">
        <v>1283.0</v>
      </c>
      <c r="D1267" s="308">
        <f>IFERROR(__xludf.DUMMYFUNCTION("SPLIT(C1267,""-"")"),1283.0)</f>
        <v>1283</v>
      </c>
      <c r="E1267" s="311"/>
      <c r="F1267" s="309" t="s">
        <v>26</v>
      </c>
      <c r="G1267" s="308"/>
      <c r="H1267" s="308" t="s">
        <v>36016</v>
      </c>
      <c r="I1267" s="310">
        <v>40310.0</v>
      </c>
      <c r="J1267" s="308">
        <f>IFERROR(__xludf.DUMMYFUNCTION("SPLIT(I1267,""/"")"),12.0)</f>
        <v>12</v>
      </c>
      <c r="K1267" s="308">
        <f>IFERROR(__xludf.DUMMYFUNCTION("""COMPUTED_VALUE"""),5.0)</f>
        <v>5</v>
      </c>
      <c r="L1267" s="308">
        <f>IFERROR(__xludf.DUMMYFUNCTION("""COMPUTED_VALUE"""),2010.0)</f>
        <v>2010</v>
      </c>
      <c r="M1267" s="308" t="s">
        <v>5054</v>
      </c>
      <c r="N1267" s="308"/>
      <c r="O1267" s="312" t="s">
        <v>36017</v>
      </c>
      <c r="P1267" s="308" t="s">
        <v>5056</v>
      </c>
      <c r="Q1267" s="308"/>
      <c r="R1267" s="308"/>
      <c r="S1267" s="308" t="s">
        <v>49</v>
      </c>
      <c r="T1267" s="311" t="s">
        <v>53</v>
      </c>
      <c r="U1267" s="308" t="s">
        <v>27</v>
      </c>
      <c r="V1267" s="312"/>
    </row>
    <row r="1268">
      <c r="A1268" s="308">
        <v>1267.0</v>
      </c>
      <c r="B1268" s="308">
        <v>4481.0</v>
      </c>
      <c r="C1268" s="308">
        <v>1284.0</v>
      </c>
      <c r="D1268" s="308">
        <f>IFERROR(__xludf.DUMMYFUNCTION("SPLIT(C1268,""-"")"),1284.0)</f>
        <v>1284</v>
      </c>
      <c r="E1268" s="311"/>
      <c r="F1268" s="317" t="s">
        <v>37</v>
      </c>
      <c r="G1268" s="308" t="s">
        <v>5057</v>
      </c>
      <c r="H1268" s="308" t="s">
        <v>5058</v>
      </c>
      <c r="I1268" s="310">
        <v>41221.0</v>
      </c>
      <c r="J1268" s="308">
        <f>IFERROR(__xludf.DUMMYFUNCTION("SPLIT(I1268,""/"")"),8.0)</f>
        <v>8</v>
      </c>
      <c r="K1268" s="308">
        <f>IFERROR(__xludf.DUMMYFUNCTION("""COMPUTED_VALUE"""),11.0)</f>
        <v>11</v>
      </c>
      <c r="L1268" s="308">
        <f>IFERROR(__xludf.DUMMYFUNCTION("""COMPUTED_VALUE"""),2012.0)</f>
        <v>2012</v>
      </c>
      <c r="M1268" s="308" t="s">
        <v>36018</v>
      </c>
      <c r="N1268" s="308"/>
      <c r="O1268" s="312" t="s">
        <v>5060</v>
      </c>
      <c r="P1268" s="308" t="s">
        <v>5061</v>
      </c>
      <c r="Q1268" s="308"/>
      <c r="R1268" s="308"/>
      <c r="S1268" s="308" t="s">
        <v>81</v>
      </c>
      <c r="T1268" s="311" t="s">
        <v>77</v>
      </c>
      <c r="U1268" s="308"/>
      <c r="V1268" s="312"/>
    </row>
    <row r="1269">
      <c r="A1269" s="308">
        <v>1268.0</v>
      </c>
      <c r="B1269" s="308">
        <v>4482.0</v>
      </c>
      <c r="C1269" s="308">
        <v>1285.0</v>
      </c>
      <c r="D1269" s="308">
        <f>IFERROR(__xludf.DUMMYFUNCTION("SPLIT(C1269,""-"")"),1285.0)</f>
        <v>1285</v>
      </c>
      <c r="E1269" s="311"/>
      <c r="F1269" s="309" t="s">
        <v>34</v>
      </c>
      <c r="G1269" s="308" t="s">
        <v>5062</v>
      </c>
      <c r="H1269" s="308" t="s">
        <v>5063</v>
      </c>
      <c r="I1269" s="310">
        <v>41050.0</v>
      </c>
      <c r="J1269" s="308">
        <f>IFERROR(__xludf.DUMMYFUNCTION("SPLIT(I1269,""/"")"),21.0)</f>
        <v>21</v>
      </c>
      <c r="K1269" s="308">
        <f>IFERROR(__xludf.DUMMYFUNCTION("""COMPUTED_VALUE"""),5.0)</f>
        <v>5</v>
      </c>
      <c r="L1269" s="308">
        <f>IFERROR(__xludf.DUMMYFUNCTION("""COMPUTED_VALUE"""),2012.0)</f>
        <v>2012</v>
      </c>
      <c r="M1269" s="308" t="s">
        <v>5064</v>
      </c>
      <c r="N1269" s="308"/>
      <c r="O1269" s="312" t="s">
        <v>5065</v>
      </c>
      <c r="P1269" s="308" t="s">
        <v>5066</v>
      </c>
      <c r="Q1269" s="308"/>
      <c r="R1269" s="308"/>
      <c r="S1269" s="308" t="s">
        <v>81</v>
      </c>
      <c r="T1269" s="311" t="s">
        <v>88</v>
      </c>
      <c r="U1269" s="308"/>
      <c r="V1269" s="312"/>
    </row>
    <row r="1270">
      <c r="A1270" s="308">
        <v>1269.0</v>
      </c>
      <c r="B1270" s="308">
        <v>4483.0</v>
      </c>
      <c r="C1270" s="308">
        <v>1286.0</v>
      </c>
      <c r="D1270" s="308">
        <f>IFERROR(__xludf.DUMMYFUNCTION("SPLIT(C1270,""-"")"),1286.0)</f>
        <v>1286</v>
      </c>
      <c r="E1270" s="311"/>
      <c r="F1270" s="309" t="s">
        <v>34</v>
      </c>
      <c r="G1270" s="308" t="s">
        <v>5067</v>
      </c>
      <c r="H1270" s="308" t="s">
        <v>36019</v>
      </c>
      <c r="I1270" s="314">
        <v>40461.0</v>
      </c>
      <c r="J1270" s="308">
        <f>IFERROR(__xludf.DUMMYFUNCTION("SPLIT(I1270,""/"")"),10.0)</f>
        <v>10</v>
      </c>
      <c r="K1270" s="308">
        <f>IFERROR(__xludf.DUMMYFUNCTION("""COMPUTED_VALUE"""),10.0)</f>
        <v>10</v>
      </c>
      <c r="L1270" s="308">
        <f>IFERROR(__xludf.DUMMYFUNCTION("""COMPUTED_VALUE"""),2010.0)</f>
        <v>2010</v>
      </c>
      <c r="M1270" s="308" t="s">
        <v>5069</v>
      </c>
      <c r="N1270" s="308"/>
      <c r="O1270" s="312" t="s">
        <v>635</v>
      </c>
      <c r="P1270" s="308" t="s">
        <v>5070</v>
      </c>
      <c r="Q1270" s="308"/>
      <c r="R1270" s="308"/>
      <c r="S1270" s="308" t="s">
        <v>81</v>
      </c>
      <c r="T1270" s="311" t="s">
        <v>51</v>
      </c>
      <c r="U1270" s="308"/>
      <c r="V1270" s="312"/>
    </row>
    <row r="1271">
      <c r="A1271" s="308">
        <v>1270.0</v>
      </c>
      <c r="B1271" s="308">
        <v>4484.0</v>
      </c>
      <c r="C1271" s="308">
        <v>1287.0</v>
      </c>
      <c r="D1271" s="308">
        <f>IFERROR(__xludf.DUMMYFUNCTION("SPLIT(C1271,""-"")"),1287.0)</f>
        <v>1287</v>
      </c>
      <c r="E1271" s="311"/>
      <c r="F1271" s="309" t="s">
        <v>34</v>
      </c>
      <c r="G1271" s="308"/>
      <c r="H1271" s="308" t="s">
        <v>36020</v>
      </c>
      <c r="I1271" s="310">
        <v>41318.0</v>
      </c>
      <c r="J1271" s="308">
        <f>IFERROR(__xludf.DUMMYFUNCTION("SPLIT(I1271,""/"")"),13.0)</f>
        <v>13</v>
      </c>
      <c r="K1271" s="308">
        <f>IFERROR(__xludf.DUMMYFUNCTION("""COMPUTED_VALUE"""),2.0)</f>
        <v>2</v>
      </c>
      <c r="L1271" s="308">
        <f>IFERROR(__xludf.DUMMYFUNCTION("""COMPUTED_VALUE"""),2013.0)</f>
        <v>2013</v>
      </c>
      <c r="M1271" s="308" t="s">
        <v>5072</v>
      </c>
      <c r="N1271" s="308"/>
      <c r="O1271" s="312" t="s">
        <v>36021</v>
      </c>
      <c r="P1271" s="308" t="s">
        <v>5074</v>
      </c>
      <c r="Q1271" s="308"/>
      <c r="R1271" s="308"/>
      <c r="S1271" s="308" t="s">
        <v>81</v>
      </c>
      <c r="T1271" s="311" t="s">
        <v>75</v>
      </c>
      <c r="U1271" s="308"/>
      <c r="V1271" s="312"/>
    </row>
    <row r="1272">
      <c r="A1272" s="308">
        <v>1271.0</v>
      </c>
      <c r="B1272" s="308">
        <v>4485.0</v>
      </c>
      <c r="C1272" s="308">
        <v>1288.0</v>
      </c>
      <c r="D1272" s="308">
        <f>IFERROR(__xludf.DUMMYFUNCTION("SPLIT(C1272,""-"")"),1288.0)</f>
        <v>1288</v>
      </c>
      <c r="E1272" s="311"/>
      <c r="F1272" s="309" t="s">
        <v>34</v>
      </c>
      <c r="G1272" s="308"/>
      <c r="H1272" s="308" t="s">
        <v>36022</v>
      </c>
      <c r="I1272" s="310">
        <v>39995.0</v>
      </c>
      <c r="J1272" s="308">
        <f>IFERROR(__xludf.DUMMYFUNCTION("SPLIT(I1272,""/"")"),1.0)</f>
        <v>1</v>
      </c>
      <c r="K1272" s="308">
        <f>IFERROR(__xludf.DUMMYFUNCTION("""COMPUTED_VALUE"""),7.0)</f>
        <v>7</v>
      </c>
      <c r="L1272" s="308">
        <f>IFERROR(__xludf.DUMMYFUNCTION("""COMPUTED_VALUE"""),2009.0)</f>
        <v>2009</v>
      </c>
      <c r="M1272" s="308" t="s">
        <v>5076</v>
      </c>
      <c r="N1272" s="308"/>
      <c r="O1272" s="312" t="s">
        <v>36023</v>
      </c>
      <c r="P1272" s="308" t="s">
        <v>1392</v>
      </c>
      <c r="Q1272" s="308"/>
      <c r="R1272" s="308"/>
      <c r="S1272" s="308" t="s">
        <v>49</v>
      </c>
      <c r="T1272" s="315" t="s">
        <v>69</v>
      </c>
      <c r="U1272" s="308" t="s">
        <v>530</v>
      </c>
      <c r="V1272" s="312"/>
    </row>
    <row r="1273">
      <c r="A1273" s="308">
        <v>1272.0</v>
      </c>
      <c r="B1273" s="308">
        <v>4486.0</v>
      </c>
      <c r="C1273" s="308">
        <v>1289.0</v>
      </c>
      <c r="D1273" s="308">
        <f>IFERROR(__xludf.DUMMYFUNCTION("SPLIT(C1273,""-"")"),1289.0)</f>
        <v>1289</v>
      </c>
      <c r="E1273" s="311"/>
      <c r="F1273" s="309" t="s">
        <v>34</v>
      </c>
      <c r="G1273" s="308"/>
      <c r="H1273" s="308" t="s">
        <v>36024</v>
      </c>
      <c r="I1273" s="310">
        <v>41275.0</v>
      </c>
      <c r="J1273" s="308">
        <f>IFERROR(__xludf.DUMMYFUNCTION("SPLIT(I1273,""/"")"),1.0)</f>
        <v>1</v>
      </c>
      <c r="K1273" s="308">
        <f>IFERROR(__xludf.DUMMYFUNCTION("""COMPUTED_VALUE"""),1.0)</f>
        <v>1</v>
      </c>
      <c r="L1273" s="308">
        <f>IFERROR(__xludf.DUMMYFUNCTION("""COMPUTED_VALUE"""),2013.0)</f>
        <v>2013</v>
      </c>
      <c r="M1273" s="308" t="s">
        <v>36025</v>
      </c>
      <c r="N1273" s="308"/>
      <c r="O1273" s="312" t="s">
        <v>5080</v>
      </c>
      <c r="P1273" s="308" t="s">
        <v>5081</v>
      </c>
      <c r="Q1273" s="308"/>
      <c r="R1273" s="308"/>
      <c r="S1273" s="308" t="s">
        <v>81</v>
      </c>
      <c r="T1273" s="308" t="s">
        <v>75</v>
      </c>
      <c r="U1273" s="308"/>
      <c r="V1273" s="312"/>
    </row>
    <row r="1274">
      <c r="A1274" s="308">
        <v>1273.0</v>
      </c>
      <c r="B1274" s="308">
        <v>4487.0</v>
      </c>
      <c r="C1274" s="308">
        <v>1290.0</v>
      </c>
      <c r="D1274" s="308">
        <f>IFERROR(__xludf.DUMMYFUNCTION("SPLIT(C1274,""-"")"),1290.0)</f>
        <v>1290</v>
      </c>
      <c r="E1274" s="311"/>
      <c r="F1274" s="309" t="s">
        <v>34</v>
      </c>
      <c r="G1274" s="308"/>
      <c r="H1274" s="308" t="s">
        <v>36026</v>
      </c>
      <c r="I1274" s="310">
        <v>39995.0</v>
      </c>
      <c r="J1274" s="308">
        <f>IFERROR(__xludf.DUMMYFUNCTION("SPLIT(I1274,""/"")"),1.0)</f>
        <v>1</v>
      </c>
      <c r="K1274" s="308">
        <f>IFERROR(__xludf.DUMMYFUNCTION("""COMPUTED_VALUE"""),7.0)</f>
        <v>7</v>
      </c>
      <c r="L1274" s="308">
        <f>IFERROR(__xludf.DUMMYFUNCTION("""COMPUTED_VALUE"""),2009.0)</f>
        <v>2009</v>
      </c>
      <c r="M1274" s="308" t="s">
        <v>5083</v>
      </c>
      <c r="N1274" s="308"/>
      <c r="O1274" s="312" t="s">
        <v>5084</v>
      </c>
      <c r="P1274" s="308" t="s">
        <v>1971</v>
      </c>
      <c r="Q1274" s="308"/>
      <c r="R1274" s="308"/>
      <c r="S1274" s="315" t="s">
        <v>100</v>
      </c>
      <c r="T1274" s="311" t="s">
        <v>34208</v>
      </c>
      <c r="U1274" s="308" t="s">
        <v>530</v>
      </c>
      <c r="V1274" s="312"/>
    </row>
    <row r="1275">
      <c r="A1275" s="308">
        <v>1274.0</v>
      </c>
      <c r="B1275" s="308">
        <v>4488.0</v>
      </c>
      <c r="C1275" s="308">
        <v>1291.0</v>
      </c>
      <c r="D1275" s="308">
        <f>IFERROR(__xludf.DUMMYFUNCTION("SPLIT(C1275,""-"")"),1291.0)</f>
        <v>1291</v>
      </c>
      <c r="E1275" s="311"/>
      <c r="F1275" s="317" t="s">
        <v>37</v>
      </c>
      <c r="G1275" s="308"/>
      <c r="H1275" s="308" t="s">
        <v>36027</v>
      </c>
      <c r="I1275" s="310">
        <v>41474.0</v>
      </c>
      <c r="J1275" s="308">
        <f>IFERROR(__xludf.DUMMYFUNCTION("SPLIT(I1275,""/"")"),19.0)</f>
        <v>19</v>
      </c>
      <c r="K1275" s="308">
        <f>IFERROR(__xludf.DUMMYFUNCTION("""COMPUTED_VALUE"""),7.0)</f>
        <v>7</v>
      </c>
      <c r="L1275" s="308">
        <f>IFERROR(__xludf.DUMMYFUNCTION("""COMPUTED_VALUE"""),2013.0)</f>
        <v>2013</v>
      </c>
      <c r="M1275" s="308" t="s">
        <v>36028</v>
      </c>
      <c r="N1275" s="308"/>
      <c r="O1275" s="312" t="s">
        <v>5087</v>
      </c>
      <c r="P1275" s="308" t="s">
        <v>5088</v>
      </c>
      <c r="Q1275" s="308"/>
      <c r="R1275" s="308"/>
      <c r="S1275" s="308" t="s">
        <v>81</v>
      </c>
      <c r="T1275" s="308" t="s">
        <v>75</v>
      </c>
      <c r="U1275" s="308"/>
      <c r="V1275" s="312"/>
    </row>
    <row r="1276">
      <c r="A1276" s="308">
        <v>1275.0</v>
      </c>
      <c r="B1276" s="308">
        <v>4489.0</v>
      </c>
      <c r="C1276" s="308">
        <v>1292.0</v>
      </c>
      <c r="D1276" s="308">
        <f>IFERROR(__xludf.DUMMYFUNCTION("SPLIT(C1276,""-"")"),1292.0)</f>
        <v>1292</v>
      </c>
      <c r="E1276" s="311"/>
      <c r="F1276" s="309" t="s">
        <v>31</v>
      </c>
      <c r="G1276" s="308"/>
      <c r="H1276" s="308" t="s">
        <v>5089</v>
      </c>
      <c r="I1276" s="310">
        <v>40514.0</v>
      </c>
      <c r="J1276" s="308">
        <f>IFERROR(__xludf.DUMMYFUNCTION("SPLIT(I1276,""/"")"),2.0)</f>
        <v>2</v>
      </c>
      <c r="K1276" s="308">
        <f>IFERROR(__xludf.DUMMYFUNCTION("""COMPUTED_VALUE"""),12.0)</f>
        <v>12</v>
      </c>
      <c r="L1276" s="308">
        <f>IFERROR(__xludf.DUMMYFUNCTION("""COMPUTED_VALUE"""),2010.0)</f>
        <v>2010</v>
      </c>
      <c r="M1276" s="308" t="s">
        <v>5090</v>
      </c>
      <c r="N1276" s="308"/>
      <c r="O1276" s="312" t="s">
        <v>36029</v>
      </c>
      <c r="P1276" s="308" t="s">
        <v>5092</v>
      </c>
      <c r="Q1276" s="308"/>
      <c r="R1276" s="308"/>
      <c r="S1276" s="308" t="s">
        <v>49</v>
      </c>
      <c r="T1276" s="308" t="s">
        <v>51</v>
      </c>
      <c r="U1276" s="308"/>
      <c r="V1276" s="312"/>
    </row>
    <row r="1277">
      <c r="A1277" s="308">
        <v>1276.0</v>
      </c>
      <c r="B1277" s="308">
        <v>4491.0</v>
      </c>
      <c r="C1277" s="308">
        <v>1294.0</v>
      </c>
      <c r="D1277" s="308">
        <f>IFERROR(__xludf.DUMMYFUNCTION("SPLIT(C1277,""-"")"),1294.0)</f>
        <v>1294</v>
      </c>
      <c r="E1277" s="311"/>
      <c r="F1277" s="309" t="s">
        <v>34</v>
      </c>
      <c r="G1277" s="308" t="s">
        <v>5093</v>
      </c>
      <c r="H1277" s="308" t="s">
        <v>5094</v>
      </c>
      <c r="I1277" s="310">
        <v>41365.0</v>
      </c>
      <c r="J1277" s="308">
        <f>IFERROR(__xludf.DUMMYFUNCTION("SPLIT(I1277,""/"")"),1.0)</f>
        <v>1</v>
      </c>
      <c r="K1277" s="308">
        <f>IFERROR(__xludf.DUMMYFUNCTION("""COMPUTED_VALUE"""),4.0)</f>
        <v>4</v>
      </c>
      <c r="L1277" s="308">
        <f>IFERROR(__xludf.DUMMYFUNCTION("""COMPUTED_VALUE"""),2013.0)</f>
        <v>2013</v>
      </c>
      <c r="M1277" s="308" t="s">
        <v>5095</v>
      </c>
      <c r="N1277" s="308"/>
      <c r="O1277" s="312" t="s">
        <v>5096</v>
      </c>
      <c r="P1277" s="308" t="s">
        <v>5097</v>
      </c>
      <c r="Q1277" s="308"/>
      <c r="R1277" s="308"/>
      <c r="S1277" s="308" t="s">
        <v>81</v>
      </c>
      <c r="T1277" s="308" t="s">
        <v>34264</v>
      </c>
      <c r="U1277" s="308"/>
      <c r="V1277" s="312"/>
    </row>
    <row r="1278">
      <c r="A1278" s="308">
        <v>1277.0</v>
      </c>
      <c r="B1278" s="308">
        <v>4492.0</v>
      </c>
      <c r="C1278" s="308">
        <v>1295.0</v>
      </c>
      <c r="D1278" s="308">
        <f>IFERROR(__xludf.DUMMYFUNCTION("SPLIT(C1278,""-"")"),1295.0)</f>
        <v>1295</v>
      </c>
      <c r="E1278" s="311"/>
      <c r="F1278" s="317" t="s">
        <v>37</v>
      </c>
      <c r="G1278" s="308" t="s">
        <v>36030</v>
      </c>
      <c r="H1278" s="308" t="s">
        <v>5099</v>
      </c>
      <c r="I1278" s="310">
        <v>40723.0</v>
      </c>
      <c r="J1278" s="308">
        <f>IFERROR(__xludf.DUMMYFUNCTION("SPLIT(I1278,""/"")"),29.0)</f>
        <v>29</v>
      </c>
      <c r="K1278" s="308">
        <f>IFERROR(__xludf.DUMMYFUNCTION("""COMPUTED_VALUE"""),6.0)</f>
        <v>6</v>
      </c>
      <c r="L1278" s="308">
        <f>IFERROR(__xludf.DUMMYFUNCTION("""COMPUTED_VALUE"""),2011.0)</f>
        <v>2011</v>
      </c>
      <c r="M1278" s="308" t="s">
        <v>36031</v>
      </c>
      <c r="N1278" s="308"/>
      <c r="O1278" s="312" t="s">
        <v>5101</v>
      </c>
      <c r="P1278" s="308" t="s">
        <v>5102</v>
      </c>
      <c r="Q1278" s="308"/>
      <c r="R1278" s="308"/>
      <c r="S1278" s="308" t="s">
        <v>81</v>
      </c>
      <c r="T1278" s="311" t="s">
        <v>96</v>
      </c>
      <c r="U1278" s="308"/>
      <c r="V1278" s="312"/>
    </row>
    <row r="1279">
      <c r="A1279" s="308">
        <v>1278.0</v>
      </c>
      <c r="B1279" s="308">
        <v>4493.0</v>
      </c>
      <c r="C1279" s="308">
        <v>1296.0</v>
      </c>
      <c r="D1279" s="308">
        <f>IFERROR(__xludf.DUMMYFUNCTION("SPLIT(C1279,""-"")"),1296.0)</f>
        <v>1296</v>
      </c>
      <c r="E1279" s="311"/>
      <c r="F1279" s="317" t="s">
        <v>37</v>
      </c>
      <c r="G1279" s="308" t="s">
        <v>5103</v>
      </c>
      <c r="H1279" s="308" t="s">
        <v>36032</v>
      </c>
      <c r="I1279" s="310">
        <v>41473.0</v>
      </c>
      <c r="J1279" s="308">
        <f>IFERROR(__xludf.DUMMYFUNCTION("SPLIT(I1279,""/"")"),18.0)</f>
        <v>18</v>
      </c>
      <c r="K1279" s="308">
        <f>IFERROR(__xludf.DUMMYFUNCTION("""COMPUTED_VALUE"""),7.0)</f>
        <v>7</v>
      </c>
      <c r="L1279" s="308">
        <f>IFERROR(__xludf.DUMMYFUNCTION("""COMPUTED_VALUE"""),2013.0)</f>
        <v>2013</v>
      </c>
      <c r="M1279" s="308" t="s">
        <v>5105</v>
      </c>
      <c r="N1279" s="308"/>
      <c r="O1279" s="312"/>
      <c r="P1279" s="308" t="s">
        <v>34212</v>
      </c>
      <c r="Q1279" s="308"/>
      <c r="R1279" s="308"/>
      <c r="S1279" s="315" t="s">
        <v>100</v>
      </c>
      <c r="T1279" s="311" t="s">
        <v>34208</v>
      </c>
      <c r="U1279" s="308"/>
      <c r="V1279" s="312"/>
    </row>
    <row r="1280">
      <c r="A1280" s="308">
        <v>1279.0</v>
      </c>
      <c r="B1280" s="308">
        <v>4494.0</v>
      </c>
      <c r="C1280" s="308">
        <v>1297.0</v>
      </c>
      <c r="D1280" s="308">
        <f>IFERROR(__xludf.DUMMYFUNCTION("SPLIT(C1280,""-"")"),1297.0)</f>
        <v>1297</v>
      </c>
      <c r="E1280" s="311"/>
      <c r="F1280" s="309" t="s">
        <v>34</v>
      </c>
      <c r="G1280" s="308" t="s">
        <v>5106</v>
      </c>
      <c r="H1280" s="308" t="s">
        <v>5107</v>
      </c>
      <c r="I1280" s="310">
        <v>40077.0</v>
      </c>
      <c r="J1280" s="308">
        <f>IFERROR(__xludf.DUMMYFUNCTION("SPLIT(I1280,""/"")"),21.0)</f>
        <v>21</v>
      </c>
      <c r="K1280" s="308">
        <f>IFERROR(__xludf.DUMMYFUNCTION("""COMPUTED_VALUE"""),9.0)</f>
        <v>9</v>
      </c>
      <c r="L1280" s="308">
        <f>IFERROR(__xludf.DUMMYFUNCTION("""COMPUTED_VALUE"""),2009.0)</f>
        <v>2009</v>
      </c>
      <c r="M1280" s="308" t="s">
        <v>5108</v>
      </c>
      <c r="N1280" s="308"/>
      <c r="O1280" s="312"/>
      <c r="P1280" s="308" t="s">
        <v>34212</v>
      </c>
      <c r="Q1280" s="308"/>
      <c r="R1280" s="308"/>
      <c r="S1280" s="315" t="s">
        <v>100</v>
      </c>
      <c r="T1280" s="311" t="s">
        <v>34208</v>
      </c>
      <c r="U1280" s="308"/>
      <c r="V1280" s="312"/>
    </row>
    <row r="1281">
      <c r="A1281" s="308">
        <v>1280.0</v>
      </c>
      <c r="B1281" s="308">
        <v>4495.0</v>
      </c>
      <c r="C1281" s="308">
        <v>1298.0</v>
      </c>
      <c r="D1281" s="308">
        <f>IFERROR(__xludf.DUMMYFUNCTION("SPLIT(C1281,""-"")"),1298.0)</f>
        <v>1298</v>
      </c>
      <c r="E1281" s="311"/>
      <c r="F1281" s="309" t="s">
        <v>34</v>
      </c>
      <c r="G1281" s="308" t="s">
        <v>5109</v>
      </c>
      <c r="H1281" s="308" t="s">
        <v>5110</v>
      </c>
      <c r="I1281" s="310">
        <v>39995.0</v>
      </c>
      <c r="J1281" s="308">
        <f>IFERROR(__xludf.DUMMYFUNCTION("SPLIT(I1281,""/"")"),1.0)</f>
        <v>1</v>
      </c>
      <c r="K1281" s="308">
        <f>IFERROR(__xludf.DUMMYFUNCTION("""COMPUTED_VALUE"""),7.0)</f>
        <v>7</v>
      </c>
      <c r="L1281" s="308">
        <f>IFERROR(__xludf.DUMMYFUNCTION("""COMPUTED_VALUE"""),2009.0)</f>
        <v>2009</v>
      </c>
      <c r="M1281" s="308" t="s">
        <v>5111</v>
      </c>
      <c r="N1281" s="308"/>
      <c r="O1281" s="312" t="s">
        <v>5112</v>
      </c>
      <c r="P1281" s="308" t="s">
        <v>1971</v>
      </c>
      <c r="Q1281" s="308"/>
      <c r="R1281" s="308"/>
      <c r="S1281" s="315" t="s">
        <v>100</v>
      </c>
      <c r="T1281" s="311" t="s">
        <v>34208</v>
      </c>
      <c r="U1281" s="308" t="s">
        <v>530</v>
      </c>
      <c r="V1281" s="312"/>
    </row>
    <row r="1282">
      <c r="A1282" s="308">
        <v>1281.0</v>
      </c>
      <c r="B1282" s="308">
        <v>4496.0</v>
      </c>
      <c r="C1282" s="308">
        <v>1299.0</v>
      </c>
      <c r="D1282" s="308">
        <f>IFERROR(__xludf.DUMMYFUNCTION("SPLIT(C1282,""-"")"),1299.0)</f>
        <v>1299</v>
      </c>
      <c r="E1282" s="311"/>
      <c r="F1282" s="317" t="s">
        <v>37</v>
      </c>
      <c r="G1282" s="308" t="s">
        <v>5113</v>
      </c>
      <c r="H1282" s="308" t="s">
        <v>5114</v>
      </c>
      <c r="I1282" s="310">
        <v>41091.0</v>
      </c>
      <c r="J1282" s="308">
        <f>IFERROR(__xludf.DUMMYFUNCTION("SPLIT(I1282,""/"")"),1.0)</f>
        <v>1</v>
      </c>
      <c r="K1282" s="308">
        <f>IFERROR(__xludf.DUMMYFUNCTION("""COMPUTED_VALUE"""),7.0)</f>
        <v>7</v>
      </c>
      <c r="L1282" s="308">
        <f>IFERROR(__xludf.DUMMYFUNCTION("""COMPUTED_VALUE"""),2012.0)</f>
        <v>2012</v>
      </c>
      <c r="M1282" s="308" t="s">
        <v>5115</v>
      </c>
      <c r="N1282" s="308"/>
      <c r="O1282" s="312"/>
      <c r="P1282" s="308" t="s">
        <v>5116</v>
      </c>
      <c r="Q1282" s="308"/>
      <c r="R1282" s="308"/>
      <c r="S1282" s="308" t="s">
        <v>81</v>
      </c>
      <c r="T1282" s="311" t="s">
        <v>35043</v>
      </c>
      <c r="U1282" s="308"/>
      <c r="V1282" s="312"/>
    </row>
    <row r="1283">
      <c r="A1283" s="308">
        <v>1282.0</v>
      </c>
      <c r="B1283" s="308">
        <v>4497.0</v>
      </c>
      <c r="C1283" s="308">
        <v>1300.0</v>
      </c>
      <c r="D1283" s="308">
        <f>IFERROR(__xludf.DUMMYFUNCTION("SPLIT(C1283,""-"")"),1300.0)</f>
        <v>1300</v>
      </c>
      <c r="E1283" s="311"/>
      <c r="F1283" s="317" t="s">
        <v>39</v>
      </c>
      <c r="G1283" s="308"/>
      <c r="H1283" s="308" t="s">
        <v>5117</v>
      </c>
      <c r="I1283" s="310">
        <v>41449.0</v>
      </c>
      <c r="J1283" s="308">
        <f>IFERROR(__xludf.DUMMYFUNCTION("SPLIT(I1283,""/"")"),24.0)</f>
        <v>24</v>
      </c>
      <c r="K1283" s="308">
        <f>IFERROR(__xludf.DUMMYFUNCTION("""COMPUTED_VALUE"""),6.0)</f>
        <v>6</v>
      </c>
      <c r="L1283" s="308">
        <f>IFERROR(__xludf.DUMMYFUNCTION("""COMPUTED_VALUE"""),2013.0)</f>
        <v>2013</v>
      </c>
      <c r="M1283" s="308" t="s">
        <v>5118</v>
      </c>
      <c r="N1283" s="308"/>
      <c r="O1283" s="312"/>
      <c r="P1283" s="308" t="s">
        <v>5119</v>
      </c>
      <c r="Q1283" s="308"/>
      <c r="R1283" s="308"/>
      <c r="S1283" s="308" t="s">
        <v>49</v>
      </c>
      <c r="T1283" s="311" t="s">
        <v>67</v>
      </c>
      <c r="U1283" s="308"/>
      <c r="V1283" s="312"/>
    </row>
    <row r="1284">
      <c r="A1284" s="308">
        <v>1283.0</v>
      </c>
      <c r="B1284" s="308">
        <v>4498.0</v>
      </c>
      <c r="C1284" s="308">
        <v>1301.0</v>
      </c>
      <c r="D1284" s="308">
        <f>IFERROR(__xludf.DUMMYFUNCTION("SPLIT(C1284,""-"")"),1301.0)</f>
        <v>1301</v>
      </c>
      <c r="E1284" s="311"/>
      <c r="F1284" s="309" t="s">
        <v>34</v>
      </c>
      <c r="G1284" s="308" t="s">
        <v>5120</v>
      </c>
      <c r="H1284" s="308" t="s">
        <v>5121</v>
      </c>
      <c r="I1284" s="310">
        <v>39995.0</v>
      </c>
      <c r="J1284" s="308">
        <f>IFERROR(__xludf.DUMMYFUNCTION("SPLIT(I1284,""/"")"),1.0)</f>
        <v>1</v>
      </c>
      <c r="K1284" s="308">
        <f>IFERROR(__xludf.DUMMYFUNCTION("""COMPUTED_VALUE"""),7.0)</f>
        <v>7</v>
      </c>
      <c r="L1284" s="308">
        <f>IFERROR(__xludf.DUMMYFUNCTION("""COMPUTED_VALUE"""),2009.0)</f>
        <v>2009</v>
      </c>
      <c r="M1284" s="308" t="s">
        <v>5122</v>
      </c>
      <c r="N1284" s="308"/>
      <c r="O1284" s="312" t="s">
        <v>36033</v>
      </c>
      <c r="P1284" s="308" t="s">
        <v>841</v>
      </c>
      <c r="Q1284" s="308"/>
      <c r="R1284" s="308"/>
      <c r="S1284" s="308" t="s">
        <v>49</v>
      </c>
      <c r="T1284" s="311" t="s">
        <v>77</v>
      </c>
      <c r="U1284" s="312"/>
      <c r="V1284" s="312"/>
    </row>
    <row r="1285">
      <c r="A1285" s="308">
        <v>1284.0</v>
      </c>
      <c r="B1285" s="308">
        <v>4499.0</v>
      </c>
      <c r="C1285" s="308">
        <v>1302.0</v>
      </c>
      <c r="D1285" s="308">
        <f>IFERROR(__xludf.DUMMYFUNCTION("SPLIT(C1285,""-"")"),1302.0)</f>
        <v>1302</v>
      </c>
      <c r="E1285" s="311"/>
      <c r="F1285" s="309" t="s">
        <v>34</v>
      </c>
      <c r="G1285" s="308" t="s">
        <v>5124</v>
      </c>
      <c r="H1285" s="308" t="s">
        <v>5125</v>
      </c>
      <c r="I1285" s="310">
        <v>39995.0</v>
      </c>
      <c r="J1285" s="308">
        <f>IFERROR(__xludf.DUMMYFUNCTION("SPLIT(I1285,""/"")"),1.0)</f>
        <v>1</v>
      </c>
      <c r="K1285" s="308">
        <f>IFERROR(__xludf.DUMMYFUNCTION("""COMPUTED_VALUE"""),7.0)</f>
        <v>7</v>
      </c>
      <c r="L1285" s="308">
        <f>IFERROR(__xludf.DUMMYFUNCTION("""COMPUTED_VALUE"""),2009.0)</f>
        <v>2009</v>
      </c>
      <c r="M1285" s="308" t="s">
        <v>5126</v>
      </c>
      <c r="N1285" s="308"/>
      <c r="O1285" s="312" t="s">
        <v>36034</v>
      </c>
      <c r="P1285" s="308" t="s">
        <v>1971</v>
      </c>
      <c r="Q1285" s="308"/>
      <c r="R1285" s="308"/>
      <c r="S1285" s="315" t="s">
        <v>100</v>
      </c>
      <c r="T1285" s="311" t="s">
        <v>34208</v>
      </c>
      <c r="U1285" s="308" t="s">
        <v>530</v>
      </c>
      <c r="V1285" s="312"/>
    </row>
    <row r="1286">
      <c r="A1286" s="308">
        <v>1285.0</v>
      </c>
      <c r="B1286" s="308">
        <v>4500.0</v>
      </c>
      <c r="C1286" s="308">
        <v>1303.0</v>
      </c>
      <c r="D1286" s="308">
        <f>IFERROR(__xludf.DUMMYFUNCTION("SPLIT(C1286,""-"")"),1303.0)</f>
        <v>1303</v>
      </c>
      <c r="E1286" s="311"/>
      <c r="F1286" s="309" t="s">
        <v>34</v>
      </c>
      <c r="G1286" s="308" t="s">
        <v>5124</v>
      </c>
      <c r="H1286" s="308" t="s">
        <v>5128</v>
      </c>
      <c r="I1286" s="310">
        <v>39995.0</v>
      </c>
      <c r="J1286" s="308">
        <f>IFERROR(__xludf.DUMMYFUNCTION("SPLIT(I1286,""/"")"),1.0)</f>
        <v>1</v>
      </c>
      <c r="K1286" s="308">
        <f>IFERROR(__xludf.DUMMYFUNCTION("""COMPUTED_VALUE"""),7.0)</f>
        <v>7</v>
      </c>
      <c r="L1286" s="308">
        <f>IFERROR(__xludf.DUMMYFUNCTION("""COMPUTED_VALUE"""),2009.0)</f>
        <v>2009</v>
      </c>
      <c r="M1286" s="308" t="s">
        <v>5126</v>
      </c>
      <c r="N1286" s="308"/>
      <c r="O1286" s="312" t="s">
        <v>36034</v>
      </c>
      <c r="P1286" s="308" t="s">
        <v>1971</v>
      </c>
      <c r="Q1286" s="308"/>
      <c r="R1286" s="308"/>
      <c r="S1286" s="315" t="s">
        <v>100</v>
      </c>
      <c r="T1286" s="311" t="s">
        <v>34208</v>
      </c>
      <c r="U1286" s="308" t="s">
        <v>530</v>
      </c>
      <c r="V1286" s="312"/>
    </row>
    <row r="1287">
      <c r="A1287" s="308">
        <v>1286.0</v>
      </c>
      <c r="B1287" s="308">
        <v>4501.0</v>
      </c>
      <c r="C1287" s="308">
        <v>1304.0</v>
      </c>
      <c r="D1287" s="308">
        <f>IFERROR(__xludf.DUMMYFUNCTION("SPLIT(C1287,""-"")"),1304.0)</f>
        <v>1304</v>
      </c>
      <c r="E1287" s="311"/>
      <c r="F1287" s="309" t="s">
        <v>26</v>
      </c>
      <c r="G1287" s="308"/>
      <c r="H1287" s="308" t="s">
        <v>36035</v>
      </c>
      <c r="I1287" s="310">
        <v>41161.0</v>
      </c>
      <c r="J1287" s="308">
        <f>IFERROR(__xludf.DUMMYFUNCTION("SPLIT(I1287,""/"")"),9.0)</f>
        <v>9</v>
      </c>
      <c r="K1287" s="308">
        <f>IFERROR(__xludf.DUMMYFUNCTION("""COMPUTED_VALUE"""),9.0)</f>
        <v>9</v>
      </c>
      <c r="L1287" s="308">
        <f>IFERROR(__xludf.DUMMYFUNCTION("""COMPUTED_VALUE"""),2012.0)</f>
        <v>2012</v>
      </c>
      <c r="M1287" s="308" t="s">
        <v>5130</v>
      </c>
      <c r="N1287" s="308"/>
      <c r="O1287" s="312" t="s">
        <v>36036</v>
      </c>
      <c r="P1287" s="308" t="s">
        <v>2675</v>
      </c>
      <c r="Q1287" s="308"/>
      <c r="R1287" s="308"/>
      <c r="S1287" s="308" t="s">
        <v>49</v>
      </c>
      <c r="T1287" s="308" t="s">
        <v>51</v>
      </c>
      <c r="U1287" s="312"/>
      <c r="V1287" s="312"/>
    </row>
    <row r="1288">
      <c r="A1288" s="308">
        <v>1287.0</v>
      </c>
      <c r="B1288" s="308">
        <v>4502.0</v>
      </c>
      <c r="C1288" s="308">
        <v>1305.0</v>
      </c>
      <c r="D1288" s="308">
        <f>IFERROR(__xludf.DUMMYFUNCTION("SPLIT(C1288,""-"")"),1305.0)</f>
        <v>1305</v>
      </c>
      <c r="E1288" s="311"/>
      <c r="F1288" s="309" t="s">
        <v>26</v>
      </c>
      <c r="G1288" s="308"/>
      <c r="H1288" s="308" t="s">
        <v>36037</v>
      </c>
      <c r="I1288" s="310">
        <v>41376.0</v>
      </c>
      <c r="J1288" s="308">
        <f>IFERROR(__xludf.DUMMYFUNCTION("SPLIT(I1288,""/"")"),12.0)</f>
        <v>12</v>
      </c>
      <c r="K1288" s="308">
        <f>IFERROR(__xludf.DUMMYFUNCTION("""COMPUTED_VALUE"""),4.0)</f>
        <v>4</v>
      </c>
      <c r="L1288" s="308">
        <f>IFERROR(__xludf.DUMMYFUNCTION("""COMPUTED_VALUE"""),2013.0)</f>
        <v>2013</v>
      </c>
      <c r="M1288" s="308" t="s">
        <v>5133</v>
      </c>
      <c r="N1288" s="308"/>
      <c r="O1288" s="312"/>
      <c r="P1288" s="308" t="s">
        <v>5134</v>
      </c>
      <c r="Q1288" s="308"/>
      <c r="R1288" s="308"/>
      <c r="S1288" s="308" t="s">
        <v>81</v>
      </c>
      <c r="T1288" s="311" t="s">
        <v>96</v>
      </c>
      <c r="U1288" s="308"/>
      <c r="V1288" s="312"/>
    </row>
    <row r="1289">
      <c r="A1289" s="308">
        <v>1288.0</v>
      </c>
      <c r="B1289" s="308">
        <v>4503.0</v>
      </c>
      <c r="C1289" s="308">
        <v>1306.0</v>
      </c>
      <c r="D1289" s="308">
        <f>IFERROR(__xludf.DUMMYFUNCTION("SPLIT(C1289,""-"")"),1306.0)</f>
        <v>1306</v>
      </c>
      <c r="E1289" s="311"/>
      <c r="F1289" s="309" t="s">
        <v>26</v>
      </c>
      <c r="G1289" s="308"/>
      <c r="H1289" s="308" t="s">
        <v>36038</v>
      </c>
      <c r="I1289" s="310">
        <v>41367.0</v>
      </c>
      <c r="J1289" s="308">
        <f>IFERROR(__xludf.DUMMYFUNCTION("SPLIT(I1289,""/"")"),3.0)</f>
        <v>3</v>
      </c>
      <c r="K1289" s="308">
        <f>IFERROR(__xludf.DUMMYFUNCTION("""COMPUTED_VALUE"""),4.0)</f>
        <v>4</v>
      </c>
      <c r="L1289" s="308">
        <f>IFERROR(__xludf.DUMMYFUNCTION("""COMPUTED_VALUE"""),2013.0)</f>
        <v>2013</v>
      </c>
      <c r="M1289" s="308" t="s">
        <v>36039</v>
      </c>
      <c r="N1289" s="308"/>
      <c r="O1289" s="312" t="s">
        <v>36040</v>
      </c>
      <c r="P1289" s="308" t="s">
        <v>36041</v>
      </c>
      <c r="Q1289" s="308"/>
      <c r="R1289" s="308"/>
      <c r="S1289" s="308" t="s">
        <v>81</v>
      </c>
      <c r="T1289" s="308" t="s">
        <v>75</v>
      </c>
      <c r="U1289" s="308" t="s">
        <v>27</v>
      </c>
      <c r="V1289" s="312"/>
    </row>
    <row r="1290">
      <c r="A1290" s="308">
        <v>1289.0</v>
      </c>
      <c r="B1290" s="308">
        <v>4504.0</v>
      </c>
      <c r="C1290" s="308">
        <v>1307.0</v>
      </c>
      <c r="D1290" s="308">
        <f>IFERROR(__xludf.DUMMYFUNCTION("SPLIT(C1290,""-"")"),1307.0)</f>
        <v>1307</v>
      </c>
      <c r="E1290" s="311"/>
      <c r="F1290" s="309" t="s">
        <v>34</v>
      </c>
      <c r="G1290" s="308"/>
      <c r="H1290" s="308" t="s">
        <v>36042</v>
      </c>
      <c r="I1290" s="310">
        <v>41161.0</v>
      </c>
      <c r="J1290" s="308">
        <f>IFERROR(__xludf.DUMMYFUNCTION("SPLIT(I1290,""/"")"),9.0)</f>
        <v>9</v>
      </c>
      <c r="K1290" s="308">
        <f>IFERROR(__xludf.DUMMYFUNCTION("""COMPUTED_VALUE"""),9.0)</f>
        <v>9</v>
      </c>
      <c r="L1290" s="308">
        <f>IFERROR(__xludf.DUMMYFUNCTION("""COMPUTED_VALUE"""),2012.0)</f>
        <v>2012</v>
      </c>
      <c r="M1290" s="308" t="s">
        <v>5140</v>
      </c>
      <c r="N1290" s="308"/>
      <c r="O1290" s="312" t="s">
        <v>5141</v>
      </c>
      <c r="P1290" s="308" t="s">
        <v>5142</v>
      </c>
      <c r="Q1290" s="308"/>
      <c r="R1290" s="308"/>
      <c r="S1290" s="308" t="s">
        <v>81</v>
      </c>
      <c r="T1290" s="308" t="s">
        <v>34264</v>
      </c>
      <c r="U1290" s="308"/>
      <c r="V1290" s="312"/>
    </row>
    <row r="1291">
      <c r="A1291" s="308">
        <v>1290.0</v>
      </c>
      <c r="B1291" s="308">
        <v>4505.0</v>
      </c>
      <c r="C1291" s="308">
        <v>1308.0</v>
      </c>
      <c r="D1291" s="308">
        <f>IFERROR(__xludf.DUMMYFUNCTION("SPLIT(C1291,""-"")"),1308.0)</f>
        <v>1308</v>
      </c>
      <c r="E1291" s="311"/>
      <c r="F1291" s="309" t="s">
        <v>31</v>
      </c>
      <c r="G1291" s="308"/>
      <c r="H1291" s="308" t="s">
        <v>5143</v>
      </c>
      <c r="I1291" s="310">
        <v>41492.0</v>
      </c>
      <c r="J1291" s="308">
        <f>IFERROR(__xludf.DUMMYFUNCTION("SPLIT(I1291,""/"")"),6.0)</f>
        <v>6</v>
      </c>
      <c r="K1291" s="308">
        <f>IFERROR(__xludf.DUMMYFUNCTION("""COMPUTED_VALUE"""),8.0)</f>
        <v>8</v>
      </c>
      <c r="L1291" s="308">
        <f>IFERROR(__xludf.DUMMYFUNCTION("""COMPUTED_VALUE"""),2013.0)</f>
        <v>2013</v>
      </c>
      <c r="M1291" s="308" t="s">
        <v>5144</v>
      </c>
      <c r="N1291" s="308"/>
      <c r="O1291" s="312" t="s">
        <v>36043</v>
      </c>
      <c r="P1291" s="308" t="s">
        <v>5146</v>
      </c>
      <c r="Q1291" s="308"/>
      <c r="R1291" s="308"/>
      <c r="S1291" s="308" t="s">
        <v>81</v>
      </c>
      <c r="T1291" s="308" t="s">
        <v>73</v>
      </c>
      <c r="U1291" s="308"/>
      <c r="V1291" s="312"/>
    </row>
    <row r="1292">
      <c r="A1292" s="308">
        <v>1291.0</v>
      </c>
      <c r="B1292" s="308">
        <v>4506.0</v>
      </c>
      <c r="C1292" s="308" t="s">
        <v>5147</v>
      </c>
      <c r="D1292" s="308">
        <f>IFERROR(__xludf.DUMMYFUNCTION("SPLIT(C1292,""-"")"),1309.0)</f>
        <v>1309</v>
      </c>
      <c r="E1292" s="308" t="str">
        <f>IFERROR(__xludf.DUMMYFUNCTION("""COMPUTED_VALUE"""),"K")</f>
        <v>K</v>
      </c>
      <c r="F1292" s="309" t="s">
        <v>34</v>
      </c>
      <c r="G1292" s="308"/>
      <c r="H1292" s="308" t="s">
        <v>5148</v>
      </c>
      <c r="I1292" s="310">
        <v>40551.0</v>
      </c>
      <c r="J1292" s="308">
        <f>IFERROR(__xludf.DUMMYFUNCTION("SPLIT(I1292,""/"")"),8.0)</f>
        <v>8</v>
      </c>
      <c r="K1292" s="308">
        <f>IFERROR(__xludf.DUMMYFUNCTION("""COMPUTED_VALUE"""),1.0)</f>
        <v>1</v>
      </c>
      <c r="L1292" s="308">
        <f>IFERROR(__xludf.DUMMYFUNCTION("""COMPUTED_VALUE"""),2011.0)</f>
        <v>2011</v>
      </c>
      <c r="M1292" s="308" t="s">
        <v>5149</v>
      </c>
      <c r="N1292" s="308"/>
      <c r="O1292" s="312" t="s">
        <v>36044</v>
      </c>
      <c r="P1292" s="308" t="s">
        <v>3362</v>
      </c>
      <c r="Q1292" s="308"/>
      <c r="R1292" s="308"/>
      <c r="S1292" s="315" t="s">
        <v>100</v>
      </c>
      <c r="T1292" s="311" t="s">
        <v>34208</v>
      </c>
      <c r="U1292" s="308" t="s">
        <v>2989</v>
      </c>
      <c r="V1292" s="312"/>
    </row>
    <row r="1293">
      <c r="A1293" s="308">
        <v>1292.0</v>
      </c>
      <c r="B1293" s="308">
        <v>4507.0</v>
      </c>
      <c r="C1293" s="308">
        <v>1310.0</v>
      </c>
      <c r="D1293" s="308">
        <f>IFERROR(__xludf.DUMMYFUNCTION("SPLIT(C1293,""-"")"),1310.0)</f>
        <v>1310</v>
      </c>
      <c r="E1293" s="311"/>
      <c r="F1293" s="309" t="s">
        <v>26</v>
      </c>
      <c r="G1293" s="308" t="s">
        <v>5151</v>
      </c>
      <c r="H1293" s="308" t="s">
        <v>5152</v>
      </c>
      <c r="I1293" s="316" t="s">
        <v>407</v>
      </c>
      <c r="J1293" s="308" t="str">
        <f>IFERROR(__xludf.DUMMYFUNCTION("SPLIT(I1293,""/"")"),"#REF!")</f>
        <v>#REF!</v>
      </c>
      <c r="K1293" s="308"/>
      <c r="L1293" s="311" t="s">
        <v>79</v>
      </c>
      <c r="M1293" s="308" t="s">
        <v>5153</v>
      </c>
      <c r="N1293" s="308"/>
      <c r="O1293" s="312" t="s">
        <v>5154</v>
      </c>
      <c r="P1293" s="308" t="s">
        <v>5155</v>
      </c>
      <c r="Q1293" s="308"/>
      <c r="R1293" s="308"/>
      <c r="S1293" s="308" t="s">
        <v>81</v>
      </c>
      <c r="T1293" s="308" t="s">
        <v>75</v>
      </c>
      <c r="U1293" s="308"/>
      <c r="V1293" s="312"/>
    </row>
    <row r="1294">
      <c r="A1294" s="308">
        <v>1293.0</v>
      </c>
      <c r="B1294" s="308">
        <v>4508.0</v>
      </c>
      <c r="C1294" s="308">
        <v>1311.0</v>
      </c>
      <c r="D1294" s="308">
        <f>IFERROR(__xludf.DUMMYFUNCTION("SPLIT(C1294,""-"")"),1311.0)</f>
        <v>1311</v>
      </c>
      <c r="E1294" s="311"/>
      <c r="F1294" s="309" t="s">
        <v>34</v>
      </c>
      <c r="G1294" s="308"/>
      <c r="H1294" s="308" t="s">
        <v>5156</v>
      </c>
      <c r="I1294" s="310">
        <v>41335.0</v>
      </c>
      <c r="J1294" s="308">
        <f>IFERROR(__xludf.DUMMYFUNCTION("SPLIT(I1294,""/"")"),2.0)</f>
        <v>2</v>
      </c>
      <c r="K1294" s="308">
        <f>IFERROR(__xludf.DUMMYFUNCTION("""COMPUTED_VALUE"""),3.0)</f>
        <v>3</v>
      </c>
      <c r="L1294" s="308">
        <f>IFERROR(__xludf.DUMMYFUNCTION("""COMPUTED_VALUE"""),2013.0)</f>
        <v>2013</v>
      </c>
      <c r="M1294" s="308" t="s">
        <v>5157</v>
      </c>
      <c r="N1294" s="308"/>
      <c r="O1294" s="312" t="s">
        <v>5158</v>
      </c>
      <c r="P1294" s="308" t="s">
        <v>5159</v>
      </c>
      <c r="Q1294" s="308"/>
      <c r="R1294" s="308"/>
      <c r="S1294" s="308" t="s">
        <v>81</v>
      </c>
      <c r="T1294" s="308" t="s">
        <v>75</v>
      </c>
      <c r="U1294" s="308"/>
      <c r="V1294" s="312"/>
    </row>
    <row r="1295">
      <c r="A1295" s="308">
        <v>1294.0</v>
      </c>
      <c r="B1295" s="308">
        <v>4509.0</v>
      </c>
      <c r="C1295" s="308">
        <v>1312.0</v>
      </c>
      <c r="D1295" s="308">
        <f>IFERROR(__xludf.DUMMYFUNCTION("SPLIT(C1295,""-"")"),1312.0)</f>
        <v>1312</v>
      </c>
      <c r="E1295" s="311"/>
      <c r="F1295" s="309" t="s">
        <v>34</v>
      </c>
      <c r="G1295" s="308" t="s">
        <v>5160</v>
      </c>
      <c r="H1295" s="308" t="s">
        <v>5161</v>
      </c>
      <c r="I1295" s="310">
        <v>40057.0</v>
      </c>
      <c r="J1295" s="308">
        <f>IFERROR(__xludf.DUMMYFUNCTION("SPLIT(I1295,""/"")"),1.0)</f>
        <v>1</v>
      </c>
      <c r="K1295" s="308">
        <f>IFERROR(__xludf.DUMMYFUNCTION("""COMPUTED_VALUE"""),9.0)</f>
        <v>9</v>
      </c>
      <c r="L1295" s="308">
        <f>IFERROR(__xludf.DUMMYFUNCTION("""COMPUTED_VALUE"""),2009.0)</f>
        <v>2009</v>
      </c>
      <c r="M1295" s="308" t="s">
        <v>5162</v>
      </c>
      <c r="N1295" s="308" t="s">
        <v>5163</v>
      </c>
      <c r="O1295" s="312" t="s">
        <v>5164</v>
      </c>
      <c r="P1295" s="308" t="s">
        <v>1971</v>
      </c>
      <c r="Q1295" s="308"/>
      <c r="R1295" s="308"/>
      <c r="S1295" s="315" t="s">
        <v>100</v>
      </c>
      <c r="T1295" s="311" t="s">
        <v>34208</v>
      </c>
      <c r="U1295" s="308" t="s">
        <v>530</v>
      </c>
      <c r="V1295" s="312"/>
    </row>
    <row r="1296">
      <c r="A1296" s="308">
        <v>1295.0</v>
      </c>
      <c r="B1296" s="308">
        <v>4510.0</v>
      </c>
      <c r="C1296" s="308">
        <v>1313.0</v>
      </c>
      <c r="D1296" s="308">
        <f>IFERROR(__xludf.DUMMYFUNCTION("SPLIT(C1296,""-"")"),1313.0)</f>
        <v>1313</v>
      </c>
      <c r="E1296" s="311"/>
      <c r="F1296" s="309" t="s">
        <v>31</v>
      </c>
      <c r="G1296" s="308"/>
      <c r="H1296" s="308" t="s">
        <v>5165</v>
      </c>
      <c r="I1296" s="310">
        <v>41437.0</v>
      </c>
      <c r="J1296" s="308">
        <f>IFERROR(__xludf.DUMMYFUNCTION("SPLIT(I1296,""/"")"),12.0)</f>
        <v>12</v>
      </c>
      <c r="K1296" s="308">
        <f>IFERROR(__xludf.DUMMYFUNCTION("""COMPUTED_VALUE"""),6.0)</f>
        <v>6</v>
      </c>
      <c r="L1296" s="308">
        <f>IFERROR(__xludf.DUMMYFUNCTION("""COMPUTED_VALUE"""),2013.0)</f>
        <v>2013</v>
      </c>
      <c r="M1296" s="308" t="s">
        <v>5166</v>
      </c>
      <c r="N1296" s="308"/>
      <c r="O1296" s="312" t="s">
        <v>36045</v>
      </c>
      <c r="P1296" s="308" t="s">
        <v>36046</v>
      </c>
      <c r="Q1296" s="308"/>
      <c r="R1296" s="308"/>
      <c r="S1296" s="308" t="s">
        <v>49</v>
      </c>
      <c r="T1296" s="311" t="s">
        <v>51</v>
      </c>
      <c r="U1296" s="308" t="s">
        <v>31</v>
      </c>
      <c r="V1296" s="312"/>
    </row>
    <row r="1297">
      <c r="A1297" s="308">
        <v>1296.0</v>
      </c>
      <c r="B1297" s="308">
        <v>4511.0</v>
      </c>
      <c r="C1297" s="308">
        <v>1314.0</v>
      </c>
      <c r="D1297" s="308">
        <f>IFERROR(__xludf.DUMMYFUNCTION("SPLIT(C1297,""-"")"),1314.0)</f>
        <v>1314</v>
      </c>
      <c r="E1297" s="311"/>
      <c r="F1297" s="317" t="s">
        <v>37</v>
      </c>
      <c r="G1297" s="308"/>
      <c r="H1297" s="308" t="s">
        <v>5169</v>
      </c>
      <c r="I1297" s="310">
        <v>41419.0</v>
      </c>
      <c r="J1297" s="308">
        <f>IFERROR(__xludf.DUMMYFUNCTION("SPLIT(I1297,""/"")"),25.0)</f>
        <v>25</v>
      </c>
      <c r="K1297" s="308">
        <f>IFERROR(__xludf.DUMMYFUNCTION("""COMPUTED_VALUE"""),5.0)</f>
        <v>5</v>
      </c>
      <c r="L1297" s="308">
        <f>IFERROR(__xludf.DUMMYFUNCTION("""COMPUTED_VALUE"""),2013.0)</f>
        <v>2013</v>
      </c>
      <c r="M1297" s="308" t="s">
        <v>5170</v>
      </c>
      <c r="N1297" s="308"/>
      <c r="O1297" s="312" t="s">
        <v>5171</v>
      </c>
      <c r="P1297" s="308" t="s">
        <v>5172</v>
      </c>
      <c r="Q1297" s="308"/>
      <c r="R1297" s="308"/>
      <c r="S1297" s="308" t="s">
        <v>81</v>
      </c>
      <c r="T1297" s="308" t="s">
        <v>75</v>
      </c>
      <c r="U1297" s="308"/>
      <c r="V1297" s="312"/>
    </row>
    <row r="1298">
      <c r="A1298" s="308">
        <v>1297.0</v>
      </c>
      <c r="B1298" s="308">
        <v>4512.0</v>
      </c>
      <c r="C1298" s="308">
        <v>1315.0</v>
      </c>
      <c r="D1298" s="308">
        <f>IFERROR(__xludf.DUMMYFUNCTION("SPLIT(C1298,""-"")"),1315.0)</f>
        <v>1315</v>
      </c>
      <c r="E1298" s="311"/>
      <c r="F1298" s="317" t="s">
        <v>37</v>
      </c>
      <c r="G1298" s="308"/>
      <c r="H1298" s="308" t="s">
        <v>5173</v>
      </c>
      <c r="I1298" s="310">
        <v>41451.0</v>
      </c>
      <c r="J1298" s="308">
        <f>IFERROR(__xludf.DUMMYFUNCTION("SPLIT(I1298,""/"")"),26.0)</f>
        <v>26</v>
      </c>
      <c r="K1298" s="308">
        <f>IFERROR(__xludf.DUMMYFUNCTION("""COMPUTED_VALUE"""),6.0)</f>
        <v>6</v>
      </c>
      <c r="L1298" s="308">
        <f>IFERROR(__xludf.DUMMYFUNCTION("""COMPUTED_VALUE"""),2013.0)</f>
        <v>2013</v>
      </c>
      <c r="M1298" s="308" t="s">
        <v>5174</v>
      </c>
      <c r="N1298" s="308"/>
      <c r="O1298" s="312" t="s">
        <v>5175</v>
      </c>
      <c r="P1298" s="308" t="s">
        <v>5176</v>
      </c>
      <c r="Q1298" s="308"/>
      <c r="R1298" s="308"/>
      <c r="S1298" s="308" t="s">
        <v>49</v>
      </c>
      <c r="T1298" s="311" t="s">
        <v>61</v>
      </c>
      <c r="U1298" s="308"/>
      <c r="V1298" s="312"/>
    </row>
    <row r="1299">
      <c r="A1299" s="308">
        <v>1298.0</v>
      </c>
      <c r="B1299" s="308">
        <v>4513.0</v>
      </c>
      <c r="C1299" s="308">
        <v>1316.0</v>
      </c>
      <c r="D1299" s="308">
        <f>IFERROR(__xludf.DUMMYFUNCTION("SPLIT(C1299,""-"")"),1316.0)</f>
        <v>1316</v>
      </c>
      <c r="E1299" s="311"/>
      <c r="F1299" s="317" t="s">
        <v>37</v>
      </c>
      <c r="G1299" s="308"/>
      <c r="H1299" s="308" t="s">
        <v>5177</v>
      </c>
      <c r="I1299" s="310">
        <v>40725.0</v>
      </c>
      <c r="J1299" s="308">
        <f>IFERROR(__xludf.DUMMYFUNCTION("SPLIT(I1299,""/"")"),1.0)</f>
        <v>1</v>
      </c>
      <c r="K1299" s="308">
        <f>IFERROR(__xludf.DUMMYFUNCTION("""COMPUTED_VALUE"""),7.0)</f>
        <v>7</v>
      </c>
      <c r="L1299" s="308">
        <f>IFERROR(__xludf.DUMMYFUNCTION("""COMPUTED_VALUE"""),2011.0)</f>
        <v>2011</v>
      </c>
      <c r="M1299" s="308" t="s">
        <v>5178</v>
      </c>
      <c r="N1299" s="308"/>
      <c r="O1299" s="312" t="s">
        <v>5179</v>
      </c>
      <c r="P1299" s="308" t="s">
        <v>36047</v>
      </c>
      <c r="Q1299" s="308"/>
      <c r="R1299" s="308"/>
      <c r="S1299" s="308" t="s">
        <v>81</v>
      </c>
      <c r="T1299" s="308" t="s">
        <v>75</v>
      </c>
      <c r="U1299" s="308" t="s">
        <v>143</v>
      </c>
      <c r="V1299" s="312"/>
    </row>
    <row r="1300">
      <c r="A1300" s="308">
        <v>1299.0</v>
      </c>
      <c r="B1300" s="308">
        <v>4514.0</v>
      </c>
      <c r="C1300" s="308" t="s">
        <v>5181</v>
      </c>
      <c r="D1300" s="308">
        <f>IFERROR(__xludf.DUMMYFUNCTION("SPLIT(C1300,""-"")"),1317.0)</f>
        <v>1317</v>
      </c>
      <c r="E1300" s="308" t="str">
        <f>IFERROR(__xludf.DUMMYFUNCTION("""COMPUTED_VALUE"""),"P")</f>
        <v>P</v>
      </c>
      <c r="F1300" s="312" t="s">
        <v>37</v>
      </c>
      <c r="G1300" s="308"/>
      <c r="H1300" s="308" t="s">
        <v>5182</v>
      </c>
      <c r="I1300" s="310">
        <v>41451.0</v>
      </c>
      <c r="J1300" s="308">
        <f>IFERROR(__xludf.DUMMYFUNCTION("SPLIT(I1300,""/"")"),26.0)</f>
        <v>26</v>
      </c>
      <c r="K1300" s="308">
        <f>IFERROR(__xludf.DUMMYFUNCTION("""COMPUTED_VALUE"""),6.0)</f>
        <v>6</v>
      </c>
      <c r="L1300" s="308">
        <f>IFERROR(__xludf.DUMMYFUNCTION("""COMPUTED_VALUE"""),2013.0)</f>
        <v>2013</v>
      </c>
      <c r="M1300" s="308" t="s">
        <v>36048</v>
      </c>
      <c r="N1300" s="308"/>
      <c r="O1300" s="312" t="s">
        <v>36049</v>
      </c>
      <c r="P1300" s="308" t="s">
        <v>5185</v>
      </c>
      <c r="Q1300" s="308"/>
      <c r="R1300" s="308" t="s">
        <v>1496</v>
      </c>
      <c r="S1300" s="308" t="s">
        <v>81</v>
      </c>
      <c r="T1300" s="308" t="s">
        <v>75</v>
      </c>
      <c r="U1300" s="308"/>
      <c r="V1300" s="312"/>
    </row>
    <row r="1301">
      <c r="A1301" s="308">
        <v>1300.0</v>
      </c>
      <c r="B1301" s="308">
        <v>4515.0</v>
      </c>
      <c r="C1301" s="308">
        <v>1318.0</v>
      </c>
      <c r="D1301" s="308">
        <f>IFERROR(__xludf.DUMMYFUNCTION("SPLIT(C1301,""-"")"),1318.0)</f>
        <v>1318</v>
      </c>
      <c r="E1301" s="311"/>
      <c r="F1301" s="317" t="s">
        <v>39</v>
      </c>
      <c r="G1301" s="308"/>
      <c r="H1301" s="308" t="s">
        <v>5186</v>
      </c>
      <c r="I1301" s="310">
        <v>41369.0</v>
      </c>
      <c r="J1301" s="308">
        <f>IFERROR(__xludf.DUMMYFUNCTION("SPLIT(I1301,""/"")"),5.0)</f>
        <v>5</v>
      </c>
      <c r="K1301" s="308">
        <f>IFERROR(__xludf.DUMMYFUNCTION("""COMPUTED_VALUE"""),4.0)</f>
        <v>4</v>
      </c>
      <c r="L1301" s="308">
        <f>IFERROR(__xludf.DUMMYFUNCTION("""COMPUTED_VALUE"""),2013.0)</f>
        <v>2013</v>
      </c>
      <c r="M1301" s="308" t="s">
        <v>36050</v>
      </c>
      <c r="N1301" s="308"/>
      <c r="O1301" s="312" t="s">
        <v>635</v>
      </c>
      <c r="P1301" s="308" t="s">
        <v>36051</v>
      </c>
      <c r="Q1301" s="308"/>
      <c r="R1301" s="308"/>
      <c r="S1301" s="308" t="s">
        <v>81</v>
      </c>
      <c r="T1301" s="311" t="s">
        <v>75</v>
      </c>
      <c r="U1301" s="308"/>
      <c r="V1301" s="312"/>
    </row>
    <row r="1302">
      <c r="A1302" s="308">
        <v>1301.0</v>
      </c>
      <c r="B1302" s="308">
        <v>4516.0</v>
      </c>
      <c r="C1302" s="308">
        <v>1319.0</v>
      </c>
      <c r="D1302" s="308">
        <f>IFERROR(__xludf.DUMMYFUNCTION("SPLIT(C1302,""-"")"),1319.0)</f>
        <v>1319</v>
      </c>
      <c r="E1302" s="311"/>
      <c r="F1302" s="309" t="s">
        <v>34</v>
      </c>
      <c r="G1302" s="308"/>
      <c r="H1302" s="308" t="s">
        <v>5189</v>
      </c>
      <c r="I1302" s="310">
        <v>40853.0</v>
      </c>
      <c r="J1302" s="308">
        <f>IFERROR(__xludf.DUMMYFUNCTION("SPLIT(I1302,""/"")"),6.0)</f>
        <v>6</v>
      </c>
      <c r="K1302" s="308">
        <f>IFERROR(__xludf.DUMMYFUNCTION("""COMPUTED_VALUE"""),11.0)</f>
        <v>11</v>
      </c>
      <c r="L1302" s="308">
        <f>IFERROR(__xludf.DUMMYFUNCTION("""COMPUTED_VALUE"""),2011.0)</f>
        <v>2011</v>
      </c>
      <c r="M1302" s="308" t="s">
        <v>5190</v>
      </c>
      <c r="N1302" s="308"/>
      <c r="O1302" s="312" t="s">
        <v>5191</v>
      </c>
      <c r="P1302" s="308" t="s">
        <v>5192</v>
      </c>
      <c r="Q1302" s="308"/>
      <c r="R1302" s="308"/>
      <c r="S1302" s="308" t="s">
        <v>81</v>
      </c>
      <c r="T1302" s="308" t="s">
        <v>34264</v>
      </c>
      <c r="U1302" s="308"/>
      <c r="V1302" s="312"/>
    </row>
    <row r="1303">
      <c r="A1303" s="308">
        <v>1302.0</v>
      </c>
      <c r="B1303" s="308">
        <v>4517.0</v>
      </c>
      <c r="C1303" s="308">
        <v>1320.0</v>
      </c>
      <c r="D1303" s="308">
        <f>IFERROR(__xludf.DUMMYFUNCTION("SPLIT(C1303,""-"")"),1320.0)</f>
        <v>1320</v>
      </c>
      <c r="E1303" s="311"/>
      <c r="F1303" s="309" t="s">
        <v>26</v>
      </c>
      <c r="G1303" s="308"/>
      <c r="H1303" s="308" t="s">
        <v>5193</v>
      </c>
      <c r="I1303" s="310">
        <v>41516.0</v>
      </c>
      <c r="J1303" s="308">
        <f>IFERROR(__xludf.DUMMYFUNCTION("SPLIT(I1303,""/"")"),30.0)</f>
        <v>30</v>
      </c>
      <c r="K1303" s="308">
        <f>IFERROR(__xludf.DUMMYFUNCTION("""COMPUTED_VALUE"""),8.0)</f>
        <v>8</v>
      </c>
      <c r="L1303" s="308">
        <f>IFERROR(__xludf.DUMMYFUNCTION("""COMPUTED_VALUE"""),2013.0)</f>
        <v>2013</v>
      </c>
      <c r="M1303" s="308" t="s">
        <v>5194</v>
      </c>
      <c r="N1303" s="308"/>
      <c r="O1303" s="312"/>
      <c r="P1303" s="308" t="s">
        <v>36052</v>
      </c>
      <c r="Q1303" s="308"/>
      <c r="R1303" s="308"/>
      <c r="S1303" s="308" t="s">
        <v>81</v>
      </c>
      <c r="T1303" s="311" t="s">
        <v>77</v>
      </c>
      <c r="U1303" s="308"/>
      <c r="V1303" s="312"/>
    </row>
    <row r="1304">
      <c r="A1304" s="308">
        <v>1303.0</v>
      </c>
      <c r="B1304" s="308">
        <v>4518.0</v>
      </c>
      <c r="C1304" s="308">
        <v>1321.0</v>
      </c>
      <c r="D1304" s="308">
        <f>IFERROR(__xludf.DUMMYFUNCTION("SPLIT(C1304,""-"")"),1321.0)</f>
        <v>1321</v>
      </c>
      <c r="E1304" s="311"/>
      <c r="F1304" s="317" t="s">
        <v>39</v>
      </c>
      <c r="G1304" s="308"/>
      <c r="H1304" s="308" t="s">
        <v>5196</v>
      </c>
      <c r="I1304" s="310">
        <v>41364.0</v>
      </c>
      <c r="J1304" s="308">
        <f>IFERROR(__xludf.DUMMYFUNCTION("SPLIT(I1304,""/"")"),31.0)</f>
        <v>31</v>
      </c>
      <c r="K1304" s="308">
        <f>IFERROR(__xludf.DUMMYFUNCTION("""COMPUTED_VALUE"""),3.0)</f>
        <v>3</v>
      </c>
      <c r="L1304" s="308">
        <f>IFERROR(__xludf.DUMMYFUNCTION("""COMPUTED_VALUE"""),2013.0)</f>
        <v>2013</v>
      </c>
      <c r="M1304" s="308" t="s">
        <v>5197</v>
      </c>
      <c r="N1304" s="308"/>
      <c r="O1304" s="312" t="s">
        <v>5198</v>
      </c>
      <c r="P1304" s="308" t="s">
        <v>5199</v>
      </c>
      <c r="Q1304" s="308"/>
      <c r="R1304" s="308"/>
      <c r="S1304" s="308" t="s">
        <v>81</v>
      </c>
      <c r="T1304" s="308" t="s">
        <v>98</v>
      </c>
      <c r="U1304" s="308"/>
      <c r="V1304" s="312"/>
    </row>
    <row r="1305">
      <c r="A1305" s="308">
        <v>1304.0</v>
      </c>
      <c r="B1305" s="308">
        <v>4519.0</v>
      </c>
      <c r="C1305" s="308">
        <v>1322.0</v>
      </c>
      <c r="D1305" s="308">
        <f>IFERROR(__xludf.DUMMYFUNCTION("SPLIT(C1305,""-"")"),1322.0)</f>
        <v>1322</v>
      </c>
      <c r="E1305" s="311"/>
      <c r="F1305" s="317" t="s">
        <v>37</v>
      </c>
      <c r="G1305" s="308"/>
      <c r="H1305" s="308" t="s">
        <v>5200</v>
      </c>
      <c r="I1305" s="310">
        <v>41447.0</v>
      </c>
      <c r="J1305" s="308">
        <f>IFERROR(__xludf.DUMMYFUNCTION("SPLIT(I1305,""/"")"),22.0)</f>
        <v>22</v>
      </c>
      <c r="K1305" s="308">
        <f>IFERROR(__xludf.DUMMYFUNCTION("""COMPUTED_VALUE"""),6.0)</f>
        <v>6</v>
      </c>
      <c r="L1305" s="308">
        <f>IFERROR(__xludf.DUMMYFUNCTION("""COMPUTED_VALUE"""),2013.0)</f>
        <v>2013</v>
      </c>
      <c r="M1305" s="308" t="s">
        <v>5201</v>
      </c>
      <c r="N1305" s="308"/>
      <c r="O1305" s="312" t="s">
        <v>36053</v>
      </c>
      <c r="P1305" s="308" t="s">
        <v>5203</v>
      </c>
      <c r="Q1305" s="308"/>
      <c r="R1305" s="308"/>
      <c r="S1305" s="308" t="s">
        <v>81</v>
      </c>
      <c r="T1305" s="308" t="s">
        <v>98</v>
      </c>
      <c r="U1305" s="308"/>
      <c r="V1305" s="312"/>
    </row>
    <row r="1306">
      <c r="A1306" s="308">
        <v>1305.0</v>
      </c>
      <c r="B1306" s="308">
        <v>4520.0</v>
      </c>
      <c r="C1306" s="308">
        <v>1323.0</v>
      </c>
      <c r="D1306" s="308">
        <f>IFERROR(__xludf.DUMMYFUNCTION("SPLIT(C1306,""-"")"),1323.0)</f>
        <v>1323</v>
      </c>
      <c r="E1306" s="311"/>
      <c r="F1306" s="317" t="s">
        <v>39</v>
      </c>
      <c r="G1306" s="308"/>
      <c r="H1306" s="308" t="s">
        <v>36054</v>
      </c>
      <c r="I1306" s="310">
        <v>41348.0</v>
      </c>
      <c r="J1306" s="308">
        <f>IFERROR(__xludf.DUMMYFUNCTION("SPLIT(I1306,""/"")"),15.0)</f>
        <v>15</v>
      </c>
      <c r="K1306" s="308">
        <f>IFERROR(__xludf.DUMMYFUNCTION("""COMPUTED_VALUE"""),3.0)</f>
        <v>3</v>
      </c>
      <c r="L1306" s="308">
        <f>IFERROR(__xludf.DUMMYFUNCTION("""COMPUTED_VALUE"""),2013.0)</f>
        <v>2013</v>
      </c>
      <c r="M1306" s="308" t="s">
        <v>5205</v>
      </c>
      <c r="N1306" s="308"/>
      <c r="O1306" s="312" t="s">
        <v>36055</v>
      </c>
      <c r="P1306" s="312" t="s">
        <v>5207</v>
      </c>
      <c r="Q1306" s="308"/>
      <c r="R1306" s="308"/>
      <c r="S1306" s="308" t="s">
        <v>81</v>
      </c>
      <c r="T1306" s="308" t="s">
        <v>75</v>
      </c>
      <c r="U1306" s="308"/>
      <c r="V1306" s="312"/>
    </row>
    <row r="1307">
      <c r="A1307" s="308">
        <v>1306.0</v>
      </c>
      <c r="B1307" s="308">
        <v>4521.0</v>
      </c>
      <c r="C1307" s="308">
        <v>1324.0</v>
      </c>
      <c r="D1307" s="308">
        <f>IFERROR(__xludf.DUMMYFUNCTION("SPLIT(C1307,""-"")"),1324.0)</f>
        <v>1324</v>
      </c>
      <c r="E1307" s="311"/>
      <c r="F1307" s="309" t="s">
        <v>34</v>
      </c>
      <c r="G1307" s="308"/>
      <c r="H1307" s="308" t="s">
        <v>5208</v>
      </c>
      <c r="I1307" s="314">
        <v>40464.0</v>
      </c>
      <c r="J1307" s="308">
        <f>IFERROR(__xludf.DUMMYFUNCTION("SPLIT(I1307,""/"")"),13.0)</f>
        <v>13</v>
      </c>
      <c r="K1307" s="308">
        <f>IFERROR(__xludf.DUMMYFUNCTION("""COMPUTED_VALUE"""),10.0)</f>
        <v>10</v>
      </c>
      <c r="L1307" s="308">
        <f>IFERROR(__xludf.DUMMYFUNCTION("""COMPUTED_VALUE"""),2010.0)</f>
        <v>2010</v>
      </c>
      <c r="M1307" s="308" t="s">
        <v>5209</v>
      </c>
      <c r="N1307" s="308"/>
      <c r="O1307" s="312" t="s">
        <v>635</v>
      </c>
      <c r="P1307" s="308" t="s">
        <v>5210</v>
      </c>
      <c r="Q1307" s="308"/>
      <c r="R1307" s="308"/>
      <c r="S1307" s="308" t="s">
        <v>49</v>
      </c>
      <c r="T1307" s="311" t="s">
        <v>77</v>
      </c>
      <c r="U1307" s="308"/>
      <c r="V1307" s="312"/>
    </row>
    <row r="1308">
      <c r="A1308" s="308">
        <v>1307.0</v>
      </c>
      <c r="B1308" s="308">
        <v>4522.0</v>
      </c>
      <c r="C1308" s="308">
        <v>1325.0</v>
      </c>
      <c r="D1308" s="308">
        <f>IFERROR(__xludf.DUMMYFUNCTION("SPLIT(C1308,""-"")"),1325.0)</f>
        <v>1325</v>
      </c>
      <c r="E1308" s="311"/>
      <c r="F1308" s="309" t="s">
        <v>34</v>
      </c>
      <c r="G1308" s="308"/>
      <c r="H1308" s="308" t="s">
        <v>36056</v>
      </c>
      <c r="I1308" s="310">
        <v>41444.0</v>
      </c>
      <c r="J1308" s="308">
        <f>IFERROR(__xludf.DUMMYFUNCTION("SPLIT(I1308,""/"")"),19.0)</f>
        <v>19</v>
      </c>
      <c r="K1308" s="308">
        <f>IFERROR(__xludf.DUMMYFUNCTION("""COMPUTED_VALUE"""),6.0)</f>
        <v>6</v>
      </c>
      <c r="L1308" s="308">
        <f>IFERROR(__xludf.DUMMYFUNCTION("""COMPUTED_VALUE"""),2013.0)</f>
        <v>2013</v>
      </c>
      <c r="M1308" s="308" t="s">
        <v>5212</v>
      </c>
      <c r="N1308" s="308"/>
      <c r="O1308" s="312" t="s">
        <v>635</v>
      </c>
      <c r="P1308" s="308" t="s">
        <v>5213</v>
      </c>
      <c r="Q1308" s="308"/>
      <c r="R1308" s="308"/>
      <c r="S1308" s="308" t="s">
        <v>49</v>
      </c>
      <c r="T1308" s="311" t="s">
        <v>63</v>
      </c>
      <c r="U1308" s="308"/>
      <c r="V1308" s="312"/>
    </row>
    <row r="1309">
      <c r="A1309" s="308">
        <v>1308.0</v>
      </c>
      <c r="B1309" s="308">
        <v>4523.0</v>
      </c>
      <c r="C1309" s="308">
        <v>1326.0</v>
      </c>
      <c r="D1309" s="308">
        <f>IFERROR(__xludf.DUMMYFUNCTION("SPLIT(C1309,""-"")"),1326.0)</f>
        <v>1326</v>
      </c>
      <c r="E1309" s="311"/>
      <c r="F1309" s="317" t="s">
        <v>37</v>
      </c>
      <c r="G1309" s="308"/>
      <c r="H1309" s="308" t="s">
        <v>5214</v>
      </c>
      <c r="I1309" s="310">
        <v>41160.0</v>
      </c>
      <c r="J1309" s="308">
        <f>IFERROR(__xludf.DUMMYFUNCTION("SPLIT(I1309,""/"")"),8.0)</f>
        <v>8</v>
      </c>
      <c r="K1309" s="308">
        <f>IFERROR(__xludf.DUMMYFUNCTION("""COMPUTED_VALUE"""),9.0)</f>
        <v>9</v>
      </c>
      <c r="L1309" s="308">
        <f>IFERROR(__xludf.DUMMYFUNCTION("""COMPUTED_VALUE"""),2012.0)</f>
        <v>2012</v>
      </c>
      <c r="M1309" s="308" t="s">
        <v>5215</v>
      </c>
      <c r="N1309" s="308"/>
      <c r="O1309" s="312" t="s">
        <v>5216</v>
      </c>
      <c r="P1309" s="308" t="s">
        <v>5217</v>
      </c>
      <c r="Q1309" s="308"/>
      <c r="R1309" s="308"/>
      <c r="S1309" s="308" t="s">
        <v>81</v>
      </c>
      <c r="T1309" s="311" t="s">
        <v>35043</v>
      </c>
      <c r="U1309" s="308"/>
      <c r="V1309" s="312"/>
    </row>
    <row r="1310">
      <c r="A1310" s="308">
        <v>1309.0</v>
      </c>
      <c r="B1310" s="308">
        <v>4524.0</v>
      </c>
      <c r="C1310" s="308">
        <v>1327.0</v>
      </c>
      <c r="D1310" s="308">
        <f>IFERROR(__xludf.DUMMYFUNCTION("SPLIT(C1310,""-"")"),1327.0)</f>
        <v>1327</v>
      </c>
      <c r="E1310" s="311"/>
      <c r="F1310" s="317" t="s">
        <v>39</v>
      </c>
      <c r="G1310" s="308" t="s">
        <v>5218</v>
      </c>
      <c r="H1310" s="308" t="s">
        <v>5219</v>
      </c>
      <c r="I1310" s="310">
        <v>41464.0</v>
      </c>
      <c r="J1310" s="308">
        <f>IFERROR(__xludf.DUMMYFUNCTION("SPLIT(I1310,""/"")"),9.0)</f>
        <v>9</v>
      </c>
      <c r="K1310" s="308">
        <f>IFERROR(__xludf.DUMMYFUNCTION("""COMPUTED_VALUE"""),7.0)</f>
        <v>7</v>
      </c>
      <c r="L1310" s="308">
        <f>IFERROR(__xludf.DUMMYFUNCTION("""COMPUTED_VALUE"""),2013.0)</f>
        <v>2013</v>
      </c>
      <c r="M1310" s="308" t="s">
        <v>5220</v>
      </c>
      <c r="N1310" s="308"/>
      <c r="O1310" s="312" t="s">
        <v>5221</v>
      </c>
      <c r="P1310" s="308" t="s">
        <v>36057</v>
      </c>
      <c r="Q1310" s="308"/>
      <c r="R1310" s="308"/>
      <c r="S1310" s="308" t="s">
        <v>81</v>
      </c>
      <c r="T1310" s="308" t="s">
        <v>75</v>
      </c>
      <c r="U1310" s="312"/>
      <c r="V1310" s="312"/>
    </row>
    <row r="1311">
      <c r="A1311" s="308">
        <v>1310.0</v>
      </c>
      <c r="B1311" s="308">
        <v>4525.0</v>
      </c>
      <c r="C1311" s="308">
        <v>1328.0</v>
      </c>
      <c r="D1311" s="308">
        <f>IFERROR(__xludf.DUMMYFUNCTION("SPLIT(C1311,""-"")"),1328.0)</f>
        <v>1328</v>
      </c>
      <c r="E1311" s="311"/>
      <c r="F1311" s="309" t="s">
        <v>26</v>
      </c>
      <c r="G1311" s="308" t="s">
        <v>5223</v>
      </c>
      <c r="H1311" s="308" t="s">
        <v>5224</v>
      </c>
      <c r="I1311" s="310">
        <v>41463.0</v>
      </c>
      <c r="J1311" s="308">
        <f>IFERROR(__xludf.DUMMYFUNCTION("SPLIT(I1311,""/"")"),8.0)</f>
        <v>8</v>
      </c>
      <c r="K1311" s="308">
        <f>IFERROR(__xludf.DUMMYFUNCTION("""COMPUTED_VALUE"""),7.0)</f>
        <v>7</v>
      </c>
      <c r="L1311" s="308">
        <f>IFERROR(__xludf.DUMMYFUNCTION("""COMPUTED_VALUE"""),2013.0)</f>
        <v>2013</v>
      </c>
      <c r="M1311" s="308" t="s">
        <v>5225</v>
      </c>
      <c r="N1311" s="308"/>
      <c r="O1311" s="312" t="s">
        <v>5226</v>
      </c>
      <c r="P1311" s="308" t="s">
        <v>5227</v>
      </c>
      <c r="Q1311" s="308"/>
      <c r="R1311" s="308"/>
      <c r="S1311" s="308" t="s">
        <v>49</v>
      </c>
      <c r="T1311" s="311" t="s">
        <v>51</v>
      </c>
      <c r="U1311" s="308" t="s">
        <v>27</v>
      </c>
      <c r="V1311" s="312"/>
    </row>
    <row r="1312">
      <c r="A1312" s="308">
        <v>1311.0</v>
      </c>
      <c r="B1312" s="308">
        <v>4526.0</v>
      </c>
      <c r="C1312" s="308">
        <v>1329.0</v>
      </c>
      <c r="D1312" s="308">
        <f>IFERROR(__xludf.DUMMYFUNCTION("SPLIT(C1312,""-"")"),1329.0)</f>
        <v>1329</v>
      </c>
      <c r="E1312" s="311"/>
      <c r="F1312" s="317" t="s">
        <v>37</v>
      </c>
      <c r="G1312" s="308" t="s">
        <v>5228</v>
      </c>
      <c r="H1312" s="308" t="s">
        <v>5229</v>
      </c>
      <c r="I1312" s="310">
        <v>40930.0</v>
      </c>
      <c r="J1312" s="308">
        <f>IFERROR(__xludf.DUMMYFUNCTION("SPLIT(I1312,""/"")"),22.0)</f>
        <v>22</v>
      </c>
      <c r="K1312" s="308">
        <f>IFERROR(__xludf.DUMMYFUNCTION("""COMPUTED_VALUE"""),1.0)</f>
        <v>1</v>
      </c>
      <c r="L1312" s="308">
        <f>IFERROR(__xludf.DUMMYFUNCTION("""COMPUTED_VALUE"""),2012.0)</f>
        <v>2012</v>
      </c>
      <c r="M1312" s="308" t="s">
        <v>5230</v>
      </c>
      <c r="N1312" s="308"/>
      <c r="O1312" s="312" t="s">
        <v>5231</v>
      </c>
      <c r="P1312" s="308" t="s">
        <v>5232</v>
      </c>
      <c r="Q1312" s="308"/>
      <c r="R1312" s="308"/>
      <c r="S1312" s="315" t="s">
        <v>100</v>
      </c>
      <c r="T1312" s="311" t="s">
        <v>34208</v>
      </c>
      <c r="U1312" s="308" t="s">
        <v>1910</v>
      </c>
      <c r="V1312" s="312"/>
    </row>
    <row r="1313">
      <c r="A1313" s="308">
        <v>1312.0</v>
      </c>
      <c r="B1313" s="308">
        <v>4527.0</v>
      </c>
      <c r="C1313" s="308">
        <v>1330.0</v>
      </c>
      <c r="D1313" s="308">
        <f>IFERROR(__xludf.DUMMYFUNCTION("SPLIT(C1313,""-"")"),1330.0)</f>
        <v>1330</v>
      </c>
      <c r="E1313" s="311"/>
      <c r="F1313" s="317" t="s">
        <v>37</v>
      </c>
      <c r="G1313" s="308"/>
      <c r="H1313" s="308" t="s">
        <v>5233</v>
      </c>
      <c r="I1313" s="310">
        <v>41519.0</v>
      </c>
      <c r="J1313" s="308">
        <f>IFERROR(__xludf.DUMMYFUNCTION("SPLIT(I1313,""/"")"),2.0)</f>
        <v>2</v>
      </c>
      <c r="K1313" s="308">
        <f>IFERROR(__xludf.DUMMYFUNCTION("""COMPUTED_VALUE"""),9.0)</f>
        <v>9</v>
      </c>
      <c r="L1313" s="308">
        <f>IFERROR(__xludf.DUMMYFUNCTION("""COMPUTED_VALUE"""),2013.0)</f>
        <v>2013</v>
      </c>
      <c r="M1313" s="308" t="s">
        <v>5234</v>
      </c>
      <c r="N1313" s="308"/>
      <c r="O1313" s="312" t="s">
        <v>5235</v>
      </c>
      <c r="P1313" s="308" t="s">
        <v>5236</v>
      </c>
      <c r="Q1313" s="308"/>
      <c r="R1313" s="308"/>
      <c r="S1313" s="308" t="s">
        <v>81</v>
      </c>
      <c r="T1313" s="311" t="s">
        <v>75</v>
      </c>
      <c r="U1313" s="308"/>
      <c r="V1313" s="312"/>
    </row>
    <row r="1314">
      <c r="A1314" s="308">
        <v>1313.0</v>
      </c>
      <c r="B1314" s="308">
        <v>4528.0</v>
      </c>
      <c r="C1314" s="308">
        <v>1331.0</v>
      </c>
      <c r="D1314" s="308">
        <f>IFERROR(__xludf.DUMMYFUNCTION("SPLIT(C1314,""-"")"),1331.0)</f>
        <v>1331</v>
      </c>
      <c r="E1314" s="311"/>
      <c r="F1314" s="317" t="s">
        <v>37</v>
      </c>
      <c r="G1314" s="308"/>
      <c r="H1314" s="308" t="s">
        <v>36058</v>
      </c>
      <c r="I1314" s="310">
        <v>41486.0</v>
      </c>
      <c r="J1314" s="308">
        <f>IFERROR(__xludf.DUMMYFUNCTION("SPLIT(I1314,""/"")"),31.0)</f>
        <v>31</v>
      </c>
      <c r="K1314" s="308">
        <f>IFERROR(__xludf.DUMMYFUNCTION("""COMPUTED_VALUE"""),7.0)</f>
        <v>7</v>
      </c>
      <c r="L1314" s="308">
        <f>IFERROR(__xludf.DUMMYFUNCTION("""COMPUTED_VALUE"""),2013.0)</f>
        <v>2013</v>
      </c>
      <c r="M1314" s="308" t="s">
        <v>5238</v>
      </c>
      <c r="N1314" s="308"/>
      <c r="O1314" s="312" t="s">
        <v>36059</v>
      </c>
      <c r="P1314" s="308" t="s">
        <v>5240</v>
      </c>
      <c r="Q1314" s="308"/>
      <c r="R1314" s="308"/>
      <c r="S1314" s="308" t="s">
        <v>81</v>
      </c>
      <c r="T1314" s="308" t="s">
        <v>75</v>
      </c>
      <c r="U1314" s="308"/>
      <c r="V1314" s="312"/>
    </row>
    <row r="1315">
      <c r="A1315" s="308">
        <v>1314.0</v>
      </c>
      <c r="B1315" s="308">
        <v>4529.0</v>
      </c>
      <c r="C1315" s="308">
        <v>1332.0</v>
      </c>
      <c r="D1315" s="308">
        <f>IFERROR(__xludf.DUMMYFUNCTION("SPLIT(C1315,""-"")"),1332.0)</f>
        <v>1332</v>
      </c>
      <c r="E1315" s="311"/>
      <c r="F1315" s="309" t="s">
        <v>34</v>
      </c>
      <c r="G1315" s="308"/>
      <c r="H1315" s="308" t="s">
        <v>5241</v>
      </c>
      <c r="I1315" s="310">
        <v>41091.0</v>
      </c>
      <c r="J1315" s="308">
        <f>IFERROR(__xludf.DUMMYFUNCTION("SPLIT(I1315,""/"")"),1.0)</f>
        <v>1</v>
      </c>
      <c r="K1315" s="308">
        <f>IFERROR(__xludf.DUMMYFUNCTION("""COMPUTED_VALUE"""),7.0)</f>
        <v>7</v>
      </c>
      <c r="L1315" s="308">
        <f>IFERROR(__xludf.DUMMYFUNCTION("""COMPUTED_VALUE"""),2012.0)</f>
        <v>2012</v>
      </c>
      <c r="M1315" s="308" t="s">
        <v>5242</v>
      </c>
      <c r="N1315" s="308"/>
      <c r="O1315" s="312" t="s">
        <v>5243</v>
      </c>
      <c r="P1315" s="308" t="s">
        <v>5244</v>
      </c>
      <c r="Q1315" s="308"/>
      <c r="R1315" s="308"/>
      <c r="S1315" s="308" t="s">
        <v>81</v>
      </c>
      <c r="T1315" s="308" t="s">
        <v>34264</v>
      </c>
      <c r="U1315" s="308"/>
      <c r="V1315" s="312"/>
    </row>
    <row r="1316">
      <c r="A1316" s="308">
        <v>1315.0</v>
      </c>
      <c r="B1316" s="308">
        <v>4530.0</v>
      </c>
      <c r="C1316" s="308">
        <v>1333.0</v>
      </c>
      <c r="D1316" s="308">
        <f>IFERROR(__xludf.DUMMYFUNCTION("SPLIT(C1316,""-"")"),1333.0)</f>
        <v>1333</v>
      </c>
      <c r="E1316" s="311"/>
      <c r="F1316" s="309" t="s">
        <v>34</v>
      </c>
      <c r="G1316" s="308"/>
      <c r="H1316" s="308" t="s">
        <v>5245</v>
      </c>
      <c r="I1316" s="310">
        <v>40925.0</v>
      </c>
      <c r="J1316" s="308">
        <f>IFERROR(__xludf.DUMMYFUNCTION("SPLIT(I1316,""/"")"),17.0)</f>
        <v>17</v>
      </c>
      <c r="K1316" s="308">
        <f>IFERROR(__xludf.DUMMYFUNCTION("""COMPUTED_VALUE"""),1.0)</f>
        <v>1</v>
      </c>
      <c r="L1316" s="308">
        <f>IFERROR(__xludf.DUMMYFUNCTION("""COMPUTED_VALUE"""),2012.0)</f>
        <v>2012</v>
      </c>
      <c r="M1316" s="308" t="s">
        <v>5246</v>
      </c>
      <c r="N1316" s="308"/>
      <c r="O1316" s="312" t="s">
        <v>635</v>
      </c>
      <c r="P1316" s="308" t="s">
        <v>5247</v>
      </c>
      <c r="Q1316" s="308"/>
      <c r="R1316" s="308"/>
      <c r="S1316" s="308" t="s">
        <v>81</v>
      </c>
      <c r="T1316" s="308" t="s">
        <v>34264</v>
      </c>
      <c r="U1316" s="308"/>
      <c r="V1316" s="312"/>
    </row>
    <row r="1317">
      <c r="A1317" s="308">
        <v>1316.0</v>
      </c>
      <c r="B1317" s="308">
        <v>4531.0</v>
      </c>
      <c r="C1317" s="308">
        <v>1334.0</v>
      </c>
      <c r="D1317" s="308">
        <f>IFERROR(__xludf.DUMMYFUNCTION("SPLIT(C1317,""-"")"),1334.0)</f>
        <v>1334</v>
      </c>
      <c r="E1317" s="311"/>
      <c r="F1317" s="309" t="s">
        <v>34</v>
      </c>
      <c r="G1317" s="308"/>
      <c r="H1317" s="308" t="s">
        <v>5248</v>
      </c>
      <c r="I1317" s="310">
        <v>40452.0</v>
      </c>
      <c r="J1317" s="308">
        <f>IFERROR(__xludf.DUMMYFUNCTION("SPLIT(I1317,""/"")"),1.0)</f>
        <v>1</v>
      </c>
      <c r="K1317" s="308">
        <f>IFERROR(__xludf.DUMMYFUNCTION("""COMPUTED_VALUE"""),10.0)</f>
        <v>10</v>
      </c>
      <c r="L1317" s="308">
        <f>IFERROR(__xludf.DUMMYFUNCTION("""COMPUTED_VALUE"""),2010.0)</f>
        <v>2010</v>
      </c>
      <c r="M1317" s="308" t="s">
        <v>5246</v>
      </c>
      <c r="N1317" s="308"/>
      <c r="O1317" s="312" t="s">
        <v>5249</v>
      </c>
      <c r="P1317" s="308" t="s">
        <v>5247</v>
      </c>
      <c r="Q1317" s="308"/>
      <c r="R1317" s="308"/>
      <c r="S1317" s="308" t="s">
        <v>81</v>
      </c>
      <c r="T1317" s="308" t="s">
        <v>34264</v>
      </c>
      <c r="U1317" s="308"/>
      <c r="V1317" s="312"/>
    </row>
    <row r="1318">
      <c r="A1318" s="308">
        <v>1317.0</v>
      </c>
      <c r="B1318" s="308">
        <v>4532.0</v>
      </c>
      <c r="C1318" s="308">
        <v>1335.0</v>
      </c>
      <c r="D1318" s="308">
        <f>IFERROR(__xludf.DUMMYFUNCTION("SPLIT(C1318,""-"")"),1335.0)</f>
        <v>1335</v>
      </c>
      <c r="E1318" s="311"/>
      <c r="F1318" s="309" t="s">
        <v>34</v>
      </c>
      <c r="G1318" s="308" t="s">
        <v>5250</v>
      </c>
      <c r="H1318" s="308" t="s">
        <v>5251</v>
      </c>
      <c r="I1318" s="310">
        <v>41086.0</v>
      </c>
      <c r="J1318" s="308">
        <f>IFERROR(__xludf.DUMMYFUNCTION("SPLIT(I1318,""/"")"),26.0)</f>
        <v>26</v>
      </c>
      <c r="K1318" s="308">
        <f>IFERROR(__xludf.DUMMYFUNCTION("""COMPUTED_VALUE"""),6.0)</f>
        <v>6</v>
      </c>
      <c r="L1318" s="308">
        <f>IFERROR(__xludf.DUMMYFUNCTION("""COMPUTED_VALUE"""),2012.0)</f>
        <v>2012</v>
      </c>
      <c r="M1318" s="308" t="s">
        <v>5252</v>
      </c>
      <c r="N1318" s="308"/>
      <c r="O1318" s="312" t="s">
        <v>5253</v>
      </c>
      <c r="P1318" s="308" t="s">
        <v>5254</v>
      </c>
      <c r="Q1318" s="308"/>
      <c r="R1318" s="308"/>
      <c r="S1318" s="308" t="s">
        <v>81</v>
      </c>
      <c r="T1318" s="308" t="s">
        <v>98</v>
      </c>
      <c r="U1318" s="308"/>
      <c r="V1318" s="312"/>
    </row>
    <row r="1319">
      <c r="A1319" s="308">
        <v>1318.0</v>
      </c>
      <c r="B1319" s="308">
        <v>4533.0</v>
      </c>
      <c r="C1319" s="308">
        <v>1336.0</v>
      </c>
      <c r="D1319" s="308">
        <f>IFERROR(__xludf.DUMMYFUNCTION("SPLIT(C1319,""-"")"),1336.0)</f>
        <v>1336</v>
      </c>
      <c r="E1319" s="311"/>
      <c r="F1319" s="309" t="s">
        <v>34</v>
      </c>
      <c r="G1319" s="308" t="s">
        <v>5255</v>
      </c>
      <c r="H1319" s="308" t="s">
        <v>5256</v>
      </c>
      <c r="I1319" s="310">
        <v>41091.0</v>
      </c>
      <c r="J1319" s="308">
        <f>IFERROR(__xludf.DUMMYFUNCTION("SPLIT(I1319,""/"")"),1.0)</f>
        <v>1</v>
      </c>
      <c r="K1319" s="308">
        <f>IFERROR(__xludf.DUMMYFUNCTION("""COMPUTED_VALUE"""),7.0)</f>
        <v>7</v>
      </c>
      <c r="L1319" s="308">
        <f>IFERROR(__xludf.DUMMYFUNCTION("""COMPUTED_VALUE"""),2012.0)</f>
        <v>2012</v>
      </c>
      <c r="M1319" s="308" t="s">
        <v>5257</v>
      </c>
      <c r="N1319" s="308"/>
      <c r="O1319" s="312" t="s">
        <v>635</v>
      </c>
      <c r="P1319" s="308" t="s">
        <v>5258</v>
      </c>
      <c r="Q1319" s="308"/>
      <c r="R1319" s="308"/>
      <c r="S1319" s="308" t="s">
        <v>81</v>
      </c>
      <c r="T1319" s="311" t="s">
        <v>85</v>
      </c>
      <c r="U1319" s="308"/>
      <c r="V1319" s="312"/>
    </row>
    <row r="1320">
      <c r="A1320" s="308">
        <v>1319.0</v>
      </c>
      <c r="B1320" s="308">
        <v>4534.0</v>
      </c>
      <c r="C1320" s="308">
        <v>1337.0</v>
      </c>
      <c r="D1320" s="308">
        <f>IFERROR(__xludf.DUMMYFUNCTION("SPLIT(C1320,""-"")"),1337.0)</f>
        <v>1337</v>
      </c>
      <c r="E1320" s="311"/>
      <c r="F1320" s="309" t="s">
        <v>34</v>
      </c>
      <c r="G1320" s="308" t="s">
        <v>5259</v>
      </c>
      <c r="H1320" s="308" t="s">
        <v>5260</v>
      </c>
      <c r="I1320" s="314">
        <v>41239.0</v>
      </c>
      <c r="J1320" s="308">
        <f>IFERROR(__xludf.DUMMYFUNCTION("SPLIT(I1320,""/"")"),26.0)</f>
        <v>26</v>
      </c>
      <c r="K1320" s="308">
        <f>IFERROR(__xludf.DUMMYFUNCTION("""COMPUTED_VALUE"""),11.0)</f>
        <v>11</v>
      </c>
      <c r="L1320" s="308">
        <f>IFERROR(__xludf.DUMMYFUNCTION("""COMPUTED_VALUE"""),2012.0)</f>
        <v>2012</v>
      </c>
      <c r="M1320" s="308" t="s">
        <v>5261</v>
      </c>
      <c r="N1320" s="308"/>
      <c r="O1320" s="312" t="s">
        <v>5262</v>
      </c>
      <c r="P1320" s="308" t="s">
        <v>36060</v>
      </c>
      <c r="Q1320" s="308"/>
      <c r="R1320" s="308"/>
      <c r="S1320" s="308" t="s">
        <v>81</v>
      </c>
      <c r="T1320" s="308" t="s">
        <v>75</v>
      </c>
      <c r="U1320" s="312"/>
      <c r="V1320" s="312"/>
    </row>
    <row r="1321">
      <c r="A1321" s="308">
        <v>1320.0</v>
      </c>
      <c r="B1321" s="308">
        <v>4535.0</v>
      </c>
      <c r="C1321" s="308">
        <v>1338.0</v>
      </c>
      <c r="D1321" s="308">
        <f>IFERROR(__xludf.DUMMYFUNCTION("SPLIT(C1321,""-"")"),1338.0)</f>
        <v>1338</v>
      </c>
      <c r="E1321" s="311"/>
      <c r="F1321" s="317" t="s">
        <v>37</v>
      </c>
      <c r="G1321" s="308"/>
      <c r="H1321" s="308" t="s">
        <v>5264</v>
      </c>
      <c r="I1321" s="310">
        <v>41531.0</v>
      </c>
      <c r="J1321" s="308">
        <f>IFERROR(__xludf.DUMMYFUNCTION("SPLIT(I1321,""/"")"),14.0)</f>
        <v>14</v>
      </c>
      <c r="K1321" s="308">
        <f>IFERROR(__xludf.DUMMYFUNCTION("""COMPUTED_VALUE"""),9.0)</f>
        <v>9</v>
      </c>
      <c r="L1321" s="308">
        <f>IFERROR(__xludf.DUMMYFUNCTION("""COMPUTED_VALUE"""),2013.0)</f>
        <v>2013</v>
      </c>
      <c r="M1321" s="308" t="s">
        <v>36061</v>
      </c>
      <c r="N1321" s="308"/>
      <c r="O1321" s="312" t="s">
        <v>5266</v>
      </c>
      <c r="P1321" s="308" t="s">
        <v>5267</v>
      </c>
      <c r="Q1321" s="308"/>
      <c r="R1321" s="308"/>
      <c r="S1321" s="308" t="s">
        <v>81</v>
      </c>
      <c r="T1321" s="311" t="s">
        <v>75</v>
      </c>
      <c r="U1321" s="308"/>
      <c r="V1321" s="312"/>
    </row>
    <row r="1322">
      <c r="A1322" s="308">
        <v>1321.0</v>
      </c>
      <c r="B1322" s="308">
        <v>4536.0</v>
      </c>
      <c r="C1322" s="308">
        <v>1339.0</v>
      </c>
      <c r="D1322" s="308">
        <f>IFERROR(__xludf.DUMMYFUNCTION("SPLIT(C1322,""-"")"),1339.0)</f>
        <v>1339</v>
      </c>
      <c r="E1322" s="311"/>
      <c r="F1322" s="309" t="s">
        <v>26</v>
      </c>
      <c r="G1322" s="308"/>
      <c r="H1322" s="308" t="s">
        <v>5268</v>
      </c>
      <c r="I1322" s="314">
        <v>41225.0</v>
      </c>
      <c r="J1322" s="308">
        <f>IFERROR(__xludf.DUMMYFUNCTION("SPLIT(I1322,""/"")"),12.0)</f>
        <v>12</v>
      </c>
      <c r="K1322" s="308">
        <f>IFERROR(__xludf.DUMMYFUNCTION("""COMPUTED_VALUE"""),11.0)</f>
        <v>11</v>
      </c>
      <c r="L1322" s="308">
        <f>IFERROR(__xludf.DUMMYFUNCTION("""COMPUTED_VALUE"""),2012.0)</f>
        <v>2012</v>
      </c>
      <c r="M1322" s="308" t="s">
        <v>5269</v>
      </c>
      <c r="N1322" s="308"/>
      <c r="O1322" s="312" t="s">
        <v>36062</v>
      </c>
      <c r="P1322" s="308" t="s">
        <v>5271</v>
      </c>
      <c r="Q1322" s="308"/>
      <c r="R1322" s="308"/>
      <c r="S1322" s="308" t="s">
        <v>49</v>
      </c>
      <c r="T1322" s="308" t="s">
        <v>70</v>
      </c>
      <c r="U1322" s="308"/>
      <c r="V1322" s="312"/>
    </row>
    <row r="1323">
      <c r="A1323" s="308">
        <v>1322.0</v>
      </c>
      <c r="B1323" s="308">
        <v>4537.0</v>
      </c>
      <c r="C1323" s="308">
        <v>1340.0</v>
      </c>
      <c r="D1323" s="308">
        <f>IFERROR(__xludf.DUMMYFUNCTION("SPLIT(C1323,""-"")"),1340.0)</f>
        <v>1340</v>
      </c>
      <c r="E1323" s="311"/>
      <c r="F1323" s="309" t="s">
        <v>34</v>
      </c>
      <c r="G1323" s="308" t="s">
        <v>5272</v>
      </c>
      <c r="H1323" s="308" t="s">
        <v>5273</v>
      </c>
      <c r="I1323" s="310">
        <v>40011.0</v>
      </c>
      <c r="J1323" s="308">
        <f>IFERROR(__xludf.DUMMYFUNCTION("SPLIT(I1323,""/"")"),17.0)</f>
        <v>17</v>
      </c>
      <c r="K1323" s="308">
        <f>IFERROR(__xludf.DUMMYFUNCTION("""COMPUTED_VALUE"""),7.0)</f>
        <v>7</v>
      </c>
      <c r="L1323" s="308">
        <f>IFERROR(__xludf.DUMMYFUNCTION("""COMPUTED_VALUE"""),2009.0)</f>
        <v>2009</v>
      </c>
      <c r="M1323" s="308" t="s">
        <v>5274</v>
      </c>
      <c r="N1323" s="308"/>
      <c r="O1323" s="312" t="s">
        <v>5275</v>
      </c>
      <c r="P1323" s="308" t="s">
        <v>1971</v>
      </c>
      <c r="Q1323" s="308"/>
      <c r="R1323" s="308"/>
      <c r="S1323" s="315" t="s">
        <v>100</v>
      </c>
      <c r="T1323" s="311" t="s">
        <v>34208</v>
      </c>
      <c r="U1323" s="308" t="s">
        <v>530</v>
      </c>
      <c r="V1323" s="312"/>
    </row>
    <row r="1324">
      <c r="A1324" s="308">
        <v>1323.0</v>
      </c>
      <c r="B1324" s="308">
        <v>4538.0</v>
      </c>
      <c r="C1324" s="308">
        <v>1341.0</v>
      </c>
      <c r="D1324" s="308">
        <f>IFERROR(__xludf.DUMMYFUNCTION("SPLIT(C1324,""-"")"),1341.0)</f>
        <v>1341</v>
      </c>
      <c r="E1324" s="311"/>
      <c r="F1324" s="309" t="s">
        <v>31</v>
      </c>
      <c r="G1324" s="308"/>
      <c r="H1324" s="308" t="s">
        <v>5276</v>
      </c>
      <c r="I1324" s="310">
        <v>41523.0</v>
      </c>
      <c r="J1324" s="308">
        <f>IFERROR(__xludf.DUMMYFUNCTION("SPLIT(I1324,""/"")"),6.0)</f>
        <v>6</v>
      </c>
      <c r="K1324" s="308">
        <f>IFERROR(__xludf.DUMMYFUNCTION("""COMPUTED_VALUE"""),9.0)</f>
        <v>9</v>
      </c>
      <c r="L1324" s="308">
        <f>IFERROR(__xludf.DUMMYFUNCTION("""COMPUTED_VALUE"""),2013.0)</f>
        <v>2013</v>
      </c>
      <c r="M1324" s="308" t="s">
        <v>5277</v>
      </c>
      <c r="N1324" s="308"/>
      <c r="O1324" s="312" t="s">
        <v>5278</v>
      </c>
      <c r="P1324" s="308" t="s">
        <v>2675</v>
      </c>
      <c r="Q1324" s="308"/>
      <c r="R1324" s="308" t="s">
        <v>1496</v>
      </c>
      <c r="S1324" s="308" t="s">
        <v>49</v>
      </c>
      <c r="T1324" s="308" t="s">
        <v>51</v>
      </c>
      <c r="U1324" s="308"/>
      <c r="V1324" s="312"/>
    </row>
    <row r="1325">
      <c r="A1325" s="308">
        <v>1324.0</v>
      </c>
      <c r="B1325" s="308">
        <v>4539.0</v>
      </c>
      <c r="C1325" s="308">
        <v>1342.0</v>
      </c>
      <c r="D1325" s="308">
        <f>IFERROR(__xludf.DUMMYFUNCTION("SPLIT(C1325,""-"")"),1342.0)</f>
        <v>1342</v>
      </c>
      <c r="E1325" s="311"/>
      <c r="F1325" s="309" t="s">
        <v>34</v>
      </c>
      <c r="G1325" s="308" t="s">
        <v>5279</v>
      </c>
      <c r="H1325" s="308" t="s">
        <v>5280</v>
      </c>
      <c r="I1325" s="310">
        <v>41452.0</v>
      </c>
      <c r="J1325" s="308">
        <f>IFERROR(__xludf.DUMMYFUNCTION("SPLIT(I1325,""/"")"),27.0)</f>
        <v>27</v>
      </c>
      <c r="K1325" s="308">
        <f>IFERROR(__xludf.DUMMYFUNCTION("""COMPUTED_VALUE"""),6.0)</f>
        <v>6</v>
      </c>
      <c r="L1325" s="308">
        <f>IFERROR(__xludf.DUMMYFUNCTION("""COMPUTED_VALUE"""),2013.0)</f>
        <v>2013</v>
      </c>
      <c r="M1325" s="308" t="s">
        <v>5281</v>
      </c>
      <c r="N1325" s="308"/>
      <c r="O1325" s="312" t="s">
        <v>635</v>
      </c>
      <c r="P1325" s="308" t="s">
        <v>5282</v>
      </c>
      <c r="Q1325" s="308"/>
      <c r="R1325" s="308"/>
      <c r="S1325" s="308" t="s">
        <v>81</v>
      </c>
      <c r="T1325" s="311" t="s">
        <v>90</v>
      </c>
      <c r="U1325" s="308"/>
      <c r="V1325" s="312"/>
    </row>
    <row r="1326">
      <c r="A1326" s="308">
        <v>1325.0</v>
      </c>
      <c r="B1326" s="308">
        <v>4540.0</v>
      </c>
      <c r="C1326" s="308">
        <v>1343.0</v>
      </c>
      <c r="D1326" s="308">
        <f>IFERROR(__xludf.DUMMYFUNCTION("SPLIT(C1326,""-"")"),1343.0)</f>
        <v>1343</v>
      </c>
      <c r="E1326" s="311"/>
      <c r="F1326" s="309" t="s">
        <v>34</v>
      </c>
      <c r="G1326" s="308" t="s">
        <v>5283</v>
      </c>
      <c r="H1326" s="308" t="s">
        <v>5284</v>
      </c>
      <c r="I1326" s="310">
        <v>39823.0</v>
      </c>
      <c r="J1326" s="308">
        <f>IFERROR(__xludf.DUMMYFUNCTION("SPLIT(I1326,""/"")"),10.0)</f>
        <v>10</v>
      </c>
      <c r="K1326" s="308">
        <f>IFERROR(__xludf.DUMMYFUNCTION("""COMPUTED_VALUE"""),1.0)</f>
        <v>1</v>
      </c>
      <c r="L1326" s="308">
        <f>IFERROR(__xludf.DUMMYFUNCTION("""COMPUTED_VALUE"""),2009.0)</f>
        <v>2009</v>
      </c>
      <c r="M1326" s="308" t="s">
        <v>5285</v>
      </c>
      <c r="N1326" s="308"/>
      <c r="O1326" s="312" t="s">
        <v>5286</v>
      </c>
      <c r="P1326" s="308" t="s">
        <v>5287</v>
      </c>
      <c r="Q1326" s="308"/>
      <c r="R1326" s="308"/>
      <c r="S1326" s="308" t="s">
        <v>81</v>
      </c>
      <c r="T1326" s="308" t="s">
        <v>34264</v>
      </c>
      <c r="U1326" s="308"/>
      <c r="V1326" s="312"/>
    </row>
    <row r="1327">
      <c r="A1327" s="308">
        <v>1326.0</v>
      </c>
      <c r="B1327" s="308">
        <v>4541.0</v>
      </c>
      <c r="C1327" s="308">
        <v>1344.0</v>
      </c>
      <c r="D1327" s="308">
        <f>IFERROR(__xludf.DUMMYFUNCTION("SPLIT(C1327,""-"")"),1344.0)</f>
        <v>1344</v>
      </c>
      <c r="E1327" s="311"/>
      <c r="F1327" s="309" t="s">
        <v>34</v>
      </c>
      <c r="G1327" s="308" t="s">
        <v>1982</v>
      </c>
      <c r="H1327" s="308" t="s">
        <v>5288</v>
      </c>
      <c r="I1327" s="310">
        <v>40521.0</v>
      </c>
      <c r="J1327" s="308">
        <f>IFERROR(__xludf.DUMMYFUNCTION("SPLIT(I1327,""/"")"),9.0)</f>
        <v>9</v>
      </c>
      <c r="K1327" s="308">
        <f>IFERROR(__xludf.DUMMYFUNCTION("""COMPUTED_VALUE"""),12.0)</f>
        <v>12</v>
      </c>
      <c r="L1327" s="308">
        <f>IFERROR(__xludf.DUMMYFUNCTION("""COMPUTED_VALUE"""),2010.0)</f>
        <v>2010</v>
      </c>
      <c r="M1327" s="308" t="s">
        <v>5289</v>
      </c>
      <c r="N1327" s="308"/>
      <c r="O1327" s="312" t="s">
        <v>5290</v>
      </c>
      <c r="P1327" s="308" t="s">
        <v>1605</v>
      </c>
      <c r="Q1327" s="308"/>
      <c r="R1327" s="308"/>
      <c r="S1327" s="315" t="s">
        <v>100</v>
      </c>
      <c r="T1327" s="311" t="s">
        <v>34208</v>
      </c>
      <c r="U1327" s="308" t="s">
        <v>125</v>
      </c>
      <c r="V1327" s="312"/>
    </row>
    <row r="1328">
      <c r="A1328" s="308">
        <v>1327.0</v>
      </c>
      <c r="B1328" s="308">
        <v>4542.0</v>
      </c>
      <c r="C1328" s="308">
        <v>1345.0</v>
      </c>
      <c r="D1328" s="308">
        <f>IFERROR(__xludf.DUMMYFUNCTION("SPLIT(C1328,""-"")"),1345.0)</f>
        <v>1345</v>
      </c>
      <c r="E1328" s="311"/>
      <c r="F1328" s="309" t="s">
        <v>34</v>
      </c>
      <c r="G1328" s="308" t="s">
        <v>5291</v>
      </c>
      <c r="H1328" s="308" t="s">
        <v>5292</v>
      </c>
      <c r="I1328" s="310">
        <v>41353.0</v>
      </c>
      <c r="J1328" s="308">
        <f>IFERROR(__xludf.DUMMYFUNCTION("SPLIT(I1328,""/"")"),20.0)</f>
        <v>20</v>
      </c>
      <c r="K1328" s="308">
        <f>IFERROR(__xludf.DUMMYFUNCTION("""COMPUTED_VALUE"""),3.0)</f>
        <v>3</v>
      </c>
      <c r="L1328" s="308">
        <f>IFERROR(__xludf.DUMMYFUNCTION("""COMPUTED_VALUE"""),2013.0)</f>
        <v>2013</v>
      </c>
      <c r="M1328" s="308" t="s">
        <v>5293</v>
      </c>
      <c r="N1328" s="308"/>
      <c r="O1328" s="312" t="s">
        <v>5294</v>
      </c>
      <c r="P1328" s="308" t="s">
        <v>5295</v>
      </c>
      <c r="Q1328" s="308"/>
      <c r="R1328" s="308"/>
      <c r="S1328" s="308" t="s">
        <v>81</v>
      </c>
      <c r="T1328" s="308" t="s">
        <v>34264</v>
      </c>
      <c r="U1328" s="308"/>
      <c r="V1328" s="312"/>
    </row>
    <row r="1329">
      <c r="A1329" s="308">
        <v>1328.0</v>
      </c>
      <c r="B1329" s="308">
        <v>4543.0</v>
      </c>
      <c r="C1329" s="308">
        <v>1346.0</v>
      </c>
      <c r="D1329" s="308">
        <f>IFERROR(__xludf.DUMMYFUNCTION("SPLIT(C1329,""-"")"),1346.0)</f>
        <v>1346</v>
      </c>
      <c r="E1329" s="311"/>
      <c r="F1329" s="317" t="s">
        <v>37</v>
      </c>
      <c r="G1329" s="308"/>
      <c r="H1329" s="308" t="s">
        <v>5296</v>
      </c>
      <c r="I1329" s="310">
        <v>41278.0</v>
      </c>
      <c r="J1329" s="308">
        <f>IFERROR(__xludf.DUMMYFUNCTION("SPLIT(I1329,""/"")"),4.0)</f>
        <v>4</v>
      </c>
      <c r="K1329" s="308">
        <f>IFERROR(__xludf.DUMMYFUNCTION("""COMPUTED_VALUE"""),1.0)</f>
        <v>1</v>
      </c>
      <c r="L1329" s="308">
        <f>IFERROR(__xludf.DUMMYFUNCTION("""COMPUTED_VALUE"""),2013.0)</f>
        <v>2013</v>
      </c>
      <c r="M1329" s="308" t="s">
        <v>5297</v>
      </c>
      <c r="N1329" s="308"/>
      <c r="O1329" s="312" t="s">
        <v>5298</v>
      </c>
      <c r="P1329" s="308" t="s">
        <v>5299</v>
      </c>
      <c r="Q1329" s="308"/>
      <c r="R1329" s="308"/>
      <c r="S1329" s="308" t="s">
        <v>81</v>
      </c>
      <c r="T1329" s="308" t="s">
        <v>75</v>
      </c>
      <c r="U1329" s="308"/>
      <c r="V1329" s="312"/>
    </row>
    <row r="1330">
      <c r="A1330" s="308">
        <v>1329.0</v>
      </c>
      <c r="B1330" s="308">
        <v>4544.0</v>
      </c>
      <c r="C1330" s="308">
        <v>1347.0</v>
      </c>
      <c r="D1330" s="308">
        <f>IFERROR(__xludf.DUMMYFUNCTION("SPLIT(C1330,""-"")"),1347.0)</f>
        <v>1347</v>
      </c>
      <c r="E1330" s="311"/>
      <c r="F1330" s="317" t="s">
        <v>37</v>
      </c>
      <c r="G1330" s="308"/>
      <c r="H1330" s="308" t="s">
        <v>5300</v>
      </c>
      <c r="I1330" s="310">
        <v>41418.0</v>
      </c>
      <c r="J1330" s="308">
        <f>IFERROR(__xludf.DUMMYFUNCTION("SPLIT(I1330,""/"")"),24.0)</f>
        <v>24</v>
      </c>
      <c r="K1330" s="308">
        <f>IFERROR(__xludf.DUMMYFUNCTION("""COMPUTED_VALUE"""),5.0)</f>
        <v>5</v>
      </c>
      <c r="L1330" s="308">
        <f>IFERROR(__xludf.DUMMYFUNCTION("""COMPUTED_VALUE"""),2013.0)</f>
        <v>2013</v>
      </c>
      <c r="M1330" s="308" t="s">
        <v>5301</v>
      </c>
      <c r="N1330" s="308"/>
      <c r="O1330" s="312" t="s">
        <v>5302</v>
      </c>
      <c r="P1330" s="308" t="s">
        <v>5303</v>
      </c>
      <c r="Q1330" s="308"/>
      <c r="R1330" s="308"/>
      <c r="S1330" s="308" t="s">
        <v>81</v>
      </c>
      <c r="T1330" s="308" t="s">
        <v>75</v>
      </c>
      <c r="U1330" s="308"/>
      <c r="V1330" s="312"/>
    </row>
    <row r="1331">
      <c r="A1331" s="308">
        <v>1330.0</v>
      </c>
      <c r="B1331" s="308">
        <v>4545.0</v>
      </c>
      <c r="C1331" s="308">
        <v>1348.0</v>
      </c>
      <c r="D1331" s="308">
        <f>IFERROR(__xludf.DUMMYFUNCTION("SPLIT(C1331,""-"")"),1348.0)</f>
        <v>1348</v>
      </c>
      <c r="E1331" s="311"/>
      <c r="F1331" s="309" t="s">
        <v>34</v>
      </c>
      <c r="G1331" s="308"/>
      <c r="H1331" s="308" t="s">
        <v>5304</v>
      </c>
      <c r="I1331" s="310">
        <v>40332.0</v>
      </c>
      <c r="J1331" s="308">
        <f>IFERROR(__xludf.DUMMYFUNCTION("SPLIT(I1331,""/"")"),3.0)</f>
        <v>3</v>
      </c>
      <c r="K1331" s="308">
        <f>IFERROR(__xludf.DUMMYFUNCTION("""COMPUTED_VALUE"""),6.0)</f>
        <v>6</v>
      </c>
      <c r="L1331" s="308">
        <f>IFERROR(__xludf.DUMMYFUNCTION("""COMPUTED_VALUE"""),2010.0)</f>
        <v>2010</v>
      </c>
      <c r="M1331" s="308" t="s">
        <v>5305</v>
      </c>
      <c r="N1331" s="308"/>
      <c r="O1331" s="312" t="s">
        <v>635</v>
      </c>
      <c r="P1331" s="308" t="s">
        <v>36063</v>
      </c>
      <c r="Q1331" s="308"/>
      <c r="R1331" s="308"/>
      <c r="S1331" s="315" t="s">
        <v>100</v>
      </c>
      <c r="T1331" s="311" t="s">
        <v>34208</v>
      </c>
      <c r="U1331" s="308" t="s">
        <v>195</v>
      </c>
      <c r="V1331" s="312"/>
    </row>
    <row r="1332">
      <c r="A1332" s="308">
        <v>1331.0</v>
      </c>
      <c r="B1332" s="308">
        <v>4546.0</v>
      </c>
      <c r="C1332" s="308">
        <v>1349.0</v>
      </c>
      <c r="D1332" s="308">
        <f>IFERROR(__xludf.DUMMYFUNCTION("SPLIT(C1332,""-"")"),1349.0)</f>
        <v>1349</v>
      </c>
      <c r="E1332" s="311"/>
      <c r="F1332" s="309" t="s">
        <v>34</v>
      </c>
      <c r="G1332" s="308"/>
      <c r="H1332" s="308" t="s">
        <v>5307</v>
      </c>
      <c r="I1332" s="310">
        <v>39953.0</v>
      </c>
      <c r="J1332" s="308">
        <f>IFERROR(__xludf.DUMMYFUNCTION("SPLIT(I1332,""/"")"),20.0)</f>
        <v>20</v>
      </c>
      <c r="K1332" s="308">
        <f>IFERROR(__xludf.DUMMYFUNCTION("""COMPUTED_VALUE"""),5.0)</f>
        <v>5</v>
      </c>
      <c r="L1332" s="308">
        <f>IFERROR(__xludf.DUMMYFUNCTION("""COMPUTED_VALUE"""),2009.0)</f>
        <v>2009</v>
      </c>
      <c r="M1332" s="308" t="s">
        <v>5308</v>
      </c>
      <c r="N1332" s="308"/>
      <c r="O1332" s="312" t="s">
        <v>5309</v>
      </c>
      <c r="P1332" s="308" t="s">
        <v>5310</v>
      </c>
      <c r="Q1332" s="308"/>
      <c r="R1332" s="308"/>
      <c r="S1332" s="308" t="s">
        <v>81</v>
      </c>
      <c r="T1332" s="308" t="s">
        <v>34264</v>
      </c>
      <c r="U1332" s="308"/>
      <c r="V1332" s="312"/>
    </row>
    <row r="1333">
      <c r="A1333" s="308">
        <v>1332.0</v>
      </c>
      <c r="B1333" s="308">
        <v>4547.0</v>
      </c>
      <c r="C1333" s="308" t="s">
        <v>36064</v>
      </c>
      <c r="D1333" s="308">
        <f>IFERROR(__xludf.DUMMYFUNCTION("SPLIT(C1333,""-"")"),1350.0)</f>
        <v>1350</v>
      </c>
      <c r="E1333" s="311"/>
      <c r="F1333" s="309" t="s">
        <v>34</v>
      </c>
      <c r="G1333" s="308"/>
      <c r="H1333" s="308" t="s">
        <v>5311</v>
      </c>
      <c r="I1333" s="310">
        <v>39912.0</v>
      </c>
      <c r="J1333" s="308">
        <f>IFERROR(__xludf.DUMMYFUNCTION("SPLIT(I1333,""/"")"),9.0)</f>
        <v>9</v>
      </c>
      <c r="K1333" s="308">
        <f>IFERROR(__xludf.DUMMYFUNCTION("""COMPUTED_VALUE"""),4.0)</f>
        <v>4</v>
      </c>
      <c r="L1333" s="308">
        <f>IFERROR(__xludf.DUMMYFUNCTION("""COMPUTED_VALUE"""),2009.0)</f>
        <v>2009</v>
      </c>
      <c r="M1333" s="308" t="s">
        <v>5312</v>
      </c>
      <c r="N1333" s="308"/>
      <c r="O1333" s="312" t="s">
        <v>635</v>
      </c>
      <c r="P1333" s="308" t="s">
        <v>5313</v>
      </c>
      <c r="Q1333" s="308"/>
      <c r="R1333" s="308" t="s">
        <v>1496</v>
      </c>
      <c r="S1333" s="308" t="s">
        <v>81</v>
      </c>
      <c r="T1333" s="308" t="s">
        <v>34264</v>
      </c>
      <c r="U1333" s="308" t="s">
        <v>872</v>
      </c>
      <c r="V1333" s="312"/>
    </row>
    <row r="1334">
      <c r="A1334" s="308">
        <v>1333.0</v>
      </c>
      <c r="B1334" s="308">
        <v>4548.0</v>
      </c>
      <c r="C1334" s="308" t="s">
        <v>5314</v>
      </c>
      <c r="D1334" s="308">
        <f>IFERROR(__xludf.DUMMYFUNCTION("SPLIT(C1334,""-"")"),1351.0)</f>
        <v>1351</v>
      </c>
      <c r="E1334" s="308" t="str">
        <f>IFERROR(__xludf.DUMMYFUNCTION("""COMPUTED_VALUE"""),"K")</f>
        <v>K</v>
      </c>
      <c r="F1334" s="309" t="s">
        <v>34</v>
      </c>
      <c r="G1334" s="308"/>
      <c r="H1334" s="308" t="s">
        <v>5315</v>
      </c>
      <c r="I1334" s="310">
        <v>39912.0</v>
      </c>
      <c r="J1334" s="308">
        <f>IFERROR(__xludf.DUMMYFUNCTION("SPLIT(I1334,""/"")"),9.0)</f>
        <v>9</v>
      </c>
      <c r="K1334" s="308">
        <f>IFERROR(__xludf.DUMMYFUNCTION("""COMPUTED_VALUE"""),4.0)</f>
        <v>4</v>
      </c>
      <c r="L1334" s="308">
        <f>IFERROR(__xludf.DUMMYFUNCTION("""COMPUTED_VALUE"""),2009.0)</f>
        <v>2009</v>
      </c>
      <c r="M1334" s="308" t="s">
        <v>5312</v>
      </c>
      <c r="N1334" s="308"/>
      <c r="O1334" s="312" t="s">
        <v>635</v>
      </c>
      <c r="P1334" s="308" t="s">
        <v>5313</v>
      </c>
      <c r="Q1334" s="308"/>
      <c r="R1334" s="308" t="s">
        <v>1496</v>
      </c>
      <c r="S1334" s="308" t="s">
        <v>81</v>
      </c>
      <c r="T1334" s="308" t="s">
        <v>34264</v>
      </c>
      <c r="U1334" s="308" t="s">
        <v>872</v>
      </c>
      <c r="V1334" s="312"/>
    </row>
    <row r="1335">
      <c r="A1335" s="308">
        <v>1334.0</v>
      </c>
      <c r="B1335" s="308">
        <v>4549.0</v>
      </c>
      <c r="C1335" s="308">
        <v>1352.0</v>
      </c>
      <c r="D1335" s="308">
        <f>IFERROR(__xludf.DUMMYFUNCTION("SPLIT(C1335,""-"")"),1352.0)</f>
        <v>1352</v>
      </c>
      <c r="E1335" s="311"/>
      <c r="F1335" s="309" t="s">
        <v>34</v>
      </c>
      <c r="G1335" s="308"/>
      <c r="H1335" s="308" t="s">
        <v>5316</v>
      </c>
      <c r="I1335" s="310">
        <v>39912.0</v>
      </c>
      <c r="J1335" s="308">
        <f>IFERROR(__xludf.DUMMYFUNCTION("SPLIT(I1335,""/"")"),9.0)</f>
        <v>9</v>
      </c>
      <c r="K1335" s="308">
        <f>IFERROR(__xludf.DUMMYFUNCTION("""COMPUTED_VALUE"""),4.0)</f>
        <v>4</v>
      </c>
      <c r="L1335" s="308">
        <f>IFERROR(__xludf.DUMMYFUNCTION("""COMPUTED_VALUE"""),2009.0)</f>
        <v>2009</v>
      </c>
      <c r="M1335" s="308" t="s">
        <v>5312</v>
      </c>
      <c r="N1335" s="308"/>
      <c r="O1335" s="312" t="s">
        <v>635</v>
      </c>
      <c r="P1335" s="308" t="s">
        <v>5313</v>
      </c>
      <c r="Q1335" s="308"/>
      <c r="R1335" s="308"/>
      <c r="S1335" s="308" t="s">
        <v>81</v>
      </c>
      <c r="T1335" s="308" t="s">
        <v>34264</v>
      </c>
      <c r="U1335" s="308"/>
      <c r="V1335" s="312"/>
    </row>
    <row r="1336">
      <c r="A1336" s="308">
        <v>1335.0</v>
      </c>
      <c r="B1336" s="308">
        <v>4550.0</v>
      </c>
      <c r="C1336" s="308">
        <v>1353.0</v>
      </c>
      <c r="D1336" s="308">
        <f>IFERROR(__xludf.DUMMYFUNCTION("SPLIT(C1336,""-"")"),1353.0)</f>
        <v>1353</v>
      </c>
      <c r="E1336" s="311"/>
      <c r="F1336" s="309" t="s">
        <v>34</v>
      </c>
      <c r="G1336" s="308"/>
      <c r="H1336" s="308" t="s">
        <v>5317</v>
      </c>
      <c r="I1336" s="310">
        <v>40605.0</v>
      </c>
      <c r="J1336" s="308">
        <f>IFERROR(__xludf.DUMMYFUNCTION("SPLIT(I1336,""/"")"),3.0)</f>
        <v>3</v>
      </c>
      <c r="K1336" s="308">
        <f>IFERROR(__xludf.DUMMYFUNCTION("""COMPUTED_VALUE"""),3.0)</f>
        <v>3</v>
      </c>
      <c r="L1336" s="308">
        <f>IFERROR(__xludf.DUMMYFUNCTION("""COMPUTED_VALUE"""),2011.0)</f>
        <v>2011</v>
      </c>
      <c r="M1336" s="308" t="s">
        <v>5318</v>
      </c>
      <c r="N1336" s="308"/>
      <c r="O1336" s="312" t="s">
        <v>635</v>
      </c>
      <c r="P1336" s="308" t="s">
        <v>5319</v>
      </c>
      <c r="Q1336" s="308"/>
      <c r="R1336" s="308"/>
      <c r="S1336" s="308" t="s">
        <v>81</v>
      </c>
      <c r="T1336" s="308" t="s">
        <v>34264</v>
      </c>
      <c r="U1336" s="308"/>
      <c r="V1336" s="312"/>
    </row>
    <row r="1337">
      <c r="A1337" s="308">
        <v>1336.0</v>
      </c>
      <c r="B1337" s="308">
        <v>4551.0</v>
      </c>
      <c r="C1337" s="308">
        <v>1354.0</v>
      </c>
      <c r="D1337" s="308">
        <f>IFERROR(__xludf.DUMMYFUNCTION("SPLIT(C1337,""-"")"),1354.0)</f>
        <v>1354</v>
      </c>
      <c r="E1337" s="311"/>
      <c r="F1337" s="309" t="s">
        <v>34</v>
      </c>
      <c r="G1337" s="308"/>
      <c r="H1337" s="308" t="s">
        <v>5320</v>
      </c>
      <c r="I1337" s="310">
        <v>40605.0</v>
      </c>
      <c r="J1337" s="308">
        <f>IFERROR(__xludf.DUMMYFUNCTION("SPLIT(I1337,""/"")"),3.0)</f>
        <v>3</v>
      </c>
      <c r="K1337" s="308">
        <f>IFERROR(__xludf.DUMMYFUNCTION("""COMPUTED_VALUE"""),3.0)</f>
        <v>3</v>
      </c>
      <c r="L1337" s="308">
        <f>IFERROR(__xludf.DUMMYFUNCTION("""COMPUTED_VALUE"""),2011.0)</f>
        <v>2011</v>
      </c>
      <c r="M1337" s="308" t="s">
        <v>5321</v>
      </c>
      <c r="N1337" s="308"/>
      <c r="O1337" s="312" t="s">
        <v>635</v>
      </c>
      <c r="P1337" s="308" t="s">
        <v>36065</v>
      </c>
      <c r="Q1337" s="308"/>
      <c r="R1337" s="308"/>
      <c r="S1337" s="308" t="s">
        <v>81</v>
      </c>
      <c r="T1337" s="311" t="s">
        <v>87</v>
      </c>
      <c r="U1337" s="308"/>
      <c r="V1337" s="312"/>
    </row>
    <row r="1338">
      <c r="A1338" s="308">
        <v>1337.0</v>
      </c>
      <c r="B1338" s="308">
        <v>4552.0</v>
      </c>
      <c r="C1338" s="308">
        <v>1355.0</v>
      </c>
      <c r="D1338" s="308">
        <f>IFERROR(__xludf.DUMMYFUNCTION("SPLIT(C1338,""-"")"),1355.0)</f>
        <v>1355</v>
      </c>
      <c r="E1338" s="311"/>
      <c r="F1338" s="309" t="s">
        <v>34</v>
      </c>
      <c r="G1338" s="308"/>
      <c r="H1338" s="308" t="s">
        <v>5323</v>
      </c>
      <c r="I1338" s="310">
        <v>40605.0</v>
      </c>
      <c r="J1338" s="308">
        <f>IFERROR(__xludf.DUMMYFUNCTION("SPLIT(I1338,""/"")"),3.0)</f>
        <v>3</v>
      </c>
      <c r="K1338" s="308">
        <f>IFERROR(__xludf.DUMMYFUNCTION("""COMPUTED_VALUE"""),3.0)</f>
        <v>3</v>
      </c>
      <c r="L1338" s="308">
        <f>IFERROR(__xludf.DUMMYFUNCTION("""COMPUTED_VALUE"""),2011.0)</f>
        <v>2011</v>
      </c>
      <c r="M1338" s="308" t="s">
        <v>5318</v>
      </c>
      <c r="N1338" s="308"/>
      <c r="O1338" s="312" t="s">
        <v>635</v>
      </c>
      <c r="P1338" s="308" t="s">
        <v>5324</v>
      </c>
      <c r="Q1338" s="308"/>
      <c r="R1338" s="308"/>
      <c r="S1338" s="308" t="s">
        <v>81</v>
      </c>
      <c r="T1338" s="308" t="s">
        <v>34264</v>
      </c>
      <c r="U1338" s="308"/>
      <c r="V1338" s="312"/>
    </row>
    <row r="1339">
      <c r="A1339" s="308">
        <v>1338.0</v>
      </c>
      <c r="B1339" s="308">
        <v>4553.0</v>
      </c>
      <c r="C1339" s="308">
        <v>1356.0</v>
      </c>
      <c r="D1339" s="308">
        <f>IFERROR(__xludf.DUMMYFUNCTION("SPLIT(C1339,""-"")"),1356.0)</f>
        <v>1356</v>
      </c>
      <c r="E1339" s="311"/>
      <c r="F1339" s="309" t="s">
        <v>34</v>
      </c>
      <c r="G1339" s="308"/>
      <c r="H1339" s="308" t="s">
        <v>5325</v>
      </c>
      <c r="I1339" s="310">
        <v>40606.0</v>
      </c>
      <c r="J1339" s="308">
        <f>IFERROR(__xludf.DUMMYFUNCTION("SPLIT(I1339,""/"")"),4.0)</f>
        <v>4</v>
      </c>
      <c r="K1339" s="308">
        <f>IFERROR(__xludf.DUMMYFUNCTION("""COMPUTED_VALUE"""),3.0)</f>
        <v>3</v>
      </c>
      <c r="L1339" s="308">
        <f>IFERROR(__xludf.DUMMYFUNCTION("""COMPUTED_VALUE"""),2011.0)</f>
        <v>2011</v>
      </c>
      <c r="M1339" s="308" t="s">
        <v>5318</v>
      </c>
      <c r="N1339" s="308"/>
      <c r="O1339" s="312" t="s">
        <v>36066</v>
      </c>
      <c r="P1339" s="308" t="s">
        <v>34212</v>
      </c>
      <c r="Q1339" s="308"/>
      <c r="R1339" s="308"/>
      <c r="S1339" s="315" t="s">
        <v>100</v>
      </c>
      <c r="T1339" s="311" t="s">
        <v>34208</v>
      </c>
      <c r="U1339" s="308"/>
      <c r="V1339" s="312"/>
    </row>
    <row r="1340">
      <c r="A1340" s="308">
        <v>1339.0</v>
      </c>
      <c r="B1340" s="308">
        <v>4554.0</v>
      </c>
      <c r="C1340" s="308">
        <v>1357.0</v>
      </c>
      <c r="D1340" s="308">
        <f>IFERROR(__xludf.DUMMYFUNCTION("SPLIT(C1340,""-"")"),1357.0)</f>
        <v>1357</v>
      </c>
      <c r="E1340" s="311"/>
      <c r="F1340" s="309" t="s">
        <v>34</v>
      </c>
      <c r="G1340" s="308"/>
      <c r="H1340" s="308" t="s">
        <v>5327</v>
      </c>
      <c r="I1340" s="310">
        <v>39852.0</v>
      </c>
      <c r="J1340" s="308">
        <f>IFERROR(__xludf.DUMMYFUNCTION("SPLIT(I1340,""/"")"),8.0)</f>
        <v>8</v>
      </c>
      <c r="K1340" s="308">
        <f>IFERROR(__xludf.DUMMYFUNCTION("""COMPUTED_VALUE"""),2.0)</f>
        <v>2</v>
      </c>
      <c r="L1340" s="308">
        <f>IFERROR(__xludf.DUMMYFUNCTION("""COMPUTED_VALUE"""),2009.0)</f>
        <v>2009</v>
      </c>
      <c r="M1340" s="308" t="s">
        <v>5328</v>
      </c>
      <c r="N1340" s="308"/>
      <c r="O1340" s="312" t="s">
        <v>635</v>
      </c>
      <c r="P1340" s="308" t="s">
        <v>5329</v>
      </c>
      <c r="Q1340" s="308"/>
      <c r="R1340" s="308"/>
      <c r="S1340" s="308" t="s">
        <v>81</v>
      </c>
      <c r="T1340" s="308" t="s">
        <v>34264</v>
      </c>
      <c r="U1340" s="308"/>
      <c r="V1340" s="312"/>
    </row>
    <row r="1341">
      <c r="A1341" s="308">
        <v>1340.0</v>
      </c>
      <c r="B1341" s="308">
        <v>4555.0</v>
      </c>
      <c r="C1341" s="308">
        <v>1358.0</v>
      </c>
      <c r="D1341" s="308">
        <f>IFERROR(__xludf.DUMMYFUNCTION("SPLIT(C1341,""-"")"),1358.0)</f>
        <v>1358</v>
      </c>
      <c r="E1341" s="311"/>
      <c r="F1341" s="309" t="s">
        <v>34</v>
      </c>
      <c r="G1341" s="308"/>
      <c r="H1341" s="308" t="s">
        <v>5330</v>
      </c>
      <c r="I1341" s="310">
        <v>41281.0</v>
      </c>
      <c r="J1341" s="308">
        <f>IFERROR(__xludf.DUMMYFUNCTION("SPLIT(I1341,""/"")"),7.0)</f>
        <v>7</v>
      </c>
      <c r="K1341" s="308">
        <f>IFERROR(__xludf.DUMMYFUNCTION("""COMPUTED_VALUE"""),1.0)</f>
        <v>1</v>
      </c>
      <c r="L1341" s="308">
        <f>IFERROR(__xludf.DUMMYFUNCTION("""COMPUTED_VALUE"""),2013.0)</f>
        <v>2013</v>
      </c>
      <c r="M1341" s="308" t="s">
        <v>5331</v>
      </c>
      <c r="N1341" s="308"/>
      <c r="O1341" s="312" t="s">
        <v>5332</v>
      </c>
      <c r="P1341" s="308" t="s">
        <v>5333</v>
      </c>
      <c r="Q1341" s="308"/>
      <c r="R1341" s="308"/>
      <c r="S1341" s="308" t="s">
        <v>81</v>
      </c>
      <c r="T1341" s="308" t="s">
        <v>34264</v>
      </c>
      <c r="U1341" s="308"/>
      <c r="V1341" s="312"/>
    </row>
    <row r="1342">
      <c r="A1342" s="312">
        <v>1341.0</v>
      </c>
      <c r="B1342" s="308">
        <v>4556.0</v>
      </c>
      <c r="C1342" s="308">
        <v>1359.0</v>
      </c>
      <c r="D1342" s="308">
        <f>IFERROR(__xludf.DUMMYFUNCTION("SPLIT(C1342,""-"")"),1359.0)</f>
        <v>1359</v>
      </c>
      <c r="E1342" s="311"/>
      <c r="F1342" s="309" t="s">
        <v>34</v>
      </c>
      <c r="G1342" s="312"/>
      <c r="H1342" s="312" t="s">
        <v>5334</v>
      </c>
      <c r="I1342" s="316" t="s">
        <v>407</v>
      </c>
      <c r="J1342" s="308" t="str">
        <f>IFERROR(__xludf.DUMMYFUNCTION("SPLIT(I1342,""/"")"),"#REF!")</f>
        <v>#REF!</v>
      </c>
      <c r="K1342" s="312"/>
      <c r="L1342" s="311" t="s">
        <v>79</v>
      </c>
      <c r="M1342" s="312" t="s">
        <v>5335</v>
      </c>
      <c r="N1342" s="312"/>
      <c r="O1342" s="312" t="s">
        <v>5336</v>
      </c>
      <c r="P1342" s="312" t="s">
        <v>2355</v>
      </c>
      <c r="Q1342" s="312"/>
      <c r="R1342" s="312"/>
      <c r="S1342" s="311" t="s">
        <v>49</v>
      </c>
      <c r="T1342" s="309" t="s">
        <v>77</v>
      </c>
      <c r="U1342" s="312"/>
      <c r="V1342" s="312"/>
    </row>
    <row r="1343">
      <c r="A1343" s="308">
        <v>1342.0</v>
      </c>
      <c r="B1343" s="308">
        <v>4557.0</v>
      </c>
      <c r="C1343" s="308">
        <v>1360.0</v>
      </c>
      <c r="D1343" s="308">
        <f>IFERROR(__xludf.DUMMYFUNCTION("SPLIT(C1343,""-"")"),1360.0)</f>
        <v>1360</v>
      </c>
      <c r="E1343" s="311"/>
      <c r="F1343" s="317" t="s">
        <v>37</v>
      </c>
      <c r="G1343" s="308"/>
      <c r="H1343" s="308" t="s">
        <v>5337</v>
      </c>
      <c r="I1343" s="310">
        <v>41483.0</v>
      </c>
      <c r="J1343" s="308">
        <f>IFERROR(__xludf.DUMMYFUNCTION("SPLIT(I1343,""/"")"),28.0)</f>
        <v>28</v>
      </c>
      <c r="K1343" s="308">
        <f>IFERROR(__xludf.DUMMYFUNCTION("""COMPUTED_VALUE"""),7.0)</f>
        <v>7</v>
      </c>
      <c r="L1343" s="308">
        <f>IFERROR(__xludf.DUMMYFUNCTION("""COMPUTED_VALUE"""),2013.0)</f>
        <v>2013</v>
      </c>
      <c r="M1343" s="308" t="s">
        <v>5338</v>
      </c>
      <c r="N1343" s="308"/>
      <c r="O1343" s="312" t="s">
        <v>36067</v>
      </c>
      <c r="P1343" s="308" t="s">
        <v>5340</v>
      </c>
      <c r="Q1343" s="308"/>
      <c r="R1343" s="308"/>
      <c r="S1343" s="308" t="s">
        <v>81</v>
      </c>
      <c r="T1343" s="308" t="s">
        <v>75</v>
      </c>
      <c r="U1343" s="308"/>
      <c r="V1343" s="312"/>
    </row>
    <row r="1344">
      <c r="A1344" s="308">
        <v>1343.0</v>
      </c>
      <c r="B1344" s="308">
        <v>4558.0</v>
      </c>
      <c r="C1344" s="308">
        <v>1361.0</v>
      </c>
      <c r="D1344" s="308">
        <f>IFERROR(__xludf.DUMMYFUNCTION("SPLIT(C1344,""-"")"),1361.0)</f>
        <v>1361</v>
      </c>
      <c r="E1344" s="311"/>
      <c r="F1344" s="317" t="s">
        <v>37</v>
      </c>
      <c r="G1344" s="308"/>
      <c r="H1344" s="308" t="s">
        <v>5341</v>
      </c>
      <c r="I1344" s="310">
        <v>41438.0</v>
      </c>
      <c r="J1344" s="308">
        <f>IFERROR(__xludf.DUMMYFUNCTION("SPLIT(I1344,""/"")"),13.0)</f>
        <v>13</v>
      </c>
      <c r="K1344" s="308">
        <f>IFERROR(__xludf.DUMMYFUNCTION("""COMPUTED_VALUE"""),6.0)</f>
        <v>6</v>
      </c>
      <c r="L1344" s="308">
        <f>IFERROR(__xludf.DUMMYFUNCTION("""COMPUTED_VALUE"""),2013.0)</f>
        <v>2013</v>
      </c>
      <c r="M1344" s="308" t="s">
        <v>5342</v>
      </c>
      <c r="N1344" s="308"/>
      <c r="O1344" s="312" t="s">
        <v>5343</v>
      </c>
      <c r="P1344" s="308" t="s">
        <v>1883</v>
      </c>
      <c r="Q1344" s="308"/>
      <c r="R1344" s="308"/>
      <c r="S1344" s="308" t="s">
        <v>81</v>
      </c>
      <c r="T1344" s="308" t="s">
        <v>75</v>
      </c>
      <c r="U1344" s="308"/>
      <c r="V1344" s="312"/>
    </row>
    <row r="1345">
      <c r="A1345" s="308">
        <v>1344.0</v>
      </c>
      <c r="B1345" s="308">
        <v>4559.0</v>
      </c>
      <c r="C1345" s="308">
        <v>1362.0</v>
      </c>
      <c r="D1345" s="308">
        <f>IFERROR(__xludf.DUMMYFUNCTION("SPLIT(C1345,""-"")"),1362.0)</f>
        <v>1362</v>
      </c>
      <c r="E1345" s="311"/>
      <c r="F1345" s="317" t="s">
        <v>37</v>
      </c>
      <c r="G1345" s="308"/>
      <c r="H1345" s="308" t="s">
        <v>5344</v>
      </c>
      <c r="I1345" s="310">
        <v>39544.0</v>
      </c>
      <c r="J1345" s="308">
        <f>IFERROR(__xludf.DUMMYFUNCTION("SPLIT(I1345,""/"")"),6.0)</f>
        <v>6</v>
      </c>
      <c r="K1345" s="308">
        <f>IFERROR(__xludf.DUMMYFUNCTION("""COMPUTED_VALUE"""),4.0)</f>
        <v>4</v>
      </c>
      <c r="L1345" s="308">
        <f>IFERROR(__xludf.DUMMYFUNCTION("""COMPUTED_VALUE"""),2008.0)</f>
        <v>2008</v>
      </c>
      <c r="M1345" s="308" t="s">
        <v>5345</v>
      </c>
      <c r="N1345" s="308"/>
      <c r="O1345" s="312" t="s">
        <v>5346</v>
      </c>
      <c r="P1345" s="308" t="s">
        <v>2675</v>
      </c>
      <c r="Q1345" s="308"/>
      <c r="R1345" s="308"/>
      <c r="S1345" s="308" t="s">
        <v>49</v>
      </c>
      <c r="T1345" s="308" t="s">
        <v>51</v>
      </c>
      <c r="U1345" s="308"/>
      <c r="V1345" s="312"/>
    </row>
    <row r="1346">
      <c r="A1346" s="308">
        <v>1345.0</v>
      </c>
      <c r="B1346" s="308">
        <v>4560.0</v>
      </c>
      <c r="C1346" s="308">
        <v>1363.0</v>
      </c>
      <c r="D1346" s="308">
        <f>IFERROR(__xludf.DUMMYFUNCTION("SPLIT(C1346,""-"")"),1363.0)</f>
        <v>1363</v>
      </c>
      <c r="E1346" s="311"/>
      <c r="F1346" s="317" t="s">
        <v>37</v>
      </c>
      <c r="G1346" s="308"/>
      <c r="H1346" s="308" t="s">
        <v>5347</v>
      </c>
      <c r="I1346" s="310">
        <v>41379.0</v>
      </c>
      <c r="J1346" s="308">
        <f>IFERROR(__xludf.DUMMYFUNCTION("SPLIT(I1346,""/"")"),15.0)</f>
        <v>15</v>
      </c>
      <c r="K1346" s="308">
        <f>IFERROR(__xludf.DUMMYFUNCTION("""COMPUTED_VALUE"""),4.0)</f>
        <v>4</v>
      </c>
      <c r="L1346" s="308">
        <f>IFERROR(__xludf.DUMMYFUNCTION("""COMPUTED_VALUE"""),2013.0)</f>
        <v>2013</v>
      </c>
      <c r="M1346" s="308" t="s">
        <v>36068</v>
      </c>
      <c r="N1346" s="308"/>
      <c r="O1346" s="312" t="s">
        <v>36069</v>
      </c>
      <c r="P1346" s="308" t="s">
        <v>36070</v>
      </c>
      <c r="Q1346" s="308"/>
      <c r="R1346" s="308"/>
      <c r="S1346" s="308" t="s">
        <v>81</v>
      </c>
      <c r="T1346" s="311" t="s">
        <v>75</v>
      </c>
      <c r="U1346" s="308"/>
      <c r="V1346" s="312"/>
    </row>
    <row r="1347">
      <c r="A1347" s="308">
        <v>1346.0</v>
      </c>
      <c r="B1347" s="308">
        <v>4561.0</v>
      </c>
      <c r="C1347" s="308">
        <v>1364.0</v>
      </c>
      <c r="D1347" s="308">
        <f>IFERROR(__xludf.DUMMYFUNCTION("SPLIT(C1347,""-"")"),1364.0)</f>
        <v>1364</v>
      </c>
      <c r="E1347" s="311"/>
      <c r="F1347" s="309" t="s">
        <v>26</v>
      </c>
      <c r="G1347" s="308"/>
      <c r="H1347" s="308" t="s">
        <v>5351</v>
      </c>
      <c r="I1347" s="310">
        <v>41021.0</v>
      </c>
      <c r="J1347" s="308">
        <f>IFERROR(__xludf.DUMMYFUNCTION("SPLIT(I1347,""/"")"),22.0)</f>
        <v>22</v>
      </c>
      <c r="K1347" s="308">
        <f>IFERROR(__xludf.DUMMYFUNCTION("""COMPUTED_VALUE"""),4.0)</f>
        <v>4</v>
      </c>
      <c r="L1347" s="308">
        <f>IFERROR(__xludf.DUMMYFUNCTION("""COMPUTED_VALUE"""),2012.0)</f>
        <v>2012</v>
      </c>
      <c r="M1347" s="308" t="s">
        <v>36071</v>
      </c>
      <c r="N1347" s="308"/>
      <c r="O1347" s="312" t="s">
        <v>36072</v>
      </c>
      <c r="P1347" s="308" t="s">
        <v>5354</v>
      </c>
      <c r="Q1347" s="308"/>
      <c r="R1347" s="308"/>
      <c r="S1347" s="308" t="s">
        <v>49</v>
      </c>
      <c r="T1347" s="308" t="s">
        <v>51</v>
      </c>
      <c r="U1347" s="308"/>
      <c r="V1347" s="312"/>
    </row>
    <row r="1348">
      <c r="A1348" s="308">
        <v>1347.0</v>
      </c>
      <c r="B1348" s="308">
        <v>4562.0</v>
      </c>
      <c r="C1348" s="308">
        <v>1365.0</v>
      </c>
      <c r="D1348" s="308">
        <f>IFERROR(__xludf.DUMMYFUNCTION("SPLIT(C1348,""-"")"),1365.0)</f>
        <v>1365</v>
      </c>
      <c r="E1348" s="311"/>
      <c r="F1348" s="309" t="s">
        <v>26</v>
      </c>
      <c r="G1348" s="308"/>
      <c r="H1348" s="308" t="s">
        <v>5355</v>
      </c>
      <c r="I1348" s="310">
        <v>41021.0</v>
      </c>
      <c r="J1348" s="308">
        <f>IFERROR(__xludf.DUMMYFUNCTION("SPLIT(I1348,""/"")"),22.0)</f>
        <v>22</v>
      </c>
      <c r="K1348" s="308">
        <f>IFERROR(__xludf.DUMMYFUNCTION("""COMPUTED_VALUE"""),4.0)</f>
        <v>4</v>
      </c>
      <c r="L1348" s="308">
        <f>IFERROR(__xludf.DUMMYFUNCTION("""COMPUTED_VALUE"""),2012.0)</f>
        <v>2012</v>
      </c>
      <c r="M1348" s="308" t="s">
        <v>36073</v>
      </c>
      <c r="N1348" s="308"/>
      <c r="O1348" s="312"/>
      <c r="P1348" s="308" t="s">
        <v>5354</v>
      </c>
      <c r="Q1348" s="308"/>
      <c r="R1348" s="308"/>
      <c r="S1348" s="308" t="s">
        <v>49</v>
      </c>
      <c r="T1348" s="308" t="s">
        <v>51</v>
      </c>
      <c r="U1348" s="308" t="s">
        <v>27</v>
      </c>
      <c r="V1348" s="312"/>
    </row>
    <row r="1349">
      <c r="A1349" s="308">
        <v>1348.0</v>
      </c>
      <c r="B1349" s="308">
        <v>4563.0</v>
      </c>
      <c r="C1349" s="308">
        <v>1366.0</v>
      </c>
      <c r="D1349" s="308">
        <f>IFERROR(__xludf.DUMMYFUNCTION("SPLIT(C1349,""-"")"),1366.0)</f>
        <v>1366</v>
      </c>
      <c r="E1349" s="311"/>
      <c r="F1349" s="309" t="s">
        <v>26</v>
      </c>
      <c r="G1349" s="308"/>
      <c r="H1349" s="308" t="s">
        <v>5357</v>
      </c>
      <c r="I1349" s="310">
        <v>41146.0</v>
      </c>
      <c r="J1349" s="308">
        <f>IFERROR(__xludf.DUMMYFUNCTION("SPLIT(I1349,""/"")"),25.0)</f>
        <v>25</v>
      </c>
      <c r="K1349" s="308">
        <f>IFERROR(__xludf.DUMMYFUNCTION("""COMPUTED_VALUE"""),8.0)</f>
        <v>8</v>
      </c>
      <c r="L1349" s="308">
        <f>IFERROR(__xludf.DUMMYFUNCTION("""COMPUTED_VALUE"""),2012.0)</f>
        <v>2012</v>
      </c>
      <c r="M1349" s="308" t="s">
        <v>5358</v>
      </c>
      <c r="N1349" s="308"/>
      <c r="O1349" s="312" t="s">
        <v>36074</v>
      </c>
      <c r="P1349" s="308" t="s">
        <v>36075</v>
      </c>
      <c r="Q1349" s="308"/>
      <c r="R1349" s="308"/>
      <c r="S1349" s="308" t="s">
        <v>81</v>
      </c>
      <c r="T1349" s="308" t="s">
        <v>75</v>
      </c>
      <c r="U1349" s="308" t="s">
        <v>27</v>
      </c>
      <c r="V1349" s="312"/>
    </row>
    <row r="1350">
      <c r="A1350" s="308">
        <v>1349.0</v>
      </c>
      <c r="B1350" s="308">
        <v>4564.0</v>
      </c>
      <c r="C1350" s="308">
        <v>1367.0</v>
      </c>
      <c r="D1350" s="308">
        <f>IFERROR(__xludf.DUMMYFUNCTION("SPLIT(C1350,""-"")"),1367.0)</f>
        <v>1367</v>
      </c>
      <c r="E1350" s="311"/>
      <c r="F1350" s="317" t="s">
        <v>37</v>
      </c>
      <c r="G1350" s="308"/>
      <c r="H1350" s="308" t="s">
        <v>5361</v>
      </c>
      <c r="I1350" s="310">
        <v>41030.0</v>
      </c>
      <c r="J1350" s="308">
        <f>IFERROR(__xludf.DUMMYFUNCTION("SPLIT(I1350,""/"")"),1.0)</f>
        <v>1</v>
      </c>
      <c r="K1350" s="308">
        <f>IFERROR(__xludf.DUMMYFUNCTION("""COMPUTED_VALUE"""),5.0)</f>
        <v>5</v>
      </c>
      <c r="L1350" s="308">
        <f>IFERROR(__xludf.DUMMYFUNCTION("""COMPUTED_VALUE"""),2012.0)</f>
        <v>2012</v>
      </c>
      <c r="M1350" s="308" t="s">
        <v>5362</v>
      </c>
      <c r="N1350" s="308"/>
      <c r="O1350" s="312" t="s">
        <v>5363</v>
      </c>
      <c r="P1350" s="308" t="s">
        <v>36076</v>
      </c>
      <c r="Q1350" s="308"/>
      <c r="R1350" s="308"/>
      <c r="S1350" s="308" t="s">
        <v>49</v>
      </c>
      <c r="T1350" s="308" t="s">
        <v>51</v>
      </c>
      <c r="U1350" s="308"/>
      <c r="V1350" s="312"/>
    </row>
    <row r="1351">
      <c r="A1351" s="308">
        <v>1350.0</v>
      </c>
      <c r="B1351" s="308">
        <v>4565.0</v>
      </c>
      <c r="C1351" s="308">
        <v>1368.0</v>
      </c>
      <c r="D1351" s="308">
        <f>IFERROR(__xludf.DUMMYFUNCTION("SPLIT(C1351,""-"")"),1368.0)</f>
        <v>1368</v>
      </c>
      <c r="E1351" s="311"/>
      <c r="F1351" s="309" t="s">
        <v>34</v>
      </c>
      <c r="G1351" s="308" t="s">
        <v>5365</v>
      </c>
      <c r="H1351" s="308" t="s">
        <v>5366</v>
      </c>
      <c r="I1351" s="310">
        <v>41324.0</v>
      </c>
      <c r="J1351" s="308">
        <f>IFERROR(__xludf.DUMMYFUNCTION("SPLIT(I1351,""/"")"),19.0)</f>
        <v>19</v>
      </c>
      <c r="K1351" s="308">
        <f>IFERROR(__xludf.DUMMYFUNCTION("""COMPUTED_VALUE"""),2.0)</f>
        <v>2</v>
      </c>
      <c r="L1351" s="308">
        <f>IFERROR(__xludf.DUMMYFUNCTION("""COMPUTED_VALUE"""),2013.0)</f>
        <v>2013</v>
      </c>
      <c r="M1351" s="308" t="s">
        <v>5367</v>
      </c>
      <c r="N1351" s="308" t="s">
        <v>439</v>
      </c>
      <c r="O1351" s="312" t="s">
        <v>5368</v>
      </c>
      <c r="P1351" s="308" t="s">
        <v>5369</v>
      </c>
      <c r="Q1351" s="308"/>
      <c r="R1351" s="308"/>
      <c r="S1351" s="308" t="s">
        <v>49</v>
      </c>
      <c r="T1351" s="308" t="s">
        <v>51</v>
      </c>
      <c r="U1351" s="308" t="s">
        <v>2152</v>
      </c>
      <c r="V1351" s="312"/>
    </row>
    <row r="1352">
      <c r="A1352" s="308">
        <v>1351.0</v>
      </c>
      <c r="B1352" s="308">
        <v>4566.0</v>
      </c>
      <c r="C1352" s="308">
        <v>1369.0</v>
      </c>
      <c r="D1352" s="308">
        <f>IFERROR(__xludf.DUMMYFUNCTION("SPLIT(C1352,""-"")"),1369.0)</f>
        <v>1369</v>
      </c>
      <c r="E1352" s="311"/>
      <c r="F1352" s="309" t="s">
        <v>34</v>
      </c>
      <c r="G1352" s="308" t="s">
        <v>5365</v>
      </c>
      <c r="H1352" s="308" t="s">
        <v>5370</v>
      </c>
      <c r="I1352" s="310">
        <v>41324.0</v>
      </c>
      <c r="J1352" s="308">
        <f>IFERROR(__xludf.DUMMYFUNCTION("SPLIT(I1352,""/"")"),19.0)</f>
        <v>19</v>
      </c>
      <c r="K1352" s="308">
        <f>IFERROR(__xludf.DUMMYFUNCTION("""COMPUTED_VALUE"""),2.0)</f>
        <v>2</v>
      </c>
      <c r="L1352" s="308">
        <f>IFERROR(__xludf.DUMMYFUNCTION("""COMPUTED_VALUE"""),2013.0)</f>
        <v>2013</v>
      </c>
      <c r="M1352" s="308" t="s">
        <v>5371</v>
      </c>
      <c r="N1352" s="308" t="s">
        <v>5372</v>
      </c>
      <c r="O1352" s="312" t="s">
        <v>5368</v>
      </c>
      <c r="P1352" s="308" t="s">
        <v>5369</v>
      </c>
      <c r="Q1352" s="308"/>
      <c r="R1352" s="308"/>
      <c r="S1352" s="308" t="s">
        <v>49</v>
      </c>
      <c r="T1352" s="308" t="s">
        <v>51</v>
      </c>
      <c r="U1352" s="308" t="s">
        <v>2152</v>
      </c>
      <c r="V1352" s="312"/>
    </row>
    <row r="1353">
      <c r="A1353" s="308">
        <v>1352.0</v>
      </c>
      <c r="B1353" s="308">
        <v>4567.0</v>
      </c>
      <c r="C1353" s="308">
        <v>1370.0</v>
      </c>
      <c r="D1353" s="308">
        <f>IFERROR(__xludf.DUMMYFUNCTION("SPLIT(C1353,""-"")"),1370.0)</f>
        <v>1370</v>
      </c>
      <c r="E1353" s="311"/>
      <c r="F1353" s="309" t="s">
        <v>34</v>
      </c>
      <c r="G1353" s="308" t="s">
        <v>5373</v>
      </c>
      <c r="H1353" s="308" t="s">
        <v>5374</v>
      </c>
      <c r="I1353" s="310">
        <v>39417.0</v>
      </c>
      <c r="J1353" s="308">
        <f>IFERROR(__xludf.DUMMYFUNCTION("SPLIT(I1353,""/"")"),1.0)</f>
        <v>1</v>
      </c>
      <c r="K1353" s="308">
        <f>IFERROR(__xludf.DUMMYFUNCTION("""COMPUTED_VALUE"""),12.0)</f>
        <v>12</v>
      </c>
      <c r="L1353" s="308">
        <f>IFERROR(__xludf.DUMMYFUNCTION("""COMPUTED_VALUE"""),2007.0)</f>
        <v>2007</v>
      </c>
      <c r="M1353" s="308" t="s">
        <v>5375</v>
      </c>
      <c r="N1353" s="308"/>
      <c r="O1353" s="312" t="s">
        <v>5376</v>
      </c>
      <c r="P1353" s="311" t="s">
        <v>36077</v>
      </c>
      <c r="Q1353" s="308"/>
      <c r="R1353" s="308"/>
      <c r="S1353" s="308" t="s">
        <v>81</v>
      </c>
      <c r="T1353" s="311" t="s">
        <v>57</v>
      </c>
      <c r="U1353" s="308" t="s">
        <v>125</v>
      </c>
      <c r="V1353" s="312"/>
    </row>
    <row r="1354">
      <c r="A1354" s="308">
        <v>1353.0</v>
      </c>
      <c r="B1354" s="308">
        <v>4568.0</v>
      </c>
      <c r="C1354" s="308">
        <v>1371.0</v>
      </c>
      <c r="D1354" s="308">
        <f>IFERROR(__xludf.DUMMYFUNCTION("SPLIT(C1354,""-"")"),1371.0)</f>
        <v>1371</v>
      </c>
      <c r="E1354" s="311"/>
      <c r="F1354" s="309" t="s">
        <v>26</v>
      </c>
      <c r="G1354" s="308"/>
      <c r="H1354" s="308" t="s">
        <v>5378</v>
      </c>
      <c r="I1354" s="310">
        <v>41345.0</v>
      </c>
      <c r="J1354" s="308">
        <f>IFERROR(__xludf.DUMMYFUNCTION("SPLIT(I1354,""/"")"),12.0)</f>
        <v>12</v>
      </c>
      <c r="K1354" s="308">
        <f>IFERROR(__xludf.DUMMYFUNCTION("""COMPUTED_VALUE"""),3.0)</f>
        <v>3</v>
      </c>
      <c r="L1354" s="308">
        <f>IFERROR(__xludf.DUMMYFUNCTION("""COMPUTED_VALUE"""),2013.0)</f>
        <v>2013</v>
      </c>
      <c r="M1354" s="308" t="s">
        <v>5379</v>
      </c>
      <c r="N1354" s="308"/>
      <c r="O1354" s="312"/>
      <c r="P1354" s="308" t="s">
        <v>5380</v>
      </c>
      <c r="Q1354" s="308"/>
      <c r="R1354" s="308"/>
      <c r="S1354" s="308" t="s">
        <v>81</v>
      </c>
      <c r="T1354" s="311" t="s">
        <v>75</v>
      </c>
      <c r="U1354" s="308"/>
      <c r="V1354" s="312"/>
    </row>
    <row r="1355">
      <c r="A1355" s="308">
        <v>1354.0</v>
      </c>
      <c r="B1355" s="308">
        <v>4569.0</v>
      </c>
      <c r="C1355" s="308">
        <v>1372.0</v>
      </c>
      <c r="D1355" s="308">
        <f>IFERROR(__xludf.DUMMYFUNCTION("SPLIT(C1355,""-"")"),1372.0)</f>
        <v>1372</v>
      </c>
      <c r="E1355" s="311"/>
      <c r="F1355" s="317" t="s">
        <v>37</v>
      </c>
      <c r="G1355" s="308"/>
      <c r="H1355" s="308" t="s">
        <v>5381</v>
      </c>
      <c r="I1355" s="310">
        <v>37803.0</v>
      </c>
      <c r="J1355" s="308">
        <f>IFERROR(__xludf.DUMMYFUNCTION("SPLIT(I1355,""/"")"),1.0)</f>
        <v>1</v>
      </c>
      <c r="K1355" s="308">
        <f>IFERROR(__xludf.DUMMYFUNCTION("""COMPUTED_VALUE"""),7.0)</f>
        <v>7</v>
      </c>
      <c r="L1355" s="308">
        <f>IFERROR(__xludf.DUMMYFUNCTION("""COMPUTED_VALUE"""),2003.0)</f>
        <v>2003</v>
      </c>
      <c r="M1355" s="308" t="s">
        <v>5382</v>
      </c>
      <c r="N1355" s="308"/>
      <c r="O1355" s="312" t="s">
        <v>635</v>
      </c>
      <c r="P1355" s="308" t="s">
        <v>5383</v>
      </c>
      <c r="Q1355" s="308"/>
      <c r="R1355" s="308"/>
      <c r="S1355" s="308" t="s">
        <v>49</v>
      </c>
      <c r="T1355" s="309" t="s">
        <v>70</v>
      </c>
      <c r="U1355" s="308"/>
      <c r="V1355" s="312"/>
    </row>
    <row r="1356">
      <c r="A1356" s="308">
        <v>1355.0</v>
      </c>
      <c r="B1356" s="308">
        <v>4570.0</v>
      </c>
      <c r="C1356" s="308">
        <v>1373.0</v>
      </c>
      <c r="D1356" s="308">
        <f>IFERROR(__xludf.DUMMYFUNCTION("SPLIT(C1356,""-"")"),1373.0)</f>
        <v>1373</v>
      </c>
      <c r="E1356" s="311"/>
      <c r="F1356" s="309" t="s">
        <v>34</v>
      </c>
      <c r="G1356" s="308"/>
      <c r="H1356" s="308" t="s">
        <v>5384</v>
      </c>
      <c r="I1356" s="310">
        <v>39995.0</v>
      </c>
      <c r="J1356" s="308">
        <f>IFERROR(__xludf.DUMMYFUNCTION("SPLIT(I1356,""/"")"),1.0)</f>
        <v>1</v>
      </c>
      <c r="K1356" s="308">
        <f>IFERROR(__xludf.DUMMYFUNCTION("""COMPUTED_VALUE"""),7.0)</f>
        <v>7</v>
      </c>
      <c r="L1356" s="308">
        <f>IFERROR(__xludf.DUMMYFUNCTION("""COMPUTED_VALUE"""),2009.0)</f>
        <v>2009</v>
      </c>
      <c r="M1356" s="308" t="s">
        <v>5385</v>
      </c>
      <c r="N1356" s="308"/>
      <c r="O1356" s="312" t="s">
        <v>5386</v>
      </c>
      <c r="P1356" s="308" t="s">
        <v>5387</v>
      </c>
      <c r="Q1356" s="308"/>
      <c r="R1356" s="308"/>
      <c r="S1356" s="308" t="s">
        <v>81</v>
      </c>
      <c r="T1356" s="308" t="s">
        <v>34264</v>
      </c>
      <c r="U1356" s="308"/>
      <c r="V1356" s="312"/>
    </row>
    <row r="1357">
      <c r="A1357" s="308">
        <v>1356.0</v>
      </c>
      <c r="B1357" s="308">
        <v>4571.0</v>
      </c>
      <c r="C1357" s="308" t="s">
        <v>5388</v>
      </c>
      <c r="D1357" s="308"/>
      <c r="E1357" s="311"/>
      <c r="F1357" s="317" t="s">
        <v>39</v>
      </c>
      <c r="G1357" s="308" t="s">
        <v>4971</v>
      </c>
      <c r="H1357" s="308" t="s">
        <v>5389</v>
      </c>
      <c r="I1357" s="310">
        <v>41554.0</v>
      </c>
      <c r="J1357" s="308">
        <f>IFERROR(__xludf.DUMMYFUNCTION("SPLIT(I1357,""/"")"),7.0)</f>
        <v>7</v>
      </c>
      <c r="K1357" s="308">
        <f>IFERROR(__xludf.DUMMYFUNCTION("""COMPUTED_VALUE"""),10.0)</f>
        <v>10</v>
      </c>
      <c r="L1357" s="308">
        <f>IFERROR(__xludf.DUMMYFUNCTION("""COMPUTED_VALUE"""),2013.0)</f>
        <v>2013</v>
      </c>
      <c r="M1357" s="308" t="s">
        <v>5390</v>
      </c>
      <c r="N1357" s="308"/>
      <c r="O1357" s="312" t="s">
        <v>36078</v>
      </c>
      <c r="P1357" s="308" t="s">
        <v>4240</v>
      </c>
      <c r="Q1357" s="308"/>
      <c r="R1357" s="308" t="s">
        <v>5392</v>
      </c>
      <c r="S1357" s="315" t="s">
        <v>100</v>
      </c>
      <c r="T1357" s="311" t="s">
        <v>34208</v>
      </c>
      <c r="U1357" s="308"/>
      <c r="V1357" s="312"/>
    </row>
    <row r="1358">
      <c r="A1358" s="308">
        <v>1357.0</v>
      </c>
      <c r="B1358" s="308">
        <v>4572.0</v>
      </c>
      <c r="C1358" s="308" t="s">
        <v>5393</v>
      </c>
      <c r="D1358" s="308"/>
      <c r="E1358" s="311"/>
      <c r="F1358" s="317" t="s">
        <v>39</v>
      </c>
      <c r="G1358" s="308" t="s">
        <v>4971</v>
      </c>
      <c r="H1358" s="308" t="s">
        <v>5394</v>
      </c>
      <c r="I1358" s="310">
        <v>41554.0</v>
      </c>
      <c r="J1358" s="308">
        <f>IFERROR(__xludf.DUMMYFUNCTION("SPLIT(I1358,""/"")"),7.0)</f>
        <v>7</v>
      </c>
      <c r="K1358" s="308">
        <f>IFERROR(__xludf.DUMMYFUNCTION("""COMPUTED_VALUE"""),10.0)</f>
        <v>10</v>
      </c>
      <c r="L1358" s="308">
        <f>IFERROR(__xludf.DUMMYFUNCTION("""COMPUTED_VALUE"""),2013.0)</f>
        <v>2013</v>
      </c>
      <c r="M1358" s="308" t="s">
        <v>5395</v>
      </c>
      <c r="N1358" s="308"/>
      <c r="O1358" s="312" t="s">
        <v>36079</v>
      </c>
      <c r="P1358" s="308" t="s">
        <v>4240</v>
      </c>
      <c r="Q1358" s="308"/>
      <c r="R1358" s="308" t="s">
        <v>5397</v>
      </c>
      <c r="S1358" s="315" t="s">
        <v>100</v>
      </c>
      <c r="T1358" s="311" t="s">
        <v>34208</v>
      </c>
      <c r="U1358" s="308"/>
      <c r="V1358" s="312"/>
    </row>
    <row r="1359">
      <c r="A1359" s="308">
        <v>1358.0</v>
      </c>
      <c r="B1359" s="308">
        <v>4573.0</v>
      </c>
      <c r="C1359" s="308" t="s">
        <v>5398</v>
      </c>
      <c r="D1359" s="308"/>
      <c r="E1359" s="311"/>
      <c r="F1359" s="317" t="s">
        <v>39</v>
      </c>
      <c r="G1359" s="308" t="s">
        <v>4971</v>
      </c>
      <c r="H1359" s="308" t="s">
        <v>5399</v>
      </c>
      <c r="I1359" s="310">
        <v>41554.0</v>
      </c>
      <c r="J1359" s="308">
        <f>IFERROR(__xludf.DUMMYFUNCTION("SPLIT(I1359,""/"")"),7.0)</f>
        <v>7</v>
      </c>
      <c r="K1359" s="308">
        <f>IFERROR(__xludf.DUMMYFUNCTION("""COMPUTED_VALUE"""),10.0)</f>
        <v>10</v>
      </c>
      <c r="L1359" s="308">
        <f>IFERROR(__xludf.DUMMYFUNCTION("""COMPUTED_VALUE"""),2013.0)</f>
        <v>2013</v>
      </c>
      <c r="M1359" s="308" t="s">
        <v>5400</v>
      </c>
      <c r="N1359" s="308"/>
      <c r="O1359" s="312" t="s">
        <v>36079</v>
      </c>
      <c r="P1359" s="308" t="s">
        <v>4240</v>
      </c>
      <c r="Q1359" s="308"/>
      <c r="R1359" s="308" t="s">
        <v>5401</v>
      </c>
      <c r="S1359" s="315" t="s">
        <v>100</v>
      </c>
      <c r="T1359" s="311" t="s">
        <v>34208</v>
      </c>
      <c r="U1359" s="308"/>
      <c r="V1359" s="312"/>
    </row>
    <row r="1360">
      <c r="A1360" s="308">
        <v>1359.0</v>
      </c>
      <c r="B1360" s="308">
        <v>4574.0</v>
      </c>
      <c r="C1360" s="308">
        <v>1377.0</v>
      </c>
      <c r="D1360" s="308">
        <f>IFERROR(__xludf.DUMMYFUNCTION("SPLIT(C1360,""-"")"),1377.0)</f>
        <v>1377</v>
      </c>
      <c r="E1360" s="311"/>
      <c r="F1360" s="317" t="s">
        <v>39</v>
      </c>
      <c r="G1360" s="308"/>
      <c r="H1360" s="308" t="s">
        <v>5402</v>
      </c>
      <c r="I1360" s="310">
        <v>41455.0</v>
      </c>
      <c r="J1360" s="308">
        <f>IFERROR(__xludf.DUMMYFUNCTION("SPLIT(I1360,""/"")"),30.0)</f>
        <v>30</v>
      </c>
      <c r="K1360" s="308">
        <f>IFERROR(__xludf.DUMMYFUNCTION("""COMPUTED_VALUE"""),6.0)</f>
        <v>6</v>
      </c>
      <c r="L1360" s="308">
        <f>IFERROR(__xludf.DUMMYFUNCTION("""COMPUTED_VALUE"""),2013.0)</f>
        <v>2013</v>
      </c>
      <c r="M1360" s="308" t="s">
        <v>5403</v>
      </c>
      <c r="N1360" s="308"/>
      <c r="O1360" s="312" t="s">
        <v>36080</v>
      </c>
      <c r="P1360" s="308" t="s">
        <v>36081</v>
      </c>
      <c r="Q1360" s="308"/>
      <c r="R1360" s="308"/>
      <c r="S1360" s="308" t="s">
        <v>81</v>
      </c>
      <c r="T1360" s="308" t="s">
        <v>75</v>
      </c>
      <c r="U1360" s="312"/>
      <c r="V1360" s="312"/>
    </row>
    <row r="1361">
      <c r="A1361" s="308">
        <v>1360.0</v>
      </c>
      <c r="B1361" s="308">
        <v>4575.0</v>
      </c>
      <c r="C1361" s="308">
        <v>1378.0</v>
      </c>
      <c r="D1361" s="308">
        <f>IFERROR(__xludf.DUMMYFUNCTION("SPLIT(C1361,""-"")"),1378.0)</f>
        <v>1378</v>
      </c>
      <c r="E1361" s="311"/>
      <c r="F1361" s="309" t="s">
        <v>34</v>
      </c>
      <c r="G1361" s="308" t="s">
        <v>5406</v>
      </c>
      <c r="H1361" s="308" t="s">
        <v>5407</v>
      </c>
      <c r="I1361" s="310">
        <v>41456.0</v>
      </c>
      <c r="J1361" s="308">
        <f>IFERROR(__xludf.DUMMYFUNCTION("SPLIT(I1361,""/"")"),1.0)</f>
        <v>1</v>
      </c>
      <c r="K1361" s="308">
        <f>IFERROR(__xludf.DUMMYFUNCTION("""COMPUTED_VALUE"""),7.0)</f>
        <v>7</v>
      </c>
      <c r="L1361" s="308">
        <f>IFERROR(__xludf.DUMMYFUNCTION("""COMPUTED_VALUE"""),2013.0)</f>
        <v>2013</v>
      </c>
      <c r="M1361" s="308" t="s">
        <v>5408</v>
      </c>
      <c r="N1361" s="308"/>
      <c r="O1361" s="312" t="s">
        <v>5409</v>
      </c>
      <c r="P1361" s="308" t="s">
        <v>36082</v>
      </c>
      <c r="Q1361" s="308"/>
      <c r="R1361" s="308"/>
      <c r="S1361" s="308" t="s">
        <v>81</v>
      </c>
      <c r="T1361" s="308" t="s">
        <v>34264</v>
      </c>
      <c r="U1361" s="308" t="s">
        <v>2152</v>
      </c>
      <c r="V1361" s="312"/>
    </row>
    <row r="1362">
      <c r="A1362" s="308">
        <v>1361.0</v>
      </c>
      <c r="B1362" s="308">
        <v>4576.0</v>
      </c>
      <c r="C1362" s="308">
        <v>1379.0</v>
      </c>
      <c r="D1362" s="308">
        <f>IFERROR(__xludf.DUMMYFUNCTION("SPLIT(C1362,""-"")"),1379.0)</f>
        <v>1379</v>
      </c>
      <c r="E1362" s="311"/>
      <c r="F1362" s="309" t="s">
        <v>34</v>
      </c>
      <c r="G1362" s="308" t="s">
        <v>5411</v>
      </c>
      <c r="H1362" s="308" t="s">
        <v>5412</v>
      </c>
      <c r="I1362" s="310">
        <v>41456.0</v>
      </c>
      <c r="J1362" s="308">
        <f>IFERROR(__xludf.DUMMYFUNCTION("SPLIT(I1362,""/"")"),1.0)</f>
        <v>1</v>
      </c>
      <c r="K1362" s="308">
        <f>IFERROR(__xludf.DUMMYFUNCTION("""COMPUTED_VALUE"""),7.0)</f>
        <v>7</v>
      </c>
      <c r="L1362" s="308">
        <f>IFERROR(__xludf.DUMMYFUNCTION("""COMPUTED_VALUE"""),2013.0)</f>
        <v>2013</v>
      </c>
      <c r="M1362" s="308" t="s">
        <v>5413</v>
      </c>
      <c r="N1362" s="308"/>
      <c r="O1362" s="312" t="s">
        <v>5414</v>
      </c>
      <c r="P1362" s="308" t="s">
        <v>5415</v>
      </c>
      <c r="Q1362" s="308"/>
      <c r="R1362" s="308"/>
      <c r="S1362" s="308" t="s">
        <v>81</v>
      </c>
      <c r="T1362" s="311" t="s">
        <v>75</v>
      </c>
      <c r="U1362" s="308"/>
      <c r="V1362" s="312"/>
    </row>
    <row r="1363">
      <c r="A1363" s="308">
        <v>1362.0</v>
      </c>
      <c r="B1363" s="308">
        <v>4577.0</v>
      </c>
      <c r="C1363" s="308">
        <v>1380.0</v>
      </c>
      <c r="D1363" s="308">
        <f>IFERROR(__xludf.DUMMYFUNCTION("SPLIT(C1363,""-"")"),1380.0)</f>
        <v>1380</v>
      </c>
      <c r="E1363" s="311"/>
      <c r="F1363" s="317" t="s">
        <v>39</v>
      </c>
      <c r="G1363" s="308" t="s">
        <v>5406</v>
      </c>
      <c r="H1363" s="308" t="s">
        <v>5416</v>
      </c>
      <c r="I1363" s="310">
        <v>41505.0</v>
      </c>
      <c r="J1363" s="308">
        <f>IFERROR(__xludf.DUMMYFUNCTION("SPLIT(I1363,""/"")"),19.0)</f>
        <v>19</v>
      </c>
      <c r="K1363" s="308">
        <f>IFERROR(__xludf.DUMMYFUNCTION("""COMPUTED_VALUE"""),8.0)</f>
        <v>8</v>
      </c>
      <c r="L1363" s="308">
        <f>IFERROR(__xludf.DUMMYFUNCTION("""COMPUTED_VALUE"""),2013.0)</f>
        <v>2013</v>
      </c>
      <c r="M1363" s="308" t="s">
        <v>5417</v>
      </c>
      <c r="N1363" s="308"/>
      <c r="O1363" s="312" t="s">
        <v>635</v>
      </c>
      <c r="P1363" s="308" t="s">
        <v>5418</v>
      </c>
      <c r="Q1363" s="308"/>
      <c r="R1363" s="308"/>
      <c r="S1363" s="308" t="s">
        <v>81</v>
      </c>
      <c r="T1363" s="308" t="s">
        <v>75</v>
      </c>
      <c r="U1363" s="308"/>
      <c r="V1363" s="312"/>
    </row>
    <row r="1364">
      <c r="A1364" s="308">
        <v>1363.0</v>
      </c>
      <c r="B1364" s="308">
        <v>4578.0</v>
      </c>
      <c r="C1364" s="308">
        <v>1381.0</v>
      </c>
      <c r="D1364" s="308">
        <f>IFERROR(__xludf.DUMMYFUNCTION("SPLIT(C1364,""-"")"),1381.0)</f>
        <v>1381</v>
      </c>
      <c r="E1364" s="311"/>
      <c r="F1364" s="317" t="s">
        <v>39</v>
      </c>
      <c r="G1364" s="308" t="s">
        <v>5406</v>
      </c>
      <c r="H1364" s="308" t="s">
        <v>5419</v>
      </c>
      <c r="I1364" s="310">
        <v>41505.0</v>
      </c>
      <c r="J1364" s="308">
        <f>IFERROR(__xludf.DUMMYFUNCTION("SPLIT(I1364,""/"")"),19.0)</f>
        <v>19</v>
      </c>
      <c r="K1364" s="308">
        <f>IFERROR(__xludf.DUMMYFUNCTION("""COMPUTED_VALUE"""),8.0)</f>
        <v>8</v>
      </c>
      <c r="L1364" s="308">
        <f>IFERROR(__xludf.DUMMYFUNCTION("""COMPUTED_VALUE"""),2013.0)</f>
        <v>2013</v>
      </c>
      <c r="M1364" s="308" t="s">
        <v>5420</v>
      </c>
      <c r="N1364" s="308"/>
      <c r="O1364" s="312" t="s">
        <v>635</v>
      </c>
      <c r="P1364" s="308" t="s">
        <v>5418</v>
      </c>
      <c r="Q1364" s="308"/>
      <c r="R1364" s="308"/>
      <c r="S1364" s="308" t="s">
        <v>81</v>
      </c>
      <c r="T1364" s="308" t="s">
        <v>75</v>
      </c>
      <c r="U1364" s="308"/>
      <c r="V1364" s="312"/>
    </row>
    <row r="1365">
      <c r="A1365" s="308">
        <v>1364.0</v>
      </c>
      <c r="B1365" s="308">
        <v>4579.0</v>
      </c>
      <c r="C1365" s="308">
        <v>1382.0</v>
      </c>
      <c r="D1365" s="308">
        <f>IFERROR(__xludf.DUMMYFUNCTION("SPLIT(C1365,""-"")"),1382.0)</f>
        <v>1382</v>
      </c>
      <c r="E1365" s="311"/>
      <c r="F1365" s="317" t="s">
        <v>39</v>
      </c>
      <c r="G1365" s="308" t="s">
        <v>5406</v>
      </c>
      <c r="H1365" s="308" t="s">
        <v>5421</v>
      </c>
      <c r="I1365" s="310">
        <v>41505.0</v>
      </c>
      <c r="J1365" s="308">
        <f>IFERROR(__xludf.DUMMYFUNCTION("SPLIT(I1365,""/"")"),19.0)</f>
        <v>19</v>
      </c>
      <c r="K1365" s="308">
        <f>IFERROR(__xludf.DUMMYFUNCTION("""COMPUTED_VALUE"""),8.0)</f>
        <v>8</v>
      </c>
      <c r="L1365" s="308">
        <f>IFERROR(__xludf.DUMMYFUNCTION("""COMPUTED_VALUE"""),2013.0)</f>
        <v>2013</v>
      </c>
      <c r="M1365" s="308" t="s">
        <v>5422</v>
      </c>
      <c r="N1365" s="308"/>
      <c r="O1365" s="312" t="s">
        <v>635</v>
      </c>
      <c r="P1365" s="308" t="s">
        <v>5418</v>
      </c>
      <c r="Q1365" s="308"/>
      <c r="R1365" s="308"/>
      <c r="S1365" s="308" t="s">
        <v>81</v>
      </c>
      <c r="T1365" s="308" t="s">
        <v>75</v>
      </c>
      <c r="U1365" s="308"/>
      <c r="V1365" s="312"/>
    </row>
    <row r="1366">
      <c r="A1366" s="308">
        <v>1365.0</v>
      </c>
      <c r="B1366" s="308">
        <v>4580.0</v>
      </c>
      <c r="C1366" s="308">
        <v>1383.0</v>
      </c>
      <c r="D1366" s="308">
        <f>IFERROR(__xludf.DUMMYFUNCTION("SPLIT(C1366,""-"")"),1383.0)</f>
        <v>1383</v>
      </c>
      <c r="E1366" s="311"/>
      <c r="F1366" s="317" t="s">
        <v>39</v>
      </c>
      <c r="G1366" s="308"/>
      <c r="H1366" s="308" t="s">
        <v>5423</v>
      </c>
      <c r="I1366" s="314">
        <v>40461.0</v>
      </c>
      <c r="J1366" s="308">
        <f>IFERROR(__xludf.DUMMYFUNCTION("SPLIT(I1366,""/"")"),10.0)</f>
        <v>10</v>
      </c>
      <c r="K1366" s="308">
        <f>IFERROR(__xludf.DUMMYFUNCTION("""COMPUTED_VALUE"""),10.0)</f>
        <v>10</v>
      </c>
      <c r="L1366" s="308">
        <f>IFERROR(__xludf.DUMMYFUNCTION("""COMPUTED_VALUE"""),2010.0)</f>
        <v>2010</v>
      </c>
      <c r="M1366" s="308" t="s">
        <v>5424</v>
      </c>
      <c r="N1366" s="308"/>
      <c r="O1366" s="312" t="s">
        <v>5425</v>
      </c>
      <c r="P1366" s="308" t="s">
        <v>4240</v>
      </c>
      <c r="Q1366" s="308"/>
      <c r="R1366" s="308"/>
      <c r="S1366" s="315" t="s">
        <v>100</v>
      </c>
      <c r="T1366" s="311" t="s">
        <v>34208</v>
      </c>
      <c r="U1366" s="308" t="s">
        <v>166</v>
      </c>
      <c r="V1366" s="312"/>
    </row>
    <row r="1367">
      <c r="A1367" s="308">
        <v>1366.0</v>
      </c>
      <c r="B1367" s="308">
        <v>4581.0</v>
      </c>
      <c r="C1367" s="308">
        <v>1384.0</v>
      </c>
      <c r="D1367" s="308">
        <f>IFERROR(__xludf.DUMMYFUNCTION("SPLIT(C1367,""-"")"),1384.0)</f>
        <v>1384</v>
      </c>
      <c r="E1367" s="311"/>
      <c r="F1367" s="309" t="s">
        <v>34</v>
      </c>
      <c r="G1367" s="308" t="s">
        <v>5426</v>
      </c>
      <c r="H1367" s="308" t="s">
        <v>5427</v>
      </c>
      <c r="I1367" s="310">
        <v>40881.0</v>
      </c>
      <c r="J1367" s="308">
        <f>IFERROR(__xludf.DUMMYFUNCTION("SPLIT(I1367,""/"")"),4.0)</f>
        <v>4</v>
      </c>
      <c r="K1367" s="308">
        <f>IFERROR(__xludf.DUMMYFUNCTION("""COMPUTED_VALUE"""),12.0)</f>
        <v>12</v>
      </c>
      <c r="L1367" s="308">
        <f>IFERROR(__xludf.DUMMYFUNCTION("""COMPUTED_VALUE"""),2011.0)</f>
        <v>2011</v>
      </c>
      <c r="M1367" s="308" t="s">
        <v>5428</v>
      </c>
      <c r="N1367" s="308"/>
      <c r="O1367" s="312" t="s">
        <v>635</v>
      </c>
      <c r="P1367" s="308" t="s">
        <v>5429</v>
      </c>
      <c r="Q1367" s="308"/>
      <c r="R1367" s="308"/>
      <c r="S1367" s="308" t="s">
        <v>81</v>
      </c>
      <c r="T1367" s="308" t="s">
        <v>34264</v>
      </c>
      <c r="U1367" s="308"/>
      <c r="V1367" s="312"/>
    </row>
    <row r="1368">
      <c r="A1368" s="308">
        <v>1367.0</v>
      </c>
      <c r="B1368" s="308">
        <v>4582.0</v>
      </c>
      <c r="C1368" s="308">
        <v>1385.0</v>
      </c>
      <c r="D1368" s="308">
        <f>IFERROR(__xludf.DUMMYFUNCTION("SPLIT(C1368,""-"")"),1385.0)</f>
        <v>1385</v>
      </c>
      <c r="E1368" s="311"/>
      <c r="F1368" s="309" t="s">
        <v>31</v>
      </c>
      <c r="G1368" s="308"/>
      <c r="H1368" s="308" t="s">
        <v>5430</v>
      </c>
      <c r="I1368" s="310">
        <v>41414.0</v>
      </c>
      <c r="J1368" s="308">
        <f>IFERROR(__xludf.DUMMYFUNCTION("SPLIT(I1368,""/"")"),20.0)</f>
        <v>20</v>
      </c>
      <c r="K1368" s="308">
        <f>IFERROR(__xludf.DUMMYFUNCTION("""COMPUTED_VALUE"""),5.0)</f>
        <v>5</v>
      </c>
      <c r="L1368" s="308">
        <f>IFERROR(__xludf.DUMMYFUNCTION("""COMPUTED_VALUE"""),2013.0)</f>
        <v>2013</v>
      </c>
      <c r="M1368" s="308" t="s">
        <v>5431</v>
      </c>
      <c r="N1368" s="308"/>
      <c r="O1368" s="312" t="s">
        <v>5432</v>
      </c>
      <c r="P1368" s="308" t="s">
        <v>5433</v>
      </c>
      <c r="Q1368" s="308"/>
      <c r="R1368" s="308"/>
      <c r="S1368" s="308" t="s">
        <v>81</v>
      </c>
      <c r="T1368" s="308" t="s">
        <v>73</v>
      </c>
      <c r="U1368" s="308"/>
      <c r="V1368" s="312"/>
    </row>
    <row r="1369">
      <c r="A1369" s="308">
        <v>1368.0</v>
      </c>
      <c r="B1369" s="308">
        <v>4583.0</v>
      </c>
      <c r="C1369" s="308">
        <v>1386.0</v>
      </c>
      <c r="D1369" s="308">
        <f>IFERROR(__xludf.DUMMYFUNCTION("SPLIT(C1369,""-"")"),1386.0)</f>
        <v>1386</v>
      </c>
      <c r="E1369" s="311"/>
      <c r="F1369" s="309" t="s">
        <v>34</v>
      </c>
      <c r="G1369" s="308"/>
      <c r="H1369" s="308" t="s">
        <v>5434</v>
      </c>
      <c r="I1369" s="310">
        <v>41583.0</v>
      </c>
      <c r="J1369" s="308">
        <f>IFERROR(__xludf.DUMMYFUNCTION("SPLIT(I1369,""/"")"),5.0)</f>
        <v>5</v>
      </c>
      <c r="K1369" s="308">
        <f>IFERROR(__xludf.DUMMYFUNCTION("""COMPUTED_VALUE"""),11.0)</f>
        <v>11</v>
      </c>
      <c r="L1369" s="308">
        <f>IFERROR(__xludf.DUMMYFUNCTION("""COMPUTED_VALUE"""),2013.0)</f>
        <v>2013</v>
      </c>
      <c r="M1369" s="308" t="s">
        <v>5435</v>
      </c>
      <c r="N1369" s="308"/>
      <c r="O1369" s="312" t="s">
        <v>5436</v>
      </c>
      <c r="P1369" s="308" t="s">
        <v>5437</v>
      </c>
      <c r="Q1369" s="308"/>
      <c r="R1369" s="308"/>
      <c r="S1369" s="308" t="s">
        <v>81</v>
      </c>
      <c r="T1369" s="311" t="s">
        <v>77</v>
      </c>
      <c r="U1369" s="308"/>
      <c r="V1369" s="312"/>
    </row>
    <row r="1370">
      <c r="A1370" s="308">
        <v>1369.0</v>
      </c>
      <c r="B1370" s="308">
        <v>4584.0</v>
      </c>
      <c r="C1370" s="308">
        <v>1387.0</v>
      </c>
      <c r="D1370" s="308">
        <f>IFERROR(__xludf.DUMMYFUNCTION("SPLIT(C1370,""-"")"),1387.0)</f>
        <v>1387</v>
      </c>
      <c r="E1370" s="311"/>
      <c r="F1370" s="309" t="s">
        <v>34</v>
      </c>
      <c r="G1370" s="308"/>
      <c r="H1370" s="308" t="s">
        <v>5438</v>
      </c>
      <c r="I1370" s="310">
        <v>40800.0</v>
      </c>
      <c r="J1370" s="308">
        <f>IFERROR(__xludf.DUMMYFUNCTION("SPLIT(I1370,""/"")"),14.0)</f>
        <v>14</v>
      </c>
      <c r="K1370" s="308">
        <f>IFERROR(__xludf.DUMMYFUNCTION("""COMPUTED_VALUE"""),9.0)</f>
        <v>9</v>
      </c>
      <c r="L1370" s="308">
        <f>IFERROR(__xludf.DUMMYFUNCTION("""COMPUTED_VALUE"""),2011.0)</f>
        <v>2011</v>
      </c>
      <c r="M1370" s="308" t="s">
        <v>5439</v>
      </c>
      <c r="N1370" s="308"/>
      <c r="O1370" s="312" t="s">
        <v>5440</v>
      </c>
      <c r="P1370" s="308" t="s">
        <v>1762</v>
      </c>
      <c r="Q1370" s="308"/>
      <c r="R1370" s="308"/>
      <c r="S1370" s="315" t="s">
        <v>100</v>
      </c>
      <c r="T1370" s="311" t="s">
        <v>34208</v>
      </c>
      <c r="U1370" s="308" t="s">
        <v>542</v>
      </c>
      <c r="V1370" s="312"/>
    </row>
    <row r="1371">
      <c r="A1371" s="308">
        <v>1370.0</v>
      </c>
      <c r="B1371" s="308">
        <v>4585.0</v>
      </c>
      <c r="C1371" s="308">
        <v>1388.0</v>
      </c>
      <c r="D1371" s="308">
        <f>IFERROR(__xludf.DUMMYFUNCTION("SPLIT(C1371,""-"")"),1388.0)</f>
        <v>1388</v>
      </c>
      <c r="E1371" s="311"/>
      <c r="F1371" s="309" t="s">
        <v>26</v>
      </c>
      <c r="G1371" s="308"/>
      <c r="H1371" s="308" t="s">
        <v>5441</v>
      </c>
      <c r="I1371" s="310">
        <v>41454.0</v>
      </c>
      <c r="J1371" s="308">
        <f>IFERROR(__xludf.DUMMYFUNCTION("SPLIT(I1371,""/"")"),29.0)</f>
        <v>29</v>
      </c>
      <c r="K1371" s="308">
        <f>IFERROR(__xludf.DUMMYFUNCTION("""COMPUTED_VALUE"""),6.0)</f>
        <v>6</v>
      </c>
      <c r="L1371" s="308">
        <f>IFERROR(__xludf.DUMMYFUNCTION("""COMPUTED_VALUE"""),2013.0)</f>
        <v>2013</v>
      </c>
      <c r="M1371" s="308" t="s">
        <v>5442</v>
      </c>
      <c r="N1371" s="308"/>
      <c r="O1371" s="312"/>
      <c r="P1371" s="308" t="s">
        <v>5443</v>
      </c>
      <c r="Q1371" s="308"/>
      <c r="R1371" s="308"/>
      <c r="S1371" s="308" t="s">
        <v>81</v>
      </c>
      <c r="T1371" s="308" t="s">
        <v>73</v>
      </c>
      <c r="U1371" s="308"/>
      <c r="V1371" s="312"/>
    </row>
    <row r="1372">
      <c r="A1372" s="308">
        <v>1371.0</v>
      </c>
      <c r="B1372" s="308">
        <v>4586.0</v>
      </c>
      <c r="C1372" s="308">
        <v>1389.0</v>
      </c>
      <c r="D1372" s="308">
        <f>IFERROR(__xludf.DUMMYFUNCTION("SPLIT(C1372,""-"")"),1389.0)</f>
        <v>1389</v>
      </c>
      <c r="E1372" s="311"/>
      <c r="F1372" s="309" t="s">
        <v>26</v>
      </c>
      <c r="G1372" s="308"/>
      <c r="H1372" s="308" t="s">
        <v>5444</v>
      </c>
      <c r="I1372" s="310">
        <v>41454.0</v>
      </c>
      <c r="J1372" s="308">
        <f>IFERROR(__xludf.DUMMYFUNCTION("SPLIT(I1372,""/"")"),29.0)</f>
        <v>29</v>
      </c>
      <c r="K1372" s="308">
        <f>IFERROR(__xludf.DUMMYFUNCTION("""COMPUTED_VALUE"""),6.0)</f>
        <v>6</v>
      </c>
      <c r="L1372" s="308">
        <f>IFERROR(__xludf.DUMMYFUNCTION("""COMPUTED_VALUE"""),2013.0)</f>
        <v>2013</v>
      </c>
      <c r="M1372" s="308" t="s">
        <v>5442</v>
      </c>
      <c r="N1372" s="308"/>
      <c r="O1372" s="312"/>
      <c r="P1372" s="312"/>
      <c r="Q1372" s="308"/>
      <c r="R1372" s="308"/>
      <c r="S1372" s="308" t="s">
        <v>79</v>
      </c>
      <c r="T1372" s="308" t="s">
        <v>79</v>
      </c>
      <c r="U1372" s="308"/>
      <c r="V1372" s="312"/>
    </row>
    <row r="1373">
      <c r="A1373" s="308">
        <v>1372.0</v>
      </c>
      <c r="B1373" s="308">
        <v>4587.0</v>
      </c>
      <c r="C1373" s="308">
        <v>1390.0</v>
      </c>
      <c r="D1373" s="308">
        <f>IFERROR(__xludf.DUMMYFUNCTION("SPLIT(C1373,""-"")"),1390.0)</f>
        <v>1390</v>
      </c>
      <c r="E1373" s="311"/>
      <c r="F1373" s="309" t="s">
        <v>34</v>
      </c>
      <c r="G1373" s="308" t="s">
        <v>5445</v>
      </c>
      <c r="H1373" s="308" t="s">
        <v>5446</v>
      </c>
      <c r="I1373" s="310">
        <v>39995.0</v>
      </c>
      <c r="J1373" s="308">
        <f>IFERROR(__xludf.DUMMYFUNCTION("SPLIT(I1373,""/"")"),1.0)</f>
        <v>1</v>
      </c>
      <c r="K1373" s="308">
        <f>IFERROR(__xludf.DUMMYFUNCTION("""COMPUTED_VALUE"""),7.0)</f>
        <v>7</v>
      </c>
      <c r="L1373" s="308">
        <f>IFERROR(__xludf.DUMMYFUNCTION("""COMPUTED_VALUE"""),2009.0)</f>
        <v>2009</v>
      </c>
      <c r="M1373" s="308" t="s">
        <v>5447</v>
      </c>
      <c r="N1373" s="308"/>
      <c r="O1373" s="312" t="s">
        <v>5448</v>
      </c>
      <c r="P1373" s="308" t="s">
        <v>1971</v>
      </c>
      <c r="Q1373" s="308"/>
      <c r="R1373" s="308"/>
      <c r="S1373" s="315" t="s">
        <v>100</v>
      </c>
      <c r="T1373" s="311" t="s">
        <v>34208</v>
      </c>
      <c r="U1373" s="308" t="s">
        <v>530</v>
      </c>
      <c r="V1373" s="312"/>
    </row>
    <row r="1374">
      <c r="A1374" s="308">
        <v>1373.0</v>
      </c>
      <c r="B1374" s="308">
        <v>4588.0</v>
      </c>
      <c r="C1374" s="308">
        <v>1391.0</v>
      </c>
      <c r="D1374" s="308">
        <f>IFERROR(__xludf.DUMMYFUNCTION("SPLIT(C1374,""-"")"),1391.0)</f>
        <v>1391</v>
      </c>
      <c r="E1374" s="311"/>
      <c r="F1374" s="309" t="s">
        <v>34</v>
      </c>
      <c r="G1374" s="308"/>
      <c r="H1374" s="308" t="s">
        <v>5449</v>
      </c>
      <c r="I1374" s="310">
        <v>40360.0</v>
      </c>
      <c r="J1374" s="308">
        <f>IFERROR(__xludf.DUMMYFUNCTION("SPLIT(I1374,""/"")"),1.0)</f>
        <v>1</v>
      </c>
      <c r="K1374" s="308">
        <f>IFERROR(__xludf.DUMMYFUNCTION("""COMPUTED_VALUE"""),7.0)</f>
        <v>7</v>
      </c>
      <c r="L1374" s="308">
        <f>IFERROR(__xludf.DUMMYFUNCTION("""COMPUTED_VALUE"""),2010.0)</f>
        <v>2010</v>
      </c>
      <c r="M1374" s="308" t="s">
        <v>5450</v>
      </c>
      <c r="N1374" s="308"/>
      <c r="O1374" s="312" t="s">
        <v>5451</v>
      </c>
      <c r="P1374" s="308" t="s">
        <v>5452</v>
      </c>
      <c r="Q1374" s="308"/>
      <c r="R1374" s="308"/>
      <c r="S1374" s="308" t="s">
        <v>81</v>
      </c>
      <c r="T1374" s="311" t="s">
        <v>88</v>
      </c>
      <c r="U1374" s="308"/>
      <c r="V1374" s="312"/>
    </row>
    <row r="1375">
      <c r="A1375" s="308">
        <v>1374.0</v>
      </c>
      <c r="B1375" s="308">
        <v>4589.0</v>
      </c>
      <c r="C1375" s="308">
        <v>1392.0</v>
      </c>
      <c r="D1375" s="308">
        <f>IFERROR(__xludf.DUMMYFUNCTION("SPLIT(C1375,""-"")"),1392.0)</f>
        <v>1392</v>
      </c>
      <c r="E1375" s="311"/>
      <c r="F1375" s="309" t="s">
        <v>34</v>
      </c>
      <c r="G1375" s="308"/>
      <c r="H1375" s="308" t="s">
        <v>5453</v>
      </c>
      <c r="I1375" s="310">
        <v>39995.0</v>
      </c>
      <c r="J1375" s="308">
        <f>IFERROR(__xludf.DUMMYFUNCTION("SPLIT(I1375,""/"")"),1.0)</f>
        <v>1</v>
      </c>
      <c r="K1375" s="308">
        <f>IFERROR(__xludf.DUMMYFUNCTION("""COMPUTED_VALUE"""),7.0)</f>
        <v>7</v>
      </c>
      <c r="L1375" s="308">
        <f>IFERROR(__xludf.DUMMYFUNCTION("""COMPUTED_VALUE"""),2009.0)</f>
        <v>2009</v>
      </c>
      <c r="M1375" s="308" t="s">
        <v>5454</v>
      </c>
      <c r="N1375" s="308"/>
      <c r="O1375" s="312" t="s">
        <v>5455</v>
      </c>
      <c r="P1375" s="308" t="s">
        <v>35669</v>
      </c>
      <c r="Q1375" s="308"/>
      <c r="R1375" s="308"/>
      <c r="S1375" s="315" t="s">
        <v>100</v>
      </c>
      <c r="T1375" s="311" t="s">
        <v>34208</v>
      </c>
      <c r="U1375" s="308" t="s">
        <v>137</v>
      </c>
      <c r="V1375" s="312"/>
    </row>
    <row r="1376">
      <c r="A1376" s="308">
        <v>1375.0</v>
      </c>
      <c r="B1376" s="308">
        <v>4590.0</v>
      </c>
      <c r="C1376" s="308">
        <v>1393.0</v>
      </c>
      <c r="D1376" s="308">
        <f>IFERROR(__xludf.DUMMYFUNCTION("SPLIT(C1376,""-"")"),1393.0)</f>
        <v>1393</v>
      </c>
      <c r="E1376" s="311"/>
      <c r="F1376" s="309" t="s">
        <v>34</v>
      </c>
      <c r="G1376" s="308" t="s">
        <v>5456</v>
      </c>
      <c r="H1376" s="308" t="s">
        <v>5457</v>
      </c>
      <c r="I1376" s="310">
        <v>40301.0</v>
      </c>
      <c r="J1376" s="308">
        <f>IFERROR(__xludf.DUMMYFUNCTION("SPLIT(I1376,""/"")"),3.0)</f>
        <v>3</v>
      </c>
      <c r="K1376" s="308">
        <f>IFERROR(__xludf.DUMMYFUNCTION("""COMPUTED_VALUE"""),5.0)</f>
        <v>5</v>
      </c>
      <c r="L1376" s="308">
        <f>IFERROR(__xludf.DUMMYFUNCTION("""COMPUTED_VALUE"""),2010.0)</f>
        <v>2010</v>
      </c>
      <c r="M1376" s="308" t="s">
        <v>5458</v>
      </c>
      <c r="N1376" s="308"/>
      <c r="O1376" s="312" t="s">
        <v>5459</v>
      </c>
      <c r="P1376" s="308" t="s">
        <v>5460</v>
      </c>
      <c r="Q1376" s="308"/>
      <c r="R1376" s="308"/>
      <c r="S1376" s="308" t="s">
        <v>81</v>
      </c>
      <c r="T1376" s="308" t="s">
        <v>34264</v>
      </c>
      <c r="U1376" s="308"/>
      <c r="V1376" s="312"/>
    </row>
    <row r="1377">
      <c r="A1377" s="308">
        <v>1376.0</v>
      </c>
      <c r="B1377" s="308">
        <v>4591.0</v>
      </c>
      <c r="C1377" s="308">
        <v>1394.0</v>
      </c>
      <c r="D1377" s="308">
        <f>IFERROR(__xludf.DUMMYFUNCTION("SPLIT(C1377,""-"")"),1394.0)</f>
        <v>1394</v>
      </c>
      <c r="E1377" s="311"/>
      <c r="F1377" s="309" t="s">
        <v>34</v>
      </c>
      <c r="G1377" s="308" t="s">
        <v>5461</v>
      </c>
      <c r="H1377" s="308" t="s">
        <v>5462</v>
      </c>
      <c r="I1377" s="310">
        <v>40151.0</v>
      </c>
      <c r="J1377" s="308">
        <f>IFERROR(__xludf.DUMMYFUNCTION("SPLIT(I1377,""/"")"),4.0)</f>
        <v>4</v>
      </c>
      <c r="K1377" s="308">
        <f>IFERROR(__xludf.DUMMYFUNCTION("""COMPUTED_VALUE"""),12.0)</f>
        <v>12</v>
      </c>
      <c r="L1377" s="308">
        <f>IFERROR(__xludf.DUMMYFUNCTION("""COMPUTED_VALUE"""),2009.0)</f>
        <v>2009</v>
      </c>
      <c r="M1377" s="308" t="s">
        <v>36083</v>
      </c>
      <c r="N1377" s="308"/>
      <c r="O1377" s="312" t="s">
        <v>635</v>
      </c>
      <c r="P1377" s="308" t="s">
        <v>5464</v>
      </c>
      <c r="Q1377" s="308"/>
      <c r="R1377" s="308"/>
      <c r="S1377" s="308" t="s">
        <v>81</v>
      </c>
      <c r="T1377" s="311" t="s">
        <v>98</v>
      </c>
      <c r="U1377" s="308"/>
      <c r="V1377" s="312"/>
    </row>
    <row r="1378">
      <c r="A1378" s="308">
        <v>1377.0</v>
      </c>
      <c r="B1378" s="308">
        <v>4592.0</v>
      </c>
      <c r="C1378" s="308">
        <v>1395.0</v>
      </c>
      <c r="D1378" s="308">
        <f>IFERROR(__xludf.DUMMYFUNCTION("SPLIT(C1378,""-"")"),1395.0)</f>
        <v>1395</v>
      </c>
      <c r="E1378" s="311"/>
      <c r="F1378" s="309" t="s">
        <v>26</v>
      </c>
      <c r="G1378" s="308" t="s">
        <v>5465</v>
      </c>
      <c r="H1378" s="308" t="s">
        <v>5466</v>
      </c>
      <c r="I1378" s="310">
        <v>41344.0</v>
      </c>
      <c r="J1378" s="308">
        <f>IFERROR(__xludf.DUMMYFUNCTION("SPLIT(I1378,""/"")"),11.0)</f>
        <v>11</v>
      </c>
      <c r="K1378" s="308">
        <f>IFERROR(__xludf.DUMMYFUNCTION("""COMPUTED_VALUE"""),3.0)</f>
        <v>3</v>
      </c>
      <c r="L1378" s="308">
        <f>IFERROR(__xludf.DUMMYFUNCTION("""COMPUTED_VALUE"""),2013.0)</f>
        <v>2013</v>
      </c>
      <c r="M1378" s="308" t="s">
        <v>5467</v>
      </c>
      <c r="N1378" s="308"/>
      <c r="O1378" s="312" t="s">
        <v>5468</v>
      </c>
      <c r="P1378" s="308" t="s">
        <v>5469</v>
      </c>
      <c r="Q1378" s="308"/>
      <c r="R1378" s="308"/>
      <c r="S1378" s="308" t="s">
        <v>81</v>
      </c>
      <c r="T1378" s="311" t="s">
        <v>77</v>
      </c>
      <c r="U1378" s="308"/>
      <c r="V1378" s="312"/>
    </row>
    <row r="1379">
      <c r="A1379" s="308">
        <v>1378.0</v>
      </c>
      <c r="B1379" s="308">
        <v>4593.0</v>
      </c>
      <c r="C1379" s="308">
        <v>1396.0</v>
      </c>
      <c r="D1379" s="308">
        <f>IFERROR(__xludf.DUMMYFUNCTION("SPLIT(C1379,""-"")"),1396.0)</f>
        <v>1396</v>
      </c>
      <c r="E1379" s="311"/>
      <c r="F1379" s="317" t="s">
        <v>39</v>
      </c>
      <c r="G1379" s="308" t="s">
        <v>5470</v>
      </c>
      <c r="H1379" s="308" t="s">
        <v>5471</v>
      </c>
      <c r="I1379" s="310">
        <v>41519.0</v>
      </c>
      <c r="J1379" s="308">
        <f>IFERROR(__xludf.DUMMYFUNCTION("SPLIT(I1379,""/"")"),2.0)</f>
        <v>2</v>
      </c>
      <c r="K1379" s="308">
        <f>IFERROR(__xludf.DUMMYFUNCTION("""COMPUTED_VALUE"""),9.0)</f>
        <v>9</v>
      </c>
      <c r="L1379" s="308">
        <f>IFERROR(__xludf.DUMMYFUNCTION("""COMPUTED_VALUE"""),2013.0)</f>
        <v>2013</v>
      </c>
      <c r="M1379" s="308" t="s">
        <v>5472</v>
      </c>
      <c r="N1379" s="308"/>
      <c r="O1379" s="312" t="s">
        <v>36084</v>
      </c>
      <c r="P1379" s="308" t="s">
        <v>5474</v>
      </c>
      <c r="Q1379" s="308"/>
      <c r="R1379" s="308"/>
      <c r="S1379" s="308" t="s">
        <v>81</v>
      </c>
      <c r="T1379" s="308" t="s">
        <v>98</v>
      </c>
      <c r="U1379" s="308"/>
      <c r="V1379" s="312"/>
    </row>
    <row r="1380">
      <c r="A1380" s="308">
        <v>1379.0</v>
      </c>
      <c r="B1380" s="308">
        <v>4594.0</v>
      </c>
      <c r="C1380" s="308">
        <v>1397.0</v>
      </c>
      <c r="D1380" s="308">
        <f>IFERROR(__xludf.DUMMYFUNCTION("SPLIT(C1380,""-"")"),1397.0)</f>
        <v>1397</v>
      </c>
      <c r="E1380" s="311"/>
      <c r="F1380" s="317" t="s">
        <v>39</v>
      </c>
      <c r="G1380" s="308" t="s">
        <v>5475</v>
      </c>
      <c r="H1380" s="308" t="s">
        <v>36085</v>
      </c>
      <c r="I1380" s="310">
        <v>41416.0</v>
      </c>
      <c r="J1380" s="308">
        <f>IFERROR(__xludf.DUMMYFUNCTION("SPLIT(I1380,""/"")"),22.0)</f>
        <v>22</v>
      </c>
      <c r="K1380" s="308">
        <f>IFERROR(__xludf.DUMMYFUNCTION("""COMPUTED_VALUE"""),5.0)</f>
        <v>5</v>
      </c>
      <c r="L1380" s="308">
        <f>IFERROR(__xludf.DUMMYFUNCTION("""COMPUTED_VALUE"""),2013.0)</f>
        <v>2013</v>
      </c>
      <c r="M1380" s="308" t="s">
        <v>5477</v>
      </c>
      <c r="N1380" s="308"/>
      <c r="O1380" s="312" t="s">
        <v>36086</v>
      </c>
      <c r="P1380" s="308" t="s">
        <v>36087</v>
      </c>
      <c r="Q1380" s="308"/>
      <c r="R1380" s="308"/>
      <c r="S1380" s="308" t="s">
        <v>81</v>
      </c>
      <c r="T1380" s="308" t="s">
        <v>75</v>
      </c>
      <c r="U1380" s="312"/>
      <c r="V1380" s="312"/>
    </row>
    <row r="1381">
      <c r="A1381" s="308">
        <v>1380.0</v>
      </c>
      <c r="B1381" s="308">
        <v>4595.0</v>
      </c>
      <c r="C1381" s="308">
        <v>1398.0</v>
      </c>
      <c r="D1381" s="308">
        <f>IFERROR(__xludf.DUMMYFUNCTION("SPLIT(C1381,""-"")"),1398.0)</f>
        <v>1398</v>
      </c>
      <c r="E1381" s="311"/>
      <c r="F1381" s="317" t="s">
        <v>39</v>
      </c>
      <c r="G1381" s="308"/>
      <c r="H1381" s="308" t="s">
        <v>5480</v>
      </c>
      <c r="I1381" s="314">
        <v>41589.0</v>
      </c>
      <c r="J1381" s="308">
        <f>IFERROR(__xludf.DUMMYFUNCTION("SPLIT(I1381,""/"")"),11.0)</f>
        <v>11</v>
      </c>
      <c r="K1381" s="308">
        <f>IFERROR(__xludf.DUMMYFUNCTION("""COMPUTED_VALUE"""),11.0)</f>
        <v>11</v>
      </c>
      <c r="L1381" s="308">
        <f>IFERROR(__xludf.DUMMYFUNCTION("""COMPUTED_VALUE"""),2013.0)</f>
        <v>2013</v>
      </c>
      <c r="M1381" s="308" t="s">
        <v>5481</v>
      </c>
      <c r="N1381" s="308"/>
      <c r="O1381" s="312" t="s">
        <v>635</v>
      </c>
      <c r="P1381" s="308" t="s">
        <v>5482</v>
      </c>
      <c r="Q1381" s="308"/>
      <c r="R1381" s="308"/>
      <c r="S1381" s="308" t="s">
        <v>81</v>
      </c>
      <c r="T1381" s="308" t="s">
        <v>75</v>
      </c>
      <c r="U1381" s="308"/>
      <c r="V1381" s="312"/>
    </row>
    <row r="1382">
      <c r="A1382" s="308">
        <v>1381.0</v>
      </c>
      <c r="B1382" s="308">
        <v>4596.0</v>
      </c>
      <c r="C1382" s="308">
        <v>1399.0</v>
      </c>
      <c r="D1382" s="308">
        <f>IFERROR(__xludf.DUMMYFUNCTION("SPLIT(C1382,""-"")"),1399.0)</f>
        <v>1399</v>
      </c>
      <c r="E1382" s="311"/>
      <c r="F1382" s="309" t="s">
        <v>26</v>
      </c>
      <c r="G1382" s="308"/>
      <c r="H1382" s="308" t="s">
        <v>5483</v>
      </c>
      <c r="I1382" s="310">
        <v>41392.0</v>
      </c>
      <c r="J1382" s="308">
        <f>IFERROR(__xludf.DUMMYFUNCTION("SPLIT(I1382,""/"")"),28.0)</f>
        <v>28</v>
      </c>
      <c r="K1382" s="308">
        <f>IFERROR(__xludf.DUMMYFUNCTION("""COMPUTED_VALUE"""),4.0)</f>
        <v>4</v>
      </c>
      <c r="L1382" s="308">
        <f>IFERROR(__xludf.DUMMYFUNCTION("""COMPUTED_VALUE"""),2013.0)</f>
        <v>2013</v>
      </c>
      <c r="M1382" s="308" t="s">
        <v>5484</v>
      </c>
      <c r="N1382" s="308"/>
      <c r="O1382" s="312"/>
      <c r="P1382" s="308" t="s">
        <v>5485</v>
      </c>
      <c r="Q1382" s="308"/>
      <c r="R1382" s="308"/>
      <c r="S1382" s="308" t="s">
        <v>81</v>
      </c>
      <c r="T1382" s="308" t="s">
        <v>75</v>
      </c>
      <c r="U1382" s="308"/>
      <c r="V1382" s="312"/>
    </row>
    <row r="1383">
      <c r="A1383" s="308">
        <v>1382.0</v>
      </c>
      <c r="B1383" s="308">
        <v>4597.0</v>
      </c>
      <c r="C1383" s="308">
        <v>1400.0</v>
      </c>
      <c r="D1383" s="308">
        <f>IFERROR(__xludf.DUMMYFUNCTION("SPLIT(C1383,""-"")"),1400.0)</f>
        <v>1400</v>
      </c>
      <c r="E1383" s="311"/>
      <c r="F1383" s="317" t="s">
        <v>37</v>
      </c>
      <c r="G1383" s="308"/>
      <c r="H1383" s="308" t="s">
        <v>5486</v>
      </c>
      <c r="I1383" s="310">
        <v>41520.0</v>
      </c>
      <c r="J1383" s="308">
        <f>IFERROR(__xludf.DUMMYFUNCTION("SPLIT(I1383,""/"")"),3.0)</f>
        <v>3</v>
      </c>
      <c r="K1383" s="308">
        <f>IFERROR(__xludf.DUMMYFUNCTION("""COMPUTED_VALUE"""),9.0)</f>
        <v>9</v>
      </c>
      <c r="L1383" s="308">
        <f>IFERROR(__xludf.DUMMYFUNCTION("""COMPUTED_VALUE"""),2013.0)</f>
        <v>2013</v>
      </c>
      <c r="M1383" s="308" t="s">
        <v>5487</v>
      </c>
      <c r="N1383" s="308"/>
      <c r="O1383" s="312" t="s">
        <v>36088</v>
      </c>
      <c r="P1383" s="308" t="s">
        <v>5489</v>
      </c>
      <c r="Q1383" s="308"/>
      <c r="R1383" s="308"/>
      <c r="S1383" s="308" t="s">
        <v>81</v>
      </c>
      <c r="T1383" s="311" t="s">
        <v>63</v>
      </c>
      <c r="U1383" s="308" t="s">
        <v>149</v>
      </c>
      <c r="V1383" s="312"/>
    </row>
    <row r="1384">
      <c r="A1384" s="308">
        <v>1383.0</v>
      </c>
      <c r="B1384" s="308">
        <v>4598.0</v>
      </c>
      <c r="C1384" s="308">
        <v>1401.0</v>
      </c>
      <c r="D1384" s="308">
        <f>IFERROR(__xludf.DUMMYFUNCTION("SPLIT(C1384,""-"")"),1401.0)</f>
        <v>1401</v>
      </c>
      <c r="E1384" s="311"/>
      <c r="F1384" s="309" t="s">
        <v>34</v>
      </c>
      <c r="G1384" s="308"/>
      <c r="H1384" s="308" t="s">
        <v>5490</v>
      </c>
      <c r="I1384" s="310">
        <v>41546.0</v>
      </c>
      <c r="J1384" s="308">
        <f>IFERROR(__xludf.DUMMYFUNCTION("SPLIT(I1384,""/"")"),29.0)</f>
        <v>29</v>
      </c>
      <c r="K1384" s="308">
        <f>IFERROR(__xludf.DUMMYFUNCTION("""COMPUTED_VALUE"""),9.0)</f>
        <v>9</v>
      </c>
      <c r="L1384" s="308">
        <f>IFERROR(__xludf.DUMMYFUNCTION("""COMPUTED_VALUE"""),2013.0)</f>
        <v>2013</v>
      </c>
      <c r="M1384" s="308" t="s">
        <v>5491</v>
      </c>
      <c r="N1384" s="308"/>
      <c r="O1384" s="312" t="s">
        <v>5492</v>
      </c>
      <c r="P1384" s="308" t="s">
        <v>5493</v>
      </c>
      <c r="Q1384" s="308"/>
      <c r="R1384" s="308"/>
      <c r="S1384" s="308" t="s">
        <v>81</v>
      </c>
      <c r="T1384" s="311" t="s">
        <v>77</v>
      </c>
      <c r="U1384" s="308"/>
      <c r="V1384" s="312"/>
    </row>
    <row r="1385">
      <c r="A1385" s="308">
        <v>1384.0</v>
      </c>
      <c r="B1385" s="308">
        <v>4599.0</v>
      </c>
      <c r="C1385" s="308">
        <v>1402.0</v>
      </c>
      <c r="D1385" s="308">
        <f>IFERROR(__xludf.DUMMYFUNCTION("SPLIT(C1385,""-"")"),1402.0)</f>
        <v>1402</v>
      </c>
      <c r="E1385" s="311"/>
      <c r="F1385" s="309" t="s">
        <v>34</v>
      </c>
      <c r="G1385" s="308"/>
      <c r="H1385" s="308" t="s">
        <v>5494</v>
      </c>
      <c r="I1385" s="310">
        <v>41546.0</v>
      </c>
      <c r="J1385" s="308">
        <f>IFERROR(__xludf.DUMMYFUNCTION("SPLIT(I1385,""/"")"),29.0)</f>
        <v>29</v>
      </c>
      <c r="K1385" s="308">
        <f>IFERROR(__xludf.DUMMYFUNCTION("""COMPUTED_VALUE"""),9.0)</f>
        <v>9</v>
      </c>
      <c r="L1385" s="308">
        <f>IFERROR(__xludf.DUMMYFUNCTION("""COMPUTED_VALUE"""),2013.0)</f>
        <v>2013</v>
      </c>
      <c r="M1385" s="308" t="s">
        <v>5491</v>
      </c>
      <c r="N1385" s="308"/>
      <c r="O1385" s="312" t="s">
        <v>5492</v>
      </c>
      <c r="P1385" s="308" t="s">
        <v>5493</v>
      </c>
      <c r="Q1385" s="308"/>
      <c r="R1385" s="308"/>
      <c r="S1385" s="308" t="s">
        <v>81</v>
      </c>
      <c r="T1385" s="311" t="s">
        <v>77</v>
      </c>
      <c r="U1385" s="308"/>
      <c r="V1385" s="312"/>
    </row>
    <row r="1386">
      <c r="A1386" s="308">
        <v>1385.0</v>
      </c>
      <c r="B1386" s="308">
        <v>4600.0</v>
      </c>
      <c r="C1386" s="308">
        <v>1403.0</v>
      </c>
      <c r="D1386" s="308">
        <f>IFERROR(__xludf.DUMMYFUNCTION("SPLIT(C1386,""-"")"),1403.0)</f>
        <v>1403</v>
      </c>
      <c r="E1386" s="311"/>
      <c r="F1386" s="309" t="s">
        <v>34</v>
      </c>
      <c r="G1386" s="308"/>
      <c r="H1386" s="308" t="s">
        <v>5495</v>
      </c>
      <c r="I1386" s="310">
        <v>41546.0</v>
      </c>
      <c r="J1386" s="308">
        <f>IFERROR(__xludf.DUMMYFUNCTION("SPLIT(I1386,""/"")"),29.0)</f>
        <v>29</v>
      </c>
      <c r="K1386" s="308">
        <f>IFERROR(__xludf.DUMMYFUNCTION("""COMPUTED_VALUE"""),9.0)</f>
        <v>9</v>
      </c>
      <c r="L1386" s="308">
        <f>IFERROR(__xludf.DUMMYFUNCTION("""COMPUTED_VALUE"""),2013.0)</f>
        <v>2013</v>
      </c>
      <c r="M1386" s="308" t="s">
        <v>5491</v>
      </c>
      <c r="N1386" s="308"/>
      <c r="O1386" s="312" t="s">
        <v>5492</v>
      </c>
      <c r="P1386" s="308" t="s">
        <v>5493</v>
      </c>
      <c r="Q1386" s="308"/>
      <c r="R1386" s="308"/>
      <c r="S1386" s="308" t="s">
        <v>81</v>
      </c>
      <c r="T1386" s="311" t="s">
        <v>77</v>
      </c>
      <c r="U1386" s="308"/>
      <c r="V1386" s="312"/>
    </row>
    <row r="1387">
      <c r="A1387" s="308">
        <v>1386.0</v>
      </c>
      <c r="B1387" s="308">
        <v>4601.0</v>
      </c>
      <c r="C1387" s="308">
        <v>1404.0</v>
      </c>
      <c r="D1387" s="308">
        <f>IFERROR(__xludf.DUMMYFUNCTION("SPLIT(C1387,""-"")"),1404.0)</f>
        <v>1404</v>
      </c>
      <c r="E1387" s="311"/>
      <c r="F1387" s="309" t="s">
        <v>34</v>
      </c>
      <c r="G1387" s="308"/>
      <c r="H1387" s="308" t="s">
        <v>5496</v>
      </c>
      <c r="I1387" s="310">
        <v>41546.0</v>
      </c>
      <c r="J1387" s="308">
        <f>IFERROR(__xludf.DUMMYFUNCTION("SPLIT(I1387,""/"")"),29.0)</f>
        <v>29</v>
      </c>
      <c r="K1387" s="308">
        <f>IFERROR(__xludf.DUMMYFUNCTION("""COMPUTED_VALUE"""),9.0)</f>
        <v>9</v>
      </c>
      <c r="L1387" s="308">
        <f>IFERROR(__xludf.DUMMYFUNCTION("""COMPUTED_VALUE"""),2013.0)</f>
        <v>2013</v>
      </c>
      <c r="M1387" s="308" t="s">
        <v>5491</v>
      </c>
      <c r="N1387" s="308"/>
      <c r="O1387" s="312" t="s">
        <v>5492</v>
      </c>
      <c r="P1387" s="308" t="s">
        <v>5493</v>
      </c>
      <c r="Q1387" s="308"/>
      <c r="R1387" s="308"/>
      <c r="S1387" s="308" t="s">
        <v>81</v>
      </c>
      <c r="T1387" s="311" t="s">
        <v>77</v>
      </c>
      <c r="U1387" s="308"/>
      <c r="V1387" s="312"/>
    </row>
    <row r="1388">
      <c r="A1388" s="308">
        <v>1387.0</v>
      </c>
      <c r="B1388" s="308">
        <v>4602.0</v>
      </c>
      <c r="C1388" s="308">
        <v>1405.0</v>
      </c>
      <c r="D1388" s="308">
        <f>IFERROR(__xludf.DUMMYFUNCTION("SPLIT(C1388,""-"")"),1405.0)</f>
        <v>1405</v>
      </c>
      <c r="E1388" s="311"/>
      <c r="F1388" s="309" t="s">
        <v>34</v>
      </c>
      <c r="G1388" s="308"/>
      <c r="H1388" s="308" t="s">
        <v>5497</v>
      </c>
      <c r="I1388" s="310">
        <v>41546.0</v>
      </c>
      <c r="J1388" s="308">
        <f>IFERROR(__xludf.DUMMYFUNCTION("SPLIT(I1388,""/"")"),29.0)</f>
        <v>29</v>
      </c>
      <c r="K1388" s="308">
        <f>IFERROR(__xludf.DUMMYFUNCTION("""COMPUTED_VALUE"""),9.0)</f>
        <v>9</v>
      </c>
      <c r="L1388" s="308">
        <f>IFERROR(__xludf.DUMMYFUNCTION("""COMPUTED_VALUE"""),2013.0)</f>
        <v>2013</v>
      </c>
      <c r="M1388" s="308" t="s">
        <v>5491</v>
      </c>
      <c r="N1388" s="308"/>
      <c r="O1388" s="312" t="s">
        <v>36089</v>
      </c>
      <c r="P1388" s="308" t="s">
        <v>5499</v>
      </c>
      <c r="Q1388" s="308"/>
      <c r="R1388" s="308"/>
      <c r="S1388" s="308" t="s">
        <v>81</v>
      </c>
      <c r="T1388" s="308" t="s">
        <v>34264</v>
      </c>
      <c r="U1388" s="308" t="s">
        <v>125</v>
      </c>
      <c r="V1388" s="312"/>
    </row>
    <row r="1389">
      <c r="A1389" s="308">
        <v>1388.0</v>
      </c>
      <c r="B1389" s="308">
        <v>4603.0</v>
      </c>
      <c r="C1389" s="308">
        <v>1406.0</v>
      </c>
      <c r="D1389" s="308">
        <f>IFERROR(__xludf.DUMMYFUNCTION("SPLIT(C1389,""-"")"),1406.0)</f>
        <v>1406</v>
      </c>
      <c r="E1389" s="311"/>
      <c r="F1389" s="317" t="s">
        <v>37</v>
      </c>
      <c r="G1389" s="308"/>
      <c r="H1389" s="308" t="s">
        <v>5500</v>
      </c>
      <c r="I1389" s="310">
        <v>41523.0</v>
      </c>
      <c r="J1389" s="308">
        <f>IFERROR(__xludf.DUMMYFUNCTION("SPLIT(I1389,""/"")"),6.0)</f>
        <v>6</v>
      </c>
      <c r="K1389" s="308">
        <f>IFERROR(__xludf.DUMMYFUNCTION("""COMPUTED_VALUE"""),9.0)</f>
        <v>9</v>
      </c>
      <c r="L1389" s="308">
        <f>IFERROR(__xludf.DUMMYFUNCTION("""COMPUTED_VALUE"""),2013.0)</f>
        <v>2013</v>
      </c>
      <c r="M1389" s="308" t="s">
        <v>5501</v>
      </c>
      <c r="N1389" s="308"/>
      <c r="O1389" s="312" t="s">
        <v>36090</v>
      </c>
      <c r="P1389" s="308" t="s">
        <v>5503</v>
      </c>
      <c r="Q1389" s="308"/>
      <c r="R1389" s="308"/>
      <c r="S1389" s="308" t="s">
        <v>81</v>
      </c>
      <c r="T1389" s="311" t="s">
        <v>63</v>
      </c>
      <c r="U1389" s="308"/>
      <c r="V1389" s="312"/>
    </row>
    <row r="1390">
      <c r="A1390" s="308">
        <v>1389.0</v>
      </c>
      <c r="B1390" s="308">
        <v>4604.0</v>
      </c>
      <c r="C1390" s="308">
        <v>1407.0</v>
      </c>
      <c r="D1390" s="308">
        <f>IFERROR(__xludf.DUMMYFUNCTION("SPLIT(C1390,""-"")"),1407.0)</f>
        <v>1407</v>
      </c>
      <c r="E1390" s="311"/>
      <c r="F1390" s="317" t="s">
        <v>37</v>
      </c>
      <c r="G1390" s="308"/>
      <c r="H1390" s="308" t="s">
        <v>5504</v>
      </c>
      <c r="I1390" s="310">
        <v>41523.0</v>
      </c>
      <c r="J1390" s="308">
        <f>IFERROR(__xludf.DUMMYFUNCTION("SPLIT(I1390,""/"")"),6.0)</f>
        <v>6</v>
      </c>
      <c r="K1390" s="308">
        <f>IFERROR(__xludf.DUMMYFUNCTION("""COMPUTED_VALUE"""),9.0)</f>
        <v>9</v>
      </c>
      <c r="L1390" s="308">
        <f>IFERROR(__xludf.DUMMYFUNCTION("""COMPUTED_VALUE"""),2013.0)</f>
        <v>2013</v>
      </c>
      <c r="M1390" s="308" t="s">
        <v>5505</v>
      </c>
      <c r="N1390" s="308"/>
      <c r="O1390" s="312" t="s">
        <v>36090</v>
      </c>
      <c r="P1390" s="308" t="s">
        <v>5506</v>
      </c>
      <c r="Q1390" s="308"/>
      <c r="R1390" s="308"/>
      <c r="S1390" s="308" t="s">
        <v>49</v>
      </c>
      <c r="T1390" s="311" t="s">
        <v>61</v>
      </c>
      <c r="U1390" s="308" t="s">
        <v>149</v>
      </c>
      <c r="V1390" s="312"/>
    </row>
    <row r="1391">
      <c r="A1391" s="308">
        <v>1390.0</v>
      </c>
      <c r="B1391" s="308">
        <v>4605.0</v>
      </c>
      <c r="C1391" s="308">
        <v>1408.0</v>
      </c>
      <c r="D1391" s="308">
        <f>IFERROR(__xludf.DUMMYFUNCTION("SPLIT(C1391,""-"")"),1408.0)</f>
        <v>1408</v>
      </c>
      <c r="E1391" s="311"/>
      <c r="F1391" s="309" t="s">
        <v>34</v>
      </c>
      <c r="G1391" s="308"/>
      <c r="H1391" s="308" t="s">
        <v>5507</v>
      </c>
      <c r="I1391" s="310">
        <v>41402.0</v>
      </c>
      <c r="J1391" s="308">
        <f>IFERROR(__xludf.DUMMYFUNCTION("SPLIT(I1391,""/"")"),8.0)</f>
        <v>8</v>
      </c>
      <c r="K1391" s="308">
        <f>IFERROR(__xludf.DUMMYFUNCTION("""COMPUTED_VALUE"""),5.0)</f>
        <v>5</v>
      </c>
      <c r="L1391" s="308">
        <f>IFERROR(__xludf.DUMMYFUNCTION("""COMPUTED_VALUE"""),2013.0)</f>
        <v>2013</v>
      </c>
      <c r="M1391" s="308" t="s">
        <v>5508</v>
      </c>
      <c r="N1391" s="308"/>
      <c r="O1391" s="312" t="s">
        <v>635</v>
      </c>
      <c r="P1391" s="308" t="s">
        <v>5509</v>
      </c>
      <c r="Q1391" s="308"/>
      <c r="R1391" s="308"/>
      <c r="S1391" s="308" t="s">
        <v>81</v>
      </c>
      <c r="T1391" s="308" t="s">
        <v>34264</v>
      </c>
      <c r="U1391" s="308"/>
      <c r="V1391" s="312"/>
    </row>
    <row r="1392">
      <c r="A1392" s="308">
        <v>1391.0</v>
      </c>
      <c r="B1392" s="308">
        <v>4606.0</v>
      </c>
      <c r="C1392" s="308">
        <v>1409.0</v>
      </c>
      <c r="D1392" s="308">
        <f>IFERROR(__xludf.DUMMYFUNCTION("SPLIT(C1392,""-"")"),1409.0)</f>
        <v>1409</v>
      </c>
      <c r="E1392" s="311"/>
      <c r="F1392" s="309" t="s">
        <v>34</v>
      </c>
      <c r="G1392" s="308"/>
      <c r="H1392" s="308" t="s">
        <v>5510</v>
      </c>
      <c r="I1392" s="310">
        <v>41402.0</v>
      </c>
      <c r="J1392" s="308">
        <f>IFERROR(__xludf.DUMMYFUNCTION("SPLIT(I1392,""/"")"),8.0)</f>
        <v>8</v>
      </c>
      <c r="K1392" s="308">
        <f>IFERROR(__xludf.DUMMYFUNCTION("""COMPUTED_VALUE"""),5.0)</f>
        <v>5</v>
      </c>
      <c r="L1392" s="308">
        <f>IFERROR(__xludf.DUMMYFUNCTION("""COMPUTED_VALUE"""),2013.0)</f>
        <v>2013</v>
      </c>
      <c r="M1392" s="308" t="s">
        <v>5508</v>
      </c>
      <c r="N1392" s="308"/>
      <c r="O1392" s="312" t="s">
        <v>635</v>
      </c>
      <c r="P1392" s="308" t="s">
        <v>5509</v>
      </c>
      <c r="Q1392" s="308"/>
      <c r="R1392" s="308"/>
      <c r="S1392" s="308" t="s">
        <v>81</v>
      </c>
      <c r="T1392" s="308" t="s">
        <v>34264</v>
      </c>
      <c r="U1392" s="308"/>
      <c r="V1392" s="312"/>
    </row>
    <row r="1393">
      <c r="A1393" s="308">
        <v>1392.0</v>
      </c>
      <c r="B1393" s="308">
        <v>4607.0</v>
      </c>
      <c r="C1393" s="308">
        <v>1410.0</v>
      </c>
      <c r="D1393" s="308">
        <f>IFERROR(__xludf.DUMMYFUNCTION("SPLIT(C1393,""-"")"),1410.0)</f>
        <v>1410</v>
      </c>
      <c r="E1393" s="311"/>
      <c r="F1393" s="309" t="s">
        <v>34</v>
      </c>
      <c r="G1393" s="308"/>
      <c r="H1393" s="308" t="s">
        <v>5511</v>
      </c>
      <c r="I1393" s="310">
        <v>41402.0</v>
      </c>
      <c r="J1393" s="308">
        <f>IFERROR(__xludf.DUMMYFUNCTION("SPLIT(I1393,""/"")"),8.0)</f>
        <v>8</v>
      </c>
      <c r="K1393" s="308">
        <f>IFERROR(__xludf.DUMMYFUNCTION("""COMPUTED_VALUE"""),5.0)</f>
        <v>5</v>
      </c>
      <c r="L1393" s="308">
        <f>IFERROR(__xludf.DUMMYFUNCTION("""COMPUTED_VALUE"""),2013.0)</f>
        <v>2013</v>
      </c>
      <c r="M1393" s="308" t="s">
        <v>5508</v>
      </c>
      <c r="N1393" s="308"/>
      <c r="O1393" s="312" t="s">
        <v>635</v>
      </c>
      <c r="P1393" s="308" t="s">
        <v>5509</v>
      </c>
      <c r="Q1393" s="308"/>
      <c r="R1393" s="308"/>
      <c r="S1393" s="308" t="s">
        <v>81</v>
      </c>
      <c r="T1393" s="308" t="s">
        <v>34264</v>
      </c>
      <c r="U1393" s="308"/>
      <c r="V1393" s="312"/>
    </row>
    <row r="1394">
      <c r="A1394" s="308">
        <v>1393.0</v>
      </c>
      <c r="B1394" s="308">
        <v>4608.0</v>
      </c>
      <c r="C1394" s="308">
        <v>1411.0</v>
      </c>
      <c r="D1394" s="308">
        <f>IFERROR(__xludf.DUMMYFUNCTION("SPLIT(C1394,""-"")"),1411.0)</f>
        <v>1411</v>
      </c>
      <c r="E1394" s="311"/>
      <c r="F1394" s="317" t="s">
        <v>37</v>
      </c>
      <c r="G1394" s="308"/>
      <c r="H1394" s="308" t="s">
        <v>5512</v>
      </c>
      <c r="I1394" s="310">
        <v>41140.0</v>
      </c>
      <c r="J1394" s="308">
        <f>IFERROR(__xludf.DUMMYFUNCTION("SPLIT(I1394,""/"")"),19.0)</f>
        <v>19</v>
      </c>
      <c r="K1394" s="308">
        <f>IFERROR(__xludf.DUMMYFUNCTION("""COMPUTED_VALUE"""),8.0)</f>
        <v>8</v>
      </c>
      <c r="L1394" s="308">
        <f>IFERROR(__xludf.DUMMYFUNCTION("""COMPUTED_VALUE"""),2012.0)</f>
        <v>2012</v>
      </c>
      <c r="M1394" s="308" t="s">
        <v>5513</v>
      </c>
      <c r="N1394" s="308"/>
      <c r="O1394" s="312" t="s">
        <v>5514</v>
      </c>
      <c r="P1394" s="308" t="s">
        <v>3326</v>
      </c>
      <c r="Q1394" s="308"/>
      <c r="R1394" s="308"/>
      <c r="S1394" s="315" t="s">
        <v>100</v>
      </c>
      <c r="T1394" s="311" t="s">
        <v>34208</v>
      </c>
      <c r="U1394" s="308" t="s">
        <v>3327</v>
      </c>
      <c r="V1394" s="312"/>
    </row>
    <row r="1395">
      <c r="A1395" s="308">
        <v>1394.0</v>
      </c>
      <c r="B1395" s="308">
        <v>4609.0</v>
      </c>
      <c r="C1395" s="308">
        <v>1412.0</v>
      </c>
      <c r="D1395" s="308">
        <f>IFERROR(__xludf.DUMMYFUNCTION("SPLIT(C1395,""-"")"),1412.0)</f>
        <v>1412</v>
      </c>
      <c r="E1395" s="311"/>
      <c r="F1395" s="317" t="s">
        <v>39</v>
      </c>
      <c r="G1395" s="308" t="s">
        <v>5515</v>
      </c>
      <c r="H1395" s="308" t="s">
        <v>5516</v>
      </c>
      <c r="I1395" s="314">
        <v>41567.0</v>
      </c>
      <c r="J1395" s="308">
        <f>IFERROR(__xludf.DUMMYFUNCTION("SPLIT(I1395,""/"")"),20.0)</f>
        <v>20</v>
      </c>
      <c r="K1395" s="308">
        <f>IFERROR(__xludf.DUMMYFUNCTION("""COMPUTED_VALUE"""),10.0)</f>
        <v>10</v>
      </c>
      <c r="L1395" s="308">
        <f>IFERROR(__xludf.DUMMYFUNCTION("""COMPUTED_VALUE"""),2013.0)</f>
        <v>2013</v>
      </c>
      <c r="M1395" s="308" t="s">
        <v>5517</v>
      </c>
      <c r="N1395" s="308"/>
      <c r="O1395" s="312" t="s">
        <v>635</v>
      </c>
      <c r="P1395" s="308" t="s">
        <v>36091</v>
      </c>
      <c r="Q1395" s="308"/>
      <c r="R1395" s="308"/>
      <c r="S1395" s="308" t="s">
        <v>81</v>
      </c>
      <c r="T1395" s="308" t="s">
        <v>75</v>
      </c>
      <c r="U1395" s="312"/>
      <c r="V1395" s="312"/>
    </row>
    <row r="1396">
      <c r="A1396" s="308">
        <v>1395.0</v>
      </c>
      <c r="B1396" s="308">
        <v>4610.0</v>
      </c>
      <c r="C1396" s="308">
        <v>1413.0</v>
      </c>
      <c r="D1396" s="308">
        <f>IFERROR(__xludf.DUMMYFUNCTION("SPLIT(C1396,""-"")"),1413.0)</f>
        <v>1413</v>
      </c>
      <c r="E1396" s="311"/>
      <c r="F1396" s="317" t="s">
        <v>39</v>
      </c>
      <c r="G1396" s="308" t="s">
        <v>5515</v>
      </c>
      <c r="H1396" s="308" t="s">
        <v>5519</v>
      </c>
      <c r="I1396" s="314">
        <v>41567.0</v>
      </c>
      <c r="J1396" s="308">
        <f>IFERROR(__xludf.DUMMYFUNCTION("SPLIT(I1396,""/"")"),20.0)</f>
        <v>20</v>
      </c>
      <c r="K1396" s="308">
        <f>IFERROR(__xludf.DUMMYFUNCTION("""COMPUTED_VALUE"""),10.0)</f>
        <v>10</v>
      </c>
      <c r="L1396" s="308">
        <f>IFERROR(__xludf.DUMMYFUNCTION("""COMPUTED_VALUE"""),2013.0)</f>
        <v>2013</v>
      </c>
      <c r="M1396" s="308" t="s">
        <v>5517</v>
      </c>
      <c r="N1396" s="308"/>
      <c r="O1396" s="312" t="s">
        <v>635</v>
      </c>
      <c r="P1396" s="308" t="s">
        <v>36092</v>
      </c>
      <c r="Q1396" s="308"/>
      <c r="R1396" s="308"/>
      <c r="S1396" s="308" t="s">
        <v>81</v>
      </c>
      <c r="T1396" s="308" t="s">
        <v>75</v>
      </c>
      <c r="U1396" s="312"/>
      <c r="V1396" s="312"/>
    </row>
    <row r="1397">
      <c r="A1397" s="308">
        <v>1396.0</v>
      </c>
      <c r="B1397" s="308">
        <v>4611.0</v>
      </c>
      <c r="C1397" s="308">
        <v>1414.0</v>
      </c>
      <c r="D1397" s="308">
        <f>IFERROR(__xludf.DUMMYFUNCTION("SPLIT(C1397,""-"")"),1414.0)</f>
        <v>1414</v>
      </c>
      <c r="E1397" s="311"/>
      <c r="F1397" s="317" t="s">
        <v>37</v>
      </c>
      <c r="G1397" s="308"/>
      <c r="H1397" s="308" t="s">
        <v>5521</v>
      </c>
      <c r="I1397" s="310">
        <v>41509.0</v>
      </c>
      <c r="J1397" s="308">
        <f>IFERROR(__xludf.DUMMYFUNCTION("SPLIT(I1397,""/"")"),23.0)</f>
        <v>23</v>
      </c>
      <c r="K1397" s="308">
        <f>IFERROR(__xludf.DUMMYFUNCTION("""COMPUTED_VALUE"""),8.0)</f>
        <v>8</v>
      </c>
      <c r="L1397" s="308">
        <f>IFERROR(__xludf.DUMMYFUNCTION("""COMPUTED_VALUE"""),2013.0)</f>
        <v>2013</v>
      </c>
      <c r="M1397" s="308" t="s">
        <v>5522</v>
      </c>
      <c r="N1397" s="308"/>
      <c r="O1397" s="312" t="s">
        <v>36093</v>
      </c>
      <c r="P1397" s="308" t="s">
        <v>5524</v>
      </c>
      <c r="Q1397" s="308"/>
      <c r="R1397" s="308"/>
      <c r="S1397" s="308" t="s">
        <v>49</v>
      </c>
      <c r="T1397" s="311" t="s">
        <v>53</v>
      </c>
      <c r="U1397" s="308"/>
      <c r="V1397" s="312"/>
    </row>
    <row r="1398">
      <c r="A1398" s="308">
        <v>1397.0</v>
      </c>
      <c r="B1398" s="308">
        <v>4612.0</v>
      </c>
      <c r="C1398" s="308">
        <v>1415.0</v>
      </c>
      <c r="D1398" s="308">
        <f>IFERROR(__xludf.DUMMYFUNCTION("SPLIT(C1398,""-"")"),1415.0)</f>
        <v>1415</v>
      </c>
      <c r="E1398" s="311"/>
      <c r="F1398" s="317" t="s">
        <v>37</v>
      </c>
      <c r="G1398" s="308"/>
      <c r="H1398" s="308" t="s">
        <v>5525</v>
      </c>
      <c r="I1398" s="310">
        <v>41513.0</v>
      </c>
      <c r="J1398" s="308">
        <f>IFERROR(__xludf.DUMMYFUNCTION("SPLIT(I1398,""/"")"),27.0)</f>
        <v>27</v>
      </c>
      <c r="K1398" s="308">
        <f>IFERROR(__xludf.DUMMYFUNCTION("""COMPUTED_VALUE"""),8.0)</f>
        <v>8</v>
      </c>
      <c r="L1398" s="308">
        <f>IFERROR(__xludf.DUMMYFUNCTION("""COMPUTED_VALUE"""),2013.0)</f>
        <v>2013</v>
      </c>
      <c r="M1398" s="308" t="s">
        <v>5526</v>
      </c>
      <c r="N1398" s="308"/>
      <c r="O1398" s="312" t="s">
        <v>5527</v>
      </c>
      <c r="P1398" s="308" t="s">
        <v>5528</v>
      </c>
      <c r="Q1398" s="308"/>
      <c r="R1398" s="308"/>
      <c r="S1398" s="308" t="s">
        <v>81</v>
      </c>
      <c r="T1398" s="308" t="s">
        <v>75</v>
      </c>
      <c r="U1398" s="308"/>
      <c r="V1398" s="312"/>
    </row>
    <row r="1399">
      <c r="A1399" s="308">
        <v>1398.0</v>
      </c>
      <c r="B1399" s="308">
        <v>4613.0</v>
      </c>
      <c r="C1399" s="308">
        <v>1416.0</v>
      </c>
      <c r="D1399" s="308">
        <f>IFERROR(__xludf.DUMMYFUNCTION("SPLIT(C1399,""-"")"),1416.0)</f>
        <v>1416</v>
      </c>
      <c r="E1399" s="311"/>
      <c r="F1399" s="317" t="s">
        <v>37</v>
      </c>
      <c r="G1399" s="308"/>
      <c r="H1399" s="308" t="s">
        <v>5529</v>
      </c>
      <c r="I1399" s="310">
        <v>41448.0</v>
      </c>
      <c r="J1399" s="308">
        <f>IFERROR(__xludf.DUMMYFUNCTION("SPLIT(I1399,""/"")"),23.0)</f>
        <v>23</v>
      </c>
      <c r="K1399" s="308">
        <f>IFERROR(__xludf.DUMMYFUNCTION("""COMPUTED_VALUE"""),6.0)</f>
        <v>6</v>
      </c>
      <c r="L1399" s="308">
        <f>IFERROR(__xludf.DUMMYFUNCTION("""COMPUTED_VALUE"""),2013.0)</f>
        <v>2013</v>
      </c>
      <c r="M1399" s="308" t="s">
        <v>5530</v>
      </c>
      <c r="N1399" s="308"/>
      <c r="O1399" s="312" t="s">
        <v>5531</v>
      </c>
      <c r="P1399" s="308" t="s">
        <v>36094</v>
      </c>
      <c r="Q1399" s="308"/>
      <c r="R1399" s="308"/>
      <c r="S1399" s="308" t="s">
        <v>49</v>
      </c>
      <c r="T1399" s="311" t="s">
        <v>51</v>
      </c>
      <c r="U1399" s="308" t="s">
        <v>149</v>
      </c>
      <c r="V1399" s="312"/>
    </row>
    <row r="1400">
      <c r="A1400" s="308">
        <v>1399.0</v>
      </c>
      <c r="B1400" s="308">
        <v>4614.0</v>
      </c>
      <c r="C1400" s="308">
        <v>1417.0</v>
      </c>
      <c r="D1400" s="308">
        <f>IFERROR(__xludf.DUMMYFUNCTION("SPLIT(C1400,""-"")"),1417.0)</f>
        <v>1417</v>
      </c>
      <c r="E1400" s="311"/>
      <c r="F1400" s="317" t="s">
        <v>37</v>
      </c>
      <c r="G1400" s="308"/>
      <c r="H1400" s="308" t="s">
        <v>5533</v>
      </c>
      <c r="I1400" s="310">
        <v>41438.0</v>
      </c>
      <c r="J1400" s="308">
        <f>IFERROR(__xludf.DUMMYFUNCTION("SPLIT(I1400,""/"")"),13.0)</f>
        <v>13</v>
      </c>
      <c r="K1400" s="308">
        <f>IFERROR(__xludf.DUMMYFUNCTION("""COMPUTED_VALUE"""),6.0)</f>
        <v>6</v>
      </c>
      <c r="L1400" s="308">
        <f>IFERROR(__xludf.DUMMYFUNCTION("""COMPUTED_VALUE"""),2013.0)</f>
        <v>2013</v>
      </c>
      <c r="M1400" s="308" t="s">
        <v>5534</v>
      </c>
      <c r="N1400" s="308"/>
      <c r="O1400" s="312" t="s">
        <v>5535</v>
      </c>
      <c r="P1400" s="308" t="s">
        <v>5536</v>
      </c>
      <c r="Q1400" s="308"/>
      <c r="R1400" s="308"/>
      <c r="S1400" s="315" t="s">
        <v>100</v>
      </c>
      <c r="T1400" s="311" t="s">
        <v>34208</v>
      </c>
      <c r="U1400" s="308" t="s">
        <v>5537</v>
      </c>
      <c r="V1400" s="312"/>
    </row>
    <row r="1401">
      <c r="A1401" s="308">
        <v>1400.0</v>
      </c>
      <c r="B1401" s="308">
        <v>4615.0</v>
      </c>
      <c r="C1401" s="308">
        <v>1418.0</v>
      </c>
      <c r="D1401" s="308">
        <f>IFERROR(__xludf.DUMMYFUNCTION("SPLIT(C1401,""-"")"),1418.0)</f>
        <v>1418</v>
      </c>
      <c r="E1401" s="311"/>
      <c r="F1401" s="317" t="s">
        <v>39</v>
      </c>
      <c r="G1401" s="308" t="s">
        <v>5538</v>
      </c>
      <c r="H1401" s="308" t="s">
        <v>5539</v>
      </c>
      <c r="I1401" s="310">
        <v>39539.0</v>
      </c>
      <c r="J1401" s="308">
        <f>IFERROR(__xludf.DUMMYFUNCTION("SPLIT(I1401,""/"")"),1.0)</f>
        <v>1</v>
      </c>
      <c r="K1401" s="308">
        <f>IFERROR(__xludf.DUMMYFUNCTION("""COMPUTED_VALUE"""),4.0)</f>
        <v>4</v>
      </c>
      <c r="L1401" s="308">
        <f>IFERROR(__xludf.DUMMYFUNCTION("""COMPUTED_VALUE"""),2008.0)</f>
        <v>2008</v>
      </c>
      <c r="M1401" s="308" t="s">
        <v>5540</v>
      </c>
      <c r="N1401" s="308"/>
      <c r="O1401" s="312" t="s">
        <v>5541</v>
      </c>
      <c r="P1401" s="308" t="s">
        <v>5542</v>
      </c>
      <c r="Q1401" s="308"/>
      <c r="R1401" s="308"/>
      <c r="S1401" s="308" t="s">
        <v>49</v>
      </c>
      <c r="T1401" s="311" t="s">
        <v>51</v>
      </c>
      <c r="U1401" s="308" t="s">
        <v>4001</v>
      </c>
      <c r="V1401" s="312"/>
    </row>
    <row r="1402">
      <c r="A1402" s="308">
        <v>1401.0</v>
      </c>
      <c r="B1402" s="308">
        <v>4616.0</v>
      </c>
      <c r="C1402" s="308">
        <v>1419.0</v>
      </c>
      <c r="D1402" s="308">
        <f>IFERROR(__xludf.DUMMYFUNCTION("SPLIT(C1402,""-"")"),1419.0)</f>
        <v>1419</v>
      </c>
      <c r="E1402" s="311"/>
      <c r="F1402" s="309" t="s">
        <v>34</v>
      </c>
      <c r="G1402" s="308"/>
      <c r="H1402" s="308" t="s">
        <v>5543</v>
      </c>
      <c r="I1402" s="310">
        <v>39995.0</v>
      </c>
      <c r="J1402" s="308">
        <f>IFERROR(__xludf.DUMMYFUNCTION("SPLIT(I1402,""/"")"),1.0)</f>
        <v>1</v>
      </c>
      <c r="K1402" s="308">
        <f>IFERROR(__xludf.DUMMYFUNCTION("""COMPUTED_VALUE"""),7.0)</f>
        <v>7</v>
      </c>
      <c r="L1402" s="308">
        <f>IFERROR(__xludf.DUMMYFUNCTION("""COMPUTED_VALUE"""),2009.0)</f>
        <v>2009</v>
      </c>
      <c r="M1402" s="308" t="s">
        <v>5544</v>
      </c>
      <c r="N1402" s="308"/>
      <c r="O1402" s="312" t="s">
        <v>5545</v>
      </c>
      <c r="P1402" s="308" t="s">
        <v>1555</v>
      </c>
      <c r="Q1402" s="308"/>
      <c r="R1402" s="308"/>
      <c r="S1402" s="315" t="s">
        <v>100</v>
      </c>
      <c r="T1402" s="311" t="s">
        <v>34208</v>
      </c>
      <c r="U1402" s="308" t="s">
        <v>1393</v>
      </c>
      <c r="V1402" s="312"/>
    </row>
    <row r="1403">
      <c r="A1403" s="308">
        <v>1402.0</v>
      </c>
      <c r="B1403" s="308">
        <v>4617.0</v>
      </c>
      <c r="C1403" s="308">
        <v>1420.0</v>
      </c>
      <c r="D1403" s="308">
        <f>IFERROR(__xludf.DUMMYFUNCTION("SPLIT(C1403,""-"")"),1420.0)</f>
        <v>1420</v>
      </c>
      <c r="E1403" s="311"/>
      <c r="F1403" s="309" t="s">
        <v>34</v>
      </c>
      <c r="G1403" s="308" t="s">
        <v>36095</v>
      </c>
      <c r="H1403" s="308" t="s">
        <v>5547</v>
      </c>
      <c r="I1403" s="310">
        <v>40360.0</v>
      </c>
      <c r="J1403" s="308">
        <f>IFERROR(__xludf.DUMMYFUNCTION("SPLIT(I1403,""/"")"),1.0)</f>
        <v>1</v>
      </c>
      <c r="K1403" s="308">
        <f>IFERROR(__xludf.DUMMYFUNCTION("""COMPUTED_VALUE"""),7.0)</f>
        <v>7</v>
      </c>
      <c r="L1403" s="308">
        <f>IFERROR(__xludf.DUMMYFUNCTION("""COMPUTED_VALUE"""),2010.0)</f>
        <v>2010</v>
      </c>
      <c r="M1403" s="308" t="s">
        <v>5548</v>
      </c>
      <c r="N1403" s="308"/>
      <c r="O1403" s="312" t="s">
        <v>5549</v>
      </c>
      <c r="P1403" s="308" t="s">
        <v>36096</v>
      </c>
      <c r="Q1403" s="308"/>
      <c r="R1403" s="308"/>
      <c r="S1403" s="315" t="s">
        <v>100</v>
      </c>
      <c r="T1403" s="311" t="s">
        <v>34208</v>
      </c>
      <c r="U1403" s="308" t="s">
        <v>2152</v>
      </c>
      <c r="V1403" s="312"/>
    </row>
    <row r="1404">
      <c r="A1404" s="308">
        <v>1403.0</v>
      </c>
      <c r="B1404" s="308">
        <v>4618.0</v>
      </c>
      <c r="C1404" s="308">
        <v>1421.0</v>
      </c>
      <c r="D1404" s="308">
        <f>IFERROR(__xludf.DUMMYFUNCTION("SPLIT(C1404,""-"")"),1421.0)</f>
        <v>1421</v>
      </c>
      <c r="E1404" s="311"/>
      <c r="F1404" s="309" t="s">
        <v>34</v>
      </c>
      <c r="G1404" s="308"/>
      <c r="H1404" s="308" t="s">
        <v>36097</v>
      </c>
      <c r="I1404" s="310">
        <v>39934.0</v>
      </c>
      <c r="J1404" s="308">
        <f>IFERROR(__xludf.DUMMYFUNCTION("SPLIT(I1404,""/"")"),1.0)</f>
        <v>1</v>
      </c>
      <c r="K1404" s="308">
        <f>IFERROR(__xludf.DUMMYFUNCTION("""COMPUTED_VALUE"""),5.0)</f>
        <v>5</v>
      </c>
      <c r="L1404" s="308">
        <f>IFERROR(__xludf.DUMMYFUNCTION("""COMPUTED_VALUE"""),2009.0)</f>
        <v>2009</v>
      </c>
      <c r="M1404" s="308" t="s">
        <v>5552</v>
      </c>
      <c r="N1404" s="308"/>
      <c r="O1404" s="312" t="s">
        <v>5553</v>
      </c>
      <c r="P1404" s="308" t="s">
        <v>5554</v>
      </c>
      <c r="Q1404" s="308"/>
      <c r="R1404" s="308"/>
      <c r="S1404" s="308" t="s">
        <v>81</v>
      </c>
      <c r="T1404" s="308" t="s">
        <v>34264</v>
      </c>
      <c r="U1404" s="308"/>
      <c r="V1404" s="312"/>
    </row>
    <row r="1405">
      <c r="A1405" s="308">
        <v>1404.0</v>
      </c>
      <c r="B1405" s="308">
        <v>4619.0</v>
      </c>
      <c r="C1405" s="308">
        <v>1422.0</v>
      </c>
      <c r="D1405" s="308">
        <f>IFERROR(__xludf.DUMMYFUNCTION("SPLIT(C1405,""-"")"),1422.0)</f>
        <v>1422</v>
      </c>
      <c r="E1405" s="311"/>
      <c r="F1405" s="309" t="s">
        <v>34</v>
      </c>
      <c r="G1405" s="308"/>
      <c r="H1405" s="308" t="s">
        <v>5555</v>
      </c>
      <c r="I1405" s="310">
        <v>40664.0</v>
      </c>
      <c r="J1405" s="308">
        <f>IFERROR(__xludf.DUMMYFUNCTION("SPLIT(I1405,""/"")"),1.0)</f>
        <v>1</v>
      </c>
      <c r="K1405" s="308">
        <f>IFERROR(__xludf.DUMMYFUNCTION("""COMPUTED_VALUE"""),5.0)</f>
        <v>5</v>
      </c>
      <c r="L1405" s="308">
        <f>IFERROR(__xludf.DUMMYFUNCTION("""COMPUTED_VALUE"""),2011.0)</f>
        <v>2011</v>
      </c>
      <c r="M1405" s="308" t="s">
        <v>5556</v>
      </c>
      <c r="N1405" s="308"/>
      <c r="O1405" s="312" t="s">
        <v>5557</v>
      </c>
      <c r="P1405" s="308" t="s">
        <v>5558</v>
      </c>
      <c r="Q1405" s="308"/>
      <c r="R1405" s="308"/>
      <c r="S1405" s="308" t="s">
        <v>81</v>
      </c>
      <c r="T1405" s="308" t="s">
        <v>34264</v>
      </c>
      <c r="U1405" s="308"/>
      <c r="V1405" s="312"/>
    </row>
    <row r="1406">
      <c r="A1406" s="308">
        <v>1405.0</v>
      </c>
      <c r="B1406" s="308">
        <v>4620.0</v>
      </c>
      <c r="C1406" s="308">
        <v>1423.0</v>
      </c>
      <c r="D1406" s="308">
        <f>IFERROR(__xludf.DUMMYFUNCTION("SPLIT(C1406,""-"")"),1423.0)</f>
        <v>1423</v>
      </c>
      <c r="E1406" s="311"/>
      <c r="F1406" s="309" t="s">
        <v>34</v>
      </c>
      <c r="G1406" s="308"/>
      <c r="H1406" s="308" t="s">
        <v>5559</v>
      </c>
      <c r="I1406" s="310">
        <v>40664.0</v>
      </c>
      <c r="J1406" s="308">
        <f>IFERROR(__xludf.DUMMYFUNCTION("SPLIT(I1406,""/"")"),1.0)</f>
        <v>1</v>
      </c>
      <c r="K1406" s="308">
        <f>IFERROR(__xludf.DUMMYFUNCTION("""COMPUTED_VALUE"""),5.0)</f>
        <v>5</v>
      </c>
      <c r="L1406" s="308">
        <f>IFERROR(__xludf.DUMMYFUNCTION("""COMPUTED_VALUE"""),2011.0)</f>
        <v>2011</v>
      </c>
      <c r="M1406" s="308" t="s">
        <v>5556</v>
      </c>
      <c r="N1406" s="308"/>
      <c r="O1406" s="312" t="s">
        <v>5557</v>
      </c>
      <c r="P1406" s="308" t="s">
        <v>5560</v>
      </c>
      <c r="Q1406" s="308"/>
      <c r="R1406" s="308"/>
      <c r="S1406" s="308" t="s">
        <v>81</v>
      </c>
      <c r="T1406" s="308" t="s">
        <v>34264</v>
      </c>
      <c r="U1406" s="308"/>
      <c r="V1406" s="312"/>
    </row>
    <row r="1407">
      <c r="A1407" s="308">
        <v>1406.0</v>
      </c>
      <c r="B1407" s="308">
        <v>4621.0</v>
      </c>
      <c r="C1407" s="308">
        <v>1424.0</v>
      </c>
      <c r="D1407" s="308">
        <f>IFERROR(__xludf.DUMMYFUNCTION("SPLIT(C1407,""-"")"),1424.0)</f>
        <v>1424</v>
      </c>
      <c r="E1407" s="311"/>
      <c r="F1407" s="309" t="s">
        <v>34</v>
      </c>
      <c r="G1407" s="308"/>
      <c r="H1407" s="308" t="s">
        <v>5561</v>
      </c>
      <c r="I1407" s="310">
        <v>41351.0</v>
      </c>
      <c r="J1407" s="308">
        <f>IFERROR(__xludf.DUMMYFUNCTION("SPLIT(I1407,""/"")"),18.0)</f>
        <v>18</v>
      </c>
      <c r="K1407" s="308">
        <f>IFERROR(__xludf.DUMMYFUNCTION("""COMPUTED_VALUE"""),3.0)</f>
        <v>3</v>
      </c>
      <c r="L1407" s="308">
        <f>IFERROR(__xludf.DUMMYFUNCTION("""COMPUTED_VALUE"""),2013.0)</f>
        <v>2013</v>
      </c>
      <c r="M1407" s="308" t="s">
        <v>5562</v>
      </c>
      <c r="N1407" s="308"/>
      <c r="O1407" s="312" t="s">
        <v>5563</v>
      </c>
      <c r="P1407" s="308" t="s">
        <v>36098</v>
      </c>
      <c r="Q1407" s="308"/>
      <c r="R1407" s="308"/>
      <c r="S1407" s="308" t="s">
        <v>81</v>
      </c>
      <c r="T1407" s="311" t="s">
        <v>51</v>
      </c>
      <c r="U1407" s="308"/>
      <c r="V1407" s="312"/>
    </row>
    <row r="1408">
      <c r="A1408" s="308">
        <v>1407.0</v>
      </c>
      <c r="B1408" s="308">
        <v>4622.0</v>
      </c>
      <c r="C1408" s="308">
        <v>1425.0</v>
      </c>
      <c r="D1408" s="308">
        <f>IFERROR(__xludf.DUMMYFUNCTION("SPLIT(C1408,""-"")"),1425.0)</f>
        <v>1425</v>
      </c>
      <c r="E1408" s="311"/>
      <c r="F1408" s="309" t="s">
        <v>34</v>
      </c>
      <c r="G1408" s="308"/>
      <c r="H1408" s="308" t="s">
        <v>5565</v>
      </c>
      <c r="I1408" s="310">
        <v>40033.0</v>
      </c>
      <c r="J1408" s="308">
        <f>IFERROR(__xludf.DUMMYFUNCTION("SPLIT(I1408,""/"")"),8.0)</f>
        <v>8</v>
      </c>
      <c r="K1408" s="308">
        <f>IFERROR(__xludf.DUMMYFUNCTION("""COMPUTED_VALUE"""),8.0)</f>
        <v>8</v>
      </c>
      <c r="L1408" s="308">
        <f>IFERROR(__xludf.DUMMYFUNCTION("""COMPUTED_VALUE"""),2009.0)</f>
        <v>2009</v>
      </c>
      <c r="M1408" s="308" t="s">
        <v>5566</v>
      </c>
      <c r="N1408" s="308" t="s">
        <v>5567</v>
      </c>
      <c r="O1408" s="312" t="s">
        <v>5568</v>
      </c>
      <c r="P1408" s="308" t="s">
        <v>36099</v>
      </c>
      <c r="Q1408" s="308"/>
      <c r="R1408" s="308"/>
      <c r="S1408" s="315" t="s">
        <v>100</v>
      </c>
      <c r="T1408" s="311" t="s">
        <v>34208</v>
      </c>
      <c r="U1408" s="308" t="s">
        <v>2152</v>
      </c>
      <c r="V1408" s="312"/>
    </row>
    <row r="1409">
      <c r="A1409" s="308">
        <v>1408.0</v>
      </c>
      <c r="B1409" s="308">
        <v>4623.0</v>
      </c>
      <c r="C1409" s="308">
        <v>1426.0</v>
      </c>
      <c r="D1409" s="308">
        <f>IFERROR(__xludf.DUMMYFUNCTION("SPLIT(C1409,""-"")"),1426.0)</f>
        <v>1426</v>
      </c>
      <c r="E1409" s="311"/>
      <c r="F1409" s="309" t="s">
        <v>34</v>
      </c>
      <c r="G1409" s="308"/>
      <c r="H1409" s="308" t="s">
        <v>5570</v>
      </c>
      <c r="I1409" s="310">
        <v>40575.0</v>
      </c>
      <c r="J1409" s="308">
        <f>IFERROR(__xludf.DUMMYFUNCTION("SPLIT(I1409,""/"")"),1.0)</f>
        <v>1</v>
      </c>
      <c r="K1409" s="308">
        <f>IFERROR(__xludf.DUMMYFUNCTION("""COMPUTED_VALUE"""),2.0)</f>
        <v>2</v>
      </c>
      <c r="L1409" s="308">
        <f>IFERROR(__xludf.DUMMYFUNCTION("""COMPUTED_VALUE"""),2011.0)</f>
        <v>2011</v>
      </c>
      <c r="M1409" s="308" t="s">
        <v>5571</v>
      </c>
      <c r="N1409" s="308"/>
      <c r="O1409" s="312" t="s">
        <v>5572</v>
      </c>
      <c r="P1409" s="308" t="s">
        <v>5573</v>
      </c>
      <c r="Q1409" s="308"/>
      <c r="R1409" s="308" t="s">
        <v>34322</v>
      </c>
      <c r="S1409" s="308" t="s">
        <v>81</v>
      </c>
      <c r="T1409" s="308" t="s">
        <v>34264</v>
      </c>
      <c r="U1409" s="308"/>
      <c r="V1409" s="312"/>
    </row>
    <row r="1410">
      <c r="A1410" s="308">
        <v>1409.0</v>
      </c>
      <c r="B1410" s="308">
        <v>4624.0</v>
      </c>
      <c r="C1410" s="308">
        <v>1427.0</v>
      </c>
      <c r="D1410" s="308">
        <f>IFERROR(__xludf.DUMMYFUNCTION("SPLIT(C1410,""-"")"),1427.0)</f>
        <v>1427</v>
      </c>
      <c r="E1410" s="311"/>
      <c r="F1410" s="309" t="s">
        <v>34</v>
      </c>
      <c r="G1410" s="308" t="s">
        <v>5574</v>
      </c>
      <c r="H1410" s="308" t="s">
        <v>5575</v>
      </c>
      <c r="I1410" s="310">
        <v>39601.0</v>
      </c>
      <c r="J1410" s="308">
        <f>IFERROR(__xludf.DUMMYFUNCTION("SPLIT(I1410,""/"")"),2.0)</f>
        <v>2</v>
      </c>
      <c r="K1410" s="308">
        <f>IFERROR(__xludf.DUMMYFUNCTION("""COMPUTED_VALUE"""),6.0)</f>
        <v>6</v>
      </c>
      <c r="L1410" s="308">
        <f>IFERROR(__xludf.DUMMYFUNCTION("""COMPUTED_VALUE"""),2008.0)</f>
        <v>2008</v>
      </c>
      <c r="M1410" s="308" t="s">
        <v>5576</v>
      </c>
      <c r="N1410" s="308" t="s">
        <v>5577</v>
      </c>
      <c r="O1410" s="312" t="s">
        <v>5578</v>
      </c>
      <c r="P1410" s="308" t="s">
        <v>1971</v>
      </c>
      <c r="Q1410" s="308"/>
      <c r="R1410" s="308"/>
      <c r="S1410" s="315" t="s">
        <v>100</v>
      </c>
      <c r="T1410" s="311" t="s">
        <v>34208</v>
      </c>
      <c r="U1410" s="308" t="s">
        <v>530</v>
      </c>
      <c r="V1410" s="312"/>
    </row>
    <row r="1411">
      <c r="A1411" s="308">
        <v>1410.0</v>
      </c>
      <c r="B1411" s="308">
        <v>4625.0</v>
      </c>
      <c r="C1411" s="308">
        <v>1428.0</v>
      </c>
      <c r="D1411" s="308">
        <f>IFERROR(__xludf.DUMMYFUNCTION("SPLIT(C1411,""-"")"),1428.0)</f>
        <v>1428</v>
      </c>
      <c r="E1411" s="311"/>
      <c r="F1411" s="309" t="s">
        <v>34</v>
      </c>
      <c r="G1411" s="308"/>
      <c r="H1411" s="308" t="s">
        <v>5579</v>
      </c>
      <c r="I1411" s="310">
        <v>41303.0</v>
      </c>
      <c r="J1411" s="308">
        <f>IFERROR(__xludf.DUMMYFUNCTION("SPLIT(I1411,""/"")"),29.0)</f>
        <v>29</v>
      </c>
      <c r="K1411" s="308">
        <f>IFERROR(__xludf.DUMMYFUNCTION("""COMPUTED_VALUE"""),1.0)</f>
        <v>1</v>
      </c>
      <c r="L1411" s="308">
        <f>IFERROR(__xludf.DUMMYFUNCTION("""COMPUTED_VALUE"""),2013.0)</f>
        <v>2013</v>
      </c>
      <c r="M1411" s="308" t="s">
        <v>36100</v>
      </c>
      <c r="N1411" s="308"/>
      <c r="O1411" s="312" t="s">
        <v>635</v>
      </c>
      <c r="P1411" s="308" t="s">
        <v>5581</v>
      </c>
      <c r="Q1411" s="308"/>
      <c r="R1411" s="308"/>
      <c r="S1411" s="308" t="s">
        <v>81</v>
      </c>
      <c r="T1411" s="308" t="s">
        <v>34264</v>
      </c>
      <c r="U1411" s="308"/>
      <c r="V1411" s="312"/>
    </row>
    <row r="1412">
      <c r="A1412" s="308">
        <v>1411.0</v>
      </c>
      <c r="B1412" s="308">
        <v>4626.0</v>
      </c>
      <c r="C1412" s="308">
        <v>1429.0</v>
      </c>
      <c r="D1412" s="308">
        <f>IFERROR(__xludf.DUMMYFUNCTION("SPLIT(C1412,""-"")"),1429.0)</f>
        <v>1429</v>
      </c>
      <c r="E1412" s="311"/>
      <c r="F1412" s="309" t="s">
        <v>34</v>
      </c>
      <c r="G1412" s="308"/>
      <c r="H1412" s="308" t="s">
        <v>5582</v>
      </c>
      <c r="I1412" s="310">
        <v>41181.0</v>
      </c>
      <c r="J1412" s="308">
        <f>IFERROR(__xludf.DUMMYFUNCTION("SPLIT(I1412,""/"")"),29.0)</f>
        <v>29</v>
      </c>
      <c r="K1412" s="308">
        <f>IFERROR(__xludf.DUMMYFUNCTION("""COMPUTED_VALUE"""),9.0)</f>
        <v>9</v>
      </c>
      <c r="L1412" s="308">
        <f>IFERROR(__xludf.DUMMYFUNCTION("""COMPUTED_VALUE"""),2012.0)</f>
        <v>2012</v>
      </c>
      <c r="M1412" s="308" t="s">
        <v>5583</v>
      </c>
      <c r="N1412" s="308"/>
      <c r="O1412" s="312" t="s">
        <v>5584</v>
      </c>
      <c r="P1412" s="308" t="s">
        <v>5585</v>
      </c>
      <c r="Q1412" s="308"/>
      <c r="R1412" s="308"/>
      <c r="S1412" s="308" t="s">
        <v>81</v>
      </c>
      <c r="T1412" s="308" t="s">
        <v>34264</v>
      </c>
      <c r="U1412" s="308"/>
      <c r="V1412" s="312"/>
    </row>
    <row r="1413">
      <c r="A1413" s="308">
        <v>1412.0</v>
      </c>
      <c r="B1413" s="308">
        <v>4627.0</v>
      </c>
      <c r="C1413" s="308">
        <v>1430.0</v>
      </c>
      <c r="D1413" s="308">
        <f>IFERROR(__xludf.DUMMYFUNCTION("SPLIT(C1413,""-"")"),1430.0)</f>
        <v>1430</v>
      </c>
      <c r="E1413" s="311"/>
      <c r="F1413" s="309" t="s">
        <v>34</v>
      </c>
      <c r="G1413" s="308"/>
      <c r="H1413" s="308" t="s">
        <v>5586</v>
      </c>
      <c r="I1413" s="310">
        <v>40739.0</v>
      </c>
      <c r="J1413" s="308">
        <f>IFERROR(__xludf.DUMMYFUNCTION("SPLIT(I1413,""/"")"),15.0)</f>
        <v>15</v>
      </c>
      <c r="K1413" s="308">
        <f>IFERROR(__xludf.DUMMYFUNCTION("""COMPUTED_VALUE"""),7.0)</f>
        <v>7</v>
      </c>
      <c r="L1413" s="308">
        <f>IFERROR(__xludf.DUMMYFUNCTION("""COMPUTED_VALUE"""),2011.0)</f>
        <v>2011</v>
      </c>
      <c r="M1413" s="308" t="s">
        <v>5587</v>
      </c>
      <c r="N1413" s="308"/>
      <c r="O1413" s="312" t="s">
        <v>5588</v>
      </c>
      <c r="P1413" s="308" t="s">
        <v>5589</v>
      </c>
      <c r="Q1413" s="308"/>
      <c r="R1413" s="308"/>
      <c r="S1413" s="308" t="s">
        <v>81</v>
      </c>
      <c r="T1413" s="308" t="s">
        <v>34264</v>
      </c>
      <c r="U1413" s="308" t="s">
        <v>201</v>
      </c>
      <c r="V1413" s="312"/>
    </row>
    <row r="1414">
      <c r="A1414" s="308">
        <v>1413.0</v>
      </c>
      <c r="B1414" s="308">
        <v>4628.0</v>
      </c>
      <c r="C1414" s="308">
        <v>1431.0</v>
      </c>
      <c r="D1414" s="308">
        <f>IFERROR(__xludf.DUMMYFUNCTION("SPLIT(C1414,""-"")"),1431.0)</f>
        <v>1431</v>
      </c>
      <c r="E1414" s="311"/>
      <c r="F1414" s="309" t="s">
        <v>34</v>
      </c>
      <c r="G1414" s="308"/>
      <c r="H1414" s="308" t="s">
        <v>5590</v>
      </c>
      <c r="I1414" s="310">
        <v>40739.0</v>
      </c>
      <c r="J1414" s="308">
        <f>IFERROR(__xludf.DUMMYFUNCTION("SPLIT(I1414,""/"")"),15.0)</f>
        <v>15</v>
      </c>
      <c r="K1414" s="308">
        <f>IFERROR(__xludf.DUMMYFUNCTION("""COMPUTED_VALUE"""),7.0)</f>
        <v>7</v>
      </c>
      <c r="L1414" s="308">
        <f>IFERROR(__xludf.DUMMYFUNCTION("""COMPUTED_VALUE"""),2011.0)</f>
        <v>2011</v>
      </c>
      <c r="M1414" s="308" t="s">
        <v>5587</v>
      </c>
      <c r="N1414" s="308"/>
      <c r="O1414" s="312" t="s">
        <v>5588</v>
      </c>
      <c r="P1414" s="308" t="s">
        <v>5591</v>
      </c>
      <c r="Q1414" s="308"/>
      <c r="R1414" s="308"/>
      <c r="S1414" s="308" t="s">
        <v>81</v>
      </c>
      <c r="T1414" s="308" t="s">
        <v>98</v>
      </c>
      <c r="U1414" s="308"/>
      <c r="V1414" s="312"/>
    </row>
    <row r="1415">
      <c r="A1415" s="308">
        <v>1414.0</v>
      </c>
      <c r="B1415" s="308">
        <v>4629.0</v>
      </c>
      <c r="C1415" s="308">
        <v>1432.0</v>
      </c>
      <c r="D1415" s="308">
        <f>IFERROR(__xludf.DUMMYFUNCTION("SPLIT(C1415,""-"")"),1432.0)</f>
        <v>1432</v>
      </c>
      <c r="E1415" s="311"/>
      <c r="F1415" s="309" t="s">
        <v>34</v>
      </c>
      <c r="G1415" s="308"/>
      <c r="H1415" s="308" t="s">
        <v>5592</v>
      </c>
      <c r="I1415" s="314">
        <v>40461.0</v>
      </c>
      <c r="J1415" s="308">
        <f>IFERROR(__xludf.DUMMYFUNCTION("SPLIT(I1415,""/"")"),10.0)</f>
        <v>10</v>
      </c>
      <c r="K1415" s="308">
        <f>IFERROR(__xludf.DUMMYFUNCTION("""COMPUTED_VALUE"""),10.0)</f>
        <v>10</v>
      </c>
      <c r="L1415" s="308">
        <f>IFERROR(__xludf.DUMMYFUNCTION("""COMPUTED_VALUE"""),2010.0)</f>
        <v>2010</v>
      </c>
      <c r="M1415" s="308" t="s">
        <v>5593</v>
      </c>
      <c r="N1415" s="308"/>
      <c r="O1415" s="312" t="s">
        <v>5594</v>
      </c>
      <c r="P1415" s="308" t="s">
        <v>5595</v>
      </c>
      <c r="Q1415" s="308"/>
      <c r="R1415" s="308"/>
      <c r="S1415" s="308" t="s">
        <v>81</v>
      </c>
      <c r="T1415" s="308" t="s">
        <v>34264</v>
      </c>
      <c r="U1415" s="308"/>
      <c r="V1415" s="312"/>
    </row>
    <row r="1416">
      <c r="A1416" s="308">
        <v>1415.0</v>
      </c>
      <c r="B1416" s="308">
        <v>4630.0</v>
      </c>
      <c r="C1416" s="308">
        <v>1433.0</v>
      </c>
      <c r="D1416" s="308">
        <f>IFERROR(__xludf.DUMMYFUNCTION("SPLIT(C1416,""-"")"),1433.0)</f>
        <v>1433</v>
      </c>
      <c r="E1416" s="311"/>
      <c r="F1416" s="309" t="s">
        <v>34</v>
      </c>
      <c r="G1416" s="308"/>
      <c r="H1416" s="308" t="s">
        <v>5596</v>
      </c>
      <c r="I1416" s="314">
        <v>41232.0</v>
      </c>
      <c r="J1416" s="308">
        <f>IFERROR(__xludf.DUMMYFUNCTION("SPLIT(I1416,""/"")"),19.0)</f>
        <v>19</v>
      </c>
      <c r="K1416" s="308">
        <f>IFERROR(__xludf.DUMMYFUNCTION("""COMPUTED_VALUE"""),11.0)</f>
        <v>11</v>
      </c>
      <c r="L1416" s="308">
        <f>IFERROR(__xludf.DUMMYFUNCTION("""COMPUTED_VALUE"""),2012.0)</f>
        <v>2012</v>
      </c>
      <c r="M1416" s="308" t="s">
        <v>5597</v>
      </c>
      <c r="N1416" s="308"/>
      <c r="O1416" s="312" t="s">
        <v>5598</v>
      </c>
      <c r="P1416" s="308" t="s">
        <v>5599</v>
      </c>
      <c r="Q1416" s="308"/>
      <c r="R1416" s="308"/>
      <c r="S1416" s="308" t="s">
        <v>81</v>
      </c>
      <c r="T1416" s="308" t="s">
        <v>34264</v>
      </c>
      <c r="U1416" s="308"/>
      <c r="V1416" s="312"/>
    </row>
    <row r="1417">
      <c r="A1417" s="308">
        <v>1416.0</v>
      </c>
      <c r="B1417" s="308">
        <v>4631.0</v>
      </c>
      <c r="C1417" s="308">
        <v>1434.0</v>
      </c>
      <c r="D1417" s="308">
        <f>IFERROR(__xludf.DUMMYFUNCTION("SPLIT(C1417,""-"")"),1434.0)</f>
        <v>1434</v>
      </c>
      <c r="E1417" s="311"/>
      <c r="F1417" s="309" t="s">
        <v>34</v>
      </c>
      <c r="G1417" s="308"/>
      <c r="H1417" s="308" t="s">
        <v>5600</v>
      </c>
      <c r="I1417" s="310">
        <v>41397.0</v>
      </c>
      <c r="J1417" s="308">
        <f>IFERROR(__xludf.DUMMYFUNCTION("SPLIT(I1417,""/"")"),3.0)</f>
        <v>3</v>
      </c>
      <c r="K1417" s="308">
        <f>IFERROR(__xludf.DUMMYFUNCTION("""COMPUTED_VALUE"""),5.0)</f>
        <v>5</v>
      </c>
      <c r="L1417" s="308">
        <f>IFERROR(__xludf.DUMMYFUNCTION("""COMPUTED_VALUE"""),2013.0)</f>
        <v>2013</v>
      </c>
      <c r="M1417" s="308" t="s">
        <v>5601</v>
      </c>
      <c r="N1417" s="308"/>
      <c r="O1417" s="312" t="s">
        <v>36101</v>
      </c>
      <c r="P1417" s="308" t="s">
        <v>5602</v>
      </c>
      <c r="Q1417" s="308"/>
      <c r="R1417" s="308"/>
      <c r="S1417" s="308" t="s">
        <v>81</v>
      </c>
      <c r="T1417" s="311" t="s">
        <v>75</v>
      </c>
      <c r="U1417" s="308"/>
      <c r="V1417" s="312"/>
    </row>
    <row r="1418">
      <c r="A1418" s="308">
        <v>1417.0</v>
      </c>
      <c r="B1418" s="308">
        <v>4632.0</v>
      </c>
      <c r="C1418" s="308">
        <v>1435.0</v>
      </c>
      <c r="D1418" s="308">
        <f>IFERROR(__xludf.DUMMYFUNCTION("SPLIT(C1418,""-"")"),1435.0)</f>
        <v>1435</v>
      </c>
      <c r="E1418" s="311"/>
      <c r="F1418" s="309" t="s">
        <v>34</v>
      </c>
      <c r="G1418" s="308"/>
      <c r="H1418" s="308" t="s">
        <v>5603</v>
      </c>
      <c r="I1418" s="314">
        <v>41601.0</v>
      </c>
      <c r="J1418" s="308">
        <f>IFERROR(__xludf.DUMMYFUNCTION("SPLIT(I1418,""/"")"),23.0)</f>
        <v>23</v>
      </c>
      <c r="K1418" s="308">
        <f>IFERROR(__xludf.DUMMYFUNCTION("""COMPUTED_VALUE"""),11.0)</f>
        <v>11</v>
      </c>
      <c r="L1418" s="308">
        <f>IFERROR(__xludf.DUMMYFUNCTION("""COMPUTED_VALUE"""),2013.0)</f>
        <v>2013</v>
      </c>
      <c r="M1418" s="308" t="s">
        <v>5604</v>
      </c>
      <c r="N1418" s="308"/>
      <c r="O1418" s="312" t="s">
        <v>5605</v>
      </c>
      <c r="P1418" s="308" t="s">
        <v>5606</v>
      </c>
      <c r="Q1418" s="308"/>
      <c r="R1418" s="308"/>
      <c r="S1418" s="308" t="s">
        <v>81</v>
      </c>
      <c r="T1418" s="308" t="s">
        <v>34264</v>
      </c>
      <c r="U1418" s="308"/>
      <c r="V1418" s="312"/>
    </row>
    <row r="1419">
      <c r="A1419" s="308">
        <v>1418.0</v>
      </c>
      <c r="B1419" s="308">
        <v>4633.0</v>
      </c>
      <c r="C1419" s="308">
        <v>1436.0</v>
      </c>
      <c r="D1419" s="308">
        <f>IFERROR(__xludf.DUMMYFUNCTION("SPLIT(C1419,""-"")"),1436.0)</f>
        <v>1436</v>
      </c>
      <c r="E1419" s="311"/>
      <c r="F1419" s="317" t="s">
        <v>37</v>
      </c>
      <c r="G1419" s="308"/>
      <c r="H1419" s="308" t="s">
        <v>5607</v>
      </c>
      <c r="I1419" s="310">
        <v>41536.0</v>
      </c>
      <c r="J1419" s="308">
        <f>IFERROR(__xludf.DUMMYFUNCTION("SPLIT(I1419,""/"")"),19.0)</f>
        <v>19</v>
      </c>
      <c r="K1419" s="308">
        <f>IFERROR(__xludf.DUMMYFUNCTION("""COMPUTED_VALUE"""),9.0)</f>
        <v>9</v>
      </c>
      <c r="L1419" s="308">
        <f>IFERROR(__xludf.DUMMYFUNCTION("""COMPUTED_VALUE"""),2013.0)</f>
        <v>2013</v>
      </c>
      <c r="M1419" s="308" t="s">
        <v>5608</v>
      </c>
      <c r="N1419" s="308"/>
      <c r="O1419" s="312" t="s">
        <v>5609</v>
      </c>
      <c r="P1419" s="308" t="s">
        <v>5610</v>
      </c>
      <c r="Q1419" s="308"/>
      <c r="R1419" s="308"/>
      <c r="S1419" s="308" t="s">
        <v>81</v>
      </c>
      <c r="T1419" s="308" t="s">
        <v>75</v>
      </c>
      <c r="U1419" s="308"/>
      <c r="V1419" s="312"/>
    </row>
    <row r="1420">
      <c r="A1420" s="308">
        <v>1419.0</v>
      </c>
      <c r="B1420" s="308">
        <v>4634.0</v>
      </c>
      <c r="C1420" s="308">
        <v>1437.0</v>
      </c>
      <c r="D1420" s="308">
        <f>IFERROR(__xludf.DUMMYFUNCTION("SPLIT(C1420,""-"")"),1437.0)</f>
        <v>1437</v>
      </c>
      <c r="E1420" s="311"/>
      <c r="F1420" s="317" t="s">
        <v>37</v>
      </c>
      <c r="G1420" s="308"/>
      <c r="H1420" s="308" t="s">
        <v>5611</v>
      </c>
      <c r="I1420" s="310">
        <v>40910.0</v>
      </c>
      <c r="J1420" s="308">
        <f>IFERROR(__xludf.DUMMYFUNCTION("SPLIT(I1420,""/"")"),2.0)</f>
        <v>2</v>
      </c>
      <c r="K1420" s="308">
        <f>IFERROR(__xludf.DUMMYFUNCTION("""COMPUTED_VALUE"""),1.0)</f>
        <v>1</v>
      </c>
      <c r="L1420" s="308">
        <f>IFERROR(__xludf.DUMMYFUNCTION("""COMPUTED_VALUE"""),2012.0)</f>
        <v>2012</v>
      </c>
      <c r="M1420" s="308" t="s">
        <v>5612</v>
      </c>
      <c r="N1420" s="308"/>
      <c r="O1420" s="312" t="s">
        <v>5613</v>
      </c>
      <c r="P1420" s="308" t="s">
        <v>5614</v>
      </c>
      <c r="Q1420" s="308"/>
      <c r="R1420" s="308"/>
      <c r="S1420" s="315" t="s">
        <v>100</v>
      </c>
      <c r="T1420" s="311" t="s">
        <v>34208</v>
      </c>
      <c r="U1420" s="308" t="s">
        <v>36102</v>
      </c>
      <c r="V1420" s="312"/>
    </row>
    <row r="1421">
      <c r="A1421" s="308">
        <v>1420.0</v>
      </c>
      <c r="B1421" s="308">
        <v>4635.0</v>
      </c>
      <c r="C1421" s="308">
        <v>1438.0</v>
      </c>
      <c r="D1421" s="308">
        <f>IFERROR(__xludf.DUMMYFUNCTION("SPLIT(C1421,""-"")"),1438.0)</f>
        <v>1438</v>
      </c>
      <c r="E1421" s="311"/>
      <c r="F1421" s="309" t="s">
        <v>26</v>
      </c>
      <c r="G1421" s="308"/>
      <c r="H1421" s="308" t="s">
        <v>36103</v>
      </c>
      <c r="I1421" s="310">
        <v>41280.0</v>
      </c>
      <c r="J1421" s="308">
        <f>IFERROR(__xludf.DUMMYFUNCTION("SPLIT(I1421,""/"")"),6.0)</f>
        <v>6</v>
      </c>
      <c r="K1421" s="308">
        <f>IFERROR(__xludf.DUMMYFUNCTION("""COMPUTED_VALUE"""),1.0)</f>
        <v>1</v>
      </c>
      <c r="L1421" s="308">
        <f>IFERROR(__xludf.DUMMYFUNCTION("""COMPUTED_VALUE"""),2013.0)</f>
        <v>2013</v>
      </c>
      <c r="M1421" s="308" t="s">
        <v>5617</v>
      </c>
      <c r="N1421" s="308"/>
      <c r="O1421" s="312" t="s">
        <v>36104</v>
      </c>
      <c r="P1421" s="308" t="s">
        <v>5619</v>
      </c>
      <c r="Q1421" s="308"/>
      <c r="R1421" s="308"/>
      <c r="S1421" s="308" t="s">
        <v>81</v>
      </c>
      <c r="T1421" s="308" t="s">
        <v>75</v>
      </c>
      <c r="U1421" s="308"/>
      <c r="V1421" s="312"/>
    </row>
    <row r="1422">
      <c r="A1422" s="308">
        <v>1421.0</v>
      </c>
      <c r="B1422" s="308">
        <v>4636.0</v>
      </c>
      <c r="C1422" s="308">
        <v>1439.0</v>
      </c>
      <c r="D1422" s="308">
        <f>IFERROR(__xludf.DUMMYFUNCTION("SPLIT(C1422,""-"")"),1439.0)</f>
        <v>1439</v>
      </c>
      <c r="E1422" s="311"/>
      <c r="F1422" s="317" t="s">
        <v>37</v>
      </c>
      <c r="G1422" s="308"/>
      <c r="H1422" s="308" t="s">
        <v>5620</v>
      </c>
      <c r="I1422" s="310">
        <v>39253.0</v>
      </c>
      <c r="J1422" s="308">
        <f>IFERROR(__xludf.DUMMYFUNCTION("SPLIT(I1422,""/"")"),20.0)</f>
        <v>20</v>
      </c>
      <c r="K1422" s="308">
        <f>IFERROR(__xludf.DUMMYFUNCTION("""COMPUTED_VALUE"""),6.0)</f>
        <v>6</v>
      </c>
      <c r="L1422" s="308">
        <f>IFERROR(__xludf.DUMMYFUNCTION("""COMPUTED_VALUE"""),2007.0)</f>
        <v>2007</v>
      </c>
      <c r="M1422" s="308" t="s">
        <v>5621</v>
      </c>
      <c r="N1422" s="308"/>
      <c r="O1422" s="312" t="s">
        <v>36105</v>
      </c>
      <c r="P1422" s="308" t="s">
        <v>5623</v>
      </c>
      <c r="Q1422" s="308"/>
      <c r="R1422" s="308"/>
      <c r="S1422" s="308" t="s">
        <v>49</v>
      </c>
      <c r="T1422" s="308" t="s">
        <v>51</v>
      </c>
      <c r="U1422" s="308"/>
      <c r="V1422" s="312"/>
    </row>
    <row r="1423">
      <c r="A1423" s="308">
        <v>1422.0</v>
      </c>
      <c r="B1423" s="308">
        <v>4637.0</v>
      </c>
      <c r="C1423" s="308">
        <v>1440.0</v>
      </c>
      <c r="D1423" s="308">
        <f>IFERROR(__xludf.DUMMYFUNCTION("SPLIT(C1423,""-"")"),1440.0)</f>
        <v>1440</v>
      </c>
      <c r="E1423" s="311"/>
      <c r="F1423" s="309" t="s">
        <v>31</v>
      </c>
      <c r="G1423" s="308"/>
      <c r="H1423" s="308" t="s">
        <v>5624</v>
      </c>
      <c r="I1423" s="314">
        <v>41636.0</v>
      </c>
      <c r="J1423" s="308">
        <f>IFERROR(__xludf.DUMMYFUNCTION("SPLIT(I1423,""/"")"),28.0)</f>
        <v>28</v>
      </c>
      <c r="K1423" s="308">
        <f>IFERROR(__xludf.DUMMYFUNCTION("""COMPUTED_VALUE"""),12.0)</f>
        <v>12</v>
      </c>
      <c r="L1423" s="308">
        <f>IFERROR(__xludf.DUMMYFUNCTION("""COMPUTED_VALUE"""),2013.0)</f>
        <v>2013</v>
      </c>
      <c r="M1423" s="308" t="s">
        <v>5625</v>
      </c>
      <c r="N1423" s="308"/>
      <c r="O1423" s="312" t="s">
        <v>36106</v>
      </c>
      <c r="P1423" s="308" t="s">
        <v>5627</v>
      </c>
      <c r="Q1423" s="308"/>
      <c r="R1423" s="308"/>
      <c r="S1423" s="308" t="s">
        <v>81</v>
      </c>
      <c r="T1423" s="311" t="s">
        <v>77</v>
      </c>
      <c r="U1423" s="308"/>
      <c r="V1423" s="312"/>
    </row>
    <row r="1424">
      <c r="A1424" s="308">
        <v>1423.0</v>
      </c>
      <c r="B1424" s="308">
        <v>4638.0</v>
      </c>
      <c r="C1424" s="308">
        <v>1441.0</v>
      </c>
      <c r="D1424" s="308">
        <f>IFERROR(__xludf.DUMMYFUNCTION("SPLIT(C1424,""-"")"),1441.0)</f>
        <v>1441</v>
      </c>
      <c r="E1424" s="311"/>
      <c r="F1424" s="317" t="s">
        <v>37</v>
      </c>
      <c r="G1424" s="308"/>
      <c r="H1424" s="308" t="s">
        <v>5628</v>
      </c>
      <c r="I1424" s="310">
        <v>41609.0</v>
      </c>
      <c r="J1424" s="308">
        <f>IFERROR(__xludf.DUMMYFUNCTION("SPLIT(I1424,""/"")"),1.0)</f>
        <v>1</v>
      </c>
      <c r="K1424" s="308">
        <f>IFERROR(__xludf.DUMMYFUNCTION("""COMPUTED_VALUE"""),12.0)</f>
        <v>12</v>
      </c>
      <c r="L1424" s="308">
        <f>IFERROR(__xludf.DUMMYFUNCTION("""COMPUTED_VALUE"""),2013.0)</f>
        <v>2013</v>
      </c>
      <c r="M1424" s="308" t="s">
        <v>5629</v>
      </c>
      <c r="N1424" s="308"/>
      <c r="O1424" s="312" t="s">
        <v>5630</v>
      </c>
      <c r="P1424" s="308" t="s">
        <v>5631</v>
      </c>
      <c r="Q1424" s="308"/>
      <c r="R1424" s="308"/>
      <c r="S1424" s="308" t="s">
        <v>81</v>
      </c>
      <c r="T1424" s="308" t="s">
        <v>75</v>
      </c>
      <c r="U1424" s="308"/>
      <c r="V1424" s="312"/>
    </row>
    <row r="1425">
      <c r="A1425" s="308">
        <v>1424.0</v>
      </c>
      <c r="B1425" s="308">
        <v>4639.0</v>
      </c>
      <c r="C1425" s="308">
        <v>1442.0</v>
      </c>
      <c r="D1425" s="308">
        <f>IFERROR(__xludf.DUMMYFUNCTION("SPLIT(C1425,""-"")"),1442.0)</f>
        <v>1442</v>
      </c>
      <c r="E1425" s="311"/>
      <c r="F1425" s="317" t="s">
        <v>37</v>
      </c>
      <c r="G1425" s="308"/>
      <c r="H1425" s="308" t="s">
        <v>5632</v>
      </c>
      <c r="I1425" s="314">
        <v>41224.0</v>
      </c>
      <c r="J1425" s="308">
        <f>IFERROR(__xludf.DUMMYFUNCTION("SPLIT(I1425,""/"")"),11.0)</f>
        <v>11</v>
      </c>
      <c r="K1425" s="308">
        <f>IFERROR(__xludf.DUMMYFUNCTION("""COMPUTED_VALUE"""),11.0)</f>
        <v>11</v>
      </c>
      <c r="L1425" s="308">
        <f>IFERROR(__xludf.DUMMYFUNCTION("""COMPUTED_VALUE"""),2012.0)</f>
        <v>2012</v>
      </c>
      <c r="M1425" s="308" t="s">
        <v>5633</v>
      </c>
      <c r="N1425" s="308"/>
      <c r="O1425" s="312" t="s">
        <v>5634</v>
      </c>
      <c r="P1425" s="308" t="s">
        <v>5635</v>
      </c>
      <c r="Q1425" s="308"/>
      <c r="R1425" s="308"/>
      <c r="S1425" s="308" t="s">
        <v>49</v>
      </c>
      <c r="T1425" s="311" t="s">
        <v>73</v>
      </c>
      <c r="U1425" s="308"/>
      <c r="V1425" s="312"/>
    </row>
    <row r="1426">
      <c r="A1426" s="308">
        <v>1425.0</v>
      </c>
      <c r="B1426" s="308">
        <v>4640.0</v>
      </c>
      <c r="C1426" s="308">
        <v>1443.0</v>
      </c>
      <c r="D1426" s="308">
        <f>IFERROR(__xludf.DUMMYFUNCTION("SPLIT(C1426,""-"")"),1443.0)</f>
        <v>1443</v>
      </c>
      <c r="E1426" s="311"/>
      <c r="F1426" s="309" t="s">
        <v>34</v>
      </c>
      <c r="G1426" s="308"/>
      <c r="H1426" s="308" t="s">
        <v>5636</v>
      </c>
      <c r="I1426" s="310">
        <v>40452.0</v>
      </c>
      <c r="J1426" s="308">
        <f>IFERROR(__xludf.DUMMYFUNCTION("SPLIT(I1426,""/"")"),1.0)</f>
        <v>1</v>
      </c>
      <c r="K1426" s="308">
        <f>IFERROR(__xludf.DUMMYFUNCTION("""COMPUTED_VALUE"""),10.0)</f>
        <v>10</v>
      </c>
      <c r="L1426" s="308">
        <f>IFERROR(__xludf.DUMMYFUNCTION("""COMPUTED_VALUE"""),2010.0)</f>
        <v>2010</v>
      </c>
      <c r="M1426" s="308" t="s">
        <v>5637</v>
      </c>
      <c r="N1426" s="308"/>
      <c r="O1426" s="312" t="s">
        <v>5638</v>
      </c>
      <c r="P1426" s="308" t="s">
        <v>1872</v>
      </c>
      <c r="Q1426" s="308"/>
      <c r="R1426" s="308"/>
      <c r="S1426" s="315" t="s">
        <v>100</v>
      </c>
      <c r="T1426" s="311" t="s">
        <v>34208</v>
      </c>
      <c r="U1426" s="308" t="s">
        <v>530</v>
      </c>
      <c r="V1426" s="312"/>
    </row>
    <row r="1427">
      <c r="A1427" s="308">
        <v>1426.0</v>
      </c>
      <c r="B1427" s="308">
        <v>4641.0</v>
      </c>
      <c r="C1427" s="308">
        <v>1444.0</v>
      </c>
      <c r="D1427" s="308">
        <f>IFERROR(__xludf.DUMMYFUNCTION("SPLIT(C1427,""-"")"),1444.0)</f>
        <v>1444</v>
      </c>
      <c r="E1427" s="311"/>
      <c r="F1427" s="309" t="s">
        <v>34</v>
      </c>
      <c r="G1427" s="308"/>
      <c r="H1427" s="308" t="s">
        <v>36107</v>
      </c>
      <c r="I1427" s="310">
        <v>41617.0</v>
      </c>
      <c r="J1427" s="308">
        <f>IFERROR(__xludf.DUMMYFUNCTION("SPLIT(I1427,""/"")"),9.0)</f>
        <v>9</v>
      </c>
      <c r="K1427" s="308">
        <f>IFERROR(__xludf.DUMMYFUNCTION("""COMPUTED_VALUE"""),12.0)</f>
        <v>12</v>
      </c>
      <c r="L1427" s="308">
        <f>IFERROR(__xludf.DUMMYFUNCTION("""COMPUTED_VALUE"""),2013.0)</f>
        <v>2013</v>
      </c>
      <c r="M1427" s="308" t="s">
        <v>5640</v>
      </c>
      <c r="N1427" s="308"/>
      <c r="O1427" s="312" t="s">
        <v>5641</v>
      </c>
      <c r="P1427" s="308" t="s">
        <v>5642</v>
      </c>
      <c r="Q1427" s="308"/>
      <c r="R1427" s="308"/>
      <c r="S1427" s="308" t="s">
        <v>81</v>
      </c>
      <c r="T1427" s="308" t="s">
        <v>75</v>
      </c>
      <c r="U1427" s="308"/>
      <c r="V1427" s="312"/>
    </row>
    <row r="1428">
      <c r="A1428" s="308">
        <v>1427.0</v>
      </c>
      <c r="B1428" s="308">
        <v>4642.0</v>
      </c>
      <c r="C1428" s="308">
        <v>1445.0</v>
      </c>
      <c r="D1428" s="308">
        <f>IFERROR(__xludf.DUMMYFUNCTION("SPLIT(C1428,""-"")"),1445.0)</f>
        <v>1445</v>
      </c>
      <c r="E1428" s="311"/>
      <c r="F1428" s="309" t="s">
        <v>34</v>
      </c>
      <c r="G1428" s="308"/>
      <c r="H1428" s="308" t="s">
        <v>5643</v>
      </c>
      <c r="I1428" s="310">
        <v>41617.0</v>
      </c>
      <c r="J1428" s="308">
        <f>IFERROR(__xludf.DUMMYFUNCTION("SPLIT(I1428,""/"")"),9.0)</f>
        <v>9</v>
      </c>
      <c r="K1428" s="308">
        <f>IFERROR(__xludf.DUMMYFUNCTION("""COMPUTED_VALUE"""),12.0)</f>
        <v>12</v>
      </c>
      <c r="L1428" s="308">
        <f>IFERROR(__xludf.DUMMYFUNCTION("""COMPUTED_VALUE"""),2013.0)</f>
        <v>2013</v>
      </c>
      <c r="M1428" s="308" t="s">
        <v>5644</v>
      </c>
      <c r="N1428" s="308"/>
      <c r="O1428" s="312" t="s">
        <v>635</v>
      </c>
      <c r="P1428" s="308" t="s">
        <v>36108</v>
      </c>
      <c r="Q1428" s="308"/>
      <c r="R1428" s="308"/>
      <c r="S1428" s="308" t="s">
        <v>81</v>
      </c>
      <c r="T1428" s="308" t="s">
        <v>34264</v>
      </c>
      <c r="U1428" s="308"/>
      <c r="V1428" s="312"/>
    </row>
    <row r="1429">
      <c r="A1429" s="308">
        <v>1428.0</v>
      </c>
      <c r="B1429" s="308">
        <v>4643.0</v>
      </c>
      <c r="C1429" s="308">
        <v>1446.0</v>
      </c>
      <c r="D1429" s="308">
        <f>IFERROR(__xludf.DUMMYFUNCTION("SPLIT(C1429,""-"")"),1446.0)</f>
        <v>1446</v>
      </c>
      <c r="E1429" s="311"/>
      <c r="F1429" s="317" t="s">
        <v>37</v>
      </c>
      <c r="G1429" s="308"/>
      <c r="H1429" s="308" t="s">
        <v>5646</v>
      </c>
      <c r="I1429" s="310">
        <v>41390.0</v>
      </c>
      <c r="J1429" s="308">
        <f>IFERROR(__xludf.DUMMYFUNCTION("SPLIT(I1429,""/"")"),26.0)</f>
        <v>26</v>
      </c>
      <c r="K1429" s="308">
        <f>IFERROR(__xludf.DUMMYFUNCTION("""COMPUTED_VALUE"""),4.0)</f>
        <v>4</v>
      </c>
      <c r="L1429" s="308">
        <f>IFERROR(__xludf.DUMMYFUNCTION("""COMPUTED_VALUE"""),2013.0)</f>
        <v>2013</v>
      </c>
      <c r="M1429" s="308" t="s">
        <v>5647</v>
      </c>
      <c r="N1429" s="308"/>
      <c r="O1429" s="312" t="s">
        <v>5648</v>
      </c>
      <c r="P1429" s="308" t="s">
        <v>5649</v>
      </c>
      <c r="Q1429" s="308"/>
      <c r="R1429" s="308"/>
      <c r="S1429" s="308" t="s">
        <v>81</v>
      </c>
      <c r="T1429" s="308" t="s">
        <v>75</v>
      </c>
      <c r="U1429" s="308"/>
      <c r="V1429" s="312"/>
    </row>
    <row r="1430">
      <c r="A1430" s="308">
        <v>1429.0</v>
      </c>
      <c r="B1430" s="308">
        <v>4644.0</v>
      </c>
      <c r="C1430" s="308">
        <v>1447.0</v>
      </c>
      <c r="D1430" s="308">
        <f>IFERROR(__xludf.DUMMYFUNCTION("SPLIT(C1430,""-"")"),1447.0)</f>
        <v>1447</v>
      </c>
      <c r="E1430" s="311"/>
      <c r="F1430" s="317" t="s">
        <v>39</v>
      </c>
      <c r="G1430" s="308"/>
      <c r="H1430" s="308" t="s">
        <v>5650</v>
      </c>
      <c r="I1430" s="310">
        <v>39995.0</v>
      </c>
      <c r="J1430" s="308">
        <f>IFERROR(__xludf.DUMMYFUNCTION("SPLIT(I1430,""/"")"),1.0)</f>
        <v>1</v>
      </c>
      <c r="K1430" s="308">
        <f>IFERROR(__xludf.DUMMYFUNCTION("""COMPUTED_VALUE"""),7.0)</f>
        <v>7</v>
      </c>
      <c r="L1430" s="308">
        <f>IFERROR(__xludf.DUMMYFUNCTION("""COMPUTED_VALUE"""),2009.0)</f>
        <v>2009</v>
      </c>
      <c r="M1430" s="308" t="s">
        <v>5651</v>
      </c>
      <c r="N1430" s="308"/>
      <c r="O1430" s="312" t="s">
        <v>5652</v>
      </c>
      <c r="P1430" s="308" t="s">
        <v>5653</v>
      </c>
      <c r="Q1430" s="308"/>
      <c r="R1430" s="308"/>
      <c r="S1430" s="315" t="s">
        <v>100</v>
      </c>
      <c r="T1430" s="311" t="s">
        <v>34208</v>
      </c>
      <c r="U1430" s="308"/>
      <c r="V1430" s="312"/>
    </row>
    <row r="1431">
      <c r="A1431" s="308">
        <v>1430.0</v>
      </c>
      <c r="B1431" s="308">
        <v>4645.0</v>
      </c>
      <c r="C1431" s="308">
        <v>1448.0</v>
      </c>
      <c r="D1431" s="308">
        <f>IFERROR(__xludf.DUMMYFUNCTION("SPLIT(C1431,""-"")"),1448.0)</f>
        <v>1448</v>
      </c>
      <c r="E1431" s="311"/>
      <c r="F1431" s="317" t="s">
        <v>39</v>
      </c>
      <c r="G1431" s="308"/>
      <c r="H1431" s="308" t="s">
        <v>5654</v>
      </c>
      <c r="I1431" s="310">
        <v>39995.0</v>
      </c>
      <c r="J1431" s="308">
        <f>IFERROR(__xludf.DUMMYFUNCTION("SPLIT(I1431,""/"")"),1.0)</f>
        <v>1</v>
      </c>
      <c r="K1431" s="308">
        <f>IFERROR(__xludf.DUMMYFUNCTION("""COMPUTED_VALUE"""),7.0)</f>
        <v>7</v>
      </c>
      <c r="L1431" s="308">
        <f>IFERROR(__xludf.DUMMYFUNCTION("""COMPUTED_VALUE"""),2009.0)</f>
        <v>2009</v>
      </c>
      <c r="M1431" s="308" t="s">
        <v>36109</v>
      </c>
      <c r="N1431" s="308"/>
      <c r="O1431" s="312" t="s">
        <v>5652</v>
      </c>
      <c r="P1431" s="308" t="s">
        <v>5653</v>
      </c>
      <c r="Q1431" s="308"/>
      <c r="R1431" s="308"/>
      <c r="S1431" s="315" t="s">
        <v>100</v>
      </c>
      <c r="T1431" s="311" t="s">
        <v>34208</v>
      </c>
      <c r="U1431" s="308"/>
      <c r="V1431" s="312"/>
    </row>
    <row r="1432">
      <c r="A1432" s="308">
        <v>1431.0</v>
      </c>
      <c r="B1432" s="308">
        <v>4646.0</v>
      </c>
      <c r="C1432" s="308">
        <v>1449.0</v>
      </c>
      <c r="D1432" s="308">
        <f>IFERROR(__xludf.DUMMYFUNCTION("SPLIT(C1432,""-"")"),1449.0)</f>
        <v>1449</v>
      </c>
      <c r="E1432" s="311"/>
      <c r="F1432" s="317" t="s">
        <v>39</v>
      </c>
      <c r="G1432" s="308"/>
      <c r="H1432" s="308" t="s">
        <v>5656</v>
      </c>
      <c r="I1432" s="310">
        <v>41126.0</v>
      </c>
      <c r="J1432" s="308">
        <f>IFERROR(__xludf.DUMMYFUNCTION("SPLIT(I1432,""/"")"),5.0)</f>
        <v>5</v>
      </c>
      <c r="K1432" s="308">
        <f>IFERROR(__xludf.DUMMYFUNCTION("""COMPUTED_VALUE"""),8.0)</f>
        <v>8</v>
      </c>
      <c r="L1432" s="308">
        <f>IFERROR(__xludf.DUMMYFUNCTION("""COMPUTED_VALUE"""),2012.0)</f>
        <v>2012</v>
      </c>
      <c r="M1432" s="308" t="s">
        <v>5657</v>
      </c>
      <c r="N1432" s="308"/>
      <c r="O1432" s="312" t="s">
        <v>5658</v>
      </c>
      <c r="P1432" s="308" t="s">
        <v>36110</v>
      </c>
      <c r="Q1432" s="308"/>
      <c r="R1432" s="308"/>
      <c r="S1432" s="308" t="s">
        <v>81</v>
      </c>
      <c r="T1432" s="308" t="s">
        <v>75</v>
      </c>
      <c r="U1432" s="312"/>
      <c r="V1432" s="312"/>
    </row>
    <row r="1433">
      <c r="A1433" s="308">
        <v>1432.0</v>
      </c>
      <c r="B1433" s="308">
        <v>4647.0</v>
      </c>
      <c r="C1433" s="308">
        <v>1450.0</v>
      </c>
      <c r="D1433" s="308">
        <f>IFERROR(__xludf.DUMMYFUNCTION("SPLIT(C1433,""-"")"),1450.0)</f>
        <v>1450</v>
      </c>
      <c r="E1433" s="311"/>
      <c r="F1433" s="309" t="s">
        <v>34</v>
      </c>
      <c r="G1433" s="308"/>
      <c r="H1433" s="308" t="s">
        <v>5660</v>
      </c>
      <c r="I1433" s="314">
        <v>40107.0</v>
      </c>
      <c r="J1433" s="308">
        <f>IFERROR(__xludf.DUMMYFUNCTION("SPLIT(I1433,""/"")"),21.0)</f>
        <v>21</v>
      </c>
      <c r="K1433" s="308">
        <f>IFERROR(__xludf.DUMMYFUNCTION("""COMPUTED_VALUE"""),10.0)</f>
        <v>10</v>
      </c>
      <c r="L1433" s="308">
        <f>IFERROR(__xludf.DUMMYFUNCTION("""COMPUTED_VALUE"""),2009.0)</f>
        <v>2009</v>
      </c>
      <c r="M1433" s="308" t="s">
        <v>5661</v>
      </c>
      <c r="N1433" s="308" t="s">
        <v>5662</v>
      </c>
      <c r="O1433" s="312" t="s">
        <v>5663</v>
      </c>
      <c r="P1433" s="308" t="s">
        <v>5664</v>
      </c>
      <c r="Q1433" s="308"/>
      <c r="R1433" s="308"/>
      <c r="S1433" s="308" t="s">
        <v>81</v>
      </c>
      <c r="T1433" s="308" t="s">
        <v>34264</v>
      </c>
      <c r="U1433" s="308"/>
      <c r="V1433" s="312"/>
    </row>
    <row r="1434">
      <c r="A1434" s="308">
        <v>1433.0</v>
      </c>
      <c r="B1434" s="308">
        <v>4648.0</v>
      </c>
      <c r="C1434" s="308">
        <v>1451.0</v>
      </c>
      <c r="D1434" s="308">
        <f>IFERROR(__xludf.DUMMYFUNCTION("SPLIT(C1434,""-"")"),1451.0)</f>
        <v>1451</v>
      </c>
      <c r="E1434" s="311"/>
      <c r="F1434" s="309" t="s">
        <v>34</v>
      </c>
      <c r="G1434" s="308"/>
      <c r="H1434" s="308" t="s">
        <v>5665</v>
      </c>
      <c r="I1434" s="310">
        <v>39995.0</v>
      </c>
      <c r="J1434" s="308">
        <f>IFERROR(__xludf.DUMMYFUNCTION("SPLIT(I1434,""/"")"),1.0)</f>
        <v>1</v>
      </c>
      <c r="K1434" s="308">
        <f>IFERROR(__xludf.DUMMYFUNCTION("""COMPUTED_VALUE"""),7.0)</f>
        <v>7</v>
      </c>
      <c r="L1434" s="308">
        <f>IFERROR(__xludf.DUMMYFUNCTION("""COMPUTED_VALUE"""),2009.0)</f>
        <v>2009</v>
      </c>
      <c r="M1434" s="308" t="s">
        <v>5666</v>
      </c>
      <c r="N1434" s="308"/>
      <c r="O1434" s="312" t="s">
        <v>5667</v>
      </c>
      <c r="P1434" s="308" t="s">
        <v>5668</v>
      </c>
      <c r="Q1434" s="308"/>
      <c r="R1434" s="308"/>
      <c r="S1434" s="308" t="s">
        <v>81</v>
      </c>
      <c r="T1434" s="308" t="s">
        <v>34264</v>
      </c>
      <c r="U1434" s="308"/>
      <c r="V1434" s="312"/>
    </row>
    <row r="1435">
      <c r="A1435" s="308">
        <v>1434.0</v>
      </c>
      <c r="B1435" s="308">
        <v>4649.0</v>
      </c>
      <c r="C1435" s="308">
        <v>1452.0</v>
      </c>
      <c r="D1435" s="308">
        <f>IFERROR(__xludf.DUMMYFUNCTION("SPLIT(C1435,""-"")"),1452.0)</f>
        <v>1452</v>
      </c>
      <c r="E1435" s="311"/>
      <c r="F1435" s="309" t="s">
        <v>34</v>
      </c>
      <c r="G1435" s="308"/>
      <c r="H1435" s="308" t="s">
        <v>5669</v>
      </c>
      <c r="I1435" s="310">
        <v>40054.0</v>
      </c>
      <c r="J1435" s="308">
        <f>IFERROR(__xludf.DUMMYFUNCTION("SPLIT(I1435,""/"")"),29.0)</f>
        <v>29</v>
      </c>
      <c r="K1435" s="308">
        <f>IFERROR(__xludf.DUMMYFUNCTION("""COMPUTED_VALUE"""),8.0)</f>
        <v>8</v>
      </c>
      <c r="L1435" s="308">
        <f>IFERROR(__xludf.DUMMYFUNCTION("""COMPUTED_VALUE"""),2009.0)</f>
        <v>2009</v>
      </c>
      <c r="M1435" s="308" t="s">
        <v>5670</v>
      </c>
      <c r="N1435" s="308"/>
      <c r="O1435" s="312" t="s">
        <v>5671</v>
      </c>
      <c r="P1435" s="308" t="s">
        <v>5672</v>
      </c>
      <c r="Q1435" s="308"/>
      <c r="R1435" s="308"/>
      <c r="S1435" s="308" t="s">
        <v>81</v>
      </c>
      <c r="T1435" s="308" t="s">
        <v>34264</v>
      </c>
      <c r="U1435" s="308"/>
      <c r="V1435" s="312"/>
    </row>
    <row r="1436">
      <c r="A1436" s="308">
        <v>1435.0</v>
      </c>
      <c r="B1436" s="308">
        <v>4650.0</v>
      </c>
      <c r="C1436" s="308">
        <v>1453.0</v>
      </c>
      <c r="D1436" s="308">
        <f>IFERROR(__xludf.DUMMYFUNCTION("SPLIT(C1436,""-"")"),1453.0)</f>
        <v>1453</v>
      </c>
      <c r="E1436" s="311"/>
      <c r="F1436" s="309" t="s">
        <v>34</v>
      </c>
      <c r="G1436" s="308"/>
      <c r="H1436" s="308" t="s">
        <v>5673</v>
      </c>
      <c r="I1436" s="310">
        <v>41451.0</v>
      </c>
      <c r="J1436" s="308">
        <f>IFERROR(__xludf.DUMMYFUNCTION("SPLIT(I1436,""/"")"),26.0)</f>
        <v>26</v>
      </c>
      <c r="K1436" s="308">
        <f>IFERROR(__xludf.DUMMYFUNCTION("""COMPUTED_VALUE"""),6.0)</f>
        <v>6</v>
      </c>
      <c r="L1436" s="308">
        <f>IFERROR(__xludf.DUMMYFUNCTION("""COMPUTED_VALUE"""),2013.0)</f>
        <v>2013</v>
      </c>
      <c r="M1436" s="308" t="s">
        <v>5674</v>
      </c>
      <c r="N1436" s="308"/>
      <c r="O1436" s="312" t="s">
        <v>5675</v>
      </c>
      <c r="P1436" s="308" t="s">
        <v>5676</v>
      </c>
      <c r="Q1436" s="308"/>
      <c r="R1436" s="308"/>
      <c r="S1436" s="308" t="s">
        <v>81</v>
      </c>
      <c r="T1436" s="308" t="s">
        <v>75</v>
      </c>
      <c r="U1436" s="308"/>
      <c r="V1436" s="312"/>
    </row>
    <row r="1437">
      <c r="A1437" s="308">
        <v>1436.0</v>
      </c>
      <c r="B1437" s="308">
        <v>4651.0</v>
      </c>
      <c r="C1437" s="308">
        <v>1454.0</v>
      </c>
      <c r="D1437" s="308">
        <f>IFERROR(__xludf.DUMMYFUNCTION("SPLIT(C1437,""-"")"),1454.0)</f>
        <v>1454</v>
      </c>
      <c r="E1437" s="311"/>
      <c r="F1437" s="309" t="s">
        <v>34</v>
      </c>
      <c r="G1437" s="308"/>
      <c r="H1437" s="308" t="s">
        <v>5677</v>
      </c>
      <c r="I1437" s="310">
        <v>40040.0</v>
      </c>
      <c r="J1437" s="308">
        <f>IFERROR(__xludf.DUMMYFUNCTION("SPLIT(I1437,""/"")"),15.0)</f>
        <v>15</v>
      </c>
      <c r="K1437" s="308">
        <f>IFERROR(__xludf.DUMMYFUNCTION("""COMPUTED_VALUE"""),8.0)</f>
        <v>8</v>
      </c>
      <c r="L1437" s="308">
        <f>IFERROR(__xludf.DUMMYFUNCTION("""COMPUTED_VALUE"""),2009.0)</f>
        <v>2009</v>
      </c>
      <c r="M1437" s="308" t="s">
        <v>5678</v>
      </c>
      <c r="N1437" s="308"/>
      <c r="O1437" s="312" t="s">
        <v>635</v>
      </c>
      <c r="P1437" s="308" t="s">
        <v>36111</v>
      </c>
      <c r="Q1437" s="308"/>
      <c r="R1437" s="308"/>
      <c r="S1437" s="315" t="s">
        <v>100</v>
      </c>
      <c r="T1437" s="311" t="s">
        <v>34208</v>
      </c>
      <c r="U1437" s="308" t="s">
        <v>941</v>
      </c>
      <c r="V1437" s="312"/>
    </row>
    <row r="1438">
      <c r="A1438" s="308">
        <v>1437.0</v>
      </c>
      <c r="B1438" s="308">
        <v>4652.0</v>
      </c>
      <c r="C1438" s="308">
        <v>1455.0</v>
      </c>
      <c r="D1438" s="308">
        <f>IFERROR(__xludf.DUMMYFUNCTION("SPLIT(C1438,""-"")"),1455.0)</f>
        <v>1455</v>
      </c>
      <c r="E1438" s="311"/>
      <c r="F1438" s="309" t="s">
        <v>23</v>
      </c>
      <c r="G1438" s="308"/>
      <c r="H1438" s="308" t="s">
        <v>5680</v>
      </c>
      <c r="I1438" s="310">
        <v>41352.0</v>
      </c>
      <c r="J1438" s="308">
        <f>IFERROR(__xludf.DUMMYFUNCTION("SPLIT(I1438,""/"")"),19.0)</f>
        <v>19</v>
      </c>
      <c r="K1438" s="308">
        <f>IFERROR(__xludf.DUMMYFUNCTION("""COMPUTED_VALUE"""),3.0)</f>
        <v>3</v>
      </c>
      <c r="L1438" s="308">
        <f>IFERROR(__xludf.DUMMYFUNCTION("""COMPUTED_VALUE"""),2013.0)</f>
        <v>2013</v>
      </c>
      <c r="M1438" s="308" t="s">
        <v>5681</v>
      </c>
      <c r="N1438" s="308"/>
      <c r="O1438" s="312" t="s">
        <v>36112</v>
      </c>
      <c r="P1438" s="308" t="s">
        <v>5683</v>
      </c>
      <c r="Q1438" s="308"/>
      <c r="R1438" s="308"/>
      <c r="S1438" s="308" t="s">
        <v>49</v>
      </c>
      <c r="T1438" s="308" t="s">
        <v>51</v>
      </c>
      <c r="U1438" s="308"/>
      <c r="V1438" s="312"/>
    </row>
    <row r="1439">
      <c r="A1439" s="308">
        <v>1438.0</v>
      </c>
      <c r="B1439" s="308">
        <v>4653.0</v>
      </c>
      <c r="C1439" s="308">
        <v>1456.0</v>
      </c>
      <c r="D1439" s="308">
        <f>IFERROR(__xludf.DUMMYFUNCTION("SPLIT(C1439,""-"")"),1456.0)</f>
        <v>1456</v>
      </c>
      <c r="E1439" s="311"/>
      <c r="F1439" s="317" t="s">
        <v>37</v>
      </c>
      <c r="G1439" s="308"/>
      <c r="H1439" s="308" t="s">
        <v>5684</v>
      </c>
      <c r="I1439" s="314">
        <v>41206.0</v>
      </c>
      <c r="J1439" s="308">
        <f>IFERROR(__xludf.DUMMYFUNCTION("SPLIT(I1439,""/"")"),24.0)</f>
        <v>24</v>
      </c>
      <c r="K1439" s="308">
        <f>IFERROR(__xludf.DUMMYFUNCTION("""COMPUTED_VALUE"""),10.0)</f>
        <v>10</v>
      </c>
      <c r="L1439" s="308">
        <f>IFERROR(__xludf.DUMMYFUNCTION("""COMPUTED_VALUE"""),2012.0)</f>
        <v>2012</v>
      </c>
      <c r="M1439" s="308" t="s">
        <v>5685</v>
      </c>
      <c r="N1439" s="308" t="s">
        <v>5686</v>
      </c>
      <c r="O1439" s="312" t="s">
        <v>5687</v>
      </c>
      <c r="P1439" s="308" t="s">
        <v>36113</v>
      </c>
      <c r="Q1439" s="308"/>
      <c r="R1439" s="308"/>
      <c r="S1439" s="308" t="s">
        <v>81</v>
      </c>
      <c r="T1439" s="308" t="s">
        <v>75</v>
      </c>
      <c r="U1439" s="308" t="s">
        <v>143</v>
      </c>
      <c r="V1439" s="312"/>
    </row>
    <row r="1440">
      <c r="A1440" s="308">
        <v>1439.0</v>
      </c>
      <c r="B1440" s="308">
        <v>4654.0</v>
      </c>
      <c r="C1440" s="308">
        <v>1457.0</v>
      </c>
      <c r="D1440" s="308">
        <f>IFERROR(__xludf.DUMMYFUNCTION("SPLIT(C1440,""-"")"),1457.0)</f>
        <v>1457</v>
      </c>
      <c r="E1440" s="311"/>
      <c r="F1440" s="317" t="s">
        <v>37</v>
      </c>
      <c r="G1440" s="308"/>
      <c r="H1440" s="308" t="s">
        <v>5689</v>
      </c>
      <c r="I1440" s="310">
        <v>41489.0</v>
      </c>
      <c r="J1440" s="308">
        <f>IFERROR(__xludf.DUMMYFUNCTION("SPLIT(I1440,""/"")"),3.0)</f>
        <v>3</v>
      </c>
      <c r="K1440" s="308">
        <f>IFERROR(__xludf.DUMMYFUNCTION("""COMPUTED_VALUE"""),8.0)</f>
        <v>8</v>
      </c>
      <c r="L1440" s="308">
        <f>IFERROR(__xludf.DUMMYFUNCTION("""COMPUTED_VALUE"""),2013.0)</f>
        <v>2013</v>
      </c>
      <c r="M1440" s="308" t="s">
        <v>5690</v>
      </c>
      <c r="N1440" s="308"/>
      <c r="O1440" s="312" t="s">
        <v>36114</v>
      </c>
      <c r="P1440" s="308" t="s">
        <v>5692</v>
      </c>
      <c r="Q1440" s="308"/>
      <c r="R1440" s="308"/>
      <c r="S1440" s="315" t="s">
        <v>100</v>
      </c>
      <c r="T1440" s="311" t="s">
        <v>34208</v>
      </c>
      <c r="U1440" s="308" t="s">
        <v>5537</v>
      </c>
      <c r="V1440" s="312"/>
    </row>
    <row r="1441">
      <c r="A1441" s="308">
        <v>1440.0</v>
      </c>
      <c r="B1441" s="308">
        <v>4655.0</v>
      </c>
      <c r="C1441" s="308">
        <v>1458.0</v>
      </c>
      <c r="D1441" s="308">
        <f>IFERROR(__xludf.DUMMYFUNCTION("SPLIT(C1441,""-"")"),1458.0)</f>
        <v>1458</v>
      </c>
      <c r="E1441" s="311"/>
      <c r="F1441" s="317" t="s">
        <v>37</v>
      </c>
      <c r="G1441" s="308"/>
      <c r="H1441" s="308" t="s">
        <v>5693</v>
      </c>
      <c r="I1441" s="310">
        <v>41289.0</v>
      </c>
      <c r="J1441" s="308">
        <f>IFERROR(__xludf.DUMMYFUNCTION("SPLIT(I1441,""/"")"),15.0)</f>
        <v>15</v>
      </c>
      <c r="K1441" s="308">
        <f>IFERROR(__xludf.DUMMYFUNCTION("""COMPUTED_VALUE"""),1.0)</f>
        <v>1</v>
      </c>
      <c r="L1441" s="308">
        <f>IFERROR(__xludf.DUMMYFUNCTION("""COMPUTED_VALUE"""),2013.0)</f>
        <v>2013</v>
      </c>
      <c r="M1441" s="308" t="s">
        <v>5694</v>
      </c>
      <c r="N1441" s="308"/>
      <c r="O1441" s="312" t="s">
        <v>36115</v>
      </c>
      <c r="P1441" s="308" t="s">
        <v>5696</v>
      </c>
      <c r="Q1441" s="308"/>
      <c r="R1441" s="308"/>
      <c r="S1441" s="315" t="s">
        <v>100</v>
      </c>
      <c r="T1441" s="311" t="s">
        <v>34208</v>
      </c>
      <c r="U1441" s="308" t="s">
        <v>3407</v>
      </c>
      <c r="V1441" s="312"/>
    </row>
    <row r="1442">
      <c r="A1442" s="308">
        <v>1441.0</v>
      </c>
      <c r="B1442" s="308">
        <v>4656.0</v>
      </c>
      <c r="C1442" s="308" t="s">
        <v>5697</v>
      </c>
      <c r="D1442" s="308">
        <f>IFERROR(__xludf.DUMMYFUNCTION("SPLIT(C1442,""-"")"),1459.0)</f>
        <v>1459</v>
      </c>
      <c r="E1442" s="308" t="str">
        <f>IFERROR(__xludf.DUMMYFUNCTION("""COMPUTED_VALUE"""),"P")</f>
        <v>P</v>
      </c>
      <c r="F1442" s="312" t="s">
        <v>37</v>
      </c>
      <c r="G1442" s="308"/>
      <c r="H1442" s="308" t="s">
        <v>5698</v>
      </c>
      <c r="I1442" s="310">
        <v>41508.0</v>
      </c>
      <c r="J1442" s="308">
        <f>IFERROR(__xludf.DUMMYFUNCTION("SPLIT(I1442,""/"")"),22.0)</f>
        <v>22</v>
      </c>
      <c r="K1442" s="308">
        <f>IFERROR(__xludf.DUMMYFUNCTION("""COMPUTED_VALUE"""),8.0)</f>
        <v>8</v>
      </c>
      <c r="L1442" s="308">
        <f>IFERROR(__xludf.DUMMYFUNCTION("""COMPUTED_VALUE"""),2013.0)</f>
        <v>2013</v>
      </c>
      <c r="M1442" s="308" t="s">
        <v>5699</v>
      </c>
      <c r="N1442" s="308"/>
      <c r="O1442" s="312" t="s">
        <v>5700</v>
      </c>
      <c r="P1442" s="308" t="s">
        <v>5701</v>
      </c>
      <c r="Q1442" s="308"/>
      <c r="R1442" s="308" t="s">
        <v>1496</v>
      </c>
      <c r="S1442" s="315" t="s">
        <v>100</v>
      </c>
      <c r="T1442" s="311" t="s">
        <v>34208</v>
      </c>
      <c r="U1442" s="308" t="s">
        <v>5702</v>
      </c>
      <c r="V1442" s="312"/>
    </row>
    <row r="1443">
      <c r="A1443" s="308">
        <v>1442.0</v>
      </c>
      <c r="B1443" s="308">
        <v>4657.0</v>
      </c>
      <c r="C1443" s="308">
        <v>1460.0</v>
      </c>
      <c r="D1443" s="308">
        <f>IFERROR(__xludf.DUMMYFUNCTION("SPLIT(C1443,""-"")"),1460.0)</f>
        <v>1460</v>
      </c>
      <c r="E1443" s="311"/>
      <c r="F1443" s="317" t="s">
        <v>37</v>
      </c>
      <c r="G1443" s="308"/>
      <c r="H1443" s="308" t="s">
        <v>5703</v>
      </c>
      <c r="I1443" s="310">
        <v>41517.0</v>
      </c>
      <c r="J1443" s="308">
        <f>IFERROR(__xludf.DUMMYFUNCTION("SPLIT(I1443,""/"")"),31.0)</f>
        <v>31</v>
      </c>
      <c r="K1443" s="308">
        <f>IFERROR(__xludf.DUMMYFUNCTION("""COMPUTED_VALUE"""),8.0)</f>
        <v>8</v>
      </c>
      <c r="L1443" s="308">
        <f>IFERROR(__xludf.DUMMYFUNCTION("""COMPUTED_VALUE"""),2013.0)</f>
        <v>2013</v>
      </c>
      <c r="M1443" s="308" t="s">
        <v>5704</v>
      </c>
      <c r="N1443" s="308"/>
      <c r="O1443" s="312" t="s">
        <v>36116</v>
      </c>
      <c r="P1443" s="308" t="s">
        <v>5706</v>
      </c>
      <c r="Q1443" s="308"/>
      <c r="R1443" s="308"/>
      <c r="S1443" s="308" t="s">
        <v>81</v>
      </c>
      <c r="T1443" s="308" t="s">
        <v>75</v>
      </c>
      <c r="U1443" s="308" t="s">
        <v>5707</v>
      </c>
      <c r="V1443" s="312"/>
    </row>
    <row r="1444">
      <c r="A1444" s="308">
        <v>1443.0</v>
      </c>
      <c r="B1444" s="308">
        <v>4658.0</v>
      </c>
      <c r="C1444" s="308">
        <v>1461.0</v>
      </c>
      <c r="D1444" s="308">
        <f>IFERROR(__xludf.DUMMYFUNCTION("SPLIT(C1444,""-"")"),1461.0)</f>
        <v>1461</v>
      </c>
      <c r="E1444" s="311"/>
      <c r="F1444" s="317" t="s">
        <v>37</v>
      </c>
      <c r="G1444" s="308"/>
      <c r="H1444" s="308" t="s">
        <v>5708</v>
      </c>
      <c r="I1444" s="314">
        <v>41233.0</v>
      </c>
      <c r="J1444" s="308">
        <f>IFERROR(__xludf.DUMMYFUNCTION("SPLIT(I1444,""/"")"),20.0)</f>
        <v>20</v>
      </c>
      <c r="K1444" s="308">
        <f>IFERROR(__xludf.DUMMYFUNCTION("""COMPUTED_VALUE"""),11.0)</f>
        <v>11</v>
      </c>
      <c r="L1444" s="308">
        <f>IFERROR(__xludf.DUMMYFUNCTION("""COMPUTED_VALUE"""),2012.0)</f>
        <v>2012</v>
      </c>
      <c r="M1444" s="308" t="s">
        <v>5709</v>
      </c>
      <c r="N1444" s="308"/>
      <c r="O1444" s="312" t="s">
        <v>36117</v>
      </c>
      <c r="P1444" s="308" t="s">
        <v>5711</v>
      </c>
      <c r="Q1444" s="308"/>
      <c r="R1444" s="308"/>
      <c r="S1444" s="315" t="s">
        <v>100</v>
      </c>
      <c r="T1444" s="311" t="s">
        <v>34208</v>
      </c>
      <c r="U1444" s="308" t="s">
        <v>5712</v>
      </c>
      <c r="V1444" s="312"/>
    </row>
    <row r="1445">
      <c r="A1445" s="308">
        <v>1444.0</v>
      </c>
      <c r="B1445" s="308">
        <v>4659.0</v>
      </c>
      <c r="C1445" s="308">
        <v>1462.0</v>
      </c>
      <c r="D1445" s="308">
        <f>IFERROR(__xludf.DUMMYFUNCTION("SPLIT(C1445,""-"")"),1462.0)</f>
        <v>1462</v>
      </c>
      <c r="E1445" s="311"/>
      <c r="F1445" s="317" t="s">
        <v>37</v>
      </c>
      <c r="G1445" s="308"/>
      <c r="H1445" s="308" t="s">
        <v>5713</v>
      </c>
      <c r="I1445" s="310">
        <v>41510.0</v>
      </c>
      <c r="J1445" s="308">
        <f>IFERROR(__xludf.DUMMYFUNCTION("SPLIT(I1445,""/"")"),24.0)</f>
        <v>24</v>
      </c>
      <c r="K1445" s="308">
        <f>IFERROR(__xludf.DUMMYFUNCTION("""COMPUTED_VALUE"""),8.0)</f>
        <v>8</v>
      </c>
      <c r="L1445" s="308">
        <f>IFERROR(__xludf.DUMMYFUNCTION("""COMPUTED_VALUE"""),2013.0)</f>
        <v>2013</v>
      </c>
      <c r="M1445" s="308" t="s">
        <v>5714</v>
      </c>
      <c r="N1445" s="308"/>
      <c r="O1445" s="312" t="s">
        <v>36118</v>
      </c>
      <c r="P1445" s="308" t="s">
        <v>36119</v>
      </c>
      <c r="Q1445" s="308"/>
      <c r="R1445" s="308"/>
      <c r="S1445" s="308" t="s">
        <v>81</v>
      </c>
      <c r="T1445" s="308" t="s">
        <v>75</v>
      </c>
      <c r="U1445" s="312"/>
      <c r="V1445" s="312"/>
    </row>
    <row r="1446">
      <c r="A1446" s="308">
        <v>1445.0</v>
      </c>
      <c r="B1446" s="308">
        <v>4660.0</v>
      </c>
      <c r="C1446" s="308">
        <v>1463.0</v>
      </c>
      <c r="D1446" s="308">
        <f>IFERROR(__xludf.DUMMYFUNCTION("SPLIT(C1446,""-"")"),1463.0)</f>
        <v>1463</v>
      </c>
      <c r="E1446" s="311"/>
      <c r="F1446" s="317" t="s">
        <v>39</v>
      </c>
      <c r="G1446" s="308"/>
      <c r="H1446" s="308" t="s">
        <v>5717</v>
      </c>
      <c r="I1446" s="310">
        <v>41500.0</v>
      </c>
      <c r="J1446" s="308">
        <f>IFERROR(__xludf.DUMMYFUNCTION("SPLIT(I1446,""/"")"),14.0)</f>
        <v>14</v>
      </c>
      <c r="K1446" s="308">
        <f>IFERROR(__xludf.DUMMYFUNCTION("""COMPUTED_VALUE"""),8.0)</f>
        <v>8</v>
      </c>
      <c r="L1446" s="308">
        <f>IFERROR(__xludf.DUMMYFUNCTION("""COMPUTED_VALUE"""),2013.0)</f>
        <v>2013</v>
      </c>
      <c r="M1446" s="308" t="s">
        <v>5718</v>
      </c>
      <c r="N1446" s="308"/>
      <c r="O1446" s="312" t="s">
        <v>36120</v>
      </c>
      <c r="P1446" s="308" t="s">
        <v>5720</v>
      </c>
      <c r="Q1446" s="308"/>
      <c r="R1446" s="308"/>
      <c r="S1446" s="311" t="s">
        <v>81</v>
      </c>
      <c r="T1446" s="308" t="s">
        <v>75</v>
      </c>
      <c r="U1446" s="308"/>
      <c r="V1446" s="312"/>
    </row>
    <row r="1447">
      <c r="A1447" s="308">
        <v>1446.0</v>
      </c>
      <c r="B1447" s="308">
        <v>4661.0</v>
      </c>
      <c r="C1447" s="308">
        <v>1464.0</v>
      </c>
      <c r="D1447" s="308">
        <f>IFERROR(__xludf.DUMMYFUNCTION("SPLIT(C1447,""-"")"),1464.0)</f>
        <v>1464</v>
      </c>
      <c r="E1447" s="311"/>
      <c r="F1447" s="309" t="s">
        <v>34</v>
      </c>
      <c r="G1447" s="308"/>
      <c r="H1447" s="308" t="s">
        <v>5721</v>
      </c>
      <c r="I1447" s="310">
        <v>40798.0</v>
      </c>
      <c r="J1447" s="308">
        <f>IFERROR(__xludf.DUMMYFUNCTION("SPLIT(I1447,""/"")"),12.0)</f>
        <v>12</v>
      </c>
      <c r="K1447" s="308">
        <f>IFERROR(__xludf.DUMMYFUNCTION("""COMPUTED_VALUE"""),9.0)</f>
        <v>9</v>
      </c>
      <c r="L1447" s="308">
        <f>IFERROR(__xludf.DUMMYFUNCTION("""COMPUTED_VALUE"""),2011.0)</f>
        <v>2011</v>
      </c>
      <c r="M1447" s="308" t="s">
        <v>5722</v>
      </c>
      <c r="N1447" s="308"/>
      <c r="O1447" s="312" t="s">
        <v>5723</v>
      </c>
      <c r="P1447" s="308" t="s">
        <v>5724</v>
      </c>
      <c r="Q1447" s="308"/>
      <c r="R1447" s="308"/>
      <c r="S1447" s="308" t="s">
        <v>81</v>
      </c>
      <c r="T1447" s="308" t="s">
        <v>34264</v>
      </c>
      <c r="U1447" s="308"/>
      <c r="V1447" s="312"/>
    </row>
    <row r="1448">
      <c r="A1448" s="308">
        <v>1447.0</v>
      </c>
      <c r="B1448" s="308">
        <v>4662.0</v>
      </c>
      <c r="C1448" s="308">
        <v>1465.0</v>
      </c>
      <c r="D1448" s="308">
        <f>IFERROR(__xludf.DUMMYFUNCTION("SPLIT(C1448,""-"")"),1465.0)</f>
        <v>1465</v>
      </c>
      <c r="E1448" s="311"/>
      <c r="F1448" s="309" t="s">
        <v>34</v>
      </c>
      <c r="G1448" s="308"/>
      <c r="H1448" s="308" t="s">
        <v>5725</v>
      </c>
      <c r="I1448" s="310">
        <v>40879.0</v>
      </c>
      <c r="J1448" s="308">
        <f>IFERROR(__xludf.DUMMYFUNCTION("SPLIT(I1448,""/"")"),2.0)</f>
        <v>2</v>
      </c>
      <c r="K1448" s="308">
        <f>IFERROR(__xludf.DUMMYFUNCTION("""COMPUTED_VALUE"""),12.0)</f>
        <v>12</v>
      </c>
      <c r="L1448" s="308">
        <f>IFERROR(__xludf.DUMMYFUNCTION("""COMPUTED_VALUE"""),2011.0)</f>
        <v>2011</v>
      </c>
      <c r="M1448" s="308" t="s">
        <v>5726</v>
      </c>
      <c r="N1448" s="308"/>
      <c r="O1448" s="312"/>
      <c r="P1448" s="308" t="s">
        <v>5679</v>
      </c>
      <c r="Q1448" s="308"/>
      <c r="R1448" s="308"/>
      <c r="S1448" s="315" t="s">
        <v>100</v>
      </c>
      <c r="T1448" s="311" t="s">
        <v>34208</v>
      </c>
      <c r="U1448" s="308" t="s">
        <v>2097</v>
      </c>
      <c r="V1448" s="312"/>
    </row>
    <row r="1449">
      <c r="A1449" s="312">
        <v>1448.0</v>
      </c>
      <c r="B1449" s="312">
        <v>4663.0</v>
      </c>
      <c r="C1449" s="312">
        <v>1466.0</v>
      </c>
      <c r="D1449" s="308">
        <f>IFERROR(__xludf.DUMMYFUNCTION("SPLIT(C1449,""-"")"),1466.0)</f>
        <v>1466</v>
      </c>
      <c r="E1449" s="309"/>
      <c r="F1449" s="317" t="s">
        <v>37</v>
      </c>
      <c r="G1449" s="312" t="s">
        <v>5727</v>
      </c>
      <c r="H1449" s="312" t="s">
        <v>5728</v>
      </c>
      <c r="I1449" s="310">
        <v>38038.0</v>
      </c>
      <c r="J1449" s="308">
        <f>IFERROR(__xludf.DUMMYFUNCTION("SPLIT(I1449,""/"")"),21.0)</f>
        <v>21</v>
      </c>
      <c r="K1449" s="312">
        <f>IFERROR(__xludf.DUMMYFUNCTION("""COMPUTED_VALUE"""),2.0)</f>
        <v>2</v>
      </c>
      <c r="L1449" s="312">
        <f>IFERROR(__xludf.DUMMYFUNCTION("""COMPUTED_VALUE"""),2004.0)</f>
        <v>2004</v>
      </c>
      <c r="M1449" s="312" t="s">
        <v>5729</v>
      </c>
      <c r="N1449" s="312"/>
      <c r="O1449" s="312" t="s">
        <v>36121</v>
      </c>
      <c r="P1449" s="312"/>
      <c r="Q1449" s="312"/>
      <c r="R1449" s="312"/>
      <c r="S1449" s="308" t="s">
        <v>79</v>
      </c>
      <c r="T1449" s="308" t="s">
        <v>79</v>
      </c>
      <c r="U1449" s="312"/>
      <c r="V1449" s="312"/>
    </row>
    <row r="1450">
      <c r="A1450" s="308">
        <v>1449.0</v>
      </c>
      <c r="B1450" s="308">
        <v>4664.0</v>
      </c>
      <c r="C1450" s="308" t="s">
        <v>5731</v>
      </c>
      <c r="D1450" s="308"/>
      <c r="E1450" s="311"/>
      <c r="F1450" s="309" t="s">
        <v>34</v>
      </c>
      <c r="G1450" s="308" t="s">
        <v>5732</v>
      </c>
      <c r="H1450" s="308" t="s">
        <v>5733</v>
      </c>
      <c r="I1450" s="310">
        <v>41030.0</v>
      </c>
      <c r="J1450" s="308">
        <f>IFERROR(__xludf.DUMMYFUNCTION("SPLIT(I1450,""/"")"),1.0)</f>
        <v>1</v>
      </c>
      <c r="K1450" s="308">
        <f>IFERROR(__xludf.DUMMYFUNCTION("""COMPUTED_VALUE"""),5.0)</f>
        <v>5</v>
      </c>
      <c r="L1450" s="308">
        <f>IFERROR(__xludf.DUMMYFUNCTION("""COMPUTED_VALUE"""),2012.0)</f>
        <v>2012</v>
      </c>
      <c r="M1450" s="308" t="s">
        <v>5734</v>
      </c>
      <c r="N1450" s="308"/>
      <c r="O1450" s="312" t="s">
        <v>5735</v>
      </c>
      <c r="P1450" s="308" t="s">
        <v>5736</v>
      </c>
      <c r="Q1450" s="308"/>
      <c r="R1450" s="308"/>
      <c r="S1450" s="308" t="s">
        <v>49</v>
      </c>
      <c r="T1450" s="308" t="s">
        <v>51</v>
      </c>
      <c r="U1450" s="308" t="s">
        <v>201</v>
      </c>
      <c r="V1450" s="312"/>
    </row>
    <row r="1451">
      <c r="A1451" s="308">
        <v>1450.0</v>
      </c>
      <c r="B1451" s="308">
        <v>4665.0</v>
      </c>
      <c r="C1451" s="308" t="s">
        <v>5737</v>
      </c>
      <c r="D1451" s="308">
        <f>IFERROR(__xludf.DUMMYFUNCTION("SPLIT(C1451,""-"")"),1468.0)</f>
        <v>1468</v>
      </c>
      <c r="E1451" s="308" t="str">
        <f>IFERROR(__xludf.DUMMYFUNCTION("""COMPUTED_VALUE"""),"I")</f>
        <v>I</v>
      </c>
      <c r="F1451" s="309" t="s">
        <v>31</v>
      </c>
      <c r="G1451" s="312"/>
      <c r="H1451" s="312" t="s">
        <v>5738</v>
      </c>
      <c r="I1451" s="314">
        <v>41591.0</v>
      </c>
      <c r="J1451" s="308">
        <f>IFERROR(__xludf.DUMMYFUNCTION("SPLIT(I1451,""/"")"),13.0)</f>
        <v>13</v>
      </c>
      <c r="K1451" s="312">
        <f>IFERROR(__xludf.DUMMYFUNCTION("""COMPUTED_VALUE"""),11.0)</f>
        <v>11</v>
      </c>
      <c r="L1451" s="312">
        <f>IFERROR(__xludf.DUMMYFUNCTION("""COMPUTED_VALUE"""),2013.0)</f>
        <v>2013</v>
      </c>
      <c r="M1451" s="312" t="s">
        <v>5739</v>
      </c>
      <c r="N1451" s="312"/>
      <c r="O1451" s="312" t="s">
        <v>36122</v>
      </c>
      <c r="P1451" s="312" t="s">
        <v>36123</v>
      </c>
      <c r="Q1451" s="312"/>
      <c r="R1451" s="312"/>
      <c r="S1451" s="308" t="s">
        <v>49</v>
      </c>
      <c r="T1451" s="308" t="s">
        <v>51</v>
      </c>
      <c r="U1451" s="312" t="s">
        <v>31</v>
      </c>
      <c r="V1451" s="312"/>
    </row>
    <row r="1452">
      <c r="A1452" s="308">
        <v>1451.0</v>
      </c>
      <c r="B1452" s="308">
        <v>4666.0</v>
      </c>
      <c r="C1452" s="308">
        <v>1469.0</v>
      </c>
      <c r="D1452" s="308">
        <f>IFERROR(__xludf.DUMMYFUNCTION("SPLIT(C1452,""-"")"),1469.0)</f>
        <v>1469</v>
      </c>
      <c r="E1452" s="311"/>
      <c r="F1452" s="309" t="s">
        <v>34</v>
      </c>
      <c r="G1452" s="308"/>
      <c r="H1452" s="308" t="s">
        <v>5742</v>
      </c>
      <c r="I1452" s="314">
        <v>40139.0</v>
      </c>
      <c r="J1452" s="308">
        <f>IFERROR(__xludf.DUMMYFUNCTION("SPLIT(I1452,""/"")"),22.0)</f>
        <v>22</v>
      </c>
      <c r="K1452" s="308">
        <f>IFERROR(__xludf.DUMMYFUNCTION("""COMPUTED_VALUE"""),11.0)</f>
        <v>11</v>
      </c>
      <c r="L1452" s="308">
        <f>IFERROR(__xludf.DUMMYFUNCTION("""COMPUTED_VALUE"""),2009.0)</f>
        <v>2009</v>
      </c>
      <c r="M1452" s="308" t="s">
        <v>36124</v>
      </c>
      <c r="N1452" s="308"/>
      <c r="O1452" s="312" t="s">
        <v>5744</v>
      </c>
      <c r="P1452" s="308" t="s">
        <v>36125</v>
      </c>
      <c r="Q1452" s="308"/>
      <c r="R1452" s="308"/>
      <c r="S1452" s="308" t="s">
        <v>81</v>
      </c>
      <c r="T1452" s="311" t="s">
        <v>85</v>
      </c>
      <c r="U1452" s="308"/>
      <c r="V1452" s="312"/>
    </row>
    <row r="1453">
      <c r="A1453" s="308">
        <v>1452.0</v>
      </c>
      <c r="B1453" s="308">
        <v>4667.0</v>
      </c>
      <c r="C1453" s="308">
        <v>1470.0</v>
      </c>
      <c r="D1453" s="308">
        <f>IFERROR(__xludf.DUMMYFUNCTION("SPLIT(C1453,""-"")"),1470.0)</f>
        <v>1470</v>
      </c>
      <c r="E1453" s="311"/>
      <c r="F1453" s="309" t="s">
        <v>34</v>
      </c>
      <c r="G1453" s="308"/>
      <c r="H1453" s="308" t="s">
        <v>5745</v>
      </c>
      <c r="I1453" s="310">
        <v>40054.0</v>
      </c>
      <c r="J1453" s="308">
        <f>IFERROR(__xludf.DUMMYFUNCTION("SPLIT(I1453,""/"")"),29.0)</f>
        <v>29</v>
      </c>
      <c r="K1453" s="308">
        <f>IFERROR(__xludf.DUMMYFUNCTION("""COMPUTED_VALUE"""),8.0)</f>
        <v>8</v>
      </c>
      <c r="L1453" s="308">
        <f>IFERROR(__xludf.DUMMYFUNCTION("""COMPUTED_VALUE"""),2009.0)</f>
        <v>2009</v>
      </c>
      <c r="M1453" s="308" t="s">
        <v>5670</v>
      </c>
      <c r="N1453" s="308"/>
      <c r="O1453" s="312" t="s">
        <v>5746</v>
      </c>
      <c r="P1453" s="308" t="s">
        <v>36125</v>
      </c>
      <c r="Q1453" s="308"/>
      <c r="R1453" s="308"/>
      <c r="S1453" s="308" t="s">
        <v>81</v>
      </c>
      <c r="T1453" s="311" t="s">
        <v>85</v>
      </c>
      <c r="U1453" s="308"/>
      <c r="V1453" s="312"/>
    </row>
    <row r="1454">
      <c r="A1454" s="308">
        <v>1453.0</v>
      </c>
      <c r="B1454" s="308">
        <v>4668.0</v>
      </c>
      <c r="C1454" s="308">
        <v>1471.0</v>
      </c>
      <c r="D1454" s="308">
        <f>IFERROR(__xludf.DUMMYFUNCTION("SPLIT(C1454,""-"")"),1471.0)</f>
        <v>1471</v>
      </c>
      <c r="E1454" s="311"/>
      <c r="F1454" s="309" t="s">
        <v>34</v>
      </c>
      <c r="G1454" s="308"/>
      <c r="H1454" s="308" t="s">
        <v>5747</v>
      </c>
      <c r="I1454" s="310">
        <v>39972.0</v>
      </c>
      <c r="J1454" s="308">
        <f>IFERROR(__xludf.DUMMYFUNCTION("SPLIT(I1454,""/"")"),8.0)</f>
        <v>8</v>
      </c>
      <c r="K1454" s="308">
        <f>IFERROR(__xludf.DUMMYFUNCTION("""COMPUTED_VALUE"""),6.0)</f>
        <v>6</v>
      </c>
      <c r="L1454" s="308">
        <f>IFERROR(__xludf.DUMMYFUNCTION("""COMPUTED_VALUE"""),2009.0)</f>
        <v>2009</v>
      </c>
      <c r="M1454" s="308" t="s">
        <v>5748</v>
      </c>
      <c r="N1454" s="308"/>
      <c r="O1454" s="312" t="s">
        <v>5749</v>
      </c>
      <c r="P1454" s="308" t="s">
        <v>1872</v>
      </c>
      <c r="Q1454" s="308"/>
      <c r="R1454" s="308"/>
      <c r="S1454" s="315" t="s">
        <v>100</v>
      </c>
      <c r="T1454" s="311" t="s">
        <v>34208</v>
      </c>
      <c r="U1454" s="308" t="s">
        <v>530</v>
      </c>
      <c r="V1454" s="312"/>
    </row>
    <row r="1455">
      <c r="A1455" s="308">
        <v>1454.0</v>
      </c>
      <c r="B1455" s="308">
        <v>4669.0</v>
      </c>
      <c r="C1455" s="308">
        <v>1472.0</v>
      </c>
      <c r="D1455" s="308">
        <f>IFERROR(__xludf.DUMMYFUNCTION("SPLIT(C1455,""-"")"),1472.0)</f>
        <v>1472</v>
      </c>
      <c r="E1455" s="311"/>
      <c r="F1455" s="309" t="s">
        <v>34</v>
      </c>
      <c r="G1455" s="308"/>
      <c r="H1455" s="308" t="s">
        <v>5750</v>
      </c>
      <c r="I1455" s="310">
        <v>40069.0</v>
      </c>
      <c r="J1455" s="308">
        <f>IFERROR(__xludf.DUMMYFUNCTION("SPLIT(I1455,""/"")"),13.0)</f>
        <v>13</v>
      </c>
      <c r="K1455" s="308">
        <f>IFERROR(__xludf.DUMMYFUNCTION("""COMPUTED_VALUE"""),9.0)</f>
        <v>9</v>
      </c>
      <c r="L1455" s="308">
        <f>IFERROR(__xludf.DUMMYFUNCTION("""COMPUTED_VALUE"""),2009.0)</f>
        <v>2009</v>
      </c>
      <c r="M1455" s="308" t="s">
        <v>5751</v>
      </c>
      <c r="N1455" s="308"/>
      <c r="O1455" s="312" t="s">
        <v>5752</v>
      </c>
      <c r="P1455" s="308" t="s">
        <v>1872</v>
      </c>
      <c r="Q1455" s="308"/>
      <c r="R1455" s="308"/>
      <c r="S1455" s="315" t="s">
        <v>100</v>
      </c>
      <c r="T1455" s="311" t="s">
        <v>34208</v>
      </c>
      <c r="U1455" s="308" t="s">
        <v>530</v>
      </c>
      <c r="V1455" s="312"/>
    </row>
    <row r="1456">
      <c r="A1456" s="308">
        <v>1455.0</v>
      </c>
      <c r="B1456" s="308">
        <v>4670.0</v>
      </c>
      <c r="C1456" s="308">
        <v>1473.0</v>
      </c>
      <c r="D1456" s="308">
        <f>IFERROR(__xludf.DUMMYFUNCTION("SPLIT(C1456,""-"")"),1473.0)</f>
        <v>1473</v>
      </c>
      <c r="E1456" s="311"/>
      <c r="F1456" s="309" t="s">
        <v>34</v>
      </c>
      <c r="G1456" s="308"/>
      <c r="H1456" s="308" t="s">
        <v>5753</v>
      </c>
      <c r="I1456" s="310">
        <v>40320.0</v>
      </c>
      <c r="J1456" s="308">
        <f>IFERROR(__xludf.DUMMYFUNCTION("SPLIT(I1456,""/"")"),22.0)</f>
        <v>22</v>
      </c>
      <c r="K1456" s="308">
        <f>IFERROR(__xludf.DUMMYFUNCTION("""COMPUTED_VALUE"""),5.0)</f>
        <v>5</v>
      </c>
      <c r="L1456" s="308">
        <f>IFERROR(__xludf.DUMMYFUNCTION("""COMPUTED_VALUE"""),2010.0)</f>
        <v>2010</v>
      </c>
      <c r="M1456" s="308" t="s">
        <v>5754</v>
      </c>
      <c r="N1456" s="308"/>
      <c r="O1456" s="312" t="s">
        <v>36101</v>
      </c>
      <c r="P1456" s="308" t="s">
        <v>5755</v>
      </c>
      <c r="Q1456" s="308"/>
      <c r="R1456" s="308"/>
      <c r="S1456" s="308" t="s">
        <v>81</v>
      </c>
      <c r="T1456" s="308" t="s">
        <v>34264</v>
      </c>
      <c r="U1456" s="308"/>
      <c r="V1456" s="312"/>
    </row>
    <row r="1457">
      <c r="A1457" s="308">
        <v>1456.0</v>
      </c>
      <c r="B1457" s="308">
        <v>4671.0</v>
      </c>
      <c r="C1457" s="308">
        <v>1474.0</v>
      </c>
      <c r="D1457" s="308">
        <f>IFERROR(__xludf.DUMMYFUNCTION("SPLIT(C1457,""-"")"),1474.0)</f>
        <v>1474</v>
      </c>
      <c r="E1457" s="311"/>
      <c r="F1457" s="317" t="s">
        <v>37</v>
      </c>
      <c r="G1457" s="308"/>
      <c r="H1457" s="308" t="s">
        <v>5756</v>
      </c>
      <c r="I1457" s="310">
        <v>41615.0</v>
      </c>
      <c r="J1457" s="308">
        <f>IFERROR(__xludf.DUMMYFUNCTION("SPLIT(I1457,""/"")"),7.0)</f>
        <v>7</v>
      </c>
      <c r="K1457" s="308">
        <f>IFERROR(__xludf.DUMMYFUNCTION("""COMPUTED_VALUE"""),12.0)</f>
        <v>12</v>
      </c>
      <c r="L1457" s="308">
        <f>IFERROR(__xludf.DUMMYFUNCTION("""COMPUTED_VALUE"""),2013.0)</f>
        <v>2013</v>
      </c>
      <c r="M1457" s="308" t="s">
        <v>5757</v>
      </c>
      <c r="N1457" s="308"/>
      <c r="O1457" s="312" t="s">
        <v>36101</v>
      </c>
      <c r="P1457" s="308" t="s">
        <v>5758</v>
      </c>
      <c r="Q1457" s="308"/>
      <c r="R1457" s="308"/>
      <c r="S1457" s="308" t="s">
        <v>49</v>
      </c>
      <c r="T1457" s="308" t="s">
        <v>51</v>
      </c>
      <c r="U1457" s="308"/>
      <c r="V1457" s="312"/>
    </row>
    <row r="1458">
      <c r="A1458" s="308">
        <v>1457.0</v>
      </c>
      <c r="B1458" s="308">
        <v>4672.0</v>
      </c>
      <c r="C1458" s="308">
        <v>1475.0</v>
      </c>
      <c r="D1458" s="308">
        <f>IFERROR(__xludf.DUMMYFUNCTION("SPLIT(C1458,""-"")"),1475.0)</f>
        <v>1475</v>
      </c>
      <c r="E1458" s="311"/>
      <c r="F1458" s="317" t="s">
        <v>37</v>
      </c>
      <c r="G1458" s="308"/>
      <c r="H1458" s="308" t="s">
        <v>5759</v>
      </c>
      <c r="I1458" s="314">
        <v>41590.0</v>
      </c>
      <c r="J1458" s="308">
        <f>IFERROR(__xludf.DUMMYFUNCTION("SPLIT(I1458,""/"")"),12.0)</f>
        <v>12</v>
      </c>
      <c r="K1458" s="308">
        <f>IFERROR(__xludf.DUMMYFUNCTION("""COMPUTED_VALUE"""),11.0)</f>
        <v>11</v>
      </c>
      <c r="L1458" s="308">
        <f>IFERROR(__xludf.DUMMYFUNCTION("""COMPUTED_VALUE"""),2013.0)</f>
        <v>2013</v>
      </c>
      <c r="M1458" s="308" t="s">
        <v>5760</v>
      </c>
      <c r="N1458" s="308"/>
      <c r="O1458" s="312" t="s">
        <v>635</v>
      </c>
      <c r="P1458" s="308" t="s">
        <v>5761</v>
      </c>
      <c r="Q1458" s="308"/>
      <c r="R1458" s="308"/>
      <c r="S1458" s="308" t="s">
        <v>81</v>
      </c>
      <c r="T1458" s="308" t="s">
        <v>75</v>
      </c>
      <c r="U1458" s="308"/>
      <c r="V1458" s="312"/>
    </row>
    <row r="1459">
      <c r="A1459" s="308">
        <v>1458.0</v>
      </c>
      <c r="B1459" s="308">
        <v>4673.0</v>
      </c>
      <c r="C1459" s="308">
        <v>1476.0</v>
      </c>
      <c r="D1459" s="308">
        <f>IFERROR(__xludf.DUMMYFUNCTION("SPLIT(C1459,""-"")"),1476.0)</f>
        <v>1476</v>
      </c>
      <c r="E1459" s="311"/>
      <c r="F1459" s="309" t="s">
        <v>34</v>
      </c>
      <c r="G1459" s="308" t="s">
        <v>5762</v>
      </c>
      <c r="H1459" s="308" t="s">
        <v>5763</v>
      </c>
      <c r="I1459" s="310">
        <v>40725.0</v>
      </c>
      <c r="J1459" s="308">
        <f>IFERROR(__xludf.DUMMYFUNCTION("SPLIT(I1459,""/"")"),1.0)</f>
        <v>1</v>
      </c>
      <c r="K1459" s="308">
        <f>IFERROR(__xludf.DUMMYFUNCTION("""COMPUTED_VALUE"""),7.0)</f>
        <v>7</v>
      </c>
      <c r="L1459" s="308">
        <f>IFERROR(__xludf.DUMMYFUNCTION("""COMPUTED_VALUE"""),2011.0)</f>
        <v>2011</v>
      </c>
      <c r="M1459" s="308" t="s">
        <v>5764</v>
      </c>
      <c r="N1459" s="308"/>
      <c r="O1459" s="312" t="s">
        <v>5765</v>
      </c>
      <c r="P1459" s="308" t="s">
        <v>5766</v>
      </c>
      <c r="Q1459" s="308"/>
      <c r="R1459" s="308"/>
      <c r="S1459" s="308" t="s">
        <v>49</v>
      </c>
      <c r="T1459" s="308" t="s">
        <v>51</v>
      </c>
      <c r="U1459" s="308" t="s">
        <v>137</v>
      </c>
      <c r="V1459" s="312"/>
    </row>
    <row r="1460">
      <c r="A1460" s="308">
        <v>1459.0</v>
      </c>
      <c r="B1460" s="308">
        <v>4674.0</v>
      </c>
      <c r="C1460" s="308" t="s">
        <v>5767</v>
      </c>
      <c r="D1460" s="308">
        <f>IFERROR(__xludf.DUMMYFUNCTION("SPLIT(C1460,""-"")"),1477.0)</f>
        <v>1477</v>
      </c>
      <c r="E1460" s="308" t="str">
        <f>IFERROR(__xludf.DUMMYFUNCTION("""COMPUTED_VALUE"""),"K")</f>
        <v>K</v>
      </c>
      <c r="F1460" s="309" t="s">
        <v>34</v>
      </c>
      <c r="G1460" s="308"/>
      <c r="H1460" s="308" t="s">
        <v>5768</v>
      </c>
      <c r="I1460" s="310">
        <v>39972.0</v>
      </c>
      <c r="J1460" s="308">
        <f>IFERROR(__xludf.DUMMYFUNCTION("SPLIT(I1460,""/"")"),8.0)</f>
        <v>8</v>
      </c>
      <c r="K1460" s="308">
        <f>IFERROR(__xludf.DUMMYFUNCTION("""COMPUTED_VALUE"""),6.0)</f>
        <v>6</v>
      </c>
      <c r="L1460" s="308">
        <f>IFERROR(__xludf.DUMMYFUNCTION("""COMPUTED_VALUE"""),2009.0)</f>
        <v>2009</v>
      </c>
      <c r="M1460" s="308" t="s">
        <v>5769</v>
      </c>
      <c r="N1460" s="308" t="s">
        <v>5770</v>
      </c>
      <c r="O1460" s="312" t="s">
        <v>5771</v>
      </c>
      <c r="P1460" s="308" t="s">
        <v>1872</v>
      </c>
      <c r="Q1460" s="308"/>
      <c r="R1460" s="308" t="s">
        <v>1496</v>
      </c>
      <c r="S1460" s="315" t="s">
        <v>100</v>
      </c>
      <c r="T1460" s="311" t="s">
        <v>34208</v>
      </c>
      <c r="U1460" s="308" t="s">
        <v>530</v>
      </c>
      <c r="V1460" s="312"/>
    </row>
    <row r="1461">
      <c r="A1461" s="308">
        <v>1460.0</v>
      </c>
      <c r="B1461" s="308">
        <v>4675.0</v>
      </c>
      <c r="C1461" s="308">
        <v>1478.0</v>
      </c>
      <c r="D1461" s="308">
        <f>IFERROR(__xludf.DUMMYFUNCTION("SPLIT(C1461,""-"")"),1478.0)</f>
        <v>1478</v>
      </c>
      <c r="E1461" s="311"/>
      <c r="F1461" s="309" t="s">
        <v>34</v>
      </c>
      <c r="G1461" s="308"/>
      <c r="H1461" s="308" t="s">
        <v>5772</v>
      </c>
      <c r="I1461" s="310">
        <v>39972.0</v>
      </c>
      <c r="J1461" s="308">
        <f>IFERROR(__xludf.DUMMYFUNCTION("SPLIT(I1461,""/"")"),8.0)</f>
        <v>8</v>
      </c>
      <c r="K1461" s="308">
        <f>IFERROR(__xludf.DUMMYFUNCTION("""COMPUTED_VALUE"""),6.0)</f>
        <v>6</v>
      </c>
      <c r="L1461" s="308">
        <f>IFERROR(__xludf.DUMMYFUNCTION("""COMPUTED_VALUE"""),2009.0)</f>
        <v>2009</v>
      </c>
      <c r="M1461" s="308" t="s">
        <v>5769</v>
      </c>
      <c r="N1461" s="308" t="s">
        <v>5773</v>
      </c>
      <c r="O1461" s="312" t="s">
        <v>5771</v>
      </c>
      <c r="P1461" s="308" t="s">
        <v>1872</v>
      </c>
      <c r="Q1461" s="308"/>
      <c r="R1461" s="308" t="s">
        <v>1496</v>
      </c>
      <c r="S1461" s="315" t="s">
        <v>100</v>
      </c>
      <c r="T1461" s="311" t="s">
        <v>34208</v>
      </c>
      <c r="U1461" s="308" t="s">
        <v>530</v>
      </c>
      <c r="V1461" s="312"/>
    </row>
    <row r="1462">
      <c r="A1462" s="308">
        <v>1461.0</v>
      </c>
      <c r="B1462" s="308">
        <v>4676.0</v>
      </c>
      <c r="C1462" s="308" t="s">
        <v>5774</v>
      </c>
      <c r="D1462" s="308">
        <f>IFERROR(__xludf.DUMMYFUNCTION("SPLIT(C1462,""-"")"),1479.0)</f>
        <v>1479</v>
      </c>
      <c r="E1462" s="308" t="str">
        <f>IFERROR(__xludf.DUMMYFUNCTION("""COMPUTED_VALUE"""),"K")</f>
        <v>K</v>
      </c>
      <c r="F1462" s="309" t="s">
        <v>34</v>
      </c>
      <c r="G1462" s="308"/>
      <c r="H1462" s="308" t="s">
        <v>5775</v>
      </c>
      <c r="I1462" s="310">
        <v>39995.0</v>
      </c>
      <c r="J1462" s="308">
        <f>IFERROR(__xludf.DUMMYFUNCTION("SPLIT(I1462,""/"")"),1.0)</f>
        <v>1</v>
      </c>
      <c r="K1462" s="308">
        <f>IFERROR(__xludf.DUMMYFUNCTION("""COMPUTED_VALUE"""),7.0)</f>
        <v>7</v>
      </c>
      <c r="L1462" s="308">
        <f>IFERROR(__xludf.DUMMYFUNCTION("""COMPUTED_VALUE"""),2009.0)</f>
        <v>2009</v>
      </c>
      <c r="M1462" s="308" t="s">
        <v>5776</v>
      </c>
      <c r="N1462" s="308"/>
      <c r="O1462" s="312" t="s">
        <v>635</v>
      </c>
      <c r="P1462" s="308" t="s">
        <v>5777</v>
      </c>
      <c r="Q1462" s="308"/>
      <c r="R1462" s="308" t="s">
        <v>1496</v>
      </c>
      <c r="S1462" s="308" t="s">
        <v>49</v>
      </c>
      <c r="T1462" s="308" t="s">
        <v>51</v>
      </c>
      <c r="U1462" s="308" t="s">
        <v>530</v>
      </c>
      <c r="V1462" s="312"/>
    </row>
    <row r="1463">
      <c r="A1463" s="308">
        <v>1462.0</v>
      </c>
      <c r="B1463" s="308">
        <v>4677.0</v>
      </c>
      <c r="C1463" s="308">
        <v>1480.0</v>
      </c>
      <c r="D1463" s="308">
        <f>IFERROR(__xludf.DUMMYFUNCTION("SPLIT(C1463,""-"")"),1480.0)</f>
        <v>1480</v>
      </c>
      <c r="E1463" s="311"/>
      <c r="F1463" s="317" t="s">
        <v>37</v>
      </c>
      <c r="G1463" s="308"/>
      <c r="H1463" s="308" t="s">
        <v>5778</v>
      </c>
      <c r="I1463" s="310">
        <v>41514.0</v>
      </c>
      <c r="J1463" s="308">
        <f>IFERROR(__xludf.DUMMYFUNCTION("SPLIT(I1463,""/"")"),28.0)</f>
        <v>28</v>
      </c>
      <c r="K1463" s="308">
        <f>IFERROR(__xludf.DUMMYFUNCTION("""COMPUTED_VALUE"""),8.0)</f>
        <v>8</v>
      </c>
      <c r="L1463" s="308">
        <f>IFERROR(__xludf.DUMMYFUNCTION("""COMPUTED_VALUE"""),2013.0)</f>
        <v>2013</v>
      </c>
      <c r="M1463" s="308" t="s">
        <v>5779</v>
      </c>
      <c r="N1463" s="308"/>
      <c r="O1463" s="312" t="s">
        <v>5527</v>
      </c>
      <c r="P1463" s="308" t="s">
        <v>5780</v>
      </c>
      <c r="Q1463" s="308"/>
      <c r="R1463" s="308"/>
      <c r="S1463" s="308" t="s">
        <v>81</v>
      </c>
      <c r="T1463" s="308" t="s">
        <v>73</v>
      </c>
      <c r="U1463" s="308"/>
      <c r="V1463" s="312"/>
    </row>
    <row r="1464">
      <c r="A1464" s="308">
        <v>1463.0</v>
      </c>
      <c r="B1464" s="308">
        <v>4678.0</v>
      </c>
      <c r="C1464" s="308">
        <v>1481.0</v>
      </c>
      <c r="D1464" s="308">
        <f>IFERROR(__xludf.DUMMYFUNCTION("SPLIT(C1464,""-"")"),1481.0)</f>
        <v>1481</v>
      </c>
      <c r="E1464" s="311"/>
      <c r="F1464" s="309" t="s">
        <v>34</v>
      </c>
      <c r="G1464" s="308"/>
      <c r="H1464" s="308" t="s">
        <v>5781</v>
      </c>
      <c r="I1464" s="310">
        <v>39929.0</v>
      </c>
      <c r="J1464" s="308">
        <f>IFERROR(__xludf.DUMMYFUNCTION("SPLIT(I1464,""/"")"),26.0)</f>
        <v>26</v>
      </c>
      <c r="K1464" s="308">
        <f>IFERROR(__xludf.DUMMYFUNCTION("""COMPUTED_VALUE"""),4.0)</f>
        <v>4</v>
      </c>
      <c r="L1464" s="308">
        <f>IFERROR(__xludf.DUMMYFUNCTION("""COMPUTED_VALUE"""),2009.0)</f>
        <v>2009</v>
      </c>
      <c r="M1464" s="308" t="s">
        <v>36126</v>
      </c>
      <c r="N1464" s="308" t="s">
        <v>5783</v>
      </c>
      <c r="O1464" s="312" t="s">
        <v>5784</v>
      </c>
      <c r="P1464" s="308" t="s">
        <v>1872</v>
      </c>
      <c r="Q1464" s="308"/>
      <c r="R1464" s="308"/>
      <c r="S1464" s="315" t="s">
        <v>100</v>
      </c>
      <c r="T1464" s="311" t="s">
        <v>34208</v>
      </c>
      <c r="U1464" s="308" t="s">
        <v>530</v>
      </c>
      <c r="V1464" s="312"/>
    </row>
    <row r="1465">
      <c r="A1465" s="308">
        <v>1464.0</v>
      </c>
      <c r="B1465" s="308">
        <v>4679.0</v>
      </c>
      <c r="C1465" s="308">
        <v>1482.0</v>
      </c>
      <c r="D1465" s="308">
        <f>IFERROR(__xludf.DUMMYFUNCTION("SPLIT(C1465,""-"")"),1482.0)</f>
        <v>1482</v>
      </c>
      <c r="E1465" s="311"/>
      <c r="F1465" s="309" t="s">
        <v>34</v>
      </c>
      <c r="G1465" s="308"/>
      <c r="H1465" s="308" t="s">
        <v>5785</v>
      </c>
      <c r="I1465" s="310">
        <v>40054.0</v>
      </c>
      <c r="J1465" s="308">
        <f>IFERROR(__xludf.DUMMYFUNCTION("SPLIT(I1465,""/"")"),29.0)</f>
        <v>29</v>
      </c>
      <c r="K1465" s="308">
        <f>IFERROR(__xludf.DUMMYFUNCTION("""COMPUTED_VALUE"""),8.0)</f>
        <v>8</v>
      </c>
      <c r="L1465" s="308">
        <f>IFERROR(__xludf.DUMMYFUNCTION("""COMPUTED_VALUE"""),2009.0)</f>
        <v>2009</v>
      </c>
      <c r="M1465" s="308" t="s">
        <v>36127</v>
      </c>
      <c r="N1465" s="308"/>
      <c r="O1465" s="312" t="s">
        <v>36128</v>
      </c>
      <c r="P1465" s="308" t="s">
        <v>1872</v>
      </c>
      <c r="Q1465" s="308"/>
      <c r="R1465" s="308"/>
      <c r="S1465" s="315" t="s">
        <v>100</v>
      </c>
      <c r="T1465" s="311" t="s">
        <v>34208</v>
      </c>
      <c r="U1465" s="308" t="s">
        <v>530</v>
      </c>
      <c r="V1465" s="312"/>
    </row>
    <row r="1466">
      <c r="A1466" s="308">
        <v>1465.0</v>
      </c>
      <c r="B1466" s="308">
        <v>4680.0</v>
      </c>
      <c r="C1466" s="308">
        <v>1483.0</v>
      </c>
      <c r="D1466" s="308">
        <f>IFERROR(__xludf.DUMMYFUNCTION("SPLIT(C1466,""-"")"),1483.0)</f>
        <v>1483</v>
      </c>
      <c r="E1466" s="311"/>
      <c r="F1466" s="309" t="s">
        <v>34</v>
      </c>
      <c r="G1466" s="308"/>
      <c r="H1466" s="308" t="s">
        <v>5788</v>
      </c>
      <c r="I1466" s="310">
        <v>40311.0</v>
      </c>
      <c r="J1466" s="308">
        <f>IFERROR(__xludf.DUMMYFUNCTION("SPLIT(I1466,""/"")"),13.0)</f>
        <v>13</v>
      </c>
      <c r="K1466" s="308">
        <f>IFERROR(__xludf.DUMMYFUNCTION("""COMPUTED_VALUE"""),5.0)</f>
        <v>5</v>
      </c>
      <c r="L1466" s="308">
        <f>IFERROR(__xludf.DUMMYFUNCTION("""COMPUTED_VALUE"""),2010.0)</f>
        <v>2010</v>
      </c>
      <c r="M1466" s="308" t="s">
        <v>5789</v>
      </c>
      <c r="N1466" s="308"/>
      <c r="O1466" s="312" t="s">
        <v>5790</v>
      </c>
      <c r="P1466" s="308" t="s">
        <v>5791</v>
      </c>
      <c r="Q1466" s="308"/>
      <c r="R1466" s="308"/>
      <c r="S1466" s="308" t="s">
        <v>81</v>
      </c>
      <c r="T1466" s="308" t="s">
        <v>34264</v>
      </c>
      <c r="U1466" s="308"/>
      <c r="V1466" s="312"/>
    </row>
    <row r="1467">
      <c r="A1467" s="308">
        <v>1466.0</v>
      </c>
      <c r="B1467" s="308">
        <v>4681.0</v>
      </c>
      <c r="C1467" s="308" t="s">
        <v>36129</v>
      </c>
      <c r="D1467" s="308">
        <f>IFERROR(__xludf.DUMMYFUNCTION("SPLIT(C1467,""-"")"),1484.0)</f>
        <v>1484</v>
      </c>
      <c r="E1467" s="311"/>
      <c r="F1467" s="309" t="s">
        <v>34</v>
      </c>
      <c r="G1467" s="308"/>
      <c r="H1467" s="308" t="s">
        <v>5792</v>
      </c>
      <c r="I1467" s="310">
        <v>39953.0</v>
      </c>
      <c r="J1467" s="308">
        <f>IFERROR(__xludf.DUMMYFUNCTION("SPLIT(I1467,""/"")"),20.0)</f>
        <v>20</v>
      </c>
      <c r="K1467" s="308">
        <f>IFERROR(__xludf.DUMMYFUNCTION("""COMPUTED_VALUE"""),5.0)</f>
        <v>5</v>
      </c>
      <c r="L1467" s="308">
        <f>IFERROR(__xludf.DUMMYFUNCTION("""COMPUTED_VALUE"""),2009.0)</f>
        <v>2009</v>
      </c>
      <c r="M1467" s="308" t="s">
        <v>5793</v>
      </c>
      <c r="N1467" s="308" t="s">
        <v>5794</v>
      </c>
      <c r="O1467" s="312" t="s">
        <v>5795</v>
      </c>
      <c r="P1467" s="308" t="s">
        <v>1872</v>
      </c>
      <c r="Q1467" s="308"/>
      <c r="R1467" s="308"/>
      <c r="S1467" s="315" t="s">
        <v>100</v>
      </c>
      <c r="T1467" s="311" t="s">
        <v>34208</v>
      </c>
      <c r="U1467" s="308" t="s">
        <v>530</v>
      </c>
      <c r="V1467" s="312"/>
    </row>
    <row r="1468">
      <c r="A1468" s="308">
        <v>1467.0</v>
      </c>
      <c r="B1468" s="308">
        <v>4682.0</v>
      </c>
      <c r="C1468" s="308">
        <v>1485.0</v>
      </c>
      <c r="D1468" s="308">
        <f>IFERROR(__xludf.DUMMYFUNCTION("SPLIT(C1468,""-"")"),1485.0)</f>
        <v>1485</v>
      </c>
      <c r="E1468" s="311"/>
      <c r="F1468" s="309" t="s">
        <v>34</v>
      </c>
      <c r="G1468" s="308"/>
      <c r="H1468" s="308" t="s">
        <v>5796</v>
      </c>
      <c r="I1468" s="310">
        <v>40725.0</v>
      </c>
      <c r="J1468" s="308">
        <f>IFERROR(__xludf.DUMMYFUNCTION("SPLIT(I1468,""/"")"),1.0)</f>
        <v>1</v>
      </c>
      <c r="K1468" s="308">
        <f>IFERROR(__xludf.DUMMYFUNCTION("""COMPUTED_VALUE"""),7.0)</f>
        <v>7</v>
      </c>
      <c r="L1468" s="308">
        <f>IFERROR(__xludf.DUMMYFUNCTION("""COMPUTED_VALUE"""),2011.0)</f>
        <v>2011</v>
      </c>
      <c r="M1468" s="308" t="s">
        <v>5797</v>
      </c>
      <c r="N1468" s="308"/>
      <c r="O1468" s="312" t="s">
        <v>5798</v>
      </c>
      <c r="P1468" s="308" t="s">
        <v>5799</v>
      </c>
      <c r="Q1468" s="308"/>
      <c r="R1468" s="308"/>
      <c r="S1468" s="308" t="s">
        <v>81</v>
      </c>
      <c r="T1468" s="308" t="s">
        <v>34264</v>
      </c>
      <c r="U1468" s="308"/>
      <c r="V1468" s="312"/>
    </row>
    <row r="1469">
      <c r="A1469" s="308">
        <v>1468.0</v>
      </c>
      <c r="B1469" s="308">
        <v>4683.0</v>
      </c>
      <c r="C1469" s="308">
        <v>1486.0</v>
      </c>
      <c r="D1469" s="308">
        <f>IFERROR(__xludf.DUMMYFUNCTION("SPLIT(C1469,""-"")"),1486.0)</f>
        <v>1486</v>
      </c>
      <c r="E1469" s="311"/>
      <c r="F1469" s="309" t="s">
        <v>34</v>
      </c>
      <c r="G1469" s="308" t="s">
        <v>5800</v>
      </c>
      <c r="H1469" s="308" t="s">
        <v>5801</v>
      </c>
      <c r="I1469" s="310">
        <v>41329.0</v>
      </c>
      <c r="J1469" s="308">
        <f>IFERROR(__xludf.DUMMYFUNCTION("SPLIT(I1469,""/"")"),24.0)</f>
        <v>24</v>
      </c>
      <c r="K1469" s="308">
        <f>IFERROR(__xludf.DUMMYFUNCTION("""COMPUTED_VALUE"""),2.0)</f>
        <v>2</v>
      </c>
      <c r="L1469" s="308">
        <f>IFERROR(__xludf.DUMMYFUNCTION("""COMPUTED_VALUE"""),2013.0)</f>
        <v>2013</v>
      </c>
      <c r="M1469" s="308" t="s">
        <v>36130</v>
      </c>
      <c r="N1469" s="308"/>
      <c r="O1469" s="312" t="s">
        <v>5803</v>
      </c>
      <c r="P1469" s="308" t="s">
        <v>1762</v>
      </c>
      <c r="Q1469" s="308"/>
      <c r="R1469" s="308"/>
      <c r="S1469" s="315" t="s">
        <v>100</v>
      </c>
      <c r="T1469" s="311" t="s">
        <v>34208</v>
      </c>
      <c r="U1469" s="308" t="s">
        <v>542</v>
      </c>
      <c r="V1469" s="312"/>
    </row>
    <row r="1470">
      <c r="A1470" s="308">
        <v>1469.0</v>
      </c>
      <c r="B1470" s="308">
        <v>4684.0</v>
      </c>
      <c r="C1470" s="308">
        <v>1487.0</v>
      </c>
      <c r="D1470" s="308">
        <f>IFERROR(__xludf.DUMMYFUNCTION("SPLIT(C1470,""-"")"),1487.0)</f>
        <v>1487</v>
      </c>
      <c r="E1470" s="311"/>
      <c r="F1470" s="309" t="s">
        <v>34</v>
      </c>
      <c r="G1470" s="308" t="s">
        <v>5804</v>
      </c>
      <c r="H1470" s="308" t="s">
        <v>5805</v>
      </c>
      <c r="I1470" s="310">
        <v>41122.0</v>
      </c>
      <c r="J1470" s="308">
        <f>IFERROR(__xludf.DUMMYFUNCTION("SPLIT(I1470,""/"")"),1.0)</f>
        <v>1</v>
      </c>
      <c r="K1470" s="308">
        <f>IFERROR(__xludf.DUMMYFUNCTION("""COMPUTED_VALUE"""),8.0)</f>
        <v>8</v>
      </c>
      <c r="L1470" s="308">
        <f>IFERROR(__xludf.DUMMYFUNCTION("""COMPUTED_VALUE"""),2012.0)</f>
        <v>2012</v>
      </c>
      <c r="M1470" s="308" t="s">
        <v>5806</v>
      </c>
      <c r="N1470" s="308"/>
      <c r="O1470" s="312" t="s">
        <v>36131</v>
      </c>
      <c r="P1470" s="308" t="s">
        <v>5808</v>
      </c>
      <c r="Q1470" s="308"/>
      <c r="R1470" s="308"/>
      <c r="S1470" s="308" t="s">
        <v>81</v>
      </c>
      <c r="T1470" s="308" t="s">
        <v>34264</v>
      </c>
      <c r="U1470" s="308"/>
      <c r="V1470" s="312"/>
    </row>
    <row r="1471">
      <c r="A1471" s="308">
        <v>1470.0</v>
      </c>
      <c r="B1471" s="308">
        <v>4685.0</v>
      </c>
      <c r="C1471" s="308">
        <v>1488.0</v>
      </c>
      <c r="D1471" s="308">
        <f>IFERROR(__xludf.DUMMYFUNCTION("SPLIT(C1471,""-"")"),1488.0)</f>
        <v>1488</v>
      </c>
      <c r="E1471" s="311"/>
      <c r="F1471" s="309" t="s">
        <v>34</v>
      </c>
      <c r="G1471" s="308" t="s">
        <v>5809</v>
      </c>
      <c r="H1471" s="308" t="s">
        <v>5810</v>
      </c>
      <c r="I1471" s="310">
        <v>39667.0</v>
      </c>
      <c r="J1471" s="308">
        <f>IFERROR(__xludf.DUMMYFUNCTION("SPLIT(I1471,""/"")"),7.0)</f>
        <v>7</v>
      </c>
      <c r="K1471" s="308">
        <f>IFERROR(__xludf.DUMMYFUNCTION("""COMPUTED_VALUE"""),8.0)</f>
        <v>8</v>
      </c>
      <c r="L1471" s="308">
        <f>IFERROR(__xludf.DUMMYFUNCTION("""COMPUTED_VALUE"""),2008.0)</f>
        <v>2008</v>
      </c>
      <c r="M1471" s="308" t="s">
        <v>5811</v>
      </c>
      <c r="N1471" s="308"/>
      <c r="O1471" s="312"/>
      <c r="P1471" s="308" t="s">
        <v>5679</v>
      </c>
      <c r="Q1471" s="308"/>
      <c r="R1471" s="308"/>
      <c r="S1471" s="315" t="s">
        <v>100</v>
      </c>
      <c r="T1471" s="311" t="s">
        <v>34208</v>
      </c>
      <c r="U1471" s="308"/>
      <c r="V1471" s="312"/>
    </row>
    <row r="1472">
      <c r="A1472" s="308">
        <v>1471.0</v>
      </c>
      <c r="B1472" s="308">
        <v>4686.0</v>
      </c>
      <c r="C1472" s="308" t="s">
        <v>5812</v>
      </c>
      <c r="D1472" s="308">
        <f>IFERROR(__xludf.DUMMYFUNCTION("SPLIT(C1472,""-"")"),1489.0)</f>
        <v>1489</v>
      </c>
      <c r="E1472" s="308" t="str">
        <f>IFERROR(__xludf.DUMMYFUNCTION("""COMPUTED_VALUE"""),"P")</f>
        <v>P</v>
      </c>
      <c r="F1472" s="312" t="s">
        <v>37</v>
      </c>
      <c r="G1472" s="308" t="s">
        <v>5813</v>
      </c>
      <c r="H1472" s="308" t="s">
        <v>5814</v>
      </c>
      <c r="I1472" s="310">
        <v>40582.0</v>
      </c>
      <c r="J1472" s="308">
        <f>IFERROR(__xludf.DUMMYFUNCTION("SPLIT(I1472,""/"")"),8.0)</f>
        <v>8</v>
      </c>
      <c r="K1472" s="308">
        <f>IFERROR(__xludf.DUMMYFUNCTION("""COMPUTED_VALUE"""),2.0)</f>
        <v>2</v>
      </c>
      <c r="L1472" s="308">
        <f>IFERROR(__xludf.DUMMYFUNCTION("""COMPUTED_VALUE"""),2011.0)</f>
        <v>2011</v>
      </c>
      <c r="M1472" s="308" t="s">
        <v>5815</v>
      </c>
      <c r="N1472" s="308"/>
      <c r="O1472" s="312" t="s">
        <v>36132</v>
      </c>
      <c r="P1472" s="308" t="s">
        <v>36133</v>
      </c>
      <c r="Q1472" s="308"/>
      <c r="R1472" s="308" t="s">
        <v>1496</v>
      </c>
      <c r="S1472" s="308" t="s">
        <v>49</v>
      </c>
      <c r="T1472" s="308" t="s">
        <v>51</v>
      </c>
      <c r="U1472" s="312" t="s">
        <v>149</v>
      </c>
      <c r="V1472" s="312"/>
    </row>
    <row r="1473">
      <c r="A1473" s="308">
        <v>1472.0</v>
      </c>
      <c r="B1473" s="308">
        <v>4687.0</v>
      </c>
      <c r="C1473" s="308">
        <v>1490.0</v>
      </c>
      <c r="D1473" s="308">
        <f>IFERROR(__xludf.DUMMYFUNCTION("SPLIT(C1473,""-"")"),1490.0)</f>
        <v>1490</v>
      </c>
      <c r="E1473" s="311"/>
      <c r="F1473" s="309" t="s">
        <v>34</v>
      </c>
      <c r="G1473" s="308"/>
      <c r="H1473" s="308" t="s">
        <v>5818</v>
      </c>
      <c r="I1473" s="310">
        <v>41281.0</v>
      </c>
      <c r="J1473" s="308">
        <f>IFERROR(__xludf.DUMMYFUNCTION("SPLIT(I1473,""/"")"),7.0)</f>
        <v>7</v>
      </c>
      <c r="K1473" s="308">
        <f>IFERROR(__xludf.DUMMYFUNCTION("""COMPUTED_VALUE"""),1.0)</f>
        <v>1</v>
      </c>
      <c r="L1473" s="308">
        <f>IFERROR(__xludf.DUMMYFUNCTION("""COMPUTED_VALUE"""),2013.0)</f>
        <v>2013</v>
      </c>
      <c r="M1473" s="308" t="s">
        <v>5819</v>
      </c>
      <c r="N1473" s="308"/>
      <c r="O1473" s="312" t="s">
        <v>5820</v>
      </c>
      <c r="P1473" s="308" t="s">
        <v>5821</v>
      </c>
      <c r="Q1473" s="308"/>
      <c r="R1473" s="308"/>
      <c r="S1473" s="308" t="s">
        <v>81</v>
      </c>
      <c r="T1473" s="308" t="s">
        <v>34264</v>
      </c>
      <c r="U1473" s="308"/>
      <c r="V1473" s="312"/>
    </row>
    <row r="1474">
      <c r="A1474" s="308">
        <v>1473.0</v>
      </c>
      <c r="B1474" s="308">
        <v>4688.0</v>
      </c>
      <c r="C1474" s="308">
        <v>1491.0</v>
      </c>
      <c r="D1474" s="308">
        <f>IFERROR(__xludf.DUMMYFUNCTION("SPLIT(C1474,""-"")"),1491.0)</f>
        <v>1491</v>
      </c>
      <c r="E1474" s="311"/>
      <c r="F1474" s="309" t="s">
        <v>34</v>
      </c>
      <c r="G1474" s="308"/>
      <c r="H1474" s="308" t="s">
        <v>5822</v>
      </c>
      <c r="I1474" s="310">
        <v>40725.0</v>
      </c>
      <c r="J1474" s="308">
        <f>IFERROR(__xludf.DUMMYFUNCTION("SPLIT(I1474,""/"")"),1.0)</f>
        <v>1</v>
      </c>
      <c r="K1474" s="308">
        <f>IFERROR(__xludf.DUMMYFUNCTION("""COMPUTED_VALUE"""),7.0)</f>
        <v>7</v>
      </c>
      <c r="L1474" s="308">
        <f>IFERROR(__xludf.DUMMYFUNCTION("""COMPUTED_VALUE"""),2011.0)</f>
        <v>2011</v>
      </c>
      <c r="M1474" s="308" t="s">
        <v>5823</v>
      </c>
      <c r="N1474" s="308"/>
      <c r="O1474" s="312" t="s">
        <v>5824</v>
      </c>
      <c r="P1474" s="308" t="s">
        <v>5825</v>
      </c>
      <c r="Q1474" s="308"/>
      <c r="R1474" s="308"/>
      <c r="S1474" s="308" t="s">
        <v>81</v>
      </c>
      <c r="T1474" s="308" t="s">
        <v>34264</v>
      </c>
      <c r="U1474" s="308"/>
      <c r="V1474" s="312"/>
    </row>
    <row r="1475">
      <c r="A1475" s="308">
        <v>1474.0</v>
      </c>
      <c r="B1475" s="308">
        <v>4689.0</v>
      </c>
      <c r="C1475" s="308">
        <v>1492.0</v>
      </c>
      <c r="D1475" s="308">
        <f>IFERROR(__xludf.DUMMYFUNCTION("SPLIT(C1475,""-"")"),1492.0)</f>
        <v>1492</v>
      </c>
      <c r="E1475" s="311"/>
      <c r="F1475" s="309" t="s">
        <v>34</v>
      </c>
      <c r="G1475" s="308"/>
      <c r="H1475" s="308" t="s">
        <v>5826</v>
      </c>
      <c r="I1475" s="310">
        <v>39995.0</v>
      </c>
      <c r="J1475" s="308">
        <f>IFERROR(__xludf.DUMMYFUNCTION("SPLIT(I1475,""/"")"),1.0)</f>
        <v>1</v>
      </c>
      <c r="K1475" s="308">
        <f>IFERROR(__xludf.DUMMYFUNCTION("""COMPUTED_VALUE"""),7.0)</f>
        <v>7</v>
      </c>
      <c r="L1475" s="308">
        <f>IFERROR(__xludf.DUMMYFUNCTION("""COMPUTED_VALUE"""),2009.0)</f>
        <v>2009</v>
      </c>
      <c r="M1475" s="308" t="s">
        <v>5827</v>
      </c>
      <c r="N1475" s="308"/>
      <c r="O1475" s="312" t="s">
        <v>36134</v>
      </c>
      <c r="P1475" s="308" t="s">
        <v>5829</v>
      </c>
      <c r="Q1475" s="308"/>
      <c r="R1475" s="308"/>
      <c r="S1475" s="308" t="s">
        <v>81</v>
      </c>
      <c r="T1475" s="308" t="s">
        <v>34264</v>
      </c>
      <c r="U1475" s="308"/>
      <c r="V1475" s="312"/>
    </row>
    <row r="1476">
      <c r="A1476" s="308">
        <v>1475.0</v>
      </c>
      <c r="B1476" s="308">
        <v>4690.0</v>
      </c>
      <c r="C1476" s="308">
        <v>1493.0</v>
      </c>
      <c r="D1476" s="308">
        <f>IFERROR(__xludf.DUMMYFUNCTION("SPLIT(C1476,""-"")"),1493.0)</f>
        <v>1493</v>
      </c>
      <c r="E1476" s="311"/>
      <c r="F1476" s="309" t="s">
        <v>34</v>
      </c>
      <c r="G1476" s="308" t="s">
        <v>5830</v>
      </c>
      <c r="H1476" s="308" t="s">
        <v>5831</v>
      </c>
      <c r="I1476" s="310">
        <v>40725.0</v>
      </c>
      <c r="J1476" s="308">
        <f>IFERROR(__xludf.DUMMYFUNCTION("SPLIT(I1476,""/"")"),1.0)</f>
        <v>1</v>
      </c>
      <c r="K1476" s="308">
        <f>IFERROR(__xludf.DUMMYFUNCTION("""COMPUTED_VALUE"""),7.0)</f>
        <v>7</v>
      </c>
      <c r="L1476" s="308">
        <f>IFERROR(__xludf.DUMMYFUNCTION("""COMPUTED_VALUE"""),2011.0)</f>
        <v>2011</v>
      </c>
      <c r="M1476" s="308" t="s">
        <v>5832</v>
      </c>
      <c r="N1476" s="308"/>
      <c r="O1476" s="312" t="s">
        <v>5833</v>
      </c>
      <c r="P1476" s="308" t="s">
        <v>5834</v>
      </c>
      <c r="Q1476" s="308"/>
      <c r="R1476" s="308"/>
      <c r="S1476" s="308" t="s">
        <v>81</v>
      </c>
      <c r="T1476" s="308" t="s">
        <v>34264</v>
      </c>
      <c r="U1476" s="308"/>
      <c r="V1476" s="312"/>
    </row>
    <row r="1477">
      <c r="A1477" s="308">
        <v>1476.0</v>
      </c>
      <c r="B1477" s="308">
        <v>4691.0</v>
      </c>
      <c r="C1477" s="308">
        <v>1494.0</v>
      </c>
      <c r="D1477" s="308">
        <f>IFERROR(__xludf.DUMMYFUNCTION("SPLIT(C1477,""-"")"),1494.0)</f>
        <v>1494</v>
      </c>
      <c r="E1477" s="311"/>
      <c r="F1477" s="309" t="s">
        <v>34</v>
      </c>
      <c r="G1477" s="308" t="s">
        <v>5835</v>
      </c>
      <c r="H1477" s="308" t="s">
        <v>5836</v>
      </c>
      <c r="I1477" s="310">
        <v>39995.0</v>
      </c>
      <c r="J1477" s="308">
        <f>IFERROR(__xludf.DUMMYFUNCTION("SPLIT(I1477,""/"")"),1.0)</f>
        <v>1</v>
      </c>
      <c r="K1477" s="308">
        <f>IFERROR(__xludf.DUMMYFUNCTION("""COMPUTED_VALUE"""),7.0)</f>
        <v>7</v>
      </c>
      <c r="L1477" s="308">
        <f>IFERROR(__xludf.DUMMYFUNCTION("""COMPUTED_VALUE"""),2009.0)</f>
        <v>2009</v>
      </c>
      <c r="M1477" s="308" t="s">
        <v>5837</v>
      </c>
      <c r="N1477" s="308" t="s">
        <v>5838</v>
      </c>
      <c r="O1477" s="312" t="s">
        <v>5839</v>
      </c>
      <c r="P1477" s="308" t="s">
        <v>3575</v>
      </c>
      <c r="Q1477" s="308"/>
      <c r="R1477" s="308"/>
      <c r="S1477" s="315" t="s">
        <v>100</v>
      </c>
      <c r="T1477" s="311" t="s">
        <v>34208</v>
      </c>
      <c r="U1477" s="308" t="s">
        <v>2152</v>
      </c>
      <c r="V1477" s="312"/>
    </row>
    <row r="1478">
      <c r="A1478" s="308">
        <v>1477.0</v>
      </c>
      <c r="B1478" s="308">
        <v>4692.0</v>
      </c>
      <c r="C1478" s="308">
        <v>1495.0</v>
      </c>
      <c r="D1478" s="308">
        <f>IFERROR(__xludf.DUMMYFUNCTION("SPLIT(C1478,""-"")"),1495.0)</f>
        <v>1495</v>
      </c>
      <c r="E1478" s="311"/>
      <c r="F1478" s="317" t="s">
        <v>37</v>
      </c>
      <c r="G1478" s="308"/>
      <c r="H1478" s="308" t="s">
        <v>5840</v>
      </c>
      <c r="I1478" s="314">
        <v>41446.0</v>
      </c>
      <c r="J1478" s="308">
        <f>IFERROR(__xludf.DUMMYFUNCTION("SPLIT(I1478,""/"")"),21.0)</f>
        <v>21</v>
      </c>
      <c r="K1478" s="308">
        <f>IFERROR(__xludf.DUMMYFUNCTION("""COMPUTED_VALUE"""),6.0)</f>
        <v>6</v>
      </c>
      <c r="L1478" s="308">
        <f>IFERROR(__xludf.DUMMYFUNCTION("""COMPUTED_VALUE"""),2013.0)</f>
        <v>2013</v>
      </c>
      <c r="M1478" s="308" t="s">
        <v>5841</v>
      </c>
      <c r="N1478" s="308"/>
      <c r="O1478" s="312" t="s">
        <v>635</v>
      </c>
      <c r="P1478" s="308" t="s">
        <v>36135</v>
      </c>
      <c r="Q1478" s="308"/>
      <c r="R1478" s="308"/>
      <c r="S1478" s="308" t="s">
        <v>81</v>
      </c>
      <c r="T1478" s="311" t="s">
        <v>57</v>
      </c>
      <c r="U1478" s="308"/>
      <c r="V1478" s="312"/>
    </row>
    <row r="1479">
      <c r="A1479" s="308">
        <v>1478.0</v>
      </c>
      <c r="B1479" s="308">
        <v>4693.0</v>
      </c>
      <c r="C1479" s="308">
        <v>1496.0</v>
      </c>
      <c r="D1479" s="308">
        <f>IFERROR(__xludf.DUMMYFUNCTION("SPLIT(C1479,""-"")"),1496.0)</f>
        <v>1496</v>
      </c>
      <c r="E1479" s="311"/>
      <c r="F1479" s="309" t="s">
        <v>26</v>
      </c>
      <c r="G1479" s="308"/>
      <c r="H1479" s="308" t="s">
        <v>5843</v>
      </c>
      <c r="I1479" s="314">
        <v>41566.0</v>
      </c>
      <c r="J1479" s="308">
        <f>IFERROR(__xludf.DUMMYFUNCTION("SPLIT(I1479,""/"")"),19.0)</f>
        <v>19</v>
      </c>
      <c r="K1479" s="308">
        <f>IFERROR(__xludf.DUMMYFUNCTION("""COMPUTED_VALUE"""),10.0)</f>
        <v>10</v>
      </c>
      <c r="L1479" s="308">
        <f>IFERROR(__xludf.DUMMYFUNCTION("""COMPUTED_VALUE"""),2013.0)</f>
        <v>2013</v>
      </c>
      <c r="M1479" s="308" t="s">
        <v>5844</v>
      </c>
      <c r="N1479" s="308"/>
      <c r="O1479" s="312" t="s">
        <v>5845</v>
      </c>
      <c r="P1479" s="308"/>
      <c r="Q1479" s="308"/>
      <c r="R1479" s="308"/>
      <c r="S1479" s="308" t="s">
        <v>79</v>
      </c>
      <c r="T1479" s="308" t="s">
        <v>79</v>
      </c>
      <c r="U1479" s="308" t="s">
        <v>27</v>
      </c>
      <c r="V1479" s="312"/>
    </row>
    <row r="1480">
      <c r="A1480" s="308">
        <v>1479.0</v>
      </c>
      <c r="B1480" s="308">
        <v>4694.0</v>
      </c>
      <c r="C1480" s="308">
        <v>1497.0</v>
      </c>
      <c r="D1480" s="308">
        <f>IFERROR(__xludf.DUMMYFUNCTION("SPLIT(C1480,""-"")"),1497.0)</f>
        <v>1497</v>
      </c>
      <c r="E1480" s="311"/>
      <c r="F1480" s="309" t="s">
        <v>26</v>
      </c>
      <c r="G1480" s="308" t="s">
        <v>5846</v>
      </c>
      <c r="H1480" s="308" t="s">
        <v>5847</v>
      </c>
      <c r="I1480" s="310">
        <v>41343.0</v>
      </c>
      <c r="J1480" s="308">
        <f>IFERROR(__xludf.DUMMYFUNCTION("SPLIT(I1480,""/"")"),10.0)</f>
        <v>10</v>
      </c>
      <c r="K1480" s="308">
        <f>IFERROR(__xludf.DUMMYFUNCTION("""COMPUTED_VALUE"""),3.0)</f>
        <v>3</v>
      </c>
      <c r="L1480" s="308">
        <f>IFERROR(__xludf.DUMMYFUNCTION("""COMPUTED_VALUE"""),2013.0)</f>
        <v>2013</v>
      </c>
      <c r="M1480" s="308" t="s">
        <v>5848</v>
      </c>
      <c r="N1480" s="308"/>
      <c r="O1480" s="312" t="s">
        <v>5849</v>
      </c>
      <c r="P1480" s="308" t="s">
        <v>5850</v>
      </c>
      <c r="Q1480" s="308"/>
      <c r="R1480" s="308"/>
      <c r="S1480" s="308" t="s">
        <v>81</v>
      </c>
      <c r="T1480" s="308" t="s">
        <v>75</v>
      </c>
      <c r="U1480" s="308"/>
      <c r="V1480" s="312"/>
    </row>
    <row r="1481">
      <c r="A1481" s="308">
        <v>1480.0</v>
      </c>
      <c r="B1481" s="308">
        <v>4695.0</v>
      </c>
      <c r="C1481" s="308">
        <v>1498.0</v>
      </c>
      <c r="D1481" s="308">
        <f>IFERROR(__xludf.DUMMYFUNCTION("SPLIT(C1481,""-"")"),1498.0)</f>
        <v>1498</v>
      </c>
      <c r="E1481" s="311"/>
      <c r="F1481" s="309" t="s">
        <v>34</v>
      </c>
      <c r="G1481" s="308"/>
      <c r="H1481" s="308" t="s">
        <v>5851</v>
      </c>
      <c r="I1481" s="314">
        <v>40875.0</v>
      </c>
      <c r="J1481" s="308">
        <f>IFERROR(__xludf.DUMMYFUNCTION("SPLIT(I1481,""/"")"),28.0)</f>
        <v>28</v>
      </c>
      <c r="K1481" s="308">
        <f>IFERROR(__xludf.DUMMYFUNCTION("""COMPUTED_VALUE"""),11.0)</f>
        <v>11</v>
      </c>
      <c r="L1481" s="308">
        <f>IFERROR(__xludf.DUMMYFUNCTION("""COMPUTED_VALUE"""),2011.0)</f>
        <v>2011</v>
      </c>
      <c r="M1481" s="308" t="s">
        <v>5852</v>
      </c>
      <c r="N1481" s="308"/>
      <c r="O1481" s="312" t="s">
        <v>36101</v>
      </c>
      <c r="P1481" s="308" t="s">
        <v>5853</v>
      </c>
      <c r="Q1481" s="308"/>
      <c r="R1481" s="308"/>
      <c r="S1481" s="308" t="s">
        <v>81</v>
      </c>
      <c r="T1481" s="308" t="s">
        <v>34264</v>
      </c>
      <c r="U1481" s="308"/>
      <c r="V1481" s="312"/>
    </row>
    <row r="1482">
      <c r="A1482" s="308">
        <v>1481.0</v>
      </c>
      <c r="B1482" s="308">
        <v>4696.0</v>
      </c>
      <c r="C1482" s="308">
        <v>1499.0</v>
      </c>
      <c r="D1482" s="308">
        <f>IFERROR(__xludf.DUMMYFUNCTION("SPLIT(C1482,""-"")"),1499.0)</f>
        <v>1499</v>
      </c>
      <c r="E1482" s="311"/>
      <c r="F1482" s="309" t="s">
        <v>34</v>
      </c>
      <c r="G1482" s="308"/>
      <c r="H1482" s="308" t="s">
        <v>36136</v>
      </c>
      <c r="I1482" s="310">
        <v>40797.0</v>
      </c>
      <c r="J1482" s="308">
        <f>IFERROR(__xludf.DUMMYFUNCTION("SPLIT(I1482,""/"")"),11.0)</f>
        <v>11</v>
      </c>
      <c r="K1482" s="308">
        <f>IFERROR(__xludf.DUMMYFUNCTION("""COMPUTED_VALUE"""),9.0)</f>
        <v>9</v>
      </c>
      <c r="L1482" s="308">
        <f>IFERROR(__xludf.DUMMYFUNCTION("""COMPUTED_VALUE"""),2011.0)</f>
        <v>2011</v>
      </c>
      <c r="M1482" s="308" t="s">
        <v>5855</v>
      </c>
      <c r="N1482" s="308"/>
      <c r="O1482" s="312" t="s">
        <v>635</v>
      </c>
      <c r="P1482" s="308" t="s">
        <v>5856</v>
      </c>
      <c r="Q1482" s="308"/>
      <c r="R1482" s="308"/>
      <c r="S1482" s="308" t="s">
        <v>81</v>
      </c>
      <c r="T1482" s="311" t="s">
        <v>89</v>
      </c>
      <c r="U1482" s="308"/>
      <c r="V1482" s="312"/>
    </row>
    <row r="1483">
      <c r="A1483" s="308">
        <v>1482.0</v>
      </c>
      <c r="B1483" s="308">
        <v>4697.0</v>
      </c>
      <c r="C1483" s="308">
        <v>1500.0</v>
      </c>
      <c r="D1483" s="308">
        <f>IFERROR(__xludf.DUMMYFUNCTION("SPLIT(C1483,""-"")"),1500.0)</f>
        <v>1500</v>
      </c>
      <c r="E1483" s="311"/>
      <c r="F1483" s="309" t="s">
        <v>34</v>
      </c>
      <c r="G1483" s="308"/>
      <c r="H1483" s="308" t="s">
        <v>5857</v>
      </c>
      <c r="I1483" s="310">
        <v>40587.0</v>
      </c>
      <c r="J1483" s="308">
        <f>IFERROR(__xludf.DUMMYFUNCTION("SPLIT(I1483,""/"")"),13.0)</f>
        <v>13</v>
      </c>
      <c r="K1483" s="308">
        <f>IFERROR(__xludf.DUMMYFUNCTION("""COMPUTED_VALUE"""),2.0)</f>
        <v>2</v>
      </c>
      <c r="L1483" s="308">
        <f>IFERROR(__xludf.DUMMYFUNCTION("""COMPUTED_VALUE"""),2011.0)</f>
        <v>2011</v>
      </c>
      <c r="M1483" s="308" t="s">
        <v>5858</v>
      </c>
      <c r="N1483" s="308"/>
      <c r="O1483" s="312" t="s">
        <v>5859</v>
      </c>
      <c r="P1483" s="308" t="s">
        <v>5860</v>
      </c>
      <c r="Q1483" s="308"/>
      <c r="R1483" s="308"/>
      <c r="S1483" s="308" t="s">
        <v>81</v>
      </c>
      <c r="T1483" s="308" t="s">
        <v>34264</v>
      </c>
      <c r="U1483" s="308"/>
      <c r="V1483" s="312"/>
    </row>
    <row r="1484">
      <c r="A1484" s="308">
        <v>1483.0</v>
      </c>
      <c r="B1484" s="308">
        <v>4698.0</v>
      </c>
      <c r="C1484" s="308">
        <v>1501.0</v>
      </c>
      <c r="D1484" s="308">
        <f>IFERROR(__xludf.DUMMYFUNCTION("SPLIT(C1484,""-"")"),1501.0)</f>
        <v>1501</v>
      </c>
      <c r="E1484" s="311"/>
      <c r="F1484" s="309" t="s">
        <v>34</v>
      </c>
      <c r="G1484" s="308"/>
      <c r="H1484" s="308" t="s">
        <v>5861</v>
      </c>
      <c r="I1484" s="310">
        <v>41036.0</v>
      </c>
      <c r="J1484" s="308">
        <f>IFERROR(__xludf.DUMMYFUNCTION("SPLIT(I1484,""/"")"),7.0)</f>
        <v>7</v>
      </c>
      <c r="K1484" s="308">
        <f>IFERROR(__xludf.DUMMYFUNCTION("""COMPUTED_VALUE"""),5.0)</f>
        <v>5</v>
      </c>
      <c r="L1484" s="308">
        <f>IFERROR(__xludf.DUMMYFUNCTION("""COMPUTED_VALUE"""),2012.0)</f>
        <v>2012</v>
      </c>
      <c r="M1484" s="308" t="s">
        <v>36137</v>
      </c>
      <c r="N1484" s="308"/>
      <c r="O1484" s="312" t="s">
        <v>5863</v>
      </c>
      <c r="P1484" s="308" t="s">
        <v>5864</v>
      </c>
      <c r="Q1484" s="308"/>
      <c r="R1484" s="308"/>
      <c r="S1484" s="308" t="s">
        <v>81</v>
      </c>
      <c r="T1484" s="308" t="s">
        <v>34264</v>
      </c>
      <c r="U1484" s="308"/>
      <c r="V1484" s="312"/>
    </row>
    <row r="1485">
      <c r="A1485" s="308">
        <v>1484.0</v>
      </c>
      <c r="B1485" s="308">
        <v>4699.0</v>
      </c>
      <c r="C1485" s="308">
        <v>1502.0</v>
      </c>
      <c r="D1485" s="308">
        <f>IFERROR(__xludf.DUMMYFUNCTION("SPLIT(C1485,""-"")"),1502.0)</f>
        <v>1502</v>
      </c>
      <c r="E1485" s="311"/>
      <c r="F1485" s="309" t="s">
        <v>34</v>
      </c>
      <c r="G1485" s="308"/>
      <c r="H1485" s="308" t="s">
        <v>5865</v>
      </c>
      <c r="I1485" s="310">
        <v>41036.0</v>
      </c>
      <c r="J1485" s="308">
        <f>IFERROR(__xludf.DUMMYFUNCTION("SPLIT(I1485,""/"")"),7.0)</f>
        <v>7</v>
      </c>
      <c r="K1485" s="308">
        <f>IFERROR(__xludf.DUMMYFUNCTION("""COMPUTED_VALUE"""),5.0)</f>
        <v>5</v>
      </c>
      <c r="L1485" s="308">
        <f>IFERROR(__xludf.DUMMYFUNCTION("""COMPUTED_VALUE"""),2012.0)</f>
        <v>2012</v>
      </c>
      <c r="M1485" s="308" t="s">
        <v>5866</v>
      </c>
      <c r="N1485" s="308"/>
      <c r="O1485" s="312" t="s">
        <v>5867</v>
      </c>
      <c r="P1485" s="308" t="s">
        <v>5864</v>
      </c>
      <c r="Q1485" s="308"/>
      <c r="R1485" s="308"/>
      <c r="S1485" s="308" t="s">
        <v>81</v>
      </c>
      <c r="T1485" s="308" t="s">
        <v>34264</v>
      </c>
      <c r="U1485" s="308"/>
      <c r="V1485" s="312"/>
    </row>
    <row r="1486">
      <c r="A1486" s="308">
        <v>1485.0</v>
      </c>
      <c r="B1486" s="308">
        <v>4700.0</v>
      </c>
      <c r="C1486" s="308">
        <v>1503.0</v>
      </c>
      <c r="D1486" s="308">
        <f>IFERROR(__xludf.DUMMYFUNCTION("SPLIT(C1486,""-"")"),1503.0)</f>
        <v>1503</v>
      </c>
      <c r="E1486" s="311"/>
      <c r="F1486" s="317" t="s">
        <v>37</v>
      </c>
      <c r="G1486" s="308"/>
      <c r="H1486" s="308" t="s">
        <v>5868</v>
      </c>
      <c r="I1486" s="310">
        <v>41429.0</v>
      </c>
      <c r="J1486" s="308">
        <f>IFERROR(__xludf.DUMMYFUNCTION("SPLIT(I1486,""/"")"),4.0)</f>
        <v>4</v>
      </c>
      <c r="K1486" s="308">
        <f>IFERROR(__xludf.DUMMYFUNCTION("""COMPUTED_VALUE"""),6.0)</f>
        <v>6</v>
      </c>
      <c r="L1486" s="308">
        <f>IFERROR(__xludf.DUMMYFUNCTION("""COMPUTED_VALUE"""),2013.0)</f>
        <v>2013</v>
      </c>
      <c r="M1486" s="308" t="s">
        <v>5869</v>
      </c>
      <c r="N1486" s="308"/>
      <c r="O1486" s="312" t="s">
        <v>36138</v>
      </c>
      <c r="P1486" s="308" t="s">
        <v>5871</v>
      </c>
      <c r="Q1486" s="308"/>
      <c r="R1486" s="308"/>
      <c r="S1486" s="308" t="s">
        <v>49</v>
      </c>
      <c r="T1486" s="308" t="s">
        <v>51</v>
      </c>
      <c r="U1486" s="308"/>
      <c r="V1486" s="312"/>
    </row>
    <row r="1487">
      <c r="A1487" s="308">
        <v>1486.0</v>
      </c>
      <c r="B1487" s="308">
        <v>4701.0</v>
      </c>
      <c r="C1487" s="308">
        <v>1504.0</v>
      </c>
      <c r="D1487" s="308">
        <f>IFERROR(__xludf.DUMMYFUNCTION("SPLIT(C1487,""-"")"),1504.0)</f>
        <v>1504</v>
      </c>
      <c r="E1487" s="311"/>
      <c r="F1487" s="309" t="s">
        <v>34</v>
      </c>
      <c r="G1487" s="308"/>
      <c r="H1487" s="308" t="s">
        <v>5872</v>
      </c>
      <c r="I1487" s="310">
        <v>39995.0</v>
      </c>
      <c r="J1487" s="308">
        <f>IFERROR(__xludf.DUMMYFUNCTION("SPLIT(I1487,""/"")"),1.0)</f>
        <v>1</v>
      </c>
      <c r="K1487" s="308">
        <f>IFERROR(__xludf.DUMMYFUNCTION("""COMPUTED_VALUE"""),7.0)</f>
        <v>7</v>
      </c>
      <c r="L1487" s="308">
        <f>IFERROR(__xludf.DUMMYFUNCTION("""COMPUTED_VALUE"""),2009.0)</f>
        <v>2009</v>
      </c>
      <c r="M1487" s="308" t="s">
        <v>5873</v>
      </c>
      <c r="N1487" s="308" t="s">
        <v>5874</v>
      </c>
      <c r="O1487" s="312" t="s">
        <v>5875</v>
      </c>
      <c r="P1487" s="308" t="s">
        <v>1872</v>
      </c>
      <c r="Q1487" s="308"/>
      <c r="R1487" s="308"/>
      <c r="S1487" s="315" t="s">
        <v>100</v>
      </c>
      <c r="T1487" s="311" t="s">
        <v>34208</v>
      </c>
      <c r="U1487" s="308"/>
      <c r="V1487" s="312"/>
    </row>
    <row r="1488">
      <c r="A1488" s="308">
        <v>1487.0</v>
      </c>
      <c r="B1488" s="308">
        <v>4702.0</v>
      </c>
      <c r="C1488" s="308">
        <v>1505.0</v>
      </c>
      <c r="D1488" s="308">
        <f>IFERROR(__xludf.DUMMYFUNCTION("SPLIT(C1488,""-"")"),1505.0)</f>
        <v>1505</v>
      </c>
      <c r="E1488" s="311"/>
      <c r="F1488" s="309" t="s">
        <v>34</v>
      </c>
      <c r="G1488" s="308"/>
      <c r="H1488" s="308" t="s">
        <v>5876</v>
      </c>
      <c r="I1488" s="310">
        <v>39630.0</v>
      </c>
      <c r="J1488" s="308">
        <f>IFERROR(__xludf.DUMMYFUNCTION("SPLIT(I1488,""/"")"),1.0)</f>
        <v>1</v>
      </c>
      <c r="K1488" s="308">
        <f>IFERROR(__xludf.DUMMYFUNCTION("""COMPUTED_VALUE"""),7.0)</f>
        <v>7</v>
      </c>
      <c r="L1488" s="308">
        <f>IFERROR(__xludf.DUMMYFUNCTION("""COMPUTED_VALUE"""),2008.0)</f>
        <v>2008</v>
      </c>
      <c r="M1488" s="308" t="s">
        <v>5877</v>
      </c>
      <c r="N1488" s="308" t="s">
        <v>5878</v>
      </c>
      <c r="O1488" s="312" t="s">
        <v>5879</v>
      </c>
      <c r="P1488" s="308" t="s">
        <v>5880</v>
      </c>
      <c r="Q1488" s="308"/>
      <c r="R1488" s="308"/>
      <c r="S1488" s="308" t="s">
        <v>81</v>
      </c>
      <c r="T1488" s="308" t="s">
        <v>34264</v>
      </c>
      <c r="U1488" s="308"/>
      <c r="V1488" s="312"/>
    </row>
    <row r="1489">
      <c r="A1489" s="308">
        <v>1488.0</v>
      </c>
      <c r="B1489" s="308">
        <v>4703.0</v>
      </c>
      <c r="C1489" s="308">
        <v>1506.0</v>
      </c>
      <c r="D1489" s="308">
        <f>IFERROR(__xludf.DUMMYFUNCTION("SPLIT(C1489,""-"")"),1506.0)</f>
        <v>1506</v>
      </c>
      <c r="E1489" s="311"/>
      <c r="F1489" s="309" t="s">
        <v>34</v>
      </c>
      <c r="G1489" s="308"/>
      <c r="H1489" s="308" t="s">
        <v>5881</v>
      </c>
      <c r="I1489" s="310">
        <v>39727.0</v>
      </c>
      <c r="J1489" s="308">
        <f>IFERROR(__xludf.DUMMYFUNCTION("SPLIT(I1489,""/"")"),6.0)</f>
        <v>6</v>
      </c>
      <c r="K1489" s="308">
        <f>IFERROR(__xludf.DUMMYFUNCTION("""COMPUTED_VALUE"""),10.0)</f>
        <v>10</v>
      </c>
      <c r="L1489" s="308">
        <f>IFERROR(__xludf.DUMMYFUNCTION("""COMPUTED_VALUE"""),2008.0)</f>
        <v>2008</v>
      </c>
      <c r="M1489" s="308" t="s">
        <v>5882</v>
      </c>
      <c r="N1489" s="308"/>
      <c r="O1489" s="312" t="s">
        <v>5883</v>
      </c>
      <c r="P1489" s="308" t="s">
        <v>5884</v>
      </c>
      <c r="Q1489" s="308"/>
      <c r="R1489" s="308"/>
      <c r="S1489" s="308" t="s">
        <v>81</v>
      </c>
      <c r="T1489" s="311" t="s">
        <v>34264</v>
      </c>
      <c r="U1489" s="308"/>
      <c r="V1489" s="312"/>
    </row>
    <row r="1490">
      <c r="A1490" s="308">
        <v>1489.0</v>
      </c>
      <c r="B1490" s="308">
        <v>4704.0</v>
      </c>
      <c r="C1490" s="308">
        <v>1507.0</v>
      </c>
      <c r="D1490" s="308">
        <f>IFERROR(__xludf.DUMMYFUNCTION("SPLIT(C1490,""-"")"),1507.0)</f>
        <v>1507</v>
      </c>
      <c r="E1490" s="311"/>
      <c r="F1490" s="309" t="s">
        <v>34</v>
      </c>
      <c r="G1490" s="308"/>
      <c r="H1490" s="308" t="s">
        <v>5885</v>
      </c>
      <c r="I1490" s="314">
        <v>40503.0</v>
      </c>
      <c r="J1490" s="308">
        <f>IFERROR(__xludf.DUMMYFUNCTION("SPLIT(I1490,""/"")"),21.0)</f>
        <v>21</v>
      </c>
      <c r="K1490" s="308">
        <f>IFERROR(__xludf.DUMMYFUNCTION("""COMPUTED_VALUE"""),11.0)</f>
        <v>11</v>
      </c>
      <c r="L1490" s="308">
        <f>IFERROR(__xludf.DUMMYFUNCTION("""COMPUTED_VALUE"""),2010.0)</f>
        <v>2010</v>
      </c>
      <c r="M1490" s="308" t="s">
        <v>5886</v>
      </c>
      <c r="N1490" s="308"/>
      <c r="O1490" s="312" t="s">
        <v>5887</v>
      </c>
      <c r="P1490" s="308" t="s">
        <v>5888</v>
      </c>
      <c r="Q1490" s="308"/>
      <c r="R1490" s="308"/>
      <c r="S1490" s="308" t="s">
        <v>81</v>
      </c>
      <c r="T1490" s="308" t="s">
        <v>75</v>
      </c>
      <c r="U1490" s="308"/>
      <c r="V1490" s="312"/>
    </row>
    <row r="1491">
      <c r="A1491" s="308">
        <v>1490.0</v>
      </c>
      <c r="B1491" s="308">
        <v>4705.0</v>
      </c>
      <c r="C1491" s="308">
        <v>1508.0</v>
      </c>
      <c r="D1491" s="308">
        <f>IFERROR(__xludf.DUMMYFUNCTION("SPLIT(C1491,""-"")"),1508.0)</f>
        <v>1508</v>
      </c>
      <c r="E1491" s="311"/>
      <c r="F1491" s="309" t="s">
        <v>34</v>
      </c>
      <c r="G1491" s="308"/>
      <c r="H1491" s="308" t="s">
        <v>5889</v>
      </c>
      <c r="I1491" s="310">
        <v>39995.0</v>
      </c>
      <c r="J1491" s="308">
        <f>IFERROR(__xludf.DUMMYFUNCTION("SPLIT(I1491,""/"")"),1.0)</f>
        <v>1</v>
      </c>
      <c r="K1491" s="308">
        <f>IFERROR(__xludf.DUMMYFUNCTION("""COMPUTED_VALUE"""),7.0)</f>
        <v>7</v>
      </c>
      <c r="L1491" s="308">
        <f>IFERROR(__xludf.DUMMYFUNCTION("""COMPUTED_VALUE"""),2009.0)</f>
        <v>2009</v>
      </c>
      <c r="M1491" s="308" t="s">
        <v>5890</v>
      </c>
      <c r="N1491" s="308"/>
      <c r="O1491" s="312" t="s">
        <v>635</v>
      </c>
      <c r="P1491" s="308" t="s">
        <v>5891</v>
      </c>
      <c r="Q1491" s="308"/>
      <c r="R1491" s="308"/>
      <c r="S1491" s="308" t="s">
        <v>81</v>
      </c>
      <c r="T1491" s="308" t="s">
        <v>34264</v>
      </c>
      <c r="U1491" s="308"/>
      <c r="V1491" s="312"/>
    </row>
    <row r="1492">
      <c r="A1492" s="308">
        <v>1491.0</v>
      </c>
      <c r="B1492" s="308">
        <v>4706.0</v>
      </c>
      <c r="C1492" s="308">
        <v>1509.0</v>
      </c>
      <c r="D1492" s="308">
        <f>IFERROR(__xludf.DUMMYFUNCTION("SPLIT(C1492,""-"")"),1509.0)</f>
        <v>1509</v>
      </c>
      <c r="E1492" s="311"/>
      <c r="F1492" s="309" t="s">
        <v>34</v>
      </c>
      <c r="G1492" s="308"/>
      <c r="H1492" s="308" t="s">
        <v>5892</v>
      </c>
      <c r="I1492" s="310">
        <v>40360.0</v>
      </c>
      <c r="J1492" s="308">
        <f>IFERROR(__xludf.DUMMYFUNCTION("SPLIT(I1492,""/"")"),1.0)</f>
        <v>1</v>
      </c>
      <c r="K1492" s="308">
        <f>IFERROR(__xludf.DUMMYFUNCTION("""COMPUTED_VALUE"""),7.0)</f>
        <v>7</v>
      </c>
      <c r="L1492" s="308">
        <f>IFERROR(__xludf.DUMMYFUNCTION("""COMPUTED_VALUE"""),2010.0)</f>
        <v>2010</v>
      </c>
      <c r="M1492" s="308" t="s">
        <v>5893</v>
      </c>
      <c r="N1492" s="308"/>
      <c r="O1492" s="312" t="s">
        <v>5894</v>
      </c>
      <c r="P1492" s="308" t="s">
        <v>5895</v>
      </c>
      <c r="Q1492" s="308"/>
      <c r="R1492" s="308"/>
      <c r="S1492" s="308" t="s">
        <v>81</v>
      </c>
      <c r="T1492" s="308" t="s">
        <v>34264</v>
      </c>
      <c r="U1492" s="308"/>
      <c r="V1492" s="312"/>
    </row>
    <row r="1493">
      <c r="A1493" s="308">
        <v>1492.0</v>
      </c>
      <c r="B1493" s="308">
        <v>4707.0</v>
      </c>
      <c r="C1493" s="308">
        <v>1510.0</v>
      </c>
      <c r="D1493" s="308">
        <f>IFERROR(__xludf.DUMMYFUNCTION("SPLIT(C1493,""-"")"),1510.0)</f>
        <v>1510</v>
      </c>
      <c r="E1493" s="311"/>
      <c r="F1493" s="309" t="s">
        <v>34</v>
      </c>
      <c r="G1493" s="308"/>
      <c r="H1493" s="308" t="s">
        <v>5896</v>
      </c>
      <c r="I1493" s="310">
        <v>40311.0</v>
      </c>
      <c r="J1493" s="308">
        <f>IFERROR(__xludf.DUMMYFUNCTION("SPLIT(I1493,""/"")"),13.0)</f>
        <v>13</v>
      </c>
      <c r="K1493" s="308">
        <f>IFERROR(__xludf.DUMMYFUNCTION("""COMPUTED_VALUE"""),5.0)</f>
        <v>5</v>
      </c>
      <c r="L1493" s="308">
        <f>IFERROR(__xludf.DUMMYFUNCTION("""COMPUTED_VALUE"""),2010.0)</f>
        <v>2010</v>
      </c>
      <c r="M1493" s="308" t="s">
        <v>5897</v>
      </c>
      <c r="N1493" s="308"/>
      <c r="O1493" s="312" t="s">
        <v>635</v>
      </c>
      <c r="P1493" s="308" t="s">
        <v>5898</v>
      </c>
      <c r="Q1493" s="308"/>
      <c r="R1493" s="308"/>
      <c r="S1493" s="308" t="s">
        <v>81</v>
      </c>
      <c r="T1493" s="308" t="s">
        <v>34264</v>
      </c>
      <c r="U1493" s="308"/>
      <c r="V1493" s="312"/>
    </row>
    <row r="1494">
      <c r="A1494" s="308">
        <v>1493.0</v>
      </c>
      <c r="B1494" s="308">
        <v>4708.0</v>
      </c>
      <c r="C1494" s="308">
        <v>1511.0</v>
      </c>
      <c r="D1494" s="308">
        <f>IFERROR(__xludf.DUMMYFUNCTION("SPLIT(C1494,""-"")"),1511.0)</f>
        <v>1511</v>
      </c>
      <c r="E1494" s="311"/>
      <c r="F1494" s="309" t="s">
        <v>34</v>
      </c>
      <c r="G1494" s="308"/>
      <c r="H1494" s="308" t="s">
        <v>5899</v>
      </c>
      <c r="I1494" s="310">
        <v>40321.0</v>
      </c>
      <c r="J1494" s="308">
        <f>IFERROR(__xludf.DUMMYFUNCTION("SPLIT(I1494,""/"")"),23.0)</f>
        <v>23</v>
      </c>
      <c r="K1494" s="308">
        <f>IFERROR(__xludf.DUMMYFUNCTION("""COMPUTED_VALUE"""),5.0)</f>
        <v>5</v>
      </c>
      <c r="L1494" s="308">
        <f>IFERROR(__xludf.DUMMYFUNCTION("""COMPUTED_VALUE"""),2010.0)</f>
        <v>2010</v>
      </c>
      <c r="M1494" s="308" t="s">
        <v>5900</v>
      </c>
      <c r="N1494" s="308" t="s">
        <v>5901</v>
      </c>
      <c r="O1494" s="312" t="s">
        <v>5902</v>
      </c>
      <c r="P1494" s="308" t="s">
        <v>5903</v>
      </c>
      <c r="Q1494" s="308"/>
      <c r="R1494" s="308"/>
      <c r="S1494" s="308" t="s">
        <v>81</v>
      </c>
      <c r="T1494" s="308" t="s">
        <v>34264</v>
      </c>
      <c r="U1494" s="308"/>
      <c r="V1494" s="312"/>
    </row>
    <row r="1495">
      <c r="A1495" s="308">
        <v>1494.0</v>
      </c>
      <c r="B1495" s="308">
        <v>4709.0</v>
      </c>
      <c r="C1495" s="308">
        <v>1512.0</v>
      </c>
      <c r="D1495" s="308">
        <f>IFERROR(__xludf.DUMMYFUNCTION("SPLIT(C1495,""-"")"),1512.0)</f>
        <v>1512</v>
      </c>
      <c r="E1495" s="311"/>
      <c r="F1495" s="317" t="s">
        <v>37</v>
      </c>
      <c r="G1495" s="308"/>
      <c r="H1495" s="308" t="s">
        <v>5904</v>
      </c>
      <c r="I1495" s="310">
        <v>41665.0</v>
      </c>
      <c r="J1495" s="308">
        <f>IFERROR(__xludf.DUMMYFUNCTION("SPLIT(I1495,""/"")"),26.0)</f>
        <v>26</v>
      </c>
      <c r="K1495" s="308">
        <f>IFERROR(__xludf.DUMMYFUNCTION("""COMPUTED_VALUE"""),1.0)</f>
        <v>1</v>
      </c>
      <c r="L1495" s="308">
        <f>IFERROR(__xludf.DUMMYFUNCTION("""COMPUTED_VALUE"""),2014.0)</f>
        <v>2014</v>
      </c>
      <c r="M1495" s="308" t="s">
        <v>5905</v>
      </c>
      <c r="N1495" s="308"/>
      <c r="O1495" s="312" t="s">
        <v>635</v>
      </c>
      <c r="P1495" s="308" t="s">
        <v>5906</v>
      </c>
      <c r="Q1495" s="308"/>
      <c r="R1495" s="308"/>
      <c r="S1495" s="308" t="s">
        <v>81</v>
      </c>
      <c r="T1495" s="308" t="s">
        <v>73</v>
      </c>
      <c r="U1495" s="308"/>
      <c r="V1495" s="312"/>
    </row>
    <row r="1496">
      <c r="A1496" s="308">
        <v>1495.0</v>
      </c>
      <c r="B1496" s="308">
        <v>4710.0</v>
      </c>
      <c r="C1496" s="308">
        <v>1513.0</v>
      </c>
      <c r="D1496" s="308">
        <f>IFERROR(__xludf.DUMMYFUNCTION("SPLIT(C1496,""-"")"),1513.0)</f>
        <v>1513</v>
      </c>
      <c r="E1496" s="311"/>
      <c r="F1496" s="309" t="s">
        <v>23</v>
      </c>
      <c r="G1496" s="308"/>
      <c r="H1496" s="308" t="s">
        <v>5907</v>
      </c>
      <c r="I1496" s="310">
        <v>41579.0</v>
      </c>
      <c r="J1496" s="308">
        <f>IFERROR(__xludf.DUMMYFUNCTION("SPLIT(I1496,""/"")"),1.0)</f>
        <v>1</v>
      </c>
      <c r="K1496" s="308">
        <f>IFERROR(__xludf.DUMMYFUNCTION("""COMPUTED_VALUE"""),11.0)</f>
        <v>11</v>
      </c>
      <c r="L1496" s="308">
        <f>IFERROR(__xludf.DUMMYFUNCTION("""COMPUTED_VALUE"""),2013.0)</f>
        <v>2013</v>
      </c>
      <c r="M1496" s="308" t="s">
        <v>5908</v>
      </c>
      <c r="N1496" s="308"/>
      <c r="O1496" s="312" t="s">
        <v>5909</v>
      </c>
      <c r="P1496" s="308" t="s">
        <v>5910</v>
      </c>
      <c r="Q1496" s="308"/>
      <c r="R1496" s="308"/>
      <c r="S1496" s="308" t="s">
        <v>49</v>
      </c>
      <c r="T1496" s="308" t="s">
        <v>51</v>
      </c>
      <c r="U1496" s="308"/>
      <c r="V1496" s="312"/>
    </row>
    <row r="1497">
      <c r="A1497" s="308">
        <v>1496.0</v>
      </c>
      <c r="B1497" s="308">
        <v>4711.0</v>
      </c>
      <c r="C1497" s="308">
        <v>1514.0</v>
      </c>
      <c r="D1497" s="308">
        <f>IFERROR(__xludf.DUMMYFUNCTION("SPLIT(C1497,""-"")"),1514.0)</f>
        <v>1514</v>
      </c>
      <c r="E1497" s="311"/>
      <c r="F1497" s="309" t="s">
        <v>31</v>
      </c>
      <c r="G1497" s="308"/>
      <c r="H1497" s="308" t="s">
        <v>5911</v>
      </c>
      <c r="I1497" s="310">
        <v>41046.0</v>
      </c>
      <c r="J1497" s="308">
        <f>IFERROR(__xludf.DUMMYFUNCTION("SPLIT(I1497,""/"")"),17.0)</f>
        <v>17</v>
      </c>
      <c r="K1497" s="308">
        <f>IFERROR(__xludf.DUMMYFUNCTION("""COMPUTED_VALUE"""),5.0)</f>
        <v>5</v>
      </c>
      <c r="L1497" s="308">
        <f>IFERROR(__xludf.DUMMYFUNCTION("""COMPUTED_VALUE"""),2012.0)</f>
        <v>2012</v>
      </c>
      <c r="M1497" s="308" t="s">
        <v>36139</v>
      </c>
      <c r="N1497" s="308"/>
      <c r="O1497" s="312" t="s">
        <v>5913</v>
      </c>
      <c r="P1497" s="308" t="s">
        <v>5914</v>
      </c>
      <c r="Q1497" s="308"/>
      <c r="R1497" s="308"/>
      <c r="S1497" s="308" t="s">
        <v>81</v>
      </c>
      <c r="T1497" s="311" t="s">
        <v>51</v>
      </c>
      <c r="U1497" s="308"/>
      <c r="V1497" s="312"/>
    </row>
    <row r="1498">
      <c r="A1498" s="308">
        <v>1497.0</v>
      </c>
      <c r="B1498" s="308">
        <v>4712.0</v>
      </c>
      <c r="C1498" s="308" t="s">
        <v>5915</v>
      </c>
      <c r="D1498" s="308">
        <f>IFERROR(__xludf.DUMMYFUNCTION("SPLIT(C1498,""-"")"),1515.0)</f>
        <v>1515</v>
      </c>
      <c r="E1498" s="308" t="str">
        <f>IFERROR(__xludf.DUMMYFUNCTION("""COMPUTED_VALUE"""),"P")</f>
        <v>P</v>
      </c>
      <c r="F1498" s="312" t="s">
        <v>37</v>
      </c>
      <c r="G1498" s="308"/>
      <c r="H1498" s="308" t="s">
        <v>5916</v>
      </c>
      <c r="I1498" s="314">
        <v>41562.0</v>
      </c>
      <c r="J1498" s="308">
        <f>IFERROR(__xludf.DUMMYFUNCTION("SPLIT(I1498,""/"")"),15.0)</f>
        <v>15</v>
      </c>
      <c r="K1498" s="308">
        <f>IFERROR(__xludf.DUMMYFUNCTION("""COMPUTED_VALUE"""),10.0)</f>
        <v>10</v>
      </c>
      <c r="L1498" s="308">
        <f>IFERROR(__xludf.DUMMYFUNCTION("""COMPUTED_VALUE"""),2013.0)</f>
        <v>2013</v>
      </c>
      <c r="M1498" s="308" t="s">
        <v>5917</v>
      </c>
      <c r="N1498" s="308"/>
      <c r="O1498" s="312" t="s">
        <v>5918</v>
      </c>
      <c r="P1498" s="308" t="s">
        <v>36140</v>
      </c>
      <c r="Q1498" s="308"/>
      <c r="R1498" s="308" t="s">
        <v>1496</v>
      </c>
      <c r="S1498" s="308" t="s">
        <v>81</v>
      </c>
      <c r="T1498" s="311" t="s">
        <v>51</v>
      </c>
      <c r="U1498" s="308" t="s">
        <v>36141</v>
      </c>
      <c r="V1498" s="312"/>
    </row>
    <row r="1499">
      <c r="A1499" s="308">
        <v>1498.0</v>
      </c>
      <c r="B1499" s="308">
        <v>4713.0</v>
      </c>
      <c r="C1499" s="308">
        <v>1516.0</v>
      </c>
      <c r="D1499" s="308">
        <f>IFERROR(__xludf.DUMMYFUNCTION("SPLIT(C1499,""-"")"),1516.0)</f>
        <v>1516</v>
      </c>
      <c r="E1499" s="311"/>
      <c r="F1499" s="317" t="s">
        <v>37</v>
      </c>
      <c r="G1499" s="308"/>
      <c r="H1499" s="308" t="s">
        <v>5920</v>
      </c>
      <c r="I1499" s="314">
        <v>41557.0</v>
      </c>
      <c r="J1499" s="308">
        <f>IFERROR(__xludf.DUMMYFUNCTION("SPLIT(I1499,""/"")"),10.0)</f>
        <v>10</v>
      </c>
      <c r="K1499" s="308">
        <f>IFERROR(__xludf.DUMMYFUNCTION("""COMPUTED_VALUE"""),10.0)</f>
        <v>10</v>
      </c>
      <c r="L1499" s="308">
        <f>IFERROR(__xludf.DUMMYFUNCTION("""COMPUTED_VALUE"""),2013.0)</f>
        <v>2013</v>
      </c>
      <c r="M1499" s="308" t="s">
        <v>5921</v>
      </c>
      <c r="N1499" s="308"/>
      <c r="O1499" s="312" t="s">
        <v>5922</v>
      </c>
      <c r="P1499" s="308" t="s">
        <v>5923</v>
      </c>
      <c r="Q1499" s="308"/>
      <c r="R1499" s="308"/>
      <c r="S1499" s="308" t="s">
        <v>81</v>
      </c>
      <c r="T1499" s="308" t="s">
        <v>75</v>
      </c>
      <c r="U1499" s="308"/>
      <c r="V1499" s="312"/>
    </row>
    <row r="1500">
      <c r="A1500" s="308">
        <v>1499.0</v>
      </c>
      <c r="B1500" s="308">
        <v>4714.0</v>
      </c>
      <c r="C1500" s="308">
        <v>1517.0</v>
      </c>
      <c r="D1500" s="308">
        <f>IFERROR(__xludf.DUMMYFUNCTION("SPLIT(C1500,""-"")"),1517.0)</f>
        <v>1517</v>
      </c>
      <c r="E1500" s="311"/>
      <c r="F1500" s="309" t="s">
        <v>34</v>
      </c>
      <c r="G1500" s="308"/>
      <c r="H1500" s="308" t="s">
        <v>5924</v>
      </c>
      <c r="I1500" s="310">
        <v>41030.0</v>
      </c>
      <c r="J1500" s="308">
        <f>IFERROR(__xludf.DUMMYFUNCTION("SPLIT(I1500,""/"")"),1.0)</f>
        <v>1</v>
      </c>
      <c r="K1500" s="308">
        <f>IFERROR(__xludf.DUMMYFUNCTION("""COMPUTED_VALUE"""),5.0)</f>
        <v>5</v>
      </c>
      <c r="L1500" s="308">
        <f>IFERROR(__xludf.DUMMYFUNCTION("""COMPUTED_VALUE"""),2012.0)</f>
        <v>2012</v>
      </c>
      <c r="M1500" s="308" t="s">
        <v>5925</v>
      </c>
      <c r="N1500" s="308"/>
      <c r="O1500" s="312" t="s">
        <v>635</v>
      </c>
      <c r="P1500" s="308" t="s">
        <v>5926</v>
      </c>
      <c r="Q1500" s="308"/>
      <c r="R1500" s="308"/>
      <c r="S1500" s="315" t="s">
        <v>100</v>
      </c>
      <c r="T1500" s="311" t="s">
        <v>34208</v>
      </c>
      <c r="U1500" s="308" t="s">
        <v>2097</v>
      </c>
      <c r="V1500" s="312"/>
    </row>
    <row r="1501">
      <c r="A1501" s="308">
        <v>1500.0</v>
      </c>
      <c r="B1501" s="308">
        <v>4715.0</v>
      </c>
      <c r="C1501" s="308">
        <v>1518.0</v>
      </c>
      <c r="D1501" s="308">
        <f>IFERROR(__xludf.DUMMYFUNCTION("SPLIT(C1501,""-"")"),1518.0)</f>
        <v>1518</v>
      </c>
      <c r="E1501" s="311"/>
      <c r="F1501" s="309" t="s">
        <v>34</v>
      </c>
      <c r="G1501" s="308"/>
      <c r="H1501" s="308" t="s">
        <v>36142</v>
      </c>
      <c r="I1501" s="310">
        <v>40695.0</v>
      </c>
      <c r="J1501" s="308">
        <f>IFERROR(__xludf.DUMMYFUNCTION("SPLIT(I1501,""/"")"),1.0)</f>
        <v>1</v>
      </c>
      <c r="K1501" s="308">
        <f>IFERROR(__xludf.DUMMYFUNCTION("""COMPUTED_VALUE"""),6.0)</f>
        <v>6</v>
      </c>
      <c r="L1501" s="308">
        <f>IFERROR(__xludf.DUMMYFUNCTION("""COMPUTED_VALUE"""),2011.0)</f>
        <v>2011</v>
      </c>
      <c r="M1501" s="308" t="s">
        <v>5928</v>
      </c>
      <c r="N1501" s="308"/>
      <c r="O1501" s="312" t="s">
        <v>635</v>
      </c>
      <c r="P1501" s="308" t="s">
        <v>5926</v>
      </c>
      <c r="Q1501" s="308"/>
      <c r="R1501" s="308"/>
      <c r="S1501" s="315" t="s">
        <v>100</v>
      </c>
      <c r="T1501" s="311" t="s">
        <v>34208</v>
      </c>
      <c r="U1501" s="308" t="s">
        <v>2097</v>
      </c>
      <c r="V1501" s="312"/>
    </row>
    <row r="1502">
      <c r="A1502" s="308">
        <v>1501.0</v>
      </c>
      <c r="B1502" s="308">
        <v>4716.0</v>
      </c>
      <c r="C1502" s="308">
        <v>1519.0</v>
      </c>
      <c r="D1502" s="308">
        <f>IFERROR(__xludf.DUMMYFUNCTION("SPLIT(C1502,""-"")"),1519.0)</f>
        <v>1519</v>
      </c>
      <c r="E1502" s="311"/>
      <c r="F1502" s="309" t="s">
        <v>34</v>
      </c>
      <c r="G1502" s="308"/>
      <c r="H1502" s="308" t="s">
        <v>36143</v>
      </c>
      <c r="I1502" s="310">
        <v>40041.0</v>
      </c>
      <c r="J1502" s="308">
        <f>IFERROR(__xludf.DUMMYFUNCTION("SPLIT(I1502,""/"")"),16.0)</f>
        <v>16</v>
      </c>
      <c r="K1502" s="308">
        <f>IFERROR(__xludf.DUMMYFUNCTION("""COMPUTED_VALUE"""),8.0)</f>
        <v>8</v>
      </c>
      <c r="L1502" s="308">
        <f>IFERROR(__xludf.DUMMYFUNCTION("""COMPUTED_VALUE"""),2009.0)</f>
        <v>2009</v>
      </c>
      <c r="M1502" s="308" t="s">
        <v>5930</v>
      </c>
      <c r="N1502" s="308"/>
      <c r="O1502" s="312" t="s">
        <v>5931</v>
      </c>
      <c r="P1502" s="308" t="s">
        <v>252</v>
      </c>
      <c r="Q1502" s="308"/>
      <c r="R1502" s="308"/>
      <c r="S1502" s="308" t="s">
        <v>49</v>
      </c>
      <c r="T1502" s="308" t="s">
        <v>51</v>
      </c>
      <c r="U1502" s="308" t="s">
        <v>137</v>
      </c>
      <c r="V1502" s="312"/>
    </row>
    <row r="1503">
      <c r="A1503" s="308">
        <v>1502.0</v>
      </c>
      <c r="B1503" s="308">
        <v>4717.0</v>
      </c>
      <c r="C1503" s="308">
        <v>1520.0</v>
      </c>
      <c r="D1503" s="308">
        <f>IFERROR(__xludf.DUMMYFUNCTION("SPLIT(C1503,""-"")"),1520.0)</f>
        <v>1520</v>
      </c>
      <c r="E1503" s="311"/>
      <c r="F1503" s="309" t="s">
        <v>34</v>
      </c>
      <c r="G1503" s="308"/>
      <c r="H1503" s="308" t="s">
        <v>5932</v>
      </c>
      <c r="I1503" s="310">
        <v>40577.0</v>
      </c>
      <c r="J1503" s="308">
        <f>IFERROR(__xludf.DUMMYFUNCTION("SPLIT(I1503,""/"")"),3.0)</f>
        <v>3</v>
      </c>
      <c r="K1503" s="308">
        <f>IFERROR(__xludf.DUMMYFUNCTION("""COMPUTED_VALUE"""),2.0)</f>
        <v>2</v>
      </c>
      <c r="L1503" s="308">
        <f>IFERROR(__xludf.DUMMYFUNCTION("""COMPUTED_VALUE"""),2011.0)</f>
        <v>2011</v>
      </c>
      <c r="M1503" s="308" t="s">
        <v>5933</v>
      </c>
      <c r="N1503" s="308"/>
      <c r="O1503" s="312" t="s">
        <v>5934</v>
      </c>
      <c r="P1503" s="308" t="s">
        <v>5935</v>
      </c>
      <c r="Q1503" s="308"/>
      <c r="R1503" s="308"/>
      <c r="S1503" s="308" t="s">
        <v>81</v>
      </c>
      <c r="T1503" s="308" t="s">
        <v>34264</v>
      </c>
      <c r="U1503" s="308"/>
      <c r="V1503" s="312"/>
    </row>
    <row r="1504">
      <c r="A1504" s="308">
        <v>1503.0</v>
      </c>
      <c r="B1504" s="308">
        <v>4718.0</v>
      </c>
      <c r="C1504" s="308">
        <v>1521.0</v>
      </c>
      <c r="D1504" s="308">
        <f>IFERROR(__xludf.DUMMYFUNCTION("SPLIT(C1504,""-"")"),1521.0)</f>
        <v>1521</v>
      </c>
      <c r="E1504" s="311"/>
      <c r="F1504" s="309" t="s">
        <v>34</v>
      </c>
      <c r="G1504" s="308"/>
      <c r="H1504" s="308" t="s">
        <v>5936</v>
      </c>
      <c r="I1504" s="314">
        <v>40130.0</v>
      </c>
      <c r="J1504" s="308">
        <f>IFERROR(__xludf.DUMMYFUNCTION("SPLIT(I1504,""/"")"),13.0)</f>
        <v>13</v>
      </c>
      <c r="K1504" s="308">
        <f>IFERROR(__xludf.DUMMYFUNCTION("""COMPUTED_VALUE"""),11.0)</f>
        <v>11</v>
      </c>
      <c r="L1504" s="308">
        <f>IFERROR(__xludf.DUMMYFUNCTION("""COMPUTED_VALUE"""),2009.0)</f>
        <v>2009</v>
      </c>
      <c r="M1504" s="308" t="s">
        <v>5937</v>
      </c>
      <c r="N1504" s="308"/>
      <c r="O1504" s="312" t="s">
        <v>635</v>
      </c>
      <c r="P1504" s="308" t="s">
        <v>5938</v>
      </c>
      <c r="Q1504" s="308"/>
      <c r="R1504" s="308"/>
      <c r="S1504" s="308" t="s">
        <v>49</v>
      </c>
      <c r="T1504" s="311" t="s">
        <v>87</v>
      </c>
      <c r="U1504" s="308"/>
      <c r="V1504" s="312"/>
    </row>
    <row r="1505">
      <c r="A1505" s="308">
        <v>1504.0</v>
      </c>
      <c r="B1505" s="308">
        <v>4719.0</v>
      </c>
      <c r="C1505" s="308">
        <v>1522.0</v>
      </c>
      <c r="D1505" s="308">
        <f>IFERROR(__xludf.DUMMYFUNCTION("SPLIT(C1505,""-"")"),1522.0)</f>
        <v>1522</v>
      </c>
      <c r="E1505" s="311"/>
      <c r="F1505" s="309" t="s">
        <v>34</v>
      </c>
      <c r="G1505" s="308"/>
      <c r="H1505" s="308" t="s">
        <v>5939</v>
      </c>
      <c r="I1505" s="310">
        <v>40817.0</v>
      </c>
      <c r="J1505" s="308">
        <f>IFERROR(__xludf.DUMMYFUNCTION("SPLIT(I1505,""/"")"),1.0)</f>
        <v>1</v>
      </c>
      <c r="K1505" s="308">
        <f>IFERROR(__xludf.DUMMYFUNCTION("""COMPUTED_VALUE"""),10.0)</f>
        <v>10</v>
      </c>
      <c r="L1505" s="308">
        <f>IFERROR(__xludf.DUMMYFUNCTION("""COMPUTED_VALUE"""),2011.0)</f>
        <v>2011</v>
      </c>
      <c r="M1505" s="308" t="s">
        <v>5940</v>
      </c>
      <c r="N1505" s="308"/>
      <c r="O1505" s="312"/>
      <c r="P1505" s="308" t="s">
        <v>5679</v>
      </c>
      <c r="Q1505" s="308"/>
      <c r="R1505" s="308"/>
      <c r="S1505" s="315" t="s">
        <v>100</v>
      </c>
      <c r="T1505" s="311" t="s">
        <v>34208</v>
      </c>
      <c r="U1505" s="308"/>
      <c r="V1505" s="312"/>
    </row>
    <row r="1506">
      <c r="A1506" s="308">
        <v>1505.0</v>
      </c>
      <c r="B1506" s="308">
        <v>4720.0</v>
      </c>
      <c r="C1506" s="308">
        <v>1523.0</v>
      </c>
      <c r="D1506" s="308">
        <f>IFERROR(__xludf.DUMMYFUNCTION("SPLIT(C1506,""-"")"),1523.0)</f>
        <v>1523</v>
      </c>
      <c r="E1506" s="311"/>
      <c r="F1506" s="309" t="s">
        <v>34</v>
      </c>
      <c r="G1506" s="308"/>
      <c r="H1506" s="308" t="s">
        <v>5941</v>
      </c>
      <c r="I1506" s="310">
        <v>40360.0</v>
      </c>
      <c r="J1506" s="308">
        <f>IFERROR(__xludf.DUMMYFUNCTION("SPLIT(I1506,""/"")"),1.0)</f>
        <v>1</v>
      </c>
      <c r="K1506" s="308">
        <f>IFERROR(__xludf.DUMMYFUNCTION("""COMPUTED_VALUE"""),7.0)</f>
        <v>7</v>
      </c>
      <c r="L1506" s="308">
        <f>IFERROR(__xludf.DUMMYFUNCTION("""COMPUTED_VALUE"""),2010.0)</f>
        <v>2010</v>
      </c>
      <c r="M1506" s="308" t="s">
        <v>36144</v>
      </c>
      <c r="N1506" s="308"/>
      <c r="O1506" s="312" t="s">
        <v>5943</v>
      </c>
      <c r="P1506" s="308" t="s">
        <v>4736</v>
      </c>
      <c r="Q1506" s="308"/>
      <c r="R1506" s="308"/>
      <c r="S1506" s="308" t="s">
        <v>81</v>
      </c>
      <c r="T1506" s="308" t="s">
        <v>98</v>
      </c>
      <c r="U1506" s="308"/>
      <c r="V1506" s="312"/>
    </row>
    <row r="1507">
      <c r="A1507" s="308">
        <v>1506.0</v>
      </c>
      <c r="B1507" s="308">
        <v>4721.0</v>
      </c>
      <c r="C1507" s="308">
        <v>1524.0</v>
      </c>
      <c r="D1507" s="308">
        <f>IFERROR(__xludf.DUMMYFUNCTION("SPLIT(C1507,""-"")"),1524.0)</f>
        <v>1524</v>
      </c>
      <c r="E1507" s="311"/>
      <c r="F1507" s="309" t="s">
        <v>34</v>
      </c>
      <c r="G1507" s="308"/>
      <c r="H1507" s="308" t="s">
        <v>5944</v>
      </c>
      <c r="I1507" s="310">
        <v>39995.0</v>
      </c>
      <c r="J1507" s="308">
        <f>IFERROR(__xludf.DUMMYFUNCTION("SPLIT(I1507,""/"")"),1.0)</f>
        <v>1</v>
      </c>
      <c r="K1507" s="308">
        <f>IFERROR(__xludf.DUMMYFUNCTION("""COMPUTED_VALUE"""),7.0)</f>
        <v>7</v>
      </c>
      <c r="L1507" s="308">
        <f>IFERROR(__xludf.DUMMYFUNCTION("""COMPUTED_VALUE"""),2009.0)</f>
        <v>2009</v>
      </c>
      <c r="M1507" s="308" t="s">
        <v>36144</v>
      </c>
      <c r="N1507" s="308"/>
      <c r="O1507" s="312" t="s">
        <v>5945</v>
      </c>
      <c r="P1507" s="308" t="s">
        <v>5946</v>
      </c>
      <c r="Q1507" s="308"/>
      <c r="R1507" s="308"/>
      <c r="S1507" s="315" t="s">
        <v>100</v>
      </c>
      <c r="T1507" s="311" t="s">
        <v>34208</v>
      </c>
      <c r="U1507" s="308" t="s">
        <v>2466</v>
      </c>
      <c r="V1507" s="312"/>
    </row>
    <row r="1508">
      <c r="A1508" s="308">
        <v>1507.0</v>
      </c>
      <c r="B1508" s="308">
        <v>4722.0</v>
      </c>
      <c r="C1508" s="308">
        <v>1525.0</v>
      </c>
      <c r="D1508" s="308">
        <f>IFERROR(__xludf.DUMMYFUNCTION("SPLIT(C1508,""-"")"),1525.0)</f>
        <v>1525</v>
      </c>
      <c r="E1508" s="311"/>
      <c r="F1508" s="309" t="s">
        <v>34</v>
      </c>
      <c r="G1508" s="308"/>
      <c r="H1508" s="308" t="s">
        <v>5947</v>
      </c>
      <c r="I1508" s="310">
        <v>40360.0</v>
      </c>
      <c r="J1508" s="308">
        <f>IFERROR(__xludf.DUMMYFUNCTION("SPLIT(I1508,""/"")"),1.0)</f>
        <v>1</v>
      </c>
      <c r="K1508" s="308">
        <f>IFERROR(__xludf.DUMMYFUNCTION("""COMPUTED_VALUE"""),7.0)</f>
        <v>7</v>
      </c>
      <c r="L1508" s="308">
        <f>IFERROR(__xludf.DUMMYFUNCTION("""COMPUTED_VALUE"""),2010.0)</f>
        <v>2010</v>
      </c>
      <c r="M1508" s="308" t="s">
        <v>5948</v>
      </c>
      <c r="N1508" s="308"/>
      <c r="O1508" s="312" t="s">
        <v>5949</v>
      </c>
      <c r="P1508" s="308" t="s">
        <v>5950</v>
      </c>
      <c r="Q1508" s="308"/>
      <c r="R1508" s="308"/>
      <c r="S1508" s="308" t="s">
        <v>81</v>
      </c>
      <c r="T1508" s="308" t="s">
        <v>34264</v>
      </c>
      <c r="U1508" s="308"/>
      <c r="V1508" s="312"/>
    </row>
    <row r="1509">
      <c r="A1509" s="308">
        <v>1508.0</v>
      </c>
      <c r="B1509" s="308">
        <v>4723.0</v>
      </c>
      <c r="C1509" s="308">
        <v>1526.0</v>
      </c>
      <c r="D1509" s="308">
        <f>IFERROR(__xludf.DUMMYFUNCTION("SPLIT(C1509,""-"")"),1526.0)</f>
        <v>1526</v>
      </c>
      <c r="E1509" s="311"/>
      <c r="F1509" s="309" t="s">
        <v>34</v>
      </c>
      <c r="G1509" s="308"/>
      <c r="H1509" s="308" t="s">
        <v>5951</v>
      </c>
      <c r="I1509" s="314">
        <v>40130.0</v>
      </c>
      <c r="J1509" s="308">
        <f>IFERROR(__xludf.DUMMYFUNCTION("SPLIT(I1509,""/"")"),13.0)</f>
        <v>13</v>
      </c>
      <c r="K1509" s="308">
        <f>IFERROR(__xludf.DUMMYFUNCTION("""COMPUTED_VALUE"""),11.0)</f>
        <v>11</v>
      </c>
      <c r="L1509" s="308">
        <f>IFERROR(__xludf.DUMMYFUNCTION("""COMPUTED_VALUE"""),2009.0)</f>
        <v>2009</v>
      </c>
      <c r="M1509" s="308" t="s">
        <v>5937</v>
      </c>
      <c r="N1509" s="308" t="s">
        <v>5952</v>
      </c>
      <c r="O1509" s="312" t="s">
        <v>5953</v>
      </c>
      <c r="P1509" s="308" t="s">
        <v>5954</v>
      </c>
      <c r="Q1509" s="308"/>
      <c r="R1509" s="308"/>
      <c r="S1509" s="308" t="s">
        <v>49</v>
      </c>
      <c r="T1509" s="308" t="s">
        <v>51</v>
      </c>
      <c r="U1509" s="308" t="s">
        <v>137</v>
      </c>
      <c r="V1509" s="312"/>
    </row>
    <row r="1510">
      <c r="A1510" s="308">
        <v>1509.0</v>
      </c>
      <c r="B1510" s="308">
        <v>4724.0</v>
      </c>
      <c r="C1510" s="308">
        <v>1527.0</v>
      </c>
      <c r="D1510" s="308">
        <f>IFERROR(__xludf.DUMMYFUNCTION("SPLIT(C1510,""-"")"),1527.0)</f>
        <v>1527</v>
      </c>
      <c r="E1510" s="311"/>
      <c r="F1510" s="309" t="s">
        <v>34</v>
      </c>
      <c r="G1510" s="308"/>
      <c r="H1510" s="308" t="s">
        <v>5955</v>
      </c>
      <c r="I1510" s="310">
        <v>41088.0</v>
      </c>
      <c r="J1510" s="308">
        <f>IFERROR(__xludf.DUMMYFUNCTION("SPLIT(I1510,""/"")"),28.0)</f>
        <v>28</v>
      </c>
      <c r="K1510" s="308">
        <f>IFERROR(__xludf.DUMMYFUNCTION("""COMPUTED_VALUE"""),6.0)</f>
        <v>6</v>
      </c>
      <c r="L1510" s="308">
        <f>IFERROR(__xludf.DUMMYFUNCTION("""COMPUTED_VALUE"""),2012.0)</f>
        <v>2012</v>
      </c>
      <c r="M1510" s="308" t="s">
        <v>5956</v>
      </c>
      <c r="N1510" s="308"/>
      <c r="O1510" s="312" t="s">
        <v>36101</v>
      </c>
      <c r="P1510" s="308" t="s">
        <v>5957</v>
      </c>
      <c r="Q1510" s="308"/>
      <c r="R1510" s="308"/>
      <c r="S1510" s="308" t="s">
        <v>49</v>
      </c>
      <c r="T1510" s="308" t="s">
        <v>69</v>
      </c>
      <c r="U1510" s="308"/>
      <c r="V1510" s="312"/>
    </row>
    <row r="1511">
      <c r="A1511" s="308">
        <v>1510.0</v>
      </c>
      <c r="B1511" s="308">
        <v>4725.0</v>
      </c>
      <c r="C1511" s="308">
        <v>1528.0</v>
      </c>
      <c r="D1511" s="308">
        <f>IFERROR(__xludf.DUMMYFUNCTION("SPLIT(C1511,""-"")"),1528.0)</f>
        <v>1528</v>
      </c>
      <c r="E1511" s="311"/>
      <c r="F1511" s="309" t="s">
        <v>34</v>
      </c>
      <c r="G1511" s="308"/>
      <c r="H1511" s="308" t="s">
        <v>5958</v>
      </c>
      <c r="I1511" s="310">
        <v>40299.0</v>
      </c>
      <c r="J1511" s="308">
        <f>IFERROR(__xludf.DUMMYFUNCTION("SPLIT(I1511,""/"")"),1.0)</f>
        <v>1</v>
      </c>
      <c r="K1511" s="308">
        <f>IFERROR(__xludf.DUMMYFUNCTION("""COMPUTED_VALUE"""),5.0)</f>
        <v>5</v>
      </c>
      <c r="L1511" s="308">
        <f>IFERROR(__xludf.DUMMYFUNCTION("""COMPUTED_VALUE"""),2010.0)</f>
        <v>2010</v>
      </c>
      <c r="M1511" s="308" t="s">
        <v>5959</v>
      </c>
      <c r="N1511" s="308"/>
      <c r="O1511" s="312" t="s">
        <v>635</v>
      </c>
      <c r="P1511" s="308" t="s">
        <v>5960</v>
      </c>
      <c r="Q1511" s="308"/>
      <c r="R1511" s="308"/>
      <c r="S1511" s="308" t="s">
        <v>81</v>
      </c>
      <c r="T1511" s="308" t="s">
        <v>34264</v>
      </c>
      <c r="U1511" s="308"/>
      <c r="V1511" s="312"/>
    </row>
    <row r="1512">
      <c r="A1512" s="308">
        <v>1511.0</v>
      </c>
      <c r="B1512" s="308">
        <v>4726.0</v>
      </c>
      <c r="C1512" s="308">
        <v>1529.0</v>
      </c>
      <c r="D1512" s="308">
        <f>IFERROR(__xludf.DUMMYFUNCTION("SPLIT(C1512,""-"")"),1529.0)</f>
        <v>1529</v>
      </c>
      <c r="E1512" s="311"/>
      <c r="F1512" s="309" t="s">
        <v>34</v>
      </c>
      <c r="G1512" s="308"/>
      <c r="H1512" s="308" t="s">
        <v>5961</v>
      </c>
      <c r="I1512" s="314">
        <v>41206.0</v>
      </c>
      <c r="J1512" s="308">
        <f>IFERROR(__xludf.DUMMYFUNCTION("SPLIT(I1512,""/"")"),24.0)</f>
        <v>24</v>
      </c>
      <c r="K1512" s="308">
        <f>IFERROR(__xludf.DUMMYFUNCTION("""COMPUTED_VALUE"""),10.0)</f>
        <v>10</v>
      </c>
      <c r="L1512" s="308">
        <f>IFERROR(__xludf.DUMMYFUNCTION("""COMPUTED_VALUE"""),2012.0)</f>
        <v>2012</v>
      </c>
      <c r="M1512" s="308" t="s">
        <v>5962</v>
      </c>
      <c r="N1512" s="308"/>
      <c r="O1512" s="312" t="s">
        <v>635</v>
      </c>
      <c r="P1512" s="308" t="s">
        <v>5963</v>
      </c>
      <c r="Q1512" s="308"/>
      <c r="R1512" s="308"/>
      <c r="S1512" s="308" t="s">
        <v>81</v>
      </c>
      <c r="T1512" s="308" t="s">
        <v>34264</v>
      </c>
      <c r="U1512" s="308"/>
      <c r="V1512" s="312"/>
    </row>
    <row r="1513">
      <c r="A1513" s="308">
        <v>1512.0</v>
      </c>
      <c r="B1513" s="308">
        <v>4727.0</v>
      </c>
      <c r="C1513" s="308">
        <v>1530.0</v>
      </c>
      <c r="D1513" s="308">
        <f>IFERROR(__xludf.DUMMYFUNCTION("SPLIT(C1513,""-"")"),1530.0)</f>
        <v>1530</v>
      </c>
      <c r="E1513" s="311"/>
      <c r="F1513" s="309" t="s">
        <v>34</v>
      </c>
      <c r="G1513" s="308"/>
      <c r="H1513" s="308" t="s">
        <v>5964</v>
      </c>
      <c r="I1513" s="310">
        <v>40340.0</v>
      </c>
      <c r="J1513" s="308">
        <f>IFERROR(__xludf.DUMMYFUNCTION("SPLIT(I1513,""/"")"),11.0)</f>
        <v>11</v>
      </c>
      <c r="K1513" s="308">
        <f>IFERROR(__xludf.DUMMYFUNCTION("""COMPUTED_VALUE"""),6.0)</f>
        <v>6</v>
      </c>
      <c r="L1513" s="308">
        <f>IFERROR(__xludf.DUMMYFUNCTION("""COMPUTED_VALUE"""),2010.0)</f>
        <v>2010</v>
      </c>
      <c r="M1513" s="308" t="s">
        <v>5965</v>
      </c>
      <c r="N1513" s="308"/>
      <c r="O1513" s="312" t="s">
        <v>5966</v>
      </c>
      <c r="P1513" s="308" t="s">
        <v>5967</v>
      </c>
      <c r="Q1513" s="308"/>
      <c r="R1513" s="308"/>
      <c r="S1513" s="308" t="s">
        <v>81</v>
      </c>
      <c r="T1513" s="308" t="s">
        <v>34264</v>
      </c>
      <c r="U1513" s="308"/>
      <c r="V1513" s="312"/>
    </row>
    <row r="1514">
      <c r="A1514" s="308">
        <v>1513.0</v>
      </c>
      <c r="B1514" s="308">
        <v>4728.0</v>
      </c>
      <c r="C1514" s="308">
        <v>1531.0</v>
      </c>
      <c r="D1514" s="308">
        <f>IFERROR(__xludf.DUMMYFUNCTION("SPLIT(C1514,""-"")"),1531.0)</f>
        <v>1531</v>
      </c>
      <c r="E1514" s="311"/>
      <c r="F1514" s="309" t="s">
        <v>34</v>
      </c>
      <c r="G1514" s="308"/>
      <c r="H1514" s="308" t="s">
        <v>5968</v>
      </c>
      <c r="I1514" s="310">
        <v>41091.0</v>
      </c>
      <c r="J1514" s="308">
        <f>IFERROR(__xludf.DUMMYFUNCTION("SPLIT(I1514,""/"")"),1.0)</f>
        <v>1</v>
      </c>
      <c r="K1514" s="308">
        <f>IFERROR(__xludf.DUMMYFUNCTION("""COMPUTED_VALUE"""),7.0)</f>
        <v>7</v>
      </c>
      <c r="L1514" s="308">
        <f>IFERROR(__xludf.DUMMYFUNCTION("""COMPUTED_VALUE"""),2012.0)</f>
        <v>2012</v>
      </c>
      <c r="M1514" s="308" t="s">
        <v>5962</v>
      </c>
      <c r="N1514" s="308"/>
      <c r="O1514" s="312" t="s">
        <v>5969</v>
      </c>
      <c r="P1514" s="308" t="s">
        <v>34212</v>
      </c>
      <c r="Q1514" s="308"/>
      <c r="R1514" s="308"/>
      <c r="S1514" s="315" t="s">
        <v>100</v>
      </c>
      <c r="T1514" s="311" t="s">
        <v>34208</v>
      </c>
      <c r="U1514" s="308" t="s">
        <v>530</v>
      </c>
      <c r="V1514" s="312"/>
    </row>
    <row r="1515">
      <c r="A1515" s="308">
        <v>1514.0</v>
      </c>
      <c r="B1515" s="308">
        <v>4729.0</v>
      </c>
      <c r="C1515" s="308">
        <v>1532.0</v>
      </c>
      <c r="D1515" s="308">
        <f>IFERROR(__xludf.DUMMYFUNCTION("SPLIT(C1515,""-"")"),1532.0)</f>
        <v>1532</v>
      </c>
      <c r="E1515" s="311"/>
      <c r="F1515" s="309" t="s">
        <v>34</v>
      </c>
      <c r="G1515" s="308"/>
      <c r="H1515" s="308" t="s">
        <v>5970</v>
      </c>
      <c r="I1515" s="310">
        <v>40335.0</v>
      </c>
      <c r="J1515" s="308">
        <f>IFERROR(__xludf.DUMMYFUNCTION("SPLIT(I1515,""/"")"),6.0)</f>
        <v>6</v>
      </c>
      <c r="K1515" s="308">
        <f>IFERROR(__xludf.DUMMYFUNCTION("""COMPUTED_VALUE"""),6.0)</f>
        <v>6</v>
      </c>
      <c r="L1515" s="308">
        <f>IFERROR(__xludf.DUMMYFUNCTION("""COMPUTED_VALUE"""),2010.0)</f>
        <v>2010</v>
      </c>
      <c r="M1515" s="308" t="s">
        <v>5971</v>
      </c>
      <c r="N1515" s="308"/>
      <c r="O1515" s="312" t="s">
        <v>36145</v>
      </c>
      <c r="P1515" s="308" t="s">
        <v>5973</v>
      </c>
      <c r="Q1515" s="308"/>
      <c r="R1515" s="308"/>
      <c r="S1515" s="308" t="s">
        <v>81</v>
      </c>
      <c r="T1515" s="308" t="s">
        <v>34264</v>
      </c>
      <c r="U1515" s="308"/>
      <c r="V1515" s="312"/>
    </row>
    <row r="1516">
      <c r="A1516" s="308">
        <v>1515.0</v>
      </c>
      <c r="B1516" s="308">
        <v>4730.0</v>
      </c>
      <c r="C1516" s="308">
        <v>1533.0</v>
      </c>
      <c r="D1516" s="308">
        <f>IFERROR(__xludf.DUMMYFUNCTION("SPLIT(C1516,""-"")"),1533.0)</f>
        <v>1533</v>
      </c>
      <c r="E1516" s="311"/>
      <c r="F1516" s="309" t="s">
        <v>34</v>
      </c>
      <c r="G1516" s="308"/>
      <c r="H1516" s="308" t="s">
        <v>5974</v>
      </c>
      <c r="I1516" s="310">
        <v>40780.0</v>
      </c>
      <c r="J1516" s="308">
        <f>IFERROR(__xludf.DUMMYFUNCTION("SPLIT(I1516,""/"")"),25.0)</f>
        <v>25</v>
      </c>
      <c r="K1516" s="308">
        <f>IFERROR(__xludf.DUMMYFUNCTION("""COMPUTED_VALUE"""),8.0)</f>
        <v>8</v>
      </c>
      <c r="L1516" s="308">
        <f>IFERROR(__xludf.DUMMYFUNCTION("""COMPUTED_VALUE"""),2011.0)</f>
        <v>2011</v>
      </c>
      <c r="M1516" s="308" t="s">
        <v>5975</v>
      </c>
      <c r="N1516" s="308"/>
      <c r="O1516" s="312" t="s">
        <v>5976</v>
      </c>
      <c r="P1516" s="308" t="s">
        <v>5977</v>
      </c>
      <c r="Q1516" s="308"/>
      <c r="R1516" s="308"/>
      <c r="S1516" s="308" t="s">
        <v>81</v>
      </c>
      <c r="T1516" s="308" t="s">
        <v>75</v>
      </c>
      <c r="U1516" s="308"/>
      <c r="V1516" s="312"/>
    </row>
    <row r="1517">
      <c r="A1517" s="308">
        <v>1516.0</v>
      </c>
      <c r="B1517" s="308">
        <v>4731.0</v>
      </c>
      <c r="C1517" s="308">
        <v>1534.0</v>
      </c>
      <c r="D1517" s="308">
        <f>IFERROR(__xludf.DUMMYFUNCTION("SPLIT(C1517,""-"")"),1534.0)</f>
        <v>1534</v>
      </c>
      <c r="E1517" s="311"/>
      <c r="F1517" s="309" t="s">
        <v>26</v>
      </c>
      <c r="G1517" s="308"/>
      <c r="H1517" s="308" t="s">
        <v>5978</v>
      </c>
      <c r="I1517" s="310">
        <v>41435.0</v>
      </c>
      <c r="J1517" s="308">
        <f>IFERROR(__xludf.DUMMYFUNCTION("SPLIT(I1517,""/"")"),10.0)</f>
        <v>10</v>
      </c>
      <c r="K1517" s="308">
        <f>IFERROR(__xludf.DUMMYFUNCTION("""COMPUTED_VALUE"""),6.0)</f>
        <v>6</v>
      </c>
      <c r="L1517" s="308">
        <f>IFERROR(__xludf.DUMMYFUNCTION("""COMPUTED_VALUE"""),2013.0)</f>
        <v>2013</v>
      </c>
      <c r="M1517" s="308" t="s">
        <v>5979</v>
      </c>
      <c r="N1517" s="308"/>
      <c r="O1517" s="312"/>
      <c r="P1517" s="308" t="s">
        <v>5980</v>
      </c>
      <c r="Q1517" s="308"/>
      <c r="R1517" s="308"/>
      <c r="S1517" s="308" t="s">
        <v>81</v>
      </c>
      <c r="T1517" s="308" t="s">
        <v>75</v>
      </c>
      <c r="U1517" s="308"/>
      <c r="V1517" s="312"/>
    </row>
    <row r="1518">
      <c r="A1518" s="308">
        <v>1517.0</v>
      </c>
      <c r="B1518" s="308">
        <v>4732.0</v>
      </c>
      <c r="C1518" s="308">
        <v>1535.0</v>
      </c>
      <c r="D1518" s="308">
        <f>IFERROR(__xludf.DUMMYFUNCTION("SPLIT(C1518,""-"")"),1535.0)</f>
        <v>1535</v>
      </c>
      <c r="E1518" s="311"/>
      <c r="F1518" s="309" t="s">
        <v>26</v>
      </c>
      <c r="G1518" s="308"/>
      <c r="H1518" s="308" t="s">
        <v>5981</v>
      </c>
      <c r="I1518" s="310">
        <v>41296.0</v>
      </c>
      <c r="J1518" s="308">
        <f>IFERROR(__xludf.DUMMYFUNCTION("SPLIT(I1518,""/"")"),22.0)</f>
        <v>22</v>
      </c>
      <c r="K1518" s="308">
        <f>IFERROR(__xludf.DUMMYFUNCTION("""COMPUTED_VALUE"""),1.0)</f>
        <v>1</v>
      </c>
      <c r="L1518" s="308">
        <f>IFERROR(__xludf.DUMMYFUNCTION("""COMPUTED_VALUE"""),2013.0)</f>
        <v>2013</v>
      </c>
      <c r="M1518" s="308" t="s">
        <v>5982</v>
      </c>
      <c r="N1518" s="308"/>
      <c r="O1518" s="312" t="s">
        <v>635</v>
      </c>
      <c r="P1518" s="308" t="s">
        <v>5980</v>
      </c>
      <c r="Q1518" s="308"/>
      <c r="R1518" s="308"/>
      <c r="S1518" s="308" t="s">
        <v>81</v>
      </c>
      <c r="T1518" s="308" t="s">
        <v>75</v>
      </c>
      <c r="U1518" s="308"/>
      <c r="V1518" s="312"/>
    </row>
    <row r="1519">
      <c r="A1519" s="308">
        <v>1518.0</v>
      </c>
      <c r="B1519" s="308">
        <v>4733.0</v>
      </c>
      <c r="C1519" s="308">
        <v>1536.0</v>
      </c>
      <c r="D1519" s="308">
        <f>IFERROR(__xludf.DUMMYFUNCTION("SPLIT(C1519,""-"")"),1536.0)</f>
        <v>1536</v>
      </c>
      <c r="E1519" s="311"/>
      <c r="F1519" s="309" t="s">
        <v>26</v>
      </c>
      <c r="G1519" s="308"/>
      <c r="H1519" s="308" t="s">
        <v>36146</v>
      </c>
      <c r="I1519" s="310">
        <v>41276.0</v>
      </c>
      <c r="J1519" s="308">
        <f>IFERROR(__xludf.DUMMYFUNCTION("SPLIT(I1519,""/"")"),2.0)</f>
        <v>2</v>
      </c>
      <c r="K1519" s="308">
        <f>IFERROR(__xludf.DUMMYFUNCTION("""COMPUTED_VALUE"""),1.0)</f>
        <v>1</v>
      </c>
      <c r="L1519" s="308">
        <f>IFERROR(__xludf.DUMMYFUNCTION("""COMPUTED_VALUE"""),2013.0)</f>
        <v>2013</v>
      </c>
      <c r="M1519" s="308" t="s">
        <v>5984</v>
      </c>
      <c r="N1519" s="308"/>
      <c r="O1519" s="312"/>
      <c r="P1519" s="308" t="s">
        <v>5985</v>
      </c>
      <c r="Q1519" s="308"/>
      <c r="R1519" s="308"/>
      <c r="S1519" s="308" t="s">
        <v>81</v>
      </c>
      <c r="T1519" s="311" t="s">
        <v>63</v>
      </c>
      <c r="U1519" s="308"/>
      <c r="V1519" s="312"/>
    </row>
    <row r="1520">
      <c r="A1520" s="308">
        <v>1519.0</v>
      </c>
      <c r="B1520" s="308">
        <v>4734.0</v>
      </c>
      <c r="C1520" s="308" t="s">
        <v>5986</v>
      </c>
      <c r="D1520" s="308">
        <f>IFERROR(__xludf.DUMMYFUNCTION("SPLIT(C1520,""-"")"),1537.0)</f>
        <v>1537</v>
      </c>
      <c r="E1520" s="308" t="str">
        <f>IFERROR(__xludf.DUMMYFUNCTION("""COMPUTED_VALUE"""),"I")</f>
        <v>I</v>
      </c>
      <c r="F1520" s="309" t="s">
        <v>31</v>
      </c>
      <c r="G1520" s="308"/>
      <c r="H1520" s="308" t="s">
        <v>5987</v>
      </c>
      <c r="I1520" s="310">
        <v>41519.0</v>
      </c>
      <c r="J1520" s="308">
        <f>IFERROR(__xludf.DUMMYFUNCTION("SPLIT(I1520,""/"")"),2.0)</f>
        <v>2</v>
      </c>
      <c r="K1520" s="308">
        <f>IFERROR(__xludf.DUMMYFUNCTION("""COMPUTED_VALUE"""),9.0)</f>
        <v>9</v>
      </c>
      <c r="L1520" s="308">
        <f>IFERROR(__xludf.DUMMYFUNCTION("""COMPUTED_VALUE"""),2013.0)</f>
        <v>2013</v>
      </c>
      <c r="M1520" s="308" t="s">
        <v>5988</v>
      </c>
      <c r="N1520" s="308"/>
      <c r="O1520" s="312" t="s">
        <v>5989</v>
      </c>
      <c r="P1520" s="308" t="s">
        <v>35542</v>
      </c>
      <c r="Q1520" s="308"/>
      <c r="R1520" s="308" t="s">
        <v>1496</v>
      </c>
      <c r="S1520" s="308" t="s">
        <v>49</v>
      </c>
      <c r="T1520" s="308" t="s">
        <v>51</v>
      </c>
      <c r="U1520" s="308" t="s">
        <v>5990</v>
      </c>
      <c r="V1520" s="312"/>
    </row>
    <row r="1521">
      <c r="A1521" s="308">
        <v>1520.0</v>
      </c>
      <c r="B1521" s="308">
        <v>4735.0</v>
      </c>
      <c r="C1521" s="308">
        <v>1538.0</v>
      </c>
      <c r="D1521" s="308">
        <f>IFERROR(__xludf.DUMMYFUNCTION("SPLIT(C1521,""-"")"),1538.0)</f>
        <v>1538</v>
      </c>
      <c r="E1521" s="311"/>
      <c r="F1521" s="317" t="s">
        <v>37</v>
      </c>
      <c r="G1521" s="308"/>
      <c r="H1521" s="308" t="s">
        <v>5991</v>
      </c>
      <c r="I1521" s="314">
        <v>41557.0</v>
      </c>
      <c r="J1521" s="308">
        <f>IFERROR(__xludf.DUMMYFUNCTION("SPLIT(I1521,""/"")"),10.0)</f>
        <v>10</v>
      </c>
      <c r="K1521" s="308">
        <f>IFERROR(__xludf.DUMMYFUNCTION("""COMPUTED_VALUE"""),10.0)</f>
        <v>10</v>
      </c>
      <c r="L1521" s="308">
        <f>IFERROR(__xludf.DUMMYFUNCTION("""COMPUTED_VALUE"""),2013.0)</f>
        <v>2013</v>
      </c>
      <c r="M1521" s="308" t="s">
        <v>5992</v>
      </c>
      <c r="N1521" s="308"/>
      <c r="O1521" s="312" t="s">
        <v>5993</v>
      </c>
      <c r="P1521" s="308" t="s">
        <v>5994</v>
      </c>
      <c r="Q1521" s="308"/>
      <c r="R1521" s="308"/>
      <c r="S1521" s="308" t="s">
        <v>81</v>
      </c>
      <c r="T1521" s="308" t="s">
        <v>75</v>
      </c>
      <c r="U1521" s="308" t="s">
        <v>143</v>
      </c>
      <c r="V1521" s="312"/>
    </row>
    <row r="1522">
      <c r="A1522" s="308">
        <v>1521.0</v>
      </c>
      <c r="B1522" s="308">
        <v>4736.0</v>
      </c>
      <c r="C1522" s="308">
        <v>1539.0</v>
      </c>
      <c r="D1522" s="308">
        <f>IFERROR(__xludf.DUMMYFUNCTION("SPLIT(C1522,""-"")"),1539.0)</f>
        <v>1539</v>
      </c>
      <c r="E1522" s="311"/>
      <c r="F1522" s="317" t="s">
        <v>37</v>
      </c>
      <c r="G1522" s="308"/>
      <c r="H1522" s="308" t="s">
        <v>5995</v>
      </c>
      <c r="I1522" s="310">
        <v>41412.0</v>
      </c>
      <c r="J1522" s="308">
        <f>IFERROR(__xludf.DUMMYFUNCTION("SPLIT(I1522,""/"")"),18.0)</f>
        <v>18</v>
      </c>
      <c r="K1522" s="308">
        <f>IFERROR(__xludf.DUMMYFUNCTION("""COMPUTED_VALUE"""),5.0)</f>
        <v>5</v>
      </c>
      <c r="L1522" s="308">
        <f>IFERROR(__xludf.DUMMYFUNCTION("""COMPUTED_VALUE"""),2013.0)</f>
        <v>2013</v>
      </c>
      <c r="M1522" s="308" t="s">
        <v>5996</v>
      </c>
      <c r="N1522" s="308"/>
      <c r="O1522" s="312" t="s">
        <v>5997</v>
      </c>
      <c r="P1522" s="308" t="s">
        <v>5998</v>
      </c>
      <c r="Q1522" s="308"/>
      <c r="R1522" s="308"/>
      <c r="S1522" s="308" t="s">
        <v>81</v>
      </c>
      <c r="T1522" s="308" t="s">
        <v>75</v>
      </c>
      <c r="U1522" s="308"/>
      <c r="V1522" s="312"/>
    </row>
    <row r="1523">
      <c r="A1523" s="308">
        <v>1522.0</v>
      </c>
      <c r="B1523" s="308">
        <v>4737.0</v>
      </c>
      <c r="C1523" s="308" t="s">
        <v>5999</v>
      </c>
      <c r="D1523" s="308" t="str">
        <f>IFERROR(__xludf.DUMMYFUNCTION("SPLIT(C1523,""-"")"),"#REF!")</f>
        <v>#REF!</v>
      </c>
      <c r="E1523" s="311"/>
      <c r="F1523" s="317" t="s">
        <v>37</v>
      </c>
      <c r="G1523" s="308"/>
      <c r="H1523" s="308" t="s">
        <v>6000</v>
      </c>
      <c r="I1523" s="310">
        <v>41521.0</v>
      </c>
      <c r="J1523" s="308">
        <f>IFERROR(__xludf.DUMMYFUNCTION("SPLIT(I1523,""/"")"),4.0)</f>
        <v>4</v>
      </c>
      <c r="K1523" s="308">
        <f>IFERROR(__xludf.DUMMYFUNCTION("""COMPUTED_VALUE"""),9.0)</f>
        <v>9</v>
      </c>
      <c r="L1523" s="308">
        <f>IFERROR(__xludf.DUMMYFUNCTION("""COMPUTED_VALUE"""),2013.0)</f>
        <v>2013</v>
      </c>
      <c r="M1523" s="308" t="s">
        <v>36147</v>
      </c>
      <c r="N1523" s="308"/>
      <c r="O1523" s="312"/>
      <c r="P1523" s="308" t="s">
        <v>34212</v>
      </c>
      <c r="Q1523" s="308"/>
      <c r="R1523" s="308" t="s">
        <v>1496</v>
      </c>
      <c r="S1523" s="315" t="s">
        <v>100</v>
      </c>
      <c r="T1523" s="311" t="s">
        <v>34208</v>
      </c>
      <c r="U1523" s="308" t="s">
        <v>149</v>
      </c>
      <c r="V1523" s="312"/>
    </row>
    <row r="1524">
      <c r="A1524" s="308">
        <v>1523.0</v>
      </c>
      <c r="B1524" s="308">
        <v>4738.0</v>
      </c>
      <c r="C1524" s="308">
        <v>1541.0</v>
      </c>
      <c r="D1524" s="308">
        <f>IFERROR(__xludf.DUMMYFUNCTION("SPLIT(C1524,""-"")"),1541.0)</f>
        <v>1541</v>
      </c>
      <c r="E1524" s="311"/>
      <c r="F1524" s="317" t="s">
        <v>37</v>
      </c>
      <c r="G1524" s="308"/>
      <c r="H1524" s="308" t="s">
        <v>6002</v>
      </c>
      <c r="I1524" s="314">
        <v>41574.0</v>
      </c>
      <c r="J1524" s="308">
        <f>IFERROR(__xludf.DUMMYFUNCTION("SPLIT(I1524,""/"")"),27.0)</f>
        <v>27</v>
      </c>
      <c r="K1524" s="308">
        <f>IFERROR(__xludf.DUMMYFUNCTION("""COMPUTED_VALUE"""),10.0)</f>
        <v>10</v>
      </c>
      <c r="L1524" s="308">
        <f>IFERROR(__xludf.DUMMYFUNCTION("""COMPUTED_VALUE"""),2013.0)</f>
        <v>2013</v>
      </c>
      <c r="M1524" s="308" t="s">
        <v>36148</v>
      </c>
      <c r="N1524" s="308"/>
      <c r="O1524" s="312" t="s">
        <v>6004</v>
      </c>
      <c r="P1524" s="308" t="s">
        <v>6005</v>
      </c>
      <c r="Q1524" s="308"/>
      <c r="R1524" s="308"/>
      <c r="S1524" s="308" t="s">
        <v>81</v>
      </c>
      <c r="T1524" s="308" t="s">
        <v>75</v>
      </c>
      <c r="U1524" s="308"/>
      <c r="V1524" s="312"/>
    </row>
    <row r="1525">
      <c r="A1525" s="308">
        <v>1524.0</v>
      </c>
      <c r="B1525" s="308">
        <v>4739.0</v>
      </c>
      <c r="C1525" s="308">
        <v>1542.0</v>
      </c>
      <c r="D1525" s="308">
        <f>IFERROR(__xludf.DUMMYFUNCTION("SPLIT(C1525,""-"")"),1542.0)</f>
        <v>1542</v>
      </c>
      <c r="E1525" s="311"/>
      <c r="F1525" s="309" t="s">
        <v>31</v>
      </c>
      <c r="G1525" s="308"/>
      <c r="H1525" s="308" t="s">
        <v>6006</v>
      </c>
      <c r="I1525" s="310">
        <v>40818.0</v>
      </c>
      <c r="J1525" s="308">
        <f>IFERROR(__xludf.DUMMYFUNCTION("SPLIT(I1525,""/"")"),2.0)</f>
        <v>2</v>
      </c>
      <c r="K1525" s="308">
        <f>IFERROR(__xludf.DUMMYFUNCTION("""COMPUTED_VALUE"""),10.0)</f>
        <v>10</v>
      </c>
      <c r="L1525" s="308">
        <f>IFERROR(__xludf.DUMMYFUNCTION("""COMPUTED_VALUE"""),2011.0)</f>
        <v>2011</v>
      </c>
      <c r="M1525" s="308" t="s">
        <v>6007</v>
      </c>
      <c r="N1525" s="308"/>
      <c r="O1525" s="312" t="s">
        <v>6008</v>
      </c>
      <c r="P1525" s="308" t="s">
        <v>6009</v>
      </c>
      <c r="Q1525" s="308"/>
      <c r="R1525" s="308"/>
      <c r="S1525" s="308" t="s">
        <v>49</v>
      </c>
      <c r="T1525" s="311" t="s">
        <v>51</v>
      </c>
      <c r="U1525" s="308" t="s">
        <v>6010</v>
      </c>
      <c r="V1525" s="312"/>
    </row>
    <row r="1526">
      <c r="A1526" s="308">
        <v>1525.0</v>
      </c>
      <c r="B1526" s="308">
        <v>4740.0</v>
      </c>
      <c r="C1526" s="308">
        <v>1543.0</v>
      </c>
      <c r="D1526" s="308">
        <f>IFERROR(__xludf.DUMMYFUNCTION("SPLIT(C1526,""-"")"),1543.0)</f>
        <v>1543</v>
      </c>
      <c r="E1526" s="311"/>
      <c r="F1526" s="317" t="s">
        <v>37</v>
      </c>
      <c r="G1526" s="308"/>
      <c r="H1526" s="308" t="s">
        <v>36149</v>
      </c>
      <c r="I1526" s="314">
        <v>41201.0</v>
      </c>
      <c r="J1526" s="308">
        <f>IFERROR(__xludf.DUMMYFUNCTION("SPLIT(I1526,""/"")"),19.0)</f>
        <v>19</v>
      </c>
      <c r="K1526" s="308">
        <f>IFERROR(__xludf.DUMMYFUNCTION("""COMPUTED_VALUE"""),10.0)</f>
        <v>10</v>
      </c>
      <c r="L1526" s="308">
        <f>IFERROR(__xludf.DUMMYFUNCTION("""COMPUTED_VALUE"""),2012.0)</f>
        <v>2012</v>
      </c>
      <c r="M1526" s="308" t="s">
        <v>36150</v>
      </c>
      <c r="N1526" s="308"/>
      <c r="O1526" s="312" t="s">
        <v>36151</v>
      </c>
      <c r="P1526" s="308" t="s">
        <v>6014</v>
      </c>
      <c r="Q1526" s="308"/>
      <c r="R1526" s="308"/>
      <c r="S1526" s="308" t="s">
        <v>81</v>
      </c>
      <c r="T1526" s="311" t="s">
        <v>98</v>
      </c>
      <c r="U1526" s="308"/>
      <c r="V1526" s="312"/>
    </row>
    <row r="1527">
      <c r="A1527" s="308">
        <v>1526.0</v>
      </c>
      <c r="B1527" s="308">
        <v>4741.0</v>
      </c>
      <c r="C1527" s="308">
        <v>1544.0</v>
      </c>
      <c r="D1527" s="308">
        <f>IFERROR(__xludf.DUMMYFUNCTION("SPLIT(C1527,""-"")"),1544.0)</f>
        <v>1544</v>
      </c>
      <c r="E1527" s="311"/>
      <c r="F1527" s="317" t="s">
        <v>37</v>
      </c>
      <c r="G1527" s="308"/>
      <c r="H1527" s="308" t="s">
        <v>6015</v>
      </c>
      <c r="I1527" s="314">
        <v>41568.0</v>
      </c>
      <c r="J1527" s="308">
        <f>IFERROR(__xludf.DUMMYFUNCTION("SPLIT(I1527,""/"")"),21.0)</f>
        <v>21</v>
      </c>
      <c r="K1527" s="308">
        <f>IFERROR(__xludf.DUMMYFUNCTION("""COMPUTED_VALUE"""),10.0)</f>
        <v>10</v>
      </c>
      <c r="L1527" s="308">
        <f>IFERROR(__xludf.DUMMYFUNCTION("""COMPUTED_VALUE"""),2013.0)</f>
        <v>2013</v>
      </c>
      <c r="M1527" s="308" t="s">
        <v>6016</v>
      </c>
      <c r="N1527" s="308"/>
      <c r="O1527" s="312" t="s">
        <v>36152</v>
      </c>
      <c r="P1527" s="308" t="s">
        <v>6018</v>
      </c>
      <c r="Q1527" s="308"/>
      <c r="R1527" s="308"/>
      <c r="S1527" s="308" t="s">
        <v>81</v>
      </c>
      <c r="T1527" s="311" t="s">
        <v>75</v>
      </c>
      <c r="U1527" s="308"/>
      <c r="V1527" s="312"/>
    </row>
    <row r="1528">
      <c r="A1528" s="308">
        <v>1527.0</v>
      </c>
      <c r="B1528" s="308">
        <v>4742.0</v>
      </c>
      <c r="C1528" s="308">
        <v>1545.0</v>
      </c>
      <c r="D1528" s="308">
        <f>IFERROR(__xludf.DUMMYFUNCTION("SPLIT(C1528,""-"")"),1545.0)</f>
        <v>1545</v>
      </c>
      <c r="E1528" s="311"/>
      <c r="F1528" s="309" t="s">
        <v>34</v>
      </c>
      <c r="G1528" s="308"/>
      <c r="H1528" s="308" t="s">
        <v>6019</v>
      </c>
      <c r="I1528" s="314">
        <v>39741.0</v>
      </c>
      <c r="J1528" s="308">
        <f>IFERROR(__xludf.DUMMYFUNCTION("SPLIT(I1528,""/"")"),20.0)</f>
        <v>20</v>
      </c>
      <c r="K1528" s="308">
        <f>IFERROR(__xludf.DUMMYFUNCTION("""COMPUTED_VALUE"""),10.0)</f>
        <v>10</v>
      </c>
      <c r="L1528" s="308">
        <f>IFERROR(__xludf.DUMMYFUNCTION("""COMPUTED_VALUE"""),2008.0)</f>
        <v>2008</v>
      </c>
      <c r="M1528" s="308" t="s">
        <v>6020</v>
      </c>
      <c r="N1528" s="308"/>
      <c r="O1528" s="312" t="s">
        <v>6021</v>
      </c>
      <c r="P1528" s="308" t="s">
        <v>2774</v>
      </c>
      <c r="Q1528" s="308"/>
      <c r="R1528" s="308"/>
      <c r="S1528" s="308" t="s">
        <v>49</v>
      </c>
      <c r="T1528" s="308" t="s">
        <v>51</v>
      </c>
      <c r="U1528" s="312"/>
      <c r="V1528" s="312"/>
    </row>
    <row r="1529">
      <c r="A1529" s="308">
        <v>1528.0</v>
      </c>
      <c r="B1529" s="308">
        <v>4743.0</v>
      </c>
      <c r="C1529" s="308">
        <v>1546.0</v>
      </c>
      <c r="D1529" s="308">
        <f>IFERROR(__xludf.DUMMYFUNCTION("SPLIT(C1529,""-"")"),1546.0)</f>
        <v>1546</v>
      </c>
      <c r="E1529" s="311"/>
      <c r="F1529" s="309" t="s">
        <v>34</v>
      </c>
      <c r="G1529" s="308"/>
      <c r="H1529" s="308" t="s">
        <v>6022</v>
      </c>
      <c r="I1529" s="314">
        <v>41571.0</v>
      </c>
      <c r="J1529" s="308">
        <f>IFERROR(__xludf.DUMMYFUNCTION("SPLIT(I1529,""/"")"),24.0)</f>
        <v>24</v>
      </c>
      <c r="K1529" s="308">
        <f>IFERROR(__xludf.DUMMYFUNCTION("""COMPUTED_VALUE"""),10.0)</f>
        <v>10</v>
      </c>
      <c r="L1529" s="308">
        <f>IFERROR(__xludf.DUMMYFUNCTION("""COMPUTED_VALUE"""),2013.0)</f>
        <v>2013</v>
      </c>
      <c r="M1529" s="308" t="s">
        <v>6023</v>
      </c>
      <c r="N1529" s="308"/>
      <c r="O1529" s="312" t="s">
        <v>6024</v>
      </c>
      <c r="P1529" s="308" t="s">
        <v>6025</v>
      </c>
      <c r="Q1529" s="308"/>
      <c r="R1529" s="308"/>
      <c r="S1529" s="308" t="s">
        <v>81</v>
      </c>
      <c r="T1529" s="308" t="s">
        <v>34264</v>
      </c>
      <c r="U1529" s="308"/>
      <c r="V1529" s="312"/>
    </row>
    <row r="1530">
      <c r="A1530" s="308">
        <v>1529.0</v>
      </c>
      <c r="B1530" s="308">
        <v>4744.0</v>
      </c>
      <c r="C1530" s="308">
        <v>1547.0</v>
      </c>
      <c r="D1530" s="308">
        <f>IFERROR(__xludf.DUMMYFUNCTION("SPLIT(C1530,""-"")"),1547.0)</f>
        <v>1547</v>
      </c>
      <c r="E1530" s="311"/>
      <c r="F1530" s="309" t="s">
        <v>34</v>
      </c>
      <c r="G1530" s="308"/>
      <c r="H1530" s="308" t="s">
        <v>6026</v>
      </c>
      <c r="I1530" s="314">
        <v>41571.0</v>
      </c>
      <c r="J1530" s="308">
        <f>IFERROR(__xludf.DUMMYFUNCTION("SPLIT(I1530,""/"")"),24.0)</f>
        <v>24</v>
      </c>
      <c r="K1530" s="308">
        <f>IFERROR(__xludf.DUMMYFUNCTION("""COMPUTED_VALUE"""),10.0)</f>
        <v>10</v>
      </c>
      <c r="L1530" s="308">
        <f>IFERROR(__xludf.DUMMYFUNCTION("""COMPUTED_VALUE"""),2013.0)</f>
        <v>2013</v>
      </c>
      <c r="M1530" s="308" t="s">
        <v>6023</v>
      </c>
      <c r="N1530" s="308"/>
      <c r="O1530" s="312" t="s">
        <v>6024</v>
      </c>
      <c r="P1530" s="308" t="s">
        <v>6027</v>
      </c>
      <c r="Q1530" s="308"/>
      <c r="R1530" s="308"/>
      <c r="S1530" s="308" t="s">
        <v>81</v>
      </c>
      <c r="T1530" s="308" t="s">
        <v>75</v>
      </c>
      <c r="U1530" s="308"/>
      <c r="V1530" s="312"/>
    </row>
    <row r="1531">
      <c r="A1531" s="308">
        <v>1530.0</v>
      </c>
      <c r="B1531" s="308">
        <v>4745.0</v>
      </c>
      <c r="C1531" s="308">
        <v>1548.0</v>
      </c>
      <c r="D1531" s="308">
        <f>IFERROR(__xludf.DUMMYFUNCTION("SPLIT(C1531,""-"")"),1548.0)</f>
        <v>1548</v>
      </c>
      <c r="E1531" s="311"/>
      <c r="F1531" s="309" t="s">
        <v>26</v>
      </c>
      <c r="G1531" s="308"/>
      <c r="H1531" s="308" t="s">
        <v>6028</v>
      </c>
      <c r="I1531" s="316" t="s">
        <v>407</v>
      </c>
      <c r="J1531" s="308" t="str">
        <f>IFERROR(__xludf.DUMMYFUNCTION("SPLIT(I1531,""/"")"),"#REF!")</f>
        <v>#REF!</v>
      </c>
      <c r="K1531" s="308"/>
      <c r="L1531" s="311" t="s">
        <v>79</v>
      </c>
      <c r="M1531" s="308" t="s">
        <v>6029</v>
      </c>
      <c r="N1531" s="308"/>
      <c r="O1531" s="312" t="s">
        <v>36153</v>
      </c>
      <c r="P1531" s="308" t="s">
        <v>6031</v>
      </c>
      <c r="Q1531" s="308"/>
      <c r="R1531" s="308"/>
      <c r="S1531" s="308" t="s">
        <v>81</v>
      </c>
      <c r="T1531" s="308" t="s">
        <v>75</v>
      </c>
      <c r="U1531" s="308"/>
      <c r="V1531" s="312"/>
    </row>
    <row r="1532">
      <c r="A1532" s="308">
        <v>1531.0</v>
      </c>
      <c r="B1532" s="308">
        <v>4746.0</v>
      </c>
      <c r="C1532" s="308">
        <v>1549.0</v>
      </c>
      <c r="D1532" s="308">
        <f>IFERROR(__xludf.DUMMYFUNCTION("SPLIT(C1532,""-"")"),1549.0)</f>
        <v>1549</v>
      </c>
      <c r="E1532" s="311"/>
      <c r="F1532" s="317" t="s">
        <v>37</v>
      </c>
      <c r="G1532" s="308"/>
      <c r="H1532" s="308" t="s">
        <v>6032</v>
      </c>
      <c r="I1532" s="310">
        <v>41351.0</v>
      </c>
      <c r="J1532" s="308">
        <f>IFERROR(__xludf.DUMMYFUNCTION("SPLIT(I1532,""/"")"),18.0)</f>
        <v>18</v>
      </c>
      <c r="K1532" s="308">
        <f>IFERROR(__xludf.DUMMYFUNCTION("""COMPUTED_VALUE"""),3.0)</f>
        <v>3</v>
      </c>
      <c r="L1532" s="308">
        <f>IFERROR(__xludf.DUMMYFUNCTION("""COMPUTED_VALUE"""),2013.0)</f>
        <v>2013</v>
      </c>
      <c r="M1532" s="308" t="s">
        <v>6033</v>
      </c>
      <c r="N1532" s="308"/>
      <c r="O1532" s="312" t="s">
        <v>6034</v>
      </c>
      <c r="P1532" s="308" t="s">
        <v>6035</v>
      </c>
      <c r="Q1532" s="308"/>
      <c r="R1532" s="308"/>
      <c r="S1532" s="308" t="s">
        <v>81</v>
      </c>
      <c r="T1532" s="311" t="s">
        <v>75</v>
      </c>
      <c r="U1532" s="308"/>
      <c r="V1532" s="312"/>
    </row>
    <row r="1533">
      <c r="A1533" s="308">
        <v>1532.0</v>
      </c>
      <c r="B1533" s="308">
        <v>4747.0</v>
      </c>
      <c r="C1533" s="308">
        <v>1550.0</v>
      </c>
      <c r="D1533" s="308">
        <f>IFERROR(__xludf.DUMMYFUNCTION("SPLIT(C1533,""-"")"),1550.0)</f>
        <v>1550</v>
      </c>
      <c r="E1533" s="311"/>
      <c r="F1533" s="317" t="s">
        <v>37</v>
      </c>
      <c r="G1533" s="308"/>
      <c r="H1533" s="308" t="s">
        <v>6036</v>
      </c>
      <c r="I1533" s="310">
        <v>41403.0</v>
      </c>
      <c r="J1533" s="308">
        <f>IFERROR(__xludf.DUMMYFUNCTION("SPLIT(I1533,""/"")"),9.0)</f>
        <v>9</v>
      </c>
      <c r="K1533" s="308">
        <f>IFERROR(__xludf.DUMMYFUNCTION("""COMPUTED_VALUE"""),5.0)</f>
        <v>5</v>
      </c>
      <c r="L1533" s="308">
        <f>IFERROR(__xludf.DUMMYFUNCTION("""COMPUTED_VALUE"""),2013.0)</f>
        <v>2013</v>
      </c>
      <c r="M1533" s="308" t="s">
        <v>6037</v>
      </c>
      <c r="N1533" s="308"/>
      <c r="O1533" s="312" t="s">
        <v>36154</v>
      </c>
      <c r="P1533" s="308" t="s">
        <v>6039</v>
      </c>
      <c r="Q1533" s="308"/>
      <c r="R1533" s="308"/>
      <c r="S1533" s="308" t="s">
        <v>81</v>
      </c>
      <c r="T1533" s="308" t="s">
        <v>75</v>
      </c>
      <c r="U1533" s="308"/>
      <c r="V1533" s="312"/>
    </row>
    <row r="1534">
      <c r="A1534" s="308">
        <v>1533.0</v>
      </c>
      <c r="B1534" s="308">
        <v>4748.0</v>
      </c>
      <c r="C1534" s="308">
        <v>1551.0</v>
      </c>
      <c r="D1534" s="308">
        <f>IFERROR(__xludf.DUMMYFUNCTION("SPLIT(C1534,""-"")"),1551.0)</f>
        <v>1551</v>
      </c>
      <c r="E1534" s="311"/>
      <c r="F1534" s="317" t="s">
        <v>37</v>
      </c>
      <c r="G1534" s="308"/>
      <c r="H1534" s="308" t="s">
        <v>6040</v>
      </c>
      <c r="I1534" s="310">
        <v>39422.0</v>
      </c>
      <c r="J1534" s="308">
        <f>IFERROR(__xludf.DUMMYFUNCTION("SPLIT(I1534,""/"")"),6.0)</f>
        <v>6</v>
      </c>
      <c r="K1534" s="308">
        <f>IFERROR(__xludf.DUMMYFUNCTION("""COMPUTED_VALUE"""),12.0)</f>
        <v>12</v>
      </c>
      <c r="L1534" s="308">
        <f>IFERROR(__xludf.DUMMYFUNCTION("""COMPUTED_VALUE"""),2007.0)</f>
        <v>2007</v>
      </c>
      <c r="M1534" s="308" t="s">
        <v>6041</v>
      </c>
      <c r="N1534" s="308"/>
      <c r="O1534" s="312" t="s">
        <v>36155</v>
      </c>
      <c r="P1534" s="308" t="s">
        <v>6043</v>
      </c>
      <c r="Q1534" s="308"/>
      <c r="R1534" s="308"/>
      <c r="S1534" s="308" t="s">
        <v>49</v>
      </c>
      <c r="T1534" s="311" t="s">
        <v>55</v>
      </c>
      <c r="U1534" s="308"/>
      <c r="V1534" s="312"/>
    </row>
    <row r="1535">
      <c r="A1535" s="308">
        <v>1534.0</v>
      </c>
      <c r="B1535" s="308">
        <v>4749.0</v>
      </c>
      <c r="C1535" s="308">
        <v>1552.0</v>
      </c>
      <c r="D1535" s="308">
        <f>IFERROR(__xludf.DUMMYFUNCTION("SPLIT(C1535,""-"")"),1552.0)</f>
        <v>1552</v>
      </c>
      <c r="E1535" s="311"/>
      <c r="F1535" s="317" t="s">
        <v>37</v>
      </c>
      <c r="G1535" s="308"/>
      <c r="H1535" s="308" t="s">
        <v>6044</v>
      </c>
      <c r="I1535" s="314">
        <v>41602.0</v>
      </c>
      <c r="J1535" s="308">
        <f>IFERROR(__xludf.DUMMYFUNCTION("SPLIT(I1535,""/"")"),24.0)</f>
        <v>24</v>
      </c>
      <c r="K1535" s="308">
        <f>IFERROR(__xludf.DUMMYFUNCTION("""COMPUTED_VALUE"""),11.0)</f>
        <v>11</v>
      </c>
      <c r="L1535" s="308">
        <f>IFERROR(__xludf.DUMMYFUNCTION("""COMPUTED_VALUE"""),2013.0)</f>
        <v>2013</v>
      </c>
      <c r="M1535" s="308" t="s">
        <v>6045</v>
      </c>
      <c r="N1535" s="308"/>
      <c r="O1535" s="312" t="s">
        <v>6046</v>
      </c>
      <c r="P1535" s="308" t="s">
        <v>6047</v>
      </c>
      <c r="Q1535" s="308"/>
      <c r="R1535" s="308"/>
      <c r="S1535" s="308" t="s">
        <v>49</v>
      </c>
      <c r="T1535" s="308" t="s">
        <v>51</v>
      </c>
      <c r="U1535" s="308"/>
      <c r="V1535" s="312"/>
    </row>
    <row r="1536">
      <c r="A1536" s="308">
        <v>1535.0</v>
      </c>
      <c r="B1536" s="308">
        <v>4750.0</v>
      </c>
      <c r="C1536" s="308">
        <v>1553.0</v>
      </c>
      <c r="D1536" s="308">
        <f>IFERROR(__xludf.DUMMYFUNCTION("SPLIT(C1536,""-"")"),1553.0)</f>
        <v>1553</v>
      </c>
      <c r="E1536" s="311"/>
      <c r="F1536" s="309" t="s">
        <v>34</v>
      </c>
      <c r="G1536" s="308"/>
      <c r="H1536" s="308" t="s">
        <v>36156</v>
      </c>
      <c r="I1536" s="316">
        <v>2009.0</v>
      </c>
      <c r="J1536" s="308"/>
      <c r="K1536" s="308"/>
      <c r="L1536" s="311">
        <v>2009.0</v>
      </c>
      <c r="M1536" s="308" t="s">
        <v>6049</v>
      </c>
      <c r="N1536" s="308"/>
      <c r="O1536" s="312" t="s">
        <v>6050</v>
      </c>
      <c r="P1536" s="308" t="s">
        <v>36157</v>
      </c>
      <c r="Q1536" s="308"/>
      <c r="R1536" s="308"/>
      <c r="S1536" s="308" t="s">
        <v>49</v>
      </c>
      <c r="T1536" s="311" t="s">
        <v>51</v>
      </c>
      <c r="U1536" s="308" t="s">
        <v>4749</v>
      </c>
      <c r="V1536" s="312"/>
    </row>
    <row r="1537">
      <c r="A1537" s="308">
        <v>1536.0</v>
      </c>
      <c r="B1537" s="308">
        <v>4751.0</v>
      </c>
      <c r="C1537" s="308">
        <v>1554.0</v>
      </c>
      <c r="D1537" s="308">
        <f>IFERROR(__xludf.DUMMYFUNCTION("SPLIT(C1537,""-"")"),1554.0)</f>
        <v>1554</v>
      </c>
      <c r="E1537" s="311"/>
      <c r="F1537" s="309" t="s">
        <v>34</v>
      </c>
      <c r="G1537" s="308"/>
      <c r="H1537" s="308" t="s">
        <v>36158</v>
      </c>
      <c r="I1537" s="316">
        <v>2009.0</v>
      </c>
      <c r="J1537" s="308"/>
      <c r="K1537" s="308"/>
      <c r="L1537" s="311">
        <v>2009.0</v>
      </c>
      <c r="M1537" s="308" t="s">
        <v>6053</v>
      </c>
      <c r="N1537" s="308"/>
      <c r="O1537" s="312" t="s">
        <v>6054</v>
      </c>
      <c r="P1537" s="308" t="s">
        <v>36159</v>
      </c>
      <c r="Q1537" s="308"/>
      <c r="R1537" s="308"/>
      <c r="S1537" s="315" t="s">
        <v>100</v>
      </c>
      <c r="T1537" s="311" t="s">
        <v>34208</v>
      </c>
      <c r="U1537" s="308" t="s">
        <v>530</v>
      </c>
      <c r="V1537" s="312"/>
    </row>
    <row r="1538">
      <c r="A1538" s="308">
        <v>1537.0</v>
      </c>
      <c r="B1538" s="308">
        <v>4752.0</v>
      </c>
      <c r="C1538" s="308">
        <v>1555.0</v>
      </c>
      <c r="D1538" s="308">
        <f>IFERROR(__xludf.DUMMYFUNCTION("SPLIT(C1538,""-"")"),1555.0)</f>
        <v>1555</v>
      </c>
      <c r="E1538" s="311"/>
      <c r="F1538" s="309" t="s">
        <v>34</v>
      </c>
      <c r="G1538" s="308"/>
      <c r="H1538" s="308" t="s">
        <v>6056</v>
      </c>
      <c r="I1538" s="316">
        <v>2009.0</v>
      </c>
      <c r="J1538" s="308"/>
      <c r="K1538" s="308"/>
      <c r="L1538" s="311">
        <v>2009.0</v>
      </c>
      <c r="M1538" s="308" t="s">
        <v>6057</v>
      </c>
      <c r="N1538" s="308"/>
      <c r="O1538" s="312" t="s">
        <v>635</v>
      </c>
      <c r="P1538" s="308" t="s">
        <v>36160</v>
      </c>
      <c r="Q1538" s="308"/>
      <c r="R1538" s="308"/>
      <c r="S1538" s="308" t="s">
        <v>81</v>
      </c>
      <c r="T1538" s="308" t="s">
        <v>34264</v>
      </c>
      <c r="U1538" s="308"/>
      <c r="V1538" s="312"/>
    </row>
    <row r="1539">
      <c r="A1539" s="308">
        <v>1538.0</v>
      </c>
      <c r="B1539" s="308">
        <v>4753.0</v>
      </c>
      <c r="C1539" s="308">
        <v>1556.0</v>
      </c>
      <c r="D1539" s="308">
        <f>IFERROR(__xludf.DUMMYFUNCTION("SPLIT(C1539,""-"")"),1556.0)</f>
        <v>1556</v>
      </c>
      <c r="E1539" s="311"/>
      <c r="F1539" s="309" t="s">
        <v>34</v>
      </c>
      <c r="G1539" s="308"/>
      <c r="H1539" s="308" t="s">
        <v>6059</v>
      </c>
      <c r="I1539" s="310">
        <v>40048.0</v>
      </c>
      <c r="J1539" s="308">
        <f>IFERROR(__xludf.DUMMYFUNCTION("SPLIT(I1539,""/"")"),23.0)</f>
        <v>23</v>
      </c>
      <c r="K1539" s="308">
        <f>IFERROR(__xludf.DUMMYFUNCTION("""COMPUTED_VALUE"""),8.0)</f>
        <v>8</v>
      </c>
      <c r="L1539" s="308">
        <f>IFERROR(__xludf.DUMMYFUNCTION("""COMPUTED_VALUE"""),2009.0)</f>
        <v>2009</v>
      </c>
      <c r="M1539" s="308" t="s">
        <v>6060</v>
      </c>
      <c r="N1539" s="308"/>
      <c r="O1539" s="312" t="s">
        <v>36101</v>
      </c>
      <c r="P1539" s="308" t="s">
        <v>6061</v>
      </c>
      <c r="Q1539" s="308"/>
      <c r="R1539" s="308"/>
      <c r="S1539" s="315" t="s">
        <v>100</v>
      </c>
      <c r="T1539" s="311" t="s">
        <v>34208</v>
      </c>
      <c r="U1539" s="308" t="s">
        <v>941</v>
      </c>
      <c r="V1539" s="312"/>
    </row>
    <row r="1540">
      <c r="A1540" s="308">
        <v>1539.0</v>
      </c>
      <c r="B1540" s="308">
        <v>4754.0</v>
      </c>
      <c r="C1540" s="308">
        <v>1557.0</v>
      </c>
      <c r="D1540" s="308">
        <f>IFERROR(__xludf.DUMMYFUNCTION("SPLIT(C1540,""-"")"),1557.0)</f>
        <v>1557</v>
      </c>
      <c r="E1540" s="311"/>
      <c r="F1540" s="309" t="s">
        <v>34</v>
      </c>
      <c r="G1540" s="308"/>
      <c r="H1540" s="308" t="s">
        <v>6062</v>
      </c>
      <c r="I1540" s="316">
        <v>2009.0</v>
      </c>
      <c r="J1540" s="308"/>
      <c r="K1540" s="308"/>
      <c r="L1540" s="311">
        <v>2009.0</v>
      </c>
      <c r="M1540" s="308" t="s">
        <v>6063</v>
      </c>
      <c r="N1540" s="308"/>
      <c r="O1540" s="312" t="s">
        <v>36101</v>
      </c>
      <c r="P1540" s="308" t="s">
        <v>36160</v>
      </c>
      <c r="Q1540" s="308"/>
      <c r="R1540" s="308"/>
      <c r="S1540" s="308" t="s">
        <v>81</v>
      </c>
      <c r="T1540" s="308" t="s">
        <v>34264</v>
      </c>
      <c r="U1540" s="308"/>
      <c r="V1540" s="312"/>
    </row>
    <row r="1541">
      <c r="A1541" s="308">
        <v>1540.0</v>
      </c>
      <c r="B1541" s="308">
        <v>4755.0</v>
      </c>
      <c r="C1541" s="308">
        <v>1558.0</v>
      </c>
      <c r="D1541" s="308">
        <f>IFERROR(__xludf.DUMMYFUNCTION("SPLIT(C1541,""-"")"),1558.0)</f>
        <v>1558</v>
      </c>
      <c r="E1541" s="311"/>
      <c r="F1541" s="309" t="s">
        <v>34</v>
      </c>
      <c r="G1541" s="308"/>
      <c r="H1541" s="308" t="s">
        <v>6064</v>
      </c>
      <c r="I1541" s="316">
        <v>2009.0</v>
      </c>
      <c r="J1541" s="308"/>
      <c r="K1541" s="308"/>
      <c r="L1541" s="311">
        <v>2009.0</v>
      </c>
      <c r="M1541" s="308" t="s">
        <v>6065</v>
      </c>
      <c r="N1541" s="308"/>
      <c r="O1541" s="312" t="s">
        <v>635</v>
      </c>
      <c r="P1541" s="308" t="s">
        <v>6066</v>
      </c>
      <c r="Q1541" s="308"/>
      <c r="R1541" s="308"/>
      <c r="S1541" s="308" t="s">
        <v>81</v>
      </c>
      <c r="T1541" s="308" t="s">
        <v>34264</v>
      </c>
      <c r="U1541" s="308"/>
      <c r="V1541" s="312"/>
    </row>
    <row r="1542">
      <c r="A1542" s="308">
        <v>1541.0</v>
      </c>
      <c r="B1542" s="308">
        <v>4756.0</v>
      </c>
      <c r="C1542" s="308">
        <v>1559.0</v>
      </c>
      <c r="D1542" s="308">
        <f>IFERROR(__xludf.DUMMYFUNCTION("SPLIT(C1542,""-"")"),1559.0)</f>
        <v>1559</v>
      </c>
      <c r="E1542" s="311"/>
      <c r="F1542" s="317" t="s">
        <v>39</v>
      </c>
      <c r="G1542" s="308"/>
      <c r="H1542" s="308" t="s">
        <v>6067</v>
      </c>
      <c r="I1542" s="316" t="s">
        <v>36161</v>
      </c>
      <c r="J1542" s="319" t="str">
        <f>IFERROR(__xludf.DUMMYFUNCTION("SPLIT(I1542,""/"")"),"#REF!")</f>
        <v>#REF!</v>
      </c>
      <c r="K1542" s="308"/>
      <c r="L1542" s="311" t="s">
        <v>79</v>
      </c>
      <c r="M1542" s="308" t="s">
        <v>6068</v>
      </c>
      <c r="N1542" s="308"/>
      <c r="O1542" s="312" t="s">
        <v>635</v>
      </c>
      <c r="P1542" s="308" t="s">
        <v>6069</v>
      </c>
      <c r="Q1542" s="308"/>
      <c r="R1542" s="308"/>
      <c r="S1542" s="308" t="s">
        <v>81</v>
      </c>
      <c r="T1542" s="311" t="s">
        <v>73</v>
      </c>
      <c r="U1542" s="312"/>
      <c r="V1542" s="312"/>
    </row>
    <row r="1543">
      <c r="A1543" s="308">
        <v>1542.0</v>
      </c>
      <c r="B1543" s="308">
        <v>4757.0</v>
      </c>
      <c r="C1543" s="308">
        <v>1560.0</v>
      </c>
      <c r="D1543" s="308">
        <f>IFERROR(__xludf.DUMMYFUNCTION("SPLIT(C1543,""-"")"),1560.0)</f>
        <v>1560</v>
      </c>
      <c r="E1543" s="311"/>
      <c r="F1543" s="309" t="s">
        <v>34</v>
      </c>
      <c r="G1543" s="308"/>
      <c r="H1543" s="308" t="s">
        <v>6070</v>
      </c>
      <c r="I1543" s="316">
        <v>2009.0</v>
      </c>
      <c r="J1543" s="319"/>
      <c r="K1543" s="308"/>
      <c r="L1543" s="311">
        <v>2009.0</v>
      </c>
      <c r="M1543" s="308" t="s">
        <v>6071</v>
      </c>
      <c r="N1543" s="308"/>
      <c r="O1543" s="312" t="s">
        <v>6072</v>
      </c>
      <c r="P1543" s="308" t="s">
        <v>1872</v>
      </c>
      <c r="Q1543" s="308"/>
      <c r="R1543" s="308"/>
      <c r="S1543" s="315" t="s">
        <v>100</v>
      </c>
      <c r="T1543" s="311" t="s">
        <v>34208</v>
      </c>
      <c r="U1543" s="308" t="s">
        <v>530</v>
      </c>
      <c r="V1543" s="312"/>
    </row>
    <row r="1544">
      <c r="A1544" s="308">
        <v>1543.0</v>
      </c>
      <c r="B1544" s="308">
        <v>4758.0</v>
      </c>
      <c r="C1544" s="308">
        <v>1561.0</v>
      </c>
      <c r="D1544" s="308">
        <f>IFERROR(__xludf.DUMMYFUNCTION("SPLIT(C1544,""-"")"),1561.0)</f>
        <v>1561</v>
      </c>
      <c r="E1544" s="311"/>
      <c r="F1544" s="317" t="s">
        <v>37</v>
      </c>
      <c r="G1544" s="308"/>
      <c r="H1544" s="308" t="s">
        <v>6073</v>
      </c>
      <c r="I1544" s="314">
        <v>41611.0</v>
      </c>
      <c r="J1544" s="319">
        <f>IFERROR(__xludf.DUMMYFUNCTION("SPLIT(I1544,""/"")"),3.0)</f>
        <v>3</v>
      </c>
      <c r="K1544" s="308">
        <f>IFERROR(__xludf.DUMMYFUNCTION("""COMPUTED_VALUE"""),12.0)</f>
        <v>12</v>
      </c>
      <c r="L1544" s="308">
        <f>IFERROR(__xludf.DUMMYFUNCTION("""COMPUTED_VALUE"""),2013.0)</f>
        <v>2013</v>
      </c>
      <c r="M1544" s="308" t="s">
        <v>6074</v>
      </c>
      <c r="N1544" s="308"/>
      <c r="O1544" s="312" t="s">
        <v>36162</v>
      </c>
      <c r="P1544" s="308" t="s">
        <v>6076</v>
      </c>
      <c r="Q1544" s="308"/>
      <c r="R1544" s="308"/>
      <c r="S1544" s="308" t="s">
        <v>81</v>
      </c>
      <c r="T1544" s="308" t="s">
        <v>75</v>
      </c>
      <c r="U1544" s="308"/>
      <c r="V1544" s="312"/>
    </row>
    <row r="1545">
      <c r="A1545" s="308">
        <v>1544.0</v>
      </c>
      <c r="B1545" s="308">
        <v>4759.0</v>
      </c>
      <c r="C1545" s="308">
        <v>1562.0</v>
      </c>
      <c r="D1545" s="308">
        <f>IFERROR(__xludf.DUMMYFUNCTION("SPLIT(C1545,""-"")"),1562.0)</f>
        <v>1562</v>
      </c>
      <c r="E1545" s="311"/>
      <c r="F1545" s="317" t="s">
        <v>37</v>
      </c>
      <c r="G1545" s="308"/>
      <c r="H1545" s="308" t="s">
        <v>6077</v>
      </c>
      <c r="I1545" s="310">
        <v>41660.0</v>
      </c>
      <c r="J1545" s="319">
        <f>IFERROR(__xludf.DUMMYFUNCTION("SPLIT(I1545,""/"")"),21.0)</f>
        <v>21</v>
      </c>
      <c r="K1545" s="308">
        <f>IFERROR(__xludf.DUMMYFUNCTION("""COMPUTED_VALUE"""),1.0)</f>
        <v>1</v>
      </c>
      <c r="L1545" s="308">
        <f>IFERROR(__xludf.DUMMYFUNCTION("""COMPUTED_VALUE"""),2014.0)</f>
        <v>2014</v>
      </c>
      <c r="M1545" s="308" t="s">
        <v>6078</v>
      </c>
      <c r="N1545" s="308"/>
      <c r="O1545" s="312" t="s">
        <v>6079</v>
      </c>
      <c r="P1545" s="308" t="s">
        <v>6080</v>
      </c>
      <c r="Q1545" s="308"/>
      <c r="R1545" s="308"/>
      <c r="S1545" s="308" t="s">
        <v>81</v>
      </c>
      <c r="T1545" s="308" t="s">
        <v>75</v>
      </c>
      <c r="U1545" s="308"/>
      <c r="V1545" s="312"/>
    </row>
    <row r="1546">
      <c r="A1546" s="308">
        <v>1545.0</v>
      </c>
      <c r="B1546" s="308">
        <v>4760.0</v>
      </c>
      <c r="C1546" s="308" t="s">
        <v>6081</v>
      </c>
      <c r="D1546" s="308">
        <f>IFERROR(__xludf.DUMMYFUNCTION("SPLIT(C1546,""-"")"),1563.0)</f>
        <v>1563</v>
      </c>
      <c r="E1546" s="308" t="str">
        <f>IFERROR(__xludf.DUMMYFUNCTION("""COMPUTED_VALUE"""),"K")</f>
        <v>K</v>
      </c>
      <c r="F1546" s="309" t="s">
        <v>34</v>
      </c>
      <c r="G1546" s="308"/>
      <c r="H1546" s="308" t="s">
        <v>6082</v>
      </c>
      <c r="I1546" s="310">
        <v>40030.0</v>
      </c>
      <c r="J1546" s="319">
        <f>IFERROR(__xludf.DUMMYFUNCTION("SPLIT(I1546,""/"")"),5.0)</f>
        <v>5</v>
      </c>
      <c r="K1546" s="308">
        <f>IFERROR(__xludf.DUMMYFUNCTION("""COMPUTED_VALUE"""),8.0)</f>
        <v>8</v>
      </c>
      <c r="L1546" s="308">
        <f>IFERROR(__xludf.DUMMYFUNCTION("""COMPUTED_VALUE"""),2009.0)</f>
        <v>2009</v>
      </c>
      <c r="M1546" s="308" t="s">
        <v>6083</v>
      </c>
      <c r="N1546" s="308"/>
      <c r="O1546" s="312" t="s">
        <v>6084</v>
      </c>
      <c r="P1546" s="308" t="s">
        <v>1872</v>
      </c>
      <c r="Q1546" s="308"/>
      <c r="R1546" s="308" t="s">
        <v>2743</v>
      </c>
      <c r="S1546" s="315" t="s">
        <v>100</v>
      </c>
      <c r="T1546" s="311" t="s">
        <v>34208</v>
      </c>
      <c r="U1546" s="308" t="s">
        <v>530</v>
      </c>
      <c r="V1546" s="312"/>
    </row>
    <row r="1547">
      <c r="A1547" s="308">
        <v>1546.0</v>
      </c>
      <c r="B1547" s="308">
        <v>4761.0</v>
      </c>
      <c r="C1547" s="308">
        <v>1564.0</v>
      </c>
      <c r="D1547" s="308">
        <f>IFERROR(__xludf.DUMMYFUNCTION("SPLIT(C1547,""-"")"),1564.0)</f>
        <v>1564</v>
      </c>
      <c r="E1547" s="311"/>
      <c r="F1547" s="309" t="s">
        <v>34</v>
      </c>
      <c r="G1547" s="308"/>
      <c r="H1547" s="308" t="s">
        <v>6085</v>
      </c>
      <c r="I1547" s="316">
        <v>2011.0</v>
      </c>
      <c r="J1547" s="319"/>
      <c r="K1547" s="308"/>
      <c r="L1547" s="311">
        <v>2011.0</v>
      </c>
      <c r="M1547" s="308" t="s">
        <v>6086</v>
      </c>
      <c r="N1547" s="308"/>
      <c r="O1547" s="312" t="s">
        <v>36163</v>
      </c>
      <c r="P1547" s="308" t="s">
        <v>35119</v>
      </c>
      <c r="Q1547" s="308"/>
      <c r="R1547" s="308"/>
      <c r="S1547" s="308" t="s">
        <v>49</v>
      </c>
      <c r="T1547" s="315" t="s">
        <v>69</v>
      </c>
      <c r="U1547" s="308" t="s">
        <v>530</v>
      </c>
      <c r="V1547" s="312"/>
    </row>
    <row r="1548">
      <c r="A1548" s="308">
        <v>1547.0</v>
      </c>
      <c r="B1548" s="308">
        <v>4762.0</v>
      </c>
      <c r="C1548" s="308">
        <v>1565.0</v>
      </c>
      <c r="D1548" s="308">
        <f>IFERROR(__xludf.DUMMYFUNCTION("SPLIT(C1548,""-"")"),1565.0)</f>
        <v>1565</v>
      </c>
      <c r="E1548" s="311"/>
      <c r="F1548" s="317" t="s">
        <v>37</v>
      </c>
      <c r="G1548" s="308"/>
      <c r="H1548" s="308" t="s">
        <v>6088</v>
      </c>
      <c r="I1548" s="314">
        <v>41566.0</v>
      </c>
      <c r="J1548" s="319">
        <f>IFERROR(__xludf.DUMMYFUNCTION("SPLIT(I1548,""/"")"),19.0)</f>
        <v>19</v>
      </c>
      <c r="K1548" s="308">
        <f>IFERROR(__xludf.DUMMYFUNCTION("""COMPUTED_VALUE"""),10.0)</f>
        <v>10</v>
      </c>
      <c r="L1548" s="308">
        <f>IFERROR(__xludf.DUMMYFUNCTION("""COMPUTED_VALUE"""),2013.0)</f>
        <v>2013</v>
      </c>
      <c r="M1548" s="308" t="s">
        <v>6089</v>
      </c>
      <c r="N1548" s="308"/>
      <c r="O1548" s="312" t="s">
        <v>36164</v>
      </c>
      <c r="P1548" s="308" t="s">
        <v>36165</v>
      </c>
      <c r="Q1548" s="308"/>
      <c r="R1548" s="308"/>
      <c r="S1548" s="308" t="s">
        <v>81</v>
      </c>
      <c r="T1548" s="308" t="s">
        <v>75</v>
      </c>
      <c r="U1548" s="308" t="s">
        <v>2692</v>
      </c>
      <c r="V1548" s="312"/>
    </row>
    <row r="1549">
      <c r="A1549" s="308">
        <v>1548.0</v>
      </c>
      <c r="B1549" s="308">
        <v>4763.0</v>
      </c>
      <c r="C1549" s="308">
        <v>1566.0</v>
      </c>
      <c r="D1549" s="308">
        <f>IFERROR(__xludf.DUMMYFUNCTION("SPLIT(C1549,""-"")"),1566.0)</f>
        <v>1566</v>
      </c>
      <c r="E1549" s="311"/>
      <c r="F1549" s="317" t="s">
        <v>37</v>
      </c>
      <c r="G1549" s="308"/>
      <c r="H1549" s="308" t="s">
        <v>6092</v>
      </c>
      <c r="I1549" s="310">
        <v>39505.0</v>
      </c>
      <c r="J1549" s="319">
        <f>IFERROR(__xludf.DUMMYFUNCTION("SPLIT(I1549,""/"")"),27.0)</f>
        <v>27</v>
      </c>
      <c r="K1549" s="308">
        <f>IFERROR(__xludf.DUMMYFUNCTION("""COMPUTED_VALUE"""),2.0)</f>
        <v>2</v>
      </c>
      <c r="L1549" s="308">
        <f>IFERROR(__xludf.DUMMYFUNCTION("""COMPUTED_VALUE"""),2008.0)</f>
        <v>2008</v>
      </c>
      <c r="M1549" s="308" t="s">
        <v>6093</v>
      </c>
      <c r="N1549" s="308"/>
      <c r="O1549" s="312" t="s">
        <v>6094</v>
      </c>
      <c r="P1549" s="308" t="s">
        <v>6095</v>
      </c>
      <c r="Q1549" s="308"/>
      <c r="R1549" s="308"/>
      <c r="S1549" s="308" t="s">
        <v>81</v>
      </c>
      <c r="T1549" s="308" t="s">
        <v>75</v>
      </c>
      <c r="U1549" s="308"/>
      <c r="V1549" s="312"/>
    </row>
    <row r="1550">
      <c r="A1550" s="308">
        <v>1549.0</v>
      </c>
      <c r="B1550" s="308">
        <v>4764.0</v>
      </c>
      <c r="C1550" s="308">
        <v>1567.0</v>
      </c>
      <c r="D1550" s="308">
        <f>IFERROR(__xludf.DUMMYFUNCTION("SPLIT(C1550,""-"")"),1567.0)</f>
        <v>1567</v>
      </c>
      <c r="E1550" s="311"/>
      <c r="F1550" s="317" t="s">
        <v>37</v>
      </c>
      <c r="G1550" s="308"/>
      <c r="H1550" s="308" t="s">
        <v>6096</v>
      </c>
      <c r="I1550" s="310">
        <v>41288.0</v>
      </c>
      <c r="J1550" s="319">
        <f>IFERROR(__xludf.DUMMYFUNCTION("SPLIT(I1550,""/"")"),14.0)</f>
        <v>14</v>
      </c>
      <c r="K1550" s="308">
        <f>IFERROR(__xludf.DUMMYFUNCTION("""COMPUTED_VALUE"""),1.0)</f>
        <v>1</v>
      </c>
      <c r="L1550" s="308">
        <f>IFERROR(__xludf.DUMMYFUNCTION("""COMPUTED_VALUE"""),2013.0)</f>
        <v>2013</v>
      </c>
      <c r="M1550" s="308" t="s">
        <v>6097</v>
      </c>
      <c r="N1550" s="308"/>
      <c r="O1550" s="312" t="s">
        <v>36166</v>
      </c>
      <c r="P1550" s="308" t="s">
        <v>6099</v>
      </c>
      <c r="Q1550" s="308"/>
      <c r="R1550" s="308"/>
      <c r="S1550" s="308" t="s">
        <v>49</v>
      </c>
      <c r="T1550" s="311" t="s">
        <v>51</v>
      </c>
      <c r="U1550" s="308"/>
      <c r="V1550" s="312"/>
    </row>
    <row r="1551">
      <c r="A1551" s="308">
        <v>1550.0</v>
      </c>
      <c r="B1551" s="308">
        <v>4765.0</v>
      </c>
      <c r="C1551" s="308" t="s">
        <v>6100</v>
      </c>
      <c r="D1551" s="308">
        <f>IFERROR(__xludf.DUMMYFUNCTION("SPLIT(C1551,""-"")"),1568.0)</f>
        <v>1568</v>
      </c>
      <c r="E1551" s="308" t="str">
        <f>IFERROR(__xludf.DUMMYFUNCTION("""COMPUTED_VALUE"""),"P")</f>
        <v>P</v>
      </c>
      <c r="F1551" s="312" t="s">
        <v>37</v>
      </c>
      <c r="G1551" s="308"/>
      <c r="H1551" s="308" t="s">
        <v>6101</v>
      </c>
      <c r="I1551" s="314">
        <v>41562.0</v>
      </c>
      <c r="J1551" s="319">
        <f>IFERROR(__xludf.DUMMYFUNCTION("SPLIT(I1551,""/"")"),15.0)</f>
        <v>15</v>
      </c>
      <c r="K1551" s="308">
        <f>IFERROR(__xludf.DUMMYFUNCTION("""COMPUTED_VALUE"""),10.0)</f>
        <v>10</v>
      </c>
      <c r="L1551" s="308">
        <f>IFERROR(__xludf.DUMMYFUNCTION("""COMPUTED_VALUE"""),2013.0)</f>
        <v>2013</v>
      </c>
      <c r="M1551" s="308" t="s">
        <v>6102</v>
      </c>
      <c r="N1551" s="308"/>
      <c r="O1551" s="312" t="s">
        <v>36167</v>
      </c>
      <c r="P1551" s="308" t="s">
        <v>6104</v>
      </c>
      <c r="Q1551" s="308"/>
      <c r="R1551" s="308"/>
      <c r="S1551" s="308" t="s">
        <v>81</v>
      </c>
      <c r="T1551" s="311" t="s">
        <v>83</v>
      </c>
      <c r="U1551" s="308" t="s">
        <v>6105</v>
      </c>
      <c r="V1551" s="312"/>
    </row>
    <row r="1552">
      <c r="A1552" s="308">
        <v>1551.0</v>
      </c>
      <c r="B1552" s="308">
        <v>4766.0</v>
      </c>
      <c r="C1552" s="308">
        <v>1569.0</v>
      </c>
      <c r="D1552" s="308">
        <f>IFERROR(__xludf.DUMMYFUNCTION("SPLIT(C1552,""-"")"),1569.0)</f>
        <v>1569</v>
      </c>
      <c r="E1552" s="311"/>
      <c r="F1552" s="317" t="s">
        <v>37</v>
      </c>
      <c r="G1552" s="308"/>
      <c r="H1552" s="308" t="s">
        <v>6106</v>
      </c>
      <c r="I1552" s="314">
        <v>41625.0</v>
      </c>
      <c r="J1552" s="319">
        <f>IFERROR(__xludf.DUMMYFUNCTION("SPLIT(I1552,""/"")"),17.0)</f>
        <v>17</v>
      </c>
      <c r="K1552" s="308">
        <f>IFERROR(__xludf.DUMMYFUNCTION("""COMPUTED_VALUE"""),12.0)</f>
        <v>12</v>
      </c>
      <c r="L1552" s="308">
        <f>IFERROR(__xludf.DUMMYFUNCTION("""COMPUTED_VALUE"""),2013.0)</f>
        <v>2013</v>
      </c>
      <c r="M1552" s="308" t="s">
        <v>6107</v>
      </c>
      <c r="N1552" s="308"/>
      <c r="O1552" s="312" t="s">
        <v>36168</v>
      </c>
      <c r="P1552" s="308" t="s">
        <v>6109</v>
      </c>
      <c r="Q1552" s="308"/>
      <c r="R1552" s="308"/>
      <c r="S1552" s="308" t="s">
        <v>81</v>
      </c>
      <c r="T1552" s="308" t="s">
        <v>34264</v>
      </c>
      <c r="U1552" s="308" t="s">
        <v>3407</v>
      </c>
      <c r="V1552" s="312"/>
    </row>
    <row r="1553">
      <c r="A1553" s="308">
        <v>1552.0</v>
      </c>
      <c r="B1553" s="308">
        <v>4767.0</v>
      </c>
      <c r="C1553" s="308">
        <v>1570.0</v>
      </c>
      <c r="D1553" s="308">
        <f>IFERROR(__xludf.DUMMYFUNCTION("SPLIT(C1553,""-"")"),1570.0)</f>
        <v>1570</v>
      </c>
      <c r="E1553" s="311"/>
      <c r="F1553" s="309" t="s">
        <v>34</v>
      </c>
      <c r="G1553" s="308"/>
      <c r="H1553" s="308" t="s">
        <v>6110</v>
      </c>
      <c r="I1553" s="316">
        <v>2009.0</v>
      </c>
      <c r="J1553" s="319"/>
      <c r="K1553" s="308"/>
      <c r="L1553" s="311">
        <v>2009.0</v>
      </c>
      <c r="M1553" s="308" t="s">
        <v>6111</v>
      </c>
      <c r="N1553" s="308"/>
      <c r="O1553" s="312" t="s">
        <v>6112</v>
      </c>
      <c r="P1553" s="308" t="s">
        <v>6113</v>
      </c>
      <c r="Q1553" s="308"/>
      <c r="R1553" s="308"/>
      <c r="S1553" s="308" t="s">
        <v>81</v>
      </c>
      <c r="T1553" s="308" t="s">
        <v>34264</v>
      </c>
      <c r="U1553" s="308"/>
      <c r="V1553" s="312"/>
    </row>
    <row r="1554">
      <c r="A1554" s="308">
        <v>1553.0</v>
      </c>
      <c r="B1554" s="308">
        <v>4768.0</v>
      </c>
      <c r="C1554" s="308">
        <v>1571.0</v>
      </c>
      <c r="D1554" s="308">
        <f>IFERROR(__xludf.DUMMYFUNCTION("SPLIT(C1554,""-"")"),1571.0)</f>
        <v>1571</v>
      </c>
      <c r="E1554" s="311"/>
      <c r="F1554" s="309" t="s">
        <v>34</v>
      </c>
      <c r="G1554" s="308"/>
      <c r="H1554" s="308" t="s">
        <v>6114</v>
      </c>
      <c r="I1554" s="314">
        <v>40804.0</v>
      </c>
      <c r="J1554" s="319">
        <f>IFERROR(__xludf.DUMMYFUNCTION("SPLIT(I1554,""/"")"),18.0)</f>
        <v>18</v>
      </c>
      <c r="K1554" s="308">
        <f>IFERROR(__xludf.DUMMYFUNCTION("""COMPUTED_VALUE"""),9.0)</f>
        <v>9</v>
      </c>
      <c r="L1554" s="308">
        <f>IFERROR(__xludf.DUMMYFUNCTION("""COMPUTED_VALUE"""),2011.0)</f>
        <v>2011</v>
      </c>
      <c r="M1554" s="308" t="s">
        <v>36169</v>
      </c>
      <c r="N1554" s="308"/>
      <c r="O1554" s="312" t="s">
        <v>6116</v>
      </c>
      <c r="P1554" s="308" t="s">
        <v>6117</v>
      </c>
      <c r="Q1554" s="308"/>
      <c r="R1554" s="308"/>
      <c r="S1554" s="308" t="s">
        <v>81</v>
      </c>
      <c r="T1554" s="308" t="s">
        <v>34264</v>
      </c>
      <c r="U1554" s="308"/>
      <c r="V1554" s="312"/>
    </row>
    <row r="1555">
      <c r="A1555" s="308">
        <v>1554.0</v>
      </c>
      <c r="B1555" s="308">
        <v>4769.0</v>
      </c>
      <c r="C1555" s="308">
        <v>1572.0</v>
      </c>
      <c r="D1555" s="308">
        <f>IFERROR(__xludf.DUMMYFUNCTION("SPLIT(C1555,""-"")"),1572.0)</f>
        <v>1572</v>
      </c>
      <c r="E1555" s="311"/>
      <c r="F1555" s="309" t="s">
        <v>34</v>
      </c>
      <c r="G1555" s="308"/>
      <c r="H1555" s="308" t="s">
        <v>6118</v>
      </c>
      <c r="I1555" s="320">
        <v>40026.0</v>
      </c>
      <c r="J1555" s="319"/>
      <c r="K1555" s="311">
        <v>8.0</v>
      </c>
      <c r="L1555" s="311">
        <v>2009.0</v>
      </c>
      <c r="M1555" s="308" t="s">
        <v>6119</v>
      </c>
      <c r="N1555" s="308"/>
      <c r="O1555" s="312" t="s">
        <v>6120</v>
      </c>
      <c r="P1555" s="308" t="s">
        <v>6121</v>
      </c>
      <c r="Q1555" s="308"/>
      <c r="R1555" s="308"/>
      <c r="S1555" s="308" t="s">
        <v>81</v>
      </c>
      <c r="T1555" s="308" t="s">
        <v>34264</v>
      </c>
      <c r="U1555" s="308"/>
      <c r="V1555" s="312"/>
    </row>
    <row r="1556">
      <c r="A1556" s="308">
        <v>1555.0</v>
      </c>
      <c r="B1556" s="308">
        <v>4770.0</v>
      </c>
      <c r="C1556" s="308" t="s">
        <v>6122</v>
      </c>
      <c r="D1556" s="308">
        <f>IFERROR(__xludf.DUMMYFUNCTION("SPLIT(C1556,""-"")"),1573.0)</f>
        <v>1573</v>
      </c>
      <c r="E1556" s="308" t="str">
        <f>IFERROR(__xludf.DUMMYFUNCTION("""COMPUTED_VALUE"""),"K")</f>
        <v>K</v>
      </c>
      <c r="F1556" s="309" t="s">
        <v>34</v>
      </c>
      <c r="G1556" s="308"/>
      <c r="H1556" s="308" t="s">
        <v>6123</v>
      </c>
      <c r="I1556" s="314">
        <v>40024.0</v>
      </c>
      <c r="J1556" s="319">
        <f>IFERROR(__xludf.DUMMYFUNCTION("SPLIT(I1556,""/"")"),30.0)</f>
        <v>30</v>
      </c>
      <c r="K1556" s="308">
        <f>IFERROR(__xludf.DUMMYFUNCTION("""COMPUTED_VALUE"""),7.0)</f>
        <v>7</v>
      </c>
      <c r="L1556" s="308">
        <f>IFERROR(__xludf.DUMMYFUNCTION("""COMPUTED_VALUE"""),2009.0)</f>
        <v>2009</v>
      </c>
      <c r="M1556" s="308" t="s">
        <v>6124</v>
      </c>
      <c r="N1556" s="308"/>
      <c r="O1556" s="312" t="s">
        <v>6125</v>
      </c>
      <c r="P1556" s="308" t="s">
        <v>36170</v>
      </c>
      <c r="Q1556" s="308"/>
      <c r="R1556" s="308" t="s">
        <v>1496</v>
      </c>
      <c r="S1556" s="308" t="s">
        <v>81</v>
      </c>
      <c r="T1556" s="308" t="s">
        <v>75</v>
      </c>
      <c r="U1556" s="308" t="s">
        <v>530</v>
      </c>
      <c r="V1556" s="312"/>
    </row>
    <row r="1557">
      <c r="A1557" s="308">
        <v>1556.0</v>
      </c>
      <c r="B1557" s="308">
        <v>4771.0</v>
      </c>
      <c r="C1557" s="308">
        <v>1574.0</v>
      </c>
      <c r="D1557" s="308">
        <f>IFERROR(__xludf.DUMMYFUNCTION("SPLIT(C1557,""-"")"),1574.0)</f>
        <v>1574</v>
      </c>
      <c r="E1557" s="311"/>
      <c r="F1557" s="309" t="s">
        <v>34</v>
      </c>
      <c r="G1557" s="308"/>
      <c r="H1557" s="308" t="s">
        <v>6127</v>
      </c>
      <c r="I1557" s="314">
        <v>40188.0</v>
      </c>
      <c r="J1557" s="319">
        <f>IFERROR(__xludf.DUMMYFUNCTION("SPLIT(I1557,""/"")"),10.0)</f>
        <v>10</v>
      </c>
      <c r="K1557" s="308">
        <f>IFERROR(__xludf.DUMMYFUNCTION("""COMPUTED_VALUE"""),1.0)</f>
        <v>1</v>
      </c>
      <c r="L1557" s="308">
        <f>IFERROR(__xludf.DUMMYFUNCTION("""COMPUTED_VALUE"""),2010.0)</f>
        <v>2010</v>
      </c>
      <c r="M1557" s="308" t="s">
        <v>6128</v>
      </c>
      <c r="N1557" s="308"/>
      <c r="O1557" s="312" t="s">
        <v>36171</v>
      </c>
      <c r="P1557" s="308" t="s">
        <v>6130</v>
      </c>
      <c r="Q1557" s="308"/>
      <c r="R1557" s="308"/>
      <c r="S1557" s="308" t="s">
        <v>49</v>
      </c>
      <c r="T1557" s="308" t="s">
        <v>51</v>
      </c>
      <c r="U1557" s="308"/>
      <c r="V1557" s="312"/>
    </row>
    <row r="1558">
      <c r="A1558" s="308">
        <v>1557.0</v>
      </c>
      <c r="B1558" s="308">
        <v>4772.0</v>
      </c>
      <c r="C1558" s="308">
        <v>1575.0</v>
      </c>
      <c r="D1558" s="308">
        <f>IFERROR(__xludf.DUMMYFUNCTION("SPLIT(C1558,""-"")"),1575.0)</f>
        <v>1575</v>
      </c>
      <c r="E1558" s="311"/>
      <c r="F1558" s="309" t="s">
        <v>34</v>
      </c>
      <c r="G1558" s="308"/>
      <c r="H1558" s="308" t="s">
        <v>6131</v>
      </c>
      <c r="I1558" s="316">
        <v>2010.0</v>
      </c>
      <c r="J1558" s="319"/>
      <c r="K1558" s="308"/>
      <c r="L1558" s="311">
        <v>2010.0</v>
      </c>
      <c r="M1558" s="308" t="s">
        <v>6132</v>
      </c>
      <c r="N1558" s="308"/>
      <c r="O1558" s="312" t="s">
        <v>635</v>
      </c>
      <c r="P1558" s="308" t="s">
        <v>6133</v>
      </c>
      <c r="Q1558" s="308"/>
      <c r="R1558" s="308"/>
      <c r="S1558" s="308" t="s">
        <v>81</v>
      </c>
      <c r="T1558" s="308" t="s">
        <v>34264</v>
      </c>
      <c r="U1558" s="308"/>
      <c r="V1558" s="312"/>
    </row>
    <row r="1559">
      <c r="A1559" s="308">
        <v>1558.0</v>
      </c>
      <c r="B1559" s="308">
        <v>4773.0</v>
      </c>
      <c r="C1559" s="308">
        <v>1576.0</v>
      </c>
      <c r="D1559" s="308">
        <f>IFERROR(__xludf.DUMMYFUNCTION("SPLIT(C1559,""-"")"),1576.0)</f>
        <v>1576</v>
      </c>
      <c r="E1559" s="311"/>
      <c r="F1559" s="309" t="s">
        <v>34</v>
      </c>
      <c r="G1559" s="308"/>
      <c r="H1559" s="308" t="s">
        <v>6134</v>
      </c>
      <c r="I1559" s="320">
        <v>40087.0</v>
      </c>
      <c r="J1559" s="319"/>
      <c r="K1559" s="311">
        <v>10.0</v>
      </c>
      <c r="L1559" s="311">
        <v>2019.0</v>
      </c>
      <c r="M1559" s="308" t="s">
        <v>6135</v>
      </c>
      <c r="N1559" s="308"/>
      <c r="O1559" s="312" t="s">
        <v>6136</v>
      </c>
      <c r="P1559" s="308" t="s">
        <v>6137</v>
      </c>
      <c r="Q1559" s="308"/>
      <c r="R1559" s="308"/>
      <c r="S1559" s="308" t="s">
        <v>81</v>
      </c>
      <c r="T1559" s="308" t="s">
        <v>34264</v>
      </c>
      <c r="U1559" s="308"/>
      <c r="V1559" s="312"/>
    </row>
    <row r="1560">
      <c r="A1560" s="308">
        <v>1559.0</v>
      </c>
      <c r="B1560" s="308">
        <v>4774.0</v>
      </c>
      <c r="C1560" s="308">
        <v>1577.0</v>
      </c>
      <c r="D1560" s="308">
        <f>IFERROR(__xludf.DUMMYFUNCTION("SPLIT(C1560,""-"")"),1577.0)</f>
        <v>1577</v>
      </c>
      <c r="E1560" s="311"/>
      <c r="F1560" s="309" t="s">
        <v>34</v>
      </c>
      <c r="G1560" s="308"/>
      <c r="H1560" s="308" t="s">
        <v>6138</v>
      </c>
      <c r="I1560" s="314">
        <v>40874.0</v>
      </c>
      <c r="J1560" s="319">
        <f>IFERROR(__xludf.DUMMYFUNCTION("SPLIT(I1560,""/"")"),27.0)</f>
        <v>27</v>
      </c>
      <c r="K1560" s="308">
        <f>IFERROR(__xludf.DUMMYFUNCTION("""COMPUTED_VALUE"""),11.0)</f>
        <v>11</v>
      </c>
      <c r="L1560" s="308">
        <f>IFERROR(__xludf.DUMMYFUNCTION("""COMPUTED_VALUE"""),2011.0)</f>
        <v>2011</v>
      </c>
      <c r="M1560" s="308" t="s">
        <v>6139</v>
      </c>
      <c r="N1560" s="308"/>
      <c r="O1560" s="312" t="s">
        <v>36101</v>
      </c>
      <c r="P1560" s="308" t="s">
        <v>6137</v>
      </c>
      <c r="Q1560" s="308"/>
      <c r="R1560" s="308"/>
      <c r="S1560" s="308" t="s">
        <v>81</v>
      </c>
      <c r="T1560" s="308" t="s">
        <v>34264</v>
      </c>
      <c r="U1560" s="308"/>
      <c r="V1560" s="312"/>
    </row>
    <row r="1561">
      <c r="A1561" s="308">
        <v>1560.0</v>
      </c>
      <c r="B1561" s="308">
        <v>4775.0</v>
      </c>
      <c r="C1561" s="308">
        <v>1578.0</v>
      </c>
      <c r="D1561" s="308">
        <f>IFERROR(__xludf.DUMMYFUNCTION("SPLIT(C1561,""-"")"),1578.0)</f>
        <v>1578</v>
      </c>
      <c r="E1561" s="311"/>
      <c r="F1561" s="309" t="s">
        <v>34</v>
      </c>
      <c r="G1561" s="308"/>
      <c r="H1561" s="308" t="s">
        <v>6140</v>
      </c>
      <c r="I1561" s="314">
        <v>40045.0</v>
      </c>
      <c r="J1561" s="319">
        <f>IFERROR(__xludf.DUMMYFUNCTION("SPLIT(I1561,""/"")"),20.0)</f>
        <v>20</v>
      </c>
      <c r="K1561" s="308">
        <f>IFERROR(__xludf.DUMMYFUNCTION("""COMPUTED_VALUE"""),8.0)</f>
        <v>8</v>
      </c>
      <c r="L1561" s="308">
        <f>IFERROR(__xludf.DUMMYFUNCTION("""COMPUTED_VALUE"""),2009.0)</f>
        <v>2009</v>
      </c>
      <c r="M1561" s="308" t="s">
        <v>6141</v>
      </c>
      <c r="N1561" s="308"/>
      <c r="O1561" s="312" t="s">
        <v>6142</v>
      </c>
      <c r="P1561" s="308" t="s">
        <v>841</v>
      </c>
      <c r="Q1561" s="308"/>
      <c r="R1561" s="308"/>
      <c r="S1561" s="308" t="s">
        <v>49</v>
      </c>
      <c r="T1561" s="311" t="s">
        <v>77</v>
      </c>
      <c r="U1561" s="308" t="s">
        <v>137</v>
      </c>
      <c r="V1561" s="312"/>
    </row>
    <row r="1562">
      <c r="A1562" s="308">
        <v>1561.0</v>
      </c>
      <c r="B1562" s="308">
        <v>4776.0</v>
      </c>
      <c r="C1562" s="308">
        <v>1579.0</v>
      </c>
      <c r="D1562" s="308">
        <f>IFERROR(__xludf.DUMMYFUNCTION("SPLIT(C1562,""-"")"),1579.0)</f>
        <v>1579</v>
      </c>
      <c r="E1562" s="311"/>
      <c r="F1562" s="309" t="s">
        <v>34</v>
      </c>
      <c r="G1562" s="308"/>
      <c r="H1562" s="308" t="s">
        <v>6143</v>
      </c>
      <c r="I1562" s="320">
        <v>40057.0</v>
      </c>
      <c r="J1562" s="319"/>
      <c r="K1562" s="311">
        <v>9.0</v>
      </c>
      <c r="L1562" s="311">
        <v>2009.0</v>
      </c>
      <c r="M1562" s="308" t="s">
        <v>36172</v>
      </c>
      <c r="N1562" s="308"/>
      <c r="O1562" s="312" t="s">
        <v>36101</v>
      </c>
      <c r="P1562" s="308" t="s">
        <v>6145</v>
      </c>
      <c r="Q1562" s="308"/>
      <c r="R1562" s="308"/>
      <c r="S1562" s="308" t="s">
        <v>81</v>
      </c>
      <c r="T1562" s="308" t="s">
        <v>34264</v>
      </c>
      <c r="U1562" s="308"/>
      <c r="V1562" s="312"/>
    </row>
    <row r="1563">
      <c r="A1563" s="308">
        <v>1562.0</v>
      </c>
      <c r="B1563" s="308">
        <v>4777.0</v>
      </c>
      <c r="C1563" s="308">
        <v>1580.0</v>
      </c>
      <c r="D1563" s="308">
        <f>IFERROR(__xludf.DUMMYFUNCTION("SPLIT(C1563,""-"")"),1580.0)</f>
        <v>1580</v>
      </c>
      <c r="E1563" s="311"/>
      <c r="F1563" s="309" t="s">
        <v>34</v>
      </c>
      <c r="G1563" s="308"/>
      <c r="H1563" s="308" t="s">
        <v>6146</v>
      </c>
      <c r="I1563" s="316">
        <v>2009.0</v>
      </c>
      <c r="J1563" s="319"/>
      <c r="K1563" s="308"/>
      <c r="L1563" s="311">
        <v>2009.0</v>
      </c>
      <c r="M1563" s="308" t="s">
        <v>6147</v>
      </c>
      <c r="N1563" s="308"/>
      <c r="O1563" s="312" t="s">
        <v>6148</v>
      </c>
      <c r="P1563" s="308" t="s">
        <v>1872</v>
      </c>
      <c r="Q1563" s="308"/>
      <c r="R1563" s="308"/>
      <c r="S1563" s="315" t="s">
        <v>100</v>
      </c>
      <c r="T1563" s="311" t="s">
        <v>34208</v>
      </c>
      <c r="U1563" s="308" t="s">
        <v>530</v>
      </c>
      <c r="V1563" s="312"/>
    </row>
    <row r="1564">
      <c r="A1564" s="308">
        <v>1563.0</v>
      </c>
      <c r="B1564" s="308">
        <v>4778.0</v>
      </c>
      <c r="C1564" s="308">
        <v>1581.0</v>
      </c>
      <c r="D1564" s="308">
        <f>IFERROR(__xludf.DUMMYFUNCTION("SPLIT(C1564,""-"")"),1581.0)</f>
        <v>1581</v>
      </c>
      <c r="E1564" s="311"/>
      <c r="F1564" s="309" t="s">
        <v>34</v>
      </c>
      <c r="G1564" s="308"/>
      <c r="H1564" s="308" t="s">
        <v>6149</v>
      </c>
      <c r="I1564" s="316" t="s">
        <v>36161</v>
      </c>
      <c r="J1564" s="319" t="str">
        <f>IFERROR(__xludf.DUMMYFUNCTION("SPLIT(I1564,""/"")"),"#REF!")</f>
        <v>#REF!</v>
      </c>
      <c r="K1564" s="308"/>
      <c r="L1564" s="311" t="s">
        <v>79</v>
      </c>
      <c r="M1564" s="308" t="s">
        <v>6150</v>
      </c>
      <c r="N1564" s="308"/>
      <c r="O1564" s="312" t="s">
        <v>635</v>
      </c>
      <c r="P1564" s="308" t="s">
        <v>6151</v>
      </c>
      <c r="Q1564" s="308"/>
      <c r="R1564" s="308"/>
      <c r="S1564" s="308" t="s">
        <v>81</v>
      </c>
      <c r="T1564" s="308" t="s">
        <v>34264</v>
      </c>
      <c r="U1564" s="308"/>
      <c r="V1564" s="312"/>
    </row>
    <row r="1565">
      <c r="A1565" s="308">
        <v>1564.0</v>
      </c>
      <c r="B1565" s="308">
        <v>4779.0</v>
      </c>
      <c r="C1565" s="308">
        <v>1582.0</v>
      </c>
      <c r="D1565" s="308">
        <f>IFERROR(__xludf.DUMMYFUNCTION("SPLIT(C1565,""-"")"),1582.0)</f>
        <v>1582</v>
      </c>
      <c r="E1565" s="311"/>
      <c r="F1565" s="309" t="s">
        <v>34</v>
      </c>
      <c r="G1565" s="308"/>
      <c r="H1565" s="308" t="s">
        <v>6152</v>
      </c>
      <c r="I1565" s="316" t="s">
        <v>36161</v>
      </c>
      <c r="J1565" s="319" t="str">
        <f>IFERROR(__xludf.DUMMYFUNCTION("SPLIT(I1565,""/"")"),"#REF!")</f>
        <v>#REF!</v>
      </c>
      <c r="K1565" s="308"/>
      <c r="L1565" s="311" t="s">
        <v>79</v>
      </c>
      <c r="M1565" s="308" t="s">
        <v>6153</v>
      </c>
      <c r="N1565" s="308"/>
      <c r="O1565" s="312" t="s">
        <v>635</v>
      </c>
      <c r="P1565" s="308" t="s">
        <v>6151</v>
      </c>
      <c r="Q1565" s="308"/>
      <c r="R1565" s="308"/>
      <c r="S1565" s="308" t="s">
        <v>81</v>
      </c>
      <c r="T1565" s="308" t="s">
        <v>34264</v>
      </c>
      <c r="U1565" s="308"/>
      <c r="V1565" s="312"/>
    </row>
    <row r="1566">
      <c r="A1566" s="308">
        <v>1565.0</v>
      </c>
      <c r="B1566" s="308">
        <v>4780.0</v>
      </c>
      <c r="C1566" s="308">
        <v>1583.0</v>
      </c>
      <c r="D1566" s="308">
        <f>IFERROR(__xludf.DUMMYFUNCTION("SPLIT(C1566,""-"")"),1583.0)</f>
        <v>1583</v>
      </c>
      <c r="E1566" s="311"/>
      <c r="F1566" s="309" t="s">
        <v>34</v>
      </c>
      <c r="G1566" s="308"/>
      <c r="H1566" s="308" t="s">
        <v>6154</v>
      </c>
      <c r="I1566" s="314">
        <v>40804.0</v>
      </c>
      <c r="J1566" s="319">
        <f>IFERROR(__xludf.DUMMYFUNCTION("SPLIT(I1566,""/"")"),18.0)</f>
        <v>18</v>
      </c>
      <c r="K1566" s="308">
        <f>IFERROR(__xludf.DUMMYFUNCTION("""COMPUTED_VALUE"""),9.0)</f>
        <v>9</v>
      </c>
      <c r="L1566" s="308">
        <f>IFERROR(__xludf.DUMMYFUNCTION("""COMPUTED_VALUE"""),2011.0)</f>
        <v>2011</v>
      </c>
      <c r="M1566" s="308" t="s">
        <v>36173</v>
      </c>
      <c r="N1566" s="308"/>
      <c r="O1566" s="312" t="s">
        <v>6156</v>
      </c>
      <c r="P1566" s="308" t="s">
        <v>6157</v>
      </c>
      <c r="Q1566" s="308"/>
      <c r="R1566" s="308"/>
      <c r="S1566" s="308" t="s">
        <v>81</v>
      </c>
      <c r="T1566" s="308" t="s">
        <v>75</v>
      </c>
      <c r="U1566" s="308"/>
      <c r="V1566" s="312"/>
    </row>
    <row r="1567">
      <c r="A1567" s="308">
        <v>1566.0</v>
      </c>
      <c r="B1567" s="308">
        <v>4781.0</v>
      </c>
      <c r="C1567" s="308">
        <v>1584.0</v>
      </c>
      <c r="D1567" s="308">
        <f>IFERROR(__xludf.DUMMYFUNCTION("SPLIT(C1567,""-"")"),1584.0)</f>
        <v>1584</v>
      </c>
      <c r="E1567" s="311"/>
      <c r="F1567" s="309" t="s">
        <v>34</v>
      </c>
      <c r="G1567" s="308"/>
      <c r="H1567" s="308" t="s">
        <v>6158</v>
      </c>
      <c r="I1567" s="316">
        <v>2009.0</v>
      </c>
      <c r="J1567" s="319"/>
      <c r="K1567" s="308"/>
      <c r="L1567" s="311">
        <v>2009.0</v>
      </c>
      <c r="M1567" s="308" t="s">
        <v>6159</v>
      </c>
      <c r="N1567" s="308"/>
      <c r="O1567" s="312" t="s">
        <v>6160</v>
      </c>
      <c r="P1567" s="308" t="s">
        <v>6161</v>
      </c>
      <c r="Q1567" s="308"/>
      <c r="R1567" s="308"/>
      <c r="S1567" s="308" t="s">
        <v>49</v>
      </c>
      <c r="T1567" s="308" t="s">
        <v>51</v>
      </c>
      <c r="U1567" s="308" t="s">
        <v>137</v>
      </c>
      <c r="V1567" s="312"/>
    </row>
    <row r="1568">
      <c r="A1568" s="308">
        <v>1567.0</v>
      </c>
      <c r="B1568" s="308">
        <v>4782.0</v>
      </c>
      <c r="C1568" s="308">
        <v>1585.0</v>
      </c>
      <c r="D1568" s="308">
        <f>IFERROR(__xludf.DUMMYFUNCTION("SPLIT(C1568,""-"")"),1585.0)</f>
        <v>1585</v>
      </c>
      <c r="E1568" s="311"/>
      <c r="F1568" s="309" t="s">
        <v>34</v>
      </c>
      <c r="G1568" s="308"/>
      <c r="H1568" s="308" t="s">
        <v>6162</v>
      </c>
      <c r="I1568" s="316">
        <v>2011.0</v>
      </c>
      <c r="J1568" s="319"/>
      <c r="K1568" s="308"/>
      <c r="L1568" s="311">
        <v>2011.0</v>
      </c>
      <c r="M1568" s="308" t="s">
        <v>6159</v>
      </c>
      <c r="N1568" s="308"/>
      <c r="O1568" s="312" t="s">
        <v>635</v>
      </c>
      <c r="P1568" s="308" t="s">
        <v>6163</v>
      </c>
      <c r="Q1568" s="308"/>
      <c r="R1568" s="308"/>
      <c r="S1568" s="308" t="s">
        <v>81</v>
      </c>
      <c r="T1568" s="308" t="s">
        <v>34264</v>
      </c>
      <c r="U1568" s="308"/>
      <c r="V1568" s="312"/>
    </row>
    <row r="1569">
      <c r="A1569" s="308">
        <v>1568.0</v>
      </c>
      <c r="B1569" s="308">
        <v>4783.0</v>
      </c>
      <c r="C1569" s="308">
        <v>1586.0</v>
      </c>
      <c r="D1569" s="308">
        <f>IFERROR(__xludf.DUMMYFUNCTION("SPLIT(C1569,""-"")"),1586.0)</f>
        <v>1586</v>
      </c>
      <c r="E1569" s="311"/>
      <c r="F1569" s="309" t="s">
        <v>34</v>
      </c>
      <c r="G1569" s="308"/>
      <c r="H1569" s="308" t="s">
        <v>6164</v>
      </c>
      <c r="I1569" s="316">
        <v>2009.0</v>
      </c>
      <c r="J1569" s="319"/>
      <c r="K1569" s="308"/>
      <c r="L1569" s="311">
        <v>2009.0</v>
      </c>
      <c r="M1569" s="308" t="s">
        <v>6165</v>
      </c>
      <c r="N1569" s="308"/>
      <c r="O1569" s="312" t="s">
        <v>635</v>
      </c>
      <c r="P1569" s="308" t="s">
        <v>6166</v>
      </c>
      <c r="Q1569" s="308"/>
      <c r="R1569" s="308"/>
      <c r="S1569" s="308" t="s">
        <v>81</v>
      </c>
      <c r="T1569" s="308" t="s">
        <v>34264</v>
      </c>
      <c r="U1569" s="308"/>
      <c r="V1569" s="312"/>
    </row>
    <row r="1570">
      <c r="A1570" s="308">
        <v>1569.0</v>
      </c>
      <c r="B1570" s="308">
        <v>4784.0</v>
      </c>
      <c r="C1570" s="308">
        <v>1587.0</v>
      </c>
      <c r="D1570" s="308">
        <f>IFERROR(__xludf.DUMMYFUNCTION("SPLIT(C1570,""-"")"),1587.0)</f>
        <v>1587</v>
      </c>
      <c r="E1570" s="311"/>
      <c r="F1570" s="309" t="s">
        <v>34</v>
      </c>
      <c r="G1570" s="308"/>
      <c r="H1570" s="308" t="s">
        <v>6167</v>
      </c>
      <c r="I1570" s="316">
        <v>2009.0</v>
      </c>
      <c r="J1570" s="319"/>
      <c r="K1570" s="308"/>
      <c r="L1570" s="311">
        <v>2009.0</v>
      </c>
      <c r="M1570" s="308" t="s">
        <v>6168</v>
      </c>
      <c r="N1570" s="308"/>
      <c r="O1570" s="312" t="s">
        <v>6169</v>
      </c>
      <c r="P1570" s="308" t="s">
        <v>6170</v>
      </c>
      <c r="Q1570" s="308"/>
      <c r="R1570" s="308"/>
      <c r="S1570" s="308" t="s">
        <v>49</v>
      </c>
      <c r="T1570" s="308" t="s">
        <v>51</v>
      </c>
      <c r="U1570" s="308" t="s">
        <v>530</v>
      </c>
      <c r="V1570" s="312"/>
    </row>
    <row r="1571">
      <c r="A1571" s="308">
        <v>1570.0</v>
      </c>
      <c r="B1571" s="308">
        <v>4785.0</v>
      </c>
      <c r="C1571" s="308" t="s">
        <v>6171</v>
      </c>
      <c r="D1571" s="308" t="str">
        <f>IFERROR(__xludf.DUMMYFUNCTION("SPLIT(C1571,""-"")"),"#REF!")</f>
        <v>#REF!</v>
      </c>
      <c r="E1571" s="311"/>
      <c r="F1571" s="309" t="s">
        <v>34</v>
      </c>
      <c r="G1571" s="308"/>
      <c r="H1571" s="308" t="s">
        <v>6172</v>
      </c>
      <c r="I1571" s="316">
        <v>2009.0</v>
      </c>
      <c r="J1571" s="319"/>
      <c r="K1571" s="308"/>
      <c r="L1571" s="311">
        <v>2009.0</v>
      </c>
      <c r="M1571" s="308" t="s">
        <v>6173</v>
      </c>
      <c r="N1571" s="308"/>
      <c r="O1571" s="312" t="s">
        <v>6174</v>
      </c>
      <c r="P1571" s="308" t="s">
        <v>6175</v>
      </c>
      <c r="Q1571" s="308"/>
      <c r="R1571" s="308" t="s">
        <v>1496</v>
      </c>
      <c r="S1571" s="308" t="s">
        <v>49</v>
      </c>
      <c r="T1571" s="308" t="s">
        <v>70</v>
      </c>
      <c r="U1571" s="308" t="s">
        <v>530</v>
      </c>
      <c r="V1571" s="312"/>
    </row>
    <row r="1572">
      <c r="A1572" s="308">
        <v>1571.0</v>
      </c>
      <c r="B1572" s="308">
        <v>4786.0</v>
      </c>
      <c r="C1572" s="308">
        <v>1589.0</v>
      </c>
      <c r="D1572" s="308">
        <f>IFERROR(__xludf.DUMMYFUNCTION("SPLIT(C1572,""-"")"),1589.0)</f>
        <v>1589</v>
      </c>
      <c r="E1572" s="311"/>
      <c r="F1572" s="309" t="s">
        <v>34</v>
      </c>
      <c r="G1572" s="308"/>
      <c r="H1572" s="308" t="s">
        <v>6176</v>
      </c>
      <c r="I1572" s="314">
        <v>40486.0</v>
      </c>
      <c r="J1572" s="319">
        <f>IFERROR(__xludf.DUMMYFUNCTION("SPLIT(I1572,""/"")"),4.0)</f>
        <v>4</v>
      </c>
      <c r="K1572" s="308">
        <f>IFERROR(__xludf.DUMMYFUNCTION("""COMPUTED_VALUE"""),11.0)</f>
        <v>11</v>
      </c>
      <c r="L1572" s="308">
        <f>IFERROR(__xludf.DUMMYFUNCTION("""COMPUTED_VALUE"""),2010.0)</f>
        <v>2010</v>
      </c>
      <c r="M1572" s="308" t="s">
        <v>6177</v>
      </c>
      <c r="N1572" s="308"/>
      <c r="O1572" s="312" t="s">
        <v>36101</v>
      </c>
      <c r="P1572" s="308" t="s">
        <v>6178</v>
      </c>
      <c r="Q1572" s="308"/>
      <c r="R1572" s="308"/>
      <c r="S1572" s="308" t="s">
        <v>81</v>
      </c>
      <c r="T1572" s="308" t="s">
        <v>34264</v>
      </c>
      <c r="U1572" s="308"/>
      <c r="V1572" s="312"/>
    </row>
    <row r="1573">
      <c r="A1573" s="308">
        <v>1572.0</v>
      </c>
      <c r="B1573" s="308">
        <v>4787.0</v>
      </c>
      <c r="C1573" s="308">
        <v>1590.0</v>
      </c>
      <c r="D1573" s="308">
        <f>IFERROR(__xludf.DUMMYFUNCTION("SPLIT(C1573,""-"")"),1590.0)</f>
        <v>1590</v>
      </c>
      <c r="E1573" s="311"/>
      <c r="F1573" s="309" t="s">
        <v>34</v>
      </c>
      <c r="G1573" s="308"/>
      <c r="H1573" s="308" t="s">
        <v>6179</v>
      </c>
      <c r="I1573" s="314">
        <v>40317.0</v>
      </c>
      <c r="J1573" s="319">
        <f>IFERROR(__xludf.DUMMYFUNCTION("SPLIT(I1573,""/"")"),19.0)</f>
        <v>19</v>
      </c>
      <c r="K1573" s="308">
        <f>IFERROR(__xludf.DUMMYFUNCTION("""COMPUTED_VALUE"""),5.0)</f>
        <v>5</v>
      </c>
      <c r="L1573" s="308">
        <f>IFERROR(__xludf.DUMMYFUNCTION("""COMPUTED_VALUE"""),2010.0)</f>
        <v>2010</v>
      </c>
      <c r="M1573" s="308" t="s">
        <v>6180</v>
      </c>
      <c r="N1573" s="308"/>
      <c r="O1573" s="312" t="s">
        <v>36101</v>
      </c>
      <c r="P1573" s="308" t="s">
        <v>6181</v>
      </c>
      <c r="Q1573" s="308"/>
      <c r="R1573" s="308"/>
      <c r="S1573" s="308" t="s">
        <v>81</v>
      </c>
      <c r="T1573" s="308" t="s">
        <v>34264</v>
      </c>
      <c r="U1573" s="308"/>
      <c r="V1573" s="312"/>
    </row>
    <row r="1574">
      <c r="A1574" s="308">
        <v>1573.0</v>
      </c>
      <c r="B1574" s="308">
        <v>4788.0</v>
      </c>
      <c r="C1574" s="308" t="s">
        <v>6182</v>
      </c>
      <c r="D1574" s="308">
        <f>IFERROR(__xludf.DUMMYFUNCTION("SPLIT(C1574,""-"")"),1591.0)</f>
        <v>1591</v>
      </c>
      <c r="E1574" s="308" t="str">
        <f>IFERROR(__xludf.DUMMYFUNCTION("""COMPUTED_VALUE"""),"K")</f>
        <v>K</v>
      </c>
      <c r="F1574" s="309" t="s">
        <v>34</v>
      </c>
      <c r="G1574" s="308"/>
      <c r="H1574" s="308" t="s">
        <v>6183</v>
      </c>
      <c r="I1574" s="314">
        <v>40140.0</v>
      </c>
      <c r="J1574" s="319">
        <f>IFERROR(__xludf.DUMMYFUNCTION("SPLIT(I1574,""/"")"),23.0)</f>
        <v>23</v>
      </c>
      <c r="K1574" s="308">
        <f>IFERROR(__xludf.DUMMYFUNCTION("""COMPUTED_VALUE"""),11.0)</f>
        <v>11</v>
      </c>
      <c r="L1574" s="308">
        <f>IFERROR(__xludf.DUMMYFUNCTION("""COMPUTED_VALUE"""),2009.0)</f>
        <v>2009</v>
      </c>
      <c r="M1574" s="308" t="s">
        <v>6184</v>
      </c>
      <c r="N1574" s="308" t="s">
        <v>6185</v>
      </c>
      <c r="O1574" s="312" t="s">
        <v>6186</v>
      </c>
      <c r="P1574" s="308" t="s">
        <v>6187</v>
      </c>
      <c r="Q1574" s="308"/>
      <c r="R1574" s="308"/>
      <c r="S1574" s="308" t="s">
        <v>49</v>
      </c>
      <c r="T1574" s="311" t="s">
        <v>51</v>
      </c>
      <c r="U1574" s="308" t="s">
        <v>872</v>
      </c>
      <c r="V1574" s="312"/>
    </row>
    <row r="1575">
      <c r="A1575" s="308">
        <v>1574.0</v>
      </c>
      <c r="B1575" s="308">
        <v>4790.0</v>
      </c>
      <c r="C1575" s="308">
        <v>1593.0</v>
      </c>
      <c r="D1575" s="308">
        <f>IFERROR(__xludf.DUMMYFUNCTION("SPLIT(C1575,""-"")"),1593.0)</f>
        <v>1593</v>
      </c>
      <c r="E1575" s="311"/>
      <c r="F1575" s="317" t="s">
        <v>37</v>
      </c>
      <c r="G1575" s="308"/>
      <c r="H1575" s="308" t="s">
        <v>6188</v>
      </c>
      <c r="I1575" s="316">
        <v>2012.0</v>
      </c>
      <c r="J1575" s="319"/>
      <c r="K1575" s="308"/>
      <c r="L1575" s="311">
        <v>2012.0</v>
      </c>
      <c r="M1575" s="308" t="s">
        <v>6189</v>
      </c>
      <c r="N1575" s="308"/>
      <c r="O1575" s="312"/>
      <c r="P1575" s="308" t="s">
        <v>2675</v>
      </c>
      <c r="Q1575" s="308"/>
      <c r="R1575" s="312"/>
      <c r="S1575" s="308" t="s">
        <v>49</v>
      </c>
      <c r="T1575" s="308" t="s">
        <v>51</v>
      </c>
      <c r="U1575" s="308"/>
      <c r="V1575" s="312"/>
    </row>
    <row r="1576">
      <c r="A1576" s="308">
        <v>1575.0</v>
      </c>
      <c r="B1576" s="308">
        <v>4791.0</v>
      </c>
      <c r="C1576" s="308">
        <v>1594.0</v>
      </c>
      <c r="D1576" s="308">
        <f>IFERROR(__xludf.DUMMYFUNCTION("SPLIT(C1576,""-"")"),1594.0)</f>
        <v>1594</v>
      </c>
      <c r="E1576" s="311"/>
      <c r="F1576" s="309" t="s">
        <v>34</v>
      </c>
      <c r="G1576" s="308"/>
      <c r="H1576" s="308" t="s">
        <v>6190</v>
      </c>
      <c r="I1576" s="314">
        <v>41490.0</v>
      </c>
      <c r="J1576" s="319">
        <f>IFERROR(__xludf.DUMMYFUNCTION("SPLIT(I1576,""/"")"),4.0)</f>
        <v>4</v>
      </c>
      <c r="K1576" s="308">
        <f>IFERROR(__xludf.DUMMYFUNCTION("""COMPUTED_VALUE"""),8.0)</f>
        <v>8</v>
      </c>
      <c r="L1576" s="308">
        <f>IFERROR(__xludf.DUMMYFUNCTION("""COMPUTED_VALUE"""),2013.0)</f>
        <v>2013</v>
      </c>
      <c r="M1576" s="308" t="s">
        <v>6191</v>
      </c>
      <c r="N1576" s="308"/>
      <c r="O1576" s="312" t="s">
        <v>6192</v>
      </c>
      <c r="P1576" s="308" t="s">
        <v>6193</v>
      </c>
      <c r="Q1576" s="308"/>
      <c r="R1576" s="308"/>
      <c r="S1576" s="308" t="s">
        <v>81</v>
      </c>
      <c r="T1576" s="308" t="s">
        <v>34264</v>
      </c>
      <c r="U1576" s="308"/>
      <c r="V1576" s="312"/>
    </row>
    <row r="1577">
      <c r="A1577" s="308">
        <v>1576.0</v>
      </c>
      <c r="B1577" s="308">
        <v>4792.0</v>
      </c>
      <c r="C1577" s="308" t="s">
        <v>6194</v>
      </c>
      <c r="D1577" s="308" t="str">
        <f>IFERROR(__xludf.DUMMYFUNCTION("SPLIT(C1577,""-"")"),"#REF!")</f>
        <v>#REF!</v>
      </c>
      <c r="E1577" s="311"/>
      <c r="F1577" s="309" t="s">
        <v>34</v>
      </c>
      <c r="G1577" s="308"/>
      <c r="H1577" s="308" t="s">
        <v>6195</v>
      </c>
      <c r="I1577" s="321">
        <v>39508.0</v>
      </c>
      <c r="J1577" s="319"/>
      <c r="K1577" s="311">
        <v>3.0</v>
      </c>
      <c r="L1577" s="311">
        <v>2008.0</v>
      </c>
      <c r="M1577" s="308" t="s">
        <v>6196</v>
      </c>
      <c r="N1577" s="308" t="s">
        <v>439</v>
      </c>
      <c r="O1577" s="312" t="s">
        <v>6197</v>
      </c>
      <c r="P1577" s="308" t="s">
        <v>5679</v>
      </c>
      <c r="Q1577" s="308"/>
      <c r="R1577" s="308" t="s">
        <v>1496</v>
      </c>
      <c r="S1577" s="315" t="s">
        <v>100</v>
      </c>
      <c r="T1577" s="311" t="s">
        <v>34208</v>
      </c>
      <c r="U1577" s="308" t="s">
        <v>530</v>
      </c>
      <c r="V1577" s="312"/>
    </row>
    <row r="1578">
      <c r="A1578" s="308">
        <v>1577.0</v>
      </c>
      <c r="B1578" s="308">
        <v>4793.0</v>
      </c>
      <c r="C1578" s="308">
        <v>1596.0</v>
      </c>
      <c r="D1578" s="308">
        <f>IFERROR(__xludf.DUMMYFUNCTION("SPLIT(C1578,""-"")"),1596.0)</f>
        <v>1596</v>
      </c>
      <c r="E1578" s="311"/>
      <c r="F1578" s="309" t="s">
        <v>34</v>
      </c>
      <c r="G1578" s="308"/>
      <c r="H1578" s="308" t="s">
        <v>6198</v>
      </c>
      <c r="I1578" s="314">
        <v>40774.0</v>
      </c>
      <c r="J1578" s="319">
        <f>IFERROR(__xludf.DUMMYFUNCTION("SPLIT(I1578,""/"")"),19.0)</f>
        <v>19</v>
      </c>
      <c r="K1578" s="308">
        <f>IFERROR(__xludf.DUMMYFUNCTION("""COMPUTED_VALUE"""),8.0)</f>
        <v>8</v>
      </c>
      <c r="L1578" s="308">
        <f>IFERROR(__xludf.DUMMYFUNCTION("""COMPUTED_VALUE"""),2011.0)</f>
        <v>2011</v>
      </c>
      <c r="M1578" s="308" t="s">
        <v>6199</v>
      </c>
      <c r="N1578" s="308"/>
      <c r="O1578" s="312"/>
      <c r="P1578" s="308" t="s">
        <v>6200</v>
      </c>
      <c r="Q1578" s="308"/>
      <c r="R1578" s="308"/>
      <c r="S1578" s="308" t="s">
        <v>81</v>
      </c>
      <c r="T1578" s="308" t="s">
        <v>73</v>
      </c>
      <c r="U1578" s="308" t="s">
        <v>137</v>
      </c>
      <c r="V1578" s="312"/>
    </row>
    <row r="1579">
      <c r="A1579" s="308">
        <v>1578.0</v>
      </c>
      <c r="B1579" s="308">
        <v>4794.0</v>
      </c>
      <c r="C1579" s="308">
        <v>1597.0</v>
      </c>
      <c r="D1579" s="308">
        <f>IFERROR(__xludf.DUMMYFUNCTION("SPLIT(C1579,""-"")"),1597.0)</f>
        <v>1597</v>
      </c>
      <c r="E1579" s="311"/>
      <c r="F1579" s="309" t="s">
        <v>34</v>
      </c>
      <c r="G1579" s="308"/>
      <c r="H1579" s="308" t="s">
        <v>6201</v>
      </c>
      <c r="I1579" s="316">
        <v>2009.0</v>
      </c>
      <c r="J1579" s="319"/>
      <c r="K1579" s="308"/>
      <c r="L1579" s="311">
        <v>2009.0</v>
      </c>
      <c r="M1579" s="308" t="s">
        <v>6202</v>
      </c>
      <c r="N1579" s="308"/>
      <c r="O1579" s="312" t="s">
        <v>6203</v>
      </c>
      <c r="P1579" s="308" t="s">
        <v>6204</v>
      </c>
      <c r="Q1579" s="308"/>
      <c r="R1579" s="308"/>
      <c r="S1579" s="308" t="s">
        <v>81</v>
      </c>
      <c r="T1579" s="308" t="s">
        <v>34264</v>
      </c>
      <c r="U1579" s="308"/>
      <c r="V1579" s="312"/>
    </row>
    <row r="1580">
      <c r="A1580" s="308">
        <v>1579.0</v>
      </c>
      <c r="B1580" s="308">
        <v>4795.0</v>
      </c>
      <c r="C1580" s="308" t="s">
        <v>6205</v>
      </c>
      <c r="D1580" s="308">
        <f>IFERROR(__xludf.DUMMYFUNCTION("SPLIT(C1580,""-"")"),1598.0)</f>
        <v>1598</v>
      </c>
      <c r="E1580" s="308" t="str">
        <f>IFERROR(__xludf.DUMMYFUNCTION("""COMPUTED_VALUE"""),"K")</f>
        <v>K</v>
      </c>
      <c r="F1580" s="309" t="s">
        <v>34</v>
      </c>
      <c r="G1580" s="308"/>
      <c r="H1580" s="308" t="s">
        <v>6206</v>
      </c>
      <c r="I1580" s="316">
        <v>2009.0</v>
      </c>
      <c r="J1580" s="319"/>
      <c r="K1580" s="308"/>
      <c r="L1580" s="311">
        <v>2009.0</v>
      </c>
      <c r="M1580" s="308" t="s">
        <v>36174</v>
      </c>
      <c r="N1580" s="308" t="s">
        <v>439</v>
      </c>
      <c r="O1580" s="312" t="s">
        <v>36175</v>
      </c>
      <c r="P1580" s="308" t="s">
        <v>5369</v>
      </c>
      <c r="Q1580" s="308"/>
      <c r="R1580" s="308"/>
      <c r="S1580" s="308" t="s">
        <v>49</v>
      </c>
      <c r="T1580" s="308" t="s">
        <v>51</v>
      </c>
      <c r="U1580" s="308" t="s">
        <v>2152</v>
      </c>
      <c r="V1580" s="312"/>
    </row>
    <row r="1581">
      <c r="A1581" s="308">
        <v>1580.0</v>
      </c>
      <c r="B1581" s="308">
        <v>4796.0</v>
      </c>
      <c r="C1581" s="308">
        <v>1599.0</v>
      </c>
      <c r="D1581" s="308">
        <f>IFERROR(__xludf.DUMMYFUNCTION("SPLIT(C1581,""-"")"),1599.0)</f>
        <v>1599</v>
      </c>
      <c r="E1581" s="311"/>
      <c r="F1581" s="309" t="s">
        <v>34</v>
      </c>
      <c r="G1581" s="308"/>
      <c r="H1581" s="308" t="s">
        <v>6209</v>
      </c>
      <c r="I1581" s="316">
        <v>2010.0</v>
      </c>
      <c r="J1581" s="319"/>
      <c r="K1581" s="308"/>
      <c r="L1581" s="311">
        <v>2010.0</v>
      </c>
      <c r="M1581" s="308" t="s">
        <v>6210</v>
      </c>
      <c r="N1581" s="308"/>
      <c r="O1581" s="312"/>
      <c r="P1581" s="308" t="s">
        <v>6211</v>
      </c>
      <c r="Q1581" s="308"/>
      <c r="R1581" s="308"/>
      <c r="S1581" s="308" t="s">
        <v>81</v>
      </c>
      <c r="T1581" s="308" t="s">
        <v>34264</v>
      </c>
      <c r="U1581" s="308"/>
      <c r="V1581" s="312"/>
    </row>
    <row r="1582">
      <c r="A1582" s="308">
        <v>1581.0</v>
      </c>
      <c r="B1582" s="308">
        <v>4797.0</v>
      </c>
      <c r="C1582" s="308">
        <v>1600.0</v>
      </c>
      <c r="D1582" s="308">
        <f>IFERROR(__xludf.DUMMYFUNCTION("SPLIT(C1582,""-"")"),1600.0)</f>
        <v>1600</v>
      </c>
      <c r="E1582" s="311"/>
      <c r="F1582" s="309" t="s">
        <v>34</v>
      </c>
      <c r="G1582" s="308"/>
      <c r="H1582" s="308" t="s">
        <v>6212</v>
      </c>
      <c r="I1582" s="316">
        <v>2009.0</v>
      </c>
      <c r="J1582" s="319"/>
      <c r="K1582" s="308"/>
      <c r="L1582" s="311">
        <v>2009.0</v>
      </c>
      <c r="M1582" s="308" t="s">
        <v>6213</v>
      </c>
      <c r="N1582" s="308"/>
      <c r="O1582" s="312" t="s">
        <v>6214</v>
      </c>
      <c r="P1582" s="308" t="s">
        <v>1872</v>
      </c>
      <c r="Q1582" s="308"/>
      <c r="R1582" s="308"/>
      <c r="S1582" s="315" t="s">
        <v>100</v>
      </c>
      <c r="T1582" s="311" t="s">
        <v>34208</v>
      </c>
      <c r="U1582" s="308" t="s">
        <v>530</v>
      </c>
      <c r="V1582" s="312"/>
    </row>
    <row r="1583">
      <c r="A1583" s="308">
        <v>1582.0</v>
      </c>
      <c r="B1583" s="308">
        <v>4799.0</v>
      </c>
      <c r="C1583" s="308" t="s">
        <v>6215</v>
      </c>
      <c r="D1583" s="308">
        <f>IFERROR(__xludf.DUMMYFUNCTION("SPLIT(C1583,""-"")"),1602.0)</f>
        <v>1602</v>
      </c>
      <c r="E1583" s="308" t="str">
        <f>IFERROR(__xludf.DUMMYFUNCTION("""COMPUTED_VALUE"""),"K")</f>
        <v>K</v>
      </c>
      <c r="F1583" s="309" t="s">
        <v>34</v>
      </c>
      <c r="G1583" s="308"/>
      <c r="H1583" s="308" t="s">
        <v>6216</v>
      </c>
      <c r="I1583" s="310">
        <v>41385.0</v>
      </c>
      <c r="J1583" s="319">
        <f>IFERROR(__xludf.DUMMYFUNCTION("SPLIT(I1583,""/"")"),21.0)</f>
        <v>21</v>
      </c>
      <c r="K1583" s="308">
        <f>IFERROR(__xludf.DUMMYFUNCTION("""COMPUTED_VALUE"""),4.0)</f>
        <v>4</v>
      </c>
      <c r="L1583" s="308">
        <f>IFERROR(__xludf.DUMMYFUNCTION("""COMPUTED_VALUE"""),2013.0)</f>
        <v>2013</v>
      </c>
      <c r="M1583" s="308" t="s">
        <v>6217</v>
      </c>
      <c r="N1583" s="308" t="s">
        <v>6218</v>
      </c>
      <c r="O1583" s="312" t="s">
        <v>6219</v>
      </c>
      <c r="P1583" s="308" t="s">
        <v>6220</v>
      </c>
      <c r="Q1583" s="308"/>
      <c r="R1583" s="308"/>
      <c r="S1583" s="315" t="s">
        <v>100</v>
      </c>
      <c r="T1583" s="311" t="s">
        <v>34208</v>
      </c>
      <c r="U1583" s="308" t="s">
        <v>872</v>
      </c>
      <c r="V1583" s="312"/>
    </row>
    <row r="1584">
      <c r="A1584" s="308">
        <v>1583.0</v>
      </c>
      <c r="B1584" s="308"/>
      <c r="C1584" s="308">
        <v>1603.0</v>
      </c>
      <c r="D1584" s="308">
        <f>IFERROR(__xludf.DUMMYFUNCTION("SPLIT(C1584,""-"")"),1603.0)</f>
        <v>1603</v>
      </c>
      <c r="E1584" s="311"/>
      <c r="F1584" s="309" t="s">
        <v>34</v>
      </c>
      <c r="G1584" s="308"/>
      <c r="H1584" s="308" t="s">
        <v>6221</v>
      </c>
      <c r="I1584" s="316">
        <v>2013.0</v>
      </c>
      <c r="J1584" s="319"/>
      <c r="K1584" s="308"/>
      <c r="L1584" s="311">
        <v>2013.0</v>
      </c>
      <c r="M1584" s="308" t="s">
        <v>6222</v>
      </c>
      <c r="N1584" s="308"/>
      <c r="O1584" s="312" t="s">
        <v>6219</v>
      </c>
      <c r="P1584" s="308" t="s">
        <v>6223</v>
      </c>
      <c r="Q1584" s="308"/>
      <c r="R1584" s="308"/>
      <c r="S1584" s="308" t="s">
        <v>81</v>
      </c>
      <c r="T1584" s="308" t="s">
        <v>75</v>
      </c>
      <c r="U1584" s="308"/>
      <c r="V1584" s="312"/>
    </row>
    <row r="1585">
      <c r="A1585" s="308">
        <v>1584.0</v>
      </c>
      <c r="B1585" s="308"/>
      <c r="C1585" s="308">
        <v>1604.0</v>
      </c>
      <c r="D1585" s="308">
        <f>IFERROR(__xludf.DUMMYFUNCTION("SPLIT(C1585,""-"")"),1604.0)</f>
        <v>1604</v>
      </c>
      <c r="E1585" s="311"/>
      <c r="F1585" s="309" t="s">
        <v>34</v>
      </c>
      <c r="G1585" s="308"/>
      <c r="H1585" s="308" t="s">
        <v>6224</v>
      </c>
      <c r="I1585" s="314">
        <v>41479.0</v>
      </c>
      <c r="J1585" s="319">
        <f>IFERROR(__xludf.DUMMYFUNCTION("SPLIT(I1585,""/"")"),24.0)</f>
        <v>24</v>
      </c>
      <c r="K1585" s="308">
        <f>IFERROR(__xludf.DUMMYFUNCTION("""COMPUTED_VALUE"""),7.0)</f>
        <v>7</v>
      </c>
      <c r="L1585" s="308">
        <f>IFERROR(__xludf.DUMMYFUNCTION("""COMPUTED_VALUE"""),2013.0)</f>
        <v>2013</v>
      </c>
      <c r="M1585" s="308" t="s">
        <v>6225</v>
      </c>
      <c r="N1585" s="308"/>
      <c r="O1585" s="312" t="s">
        <v>635</v>
      </c>
      <c r="P1585" s="308" t="s">
        <v>36176</v>
      </c>
      <c r="Q1585" s="308"/>
      <c r="R1585" s="308"/>
      <c r="S1585" s="308" t="s">
        <v>81</v>
      </c>
      <c r="T1585" s="311" t="s">
        <v>96</v>
      </c>
      <c r="U1585" s="308"/>
      <c r="V1585" s="312"/>
    </row>
    <row r="1586">
      <c r="A1586" s="308">
        <v>1585.0</v>
      </c>
      <c r="B1586" s="308"/>
      <c r="C1586" s="308">
        <v>1605.0</v>
      </c>
      <c r="D1586" s="308">
        <f>IFERROR(__xludf.DUMMYFUNCTION("SPLIT(C1586,""-"")"),1605.0)</f>
        <v>1605</v>
      </c>
      <c r="E1586" s="311"/>
      <c r="F1586" s="309" t="s">
        <v>34</v>
      </c>
      <c r="G1586" s="308"/>
      <c r="H1586" s="308" t="s">
        <v>6227</v>
      </c>
      <c r="I1586" s="322"/>
      <c r="J1586" s="323">
        <v>0.0</v>
      </c>
      <c r="K1586" s="311">
        <v>0.0</v>
      </c>
      <c r="L1586" s="311" t="s">
        <v>79</v>
      </c>
      <c r="M1586" s="308" t="s">
        <v>6228</v>
      </c>
      <c r="N1586" s="308"/>
      <c r="O1586" s="312" t="s">
        <v>36177</v>
      </c>
      <c r="P1586" s="308" t="s">
        <v>6230</v>
      </c>
      <c r="Q1586" s="308"/>
      <c r="R1586" s="308"/>
      <c r="S1586" s="308" t="s">
        <v>81</v>
      </c>
      <c r="T1586" s="308" t="s">
        <v>34264</v>
      </c>
      <c r="U1586" s="308"/>
      <c r="V1586" s="312"/>
    </row>
    <row r="1587">
      <c r="A1587" s="308">
        <v>1586.0</v>
      </c>
      <c r="B1587" s="308"/>
      <c r="C1587" s="308">
        <v>1606.0</v>
      </c>
      <c r="D1587" s="308">
        <f>IFERROR(__xludf.DUMMYFUNCTION("SPLIT(C1587,""-"")"),1606.0)</f>
        <v>1606</v>
      </c>
      <c r="E1587" s="311"/>
      <c r="F1587" s="309" t="s">
        <v>34</v>
      </c>
      <c r="G1587" s="308"/>
      <c r="H1587" s="308" t="s">
        <v>6231</v>
      </c>
      <c r="I1587" s="316">
        <v>2010.0</v>
      </c>
      <c r="J1587" s="319"/>
      <c r="K1587" s="308"/>
      <c r="L1587" s="311">
        <v>2010.0</v>
      </c>
      <c r="M1587" s="308" t="s">
        <v>6232</v>
      </c>
      <c r="N1587" s="308"/>
      <c r="O1587" s="312" t="s">
        <v>635</v>
      </c>
      <c r="P1587" s="308" t="s">
        <v>6233</v>
      </c>
      <c r="Q1587" s="308"/>
      <c r="R1587" s="308"/>
      <c r="S1587" s="308" t="s">
        <v>81</v>
      </c>
      <c r="T1587" s="308" t="s">
        <v>34264</v>
      </c>
      <c r="U1587" s="308"/>
      <c r="V1587" s="312"/>
    </row>
    <row r="1588">
      <c r="A1588" s="308">
        <v>1587.0</v>
      </c>
      <c r="B1588" s="308"/>
      <c r="C1588" s="308">
        <v>1607.0</v>
      </c>
      <c r="D1588" s="308">
        <f>IFERROR(__xludf.DUMMYFUNCTION("SPLIT(C1588,""-"")"),1607.0)</f>
        <v>1607</v>
      </c>
      <c r="E1588" s="311"/>
      <c r="F1588" s="309" t="s">
        <v>34</v>
      </c>
      <c r="G1588" s="308"/>
      <c r="H1588" s="308" t="s">
        <v>36178</v>
      </c>
      <c r="I1588" s="316">
        <v>2010.0</v>
      </c>
      <c r="J1588" s="319"/>
      <c r="K1588" s="308"/>
      <c r="L1588" s="311">
        <v>2010.0</v>
      </c>
      <c r="M1588" s="308" t="s">
        <v>6235</v>
      </c>
      <c r="N1588" s="308"/>
      <c r="O1588" s="312" t="s">
        <v>635</v>
      </c>
      <c r="P1588" s="308" t="s">
        <v>6236</v>
      </c>
      <c r="Q1588" s="308"/>
      <c r="R1588" s="308"/>
      <c r="S1588" s="308" t="s">
        <v>81</v>
      </c>
      <c r="T1588" s="308" t="s">
        <v>34264</v>
      </c>
      <c r="U1588" s="308"/>
      <c r="V1588" s="312"/>
    </row>
    <row r="1589">
      <c r="A1589" s="308">
        <v>1588.0</v>
      </c>
      <c r="B1589" s="308"/>
      <c r="C1589" s="308">
        <v>1608.0</v>
      </c>
      <c r="D1589" s="308">
        <f>IFERROR(__xludf.DUMMYFUNCTION("SPLIT(C1589,""-"")"),1608.0)</f>
        <v>1608</v>
      </c>
      <c r="E1589" s="311"/>
      <c r="F1589" s="309" t="s">
        <v>34</v>
      </c>
      <c r="G1589" s="308"/>
      <c r="H1589" s="308" t="s">
        <v>6237</v>
      </c>
      <c r="I1589" s="316">
        <v>2012.0</v>
      </c>
      <c r="J1589" s="319"/>
      <c r="K1589" s="308"/>
      <c r="L1589" s="311">
        <v>2012.0</v>
      </c>
      <c r="M1589" s="308" t="s">
        <v>6238</v>
      </c>
      <c r="N1589" s="308"/>
      <c r="O1589" s="312" t="s">
        <v>635</v>
      </c>
      <c r="P1589" s="308" t="s">
        <v>6239</v>
      </c>
      <c r="Q1589" s="308"/>
      <c r="R1589" s="308"/>
      <c r="S1589" s="308" t="s">
        <v>81</v>
      </c>
      <c r="T1589" s="308" t="s">
        <v>34264</v>
      </c>
      <c r="U1589" s="308"/>
      <c r="V1589" s="312"/>
    </row>
    <row r="1590">
      <c r="A1590" s="308">
        <v>1589.0</v>
      </c>
      <c r="B1590" s="308"/>
      <c r="C1590" s="308">
        <v>1609.0</v>
      </c>
      <c r="D1590" s="308">
        <f>IFERROR(__xludf.DUMMYFUNCTION("SPLIT(C1590,""-"")"),1609.0)</f>
        <v>1609</v>
      </c>
      <c r="E1590" s="311"/>
      <c r="F1590" s="309" t="s">
        <v>34</v>
      </c>
      <c r="G1590" s="308"/>
      <c r="H1590" s="308" t="s">
        <v>6240</v>
      </c>
      <c r="I1590" s="314">
        <v>40901.0</v>
      </c>
      <c r="J1590" s="319">
        <f>IFERROR(__xludf.DUMMYFUNCTION("SPLIT(I1590,""/"")"),24.0)</f>
        <v>24</v>
      </c>
      <c r="K1590" s="308">
        <f>IFERROR(__xludf.DUMMYFUNCTION("""COMPUTED_VALUE"""),12.0)</f>
        <v>12</v>
      </c>
      <c r="L1590" s="308">
        <f>IFERROR(__xludf.DUMMYFUNCTION("""COMPUTED_VALUE"""),2011.0)</f>
        <v>2011</v>
      </c>
      <c r="M1590" s="308" t="s">
        <v>6241</v>
      </c>
      <c r="N1590" s="308"/>
      <c r="O1590" s="312" t="s">
        <v>635</v>
      </c>
      <c r="P1590" s="308" t="s">
        <v>6242</v>
      </c>
      <c r="Q1590" s="308"/>
      <c r="R1590" s="308"/>
      <c r="S1590" s="308" t="s">
        <v>81</v>
      </c>
      <c r="T1590" s="308" t="s">
        <v>34264</v>
      </c>
      <c r="U1590" s="308"/>
      <c r="V1590" s="312"/>
    </row>
    <row r="1591">
      <c r="A1591" s="308">
        <v>1590.0</v>
      </c>
      <c r="B1591" s="308"/>
      <c r="C1591" s="308" t="s">
        <v>6243</v>
      </c>
      <c r="D1591" s="308">
        <f>IFERROR(__xludf.DUMMYFUNCTION("SPLIT(C1591,""-"")"),1610.0)</f>
        <v>1610</v>
      </c>
      <c r="E1591" s="308" t="str">
        <f>IFERROR(__xludf.DUMMYFUNCTION("""COMPUTED_VALUE"""),"K")</f>
        <v>K</v>
      </c>
      <c r="F1591" s="309" t="s">
        <v>34</v>
      </c>
      <c r="G1591" s="308"/>
      <c r="H1591" s="308" t="s">
        <v>36179</v>
      </c>
      <c r="I1591" s="322"/>
      <c r="J1591" s="323">
        <v>0.0</v>
      </c>
      <c r="K1591" s="311">
        <v>0.0</v>
      </c>
      <c r="L1591" s="311" t="s">
        <v>79</v>
      </c>
      <c r="M1591" s="308" t="s">
        <v>6245</v>
      </c>
      <c r="N1591" s="308" t="s">
        <v>6246</v>
      </c>
      <c r="O1591" s="312" t="s">
        <v>6247</v>
      </c>
      <c r="P1591" s="308" t="s">
        <v>3575</v>
      </c>
      <c r="Q1591" s="308"/>
      <c r="R1591" s="308"/>
      <c r="S1591" s="315" t="s">
        <v>100</v>
      </c>
      <c r="T1591" s="311" t="s">
        <v>34208</v>
      </c>
      <c r="U1591" s="308" t="s">
        <v>2152</v>
      </c>
      <c r="V1591" s="312"/>
    </row>
    <row r="1592">
      <c r="A1592" s="308">
        <v>1591.0</v>
      </c>
      <c r="B1592" s="308"/>
      <c r="C1592" s="308">
        <v>1611.0</v>
      </c>
      <c r="D1592" s="308">
        <f>IFERROR(__xludf.DUMMYFUNCTION("SPLIT(C1592,""-"")"),1611.0)</f>
        <v>1611</v>
      </c>
      <c r="E1592" s="311"/>
      <c r="F1592" s="309" t="s">
        <v>34</v>
      </c>
      <c r="G1592" s="308"/>
      <c r="H1592" s="308" t="s">
        <v>6248</v>
      </c>
      <c r="I1592" s="316">
        <v>2009.0</v>
      </c>
      <c r="J1592" s="319"/>
      <c r="K1592" s="308"/>
      <c r="L1592" s="311">
        <v>2009.0</v>
      </c>
      <c r="M1592" s="308" t="s">
        <v>6249</v>
      </c>
      <c r="N1592" s="308"/>
      <c r="O1592" s="312" t="s">
        <v>6250</v>
      </c>
      <c r="P1592" s="308" t="s">
        <v>6251</v>
      </c>
      <c r="Q1592" s="308"/>
      <c r="R1592" s="308"/>
      <c r="S1592" s="308" t="s">
        <v>81</v>
      </c>
      <c r="T1592" s="308" t="s">
        <v>34264</v>
      </c>
      <c r="U1592" s="308"/>
      <c r="V1592" s="312"/>
    </row>
    <row r="1593">
      <c r="A1593" s="308">
        <v>1592.0</v>
      </c>
      <c r="B1593" s="308"/>
      <c r="C1593" s="308">
        <v>1612.0</v>
      </c>
      <c r="D1593" s="308">
        <f>IFERROR(__xludf.DUMMYFUNCTION("SPLIT(C1593,""-"")"),1612.0)</f>
        <v>1612</v>
      </c>
      <c r="E1593" s="311"/>
      <c r="F1593" s="309" t="s">
        <v>34</v>
      </c>
      <c r="G1593" s="308"/>
      <c r="H1593" s="308" t="s">
        <v>6252</v>
      </c>
      <c r="I1593" s="316">
        <v>2012.0</v>
      </c>
      <c r="J1593" s="319"/>
      <c r="K1593" s="308"/>
      <c r="L1593" s="311">
        <v>2012.0</v>
      </c>
      <c r="M1593" s="308" t="s">
        <v>36180</v>
      </c>
      <c r="N1593" s="308"/>
      <c r="O1593" s="312" t="s">
        <v>6254</v>
      </c>
      <c r="P1593" s="308" t="s">
        <v>6255</v>
      </c>
      <c r="Q1593" s="308"/>
      <c r="R1593" s="308"/>
      <c r="S1593" s="308" t="s">
        <v>81</v>
      </c>
      <c r="T1593" s="311" t="s">
        <v>77</v>
      </c>
      <c r="U1593" s="308"/>
      <c r="V1593" s="312"/>
    </row>
    <row r="1594">
      <c r="A1594" s="308">
        <v>1593.0</v>
      </c>
      <c r="B1594" s="308"/>
      <c r="C1594" s="308">
        <v>1613.0</v>
      </c>
      <c r="D1594" s="308">
        <f>IFERROR(__xludf.DUMMYFUNCTION("SPLIT(C1594,""-"")"),1613.0)</f>
        <v>1613</v>
      </c>
      <c r="E1594" s="311"/>
      <c r="F1594" s="309" t="s">
        <v>34</v>
      </c>
      <c r="G1594" s="308"/>
      <c r="H1594" s="308" t="s">
        <v>6256</v>
      </c>
      <c r="I1594" s="324">
        <v>41365.0</v>
      </c>
      <c r="J1594" s="319"/>
      <c r="K1594" s="311">
        <v>4.0</v>
      </c>
      <c r="L1594" s="311">
        <v>2013.0</v>
      </c>
      <c r="M1594" s="308" t="s">
        <v>5962</v>
      </c>
      <c r="N1594" s="308"/>
      <c r="O1594" s="312" t="s">
        <v>6257</v>
      </c>
      <c r="P1594" s="308" t="s">
        <v>6258</v>
      </c>
      <c r="Q1594" s="308"/>
      <c r="R1594" s="308"/>
      <c r="S1594" s="308" t="s">
        <v>81</v>
      </c>
      <c r="T1594" s="308" t="s">
        <v>34264</v>
      </c>
      <c r="U1594" s="308"/>
      <c r="V1594" s="312"/>
    </row>
    <row r="1595">
      <c r="A1595" s="308">
        <v>1594.0</v>
      </c>
      <c r="B1595" s="308"/>
      <c r="C1595" s="308">
        <v>1614.0</v>
      </c>
      <c r="D1595" s="308">
        <f>IFERROR(__xludf.DUMMYFUNCTION("SPLIT(C1595,""-"")"),1614.0)</f>
        <v>1614</v>
      </c>
      <c r="E1595" s="311"/>
      <c r="F1595" s="309" t="s">
        <v>34</v>
      </c>
      <c r="G1595" s="308"/>
      <c r="H1595" s="308" t="s">
        <v>36181</v>
      </c>
      <c r="I1595" s="314">
        <v>40021.0</v>
      </c>
      <c r="J1595" s="319">
        <f>IFERROR(__xludf.DUMMYFUNCTION("SPLIT(I1595,""/"")"),27.0)</f>
        <v>27</v>
      </c>
      <c r="K1595" s="308">
        <f>IFERROR(__xludf.DUMMYFUNCTION("""COMPUTED_VALUE"""),7.0)</f>
        <v>7</v>
      </c>
      <c r="L1595" s="308">
        <f>IFERROR(__xludf.DUMMYFUNCTION("""COMPUTED_VALUE"""),2009.0)</f>
        <v>2009</v>
      </c>
      <c r="M1595" s="308" t="s">
        <v>6260</v>
      </c>
      <c r="N1595" s="308"/>
      <c r="O1595" s="312" t="s">
        <v>6261</v>
      </c>
      <c r="P1595" s="308" t="s">
        <v>6262</v>
      </c>
      <c r="Q1595" s="308"/>
      <c r="R1595" s="308"/>
      <c r="S1595" s="315" t="s">
        <v>100</v>
      </c>
      <c r="T1595" s="311" t="s">
        <v>34208</v>
      </c>
      <c r="U1595" s="308" t="s">
        <v>368</v>
      </c>
      <c r="V1595" s="312"/>
    </row>
    <row r="1596">
      <c r="A1596" s="308">
        <v>1595.0</v>
      </c>
      <c r="B1596" s="308"/>
      <c r="C1596" s="308">
        <v>1615.0</v>
      </c>
      <c r="D1596" s="308">
        <f>IFERROR(__xludf.DUMMYFUNCTION("SPLIT(C1596,""-"")"),1615.0)</f>
        <v>1615</v>
      </c>
      <c r="E1596" s="311"/>
      <c r="F1596" s="309" t="s">
        <v>34</v>
      </c>
      <c r="G1596" s="308"/>
      <c r="H1596" s="308" t="s">
        <v>6263</v>
      </c>
      <c r="I1596" s="314">
        <v>40038.0</v>
      </c>
      <c r="J1596" s="319">
        <f>IFERROR(__xludf.DUMMYFUNCTION("SPLIT(I1596,""/"")"),13.0)</f>
        <v>13</v>
      </c>
      <c r="K1596" s="308">
        <f>IFERROR(__xludf.DUMMYFUNCTION("""COMPUTED_VALUE"""),8.0)</f>
        <v>8</v>
      </c>
      <c r="L1596" s="308">
        <f>IFERROR(__xludf.DUMMYFUNCTION("""COMPUTED_VALUE"""),2009.0)</f>
        <v>2009</v>
      </c>
      <c r="M1596" s="308" t="s">
        <v>6264</v>
      </c>
      <c r="N1596" s="308"/>
      <c r="O1596" s="312" t="s">
        <v>6265</v>
      </c>
      <c r="P1596" s="308" t="s">
        <v>6266</v>
      </c>
      <c r="Q1596" s="308"/>
      <c r="R1596" s="308"/>
      <c r="S1596" s="308" t="s">
        <v>81</v>
      </c>
      <c r="T1596" s="308" t="s">
        <v>98</v>
      </c>
      <c r="U1596" s="308"/>
      <c r="V1596" s="312"/>
    </row>
    <row r="1597">
      <c r="A1597" s="308">
        <v>1596.0</v>
      </c>
      <c r="B1597" s="308"/>
      <c r="C1597" s="308">
        <v>1616.0</v>
      </c>
      <c r="D1597" s="308">
        <f>IFERROR(__xludf.DUMMYFUNCTION("SPLIT(C1597,""-"")"),1616.0)</f>
        <v>1616</v>
      </c>
      <c r="E1597" s="311"/>
      <c r="F1597" s="309" t="s">
        <v>34</v>
      </c>
      <c r="G1597" s="308"/>
      <c r="H1597" s="308" t="s">
        <v>6267</v>
      </c>
      <c r="I1597" s="314">
        <v>40038.0</v>
      </c>
      <c r="J1597" s="319">
        <f>IFERROR(__xludf.DUMMYFUNCTION("SPLIT(I1597,""/"")"),13.0)</f>
        <v>13</v>
      </c>
      <c r="K1597" s="308">
        <f>IFERROR(__xludf.DUMMYFUNCTION("""COMPUTED_VALUE"""),8.0)</f>
        <v>8</v>
      </c>
      <c r="L1597" s="308">
        <f>IFERROR(__xludf.DUMMYFUNCTION("""COMPUTED_VALUE"""),2009.0)</f>
        <v>2009</v>
      </c>
      <c r="M1597" s="308" t="s">
        <v>36182</v>
      </c>
      <c r="N1597" s="308"/>
      <c r="O1597" s="312" t="s">
        <v>6269</v>
      </c>
      <c r="P1597" s="308" t="s">
        <v>6266</v>
      </c>
      <c r="Q1597" s="308"/>
      <c r="R1597" s="308"/>
      <c r="S1597" s="308" t="s">
        <v>81</v>
      </c>
      <c r="T1597" s="308" t="s">
        <v>98</v>
      </c>
      <c r="U1597" s="308"/>
      <c r="V1597" s="312"/>
    </row>
    <row r="1598">
      <c r="A1598" s="308">
        <v>1597.0</v>
      </c>
      <c r="B1598" s="308"/>
      <c r="C1598" s="308">
        <v>1617.0</v>
      </c>
      <c r="D1598" s="308">
        <f>IFERROR(__xludf.DUMMYFUNCTION("SPLIT(C1598,""-"")"),1617.0)</f>
        <v>1617</v>
      </c>
      <c r="E1598" s="311"/>
      <c r="F1598" s="309" t="s">
        <v>34</v>
      </c>
      <c r="G1598" s="308"/>
      <c r="H1598" s="308" t="s">
        <v>6270</v>
      </c>
      <c r="I1598" s="316">
        <v>2009.0</v>
      </c>
      <c r="J1598" s="319"/>
      <c r="K1598" s="308"/>
      <c r="L1598" s="311">
        <v>2009.0</v>
      </c>
      <c r="M1598" s="308" t="s">
        <v>6271</v>
      </c>
      <c r="N1598" s="308"/>
      <c r="O1598" s="312" t="s">
        <v>6269</v>
      </c>
      <c r="P1598" s="308" t="s">
        <v>36183</v>
      </c>
      <c r="Q1598" s="308"/>
      <c r="R1598" s="308"/>
      <c r="S1598" s="308" t="s">
        <v>81</v>
      </c>
      <c r="T1598" s="308" t="s">
        <v>34264</v>
      </c>
      <c r="U1598" s="308"/>
      <c r="V1598" s="312"/>
    </row>
    <row r="1599">
      <c r="A1599" s="308">
        <v>1598.0</v>
      </c>
      <c r="B1599" s="308"/>
      <c r="C1599" s="308">
        <v>1618.0</v>
      </c>
      <c r="D1599" s="308">
        <f>IFERROR(__xludf.DUMMYFUNCTION("SPLIT(C1599,""-"")"),1618.0)</f>
        <v>1618</v>
      </c>
      <c r="E1599" s="311"/>
      <c r="F1599" s="309" t="s">
        <v>34</v>
      </c>
      <c r="G1599" s="308"/>
      <c r="H1599" s="308" t="s">
        <v>6273</v>
      </c>
      <c r="I1599" s="314">
        <v>40158.0</v>
      </c>
      <c r="J1599" s="319">
        <f>IFERROR(__xludf.DUMMYFUNCTION("SPLIT(I1599,""/"")"),11.0)</f>
        <v>11</v>
      </c>
      <c r="K1599" s="308">
        <f>IFERROR(__xludf.DUMMYFUNCTION("""COMPUTED_VALUE"""),12.0)</f>
        <v>12</v>
      </c>
      <c r="L1599" s="308">
        <f>IFERROR(__xludf.DUMMYFUNCTION("""COMPUTED_VALUE"""),2009.0)</f>
        <v>2009</v>
      </c>
      <c r="M1599" s="308" t="s">
        <v>6274</v>
      </c>
      <c r="N1599" s="308"/>
      <c r="O1599" s="312" t="s">
        <v>36184</v>
      </c>
      <c r="P1599" s="308" t="s">
        <v>2675</v>
      </c>
      <c r="Q1599" s="308"/>
      <c r="R1599" s="308"/>
      <c r="S1599" s="308" t="s">
        <v>49</v>
      </c>
      <c r="T1599" s="308" t="s">
        <v>51</v>
      </c>
      <c r="U1599" s="308" t="s">
        <v>137</v>
      </c>
      <c r="V1599" s="312"/>
    </row>
    <row r="1600">
      <c r="A1600" s="308">
        <v>1599.0</v>
      </c>
      <c r="B1600" s="308"/>
      <c r="C1600" s="308">
        <v>1619.0</v>
      </c>
      <c r="D1600" s="308">
        <f>IFERROR(__xludf.DUMMYFUNCTION("SPLIT(C1600,""-"")"),1619.0)</f>
        <v>1619</v>
      </c>
      <c r="E1600" s="311"/>
      <c r="F1600" s="309" t="s">
        <v>34</v>
      </c>
      <c r="G1600" s="308"/>
      <c r="H1600" s="308" t="s">
        <v>6276</v>
      </c>
      <c r="I1600" s="314">
        <v>41403.0</v>
      </c>
      <c r="J1600" s="319">
        <f>IFERROR(__xludf.DUMMYFUNCTION("SPLIT(I1600,""/"")"),9.0)</f>
        <v>9</v>
      </c>
      <c r="K1600" s="308">
        <f>IFERROR(__xludf.DUMMYFUNCTION("""COMPUTED_VALUE"""),5.0)</f>
        <v>5</v>
      </c>
      <c r="L1600" s="308">
        <f>IFERROR(__xludf.DUMMYFUNCTION("""COMPUTED_VALUE"""),2013.0)</f>
        <v>2013</v>
      </c>
      <c r="M1600" s="308" t="s">
        <v>6277</v>
      </c>
      <c r="N1600" s="308"/>
      <c r="O1600" s="312" t="s">
        <v>635</v>
      </c>
      <c r="P1600" s="308" t="s">
        <v>36185</v>
      </c>
      <c r="Q1600" s="308"/>
      <c r="R1600" s="308"/>
      <c r="S1600" s="308" t="s">
        <v>81</v>
      </c>
      <c r="T1600" s="308" t="s">
        <v>98</v>
      </c>
      <c r="U1600" s="308"/>
      <c r="V1600" s="312"/>
    </row>
    <row r="1601">
      <c r="A1601" s="308">
        <v>1600.0</v>
      </c>
      <c r="B1601" s="308"/>
      <c r="C1601" s="308">
        <v>1620.0</v>
      </c>
      <c r="D1601" s="308">
        <f>IFERROR(__xludf.DUMMYFUNCTION("SPLIT(C1601,""-"")"),1620.0)</f>
        <v>1620</v>
      </c>
      <c r="E1601" s="311"/>
      <c r="F1601" s="309" t="s">
        <v>34</v>
      </c>
      <c r="G1601" s="308"/>
      <c r="H1601" s="308" t="s">
        <v>6279</v>
      </c>
      <c r="I1601" s="316">
        <v>2009.0</v>
      </c>
      <c r="J1601" s="319"/>
      <c r="K1601" s="308"/>
      <c r="L1601" s="311">
        <v>2009.0</v>
      </c>
      <c r="M1601" s="308" t="s">
        <v>6280</v>
      </c>
      <c r="N1601" s="308"/>
      <c r="O1601" s="312" t="s">
        <v>36186</v>
      </c>
      <c r="P1601" s="308" t="s">
        <v>6282</v>
      </c>
      <c r="Q1601" s="308"/>
      <c r="R1601" s="308"/>
      <c r="S1601" s="308" t="s">
        <v>81</v>
      </c>
      <c r="T1601" s="308" t="s">
        <v>34264</v>
      </c>
      <c r="U1601" s="308"/>
      <c r="V1601" s="312"/>
    </row>
    <row r="1602">
      <c r="A1602" s="308">
        <v>1601.0</v>
      </c>
      <c r="B1602" s="308"/>
      <c r="C1602" s="308">
        <v>1621.0</v>
      </c>
      <c r="D1602" s="308">
        <f>IFERROR(__xludf.DUMMYFUNCTION("SPLIT(C1602,""-"")"),1621.0)</f>
        <v>1621</v>
      </c>
      <c r="E1602" s="311"/>
      <c r="F1602" s="309" t="s">
        <v>34</v>
      </c>
      <c r="G1602" s="308"/>
      <c r="H1602" s="308" t="s">
        <v>6283</v>
      </c>
      <c r="I1602" s="316">
        <v>2009.0</v>
      </c>
      <c r="J1602" s="319"/>
      <c r="K1602" s="308"/>
      <c r="L1602" s="311">
        <v>2009.0</v>
      </c>
      <c r="M1602" s="308" t="s">
        <v>6284</v>
      </c>
      <c r="N1602" s="308"/>
      <c r="O1602" s="312" t="s">
        <v>635</v>
      </c>
      <c r="P1602" s="308" t="s">
        <v>6285</v>
      </c>
      <c r="Q1602" s="308"/>
      <c r="R1602" s="308"/>
      <c r="S1602" s="308" t="s">
        <v>81</v>
      </c>
      <c r="T1602" s="308" t="s">
        <v>75</v>
      </c>
      <c r="U1602" s="308"/>
      <c r="V1602" s="312"/>
    </row>
    <row r="1603">
      <c r="A1603" s="308">
        <v>1602.0</v>
      </c>
      <c r="B1603" s="308"/>
      <c r="C1603" s="308">
        <v>1622.0</v>
      </c>
      <c r="D1603" s="308">
        <f>IFERROR(__xludf.DUMMYFUNCTION("SPLIT(C1603,""-"")"),1622.0)</f>
        <v>1622</v>
      </c>
      <c r="E1603" s="311"/>
      <c r="F1603" s="309" t="s">
        <v>34</v>
      </c>
      <c r="G1603" s="308"/>
      <c r="H1603" s="308" t="s">
        <v>6286</v>
      </c>
      <c r="I1603" s="316">
        <v>2010.0</v>
      </c>
      <c r="J1603" s="319"/>
      <c r="K1603" s="308"/>
      <c r="L1603" s="311">
        <v>2010.0</v>
      </c>
      <c r="M1603" s="308" t="s">
        <v>6287</v>
      </c>
      <c r="N1603" s="308"/>
      <c r="O1603" s="312" t="s">
        <v>36187</v>
      </c>
      <c r="P1603" s="308" t="s">
        <v>6289</v>
      </c>
      <c r="Q1603" s="308"/>
      <c r="R1603" s="308"/>
      <c r="S1603" s="308" t="s">
        <v>81</v>
      </c>
      <c r="T1603" s="308" t="s">
        <v>34264</v>
      </c>
      <c r="U1603" s="308"/>
      <c r="V1603" s="312"/>
    </row>
    <row r="1604">
      <c r="A1604" s="308">
        <v>1603.0</v>
      </c>
      <c r="B1604" s="308"/>
      <c r="C1604" s="308">
        <v>1623.0</v>
      </c>
      <c r="D1604" s="308">
        <f>IFERROR(__xludf.DUMMYFUNCTION("SPLIT(C1604,""-"")"),1623.0)</f>
        <v>1623</v>
      </c>
      <c r="E1604" s="311"/>
      <c r="F1604" s="309" t="s">
        <v>34</v>
      </c>
      <c r="G1604" s="308"/>
      <c r="H1604" s="308" t="s">
        <v>6290</v>
      </c>
      <c r="I1604" s="322"/>
      <c r="J1604" s="323">
        <v>0.0</v>
      </c>
      <c r="K1604" s="311">
        <v>0.0</v>
      </c>
      <c r="L1604" s="311" t="s">
        <v>79</v>
      </c>
      <c r="M1604" s="308" t="s">
        <v>6291</v>
      </c>
      <c r="N1604" s="308"/>
      <c r="O1604" s="312" t="s">
        <v>36188</v>
      </c>
      <c r="P1604" s="308" t="s">
        <v>6293</v>
      </c>
      <c r="Q1604" s="308"/>
      <c r="R1604" s="308"/>
      <c r="S1604" s="308" t="s">
        <v>81</v>
      </c>
      <c r="T1604" s="308" t="s">
        <v>34264</v>
      </c>
      <c r="U1604" s="308"/>
      <c r="V1604" s="312"/>
    </row>
    <row r="1605">
      <c r="A1605" s="308">
        <v>1604.0</v>
      </c>
      <c r="B1605" s="308"/>
      <c r="C1605" s="308">
        <v>1624.0</v>
      </c>
      <c r="D1605" s="308">
        <f>IFERROR(__xludf.DUMMYFUNCTION("SPLIT(C1605,""-"")"),1624.0)</f>
        <v>1624</v>
      </c>
      <c r="E1605" s="311"/>
      <c r="F1605" s="309" t="s">
        <v>34</v>
      </c>
      <c r="G1605" s="308"/>
      <c r="H1605" s="308" t="s">
        <v>6294</v>
      </c>
      <c r="I1605" s="314">
        <v>40066.0</v>
      </c>
      <c r="J1605" s="319">
        <f>IFERROR(__xludf.DUMMYFUNCTION("SPLIT(I1605,""/"")"),10.0)</f>
        <v>10</v>
      </c>
      <c r="K1605" s="308">
        <f>IFERROR(__xludf.DUMMYFUNCTION("""COMPUTED_VALUE"""),9.0)</f>
        <v>9</v>
      </c>
      <c r="L1605" s="308">
        <f>IFERROR(__xludf.DUMMYFUNCTION("""COMPUTED_VALUE"""),2009.0)</f>
        <v>2009</v>
      </c>
      <c r="M1605" s="308" t="s">
        <v>6295</v>
      </c>
      <c r="N1605" s="308"/>
      <c r="O1605" s="312" t="s">
        <v>6296</v>
      </c>
      <c r="P1605" s="308" t="s">
        <v>1872</v>
      </c>
      <c r="Q1605" s="308"/>
      <c r="R1605" s="308"/>
      <c r="S1605" s="315" t="s">
        <v>100</v>
      </c>
      <c r="T1605" s="311" t="s">
        <v>34208</v>
      </c>
      <c r="U1605" s="308" t="s">
        <v>530</v>
      </c>
      <c r="V1605" s="312"/>
    </row>
    <row r="1606">
      <c r="A1606" s="308">
        <v>1605.0</v>
      </c>
      <c r="B1606" s="308"/>
      <c r="C1606" s="308">
        <v>1625.0</v>
      </c>
      <c r="D1606" s="308">
        <f>IFERROR(__xludf.DUMMYFUNCTION("SPLIT(C1606,""-"")"),1625.0)</f>
        <v>1625</v>
      </c>
      <c r="E1606" s="311"/>
      <c r="F1606" s="309" t="s">
        <v>34</v>
      </c>
      <c r="G1606" s="308"/>
      <c r="H1606" s="308" t="s">
        <v>6297</v>
      </c>
      <c r="I1606" s="314">
        <v>40219.0</v>
      </c>
      <c r="J1606" s="319">
        <f>IFERROR(__xludf.DUMMYFUNCTION("SPLIT(I1606,""/"")"),10.0)</f>
        <v>10</v>
      </c>
      <c r="K1606" s="308">
        <f>IFERROR(__xludf.DUMMYFUNCTION("""COMPUTED_VALUE"""),2.0)</f>
        <v>2</v>
      </c>
      <c r="L1606" s="308">
        <f>IFERROR(__xludf.DUMMYFUNCTION("""COMPUTED_VALUE"""),2010.0)</f>
        <v>2010</v>
      </c>
      <c r="M1606" s="308" t="s">
        <v>6298</v>
      </c>
      <c r="N1606" s="308"/>
      <c r="O1606" s="312" t="s">
        <v>6299</v>
      </c>
      <c r="P1606" s="308" t="s">
        <v>6300</v>
      </c>
      <c r="Q1606" s="308"/>
      <c r="R1606" s="308"/>
      <c r="S1606" s="308" t="s">
        <v>81</v>
      </c>
      <c r="T1606" s="311" t="s">
        <v>91</v>
      </c>
      <c r="U1606" s="308" t="s">
        <v>31</v>
      </c>
      <c r="V1606" s="312"/>
    </row>
    <row r="1607">
      <c r="A1607" s="308">
        <v>1606.0</v>
      </c>
      <c r="B1607" s="308"/>
      <c r="C1607" s="308">
        <v>1626.0</v>
      </c>
      <c r="D1607" s="308">
        <f>IFERROR(__xludf.DUMMYFUNCTION("SPLIT(C1607,""-"")"),1626.0)</f>
        <v>1626</v>
      </c>
      <c r="E1607" s="311"/>
      <c r="F1607" s="309" t="s">
        <v>34</v>
      </c>
      <c r="G1607" s="308"/>
      <c r="H1607" s="308" t="s">
        <v>6301</v>
      </c>
      <c r="I1607" s="314">
        <v>40076.0</v>
      </c>
      <c r="J1607" s="319">
        <f>IFERROR(__xludf.DUMMYFUNCTION("SPLIT(I1607,""/"")"),20.0)</f>
        <v>20</v>
      </c>
      <c r="K1607" s="308">
        <f>IFERROR(__xludf.DUMMYFUNCTION("""COMPUTED_VALUE"""),9.0)</f>
        <v>9</v>
      </c>
      <c r="L1607" s="308">
        <f>IFERROR(__xludf.DUMMYFUNCTION("""COMPUTED_VALUE"""),2009.0)</f>
        <v>2009</v>
      </c>
      <c r="M1607" s="308" t="s">
        <v>6302</v>
      </c>
      <c r="N1607" s="308"/>
      <c r="O1607" s="312" t="s">
        <v>6303</v>
      </c>
      <c r="P1607" s="308" t="s">
        <v>6304</v>
      </c>
      <c r="Q1607" s="308"/>
      <c r="R1607" s="308"/>
      <c r="S1607" s="308" t="s">
        <v>81</v>
      </c>
      <c r="T1607" s="308" t="s">
        <v>34264</v>
      </c>
      <c r="U1607" s="308"/>
      <c r="V1607" s="312"/>
    </row>
    <row r="1608">
      <c r="A1608" s="308">
        <v>1607.0</v>
      </c>
      <c r="B1608" s="308"/>
      <c r="C1608" s="308">
        <v>1627.0</v>
      </c>
      <c r="D1608" s="308">
        <f>IFERROR(__xludf.DUMMYFUNCTION("SPLIT(C1608,""-"")"),1627.0)</f>
        <v>1627</v>
      </c>
      <c r="E1608" s="311"/>
      <c r="F1608" s="309" t="s">
        <v>34</v>
      </c>
      <c r="G1608" s="308"/>
      <c r="H1608" s="308" t="s">
        <v>6305</v>
      </c>
      <c r="I1608" s="314">
        <v>40179.0</v>
      </c>
      <c r="J1608" s="319">
        <f>IFERROR(__xludf.DUMMYFUNCTION("SPLIT(I1608,""/"")"),1.0)</f>
        <v>1</v>
      </c>
      <c r="K1608" s="308">
        <f>IFERROR(__xludf.DUMMYFUNCTION("""COMPUTED_VALUE"""),1.0)</f>
        <v>1</v>
      </c>
      <c r="L1608" s="308">
        <f>IFERROR(__xludf.DUMMYFUNCTION("""COMPUTED_VALUE"""),2010.0)</f>
        <v>2010</v>
      </c>
      <c r="M1608" s="308" t="s">
        <v>6306</v>
      </c>
      <c r="N1608" s="308"/>
      <c r="O1608" s="312" t="s">
        <v>36189</v>
      </c>
      <c r="P1608" s="308" t="s">
        <v>2872</v>
      </c>
      <c r="Q1608" s="308"/>
      <c r="R1608" s="308"/>
      <c r="S1608" s="315" t="s">
        <v>100</v>
      </c>
      <c r="T1608" s="311" t="s">
        <v>34208</v>
      </c>
      <c r="U1608" s="308" t="s">
        <v>125</v>
      </c>
      <c r="V1608" s="312"/>
    </row>
    <row r="1609">
      <c r="A1609" s="308">
        <v>1608.0</v>
      </c>
      <c r="B1609" s="308"/>
      <c r="C1609" s="308">
        <v>1628.0</v>
      </c>
      <c r="D1609" s="308">
        <f>IFERROR(__xludf.DUMMYFUNCTION("SPLIT(C1609,""-"")"),1628.0)</f>
        <v>1628</v>
      </c>
      <c r="E1609" s="311"/>
      <c r="F1609" s="309" t="s">
        <v>34</v>
      </c>
      <c r="G1609" s="308"/>
      <c r="H1609" s="308" t="s">
        <v>6308</v>
      </c>
      <c r="I1609" s="316">
        <v>2008.0</v>
      </c>
      <c r="J1609" s="319"/>
      <c r="K1609" s="308"/>
      <c r="L1609" s="311">
        <v>2008.0</v>
      </c>
      <c r="M1609" s="308" t="s">
        <v>6309</v>
      </c>
      <c r="N1609" s="308"/>
      <c r="O1609" s="312" t="s">
        <v>6310</v>
      </c>
      <c r="P1609" s="308" t="s">
        <v>36190</v>
      </c>
      <c r="Q1609" s="308"/>
      <c r="R1609" s="308"/>
      <c r="S1609" s="308" t="s">
        <v>81</v>
      </c>
      <c r="T1609" s="308" t="s">
        <v>34264</v>
      </c>
      <c r="U1609" s="308"/>
      <c r="V1609" s="312"/>
    </row>
    <row r="1610">
      <c r="A1610" s="308">
        <v>1609.0</v>
      </c>
      <c r="B1610" s="308"/>
      <c r="C1610" s="308">
        <v>1629.0</v>
      </c>
      <c r="D1610" s="308">
        <f>IFERROR(__xludf.DUMMYFUNCTION("SPLIT(C1610,""-"")"),1629.0)</f>
        <v>1629</v>
      </c>
      <c r="E1610" s="311"/>
      <c r="F1610" s="309" t="s">
        <v>34</v>
      </c>
      <c r="G1610" s="308"/>
      <c r="H1610" s="308" t="s">
        <v>6312</v>
      </c>
      <c r="I1610" s="314">
        <v>40993.0</v>
      </c>
      <c r="J1610" s="319">
        <f>IFERROR(__xludf.DUMMYFUNCTION("SPLIT(I1610,""/"")"),25.0)</f>
        <v>25</v>
      </c>
      <c r="K1610" s="308">
        <f>IFERROR(__xludf.DUMMYFUNCTION("""COMPUTED_VALUE"""),3.0)</f>
        <v>3</v>
      </c>
      <c r="L1610" s="308">
        <f>IFERROR(__xludf.DUMMYFUNCTION("""COMPUTED_VALUE"""),2012.0)</f>
        <v>2012</v>
      </c>
      <c r="M1610" s="308" t="s">
        <v>6313</v>
      </c>
      <c r="N1610" s="308"/>
      <c r="O1610" s="312" t="s">
        <v>6314</v>
      </c>
      <c r="P1610" s="308" t="s">
        <v>6315</v>
      </c>
      <c r="Q1610" s="308"/>
      <c r="R1610" s="308"/>
      <c r="S1610" s="308" t="s">
        <v>81</v>
      </c>
      <c r="T1610" s="308" t="s">
        <v>34264</v>
      </c>
      <c r="U1610" s="308"/>
      <c r="V1610" s="312"/>
    </row>
    <row r="1611">
      <c r="A1611" s="308">
        <v>1610.0</v>
      </c>
      <c r="B1611" s="308"/>
      <c r="C1611" s="308">
        <v>1630.0</v>
      </c>
      <c r="D1611" s="308">
        <f>IFERROR(__xludf.DUMMYFUNCTION("SPLIT(C1611,""-"")"),1630.0)</f>
        <v>1630</v>
      </c>
      <c r="E1611" s="311"/>
      <c r="F1611" s="309" t="s">
        <v>34</v>
      </c>
      <c r="G1611" s="308"/>
      <c r="H1611" s="308" t="s">
        <v>6316</v>
      </c>
      <c r="I1611" s="316">
        <v>2010.0</v>
      </c>
      <c r="J1611" s="319"/>
      <c r="K1611" s="308"/>
      <c r="L1611" s="311">
        <v>2010.0</v>
      </c>
      <c r="M1611" s="308" t="s">
        <v>6317</v>
      </c>
      <c r="N1611" s="308"/>
      <c r="O1611" s="312" t="s">
        <v>6318</v>
      </c>
      <c r="P1611" s="308" t="s">
        <v>1872</v>
      </c>
      <c r="Q1611" s="308"/>
      <c r="R1611" s="308"/>
      <c r="S1611" s="315" t="s">
        <v>100</v>
      </c>
      <c r="T1611" s="311" t="s">
        <v>34208</v>
      </c>
      <c r="U1611" s="308" t="s">
        <v>530</v>
      </c>
      <c r="V1611" s="312"/>
    </row>
    <row r="1612">
      <c r="A1612" s="308">
        <v>1611.0</v>
      </c>
      <c r="B1612" s="308"/>
      <c r="C1612" s="308">
        <v>1631.0</v>
      </c>
      <c r="D1612" s="308">
        <f>IFERROR(__xludf.DUMMYFUNCTION("SPLIT(C1612,""-"")"),1631.0)</f>
        <v>1631</v>
      </c>
      <c r="E1612" s="311"/>
      <c r="F1612" s="309" t="s">
        <v>34</v>
      </c>
      <c r="G1612" s="308"/>
      <c r="H1612" s="308" t="s">
        <v>6319</v>
      </c>
      <c r="I1612" s="314">
        <v>40403.0</v>
      </c>
      <c r="J1612" s="319">
        <f>IFERROR(__xludf.DUMMYFUNCTION("SPLIT(I1612,""/"")"),13.0)</f>
        <v>13</v>
      </c>
      <c r="K1612" s="308">
        <f>IFERROR(__xludf.DUMMYFUNCTION("""COMPUTED_VALUE"""),8.0)</f>
        <v>8</v>
      </c>
      <c r="L1612" s="308">
        <f>IFERROR(__xludf.DUMMYFUNCTION("""COMPUTED_VALUE"""),2010.0)</f>
        <v>2010</v>
      </c>
      <c r="M1612" s="308" t="s">
        <v>6320</v>
      </c>
      <c r="N1612" s="308"/>
      <c r="O1612" s="312" t="s">
        <v>6321</v>
      </c>
      <c r="P1612" s="308" t="s">
        <v>6322</v>
      </c>
      <c r="Q1612" s="308"/>
      <c r="R1612" s="308"/>
      <c r="S1612" s="315" t="s">
        <v>100</v>
      </c>
      <c r="T1612" s="311" t="s">
        <v>34208</v>
      </c>
      <c r="U1612" s="308" t="s">
        <v>4749</v>
      </c>
      <c r="V1612" s="312"/>
    </row>
    <row r="1613">
      <c r="A1613" s="308">
        <v>1612.0</v>
      </c>
      <c r="B1613" s="308"/>
      <c r="C1613" s="308">
        <v>1632.0</v>
      </c>
      <c r="D1613" s="308">
        <f>IFERROR(__xludf.DUMMYFUNCTION("SPLIT(C1613,""-"")"),1632.0)</f>
        <v>1632</v>
      </c>
      <c r="E1613" s="311"/>
      <c r="F1613" s="309" t="s">
        <v>34</v>
      </c>
      <c r="G1613" s="308" t="s">
        <v>6323</v>
      </c>
      <c r="H1613" s="308" t="s">
        <v>6324</v>
      </c>
      <c r="I1613" s="325">
        <v>39995.0</v>
      </c>
      <c r="J1613" s="319"/>
      <c r="K1613" s="311">
        <v>7.0</v>
      </c>
      <c r="L1613" s="311">
        <v>2009.0</v>
      </c>
      <c r="M1613" s="308" t="s">
        <v>6325</v>
      </c>
      <c r="N1613" s="308"/>
      <c r="O1613" s="312" t="s">
        <v>6326</v>
      </c>
      <c r="P1613" s="308" t="s">
        <v>1872</v>
      </c>
      <c r="Q1613" s="308"/>
      <c r="R1613" s="308"/>
      <c r="S1613" s="315" t="s">
        <v>100</v>
      </c>
      <c r="T1613" s="311" t="s">
        <v>34208</v>
      </c>
      <c r="U1613" s="308" t="s">
        <v>530</v>
      </c>
      <c r="V1613" s="312"/>
    </row>
    <row r="1614">
      <c r="A1614" s="308">
        <v>1613.0</v>
      </c>
      <c r="B1614" s="308"/>
      <c r="C1614" s="308">
        <v>1633.0</v>
      </c>
      <c r="D1614" s="308">
        <f>IFERROR(__xludf.DUMMYFUNCTION("SPLIT(C1614,""-"")"),1633.0)</f>
        <v>1633</v>
      </c>
      <c r="E1614" s="311"/>
      <c r="F1614" s="309" t="s">
        <v>34</v>
      </c>
      <c r="G1614" s="308"/>
      <c r="H1614" s="308" t="s">
        <v>6327</v>
      </c>
      <c r="I1614" s="325">
        <v>39995.0</v>
      </c>
      <c r="J1614" s="319"/>
      <c r="K1614" s="311">
        <v>7.0</v>
      </c>
      <c r="L1614" s="311">
        <v>2009.0</v>
      </c>
      <c r="M1614" s="308" t="s">
        <v>6328</v>
      </c>
      <c r="N1614" s="308"/>
      <c r="O1614" s="312" t="s">
        <v>6326</v>
      </c>
      <c r="P1614" s="308" t="s">
        <v>6329</v>
      </c>
      <c r="Q1614" s="308"/>
      <c r="R1614" s="308"/>
      <c r="S1614" s="308" t="s">
        <v>81</v>
      </c>
      <c r="T1614" s="308" t="s">
        <v>34264</v>
      </c>
      <c r="U1614" s="308"/>
      <c r="V1614" s="312"/>
    </row>
    <row r="1615">
      <c r="A1615" s="308">
        <v>1614.0</v>
      </c>
      <c r="B1615" s="308"/>
      <c r="C1615" s="308">
        <v>1634.0</v>
      </c>
      <c r="D1615" s="308">
        <f>IFERROR(__xludf.DUMMYFUNCTION("SPLIT(C1615,""-"")"),1634.0)</f>
        <v>1634</v>
      </c>
      <c r="E1615" s="311"/>
      <c r="F1615" s="309" t="s">
        <v>34</v>
      </c>
      <c r="G1615" s="308"/>
      <c r="H1615" s="308" t="s">
        <v>6330</v>
      </c>
      <c r="I1615" s="314">
        <v>40974.0</v>
      </c>
      <c r="J1615" s="319">
        <f>IFERROR(__xludf.DUMMYFUNCTION("SPLIT(I1615,""/"")"),6.0)</f>
        <v>6</v>
      </c>
      <c r="K1615" s="308">
        <f>IFERROR(__xludf.DUMMYFUNCTION("""COMPUTED_VALUE"""),3.0)</f>
        <v>3</v>
      </c>
      <c r="L1615" s="308">
        <f>IFERROR(__xludf.DUMMYFUNCTION("""COMPUTED_VALUE"""),2012.0)</f>
        <v>2012</v>
      </c>
      <c r="M1615" s="308" t="s">
        <v>6331</v>
      </c>
      <c r="N1615" s="308"/>
      <c r="O1615" s="312" t="s">
        <v>6332</v>
      </c>
      <c r="P1615" s="308" t="s">
        <v>6333</v>
      </c>
      <c r="Q1615" s="308"/>
      <c r="R1615" s="308"/>
      <c r="S1615" s="308" t="s">
        <v>81</v>
      </c>
      <c r="T1615" s="308" t="s">
        <v>98</v>
      </c>
      <c r="U1615" s="308"/>
      <c r="V1615" s="312"/>
    </row>
    <row r="1616">
      <c r="A1616" s="308">
        <v>1615.0</v>
      </c>
      <c r="B1616" s="308"/>
      <c r="C1616" s="308">
        <v>1635.0</v>
      </c>
      <c r="D1616" s="308">
        <f>IFERROR(__xludf.DUMMYFUNCTION("SPLIT(C1616,""-"")"),1635.0)</f>
        <v>1635</v>
      </c>
      <c r="E1616" s="311"/>
      <c r="F1616" s="309" t="s">
        <v>34</v>
      </c>
      <c r="G1616" s="308"/>
      <c r="H1616" s="308" t="s">
        <v>36191</v>
      </c>
      <c r="I1616" s="322"/>
      <c r="J1616" s="323">
        <v>0.0</v>
      </c>
      <c r="K1616" s="311">
        <v>0.0</v>
      </c>
      <c r="L1616" s="311" t="s">
        <v>79</v>
      </c>
      <c r="M1616" s="308" t="s">
        <v>6335</v>
      </c>
      <c r="N1616" s="308"/>
      <c r="O1616" s="312" t="s">
        <v>6336</v>
      </c>
      <c r="P1616" s="308" t="s">
        <v>6337</v>
      </c>
      <c r="Q1616" s="308"/>
      <c r="R1616" s="308"/>
      <c r="S1616" s="315" t="s">
        <v>100</v>
      </c>
      <c r="T1616" s="311" t="s">
        <v>34208</v>
      </c>
      <c r="U1616" s="308" t="s">
        <v>35533</v>
      </c>
      <c r="V1616" s="312"/>
    </row>
    <row r="1617">
      <c r="A1617" s="308">
        <v>1616.0</v>
      </c>
      <c r="B1617" s="308"/>
      <c r="C1617" s="308">
        <v>1636.0</v>
      </c>
      <c r="D1617" s="308">
        <f>IFERROR(__xludf.DUMMYFUNCTION("SPLIT(C1617,""-"")"),1636.0)</f>
        <v>1636</v>
      </c>
      <c r="E1617" s="311"/>
      <c r="F1617" s="309" t="s">
        <v>34</v>
      </c>
      <c r="G1617" s="308"/>
      <c r="H1617" s="308" t="s">
        <v>6338</v>
      </c>
      <c r="I1617" s="314">
        <v>40710.0</v>
      </c>
      <c r="J1617" s="319">
        <f>IFERROR(__xludf.DUMMYFUNCTION("SPLIT(I1617,""/"")"),16.0)</f>
        <v>16</v>
      </c>
      <c r="K1617" s="308">
        <f>IFERROR(__xludf.DUMMYFUNCTION("""COMPUTED_VALUE"""),6.0)</f>
        <v>6</v>
      </c>
      <c r="L1617" s="308">
        <f>IFERROR(__xludf.DUMMYFUNCTION("""COMPUTED_VALUE"""),2011.0)</f>
        <v>2011</v>
      </c>
      <c r="M1617" s="308" t="s">
        <v>6339</v>
      </c>
      <c r="N1617" s="308"/>
      <c r="O1617" s="312" t="s">
        <v>6340</v>
      </c>
      <c r="P1617" s="308" t="s">
        <v>36192</v>
      </c>
      <c r="Q1617" s="308"/>
      <c r="R1617" s="308"/>
      <c r="S1617" s="308" t="s">
        <v>81</v>
      </c>
      <c r="T1617" s="308" t="s">
        <v>34264</v>
      </c>
      <c r="U1617" s="308"/>
      <c r="V1617" s="312"/>
    </row>
    <row r="1618">
      <c r="A1618" s="308">
        <v>1617.0</v>
      </c>
      <c r="B1618" s="308"/>
      <c r="C1618" s="308">
        <v>1637.0</v>
      </c>
      <c r="D1618" s="308">
        <f>IFERROR(__xludf.DUMMYFUNCTION("SPLIT(C1618,""-"")"),1637.0)</f>
        <v>1637</v>
      </c>
      <c r="E1618" s="311"/>
      <c r="F1618" s="309" t="s">
        <v>34</v>
      </c>
      <c r="G1618" s="308"/>
      <c r="H1618" s="308" t="s">
        <v>6342</v>
      </c>
      <c r="I1618" s="314">
        <v>40379.0</v>
      </c>
      <c r="J1618" s="319">
        <f>IFERROR(__xludf.DUMMYFUNCTION("SPLIT(I1618,""/"")"),20.0)</f>
        <v>20</v>
      </c>
      <c r="K1618" s="308">
        <f>IFERROR(__xludf.DUMMYFUNCTION("""COMPUTED_VALUE"""),7.0)</f>
        <v>7</v>
      </c>
      <c r="L1618" s="308">
        <f>IFERROR(__xludf.DUMMYFUNCTION("""COMPUTED_VALUE"""),2010.0)</f>
        <v>2010</v>
      </c>
      <c r="M1618" s="308" t="s">
        <v>6343</v>
      </c>
      <c r="N1618" s="308"/>
      <c r="O1618" s="312" t="s">
        <v>6344</v>
      </c>
      <c r="P1618" s="308" t="s">
        <v>6345</v>
      </c>
      <c r="Q1618" s="308"/>
      <c r="R1618" s="308"/>
      <c r="S1618" s="308" t="s">
        <v>81</v>
      </c>
      <c r="T1618" s="308" t="s">
        <v>34264</v>
      </c>
      <c r="U1618" s="308"/>
      <c r="V1618" s="312"/>
    </row>
    <row r="1619">
      <c r="A1619" s="308">
        <v>1618.0</v>
      </c>
      <c r="B1619" s="308"/>
      <c r="C1619" s="308">
        <v>1638.0</v>
      </c>
      <c r="D1619" s="308">
        <f>IFERROR(__xludf.DUMMYFUNCTION("SPLIT(C1619,""-"")"),1638.0)</f>
        <v>1638</v>
      </c>
      <c r="E1619" s="311"/>
      <c r="F1619" s="309" t="s">
        <v>34</v>
      </c>
      <c r="G1619" s="308"/>
      <c r="H1619" s="308" t="s">
        <v>6346</v>
      </c>
      <c r="I1619" s="314">
        <v>40857.0</v>
      </c>
      <c r="J1619" s="319">
        <f>IFERROR(__xludf.DUMMYFUNCTION("SPLIT(I1619,""/"")"),10.0)</f>
        <v>10</v>
      </c>
      <c r="K1619" s="308">
        <f>IFERROR(__xludf.DUMMYFUNCTION("""COMPUTED_VALUE"""),11.0)</f>
        <v>11</v>
      </c>
      <c r="L1619" s="308">
        <f>IFERROR(__xludf.DUMMYFUNCTION("""COMPUTED_VALUE"""),2011.0)</f>
        <v>2011</v>
      </c>
      <c r="M1619" s="308" t="s">
        <v>6347</v>
      </c>
      <c r="N1619" s="308"/>
      <c r="O1619" s="312" t="s">
        <v>6348</v>
      </c>
      <c r="P1619" s="308" t="s">
        <v>6349</v>
      </c>
      <c r="Q1619" s="308"/>
      <c r="R1619" s="308"/>
      <c r="S1619" s="308" t="s">
        <v>81</v>
      </c>
      <c r="T1619" s="311" t="s">
        <v>87</v>
      </c>
      <c r="U1619" s="308"/>
      <c r="V1619" s="312"/>
    </row>
    <row r="1620">
      <c r="A1620" s="308">
        <v>1619.0</v>
      </c>
      <c r="B1620" s="308"/>
      <c r="C1620" s="308">
        <v>1639.0</v>
      </c>
      <c r="D1620" s="308">
        <f>IFERROR(__xludf.DUMMYFUNCTION("SPLIT(C1620,""-"")"),1639.0)</f>
        <v>1639</v>
      </c>
      <c r="E1620" s="311"/>
      <c r="F1620" s="309" t="s">
        <v>34</v>
      </c>
      <c r="G1620" s="308"/>
      <c r="H1620" s="308" t="s">
        <v>6350</v>
      </c>
      <c r="I1620" s="314">
        <v>40004.0</v>
      </c>
      <c r="J1620" s="319">
        <f>IFERROR(__xludf.DUMMYFUNCTION("SPLIT(I1620,""/"")"),10.0)</f>
        <v>10</v>
      </c>
      <c r="K1620" s="308">
        <f>IFERROR(__xludf.DUMMYFUNCTION("""COMPUTED_VALUE"""),7.0)</f>
        <v>7</v>
      </c>
      <c r="L1620" s="308">
        <f>IFERROR(__xludf.DUMMYFUNCTION("""COMPUTED_VALUE"""),2009.0)</f>
        <v>2009</v>
      </c>
      <c r="M1620" s="308" t="s">
        <v>6351</v>
      </c>
      <c r="N1620" s="308"/>
      <c r="O1620" s="312" t="s">
        <v>6352</v>
      </c>
      <c r="P1620" s="308" t="s">
        <v>1872</v>
      </c>
      <c r="Q1620" s="308"/>
      <c r="R1620" s="308"/>
      <c r="S1620" s="315" t="s">
        <v>100</v>
      </c>
      <c r="T1620" s="311" t="s">
        <v>34208</v>
      </c>
      <c r="U1620" s="308" t="s">
        <v>530</v>
      </c>
      <c r="V1620" s="312"/>
    </row>
    <row r="1621">
      <c r="A1621" s="308">
        <v>1620.0</v>
      </c>
      <c r="B1621" s="308"/>
      <c r="C1621" s="308" t="s">
        <v>6353</v>
      </c>
      <c r="D1621" s="308">
        <f>IFERROR(__xludf.DUMMYFUNCTION("SPLIT(C1621,""-"")"),1640.0)</f>
        <v>1640</v>
      </c>
      <c r="E1621" s="308" t="str">
        <f>IFERROR(__xludf.DUMMYFUNCTION("""COMPUTED_VALUE"""),"K")</f>
        <v>K</v>
      </c>
      <c r="F1621" s="309" t="s">
        <v>34</v>
      </c>
      <c r="G1621" s="308"/>
      <c r="H1621" s="308" t="s">
        <v>6354</v>
      </c>
      <c r="I1621" s="314">
        <v>40061.0</v>
      </c>
      <c r="J1621" s="319">
        <f>IFERROR(__xludf.DUMMYFUNCTION("SPLIT(I1621,""/"")"),5.0)</f>
        <v>5</v>
      </c>
      <c r="K1621" s="308">
        <f>IFERROR(__xludf.DUMMYFUNCTION("""COMPUTED_VALUE"""),9.0)</f>
        <v>9</v>
      </c>
      <c r="L1621" s="308">
        <f>IFERROR(__xludf.DUMMYFUNCTION("""COMPUTED_VALUE"""),2009.0)</f>
        <v>2009</v>
      </c>
      <c r="M1621" s="308" t="s">
        <v>6355</v>
      </c>
      <c r="N1621" s="308" t="s">
        <v>6356</v>
      </c>
      <c r="O1621" s="312" t="s">
        <v>36193</v>
      </c>
      <c r="P1621" s="308" t="s">
        <v>1872</v>
      </c>
      <c r="Q1621" s="308"/>
      <c r="R1621" s="308" t="s">
        <v>1496</v>
      </c>
      <c r="S1621" s="315" t="s">
        <v>100</v>
      </c>
      <c r="T1621" s="311" t="s">
        <v>34208</v>
      </c>
      <c r="U1621" s="308" t="s">
        <v>530</v>
      </c>
      <c r="V1621" s="312"/>
    </row>
    <row r="1622">
      <c r="A1622" s="308">
        <v>1621.0</v>
      </c>
      <c r="B1622" s="308"/>
      <c r="C1622" s="308" t="s">
        <v>6358</v>
      </c>
      <c r="D1622" s="308">
        <f>IFERROR(__xludf.DUMMYFUNCTION("SPLIT(C1622,""-"")"),1641.0)</f>
        <v>1641</v>
      </c>
      <c r="E1622" s="308" t="str">
        <f>IFERROR(__xludf.DUMMYFUNCTION("""COMPUTED_VALUE"""),"K")</f>
        <v>K</v>
      </c>
      <c r="F1622" s="309" t="s">
        <v>34</v>
      </c>
      <c r="G1622" s="308"/>
      <c r="H1622" s="308" t="s">
        <v>6359</v>
      </c>
      <c r="I1622" s="314">
        <v>40061.0</v>
      </c>
      <c r="J1622" s="319">
        <f>IFERROR(__xludf.DUMMYFUNCTION("SPLIT(I1622,""/"")"),5.0)</f>
        <v>5</v>
      </c>
      <c r="K1622" s="308">
        <f>IFERROR(__xludf.DUMMYFUNCTION("""COMPUTED_VALUE"""),9.0)</f>
        <v>9</v>
      </c>
      <c r="L1622" s="308">
        <f>IFERROR(__xludf.DUMMYFUNCTION("""COMPUTED_VALUE"""),2009.0)</f>
        <v>2009</v>
      </c>
      <c r="M1622" s="308" t="s">
        <v>6355</v>
      </c>
      <c r="N1622" s="308" t="s">
        <v>6360</v>
      </c>
      <c r="O1622" s="312" t="s">
        <v>36193</v>
      </c>
      <c r="P1622" s="308" t="s">
        <v>1872</v>
      </c>
      <c r="Q1622" s="308"/>
      <c r="R1622" s="308" t="s">
        <v>1496</v>
      </c>
      <c r="S1622" s="315" t="s">
        <v>100</v>
      </c>
      <c r="T1622" s="311" t="s">
        <v>34208</v>
      </c>
      <c r="U1622" s="308" t="s">
        <v>530</v>
      </c>
      <c r="V1622" s="312"/>
    </row>
    <row r="1623">
      <c r="A1623" s="308">
        <v>1622.0</v>
      </c>
      <c r="B1623" s="308"/>
      <c r="C1623" s="308">
        <v>1642.0</v>
      </c>
      <c r="D1623" s="308">
        <f>IFERROR(__xludf.DUMMYFUNCTION("SPLIT(C1623,""-"")"),1642.0)</f>
        <v>1642</v>
      </c>
      <c r="E1623" s="311"/>
      <c r="F1623" s="309" t="s">
        <v>34</v>
      </c>
      <c r="G1623" s="308"/>
      <c r="H1623" s="308" t="s">
        <v>36194</v>
      </c>
      <c r="I1623" s="325">
        <v>40360.0</v>
      </c>
      <c r="J1623" s="323">
        <v>0.0</v>
      </c>
      <c r="K1623" s="311">
        <v>7.0</v>
      </c>
      <c r="L1623" s="311">
        <v>2010.0</v>
      </c>
      <c r="M1623" s="308" t="s">
        <v>6362</v>
      </c>
      <c r="N1623" s="308"/>
      <c r="O1623" s="312" t="s">
        <v>6363</v>
      </c>
      <c r="P1623" s="308" t="s">
        <v>2675</v>
      </c>
      <c r="Q1623" s="308"/>
      <c r="R1623" s="308"/>
      <c r="S1623" s="308" t="s">
        <v>49</v>
      </c>
      <c r="T1623" s="308" t="s">
        <v>51</v>
      </c>
      <c r="U1623" s="308" t="s">
        <v>137</v>
      </c>
      <c r="V1623" s="312"/>
    </row>
    <row r="1624">
      <c r="A1624" s="308">
        <v>1623.0</v>
      </c>
      <c r="B1624" s="308"/>
      <c r="C1624" s="308">
        <v>1643.0</v>
      </c>
      <c r="D1624" s="308">
        <f>IFERROR(__xludf.DUMMYFUNCTION("SPLIT(C1624,""-"")"),1643.0)</f>
        <v>1643</v>
      </c>
      <c r="E1624" s="311"/>
      <c r="F1624" s="309" t="s">
        <v>34</v>
      </c>
      <c r="G1624" s="308"/>
      <c r="H1624" s="308" t="s">
        <v>6364</v>
      </c>
      <c r="I1624" s="314">
        <v>41232.0</v>
      </c>
      <c r="J1624" s="319">
        <f>IFERROR(__xludf.DUMMYFUNCTION("SPLIT(I1624,""/"")"),19.0)</f>
        <v>19</v>
      </c>
      <c r="K1624" s="308">
        <f>IFERROR(__xludf.DUMMYFUNCTION("""COMPUTED_VALUE"""),11.0)</f>
        <v>11</v>
      </c>
      <c r="L1624" s="308">
        <f>IFERROR(__xludf.DUMMYFUNCTION("""COMPUTED_VALUE"""),2012.0)</f>
        <v>2012</v>
      </c>
      <c r="M1624" s="308" t="s">
        <v>6365</v>
      </c>
      <c r="N1624" s="308"/>
      <c r="O1624" s="312" t="s">
        <v>36195</v>
      </c>
      <c r="P1624" s="308" t="s">
        <v>6367</v>
      </c>
      <c r="Q1624" s="308"/>
      <c r="R1624" s="308"/>
      <c r="S1624" s="308" t="s">
        <v>81</v>
      </c>
      <c r="T1624" s="308" t="s">
        <v>34264</v>
      </c>
      <c r="U1624" s="308"/>
      <c r="V1624" s="312"/>
    </row>
    <row r="1625">
      <c r="A1625" s="308">
        <v>1624.0</v>
      </c>
      <c r="B1625" s="308"/>
      <c r="C1625" s="308">
        <v>1644.0</v>
      </c>
      <c r="D1625" s="308">
        <f>IFERROR(__xludf.DUMMYFUNCTION("SPLIT(C1625,""-"")"),1644.0)</f>
        <v>1644</v>
      </c>
      <c r="E1625" s="311"/>
      <c r="F1625" s="309" t="s">
        <v>34</v>
      </c>
      <c r="G1625" s="308"/>
      <c r="H1625" s="308" t="s">
        <v>6368</v>
      </c>
      <c r="I1625" s="316" t="s">
        <v>6369</v>
      </c>
      <c r="J1625" s="319">
        <f>IFERROR(__xludf.DUMMYFUNCTION("SPLIT(I1625,""/"")"),10.0)</f>
        <v>10</v>
      </c>
      <c r="K1625" s="308">
        <f>IFERROR(__xludf.DUMMYFUNCTION("""COMPUTED_VALUE"""),14.0)</f>
        <v>14</v>
      </c>
      <c r="L1625" s="308">
        <f>IFERROR(__xludf.DUMMYFUNCTION("""COMPUTED_VALUE"""),2009.0)</f>
        <v>2009</v>
      </c>
      <c r="M1625" s="308" t="s">
        <v>6370</v>
      </c>
      <c r="N1625" s="308"/>
      <c r="O1625" s="312" t="s">
        <v>6371</v>
      </c>
      <c r="P1625" s="308" t="s">
        <v>6372</v>
      </c>
      <c r="Q1625" s="308"/>
      <c r="R1625" s="308"/>
      <c r="S1625" s="308" t="s">
        <v>49</v>
      </c>
      <c r="T1625" s="308" t="s">
        <v>51</v>
      </c>
      <c r="U1625" s="308" t="s">
        <v>530</v>
      </c>
      <c r="V1625" s="312"/>
    </row>
    <row r="1626">
      <c r="A1626" s="308">
        <v>1625.0</v>
      </c>
      <c r="B1626" s="308"/>
      <c r="C1626" s="308" t="s">
        <v>6373</v>
      </c>
      <c r="D1626" s="308">
        <f>IFERROR(__xludf.DUMMYFUNCTION("SPLIT(C1626,""-"")"),1645.0)</f>
        <v>1645</v>
      </c>
      <c r="E1626" s="308" t="str">
        <f>IFERROR(__xludf.DUMMYFUNCTION("""COMPUTED_VALUE"""),"K")</f>
        <v>K</v>
      </c>
      <c r="F1626" s="309" t="s">
        <v>34</v>
      </c>
      <c r="G1626" s="308"/>
      <c r="H1626" s="308" t="s">
        <v>6374</v>
      </c>
      <c r="I1626" s="314">
        <v>40807.0</v>
      </c>
      <c r="J1626" s="319">
        <f>IFERROR(__xludf.DUMMYFUNCTION("SPLIT(I1626,""/"")"),21.0)</f>
        <v>21</v>
      </c>
      <c r="K1626" s="308">
        <f>IFERROR(__xludf.DUMMYFUNCTION("""COMPUTED_VALUE"""),9.0)</f>
        <v>9</v>
      </c>
      <c r="L1626" s="308">
        <f>IFERROR(__xludf.DUMMYFUNCTION("""COMPUTED_VALUE"""),2011.0)</f>
        <v>2011</v>
      </c>
      <c r="M1626" s="308" t="s">
        <v>6375</v>
      </c>
      <c r="N1626" s="308"/>
      <c r="O1626" s="312" t="s">
        <v>6376</v>
      </c>
      <c r="P1626" s="308" t="s">
        <v>36196</v>
      </c>
      <c r="Q1626" s="308"/>
      <c r="R1626" s="308" t="s">
        <v>1496</v>
      </c>
      <c r="S1626" s="308" t="s">
        <v>81</v>
      </c>
      <c r="T1626" s="308" t="s">
        <v>34264</v>
      </c>
      <c r="U1626" s="308" t="s">
        <v>201</v>
      </c>
      <c r="V1626" s="312"/>
    </row>
    <row r="1627">
      <c r="A1627" s="308">
        <v>1626.0</v>
      </c>
      <c r="B1627" s="308"/>
      <c r="C1627" s="308">
        <v>1646.0</v>
      </c>
      <c r="D1627" s="308">
        <f>IFERROR(__xludf.DUMMYFUNCTION("SPLIT(C1627,""-"")"),1646.0)</f>
        <v>1646</v>
      </c>
      <c r="E1627" s="311"/>
      <c r="F1627" s="309" t="s">
        <v>34</v>
      </c>
      <c r="G1627" s="308"/>
      <c r="H1627" s="308" t="s">
        <v>6378</v>
      </c>
      <c r="I1627" s="314">
        <v>40463.0</v>
      </c>
      <c r="J1627" s="319">
        <f>IFERROR(__xludf.DUMMYFUNCTION("SPLIT(I1627,""/"")"),12.0)</f>
        <v>12</v>
      </c>
      <c r="K1627" s="308">
        <f>IFERROR(__xludf.DUMMYFUNCTION("""COMPUTED_VALUE"""),10.0)</f>
        <v>10</v>
      </c>
      <c r="L1627" s="308">
        <f>IFERROR(__xludf.DUMMYFUNCTION("""COMPUTED_VALUE"""),2010.0)</f>
        <v>2010</v>
      </c>
      <c r="M1627" s="308" t="s">
        <v>6379</v>
      </c>
      <c r="N1627" s="308"/>
      <c r="O1627" s="312" t="s">
        <v>6380</v>
      </c>
      <c r="P1627" s="308" t="s">
        <v>6381</v>
      </c>
      <c r="Q1627" s="308"/>
      <c r="R1627" s="308"/>
      <c r="S1627" s="315" t="s">
        <v>100</v>
      </c>
      <c r="T1627" s="311" t="s">
        <v>34208</v>
      </c>
      <c r="U1627" s="308" t="s">
        <v>36197</v>
      </c>
      <c r="V1627" s="312"/>
    </row>
    <row r="1628">
      <c r="A1628" s="308">
        <v>1627.0</v>
      </c>
      <c r="B1628" s="308"/>
      <c r="C1628" s="308">
        <v>1647.0</v>
      </c>
      <c r="D1628" s="308">
        <f>IFERROR(__xludf.DUMMYFUNCTION("SPLIT(C1628,""-"")"),1647.0)</f>
        <v>1647</v>
      </c>
      <c r="E1628" s="311"/>
      <c r="F1628" s="309" t="s">
        <v>34</v>
      </c>
      <c r="G1628" s="308"/>
      <c r="H1628" s="308" t="s">
        <v>6382</v>
      </c>
      <c r="I1628" s="321">
        <v>40483.0</v>
      </c>
      <c r="J1628" s="319"/>
      <c r="K1628" s="311">
        <v>11.0</v>
      </c>
      <c r="L1628" s="311">
        <v>2010.0</v>
      </c>
      <c r="M1628" s="308" t="s">
        <v>6383</v>
      </c>
      <c r="N1628" s="308"/>
      <c r="O1628" s="312" t="s">
        <v>635</v>
      </c>
      <c r="P1628" s="308" t="s">
        <v>6384</v>
      </c>
      <c r="Q1628" s="308"/>
      <c r="R1628" s="308"/>
      <c r="S1628" s="308" t="s">
        <v>81</v>
      </c>
      <c r="T1628" s="308" t="s">
        <v>34264</v>
      </c>
      <c r="U1628" s="308"/>
      <c r="V1628" s="312"/>
    </row>
    <row r="1629">
      <c r="A1629" s="308">
        <v>1628.0</v>
      </c>
      <c r="B1629" s="308"/>
      <c r="C1629" s="308">
        <v>1648.0</v>
      </c>
      <c r="D1629" s="308">
        <f>IFERROR(__xludf.DUMMYFUNCTION("SPLIT(C1629,""-"")"),1648.0)</f>
        <v>1648</v>
      </c>
      <c r="E1629" s="311"/>
      <c r="F1629" s="317" t="s">
        <v>37</v>
      </c>
      <c r="G1629" s="308" t="s">
        <v>6385</v>
      </c>
      <c r="H1629" s="308" t="s">
        <v>6386</v>
      </c>
      <c r="I1629" s="314">
        <v>41675.0</v>
      </c>
      <c r="J1629" s="319">
        <f>IFERROR(__xludf.DUMMYFUNCTION("SPLIT(I1629,""/"")"),5.0)</f>
        <v>5</v>
      </c>
      <c r="K1629" s="308">
        <f>IFERROR(__xludf.DUMMYFUNCTION("""COMPUTED_VALUE"""),2.0)</f>
        <v>2</v>
      </c>
      <c r="L1629" s="308">
        <f>IFERROR(__xludf.DUMMYFUNCTION("""COMPUTED_VALUE"""),2014.0)</f>
        <v>2014</v>
      </c>
      <c r="M1629" s="308" t="s">
        <v>36198</v>
      </c>
      <c r="N1629" s="308"/>
      <c r="O1629" s="308" t="s">
        <v>36199</v>
      </c>
      <c r="P1629" s="308" t="s">
        <v>6389</v>
      </c>
      <c r="Q1629" s="308"/>
      <c r="R1629" s="308"/>
      <c r="S1629" s="308" t="s">
        <v>81</v>
      </c>
      <c r="T1629" s="311" t="s">
        <v>51</v>
      </c>
      <c r="U1629" s="308"/>
      <c r="V1629" s="312"/>
    </row>
    <row r="1630">
      <c r="A1630" s="308">
        <v>1629.0</v>
      </c>
      <c r="B1630" s="308"/>
      <c r="C1630" s="308">
        <v>1649.0</v>
      </c>
      <c r="D1630" s="308">
        <f>IFERROR(__xludf.DUMMYFUNCTION("SPLIT(C1630,""-"")"),1649.0)</f>
        <v>1649</v>
      </c>
      <c r="E1630" s="311"/>
      <c r="F1630" s="309" t="s">
        <v>34</v>
      </c>
      <c r="G1630" s="308"/>
      <c r="H1630" s="308" t="s">
        <v>6390</v>
      </c>
      <c r="I1630" s="314">
        <v>40151.0</v>
      </c>
      <c r="J1630" s="319">
        <f>IFERROR(__xludf.DUMMYFUNCTION("SPLIT(I1630,""/"")"),4.0)</f>
        <v>4</v>
      </c>
      <c r="K1630" s="308">
        <f>IFERROR(__xludf.DUMMYFUNCTION("""COMPUTED_VALUE"""),12.0)</f>
        <v>12</v>
      </c>
      <c r="L1630" s="308">
        <f>IFERROR(__xludf.DUMMYFUNCTION("""COMPUTED_VALUE"""),2009.0)</f>
        <v>2009</v>
      </c>
      <c r="M1630" s="308" t="s">
        <v>6391</v>
      </c>
      <c r="N1630" s="308" t="s">
        <v>439</v>
      </c>
      <c r="O1630" s="312" t="s">
        <v>6392</v>
      </c>
      <c r="P1630" s="308" t="s">
        <v>6393</v>
      </c>
      <c r="Q1630" s="308" t="s">
        <v>6394</v>
      </c>
      <c r="R1630" s="308"/>
      <c r="S1630" s="315" t="s">
        <v>100</v>
      </c>
      <c r="T1630" s="311" t="s">
        <v>34208</v>
      </c>
      <c r="U1630" s="308" t="s">
        <v>6395</v>
      </c>
      <c r="V1630" s="312"/>
    </row>
    <row r="1631">
      <c r="A1631" s="308">
        <v>1630.0</v>
      </c>
      <c r="B1631" s="308"/>
      <c r="C1631" s="308">
        <v>1650.0</v>
      </c>
      <c r="D1631" s="308">
        <f>IFERROR(__xludf.DUMMYFUNCTION("SPLIT(C1631,""-"")"),1650.0)</f>
        <v>1650</v>
      </c>
      <c r="E1631" s="311"/>
      <c r="F1631" s="309" t="s">
        <v>34</v>
      </c>
      <c r="G1631" s="308" t="s">
        <v>6396</v>
      </c>
      <c r="H1631" s="308" t="s">
        <v>6397</v>
      </c>
      <c r="I1631" s="314">
        <v>40912.0</v>
      </c>
      <c r="J1631" s="319">
        <f>IFERROR(__xludf.DUMMYFUNCTION("SPLIT(I1631,""/"")"),4.0)</f>
        <v>4</v>
      </c>
      <c r="K1631" s="308">
        <f>IFERROR(__xludf.DUMMYFUNCTION("""COMPUTED_VALUE"""),1.0)</f>
        <v>1</v>
      </c>
      <c r="L1631" s="308">
        <f>IFERROR(__xludf.DUMMYFUNCTION("""COMPUTED_VALUE"""),2012.0)</f>
        <v>2012</v>
      </c>
      <c r="M1631" s="308" t="s">
        <v>6398</v>
      </c>
      <c r="N1631" s="308"/>
      <c r="O1631" s="312" t="s">
        <v>6399</v>
      </c>
      <c r="P1631" s="308" t="s">
        <v>6393</v>
      </c>
      <c r="Q1631" s="308"/>
      <c r="R1631" s="308"/>
      <c r="S1631" s="315" t="s">
        <v>100</v>
      </c>
      <c r="T1631" s="311" t="s">
        <v>34208</v>
      </c>
      <c r="U1631" s="312"/>
      <c r="V1631" s="312"/>
    </row>
    <row r="1632">
      <c r="A1632" s="308">
        <v>1631.0</v>
      </c>
      <c r="B1632" s="308"/>
      <c r="C1632" s="308">
        <v>1651.0</v>
      </c>
      <c r="D1632" s="308">
        <f>IFERROR(__xludf.DUMMYFUNCTION("SPLIT(C1632,""-"")"),1651.0)</f>
        <v>1651</v>
      </c>
      <c r="E1632" s="311"/>
      <c r="F1632" s="309" t="s">
        <v>34</v>
      </c>
      <c r="G1632" s="308"/>
      <c r="H1632" s="308" t="s">
        <v>6400</v>
      </c>
      <c r="I1632" s="314">
        <v>41395.0</v>
      </c>
      <c r="J1632" s="319">
        <f>IFERROR(__xludf.DUMMYFUNCTION("SPLIT(I1632,""/"")"),1.0)</f>
        <v>1</v>
      </c>
      <c r="K1632" s="308">
        <f>IFERROR(__xludf.DUMMYFUNCTION("""COMPUTED_VALUE"""),5.0)</f>
        <v>5</v>
      </c>
      <c r="L1632" s="308">
        <f>IFERROR(__xludf.DUMMYFUNCTION("""COMPUTED_VALUE"""),2013.0)</f>
        <v>2013</v>
      </c>
      <c r="M1632" s="308" t="s">
        <v>6401</v>
      </c>
      <c r="N1632" s="308"/>
      <c r="O1632" s="312" t="s">
        <v>635</v>
      </c>
      <c r="P1632" s="308" t="s">
        <v>6402</v>
      </c>
      <c r="Q1632" s="308"/>
      <c r="R1632" s="308"/>
      <c r="S1632" s="308" t="s">
        <v>81</v>
      </c>
      <c r="T1632" s="308" t="s">
        <v>75</v>
      </c>
      <c r="U1632" s="308"/>
      <c r="V1632" s="312"/>
    </row>
    <row r="1633">
      <c r="A1633" s="308">
        <v>1632.0</v>
      </c>
      <c r="B1633" s="308"/>
      <c r="C1633" s="308">
        <v>1652.0</v>
      </c>
      <c r="D1633" s="308">
        <f>IFERROR(__xludf.DUMMYFUNCTION("SPLIT(C1633,""-"")"),1652.0)</f>
        <v>1652</v>
      </c>
      <c r="E1633" s="311"/>
      <c r="F1633" s="309" t="s">
        <v>26</v>
      </c>
      <c r="G1633" s="308"/>
      <c r="H1633" s="308" t="s">
        <v>6403</v>
      </c>
      <c r="I1633" s="314">
        <v>41386.0</v>
      </c>
      <c r="J1633" s="319">
        <f>IFERROR(__xludf.DUMMYFUNCTION("SPLIT(I1633,""/"")"),22.0)</f>
        <v>22</v>
      </c>
      <c r="K1633" s="308">
        <f>IFERROR(__xludf.DUMMYFUNCTION("""COMPUTED_VALUE"""),4.0)</f>
        <v>4</v>
      </c>
      <c r="L1633" s="308">
        <f>IFERROR(__xludf.DUMMYFUNCTION("""COMPUTED_VALUE"""),2013.0)</f>
        <v>2013</v>
      </c>
      <c r="M1633" s="308" t="s">
        <v>6404</v>
      </c>
      <c r="N1633" s="308"/>
      <c r="O1633" s="312" t="s">
        <v>6405</v>
      </c>
      <c r="P1633" s="308" t="s">
        <v>6406</v>
      </c>
      <c r="Q1633" s="308"/>
      <c r="R1633" s="308"/>
      <c r="S1633" s="308" t="s">
        <v>81</v>
      </c>
      <c r="T1633" s="308" t="s">
        <v>98</v>
      </c>
      <c r="U1633" s="308"/>
      <c r="V1633" s="312"/>
    </row>
    <row r="1634">
      <c r="A1634" s="308">
        <v>1633.0</v>
      </c>
      <c r="B1634" s="308"/>
      <c r="C1634" s="308">
        <v>1653.0</v>
      </c>
      <c r="D1634" s="308">
        <f>IFERROR(__xludf.DUMMYFUNCTION("SPLIT(C1634,""-"")"),1653.0)</f>
        <v>1653</v>
      </c>
      <c r="E1634" s="311"/>
      <c r="F1634" s="309" t="s">
        <v>34</v>
      </c>
      <c r="G1634" s="308"/>
      <c r="H1634" s="308" t="s">
        <v>6407</v>
      </c>
      <c r="I1634" s="314">
        <v>40443.0</v>
      </c>
      <c r="J1634" s="319">
        <f>IFERROR(__xludf.DUMMYFUNCTION("SPLIT(I1634,""/"")"),22.0)</f>
        <v>22</v>
      </c>
      <c r="K1634" s="308">
        <f>IFERROR(__xludf.DUMMYFUNCTION("""COMPUTED_VALUE"""),9.0)</f>
        <v>9</v>
      </c>
      <c r="L1634" s="308">
        <f>IFERROR(__xludf.DUMMYFUNCTION("""COMPUTED_VALUE"""),2010.0)</f>
        <v>2010</v>
      </c>
      <c r="M1634" s="308" t="s">
        <v>6408</v>
      </c>
      <c r="N1634" s="308"/>
      <c r="O1634" s="312" t="s">
        <v>6409</v>
      </c>
      <c r="P1634" s="308" t="s">
        <v>6410</v>
      </c>
      <c r="Q1634" s="308"/>
      <c r="R1634" s="308"/>
      <c r="S1634" s="308" t="s">
        <v>49</v>
      </c>
      <c r="T1634" s="308" t="s">
        <v>51</v>
      </c>
      <c r="U1634" s="308" t="s">
        <v>195</v>
      </c>
      <c r="V1634" s="312"/>
    </row>
    <row r="1635">
      <c r="A1635" s="308">
        <v>1634.0</v>
      </c>
      <c r="B1635" s="308"/>
      <c r="C1635" s="308">
        <v>1654.0</v>
      </c>
      <c r="D1635" s="308">
        <f>IFERROR(__xludf.DUMMYFUNCTION("SPLIT(C1635,""-"")"),1654.0)</f>
        <v>1654</v>
      </c>
      <c r="E1635" s="311"/>
      <c r="F1635" s="309" t="s">
        <v>34</v>
      </c>
      <c r="G1635" s="308" t="s">
        <v>6411</v>
      </c>
      <c r="H1635" s="308" t="s">
        <v>6412</v>
      </c>
      <c r="I1635" s="316">
        <v>2008.0</v>
      </c>
      <c r="J1635" s="319"/>
      <c r="K1635" s="308"/>
      <c r="L1635" s="311">
        <v>2008.0</v>
      </c>
      <c r="M1635" s="308" t="s">
        <v>6413</v>
      </c>
      <c r="N1635" s="308"/>
      <c r="O1635" s="312" t="s">
        <v>6414</v>
      </c>
      <c r="P1635" s="308" t="s">
        <v>6415</v>
      </c>
      <c r="Q1635" s="308"/>
      <c r="R1635" s="308"/>
      <c r="S1635" s="308" t="s">
        <v>81</v>
      </c>
      <c r="T1635" s="308" t="s">
        <v>34264</v>
      </c>
      <c r="U1635" s="308"/>
      <c r="V1635" s="312"/>
    </row>
    <row r="1636">
      <c r="A1636" s="308">
        <v>1635.0</v>
      </c>
      <c r="B1636" s="308"/>
      <c r="C1636" s="308">
        <v>1655.0</v>
      </c>
      <c r="D1636" s="308">
        <f>IFERROR(__xludf.DUMMYFUNCTION("SPLIT(C1636,""-"")"),1655.0)</f>
        <v>1655</v>
      </c>
      <c r="E1636" s="311"/>
      <c r="F1636" s="309" t="s">
        <v>34</v>
      </c>
      <c r="G1636" s="308"/>
      <c r="H1636" s="308" t="s">
        <v>36200</v>
      </c>
      <c r="I1636" s="314">
        <v>40324.0</v>
      </c>
      <c r="J1636" s="319">
        <f>IFERROR(__xludf.DUMMYFUNCTION("SPLIT(I1636,""/"")"),26.0)</f>
        <v>26</v>
      </c>
      <c r="K1636" s="308">
        <f>IFERROR(__xludf.DUMMYFUNCTION("""COMPUTED_VALUE"""),5.0)</f>
        <v>5</v>
      </c>
      <c r="L1636" s="308">
        <f>IFERROR(__xludf.DUMMYFUNCTION("""COMPUTED_VALUE"""),2010.0)</f>
        <v>2010</v>
      </c>
      <c r="M1636" s="308" t="s">
        <v>6417</v>
      </c>
      <c r="N1636" s="308" t="s">
        <v>6418</v>
      </c>
      <c r="O1636" s="312" t="s">
        <v>36101</v>
      </c>
      <c r="P1636" s="308" t="s">
        <v>6393</v>
      </c>
      <c r="Q1636" s="308"/>
      <c r="R1636" s="308"/>
      <c r="S1636" s="315" t="s">
        <v>100</v>
      </c>
      <c r="T1636" s="311" t="s">
        <v>34208</v>
      </c>
      <c r="U1636" s="308" t="s">
        <v>6395</v>
      </c>
      <c r="V1636" s="312"/>
    </row>
    <row r="1637">
      <c r="A1637" s="308">
        <v>1636.0</v>
      </c>
      <c r="B1637" s="308"/>
      <c r="C1637" s="308">
        <v>1656.0</v>
      </c>
      <c r="D1637" s="308">
        <f>IFERROR(__xludf.DUMMYFUNCTION("SPLIT(C1637,""-"")"),1656.0)</f>
        <v>1656</v>
      </c>
      <c r="E1637" s="311"/>
      <c r="F1637" s="317" t="s">
        <v>37</v>
      </c>
      <c r="G1637" s="308"/>
      <c r="H1637" s="308" t="s">
        <v>6419</v>
      </c>
      <c r="I1637" s="314">
        <v>41513.0</v>
      </c>
      <c r="J1637" s="319">
        <f>IFERROR(__xludf.DUMMYFUNCTION("SPLIT(I1637,""/"")"),27.0)</f>
        <v>27</v>
      </c>
      <c r="K1637" s="308">
        <f>IFERROR(__xludf.DUMMYFUNCTION("""COMPUTED_VALUE"""),8.0)</f>
        <v>8</v>
      </c>
      <c r="L1637" s="308">
        <f>IFERROR(__xludf.DUMMYFUNCTION("""COMPUTED_VALUE"""),2013.0)</f>
        <v>2013</v>
      </c>
      <c r="M1637" s="308" t="s">
        <v>6420</v>
      </c>
      <c r="N1637" s="308"/>
      <c r="O1637" s="312" t="s">
        <v>6421</v>
      </c>
      <c r="P1637" s="308" t="s">
        <v>4801</v>
      </c>
      <c r="Q1637" s="308"/>
      <c r="R1637" s="308"/>
      <c r="S1637" s="315" t="s">
        <v>100</v>
      </c>
      <c r="T1637" s="311" t="s">
        <v>34208</v>
      </c>
      <c r="U1637" s="308" t="s">
        <v>149</v>
      </c>
      <c r="V1637" s="312"/>
    </row>
    <row r="1638">
      <c r="A1638" s="308">
        <v>1637.0</v>
      </c>
      <c r="B1638" s="308"/>
      <c r="C1638" s="308">
        <v>1657.0</v>
      </c>
      <c r="D1638" s="308">
        <f>IFERROR(__xludf.DUMMYFUNCTION("SPLIT(C1638,""-"")"),1657.0)</f>
        <v>1657</v>
      </c>
      <c r="E1638" s="311"/>
      <c r="F1638" s="309" t="s">
        <v>34</v>
      </c>
      <c r="G1638" s="308"/>
      <c r="H1638" s="308" t="s">
        <v>6422</v>
      </c>
      <c r="I1638" s="314">
        <v>40798.0</v>
      </c>
      <c r="J1638" s="319">
        <f>IFERROR(__xludf.DUMMYFUNCTION("SPLIT(I1638,""/"")"),12.0)</f>
        <v>12</v>
      </c>
      <c r="K1638" s="308">
        <f>IFERROR(__xludf.DUMMYFUNCTION("""COMPUTED_VALUE"""),9.0)</f>
        <v>9</v>
      </c>
      <c r="L1638" s="308">
        <f>IFERROR(__xludf.DUMMYFUNCTION("""COMPUTED_VALUE"""),2011.0)</f>
        <v>2011</v>
      </c>
      <c r="M1638" s="308" t="s">
        <v>6423</v>
      </c>
      <c r="N1638" s="308"/>
      <c r="O1638" s="312" t="s">
        <v>635</v>
      </c>
      <c r="P1638" s="308" t="s">
        <v>6424</v>
      </c>
      <c r="Q1638" s="308"/>
      <c r="R1638" s="308"/>
      <c r="S1638" s="308" t="s">
        <v>81</v>
      </c>
      <c r="T1638" s="308" t="s">
        <v>34264</v>
      </c>
      <c r="U1638" s="308"/>
      <c r="V1638" s="312"/>
    </row>
    <row r="1639">
      <c r="A1639" s="308">
        <v>1638.0</v>
      </c>
      <c r="B1639" s="308"/>
      <c r="C1639" s="308">
        <v>1658.0</v>
      </c>
      <c r="D1639" s="308">
        <f>IFERROR(__xludf.DUMMYFUNCTION("SPLIT(C1639,""-"")"),1658.0)</f>
        <v>1658</v>
      </c>
      <c r="E1639" s="311"/>
      <c r="F1639" s="309" t="s">
        <v>34</v>
      </c>
      <c r="G1639" s="308"/>
      <c r="H1639" s="308" t="s">
        <v>6425</v>
      </c>
      <c r="I1639" s="314">
        <v>40993.0</v>
      </c>
      <c r="J1639" s="319">
        <f>IFERROR(__xludf.DUMMYFUNCTION("SPLIT(I1639,""/"")"),25.0)</f>
        <v>25</v>
      </c>
      <c r="K1639" s="308">
        <f>IFERROR(__xludf.DUMMYFUNCTION("""COMPUTED_VALUE"""),3.0)</f>
        <v>3</v>
      </c>
      <c r="L1639" s="308">
        <f>IFERROR(__xludf.DUMMYFUNCTION("""COMPUTED_VALUE"""),2012.0)</f>
        <v>2012</v>
      </c>
      <c r="M1639" s="308" t="s">
        <v>6426</v>
      </c>
      <c r="N1639" s="308"/>
      <c r="O1639" s="312" t="s">
        <v>635</v>
      </c>
      <c r="P1639" s="308" t="s">
        <v>5853</v>
      </c>
      <c r="Q1639" s="308"/>
      <c r="R1639" s="308"/>
      <c r="S1639" s="308" t="s">
        <v>81</v>
      </c>
      <c r="T1639" s="308" t="s">
        <v>34264</v>
      </c>
      <c r="U1639" s="308"/>
      <c r="V1639" s="312"/>
    </row>
    <row r="1640">
      <c r="A1640" s="308">
        <v>1639.0</v>
      </c>
      <c r="B1640" s="308"/>
      <c r="C1640" s="308">
        <v>1659.0</v>
      </c>
      <c r="D1640" s="308">
        <f>IFERROR(__xludf.DUMMYFUNCTION("SPLIT(C1640,""-"")"),1659.0)</f>
        <v>1659</v>
      </c>
      <c r="E1640" s="311"/>
      <c r="F1640" s="317" t="s">
        <v>39</v>
      </c>
      <c r="G1640" s="308"/>
      <c r="H1640" s="308" t="s">
        <v>6427</v>
      </c>
      <c r="I1640" s="314">
        <v>40720.0</v>
      </c>
      <c r="J1640" s="319">
        <f>IFERROR(__xludf.DUMMYFUNCTION("SPLIT(I1640,""/"")"),26.0)</f>
        <v>26</v>
      </c>
      <c r="K1640" s="308">
        <f>IFERROR(__xludf.DUMMYFUNCTION("""COMPUTED_VALUE"""),6.0)</f>
        <v>6</v>
      </c>
      <c r="L1640" s="308">
        <f>IFERROR(__xludf.DUMMYFUNCTION("""COMPUTED_VALUE"""),2011.0)</f>
        <v>2011</v>
      </c>
      <c r="M1640" s="308" t="s">
        <v>6428</v>
      </c>
      <c r="N1640" s="308"/>
      <c r="O1640" s="312" t="s">
        <v>635</v>
      </c>
      <c r="P1640" s="308" t="s">
        <v>6429</v>
      </c>
      <c r="Q1640" s="308"/>
      <c r="R1640" s="308"/>
      <c r="S1640" s="308" t="s">
        <v>81</v>
      </c>
      <c r="T1640" s="308" t="s">
        <v>75</v>
      </c>
      <c r="U1640" s="308"/>
      <c r="V1640" s="312"/>
    </row>
    <row r="1641">
      <c r="A1641" s="308">
        <v>1640.0</v>
      </c>
      <c r="B1641" s="308"/>
      <c r="C1641" s="308">
        <v>1660.0</v>
      </c>
      <c r="D1641" s="308">
        <f>IFERROR(__xludf.DUMMYFUNCTION("SPLIT(C1641,""-"")"),1660.0)</f>
        <v>1660</v>
      </c>
      <c r="E1641" s="311"/>
      <c r="F1641" s="309" t="s">
        <v>34</v>
      </c>
      <c r="G1641" s="308"/>
      <c r="H1641" s="308" t="s">
        <v>6430</v>
      </c>
      <c r="I1641" s="314">
        <v>41075.0</v>
      </c>
      <c r="J1641" s="319">
        <f>IFERROR(__xludf.DUMMYFUNCTION("SPLIT(I1641,""/"")"),15.0)</f>
        <v>15</v>
      </c>
      <c r="K1641" s="308">
        <f>IFERROR(__xludf.DUMMYFUNCTION("""COMPUTED_VALUE"""),6.0)</f>
        <v>6</v>
      </c>
      <c r="L1641" s="308">
        <f>IFERROR(__xludf.DUMMYFUNCTION("""COMPUTED_VALUE"""),2012.0)</f>
        <v>2012</v>
      </c>
      <c r="M1641" s="308" t="s">
        <v>6431</v>
      </c>
      <c r="N1641" s="308"/>
      <c r="O1641" s="312" t="s">
        <v>36201</v>
      </c>
      <c r="P1641" s="308" t="s">
        <v>6433</v>
      </c>
      <c r="Q1641" s="308"/>
      <c r="R1641" s="308"/>
      <c r="S1641" s="308" t="s">
        <v>81</v>
      </c>
      <c r="T1641" s="308" t="s">
        <v>34264</v>
      </c>
      <c r="U1641" s="308"/>
      <c r="V1641" s="312"/>
    </row>
    <row r="1642">
      <c r="A1642" s="308">
        <v>1641.0</v>
      </c>
      <c r="B1642" s="308"/>
      <c r="C1642" s="308">
        <v>1661.0</v>
      </c>
      <c r="D1642" s="308">
        <f>IFERROR(__xludf.DUMMYFUNCTION("SPLIT(C1642,""-"")"),1661.0)</f>
        <v>1661</v>
      </c>
      <c r="E1642" s="311"/>
      <c r="F1642" s="309" t="s">
        <v>34</v>
      </c>
      <c r="G1642" s="308"/>
      <c r="H1642" s="308" t="s">
        <v>36202</v>
      </c>
      <c r="I1642" s="314">
        <v>40783.0</v>
      </c>
      <c r="J1642" s="319">
        <f>IFERROR(__xludf.DUMMYFUNCTION("SPLIT(I1642,""/"")"),28.0)</f>
        <v>28</v>
      </c>
      <c r="K1642" s="308">
        <f>IFERROR(__xludf.DUMMYFUNCTION("""COMPUTED_VALUE"""),8.0)</f>
        <v>8</v>
      </c>
      <c r="L1642" s="308">
        <f>IFERROR(__xludf.DUMMYFUNCTION("""COMPUTED_VALUE"""),2011.0)</f>
        <v>2011</v>
      </c>
      <c r="M1642" s="308" t="s">
        <v>6435</v>
      </c>
      <c r="N1642" s="308"/>
      <c r="O1642" s="312" t="s">
        <v>6436</v>
      </c>
      <c r="P1642" s="308" t="s">
        <v>6437</v>
      </c>
      <c r="Q1642" s="308"/>
      <c r="R1642" s="308"/>
      <c r="S1642" s="308" t="s">
        <v>81</v>
      </c>
      <c r="T1642" s="308" t="s">
        <v>34264</v>
      </c>
      <c r="U1642" s="308"/>
      <c r="V1642" s="312"/>
    </row>
    <row r="1643">
      <c r="A1643" s="308">
        <v>1642.0</v>
      </c>
      <c r="B1643" s="308"/>
      <c r="C1643" s="308">
        <v>1662.0</v>
      </c>
      <c r="D1643" s="308">
        <f>IFERROR(__xludf.DUMMYFUNCTION("SPLIT(C1643,""-"")"),1662.0)</f>
        <v>1662</v>
      </c>
      <c r="E1643" s="311"/>
      <c r="F1643" s="309" t="s">
        <v>34</v>
      </c>
      <c r="G1643" s="308"/>
      <c r="H1643" s="308" t="s">
        <v>6438</v>
      </c>
      <c r="I1643" s="314">
        <v>41072.0</v>
      </c>
      <c r="J1643" s="319">
        <f>IFERROR(__xludf.DUMMYFUNCTION("SPLIT(I1643,""/"")"),12.0)</f>
        <v>12</v>
      </c>
      <c r="K1643" s="308">
        <f>IFERROR(__xludf.DUMMYFUNCTION("""COMPUTED_VALUE"""),6.0)</f>
        <v>6</v>
      </c>
      <c r="L1643" s="308">
        <f>IFERROR(__xludf.DUMMYFUNCTION("""COMPUTED_VALUE"""),2012.0)</f>
        <v>2012</v>
      </c>
      <c r="M1643" s="308" t="s">
        <v>6439</v>
      </c>
      <c r="N1643" s="308"/>
      <c r="O1643" s="312" t="s">
        <v>635</v>
      </c>
      <c r="P1643" s="308" t="s">
        <v>6440</v>
      </c>
      <c r="Q1643" s="308"/>
      <c r="R1643" s="308"/>
      <c r="S1643" s="308" t="s">
        <v>81</v>
      </c>
      <c r="T1643" s="308" t="s">
        <v>34264</v>
      </c>
      <c r="U1643" s="308"/>
      <c r="V1643" s="312"/>
    </row>
    <row r="1644">
      <c r="A1644" s="308">
        <v>1643.0</v>
      </c>
      <c r="B1644" s="308"/>
      <c r="C1644" s="308">
        <v>1663.0</v>
      </c>
      <c r="D1644" s="308">
        <f>IFERROR(__xludf.DUMMYFUNCTION("SPLIT(C1644,""-"")"),1663.0)</f>
        <v>1663</v>
      </c>
      <c r="E1644" s="311"/>
      <c r="F1644" s="309" t="s">
        <v>34</v>
      </c>
      <c r="G1644" s="308"/>
      <c r="H1644" s="308" t="s">
        <v>6441</v>
      </c>
      <c r="I1644" s="314">
        <v>41689.0</v>
      </c>
      <c r="J1644" s="319">
        <f>IFERROR(__xludf.DUMMYFUNCTION("SPLIT(I1644,""/"")"),19.0)</f>
        <v>19</v>
      </c>
      <c r="K1644" s="308">
        <f>IFERROR(__xludf.DUMMYFUNCTION("""COMPUTED_VALUE"""),2.0)</f>
        <v>2</v>
      </c>
      <c r="L1644" s="308">
        <f>IFERROR(__xludf.DUMMYFUNCTION("""COMPUTED_VALUE"""),2014.0)</f>
        <v>2014</v>
      </c>
      <c r="M1644" s="308" t="s">
        <v>6442</v>
      </c>
      <c r="N1644" s="308"/>
      <c r="O1644" s="312" t="s">
        <v>635</v>
      </c>
      <c r="P1644" s="308" t="s">
        <v>6443</v>
      </c>
      <c r="Q1644" s="308"/>
      <c r="R1644" s="308"/>
      <c r="S1644" s="308" t="s">
        <v>81</v>
      </c>
      <c r="T1644" s="311" t="s">
        <v>83</v>
      </c>
      <c r="U1644" s="308"/>
      <c r="V1644" s="312"/>
    </row>
    <row r="1645">
      <c r="A1645" s="308">
        <v>1644.0</v>
      </c>
      <c r="B1645" s="308"/>
      <c r="C1645" s="308">
        <v>1664.0</v>
      </c>
      <c r="D1645" s="308">
        <f>IFERROR(__xludf.DUMMYFUNCTION("SPLIT(C1645,""-"")"),1664.0)</f>
        <v>1664</v>
      </c>
      <c r="E1645" s="311"/>
      <c r="F1645" s="309" t="s">
        <v>34</v>
      </c>
      <c r="G1645" s="308"/>
      <c r="H1645" s="308" t="s">
        <v>6444</v>
      </c>
      <c r="I1645" s="314">
        <v>41689.0</v>
      </c>
      <c r="J1645" s="319">
        <f>IFERROR(__xludf.DUMMYFUNCTION("SPLIT(I1645,""/"")"),19.0)</f>
        <v>19</v>
      </c>
      <c r="K1645" s="308">
        <f>IFERROR(__xludf.DUMMYFUNCTION("""COMPUTED_VALUE"""),2.0)</f>
        <v>2</v>
      </c>
      <c r="L1645" s="308">
        <f>IFERROR(__xludf.DUMMYFUNCTION("""COMPUTED_VALUE"""),2014.0)</f>
        <v>2014</v>
      </c>
      <c r="M1645" s="308" t="s">
        <v>6442</v>
      </c>
      <c r="N1645" s="308"/>
      <c r="O1645" s="312" t="s">
        <v>635</v>
      </c>
      <c r="P1645" s="308" t="s">
        <v>6443</v>
      </c>
      <c r="Q1645" s="308"/>
      <c r="R1645" s="308"/>
      <c r="S1645" s="308" t="s">
        <v>81</v>
      </c>
      <c r="T1645" s="311" t="s">
        <v>83</v>
      </c>
      <c r="U1645" s="308"/>
      <c r="V1645" s="312"/>
    </row>
    <row r="1646">
      <c r="A1646" s="308">
        <v>1645.0</v>
      </c>
      <c r="B1646" s="308"/>
      <c r="C1646" s="308">
        <v>1665.0</v>
      </c>
      <c r="D1646" s="308">
        <f>IFERROR(__xludf.DUMMYFUNCTION("SPLIT(C1646,""-"")"),1665.0)</f>
        <v>1665</v>
      </c>
      <c r="E1646" s="311"/>
      <c r="F1646" s="309" t="s">
        <v>34</v>
      </c>
      <c r="G1646" s="308"/>
      <c r="H1646" s="308" t="s">
        <v>6445</v>
      </c>
      <c r="I1646" s="316">
        <v>2011.0</v>
      </c>
      <c r="J1646" s="319"/>
      <c r="K1646" s="308"/>
      <c r="L1646" s="311">
        <v>2011.0</v>
      </c>
      <c r="M1646" s="308" t="s">
        <v>6446</v>
      </c>
      <c r="N1646" s="308"/>
      <c r="O1646" s="312" t="s">
        <v>36101</v>
      </c>
      <c r="P1646" s="308" t="s">
        <v>6447</v>
      </c>
      <c r="Q1646" s="308"/>
      <c r="R1646" s="308"/>
      <c r="S1646" s="308" t="s">
        <v>81</v>
      </c>
      <c r="T1646" s="308" t="s">
        <v>34264</v>
      </c>
      <c r="U1646" s="308"/>
      <c r="V1646" s="312"/>
    </row>
    <row r="1647">
      <c r="A1647" s="308">
        <v>1646.0</v>
      </c>
      <c r="B1647" s="308"/>
      <c r="C1647" s="308">
        <v>1666.0</v>
      </c>
      <c r="D1647" s="308">
        <f>IFERROR(__xludf.DUMMYFUNCTION("SPLIT(C1647,""-"")"),1666.0)</f>
        <v>1666</v>
      </c>
      <c r="E1647" s="311"/>
      <c r="F1647" s="309" t="s">
        <v>34</v>
      </c>
      <c r="G1647" s="308"/>
      <c r="H1647" s="308" t="s">
        <v>6448</v>
      </c>
      <c r="I1647" s="316">
        <v>2011.0</v>
      </c>
      <c r="J1647" s="319"/>
      <c r="K1647" s="308"/>
      <c r="L1647" s="311">
        <v>2011.0</v>
      </c>
      <c r="M1647" s="308" t="s">
        <v>6446</v>
      </c>
      <c r="N1647" s="308"/>
      <c r="O1647" s="312" t="s">
        <v>6449</v>
      </c>
      <c r="P1647" s="308" t="s">
        <v>6447</v>
      </c>
      <c r="Q1647" s="308"/>
      <c r="R1647" s="308"/>
      <c r="S1647" s="308" t="s">
        <v>81</v>
      </c>
      <c r="T1647" s="308" t="s">
        <v>34264</v>
      </c>
      <c r="U1647" s="308"/>
      <c r="V1647" s="312"/>
    </row>
    <row r="1648">
      <c r="A1648" s="308">
        <v>1647.0</v>
      </c>
      <c r="B1648" s="308"/>
      <c r="C1648" s="308">
        <v>1667.0</v>
      </c>
      <c r="D1648" s="308">
        <f>IFERROR(__xludf.DUMMYFUNCTION("SPLIT(C1648,""-"")"),1667.0)</f>
        <v>1667</v>
      </c>
      <c r="E1648" s="311"/>
      <c r="F1648" s="309" t="s">
        <v>34</v>
      </c>
      <c r="G1648" s="308"/>
      <c r="H1648" s="308" t="s">
        <v>6450</v>
      </c>
      <c r="I1648" s="314">
        <v>41163.0</v>
      </c>
      <c r="J1648" s="319">
        <f>IFERROR(__xludf.DUMMYFUNCTION("SPLIT(I1648,""/"")"),11.0)</f>
        <v>11</v>
      </c>
      <c r="K1648" s="308">
        <f>IFERROR(__xludf.DUMMYFUNCTION("""COMPUTED_VALUE"""),9.0)</f>
        <v>9</v>
      </c>
      <c r="L1648" s="308">
        <f>IFERROR(__xludf.DUMMYFUNCTION("""COMPUTED_VALUE"""),2012.0)</f>
        <v>2012</v>
      </c>
      <c r="M1648" s="308" t="s">
        <v>6451</v>
      </c>
      <c r="N1648" s="308"/>
      <c r="O1648" s="312" t="s">
        <v>635</v>
      </c>
      <c r="P1648" s="308" t="s">
        <v>6452</v>
      </c>
      <c r="Q1648" s="308"/>
      <c r="R1648" s="308"/>
      <c r="S1648" s="308" t="s">
        <v>81</v>
      </c>
      <c r="T1648" s="308" t="s">
        <v>34264</v>
      </c>
      <c r="U1648" s="308"/>
      <c r="V1648" s="312"/>
    </row>
    <row r="1649">
      <c r="A1649" s="308">
        <v>1648.0</v>
      </c>
      <c r="B1649" s="308"/>
      <c r="C1649" s="308">
        <v>1668.0</v>
      </c>
      <c r="D1649" s="308">
        <f>IFERROR(__xludf.DUMMYFUNCTION("SPLIT(C1649,""-"")"),1668.0)</f>
        <v>1668</v>
      </c>
      <c r="E1649" s="311"/>
      <c r="F1649" s="317" t="s">
        <v>39</v>
      </c>
      <c r="G1649" s="308"/>
      <c r="H1649" s="308" t="s">
        <v>6453</v>
      </c>
      <c r="I1649" s="314">
        <v>41569.0</v>
      </c>
      <c r="J1649" s="319">
        <f>IFERROR(__xludf.DUMMYFUNCTION("SPLIT(I1649,""/"")"),22.0)</f>
        <v>22</v>
      </c>
      <c r="K1649" s="308">
        <f>IFERROR(__xludf.DUMMYFUNCTION("""COMPUTED_VALUE"""),10.0)</f>
        <v>10</v>
      </c>
      <c r="L1649" s="308">
        <f>IFERROR(__xludf.DUMMYFUNCTION("""COMPUTED_VALUE"""),2013.0)</f>
        <v>2013</v>
      </c>
      <c r="M1649" s="308" t="s">
        <v>6454</v>
      </c>
      <c r="N1649" s="308"/>
      <c r="O1649" s="312" t="s">
        <v>635</v>
      </c>
      <c r="P1649" s="308" t="s">
        <v>36203</v>
      </c>
      <c r="Q1649" s="308"/>
      <c r="R1649" s="308"/>
      <c r="S1649" s="308" t="s">
        <v>81</v>
      </c>
      <c r="T1649" s="308" t="s">
        <v>75</v>
      </c>
      <c r="U1649" s="308"/>
      <c r="V1649" s="312"/>
    </row>
    <row r="1650">
      <c r="A1650" s="308">
        <v>1649.0</v>
      </c>
      <c r="B1650" s="308"/>
      <c r="C1650" s="308">
        <v>1669.0</v>
      </c>
      <c r="D1650" s="308">
        <f>IFERROR(__xludf.DUMMYFUNCTION("SPLIT(C1650,""-"")"),1669.0)</f>
        <v>1669</v>
      </c>
      <c r="E1650" s="311"/>
      <c r="F1650" s="309" t="s">
        <v>34</v>
      </c>
      <c r="G1650" s="308"/>
      <c r="H1650" s="308" t="s">
        <v>36204</v>
      </c>
      <c r="I1650" s="325">
        <v>41640.0</v>
      </c>
      <c r="J1650" s="319"/>
      <c r="K1650" s="311">
        <v>1.0</v>
      </c>
      <c r="L1650" s="311">
        <v>2014.0</v>
      </c>
      <c r="M1650" s="308" t="s">
        <v>6457</v>
      </c>
      <c r="N1650" s="308"/>
      <c r="O1650" s="312" t="s">
        <v>6203</v>
      </c>
      <c r="P1650" s="308" t="s">
        <v>6458</v>
      </c>
      <c r="Q1650" s="308"/>
      <c r="R1650" s="308"/>
      <c r="S1650" s="308" t="s">
        <v>81</v>
      </c>
      <c r="T1650" s="308" t="s">
        <v>75</v>
      </c>
      <c r="U1650" s="308"/>
      <c r="V1650" s="312"/>
    </row>
    <row r="1651">
      <c r="A1651" s="308">
        <v>1650.0</v>
      </c>
      <c r="B1651" s="308"/>
      <c r="C1651" s="308">
        <v>1670.0</v>
      </c>
      <c r="D1651" s="308">
        <f>IFERROR(__xludf.DUMMYFUNCTION("SPLIT(C1651,""-"")"),1670.0)</f>
        <v>1670</v>
      </c>
      <c r="E1651" s="311"/>
      <c r="F1651" s="317" t="s">
        <v>37</v>
      </c>
      <c r="G1651" s="308"/>
      <c r="H1651" s="308" t="s">
        <v>6459</v>
      </c>
      <c r="I1651" s="314">
        <v>41567.0</v>
      </c>
      <c r="J1651" s="319">
        <f>IFERROR(__xludf.DUMMYFUNCTION("SPLIT(I1651,""/"")"),20.0)</f>
        <v>20</v>
      </c>
      <c r="K1651" s="308">
        <f>IFERROR(__xludf.DUMMYFUNCTION("""COMPUTED_VALUE"""),10.0)</f>
        <v>10</v>
      </c>
      <c r="L1651" s="308">
        <f>IFERROR(__xludf.DUMMYFUNCTION("""COMPUTED_VALUE"""),2013.0)</f>
        <v>2013</v>
      </c>
      <c r="M1651" s="311" t="s">
        <v>6460</v>
      </c>
      <c r="N1651" s="308"/>
      <c r="O1651" s="312" t="s">
        <v>36205</v>
      </c>
      <c r="P1651" s="308" t="s">
        <v>6462</v>
      </c>
      <c r="Q1651" s="308"/>
      <c r="R1651" s="308"/>
      <c r="S1651" s="308" t="s">
        <v>81</v>
      </c>
      <c r="T1651" s="308" t="s">
        <v>98</v>
      </c>
      <c r="U1651" s="308"/>
      <c r="V1651" s="312"/>
    </row>
    <row r="1652">
      <c r="A1652" s="308">
        <v>1651.0</v>
      </c>
      <c r="B1652" s="308"/>
      <c r="C1652" s="308">
        <v>1671.0</v>
      </c>
      <c r="D1652" s="308">
        <f>IFERROR(__xludf.DUMMYFUNCTION("SPLIT(C1652,""-"")"),1671.0)</f>
        <v>1671</v>
      </c>
      <c r="E1652" s="311"/>
      <c r="F1652" s="317" t="s">
        <v>37</v>
      </c>
      <c r="G1652" s="308"/>
      <c r="H1652" s="308" t="s">
        <v>6463</v>
      </c>
      <c r="I1652" s="314">
        <v>38261.0</v>
      </c>
      <c r="J1652" s="319">
        <f>IFERROR(__xludf.DUMMYFUNCTION("SPLIT(I1652,""/"")"),1.0)</f>
        <v>1</v>
      </c>
      <c r="K1652" s="308">
        <f>IFERROR(__xludf.DUMMYFUNCTION("""COMPUTED_VALUE"""),10.0)</f>
        <v>10</v>
      </c>
      <c r="L1652" s="308">
        <f>IFERROR(__xludf.DUMMYFUNCTION("""COMPUTED_VALUE"""),2004.0)</f>
        <v>2004</v>
      </c>
      <c r="M1652" s="308" t="s">
        <v>6464</v>
      </c>
      <c r="N1652" s="308"/>
      <c r="O1652" s="312" t="s">
        <v>36206</v>
      </c>
      <c r="P1652" s="308" t="s">
        <v>2526</v>
      </c>
      <c r="Q1652" s="308"/>
      <c r="R1652" s="308"/>
      <c r="S1652" s="315" t="s">
        <v>100</v>
      </c>
      <c r="T1652" s="311" t="s">
        <v>34208</v>
      </c>
      <c r="U1652" s="308" t="s">
        <v>2527</v>
      </c>
      <c r="V1652" s="312"/>
    </row>
    <row r="1653">
      <c r="A1653" s="308">
        <v>1652.0</v>
      </c>
      <c r="B1653" s="308"/>
      <c r="C1653" s="308">
        <v>1672.0</v>
      </c>
      <c r="D1653" s="308">
        <f>IFERROR(__xludf.DUMMYFUNCTION("SPLIT(C1653,""-"")"),1672.0)</f>
        <v>1672</v>
      </c>
      <c r="E1653" s="311"/>
      <c r="F1653" s="317" t="s">
        <v>37</v>
      </c>
      <c r="G1653" s="308"/>
      <c r="H1653" s="308" t="s">
        <v>6466</v>
      </c>
      <c r="I1653" s="314">
        <v>40141.0</v>
      </c>
      <c r="J1653" s="319">
        <f>IFERROR(__xludf.DUMMYFUNCTION("SPLIT(I1653,""/"")"),24.0)</f>
        <v>24</v>
      </c>
      <c r="K1653" s="308">
        <f>IFERROR(__xludf.DUMMYFUNCTION("""COMPUTED_VALUE"""),11.0)</f>
        <v>11</v>
      </c>
      <c r="L1653" s="308">
        <f>IFERROR(__xludf.DUMMYFUNCTION("""COMPUTED_VALUE"""),2009.0)</f>
        <v>2009</v>
      </c>
      <c r="M1653" s="308" t="s">
        <v>6467</v>
      </c>
      <c r="N1653" s="308"/>
      <c r="O1653" s="312" t="s">
        <v>36207</v>
      </c>
      <c r="P1653" s="308" t="s">
        <v>6469</v>
      </c>
      <c r="Q1653" s="308"/>
      <c r="R1653" s="308"/>
      <c r="S1653" s="308" t="s">
        <v>49</v>
      </c>
      <c r="T1653" s="308" t="s">
        <v>51</v>
      </c>
      <c r="U1653" s="308"/>
      <c r="V1653" s="312"/>
    </row>
    <row r="1654">
      <c r="A1654" s="308">
        <v>1653.0</v>
      </c>
      <c r="B1654" s="308"/>
      <c r="C1654" s="308">
        <v>1673.0</v>
      </c>
      <c r="D1654" s="308">
        <f>IFERROR(__xludf.DUMMYFUNCTION("SPLIT(C1654,""-"")"),1673.0)</f>
        <v>1673</v>
      </c>
      <c r="E1654" s="311"/>
      <c r="F1654" s="317" t="s">
        <v>37</v>
      </c>
      <c r="G1654" s="308"/>
      <c r="H1654" s="308" t="s">
        <v>6470</v>
      </c>
      <c r="I1654" s="310">
        <v>41663.0</v>
      </c>
      <c r="J1654" s="319">
        <f>IFERROR(__xludf.DUMMYFUNCTION("SPLIT(I1654,""/"")"),24.0)</f>
        <v>24</v>
      </c>
      <c r="K1654" s="308">
        <f>IFERROR(__xludf.DUMMYFUNCTION("""COMPUTED_VALUE"""),1.0)</f>
        <v>1</v>
      </c>
      <c r="L1654" s="308">
        <f>IFERROR(__xludf.DUMMYFUNCTION("""COMPUTED_VALUE"""),2014.0)</f>
        <v>2014</v>
      </c>
      <c r="M1654" s="308" t="s">
        <v>6471</v>
      </c>
      <c r="N1654" s="308"/>
      <c r="O1654" s="312" t="s">
        <v>36208</v>
      </c>
      <c r="P1654" s="308" t="s">
        <v>6473</v>
      </c>
      <c r="Q1654" s="308"/>
      <c r="R1654" s="308"/>
      <c r="S1654" s="308" t="s">
        <v>81</v>
      </c>
      <c r="T1654" s="308" t="s">
        <v>75</v>
      </c>
      <c r="U1654" s="308"/>
      <c r="V1654" s="312"/>
    </row>
    <row r="1655">
      <c r="A1655" s="308">
        <v>1654.0</v>
      </c>
      <c r="B1655" s="308"/>
      <c r="C1655" s="308">
        <v>1674.0</v>
      </c>
      <c r="D1655" s="308">
        <f>IFERROR(__xludf.DUMMYFUNCTION("SPLIT(C1655,""-"")"),1674.0)</f>
        <v>1674</v>
      </c>
      <c r="E1655" s="311"/>
      <c r="F1655" s="317" t="s">
        <v>37</v>
      </c>
      <c r="G1655" s="308"/>
      <c r="H1655" s="308" t="s">
        <v>6474</v>
      </c>
      <c r="I1655" s="314">
        <v>41634.0</v>
      </c>
      <c r="J1655" s="319">
        <f>IFERROR(__xludf.DUMMYFUNCTION("SPLIT(I1655,""/"")"),26.0)</f>
        <v>26</v>
      </c>
      <c r="K1655" s="308">
        <f>IFERROR(__xludf.DUMMYFUNCTION("""COMPUTED_VALUE"""),12.0)</f>
        <v>12</v>
      </c>
      <c r="L1655" s="308">
        <f>IFERROR(__xludf.DUMMYFUNCTION("""COMPUTED_VALUE"""),2013.0)</f>
        <v>2013</v>
      </c>
      <c r="M1655" s="308" t="s">
        <v>6475</v>
      </c>
      <c r="N1655" s="308"/>
      <c r="O1655" s="312" t="s">
        <v>36209</v>
      </c>
      <c r="P1655" s="308" t="s">
        <v>6477</v>
      </c>
      <c r="Q1655" s="308"/>
      <c r="R1655" s="308"/>
      <c r="S1655" s="308" t="s">
        <v>81</v>
      </c>
      <c r="T1655" s="311" t="s">
        <v>75</v>
      </c>
      <c r="U1655" s="308"/>
      <c r="V1655" s="312"/>
    </row>
    <row r="1656">
      <c r="A1656" s="308">
        <v>1655.0</v>
      </c>
      <c r="B1656" s="308"/>
      <c r="C1656" s="308">
        <v>1675.0</v>
      </c>
      <c r="D1656" s="308">
        <f>IFERROR(__xludf.DUMMYFUNCTION("SPLIT(C1656,""-"")"),1675.0)</f>
        <v>1675</v>
      </c>
      <c r="E1656" s="311"/>
      <c r="F1656" s="317" t="s">
        <v>37</v>
      </c>
      <c r="G1656" s="308"/>
      <c r="H1656" s="308" t="s">
        <v>6478</v>
      </c>
      <c r="I1656" s="314">
        <v>41130.0</v>
      </c>
      <c r="J1656" s="319">
        <f>IFERROR(__xludf.DUMMYFUNCTION("SPLIT(I1656,""/"")"),9.0)</f>
        <v>9</v>
      </c>
      <c r="K1656" s="308">
        <f>IFERROR(__xludf.DUMMYFUNCTION("""COMPUTED_VALUE"""),8.0)</f>
        <v>8</v>
      </c>
      <c r="L1656" s="308">
        <f>IFERROR(__xludf.DUMMYFUNCTION("""COMPUTED_VALUE"""),2012.0)</f>
        <v>2012</v>
      </c>
      <c r="M1656" s="308" t="s">
        <v>6479</v>
      </c>
      <c r="N1656" s="308"/>
      <c r="O1656" s="312" t="s">
        <v>36210</v>
      </c>
      <c r="P1656" s="308" t="s">
        <v>6481</v>
      </c>
      <c r="Q1656" s="308"/>
      <c r="R1656" s="308"/>
      <c r="S1656" s="308" t="s">
        <v>81</v>
      </c>
      <c r="T1656" s="308" t="s">
        <v>75</v>
      </c>
      <c r="U1656" s="308"/>
      <c r="V1656" s="312"/>
    </row>
    <row r="1657">
      <c r="A1657" s="308">
        <v>1656.0</v>
      </c>
      <c r="B1657" s="308"/>
      <c r="C1657" s="308">
        <v>1676.0</v>
      </c>
      <c r="D1657" s="308">
        <f>IFERROR(__xludf.DUMMYFUNCTION("SPLIT(C1657,""-"")"),1676.0)</f>
        <v>1676</v>
      </c>
      <c r="E1657" s="311"/>
      <c r="F1657" s="317" t="s">
        <v>37</v>
      </c>
      <c r="G1657" s="308"/>
      <c r="H1657" s="308" t="s">
        <v>6482</v>
      </c>
      <c r="I1657" s="314">
        <v>41521.0</v>
      </c>
      <c r="J1657" s="319">
        <f>IFERROR(__xludf.DUMMYFUNCTION("SPLIT(I1657,""/"")"),4.0)</f>
        <v>4</v>
      </c>
      <c r="K1657" s="308">
        <f>IFERROR(__xludf.DUMMYFUNCTION("""COMPUTED_VALUE"""),9.0)</f>
        <v>9</v>
      </c>
      <c r="L1657" s="308">
        <f>IFERROR(__xludf.DUMMYFUNCTION("""COMPUTED_VALUE"""),2013.0)</f>
        <v>2013</v>
      </c>
      <c r="M1657" s="308" t="s">
        <v>6483</v>
      </c>
      <c r="N1657" s="308"/>
      <c r="O1657" s="312" t="s">
        <v>6484</v>
      </c>
      <c r="P1657" s="308" t="s">
        <v>36211</v>
      </c>
      <c r="Q1657" s="308"/>
      <c r="R1657" s="308"/>
      <c r="S1657" s="315" t="s">
        <v>100</v>
      </c>
      <c r="T1657" s="311" t="s">
        <v>34208</v>
      </c>
      <c r="U1657" s="308" t="s">
        <v>149</v>
      </c>
      <c r="V1657" s="312"/>
    </row>
    <row r="1658">
      <c r="A1658" s="308">
        <v>1657.0</v>
      </c>
      <c r="B1658" s="308"/>
      <c r="C1658" s="308">
        <v>1677.0</v>
      </c>
      <c r="D1658" s="308">
        <f>IFERROR(__xludf.DUMMYFUNCTION("SPLIT(C1658,""-"")"),1677.0)</f>
        <v>1677</v>
      </c>
      <c r="E1658" s="311"/>
      <c r="F1658" s="317" t="s">
        <v>37</v>
      </c>
      <c r="G1658" s="308"/>
      <c r="H1658" s="308" t="s">
        <v>6486</v>
      </c>
      <c r="I1658" s="314">
        <v>41660.0</v>
      </c>
      <c r="J1658" s="319">
        <f>IFERROR(__xludf.DUMMYFUNCTION("SPLIT(I1658,""/"")"),21.0)</f>
        <v>21</v>
      </c>
      <c r="K1658" s="308">
        <f>IFERROR(__xludf.DUMMYFUNCTION("""COMPUTED_VALUE"""),1.0)</f>
        <v>1</v>
      </c>
      <c r="L1658" s="308">
        <f>IFERROR(__xludf.DUMMYFUNCTION("""COMPUTED_VALUE"""),2014.0)</f>
        <v>2014</v>
      </c>
      <c r="M1658" s="308" t="s">
        <v>6487</v>
      </c>
      <c r="N1658" s="308"/>
      <c r="O1658" s="308" t="s">
        <v>36212</v>
      </c>
      <c r="P1658" s="308" t="s">
        <v>1481</v>
      </c>
      <c r="Q1658" s="308"/>
      <c r="R1658" s="308" t="s">
        <v>34322</v>
      </c>
      <c r="S1658" s="308" t="s">
        <v>81</v>
      </c>
      <c r="T1658" s="308" t="s">
        <v>35048</v>
      </c>
      <c r="U1658" s="308"/>
      <c r="V1658" s="312"/>
    </row>
    <row r="1659">
      <c r="A1659" s="308">
        <v>1658.0</v>
      </c>
      <c r="B1659" s="308"/>
      <c r="C1659" s="308" t="s">
        <v>6489</v>
      </c>
      <c r="D1659" s="308">
        <f>IFERROR(__xludf.DUMMYFUNCTION("SPLIT(C1659,""-"")"),1678.0)</f>
        <v>1678</v>
      </c>
      <c r="E1659" s="308" t="str">
        <f>IFERROR(__xludf.DUMMYFUNCTION("""COMPUTED_VALUE"""),"K")</f>
        <v>K</v>
      </c>
      <c r="F1659" s="309" t="s">
        <v>34</v>
      </c>
      <c r="G1659" s="308"/>
      <c r="H1659" s="308" t="s">
        <v>6490</v>
      </c>
      <c r="I1659" s="314">
        <v>41265.0</v>
      </c>
      <c r="J1659" s="319">
        <f>IFERROR(__xludf.DUMMYFUNCTION("SPLIT(I1659,""/"")"),22.0)</f>
        <v>22</v>
      </c>
      <c r="K1659" s="308">
        <f>IFERROR(__xludf.DUMMYFUNCTION("""COMPUTED_VALUE"""),12.0)</f>
        <v>12</v>
      </c>
      <c r="L1659" s="308">
        <f>IFERROR(__xludf.DUMMYFUNCTION("""COMPUTED_VALUE"""),2012.0)</f>
        <v>2012</v>
      </c>
      <c r="M1659" s="308" t="s">
        <v>6491</v>
      </c>
      <c r="N1659" s="308" t="s">
        <v>6492</v>
      </c>
      <c r="O1659" s="312" t="s">
        <v>6493</v>
      </c>
      <c r="P1659" s="308" t="s">
        <v>3575</v>
      </c>
      <c r="Q1659" s="308"/>
      <c r="R1659" s="308" t="s">
        <v>6494</v>
      </c>
      <c r="S1659" s="315" t="s">
        <v>100</v>
      </c>
      <c r="T1659" s="311" t="s">
        <v>34208</v>
      </c>
      <c r="U1659" s="308" t="s">
        <v>2152</v>
      </c>
      <c r="V1659" s="312"/>
    </row>
    <row r="1660">
      <c r="A1660" s="308">
        <v>1659.0</v>
      </c>
      <c r="B1660" s="308"/>
      <c r="C1660" s="308">
        <v>1679.0</v>
      </c>
      <c r="D1660" s="308">
        <f>IFERROR(__xludf.DUMMYFUNCTION("SPLIT(C1660,""-"")"),1679.0)</f>
        <v>1679</v>
      </c>
      <c r="E1660" s="311"/>
      <c r="F1660" s="309" t="s">
        <v>34</v>
      </c>
      <c r="G1660" s="308"/>
      <c r="H1660" s="308" t="s">
        <v>6495</v>
      </c>
      <c r="I1660" s="314">
        <v>40628.0</v>
      </c>
      <c r="J1660" s="319">
        <f>IFERROR(__xludf.DUMMYFUNCTION("SPLIT(I1660,""/"")"),26.0)</f>
        <v>26</v>
      </c>
      <c r="K1660" s="308">
        <f>IFERROR(__xludf.DUMMYFUNCTION("""COMPUTED_VALUE"""),3.0)</f>
        <v>3</v>
      </c>
      <c r="L1660" s="308">
        <f>IFERROR(__xludf.DUMMYFUNCTION("""COMPUTED_VALUE"""),2011.0)</f>
        <v>2011</v>
      </c>
      <c r="M1660" s="308" t="s">
        <v>6496</v>
      </c>
      <c r="N1660" s="308" t="s">
        <v>6497</v>
      </c>
      <c r="O1660" s="312" t="s">
        <v>635</v>
      </c>
      <c r="P1660" s="308" t="s">
        <v>6498</v>
      </c>
      <c r="Q1660" s="308"/>
      <c r="R1660" s="308"/>
      <c r="S1660" s="308" t="s">
        <v>81</v>
      </c>
      <c r="T1660" s="308" t="s">
        <v>34264</v>
      </c>
      <c r="U1660" s="308"/>
      <c r="V1660" s="312"/>
    </row>
    <row r="1661">
      <c r="A1661" s="308">
        <v>1660.0</v>
      </c>
      <c r="B1661" s="308"/>
      <c r="C1661" s="308">
        <v>1680.0</v>
      </c>
      <c r="D1661" s="308">
        <f>IFERROR(__xludf.DUMMYFUNCTION("SPLIT(C1661,""-"")"),1680.0)</f>
        <v>1680</v>
      </c>
      <c r="E1661" s="311"/>
      <c r="F1661" s="309" t="s">
        <v>34</v>
      </c>
      <c r="G1661" s="308"/>
      <c r="H1661" s="308" t="s">
        <v>6499</v>
      </c>
      <c r="I1661" s="316">
        <v>2009.0</v>
      </c>
      <c r="J1661" s="319"/>
      <c r="K1661" s="308"/>
      <c r="L1661" s="311">
        <v>2009.0</v>
      </c>
      <c r="M1661" s="308" t="s">
        <v>6500</v>
      </c>
      <c r="N1661" s="308"/>
      <c r="O1661" s="312" t="s">
        <v>6501</v>
      </c>
      <c r="P1661" s="308" t="s">
        <v>6345</v>
      </c>
      <c r="Q1661" s="308"/>
      <c r="R1661" s="308"/>
      <c r="S1661" s="308" t="s">
        <v>81</v>
      </c>
      <c r="T1661" s="308" t="s">
        <v>34264</v>
      </c>
      <c r="U1661" s="308"/>
      <c r="V1661" s="312"/>
    </row>
    <row r="1662">
      <c r="A1662" s="308">
        <v>1661.0</v>
      </c>
      <c r="B1662" s="308"/>
      <c r="C1662" s="308">
        <v>1681.0</v>
      </c>
      <c r="D1662" s="308">
        <f>IFERROR(__xludf.DUMMYFUNCTION("SPLIT(C1662,""-"")"),1681.0)</f>
        <v>1681</v>
      </c>
      <c r="E1662" s="311"/>
      <c r="F1662" s="309" t="s">
        <v>34</v>
      </c>
      <c r="G1662" s="308"/>
      <c r="H1662" s="308" t="s">
        <v>6502</v>
      </c>
      <c r="I1662" s="314">
        <v>40270.0</v>
      </c>
      <c r="J1662" s="319">
        <f>IFERROR(__xludf.DUMMYFUNCTION("SPLIT(I1662,""/"")"),2.0)</f>
        <v>2</v>
      </c>
      <c r="K1662" s="308">
        <f>IFERROR(__xludf.DUMMYFUNCTION("""COMPUTED_VALUE"""),4.0)</f>
        <v>4</v>
      </c>
      <c r="L1662" s="308">
        <f>IFERROR(__xludf.DUMMYFUNCTION("""COMPUTED_VALUE"""),2010.0)</f>
        <v>2010</v>
      </c>
      <c r="M1662" s="308" t="s">
        <v>6503</v>
      </c>
      <c r="N1662" s="308"/>
      <c r="O1662" s="312" t="s">
        <v>635</v>
      </c>
      <c r="P1662" s="308" t="s">
        <v>6289</v>
      </c>
      <c r="Q1662" s="308"/>
      <c r="R1662" s="308"/>
      <c r="S1662" s="308" t="s">
        <v>81</v>
      </c>
      <c r="T1662" s="308" t="s">
        <v>34264</v>
      </c>
      <c r="U1662" s="308"/>
      <c r="V1662" s="312"/>
    </row>
    <row r="1663">
      <c r="A1663" s="308">
        <v>1662.0</v>
      </c>
      <c r="B1663" s="308"/>
      <c r="C1663" s="308" t="s">
        <v>6504</v>
      </c>
      <c r="D1663" s="308" t="str">
        <f>IFERROR(__xludf.DUMMYFUNCTION("SPLIT(C1663,""-"")"),"#REF!")</f>
        <v>#REF!</v>
      </c>
      <c r="E1663" s="311"/>
      <c r="F1663" s="317" t="s">
        <v>39</v>
      </c>
      <c r="G1663" s="308"/>
      <c r="H1663" s="308" t="s">
        <v>6505</v>
      </c>
      <c r="I1663" s="314">
        <v>40044.0</v>
      </c>
      <c r="J1663" s="319">
        <f>IFERROR(__xludf.DUMMYFUNCTION("SPLIT(I1663,""/"")"),19.0)</f>
        <v>19</v>
      </c>
      <c r="K1663" s="308">
        <f>IFERROR(__xludf.DUMMYFUNCTION("""COMPUTED_VALUE"""),8.0)</f>
        <v>8</v>
      </c>
      <c r="L1663" s="308">
        <f>IFERROR(__xludf.DUMMYFUNCTION("""COMPUTED_VALUE"""),2009.0)</f>
        <v>2009</v>
      </c>
      <c r="M1663" s="308" t="s">
        <v>6506</v>
      </c>
      <c r="N1663" s="308"/>
      <c r="O1663" s="312" t="s">
        <v>6507</v>
      </c>
      <c r="P1663" s="308" t="s">
        <v>5653</v>
      </c>
      <c r="Q1663" s="308"/>
      <c r="R1663" s="308"/>
      <c r="S1663" s="315" t="s">
        <v>100</v>
      </c>
      <c r="T1663" s="311" t="s">
        <v>34208</v>
      </c>
      <c r="U1663" s="308" t="s">
        <v>166</v>
      </c>
      <c r="V1663" s="312"/>
    </row>
    <row r="1664">
      <c r="A1664" s="308">
        <v>1663.0</v>
      </c>
      <c r="B1664" s="308"/>
      <c r="C1664" s="308">
        <v>1683.0</v>
      </c>
      <c r="D1664" s="308">
        <f>IFERROR(__xludf.DUMMYFUNCTION("SPLIT(C1664,""-"")"),1683.0)</f>
        <v>1683</v>
      </c>
      <c r="E1664" s="311"/>
      <c r="F1664" s="317" t="s">
        <v>39</v>
      </c>
      <c r="G1664" s="308"/>
      <c r="H1664" s="308" t="s">
        <v>6508</v>
      </c>
      <c r="I1664" s="316" t="s">
        <v>6509</v>
      </c>
      <c r="J1664" s="319">
        <f>IFERROR(__xludf.DUMMYFUNCTION("SPLIT(I1664,""/"")"),31.0)</f>
        <v>31</v>
      </c>
      <c r="K1664" s="308">
        <f>IFERROR(__xludf.DUMMYFUNCTION("""COMPUTED_VALUE"""),4.0)</f>
        <v>4</v>
      </c>
      <c r="L1664" s="308">
        <f>IFERROR(__xludf.DUMMYFUNCTION("""COMPUTED_VALUE"""),2012.0)</f>
        <v>2012</v>
      </c>
      <c r="M1664" s="308" t="s">
        <v>6510</v>
      </c>
      <c r="N1664" s="308"/>
      <c r="O1664" s="312" t="s">
        <v>6511</v>
      </c>
      <c r="P1664" s="308" t="s">
        <v>36213</v>
      </c>
      <c r="Q1664" s="308"/>
      <c r="R1664" s="308"/>
      <c r="S1664" s="308" t="s">
        <v>81</v>
      </c>
      <c r="T1664" s="308" t="s">
        <v>75</v>
      </c>
      <c r="U1664" s="312"/>
      <c r="V1664" s="312"/>
    </row>
    <row r="1665">
      <c r="A1665" s="308">
        <v>1664.0</v>
      </c>
      <c r="B1665" s="308"/>
      <c r="C1665" s="308">
        <v>1684.0</v>
      </c>
      <c r="D1665" s="308">
        <f>IFERROR(__xludf.DUMMYFUNCTION("SPLIT(C1665,""-"")"),1684.0)</f>
        <v>1684</v>
      </c>
      <c r="E1665" s="311"/>
      <c r="F1665" s="309" t="s">
        <v>34</v>
      </c>
      <c r="G1665" s="308"/>
      <c r="H1665" s="308" t="s">
        <v>6513</v>
      </c>
      <c r="I1665" s="316">
        <v>2009.0</v>
      </c>
      <c r="J1665" s="319"/>
      <c r="K1665" s="308"/>
      <c r="L1665" s="311">
        <v>2009.0</v>
      </c>
      <c r="M1665" s="308" t="s">
        <v>6514</v>
      </c>
      <c r="N1665" s="308"/>
      <c r="O1665" s="312" t="s">
        <v>36214</v>
      </c>
      <c r="P1665" s="308" t="s">
        <v>6516</v>
      </c>
      <c r="Q1665" s="308"/>
      <c r="R1665" s="308"/>
      <c r="S1665" s="308" t="s">
        <v>81</v>
      </c>
      <c r="T1665" s="308" t="s">
        <v>34264</v>
      </c>
      <c r="U1665" s="308"/>
      <c r="V1665" s="312"/>
    </row>
    <row r="1666">
      <c r="A1666" s="308">
        <v>1665.0</v>
      </c>
      <c r="B1666" s="308"/>
      <c r="C1666" s="308">
        <v>1685.0</v>
      </c>
      <c r="D1666" s="308">
        <f>IFERROR(__xludf.DUMMYFUNCTION("SPLIT(C1666,""-"")"),1685.0)</f>
        <v>1685</v>
      </c>
      <c r="E1666" s="311"/>
      <c r="F1666" s="317" t="s">
        <v>39</v>
      </c>
      <c r="G1666" s="308" t="s">
        <v>4971</v>
      </c>
      <c r="H1666" s="308" t="s">
        <v>6517</v>
      </c>
      <c r="I1666" s="314">
        <v>41584.0</v>
      </c>
      <c r="J1666" s="319">
        <f>IFERROR(__xludf.DUMMYFUNCTION("SPLIT(I1666,""/"")"),6.0)</f>
        <v>6</v>
      </c>
      <c r="K1666" s="308">
        <f>IFERROR(__xludf.DUMMYFUNCTION("""COMPUTED_VALUE"""),11.0)</f>
        <v>11</v>
      </c>
      <c r="L1666" s="308">
        <f>IFERROR(__xludf.DUMMYFUNCTION("""COMPUTED_VALUE"""),2013.0)</f>
        <v>2013</v>
      </c>
      <c r="M1666" s="308" t="s">
        <v>6518</v>
      </c>
      <c r="N1666" s="308"/>
      <c r="O1666" s="312" t="s">
        <v>36215</v>
      </c>
      <c r="P1666" s="308" t="s">
        <v>6520</v>
      </c>
      <c r="Q1666" s="308"/>
      <c r="R1666" s="308"/>
      <c r="S1666" s="308" t="s">
        <v>81</v>
      </c>
      <c r="T1666" s="308" t="s">
        <v>98</v>
      </c>
      <c r="U1666" s="312"/>
      <c r="V1666" s="312"/>
    </row>
    <row r="1667">
      <c r="A1667" s="308">
        <v>1666.0</v>
      </c>
      <c r="B1667" s="308"/>
      <c r="C1667" s="308">
        <v>1686.0</v>
      </c>
      <c r="D1667" s="308">
        <f>IFERROR(__xludf.DUMMYFUNCTION("SPLIT(C1667,""-"")"),1686.0)</f>
        <v>1686</v>
      </c>
      <c r="E1667" s="311"/>
      <c r="F1667" s="317" t="s">
        <v>39</v>
      </c>
      <c r="G1667" s="308" t="s">
        <v>4971</v>
      </c>
      <c r="H1667" s="308" t="s">
        <v>6521</v>
      </c>
      <c r="I1667" s="314">
        <v>41604.0</v>
      </c>
      <c r="J1667" s="319">
        <f>IFERROR(__xludf.DUMMYFUNCTION("SPLIT(I1667,""/"")"),26.0)</f>
        <v>26</v>
      </c>
      <c r="K1667" s="308">
        <f>IFERROR(__xludf.DUMMYFUNCTION("""COMPUTED_VALUE"""),11.0)</f>
        <v>11</v>
      </c>
      <c r="L1667" s="308">
        <f>IFERROR(__xludf.DUMMYFUNCTION("""COMPUTED_VALUE"""),2013.0)</f>
        <v>2013</v>
      </c>
      <c r="M1667" s="308" t="s">
        <v>6522</v>
      </c>
      <c r="N1667" s="308"/>
      <c r="O1667" s="312" t="s">
        <v>36216</v>
      </c>
      <c r="P1667" s="308" t="s">
        <v>36217</v>
      </c>
      <c r="Q1667" s="308"/>
      <c r="R1667" s="308"/>
      <c r="S1667" s="308" t="s">
        <v>49</v>
      </c>
      <c r="T1667" s="311" t="s">
        <v>51</v>
      </c>
      <c r="U1667" s="308"/>
      <c r="V1667" s="312"/>
    </row>
    <row r="1668">
      <c r="A1668" s="308">
        <v>1667.0</v>
      </c>
      <c r="B1668" s="308"/>
      <c r="C1668" s="308" t="s">
        <v>6525</v>
      </c>
      <c r="D1668" s="308"/>
      <c r="E1668" s="311"/>
      <c r="F1668" s="317" t="s">
        <v>39</v>
      </c>
      <c r="G1668" s="308" t="s">
        <v>4971</v>
      </c>
      <c r="H1668" s="308" t="s">
        <v>6526</v>
      </c>
      <c r="I1668" s="314">
        <v>41606.0</v>
      </c>
      <c r="J1668" s="319">
        <f>IFERROR(__xludf.DUMMYFUNCTION("SPLIT(I1668,""/"")"),28.0)</f>
        <v>28</v>
      </c>
      <c r="K1668" s="308">
        <f>IFERROR(__xludf.DUMMYFUNCTION("""COMPUTED_VALUE"""),11.0)</f>
        <v>11</v>
      </c>
      <c r="L1668" s="308">
        <f>IFERROR(__xludf.DUMMYFUNCTION("""COMPUTED_VALUE"""),2013.0)</f>
        <v>2013</v>
      </c>
      <c r="M1668" s="308" t="s">
        <v>6527</v>
      </c>
      <c r="N1668" s="308"/>
      <c r="O1668" s="312" t="s">
        <v>36218</v>
      </c>
      <c r="P1668" s="308" t="s">
        <v>36219</v>
      </c>
      <c r="Q1668" s="308"/>
      <c r="R1668" s="308"/>
      <c r="S1668" s="308" t="s">
        <v>81</v>
      </c>
      <c r="T1668" s="308" t="s">
        <v>75</v>
      </c>
      <c r="U1668" s="312"/>
      <c r="V1668" s="312"/>
    </row>
    <row r="1669">
      <c r="A1669" s="308">
        <v>1668.0</v>
      </c>
      <c r="B1669" s="308"/>
      <c r="C1669" s="308" t="s">
        <v>6530</v>
      </c>
      <c r="D1669" s="308"/>
      <c r="E1669" s="311"/>
      <c r="F1669" s="317" t="s">
        <v>39</v>
      </c>
      <c r="G1669" s="308" t="s">
        <v>4971</v>
      </c>
      <c r="H1669" s="308" t="s">
        <v>6531</v>
      </c>
      <c r="I1669" s="314">
        <v>41606.0</v>
      </c>
      <c r="J1669" s="319">
        <f>IFERROR(__xludf.DUMMYFUNCTION("SPLIT(I1669,""/"")"),28.0)</f>
        <v>28</v>
      </c>
      <c r="K1669" s="308">
        <f>IFERROR(__xludf.DUMMYFUNCTION("""COMPUTED_VALUE"""),11.0)</f>
        <v>11</v>
      </c>
      <c r="L1669" s="308">
        <f>IFERROR(__xludf.DUMMYFUNCTION("""COMPUTED_VALUE"""),2013.0)</f>
        <v>2013</v>
      </c>
      <c r="M1669" s="308" t="s">
        <v>36220</v>
      </c>
      <c r="N1669" s="308"/>
      <c r="O1669" s="312" t="s">
        <v>36221</v>
      </c>
      <c r="P1669" s="308"/>
      <c r="Q1669" s="308"/>
      <c r="R1669" s="308"/>
      <c r="S1669" s="308" t="s">
        <v>79</v>
      </c>
      <c r="T1669" s="308" t="s">
        <v>79</v>
      </c>
      <c r="U1669" s="308"/>
      <c r="V1669" s="308"/>
    </row>
    <row r="1670">
      <c r="A1670" s="308">
        <v>1669.0</v>
      </c>
      <c r="B1670" s="308"/>
      <c r="C1670" s="308">
        <v>1689.0</v>
      </c>
      <c r="D1670" s="308">
        <f>IFERROR(__xludf.DUMMYFUNCTION("SPLIT(C1670,""-"")"),1689.0)</f>
        <v>1689</v>
      </c>
      <c r="E1670" s="311"/>
      <c r="F1670" s="317" t="s">
        <v>39</v>
      </c>
      <c r="G1670" s="308" t="s">
        <v>4971</v>
      </c>
      <c r="H1670" s="308" t="s">
        <v>6534</v>
      </c>
      <c r="I1670" s="310">
        <v>41615.0</v>
      </c>
      <c r="J1670" s="319">
        <f>IFERROR(__xludf.DUMMYFUNCTION("SPLIT(I1670,""/"")"),7.0)</f>
        <v>7</v>
      </c>
      <c r="K1670" s="308">
        <f>IFERROR(__xludf.DUMMYFUNCTION("""COMPUTED_VALUE"""),12.0)</f>
        <v>12</v>
      </c>
      <c r="L1670" s="308">
        <f>IFERROR(__xludf.DUMMYFUNCTION("""COMPUTED_VALUE"""),2013.0)</f>
        <v>2013</v>
      </c>
      <c r="M1670" s="308" t="s">
        <v>6535</v>
      </c>
      <c r="N1670" s="308"/>
      <c r="O1670" s="312" t="s">
        <v>36222</v>
      </c>
      <c r="P1670" s="308" t="s">
        <v>5653</v>
      </c>
      <c r="Q1670" s="308"/>
      <c r="R1670" s="308" t="s">
        <v>6537</v>
      </c>
      <c r="S1670" s="315" t="s">
        <v>100</v>
      </c>
      <c r="T1670" s="311" t="s">
        <v>34208</v>
      </c>
      <c r="U1670" s="308" t="s">
        <v>166</v>
      </c>
      <c r="V1670" s="312"/>
    </row>
    <row r="1671">
      <c r="A1671" s="308">
        <v>1670.0</v>
      </c>
      <c r="B1671" s="308"/>
      <c r="C1671" s="308">
        <v>1690.0</v>
      </c>
      <c r="D1671" s="308">
        <f>IFERROR(__xludf.DUMMYFUNCTION("SPLIT(C1671,""-"")"),1690.0)</f>
        <v>1690</v>
      </c>
      <c r="E1671" s="311"/>
      <c r="F1671" s="317" t="s">
        <v>39</v>
      </c>
      <c r="G1671" s="308" t="s">
        <v>4971</v>
      </c>
      <c r="H1671" s="308" t="s">
        <v>6538</v>
      </c>
      <c r="I1671" s="314">
        <v>41635.0</v>
      </c>
      <c r="J1671" s="319">
        <f>IFERROR(__xludf.DUMMYFUNCTION("SPLIT(I1671,""/"")"),27.0)</f>
        <v>27</v>
      </c>
      <c r="K1671" s="308">
        <f>IFERROR(__xludf.DUMMYFUNCTION("""COMPUTED_VALUE"""),12.0)</f>
        <v>12</v>
      </c>
      <c r="L1671" s="308">
        <f>IFERROR(__xludf.DUMMYFUNCTION("""COMPUTED_VALUE"""),2013.0)</f>
        <v>2013</v>
      </c>
      <c r="M1671" s="308" t="s">
        <v>6539</v>
      </c>
      <c r="N1671" s="308"/>
      <c r="O1671" s="312" t="s">
        <v>36223</v>
      </c>
      <c r="P1671" s="308" t="s">
        <v>36224</v>
      </c>
      <c r="Q1671" s="308"/>
      <c r="R1671" s="308"/>
      <c r="S1671" s="308" t="s">
        <v>81</v>
      </c>
      <c r="T1671" s="308" t="s">
        <v>75</v>
      </c>
      <c r="U1671" s="312"/>
      <c r="V1671" s="312"/>
    </row>
    <row r="1672">
      <c r="A1672" s="308">
        <v>1671.0</v>
      </c>
      <c r="B1672" s="308"/>
      <c r="C1672" s="308">
        <v>1691.0</v>
      </c>
      <c r="D1672" s="308">
        <f>IFERROR(__xludf.DUMMYFUNCTION("SPLIT(C1672,""-"")"),1691.0)</f>
        <v>1691</v>
      </c>
      <c r="E1672" s="311"/>
      <c r="F1672" s="317" t="s">
        <v>39</v>
      </c>
      <c r="G1672" s="308" t="s">
        <v>4971</v>
      </c>
      <c r="H1672" s="308" t="s">
        <v>36225</v>
      </c>
      <c r="I1672" s="314">
        <v>41645.0</v>
      </c>
      <c r="J1672" s="319">
        <f>IFERROR(__xludf.DUMMYFUNCTION("SPLIT(I1672,""/"")"),6.0)</f>
        <v>6</v>
      </c>
      <c r="K1672" s="308">
        <f>IFERROR(__xludf.DUMMYFUNCTION("""COMPUTED_VALUE"""),1.0)</f>
        <v>1</v>
      </c>
      <c r="L1672" s="308">
        <f>IFERROR(__xludf.DUMMYFUNCTION("""COMPUTED_VALUE"""),2014.0)</f>
        <v>2014</v>
      </c>
      <c r="M1672" s="308" t="s">
        <v>6543</v>
      </c>
      <c r="N1672" s="308"/>
      <c r="O1672" s="312" t="s">
        <v>635</v>
      </c>
      <c r="P1672" s="308" t="s">
        <v>6520</v>
      </c>
      <c r="Q1672" s="308"/>
      <c r="R1672" s="308"/>
      <c r="S1672" s="308" t="s">
        <v>81</v>
      </c>
      <c r="T1672" s="308" t="s">
        <v>98</v>
      </c>
      <c r="U1672" s="312"/>
      <c r="V1672" s="312"/>
    </row>
    <row r="1673">
      <c r="A1673" s="308">
        <v>1672.0</v>
      </c>
      <c r="B1673" s="308"/>
      <c r="C1673" s="308">
        <v>1692.0</v>
      </c>
      <c r="D1673" s="308">
        <f>IFERROR(__xludf.DUMMYFUNCTION("SPLIT(C1673,""-"")"),1692.0)</f>
        <v>1692</v>
      </c>
      <c r="E1673" s="311"/>
      <c r="F1673" s="317" t="s">
        <v>39</v>
      </c>
      <c r="G1673" s="308" t="s">
        <v>4971</v>
      </c>
      <c r="H1673" s="308" t="s">
        <v>6544</v>
      </c>
      <c r="I1673" s="314">
        <v>41645.0</v>
      </c>
      <c r="J1673" s="319">
        <f>IFERROR(__xludf.DUMMYFUNCTION("SPLIT(I1673,""/"")"),6.0)</f>
        <v>6</v>
      </c>
      <c r="K1673" s="308">
        <f>IFERROR(__xludf.DUMMYFUNCTION("""COMPUTED_VALUE"""),1.0)</f>
        <v>1</v>
      </c>
      <c r="L1673" s="308">
        <f>IFERROR(__xludf.DUMMYFUNCTION("""COMPUTED_VALUE"""),2014.0)</f>
        <v>2014</v>
      </c>
      <c r="M1673" s="308" t="s">
        <v>6545</v>
      </c>
      <c r="N1673" s="308"/>
      <c r="O1673" s="312" t="s">
        <v>6546</v>
      </c>
      <c r="P1673" s="308" t="s">
        <v>6547</v>
      </c>
      <c r="Q1673" s="308"/>
      <c r="R1673" s="308"/>
      <c r="S1673" s="308" t="s">
        <v>49</v>
      </c>
      <c r="T1673" s="308" t="s">
        <v>70</v>
      </c>
      <c r="U1673" s="308"/>
      <c r="V1673" s="312"/>
    </row>
    <row r="1674">
      <c r="A1674" s="308">
        <v>1673.0</v>
      </c>
      <c r="B1674" s="308"/>
      <c r="C1674" s="308">
        <v>1693.0</v>
      </c>
      <c r="D1674" s="308">
        <f>IFERROR(__xludf.DUMMYFUNCTION("SPLIT(C1674,""-"")"),1693.0)</f>
        <v>1693</v>
      </c>
      <c r="E1674" s="311"/>
      <c r="F1674" s="317" t="s">
        <v>39</v>
      </c>
      <c r="G1674" s="308" t="s">
        <v>4971</v>
      </c>
      <c r="H1674" s="308" t="s">
        <v>6548</v>
      </c>
      <c r="I1674" s="314">
        <v>41669.0</v>
      </c>
      <c r="J1674" s="319">
        <f>IFERROR(__xludf.DUMMYFUNCTION("SPLIT(I1674,""/"")"),30.0)</f>
        <v>30</v>
      </c>
      <c r="K1674" s="308">
        <f>IFERROR(__xludf.DUMMYFUNCTION("""COMPUTED_VALUE"""),1.0)</f>
        <v>1</v>
      </c>
      <c r="L1674" s="308">
        <f>IFERROR(__xludf.DUMMYFUNCTION("""COMPUTED_VALUE"""),2014.0)</f>
        <v>2014</v>
      </c>
      <c r="M1674" s="308" t="s">
        <v>6549</v>
      </c>
      <c r="N1674" s="308"/>
      <c r="O1674" s="312" t="s">
        <v>6550</v>
      </c>
      <c r="P1674" s="308" t="s">
        <v>6551</v>
      </c>
      <c r="Q1674" s="308"/>
      <c r="R1674" s="308"/>
      <c r="S1674" s="308" t="s">
        <v>49</v>
      </c>
      <c r="T1674" s="308" t="s">
        <v>70</v>
      </c>
      <c r="U1674" s="308"/>
      <c r="V1674" s="312"/>
    </row>
    <row r="1675">
      <c r="A1675" s="308">
        <v>1674.0</v>
      </c>
      <c r="B1675" s="308"/>
      <c r="C1675" s="308">
        <v>1694.0</v>
      </c>
      <c r="D1675" s="308">
        <f>IFERROR(__xludf.DUMMYFUNCTION("SPLIT(C1675,""-"")"),1694.0)</f>
        <v>1694</v>
      </c>
      <c r="E1675" s="311"/>
      <c r="F1675" s="317" t="s">
        <v>39</v>
      </c>
      <c r="G1675" s="308" t="s">
        <v>4971</v>
      </c>
      <c r="H1675" s="308" t="s">
        <v>6552</v>
      </c>
      <c r="I1675" s="314">
        <v>41677.0</v>
      </c>
      <c r="J1675" s="319">
        <f>IFERROR(__xludf.DUMMYFUNCTION("SPLIT(I1675,""/"")"),7.0)</f>
        <v>7</v>
      </c>
      <c r="K1675" s="308">
        <f>IFERROR(__xludf.DUMMYFUNCTION("""COMPUTED_VALUE"""),2.0)</f>
        <v>2</v>
      </c>
      <c r="L1675" s="308">
        <f>IFERROR(__xludf.DUMMYFUNCTION("""COMPUTED_VALUE"""),2014.0)</f>
        <v>2014</v>
      </c>
      <c r="M1675" s="308" t="s">
        <v>6553</v>
      </c>
      <c r="N1675" s="308"/>
      <c r="O1675" s="312" t="s">
        <v>6554</v>
      </c>
      <c r="P1675" s="308" t="s">
        <v>5653</v>
      </c>
      <c r="Q1675" s="308"/>
      <c r="R1675" s="308" t="s">
        <v>6555</v>
      </c>
      <c r="S1675" s="315" t="s">
        <v>100</v>
      </c>
      <c r="T1675" s="311" t="s">
        <v>34208</v>
      </c>
      <c r="U1675" s="308"/>
      <c r="V1675" s="312"/>
    </row>
    <row r="1676">
      <c r="A1676" s="308">
        <v>1675.0</v>
      </c>
      <c r="B1676" s="308"/>
      <c r="C1676" s="308">
        <v>1695.0</v>
      </c>
      <c r="D1676" s="308">
        <f>IFERROR(__xludf.DUMMYFUNCTION("SPLIT(C1676,""-"")"),1695.0)</f>
        <v>1695</v>
      </c>
      <c r="E1676" s="311"/>
      <c r="F1676" s="317" t="s">
        <v>39</v>
      </c>
      <c r="G1676" s="308" t="s">
        <v>4971</v>
      </c>
      <c r="H1676" s="308" t="s">
        <v>36226</v>
      </c>
      <c r="I1676" s="314">
        <v>41677.0</v>
      </c>
      <c r="J1676" s="319">
        <f>IFERROR(__xludf.DUMMYFUNCTION("SPLIT(I1676,""/"")"),7.0)</f>
        <v>7</v>
      </c>
      <c r="K1676" s="308">
        <f>IFERROR(__xludf.DUMMYFUNCTION("""COMPUTED_VALUE"""),2.0)</f>
        <v>2</v>
      </c>
      <c r="L1676" s="308">
        <f>IFERROR(__xludf.DUMMYFUNCTION("""COMPUTED_VALUE"""),2014.0)</f>
        <v>2014</v>
      </c>
      <c r="M1676" s="308" t="s">
        <v>6557</v>
      </c>
      <c r="N1676" s="308"/>
      <c r="O1676" s="312" t="s">
        <v>5658</v>
      </c>
      <c r="P1676" s="308" t="s">
        <v>6558</v>
      </c>
      <c r="Q1676" s="308"/>
      <c r="R1676" s="308"/>
      <c r="S1676" s="308" t="s">
        <v>81</v>
      </c>
      <c r="T1676" s="311" t="s">
        <v>73</v>
      </c>
      <c r="U1676" s="312"/>
      <c r="V1676" s="312"/>
    </row>
    <row r="1677">
      <c r="A1677" s="308">
        <v>1676.0</v>
      </c>
      <c r="B1677" s="308"/>
      <c r="C1677" s="308" t="s">
        <v>6559</v>
      </c>
      <c r="D1677" s="308"/>
      <c r="E1677" s="311"/>
      <c r="F1677" s="317" t="s">
        <v>39</v>
      </c>
      <c r="G1677" s="308" t="s">
        <v>4971</v>
      </c>
      <c r="H1677" s="308" t="s">
        <v>6560</v>
      </c>
      <c r="I1677" s="314">
        <v>41548.0</v>
      </c>
      <c r="J1677" s="319">
        <f>IFERROR(__xludf.DUMMYFUNCTION("SPLIT(I1677,""/"")"),1.0)</f>
        <v>1</v>
      </c>
      <c r="K1677" s="308">
        <f>IFERROR(__xludf.DUMMYFUNCTION("""COMPUTED_VALUE"""),10.0)</f>
        <v>10</v>
      </c>
      <c r="L1677" s="308">
        <f>IFERROR(__xludf.DUMMYFUNCTION("""COMPUTED_VALUE"""),2013.0)</f>
        <v>2013</v>
      </c>
      <c r="M1677" s="308" t="s">
        <v>6561</v>
      </c>
      <c r="N1677" s="308"/>
      <c r="O1677" s="312" t="s">
        <v>6562</v>
      </c>
      <c r="P1677" s="308" t="s">
        <v>5653</v>
      </c>
      <c r="Q1677" s="308"/>
      <c r="R1677" s="308" t="s">
        <v>6563</v>
      </c>
      <c r="S1677" s="315" t="s">
        <v>100</v>
      </c>
      <c r="T1677" s="311" t="s">
        <v>34208</v>
      </c>
      <c r="U1677" s="308"/>
      <c r="V1677" s="312"/>
    </row>
    <row r="1678">
      <c r="A1678" s="308">
        <v>1677.0</v>
      </c>
      <c r="B1678" s="308"/>
      <c r="C1678" s="308" t="s">
        <v>6564</v>
      </c>
      <c r="D1678" s="308"/>
      <c r="E1678" s="311"/>
      <c r="F1678" s="317" t="s">
        <v>39</v>
      </c>
      <c r="G1678" s="308" t="s">
        <v>4971</v>
      </c>
      <c r="H1678" s="308" t="s">
        <v>6565</v>
      </c>
      <c r="I1678" s="314">
        <v>41549.0</v>
      </c>
      <c r="J1678" s="319">
        <f>IFERROR(__xludf.DUMMYFUNCTION("SPLIT(I1678,""/"")"),2.0)</f>
        <v>2</v>
      </c>
      <c r="K1678" s="308">
        <f>IFERROR(__xludf.DUMMYFUNCTION("""COMPUTED_VALUE"""),10.0)</f>
        <v>10</v>
      </c>
      <c r="L1678" s="308">
        <f>IFERROR(__xludf.DUMMYFUNCTION("""COMPUTED_VALUE"""),2013.0)</f>
        <v>2013</v>
      </c>
      <c r="M1678" s="308" t="s">
        <v>6566</v>
      </c>
      <c r="N1678" s="308"/>
      <c r="O1678" s="312" t="s">
        <v>6567</v>
      </c>
      <c r="P1678" s="308" t="s">
        <v>5653</v>
      </c>
      <c r="Q1678" s="308"/>
      <c r="R1678" s="308"/>
      <c r="S1678" s="315" t="s">
        <v>100</v>
      </c>
      <c r="T1678" s="311" t="s">
        <v>34208</v>
      </c>
      <c r="U1678" s="308"/>
      <c r="V1678" s="312"/>
    </row>
    <row r="1679">
      <c r="A1679" s="308">
        <v>1678.0</v>
      </c>
      <c r="B1679" s="308"/>
      <c r="C1679" s="308" t="s">
        <v>6568</v>
      </c>
      <c r="D1679" s="308">
        <f>IFERROR(__xludf.DUMMYFUNCTION("SPLIT(C1679,""-"")"),1698.0)</f>
        <v>1698</v>
      </c>
      <c r="E1679" s="308" t="str">
        <f>IFERROR(__xludf.DUMMYFUNCTION("""COMPUTED_VALUE""")," P")</f>
        <v> P</v>
      </c>
      <c r="F1679" s="312" t="s">
        <v>37</v>
      </c>
      <c r="G1679" s="308"/>
      <c r="H1679" s="308" t="s">
        <v>6569</v>
      </c>
      <c r="I1679" s="314">
        <v>41648.0</v>
      </c>
      <c r="J1679" s="319">
        <f>IFERROR(__xludf.DUMMYFUNCTION("SPLIT(I1679,""/"")"),9.0)</f>
        <v>9</v>
      </c>
      <c r="K1679" s="308">
        <f>IFERROR(__xludf.DUMMYFUNCTION("""COMPUTED_VALUE"""),1.0)</f>
        <v>1</v>
      </c>
      <c r="L1679" s="308">
        <f>IFERROR(__xludf.DUMMYFUNCTION("""COMPUTED_VALUE"""),2014.0)</f>
        <v>2014</v>
      </c>
      <c r="M1679" s="308" t="s">
        <v>6570</v>
      </c>
      <c r="N1679" s="308"/>
      <c r="O1679" s="312" t="s">
        <v>6571</v>
      </c>
      <c r="P1679" s="308" t="s">
        <v>6572</v>
      </c>
      <c r="Q1679" s="308"/>
      <c r="R1679" s="308"/>
      <c r="S1679" s="308" t="s">
        <v>81</v>
      </c>
      <c r="T1679" s="308" t="s">
        <v>75</v>
      </c>
      <c r="U1679" s="308"/>
      <c r="V1679" s="312"/>
    </row>
    <row r="1680">
      <c r="A1680" s="308">
        <v>1679.0</v>
      </c>
      <c r="B1680" s="308"/>
      <c r="C1680" s="308" t="s">
        <v>6573</v>
      </c>
      <c r="D1680" s="308">
        <f>IFERROR(__xludf.DUMMYFUNCTION("SPLIT(C1680,""-"")"),1699.0)</f>
        <v>1699</v>
      </c>
      <c r="E1680" s="308" t="str">
        <f>IFERROR(__xludf.DUMMYFUNCTION("""COMPUTED_VALUE""")," K")</f>
        <v> K</v>
      </c>
      <c r="F1680" s="309" t="s">
        <v>34</v>
      </c>
      <c r="G1680" s="308" t="s">
        <v>6574</v>
      </c>
      <c r="H1680" s="308" t="s">
        <v>6575</v>
      </c>
      <c r="I1680" s="314">
        <v>40147.0</v>
      </c>
      <c r="J1680" s="319">
        <f>IFERROR(__xludf.DUMMYFUNCTION("SPLIT(I1680,""/"")"),30.0)</f>
        <v>30</v>
      </c>
      <c r="K1680" s="308">
        <f>IFERROR(__xludf.DUMMYFUNCTION("""COMPUTED_VALUE"""),11.0)</f>
        <v>11</v>
      </c>
      <c r="L1680" s="308">
        <f>IFERROR(__xludf.DUMMYFUNCTION("""COMPUTED_VALUE"""),2009.0)</f>
        <v>2009</v>
      </c>
      <c r="M1680" s="308" t="s">
        <v>6576</v>
      </c>
      <c r="N1680" s="308"/>
      <c r="O1680" s="312" t="s">
        <v>6577</v>
      </c>
      <c r="P1680" s="308" t="s">
        <v>36227</v>
      </c>
      <c r="Q1680" s="308"/>
      <c r="R1680" s="308"/>
      <c r="S1680" s="308" t="s">
        <v>81</v>
      </c>
      <c r="T1680" s="308" t="s">
        <v>75</v>
      </c>
      <c r="U1680" s="308"/>
      <c r="V1680" s="312"/>
    </row>
    <row r="1681">
      <c r="A1681" s="308">
        <v>1680.0</v>
      </c>
      <c r="B1681" s="308"/>
      <c r="C1681" s="308" t="s">
        <v>6579</v>
      </c>
      <c r="D1681" s="308">
        <f>IFERROR(__xludf.DUMMYFUNCTION("SPLIT(C1681,""-"")"),1700.0)</f>
        <v>1700</v>
      </c>
      <c r="E1681" s="308" t="str">
        <f>IFERROR(__xludf.DUMMYFUNCTION("""COMPUTED_VALUE""")," K")</f>
        <v> K</v>
      </c>
      <c r="F1681" s="309" t="s">
        <v>34</v>
      </c>
      <c r="G1681" s="308"/>
      <c r="H1681" s="308" t="s">
        <v>6580</v>
      </c>
      <c r="I1681" s="314">
        <v>39984.0</v>
      </c>
      <c r="J1681" s="319">
        <f>IFERROR(__xludf.DUMMYFUNCTION("SPLIT(I1681,""/"")"),20.0)</f>
        <v>20</v>
      </c>
      <c r="K1681" s="308">
        <f>IFERROR(__xludf.DUMMYFUNCTION("""COMPUTED_VALUE"""),6.0)</f>
        <v>6</v>
      </c>
      <c r="L1681" s="308">
        <f>IFERROR(__xludf.DUMMYFUNCTION("""COMPUTED_VALUE"""),2009.0)</f>
        <v>2009</v>
      </c>
      <c r="M1681" s="308" t="s">
        <v>6581</v>
      </c>
      <c r="N1681" s="308"/>
      <c r="O1681" s="312" t="s">
        <v>6582</v>
      </c>
      <c r="P1681" s="308" t="s">
        <v>2872</v>
      </c>
      <c r="Q1681" s="308"/>
      <c r="R1681" s="308"/>
      <c r="S1681" s="315" t="s">
        <v>100</v>
      </c>
      <c r="T1681" s="311" t="s">
        <v>34208</v>
      </c>
      <c r="U1681" s="308" t="s">
        <v>125</v>
      </c>
      <c r="V1681" s="312"/>
    </row>
    <row r="1682">
      <c r="A1682" s="308">
        <v>1681.0</v>
      </c>
      <c r="B1682" s="308"/>
      <c r="C1682" s="308" t="s">
        <v>6583</v>
      </c>
      <c r="D1682" s="308">
        <f>IFERROR(__xludf.DUMMYFUNCTION("SPLIT(C1682,""-"")"),1701.0)</f>
        <v>1701</v>
      </c>
      <c r="E1682" s="308" t="str">
        <f>IFERROR(__xludf.DUMMYFUNCTION("""COMPUTED_VALUE"""),"K")</f>
        <v>K</v>
      </c>
      <c r="F1682" s="309" t="s">
        <v>34</v>
      </c>
      <c r="G1682" s="308" t="s">
        <v>6584</v>
      </c>
      <c r="H1682" s="308" t="s">
        <v>6585</v>
      </c>
      <c r="I1682" s="314">
        <v>39747.0</v>
      </c>
      <c r="J1682" s="319">
        <f>IFERROR(__xludf.DUMMYFUNCTION("SPLIT(I1682,""/"")"),26.0)</f>
        <v>26</v>
      </c>
      <c r="K1682" s="308">
        <f>IFERROR(__xludf.DUMMYFUNCTION("""COMPUTED_VALUE"""),10.0)</f>
        <v>10</v>
      </c>
      <c r="L1682" s="308">
        <f>IFERROR(__xludf.DUMMYFUNCTION("""COMPUTED_VALUE"""),2008.0)</f>
        <v>2008</v>
      </c>
      <c r="M1682" s="308" t="s">
        <v>6586</v>
      </c>
      <c r="N1682" s="308" t="s">
        <v>6587</v>
      </c>
      <c r="O1682" s="312" t="s">
        <v>36228</v>
      </c>
      <c r="P1682" s="308" t="s">
        <v>4052</v>
      </c>
      <c r="Q1682" s="308"/>
      <c r="R1682" s="308"/>
      <c r="S1682" s="315" t="s">
        <v>100</v>
      </c>
      <c r="T1682" s="311" t="s">
        <v>34208</v>
      </c>
      <c r="U1682" s="308" t="s">
        <v>872</v>
      </c>
      <c r="V1682" s="312"/>
    </row>
    <row r="1683">
      <c r="A1683" s="308">
        <v>1682.0</v>
      </c>
      <c r="B1683" s="308"/>
      <c r="C1683" s="308" t="s">
        <v>6589</v>
      </c>
      <c r="D1683" s="308">
        <f>IFERROR(__xludf.DUMMYFUNCTION("SPLIT(C1683,""-"")"),1702.0)</f>
        <v>1702</v>
      </c>
      <c r="E1683" s="308" t="str">
        <f>IFERROR(__xludf.DUMMYFUNCTION("""COMPUTED_VALUE""")," B")</f>
        <v> B</v>
      </c>
      <c r="F1683" s="315" t="s">
        <v>26</v>
      </c>
      <c r="G1683" s="308"/>
      <c r="H1683" s="308" t="s">
        <v>6590</v>
      </c>
      <c r="I1683" s="314">
        <v>41482.0</v>
      </c>
      <c r="J1683" s="319">
        <f>IFERROR(__xludf.DUMMYFUNCTION("SPLIT(I1683,""/"")"),27.0)</f>
        <v>27</v>
      </c>
      <c r="K1683" s="308">
        <f>IFERROR(__xludf.DUMMYFUNCTION("""COMPUTED_VALUE"""),7.0)</f>
        <v>7</v>
      </c>
      <c r="L1683" s="308">
        <f>IFERROR(__xludf.DUMMYFUNCTION("""COMPUTED_VALUE"""),2013.0)</f>
        <v>2013</v>
      </c>
      <c r="M1683" s="308" t="s">
        <v>6591</v>
      </c>
      <c r="N1683" s="308"/>
      <c r="O1683" s="312"/>
      <c r="P1683" s="308" t="s">
        <v>622</v>
      </c>
      <c r="Q1683" s="308"/>
      <c r="R1683" s="308"/>
      <c r="S1683" s="308" t="s">
        <v>49</v>
      </c>
      <c r="T1683" s="308" t="s">
        <v>34409</v>
      </c>
      <c r="U1683" s="308"/>
      <c r="V1683" s="312"/>
    </row>
    <row r="1684">
      <c r="A1684" s="308">
        <v>1683.0</v>
      </c>
      <c r="B1684" s="308"/>
      <c r="C1684" s="308" t="s">
        <v>6592</v>
      </c>
      <c r="D1684" s="308">
        <f>IFERROR(__xludf.DUMMYFUNCTION("SPLIT(C1684,""-"")"),1703.0)</f>
        <v>1703</v>
      </c>
      <c r="E1684" s="308" t="str">
        <f>IFERROR(__xludf.DUMMYFUNCTION("""COMPUTED_VALUE""")," I")</f>
        <v> I</v>
      </c>
      <c r="F1684" s="309" t="s">
        <v>31</v>
      </c>
      <c r="G1684" s="308"/>
      <c r="H1684" s="308" t="s">
        <v>6593</v>
      </c>
      <c r="I1684" s="314">
        <v>41654.0</v>
      </c>
      <c r="J1684" s="319">
        <f>IFERROR(__xludf.DUMMYFUNCTION("SPLIT(I1684,""/"")"),15.0)</f>
        <v>15</v>
      </c>
      <c r="K1684" s="308">
        <f>IFERROR(__xludf.DUMMYFUNCTION("""COMPUTED_VALUE"""),1.0)</f>
        <v>1</v>
      </c>
      <c r="L1684" s="308">
        <f>IFERROR(__xludf.DUMMYFUNCTION("""COMPUTED_VALUE"""),2014.0)</f>
        <v>2014</v>
      </c>
      <c r="M1684" s="308" t="s">
        <v>6594</v>
      </c>
      <c r="N1684" s="308"/>
      <c r="O1684" s="312" t="s">
        <v>6595</v>
      </c>
      <c r="P1684" s="308" t="s">
        <v>6596</v>
      </c>
      <c r="Q1684" s="308"/>
      <c r="R1684" s="308"/>
      <c r="S1684" s="308" t="s">
        <v>49</v>
      </c>
      <c r="T1684" s="308" t="s">
        <v>51</v>
      </c>
      <c r="U1684" s="308"/>
      <c r="V1684" s="312"/>
    </row>
    <row r="1685">
      <c r="A1685" s="308">
        <v>1684.0</v>
      </c>
      <c r="B1685" s="308"/>
      <c r="C1685" s="308" t="s">
        <v>6597</v>
      </c>
      <c r="D1685" s="308">
        <f>IFERROR(__xludf.DUMMYFUNCTION("SPLIT(C1685,""-"")"),1704.0)</f>
        <v>1704</v>
      </c>
      <c r="E1685" s="308" t="str">
        <f>IFERROR(__xludf.DUMMYFUNCTION("""COMPUTED_VALUE""")," K")</f>
        <v> K</v>
      </c>
      <c r="F1685" s="309" t="s">
        <v>34</v>
      </c>
      <c r="G1685" s="308"/>
      <c r="H1685" s="308" t="s">
        <v>6598</v>
      </c>
      <c r="I1685" s="314">
        <v>41067.0</v>
      </c>
      <c r="J1685" s="319">
        <f>IFERROR(__xludf.DUMMYFUNCTION("SPLIT(I1685,""/"")"),7.0)</f>
        <v>7</v>
      </c>
      <c r="K1685" s="308">
        <f>IFERROR(__xludf.DUMMYFUNCTION("""COMPUTED_VALUE"""),6.0)</f>
        <v>6</v>
      </c>
      <c r="L1685" s="308">
        <f>IFERROR(__xludf.DUMMYFUNCTION("""COMPUTED_VALUE"""),2012.0)</f>
        <v>2012</v>
      </c>
      <c r="M1685" s="308" t="s">
        <v>6599</v>
      </c>
      <c r="N1685" s="308"/>
      <c r="O1685" s="312" t="s">
        <v>6600</v>
      </c>
      <c r="P1685" s="308" t="s">
        <v>6601</v>
      </c>
      <c r="Q1685" s="308"/>
      <c r="R1685" s="308"/>
      <c r="S1685" s="308" t="s">
        <v>81</v>
      </c>
      <c r="T1685" s="308" t="s">
        <v>34264</v>
      </c>
      <c r="U1685" s="308"/>
      <c r="V1685" s="312"/>
    </row>
    <row r="1686">
      <c r="A1686" s="308">
        <v>1685.0</v>
      </c>
      <c r="B1686" s="308"/>
      <c r="C1686" s="308" t="s">
        <v>6602</v>
      </c>
      <c r="D1686" s="308">
        <f>IFERROR(__xludf.DUMMYFUNCTION("SPLIT(C1686,""-"")"),1705.0)</f>
        <v>1705</v>
      </c>
      <c r="E1686" s="308" t="str">
        <f>IFERROR(__xludf.DUMMYFUNCTION("""COMPUTED_VALUE""")," K")</f>
        <v> K</v>
      </c>
      <c r="F1686" s="309" t="s">
        <v>34</v>
      </c>
      <c r="G1686" s="308"/>
      <c r="H1686" s="308" t="s">
        <v>6603</v>
      </c>
      <c r="I1686" s="314">
        <v>41548.0</v>
      </c>
      <c r="J1686" s="319">
        <f>IFERROR(__xludf.DUMMYFUNCTION("SPLIT(I1686,""/"")"),1.0)</f>
        <v>1</v>
      </c>
      <c r="K1686" s="308">
        <f>IFERROR(__xludf.DUMMYFUNCTION("""COMPUTED_VALUE"""),10.0)</f>
        <v>10</v>
      </c>
      <c r="L1686" s="308">
        <f>IFERROR(__xludf.DUMMYFUNCTION("""COMPUTED_VALUE"""),2013.0)</f>
        <v>2013</v>
      </c>
      <c r="M1686" s="308" t="s">
        <v>6604</v>
      </c>
      <c r="N1686" s="308"/>
      <c r="O1686" s="312" t="s">
        <v>6605</v>
      </c>
      <c r="P1686" s="308" t="s">
        <v>2872</v>
      </c>
      <c r="Q1686" s="308"/>
      <c r="R1686" s="308"/>
      <c r="S1686" s="315" t="s">
        <v>100</v>
      </c>
      <c r="T1686" s="311" t="s">
        <v>34208</v>
      </c>
      <c r="U1686" s="308" t="s">
        <v>125</v>
      </c>
      <c r="V1686" s="312"/>
    </row>
    <row r="1687">
      <c r="A1687" s="308">
        <v>1686.0</v>
      </c>
      <c r="B1687" s="308"/>
      <c r="C1687" s="308" t="s">
        <v>6606</v>
      </c>
      <c r="D1687" s="308">
        <f>IFERROR(__xludf.DUMMYFUNCTION("SPLIT(C1687,""-"")"),1706.0)</f>
        <v>1706</v>
      </c>
      <c r="E1687" s="308" t="str">
        <f>IFERROR(__xludf.DUMMYFUNCTION("""COMPUTED_VALUE""")," I")</f>
        <v> I</v>
      </c>
      <c r="F1687" s="309" t="s">
        <v>31</v>
      </c>
      <c r="G1687" s="308"/>
      <c r="H1687" s="308" t="s">
        <v>6607</v>
      </c>
      <c r="I1687" s="314">
        <v>41037.0</v>
      </c>
      <c r="J1687" s="319">
        <f>IFERROR(__xludf.DUMMYFUNCTION("SPLIT(I1687,""/"")"),8.0)</f>
        <v>8</v>
      </c>
      <c r="K1687" s="308">
        <f>IFERROR(__xludf.DUMMYFUNCTION("""COMPUTED_VALUE"""),5.0)</f>
        <v>5</v>
      </c>
      <c r="L1687" s="308">
        <f>IFERROR(__xludf.DUMMYFUNCTION("""COMPUTED_VALUE"""),2012.0)</f>
        <v>2012</v>
      </c>
      <c r="M1687" s="308" t="s">
        <v>6608</v>
      </c>
      <c r="N1687" s="308"/>
      <c r="O1687" s="312" t="s">
        <v>6609</v>
      </c>
      <c r="P1687" s="308" t="s">
        <v>6610</v>
      </c>
      <c r="Q1687" s="308"/>
      <c r="R1687" s="308"/>
      <c r="S1687" s="308" t="s">
        <v>81</v>
      </c>
      <c r="T1687" s="308" t="s">
        <v>34264</v>
      </c>
      <c r="U1687" s="308"/>
      <c r="V1687" s="312"/>
    </row>
    <row r="1688">
      <c r="A1688" s="308">
        <v>1687.0</v>
      </c>
      <c r="B1688" s="308"/>
      <c r="C1688" s="308" t="s">
        <v>6611</v>
      </c>
      <c r="D1688" s="308">
        <f>IFERROR(__xludf.DUMMYFUNCTION("SPLIT(C1688,""-"")"),1707.0)</f>
        <v>1707</v>
      </c>
      <c r="E1688" s="308" t="str">
        <f>IFERROR(__xludf.DUMMYFUNCTION("""COMPUTED_VALUE""")," K")</f>
        <v> K</v>
      </c>
      <c r="F1688" s="309" t="s">
        <v>34</v>
      </c>
      <c r="G1688" s="308"/>
      <c r="H1688" s="308" t="s">
        <v>6612</v>
      </c>
      <c r="I1688" s="314">
        <v>41280.0</v>
      </c>
      <c r="J1688" s="319">
        <f>IFERROR(__xludf.DUMMYFUNCTION("SPLIT(I1688,""/"")"),6.0)</f>
        <v>6</v>
      </c>
      <c r="K1688" s="308">
        <f>IFERROR(__xludf.DUMMYFUNCTION("""COMPUTED_VALUE"""),1.0)</f>
        <v>1</v>
      </c>
      <c r="L1688" s="308">
        <f>IFERROR(__xludf.DUMMYFUNCTION("""COMPUTED_VALUE"""),2013.0)</f>
        <v>2013</v>
      </c>
      <c r="M1688" s="308" t="s">
        <v>6613</v>
      </c>
      <c r="N1688" s="308"/>
      <c r="O1688" s="312" t="s">
        <v>6614</v>
      </c>
      <c r="P1688" s="308" t="s">
        <v>36229</v>
      </c>
      <c r="Q1688" s="308"/>
      <c r="R1688" s="308"/>
      <c r="S1688" s="308" t="s">
        <v>81</v>
      </c>
      <c r="T1688" s="308" t="s">
        <v>34264</v>
      </c>
      <c r="U1688" s="308"/>
      <c r="V1688" s="312"/>
    </row>
    <row r="1689">
      <c r="A1689" s="308">
        <v>1688.0</v>
      </c>
      <c r="B1689" s="308"/>
      <c r="C1689" s="308" t="s">
        <v>6616</v>
      </c>
      <c r="D1689" s="308">
        <f>IFERROR(__xludf.DUMMYFUNCTION("SPLIT(C1689,""-"")"),1708.0)</f>
        <v>1708</v>
      </c>
      <c r="E1689" s="308" t="str">
        <f>IFERROR(__xludf.DUMMYFUNCTION("""COMPUTED_VALUE""")," S")</f>
        <v> S</v>
      </c>
      <c r="F1689" s="312" t="s">
        <v>39</v>
      </c>
      <c r="G1689" s="308"/>
      <c r="H1689" s="308" t="s">
        <v>6617</v>
      </c>
      <c r="I1689" s="314">
        <v>41330.0</v>
      </c>
      <c r="J1689" s="319">
        <f>IFERROR(__xludf.DUMMYFUNCTION("SPLIT(I1689,""/"")"),25.0)</f>
        <v>25</v>
      </c>
      <c r="K1689" s="308">
        <f>IFERROR(__xludf.DUMMYFUNCTION("""COMPUTED_VALUE"""),2.0)</f>
        <v>2</v>
      </c>
      <c r="L1689" s="308">
        <f>IFERROR(__xludf.DUMMYFUNCTION("""COMPUTED_VALUE"""),2013.0)</f>
        <v>2013</v>
      </c>
      <c r="M1689" s="308" t="s">
        <v>6618</v>
      </c>
      <c r="N1689" s="308"/>
      <c r="O1689" s="312" t="s">
        <v>36230</v>
      </c>
      <c r="P1689" s="308" t="s">
        <v>6620</v>
      </c>
      <c r="Q1689" s="308"/>
      <c r="R1689" s="308"/>
      <c r="S1689" s="308" t="s">
        <v>81</v>
      </c>
      <c r="T1689" s="308" t="s">
        <v>75</v>
      </c>
      <c r="U1689" s="308"/>
      <c r="V1689" s="312"/>
    </row>
    <row r="1690">
      <c r="A1690" s="308">
        <v>1689.0</v>
      </c>
      <c r="B1690" s="308"/>
      <c r="C1690" s="308" t="s">
        <v>6621</v>
      </c>
      <c r="D1690" s="308">
        <f>IFERROR(__xludf.DUMMYFUNCTION("SPLIT(C1690,""-"")"),1709.0)</f>
        <v>1709</v>
      </c>
      <c r="E1690" s="308" t="str">
        <f>IFERROR(__xludf.DUMMYFUNCTION("""COMPUTED_VALUE""")," K")</f>
        <v> K</v>
      </c>
      <c r="F1690" s="309" t="s">
        <v>34</v>
      </c>
      <c r="G1690" s="308"/>
      <c r="H1690" s="308" t="s">
        <v>36231</v>
      </c>
      <c r="I1690" s="314">
        <v>41680.0</v>
      </c>
      <c r="J1690" s="319">
        <f>IFERROR(__xludf.DUMMYFUNCTION("SPLIT(I1690,""/"")"),10.0)</f>
        <v>10</v>
      </c>
      <c r="K1690" s="308">
        <f>IFERROR(__xludf.DUMMYFUNCTION("""COMPUTED_VALUE"""),2.0)</f>
        <v>2</v>
      </c>
      <c r="L1690" s="308">
        <f>IFERROR(__xludf.DUMMYFUNCTION("""COMPUTED_VALUE"""),2014.0)</f>
        <v>2014</v>
      </c>
      <c r="M1690" s="308" t="s">
        <v>6623</v>
      </c>
      <c r="N1690" s="308"/>
      <c r="O1690" s="312" t="s">
        <v>36232</v>
      </c>
      <c r="P1690" s="308" t="s">
        <v>36233</v>
      </c>
      <c r="Q1690" s="308"/>
      <c r="R1690" s="308"/>
      <c r="S1690" s="308" t="s">
        <v>81</v>
      </c>
      <c r="T1690" s="308" t="s">
        <v>34264</v>
      </c>
      <c r="U1690" s="308"/>
      <c r="V1690" s="312"/>
    </row>
    <row r="1691">
      <c r="A1691" s="308">
        <v>1690.0</v>
      </c>
      <c r="B1691" s="308"/>
      <c r="C1691" s="308" t="s">
        <v>6626</v>
      </c>
      <c r="D1691" s="308">
        <f>IFERROR(__xludf.DUMMYFUNCTION("SPLIT(C1691,""-"")"),1710.0)</f>
        <v>1710</v>
      </c>
      <c r="E1691" s="308" t="str">
        <f>IFERROR(__xludf.DUMMYFUNCTION("""COMPUTED_VALUE""")," P")</f>
        <v> P</v>
      </c>
      <c r="F1691" s="312" t="s">
        <v>37</v>
      </c>
      <c r="G1691" s="308"/>
      <c r="H1691" s="308" t="s">
        <v>6627</v>
      </c>
      <c r="I1691" s="314">
        <v>40685.0</v>
      </c>
      <c r="J1691" s="319">
        <f>IFERROR(__xludf.DUMMYFUNCTION("SPLIT(I1691,""/"")"),22.0)</f>
        <v>22</v>
      </c>
      <c r="K1691" s="308">
        <f>IFERROR(__xludf.DUMMYFUNCTION("""COMPUTED_VALUE"""),5.0)</f>
        <v>5</v>
      </c>
      <c r="L1691" s="308">
        <f>IFERROR(__xludf.DUMMYFUNCTION("""COMPUTED_VALUE"""),2011.0)</f>
        <v>2011</v>
      </c>
      <c r="M1691" s="308" t="s">
        <v>6628</v>
      </c>
      <c r="N1691" s="308"/>
      <c r="O1691" s="312" t="s">
        <v>6629</v>
      </c>
      <c r="P1691" s="308" t="s">
        <v>36234</v>
      </c>
      <c r="Q1691" s="308"/>
      <c r="R1691" s="308"/>
      <c r="S1691" s="315" t="s">
        <v>100</v>
      </c>
      <c r="T1691" s="311" t="s">
        <v>34208</v>
      </c>
      <c r="U1691" s="308" t="s">
        <v>143</v>
      </c>
      <c r="V1691" s="312"/>
    </row>
    <row r="1692">
      <c r="A1692" s="308">
        <v>1691.0</v>
      </c>
      <c r="B1692" s="308"/>
      <c r="C1692" s="308" t="s">
        <v>6631</v>
      </c>
      <c r="D1692" s="308">
        <f>IFERROR(__xludf.DUMMYFUNCTION("SPLIT(C1692,""-"")"),1711.0)</f>
        <v>1711</v>
      </c>
      <c r="E1692" s="308" t="str">
        <f>IFERROR(__xludf.DUMMYFUNCTION("""COMPUTED_VALUE""")," P")</f>
        <v> P</v>
      </c>
      <c r="F1692" s="312" t="s">
        <v>37</v>
      </c>
      <c r="G1692" s="308"/>
      <c r="H1692" s="308" t="s">
        <v>6632</v>
      </c>
      <c r="I1692" s="314">
        <v>41039.0</v>
      </c>
      <c r="J1692" s="319">
        <f>IFERROR(__xludf.DUMMYFUNCTION("SPLIT(I1692,""/"")"),10.0)</f>
        <v>10</v>
      </c>
      <c r="K1692" s="308">
        <f>IFERROR(__xludf.DUMMYFUNCTION("""COMPUTED_VALUE"""),5.0)</f>
        <v>5</v>
      </c>
      <c r="L1692" s="308">
        <f>IFERROR(__xludf.DUMMYFUNCTION("""COMPUTED_VALUE"""),2012.0)</f>
        <v>2012</v>
      </c>
      <c r="M1692" s="308" t="s">
        <v>6633</v>
      </c>
      <c r="N1692" s="308"/>
      <c r="O1692" s="312" t="s">
        <v>6634</v>
      </c>
      <c r="P1692" s="308" t="s">
        <v>2675</v>
      </c>
      <c r="Q1692" s="308"/>
      <c r="R1692" s="308"/>
      <c r="S1692" s="308" t="s">
        <v>49</v>
      </c>
      <c r="T1692" s="308" t="s">
        <v>51</v>
      </c>
      <c r="U1692" s="308" t="s">
        <v>137</v>
      </c>
      <c r="V1692" s="312"/>
    </row>
    <row r="1693">
      <c r="A1693" s="308">
        <v>1692.0</v>
      </c>
      <c r="B1693" s="308"/>
      <c r="C1693" s="308" t="s">
        <v>6635</v>
      </c>
      <c r="D1693" s="308">
        <f>IFERROR(__xludf.DUMMYFUNCTION("SPLIT(C1693,""-"")"),1712.0)</f>
        <v>1712</v>
      </c>
      <c r="E1693" s="308" t="str">
        <f>IFERROR(__xludf.DUMMYFUNCTION("""COMPUTED_VALUE""")," K")</f>
        <v> K</v>
      </c>
      <c r="F1693" s="309" t="s">
        <v>34</v>
      </c>
      <c r="G1693" s="308"/>
      <c r="H1693" s="308" t="s">
        <v>6636</v>
      </c>
      <c r="I1693" s="314">
        <v>41352.0</v>
      </c>
      <c r="J1693" s="319">
        <f>IFERROR(__xludf.DUMMYFUNCTION("SPLIT(I1693,""/"")"),19.0)</f>
        <v>19</v>
      </c>
      <c r="K1693" s="308">
        <f>IFERROR(__xludf.DUMMYFUNCTION("""COMPUTED_VALUE"""),3.0)</f>
        <v>3</v>
      </c>
      <c r="L1693" s="308">
        <f>IFERROR(__xludf.DUMMYFUNCTION("""COMPUTED_VALUE"""),2013.0)</f>
        <v>2013</v>
      </c>
      <c r="M1693" s="308" t="s">
        <v>6637</v>
      </c>
      <c r="N1693" s="308"/>
      <c r="O1693" s="312" t="s">
        <v>6638</v>
      </c>
      <c r="P1693" s="308" t="s">
        <v>6639</v>
      </c>
      <c r="Q1693" s="308"/>
      <c r="R1693" s="308"/>
      <c r="S1693" s="308" t="s">
        <v>81</v>
      </c>
      <c r="T1693" s="308" t="s">
        <v>75</v>
      </c>
      <c r="U1693" s="308"/>
      <c r="V1693" s="312"/>
    </row>
    <row r="1694">
      <c r="A1694" s="308">
        <v>1693.0</v>
      </c>
      <c r="B1694" s="308"/>
      <c r="C1694" s="308" t="s">
        <v>6640</v>
      </c>
      <c r="D1694" s="308">
        <f>IFERROR(__xludf.DUMMYFUNCTION("SPLIT(C1694,""-"")"),1713.0)</f>
        <v>1713</v>
      </c>
      <c r="E1694" s="308" t="str">
        <f>IFERROR(__xludf.DUMMYFUNCTION("""COMPUTED_VALUE""")," S")</f>
        <v> S</v>
      </c>
      <c r="F1694" s="312" t="s">
        <v>39</v>
      </c>
      <c r="G1694" s="308" t="s">
        <v>6641</v>
      </c>
      <c r="H1694" s="308" t="s">
        <v>6642</v>
      </c>
      <c r="I1694" s="326">
        <v>41183.0</v>
      </c>
      <c r="J1694" s="319"/>
      <c r="K1694" s="311">
        <v>10.0</v>
      </c>
      <c r="L1694" s="311">
        <v>2012.0</v>
      </c>
      <c r="M1694" s="308" t="s">
        <v>6643</v>
      </c>
      <c r="N1694" s="308"/>
      <c r="O1694" s="312" t="s">
        <v>6644</v>
      </c>
      <c r="P1694" s="308" t="s">
        <v>2774</v>
      </c>
      <c r="Q1694" s="308"/>
      <c r="R1694" s="308"/>
      <c r="S1694" s="308" t="s">
        <v>49</v>
      </c>
      <c r="T1694" s="308" t="s">
        <v>51</v>
      </c>
      <c r="U1694" s="312"/>
      <c r="V1694" s="312"/>
    </row>
    <row r="1695">
      <c r="A1695" s="308">
        <v>1694.0</v>
      </c>
      <c r="B1695" s="308"/>
      <c r="C1695" s="308" t="s">
        <v>6645</v>
      </c>
      <c r="D1695" s="308"/>
      <c r="E1695" s="311"/>
      <c r="F1695" s="317" t="s">
        <v>39</v>
      </c>
      <c r="G1695" s="308" t="s">
        <v>6646</v>
      </c>
      <c r="H1695" s="308" t="s">
        <v>36235</v>
      </c>
      <c r="I1695" s="314">
        <v>41549.0</v>
      </c>
      <c r="J1695" s="319">
        <f>IFERROR(__xludf.DUMMYFUNCTION("SPLIT(I1695,""/"")"),2.0)</f>
        <v>2</v>
      </c>
      <c r="K1695" s="308">
        <f>IFERROR(__xludf.DUMMYFUNCTION("""COMPUTED_VALUE"""),10.0)</f>
        <v>10</v>
      </c>
      <c r="L1695" s="308">
        <f>IFERROR(__xludf.DUMMYFUNCTION("""COMPUTED_VALUE"""),2013.0)</f>
        <v>2013</v>
      </c>
      <c r="M1695" s="308" t="s">
        <v>6648</v>
      </c>
      <c r="N1695" s="308"/>
      <c r="O1695" s="312" t="s">
        <v>6649</v>
      </c>
      <c r="P1695" s="308" t="s">
        <v>5653</v>
      </c>
      <c r="Q1695" s="308"/>
      <c r="R1695" s="308" t="s">
        <v>6650</v>
      </c>
      <c r="S1695" s="315" t="s">
        <v>100</v>
      </c>
      <c r="T1695" s="311" t="s">
        <v>34208</v>
      </c>
      <c r="U1695" s="308"/>
      <c r="V1695" s="312"/>
    </row>
    <row r="1696">
      <c r="A1696" s="308">
        <v>1695.0</v>
      </c>
      <c r="B1696" s="308"/>
      <c r="C1696" s="308" t="s">
        <v>6651</v>
      </c>
      <c r="D1696" s="308">
        <f>IFERROR(__xludf.DUMMYFUNCTION("SPLIT(C1696,""-"")"),1715.0)</f>
        <v>1715</v>
      </c>
      <c r="E1696" s="308" t="str">
        <f>IFERROR(__xludf.DUMMYFUNCTION("""COMPUTED_VALUE""")," S")</f>
        <v> S</v>
      </c>
      <c r="F1696" s="312" t="s">
        <v>39</v>
      </c>
      <c r="G1696" s="308" t="s">
        <v>6652</v>
      </c>
      <c r="H1696" s="308" t="s">
        <v>36236</v>
      </c>
      <c r="I1696" s="314">
        <v>41576.0</v>
      </c>
      <c r="J1696" s="319">
        <f>IFERROR(__xludf.DUMMYFUNCTION("SPLIT(I1696,""/"")"),29.0)</f>
        <v>29</v>
      </c>
      <c r="K1696" s="308">
        <f>IFERROR(__xludf.DUMMYFUNCTION("""COMPUTED_VALUE"""),10.0)</f>
        <v>10</v>
      </c>
      <c r="L1696" s="308">
        <f>IFERROR(__xludf.DUMMYFUNCTION("""COMPUTED_VALUE"""),2013.0)</f>
        <v>2013</v>
      </c>
      <c r="M1696" s="308" t="s">
        <v>6654</v>
      </c>
      <c r="N1696" s="308"/>
      <c r="O1696" s="312" t="s">
        <v>635</v>
      </c>
      <c r="P1696" s="308" t="s">
        <v>36237</v>
      </c>
      <c r="Q1696" s="308"/>
      <c r="R1696" s="308"/>
      <c r="S1696" s="308" t="s">
        <v>81</v>
      </c>
      <c r="T1696" s="308" t="s">
        <v>75</v>
      </c>
      <c r="U1696" s="312"/>
      <c r="V1696" s="312"/>
    </row>
    <row r="1697">
      <c r="A1697" s="308">
        <v>1696.0</v>
      </c>
      <c r="B1697" s="308"/>
      <c r="C1697" s="308" t="s">
        <v>6656</v>
      </c>
      <c r="D1697" s="308">
        <f>IFERROR(__xludf.DUMMYFUNCTION("SPLIT(C1697,""-"")"),1716.0)</f>
        <v>1716</v>
      </c>
      <c r="E1697" s="308" t="str">
        <f>IFERROR(__xludf.DUMMYFUNCTION("""COMPUTED_VALUE""")," S")</f>
        <v> S</v>
      </c>
      <c r="F1697" s="312" t="s">
        <v>39</v>
      </c>
      <c r="G1697" s="308" t="s">
        <v>6657</v>
      </c>
      <c r="H1697" s="308" t="s">
        <v>36238</v>
      </c>
      <c r="I1697" s="314">
        <v>41500.0</v>
      </c>
      <c r="J1697" s="319">
        <f>IFERROR(__xludf.DUMMYFUNCTION("SPLIT(I1697,""/"")"),14.0)</f>
        <v>14</v>
      </c>
      <c r="K1697" s="308">
        <f>IFERROR(__xludf.DUMMYFUNCTION("""COMPUTED_VALUE"""),8.0)</f>
        <v>8</v>
      </c>
      <c r="L1697" s="308">
        <f>IFERROR(__xludf.DUMMYFUNCTION("""COMPUTED_VALUE"""),2013.0)</f>
        <v>2013</v>
      </c>
      <c r="M1697" s="308" t="s">
        <v>6659</v>
      </c>
      <c r="N1697" s="308"/>
      <c r="O1697" s="312" t="s">
        <v>6660</v>
      </c>
      <c r="P1697" s="308" t="s">
        <v>6661</v>
      </c>
      <c r="Q1697" s="308"/>
      <c r="R1697" s="308"/>
      <c r="S1697" s="308" t="s">
        <v>81</v>
      </c>
      <c r="T1697" s="308" t="s">
        <v>75</v>
      </c>
      <c r="U1697" s="308"/>
      <c r="V1697" s="312"/>
    </row>
    <row r="1698">
      <c r="A1698" s="308">
        <v>1697.0</v>
      </c>
      <c r="B1698" s="308"/>
      <c r="C1698" s="308" t="s">
        <v>6662</v>
      </c>
      <c r="D1698" s="308">
        <f>IFERROR(__xludf.DUMMYFUNCTION("SPLIT(C1698,""-"")"),1717.0)</f>
        <v>1717</v>
      </c>
      <c r="E1698" s="308" t="str">
        <f>IFERROR(__xludf.DUMMYFUNCTION("""COMPUTED_VALUE""")," S")</f>
        <v> S</v>
      </c>
      <c r="F1698" s="312" t="s">
        <v>39</v>
      </c>
      <c r="G1698" s="308" t="s">
        <v>6663</v>
      </c>
      <c r="H1698" s="308" t="s">
        <v>6664</v>
      </c>
      <c r="I1698" s="314">
        <v>41436.0</v>
      </c>
      <c r="J1698" s="319">
        <f>IFERROR(__xludf.DUMMYFUNCTION("SPLIT(I1698,""/"")"),11.0)</f>
        <v>11</v>
      </c>
      <c r="K1698" s="308">
        <f>IFERROR(__xludf.DUMMYFUNCTION("""COMPUTED_VALUE"""),6.0)</f>
        <v>6</v>
      </c>
      <c r="L1698" s="308">
        <f>IFERROR(__xludf.DUMMYFUNCTION("""COMPUTED_VALUE"""),2013.0)</f>
        <v>2013</v>
      </c>
      <c r="M1698" s="308" t="s">
        <v>6665</v>
      </c>
      <c r="N1698" s="308"/>
      <c r="O1698" s="312" t="s">
        <v>5658</v>
      </c>
      <c r="P1698" s="308" t="s">
        <v>36239</v>
      </c>
      <c r="Q1698" s="308"/>
      <c r="R1698" s="308"/>
      <c r="S1698" s="308" t="s">
        <v>81</v>
      </c>
      <c r="T1698" s="308" t="s">
        <v>75</v>
      </c>
      <c r="U1698" s="312"/>
      <c r="V1698" s="312"/>
    </row>
    <row r="1699">
      <c r="A1699" s="308">
        <v>1698.0</v>
      </c>
      <c r="B1699" s="308"/>
      <c r="C1699" s="308" t="s">
        <v>6667</v>
      </c>
      <c r="D1699" s="308">
        <f>IFERROR(__xludf.DUMMYFUNCTION("SPLIT(C1699,""-"")"),1718.0)</f>
        <v>1718</v>
      </c>
      <c r="E1699" s="308" t="str">
        <f>IFERROR(__xludf.DUMMYFUNCTION("""COMPUTED_VALUE""")," S")</f>
        <v> S</v>
      </c>
      <c r="F1699" s="312" t="s">
        <v>39</v>
      </c>
      <c r="G1699" s="308" t="s">
        <v>6668</v>
      </c>
      <c r="H1699" s="308" t="s">
        <v>6669</v>
      </c>
      <c r="I1699" s="314">
        <v>41471.0</v>
      </c>
      <c r="J1699" s="319">
        <f>IFERROR(__xludf.DUMMYFUNCTION("SPLIT(I1699,""/"")"),16.0)</f>
        <v>16</v>
      </c>
      <c r="K1699" s="308">
        <f>IFERROR(__xludf.DUMMYFUNCTION("""COMPUTED_VALUE"""),7.0)</f>
        <v>7</v>
      </c>
      <c r="L1699" s="308">
        <f>IFERROR(__xludf.DUMMYFUNCTION("""COMPUTED_VALUE"""),2013.0)</f>
        <v>2013</v>
      </c>
      <c r="M1699" s="308" t="s">
        <v>6670</v>
      </c>
      <c r="N1699" s="308"/>
      <c r="O1699" s="312" t="s">
        <v>5658</v>
      </c>
      <c r="P1699" s="308" t="s">
        <v>36240</v>
      </c>
      <c r="Q1699" s="308"/>
      <c r="R1699" s="308"/>
      <c r="S1699" s="308" t="s">
        <v>81</v>
      </c>
      <c r="T1699" s="308" t="s">
        <v>75</v>
      </c>
      <c r="U1699" s="312"/>
      <c r="V1699" s="312"/>
    </row>
    <row r="1700">
      <c r="A1700" s="308">
        <v>1699.0</v>
      </c>
      <c r="B1700" s="308"/>
      <c r="C1700" s="308" t="s">
        <v>6672</v>
      </c>
      <c r="D1700" s="308">
        <f>IFERROR(__xludf.DUMMYFUNCTION("SPLIT(C1700,""-"")"),1719.0)</f>
        <v>1719</v>
      </c>
      <c r="E1700" s="308" t="str">
        <f>IFERROR(__xludf.DUMMYFUNCTION("""COMPUTED_VALUE""")," S")</f>
        <v> S</v>
      </c>
      <c r="F1700" s="312" t="s">
        <v>39</v>
      </c>
      <c r="G1700" s="308" t="s">
        <v>6673</v>
      </c>
      <c r="H1700" s="308" t="s">
        <v>6674</v>
      </c>
      <c r="I1700" s="314">
        <v>41588.0</v>
      </c>
      <c r="J1700" s="319">
        <f>IFERROR(__xludf.DUMMYFUNCTION("SPLIT(I1700,""/"")"),10.0)</f>
        <v>10</v>
      </c>
      <c r="K1700" s="308">
        <f>IFERROR(__xludf.DUMMYFUNCTION("""COMPUTED_VALUE"""),11.0)</f>
        <v>11</v>
      </c>
      <c r="L1700" s="308">
        <f>IFERROR(__xludf.DUMMYFUNCTION("""COMPUTED_VALUE"""),2013.0)</f>
        <v>2013</v>
      </c>
      <c r="M1700" s="308" t="s">
        <v>6675</v>
      </c>
      <c r="N1700" s="308"/>
      <c r="O1700" s="312" t="s">
        <v>635</v>
      </c>
      <c r="P1700" s="308" t="s">
        <v>36241</v>
      </c>
      <c r="Q1700" s="308"/>
      <c r="R1700" s="308"/>
      <c r="S1700" s="308" t="s">
        <v>81</v>
      </c>
      <c r="T1700" s="308" t="s">
        <v>75</v>
      </c>
      <c r="U1700" s="312"/>
      <c r="V1700" s="312"/>
    </row>
    <row r="1701">
      <c r="A1701" s="308">
        <v>1700.0</v>
      </c>
      <c r="B1701" s="308"/>
      <c r="C1701" s="308" t="s">
        <v>6677</v>
      </c>
      <c r="D1701" s="308">
        <f>IFERROR(__xludf.DUMMYFUNCTION("SPLIT(C1701,""-"")"),1720.0)</f>
        <v>1720</v>
      </c>
      <c r="E1701" s="308" t="str">
        <f>IFERROR(__xludf.DUMMYFUNCTION("""COMPUTED_VALUE""")," S")</f>
        <v> S</v>
      </c>
      <c r="F1701" s="312" t="s">
        <v>39</v>
      </c>
      <c r="G1701" s="308" t="s">
        <v>6673</v>
      </c>
      <c r="H1701" s="308" t="s">
        <v>6678</v>
      </c>
      <c r="I1701" s="314">
        <v>41588.0</v>
      </c>
      <c r="J1701" s="319">
        <f>IFERROR(__xludf.DUMMYFUNCTION("SPLIT(I1701,""/"")"),10.0)</f>
        <v>10</v>
      </c>
      <c r="K1701" s="308">
        <f>IFERROR(__xludf.DUMMYFUNCTION("""COMPUTED_VALUE"""),11.0)</f>
        <v>11</v>
      </c>
      <c r="L1701" s="308">
        <f>IFERROR(__xludf.DUMMYFUNCTION("""COMPUTED_VALUE"""),2013.0)</f>
        <v>2013</v>
      </c>
      <c r="M1701" s="308" t="s">
        <v>6675</v>
      </c>
      <c r="N1701" s="308"/>
      <c r="O1701" s="312" t="s">
        <v>635</v>
      </c>
      <c r="P1701" s="308" t="s">
        <v>36241</v>
      </c>
      <c r="Q1701" s="308"/>
      <c r="R1701" s="308"/>
      <c r="S1701" s="308" t="s">
        <v>81</v>
      </c>
      <c r="T1701" s="308" t="s">
        <v>75</v>
      </c>
      <c r="U1701" s="312"/>
      <c r="V1701" s="312"/>
    </row>
    <row r="1702">
      <c r="A1702" s="308">
        <v>1701.0</v>
      </c>
      <c r="B1702" s="308"/>
      <c r="C1702" s="308" t="s">
        <v>6679</v>
      </c>
      <c r="D1702" s="308">
        <f>IFERROR(__xludf.DUMMYFUNCTION("SPLIT(C1702,""-"")"),1721.0)</f>
        <v>1721</v>
      </c>
      <c r="E1702" s="308" t="str">
        <f>IFERROR(__xludf.DUMMYFUNCTION("""COMPUTED_VALUE""")," S")</f>
        <v> S</v>
      </c>
      <c r="F1702" s="312" t="s">
        <v>39</v>
      </c>
      <c r="G1702" s="308" t="s">
        <v>6680</v>
      </c>
      <c r="H1702" s="308" t="s">
        <v>6681</v>
      </c>
      <c r="I1702" s="314">
        <v>41557.0</v>
      </c>
      <c r="J1702" s="319">
        <f>IFERROR(__xludf.DUMMYFUNCTION("SPLIT(I1702,""/"")"),10.0)</f>
        <v>10</v>
      </c>
      <c r="K1702" s="308">
        <f>IFERROR(__xludf.DUMMYFUNCTION("""COMPUTED_VALUE"""),10.0)</f>
        <v>10</v>
      </c>
      <c r="L1702" s="308">
        <f>IFERROR(__xludf.DUMMYFUNCTION("""COMPUTED_VALUE"""),2013.0)</f>
        <v>2013</v>
      </c>
      <c r="M1702" s="308" t="s">
        <v>6682</v>
      </c>
      <c r="N1702" s="308"/>
      <c r="O1702" s="312" t="s">
        <v>635</v>
      </c>
      <c r="P1702" s="308" t="s">
        <v>36242</v>
      </c>
      <c r="Q1702" s="308"/>
      <c r="R1702" s="308"/>
      <c r="S1702" s="308" t="s">
        <v>81</v>
      </c>
      <c r="T1702" s="308" t="s">
        <v>75</v>
      </c>
      <c r="U1702" s="312"/>
      <c r="V1702" s="312"/>
    </row>
    <row r="1703">
      <c r="A1703" s="308">
        <v>1702.0</v>
      </c>
      <c r="B1703" s="308"/>
      <c r="C1703" s="308" t="s">
        <v>6684</v>
      </c>
      <c r="D1703" s="308">
        <f>IFERROR(__xludf.DUMMYFUNCTION("SPLIT(C1703,""-"")"),1722.0)</f>
        <v>1722</v>
      </c>
      <c r="E1703" s="308" t="str">
        <f>IFERROR(__xludf.DUMMYFUNCTION("""COMPUTED_VALUE""")," S")</f>
        <v> S</v>
      </c>
      <c r="F1703" s="312" t="s">
        <v>39</v>
      </c>
      <c r="G1703" s="308" t="s">
        <v>6685</v>
      </c>
      <c r="H1703" s="308" t="s">
        <v>36243</v>
      </c>
      <c r="I1703" s="314">
        <v>41399.0</v>
      </c>
      <c r="J1703" s="319">
        <f>IFERROR(__xludf.DUMMYFUNCTION("SPLIT(I1703,""/"")"),5.0)</f>
        <v>5</v>
      </c>
      <c r="K1703" s="308">
        <f>IFERROR(__xludf.DUMMYFUNCTION("""COMPUTED_VALUE"""),5.0)</f>
        <v>5</v>
      </c>
      <c r="L1703" s="308">
        <f>IFERROR(__xludf.DUMMYFUNCTION("""COMPUTED_VALUE"""),2013.0)</f>
        <v>2013</v>
      </c>
      <c r="M1703" s="308" t="s">
        <v>6687</v>
      </c>
      <c r="N1703" s="308"/>
      <c r="O1703" s="312" t="s">
        <v>6688</v>
      </c>
      <c r="P1703" s="308" t="s">
        <v>6689</v>
      </c>
      <c r="Q1703" s="308"/>
      <c r="R1703" s="308"/>
      <c r="S1703" s="308" t="s">
        <v>49</v>
      </c>
      <c r="T1703" s="308" t="s">
        <v>70</v>
      </c>
      <c r="U1703" s="308"/>
      <c r="V1703" s="312"/>
    </row>
    <row r="1704">
      <c r="A1704" s="308">
        <v>1703.0</v>
      </c>
      <c r="B1704" s="308"/>
      <c r="C1704" s="308" t="s">
        <v>6690</v>
      </c>
      <c r="D1704" s="308">
        <f>IFERROR(__xludf.DUMMYFUNCTION("SPLIT(C1704,""-"")"),1723.0)</f>
        <v>1723</v>
      </c>
      <c r="E1704" s="308" t="str">
        <f>IFERROR(__xludf.DUMMYFUNCTION("""COMPUTED_VALUE""")," S")</f>
        <v> S</v>
      </c>
      <c r="F1704" s="312" t="s">
        <v>39</v>
      </c>
      <c r="G1704" s="308" t="s">
        <v>6691</v>
      </c>
      <c r="H1704" s="308" t="s">
        <v>6692</v>
      </c>
      <c r="I1704" s="314">
        <v>41646.0</v>
      </c>
      <c r="J1704" s="319">
        <f>IFERROR(__xludf.DUMMYFUNCTION("SPLIT(I1704,""/"")"),7.0)</f>
        <v>7</v>
      </c>
      <c r="K1704" s="308">
        <f>IFERROR(__xludf.DUMMYFUNCTION("""COMPUTED_VALUE"""),1.0)</f>
        <v>1</v>
      </c>
      <c r="L1704" s="308">
        <f>IFERROR(__xludf.DUMMYFUNCTION("""COMPUTED_VALUE"""),2014.0)</f>
        <v>2014</v>
      </c>
      <c r="M1704" s="308" t="s">
        <v>6693</v>
      </c>
      <c r="N1704" s="308"/>
      <c r="O1704" s="312" t="s">
        <v>5658</v>
      </c>
      <c r="P1704" s="308" t="s">
        <v>36244</v>
      </c>
      <c r="Q1704" s="308"/>
      <c r="R1704" s="308"/>
      <c r="S1704" s="308" t="s">
        <v>81</v>
      </c>
      <c r="T1704" s="308" t="s">
        <v>75</v>
      </c>
      <c r="U1704" s="312"/>
      <c r="V1704" s="312"/>
    </row>
    <row r="1705">
      <c r="A1705" s="308">
        <v>1704.0</v>
      </c>
      <c r="B1705" s="308"/>
      <c r="C1705" s="308" t="s">
        <v>6695</v>
      </c>
      <c r="D1705" s="308">
        <f>IFERROR(__xludf.DUMMYFUNCTION("SPLIT(C1705,""-"")"),1724.0)</f>
        <v>1724</v>
      </c>
      <c r="E1705" s="308" t="str">
        <f>IFERROR(__xludf.DUMMYFUNCTION("""COMPUTED_VALUE""")," S")</f>
        <v> S</v>
      </c>
      <c r="F1705" s="312" t="s">
        <v>39</v>
      </c>
      <c r="G1705" s="308" t="s">
        <v>6691</v>
      </c>
      <c r="H1705" s="308" t="s">
        <v>6696</v>
      </c>
      <c r="I1705" s="314">
        <v>41646.0</v>
      </c>
      <c r="J1705" s="319">
        <f>IFERROR(__xludf.DUMMYFUNCTION("SPLIT(I1705,""/"")"),7.0)</f>
        <v>7</v>
      </c>
      <c r="K1705" s="308">
        <f>IFERROR(__xludf.DUMMYFUNCTION("""COMPUTED_VALUE"""),1.0)</f>
        <v>1</v>
      </c>
      <c r="L1705" s="308">
        <f>IFERROR(__xludf.DUMMYFUNCTION("""COMPUTED_VALUE"""),2014.0)</f>
        <v>2014</v>
      </c>
      <c r="M1705" s="308" t="s">
        <v>6697</v>
      </c>
      <c r="N1705" s="308"/>
      <c r="O1705" s="312" t="s">
        <v>5658</v>
      </c>
      <c r="P1705" s="308" t="s">
        <v>36245</v>
      </c>
      <c r="Q1705" s="308"/>
      <c r="R1705" s="308"/>
      <c r="S1705" s="308" t="s">
        <v>81</v>
      </c>
      <c r="T1705" s="308" t="s">
        <v>75</v>
      </c>
      <c r="U1705" s="312"/>
      <c r="V1705" s="312"/>
    </row>
    <row r="1706">
      <c r="A1706" s="308">
        <v>1705.0</v>
      </c>
      <c r="B1706" s="308"/>
      <c r="C1706" s="308" t="s">
        <v>6699</v>
      </c>
      <c r="D1706" s="308">
        <f>IFERROR(__xludf.DUMMYFUNCTION("SPLIT(C1706,""-"")"),1725.0)</f>
        <v>1725</v>
      </c>
      <c r="E1706" s="308" t="str">
        <f>IFERROR(__xludf.DUMMYFUNCTION("""COMPUTED_VALUE""")," S")</f>
        <v> S</v>
      </c>
      <c r="F1706" s="312" t="s">
        <v>39</v>
      </c>
      <c r="G1706" s="308" t="s">
        <v>6691</v>
      </c>
      <c r="H1706" s="308" t="s">
        <v>6700</v>
      </c>
      <c r="I1706" s="314">
        <v>41646.0</v>
      </c>
      <c r="J1706" s="319">
        <f>IFERROR(__xludf.DUMMYFUNCTION("SPLIT(I1706,""/"")"),7.0)</f>
        <v>7</v>
      </c>
      <c r="K1706" s="308">
        <f>IFERROR(__xludf.DUMMYFUNCTION("""COMPUTED_VALUE"""),1.0)</f>
        <v>1</v>
      </c>
      <c r="L1706" s="308">
        <f>IFERROR(__xludf.DUMMYFUNCTION("""COMPUTED_VALUE"""),2014.0)</f>
        <v>2014</v>
      </c>
      <c r="M1706" s="308" t="s">
        <v>6701</v>
      </c>
      <c r="N1706" s="308"/>
      <c r="O1706" s="312" t="s">
        <v>5658</v>
      </c>
      <c r="P1706" s="308" t="s">
        <v>36246</v>
      </c>
      <c r="Q1706" s="308"/>
      <c r="R1706" s="308"/>
      <c r="S1706" s="308" t="s">
        <v>81</v>
      </c>
      <c r="T1706" s="308" t="s">
        <v>75</v>
      </c>
      <c r="U1706" s="312"/>
      <c r="V1706" s="312"/>
    </row>
    <row r="1707">
      <c r="A1707" s="308">
        <v>1706.0</v>
      </c>
      <c r="B1707" s="308"/>
      <c r="C1707" s="308" t="s">
        <v>6703</v>
      </c>
      <c r="D1707" s="308">
        <f>IFERROR(__xludf.DUMMYFUNCTION("SPLIT(C1707,""-"")"),1726.0)</f>
        <v>1726</v>
      </c>
      <c r="E1707" s="308" t="str">
        <f>IFERROR(__xludf.DUMMYFUNCTION("""COMPUTED_VALUE""")," S")</f>
        <v> S</v>
      </c>
      <c r="F1707" s="312" t="s">
        <v>39</v>
      </c>
      <c r="G1707" s="308" t="s">
        <v>6704</v>
      </c>
      <c r="H1707" s="308" t="s">
        <v>6705</v>
      </c>
      <c r="I1707" s="314">
        <v>41275.0</v>
      </c>
      <c r="J1707" s="319">
        <f>IFERROR(__xludf.DUMMYFUNCTION("SPLIT(I1707,""/"")"),1.0)</f>
        <v>1</v>
      </c>
      <c r="K1707" s="308">
        <f>IFERROR(__xludf.DUMMYFUNCTION("""COMPUTED_VALUE"""),1.0)</f>
        <v>1</v>
      </c>
      <c r="L1707" s="308">
        <f>IFERROR(__xludf.DUMMYFUNCTION("""COMPUTED_VALUE"""),2013.0)</f>
        <v>2013</v>
      </c>
      <c r="M1707" s="308" t="s">
        <v>6706</v>
      </c>
      <c r="N1707" s="308"/>
      <c r="O1707" s="312" t="s">
        <v>635</v>
      </c>
      <c r="P1707" s="308" t="s">
        <v>6707</v>
      </c>
      <c r="Q1707" s="308"/>
      <c r="R1707" s="308"/>
      <c r="S1707" s="308" t="s">
        <v>81</v>
      </c>
      <c r="T1707" s="311" t="s">
        <v>75</v>
      </c>
      <c r="U1707" s="308"/>
      <c r="V1707" s="312"/>
    </row>
    <row r="1708">
      <c r="A1708" s="308">
        <v>1707.0</v>
      </c>
      <c r="B1708" s="308"/>
      <c r="C1708" s="308" t="s">
        <v>6708</v>
      </c>
      <c r="D1708" s="308">
        <f>IFERROR(__xludf.DUMMYFUNCTION("SPLIT(C1708,""-"")"),1727.0)</f>
        <v>1727</v>
      </c>
      <c r="E1708" s="308" t="str">
        <f>IFERROR(__xludf.DUMMYFUNCTION("""COMPUTED_VALUE""")," S")</f>
        <v> S</v>
      </c>
      <c r="F1708" s="312" t="s">
        <v>39</v>
      </c>
      <c r="G1708" s="308" t="s">
        <v>6709</v>
      </c>
      <c r="H1708" s="308" t="s">
        <v>6710</v>
      </c>
      <c r="I1708" s="314">
        <v>41552.0</v>
      </c>
      <c r="J1708" s="319">
        <f>IFERROR(__xludf.DUMMYFUNCTION("SPLIT(I1708,""/"")"),5.0)</f>
        <v>5</v>
      </c>
      <c r="K1708" s="308">
        <f>IFERROR(__xludf.DUMMYFUNCTION("""COMPUTED_VALUE"""),10.0)</f>
        <v>10</v>
      </c>
      <c r="L1708" s="308">
        <f>IFERROR(__xludf.DUMMYFUNCTION("""COMPUTED_VALUE"""),2013.0)</f>
        <v>2013</v>
      </c>
      <c r="M1708" s="308" t="s">
        <v>6711</v>
      </c>
      <c r="N1708" s="308"/>
      <c r="O1708" s="312" t="s">
        <v>6712</v>
      </c>
      <c r="P1708" s="308" t="s">
        <v>36247</v>
      </c>
      <c r="Q1708" s="308"/>
      <c r="R1708" s="308"/>
      <c r="S1708" s="308" t="s">
        <v>49</v>
      </c>
      <c r="T1708" s="311" t="s">
        <v>70</v>
      </c>
      <c r="U1708" s="308"/>
      <c r="V1708" s="312"/>
    </row>
    <row r="1709">
      <c r="A1709" s="308">
        <v>1708.0</v>
      </c>
      <c r="B1709" s="308"/>
      <c r="C1709" s="308" t="s">
        <v>6714</v>
      </c>
      <c r="D1709" s="308">
        <f>IFERROR(__xludf.DUMMYFUNCTION("SPLIT(C1709,""-"")"),1728.0)</f>
        <v>1728</v>
      </c>
      <c r="E1709" s="308" t="str">
        <f>IFERROR(__xludf.DUMMYFUNCTION("""COMPUTED_VALUE""")," S")</f>
        <v> S</v>
      </c>
      <c r="F1709" s="312" t="s">
        <v>39</v>
      </c>
      <c r="G1709" s="308" t="s">
        <v>6715</v>
      </c>
      <c r="H1709" s="308" t="s">
        <v>6716</v>
      </c>
      <c r="I1709" s="322"/>
      <c r="J1709" s="323"/>
      <c r="K1709" s="308"/>
      <c r="L1709" s="311" t="s">
        <v>79</v>
      </c>
      <c r="M1709" s="308" t="s">
        <v>6717</v>
      </c>
      <c r="N1709" s="308"/>
      <c r="O1709" s="312" t="s">
        <v>635</v>
      </c>
      <c r="P1709" s="308" t="s">
        <v>6558</v>
      </c>
      <c r="Q1709" s="308"/>
      <c r="R1709" s="308"/>
      <c r="S1709" s="308" t="s">
        <v>81</v>
      </c>
      <c r="T1709" s="311" t="s">
        <v>73</v>
      </c>
      <c r="U1709" s="312"/>
      <c r="V1709" s="312"/>
    </row>
    <row r="1710">
      <c r="A1710" s="308">
        <v>1709.0</v>
      </c>
      <c r="B1710" s="308"/>
      <c r="C1710" s="308" t="s">
        <v>6718</v>
      </c>
      <c r="D1710" s="308">
        <f>IFERROR(__xludf.DUMMYFUNCTION("SPLIT(C1710,""-"")"),1729.0)</f>
        <v>1729</v>
      </c>
      <c r="E1710" s="308" t="str">
        <f>IFERROR(__xludf.DUMMYFUNCTION("""COMPUTED_VALUE""")," S")</f>
        <v> S</v>
      </c>
      <c r="F1710" s="312" t="s">
        <v>39</v>
      </c>
      <c r="G1710" s="308" t="s">
        <v>6719</v>
      </c>
      <c r="H1710" s="308" t="s">
        <v>6720</v>
      </c>
      <c r="I1710" s="314">
        <v>41455.0</v>
      </c>
      <c r="J1710" s="319">
        <f>IFERROR(__xludf.DUMMYFUNCTION("SPLIT(I1710,""/"")"),30.0)</f>
        <v>30</v>
      </c>
      <c r="K1710" s="308">
        <f>IFERROR(__xludf.DUMMYFUNCTION("""COMPUTED_VALUE"""),6.0)</f>
        <v>6</v>
      </c>
      <c r="L1710" s="308">
        <f>IFERROR(__xludf.DUMMYFUNCTION("""COMPUTED_VALUE"""),2013.0)</f>
        <v>2013</v>
      </c>
      <c r="M1710" s="308" t="s">
        <v>6721</v>
      </c>
      <c r="N1710" s="308"/>
      <c r="O1710" s="312" t="s">
        <v>635</v>
      </c>
      <c r="P1710" s="308" t="s">
        <v>36248</v>
      </c>
      <c r="Q1710" s="308"/>
      <c r="R1710" s="308"/>
      <c r="S1710" s="308" t="s">
        <v>81</v>
      </c>
      <c r="T1710" s="308" t="s">
        <v>75</v>
      </c>
      <c r="U1710" s="312"/>
      <c r="V1710" s="312"/>
    </row>
    <row r="1711">
      <c r="A1711" s="308">
        <v>1710.0</v>
      </c>
      <c r="B1711" s="308"/>
      <c r="C1711" s="308" t="s">
        <v>6723</v>
      </c>
      <c r="D1711" s="308">
        <f>IFERROR(__xludf.DUMMYFUNCTION("SPLIT(C1711,""-"")"),1730.0)</f>
        <v>1730</v>
      </c>
      <c r="E1711" s="308" t="str">
        <f>IFERROR(__xludf.DUMMYFUNCTION("""COMPUTED_VALUE""")," P")</f>
        <v> P</v>
      </c>
      <c r="F1711" s="312" t="s">
        <v>37</v>
      </c>
      <c r="G1711" s="308" t="s">
        <v>6724</v>
      </c>
      <c r="H1711" s="308" t="s">
        <v>6725</v>
      </c>
      <c r="I1711" s="314">
        <v>41498.0</v>
      </c>
      <c r="J1711" s="319">
        <f>IFERROR(__xludf.DUMMYFUNCTION("SPLIT(I1711,""/"")"),12.0)</f>
        <v>12</v>
      </c>
      <c r="K1711" s="308">
        <f>IFERROR(__xludf.DUMMYFUNCTION("""COMPUTED_VALUE"""),8.0)</f>
        <v>8</v>
      </c>
      <c r="L1711" s="308">
        <f>IFERROR(__xludf.DUMMYFUNCTION("""COMPUTED_VALUE"""),2013.0)</f>
        <v>2013</v>
      </c>
      <c r="M1711" s="308" t="s">
        <v>6726</v>
      </c>
      <c r="N1711" s="308"/>
      <c r="O1711" s="312"/>
      <c r="P1711" s="308" t="s">
        <v>6727</v>
      </c>
      <c r="Q1711" s="308"/>
      <c r="R1711" s="308"/>
      <c r="S1711" s="308" t="s">
        <v>81</v>
      </c>
      <c r="T1711" s="308" t="s">
        <v>75</v>
      </c>
      <c r="U1711" s="308"/>
      <c r="V1711" s="312"/>
    </row>
    <row r="1712">
      <c r="A1712" s="308">
        <v>1711.0</v>
      </c>
      <c r="B1712" s="308"/>
      <c r="C1712" s="308" t="s">
        <v>6728</v>
      </c>
      <c r="D1712" s="308">
        <f>IFERROR(__xludf.DUMMYFUNCTION("SPLIT(C1712,""-"")"),1731.0)</f>
        <v>1731</v>
      </c>
      <c r="E1712" s="308" t="str">
        <f>IFERROR(__xludf.DUMMYFUNCTION("""COMPUTED_VALUE""")," P")</f>
        <v> P</v>
      </c>
      <c r="F1712" s="312" t="s">
        <v>37</v>
      </c>
      <c r="G1712" s="308"/>
      <c r="H1712" s="308" t="s">
        <v>6729</v>
      </c>
      <c r="I1712" s="314">
        <v>41716.0</v>
      </c>
      <c r="J1712" s="319">
        <f>IFERROR(__xludf.DUMMYFUNCTION("SPLIT(I1712,""/"")"),18.0)</f>
        <v>18</v>
      </c>
      <c r="K1712" s="308">
        <f>IFERROR(__xludf.DUMMYFUNCTION("""COMPUTED_VALUE"""),3.0)</f>
        <v>3</v>
      </c>
      <c r="L1712" s="308">
        <f>IFERROR(__xludf.DUMMYFUNCTION("""COMPUTED_VALUE"""),2014.0)</f>
        <v>2014</v>
      </c>
      <c r="M1712" s="308" t="s">
        <v>6730</v>
      </c>
      <c r="N1712" s="308"/>
      <c r="O1712" s="312" t="s">
        <v>6731</v>
      </c>
      <c r="P1712" s="308" t="s">
        <v>6732</v>
      </c>
      <c r="Q1712" s="308"/>
      <c r="R1712" s="308"/>
      <c r="S1712" s="308" t="s">
        <v>81</v>
      </c>
      <c r="T1712" s="311" t="s">
        <v>75</v>
      </c>
      <c r="U1712" s="308"/>
      <c r="V1712" s="312"/>
    </row>
    <row r="1713">
      <c r="A1713" s="308">
        <v>1712.0</v>
      </c>
      <c r="B1713" s="308"/>
      <c r="C1713" s="308" t="s">
        <v>6733</v>
      </c>
      <c r="D1713" s="308">
        <f>IFERROR(__xludf.DUMMYFUNCTION("SPLIT(C1713,""-"")"),1732.0)</f>
        <v>1732</v>
      </c>
      <c r="E1713" s="308" t="str">
        <f>IFERROR(__xludf.DUMMYFUNCTION("""COMPUTED_VALUE""")," P")</f>
        <v> P</v>
      </c>
      <c r="F1713" s="312" t="s">
        <v>37</v>
      </c>
      <c r="G1713" s="308"/>
      <c r="H1713" s="308" t="s">
        <v>6734</v>
      </c>
      <c r="I1713" s="314">
        <v>41716.0</v>
      </c>
      <c r="J1713" s="319">
        <f>IFERROR(__xludf.DUMMYFUNCTION("SPLIT(I1713,""/"")"),18.0)</f>
        <v>18</v>
      </c>
      <c r="K1713" s="308">
        <f>IFERROR(__xludf.DUMMYFUNCTION("""COMPUTED_VALUE"""),3.0)</f>
        <v>3</v>
      </c>
      <c r="L1713" s="308">
        <f>IFERROR(__xludf.DUMMYFUNCTION("""COMPUTED_VALUE"""),2014.0)</f>
        <v>2014</v>
      </c>
      <c r="M1713" s="308" t="s">
        <v>6735</v>
      </c>
      <c r="N1713" s="308"/>
      <c r="O1713" s="312" t="s">
        <v>6731</v>
      </c>
      <c r="P1713" s="308" t="s">
        <v>6732</v>
      </c>
      <c r="Q1713" s="308"/>
      <c r="R1713" s="308"/>
      <c r="S1713" s="308" t="s">
        <v>81</v>
      </c>
      <c r="T1713" s="311" t="s">
        <v>75</v>
      </c>
      <c r="U1713" s="308"/>
      <c r="V1713" s="312"/>
    </row>
    <row r="1714">
      <c r="A1714" s="308">
        <v>1713.0</v>
      </c>
      <c r="B1714" s="308"/>
      <c r="C1714" s="308" t="s">
        <v>6736</v>
      </c>
      <c r="D1714" s="308">
        <f>IFERROR(__xludf.DUMMYFUNCTION("SPLIT(C1714,""-"")"),1733.0)</f>
        <v>1733</v>
      </c>
      <c r="E1714" s="308" t="str">
        <f>IFERROR(__xludf.DUMMYFUNCTION("""COMPUTED_VALUE""")," S")</f>
        <v> S</v>
      </c>
      <c r="F1714" s="312" t="s">
        <v>39</v>
      </c>
      <c r="G1714" s="308" t="s">
        <v>6737</v>
      </c>
      <c r="H1714" s="308" t="s">
        <v>6738</v>
      </c>
      <c r="I1714" s="314">
        <v>41506.0</v>
      </c>
      <c r="J1714" s="319">
        <f>IFERROR(__xludf.DUMMYFUNCTION("SPLIT(I1714,""/"")"),20.0)</f>
        <v>20</v>
      </c>
      <c r="K1714" s="308">
        <f>IFERROR(__xludf.DUMMYFUNCTION("""COMPUTED_VALUE"""),8.0)</f>
        <v>8</v>
      </c>
      <c r="L1714" s="308">
        <f>IFERROR(__xludf.DUMMYFUNCTION("""COMPUTED_VALUE"""),2013.0)</f>
        <v>2013</v>
      </c>
      <c r="M1714" s="308" t="s">
        <v>6739</v>
      </c>
      <c r="N1714" s="308"/>
      <c r="O1714" s="312" t="s">
        <v>635</v>
      </c>
      <c r="P1714" s="308" t="s">
        <v>6740</v>
      </c>
      <c r="Q1714" s="308"/>
      <c r="R1714" s="308"/>
      <c r="S1714" s="308" t="s">
        <v>81</v>
      </c>
      <c r="T1714" s="308" t="s">
        <v>98</v>
      </c>
      <c r="U1714" s="308"/>
      <c r="V1714" s="312"/>
    </row>
    <row r="1715">
      <c r="A1715" s="308">
        <v>1714.0</v>
      </c>
      <c r="B1715" s="308"/>
      <c r="C1715" s="308" t="s">
        <v>6741</v>
      </c>
      <c r="D1715" s="308">
        <f>IFERROR(__xludf.DUMMYFUNCTION("SPLIT(C1715,""-"")"),1734.0)</f>
        <v>1734</v>
      </c>
      <c r="E1715" s="308" t="str">
        <f>IFERROR(__xludf.DUMMYFUNCTION("""COMPUTED_VALUE""")," S")</f>
        <v> S</v>
      </c>
      <c r="F1715" s="312" t="s">
        <v>39</v>
      </c>
      <c r="G1715" s="308" t="s">
        <v>6742</v>
      </c>
      <c r="H1715" s="308" t="s">
        <v>6743</v>
      </c>
      <c r="I1715" s="314">
        <v>41617.0</v>
      </c>
      <c r="J1715" s="319">
        <f>IFERROR(__xludf.DUMMYFUNCTION("SPLIT(I1715,""/"")"),9.0)</f>
        <v>9</v>
      </c>
      <c r="K1715" s="308">
        <f>IFERROR(__xludf.DUMMYFUNCTION("""COMPUTED_VALUE"""),12.0)</f>
        <v>12</v>
      </c>
      <c r="L1715" s="308">
        <f>IFERROR(__xludf.DUMMYFUNCTION("""COMPUTED_VALUE"""),2013.0)</f>
        <v>2013</v>
      </c>
      <c r="M1715" s="308" t="s">
        <v>6744</v>
      </c>
      <c r="N1715" s="308"/>
      <c r="O1715" s="312" t="s">
        <v>635</v>
      </c>
      <c r="P1715" s="308" t="s">
        <v>36249</v>
      </c>
      <c r="Q1715" s="308"/>
      <c r="R1715" s="308"/>
      <c r="S1715" s="308" t="s">
        <v>81</v>
      </c>
      <c r="T1715" s="308" t="s">
        <v>75</v>
      </c>
      <c r="U1715" s="312"/>
      <c r="V1715" s="312"/>
    </row>
    <row r="1716">
      <c r="A1716" s="308">
        <v>1715.0</v>
      </c>
      <c r="B1716" s="308"/>
      <c r="C1716" s="308" t="s">
        <v>6746</v>
      </c>
      <c r="D1716" s="308">
        <f>IFERROR(__xludf.DUMMYFUNCTION("SPLIT(C1716,""-"")"),1735.0)</f>
        <v>1735</v>
      </c>
      <c r="E1716" s="308" t="str">
        <f>IFERROR(__xludf.DUMMYFUNCTION("""COMPUTED_VALUE""")," S")</f>
        <v> S</v>
      </c>
      <c r="F1716" s="312" t="s">
        <v>39</v>
      </c>
      <c r="G1716" s="308" t="s">
        <v>6747</v>
      </c>
      <c r="H1716" s="308" t="s">
        <v>36250</v>
      </c>
      <c r="I1716" s="314">
        <v>41415.0</v>
      </c>
      <c r="J1716" s="319">
        <f>IFERROR(__xludf.DUMMYFUNCTION("SPLIT(I1716,""/"")"),21.0)</f>
        <v>21</v>
      </c>
      <c r="K1716" s="308">
        <f>IFERROR(__xludf.DUMMYFUNCTION("""COMPUTED_VALUE"""),5.0)</f>
        <v>5</v>
      </c>
      <c r="L1716" s="308">
        <f>IFERROR(__xludf.DUMMYFUNCTION("""COMPUTED_VALUE"""),2013.0)</f>
        <v>2013</v>
      </c>
      <c r="M1716" s="308" t="s">
        <v>36251</v>
      </c>
      <c r="N1716" s="308"/>
      <c r="O1716" s="312" t="s">
        <v>635</v>
      </c>
      <c r="P1716" s="308" t="s">
        <v>36252</v>
      </c>
      <c r="Q1716" s="308"/>
      <c r="R1716" s="308"/>
      <c r="S1716" s="308" t="s">
        <v>81</v>
      </c>
      <c r="T1716" s="308" t="s">
        <v>75</v>
      </c>
      <c r="U1716" s="312"/>
      <c r="V1716" s="312"/>
    </row>
    <row r="1717">
      <c r="A1717" s="308">
        <v>1716.0</v>
      </c>
      <c r="B1717" s="308"/>
      <c r="C1717" s="308" t="s">
        <v>6751</v>
      </c>
      <c r="D1717" s="308">
        <f>IFERROR(__xludf.DUMMYFUNCTION("SPLIT(C1717,""-"")"),1736.0)</f>
        <v>1736</v>
      </c>
      <c r="E1717" s="308" t="str">
        <f>IFERROR(__xludf.DUMMYFUNCTION("""COMPUTED_VALUE""")," S")</f>
        <v> S</v>
      </c>
      <c r="F1717" s="312" t="s">
        <v>39</v>
      </c>
      <c r="G1717" s="308" t="s">
        <v>6752</v>
      </c>
      <c r="H1717" s="308" t="s">
        <v>6753</v>
      </c>
      <c r="I1717" s="314">
        <v>41561.0</v>
      </c>
      <c r="J1717" s="319">
        <f>IFERROR(__xludf.DUMMYFUNCTION("SPLIT(I1717,""/"")"),14.0)</f>
        <v>14</v>
      </c>
      <c r="K1717" s="308">
        <f>IFERROR(__xludf.DUMMYFUNCTION("""COMPUTED_VALUE"""),10.0)</f>
        <v>10</v>
      </c>
      <c r="L1717" s="308">
        <f>IFERROR(__xludf.DUMMYFUNCTION("""COMPUTED_VALUE"""),2013.0)</f>
        <v>2013</v>
      </c>
      <c r="M1717" s="308" t="s">
        <v>6754</v>
      </c>
      <c r="N1717" s="308"/>
      <c r="O1717" s="312" t="s">
        <v>635</v>
      </c>
      <c r="P1717" s="308" t="s">
        <v>6755</v>
      </c>
      <c r="Q1717" s="308"/>
      <c r="R1717" s="308"/>
      <c r="S1717" s="308" t="s">
        <v>81</v>
      </c>
      <c r="T1717" s="308" t="s">
        <v>75</v>
      </c>
      <c r="U1717" s="308"/>
      <c r="V1717" s="312"/>
    </row>
    <row r="1718">
      <c r="A1718" s="308">
        <v>1717.0</v>
      </c>
      <c r="B1718" s="308"/>
      <c r="C1718" s="308" t="s">
        <v>6756</v>
      </c>
      <c r="D1718" s="308">
        <f>IFERROR(__xludf.DUMMYFUNCTION("SPLIT(C1718,""-"")"),1737.0)</f>
        <v>1737</v>
      </c>
      <c r="E1718" s="308" t="str">
        <f>IFERROR(__xludf.DUMMYFUNCTION("""COMPUTED_VALUE""")," S")</f>
        <v> S</v>
      </c>
      <c r="F1718" s="312" t="s">
        <v>39</v>
      </c>
      <c r="G1718" s="308" t="s">
        <v>6757</v>
      </c>
      <c r="H1718" s="308" t="s">
        <v>6758</v>
      </c>
      <c r="I1718" s="316">
        <v>2013.0</v>
      </c>
      <c r="J1718" s="319"/>
      <c r="K1718" s="308"/>
      <c r="L1718" s="311">
        <v>2013.0</v>
      </c>
      <c r="M1718" s="308" t="s">
        <v>6759</v>
      </c>
      <c r="N1718" s="308"/>
      <c r="O1718" s="312" t="s">
        <v>635</v>
      </c>
      <c r="P1718" s="308" t="s">
        <v>6760</v>
      </c>
      <c r="Q1718" s="308"/>
      <c r="R1718" s="308"/>
      <c r="S1718" s="308" t="s">
        <v>81</v>
      </c>
      <c r="T1718" s="311" t="s">
        <v>91</v>
      </c>
      <c r="U1718" s="308"/>
      <c r="V1718" s="312"/>
    </row>
    <row r="1719">
      <c r="A1719" s="308">
        <v>1718.0</v>
      </c>
      <c r="B1719" s="308"/>
      <c r="C1719" s="308" t="s">
        <v>6761</v>
      </c>
      <c r="D1719" s="308">
        <f>IFERROR(__xludf.DUMMYFUNCTION("SPLIT(C1719,""-"")"),1738.0)</f>
        <v>1738</v>
      </c>
      <c r="E1719" s="308" t="str">
        <f>IFERROR(__xludf.DUMMYFUNCTION("""COMPUTED_VALUE""")," S")</f>
        <v> S</v>
      </c>
      <c r="F1719" s="312" t="s">
        <v>39</v>
      </c>
      <c r="G1719" s="308" t="s">
        <v>6762</v>
      </c>
      <c r="H1719" s="308" t="s">
        <v>5471</v>
      </c>
      <c r="I1719" s="314">
        <v>41241.0</v>
      </c>
      <c r="J1719" s="319">
        <f>IFERROR(__xludf.DUMMYFUNCTION("SPLIT(I1719,""/"")"),28.0)</f>
        <v>28</v>
      </c>
      <c r="K1719" s="308">
        <f>IFERROR(__xludf.DUMMYFUNCTION("""COMPUTED_VALUE"""),11.0)</f>
        <v>11</v>
      </c>
      <c r="L1719" s="308">
        <f>IFERROR(__xludf.DUMMYFUNCTION("""COMPUTED_VALUE"""),2012.0)</f>
        <v>2012</v>
      </c>
      <c r="M1719" s="308" t="s">
        <v>6763</v>
      </c>
      <c r="N1719" s="308"/>
      <c r="O1719" s="312" t="s">
        <v>635</v>
      </c>
      <c r="P1719" s="308" t="s">
        <v>6558</v>
      </c>
      <c r="Q1719" s="308"/>
      <c r="R1719" s="308"/>
      <c r="S1719" s="308" t="s">
        <v>81</v>
      </c>
      <c r="T1719" s="309" t="s">
        <v>73</v>
      </c>
      <c r="U1719" s="312"/>
      <c r="V1719" s="312"/>
    </row>
    <row r="1720">
      <c r="A1720" s="308">
        <v>1719.0</v>
      </c>
      <c r="B1720" s="308"/>
      <c r="C1720" s="308" t="s">
        <v>6764</v>
      </c>
      <c r="D1720" s="308">
        <f>IFERROR(__xludf.DUMMYFUNCTION("SPLIT(C1720,""-"")"),1739.0)</f>
        <v>1739</v>
      </c>
      <c r="E1720" s="308" t="str">
        <f>IFERROR(__xludf.DUMMYFUNCTION("""COMPUTED_VALUE""")," S")</f>
        <v> S</v>
      </c>
      <c r="F1720" s="312" t="s">
        <v>39</v>
      </c>
      <c r="G1720" s="308" t="s">
        <v>6765</v>
      </c>
      <c r="H1720" s="308" t="s">
        <v>6766</v>
      </c>
      <c r="I1720" s="314">
        <v>40907.0</v>
      </c>
      <c r="J1720" s="319">
        <f>IFERROR(__xludf.DUMMYFUNCTION("SPLIT(I1720,""/"")"),30.0)</f>
        <v>30</v>
      </c>
      <c r="K1720" s="308">
        <f>IFERROR(__xludf.DUMMYFUNCTION("""COMPUTED_VALUE"""),12.0)</f>
        <v>12</v>
      </c>
      <c r="L1720" s="308">
        <f>IFERROR(__xludf.DUMMYFUNCTION("""COMPUTED_VALUE"""),2011.0)</f>
        <v>2011</v>
      </c>
      <c r="M1720" s="308" t="s">
        <v>6767</v>
      </c>
      <c r="N1720" s="308"/>
      <c r="O1720" s="312" t="s">
        <v>635</v>
      </c>
      <c r="P1720" s="308" t="s">
        <v>36253</v>
      </c>
      <c r="Q1720" s="308"/>
      <c r="R1720" s="308"/>
      <c r="S1720" s="308" t="s">
        <v>81</v>
      </c>
      <c r="T1720" s="308" t="s">
        <v>75</v>
      </c>
      <c r="U1720" s="312"/>
      <c r="V1720" s="312"/>
    </row>
    <row r="1721">
      <c r="A1721" s="308">
        <v>1720.0</v>
      </c>
      <c r="B1721" s="308"/>
      <c r="C1721" s="308" t="s">
        <v>6769</v>
      </c>
      <c r="D1721" s="308">
        <f>IFERROR(__xludf.DUMMYFUNCTION("SPLIT(C1721,""-"")"),1740.0)</f>
        <v>1740</v>
      </c>
      <c r="E1721" s="308" t="str">
        <f>IFERROR(__xludf.DUMMYFUNCTION("""COMPUTED_VALUE""")," S")</f>
        <v> S</v>
      </c>
      <c r="F1721" s="312" t="s">
        <v>39</v>
      </c>
      <c r="G1721" s="308" t="s">
        <v>6770</v>
      </c>
      <c r="H1721" s="308" t="s">
        <v>6771</v>
      </c>
      <c r="I1721" s="314">
        <v>41569.0</v>
      </c>
      <c r="J1721" s="319">
        <f>IFERROR(__xludf.DUMMYFUNCTION("SPLIT(I1721,""/"")"),22.0)</f>
        <v>22</v>
      </c>
      <c r="K1721" s="308">
        <f>IFERROR(__xludf.DUMMYFUNCTION("""COMPUTED_VALUE"""),10.0)</f>
        <v>10</v>
      </c>
      <c r="L1721" s="308">
        <f>IFERROR(__xludf.DUMMYFUNCTION("""COMPUTED_VALUE"""),2013.0)</f>
        <v>2013</v>
      </c>
      <c r="M1721" s="308" t="s">
        <v>6772</v>
      </c>
      <c r="N1721" s="308"/>
      <c r="O1721" s="312" t="s">
        <v>635</v>
      </c>
      <c r="P1721" s="308" t="s">
        <v>36254</v>
      </c>
      <c r="Q1721" s="308"/>
      <c r="R1721" s="308"/>
      <c r="S1721" s="308" t="s">
        <v>81</v>
      </c>
      <c r="T1721" s="308" t="s">
        <v>75</v>
      </c>
      <c r="U1721" s="312"/>
      <c r="V1721" s="312"/>
    </row>
    <row r="1722">
      <c r="A1722" s="308">
        <v>1721.0</v>
      </c>
      <c r="B1722" s="308"/>
      <c r="C1722" s="308" t="s">
        <v>6774</v>
      </c>
      <c r="D1722" s="308">
        <f>IFERROR(__xludf.DUMMYFUNCTION("SPLIT(C1722,""-"")"),1741.0)</f>
        <v>1741</v>
      </c>
      <c r="E1722" s="308" t="str">
        <f>IFERROR(__xludf.DUMMYFUNCTION("""COMPUTED_VALUE""")," S")</f>
        <v> S</v>
      </c>
      <c r="F1722" s="312" t="s">
        <v>39</v>
      </c>
      <c r="G1722" s="308" t="s">
        <v>6775</v>
      </c>
      <c r="H1722" s="308" t="s">
        <v>36255</v>
      </c>
      <c r="I1722" s="314">
        <v>41683.0</v>
      </c>
      <c r="J1722" s="319">
        <f>IFERROR(__xludf.DUMMYFUNCTION("SPLIT(I1722,""/"")"),13.0)</f>
        <v>13</v>
      </c>
      <c r="K1722" s="308">
        <f>IFERROR(__xludf.DUMMYFUNCTION("""COMPUTED_VALUE"""),2.0)</f>
        <v>2</v>
      </c>
      <c r="L1722" s="308">
        <f>IFERROR(__xludf.DUMMYFUNCTION("""COMPUTED_VALUE"""),2014.0)</f>
        <v>2014</v>
      </c>
      <c r="M1722" s="308" t="s">
        <v>6777</v>
      </c>
      <c r="N1722" s="308"/>
      <c r="O1722" s="312" t="s">
        <v>5658</v>
      </c>
      <c r="P1722" s="308" t="s">
        <v>6778</v>
      </c>
      <c r="Q1722" s="308"/>
      <c r="R1722" s="308"/>
      <c r="S1722" s="311" t="s">
        <v>49</v>
      </c>
      <c r="T1722" s="309" t="s">
        <v>67</v>
      </c>
      <c r="U1722" s="312"/>
      <c r="V1722" s="312"/>
    </row>
    <row r="1723">
      <c r="A1723" s="308">
        <v>1722.0</v>
      </c>
      <c r="B1723" s="308"/>
      <c r="C1723" s="308" t="s">
        <v>6779</v>
      </c>
      <c r="D1723" s="308">
        <f>IFERROR(__xludf.DUMMYFUNCTION("SPLIT(C1723,""-"")"),1742.0)</f>
        <v>1742</v>
      </c>
      <c r="E1723" s="308" t="str">
        <f>IFERROR(__xludf.DUMMYFUNCTION("""COMPUTED_VALUE""")," S")</f>
        <v> S</v>
      </c>
      <c r="F1723" s="312" t="s">
        <v>39</v>
      </c>
      <c r="G1723" s="308" t="s">
        <v>6780</v>
      </c>
      <c r="H1723" s="308" t="s">
        <v>36256</v>
      </c>
      <c r="I1723" s="314">
        <v>40814.0</v>
      </c>
      <c r="J1723" s="319">
        <f>IFERROR(__xludf.DUMMYFUNCTION("SPLIT(I1723,""/"")"),28.0)</f>
        <v>28</v>
      </c>
      <c r="K1723" s="308">
        <f>IFERROR(__xludf.DUMMYFUNCTION("""COMPUTED_VALUE"""),9.0)</f>
        <v>9</v>
      </c>
      <c r="L1723" s="308">
        <f>IFERROR(__xludf.DUMMYFUNCTION("""COMPUTED_VALUE"""),2011.0)</f>
        <v>2011</v>
      </c>
      <c r="M1723" s="308" t="s">
        <v>6782</v>
      </c>
      <c r="N1723" s="308"/>
      <c r="O1723" s="312" t="s">
        <v>5658</v>
      </c>
      <c r="P1723" s="308" t="s">
        <v>6778</v>
      </c>
      <c r="Q1723" s="308"/>
      <c r="R1723" s="308"/>
      <c r="S1723" s="311" t="s">
        <v>49</v>
      </c>
      <c r="T1723" s="309" t="s">
        <v>67</v>
      </c>
      <c r="U1723" s="312"/>
      <c r="V1723" s="312"/>
    </row>
    <row r="1724">
      <c r="A1724" s="308">
        <v>1723.0</v>
      </c>
      <c r="B1724" s="308"/>
      <c r="C1724" s="308" t="s">
        <v>6783</v>
      </c>
      <c r="D1724" s="308">
        <f>IFERROR(__xludf.DUMMYFUNCTION("SPLIT(C1724,""-"")"),1743.0)</f>
        <v>1743</v>
      </c>
      <c r="E1724" s="308" t="str">
        <f>IFERROR(__xludf.DUMMYFUNCTION("""COMPUTED_VALUE""")," S")</f>
        <v> S</v>
      </c>
      <c r="F1724" s="312" t="s">
        <v>39</v>
      </c>
      <c r="G1724" s="308" t="s">
        <v>6784</v>
      </c>
      <c r="H1724" s="308" t="s">
        <v>6785</v>
      </c>
      <c r="I1724" s="314">
        <v>41595.0</v>
      </c>
      <c r="J1724" s="319">
        <f>IFERROR(__xludf.DUMMYFUNCTION("SPLIT(I1724,""/"")"),17.0)</f>
        <v>17</v>
      </c>
      <c r="K1724" s="308">
        <f>IFERROR(__xludf.DUMMYFUNCTION("""COMPUTED_VALUE"""),11.0)</f>
        <v>11</v>
      </c>
      <c r="L1724" s="308">
        <f>IFERROR(__xludf.DUMMYFUNCTION("""COMPUTED_VALUE"""),2013.0)</f>
        <v>2013</v>
      </c>
      <c r="M1724" s="308" t="s">
        <v>6786</v>
      </c>
      <c r="N1724" s="308"/>
      <c r="O1724" s="312" t="s">
        <v>5658</v>
      </c>
      <c r="P1724" s="308" t="s">
        <v>36257</v>
      </c>
      <c r="Q1724" s="308"/>
      <c r="R1724" s="308"/>
      <c r="S1724" s="308" t="s">
        <v>81</v>
      </c>
      <c r="T1724" s="308" t="s">
        <v>75</v>
      </c>
      <c r="U1724" s="312"/>
      <c r="V1724" s="312"/>
    </row>
    <row r="1725">
      <c r="A1725" s="308">
        <v>1724.0</v>
      </c>
      <c r="B1725" s="308"/>
      <c r="C1725" s="308" t="s">
        <v>6788</v>
      </c>
      <c r="D1725" s="308">
        <f>IFERROR(__xludf.DUMMYFUNCTION("SPLIT(C1725,""-"")"),1744.0)</f>
        <v>1744</v>
      </c>
      <c r="E1725" s="308" t="str">
        <f>IFERROR(__xludf.DUMMYFUNCTION("""COMPUTED_VALUE""")," S")</f>
        <v> S</v>
      </c>
      <c r="F1725" s="312" t="s">
        <v>39</v>
      </c>
      <c r="G1725" s="308" t="s">
        <v>6784</v>
      </c>
      <c r="H1725" s="308" t="s">
        <v>36258</v>
      </c>
      <c r="I1725" s="314">
        <v>41595.0</v>
      </c>
      <c r="J1725" s="319">
        <f>IFERROR(__xludf.DUMMYFUNCTION("SPLIT(I1725,""/"")"),17.0)</f>
        <v>17</v>
      </c>
      <c r="K1725" s="308">
        <f>IFERROR(__xludf.DUMMYFUNCTION("""COMPUTED_VALUE"""),11.0)</f>
        <v>11</v>
      </c>
      <c r="L1725" s="308">
        <f>IFERROR(__xludf.DUMMYFUNCTION("""COMPUTED_VALUE"""),2013.0)</f>
        <v>2013</v>
      </c>
      <c r="M1725" s="308" t="s">
        <v>6790</v>
      </c>
      <c r="N1725" s="308"/>
      <c r="O1725" s="312" t="s">
        <v>5658</v>
      </c>
      <c r="P1725" s="308" t="s">
        <v>36257</v>
      </c>
      <c r="Q1725" s="308"/>
      <c r="R1725" s="308"/>
      <c r="S1725" s="308" t="s">
        <v>81</v>
      </c>
      <c r="T1725" s="308" t="s">
        <v>75</v>
      </c>
      <c r="U1725" s="312"/>
      <c r="V1725" s="312"/>
    </row>
    <row r="1726">
      <c r="A1726" s="308">
        <v>1725.0</v>
      </c>
      <c r="B1726" s="308"/>
      <c r="C1726" s="308" t="s">
        <v>6791</v>
      </c>
      <c r="D1726" s="308">
        <f>IFERROR(__xludf.DUMMYFUNCTION("SPLIT(C1726,""-"")"),1745.0)</f>
        <v>1745</v>
      </c>
      <c r="E1726" s="308" t="str">
        <f>IFERROR(__xludf.DUMMYFUNCTION("""COMPUTED_VALUE""")," S")</f>
        <v> S</v>
      </c>
      <c r="F1726" s="312" t="s">
        <v>39</v>
      </c>
      <c r="G1726" s="308" t="s">
        <v>6784</v>
      </c>
      <c r="H1726" s="308" t="s">
        <v>6792</v>
      </c>
      <c r="I1726" s="314">
        <v>41595.0</v>
      </c>
      <c r="J1726" s="319">
        <f>IFERROR(__xludf.DUMMYFUNCTION("SPLIT(I1726,""/"")"),17.0)</f>
        <v>17</v>
      </c>
      <c r="K1726" s="308">
        <f>IFERROR(__xludf.DUMMYFUNCTION("""COMPUTED_VALUE"""),11.0)</f>
        <v>11</v>
      </c>
      <c r="L1726" s="308">
        <f>IFERROR(__xludf.DUMMYFUNCTION("""COMPUTED_VALUE"""),2013.0)</f>
        <v>2013</v>
      </c>
      <c r="M1726" s="308" t="s">
        <v>6790</v>
      </c>
      <c r="N1726" s="308"/>
      <c r="O1726" s="312" t="s">
        <v>5658</v>
      </c>
      <c r="P1726" s="308" t="s">
        <v>36259</v>
      </c>
      <c r="Q1726" s="308"/>
      <c r="R1726" s="308"/>
      <c r="S1726" s="308" t="s">
        <v>81</v>
      </c>
      <c r="T1726" s="308" t="s">
        <v>75</v>
      </c>
      <c r="U1726" s="312"/>
      <c r="V1726" s="312"/>
    </row>
    <row r="1727">
      <c r="A1727" s="308">
        <v>1726.0</v>
      </c>
      <c r="B1727" s="308"/>
      <c r="C1727" s="308" t="s">
        <v>6794</v>
      </c>
      <c r="D1727" s="308">
        <f>IFERROR(__xludf.DUMMYFUNCTION("SPLIT(C1727,""-"")"),1746.0)</f>
        <v>1746</v>
      </c>
      <c r="E1727" s="308" t="str">
        <f>IFERROR(__xludf.DUMMYFUNCTION("""COMPUTED_VALUE""")," S")</f>
        <v> S</v>
      </c>
      <c r="F1727" s="312" t="s">
        <v>39</v>
      </c>
      <c r="G1727" s="308" t="s">
        <v>6795</v>
      </c>
      <c r="H1727" s="308" t="s">
        <v>6796</v>
      </c>
      <c r="I1727" s="314">
        <v>41656.0</v>
      </c>
      <c r="J1727" s="319">
        <f>IFERROR(__xludf.DUMMYFUNCTION("SPLIT(I1727,""/"")"),17.0)</f>
        <v>17</v>
      </c>
      <c r="K1727" s="308">
        <f>IFERROR(__xludf.DUMMYFUNCTION("""COMPUTED_VALUE"""),1.0)</f>
        <v>1</v>
      </c>
      <c r="L1727" s="308">
        <f>IFERROR(__xludf.DUMMYFUNCTION("""COMPUTED_VALUE"""),2014.0)</f>
        <v>2014</v>
      </c>
      <c r="M1727" s="308" t="s">
        <v>6797</v>
      </c>
      <c r="N1727" s="308"/>
      <c r="O1727" s="312" t="s">
        <v>6798</v>
      </c>
      <c r="P1727" s="308" t="s">
        <v>36260</v>
      </c>
      <c r="Q1727" s="308"/>
      <c r="R1727" s="308"/>
      <c r="S1727" s="308" t="s">
        <v>81</v>
      </c>
      <c r="T1727" s="308" t="s">
        <v>75</v>
      </c>
      <c r="U1727" s="312"/>
      <c r="V1727" s="312"/>
    </row>
    <row r="1728">
      <c r="A1728" s="308">
        <v>1727.0</v>
      </c>
      <c r="B1728" s="308"/>
      <c r="C1728" s="308" t="s">
        <v>6800</v>
      </c>
      <c r="D1728" s="308">
        <f>IFERROR(__xludf.DUMMYFUNCTION("SPLIT(C1728,""-"")"),1747.0)</f>
        <v>1747</v>
      </c>
      <c r="E1728" s="308" t="str">
        <f>IFERROR(__xludf.DUMMYFUNCTION("""COMPUTED_VALUE""")," P")</f>
        <v> P</v>
      </c>
      <c r="F1728" s="312" t="s">
        <v>37</v>
      </c>
      <c r="G1728" s="308" t="s">
        <v>6801</v>
      </c>
      <c r="H1728" s="308" t="s">
        <v>6802</v>
      </c>
      <c r="I1728" s="316">
        <v>2004.0</v>
      </c>
      <c r="J1728" s="319"/>
      <c r="K1728" s="308"/>
      <c r="L1728" s="311">
        <v>2004.0</v>
      </c>
      <c r="M1728" s="308" t="s">
        <v>6803</v>
      </c>
      <c r="N1728" s="308"/>
      <c r="O1728" s="312" t="s">
        <v>6804</v>
      </c>
      <c r="P1728" s="308" t="s">
        <v>137</v>
      </c>
      <c r="Q1728" s="308"/>
      <c r="R1728" s="308"/>
      <c r="S1728" s="309" t="s">
        <v>34916</v>
      </c>
      <c r="T1728" s="311" t="s">
        <v>34917</v>
      </c>
      <c r="U1728" s="312"/>
      <c r="V1728" s="312"/>
    </row>
    <row r="1729">
      <c r="A1729" s="308">
        <v>1728.0</v>
      </c>
      <c r="B1729" s="308"/>
      <c r="C1729" s="308" t="s">
        <v>6805</v>
      </c>
      <c r="D1729" s="308">
        <f>IFERROR(__xludf.DUMMYFUNCTION("SPLIT(C1729,""-"")"),1748.0)</f>
        <v>1748</v>
      </c>
      <c r="E1729" s="308" t="str">
        <f>IFERROR(__xludf.DUMMYFUNCTION("""COMPUTED_VALUE""")," S")</f>
        <v> S</v>
      </c>
      <c r="F1729" s="312" t="s">
        <v>39</v>
      </c>
      <c r="G1729" s="308" t="s">
        <v>6806</v>
      </c>
      <c r="H1729" s="308" t="s">
        <v>6807</v>
      </c>
      <c r="I1729" s="314">
        <v>41186.0</v>
      </c>
      <c r="J1729" s="319">
        <f>IFERROR(__xludf.DUMMYFUNCTION("SPLIT(I1729,""/"")"),4.0)</f>
        <v>4</v>
      </c>
      <c r="K1729" s="308">
        <f>IFERROR(__xludf.DUMMYFUNCTION("""COMPUTED_VALUE"""),10.0)</f>
        <v>10</v>
      </c>
      <c r="L1729" s="308">
        <f>IFERROR(__xludf.DUMMYFUNCTION("""COMPUTED_VALUE"""),2012.0)</f>
        <v>2012</v>
      </c>
      <c r="M1729" s="308" t="s">
        <v>6808</v>
      </c>
      <c r="N1729" s="308"/>
      <c r="O1729" s="312" t="s">
        <v>635</v>
      </c>
      <c r="P1729" s="308" t="s">
        <v>34756</v>
      </c>
      <c r="Q1729" s="308"/>
      <c r="R1729" s="308"/>
      <c r="S1729" s="308" t="s">
        <v>81</v>
      </c>
      <c r="T1729" s="311" t="s">
        <v>35048</v>
      </c>
      <c r="U1729" s="308"/>
      <c r="V1729" s="312"/>
    </row>
    <row r="1730">
      <c r="A1730" s="308">
        <v>1729.0</v>
      </c>
      <c r="B1730" s="308"/>
      <c r="C1730" s="308" t="s">
        <v>6809</v>
      </c>
      <c r="D1730" s="308">
        <f>IFERROR(__xludf.DUMMYFUNCTION("SPLIT(C1730,""-"")"),1749.0)</f>
        <v>1749</v>
      </c>
      <c r="E1730" s="308" t="str">
        <f>IFERROR(__xludf.DUMMYFUNCTION("""COMPUTED_VALUE""")," P")</f>
        <v> P</v>
      </c>
      <c r="F1730" s="312" t="s">
        <v>37</v>
      </c>
      <c r="G1730" s="308" t="s">
        <v>6810</v>
      </c>
      <c r="H1730" s="308" t="s">
        <v>6811</v>
      </c>
      <c r="I1730" s="314">
        <v>40641.0</v>
      </c>
      <c r="J1730" s="319">
        <f>IFERROR(__xludf.DUMMYFUNCTION("SPLIT(I1730,""/"")"),8.0)</f>
        <v>8</v>
      </c>
      <c r="K1730" s="308">
        <f>IFERROR(__xludf.DUMMYFUNCTION("""COMPUTED_VALUE"""),4.0)</f>
        <v>4</v>
      </c>
      <c r="L1730" s="308">
        <f>IFERROR(__xludf.DUMMYFUNCTION("""COMPUTED_VALUE"""),2011.0)</f>
        <v>2011</v>
      </c>
      <c r="M1730" s="308" t="s">
        <v>6812</v>
      </c>
      <c r="N1730" s="308"/>
      <c r="O1730" s="312" t="s">
        <v>6813</v>
      </c>
      <c r="P1730" s="308" t="s">
        <v>6814</v>
      </c>
      <c r="Q1730" s="308"/>
      <c r="R1730" s="308"/>
      <c r="S1730" s="315" t="s">
        <v>100</v>
      </c>
      <c r="T1730" s="311" t="s">
        <v>34208</v>
      </c>
      <c r="U1730" s="308" t="s">
        <v>6815</v>
      </c>
      <c r="V1730" s="312"/>
    </row>
    <row r="1731">
      <c r="A1731" s="308">
        <v>1730.0</v>
      </c>
      <c r="B1731" s="308"/>
      <c r="C1731" s="308" t="s">
        <v>6816</v>
      </c>
      <c r="D1731" s="308">
        <f>IFERROR(__xludf.DUMMYFUNCTION("SPLIT(C1731,""-"")"),1750.0)</f>
        <v>1750</v>
      </c>
      <c r="E1731" s="308" t="str">
        <f>IFERROR(__xludf.DUMMYFUNCTION("""COMPUTED_VALUE""")," S")</f>
        <v> S</v>
      </c>
      <c r="F1731" s="312" t="s">
        <v>39</v>
      </c>
      <c r="G1731" s="308" t="s">
        <v>6817</v>
      </c>
      <c r="H1731" s="308" t="s">
        <v>6818</v>
      </c>
      <c r="I1731" s="314">
        <v>39373.0</v>
      </c>
      <c r="J1731" s="319">
        <f>IFERROR(__xludf.DUMMYFUNCTION("SPLIT(I1731,""/"")"),18.0)</f>
        <v>18</v>
      </c>
      <c r="K1731" s="308">
        <f>IFERROR(__xludf.DUMMYFUNCTION("""COMPUTED_VALUE"""),10.0)</f>
        <v>10</v>
      </c>
      <c r="L1731" s="308">
        <f>IFERROR(__xludf.DUMMYFUNCTION("""COMPUTED_VALUE"""),2007.0)</f>
        <v>2007</v>
      </c>
      <c r="M1731" s="308" t="s">
        <v>6819</v>
      </c>
      <c r="N1731" s="308"/>
      <c r="O1731" s="312" t="s">
        <v>6820</v>
      </c>
      <c r="P1731" s="308" t="s">
        <v>6821</v>
      </c>
      <c r="Q1731" s="308"/>
      <c r="R1731" s="308"/>
      <c r="S1731" s="308" t="s">
        <v>49</v>
      </c>
      <c r="T1731" s="308" t="s">
        <v>51</v>
      </c>
      <c r="U1731" s="308"/>
      <c r="V1731" s="312"/>
    </row>
    <row r="1732">
      <c r="A1732" s="308">
        <v>1731.0</v>
      </c>
      <c r="B1732" s="308"/>
      <c r="C1732" s="308" t="s">
        <v>6822</v>
      </c>
      <c r="D1732" s="308">
        <f>IFERROR(__xludf.DUMMYFUNCTION("SPLIT(C1732,""-"")"),1751.0)</f>
        <v>1751</v>
      </c>
      <c r="E1732" s="308" t="str">
        <f>IFERROR(__xludf.DUMMYFUNCTION("""COMPUTED_VALUE""")," P")</f>
        <v> P</v>
      </c>
      <c r="F1732" s="312" t="s">
        <v>37</v>
      </c>
      <c r="G1732" s="308" t="s">
        <v>6823</v>
      </c>
      <c r="H1732" s="308" t="s">
        <v>6824</v>
      </c>
      <c r="I1732" s="314">
        <v>41221.0</v>
      </c>
      <c r="J1732" s="319">
        <f>IFERROR(__xludf.DUMMYFUNCTION("SPLIT(I1732,""/"")"),8.0)</f>
        <v>8</v>
      </c>
      <c r="K1732" s="308">
        <f>IFERROR(__xludf.DUMMYFUNCTION("""COMPUTED_VALUE"""),11.0)</f>
        <v>11</v>
      </c>
      <c r="L1732" s="308">
        <f>IFERROR(__xludf.DUMMYFUNCTION("""COMPUTED_VALUE"""),2012.0)</f>
        <v>2012</v>
      </c>
      <c r="M1732" s="308" t="s">
        <v>6825</v>
      </c>
      <c r="N1732" s="308"/>
      <c r="O1732" s="312" t="s">
        <v>36261</v>
      </c>
      <c r="P1732" s="308" t="s">
        <v>6827</v>
      </c>
      <c r="Q1732" s="308"/>
      <c r="R1732" s="308"/>
      <c r="S1732" s="308" t="s">
        <v>81</v>
      </c>
      <c r="T1732" s="308" t="s">
        <v>73</v>
      </c>
      <c r="U1732" s="308"/>
      <c r="V1732" s="312"/>
    </row>
    <row r="1733">
      <c r="A1733" s="308">
        <v>1732.0</v>
      </c>
      <c r="B1733" s="308"/>
      <c r="C1733" s="308" t="s">
        <v>6828</v>
      </c>
      <c r="D1733" s="308">
        <f>IFERROR(__xludf.DUMMYFUNCTION("SPLIT(C1733,""-"")"),1752.0)</f>
        <v>1752</v>
      </c>
      <c r="E1733" s="308" t="str">
        <f>IFERROR(__xludf.DUMMYFUNCTION("""COMPUTED_VALUE""")," P")</f>
        <v> P</v>
      </c>
      <c r="F1733" s="312" t="s">
        <v>37</v>
      </c>
      <c r="G1733" s="308" t="s">
        <v>6829</v>
      </c>
      <c r="H1733" s="308" t="s">
        <v>6830</v>
      </c>
      <c r="I1733" s="314">
        <v>41618.0</v>
      </c>
      <c r="J1733" s="319">
        <f>IFERROR(__xludf.DUMMYFUNCTION("SPLIT(I1733,""/"")"),10.0)</f>
        <v>10</v>
      </c>
      <c r="K1733" s="308">
        <f>IFERROR(__xludf.DUMMYFUNCTION("""COMPUTED_VALUE"""),12.0)</f>
        <v>12</v>
      </c>
      <c r="L1733" s="308">
        <f>IFERROR(__xludf.DUMMYFUNCTION("""COMPUTED_VALUE"""),2013.0)</f>
        <v>2013</v>
      </c>
      <c r="M1733" s="308" t="s">
        <v>6831</v>
      </c>
      <c r="N1733" s="308"/>
      <c r="O1733" s="312"/>
      <c r="P1733" s="308" t="s">
        <v>6832</v>
      </c>
      <c r="Q1733" s="308"/>
      <c r="R1733" s="308"/>
      <c r="S1733" s="308" t="s">
        <v>81</v>
      </c>
      <c r="T1733" s="308" t="s">
        <v>73</v>
      </c>
      <c r="U1733" s="308"/>
      <c r="V1733" s="312"/>
    </row>
    <row r="1734">
      <c r="A1734" s="308">
        <v>1733.0</v>
      </c>
      <c r="B1734" s="308"/>
      <c r="C1734" s="308" t="s">
        <v>6833</v>
      </c>
      <c r="D1734" s="308">
        <f>IFERROR(__xludf.DUMMYFUNCTION("SPLIT(C1734,""-"")"),1753.0)</f>
        <v>1753</v>
      </c>
      <c r="E1734" s="308" t="str">
        <f>IFERROR(__xludf.DUMMYFUNCTION("""COMPUTED_VALUE""")," P")</f>
        <v> P</v>
      </c>
      <c r="F1734" s="312" t="s">
        <v>37</v>
      </c>
      <c r="G1734" s="308" t="s">
        <v>6834</v>
      </c>
      <c r="H1734" s="308" t="s">
        <v>6835</v>
      </c>
      <c r="I1734" s="314">
        <v>41469.0</v>
      </c>
      <c r="J1734" s="319">
        <f>IFERROR(__xludf.DUMMYFUNCTION("SPLIT(I1734,""/"")"),14.0)</f>
        <v>14</v>
      </c>
      <c r="K1734" s="308">
        <f>IFERROR(__xludf.DUMMYFUNCTION("""COMPUTED_VALUE"""),7.0)</f>
        <v>7</v>
      </c>
      <c r="L1734" s="308">
        <f>IFERROR(__xludf.DUMMYFUNCTION("""COMPUTED_VALUE"""),2013.0)</f>
        <v>2013</v>
      </c>
      <c r="M1734" s="308" t="s">
        <v>6836</v>
      </c>
      <c r="N1734" s="308"/>
      <c r="O1734" s="312" t="s">
        <v>36262</v>
      </c>
      <c r="P1734" s="308" t="s">
        <v>36263</v>
      </c>
      <c r="Q1734" s="308"/>
      <c r="R1734" s="308"/>
      <c r="S1734" s="308" t="s">
        <v>81</v>
      </c>
      <c r="T1734" s="308" t="s">
        <v>98</v>
      </c>
      <c r="U1734" s="308"/>
      <c r="V1734" s="312"/>
    </row>
    <row r="1735">
      <c r="A1735" s="308">
        <v>1734.0</v>
      </c>
      <c r="B1735" s="308"/>
      <c r="C1735" s="308" t="s">
        <v>6839</v>
      </c>
      <c r="D1735" s="308">
        <f>IFERROR(__xludf.DUMMYFUNCTION("SPLIT(C1735,""-"")"),1754.0)</f>
        <v>1754</v>
      </c>
      <c r="E1735" s="308" t="str">
        <f>IFERROR(__xludf.DUMMYFUNCTION("""COMPUTED_VALUE""")," P")</f>
        <v> P</v>
      </c>
      <c r="F1735" s="312" t="s">
        <v>37</v>
      </c>
      <c r="G1735" s="308" t="s">
        <v>6840</v>
      </c>
      <c r="H1735" s="308" t="s">
        <v>6841</v>
      </c>
      <c r="I1735" s="314">
        <v>41371.0</v>
      </c>
      <c r="J1735" s="319">
        <f>IFERROR(__xludf.DUMMYFUNCTION("SPLIT(I1735,""/"")"),7.0)</f>
        <v>7</v>
      </c>
      <c r="K1735" s="308">
        <f>IFERROR(__xludf.DUMMYFUNCTION("""COMPUTED_VALUE"""),4.0)</f>
        <v>4</v>
      </c>
      <c r="L1735" s="308">
        <f>IFERROR(__xludf.DUMMYFUNCTION("""COMPUTED_VALUE"""),2013.0)</f>
        <v>2013</v>
      </c>
      <c r="M1735" s="308" t="s">
        <v>6842</v>
      </c>
      <c r="N1735" s="308"/>
      <c r="O1735" s="312" t="s">
        <v>6843</v>
      </c>
      <c r="P1735" s="308" t="s">
        <v>6844</v>
      </c>
      <c r="Q1735" s="308"/>
      <c r="R1735" s="308"/>
      <c r="S1735" s="308" t="s">
        <v>49</v>
      </c>
      <c r="T1735" s="308" t="s">
        <v>51</v>
      </c>
      <c r="U1735" s="308"/>
      <c r="V1735" s="312"/>
    </row>
    <row r="1736">
      <c r="A1736" s="308">
        <v>1735.0</v>
      </c>
      <c r="B1736" s="308"/>
      <c r="C1736" s="308" t="s">
        <v>6845</v>
      </c>
      <c r="D1736" s="308">
        <f>IFERROR(__xludf.DUMMYFUNCTION("SPLIT(C1736,""-"")"),1755.0)</f>
        <v>1755</v>
      </c>
      <c r="E1736" s="308" t="str">
        <f>IFERROR(__xludf.DUMMYFUNCTION("""COMPUTED_VALUE""")," P")</f>
        <v> P</v>
      </c>
      <c r="F1736" s="312" t="s">
        <v>37</v>
      </c>
      <c r="G1736" s="308" t="s">
        <v>6846</v>
      </c>
      <c r="H1736" s="308" t="s">
        <v>6847</v>
      </c>
      <c r="I1736" s="314">
        <v>40547.0</v>
      </c>
      <c r="J1736" s="319">
        <f>IFERROR(__xludf.DUMMYFUNCTION("SPLIT(I1736,""/"")"),4.0)</f>
        <v>4</v>
      </c>
      <c r="K1736" s="308">
        <f>IFERROR(__xludf.DUMMYFUNCTION("""COMPUTED_VALUE"""),1.0)</f>
        <v>1</v>
      </c>
      <c r="L1736" s="308">
        <f>IFERROR(__xludf.DUMMYFUNCTION("""COMPUTED_VALUE"""),2011.0)</f>
        <v>2011</v>
      </c>
      <c r="M1736" s="308" t="s">
        <v>6848</v>
      </c>
      <c r="N1736" s="308"/>
      <c r="O1736" s="312" t="s">
        <v>6849</v>
      </c>
      <c r="P1736" s="308" t="s">
        <v>2675</v>
      </c>
      <c r="Q1736" s="308"/>
      <c r="R1736" s="308"/>
      <c r="S1736" s="308" t="s">
        <v>49</v>
      </c>
      <c r="T1736" s="308" t="s">
        <v>51</v>
      </c>
      <c r="U1736" s="312"/>
      <c r="V1736" s="312"/>
    </row>
    <row r="1737">
      <c r="A1737" s="308">
        <v>1736.0</v>
      </c>
      <c r="B1737" s="308"/>
      <c r="C1737" s="308" t="s">
        <v>6850</v>
      </c>
      <c r="D1737" s="308">
        <f>IFERROR(__xludf.DUMMYFUNCTION("SPLIT(C1737,""-"")"),1756.0)</f>
        <v>1756</v>
      </c>
      <c r="E1737" s="308" t="str">
        <f>IFERROR(__xludf.DUMMYFUNCTION("""COMPUTED_VALUE""")," P")</f>
        <v> P</v>
      </c>
      <c r="F1737" s="312" t="s">
        <v>37</v>
      </c>
      <c r="G1737" s="308" t="s">
        <v>6851</v>
      </c>
      <c r="H1737" s="308" t="s">
        <v>6852</v>
      </c>
      <c r="I1737" s="314">
        <v>40710.0</v>
      </c>
      <c r="J1737" s="319">
        <f>IFERROR(__xludf.DUMMYFUNCTION("SPLIT(I1737,""/"")"),16.0)</f>
        <v>16</v>
      </c>
      <c r="K1737" s="308">
        <f>IFERROR(__xludf.DUMMYFUNCTION("""COMPUTED_VALUE"""),6.0)</f>
        <v>6</v>
      </c>
      <c r="L1737" s="308">
        <f>IFERROR(__xludf.DUMMYFUNCTION("""COMPUTED_VALUE"""),2011.0)</f>
        <v>2011</v>
      </c>
      <c r="M1737" s="308" t="s">
        <v>6853</v>
      </c>
      <c r="N1737" s="308"/>
      <c r="O1737" s="312" t="s">
        <v>6854</v>
      </c>
      <c r="P1737" s="308" t="s">
        <v>6855</v>
      </c>
      <c r="Q1737" s="308"/>
      <c r="R1737" s="308"/>
      <c r="S1737" s="308" t="s">
        <v>81</v>
      </c>
      <c r="T1737" s="308" t="s">
        <v>75</v>
      </c>
      <c r="U1737" s="308" t="s">
        <v>2692</v>
      </c>
      <c r="V1737" s="312"/>
    </row>
    <row r="1738">
      <c r="A1738" s="308">
        <v>1737.0</v>
      </c>
      <c r="B1738" s="308"/>
      <c r="C1738" s="308" t="s">
        <v>6856</v>
      </c>
      <c r="D1738" s="308">
        <f>IFERROR(__xludf.DUMMYFUNCTION("SPLIT(C1738,""-"")"),1757.0)</f>
        <v>1757</v>
      </c>
      <c r="E1738" s="308" t="str">
        <f>IFERROR(__xludf.DUMMYFUNCTION("""COMPUTED_VALUE""")," P")</f>
        <v> P</v>
      </c>
      <c r="F1738" s="312" t="s">
        <v>37</v>
      </c>
      <c r="G1738" s="308" t="s">
        <v>6857</v>
      </c>
      <c r="H1738" s="308" t="s">
        <v>6858</v>
      </c>
      <c r="I1738" s="314">
        <v>41170.0</v>
      </c>
      <c r="J1738" s="319">
        <f>IFERROR(__xludf.DUMMYFUNCTION("SPLIT(I1738,""/"")"),18.0)</f>
        <v>18</v>
      </c>
      <c r="K1738" s="308">
        <f>IFERROR(__xludf.DUMMYFUNCTION("""COMPUTED_VALUE"""),9.0)</f>
        <v>9</v>
      </c>
      <c r="L1738" s="308">
        <f>IFERROR(__xludf.DUMMYFUNCTION("""COMPUTED_VALUE"""),2012.0)</f>
        <v>2012</v>
      </c>
      <c r="M1738" s="308" t="s">
        <v>6859</v>
      </c>
      <c r="N1738" s="308"/>
      <c r="O1738" s="312" t="s">
        <v>635</v>
      </c>
      <c r="P1738" s="308" t="s">
        <v>6860</v>
      </c>
      <c r="Q1738" s="308"/>
      <c r="R1738" s="308"/>
      <c r="S1738" s="308" t="s">
        <v>81</v>
      </c>
      <c r="T1738" s="308" t="s">
        <v>73</v>
      </c>
      <c r="U1738" s="308"/>
      <c r="V1738" s="312"/>
    </row>
    <row r="1739">
      <c r="A1739" s="308">
        <v>1738.0</v>
      </c>
      <c r="B1739" s="308"/>
      <c r="C1739" s="308" t="s">
        <v>6861</v>
      </c>
      <c r="D1739" s="308">
        <f>IFERROR(__xludf.DUMMYFUNCTION("SPLIT(C1739,""-"")"),1758.0)</f>
        <v>1758</v>
      </c>
      <c r="E1739" s="308" t="str">
        <f>IFERROR(__xludf.DUMMYFUNCTION("""COMPUTED_VALUE""")," P")</f>
        <v> P</v>
      </c>
      <c r="F1739" s="312" t="s">
        <v>37</v>
      </c>
      <c r="G1739" s="308" t="s">
        <v>6862</v>
      </c>
      <c r="H1739" s="308" t="s">
        <v>6863</v>
      </c>
      <c r="I1739" s="314">
        <v>41536.0</v>
      </c>
      <c r="J1739" s="319">
        <f>IFERROR(__xludf.DUMMYFUNCTION("SPLIT(I1739,""/"")"),19.0)</f>
        <v>19</v>
      </c>
      <c r="K1739" s="308">
        <f>IFERROR(__xludf.DUMMYFUNCTION("""COMPUTED_VALUE"""),9.0)</f>
        <v>9</v>
      </c>
      <c r="L1739" s="308">
        <f>IFERROR(__xludf.DUMMYFUNCTION("""COMPUTED_VALUE"""),2013.0)</f>
        <v>2013</v>
      </c>
      <c r="M1739" s="308" t="s">
        <v>6864</v>
      </c>
      <c r="N1739" s="308"/>
      <c r="O1739" s="312" t="s">
        <v>635</v>
      </c>
      <c r="P1739" s="308" t="s">
        <v>6865</v>
      </c>
      <c r="Q1739" s="308"/>
      <c r="R1739" s="308"/>
      <c r="S1739" s="308" t="s">
        <v>81</v>
      </c>
      <c r="T1739" s="308" t="s">
        <v>73</v>
      </c>
      <c r="U1739" s="308"/>
      <c r="V1739" s="312"/>
    </row>
    <row r="1740">
      <c r="A1740" s="308">
        <v>1739.0</v>
      </c>
      <c r="B1740" s="308"/>
      <c r="C1740" s="308" t="s">
        <v>6866</v>
      </c>
      <c r="D1740" s="308">
        <f>IFERROR(__xludf.DUMMYFUNCTION("SPLIT(C1740,""-"")"),1759.0)</f>
        <v>1759</v>
      </c>
      <c r="E1740" s="308" t="str">
        <f>IFERROR(__xludf.DUMMYFUNCTION("""COMPUTED_VALUE""")," K")</f>
        <v> K</v>
      </c>
      <c r="F1740" s="309" t="s">
        <v>34</v>
      </c>
      <c r="G1740" s="308" t="s">
        <v>6867</v>
      </c>
      <c r="H1740" s="308" t="s">
        <v>6868</v>
      </c>
      <c r="I1740" s="316">
        <v>2009.0</v>
      </c>
      <c r="J1740" s="319"/>
      <c r="K1740" s="308"/>
      <c r="L1740" s="311">
        <v>2009.0</v>
      </c>
      <c r="M1740" s="308" t="s">
        <v>6869</v>
      </c>
      <c r="N1740" s="308"/>
      <c r="O1740" s="312" t="s">
        <v>6870</v>
      </c>
      <c r="P1740" s="308" t="s">
        <v>6381</v>
      </c>
      <c r="Q1740" s="308"/>
      <c r="R1740" s="308"/>
      <c r="S1740" s="315" t="s">
        <v>100</v>
      </c>
      <c r="T1740" s="311" t="s">
        <v>34208</v>
      </c>
      <c r="U1740" s="308" t="s">
        <v>36197</v>
      </c>
      <c r="V1740" s="312"/>
    </row>
    <row r="1741">
      <c r="A1741" s="308">
        <v>1740.0</v>
      </c>
      <c r="B1741" s="308"/>
      <c r="C1741" s="308" t="s">
        <v>6871</v>
      </c>
      <c r="D1741" s="308">
        <f>IFERROR(__xludf.DUMMYFUNCTION("SPLIT(C1741,""-"")"),1760.0)</f>
        <v>1760</v>
      </c>
      <c r="E1741" s="308" t="str">
        <f>IFERROR(__xludf.DUMMYFUNCTION("""COMPUTED_VALUE""")," F")</f>
        <v> F</v>
      </c>
      <c r="F1741" s="309" t="s">
        <v>34</v>
      </c>
      <c r="G1741" s="308" t="s">
        <v>6872</v>
      </c>
      <c r="H1741" s="308" t="s">
        <v>6873</v>
      </c>
      <c r="I1741" s="314">
        <v>40959.0</v>
      </c>
      <c r="J1741" s="319">
        <f>IFERROR(__xludf.DUMMYFUNCTION("SPLIT(I1741,""/"")"),20.0)</f>
        <v>20</v>
      </c>
      <c r="K1741" s="308">
        <f>IFERROR(__xludf.DUMMYFUNCTION("""COMPUTED_VALUE"""),2.0)</f>
        <v>2</v>
      </c>
      <c r="L1741" s="308">
        <f>IFERROR(__xludf.DUMMYFUNCTION("""COMPUTED_VALUE"""),2012.0)</f>
        <v>2012</v>
      </c>
      <c r="M1741" s="308" t="s">
        <v>6874</v>
      </c>
      <c r="N1741" s="308"/>
      <c r="O1741" s="312" t="s">
        <v>635</v>
      </c>
      <c r="P1741" s="308" t="s">
        <v>1847</v>
      </c>
      <c r="Q1741" s="308"/>
      <c r="R1741" s="308"/>
      <c r="S1741" s="308" t="s">
        <v>100</v>
      </c>
      <c r="T1741" s="311" t="s">
        <v>34208</v>
      </c>
      <c r="U1741" s="308" t="s">
        <v>6875</v>
      </c>
      <c r="V1741" s="312"/>
    </row>
    <row r="1742">
      <c r="A1742" s="308">
        <v>1741.0</v>
      </c>
      <c r="B1742" s="312"/>
      <c r="C1742" s="308" t="s">
        <v>6876</v>
      </c>
      <c r="D1742" s="308">
        <f>IFERROR(__xludf.DUMMYFUNCTION("SPLIT(C1742,""-"")"),1761.0)</f>
        <v>1761</v>
      </c>
      <c r="E1742" s="308" t="str">
        <f>IFERROR(__xludf.DUMMYFUNCTION("""COMPUTED_VALUE""")," K")</f>
        <v> K</v>
      </c>
      <c r="F1742" s="309" t="s">
        <v>34</v>
      </c>
      <c r="G1742" s="312" t="s">
        <v>6877</v>
      </c>
      <c r="H1742" s="312" t="s">
        <v>6878</v>
      </c>
      <c r="I1742" s="314">
        <v>41171.0</v>
      </c>
      <c r="J1742" s="319">
        <f>IFERROR(__xludf.DUMMYFUNCTION("SPLIT(I1742,""/"")"),19.0)</f>
        <v>19</v>
      </c>
      <c r="K1742" s="312">
        <f>IFERROR(__xludf.DUMMYFUNCTION("""COMPUTED_VALUE"""),9.0)</f>
        <v>9</v>
      </c>
      <c r="L1742" s="312">
        <f>IFERROR(__xludf.DUMMYFUNCTION("""COMPUTED_VALUE"""),2012.0)</f>
        <v>2012</v>
      </c>
      <c r="M1742" s="312" t="s">
        <v>6879</v>
      </c>
      <c r="N1742" s="312"/>
      <c r="O1742" s="312" t="s">
        <v>36264</v>
      </c>
      <c r="P1742" s="308" t="s">
        <v>6881</v>
      </c>
      <c r="Q1742" s="312"/>
      <c r="R1742" s="312"/>
      <c r="S1742" s="308" t="s">
        <v>49</v>
      </c>
      <c r="T1742" s="311" t="s">
        <v>51</v>
      </c>
      <c r="U1742" s="312" t="s">
        <v>3714</v>
      </c>
      <c r="V1742" s="312"/>
    </row>
    <row r="1743">
      <c r="A1743" s="308">
        <v>1742.0</v>
      </c>
      <c r="B1743" s="308"/>
      <c r="C1743" s="308" t="s">
        <v>6882</v>
      </c>
      <c r="D1743" s="308">
        <f>IFERROR(__xludf.DUMMYFUNCTION("SPLIT(C1743,""-"")"),1762.0)</f>
        <v>1762</v>
      </c>
      <c r="E1743" s="308" t="str">
        <f>IFERROR(__xludf.DUMMYFUNCTION("""COMPUTED_VALUE""")," K")</f>
        <v> K</v>
      </c>
      <c r="F1743" s="309" t="s">
        <v>34</v>
      </c>
      <c r="G1743" s="308" t="s">
        <v>6883</v>
      </c>
      <c r="H1743" s="308" t="s">
        <v>6884</v>
      </c>
      <c r="I1743" s="314">
        <v>41236.0</v>
      </c>
      <c r="J1743" s="319">
        <f>IFERROR(__xludf.DUMMYFUNCTION("SPLIT(I1743,""/"")"),23.0)</f>
        <v>23</v>
      </c>
      <c r="K1743" s="308">
        <f>IFERROR(__xludf.DUMMYFUNCTION("""COMPUTED_VALUE"""),11.0)</f>
        <v>11</v>
      </c>
      <c r="L1743" s="308">
        <f>IFERROR(__xludf.DUMMYFUNCTION("""COMPUTED_VALUE"""),2012.0)</f>
        <v>2012</v>
      </c>
      <c r="M1743" s="308" t="s">
        <v>36265</v>
      </c>
      <c r="N1743" s="308"/>
      <c r="O1743" s="312" t="s">
        <v>6886</v>
      </c>
      <c r="P1743" s="308" t="s">
        <v>6887</v>
      </c>
      <c r="Q1743" s="308"/>
      <c r="R1743" s="308"/>
      <c r="S1743" s="308" t="s">
        <v>81</v>
      </c>
      <c r="T1743" s="308" t="s">
        <v>34264</v>
      </c>
      <c r="U1743" s="308"/>
      <c r="V1743" s="312"/>
    </row>
    <row r="1744">
      <c r="A1744" s="308">
        <v>1743.0</v>
      </c>
      <c r="B1744" s="308"/>
      <c r="C1744" s="308" t="s">
        <v>6888</v>
      </c>
      <c r="D1744" s="308">
        <f>IFERROR(__xludf.DUMMYFUNCTION("SPLIT(C1744,""-"")"),1763.0)</f>
        <v>1763</v>
      </c>
      <c r="E1744" s="308" t="str">
        <f>IFERROR(__xludf.DUMMYFUNCTION("""COMPUTED_VALUE""")," K")</f>
        <v> K</v>
      </c>
      <c r="F1744" s="309" t="s">
        <v>34</v>
      </c>
      <c r="G1744" s="308" t="s">
        <v>6889</v>
      </c>
      <c r="H1744" s="308" t="s">
        <v>6890</v>
      </c>
      <c r="I1744" s="310">
        <v>41429.0</v>
      </c>
      <c r="J1744" s="319">
        <f>IFERROR(__xludf.DUMMYFUNCTION("SPLIT(I1744,""/"")"),4.0)</f>
        <v>4</v>
      </c>
      <c r="K1744" s="308">
        <f>IFERROR(__xludf.DUMMYFUNCTION("""COMPUTED_VALUE"""),6.0)</f>
        <v>6</v>
      </c>
      <c r="L1744" s="308">
        <f>IFERROR(__xludf.DUMMYFUNCTION("""COMPUTED_VALUE"""),2013.0)</f>
        <v>2013</v>
      </c>
      <c r="M1744" s="308" t="s">
        <v>6891</v>
      </c>
      <c r="N1744" s="308"/>
      <c r="O1744" s="312" t="s">
        <v>6892</v>
      </c>
      <c r="P1744" s="308" t="s">
        <v>6893</v>
      </c>
      <c r="Q1744" s="308"/>
      <c r="R1744" s="308"/>
      <c r="S1744" s="308" t="s">
        <v>81</v>
      </c>
      <c r="T1744" s="308" t="s">
        <v>34264</v>
      </c>
      <c r="U1744" s="308"/>
      <c r="V1744" s="312"/>
    </row>
    <row r="1745">
      <c r="A1745" s="308">
        <v>1744.0</v>
      </c>
      <c r="B1745" s="308"/>
      <c r="C1745" s="308" t="s">
        <v>6894</v>
      </c>
      <c r="D1745" s="308">
        <f>IFERROR(__xludf.DUMMYFUNCTION("SPLIT(C1745,""-"")"),1764.0)</f>
        <v>1764</v>
      </c>
      <c r="E1745" s="308" t="str">
        <f>IFERROR(__xludf.DUMMYFUNCTION("""COMPUTED_VALUE""")," K")</f>
        <v> K</v>
      </c>
      <c r="F1745" s="309" t="s">
        <v>34</v>
      </c>
      <c r="G1745" s="308" t="s">
        <v>6889</v>
      </c>
      <c r="H1745" s="308" t="s">
        <v>6895</v>
      </c>
      <c r="I1745" s="310">
        <v>41429.0</v>
      </c>
      <c r="J1745" s="319">
        <f>IFERROR(__xludf.DUMMYFUNCTION("SPLIT(I1745,""/"")"),4.0)</f>
        <v>4</v>
      </c>
      <c r="K1745" s="308">
        <f>IFERROR(__xludf.DUMMYFUNCTION("""COMPUTED_VALUE"""),6.0)</f>
        <v>6</v>
      </c>
      <c r="L1745" s="308">
        <f>IFERROR(__xludf.DUMMYFUNCTION("""COMPUTED_VALUE"""),2013.0)</f>
        <v>2013</v>
      </c>
      <c r="M1745" s="308" t="s">
        <v>6891</v>
      </c>
      <c r="N1745" s="308"/>
      <c r="O1745" s="312" t="s">
        <v>6896</v>
      </c>
      <c r="P1745" s="308" t="s">
        <v>766</v>
      </c>
      <c r="Q1745" s="308"/>
      <c r="R1745" s="308"/>
      <c r="S1745" s="308" t="s">
        <v>81</v>
      </c>
      <c r="T1745" s="308" t="s">
        <v>34264</v>
      </c>
      <c r="U1745" s="308"/>
      <c r="V1745" s="312"/>
    </row>
    <row r="1746">
      <c r="A1746" s="308">
        <v>1745.0</v>
      </c>
      <c r="B1746" s="308"/>
      <c r="C1746" s="308" t="s">
        <v>6897</v>
      </c>
      <c r="D1746" s="308">
        <f>IFERROR(__xludf.DUMMYFUNCTION("SPLIT(C1746,""-"")"),1765.0)</f>
        <v>1765</v>
      </c>
      <c r="E1746" s="308" t="str">
        <f>IFERROR(__xludf.DUMMYFUNCTION("""COMPUTED_VALUE""")," K")</f>
        <v> K</v>
      </c>
      <c r="F1746" s="309" t="s">
        <v>34</v>
      </c>
      <c r="G1746" s="308" t="s">
        <v>6898</v>
      </c>
      <c r="H1746" s="308" t="s">
        <v>36266</v>
      </c>
      <c r="I1746" s="327">
        <v>41030.0</v>
      </c>
      <c r="J1746" s="319"/>
      <c r="K1746" s="311">
        <v>5.0</v>
      </c>
      <c r="L1746" s="311">
        <v>2012.0</v>
      </c>
      <c r="M1746" s="308" t="s">
        <v>6900</v>
      </c>
      <c r="N1746" s="308"/>
      <c r="O1746" s="312" t="s">
        <v>6901</v>
      </c>
      <c r="P1746" s="308" t="s">
        <v>6902</v>
      </c>
      <c r="Q1746" s="308"/>
      <c r="R1746" s="308"/>
      <c r="S1746" s="308" t="s">
        <v>81</v>
      </c>
      <c r="T1746" s="308" t="s">
        <v>34264</v>
      </c>
      <c r="U1746" s="308"/>
      <c r="V1746" s="312"/>
    </row>
    <row r="1747">
      <c r="A1747" s="308">
        <v>1746.0</v>
      </c>
      <c r="B1747" s="308"/>
      <c r="C1747" s="308" t="s">
        <v>6903</v>
      </c>
      <c r="D1747" s="308">
        <f>IFERROR(__xludf.DUMMYFUNCTION("SPLIT(C1747,""-"")"),1766.0)</f>
        <v>1766</v>
      </c>
      <c r="E1747" s="308" t="str">
        <f>IFERROR(__xludf.DUMMYFUNCTION("""COMPUTED_VALUE""")," K")</f>
        <v> K</v>
      </c>
      <c r="F1747" s="309" t="s">
        <v>34</v>
      </c>
      <c r="G1747" s="308" t="s">
        <v>6904</v>
      </c>
      <c r="H1747" s="308" t="s">
        <v>6905</v>
      </c>
      <c r="I1747" s="316">
        <v>2011.0</v>
      </c>
      <c r="J1747" s="319"/>
      <c r="K1747" s="308"/>
      <c r="L1747" s="311">
        <v>2011.0</v>
      </c>
      <c r="M1747" s="308" t="s">
        <v>6906</v>
      </c>
      <c r="N1747" s="308"/>
      <c r="O1747" s="312" t="s">
        <v>635</v>
      </c>
      <c r="P1747" s="308" t="s">
        <v>6907</v>
      </c>
      <c r="Q1747" s="308"/>
      <c r="R1747" s="308"/>
      <c r="S1747" s="308" t="s">
        <v>81</v>
      </c>
      <c r="T1747" s="308" t="s">
        <v>34264</v>
      </c>
      <c r="U1747" s="308"/>
      <c r="V1747" s="312"/>
    </row>
    <row r="1748">
      <c r="A1748" s="308">
        <v>1747.0</v>
      </c>
      <c r="B1748" s="308"/>
      <c r="C1748" s="308" t="s">
        <v>6908</v>
      </c>
      <c r="D1748" s="308">
        <f>IFERROR(__xludf.DUMMYFUNCTION("SPLIT(C1748,""-"")"),1767.0)</f>
        <v>1767</v>
      </c>
      <c r="E1748" s="308" t="str">
        <f>IFERROR(__xludf.DUMMYFUNCTION("""COMPUTED_VALUE""")," K")</f>
        <v> K</v>
      </c>
      <c r="F1748" s="309" t="s">
        <v>34</v>
      </c>
      <c r="G1748" s="308" t="s">
        <v>6909</v>
      </c>
      <c r="H1748" s="308" t="s">
        <v>6910</v>
      </c>
      <c r="I1748" s="316" t="s">
        <v>6911</v>
      </c>
      <c r="J1748" s="319"/>
      <c r="K1748" s="308"/>
      <c r="L1748" s="311" t="s">
        <v>79</v>
      </c>
      <c r="M1748" s="308" t="s">
        <v>6912</v>
      </c>
      <c r="N1748" s="308"/>
      <c r="O1748" s="312" t="s">
        <v>6913</v>
      </c>
      <c r="P1748" s="308" t="s">
        <v>1872</v>
      </c>
      <c r="Q1748" s="308"/>
      <c r="R1748" s="308" t="s">
        <v>2743</v>
      </c>
      <c r="S1748" s="315" t="s">
        <v>100</v>
      </c>
      <c r="T1748" s="311" t="s">
        <v>34208</v>
      </c>
      <c r="U1748" s="308" t="s">
        <v>530</v>
      </c>
      <c r="V1748" s="312"/>
    </row>
    <row r="1749">
      <c r="A1749" s="308">
        <v>1748.0</v>
      </c>
      <c r="B1749" s="308"/>
      <c r="C1749" s="308" t="s">
        <v>6914</v>
      </c>
      <c r="D1749" s="308">
        <f>IFERROR(__xludf.DUMMYFUNCTION("SPLIT(C1749,""-"")"),1768.0)</f>
        <v>1768</v>
      </c>
      <c r="E1749" s="308" t="str">
        <f>IFERROR(__xludf.DUMMYFUNCTION("""COMPUTED_VALUE""")," K")</f>
        <v> K</v>
      </c>
      <c r="F1749" s="309" t="s">
        <v>34</v>
      </c>
      <c r="G1749" s="308" t="s">
        <v>6915</v>
      </c>
      <c r="H1749" s="308" t="s">
        <v>6916</v>
      </c>
      <c r="I1749" s="314">
        <v>41592.0</v>
      </c>
      <c r="J1749" s="319">
        <f>IFERROR(__xludf.DUMMYFUNCTION("SPLIT(I1749,""/"")"),14.0)</f>
        <v>14</v>
      </c>
      <c r="K1749" s="308">
        <f>IFERROR(__xludf.DUMMYFUNCTION("""COMPUTED_VALUE"""),11.0)</f>
        <v>11</v>
      </c>
      <c r="L1749" s="308">
        <f>IFERROR(__xludf.DUMMYFUNCTION("""COMPUTED_VALUE"""),2013.0)</f>
        <v>2013</v>
      </c>
      <c r="M1749" s="308" t="s">
        <v>6917</v>
      </c>
      <c r="N1749" s="308"/>
      <c r="O1749" s="312" t="s">
        <v>6918</v>
      </c>
      <c r="P1749" s="308" t="s">
        <v>6919</v>
      </c>
      <c r="Q1749" s="308"/>
      <c r="R1749" s="308"/>
      <c r="S1749" s="308" t="s">
        <v>81</v>
      </c>
      <c r="T1749" s="308" t="s">
        <v>34264</v>
      </c>
      <c r="U1749" s="308"/>
      <c r="V1749" s="312"/>
    </row>
    <row r="1750">
      <c r="A1750" s="308">
        <v>1749.0</v>
      </c>
      <c r="B1750" s="308"/>
      <c r="C1750" s="308" t="s">
        <v>6920</v>
      </c>
      <c r="D1750" s="308">
        <f>IFERROR(__xludf.DUMMYFUNCTION("SPLIT(C1750,""-"")"),1769.0)</f>
        <v>1769</v>
      </c>
      <c r="E1750" s="308" t="str">
        <f>IFERROR(__xludf.DUMMYFUNCTION("""COMPUTED_VALUE""")," K")</f>
        <v> K</v>
      </c>
      <c r="F1750" s="309" t="s">
        <v>34</v>
      </c>
      <c r="G1750" s="308" t="s">
        <v>6921</v>
      </c>
      <c r="H1750" s="308" t="s">
        <v>6922</v>
      </c>
      <c r="I1750" s="314">
        <v>41321.0</v>
      </c>
      <c r="J1750" s="319">
        <f>IFERROR(__xludf.DUMMYFUNCTION("SPLIT(I1750,""/"")"),16.0)</f>
        <v>16</v>
      </c>
      <c r="K1750" s="308">
        <f>IFERROR(__xludf.DUMMYFUNCTION("""COMPUTED_VALUE"""),2.0)</f>
        <v>2</v>
      </c>
      <c r="L1750" s="308">
        <f>IFERROR(__xludf.DUMMYFUNCTION("""COMPUTED_VALUE"""),2013.0)</f>
        <v>2013</v>
      </c>
      <c r="M1750" s="308" t="s">
        <v>6923</v>
      </c>
      <c r="N1750" s="308"/>
      <c r="O1750" s="312" t="s">
        <v>6924</v>
      </c>
      <c r="P1750" s="308" t="s">
        <v>6925</v>
      </c>
      <c r="Q1750" s="308"/>
      <c r="R1750" s="308"/>
      <c r="S1750" s="308" t="s">
        <v>81</v>
      </c>
      <c r="T1750" s="308" t="s">
        <v>75</v>
      </c>
      <c r="U1750" s="308"/>
      <c r="V1750" s="312"/>
    </row>
    <row r="1751">
      <c r="A1751" s="308">
        <v>1750.0</v>
      </c>
      <c r="B1751" s="308"/>
      <c r="C1751" s="308" t="s">
        <v>6926</v>
      </c>
      <c r="D1751" s="308">
        <f>IFERROR(__xludf.DUMMYFUNCTION("SPLIT(C1751,""-"")"),1770.0)</f>
        <v>1770</v>
      </c>
      <c r="E1751" s="308" t="str">
        <f>IFERROR(__xludf.DUMMYFUNCTION("""COMPUTED_VALUE""")," K")</f>
        <v> K</v>
      </c>
      <c r="F1751" s="309" t="s">
        <v>34</v>
      </c>
      <c r="G1751" s="308" t="s">
        <v>6921</v>
      </c>
      <c r="H1751" s="308" t="s">
        <v>6927</v>
      </c>
      <c r="I1751" s="314">
        <v>41321.0</v>
      </c>
      <c r="J1751" s="319">
        <f>IFERROR(__xludf.DUMMYFUNCTION("SPLIT(I1751,""/"")"),16.0)</f>
        <v>16</v>
      </c>
      <c r="K1751" s="308">
        <f>IFERROR(__xludf.DUMMYFUNCTION("""COMPUTED_VALUE"""),2.0)</f>
        <v>2</v>
      </c>
      <c r="L1751" s="308">
        <f>IFERROR(__xludf.DUMMYFUNCTION("""COMPUTED_VALUE"""),2013.0)</f>
        <v>2013</v>
      </c>
      <c r="M1751" s="308" t="s">
        <v>6923</v>
      </c>
      <c r="N1751" s="308"/>
      <c r="O1751" s="312" t="s">
        <v>6924</v>
      </c>
      <c r="P1751" s="308" t="s">
        <v>6925</v>
      </c>
      <c r="Q1751" s="308"/>
      <c r="R1751" s="308"/>
      <c r="S1751" s="308" t="s">
        <v>81</v>
      </c>
      <c r="T1751" s="308" t="s">
        <v>75</v>
      </c>
      <c r="U1751" s="308"/>
      <c r="V1751" s="312"/>
    </row>
    <row r="1752">
      <c r="A1752" s="308">
        <v>1751.0</v>
      </c>
      <c r="B1752" s="308"/>
      <c r="C1752" s="308" t="s">
        <v>6928</v>
      </c>
      <c r="D1752" s="308">
        <f>IFERROR(__xludf.DUMMYFUNCTION("SPLIT(C1752,""-"")"),1771.0)</f>
        <v>1771</v>
      </c>
      <c r="E1752" s="308" t="str">
        <f>IFERROR(__xludf.DUMMYFUNCTION("""COMPUTED_VALUE""")," K")</f>
        <v> K</v>
      </c>
      <c r="F1752" s="309" t="s">
        <v>34</v>
      </c>
      <c r="G1752" s="308" t="s">
        <v>6921</v>
      </c>
      <c r="H1752" s="308" t="s">
        <v>6929</v>
      </c>
      <c r="I1752" s="314">
        <v>41321.0</v>
      </c>
      <c r="J1752" s="319">
        <f>IFERROR(__xludf.DUMMYFUNCTION("SPLIT(I1752,""/"")"),16.0)</f>
        <v>16</v>
      </c>
      <c r="K1752" s="308">
        <f>IFERROR(__xludf.DUMMYFUNCTION("""COMPUTED_VALUE"""),2.0)</f>
        <v>2</v>
      </c>
      <c r="L1752" s="308">
        <f>IFERROR(__xludf.DUMMYFUNCTION("""COMPUTED_VALUE"""),2013.0)</f>
        <v>2013</v>
      </c>
      <c r="M1752" s="308" t="s">
        <v>6923</v>
      </c>
      <c r="N1752" s="308"/>
      <c r="O1752" s="312" t="s">
        <v>6924</v>
      </c>
      <c r="P1752" s="308" t="s">
        <v>6925</v>
      </c>
      <c r="Q1752" s="308"/>
      <c r="R1752" s="308"/>
      <c r="S1752" s="308" t="s">
        <v>81</v>
      </c>
      <c r="T1752" s="308" t="s">
        <v>75</v>
      </c>
      <c r="U1752" s="308"/>
      <c r="V1752" s="312"/>
    </row>
    <row r="1753">
      <c r="A1753" s="308">
        <v>1752.0</v>
      </c>
      <c r="B1753" s="308"/>
      <c r="C1753" s="308" t="s">
        <v>6930</v>
      </c>
      <c r="D1753" s="308">
        <f>IFERROR(__xludf.DUMMYFUNCTION("SPLIT(C1753,""-"")"),1772.0)</f>
        <v>1772</v>
      </c>
      <c r="E1753" s="308" t="str">
        <f>IFERROR(__xludf.DUMMYFUNCTION("""COMPUTED_VALUE""")," K")</f>
        <v> K</v>
      </c>
      <c r="F1753" s="309" t="s">
        <v>34</v>
      </c>
      <c r="G1753" s="308" t="s">
        <v>6921</v>
      </c>
      <c r="H1753" s="308" t="s">
        <v>6931</v>
      </c>
      <c r="I1753" s="314">
        <v>41321.0</v>
      </c>
      <c r="J1753" s="319">
        <f>IFERROR(__xludf.DUMMYFUNCTION("SPLIT(I1753,""/"")"),16.0)</f>
        <v>16</v>
      </c>
      <c r="K1753" s="308">
        <f>IFERROR(__xludf.DUMMYFUNCTION("""COMPUTED_VALUE"""),2.0)</f>
        <v>2</v>
      </c>
      <c r="L1753" s="308">
        <f>IFERROR(__xludf.DUMMYFUNCTION("""COMPUTED_VALUE"""),2013.0)</f>
        <v>2013</v>
      </c>
      <c r="M1753" s="308" t="s">
        <v>6923</v>
      </c>
      <c r="N1753" s="308"/>
      <c r="O1753" s="312" t="s">
        <v>6924</v>
      </c>
      <c r="P1753" s="308" t="s">
        <v>6925</v>
      </c>
      <c r="Q1753" s="308"/>
      <c r="R1753" s="308"/>
      <c r="S1753" s="308" t="s">
        <v>81</v>
      </c>
      <c r="T1753" s="308" t="s">
        <v>75</v>
      </c>
      <c r="U1753" s="308"/>
      <c r="V1753" s="312"/>
    </row>
    <row r="1754">
      <c r="A1754" s="308">
        <v>1753.0</v>
      </c>
      <c r="B1754" s="308"/>
      <c r="C1754" s="308" t="s">
        <v>6932</v>
      </c>
      <c r="D1754" s="308">
        <f>IFERROR(__xludf.DUMMYFUNCTION("SPLIT(C1754,""-"")"),1773.0)</f>
        <v>1773</v>
      </c>
      <c r="E1754" s="308" t="str">
        <f>IFERROR(__xludf.DUMMYFUNCTION("""COMPUTED_VALUE""")," K")</f>
        <v> K</v>
      </c>
      <c r="F1754" s="309" t="s">
        <v>34</v>
      </c>
      <c r="G1754" s="308" t="s">
        <v>6921</v>
      </c>
      <c r="H1754" s="308" t="s">
        <v>6933</v>
      </c>
      <c r="I1754" s="314">
        <v>41321.0</v>
      </c>
      <c r="J1754" s="319">
        <f>IFERROR(__xludf.DUMMYFUNCTION("SPLIT(I1754,""/"")"),16.0)</f>
        <v>16</v>
      </c>
      <c r="K1754" s="308">
        <f>IFERROR(__xludf.DUMMYFUNCTION("""COMPUTED_VALUE"""),2.0)</f>
        <v>2</v>
      </c>
      <c r="L1754" s="308">
        <f>IFERROR(__xludf.DUMMYFUNCTION("""COMPUTED_VALUE"""),2013.0)</f>
        <v>2013</v>
      </c>
      <c r="M1754" s="308" t="s">
        <v>6923</v>
      </c>
      <c r="N1754" s="308"/>
      <c r="O1754" s="312" t="s">
        <v>6924</v>
      </c>
      <c r="P1754" s="308" t="s">
        <v>6925</v>
      </c>
      <c r="Q1754" s="308"/>
      <c r="R1754" s="308"/>
      <c r="S1754" s="308" t="s">
        <v>81</v>
      </c>
      <c r="T1754" s="308" t="s">
        <v>75</v>
      </c>
      <c r="U1754" s="308"/>
      <c r="V1754" s="312"/>
    </row>
    <row r="1755">
      <c r="A1755" s="308">
        <v>1754.0</v>
      </c>
      <c r="B1755" s="308"/>
      <c r="C1755" s="308" t="s">
        <v>6934</v>
      </c>
      <c r="D1755" s="308">
        <f>IFERROR(__xludf.DUMMYFUNCTION("SPLIT(C1755,""-"")"),1774.0)</f>
        <v>1774</v>
      </c>
      <c r="E1755" s="308" t="str">
        <f>IFERROR(__xludf.DUMMYFUNCTION("""COMPUTED_VALUE""")," K")</f>
        <v> K</v>
      </c>
      <c r="F1755" s="309" t="s">
        <v>34</v>
      </c>
      <c r="G1755" s="308" t="s">
        <v>6921</v>
      </c>
      <c r="H1755" s="308" t="s">
        <v>6935</v>
      </c>
      <c r="I1755" s="314">
        <v>41321.0</v>
      </c>
      <c r="J1755" s="319">
        <f>IFERROR(__xludf.DUMMYFUNCTION("SPLIT(I1755,""/"")"),16.0)</f>
        <v>16</v>
      </c>
      <c r="K1755" s="308">
        <f>IFERROR(__xludf.DUMMYFUNCTION("""COMPUTED_VALUE"""),2.0)</f>
        <v>2</v>
      </c>
      <c r="L1755" s="308">
        <f>IFERROR(__xludf.DUMMYFUNCTION("""COMPUTED_VALUE"""),2013.0)</f>
        <v>2013</v>
      </c>
      <c r="M1755" s="308" t="s">
        <v>6923</v>
      </c>
      <c r="N1755" s="308"/>
      <c r="O1755" s="312" t="s">
        <v>6924</v>
      </c>
      <c r="P1755" s="308" t="s">
        <v>6925</v>
      </c>
      <c r="Q1755" s="308"/>
      <c r="R1755" s="308"/>
      <c r="S1755" s="308" t="s">
        <v>81</v>
      </c>
      <c r="T1755" s="308" t="s">
        <v>75</v>
      </c>
      <c r="U1755" s="308"/>
      <c r="V1755" s="312"/>
    </row>
    <row r="1756">
      <c r="A1756" s="308">
        <v>1755.0</v>
      </c>
      <c r="B1756" s="308"/>
      <c r="C1756" s="308" t="s">
        <v>6936</v>
      </c>
      <c r="D1756" s="308">
        <f>IFERROR(__xludf.DUMMYFUNCTION("SPLIT(C1756,""-"")"),1775.0)</f>
        <v>1775</v>
      </c>
      <c r="E1756" s="308" t="str">
        <f>IFERROR(__xludf.DUMMYFUNCTION("""COMPUTED_VALUE""")," K")</f>
        <v> K</v>
      </c>
      <c r="F1756" s="309" t="s">
        <v>34</v>
      </c>
      <c r="G1756" s="308" t="s">
        <v>6937</v>
      </c>
      <c r="H1756" s="308" t="s">
        <v>6938</v>
      </c>
      <c r="I1756" s="314">
        <v>41058.0</v>
      </c>
      <c r="J1756" s="319">
        <f>IFERROR(__xludf.DUMMYFUNCTION("SPLIT(I1756,""/"")"),29.0)</f>
        <v>29</v>
      </c>
      <c r="K1756" s="308">
        <f>IFERROR(__xludf.DUMMYFUNCTION("""COMPUTED_VALUE"""),5.0)</f>
        <v>5</v>
      </c>
      <c r="L1756" s="308">
        <f>IFERROR(__xludf.DUMMYFUNCTION("""COMPUTED_VALUE"""),2012.0)</f>
        <v>2012</v>
      </c>
      <c r="M1756" s="308" t="s">
        <v>6939</v>
      </c>
      <c r="N1756" s="308"/>
      <c r="O1756" s="312" t="s">
        <v>6940</v>
      </c>
      <c r="P1756" s="308" t="s">
        <v>36267</v>
      </c>
      <c r="Q1756" s="308"/>
      <c r="R1756" s="308"/>
      <c r="S1756" s="308" t="s">
        <v>81</v>
      </c>
      <c r="T1756" s="308" t="s">
        <v>34264</v>
      </c>
      <c r="U1756" s="308"/>
      <c r="V1756" s="312"/>
    </row>
    <row r="1757">
      <c r="A1757" s="308">
        <v>1756.0</v>
      </c>
      <c r="B1757" s="308"/>
      <c r="C1757" s="308" t="s">
        <v>6942</v>
      </c>
      <c r="D1757" s="308">
        <f>IFERROR(__xludf.DUMMYFUNCTION("SPLIT(C1757,""-"")"),1776.0)</f>
        <v>1776</v>
      </c>
      <c r="E1757" s="308" t="str">
        <f>IFERROR(__xludf.DUMMYFUNCTION("""COMPUTED_VALUE""")," P")</f>
        <v> P</v>
      </c>
      <c r="F1757" s="312" t="s">
        <v>37</v>
      </c>
      <c r="G1757" s="308" t="s">
        <v>6943</v>
      </c>
      <c r="H1757" s="308" t="s">
        <v>6944</v>
      </c>
      <c r="I1757" s="314">
        <v>41176.0</v>
      </c>
      <c r="J1757" s="319">
        <f>IFERROR(__xludf.DUMMYFUNCTION("SPLIT(I1757,""/"")"),24.0)</f>
        <v>24</v>
      </c>
      <c r="K1757" s="308">
        <f>IFERROR(__xludf.DUMMYFUNCTION("""COMPUTED_VALUE"""),9.0)</f>
        <v>9</v>
      </c>
      <c r="L1757" s="308">
        <f>IFERROR(__xludf.DUMMYFUNCTION("""COMPUTED_VALUE"""),2012.0)</f>
        <v>2012</v>
      </c>
      <c r="M1757" s="308" t="s">
        <v>6945</v>
      </c>
      <c r="N1757" s="308"/>
      <c r="O1757" s="312" t="s">
        <v>6946</v>
      </c>
      <c r="P1757" s="308" t="s">
        <v>6947</v>
      </c>
      <c r="Q1757" s="308"/>
      <c r="R1757" s="308"/>
      <c r="S1757" s="308" t="s">
        <v>81</v>
      </c>
      <c r="T1757" s="311" t="s">
        <v>75</v>
      </c>
      <c r="U1757" s="308"/>
      <c r="V1757" s="312"/>
    </row>
    <row r="1758">
      <c r="A1758" s="308">
        <v>1757.0</v>
      </c>
      <c r="B1758" s="308"/>
      <c r="C1758" s="308" t="s">
        <v>6948</v>
      </c>
      <c r="D1758" s="308">
        <f>IFERROR(__xludf.DUMMYFUNCTION("SPLIT(C1758,""-"")"),1777.0)</f>
        <v>1777</v>
      </c>
      <c r="E1758" s="308" t="str">
        <f>IFERROR(__xludf.DUMMYFUNCTION("""COMPUTED_VALUE""")," K")</f>
        <v> K</v>
      </c>
      <c r="F1758" s="309" t="s">
        <v>34</v>
      </c>
      <c r="G1758" s="308" t="s">
        <v>6949</v>
      </c>
      <c r="H1758" s="308" t="s">
        <v>36268</v>
      </c>
      <c r="I1758" s="316">
        <v>2011.0</v>
      </c>
      <c r="J1758" s="319"/>
      <c r="K1758" s="308"/>
      <c r="L1758" s="311">
        <v>2011.0</v>
      </c>
      <c r="M1758" s="308" t="s">
        <v>6951</v>
      </c>
      <c r="N1758" s="308"/>
      <c r="O1758" s="312" t="s">
        <v>6952</v>
      </c>
      <c r="P1758" s="308" t="s">
        <v>6953</v>
      </c>
      <c r="Q1758" s="308"/>
      <c r="R1758" s="308"/>
      <c r="S1758" s="308" t="s">
        <v>81</v>
      </c>
      <c r="T1758" s="308" t="s">
        <v>34264</v>
      </c>
      <c r="U1758" s="308"/>
      <c r="V1758" s="312"/>
    </row>
    <row r="1759">
      <c r="A1759" s="308">
        <v>1758.0</v>
      </c>
      <c r="B1759" s="308"/>
      <c r="C1759" s="308" t="s">
        <v>6954</v>
      </c>
      <c r="D1759" s="308">
        <f>IFERROR(__xludf.DUMMYFUNCTION("SPLIT(C1759,""-"")"),1778.0)</f>
        <v>1778</v>
      </c>
      <c r="E1759" s="308" t="str">
        <f>IFERROR(__xludf.DUMMYFUNCTION("""COMPUTED_VALUE""")," K")</f>
        <v> K</v>
      </c>
      <c r="F1759" s="309" t="s">
        <v>34</v>
      </c>
      <c r="G1759" s="308" t="s">
        <v>6955</v>
      </c>
      <c r="H1759" s="308" t="s">
        <v>6956</v>
      </c>
      <c r="I1759" s="310">
        <v>39882.0</v>
      </c>
      <c r="J1759" s="319">
        <f>IFERROR(__xludf.DUMMYFUNCTION("SPLIT(I1759,""/"")"),10.0)</f>
        <v>10</v>
      </c>
      <c r="K1759" s="308">
        <f>IFERROR(__xludf.DUMMYFUNCTION("""COMPUTED_VALUE"""),3.0)</f>
        <v>3</v>
      </c>
      <c r="L1759" s="308">
        <f>IFERROR(__xludf.DUMMYFUNCTION("""COMPUTED_VALUE"""),2009.0)</f>
        <v>2009</v>
      </c>
      <c r="M1759" s="308" t="s">
        <v>6957</v>
      </c>
      <c r="N1759" s="308"/>
      <c r="O1759" s="312" t="s">
        <v>6958</v>
      </c>
      <c r="P1759" s="308" t="s">
        <v>1872</v>
      </c>
      <c r="Q1759" s="308"/>
      <c r="R1759" s="308"/>
      <c r="S1759" s="315" t="s">
        <v>100</v>
      </c>
      <c r="T1759" s="311" t="s">
        <v>34208</v>
      </c>
      <c r="U1759" s="308" t="s">
        <v>530</v>
      </c>
      <c r="V1759" s="312"/>
    </row>
    <row r="1760">
      <c r="A1760" s="308">
        <v>1759.0</v>
      </c>
      <c r="B1760" s="308"/>
      <c r="C1760" s="308" t="s">
        <v>6959</v>
      </c>
      <c r="D1760" s="308">
        <f>IFERROR(__xludf.DUMMYFUNCTION("SPLIT(C1760,""-"")"),1779.0)</f>
        <v>1779</v>
      </c>
      <c r="E1760" s="308" t="str">
        <f>IFERROR(__xludf.DUMMYFUNCTION("""COMPUTED_VALUE""")," S")</f>
        <v> S</v>
      </c>
      <c r="F1760" s="312" t="s">
        <v>39</v>
      </c>
      <c r="G1760" s="308" t="s">
        <v>6960</v>
      </c>
      <c r="H1760" s="308" t="s">
        <v>6961</v>
      </c>
      <c r="I1760" s="322"/>
      <c r="J1760" s="319"/>
      <c r="K1760" s="308"/>
      <c r="L1760" s="311" t="s">
        <v>79</v>
      </c>
      <c r="M1760" s="308" t="s">
        <v>6962</v>
      </c>
      <c r="N1760" s="308"/>
      <c r="O1760" s="312" t="s">
        <v>6798</v>
      </c>
      <c r="P1760" s="308" t="s">
        <v>5653</v>
      </c>
      <c r="Q1760" s="308"/>
      <c r="R1760" s="308"/>
      <c r="S1760" s="315" t="s">
        <v>100</v>
      </c>
      <c r="T1760" s="311" t="s">
        <v>34208</v>
      </c>
      <c r="U1760" s="308"/>
      <c r="V1760" s="312"/>
    </row>
    <row r="1761">
      <c r="A1761" s="308">
        <v>1760.0</v>
      </c>
      <c r="B1761" s="308"/>
      <c r="C1761" s="308" t="s">
        <v>6963</v>
      </c>
      <c r="D1761" s="308">
        <f>IFERROR(__xludf.DUMMYFUNCTION("SPLIT(C1761,""-"")"),1780.0)</f>
        <v>1780</v>
      </c>
      <c r="E1761" s="308" t="str">
        <f>IFERROR(__xludf.DUMMYFUNCTION("""COMPUTED_VALUE""")," K")</f>
        <v> K</v>
      </c>
      <c r="F1761" s="309" t="s">
        <v>34</v>
      </c>
      <c r="G1761" s="308" t="s">
        <v>6964</v>
      </c>
      <c r="H1761" s="308" t="s">
        <v>6965</v>
      </c>
      <c r="I1761" s="310">
        <v>39940.0</v>
      </c>
      <c r="J1761" s="319">
        <f>IFERROR(__xludf.DUMMYFUNCTION("SPLIT(I1761,""/"")"),7.0)</f>
        <v>7</v>
      </c>
      <c r="K1761" s="308">
        <f>IFERROR(__xludf.DUMMYFUNCTION("""COMPUTED_VALUE"""),5.0)</f>
        <v>5</v>
      </c>
      <c r="L1761" s="308">
        <f>IFERROR(__xludf.DUMMYFUNCTION("""COMPUTED_VALUE"""),2009.0)</f>
        <v>2009</v>
      </c>
      <c r="M1761" s="308" t="s">
        <v>6966</v>
      </c>
      <c r="N1761" s="308"/>
      <c r="O1761" s="312" t="s">
        <v>6967</v>
      </c>
      <c r="P1761" s="308" t="s">
        <v>1872</v>
      </c>
      <c r="Q1761" s="308"/>
      <c r="R1761" s="308"/>
      <c r="S1761" s="315" t="s">
        <v>100</v>
      </c>
      <c r="T1761" s="311" t="s">
        <v>34208</v>
      </c>
      <c r="U1761" s="308" t="s">
        <v>530</v>
      </c>
      <c r="V1761" s="312"/>
    </row>
    <row r="1762">
      <c r="A1762" s="308">
        <v>1761.0</v>
      </c>
      <c r="B1762" s="308"/>
      <c r="C1762" s="308" t="s">
        <v>6968</v>
      </c>
      <c r="D1762" s="308">
        <f>IFERROR(__xludf.DUMMYFUNCTION("SPLIT(C1762,""-"")"),1781.0)</f>
        <v>1781</v>
      </c>
      <c r="E1762" s="308" t="str">
        <f>IFERROR(__xludf.DUMMYFUNCTION("""COMPUTED_VALUE""")," S")</f>
        <v> S</v>
      </c>
      <c r="F1762" s="312" t="s">
        <v>39</v>
      </c>
      <c r="G1762" s="308" t="s">
        <v>6969</v>
      </c>
      <c r="H1762" s="308" t="s">
        <v>6970</v>
      </c>
      <c r="I1762" s="314">
        <v>36594.0</v>
      </c>
      <c r="J1762" s="319">
        <f>IFERROR(__xludf.DUMMYFUNCTION("SPLIT(I1762,""/"")"),9.0)</f>
        <v>9</v>
      </c>
      <c r="K1762" s="308">
        <f>IFERROR(__xludf.DUMMYFUNCTION("""COMPUTED_VALUE"""),3.0)</f>
        <v>3</v>
      </c>
      <c r="L1762" s="308">
        <f>IFERROR(__xludf.DUMMYFUNCTION("""COMPUTED_VALUE"""),2000.0)</f>
        <v>2000</v>
      </c>
      <c r="M1762" s="308" t="s">
        <v>6971</v>
      </c>
      <c r="N1762" s="308"/>
      <c r="O1762" s="312" t="s">
        <v>6972</v>
      </c>
      <c r="P1762" s="308" t="s">
        <v>6973</v>
      </c>
      <c r="Q1762" s="308"/>
      <c r="R1762" s="308"/>
      <c r="S1762" s="308" t="s">
        <v>49</v>
      </c>
      <c r="T1762" s="308" t="s">
        <v>67</v>
      </c>
      <c r="U1762" s="308"/>
      <c r="V1762" s="312"/>
    </row>
    <row r="1763">
      <c r="A1763" s="308">
        <v>1762.0</v>
      </c>
      <c r="B1763" s="308"/>
      <c r="C1763" s="308" t="s">
        <v>6974</v>
      </c>
      <c r="D1763" s="308">
        <f>IFERROR(__xludf.DUMMYFUNCTION("SPLIT(C1763,""-"")"),1782.0)</f>
        <v>1782</v>
      </c>
      <c r="E1763" s="308" t="str">
        <f>IFERROR(__xludf.DUMMYFUNCTION("""COMPUTED_VALUE""")," K")</f>
        <v> K</v>
      </c>
      <c r="F1763" s="309" t="s">
        <v>34</v>
      </c>
      <c r="G1763" s="308" t="s">
        <v>6975</v>
      </c>
      <c r="H1763" s="308" t="s">
        <v>6976</v>
      </c>
      <c r="I1763" s="314">
        <v>41541.0</v>
      </c>
      <c r="J1763" s="319">
        <f>IFERROR(__xludf.DUMMYFUNCTION("SPLIT(I1763,""/"")"),24.0)</f>
        <v>24</v>
      </c>
      <c r="K1763" s="308">
        <f>IFERROR(__xludf.DUMMYFUNCTION("""COMPUTED_VALUE"""),9.0)</f>
        <v>9</v>
      </c>
      <c r="L1763" s="308">
        <f>IFERROR(__xludf.DUMMYFUNCTION("""COMPUTED_VALUE"""),2013.0)</f>
        <v>2013</v>
      </c>
      <c r="M1763" s="308" t="s">
        <v>6977</v>
      </c>
      <c r="N1763" s="308"/>
      <c r="O1763" s="312"/>
      <c r="P1763" s="308" t="s">
        <v>6978</v>
      </c>
      <c r="Q1763" s="308"/>
      <c r="R1763" s="308"/>
      <c r="S1763" s="308" t="s">
        <v>81</v>
      </c>
      <c r="T1763" s="311" t="s">
        <v>87</v>
      </c>
      <c r="U1763" s="308" t="s">
        <v>872</v>
      </c>
      <c r="V1763" s="312"/>
    </row>
    <row r="1764">
      <c r="A1764" s="308">
        <v>1763.0</v>
      </c>
      <c r="B1764" s="308"/>
      <c r="C1764" s="308" t="s">
        <v>6979</v>
      </c>
      <c r="D1764" s="308">
        <f>IFERROR(__xludf.DUMMYFUNCTION("SPLIT(C1764,""-"")"),1783.0)</f>
        <v>1783</v>
      </c>
      <c r="E1764" s="308" t="str">
        <f>IFERROR(__xludf.DUMMYFUNCTION("""COMPUTED_VALUE""")," K")</f>
        <v> K</v>
      </c>
      <c r="F1764" s="309" t="s">
        <v>34</v>
      </c>
      <c r="G1764" s="308" t="s">
        <v>6980</v>
      </c>
      <c r="H1764" s="308" t="s">
        <v>6981</v>
      </c>
      <c r="I1764" s="314">
        <v>40415.0</v>
      </c>
      <c r="J1764" s="319">
        <f>IFERROR(__xludf.DUMMYFUNCTION("SPLIT(I1764,""/"")"),25.0)</f>
        <v>25</v>
      </c>
      <c r="K1764" s="308">
        <f>IFERROR(__xludf.DUMMYFUNCTION("""COMPUTED_VALUE"""),8.0)</f>
        <v>8</v>
      </c>
      <c r="L1764" s="308">
        <f>IFERROR(__xludf.DUMMYFUNCTION("""COMPUTED_VALUE"""),2010.0)</f>
        <v>2010</v>
      </c>
      <c r="M1764" s="308" t="s">
        <v>6982</v>
      </c>
      <c r="N1764" s="308"/>
      <c r="O1764" s="312" t="s">
        <v>6983</v>
      </c>
      <c r="P1764" s="308" t="s">
        <v>6381</v>
      </c>
      <c r="Q1764" s="308"/>
      <c r="R1764" s="308"/>
      <c r="S1764" s="315" t="s">
        <v>100</v>
      </c>
      <c r="T1764" s="311" t="s">
        <v>34208</v>
      </c>
      <c r="U1764" s="308" t="s">
        <v>36197</v>
      </c>
      <c r="V1764" s="312"/>
    </row>
    <row r="1765">
      <c r="A1765" s="308">
        <v>1764.0</v>
      </c>
      <c r="B1765" s="308"/>
      <c r="C1765" s="308" t="s">
        <v>6984</v>
      </c>
      <c r="D1765" s="308">
        <f>IFERROR(__xludf.DUMMYFUNCTION("SPLIT(C1765,""-"")"),1784.0)</f>
        <v>1784</v>
      </c>
      <c r="E1765" s="308" t="str">
        <f>IFERROR(__xludf.DUMMYFUNCTION("""COMPUTED_VALUE""")," K")</f>
        <v> K</v>
      </c>
      <c r="F1765" s="309" t="s">
        <v>34</v>
      </c>
      <c r="G1765" s="308" t="s">
        <v>6985</v>
      </c>
      <c r="H1765" s="308" t="s">
        <v>6986</v>
      </c>
      <c r="I1765" s="314">
        <v>41443.0</v>
      </c>
      <c r="J1765" s="319">
        <f>IFERROR(__xludf.DUMMYFUNCTION("SPLIT(I1765,""/"")"),18.0)</f>
        <v>18</v>
      </c>
      <c r="K1765" s="308">
        <f>IFERROR(__xludf.DUMMYFUNCTION("""COMPUTED_VALUE"""),6.0)</f>
        <v>6</v>
      </c>
      <c r="L1765" s="308">
        <f>IFERROR(__xludf.DUMMYFUNCTION("""COMPUTED_VALUE"""),2013.0)</f>
        <v>2013</v>
      </c>
      <c r="M1765" s="308" t="s">
        <v>6987</v>
      </c>
      <c r="N1765" s="308"/>
      <c r="O1765" s="312" t="s">
        <v>6988</v>
      </c>
      <c r="P1765" s="308" t="s">
        <v>6989</v>
      </c>
      <c r="Q1765" s="308"/>
      <c r="R1765" s="308"/>
      <c r="S1765" s="308" t="s">
        <v>81</v>
      </c>
      <c r="T1765" s="308" t="s">
        <v>75</v>
      </c>
      <c r="U1765" s="308"/>
      <c r="V1765" s="312"/>
    </row>
    <row r="1766">
      <c r="A1766" s="308">
        <v>1765.0</v>
      </c>
      <c r="B1766" s="308"/>
      <c r="C1766" s="308" t="s">
        <v>6990</v>
      </c>
      <c r="D1766" s="308">
        <f>IFERROR(__xludf.DUMMYFUNCTION("SPLIT(C1766,""-"")"),1785.0)</f>
        <v>1785</v>
      </c>
      <c r="E1766" s="308" t="str">
        <f>IFERROR(__xludf.DUMMYFUNCTION("""COMPUTED_VALUE""")," K")</f>
        <v> K</v>
      </c>
      <c r="F1766" s="309" t="s">
        <v>34</v>
      </c>
      <c r="G1766" s="308" t="s">
        <v>6991</v>
      </c>
      <c r="H1766" s="308" t="s">
        <v>6992</v>
      </c>
      <c r="I1766" s="314">
        <v>40464.0</v>
      </c>
      <c r="J1766" s="319">
        <f>IFERROR(__xludf.DUMMYFUNCTION("SPLIT(I1766,""/"")"),13.0)</f>
        <v>13</v>
      </c>
      <c r="K1766" s="308">
        <f>IFERROR(__xludf.DUMMYFUNCTION("""COMPUTED_VALUE"""),10.0)</f>
        <v>10</v>
      </c>
      <c r="L1766" s="308">
        <f>IFERROR(__xludf.DUMMYFUNCTION("""COMPUTED_VALUE"""),2010.0)</f>
        <v>2010</v>
      </c>
      <c r="M1766" s="308" t="s">
        <v>6993</v>
      </c>
      <c r="N1766" s="308" t="s">
        <v>439</v>
      </c>
      <c r="O1766" s="312" t="s">
        <v>36269</v>
      </c>
      <c r="P1766" s="308" t="s">
        <v>1872</v>
      </c>
      <c r="Q1766" s="308"/>
      <c r="R1766" s="308"/>
      <c r="S1766" s="315" t="s">
        <v>100</v>
      </c>
      <c r="T1766" s="311" t="s">
        <v>34208</v>
      </c>
      <c r="U1766" s="308"/>
      <c r="V1766" s="312"/>
    </row>
    <row r="1767">
      <c r="A1767" s="308">
        <v>1766.0</v>
      </c>
      <c r="B1767" s="308"/>
      <c r="C1767" s="308" t="s">
        <v>6995</v>
      </c>
      <c r="D1767" s="308">
        <f>IFERROR(__xludf.DUMMYFUNCTION("SPLIT(C1767,""-"")"),1786.0)</f>
        <v>1786</v>
      </c>
      <c r="E1767" s="308" t="str">
        <f>IFERROR(__xludf.DUMMYFUNCTION("""COMPUTED_VALUE""")," K")</f>
        <v> K</v>
      </c>
      <c r="F1767" s="309" t="s">
        <v>34</v>
      </c>
      <c r="G1767" s="308" t="s">
        <v>6996</v>
      </c>
      <c r="H1767" s="308" t="s">
        <v>6997</v>
      </c>
      <c r="I1767" s="314">
        <v>41024.0</v>
      </c>
      <c r="J1767" s="319">
        <f>IFERROR(__xludf.DUMMYFUNCTION("SPLIT(I1767,""/"")"),25.0)</f>
        <v>25</v>
      </c>
      <c r="K1767" s="308">
        <f>IFERROR(__xludf.DUMMYFUNCTION("""COMPUTED_VALUE"""),4.0)</f>
        <v>4</v>
      </c>
      <c r="L1767" s="308">
        <f>IFERROR(__xludf.DUMMYFUNCTION("""COMPUTED_VALUE"""),2012.0)</f>
        <v>2012</v>
      </c>
      <c r="M1767" s="308" t="s">
        <v>6998</v>
      </c>
      <c r="N1767" s="308"/>
      <c r="O1767" s="312" t="s">
        <v>635</v>
      </c>
      <c r="P1767" s="308" t="s">
        <v>6999</v>
      </c>
      <c r="Q1767" s="308"/>
      <c r="R1767" s="308"/>
      <c r="S1767" s="308" t="s">
        <v>81</v>
      </c>
      <c r="T1767" s="308" t="s">
        <v>34264</v>
      </c>
      <c r="U1767" s="308"/>
      <c r="V1767" s="312"/>
    </row>
    <row r="1768">
      <c r="A1768" s="308">
        <v>1767.0</v>
      </c>
      <c r="B1768" s="308"/>
      <c r="C1768" s="308" t="s">
        <v>7000</v>
      </c>
      <c r="D1768" s="308">
        <f>IFERROR(__xludf.DUMMYFUNCTION("SPLIT(C1768,""-"")"),1787.0)</f>
        <v>1787</v>
      </c>
      <c r="E1768" s="308" t="str">
        <f>IFERROR(__xludf.DUMMYFUNCTION("""COMPUTED_VALUE""")," K")</f>
        <v> K</v>
      </c>
      <c r="F1768" s="309" t="s">
        <v>34</v>
      </c>
      <c r="G1768" s="308" t="s">
        <v>7001</v>
      </c>
      <c r="H1768" s="308" t="s">
        <v>7002</v>
      </c>
      <c r="I1768" s="310">
        <v>40767.0</v>
      </c>
      <c r="J1768" s="319">
        <f>IFERROR(__xludf.DUMMYFUNCTION("SPLIT(I1768,""/"")"),12.0)</f>
        <v>12</v>
      </c>
      <c r="K1768" s="308">
        <f>IFERROR(__xludf.DUMMYFUNCTION("""COMPUTED_VALUE"""),8.0)</f>
        <v>8</v>
      </c>
      <c r="L1768" s="308">
        <f>IFERROR(__xludf.DUMMYFUNCTION("""COMPUTED_VALUE"""),2011.0)</f>
        <v>2011</v>
      </c>
      <c r="M1768" s="308" t="s">
        <v>7003</v>
      </c>
      <c r="N1768" s="308"/>
      <c r="O1768" s="312" t="s">
        <v>7004</v>
      </c>
      <c r="P1768" s="308" t="s">
        <v>7005</v>
      </c>
      <c r="Q1768" s="308"/>
      <c r="R1768" s="308"/>
      <c r="S1768" s="308" t="s">
        <v>81</v>
      </c>
      <c r="T1768" s="308" t="s">
        <v>34264</v>
      </c>
      <c r="U1768" s="308"/>
      <c r="V1768" s="312"/>
    </row>
    <row r="1769">
      <c r="A1769" s="308">
        <v>1768.0</v>
      </c>
      <c r="B1769" s="308"/>
      <c r="C1769" s="308" t="s">
        <v>7006</v>
      </c>
      <c r="D1769" s="308">
        <f>IFERROR(__xludf.DUMMYFUNCTION("SPLIT(C1769,""-"")"),1788.0)</f>
        <v>1788</v>
      </c>
      <c r="E1769" s="308" t="str">
        <f>IFERROR(__xludf.DUMMYFUNCTION("""COMPUTED_VALUE""")," K")</f>
        <v> K</v>
      </c>
      <c r="F1769" s="309" t="s">
        <v>34</v>
      </c>
      <c r="G1769" s="308" t="s">
        <v>7007</v>
      </c>
      <c r="H1769" s="308" t="s">
        <v>7008</v>
      </c>
      <c r="I1769" s="310">
        <v>39854.0</v>
      </c>
      <c r="J1769" s="319">
        <f>IFERROR(__xludf.DUMMYFUNCTION("SPLIT(I1769,""/"")"),10.0)</f>
        <v>10</v>
      </c>
      <c r="K1769" s="308">
        <f>IFERROR(__xludf.DUMMYFUNCTION("""COMPUTED_VALUE"""),2.0)</f>
        <v>2</v>
      </c>
      <c r="L1769" s="308">
        <f>IFERROR(__xludf.DUMMYFUNCTION("""COMPUTED_VALUE"""),2009.0)</f>
        <v>2009</v>
      </c>
      <c r="M1769" s="308" t="s">
        <v>7009</v>
      </c>
      <c r="N1769" s="308"/>
      <c r="O1769" s="312" t="s">
        <v>7010</v>
      </c>
      <c r="P1769" s="308" t="s">
        <v>1872</v>
      </c>
      <c r="Q1769" s="308"/>
      <c r="R1769" s="308"/>
      <c r="S1769" s="315" t="s">
        <v>100</v>
      </c>
      <c r="T1769" s="311" t="s">
        <v>34208</v>
      </c>
      <c r="U1769" s="308"/>
      <c r="V1769" s="312"/>
    </row>
    <row r="1770">
      <c r="A1770" s="308">
        <v>1769.0</v>
      </c>
      <c r="B1770" s="308"/>
      <c r="C1770" s="308" t="s">
        <v>7011</v>
      </c>
      <c r="D1770" s="308">
        <f>IFERROR(__xludf.DUMMYFUNCTION("SPLIT(C1770,""-"")"),1789.0)</f>
        <v>1789</v>
      </c>
      <c r="E1770" s="308" t="str">
        <f>IFERROR(__xludf.DUMMYFUNCTION("""COMPUTED_VALUE""")," F")</f>
        <v> F</v>
      </c>
      <c r="F1770" s="309" t="s">
        <v>34</v>
      </c>
      <c r="G1770" s="308" t="s">
        <v>7012</v>
      </c>
      <c r="H1770" s="308" t="s">
        <v>7013</v>
      </c>
      <c r="I1770" s="314">
        <v>41360.0</v>
      </c>
      <c r="J1770" s="319">
        <f>IFERROR(__xludf.DUMMYFUNCTION("SPLIT(I1770,""/"")"),27.0)</f>
        <v>27</v>
      </c>
      <c r="K1770" s="308">
        <f>IFERROR(__xludf.DUMMYFUNCTION("""COMPUTED_VALUE"""),3.0)</f>
        <v>3</v>
      </c>
      <c r="L1770" s="308">
        <f>IFERROR(__xludf.DUMMYFUNCTION("""COMPUTED_VALUE"""),2013.0)</f>
        <v>2013</v>
      </c>
      <c r="M1770" s="308" t="s">
        <v>7014</v>
      </c>
      <c r="N1770" s="308"/>
      <c r="O1770" s="312" t="s">
        <v>635</v>
      </c>
      <c r="P1770" s="308" t="s">
        <v>7015</v>
      </c>
      <c r="Q1770" s="308"/>
      <c r="R1770" s="308"/>
      <c r="S1770" s="308" t="s">
        <v>81</v>
      </c>
      <c r="T1770" s="308" t="s">
        <v>75</v>
      </c>
      <c r="U1770" s="308"/>
      <c r="V1770" s="312"/>
    </row>
    <row r="1771">
      <c r="A1771" s="308">
        <v>1770.0</v>
      </c>
      <c r="B1771" s="308"/>
      <c r="C1771" s="308" t="s">
        <v>7016</v>
      </c>
      <c r="D1771" s="308">
        <f>IFERROR(__xludf.DUMMYFUNCTION("SPLIT(C1771,""-"")"),1790.0)</f>
        <v>1790</v>
      </c>
      <c r="E1771" s="308" t="str">
        <f>IFERROR(__xludf.DUMMYFUNCTION("""COMPUTED_VALUE""")," S")</f>
        <v> S</v>
      </c>
      <c r="F1771" s="312" t="s">
        <v>39</v>
      </c>
      <c r="G1771" s="308" t="s">
        <v>7017</v>
      </c>
      <c r="H1771" s="308" t="s">
        <v>7018</v>
      </c>
      <c r="I1771" s="314">
        <v>41389.0</v>
      </c>
      <c r="J1771" s="319">
        <f>IFERROR(__xludf.DUMMYFUNCTION("SPLIT(I1771,""/"")"),25.0)</f>
        <v>25</v>
      </c>
      <c r="K1771" s="308">
        <f>IFERROR(__xludf.DUMMYFUNCTION("""COMPUTED_VALUE"""),4.0)</f>
        <v>4</v>
      </c>
      <c r="L1771" s="308">
        <f>IFERROR(__xludf.DUMMYFUNCTION("""COMPUTED_VALUE"""),2013.0)</f>
        <v>2013</v>
      </c>
      <c r="M1771" s="308" t="s">
        <v>7019</v>
      </c>
      <c r="N1771" s="308"/>
      <c r="O1771" s="312" t="s">
        <v>635</v>
      </c>
      <c r="P1771" s="308" t="s">
        <v>5653</v>
      </c>
      <c r="Q1771" s="308"/>
      <c r="R1771" s="308"/>
      <c r="S1771" s="315" t="s">
        <v>100</v>
      </c>
      <c r="T1771" s="311" t="s">
        <v>34208</v>
      </c>
      <c r="U1771" s="308" t="s">
        <v>40</v>
      </c>
      <c r="V1771" s="312"/>
    </row>
    <row r="1772">
      <c r="A1772" s="308">
        <v>1771.0</v>
      </c>
      <c r="B1772" s="308"/>
      <c r="C1772" s="308" t="s">
        <v>7020</v>
      </c>
      <c r="D1772" s="308">
        <f>IFERROR(__xludf.DUMMYFUNCTION("SPLIT(C1772,""-"")"),1791.0)</f>
        <v>1791</v>
      </c>
      <c r="E1772" s="308" t="str">
        <f>IFERROR(__xludf.DUMMYFUNCTION("""COMPUTED_VALUE""")," K")</f>
        <v> K</v>
      </c>
      <c r="F1772" s="309" t="s">
        <v>34</v>
      </c>
      <c r="G1772" s="308" t="s">
        <v>7021</v>
      </c>
      <c r="H1772" s="308" t="s">
        <v>7022</v>
      </c>
      <c r="I1772" s="314">
        <v>41234.0</v>
      </c>
      <c r="J1772" s="319">
        <f>IFERROR(__xludf.DUMMYFUNCTION("SPLIT(I1772,""/"")"),21.0)</f>
        <v>21</v>
      </c>
      <c r="K1772" s="308">
        <f>IFERROR(__xludf.DUMMYFUNCTION("""COMPUTED_VALUE"""),11.0)</f>
        <v>11</v>
      </c>
      <c r="L1772" s="308">
        <f>IFERROR(__xludf.DUMMYFUNCTION("""COMPUTED_VALUE"""),2012.0)</f>
        <v>2012</v>
      </c>
      <c r="M1772" s="308" t="s">
        <v>7023</v>
      </c>
      <c r="N1772" s="308"/>
      <c r="O1772" s="312" t="s">
        <v>635</v>
      </c>
      <c r="P1772" s="308" t="s">
        <v>7024</v>
      </c>
      <c r="Q1772" s="308"/>
      <c r="R1772" s="308"/>
      <c r="S1772" s="308" t="s">
        <v>81</v>
      </c>
      <c r="T1772" s="308" t="s">
        <v>34264</v>
      </c>
      <c r="U1772" s="308"/>
      <c r="V1772" s="312"/>
    </row>
    <row r="1773">
      <c r="A1773" s="308">
        <v>1772.0</v>
      </c>
      <c r="B1773" s="308"/>
      <c r="C1773" s="308" t="s">
        <v>7025</v>
      </c>
      <c r="D1773" s="308">
        <f>IFERROR(__xludf.DUMMYFUNCTION("SPLIT(C1773,""-"")"),1792.0)</f>
        <v>1792</v>
      </c>
      <c r="E1773" s="308" t="str">
        <f>IFERROR(__xludf.DUMMYFUNCTION("""COMPUTED_VALUE""")," K")</f>
        <v> K</v>
      </c>
      <c r="F1773" s="309" t="s">
        <v>34</v>
      </c>
      <c r="G1773" s="308" t="s">
        <v>7021</v>
      </c>
      <c r="H1773" s="308" t="s">
        <v>7026</v>
      </c>
      <c r="I1773" s="314">
        <v>41240.0</v>
      </c>
      <c r="J1773" s="319">
        <f>IFERROR(__xludf.DUMMYFUNCTION("SPLIT(I1773,""/"")"),27.0)</f>
        <v>27</v>
      </c>
      <c r="K1773" s="308">
        <f>IFERROR(__xludf.DUMMYFUNCTION("""COMPUTED_VALUE"""),11.0)</f>
        <v>11</v>
      </c>
      <c r="L1773" s="308">
        <f>IFERROR(__xludf.DUMMYFUNCTION("""COMPUTED_VALUE"""),2012.0)</f>
        <v>2012</v>
      </c>
      <c r="M1773" s="308" t="s">
        <v>7023</v>
      </c>
      <c r="N1773" s="308"/>
      <c r="O1773" s="312" t="s">
        <v>635</v>
      </c>
      <c r="P1773" s="308" t="s">
        <v>7024</v>
      </c>
      <c r="Q1773" s="308"/>
      <c r="R1773" s="308"/>
      <c r="S1773" s="308" t="s">
        <v>81</v>
      </c>
      <c r="T1773" s="308" t="s">
        <v>34264</v>
      </c>
      <c r="U1773" s="308"/>
      <c r="V1773" s="312"/>
    </row>
    <row r="1774">
      <c r="A1774" s="308">
        <v>1773.0</v>
      </c>
      <c r="B1774" s="308"/>
      <c r="C1774" s="308" t="s">
        <v>7027</v>
      </c>
      <c r="D1774" s="308">
        <f>IFERROR(__xludf.DUMMYFUNCTION("SPLIT(C1774,""-"")"),1793.0)</f>
        <v>1793</v>
      </c>
      <c r="E1774" s="308" t="str">
        <f>IFERROR(__xludf.DUMMYFUNCTION("""COMPUTED_VALUE""")," K")</f>
        <v> K</v>
      </c>
      <c r="F1774" s="309" t="s">
        <v>34</v>
      </c>
      <c r="G1774" s="308" t="s">
        <v>7021</v>
      </c>
      <c r="H1774" s="308" t="s">
        <v>7028</v>
      </c>
      <c r="I1774" s="314">
        <v>41234.0</v>
      </c>
      <c r="J1774" s="319">
        <f>IFERROR(__xludf.DUMMYFUNCTION("SPLIT(I1774,""/"")"),21.0)</f>
        <v>21</v>
      </c>
      <c r="K1774" s="308">
        <f>IFERROR(__xludf.DUMMYFUNCTION("""COMPUTED_VALUE"""),11.0)</f>
        <v>11</v>
      </c>
      <c r="L1774" s="308">
        <f>IFERROR(__xludf.DUMMYFUNCTION("""COMPUTED_VALUE"""),2012.0)</f>
        <v>2012</v>
      </c>
      <c r="M1774" s="308" t="s">
        <v>7023</v>
      </c>
      <c r="N1774" s="308"/>
      <c r="O1774" s="312" t="s">
        <v>635</v>
      </c>
      <c r="P1774" s="308" t="s">
        <v>7024</v>
      </c>
      <c r="Q1774" s="308"/>
      <c r="R1774" s="308"/>
      <c r="S1774" s="308" t="s">
        <v>81</v>
      </c>
      <c r="T1774" s="308" t="s">
        <v>34264</v>
      </c>
      <c r="U1774" s="308"/>
      <c r="V1774" s="312"/>
    </row>
    <row r="1775">
      <c r="A1775" s="308">
        <v>1774.0</v>
      </c>
      <c r="B1775" s="308"/>
      <c r="C1775" s="308" t="s">
        <v>7029</v>
      </c>
      <c r="D1775" s="308">
        <f>IFERROR(__xludf.DUMMYFUNCTION("SPLIT(C1775,""-"")"),1794.0)</f>
        <v>1794</v>
      </c>
      <c r="E1775" s="308" t="str">
        <f>IFERROR(__xludf.DUMMYFUNCTION("""COMPUTED_VALUE""")," K")</f>
        <v> K</v>
      </c>
      <c r="F1775" s="309" t="s">
        <v>34</v>
      </c>
      <c r="G1775" s="308" t="s">
        <v>7021</v>
      </c>
      <c r="H1775" s="308" t="s">
        <v>7030</v>
      </c>
      <c r="I1775" s="314">
        <v>41234.0</v>
      </c>
      <c r="J1775" s="319">
        <f>IFERROR(__xludf.DUMMYFUNCTION("SPLIT(I1775,""/"")"),21.0)</f>
        <v>21</v>
      </c>
      <c r="K1775" s="308">
        <f>IFERROR(__xludf.DUMMYFUNCTION("""COMPUTED_VALUE"""),11.0)</f>
        <v>11</v>
      </c>
      <c r="L1775" s="308">
        <f>IFERROR(__xludf.DUMMYFUNCTION("""COMPUTED_VALUE"""),2012.0)</f>
        <v>2012</v>
      </c>
      <c r="M1775" s="308" t="s">
        <v>7023</v>
      </c>
      <c r="N1775" s="308"/>
      <c r="O1775" s="312" t="s">
        <v>635</v>
      </c>
      <c r="P1775" s="308" t="s">
        <v>7024</v>
      </c>
      <c r="Q1775" s="308"/>
      <c r="R1775" s="308"/>
      <c r="S1775" s="308" t="s">
        <v>81</v>
      </c>
      <c r="T1775" s="308" t="s">
        <v>34264</v>
      </c>
      <c r="U1775" s="308"/>
      <c r="V1775" s="312"/>
    </row>
    <row r="1776">
      <c r="A1776" s="308">
        <v>1775.0</v>
      </c>
      <c r="B1776" s="308"/>
      <c r="C1776" s="308" t="s">
        <v>7031</v>
      </c>
      <c r="D1776" s="308">
        <f>IFERROR(__xludf.DUMMYFUNCTION("SPLIT(C1776,""-"")"),1795.0)</f>
        <v>1795</v>
      </c>
      <c r="E1776" s="308" t="str">
        <f>IFERROR(__xludf.DUMMYFUNCTION("""COMPUTED_VALUE""")," K")</f>
        <v> K</v>
      </c>
      <c r="F1776" s="309" t="s">
        <v>34</v>
      </c>
      <c r="G1776" s="308" t="s">
        <v>7021</v>
      </c>
      <c r="H1776" s="308" t="s">
        <v>36270</v>
      </c>
      <c r="I1776" s="314">
        <v>41234.0</v>
      </c>
      <c r="J1776" s="319">
        <f>IFERROR(__xludf.DUMMYFUNCTION("SPLIT(I1776,""/"")"),21.0)</f>
        <v>21</v>
      </c>
      <c r="K1776" s="308">
        <f>IFERROR(__xludf.DUMMYFUNCTION("""COMPUTED_VALUE"""),11.0)</f>
        <v>11</v>
      </c>
      <c r="L1776" s="308">
        <f>IFERROR(__xludf.DUMMYFUNCTION("""COMPUTED_VALUE"""),2012.0)</f>
        <v>2012</v>
      </c>
      <c r="M1776" s="308" t="s">
        <v>7023</v>
      </c>
      <c r="N1776" s="308"/>
      <c r="O1776" s="312" t="s">
        <v>635</v>
      </c>
      <c r="P1776" s="308" t="s">
        <v>7024</v>
      </c>
      <c r="Q1776" s="308"/>
      <c r="R1776" s="308"/>
      <c r="S1776" s="308" t="s">
        <v>81</v>
      </c>
      <c r="T1776" s="308" t="s">
        <v>34264</v>
      </c>
      <c r="U1776" s="308"/>
      <c r="V1776" s="312"/>
    </row>
    <row r="1777">
      <c r="A1777" s="308">
        <v>1776.0</v>
      </c>
      <c r="B1777" s="308"/>
      <c r="C1777" s="308" t="s">
        <v>7033</v>
      </c>
      <c r="D1777" s="308">
        <f>IFERROR(__xludf.DUMMYFUNCTION("SPLIT(C1777,""-"")"),1796.0)</f>
        <v>1796</v>
      </c>
      <c r="E1777" s="308" t="str">
        <f>IFERROR(__xludf.DUMMYFUNCTION("""COMPUTED_VALUE""")," K")</f>
        <v> K</v>
      </c>
      <c r="F1777" s="309" t="s">
        <v>34</v>
      </c>
      <c r="G1777" s="308" t="s">
        <v>7021</v>
      </c>
      <c r="H1777" s="308" t="s">
        <v>7034</v>
      </c>
      <c r="I1777" s="314">
        <v>41234.0</v>
      </c>
      <c r="J1777" s="319">
        <f>IFERROR(__xludf.DUMMYFUNCTION("SPLIT(I1777,""/"")"),21.0)</f>
        <v>21</v>
      </c>
      <c r="K1777" s="308">
        <f>IFERROR(__xludf.DUMMYFUNCTION("""COMPUTED_VALUE"""),11.0)</f>
        <v>11</v>
      </c>
      <c r="L1777" s="308">
        <f>IFERROR(__xludf.DUMMYFUNCTION("""COMPUTED_VALUE"""),2012.0)</f>
        <v>2012</v>
      </c>
      <c r="M1777" s="308" t="s">
        <v>7023</v>
      </c>
      <c r="N1777" s="308"/>
      <c r="O1777" s="312" t="s">
        <v>635</v>
      </c>
      <c r="P1777" s="308" t="s">
        <v>7024</v>
      </c>
      <c r="Q1777" s="308"/>
      <c r="R1777" s="308"/>
      <c r="S1777" s="308" t="s">
        <v>81</v>
      </c>
      <c r="T1777" s="308" t="s">
        <v>34264</v>
      </c>
      <c r="U1777" s="308"/>
      <c r="V1777" s="312"/>
    </row>
    <row r="1778">
      <c r="A1778" s="308">
        <v>1777.0</v>
      </c>
      <c r="B1778" s="308"/>
      <c r="C1778" s="308" t="s">
        <v>7035</v>
      </c>
      <c r="D1778" s="308">
        <f>IFERROR(__xludf.DUMMYFUNCTION("SPLIT(C1778,""-"")"),1797.0)</f>
        <v>1797</v>
      </c>
      <c r="E1778" s="308" t="str">
        <f>IFERROR(__xludf.DUMMYFUNCTION("""COMPUTED_VALUE""")," K")</f>
        <v> K</v>
      </c>
      <c r="F1778" s="309" t="s">
        <v>34</v>
      </c>
      <c r="G1778" s="308" t="s">
        <v>7021</v>
      </c>
      <c r="H1778" s="308" t="s">
        <v>7036</v>
      </c>
      <c r="I1778" s="314">
        <v>41234.0</v>
      </c>
      <c r="J1778" s="319">
        <f>IFERROR(__xludf.DUMMYFUNCTION("SPLIT(I1778,""/"")"),21.0)</f>
        <v>21</v>
      </c>
      <c r="K1778" s="308">
        <f>IFERROR(__xludf.DUMMYFUNCTION("""COMPUTED_VALUE"""),11.0)</f>
        <v>11</v>
      </c>
      <c r="L1778" s="308">
        <f>IFERROR(__xludf.DUMMYFUNCTION("""COMPUTED_VALUE"""),2012.0)</f>
        <v>2012</v>
      </c>
      <c r="M1778" s="308" t="s">
        <v>7023</v>
      </c>
      <c r="N1778" s="308"/>
      <c r="O1778" s="312" t="s">
        <v>635</v>
      </c>
      <c r="P1778" s="308" t="s">
        <v>7024</v>
      </c>
      <c r="Q1778" s="308"/>
      <c r="R1778" s="308"/>
      <c r="S1778" s="308" t="s">
        <v>81</v>
      </c>
      <c r="T1778" s="308" t="s">
        <v>34264</v>
      </c>
      <c r="U1778" s="308"/>
      <c r="V1778" s="312"/>
    </row>
    <row r="1779">
      <c r="A1779" s="308">
        <v>1778.0</v>
      </c>
      <c r="B1779" s="308"/>
      <c r="C1779" s="308" t="s">
        <v>7037</v>
      </c>
      <c r="D1779" s="308">
        <f>IFERROR(__xludf.DUMMYFUNCTION("SPLIT(C1779,""-"")"),1798.0)</f>
        <v>1798</v>
      </c>
      <c r="E1779" s="308" t="str">
        <f>IFERROR(__xludf.DUMMYFUNCTION("""COMPUTED_VALUE""")," K")</f>
        <v> K</v>
      </c>
      <c r="F1779" s="309" t="s">
        <v>34</v>
      </c>
      <c r="G1779" s="308" t="s">
        <v>7021</v>
      </c>
      <c r="H1779" s="308" t="s">
        <v>7038</v>
      </c>
      <c r="I1779" s="314">
        <v>41234.0</v>
      </c>
      <c r="J1779" s="319">
        <f>IFERROR(__xludf.DUMMYFUNCTION("SPLIT(I1779,""/"")"),21.0)</f>
        <v>21</v>
      </c>
      <c r="K1779" s="308">
        <f>IFERROR(__xludf.DUMMYFUNCTION("""COMPUTED_VALUE"""),11.0)</f>
        <v>11</v>
      </c>
      <c r="L1779" s="308">
        <f>IFERROR(__xludf.DUMMYFUNCTION("""COMPUTED_VALUE"""),2012.0)</f>
        <v>2012</v>
      </c>
      <c r="M1779" s="308" t="s">
        <v>7023</v>
      </c>
      <c r="N1779" s="308"/>
      <c r="O1779" s="312" t="s">
        <v>635</v>
      </c>
      <c r="P1779" s="308" t="s">
        <v>7024</v>
      </c>
      <c r="Q1779" s="308"/>
      <c r="R1779" s="308"/>
      <c r="S1779" s="308" t="s">
        <v>81</v>
      </c>
      <c r="T1779" s="308" t="s">
        <v>34264</v>
      </c>
      <c r="U1779" s="308"/>
      <c r="V1779" s="312"/>
    </row>
    <row r="1780">
      <c r="A1780" s="308">
        <v>1779.0</v>
      </c>
      <c r="B1780" s="308"/>
      <c r="C1780" s="308" t="s">
        <v>7039</v>
      </c>
      <c r="D1780" s="308">
        <f>IFERROR(__xludf.DUMMYFUNCTION("SPLIT(C1780,""-"")"),1799.0)</f>
        <v>1799</v>
      </c>
      <c r="E1780" s="308" t="str">
        <f>IFERROR(__xludf.DUMMYFUNCTION("""COMPUTED_VALUE""")," K")</f>
        <v> K</v>
      </c>
      <c r="F1780" s="309" t="s">
        <v>34</v>
      </c>
      <c r="G1780" s="308" t="s">
        <v>7021</v>
      </c>
      <c r="H1780" s="308" t="s">
        <v>7040</v>
      </c>
      <c r="I1780" s="314">
        <v>41234.0</v>
      </c>
      <c r="J1780" s="319">
        <f>IFERROR(__xludf.DUMMYFUNCTION("SPLIT(I1780,""/"")"),21.0)</f>
        <v>21</v>
      </c>
      <c r="K1780" s="308">
        <f>IFERROR(__xludf.DUMMYFUNCTION("""COMPUTED_VALUE"""),11.0)</f>
        <v>11</v>
      </c>
      <c r="L1780" s="308">
        <f>IFERROR(__xludf.DUMMYFUNCTION("""COMPUTED_VALUE"""),2012.0)</f>
        <v>2012</v>
      </c>
      <c r="M1780" s="308" t="s">
        <v>7023</v>
      </c>
      <c r="N1780" s="308"/>
      <c r="O1780" s="312" t="s">
        <v>635</v>
      </c>
      <c r="P1780" s="308" t="s">
        <v>7024</v>
      </c>
      <c r="Q1780" s="308"/>
      <c r="R1780" s="308"/>
      <c r="S1780" s="308" t="s">
        <v>81</v>
      </c>
      <c r="T1780" s="308" t="s">
        <v>34264</v>
      </c>
      <c r="U1780" s="308"/>
      <c r="V1780" s="312"/>
    </row>
    <row r="1781">
      <c r="A1781" s="308">
        <v>1780.0</v>
      </c>
      <c r="B1781" s="308"/>
      <c r="C1781" s="308" t="s">
        <v>7041</v>
      </c>
      <c r="D1781" s="308">
        <f>IFERROR(__xludf.DUMMYFUNCTION("SPLIT(C1781,""-"")"),1800.0)</f>
        <v>1800</v>
      </c>
      <c r="E1781" s="308" t="str">
        <f>IFERROR(__xludf.DUMMYFUNCTION("""COMPUTED_VALUE""")," K")</f>
        <v> K</v>
      </c>
      <c r="F1781" s="309" t="s">
        <v>34</v>
      </c>
      <c r="G1781" s="308" t="s">
        <v>7021</v>
      </c>
      <c r="H1781" s="308" t="s">
        <v>7042</v>
      </c>
      <c r="I1781" s="314">
        <v>41234.0</v>
      </c>
      <c r="J1781" s="319">
        <f>IFERROR(__xludf.DUMMYFUNCTION("SPLIT(I1781,""/"")"),21.0)</f>
        <v>21</v>
      </c>
      <c r="K1781" s="308">
        <f>IFERROR(__xludf.DUMMYFUNCTION("""COMPUTED_VALUE"""),11.0)</f>
        <v>11</v>
      </c>
      <c r="L1781" s="308">
        <f>IFERROR(__xludf.DUMMYFUNCTION("""COMPUTED_VALUE"""),2012.0)</f>
        <v>2012</v>
      </c>
      <c r="M1781" s="308" t="s">
        <v>7023</v>
      </c>
      <c r="N1781" s="308"/>
      <c r="O1781" s="312" t="s">
        <v>635</v>
      </c>
      <c r="P1781" s="308" t="s">
        <v>7024</v>
      </c>
      <c r="Q1781" s="308"/>
      <c r="R1781" s="308"/>
      <c r="S1781" s="308" t="s">
        <v>81</v>
      </c>
      <c r="T1781" s="308" t="s">
        <v>34264</v>
      </c>
      <c r="U1781" s="308"/>
      <c r="V1781" s="312"/>
    </row>
    <row r="1782">
      <c r="A1782" s="308">
        <v>1781.0</v>
      </c>
      <c r="B1782" s="308"/>
      <c r="C1782" s="308" t="s">
        <v>7043</v>
      </c>
      <c r="D1782" s="308">
        <f>IFERROR(__xludf.DUMMYFUNCTION("SPLIT(C1782,""-"")"),1801.0)</f>
        <v>1801</v>
      </c>
      <c r="E1782" s="308" t="str">
        <f>IFERROR(__xludf.DUMMYFUNCTION("""COMPUTED_VALUE""")," S")</f>
        <v> S</v>
      </c>
      <c r="F1782" s="312" t="s">
        <v>39</v>
      </c>
      <c r="G1782" s="308" t="s">
        <v>7044</v>
      </c>
      <c r="H1782" s="308" t="s">
        <v>7045</v>
      </c>
      <c r="I1782" s="322"/>
      <c r="J1782" s="319"/>
      <c r="K1782" s="308"/>
      <c r="L1782" s="311" t="s">
        <v>79</v>
      </c>
      <c r="M1782" s="308" t="s">
        <v>7046</v>
      </c>
      <c r="N1782" s="308"/>
      <c r="O1782" s="312" t="s">
        <v>7047</v>
      </c>
      <c r="P1782" s="308" t="s">
        <v>7048</v>
      </c>
      <c r="Q1782" s="308"/>
      <c r="R1782" s="308"/>
      <c r="S1782" s="308" t="s">
        <v>81</v>
      </c>
      <c r="T1782" s="308" t="s">
        <v>34264</v>
      </c>
      <c r="U1782" s="308"/>
      <c r="V1782" s="312"/>
    </row>
    <row r="1783">
      <c r="A1783" s="308">
        <v>1782.0</v>
      </c>
      <c r="B1783" s="308"/>
      <c r="C1783" s="308" t="s">
        <v>7049</v>
      </c>
      <c r="D1783" s="308">
        <f>IFERROR(__xludf.DUMMYFUNCTION("SPLIT(C1783,""-"")"),1802.0)</f>
        <v>1802</v>
      </c>
      <c r="E1783" s="308" t="str">
        <f>IFERROR(__xludf.DUMMYFUNCTION("""COMPUTED_VALUE""")," K")</f>
        <v> K</v>
      </c>
      <c r="F1783" s="309" t="s">
        <v>34</v>
      </c>
      <c r="G1783" s="308" t="s">
        <v>7050</v>
      </c>
      <c r="H1783" s="308" t="s">
        <v>7051</v>
      </c>
      <c r="I1783" s="310">
        <v>41278.0</v>
      </c>
      <c r="J1783" s="319">
        <f>IFERROR(__xludf.DUMMYFUNCTION("SPLIT(I1783,""/"")"),4.0)</f>
        <v>4</v>
      </c>
      <c r="K1783" s="308">
        <f>IFERROR(__xludf.DUMMYFUNCTION("""COMPUTED_VALUE"""),1.0)</f>
        <v>1</v>
      </c>
      <c r="L1783" s="308">
        <f>IFERROR(__xludf.DUMMYFUNCTION("""COMPUTED_VALUE"""),2013.0)</f>
        <v>2013</v>
      </c>
      <c r="M1783" s="308" t="s">
        <v>7052</v>
      </c>
      <c r="N1783" s="308"/>
      <c r="O1783" s="312" t="s">
        <v>7053</v>
      </c>
      <c r="P1783" s="308" t="s">
        <v>7054</v>
      </c>
      <c r="Q1783" s="308"/>
      <c r="R1783" s="308"/>
      <c r="S1783" s="308" t="s">
        <v>49</v>
      </c>
      <c r="T1783" s="311" t="s">
        <v>55</v>
      </c>
      <c r="U1783" s="308"/>
      <c r="V1783" s="312"/>
    </row>
    <row r="1784">
      <c r="A1784" s="308">
        <v>1783.0</v>
      </c>
      <c r="B1784" s="308"/>
      <c r="C1784" s="308" t="s">
        <v>7055</v>
      </c>
      <c r="D1784" s="308">
        <f>IFERROR(__xludf.DUMMYFUNCTION("SPLIT(C1784,""-"")"),1803.0)</f>
        <v>1803</v>
      </c>
      <c r="E1784" s="308" t="str">
        <f>IFERROR(__xludf.DUMMYFUNCTION("""COMPUTED_VALUE""")," K")</f>
        <v> K</v>
      </c>
      <c r="F1784" s="309" t="s">
        <v>34</v>
      </c>
      <c r="G1784" s="308" t="s">
        <v>7056</v>
      </c>
      <c r="H1784" s="308" t="s">
        <v>7057</v>
      </c>
      <c r="I1784" s="310">
        <v>39995.0</v>
      </c>
      <c r="J1784" s="319">
        <f>IFERROR(__xludf.DUMMYFUNCTION("SPLIT(I1784,""/"")"),1.0)</f>
        <v>1</v>
      </c>
      <c r="K1784" s="308">
        <f>IFERROR(__xludf.DUMMYFUNCTION("""COMPUTED_VALUE"""),7.0)</f>
        <v>7</v>
      </c>
      <c r="L1784" s="308">
        <f>IFERROR(__xludf.DUMMYFUNCTION("""COMPUTED_VALUE"""),2009.0)</f>
        <v>2009</v>
      </c>
      <c r="M1784" s="308" t="s">
        <v>7058</v>
      </c>
      <c r="N1784" s="308"/>
      <c r="O1784" s="312" t="s">
        <v>36271</v>
      </c>
      <c r="P1784" s="308" t="s">
        <v>1872</v>
      </c>
      <c r="Q1784" s="308"/>
      <c r="R1784" s="308"/>
      <c r="S1784" s="315" t="s">
        <v>100</v>
      </c>
      <c r="T1784" s="311" t="s">
        <v>34208</v>
      </c>
      <c r="U1784" s="308" t="s">
        <v>530</v>
      </c>
      <c r="V1784" s="312"/>
    </row>
    <row r="1785">
      <c r="A1785" s="308">
        <v>1784.0</v>
      </c>
      <c r="B1785" s="308"/>
      <c r="C1785" s="308" t="s">
        <v>7060</v>
      </c>
      <c r="D1785" s="308">
        <f>IFERROR(__xludf.DUMMYFUNCTION("SPLIT(C1785,""-"")"),1804.0)</f>
        <v>1804</v>
      </c>
      <c r="E1785" s="308" t="str">
        <f>IFERROR(__xludf.DUMMYFUNCTION("""COMPUTED_VALUE"""),"K")</f>
        <v>K</v>
      </c>
      <c r="F1785" s="309" t="s">
        <v>34</v>
      </c>
      <c r="G1785" s="308" t="s">
        <v>7061</v>
      </c>
      <c r="H1785" s="308" t="s">
        <v>7062</v>
      </c>
      <c r="I1785" s="314">
        <v>40707.0</v>
      </c>
      <c r="J1785" s="319">
        <f>IFERROR(__xludf.DUMMYFUNCTION("SPLIT(I1785,""/"")"),13.0)</f>
        <v>13</v>
      </c>
      <c r="K1785" s="308">
        <f>IFERROR(__xludf.DUMMYFUNCTION("""COMPUTED_VALUE"""),6.0)</f>
        <v>6</v>
      </c>
      <c r="L1785" s="308">
        <f>IFERROR(__xludf.DUMMYFUNCTION("""COMPUTED_VALUE"""),2011.0)</f>
        <v>2011</v>
      </c>
      <c r="M1785" s="308" t="s">
        <v>36272</v>
      </c>
      <c r="N1785" s="308"/>
      <c r="O1785" s="312" t="s">
        <v>7064</v>
      </c>
      <c r="P1785" s="308" t="s">
        <v>36273</v>
      </c>
      <c r="Q1785" s="308"/>
      <c r="R1785" s="308"/>
      <c r="S1785" s="308" t="s">
        <v>81</v>
      </c>
      <c r="T1785" s="308" t="s">
        <v>34264</v>
      </c>
      <c r="U1785" s="308"/>
      <c r="V1785" s="312"/>
    </row>
    <row r="1786">
      <c r="A1786" s="308">
        <v>1785.0</v>
      </c>
      <c r="B1786" s="308"/>
      <c r="C1786" s="308" t="s">
        <v>7066</v>
      </c>
      <c r="D1786" s="308">
        <f>IFERROR(__xludf.DUMMYFUNCTION("SPLIT(C1786,""-"")"),1805.0)</f>
        <v>1805</v>
      </c>
      <c r="E1786" s="308" t="str">
        <f>IFERROR(__xludf.DUMMYFUNCTION("""COMPUTED_VALUE"""),"K")</f>
        <v>K</v>
      </c>
      <c r="F1786" s="309" t="s">
        <v>34</v>
      </c>
      <c r="G1786" s="308" t="s">
        <v>7067</v>
      </c>
      <c r="H1786" s="308" t="s">
        <v>7068</v>
      </c>
      <c r="I1786" s="310">
        <v>40026.0</v>
      </c>
      <c r="J1786" s="319">
        <f>IFERROR(__xludf.DUMMYFUNCTION("SPLIT(I1786,""/"")"),1.0)</f>
        <v>1</v>
      </c>
      <c r="K1786" s="308">
        <f>IFERROR(__xludf.DUMMYFUNCTION("""COMPUTED_VALUE"""),8.0)</f>
        <v>8</v>
      </c>
      <c r="L1786" s="308">
        <f>IFERROR(__xludf.DUMMYFUNCTION("""COMPUTED_VALUE"""),2009.0)</f>
        <v>2009</v>
      </c>
      <c r="M1786" s="308" t="s">
        <v>7069</v>
      </c>
      <c r="N1786" s="308" t="s">
        <v>439</v>
      </c>
      <c r="O1786" s="312" t="s">
        <v>36274</v>
      </c>
      <c r="P1786" s="308" t="s">
        <v>36275</v>
      </c>
      <c r="Q1786" s="308"/>
      <c r="R1786" s="308"/>
      <c r="S1786" s="315" t="s">
        <v>100</v>
      </c>
      <c r="T1786" s="311" t="s">
        <v>34208</v>
      </c>
      <c r="U1786" s="308" t="s">
        <v>2152</v>
      </c>
      <c r="V1786" s="312"/>
    </row>
    <row r="1787">
      <c r="A1787" s="308">
        <v>1786.0</v>
      </c>
      <c r="B1787" s="308"/>
      <c r="C1787" s="308" t="s">
        <v>7072</v>
      </c>
      <c r="D1787" s="308">
        <f>IFERROR(__xludf.DUMMYFUNCTION("SPLIT(C1787,""-"")"),1806.0)</f>
        <v>1806</v>
      </c>
      <c r="E1787" s="308" t="str">
        <f>IFERROR(__xludf.DUMMYFUNCTION("""COMPUTED_VALUE""")," K")</f>
        <v> K</v>
      </c>
      <c r="F1787" s="309" t="s">
        <v>34</v>
      </c>
      <c r="G1787" s="308" t="s">
        <v>7073</v>
      </c>
      <c r="H1787" s="308" t="s">
        <v>36276</v>
      </c>
      <c r="I1787" s="310">
        <v>40187.0</v>
      </c>
      <c r="J1787" s="319">
        <f>IFERROR(__xludf.DUMMYFUNCTION("SPLIT(I1787,""/"")"),9.0)</f>
        <v>9</v>
      </c>
      <c r="K1787" s="308">
        <f>IFERROR(__xludf.DUMMYFUNCTION("""COMPUTED_VALUE"""),1.0)</f>
        <v>1</v>
      </c>
      <c r="L1787" s="308">
        <f>IFERROR(__xludf.DUMMYFUNCTION("""COMPUTED_VALUE"""),2010.0)</f>
        <v>2010</v>
      </c>
      <c r="M1787" s="308" t="s">
        <v>7075</v>
      </c>
      <c r="N1787" s="308"/>
      <c r="O1787" s="312" t="s">
        <v>7076</v>
      </c>
      <c r="P1787" s="308" t="s">
        <v>36277</v>
      </c>
      <c r="Q1787" s="308"/>
      <c r="R1787" s="308"/>
      <c r="S1787" s="308" t="s">
        <v>81</v>
      </c>
      <c r="T1787" s="308" t="s">
        <v>34264</v>
      </c>
      <c r="U1787" s="308"/>
      <c r="V1787" s="312"/>
    </row>
    <row r="1788">
      <c r="A1788" s="308">
        <v>1787.0</v>
      </c>
      <c r="B1788" s="308"/>
      <c r="C1788" s="308" t="s">
        <v>7078</v>
      </c>
      <c r="D1788" s="308">
        <f>IFERROR(__xludf.DUMMYFUNCTION("SPLIT(C1788,""-"")"),1807.0)</f>
        <v>1807</v>
      </c>
      <c r="E1788" s="308" t="str">
        <f>IFERROR(__xludf.DUMMYFUNCTION("""COMPUTED_VALUE""")," K")</f>
        <v> K</v>
      </c>
      <c r="F1788" s="309" t="s">
        <v>34</v>
      </c>
      <c r="G1788" s="308" t="s">
        <v>7079</v>
      </c>
      <c r="H1788" s="308" t="s">
        <v>7080</v>
      </c>
      <c r="I1788" s="316">
        <v>2013.0</v>
      </c>
      <c r="J1788" s="319"/>
      <c r="K1788" s="308"/>
      <c r="L1788" s="311">
        <v>2013.0</v>
      </c>
      <c r="M1788" s="308" t="s">
        <v>7081</v>
      </c>
      <c r="N1788" s="308"/>
      <c r="O1788" s="312" t="s">
        <v>7082</v>
      </c>
      <c r="P1788" s="308" t="s">
        <v>7083</v>
      </c>
      <c r="Q1788" s="308"/>
      <c r="R1788" s="308"/>
      <c r="S1788" s="308" t="s">
        <v>81</v>
      </c>
      <c r="T1788" s="311" t="s">
        <v>51</v>
      </c>
      <c r="U1788" s="308"/>
      <c r="V1788" s="312"/>
    </row>
    <row r="1789">
      <c r="A1789" s="308">
        <v>1788.0</v>
      </c>
      <c r="B1789" s="308"/>
      <c r="C1789" s="308" t="s">
        <v>7084</v>
      </c>
      <c r="D1789" s="308">
        <f>IFERROR(__xludf.DUMMYFUNCTION("SPLIT(C1789,""-"")"),1808.0)</f>
        <v>1808</v>
      </c>
      <c r="E1789" s="308" t="str">
        <f>IFERROR(__xludf.DUMMYFUNCTION("""COMPUTED_VALUE""")," K")</f>
        <v> K</v>
      </c>
      <c r="F1789" s="309" t="s">
        <v>34</v>
      </c>
      <c r="G1789" s="308" t="s">
        <v>7085</v>
      </c>
      <c r="H1789" s="308" t="s">
        <v>7086</v>
      </c>
      <c r="I1789" s="314">
        <v>41292.0</v>
      </c>
      <c r="J1789" s="319">
        <f>IFERROR(__xludf.DUMMYFUNCTION("SPLIT(I1789,""/"")"),18.0)</f>
        <v>18</v>
      </c>
      <c r="K1789" s="308">
        <f>IFERROR(__xludf.DUMMYFUNCTION("""COMPUTED_VALUE"""),1.0)</f>
        <v>1</v>
      </c>
      <c r="L1789" s="308">
        <f>IFERROR(__xludf.DUMMYFUNCTION("""COMPUTED_VALUE"""),2013.0)</f>
        <v>2013</v>
      </c>
      <c r="M1789" s="308" t="s">
        <v>7087</v>
      </c>
      <c r="N1789" s="308"/>
      <c r="O1789" s="312" t="s">
        <v>7088</v>
      </c>
      <c r="P1789" s="308" t="s">
        <v>7089</v>
      </c>
      <c r="Q1789" s="308"/>
      <c r="R1789" s="308"/>
      <c r="S1789" s="308" t="s">
        <v>81</v>
      </c>
      <c r="T1789" s="308" t="s">
        <v>34264</v>
      </c>
      <c r="U1789" s="308"/>
      <c r="V1789" s="312"/>
    </row>
    <row r="1790">
      <c r="A1790" s="308">
        <v>1789.0</v>
      </c>
      <c r="B1790" s="308"/>
      <c r="C1790" s="308" t="s">
        <v>7090</v>
      </c>
      <c r="D1790" s="308">
        <f>IFERROR(__xludf.DUMMYFUNCTION("SPLIT(C1790,""-"")"),1809.0)</f>
        <v>1809</v>
      </c>
      <c r="E1790" s="308" t="str">
        <f>IFERROR(__xludf.DUMMYFUNCTION("""COMPUTED_VALUE"""),"K")</f>
        <v>K</v>
      </c>
      <c r="F1790" s="309" t="s">
        <v>34</v>
      </c>
      <c r="G1790" s="308"/>
      <c r="H1790" s="308" t="s">
        <v>7091</v>
      </c>
      <c r="I1790" s="314">
        <v>40071.0</v>
      </c>
      <c r="J1790" s="319">
        <f>IFERROR(__xludf.DUMMYFUNCTION("SPLIT(I1790,""/"")"),15.0)</f>
        <v>15</v>
      </c>
      <c r="K1790" s="308">
        <f>IFERROR(__xludf.DUMMYFUNCTION("""COMPUTED_VALUE"""),9.0)</f>
        <v>9</v>
      </c>
      <c r="L1790" s="308">
        <f>IFERROR(__xludf.DUMMYFUNCTION("""COMPUTED_VALUE"""),2009.0)</f>
        <v>2009</v>
      </c>
      <c r="M1790" s="308" t="s">
        <v>7092</v>
      </c>
      <c r="N1790" s="308" t="s">
        <v>439</v>
      </c>
      <c r="O1790" s="312" t="s">
        <v>7093</v>
      </c>
      <c r="P1790" s="308" t="s">
        <v>3575</v>
      </c>
      <c r="Q1790" s="308"/>
      <c r="R1790" s="308"/>
      <c r="S1790" s="315" t="s">
        <v>100</v>
      </c>
      <c r="T1790" s="311" t="s">
        <v>34208</v>
      </c>
      <c r="U1790" s="308" t="s">
        <v>2152</v>
      </c>
      <c r="V1790" s="312"/>
    </row>
    <row r="1791">
      <c r="A1791" s="308">
        <v>1790.0</v>
      </c>
      <c r="B1791" s="308"/>
      <c r="C1791" s="308" t="s">
        <v>7094</v>
      </c>
      <c r="D1791" s="308">
        <f>IFERROR(__xludf.DUMMYFUNCTION("SPLIT(C1791,""-"")"),1810.0)</f>
        <v>1810</v>
      </c>
      <c r="E1791" s="308" t="str">
        <f>IFERROR(__xludf.DUMMYFUNCTION("""COMPUTED_VALUE""")," B")</f>
        <v> B</v>
      </c>
      <c r="F1791" s="315" t="s">
        <v>26</v>
      </c>
      <c r="G1791" s="308"/>
      <c r="H1791" s="308" t="s">
        <v>7095</v>
      </c>
      <c r="I1791" s="310">
        <v>41376.0</v>
      </c>
      <c r="J1791" s="319">
        <f>IFERROR(__xludf.DUMMYFUNCTION("SPLIT(I1791,""/"")"),12.0)</f>
        <v>12</v>
      </c>
      <c r="K1791" s="308">
        <f>IFERROR(__xludf.DUMMYFUNCTION("""COMPUTED_VALUE"""),4.0)</f>
        <v>4</v>
      </c>
      <c r="L1791" s="308">
        <f>IFERROR(__xludf.DUMMYFUNCTION("""COMPUTED_VALUE"""),2013.0)</f>
        <v>2013</v>
      </c>
      <c r="M1791" s="308" t="s">
        <v>36278</v>
      </c>
      <c r="N1791" s="308"/>
      <c r="O1791" s="312"/>
      <c r="P1791" s="308" t="s">
        <v>7097</v>
      </c>
      <c r="Q1791" s="308"/>
      <c r="R1791" s="308"/>
      <c r="S1791" s="308" t="s">
        <v>81</v>
      </c>
      <c r="T1791" s="311" t="s">
        <v>51</v>
      </c>
      <c r="U1791" s="308"/>
      <c r="V1791" s="312"/>
    </row>
    <row r="1792">
      <c r="A1792" s="308">
        <v>1791.0</v>
      </c>
      <c r="B1792" s="308"/>
      <c r="C1792" s="308" t="s">
        <v>7098</v>
      </c>
      <c r="D1792" s="308">
        <f>IFERROR(__xludf.DUMMYFUNCTION("SPLIT(C1792,""-"")"),1811.0)</f>
        <v>1811</v>
      </c>
      <c r="E1792" s="308" t="str">
        <f>IFERROR(__xludf.DUMMYFUNCTION("""COMPUTED_VALUE""")," B")</f>
        <v> B</v>
      </c>
      <c r="F1792" s="315" t="s">
        <v>26</v>
      </c>
      <c r="G1792" s="308"/>
      <c r="H1792" s="308" t="s">
        <v>7099</v>
      </c>
      <c r="I1792" s="310">
        <v>41345.0</v>
      </c>
      <c r="J1792" s="319">
        <f>IFERROR(__xludf.DUMMYFUNCTION("SPLIT(I1792,""/"")"),12.0)</f>
        <v>12</v>
      </c>
      <c r="K1792" s="308">
        <f>IFERROR(__xludf.DUMMYFUNCTION("""COMPUTED_VALUE"""),3.0)</f>
        <v>3</v>
      </c>
      <c r="L1792" s="308">
        <f>IFERROR(__xludf.DUMMYFUNCTION("""COMPUTED_VALUE"""),2013.0)</f>
        <v>2013</v>
      </c>
      <c r="M1792" s="308" t="s">
        <v>7100</v>
      </c>
      <c r="N1792" s="308"/>
      <c r="O1792" s="312" t="s">
        <v>7101</v>
      </c>
      <c r="P1792" s="308" t="s">
        <v>841</v>
      </c>
      <c r="Q1792" s="308"/>
      <c r="R1792" s="308"/>
      <c r="S1792" s="308" t="s">
        <v>49</v>
      </c>
      <c r="T1792" s="311" t="s">
        <v>77</v>
      </c>
      <c r="U1792" s="308"/>
      <c r="V1792" s="312"/>
    </row>
    <row r="1793">
      <c r="A1793" s="308">
        <v>1792.0</v>
      </c>
      <c r="B1793" s="308"/>
      <c r="C1793" s="308" t="s">
        <v>7102</v>
      </c>
      <c r="D1793" s="308">
        <f>IFERROR(__xludf.DUMMYFUNCTION("SPLIT(C1793,""-"")"),1812.0)</f>
        <v>1812</v>
      </c>
      <c r="E1793" s="308" t="str">
        <f>IFERROR(__xludf.DUMMYFUNCTION("""COMPUTED_VALUE""")," K")</f>
        <v> K</v>
      </c>
      <c r="F1793" s="309" t="s">
        <v>34</v>
      </c>
      <c r="G1793" s="308"/>
      <c r="H1793" s="308" t="s">
        <v>7103</v>
      </c>
      <c r="I1793" s="314">
        <v>40105.0</v>
      </c>
      <c r="J1793" s="319">
        <f>IFERROR(__xludf.DUMMYFUNCTION("SPLIT(I1793,""/"")"),19.0)</f>
        <v>19</v>
      </c>
      <c r="K1793" s="308">
        <f>IFERROR(__xludf.DUMMYFUNCTION("""COMPUTED_VALUE"""),10.0)</f>
        <v>10</v>
      </c>
      <c r="L1793" s="308">
        <f>IFERROR(__xludf.DUMMYFUNCTION("""COMPUTED_VALUE"""),2009.0)</f>
        <v>2009</v>
      </c>
      <c r="M1793" s="308" t="s">
        <v>7104</v>
      </c>
      <c r="N1793" s="308"/>
      <c r="O1793" s="312" t="s">
        <v>7105</v>
      </c>
      <c r="P1793" s="308" t="s">
        <v>2872</v>
      </c>
      <c r="Q1793" s="308"/>
      <c r="R1793" s="308"/>
      <c r="S1793" s="315" t="s">
        <v>100</v>
      </c>
      <c r="T1793" s="311" t="s">
        <v>34208</v>
      </c>
      <c r="U1793" s="308" t="s">
        <v>125</v>
      </c>
      <c r="V1793" s="312"/>
    </row>
    <row r="1794">
      <c r="A1794" s="308">
        <v>1793.0</v>
      </c>
      <c r="B1794" s="308"/>
      <c r="C1794" s="308" t="s">
        <v>7106</v>
      </c>
      <c r="D1794" s="308">
        <f>IFERROR(__xludf.DUMMYFUNCTION("SPLIT(C1794,""-"")"),1813.0)</f>
        <v>1813</v>
      </c>
      <c r="E1794" s="308" t="str">
        <f>IFERROR(__xludf.DUMMYFUNCTION("""COMPUTED_VALUE""")," F")</f>
        <v> F</v>
      </c>
      <c r="F1794" s="309" t="s">
        <v>34</v>
      </c>
      <c r="G1794" s="308"/>
      <c r="H1794" s="308" t="s">
        <v>7107</v>
      </c>
      <c r="I1794" s="316">
        <v>2012.0</v>
      </c>
      <c r="J1794" s="319"/>
      <c r="K1794" s="308"/>
      <c r="L1794" s="311">
        <v>2012.0</v>
      </c>
      <c r="M1794" s="308" t="s">
        <v>36279</v>
      </c>
      <c r="N1794" s="308"/>
      <c r="O1794" s="312" t="s">
        <v>635</v>
      </c>
      <c r="P1794" s="308" t="s">
        <v>36280</v>
      </c>
      <c r="Q1794" s="308"/>
      <c r="R1794" s="308"/>
      <c r="S1794" s="308" t="s">
        <v>81</v>
      </c>
      <c r="T1794" s="308" t="s">
        <v>34264</v>
      </c>
      <c r="U1794" s="308"/>
      <c r="V1794" s="312"/>
    </row>
    <row r="1795">
      <c r="A1795" s="308">
        <v>1794.0</v>
      </c>
      <c r="B1795" s="308"/>
      <c r="C1795" s="308" t="s">
        <v>7110</v>
      </c>
      <c r="D1795" s="308">
        <f>IFERROR(__xludf.DUMMYFUNCTION("SPLIT(C1795,""-"")"),1814.0)</f>
        <v>1814</v>
      </c>
      <c r="E1795" s="308" t="str">
        <f>IFERROR(__xludf.DUMMYFUNCTION("""COMPUTED_VALUE""")," F")</f>
        <v> F</v>
      </c>
      <c r="F1795" s="309" t="s">
        <v>34</v>
      </c>
      <c r="G1795" s="308"/>
      <c r="H1795" s="308" t="s">
        <v>7111</v>
      </c>
      <c r="I1795" s="314">
        <v>41669.0</v>
      </c>
      <c r="J1795" s="319">
        <f>IFERROR(__xludf.DUMMYFUNCTION("SPLIT(I1795,""/"")"),30.0)</f>
        <v>30</v>
      </c>
      <c r="K1795" s="308">
        <f>IFERROR(__xludf.DUMMYFUNCTION("""COMPUTED_VALUE"""),1.0)</f>
        <v>1</v>
      </c>
      <c r="L1795" s="308">
        <f>IFERROR(__xludf.DUMMYFUNCTION("""COMPUTED_VALUE"""),2014.0)</f>
        <v>2014</v>
      </c>
      <c r="M1795" s="308" t="s">
        <v>7112</v>
      </c>
      <c r="N1795" s="308"/>
      <c r="O1795" s="312" t="s">
        <v>635</v>
      </c>
      <c r="P1795" s="308" t="s">
        <v>7113</v>
      </c>
      <c r="Q1795" s="308"/>
      <c r="R1795" s="308"/>
      <c r="S1795" s="308" t="s">
        <v>81</v>
      </c>
      <c r="T1795" s="308" t="s">
        <v>75</v>
      </c>
      <c r="U1795" s="308"/>
      <c r="V1795" s="312"/>
    </row>
    <row r="1796">
      <c r="A1796" s="308">
        <v>1795.0</v>
      </c>
      <c r="B1796" s="308"/>
      <c r="C1796" s="308" t="s">
        <v>7114</v>
      </c>
      <c r="D1796" s="308">
        <f>IFERROR(__xludf.DUMMYFUNCTION("SPLIT(C1796,""-"")"),1815.0)</f>
        <v>1815</v>
      </c>
      <c r="E1796" s="308" t="str">
        <f>IFERROR(__xludf.DUMMYFUNCTION("""COMPUTED_VALUE""")," K")</f>
        <v> K</v>
      </c>
      <c r="F1796" s="309" t="s">
        <v>34</v>
      </c>
      <c r="G1796" s="308"/>
      <c r="H1796" s="308" t="s">
        <v>7115</v>
      </c>
      <c r="I1796" s="310">
        <v>41313.0</v>
      </c>
      <c r="J1796" s="319">
        <f>IFERROR(__xludf.DUMMYFUNCTION("SPLIT(I1796,""/"")"),8.0)</f>
        <v>8</v>
      </c>
      <c r="K1796" s="308">
        <f>IFERROR(__xludf.DUMMYFUNCTION("""COMPUTED_VALUE"""),2.0)</f>
        <v>2</v>
      </c>
      <c r="L1796" s="308">
        <f>IFERROR(__xludf.DUMMYFUNCTION("""COMPUTED_VALUE"""),2013.0)</f>
        <v>2013</v>
      </c>
      <c r="M1796" s="308" t="s">
        <v>7116</v>
      </c>
      <c r="N1796" s="308"/>
      <c r="O1796" s="312" t="s">
        <v>7117</v>
      </c>
      <c r="P1796" s="308" t="s">
        <v>7118</v>
      </c>
      <c r="Q1796" s="308"/>
      <c r="R1796" s="308"/>
      <c r="S1796" s="311" t="s">
        <v>49</v>
      </c>
      <c r="T1796" s="311" t="s">
        <v>70</v>
      </c>
      <c r="U1796" s="308" t="s">
        <v>368</v>
      </c>
      <c r="V1796" s="312"/>
    </row>
    <row r="1797">
      <c r="A1797" s="308">
        <v>1796.0</v>
      </c>
      <c r="B1797" s="308"/>
      <c r="C1797" s="308" t="s">
        <v>7119</v>
      </c>
      <c r="D1797" s="308">
        <f>IFERROR(__xludf.DUMMYFUNCTION("SPLIT(C1797,""-"")"),1816.0)</f>
        <v>1816</v>
      </c>
      <c r="E1797" s="308" t="str">
        <f>IFERROR(__xludf.DUMMYFUNCTION("""COMPUTED_VALUE""")," K")</f>
        <v> K</v>
      </c>
      <c r="F1797" s="309" t="s">
        <v>34</v>
      </c>
      <c r="G1797" s="308" t="s">
        <v>7120</v>
      </c>
      <c r="H1797" s="308" t="s">
        <v>7121</v>
      </c>
      <c r="I1797" s="314">
        <v>41294.0</v>
      </c>
      <c r="J1797" s="319">
        <f>IFERROR(__xludf.DUMMYFUNCTION("SPLIT(I1797,""/"")"),20.0)</f>
        <v>20</v>
      </c>
      <c r="K1797" s="308">
        <f>IFERROR(__xludf.DUMMYFUNCTION("""COMPUTED_VALUE"""),1.0)</f>
        <v>1</v>
      </c>
      <c r="L1797" s="308">
        <f>IFERROR(__xludf.DUMMYFUNCTION("""COMPUTED_VALUE"""),2013.0)</f>
        <v>2013</v>
      </c>
      <c r="M1797" s="308" t="s">
        <v>7122</v>
      </c>
      <c r="N1797" s="308"/>
      <c r="O1797" s="312" t="s">
        <v>635</v>
      </c>
      <c r="P1797" s="308" t="s">
        <v>7123</v>
      </c>
      <c r="Q1797" s="308"/>
      <c r="R1797" s="308"/>
      <c r="S1797" s="308" t="s">
        <v>81</v>
      </c>
      <c r="T1797" s="308" t="s">
        <v>75</v>
      </c>
      <c r="U1797" s="308"/>
      <c r="V1797" s="312"/>
    </row>
    <row r="1798">
      <c r="A1798" s="308">
        <v>1797.0</v>
      </c>
      <c r="B1798" s="308"/>
      <c r="C1798" s="308" t="s">
        <v>7124</v>
      </c>
      <c r="D1798" s="308">
        <f>IFERROR(__xludf.DUMMYFUNCTION("SPLIT(C1798,""-"")"),1817.0)</f>
        <v>1817</v>
      </c>
      <c r="E1798" s="308" t="str">
        <f>IFERROR(__xludf.DUMMYFUNCTION("""COMPUTED_VALUE""")," P")</f>
        <v> P</v>
      </c>
      <c r="F1798" s="312" t="s">
        <v>37</v>
      </c>
      <c r="G1798" s="308" t="s">
        <v>7125</v>
      </c>
      <c r="H1798" s="308" t="s">
        <v>7126</v>
      </c>
      <c r="I1798" s="322"/>
      <c r="J1798" s="319"/>
      <c r="K1798" s="308"/>
      <c r="L1798" s="311" t="s">
        <v>79</v>
      </c>
      <c r="M1798" s="308" t="s">
        <v>5685</v>
      </c>
      <c r="N1798" s="308"/>
      <c r="O1798" s="312" t="s">
        <v>635</v>
      </c>
      <c r="P1798" s="308" t="s">
        <v>7127</v>
      </c>
      <c r="Q1798" s="308"/>
      <c r="R1798" s="308"/>
      <c r="S1798" s="308" t="s">
        <v>81</v>
      </c>
      <c r="T1798" s="308" t="s">
        <v>75</v>
      </c>
      <c r="U1798" s="308"/>
      <c r="V1798" s="312"/>
    </row>
    <row r="1799">
      <c r="A1799" s="308">
        <v>1798.0</v>
      </c>
      <c r="B1799" s="308"/>
      <c r="C1799" s="308" t="s">
        <v>7128</v>
      </c>
      <c r="D1799" s="308">
        <f>IFERROR(__xludf.DUMMYFUNCTION("SPLIT(C1799,""-"")"),1818.0)</f>
        <v>1818</v>
      </c>
      <c r="E1799" s="308" t="str">
        <f>IFERROR(__xludf.DUMMYFUNCTION("""COMPUTED_VALUE""")," P")</f>
        <v> P</v>
      </c>
      <c r="F1799" s="312" t="s">
        <v>37</v>
      </c>
      <c r="G1799" s="308" t="s">
        <v>7125</v>
      </c>
      <c r="H1799" s="308" t="s">
        <v>7129</v>
      </c>
      <c r="I1799" s="322"/>
      <c r="J1799" s="319"/>
      <c r="K1799" s="308"/>
      <c r="L1799" s="311" t="s">
        <v>79</v>
      </c>
      <c r="M1799" s="308" t="s">
        <v>7130</v>
      </c>
      <c r="N1799" s="308"/>
      <c r="O1799" s="312"/>
      <c r="P1799" s="308" t="s">
        <v>7127</v>
      </c>
      <c r="Q1799" s="308"/>
      <c r="R1799" s="308"/>
      <c r="S1799" s="308" t="s">
        <v>81</v>
      </c>
      <c r="T1799" s="308" t="s">
        <v>75</v>
      </c>
      <c r="U1799" s="308"/>
      <c r="V1799" s="312"/>
    </row>
    <row r="1800">
      <c r="A1800" s="308">
        <v>1799.0</v>
      </c>
      <c r="B1800" s="308"/>
      <c r="C1800" s="308" t="s">
        <v>7131</v>
      </c>
      <c r="D1800" s="308">
        <f>IFERROR(__xludf.DUMMYFUNCTION("SPLIT(C1800,""-"")"),1819.0)</f>
        <v>1819</v>
      </c>
      <c r="E1800" s="308" t="str">
        <f>IFERROR(__xludf.DUMMYFUNCTION("""COMPUTED_VALUE""")," K")</f>
        <v> K</v>
      </c>
      <c r="F1800" s="309" t="s">
        <v>34</v>
      </c>
      <c r="G1800" s="308" t="s">
        <v>7132</v>
      </c>
      <c r="H1800" s="308" t="s">
        <v>7133</v>
      </c>
      <c r="I1800" s="310">
        <v>40657.0</v>
      </c>
      <c r="J1800" s="319">
        <f>IFERROR(__xludf.DUMMYFUNCTION("SPLIT(I1800,""/"")"),24.0)</f>
        <v>24</v>
      </c>
      <c r="K1800" s="308">
        <f>IFERROR(__xludf.DUMMYFUNCTION("""COMPUTED_VALUE"""),4.0)</f>
        <v>4</v>
      </c>
      <c r="L1800" s="308">
        <f>IFERROR(__xludf.DUMMYFUNCTION("""COMPUTED_VALUE"""),2011.0)</f>
        <v>2011</v>
      </c>
      <c r="M1800" s="308" t="s">
        <v>7134</v>
      </c>
      <c r="N1800" s="308"/>
      <c r="O1800" s="312" t="s">
        <v>7135</v>
      </c>
      <c r="P1800" s="308" t="s">
        <v>1762</v>
      </c>
      <c r="Q1800" s="308"/>
      <c r="R1800" s="308"/>
      <c r="S1800" s="315" t="s">
        <v>100</v>
      </c>
      <c r="T1800" s="311" t="s">
        <v>34208</v>
      </c>
      <c r="U1800" s="308" t="s">
        <v>542</v>
      </c>
      <c r="V1800" s="312"/>
    </row>
    <row r="1801">
      <c r="A1801" s="308">
        <v>1800.0</v>
      </c>
      <c r="B1801" s="308"/>
      <c r="C1801" s="308" t="s">
        <v>7136</v>
      </c>
      <c r="D1801" s="308">
        <f>IFERROR(__xludf.DUMMYFUNCTION("SPLIT(C1801,""-"")"),1820.0)</f>
        <v>1820</v>
      </c>
      <c r="E1801" s="308" t="str">
        <f>IFERROR(__xludf.DUMMYFUNCTION("""COMPUTED_VALUE""")," K")</f>
        <v> K</v>
      </c>
      <c r="F1801" s="309" t="s">
        <v>34</v>
      </c>
      <c r="G1801" s="308" t="s">
        <v>7137</v>
      </c>
      <c r="H1801" s="308" t="s">
        <v>7138</v>
      </c>
      <c r="I1801" s="314">
        <v>41352.0</v>
      </c>
      <c r="J1801" s="319">
        <f>IFERROR(__xludf.DUMMYFUNCTION("SPLIT(I1801,""/"")"),19.0)</f>
        <v>19</v>
      </c>
      <c r="K1801" s="308">
        <f>IFERROR(__xludf.DUMMYFUNCTION("""COMPUTED_VALUE"""),3.0)</f>
        <v>3</v>
      </c>
      <c r="L1801" s="308">
        <f>IFERROR(__xludf.DUMMYFUNCTION("""COMPUTED_VALUE"""),2013.0)</f>
        <v>2013</v>
      </c>
      <c r="M1801" s="308" t="s">
        <v>7139</v>
      </c>
      <c r="N1801" s="308"/>
      <c r="O1801" s="312" t="s">
        <v>7140</v>
      </c>
      <c r="P1801" s="308" t="s">
        <v>7141</v>
      </c>
      <c r="Q1801" s="308"/>
      <c r="R1801" s="308"/>
      <c r="S1801" s="308" t="s">
        <v>81</v>
      </c>
      <c r="T1801" s="308" t="s">
        <v>75</v>
      </c>
      <c r="U1801" s="308"/>
      <c r="V1801" s="312"/>
    </row>
    <row r="1802">
      <c r="A1802" s="308">
        <v>1801.0</v>
      </c>
      <c r="B1802" s="308"/>
      <c r="C1802" s="308" t="s">
        <v>7142</v>
      </c>
      <c r="D1802" s="308">
        <f>IFERROR(__xludf.DUMMYFUNCTION("SPLIT(C1802,""-"")"),1821.0)</f>
        <v>1821</v>
      </c>
      <c r="E1802" s="308" t="str">
        <f>IFERROR(__xludf.DUMMYFUNCTION("""COMPUTED_VALUE""")," K")</f>
        <v> K</v>
      </c>
      <c r="F1802" s="309" t="s">
        <v>34</v>
      </c>
      <c r="G1802" s="308" t="s">
        <v>7137</v>
      </c>
      <c r="H1802" s="308" t="s">
        <v>36281</v>
      </c>
      <c r="I1802" s="314">
        <v>41352.0</v>
      </c>
      <c r="J1802" s="319">
        <f>IFERROR(__xludf.DUMMYFUNCTION("SPLIT(I1802,""/"")"),19.0)</f>
        <v>19</v>
      </c>
      <c r="K1802" s="308">
        <f>IFERROR(__xludf.DUMMYFUNCTION("""COMPUTED_VALUE"""),3.0)</f>
        <v>3</v>
      </c>
      <c r="L1802" s="308">
        <f>IFERROR(__xludf.DUMMYFUNCTION("""COMPUTED_VALUE"""),2013.0)</f>
        <v>2013</v>
      </c>
      <c r="M1802" s="308" t="s">
        <v>7139</v>
      </c>
      <c r="N1802" s="308"/>
      <c r="O1802" s="312" t="s">
        <v>7140</v>
      </c>
      <c r="P1802" s="308" t="s">
        <v>7141</v>
      </c>
      <c r="Q1802" s="308"/>
      <c r="R1802" s="308"/>
      <c r="S1802" s="308" t="s">
        <v>81</v>
      </c>
      <c r="T1802" s="308" t="s">
        <v>75</v>
      </c>
      <c r="U1802" s="308"/>
      <c r="V1802" s="312"/>
    </row>
    <row r="1803">
      <c r="A1803" s="308">
        <v>1802.0</v>
      </c>
      <c r="B1803" s="308"/>
      <c r="C1803" s="308" t="s">
        <v>7144</v>
      </c>
      <c r="D1803" s="308">
        <f>IFERROR(__xludf.DUMMYFUNCTION("SPLIT(C1803,""-"")"),1822.0)</f>
        <v>1822</v>
      </c>
      <c r="E1803" s="308" t="str">
        <f>IFERROR(__xludf.DUMMYFUNCTION("""COMPUTED_VALUE""")," K")</f>
        <v> K</v>
      </c>
      <c r="F1803" s="309" t="s">
        <v>34</v>
      </c>
      <c r="G1803" s="308" t="s">
        <v>7137</v>
      </c>
      <c r="H1803" s="308" t="s">
        <v>7145</v>
      </c>
      <c r="I1803" s="314">
        <v>41352.0</v>
      </c>
      <c r="J1803" s="319">
        <f>IFERROR(__xludf.DUMMYFUNCTION("SPLIT(I1803,""/"")"),19.0)</f>
        <v>19</v>
      </c>
      <c r="K1803" s="308">
        <f>IFERROR(__xludf.DUMMYFUNCTION("""COMPUTED_VALUE"""),3.0)</f>
        <v>3</v>
      </c>
      <c r="L1803" s="308">
        <f>IFERROR(__xludf.DUMMYFUNCTION("""COMPUTED_VALUE"""),2013.0)</f>
        <v>2013</v>
      </c>
      <c r="M1803" s="308" t="s">
        <v>7139</v>
      </c>
      <c r="N1803" s="308"/>
      <c r="O1803" s="312" t="s">
        <v>7140</v>
      </c>
      <c r="P1803" s="308" t="s">
        <v>7141</v>
      </c>
      <c r="Q1803" s="308"/>
      <c r="R1803" s="308"/>
      <c r="S1803" s="308" t="s">
        <v>81</v>
      </c>
      <c r="T1803" s="308" t="s">
        <v>75</v>
      </c>
      <c r="U1803" s="308"/>
      <c r="V1803" s="312"/>
    </row>
    <row r="1804">
      <c r="A1804" s="308">
        <v>1803.0</v>
      </c>
      <c r="B1804" s="308"/>
      <c r="C1804" s="308" t="s">
        <v>7146</v>
      </c>
      <c r="D1804" s="308">
        <f>IFERROR(__xludf.DUMMYFUNCTION("SPLIT(C1804,""-"")"),1823.0)</f>
        <v>1823</v>
      </c>
      <c r="E1804" s="308" t="str">
        <f>IFERROR(__xludf.DUMMYFUNCTION("""COMPUTED_VALUE""")," K")</f>
        <v> K</v>
      </c>
      <c r="F1804" s="309" t="s">
        <v>34</v>
      </c>
      <c r="G1804" s="308" t="s">
        <v>7147</v>
      </c>
      <c r="H1804" s="308" t="s">
        <v>7148</v>
      </c>
      <c r="I1804" s="314">
        <v>40959.0</v>
      </c>
      <c r="J1804" s="319">
        <f>IFERROR(__xludf.DUMMYFUNCTION("SPLIT(I1804,""/"")"),20.0)</f>
        <v>20</v>
      </c>
      <c r="K1804" s="308">
        <f>IFERROR(__xludf.DUMMYFUNCTION("""COMPUTED_VALUE"""),2.0)</f>
        <v>2</v>
      </c>
      <c r="L1804" s="308">
        <f>IFERROR(__xludf.DUMMYFUNCTION("""COMPUTED_VALUE"""),2012.0)</f>
        <v>2012</v>
      </c>
      <c r="M1804" s="308" t="s">
        <v>7149</v>
      </c>
      <c r="N1804" s="308"/>
      <c r="O1804" s="312" t="s">
        <v>635</v>
      </c>
      <c r="P1804" s="308" t="s">
        <v>7150</v>
      </c>
      <c r="Q1804" s="308"/>
      <c r="R1804" s="308"/>
      <c r="S1804" s="308" t="s">
        <v>81</v>
      </c>
      <c r="T1804" s="308" t="s">
        <v>34264</v>
      </c>
      <c r="U1804" s="308"/>
      <c r="V1804" s="312"/>
    </row>
    <row r="1805">
      <c r="A1805" s="308">
        <v>1804.0</v>
      </c>
      <c r="B1805" s="308"/>
      <c r="C1805" s="308" t="s">
        <v>7151</v>
      </c>
      <c r="D1805" s="308">
        <f>IFERROR(__xludf.DUMMYFUNCTION("SPLIT(C1805,""-"")"),1824.0)</f>
        <v>1824</v>
      </c>
      <c r="E1805" s="308" t="str">
        <f>IFERROR(__xludf.DUMMYFUNCTION("""COMPUTED_VALUE""")," F")</f>
        <v> F</v>
      </c>
      <c r="F1805" s="309" t="s">
        <v>34</v>
      </c>
      <c r="G1805" s="308" t="s">
        <v>7152</v>
      </c>
      <c r="H1805" s="308" t="s">
        <v>7153</v>
      </c>
      <c r="I1805" s="314">
        <v>41107.0</v>
      </c>
      <c r="J1805" s="319">
        <f>IFERROR(__xludf.DUMMYFUNCTION("SPLIT(I1805,""/"")"),17.0)</f>
        <v>17</v>
      </c>
      <c r="K1805" s="308">
        <f>IFERROR(__xludf.DUMMYFUNCTION("""COMPUTED_VALUE"""),7.0)</f>
        <v>7</v>
      </c>
      <c r="L1805" s="308">
        <f>IFERROR(__xludf.DUMMYFUNCTION("""COMPUTED_VALUE"""),2012.0)</f>
        <v>2012</v>
      </c>
      <c r="M1805" s="308" t="s">
        <v>36282</v>
      </c>
      <c r="N1805" s="308"/>
      <c r="O1805" s="312" t="s">
        <v>635</v>
      </c>
      <c r="P1805" s="308" t="s">
        <v>7155</v>
      </c>
      <c r="Q1805" s="308"/>
      <c r="R1805" s="308"/>
      <c r="S1805" s="308" t="s">
        <v>81</v>
      </c>
      <c r="T1805" s="308" t="s">
        <v>75</v>
      </c>
      <c r="U1805" s="308"/>
      <c r="V1805" s="312"/>
    </row>
    <row r="1806">
      <c r="A1806" s="308">
        <v>1805.0</v>
      </c>
      <c r="B1806" s="308"/>
      <c r="C1806" s="308" t="s">
        <v>7156</v>
      </c>
      <c r="D1806" s="308">
        <f>IFERROR(__xludf.DUMMYFUNCTION("SPLIT(C1806,""-"")"),1825.0)</f>
        <v>1825</v>
      </c>
      <c r="E1806" s="308" t="str">
        <f>IFERROR(__xludf.DUMMYFUNCTION("""COMPUTED_VALUE""")," F")</f>
        <v> F</v>
      </c>
      <c r="F1806" s="309" t="s">
        <v>34</v>
      </c>
      <c r="G1806" s="308" t="s">
        <v>7152</v>
      </c>
      <c r="H1806" s="308" t="s">
        <v>7157</v>
      </c>
      <c r="I1806" s="314">
        <v>41107.0</v>
      </c>
      <c r="J1806" s="319">
        <f>IFERROR(__xludf.DUMMYFUNCTION("SPLIT(I1806,""/"")"),17.0)</f>
        <v>17</v>
      </c>
      <c r="K1806" s="308">
        <f>IFERROR(__xludf.DUMMYFUNCTION("""COMPUTED_VALUE"""),7.0)</f>
        <v>7</v>
      </c>
      <c r="L1806" s="308">
        <f>IFERROR(__xludf.DUMMYFUNCTION("""COMPUTED_VALUE"""),2012.0)</f>
        <v>2012</v>
      </c>
      <c r="M1806" s="308" t="s">
        <v>36282</v>
      </c>
      <c r="N1806" s="308"/>
      <c r="O1806" s="312" t="s">
        <v>635</v>
      </c>
      <c r="P1806" s="308" t="s">
        <v>7155</v>
      </c>
      <c r="Q1806" s="308"/>
      <c r="R1806" s="308"/>
      <c r="S1806" s="308" t="s">
        <v>81</v>
      </c>
      <c r="T1806" s="308" t="s">
        <v>75</v>
      </c>
      <c r="U1806" s="308"/>
      <c r="V1806" s="312"/>
    </row>
    <row r="1807">
      <c r="A1807" s="308">
        <v>1806.0</v>
      </c>
      <c r="B1807" s="308"/>
      <c r="C1807" s="308" t="s">
        <v>7158</v>
      </c>
      <c r="D1807" s="308">
        <f>IFERROR(__xludf.DUMMYFUNCTION("SPLIT(C1807,""-"")"),1826.0)</f>
        <v>1826</v>
      </c>
      <c r="E1807" s="308" t="str">
        <f>IFERROR(__xludf.DUMMYFUNCTION("""COMPUTED_VALUE""")," S")</f>
        <v> S</v>
      </c>
      <c r="F1807" s="312" t="s">
        <v>39</v>
      </c>
      <c r="G1807" s="308" t="s">
        <v>7159</v>
      </c>
      <c r="H1807" s="308" t="s">
        <v>7160</v>
      </c>
      <c r="I1807" s="310">
        <v>41616.0</v>
      </c>
      <c r="J1807" s="319">
        <f>IFERROR(__xludf.DUMMYFUNCTION("SPLIT(I1807,""/"")"),8.0)</f>
        <v>8</v>
      </c>
      <c r="K1807" s="308">
        <f>IFERROR(__xludf.DUMMYFUNCTION("""COMPUTED_VALUE"""),12.0)</f>
        <v>12</v>
      </c>
      <c r="L1807" s="308">
        <f>IFERROR(__xludf.DUMMYFUNCTION("""COMPUTED_VALUE"""),2013.0)</f>
        <v>2013</v>
      </c>
      <c r="M1807" s="308" t="s">
        <v>7161</v>
      </c>
      <c r="N1807" s="308"/>
      <c r="O1807" s="312" t="s">
        <v>635</v>
      </c>
      <c r="P1807" s="308" t="s">
        <v>36283</v>
      </c>
      <c r="Q1807" s="308"/>
      <c r="R1807" s="308"/>
      <c r="S1807" s="308" t="s">
        <v>81</v>
      </c>
      <c r="T1807" s="308" t="s">
        <v>75</v>
      </c>
      <c r="U1807" s="312"/>
      <c r="V1807" s="312"/>
    </row>
    <row r="1808">
      <c r="A1808" s="308">
        <v>1807.0</v>
      </c>
      <c r="B1808" s="308"/>
      <c r="C1808" s="308" t="s">
        <v>7163</v>
      </c>
      <c r="D1808" s="308">
        <f>IFERROR(__xludf.DUMMYFUNCTION("SPLIT(C1808,""-"")"),1827.0)</f>
        <v>1827</v>
      </c>
      <c r="E1808" s="308" t="str">
        <f>IFERROR(__xludf.DUMMYFUNCTION("""COMPUTED_VALUE""")," S")</f>
        <v> S</v>
      </c>
      <c r="F1808" s="312" t="s">
        <v>39</v>
      </c>
      <c r="G1808" s="308" t="s">
        <v>7164</v>
      </c>
      <c r="H1808" s="308" t="s">
        <v>7165</v>
      </c>
      <c r="I1808" s="316">
        <v>2013.0</v>
      </c>
      <c r="J1808" s="319"/>
      <c r="K1808" s="308"/>
      <c r="L1808" s="311">
        <v>2013.0</v>
      </c>
      <c r="M1808" s="308" t="s">
        <v>7166</v>
      </c>
      <c r="N1808" s="308"/>
      <c r="O1808" s="312" t="s">
        <v>7167</v>
      </c>
      <c r="P1808" s="308" t="s">
        <v>5653</v>
      </c>
      <c r="Q1808" s="308"/>
      <c r="R1808" s="308"/>
      <c r="S1808" s="315" t="s">
        <v>100</v>
      </c>
      <c r="T1808" s="311" t="s">
        <v>34208</v>
      </c>
      <c r="U1808" s="308"/>
      <c r="V1808" s="312"/>
    </row>
    <row r="1809">
      <c r="A1809" s="308">
        <v>1808.0</v>
      </c>
      <c r="B1809" s="308"/>
      <c r="C1809" s="308" t="s">
        <v>7168</v>
      </c>
      <c r="D1809" s="308">
        <f>IFERROR(__xludf.DUMMYFUNCTION("SPLIT(C1809,""-"")"),1828.0)</f>
        <v>1828</v>
      </c>
      <c r="E1809" s="308" t="str">
        <f>IFERROR(__xludf.DUMMYFUNCTION("""COMPUTED_VALUE""")," B")</f>
        <v> B</v>
      </c>
      <c r="F1809" s="315" t="s">
        <v>26</v>
      </c>
      <c r="G1809" s="308" t="s">
        <v>7169</v>
      </c>
      <c r="H1809" s="308" t="s">
        <v>7170</v>
      </c>
      <c r="I1809" s="316">
        <v>2013.0</v>
      </c>
      <c r="J1809" s="319"/>
      <c r="K1809" s="308"/>
      <c r="L1809" s="311">
        <v>2013.0</v>
      </c>
      <c r="M1809" s="308" t="s">
        <v>7171</v>
      </c>
      <c r="N1809" s="308"/>
      <c r="O1809" s="312" t="s">
        <v>7172</v>
      </c>
      <c r="P1809" s="308" t="s">
        <v>36284</v>
      </c>
      <c r="Q1809" s="308"/>
      <c r="R1809" s="308"/>
      <c r="S1809" s="308" t="s">
        <v>81</v>
      </c>
      <c r="T1809" s="311" t="s">
        <v>96</v>
      </c>
      <c r="U1809" s="308" t="s">
        <v>27</v>
      </c>
      <c r="V1809" s="312"/>
    </row>
    <row r="1810">
      <c r="A1810" s="308">
        <v>1809.0</v>
      </c>
      <c r="B1810" s="308"/>
      <c r="C1810" s="308" t="s">
        <v>7174</v>
      </c>
      <c r="D1810" s="308">
        <f>IFERROR(__xludf.DUMMYFUNCTION("SPLIT(C1810,""-"")"),1829.0)</f>
        <v>1829</v>
      </c>
      <c r="E1810" s="308" t="str">
        <f>IFERROR(__xludf.DUMMYFUNCTION("""COMPUTED_VALUE""")," I")</f>
        <v> I</v>
      </c>
      <c r="F1810" s="309" t="s">
        <v>31</v>
      </c>
      <c r="G1810" s="308" t="s">
        <v>7175</v>
      </c>
      <c r="H1810" s="308" t="s">
        <v>7176</v>
      </c>
      <c r="I1810" s="314">
        <v>41355.0</v>
      </c>
      <c r="J1810" s="319">
        <f>IFERROR(__xludf.DUMMYFUNCTION("SPLIT(I1810,""/"")"),22.0)</f>
        <v>22</v>
      </c>
      <c r="K1810" s="308">
        <f>IFERROR(__xludf.DUMMYFUNCTION("""COMPUTED_VALUE"""),3.0)</f>
        <v>3</v>
      </c>
      <c r="L1810" s="308">
        <f>IFERROR(__xludf.DUMMYFUNCTION("""COMPUTED_VALUE"""),2013.0)</f>
        <v>2013</v>
      </c>
      <c r="M1810" s="308" t="s">
        <v>7177</v>
      </c>
      <c r="N1810" s="308"/>
      <c r="O1810" s="312"/>
      <c r="P1810" s="308" t="s">
        <v>7178</v>
      </c>
      <c r="Q1810" s="308"/>
      <c r="R1810" s="308"/>
      <c r="S1810" s="308" t="s">
        <v>81</v>
      </c>
      <c r="T1810" s="308" t="s">
        <v>75</v>
      </c>
      <c r="U1810" s="308"/>
      <c r="V1810" s="312"/>
    </row>
    <row r="1811">
      <c r="A1811" s="308">
        <v>1810.0</v>
      </c>
      <c r="B1811" s="308"/>
      <c r="C1811" s="308" t="s">
        <v>7179</v>
      </c>
      <c r="D1811" s="308">
        <f>IFERROR(__xludf.DUMMYFUNCTION("SPLIT(C1811,""-"")"),1830.0)</f>
        <v>1830</v>
      </c>
      <c r="E1811" s="308" t="str">
        <f>IFERROR(__xludf.DUMMYFUNCTION("""COMPUTED_VALUE""")," B")</f>
        <v> B</v>
      </c>
      <c r="F1811" s="315" t="s">
        <v>26</v>
      </c>
      <c r="G1811" s="308" t="s">
        <v>7180</v>
      </c>
      <c r="H1811" s="308" t="s">
        <v>7181</v>
      </c>
      <c r="I1811" s="314">
        <v>40405.0</v>
      </c>
      <c r="J1811" s="319">
        <f>IFERROR(__xludf.DUMMYFUNCTION("SPLIT(I1811,""/"")"),15.0)</f>
        <v>15</v>
      </c>
      <c r="K1811" s="308">
        <f>IFERROR(__xludf.DUMMYFUNCTION("""COMPUTED_VALUE"""),8.0)</f>
        <v>8</v>
      </c>
      <c r="L1811" s="308">
        <f>IFERROR(__xludf.DUMMYFUNCTION("""COMPUTED_VALUE"""),2010.0)</f>
        <v>2010</v>
      </c>
      <c r="M1811" s="308" t="s">
        <v>36285</v>
      </c>
      <c r="N1811" s="308"/>
      <c r="O1811" s="312"/>
      <c r="P1811" s="308" t="s">
        <v>7183</v>
      </c>
      <c r="Q1811" s="308"/>
      <c r="R1811" s="308"/>
      <c r="S1811" s="308" t="s">
        <v>81</v>
      </c>
      <c r="T1811" s="308" t="s">
        <v>98</v>
      </c>
      <c r="U1811" s="308"/>
      <c r="V1811" s="312"/>
    </row>
    <row r="1812">
      <c r="A1812" s="308">
        <v>1811.0</v>
      </c>
      <c r="B1812" s="308"/>
      <c r="C1812" s="308" t="s">
        <v>7184</v>
      </c>
      <c r="D1812" s="308">
        <f>IFERROR(__xludf.DUMMYFUNCTION("SPLIT(C1812,""-"")"),1831.0)</f>
        <v>1831</v>
      </c>
      <c r="E1812" s="308" t="str">
        <f>IFERROR(__xludf.DUMMYFUNCTION("""COMPUTED_VALUE""")," K")</f>
        <v> K</v>
      </c>
      <c r="F1812" s="309" t="s">
        <v>34</v>
      </c>
      <c r="G1812" s="308" t="s">
        <v>7185</v>
      </c>
      <c r="H1812" s="308" t="s">
        <v>7186</v>
      </c>
      <c r="I1812" s="316">
        <v>2009.0</v>
      </c>
      <c r="J1812" s="319"/>
      <c r="K1812" s="308"/>
      <c r="L1812" s="311">
        <v>2009.0</v>
      </c>
      <c r="M1812" s="308" t="s">
        <v>36286</v>
      </c>
      <c r="N1812" s="308" t="s">
        <v>7188</v>
      </c>
      <c r="O1812" s="312" t="s">
        <v>7189</v>
      </c>
      <c r="P1812" s="308" t="s">
        <v>1872</v>
      </c>
      <c r="Q1812" s="308"/>
      <c r="R1812" s="308"/>
      <c r="S1812" s="315" t="s">
        <v>100</v>
      </c>
      <c r="T1812" s="311" t="s">
        <v>34208</v>
      </c>
      <c r="U1812" s="308" t="s">
        <v>530</v>
      </c>
      <c r="V1812" s="312"/>
    </row>
    <row r="1813">
      <c r="A1813" s="308">
        <v>1812.0</v>
      </c>
      <c r="B1813" s="308"/>
      <c r="C1813" s="308" t="s">
        <v>7190</v>
      </c>
      <c r="D1813" s="308">
        <f>IFERROR(__xludf.DUMMYFUNCTION("SPLIT(C1813,""-"")"),1832.0)</f>
        <v>1832</v>
      </c>
      <c r="E1813" s="308" t="str">
        <f>IFERROR(__xludf.DUMMYFUNCTION("""COMPUTED_VALUE""")," P")</f>
        <v> P</v>
      </c>
      <c r="F1813" s="312" t="s">
        <v>37</v>
      </c>
      <c r="G1813" s="308" t="s">
        <v>7191</v>
      </c>
      <c r="H1813" s="308" t="s">
        <v>36287</v>
      </c>
      <c r="I1813" s="316">
        <v>2012.0</v>
      </c>
      <c r="J1813" s="319"/>
      <c r="K1813" s="308"/>
      <c r="L1813" s="311">
        <v>2012.0</v>
      </c>
      <c r="M1813" s="308" t="s">
        <v>7193</v>
      </c>
      <c r="N1813" s="308"/>
      <c r="O1813" s="312" t="s">
        <v>7194</v>
      </c>
      <c r="P1813" s="308" t="s">
        <v>7195</v>
      </c>
      <c r="Q1813" s="308"/>
      <c r="R1813" s="308"/>
      <c r="S1813" s="308" t="s">
        <v>81</v>
      </c>
      <c r="T1813" s="308" t="s">
        <v>73</v>
      </c>
      <c r="U1813" s="308"/>
      <c r="V1813" s="312"/>
    </row>
    <row r="1814">
      <c r="A1814" s="308">
        <v>1813.0</v>
      </c>
      <c r="B1814" s="308"/>
      <c r="C1814" s="308" t="s">
        <v>7196</v>
      </c>
      <c r="D1814" s="308">
        <f>IFERROR(__xludf.DUMMYFUNCTION("SPLIT(C1814,""-"")"),1833.0)</f>
        <v>1833</v>
      </c>
      <c r="E1814" s="308" t="str">
        <f>IFERROR(__xludf.DUMMYFUNCTION("""COMPUTED_VALUE""")," K")</f>
        <v> K</v>
      </c>
      <c r="F1814" s="309" t="s">
        <v>34</v>
      </c>
      <c r="G1814" s="308" t="s">
        <v>7197</v>
      </c>
      <c r="H1814" s="308" t="s">
        <v>7198</v>
      </c>
      <c r="I1814" s="314">
        <v>40171.0</v>
      </c>
      <c r="J1814" s="319">
        <f>IFERROR(__xludf.DUMMYFUNCTION("SPLIT(I1814,""/"")"),24.0)</f>
        <v>24</v>
      </c>
      <c r="K1814" s="308">
        <f>IFERROR(__xludf.DUMMYFUNCTION("""COMPUTED_VALUE"""),12.0)</f>
        <v>12</v>
      </c>
      <c r="L1814" s="308">
        <f>IFERROR(__xludf.DUMMYFUNCTION("""COMPUTED_VALUE"""),2009.0)</f>
        <v>2009</v>
      </c>
      <c r="M1814" s="308" t="s">
        <v>7199</v>
      </c>
      <c r="N1814" s="308"/>
      <c r="O1814" s="312" t="s">
        <v>7200</v>
      </c>
      <c r="P1814" s="308" t="s">
        <v>6381</v>
      </c>
      <c r="Q1814" s="308"/>
      <c r="R1814" s="308"/>
      <c r="S1814" s="315" t="s">
        <v>100</v>
      </c>
      <c r="T1814" s="311" t="s">
        <v>34208</v>
      </c>
      <c r="U1814" s="308" t="s">
        <v>36197</v>
      </c>
      <c r="V1814" s="312"/>
    </row>
    <row r="1815">
      <c r="A1815" s="308">
        <v>1814.0</v>
      </c>
      <c r="B1815" s="308"/>
      <c r="C1815" s="308" t="s">
        <v>7201</v>
      </c>
      <c r="D1815" s="308">
        <f>IFERROR(__xludf.DUMMYFUNCTION("SPLIT(C1815,""-"")"),1834.0)</f>
        <v>1834</v>
      </c>
      <c r="E1815" s="308" t="str">
        <f>IFERROR(__xludf.DUMMYFUNCTION("""COMPUTED_VALUE""")," K")</f>
        <v> K</v>
      </c>
      <c r="F1815" s="309" t="s">
        <v>34</v>
      </c>
      <c r="G1815" s="308" t="s">
        <v>7202</v>
      </c>
      <c r="H1815" s="308" t="s">
        <v>7203</v>
      </c>
      <c r="I1815" s="316">
        <v>2011.0</v>
      </c>
      <c r="J1815" s="319"/>
      <c r="K1815" s="308"/>
      <c r="L1815" s="311">
        <v>2011.0</v>
      </c>
      <c r="M1815" s="308" t="s">
        <v>7204</v>
      </c>
      <c r="N1815" s="308"/>
      <c r="O1815" s="312" t="s">
        <v>7205</v>
      </c>
      <c r="P1815" s="308" t="s">
        <v>7206</v>
      </c>
      <c r="Q1815" s="308"/>
      <c r="R1815" s="308"/>
      <c r="S1815" s="308" t="s">
        <v>81</v>
      </c>
      <c r="T1815" s="311" t="s">
        <v>85</v>
      </c>
      <c r="U1815" s="308"/>
      <c r="V1815" s="312"/>
    </row>
    <row r="1816">
      <c r="A1816" s="308">
        <v>1815.0</v>
      </c>
      <c r="B1816" s="308"/>
      <c r="C1816" s="308" t="s">
        <v>7207</v>
      </c>
      <c r="D1816" s="308">
        <f>IFERROR(__xludf.DUMMYFUNCTION("SPLIT(C1816,""-"")"),1835.0)</f>
        <v>1835</v>
      </c>
      <c r="E1816" s="308" t="str">
        <f>IFERROR(__xludf.DUMMYFUNCTION("""COMPUTED_VALUE""")," S")</f>
        <v> S</v>
      </c>
      <c r="F1816" s="312" t="s">
        <v>39</v>
      </c>
      <c r="G1816" s="308" t="s">
        <v>7208</v>
      </c>
      <c r="H1816" s="308" t="s">
        <v>7209</v>
      </c>
      <c r="I1816" s="316">
        <v>2007.0</v>
      </c>
      <c r="J1816" s="319"/>
      <c r="K1816" s="308"/>
      <c r="L1816" s="311">
        <v>2007.0</v>
      </c>
      <c r="M1816" s="308" t="s">
        <v>7210</v>
      </c>
      <c r="N1816" s="308"/>
      <c r="O1816" s="312" t="s">
        <v>7211</v>
      </c>
      <c r="P1816" s="308" t="s">
        <v>7212</v>
      </c>
      <c r="Q1816" s="308"/>
      <c r="R1816" s="308"/>
      <c r="S1816" s="308" t="s">
        <v>49</v>
      </c>
      <c r="T1816" s="311" t="s">
        <v>55</v>
      </c>
      <c r="U1816" s="308"/>
      <c r="V1816" s="312"/>
    </row>
    <row r="1817">
      <c r="A1817" s="308">
        <v>1816.0</v>
      </c>
      <c r="B1817" s="308"/>
      <c r="C1817" s="308" t="s">
        <v>7213</v>
      </c>
      <c r="D1817" s="308">
        <f>IFERROR(__xludf.DUMMYFUNCTION("SPLIT(C1817,""-"")"),1836.0)</f>
        <v>1836</v>
      </c>
      <c r="E1817" s="308" t="str">
        <f>IFERROR(__xludf.DUMMYFUNCTION("""COMPUTED_VALUE""")," K")</f>
        <v> K</v>
      </c>
      <c r="F1817" s="309" t="s">
        <v>34</v>
      </c>
      <c r="G1817" s="308" t="s">
        <v>7214</v>
      </c>
      <c r="H1817" s="308" t="s">
        <v>7215</v>
      </c>
      <c r="I1817" s="316">
        <v>2009.0</v>
      </c>
      <c r="J1817" s="319"/>
      <c r="K1817" s="308"/>
      <c r="L1817" s="311">
        <v>2009.0</v>
      </c>
      <c r="M1817" s="308" t="s">
        <v>7216</v>
      </c>
      <c r="N1817" s="308"/>
      <c r="O1817" s="312" t="s">
        <v>7217</v>
      </c>
      <c r="P1817" s="308" t="s">
        <v>1872</v>
      </c>
      <c r="Q1817" s="308"/>
      <c r="R1817" s="308"/>
      <c r="S1817" s="315" t="s">
        <v>100</v>
      </c>
      <c r="T1817" s="311" t="s">
        <v>34208</v>
      </c>
      <c r="U1817" s="308" t="s">
        <v>530</v>
      </c>
      <c r="V1817" s="312"/>
    </row>
    <row r="1818">
      <c r="A1818" s="308">
        <v>1817.0</v>
      </c>
      <c r="B1818" s="308"/>
      <c r="C1818" s="308" t="s">
        <v>7218</v>
      </c>
      <c r="D1818" s="308">
        <f>IFERROR(__xludf.DUMMYFUNCTION("SPLIT(C1818,""-"")"),1837.0)</f>
        <v>1837</v>
      </c>
      <c r="E1818" s="308" t="str">
        <f>IFERROR(__xludf.DUMMYFUNCTION("""COMPUTED_VALUE""")," K")</f>
        <v> K</v>
      </c>
      <c r="F1818" s="309" t="s">
        <v>34</v>
      </c>
      <c r="G1818" s="308" t="s">
        <v>7219</v>
      </c>
      <c r="H1818" s="308" t="s">
        <v>7220</v>
      </c>
      <c r="I1818" s="314">
        <v>40712.0</v>
      </c>
      <c r="J1818" s="319">
        <f>IFERROR(__xludf.DUMMYFUNCTION("SPLIT(I1818,""/"")"),18.0)</f>
        <v>18</v>
      </c>
      <c r="K1818" s="308">
        <f>IFERROR(__xludf.DUMMYFUNCTION("""COMPUTED_VALUE"""),6.0)</f>
        <v>6</v>
      </c>
      <c r="L1818" s="308">
        <f>IFERROR(__xludf.DUMMYFUNCTION("""COMPUTED_VALUE"""),2011.0)</f>
        <v>2011</v>
      </c>
      <c r="M1818" s="308" t="s">
        <v>7221</v>
      </c>
      <c r="N1818" s="308"/>
      <c r="O1818" s="312" t="s">
        <v>635</v>
      </c>
      <c r="P1818" s="308" t="s">
        <v>7222</v>
      </c>
      <c r="Q1818" s="308"/>
      <c r="R1818" s="308"/>
      <c r="S1818" s="308" t="s">
        <v>81</v>
      </c>
      <c r="T1818" s="308" t="s">
        <v>34264</v>
      </c>
      <c r="U1818" s="308"/>
      <c r="V1818" s="312"/>
    </row>
    <row r="1819">
      <c r="A1819" s="308">
        <v>1818.0</v>
      </c>
      <c r="B1819" s="308"/>
      <c r="C1819" s="308" t="s">
        <v>7223</v>
      </c>
      <c r="D1819" s="308">
        <f>IFERROR(__xludf.DUMMYFUNCTION("SPLIT(C1819,""-"")"),1838.0)</f>
        <v>1838</v>
      </c>
      <c r="E1819" s="308" t="str">
        <f>IFERROR(__xludf.DUMMYFUNCTION("""COMPUTED_VALUE""")," S")</f>
        <v> S</v>
      </c>
      <c r="F1819" s="312" t="s">
        <v>39</v>
      </c>
      <c r="G1819" s="308" t="s">
        <v>7224</v>
      </c>
      <c r="H1819" s="308" t="s">
        <v>36288</v>
      </c>
      <c r="I1819" s="314">
        <v>41536.0</v>
      </c>
      <c r="J1819" s="319">
        <f>IFERROR(__xludf.DUMMYFUNCTION("SPLIT(I1819,""/"")"),19.0)</f>
        <v>19</v>
      </c>
      <c r="K1819" s="308">
        <f>IFERROR(__xludf.DUMMYFUNCTION("""COMPUTED_VALUE"""),9.0)</f>
        <v>9</v>
      </c>
      <c r="L1819" s="308">
        <f>IFERROR(__xludf.DUMMYFUNCTION("""COMPUTED_VALUE"""),2013.0)</f>
        <v>2013</v>
      </c>
      <c r="M1819" s="308" t="s">
        <v>7226</v>
      </c>
      <c r="N1819" s="308"/>
      <c r="O1819" s="312" t="s">
        <v>5658</v>
      </c>
      <c r="P1819" s="308" t="s">
        <v>36289</v>
      </c>
      <c r="Q1819" s="308"/>
      <c r="R1819" s="308"/>
      <c r="S1819" s="308" t="s">
        <v>81</v>
      </c>
      <c r="T1819" s="308" t="s">
        <v>75</v>
      </c>
      <c r="U1819" s="312"/>
      <c r="V1819" s="312"/>
    </row>
    <row r="1820">
      <c r="A1820" s="308">
        <v>1819.0</v>
      </c>
      <c r="B1820" s="308"/>
      <c r="C1820" s="308" t="s">
        <v>7228</v>
      </c>
      <c r="D1820" s="308">
        <f>IFERROR(__xludf.DUMMYFUNCTION("SPLIT(C1820,""-"")"),1839.0)</f>
        <v>1839</v>
      </c>
      <c r="E1820" s="308" t="str">
        <f>IFERROR(__xludf.DUMMYFUNCTION("""COMPUTED_VALUE""")," S")</f>
        <v> S</v>
      </c>
      <c r="F1820" s="312" t="s">
        <v>39</v>
      </c>
      <c r="G1820" s="308" t="s">
        <v>7229</v>
      </c>
      <c r="H1820" s="308" t="s">
        <v>7230</v>
      </c>
      <c r="I1820" s="314">
        <v>41428.0</v>
      </c>
      <c r="J1820" s="319">
        <f>IFERROR(__xludf.DUMMYFUNCTION("SPLIT(I1820,""/"")"),3.0)</f>
        <v>3</v>
      </c>
      <c r="K1820" s="308">
        <f>IFERROR(__xludf.DUMMYFUNCTION("""COMPUTED_VALUE"""),6.0)</f>
        <v>6</v>
      </c>
      <c r="L1820" s="308">
        <f>IFERROR(__xludf.DUMMYFUNCTION("""COMPUTED_VALUE"""),2013.0)</f>
        <v>2013</v>
      </c>
      <c r="M1820" s="308" t="s">
        <v>7231</v>
      </c>
      <c r="N1820" s="308"/>
      <c r="O1820" s="312" t="s">
        <v>7232</v>
      </c>
      <c r="P1820" s="308" t="s">
        <v>36290</v>
      </c>
      <c r="Q1820" s="308"/>
      <c r="R1820" s="308"/>
      <c r="S1820" s="308" t="s">
        <v>49</v>
      </c>
      <c r="T1820" s="315" t="s">
        <v>69</v>
      </c>
      <c r="U1820" s="308"/>
      <c r="V1820" s="312"/>
    </row>
    <row r="1821">
      <c r="A1821" s="308">
        <v>1820.0</v>
      </c>
      <c r="B1821" s="308"/>
      <c r="C1821" s="308" t="s">
        <v>7234</v>
      </c>
      <c r="D1821" s="308">
        <f>IFERROR(__xludf.DUMMYFUNCTION("SPLIT(C1821,""-"")"),1840.0)</f>
        <v>1840</v>
      </c>
      <c r="E1821" s="308" t="str">
        <f>IFERROR(__xludf.DUMMYFUNCTION("""COMPUTED_VALUE"""),"K")</f>
        <v>K</v>
      </c>
      <c r="F1821" s="309" t="s">
        <v>34</v>
      </c>
      <c r="G1821" s="308" t="s">
        <v>7235</v>
      </c>
      <c r="H1821" s="308" t="s">
        <v>7236</v>
      </c>
      <c r="I1821" s="314">
        <v>39977.0</v>
      </c>
      <c r="J1821" s="319">
        <f>IFERROR(__xludf.DUMMYFUNCTION("SPLIT(I1821,""/"")"),13.0)</f>
        <v>13</v>
      </c>
      <c r="K1821" s="308">
        <f>IFERROR(__xludf.DUMMYFUNCTION("""COMPUTED_VALUE"""),6.0)</f>
        <v>6</v>
      </c>
      <c r="L1821" s="308">
        <f>IFERROR(__xludf.DUMMYFUNCTION("""COMPUTED_VALUE"""),2009.0)</f>
        <v>2009</v>
      </c>
      <c r="M1821" s="308" t="s">
        <v>7237</v>
      </c>
      <c r="N1821" s="308" t="s">
        <v>7238</v>
      </c>
      <c r="O1821" s="312" t="s">
        <v>36291</v>
      </c>
      <c r="P1821" s="308" t="s">
        <v>6220</v>
      </c>
      <c r="Q1821" s="308"/>
      <c r="R1821" s="308"/>
      <c r="S1821" s="315" t="s">
        <v>100</v>
      </c>
      <c r="T1821" s="311" t="s">
        <v>34208</v>
      </c>
      <c r="U1821" s="308" t="s">
        <v>872</v>
      </c>
      <c r="V1821" s="312"/>
    </row>
    <row r="1822">
      <c r="A1822" s="308">
        <v>1821.0</v>
      </c>
      <c r="B1822" s="308"/>
      <c r="C1822" s="308" t="s">
        <v>7240</v>
      </c>
      <c r="D1822" s="308">
        <f>IFERROR(__xludf.DUMMYFUNCTION("SPLIT(C1822,""-"")"),1841.0)</f>
        <v>1841</v>
      </c>
      <c r="E1822" s="308" t="str">
        <f>IFERROR(__xludf.DUMMYFUNCTION("""COMPUTED_VALUE""")," K")</f>
        <v> K</v>
      </c>
      <c r="F1822" s="309" t="s">
        <v>34</v>
      </c>
      <c r="G1822" s="308" t="s">
        <v>7241</v>
      </c>
      <c r="H1822" s="308" t="s">
        <v>7242</v>
      </c>
      <c r="I1822" s="310">
        <v>40124.0</v>
      </c>
      <c r="J1822" s="319">
        <f>IFERROR(__xludf.DUMMYFUNCTION("SPLIT(I1822,""/"")"),7.0)</f>
        <v>7</v>
      </c>
      <c r="K1822" s="308">
        <f>IFERROR(__xludf.DUMMYFUNCTION("""COMPUTED_VALUE"""),11.0)</f>
        <v>11</v>
      </c>
      <c r="L1822" s="308">
        <f>IFERROR(__xludf.DUMMYFUNCTION("""COMPUTED_VALUE"""),2009.0)</f>
        <v>2009</v>
      </c>
      <c r="M1822" s="308" t="s">
        <v>7243</v>
      </c>
      <c r="N1822" s="308"/>
      <c r="O1822" s="312" t="s">
        <v>7244</v>
      </c>
      <c r="P1822" s="308" t="s">
        <v>1872</v>
      </c>
      <c r="Q1822" s="308"/>
      <c r="R1822" s="308"/>
      <c r="S1822" s="315" t="s">
        <v>100</v>
      </c>
      <c r="T1822" s="311" t="s">
        <v>34208</v>
      </c>
      <c r="U1822" s="308" t="s">
        <v>530</v>
      </c>
      <c r="V1822" s="312"/>
    </row>
    <row r="1823">
      <c r="A1823" s="308">
        <v>1822.0</v>
      </c>
      <c r="B1823" s="308"/>
      <c r="C1823" s="308" t="s">
        <v>7245</v>
      </c>
      <c r="D1823" s="308">
        <f>IFERROR(__xludf.DUMMYFUNCTION("SPLIT(C1823,""-"")"),1842.0)</f>
        <v>1842</v>
      </c>
      <c r="E1823" s="308" t="str">
        <f>IFERROR(__xludf.DUMMYFUNCTION("""COMPUTED_VALUE""")," K")</f>
        <v> K</v>
      </c>
      <c r="F1823" s="309" t="s">
        <v>34</v>
      </c>
      <c r="G1823" s="308" t="s">
        <v>7246</v>
      </c>
      <c r="H1823" s="308" t="s">
        <v>7247</v>
      </c>
      <c r="I1823" s="310">
        <v>41153.0</v>
      </c>
      <c r="J1823" s="319">
        <f>IFERROR(__xludf.DUMMYFUNCTION("SPLIT(I1823,""/"")"),1.0)</f>
        <v>1</v>
      </c>
      <c r="K1823" s="308">
        <f>IFERROR(__xludf.DUMMYFUNCTION("""COMPUTED_VALUE"""),9.0)</f>
        <v>9</v>
      </c>
      <c r="L1823" s="308">
        <f>IFERROR(__xludf.DUMMYFUNCTION("""COMPUTED_VALUE"""),2012.0)</f>
        <v>2012</v>
      </c>
      <c r="M1823" s="308" t="s">
        <v>7248</v>
      </c>
      <c r="N1823" s="308"/>
      <c r="O1823" s="312" t="s">
        <v>7249</v>
      </c>
      <c r="P1823" s="308" t="s">
        <v>36292</v>
      </c>
      <c r="Q1823" s="308"/>
      <c r="R1823" s="308"/>
      <c r="S1823" s="315" t="s">
        <v>100</v>
      </c>
      <c r="T1823" s="311" t="s">
        <v>34208</v>
      </c>
      <c r="U1823" s="308" t="s">
        <v>1393</v>
      </c>
      <c r="V1823" s="312"/>
    </row>
    <row r="1824">
      <c r="A1824" s="308">
        <v>1823.0</v>
      </c>
      <c r="B1824" s="308"/>
      <c r="C1824" s="308" t="s">
        <v>7251</v>
      </c>
      <c r="D1824" s="308">
        <f>IFERROR(__xludf.DUMMYFUNCTION("SPLIT(C1824,""-"")"),1843.0)</f>
        <v>1843</v>
      </c>
      <c r="E1824" s="308" t="str">
        <f>IFERROR(__xludf.DUMMYFUNCTION("""COMPUTED_VALUE""")," K")</f>
        <v> K</v>
      </c>
      <c r="F1824" s="309" t="s">
        <v>34</v>
      </c>
      <c r="G1824" s="308" t="s">
        <v>7252</v>
      </c>
      <c r="H1824" s="308" t="s">
        <v>7253</v>
      </c>
      <c r="I1824" s="314">
        <v>41295.0</v>
      </c>
      <c r="J1824" s="319">
        <f>IFERROR(__xludf.DUMMYFUNCTION("SPLIT(I1824,""/"")"),21.0)</f>
        <v>21</v>
      </c>
      <c r="K1824" s="308">
        <f>IFERROR(__xludf.DUMMYFUNCTION("""COMPUTED_VALUE"""),1.0)</f>
        <v>1</v>
      </c>
      <c r="L1824" s="308">
        <f>IFERROR(__xludf.DUMMYFUNCTION("""COMPUTED_VALUE"""),2013.0)</f>
        <v>2013</v>
      </c>
      <c r="M1824" s="308" t="s">
        <v>7254</v>
      </c>
      <c r="N1824" s="308"/>
      <c r="O1824" s="312" t="s">
        <v>7255</v>
      </c>
      <c r="P1824" s="308" t="s">
        <v>36293</v>
      </c>
      <c r="Q1824" s="308"/>
      <c r="R1824" s="308"/>
      <c r="S1824" s="308" t="s">
        <v>81</v>
      </c>
      <c r="T1824" s="308" t="s">
        <v>34264</v>
      </c>
      <c r="U1824" s="308"/>
      <c r="V1824" s="312"/>
    </row>
    <row r="1825">
      <c r="A1825" s="308">
        <v>1824.0</v>
      </c>
      <c r="B1825" s="308"/>
      <c r="C1825" s="308" t="s">
        <v>7257</v>
      </c>
      <c r="D1825" s="308">
        <f>IFERROR(__xludf.DUMMYFUNCTION("SPLIT(C1825,""-"")"),1844.0)</f>
        <v>1844</v>
      </c>
      <c r="E1825" s="308" t="str">
        <f>IFERROR(__xludf.DUMMYFUNCTION("""COMPUTED_VALUE""")," K")</f>
        <v> K</v>
      </c>
      <c r="F1825" s="309" t="s">
        <v>34</v>
      </c>
      <c r="G1825" s="308" t="s">
        <v>7258</v>
      </c>
      <c r="H1825" s="308" t="s">
        <v>7259</v>
      </c>
      <c r="I1825" s="310">
        <v>39915.0</v>
      </c>
      <c r="J1825" s="319">
        <f>IFERROR(__xludf.DUMMYFUNCTION("SPLIT(I1825,""/"")"),12.0)</f>
        <v>12</v>
      </c>
      <c r="K1825" s="308">
        <f>IFERROR(__xludf.DUMMYFUNCTION("""COMPUTED_VALUE"""),4.0)</f>
        <v>4</v>
      </c>
      <c r="L1825" s="308">
        <f>IFERROR(__xludf.DUMMYFUNCTION("""COMPUTED_VALUE"""),2009.0)</f>
        <v>2009</v>
      </c>
      <c r="M1825" s="308" t="s">
        <v>7260</v>
      </c>
      <c r="N1825" s="308"/>
      <c r="O1825" s="312" t="s">
        <v>7261</v>
      </c>
      <c r="P1825" s="308" t="s">
        <v>7262</v>
      </c>
      <c r="Q1825" s="308"/>
      <c r="R1825" s="308"/>
      <c r="S1825" s="308" t="s">
        <v>81</v>
      </c>
      <c r="T1825" s="308" t="s">
        <v>34264</v>
      </c>
      <c r="U1825" s="308"/>
      <c r="V1825" s="312"/>
    </row>
    <row r="1826">
      <c r="A1826" s="308">
        <v>1825.0</v>
      </c>
      <c r="B1826" s="308"/>
      <c r="C1826" s="308" t="s">
        <v>7263</v>
      </c>
      <c r="D1826" s="308">
        <f>IFERROR(__xludf.DUMMYFUNCTION("SPLIT(C1826,""-"")"),1845.0)</f>
        <v>1845</v>
      </c>
      <c r="E1826" s="308" t="str">
        <f>IFERROR(__xludf.DUMMYFUNCTION("""COMPUTED_VALUE""")," K")</f>
        <v> K</v>
      </c>
      <c r="F1826" s="309" t="s">
        <v>34</v>
      </c>
      <c r="G1826" s="308" t="s">
        <v>7264</v>
      </c>
      <c r="H1826" s="308" t="s">
        <v>7265</v>
      </c>
      <c r="I1826" s="310">
        <v>41552.0</v>
      </c>
      <c r="J1826" s="319">
        <f>IFERROR(__xludf.DUMMYFUNCTION("SPLIT(I1826,""/"")"),5.0)</f>
        <v>5</v>
      </c>
      <c r="K1826" s="308">
        <f>IFERROR(__xludf.DUMMYFUNCTION("""COMPUTED_VALUE"""),10.0)</f>
        <v>10</v>
      </c>
      <c r="L1826" s="308">
        <f>IFERROR(__xludf.DUMMYFUNCTION("""COMPUTED_VALUE"""),2013.0)</f>
        <v>2013</v>
      </c>
      <c r="M1826" s="308" t="s">
        <v>7266</v>
      </c>
      <c r="N1826" s="308" t="s">
        <v>439</v>
      </c>
      <c r="O1826" s="312" t="s">
        <v>7267</v>
      </c>
      <c r="P1826" s="308" t="s">
        <v>7268</v>
      </c>
      <c r="Q1826" s="308"/>
      <c r="R1826" s="308"/>
      <c r="S1826" s="308" t="s">
        <v>81</v>
      </c>
      <c r="T1826" s="311" t="s">
        <v>77</v>
      </c>
      <c r="U1826" s="308"/>
      <c r="V1826" s="312"/>
    </row>
    <row r="1827">
      <c r="A1827" s="308">
        <v>1826.0</v>
      </c>
      <c r="B1827" s="308"/>
      <c r="C1827" s="308" t="s">
        <v>7269</v>
      </c>
      <c r="D1827" s="308">
        <f>IFERROR(__xludf.DUMMYFUNCTION("SPLIT(C1827,""-"")"),1846.0)</f>
        <v>1846</v>
      </c>
      <c r="E1827" s="308" t="str">
        <f>IFERROR(__xludf.DUMMYFUNCTION("""COMPUTED_VALUE""")," K")</f>
        <v> K</v>
      </c>
      <c r="F1827" s="309" t="s">
        <v>34</v>
      </c>
      <c r="G1827" s="308" t="s">
        <v>7270</v>
      </c>
      <c r="H1827" s="308" t="s">
        <v>36294</v>
      </c>
      <c r="I1827" s="310">
        <v>40673.0</v>
      </c>
      <c r="J1827" s="319">
        <f>IFERROR(__xludf.DUMMYFUNCTION("SPLIT(I1827,""/"")"),10.0)</f>
        <v>10</v>
      </c>
      <c r="K1827" s="308">
        <f>IFERROR(__xludf.DUMMYFUNCTION("""COMPUTED_VALUE"""),5.0)</f>
        <v>5</v>
      </c>
      <c r="L1827" s="308">
        <f>IFERROR(__xludf.DUMMYFUNCTION("""COMPUTED_VALUE"""),2011.0)</f>
        <v>2011</v>
      </c>
      <c r="M1827" s="308" t="s">
        <v>7272</v>
      </c>
      <c r="N1827" s="308" t="s">
        <v>439</v>
      </c>
      <c r="O1827" s="312" t="s">
        <v>7273</v>
      </c>
      <c r="P1827" s="308" t="s">
        <v>7274</v>
      </c>
      <c r="Q1827" s="308"/>
      <c r="R1827" s="308"/>
      <c r="S1827" s="308" t="s">
        <v>81</v>
      </c>
      <c r="T1827" s="308" t="s">
        <v>34264</v>
      </c>
      <c r="U1827" s="308"/>
      <c r="V1827" s="312"/>
    </row>
    <row r="1828">
      <c r="A1828" s="308">
        <v>1827.0</v>
      </c>
      <c r="B1828" s="308"/>
      <c r="C1828" s="308" t="s">
        <v>7275</v>
      </c>
      <c r="D1828" s="308">
        <f>IFERROR(__xludf.DUMMYFUNCTION("SPLIT(C1828,""-"")"),1847.0)</f>
        <v>1847</v>
      </c>
      <c r="E1828" s="308" t="str">
        <f>IFERROR(__xludf.DUMMYFUNCTION("""COMPUTED_VALUE""")," K")</f>
        <v> K</v>
      </c>
      <c r="F1828" s="309" t="s">
        <v>34</v>
      </c>
      <c r="G1828" s="308" t="s">
        <v>7270</v>
      </c>
      <c r="H1828" s="308" t="s">
        <v>36295</v>
      </c>
      <c r="I1828" s="310">
        <v>40673.0</v>
      </c>
      <c r="J1828" s="319">
        <f>IFERROR(__xludf.DUMMYFUNCTION("SPLIT(I1828,""/"")"),10.0)</f>
        <v>10</v>
      </c>
      <c r="K1828" s="308">
        <f>IFERROR(__xludf.DUMMYFUNCTION("""COMPUTED_VALUE"""),5.0)</f>
        <v>5</v>
      </c>
      <c r="L1828" s="308">
        <f>IFERROR(__xludf.DUMMYFUNCTION("""COMPUTED_VALUE"""),2011.0)</f>
        <v>2011</v>
      </c>
      <c r="M1828" s="308" t="s">
        <v>7277</v>
      </c>
      <c r="N1828" s="308" t="s">
        <v>439</v>
      </c>
      <c r="O1828" s="312" t="s">
        <v>7273</v>
      </c>
      <c r="P1828" s="308" t="s">
        <v>36296</v>
      </c>
      <c r="Q1828" s="308"/>
      <c r="R1828" s="308"/>
      <c r="S1828" s="308" t="s">
        <v>81</v>
      </c>
      <c r="T1828" s="308" t="s">
        <v>75</v>
      </c>
      <c r="U1828" s="308"/>
      <c r="V1828" s="312"/>
    </row>
    <row r="1829">
      <c r="A1829" s="308">
        <v>1828.0</v>
      </c>
      <c r="B1829" s="308"/>
      <c r="C1829" s="308" t="s">
        <v>7278</v>
      </c>
      <c r="D1829" s="308">
        <f>IFERROR(__xludf.DUMMYFUNCTION("SPLIT(C1829,""-"")"),1848.0)</f>
        <v>1848</v>
      </c>
      <c r="E1829" s="308" t="str">
        <f>IFERROR(__xludf.DUMMYFUNCTION("""COMPUTED_VALUE""")," K")</f>
        <v> K</v>
      </c>
      <c r="F1829" s="309" t="s">
        <v>34</v>
      </c>
      <c r="G1829" s="308" t="s">
        <v>7270</v>
      </c>
      <c r="H1829" s="308" t="s">
        <v>36297</v>
      </c>
      <c r="I1829" s="310">
        <v>40673.0</v>
      </c>
      <c r="J1829" s="319">
        <f>IFERROR(__xludf.DUMMYFUNCTION("SPLIT(I1829,""/"")"),10.0)</f>
        <v>10</v>
      </c>
      <c r="K1829" s="308">
        <f>IFERROR(__xludf.DUMMYFUNCTION("""COMPUTED_VALUE"""),5.0)</f>
        <v>5</v>
      </c>
      <c r="L1829" s="308">
        <f>IFERROR(__xludf.DUMMYFUNCTION("""COMPUTED_VALUE"""),2011.0)</f>
        <v>2011</v>
      </c>
      <c r="M1829" s="308" t="s">
        <v>7277</v>
      </c>
      <c r="N1829" s="308" t="s">
        <v>439</v>
      </c>
      <c r="O1829" s="312" t="s">
        <v>36298</v>
      </c>
      <c r="P1829" s="308" t="s">
        <v>3575</v>
      </c>
      <c r="Q1829" s="308"/>
      <c r="R1829" s="308"/>
      <c r="S1829" s="315" t="s">
        <v>100</v>
      </c>
      <c r="T1829" s="311" t="s">
        <v>34208</v>
      </c>
      <c r="U1829" s="308" t="s">
        <v>2152</v>
      </c>
      <c r="V1829" s="312"/>
    </row>
    <row r="1830">
      <c r="A1830" s="308">
        <v>1829.0</v>
      </c>
      <c r="B1830" s="308"/>
      <c r="C1830" s="308" t="s">
        <v>7281</v>
      </c>
      <c r="D1830" s="308">
        <f>IFERROR(__xludf.DUMMYFUNCTION("SPLIT(C1830,""-"")"),1849.0)</f>
        <v>1849</v>
      </c>
      <c r="E1830" s="308" t="str">
        <f>IFERROR(__xludf.DUMMYFUNCTION("""COMPUTED_VALUE""")," S")</f>
        <v> S</v>
      </c>
      <c r="F1830" s="312" t="s">
        <v>39</v>
      </c>
      <c r="G1830" s="308" t="s">
        <v>7282</v>
      </c>
      <c r="H1830" s="308" t="s">
        <v>7283</v>
      </c>
      <c r="I1830" s="310">
        <v>41369.0</v>
      </c>
      <c r="J1830" s="319">
        <f>IFERROR(__xludf.DUMMYFUNCTION("SPLIT(I1830,""/"")"),5.0)</f>
        <v>5</v>
      </c>
      <c r="K1830" s="308">
        <f>IFERROR(__xludf.DUMMYFUNCTION("""COMPUTED_VALUE"""),4.0)</f>
        <v>4</v>
      </c>
      <c r="L1830" s="308">
        <f>IFERROR(__xludf.DUMMYFUNCTION("""COMPUTED_VALUE"""),2013.0)</f>
        <v>2013</v>
      </c>
      <c r="M1830" s="308" t="s">
        <v>7284</v>
      </c>
      <c r="N1830" s="308"/>
      <c r="O1830" s="312" t="s">
        <v>5658</v>
      </c>
      <c r="P1830" s="308" t="s">
        <v>36299</v>
      </c>
      <c r="Q1830" s="308"/>
      <c r="R1830" s="308"/>
      <c r="S1830" s="308" t="s">
        <v>81</v>
      </c>
      <c r="T1830" s="308" t="s">
        <v>75</v>
      </c>
      <c r="U1830" s="312"/>
      <c r="V1830" s="312"/>
    </row>
    <row r="1831">
      <c r="A1831" s="308">
        <v>1830.0</v>
      </c>
      <c r="B1831" s="308"/>
      <c r="C1831" s="308" t="s">
        <v>7286</v>
      </c>
      <c r="D1831" s="308">
        <f>IFERROR(__xludf.DUMMYFUNCTION("SPLIT(C1831,""-"")"),1850.0)</f>
        <v>1850</v>
      </c>
      <c r="E1831" s="308" t="str">
        <f>IFERROR(__xludf.DUMMYFUNCTION("""COMPUTED_VALUE""")," P")</f>
        <v> P</v>
      </c>
      <c r="F1831" s="312" t="s">
        <v>37</v>
      </c>
      <c r="G1831" s="308"/>
      <c r="H1831" s="308" t="s">
        <v>7287</v>
      </c>
      <c r="I1831" s="310">
        <v>41883.0</v>
      </c>
      <c r="J1831" s="319">
        <f>IFERROR(__xludf.DUMMYFUNCTION("SPLIT(I1831,""/"")"),1.0)</f>
        <v>1</v>
      </c>
      <c r="K1831" s="308">
        <f>IFERROR(__xludf.DUMMYFUNCTION("""COMPUTED_VALUE"""),9.0)</f>
        <v>9</v>
      </c>
      <c r="L1831" s="308">
        <f>IFERROR(__xludf.DUMMYFUNCTION("""COMPUTED_VALUE"""),2014.0)</f>
        <v>2014</v>
      </c>
      <c r="M1831" s="308" t="s">
        <v>7288</v>
      </c>
      <c r="N1831" s="308"/>
      <c r="O1831" s="312" t="s">
        <v>36300</v>
      </c>
      <c r="P1831" s="308" t="s">
        <v>7290</v>
      </c>
      <c r="Q1831" s="308"/>
      <c r="R1831" s="308"/>
      <c r="S1831" s="308" t="s">
        <v>81</v>
      </c>
      <c r="T1831" s="308" t="s">
        <v>34264</v>
      </c>
      <c r="U1831" s="308" t="s">
        <v>1182</v>
      </c>
      <c r="V1831" s="312"/>
    </row>
    <row r="1832">
      <c r="A1832" s="308">
        <v>1831.0</v>
      </c>
      <c r="B1832" s="308"/>
      <c r="C1832" s="308" t="s">
        <v>7291</v>
      </c>
      <c r="D1832" s="308">
        <f>IFERROR(__xludf.DUMMYFUNCTION("SPLIT(C1832,""-"")"),1851.0)</f>
        <v>1851</v>
      </c>
      <c r="E1832" s="308" t="str">
        <f>IFERROR(__xludf.DUMMYFUNCTION("""COMPUTED_VALUE""")," P")</f>
        <v> P</v>
      </c>
      <c r="F1832" s="312" t="s">
        <v>37</v>
      </c>
      <c r="G1832" s="308"/>
      <c r="H1832" s="308" t="s">
        <v>7292</v>
      </c>
      <c r="I1832" s="314">
        <v>41697.0</v>
      </c>
      <c r="J1832" s="319">
        <f>IFERROR(__xludf.DUMMYFUNCTION("SPLIT(I1832,""/"")"),27.0)</f>
        <v>27</v>
      </c>
      <c r="K1832" s="308">
        <f>IFERROR(__xludf.DUMMYFUNCTION("""COMPUTED_VALUE"""),2.0)</f>
        <v>2</v>
      </c>
      <c r="L1832" s="308">
        <f>IFERROR(__xludf.DUMMYFUNCTION("""COMPUTED_VALUE"""),2014.0)</f>
        <v>2014</v>
      </c>
      <c r="M1832" s="308" t="s">
        <v>7293</v>
      </c>
      <c r="N1832" s="308"/>
      <c r="O1832" s="312" t="s">
        <v>36301</v>
      </c>
      <c r="P1832" s="308" t="s">
        <v>7295</v>
      </c>
      <c r="Q1832" s="308"/>
      <c r="R1832" s="308"/>
      <c r="S1832" s="308" t="s">
        <v>81</v>
      </c>
      <c r="T1832" s="311" t="s">
        <v>75</v>
      </c>
      <c r="U1832" s="308"/>
      <c r="V1832" s="312"/>
    </row>
    <row r="1833">
      <c r="A1833" s="308">
        <v>1832.0</v>
      </c>
      <c r="B1833" s="308"/>
      <c r="C1833" s="308" t="s">
        <v>7296</v>
      </c>
      <c r="D1833" s="308">
        <f>IFERROR(__xludf.DUMMYFUNCTION("SPLIT(C1833,""-"")"),1852.0)</f>
        <v>1852</v>
      </c>
      <c r="E1833" s="308" t="str">
        <f>IFERROR(__xludf.DUMMYFUNCTION("""COMPUTED_VALUE""")," S")</f>
        <v> S</v>
      </c>
      <c r="F1833" s="312" t="s">
        <v>39</v>
      </c>
      <c r="G1833" s="308"/>
      <c r="H1833" s="308" t="s">
        <v>7297</v>
      </c>
      <c r="I1833" s="314">
        <v>41694.0</v>
      </c>
      <c r="J1833" s="319">
        <f>IFERROR(__xludf.DUMMYFUNCTION("SPLIT(I1833,""/"")"),24.0)</f>
        <v>24</v>
      </c>
      <c r="K1833" s="308">
        <f>IFERROR(__xludf.DUMMYFUNCTION("""COMPUTED_VALUE"""),2.0)</f>
        <v>2</v>
      </c>
      <c r="L1833" s="308">
        <f>IFERROR(__xludf.DUMMYFUNCTION("""COMPUTED_VALUE"""),2014.0)</f>
        <v>2014</v>
      </c>
      <c r="M1833" s="308" t="s">
        <v>7298</v>
      </c>
      <c r="N1833" s="308"/>
      <c r="O1833" s="312" t="s">
        <v>635</v>
      </c>
      <c r="P1833" s="308" t="s">
        <v>6558</v>
      </c>
      <c r="Q1833" s="308"/>
      <c r="R1833" s="308"/>
      <c r="S1833" s="308" t="s">
        <v>81</v>
      </c>
      <c r="T1833" s="311" t="s">
        <v>73</v>
      </c>
      <c r="U1833" s="312"/>
      <c r="V1833" s="312"/>
    </row>
    <row r="1834">
      <c r="A1834" s="308">
        <v>1833.0</v>
      </c>
      <c r="B1834" s="308"/>
      <c r="C1834" s="308" t="s">
        <v>7299</v>
      </c>
      <c r="D1834" s="308">
        <f>IFERROR(__xludf.DUMMYFUNCTION("SPLIT(C1834,""-"")"),1853.0)</f>
        <v>1853</v>
      </c>
      <c r="E1834" s="308" t="str">
        <f>IFERROR(__xludf.DUMMYFUNCTION("""COMPUTED_VALUE""")," S")</f>
        <v> S</v>
      </c>
      <c r="F1834" s="312" t="s">
        <v>39</v>
      </c>
      <c r="G1834" s="308"/>
      <c r="H1834" s="308" t="s">
        <v>7300</v>
      </c>
      <c r="I1834" s="314">
        <v>41694.0</v>
      </c>
      <c r="J1834" s="319">
        <f>IFERROR(__xludf.DUMMYFUNCTION("SPLIT(I1834,""/"")"),24.0)</f>
        <v>24</v>
      </c>
      <c r="K1834" s="308">
        <f>IFERROR(__xludf.DUMMYFUNCTION("""COMPUTED_VALUE"""),2.0)</f>
        <v>2</v>
      </c>
      <c r="L1834" s="308">
        <f>IFERROR(__xludf.DUMMYFUNCTION("""COMPUTED_VALUE"""),2014.0)</f>
        <v>2014</v>
      </c>
      <c r="M1834" s="308" t="s">
        <v>7301</v>
      </c>
      <c r="N1834" s="308"/>
      <c r="O1834" s="312" t="s">
        <v>635</v>
      </c>
      <c r="P1834" s="308" t="s">
        <v>6520</v>
      </c>
      <c r="Q1834" s="308"/>
      <c r="R1834" s="308"/>
      <c r="S1834" s="308" t="s">
        <v>81</v>
      </c>
      <c r="T1834" s="308" t="s">
        <v>98</v>
      </c>
      <c r="U1834" s="312"/>
      <c r="V1834" s="312"/>
    </row>
    <row r="1835">
      <c r="A1835" s="308">
        <v>1834.0</v>
      </c>
      <c r="B1835" s="308"/>
      <c r="C1835" s="308" t="s">
        <v>7302</v>
      </c>
      <c r="D1835" s="308">
        <f>IFERROR(__xludf.DUMMYFUNCTION("SPLIT(C1835,""-"")"),1854.0)</f>
        <v>1854</v>
      </c>
      <c r="E1835" s="308" t="str">
        <f>IFERROR(__xludf.DUMMYFUNCTION("""COMPUTED_VALUE""")," K")</f>
        <v> K</v>
      </c>
      <c r="F1835" s="309" t="s">
        <v>34</v>
      </c>
      <c r="G1835" s="308"/>
      <c r="H1835" s="308" t="s">
        <v>7303</v>
      </c>
      <c r="I1835" s="314">
        <v>41274.0</v>
      </c>
      <c r="J1835" s="319">
        <f>IFERROR(__xludf.DUMMYFUNCTION("SPLIT(I1835,""/"")"),31.0)</f>
        <v>31</v>
      </c>
      <c r="K1835" s="308">
        <f>IFERROR(__xludf.DUMMYFUNCTION("""COMPUTED_VALUE"""),12.0)</f>
        <v>12</v>
      </c>
      <c r="L1835" s="308">
        <f>IFERROR(__xludf.DUMMYFUNCTION("""COMPUTED_VALUE"""),2012.0)</f>
        <v>2012</v>
      </c>
      <c r="M1835" s="308" t="s">
        <v>7304</v>
      </c>
      <c r="N1835" s="308"/>
      <c r="O1835" s="312" t="s">
        <v>36302</v>
      </c>
      <c r="P1835" s="308" t="s">
        <v>7306</v>
      </c>
      <c r="Q1835" s="308"/>
      <c r="R1835" s="308"/>
      <c r="S1835" s="308" t="s">
        <v>81</v>
      </c>
      <c r="T1835" s="308" t="s">
        <v>34264</v>
      </c>
      <c r="U1835" s="308"/>
      <c r="V1835" s="312"/>
    </row>
    <row r="1836">
      <c r="A1836" s="308">
        <v>1835.0</v>
      </c>
      <c r="B1836" s="308"/>
      <c r="C1836" s="308" t="s">
        <v>7307</v>
      </c>
      <c r="D1836" s="308">
        <f>IFERROR(__xludf.DUMMYFUNCTION("SPLIT(C1836,""-"")"),1855.0)</f>
        <v>1855</v>
      </c>
      <c r="E1836" s="308" t="str">
        <f>IFERROR(__xludf.DUMMYFUNCTION("""COMPUTED_VALUE""")," B")</f>
        <v> B</v>
      </c>
      <c r="F1836" s="315" t="s">
        <v>26</v>
      </c>
      <c r="G1836" s="308"/>
      <c r="H1836" s="308" t="s">
        <v>7308</v>
      </c>
      <c r="I1836" s="314">
        <v>41606.0</v>
      </c>
      <c r="J1836" s="319">
        <f>IFERROR(__xludf.DUMMYFUNCTION("SPLIT(I1836,""/"")"),28.0)</f>
        <v>28</v>
      </c>
      <c r="K1836" s="308">
        <f>IFERROR(__xludf.DUMMYFUNCTION("""COMPUTED_VALUE"""),11.0)</f>
        <v>11</v>
      </c>
      <c r="L1836" s="308">
        <f>IFERROR(__xludf.DUMMYFUNCTION("""COMPUTED_VALUE"""),2013.0)</f>
        <v>2013</v>
      </c>
      <c r="M1836" s="308" t="s">
        <v>7309</v>
      </c>
      <c r="N1836" s="308"/>
      <c r="O1836" s="312"/>
      <c r="P1836" s="308" t="s">
        <v>7310</v>
      </c>
      <c r="Q1836" s="308"/>
      <c r="R1836" s="308"/>
      <c r="S1836" s="308" t="s">
        <v>49</v>
      </c>
      <c r="T1836" s="308" t="s">
        <v>51</v>
      </c>
      <c r="U1836" s="308"/>
      <c r="V1836" s="312"/>
    </row>
    <row r="1837">
      <c r="A1837" s="308">
        <v>1836.0</v>
      </c>
      <c r="B1837" s="308"/>
      <c r="C1837" s="308" t="s">
        <v>7311</v>
      </c>
      <c r="D1837" s="308">
        <f>IFERROR(__xludf.DUMMYFUNCTION("SPLIT(C1837,""-"")"),1856.0)</f>
        <v>1856</v>
      </c>
      <c r="E1837" s="308" t="str">
        <f>IFERROR(__xludf.DUMMYFUNCTION("""COMPUTED_VALUE""")," B")</f>
        <v> B</v>
      </c>
      <c r="F1837" s="315" t="s">
        <v>26</v>
      </c>
      <c r="G1837" s="308"/>
      <c r="H1837" s="308" t="s">
        <v>7312</v>
      </c>
      <c r="I1837" s="310">
        <v>41286.0</v>
      </c>
      <c r="J1837" s="319">
        <f>IFERROR(__xludf.DUMMYFUNCTION("SPLIT(I1837,""/"")"),12.0)</f>
        <v>12</v>
      </c>
      <c r="K1837" s="308">
        <f>IFERROR(__xludf.DUMMYFUNCTION("""COMPUTED_VALUE"""),1.0)</f>
        <v>1</v>
      </c>
      <c r="L1837" s="308">
        <f>IFERROR(__xludf.DUMMYFUNCTION("""COMPUTED_VALUE"""),2013.0)</f>
        <v>2013</v>
      </c>
      <c r="M1837" s="308" t="s">
        <v>7309</v>
      </c>
      <c r="N1837" s="308"/>
      <c r="O1837" s="312"/>
      <c r="P1837" s="308" t="s">
        <v>7310</v>
      </c>
      <c r="Q1837" s="308"/>
      <c r="R1837" s="308"/>
      <c r="S1837" s="308" t="s">
        <v>49</v>
      </c>
      <c r="T1837" s="308" t="s">
        <v>51</v>
      </c>
      <c r="U1837" s="308"/>
      <c r="V1837" s="312"/>
    </row>
    <row r="1838">
      <c r="A1838" s="308">
        <v>1837.0</v>
      </c>
      <c r="B1838" s="308"/>
      <c r="C1838" s="308" t="s">
        <v>7313</v>
      </c>
      <c r="D1838" s="308">
        <f>IFERROR(__xludf.DUMMYFUNCTION("SPLIT(C1838,""-"")"),1857.0)</f>
        <v>1857</v>
      </c>
      <c r="E1838" s="308" t="str">
        <f>IFERROR(__xludf.DUMMYFUNCTION("""COMPUTED_VALUE""")," K")</f>
        <v> K</v>
      </c>
      <c r="F1838" s="309" t="s">
        <v>34</v>
      </c>
      <c r="G1838" s="308"/>
      <c r="H1838" s="308" t="s">
        <v>7314</v>
      </c>
      <c r="I1838" s="310">
        <v>41403.0</v>
      </c>
      <c r="J1838" s="319">
        <f>IFERROR(__xludf.DUMMYFUNCTION("SPLIT(I1838,""/"")"),9.0)</f>
        <v>9</v>
      </c>
      <c r="K1838" s="308">
        <f>IFERROR(__xludf.DUMMYFUNCTION("""COMPUTED_VALUE"""),5.0)</f>
        <v>5</v>
      </c>
      <c r="L1838" s="308">
        <f>IFERROR(__xludf.DUMMYFUNCTION("""COMPUTED_VALUE"""),2013.0)</f>
        <v>2013</v>
      </c>
      <c r="M1838" s="308" t="s">
        <v>7315</v>
      </c>
      <c r="N1838" s="308"/>
      <c r="O1838" s="312" t="s">
        <v>36303</v>
      </c>
      <c r="P1838" s="308" t="s">
        <v>7317</v>
      </c>
      <c r="Q1838" s="308"/>
      <c r="R1838" s="308"/>
      <c r="S1838" s="308" t="s">
        <v>81</v>
      </c>
      <c r="T1838" s="308" t="s">
        <v>34264</v>
      </c>
      <c r="U1838" s="308"/>
      <c r="V1838" s="312"/>
    </row>
    <row r="1839">
      <c r="A1839" s="308">
        <v>1838.0</v>
      </c>
      <c r="B1839" s="308"/>
      <c r="C1839" s="308" t="s">
        <v>7318</v>
      </c>
      <c r="D1839" s="308">
        <f>IFERROR(__xludf.DUMMYFUNCTION("SPLIT(C1839,""-"")"),1858.0)</f>
        <v>1858</v>
      </c>
      <c r="E1839" s="308" t="str">
        <f>IFERROR(__xludf.DUMMYFUNCTION("""COMPUTED_VALUE""")," K")</f>
        <v> K</v>
      </c>
      <c r="F1839" s="309" t="s">
        <v>34</v>
      </c>
      <c r="G1839" s="308"/>
      <c r="H1839" s="308" t="s">
        <v>7319</v>
      </c>
      <c r="I1839" s="316">
        <v>2009.0</v>
      </c>
      <c r="J1839" s="319"/>
      <c r="K1839" s="308"/>
      <c r="L1839" s="311">
        <v>2009.0</v>
      </c>
      <c r="M1839" s="308" t="s">
        <v>7320</v>
      </c>
      <c r="N1839" s="308" t="s">
        <v>7321</v>
      </c>
      <c r="O1839" s="312" t="s">
        <v>35158</v>
      </c>
      <c r="P1839" s="308" t="s">
        <v>1872</v>
      </c>
      <c r="Q1839" s="308"/>
      <c r="R1839" s="308"/>
      <c r="S1839" s="315" t="s">
        <v>100</v>
      </c>
      <c r="T1839" s="311" t="s">
        <v>34208</v>
      </c>
      <c r="U1839" s="308" t="s">
        <v>530</v>
      </c>
      <c r="V1839" s="312"/>
    </row>
    <row r="1840">
      <c r="A1840" s="308">
        <v>1839.0</v>
      </c>
      <c r="B1840" s="308"/>
      <c r="C1840" s="308" t="s">
        <v>7322</v>
      </c>
      <c r="D1840" s="308">
        <f>IFERROR(__xludf.DUMMYFUNCTION("SPLIT(C1840,""-"")"),1859.0)</f>
        <v>1859</v>
      </c>
      <c r="E1840" s="308" t="str">
        <f>IFERROR(__xludf.DUMMYFUNCTION("""COMPUTED_VALUE""")," K")</f>
        <v> K</v>
      </c>
      <c r="F1840" s="309" t="s">
        <v>34</v>
      </c>
      <c r="G1840" s="308"/>
      <c r="H1840" s="308" t="s">
        <v>7323</v>
      </c>
      <c r="I1840" s="310">
        <v>41191.0</v>
      </c>
      <c r="J1840" s="319">
        <f>IFERROR(__xludf.DUMMYFUNCTION("SPLIT(I1840,""/"")"),9.0)</f>
        <v>9</v>
      </c>
      <c r="K1840" s="308">
        <f>IFERROR(__xludf.DUMMYFUNCTION("""COMPUTED_VALUE"""),10.0)</f>
        <v>10</v>
      </c>
      <c r="L1840" s="308">
        <f>IFERROR(__xludf.DUMMYFUNCTION("""COMPUTED_VALUE"""),2012.0)</f>
        <v>2012</v>
      </c>
      <c r="M1840" s="308" t="s">
        <v>7324</v>
      </c>
      <c r="N1840" s="308"/>
      <c r="O1840" s="312" t="s">
        <v>7325</v>
      </c>
      <c r="P1840" s="308" t="s">
        <v>36304</v>
      </c>
      <c r="Q1840" s="308"/>
      <c r="R1840" s="308"/>
      <c r="S1840" s="308" t="s">
        <v>81</v>
      </c>
      <c r="T1840" s="308" t="s">
        <v>34264</v>
      </c>
      <c r="U1840" s="308" t="s">
        <v>530</v>
      </c>
      <c r="V1840" s="312"/>
    </row>
    <row r="1841">
      <c r="A1841" s="308">
        <v>1840.0</v>
      </c>
      <c r="B1841" s="308"/>
      <c r="C1841" s="308" t="s">
        <v>7327</v>
      </c>
      <c r="D1841" s="308">
        <f>IFERROR(__xludf.DUMMYFUNCTION("SPLIT(C1841,""-"")"),1860.0)</f>
        <v>1860</v>
      </c>
      <c r="E1841" s="308" t="str">
        <f>IFERROR(__xludf.DUMMYFUNCTION("""COMPUTED_VALUE""")," K")</f>
        <v> K</v>
      </c>
      <c r="F1841" s="309" t="s">
        <v>34</v>
      </c>
      <c r="G1841" s="308"/>
      <c r="H1841" s="308" t="s">
        <v>7328</v>
      </c>
      <c r="I1841" s="322"/>
      <c r="J1841" s="319"/>
      <c r="K1841" s="308"/>
      <c r="L1841" s="311" t="s">
        <v>79</v>
      </c>
      <c r="M1841" s="308" t="s">
        <v>7329</v>
      </c>
      <c r="N1841" s="308"/>
      <c r="O1841" s="312" t="s">
        <v>7330</v>
      </c>
      <c r="P1841" s="308" t="s">
        <v>7331</v>
      </c>
      <c r="Q1841" s="308"/>
      <c r="R1841" s="308"/>
      <c r="S1841" s="308" t="s">
        <v>81</v>
      </c>
      <c r="T1841" s="308" t="s">
        <v>34264</v>
      </c>
      <c r="U1841" s="308"/>
      <c r="V1841" s="312"/>
    </row>
    <row r="1842">
      <c r="A1842" s="308">
        <v>1841.0</v>
      </c>
      <c r="B1842" s="308"/>
      <c r="C1842" s="308" t="s">
        <v>7332</v>
      </c>
      <c r="D1842" s="308">
        <f>IFERROR(__xludf.DUMMYFUNCTION("SPLIT(C1842,""-"")"),1861.0)</f>
        <v>1861</v>
      </c>
      <c r="E1842" s="308" t="str">
        <f>IFERROR(__xludf.DUMMYFUNCTION("""COMPUTED_VALUE""")," S")</f>
        <v> S</v>
      </c>
      <c r="F1842" s="312" t="s">
        <v>39</v>
      </c>
      <c r="G1842" s="308"/>
      <c r="H1842" s="308" t="s">
        <v>7333</v>
      </c>
      <c r="I1842" s="314">
        <v>41515.0</v>
      </c>
      <c r="J1842" s="319">
        <f>IFERROR(__xludf.DUMMYFUNCTION("SPLIT(I1842,""/"")"),29.0)</f>
        <v>29</v>
      </c>
      <c r="K1842" s="308">
        <f>IFERROR(__xludf.DUMMYFUNCTION("""COMPUTED_VALUE"""),8.0)</f>
        <v>8</v>
      </c>
      <c r="L1842" s="308">
        <f>IFERROR(__xludf.DUMMYFUNCTION("""COMPUTED_VALUE"""),2013.0)</f>
        <v>2013</v>
      </c>
      <c r="M1842" s="308" t="s">
        <v>7329</v>
      </c>
      <c r="N1842" s="308"/>
      <c r="O1842" s="312" t="s">
        <v>7334</v>
      </c>
      <c r="P1842" s="308" t="s">
        <v>36305</v>
      </c>
      <c r="Q1842" s="308"/>
      <c r="R1842" s="308"/>
      <c r="S1842" s="308" t="s">
        <v>81</v>
      </c>
      <c r="T1842" s="308" t="s">
        <v>75</v>
      </c>
      <c r="U1842" s="312"/>
      <c r="V1842" s="312"/>
    </row>
    <row r="1843">
      <c r="A1843" s="308">
        <v>1842.0</v>
      </c>
      <c r="B1843" s="308"/>
      <c r="C1843" s="308" t="s">
        <v>7336</v>
      </c>
      <c r="D1843" s="308">
        <f>IFERROR(__xludf.DUMMYFUNCTION("SPLIT(C1843,""-"")"),1862.0)</f>
        <v>1862</v>
      </c>
      <c r="E1843" s="308" t="str">
        <f>IFERROR(__xludf.DUMMYFUNCTION("""COMPUTED_VALUE""")," K")</f>
        <v> K</v>
      </c>
      <c r="F1843" s="309" t="s">
        <v>34</v>
      </c>
      <c r="G1843" s="308"/>
      <c r="H1843" s="308" t="s">
        <v>7337</v>
      </c>
      <c r="I1843" s="310">
        <v>41162.0</v>
      </c>
      <c r="J1843" s="319">
        <f>IFERROR(__xludf.DUMMYFUNCTION("SPLIT(I1843,""/"")"),10.0)</f>
        <v>10</v>
      </c>
      <c r="K1843" s="308">
        <f>IFERROR(__xludf.DUMMYFUNCTION("""COMPUTED_VALUE"""),9.0)</f>
        <v>9</v>
      </c>
      <c r="L1843" s="308">
        <f>IFERROR(__xludf.DUMMYFUNCTION("""COMPUTED_VALUE"""),2012.0)</f>
        <v>2012</v>
      </c>
      <c r="M1843" s="308" t="s">
        <v>7338</v>
      </c>
      <c r="N1843" s="308"/>
      <c r="O1843" s="312" t="s">
        <v>7339</v>
      </c>
      <c r="P1843" s="308" t="s">
        <v>7340</v>
      </c>
      <c r="Q1843" s="308"/>
      <c r="R1843" s="308"/>
      <c r="S1843" s="308" t="s">
        <v>81</v>
      </c>
      <c r="T1843" s="308" t="s">
        <v>34264</v>
      </c>
      <c r="U1843" s="308"/>
      <c r="V1843" s="312"/>
    </row>
    <row r="1844">
      <c r="A1844" s="308">
        <v>1843.0</v>
      </c>
      <c r="B1844" s="308"/>
      <c r="C1844" s="308" t="s">
        <v>7341</v>
      </c>
      <c r="D1844" s="308">
        <f>IFERROR(__xludf.DUMMYFUNCTION("SPLIT(C1844,""-"")"),1863.0)</f>
        <v>1863</v>
      </c>
      <c r="E1844" s="308" t="str">
        <f>IFERROR(__xludf.DUMMYFUNCTION("""COMPUTED_VALUE""")," K")</f>
        <v> K</v>
      </c>
      <c r="F1844" s="309" t="s">
        <v>34</v>
      </c>
      <c r="G1844" s="308"/>
      <c r="H1844" s="308" t="s">
        <v>7342</v>
      </c>
      <c r="I1844" s="314">
        <v>39948.0</v>
      </c>
      <c r="J1844" s="319">
        <f>IFERROR(__xludf.DUMMYFUNCTION("SPLIT(I1844,""/"")"),15.0)</f>
        <v>15</v>
      </c>
      <c r="K1844" s="308">
        <f>IFERROR(__xludf.DUMMYFUNCTION("""COMPUTED_VALUE"""),5.0)</f>
        <v>5</v>
      </c>
      <c r="L1844" s="308">
        <f>IFERROR(__xludf.DUMMYFUNCTION("""COMPUTED_VALUE"""),2009.0)</f>
        <v>2009</v>
      </c>
      <c r="M1844" s="308" t="s">
        <v>7343</v>
      </c>
      <c r="N1844" s="308"/>
      <c r="O1844" s="312" t="s">
        <v>7344</v>
      </c>
      <c r="P1844" s="308" t="s">
        <v>36306</v>
      </c>
      <c r="Q1844" s="308"/>
      <c r="R1844" s="308"/>
      <c r="S1844" s="308" t="s">
        <v>49</v>
      </c>
      <c r="T1844" s="311" t="s">
        <v>57</v>
      </c>
      <c r="U1844" s="308" t="s">
        <v>530</v>
      </c>
      <c r="V1844" s="312"/>
    </row>
    <row r="1845">
      <c r="A1845" s="308">
        <v>1844.0</v>
      </c>
      <c r="B1845" s="308"/>
      <c r="C1845" s="308" t="s">
        <v>7346</v>
      </c>
      <c r="D1845" s="308">
        <f>IFERROR(__xludf.DUMMYFUNCTION("SPLIT(C1845,""-"")"),1864.0)</f>
        <v>1864</v>
      </c>
      <c r="E1845" s="308" t="str">
        <f>IFERROR(__xludf.DUMMYFUNCTION("""COMPUTED_VALUE""")," K")</f>
        <v> K</v>
      </c>
      <c r="F1845" s="309" t="s">
        <v>34</v>
      </c>
      <c r="G1845" s="308"/>
      <c r="H1845" s="308" t="s">
        <v>7347</v>
      </c>
      <c r="I1845" s="314">
        <v>39959.0</v>
      </c>
      <c r="J1845" s="319">
        <f>IFERROR(__xludf.DUMMYFUNCTION("SPLIT(I1845,""/"")"),26.0)</f>
        <v>26</v>
      </c>
      <c r="K1845" s="308">
        <f>IFERROR(__xludf.DUMMYFUNCTION("""COMPUTED_VALUE"""),5.0)</f>
        <v>5</v>
      </c>
      <c r="L1845" s="308">
        <f>IFERROR(__xludf.DUMMYFUNCTION("""COMPUTED_VALUE"""),2009.0)</f>
        <v>2009</v>
      </c>
      <c r="M1845" s="308" t="s">
        <v>7348</v>
      </c>
      <c r="N1845" s="308"/>
      <c r="O1845" s="312" t="s">
        <v>7349</v>
      </c>
      <c r="P1845" s="308" t="s">
        <v>7350</v>
      </c>
      <c r="Q1845" s="308"/>
      <c r="R1845" s="308"/>
      <c r="S1845" s="308" t="s">
        <v>81</v>
      </c>
      <c r="T1845" s="308" t="s">
        <v>34264</v>
      </c>
      <c r="U1845" s="308"/>
      <c r="V1845" s="312"/>
    </row>
    <row r="1846">
      <c r="A1846" s="308">
        <v>1845.0</v>
      </c>
      <c r="B1846" s="308"/>
      <c r="C1846" s="308" t="s">
        <v>7351</v>
      </c>
      <c r="D1846" s="308">
        <f>IFERROR(__xludf.DUMMYFUNCTION("SPLIT(C1846,""-"")"),1865.0)</f>
        <v>1865</v>
      </c>
      <c r="E1846" s="308" t="str">
        <f>IFERROR(__xludf.DUMMYFUNCTION("""COMPUTED_VALUE""")," F")</f>
        <v> F</v>
      </c>
      <c r="F1846" s="309" t="s">
        <v>34</v>
      </c>
      <c r="G1846" s="308"/>
      <c r="H1846" s="308" t="s">
        <v>7352</v>
      </c>
      <c r="I1846" s="310">
        <v>41582.0</v>
      </c>
      <c r="J1846" s="319">
        <f>IFERROR(__xludf.DUMMYFUNCTION("SPLIT(I1846,""/"")"),4.0)</f>
        <v>4</v>
      </c>
      <c r="K1846" s="308">
        <f>IFERROR(__xludf.DUMMYFUNCTION("""COMPUTED_VALUE"""),11.0)</f>
        <v>11</v>
      </c>
      <c r="L1846" s="308">
        <f>IFERROR(__xludf.DUMMYFUNCTION("""COMPUTED_VALUE"""),2013.0)</f>
        <v>2013</v>
      </c>
      <c r="M1846" s="308" t="s">
        <v>7353</v>
      </c>
      <c r="N1846" s="308" t="s">
        <v>7354</v>
      </c>
      <c r="O1846" s="312" t="s">
        <v>7355</v>
      </c>
      <c r="P1846" s="308" t="s">
        <v>34322</v>
      </c>
      <c r="Q1846" s="308"/>
      <c r="R1846" s="312" t="s">
        <v>7356</v>
      </c>
      <c r="S1846" s="308" t="s">
        <v>79</v>
      </c>
      <c r="T1846" s="308" t="s">
        <v>79</v>
      </c>
      <c r="U1846" s="308" t="s">
        <v>6395</v>
      </c>
      <c r="V1846" s="312"/>
    </row>
    <row r="1847">
      <c r="A1847" s="308">
        <v>1846.0</v>
      </c>
      <c r="B1847" s="308"/>
      <c r="C1847" s="308" t="s">
        <v>7357</v>
      </c>
      <c r="D1847" s="308">
        <f>IFERROR(__xludf.DUMMYFUNCTION("SPLIT(C1847,""-"")"),1866.0)</f>
        <v>1866</v>
      </c>
      <c r="E1847" s="308" t="str">
        <f>IFERROR(__xludf.DUMMYFUNCTION("""COMPUTED_VALUE""")," K")</f>
        <v> K</v>
      </c>
      <c r="F1847" s="309" t="s">
        <v>34</v>
      </c>
      <c r="G1847" s="308"/>
      <c r="H1847" s="308" t="s">
        <v>7358</v>
      </c>
      <c r="I1847" s="314">
        <v>41239.0</v>
      </c>
      <c r="J1847" s="319">
        <f>IFERROR(__xludf.DUMMYFUNCTION("SPLIT(I1847,""/"")"),26.0)</f>
        <v>26</v>
      </c>
      <c r="K1847" s="308">
        <f>IFERROR(__xludf.DUMMYFUNCTION("""COMPUTED_VALUE"""),11.0)</f>
        <v>11</v>
      </c>
      <c r="L1847" s="308">
        <f>IFERROR(__xludf.DUMMYFUNCTION("""COMPUTED_VALUE"""),2012.0)</f>
        <v>2012</v>
      </c>
      <c r="M1847" s="308" t="s">
        <v>7359</v>
      </c>
      <c r="N1847" s="308"/>
      <c r="O1847" s="312" t="s">
        <v>7360</v>
      </c>
      <c r="P1847" s="308" t="s">
        <v>7361</v>
      </c>
      <c r="Q1847" s="308"/>
      <c r="R1847" s="308"/>
      <c r="S1847" s="308" t="s">
        <v>81</v>
      </c>
      <c r="T1847" s="308" t="s">
        <v>34264</v>
      </c>
      <c r="U1847" s="308"/>
      <c r="V1847" s="312"/>
    </row>
    <row r="1848">
      <c r="A1848" s="308">
        <v>1847.0</v>
      </c>
      <c r="B1848" s="308"/>
      <c r="C1848" s="308" t="s">
        <v>7362</v>
      </c>
      <c r="D1848" s="308">
        <f>IFERROR(__xludf.DUMMYFUNCTION("SPLIT(C1848,""-"")"),1867.0)</f>
        <v>1867</v>
      </c>
      <c r="E1848" s="308" t="str">
        <f>IFERROR(__xludf.DUMMYFUNCTION("""COMPUTED_VALUE""")," K")</f>
        <v> K</v>
      </c>
      <c r="F1848" s="309" t="s">
        <v>34</v>
      </c>
      <c r="G1848" s="308"/>
      <c r="H1848" s="308" t="s">
        <v>7363</v>
      </c>
      <c r="I1848" s="310">
        <v>39730.0</v>
      </c>
      <c r="J1848" s="319">
        <f>IFERROR(__xludf.DUMMYFUNCTION("SPLIT(I1848,""/"")"),9.0)</f>
        <v>9</v>
      </c>
      <c r="K1848" s="308">
        <f>IFERROR(__xludf.DUMMYFUNCTION("""COMPUTED_VALUE"""),10.0)</f>
        <v>10</v>
      </c>
      <c r="L1848" s="308">
        <f>IFERROR(__xludf.DUMMYFUNCTION("""COMPUTED_VALUE"""),2008.0)</f>
        <v>2008</v>
      </c>
      <c r="M1848" s="308" t="s">
        <v>7364</v>
      </c>
      <c r="N1848" s="308"/>
      <c r="O1848" s="312" t="s">
        <v>7365</v>
      </c>
      <c r="P1848" s="308" t="s">
        <v>36307</v>
      </c>
      <c r="Q1848" s="308"/>
      <c r="R1848" s="308"/>
      <c r="S1848" s="308" t="s">
        <v>49</v>
      </c>
      <c r="T1848" s="309" t="s">
        <v>70</v>
      </c>
      <c r="U1848" s="308" t="s">
        <v>4749</v>
      </c>
      <c r="V1848" s="312"/>
    </row>
    <row r="1849">
      <c r="A1849" s="308">
        <v>1848.0</v>
      </c>
      <c r="B1849" s="308"/>
      <c r="C1849" s="308" t="s">
        <v>7367</v>
      </c>
      <c r="D1849" s="308">
        <f>IFERROR(__xludf.DUMMYFUNCTION("SPLIT(C1849,""-"")"),1868.0)</f>
        <v>1868</v>
      </c>
      <c r="E1849" s="308" t="str">
        <f>IFERROR(__xludf.DUMMYFUNCTION("""COMPUTED_VALUE""")," K")</f>
        <v> K</v>
      </c>
      <c r="F1849" s="309" t="s">
        <v>34</v>
      </c>
      <c r="G1849" s="308"/>
      <c r="H1849" s="308" t="s">
        <v>7368</v>
      </c>
      <c r="I1849" s="310">
        <v>41792.0</v>
      </c>
      <c r="J1849" s="319">
        <f>IFERROR(__xludf.DUMMYFUNCTION("SPLIT(I1849,""/"")"),2.0)</f>
        <v>2</v>
      </c>
      <c r="K1849" s="308">
        <f>IFERROR(__xludf.DUMMYFUNCTION("""COMPUTED_VALUE"""),6.0)</f>
        <v>6</v>
      </c>
      <c r="L1849" s="308">
        <f>IFERROR(__xludf.DUMMYFUNCTION("""COMPUTED_VALUE"""),2014.0)</f>
        <v>2014</v>
      </c>
      <c r="M1849" s="308" t="s">
        <v>7369</v>
      </c>
      <c r="N1849" s="308"/>
      <c r="O1849" s="312" t="s">
        <v>7370</v>
      </c>
      <c r="P1849" s="308" t="s">
        <v>7371</v>
      </c>
      <c r="Q1849" s="308"/>
      <c r="R1849" s="308"/>
      <c r="S1849" s="308" t="s">
        <v>81</v>
      </c>
      <c r="T1849" s="308" t="s">
        <v>75</v>
      </c>
      <c r="U1849" s="308"/>
      <c r="V1849" s="312"/>
    </row>
    <row r="1850">
      <c r="A1850" s="308">
        <v>1849.0</v>
      </c>
      <c r="B1850" s="308"/>
      <c r="C1850" s="308" t="s">
        <v>7372</v>
      </c>
      <c r="D1850" s="308">
        <f>IFERROR(__xludf.DUMMYFUNCTION("SPLIT(C1850,""-"")"),1869.0)</f>
        <v>1869</v>
      </c>
      <c r="E1850" s="308" t="str">
        <f>IFERROR(__xludf.DUMMYFUNCTION("""COMPUTED_VALUE""")," K")</f>
        <v> K</v>
      </c>
      <c r="F1850" s="309" t="s">
        <v>34</v>
      </c>
      <c r="G1850" s="308"/>
      <c r="H1850" s="308" t="s">
        <v>7373</v>
      </c>
      <c r="I1850" s="314">
        <v>41668.0</v>
      </c>
      <c r="J1850" s="319">
        <f>IFERROR(__xludf.DUMMYFUNCTION("SPLIT(I1850,""/"")"),29.0)</f>
        <v>29</v>
      </c>
      <c r="K1850" s="308">
        <f>IFERROR(__xludf.DUMMYFUNCTION("""COMPUTED_VALUE"""),1.0)</f>
        <v>1</v>
      </c>
      <c r="L1850" s="308">
        <f>IFERROR(__xludf.DUMMYFUNCTION("""COMPUTED_VALUE"""),2014.0)</f>
        <v>2014</v>
      </c>
      <c r="M1850" s="308" t="s">
        <v>7374</v>
      </c>
      <c r="N1850" s="308"/>
      <c r="O1850" s="312" t="s">
        <v>7375</v>
      </c>
      <c r="P1850" s="308" t="s">
        <v>7376</v>
      </c>
      <c r="Q1850" s="308"/>
      <c r="R1850" s="308"/>
      <c r="S1850" s="308" t="s">
        <v>81</v>
      </c>
      <c r="T1850" s="308" t="s">
        <v>75</v>
      </c>
      <c r="U1850" s="308"/>
      <c r="V1850" s="312"/>
    </row>
    <row r="1851">
      <c r="A1851" s="308">
        <v>1850.0</v>
      </c>
      <c r="B1851" s="308"/>
      <c r="C1851" s="308" t="s">
        <v>7377</v>
      </c>
      <c r="D1851" s="308">
        <f>IFERROR(__xludf.DUMMYFUNCTION("SPLIT(C1851,""-"")"),1870.0)</f>
        <v>1870</v>
      </c>
      <c r="E1851" s="308" t="str">
        <f>IFERROR(__xludf.DUMMYFUNCTION("""COMPUTED_VALUE""")," B")</f>
        <v> B</v>
      </c>
      <c r="F1851" s="315" t="s">
        <v>26</v>
      </c>
      <c r="G1851" s="308"/>
      <c r="H1851" s="308" t="s">
        <v>7378</v>
      </c>
      <c r="I1851" s="316">
        <v>2013.0</v>
      </c>
      <c r="J1851" s="319"/>
      <c r="K1851" s="308"/>
      <c r="L1851" s="311">
        <v>2013.0</v>
      </c>
      <c r="M1851" s="308" t="s">
        <v>7379</v>
      </c>
      <c r="N1851" s="308"/>
      <c r="O1851" s="312" t="s">
        <v>7380</v>
      </c>
      <c r="P1851" s="308" t="s">
        <v>36308</v>
      </c>
      <c r="Q1851" s="308"/>
      <c r="R1851" s="308"/>
      <c r="S1851" s="308" t="s">
        <v>81</v>
      </c>
      <c r="T1851" s="311" t="s">
        <v>90</v>
      </c>
      <c r="U1851" s="308" t="s">
        <v>27</v>
      </c>
      <c r="V1851" s="312"/>
    </row>
    <row r="1852">
      <c r="A1852" s="308">
        <v>1851.0</v>
      </c>
      <c r="B1852" s="308"/>
      <c r="C1852" s="308" t="s">
        <v>7382</v>
      </c>
      <c r="D1852" s="308">
        <f>IFERROR(__xludf.DUMMYFUNCTION("SPLIT(C1852,""-"")"),1871.0)</f>
        <v>1871</v>
      </c>
      <c r="E1852" s="308" t="str">
        <f>IFERROR(__xludf.DUMMYFUNCTION("""COMPUTED_VALUE""")," B")</f>
        <v> B</v>
      </c>
      <c r="F1852" s="315" t="s">
        <v>26</v>
      </c>
      <c r="G1852" s="308"/>
      <c r="H1852" s="308" t="s">
        <v>7383</v>
      </c>
      <c r="I1852" s="316">
        <v>2005.0</v>
      </c>
      <c r="J1852" s="319"/>
      <c r="K1852" s="308"/>
      <c r="L1852" s="311">
        <v>2005.0</v>
      </c>
      <c r="M1852" s="308" t="s">
        <v>7384</v>
      </c>
      <c r="N1852" s="308"/>
      <c r="O1852" s="312"/>
      <c r="P1852" s="308" t="s">
        <v>7385</v>
      </c>
      <c r="Q1852" s="308"/>
      <c r="R1852" s="308"/>
      <c r="S1852" s="308" t="s">
        <v>49</v>
      </c>
      <c r="T1852" s="311" t="s">
        <v>70</v>
      </c>
      <c r="U1852" s="308"/>
      <c r="V1852" s="312"/>
    </row>
    <row r="1853">
      <c r="A1853" s="308">
        <v>1852.0</v>
      </c>
      <c r="B1853" s="308"/>
      <c r="C1853" s="308" t="s">
        <v>7386</v>
      </c>
      <c r="D1853" s="308">
        <f>IFERROR(__xludf.DUMMYFUNCTION("SPLIT(C1853,""-"")"),1872.0)</f>
        <v>1872</v>
      </c>
      <c r="E1853" s="308" t="str">
        <f>IFERROR(__xludf.DUMMYFUNCTION("""COMPUTED_VALUE""")," P")</f>
        <v> P</v>
      </c>
      <c r="F1853" s="312" t="s">
        <v>37</v>
      </c>
      <c r="G1853" s="308"/>
      <c r="H1853" s="308" t="s">
        <v>7387</v>
      </c>
      <c r="I1853" s="314">
        <v>41532.0</v>
      </c>
      <c r="J1853" s="319">
        <f>IFERROR(__xludf.DUMMYFUNCTION("SPLIT(I1853,""/"")"),15.0)</f>
        <v>15</v>
      </c>
      <c r="K1853" s="308">
        <f>IFERROR(__xludf.DUMMYFUNCTION("""COMPUTED_VALUE"""),9.0)</f>
        <v>9</v>
      </c>
      <c r="L1853" s="308">
        <f>IFERROR(__xludf.DUMMYFUNCTION("""COMPUTED_VALUE"""),2013.0)</f>
        <v>2013</v>
      </c>
      <c r="M1853" s="308" t="s">
        <v>7388</v>
      </c>
      <c r="N1853" s="308"/>
      <c r="O1853" s="312" t="s">
        <v>36309</v>
      </c>
      <c r="P1853" s="308" t="s">
        <v>7390</v>
      </c>
      <c r="Q1853" s="308"/>
      <c r="R1853" s="308"/>
      <c r="S1853" s="308" t="s">
        <v>81</v>
      </c>
      <c r="T1853" s="311" t="s">
        <v>98</v>
      </c>
      <c r="U1853" s="308" t="s">
        <v>4001</v>
      </c>
      <c r="V1853" s="312"/>
    </row>
    <row r="1854">
      <c r="A1854" s="308">
        <v>1853.0</v>
      </c>
      <c r="B1854" s="308"/>
      <c r="C1854" s="308" t="s">
        <v>7391</v>
      </c>
      <c r="D1854" s="308">
        <f>IFERROR(__xludf.DUMMYFUNCTION("SPLIT(C1854,""-"")"),1873.0)</f>
        <v>1873</v>
      </c>
      <c r="E1854" s="308" t="str">
        <f>IFERROR(__xludf.DUMMYFUNCTION("""COMPUTED_VALUE""")," K")</f>
        <v> K</v>
      </c>
      <c r="F1854" s="309" t="s">
        <v>34</v>
      </c>
      <c r="G1854" s="308" t="s">
        <v>7392</v>
      </c>
      <c r="H1854" s="308" t="s">
        <v>36310</v>
      </c>
      <c r="I1854" s="316">
        <v>2011.0</v>
      </c>
      <c r="J1854" s="319"/>
      <c r="K1854" s="308"/>
      <c r="L1854" s="311">
        <v>2011.0</v>
      </c>
      <c r="M1854" s="308" t="s">
        <v>7394</v>
      </c>
      <c r="N1854" s="308"/>
      <c r="O1854" s="312" t="s">
        <v>635</v>
      </c>
      <c r="P1854" s="308" t="s">
        <v>7395</v>
      </c>
      <c r="Q1854" s="308"/>
      <c r="R1854" s="308"/>
      <c r="S1854" s="308" t="s">
        <v>81</v>
      </c>
      <c r="T1854" s="311" t="s">
        <v>73</v>
      </c>
      <c r="U1854" s="308"/>
      <c r="V1854" s="312"/>
    </row>
    <row r="1855">
      <c r="A1855" s="308">
        <v>1854.0</v>
      </c>
      <c r="B1855" s="308"/>
      <c r="C1855" s="308" t="s">
        <v>7396</v>
      </c>
      <c r="D1855" s="308">
        <f>IFERROR(__xludf.DUMMYFUNCTION("SPLIT(C1855,""-"")"),1874.0)</f>
        <v>1874</v>
      </c>
      <c r="E1855" s="308" t="str">
        <f>IFERROR(__xludf.DUMMYFUNCTION("""COMPUTED_VALUE""")," B")</f>
        <v> B</v>
      </c>
      <c r="F1855" s="315" t="s">
        <v>26</v>
      </c>
      <c r="G1855" s="308"/>
      <c r="H1855" s="308" t="s">
        <v>7397</v>
      </c>
      <c r="I1855" s="310">
        <v>41067.0</v>
      </c>
      <c r="J1855" s="319">
        <f>IFERROR(__xludf.DUMMYFUNCTION("SPLIT(I1855,""/"")"),7.0)</f>
        <v>7</v>
      </c>
      <c r="K1855" s="308">
        <f>IFERROR(__xludf.DUMMYFUNCTION("""COMPUTED_VALUE"""),6.0)</f>
        <v>6</v>
      </c>
      <c r="L1855" s="308">
        <f>IFERROR(__xludf.DUMMYFUNCTION("""COMPUTED_VALUE"""),2012.0)</f>
        <v>2012</v>
      </c>
      <c r="M1855" s="308" t="s">
        <v>7398</v>
      </c>
      <c r="N1855" s="308"/>
      <c r="O1855" s="312"/>
      <c r="P1855" s="308" t="s">
        <v>7399</v>
      </c>
      <c r="Q1855" s="308"/>
      <c r="R1855" s="308"/>
      <c r="S1855" s="308" t="s">
        <v>81</v>
      </c>
      <c r="T1855" s="308" t="s">
        <v>75</v>
      </c>
      <c r="U1855" s="308"/>
      <c r="V1855" s="312"/>
    </row>
    <row r="1856">
      <c r="A1856" s="308">
        <v>1855.0</v>
      </c>
      <c r="B1856" s="308"/>
      <c r="C1856" s="308" t="s">
        <v>7400</v>
      </c>
      <c r="D1856" s="308">
        <f>IFERROR(__xludf.DUMMYFUNCTION("SPLIT(C1856,""-"")"),1875.0)</f>
        <v>1875</v>
      </c>
      <c r="E1856" s="308" t="str">
        <f>IFERROR(__xludf.DUMMYFUNCTION("""COMPUTED_VALUE""")," B")</f>
        <v> B</v>
      </c>
      <c r="F1856" s="315" t="s">
        <v>26</v>
      </c>
      <c r="G1856" s="308"/>
      <c r="H1856" s="308" t="s">
        <v>7401</v>
      </c>
      <c r="I1856" s="314">
        <v>40630.0</v>
      </c>
      <c r="J1856" s="319">
        <f>IFERROR(__xludf.DUMMYFUNCTION("SPLIT(I1856,""/"")"),28.0)</f>
        <v>28</v>
      </c>
      <c r="K1856" s="308">
        <f>IFERROR(__xludf.DUMMYFUNCTION("""COMPUTED_VALUE"""),3.0)</f>
        <v>3</v>
      </c>
      <c r="L1856" s="308">
        <f>IFERROR(__xludf.DUMMYFUNCTION("""COMPUTED_VALUE"""),2011.0)</f>
        <v>2011</v>
      </c>
      <c r="M1856" s="308" t="s">
        <v>7402</v>
      </c>
      <c r="N1856" s="308"/>
      <c r="O1856" s="312"/>
      <c r="P1856" s="308" t="s">
        <v>7403</v>
      </c>
      <c r="Q1856" s="308"/>
      <c r="R1856" s="308"/>
      <c r="S1856" s="308" t="s">
        <v>81</v>
      </c>
      <c r="T1856" s="308" t="s">
        <v>75</v>
      </c>
      <c r="U1856" s="308"/>
      <c r="V1856" s="312"/>
    </row>
    <row r="1857">
      <c r="A1857" s="308">
        <v>1856.0</v>
      </c>
      <c r="B1857" s="308"/>
      <c r="C1857" s="308" t="s">
        <v>7404</v>
      </c>
      <c r="D1857" s="308">
        <f>IFERROR(__xludf.DUMMYFUNCTION("SPLIT(C1857,""-"")"),1876.0)</f>
        <v>1876</v>
      </c>
      <c r="E1857" s="308" t="str">
        <f>IFERROR(__xludf.DUMMYFUNCTION("""COMPUTED_VALUE""")," K")</f>
        <v> K</v>
      </c>
      <c r="F1857" s="309" t="s">
        <v>34</v>
      </c>
      <c r="G1857" s="308" t="s">
        <v>7405</v>
      </c>
      <c r="H1857" s="308" t="s">
        <v>7406</v>
      </c>
      <c r="I1857" s="314">
        <v>40009.0</v>
      </c>
      <c r="J1857" s="319">
        <f>IFERROR(__xludf.DUMMYFUNCTION("SPLIT(I1857,""/"")"),15.0)</f>
        <v>15</v>
      </c>
      <c r="K1857" s="308">
        <f>IFERROR(__xludf.DUMMYFUNCTION("""COMPUTED_VALUE"""),7.0)</f>
        <v>7</v>
      </c>
      <c r="L1857" s="308">
        <f>IFERROR(__xludf.DUMMYFUNCTION("""COMPUTED_VALUE"""),2009.0)</f>
        <v>2009</v>
      </c>
      <c r="M1857" s="308" t="s">
        <v>7407</v>
      </c>
      <c r="N1857" s="308"/>
      <c r="O1857" s="312" t="s">
        <v>7408</v>
      </c>
      <c r="P1857" s="308" t="s">
        <v>1872</v>
      </c>
      <c r="Q1857" s="308"/>
      <c r="R1857" s="308"/>
      <c r="S1857" s="315" t="s">
        <v>100</v>
      </c>
      <c r="T1857" s="311" t="s">
        <v>34208</v>
      </c>
      <c r="U1857" s="308" t="s">
        <v>530</v>
      </c>
      <c r="V1857" s="312"/>
    </row>
    <row r="1858">
      <c r="A1858" s="308">
        <v>1857.0</v>
      </c>
      <c r="B1858" s="308"/>
      <c r="C1858" s="308" t="s">
        <v>7409</v>
      </c>
      <c r="D1858" s="308">
        <f>IFERROR(__xludf.DUMMYFUNCTION("SPLIT(C1858,""-"")"),1877.0)</f>
        <v>1877</v>
      </c>
      <c r="E1858" s="308" t="str">
        <f>IFERROR(__xludf.DUMMYFUNCTION("""COMPUTED_VALUE""")," S")</f>
        <v> S</v>
      </c>
      <c r="F1858" s="312" t="s">
        <v>39</v>
      </c>
      <c r="G1858" s="308" t="s">
        <v>7410</v>
      </c>
      <c r="H1858" s="308" t="s">
        <v>7411</v>
      </c>
      <c r="I1858" s="314">
        <v>41688.0</v>
      </c>
      <c r="J1858" s="319">
        <f>IFERROR(__xludf.DUMMYFUNCTION("SPLIT(I1858,""/"")"),18.0)</f>
        <v>18</v>
      </c>
      <c r="K1858" s="308">
        <f>IFERROR(__xludf.DUMMYFUNCTION("""COMPUTED_VALUE"""),2.0)</f>
        <v>2</v>
      </c>
      <c r="L1858" s="308">
        <f>IFERROR(__xludf.DUMMYFUNCTION("""COMPUTED_VALUE"""),2014.0)</f>
        <v>2014</v>
      </c>
      <c r="M1858" s="308" t="s">
        <v>7412</v>
      </c>
      <c r="N1858" s="308"/>
      <c r="O1858" s="312" t="s">
        <v>5658</v>
      </c>
      <c r="P1858" s="308" t="s">
        <v>36311</v>
      </c>
      <c r="Q1858" s="308"/>
      <c r="R1858" s="308"/>
      <c r="S1858" s="308" t="s">
        <v>81</v>
      </c>
      <c r="T1858" s="308" t="s">
        <v>75</v>
      </c>
      <c r="U1858" s="312"/>
      <c r="V1858" s="312"/>
    </row>
    <row r="1859">
      <c r="A1859" s="308">
        <v>1858.0</v>
      </c>
      <c r="B1859" s="308"/>
      <c r="C1859" s="308" t="s">
        <v>7414</v>
      </c>
      <c r="D1859" s="308">
        <f>IFERROR(__xludf.DUMMYFUNCTION("SPLIT(C1859,""-"")"),1878.0)</f>
        <v>1878</v>
      </c>
      <c r="E1859" s="308" t="str">
        <f>IFERROR(__xludf.DUMMYFUNCTION("""COMPUTED_VALUE""")," S")</f>
        <v> S</v>
      </c>
      <c r="F1859" s="312" t="s">
        <v>39</v>
      </c>
      <c r="G1859" s="308" t="s">
        <v>7415</v>
      </c>
      <c r="H1859" s="308" t="s">
        <v>36312</v>
      </c>
      <c r="I1859" s="314">
        <v>41688.0</v>
      </c>
      <c r="J1859" s="319">
        <f>IFERROR(__xludf.DUMMYFUNCTION("SPLIT(I1859,""/"")"),18.0)</f>
        <v>18</v>
      </c>
      <c r="K1859" s="308">
        <f>IFERROR(__xludf.DUMMYFUNCTION("""COMPUTED_VALUE"""),2.0)</f>
        <v>2</v>
      </c>
      <c r="L1859" s="308">
        <f>IFERROR(__xludf.DUMMYFUNCTION("""COMPUTED_VALUE"""),2014.0)</f>
        <v>2014</v>
      </c>
      <c r="M1859" s="308" t="s">
        <v>7417</v>
      </c>
      <c r="N1859" s="308"/>
      <c r="O1859" s="312" t="s">
        <v>5658</v>
      </c>
      <c r="P1859" s="308" t="s">
        <v>36313</v>
      </c>
      <c r="Q1859" s="308"/>
      <c r="R1859" s="308"/>
      <c r="S1859" s="308" t="s">
        <v>81</v>
      </c>
      <c r="T1859" s="308" t="s">
        <v>75</v>
      </c>
      <c r="U1859" s="312"/>
      <c r="V1859" s="312"/>
    </row>
    <row r="1860">
      <c r="A1860" s="308">
        <v>1859.0</v>
      </c>
      <c r="B1860" s="308"/>
      <c r="C1860" s="308" t="s">
        <v>7419</v>
      </c>
      <c r="D1860" s="308">
        <f>IFERROR(__xludf.DUMMYFUNCTION("SPLIT(C1860,""-"")"),1879.0)</f>
        <v>1879</v>
      </c>
      <c r="E1860" s="308" t="str">
        <f>IFERROR(__xludf.DUMMYFUNCTION("""COMPUTED_VALUE""")," S")</f>
        <v> S</v>
      </c>
      <c r="F1860" s="312" t="s">
        <v>39</v>
      </c>
      <c r="G1860" s="308" t="s">
        <v>7415</v>
      </c>
      <c r="H1860" s="308" t="s">
        <v>36314</v>
      </c>
      <c r="I1860" s="314">
        <v>41688.0</v>
      </c>
      <c r="J1860" s="319">
        <f>IFERROR(__xludf.DUMMYFUNCTION("SPLIT(I1860,""/"")"),18.0)</f>
        <v>18</v>
      </c>
      <c r="K1860" s="308">
        <f>IFERROR(__xludf.DUMMYFUNCTION("""COMPUTED_VALUE"""),2.0)</f>
        <v>2</v>
      </c>
      <c r="L1860" s="308">
        <f>IFERROR(__xludf.DUMMYFUNCTION("""COMPUTED_VALUE"""),2014.0)</f>
        <v>2014</v>
      </c>
      <c r="M1860" s="308" t="s">
        <v>7421</v>
      </c>
      <c r="N1860" s="308"/>
      <c r="O1860" s="312" t="s">
        <v>5658</v>
      </c>
      <c r="P1860" s="308" t="s">
        <v>36315</v>
      </c>
      <c r="Q1860" s="308"/>
      <c r="R1860" s="308"/>
      <c r="S1860" s="308" t="s">
        <v>81</v>
      </c>
      <c r="T1860" s="308" t="s">
        <v>75</v>
      </c>
      <c r="U1860" s="312"/>
      <c r="V1860" s="312"/>
    </row>
    <row r="1861">
      <c r="A1861" s="308">
        <v>1860.0</v>
      </c>
      <c r="B1861" s="308"/>
      <c r="C1861" s="308" t="s">
        <v>7423</v>
      </c>
      <c r="D1861" s="308">
        <f>IFERROR(__xludf.DUMMYFUNCTION("SPLIT(C1861,""-"")"),1880.0)</f>
        <v>1880</v>
      </c>
      <c r="E1861" s="308" t="str">
        <f>IFERROR(__xludf.DUMMYFUNCTION("""COMPUTED_VALUE""")," K")</f>
        <v> K</v>
      </c>
      <c r="F1861" s="309" t="s">
        <v>34</v>
      </c>
      <c r="G1861" s="308" t="s">
        <v>7424</v>
      </c>
      <c r="H1861" s="308" t="s">
        <v>7425</v>
      </c>
      <c r="I1861" s="314">
        <v>41505.0</v>
      </c>
      <c r="J1861" s="319">
        <f>IFERROR(__xludf.DUMMYFUNCTION("SPLIT(I1861,""/"")"),19.0)</f>
        <v>19</v>
      </c>
      <c r="K1861" s="308">
        <f>IFERROR(__xludf.DUMMYFUNCTION("""COMPUTED_VALUE"""),8.0)</f>
        <v>8</v>
      </c>
      <c r="L1861" s="308">
        <f>IFERROR(__xludf.DUMMYFUNCTION("""COMPUTED_VALUE"""),2013.0)</f>
        <v>2013</v>
      </c>
      <c r="M1861" s="308" t="s">
        <v>7426</v>
      </c>
      <c r="N1861" s="308"/>
      <c r="O1861" s="312" t="s">
        <v>635</v>
      </c>
      <c r="P1861" s="308" t="s">
        <v>7427</v>
      </c>
      <c r="Q1861" s="308"/>
      <c r="R1861" s="308"/>
      <c r="S1861" s="308" t="s">
        <v>81</v>
      </c>
      <c r="T1861" s="311" t="s">
        <v>51</v>
      </c>
      <c r="U1861" s="308"/>
      <c r="V1861" s="312"/>
    </row>
    <row r="1862">
      <c r="A1862" s="308">
        <v>1861.0</v>
      </c>
      <c r="B1862" s="308"/>
      <c r="C1862" s="308" t="s">
        <v>7428</v>
      </c>
      <c r="D1862" s="308">
        <f>IFERROR(__xludf.DUMMYFUNCTION("SPLIT(C1862,""-"")"),1881.0)</f>
        <v>1881</v>
      </c>
      <c r="E1862" s="308" t="str">
        <f>IFERROR(__xludf.DUMMYFUNCTION("""COMPUTED_VALUE""")," K")</f>
        <v> K</v>
      </c>
      <c r="F1862" s="309" t="s">
        <v>34</v>
      </c>
      <c r="G1862" s="308" t="s">
        <v>7429</v>
      </c>
      <c r="H1862" s="308" t="s">
        <v>7430</v>
      </c>
      <c r="I1862" s="310">
        <v>40644.0</v>
      </c>
      <c r="J1862" s="319">
        <f>IFERROR(__xludf.DUMMYFUNCTION("SPLIT(I1862,""/"")"),11.0)</f>
        <v>11</v>
      </c>
      <c r="K1862" s="308">
        <f>IFERROR(__xludf.DUMMYFUNCTION("""COMPUTED_VALUE"""),4.0)</f>
        <v>4</v>
      </c>
      <c r="L1862" s="308">
        <f>IFERROR(__xludf.DUMMYFUNCTION("""COMPUTED_VALUE"""),2011.0)</f>
        <v>2011</v>
      </c>
      <c r="M1862" s="308" t="s">
        <v>7431</v>
      </c>
      <c r="N1862" s="308"/>
      <c r="O1862" s="312" t="s">
        <v>7432</v>
      </c>
      <c r="P1862" s="308" t="s">
        <v>4025</v>
      </c>
      <c r="Q1862" s="308"/>
      <c r="R1862" s="308"/>
      <c r="S1862" s="308" t="s">
        <v>81</v>
      </c>
      <c r="T1862" s="308" t="s">
        <v>34264</v>
      </c>
      <c r="U1862" s="308"/>
      <c r="V1862" s="312"/>
    </row>
    <row r="1863">
      <c r="A1863" s="308">
        <v>1862.0</v>
      </c>
      <c r="B1863" s="308"/>
      <c r="C1863" s="308" t="s">
        <v>7433</v>
      </c>
      <c r="D1863" s="308">
        <f>IFERROR(__xludf.DUMMYFUNCTION("SPLIT(C1863,""-"")"),1882.0)</f>
        <v>1882</v>
      </c>
      <c r="E1863" s="308" t="str">
        <f>IFERROR(__xludf.DUMMYFUNCTION("""COMPUTED_VALUE""")," K")</f>
        <v> K</v>
      </c>
      <c r="F1863" s="309" t="s">
        <v>34</v>
      </c>
      <c r="G1863" s="308" t="s">
        <v>7434</v>
      </c>
      <c r="H1863" s="308" t="s">
        <v>7435</v>
      </c>
      <c r="I1863" s="310">
        <v>39909.0</v>
      </c>
      <c r="J1863" s="319">
        <f>IFERROR(__xludf.DUMMYFUNCTION("SPLIT(I1863,""/"")"),6.0)</f>
        <v>6</v>
      </c>
      <c r="K1863" s="308">
        <f>IFERROR(__xludf.DUMMYFUNCTION("""COMPUTED_VALUE"""),4.0)</f>
        <v>4</v>
      </c>
      <c r="L1863" s="308">
        <f>IFERROR(__xludf.DUMMYFUNCTION("""COMPUTED_VALUE"""),2009.0)</f>
        <v>2009</v>
      </c>
      <c r="M1863" s="308" t="s">
        <v>7436</v>
      </c>
      <c r="N1863" s="308"/>
      <c r="O1863" s="312" t="s">
        <v>7437</v>
      </c>
      <c r="P1863" s="308" t="s">
        <v>1872</v>
      </c>
      <c r="Q1863" s="308"/>
      <c r="R1863" s="308"/>
      <c r="S1863" s="315" t="s">
        <v>100</v>
      </c>
      <c r="T1863" s="311" t="s">
        <v>34208</v>
      </c>
      <c r="U1863" s="308" t="s">
        <v>530</v>
      </c>
      <c r="V1863" s="312"/>
    </row>
    <row r="1864">
      <c r="A1864" s="308">
        <v>1863.0</v>
      </c>
      <c r="B1864" s="308"/>
      <c r="C1864" s="308" t="s">
        <v>7438</v>
      </c>
      <c r="D1864" s="308">
        <f>IFERROR(__xludf.DUMMYFUNCTION("SPLIT(C1864,""-"")"),1883.0)</f>
        <v>1883</v>
      </c>
      <c r="E1864" s="308" t="str">
        <f>IFERROR(__xludf.DUMMYFUNCTION("""COMPUTED_VALUE""")," K")</f>
        <v> K</v>
      </c>
      <c r="F1864" s="309" t="s">
        <v>34</v>
      </c>
      <c r="G1864" s="308" t="s">
        <v>7439</v>
      </c>
      <c r="H1864" s="308" t="s">
        <v>7440</v>
      </c>
      <c r="I1864" s="310">
        <v>40360.0</v>
      </c>
      <c r="J1864" s="319">
        <f>IFERROR(__xludf.DUMMYFUNCTION("SPLIT(I1864,""/"")"),1.0)</f>
        <v>1</v>
      </c>
      <c r="K1864" s="308">
        <f>IFERROR(__xludf.DUMMYFUNCTION("""COMPUTED_VALUE"""),7.0)</f>
        <v>7</v>
      </c>
      <c r="L1864" s="308">
        <f>IFERROR(__xludf.DUMMYFUNCTION("""COMPUTED_VALUE"""),2010.0)</f>
        <v>2010</v>
      </c>
      <c r="M1864" s="308" t="s">
        <v>7441</v>
      </c>
      <c r="N1864" s="308" t="s">
        <v>439</v>
      </c>
      <c r="O1864" s="312" t="s">
        <v>635</v>
      </c>
      <c r="P1864" s="308" t="s">
        <v>7442</v>
      </c>
      <c r="Q1864" s="308"/>
      <c r="R1864" s="308"/>
      <c r="S1864" s="315" t="s">
        <v>100</v>
      </c>
      <c r="T1864" s="311" t="s">
        <v>34208</v>
      </c>
      <c r="U1864" s="308" t="s">
        <v>282</v>
      </c>
      <c r="V1864" s="312"/>
    </row>
    <row r="1865">
      <c r="A1865" s="308">
        <v>1864.0</v>
      </c>
      <c r="B1865" s="308"/>
      <c r="C1865" s="308" t="s">
        <v>7443</v>
      </c>
      <c r="D1865" s="308">
        <f>IFERROR(__xludf.DUMMYFUNCTION("SPLIT(C1865,""-"")"),1884.0)</f>
        <v>1884</v>
      </c>
      <c r="E1865" s="308" t="str">
        <f>IFERROR(__xludf.DUMMYFUNCTION("""COMPUTED_VALUE""")," K")</f>
        <v> K</v>
      </c>
      <c r="F1865" s="309" t="s">
        <v>34</v>
      </c>
      <c r="G1865" s="308" t="s">
        <v>7439</v>
      </c>
      <c r="H1865" s="308" t="s">
        <v>7444</v>
      </c>
      <c r="I1865" s="310">
        <v>40185.0</v>
      </c>
      <c r="J1865" s="319">
        <f>IFERROR(__xludf.DUMMYFUNCTION("SPLIT(I1865,""/"")"),7.0)</f>
        <v>7</v>
      </c>
      <c r="K1865" s="308">
        <f>IFERROR(__xludf.DUMMYFUNCTION("""COMPUTED_VALUE"""),1.0)</f>
        <v>1</v>
      </c>
      <c r="L1865" s="308">
        <f>IFERROR(__xludf.DUMMYFUNCTION("""COMPUTED_VALUE"""),2010.0)</f>
        <v>2010</v>
      </c>
      <c r="M1865" s="308" t="s">
        <v>7441</v>
      </c>
      <c r="N1865" s="308" t="s">
        <v>439</v>
      </c>
      <c r="O1865" s="312"/>
      <c r="P1865" s="308" t="s">
        <v>36316</v>
      </c>
      <c r="Q1865" s="308"/>
      <c r="R1865" s="308"/>
      <c r="S1865" s="308" t="s">
        <v>81</v>
      </c>
      <c r="T1865" s="308" t="s">
        <v>75</v>
      </c>
      <c r="U1865" s="308" t="s">
        <v>282</v>
      </c>
      <c r="V1865" s="312"/>
    </row>
    <row r="1866">
      <c r="A1866" s="308">
        <v>1865.0</v>
      </c>
      <c r="B1866" s="308"/>
      <c r="C1866" s="308" t="s">
        <v>7446</v>
      </c>
      <c r="D1866" s="308">
        <f>IFERROR(__xludf.DUMMYFUNCTION("SPLIT(C1866,""-"")"),1885.0)</f>
        <v>1885</v>
      </c>
      <c r="E1866" s="308" t="str">
        <f>IFERROR(__xludf.DUMMYFUNCTION("""COMPUTED_VALUE""")," K")</f>
        <v> K</v>
      </c>
      <c r="F1866" s="309" t="s">
        <v>34</v>
      </c>
      <c r="G1866" s="308" t="s">
        <v>7439</v>
      </c>
      <c r="H1866" s="308" t="s">
        <v>7447</v>
      </c>
      <c r="I1866" s="310">
        <v>40185.0</v>
      </c>
      <c r="J1866" s="319">
        <f>IFERROR(__xludf.DUMMYFUNCTION("SPLIT(I1866,""/"")"),7.0)</f>
        <v>7</v>
      </c>
      <c r="K1866" s="308">
        <f>IFERROR(__xludf.DUMMYFUNCTION("""COMPUTED_VALUE"""),1.0)</f>
        <v>1</v>
      </c>
      <c r="L1866" s="308">
        <f>IFERROR(__xludf.DUMMYFUNCTION("""COMPUTED_VALUE"""),2010.0)</f>
        <v>2010</v>
      </c>
      <c r="M1866" s="308" t="s">
        <v>7441</v>
      </c>
      <c r="N1866" s="308" t="s">
        <v>7448</v>
      </c>
      <c r="O1866" s="312"/>
      <c r="P1866" s="308" t="s">
        <v>36316</v>
      </c>
      <c r="Q1866" s="308"/>
      <c r="R1866" s="308"/>
      <c r="S1866" s="308" t="s">
        <v>81</v>
      </c>
      <c r="T1866" s="308" t="s">
        <v>75</v>
      </c>
      <c r="U1866" s="308" t="s">
        <v>282</v>
      </c>
      <c r="V1866" s="312"/>
    </row>
    <row r="1867">
      <c r="A1867" s="308">
        <v>1866.0</v>
      </c>
      <c r="B1867" s="308"/>
      <c r="C1867" s="308" t="s">
        <v>7449</v>
      </c>
      <c r="D1867" s="308">
        <f>IFERROR(__xludf.DUMMYFUNCTION("SPLIT(C1867,""-"")"),1886.0)</f>
        <v>1886</v>
      </c>
      <c r="E1867" s="308" t="str">
        <f>IFERROR(__xludf.DUMMYFUNCTION("""COMPUTED_VALUE""")," K")</f>
        <v> K</v>
      </c>
      <c r="F1867" s="309" t="s">
        <v>34</v>
      </c>
      <c r="G1867" s="308" t="s">
        <v>7439</v>
      </c>
      <c r="H1867" s="308" t="s">
        <v>7450</v>
      </c>
      <c r="I1867" s="310">
        <v>40185.0</v>
      </c>
      <c r="J1867" s="319">
        <f>IFERROR(__xludf.DUMMYFUNCTION("SPLIT(I1867,""/"")"),7.0)</f>
        <v>7</v>
      </c>
      <c r="K1867" s="308">
        <f>IFERROR(__xludf.DUMMYFUNCTION("""COMPUTED_VALUE"""),1.0)</f>
        <v>1</v>
      </c>
      <c r="L1867" s="308">
        <f>IFERROR(__xludf.DUMMYFUNCTION("""COMPUTED_VALUE"""),2010.0)</f>
        <v>2010</v>
      </c>
      <c r="M1867" s="308" t="s">
        <v>7441</v>
      </c>
      <c r="N1867" s="308" t="s">
        <v>7451</v>
      </c>
      <c r="O1867" s="312"/>
      <c r="P1867" s="308" t="s">
        <v>36316</v>
      </c>
      <c r="Q1867" s="308"/>
      <c r="R1867" s="308"/>
      <c r="S1867" s="308" t="s">
        <v>81</v>
      </c>
      <c r="T1867" s="308" t="s">
        <v>75</v>
      </c>
      <c r="U1867" s="308" t="s">
        <v>282</v>
      </c>
      <c r="V1867" s="312"/>
    </row>
    <row r="1868">
      <c r="A1868" s="308">
        <v>1867.0</v>
      </c>
      <c r="B1868" s="308"/>
      <c r="C1868" s="308" t="s">
        <v>7452</v>
      </c>
      <c r="D1868" s="308">
        <f>IFERROR(__xludf.DUMMYFUNCTION("SPLIT(C1868,""-"")"),1887.0)</f>
        <v>1887</v>
      </c>
      <c r="E1868" s="308" t="str">
        <f>IFERROR(__xludf.DUMMYFUNCTION("""COMPUTED_VALUE""")," P")</f>
        <v> P</v>
      </c>
      <c r="F1868" s="312" t="s">
        <v>37</v>
      </c>
      <c r="G1868" s="308" t="s">
        <v>7453</v>
      </c>
      <c r="H1868" s="308" t="s">
        <v>7454</v>
      </c>
      <c r="I1868" s="314">
        <v>41271.0</v>
      </c>
      <c r="J1868" s="319">
        <f>IFERROR(__xludf.DUMMYFUNCTION("SPLIT(I1868,""/"")"),28.0)</f>
        <v>28</v>
      </c>
      <c r="K1868" s="308">
        <f>IFERROR(__xludf.DUMMYFUNCTION("""COMPUTED_VALUE"""),12.0)</f>
        <v>12</v>
      </c>
      <c r="L1868" s="308">
        <f>IFERROR(__xludf.DUMMYFUNCTION("""COMPUTED_VALUE"""),2012.0)</f>
        <v>2012</v>
      </c>
      <c r="M1868" s="308" t="s">
        <v>7455</v>
      </c>
      <c r="N1868" s="308"/>
      <c r="O1868" s="312" t="s">
        <v>7456</v>
      </c>
      <c r="P1868" s="308" t="s">
        <v>7457</v>
      </c>
      <c r="Q1868" s="308"/>
      <c r="R1868" s="308"/>
      <c r="S1868" s="308" t="s">
        <v>81</v>
      </c>
      <c r="T1868" s="308" t="s">
        <v>75</v>
      </c>
      <c r="U1868" s="308"/>
      <c r="V1868" s="312"/>
    </row>
    <row r="1869">
      <c r="A1869" s="308">
        <v>1868.0</v>
      </c>
      <c r="B1869" s="308"/>
      <c r="C1869" s="308" t="s">
        <v>7458</v>
      </c>
      <c r="D1869" s="308">
        <f>IFERROR(__xludf.DUMMYFUNCTION("SPLIT(C1869,""-"")"),1888.0)</f>
        <v>1888</v>
      </c>
      <c r="E1869" s="311" t="str">
        <f>IFERROR(__xludf.DUMMYFUNCTION("""COMPUTED_VALUE""")," K 1934 to be fixed together")</f>
        <v> K 1934 to be fixed together</v>
      </c>
      <c r="F1869" s="309" t="s">
        <v>34</v>
      </c>
      <c r="G1869" s="308" t="s">
        <v>7459</v>
      </c>
      <c r="H1869" s="308" t="s">
        <v>7460</v>
      </c>
      <c r="I1869" s="314">
        <v>41530.0</v>
      </c>
      <c r="J1869" s="319">
        <f>IFERROR(__xludf.DUMMYFUNCTION("SPLIT(I1869,""/"")"),13.0)</f>
        <v>13</v>
      </c>
      <c r="K1869" s="308">
        <f>IFERROR(__xludf.DUMMYFUNCTION("""COMPUTED_VALUE"""),9.0)</f>
        <v>9</v>
      </c>
      <c r="L1869" s="308">
        <f>IFERROR(__xludf.DUMMYFUNCTION("""COMPUTED_VALUE"""),2013.0)</f>
        <v>2013</v>
      </c>
      <c r="M1869" s="308" t="s">
        <v>7461</v>
      </c>
      <c r="N1869" s="308"/>
      <c r="O1869" s="312" t="s">
        <v>7462</v>
      </c>
      <c r="P1869" s="308" t="s">
        <v>36317</v>
      </c>
      <c r="Q1869" s="308"/>
      <c r="R1869" s="308"/>
      <c r="S1869" s="308" t="s">
        <v>81</v>
      </c>
      <c r="T1869" s="308" t="s">
        <v>34264</v>
      </c>
      <c r="U1869" s="308" t="s">
        <v>530</v>
      </c>
      <c r="V1869" s="312"/>
    </row>
    <row r="1870">
      <c r="A1870" s="308">
        <v>1869.0</v>
      </c>
      <c r="B1870" s="308"/>
      <c r="C1870" s="308" t="s">
        <v>7464</v>
      </c>
      <c r="D1870" s="308">
        <f>IFERROR(__xludf.DUMMYFUNCTION("SPLIT(C1870,""-"")"),1889.0)</f>
        <v>1889</v>
      </c>
      <c r="E1870" s="308" t="str">
        <f>IFERROR(__xludf.DUMMYFUNCTION("""COMPUTED_VALUE""")," K")</f>
        <v> K</v>
      </c>
      <c r="F1870" s="309" t="s">
        <v>34</v>
      </c>
      <c r="G1870" s="308" t="s">
        <v>7465</v>
      </c>
      <c r="H1870" s="308" t="s">
        <v>7466</v>
      </c>
      <c r="I1870" s="322"/>
      <c r="J1870" s="319"/>
      <c r="K1870" s="308"/>
      <c r="L1870" s="311" t="s">
        <v>79</v>
      </c>
      <c r="M1870" s="308" t="s">
        <v>7467</v>
      </c>
      <c r="N1870" s="308"/>
      <c r="O1870" s="312" t="s">
        <v>36318</v>
      </c>
      <c r="P1870" s="308" t="s">
        <v>7469</v>
      </c>
      <c r="Q1870" s="308"/>
      <c r="R1870" s="308"/>
      <c r="S1870" s="308" t="s">
        <v>81</v>
      </c>
      <c r="T1870" s="308" t="s">
        <v>34264</v>
      </c>
      <c r="U1870" s="308"/>
      <c r="V1870" s="312"/>
    </row>
    <row r="1871">
      <c r="A1871" s="308">
        <v>1870.0</v>
      </c>
      <c r="B1871" s="308"/>
      <c r="C1871" s="308" t="s">
        <v>7470</v>
      </c>
      <c r="D1871" s="308">
        <f>IFERROR(__xludf.DUMMYFUNCTION("SPLIT(C1871,""-"")"),1890.0)</f>
        <v>1890</v>
      </c>
      <c r="E1871" s="308" t="str">
        <f>IFERROR(__xludf.DUMMYFUNCTION("""COMPUTED_VALUE""")," K")</f>
        <v> K</v>
      </c>
      <c r="F1871" s="309" t="s">
        <v>34</v>
      </c>
      <c r="G1871" s="308" t="s">
        <v>7471</v>
      </c>
      <c r="H1871" s="308" t="s">
        <v>7472</v>
      </c>
      <c r="I1871" s="314">
        <v>41193.0</v>
      </c>
      <c r="J1871" s="319">
        <f>IFERROR(__xludf.DUMMYFUNCTION("SPLIT(I1871,""/"")"),11.0)</f>
        <v>11</v>
      </c>
      <c r="K1871" s="308">
        <f>IFERROR(__xludf.DUMMYFUNCTION("""COMPUTED_VALUE"""),10.0)</f>
        <v>10</v>
      </c>
      <c r="L1871" s="308">
        <f>IFERROR(__xludf.DUMMYFUNCTION("""COMPUTED_VALUE"""),2012.0)</f>
        <v>2012</v>
      </c>
      <c r="M1871" s="308" t="s">
        <v>36319</v>
      </c>
      <c r="N1871" s="308"/>
      <c r="O1871" s="312" t="s">
        <v>7474</v>
      </c>
      <c r="P1871" s="308" t="s">
        <v>7475</v>
      </c>
      <c r="Q1871" s="308"/>
      <c r="R1871" s="308"/>
      <c r="S1871" s="308" t="s">
        <v>81</v>
      </c>
      <c r="T1871" s="311" t="s">
        <v>73</v>
      </c>
      <c r="U1871" s="308"/>
      <c r="V1871" s="312"/>
    </row>
    <row r="1872">
      <c r="A1872" s="308">
        <v>1871.0</v>
      </c>
      <c r="B1872" s="308"/>
      <c r="C1872" s="308" t="s">
        <v>7476</v>
      </c>
      <c r="D1872" s="308">
        <f>IFERROR(__xludf.DUMMYFUNCTION("SPLIT(C1872,""-"")"),1891.0)</f>
        <v>1891</v>
      </c>
      <c r="E1872" s="308" t="str">
        <f>IFERROR(__xludf.DUMMYFUNCTION("""COMPUTED_VALUE""")," S")</f>
        <v> S</v>
      </c>
      <c r="F1872" s="312" t="s">
        <v>39</v>
      </c>
      <c r="G1872" s="308" t="s">
        <v>7477</v>
      </c>
      <c r="H1872" s="308" t="s">
        <v>7478</v>
      </c>
      <c r="I1872" s="310">
        <v>41640.0</v>
      </c>
      <c r="J1872" s="319">
        <f>IFERROR(__xludf.DUMMYFUNCTION("SPLIT(I1872,""/"")"),1.0)</f>
        <v>1</v>
      </c>
      <c r="K1872" s="308">
        <f>IFERROR(__xludf.DUMMYFUNCTION("""COMPUTED_VALUE"""),1.0)</f>
        <v>1</v>
      </c>
      <c r="L1872" s="308">
        <f>IFERROR(__xludf.DUMMYFUNCTION("""COMPUTED_VALUE"""),2014.0)</f>
        <v>2014</v>
      </c>
      <c r="M1872" s="308" t="s">
        <v>36320</v>
      </c>
      <c r="N1872" s="308"/>
      <c r="O1872" s="312" t="s">
        <v>5658</v>
      </c>
      <c r="P1872" s="308" t="s">
        <v>36321</v>
      </c>
      <c r="Q1872" s="308"/>
      <c r="R1872" s="308"/>
      <c r="S1872" s="308" t="s">
        <v>81</v>
      </c>
      <c r="T1872" s="308" t="s">
        <v>75</v>
      </c>
      <c r="U1872" s="312"/>
      <c r="V1872" s="312"/>
    </row>
    <row r="1873">
      <c r="A1873" s="308">
        <v>1872.0</v>
      </c>
      <c r="B1873" s="308"/>
      <c r="C1873" s="308" t="s">
        <v>7481</v>
      </c>
      <c r="D1873" s="308">
        <f>IFERROR(__xludf.DUMMYFUNCTION("SPLIT(C1873,""-"")"),1892.0)</f>
        <v>1892</v>
      </c>
      <c r="E1873" s="308" t="str">
        <f>IFERROR(__xludf.DUMMYFUNCTION("""COMPUTED_VALUE""")," S")</f>
        <v> S</v>
      </c>
      <c r="F1873" s="312" t="s">
        <v>39</v>
      </c>
      <c r="G1873" s="308" t="s">
        <v>7477</v>
      </c>
      <c r="H1873" s="308" t="s">
        <v>7482</v>
      </c>
      <c r="I1873" s="310">
        <v>41640.0</v>
      </c>
      <c r="J1873" s="319">
        <f>IFERROR(__xludf.DUMMYFUNCTION("SPLIT(I1873,""/"")"),1.0)</f>
        <v>1</v>
      </c>
      <c r="K1873" s="308">
        <f>IFERROR(__xludf.DUMMYFUNCTION("""COMPUTED_VALUE"""),1.0)</f>
        <v>1</v>
      </c>
      <c r="L1873" s="308">
        <f>IFERROR(__xludf.DUMMYFUNCTION("""COMPUTED_VALUE"""),2014.0)</f>
        <v>2014</v>
      </c>
      <c r="M1873" s="308" t="s">
        <v>36320</v>
      </c>
      <c r="N1873" s="308"/>
      <c r="O1873" s="312" t="s">
        <v>5658</v>
      </c>
      <c r="P1873" s="308" t="s">
        <v>36322</v>
      </c>
      <c r="Q1873" s="308"/>
      <c r="R1873" s="308"/>
      <c r="S1873" s="308" t="s">
        <v>81</v>
      </c>
      <c r="T1873" s="308" t="s">
        <v>75</v>
      </c>
      <c r="U1873" s="312"/>
      <c r="V1873" s="312"/>
    </row>
    <row r="1874">
      <c r="A1874" s="308">
        <v>1873.0</v>
      </c>
      <c r="B1874" s="308"/>
      <c r="C1874" s="308" t="s">
        <v>7484</v>
      </c>
      <c r="D1874" s="308">
        <f>IFERROR(__xludf.DUMMYFUNCTION("SPLIT(C1874,""-"")"),1893.0)</f>
        <v>1893</v>
      </c>
      <c r="E1874" s="308" t="str">
        <f>IFERROR(__xludf.DUMMYFUNCTION("""COMPUTED_VALUE""")," S")</f>
        <v> S</v>
      </c>
      <c r="F1874" s="312" t="s">
        <v>39</v>
      </c>
      <c r="G1874" s="308" t="s">
        <v>7477</v>
      </c>
      <c r="H1874" s="308" t="s">
        <v>7485</v>
      </c>
      <c r="I1874" s="310">
        <v>41640.0</v>
      </c>
      <c r="J1874" s="319">
        <f>IFERROR(__xludf.DUMMYFUNCTION("SPLIT(I1874,""/"")"),1.0)</f>
        <v>1</v>
      </c>
      <c r="K1874" s="308">
        <f>IFERROR(__xludf.DUMMYFUNCTION("""COMPUTED_VALUE"""),1.0)</f>
        <v>1</v>
      </c>
      <c r="L1874" s="308">
        <f>IFERROR(__xludf.DUMMYFUNCTION("""COMPUTED_VALUE"""),2014.0)</f>
        <v>2014</v>
      </c>
      <c r="M1874" s="308" t="s">
        <v>36320</v>
      </c>
      <c r="N1874" s="308"/>
      <c r="O1874" s="312" t="s">
        <v>5658</v>
      </c>
      <c r="P1874" s="308" t="s">
        <v>36323</v>
      </c>
      <c r="Q1874" s="308"/>
      <c r="R1874" s="308"/>
      <c r="S1874" s="308" t="s">
        <v>81</v>
      </c>
      <c r="T1874" s="308" t="s">
        <v>75</v>
      </c>
      <c r="U1874" s="312"/>
      <c r="V1874" s="312"/>
    </row>
    <row r="1875">
      <c r="A1875" s="308">
        <v>1874.0</v>
      </c>
      <c r="B1875" s="308"/>
      <c r="C1875" s="308" t="s">
        <v>7487</v>
      </c>
      <c r="D1875" s="308">
        <f>IFERROR(__xludf.DUMMYFUNCTION("SPLIT(C1875,""-"")"),1894.0)</f>
        <v>1894</v>
      </c>
      <c r="E1875" s="308" t="str">
        <f>IFERROR(__xludf.DUMMYFUNCTION("""COMPUTED_VALUE""")," S")</f>
        <v> S</v>
      </c>
      <c r="F1875" s="312" t="s">
        <v>39</v>
      </c>
      <c r="G1875" s="308" t="s">
        <v>7477</v>
      </c>
      <c r="H1875" s="308" t="s">
        <v>7488</v>
      </c>
      <c r="I1875" s="310">
        <v>41640.0</v>
      </c>
      <c r="J1875" s="319">
        <f>IFERROR(__xludf.DUMMYFUNCTION("SPLIT(I1875,""/"")"),1.0)</f>
        <v>1</v>
      </c>
      <c r="K1875" s="308">
        <f>IFERROR(__xludf.DUMMYFUNCTION("""COMPUTED_VALUE"""),1.0)</f>
        <v>1</v>
      </c>
      <c r="L1875" s="308">
        <f>IFERROR(__xludf.DUMMYFUNCTION("""COMPUTED_VALUE"""),2014.0)</f>
        <v>2014</v>
      </c>
      <c r="M1875" s="308" t="s">
        <v>36320</v>
      </c>
      <c r="N1875" s="308"/>
      <c r="O1875" s="312" t="s">
        <v>5658</v>
      </c>
      <c r="P1875" s="308" t="s">
        <v>36324</v>
      </c>
      <c r="Q1875" s="308"/>
      <c r="R1875" s="308"/>
      <c r="S1875" s="308" t="s">
        <v>81</v>
      </c>
      <c r="T1875" s="308" t="s">
        <v>75</v>
      </c>
      <c r="U1875" s="312"/>
      <c r="V1875" s="312"/>
    </row>
    <row r="1876">
      <c r="A1876" s="308">
        <v>1875.0</v>
      </c>
      <c r="B1876" s="308"/>
      <c r="C1876" s="308" t="s">
        <v>7490</v>
      </c>
      <c r="D1876" s="308">
        <f>IFERROR(__xludf.DUMMYFUNCTION("SPLIT(C1876,""-"")"),1895.0)</f>
        <v>1895</v>
      </c>
      <c r="E1876" s="308" t="str">
        <f>IFERROR(__xludf.DUMMYFUNCTION("""COMPUTED_VALUE""")," A")</f>
        <v> A</v>
      </c>
      <c r="F1876" s="309" t="s">
        <v>23</v>
      </c>
      <c r="G1876" s="308" t="s">
        <v>7491</v>
      </c>
      <c r="H1876" s="308" t="s">
        <v>7492</v>
      </c>
      <c r="I1876" s="314">
        <v>41057.0</v>
      </c>
      <c r="J1876" s="319">
        <f>IFERROR(__xludf.DUMMYFUNCTION("SPLIT(I1876,""/"")"),28.0)</f>
        <v>28</v>
      </c>
      <c r="K1876" s="308">
        <f>IFERROR(__xludf.DUMMYFUNCTION("""COMPUTED_VALUE"""),5.0)</f>
        <v>5</v>
      </c>
      <c r="L1876" s="308">
        <f>IFERROR(__xludf.DUMMYFUNCTION("""COMPUTED_VALUE"""),2012.0)</f>
        <v>2012</v>
      </c>
      <c r="M1876" s="308" t="s">
        <v>7493</v>
      </c>
      <c r="N1876" s="308"/>
      <c r="O1876" s="312" t="s">
        <v>7494</v>
      </c>
      <c r="P1876" s="308" t="s">
        <v>36325</v>
      </c>
      <c r="Q1876" s="308"/>
      <c r="R1876" s="308"/>
      <c r="S1876" s="308" t="s">
        <v>81</v>
      </c>
      <c r="T1876" s="308" t="s">
        <v>73</v>
      </c>
      <c r="U1876" s="308"/>
      <c r="V1876" s="312"/>
    </row>
    <row r="1877">
      <c r="A1877" s="308">
        <v>1876.0</v>
      </c>
      <c r="B1877" s="308"/>
      <c r="C1877" s="308" t="s">
        <v>7496</v>
      </c>
      <c r="D1877" s="308">
        <f>IFERROR(__xludf.DUMMYFUNCTION("SPLIT(C1877,""-"")"),1896.0)</f>
        <v>1896</v>
      </c>
      <c r="E1877" s="308" t="str">
        <f>IFERROR(__xludf.DUMMYFUNCTION("""COMPUTED_VALUE""")," P")</f>
        <v> P</v>
      </c>
      <c r="F1877" s="312" t="s">
        <v>37</v>
      </c>
      <c r="G1877" s="308" t="s">
        <v>36326</v>
      </c>
      <c r="H1877" s="308" t="s">
        <v>7498</v>
      </c>
      <c r="I1877" s="310">
        <v>40455.0</v>
      </c>
      <c r="J1877" s="319">
        <f>IFERROR(__xludf.DUMMYFUNCTION("SPLIT(I1877,""/"")"),4.0)</f>
        <v>4</v>
      </c>
      <c r="K1877" s="308">
        <f>IFERROR(__xludf.DUMMYFUNCTION("""COMPUTED_VALUE"""),10.0)</f>
        <v>10</v>
      </c>
      <c r="L1877" s="308">
        <f>IFERROR(__xludf.DUMMYFUNCTION("""COMPUTED_VALUE"""),2010.0)</f>
        <v>2010</v>
      </c>
      <c r="M1877" s="308" t="s">
        <v>7499</v>
      </c>
      <c r="N1877" s="308"/>
      <c r="O1877" s="312" t="s">
        <v>7500</v>
      </c>
      <c r="P1877" s="308" t="s">
        <v>7501</v>
      </c>
      <c r="Q1877" s="308"/>
      <c r="R1877" s="308"/>
      <c r="S1877" s="308" t="s">
        <v>49</v>
      </c>
      <c r="T1877" s="308" t="s">
        <v>51</v>
      </c>
      <c r="U1877" s="308" t="s">
        <v>137</v>
      </c>
      <c r="V1877" s="312"/>
    </row>
    <row r="1878">
      <c r="A1878" s="308">
        <v>1877.0</v>
      </c>
      <c r="B1878" s="308"/>
      <c r="C1878" s="308" t="s">
        <v>7502</v>
      </c>
      <c r="D1878" s="308">
        <f>IFERROR(__xludf.DUMMYFUNCTION("SPLIT(C1878,""-"")"),1897.0)</f>
        <v>1897</v>
      </c>
      <c r="E1878" s="308" t="str">
        <f>IFERROR(__xludf.DUMMYFUNCTION("""COMPUTED_VALUE""")," S")</f>
        <v> S</v>
      </c>
      <c r="F1878" s="312" t="s">
        <v>39</v>
      </c>
      <c r="G1878" s="308" t="s">
        <v>36327</v>
      </c>
      <c r="H1878" s="308" t="s">
        <v>7504</v>
      </c>
      <c r="I1878" s="314">
        <v>41637.0</v>
      </c>
      <c r="J1878" s="319">
        <f>IFERROR(__xludf.DUMMYFUNCTION("SPLIT(I1878,""/"")"),29.0)</f>
        <v>29</v>
      </c>
      <c r="K1878" s="308">
        <f>IFERROR(__xludf.DUMMYFUNCTION("""COMPUTED_VALUE"""),12.0)</f>
        <v>12</v>
      </c>
      <c r="L1878" s="308">
        <f>IFERROR(__xludf.DUMMYFUNCTION("""COMPUTED_VALUE"""),2013.0)</f>
        <v>2013</v>
      </c>
      <c r="M1878" s="308" t="s">
        <v>36328</v>
      </c>
      <c r="N1878" s="308"/>
      <c r="O1878" s="312" t="s">
        <v>5658</v>
      </c>
      <c r="P1878" s="308" t="s">
        <v>36329</v>
      </c>
      <c r="Q1878" s="308"/>
      <c r="R1878" s="308"/>
      <c r="S1878" s="308" t="s">
        <v>81</v>
      </c>
      <c r="T1878" s="308" t="s">
        <v>75</v>
      </c>
      <c r="U1878" s="312"/>
      <c r="V1878" s="312"/>
    </row>
    <row r="1879">
      <c r="A1879" s="308">
        <v>1878.0</v>
      </c>
      <c r="B1879" s="308"/>
      <c r="C1879" s="308" t="s">
        <v>7507</v>
      </c>
      <c r="D1879" s="308">
        <f>IFERROR(__xludf.DUMMYFUNCTION("SPLIT(C1879,""-"")"),1898.0)</f>
        <v>1898</v>
      </c>
      <c r="E1879" s="308" t="str">
        <f>IFERROR(__xludf.DUMMYFUNCTION("""COMPUTED_VALUE""")," S")</f>
        <v> S</v>
      </c>
      <c r="F1879" s="312" t="s">
        <v>39</v>
      </c>
      <c r="G1879" s="308" t="s">
        <v>36330</v>
      </c>
      <c r="H1879" s="308" t="s">
        <v>7509</v>
      </c>
      <c r="I1879" s="314">
        <v>41512.0</v>
      </c>
      <c r="J1879" s="319">
        <f>IFERROR(__xludf.DUMMYFUNCTION("SPLIT(I1879,""/"")"),26.0)</f>
        <v>26</v>
      </c>
      <c r="K1879" s="308">
        <f>IFERROR(__xludf.DUMMYFUNCTION("""COMPUTED_VALUE"""),8.0)</f>
        <v>8</v>
      </c>
      <c r="L1879" s="308">
        <f>IFERROR(__xludf.DUMMYFUNCTION("""COMPUTED_VALUE"""),2013.0)</f>
        <v>2013</v>
      </c>
      <c r="M1879" s="308" t="s">
        <v>7510</v>
      </c>
      <c r="N1879" s="308"/>
      <c r="O1879" s="312" t="s">
        <v>5658</v>
      </c>
      <c r="P1879" s="308" t="s">
        <v>6558</v>
      </c>
      <c r="Q1879" s="308"/>
      <c r="R1879" s="308"/>
      <c r="S1879" s="308" t="s">
        <v>81</v>
      </c>
      <c r="T1879" s="311" t="s">
        <v>73</v>
      </c>
      <c r="U1879" s="312"/>
      <c r="V1879" s="312"/>
    </row>
    <row r="1880">
      <c r="A1880" s="308">
        <v>1879.0</v>
      </c>
      <c r="B1880" s="308"/>
      <c r="C1880" s="308" t="s">
        <v>7511</v>
      </c>
      <c r="D1880" s="308">
        <f>IFERROR(__xludf.DUMMYFUNCTION("SPLIT(C1880,""-"")"),1899.0)</f>
        <v>1899</v>
      </c>
      <c r="E1880" s="308" t="str">
        <f>IFERROR(__xludf.DUMMYFUNCTION("""COMPUTED_VALUE""")," S")</f>
        <v> S</v>
      </c>
      <c r="F1880" s="312" t="s">
        <v>39</v>
      </c>
      <c r="G1880" s="308" t="s">
        <v>36331</v>
      </c>
      <c r="H1880" s="308" t="s">
        <v>7513</v>
      </c>
      <c r="I1880" s="314">
        <v>41657.0</v>
      </c>
      <c r="J1880" s="319">
        <f>IFERROR(__xludf.DUMMYFUNCTION("SPLIT(I1880,""/"")"),18.0)</f>
        <v>18</v>
      </c>
      <c r="K1880" s="308">
        <f>IFERROR(__xludf.DUMMYFUNCTION("""COMPUTED_VALUE"""),1.0)</f>
        <v>1</v>
      </c>
      <c r="L1880" s="308">
        <f>IFERROR(__xludf.DUMMYFUNCTION("""COMPUTED_VALUE"""),2014.0)</f>
        <v>2014</v>
      </c>
      <c r="M1880" s="308" t="s">
        <v>7514</v>
      </c>
      <c r="N1880" s="308"/>
      <c r="O1880" s="312" t="s">
        <v>6798</v>
      </c>
      <c r="P1880" s="308" t="s">
        <v>36332</v>
      </c>
      <c r="Q1880" s="308"/>
      <c r="R1880" s="308"/>
      <c r="S1880" s="308" t="s">
        <v>81</v>
      </c>
      <c r="T1880" s="308" t="s">
        <v>75</v>
      </c>
      <c r="U1880" s="312"/>
      <c r="V1880" s="312"/>
    </row>
    <row r="1881">
      <c r="A1881" s="308">
        <v>1880.0</v>
      </c>
      <c r="B1881" s="308"/>
      <c r="C1881" s="308" t="s">
        <v>7516</v>
      </c>
      <c r="D1881" s="308">
        <f>IFERROR(__xludf.DUMMYFUNCTION("SPLIT(C1881,""-"")"),1900.0)</f>
        <v>1900</v>
      </c>
      <c r="E1881" s="308" t="str">
        <f>IFERROR(__xludf.DUMMYFUNCTION("""COMPUTED_VALUE""")," S")</f>
        <v> S</v>
      </c>
      <c r="F1881" s="312" t="s">
        <v>39</v>
      </c>
      <c r="G1881" s="308" t="s">
        <v>36331</v>
      </c>
      <c r="H1881" s="308" t="s">
        <v>7517</v>
      </c>
      <c r="I1881" s="314">
        <v>41657.0</v>
      </c>
      <c r="J1881" s="319">
        <f>IFERROR(__xludf.DUMMYFUNCTION("SPLIT(I1881,""/"")"),18.0)</f>
        <v>18</v>
      </c>
      <c r="K1881" s="308">
        <f>IFERROR(__xludf.DUMMYFUNCTION("""COMPUTED_VALUE"""),1.0)</f>
        <v>1</v>
      </c>
      <c r="L1881" s="308">
        <f>IFERROR(__xludf.DUMMYFUNCTION("""COMPUTED_VALUE"""),2014.0)</f>
        <v>2014</v>
      </c>
      <c r="M1881" s="308" t="s">
        <v>7514</v>
      </c>
      <c r="N1881" s="308"/>
      <c r="O1881" s="312" t="s">
        <v>635</v>
      </c>
      <c r="P1881" s="308" t="s">
        <v>7518</v>
      </c>
      <c r="Q1881" s="308"/>
      <c r="R1881" s="308"/>
      <c r="S1881" s="308" t="s">
        <v>81</v>
      </c>
      <c r="T1881" s="308" t="s">
        <v>75</v>
      </c>
      <c r="U1881" s="308"/>
      <c r="V1881" s="312"/>
    </row>
    <row r="1882">
      <c r="A1882" s="308">
        <v>1881.0</v>
      </c>
      <c r="B1882" s="308"/>
      <c r="C1882" s="308" t="s">
        <v>7519</v>
      </c>
      <c r="D1882" s="308">
        <f>IFERROR(__xludf.DUMMYFUNCTION("SPLIT(C1882,""-"")"),1901.0)</f>
        <v>1901</v>
      </c>
      <c r="E1882" s="308" t="str">
        <f>IFERROR(__xludf.DUMMYFUNCTION("""COMPUTED_VALUE""")," P")</f>
        <v> P</v>
      </c>
      <c r="F1882" s="312" t="s">
        <v>37</v>
      </c>
      <c r="G1882" s="308" t="s">
        <v>36333</v>
      </c>
      <c r="H1882" s="308" t="s">
        <v>7521</v>
      </c>
      <c r="I1882" s="310">
        <v>41529.0</v>
      </c>
      <c r="J1882" s="319">
        <f>IFERROR(__xludf.DUMMYFUNCTION("SPLIT(I1882,""/"")"),12.0)</f>
        <v>12</v>
      </c>
      <c r="K1882" s="308">
        <f>IFERROR(__xludf.DUMMYFUNCTION("""COMPUTED_VALUE"""),9.0)</f>
        <v>9</v>
      </c>
      <c r="L1882" s="308">
        <f>IFERROR(__xludf.DUMMYFUNCTION("""COMPUTED_VALUE"""),2013.0)</f>
        <v>2013</v>
      </c>
      <c r="M1882" s="308" t="s">
        <v>7522</v>
      </c>
      <c r="N1882" s="308"/>
      <c r="O1882" s="312" t="s">
        <v>635</v>
      </c>
      <c r="P1882" s="308" t="s">
        <v>7523</v>
      </c>
      <c r="Q1882" s="308"/>
      <c r="R1882" s="308"/>
      <c r="S1882" s="315" t="s">
        <v>100</v>
      </c>
      <c r="T1882" s="311" t="s">
        <v>34208</v>
      </c>
      <c r="U1882" s="308"/>
      <c r="V1882" s="312"/>
    </row>
    <row r="1883">
      <c r="A1883" s="308">
        <v>1882.0</v>
      </c>
      <c r="B1883" s="308"/>
      <c r="C1883" s="308" t="s">
        <v>7524</v>
      </c>
      <c r="D1883" s="308">
        <f>IFERROR(__xludf.DUMMYFUNCTION("SPLIT(C1883,""-"")"),1902.0)</f>
        <v>1902</v>
      </c>
      <c r="E1883" s="308" t="str">
        <f>IFERROR(__xludf.DUMMYFUNCTION("""COMPUTED_VALUE""")," K")</f>
        <v> K</v>
      </c>
      <c r="F1883" s="309" t="s">
        <v>34</v>
      </c>
      <c r="G1883" s="308" t="s">
        <v>36334</v>
      </c>
      <c r="H1883" s="308" t="s">
        <v>7526</v>
      </c>
      <c r="I1883" s="310">
        <v>41401.0</v>
      </c>
      <c r="J1883" s="319">
        <f>IFERROR(__xludf.DUMMYFUNCTION("SPLIT(I1883,""/"")"),7.0)</f>
        <v>7</v>
      </c>
      <c r="K1883" s="308">
        <f>IFERROR(__xludf.DUMMYFUNCTION("""COMPUTED_VALUE"""),5.0)</f>
        <v>5</v>
      </c>
      <c r="L1883" s="308">
        <f>IFERROR(__xludf.DUMMYFUNCTION("""COMPUTED_VALUE"""),2013.0)</f>
        <v>2013</v>
      </c>
      <c r="M1883" s="308" t="s">
        <v>7527</v>
      </c>
      <c r="N1883" s="308"/>
      <c r="O1883" s="312" t="s">
        <v>7528</v>
      </c>
      <c r="P1883" s="308" t="s">
        <v>36335</v>
      </c>
      <c r="Q1883" s="308"/>
      <c r="R1883" s="308"/>
      <c r="S1883" s="315" t="s">
        <v>100</v>
      </c>
      <c r="T1883" s="311" t="s">
        <v>34208</v>
      </c>
      <c r="U1883" s="308" t="s">
        <v>7530</v>
      </c>
      <c r="V1883" s="312"/>
    </row>
    <row r="1884">
      <c r="A1884" s="308">
        <v>1883.0</v>
      </c>
      <c r="B1884" s="308"/>
      <c r="C1884" s="308" t="s">
        <v>7531</v>
      </c>
      <c r="D1884" s="308">
        <f>IFERROR(__xludf.DUMMYFUNCTION("SPLIT(C1884,""-"")"),1903.0)</f>
        <v>1903</v>
      </c>
      <c r="E1884" s="308" t="str">
        <f>IFERROR(__xludf.DUMMYFUNCTION("""COMPUTED_VALUE""")," S")</f>
        <v> S</v>
      </c>
      <c r="F1884" s="312" t="s">
        <v>39</v>
      </c>
      <c r="G1884" s="308" t="s">
        <v>36336</v>
      </c>
      <c r="H1884" s="308" t="s">
        <v>7533</v>
      </c>
      <c r="I1884" s="314">
        <v>41533.0</v>
      </c>
      <c r="J1884" s="319">
        <f>IFERROR(__xludf.DUMMYFUNCTION("SPLIT(I1884,""/"")"),16.0)</f>
        <v>16</v>
      </c>
      <c r="K1884" s="308">
        <f>IFERROR(__xludf.DUMMYFUNCTION("""COMPUTED_VALUE"""),9.0)</f>
        <v>9</v>
      </c>
      <c r="L1884" s="308">
        <f>IFERROR(__xludf.DUMMYFUNCTION("""COMPUTED_VALUE"""),2013.0)</f>
        <v>2013</v>
      </c>
      <c r="M1884" s="308" t="s">
        <v>7534</v>
      </c>
      <c r="N1884" s="308"/>
      <c r="O1884" s="312" t="s">
        <v>635</v>
      </c>
      <c r="P1884" s="308" t="s">
        <v>36337</v>
      </c>
      <c r="Q1884" s="308"/>
      <c r="R1884" s="308"/>
      <c r="S1884" s="308" t="s">
        <v>81</v>
      </c>
      <c r="T1884" s="308" t="s">
        <v>75</v>
      </c>
      <c r="U1884" s="312"/>
      <c r="V1884" s="312"/>
    </row>
    <row r="1885">
      <c r="A1885" s="308">
        <v>1884.0</v>
      </c>
      <c r="B1885" s="308"/>
      <c r="C1885" s="308" t="s">
        <v>7536</v>
      </c>
      <c r="D1885" s="308">
        <f>IFERROR(__xludf.DUMMYFUNCTION("SPLIT(C1885,""-"")"),1904.0)</f>
        <v>1904</v>
      </c>
      <c r="E1885" s="308" t="str">
        <f>IFERROR(__xludf.DUMMYFUNCTION("""COMPUTED_VALUE""")," S")</f>
        <v> S</v>
      </c>
      <c r="F1885" s="312" t="s">
        <v>39</v>
      </c>
      <c r="G1885" s="308" t="s">
        <v>36338</v>
      </c>
      <c r="H1885" s="308" t="s">
        <v>7538</v>
      </c>
      <c r="I1885" s="314">
        <v>41355.0</v>
      </c>
      <c r="J1885" s="319">
        <f>IFERROR(__xludf.DUMMYFUNCTION("SPLIT(I1885,""/"")"),22.0)</f>
        <v>22</v>
      </c>
      <c r="K1885" s="308">
        <f>IFERROR(__xludf.DUMMYFUNCTION("""COMPUTED_VALUE"""),3.0)</f>
        <v>3</v>
      </c>
      <c r="L1885" s="308">
        <f>IFERROR(__xludf.DUMMYFUNCTION("""COMPUTED_VALUE"""),2013.0)</f>
        <v>2013</v>
      </c>
      <c r="M1885" s="308" t="s">
        <v>7539</v>
      </c>
      <c r="N1885" s="308"/>
      <c r="O1885" s="312" t="s">
        <v>635</v>
      </c>
      <c r="P1885" s="308" t="s">
        <v>7540</v>
      </c>
      <c r="Q1885" s="308"/>
      <c r="R1885" s="308"/>
      <c r="S1885" s="308" t="s">
        <v>81</v>
      </c>
      <c r="T1885" s="308" t="s">
        <v>98</v>
      </c>
      <c r="U1885" s="308"/>
      <c r="V1885" s="312"/>
    </row>
    <row r="1886">
      <c r="A1886" s="308">
        <v>1885.0</v>
      </c>
      <c r="B1886" s="308"/>
      <c r="C1886" s="308" t="s">
        <v>7541</v>
      </c>
      <c r="D1886" s="308">
        <f>IFERROR(__xludf.DUMMYFUNCTION("SPLIT(C1886,""-"")"),1905.0)</f>
        <v>1905</v>
      </c>
      <c r="E1886" s="308" t="str">
        <f>IFERROR(__xludf.DUMMYFUNCTION("""COMPUTED_VALUE""")," P")</f>
        <v> P</v>
      </c>
      <c r="F1886" s="312" t="s">
        <v>37</v>
      </c>
      <c r="G1886" s="308" t="s">
        <v>36339</v>
      </c>
      <c r="H1886" s="308" t="s">
        <v>7543</v>
      </c>
      <c r="I1886" s="314">
        <v>40386.0</v>
      </c>
      <c r="J1886" s="319">
        <f>IFERROR(__xludf.DUMMYFUNCTION("SPLIT(I1886,""/"")"),27.0)</f>
        <v>27</v>
      </c>
      <c r="K1886" s="308">
        <f>IFERROR(__xludf.DUMMYFUNCTION("""COMPUTED_VALUE"""),7.0)</f>
        <v>7</v>
      </c>
      <c r="L1886" s="308">
        <f>IFERROR(__xludf.DUMMYFUNCTION("""COMPUTED_VALUE"""),2010.0)</f>
        <v>2010</v>
      </c>
      <c r="M1886" s="308" t="s">
        <v>7544</v>
      </c>
      <c r="N1886" s="308"/>
      <c r="O1886" s="312" t="s">
        <v>36340</v>
      </c>
      <c r="P1886" s="308" t="s">
        <v>36341</v>
      </c>
      <c r="Q1886" s="308"/>
      <c r="R1886" s="308"/>
      <c r="S1886" s="315" t="s">
        <v>100</v>
      </c>
      <c r="T1886" s="311" t="s">
        <v>34208</v>
      </c>
      <c r="U1886" s="308" t="s">
        <v>2748</v>
      </c>
      <c r="V1886" s="312"/>
    </row>
    <row r="1887">
      <c r="A1887" s="308">
        <v>1886.0</v>
      </c>
      <c r="B1887" s="308"/>
      <c r="C1887" s="308" t="s">
        <v>7546</v>
      </c>
      <c r="D1887" s="308">
        <f>IFERROR(__xludf.DUMMYFUNCTION("SPLIT(C1887,""-"")"),1906.0)</f>
        <v>1906</v>
      </c>
      <c r="E1887" s="308" t="str">
        <f>IFERROR(__xludf.DUMMYFUNCTION("""COMPUTED_VALUE""")," P")</f>
        <v> P</v>
      </c>
      <c r="F1887" s="312" t="s">
        <v>37</v>
      </c>
      <c r="G1887" s="308" t="s">
        <v>36342</v>
      </c>
      <c r="H1887" s="308" t="s">
        <v>7548</v>
      </c>
      <c r="I1887" s="314">
        <v>40435.0</v>
      </c>
      <c r="J1887" s="319">
        <f>IFERROR(__xludf.DUMMYFUNCTION("SPLIT(I1887,""/"")"),14.0)</f>
        <v>14</v>
      </c>
      <c r="K1887" s="308">
        <f>IFERROR(__xludf.DUMMYFUNCTION("""COMPUTED_VALUE"""),9.0)</f>
        <v>9</v>
      </c>
      <c r="L1887" s="308">
        <f>IFERROR(__xludf.DUMMYFUNCTION("""COMPUTED_VALUE"""),2010.0)</f>
        <v>2010</v>
      </c>
      <c r="M1887" s="308" t="s">
        <v>7549</v>
      </c>
      <c r="N1887" s="308"/>
      <c r="O1887" s="312" t="s">
        <v>36343</v>
      </c>
      <c r="P1887" s="308" t="s">
        <v>7551</v>
      </c>
      <c r="Q1887" s="308"/>
      <c r="R1887" s="308"/>
      <c r="S1887" s="308" t="s">
        <v>81</v>
      </c>
      <c r="T1887" s="311" t="s">
        <v>51</v>
      </c>
      <c r="U1887" s="308"/>
      <c r="V1887" s="312"/>
    </row>
    <row r="1888">
      <c r="A1888" s="308">
        <v>1887.0</v>
      </c>
      <c r="B1888" s="308"/>
      <c r="C1888" s="308" t="s">
        <v>7552</v>
      </c>
      <c r="D1888" s="308">
        <f>IFERROR(__xludf.DUMMYFUNCTION("SPLIT(C1888,""-"")"),1907.0)</f>
        <v>1907</v>
      </c>
      <c r="E1888" s="308" t="str">
        <f>IFERROR(__xludf.DUMMYFUNCTION("""COMPUTED_VALUE""")," P")</f>
        <v> P</v>
      </c>
      <c r="F1888" s="312" t="s">
        <v>37</v>
      </c>
      <c r="G1888" s="308" t="s">
        <v>36344</v>
      </c>
      <c r="H1888" s="328" t="s">
        <v>7554</v>
      </c>
      <c r="I1888" s="314">
        <v>39499.0</v>
      </c>
      <c r="J1888" s="319">
        <f>IFERROR(__xludf.DUMMYFUNCTION("SPLIT(I1888,""/"")"),21.0)</f>
        <v>21</v>
      </c>
      <c r="K1888" s="308">
        <f>IFERROR(__xludf.DUMMYFUNCTION("""COMPUTED_VALUE"""),2.0)</f>
        <v>2</v>
      </c>
      <c r="L1888" s="308">
        <f>IFERROR(__xludf.DUMMYFUNCTION("""COMPUTED_VALUE"""),2008.0)</f>
        <v>2008</v>
      </c>
      <c r="M1888" s="308" t="s">
        <v>7555</v>
      </c>
      <c r="N1888" s="308"/>
      <c r="O1888" s="312" t="s">
        <v>36345</v>
      </c>
      <c r="P1888" s="308" t="s">
        <v>7557</v>
      </c>
      <c r="Q1888" s="308"/>
      <c r="R1888" s="308"/>
      <c r="S1888" s="308" t="s">
        <v>49</v>
      </c>
      <c r="T1888" s="308" t="s">
        <v>51</v>
      </c>
      <c r="U1888" s="308"/>
      <c r="V1888" s="312"/>
    </row>
    <row r="1889">
      <c r="A1889" s="308">
        <v>1888.0</v>
      </c>
      <c r="B1889" s="308"/>
      <c r="C1889" s="308" t="s">
        <v>7558</v>
      </c>
      <c r="D1889" s="308">
        <f>IFERROR(__xludf.DUMMYFUNCTION("SPLIT(C1889,""-"")"),1908.0)</f>
        <v>1908</v>
      </c>
      <c r="E1889" s="308" t="str">
        <f>IFERROR(__xludf.DUMMYFUNCTION("""COMPUTED_VALUE""")," P")</f>
        <v> P</v>
      </c>
      <c r="F1889" s="312" t="s">
        <v>37</v>
      </c>
      <c r="G1889" s="308" t="s">
        <v>36346</v>
      </c>
      <c r="H1889" s="308" t="s">
        <v>7560</v>
      </c>
      <c r="I1889" s="314">
        <v>34563.0</v>
      </c>
      <c r="J1889" s="319">
        <f>IFERROR(__xludf.DUMMYFUNCTION("SPLIT(I1889,""/"")"),17.0)</f>
        <v>17</v>
      </c>
      <c r="K1889" s="308">
        <f>IFERROR(__xludf.DUMMYFUNCTION("""COMPUTED_VALUE"""),8.0)</f>
        <v>8</v>
      </c>
      <c r="L1889" s="308">
        <f>IFERROR(__xludf.DUMMYFUNCTION("""COMPUTED_VALUE"""),1994.0)</f>
        <v>1994</v>
      </c>
      <c r="M1889" s="308" t="s">
        <v>7561</v>
      </c>
      <c r="N1889" s="308"/>
      <c r="O1889" s="312" t="s">
        <v>7562</v>
      </c>
      <c r="P1889" s="308" t="s">
        <v>7563</v>
      </c>
      <c r="Q1889" s="308"/>
      <c r="R1889" s="308"/>
      <c r="S1889" s="308" t="s">
        <v>49</v>
      </c>
      <c r="T1889" s="308" t="s">
        <v>51</v>
      </c>
      <c r="U1889" s="308"/>
      <c r="V1889" s="312"/>
    </row>
    <row r="1890">
      <c r="A1890" s="308">
        <v>1889.0</v>
      </c>
      <c r="B1890" s="308"/>
      <c r="C1890" s="308" t="s">
        <v>7564</v>
      </c>
      <c r="D1890" s="308">
        <f>IFERROR(__xludf.DUMMYFUNCTION("SPLIT(C1890,""-"")"),1909.0)</f>
        <v>1909</v>
      </c>
      <c r="E1890" s="308" t="str">
        <f>IFERROR(__xludf.DUMMYFUNCTION("""COMPUTED_VALUE""")," S")</f>
        <v> S</v>
      </c>
      <c r="F1890" s="312" t="s">
        <v>39</v>
      </c>
      <c r="G1890" s="308" t="s">
        <v>36347</v>
      </c>
      <c r="H1890" s="308" t="s">
        <v>7566</v>
      </c>
      <c r="I1890" s="310">
        <v>41671.0</v>
      </c>
      <c r="J1890" s="319">
        <f>IFERROR(__xludf.DUMMYFUNCTION("SPLIT(I1890,""/"")"),1.0)</f>
        <v>1</v>
      </c>
      <c r="K1890" s="308">
        <f>IFERROR(__xludf.DUMMYFUNCTION("""COMPUTED_VALUE"""),2.0)</f>
        <v>2</v>
      </c>
      <c r="L1890" s="308">
        <f>IFERROR(__xludf.DUMMYFUNCTION("""COMPUTED_VALUE"""),2014.0)</f>
        <v>2014</v>
      </c>
      <c r="M1890" s="308" t="s">
        <v>7567</v>
      </c>
      <c r="N1890" s="308"/>
      <c r="O1890" s="312" t="s">
        <v>635</v>
      </c>
      <c r="P1890" s="308" t="s">
        <v>36348</v>
      </c>
      <c r="Q1890" s="308"/>
      <c r="R1890" s="308"/>
      <c r="S1890" s="308" t="s">
        <v>81</v>
      </c>
      <c r="T1890" s="308" t="s">
        <v>75</v>
      </c>
      <c r="U1890" s="312"/>
      <c r="V1890" s="312"/>
    </row>
    <row r="1891">
      <c r="A1891" s="308">
        <v>1890.0</v>
      </c>
      <c r="B1891" s="308"/>
      <c r="C1891" s="308" t="s">
        <v>7569</v>
      </c>
      <c r="D1891" s="308">
        <f>IFERROR(__xludf.DUMMYFUNCTION("SPLIT(C1891,""-"")"),1910.0)</f>
        <v>1910</v>
      </c>
      <c r="E1891" s="308" t="str">
        <f>IFERROR(__xludf.DUMMYFUNCTION("""COMPUTED_VALUE""")," S")</f>
        <v> S</v>
      </c>
      <c r="F1891" s="312" t="s">
        <v>39</v>
      </c>
      <c r="G1891" s="308" t="s">
        <v>36349</v>
      </c>
      <c r="H1891" s="308" t="s">
        <v>7571</v>
      </c>
      <c r="I1891" s="310">
        <v>41344.0</v>
      </c>
      <c r="J1891" s="319">
        <f>IFERROR(__xludf.DUMMYFUNCTION("SPLIT(I1891,""/"")"),11.0)</f>
        <v>11</v>
      </c>
      <c r="K1891" s="308">
        <f>IFERROR(__xludf.DUMMYFUNCTION("""COMPUTED_VALUE"""),3.0)</f>
        <v>3</v>
      </c>
      <c r="L1891" s="308">
        <f>IFERROR(__xludf.DUMMYFUNCTION("""COMPUTED_VALUE"""),2013.0)</f>
        <v>2013</v>
      </c>
      <c r="M1891" s="308" t="s">
        <v>7572</v>
      </c>
      <c r="N1891" s="308"/>
      <c r="O1891" s="312" t="s">
        <v>635</v>
      </c>
      <c r="P1891" s="308" t="s">
        <v>36350</v>
      </c>
      <c r="Q1891" s="308"/>
      <c r="R1891" s="308"/>
      <c r="S1891" s="308" t="s">
        <v>81</v>
      </c>
      <c r="T1891" s="308" t="s">
        <v>75</v>
      </c>
      <c r="U1891" s="312"/>
      <c r="V1891" s="312"/>
    </row>
    <row r="1892">
      <c r="A1892" s="308">
        <v>1891.0</v>
      </c>
      <c r="B1892" s="308"/>
      <c r="C1892" s="308" t="s">
        <v>7574</v>
      </c>
      <c r="D1892" s="308">
        <f>IFERROR(__xludf.DUMMYFUNCTION("SPLIT(C1892,""-"")"),1911.0)</f>
        <v>1911</v>
      </c>
      <c r="E1892" s="308" t="str">
        <f>IFERROR(__xludf.DUMMYFUNCTION("""COMPUTED_VALUE""")," S")</f>
        <v> S</v>
      </c>
      <c r="F1892" s="312" t="s">
        <v>39</v>
      </c>
      <c r="G1892" s="308" t="s">
        <v>36349</v>
      </c>
      <c r="H1892" s="308" t="s">
        <v>7575</v>
      </c>
      <c r="I1892" s="310">
        <v>41344.0</v>
      </c>
      <c r="J1892" s="319">
        <f>IFERROR(__xludf.DUMMYFUNCTION("SPLIT(I1892,""/"")"),11.0)</f>
        <v>11</v>
      </c>
      <c r="K1892" s="308">
        <f>IFERROR(__xludf.DUMMYFUNCTION("""COMPUTED_VALUE"""),3.0)</f>
        <v>3</v>
      </c>
      <c r="L1892" s="308">
        <f>IFERROR(__xludf.DUMMYFUNCTION("""COMPUTED_VALUE"""),2013.0)</f>
        <v>2013</v>
      </c>
      <c r="M1892" s="308" t="s">
        <v>7572</v>
      </c>
      <c r="N1892" s="308"/>
      <c r="O1892" s="312" t="s">
        <v>635</v>
      </c>
      <c r="P1892" s="308" t="s">
        <v>36350</v>
      </c>
      <c r="Q1892" s="308"/>
      <c r="R1892" s="308"/>
      <c r="S1892" s="308" t="s">
        <v>81</v>
      </c>
      <c r="T1892" s="308" t="s">
        <v>75</v>
      </c>
      <c r="U1892" s="312"/>
      <c r="V1892" s="312"/>
    </row>
    <row r="1893">
      <c r="A1893" s="308">
        <v>1892.0</v>
      </c>
      <c r="B1893" s="308"/>
      <c r="C1893" s="308" t="s">
        <v>7576</v>
      </c>
      <c r="D1893" s="308">
        <f>IFERROR(__xludf.DUMMYFUNCTION("SPLIT(C1893,""-"")"),1912.0)</f>
        <v>1912</v>
      </c>
      <c r="E1893" s="308" t="str">
        <f>IFERROR(__xludf.DUMMYFUNCTION("""COMPUTED_VALUE""")," S")</f>
        <v> S</v>
      </c>
      <c r="F1893" s="312" t="s">
        <v>39</v>
      </c>
      <c r="G1893" s="308" t="s">
        <v>36351</v>
      </c>
      <c r="H1893" s="308" t="s">
        <v>7578</v>
      </c>
      <c r="I1893" s="314">
        <v>41624.0</v>
      </c>
      <c r="J1893" s="319">
        <f>IFERROR(__xludf.DUMMYFUNCTION("SPLIT(I1893,""/"")"),16.0)</f>
        <v>16</v>
      </c>
      <c r="K1893" s="308">
        <f>IFERROR(__xludf.DUMMYFUNCTION("""COMPUTED_VALUE"""),12.0)</f>
        <v>12</v>
      </c>
      <c r="L1893" s="308">
        <f>IFERROR(__xludf.DUMMYFUNCTION("""COMPUTED_VALUE"""),2013.0)</f>
        <v>2013</v>
      </c>
      <c r="M1893" s="308" t="s">
        <v>7579</v>
      </c>
      <c r="N1893" s="308"/>
      <c r="O1893" s="312" t="s">
        <v>635</v>
      </c>
      <c r="P1893" s="308" t="s">
        <v>36352</v>
      </c>
      <c r="Q1893" s="308"/>
      <c r="R1893" s="308"/>
      <c r="S1893" s="308" t="s">
        <v>81</v>
      </c>
      <c r="T1893" s="308" t="s">
        <v>75</v>
      </c>
      <c r="U1893" s="312"/>
      <c r="V1893" s="312"/>
    </row>
    <row r="1894">
      <c r="A1894" s="308">
        <v>1893.0</v>
      </c>
      <c r="B1894" s="308"/>
      <c r="C1894" s="308" t="s">
        <v>7581</v>
      </c>
      <c r="D1894" s="308">
        <f>IFERROR(__xludf.DUMMYFUNCTION("SPLIT(C1894,""-"")"),1913.0)</f>
        <v>1913</v>
      </c>
      <c r="E1894" s="308" t="str">
        <f>IFERROR(__xludf.DUMMYFUNCTION("""COMPUTED_VALUE""")," P")</f>
        <v> P</v>
      </c>
      <c r="F1894" s="312" t="s">
        <v>37</v>
      </c>
      <c r="G1894" s="308" t="s">
        <v>36353</v>
      </c>
      <c r="H1894" s="308" t="s">
        <v>7583</v>
      </c>
      <c r="I1894" s="314">
        <v>41453.0</v>
      </c>
      <c r="J1894" s="319">
        <f>IFERROR(__xludf.DUMMYFUNCTION("SPLIT(I1894,""/"")"),28.0)</f>
        <v>28</v>
      </c>
      <c r="K1894" s="308">
        <f>IFERROR(__xludf.DUMMYFUNCTION("""COMPUTED_VALUE"""),6.0)</f>
        <v>6</v>
      </c>
      <c r="L1894" s="308">
        <f>IFERROR(__xludf.DUMMYFUNCTION("""COMPUTED_VALUE"""),2013.0)</f>
        <v>2013</v>
      </c>
      <c r="M1894" s="308" t="s">
        <v>7584</v>
      </c>
      <c r="N1894" s="308"/>
      <c r="O1894" s="312" t="s">
        <v>7585</v>
      </c>
      <c r="P1894" s="308" t="s">
        <v>7586</v>
      </c>
      <c r="Q1894" s="308"/>
      <c r="R1894" s="308"/>
      <c r="S1894" s="308" t="s">
        <v>81</v>
      </c>
      <c r="T1894" s="308" t="s">
        <v>75</v>
      </c>
      <c r="U1894" s="308"/>
      <c r="V1894" s="312"/>
    </row>
    <row r="1895">
      <c r="A1895" s="308">
        <v>1894.0</v>
      </c>
      <c r="B1895" s="308"/>
      <c r="C1895" s="308" t="s">
        <v>7587</v>
      </c>
      <c r="D1895" s="308">
        <f>IFERROR(__xludf.DUMMYFUNCTION("SPLIT(C1895,""-"")"),1914.0)</f>
        <v>1914</v>
      </c>
      <c r="E1895" s="308" t="str">
        <f>IFERROR(__xludf.DUMMYFUNCTION("""COMPUTED_VALUE""")," K")</f>
        <v> K</v>
      </c>
      <c r="F1895" s="309" t="s">
        <v>34</v>
      </c>
      <c r="G1895" s="308" t="s">
        <v>36354</v>
      </c>
      <c r="H1895" s="308" t="s">
        <v>7589</v>
      </c>
      <c r="I1895" s="314">
        <v>41652.0</v>
      </c>
      <c r="J1895" s="319">
        <f>IFERROR(__xludf.DUMMYFUNCTION("SPLIT(I1895,""/"")"),13.0)</f>
        <v>13</v>
      </c>
      <c r="K1895" s="308">
        <f>IFERROR(__xludf.DUMMYFUNCTION("""COMPUTED_VALUE"""),1.0)</f>
        <v>1</v>
      </c>
      <c r="L1895" s="308">
        <f>IFERROR(__xludf.DUMMYFUNCTION("""COMPUTED_VALUE"""),2014.0)</f>
        <v>2014</v>
      </c>
      <c r="M1895" s="308" t="s">
        <v>7590</v>
      </c>
      <c r="N1895" s="308"/>
      <c r="O1895" s="312" t="s">
        <v>635</v>
      </c>
      <c r="P1895" s="308" t="s">
        <v>7591</v>
      </c>
      <c r="Q1895" s="308"/>
      <c r="R1895" s="308"/>
      <c r="S1895" s="308" t="s">
        <v>81</v>
      </c>
      <c r="T1895" s="308" t="s">
        <v>75</v>
      </c>
      <c r="U1895" s="308"/>
      <c r="V1895" s="312"/>
    </row>
    <row r="1896">
      <c r="A1896" s="308">
        <v>1895.0</v>
      </c>
      <c r="B1896" s="308"/>
      <c r="C1896" s="308" t="s">
        <v>7592</v>
      </c>
      <c r="D1896" s="308">
        <f>IFERROR(__xludf.DUMMYFUNCTION("SPLIT(C1896,""-"")"),1915.0)</f>
        <v>1915</v>
      </c>
      <c r="E1896" s="308" t="str">
        <f>IFERROR(__xludf.DUMMYFUNCTION("""COMPUTED_VALUE""")," P")</f>
        <v> P</v>
      </c>
      <c r="F1896" s="312" t="s">
        <v>37</v>
      </c>
      <c r="G1896" s="308" t="s">
        <v>36355</v>
      </c>
      <c r="H1896" s="308" t="s">
        <v>7594</v>
      </c>
      <c r="I1896" s="321">
        <v>41579.0</v>
      </c>
      <c r="J1896" s="319"/>
      <c r="K1896" s="311">
        <v>11.0</v>
      </c>
      <c r="L1896" s="311">
        <v>2013.0</v>
      </c>
      <c r="M1896" s="308" t="s">
        <v>36356</v>
      </c>
      <c r="N1896" s="308"/>
      <c r="O1896" s="312" t="s">
        <v>635</v>
      </c>
      <c r="P1896" s="308" t="s">
        <v>7596</v>
      </c>
      <c r="Q1896" s="308"/>
      <c r="R1896" s="308"/>
      <c r="S1896" s="308" t="s">
        <v>81</v>
      </c>
      <c r="T1896" s="308" t="s">
        <v>75</v>
      </c>
      <c r="U1896" s="308"/>
      <c r="V1896" s="312"/>
    </row>
    <row r="1897">
      <c r="A1897" s="308">
        <v>1896.0</v>
      </c>
      <c r="B1897" s="308"/>
      <c r="C1897" s="308" t="s">
        <v>7597</v>
      </c>
      <c r="D1897" s="308">
        <f>IFERROR(__xludf.DUMMYFUNCTION("SPLIT(C1897,""-"")"),1916.0)</f>
        <v>1916</v>
      </c>
      <c r="E1897" s="308" t="str">
        <f>IFERROR(__xludf.DUMMYFUNCTION("""COMPUTED_VALUE""")," K")</f>
        <v> K</v>
      </c>
      <c r="F1897" s="309" t="s">
        <v>34</v>
      </c>
      <c r="G1897" s="308" t="s">
        <v>36357</v>
      </c>
      <c r="H1897" s="308" t="s">
        <v>7599</v>
      </c>
      <c r="I1897" s="310">
        <v>39516.0</v>
      </c>
      <c r="J1897" s="319">
        <f>IFERROR(__xludf.DUMMYFUNCTION("SPLIT(I1897,""/"")"),9.0)</f>
        <v>9</v>
      </c>
      <c r="K1897" s="308">
        <f>IFERROR(__xludf.DUMMYFUNCTION("""COMPUTED_VALUE"""),3.0)</f>
        <v>3</v>
      </c>
      <c r="L1897" s="308">
        <f>IFERROR(__xludf.DUMMYFUNCTION("""COMPUTED_VALUE"""),2008.0)</f>
        <v>2008</v>
      </c>
      <c r="M1897" s="308" t="s">
        <v>7600</v>
      </c>
      <c r="N1897" s="308"/>
      <c r="O1897" s="312" t="s">
        <v>7601</v>
      </c>
      <c r="P1897" s="308" t="s">
        <v>2774</v>
      </c>
      <c r="Q1897" s="308"/>
      <c r="R1897" s="308"/>
      <c r="S1897" s="308" t="s">
        <v>49</v>
      </c>
      <c r="T1897" s="308" t="s">
        <v>51</v>
      </c>
      <c r="U1897" s="312"/>
      <c r="V1897" s="312"/>
    </row>
    <row r="1898">
      <c r="A1898" s="308">
        <v>1897.0</v>
      </c>
      <c r="B1898" s="308"/>
      <c r="C1898" s="308" t="s">
        <v>7602</v>
      </c>
      <c r="D1898" s="308">
        <f>IFERROR(__xludf.DUMMYFUNCTION("SPLIT(C1898,""-"")"),1917.0)</f>
        <v>1917</v>
      </c>
      <c r="E1898" s="308" t="str">
        <f>IFERROR(__xludf.DUMMYFUNCTION("""COMPUTED_VALUE""")," S")</f>
        <v> S</v>
      </c>
      <c r="F1898" s="312" t="s">
        <v>39</v>
      </c>
      <c r="G1898" s="308" t="s">
        <v>36358</v>
      </c>
      <c r="H1898" s="308" t="s">
        <v>7604</v>
      </c>
      <c r="I1898" s="310">
        <v>41529.0</v>
      </c>
      <c r="J1898" s="319">
        <f>IFERROR(__xludf.DUMMYFUNCTION("SPLIT(I1898,""/"")"),12.0)</f>
        <v>12</v>
      </c>
      <c r="K1898" s="308">
        <f>IFERROR(__xludf.DUMMYFUNCTION("""COMPUTED_VALUE"""),9.0)</f>
        <v>9</v>
      </c>
      <c r="L1898" s="308">
        <f>IFERROR(__xludf.DUMMYFUNCTION("""COMPUTED_VALUE"""),2013.0)</f>
        <v>2013</v>
      </c>
      <c r="M1898" s="308" t="s">
        <v>7605</v>
      </c>
      <c r="N1898" s="308"/>
      <c r="O1898" s="312" t="s">
        <v>635</v>
      </c>
      <c r="P1898" s="308" t="s">
        <v>36359</v>
      </c>
      <c r="Q1898" s="308"/>
      <c r="R1898" s="308"/>
      <c r="S1898" s="308" t="s">
        <v>81</v>
      </c>
      <c r="T1898" s="308" t="s">
        <v>75</v>
      </c>
      <c r="U1898" s="312"/>
      <c r="V1898" s="312"/>
    </row>
    <row r="1899">
      <c r="A1899" s="308">
        <v>1898.0</v>
      </c>
      <c r="B1899" s="308"/>
      <c r="C1899" s="308" t="s">
        <v>7607</v>
      </c>
      <c r="D1899" s="308">
        <f>IFERROR(__xludf.DUMMYFUNCTION("SPLIT(C1899,""-"")"),1918.0)</f>
        <v>1918</v>
      </c>
      <c r="E1899" s="308" t="str">
        <f>IFERROR(__xludf.DUMMYFUNCTION("""COMPUTED_VALUE""")," K")</f>
        <v> K</v>
      </c>
      <c r="F1899" s="309" t="s">
        <v>34</v>
      </c>
      <c r="G1899" s="308" t="s">
        <v>36360</v>
      </c>
      <c r="H1899" s="308" t="s">
        <v>7609</v>
      </c>
      <c r="I1899" s="314">
        <v>40715.0</v>
      </c>
      <c r="J1899" s="319">
        <f>IFERROR(__xludf.DUMMYFUNCTION("SPLIT(I1899,""/"")"),21.0)</f>
        <v>21</v>
      </c>
      <c r="K1899" s="308">
        <f>IFERROR(__xludf.DUMMYFUNCTION("""COMPUTED_VALUE"""),6.0)</f>
        <v>6</v>
      </c>
      <c r="L1899" s="308">
        <f>IFERROR(__xludf.DUMMYFUNCTION("""COMPUTED_VALUE"""),2011.0)</f>
        <v>2011</v>
      </c>
      <c r="M1899" s="308" t="s">
        <v>7610</v>
      </c>
      <c r="N1899" s="308"/>
      <c r="O1899" s="312" t="s">
        <v>7611</v>
      </c>
      <c r="P1899" s="308" t="s">
        <v>7612</v>
      </c>
      <c r="Q1899" s="308"/>
      <c r="R1899" s="308"/>
      <c r="S1899" s="308" t="s">
        <v>81</v>
      </c>
      <c r="T1899" s="308" t="s">
        <v>34264</v>
      </c>
      <c r="U1899" s="308"/>
      <c r="V1899" s="312"/>
    </row>
    <row r="1900">
      <c r="A1900" s="308">
        <v>1899.0</v>
      </c>
      <c r="B1900" s="308"/>
      <c r="C1900" s="308" t="s">
        <v>7613</v>
      </c>
      <c r="D1900" s="308">
        <f>IFERROR(__xludf.DUMMYFUNCTION("SPLIT(C1900,""-"")"),1919.0)</f>
        <v>1919</v>
      </c>
      <c r="E1900" s="308" t="str">
        <f>IFERROR(__xludf.DUMMYFUNCTION("""COMPUTED_VALUE"""),"B")</f>
        <v>B</v>
      </c>
      <c r="F1900" s="315" t="s">
        <v>26</v>
      </c>
      <c r="G1900" s="308" t="s">
        <v>36361</v>
      </c>
      <c r="H1900" s="308" t="s">
        <v>7615</v>
      </c>
      <c r="I1900" s="310">
        <v>41488.0</v>
      </c>
      <c r="J1900" s="319">
        <f>IFERROR(__xludf.DUMMYFUNCTION("SPLIT(I1900,""/"")"),2.0)</f>
        <v>2</v>
      </c>
      <c r="K1900" s="308">
        <f>IFERROR(__xludf.DUMMYFUNCTION("""COMPUTED_VALUE"""),8.0)</f>
        <v>8</v>
      </c>
      <c r="L1900" s="308">
        <f>IFERROR(__xludf.DUMMYFUNCTION("""COMPUTED_VALUE"""),2013.0)</f>
        <v>2013</v>
      </c>
      <c r="M1900" s="308" t="s">
        <v>7616</v>
      </c>
      <c r="N1900" s="308"/>
      <c r="O1900" s="312"/>
      <c r="P1900" s="308" t="s">
        <v>7617</v>
      </c>
      <c r="Q1900" s="308"/>
      <c r="R1900" s="308"/>
      <c r="S1900" s="308" t="s">
        <v>81</v>
      </c>
      <c r="T1900" s="308" t="s">
        <v>75</v>
      </c>
      <c r="U1900" s="308"/>
      <c r="V1900" s="312"/>
    </row>
    <row r="1901">
      <c r="A1901" s="308">
        <v>1900.0</v>
      </c>
      <c r="B1901" s="308"/>
      <c r="C1901" s="308" t="s">
        <v>7618</v>
      </c>
      <c r="D1901" s="308">
        <f>IFERROR(__xludf.DUMMYFUNCTION("SPLIT(C1901,""-"")"),1920.0)</f>
        <v>1920</v>
      </c>
      <c r="E1901" s="308" t="str">
        <f>IFERROR(__xludf.DUMMYFUNCTION("""COMPUTED_VALUE""")," S")</f>
        <v> S</v>
      </c>
      <c r="F1901" s="312" t="s">
        <v>39</v>
      </c>
      <c r="G1901" s="308" t="s">
        <v>36362</v>
      </c>
      <c r="H1901" s="308" t="s">
        <v>7620</v>
      </c>
      <c r="I1901" s="314">
        <v>41627.0</v>
      </c>
      <c r="J1901" s="319">
        <f>IFERROR(__xludf.DUMMYFUNCTION("SPLIT(I1901,""/"")"),19.0)</f>
        <v>19</v>
      </c>
      <c r="K1901" s="308">
        <f>IFERROR(__xludf.DUMMYFUNCTION("""COMPUTED_VALUE"""),12.0)</f>
        <v>12</v>
      </c>
      <c r="L1901" s="308">
        <f>IFERROR(__xludf.DUMMYFUNCTION("""COMPUTED_VALUE"""),2013.0)</f>
        <v>2013</v>
      </c>
      <c r="M1901" s="308" t="s">
        <v>7621</v>
      </c>
      <c r="N1901" s="308"/>
      <c r="O1901" s="312" t="s">
        <v>7622</v>
      </c>
      <c r="P1901" s="308" t="s">
        <v>36363</v>
      </c>
      <c r="Q1901" s="308"/>
      <c r="R1901" s="308"/>
      <c r="S1901" s="308" t="s">
        <v>81</v>
      </c>
      <c r="T1901" s="308" t="s">
        <v>75</v>
      </c>
      <c r="U1901" s="312"/>
      <c r="V1901" s="312"/>
    </row>
    <row r="1902">
      <c r="A1902" s="308">
        <v>1901.0</v>
      </c>
      <c r="B1902" s="308"/>
      <c r="C1902" s="308" t="s">
        <v>7624</v>
      </c>
      <c r="D1902" s="308">
        <f>IFERROR(__xludf.DUMMYFUNCTION("SPLIT(C1902,""-"")"),1921.0)</f>
        <v>1921</v>
      </c>
      <c r="E1902" s="308" t="str">
        <f>IFERROR(__xludf.DUMMYFUNCTION("""COMPUTED_VALUE""")," S")</f>
        <v> S</v>
      </c>
      <c r="F1902" s="312" t="s">
        <v>39</v>
      </c>
      <c r="G1902" s="308" t="s">
        <v>36364</v>
      </c>
      <c r="H1902" s="308" t="s">
        <v>7626</v>
      </c>
      <c r="I1902" s="314">
        <v>41547.0</v>
      </c>
      <c r="J1902" s="319">
        <f>IFERROR(__xludf.DUMMYFUNCTION("SPLIT(I1902,""/"")"),30.0)</f>
        <v>30</v>
      </c>
      <c r="K1902" s="308">
        <f>IFERROR(__xludf.DUMMYFUNCTION("""COMPUTED_VALUE"""),9.0)</f>
        <v>9</v>
      </c>
      <c r="L1902" s="308">
        <f>IFERROR(__xludf.DUMMYFUNCTION("""COMPUTED_VALUE"""),2013.0)</f>
        <v>2013</v>
      </c>
      <c r="M1902" s="308" t="s">
        <v>7627</v>
      </c>
      <c r="N1902" s="308"/>
      <c r="O1902" s="312" t="s">
        <v>635</v>
      </c>
      <c r="P1902" s="308" t="s">
        <v>148</v>
      </c>
      <c r="Q1902" s="308"/>
      <c r="R1902" s="308"/>
      <c r="S1902" s="308" t="s">
        <v>49</v>
      </c>
      <c r="T1902" s="308" t="s">
        <v>51</v>
      </c>
      <c r="U1902" s="308"/>
      <c r="V1902" s="312"/>
    </row>
    <row r="1903">
      <c r="A1903" s="308">
        <v>1902.0</v>
      </c>
      <c r="B1903" s="308"/>
      <c r="C1903" s="308" t="s">
        <v>7628</v>
      </c>
      <c r="D1903" s="308">
        <f>IFERROR(__xludf.DUMMYFUNCTION("SPLIT(C1903,""-"")"),1922.0)</f>
        <v>1922</v>
      </c>
      <c r="E1903" s="308" t="str">
        <f>IFERROR(__xludf.DUMMYFUNCTION("""COMPUTED_VALUE""")," S")</f>
        <v> S</v>
      </c>
      <c r="F1903" s="312" t="s">
        <v>39</v>
      </c>
      <c r="G1903" s="308" t="s">
        <v>36365</v>
      </c>
      <c r="H1903" s="308" t="s">
        <v>36366</v>
      </c>
      <c r="I1903" s="310">
        <v>40488.0</v>
      </c>
      <c r="J1903" s="319">
        <f>IFERROR(__xludf.DUMMYFUNCTION("SPLIT(I1903,""/"")"),6.0)</f>
        <v>6</v>
      </c>
      <c r="K1903" s="308">
        <f>IFERROR(__xludf.DUMMYFUNCTION("""COMPUTED_VALUE"""),11.0)</f>
        <v>11</v>
      </c>
      <c r="L1903" s="308">
        <f>IFERROR(__xludf.DUMMYFUNCTION("""COMPUTED_VALUE"""),2010.0)</f>
        <v>2010</v>
      </c>
      <c r="M1903" s="308" t="s">
        <v>7631</v>
      </c>
      <c r="N1903" s="308"/>
      <c r="O1903" s="312" t="s">
        <v>36367</v>
      </c>
      <c r="P1903" s="308" t="s">
        <v>2675</v>
      </c>
      <c r="Q1903" s="308"/>
      <c r="R1903" s="308"/>
      <c r="S1903" s="308" t="s">
        <v>49</v>
      </c>
      <c r="T1903" s="308" t="s">
        <v>51</v>
      </c>
      <c r="U1903" s="308"/>
      <c r="V1903" s="312"/>
    </row>
    <row r="1904">
      <c r="A1904" s="308">
        <v>1903.0</v>
      </c>
      <c r="B1904" s="308"/>
      <c r="C1904" s="308" t="s">
        <v>7633</v>
      </c>
      <c r="D1904" s="308">
        <f>IFERROR(__xludf.DUMMYFUNCTION("SPLIT(C1904,""-"")"),1923.0)</f>
        <v>1923</v>
      </c>
      <c r="E1904" s="308" t="str">
        <f>IFERROR(__xludf.DUMMYFUNCTION("""COMPUTED_VALUE""")," P")</f>
        <v> P</v>
      </c>
      <c r="F1904" s="312" t="s">
        <v>37</v>
      </c>
      <c r="G1904" s="308" t="s">
        <v>36368</v>
      </c>
      <c r="H1904" s="308" t="s">
        <v>36369</v>
      </c>
      <c r="I1904" s="314">
        <v>41045.0</v>
      </c>
      <c r="J1904" s="319">
        <f>IFERROR(__xludf.DUMMYFUNCTION("SPLIT(I1904,""/"")"),16.0)</f>
        <v>16</v>
      </c>
      <c r="K1904" s="308">
        <f>IFERROR(__xludf.DUMMYFUNCTION("""COMPUTED_VALUE"""),5.0)</f>
        <v>5</v>
      </c>
      <c r="L1904" s="308">
        <f>IFERROR(__xludf.DUMMYFUNCTION("""COMPUTED_VALUE"""),2012.0)</f>
        <v>2012</v>
      </c>
      <c r="M1904" s="308" t="s">
        <v>7636</v>
      </c>
      <c r="N1904" s="308"/>
      <c r="O1904" s="312" t="s">
        <v>36370</v>
      </c>
      <c r="P1904" s="308" t="s">
        <v>7638</v>
      </c>
      <c r="Q1904" s="308"/>
      <c r="R1904" s="308"/>
      <c r="S1904" s="308" t="s">
        <v>49</v>
      </c>
      <c r="T1904" s="308" t="s">
        <v>51</v>
      </c>
      <c r="U1904" s="308"/>
      <c r="V1904" s="312"/>
    </row>
    <row r="1905">
      <c r="A1905" s="308">
        <v>1904.0</v>
      </c>
      <c r="B1905" s="308"/>
      <c r="C1905" s="308" t="s">
        <v>7639</v>
      </c>
      <c r="D1905" s="308">
        <f>IFERROR(__xludf.DUMMYFUNCTION("SPLIT(C1905,""-"")"),1924.0)</f>
        <v>1924</v>
      </c>
      <c r="E1905" s="308" t="str">
        <f>IFERROR(__xludf.DUMMYFUNCTION("""COMPUTED_VALUE""")," B")</f>
        <v> B</v>
      </c>
      <c r="F1905" s="315" t="s">
        <v>26</v>
      </c>
      <c r="G1905" s="308" t="s">
        <v>36371</v>
      </c>
      <c r="H1905" s="308" t="s">
        <v>7641</v>
      </c>
      <c r="I1905" s="314">
        <v>41292.0</v>
      </c>
      <c r="J1905" s="319">
        <f>IFERROR(__xludf.DUMMYFUNCTION("SPLIT(I1905,""/"")"),18.0)</f>
        <v>18</v>
      </c>
      <c r="K1905" s="308">
        <f>IFERROR(__xludf.DUMMYFUNCTION("""COMPUTED_VALUE"""),1.0)</f>
        <v>1</v>
      </c>
      <c r="L1905" s="308">
        <f>IFERROR(__xludf.DUMMYFUNCTION("""COMPUTED_VALUE"""),2013.0)</f>
        <v>2013</v>
      </c>
      <c r="M1905" s="308" t="s">
        <v>7642</v>
      </c>
      <c r="N1905" s="308"/>
      <c r="O1905" s="312" t="s">
        <v>36372</v>
      </c>
      <c r="P1905" s="308" t="s">
        <v>7644</v>
      </c>
      <c r="Q1905" s="308"/>
      <c r="R1905" s="308"/>
      <c r="S1905" s="308" t="s">
        <v>49</v>
      </c>
      <c r="T1905" s="311" t="s">
        <v>53</v>
      </c>
      <c r="U1905" s="308"/>
      <c r="V1905" s="312"/>
    </row>
    <row r="1906">
      <c r="A1906" s="308">
        <v>1905.0</v>
      </c>
      <c r="B1906" s="308"/>
      <c r="C1906" s="308" t="s">
        <v>7645</v>
      </c>
      <c r="D1906" s="308">
        <f>IFERROR(__xludf.DUMMYFUNCTION("SPLIT(C1906,""-"")"),1925.0)</f>
        <v>1925</v>
      </c>
      <c r="E1906" s="308" t="str">
        <f>IFERROR(__xludf.DUMMYFUNCTION("""COMPUTED_VALUE""")," P")</f>
        <v> P</v>
      </c>
      <c r="F1906" s="312" t="s">
        <v>37</v>
      </c>
      <c r="G1906" s="308" t="s">
        <v>36373</v>
      </c>
      <c r="H1906" s="308" t="s">
        <v>7647</v>
      </c>
      <c r="I1906" s="314">
        <v>40860.0</v>
      </c>
      <c r="J1906" s="319">
        <f>IFERROR(__xludf.DUMMYFUNCTION("SPLIT(I1906,""/"")"),13.0)</f>
        <v>13</v>
      </c>
      <c r="K1906" s="308">
        <f>IFERROR(__xludf.DUMMYFUNCTION("""COMPUTED_VALUE"""),11.0)</f>
        <v>11</v>
      </c>
      <c r="L1906" s="308">
        <f>IFERROR(__xludf.DUMMYFUNCTION("""COMPUTED_VALUE"""),2011.0)</f>
        <v>2011</v>
      </c>
      <c r="M1906" s="308" t="s">
        <v>7648</v>
      </c>
      <c r="N1906" s="308"/>
      <c r="O1906" s="312" t="s">
        <v>7649</v>
      </c>
      <c r="P1906" s="308" t="s">
        <v>7650</v>
      </c>
      <c r="Q1906" s="308"/>
      <c r="R1906" s="308"/>
      <c r="S1906" s="308" t="s">
        <v>49</v>
      </c>
      <c r="T1906" s="311" t="s">
        <v>55</v>
      </c>
      <c r="U1906" s="308" t="s">
        <v>143</v>
      </c>
      <c r="V1906" s="312"/>
    </row>
    <row r="1907">
      <c r="A1907" s="308">
        <v>1906.0</v>
      </c>
      <c r="B1907" s="308"/>
      <c r="C1907" s="308" t="s">
        <v>7651</v>
      </c>
      <c r="D1907" s="308">
        <f>IFERROR(__xludf.DUMMYFUNCTION("SPLIT(C1907,""-"")"),1926.0)</f>
        <v>1926</v>
      </c>
      <c r="E1907" s="308" t="str">
        <f>IFERROR(__xludf.DUMMYFUNCTION("""COMPUTED_VALUE""")," P")</f>
        <v> P</v>
      </c>
      <c r="F1907" s="312" t="s">
        <v>37</v>
      </c>
      <c r="G1907" s="308" t="s">
        <v>36374</v>
      </c>
      <c r="H1907" s="308" t="s">
        <v>7653</v>
      </c>
      <c r="I1907" s="310">
        <v>41732.0</v>
      </c>
      <c r="J1907" s="319">
        <f>IFERROR(__xludf.DUMMYFUNCTION("SPLIT(I1907,""/"")"),3.0)</f>
        <v>3</v>
      </c>
      <c r="K1907" s="308">
        <f>IFERROR(__xludf.DUMMYFUNCTION("""COMPUTED_VALUE"""),4.0)</f>
        <v>4</v>
      </c>
      <c r="L1907" s="308">
        <f>IFERROR(__xludf.DUMMYFUNCTION("""COMPUTED_VALUE"""),2014.0)</f>
        <v>2014</v>
      </c>
      <c r="M1907" s="308" t="s">
        <v>7654</v>
      </c>
      <c r="N1907" s="308"/>
      <c r="O1907" s="312" t="s">
        <v>7655</v>
      </c>
      <c r="P1907" s="308" t="s">
        <v>7656</v>
      </c>
      <c r="Q1907" s="308"/>
      <c r="R1907" s="308"/>
      <c r="S1907" s="308" t="s">
        <v>81</v>
      </c>
      <c r="T1907" s="311" t="s">
        <v>75</v>
      </c>
      <c r="U1907" s="308"/>
      <c r="V1907" s="312"/>
    </row>
    <row r="1908">
      <c r="A1908" s="308">
        <v>1907.0</v>
      </c>
      <c r="B1908" s="308"/>
      <c r="C1908" s="308" t="s">
        <v>7657</v>
      </c>
      <c r="D1908" s="308">
        <f>IFERROR(__xludf.DUMMYFUNCTION("SPLIT(C1908,""-"")"),1927.0)</f>
        <v>1927</v>
      </c>
      <c r="E1908" s="308" t="str">
        <f>IFERROR(__xludf.DUMMYFUNCTION("""COMPUTED_VALUE""")," S")</f>
        <v> S</v>
      </c>
      <c r="F1908" s="312" t="s">
        <v>39</v>
      </c>
      <c r="G1908" s="308" t="s">
        <v>36375</v>
      </c>
      <c r="H1908" s="308" t="s">
        <v>7659</v>
      </c>
      <c r="I1908" s="310">
        <v>41436.0</v>
      </c>
      <c r="J1908" s="319">
        <f>IFERROR(__xludf.DUMMYFUNCTION("SPLIT(I1908,""/"")"),11.0)</f>
        <v>11</v>
      </c>
      <c r="K1908" s="308">
        <f>IFERROR(__xludf.DUMMYFUNCTION("""COMPUTED_VALUE"""),6.0)</f>
        <v>6</v>
      </c>
      <c r="L1908" s="308">
        <f>IFERROR(__xludf.DUMMYFUNCTION("""COMPUTED_VALUE"""),2013.0)</f>
        <v>2013</v>
      </c>
      <c r="M1908" s="308" t="s">
        <v>7660</v>
      </c>
      <c r="N1908" s="308"/>
      <c r="O1908" s="312" t="s">
        <v>635</v>
      </c>
      <c r="P1908" s="308" t="s">
        <v>36376</v>
      </c>
      <c r="Q1908" s="308"/>
      <c r="R1908" s="308"/>
      <c r="S1908" s="308" t="s">
        <v>81</v>
      </c>
      <c r="T1908" s="308" t="s">
        <v>75</v>
      </c>
      <c r="U1908" s="312"/>
      <c r="V1908" s="312"/>
    </row>
    <row r="1909">
      <c r="A1909" s="308">
        <v>1908.0</v>
      </c>
      <c r="B1909" s="308"/>
      <c r="C1909" s="308" t="s">
        <v>7662</v>
      </c>
      <c r="D1909" s="308">
        <f>IFERROR(__xludf.DUMMYFUNCTION("SPLIT(C1909,""-"")"),1928.0)</f>
        <v>1928</v>
      </c>
      <c r="E1909" s="308" t="str">
        <f>IFERROR(__xludf.DUMMYFUNCTION("""COMPUTED_VALUE""")," B")</f>
        <v> B</v>
      </c>
      <c r="F1909" s="315" t="s">
        <v>26</v>
      </c>
      <c r="G1909" s="308" t="s">
        <v>36377</v>
      </c>
      <c r="H1909" s="308" t="s">
        <v>7664</v>
      </c>
      <c r="I1909" s="310">
        <v>41034.0</v>
      </c>
      <c r="J1909" s="319">
        <f>IFERROR(__xludf.DUMMYFUNCTION("SPLIT(I1909,""/"")"),5.0)</f>
        <v>5</v>
      </c>
      <c r="K1909" s="308">
        <f>IFERROR(__xludf.DUMMYFUNCTION("""COMPUTED_VALUE"""),5.0)</f>
        <v>5</v>
      </c>
      <c r="L1909" s="308">
        <f>IFERROR(__xludf.DUMMYFUNCTION("""COMPUTED_VALUE"""),2012.0)</f>
        <v>2012</v>
      </c>
      <c r="M1909" s="308" t="s">
        <v>7665</v>
      </c>
      <c r="N1909" s="308"/>
      <c r="O1909" s="312"/>
      <c r="P1909" s="308" t="s">
        <v>7666</v>
      </c>
      <c r="Q1909" s="308"/>
      <c r="R1909" s="308"/>
      <c r="S1909" s="308" t="s">
        <v>49</v>
      </c>
      <c r="T1909" s="311" t="s">
        <v>70</v>
      </c>
      <c r="U1909" s="308"/>
      <c r="V1909" s="312"/>
    </row>
    <row r="1910">
      <c r="A1910" s="308">
        <v>1909.0</v>
      </c>
      <c r="B1910" s="308"/>
      <c r="C1910" s="308" t="s">
        <v>7667</v>
      </c>
      <c r="D1910" s="308">
        <f>IFERROR(__xludf.DUMMYFUNCTION("SPLIT(C1910,""-"")"),1929.0)</f>
        <v>1929</v>
      </c>
      <c r="E1910" s="308" t="str">
        <f>IFERROR(__xludf.DUMMYFUNCTION("""COMPUTED_VALUE""")," B")</f>
        <v> B</v>
      </c>
      <c r="F1910" s="315" t="s">
        <v>26</v>
      </c>
      <c r="G1910" s="308" t="s">
        <v>36377</v>
      </c>
      <c r="H1910" s="308" t="s">
        <v>7668</v>
      </c>
      <c r="I1910" s="310">
        <v>41034.0</v>
      </c>
      <c r="J1910" s="319">
        <f>IFERROR(__xludf.DUMMYFUNCTION("SPLIT(I1910,""/"")"),5.0)</f>
        <v>5</v>
      </c>
      <c r="K1910" s="308">
        <f>IFERROR(__xludf.DUMMYFUNCTION("""COMPUTED_VALUE"""),5.0)</f>
        <v>5</v>
      </c>
      <c r="L1910" s="308">
        <f>IFERROR(__xludf.DUMMYFUNCTION("""COMPUTED_VALUE"""),2012.0)</f>
        <v>2012</v>
      </c>
      <c r="M1910" s="308" t="s">
        <v>7665</v>
      </c>
      <c r="N1910" s="308"/>
      <c r="O1910" s="312" t="s">
        <v>635</v>
      </c>
      <c r="P1910" s="308" t="s">
        <v>7666</v>
      </c>
      <c r="Q1910" s="308"/>
      <c r="R1910" s="308"/>
      <c r="S1910" s="308" t="s">
        <v>49</v>
      </c>
      <c r="T1910" s="311" t="s">
        <v>70</v>
      </c>
      <c r="U1910" s="308"/>
      <c r="V1910" s="312"/>
    </row>
    <row r="1911">
      <c r="A1911" s="308">
        <v>1910.0</v>
      </c>
      <c r="B1911" s="308"/>
      <c r="C1911" s="308" t="s">
        <v>7669</v>
      </c>
      <c r="D1911" s="308">
        <f>IFERROR(__xludf.DUMMYFUNCTION("SPLIT(C1911,""-"")"),1930.0)</f>
        <v>1930</v>
      </c>
      <c r="E1911" s="308" t="str">
        <f>IFERROR(__xludf.DUMMYFUNCTION("""COMPUTED_VALUE""")," S")</f>
        <v> S</v>
      </c>
      <c r="F1911" s="312" t="s">
        <v>39</v>
      </c>
      <c r="G1911" s="308" t="s">
        <v>36378</v>
      </c>
      <c r="H1911" s="308" t="s">
        <v>7671</v>
      </c>
      <c r="I1911" s="314">
        <v>41635.0</v>
      </c>
      <c r="J1911" s="319">
        <f>IFERROR(__xludf.DUMMYFUNCTION("SPLIT(I1911,""/"")"),27.0)</f>
        <v>27</v>
      </c>
      <c r="K1911" s="308">
        <f>IFERROR(__xludf.DUMMYFUNCTION("""COMPUTED_VALUE"""),12.0)</f>
        <v>12</v>
      </c>
      <c r="L1911" s="308">
        <f>IFERROR(__xludf.DUMMYFUNCTION("""COMPUTED_VALUE"""),2013.0)</f>
        <v>2013</v>
      </c>
      <c r="M1911" s="308" t="s">
        <v>7672</v>
      </c>
      <c r="N1911" s="308"/>
      <c r="O1911" s="312" t="s">
        <v>635</v>
      </c>
      <c r="P1911" s="308" t="s">
        <v>36379</v>
      </c>
      <c r="Q1911" s="308"/>
      <c r="R1911" s="308"/>
      <c r="S1911" s="308" t="s">
        <v>81</v>
      </c>
      <c r="T1911" s="308" t="s">
        <v>75</v>
      </c>
      <c r="U1911" s="312"/>
      <c r="V1911" s="312"/>
    </row>
    <row r="1912">
      <c r="A1912" s="308">
        <v>1911.0</v>
      </c>
      <c r="B1912" s="308"/>
      <c r="C1912" s="308" t="s">
        <v>7674</v>
      </c>
      <c r="D1912" s="308">
        <f>IFERROR(__xludf.DUMMYFUNCTION("SPLIT(C1912,""-"")"),1931.0)</f>
        <v>1931</v>
      </c>
      <c r="E1912" s="308" t="str">
        <f>IFERROR(__xludf.DUMMYFUNCTION("""COMPUTED_VALUE""")," K")</f>
        <v> K</v>
      </c>
      <c r="F1912" s="309" t="s">
        <v>34</v>
      </c>
      <c r="G1912" s="308" t="s">
        <v>36380</v>
      </c>
      <c r="H1912" s="308" t="s">
        <v>7676</v>
      </c>
      <c r="I1912" s="310">
        <v>41367.0</v>
      </c>
      <c r="J1912" s="319">
        <f>IFERROR(__xludf.DUMMYFUNCTION("SPLIT(I1912,""/"")"),3.0)</f>
        <v>3</v>
      </c>
      <c r="K1912" s="308">
        <f>IFERROR(__xludf.DUMMYFUNCTION("""COMPUTED_VALUE"""),4.0)</f>
        <v>4</v>
      </c>
      <c r="L1912" s="308">
        <f>IFERROR(__xludf.DUMMYFUNCTION("""COMPUTED_VALUE"""),2013.0)</f>
        <v>2013</v>
      </c>
      <c r="M1912" s="308" t="s">
        <v>7677</v>
      </c>
      <c r="N1912" s="308"/>
      <c r="O1912" s="312" t="s">
        <v>7678</v>
      </c>
      <c r="P1912" s="308" t="s">
        <v>7679</v>
      </c>
      <c r="Q1912" s="308"/>
      <c r="R1912" s="308"/>
      <c r="S1912" s="308" t="s">
        <v>81</v>
      </c>
      <c r="T1912" s="308" t="s">
        <v>34264</v>
      </c>
      <c r="U1912" s="308"/>
      <c r="V1912" s="312"/>
    </row>
    <row r="1913">
      <c r="A1913" s="308">
        <v>1912.0</v>
      </c>
      <c r="B1913" s="308"/>
      <c r="C1913" s="308" t="s">
        <v>7680</v>
      </c>
      <c r="D1913" s="308">
        <f>IFERROR(__xludf.DUMMYFUNCTION("SPLIT(C1913,""-"")"),1932.0)</f>
        <v>1932</v>
      </c>
      <c r="E1913" s="308" t="str">
        <f>IFERROR(__xludf.DUMMYFUNCTION("""COMPUTED_VALUE""")," K")</f>
        <v> K</v>
      </c>
      <c r="F1913" s="309" t="s">
        <v>34</v>
      </c>
      <c r="G1913" s="308" t="s">
        <v>36381</v>
      </c>
      <c r="H1913" s="308" t="s">
        <v>7682</v>
      </c>
      <c r="I1913" s="316">
        <v>2009.0</v>
      </c>
      <c r="J1913" s="319"/>
      <c r="K1913" s="308"/>
      <c r="L1913" s="311">
        <v>2009.0</v>
      </c>
      <c r="M1913" s="308" t="s">
        <v>7683</v>
      </c>
      <c r="N1913" s="308"/>
      <c r="O1913" s="312" t="s">
        <v>7684</v>
      </c>
      <c r="P1913" s="308" t="s">
        <v>36275</v>
      </c>
      <c r="Q1913" s="308"/>
      <c r="R1913" s="308"/>
      <c r="S1913" s="315" t="s">
        <v>100</v>
      </c>
      <c r="T1913" s="311" t="s">
        <v>34208</v>
      </c>
      <c r="U1913" s="308" t="s">
        <v>2152</v>
      </c>
      <c r="V1913" s="312"/>
    </row>
    <row r="1914">
      <c r="A1914" s="308">
        <v>1913.0</v>
      </c>
      <c r="B1914" s="308"/>
      <c r="C1914" s="308" t="s">
        <v>7685</v>
      </c>
      <c r="D1914" s="308">
        <f>IFERROR(__xludf.DUMMYFUNCTION("SPLIT(C1914,""-"")"),1933.0)</f>
        <v>1933</v>
      </c>
      <c r="E1914" s="308" t="str">
        <f>IFERROR(__xludf.DUMMYFUNCTION("""COMPUTED_VALUE""")," S")</f>
        <v> S</v>
      </c>
      <c r="F1914" s="312" t="s">
        <v>39</v>
      </c>
      <c r="G1914" s="308" t="s">
        <v>36382</v>
      </c>
      <c r="H1914" s="308" t="s">
        <v>7687</v>
      </c>
      <c r="I1914" s="310">
        <v>41467.0</v>
      </c>
      <c r="J1914" s="319">
        <f>IFERROR(__xludf.DUMMYFUNCTION("SPLIT(I1914,""/"")"),12.0)</f>
        <v>12</v>
      </c>
      <c r="K1914" s="308">
        <f>IFERROR(__xludf.DUMMYFUNCTION("""COMPUTED_VALUE"""),7.0)</f>
        <v>7</v>
      </c>
      <c r="L1914" s="308">
        <f>IFERROR(__xludf.DUMMYFUNCTION("""COMPUTED_VALUE"""),2013.0)</f>
        <v>2013</v>
      </c>
      <c r="M1914" s="308" t="s">
        <v>7688</v>
      </c>
      <c r="N1914" s="308"/>
      <c r="O1914" s="312" t="s">
        <v>36383</v>
      </c>
      <c r="P1914" s="308" t="s">
        <v>36384</v>
      </c>
      <c r="Q1914" s="308"/>
      <c r="R1914" s="308"/>
      <c r="S1914" s="308" t="s">
        <v>81</v>
      </c>
      <c r="T1914" s="308" t="s">
        <v>75</v>
      </c>
      <c r="U1914" s="312"/>
      <c r="V1914" s="312"/>
    </row>
    <row r="1915">
      <c r="A1915" s="308">
        <v>1914.0</v>
      </c>
      <c r="B1915" s="308"/>
      <c r="C1915" s="308" t="s">
        <v>7691</v>
      </c>
      <c r="D1915" s="308">
        <f>IFERROR(__xludf.DUMMYFUNCTION("SPLIT(C1915,""-"")"),1934.0)</f>
        <v>1934</v>
      </c>
      <c r="E1915" s="308" t="str">
        <f>IFERROR(__xludf.DUMMYFUNCTION("""COMPUTED_VALUE""")," K")</f>
        <v> K</v>
      </c>
      <c r="F1915" s="309" t="s">
        <v>34</v>
      </c>
      <c r="G1915" s="308" t="s">
        <v>36385</v>
      </c>
      <c r="H1915" s="308" t="s">
        <v>7693</v>
      </c>
      <c r="I1915" s="314">
        <v>40803.0</v>
      </c>
      <c r="J1915" s="319">
        <f>IFERROR(__xludf.DUMMYFUNCTION("SPLIT(I1915,""/"")"),17.0)</f>
        <v>17</v>
      </c>
      <c r="K1915" s="308">
        <f>IFERROR(__xludf.DUMMYFUNCTION("""COMPUTED_VALUE"""),9.0)</f>
        <v>9</v>
      </c>
      <c r="L1915" s="308">
        <f>IFERROR(__xludf.DUMMYFUNCTION("""COMPUTED_VALUE"""),2011.0)</f>
        <v>2011</v>
      </c>
      <c r="M1915" s="308" t="s">
        <v>7694</v>
      </c>
      <c r="N1915" s="308"/>
      <c r="O1915" s="312" t="s">
        <v>36386</v>
      </c>
      <c r="P1915" s="308" t="s">
        <v>1872</v>
      </c>
      <c r="Q1915" s="308"/>
      <c r="R1915" s="308"/>
      <c r="S1915" s="315" t="s">
        <v>100</v>
      </c>
      <c r="T1915" s="311" t="s">
        <v>34208</v>
      </c>
      <c r="U1915" s="308"/>
      <c r="V1915" s="312"/>
    </row>
    <row r="1916">
      <c r="A1916" s="308">
        <v>1915.0</v>
      </c>
      <c r="B1916" s="308"/>
      <c r="C1916" s="308" t="s">
        <v>7696</v>
      </c>
      <c r="D1916" s="308">
        <f>IFERROR(__xludf.DUMMYFUNCTION("SPLIT(C1916,""-"")"),1935.0)</f>
        <v>1935</v>
      </c>
      <c r="E1916" s="308" t="str">
        <f>IFERROR(__xludf.DUMMYFUNCTION("""COMPUTED_VALUE""")," S")</f>
        <v> S</v>
      </c>
      <c r="F1916" s="312" t="s">
        <v>39</v>
      </c>
      <c r="G1916" s="308" t="s">
        <v>36387</v>
      </c>
      <c r="H1916" s="308" t="s">
        <v>7698</v>
      </c>
      <c r="I1916" s="314">
        <v>41622.0</v>
      </c>
      <c r="J1916" s="319">
        <f>IFERROR(__xludf.DUMMYFUNCTION("SPLIT(I1916,""/"")"),14.0)</f>
        <v>14</v>
      </c>
      <c r="K1916" s="308">
        <f>IFERROR(__xludf.DUMMYFUNCTION("""COMPUTED_VALUE"""),12.0)</f>
        <v>12</v>
      </c>
      <c r="L1916" s="308">
        <f>IFERROR(__xludf.DUMMYFUNCTION("""COMPUTED_VALUE"""),2013.0)</f>
        <v>2013</v>
      </c>
      <c r="M1916" s="308" t="s">
        <v>7699</v>
      </c>
      <c r="N1916" s="308"/>
      <c r="O1916" s="312" t="s">
        <v>7700</v>
      </c>
      <c r="P1916" s="308" t="s">
        <v>36388</v>
      </c>
      <c r="Q1916" s="308"/>
      <c r="R1916" s="308" t="s">
        <v>166</v>
      </c>
      <c r="S1916" s="308" t="s">
        <v>49</v>
      </c>
      <c r="T1916" s="311" t="s">
        <v>51</v>
      </c>
      <c r="U1916" s="308"/>
      <c r="V1916" s="312"/>
    </row>
    <row r="1917">
      <c r="A1917" s="308">
        <v>1916.0</v>
      </c>
      <c r="B1917" s="308"/>
      <c r="C1917" s="308" t="s">
        <v>7702</v>
      </c>
      <c r="D1917" s="308">
        <f>IFERROR(__xludf.DUMMYFUNCTION("SPLIT(C1917,""-"")"),1936.0)</f>
        <v>1936</v>
      </c>
      <c r="E1917" s="308" t="str">
        <f>IFERROR(__xludf.DUMMYFUNCTION("""COMPUTED_VALUE""")," K")</f>
        <v> K</v>
      </c>
      <c r="F1917" s="309" t="s">
        <v>34</v>
      </c>
      <c r="G1917" s="308" t="s">
        <v>36389</v>
      </c>
      <c r="H1917" s="308" t="s">
        <v>7704</v>
      </c>
      <c r="I1917" s="316">
        <v>2012.0</v>
      </c>
      <c r="J1917" s="319"/>
      <c r="K1917" s="308"/>
      <c r="L1917" s="311">
        <v>2012.0</v>
      </c>
      <c r="M1917" s="308" t="s">
        <v>7705</v>
      </c>
      <c r="N1917" s="308"/>
      <c r="O1917" s="312" t="s">
        <v>635</v>
      </c>
      <c r="P1917" s="308" t="s">
        <v>7706</v>
      </c>
      <c r="Q1917" s="308"/>
      <c r="R1917" s="308"/>
      <c r="S1917" s="308" t="s">
        <v>81</v>
      </c>
      <c r="T1917" s="308" t="s">
        <v>34264</v>
      </c>
      <c r="U1917" s="308"/>
      <c r="V1917" s="312"/>
    </row>
    <row r="1918">
      <c r="A1918" s="308">
        <v>1917.0</v>
      </c>
      <c r="B1918" s="308"/>
      <c r="C1918" s="308" t="s">
        <v>7707</v>
      </c>
      <c r="D1918" s="308">
        <f>IFERROR(__xludf.DUMMYFUNCTION("SPLIT(C1918,""-"")"),1937.0)</f>
        <v>1937</v>
      </c>
      <c r="E1918" s="308" t="str">
        <f>IFERROR(__xludf.DUMMYFUNCTION("""COMPUTED_VALUE""")," S")</f>
        <v> S</v>
      </c>
      <c r="F1918" s="312" t="s">
        <v>39</v>
      </c>
      <c r="G1918" s="308" t="s">
        <v>36390</v>
      </c>
      <c r="H1918" s="308" t="s">
        <v>7709</v>
      </c>
      <c r="I1918" s="310">
        <v>41404.0</v>
      </c>
      <c r="J1918" s="319">
        <f>IFERROR(__xludf.DUMMYFUNCTION("SPLIT(I1918,""/"")"),10.0)</f>
        <v>10</v>
      </c>
      <c r="K1918" s="308">
        <f>IFERROR(__xludf.DUMMYFUNCTION("""COMPUTED_VALUE"""),5.0)</f>
        <v>5</v>
      </c>
      <c r="L1918" s="308">
        <f>IFERROR(__xludf.DUMMYFUNCTION("""COMPUTED_VALUE"""),2013.0)</f>
        <v>2013</v>
      </c>
      <c r="M1918" s="308" t="s">
        <v>7710</v>
      </c>
      <c r="N1918" s="308"/>
      <c r="O1918" s="312" t="s">
        <v>7711</v>
      </c>
      <c r="P1918" s="308" t="s">
        <v>36391</v>
      </c>
      <c r="Q1918" s="308"/>
      <c r="R1918" s="308"/>
      <c r="S1918" s="308" t="s">
        <v>81</v>
      </c>
      <c r="T1918" s="308" t="s">
        <v>75</v>
      </c>
      <c r="U1918" s="312"/>
      <c r="V1918" s="312"/>
    </row>
    <row r="1919">
      <c r="A1919" s="308">
        <v>1918.0</v>
      </c>
      <c r="B1919" s="308"/>
      <c r="C1919" s="308" t="s">
        <v>7713</v>
      </c>
      <c r="D1919" s="308">
        <f>IFERROR(__xludf.DUMMYFUNCTION("SPLIT(C1919,""-"")"),1938.0)</f>
        <v>1938</v>
      </c>
      <c r="E1919" s="308" t="str">
        <f>IFERROR(__xludf.DUMMYFUNCTION("""COMPUTED_VALUE""")," K")</f>
        <v> K</v>
      </c>
      <c r="F1919" s="309" t="s">
        <v>34</v>
      </c>
      <c r="G1919" s="308" t="s">
        <v>36392</v>
      </c>
      <c r="H1919" s="308" t="s">
        <v>7715</v>
      </c>
      <c r="I1919" s="322"/>
      <c r="J1919" s="319"/>
      <c r="K1919" s="308"/>
      <c r="L1919" s="311" t="s">
        <v>79</v>
      </c>
      <c r="M1919" s="308" t="s">
        <v>7716</v>
      </c>
      <c r="N1919" s="308"/>
      <c r="O1919" s="312" t="s">
        <v>7717</v>
      </c>
      <c r="P1919" s="308" t="s">
        <v>7718</v>
      </c>
      <c r="Q1919" s="308"/>
      <c r="R1919" s="308"/>
      <c r="S1919" s="308" t="s">
        <v>81</v>
      </c>
      <c r="T1919" s="308" t="s">
        <v>34264</v>
      </c>
      <c r="U1919" s="308"/>
      <c r="V1919" s="312"/>
    </row>
    <row r="1920">
      <c r="A1920" s="308">
        <v>1919.0</v>
      </c>
      <c r="B1920" s="308"/>
      <c r="C1920" s="308" t="s">
        <v>7719</v>
      </c>
      <c r="D1920" s="308">
        <f>IFERROR(__xludf.DUMMYFUNCTION("SPLIT(C1920,""-"")"),1939.0)</f>
        <v>1939</v>
      </c>
      <c r="E1920" s="308" t="str">
        <f>IFERROR(__xludf.DUMMYFUNCTION("""COMPUTED_VALUE""")," K")</f>
        <v> K</v>
      </c>
      <c r="F1920" s="309" t="s">
        <v>34</v>
      </c>
      <c r="G1920" s="308" t="s">
        <v>36393</v>
      </c>
      <c r="H1920" s="308" t="s">
        <v>7721</v>
      </c>
      <c r="I1920" s="316">
        <v>2011.0</v>
      </c>
      <c r="J1920" s="319"/>
      <c r="K1920" s="308"/>
      <c r="L1920" s="311">
        <v>2011.0</v>
      </c>
      <c r="M1920" s="308" t="s">
        <v>7722</v>
      </c>
      <c r="N1920" s="308"/>
      <c r="O1920" s="312" t="s">
        <v>635</v>
      </c>
      <c r="P1920" s="308" t="s">
        <v>7723</v>
      </c>
      <c r="Q1920" s="308"/>
      <c r="R1920" s="308"/>
      <c r="S1920" s="308" t="s">
        <v>81</v>
      </c>
      <c r="T1920" s="308" t="s">
        <v>34264</v>
      </c>
      <c r="U1920" s="308"/>
      <c r="V1920" s="312"/>
    </row>
    <row r="1921">
      <c r="A1921" s="308">
        <v>1920.0</v>
      </c>
      <c r="B1921" s="308"/>
      <c r="C1921" s="308" t="s">
        <v>7724</v>
      </c>
      <c r="D1921" s="308">
        <f>IFERROR(__xludf.DUMMYFUNCTION("SPLIT(C1921,""-"")"),1940.0)</f>
        <v>1940</v>
      </c>
      <c r="E1921" s="308" t="str">
        <f>IFERROR(__xludf.DUMMYFUNCTION("""COMPUTED_VALUE""")," K")</f>
        <v> K</v>
      </c>
      <c r="F1921" s="309" t="s">
        <v>34</v>
      </c>
      <c r="G1921" s="308" t="s">
        <v>36394</v>
      </c>
      <c r="H1921" s="308" t="s">
        <v>7726</v>
      </c>
      <c r="I1921" s="314">
        <v>41319.0</v>
      </c>
      <c r="J1921" s="319">
        <f>IFERROR(__xludf.DUMMYFUNCTION("SPLIT(I1921,""/"")"),14.0)</f>
        <v>14</v>
      </c>
      <c r="K1921" s="308">
        <f>IFERROR(__xludf.DUMMYFUNCTION("""COMPUTED_VALUE"""),2.0)</f>
        <v>2</v>
      </c>
      <c r="L1921" s="308">
        <f>IFERROR(__xludf.DUMMYFUNCTION("""COMPUTED_VALUE"""),2013.0)</f>
        <v>2013</v>
      </c>
      <c r="M1921" s="308" t="s">
        <v>7727</v>
      </c>
      <c r="N1921" s="308"/>
      <c r="O1921" s="312" t="s">
        <v>36395</v>
      </c>
      <c r="P1921" s="308" t="s">
        <v>7729</v>
      </c>
      <c r="Q1921" s="308"/>
      <c r="R1921" s="308"/>
      <c r="S1921" s="308" t="s">
        <v>81</v>
      </c>
      <c r="T1921" s="311" t="s">
        <v>75</v>
      </c>
      <c r="U1921" s="308"/>
      <c r="V1921" s="312"/>
    </row>
    <row r="1922">
      <c r="A1922" s="308">
        <v>1921.0</v>
      </c>
      <c r="B1922" s="308"/>
      <c r="C1922" s="308" t="s">
        <v>7730</v>
      </c>
      <c r="D1922" s="308">
        <f>IFERROR(__xludf.DUMMYFUNCTION("SPLIT(C1922,""-"")"),1941.0)</f>
        <v>1941</v>
      </c>
      <c r="E1922" s="308" t="str">
        <f>IFERROR(__xludf.DUMMYFUNCTION("""COMPUTED_VALUE""")," K")</f>
        <v> K</v>
      </c>
      <c r="F1922" s="309" t="s">
        <v>34</v>
      </c>
      <c r="G1922" s="308" t="s">
        <v>36396</v>
      </c>
      <c r="H1922" s="308" t="s">
        <v>7732</v>
      </c>
      <c r="I1922" s="314">
        <v>40011.0</v>
      </c>
      <c r="J1922" s="319">
        <f>IFERROR(__xludf.DUMMYFUNCTION("SPLIT(I1922,""/"")"),17.0)</f>
        <v>17</v>
      </c>
      <c r="K1922" s="308">
        <f>IFERROR(__xludf.DUMMYFUNCTION("""COMPUTED_VALUE"""),7.0)</f>
        <v>7</v>
      </c>
      <c r="L1922" s="308">
        <f>IFERROR(__xludf.DUMMYFUNCTION("""COMPUTED_VALUE"""),2009.0)</f>
        <v>2009</v>
      </c>
      <c r="M1922" s="308" t="s">
        <v>7733</v>
      </c>
      <c r="N1922" s="308"/>
      <c r="O1922" s="312" t="s">
        <v>7734</v>
      </c>
      <c r="P1922" s="308" t="s">
        <v>1872</v>
      </c>
      <c r="Q1922" s="308"/>
      <c r="R1922" s="308"/>
      <c r="S1922" s="315" t="s">
        <v>100</v>
      </c>
      <c r="T1922" s="311" t="s">
        <v>34208</v>
      </c>
      <c r="U1922" s="308"/>
      <c r="V1922" s="312"/>
    </row>
    <row r="1923">
      <c r="A1923" s="308">
        <v>1922.0</v>
      </c>
      <c r="B1923" s="308"/>
      <c r="C1923" s="308" t="s">
        <v>7735</v>
      </c>
      <c r="D1923" s="308">
        <f>IFERROR(__xludf.DUMMYFUNCTION("SPLIT(C1923,""-"")"),1942.0)</f>
        <v>1942</v>
      </c>
      <c r="E1923" s="308" t="str">
        <f>IFERROR(__xludf.DUMMYFUNCTION("""COMPUTED_VALUE""")," P")</f>
        <v> P</v>
      </c>
      <c r="F1923" s="312" t="s">
        <v>37</v>
      </c>
      <c r="G1923" s="308" t="s">
        <v>36397</v>
      </c>
      <c r="H1923" s="308" t="s">
        <v>7737</v>
      </c>
      <c r="I1923" s="316">
        <v>2010.0</v>
      </c>
      <c r="J1923" s="319"/>
      <c r="K1923" s="308"/>
      <c r="L1923" s="311">
        <v>2010.0</v>
      </c>
      <c r="M1923" s="308" t="s">
        <v>7738</v>
      </c>
      <c r="N1923" s="308"/>
      <c r="O1923" s="312" t="s">
        <v>635</v>
      </c>
      <c r="P1923" s="308" t="s">
        <v>7739</v>
      </c>
      <c r="Q1923" s="308"/>
      <c r="R1923" s="308"/>
      <c r="S1923" s="308" t="s">
        <v>81</v>
      </c>
      <c r="T1923" s="308" t="s">
        <v>75</v>
      </c>
      <c r="U1923" s="308"/>
      <c r="V1923" s="312"/>
    </row>
    <row r="1924">
      <c r="A1924" s="308">
        <v>1923.0</v>
      </c>
      <c r="B1924" s="308"/>
      <c r="C1924" s="308" t="s">
        <v>7740</v>
      </c>
      <c r="D1924" s="308">
        <f>IFERROR(__xludf.DUMMYFUNCTION("SPLIT(C1924,""-"")"),1943.0)</f>
        <v>1943</v>
      </c>
      <c r="E1924" s="308" t="str">
        <f>IFERROR(__xludf.DUMMYFUNCTION("""COMPUTED_VALUE""")," S")</f>
        <v> S</v>
      </c>
      <c r="F1924" s="312" t="s">
        <v>39</v>
      </c>
      <c r="G1924" s="308" t="s">
        <v>36398</v>
      </c>
      <c r="H1924" s="308" t="s">
        <v>7742</v>
      </c>
      <c r="I1924" s="314">
        <v>41659.0</v>
      </c>
      <c r="J1924" s="319">
        <f>IFERROR(__xludf.DUMMYFUNCTION("SPLIT(I1924,""/"")"),20.0)</f>
        <v>20</v>
      </c>
      <c r="K1924" s="308">
        <f>IFERROR(__xludf.DUMMYFUNCTION("""COMPUTED_VALUE"""),1.0)</f>
        <v>1</v>
      </c>
      <c r="L1924" s="308">
        <f>IFERROR(__xludf.DUMMYFUNCTION("""COMPUTED_VALUE"""),2014.0)</f>
        <v>2014</v>
      </c>
      <c r="M1924" s="308" t="s">
        <v>7743</v>
      </c>
      <c r="N1924" s="308"/>
      <c r="O1924" s="312" t="s">
        <v>36399</v>
      </c>
      <c r="P1924" s="308" t="s">
        <v>36400</v>
      </c>
      <c r="Q1924" s="308"/>
      <c r="R1924" s="308"/>
      <c r="S1924" s="308" t="s">
        <v>81</v>
      </c>
      <c r="T1924" s="308" t="s">
        <v>75</v>
      </c>
      <c r="U1924" s="312"/>
      <c r="V1924" s="312"/>
    </row>
    <row r="1925">
      <c r="A1925" s="308">
        <v>1924.0</v>
      </c>
      <c r="B1925" s="308"/>
      <c r="C1925" s="308" t="s">
        <v>7746</v>
      </c>
      <c r="D1925" s="308">
        <f>IFERROR(__xludf.DUMMYFUNCTION("SPLIT(C1925,""-"")"),1944.0)</f>
        <v>1944</v>
      </c>
      <c r="E1925" s="308" t="str">
        <f>IFERROR(__xludf.DUMMYFUNCTION("""COMPUTED_VALUE""")," K")</f>
        <v> K</v>
      </c>
      <c r="F1925" s="309" t="s">
        <v>34</v>
      </c>
      <c r="G1925" s="308" t="s">
        <v>36401</v>
      </c>
      <c r="H1925" s="308" t="s">
        <v>7748</v>
      </c>
      <c r="I1925" s="310">
        <v>39822.0</v>
      </c>
      <c r="J1925" s="319">
        <f>IFERROR(__xludf.DUMMYFUNCTION("SPLIT(I1925,""/"")"),9.0)</f>
        <v>9</v>
      </c>
      <c r="K1925" s="308">
        <f>IFERROR(__xludf.DUMMYFUNCTION("""COMPUTED_VALUE"""),1.0)</f>
        <v>1</v>
      </c>
      <c r="L1925" s="308">
        <f>IFERROR(__xludf.DUMMYFUNCTION("""COMPUTED_VALUE"""),2009.0)</f>
        <v>2009</v>
      </c>
      <c r="M1925" s="308" t="s">
        <v>7749</v>
      </c>
      <c r="N1925" s="308"/>
      <c r="O1925" s="312" t="s">
        <v>36402</v>
      </c>
      <c r="P1925" s="308" t="s">
        <v>1872</v>
      </c>
      <c r="Q1925" s="308"/>
      <c r="R1925" s="308"/>
      <c r="S1925" s="315" t="s">
        <v>100</v>
      </c>
      <c r="T1925" s="311" t="s">
        <v>34208</v>
      </c>
      <c r="U1925" s="308"/>
      <c r="V1925" s="312"/>
    </row>
    <row r="1926">
      <c r="A1926" s="308">
        <v>1925.0</v>
      </c>
      <c r="B1926" s="308"/>
      <c r="C1926" s="308" t="s">
        <v>7751</v>
      </c>
      <c r="D1926" s="308">
        <f>IFERROR(__xludf.DUMMYFUNCTION("SPLIT(C1926,""-"")"),1945.0)</f>
        <v>1945</v>
      </c>
      <c r="E1926" s="308" t="str">
        <f>IFERROR(__xludf.DUMMYFUNCTION("""COMPUTED_VALUE""")," S")</f>
        <v> S</v>
      </c>
      <c r="F1926" s="312" t="s">
        <v>39</v>
      </c>
      <c r="G1926" s="308" t="s">
        <v>36403</v>
      </c>
      <c r="H1926" s="308" t="s">
        <v>7753</v>
      </c>
      <c r="I1926" s="310">
        <v>41338.0</v>
      </c>
      <c r="J1926" s="319">
        <f>IFERROR(__xludf.DUMMYFUNCTION("SPLIT(I1926,""/"")"),5.0)</f>
        <v>5</v>
      </c>
      <c r="K1926" s="308">
        <f>IFERROR(__xludf.DUMMYFUNCTION("""COMPUTED_VALUE"""),3.0)</f>
        <v>3</v>
      </c>
      <c r="L1926" s="308">
        <f>IFERROR(__xludf.DUMMYFUNCTION("""COMPUTED_VALUE"""),2013.0)</f>
        <v>2013</v>
      </c>
      <c r="M1926" s="308" t="s">
        <v>7754</v>
      </c>
      <c r="N1926" s="308"/>
      <c r="O1926" s="312"/>
      <c r="P1926" s="308" t="s">
        <v>34756</v>
      </c>
      <c r="Q1926" s="308"/>
      <c r="R1926" s="308"/>
      <c r="S1926" s="308" t="s">
        <v>81</v>
      </c>
      <c r="T1926" s="311" t="s">
        <v>35048</v>
      </c>
      <c r="U1926" s="308"/>
      <c r="V1926" s="312"/>
    </row>
    <row r="1927">
      <c r="A1927" s="308">
        <v>1926.0</v>
      </c>
      <c r="B1927" s="308"/>
      <c r="C1927" s="308" t="s">
        <v>7755</v>
      </c>
      <c r="D1927" s="308">
        <f>IFERROR(__xludf.DUMMYFUNCTION("SPLIT(C1927,""-"")"),1946.0)</f>
        <v>1946</v>
      </c>
      <c r="E1927" s="308" t="str">
        <f>IFERROR(__xludf.DUMMYFUNCTION("""COMPUTED_VALUE""")," B")</f>
        <v> B</v>
      </c>
      <c r="F1927" s="315" t="s">
        <v>26</v>
      </c>
      <c r="G1927" s="308" t="s">
        <v>36404</v>
      </c>
      <c r="H1927" s="308" t="s">
        <v>7757</v>
      </c>
      <c r="I1927" s="316">
        <v>2012.0</v>
      </c>
      <c r="J1927" s="319"/>
      <c r="K1927" s="308"/>
      <c r="L1927" s="311">
        <v>2012.0</v>
      </c>
      <c r="M1927" s="308" t="s">
        <v>7758</v>
      </c>
      <c r="N1927" s="308"/>
      <c r="O1927" s="312" t="s">
        <v>7759</v>
      </c>
      <c r="P1927" s="308" t="s">
        <v>36405</v>
      </c>
      <c r="Q1927" s="308"/>
      <c r="R1927" s="308"/>
      <c r="S1927" s="308" t="s">
        <v>81</v>
      </c>
      <c r="T1927" s="308" t="s">
        <v>75</v>
      </c>
      <c r="U1927" s="308"/>
      <c r="V1927" s="312"/>
    </row>
    <row r="1928">
      <c r="A1928" s="308">
        <v>1927.0</v>
      </c>
      <c r="B1928" s="308"/>
      <c r="C1928" s="308" t="s">
        <v>7761</v>
      </c>
      <c r="D1928" s="308">
        <f>IFERROR(__xludf.DUMMYFUNCTION("SPLIT(C1928,""-"")"),1947.0)</f>
        <v>1947</v>
      </c>
      <c r="E1928" s="308" t="str">
        <f>IFERROR(__xludf.DUMMYFUNCTION("""COMPUTED_VALUE""")," K")</f>
        <v> K</v>
      </c>
      <c r="F1928" s="309" t="s">
        <v>34</v>
      </c>
      <c r="G1928" s="308" t="s">
        <v>36406</v>
      </c>
      <c r="H1928" s="308" t="s">
        <v>7763</v>
      </c>
      <c r="I1928" s="327">
        <v>41122.0</v>
      </c>
      <c r="J1928" s="319"/>
      <c r="K1928" s="311">
        <v>8.0</v>
      </c>
      <c r="L1928" s="311">
        <v>2012.0</v>
      </c>
      <c r="M1928" s="308" t="s">
        <v>7764</v>
      </c>
      <c r="N1928" s="308"/>
      <c r="O1928" s="312" t="s">
        <v>7765</v>
      </c>
      <c r="P1928" s="308" t="s">
        <v>36407</v>
      </c>
      <c r="Q1928" s="308"/>
      <c r="R1928" s="308"/>
      <c r="S1928" s="308" t="s">
        <v>81</v>
      </c>
      <c r="T1928" s="308" t="s">
        <v>34264</v>
      </c>
      <c r="U1928" s="308"/>
      <c r="V1928" s="312"/>
    </row>
    <row r="1929">
      <c r="A1929" s="308">
        <v>1928.0</v>
      </c>
      <c r="B1929" s="308"/>
      <c r="C1929" s="308" t="s">
        <v>7767</v>
      </c>
      <c r="D1929" s="308">
        <f>IFERROR(__xludf.DUMMYFUNCTION("SPLIT(C1929,""-"")"),1948.0)</f>
        <v>1948</v>
      </c>
      <c r="E1929" s="308" t="str">
        <f>IFERROR(__xludf.DUMMYFUNCTION("""COMPUTED_VALUE""")," K")</f>
        <v> K</v>
      </c>
      <c r="F1929" s="309" t="s">
        <v>34</v>
      </c>
      <c r="G1929" s="308" t="s">
        <v>36408</v>
      </c>
      <c r="H1929" s="308" t="s">
        <v>7769</v>
      </c>
      <c r="I1929" s="316">
        <v>2009.0</v>
      </c>
      <c r="J1929" s="319"/>
      <c r="K1929" s="308"/>
      <c r="L1929" s="311">
        <v>2009.0</v>
      </c>
      <c r="M1929" s="308" t="s">
        <v>36409</v>
      </c>
      <c r="N1929" s="308"/>
      <c r="O1929" s="312" t="s">
        <v>7771</v>
      </c>
      <c r="P1929" s="308" t="s">
        <v>1872</v>
      </c>
      <c r="Q1929" s="308"/>
      <c r="R1929" s="308"/>
      <c r="S1929" s="315" t="s">
        <v>100</v>
      </c>
      <c r="T1929" s="311" t="s">
        <v>34208</v>
      </c>
      <c r="U1929" s="308"/>
      <c r="V1929" s="312"/>
    </row>
    <row r="1930">
      <c r="A1930" s="308">
        <v>1929.0</v>
      </c>
      <c r="B1930" s="308"/>
      <c r="C1930" s="308" t="s">
        <v>7772</v>
      </c>
      <c r="D1930" s="308">
        <f>IFERROR(__xludf.DUMMYFUNCTION("SPLIT(C1930,""-"")"),1949.0)</f>
        <v>1949</v>
      </c>
      <c r="E1930" s="308" t="str">
        <f>IFERROR(__xludf.DUMMYFUNCTION("""COMPUTED_VALUE""")," K")</f>
        <v> K</v>
      </c>
      <c r="F1930" s="309" t="s">
        <v>34</v>
      </c>
      <c r="G1930" s="308" t="s">
        <v>36410</v>
      </c>
      <c r="H1930" s="308" t="s">
        <v>7774</v>
      </c>
      <c r="I1930" s="314">
        <v>40959.0</v>
      </c>
      <c r="J1930" s="319">
        <f>IFERROR(__xludf.DUMMYFUNCTION("SPLIT(I1930,""/"")"),20.0)</f>
        <v>20</v>
      </c>
      <c r="K1930" s="308">
        <f>IFERROR(__xludf.DUMMYFUNCTION("""COMPUTED_VALUE"""),2.0)</f>
        <v>2</v>
      </c>
      <c r="L1930" s="308">
        <f>IFERROR(__xludf.DUMMYFUNCTION("""COMPUTED_VALUE"""),2012.0)</f>
        <v>2012</v>
      </c>
      <c r="M1930" s="308" t="s">
        <v>7775</v>
      </c>
      <c r="N1930" s="308"/>
      <c r="O1930" s="312" t="s">
        <v>635</v>
      </c>
      <c r="P1930" s="308" t="s">
        <v>7776</v>
      </c>
      <c r="Q1930" s="308"/>
      <c r="R1930" s="308"/>
      <c r="S1930" s="308" t="s">
        <v>81</v>
      </c>
      <c r="T1930" s="308" t="s">
        <v>34264</v>
      </c>
      <c r="U1930" s="308"/>
      <c r="V1930" s="312"/>
    </row>
    <row r="1931">
      <c r="A1931" s="308">
        <v>1930.0</v>
      </c>
      <c r="B1931" s="308"/>
      <c r="C1931" s="308" t="s">
        <v>7777</v>
      </c>
      <c r="D1931" s="308">
        <f>IFERROR(__xludf.DUMMYFUNCTION("SPLIT(C1931,""-"")"),1950.0)</f>
        <v>1950</v>
      </c>
      <c r="E1931" s="308" t="str">
        <f>IFERROR(__xludf.DUMMYFUNCTION("""COMPUTED_VALUE""")," K")</f>
        <v> K</v>
      </c>
      <c r="F1931" s="309" t="s">
        <v>34</v>
      </c>
      <c r="G1931" s="308" t="s">
        <v>36411</v>
      </c>
      <c r="H1931" s="308" t="s">
        <v>7779</v>
      </c>
      <c r="I1931" s="310">
        <v>40065.0</v>
      </c>
      <c r="J1931" s="319">
        <f>IFERROR(__xludf.DUMMYFUNCTION("SPLIT(I1931,""/"")"),9.0)</f>
        <v>9</v>
      </c>
      <c r="K1931" s="308">
        <f>IFERROR(__xludf.DUMMYFUNCTION("""COMPUTED_VALUE"""),9.0)</f>
        <v>9</v>
      </c>
      <c r="L1931" s="308">
        <f>IFERROR(__xludf.DUMMYFUNCTION("""COMPUTED_VALUE"""),2009.0)</f>
        <v>2009</v>
      </c>
      <c r="M1931" s="308" t="s">
        <v>7780</v>
      </c>
      <c r="N1931" s="308"/>
      <c r="O1931" s="312" t="s">
        <v>36412</v>
      </c>
      <c r="P1931" s="308" t="s">
        <v>7782</v>
      </c>
      <c r="Q1931" s="308"/>
      <c r="R1931" s="308"/>
      <c r="S1931" s="308" t="s">
        <v>81</v>
      </c>
      <c r="T1931" s="308" t="s">
        <v>34264</v>
      </c>
      <c r="U1931" s="308"/>
      <c r="V1931" s="312"/>
    </row>
    <row r="1932">
      <c r="A1932" s="308">
        <v>1931.0</v>
      </c>
      <c r="B1932" s="308"/>
      <c r="C1932" s="308" t="s">
        <v>7783</v>
      </c>
      <c r="D1932" s="308">
        <f>IFERROR(__xludf.DUMMYFUNCTION("SPLIT(C1932,""-"")"),1951.0)</f>
        <v>1951</v>
      </c>
      <c r="E1932" s="308" t="str">
        <f>IFERROR(__xludf.DUMMYFUNCTION("""COMPUTED_VALUE"""),"K")</f>
        <v>K</v>
      </c>
      <c r="F1932" s="309" t="s">
        <v>34</v>
      </c>
      <c r="G1932" s="308" t="s">
        <v>36413</v>
      </c>
      <c r="H1932" s="308" t="s">
        <v>7785</v>
      </c>
      <c r="I1932" s="314">
        <v>40625.0</v>
      </c>
      <c r="J1932" s="319">
        <f>IFERROR(__xludf.DUMMYFUNCTION("SPLIT(I1932,""/"")"),23.0)</f>
        <v>23</v>
      </c>
      <c r="K1932" s="308">
        <f>IFERROR(__xludf.DUMMYFUNCTION("""COMPUTED_VALUE"""),3.0)</f>
        <v>3</v>
      </c>
      <c r="L1932" s="308">
        <f>IFERROR(__xludf.DUMMYFUNCTION("""COMPUTED_VALUE"""),2011.0)</f>
        <v>2011</v>
      </c>
      <c r="M1932" s="308" t="s">
        <v>7786</v>
      </c>
      <c r="N1932" s="308"/>
      <c r="O1932" s="312" t="s">
        <v>7787</v>
      </c>
      <c r="P1932" s="308" t="s">
        <v>4430</v>
      </c>
      <c r="Q1932" s="308"/>
      <c r="R1932" s="308"/>
      <c r="S1932" s="308" t="s">
        <v>49</v>
      </c>
      <c r="T1932" s="308" t="s">
        <v>51</v>
      </c>
      <c r="U1932" s="308" t="s">
        <v>36197</v>
      </c>
      <c r="V1932" s="312"/>
    </row>
    <row r="1933">
      <c r="A1933" s="308">
        <v>1932.0</v>
      </c>
      <c r="B1933" s="308"/>
      <c r="C1933" s="308" t="s">
        <v>7788</v>
      </c>
      <c r="D1933" s="308">
        <f>IFERROR(__xludf.DUMMYFUNCTION("SPLIT(C1933,""-"")"),1952.0)</f>
        <v>1952</v>
      </c>
      <c r="E1933" s="308" t="str">
        <f>IFERROR(__xludf.DUMMYFUNCTION("""COMPUTED_VALUE"""),"K")</f>
        <v>K</v>
      </c>
      <c r="F1933" s="309" t="s">
        <v>34</v>
      </c>
      <c r="G1933" s="308" t="s">
        <v>36414</v>
      </c>
      <c r="H1933" s="308" t="s">
        <v>7790</v>
      </c>
      <c r="I1933" s="310">
        <v>41457.0</v>
      </c>
      <c r="J1933" s="319">
        <f>IFERROR(__xludf.DUMMYFUNCTION("SPLIT(I1933,""/"")"),2.0)</f>
        <v>2</v>
      </c>
      <c r="K1933" s="308">
        <f>IFERROR(__xludf.DUMMYFUNCTION("""COMPUTED_VALUE"""),7.0)</f>
        <v>7</v>
      </c>
      <c r="L1933" s="308">
        <f>IFERROR(__xludf.DUMMYFUNCTION("""COMPUTED_VALUE"""),2013.0)</f>
        <v>2013</v>
      </c>
      <c r="M1933" s="308" t="s">
        <v>7791</v>
      </c>
      <c r="N1933" s="308"/>
      <c r="O1933" s="312" t="s">
        <v>7792</v>
      </c>
      <c r="P1933" s="308" t="s">
        <v>7793</v>
      </c>
      <c r="Q1933" s="308"/>
      <c r="R1933" s="308"/>
      <c r="S1933" s="308" t="s">
        <v>81</v>
      </c>
      <c r="T1933" s="308" t="s">
        <v>34264</v>
      </c>
      <c r="U1933" s="308"/>
      <c r="V1933" s="312"/>
    </row>
    <row r="1934">
      <c r="A1934" s="308">
        <v>1933.0</v>
      </c>
      <c r="B1934" s="308"/>
      <c r="C1934" s="308" t="s">
        <v>7794</v>
      </c>
      <c r="D1934" s="308">
        <f>IFERROR(__xludf.DUMMYFUNCTION("SPLIT(C1934,""-"")"),1953.0)</f>
        <v>1953</v>
      </c>
      <c r="E1934" s="308" t="str">
        <f>IFERROR(__xludf.DUMMYFUNCTION("""COMPUTED_VALUE"""),"K")</f>
        <v>K</v>
      </c>
      <c r="F1934" s="309" t="s">
        <v>34</v>
      </c>
      <c r="G1934" s="308" t="s">
        <v>36415</v>
      </c>
      <c r="H1934" s="308" t="s">
        <v>7796</v>
      </c>
      <c r="I1934" s="314">
        <v>41267.0</v>
      </c>
      <c r="J1934" s="319">
        <f>IFERROR(__xludf.DUMMYFUNCTION("SPLIT(I1934,""/"")"),24.0)</f>
        <v>24</v>
      </c>
      <c r="K1934" s="308">
        <f>IFERROR(__xludf.DUMMYFUNCTION("""COMPUTED_VALUE"""),12.0)</f>
        <v>12</v>
      </c>
      <c r="L1934" s="308">
        <f>IFERROR(__xludf.DUMMYFUNCTION("""COMPUTED_VALUE"""),2012.0)</f>
        <v>2012</v>
      </c>
      <c r="M1934" s="308" t="s">
        <v>7797</v>
      </c>
      <c r="N1934" s="308" t="s">
        <v>7798</v>
      </c>
      <c r="O1934" s="312" t="s">
        <v>7799</v>
      </c>
      <c r="P1934" s="308" t="s">
        <v>35028</v>
      </c>
      <c r="Q1934" s="308"/>
      <c r="R1934" s="308"/>
      <c r="S1934" s="308" t="s">
        <v>49</v>
      </c>
      <c r="T1934" s="308" t="s">
        <v>69</v>
      </c>
      <c r="U1934" s="308" t="s">
        <v>2152</v>
      </c>
      <c r="V1934" s="312"/>
    </row>
    <row r="1935">
      <c r="A1935" s="308">
        <v>1934.0</v>
      </c>
      <c r="B1935" s="308"/>
      <c r="C1935" s="308" t="s">
        <v>7800</v>
      </c>
      <c r="D1935" s="308">
        <f>IFERROR(__xludf.DUMMYFUNCTION("SPLIT(C1935,""-"")"),1954.0)</f>
        <v>1954</v>
      </c>
      <c r="E1935" s="308" t="str">
        <f>IFERROR(__xludf.DUMMYFUNCTION("""COMPUTED_VALUE"""),"K")</f>
        <v>K</v>
      </c>
      <c r="F1935" s="309" t="s">
        <v>34</v>
      </c>
      <c r="G1935" s="308" t="s">
        <v>36416</v>
      </c>
      <c r="H1935" s="308" t="s">
        <v>7802</v>
      </c>
      <c r="I1935" s="310">
        <v>41369.0</v>
      </c>
      <c r="J1935" s="319">
        <f>IFERROR(__xludf.DUMMYFUNCTION("SPLIT(I1935,""/"")"),5.0)</f>
        <v>5</v>
      </c>
      <c r="K1935" s="308">
        <f>IFERROR(__xludf.DUMMYFUNCTION("""COMPUTED_VALUE"""),4.0)</f>
        <v>4</v>
      </c>
      <c r="L1935" s="308">
        <f>IFERROR(__xludf.DUMMYFUNCTION("""COMPUTED_VALUE"""),2013.0)</f>
        <v>2013</v>
      </c>
      <c r="M1935" s="308" t="s">
        <v>36417</v>
      </c>
      <c r="N1935" s="308"/>
      <c r="O1935" s="312" t="s">
        <v>7804</v>
      </c>
      <c r="P1935" s="308" t="s">
        <v>7805</v>
      </c>
      <c r="Q1935" s="308"/>
      <c r="R1935" s="308"/>
      <c r="S1935" s="308" t="s">
        <v>49</v>
      </c>
      <c r="T1935" s="311" t="s">
        <v>63</v>
      </c>
      <c r="U1935" s="308"/>
      <c r="V1935" s="312"/>
    </row>
    <row r="1936">
      <c r="A1936" s="308">
        <v>1935.0</v>
      </c>
      <c r="B1936" s="308"/>
      <c r="C1936" s="308" t="s">
        <v>7806</v>
      </c>
      <c r="D1936" s="308">
        <f>IFERROR(__xludf.DUMMYFUNCTION("SPLIT(C1936,""-"")"),1955.0)</f>
        <v>1955</v>
      </c>
      <c r="E1936" s="308" t="str">
        <f>IFERROR(__xludf.DUMMYFUNCTION("""COMPUTED_VALUE"""),"K")</f>
        <v>K</v>
      </c>
      <c r="F1936" s="309" t="s">
        <v>34</v>
      </c>
      <c r="G1936" s="308" t="s">
        <v>36418</v>
      </c>
      <c r="H1936" s="308" t="s">
        <v>36419</v>
      </c>
      <c r="I1936" s="316">
        <v>2013.0</v>
      </c>
      <c r="J1936" s="319"/>
      <c r="K1936" s="308"/>
      <c r="L1936" s="311">
        <v>2013.0</v>
      </c>
      <c r="M1936" s="308" t="s">
        <v>7809</v>
      </c>
      <c r="N1936" s="308"/>
      <c r="O1936" s="312" t="s">
        <v>7810</v>
      </c>
      <c r="P1936" s="308" t="s">
        <v>1872</v>
      </c>
      <c r="Q1936" s="308"/>
      <c r="R1936" s="308"/>
      <c r="S1936" s="315" t="s">
        <v>100</v>
      </c>
      <c r="T1936" s="311" t="s">
        <v>34208</v>
      </c>
      <c r="U1936" s="308"/>
      <c r="V1936" s="312"/>
    </row>
    <row r="1937">
      <c r="A1937" s="308">
        <v>1936.0</v>
      </c>
      <c r="B1937" s="308"/>
      <c r="C1937" s="308" t="s">
        <v>7811</v>
      </c>
      <c r="D1937" s="308">
        <f>IFERROR(__xludf.DUMMYFUNCTION("SPLIT(C1937,""-"")"),1956.0)</f>
        <v>1956</v>
      </c>
      <c r="E1937" s="308" t="str">
        <f>IFERROR(__xludf.DUMMYFUNCTION("""COMPUTED_VALUE"""),"K")</f>
        <v>K</v>
      </c>
      <c r="F1937" s="309" t="s">
        <v>34</v>
      </c>
      <c r="G1937" s="308" t="s">
        <v>36420</v>
      </c>
      <c r="H1937" s="308" t="s">
        <v>7813</v>
      </c>
      <c r="I1937" s="314">
        <v>39782.0</v>
      </c>
      <c r="J1937" s="319">
        <f>IFERROR(__xludf.DUMMYFUNCTION("SPLIT(I1937,""/"")"),30.0)</f>
        <v>30</v>
      </c>
      <c r="K1937" s="308">
        <f>IFERROR(__xludf.DUMMYFUNCTION("""COMPUTED_VALUE"""),11.0)</f>
        <v>11</v>
      </c>
      <c r="L1937" s="308">
        <f>IFERROR(__xludf.DUMMYFUNCTION("""COMPUTED_VALUE"""),2008.0)</f>
        <v>2008</v>
      </c>
      <c r="M1937" s="308" t="s">
        <v>7814</v>
      </c>
      <c r="N1937" s="308"/>
      <c r="O1937" s="312" t="s">
        <v>635</v>
      </c>
      <c r="P1937" s="308" t="s">
        <v>7815</v>
      </c>
      <c r="Q1937" s="308"/>
      <c r="R1937" s="308"/>
      <c r="S1937" s="308" t="s">
        <v>81</v>
      </c>
      <c r="T1937" s="311" t="s">
        <v>87</v>
      </c>
      <c r="U1937" s="308"/>
      <c r="V1937" s="312"/>
    </row>
    <row r="1938">
      <c r="A1938" s="308">
        <v>1937.0</v>
      </c>
      <c r="B1938" s="308"/>
      <c r="C1938" s="308" t="s">
        <v>7816</v>
      </c>
      <c r="D1938" s="308">
        <f>IFERROR(__xludf.DUMMYFUNCTION("SPLIT(C1938,""-"")"),1957.0)</f>
        <v>1957</v>
      </c>
      <c r="E1938" s="308" t="str">
        <f>IFERROR(__xludf.DUMMYFUNCTION("""COMPUTED_VALUE""")," S")</f>
        <v> S</v>
      </c>
      <c r="F1938" s="312" t="s">
        <v>39</v>
      </c>
      <c r="G1938" s="308" t="s">
        <v>36421</v>
      </c>
      <c r="H1938" s="308" t="s">
        <v>7818</v>
      </c>
      <c r="I1938" s="314">
        <v>41606.0</v>
      </c>
      <c r="J1938" s="319">
        <f>IFERROR(__xludf.DUMMYFUNCTION("SPLIT(I1938,""/"")"),28.0)</f>
        <v>28</v>
      </c>
      <c r="K1938" s="308">
        <f>IFERROR(__xludf.DUMMYFUNCTION("""COMPUTED_VALUE"""),11.0)</f>
        <v>11</v>
      </c>
      <c r="L1938" s="308">
        <f>IFERROR(__xludf.DUMMYFUNCTION("""COMPUTED_VALUE"""),2013.0)</f>
        <v>2013</v>
      </c>
      <c r="M1938" s="308" t="s">
        <v>7819</v>
      </c>
      <c r="N1938" s="308"/>
      <c r="O1938" s="312" t="s">
        <v>635</v>
      </c>
      <c r="P1938" s="308" t="s">
        <v>36422</v>
      </c>
      <c r="Q1938" s="308"/>
      <c r="R1938" s="308"/>
      <c r="S1938" s="308" t="s">
        <v>81</v>
      </c>
      <c r="T1938" s="308" t="s">
        <v>75</v>
      </c>
      <c r="U1938" s="312"/>
      <c r="V1938" s="312"/>
    </row>
    <row r="1939">
      <c r="A1939" s="308">
        <v>1938.0</v>
      </c>
      <c r="B1939" s="308"/>
      <c r="C1939" s="308" t="s">
        <v>7821</v>
      </c>
      <c r="D1939" s="308">
        <f>IFERROR(__xludf.DUMMYFUNCTION("SPLIT(C1939,""-"")"),1958.0)</f>
        <v>1958</v>
      </c>
      <c r="E1939" s="308" t="str">
        <f>IFERROR(__xludf.DUMMYFUNCTION("""COMPUTED_VALUE""")," S")</f>
        <v> S</v>
      </c>
      <c r="F1939" s="312" t="s">
        <v>39</v>
      </c>
      <c r="G1939" s="308" t="s">
        <v>36421</v>
      </c>
      <c r="H1939" s="308" t="s">
        <v>7822</v>
      </c>
      <c r="I1939" s="314">
        <v>41606.0</v>
      </c>
      <c r="J1939" s="319">
        <f>IFERROR(__xludf.DUMMYFUNCTION("SPLIT(I1939,""/"")"),28.0)</f>
        <v>28</v>
      </c>
      <c r="K1939" s="308">
        <f>IFERROR(__xludf.DUMMYFUNCTION("""COMPUTED_VALUE"""),11.0)</f>
        <v>11</v>
      </c>
      <c r="L1939" s="308">
        <f>IFERROR(__xludf.DUMMYFUNCTION("""COMPUTED_VALUE"""),2013.0)</f>
        <v>2013</v>
      </c>
      <c r="M1939" s="308" t="s">
        <v>7819</v>
      </c>
      <c r="N1939" s="308"/>
      <c r="O1939" s="312" t="s">
        <v>635</v>
      </c>
      <c r="P1939" s="308" t="s">
        <v>7823</v>
      </c>
      <c r="Q1939" s="308"/>
      <c r="R1939" s="308"/>
      <c r="S1939" s="308" t="s">
        <v>81</v>
      </c>
      <c r="T1939" s="308" t="s">
        <v>75</v>
      </c>
      <c r="U1939" s="308"/>
      <c r="V1939" s="312"/>
    </row>
    <row r="1940">
      <c r="A1940" s="308">
        <v>1939.0</v>
      </c>
      <c r="B1940" s="308"/>
      <c r="C1940" s="308" t="s">
        <v>7824</v>
      </c>
      <c r="D1940" s="308">
        <f>IFERROR(__xludf.DUMMYFUNCTION("SPLIT(C1940,""-"")"),1959.0)</f>
        <v>1959</v>
      </c>
      <c r="E1940" s="308" t="str">
        <f>IFERROR(__xludf.DUMMYFUNCTION("""COMPUTED_VALUE""")," S")</f>
        <v> S</v>
      </c>
      <c r="F1940" s="312" t="s">
        <v>39</v>
      </c>
      <c r="G1940" s="308" t="s">
        <v>36421</v>
      </c>
      <c r="H1940" s="308" t="s">
        <v>7825</v>
      </c>
      <c r="I1940" s="314">
        <v>41606.0</v>
      </c>
      <c r="J1940" s="319">
        <f>IFERROR(__xludf.DUMMYFUNCTION("SPLIT(I1940,""/"")"),28.0)</f>
        <v>28</v>
      </c>
      <c r="K1940" s="308">
        <f>IFERROR(__xludf.DUMMYFUNCTION("""COMPUTED_VALUE"""),11.0)</f>
        <v>11</v>
      </c>
      <c r="L1940" s="308">
        <f>IFERROR(__xludf.DUMMYFUNCTION("""COMPUTED_VALUE"""),2013.0)</f>
        <v>2013</v>
      </c>
      <c r="M1940" s="308" t="s">
        <v>7819</v>
      </c>
      <c r="N1940" s="308"/>
      <c r="O1940" s="312" t="s">
        <v>635</v>
      </c>
      <c r="P1940" s="308" t="s">
        <v>7823</v>
      </c>
      <c r="Q1940" s="308"/>
      <c r="R1940" s="308"/>
      <c r="S1940" s="308" t="s">
        <v>81</v>
      </c>
      <c r="T1940" s="308" t="s">
        <v>75</v>
      </c>
      <c r="U1940" s="308"/>
      <c r="V1940" s="312"/>
    </row>
    <row r="1941">
      <c r="A1941" s="308">
        <v>1940.0</v>
      </c>
      <c r="B1941" s="308"/>
      <c r="C1941" s="308" t="s">
        <v>7826</v>
      </c>
      <c r="D1941" s="308">
        <f>IFERROR(__xludf.DUMMYFUNCTION("SPLIT(C1941,""-"")"),1960.0)</f>
        <v>1960</v>
      </c>
      <c r="E1941" s="308" t="str">
        <f>IFERROR(__xludf.DUMMYFUNCTION("""COMPUTED_VALUE""")," S")</f>
        <v> S</v>
      </c>
      <c r="F1941" s="312" t="s">
        <v>39</v>
      </c>
      <c r="G1941" s="308" t="s">
        <v>36423</v>
      </c>
      <c r="H1941" s="308" t="s">
        <v>7828</v>
      </c>
      <c r="I1941" s="314">
        <v>41635.0</v>
      </c>
      <c r="J1941" s="319">
        <f>IFERROR(__xludf.DUMMYFUNCTION("SPLIT(I1941,""/"")"),27.0)</f>
        <v>27</v>
      </c>
      <c r="K1941" s="308">
        <f>IFERROR(__xludf.DUMMYFUNCTION("""COMPUTED_VALUE"""),12.0)</f>
        <v>12</v>
      </c>
      <c r="L1941" s="308">
        <f>IFERROR(__xludf.DUMMYFUNCTION("""COMPUTED_VALUE"""),2013.0)</f>
        <v>2013</v>
      </c>
      <c r="M1941" s="308" t="s">
        <v>36424</v>
      </c>
      <c r="N1941" s="308"/>
      <c r="O1941" s="312" t="s">
        <v>7830</v>
      </c>
      <c r="P1941" s="308" t="s">
        <v>148</v>
      </c>
      <c r="Q1941" s="308"/>
      <c r="R1941" s="308"/>
      <c r="S1941" s="308" t="s">
        <v>49</v>
      </c>
      <c r="T1941" s="308" t="s">
        <v>51</v>
      </c>
      <c r="U1941" s="308"/>
      <c r="V1941" s="312"/>
    </row>
    <row r="1942">
      <c r="A1942" s="308">
        <v>1941.0</v>
      </c>
      <c r="B1942" s="308"/>
      <c r="C1942" s="308" t="s">
        <v>7831</v>
      </c>
      <c r="D1942" s="308">
        <f>IFERROR(__xludf.DUMMYFUNCTION("SPLIT(C1942,""-"")"),1961.0)</f>
        <v>1961</v>
      </c>
      <c r="E1942" s="308" t="str">
        <f>IFERROR(__xludf.DUMMYFUNCTION("""COMPUTED_VALUE""")," S")</f>
        <v> S</v>
      </c>
      <c r="F1942" s="312" t="s">
        <v>39</v>
      </c>
      <c r="G1942" s="308" t="s">
        <v>36425</v>
      </c>
      <c r="H1942" s="308" t="s">
        <v>7833</v>
      </c>
      <c r="I1942" s="314">
        <v>41572.0</v>
      </c>
      <c r="J1942" s="319">
        <f>IFERROR(__xludf.DUMMYFUNCTION("SPLIT(I1942,""/"")"),25.0)</f>
        <v>25</v>
      </c>
      <c r="K1942" s="308">
        <f>IFERROR(__xludf.DUMMYFUNCTION("""COMPUTED_VALUE"""),10.0)</f>
        <v>10</v>
      </c>
      <c r="L1942" s="308">
        <f>IFERROR(__xludf.DUMMYFUNCTION("""COMPUTED_VALUE"""),2013.0)</f>
        <v>2013</v>
      </c>
      <c r="M1942" s="308" t="s">
        <v>7834</v>
      </c>
      <c r="N1942" s="308"/>
      <c r="O1942" s="312" t="s">
        <v>7835</v>
      </c>
      <c r="P1942" s="308" t="s">
        <v>148</v>
      </c>
      <c r="Q1942" s="308"/>
      <c r="R1942" s="308"/>
      <c r="S1942" s="308" t="s">
        <v>49</v>
      </c>
      <c r="T1942" s="308" t="s">
        <v>51</v>
      </c>
      <c r="U1942" s="308"/>
      <c r="V1942" s="312"/>
    </row>
    <row r="1943">
      <c r="A1943" s="308">
        <v>1942.0</v>
      </c>
      <c r="B1943" s="308"/>
      <c r="C1943" s="308" t="s">
        <v>7836</v>
      </c>
      <c r="D1943" s="308">
        <f>IFERROR(__xludf.DUMMYFUNCTION("SPLIT(C1943,""-"")"),1962.0)</f>
        <v>1962</v>
      </c>
      <c r="E1943" s="308" t="str">
        <f>IFERROR(__xludf.DUMMYFUNCTION("""COMPUTED_VALUE"""),"K")</f>
        <v>K</v>
      </c>
      <c r="F1943" s="309" t="s">
        <v>34</v>
      </c>
      <c r="G1943" s="308" t="s">
        <v>36426</v>
      </c>
      <c r="H1943" s="308" t="s">
        <v>7838</v>
      </c>
      <c r="I1943" s="314">
        <v>39961.0</v>
      </c>
      <c r="J1943" s="319">
        <f>IFERROR(__xludf.DUMMYFUNCTION("SPLIT(I1943,""/"")"),28.0)</f>
        <v>28</v>
      </c>
      <c r="K1943" s="308">
        <f>IFERROR(__xludf.DUMMYFUNCTION("""COMPUTED_VALUE"""),5.0)</f>
        <v>5</v>
      </c>
      <c r="L1943" s="308">
        <f>IFERROR(__xludf.DUMMYFUNCTION("""COMPUTED_VALUE"""),2009.0)</f>
        <v>2009</v>
      </c>
      <c r="M1943" s="308" t="s">
        <v>7839</v>
      </c>
      <c r="N1943" s="308" t="s">
        <v>7840</v>
      </c>
      <c r="O1943" s="312" t="s">
        <v>635</v>
      </c>
      <c r="P1943" s="308" t="s">
        <v>35545</v>
      </c>
      <c r="Q1943" s="308"/>
      <c r="R1943" s="308"/>
      <c r="S1943" s="308" t="s">
        <v>49</v>
      </c>
      <c r="T1943" s="308" t="s">
        <v>51</v>
      </c>
      <c r="U1943" s="308" t="s">
        <v>137</v>
      </c>
      <c r="V1943" s="312"/>
    </row>
    <row r="1944">
      <c r="A1944" s="308">
        <v>1943.0</v>
      </c>
      <c r="B1944" s="308"/>
      <c r="C1944" s="308" t="s">
        <v>7841</v>
      </c>
      <c r="D1944" s="308">
        <f>IFERROR(__xludf.DUMMYFUNCTION("SPLIT(C1944,""-"")"),1963.0)</f>
        <v>1963</v>
      </c>
      <c r="E1944" s="308" t="str">
        <f>IFERROR(__xludf.DUMMYFUNCTION("""COMPUTED_VALUE""")," S")</f>
        <v> S</v>
      </c>
      <c r="F1944" s="312" t="s">
        <v>39</v>
      </c>
      <c r="G1944" s="308" t="s">
        <v>36427</v>
      </c>
      <c r="H1944" s="308" t="s">
        <v>36428</v>
      </c>
      <c r="I1944" s="310">
        <v>41345.0</v>
      </c>
      <c r="J1944" s="319">
        <f>IFERROR(__xludf.DUMMYFUNCTION("SPLIT(I1944,""/"")"),12.0)</f>
        <v>12</v>
      </c>
      <c r="K1944" s="308">
        <f>IFERROR(__xludf.DUMMYFUNCTION("""COMPUTED_VALUE"""),3.0)</f>
        <v>3</v>
      </c>
      <c r="L1944" s="308">
        <f>IFERROR(__xludf.DUMMYFUNCTION("""COMPUTED_VALUE"""),2013.0)</f>
        <v>2013</v>
      </c>
      <c r="M1944" s="308" t="s">
        <v>7844</v>
      </c>
      <c r="N1944" s="308"/>
      <c r="O1944" s="312" t="s">
        <v>635</v>
      </c>
      <c r="P1944" s="308" t="s">
        <v>36429</v>
      </c>
      <c r="Q1944" s="308"/>
      <c r="R1944" s="308"/>
      <c r="S1944" s="308" t="s">
        <v>81</v>
      </c>
      <c r="T1944" s="308" t="s">
        <v>75</v>
      </c>
      <c r="U1944" s="312"/>
      <c r="V1944" s="312"/>
    </row>
    <row r="1945">
      <c r="A1945" s="308">
        <v>1944.0</v>
      </c>
      <c r="B1945" s="308"/>
      <c r="C1945" s="308" t="s">
        <v>7846</v>
      </c>
      <c r="D1945" s="308">
        <f>IFERROR(__xludf.DUMMYFUNCTION("SPLIT(C1945,""-"")"),1964.0)</f>
        <v>1964</v>
      </c>
      <c r="E1945" s="308" t="str">
        <f>IFERROR(__xludf.DUMMYFUNCTION("""COMPUTED_VALUE""")," P")</f>
        <v> P</v>
      </c>
      <c r="F1945" s="312" t="s">
        <v>37</v>
      </c>
      <c r="G1945" s="308"/>
      <c r="H1945" s="308" t="s">
        <v>7847</v>
      </c>
      <c r="I1945" s="310">
        <v>41761.0</v>
      </c>
      <c r="J1945" s="319">
        <f>IFERROR(__xludf.DUMMYFUNCTION("SPLIT(I1945,""/"")"),2.0)</f>
        <v>2</v>
      </c>
      <c r="K1945" s="308">
        <f>IFERROR(__xludf.DUMMYFUNCTION("""COMPUTED_VALUE"""),5.0)</f>
        <v>5</v>
      </c>
      <c r="L1945" s="308">
        <f>IFERROR(__xludf.DUMMYFUNCTION("""COMPUTED_VALUE"""),2014.0)</f>
        <v>2014</v>
      </c>
      <c r="M1945" s="308" t="s">
        <v>7848</v>
      </c>
      <c r="N1945" s="308"/>
      <c r="O1945" s="312" t="s">
        <v>7849</v>
      </c>
      <c r="P1945" s="308" t="s">
        <v>7850</v>
      </c>
      <c r="Q1945" s="308"/>
      <c r="R1945" s="308"/>
      <c r="S1945" s="308" t="s">
        <v>81</v>
      </c>
      <c r="T1945" s="308" t="s">
        <v>73</v>
      </c>
      <c r="U1945" s="308"/>
      <c r="V1945" s="312"/>
    </row>
    <row r="1946">
      <c r="A1946" s="308">
        <v>1945.0</v>
      </c>
      <c r="B1946" s="308"/>
      <c r="C1946" s="308" t="s">
        <v>7851</v>
      </c>
      <c r="D1946" s="308">
        <f>IFERROR(__xludf.DUMMYFUNCTION("SPLIT(C1946,""-"")"),1965.0)</f>
        <v>1965</v>
      </c>
      <c r="E1946" s="308" t="str">
        <f>IFERROR(__xludf.DUMMYFUNCTION("""COMPUTED_VALUE""")," P")</f>
        <v> P</v>
      </c>
      <c r="F1946" s="312" t="s">
        <v>37</v>
      </c>
      <c r="G1946" s="308"/>
      <c r="H1946" s="308" t="s">
        <v>7852</v>
      </c>
      <c r="I1946" s="310">
        <v>41763.0</v>
      </c>
      <c r="J1946" s="319">
        <f>IFERROR(__xludf.DUMMYFUNCTION("SPLIT(I1946,""/"")"),4.0)</f>
        <v>4</v>
      </c>
      <c r="K1946" s="308">
        <f>IFERROR(__xludf.DUMMYFUNCTION("""COMPUTED_VALUE"""),5.0)</f>
        <v>5</v>
      </c>
      <c r="L1946" s="308">
        <f>IFERROR(__xludf.DUMMYFUNCTION("""COMPUTED_VALUE"""),2014.0)</f>
        <v>2014</v>
      </c>
      <c r="M1946" s="308" t="s">
        <v>7853</v>
      </c>
      <c r="N1946" s="308"/>
      <c r="O1946" s="312" t="s">
        <v>635</v>
      </c>
      <c r="P1946" s="308" t="s">
        <v>7854</v>
      </c>
      <c r="Q1946" s="308"/>
      <c r="R1946" s="308"/>
      <c r="S1946" s="308" t="s">
        <v>81</v>
      </c>
      <c r="T1946" s="308" t="s">
        <v>34264</v>
      </c>
      <c r="U1946" s="308"/>
      <c r="V1946" s="312"/>
    </row>
    <row r="1947">
      <c r="A1947" s="308">
        <v>1946.0</v>
      </c>
      <c r="B1947" s="308"/>
      <c r="C1947" s="308" t="s">
        <v>7855</v>
      </c>
      <c r="D1947" s="308">
        <f>IFERROR(__xludf.DUMMYFUNCTION("SPLIT(C1947,""-"")"),1966.0)</f>
        <v>1966</v>
      </c>
      <c r="E1947" s="308" t="str">
        <f>IFERROR(__xludf.DUMMYFUNCTION("""COMPUTED_VALUE""")," P")</f>
        <v> P</v>
      </c>
      <c r="F1947" s="312" t="s">
        <v>37</v>
      </c>
      <c r="G1947" s="308"/>
      <c r="H1947" s="308" t="s">
        <v>7856</v>
      </c>
      <c r="I1947" s="314">
        <v>41721.0</v>
      </c>
      <c r="J1947" s="319">
        <f>IFERROR(__xludf.DUMMYFUNCTION("SPLIT(I1947,""/"")"),23.0)</f>
        <v>23</v>
      </c>
      <c r="K1947" s="308">
        <f>IFERROR(__xludf.DUMMYFUNCTION("""COMPUTED_VALUE"""),3.0)</f>
        <v>3</v>
      </c>
      <c r="L1947" s="308">
        <f>IFERROR(__xludf.DUMMYFUNCTION("""COMPUTED_VALUE"""),2014.0)</f>
        <v>2014</v>
      </c>
      <c r="M1947" s="308" t="s">
        <v>7857</v>
      </c>
      <c r="N1947" s="308"/>
      <c r="O1947" s="312" t="s">
        <v>7858</v>
      </c>
      <c r="P1947" s="308" t="s">
        <v>7859</v>
      </c>
      <c r="Q1947" s="308"/>
      <c r="R1947" s="308"/>
      <c r="S1947" s="308" t="s">
        <v>81</v>
      </c>
      <c r="T1947" s="311" t="s">
        <v>51</v>
      </c>
      <c r="U1947" s="308"/>
      <c r="V1947" s="312"/>
    </row>
    <row r="1948">
      <c r="A1948" s="308">
        <v>1947.0</v>
      </c>
      <c r="B1948" s="308"/>
      <c r="C1948" s="308" t="s">
        <v>7860</v>
      </c>
      <c r="D1948" s="308">
        <f>IFERROR(__xludf.DUMMYFUNCTION("SPLIT(C1948,""-"")"),1967.0)</f>
        <v>1967</v>
      </c>
      <c r="E1948" s="308" t="str">
        <f>IFERROR(__xludf.DUMMYFUNCTION("""COMPUTED_VALUE""")," K")</f>
        <v> K</v>
      </c>
      <c r="F1948" s="309" t="s">
        <v>34</v>
      </c>
      <c r="G1948" s="308"/>
      <c r="H1948" s="308" t="s">
        <v>7861</v>
      </c>
      <c r="I1948" s="314">
        <v>41274.0</v>
      </c>
      <c r="J1948" s="319">
        <f>IFERROR(__xludf.DUMMYFUNCTION("SPLIT(I1948,""/"")"),31.0)</f>
        <v>31</v>
      </c>
      <c r="K1948" s="308">
        <f>IFERROR(__xludf.DUMMYFUNCTION("""COMPUTED_VALUE"""),12.0)</f>
        <v>12</v>
      </c>
      <c r="L1948" s="308">
        <f>IFERROR(__xludf.DUMMYFUNCTION("""COMPUTED_VALUE"""),2012.0)</f>
        <v>2012</v>
      </c>
      <c r="M1948" s="308" t="s">
        <v>7862</v>
      </c>
      <c r="N1948" s="308"/>
      <c r="O1948" s="312" t="s">
        <v>7863</v>
      </c>
      <c r="P1948" s="308" t="s">
        <v>7864</v>
      </c>
      <c r="Q1948" s="308"/>
      <c r="R1948" s="308"/>
      <c r="S1948" s="308" t="s">
        <v>81</v>
      </c>
      <c r="T1948" s="308" t="s">
        <v>34264</v>
      </c>
      <c r="U1948" s="308"/>
      <c r="V1948" s="312"/>
    </row>
    <row r="1949">
      <c r="A1949" s="308">
        <v>1948.0</v>
      </c>
      <c r="B1949" s="308"/>
      <c r="C1949" s="308" t="s">
        <v>7865</v>
      </c>
      <c r="D1949" s="308">
        <f>IFERROR(__xludf.DUMMYFUNCTION("SPLIT(C1949,""-"")"),1968.0)</f>
        <v>1968</v>
      </c>
      <c r="E1949" s="308" t="str">
        <f>IFERROR(__xludf.DUMMYFUNCTION("""COMPUTED_VALUE""")," K")</f>
        <v> K</v>
      </c>
      <c r="F1949" s="309" t="s">
        <v>34</v>
      </c>
      <c r="G1949" s="308"/>
      <c r="H1949" s="308" t="s">
        <v>7866</v>
      </c>
      <c r="I1949" s="310">
        <v>40513.0</v>
      </c>
      <c r="J1949" s="319">
        <f>IFERROR(__xludf.DUMMYFUNCTION("SPLIT(I1949,""/"")"),1.0)</f>
        <v>1</v>
      </c>
      <c r="K1949" s="308">
        <f>IFERROR(__xludf.DUMMYFUNCTION("""COMPUTED_VALUE"""),12.0)</f>
        <v>12</v>
      </c>
      <c r="L1949" s="308">
        <f>IFERROR(__xludf.DUMMYFUNCTION("""COMPUTED_VALUE"""),2010.0)</f>
        <v>2010</v>
      </c>
      <c r="M1949" s="308" t="s">
        <v>7867</v>
      </c>
      <c r="N1949" s="308"/>
      <c r="O1949" s="312" t="s">
        <v>7868</v>
      </c>
      <c r="P1949" s="308" t="s">
        <v>6381</v>
      </c>
      <c r="Q1949" s="308"/>
      <c r="R1949" s="308" t="s">
        <v>1496</v>
      </c>
      <c r="S1949" s="315" t="s">
        <v>100</v>
      </c>
      <c r="T1949" s="311" t="s">
        <v>34208</v>
      </c>
      <c r="U1949" s="308" t="s">
        <v>36197</v>
      </c>
      <c r="V1949" s="312"/>
    </row>
    <row r="1950">
      <c r="A1950" s="308">
        <v>1949.0</v>
      </c>
      <c r="B1950" s="308"/>
      <c r="C1950" s="308" t="s">
        <v>7869</v>
      </c>
      <c r="D1950" s="308">
        <f>IFERROR(__xludf.DUMMYFUNCTION("SPLIT(C1950,""-"")"),1969.0)</f>
        <v>1969</v>
      </c>
      <c r="E1950" s="308" t="str">
        <f>IFERROR(__xludf.DUMMYFUNCTION("""COMPUTED_VALUE""")," K")</f>
        <v> K</v>
      </c>
      <c r="F1950" s="309" t="s">
        <v>34</v>
      </c>
      <c r="G1950" s="308"/>
      <c r="H1950" s="308" t="s">
        <v>7870</v>
      </c>
      <c r="I1950" s="314">
        <v>41202.0</v>
      </c>
      <c r="J1950" s="319">
        <f>IFERROR(__xludf.DUMMYFUNCTION("SPLIT(I1950,""/"")"),20.0)</f>
        <v>20</v>
      </c>
      <c r="K1950" s="308">
        <f>IFERROR(__xludf.DUMMYFUNCTION("""COMPUTED_VALUE"""),10.0)</f>
        <v>10</v>
      </c>
      <c r="L1950" s="308">
        <f>IFERROR(__xludf.DUMMYFUNCTION("""COMPUTED_VALUE"""),2012.0)</f>
        <v>2012</v>
      </c>
      <c r="M1950" s="308" t="s">
        <v>7871</v>
      </c>
      <c r="N1950" s="308"/>
      <c r="O1950" s="312" t="s">
        <v>7872</v>
      </c>
      <c r="P1950" s="308" t="s">
        <v>1872</v>
      </c>
      <c r="Q1950" s="308"/>
      <c r="R1950" s="308"/>
      <c r="S1950" s="315" t="s">
        <v>100</v>
      </c>
      <c r="T1950" s="311" t="s">
        <v>34208</v>
      </c>
      <c r="U1950" s="308"/>
      <c r="V1950" s="312"/>
    </row>
    <row r="1951">
      <c r="A1951" s="308">
        <v>1950.0</v>
      </c>
      <c r="B1951" s="308"/>
      <c r="C1951" s="308" t="s">
        <v>7873</v>
      </c>
      <c r="D1951" s="308">
        <f>IFERROR(__xludf.DUMMYFUNCTION("SPLIT(C1951,""-"")"),1970.0)</f>
        <v>1970</v>
      </c>
      <c r="E1951" s="308" t="str">
        <f>IFERROR(__xludf.DUMMYFUNCTION("""COMPUTED_VALUE""")," K")</f>
        <v> K</v>
      </c>
      <c r="F1951" s="309" t="s">
        <v>34</v>
      </c>
      <c r="G1951" s="308"/>
      <c r="H1951" s="308" t="s">
        <v>7874</v>
      </c>
      <c r="I1951" s="310">
        <v>41344.0</v>
      </c>
      <c r="J1951" s="319">
        <f>IFERROR(__xludf.DUMMYFUNCTION("SPLIT(I1951,""/"")"),11.0)</f>
        <v>11</v>
      </c>
      <c r="K1951" s="308">
        <f>IFERROR(__xludf.DUMMYFUNCTION("""COMPUTED_VALUE"""),3.0)</f>
        <v>3</v>
      </c>
      <c r="L1951" s="308">
        <f>IFERROR(__xludf.DUMMYFUNCTION("""COMPUTED_VALUE"""),2013.0)</f>
        <v>2013</v>
      </c>
      <c r="M1951" s="308" t="s">
        <v>7875</v>
      </c>
      <c r="N1951" s="308"/>
      <c r="O1951" s="312"/>
      <c r="P1951" s="308" t="s">
        <v>7876</v>
      </c>
      <c r="Q1951" s="308"/>
      <c r="R1951" s="308"/>
      <c r="S1951" s="308" t="s">
        <v>81</v>
      </c>
      <c r="T1951" s="308" t="s">
        <v>34264</v>
      </c>
      <c r="U1951" s="308"/>
      <c r="V1951" s="312"/>
    </row>
    <row r="1952">
      <c r="A1952" s="308">
        <v>1951.0</v>
      </c>
      <c r="B1952" s="308"/>
      <c r="C1952" s="308" t="s">
        <v>7877</v>
      </c>
      <c r="D1952" s="308">
        <f>IFERROR(__xludf.DUMMYFUNCTION("SPLIT(C1952,""-"")"),1972.0)</f>
        <v>1972</v>
      </c>
      <c r="E1952" s="308" t="str">
        <f>IFERROR(__xludf.DUMMYFUNCTION("""COMPUTED_VALUE""")," P")</f>
        <v> P</v>
      </c>
      <c r="F1952" s="312" t="s">
        <v>37</v>
      </c>
      <c r="G1952" s="308"/>
      <c r="H1952" s="308" t="s">
        <v>7878</v>
      </c>
      <c r="I1952" s="314">
        <v>35945.0</v>
      </c>
      <c r="J1952" s="319">
        <f>IFERROR(__xludf.DUMMYFUNCTION("SPLIT(I1952,""/"")"),30.0)</f>
        <v>30</v>
      </c>
      <c r="K1952" s="308">
        <f>IFERROR(__xludf.DUMMYFUNCTION("""COMPUTED_VALUE"""),5.0)</f>
        <v>5</v>
      </c>
      <c r="L1952" s="308">
        <f>IFERROR(__xludf.DUMMYFUNCTION("""COMPUTED_VALUE"""),1998.0)</f>
        <v>1998</v>
      </c>
      <c r="M1952" s="308" t="s">
        <v>7879</v>
      </c>
      <c r="N1952" s="308"/>
      <c r="O1952" s="312"/>
      <c r="P1952" s="308" t="s">
        <v>7523</v>
      </c>
      <c r="Q1952" s="308"/>
      <c r="R1952" s="308"/>
      <c r="S1952" s="315" t="s">
        <v>100</v>
      </c>
      <c r="T1952" s="311" t="s">
        <v>34208</v>
      </c>
      <c r="U1952" s="308"/>
      <c r="V1952" s="312"/>
    </row>
    <row r="1953">
      <c r="A1953" s="308">
        <v>1952.0</v>
      </c>
      <c r="B1953" s="308"/>
      <c r="C1953" s="308" t="s">
        <v>7880</v>
      </c>
      <c r="D1953" s="308">
        <f>IFERROR(__xludf.DUMMYFUNCTION("SPLIT(C1953,""-"")"),1973.0)</f>
        <v>1973</v>
      </c>
      <c r="E1953" s="308" t="str">
        <f>IFERROR(__xludf.DUMMYFUNCTION("""COMPUTED_VALUE""")," K")</f>
        <v> K</v>
      </c>
      <c r="F1953" s="309" t="s">
        <v>34</v>
      </c>
      <c r="G1953" s="308"/>
      <c r="H1953" s="308" t="s">
        <v>7881</v>
      </c>
      <c r="I1953" s="314">
        <v>40526.0</v>
      </c>
      <c r="J1953" s="319">
        <f>IFERROR(__xludf.DUMMYFUNCTION("SPLIT(I1953,""/"")"),14.0)</f>
        <v>14</v>
      </c>
      <c r="K1953" s="308">
        <f>IFERROR(__xludf.DUMMYFUNCTION("""COMPUTED_VALUE"""),12.0)</f>
        <v>12</v>
      </c>
      <c r="L1953" s="308">
        <f>IFERROR(__xludf.DUMMYFUNCTION("""COMPUTED_VALUE"""),2010.0)</f>
        <v>2010</v>
      </c>
      <c r="M1953" s="308" t="s">
        <v>7882</v>
      </c>
      <c r="N1953" s="308"/>
      <c r="O1953" s="312" t="s">
        <v>635</v>
      </c>
      <c r="P1953" s="308" t="s">
        <v>7883</v>
      </c>
      <c r="Q1953" s="308"/>
      <c r="R1953" s="308"/>
      <c r="S1953" s="308" t="s">
        <v>81</v>
      </c>
      <c r="T1953" s="308" t="s">
        <v>34264</v>
      </c>
      <c r="U1953" s="308"/>
      <c r="V1953" s="312"/>
    </row>
    <row r="1954">
      <c r="A1954" s="308">
        <v>1953.0</v>
      </c>
      <c r="B1954" s="308"/>
      <c r="C1954" s="308" t="s">
        <v>7884</v>
      </c>
      <c r="D1954" s="308">
        <f>IFERROR(__xludf.DUMMYFUNCTION("SPLIT(C1954,""-"")"),1974.0)</f>
        <v>1974</v>
      </c>
      <c r="E1954" s="308" t="str">
        <f>IFERROR(__xludf.DUMMYFUNCTION("""COMPUTED_VALUE""")," K")</f>
        <v> K</v>
      </c>
      <c r="F1954" s="309" t="s">
        <v>34</v>
      </c>
      <c r="G1954" s="308"/>
      <c r="H1954" s="308" t="s">
        <v>7885</v>
      </c>
      <c r="I1954" s="314">
        <v>41530.0</v>
      </c>
      <c r="J1954" s="319">
        <f>IFERROR(__xludf.DUMMYFUNCTION("SPLIT(I1954,""/"")"),13.0)</f>
        <v>13</v>
      </c>
      <c r="K1954" s="308">
        <f>IFERROR(__xludf.DUMMYFUNCTION("""COMPUTED_VALUE"""),9.0)</f>
        <v>9</v>
      </c>
      <c r="L1954" s="308">
        <f>IFERROR(__xludf.DUMMYFUNCTION("""COMPUTED_VALUE"""),2013.0)</f>
        <v>2013</v>
      </c>
      <c r="M1954" s="308" t="s">
        <v>7886</v>
      </c>
      <c r="N1954" s="308"/>
      <c r="O1954" s="312" t="s">
        <v>7887</v>
      </c>
      <c r="P1954" s="311" t="s">
        <v>36430</v>
      </c>
      <c r="Q1954" s="308"/>
      <c r="R1954" s="308"/>
      <c r="S1954" s="308" t="s">
        <v>81</v>
      </c>
      <c r="T1954" s="311" t="s">
        <v>57</v>
      </c>
      <c r="U1954" s="308"/>
      <c r="V1954" s="312"/>
    </row>
    <row r="1955">
      <c r="A1955" s="308">
        <v>1954.0</v>
      </c>
      <c r="B1955" s="308"/>
      <c r="C1955" s="308" t="s">
        <v>7889</v>
      </c>
      <c r="D1955" s="308">
        <f>IFERROR(__xludf.DUMMYFUNCTION("SPLIT(C1955,""-"")"),1975.0)</f>
        <v>1975</v>
      </c>
      <c r="E1955" s="308" t="str">
        <f>IFERROR(__xludf.DUMMYFUNCTION("""COMPUTED_VALUE""")," S")</f>
        <v> S</v>
      </c>
      <c r="F1955" s="312" t="s">
        <v>39</v>
      </c>
      <c r="G1955" s="308" t="s">
        <v>7890</v>
      </c>
      <c r="H1955" s="308" t="s">
        <v>7891</v>
      </c>
      <c r="I1955" s="310">
        <v>41975.0</v>
      </c>
      <c r="J1955" s="319">
        <f>IFERROR(__xludf.DUMMYFUNCTION("SPLIT(I1955,""/"")"),2.0)</f>
        <v>2</v>
      </c>
      <c r="K1955" s="308">
        <f>IFERROR(__xludf.DUMMYFUNCTION("""COMPUTED_VALUE"""),12.0)</f>
        <v>12</v>
      </c>
      <c r="L1955" s="308">
        <f>IFERROR(__xludf.DUMMYFUNCTION("""COMPUTED_VALUE"""),2014.0)</f>
        <v>2014</v>
      </c>
      <c r="M1955" s="308" t="s">
        <v>7892</v>
      </c>
      <c r="N1955" s="308"/>
      <c r="O1955" s="312" t="s">
        <v>635</v>
      </c>
      <c r="P1955" s="308" t="s">
        <v>36431</v>
      </c>
      <c r="Q1955" s="308"/>
      <c r="R1955" s="308"/>
      <c r="S1955" s="308" t="s">
        <v>81</v>
      </c>
      <c r="T1955" s="308" t="s">
        <v>75</v>
      </c>
      <c r="U1955" s="312"/>
      <c r="V1955" s="312"/>
    </row>
    <row r="1956">
      <c r="A1956" s="308">
        <v>1955.0</v>
      </c>
      <c r="B1956" s="308"/>
      <c r="C1956" s="308" t="s">
        <v>7894</v>
      </c>
      <c r="D1956" s="308">
        <f>IFERROR(__xludf.DUMMYFUNCTION("SPLIT(C1956,""-"")"),1976.0)</f>
        <v>1976</v>
      </c>
      <c r="E1956" s="308" t="str">
        <f>IFERROR(__xludf.DUMMYFUNCTION("""COMPUTED_VALUE""")," S")</f>
        <v> S</v>
      </c>
      <c r="F1956" s="312" t="s">
        <v>39</v>
      </c>
      <c r="G1956" s="308" t="s">
        <v>7890</v>
      </c>
      <c r="H1956" s="308" t="s">
        <v>7895</v>
      </c>
      <c r="I1956" s="310">
        <v>41975.0</v>
      </c>
      <c r="J1956" s="319">
        <f>IFERROR(__xludf.DUMMYFUNCTION("SPLIT(I1956,""/"")"),2.0)</f>
        <v>2</v>
      </c>
      <c r="K1956" s="308">
        <f>IFERROR(__xludf.DUMMYFUNCTION("""COMPUTED_VALUE"""),12.0)</f>
        <v>12</v>
      </c>
      <c r="L1956" s="308">
        <f>IFERROR(__xludf.DUMMYFUNCTION("""COMPUTED_VALUE"""),2014.0)</f>
        <v>2014</v>
      </c>
      <c r="M1956" s="308" t="s">
        <v>7892</v>
      </c>
      <c r="N1956" s="308"/>
      <c r="O1956" s="312" t="s">
        <v>635</v>
      </c>
      <c r="P1956" s="308" t="s">
        <v>36432</v>
      </c>
      <c r="Q1956" s="308"/>
      <c r="R1956" s="308"/>
      <c r="S1956" s="308" t="s">
        <v>81</v>
      </c>
      <c r="T1956" s="308" t="s">
        <v>75</v>
      </c>
      <c r="U1956" s="312"/>
      <c r="V1956" s="312"/>
    </row>
    <row r="1957">
      <c r="A1957" s="308">
        <v>1956.0</v>
      </c>
      <c r="B1957" s="308"/>
      <c r="C1957" s="308" t="s">
        <v>7897</v>
      </c>
      <c r="D1957" s="308">
        <f>IFERROR(__xludf.DUMMYFUNCTION("SPLIT(C1957,""-"")"),1977.0)</f>
        <v>1977</v>
      </c>
      <c r="E1957" s="308" t="str">
        <f>IFERROR(__xludf.DUMMYFUNCTION("""COMPUTED_VALUE""")," S")</f>
        <v> S</v>
      </c>
      <c r="F1957" s="312" t="s">
        <v>39</v>
      </c>
      <c r="G1957" s="308" t="s">
        <v>7890</v>
      </c>
      <c r="H1957" s="308" t="s">
        <v>7898</v>
      </c>
      <c r="I1957" s="310">
        <v>41975.0</v>
      </c>
      <c r="J1957" s="319">
        <f>IFERROR(__xludf.DUMMYFUNCTION("SPLIT(I1957,""/"")"),2.0)</f>
        <v>2</v>
      </c>
      <c r="K1957" s="308">
        <f>IFERROR(__xludf.DUMMYFUNCTION("""COMPUTED_VALUE"""),12.0)</f>
        <v>12</v>
      </c>
      <c r="L1957" s="308">
        <f>IFERROR(__xludf.DUMMYFUNCTION("""COMPUTED_VALUE"""),2014.0)</f>
        <v>2014</v>
      </c>
      <c r="M1957" s="308" t="s">
        <v>7892</v>
      </c>
      <c r="N1957" s="308"/>
      <c r="O1957" s="312" t="s">
        <v>635</v>
      </c>
      <c r="P1957" s="308" t="s">
        <v>36433</v>
      </c>
      <c r="Q1957" s="308"/>
      <c r="R1957" s="308"/>
      <c r="S1957" s="308" t="s">
        <v>81</v>
      </c>
      <c r="T1957" s="308" t="s">
        <v>75</v>
      </c>
      <c r="U1957" s="312"/>
      <c r="V1957" s="312"/>
    </row>
    <row r="1958">
      <c r="A1958" s="308">
        <v>1957.0</v>
      </c>
      <c r="B1958" s="308"/>
      <c r="C1958" s="308" t="s">
        <v>7899</v>
      </c>
      <c r="D1958" s="308">
        <f>IFERROR(__xludf.DUMMYFUNCTION("SPLIT(C1958,""-"")"),1978.0)</f>
        <v>1978</v>
      </c>
      <c r="E1958" s="308" t="str">
        <f>IFERROR(__xludf.DUMMYFUNCTION("""COMPUTED_VALUE""")," P")</f>
        <v> P</v>
      </c>
      <c r="F1958" s="312" t="s">
        <v>37</v>
      </c>
      <c r="G1958" s="308"/>
      <c r="H1958" s="308" t="s">
        <v>36434</v>
      </c>
      <c r="I1958" s="310">
        <v>41641.0</v>
      </c>
      <c r="J1958" s="319">
        <f>IFERROR(__xludf.DUMMYFUNCTION("SPLIT(I1958,""/"")"),2.0)</f>
        <v>2</v>
      </c>
      <c r="K1958" s="308">
        <f>IFERROR(__xludf.DUMMYFUNCTION("""COMPUTED_VALUE"""),1.0)</f>
        <v>1</v>
      </c>
      <c r="L1958" s="308">
        <f>IFERROR(__xludf.DUMMYFUNCTION("""COMPUTED_VALUE"""),2014.0)</f>
        <v>2014</v>
      </c>
      <c r="M1958" s="308" t="s">
        <v>7901</v>
      </c>
      <c r="N1958" s="308"/>
      <c r="O1958" s="312" t="s">
        <v>7902</v>
      </c>
      <c r="P1958" s="308" t="s">
        <v>7903</v>
      </c>
      <c r="Q1958" s="308"/>
      <c r="R1958" s="308"/>
      <c r="S1958" s="308" t="s">
        <v>81</v>
      </c>
      <c r="T1958" s="311" t="s">
        <v>51</v>
      </c>
      <c r="U1958" s="308"/>
      <c r="V1958" s="312"/>
    </row>
    <row r="1959">
      <c r="A1959" s="308">
        <v>1958.0</v>
      </c>
      <c r="B1959" s="308"/>
      <c r="C1959" s="308" t="s">
        <v>7904</v>
      </c>
      <c r="D1959" s="308">
        <f>IFERROR(__xludf.DUMMYFUNCTION("SPLIT(C1959,""-"")"),1979.0)</f>
        <v>1979</v>
      </c>
      <c r="E1959" s="308" t="str">
        <f>IFERROR(__xludf.DUMMYFUNCTION("""COMPUTED_VALUE""")," K")</f>
        <v> K</v>
      </c>
      <c r="F1959" s="309" t="s">
        <v>34</v>
      </c>
      <c r="G1959" s="308"/>
      <c r="H1959" s="308" t="s">
        <v>7905</v>
      </c>
      <c r="I1959" s="314">
        <v>41421.0</v>
      </c>
      <c r="J1959" s="319">
        <f>IFERROR(__xludf.DUMMYFUNCTION("SPLIT(I1959,""/"")"),27.0)</f>
        <v>27</v>
      </c>
      <c r="K1959" s="308">
        <f>IFERROR(__xludf.DUMMYFUNCTION("""COMPUTED_VALUE"""),5.0)</f>
        <v>5</v>
      </c>
      <c r="L1959" s="308">
        <f>IFERROR(__xludf.DUMMYFUNCTION("""COMPUTED_VALUE"""),2013.0)</f>
        <v>2013</v>
      </c>
      <c r="M1959" s="308" t="s">
        <v>7906</v>
      </c>
      <c r="N1959" s="308"/>
      <c r="O1959" s="312"/>
      <c r="P1959" s="308" t="s">
        <v>7907</v>
      </c>
      <c r="Q1959" s="308"/>
      <c r="R1959" s="308"/>
      <c r="S1959" s="308" t="s">
        <v>81</v>
      </c>
      <c r="T1959" s="308" t="s">
        <v>75</v>
      </c>
      <c r="U1959" s="308" t="s">
        <v>542</v>
      </c>
      <c r="V1959" s="312"/>
    </row>
    <row r="1960">
      <c r="A1960" s="308">
        <v>1959.0</v>
      </c>
      <c r="B1960" s="308"/>
      <c r="C1960" s="308" t="s">
        <v>7908</v>
      </c>
      <c r="D1960" s="308">
        <f>IFERROR(__xludf.DUMMYFUNCTION("SPLIT(C1960,""-"")"),1980.0)</f>
        <v>1980</v>
      </c>
      <c r="E1960" s="308" t="str">
        <f>IFERROR(__xludf.DUMMYFUNCTION("""COMPUTED_VALUE""")," P")</f>
        <v> P</v>
      </c>
      <c r="F1960" s="312" t="s">
        <v>37</v>
      </c>
      <c r="G1960" s="308"/>
      <c r="H1960" s="308" t="s">
        <v>7909</v>
      </c>
      <c r="I1960" s="310">
        <v>40725.0</v>
      </c>
      <c r="J1960" s="319">
        <f>IFERROR(__xludf.DUMMYFUNCTION("SPLIT(I1960,""/"")"),1.0)</f>
        <v>1</v>
      </c>
      <c r="K1960" s="308">
        <f>IFERROR(__xludf.DUMMYFUNCTION("""COMPUTED_VALUE"""),7.0)</f>
        <v>7</v>
      </c>
      <c r="L1960" s="308">
        <f>IFERROR(__xludf.DUMMYFUNCTION("""COMPUTED_VALUE"""),2011.0)</f>
        <v>2011</v>
      </c>
      <c r="M1960" s="308" t="s">
        <v>7910</v>
      </c>
      <c r="N1960" s="308"/>
      <c r="O1960" s="312" t="s">
        <v>7911</v>
      </c>
      <c r="P1960" s="308" t="s">
        <v>7912</v>
      </c>
      <c r="Q1960" s="308"/>
      <c r="R1960" s="308"/>
      <c r="S1960" s="311" t="s">
        <v>49</v>
      </c>
      <c r="T1960" s="308" t="s">
        <v>51</v>
      </c>
      <c r="U1960" s="312"/>
      <c r="V1960" s="312"/>
    </row>
    <row r="1961">
      <c r="A1961" s="308">
        <v>1960.0</v>
      </c>
      <c r="B1961" s="308"/>
      <c r="C1961" s="308" t="s">
        <v>7913</v>
      </c>
      <c r="D1961" s="308">
        <f>IFERROR(__xludf.DUMMYFUNCTION("SPLIT(C1961,""-"")"),1981.0)</f>
        <v>1981</v>
      </c>
      <c r="E1961" s="308" t="str">
        <f>IFERROR(__xludf.DUMMYFUNCTION("""COMPUTED_VALUE"""),"K")</f>
        <v>K</v>
      </c>
      <c r="F1961" s="309" t="s">
        <v>34</v>
      </c>
      <c r="G1961" s="308" t="s">
        <v>7914</v>
      </c>
      <c r="H1961" s="308" t="s">
        <v>7915</v>
      </c>
      <c r="I1961" s="322"/>
      <c r="J1961" s="319"/>
      <c r="K1961" s="308"/>
      <c r="L1961" s="311" t="s">
        <v>79</v>
      </c>
      <c r="M1961" s="308" t="s">
        <v>7916</v>
      </c>
      <c r="N1961" s="308" t="s">
        <v>439</v>
      </c>
      <c r="O1961" s="312" t="s">
        <v>7917</v>
      </c>
      <c r="P1961" s="308" t="s">
        <v>5369</v>
      </c>
      <c r="Q1961" s="308"/>
      <c r="R1961" s="308"/>
      <c r="S1961" s="308" t="s">
        <v>49</v>
      </c>
      <c r="T1961" s="308" t="s">
        <v>51</v>
      </c>
      <c r="U1961" s="308" t="s">
        <v>2152</v>
      </c>
      <c r="V1961" s="312"/>
    </row>
    <row r="1962">
      <c r="A1962" s="308">
        <v>1961.0</v>
      </c>
      <c r="B1962" s="308"/>
      <c r="C1962" s="308" t="s">
        <v>7918</v>
      </c>
      <c r="D1962" s="308">
        <f>IFERROR(__xludf.DUMMYFUNCTION("SPLIT(C1962,""-"")"),1982.0)</f>
        <v>1982</v>
      </c>
      <c r="E1962" s="308" t="str">
        <f>IFERROR(__xludf.DUMMYFUNCTION("""COMPUTED_VALUE""")," K")</f>
        <v> K</v>
      </c>
      <c r="F1962" s="309" t="s">
        <v>34</v>
      </c>
      <c r="G1962" s="308"/>
      <c r="H1962" s="308" t="s">
        <v>7919</v>
      </c>
      <c r="I1962" s="314">
        <v>40191.0</v>
      </c>
      <c r="J1962" s="319">
        <f>IFERROR(__xludf.DUMMYFUNCTION("SPLIT(I1962,""/"")"),13.0)</f>
        <v>13</v>
      </c>
      <c r="K1962" s="308">
        <f>IFERROR(__xludf.DUMMYFUNCTION("""COMPUTED_VALUE"""),1.0)</f>
        <v>1</v>
      </c>
      <c r="L1962" s="308">
        <f>IFERROR(__xludf.DUMMYFUNCTION("""COMPUTED_VALUE"""),2010.0)</f>
        <v>2010</v>
      </c>
      <c r="M1962" s="308" t="s">
        <v>7920</v>
      </c>
      <c r="N1962" s="308"/>
      <c r="O1962" s="312" t="s">
        <v>7921</v>
      </c>
      <c r="P1962" s="308" t="s">
        <v>6381</v>
      </c>
      <c r="Q1962" s="308"/>
      <c r="R1962" s="308"/>
      <c r="S1962" s="315" t="s">
        <v>100</v>
      </c>
      <c r="T1962" s="311" t="s">
        <v>34208</v>
      </c>
      <c r="U1962" s="308" t="s">
        <v>36197</v>
      </c>
      <c r="V1962" s="312"/>
    </row>
    <row r="1963">
      <c r="A1963" s="308">
        <v>1962.0</v>
      </c>
      <c r="B1963" s="308"/>
      <c r="C1963" s="308" t="s">
        <v>7922</v>
      </c>
      <c r="D1963" s="308">
        <f>IFERROR(__xludf.DUMMYFUNCTION("SPLIT(C1963,""-"")"),1983.0)</f>
        <v>1983</v>
      </c>
      <c r="E1963" s="308" t="str">
        <f>IFERROR(__xludf.DUMMYFUNCTION("""COMPUTED_VALUE""")," K")</f>
        <v> K</v>
      </c>
      <c r="F1963" s="309" t="s">
        <v>34</v>
      </c>
      <c r="G1963" s="308"/>
      <c r="H1963" s="308" t="s">
        <v>7923</v>
      </c>
      <c r="I1963" s="314">
        <v>41022.0</v>
      </c>
      <c r="J1963" s="319">
        <f>IFERROR(__xludf.DUMMYFUNCTION("SPLIT(I1963,""/"")"),23.0)</f>
        <v>23</v>
      </c>
      <c r="K1963" s="308">
        <f>IFERROR(__xludf.DUMMYFUNCTION("""COMPUTED_VALUE"""),4.0)</f>
        <v>4</v>
      </c>
      <c r="L1963" s="308">
        <f>IFERROR(__xludf.DUMMYFUNCTION("""COMPUTED_VALUE"""),2012.0)</f>
        <v>2012</v>
      </c>
      <c r="M1963" s="308" t="s">
        <v>7924</v>
      </c>
      <c r="N1963" s="308"/>
      <c r="O1963" s="312" t="s">
        <v>635</v>
      </c>
      <c r="P1963" s="308" t="s">
        <v>7925</v>
      </c>
      <c r="Q1963" s="308"/>
      <c r="R1963" s="308"/>
      <c r="S1963" s="308" t="s">
        <v>81</v>
      </c>
      <c r="T1963" s="308" t="s">
        <v>34264</v>
      </c>
      <c r="U1963" s="308"/>
      <c r="V1963" s="312"/>
    </row>
    <row r="1964">
      <c r="A1964" s="308">
        <v>1963.0</v>
      </c>
      <c r="B1964" s="308"/>
      <c r="C1964" s="308" t="s">
        <v>7926</v>
      </c>
      <c r="D1964" s="308">
        <f>IFERROR(__xludf.DUMMYFUNCTION("SPLIT(C1964,""-"")"),1984.0)</f>
        <v>1984</v>
      </c>
      <c r="E1964" s="308" t="str">
        <f>IFERROR(__xludf.DUMMYFUNCTION("""COMPUTED_VALUE""")," K")</f>
        <v> K</v>
      </c>
      <c r="F1964" s="309" t="s">
        <v>34</v>
      </c>
      <c r="G1964" s="308"/>
      <c r="H1964" s="308" t="s">
        <v>7927</v>
      </c>
      <c r="I1964" s="314">
        <v>41541.0</v>
      </c>
      <c r="J1964" s="319">
        <f>IFERROR(__xludf.DUMMYFUNCTION("SPLIT(I1964,""/"")"),24.0)</f>
        <v>24</v>
      </c>
      <c r="K1964" s="308">
        <f>IFERROR(__xludf.DUMMYFUNCTION("""COMPUTED_VALUE"""),9.0)</f>
        <v>9</v>
      </c>
      <c r="L1964" s="308">
        <f>IFERROR(__xludf.DUMMYFUNCTION("""COMPUTED_VALUE"""),2013.0)</f>
        <v>2013</v>
      </c>
      <c r="M1964" s="308" t="s">
        <v>7928</v>
      </c>
      <c r="N1964" s="308"/>
      <c r="O1964" s="312" t="s">
        <v>36435</v>
      </c>
      <c r="P1964" s="308" t="s">
        <v>7930</v>
      </c>
      <c r="Q1964" s="308"/>
      <c r="R1964" s="308"/>
      <c r="S1964" s="308" t="s">
        <v>81</v>
      </c>
      <c r="T1964" s="311" t="s">
        <v>87</v>
      </c>
      <c r="U1964" s="308" t="s">
        <v>872</v>
      </c>
      <c r="V1964" s="312"/>
    </row>
    <row r="1965">
      <c r="A1965" s="308">
        <v>1964.0</v>
      </c>
      <c r="B1965" s="308"/>
      <c r="C1965" s="308" t="s">
        <v>7931</v>
      </c>
      <c r="D1965" s="308">
        <f>IFERROR(__xludf.DUMMYFUNCTION("SPLIT(C1965,""-"")"),1985.0)</f>
        <v>1985</v>
      </c>
      <c r="E1965" s="308" t="str">
        <f>IFERROR(__xludf.DUMMYFUNCTION("""COMPUTED_VALUE""")," P")</f>
        <v> P</v>
      </c>
      <c r="F1965" s="312" t="s">
        <v>37</v>
      </c>
      <c r="G1965" s="308" t="s">
        <v>7932</v>
      </c>
      <c r="H1965" s="308" t="s">
        <v>7933</v>
      </c>
      <c r="I1965" s="314">
        <v>35421.0</v>
      </c>
      <c r="J1965" s="319">
        <f>IFERROR(__xludf.DUMMYFUNCTION("SPLIT(I1965,""/"")"),22.0)</f>
        <v>22</v>
      </c>
      <c r="K1965" s="308">
        <f>IFERROR(__xludf.DUMMYFUNCTION("""COMPUTED_VALUE"""),12.0)</f>
        <v>12</v>
      </c>
      <c r="L1965" s="308">
        <f>IFERROR(__xludf.DUMMYFUNCTION("""COMPUTED_VALUE"""),1996.0)</f>
        <v>1996</v>
      </c>
      <c r="M1965" s="308" t="s">
        <v>36436</v>
      </c>
      <c r="N1965" s="308"/>
      <c r="O1965" s="312" t="s">
        <v>36437</v>
      </c>
      <c r="P1965" s="308" t="s">
        <v>7936</v>
      </c>
      <c r="Q1965" s="308"/>
      <c r="R1965" s="308"/>
      <c r="S1965" s="308" t="s">
        <v>49</v>
      </c>
      <c r="T1965" s="311" t="s">
        <v>55</v>
      </c>
      <c r="U1965" s="308"/>
      <c r="V1965" s="312"/>
    </row>
    <row r="1966">
      <c r="A1966" s="308">
        <v>1965.0</v>
      </c>
      <c r="B1966" s="308"/>
      <c r="C1966" s="308" t="s">
        <v>7937</v>
      </c>
      <c r="D1966" s="308">
        <f>IFERROR(__xludf.DUMMYFUNCTION("SPLIT(C1966,""-"")"),1986.0)</f>
        <v>1986</v>
      </c>
      <c r="E1966" s="308" t="str">
        <f>IFERROR(__xludf.DUMMYFUNCTION("""COMPUTED_VALUE""")," K")</f>
        <v> K</v>
      </c>
      <c r="F1966" s="309" t="s">
        <v>34</v>
      </c>
      <c r="G1966" s="308"/>
      <c r="H1966" s="308" t="s">
        <v>7938</v>
      </c>
      <c r="I1966" s="310">
        <v>40216.0</v>
      </c>
      <c r="J1966" s="319">
        <f>IFERROR(__xludf.DUMMYFUNCTION("SPLIT(I1966,""/"")"),7.0)</f>
        <v>7</v>
      </c>
      <c r="K1966" s="308">
        <f>IFERROR(__xludf.DUMMYFUNCTION("""COMPUTED_VALUE"""),2.0)</f>
        <v>2</v>
      </c>
      <c r="L1966" s="308">
        <f>IFERROR(__xludf.DUMMYFUNCTION("""COMPUTED_VALUE"""),2010.0)</f>
        <v>2010</v>
      </c>
      <c r="M1966" s="308" t="s">
        <v>7939</v>
      </c>
      <c r="N1966" s="308"/>
      <c r="O1966" s="312" t="s">
        <v>36438</v>
      </c>
      <c r="P1966" s="308" t="s">
        <v>7941</v>
      </c>
      <c r="Q1966" s="308"/>
      <c r="R1966" s="308"/>
      <c r="S1966" s="308" t="s">
        <v>81</v>
      </c>
      <c r="T1966" s="311" t="s">
        <v>98</v>
      </c>
      <c r="U1966" s="308"/>
      <c r="V1966" s="312"/>
    </row>
    <row r="1967">
      <c r="A1967" s="308">
        <v>1966.0</v>
      </c>
      <c r="B1967" s="308"/>
      <c r="C1967" s="308" t="s">
        <v>7942</v>
      </c>
      <c r="D1967" s="308">
        <f>IFERROR(__xludf.DUMMYFUNCTION("SPLIT(C1967,""-"")"),1987.0)</f>
        <v>1987</v>
      </c>
      <c r="E1967" s="308" t="str">
        <f>IFERROR(__xludf.DUMMYFUNCTION("""COMPUTED_VALUE""")," P")</f>
        <v> P</v>
      </c>
      <c r="F1967" s="312" t="s">
        <v>37</v>
      </c>
      <c r="G1967" s="308"/>
      <c r="H1967" s="308" t="s">
        <v>7943</v>
      </c>
      <c r="I1967" s="314">
        <v>41749.0</v>
      </c>
      <c r="J1967" s="319">
        <f>IFERROR(__xludf.DUMMYFUNCTION("SPLIT(I1967,""/"")"),20.0)</f>
        <v>20</v>
      </c>
      <c r="K1967" s="308">
        <f>IFERROR(__xludf.DUMMYFUNCTION("""COMPUTED_VALUE"""),4.0)</f>
        <v>4</v>
      </c>
      <c r="L1967" s="308">
        <f>IFERROR(__xludf.DUMMYFUNCTION("""COMPUTED_VALUE"""),2014.0)</f>
        <v>2014</v>
      </c>
      <c r="M1967" s="308" t="s">
        <v>7944</v>
      </c>
      <c r="N1967" s="308"/>
      <c r="O1967" s="312" t="s">
        <v>36439</v>
      </c>
      <c r="P1967" s="308" t="s">
        <v>7946</v>
      </c>
      <c r="Q1967" s="308"/>
      <c r="R1967" s="308"/>
      <c r="S1967" s="308" t="s">
        <v>81</v>
      </c>
      <c r="T1967" s="308" t="s">
        <v>34264</v>
      </c>
      <c r="U1967" s="308" t="s">
        <v>4001</v>
      </c>
      <c r="V1967" s="312"/>
    </row>
    <row r="1968">
      <c r="A1968" s="308">
        <v>1967.0</v>
      </c>
      <c r="B1968" s="308"/>
      <c r="C1968" s="308" t="s">
        <v>7947</v>
      </c>
      <c r="D1968" s="308">
        <f>IFERROR(__xludf.DUMMYFUNCTION("SPLIT(C1968,""-"")"),1988.0)</f>
        <v>1988</v>
      </c>
      <c r="E1968" s="308" t="str">
        <f>IFERROR(__xludf.DUMMYFUNCTION("""COMPUTED_VALUE""")," K")</f>
        <v> K</v>
      </c>
      <c r="F1968" s="309" t="s">
        <v>34</v>
      </c>
      <c r="G1968" s="308"/>
      <c r="H1968" s="308" t="s">
        <v>7948</v>
      </c>
      <c r="I1968" s="316">
        <v>2012.0</v>
      </c>
      <c r="J1968" s="319"/>
      <c r="K1968" s="308"/>
      <c r="L1968" s="311">
        <v>2012.0</v>
      </c>
      <c r="M1968" s="308" t="s">
        <v>36440</v>
      </c>
      <c r="N1968" s="308"/>
      <c r="O1968" s="312" t="s">
        <v>7950</v>
      </c>
      <c r="P1968" s="308" t="s">
        <v>7951</v>
      </c>
      <c r="Q1968" s="308"/>
      <c r="R1968" s="308"/>
      <c r="S1968" s="308" t="s">
        <v>81</v>
      </c>
      <c r="T1968" s="308" t="s">
        <v>34264</v>
      </c>
      <c r="U1968" s="308"/>
      <c r="V1968" s="312"/>
    </row>
    <row r="1969">
      <c r="A1969" s="308">
        <v>1968.0</v>
      </c>
      <c r="B1969" s="308"/>
      <c r="C1969" s="308" t="s">
        <v>7952</v>
      </c>
      <c r="D1969" s="308">
        <f>IFERROR(__xludf.DUMMYFUNCTION("SPLIT(C1969,""-"")"),1989.0)</f>
        <v>1989</v>
      </c>
      <c r="E1969" s="308" t="str">
        <f>IFERROR(__xludf.DUMMYFUNCTION("""COMPUTED_VALUE""")," K")</f>
        <v> K</v>
      </c>
      <c r="F1969" s="309" t="s">
        <v>34</v>
      </c>
      <c r="G1969" s="308"/>
      <c r="H1969" s="308" t="s">
        <v>7953</v>
      </c>
      <c r="I1969" s="316">
        <v>2012.0</v>
      </c>
      <c r="J1969" s="319"/>
      <c r="K1969" s="308"/>
      <c r="L1969" s="311">
        <v>2012.0</v>
      </c>
      <c r="M1969" s="308" t="s">
        <v>36440</v>
      </c>
      <c r="N1969" s="308"/>
      <c r="O1969" s="312" t="s">
        <v>7950</v>
      </c>
      <c r="P1969" s="308" t="s">
        <v>7951</v>
      </c>
      <c r="Q1969" s="308"/>
      <c r="R1969" s="308"/>
      <c r="S1969" s="308" t="s">
        <v>81</v>
      </c>
      <c r="T1969" s="308" t="s">
        <v>34264</v>
      </c>
      <c r="U1969" s="308"/>
      <c r="V1969" s="312"/>
    </row>
    <row r="1970">
      <c r="A1970" s="308">
        <v>1969.0</v>
      </c>
      <c r="B1970" s="308"/>
      <c r="C1970" s="308" t="s">
        <v>7954</v>
      </c>
      <c r="D1970" s="308">
        <f>IFERROR(__xludf.DUMMYFUNCTION("SPLIT(C1970,""-"")"),1990.0)</f>
        <v>1990</v>
      </c>
      <c r="E1970" s="308" t="str">
        <f>IFERROR(__xludf.DUMMYFUNCTION("""COMPUTED_VALUE""")," K")</f>
        <v> K</v>
      </c>
      <c r="F1970" s="309" t="s">
        <v>34</v>
      </c>
      <c r="G1970" s="308"/>
      <c r="H1970" s="308" t="s">
        <v>7955</v>
      </c>
      <c r="I1970" s="310">
        <v>39546.0</v>
      </c>
      <c r="J1970" s="319">
        <f>IFERROR(__xludf.DUMMYFUNCTION("SPLIT(I1970,""/"")"),8.0)</f>
        <v>8</v>
      </c>
      <c r="K1970" s="308">
        <f>IFERROR(__xludf.DUMMYFUNCTION("""COMPUTED_VALUE"""),4.0)</f>
        <v>4</v>
      </c>
      <c r="L1970" s="308">
        <f>IFERROR(__xludf.DUMMYFUNCTION("""COMPUTED_VALUE"""),2008.0)</f>
        <v>2008</v>
      </c>
      <c r="M1970" s="308" t="s">
        <v>36441</v>
      </c>
      <c r="N1970" s="308"/>
      <c r="O1970" s="312" t="s">
        <v>635</v>
      </c>
      <c r="P1970" s="308" t="s">
        <v>7957</v>
      </c>
      <c r="Q1970" s="308"/>
      <c r="R1970" s="308"/>
      <c r="S1970" s="308" t="s">
        <v>81</v>
      </c>
      <c r="T1970" s="311" t="s">
        <v>98</v>
      </c>
      <c r="U1970" s="308"/>
      <c r="V1970" s="312"/>
    </row>
    <row r="1971">
      <c r="A1971" s="308">
        <v>1970.0</v>
      </c>
      <c r="B1971" s="308"/>
      <c r="C1971" s="308" t="s">
        <v>7958</v>
      </c>
      <c r="D1971" s="308">
        <f>IFERROR(__xludf.DUMMYFUNCTION("SPLIT(C1971,""-"")"),1991.0)</f>
        <v>1991</v>
      </c>
      <c r="E1971" s="308" t="str">
        <f>IFERROR(__xludf.DUMMYFUNCTION("""COMPUTED_VALUE""")," K")</f>
        <v> K</v>
      </c>
      <c r="F1971" s="309" t="s">
        <v>34</v>
      </c>
      <c r="G1971" s="308"/>
      <c r="H1971" s="308" t="s">
        <v>7959</v>
      </c>
      <c r="I1971" s="316">
        <v>2009.0</v>
      </c>
      <c r="J1971" s="319"/>
      <c r="K1971" s="308"/>
      <c r="L1971" s="311">
        <v>2009.0</v>
      </c>
      <c r="M1971" s="308" t="s">
        <v>7960</v>
      </c>
      <c r="N1971" s="308"/>
      <c r="O1971" s="312" t="s">
        <v>635</v>
      </c>
      <c r="P1971" s="308" t="s">
        <v>7961</v>
      </c>
      <c r="Q1971" s="308"/>
      <c r="R1971" s="308"/>
      <c r="S1971" s="308" t="s">
        <v>81</v>
      </c>
      <c r="T1971" s="311" t="s">
        <v>51</v>
      </c>
      <c r="U1971" s="308"/>
      <c r="V1971" s="312"/>
    </row>
    <row r="1972">
      <c r="A1972" s="308">
        <v>1971.0</v>
      </c>
      <c r="B1972" s="308"/>
      <c r="C1972" s="308" t="s">
        <v>7962</v>
      </c>
      <c r="D1972" s="308">
        <f>IFERROR(__xludf.DUMMYFUNCTION("SPLIT(C1972,""-"")"),1992.0)</f>
        <v>1992</v>
      </c>
      <c r="E1972" s="308" t="str">
        <f>IFERROR(__xludf.DUMMYFUNCTION("""COMPUTED_VALUE""")," I")</f>
        <v> I</v>
      </c>
      <c r="F1972" s="309" t="s">
        <v>31</v>
      </c>
      <c r="G1972" s="308"/>
      <c r="H1972" s="308" t="s">
        <v>7963</v>
      </c>
      <c r="I1972" s="310">
        <v>40973.0</v>
      </c>
      <c r="J1972" s="319">
        <f>IFERROR(__xludf.DUMMYFUNCTION("SPLIT(I1972,""/"")"),5.0)</f>
        <v>5</v>
      </c>
      <c r="K1972" s="308">
        <f>IFERROR(__xludf.DUMMYFUNCTION("""COMPUTED_VALUE"""),3.0)</f>
        <v>3</v>
      </c>
      <c r="L1972" s="308">
        <f>IFERROR(__xludf.DUMMYFUNCTION("""COMPUTED_VALUE"""),2012.0)</f>
        <v>2012</v>
      </c>
      <c r="M1972" s="308" t="s">
        <v>7964</v>
      </c>
      <c r="N1972" s="308"/>
      <c r="O1972" s="312" t="s">
        <v>7965</v>
      </c>
      <c r="P1972" s="308" t="s">
        <v>7966</v>
      </c>
      <c r="Q1972" s="308"/>
      <c r="R1972" s="308"/>
      <c r="S1972" s="308" t="s">
        <v>81</v>
      </c>
      <c r="T1972" s="311" t="s">
        <v>75</v>
      </c>
      <c r="U1972" s="308"/>
      <c r="V1972" s="312"/>
    </row>
    <row r="1973">
      <c r="A1973" s="308">
        <v>1972.0</v>
      </c>
      <c r="B1973" s="308"/>
      <c r="C1973" s="308" t="s">
        <v>7967</v>
      </c>
      <c r="D1973" s="308">
        <f>IFERROR(__xludf.DUMMYFUNCTION("SPLIT(C1973,""-"")"),1993.0)</f>
        <v>1993</v>
      </c>
      <c r="E1973" s="308" t="str">
        <f>IFERROR(__xludf.DUMMYFUNCTION("""COMPUTED_VALUE""")," S")</f>
        <v> S</v>
      </c>
      <c r="F1973" s="312" t="s">
        <v>39</v>
      </c>
      <c r="G1973" s="308"/>
      <c r="H1973" s="308" t="s">
        <v>7968</v>
      </c>
      <c r="I1973" s="314">
        <v>40968.0</v>
      </c>
      <c r="J1973" s="319">
        <f>IFERROR(__xludf.DUMMYFUNCTION("SPLIT(I1973,""/"")"),29.0)</f>
        <v>29</v>
      </c>
      <c r="K1973" s="308">
        <f>IFERROR(__xludf.DUMMYFUNCTION("""COMPUTED_VALUE"""),2.0)</f>
        <v>2</v>
      </c>
      <c r="L1973" s="308">
        <f>IFERROR(__xludf.DUMMYFUNCTION("""COMPUTED_VALUE"""),2012.0)</f>
        <v>2012</v>
      </c>
      <c r="M1973" s="308" t="s">
        <v>7969</v>
      </c>
      <c r="N1973" s="308"/>
      <c r="O1973" s="312" t="s">
        <v>36442</v>
      </c>
      <c r="P1973" s="308" t="s">
        <v>5977</v>
      </c>
      <c r="Q1973" s="308"/>
      <c r="R1973" s="308"/>
      <c r="S1973" s="308" t="s">
        <v>81</v>
      </c>
      <c r="T1973" s="308" t="s">
        <v>75</v>
      </c>
      <c r="U1973" s="308"/>
      <c r="V1973" s="312"/>
    </row>
    <row r="1974">
      <c r="A1974" s="308">
        <v>1973.0</v>
      </c>
      <c r="B1974" s="308"/>
      <c r="C1974" s="308" t="s">
        <v>7971</v>
      </c>
      <c r="D1974" s="308">
        <f>IFERROR(__xludf.DUMMYFUNCTION("SPLIT(C1974,""-"")"),1994.0)</f>
        <v>1994</v>
      </c>
      <c r="E1974" s="308" t="str">
        <f>IFERROR(__xludf.DUMMYFUNCTION("""COMPUTED_VALUE""")," I")</f>
        <v> I</v>
      </c>
      <c r="F1974" s="309" t="s">
        <v>31</v>
      </c>
      <c r="G1974" s="308"/>
      <c r="H1974" s="308" t="s">
        <v>7972</v>
      </c>
      <c r="I1974" s="316">
        <v>2003.0</v>
      </c>
      <c r="J1974" s="319"/>
      <c r="K1974" s="308"/>
      <c r="L1974" s="311">
        <v>2003.0</v>
      </c>
      <c r="M1974" s="308" t="s">
        <v>7973</v>
      </c>
      <c r="N1974" s="308"/>
      <c r="O1974" s="312" t="s">
        <v>7974</v>
      </c>
      <c r="P1974" s="308" t="s">
        <v>36443</v>
      </c>
      <c r="Q1974" s="308"/>
      <c r="R1974" s="308"/>
      <c r="S1974" s="308" t="s">
        <v>49</v>
      </c>
      <c r="T1974" s="311" t="s">
        <v>77</v>
      </c>
      <c r="U1974" s="308" t="s">
        <v>137</v>
      </c>
      <c r="V1974" s="312"/>
    </row>
    <row r="1975">
      <c r="A1975" s="308">
        <v>1974.0</v>
      </c>
      <c r="B1975" s="308"/>
      <c r="C1975" s="308" t="s">
        <v>7975</v>
      </c>
      <c r="D1975" s="308">
        <f>IFERROR(__xludf.DUMMYFUNCTION("SPLIT(C1975,""-"")"),1995.0)</f>
        <v>1995</v>
      </c>
      <c r="E1975" s="308" t="str">
        <f>IFERROR(__xludf.DUMMYFUNCTION("""COMPUTED_VALUE""")," P")</f>
        <v> P</v>
      </c>
      <c r="F1975" s="312" t="s">
        <v>37</v>
      </c>
      <c r="G1975" s="308"/>
      <c r="H1975" s="308" t="s">
        <v>7976</v>
      </c>
      <c r="I1975" s="314">
        <v>41668.0</v>
      </c>
      <c r="J1975" s="319">
        <f>IFERROR(__xludf.DUMMYFUNCTION("SPLIT(I1975,""/"")"),29.0)</f>
        <v>29</v>
      </c>
      <c r="K1975" s="308">
        <f>IFERROR(__xludf.DUMMYFUNCTION("""COMPUTED_VALUE"""),1.0)</f>
        <v>1</v>
      </c>
      <c r="L1975" s="308">
        <f>IFERROR(__xludf.DUMMYFUNCTION("""COMPUTED_VALUE"""),2014.0)</f>
        <v>2014</v>
      </c>
      <c r="M1975" s="308" t="s">
        <v>7977</v>
      </c>
      <c r="N1975" s="308"/>
      <c r="O1975" s="312" t="s">
        <v>36444</v>
      </c>
      <c r="P1975" s="308" t="s">
        <v>36445</v>
      </c>
      <c r="Q1975" s="308"/>
      <c r="R1975" s="308"/>
      <c r="S1975" s="308" t="s">
        <v>81</v>
      </c>
      <c r="T1975" s="308" t="s">
        <v>73</v>
      </c>
      <c r="U1975" s="308"/>
      <c r="V1975" s="312"/>
    </row>
    <row r="1976">
      <c r="A1976" s="308">
        <v>1975.0</v>
      </c>
      <c r="B1976" s="308"/>
      <c r="C1976" s="308" t="s">
        <v>7980</v>
      </c>
      <c r="D1976" s="308">
        <f>IFERROR(__xludf.DUMMYFUNCTION("SPLIT(C1976,""-"")"),1996.0)</f>
        <v>1996</v>
      </c>
      <c r="E1976" s="308" t="str">
        <f>IFERROR(__xludf.DUMMYFUNCTION("""COMPUTED_VALUE""")," I")</f>
        <v> I</v>
      </c>
      <c r="F1976" s="309" t="s">
        <v>31</v>
      </c>
      <c r="G1976" s="308"/>
      <c r="H1976" s="308" t="s">
        <v>7981</v>
      </c>
      <c r="I1976" s="314">
        <v>41388.0</v>
      </c>
      <c r="J1976" s="319">
        <f>IFERROR(__xludf.DUMMYFUNCTION("SPLIT(I1976,""/"")"),24.0)</f>
        <v>24</v>
      </c>
      <c r="K1976" s="308">
        <f>IFERROR(__xludf.DUMMYFUNCTION("""COMPUTED_VALUE"""),4.0)</f>
        <v>4</v>
      </c>
      <c r="L1976" s="308">
        <f>IFERROR(__xludf.DUMMYFUNCTION("""COMPUTED_VALUE"""),2013.0)</f>
        <v>2013</v>
      </c>
      <c r="M1976" s="308" t="s">
        <v>7982</v>
      </c>
      <c r="N1976" s="308"/>
      <c r="O1976" s="312" t="s">
        <v>635</v>
      </c>
      <c r="P1976" s="308" t="s">
        <v>7983</v>
      </c>
      <c r="Q1976" s="308"/>
      <c r="R1976" s="308"/>
      <c r="S1976" s="308" t="s">
        <v>81</v>
      </c>
      <c r="T1976" s="311" t="s">
        <v>75</v>
      </c>
      <c r="U1976" s="308"/>
      <c r="V1976" s="312"/>
    </row>
    <row r="1977">
      <c r="A1977" s="308">
        <v>1976.0</v>
      </c>
      <c r="B1977" s="308"/>
      <c r="C1977" s="308" t="s">
        <v>7984</v>
      </c>
      <c r="D1977" s="308">
        <f>IFERROR(__xludf.DUMMYFUNCTION("SPLIT(C1977,""-"")"),1997.0)</f>
        <v>1997</v>
      </c>
      <c r="E1977" s="308" t="str">
        <f>IFERROR(__xludf.DUMMYFUNCTION("""COMPUTED_VALUE""")," K")</f>
        <v> K</v>
      </c>
      <c r="F1977" s="309" t="s">
        <v>34</v>
      </c>
      <c r="G1977" s="308"/>
      <c r="H1977" s="308" t="s">
        <v>7985</v>
      </c>
      <c r="I1977" s="316">
        <v>2009.0</v>
      </c>
      <c r="J1977" s="319"/>
      <c r="K1977" s="308"/>
      <c r="L1977" s="311">
        <v>2009.0</v>
      </c>
      <c r="M1977" s="308" t="s">
        <v>7986</v>
      </c>
      <c r="N1977" s="308"/>
      <c r="O1977" s="312" t="s">
        <v>7987</v>
      </c>
      <c r="P1977" s="308" t="s">
        <v>7988</v>
      </c>
      <c r="Q1977" s="308"/>
      <c r="R1977" s="308"/>
      <c r="S1977" s="315" t="s">
        <v>100</v>
      </c>
      <c r="T1977" s="311" t="s">
        <v>34208</v>
      </c>
      <c r="U1977" s="308" t="s">
        <v>530</v>
      </c>
      <c r="V1977" s="312"/>
    </row>
    <row r="1978">
      <c r="A1978" s="308">
        <v>1977.0</v>
      </c>
      <c r="B1978" s="308"/>
      <c r="C1978" s="308" t="s">
        <v>7989</v>
      </c>
      <c r="D1978" s="308">
        <f>IFERROR(__xludf.DUMMYFUNCTION("SPLIT(C1978,""-"")"),1998.0)</f>
        <v>1998</v>
      </c>
      <c r="E1978" s="308" t="str">
        <f>IFERROR(__xludf.DUMMYFUNCTION("""COMPUTED_VALUE""")," K")</f>
        <v> K</v>
      </c>
      <c r="F1978" s="309" t="s">
        <v>34</v>
      </c>
      <c r="G1978" s="308"/>
      <c r="H1978" s="308" t="s">
        <v>7990</v>
      </c>
      <c r="I1978" s="310">
        <v>41275.0</v>
      </c>
      <c r="J1978" s="319">
        <f>IFERROR(__xludf.DUMMYFUNCTION("SPLIT(I1978,""/"")"),1.0)</f>
        <v>1</v>
      </c>
      <c r="K1978" s="308">
        <f>IFERROR(__xludf.DUMMYFUNCTION("""COMPUTED_VALUE"""),1.0)</f>
        <v>1</v>
      </c>
      <c r="L1978" s="308">
        <f>IFERROR(__xludf.DUMMYFUNCTION("""COMPUTED_VALUE"""),2013.0)</f>
        <v>2013</v>
      </c>
      <c r="M1978" s="308" t="s">
        <v>7991</v>
      </c>
      <c r="N1978" s="308"/>
      <c r="O1978" s="312" t="s">
        <v>36446</v>
      </c>
      <c r="P1978" s="308" t="s">
        <v>7993</v>
      </c>
      <c r="Q1978" s="308"/>
      <c r="R1978" s="308"/>
      <c r="S1978" s="308" t="s">
        <v>81</v>
      </c>
      <c r="T1978" s="308" t="s">
        <v>75</v>
      </c>
      <c r="U1978" s="308"/>
      <c r="V1978" s="312"/>
    </row>
    <row r="1979">
      <c r="A1979" s="308">
        <v>1978.0</v>
      </c>
      <c r="B1979" s="308"/>
      <c r="C1979" s="308" t="s">
        <v>7994</v>
      </c>
      <c r="D1979" s="308">
        <f>IFERROR(__xludf.DUMMYFUNCTION("SPLIT(C1979,""-"")"),1999.0)</f>
        <v>1999</v>
      </c>
      <c r="E1979" s="308" t="str">
        <f>IFERROR(__xludf.DUMMYFUNCTION("""COMPUTED_VALUE""")," K")</f>
        <v> K</v>
      </c>
      <c r="F1979" s="309" t="s">
        <v>34</v>
      </c>
      <c r="G1979" s="308"/>
      <c r="H1979" s="308" t="s">
        <v>7995</v>
      </c>
      <c r="I1979" s="316">
        <v>2012.0</v>
      </c>
      <c r="J1979" s="319"/>
      <c r="K1979" s="308"/>
      <c r="L1979" s="311">
        <v>2012.0</v>
      </c>
      <c r="M1979" s="308" t="s">
        <v>7996</v>
      </c>
      <c r="N1979" s="308"/>
      <c r="O1979" s="312" t="s">
        <v>635</v>
      </c>
      <c r="P1979" s="308" t="s">
        <v>7997</v>
      </c>
      <c r="Q1979" s="308"/>
      <c r="R1979" s="308"/>
      <c r="S1979" s="308" t="s">
        <v>81</v>
      </c>
      <c r="T1979" s="311" t="s">
        <v>75</v>
      </c>
      <c r="U1979" s="308"/>
      <c r="V1979" s="312"/>
    </row>
    <row r="1980">
      <c r="A1980" s="308">
        <v>1979.0</v>
      </c>
      <c r="B1980" s="308"/>
      <c r="C1980" s="308" t="s">
        <v>7998</v>
      </c>
      <c r="D1980" s="308">
        <f>IFERROR(__xludf.DUMMYFUNCTION("SPLIT(C1980,""-"")"),2000.0)</f>
        <v>2000</v>
      </c>
      <c r="E1980" s="308" t="str">
        <f>IFERROR(__xludf.DUMMYFUNCTION("""COMPUTED_VALUE""")," K")</f>
        <v> K</v>
      </c>
      <c r="F1980" s="309" t="s">
        <v>34</v>
      </c>
      <c r="G1980" s="308"/>
      <c r="H1980" s="308" t="s">
        <v>7999</v>
      </c>
      <c r="I1980" s="310">
        <v>40885.0</v>
      </c>
      <c r="J1980" s="319">
        <f>IFERROR(__xludf.DUMMYFUNCTION("SPLIT(I1980,""/"")"),8.0)</f>
        <v>8</v>
      </c>
      <c r="K1980" s="308">
        <f>IFERROR(__xludf.DUMMYFUNCTION("""COMPUTED_VALUE"""),12.0)</f>
        <v>12</v>
      </c>
      <c r="L1980" s="308">
        <f>IFERROR(__xludf.DUMMYFUNCTION("""COMPUTED_VALUE"""),2011.0)</f>
        <v>2011</v>
      </c>
      <c r="M1980" s="308" t="s">
        <v>8000</v>
      </c>
      <c r="N1980" s="308"/>
      <c r="O1980" s="312" t="s">
        <v>8001</v>
      </c>
      <c r="P1980" s="308" t="s">
        <v>8002</v>
      </c>
      <c r="Q1980" s="308"/>
      <c r="R1980" s="308"/>
      <c r="S1980" s="308" t="s">
        <v>81</v>
      </c>
      <c r="T1980" s="308" t="s">
        <v>34264</v>
      </c>
      <c r="U1980" s="308"/>
      <c r="V1980" s="312"/>
    </row>
    <row r="1981">
      <c r="A1981" s="308">
        <v>1980.0</v>
      </c>
      <c r="B1981" s="308"/>
      <c r="C1981" s="308" t="s">
        <v>8003</v>
      </c>
      <c r="D1981" s="308">
        <f>IFERROR(__xludf.DUMMYFUNCTION("SPLIT(C1981,""-"")"),2001.0)</f>
        <v>2001</v>
      </c>
      <c r="E1981" s="308" t="str">
        <f>IFERROR(__xludf.DUMMYFUNCTION("""COMPUTED_VALUE""")," K")</f>
        <v> K</v>
      </c>
      <c r="F1981" s="309" t="s">
        <v>34</v>
      </c>
      <c r="G1981" s="308"/>
      <c r="H1981" s="308" t="s">
        <v>8004</v>
      </c>
      <c r="I1981" s="316">
        <v>2012.0</v>
      </c>
      <c r="J1981" s="319"/>
      <c r="K1981" s="308"/>
      <c r="L1981" s="311">
        <v>2012.0</v>
      </c>
      <c r="M1981" s="308" t="s">
        <v>7986</v>
      </c>
      <c r="N1981" s="308"/>
      <c r="O1981" s="312" t="s">
        <v>635</v>
      </c>
      <c r="P1981" s="308" t="s">
        <v>8005</v>
      </c>
      <c r="Q1981" s="308"/>
      <c r="R1981" s="308"/>
      <c r="S1981" s="308" t="s">
        <v>81</v>
      </c>
      <c r="T1981" s="308" t="s">
        <v>34264</v>
      </c>
      <c r="U1981" s="308"/>
      <c r="V1981" s="312"/>
    </row>
    <row r="1982">
      <c r="A1982" s="308">
        <v>1981.0</v>
      </c>
      <c r="B1982" s="308"/>
      <c r="C1982" s="308" t="s">
        <v>8006</v>
      </c>
      <c r="D1982" s="308">
        <f>IFERROR(__xludf.DUMMYFUNCTION("SPLIT(C1982,""-"")"),2002.0)</f>
        <v>2002</v>
      </c>
      <c r="E1982" s="308" t="str">
        <f>IFERROR(__xludf.DUMMYFUNCTION("""COMPUTED_VALUE""")," K")</f>
        <v> K</v>
      </c>
      <c r="F1982" s="309" t="s">
        <v>34</v>
      </c>
      <c r="G1982" s="308"/>
      <c r="H1982" s="308" t="s">
        <v>8007</v>
      </c>
      <c r="I1982" s="316">
        <v>2009.0</v>
      </c>
      <c r="J1982" s="319"/>
      <c r="K1982" s="308"/>
      <c r="L1982" s="311">
        <v>2009.0</v>
      </c>
      <c r="M1982" s="308" t="s">
        <v>8008</v>
      </c>
      <c r="N1982" s="308"/>
      <c r="O1982" s="312" t="s">
        <v>8009</v>
      </c>
      <c r="P1982" s="308" t="s">
        <v>7988</v>
      </c>
      <c r="Q1982" s="308"/>
      <c r="R1982" s="308"/>
      <c r="S1982" s="315" t="s">
        <v>100</v>
      </c>
      <c r="T1982" s="311" t="s">
        <v>34208</v>
      </c>
      <c r="U1982" s="308"/>
      <c r="V1982" s="312"/>
    </row>
    <row r="1983">
      <c r="A1983" s="308">
        <v>1982.0</v>
      </c>
      <c r="B1983" s="308"/>
      <c r="C1983" s="308" t="s">
        <v>8010</v>
      </c>
      <c r="D1983" s="308">
        <f>IFERROR(__xludf.DUMMYFUNCTION("SPLIT(C1983,""-"")"),2003.0)</f>
        <v>2003</v>
      </c>
      <c r="E1983" s="308" t="str">
        <f>IFERROR(__xludf.DUMMYFUNCTION("""COMPUTED_VALUE""")," K")</f>
        <v> K</v>
      </c>
      <c r="F1983" s="309" t="s">
        <v>34</v>
      </c>
      <c r="G1983" s="308"/>
      <c r="H1983" s="308" t="s">
        <v>8011</v>
      </c>
      <c r="I1983" s="314">
        <v>40169.0</v>
      </c>
      <c r="J1983" s="319">
        <f>IFERROR(__xludf.DUMMYFUNCTION("SPLIT(I1983,""/"")"),22.0)</f>
        <v>22</v>
      </c>
      <c r="K1983" s="308">
        <f>IFERROR(__xludf.DUMMYFUNCTION("""COMPUTED_VALUE"""),12.0)</f>
        <v>12</v>
      </c>
      <c r="L1983" s="308">
        <f>IFERROR(__xludf.DUMMYFUNCTION("""COMPUTED_VALUE"""),2009.0)</f>
        <v>2009</v>
      </c>
      <c r="M1983" s="308" t="s">
        <v>8012</v>
      </c>
      <c r="N1983" s="308"/>
      <c r="O1983" s="312" t="s">
        <v>8013</v>
      </c>
      <c r="P1983" s="308" t="s">
        <v>7988</v>
      </c>
      <c r="Q1983" s="308"/>
      <c r="R1983" s="308"/>
      <c r="S1983" s="315" t="s">
        <v>100</v>
      </c>
      <c r="T1983" s="311" t="s">
        <v>34208</v>
      </c>
      <c r="U1983" s="308"/>
      <c r="V1983" s="312"/>
    </row>
    <row r="1984">
      <c r="A1984" s="308">
        <v>1983.0</v>
      </c>
      <c r="B1984" s="308"/>
      <c r="C1984" s="308" t="s">
        <v>8014</v>
      </c>
      <c r="D1984" s="308">
        <f>IFERROR(__xludf.DUMMYFUNCTION("SPLIT(C1984,""-"")"),2004.0)</f>
        <v>2004</v>
      </c>
      <c r="E1984" s="308" t="str">
        <f>IFERROR(__xludf.DUMMYFUNCTION("""COMPUTED_VALUE""")," K")</f>
        <v> K</v>
      </c>
      <c r="F1984" s="309" t="s">
        <v>34</v>
      </c>
      <c r="G1984" s="308"/>
      <c r="H1984" s="308" t="s">
        <v>8015</v>
      </c>
      <c r="I1984" s="314">
        <v>40167.0</v>
      </c>
      <c r="J1984" s="319">
        <f>IFERROR(__xludf.DUMMYFUNCTION("SPLIT(I1984,""/"")"),20.0)</f>
        <v>20</v>
      </c>
      <c r="K1984" s="308">
        <f>IFERROR(__xludf.DUMMYFUNCTION("""COMPUTED_VALUE"""),12.0)</f>
        <v>12</v>
      </c>
      <c r="L1984" s="308">
        <f>IFERROR(__xludf.DUMMYFUNCTION("""COMPUTED_VALUE"""),2009.0)</f>
        <v>2009</v>
      </c>
      <c r="M1984" s="308" t="s">
        <v>8012</v>
      </c>
      <c r="N1984" s="308"/>
      <c r="O1984" s="312" t="s">
        <v>8013</v>
      </c>
      <c r="P1984" s="308" t="s">
        <v>7988</v>
      </c>
      <c r="Q1984" s="308"/>
      <c r="R1984" s="308"/>
      <c r="S1984" s="315" t="s">
        <v>100</v>
      </c>
      <c r="T1984" s="311" t="s">
        <v>34208</v>
      </c>
      <c r="U1984" s="308"/>
      <c r="V1984" s="312"/>
    </row>
    <row r="1985">
      <c r="A1985" s="308">
        <v>1984.0</v>
      </c>
      <c r="B1985" s="308"/>
      <c r="C1985" s="308" t="s">
        <v>8016</v>
      </c>
      <c r="D1985" s="308">
        <f>IFERROR(__xludf.DUMMYFUNCTION("SPLIT(C1985,""-"")"),2005.0)</f>
        <v>2005</v>
      </c>
      <c r="E1985" s="308" t="str">
        <f>IFERROR(__xludf.DUMMYFUNCTION("""COMPUTED_VALUE""")," K")</f>
        <v> K</v>
      </c>
      <c r="F1985" s="309" t="s">
        <v>34</v>
      </c>
      <c r="G1985" s="308"/>
      <c r="H1985" s="308" t="s">
        <v>8017</v>
      </c>
      <c r="I1985" s="314">
        <v>41205.0</v>
      </c>
      <c r="J1985" s="319">
        <f>IFERROR(__xludf.DUMMYFUNCTION("SPLIT(I1985,""/"")"),23.0)</f>
        <v>23</v>
      </c>
      <c r="K1985" s="308">
        <f>IFERROR(__xludf.DUMMYFUNCTION("""COMPUTED_VALUE"""),10.0)</f>
        <v>10</v>
      </c>
      <c r="L1985" s="308">
        <f>IFERROR(__xludf.DUMMYFUNCTION("""COMPUTED_VALUE"""),2012.0)</f>
        <v>2012</v>
      </c>
      <c r="M1985" s="308" t="s">
        <v>8018</v>
      </c>
      <c r="N1985" s="308"/>
      <c r="O1985" s="312" t="s">
        <v>8019</v>
      </c>
      <c r="P1985" s="308" t="s">
        <v>8020</v>
      </c>
      <c r="Q1985" s="308"/>
      <c r="R1985" s="308"/>
      <c r="S1985" s="308" t="s">
        <v>81</v>
      </c>
      <c r="T1985" s="308" t="s">
        <v>34264</v>
      </c>
      <c r="U1985" s="308"/>
      <c r="V1985" s="312"/>
    </row>
    <row r="1986">
      <c r="A1986" s="308">
        <v>1985.0</v>
      </c>
      <c r="B1986" s="308"/>
      <c r="C1986" s="308" t="s">
        <v>8021</v>
      </c>
      <c r="D1986" s="308">
        <f>IFERROR(__xludf.DUMMYFUNCTION("SPLIT(C1986,""-"")"),2006.0)</f>
        <v>2006</v>
      </c>
      <c r="E1986" s="308" t="str">
        <f>IFERROR(__xludf.DUMMYFUNCTION("""COMPUTED_VALUE""")," K")</f>
        <v> K</v>
      </c>
      <c r="F1986" s="309" t="s">
        <v>34</v>
      </c>
      <c r="G1986" s="308"/>
      <c r="H1986" s="308" t="s">
        <v>8022</v>
      </c>
      <c r="I1986" s="322"/>
      <c r="J1986" s="319"/>
      <c r="K1986" s="308"/>
      <c r="L1986" s="311" t="s">
        <v>79</v>
      </c>
      <c r="M1986" s="308" t="s">
        <v>8023</v>
      </c>
      <c r="N1986" s="308"/>
      <c r="O1986" s="312" t="s">
        <v>8024</v>
      </c>
      <c r="P1986" s="308" t="s">
        <v>7988</v>
      </c>
      <c r="Q1986" s="308"/>
      <c r="R1986" s="308"/>
      <c r="S1986" s="315" t="s">
        <v>100</v>
      </c>
      <c r="T1986" s="311" t="s">
        <v>34208</v>
      </c>
      <c r="U1986" s="308"/>
      <c r="V1986" s="312"/>
    </row>
    <row r="1987">
      <c r="A1987" s="308">
        <v>1986.0</v>
      </c>
      <c r="B1987" s="308"/>
      <c r="C1987" s="308" t="s">
        <v>8025</v>
      </c>
      <c r="D1987" s="308">
        <f>IFERROR(__xludf.DUMMYFUNCTION("SPLIT(C1987,""-"")"),2007.0)</f>
        <v>2007</v>
      </c>
      <c r="E1987" s="308" t="str">
        <f>IFERROR(__xludf.DUMMYFUNCTION("""COMPUTED_VALUE""")," K")</f>
        <v> K</v>
      </c>
      <c r="F1987" s="309" t="s">
        <v>34</v>
      </c>
      <c r="G1987" s="308"/>
      <c r="H1987" s="308" t="s">
        <v>8026</v>
      </c>
      <c r="I1987" s="310">
        <v>40003.0</v>
      </c>
      <c r="J1987" s="319">
        <f>IFERROR(__xludf.DUMMYFUNCTION("SPLIT(I1987,""/"")"),9.0)</f>
        <v>9</v>
      </c>
      <c r="K1987" s="308">
        <f>IFERROR(__xludf.DUMMYFUNCTION("""COMPUTED_VALUE"""),7.0)</f>
        <v>7</v>
      </c>
      <c r="L1987" s="308">
        <f>IFERROR(__xludf.DUMMYFUNCTION("""COMPUTED_VALUE"""),2009.0)</f>
        <v>2009</v>
      </c>
      <c r="M1987" s="308" t="s">
        <v>8027</v>
      </c>
      <c r="N1987" s="308"/>
      <c r="O1987" s="312" t="s">
        <v>8028</v>
      </c>
      <c r="P1987" s="308" t="s">
        <v>7988</v>
      </c>
      <c r="Q1987" s="308"/>
      <c r="R1987" s="308"/>
      <c r="S1987" s="315" t="s">
        <v>100</v>
      </c>
      <c r="T1987" s="311" t="s">
        <v>34208</v>
      </c>
      <c r="U1987" s="308"/>
      <c r="V1987" s="312"/>
    </row>
    <row r="1988">
      <c r="A1988" s="308">
        <v>1987.0</v>
      </c>
      <c r="B1988" s="308"/>
      <c r="C1988" s="308" t="s">
        <v>8029</v>
      </c>
      <c r="D1988" s="308">
        <f>IFERROR(__xludf.DUMMYFUNCTION("SPLIT(C1988,""-"")"),2008.0)</f>
        <v>2008</v>
      </c>
      <c r="E1988" s="308" t="str">
        <f>IFERROR(__xludf.DUMMYFUNCTION("""COMPUTED_VALUE""")," K")</f>
        <v> K</v>
      </c>
      <c r="F1988" s="309" t="s">
        <v>34</v>
      </c>
      <c r="G1988" s="308"/>
      <c r="H1988" s="308" t="s">
        <v>8030</v>
      </c>
      <c r="I1988" s="314">
        <v>40071.0</v>
      </c>
      <c r="J1988" s="319">
        <f>IFERROR(__xludf.DUMMYFUNCTION("SPLIT(I1988,""/"")"),15.0)</f>
        <v>15</v>
      </c>
      <c r="K1988" s="308">
        <f>IFERROR(__xludf.DUMMYFUNCTION("""COMPUTED_VALUE"""),9.0)</f>
        <v>9</v>
      </c>
      <c r="L1988" s="308">
        <f>IFERROR(__xludf.DUMMYFUNCTION("""COMPUTED_VALUE"""),2009.0)</f>
        <v>2009</v>
      </c>
      <c r="M1988" s="308" t="s">
        <v>8031</v>
      </c>
      <c r="N1988" s="308"/>
      <c r="O1988" s="312" t="s">
        <v>8032</v>
      </c>
      <c r="P1988" s="308" t="s">
        <v>8033</v>
      </c>
      <c r="Q1988" s="308"/>
      <c r="R1988" s="308"/>
      <c r="S1988" s="315" t="s">
        <v>100</v>
      </c>
      <c r="T1988" s="311" t="s">
        <v>34208</v>
      </c>
      <c r="U1988" s="308" t="s">
        <v>8034</v>
      </c>
      <c r="V1988" s="312"/>
    </row>
    <row r="1989">
      <c r="A1989" s="308">
        <v>1988.0</v>
      </c>
      <c r="B1989" s="308"/>
      <c r="C1989" s="308" t="s">
        <v>8035</v>
      </c>
      <c r="D1989" s="308">
        <f>IFERROR(__xludf.DUMMYFUNCTION("SPLIT(C1989,""-"")"),2009.0)</f>
        <v>2009</v>
      </c>
      <c r="E1989" s="308" t="str">
        <f>IFERROR(__xludf.DUMMYFUNCTION("""COMPUTED_VALUE""")," K")</f>
        <v> K</v>
      </c>
      <c r="F1989" s="309" t="s">
        <v>34</v>
      </c>
      <c r="G1989" s="308"/>
      <c r="H1989" s="308" t="s">
        <v>8036</v>
      </c>
      <c r="I1989" s="316">
        <v>2009.0</v>
      </c>
      <c r="J1989" s="319"/>
      <c r="K1989" s="308"/>
      <c r="L1989" s="311">
        <v>2009.0</v>
      </c>
      <c r="M1989" s="308" t="s">
        <v>8037</v>
      </c>
      <c r="N1989" s="308"/>
      <c r="O1989" s="312" t="s">
        <v>8038</v>
      </c>
      <c r="P1989" s="308" t="s">
        <v>8039</v>
      </c>
      <c r="Q1989" s="308"/>
      <c r="R1989" s="308"/>
      <c r="S1989" s="308" t="s">
        <v>81</v>
      </c>
      <c r="T1989" s="308" t="s">
        <v>34264</v>
      </c>
      <c r="U1989" s="308"/>
      <c r="V1989" s="312"/>
    </row>
    <row r="1990">
      <c r="A1990" s="308">
        <v>1989.0</v>
      </c>
      <c r="B1990" s="308"/>
      <c r="C1990" s="308" t="s">
        <v>8040</v>
      </c>
      <c r="D1990" s="308">
        <f>IFERROR(__xludf.DUMMYFUNCTION("SPLIT(C1990,""-"")"),2010.0)</f>
        <v>2010</v>
      </c>
      <c r="E1990" s="308" t="str">
        <f>IFERROR(__xludf.DUMMYFUNCTION("""COMPUTED_VALUE""")," K")</f>
        <v> K</v>
      </c>
      <c r="F1990" s="309" t="s">
        <v>34</v>
      </c>
      <c r="G1990" s="308"/>
      <c r="H1990" s="308" t="s">
        <v>8041</v>
      </c>
      <c r="I1990" s="310">
        <v>41799.0</v>
      </c>
      <c r="J1990" s="319">
        <f>IFERROR(__xludf.DUMMYFUNCTION("SPLIT(I1990,""/"")"),9.0)</f>
        <v>9</v>
      </c>
      <c r="K1990" s="308">
        <f>IFERROR(__xludf.DUMMYFUNCTION("""COMPUTED_VALUE"""),6.0)</f>
        <v>6</v>
      </c>
      <c r="L1990" s="308">
        <f>IFERROR(__xludf.DUMMYFUNCTION("""COMPUTED_VALUE"""),2014.0)</f>
        <v>2014</v>
      </c>
      <c r="M1990" s="308" t="s">
        <v>8042</v>
      </c>
      <c r="N1990" s="308"/>
      <c r="O1990" s="312" t="s">
        <v>8043</v>
      </c>
      <c r="P1990" s="308" t="s">
        <v>7988</v>
      </c>
      <c r="Q1990" s="308"/>
      <c r="R1990" s="308"/>
      <c r="S1990" s="315" t="s">
        <v>100</v>
      </c>
      <c r="T1990" s="311" t="s">
        <v>34208</v>
      </c>
      <c r="U1990" s="308"/>
      <c r="V1990" s="312"/>
    </row>
    <row r="1991">
      <c r="A1991" s="308">
        <v>1990.0</v>
      </c>
      <c r="B1991" s="308"/>
      <c r="C1991" s="308" t="s">
        <v>8044</v>
      </c>
      <c r="D1991" s="308">
        <f>IFERROR(__xludf.DUMMYFUNCTION("SPLIT(C1991,""-"")"),2011.0)</f>
        <v>2011</v>
      </c>
      <c r="E1991" s="308" t="str">
        <f>IFERROR(__xludf.DUMMYFUNCTION("""COMPUTED_VALUE""")," K")</f>
        <v> K</v>
      </c>
      <c r="F1991" s="309" t="s">
        <v>34</v>
      </c>
      <c r="G1991" s="308"/>
      <c r="H1991" s="308" t="s">
        <v>8045</v>
      </c>
      <c r="I1991" s="310">
        <v>41036.0</v>
      </c>
      <c r="J1991" s="319">
        <f>IFERROR(__xludf.DUMMYFUNCTION("SPLIT(I1991,""/"")"),7.0)</f>
        <v>7</v>
      </c>
      <c r="K1991" s="308">
        <f>IFERROR(__xludf.DUMMYFUNCTION("""COMPUTED_VALUE"""),5.0)</f>
        <v>5</v>
      </c>
      <c r="L1991" s="308">
        <f>IFERROR(__xludf.DUMMYFUNCTION("""COMPUTED_VALUE"""),2012.0)</f>
        <v>2012</v>
      </c>
      <c r="M1991" s="308" t="s">
        <v>8046</v>
      </c>
      <c r="N1991" s="308"/>
      <c r="O1991" s="312" t="s">
        <v>635</v>
      </c>
      <c r="P1991" s="308" t="s">
        <v>1847</v>
      </c>
      <c r="Q1991" s="308"/>
      <c r="R1991" s="308"/>
      <c r="S1991" s="308" t="s">
        <v>100</v>
      </c>
      <c r="T1991" s="311" t="s">
        <v>34208</v>
      </c>
      <c r="U1991" s="308"/>
      <c r="V1991" s="312"/>
    </row>
    <row r="1992">
      <c r="A1992" s="308">
        <v>1991.0</v>
      </c>
      <c r="B1992" s="308"/>
      <c r="C1992" s="308" t="s">
        <v>8047</v>
      </c>
      <c r="D1992" s="308">
        <f>IFERROR(__xludf.DUMMYFUNCTION("SPLIT(C1992,""-"")"),2012.0)</f>
        <v>2012</v>
      </c>
      <c r="E1992" s="308" t="str">
        <f>IFERROR(__xludf.DUMMYFUNCTION("""COMPUTED_VALUE""")," K")</f>
        <v> K</v>
      </c>
      <c r="F1992" s="309" t="s">
        <v>34</v>
      </c>
      <c r="G1992" s="308"/>
      <c r="H1992" s="308" t="s">
        <v>8048</v>
      </c>
      <c r="I1992" s="314">
        <v>40040.0</v>
      </c>
      <c r="J1992" s="319">
        <f>IFERROR(__xludf.DUMMYFUNCTION("SPLIT(I1992,""/"")"),15.0)</f>
        <v>15</v>
      </c>
      <c r="K1992" s="308">
        <f>IFERROR(__xludf.DUMMYFUNCTION("""COMPUTED_VALUE"""),8.0)</f>
        <v>8</v>
      </c>
      <c r="L1992" s="308">
        <f>IFERROR(__xludf.DUMMYFUNCTION("""COMPUTED_VALUE"""),2009.0)</f>
        <v>2009</v>
      </c>
      <c r="M1992" s="308" t="s">
        <v>8049</v>
      </c>
      <c r="N1992" s="308"/>
      <c r="O1992" s="312" t="s">
        <v>635</v>
      </c>
      <c r="P1992" s="308" t="s">
        <v>8050</v>
      </c>
      <c r="Q1992" s="308"/>
      <c r="R1992" s="308"/>
      <c r="S1992" s="308" t="s">
        <v>81</v>
      </c>
      <c r="T1992" s="308" t="s">
        <v>34264</v>
      </c>
      <c r="U1992" s="308"/>
      <c r="V1992" s="312"/>
    </row>
    <row r="1993">
      <c r="A1993" s="308">
        <v>1992.0</v>
      </c>
      <c r="B1993" s="308" t="s">
        <v>8051</v>
      </c>
      <c r="C1993" s="308" t="s">
        <v>8052</v>
      </c>
      <c r="D1993" s="308">
        <f>IFERROR(__xludf.DUMMYFUNCTION("SPLIT(C1993,""-"")"),2013.0)</f>
        <v>2013</v>
      </c>
      <c r="E1993" s="308" t="str">
        <f>IFERROR(__xludf.DUMMYFUNCTION("""COMPUTED_VALUE""")," K")</f>
        <v> K</v>
      </c>
      <c r="F1993" s="309" t="s">
        <v>34</v>
      </c>
      <c r="G1993" s="308" t="s">
        <v>1731</v>
      </c>
      <c r="H1993" s="308" t="s">
        <v>8053</v>
      </c>
      <c r="I1993" s="310">
        <v>39150.0</v>
      </c>
      <c r="J1993" s="319">
        <f>IFERROR(__xludf.DUMMYFUNCTION("SPLIT(I1993,""/"")"),9.0)</f>
        <v>9</v>
      </c>
      <c r="K1993" s="308">
        <f>IFERROR(__xludf.DUMMYFUNCTION("""COMPUTED_VALUE"""),3.0)</f>
        <v>3</v>
      </c>
      <c r="L1993" s="308">
        <f>IFERROR(__xludf.DUMMYFUNCTION("""COMPUTED_VALUE"""),2007.0)</f>
        <v>2007</v>
      </c>
      <c r="M1993" s="308" t="s">
        <v>8054</v>
      </c>
      <c r="N1993" s="308"/>
      <c r="O1993" s="312" t="s">
        <v>8055</v>
      </c>
      <c r="P1993" s="308" t="s">
        <v>36447</v>
      </c>
      <c r="Q1993" s="308"/>
      <c r="R1993" s="308"/>
      <c r="S1993" s="308" t="s">
        <v>49</v>
      </c>
      <c r="T1993" s="311" t="s">
        <v>51</v>
      </c>
      <c r="U1993" s="308" t="s">
        <v>125</v>
      </c>
      <c r="V1993" s="312"/>
    </row>
    <row r="1994">
      <c r="A1994" s="308">
        <v>1993.0</v>
      </c>
      <c r="B1994" s="308"/>
      <c r="C1994" s="308" t="s">
        <v>8057</v>
      </c>
      <c r="D1994" s="308">
        <f>IFERROR(__xludf.DUMMYFUNCTION("SPLIT(C1994,""-"")"),2014.0)</f>
        <v>2014</v>
      </c>
      <c r="E1994" s="308" t="str">
        <f>IFERROR(__xludf.DUMMYFUNCTION("""COMPUTED_VALUE""")," S")</f>
        <v> S</v>
      </c>
      <c r="F1994" s="312" t="s">
        <v>39</v>
      </c>
      <c r="G1994" s="308"/>
      <c r="H1994" s="308" t="s">
        <v>36448</v>
      </c>
      <c r="I1994" s="314">
        <v>41742.0</v>
      </c>
      <c r="J1994" s="319">
        <f>IFERROR(__xludf.DUMMYFUNCTION("SPLIT(I1994,""/"")"),13.0)</f>
        <v>13</v>
      </c>
      <c r="K1994" s="308">
        <f>IFERROR(__xludf.DUMMYFUNCTION("""COMPUTED_VALUE"""),4.0)</f>
        <v>4</v>
      </c>
      <c r="L1994" s="308">
        <f>IFERROR(__xludf.DUMMYFUNCTION("""COMPUTED_VALUE"""),2014.0)</f>
        <v>2014</v>
      </c>
      <c r="M1994" s="308" t="s">
        <v>8059</v>
      </c>
      <c r="N1994" s="308"/>
      <c r="O1994" s="312" t="s">
        <v>36449</v>
      </c>
      <c r="P1994" s="308" t="s">
        <v>36450</v>
      </c>
      <c r="Q1994" s="308"/>
      <c r="R1994" s="308"/>
      <c r="S1994" s="308" t="s">
        <v>49</v>
      </c>
      <c r="T1994" s="311" t="s">
        <v>70</v>
      </c>
      <c r="U1994" s="308"/>
      <c r="V1994" s="312"/>
    </row>
    <row r="1995">
      <c r="A1995" s="308">
        <v>1994.0</v>
      </c>
      <c r="B1995" s="308"/>
      <c r="C1995" s="308" t="s">
        <v>8062</v>
      </c>
      <c r="D1995" s="308">
        <f>IFERROR(__xludf.DUMMYFUNCTION("SPLIT(C1995,""-"")"),2015.0)</f>
        <v>2015</v>
      </c>
      <c r="E1995" s="308" t="str">
        <f>IFERROR(__xludf.DUMMYFUNCTION("""COMPUTED_VALUE""")," P")</f>
        <v> P</v>
      </c>
      <c r="F1995" s="312" t="s">
        <v>37</v>
      </c>
      <c r="G1995" s="308"/>
      <c r="H1995" s="308" t="s">
        <v>8063</v>
      </c>
      <c r="I1995" s="314">
        <v>41418.0</v>
      </c>
      <c r="J1995" s="319">
        <f>IFERROR(__xludf.DUMMYFUNCTION("SPLIT(I1995,""/"")"),24.0)</f>
        <v>24</v>
      </c>
      <c r="K1995" s="308">
        <f>IFERROR(__xludf.DUMMYFUNCTION("""COMPUTED_VALUE"""),5.0)</f>
        <v>5</v>
      </c>
      <c r="L1995" s="308">
        <f>IFERROR(__xludf.DUMMYFUNCTION("""COMPUTED_VALUE"""),2013.0)</f>
        <v>2013</v>
      </c>
      <c r="M1995" s="308" t="s">
        <v>8064</v>
      </c>
      <c r="N1995" s="308"/>
      <c r="O1995" s="312" t="s">
        <v>8065</v>
      </c>
      <c r="P1995" s="308" t="s">
        <v>8066</v>
      </c>
      <c r="Q1995" s="308"/>
      <c r="R1995" s="308"/>
      <c r="S1995" s="308" t="s">
        <v>81</v>
      </c>
      <c r="T1995" s="308" t="s">
        <v>75</v>
      </c>
      <c r="U1995" s="308"/>
      <c r="V1995" s="312"/>
    </row>
    <row r="1996">
      <c r="A1996" s="308">
        <v>1995.0</v>
      </c>
      <c r="B1996" s="308"/>
      <c r="C1996" s="308" t="s">
        <v>8067</v>
      </c>
      <c r="D1996" s="308">
        <f>IFERROR(__xludf.DUMMYFUNCTION("SPLIT(C1996,""-"")"),2016.0)</f>
        <v>2016</v>
      </c>
      <c r="E1996" s="308" t="str">
        <f>IFERROR(__xludf.DUMMYFUNCTION("""COMPUTED_VALUE""")," P")</f>
        <v> P</v>
      </c>
      <c r="F1996" s="312" t="s">
        <v>37</v>
      </c>
      <c r="G1996" s="308"/>
      <c r="H1996" s="308" t="s">
        <v>36451</v>
      </c>
      <c r="I1996" s="314">
        <v>41418.0</v>
      </c>
      <c r="J1996" s="319">
        <f>IFERROR(__xludf.DUMMYFUNCTION("SPLIT(I1996,""/"")"),24.0)</f>
        <v>24</v>
      </c>
      <c r="K1996" s="308">
        <f>IFERROR(__xludf.DUMMYFUNCTION("""COMPUTED_VALUE"""),5.0)</f>
        <v>5</v>
      </c>
      <c r="L1996" s="308">
        <f>IFERROR(__xludf.DUMMYFUNCTION("""COMPUTED_VALUE"""),2013.0)</f>
        <v>2013</v>
      </c>
      <c r="M1996" s="308" t="s">
        <v>8069</v>
      </c>
      <c r="N1996" s="308"/>
      <c r="O1996" s="312" t="s">
        <v>8065</v>
      </c>
      <c r="P1996" s="308" t="s">
        <v>36452</v>
      </c>
      <c r="Q1996" s="308"/>
      <c r="R1996" s="308"/>
      <c r="S1996" s="315" t="s">
        <v>100</v>
      </c>
      <c r="T1996" s="311" t="s">
        <v>34208</v>
      </c>
      <c r="U1996" s="308" t="s">
        <v>4273</v>
      </c>
      <c r="V1996" s="312"/>
    </row>
    <row r="1997">
      <c r="A1997" s="308">
        <v>1996.0</v>
      </c>
      <c r="B1997" s="308"/>
      <c r="C1997" s="308" t="s">
        <v>8071</v>
      </c>
      <c r="D1997" s="308">
        <f>IFERROR(__xludf.DUMMYFUNCTION("SPLIT(C1997,""-"")"),2017.0)</f>
        <v>2017</v>
      </c>
      <c r="E1997" s="308" t="str">
        <f>IFERROR(__xludf.DUMMYFUNCTION("""COMPUTED_VALUE""")," K")</f>
        <v> K</v>
      </c>
      <c r="F1997" s="309" t="s">
        <v>34</v>
      </c>
      <c r="G1997" s="308"/>
      <c r="H1997" s="308" t="s">
        <v>8072</v>
      </c>
      <c r="I1997" s="310">
        <v>41640.0</v>
      </c>
      <c r="J1997" s="319">
        <f>IFERROR(__xludf.DUMMYFUNCTION("SPLIT(I1997,""/"")"),1.0)</f>
        <v>1</v>
      </c>
      <c r="K1997" s="308">
        <f>IFERROR(__xludf.DUMMYFUNCTION("""COMPUTED_VALUE"""),1.0)</f>
        <v>1</v>
      </c>
      <c r="L1997" s="308">
        <f>IFERROR(__xludf.DUMMYFUNCTION("""COMPUTED_VALUE"""),2014.0)</f>
        <v>2014</v>
      </c>
      <c r="M1997" s="308" t="s">
        <v>8073</v>
      </c>
      <c r="N1997" s="308"/>
      <c r="O1997" s="312" t="s">
        <v>635</v>
      </c>
      <c r="P1997" s="308" t="s">
        <v>8074</v>
      </c>
      <c r="Q1997" s="308"/>
      <c r="R1997" s="308"/>
      <c r="S1997" s="308" t="s">
        <v>81</v>
      </c>
      <c r="T1997" s="311" t="s">
        <v>90</v>
      </c>
      <c r="U1997" s="308"/>
      <c r="V1997" s="312"/>
    </row>
    <row r="1998">
      <c r="A1998" s="308">
        <v>1997.0</v>
      </c>
      <c r="B1998" s="308"/>
      <c r="C1998" s="308" t="s">
        <v>8075</v>
      </c>
      <c r="D1998" s="308">
        <f>IFERROR(__xludf.DUMMYFUNCTION("SPLIT(C1998,""-"")"),2018.0)</f>
        <v>2018</v>
      </c>
      <c r="E1998" s="308" t="str">
        <f>IFERROR(__xludf.DUMMYFUNCTION("""COMPUTED_VALUE""")," K")</f>
        <v> K</v>
      </c>
      <c r="F1998" s="309" t="s">
        <v>34</v>
      </c>
      <c r="G1998" s="308"/>
      <c r="H1998" s="308" t="s">
        <v>36453</v>
      </c>
      <c r="I1998" s="314">
        <v>41569.0</v>
      </c>
      <c r="J1998" s="319">
        <f>IFERROR(__xludf.DUMMYFUNCTION("SPLIT(I1998,""/"")"),22.0)</f>
        <v>22</v>
      </c>
      <c r="K1998" s="308">
        <f>IFERROR(__xludf.DUMMYFUNCTION("""COMPUTED_VALUE"""),10.0)</f>
        <v>10</v>
      </c>
      <c r="L1998" s="308">
        <f>IFERROR(__xludf.DUMMYFUNCTION("""COMPUTED_VALUE"""),2013.0)</f>
        <v>2013</v>
      </c>
      <c r="M1998" s="308" t="s">
        <v>8077</v>
      </c>
      <c r="N1998" s="308"/>
      <c r="O1998" s="312" t="s">
        <v>8078</v>
      </c>
      <c r="P1998" s="308" t="s">
        <v>8079</v>
      </c>
      <c r="Q1998" s="308"/>
      <c r="R1998" s="308"/>
      <c r="S1998" s="308" t="s">
        <v>81</v>
      </c>
      <c r="T1998" s="308" t="s">
        <v>98</v>
      </c>
      <c r="U1998" s="308"/>
      <c r="V1998" s="312"/>
    </row>
    <row r="1999">
      <c r="A1999" s="308">
        <v>1998.0</v>
      </c>
      <c r="B1999" s="308"/>
      <c r="C1999" s="308" t="s">
        <v>8080</v>
      </c>
      <c r="D1999" s="308">
        <f>IFERROR(__xludf.DUMMYFUNCTION("SPLIT(C1999,""-"")"),2019.0)</f>
        <v>2019</v>
      </c>
      <c r="E1999" s="308" t="str">
        <f>IFERROR(__xludf.DUMMYFUNCTION("""COMPUTED_VALUE""")," P")</f>
        <v> P</v>
      </c>
      <c r="F1999" s="312" t="s">
        <v>37</v>
      </c>
      <c r="G1999" s="308"/>
      <c r="H1999" s="308" t="s">
        <v>8081</v>
      </c>
      <c r="I1999" s="314">
        <v>41605.0</v>
      </c>
      <c r="J1999" s="319">
        <f>IFERROR(__xludf.DUMMYFUNCTION("SPLIT(I1999,""/"")"),27.0)</f>
        <v>27</v>
      </c>
      <c r="K1999" s="308">
        <f>IFERROR(__xludf.DUMMYFUNCTION("""COMPUTED_VALUE"""),11.0)</f>
        <v>11</v>
      </c>
      <c r="L1999" s="308">
        <f>IFERROR(__xludf.DUMMYFUNCTION("""COMPUTED_VALUE"""),2013.0)</f>
        <v>2013</v>
      </c>
      <c r="M1999" s="308" t="s">
        <v>8082</v>
      </c>
      <c r="N1999" s="308"/>
      <c r="O1999" s="312" t="s">
        <v>36454</v>
      </c>
      <c r="P1999" s="308" t="s">
        <v>8084</v>
      </c>
      <c r="Q1999" s="308"/>
      <c r="R1999" s="308"/>
      <c r="S1999" s="308" t="s">
        <v>81</v>
      </c>
      <c r="T1999" s="308" t="s">
        <v>75</v>
      </c>
      <c r="U1999" s="308"/>
      <c r="V1999" s="312"/>
    </row>
    <row r="2000">
      <c r="A2000" s="308">
        <v>1999.0</v>
      </c>
      <c r="B2000" s="308"/>
      <c r="C2000" s="308" t="s">
        <v>8085</v>
      </c>
      <c r="D2000" s="308">
        <f>IFERROR(__xludf.DUMMYFUNCTION("SPLIT(C2000,""-"")"),2020.0)</f>
        <v>2020</v>
      </c>
      <c r="E2000" s="308" t="str">
        <f>IFERROR(__xludf.DUMMYFUNCTION("""COMPUTED_VALUE""")," K")</f>
        <v> K</v>
      </c>
      <c r="F2000" s="309" t="s">
        <v>34</v>
      </c>
      <c r="G2000" s="308"/>
      <c r="H2000" s="308" t="s">
        <v>8086</v>
      </c>
      <c r="I2000" s="310">
        <v>40856.0</v>
      </c>
      <c r="J2000" s="319">
        <f>IFERROR(__xludf.DUMMYFUNCTION("SPLIT(I2000,""/"")"),9.0)</f>
        <v>9</v>
      </c>
      <c r="K2000" s="308">
        <f>IFERROR(__xludf.DUMMYFUNCTION("""COMPUTED_VALUE"""),11.0)</f>
        <v>11</v>
      </c>
      <c r="L2000" s="308">
        <f>IFERROR(__xludf.DUMMYFUNCTION("""COMPUTED_VALUE"""),2011.0)</f>
        <v>2011</v>
      </c>
      <c r="M2000" s="308" t="s">
        <v>8087</v>
      </c>
      <c r="N2000" s="308"/>
      <c r="O2000" s="312" t="s">
        <v>5859</v>
      </c>
      <c r="P2000" s="308" t="s">
        <v>8088</v>
      </c>
      <c r="Q2000" s="308"/>
      <c r="R2000" s="308"/>
      <c r="S2000" s="308" t="s">
        <v>81</v>
      </c>
      <c r="T2000" s="308" t="s">
        <v>34264</v>
      </c>
      <c r="U2000" s="308"/>
      <c r="V2000" s="312"/>
    </row>
    <row r="2001">
      <c r="A2001" s="308">
        <v>2000.0</v>
      </c>
      <c r="B2001" s="308"/>
      <c r="C2001" s="308" t="s">
        <v>8089</v>
      </c>
      <c r="D2001" s="308">
        <f>IFERROR(__xludf.DUMMYFUNCTION("SPLIT(C2001,""-"")"),2021.0)</f>
        <v>2021</v>
      </c>
      <c r="E2001" s="308" t="str">
        <f>IFERROR(__xludf.DUMMYFUNCTION("""COMPUTED_VALUE""")," K")</f>
        <v> K</v>
      </c>
      <c r="F2001" s="309" t="s">
        <v>34</v>
      </c>
      <c r="G2001" s="308"/>
      <c r="H2001" s="308" t="s">
        <v>8090</v>
      </c>
      <c r="I2001" s="314">
        <v>41718.0</v>
      </c>
      <c r="J2001" s="319">
        <f>IFERROR(__xludf.DUMMYFUNCTION("SPLIT(I2001,""/"")"),20.0)</f>
        <v>20</v>
      </c>
      <c r="K2001" s="308">
        <f>IFERROR(__xludf.DUMMYFUNCTION("""COMPUTED_VALUE"""),3.0)</f>
        <v>3</v>
      </c>
      <c r="L2001" s="308">
        <f>IFERROR(__xludf.DUMMYFUNCTION("""COMPUTED_VALUE"""),2014.0)</f>
        <v>2014</v>
      </c>
      <c r="M2001" s="308" t="s">
        <v>8091</v>
      </c>
      <c r="N2001" s="308"/>
      <c r="O2001" s="312" t="s">
        <v>635</v>
      </c>
      <c r="P2001" s="308" t="s">
        <v>8092</v>
      </c>
      <c r="Q2001" s="308"/>
      <c r="R2001" s="308"/>
      <c r="S2001" s="308" t="s">
        <v>81</v>
      </c>
      <c r="T2001" s="308" t="s">
        <v>34264</v>
      </c>
      <c r="U2001" s="308"/>
      <c r="V2001" s="312"/>
    </row>
    <row r="2002">
      <c r="A2002" s="308">
        <v>2001.0</v>
      </c>
      <c r="B2002" s="308"/>
      <c r="C2002" s="308" t="s">
        <v>8093</v>
      </c>
      <c r="D2002" s="308">
        <f>IFERROR(__xludf.DUMMYFUNCTION("SPLIT(C2002,""-"")"),2022.0)</f>
        <v>2022</v>
      </c>
      <c r="E2002" s="308" t="str">
        <f>IFERROR(__xludf.DUMMYFUNCTION("""COMPUTED_VALUE""")," K")</f>
        <v> K</v>
      </c>
      <c r="F2002" s="309" t="s">
        <v>34</v>
      </c>
      <c r="G2002" s="308"/>
      <c r="H2002" s="308" t="s">
        <v>8094</v>
      </c>
      <c r="I2002" s="316">
        <v>2009.0</v>
      </c>
      <c r="J2002" s="319"/>
      <c r="K2002" s="308"/>
      <c r="L2002" s="311">
        <v>2009.0</v>
      </c>
      <c r="M2002" s="308" t="s">
        <v>8095</v>
      </c>
      <c r="N2002" s="308"/>
      <c r="O2002" s="312" t="s">
        <v>635</v>
      </c>
      <c r="P2002" s="308" t="s">
        <v>36455</v>
      </c>
      <c r="Q2002" s="308"/>
      <c r="R2002" s="308"/>
      <c r="S2002" s="308" t="s">
        <v>81</v>
      </c>
      <c r="T2002" s="308" t="s">
        <v>34264</v>
      </c>
      <c r="U2002" s="308"/>
      <c r="V2002" s="312"/>
    </row>
    <row r="2003">
      <c r="A2003" s="308">
        <v>2002.0</v>
      </c>
      <c r="B2003" s="308"/>
      <c r="C2003" s="308" t="s">
        <v>8097</v>
      </c>
      <c r="D2003" s="308">
        <f>IFERROR(__xludf.DUMMYFUNCTION("SPLIT(C2003,""-"")"),2023.0)</f>
        <v>2023</v>
      </c>
      <c r="E2003" s="308" t="str">
        <f>IFERROR(__xludf.DUMMYFUNCTION("""COMPUTED_VALUE""")," K")</f>
        <v> K</v>
      </c>
      <c r="F2003" s="309" t="s">
        <v>34</v>
      </c>
      <c r="G2003" s="308"/>
      <c r="H2003" s="308" t="s">
        <v>8098</v>
      </c>
      <c r="I2003" s="314">
        <v>41721.0</v>
      </c>
      <c r="J2003" s="319">
        <f>IFERROR(__xludf.DUMMYFUNCTION("SPLIT(I2003,""/"")"),23.0)</f>
        <v>23</v>
      </c>
      <c r="K2003" s="308">
        <f>IFERROR(__xludf.DUMMYFUNCTION("""COMPUTED_VALUE"""),3.0)</f>
        <v>3</v>
      </c>
      <c r="L2003" s="308">
        <f>IFERROR(__xludf.DUMMYFUNCTION("""COMPUTED_VALUE"""),2014.0)</f>
        <v>2014</v>
      </c>
      <c r="M2003" s="308" t="s">
        <v>8099</v>
      </c>
      <c r="N2003" s="308"/>
      <c r="O2003" s="312" t="s">
        <v>36456</v>
      </c>
      <c r="P2003" s="308" t="s">
        <v>36457</v>
      </c>
      <c r="Q2003" s="308"/>
      <c r="R2003" s="308"/>
      <c r="S2003" s="308" t="s">
        <v>81</v>
      </c>
      <c r="T2003" s="308" t="s">
        <v>34264</v>
      </c>
      <c r="U2003" s="308"/>
      <c r="V2003" s="312"/>
    </row>
    <row r="2004">
      <c r="A2004" s="308">
        <v>2003.0</v>
      </c>
      <c r="B2004" s="308"/>
      <c r="C2004" s="308" t="s">
        <v>8102</v>
      </c>
      <c r="D2004" s="308">
        <f>IFERROR(__xludf.DUMMYFUNCTION("SPLIT(C2004,""-"")"),2024.0)</f>
        <v>2024</v>
      </c>
      <c r="E2004" s="308" t="str">
        <f>IFERROR(__xludf.DUMMYFUNCTION("""COMPUTED_VALUE""")," S")</f>
        <v> S</v>
      </c>
      <c r="F2004" s="312" t="s">
        <v>39</v>
      </c>
      <c r="G2004" s="308"/>
      <c r="H2004" s="308" t="s">
        <v>8103</v>
      </c>
      <c r="I2004" s="314">
        <v>41080.0</v>
      </c>
      <c r="J2004" s="319">
        <f>IFERROR(__xludf.DUMMYFUNCTION("SPLIT(I2004,""/"")"),20.0)</f>
        <v>20</v>
      </c>
      <c r="K2004" s="308">
        <f>IFERROR(__xludf.DUMMYFUNCTION("""COMPUTED_VALUE"""),6.0)</f>
        <v>6</v>
      </c>
      <c r="L2004" s="308">
        <f>IFERROR(__xludf.DUMMYFUNCTION("""COMPUTED_VALUE"""),2012.0)</f>
        <v>2012</v>
      </c>
      <c r="M2004" s="308" t="s">
        <v>8104</v>
      </c>
      <c r="N2004" s="308"/>
      <c r="O2004" s="312" t="s">
        <v>8105</v>
      </c>
      <c r="P2004" s="308" t="s">
        <v>36458</v>
      </c>
      <c r="Q2004" s="308"/>
      <c r="R2004" s="308"/>
      <c r="S2004" s="308" t="s">
        <v>81</v>
      </c>
      <c r="T2004" s="308" t="s">
        <v>75</v>
      </c>
      <c r="U2004" s="312"/>
      <c r="V2004" s="312"/>
    </row>
    <row r="2005">
      <c r="A2005" s="308">
        <v>2004.0</v>
      </c>
      <c r="B2005" s="308"/>
      <c r="C2005" s="308" t="s">
        <v>8107</v>
      </c>
      <c r="D2005" s="308">
        <f>IFERROR(__xludf.DUMMYFUNCTION("SPLIT(C2005,""-"")"),2025.0)</f>
        <v>2025</v>
      </c>
      <c r="E2005" s="308" t="str">
        <f>IFERROR(__xludf.DUMMYFUNCTION("""COMPUTED_VALUE""")," I")</f>
        <v> I</v>
      </c>
      <c r="F2005" s="309" t="s">
        <v>31</v>
      </c>
      <c r="G2005" s="308"/>
      <c r="H2005" s="308" t="s">
        <v>8108</v>
      </c>
      <c r="I2005" s="314">
        <v>41743.0</v>
      </c>
      <c r="J2005" s="319">
        <f>IFERROR(__xludf.DUMMYFUNCTION("SPLIT(I2005,""/"")"),14.0)</f>
        <v>14</v>
      </c>
      <c r="K2005" s="308">
        <f>IFERROR(__xludf.DUMMYFUNCTION("""COMPUTED_VALUE"""),4.0)</f>
        <v>4</v>
      </c>
      <c r="L2005" s="308">
        <f>IFERROR(__xludf.DUMMYFUNCTION("""COMPUTED_VALUE"""),2014.0)</f>
        <v>2014</v>
      </c>
      <c r="M2005" s="308" t="s">
        <v>8109</v>
      </c>
      <c r="N2005" s="308"/>
      <c r="O2005" s="312" t="s">
        <v>36459</v>
      </c>
      <c r="P2005" s="308" t="s">
        <v>8111</v>
      </c>
      <c r="Q2005" s="308"/>
      <c r="R2005" s="308"/>
      <c r="S2005" s="308" t="s">
        <v>81</v>
      </c>
      <c r="T2005" s="311" t="s">
        <v>51</v>
      </c>
      <c r="U2005" s="308"/>
      <c r="V2005" s="312"/>
    </row>
    <row r="2006">
      <c r="A2006" s="308">
        <v>2005.0</v>
      </c>
      <c r="B2006" s="308"/>
      <c r="C2006" s="308" t="s">
        <v>8112</v>
      </c>
      <c r="D2006" s="308">
        <f>IFERROR(__xludf.DUMMYFUNCTION("SPLIT(C2006,""-"")"),2026.0)</f>
        <v>2026</v>
      </c>
      <c r="E2006" s="308" t="str">
        <f>IFERROR(__xludf.DUMMYFUNCTION("""COMPUTED_VALUE""")," K")</f>
        <v> K</v>
      </c>
      <c r="F2006" s="309" t="s">
        <v>34</v>
      </c>
      <c r="G2006" s="308" t="s">
        <v>8113</v>
      </c>
      <c r="H2006" s="308" t="s">
        <v>8114</v>
      </c>
      <c r="I2006" s="310">
        <v>41856.0</v>
      </c>
      <c r="J2006" s="319">
        <f>IFERROR(__xludf.DUMMYFUNCTION("SPLIT(I2006,""/"")"),5.0)</f>
        <v>5</v>
      </c>
      <c r="K2006" s="308">
        <f>IFERROR(__xludf.DUMMYFUNCTION("""COMPUTED_VALUE"""),8.0)</f>
        <v>8</v>
      </c>
      <c r="L2006" s="308">
        <f>IFERROR(__xludf.DUMMYFUNCTION("""COMPUTED_VALUE"""),2014.0)</f>
        <v>2014</v>
      </c>
      <c r="M2006" s="308" t="s">
        <v>8115</v>
      </c>
      <c r="N2006" s="308"/>
      <c r="O2006" s="312" t="s">
        <v>8116</v>
      </c>
      <c r="P2006" s="308" t="s">
        <v>6381</v>
      </c>
      <c r="Q2006" s="308"/>
      <c r="R2006" s="308"/>
      <c r="S2006" s="315" t="s">
        <v>100</v>
      </c>
      <c r="T2006" s="311" t="s">
        <v>34208</v>
      </c>
      <c r="U2006" s="308" t="s">
        <v>36197</v>
      </c>
      <c r="V2006" s="312"/>
    </row>
    <row r="2007">
      <c r="A2007" s="308">
        <v>2006.0</v>
      </c>
      <c r="B2007" s="308"/>
      <c r="C2007" s="308" t="s">
        <v>8117</v>
      </c>
      <c r="D2007" s="308">
        <f>IFERROR(__xludf.DUMMYFUNCTION("SPLIT(C2007,""-"")"),2027.0)</f>
        <v>2027</v>
      </c>
      <c r="E2007" s="308" t="str">
        <f>IFERROR(__xludf.DUMMYFUNCTION("""COMPUTED_VALUE""")," K")</f>
        <v> K</v>
      </c>
      <c r="F2007" s="309" t="s">
        <v>34</v>
      </c>
      <c r="G2007" s="308" t="s">
        <v>8118</v>
      </c>
      <c r="H2007" s="308" t="s">
        <v>8119</v>
      </c>
      <c r="I2007" s="322"/>
      <c r="J2007" s="319"/>
      <c r="K2007" s="308"/>
      <c r="L2007" s="311" t="s">
        <v>79</v>
      </c>
      <c r="M2007" s="308" t="s">
        <v>8120</v>
      </c>
      <c r="N2007" s="308"/>
      <c r="O2007" s="312" t="s">
        <v>8116</v>
      </c>
      <c r="P2007" s="308" t="s">
        <v>1872</v>
      </c>
      <c r="Q2007" s="308"/>
      <c r="R2007" s="308"/>
      <c r="S2007" s="315" t="s">
        <v>100</v>
      </c>
      <c r="T2007" s="311" t="s">
        <v>34208</v>
      </c>
      <c r="U2007" s="308"/>
      <c r="V2007" s="312"/>
    </row>
    <row r="2008">
      <c r="A2008" s="308">
        <v>2007.0</v>
      </c>
      <c r="B2008" s="308"/>
      <c r="C2008" s="308" t="s">
        <v>8121</v>
      </c>
      <c r="D2008" s="308">
        <f>IFERROR(__xludf.DUMMYFUNCTION("SPLIT(C2008,""-"")"),2028.0)</f>
        <v>2028</v>
      </c>
      <c r="E2008" s="308" t="str">
        <f>IFERROR(__xludf.DUMMYFUNCTION("""COMPUTED_VALUE""")," K")</f>
        <v> K</v>
      </c>
      <c r="F2008" s="309" t="s">
        <v>34</v>
      </c>
      <c r="G2008" s="308" t="s">
        <v>8122</v>
      </c>
      <c r="H2008" s="308" t="s">
        <v>8123</v>
      </c>
      <c r="I2008" s="316">
        <v>2009.0</v>
      </c>
      <c r="J2008" s="319"/>
      <c r="K2008" s="308"/>
      <c r="L2008" s="311">
        <v>2009.0</v>
      </c>
      <c r="M2008" s="308" t="s">
        <v>8124</v>
      </c>
      <c r="N2008" s="308"/>
      <c r="O2008" s="312" t="s">
        <v>8125</v>
      </c>
      <c r="P2008" s="308" t="s">
        <v>1872</v>
      </c>
      <c r="Q2008" s="308"/>
      <c r="R2008" s="308"/>
      <c r="S2008" s="315" t="s">
        <v>100</v>
      </c>
      <c r="T2008" s="311" t="s">
        <v>34208</v>
      </c>
      <c r="U2008" s="308" t="s">
        <v>530</v>
      </c>
      <c r="V2008" s="312"/>
    </row>
    <row r="2009">
      <c r="A2009" s="308">
        <v>2008.0</v>
      </c>
      <c r="B2009" s="308"/>
      <c r="C2009" s="308" t="s">
        <v>8126</v>
      </c>
      <c r="D2009" s="308">
        <f>IFERROR(__xludf.DUMMYFUNCTION("SPLIT(C2009,""-"")"),2029.0)</f>
        <v>2029</v>
      </c>
      <c r="E2009" s="308" t="str">
        <f>IFERROR(__xludf.DUMMYFUNCTION("""COMPUTED_VALUE""")," K")</f>
        <v> K</v>
      </c>
      <c r="F2009" s="309" t="s">
        <v>34</v>
      </c>
      <c r="G2009" s="308" t="s">
        <v>8127</v>
      </c>
      <c r="H2009" s="308" t="s">
        <v>8128</v>
      </c>
      <c r="I2009" s="314">
        <v>41181.0</v>
      </c>
      <c r="J2009" s="319">
        <f>IFERROR(__xludf.DUMMYFUNCTION("SPLIT(I2009,""/"")"),29.0)</f>
        <v>29</v>
      </c>
      <c r="K2009" s="308">
        <f>IFERROR(__xludf.DUMMYFUNCTION("""COMPUTED_VALUE"""),9.0)</f>
        <v>9</v>
      </c>
      <c r="L2009" s="308">
        <f>IFERROR(__xludf.DUMMYFUNCTION("""COMPUTED_VALUE"""),2012.0)</f>
        <v>2012</v>
      </c>
      <c r="M2009" s="308" t="s">
        <v>8129</v>
      </c>
      <c r="N2009" s="308"/>
      <c r="O2009" s="312" t="s">
        <v>8130</v>
      </c>
      <c r="P2009" s="308" t="s">
        <v>36460</v>
      </c>
      <c r="Q2009" s="308"/>
      <c r="R2009" s="308"/>
      <c r="S2009" s="308" t="s">
        <v>81</v>
      </c>
      <c r="T2009" s="308" t="s">
        <v>34264</v>
      </c>
      <c r="U2009" s="308"/>
      <c r="V2009" s="312"/>
    </row>
    <row r="2010">
      <c r="A2010" s="308">
        <v>2009.0</v>
      </c>
      <c r="B2010" s="308"/>
      <c r="C2010" s="308" t="s">
        <v>8132</v>
      </c>
      <c r="D2010" s="308">
        <f>IFERROR(__xludf.DUMMYFUNCTION("SPLIT(C2010,""-"")"),2030.0)</f>
        <v>2030</v>
      </c>
      <c r="E2010" s="308" t="str">
        <f>IFERROR(__xludf.DUMMYFUNCTION("""COMPUTED_VALUE""")," K")</f>
        <v> K</v>
      </c>
      <c r="F2010" s="309" t="s">
        <v>34</v>
      </c>
      <c r="G2010" s="308" t="s">
        <v>8133</v>
      </c>
      <c r="H2010" s="308" t="s">
        <v>8134</v>
      </c>
      <c r="I2010" s="316">
        <v>2013.0</v>
      </c>
      <c r="J2010" s="319"/>
      <c r="K2010" s="308"/>
      <c r="L2010" s="311">
        <v>2013.0</v>
      </c>
      <c r="M2010" s="308" t="s">
        <v>8135</v>
      </c>
      <c r="N2010" s="308"/>
      <c r="O2010" s="312" t="s">
        <v>8136</v>
      </c>
      <c r="P2010" s="308" t="s">
        <v>8137</v>
      </c>
      <c r="Q2010" s="308"/>
      <c r="R2010" s="308"/>
      <c r="S2010" s="308" t="s">
        <v>81</v>
      </c>
      <c r="T2010" s="311" t="s">
        <v>87</v>
      </c>
      <c r="U2010" s="308"/>
      <c r="V2010" s="312"/>
    </row>
    <row r="2011">
      <c r="A2011" s="308">
        <v>2010.0</v>
      </c>
      <c r="B2011" s="308"/>
      <c r="C2011" s="308" t="s">
        <v>8138</v>
      </c>
      <c r="D2011" s="308">
        <f>IFERROR(__xludf.DUMMYFUNCTION("SPLIT(C2011,""-"")"),2031.0)</f>
        <v>2031</v>
      </c>
      <c r="E2011" s="308" t="str">
        <f>IFERROR(__xludf.DUMMYFUNCTION("""COMPUTED_VALUE""")," K")</f>
        <v> K</v>
      </c>
      <c r="F2011" s="309" t="s">
        <v>34</v>
      </c>
      <c r="G2011" s="308" t="s">
        <v>8139</v>
      </c>
      <c r="H2011" s="308" t="s">
        <v>8140</v>
      </c>
      <c r="I2011" s="316">
        <v>2012.0</v>
      </c>
      <c r="J2011" s="319"/>
      <c r="K2011" s="308"/>
      <c r="L2011" s="311">
        <v>2012.0</v>
      </c>
      <c r="M2011" s="308" t="s">
        <v>8141</v>
      </c>
      <c r="N2011" s="308" t="s">
        <v>439</v>
      </c>
      <c r="O2011" s="312" t="s">
        <v>8142</v>
      </c>
      <c r="P2011" s="308" t="s">
        <v>8143</v>
      </c>
      <c r="Q2011" s="308"/>
      <c r="R2011" s="308"/>
      <c r="S2011" s="308" t="s">
        <v>81</v>
      </c>
      <c r="T2011" s="311" t="s">
        <v>35048</v>
      </c>
      <c r="U2011" s="308"/>
      <c r="V2011" s="312"/>
    </row>
    <row r="2012">
      <c r="A2012" s="308">
        <v>2011.0</v>
      </c>
      <c r="B2012" s="308"/>
      <c r="C2012" s="308" t="s">
        <v>8144</v>
      </c>
      <c r="D2012" s="308">
        <f>IFERROR(__xludf.DUMMYFUNCTION("SPLIT(C2012,""-"")"),2032.0)</f>
        <v>2032</v>
      </c>
      <c r="E2012" s="308" t="str">
        <f>IFERROR(__xludf.DUMMYFUNCTION("""COMPUTED_VALUE""")," K")</f>
        <v> K</v>
      </c>
      <c r="F2012" s="309" t="s">
        <v>34</v>
      </c>
      <c r="G2012" s="308" t="s">
        <v>8139</v>
      </c>
      <c r="H2012" s="308" t="s">
        <v>8145</v>
      </c>
      <c r="I2012" s="316">
        <v>2009.0</v>
      </c>
      <c r="J2012" s="319"/>
      <c r="K2012" s="308"/>
      <c r="L2012" s="311">
        <v>2009.0</v>
      </c>
      <c r="M2012" s="308" t="s">
        <v>8141</v>
      </c>
      <c r="N2012" s="308"/>
      <c r="O2012" s="312" t="s">
        <v>8146</v>
      </c>
      <c r="P2012" s="308" t="s">
        <v>8147</v>
      </c>
      <c r="Q2012" s="308"/>
      <c r="R2012" s="308"/>
      <c r="S2012" s="308" t="s">
        <v>49</v>
      </c>
      <c r="T2012" s="311" t="s">
        <v>51</v>
      </c>
      <c r="U2012" s="308" t="s">
        <v>530</v>
      </c>
      <c r="V2012" s="312"/>
    </row>
    <row r="2013">
      <c r="A2013" s="308">
        <v>2012.0</v>
      </c>
      <c r="B2013" s="308"/>
      <c r="C2013" s="308" t="s">
        <v>8148</v>
      </c>
      <c r="D2013" s="308">
        <f>IFERROR(__xludf.DUMMYFUNCTION("SPLIT(C2013,""-"")"),2033.0)</f>
        <v>2033</v>
      </c>
      <c r="E2013" s="308" t="str">
        <f>IFERROR(__xludf.DUMMYFUNCTION("""COMPUTED_VALUE""")," F")</f>
        <v> F</v>
      </c>
      <c r="F2013" s="309" t="s">
        <v>34</v>
      </c>
      <c r="G2013" s="308" t="s">
        <v>8149</v>
      </c>
      <c r="H2013" s="308" t="s">
        <v>8150</v>
      </c>
      <c r="I2013" s="316">
        <v>2010.0</v>
      </c>
      <c r="J2013" s="319"/>
      <c r="K2013" s="308"/>
      <c r="L2013" s="311">
        <v>2010.0</v>
      </c>
      <c r="M2013" s="308" t="s">
        <v>8151</v>
      </c>
      <c r="N2013" s="308"/>
      <c r="O2013" s="312" t="s">
        <v>635</v>
      </c>
      <c r="P2013" s="308" t="s">
        <v>8152</v>
      </c>
      <c r="Q2013" s="308"/>
      <c r="R2013" s="308"/>
      <c r="S2013" s="308" t="s">
        <v>81</v>
      </c>
      <c r="T2013" s="311" t="s">
        <v>75</v>
      </c>
      <c r="U2013" s="308"/>
      <c r="V2013" s="312"/>
    </row>
    <row r="2014">
      <c r="A2014" s="308">
        <v>2013.0</v>
      </c>
      <c r="B2014" s="308" t="s">
        <v>3933</v>
      </c>
      <c r="C2014" s="308" t="s">
        <v>8153</v>
      </c>
      <c r="D2014" s="308">
        <f>IFERROR(__xludf.DUMMYFUNCTION("SPLIT(C2014,""-"")"),2034.0)</f>
        <v>2034</v>
      </c>
      <c r="E2014" s="308" t="str">
        <f>IFERROR(__xludf.DUMMYFUNCTION("""COMPUTED_VALUE""")," K")</f>
        <v> K</v>
      </c>
      <c r="F2014" s="309" t="s">
        <v>34</v>
      </c>
      <c r="G2014" s="308" t="s">
        <v>8154</v>
      </c>
      <c r="H2014" s="308" t="s">
        <v>8155</v>
      </c>
      <c r="I2014" s="314">
        <v>40418.0</v>
      </c>
      <c r="J2014" s="319">
        <f>IFERROR(__xludf.DUMMYFUNCTION("SPLIT(I2014,""/"")"),28.0)</f>
        <v>28</v>
      </c>
      <c r="K2014" s="308">
        <f>IFERROR(__xludf.DUMMYFUNCTION("""COMPUTED_VALUE"""),8.0)</f>
        <v>8</v>
      </c>
      <c r="L2014" s="308">
        <f>IFERROR(__xludf.DUMMYFUNCTION("""COMPUTED_VALUE"""),2010.0)</f>
        <v>2010</v>
      </c>
      <c r="M2014" s="308" t="s">
        <v>8156</v>
      </c>
      <c r="N2014" s="308"/>
      <c r="O2014" s="312" t="s">
        <v>8157</v>
      </c>
      <c r="P2014" s="308" t="s">
        <v>36461</v>
      </c>
      <c r="Q2014" s="308"/>
      <c r="R2014" s="308"/>
      <c r="S2014" s="308" t="s">
        <v>49</v>
      </c>
      <c r="T2014" s="308" t="s">
        <v>51</v>
      </c>
      <c r="U2014" s="308" t="s">
        <v>125</v>
      </c>
      <c r="V2014" s="312"/>
    </row>
    <row r="2015">
      <c r="A2015" s="308">
        <v>2014.0</v>
      </c>
      <c r="B2015" s="308"/>
      <c r="C2015" s="308" t="s">
        <v>8159</v>
      </c>
      <c r="D2015" s="308">
        <f>IFERROR(__xludf.DUMMYFUNCTION("SPLIT(C2015,""-"")"),2035.0)</f>
        <v>2035</v>
      </c>
      <c r="E2015" s="308" t="str">
        <f>IFERROR(__xludf.DUMMYFUNCTION("""COMPUTED_VALUE""")," K")</f>
        <v> K</v>
      </c>
      <c r="F2015" s="309" t="s">
        <v>34</v>
      </c>
      <c r="G2015" s="308" t="s">
        <v>8160</v>
      </c>
      <c r="H2015" s="308" t="s">
        <v>8161</v>
      </c>
      <c r="I2015" s="314">
        <v>40015.0</v>
      </c>
      <c r="J2015" s="319">
        <f>IFERROR(__xludf.DUMMYFUNCTION("SPLIT(I2015,""/"")"),21.0)</f>
        <v>21</v>
      </c>
      <c r="K2015" s="308">
        <f>IFERROR(__xludf.DUMMYFUNCTION("""COMPUTED_VALUE"""),7.0)</f>
        <v>7</v>
      </c>
      <c r="L2015" s="308">
        <f>IFERROR(__xludf.DUMMYFUNCTION("""COMPUTED_VALUE"""),2009.0)</f>
        <v>2009</v>
      </c>
      <c r="M2015" s="308" t="s">
        <v>8162</v>
      </c>
      <c r="N2015" s="308"/>
      <c r="O2015" s="312" t="s">
        <v>36462</v>
      </c>
      <c r="P2015" s="308" t="s">
        <v>8164</v>
      </c>
      <c r="Q2015" s="308"/>
      <c r="R2015" s="308"/>
      <c r="S2015" s="308" t="s">
        <v>81</v>
      </c>
      <c r="T2015" s="308" t="s">
        <v>34264</v>
      </c>
      <c r="U2015" s="308"/>
      <c r="V2015" s="312"/>
    </row>
    <row r="2016">
      <c r="A2016" s="308">
        <v>2015.0</v>
      </c>
      <c r="B2016" s="308"/>
      <c r="C2016" s="308" t="s">
        <v>8165</v>
      </c>
      <c r="D2016" s="308">
        <f>IFERROR(__xludf.DUMMYFUNCTION("SPLIT(C2016,""-"")"),2036.0)</f>
        <v>2036</v>
      </c>
      <c r="E2016" s="308" t="str">
        <f>IFERROR(__xludf.DUMMYFUNCTION("""COMPUTED_VALUE""")," P")</f>
        <v> P</v>
      </c>
      <c r="F2016" s="312" t="s">
        <v>37</v>
      </c>
      <c r="G2016" s="308" t="s">
        <v>8166</v>
      </c>
      <c r="H2016" s="308" t="s">
        <v>8167</v>
      </c>
      <c r="I2016" s="310">
        <v>41977.0</v>
      </c>
      <c r="J2016" s="319">
        <f>IFERROR(__xludf.DUMMYFUNCTION("SPLIT(I2016,""/"")"),4.0)</f>
        <v>4</v>
      </c>
      <c r="K2016" s="308">
        <f>IFERROR(__xludf.DUMMYFUNCTION("""COMPUTED_VALUE"""),12.0)</f>
        <v>12</v>
      </c>
      <c r="L2016" s="308">
        <f>IFERROR(__xludf.DUMMYFUNCTION("""COMPUTED_VALUE"""),2014.0)</f>
        <v>2014</v>
      </c>
      <c r="M2016" s="308" t="s">
        <v>36463</v>
      </c>
      <c r="N2016" s="308"/>
      <c r="O2016" s="312" t="s">
        <v>8169</v>
      </c>
      <c r="P2016" s="308" t="s">
        <v>8170</v>
      </c>
      <c r="Q2016" s="308"/>
      <c r="R2016" s="308"/>
      <c r="S2016" s="308" t="s">
        <v>81</v>
      </c>
      <c r="T2016" s="308" t="s">
        <v>98</v>
      </c>
      <c r="U2016" s="308"/>
      <c r="V2016" s="312"/>
    </row>
    <row r="2017">
      <c r="A2017" s="308">
        <v>2016.0</v>
      </c>
      <c r="B2017" s="308"/>
      <c r="C2017" s="308" t="s">
        <v>8171</v>
      </c>
      <c r="D2017" s="308">
        <f>IFERROR(__xludf.DUMMYFUNCTION("SPLIT(C2017,""-"")"),2037.0)</f>
        <v>2037</v>
      </c>
      <c r="E2017" s="308" t="str">
        <f>IFERROR(__xludf.DUMMYFUNCTION("""COMPUTED_VALUE""")," P")</f>
        <v> P</v>
      </c>
      <c r="F2017" s="312" t="s">
        <v>37</v>
      </c>
      <c r="G2017" s="308" t="s">
        <v>8172</v>
      </c>
      <c r="H2017" s="308" t="s">
        <v>8173</v>
      </c>
      <c r="I2017" s="310">
        <v>41312.0</v>
      </c>
      <c r="J2017" s="319">
        <f>IFERROR(__xludf.DUMMYFUNCTION("SPLIT(I2017,""/"")"),7.0)</f>
        <v>7</v>
      </c>
      <c r="K2017" s="308">
        <f>IFERROR(__xludf.DUMMYFUNCTION("""COMPUTED_VALUE"""),2.0)</f>
        <v>2</v>
      </c>
      <c r="L2017" s="308">
        <f>IFERROR(__xludf.DUMMYFUNCTION("""COMPUTED_VALUE"""),2013.0)</f>
        <v>2013</v>
      </c>
      <c r="M2017" s="308" t="s">
        <v>8174</v>
      </c>
      <c r="N2017" s="308"/>
      <c r="O2017" s="312" t="s">
        <v>8175</v>
      </c>
      <c r="P2017" s="308" t="s">
        <v>8176</v>
      </c>
      <c r="Q2017" s="308"/>
      <c r="R2017" s="308"/>
      <c r="S2017" s="308" t="s">
        <v>81</v>
      </c>
      <c r="T2017" s="308" t="s">
        <v>73</v>
      </c>
      <c r="U2017" s="308"/>
      <c r="V2017" s="312"/>
    </row>
    <row r="2018">
      <c r="A2018" s="308">
        <v>2017.0</v>
      </c>
      <c r="B2018" s="308"/>
      <c r="C2018" s="308" t="s">
        <v>8177</v>
      </c>
      <c r="D2018" s="308">
        <f>IFERROR(__xludf.DUMMYFUNCTION("SPLIT(C2018,""-"")"),2038.0)</f>
        <v>2038</v>
      </c>
      <c r="E2018" s="308" t="str">
        <f>IFERROR(__xludf.DUMMYFUNCTION("""COMPUTED_VALUE""")," P")</f>
        <v> P</v>
      </c>
      <c r="F2018" s="312" t="s">
        <v>37</v>
      </c>
      <c r="G2018" s="308" t="s">
        <v>8178</v>
      </c>
      <c r="H2018" s="308" t="s">
        <v>8179</v>
      </c>
      <c r="I2018" s="314">
        <v>41139.0</v>
      </c>
      <c r="J2018" s="319">
        <f>IFERROR(__xludf.DUMMYFUNCTION("SPLIT(I2018,""/"")"),18.0)</f>
        <v>18</v>
      </c>
      <c r="K2018" s="308">
        <f>IFERROR(__xludf.DUMMYFUNCTION("""COMPUTED_VALUE"""),8.0)</f>
        <v>8</v>
      </c>
      <c r="L2018" s="308">
        <f>IFERROR(__xludf.DUMMYFUNCTION("""COMPUTED_VALUE"""),2012.0)</f>
        <v>2012</v>
      </c>
      <c r="M2018" s="308" t="s">
        <v>36464</v>
      </c>
      <c r="N2018" s="308"/>
      <c r="O2018" s="312" t="s">
        <v>8181</v>
      </c>
      <c r="P2018" s="308" t="s">
        <v>8182</v>
      </c>
      <c r="Q2018" s="308"/>
      <c r="R2018" s="308"/>
      <c r="S2018" s="308" t="s">
        <v>81</v>
      </c>
      <c r="T2018" s="311" t="s">
        <v>96</v>
      </c>
      <c r="U2018" s="308" t="s">
        <v>2291</v>
      </c>
      <c r="V2018" s="312"/>
    </row>
    <row r="2019">
      <c r="A2019" s="308">
        <v>2018.0</v>
      </c>
      <c r="B2019" s="308"/>
      <c r="C2019" s="308" t="s">
        <v>8183</v>
      </c>
      <c r="D2019" s="308">
        <f>IFERROR(__xludf.DUMMYFUNCTION("SPLIT(C2019,""-"")"),2039.0)</f>
        <v>2039</v>
      </c>
      <c r="E2019" s="308" t="str">
        <f>IFERROR(__xludf.DUMMYFUNCTION("""COMPUTED_VALUE""")," S")</f>
        <v> S</v>
      </c>
      <c r="F2019" s="312" t="s">
        <v>39</v>
      </c>
      <c r="G2019" s="308" t="s">
        <v>8184</v>
      </c>
      <c r="H2019" s="308" t="s">
        <v>8185</v>
      </c>
      <c r="I2019" s="310">
        <v>41672.0</v>
      </c>
      <c r="J2019" s="319">
        <f>IFERROR(__xludf.DUMMYFUNCTION("SPLIT(I2019,""/"")"),2.0)</f>
        <v>2</v>
      </c>
      <c r="K2019" s="308">
        <f>IFERROR(__xludf.DUMMYFUNCTION("""COMPUTED_VALUE"""),2.0)</f>
        <v>2</v>
      </c>
      <c r="L2019" s="308">
        <f>IFERROR(__xludf.DUMMYFUNCTION("""COMPUTED_VALUE"""),2014.0)</f>
        <v>2014</v>
      </c>
      <c r="M2019" s="308" t="s">
        <v>36465</v>
      </c>
      <c r="N2019" s="308"/>
      <c r="O2019" s="312" t="s">
        <v>635</v>
      </c>
      <c r="P2019" s="308" t="s">
        <v>6778</v>
      </c>
      <c r="Q2019" s="308"/>
      <c r="R2019" s="308"/>
      <c r="S2019" s="311" t="s">
        <v>49</v>
      </c>
      <c r="T2019" s="309" t="s">
        <v>67</v>
      </c>
      <c r="U2019" s="312"/>
      <c r="V2019" s="312"/>
    </row>
    <row r="2020">
      <c r="A2020" s="308">
        <v>2019.0</v>
      </c>
      <c r="B2020" s="308"/>
      <c r="C2020" s="308" t="s">
        <v>8187</v>
      </c>
      <c r="D2020" s="308">
        <f>IFERROR(__xludf.DUMMYFUNCTION("SPLIT(C2020,""-"")"),2040.0)</f>
        <v>2040</v>
      </c>
      <c r="E2020" s="308" t="str">
        <f>IFERROR(__xludf.DUMMYFUNCTION("""COMPUTED_VALUE""")," S")</f>
        <v> S</v>
      </c>
      <c r="F2020" s="312" t="s">
        <v>39</v>
      </c>
      <c r="G2020" s="308" t="s">
        <v>8184</v>
      </c>
      <c r="H2020" s="308" t="s">
        <v>8188</v>
      </c>
      <c r="I2020" s="310">
        <v>41672.0</v>
      </c>
      <c r="J2020" s="319">
        <f>IFERROR(__xludf.DUMMYFUNCTION("SPLIT(I2020,""/"")"),2.0)</f>
        <v>2</v>
      </c>
      <c r="K2020" s="308">
        <f>IFERROR(__xludf.DUMMYFUNCTION("""COMPUTED_VALUE"""),2.0)</f>
        <v>2</v>
      </c>
      <c r="L2020" s="308">
        <f>IFERROR(__xludf.DUMMYFUNCTION("""COMPUTED_VALUE"""),2014.0)</f>
        <v>2014</v>
      </c>
      <c r="M2020" s="308" t="s">
        <v>36465</v>
      </c>
      <c r="N2020" s="308"/>
      <c r="O2020" s="312" t="s">
        <v>635</v>
      </c>
      <c r="P2020" s="308" t="s">
        <v>6778</v>
      </c>
      <c r="Q2020" s="308"/>
      <c r="R2020" s="308"/>
      <c r="S2020" s="311" t="s">
        <v>49</v>
      </c>
      <c r="T2020" s="309" t="s">
        <v>67</v>
      </c>
      <c r="U2020" s="312"/>
      <c r="V2020" s="312"/>
    </row>
    <row r="2021">
      <c r="A2021" s="308">
        <v>2020.0</v>
      </c>
      <c r="B2021" s="308"/>
      <c r="C2021" s="308" t="s">
        <v>8189</v>
      </c>
      <c r="D2021" s="308">
        <f>IFERROR(__xludf.DUMMYFUNCTION("SPLIT(C2021,""-"")"),2041.0)</f>
        <v>2041</v>
      </c>
      <c r="E2021" s="308" t="str">
        <f>IFERROR(__xludf.DUMMYFUNCTION("""COMPUTED_VALUE""")," S")</f>
        <v> S</v>
      </c>
      <c r="F2021" s="312" t="s">
        <v>39</v>
      </c>
      <c r="G2021" s="308" t="s">
        <v>8190</v>
      </c>
      <c r="H2021" s="308" t="s">
        <v>8191</v>
      </c>
      <c r="I2021" s="310">
        <v>40640.0</v>
      </c>
      <c r="J2021" s="319">
        <f>IFERROR(__xludf.DUMMYFUNCTION("SPLIT(I2021,""/"")"),7.0)</f>
        <v>7</v>
      </c>
      <c r="K2021" s="308">
        <f>IFERROR(__xludf.DUMMYFUNCTION("""COMPUTED_VALUE"""),4.0)</f>
        <v>4</v>
      </c>
      <c r="L2021" s="308">
        <f>IFERROR(__xludf.DUMMYFUNCTION("""COMPUTED_VALUE"""),2011.0)</f>
        <v>2011</v>
      </c>
      <c r="M2021" s="308" t="s">
        <v>8192</v>
      </c>
      <c r="N2021" s="308"/>
      <c r="O2021" s="312" t="s">
        <v>8193</v>
      </c>
      <c r="P2021" s="308" t="s">
        <v>36466</v>
      </c>
      <c r="Q2021" s="308"/>
      <c r="R2021" s="308"/>
      <c r="S2021" s="308" t="s">
        <v>49</v>
      </c>
      <c r="T2021" s="308" t="s">
        <v>51</v>
      </c>
      <c r="U2021" s="308"/>
      <c r="V2021" s="312"/>
    </row>
    <row r="2022">
      <c r="A2022" s="308">
        <v>2021.0</v>
      </c>
      <c r="B2022" s="308"/>
      <c r="C2022" s="308" t="s">
        <v>8195</v>
      </c>
      <c r="D2022" s="308">
        <f>IFERROR(__xludf.DUMMYFUNCTION("SPLIT(C2022,""-"")"),2042.0)</f>
        <v>2042</v>
      </c>
      <c r="E2022" s="308" t="str">
        <f>IFERROR(__xludf.DUMMYFUNCTION("""COMPUTED_VALUE""")," S")</f>
        <v> S</v>
      </c>
      <c r="F2022" s="312" t="s">
        <v>39</v>
      </c>
      <c r="G2022" s="308" t="s">
        <v>8196</v>
      </c>
      <c r="H2022" s="308" t="s">
        <v>8197</v>
      </c>
      <c r="I2022" s="316">
        <v>2011.0</v>
      </c>
      <c r="J2022" s="319"/>
      <c r="K2022" s="308"/>
      <c r="L2022" s="311">
        <v>2011.0</v>
      </c>
      <c r="M2022" s="308" t="s">
        <v>8198</v>
      </c>
      <c r="N2022" s="308"/>
      <c r="O2022" s="312" t="s">
        <v>8199</v>
      </c>
      <c r="P2022" s="308" t="s">
        <v>36467</v>
      </c>
      <c r="Q2022" s="308"/>
      <c r="R2022" s="308"/>
      <c r="S2022" s="308" t="s">
        <v>81</v>
      </c>
      <c r="T2022" s="308" t="s">
        <v>75</v>
      </c>
      <c r="U2022" s="312"/>
      <c r="V2022" s="312"/>
    </row>
    <row r="2023">
      <c r="A2023" s="308">
        <v>2022.0</v>
      </c>
      <c r="B2023" s="308"/>
      <c r="C2023" s="308" t="s">
        <v>8201</v>
      </c>
      <c r="D2023" s="308">
        <f>IFERROR(__xludf.DUMMYFUNCTION("SPLIT(C2023,""-"")"),2043.0)</f>
        <v>2043</v>
      </c>
      <c r="E2023" s="308" t="str">
        <f>IFERROR(__xludf.DUMMYFUNCTION("""COMPUTED_VALUE""")," S")</f>
        <v> S</v>
      </c>
      <c r="F2023" s="312" t="s">
        <v>39</v>
      </c>
      <c r="G2023" s="308" t="s">
        <v>8202</v>
      </c>
      <c r="H2023" s="308" t="s">
        <v>8203</v>
      </c>
      <c r="I2023" s="314">
        <v>41744.0</v>
      </c>
      <c r="J2023" s="319">
        <f>IFERROR(__xludf.DUMMYFUNCTION("SPLIT(I2023,""/"")"),15.0)</f>
        <v>15</v>
      </c>
      <c r="K2023" s="308">
        <f>IFERROR(__xludf.DUMMYFUNCTION("""COMPUTED_VALUE"""),4.0)</f>
        <v>4</v>
      </c>
      <c r="L2023" s="308">
        <f>IFERROR(__xludf.DUMMYFUNCTION("""COMPUTED_VALUE"""),2014.0)</f>
        <v>2014</v>
      </c>
      <c r="M2023" s="308" t="s">
        <v>8204</v>
      </c>
      <c r="N2023" s="308"/>
      <c r="O2023" s="312" t="s">
        <v>635</v>
      </c>
      <c r="P2023" s="308" t="s">
        <v>36468</v>
      </c>
      <c r="Q2023" s="308"/>
      <c r="R2023" s="308"/>
      <c r="S2023" s="308" t="s">
        <v>81</v>
      </c>
      <c r="T2023" s="308" t="s">
        <v>75</v>
      </c>
      <c r="U2023" s="312"/>
      <c r="V2023" s="312"/>
    </row>
    <row r="2024">
      <c r="A2024" s="308">
        <v>2023.0</v>
      </c>
      <c r="B2024" s="308"/>
      <c r="C2024" s="308" t="s">
        <v>8206</v>
      </c>
      <c r="D2024" s="308">
        <f>IFERROR(__xludf.DUMMYFUNCTION("SPLIT(C2024,""-"")"),2044.0)</f>
        <v>2044</v>
      </c>
      <c r="E2024" s="308" t="str">
        <f>IFERROR(__xludf.DUMMYFUNCTION("""COMPUTED_VALUE""")," P")</f>
        <v> P</v>
      </c>
      <c r="F2024" s="312" t="s">
        <v>37</v>
      </c>
      <c r="G2024" s="308"/>
      <c r="H2024" s="308" t="s">
        <v>8207</v>
      </c>
      <c r="I2024" s="310">
        <v>40980.0</v>
      </c>
      <c r="J2024" s="319">
        <f>IFERROR(__xludf.DUMMYFUNCTION("SPLIT(I2024,""/"")"),12.0)</f>
        <v>12</v>
      </c>
      <c r="K2024" s="308">
        <f>IFERROR(__xludf.DUMMYFUNCTION("""COMPUTED_VALUE"""),3.0)</f>
        <v>3</v>
      </c>
      <c r="L2024" s="308">
        <f>IFERROR(__xludf.DUMMYFUNCTION("""COMPUTED_VALUE"""),2012.0)</f>
        <v>2012</v>
      </c>
      <c r="M2024" s="308" t="s">
        <v>8208</v>
      </c>
      <c r="N2024" s="308"/>
      <c r="O2024" s="312" t="s">
        <v>36469</v>
      </c>
      <c r="P2024" s="308" t="s">
        <v>2355</v>
      </c>
      <c r="Q2024" s="308"/>
      <c r="R2024" s="308"/>
      <c r="S2024" s="311" t="s">
        <v>49</v>
      </c>
      <c r="T2024" s="309" t="s">
        <v>77</v>
      </c>
      <c r="U2024" s="312"/>
      <c r="V2024" s="312"/>
    </row>
    <row r="2025">
      <c r="A2025" s="308">
        <v>2024.0</v>
      </c>
      <c r="B2025" s="308"/>
      <c r="C2025" s="308" t="s">
        <v>8210</v>
      </c>
      <c r="D2025" s="308">
        <f>IFERROR(__xludf.DUMMYFUNCTION("SPLIT(C2025,""-"")"),2045.0)</f>
        <v>2045</v>
      </c>
      <c r="E2025" s="308" t="str">
        <f>IFERROR(__xludf.DUMMYFUNCTION("""COMPUTED_VALUE""")," P")</f>
        <v> P</v>
      </c>
      <c r="F2025" s="312" t="s">
        <v>37</v>
      </c>
      <c r="G2025" s="308"/>
      <c r="H2025" s="308" t="s">
        <v>8211</v>
      </c>
      <c r="I2025" s="310">
        <v>40980.0</v>
      </c>
      <c r="J2025" s="319">
        <f>IFERROR(__xludf.DUMMYFUNCTION("SPLIT(I2025,""/"")"),12.0)</f>
        <v>12</v>
      </c>
      <c r="K2025" s="308">
        <f>IFERROR(__xludf.DUMMYFUNCTION("""COMPUTED_VALUE"""),3.0)</f>
        <v>3</v>
      </c>
      <c r="L2025" s="308">
        <f>IFERROR(__xludf.DUMMYFUNCTION("""COMPUTED_VALUE"""),2012.0)</f>
        <v>2012</v>
      </c>
      <c r="M2025" s="308" t="s">
        <v>8208</v>
      </c>
      <c r="N2025" s="308"/>
      <c r="O2025" s="312" t="s">
        <v>36469</v>
      </c>
      <c r="P2025" s="308" t="s">
        <v>2355</v>
      </c>
      <c r="Q2025" s="308"/>
      <c r="R2025" s="308"/>
      <c r="S2025" s="311" t="s">
        <v>49</v>
      </c>
      <c r="T2025" s="309" t="s">
        <v>77</v>
      </c>
      <c r="U2025" s="312"/>
      <c r="V2025" s="312"/>
    </row>
    <row r="2026">
      <c r="A2026" s="308">
        <v>2025.0</v>
      </c>
      <c r="B2026" s="308"/>
      <c r="C2026" s="308" t="s">
        <v>8212</v>
      </c>
      <c r="D2026" s="308">
        <f>IFERROR(__xludf.DUMMYFUNCTION("SPLIT(C2026,""-"")"),2046.0)</f>
        <v>2046</v>
      </c>
      <c r="E2026" s="308" t="str">
        <f>IFERROR(__xludf.DUMMYFUNCTION("""COMPUTED_VALUE""")," K")</f>
        <v> K</v>
      </c>
      <c r="F2026" s="309" t="s">
        <v>34</v>
      </c>
      <c r="G2026" s="308" t="s">
        <v>8213</v>
      </c>
      <c r="H2026" s="308" t="s">
        <v>8150</v>
      </c>
      <c r="I2026" s="314">
        <v>41384.0</v>
      </c>
      <c r="J2026" s="319">
        <f>IFERROR(__xludf.DUMMYFUNCTION("SPLIT(I2026,""/"")"),20.0)</f>
        <v>20</v>
      </c>
      <c r="K2026" s="308">
        <f>IFERROR(__xludf.DUMMYFUNCTION("""COMPUTED_VALUE"""),4.0)</f>
        <v>4</v>
      </c>
      <c r="L2026" s="308">
        <f>IFERROR(__xludf.DUMMYFUNCTION("""COMPUTED_VALUE"""),2013.0)</f>
        <v>2013</v>
      </c>
      <c r="M2026" s="308" t="s">
        <v>8214</v>
      </c>
      <c r="N2026" s="308"/>
      <c r="O2026" s="312" t="s">
        <v>8215</v>
      </c>
      <c r="P2026" s="308" t="s">
        <v>36470</v>
      </c>
      <c r="Q2026" s="308"/>
      <c r="R2026" s="308"/>
      <c r="S2026" s="308" t="s">
        <v>81</v>
      </c>
      <c r="T2026" s="311" t="s">
        <v>98</v>
      </c>
      <c r="U2026" s="308"/>
      <c r="V2026" s="312"/>
    </row>
    <row r="2027">
      <c r="A2027" s="308">
        <v>2026.0</v>
      </c>
      <c r="B2027" s="308"/>
      <c r="C2027" s="308" t="s">
        <v>8217</v>
      </c>
      <c r="D2027" s="308">
        <f>IFERROR(__xludf.DUMMYFUNCTION("SPLIT(C2027,""-"")"),2047.0)</f>
        <v>2047</v>
      </c>
      <c r="E2027" s="308" t="str">
        <f>IFERROR(__xludf.DUMMYFUNCTION("""COMPUTED_VALUE""")," K")</f>
        <v> K</v>
      </c>
      <c r="F2027" s="309" t="s">
        <v>34</v>
      </c>
      <c r="G2027" s="308" t="s">
        <v>8218</v>
      </c>
      <c r="H2027" s="308" t="s">
        <v>8219</v>
      </c>
      <c r="I2027" s="314">
        <v>41534.0</v>
      </c>
      <c r="J2027" s="319">
        <f>IFERROR(__xludf.DUMMYFUNCTION("SPLIT(I2027,""/"")"),17.0)</f>
        <v>17</v>
      </c>
      <c r="K2027" s="308">
        <f>IFERROR(__xludf.DUMMYFUNCTION("""COMPUTED_VALUE"""),9.0)</f>
        <v>9</v>
      </c>
      <c r="L2027" s="308">
        <f>IFERROR(__xludf.DUMMYFUNCTION("""COMPUTED_VALUE"""),2013.0)</f>
        <v>2013</v>
      </c>
      <c r="M2027" s="308" t="s">
        <v>8220</v>
      </c>
      <c r="N2027" s="308"/>
      <c r="O2027" s="312" t="s">
        <v>8221</v>
      </c>
      <c r="P2027" s="308" t="s">
        <v>36471</v>
      </c>
      <c r="Q2027" s="308"/>
      <c r="R2027" s="308"/>
      <c r="S2027" s="308" t="s">
        <v>81</v>
      </c>
      <c r="T2027" s="308" t="s">
        <v>34264</v>
      </c>
      <c r="U2027" s="308"/>
      <c r="V2027" s="312"/>
    </row>
    <row r="2028">
      <c r="A2028" s="308">
        <v>2027.0</v>
      </c>
      <c r="B2028" s="308"/>
      <c r="C2028" s="308" t="s">
        <v>8223</v>
      </c>
      <c r="D2028" s="308">
        <f>IFERROR(__xludf.DUMMYFUNCTION("SPLIT(C2028,""-"")"),2048.0)</f>
        <v>2048</v>
      </c>
      <c r="E2028" s="308" t="str">
        <f>IFERROR(__xludf.DUMMYFUNCTION("""COMPUTED_VALUE""")," K")</f>
        <v> K</v>
      </c>
      <c r="F2028" s="309" t="s">
        <v>34</v>
      </c>
      <c r="G2028" s="308" t="s">
        <v>8224</v>
      </c>
      <c r="H2028" s="308" t="s">
        <v>8225</v>
      </c>
      <c r="I2028" s="314">
        <v>41510.0</v>
      </c>
      <c r="J2028" s="319">
        <f>IFERROR(__xludf.DUMMYFUNCTION("SPLIT(I2028,""/"")"),24.0)</f>
        <v>24</v>
      </c>
      <c r="K2028" s="308">
        <f>IFERROR(__xludf.DUMMYFUNCTION("""COMPUTED_VALUE"""),8.0)</f>
        <v>8</v>
      </c>
      <c r="L2028" s="308">
        <f>IFERROR(__xludf.DUMMYFUNCTION("""COMPUTED_VALUE"""),2013.0)</f>
        <v>2013</v>
      </c>
      <c r="M2028" s="308" t="s">
        <v>8226</v>
      </c>
      <c r="N2028" s="308"/>
      <c r="O2028" s="312" t="s">
        <v>8227</v>
      </c>
      <c r="P2028" s="308" t="s">
        <v>36472</v>
      </c>
      <c r="Q2028" s="308"/>
      <c r="R2028" s="308"/>
      <c r="S2028" s="315" t="s">
        <v>100</v>
      </c>
      <c r="T2028" s="311" t="s">
        <v>34208</v>
      </c>
      <c r="U2028" s="308" t="s">
        <v>125</v>
      </c>
      <c r="V2028" s="312"/>
    </row>
    <row r="2029">
      <c r="A2029" s="308">
        <v>2028.0</v>
      </c>
      <c r="B2029" s="308"/>
      <c r="C2029" s="308" t="s">
        <v>8229</v>
      </c>
      <c r="D2029" s="308">
        <f>IFERROR(__xludf.DUMMYFUNCTION("SPLIT(C2029,""-"")"),2049.0)</f>
        <v>2049</v>
      </c>
      <c r="E2029" s="308" t="str">
        <f>IFERROR(__xludf.DUMMYFUNCTION("""COMPUTED_VALUE""")," K")</f>
        <v> K</v>
      </c>
      <c r="F2029" s="309" t="s">
        <v>34</v>
      </c>
      <c r="G2029" s="308" t="s">
        <v>8230</v>
      </c>
      <c r="H2029" s="308" t="s">
        <v>8231</v>
      </c>
      <c r="I2029" s="327">
        <v>40330.0</v>
      </c>
      <c r="J2029" s="319"/>
      <c r="K2029" s="311">
        <v>6.0</v>
      </c>
      <c r="L2029" s="311">
        <v>2010.0</v>
      </c>
      <c r="M2029" s="308" t="s">
        <v>8232</v>
      </c>
      <c r="N2029" s="308"/>
      <c r="O2029" s="312" t="s">
        <v>8233</v>
      </c>
      <c r="P2029" s="308" t="s">
        <v>8234</v>
      </c>
      <c r="Q2029" s="308"/>
      <c r="R2029" s="308"/>
      <c r="S2029" s="308" t="s">
        <v>81</v>
      </c>
      <c r="T2029" s="308" t="s">
        <v>34264</v>
      </c>
      <c r="U2029" s="308"/>
      <c r="V2029" s="312"/>
    </row>
    <row r="2030">
      <c r="A2030" s="308">
        <v>2029.0</v>
      </c>
      <c r="B2030" s="308"/>
      <c r="C2030" s="308" t="s">
        <v>8235</v>
      </c>
      <c r="D2030" s="308">
        <f>IFERROR(__xludf.DUMMYFUNCTION("SPLIT(C2030,""-"")"),2050.0)</f>
        <v>2050</v>
      </c>
      <c r="E2030" s="308" t="str">
        <f>IFERROR(__xludf.DUMMYFUNCTION("""COMPUTED_VALUE""")," K")</f>
        <v> K</v>
      </c>
      <c r="F2030" s="309" t="s">
        <v>34</v>
      </c>
      <c r="G2030" s="308" t="s">
        <v>8236</v>
      </c>
      <c r="H2030" s="308" t="s">
        <v>8237</v>
      </c>
      <c r="I2030" s="314">
        <v>40898.0</v>
      </c>
      <c r="J2030" s="319">
        <f>IFERROR(__xludf.DUMMYFUNCTION("SPLIT(I2030,""/"")"),21.0)</f>
        <v>21</v>
      </c>
      <c r="K2030" s="308">
        <f>IFERROR(__xludf.DUMMYFUNCTION("""COMPUTED_VALUE"""),12.0)</f>
        <v>12</v>
      </c>
      <c r="L2030" s="308">
        <f>IFERROR(__xludf.DUMMYFUNCTION("""COMPUTED_VALUE"""),2011.0)</f>
        <v>2011</v>
      </c>
      <c r="M2030" s="308" t="s">
        <v>8238</v>
      </c>
      <c r="N2030" s="308"/>
      <c r="O2030" s="312" t="s">
        <v>8239</v>
      </c>
      <c r="P2030" s="308" t="s">
        <v>8240</v>
      </c>
      <c r="Q2030" s="308"/>
      <c r="R2030" s="308"/>
      <c r="S2030" s="308" t="s">
        <v>81</v>
      </c>
      <c r="T2030" s="308" t="s">
        <v>34264</v>
      </c>
      <c r="U2030" s="308"/>
      <c r="V2030" s="312"/>
    </row>
    <row r="2031">
      <c r="A2031" s="308">
        <v>2030.0</v>
      </c>
      <c r="B2031" s="308"/>
      <c r="C2031" s="308" t="s">
        <v>8241</v>
      </c>
      <c r="D2031" s="308">
        <f>IFERROR(__xludf.DUMMYFUNCTION("SPLIT(C2031,""-"")"),2051.0)</f>
        <v>2051</v>
      </c>
      <c r="E2031" s="308" t="str">
        <f>IFERROR(__xludf.DUMMYFUNCTION("""COMPUTED_VALUE""")," K")</f>
        <v> K</v>
      </c>
      <c r="F2031" s="309" t="s">
        <v>34</v>
      </c>
      <c r="G2031" s="308" t="s">
        <v>8242</v>
      </c>
      <c r="H2031" s="308" t="s">
        <v>8243</v>
      </c>
      <c r="I2031" s="316">
        <v>2010.0</v>
      </c>
      <c r="J2031" s="319"/>
      <c r="K2031" s="308"/>
      <c r="L2031" s="311">
        <v>2010.0</v>
      </c>
      <c r="M2031" s="308" t="s">
        <v>8244</v>
      </c>
      <c r="N2031" s="308"/>
      <c r="O2031" s="312" t="s">
        <v>8245</v>
      </c>
      <c r="P2031" s="308" t="s">
        <v>36159</v>
      </c>
      <c r="Q2031" s="308"/>
      <c r="R2031" s="308" t="s">
        <v>1496</v>
      </c>
      <c r="S2031" s="315" t="s">
        <v>100</v>
      </c>
      <c r="T2031" s="311" t="s">
        <v>34208</v>
      </c>
      <c r="U2031" s="308" t="s">
        <v>530</v>
      </c>
      <c r="V2031" s="312"/>
    </row>
    <row r="2032">
      <c r="A2032" s="308">
        <v>2031.0</v>
      </c>
      <c r="B2032" s="308"/>
      <c r="C2032" s="308" t="s">
        <v>8246</v>
      </c>
      <c r="D2032" s="308">
        <f>IFERROR(__xludf.DUMMYFUNCTION("SPLIT(C2032,""-"")"),2052.0)</f>
        <v>2052</v>
      </c>
      <c r="E2032" s="308" t="str">
        <f>IFERROR(__xludf.DUMMYFUNCTION("""COMPUTED_VALUE""")," K")</f>
        <v> K</v>
      </c>
      <c r="F2032" s="309" t="s">
        <v>34</v>
      </c>
      <c r="G2032" s="308" t="s">
        <v>8247</v>
      </c>
      <c r="H2032" s="308" t="s">
        <v>36473</v>
      </c>
      <c r="I2032" s="310">
        <v>41671.0</v>
      </c>
      <c r="J2032" s="319">
        <f>IFERROR(__xludf.DUMMYFUNCTION("SPLIT(I2032,""/"")"),1.0)</f>
        <v>1</v>
      </c>
      <c r="K2032" s="308">
        <f>IFERROR(__xludf.DUMMYFUNCTION("""COMPUTED_VALUE"""),2.0)</f>
        <v>2</v>
      </c>
      <c r="L2032" s="308">
        <f>IFERROR(__xludf.DUMMYFUNCTION("""COMPUTED_VALUE"""),2014.0)</f>
        <v>2014</v>
      </c>
      <c r="M2032" s="308" t="s">
        <v>8249</v>
      </c>
      <c r="N2032" s="308"/>
      <c r="O2032" s="312" t="s">
        <v>8250</v>
      </c>
      <c r="P2032" s="308" t="s">
        <v>8251</v>
      </c>
      <c r="Q2032" s="308"/>
      <c r="R2032" s="308"/>
      <c r="S2032" s="308" t="s">
        <v>81</v>
      </c>
      <c r="T2032" s="308" t="s">
        <v>75</v>
      </c>
      <c r="U2032" s="308"/>
      <c r="V2032" s="312"/>
    </row>
    <row r="2033">
      <c r="A2033" s="308">
        <v>2032.0</v>
      </c>
      <c r="B2033" s="308"/>
      <c r="C2033" s="308" t="s">
        <v>8252</v>
      </c>
      <c r="D2033" s="308">
        <f>IFERROR(__xludf.DUMMYFUNCTION("SPLIT(C2033,""-"")"),2053.0)</f>
        <v>2053</v>
      </c>
      <c r="E2033" s="308" t="str">
        <f>IFERROR(__xludf.DUMMYFUNCTION("""COMPUTED_VALUE""")," K")</f>
        <v> K</v>
      </c>
      <c r="F2033" s="309" t="s">
        <v>34</v>
      </c>
      <c r="G2033" s="308" t="s">
        <v>8247</v>
      </c>
      <c r="H2033" s="308" t="s">
        <v>36474</v>
      </c>
      <c r="I2033" s="310">
        <v>41671.0</v>
      </c>
      <c r="J2033" s="319">
        <f>IFERROR(__xludf.DUMMYFUNCTION("SPLIT(I2033,""/"")"),1.0)</f>
        <v>1</v>
      </c>
      <c r="K2033" s="308">
        <f>IFERROR(__xludf.DUMMYFUNCTION("""COMPUTED_VALUE"""),2.0)</f>
        <v>2</v>
      </c>
      <c r="L2033" s="308">
        <f>IFERROR(__xludf.DUMMYFUNCTION("""COMPUTED_VALUE"""),2014.0)</f>
        <v>2014</v>
      </c>
      <c r="M2033" s="308" t="s">
        <v>8249</v>
      </c>
      <c r="N2033" s="308"/>
      <c r="O2033" s="312" t="s">
        <v>8250</v>
      </c>
      <c r="P2033" s="308" t="s">
        <v>8254</v>
      </c>
      <c r="Q2033" s="308"/>
      <c r="R2033" s="308"/>
      <c r="S2033" s="311" t="s">
        <v>79</v>
      </c>
      <c r="T2033" s="311" t="s">
        <v>79</v>
      </c>
      <c r="U2033" s="308"/>
      <c r="V2033" s="312"/>
    </row>
    <row r="2034">
      <c r="A2034" s="308">
        <v>2033.0</v>
      </c>
      <c r="B2034" s="308"/>
      <c r="C2034" s="308" t="s">
        <v>8255</v>
      </c>
      <c r="D2034" s="308">
        <f>IFERROR(__xludf.DUMMYFUNCTION("SPLIT(C2034,""-"")"),2054.0)</f>
        <v>2054</v>
      </c>
      <c r="E2034" s="308" t="str">
        <f>IFERROR(__xludf.DUMMYFUNCTION("""COMPUTED_VALUE""")," K")</f>
        <v> K</v>
      </c>
      <c r="F2034" s="309" t="s">
        <v>34</v>
      </c>
      <c r="G2034" s="308" t="s">
        <v>8256</v>
      </c>
      <c r="H2034" s="308" t="s">
        <v>8257</v>
      </c>
      <c r="I2034" s="310">
        <v>39999.0</v>
      </c>
      <c r="J2034" s="319">
        <f>IFERROR(__xludf.DUMMYFUNCTION("SPLIT(I2034,""/"")"),5.0)</f>
        <v>5</v>
      </c>
      <c r="K2034" s="308">
        <f>IFERROR(__xludf.DUMMYFUNCTION("""COMPUTED_VALUE"""),7.0)</f>
        <v>7</v>
      </c>
      <c r="L2034" s="308">
        <f>IFERROR(__xludf.DUMMYFUNCTION("""COMPUTED_VALUE"""),2009.0)</f>
        <v>2009</v>
      </c>
      <c r="M2034" s="308" t="s">
        <v>8258</v>
      </c>
      <c r="N2034" s="308"/>
      <c r="O2034" s="312" t="s">
        <v>8259</v>
      </c>
      <c r="P2034" s="308" t="s">
        <v>36159</v>
      </c>
      <c r="Q2034" s="308"/>
      <c r="R2034" s="308"/>
      <c r="S2034" s="315" t="s">
        <v>100</v>
      </c>
      <c r="T2034" s="311" t="s">
        <v>34208</v>
      </c>
      <c r="U2034" s="308" t="s">
        <v>530</v>
      </c>
      <c r="V2034" s="312"/>
    </row>
    <row r="2035">
      <c r="A2035" s="308">
        <v>2034.0</v>
      </c>
      <c r="B2035" s="308"/>
      <c r="C2035" s="308" t="s">
        <v>8260</v>
      </c>
      <c r="D2035" s="308">
        <f>IFERROR(__xludf.DUMMYFUNCTION("SPLIT(C2035,""-"")"),2055.0)</f>
        <v>2055</v>
      </c>
      <c r="E2035" s="308" t="str">
        <f>IFERROR(__xludf.DUMMYFUNCTION("""COMPUTED_VALUE""")," K")</f>
        <v> K</v>
      </c>
      <c r="F2035" s="309" t="s">
        <v>34</v>
      </c>
      <c r="G2035" s="308" t="s">
        <v>8261</v>
      </c>
      <c r="H2035" s="308" t="s">
        <v>8262</v>
      </c>
      <c r="I2035" s="314">
        <v>40016.0</v>
      </c>
      <c r="J2035" s="319">
        <f>IFERROR(__xludf.DUMMYFUNCTION("SPLIT(I2035,""/"")"),22.0)</f>
        <v>22</v>
      </c>
      <c r="K2035" s="308">
        <f>IFERROR(__xludf.DUMMYFUNCTION("""COMPUTED_VALUE"""),7.0)</f>
        <v>7</v>
      </c>
      <c r="L2035" s="308">
        <f>IFERROR(__xludf.DUMMYFUNCTION("""COMPUTED_VALUE"""),2009.0)</f>
        <v>2009</v>
      </c>
      <c r="M2035" s="308" t="s">
        <v>8263</v>
      </c>
      <c r="N2035" s="308"/>
      <c r="O2035" s="312" t="s">
        <v>8264</v>
      </c>
      <c r="P2035" s="308" t="s">
        <v>6055</v>
      </c>
      <c r="Q2035" s="308"/>
      <c r="R2035" s="308"/>
      <c r="S2035" s="315" t="s">
        <v>100</v>
      </c>
      <c r="T2035" s="311" t="s">
        <v>34208</v>
      </c>
      <c r="U2035" s="308" t="s">
        <v>530</v>
      </c>
      <c r="V2035" s="312"/>
    </row>
    <row r="2036">
      <c r="A2036" s="308">
        <v>2035.0</v>
      </c>
      <c r="B2036" s="308"/>
      <c r="C2036" s="308" t="s">
        <v>8266</v>
      </c>
      <c r="D2036" s="308">
        <f>IFERROR(__xludf.DUMMYFUNCTION("SPLIT(C2036,""-"")"),2056.0)</f>
        <v>2056</v>
      </c>
      <c r="E2036" s="308" t="str">
        <f>IFERROR(__xludf.DUMMYFUNCTION("""COMPUTED_VALUE""")," K")</f>
        <v> K</v>
      </c>
      <c r="F2036" s="309" t="s">
        <v>34</v>
      </c>
      <c r="G2036" s="308" t="s">
        <v>8267</v>
      </c>
      <c r="H2036" s="308" t="s">
        <v>8268</v>
      </c>
      <c r="I2036" s="322"/>
      <c r="J2036" s="319"/>
      <c r="K2036" s="308"/>
      <c r="L2036" s="311" t="s">
        <v>79</v>
      </c>
      <c r="M2036" s="308" t="s">
        <v>8269</v>
      </c>
      <c r="N2036" s="308"/>
      <c r="O2036" s="312" t="s">
        <v>8270</v>
      </c>
      <c r="P2036" s="308" t="s">
        <v>36159</v>
      </c>
      <c r="Q2036" s="308"/>
      <c r="R2036" s="308"/>
      <c r="S2036" s="315" t="s">
        <v>100</v>
      </c>
      <c r="T2036" s="311" t="s">
        <v>34208</v>
      </c>
      <c r="U2036" s="308" t="s">
        <v>530</v>
      </c>
      <c r="V2036" s="312"/>
    </row>
    <row r="2037">
      <c r="A2037" s="308">
        <v>2036.0</v>
      </c>
      <c r="B2037" s="308"/>
      <c r="C2037" s="308" t="s">
        <v>8271</v>
      </c>
      <c r="D2037" s="308">
        <f>IFERROR(__xludf.DUMMYFUNCTION("SPLIT(C2037,""-"")"),2057.0)</f>
        <v>2057</v>
      </c>
      <c r="E2037" s="308" t="str">
        <f>IFERROR(__xludf.DUMMYFUNCTION("""COMPUTED_VALUE""")," I")</f>
        <v> I</v>
      </c>
      <c r="F2037" s="309" t="s">
        <v>31</v>
      </c>
      <c r="G2037" s="308" t="s">
        <v>8272</v>
      </c>
      <c r="H2037" s="308" t="s">
        <v>8273</v>
      </c>
      <c r="I2037" s="316">
        <v>2011.0</v>
      </c>
      <c r="J2037" s="319"/>
      <c r="K2037" s="308"/>
      <c r="L2037" s="311">
        <v>2011.0</v>
      </c>
      <c r="M2037" s="308" t="s">
        <v>8274</v>
      </c>
      <c r="N2037" s="308"/>
      <c r="O2037" s="312" t="s">
        <v>8275</v>
      </c>
      <c r="P2037" s="308" t="s">
        <v>35545</v>
      </c>
      <c r="Q2037" s="308"/>
      <c r="R2037" s="308"/>
      <c r="S2037" s="308" t="s">
        <v>49</v>
      </c>
      <c r="T2037" s="308" t="s">
        <v>51</v>
      </c>
      <c r="U2037" s="308" t="s">
        <v>31</v>
      </c>
      <c r="V2037" s="312"/>
    </row>
    <row r="2038">
      <c r="A2038" s="308">
        <v>2037.0</v>
      </c>
      <c r="B2038" s="308"/>
      <c r="C2038" s="308" t="s">
        <v>8276</v>
      </c>
      <c r="D2038" s="308">
        <f>IFERROR(__xludf.DUMMYFUNCTION("SPLIT(C2038,""-"")"),2058.0)</f>
        <v>2058</v>
      </c>
      <c r="E2038" s="308" t="str">
        <f>IFERROR(__xludf.DUMMYFUNCTION("""COMPUTED_VALUE""")," S")</f>
        <v> S</v>
      </c>
      <c r="F2038" s="312" t="s">
        <v>39</v>
      </c>
      <c r="G2038" s="308" t="s">
        <v>8277</v>
      </c>
      <c r="H2038" s="308" t="s">
        <v>8278</v>
      </c>
      <c r="I2038" s="314">
        <v>41485.0</v>
      </c>
      <c r="J2038" s="319">
        <f>IFERROR(__xludf.DUMMYFUNCTION("SPLIT(I2038,""/"")"),30.0)</f>
        <v>30</v>
      </c>
      <c r="K2038" s="308">
        <f>IFERROR(__xludf.DUMMYFUNCTION("""COMPUTED_VALUE"""),7.0)</f>
        <v>7</v>
      </c>
      <c r="L2038" s="308">
        <f>IFERROR(__xludf.DUMMYFUNCTION("""COMPUTED_VALUE"""),2013.0)</f>
        <v>2013</v>
      </c>
      <c r="M2038" s="308" t="s">
        <v>8279</v>
      </c>
      <c r="N2038" s="308"/>
      <c r="O2038" s="312" t="s">
        <v>8280</v>
      </c>
      <c r="P2038" s="308" t="s">
        <v>36475</v>
      </c>
      <c r="Q2038" s="308"/>
      <c r="R2038" s="308"/>
      <c r="S2038" s="308" t="s">
        <v>81</v>
      </c>
      <c r="T2038" s="308" t="s">
        <v>75</v>
      </c>
      <c r="U2038" s="312"/>
      <c r="V2038" s="312"/>
    </row>
    <row r="2039">
      <c r="A2039" s="308">
        <v>2038.0</v>
      </c>
      <c r="B2039" s="308"/>
      <c r="C2039" s="308" t="s">
        <v>8282</v>
      </c>
      <c r="D2039" s="308">
        <f>IFERROR(__xludf.DUMMYFUNCTION("SPLIT(C2039,""-"")"),2059.0)</f>
        <v>2059</v>
      </c>
      <c r="E2039" s="308" t="str">
        <f>IFERROR(__xludf.DUMMYFUNCTION("""COMPUTED_VALUE""")," S")</f>
        <v> S</v>
      </c>
      <c r="F2039" s="312" t="s">
        <v>39</v>
      </c>
      <c r="G2039" s="308" t="s">
        <v>8283</v>
      </c>
      <c r="H2039" s="308" t="s">
        <v>8284</v>
      </c>
      <c r="I2039" s="310">
        <v>41977.0</v>
      </c>
      <c r="J2039" s="319">
        <f>IFERROR(__xludf.DUMMYFUNCTION("SPLIT(I2039,""/"")"),4.0)</f>
        <v>4</v>
      </c>
      <c r="K2039" s="308">
        <f>IFERROR(__xludf.DUMMYFUNCTION("""COMPUTED_VALUE"""),12.0)</f>
        <v>12</v>
      </c>
      <c r="L2039" s="308">
        <f>IFERROR(__xludf.DUMMYFUNCTION("""COMPUTED_VALUE"""),2014.0)</f>
        <v>2014</v>
      </c>
      <c r="M2039" s="308" t="s">
        <v>8285</v>
      </c>
      <c r="N2039" s="308"/>
      <c r="O2039" s="312" t="s">
        <v>635</v>
      </c>
      <c r="P2039" s="308" t="s">
        <v>6778</v>
      </c>
      <c r="Q2039" s="308"/>
      <c r="R2039" s="312"/>
      <c r="S2039" s="311" t="s">
        <v>49</v>
      </c>
      <c r="T2039" s="309" t="s">
        <v>67</v>
      </c>
      <c r="U2039" s="308"/>
      <c r="V2039" s="312"/>
    </row>
    <row r="2040">
      <c r="A2040" s="308">
        <v>2039.0</v>
      </c>
      <c r="B2040" s="308"/>
      <c r="C2040" s="308" t="s">
        <v>8286</v>
      </c>
      <c r="D2040" s="308">
        <f>IFERROR(__xludf.DUMMYFUNCTION("SPLIT(C2040,""-"")"),2060.0)</f>
        <v>2060</v>
      </c>
      <c r="E2040" s="308" t="str">
        <f>IFERROR(__xludf.DUMMYFUNCTION("""COMPUTED_VALUE""")," S")</f>
        <v> S</v>
      </c>
      <c r="F2040" s="312" t="s">
        <v>39</v>
      </c>
      <c r="G2040" s="308" t="s">
        <v>8283</v>
      </c>
      <c r="H2040" s="308" t="s">
        <v>8287</v>
      </c>
      <c r="I2040" s="310">
        <v>41977.0</v>
      </c>
      <c r="J2040" s="319">
        <f>IFERROR(__xludf.DUMMYFUNCTION("SPLIT(I2040,""/"")"),4.0)</f>
        <v>4</v>
      </c>
      <c r="K2040" s="308">
        <f>IFERROR(__xludf.DUMMYFUNCTION("""COMPUTED_VALUE"""),12.0)</f>
        <v>12</v>
      </c>
      <c r="L2040" s="308">
        <f>IFERROR(__xludf.DUMMYFUNCTION("""COMPUTED_VALUE"""),2014.0)</f>
        <v>2014</v>
      </c>
      <c r="M2040" s="308" t="s">
        <v>8285</v>
      </c>
      <c r="N2040" s="308"/>
      <c r="O2040" s="312" t="s">
        <v>635</v>
      </c>
      <c r="P2040" s="308" t="s">
        <v>6778</v>
      </c>
      <c r="Q2040" s="308"/>
      <c r="R2040" s="308"/>
      <c r="S2040" s="311" t="s">
        <v>49</v>
      </c>
      <c r="T2040" s="309" t="s">
        <v>67</v>
      </c>
      <c r="U2040" s="312"/>
      <c r="V2040" s="312"/>
    </row>
    <row r="2041">
      <c r="A2041" s="308">
        <v>2040.0</v>
      </c>
      <c r="B2041" s="308"/>
      <c r="C2041" s="308" t="s">
        <v>8288</v>
      </c>
      <c r="D2041" s="308">
        <f>IFERROR(__xludf.DUMMYFUNCTION("SPLIT(C2041,""-"")"),2061.0)</f>
        <v>2061</v>
      </c>
      <c r="E2041" s="308" t="str">
        <f>IFERROR(__xludf.DUMMYFUNCTION("""COMPUTED_VALUE""")," S")</f>
        <v> S</v>
      </c>
      <c r="F2041" s="312" t="s">
        <v>39</v>
      </c>
      <c r="G2041" s="308" t="s">
        <v>8283</v>
      </c>
      <c r="H2041" s="308" t="s">
        <v>8289</v>
      </c>
      <c r="I2041" s="310">
        <v>41977.0</v>
      </c>
      <c r="J2041" s="319">
        <f>IFERROR(__xludf.DUMMYFUNCTION("SPLIT(I2041,""/"")"),4.0)</f>
        <v>4</v>
      </c>
      <c r="K2041" s="308">
        <f>IFERROR(__xludf.DUMMYFUNCTION("""COMPUTED_VALUE"""),12.0)</f>
        <v>12</v>
      </c>
      <c r="L2041" s="308">
        <f>IFERROR(__xludf.DUMMYFUNCTION("""COMPUTED_VALUE"""),2014.0)</f>
        <v>2014</v>
      </c>
      <c r="M2041" s="308" t="s">
        <v>8285</v>
      </c>
      <c r="N2041" s="308"/>
      <c r="O2041" s="312" t="s">
        <v>635</v>
      </c>
      <c r="P2041" s="308" t="s">
        <v>8290</v>
      </c>
      <c r="Q2041" s="308"/>
      <c r="R2041" s="308"/>
      <c r="S2041" s="311" t="s">
        <v>49</v>
      </c>
      <c r="T2041" s="309" t="s">
        <v>67</v>
      </c>
      <c r="U2041" s="312"/>
      <c r="V2041" s="312"/>
    </row>
    <row r="2042">
      <c r="A2042" s="308">
        <v>2041.0</v>
      </c>
      <c r="B2042" s="308"/>
      <c r="C2042" s="308" t="s">
        <v>8291</v>
      </c>
      <c r="D2042" s="308">
        <f>IFERROR(__xludf.DUMMYFUNCTION("SPLIT(C2042,""-"")"),2062.0)</f>
        <v>2062</v>
      </c>
      <c r="E2042" s="308" t="str">
        <f>IFERROR(__xludf.DUMMYFUNCTION("""COMPUTED_VALUE""")," S")</f>
        <v> S</v>
      </c>
      <c r="F2042" s="312" t="s">
        <v>39</v>
      </c>
      <c r="G2042" s="308" t="s">
        <v>8283</v>
      </c>
      <c r="H2042" s="308" t="s">
        <v>8292</v>
      </c>
      <c r="I2042" s="310">
        <v>41977.0</v>
      </c>
      <c r="J2042" s="319">
        <f>IFERROR(__xludf.DUMMYFUNCTION("SPLIT(I2042,""/"")"),4.0)</f>
        <v>4</v>
      </c>
      <c r="K2042" s="308">
        <f>IFERROR(__xludf.DUMMYFUNCTION("""COMPUTED_VALUE"""),12.0)</f>
        <v>12</v>
      </c>
      <c r="L2042" s="308">
        <f>IFERROR(__xludf.DUMMYFUNCTION("""COMPUTED_VALUE"""),2014.0)</f>
        <v>2014</v>
      </c>
      <c r="M2042" s="308" t="s">
        <v>8293</v>
      </c>
      <c r="N2042" s="308"/>
      <c r="O2042" s="312" t="s">
        <v>635</v>
      </c>
      <c r="P2042" s="308" t="s">
        <v>6778</v>
      </c>
      <c r="Q2042" s="308"/>
      <c r="R2042" s="308"/>
      <c r="S2042" s="311" t="s">
        <v>49</v>
      </c>
      <c r="T2042" s="309" t="s">
        <v>67</v>
      </c>
      <c r="U2042" s="312"/>
      <c r="V2042" s="312"/>
    </row>
    <row r="2043">
      <c r="A2043" s="308">
        <v>2042.0</v>
      </c>
      <c r="B2043" s="308"/>
      <c r="C2043" s="308" t="s">
        <v>8294</v>
      </c>
      <c r="D2043" s="308">
        <f>IFERROR(__xludf.DUMMYFUNCTION("SPLIT(C2043,""-"")"),2063.0)</f>
        <v>2063</v>
      </c>
      <c r="E2043" s="308" t="str">
        <f>IFERROR(__xludf.DUMMYFUNCTION("""COMPUTED_VALUE""")," S")</f>
        <v> S</v>
      </c>
      <c r="F2043" s="312" t="s">
        <v>39</v>
      </c>
      <c r="G2043" s="308" t="s">
        <v>8283</v>
      </c>
      <c r="H2043" s="308" t="s">
        <v>36476</v>
      </c>
      <c r="I2043" s="310">
        <v>41977.0</v>
      </c>
      <c r="J2043" s="319">
        <f>IFERROR(__xludf.DUMMYFUNCTION("SPLIT(I2043,""/"")"),4.0)</f>
        <v>4</v>
      </c>
      <c r="K2043" s="308">
        <f>IFERROR(__xludf.DUMMYFUNCTION("""COMPUTED_VALUE"""),12.0)</f>
        <v>12</v>
      </c>
      <c r="L2043" s="308">
        <f>IFERROR(__xludf.DUMMYFUNCTION("""COMPUTED_VALUE"""),2014.0)</f>
        <v>2014</v>
      </c>
      <c r="M2043" s="308" t="s">
        <v>8293</v>
      </c>
      <c r="N2043" s="308"/>
      <c r="O2043" s="312" t="s">
        <v>635</v>
      </c>
      <c r="P2043" s="308" t="s">
        <v>6778</v>
      </c>
      <c r="Q2043" s="308"/>
      <c r="R2043" s="308"/>
      <c r="S2043" s="311" t="s">
        <v>49</v>
      </c>
      <c r="T2043" s="309" t="s">
        <v>67</v>
      </c>
      <c r="U2043" s="312"/>
      <c r="V2043" s="312"/>
    </row>
    <row r="2044">
      <c r="A2044" s="308">
        <v>2043.0</v>
      </c>
      <c r="B2044" s="308"/>
      <c r="C2044" s="308" t="s">
        <v>8296</v>
      </c>
      <c r="D2044" s="308">
        <f>IFERROR(__xludf.DUMMYFUNCTION("SPLIT(C2044,""-"")"),2064.0)</f>
        <v>2064</v>
      </c>
      <c r="E2044" s="308" t="str">
        <f>IFERROR(__xludf.DUMMYFUNCTION("""COMPUTED_VALUE""")," F")</f>
        <v> F</v>
      </c>
      <c r="F2044" s="309" t="s">
        <v>34</v>
      </c>
      <c r="G2044" s="308" t="s">
        <v>8297</v>
      </c>
      <c r="H2044" s="308" t="s">
        <v>36477</v>
      </c>
      <c r="I2044" s="316">
        <v>2011.0</v>
      </c>
      <c r="J2044" s="319"/>
      <c r="K2044" s="308"/>
      <c r="L2044" s="311">
        <v>2011.0</v>
      </c>
      <c r="M2044" s="308" t="s">
        <v>8299</v>
      </c>
      <c r="N2044" s="308"/>
      <c r="O2044" s="312" t="s">
        <v>635</v>
      </c>
      <c r="P2044" s="308" t="s">
        <v>8300</v>
      </c>
      <c r="Q2044" s="308"/>
      <c r="R2044" s="308"/>
      <c r="S2044" s="308" t="s">
        <v>81</v>
      </c>
      <c r="T2044" s="308" t="s">
        <v>34264</v>
      </c>
      <c r="U2044" s="308"/>
      <c r="V2044" s="312"/>
    </row>
    <row r="2045">
      <c r="A2045" s="308">
        <v>2044.0</v>
      </c>
      <c r="B2045" s="308"/>
      <c r="C2045" s="308" t="s">
        <v>8301</v>
      </c>
      <c r="D2045" s="308">
        <f>IFERROR(__xludf.DUMMYFUNCTION("SPLIT(C2045,""-"")"),2065.0)</f>
        <v>2065</v>
      </c>
      <c r="E2045" s="308" t="str">
        <f>IFERROR(__xludf.DUMMYFUNCTION("""COMPUTED_VALUE""")," K")</f>
        <v> K</v>
      </c>
      <c r="F2045" s="309" t="s">
        <v>34</v>
      </c>
      <c r="G2045" s="308"/>
      <c r="H2045" s="308" t="s">
        <v>8302</v>
      </c>
      <c r="I2045" s="314">
        <v>40098.0</v>
      </c>
      <c r="J2045" s="319">
        <f>IFERROR(__xludf.DUMMYFUNCTION("SPLIT(I2045,""/"")"),12.0)</f>
        <v>12</v>
      </c>
      <c r="K2045" s="308">
        <f>IFERROR(__xludf.DUMMYFUNCTION("""COMPUTED_VALUE"""),10.0)</f>
        <v>10</v>
      </c>
      <c r="L2045" s="308">
        <f>IFERROR(__xludf.DUMMYFUNCTION("""COMPUTED_VALUE"""),2009.0)</f>
        <v>2009</v>
      </c>
      <c r="M2045" s="308" t="s">
        <v>8303</v>
      </c>
      <c r="N2045" s="308"/>
      <c r="O2045" s="312" t="s">
        <v>8304</v>
      </c>
      <c r="P2045" s="308" t="s">
        <v>36159</v>
      </c>
      <c r="Q2045" s="308"/>
      <c r="R2045" s="308"/>
      <c r="S2045" s="315" t="s">
        <v>100</v>
      </c>
      <c r="T2045" s="311" t="s">
        <v>34208</v>
      </c>
      <c r="U2045" s="308" t="s">
        <v>530</v>
      </c>
      <c r="V2045" s="312"/>
    </row>
    <row r="2046">
      <c r="A2046" s="308">
        <v>2045.0</v>
      </c>
      <c r="B2046" s="308"/>
      <c r="C2046" s="308" t="s">
        <v>8305</v>
      </c>
      <c r="D2046" s="308">
        <f>IFERROR(__xludf.DUMMYFUNCTION("SPLIT(C2046,""-"")"),2066.0)</f>
        <v>2066</v>
      </c>
      <c r="E2046" s="308" t="str">
        <f>IFERROR(__xludf.DUMMYFUNCTION("""COMPUTED_VALUE""")," K")</f>
        <v> K</v>
      </c>
      <c r="F2046" s="309" t="s">
        <v>34</v>
      </c>
      <c r="G2046" s="308"/>
      <c r="H2046" s="308" t="s">
        <v>8306</v>
      </c>
      <c r="I2046" s="310">
        <v>40452.0</v>
      </c>
      <c r="J2046" s="319">
        <f>IFERROR(__xludf.DUMMYFUNCTION("SPLIT(I2046,""/"")"),1.0)</f>
        <v>1</v>
      </c>
      <c r="K2046" s="308">
        <f>IFERROR(__xludf.DUMMYFUNCTION("""COMPUTED_VALUE"""),10.0)</f>
        <v>10</v>
      </c>
      <c r="L2046" s="308">
        <f>IFERROR(__xludf.DUMMYFUNCTION("""COMPUTED_VALUE"""),2010.0)</f>
        <v>2010</v>
      </c>
      <c r="M2046" s="308" t="s">
        <v>8307</v>
      </c>
      <c r="N2046" s="308"/>
      <c r="O2046" s="312" t="s">
        <v>8308</v>
      </c>
      <c r="P2046" s="308" t="s">
        <v>36159</v>
      </c>
      <c r="Q2046" s="308"/>
      <c r="R2046" s="308"/>
      <c r="S2046" s="315" t="s">
        <v>100</v>
      </c>
      <c r="T2046" s="311" t="s">
        <v>34208</v>
      </c>
      <c r="U2046" s="308" t="s">
        <v>530</v>
      </c>
      <c r="V2046" s="312"/>
    </row>
    <row r="2047">
      <c r="A2047" s="308">
        <v>2046.0</v>
      </c>
      <c r="B2047" s="308"/>
      <c r="C2047" s="308" t="s">
        <v>8309</v>
      </c>
      <c r="D2047" s="308">
        <f>IFERROR(__xludf.DUMMYFUNCTION("SPLIT(C2047,""-"")"),2067.0)</f>
        <v>2067</v>
      </c>
      <c r="E2047" s="308" t="str">
        <f>IFERROR(__xludf.DUMMYFUNCTION("""COMPUTED_VALUE""")," K")</f>
        <v> K</v>
      </c>
      <c r="F2047" s="309" t="s">
        <v>34</v>
      </c>
      <c r="G2047" s="308"/>
      <c r="H2047" s="308" t="s">
        <v>8310</v>
      </c>
      <c r="I2047" s="310">
        <v>39882.0</v>
      </c>
      <c r="J2047" s="319">
        <f>IFERROR(__xludf.DUMMYFUNCTION("SPLIT(I2047,""/"")"),10.0)</f>
        <v>10</v>
      </c>
      <c r="K2047" s="308">
        <f>IFERROR(__xludf.DUMMYFUNCTION("""COMPUTED_VALUE"""),3.0)</f>
        <v>3</v>
      </c>
      <c r="L2047" s="308">
        <f>IFERROR(__xludf.DUMMYFUNCTION("""COMPUTED_VALUE"""),2009.0)</f>
        <v>2009</v>
      </c>
      <c r="M2047" s="308" t="s">
        <v>8311</v>
      </c>
      <c r="N2047" s="308"/>
      <c r="O2047" s="312" t="s">
        <v>8312</v>
      </c>
      <c r="P2047" s="308" t="s">
        <v>36159</v>
      </c>
      <c r="Q2047" s="308"/>
      <c r="R2047" s="308"/>
      <c r="S2047" s="315" t="s">
        <v>100</v>
      </c>
      <c r="T2047" s="311" t="s">
        <v>34208</v>
      </c>
      <c r="U2047" s="308" t="s">
        <v>530</v>
      </c>
      <c r="V2047" s="312"/>
    </row>
    <row r="2048">
      <c r="A2048" s="308">
        <v>2047.0</v>
      </c>
      <c r="B2048" s="308"/>
      <c r="C2048" s="308" t="s">
        <v>8313</v>
      </c>
      <c r="D2048" s="308">
        <f>IFERROR(__xludf.DUMMYFUNCTION("SPLIT(C2048,""-"")"),2068.0)</f>
        <v>2068</v>
      </c>
      <c r="E2048" s="308" t="str">
        <f>IFERROR(__xludf.DUMMYFUNCTION("""COMPUTED_VALUE""")," P")</f>
        <v> P</v>
      </c>
      <c r="F2048" s="312" t="s">
        <v>37</v>
      </c>
      <c r="G2048" s="308"/>
      <c r="H2048" s="308" t="s">
        <v>8314</v>
      </c>
      <c r="I2048" s="314">
        <v>40134.0</v>
      </c>
      <c r="J2048" s="319">
        <f>IFERROR(__xludf.DUMMYFUNCTION("SPLIT(I2048,""/"")"),17.0)</f>
        <v>17</v>
      </c>
      <c r="K2048" s="308">
        <f>IFERROR(__xludf.DUMMYFUNCTION("""COMPUTED_VALUE"""),11.0)</f>
        <v>11</v>
      </c>
      <c r="L2048" s="308">
        <f>IFERROR(__xludf.DUMMYFUNCTION("""COMPUTED_VALUE"""),2009.0)</f>
        <v>2009</v>
      </c>
      <c r="M2048" s="308" t="s">
        <v>8315</v>
      </c>
      <c r="N2048" s="308"/>
      <c r="O2048" s="312" t="s">
        <v>8316</v>
      </c>
      <c r="P2048" s="312" t="s">
        <v>36478</v>
      </c>
      <c r="Q2048" s="308"/>
      <c r="R2048" s="308"/>
      <c r="S2048" s="308" t="s">
        <v>49</v>
      </c>
      <c r="T2048" s="311" t="s">
        <v>59</v>
      </c>
      <c r="U2048" s="308" t="s">
        <v>8318</v>
      </c>
      <c r="V2048" s="312"/>
    </row>
    <row r="2049">
      <c r="A2049" s="308">
        <v>2048.0</v>
      </c>
      <c r="B2049" s="308"/>
      <c r="C2049" s="308" t="s">
        <v>8319</v>
      </c>
      <c r="D2049" s="308">
        <f>IFERROR(__xludf.DUMMYFUNCTION("SPLIT(C2049,""-"")"),2069.0)</f>
        <v>2069</v>
      </c>
      <c r="E2049" s="308" t="str">
        <f>IFERROR(__xludf.DUMMYFUNCTION("""COMPUTED_VALUE""")," S")</f>
        <v> S</v>
      </c>
      <c r="F2049" s="312" t="s">
        <v>39</v>
      </c>
      <c r="G2049" s="308"/>
      <c r="H2049" s="308" t="s">
        <v>8320</v>
      </c>
      <c r="I2049" s="310">
        <v>41153.0</v>
      </c>
      <c r="J2049" s="319">
        <f>IFERROR(__xludf.DUMMYFUNCTION("SPLIT(I2049,""/"")"),1.0)</f>
        <v>1</v>
      </c>
      <c r="K2049" s="308">
        <f>IFERROR(__xludf.DUMMYFUNCTION("""COMPUTED_VALUE"""),9.0)</f>
        <v>9</v>
      </c>
      <c r="L2049" s="308">
        <f>IFERROR(__xludf.DUMMYFUNCTION("""COMPUTED_VALUE"""),2012.0)</f>
        <v>2012</v>
      </c>
      <c r="M2049" s="308" t="s">
        <v>8321</v>
      </c>
      <c r="N2049" s="308"/>
      <c r="O2049" s="312" t="s">
        <v>36479</v>
      </c>
      <c r="P2049" s="308"/>
      <c r="Q2049" s="308"/>
      <c r="R2049" s="308"/>
      <c r="S2049" s="308" t="s">
        <v>79</v>
      </c>
      <c r="T2049" s="308" t="s">
        <v>79</v>
      </c>
      <c r="U2049" s="308"/>
      <c r="V2049" s="312"/>
    </row>
    <row r="2050">
      <c r="A2050" s="308">
        <v>2049.0</v>
      </c>
      <c r="B2050" s="308"/>
      <c r="C2050" s="308" t="s">
        <v>8323</v>
      </c>
      <c r="D2050" s="308">
        <f>IFERROR(__xludf.DUMMYFUNCTION("SPLIT(C2050,""-"")"),2070.0)</f>
        <v>2070</v>
      </c>
      <c r="E2050" s="308" t="str">
        <f>IFERROR(__xludf.DUMMYFUNCTION("""COMPUTED_VALUE""")," K")</f>
        <v> K</v>
      </c>
      <c r="F2050" s="309" t="s">
        <v>34</v>
      </c>
      <c r="G2050" s="308"/>
      <c r="H2050" s="308" t="s">
        <v>8243</v>
      </c>
      <c r="I2050" s="314">
        <v>40141.0</v>
      </c>
      <c r="J2050" s="319">
        <f>IFERROR(__xludf.DUMMYFUNCTION("SPLIT(I2050,""/"")"),24.0)</f>
        <v>24</v>
      </c>
      <c r="K2050" s="308">
        <f>IFERROR(__xludf.DUMMYFUNCTION("""COMPUTED_VALUE"""),11.0)</f>
        <v>11</v>
      </c>
      <c r="L2050" s="308">
        <f>IFERROR(__xludf.DUMMYFUNCTION("""COMPUTED_VALUE"""),2009.0)</f>
        <v>2009</v>
      </c>
      <c r="M2050" s="308" t="s">
        <v>8324</v>
      </c>
      <c r="N2050" s="308"/>
      <c r="O2050" s="312" t="s">
        <v>8325</v>
      </c>
      <c r="P2050" s="308" t="s">
        <v>2675</v>
      </c>
      <c r="Q2050" s="308"/>
      <c r="R2050" s="308" t="s">
        <v>1496</v>
      </c>
      <c r="S2050" s="308" t="s">
        <v>49</v>
      </c>
      <c r="T2050" s="308" t="s">
        <v>51</v>
      </c>
      <c r="U2050" s="308" t="s">
        <v>137</v>
      </c>
      <c r="V2050" s="312"/>
    </row>
    <row r="2051">
      <c r="A2051" s="308">
        <v>2050.0</v>
      </c>
      <c r="B2051" s="308"/>
      <c r="C2051" s="308" t="s">
        <v>8326</v>
      </c>
      <c r="D2051" s="308">
        <f>IFERROR(__xludf.DUMMYFUNCTION("SPLIT(C2051,""-"")"),2071.0)</f>
        <v>2071</v>
      </c>
      <c r="E2051" s="308" t="str">
        <f>IFERROR(__xludf.DUMMYFUNCTION("""COMPUTED_VALUE""")," K")</f>
        <v> K</v>
      </c>
      <c r="F2051" s="309" t="s">
        <v>34</v>
      </c>
      <c r="G2051" s="308"/>
      <c r="H2051" s="308" t="s">
        <v>8327</v>
      </c>
      <c r="I2051" s="310">
        <v>41368.0</v>
      </c>
      <c r="J2051" s="319">
        <f>IFERROR(__xludf.DUMMYFUNCTION("SPLIT(I2051,""/"")"),4.0)</f>
        <v>4</v>
      </c>
      <c r="K2051" s="308">
        <f>IFERROR(__xludf.DUMMYFUNCTION("""COMPUTED_VALUE"""),4.0)</f>
        <v>4</v>
      </c>
      <c r="L2051" s="308">
        <f>IFERROR(__xludf.DUMMYFUNCTION("""COMPUTED_VALUE"""),2013.0)</f>
        <v>2013</v>
      </c>
      <c r="M2051" s="308" t="s">
        <v>8328</v>
      </c>
      <c r="N2051" s="308"/>
      <c r="O2051" s="312" t="s">
        <v>36480</v>
      </c>
      <c r="P2051" s="308" t="s">
        <v>36481</v>
      </c>
      <c r="Q2051" s="308"/>
      <c r="R2051" s="308"/>
      <c r="S2051" s="315" t="s">
        <v>100</v>
      </c>
      <c r="T2051" s="311" t="s">
        <v>34208</v>
      </c>
      <c r="U2051" s="308" t="s">
        <v>2989</v>
      </c>
      <c r="V2051" s="312"/>
    </row>
    <row r="2052">
      <c r="A2052" s="308">
        <v>2051.0</v>
      </c>
      <c r="B2052" s="308"/>
      <c r="C2052" s="308" t="s">
        <v>8331</v>
      </c>
      <c r="D2052" s="308">
        <f>IFERROR(__xludf.DUMMYFUNCTION("SPLIT(C2052,""-"")"),2072.0)</f>
        <v>2072</v>
      </c>
      <c r="E2052" s="308" t="str">
        <f>IFERROR(__xludf.DUMMYFUNCTION("""COMPUTED_VALUE""")," F")</f>
        <v> F</v>
      </c>
      <c r="F2052" s="309" t="s">
        <v>34</v>
      </c>
      <c r="G2052" s="308"/>
      <c r="H2052" s="308" t="s">
        <v>8332</v>
      </c>
      <c r="I2052" s="310">
        <v>40695.0</v>
      </c>
      <c r="J2052" s="319">
        <f>IFERROR(__xludf.DUMMYFUNCTION("SPLIT(I2052,""/"")"),1.0)</f>
        <v>1</v>
      </c>
      <c r="K2052" s="308">
        <f>IFERROR(__xludf.DUMMYFUNCTION("""COMPUTED_VALUE"""),6.0)</f>
        <v>6</v>
      </c>
      <c r="L2052" s="308">
        <f>IFERROR(__xludf.DUMMYFUNCTION("""COMPUTED_VALUE"""),2011.0)</f>
        <v>2011</v>
      </c>
      <c r="M2052" s="308" t="s">
        <v>8333</v>
      </c>
      <c r="N2052" s="308"/>
      <c r="O2052" s="312" t="s">
        <v>8334</v>
      </c>
      <c r="P2052" s="308" t="s">
        <v>8335</v>
      </c>
      <c r="Q2052" s="308"/>
      <c r="R2052" s="308" t="s">
        <v>1496</v>
      </c>
      <c r="S2052" s="308" t="s">
        <v>81</v>
      </c>
      <c r="T2052" s="311" t="s">
        <v>98</v>
      </c>
      <c r="U2052" s="308" t="s">
        <v>195</v>
      </c>
      <c r="V2052" s="312"/>
    </row>
    <row r="2053">
      <c r="A2053" s="308">
        <v>2052.0</v>
      </c>
      <c r="B2053" s="308"/>
      <c r="C2053" s="308" t="s">
        <v>8336</v>
      </c>
      <c r="D2053" s="308">
        <f>IFERROR(__xludf.DUMMYFUNCTION("SPLIT(C2053,""-"")"),2073.0)</f>
        <v>2073</v>
      </c>
      <c r="E2053" s="308" t="str">
        <f>IFERROR(__xludf.DUMMYFUNCTION("""COMPUTED_VALUE""")," K")</f>
        <v> K</v>
      </c>
      <c r="F2053" s="309" t="s">
        <v>34</v>
      </c>
      <c r="G2053" s="308"/>
      <c r="H2053" s="308" t="s">
        <v>8337</v>
      </c>
      <c r="I2053" s="314">
        <v>40038.0</v>
      </c>
      <c r="J2053" s="319">
        <f>IFERROR(__xludf.DUMMYFUNCTION("SPLIT(I2053,""/"")"),13.0)</f>
        <v>13</v>
      </c>
      <c r="K2053" s="308">
        <f>IFERROR(__xludf.DUMMYFUNCTION("""COMPUTED_VALUE"""),8.0)</f>
        <v>8</v>
      </c>
      <c r="L2053" s="308">
        <f>IFERROR(__xludf.DUMMYFUNCTION("""COMPUTED_VALUE"""),2009.0)</f>
        <v>2009</v>
      </c>
      <c r="M2053" s="308" t="s">
        <v>8338</v>
      </c>
      <c r="N2053" s="308"/>
      <c r="O2053" s="312" t="s">
        <v>36482</v>
      </c>
      <c r="P2053" s="308" t="s">
        <v>36159</v>
      </c>
      <c r="Q2053" s="308"/>
      <c r="R2053" s="308" t="s">
        <v>1496</v>
      </c>
      <c r="S2053" s="315" t="s">
        <v>100</v>
      </c>
      <c r="T2053" s="311" t="s">
        <v>34208</v>
      </c>
      <c r="U2053" s="308" t="s">
        <v>530</v>
      </c>
      <c r="V2053" s="312"/>
    </row>
    <row r="2054">
      <c r="A2054" s="308">
        <v>2053.0</v>
      </c>
      <c r="B2054" s="308"/>
      <c r="C2054" s="308" t="s">
        <v>8340</v>
      </c>
      <c r="D2054" s="308">
        <f>IFERROR(__xludf.DUMMYFUNCTION("SPLIT(C2054,""-"")"),2074.0)</f>
        <v>2074</v>
      </c>
      <c r="E2054" s="308" t="str">
        <f>IFERROR(__xludf.DUMMYFUNCTION("""COMPUTED_VALUE""")," K")</f>
        <v> K</v>
      </c>
      <c r="F2054" s="309" t="s">
        <v>34</v>
      </c>
      <c r="G2054" s="308"/>
      <c r="H2054" s="308" t="s">
        <v>8341</v>
      </c>
      <c r="I2054" s="327">
        <v>41518.0</v>
      </c>
      <c r="J2054" s="319"/>
      <c r="K2054" s="311">
        <v>9.0</v>
      </c>
      <c r="L2054" s="311">
        <v>2013.0</v>
      </c>
      <c r="M2054" s="308" t="s">
        <v>8342</v>
      </c>
      <c r="N2054" s="308"/>
      <c r="O2054" s="312" t="s">
        <v>36483</v>
      </c>
      <c r="P2054" s="308" t="s">
        <v>8344</v>
      </c>
      <c r="Q2054" s="308"/>
      <c r="R2054" s="308"/>
      <c r="S2054" s="308" t="s">
        <v>81</v>
      </c>
      <c r="T2054" s="308" t="s">
        <v>34264</v>
      </c>
      <c r="U2054" s="308"/>
      <c r="V2054" s="312"/>
    </row>
    <row r="2055">
      <c r="A2055" s="308">
        <v>2054.0</v>
      </c>
      <c r="B2055" s="308"/>
      <c r="C2055" s="308" t="s">
        <v>8345</v>
      </c>
      <c r="D2055" s="308">
        <f>IFERROR(__xludf.DUMMYFUNCTION("SPLIT(C2055,""-"")"),2075.0)</f>
        <v>2075</v>
      </c>
      <c r="E2055" s="308" t="str">
        <f>IFERROR(__xludf.DUMMYFUNCTION("""COMPUTED_VALUE""")," K")</f>
        <v> K</v>
      </c>
      <c r="F2055" s="309" t="s">
        <v>34</v>
      </c>
      <c r="G2055" s="308"/>
      <c r="H2055" s="308" t="s">
        <v>8346</v>
      </c>
      <c r="I2055" s="322"/>
      <c r="J2055" s="319"/>
      <c r="K2055" s="308"/>
      <c r="L2055" s="311" t="s">
        <v>79</v>
      </c>
      <c r="M2055" s="308" t="s">
        <v>8347</v>
      </c>
      <c r="N2055" s="308"/>
      <c r="O2055" s="312" t="s">
        <v>36484</v>
      </c>
      <c r="P2055" s="308" t="s">
        <v>8349</v>
      </c>
      <c r="Q2055" s="308"/>
      <c r="R2055" s="308"/>
      <c r="S2055" s="308" t="s">
        <v>81</v>
      </c>
      <c r="T2055" s="311" t="s">
        <v>34264</v>
      </c>
      <c r="U2055" s="308"/>
      <c r="V2055" s="312"/>
    </row>
    <row r="2056">
      <c r="A2056" s="308">
        <v>2055.0</v>
      </c>
      <c r="B2056" s="308"/>
      <c r="C2056" s="308" t="s">
        <v>8350</v>
      </c>
      <c r="D2056" s="308">
        <f>IFERROR(__xludf.DUMMYFUNCTION("SPLIT(C2056,""-"")"),2076.0)</f>
        <v>2076</v>
      </c>
      <c r="E2056" s="308" t="str">
        <f>IFERROR(__xludf.DUMMYFUNCTION("""COMPUTED_VALUE""")," K")</f>
        <v> K</v>
      </c>
      <c r="F2056" s="309" t="s">
        <v>34</v>
      </c>
      <c r="G2056" s="308"/>
      <c r="H2056" s="308" t="s">
        <v>36485</v>
      </c>
      <c r="I2056" s="327">
        <v>40026.0</v>
      </c>
      <c r="J2056" s="319"/>
      <c r="K2056" s="311">
        <v>8.0</v>
      </c>
      <c r="L2056" s="311">
        <v>2009.0</v>
      </c>
      <c r="M2056" s="308" t="s">
        <v>8352</v>
      </c>
      <c r="N2056" s="308"/>
      <c r="O2056" s="312" t="s">
        <v>8353</v>
      </c>
      <c r="P2056" s="308" t="s">
        <v>8354</v>
      </c>
      <c r="Q2056" s="308"/>
      <c r="R2056" s="308"/>
      <c r="S2056" s="308" t="s">
        <v>81</v>
      </c>
      <c r="T2056" s="308" t="s">
        <v>34264</v>
      </c>
      <c r="U2056" s="308"/>
      <c r="V2056" s="312"/>
    </row>
    <row r="2057">
      <c r="A2057" s="308">
        <v>2056.0</v>
      </c>
      <c r="B2057" s="308"/>
      <c r="C2057" s="308" t="s">
        <v>8355</v>
      </c>
      <c r="D2057" s="308">
        <f>IFERROR(__xludf.DUMMYFUNCTION("SPLIT(C2057,""-"")"),2077.0)</f>
        <v>2077</v>
      </c>
      <c r="E2057" s="308" t="str">
        <f>IFERROR(__xludf.DUMMYFUNCTION("""COMPUTED_VALUE""")," K")</f>
        <v> K</v>
      </c>
      <c r="F2057" s="309" t="s">
        <v>34</v>
      </c>
      <c r="G2057" s="308"/>
      <c r="H2057" s="308" t="s">
        <v>8356</v>
      </c>
      <c r="I2057" s="314">
        <v>41267.0</v>
      </c>
      <c r="J2057" s="319">
        <f>IFERROR(__xludf.DUMMYFUNCTION("SPLIT(I2057,""/"")"),24.0)</f>
        <v>24</v>
      </c>
      <c r="K2057" s="308">
        <f>IFERROR(__xludf.DUMMYFUNCTION("""COMPUTED_VALUE"""),12.0)</f>
        <v>12</v>
      </c>
      <c r="L2057" s="308">
        <f>IFERROR(__xludf.DUMMYFUNCTION("""COMPUTED_VALUE"""),2012.0)</f>
        <v>2012</v>
      </c>
      <c r="M2057" s="308" t="s">
        <v>8357</v>
      </c>
      <c r="N2057" s="308"/>
      <c r="O2057" s="312" t="s">
        <v>8358</v>
      </c>
      <c r="P2057" s="308" t="s">
        <v>8359</v>
      </c>
      <c r="Q2057" s="308"/>
      <c r="R2057" s="308"/>
      <c r="S2057" s="308" t="s">
        <v>81</v>
      </c>
      <c r="T2057" s="308" t="s">
        <v>34264</v>
      </c>
      <c r="U2057" s="308"/>
      <c r="V2057" s="312"/>
    </row>
    <row r="2058">
      <c r="A2058" s="308">
        <v>2057.0</v>
      </c>
      <c r="B2058" s="308"/>
      <c r="C2058" s="308" t="s">
        <v>8360</v>
      </c>
      <c r="D2058" s="308">
        <f>IFERROR(__xludf.DUMMYFUNCTION("SPLIT(C2058,""-"")"),2078.0)</f>
        <v>2078</v>
      </c>
      <c r="E2058" s="308" t="str">
        <f>IFERROR(__xludf.DUMMYFUNCTION("""COMPUTED_VALUE""")," I")</f>
        <v> I</v>
      </c>
      <c r="F2058" s="309" t="s">
        <v>31</v>
      </c>
      <c r="G2058" s="308"/>
      <c r="H2058" s="308" t="s">
        <v>8361</v>
      </c>
      <c r="I2058" s="310">
        <v>41765.0</v>
      </c>
      <c r="J2058" s="319">
        <f>IFERROR(__xludf.DUMMYFUNCTION("SPLIT(I2058,""/"")"),6.0)</f>
        <v>6</v>
      </c>
      <c r="K2058" s="308">
        <f>IFERROR(__xludf.DUMMYFUNCTION("""COMPUTED_VALUE"""),5.0)</f>
        <v>5</v>
      </c>
      <c r="L2058" s="308">
        <f>IFERROR(__xludf.DUMMYFUNCTION("""COMPUTED_VALUE"""),2014.0)</f>
        <v>2014</v>
      </c>
      <c r="M2058" s="308" t="s">
        <v>8362</v>
      </c>
      <c r="N2058" s="308"/>
      <c r="O2058" s="312" t="s">
        <v>8363</v>
      </c>
      <c r="P2058" s="308" t="s">
        <v>36486</v>
      </c>
      <c r="Q2058" s="308"/>
      <c r="R2058" s="308"/>
      <c r="S2058" s="308" t="s">
        <v>81</v>
      </c>
      <c r="T2058" s="311" t="s">
        <v>75</v>
      </c>
      <c r="U2058" s="308"/>
      <c r="V2058" s="312"/>
    </row>
    <row r="2059">
      <c r="A2059" s="308">
        <v>2058.0</v>
      </c>
      <c r="B2059" s="308"/>
      <c r="C2059" s="308" t="s">
        <v>8365</v>
      </c>
      <c r="D2059" s="308">
        <f>IFERROR(__xludf.DUMMYFUNCTION("SPLIT(C2059,""-"")"),2079.0)</f>
        <v>2079</v>
      </c>
      <c r="E2059" s="308" t="str">
        <f>IFERROR(__xludf.DUMMYFUNCTION("""COMPUTED_VALUE""")," I")</f>
        <v> I</v>
      </c>
      <c r="F2059" s="309" t="s">
        <v>31</v>
      </c>
      <c r="G2059" s="308"/>
      <c r="H2059" s="308" t="s">
        <v>8366</v>
      </c>
      <c r="I2059" s="314">
        <v>41698.0</v>
      </c>
      <c r="J2059" s="319">
        <f>IFERROR(__xludf.DUMMYFUNCTION("SPLIT(I2059,""/"")"),28.0)</f>
        <v>28</v>
      </c>
      <c r="K2059" s="308">
        <f>IFERROR(__xludf.DUMMYFUNCTION("""COMPUTED_VALUE"""),2.0)</f>
        <v>2</v>
      </c>
      <c r="L2059" s="308">
        <f>IFERROR(__xludf.DUMMYFUNCTION("""COMPUTED_VALUE"""),2014.0)</f>
        <v>2014</v>
      </c>
      <c r="M2059" s="308" t="s">
        <v>8367</v>
      </c>
      <c r="N2059" s="308"/>
      <c r="O2059" s="312" t="s">
        <v>8368</v>
      </c>
      <c r="P2059" s="308" t="s">
        <v>8369</v>
      </c>
      <c r="Q2059" s="308"/>
      <c r="R2059" s="308"/>
      <c r="S2059" s="308" t="s">
        <v>81</v>
      </c>
      <c r="T2059" s="308" t="s">
        <v>34264</v>
      </c>
      <c r="U2059" s="308"/>
      <c r="V2059" s="312"/>
    </row>
    <row r="2060">
      <c r="A2060" s="308">
        <v>2059.0</v>
      </c>
      <c r="B2060" s="308"/>
      <c r="C2060" s="308" t="s">
        <v>8370</v>
      </c>
      <c r="D2060" s="308">
        <f>IFERROR(__xludf.DUMMYFUNCTION("SPLIT(C2060,""-"")"),2080.0)</f>
        <v>2080</v>
      </c>
      <c r="E2060" s="308" t="str">
        <f>IFERROR(__xludf.DUMMYFUNCTION("""COMPUTED_VALUE""")," I")</f>
        <v> I</v>
      </c>
      <c r="F2060" s="309" t="s">
        <v>31</v>
      </c>
      <c r="G2060" s="308"/>
      <c r="H2060" s="308" t="s">
        <v>8371</v>
      </c>
      <c r="I2060" s="314">
        <v>41698.0</v>
      </c>
      <c r="J2060" s="319">
        <f>IFERROR(__xludf.DUMMYFUNCTION("SPLIT(I2060,""/"")"),28.0)</f>
        <v>28</v>
      </c>
      <c r="K2060" s="308">
        <f>IFERROR(__xludf.DUMMYFUNCTION("""COMPUTED_VALUE"""),2.0)</f>
        <v>2</v>
      </c>
      <c r="L2060" s="308">
        <f>IFERROR(__xludf.DUMMYFUNCTION("""COMPUTED_VALUE"""),2014.0)</f>
        <v>2014</v>
      </c>
      <c r="M2060" s="308" t="s">
        <v>8367</v>
      </c>
      <c r="N2060" s="308"/>
      <c r="O2060" s="312" t="s">
        <v>8368</v>
      </c>
      <c r="P2060" s="308" t="s">
        <v>8369</v>
      </c>
      <c r="Q2060" s="308"/>
      <c r="R2060" s="308"/>
      <c r="S2060" s="308" t="s">
        <v>81</v>
      </c>
      <c r="T2060" s="308" t="s">
        <v>34264</v>
      </c>
      <c r="U2060" s="308"/>
      <c r="V2060" s="312"/>
    </row>
    <row r="2061">
      <c r="A2061" s="308">
        <v>2060.0</v>
      </c>
      <c r="B2061" s="308"/>
      <c r="C2061" s="308" t="s">
        <v>8372</v>
      </c>
      <c r="D2061" s="308">
        <f>IFERROR(__xludf.DUMMYFUNCTION("SPLIT(C2061,""-"")"),2081.0)</f>
        <v>2081</v>
      </c>
      <c r="E2061" s="308" t="str">
        <f>IFERROR(__xludf.DUMMYFUNCTION("""COMPUTED_VALUE""")," S")</f>
        <v> S</v>
      </c>
      <c r="F2061" s="312" t="s">
        <v>39</v>
      </c>
      <c r="G2061" s="308"/>
      <c r="H2061" s="308" t="s">
        <v>8373</v>
      </c>
      <c r="I2061" s="314">
        <v>41086.0</v>
      </c>
      <c r="J2061" s="319">
        <f>IFERROR(__xludf.DUMMYFUNCTION("SPLIT(I2061,""/"")"),26.0)</f>
        <v>26</v>
      </c>
      <c r="K2061" s="308">
        <f>IFERROR(__xludf.DUMMYFUNCTION("""COMPUTED_VALUE"""),6.0)</f>
        <v>6</v>
      </c>
      <c r="L2061" s="308">
        <f>IFERROR(__xludf.DUMMYFUNCTION("""COMPUTED_VALUE"""),2012.0)</f>
        <v>2012</v>
      </c>
      <c r="M2061" s="308" t="s">
        <v>8374</v>
      </c>
      <c r="N2061" s="308"/>
      <c r="O2061" s="312" t="s">
        <v>36487</v>
      </c>
      <c r="P2061" s="308" t="s">
        <v>36488</v>
      </c>
      <c r="Q2061" s="308"/>
      <c r="R2061" s="308"/>
      <c r="S2061" s="308" t="s">
        <v>49</v>
      </c>
      <c r="T2061" s="311" t="s">
        <v>70</v>
      </c>
      <c r="U2061" s="308"/>
      <c r="V2061" s="312"/>
    </row>
    <row r="2062">
      <c r="A2062" s="308">
        <v>2061.0</v>
      </c>
      <c r="B2062" s="308"/>
      <c r="C2062" s="308" t="s">
        <v>8377</v>
      </c>
      <c r="D2062" s="308">
        <f>IFERROR(__xludf.DUMMYFUNCTION("SPLIT(C2062,""-"")"),2082.0)</f>
        <v>2082</v>
      </c>
      <c r="E2062" s="308" t="str">
        <f>IFERROR(__xludf.DUMMYFUNCTION("""COMPUTED_VALUE""")," K")</f>
        <v> K</v>
      </c>
      <c r="F2062" s="309" t="s">
        <v>34</v>
      </c>
      <c r="G2062" s="308"/>
      <c r="H2062" s="308" t="s">
        <v>8378</v>
      </c>
      <c r="I2062" s="310">
        <v>41316.0</v>
      </c>
      <c r="J2062" s="319">
        <f>IFERROR(__xludf.DUMMYFUNCTION("SPLIT(I2062,""/"")"),11.0)</f>
        <v>11</v>
      </c>
      <c r="K2062" s="308">
        <f>IFERROR(__xludf.DUMMYFUNCTION("""COMPUTED_VALUE"""),2.0)</f>
        <v>2</v>
      </c>
      <c r="L2062" s="308">
        <f>IFERROR(__xludf.DUMMYFUNCTION("""COMPUTED_VALUE"""),2013.0)</f>
        <v>2013</v>
      </c>
      <c r="M2062" s="308" t="s">
        <v>8379</v>
      </c>
      <c r="N2062" s="308"/>
      <c r="O2062" s="312" t="s">
        <v>8380</v>
      </c>
      <c r="P2062" s="308" t="s">
        <v>8381</v>
      </c>
      <c r="Q2062" s="308"/>
      <c r="R2062" s="308"/>
      <c r="S2062" s="308" t="s">
        <v>81</v>
      </c>
      <c r="T2062" s="308" t="s">
        <v>34264</v>
      </c>
      <c r="U2062" s="308"/>
      <c r="V2062" s="312"/>
    </row>
    <row r="2063">
      <c r="A2063" s="308">
        <v>2062.0</v>
      </c>
      <c r="B2063" s="308"/>
      <c r="C2063" s="308" t="s">
        <v>8382</v>
      </c>
      <c r="D2063" s="308">
        <f>IFERROR(__xludf.DUMMYFUNCTION("SPLIT(C2063,""-"")"),2083.0)</f>
        <v>2083</v>
      </c>
      <c r="E2063" s="308" t="str">
        <f>IFERROR(__xludf.DUMMYFUNCTION("""COMPUTED_VALUE""")," S")</f>
        <v> S</v>
      </c>
      <c r="F2063" s="312" t="s">
        <v>39</v>
      </c>
      <c r="G2063" s="308"/>
      <c r="H2063" s="308" t="s">
        <v>8383</v>
      </c>
      <c r="I2063" s="310">
        <v>41704.0</v>
      </c>
      <c r="J2063" s="319">
        <f>IFERROR(__xludf.DUMMYFUNCTION("SPLIT(I2063,""/"")"),6.0)</f>
        <v>6</v>
      </c>
      <c r="K2063" s="308">
        <f>IFERROR(__xludf.DUMMYFUNCTION("""COMPUTED_VALUE"""),3.0)</f>
        <v>3</v>
      </c>
      <c r="L2063" s="308">
        <f>IFERROR(__xludf.DUMMYFUNCTION("""COMPUTED_VALUE"""),2014.0)</f>
        <v>2014</v>
      </c>
      <c r="M2063" s="308" t="s">
        <v>8384</v>
      </c>
      <c r="N2063" s="308"/>
      <c r="O2063" s="312" t="s">
        <v>36489</v>
      </c>
      <c r="P2063" s="308"/>
      <c r="Q2063" s="308"/>
      <c r="R2063" s="308"/>
      <c r="S2063" s="308" t="s">
        <v>79</v>
      </c>
      <c r="T2063" s="308" t="s">
        <v>79</v>
      </c>
      <c r="U2063" s="308"/>
      <c r="V2063" s="312"/>
    </row>
    <row r="2064">
      <c r="A2064" s="308">
        <v>2063.0</v>
      </c>
      <c r="B2064" s="308"/>
      <c r="C2064" s="308" t="s">
        <v>8386</v>
      </c>
      <c r="D2064" s="308">
        <f>IFERROR(__xludf.DUMMYFUNCTION("SPLIT(C2064,""-"")"),2084.0)</f>
        <v>2084</v>
      </c>
      <c r="E2064" s="308" t="str">
        <f>IFERROR(__xludf.DUMMYFUNCTION("""COMPUTED_VALUE""")," S")</f>
        <v> S</v>
      </c>
      <c r="F2064" s="312" t="s">
        <v>39</v>
      </c>
      <c r="G2064" s="308"/>
      <c r="H2064" s="308" t="s">
        <v>8387</v>
      </c>
      <c r="I2064" s="310">
        <v>40070.0</v>
      </c>
      <c r="J2064" s="319">
        <f>IFERROR(__xludf.DUMMYFUNCTION("SPLIT(I2064,""/"")"),14.0)</f>
        <v>14</v>
      </c>
      <c r="K2064" s="308">
        <f>IFERROR(__xludf.DUMMYFUNCTION("""COMPUTED_VALUE"""),9.0)</f>
        <v>9</v>
      </c>
      <c r="L2064" s="308">
        <f>IFERROR(__xludf.DUMMYFUNCTION("""COMPUTED_VALUE"""),2009.0)</f>
        <v>2009</v>
      </c>
      <c r="M2064" s="308" t="s">
        <v>8388</v>
      </c>
      <c r="N2064" s="308"/>
      <c r="O2064" s="312" t="s">
        <v>8389</v>
      </c>
      <c r="P2064" s="308" t="s">
        <v>36490</v>
      </c>
      <c r="Q2064" s="308"/>
      <c r="R2064" s="308"/>
      <c r="S2064" s="308" t="s">
        <v>81</v>
      </c>
      <c r="T2064" s="308" t="s">
        <v>75</v>
      </c>
      <c r="U2064" s="312"/>
      <c r="V2064" s="312"/>
    </row>
    <row r="2065">
      <c r="A2065" s="308">
        <v>2064.0</v>
      </c>
      <c r="B2065" s="308"/>
      <c r="C2065" s="308" t="s">
        <v>8391</v>
      </c>
      <c r="D2065" s="308">
        <f>IFERROR(__xludf.DUMMYFUNCTION("SPLIT(C2065,""-"")"),2085.0)</f>
        <v>2085</v>
      </c>
      <c r="E2065" s="308" t="str">
        <f>IFERROR(__xludf.DUMMYFUNCTION("""COMPUTED_VALUE""")," P")</f>
        <v> P</v>
      </c>
      <c r="F2065" s="312" t="s">
        <v>37</v>
      </c>
      <c r="G2065" s="308"/>
      <c r="H2065" s="308" t="s">
        <v>8392</v>
      </c>
      <c r="I2065" s="316">
        <v>2011.0</v>
      </c>
      <c r="J2065" s="319"/>
      <c r="K2065" s="308"/>
      <c r="L2065" s="311">
        <v>2011.0</v>
      </c>
      <c r="M2065" s="308" t="s">
        <v>8393</v>
      </c>
      <c r="N2065" s="308"/>
      <c r="O2065" s="312" t="s">
        <v>8394</v>
      </c>
      <c r="P2065" s="308" t="s">
        <v>8395</v>
      </c>
      <c r="Q2065" s="308"/>
      <c r="R2065" s="308"/>
      <c r="S2065" s="308" t="s">
        <v>81</v>
      </c>
      <c r="T2065" s="308" t="s">
        <v>34264</v>
      </c>
      <c r="U2065" s="308" t="s">
        <v>149</v>
      </c>
      <c r="V2065" s="312"/>
    </row>
    <row r="2066">
      <c r="A2066" s="308">
        <v>2065.0</v>
      </c>
      <c r="B2066" s="308"/>
      <c r="C2066" s="308" t="s">
        <v>8396</v>
      </c>
      <c r="D2066" s="308">
        <f>IFERROR(__xludf.DUMMYFUNCTION("SPLIT(C2066,""-"")"),2086.0)</f>
        <v>2086</v>
      </c>
      <c r="E2066" s="308" t="str">
        <f>IFERROR(__xludf.DUMMYFUNCTION("""COMPUTED_VALUE""")," K")</f>
        <v> K</v>
      </c>
      <c r="F2066" s="309" t="s">
        <v>34</v>
      </c>
      <c r="G2066" s="308"/>
      <c r="H2066" s="308" t="s">
        <v>8397</v>
      </c>
      <c r="I2066" s="316">
        <v>2012.0</v>
      </c>
      <c r="J2066" s="319"/>
      <c r="K2066" s="308"/>
      <c r="L2066" s="311">
        <v>2012.0</v>
      </c>
      <c r="M2066" s="308" t="s">
        <v>8398</v>
      </c>
      <c r="N2066" s="308"/>
      <c r="O2066" s="312" t="s">
        <v>8399</v>
      </c>
      <c r="P2066" s="308" t="s">
        <v>8400</v>
      </c>
      <c r="Q2066" s="308"/>
      <c r="R2066" s="308"/>
      <c r="S2066" s="308" t="s">
        <v>81</v>
      </c>
      <c r="T2066" s="308" t="s">
        <v>34264</v>
      </c>
      <c r="U2066" s="308"/>
      <c r="V2066" s="312"/>
    </row>
    <row r="2067">
      <c r="A2067" s="308">
        <v>2066.0</v>
      </c>
      <c r="B2067" s="308"/>
      <c r="C2067" s="308" t="s">
        <v>8401</v>
      </c>
      <c r="D2067" s="308">
        <f>IFERROR(__xludf.DUMMYFUNCTION("SPLIT(C2067,""-"")"),2087.0)</f>
        <v>2087</v>
      </c>
      <c r="E2067" s="308" t="str">
        <f>IFERROR(__xludf.DUMMYFUNCTION("""COMPUTED_VALUE""")," K")</f>
        <v> K</v>
      </c>
      <c r="F2067" s="309" t="s">
        <v>34</v>
      </c>
      <c r="G2067" s="308"/>
      <c r="H2067" s="308" t="s">
        <v>8402</v>
      </c>
      <c r="I2067" s="314">
        <v>41630.0</v>
      </c>
      <c r="J2067" s="319">
        <f>IFERROR(__xludf.DUMMYFUNCTION("SPLIT(I2067,""/"")"),22.0)</f>
        <v>22</v>
      </c>
      <c r="K2067" s="308">
        <f>IFERROR(__xludf.DUMMYFUNCTION("""COMPUTED_VALUE"""),12.0)</f>
        <v>12</v>
      </c>
      <c r="L2067" s="308">
        <f>IFERROR(__xludf.DUMMYFUNCTION("""COMPUTED_VALUE"""),2013.0)</f>
        <v>2013</v>
      </c>
      <c r="M2067" s="308" t="s">
        <v>8403</v>
      </c>
      <c r="N2067" s="308"/>
      <c r="O2067" s="312" t="s">
        <v>635</v>
      </c>
      <c r="P2067" s="308" t="s">
        <v>8404</v>
      </c>
      <c r="Q2067" s="308"/>
      <c r="R2067" s="308"/>
      <c r="S2067" s="308" t="s">
        <v>81</v>
      </c>
      <c r="T2067" s="308" t="s">
        <v>34264</v>
      </c>
      <c r="U2067" s="308"/>
      <c r="V2067" s="312"/>
    </row>
    <row r="2068">
      <c r="A2068" s="308">
        <v>2067.0</v>
      </c>
      <c r="B2068" s="308"/>
      <c r="C2068" s="308" t="s">
        <v>8405</v>
      </c>
      <c r="D2068" s="308">
        <f>IFERROR(__xludf.DUMMYFUNCTION("SPLIT(C2068,""-"")"),2088.0)</f>
        <v>2088</v>
      </c>
      <c r="E2068" s="308" t="str">
        <f>IFERROR(__xludf.DUMMYFUNCTION("""COMPUTED_VALUE""")," K")</f>
        <v> K</v>
      </c>
      <c r="F2068" s="309" t="s">
        <v>34</v>
      </c>
      <c r="G2068" s="308"/>
      <c r="H2068" s="308" t="s">
        <v>8406</v>
      </c>
      <c r="I2068" s="314">
        <v>40268.0</v>
      </c>
      <c r="J2068" s="319">
        <f>IFERROR(__xludf.DUMMYFUNCTION("SPLIT(I2068,""/"")"),31.0)</f>
        <v>31</v>
      </c>
      <c r="K2068" s="308">
        <f>IFERROR(__xludf.DUMMYFUNCTION("""COMPUTED_VALUE"""),3.0)</f>
        <v>3</v>
      </c>
      <c r="L2068" s="308">
        <f>IFERROR(__xludf.DUMMYFUNCTION("""COMPUTED_VALUE"""),2010.0)</f>
        <v>2010</v>
      </c>
      <c r="M2068" s="308" t="s">
        <v>8407</v>
      </c>
      <c r="N2068" s="308"/>
      <c r="O2068" s="312" t="s">
        <v>8408</v>
      </c>
      <c r="P2068" s="308" t="s">
        <v>36491</v>
      </c>
      <c r="Q2068" s="308"/>
      <c r="R2068" s="308"/>
      <c r="S2068" s="315" t="s">
        <v>100</v>
      </c>
      <c r="T2068" s="311" t="s">
        <v>34208</v>
      </c>
      <c r="U2068" s="308" t="s">
        <v>1393</v>
      </c>
      <c r="V2068" s="312"/>
    </row>
    <row r="2069">
      <c r="A2069" s="308">
        <v>2068.0</v>
      </c>
      <c r="B2069" s="308"/>
      <c r="C2069" s="308" t="s">
        <v>8410</v>
      </c>
      <c r="D2069" s="308">
        <f>IFERROR(__xludf.DUMMYFUNCTION("SPLIT(C2069,""-"")"),2089.0)</f>
        <v>2089</v>
      </c>
      <c r="E2069" s="308" t="str">
        <f>IFERROR(__xludf.DUMMYFUNCTION("""COMPUTED_VALUE""")," F")</f>
        <v> F</v>
      </c>
      <c r="F2069" s="309" t="s">
        <v>34</v>
      </c>
      <c r="G2069" s="308"/>
      <c r="H2069" s="308" t="s">
        <v>8411</v>
      </c>
      <c r="I2069" s="310">
        <v>40483.0</v>
      </c>
      <c r="J2069" s="319">
        <f>IFERROR(__xludf.DUMMYFUNCTION("SPLIT(I2069,""/"")"),1.0)</f>
        <v>1</v>
      </c>
      <c r="K2069" s="308">
        <f>IFERROR(__xludf.DUMMYFUNCTION("""COMPUTED_VALUE"""),11.0)</f>
        <v>11</v>
      </c>
      <c r="L2069" s="308">
        <f>IFERROR(__xludf.DUMMYFUNCTION("""COMPUTED_VALUE"""),2010.0)</f>
        <v>2010</v>
      </c>
      <c r="M2069" s="308" t="s">
        <v>8412</v>
      </c>
      <c r="N2069" s="308"/>
      <c r="O2069" s="312" t="s">
        <v>635</v>
      </c>
      <c r="P2069" s="308" t="s">
        <v>36492</v>
      </c>
      <c r="Q2069" s="308"/>
      <c r="R2069" s="308"/>
      <c r="S2069" s="315" t="s">
        <v>100</v>
      </c>
      <c r="T2069" s="311" t="s">
        <v>34208</v>
      </c>
      <c r="U2069" s="308" t="s">
        <v>195</v>
      </c>
      <c r="V2069" s="312"/>
    </row>
    <row r="2070">
      <c r="A2070" s="308">
        <v>2069.0</v>
      </c>
      <c r="B2070" s="308"/>
      <c r="C2070" s="308" t="s">
        <v>8413</v>
      </c>
      <c r="D2070" s="308">
        <f>IFERROR(__xludf.DUMMYFUNCTION("SPLIT(C2070,""-"")"),2090.0)</f>
        <v>2090</v>
      </c>
      <c r="E2070" s="308" t="str">
        <f>IFERROR(__xludf.DUMMYFUNCTION("""COMPUTED_VALUE""")," K")</f>
        <v> K</v>
      </c>
      <c r="F2070" s="309" t="s">
        <v>34</v>
      </c>
      <c r="G2070" s="308"/>
      <c r="H2070" s="308" t="s">
        <v>36493</v>
      </c>
      <c r="I2070" s="322"/>
      <c r="J2070" s="319"/>
      <c r="K2070" s="308"/>
      <c r="L2070" s="311" t="s">
        <v>79</v>
      </c>
      <c r="M2070" s="308" t="s">
        <v>8415</v>
      </c>
      <c r="N2070" s="308"/>
      <c r="O2070" s="312" t="s">
        <v>8416</v>
      </c>
      <c r="P2070" s="308" t="s">
        <v>36159</v>
      </c>
      <c r="Q2070" s="308"/>
      <c r="R2070" s="308"/>
      <c r="S2070" s="315" t="s">
        <v>100</v>
      </c>
      <c r="T2070" s="311" t="s">
        <v>34208</v>
      </c>
      <c r="U2070" s="308"/>
      <c r="V2070" s="312"/>
    </row>
    <row r="2071">
      <c r="A2071" s="308">
        <v>2070.0</v>
      </c>
      <c r="B2071" s="308"/>
      <c r="C2071" s="308" t="s">
        <v>8417</v>
      </c>
      <c r="D2071" s="308">
        <f>IFERROR(__xludf.DUMMYFUNCTION("SPLIT(C2071,""-"")"),2091.0)</f>
        <v>2091</v>
      </c>
      <c r="E2071" s="308" t="str">
        <f>IFERROR(__xludf.DUMMYFUNCTION("""COMPUTED_VALUE""")," B")</f>
        <v> B</v>
      </c>
      <c r="F2071" s="315" t="s">
        <v>26</v>
      </c>
      <c r="G2071" s="308"/>
      <c r="H2071" s="308" t="s">
        <v>8418</v>
      </c>
      <c r="I2071" s="327">
        <v>41760.0</v>
      </c>
      <c r="J2071" s="319"/>
      <c r="K2071" s="311">
        <v>5.0</v>
      </c>
      <c r="L2071" s="311">
        <v>2014.0</v>
      </c>
      <c r="M2071" s="308" t="s">
        <v>36494</v>
      </c>
      <c r="N2071" s="308"/>
      <c r="O2071" s="312" t="s">
        <v>8420</v>
      </c>
      <c r="P2071" s="308" t="s">
        <v>36495</v>
      </c>
      <c r="Q2071" s="308"/>
      <c r="R2071" s="308"/>
      <c r="S2071" s="308" t="s">
        <v>81</v>
      </c>
      <c r="T2071" s="311" t="s">
        <v>83</v>
      </c>
      <c r="U2071" s="308"/>
      <c r="V2071" s="312"/>
    </row>
    <row r="2072">
      <c r="A2072" s="308">
        <v>2071.0</v>
      </c>
      <c r="B2072" s="312"/>
      <c r="C2072" s="312" t="s">
        <v>8422</v>
      </c>
      <c r="D2072" s="308">
        <f>IFERROR(__xludf.DUMMYFUNCTION("SPLIT(C2072,""-"")"),2092.0)</f>
        <v>2092</v>
      </c>
      <c r="E2072" s="312" t="str">
        <f>IFERROR(__xludf.DUMMYFUNCTION("""COMPUTED_VALUE""")," B")</f>
        <v> B</v>
      </c>
      <c r="F2072" s="315" t="s">
        <v>26</v>
      </c>
      <c r="G2072" s="312"/>
      <c r="H2072" s="312" t="s">
        <v>8423</v>
      </c>
      <c r="I2072" s="327">
        <v>41760.0</v>
      </c>
      <c r="J2072" s="319"/>
      <c r="K2072" s="309">
        <v>5.0</v>
      </c>
      <c r="L2072" s="309">
        <v>2014.0</v>
      </c>
      <c r="M2072" s="312" t="s">
        <v>36496</v>
      </c>
      <c r="N2072" s="312"/>
      <c r="O2072" s="312" t="s">
        <v>8420</v>
      </c>
      <c r="P2072" s="312"/>
      <c r="Q2072" s="308"/>
      <c r="R2072" s="308"/>
      <c r="S2072" s="308" t="s">
        <v>79</v>
      </c>
      <c r="T2072" s="308" t="s">
        <v>79</v>
      </c>
      <c r="U2072" s="312"/>
      <c r="V2072" s="312"/>
    </row>
    <row r="2073">
      <c r="A2073" s="308">
        <v>2072.0</v>
      </c>
      <c r="B2073" s="308"/>
      <c r="C2073" s="308" t="s">
        <v>8425</v>
      </c>
      <c r="D2073" s="308">
        <f>IFERROR(__xludf.DUMMYFUNCTION("SPLIT(C2073,""-"")"),2093.0)</f>
        <v>2093</v>
      </c>
      <c r="E2073" s="308" t="str">
        <f>IFERROR(__xludf.DUMMYFUNCTION("""COMPUTED_VALUE""")," B")</f>
        <v> B</v>
      </c>
      <c r="F2073" s="315" t="s">
        <v>26</v>
      </c>
      <c r="G2073" s="308"/>
      <c r="H2073" s="308" t="s">
        <v>8426</v>
      </c>
      <c r="I2073" s="327">
        <v>41760.0</v>
      </c>
      <c r="J2073" s="319"/>
      <c r="K2073" s="311">
        <v>5.0</v>
      </c>
      <c r="L2073" s="311">
        <v>2014.0</v>
      </c>
      <c r="M2073" s="308" t="s">
        <v>36497</v>
      </c>
      <c r="N2073" s="308"/>
      <c r="O2073" s="312" t="s">
        <v>8420</v>
      </c>
      <c r="P2073" s="308" t="s">
        <v>36495</v>
      </c>
      <c r="Q2073" s="308"/>
      <c r="R2073" s="308"/>
      <c r="S2073" s="308" t="s">
        <v>81</v>
      </c>
      <c r="T2073" s="311" t="s">
        <v>77</v>
      </c>
      <c r="U2073" s="308"/>
      <c r="V2073" s="312"/>
    </row>
    <row r="2074">
      <c r="A2074" s="308">
        <v>2073.0</v>
      </c>
      <c r="B2074" s="308"/>
      <c r="C2074" s="308" t="s">
        <v>8428</v>
      </c>
      <c r="D2074" s="308">
        <f>IFERROR(__xludf.DUMMYFUNCTION("SPLIT(C2074,""-"")"),2094.0)</f>
        <v>2094</v>
      </c>
      <c r="E2074" s="308" t="str">
        <f>IFERROR(__xludf.DUMMYFUNCTION("""COMPUTED_VALUE""")," P")</f>
        <v> P</v>
      </c>
      <c r="F2074" s="312" t="s">
        <v>37</v>
      </c>
      <c r="G2074" s="308" t="s">
        <v>8429</v>
      </c>
      <c r="H2074" s="308" t="s">
        <v>8430</v>
      </c>
      <c r="I2074" s="310">
        <v>41914.0</v>
      </c>
      <c r="J2074" s="319">
        <f>IFERROR(__xludf.DUMMYFUNCTION("SPLIT(I2074,""/"")"),2.0)</f>
        <v>2</v>
      </c>
      <c r="K2074" s="308">
        <f>IFERROR(__xludf.DUMMYFUNCTION("""COMPUTED_VALUE"""),10.0)</f>
        <v>10</v>
      </c>
      <c r="L2074" s="308">
        <f>IFERROR(__xludf.DUMMYFUNCTION("""COMPUTED_VALUE"""),2014.0)</f>
        <v>2014</v>
      </c>
      <c r="M2074" s="308" t="s">
        <v>36498</v>
      </c>
      <c r="N2074" s="308"/>
      <c r="O2074" s="312" t="s">
        <v>635</v>
      </c>
      <c r="P2074" s="308" t="s">
        <v>8432</v>
      </c>
      <c r="Q2074" s="308"/>
      <c r="R2074" s="308"/>
      <c r="S2074" s="308" t="s">
        <v>81</v>
      </c>
      <c r="T2074" s="308" t="s">
        <v>73</v>
      </c>
      <c r="U2074" s="308"/>
      <c r="V2074" s="312"/>
    </row>
    <row r="2075">
      <c r="A2075" s="308">
        <v>2074.0</v>
      </c>
      <c r="B2075" s="308"/>
      <c r="C2075" s="308" t="s">
        <v>8433</v>
      </c>
      <c r="D2075" s="308">
        <f>IFERROR(__xludf.DUMMYFUNCTION("SPLIT(C2075,""-"")"),2095.0)</f>
        <v>2095</v>
      </c>
      <c r="E2075" s="308" t="str">
        <f>IFERROR(__xludf.DUMMYFUNCTION("""COMPUTED_VALUE""")," P")</f>
        <v> P</v>
      </c>
      <c r="F2075" s="312" t="s">
        <v>37</v>
      </c>
      <c r="G2075" s="308"/>
      <c r="H2075" s="308" t="s">
        <v>8434</v>
      </c>
      <c r="I2075" s="314">
        <v>41811.0</v>
      </c>
      <c r="J2075" s="319">
        <f>IFERROR(__xludf.DUMMYFUNCTION("SPLIT(I2075,""/"")"),21.0)</f>
        <v>21</v>
      </c>
      <c r="K2075" s="308">
        <f>IFERROR(__xludf.DUMMYFUNCTION("""COMPUTED_VALUE"""),6.0)</f>
        <v>6</v>
      </c>
      <c r="L2075" s="308">
        <f>IFERROR(__xludf.DUMMYFUNCTION("""COMPUTED_VALUE"""),2014.0)</f>
        <v>2014</v>
      </c>
      <c r="M2075" s="308" t="s">
        <v>8435</v>
      </c>
      <c r="N2075" s="308"/>
      <c r="O2075" s="312" t="s">
        <v>36499</v>
      </c>
      <c r="P2075" s="308" t="s">
        <v>36500</v>
      </c>
      <c r="Q2075" s="308"/>
      <c r="R2075" s="308"/>
      <c r="S2075" s="308" t="s">
        <v>81</v>
      </c>
      <c r="T2075" s="308" t="s">
        <v>75</v>
      </c>
      <c r="U2075" s="308" t="s">
        <v>356</v>
      </c>
      <c r="V2075" s="312"/>
    </row>
    <row r="2076">
      <c r="A2076" s="308">
        <v>2075.0</v>
      </c>
      <c r="B2076" s="308"/>
      <c r="C2076" s="308" t="s">
        <v>8438</v>
      </c>
      <c r="D2076" s="308">
        <f>IFERROR(__xludf.DUMMYFUNCTION("SPLIT(C2076,""-"")"),2096.0)</f>
        <v>2096</v>
      </c>
      <c r="E2076" s="308" t="str">
        <f>IFERROR(__xludf.DUMMYFUNCTION("""COMPUTED_VALUE""")," P")</f>
        <v> P</v>
      </c>
      <c r="F2076" s="312" t="s">
        <v>37</v>
      </c>
      <c r="G2076" s="308"/>
      <c r="H2076" s="308" t="s">
        <v>8439</v>
      </c>
      <c r="I2076" s="314">
        <v>41812.0</v>
      </c>
      <c r="J2076" s="319">
        <f>IFERROR(__xludf.DUMMYFUNCTION("SPLIT(I2076,""/"")"),22.0)</f>
        <v>22</v>
      </c>
      <c r="K2076" s="308">
        <f>IFERROR(__xludf.DUMMYFUNCTION("""COMPUTED_VALUE"""),6.0)</f>
        <v>6</v>
      </c>
      <c r="L2076" s="308">
        <f>IFERROR(__xludf.DUMMYFUNCTION("""COMPUTED_VALUE"""),2014.0)</f>
        <v>2014</v>
      </c>
      <c r="M2076" s="308" t="s">
        <v>8435</v>
      </c>
      <c r="N2076" s="308"/>
      <c r="O2076" s="312" t="s">
        <v>36499</v>
      </c>
      <c r="P2076" s="308" t="s">
        <v>36500</v>
      </c>
      <c r="Q2076" s="308"/>
      <c r="R2076" s="308"/>
      <c r="S2076" s="308" t="s">
        <v>81</v>
      </c>
      <c r="T2076" s="308" t="s">
        <v>75</v>
      </c>
      <c r="U2076" s="308" t="s">
        <v>356</v>
      </c>
      <c r="V2076" s="312"/>
    </row>
    <row r="2077">
      <c r="A2077" s="308">
        <v>2076.0</v>
      </c>
      <c r="B2077" s="308"/>
      <c r="C2077" s="308" t="s">
        <v>8440</v>
      </c>
      <c r="D2077" s="308">
        <f>IFERROR(__xludf.DUMMYFUNCTION("SPLIT(C2077,""-"")"),2097.0)</f>
        <v>2097</v>
      </c>
      <c r="E2077" s="308" t="str">
        <f>IFERROR(__xludf.DUMMYFUNCTION("""COMPUTED_VALUE""")," K")</f>
        <v> K</v>
      </c>
      <c r="F2077" s="309" t="s">
        <v>34</v>
      </c>
      <c r="G2077" s="308" t="s">
        <v>8441</v>
      </c>
      <c r="H2077" s="308" t="s">
        <v>8442</v>
      </c>
      <c r="I2077" s="310">
        <v>41519.0</v>
      </c>
      <c r="J2077" s="319">
        <f>IFERROR(__xludf.DUMMYFUNCTION("SPLIT(I2077,""/"")"),2.0)</f>
        <v>2</v>
      </c>
      <c r="K2077" s="308">
        <f>IFERROR(__xludf.DUMMYFUNCTION("""COMPUTED_VALUE"""),9.0)</f>
        <v>9</v>
      </c>
      <c r="L2077" s="308">
        <f>IFERROR(__xludf.DUMMYFUNCTION("""COMPUTED_VALUE"""),2013.0)</f>
        <v>2013</v>
      </c>
      <c r="M2077" s="308" t="s">
        <v>8443</v>
      </c>
      <c r="N2077" s="308"/>
      <c r="O2077" s="312" t="s">
        <v>8444</v>
      </c>
      <c r="P2077" s="308" t="s">
        <v>8445</v>
      </c>
      <c r="Q2077" s="308"/>
      <c r="R2077" s="308"/>
      <c r="S2077" s="308" t="s">
        <v>81</v>
      </c>
      <c r="T2077" s="308" t="s">
        <v>34264</v>
      </c>
      <c r="U2077" s="308"/>
      <c r="V2077" s="312"/>
    </row>
    <row r="2078">
      <c r="A2078" s="308">
        <v>2077.0</v>
      </c>
      <c r="B2078" s="308"/>
      <c r="C2078" s="308" t="s">
        <v>8446</v>
      </c>
      <c r="D2078" s="308">
        <f>IFERROR(__xludf.DUMMYFUNCTION("SPLIT(C2078,""-"")"),2098.0)</f>
        <v>2098</v>
      </c>
      <c r="E2078" s="308" t="str">
        <f>IFERROR(__xludf.DUMMYFUNCTION("""COMPUTED_VALUE""")," K")</f>
        <v> K</v>
      </c>
      <c r="F2078" s="309" t="s">
        <v>34</v>
      </c>
      <c r="G2078" s="308" t="s">
        <v>8447</v>
      </c>
      <c r="H2078" s="308" t="s">
        <v>8448</v>
      </c>
      <c r="I2078" s="314">
        <v>39960.0</v>
      </c>
      <c r="J2078" s="319">
        <f>IFERROR(__xludf.DUMMYFUNCTION("SPLIT(I2078,""/"")"),27.0)</f>
        <v>27</v>
      </c>
      <c r="K2078" s="308">
        <f>IFERROR(__xludf.DUMMYFUNCTION("""COMPUTED_VALUE"""),5.0)</f>
        <v>5</v>
      </c>
      <c r="L2078" s="308">
        <f>IFERROR(__xludf.DUMMYFUNCTION("""COMPUTED_VALUE"""),2009.0)</f>
        <v>2009</v>
      </c>
      <c r="M2078" s="308" t="s">
        <v>8449</v>
      </c>
      <c r="N2078" s="308"/>
      <c r="O2078" s="312"/>
      <c r="P2078" s="308" t="s">
        <v>36501</v>
      </c>
      <c r="Q2078" s="308"/>
      <c r="R2078" s="308"/>
      <c r="S2078" s="315" t="s">
        <v>100</v>
      </c>
      <c r="T2078" s="311" t="s">
        <v>34208</v>
      </c>
      <c r="U2078" s="308" t="s">
        <v>941</v>
      </c>
      <c r="V2078" s="312"/>
    </row>
    <row r="2079">
      <c r="A2079" s="308">
        <v>2078.0</v>
      </c>
      <c r="B2079" s="308"/>
      <c r="C2079" s="308" t="s">
        <v>8451</v>
      </c>
      <c r="D2079" s="308">
        <f>IFERROR(__xludf.DUMMYFUNCTION("SPLIT(C2079,""-"")"),2099.0)</f>
        <v>2099</v>
      </c>
      <c r="E2079" s="308" t="str">
        <f>IFERROR(__xludf.DUMMYFUNCTION("""COMPUTED_VALUE""")," K")</f>
        <v> K</v>
      </c>
      <c r="F2079" s="309" t="s">
        <v>34</v>
      </c>
      <c r="G2079" s="308" t="s">
        <v>8452</v>
      </c>
      <c r="H2079" s="308" t="s">
        <v>8453</v>
      </c>
      <c r="I2079" s="321">
        <v>41548.0</v>
      </c>
      <c r="J2079" s="319"/>
      <c r="K2079" s="311">
        <v>10.0</v>
      </c>
      <c r="L2079" s="311">
        <v>2013.0</v>
      </c>
      <c r="M2079" s="308" t="s">
        <v>8454</v>
      </c>
      <c r="N2079" s="308"/>
      <c r="O2079" s="312" t="s">
        <v>8455</v>
      </c>
      <c r="P2079" s="308" t="s">
        <v>8456</v>
      </c>
      <c r="Q2079" s="308"/>
      <c r="R2079" s="308"/>
      <c r="S2079" s="308" t="s">
        <v>81</v>
      </c>
      <c r="T2079" s="311" t="s">
        <v>77</v>
      </c>
      <c r="U2079" s="308"/>
      <c r="V2079" s="312"/>
    </row>
    <row r="2080">
      <c r="A2080" s="308">
        <v>2079.0</v>
      </c>
      <c r="B2080" s="308"/>
      <c r="C2080" s="308" t="s">
        <v>8457</v>
      </c>
      <c r="D2080" s="308">
        <f>IFERROR(__xludf.DUMMYFUNCTION("SPLIT(C2080,""-"")"),2100.0)</f>
        <v>2100</v>
      </c>
      <c r="E2080" s="308" t="str">
        <f>IFERROR(__xludf.DUMMYFUNCTION("""COMPUTED_VALUE""")," K")</f>
        <v> K</v>
      </c>
      <c r="F2080" s="309" t="s">
        <v>34</v>
      </c>
      <c r="G2080" s="308" t="s">
        <v>8452</v>
      </c>
      <c r="H2080" s="308" t="s">
        <v>8458</v>
      </c>
      <c r="I2080" s="321">
        <v>41548.0</v>
      </c>
      <c r="J2080" s="319"/>
      <c r="K2080" s="311">
        <v>10.0</v>
      </c>
      <c r="L2080" s="311">
        <v>2013.0</v>
      </c>
      <c r="M2080" s="308" t="s">
        <v>8454</v>
      </c>
      <c r="N2080" s="308"/>
      <c r="O2080" s="312" t="s">
        <v>8455</v>
      </c>
      <c r="P2080" s="308" t="s">
        <v>8456</v>
      </c>
      <c r="Q2080" s="308"/>
      <c r="R2080" s="308"/>
      <c r="S2080" s="308" t="s">
        <v>81</v>
      </c>
      <c r="T2080" s="311" t="s">
        <v>77</v>
      </c>
      <c r="U2080" s="308"/>
      <c r="V2080" s="312"/>
    </row>
    <row r="2081">
      <c r="A2081" s="308">
        <v>2080.0</v>
      </c>
      <c r="B2081" s="308"/>
      <c r="C2081" s="308" t="s">
        <v>8459</v>
      </c>
      <c r="D2081" s="308">
        <f>IFERROR(__xludf.DUMMYFUNCTION("SPLIT(C2081,""-"")"),2101.0)</f>
        <v>2101</v>
      </c>
      <c r="E2081" s="308" t="str">
        <f>IFERROR(__xludf.DUMMYFUNCTION("""COMPUTED_VALUE""")," K")</f>
        <v> K</v>
      </c>
      <c r="F2081" s="309" t="s">
        <v>34</v>
      </c>
      <c r="G2081" s="308" t="s">
        <v>8452</v>
      </c>
      <c r="H2081" s="308" t="s">
        <v>8460</v>
      </c>
      <c r="I2081" s="321">
        <v>41548.0</v>
      </c>
      <c r="J2081" s="319"/>
      <c r="K2081" s="311">
        <v>10.0</v>
      </c>
      <c r="L2081" s="311">
        <v>2013.0</v>
      </c>
      <c r="M2081" s="308" t="s">
        <v>8454</v>
      </c>
      <c r="N2081" s="308"/>
      <c r="O2081" s="312" t="s">
        <v>8455</v>
      </c>
      <c r="P2081" s="308" t="s">
        <v>8456</v>
      </c>
      <c r="Q2081" s="308"/>
      <c r="R2081" s="308"/>
      <c r="S2081" s="308" t="s">
        <v>81</v>
      </c>
      <c r="T2081" s="311" t="s">
        <v>77</v>
      </c>
      <c r="U2081" s="308"/>
      <c r="V2081" s="312"/>
    </row>
    <row r="2082">
      <c r="A2082" s="308">
        <v>2081.0</v>
      </c>
      <c r="B2082" s="308"/>
      <c r="C2082" s="308" t="s">
        <v>8461</v>
      </c>
      <c r="D2082" s="308">
        <f>IFERROR(__xludf.DUMMYFUNCTION("SPLIT(C2082,""-"")"),2102.0)</f>
        <v>2102</v>
      </c>
      <c r="E2082" s="308" t="str">
        <f>IFERROR(__xludf.DUMMYFUNCTION("""COMPUTED_VALUE""")," K")</f>
        <v> K</v>
      </c>
      <c r="F2082" s="309" t="s">
        <v>34</v>
      </c>
      <c r="G2082" s="308" t="s">
        <v>8462</v>
      </c>
      <c r="H2082" s="308" t="s">
        <v>8463</v>
      </c>
      <c r="I2082" s="314">
        <v>41117.0</v>
      </c>
      <c r="J2082" s="319">
        <f>IFERROR(__xludf.DUMMYFUNCTION("SPLIT(I2082,""/"")"),27.0)</f>
        <v>27</v>
      </c>
      <c r="K2082" s="308">
        <f>IFERROR(__xludf.DUMMYFUNCTION("""COMPUTED_VALUE"""),7.0)</f>
        <v>7</v>
      </c>
      <c r="L2082" s="308">
        <f>IFERROR(__xludf.DUMMYFUNCTION("""COMPUTED_VALUE"""),2012.0)</f>
        <v>2012</v>
      </c>
      <c r="M2082" s="308" t="s">
        <v>8464</v>
      </c>
      <c r="N2082" s="308"/>
      <c r="O2082" s="312" t="s">
        <v>635</v>
      </c>
      <c r="P2082" s="308" t="s">
        <v>8465</v>
      </c>
      <c r="Q2082" s="308"/>
      <c r="R2082" s="308"/>
      <c r="S2082" s="308" t="s">
        <v>81</v>
      </c>
      <c r="T2082" s="311" t="s">
        <v>91</v>
      </c>
      <c r="U2082" s="308"/>
      <c r="V2082" s="312"/>
    </row>
    <row r="2083">
      <c r="A2083" s="308">
        <v>2082.0</v>
      </c>
      <c r="B2083" s="308"/>
      <c r="C2083" s="308" t="s">
        <v>8466</v>
      </c>
      <c r="D2083" s="308">
        <f>IFERROR(__xludf.DUMMYFUNCTION("SPLIT(C2083,""-"")"),2103.0)</f>
        <v>2103</v>
      </c>
      <c r="E2083" s="308" t="str">
        <f>IFERROR(__xludf.DUMMYFUNCTION("""COMPUTED_VALUE""")," K")</f>
        <v> K</v>
      </c>
      <c r="F2083" s="309" t="s">
        <v>34</v>
      </c>
      <c r="G2083" s="308" t="s">
        <v>8467</v>
      </c>
      <c r="H2083" s="308" t="s">
        <v>8468</v>
      </c>
      <c r="I2083" s="316">
        <v>2012.0</v>
      </c>
      <c r="J2083" s="319"/>
      <c r="K2083" s="308"/>
      <c r="L2083" s="311">
        <v>2012.0</v>
      </c>
      <c r="M2083" s="308" t="s">
        <v>8469</v>
      </c>
      <c r="N2083" s="308"/>
      <c r="O2083" s="312" t="s">
        <v>8470</v>
      </c>
      <c r="P2083" s="308" t="s">
        <v>8471</v>
      </c>
      <c r="Q2083" s="308"/>
      <c r="R2083" s="308"/>
      <c r="S2083" s="308" t="s">
        <v>81</v>
      </c>
      <c r="T2083" s="308" t="s">
        <v>34264</v>
      </c>
      <c r="U2083" s="308"/>
      <c r="V2083" s="312"/>
    </row>
    <row r="2084">
      <c r="A2084" s="308">
        <v>2083.0</v>
      </c>
      <c r="B2084" s="308"/>
      <c r="C2084" s="308" t="s">
        <v>8472</v>
      </c>
      <c r="D2084" s="308">
        <f>IFERROR(__xludf.DUMMYFUNCTION("SPLIT(C2084,""-"")"),2104.0)</f>
        <v>2104</v>
      </c>
      <c r="E2084" s="308" t="str">
        <f>IFERROR(__xludf.DUMMYFUNCTION("""COMPUTED_VALUE""")," K")</f>
        <v> K</v>
      </c>
      <c r="F2084" s="309" t="s">
        <v>34</v>
      </c>
      <c r="G2084" s="308" t="s">
        <v>8473</v>
      </c>
      <c r="H2084" s="308" t="s">
        <v>8474</v>
      </c>
      <c r="I2084" s="314">
        <v>39978.0</v>
      </c>
      <c r="J2084" s="319">
        <f>IFERROR(__xludf.DUMMYFUNCTION("SPLIT(I2084,""/"")"),14.0)</f>
        <v>14</v>
      </c>
      <c r="K2084" s="308">
        <f>IFERROR(__xludf.DUMMYFUNCTION("""COMPUTED_VALUE"""),6.0)</f>
        <v>6</v>
      </c>
      <c r="L2084" s="308">
        <f>IFERROR(__xludf.DUMMYFUNCTION("""COMPUTED_VALUE"""),2009.0)</f>
        <v>2009</v>
      </c>
      <c r="M2084" s="308" t="s">
        <v>8475</v>
      </c>
      <c r="N2084" s="308"/>
      <c r="O2084" s="312" t="s">
        <v>8476</v>
      </c>
      <c r="P2084" s="308" t="s">
        <v>1872</v>
      </c>
      <c r="Q2084" s="308"/>
      <c r="R2084" s="308"/>
      <c r="S2084" s="315" t="s">
        <v>100</v>
      </c>
      <c r="T2084" s="311" t="s">
        <v>34208</v>
      </c>
      <c r="U2084" s="308" t="s">
        <v>530</v>
      </c>
      <c r="V2084" s="312"/>
    </row>
    <row r="2085">
      <c r="A2085" s="308">
        <v>2084.0</v>
      </c>
      <c r="B2085" s="308"/>
      <c r="C2085" s="308" t="s">
        <v>8477</v>
      </c>
      <c r="D2085" s="308">
        <f>IFERROR(__xludf.DUMMYFUNCTION("SPLIT(C2085,""-"")"),2105.0)</f>
        <v>2105</v>
      </c>
      <c r="E2085" s="308" t="str">
        <f>IFERROR(__xludf.DUMMYFUNCTION("""COMPUTED_VALUE""")," K")</f>
        <v> K</v>
      </c>
      <c r="F2085" s="309" t="s">
        <v>34</v>
      </c>
      <c r="G2085" s="308" t="s">
        <v>8478</v>
      </c>
      <c r="H2085" s="308" t="s">
        <v>8479</v>
      </c>
      <c r="I2085" s="316">
        <v>2011.0</v>
      </c>
      <c r="J2085" s="319"/>
      <c r="K2085" s="308"/>
      <c r="L2085" s="311">
        <v>2011.0</v>
      </c>
      <c r="M2085" s="308" t="s">
        <v>8480</v>
      </c>
      <c r="N2085" s="308"/>
      <c r="O2085" s="312" t="s">
        <v>8481</v>
      </c>
      <c r="P2085" s="308" t="s">
        <v>8482</v>
      </c>
      <c r="Q2085" s="308"/>
      <c r="R2085" s="308"/>
      <c r="S2085" s="308" t="s">
        <v>81</v>
      </c>
      <c r="T2085" s="308" t="s">
        <v>34264</v>
      </c>
      <c r="U2085" s="308"/>
      <c r="V2085" s="312"/>
    </row>
    <row r="2086">
      <c r="A2086" s="308">
        <v>2085.0</v>
      </c>
      <c r="B2086" s="308"/>
      <c r="C2086" s="308" t="s">
        <v>8483</v>
      </c>
      <c r="D2086" s="308">
        <f>IFERROR(__xludf.DUMMYFUNCTION("SPLIT(C2086,""-"")"),2106.0)</f>
        <v>2106</v>
      </c>
      <c r="E2086" s="308" t="str">
        <f>IFERROR(__xludf.DUMMYFUNCTION("""COMPUTED_VALUE""")," K")</f>
        <v> K</v>
      </c>
      <c r="F2086" s="309" t="s">
        <v>34</v>
      </c>
      <c r="G2086" s="308" t="s">
        <v>8484</v>
      </c>
      <c r="H2086" s="308" t="s">
        <v>36502</v>
      </c>
      <c r="I2086" s="316">
        <v>2012.0</v>
      </c>
      <c r="J2086" s="319"/>
      <c r="K2086" s="308"/>
      <c r="L2086" s="311">
        <v>2012.0</v>
      </c>
      <c r="M2086" s="308" t="s">
        <v>8486</v>
      </c>
      <c r="N2086" s="308"/>
      <c r="O2086" s="312" t="s">
        <v>8487</v>
      </c>
      <c r="P2086" s="308" t="s">
        <v>8488</v>
      </c>
      <c r="Q2086" s="308"/>
      <c r="R2086" s="308"/>
      <c r="S2086" s="308" t="s">
        <v>81</v>
      </c>
      <c r="T2086" s="308" t="s">
        <v>75</v>
      </c>
      <c r="U2086" s="308"/>
      <c r="V2086" s="312"/>
    </row>
    <row r="2087">
      <c r="A2087" s="308">
        <v>2086.0</v>
      </c>
      <c r="B2087" s="308"/>
      <c r="C2087" s="308" t="s">
        <v>8489</v>
      </c>
      <c r="D2087" s="308">
        <f>IFERROR(__xludf.DUMMYFUNCTION("SPLIT(C2087,""-"")"),2107.0)</f>
        <v>2107</v>
      </c>
      <c r="E2087" s="308" t="str">
        <f>IFERROR(__xludf.DUMMYFUNCTION("""COMPUTED_VALUE""")," K")</f>
        <v> K</v>
      </c>
      <c r="F2087" s="309" t="s">
        <v>34</v>
      </c>
      <c r="G2087" s="308" t="s">
        <v>8490</v>
      </c>
      <c r="H2087" s="308" t="s">
        <v>8491</v>
      </c>
      <c r="I2087" s="322"/>
      <c r="J2087" s="319"/>
      <c r="K2087" s="308"/>
      <c r="L2087" s="311" t="s">
        <v>79</v>
      </c>
      <c r="M2087" s="308" t="s">
        <v>8492</v>
      </c>
      <c r="N2087" s="308"/>
      <c r="O2087" s="312" t="s">
        <v>8493</v>
      </c>
      <c r="P2087" s="308" t="s">
        <v>8494</v>
      </c>
      <c r="Q2087" s="308"/>
      <c r="R2087" s="308"/>
      <c r="S2087" s="308" t="s">
        <v>81</v>
      </c>
      <c r="T2087" s="311" t="s">
        <v>51</v>
      </c>
      <c r="U2087" s="308" t="s">
        <v>201</v>
      </c>
      <c r="V2087" s="312"/>
    </row>
    <row r="2088">
      <c r="A2088" s="308">
        <v>2087.0</v>
      </c>
      <c r="B2088" s="308"/>
      <c r="C2088" s="308" t="s">
        <v>8495</v>
      </c>
      <c r="D2088" s="308">
        <f>IFERROR(__xludf.DUMMYFUNCTION("SPLIT(C2088,""-"")"),2108.0)</f>
        <v>2108</v>
      </c>
      <c r="E2088" s="308" t="str">
        <f>IFERROR(__xludf.DUMMYFUNCTION("""COMPUTED_VALUE""")," K")</f>
        <v> K</v>
      </c>
      <c r="F2088" s="309" t="s">
        <v>34</v>
      </c>
      <c r="G2088" s="308" t="s">
        <v>8496</v>
      </c>
      <c r="H2088" s="308" t="s">
        <v>8497</v>
      </c>
      <c r="I2088" s="310">
        <v>41793.0</v>
      </c>
      <c r="J2088" s="319">
        <f>IFERROR(__xludf.DUMMYFUNCTION("SPLIT(I2088,""/"")"),3.0)</f>
        <v>3</v>
      </c>
      <c r="K2088" s="308">
        <f>IFERROR(__xludf.DUMMYFUNCTION("""COMPUTED_VALUE"""),6.0)</f>
        <v>6</v>
      </c>
      <c r="L2088" s="308">
        <f>IFERROR(__xludf.DUMMYFUNCTION("""COMPUTED_VALUE"""),2014.0)</f>
        <v>2014</v>
      </c>
      <c r="M2088" s="308" t="s">
        <v>36503</v>
      </c>
      <c r="N2088" s="308"/>
      <c r="O2088" s="312" t="s">
        <v>635</v>
      </c>
      <c r="P2088" s="308" t="s">
        <v>8499</v>
      </c>
      <c r="Q2088" s="308"/>
      <c r="R2088" s="308"/>
      <c r="S2088" s="308" t="s">
        <v>81</v>
      </c>
      <c r="T2088" s="308" t="s">
        <v>34264</v>
      </c>
      <c r="U2088" s="308"/>
      <c r="V2088" s="312"/>
    </row>
    <row r="2089">
      <c r="A2089" s="308">
        <v>2088.0</v>
      </c>
      <c r="B2089" s="308"/>
      <c r="C2089" s="308" t="s">
        <v>8500</v>
      </c>
      <c r="D2089" s="308">
        <f>IFERROR(__xludf.DUMMYFUNCTION("SPLIT(C2089,""-"")"),2109.0)</f>
        <v>2109</v>
      </c>
      <c r="E2089" s="308" t="str">
        <f>IFERROR(__xludf.DUMMYFUNCTION("""COMPUTED_VALUE""")," K")</f>
        <v> K</v>
      </c>
      <c r="F2089" s="309" t="s">
        <v>34</v>
      </c>
      <c r="G2089" s="308" t="s">
        <v>8496</v>
      </c>
      <c r="H2089" s="308" t="s">
        <v>8501</v>
      </c>
      <c r="I2089" s="310">
        <v>41793.0</v>
      </c>
      <c r="J2089" s="319">
        <f>IFERROR(__xludf.DUMMYFUNCTION("SPLIT(I2089,""/"")"),3.0)</f>
        <v>3</v>
      </c>
      <c r="K2089" s="308">
        <f>IFERROR(__xludf.DUMMYFUNCTION("""COMPUTED_VALUE"""),6.0)</f>
        <v>6</v>
      </c>
      <c r="L2089" s="308">
        <f>IFERROR(__xludf.DUMMYFUNCTION("""COMPUTED_VALUE"""),2014.0)</f>
        <v>2014</v>
      </c>
      <c r="M2089" s="308" t="s">
        <v>36503</v>
      </c>
      <c r="N2089" s="308"/>
      <c r="O2089" s="312" t="s">
        <v>635</v>
      </c>
      <c r="P2089" s="308" t="s">
        <v>8499</v>
      </c>
      <c r="Q2089" s="308"/>
      <c r="R2089" s="308"/>
      <c r="S2089" s="308" t="s">
        <v>81</v>
      </c>
      <c r="T2089" s="308" t="s">
        <v>34264</v>
      </c>
      <c r="U2089" s="308"/>
      <c r="V2089" s="312"/>
    </row>
    <row r="2090">
      <c r="A2090" s="308">
        <v>2089.0</v>
      </c>
      <c r="B2090" s="308"/>
      <c r="C2090" s="308" t="s">
        <v>8502</v>
      </c>
      <c r="D2090" s="308">
        <f>IFERROR(__xludf.DUMMYFUNCTION("SPLIT(C2090,""-"")"),2110.0)</f>
        <v>2110</v>
      </c>
      <c r="E2090" s="308" t="str">
        <f>IFERROR(__xludf.DUMMYFUNCTION("""COMPUTED_VALUE""")," K")</f>
        <v> K</v>
      </c>
      <c r="F2090" s="309" t="s">
        <v>34</v>
      </c>
      <c r="G2090" s="308" t="s">
        <v>8503</v>
      </c>
      <c r="H2090" s="308" t="s">
        <v>8504</v>
      </c>
      <c r="I2090" s="316">
        <v>2010.0</v>
      </c>
      <c r="J2090" s="319"/>
      <c r="K2090" s="308"/>
      <c r="L2090" s="311">
        <v>2010.0</v>
      </c>
      <c r="M2090" s="308" t="s">
        <v>8505</v>
      </c>
      <c r="N2090" s="308"/>
      <c r="O2090" s="312" t="s">
        <v>8506</v>
      </c>
      <c r="P2090" s="308" t="s">
        <v>36159</v>
      </c>
      <c r="Q2090" s="308"/>
      <c r="R2090" s="308"/>
      <c r="S2090" s="315" t="s">
        <v>100</v>
      </c>
      <c r="T2090" s="311" t="s">
        <v>34208</v>
      </c>
      <c r="U2090" s="308" t="s">
        <v>530</v>
      </c>
      <c r="V2090" s="312"/>
    </row>
    <row r="2091">
      <c r="A2091" s="308">
        <v>2090.0</v>
      </c>
      <c r="B2091" s="308"/>
      <c r="C2091" s="308" t="s">
        <v>8507</v>
      </c>
      <c r="D2091" s="308">
        <f>IFERROR(__xludf.DUMMYFUNCTION("SPLIT(C2091,""-"")"),2111.0)</f>
        <v>2111</v>
      </c>
      <c r="E2091" s="308" t="str">
        <f>IFERROR(__xludf.DUMMYFUNCTION("""COMPUTED_VALUE""")," K")</f>
        <v> K</v>
      </c>
      <c r="F2091" s="309" t="s">
        <v>34</v>
      </c>
      <c r="G2091" s="308" t="s">
        <v>8508</v>
      </c>
      <c r="H2091" s="308" t="s">
        <v>8509</v>
      </c>
      <c r="I2091" s="316">
        <v>2010.0</v>
      </c>
      <c r="J2091" s="319"/>
      <c r="K2091" s="308"/>
      <c r="L2091" s="311">
        <v>2010.0</v>
      </c>
      <c r="M2091" s="308" t="s">
        <v>8510</v>
      </c>
      <c r="N2091" s="308"/>
      <c r="O2091" s="312" t="s">
        <v>36101</v>
      </c>
      <c r="P2091" s="308" t="s">
        <v>8511</v>
      </c>
      <c r="Q2091" s="308"/>
      <c r="R2091" s="308"/>
      <c r="S2091" s="308" t="s">
        <v>81</v>
      </c>
      <c r="T2091" s="308" t="s">
        <v>34264</v>
      </c>
      <c r="U2091" s="308"/>
      <c r="V2091" s="312"/>
    </row>
    <row r="2092">
      <c r="A2092" s="308">
        <v>2091.0</v>
      </c>
      <c r="B2092" s="308"/>
      <c r="C2092" s="308" t="s">
        <v>8512</v>
      </c>
      <c r="D2092" s="308">
        <f>IFERROR(__xludf.DUMMYFUNCTION("SPLIT(C2092,""-"")"),2112.0)</f>
        <v>2112</v>
      </c>
      <c r="E2092" s="308" t="str">
        <f>IFERROR(__xludf.DUMMYFUNCTION("""COMPUTED_VALUE""")," K")</f>
        <v> K</v>
      </c>
      <c r="F2092" s="309" t="s">
        <v>34</v>
      </c>
      <c r="G2092" s="308" t="s">
        <v>8513</v>
      </c>
      <c r="H2092" s="308" t="s">
        <v>8514</v>
      </c>
      <c r="I2092" s="314">
        <v>41075.0</v>
      </c>
      <c r="J2092" s="319">
        <f>IFERROR(__xludf.DUMMYFUNCTION("SPLIT(I2092,""/"")"),15.0)</f>
        <v>15</v>
      </c>
      <c r="K2092" s="308">
        <f>IFERROR(__xludf.DUMMYFUNCTION("""COMPUTED_VALUE"""),6.0)</f>
        <v>6</v>
      </c>
      <c r="L2092" s="308">
        <f>IFERROR(__xludf.DUMMYFUNCTION("""COMPUTED_VALUE"""),2012.0)</f>
        <v>2012</v>
      </c>
      <c r="M2092" s="308" t="s">
        <v>8515</v>
      </c>
      <c r="N2092" s="308"/>
      <c r="O2092" s="312" t="s">
        <v>8516</v>
      </c>
      <c r="P2092" s="308" t="s">
        <v>8517</v>
      </c>
      <c r="Q2092" s="308"/>
      <c r="R2092" s="308"/>
      <c r="S2092" s="308" t="s">
        <v>81</v>
      </c>
      <c r="T2092" s="311" t="s">
        <v>87</v>
      </c>
      <c r="U2092" s="308"/>
      <c r="V2092" s="312"/>
    </row>
    <row r="2093">
      <c r="A2093" s="308">
        <v>2092.0</v>
      </c>
      <c r="B2093" s="308"/>
      <c r="C2093" s="308" t="s">
        <v>8518</v>
      </c>
      <c r="D2093" s="308">
        <f>IFERROR(__xludf.DUMMYFUNCTION("SPLIT(C2093,""-"")"),2113.0)</f>
        <v>2113</v>
      </c>
      <c r="E2093" s="308" t="str">
        <f>IFERROR(__xludf.DUMMYFUNCTION("""COMPUTED_VALUE""")," K")</f>
        <v> K</v>
      </c>
      <c r="F2093" s="309" t="s">
        <v>34</v>
      </c>
      <c r="G2093" s="308" t="s">
        <v>8519</v>
      </c>
      <c r="H2093" s="308" t="s">
        <v>8520</v>
      </c>
      <c r="I2093" s="316">
        <v>2010.0</v>
      </c>
      <c r="J2093" s="319"/>
      <c r="K2093" s="308"/>
      <c r="L2093" s="311">
        <v>2010.0</v>
      </c>
      <c r="M2093" s="308" t="s">
        <v>8521</v>
      </c>
      <c r="N2093" s="308" t="s">
        <v>8522</v>
      </c>
      <c r="O2093" s="312" t="s">
        <v>8523</v>
      </c>
      <c r="P2093" s="308" t="s">
        <v>36159</v>
      </c>
      <c r="Q2093" s="308"/>
      <c r="R2093" s="308"/>
      <c r="S2093" s="315" t="s">
        <v>100</v>
      </c>
      <c r="T2093" s="311" t="s">
        <v>34208</v>
      </c>
      <c r="U2093" s="308" t="s">
        <v>530</v>
      </c>
      <c r="V2093" s="312"/>
    </row>
    <row r="2094">
      <c r="A2094" s="308">
        <v>2093.0</v>
      </c>
      <c r="B2094" s="308"/>
      <c r="C2094" s="308" t="s">
        <v>8524</v>
      </c>
      <c r="D2094" s="308">
        <f>IFERROR(__xludf.DUMMYFUNCTION("SPLIT(C2094,""-"")"),2114.0)</f>
        <v>2114</v>
      </c>
      <c r="E2094" s="308" t="str">
        <f>IFERROR(__xludf.DUMMYFUNCTION("""COMPUTED_VALUE""")," K")</f>
        <v> K</v>
      </c>
      <c r="F2094" s="309" t="s">
        <v>34</v>
      </c>
      <c r="G2094" s="308" t="s">
        <v>8525</v>
      </c>
      <c r="H2094" s="308" t="s">
        <v>8526</v>
      </c>
      <c r="I2094" s="310">
        <v>40951.0</v>
      </c>
      <c r="J2094" s="319">
        <f>IFERROR(__xludf.DUMMYFUNCTION("SPLIT(I2094,""/"")"),12.0)</f>
        <v>12</v>
      </c>
      <c r="K2094" s="308">
        <f>IFERROR(__xludf.DUMMYFUNCTION("""COMPUTED_VALUE"""),2.0)</f>
        <v>2</v>
      </c>
      <c r="L2094" s="308">
        <f>IFERROR(__xludf.DUMMYFUNCTION("""COMPUTED_VALUE"""),2012.0)</f>
        <v>2012</v>
      </c>
      <c r="M2094" s="308" t="s">
        <v>8527</v>
      </c>
      <c r="N2094" s="308"/>
      <c r="O2094" s="312" t="s">
        <v>8528</v>
      </c>
      <c r="P2094" s="308" t="s">
        <v>8529</v>
      </c>
      <c r="Q2094" s="308"/>
      <c r="R2094" s="308"/>
      <c r="S2094" s="311" t="s">
        <v>81</v>
      </c>
      <c r="T2094" s="311" t="s">
        <v>34264</v>
      </c>
      <c r="U2094" s="308"/>
      <c r="V2094" s="312"/>
    </row>
    <row r="2095">
      <c r="A2095" s="308">
        <v>2094.0</v>
      </c>
      <c r="B2095" s="308"/>
      <c r="C2095" s="308" t="s">
        <v>8530</v>
      </c>
      <c r="D2095" s="308">
        <f>IFERROR(__xludf.DUMMYFUNCTION("SPLIT(C2095,""-"")"),2115.0)</f>
        <v>2115</v>
      </c>
      <c r="E2095" s="308" t="str">
        <f>IFERROR(__xludf.DUMMYFUNCTION("""COMPUTED_VALUE""")," K")</f>
        <v> K</v>
      </c>
      <c r="F2095" s="309" t="s">
        <v>34</v>
      </c>
      <c r="G2095" s="308" t="s">
        <v>8531</v>
      </c>
      <c r="H2095" s="308" t="s">
        <v>8532</v>
      </c>
      <c r="I2095" s="310">
        <v>41307.0</v>
      </c>
      <c r="J2095" s="319">
        <f>IFERROR(__xludf.DUMMYFUNCTION("SPLIT(I2095,""/"")"),2.0)</f>
        <v>2</v>
      </c>
      <c r="K2095" s="308">
        <f>IFERROR(__xludf.DUMMYFUNCTION("""COMPUTED_VALUE"""),2.0)</f>
        <v>2</v>
      </c>
      <c r="L2095" s="308">
        <f>IFERROR(__xludf.DUMMYFUNCTION("""COMPUTED_VALUE"""),2013.0)</f>
        <v>2013</v>
      </c>
      <c r="M2095" s="308" t="s">
        <v>8533</v>
      </c>
      <c r="N2095" s="308"/>
      <c r="O2095" s="312" t="s">
        <v>635</v>
      </c>
      <c r="P2095" s="308" t="s">
        <v>8534</v>
      </c>
      <c r="Q2095" s="308"/>
      <c r="R2095" s="308"/>
      <c r="S2095" s="308" t="s">
        <v>81</v>
      </c>
      <c r="T2095" s="308" t="s">
        <v>34264</v>
      </c>
      <c r="U2095" s="308"/>
      <c r="V2095" s="312"/>
    </row>
    <row r="2096">
      <c r="A2096" s="308">
        <v>2095.0</v>
      </c>
      <c r="B2096" s="308"/>
      <c r="C2096" s="308" t="s">
        <v>8535</v>
      </c>
      <c r="D2096" s="308">
        <f>IFERROR(__xludf.DUMMYFUNCTION("SPLIT(C2096,""-"")"),2116.0)</f>
        <v>2116</v>
      </c>
      <c r="E2096" s="308" t="str">
        <f>IFERROR(__xludf.DUMMYFUNCTION("""COMPUTED_VALUE""")," K")</f>
        <v> K</v>
      </c>
      <c r="F2096" s="309" t="s">
        <v>34</v>
      </c>
      <c r="G2096" s="308" t="s">
        <v>8536</v>
      </c>
      <c r="H2096" s="308" t="s">
        <v>8537</v>
      </c>
      <c r="I2096" s="310">
        <v>41426.0</v>
      </c>
      <c r="J2096" s="319">
        <f>IFERROR(__xludf.DUMMYFUNCTION("SPLIT(I2096,""/"")"),1.0)</f>
        <v>1</v>
      </c>
      <c r="K2096" s="308">
        <f>IFERROR(__xludf.DUMMYFUNCTION("""COMPUTED_VALUE"""),6.0)</f>
        <v>6</v>
      </c>
      <c r="L2096" s="308">
        <f>IFERROR(__xludf.DUMMYFUNCTION("""COMPUTED_VALUE"""),2013.0)</f>
        <v>2013</v>
      </c>
      <c r="M2096" s="308" t="s">
        <v>8538</v>
      </c>
      <c r="N2096" s="308"/>
      <c r="O2096" s="312" t="s">
        <v>8539</v>
      </c>
      <c r="P2096" s="308" t="s">
        <v>8540</v>
      </c>
      <c r="Q2096" s="308"/>
      <c r="R2096" s="308"/>
      <c r="S2096" s="308" t="s">
        <v>81</v>
      </c>
      <c r="T2096" s="308" t="s">
        <v>75</v>
      </c>
      <c r="U2096" s="308"/>
      <c r="V2096" s="312"/>
    </row>
    <row r="2097">
      <c r="A2097" s="308">
        <v>2096.0</v>
      </c>
      <c r="B2097" s="308"/>
      <c r="C2097" s="308" t="s">
        <v>8541</v>
      </c>
      <c r="D2097" s="308">
        <f>IFERROR(__xludf.DUMMYFUNCTION("SPLIT(C2097,""-"")"),2117.0)</f>
        <v>2117</v>
      </c>
      <c r="E2097" s="308" t="str">
        <f>IFERROR(__xludf.DUMMYFUNCTION("""COMPUTED_VALUE""")," K")</f>
        <v> K</v>
      </c>
      <c r="F2097" s="309" t="s">
        <v>34</v>
      </c>
      <c r="G2097" s="308" t="s">
        <v>8536</v>
      </c>
      <c r="H2097" s="308" t="s">
        <v>8542</v>
      </c>
      <c r="I2097" s="310">
        <v>41426.0</v>
      </c>
      <c r="J2097" s="319">
        <f>IFERROR(__xludf.DUMMYFUNCTION("SPLIT(I2097,""/"")"),1.0)</f>
        <v>1</v>
      </c>
      <c r="K2097" s="308">
        <f>IFERROR(__xludf.DUMMYFUNCTION("""COMPUTED_VALUE"""),6.0)</f>
        <v>6</v>
      </c>
      <c r="L2097" s="308">
        <f>IFERROR(__xludf.DUMMYFUNCTION("""COMPUTED_VALUE"""),2013.0)</f>
        <v>2013</v>
      </c>
      <c r="M2097" s="308" t="s">
        <v>8538</v>
      </c>
      <c r="N2097" s="308"/>
      <c r="O2097" s="312" t="s">
        <v>8539</v>
      </c>
      <c r="P2097" s="308" t="s">
        <v>8540</v>
      </c>
      <c r="Q2097" s="308"/>
      <c r="R2097" s="308"/>
      <c r="S2097" s="308" t="s">
        <v>81</v>
      </c>
      <c r="T2097" s="308" t="s">
        <v>75</v>
      </c>
      <c r="U2097" s="308"/>
      <c r="V2097" s="312"/>
    </row>
    <row r="2098">
      <c r="A2098" s="308">
        <v>2097.0</v>
      </c>
      <c r="B2098" s="308"/>
      <c r="C2098" s="308" t="s">
        <v>8543</v>
      </c>
      <c r="D2098" s="308">
        <f>IFERROR(__xludf.DUMMYFUNCTION("SPLIT(C2098,""-"")"),2118.0)</f>
        <v>2118</v>
      </c>
      <c r="E2098" s="308" t="str">
        <f>IFERROR(__xludf.DUMMYFUNCTION("""COMPUTED_VALUE""")," K")</f>
        <v> K</v>
      </c>
      <c r="F2098" s="309" t="s">
        <v>34</v>
      </c>
      <c r="G2098" s="308" t="s">
        <v>8544</v>
      </c>
      <c r="H2098" s="308" t="s">
        <v>8545</v>
      </c>
      <c r="I2098" s="310">
        <v>40050.0</v>
      </c>
      <c r="J2098" s="319">
        <f>IFERROR(__xludf.DUMMYFUNCTION("SPLIT(I2098,""/"")"),25.0)</f>
        <v>25</v>
      </c>
      <c r="K2098" s="308">
        <f>IFERROR(__xludf.DUMMYFUNCTION("""COMPUTED_VALUE"""),8.0)</f>
        <v>8</v>
      </c>
      <c r="L2098" s="308">
        <f>IFERROR(__xludf.DUMMYFUNCTION("""COMPUTED_VALUE"""),2009.0)</f>
        <v>2009</v>
      </c>
      <c r="M2098" s="308" t="s">
        <v>8546</v>
      </c>
      <c r="N2098" s="308" t="s">
        <v>8547</v>
      </c>
      <c r="O2098" s="312" t="s">
        <v>8548</v>
      </c>
      <c r="P2098" s="308" t="s">
        <v>36159</v>
      </c>
      <c r="Q2098" s="308"/>
      <c r="R2098" s="308" t="s">
        <v>2743</v>
      </c>
      <c r="S2098" s="315" t="s">
        <v>100</v>
      </c>
      <c r="T2098" s="311" t="s">
        <v>34208</v>
      </c>
      <c r="U2098" s="308" t="s">
        <v>530</v>
      </c>
      <c r="V2098" s="312"/>
    </row>
    <row r="2099">
      <c r="A2099" s="308">
        <v>2098.0</v>
      </c>
      <c r="B2099" s="308"/>
      <c r="C2099" s="308" t="s">
        <v>8549</v>
      </c>
      <c r="D2099" s="308">
        <f>IFERROR(__xludf.DUMMYFUNCTION("SPLIT(C2099,""-"")"),2119.0)</f>
        <v>2119</v>
      </c>
      <c r="E2099" s="308" t="str">
        <f>IFERROR(__xludf.DUMMYFUNCTION("""COMPUTED_VALUE""")," K")</f>
        <v> K</v>
      </c>
      <c r="F2099" s="309" t="s">
        <v>34</v>
      </c>
      <c r="G2099" s="308" t="s">
        <v>8544</v>
      </c>
      <c r="H2099" s="308" t="s">
        <v>8550</v>
      </c>
      <c r="I2099" s="314">
        <v>40015.0</v>
      </c>
      <c r="J2099" s="319">
        <f>IFERROR(__xludf.DUMMYFUNCTION("SPLIT(I2099,""/"")"),21.0)</f>
        <v>21</v>
      </c>
      <c r="K2099" s="308">
        <f>IFERROR(__xludf.DUMMYFUNCTION("""COMPUTED_VALUE"""),7.0)</f>
        <v>7</v>
      </c>
      <c r="L2099" s="308">
        <f>IFERROR(__xludf.DUMMYFUNCTION("""COMPUTED_VALUE"""),2009.0)</f>
        <v>2009</v>
      </c>
      <c r="M2099" s="308" t="s">
        <v>36504</v>
      </c>
      <c r="N2099" s="308"/>
      <c r="O2099" s="312" t="s">
        <v>8552</v>
      </c>
      <c r="P2099" s="308" t="s">
        <v>36159</v>
      </c>
      <c r="Q2099" s="308"/>
      <c r="R2099" s="308"/>
      <c r="S2099" s="315" t="s">
        <v>100</v>
      </c>
      <c r="T2099" s="311" t="s">
        <v>34208</v>
      </c>
      <c r="U2099" s="308" t="s">
        <v>530</v>
      </c>
      <c r="V2099" s="312"/>
    </row>
    <row r="2100">
      <c r="A2100" s="308">
        <v>2099.0</v>
      </c>
      <c r="B2100" s="308"/>
      <c r="C2100" s="308" t="s">
        <v>8553</v>
      </c>
      <c r="D2100" s="308">
        <f>IFERROR(__xludf.DUMMYFUNCTION("SPLIT(C2100,""-"")"),2120.0)</f>
        <v>2120</v>
      </c>
      <c r="E2100" s="308" t="str">
        <f>IFERROR(__xludf.DUMMYFUNCTION("""COMPUTED_VALUE""")," K")</f>
        <v> K</v>
      </c>
      <c r="F2100" s="309" t="s">
        <v>34</v>
      </c>
      <c r="G2100" s="308" t="s">
        <v>8554</v>
      </c>
      <c r="H2100" s="308" t="s">
        <v>8555</v>
      </c>
      <c r="I2100" s="310">
        <v>41064.0</v>
      </c>
      <c r="J2100" s="319">
        <f>IFERROR(__xludf.DUMMYFUNCTION("SPLIT(I2100,""/"")"),4.0)</f>
        <v>4</v>
      </c>
      <c r="K2100" s="308">
        <f>IFERROR(__xludf.DUMMYFUNCTION("""COMPUTED_VALUE"""),6.0)</f>
        <v>6</v>
      </c>
      <c r="L2100" s="308">
        <f>IFERROR(__xludf.DUMMYFUNCTION("""COMPUTED_VALUE"""),2012.0)</f>
        <v>2012</v>
      </c>
      <c r="M2100" s="308" t="s">
        <v>8556</v>
      </c>
      <c r="N2100" s="308"/>
      <c r="O2100" s="312" t="s">
        <v>8557</v>
      </c>
      <c r="P2100" s="308" t="s">
        <v>36505</v>
      </c>
      <c r="Q2100" s="308"/>
      <c r="R2100" s="308"/>
      <c r="S2100" s="308" t="s">
        <v>81</v>
      </c>
      <c r="T2100" s="308" t="s">
        <v>98</v>
      </c>
      <c r="U2100" s="308"/>
      <c r="V2100" s="312"/>
    </row>
    <row r="2101">
      <c r="A2101" s="308">
        <v>2100.0</v>
      </c>
      <c r="B2101" s="308"/>
      <c r="C2101" s="308" t="s">
        <v>8559</v>
      </c>
      <c r="D2101" s="308">
        <f>IFERROR(__xludf.DUMMYFUNCTION("SPLIT(C2101,""-"")"),2121.0)</f>
        <v>2121</v>
      </c>
      <c r="E2101" s="308" t="str">
        <f>IFERROR(__xludf.DUMMYFUNCTION("""COMPUTED_VALUE""")," F")</f>
        <v> F</v>
      </c>
      <c r="F2101" s="309" t="s">
        <v>34</v>
      </c>
      <c r="G2101" s="308" t="s">
        <v>8560</v>
      </c>
      <c r="H2101" s="308" t="s">
        <v>8561</v>
      </c>
      <c r="I2101" s="316">
        <v>2011.0</v>
      </c>
      <c r="J2101" s="319"/>
      <c r="K2101" s="308"/>
      <c r="L2101" s="311">
        <v>2011.0</v>
      </c>
      <c r="M2101" s="308" t="s">
        <v>8562</v>
      </c>
      <c r="N2101" s="308"/>
      <c r="O2101" s="312"/>
      <c r="P2101" s="308" t="s">
        <v>8563</v>
      </c>
      <c r="Q2101" s="308"/>
      <c r="R2101" s="308"/>
      <c r="S2101" s="308" t="s">
        <v>81</v>
      </c>
      <c r="T2101" s="311" t="s">
        <v>90</v>
      </c>
      <c r="U2101" s="308"/>
      <c r="V2101" s="312"/>
    </row>
    <row r="2102">
      <c r="A2102" s="308">
        <v>2101.0</v>
      </c>
      <c r="B2102" s="308"/>
      <c r="C2102" s="308" t="s">
        <v>8564</v>
      </c>
      <c r="D2102" s="308">
        <f>IFERROR(__xludf.DUMMYFUNCTION("SPLIT(C2102,""-"")"),2122.0)</f>
        <v>2122</v>
      </c>
      <c r="E2102" s="308" t="str">
        <f>IFERROR(__xludf.DUMMYFUNCTION("""COMPUTED_VALUE""")," B")</f>
        <v> B</v>
      </c>
      <c r="F2102" s="315" t="s">
        <v>26</v>
      </c>
      <c r="G2102" s="308" t="s">
        <v>8565</v>
      </c>
      <c r="H2102" s="308" t="s">
        <v>8566</v>
      </c>
      <c r="I2102" s="322"/>
      <c r="J2102" s="319"/>
      <c r="K2102" s="308"/>
      <c r="L2102" s="311" t="s">
        <v>79</v>
      </c>
      <c r="M2102" s="308" t="s">
        <v>36506</v>
      </c>
      <c r="N2102" s="308"/>
      <c r="O2102" s="312"/>
      <c r="P2102" s="308" t="s">
        <v>8568</v>
      </c>
      <c r="Q2102" s="308"/>
      <c r="R2102" s="308"/>
      <c r="S2102" s="308" t="s">
        <v>81</v>
      </c>
      <c r="T2102" s="308" t="s">
        <v>75</v>
      </c>
      <c r="U2102" s="308"/>
      <c r="V2102" s="312"/>
    </row>
    <row r="2103">
      <c r="A2103" s="308">
        <v>2102.0</v>
      </c>
      <c r="B2103" s="308"/>
      <c r="C2103" s="308" t="s">
        <v>8569</v>
      </c>
      <c r="D2103" s="308">
        <f>IFERROR(__xludf.DUMMYFUNCTION("SPLIT(C2103,""-"")"),2123.0)</f>
        <v>2123</v>
      </c>
      <c r="E2103" s="308" t="str">
        <f>IFERROR(__xludf.DUMMYFUNCTION("""COMPUTED_VALUE""")," B")</f>
        <v> B</v>
      </c>
      <c r="F2103" s="315" t="s">
        <v>26</v>
      </c>
      <c r="G2103" s="308" t="s">
        <v>8565</v>
      </c>
      <c r="H2103" s="308" t="s">
        <v>8570</v>
      </c>
      <c r="I2103" s="322"/>
      <c r="J2103" s="319"/>
      <c r="K2103" s="308"/>
      <c r="L2103" s="311" t="s">
        <v>79</v>
      </c>
      <c r="M2103" s="308" t="s">
        <v>36506</v>
      </c>
      <c r="N2103" s="308"/>
      <c r="O2103" s="312"/>
      <c r="P2103" s="308" t="s">
        <v>8571</v>
      </c>
      <c r="Q2103" s="308"/>
      <c r="R2103" s="308"/>
      <c r="S2103" s="308" t="s">
        <v>81</v>
      </c>
      <c r="T2103" s="308" t="s">
        <v>75</v>
      </c>
      <c r="U2103" s="308"/>
      <c r="V2103" s="312"/>
    </row>
    <row r="2104">
      <c r="A2104" s="308">
        <v>2103.0</v>
      </c>
      <c r="B2104" s="308"/>
      <c r="C2104" s="308" t="s">
        <v>8572</v>
      </c>
      <c r="D2104" s="308">
        <f>IFERROR(__xludf.DUMMYFUNCTION("SPLIT(C2104,""-"")"),2124.0)</f>
        <v>2124</v>
      </c>
      <c r="E2104" s="308" t="str">
        <f>IFERROR(__xludf.DUMMYFUNCTION("""COMPUTED_VALUE""")," P")</f>
        <v> P</v>
      </c>
      <c r="F2104" s="312" t="s">
        <v>37</v>
      </c>
      <c r="G2104" s="308" t="s">
        <v>8573</v>
      </c>
      <c r="H2104" s="308" t="s">
        <v>8574</v>
      </c>
      <c r="I2104" s="310">
        <v>41887.0</v>
      </c>
      <c r="J2104" s="319">
        <f>IFERROR(__xludf.DUMMYFUNCTION("SPLIT(I2104,""/"")"),5.0)</f>
        <v>5</v>
      </c>
      <c r="K2104" s="308">
        <f>IFERROR(__xludf.DUMMYFUNCTION("""COMPUTED_VALUE"""),9.0)</f>
        <v>9</v>
      </c>
      <c r="L2104" s="308">
        <f>IFERROR(__xludf.DUMMYFUNCTION("""COMPUTED_VALUE"""),2014.0)</f>
        <v>2014</v>
      </c>
      <c r="M2104" s="308" t="s">
        <v>8575</v>
      </c>
      <c r="N2104" s="308"/>
      <c r="O2104" s="312" t="s">
        <v>36507</v>
      </c>
      <c r="P2104" s="308" t="s">
        <v>8577</v>
      </c>
      <c r="Q2104" s="308"/>
      <c r="R2104" s="308"/>
      <c r="S2104" s="308" t="s">
        <v>81</v>
      </c>
      <c r="T2104" s="311" t="s">
        <v>75</v>
      </c>
      <c r="U2104" s="308"/>
      <c r="V2104" s="312"/>
    </row>
    <row r="2105">
      <c r="A2105" s="308">
        <v>2104.0</v>
      </c>
      <c r="B2105" s="308"/>
      <c r="C2105" s="308" t="s">
        <v>8578</v>
      </c>
      <c r="D2105" s="308">
        <f>IFERROR(__xludf.DUMMYFUNCTION("SPLIT(C2105,""-"")"),2125.0)</f>
        <v>2125</v>
      </c>
      <c r="E2105" s="308" t="str">
        <f>IFERROR(__xludf.DUMMYFUNCTION("""COMPUTED_VALUE""")," S")</f>
        <v> S</v>
      </c>
      <c r="F2105" s="312" t="s">
        <v>39</v>
      </c>
      <c r="G2105" s="308" t="s">
        <v>8579</v>
      </c>
      <c r="H2105" s="308" t="s">
        <v>8580</v>
      </c>
      <c r="I2105" s="310">
        <v>41550.0</v>
      </c>
      <c r="J2105" s="319">
        <f>IFERROR(__xludf.DUMMYFUNCTION("SPLIT(I2105,""/"")"),3.0)</f>
        <v>3</v>
      </c>
      <c r="K2105" s="308">
        <f>IFERROR(__xludf.DUMMYFUNCTION("""COMPUTED_VALUE"""),10.0)</f>
        <v>10</v>
      </c>
      <c r="L2105" s="308">
        <f>IFERROR(__xludf.DUMMYFUNCTION("""COMPUTED_VALUE"""),2013.0)</f>
        <v>2013</v>
      </c>
      <c r="M2105" s="308" t="s">
        <v>8581</v>
      </c>
      <c r="N2105" s="308"/>
      <c r="O2105" s="312" t="s">
        <v>36508</v>
      </c>
      <c r="P2105" s="308" t="s">
        <v>49</v>
      </c>
      <c r="Q2105" s="308"/>
      <c r="R2105" s="308"/>
      <c r="S2105" s="308" t="s">
        <v>49</v>
      </c>
      <c r="T2105" s="308" t="s">
        <v>34409</v>
      </c>
      <c r="U2105" s="308"/>
      <c r="V2105" s="312"/>
    </row>
    <row r="2106">
      <c r="A2106" s="308">
        <v>2105.0</v>
      </c>
      <c r="B2106" s="308"/>
      <c r="C2106" s="308" t="s">
        <v>8583</v>
      </c>
      <c r="D2106" s="308">
        <f>IFERROR(__xludf.DUMMYFUNCTION("SPLIT(C2106,""-"")"),2126.0)</f>
        <v>2126</v>
      </c>
      <c r="E2106" s="308" t="str">
        <f>IFERROR(__xludf.DUMMYFUNCTION("""COMPUTED_VALUE""")," S")</f>
        <v> S</v>
      </c>
      <c r="F2106" s="312" t="s">
        <v>39</v>
      </c>
      <c r="G2106" s="308" t="s">
        <v>8579</v>
      </c>
      <c r="H2106" s="308" t="s">
        <v>8584</v>
      </c>
      <c r="I2106" s="310">
        <v>41550.0</v>
      </c>
      <c r="J2106" s="319">
        <f>IFERROR(__xludf.DUMMYFUNCTION("SPLIT(I2106,""/"")"),3.0)</f>
        <v>3</v>
      </c>
      <c r="K2106" s="308">
        <f>IFERROR(__xludf.DUMMYFUNCTION("""COMPUTED_VALUE"""),10.0)</f>
        <v>10</v>
      </c>
      <c r="L2106" s="308">
        <f>IFERROR(__xludf.DUMMYFUNCTION("""COMPUTED_VALUE"""),2013.0)</f>
        <v>2013</v>
      </c>
      <c r="M2106" s="308" t="s">
        <v>8581</v>
      </c>
      <c r="N2106" s="308"/>
      <c r="O2106" s="312" t="s">
        <v>36508</v>
      </c>
      <c r="P2106" s="308" t="s">
        <v>622</v>
      </c>
      <c r="Q2106" s="308"/>
      <c r="R2106" s="308"/>
      <c r="S2106" s="308" t="s">
        <v>49</v>
      </c>
      <c r="T2106" s="308" t="s">
        <v>34409</v>
      </c>
      <c r="U2106" s="308"/>
      <c r="V2106" s="312"/>
    </row>
    <row r="2107">
      <c r="A2107" s="308">
        <v>2106.0</v>
      </c>
      <c r="B2107" s="308"/>
      <c r="C2107" s="308" t="s">
        <v>8585</v>
      </c>
      <c r="D2107" s="308">
        <f>IFERROR(__xludf.DUMMYFUNCTION("SPLIT(C2107,""-"")"),2127.0)</f>
        <v>2127</v>
      </c>
      <c r="E2107" s="308" t="str">
        <f>IFERROR(__xludf.DUMMYFUNCTION("""COMPUTED_VALUE""")," S")</f>
        <v> S</v>
      </c>
      <c r="F2107" s="312" t="s">
        <v>39</v>
      </c>
      <c r="G2107" s="308" t="s">
        <v>8586</v>
      </c>
      <c r="H2107" s="308" t="s">
        <v>8587</v>
      </c>
      <c r="I2107" s="310">
        <v>41640.0</v>
      </c>
      <c r="J2107" s="319">
        <f>IFERROR(__xludf.DUMMYFUNCTION("SPLIT(I2107,""/"")"),1.0)</f>
        <v>1</v>
      </c>
      <c r="K2107" s="308">
        <f>IFERROR(__xludf.DUMMYFUNCTION("""COMPUTED_VALUE"""),1.0)</f>
        <v>1</v>
      </c>
      <c r="L2107" s="308">
        <f>IFERROR(__xludf.DUMMYFUNCTION("""COMPUTED_VALUE"""),2014.0)</f>
        <v>2014</v>
      </c>
      <c r="M2107" s="308" t="s">
        <v>8588</v>
      </c>
      <c r="N2107" s="308"/>
      <c r="O2107" s="312" t="s">
        <v>635</v>
      </c>
      <c r="P2107" s="308" t="s">
        <v>4736</v>
      </c>
      <c r="Q2107" s="308"/>
      <c r="R2107" s="308"/>
      <c r="S2107" s="308" t="s">
        <v>81</v>
      </c>
      <c r="T2107" s="308" t="s">
        <v>98</v>
      </c>
      <c r="U2107" s="308"/>
      <c r="V2107" s="312"/>
    </row>
    <row r="2108">
      <c r="A2108" s="308">
        <v>2107.0</v>
      </c>
      <c r="B2108" s="308"/>
      <c r="C2108" s="308" t="s">
        <v>8589</v>
      </c>
      <c r="D2108" s="308">
        <f>IFERROR(__xludf.DUMMYFUNCTION("SPLIT(C2108,""-"")"),2128.0)</f>
        <v>2128</v>
      </c>
      <c r="E2108" s="308" t="str">
        <f>IFERROR(__xludf.DUMMYFUNCTION("""COMPUTED_VALUE""")," K")</f>
        <v> K</v>
      </c>
      <c r="F2108" s="309" t="s">
        <v>34</v>
      </c>
      <c r="G2108" s="308"/>
      <c r="H2108" s="308" t="s">
        <v>8590</v>
      </c>
      <c r="I2108" s="314">
        <v>40345.0</v>
      </c>
      <c r="J2108" s="319">
        <f>IFERROR(__xludf.DUMMYFUNCTION("SPLIT(I2108,""/"")"),16.0)</f>
        <v>16</v>
      </c>
      <c r="K2108" s="308">
        <f>IFERROR(__xludf.DUMMYFUNCTION("""COMPUTED_VALUE"""),6.0)</f>
        <v>6</v>
      </c>
      <c r="L2108" s="308">
        <f>IFERROR(__xludf.DUMMYFUNCTION("""COMPUTED_VALUE"""),2010.0)</f>
        <v>2010</v>
      </c>
      <c r="M2108" s="308" t="s">
        <v>8591</v>
      </c>
      <c r="N2108" s="308"/>
      <c r="O2108" s="312" t="s">
        <v>8592</v>
      </c>
      <c r="P2108" s="308" t="s">
        <v>252</v>
      </c>
      <c r="Q2108" s="308"/>
      <c r="R2108" s="308"/>
      <c r="S2108" s="308" t="s">
        <v>49</v>
      </c>
      <c r="T2108" s="308" t="s">
        <v>51</v>
      </c>
      <c r="U2108" s="308" t="s">
        <v>137</v>
      </c>
      <c r="V2108" s="312"/>
    </row>
    <row r="2109">
      <c r="A2109" s="308">
        <v>2108.0</v>
      </c>
      <c r="B2109" s="308"/>
      <c r="C2109" s="308" t="s">
        <v>8593</v>
      </c>
      <c r="D2109" s="308">
        <f>IFERROR(__xludf.DUMMYFUNCTION("SPLIT(C2109,""-"")"),2129.0)</f>
        <v>2129</v>
      </c>
      <c r="E2109" s="308" t="str">
        <f>IFERROR(__xludf.DUMMYFUNCTION("""COMPUTED_VALUE""")," S")</f>
        <v> S</v>
      </c>
      <c r="F2109" s="312" t="s">
        <v>39</v>
      </c>
      <c r="G2109" s="308" t="s">
        <v>8594</v>
      </c>
      <c r="H2109" s="308" t="s">
        <v>8595</v>
      </c>
      <c r="I2109" s="314">
        <v>41662.0</v>
      </c>
      <c r="J2109" s="319">
        <f>IFERROR(__xludf.DUMMYFUNCTION("SPLIT(I2109,""/"")"),23.0)</f>
        <v>23</v>
      </c>
      <c r="K2109" s="308">
        <f>IFERROR(__xludf.DUMMYFUNCTION("""COMPUTED_VALUE"""),1.0)</f>
        <v>1</v>
      </c>
      <c r="L2109" s="308">
        <f>IFERROR(__xludf.DUMMYFUNCTION("""COMPUTED_VALUE"""),2014.0)</f>
        <v>2014</v>
      </c>
      <c r="M2109" s="308" t="s">
        <v>8596</v>
      </c>
      <c r="N2109" s="308"/>
      <c r="O2109" s="312" t="s">
        <v>635</v>
      </c>
      <c r="P2109" s="308" t="s">
        <v>36509</v>
      </c>
      <c r="Q2109" s="308"/>
      <c r="R2109" s="308"/>
      <c r="S2109" s="308" t="s">
        <v>81</v>
      </c>
      <c r="T2109" s="308" t="s">
        <v>75</v>
      </c>
      <c r="U2109" s="312"/>
      <c r="V2109" s="312"/>
    </row>
    <row r="2110">
      <c r="A2110" s="308">
        <v>2109.0</v>
      </c>
      <c r="B2110" s="308"/>
      <c r="C2110" s="308" t="s">
        <v>8598</v>
      </c>
      <c r="D2110" s="308">
        <f>IFERROR(__xludf.DUMMYFUNCTION("SPLIT(C2110,""-"")"),2130.0)</f>
        <v>2130</v>
      </c>
      <c r="E2110" s="308" t="str">
        <f>IFERROR(__xludf.DUMMYFUNCTION("""COMPUTED_VALUE""")," S")</f>
        <v> S</v>
      </c>
      <c r="F2110" s="312" t="s">
        <v>39</v>
      </c>
      <c r="G2110" s="308" t="s">
        <v>8599</v>
      </c>
      <c r="H2110" s="308" t="s">
        <v>8600</v>
      </c>
      <c r="I2110" s="310">
        <v>41701.0</v>
      </c>
      <c r="J2110" s="319">
        <f>IFERROR(__xludf.DUMMYFUNCTION("SPLIT(I2110,""/"")"),3.0)</f>
        <v>3</v>
      </c>
      <c r="K2110" s="308">
        <f>IFERROR(__xludf.DUMMYFUNCTION("""COMPUTED_VALUE"""),3.0)</f>
        <v>3</v>
      </c>
      <c r="L2110" s="308">
        <f>IFERROR(__xludf.DUMMYFUNCTION("""COMPUTED_VALUE"""),2014.0)</f>
        <v>2014</v>
      </c>
      <c r="M2110" s="308" t="s">
        <v>8601</v>
      </c>
      <c r="N2110" s="308"/>
      <c r="O2110" s="312" t="s">
        <v>635</v>
      </c>
      <c r="P2110" s="308" t="s">
        <v>36510</v>
      </c>
      <c r="Q2110" s="308"/>
      <c r="R2110" s="308"/>
      <c r="S2110" s="308" t="s">
        <v>81</v>
      </c>
      <c r="T2110" s="308" t="s">
        <v>75</v>
      </c>
      <c r="U2110" s="312"/>
      <c r="V2110" s="312"/>
    </row>
    <row r="2111">
      <c r="A2111" s="308">
        <v>2110.0</v>
      </c>
      <c r="B2111" s="308"/>
      <c r="C2111" s="308" t="s">
        <v>8603</v>
      </c>
      <c r="D2111" s="308">
        <f>IFERROR(__xludf.DUMMYFUNCTION("SPLIT(C2111,""-"")"),2131.0)</f>
        <v>2131</v>
      </c>
      <c r="E2111" s="308" t="str">
        <f>IFERROR(__xludf.DUMMYFUNCTION("""COMPUTED_VALUE""")," S")</f>
        <v> S</v>
      </c>
      <c r="F2111" s="312" t="s">
        <v>39</v>
      </c>
      <c r="G2111" s="308" t="s">
        <v>8604</v>
      </c>
      <c r="H2111" s="308" t="s">
        <v>8605</v>
      </c>
      <c r="I2111" s="314">
        <v>41297.0</v>
      </c>
      <c r="J2111" s="319">
        <f>IFERROR(__xludf.DUMMYFUNCTION("SPLIT(I2111,""/"")"),23.0)</f>
        <v>23</v>
      </c>
      <c r="K2111" s="308">
        <f>IFERROR(__xludf.DUMMYFUNCTION("""COMPUTED_VALUE"""),1.0)</f>
        <v>1</v>
      </c>
      <c r="L2111" s="308">
        <f>IFERROR(__xludf.DUMMYFUNCTION("""COMPUTED_VALUE"""),2013.0)</f>
        <v>2013</v>
      </c>
      <c r="M2111" s="308" t="s">
        <v>8606</v>
      </c>
      <c r="N2111" s="308"/>
      <c r="O2111" s="312" t="s">
        <v>8607</v>
      </c>
      <c r="P2111" s="308" t="s">
        <v>4540</v>
      </c>
      <c r="Q2111" s="308"/>
      <c r="R2111" s="308"/>
      <c r="S2111" s="308" t="s">
        <v>49</v>
      </c>
      <c r="T2111" s="308" t="s">
        <v>51</v>
      </c>
      <c r="U2111" s="308"/>
      <c r="V2111" s="312"/>
    </row>
    <row r="2112">
      <c r="A2112" s="308">
        <v>2111.0</v>
      </c>
      <c r="B2112" s="308"/>
      <c r="C2112" s="308" t="s">
        <v>8608</v>
      </c>
      <c r="D2112" s="308">
        <f>IFERROR(__xludf.DUMMYFUNCTION("SPLIT(C2112,""-"")"),2132.0)</f>
        <v>2132</v>
      </c>
      <c r="E2112" s="308" t="str">
        <f>IFERROR(__xludf.DUMMYFUNCTION("""COMPUTED_VALUE""")," S")</f>
        <v> S</v>
      </c>
      <c r="F2112" s="312" t="s">
        <v>39</v>
      </c>
      <c r="G2112" s="308" t="s">
        <v>8609</v>
      </c>
      <c r="H2112" s="308" t="s">
        <v>8610</v>
      </c>
      <c r="I2112" s="314">
        <v>41387.0</v>
      </c>
      <c r="J2112" s="319">
        <f>IFERROR(__xludf.DUMMYFUNCTION("SPLIT(I2112,""/"")"),23.0)</f>
        <v>23</v>
      </c>
      <c r="K2112" s="308">
        <f>IFERROR(__xludf.DUMMYFUNCTION("""COMPUTED_VALUE"""),4.0)</f>
        <v>4</v>
      </c>
      <c r="L2112" s="308">
        <f>IFERROR(__xludf.DUMMYFUNCTION("""COMPUTED_VALUE"""),2013.0)</f>
        <v>2013</v>
      </c>
      <c r="M2112" s="308" t="s">
        <v>8611</v>
      </c>
      <c r="N2112" s="308"/>
      <c r="O2112" s="312" t="s">
        <v>8612</v>
      </c>
      <c r="P2112" s="308" t="s">
        <v>8613</v>
      </c>
      <c r="Q2112" s="308"/>
      <c r="R2112" s="308"/>
      <c r="S2112" s="308" t="s">
        <v>49</v>
      </c>
      <c r="T2112" s="311" t="s">
        <v>69</v>
      </c>
      <c r="U2112" s="308"/>
      <c r="V2112" s="312"/>
    </row>
    <row r="2113">
      <c r="A2113" s="308">
        <v>2112.0</v>
      </c>
      <c r="B2113" s="308"/>
      <c r="C2113" s="308" t="s">
        <v>8614</v>
      </c>
      <c r="D2113" s="308">
        <f>IFERROR(__xludf.DUMMYFUNCTION("SPLIT(C2113,""-"")"),2133.0)</f>
        <v>2133</v>
      </c>
      <c r="E2113" s="308" t="str">
        <f>IFERROR(__xludf.DUMMYFUNCTION("""COMPUTED_VALUE""")," S")</f>
        <v> S</v>
      </c>
      <c r="F2113" s="312" t="s">
        <v>39</v>
      </c>
      <c r="G2113" s="308" t="s">
        <v>8615</v>
      </c>
      <c r="H2113" s="308" t="s">
        <v>8616</v>
      </c>
      <c r="I2113" s="310">
        <v>41730.0</v>
      </c>
      <c r="J2113" s="319">
        <f>IFERROR(__xludf.DUMMYFUNCTION("SPLIT(I2113,""/"")"),1.0)</f>
        <v>1</v>
      </c>
      <c r="K2113" s="308">
        <f>IFERROR(__xludf.DUMMYFUNCTION("""COMPUTED_VALUE"""),4.0)</f>
        <v>4</v>
      </c>
      <c r="L2113" s="308">
        <f>IFERROR(__xludf.DUMMYFUNCTION("""COMPUTED_VALUE"""),2014.0)</f>
        <v>2014</v>
      </c>
      <c r="M2113" s="308" t="s">
        <v>8617</v>
      </c>
      <c r="N2113" s="308"/>
      <c r="O2113" s="312" t="s">
        <v>635</v>
      </c>
      <c r="P2113" s="308" t="s">
        <v>34756</v>
      </c>
      <c r="Q2113" s="308"/>
      <c r="R2113" s="308"/>
      <c r="S2113" s="308" t="s">
        <v>81</v>
      </c>
      <c r="T2113" s="311" t="s">
        <v>35048</v>
      </c>
      <c r="U2113" s="308"/>
      <c r="V2113" s="312"/>
    </row>
    <row r="2114">
      <c r="A2114" s="308">
        <v>2113.0</v>
      </c>
      <c r="B2114" s="308"/>
      <c r="C2114" s="308" t="s">
        <v>8618</v>
      </c>
      <c r="D2114" s="308">
        <f>IFERROR(__xludf.DUMMYFUNCTION("SPLIT(C2114,""-"")"),2134.0)</f>
        <v>2134</v>
      </c>
      <c r="E2114" s="308" t="str">
        <f>IFERROR(__xludf.DUMMYFUNCTION("""COMPUTED_VALUE""")," K")</f>
        <v> K</v>
      </c>
      <c r="F2114" s="309" t="s">
        <v>34</v>
      </c>
      <c r="G2114" s="308"/>
      <c r="H2114" s="308" t="s">
        <v>8619</v>
      </c>
      <c r="I2114" s="314">
        <v>41600.0</v>
      </c>
      <c r="J2114" s="319">
        <f>IFERROR(__xludf.DUMMYFUNCTION("SPLIT(I2114,""/"")"),22.0)</f>
        <v>22</v>
      </c>
      <c r="K2114" s="308">
        <f>IFERROR(__xludf.DUMMYFUNCTION("""COMPUTED_VALUE"""),11.0)</f>
        <v>11</v>
      </c>
      <c r="L2114" s="308">
        <f>IFERROR(__xludf.DUMMYFUNCTION("""COMPUTED_VALUE"""),2013.0)</f>
        <v>2013</v>
      </c>
      <c r="M2114" s="308" t="s">
        <v>8620</v>
      </c>
      <c r="N2114" s="308"/>
      <c r="O2114" s="312" t="s">
        <v>8621</v>
      </c>
      <c r="P2114" s="308" t="s">
        <v>36511</v>
      </c>
      <c r="Q2114" s="308"/>
      <c r="R2114" s="308"/>
      <c r="S2114" s="315" t="s">
        <v>100</v>
      </c>
      <c r="T2114" s="311" t="s">
        <v>34208</v>
      </c>
      <c r="U2114" s="308" t="s">
        <v>368</v>
      </c>
      <c r="V2114" s="312"/>
    </row>
    <row r="2115">
      <c r="A2115" s="308">
        <v>2114.0</v>
      </c>
      <c r="B2115" s="308"/>
      <c r="C2115" s="308" t="s">
        <v>8623</v>
      </c>
      <c r="D2115" s="308">
        <f>IFERROR(__xludf.DUMMYFUNCTION("SPLIT(C2115,""-"")"),2135.0)</f>
        <v>2135</v>
      </c>
      <c r="E2115" s="308" t="str">
        <f>IFERROR(__xludf.DUMMYFUNCTION("""COMPUTED_VALUE""")," K")</f>
        <v> K</v>
      </c>
      <c r="F2115" s="309" t="s">
        <v>34</v>
      </c>
      <c r="G2115" s="308" t="s">
        <v>8624</v>
      </c>
      <c r="H2115" s="308" t="s">
        <v>8625</v>
      </c>
      <c r="I2115" s="314">
        <v>40962.0</v>
      </c>
      <c r="J2115" s="319">
        <f>IFERROR(__xludf.DUMMYFUNCTION("SPLIT(I2115,""/"")"),23.0)</f>
        <v>23</v>
      </c>
      <c r="K2115" s="308">
        <f>IFERROR(__xludf.DUMMYFUNCTION("""COMPUTED_VALUE"""),2.0)</f>
        <v>2</v>
      </c>
      <c r="L2115" s="308">
        <f>IFERROR(__xludf.DUMMYFUNCTION("""COMPUTED_VALUE"""),2012.0)</f>
        <v>2012</v>
      </c>
      <c r="M2115" s="308" t="s">
        <v>8626</v>
      </c>
      <c r="N2115" s="308"/>
      <c r="O2115" s="312" t="s">
        <v>635</v>
      </c>
      <c r="P2115" s="308" t="s">
        <v>8627</v>
      </c>
      <c r="Q2115" s="308"/>
      <c r="R2115" s="308"/>
      <c r="S2115" s="308" t="s">
        <v>81</v>
      </c>
      <c r="T2115" s="308" t="s">
        <v>34264</v>
      </c>
      <c r="U2115" s="308"/>
      <c r="V2115" s="312"/>
    </row>
    <row r="2116">
      <c r="A2116" s="308">
        <v>2115.0</v>
      </c>
      <c r="B2116" s="308"/>
      <c r="C2116" s="308" t="s">
        <v>8628</v>
      </c>
      <c r="D2116" s="308">
        <f>IFERROR(__xludf.DUMMYFUNCTION("SPLIT(C2116,""-"")"),2136.0)</f>
        <v>2136</v>
      </c>
      <c r="E2116" s="308" t="str">
        <f>IFERROR(__xludf.DUMMYFUNCTION("""COMPUTED_VALUE""")," S")</f>
        <v> S</v>
      </c>
      <c r="F2116" s="312" t="s">
        <v>39</v>
      </c>
      <c r="G2116" s="308"/>
      <c r="H2116" s="308" t="s">
        <v>8629</v>
      </c>
      <c r="I2116" s="310">
        <v>40788.0</v>
      </c>
      <c r="J2116" s="319">
        <f>IFERROR(__xludf.DUMMYFUNCTION("SPLIT(I2116,""/"")"),2.0)</f>
        <v>2</v>
      </c>
      <c r="K2116" s="308">
        <f>IFERROR(__xludf.DUMMYFUNCTION("""COMPUTED_VALUE"""),9.0)</f>
        <v>9</v>
      </c>
      <c r="L2116" s="308">
        <f>IFERROR(__xludf.DUMMYFUNCTION("""COMPUTED_VALUE"""),2011.0)</f>
        <v>2011</v>
      </c>
      <c r="M2116" s="308" t="s">
        <v>8630</v>
      </c>
      <c r="N2116" s="308"/>
      <c r="O2116" s="312" t="s">
        <v>36512</v>
      </c>
      <c r="P2116" s="308" t="s">
        <v>2774</v>
      </c>
      <c r="Q2116" s="308"/>
      <c r="R2116" s="308"/>
      <c r="S2116" s="308" t="s">
        <v>49</v>
      </c>
      <c r="T2116" s="308" t="s">
        <v>51</v>
      </c>
      <c r="U2116" s="312"/>
      <c r="V2116" s="312"/>
    </row>
    <row r="2117">
      <c r="A2117" s="308">
        <v>2116.0</v>
      </c>
      <c r="B2117" s="308"/>
      <c r="C2117" s="308" t="s">
        <v>8632</v>
      </c>
      <c r="D2117" s="308">
        <f>IFERROR(__xludf.DUMMYFUNCTION("SPLIT(C2117,""-"")"),2137.0)</f>
        <v>2137</v>
      </c>
      <c r="E2117" s="308" t="str">
        <f>IFERROR(__xludf.DUMMYFUNCTION("""COMPUTED_VALUE""")," P")</f>
        <v> P</v>
      </c>
      <c r="F2117" s="312" t="s">
        <v>37</v>
      </c>
      <c r="G2117" s="308"/>
      <c r="H2117" s="308" t="s">
        <v>8633</v>
      </c>
      <c r="I2117" s="314">
        <v>41813.0</v>
      </c>
      <c r="J2117" s="319">
        <f>IFERROR(__xludf.DUMMYFUNCTION("SPLIT(I2117,""/"")"),23.0)</f>
        <v>23</v>
      </c>
      <c r="K2117" s="308">
        <f>IFERROR(__xludf.DUMMYFUNCTION("""COMPUTED_VALUE"""),6.0)</f>
        <v>6</v>
      </c>
      <c r="L2117" s="308">
        <f>IFERROR(__xludf.DUMMYFUNCTION("""COMPUTED_VALUE"""),2014.0)</f>
        <v>2014</v>
      </c>
      <c r="M2117" s="308" t="s">
        <v>8634</v>
      </c>
      <c r="N2117" s="308"/>
      <c r="O2117" s="312" t="s">
        <v>36513</v>
      </c>
      <c r="P2117" s="308" t="s">
        <v>8636</v>
      </c>
      <c r="Q2117" s="308"/>
      <c r="R2117" s="308"/>
      <c r="S2117" s="308" t="s">
        <v>81</v>
      </c>
      <c r="T2117" s="308" t="s">
        <v>98</v>
      </c>
      <c r="U2117" s="308"/>
      <c r="V2117" s="312"/>
    </row>
    <row r="2118">
      <c r="A2118" s="308">
        <v>2117.0</v>
      </c>
      <c r="B2118" s="308"/>
      <c r="C2118" s="308" t="s">
        <v>8637</v>
      </c>
      <c r="D2118" s="308">
        <f>IFERROR(__xludf.DUMMYFUNCTION("SPLIT(C2118,""-"")"),2138.0)</f>
        <v>2138</v>
      </c>
      <c r="E2118" s="308" t="str">
        <f>IFERROR(__xludf.DUMMYFUNCTION("""COMPUTED_VALUE""")," K")</f>
        <v> K</v>
      </c>
      <c r="F2118" s="309" t="s">
        <v>34</v>
      </c>
      <c r="G2118" s="308" t="s">
        <v>8638</v>
      </c>
      <c r="H2118" s="308" t="s">
        <v>36514</v>
      </c>
      <c r="I2118" s="310">
        <v>40977.0</v>
      </c>
      <c r="J2118" s="319">
        <f>IFERROR(__xludf.DUMMYFUNCTION("SPLIT(I2118,""/"")"),9.0)</f>
        <v>9</v>
      </c>
      <c r="K2118" s="308">
        <f>IFERROR(__xludf.DUMMYFUNCTION("""COMPUTED_VALUE"""),3.0)</f>
        <v>3</v>
      </c>
      <c r="L2118" s="308">
        <f>IFERROR(__xludf.DUMMYFUNCTION("""COMPUTED_VALUE"""),2012.0)</f>
        <v>2012</v>
      </c>
      <c r="M2118" s="308" t="s">
        <v>8640</v>
      </c>
      <c r="N2118" s="308"/>
      <c r="O2118" s="312" t="s">
        <v>8641</v>
      </c>
      <c r="P2118" s="308" t="s">
        <v>36515</v>
      </c>
      <c r="Q2118" s="308"/>
      <c r="R2118" s="308"/>
      <c r="S2118" s="315" t="s">
        <v>100</v>
      </c>
      <c r="T2118" s="311" t="s">
        <v>34208</v>
      </c>
      <c r="U2118" s="308" t="s">
        <v>2152</v>
      </c>
      <c r="V2118" s="312"/>
    </row>
    <row r="2119">
      <c r="A2119" s="308">
        <v>2118.0</v>
      </c>
      <c r="B2119" s="308"/>
      <c r="C2119" s="308" t="s">
        <v>8642</v>
      </c>
      <c r="D2119" s="308">
        <f>IFERROR(__xludf.DUMMYFUNCTION("SPLIT(C2119,""-"")"),2139.0)</f>
        <v>2139</v>
      </c>
      <c r="E2119" s="308" t="str">
        <f>IFERROR(__xludf.DUMMYFUNCTION("""COMPUTED_VALUE""")," K")</f>
        <v> K</v>
      </c>
      <c r="F2119" s="309" t="s">
        <v>34</v>
      </c>
      <c r="G2119" s="308" t="s">
        <v>8643</v>
      </c>
      <c r="H2119" s="308" t="s">
        <v>8644</v>
      </c>
      <c r="I2119" s="314">
        <v>40157.0</v>
      </c>
      <c r="J2119" s="319">
        <f>IFERROR(__xludf.DUMMYFUNCTION("SPLIT(I2119,""/"")"),10.0)</f>
        <v>10</v>
      </c>
      <c r="K2119" s="308">
        <f>IFERROR(__xludf.DUMMYFUNCTION("""COMPUTED_VALUE"""),12.0)</f>
        <v>12</v>
      </c>
      <c r="L2119" s="308">
        <f>IFERROR(__xludf.DUMMYFUNCTION("""COMPUTED_VALUE"""),2009.0)</f>
        <v>2009</v>
      </c>
      <c r="M2119" s="308" t="s">
        <v>8645</v>
      </c>
      <c r="N2119" s="308"/>
      <c r="O2119" s="312" t="s">
        <v>8646</v>
      </c>
      <c r="P2119" s="308" t="s">
        <v>36516</v>
      </c>
      <c r="Q2119" s="308"/>
      <c r="R2119" s="308"/>
      <c r="S2119" s="315" t="s">
        <v>100</v>
      </c>
      <c r="T2119" s="311" t="s">
        <v>34208</v>
      </c>
      <c r="U2119" s="308" t="s">
        <v>530</v>
      </c>
      <c r="V2119" s="312"/>
    </row>
    <row r="2120">
      <c r="A2120" s="308">
        <v>2119.0</v>
      </c>
      <c r="B2120" s="308"/>
      <c r="C2120" s="308" t="s">
        <v>8647</v>
      </c>
      <c r="D2120" s="308">
        <f>IFERROR(__xludf.DUMMYFUNCTION("SPLIT(C2120,""-"")"),2140.0)</f>
        <v>2140</v>
      </c>
      <c r="E2120" s="308" t="str">
        <f>IFERROR(__xludf.DUMMYFUNCTION("""COMPUTED_VALUE""")," S")</f>
        <v> S</v>
      </c>
      <c r="F2120" s="312" t="s">
        <v>39</v>
      </c>
      <c r="G2120" s="308"/>
      <c r="H2120" s="308" t="s">
        <v>36517</v>
      </c>
      <c r="I2120" s="314">
        <v>41818.0</v>
      </c>
      <c r="J2120" s="319">
        <f>IFERROR(__xludf.DUMMYFUNCTION("SPLIT(I2120,""/"")"),28.0)</f>
        <v>28</v>
      </c>
      <c r="K2120" s="308">
        <f>IFERROR(__xludf.DUMMYFUNCTION("""COMPUTED_VALUE"""),6.0)</f>
        <v>6</v>
      </c>
      <c r="L2120" s="308">
        <f>IFERROR(__xludf.DUMMYFUNCTION("""COMPUTED_VALUE"""),2014.0)</f>
        <v>2014</v>
      </c>
      <c r="M2120" s="308" t="s">
        <v>8649</v>
      </c>
      <c r="N2120" s="308"/>
      <c r="O2120" s="312" t="s">
        <v>8650</v>
      </c>
      <c r="P2120" s="308" t="s">
        <v>36518</v>
      </c>
      <c r="Q2120" s="308"/>
      <c r="R2120" s="308"/>
      <c r="S2120" s="308" t="s">
        <v>81</v>
      </c>
      <c r="T2120" s="308" t="s">
        <v>75</v>
      </c>
      <c r="U2120" s="308"/>
      <c r="V2120" s="312"/>
    </row>
    <row r="2121">
      <c r="A2121" s="308">
        <v>2120.0</v>
      </c>
      <c r="B2121" s="308"/>
      <c r="C2121" s="308" t="s">
        <v>8652</v>
      </c>
      <c r="D2121" s="308">
        <f>IFERROR(__xludf.DUMMYFUNCTION("SPLIT(C2121,""-"")"),2141.0)</f>
        <v>2141</v>
      </c>
      <c r="E2121" s="308" t="str">
        <f>IFERROR(__xludf.DUMMYFUNCTION("""COMPUTED_VALUE""")," S")</f>
        <v> S</v>
      </c>
      <c r="F2121" s="312" t="s">
        <v>39</v>
      </c>
      <c r="G2121" s="308"/>
      <c r="H2121" s="308" t="s">
        <v>8653</v>
      </c>
      <c r="I2121" s="314">
        <v>41818.0</v>
      </c>
      <c r="J2121" s="319">
        <f>IFERROR(__xludf.DUMMYFUNCTION("SPLIT(I2121,""/"")"),28.0)</f>
        <v>28</v>
      </c>
      <c r="K2121" s="308">
        <f>IFERROR(__xludf.DUMMYFUNCTION("""COMPUTED_VALUE"""),6.0)</f>
        <v>6</v>
      </c>
      <c r="L2121" s="308">
        <f>IFERROR(__xludf.DUMMYFUNCTION("""COMPUTED_VALUE"""),2014.0)</f>
        <v>2014</v>
      </c>
      <c r="M2121" s="308" t="s">
        <v>8654</v>
      </c>
      <c r="N2121" s="308"/>
      <c r="O2121" s="312" t="s">
        <v>8650</v>
      </c>
      <c r="P2121" s="308" t="s">
        <v>36519</v>
      </c>
      <c r="Q2121" s="308"/>
      <c r="R2121" s="308"/>
      <c r="S2121" s="308" t="s">
        <v>81</v>
      </c>
      <c r="T2121" s="308" t="s">
        <v>75</v>
      </c>
      <c r="U2121" s="312"/>
      <c r="V2121" s="312"/>
    </row>
    <row r="2122">
      <c r="A2122" s="308">
        <v>2121.0</v>
      </c>
      <c r="B2122" s="308"/>
      <c r="C2122" s="308" t="s">
        <v>8656</v>
      </c>
      <c r="D2122" s="308">
        <f>IFERROR(__xludf.DUMMYFUNCTION("SPLIT(C2122,""-"")"),2142.0)</f>
        <v>2142</v>
      </c>
      <c r="E2122" s="308" t="str">
        <f>IFERROR(__xludf.DUMMYFUNCTION("""COMPUTED_VALUE""")," S")</f>
        <v> S</v>
      </c>
      <c r="F2122" s="312" t="s">
        <v>39</v>
      </c>
      <c r="G2122" s="308"/>
      <c r="H2122" s="308" t="s">
        <v>8657</v>
      </c>
      <c r="I2122" s="314">
        <v>41818.0</v>
      </c>
      <c r="J2122" s="319">
        <f>IFERROR(__xludf.DUMMYFUNCTION("SPLIT(I2122,""/"")"),28.0)</f>
        <v>28</v>
      </c>
      <c r="K2122" s="308">
        <f>IFERROR(__xludf.DUMMYFUNCTION("""COMPUTED_VALUE"""),6.0)</f>
        <v>6</v>
      </c>
      <c r="L2122" s="308">
        <f>IFERROR(__xludf.DUMMYFUNCTION("""COMPUTED_VALUE"""),2014.0)</f>
        <v>2014</v>
      </c>
      <c r="M2122" s="308" t="s">
        <v>8658</v>
      </c>
      <c r="N2122" s="308"/>
      <c r="O2122" s="312" t="s">
        <v>8650</v>
      </c>
      <c r="P2122" s="308" t="s">
        <v>36520</v>
      </c>
      <c r="Q2122" s="308"/>
      <c r="R2122" s="308"/>
      <c r="S2122" s="308" t="s">
        <v>81</v>
      </c>
      <c r="T2122" s="308" t="s">
        <v>75</v>
      </c>
      <c r="U2122" s="312"/>
      <c r="V2122" s="312"/>
    </row>
    <row r="2123">
      <c r="A2123" s="308">
        <v>2122.0</v>
      </c>
      <c r="B2123" s="308"/>
      <c r="C2123" s="308" t="s">
        <v>8660</v>
      </c>
      <c r="D2123" s="308">
        <f>IFERROR(__xludf.DUMMYFUNCTION("SPLIT(C2123,""-"")"),2143.0)</f>
        <v>2143</v>
      </c>
      <c r="E2123" s="308" t="str">
        <f>IFERROR(__xludf.DUMMYFUNCTION("""COMPUTED_VALUE""")," S")</f>
        <v> S</v>
      </c>
      <c r="F2123" s="312" t="s">
        <v>39</v>
      </c>
      <c r="G2123" s="308"/>
      <c r="H2123" s="308" t="s">
        <v>8661</v>
      </c>
      <c r="I2123" s="314">
        <v>41818.0</v>
      </c>
      <c r="J2123" s="319">
        <f>IFERROR(__xludf.DUMMYFUNCTION("SPLIT(I2123,""/"")"),28.0)</f>
        <v>28</v>
      </c>
      <c r="K2123" s="308">
        <f>IFERROR(__xludf.DUMMYFUNCTION("""COMPUTED_VALUE"""),6.0)</f>
        <v>6</v>
      </c>
      <c r="L2123" s="308">
        <f>IFERROR(__xludf.DUMMYFUNCTION("""COMPUTED_VALUE"""),2014.0)</f>
        <v>2014</v>
      </c>
      <c r="M2123" s="308" t="s">
        <v>8662</v>
      </c>
      <c r="N2123" s="308"/>
      <c r="O2123" s="312" t="s">
        <v>8650</v>
      </c>
      <c r="P2123" s="308" t="s">
        <v>36521</v>
      </c>
      <c r="Q2123" s="308"/>
      <c r="R2123" s="308"/>
      <c r="S2123" s="308" t="s">
        <v>81</v>
      </c>
      <c r="T2123" s="308" t="s">
        <v>75</v>
      </c>
      <c r="U2123" s="312"/>
      <c r="V2123" s="312"/>
    </row>
    <row r="2124">
      <c r="A2124" s="308">
        <v>2123.0</v>
      </c>
      <c r="B2124" s="308"/>
      <c r="C2124" s="308" t="s">
        <v>8664</v>
      </c>
      <c r="D2124" s="308">
        <f>IFERROR(__xludf.DUMMYFUNCTION("SPLIT(C2124,""-"")"),2144.0)</f>
        <v>2144</v>
      </c>
      <c r="E2124" s="308" t="str">
        <f>IFERROR(__xludf.DUMMYFUNCTION("""COMPUTED_VALUE""")," S")</f>
        <v> S</v>
      </c>
      <c r="F2124" s="312" t="s">
        <v>39</v>
      </c>
      <c r="G2124" s="308"/>
      <c r="H2124" s="308" t="s">
        <v>8665</v>
      </c>
      <c r="I2124" s="314">
        <v>41818.0</v>
      </c>
      <c r="J2124" s="319">
        <f>IFERROR(__xludf.DUMMYFUNCTION("SPLIT(I2124,""/"")"),28.0)</f>
        <v>28</v>
      </c>
      <c r="K2124" s="308">
        <f>IFERROR(__xludf.DUMMYFUNCTION("""COMPUTED_VALUE"""),6.0)</f>
        <v>6</v>
      </c>
      <c r="L2124" s="308">
        <f>IFERROR(__xludf.DUMMYFUNCTION("""COMPUTED_VALUE"""),2014.0)</f>
        <v>2014</v>
      </c>
      <c r="M2124" s="308" t="s">
        <v>8666</v>
      </c>
      <c r="N2124" s="308"/>
      <c r="O2124" s="312" t="s">
        <v>8650</v>
      </c>
      <c r="P2124" s="308" t="s">
        <v>36522</v>
      </c>
      <c r="Q2124" s="308"/>
      <c r="R2124" s="308"/>
      <c r="S2124" s="308" t="s">
        <v>81</v>
      </c>
      <c r="T2124" s="308" t="s">
        <v>75</v>
      </c>
      <c r="U2124" s="312"/>
      <c r="V2124" s="312"/>
    </row>
    <row r="2125">
      <c r="A2125" s="308">
        <v>2124.0</v>
      </c>
      <c r="B2125" s="308"/>
      <c r="C2125" s="308" t="s">
        <v>8668</v>
      </c>
      <c r="D2125" s="308">
        <f>IFERROR(__xludf.DUMMYFUNCTION("SPLIT(C2125,""-"")"),2145.0)</f>
        <v>2145</v>
      </c>
      <c r="E2125" s="308" t="str">
        <f>IFERROR(__xludf.DUMMYFUNCTION("""COMPUTED_VALUE""")," S")</f>
        <v> S</v>
      </c>
      <c r="F2125" s="312" t="s">
        <v>39</v>
      </c>
      <c r="G2125" s="308"/>
      <c r="H2125" s="308" t="s">
        <v>36523</v>
      </c>
      <c r="I2125" s="314">
        <v>41818.0</v>
      </c>
      <c r="J2125" s="319">
        <f>IFERROR(__xludf.DUMMYFUNCTION("SPLIT(I2125,""/"")"),28.0)</f>
        <v>28</v>
      </c>
      <c r="K2125" s="308">
        <f>IFERROR(__xludf.DUMMYFUNCTION("""COMPUTED_VALUE"""),6.0)</f>
        <v>6</v>
      </c>
      <c r="L2125" s="308">
        <f>IFERROR(__xludf.DUMMYFUNCTION("""COMPUTED_VALUE"""),2014.0)</f>
        <v>2014</v>
      </c>
      <c r="M2125" s="308" t="s">
        <v>8670</v>
      </c>
      <c r="N2125" s="308"/>
      <c r="O2125" s="312" t="s">
        <v>8650</v>
      </c>
      <c r="P2125" s="308" t="s">
        <v>36524</v>
      </c>
      <c r="Q2125" s="308"/>
      <c r="R2125" s="308"/>
      <c r="S2125" s="308" t="s">
        <v>81</v>
      </c>
      <c r="T2125" s="308" t="s">
        <v>75</v>
      </c>
      <c r="U2125" s="312"/>
      <c r="V2125" s="312"/>
    </row>
    <row r="2126">
      <c r="A2126" s="308">
        <v>2125.0</v>
      </c>
      <c r="B2126" s="308"/>
      <c r="C2126" s="308" t="s">
        <v>8672</v>
      </c>
      <c r="D2126" s="308">
        <f>IFERROR(__xludf.DUMMYFUNCTION("SPLIT(C2126,""-"")"),2146.0)</f>
        <v>2146</v>
      </c>
      <c r="E2126" s="308" t="str">
        <f>IFERROR(__xludf.DUMMYFUNCTION("""COMPUTED_VALUE""")," S")</f>
        <v> S</v>
      </c>
      <c r="F2126" s="312" t="s">
        <v>39</v>
      </c>
      <c r="G2126" s="308"/>
      <c r="H2126" s="308" t="s">
        <v>8673</v>
      </c>
      <c r="I2126" s="314">
        <v>41818.0</v>
      </c>
      <c r="J2126" s="319">
        <f>IFERROR(__xludf.DUMMYFUNCTION("SPLIT(I2126,""/"")"),28.0)</f>
        <v>28</v>
      </c>
      <c r="K2126" s="308">
        <f>IFERROR(__xludf.DUMMYFUNCTION("""COMPUTED_VALUE"""),6.0)</f>
        <v>6</v>
      </c>
      <c r="L2126" s="308">
        <f>IFERROR(__xludf.DUMMYFUNCTION("""COMPUTED_VALUE"""),2014.0)</f>
        <v>2014</v>
      </c>
      <c r="M2126" s="308" t="s">
        <v>8674</v>
      </c>
      <c r="N2126" s="308"/>
      <c r="O2126" s="312" t="s">
        <v>8650</v>
      </c>
      <c r="P2126" s="308" t="s">
        <v>36525</v>
      </c>
      <c r="Q2126" s="308"/>
      <c r="R2126" s="308"/>
      <c r="S2126" s="308" t="s">
        <v>81</v>
      </c>
      <c r="T2126" s="308" t="s">
        <v>75</v>
      </c>
      <c r="U2126" s="312"/>
      <c r="V2126" s="312"/>
    </row>
    <row r="2127">
      <c r="A2127" s="308">
        <v>2126.0</v>
      </c>
      <c r="B2127" s="308"/>
      <c r="C2127" s="308" t="s">
        <v>8676</v>
      </c>
      <c r="D2127" s="308">
        <f>IFERROR(__xludf.DUMMYFUNCTION("SPLIT(C2127,""-"")"),2147.0)</f>
        <v>2147</v>
      </c>
      <c r="E2127" s="308" t="str">
        <f>IFERROR(__xludf.DUMMYFUNCTION("""COMPUTED_VALUE""")," K")</f>
        <v> K</v>
      </c>
      <c r="F2127" s="309" t="s">
        <v>34</v>
      </c>
      <c r="G2127" s="308"/>
      <c r="H2127" s="308" t="s">
        <v>8677</v>
      </c>
      <c r="I2127" s="314">
        <v>40044.0</v>
      </c>
      <c r="J2127" s="319">
        <f>IFERROR(__xludf.DUMMYFUNCTION("SPLIT(I2127,""/"")"),19.0)</f>
        <v>19</v>
      </c>
      <c r="K2127" s="308">
        <f>IFERROR(__xludf.DUMMYFUNCTION("""COMPUTED_VALUE"""),8.0)</f>
        <v>8</v>
      </c>
      <c r="L2127" s="308">
        <f>IFERROR(__xludf.DUMMYFUNCTION("""COMPUTED_VALUE"""),2009.0)</f>
        <v>2009</v>
      </c>
      <c r="M2127" s="308" t="s">
        <v>8678</v>
      </c>
      <c r="N2127" s="308"/>
      <c r="O2127" s="312" t="s">
        <v>8679</v>
      </c>
      <c r="P2127" s="308" t="s">
        <v>36516</v>
      </c>
      <c r="Q2127" s="308"/>
      <c r="R2127" s="308"/>
      <c r="S2127" s="315" t="s">
        <v>100</v>
      </c>
      <c r="T2127" s="311" t="s">
        <v>34208</v>
      </c>
      <c r="U2127" s="308" t="s">
        <v>530</v>
      </c>
      <c r="V2127" s="312"/>
    </row>
    <row r="2128">
      <c r="A2128" s="308">
        <v>2127.0</v>
      </c>
      <c r="B2128" s="308"/>
      <c r="C2128" s="308" t="s">
        <v>8680</v>
      </c>
      <c r="D2128" s="308">
        <f>IFERROR(__xludf.DUMMYFUNCTION("SPLIT(C2128,""-"")"),2148.0)</f>
        <v>2148</v>
      </c>
      <c r="E2128" s="308" t="str">
        <f>IFERROR(__xludf.DUMMYFUNCTION("""COMPUTED_VALUE""")," P")</f>
        <v> P</v>
      </c>
      <c r="F2128" s="312" t="s">
        <v>37</v>
      </c>
      <c r="G2128" s="308"/>
      <c r="H2128" s="308" t="s">
        <v>8681</v>
      </c>
      <c r="I2128" s="329">
        <v>41818.0</v>
      </c>
      <c r="J2128" s="323">
        <v>28.0</v>
      </c>
      <c r="K2128" s="311">
        <v>6.0</v>
      </c>
      <c r="L2128" s="311">
        <v>2014.0</v>
      </c>
      <c r="M2128" s="308" t="s">
        <v>36526</v>
      </c>
      <c r="N2128" s="308"/>
      <c r="O2128" s="312" t="s">
        <v>635</v>
      </c>
      <c r="P2128" s="308" t="s">
        <v>8683</v>
      </c>
      <c r="Q2128" s="308"/>
      <c r="R2128" s="308"/>
      <c r="S2128" s="308" t="s">
        <v>81</v>
      </c>
      <c r="T2128" s="311" t="s">
        <v>51</v>
      </c>
      <c r="U2128" s="308"/>
      <c r="V2128" s="312"/>
    </row>
    <row r="2129">
      <c r="A2129" s="308">
        <v>2128.0</v>
      </c>
      <c r="B2129" s="308"/>
      <c r="C2129" s="308" t="s">
        <v>8684</v>
      </c>
      <c r="D2129" s="308">
        <f>IFERROR(__xludf.DUMMYFUNCTION("SPLIT(C2129,""-"")"),2149.0)</f>
        <v>2149</v>
      </c>
      <c r="E2129" s="308" t="str">
        <f>IFERROR(__xludf.DUMMYFUNCTION("""COMPUTED_VALUE""")," P")</f>
        <v> P</v>
      </c>
      <c r="F2129" s="312" t="s">
        <v>37</v>
      </c>
      <c r="G2129" s="308"/>
      <c r="H2129" s="308" t="s">
        <v>8685</v>
      </c>
      <c r="I2129" s="314">
        <v>41454.0</v>
      </c>
      <c r="J2129" s="319">
        <f>IFERROR(__xludf.DUMMYFUNCTION("SPLIT(I2129,""/"")"),29.0)</f>
        <v>29</v>
      </c>
      <c r="K2129" s="308">
        <f>IFERROR(__xludf.DUMMYFUNCTION("""COMPUTED_VALUE"""),6.0)</f>
        <v>6</v>
      </c>
      <c r="L2129" s="308">
        <f>IFERROR(__xludf.DUMMYFUNCTION("""COMPUTED_VALUE"""),2013.0)</f>
        <v>2013</v>
      </c>
      <c r="M2129" s="308" t="s">
        <v>8686</v>
      </c>
      <c r="N2129" s="308"/>
      <c r="O2129" s="312" t="s">
        <v>8687</v>
      </c>
      <c r="P2129" s="308" t="s">
        <v>8688</v>
      </c>
      <c r="Q2129" s="308"/>
      <c r="R2129" s="308"/>
      <c r="S2129" s="308" t="s">
        <v>81</v>
      </c>
      <c r="T2129" s="311" t="s">
        <v>90</v>
      </c>
      <c r="U2129" s="308"/>
      <c r="V2129" s="312"/>
    </row>
    <row r="2130">
      <c r="A2130" s="308">
        <v>2129.0</v>
      </c>
      <c r="B2130" s="308"/>
      <c r="C2130" s="308" t="s">
        <v>8689</v>
      </c>
      <c r="D2130" s="308">
        <f>IFERROR(__xludf.DUMMYFUNCTION("SPLIT(C2130,""-"")"),2150.0)</f>
        <v>2150</v>
      </c>
      <c r="E2130" s="308" t="str">
        <f>IFERROR(__xludf.DUMMYFUNCTION("""COMPUTED_VALUE""")," P")</f>
        <v> P</v>
      </c>
      <c r="F2130" s="312" t="s">
        <v>37</v>
      </c>
      <c r="G2130" s="308"/>
      <c r="H2130" s="308" t="s">
        <v>8690</v>
      </c>
      <c r="I2130" s="310">
        <v>41854.0</v>
      </c>
      <c r="J2130" s="319">
        <f>IFERROR(__xludf.DUMMYFUNCTION("SPLIT(I2130,""/"")"),3.0)</f>
        <v>3</v>
      </c>
      <c r="K2130" s="308">
        <f>IFERROR(__xludf.DUMMYFUNCTION("""COMPUTED_VALUE"""),8.0)</f>
        <v>8</v>
      </c>
      <c r="L2130" s="308">
        <f>IFERROR(__xludf.DUMMYFUNCTION("""COMPUTED_VALUE"""),2014.0)</f>
        <v>2014</v>
      </c>
      <c r="M2130" s="308" t="s">
        <v>8691</v>
      </c>
      <c r="N2130" s="308"/>
      <c r="O2130" s="312" t="s">
        <v>8692</v>
      </c>
      <c r="P2130" s="308" t="s">
        <v>8693</v>
      </c>
      <c r="Q2130" s="308"/>
      <c r="R2130" s="308"/>
      <c r="S2130" s="308" t="s">
        <v>81</v>
      </c>
      <c r="T2130" s="311" t="s">
        <v>51</v>
      </c>
      <c r="U2130" s="308"/>
      <c r="V2130" s="312"/>
    </row>
    <row r="2131">
      <c r="A2131" s="308">
        <v>2130.0</v>
      </c>
      <c r="B2131" s="308"/>
      <c r="C2131" s="308" t="s">
        <v>8694</v>
      </c>
      <c r="D2131" s="308">
        <f>IFERROR(__xludf.DUMMYFUNCTION("SPLIT(C2131,""-"")"),2151.0)</f>
        <v>2151</v>
      </c>
      <c r="E2131" s="308" t="str">
        <f>IFERROR(__xludf.DUMMYFUNCTION("""COMPUTED_VALUE""")," P")</f>
        <v> P</v>
      </c>
      <c r="F2131" s="312" t="s">
        <v>37</v>
      </c>
      <c r="G2131" s="308"/>
      <c r="H2131" s="308" t="s">
        <v>8695</v>
      </c>
      <c r="I2131" s="314">
        <v>41774.0</v>
      </c>
      <c r="J2131" s="319">
        <f>IFERROR(__xludf.DUMMYFUNCTION("SPLIT(I2131,""/"")"),15.0)</f>
        <v>15</v>
      </c>
      <c r="K2131" s="308">
        <f>IFERROR(__xludf.DUMMYFUNCTION("""COMPUTED_VALUE"""),5.0)</f>
        <v>5</v>
      </c>
      <c r="L2131" s="308">
        <f>IFERROR(__xludf.DUMMYFUNCTION("""COMPUTED_VALUE"""),2014.0)</f>
        <v>2014</v>
      </c>
      <c r="M2131" s="308" t="s">
        <v>8696</v>
      </c>
      <c r="N2131" s="308"/>
      <c r="O2131" s="312" t="s">
        <v>8697</v>
      </c>
      <c r="P2131" s="308" t="s">
        <v>8698</v>
      </c>
      <c r="Q2131" s="308"/>
      <c r="R2131" s="308"/>
      <c r="S2131" s="308" t="s">
        <v>81</v>
      </c>
      <c r="T2131" s="308" t="s">
        <v>75</v>
      </c>
      <c r="U2131" s="308"/>
      <c r="V2131" s="312"/>
    </row>
    <row r="2132">
      <c r="A2132" s="308">
        <v>2131.0</v>
      </c>
      <c r="B2132" s="308"/>
      <c r="C2132" s="308" t="s">
        <v>8699</v>
      </c>
      <c r="D2132" s="308">
        <f>IFERROR(__xludf.DUMMYFUNCTION("SPLIT(C2132,""-"")"),2152.0)</f>
        <v>2152</v>
      </c>
      <c r="E2132" s="308" t="str">
        <f>IFERROR(__xludf.DUMMYFUNCTION("""COMPUTED_VALUE""")," P")</f>
        <v> P</v>
      </c>
      <c r="F2132" s="312" t="s">
        <v>37</v>
      </c>
      <c r="G2132" s="308"/>
      <c r="H2132" s="308" t="s">
        <v>8700</v>
      </c>
      <c r="I2132" s="310">
        <v>40735.0</v>
      </c>
      <c r="J2132" s="319">
        <f>IFERROR(__xludf.DUMMYFUNCTION("SPLIT(I2132,""/"")"),11.0)</f>
        <v>11</v>
      </c>
      <c r="K2132" s="308">
        <f>IFERROR(__xludf.DUMMYFUNCTION("""COMPUTED_VALUE"""),7.0)</f>
        <v>7</v>
      </c>
      <c r="L2132" s="308">
        <f>IFERROR(__xludf.DUMMYFUNCTION("""COMPUTED_VALUE"""),2011.0)</f>
        <v>2011</v>
      </c>
      <c r="M2132" s="308" t="s">
        <v>8701</v>
      </c>
      <c r="N2132" s="308"/>
      <c r="O2132" s="312" t="s">
        <v>8702</v>
      </c>
      <c r="P2132" s="308" t="s">
        <v>36527</v>
      </c>
      <c r="Q2132" s="308"/>
      <c r="R2132" s="308"/>
      <c r="S2132" s="308" t="s">
        <v>81</v>
      </c>
      <c r="T2132" s="308" t="s">
        <v>75</v>
      </c>
      <c r="U2132" s="308" t="s">
        <v>3327</v>
      </c>
      <c r="V2132" s="312"/>
    </row>
    <row r="2133">
      <c r="A2133" s="308">
        <v>2132.0</v>
      </c>
      <c r="B2133" s="308"/>
      <c r="C2133" s="308" t="s">
        <v>8704</v>
      </c>
      <c r="D2133" s="308">
        <f>IFERROR(__xludf.DUMMYFUNCTION("SPLIT(C2133,""-"")"),2153.0)</f>
        <v>2153</v>
      </c>
      <c r="E2133" s="308" t="str">
        <f>IFERROR(__xludf.DUMMYFUNCTION("""COMPUTED_VALUE""")," P")</f>
        <v> P</v>
      </c>
      <c r="F2133" s="312" t="s">
        <v>37</v>
      </c>
      <c r="G2133" s="308"/>
      <c r="H2133" s="308" t="s">
        <v>8705</v>
      </c>
      <c r="I2133" s="310">
        <v>40457.0</v>
      </c>
      <c r="J2133" s="319">
        <f>IFERROR(__xludf.DUMMYFUNCTION("SPLIT(I2133,""/"")"),6.0)</f>
        <v>6</v>
      </c>
      <c r="K2133" s="308">
        <f>IFERROR(__xludf.DUMMYFUNCTION("""COMPUTED_VALUE"""),10.0)</f>
        <v>10</v>
      </c>
      <c r="L2133" s="308">
        <f>IFERROR(__xludf.DUMMYFUNCTION("""COMPUTED_VALUE"""),2010.0)</f>
        <v>2010</v>
      </c>
      <c r="M2133" s="308" t="s">
        <v>8706</v>
      </c>
      <c r="N2133" s="308"/>
      <c r="O2133" s="312" t="s">
        <v>8707</v>
      </c>
      <c r="P2133" s="308" t="s">
        <v>36528</v>
      </c>
      <c r="Q2133" s="308"/>
      <c r="R2133" s="308" t="s">
        <v>1496</v>
      </c>
      <c r="S2133" s="315" t="s">
        <v>100</v>
      </c>
      <c r="T2133" s="311" t="s">
        <v>34208</v>
      </c>
      <c r="U2133" s="308" t="s">
        <v>4001</v>
      </c>
      <c r="V2133" s="312"/>
    </row>
    <row r="2134">
      <c r="A2134" s="308">
        <v>2133.0</v>
      </c>
      <c r="B2134" s="308"/>
      <c r="C2134" s="308" t="s">
        <v>8709</v>
      </c>
      <c r="D2134" s="308">
        <f>IFERROR(__xludf.DUMMYFUNCTION("SPLIT(C2134,""-"")"),2154.0)</f>
        <v>2154</v>
      </c>
      <c r="E2134" s="308" t="str">
        <f>IFERROR(__xludf.DUMMYFUNCTION("""COMPUTED_VALUE""")," P")</f>
        <v> P</v>
      </c>
      <c r="F2134" s="312" t="s">
        <v>37</v>
      </c>
      <c r="G2134" s="308"/>
      <c r="H2134" s="308" t="s">
        <v>8710</v>
      </c>
      <c r="I2134" s="310">
        <v>40457.0</v>
      </c>
      <c r="J2134" s="319">
        <f>IFERROR(__xludf.DUMMYFUNCTION("SPLIT(I2134,""/"")"),6.0)</f>
        <v>6</v>
      </c>
      <c r="K2134" s="308">
        <f>IFERROR(__xludf.DUMMYFUNCTION("""COMPUTED_VALUE"""),10.0)</f>
        <v>10</v>
      </c>
      <c r="L2134" s="308">
        <f>IFERROR(__xludf.DUMMYFUNCTION("""COMPUTED_VALUE"""),2010.0)</f>
        <v>2010</v>
      </c>
      <c r="M2134" s="308" t="s">
        <v>8711</v>
      </c>
      <c r="N2134" s="308"/>
      <c r="O2134" s="312" t="s">
        <v>8712</v>
      </c>
      <c r="P2134" s="308" t="s">
        <v>36528</v>
      </c>
      <c r="Q2134" s="308"/>
      <c r="R2134" s="308" t="s">
        <v>1496</v>
      </c>
      <c r="S2134" s="315" t="s">
        <v>100</v>
      </c>
      <c r="T2134" s="311" t="s">
        <v>34208</v>
      </c>
      <c r="U2134" s="308" t="s">
        <v>4001</v>
      </c>
      <c r="V2134" s="312"/>
    </row>
    <row r="2135">
      <c r="A2135" s="308">
        <v>2134.0</v>
      </c>
      <c r="B2135" s="308"/>
      <c r="C2135" s="308" t="s">
        <v>8713</v>
      </c>
      <c r="D2135" s="308">
        <f>IFERROR(__xludf.DUMMYFUNCTION("SPLIT(C2135,""-"")"),2155.0)</f>
        <v>2155</v>
      </c>
      <c r="E2135" s="308" t="str">
        <f>IFERROR(__xludf.DUMMYFUNCTION("""COMPUTED_VALUE""")," K")</f>
        <v> K</v>
      </c>
      <c r="F2135" s="309" t="s">
        <v>34</v>
      </c>
      <c r="G2135" s="308"/>
      <c r="H2135" s="308" t="s">
        <v>8714</v>
      </c>
      <c r="I2135" s="314">
        <v>40069.0</v>
      </c>
      <c r="J2135" s="319">
        <f>IFERROR(__xludf.DUMMYFUNCTION("SPLIT(I2135,""/"")"),13.0)</f>
        <v>13</v>
      </c>
      <c r="K2135" s="308">
        <f>IFERROR(__xludf.DUMMYFUNCTION("""COMPUTED_VALUE"""),9.0)</f>
        <v>9</v>
      </c>
      <c r="L2135" s="308">
        <f>IFERROR(__xludf.DUMMYFUNCTION("""COMPUTED_VALUE"""),2009.0)</f>
        <v>2009</v>
      </c>
      <c r="M2135" s="308" t="s">
        <v>8715</v>
      </c>
      <c r="N2135" s="308"/>
      <c r="O2135" s="312" t="s">
        <v>8716</v>
      </c>
      <c r="P2135" s="312"/>
      <c r="Q2135" s="308" t="s">
        <v>36529</v>
      </c>
      <c r="R2135" s="308"/>
      <c r="S2135" s="308" t="s">
        <v>79</v>
      </c>
      <c r="T2135" s="308" t="s">
        <v>79</v>
      </c>
      <c r="U2135" s="308" t="s">
        <v>530</v>
      </c>
      <c r="V2135" s="312"/>
    </row>
    <row r="2136">
      <c r="A2136" s="308">
        <v>2135.0</v>
      </c>
      <c r="B2136" s="308"/>
      <c r="C2136" s="308" t="s">
        <v>8718</v>
      </c>
      <c r="D2136" s="308">
        <f>IFERROR(__xludf.DUMMYFUNCTION("SPLIT(C2136,""-"")"),2156.0)</f>
        <v>2156</v>
      </c>
      <c r="E2136" s="308" t="str">
        <f>IFERROR(__xludf.DUMMYFUNCTION("""COMPUTED_VALUE""")," K")</f>
        <v> K</v>
      </c>
      <c r="F2136" s="309" t="s">
        <v>34</v>
      </c>
      <c r="G2136" s="308"/>
      <c r="H2136" s="308" t="s">
        <v>8719</v>
      </c>
      <c r="I2136" s="310">
        <v>39850.0</v>
      </c>
      <c r="J2136" s="319">
        <f>IFERROR(__xludf.DUMMYFUNCTION("SPLIT(I2136,""/"")"),6.0)</f>
        <v>6</v>
      </c>
      <c r="K2136" s="308">
        <f>IFERROR(__xludf.DUMMYFUNCTION("""COMPUTED_VALUE"""),2.0)</f>
        <v>2</v>
      </c>
      <c r="L2136" s="308">
        <f>IFERROR(__xludf.DUMMYFUNCTION("""COMPUTED_VALUE"""),2009.0)</f>
        <v>2009</v>
      </c>
      <c r="M2136" s="308" t="s">
        <v>8720</v>
      </c>
      <c r="N2136" s="308"/>
      <c r="O2136" s="312" t="s">
        <v>8721</v>
      </c>
      <c r="P2136" s="312"/>
      <c r="Q2136" s="308" t="s">
        <v>36159</v>
      </c>
      <c r="R2136" s="308"/>
      <c r="S2136" s="308" t="s">
        <v>79</v>
      </c>
      <c r="T2136" s="308" t="s">
        <v>79</v>
      </c>
      <c r="U2136" s="308" t="s">
        <v>530</v>
      </c>
      <c r="V2136" s="312"/>
    </row>
    <row r="2137">
      <c r="A2137" s="308">
        <v>2136.0</v>
      </c>
      <c r="B2137" s="308"/>
      <c r="C2137" s="308" t="s">
        <v>8722</v>
      </c>
      <c r="D2137" s="308">
        <f>IFERROR(__xludf.DUMMYFUNCTION("SPLIT(C2137,""-"")"),2157.0)</f>
        <v>2157</v>
      </c>
      <c r="E2137" s="308" t="str">
        <f>IFERROR(__xludf.DUMMYFUNCTION("""COMPUTED_VALUE""")," K")</f>
        <v> K</v>
      </c>
      <c r="F2137" s="309" t="s">
        <v>34</v>
      </c>
      <c r="G2137" s="308"/>
      <c r="H2137" s="308" t="s">
        <v>8723</v>
      </c>
      <c r="I2137" s="310">
        <v>40335.0</v>
      </c>
      <c r="J2137" s="319">
        <f>IFERROR(__xludf.DUMMYFUNCTION("SPLIT(I2137,""/"")"),6.0)</f>
        <v>6</v>
      </c>
      <c r="K2137" s="308">
        <f>IFERROR(__xludf.DUMMYFUNCTION("""COMPUTED_VALUE"""),6.0)</f>
        <v>6</v>
      </c>
      <c r="L2137" s="308">
        <f>IFERROR(__xludf.DUMMYFUNCTION("""COMPUTED_VALUE"""),2010.0)</f>
        <v>2010</v>
      </c>
      <c r="M2137" s="308" t="s">
        <v>36530</v>
      </c>
      <c r="N2137" s="308"/>
      <c r="O2137" s="312" t="s">
        <v>8725</v>
      </c>
      <c r="P2137" s="308" t="s">
        <v>8726</v>
      </c>
      <c r="Q2137" s="308"/>
      <c r="R2137" s="308"/>
      <c r="S2137" s="308" t="s">
        <v>81</v>
      </c>
      <c r="T2137" s="308" t="s">
        <v>34264</v>
      </c>
      <c r="U2137" s="308" t="s">
        <v>530</v>
      </c>
      <c r="V2137" s="312"/>
    </row>
    <row r="2138">
      <c r="A2138" s="308">
        <v>2137.0</v>
      </c>
      <c r="B2138" s="308"/>
      <c r="C2138" s="308" t="s">
        <v>8727</v>
      </c>
      <c r="D2138" s="308">
        <f>IFERROR(__xludf.DUMMYFUNCTION("SPLIT(C2138,""-"")"),2158.0)</f>
        <v>2158</v>
      </c>
      <c r="E2138" s="308" t="str">
        <f>IFERROR(__xludf.DUMMYFUNCTION("""COMPUTED_VALUE""")," K")</f>
        <v> K</v>
      </c>
      <c r="F2138" s="309" t="s">
        <v>34</v>
      </c>
      <c r="G2138" s="308"/>
      <c r="H2138" s="308" t="s">
        <v>8728</v>
      </c>
      <c r="I2138" s="310">
        <v>39820.0</v>
      </c>
      <c r="J2138" s="319">
        <f>IFERROR(__xludf.DUMMYFUNCTION("SPLIT(I2138,""/"")"),7.0)</f>
        <v>7</v>
      </c>
      <c r="K2138" s="308">
        <f>IFERROR(__xludf.DUMMYFUNCTION("""COMPUTED_VALUE"""),1.0)</f>
        <v>1</v>
      </c>
      <c r="L2138" s="308">
        <f>IFERROR(__xludf.DUMMYFUNCTION("""COMPUTED_VALUE"""),2009.0)</f>
        <v>2009</v>
      </c>
      <c r="M2138" s="308" t="s">
        <v>8729</v>
      </c>
      <c r="N2138" s="308"/>
      <c r="O2138" s="312" t="s">
        <v>8730</v>
      </c>
      <c r="P2138" s="308" t="s">
        <v>36159</v>
      </c>
      <c r="Q2138" s="308"/>
      <c r="R2138" s="308" t="s">
        <v>1496</v>
      </c>
      <c r="S2138" s="315" t="s">
        <v>100</v>
      </c>
      <c r="T2138" s="311" t="s">
        <v>34208</v>
      </c>
      <c r="U2138" s="308" t="s">
        <v>530</v>
      </c>
      <c r="V2138" s="312"/>
    </row>
    <row r="2139">
      <c r="A2139" s="308">
        <v>2138.0</v>
      </c>
      <c r="B2139" s="308"/>
      <c r="C2139" s="308" t="s">
        <v>8731</v>
      </c>
      <c r="D2139" s="308">
        <f>IFERROR(__xludf.DUMMYFUNCTION("SPLIT(C2139,""-"")"),2159.0)</f>
        <v>2159</v>
      </c>
      <c r="E2139" s="308" t="str">
        <f>IFERROR(__xludf.DUMMYFUNCTION("""COMPUTED_VALUE""")," K")</f>
        <v> K</v>
      </c>
      <c r="F2139" s="309" t="s">
        <v>34</v>
      </c>
      <c r="G2139" s="308"/>
      <c r="H2139" s="308" t="s">
        <v>8732</v>
      </c>
      <c r="I2139" s="314">
        <v>41806.0</v>
      </c>
      <c r="J2139" s="319">
        <f>IFERROR(__xludf.DUMMYFUNCTION("SPLIT(I2139,""/"")"),16.0)</f>
        <v>16</v>
      </c>
      <c r="K2139" s="308">
        <f>IFERROR(__xludf.DUMMYFUNCTION("""COMPUTED_VALUE"""),6.0)</f>
        <v>6</v>
      </c>
      <c r="L2139" s="308">
        <f>IFERROR(__xludf.DUMMYFUNCTION("""COMPUTED_VALUE"""),2014.0)</f>
        <v>2014</v>
      </c>
      <c r="M2139" s="308" t="s">
        <v>36531</v>
      </c>
      <c r="N2139" s="308"/>
      <c r="O2139" s="312" t="s">
        <v>36532</v>
      </c>
      <c r="P2139" s="308" t="s">
        <v>8735</v>
      </c>
      <c r="Q2139" s="308"/>
      <c r="R2139" s="308"/>
      <c r="S2139" s="308" t="s">
        <v>81</v>
      </c>
      <c r="T2139" s="308" t="s">
        <v>75</v>
      </c>
      <c r="U2139" s="308"/>
      <c r="V2139" s="312"/>
    </row>
    <row r="2140">
      <c r="A2140" s="308">
        <v>2139.0</v>
      </c>
      <c r="B2140" s="308"/>
      <c r="C2140" s="308" t="s">
        <v>8736</v>
      </c>
      <c r="D2140" s="308">
        <f>IFERROR(__xludf.DUMMYFUNCTION("SPLIT(C2140,""-"")"),2160.0)</f>
        <v>2160</v>
      </c>
      <c r="E2140" s="308" t="str">
        <f>IFERROR(__xludf.DUMMYFUNCTION("""COMPUTED_VALUE""")," K")</f>
        <v> K</v>
      </c>
      <c r="F2140" s="309" t="s">
        <v>34</v>
      </c>
      <c r="G2140" s="308"/>
      <c r="H2140" s="308" t="s">
        <v>8737</v>
      </c>
      <c r="I2140" s="314">
        <v>41331.0</v>
      </c>
      <c r="J2140" s="319">
        <f>IFERROR(__xludf.DUMMYFUNCTION("SPLIT(I2140,""/"")"),26.0)</f>
        <v>26</v>
      </c>
      <c r="K2140" s="308">
        <f>IFERROR(__xludf.DUMMYFUNCTION("""COMPUTED_VALUE"""),2.0)</f>
        <v>2</v>
      </c>
      <c r="L2140" s="308">
        <f>IFERROR(__xludf.DUMMYFUNCTION("""COMPUTED_VALUE"""),2013.0)</f>
        <v>2013</v>
      </c>
      <c r="M2140" s="308" t="s">
        <v>8738</v>
      </c>
      <c r="N2140" s="308"/>
      <c r="O2140" s="312" t="s">
        <v>8739</v>
      </c>
      <c r="P2140" s="308" t="s">
        <v>8740</v>
      </c>
      <c r="Q2140" s="308"/>
      <c r="R2140" s="308"/>
      <c r="S2140" s="308" t="s">
        <v>81</v>
      </c>
      <c r="T2140" s="308" t="s">
        <v>34264</v>
      </c>
      <c r="U2140" s="308"/>
      <c r="V2140" s="312"/>
    </row>
    <row r="2141">
      <c r="A2141" s="308">
        <v>2140.0</v>
      </c>
      <c r="B2141" s="308"/>
      <c r="C2141" s="308" t="s">
        <v>8741</v>
      </c>
      <c r="D2141" s="308">
        <f>IFERROR(__xludf.DUMMYFUNCTION("SPLIT(C2141,""-"")"),2161.0)</f>
        <v>2161</v>
      </c>
      <c r="E2141" s="308" t="str">
        <f>IFERROR(__xludf.DUMMYFUNCTION("""COMPUTED_VALUE""")," K")</f>
        <v> K</v>
      </c>
      <c r="F2141" s="309" t="s">
        <v>34</v>
      </c>
      <c r="G2141" s="308" t="s">
        <v>8742</v>
      </c>
      <c r="H2141" s="308" t="s">
        <v>8743</v>
      </c>
      <c r="I2141" s="314">
        <v>40873.0</v>
      </c>
      <c r="J2141" s="319">
        <f>IFERROR(__xludf.DUMMYFUNCTION("SPLIT(I2141,""/"")"),26.0)</f>
        <v>26</v>
      </c>
      <c r="K2141" s="308">
        <f>IFERROR(__xludf.DUMMYFUNCTION("""COMPUTED_VALUE"""),11.0)</f>
        <v>11</v>
      </c>
      <c r="L2141" s="308">
        <f>IFERROR(__xludf.DUMMYFUNCTION("""COMPUTED_VALUE"""),2011.0)</f>
        <v>2011</v>
      </c>
      <c r="M2141" s="308" t="s">
        <v>8744</v>
      </c>
      <c r="N2141" s="308" t="s">
        <v>8745</v>
      </c>
      <c r="O2141" s="312" t="s">
        <v>8746</v>
      </c>
      <c r="P2141" s="308" t="s">
        <v>36533</v>
      </c>
      <c r="Q2141" s="308"/>
      <c r="R2141" s="308"/>
      <c r="S2141" s="308" t="s">
        <v>49</v>
      </c>
      <c r="T2141" s="308" t="s">
        <v>51</v>
      </c>
      <c r="U2141" s="308" t="s">
        <v>542</v>
      </c>
      <c r="V2141" s="312"/>
    </row>
    <row r="2142">
      <c r="A2142" s="308">
        <v>2141.0</v>
      </c>
      <c r="B2142" s="308"/>
      <c r="C2142" s="308" t="s">
        <v>8748</v>
      </c>
      <c r="D2142" s="308">
        <f>IFERROR(__xludf.DUMMYFUNCTION("SPLIT(C2142,""-"")"),2162.0)</f>
        <v>2162</v>
      </c>
      <c r="E2142" s="308" t="str">
        <f>IFERROR(__xludf.DUMMYFUNCTION("""COMPUTED_VALUE""")," K")</f>
        <v> K</v>
      </c>
      <c r="F2142" s="309" t="s">
        <v>34</v>
      </c>
      <c r="G2142" s="308" t="s">
        <v>8749</v>
      </c>
      <c r="H2142" s="308" t="s">
        <v>8750</v>
      </c>
      <c r="I2142" s="310">
        <v>41612.0</v>
      </c>
      <c r="J2142" s="319">
        <f>IFERROR(__xludf.DUMMYFUNCTION("SPLIT(I2142,""/"")"),4.0)</f>
        <v>4</v>
      </c>
      <c r="K2142" s="308">
        <f>IFERROR(__xludf.DUMMYFUNCTION("""COMPUTED_VALUE"""),12.0)</f>
        <v>12</v>
      </c>
      <c r="L2142" s="308">
        <f>IFERROR(__xludf.DUMMYFUNCTION("""COMPUTED_VALUE"""),2013.0)</f>
        <v>2013</v>
      </c>
      <c r="M2142" s="308" t="s">
        <v>8751</v>
      </c>
      <c r="N2142" s="308"/>
      <c r="O2142" s="312" t="s">
        <v>635</v>
      </c>
      <c r="P2142" s="308" t="s">
        <v>36534</v>
      </c>
      <c r="Q2142" s="308"/>
      <c r="R2142" s="308"/>
      <c r="S2142" s="315" t="s">
        <v>100</v>
      </c>
      <c r="T2142" s="311" t="s">
        <v>34208</v>
      </c>
      <c r="U2142" s="308" t="s">
        <v>542</v>
      </c>
      <c r="V2142" s="312"/>
    </row>
    <row r="2143">
      <c r="A2143" s="308">
        <v>2142.0</v>
      </c>
      <c r="B2143" s="308"/>
      <c r="C2143" s="308" t="s">
        <v>8753</v>
      </c>
      <c r="D2143" s="308">
        <f>IFERROR(__xludf.DUMMYFUNCTION("SPLIT(C2143,""-"")"),2163.0)</f>
        <v>2163</v>
      </c>
      <c r="E2143" s="308" t="str">
        <f>IFERROR(__xludf.DUMMYFUNCTION("""COMPUTED_VALUE""")," K")</f>
        <v> K</v>
      </c>
      <c r="F2143" s="309" t="s">
        <v>34</v>
      </c>
      <c r="G2143" s="308" t="s">
        <v>8754</v>
      </c>
      <c r="H2143" s="308" t="s">
        <v>8755</v>
      </c>
      <c r="I2143" s="322"/>
      <c r="J2143" s="319"/>
      <c r="K2143" s="308"/>
      <c r="L2143" s="311" t="s">
        <v>79</v>
      </c>
      <c r="M2143" s="308" t="s">
        <v>36535</v>
      </c>
      <c r="N2143" s="308"/>
      <c r="O2143" s="312" t="s">
        <v>36536</v>
      </c>
      <c r="P2143" s="308" t="s">
        <v>8758</v>
      </c>
      <c r="Q2143" s="308"/>
      <c r="R2143" s="308"/>
      <c r="S2143" s="308" t="s">
        <v>81</v>
      </c>
      <c r="T2143" s="308" t="s">
        <v>75</v>
      </c>
      <c r="U2143" s="308"/>
      <c r="V2143" s="312"/>
    </row>
    <row r="2144">
      <c r="A2144" s="308">
        <v>2143.0</v>
      </c>
      <c r="B2144" s="308"/>
      <c r="C2144" s="308" t="s">
        <v>8759</v>
      </c>
      <c r="D2144" s="308">
        <f>IFERROR(__xludf.DUMMYFUNCTION("SPLIT(C2144,""-"")"),2164.0)</f>
        <v>2164</v>
      </c>
      <c r="E2144" s="308" t="str">
        <f>IFERROR(__xludf.DUMMYFUNCTION("""COMPUTED_VALUE""")," K")</f>
        <v> K</v>
      </c>
      <c r="F2144" s="309" t="s">
        <v>34</v>
      </c>
      <c r="G2144" s="308" t="s">
        <v>8760</v>
      </c>
      <c r="H2144" s="308" t="s">
        <v>8761</v>
      </c>
      <c r="I2144" s="314">
        <v>41774.0</v>
      </c>
      <c r="J2144" s="319">
        <f>IFERROR(__xludf.DUMMYFUNCTION("SPLIT(I2144,""/"")"),15.0)</f>
        <v>15</v>
      </c>
      <c r="K2144" s="308">
        <f>IFERROR(__xludf.DUMMYFUNCTION("""COMPUTED_VALUE"""),5.0)</f>
        <v>5</v>
      </c>
      <c r="L2144" s="308">
        <f>IFERROR(__xludf.DUMMYFUNCTION("""COMPUTED_VALUE"""),2014.0)</f>
        <v>2014</v>
      </c>
      <c r="M2144" s="308" t="s">
        <v>8762</v>
      </c>
      <c r="N2144" s="308"/>
      <c r="O2144" s="312" t="s">
        <v>36536</v>
      </c>
      <c r="P2144" s="308" t="s">
        <v>8763</v>
      </c>
      <c r="Q2144" s="308"/>
      <c r="R2144" s="308"/>
      <c r="S2144" s="308" t="s">
        <v>81</v>
      </c>
      <c r="T2144" s="311" t="s">
        <v>87</v>
      </c>
      <c r="U2144" s="308"/>
      <c r="V2144" s="312"/>
    </row>
    <row r="2145">
      <c r="A2145" s="308">
        <v>2144.0</v>
      </c>
      <c r="B2145" s="308"/>
      <c r="C2145" s="308" t="s">
        <v>8764</v>
      </c>
      <c r="D2145" s="308">
        <f>IFERROR(__xludf.DUMMYFUNCTION("SPLIT(C2145,""-"")"),2165.0)</f>
        <v>2165</v>
      </c>
      <c r="E2145" s="308" t="str">
        <f>IFERROR(__xludf.DUMMYFUNCTION("""COMPUTED_VALUE""")," K")</f>
        <v> K</v>
      </c>
      <c r="F2145" s="309" t="s">
        <v>34</v>
      </c>
      <c r="G2145" s="308" t="s">
        <v>8760</v>
      </c>
      <c r="H2145" s="308" t="s">
        <v>8765</v>
      </c>
      <c r="I2145" s="314">
        <v>41774.0</v>
      </c>
      <c r="J2145" s="319">
        <f>IFERROR(__xludf.DUMMYFUNCTION("SPLIT(I2145,""/"")"),15.0)</f>
        <v>15</v>
      </c>
      <c r="K2145" s="308">
        <f>IFERROR(__xludf.DUMMYFUNCTION("""COMPUTED_VALUE"""),5.0)</f>
        <v>5</v>
      </c>
      <c r="L2145" s="308">
        <f>IFERROR(__xludf.DUMMYFUNCTION("""COMPUTED_VALUE"""),2014.0)</f>
        <v>2014</v>
      </c>
      <c r="M2145" s="308" t="s">
        <v>8766</v>
      </c>
      <c r="N2145" s="308"/>
      <c r="O2145" s="312" t="s">
        <v>635</v>
      </c>
      <c r="P2145" s="308" t="s">
        <v>8763</v>
      </c>
      <c r="Q2145" s="308"/>
      <c r="R2145" s="308"/>
      <c r="S2145" s="308" t="s">
        <v>81</v>
      </c>
      <c r="T2145" s="311" t="s">
        <v>87</v>
      </c>
      <c r="U2145" s="308"/>
      <c r="V2145" s="312"/>
    </row>
    <row r="2146">
      <c r="A2146" s="308">
        <v>2145.0</v>
      </c>
      <c r="B2146" s="308"/>
      <c r="C2146" s="308" t="s">
        <v>8767</v>
      </c>
      <c r="D2146" s="308">
        <f>IFERROR(__xludf.DUMMYFUNCTION("SPLIT(C2146,""-"")"),2166.0)</f>
        <v>2166</v>
      </c>
      <c r="E2146" s="308" t="str">
        <f>IFERROR(__xludf.DUMMYFUNCTION("""COMPUTED_VALUE""")," K")</f>
        <v> K</v>
      </c>
      <c r="F2146" s="309" t="s">
        <v>34</v>
      </c>
      <c r="G2146" s="308" t="s">
        <v>8768</v>
      </c>
      <c r="H2146" s="308" t="s">
        <v>8769</v>
      </c>
      <c r="I2146" s="310">
        <v>40092.0</v>
      </c>
      <c r="J2146" s="319">
        <f>IFERROR(__xludf.DUMMYFUNCTION("SPLIT(I2146,""/"")"),6.0)</f>
        <v>6</v>
      </c>
      <c r="K2146" s="308">
        <f>IFERROR(__xludf.DUMMYFUNCTION("""COMPUTED_VALUE"""),10.0)</f>
        <v>10</v>
      </c>
      <c r="L2146" s="308">
        <f>IFERROR(__xludf.DUMMYFUNCTION("""COMPUTED_VALUE"""),2009.0)</f>
        <v>2009</v>
      </c>
      <c r="M2146" s="308" t="s">
        <v>36537</v>
      </c>
      <c r="N2146" s="308"/>
      <c r="O2146" s="312" t="s">
        <v>8771</v>
      </c>
      <c r="P2146" s="308" t="s">
        <v>36538</v>
      </c>
      <c r="Q2146" s="308"/>
      <c r="R2146" s="308"/>
      <c r="S2146" s="308" t="s">
        <v>81</v>
      </c>
      <c r="T2146" s="308" t="s">
        <v>34264</v>
      </c>
      <c r="U2146" s="308"/>
      <c r="V2146" s="312"/>
    </row>
    <row r="2147">
      <c r="A2147" s="308">
        <v>2146.0</v>
      </c>
      <c r="B2147" s="308"/>
      <c r="C2147" s="308" t="s">
        <v>8773</v>
      </c>
      <c r="D2147" s="308">
        <f>IFERROR(__xludf.DUMMYFUNCTION("SPLIT(C2147,""-"")"),2167.0)</f>
        <v>2167</v>
      </c>
      <c r="E2147" s="308" t="str">
        <f>IFERROR(__xludf.DUMMYFUNCTION("""COMPUTED_VALUE""")," K")</f>
        <v> K</v>
      </c>
      <c r="F2147" s="309" t="s">
        <v>34</v>
      </c>
      <c r="G2147" s="308" t="s">
        <v>8774</v>
      </c>
      <c r="H2147" s="308" t="s">
        <v>8775</v>
      </c>
      <c r="I2147" s="314">
        <v>41299.0</v>
      </c>
      <c r="J2147" s="319">
        <f>IFERROR(__xludf.DUMMYFUNCTION("SPLIT(I2147,""/"")"),25.0)</f>
        <v>25</v>
      </c>
      <c r="K2147" s="308">
        <f>IFERROR(__xludf.DUMMYFUNCTION("""COMPUTED_VALUE"""),1.0)</f>
        <v>1</v>
      </c>
      <c r="L2147" s="308">
        <f>IFERROR(__xludf.DUMMYFUNCTION("""COMPUTED_VALUE"""),2013.0)</f>
        <v>2013</v>
      </c>
      <c r="M2147" s="308" t="s">
        <v>8776</v>
      </c>
      <c r="N2147" s="308"/>
      <c r="O2147" s="312" t="s">
        <v>635</v>
      </c>
      <c r="P2147" s="308" t="s">
        <v>36539</v>
      </c>
      <c r="Q2147" s="308"/>
      <c r="R2147" s="308"/>
      <c r="S2147" s="308" t="s">
        <v>81</v>
      </c>
      <c r="T2147" s="308" t="s">
        <v>34264</v>
      </c>
      <c r="U2147" s="308"/>
      <c r="V2147" s="312"/>
    </row>
    <row r="2148">
      <c r="A2148" s="308">
        <v>2147.0</v>
      </c>
      <c r="B2148" s="308"/>
      <c r="C2148" s="308" t="s">
        <v>8778</v>
      </c>
      <c r="D2148" s="308">
        <f>IFERROR(__xludf.DUMMYFUNCTION("SPLIT(C2148,""-"")"),2168.0)</f>
        <v>2168</v>
      </c>
      <c r="E2148" s="308" t="str">
        <f>IFERROR(__xludf.DUMMYFUNCTION("""COMPUTED_VALUE""")," K")</f>
        <v> K</v>
      </c>
      <c r="F2148" s="309" t="s">
        <v>34</v>
      </c>
      <c r="G2148" s="308" t="s">
        <v>8779</v>
      </c>
      <c r="H2148" s="308" t="s">
        <v>8780</v>
      </c>
      <c r="I2148" s="310">
        <v>41188.0</v>
      </c>
      <c r="J2148" s="319">
        <f>IFERROR(__xludf.DUMMYFUNCTION("SPLIT(I2148,""/"")"),6.0)</f>
        <v>6</v>
      </c>
      <c r="K2148" s="308">
        <f>IFERROR(__xludf.DUMMYFUNCTION("""COMPUTED_VALUE"""),10.0)</f>
        <v>10</v>
      </c>
      <c r="L2148" s="308">
        <f>IFERROR(__xludf.DUMMYFUNCTION("""COMPUTED_VALUE"""),2012.0)</f>
        <v>2012</v>
      </c>
      <c r="M2148" s="308" t="s">
        <v>8781</v>
      </c>
      <c r="N2148" s="308"/>
      <c r="O2148" s="312"/>
      <c r="P2148" s="308" t="s">
        <v>8782</v>
      </c>
      <c r="Q2148" s="308"/>
      <c r="R2148" s="308"/>
      <c r="S2148" s="308" t="s">
        <v>81</v>
      </c>
      <c r="T2148" s="311" t="s">
        <v>87</v>
      </c>
      <c r="U2148" s="308"/>
      <c r="V2148" s="312"/>
    </row>
    <row r="2149">
      <c r="A2149" s="308">
        <v>2148.0</v>
      </c>
      <c r="B2149" s="308"/>
      <c r="C2149" s="308" t="s">
        <v>8783</v>
      </c>
      <c r="D2149" s="308">
        <f>IFERROR(__xludf.DUMMYFUNCTION("SPLIT(C2149,""-"")"),2169.0)</f>
        <v>2169</v>
      </c>
      <c r="E2149" s="308" t="str">
        <f>IFERROR(__xludf.DUMMYFUNCTION("""COMPUTED_VALUE""")," B")</f>
        <v> B</v>
      </c>
      <c r="F2149" s="315" t="s">
        <v>26</v>
      </c>
      <c r="G2149" s="308" t="s">
        <v>8784</v>
      </c>
      <c r="H2149" s="308" t="s">
        <v>8785</v>
      </c>
      <c r="I2149" s="314">
        <v>41662.0</v>
      </c>
      <c r="J2149" s="319">
        <f>IFERROR(__xludf.DUMMYFUNCTION("SPLIT(I2149,""/"")"),23.0)</f>
        <v>23</v>
      </c>
      <c r="K2149" s="308">
        <f>IFERROR(__xludf.DUMMYFUNCTION("""COMPUTED_VALUE"""),1.0)</f>
        <v>1</v>
      </c>
      <c r="L2149" s="308">
        <f>IFERROR(__xludf.DUMMYFUNCTION("""COMPUTED_VALUE"""),2014.0)</f>
        <v>2014</v>
      </c>
      <c r="M2149" s="308" t="s">
        <v>8786</v>
      </c>
      <c r="N2149" s="308"/>
      <c r="O2149" s="312" t="s">
        <v>36540</v>
      </c>
      <c r="P2149" s="308" t="s">
        <v>8788</v>
      </c>
      <c r="Q2149" s="308"/>
      <c r="R2149" s="308"/>
      <c r="S2149" s="308" t="s">
        <v>81</v>
      </c>
      <c r="T2149" s="311" t="s">
        <v>88</v>
      </c>
      <c r="U2149" s="308"/>
      <c r="V2149" s="312"/>
    </row>
    <row r="2150">
      <c r="A2150" s="308">
        <v>2149.0</v>
      </c>
      <c r="B2150" s="308"/>
      <c r="C2150" s="308" t="s">
        <v>8789</v>
      </c>
      <c r="D2150" s="308">
        <f>IFERROR(__xludf.DUMMYFUNCTION("SPLIT(C2150,""-"")"),2170.0)</f>
        <v>2170</v>
      </c>
      <c r="E2150" s="308" t="str">
        <f>IFERROR(__xludf.DUMMYFUNCTION("""COMPUTED_VALUE""")," S")</f>
        <v> S</v>
      </c>
      <c r="F2150" s="312" t="s">
        <v>39</v>
      </c>
      <c r="G2150" s="308" t="s">
        <v>8790</v>
      </c>
      <c r="H2150" s="308" t="s">
        <v>8791</v>
      </c>
      <c r="I2150" s="310">
        <v>41312.0</v>
      </c>
      <c r="J2150" s="319">
        <f>IFERROR(__xludf.DUMMYFUNCTION("SPLIT(I2150,""/"")"),7.0)</f>
        <v>7</v>
      </c>
      <c r="K2150" s="308">
        <f>IFERROR(__xludf.DUMMYFUNCTION("""COMPUTED_VALUE"""),2.0)</f>
        <v>2</v>
      </c>
      <c r="L2150" s="308">
        <f>IFERROR(__xludf.DUMMYFUNCTION("""COMPUTED_VALUE"""),2013.0)</f>
        <v>2013</v>
      </c>
      <c r="M2150" s="308" t="s">
        <v>8792</v>
      </c>
      <c r="N2150" s="308"/>
      <c r="O2150" s="312" t="s">
        <v>36541</v>
      </c>
      <c r="P2150" s="308" t="s">
        <v>296</v>
      </c>
      <c r="Q2150" s="308"/>
      <c r="R2150" s="308"/>
      <c r="S2150" s="308" t="s">
        <v>81</v>
      </c>
      <c r="T2150" s="308" t="s">
        <v>75</v>
      </c>
      <c r="U2150" s="308"/>
      <c r="V2150" s="312"/>
    </row>
    <row r="2151">
      <c r="A2151" s="308">
        <v>2150.0</v>
      </c>
      <c r="B2151" s="308"/>
      <c r="C2151" s="308" t="s">
        <v>8794</v>
      </c>
      <c r="D2151" s="308">
        <f>IFERROR(__xludf.DUMMYFUNCTION("SPLIT(C2151,""-"")"),2171.0)</f>
        <v>2171</v>
      </c>
      <c r="E2151" s="308" t="str">
        <f>IFERROR(__xludf.DUMMYFUNCTION("""COMPUTED_VALUE""")," B")</f>
        <v> B</v>
      </c>
      <c r="F2151" s="315" t="s">
        <v>26</v>
      </c>
      <c r="G2151" s="308" t="s">
        <v>8795</v>
      </c>
      <c r="H2151" s="308" t="s">
        <v>8796</v>
      </c>
      <c r="I2151" s="310">
        <v>41699.0</v>
      </c>
      <c r="J2151" s="319">
        <f>IFERROR(__xludf.DUMMYFUNCTION("SPLIT(I2151,""/"")"),1.0)</f>
        <v>1</v>
      </c>
      <c r="K2151" s="308">
        <f>IFERROR(__xludf.DUMMYFUNCTION("""COMPUTED_VALUE"""),3.0)</f>
        <v>3</v>
      </c>
      <c r="L2151" s="308">
        <f>IFERROR(__xludf.DUMMYFUNCTION("""COMPUTED_VALUE"""),2014.0)</f>
        <v>2014</v>
      </c>
      <c r="M2151" s="308" t="s">
        <v>8797</v>
      </c>
      <c r="N2151" s="308"/>
      <c r="O2151" s="312" t="s">
        <v>635</v>
      </c>
      <c r="P2151" s="308" t="s">
        <v>36542</v>
      </c>
      <c r="Q2151" s="308"/>
      <c r="R2151" s="308"/>
      <c r="S2151" s="308" t="s">
        <v>81</v>
      </c>
      <c r="T2151" s="311" t="s">
        <v>77</v>
      </c>
      <c r="U2151" s="308"/>
      <c r="V2151" s="312"/>
    </row>
    <row r="2152">
      <c r="A2152" s="308">
        <v>2151.0</v>
      </c>
      <c r="B2152" s="308"/>
      <c r="C2152" s="308" t="s">
        <v>8799</v>
      </c>
      <c r="D2152" s="308">
        <f>IFERROR(__xludf.DUMMYFUNCTION("SPLIT(C2152,""-"")"),2172.0)</f>
        <v>2172</v>
      </c>
      <c r="E2152" s="308" t="str">
        <f>IFERROR(__xludf.DUMMYFUNCTION("""COMPUTED_VALUE""")," S")</f>
        <v> S</v>
      </c>
      <c r="F2152" s="312" t="s">
        <v>39</v>
      </c>
      <c r="G2152" s="308" t="s">
        <v>8800</v>
      </c>
      <c r="H2152" s="308" t="s">
        <v>8801</v>
      </c>
      <c r="I2152" s="310">
        <v>41345.0</v>
      </c>
      <c r="J2152" s="319">
        <f>IFERROR(__xludf.DUMMYFUNCTION("SPLIT(I2152,""/"")"),12.0)</f>
        <v>12</v>
      </c>
      <c r="K2152" s="308">
        <f>IFERROR(__xludf.DUMMYFUNCTION("""COMPUTED_VALUE"""),3.0)</f>
        <v>3</v>
      </c>
      <c r="L2152" s="308">
        <f>IFERROR(__xludf.DUMMYFUNCTION("""COMPUTED_VALUE"""),2013.0)</f>
        <v>2013</v>
      </c>
      <c r="M2152" s="308" t="s">
        <v>8802</v>
      </c>
      <c r="N2152" s="308"/>
      <c r="O2152" s="312" t="s">
        <v>635</v>
      </c>
      <c r="P2152" s="308" t="s">
        <v>148</v>
      </c>
      <c r="Q2152" s="308"/>
      <c r="R2152" s="308"/>
      <c r="S2152" s="308" t="s">
        <v>49</v>
      </c>
      <c r="T2152" s="308" t="s">
        <v>51</v>
      </c>
      <c r="U2152" s="308"/>
      <c r="V2152" s="312"/>
    </row>
    <row r="2153">
      <c r="A2153" s="308">
        <v>2152.0</v>
      </c>
      <c r="B2153" s="308"/>
      <c r="C2153" s="308" t="s">
        <v>8803</v>
      </c>
      <c r="D2153" s="308">
        <f>IFERROR(__xludf.DUMMYFUNCTION("SPLIT(C2153,""-"")"),2173.0)</f>
        <v>2173</v>
      </c>
      <c r="E2153" s="308" t="str">
        <f>IFERROR(__xludf.DUMMYFUNCTION("""COMPUTED_VALUE""")," S")</f>
        <v> S</v>
      </c>
      <c r="F2153" s="312" t="s">
        <v>39</v>
      </c>
      <c r="G2153" s="308"/>
      <c r="H2153" s="308" t="s">
        <v>8804</v>
      </c>
      <c r="I2153" s="314">
        <v>41818.0</v>
      </c>
      <c r="J2153" s="319">
        <f>IFERROR(__xludf.DUMMYFUNCTION("SPLIT(I2153,""/"")"),28.0)</f>
        <v>28</v>
      </c>
      <c r="K2153" s="308">
        <f>IFERROR(__xludf.DUMMYFUNCTION("""COMPUTED_VALUE"""),6.0)</f>
        <v>6</v>
      </c>
      <c r="L2153" s="308">
        <f>IFERROR(__xludf.DUMMYFUNCTION("""COMPUTED_VALUE"""),2014.0)</f>
        <v>2014</v>
      </c>
      <c r="M2153" s="308" t="s">
        <v>8805</v>
      </c>
      <c r="N2153" s="308"/>
      <c r="O2153" s="312" t="s">
        <v>635</v>
      </c>
      <c r="P2153" s="308" t="s">
        <v>36543</v>
      </c>
      <c r="Q2153" s="308"/>
      <c r="R2153" s="308"/>
      <c r="S2153" s="308" t="s">
        <v>81</v>
      </c>
      <c r="T2153" s="308" t="s">
        <v>75</v>
      </c>
      <c r="U2153" s="312"/>
      <c r="V2153" s="312"/>
    </row>
    <row r="2154">
      <c r="A2154" s="308">
        <v>2153.0</v>
      </c>
      <c r="B2154" s="308"/>
      <c r="C2154" s="308" t="s">
        <v>8807</v>
      </c>
      <c r="D2154" s="308">
        <f>IFERROR(__xludf.DUMMYFUNCTION("SPLIT(C2154,""-"")"),2174.0)</f>
        <v>2174</v>
      </c>
      <c r="E2154" s="308" t="str">
        <f>IFERROR(__xludf.DUMMYFUNCTION("""COMPUTED_VALUE""")," S")</f>
        <v> S</v>
      </c>
      <c r="F2154" s="312" t="s">
        <v>39</v>
      </c>
      <c r="G2154" s="308"/>
      <c r="H2154" s="308" t="s">
        <v>8808</v>
      </c>
      <c r="I2154" s="310">
        <v>41858.0</v>
      </c>
      <c r="J2154" s="319">
        <f>IFERROR(__xludf.DUMMYFUNCTION("SPLIT(I2154,""/"")"),7.0)</f>
        <v>7</v>
      </c>
      <c r="K2154" s="308">
        <f>IFERROR(__xludf.DUMMYFUNCTION("""COMPUTED_VALUE"""),8.0)</f>
        <v>8</v>
      </c>
      <c r="L2154" s="308">
        <f>IFERROR(__xludf.DUMMYFUNCTION("""COMPUTED_VALUE"""),2014.0)</f>
        <v>2014</v>
      </c>
      <c r="M2154" s="308" t="s">
        <v>8809</v>
      </c>
      <c r="N2154" s="308"/>
      <c r="O2154" s="312" t="s">
        <v>8810</v>
      </c>
      <c r="P2154" s="308" t="s">
        <v>8811</v>
      </c>
      <c r="Q2154" s="308"/>
      <c r="R2154" s="308"/>
      <c r="S2154" s="308" t="s">
        <v>81</v>
      </c>
      <c r="T2154" s="311" t="s">
        <v>34264</v>
      </c>
      <c r="U2154" s="308"/>
      <c r="V2154" s="312"/>
    </row>
    <row r="2155">
      <c r="A2155" s="308">
        <v>2154.0</v>
      </c>
      <c r="B2155" s="308"/>
      <c r="C2155" s="308" t="s">
        <v>8812</v>
      </c>
      <c r="D2155" s="308">
        <f>IFERROR(__xludf.DUMMYFUNCTION("SPLIT(C2155,""-"")"),2175.0)</f>
        <v>2175</v>
      </c>
      <c r="E2155" s="308" t="str">
        <f>IFERROR(__xludf.DUMMYFUNCTION("""COMPUTED_VALUE""")," K")</f>
        <v> K</v>
      </c>
      <c r="F2155" s="309" t="s">
        <v>34</v>
      </c>
      <c r="G2155" s="308"/>
      <c r="H2155" s="308" t="s">
        <v>8813</v>
      </c>
      <c r="I2155" s="310">
        <v>41308.0</v>
      </c>
      <c r="J2155" s="319">
        <f>IFERROR(__xludf.DUMMYFUNCTION("SPLIT(I2155,""/"")"),3.0)</f>
        <v>3</v>
      </c>
      <c r="K2155" s="308">
        <f>IFERROR(__xludf.DUMMYFUNCTION("""COMPUTED_VALUE"""),2.0)</f>
        <v>2</v>
      </c>
      <c r="L2155" s="308">
        <f>IFERROR(__xludf.DUMMYFUNCTION("""COMPUTED_VALUE"""),2013.0)</f>
        <v>2013</v>
      </c>
      <c r="M2155" s="308" t="s">
        <v>8814</v>
      </c>
      <c r="N2155" s="308"/>
      <c r="O2155" s="312" t="s">
        <v>635</v>
      </c>
      <c r="P2155" s="308" t="s">
        <v>8815</v>
      </c>
      <c r="Q2155" s="308"/>
      <c r="R2155" s="308"/>
      <c r="S2155" s="308" t="s">
        <v>81</v>
      </c>
      <c r="T2155" s="308" t="s">
        <v>34264</v>
      </c>
      <c r="U2155" s="308"/>
      <c r="V2155" s="312"/>
    </row>
    <row r="2156">
      <c r="A2156" s="308">
        <v>2155.0</v>
      </c>
      <c r="B2156" s="308"/>
      <c r="C2156" s="308" t="s">
        <v>8816</v>
      </c>
      <c r="D2156" s="308">
        <f>IFERROR(__xludf.DUMMYFUNCTION("SPLIT(C2156,""-"")"),2176.0)</f>
        <v>2176</v>
      </c>
      <c r="E2156" s="308" t="str">
        <f>IFERROR(__xludf.DUMMYFUNCTION("""COMPUTED_VALUE""")," K")</f>
        <v> K</v>
      </c>
      <c r="F2156" s="309" t="s">
        <v>34</v>
      </c>
      <c r="G2156" s="308"/>
      <c r="H2156" s="308" t="s">
        <v>8817</v>
      </c>
      <c r="I2156" s="310">
        <v>41248.0</v>
      </c>
      <c r="J2156" s="319">
        <f>IFERROR(__xludf.DUMMYFUNCTION("SPLIT(I2156,""/"")"),5.0)</f>
        <v>5</v>
      </c>
      <c r="K2156" s="308">
        <f>IFERROR(__xludf.DUMMYFUNCTION("""COMPUTED_VALUE"""),12.0)</f>
        <v>12</v>
      </c>
      <c r="L2156" s="308">
        <f>IFERROR(__xludf.DUMMYFUNCTION("""COMPUTED_VALUE"""),2012.0)</f>
        <v>2012</v>
      </c>
      <c r="M2156" s="308" t="s">
        <v>8818</v>
      </c>
      <c r="N2156" s="308"/>
      <c r="O2156" s="312" t="s">
        <v>8819</v>
      </c>
      <c r="P2156" s="308" t="s">
        <v>8820</v>
      </c>
      <c r="Q2156" s="308"/>
      <c r="R2156" s="308"/>
      <c r="S2156" s="308" t="s">
        <v>81</v>
      </c>
      <c r="T2156" s="308" t="s">
        <v>98</v>
      </c>
      <c r="U2156" s="308"/>
      <c r="V2156" s="312"/>
    </row>
    <row r="2157">
      <c r="A2157" s="308">
        <v>2156.0</v>
      </c>
      <c r="B2157" s="308"/>
      <c r="C2157" s="308" t="s">
        <v>8821</v>
      </c>
      <c r="D2157" s="308">
        <f>IFERROR(__xludf.DUMMYFUNCTION("SPLIT(C2157,""-"")"),2177.0)</f>
        <v>2177</v>
      </c>
      <c r="E2157" s="308" t="str">
        <f>IFERROR(__xludf.DUMMYFUNCTION("""COMPUTED_VALUE""")," K")</f>
        <v> K</v>
      </c>
      <c r="F2157" s="309" t="s">
        <v>34</v>
      </c>
      <c r="G2157" s="308" t="s">
        <v>8822</v>
      </c>
      <c r="H2157" s="308" t="s">
        <v>8823</v>
      </c>
      <c r="I2157" s="316">
        <v>2009.0</v>
      </c>
      <c r="J2157" s="319"/>
      <c r="K2157" s="308"/>
      <c r="L2157" s="311">
        <v>2009.0</v>
      </c>
      <c r="M2157" s="308" t="s">
        <v>8824</v>
      </c>
      <c r="N2157" s="308"/>
      <c r="O2157" s="312" t="s">
        <v>635</v>
      </c>
      <c r="P2157" s="308" t="s">
        <v>8825</v>
      </c>
      <c r="Q2157" s="308"/>
      <c r="R2157" s="308"/>
      <c r="S2157" s="308" t="s">
        <v>81</v>
      </c>
      <c r="T2157" s="308" t="s">
        <v>34264</v>
      </c>
      <c r="U2157" s="308"/>
      <c r="V2157" s="312"/>
    </row>
    <row r="2158">
      <c r="A2158" s="308">
        <v>2157.0</v>
      </c>
      <c r="B2158" s="308"/>
      <c r="C2158" s="308" t="s">
        <v>8826</v>
      </c>
      <c r="D2158" s="308">
        <f>IFERROR(__xludf.DUMMYFUNCTION("SPLIT(C2158,""-"")"),2178.0)</f>
        <v>2178</v>
      </c>
      <c r="E2158" s="308" t="str">
        <f>IFERROR(__xludf.DUMMYFUNCTION("""COMPUTED_VALUE""")," K")</f>
        <v> K</v>
      </c>
      <c r="F2158" s="309" t="s">
        <v>34</v>
      </c>
      <c r="G2158" s="308" t="s">
        <v>8827</v>
      </c>
      <c r="H2158" s="308" t="s">
        <v>8828</v>
      </c>
      <c r="I2158" s="314">
        <v>41198.0</v>
      </c>
      <c r="J2158" s="319">
        <f>IFERROR(__xludf.DUMMYFUNCTION("SPLIT(I2158,""/"")"),16.0)</f>
        <v>16</v>
      </c>
      <c r="K2158" s="308">
        <f>IFERROR(__xludf.DUMMYFUNCTION("""COMPUTED_VALUE"""),10.0)</f>
        <v>10</v>
      </c>
      <c r="L2158" s="308">
        <f>IFERROR(__xludf.DUMMYFUNCTION("""COMPUTED_VALUE"""),2012.0)</f>
        <v>2012</v>
      </c>
      <c r="M2158" s="308" t="s">
        <v>8829</v>
      </c>
      <c r="N2158" s="308"/>
      <c r="O2158" s="312" t="s">
        <v>8830</v>
      </c>
      <c r="P2158" s="308" t="s">
        <v>8831</v>
      </c>
      <c r="Q2158" s="308"/>
      <c r="R2158" s="308"/>
      <c r="S2158" s="308" t="s">
        <v>81</v>
      </c>
      <c r="T2158" s="311" t="s">
        <v>77</v>
      </c>
      <c r="U2158" s="308"/>
      <c r="V2158" s="312"/>
    </row>
    <row r="2159">
      <c r="A2159" s="308">
        <v>2158.0</v>
      </c>
      <c r="B2159" s="308"/>
      <c r="C2159" s="308" t="s">
        <v>36544</v>
      </c>
      <c r="D2159" s="308">
        <f>IFERROR(__xludf.DUMMYFUNCTION("SPLIT(C2159,""-"")"),2179.0)</f>
        <v>2179</v>
      </c>
      <c r="E2159" s="308" t="str">
        <f>IFERROR(__xludf.DUMMYFUNCTION("""COMPUTED_VALUE""")," K ")</f>
        <v> K </v>
      </c>
      <c r="F2159" s="309" t="s">
        <v>34</v>
      </c>
      <c r="G2159" s="308" t="s">
        <v>8833</v>
      </c>
      <c r="H2159" s="308" t="s">
        <v>36545</v>
      </c>
      <c r="I2159" s="310">
        <v>40941.0</v>
      </c>
      <c r="J2159" s="319">
        <f>IFERROR(__xludf.DUMMYFUNCTION("SPLIT(I2159,""/"")"),2.0)</f>
        <v>2</v>
      </c>
      <c r="K2159" s="308">
        <f>IFERROR(__xludf.DUMMYFUNCTION("""COMPUTED_VALUE"""),2.0)</f>
        <v>2</v>
      </c>
      <c r="L2159" s="308">
        <f>IFERROR(__xludf.DUMMYFUNCTION("""COMPUTED_VALUE"""),2012.0)</f>
        <v>2012</v>
      </c>
      <c r="M2159" s="308" t="s">
        <v>8835</v>
      </c>
      <c r="N2159" s="308" t="s">
        <v>8836</v>
      </c>
      <c r="O2159" s="312" t="s">
        <v>8837</v>
      </c>
      <c r="P2159" s="308" t="s">
        <v>36546</v>
      </c>
      <c r="Q2159" s="308"/>
      <c r="R2159" s="308"/>
      <c r="S2159" s="315" t="s">
        <v>100</v>
      </c>
      <c r="T2159" s="311" t="s">
        <v>34208</v>
      </c>
      <c r="U2159" s="308" t="s">
        <v>530</v>
      </c>
      <c r="V2159" s="308" t="s">
        <v>8838</v>
      </c>
    </row>
    <row r="2160">
      <c r="A2160" s="308">
        <v>2159.0</v>
      </c>
      <c r="B2160" s="308"/>
      <c r="C2160" s="308" t="s">
        <v>8839</v>
      </c>
      <c r="D2160" s="308">
        <f>IFERROR(__xludf.DUMMYFUNCTION("SPLIT(C2160,""-"")"),2180.0)</f>
        <v>2180</v>
      </c>
      <c r="E2160" s="308" t="str">
        <f>IFERROR(__xludf.DUMMYFUNCTION("""COMPUTED_VALUE""")," F")</f>
        <v> F</v>
      </c>
      <c r="F2160" s="309" t="s">
        <v>34</v>
      </c>
      <c r="G2160" s="308" t="s">
        <v>8840</v>
      </c>
      <c r="H2160" s="308" t="s">
        <v>8841</v>
      </c>
      <c r="I2160" s="310">
        <v>41428.0</v>
      </c>
      <c r="J2160" s="319">
        <f>IFERROR(__xludf.DUMMYFUNCTION("SPLIT(I2160,""/"")"),3.0)</f>
        <v>3</v>
      </c>
      <c r="K2160" s="308">
        <f>IFERROR(__xludf.DUMMYFUNCTION("""COMPUTED_VALUE"""),6.0)</f>
        <v>6</v>
      </c>
      <c r="L2160" s="308">
        <f>IFERROR(__xludf.DUMMYFUNCTION("""COMPUTED_VALUE"""),2013.0)</f>
        <v>2013</v>
      </c>
      <c r="M2160" s="308" t="s">
        <v>8842</v>
      </c>
      <c r="N2160" s="308"/>
      <c r="O2160" s="312" t="s">
        <v>8843</v>
      </c>
      <c r="P2160" s="308" t="s">
        <v>8844</v>
      </c>
      <c r="Q2160" s="308"/>
      <c r="R2160" s="308"/>
      <c r="S2160" s="308" t="s">
        <v>81</v>
      </c>
      <c r="T2160" s="311" t="s">
        <v>73</v>
      </c>
      <c r="U2160" s="308"/>
      <c r="V2160" s="312"/>
    </row>
    <row r="2161">
      <c r="A2161" s="308">
        <v>2160.0</v>
      </c>
      <c r="B2161" s="308"/>
      <c r="C2161" s="308" t="s">
        <v>8845</v>
      </c>
      <c r="D2161" s="308">
        <f>IFERROR(__xludf.DUMMYFUNCTION("SPLIT(C2161,""-"")"),2181.0)</f>
        <v>2181</v>
      </c>
      <c r="E2161" s="308" t="str">
        <f>IFERROR(__xludf.DUMMYFUNCTION("""COMPUTED_VALUE""")," B")</f>
        <v> B</v>
      </c>
      <c r="F2161" s="315" t="s">
        <v>26</v>
      </c>
      <c r="G2161" s="308" t="s">
        <v>8846</v>
      </c>
      <c r="H2161" s="308" t="s">
        <v>8847</v>
      </c>
      <c r="I2161" s="314">
        <v>41596.0</v>
      </c>
      <c r="J2161" s="319">
        <f>IFERROR(__xludf.DUMMYFUNCTION("SPLIT(I2161,""/"")"),18.0)</f>
        <v>18</v>
      </c>
      <c r="K2161" s="308">
        <f>IFERROR(__xludf.DUMMYFUNCTION("""COMPUTED_VALUE"""),11.0)</f>
        <v>11</v>
      </c>
      <c r="L2161" s="308">
        <f>IFERROR(__xludf.DUMMYFUNCTION("""COMPUTED_VALUE"""),2013.0)</f>
        <v>2013</v>
      </c>
      <c r="M2161" s="308" t="s">
        <v>8848</v>
      </c>
      <c r="N2161" s="308"/>
      <c r="O2161" s="312" t="s">
        <v>635</v>
      </c>
      <c r="P2161" s="308" t="s">
        <v>8849</v>
      </c>
      <c r="Q2161" s="308"/>
      <c r="R2161" s="308"/>
      <c r="S2161" s="308" t="s">
        <v>49</v>
      </c>
      <c r="T2161" s="308" t="s">
        <v>51</v>
      </c>
      <c r="U2161" s="308"/>
      <c r="V2161" s="312"/>
    </row>
    <row r="2162">
      <c r="A2162" s="308">
        <v>2161.0</v>
      </c>
      <c r="B2162" s="308"/>
      <c r="C2162" s="308" t="s">
        <v>8850</v>
      </c>
      <c r="D2162" s="308">
        <f>IFERROR(__xludf.DUMMYFUNCTION("SPLIT(C2162,""-"")"),2182.0)</f>
        <v>2182</v>
      </c>
      <c r="E2162" s="308" t="str">
        <f>IFERROR(__xludf.DUMMYFUNCTION("""COMPUTED_VALUE""")," B")</f>
        <v> B</v>
      </c>
      <c r="F2162" s="315" t="s">
        <v>26</v>
      </c>
      <c r="G2162" s="308"/>
      <c r="H2162" s="312" t="s">
        <v>8851</v>
      </c>
      <c r="I2162" s="314">
        <v>41687.0</v>
      </c>
      <c r="J2162" s="319">
        <f>IFERROR(__xludf.DUMMYFUNCTION("SPLIT(I2162,""/"")"),17.0)</f>
        <v>17</v>
      </c>
      <c r="K2162" s="312">
        <f>IFERROR(__xludf.DUMMYFUNCTION("""COMPUTED_VALUE"""),2.0)</f>
        <v>2</v>
      </c>
      <c r="L2162" s="312">
        <f>IFERROR(__xludf.DUMMYFUNCTION("""COMPUTED_VALUE"""),2014.0)</f>
        <v>2014</v>
      </c>
      <c r="M2162" s="312" t="s">
        <v>8852</v>
      </c>
      <c r="N2162" s="312"/>
      <c r="O2162" s="312" t="s">
        <v>635</v>
      </c>
      <c r="P2162" s="312"/>
      <c r="Q2162" s="308"/>
      <c r="R2162" s="308"/>
      <c r="S2162" s="308" t="s">
        <v>79</v>
      </c>
      <c r="T2162" s="308" t="s">
        <v>79</v>
      </c>
      <c r="U2162" s="308"/>
      <c r="V2162" s="312"/>
    </row>
    <row r="2163">
      <c r="A2163" s="308">
        <v>2162.0</v>
      </c>
      <c r="B2163" s="308"/>
      <c r="C2163" s="308" t="s">
        <v>8853</v>
      </c>
      <c r="D2163" s="308">
        <f>IFERROR(__xludf.DUMMYFUNCTION("SPLIT(C2163,""-"")"),2183.0)</f>
        <v>2183</v>
      </c>
      <c r="E2163" s="308" t="str">
        <f>IFERROR(__xludf.DUMMYFUNCTION("""COMPUTED_VALUE""")," B")</f>
        <v> B</v>
      </c>
      <c r="F2163" s="315" t="s">
        <v>26</v>
      </c>
      <c r="G2163" s="308"/>
      <c r="H2163" s="308" t="s">
        <v>8854</v>
      </c>
      <c r="I2163" s="310">
        <v>41279.0</v>
      </c>
      <c r="J2163" s="319">
        <f>IFERROR(__xludf.DUMMYFUNCTION("SPLIT(I2163,""/"")"),5.0)</f>
        <v>5</v>
      </c>
      <c r="K2163" s="308">
        <f>IFERROR(__xludf.DUMMYFUNCTION("""COMPUTED_VALUE"""),1.0)</f>
        <v>1</v>
      </c>
      <c r="L2163" s="308">
        <f>IFERROR(__xludf.DUMMYFUNCTION("""COMPUTED_VALUE"""),2013.0)</f>
        <v>2013</v>
      </c>
      <c r="M2163" s="308" t="s">
        <v>8855</v>
      </c>
      <c r="N2163" s="308"/>
      <c r="O2163" s="312" t="s">
        <v>8856</v>
      </c>
      <c r="P2163" s="308" t="s">
        <v>8857</v>
      </c>
      <c r="Q2163" s="308"/>
      <c r="R2163" s="308"/>
      <c r="S2163" s="308" t="s">
        <v>49</v>
      </c>
      <c r="T2163" s="311" t="s">
        <v>59</v>
      </c>
      <c r="U2163" s="308"/>
      <c r="V2163" s="312"/>
    </row>
    <row r="2164">
      <c r="A2164" s="308">
        <v>2163.0</v>
      </c>
      <c r="B2164" s="308"/>
      <c r="C2164" s="308" t="s">
        <v>8858</v>
      </c>
      <c r="D2164" s="308">
        <f>IFERROR(__xludf.DUMMYFUNCTION("SPLIT(C2164,""-"")"),2184.0)</f>
        <v>2184</v>
      </c>
      <c r="E2164" s="308" t="str">
        <f>IFERROR(__xludf.DUMMYFUNCTION("""COMPUTED_VALUE""")," S")</f>
        <v> S</v>
      </c>
      <c r="F2164" s="312" t="s">
        <v>39</v>
      </c>
      <c r="G2164" s="308"/>
      <c r="H2164" s="308" t="s">
        <v>8859</v>
      </c>
      <c r="I2164" s="314">
        <v>41712.0</v>
      </c>
      <c r="J2164" s="319">
        <f>IFERROR(__xludf.DUMMYFUNCTION("SPLIT(I2164,""/"")"),14.0)</f>
        <v>14</v>
      </c>
      <c r="K2164" s="308">
        <f>IFERROR(__xludf.DUMMYFUNCTION("""COMPUTED_VALUE"""),3.0)</f>
        <v>3</v>
      </c>
      <c r="L2164" s="308">
        <f>IFERROR(__xludf.DUMMYFUNCTION("""COMPUTED_VALUE"""),2014.0)</f>
        <v>2014</v>
      </c>
      <c r="M2164" s="308" t="s">
        <v>8860</v>
      </c>
      <c r="N2164" s="308"/>
      <c r="O2164" s="312" t="s">
        <v>8861</v>
      </c>
      <c r="P2164" s="308" t="s">
        <v>622</v>
      </c>
      <c r="Q2164" s="308"/>
      <c r="R2164" s="308"/>
      <c r="S2164" s="308" t="s">
        <v>49</v>
      </c>
      <c r="T2164" s="308" t="s">
        <v>34409</v>
      </c>
      <c r="U2164" s="308"/>
      <c r="V2164" s="312"/>
    </row>
    <row r="2165">
      <c r="A2165" s="308">
        <v>2164.0</v>
      </c>
      <c r="B2165" s="308"/>
      <c r="C2165" s="308" t="s">
        <v>8862</v>
      </c>
      <c r="D2165" s="308">
        <f>IFERROR(__xludf.DUMMYFUNCTION("SPLIT(C2165,""-"")"),2185.0)</f>
        <v>2185</v>
      </c>
      <c r="E2165" s="308" t="str">
        <f>IFERROR(__xludf.DUMMYFUNCTION("""COMPUTED_VALUE""")," S")</f>
        <v> S</v>
      </c>
      <c r="F2165" s="312" t="s">
        <v>39</v>
      </c>
      <c r="G2165" s="308"/>
      <c r="H2165" s="308" t="s">
        <v>8863</v>
      </c>
      <c r="I2165" s="314">
        <v>41820.0</v>
      </c>
      <c r="J2165" s="319">
        <f>IFERROR(__xludf.DUMMYFUNCTION("SPLIT(I2165,""/"")"),30.0)</f>
        <v>30</v>
      </c>
      <c r="K2165" s="308">
        <f>IFERROR(__xludf.DUMMYFUNCTION("""COMPUTED_VALUE"""),6.0)</f>
        <v>6</v>
      </c>
      <c r="L2165" s="308">
        <f>IFERROR(__xludf.DUMMYFUNCTION("""COMPUTED_VALUE"""),2014.0)</f>
        <v>2014</v>
      </c>
      <c r="M2165" s="308" t="s">
        <v>8864</v>
      </c>
      <c r="N2165" s="308"/>
      <c r="O2165" s="312" t="s">
        <v>8865</v>
      </c>
      <c r="P2165" s="308" t="s">
        <v>36547</v>
      </c>
      <c r="Q2165" s="308"/>
      <c r="R2165" s="308"/>
      <c r="S2165" s="315" t="s">
        <v>100</v>
      </c>
      <c r="T2165" s="311" t="s">
        <v>34208</v>
      </c>
      <c r="U2165" s="308"/>
      <c r="V2165" s="312"/>
    </row>
    <row r="2166">
      <c r="A2166" s="308">
        <v>2165.0</v>
      </c>
      <c r="B2166" s="308"/>
      <c r="C2166" s="308" t="s">
        <v>8866</v>
      </c>
      <c r="D2166" s="308">
        <f>IFERROR(__xludf.DUMMYFUNCTION("SPLIT(C2166,""-"")"),2186.0)</f>
        <v>2186</v>
      </c>
      <c r="E2166" s="308" t="str">
        <f>IFERROR(__xludf.DUMMYFUNCTION("""COMPUTED_VALUE""")," P")</f>
        <v> P</v>
      </c>
      <c r="F2166" s="312" t="s">
        <v>37</v>
      </c>
      <c r="G2166" s="308"/>
      <c r="H2166" s="308" t="s">
        <v>8867</v>
      </c>
      <c r="I2166" s="314">
        <v>41805.0</v>
      </c>
      <c r="J2166" s="319">
        <f>IFERROR(__xludf.DUMMYFUNCTION("SPLIT(I2166,""/"")"),15.0)</f>
        <v>15</v>
      </c>
      <c r="K2166" s="308">
        <f>IFERROR(__xludf.DUMMYFUNCTION("""COMPUTED_VALUE"""),6.0)</f>
        <v>6</v>
      </c>
      <c r="L2166" s="308">
        <f>IFERROR(__xludf.DUMMYFUNCTION("""COMPUTED_VALUE"""),2014.0)</f>
        <v>2014</v>
      </c>
      <c r="M2166" s="308" t="s">
        <v>8868</v>
      </c>
      <c r="N2166" s="308"/>
      <c r="O2166" s="312" t="s">
        <v>8869</v>
      </c>
      <c r="P2166" s="308" t="s">
        <v>8870</v>
      </c>
      <c r="Q2166" s="308"/>
      <c r="R2166" s="308"/>
      <c r="S2166" s="308" t="s">
        <v>81</v>
      </c>
      <c r="T2166" s="308" t="s">
        <v>34264</v>
      </c>
      <c r="U2166" s="308"/>
      <c r="V2166" s="312"/>
    </row>
    <row r="2167">
      <c r="A2167" s="308">
        <v>2166.0</v>
      </c>
      <c r="B2167" s="308"/>
      <c r="C2167" s="308" t="s">
        <v>8871</v>
      </c>
      <c r="D2167" s="308">
        <f>IFERROR(__xludf.DUMMYFUNCTION("SPLIT(C2167,""-"")"),2187.0)</f>
        <v>2187</v>
      </c>
      <c r="E2167" s="308" t="str">
        <f>IFERROR(__xludf.DUMMYFUNCTION("""COMPUTED_VALUE""")," K")</f>
        <v> K</v>
      </c>
      <c r="F2167" s="309" t="s">
        <v>34</v>
      </c>
      <c r="G2167" s="308"/>
      <c r="H2167" s="308" t="s">
        <v>8872</v>
      </c>
      <c r="I2167" s="314">
        <v>41208.0</v>
      </c>
      <c r="J2167" s="319">
        <f>IFERROR(__xludf.DUMMYFUNCTION("SPLIT(I2167,""/"")"),26.0)</f>
        <v>26</v>
      </c>
      <c r="K2167" s="308">
        <f>IFERROR(__xludf.DUMMYFUNCTION("""COMPUTED_VALUE"""),10.0)</f>
        <v>10</v>
      </c>
      <c r="L2167" s="308">
        <f>IFERROR(__xludf.DUMMYFUNCTION("""COMPUTED_VALUE"""),2012.0)</f>
        <v>2012</v>
      </c>
      <c r="M2167" s="308" t="s">
        <v>36548</v>
      </c>
      <c r="N2167" s="308"/>
      <c r="O2167" s="312" t="s">
        <v>8874</v>
      </c>
      <c r="P2167" s="308" t="s">
        <v>36549</v>
      </c>
      <c r="Q2167" s="308"/>
      <c r="R2167" s="308"/>
      <c r="S2167" s="308" t="s">
        <v>81</v>
      </c>
      <c r="T2167" s="308" t="s">
        <v>34264</v>
      </c>
      <c r="U2167" s="308"/>
      <c r="V2167" s="312"/>
    </row>
    <row r="2168">
      <c r="A2168" s="308">
        <v>2167.0</v>
      </c>
      <c r="B2168" s="308"/>
      <c r="C2168" s="308" t="s">
        <v>8876</v>
      </c>
      <c r="D2168" s="308">
        <f>IFERROR(__xludf.DUMMYFUNCTION("SPLIT(C2168,""-"")"),2188.0)</f>
        <v>2188</v>
      </c>
      <c r="E2168" s="308" t="str">
        <f>IFERROR(__xludf.DUMMYFUNCTION("""COMPUTED_VALUE""")," K")</f>
        <v> K</v>
      </c>
      <c r="F2168" s="309" t="s">
        <v>34</v>
      </c>
      <c r="G2168" s="308"/>
      <c r="H2168" s="308" t="s">
        <v>8877</v>
      </c>
      <c r="I2168" s="314">
        <v>41568.0</v>
      </c>
      <c r="J2168" s="319">
        <f>IFERROR(__xludf.DUMMYFUNCTION("SPLIT(I2168,""/"")"),21.0)</f>
        <v>21</v>
      </c>
      <c r="K2168" s="308">
        <f>IFERROR(__xludf.DUMMYFUNCTION("""COMPUTED_VALUE"""),10.0)</f>
        <v>10</v>
      </c>
      <c r="L2168" s="308">
        <f>IFERROR(__xludf.DUMMYFUNCTION("""COMPUTED_VALUE"""),2013.0)</f>
        <v>2013</v>
      </c>
      <c r="M2168" s="308" t="s">
        <v>8878</v>
      </c>
      <c r="N2168" s="308"/>
      <c r="O2168" s="312" t="s">
        <v>8874</v>
      </c>
      <c r="P2168" s="308" t="s">
        <v>8879</v>
      </c>
      <c r="Q2168" s="308"/>
      <c r="R2168" s="308"/>
      <c r="S2168" s="308" t="s">
        <v>81</v>
      </c>
      <c r="T2168" s="311" t="s">
        <v>77</v>
      </c>
      <c r="U2168" s="308"/>
      <c r="V2168" s="312"/>
    </row>
    <row r="2169">
      <c r="A2169" s="308">
        <v>2168.0</v>
      </c>
      <c r="B2169" s="308"/>
      <c r="C2169" s="308" t="s">
        <v>8880</v>
      </c>
      <c r="D2169" s="308">
        <f>IFERROR(__xludf.DUMMYFUNCTION("SPLIT(C2169,""-"")"),2189.0)</f>
        <v>2189</v>
      </c>
      <c r="E2169" s="308" t="str">
        <f>IFERROR(__xludf.DUMMYFUNCTION("""COMPUTED_VALUE""")," K")</f>
        <v> K</v>
      </c>
      <c r="F2169" s="309" t="s">
        <v>34</v>
      </c>
      <c r="G2169" s="308"/>
      <c r="H2169" s="308" t="s">
        <v>8458</v>
      </c>
      <c r="I2169" s="314">
        <v>41568.0</v>
      </c>
      <c r="J2169" s="319">
        <f>IFERROR(__xludf.DUMMYFUNCTION("SPLIT(I2169,""/"")"),21.0)</f>
        <v>21</v>
      </c>
      <c r="K2169" s="308">
        <f>IFERROR(__xludf.DUMMYFUNCTION("""COMPUTED_VALUE"""),10.0)</f>
        <v>10</v>
      </c>
      <c r="L2169" s="308">
        <f>IFERROR(__xludf.DUMMYFUNCTION("""COMPUTED_VALUE"""),2013.0)</f>
        <v>2013</v>
      </c>
      <c r="M2169" s="308" t="s">
        <v>8881</v>
      </c>
      <c r="N2169" s="308"/>
      <c r="O2169" s="312" t="s">
        <v>8874</v>
      </c>
      <c r="P2169" s="308" t="s">
        <v>8879</v>
      </c>
      <c r="Q2169" s="308"/>
      <c r="R2169" s="308"/>
      <c r="S2169" s="308" t="s">
        <v>81</v>
      </c>
      <c r="T2169" s="311" t="s">
        <v>77</v>
      </c>
      <c r="U2169" s="308"/>
      <c r="V2169" s="312"/>
    </row>
    <row r="2170">
      <c r="A2170" s="308">
        <v>2169.0</v>
      </c>
      <c r="B2170" s="308"/>
      <c r="C2170" s="308" t="s">
        <v>8882</v>
      </c>
      <c r="D2170" s="308">
        <f>IFERROR(__xludf.DUMMYFUNCTION("SPLIT(C2170,""-"")"),2190.0)</f>
        <v>2190</v>
      </c>
      <c r="E2170" s="308" t="str">
        <f>IFERROR(__xludf.DUMMYFUNCTION("""COMPUTED_VALUE""")," K")</f>
        <v> K</v>
      </c>
      <c r="F2170" s="309" t="s">
        <v>34</v>
      </c>
      <c r="G2170" s="308"/>
      <c r="H2170" s="308" t="s">
        <v>8460</v>
      </c>
      <c r="I2170" s="314">
        <v>41568.0</v>
      </c>
      <c r="J2170" s="319">
        <f>IFERROR(__xludf.DUMMYFUNCTION("SPLIT(I2170,""/"")"),21.0)</f>
        <v>21</v>
      </c>
      <c r="K2170" s="308">
        <f>IFERROR(__xludf.DUMMYFUNCTION("""COMPUTED_VALUE"""),10.0)</f>
        <v>10</v>
      </c>
      <c r="L2170" s="308">
        <f>IFERROR(__xludf.DUMMYFUNCTION("""COMPUTED_VALUE"""),2013.0)</f>
        <v>2013</v>
      </c>
      <c r="M2170" s="308" t="s">
        <v>8881</v>
      </c>
      <c r="N2170" s="308"/>
      <c r="O2170" s="312" t="s">
        <v>8883</v>
      </c>
      <c r="P2170" s="308" t="s">
        <v>36550</v>
      </c>
      <c r="Q2170" s="308"/>
      <c r="R2170" s="308"/>
      <c r="S2170" s="315" t="s">
        <v>100</v>
      </c>
      <c r="T2170" s="311" t="s">
        <v>34208</v>
      </c>
      <c r="U2170" s="308"/>
      <c r="V2170" s="312"/>
    </row>
    <row r="2171">
      <c r="A2171" s="308">
        <v>2170.0</v>
      </c>
      <c r="B2171" s="308"/>
      <c r="C2171" s="308" t="s">
        <v>8885</v>
      </c>
      <c r="D2171" s="308">
        <f>IFERROR(__xludf.DUMMYFUNCTION("SPLIT(C2171,""-"")"),2191.0)</f>
        <v>2191</v>
      </c>
      <c r="E2171" s="308" t="str">
        <f>IFERROR(__xludf.DUMMYFUNCTION("""COMPUTED_VALUE""")," K")</f>
        <v> K</v>
      </c>
      <c r="F2171" s="309" t="s">
        <v>34</v>
      </c>
      <c r="G2171" s="308"/>
      <c r="H2171" s="308" t="s">
        <v>8886</v>
      </c>
      <c r="I2171" s="310">
        <v>40239.0</v>
      </c>
      <c r="J2171" s="319">
        <f>IFERROR(__xludf.DUMMYFUNCTION("SPLIT(I2171,""/"")"),2.0)</f>
        <v>2</v>
      </c>
      <c r="K2171" s="308">
        <f>IFERROR(__xludf.DUMMYFUNCTION("""COMPUTED_VALUE"""),3.0)</f>
        <v>3</v>
      </c>
      <c r="L2171" s="308">
        <f>IFERROR(__xludf.DUMMYFUNCTION("""COMPUTED_VALUE"""),2010.0)</f>
        <v>2010</v>
      </c>
      <c r="M2171" s="308" t="s">
        <v>8887</v>
      </c>
      <c r="N2171" s="308"/>
      <c r="O2171" s="312" t="s">
        <v>635</v>
      </c>
      <c r="P2171" s="308" t="s">
        <v>36551</v>
      </c>
      <c r="Q2171" s="308"/>
      <c r="R2171" s="308"/>
      <c r="S2171" s="315" t="s">
        <v>100</v>
      </c>
      <c r="T2171" s="311" t="s">
        <v>34208</v>
      </c>
      <c r="U2171" s="308" t="s">
        <v>4749</v>
      </c>
      <c r="V2171" s="312"/>
    </row>
    <row r="2172">
      <c r="A2172" s="308">
        <v>2171.0</v>
      </c>
      <c r="B2172" s="308"/>
      <c r="C2172" s="308" t="s">
        <v>8889</v>
      </c>
      <c r="D2172" s="308">
        <f>IFERROR(__xludf.DUMMYFUNCTION("SPLIT(C2172,""-"")"),2192.0)</f>
        <v>2192</v>
      </c>
      <c r="E2172" s="308" t="str">
        <f>IFERROR(__xludf.DUMMYFUNCTION("""COMPUTED_VALUE""")," K")</f>
        <v> K</v>
      </c>
      <c r="F2172" s="309" t="s">
        <v>34</v>
      </c>
      <c r="G2172" s="308" t="s">
        <v>8890</v>
      </c>
      <c r="H2172" s="308" t="s">
        <v>8891</v>
      </c>
      <c r="I2172" s="310">
        <v>40674.0</v>
      </c>
      <c r="J2172" s="319">
        <f>IFERROR(__xludf.DUMMYFUNCTION("SPLIT(I2172,""/"")"),11.0)</f>
        <v>11</v>
      </c>
      <c r="K2172" s="308">
        <f>IFERROR(__xludf.DUMMYFUNCTION("""COMPUTED_VALUE"""),5.0)</f>
        <v>5</v>
      </c>
      <c r="L2172" s="308">
        <f>IFERROR(__xludf.DUMMYFUNCTION("""COMPUTED_VALUE"""),2011.0)</f>
        <v>2011</v>
      </c>
      <c r="M2172" s="308" t="s">
        <v>8892</v>
      </c>
      <c r="N2172" s="308"/>
      <c r="O2172" s="312" t="s">
        <v>8893</v>
      </c>
      <c r="P2172" s="308" t="s">
        <v>8894</v>
      </c>
      <c r="Q2172" s="308"/>
      <c r="R2172" s="308"/>
      <c r="S2172" s="308" t="s">
        <v>81</v>
      </c>
      <c r="T2172" s="308" t="s">
        <v>34264</v>
      </c>
      <c r="U2172" s="308"/>
      <c r="V2172" s="312"/>
    </row>
    <row r="2173">
      <c r="A2173" s="308">
        <v>2172.0</v>
      </c>
      <c r="B2173" s="308"/>
      <c r="C2173" s="308" t="s">
        <v>8895</v>
      </c>
      <c r="D2173" s="308" t="str">
        <f>IFERROR(__xludf.DUMMYFUNCTION("SPLIT(C2173,""-"")"),"#REF!")</f>
        <v>#REF!</v>
      </c>
      <c r="E2173" s="311"/>
      <c r="F2173" s="317" t="s">
        <v>37</v>
      </c>
      <c r="G2173" s="308"/>
      <c r="H2173" s="308" t="s">
        <v>8896</v>
      </c>
      <c r="I2173" s="310">
        <v>41342.0</v>
      </c>
      <c r="J2173" s="319">
        <f>IFERROR(__xludf.DUMMYFUNCTION("SPLIT(I2173,""/"")"),9.0)</f>
        <v>9</v>
      </c>
      <c r="K2173" s="308">
        <f>IFERROR(__xludf.DUMMYFUNCTION("""COMPUTED_VALUE"""),3.0)</f>
        <v>3</v>
      </c>
      <c r="L2173" s="308">
        <f>IFERROR(__xludf.DUMMYFUNCTION("""COMPUTED_VALUE"""),2013.0)</f>
        <v>2013</v>
      </c>
      <c r="M2173" s="308" t="s">
        <v>8897</v>
      </c>
      <c r="N2173" s="308"/>
      <c r="O2173" s="312" t="s">
        <v>8687</v>
      </c>
      <c r="P2173" s="308" t="s">
        <v>36552</v>
      </c>
      <c r="Q2173" s="308"/>
      <c r="R2173" s="308" t="s">
        <v>1496</v>
      </c>
      <c r="S2173" s="315" t="s">
        <v>100</v>
      </c>
      <c r="T2173" s="311" t="s">
        <v>34208</v>
      </c>
      <c r="U2173" s="308" t="s">
        <v>149</v>
      </c>
      <c r="V2173" s="312"/>
    </row>
    <row r="2174">
      <c r="A2174" s="308">
        <v>2173.0</v>
      </c>
      <c r="B2174" s="308"/>
      <c r="C2174" s="308" t="s">
        <v>36553</v>
      </c>
      <c r="D2174" s="308"/>
      <c r="E2174" s="311"/>
      <c r="F2174" s="309" t="s">
        <v>34</v>
      </c>
      <c r="G2174" s="308" t="s">
        <v>8899</v>
      </c>
      <c r="H2174" s="308" t="s">
        <v>36554</v>
      </c>
      <c r="I2174" s="314">
        <v>40871.0</v>
      </c>
      <c r="J2174" s="319">
        <f>IFERROR(__xludf.DUMMYFUNCTION("SPLIT(I2174,""/"")"),24.0)</f>
        <v>24</v>
      </c>
      <c r="K2174" s="308">
        <f>IFERROR(__xludf.DUMMYFUNCTION("""COMPUTED_VALUE"""),11.0)</f>
        <v>11</v>
      </c>
      <c r="L2174" s="308">
        <f>IFERROR(__xludf.DUMMYFUNCTION("""COMPUTED_VALUE"""),2011.0)</f>
        <v>2011</v>
      </c>
      <c r="M2174" s="308" t="s">
        <v>8901</v>
      </c>
      <c r="N2174" s="308"/>
      <c r="O2174" s="312" t="s">
        <v>8902</v>
      </c>
      <c r="P2174" s="308" t="s">
        <v>36555</v>
      </c>
      <c r="Q2174" s="308"/>
      <c r="R2174" s="308"/>
      <c r="S2174" s="315" t="s">
        <v>100</v>
      </c>
      <c r="T2174" s="311" t="s">
        <v>34208</v>
      </c>
      <c r="U2174" s="308" t="s">
        <v>125</v>
      </c>
      <c r="V2174" s="312"/>
    </row>
    <row r="2175">
      <c r="A2175" s="308">
        <v>2174.0</v>
      </c>
      <c r="B2175" s="308"/>
      <c r="C2175" s="308" t="s">
        <v>8903</v>
      </c>
      <c r="D2175" s="308">
        <f>IFERROR(__xludf.DUMMYFUNCTION("SPLIT(C2175,""-"")"),2195.0)</f>
        <v>2195</v>
      </c>
      <c r="E2175" s="308" t="str">
        <f>IFERROR(__xludf.DUMMYFUNCTION("""COMPUTED_VALUE""")," K")</f>
        <v> K</v>
      </c>
      <c r="F2175" s="309" t="s">
        <v>34</v>
      </c>
      <c r="G2175" s="308"/>
      <c r="H2175" s="308" t="s">
        <v>8904</v>
      </c>
      <c r="I2175" s="316">
        <v>2009.0</v>
      </c>
      <c r="J2175" s="319"/>
      <c r="K2175" s="308"/>
      <c r="L2175" s="311">
        <v>2009.0</v>
      </c>
      <c r="M2175" s="308" t="s">
        <v>8905</v>
      </c>
      <c r="N2175" s="308"/>
      <c r="O2175" s="312" t="s">
        <v>8906</v>
      </c>
      <c r="P2175" s="308" t="s">
        <v>36556</v>
      </c>
      <c r="Q2175" s="308"/>
      <c r="R2175" s="308"/>
      <c r="S2175" s="315" t="s">
        <v>100</v>
      </c>
      <c r="T2175" s="311" t="s">
        <v>34208</v>
      </c>
      <c r="U2175" s="308" t="s">
        <v>1516</v>
      </c>
      <c r="V2175" s="312"/>
    </row>
    <row r="2176">
      <c r="A2176" s="308">
        <v>2175.0</v>
      </c>
      <c r="B2176" s="308"/>
      <c r="C2176" s="308" t="s">
        <v>8908</v>
      </c>
      <c r="D2176" s="308">
        <f>IFERROR(__xludf.DUMMYFUNCTION("SPLIT(C2176,""-"")"),2196.0)</f>
        <v>2196</v>
      </c>
      <c r="E2176" s="308" t="str">
        <f>IFERROR(__xludf.DUMMYFUNCTION("""COMPUTED_VALUE""")," K")</f>
        <v> K</v>
      </c>
      <c r="F2176" s="309" t="s">
        <v>34</v>
      </c>
      <c r="G2176" s="308"/>
      <c r="H2176" s="308" t="s">
        <v>8909</v>
      </c>
      <c r="I2176" s="316">
        <v>2013.0</v>
      </c>
      <c r="J2176" s="319"/>
      <c r="K2176" s="308"/>
      <c r="L2176" s="311">
        <v>2013.0</v>
      </c>
      <c r="M2176" s="308" t="s">
        <v>8910</v>
      </c>
      <c r="N2176" s="308"/>
      <c r="O2176" s="312" t="s">
        <v>8906</v>
      </c>
      <c r="P2176" s="308" t="s">
        <v>8911</v>
      </c>
      <c r="Q2176" s="308"/>
      <c r="R2176" s="308"/>
      <c r="S2176" s="308" t="s">
        <v>81</v>
      </c>
      <c r="T2176" s="308" t="s">
        <v>34264</v>
      </c>
      <c r="U2176" s="308"/>
      <c r="V2176" s="312"/>
    </row>
    <row r="2177">
      <c r="A2177" s="308">
        <v>2176.0</v>
      </c>
      <c r="B2177" s="308"/>
      <c r="C2177" s="308" t="s">
        <v>8912</v>
      </c>
      <c r="D2177" s="308">
        <f>IFERROR(__xludf.DUMMYFUNCTION("SPLIT(C2177,""-"")"),2197.0)</f>
        <v>2197</v>
      </c>
      <c r="E2177" s="308" t="str">
        <f>IFERROR(__xludf.DUMMYFUNCTION("""COMPUTED_VALUE""")," K")</f>
        <v> K</v>
      </c>
      <c r="F2177" s="309" t="s">
        <v>34</v>
      </c>
      <c r="G2177" s="308"/>
      <c r="H2177" s="308" t="s">
        <v>8913</v>
      </c>
      <c r="I2177" s="316">
        <v>2012.0</v>
      </c>
      <c r="J2177" s="319"/>
      <c r="K2177" s="308"/>
      <c r="L2177" s="311">
        <v>2012.0</v>
      </c>
      <c r="M2177" s="308" t="s">
        <v>8910</v>
      </c>
      <c r="N2177" s="308"/>
      <c r="O2177" s="312" t="s">
        <v>8914</v>
      </c>
      <c r="P2177" s="308" t="s">
        <v>36557</v>
      </c>
      <c r="Q2177" s="308"/>
      <c r="R2177" s="308"/>
      <c r="S2177" s="308" t="s">
        <v>81</v>
      </c>
      <c r="T2177" s="311" t="s">
        <v>34264</v>
      </c>
      <c r="U2177" s="308"/>
      <c r="V2177" s="312"/>
    </row>
    <row r="2178">
      <c r="A2178" s="308">
        <v>2177.0</v>
      </c>
      <c r="B2178" s="308"/>
      <c r="C2178" s="308" t="s">
        <v>8916</v>
      </c>
      <c r="D2178" s="308">
        <f>IFERROR(__xludf.DUMMYFUNCTION("SPLIT(C2178,""-"")"),2198.0)</f>
        <v>2198</v>
      </c>
      <c r="E2178" s="308" t="str">
        <f>IFERROR(__xludf.DUMMYFUNCTION("""COMPUTED_VALUE""")," K")</f>
        <v> K</v>
      </c>
      <c r="F2178" s="309" t="s">
        <v>34</v>
      </c>
      <c r="G2178" s="308"/>
      <c r="H2178" s="308" t="s">
        <v>8917</v>
      </c>
      <c r="I2178" s="316">
        <v>2010.0</v>
      </c>
      <c r="J2178" s="319"/>
      <c r="K2178" s="308"/>
      <c r="L2178" s="311">
        <v>2010.0</v>
      </c>
      <c r="M2178" s="308" t="s">
        <v>8918</v>
      </c>
      <c r="N2178" s="308"/>
      <c r="O2178" s="312" t="s">
        <v>8914</v>
      </c>
      <c r="P2178" s="308" t="s">
        <v>36558</v>
      </c>
      <c r="Q2178" s="308"/>
      <c r="R2178" s="308"/>
      <c r="S2178" s="308" t="s">
        <v>81</v>
      </c>
      <c r="T2178" s="308" t="s">
        <v>34264</v>
      </c>
      <c r="U2178" s="308"/>
      <c r="V2178" s="312"/>
    </row>
    <row r="2179">
      <c r="A2179" s="308">
        <v>2178.0</v>
      </c>
      <c r="B2179" s="308"/>
      <c r="C2179" s="308" t="s">
        <v>8920</v>
      </c>
      <c r="D2179" s="308">
        <f>IFERROR(__xludf.DUMMYFUNCTION("SPLIT(C2179,""-"")"),2199.0)</f>
        <v>2199</v>
      </c>
      <c r="E2179" s="308" t="str">
        <f>IFERROR(__xludf.DUMMYFUNCTION("""COMPUTED_VALUE""")," K")</f>
        <v> K</v>
      </c>
      <c r="F2179" s="309" t="s">
        <v>34</v>
      </c>
      <c r="G2179" s="308"/>
      <c r="H2179" s="308" t="s">
        <v>8921</v>
      </c>
      <c r="I2179" s="316">
        <v>2012.0</v>
      </c>
      <c r="J2179" s="319"/>
      <c r="K2179" s="308"/>
      <c r="L2179" s="311">
        <v>2012.0</v>
      </c>
      <c r="M2179" s="308" t="s">
        <v>8918</v>
      </c>
      <c r="N2179" s="308"/>
      <c r="O2179" s="312" t="s">
        <v>8914</v>
      </c>
      <c r="P2179" s="308" t="s">
        <v>8922</v>
      </c>
      <c r="Q2179" s="308"/>
      <c r="R2179" s="308"/>
      <c r="S2179" s="308" t="s">
        <v>81</v>
      </c>
      <c r="T2179" s="308" t="s">
        <v>75</v>
      </c>
      <c r="U2179" s="308"/>
      <c r="V2179" s="312"/>
    </row>
    <row r="2180">
      <c r="A2180" s="308">
        <v>2179.0</v>
      </c>
      <c r="B2180" s="308"/>
      <c r="C2180" s="308" t="s">
        <v>8923</v>
      </c>
      <c r="D2180" s="308">
        <f>IFERROR(__xludf.DUMMYFUNCTION("SPLIT(C2180,""-"")"),2200.0)</f>
        <v>2200</v>
      </c>
      <c r="E2180" s="308" t="str">
        <f>IFERROR(__xludf.DUMMYFUNCTION("""COMPUTED_VALUE""")," K")</f>
        <v> K</v>
      </c>
      <c r="F2180" s="309" t="s">
        <v>34</v>
      </c>
      <c r="G2180" s="308"/>
      <c r="H2180" s="308" t="s">
        <v>8924</v>
      </c>
      <c r="I2180" s="316">
        <v>2012.0</v>
      </c>
      <c r="J2180" s="319"/>
      <c r="K2180" s="308"/>
      <c r="L2180" s="311">
        <v>2012.0</v>
      </c>
      <c r="M2180" s="308" t="s">
        <v>8918</v>
      </c>
      <c r="N2180" s="308"/>
      <c r="O2180" s="312" t="s">
        <v>8914</v>
      </c>
      <c r="P2180" s="308" t="s">
        <v>36558</v>
      </c>
      <c r="Q2180" s="308"/>
      <c r="R2180" s="308"/>
      <c r="S2180" s="308" t="s">
        <v>81</v>
      </c>
      <c r="T2180" s="308" t="s">
        <v>34264</v>
      </c>
      <c r="U2180" s="308"/>
      <c r="V2180" s="312"/>
    </row>
    <row r="2181">
      <c r="A2181" s="308">
        <v>2180.0</v>
      </c>
      <c r="B2181" s="308"/>
      <c r="C2181" s="308" t="s">
        <v>8925</v>
      </c>
      <c r="D2181" s="308">
        <f>IFERROR(__xludf.DUMMYFUNCTION("SPLIT(C2181,""-"")"),2201.0)</f>
        <v>2201</v>
      </c>
      <c r="E2181" s="308" t="str">
        <f>IFERROR(__xludf.DUMMYFUNCTION("""COMPUTED_VALUE""")," K")</f>
        <v> K</v>
      </c>
      <c r="F2181" s="309" t="s">
        <v>34</v>
      </c>
      <c r="G2181" s="308"/>
      <c r="H2181" s="308" t="s">
        <v>8926</v>
      </c>
      <c r="I2181" s="316">
        <v>2012.0</v>
      </c>
      <c r="J2181" s="319"/>
      <c r="K2181" s="308"/>
      <c r="L2181" s="311">
        <v>2012.0</v>
      </c>
      <c r="M2181" s="308" t="s">
        <v>8918</v>
      </c>
      <c r="N2181" s="308"/>
      <c r="O2181" s="312" t="s">
        <v>8914</v>
      </c>
      <c r="P2181" s="308" t="s">
        <v>36559</v>
      </c>
      <c r="Q2181" s="308"/>
      <c r="R2181" s="308"/>
      <c r="S2181" s="315" t="s">
        <v>100</v>
      </c>
      <c r="T2181" s="311" t="s">
        <v>34208</v>
      </c>
      <c r="U2181" s="308"/>
      <c r="V2181" s="312"/>
    </row>
    <row r="2182">
      <c r="A2182" s="308">
        <v>2181.0</v>
      </c>
      <c r="B2182" s="308"/>
      <c r="C2182" s="308" t="s">
        <v>8927</v>
      </c>
      <c r="D2182" s="308">
        <f>IFERROR(__xludf.DUMMYFUNCTION("SPLIT(C2182,""-"")"),2202.0)</f>
        <v>2202</v>
      </c>
      <c r="E2182" s="308" t="str">
        <f>IFERROR(__xludf.DUMMYFUNCTION("""COMPUTED_VALUE""")," K")</f>
        <v> K</v>
      </c>
      <c r="F2182" s="309" t="s">
        <v>34</v>
      </c>
      <c r="G2182" s="308"/>
      <c r="H2182" s="308" t="s">
        <v>8928</v>
      </c>
      <c r="I2182" s="314">
        <v>41816.0</v>
      </c>
      <c r="J2182" s="319">
        <f>IFERROR(__xludf.DUMMYFUNCTION("SPLIT(I2182,""/"")"),26.0)</f>
        <v>26</v>
      </c>
      <c r="K2182" s="308">
        <f>IFERROR(__xludf.DUMMYFUNCTION("""COMPUTED_VALUE"""),6.0)</f>
        <v>6</v>
      </c>
      <c r="L2182" s="308">
        <f>IFERROR(__xludf.DUMMYFUNCTION("""COMPUTED_VALUE"""),2014.0)</f>
        <v>2014</v>
      </c>
      <c r="M2182" s="308" t="s">
        <v>8929</v>
      </c>
      <c r="N2182" s="308"/>
      <c r="O2182" s="312" t="s">
        <v>635</v>
      </c>
      <c r="P2182" s="308" t="s">
        <v>8930</v>
      </c>
      <c r="Q2182" s="308"/>
      <c r="R2182" s="308"/>
      <c r="S2182" s="308" t="s">
        <v>81</v>
      </c>
      <c r="T2182" s="308" t="s">
        <v>75</v>
      </c>
      <c r="U2182" s="308"/>
      <c r="V2182" s="312"/>
    </row>
    <row r="2183">
      <c r="A2183" s="308">
        <v>2182.0</v>
      </c>
      <c r="B2183" s="308"/>
      <c r="C2183" s="308" t="s">
        <v>8931</v>
      </c>
      <c r="D2183" s="308">
        <f>IFERROR(__xludf.DUMMYFUNCTION("SPLIT(C2183,""-"")"),2203.0)</f>
        <v>2203</v>
      </c>
      <c r="E2183" s="308" t="str">
        <f>IFERROR(__xludf.DUMMYFUNCTION("""COMPUTED_VALUE""")," P")</f>
        <v> P</v>
      </c>
      <c r="F2183" s="312" t="s">
        <v>37</v>
      </c>
      <c r="G2183" s="308"/>
      <c r="H2183" s="308" t="s">
        <v>8932</v>
      </c>
      <c r="I2183" s="314">
        <v>41843.0</v>
      </c>
      <c r="J2183" s="319">
        <f>IFERROR(__xludf.DUMMYFUNCTION("SPLIT(I2183,""/"")"),23.0)</f>
        <v>23</v>
      </c>
      <c r="K2183" s="308">
        <f>IFERROR(__xludf.DUMMYFUNCTION("""COMPUTED_VALUE"""),7.0)</f>
        <v>7</v>
      </c>
      <c r="L2183" s="308">
        <f>IFERROR(__xludf.DUMMYFUNCTION("""COMPUTED_VALUE"""),2014.0)</f>
        <v>2014</v>
      </c>
      <c r="M2183" s="308" t="s">
        <v>8933</v>
      </c>
      <c r="N2183" s="308"/>
      <c r="O2183" s="312" t="s">
        <v>36560</v>
      </c>
      <c r="P2183" s="308" t="s">
        <v>8935</v>
      </c>
      <c r="Q2183" s="308"/>
      <c r="R2183" s="308"/>
      <c r="S2183" s="308" t="s">
        <v>81</v>
      </c>
      <c r="T2183" s="308" t="s">
        <v>75</v>
      </c>
      <c r="U2183" s="308"/>
      <c r="V2183" s="312"/>
    </row>
    <row r="2184">
      <c r="A2184" s="308">
        <v>2183.0</v>
      </c>
      <c r="B2184" s="308"/>
      <c r="C2184" s="308" t="s">
        <v>8936</v>
      </c>
      <c r="D2184" s="308">
        <f>IFERROR(__xludf.DUMMYFUNCTION("SPLIT(C2184,""-"")"),2204.0)</f>
        <v>2204</v>
      </c>
      <c r="E2184" s="308" t="str">
        <f>IFERROR(__xludf.DUMMYFUNCTION("""COMPUTED_VALUE""")," S")</f>
        <v> S</v>
      </c>
      <c r="F2184" s="312" t="s">
        <v>39</v>
      </c>
      <c r="G2184" s="308"/>
      <c r="H2184" s="308" t="s">
        <v>8937</v>
      </c>
      <c r="I2184" s="310">
        <v>41794.0</v>
      </c>
      <c r="J2184" s="319">
        <f>IFERROR(__xludf.DUMMYFUNCTION("SPLIT(I2184,""/"")"),4.0)</f>
        <v>4</v>
      </c>
      <c r="K2184" s="308">
        <f>IFERROR(__xludf.DUMMYFUNCTION("""COMPUTED_VALUE"""),6.0)</f>
        <v>6</v>
      </c>
      <c r="L2184" s="308">
        <f>IFERROR(__xludf.DUMMYFUNCTION("""COMPUTED_VALUE"""),2014.0)</f>
        <v>2014</v>
      </c>
      <c r="M2184" s="308" t="s">
        <v>8938</v>
      </c>
      <c r="N2184" s="308"/>
      <c r="O2184" s="312" t="s">
        <v>36561</v>
      </c>
      <c r="P2184" s="308" t="s">
        <v>8940</v>
      </c>
      <c r="Q2184" s="308"/>
      <c r="R2184" s="308" t="s">
        <v>8941</v>
      </c>
      <c r="S2184" s="311" t="s">
        <v>100</v>
      </c>
      <c r="T2184" s="330" t="s">
        <v>102</v>
      </c>
      <c r="U2184" s="308"/>
      <c r="V2184" s="312"/>
    </row>
    <row r="2185">
      <c r="A2185" s="308">
        <v>2184.0</v>
      </c>
      <c r="B2185" s="308"/>
      <c r="C2185" s="308" t="s">
        <v>8942</v>
      </c>
      <c r="D2185" s="308">
        <f>IFERROR(__xludf.DUMMYFUNCTION("SPLIT(C2185,""-"")"),2205.0)</f>
        <v>2205</v>
      </c>
      <c r="E2185" s="308" t="str">
        <f>IFERROR(__xludf.DUMMYFUNCTION("""COMPUTED_VALUE""")," S")</f>
        <v> S</v>
      </c>
      <c r="F2185" s="312" t="s">
        <v>39</v>
      </c>
      <c r="G2185" s="308"/>
      <c r="H2185" s="308" t="s">
        <v>8943</v>
      </c>
      <c r="I2185" s="310">
        <v>41794.0</v>
      </c>
      <c r="J2185" s="319">
        <f>IFERROR(__xludf.DUMMYFUNCTION("SPLIT(I2185,""/"")"),4.0)</f>
        <v>4</v>
      </c>
      <c r="K2185" s="308">
        <f>IFERROR(__xludf.DUMMYFUNCTION("""COMPUTED_VALUE"""),6.0)</f>
        <v>6</v>
      </c>
      <c r="L2185" s="308">
        <f>IFERROR(__xludf.DUMMYFUNCTION("""COMPUTED_VALUE"""),2014.0)</f>
        <v>2014</v>
      </c>
      <c r="M2185" s="308" t="s">
        <v>8938</v>
      </c>
      <c r="N2185" s="308"/>
      <c r="O2185" s="312" t="s">
        <v>36562</v>
      </c>
      <c r="P2185" s="308" t="s">
        <v>8940</v>
      </c>
      <c r="Q2185" s="308"/>
      <c r="R2185" s="308" t="s">
        <v>8941</v>
      </c>
      <c r="S2185" s="311" t="s">
        <v>100</v>
      </c>
      <c r="T2185" s="330" t="s">
        <v>102</v>
      </c>
      <c r="U2185" s="308"/>
      <c r="V2185" s="312"/>
    </row>
    <row r="2186">
      <c r="A2186" s="308">
        <v>2185.0</v>
      </c>
      <c r="B2186" s="308"/>
      <c r="C2186" s="308" t="s">
        <v>8945</v>
      </c>
      <c r="D2186" s="308">
        <f>IFERROR(__xludf.DUMMYFUNCTION("SPLIT(C2186,""-"")"),2206.0)</f>
        <v>2206</v>
      </c>
      <c r="E2186" s="308" t="str">
        <f>IFERROR(__xludf.DUMMYFUNCTION("""COMPUTED_VALUE""")," K")</f>
        <v> K</v>
      </c>
      <c r="F2186" s="309" t="s">
        <v>34</v>
      </c>
      <c r="G2186" s="308"/>
      <c r="H2186" s="308" t="s">
        <v>8946</v>
      </c>
      <c r="I2186" s="310">
        <v>41706.0</v>
      </c>
      <c r="J2186" s="319">
        <f>IFERROR(__xludf.DUMMYFUNCTION("SPLIT(I2186,""/"")"),8.0)</f>
        <v>8</v>
      </c>
      <c r="K2186" s="308">
        <f>IFERROR(__xludf.DUMMYFUNCTION("""COMPUTED_VALUE"""),3.0)</f>
        <v>3</v>
      </c>
      <c r="L2186" s="308">
        <f>IFERROR(__xludf.DUMMYFUNCTION("""COMPUTED_VALUE"""),2014.0)</f>
        <v>2014</v>
      </c>
      <c r="M2186" s="308" t="s">
        <v>8947</v>
      </c>
      <c r="N2186" s="308"/>
      <c r="O2186" s="312" t="s">
        <v>635</v>
      </c>
      <c r="P2186" s="308" t="s">
        <v>8948</v>
      </c>
      <c r="Q2186" s="308"/>
      <c r="R2186" s="308"/>
      <c r="S2186" s="308" t="s">
        <v>81</v>
      </c>
      <c r="T2186" s="308" t="s">
        <v>75</v>
      </c>
      <c r="U2186" s="308"/>
      <c r="V2186" s="312"/>
    </row>
    <row r="2187">
      <c r="A2187" s="308">
        <v>2186.0</v>
      </c>
      <c r="B2187" s="308"/>
      <c r="C2187" s="308" t="s">
        <v>8949</v>
      </c>
      <c r="D2187" s="308">
        <f>IFERROR(__xludf.DUMMYFUNCTION("SPLIT(C2187,""-"")"),2207.0)</f>
        <v>2207</v>
      </c>
      <c r="E2187" s="308" t="str">
        <f>IFERROR(__xludf.DUMMYFUNCTION("""COMPUTED_VALUE""")," K")</f>
        <v> K</v>
      </c>
      <c r="F2187" s="309" t="s">
        <v>34</v>
      </c>
      <c r="G2187" s="308"/>
      <c r="H2187" s="308" t="s">
        <v>36563</v>
      </c>
      <c r="I2187" s="310">
        <v>41706.0</v>
      </c>
      <c r="J2187" s="319">
        <f>IFERROR(__xludf.DUMMYFUNCTION("SPLIT(I2187,""/"")"),8.0)</f>
        <v>8</v>
      </c>
      <c r="K2187" s="308">
        <f>IFERROR(__xludf.DUMMYFUNCTION("""COMPUTED_VALUE"""),3.0)</f>
        <v>3</v>
      </c>
      <c r="L2187" s="308">
        <f>IFERROR(__xludf.DUMMYFUNCTION("""COMPUTED_VALUE"""),2014.0)</f>
        <v>2014</v>
      </c>
      <c r="M2187" s="308" t="s">
        <v>8947</v>
      </c>
      <c r="N2187" s="308"/>
      <c r="O2187" s="312" t="s">
        <v>635</v>
      </c>
      <c r="P2187" s="308" t="s">
        <v>8948</v>
      </c>
      <c r="Q2187" s="308"/>
      <c r="R2187" s="308"/>
      <c r="S2187" s="308" t="s">
        <v>81</v>
      </c>
      <c r="T2187" s="308" t="s">
        <v>75</v>
      </c>
      <c r="U2187" s="308"/>
      <c r="V2187" s="312"/>
    </row>
    <row r="2188">
      <c r="A2188" s="308">
        <v>2187.0</v>
      </c>
      <c r="B2188" s="308"/>
      <c r="C2188" s="308" t="s">
        <v>8951</v>
      </c>
      <c r="D2188" s="308">
        <f>IFERROR(__xludf.DUMMYFUNCTION("SPLIT(C2188,""-"")"),2208.0)</f>
        <v>2208</v>
      </c>
      <c r="E2188" s="308" t="str">
        <f>IFERROR(__xludf.DUMMYFUNCTION("""COMPUTED_VALUE""")," K")</f>
        <v> K</v>
      </c>
      <c r="F2188" s="309" t="s">
        <v>34</v>
      </c>
      <c r="G2188" s="308"/>
      <c r="H2188" s="308" t="s">
        <v>8952</v>
      </c>
      <c r="I2188" s="314">
        <v>41208.0</v>
      </c>
      <c r="J2188" s="319">
        <f>IFERROR(__xludf.DUMMYFUNCTION("SPLIT(I2188,""/"")"),26.0)</f>
        <v>26</v>
      </c>
      <c r="K2188" s="308">
        <f>IFERROR(__xludf.DUMMYFUNCTION("""COMPUTED_VALUE"""),10.0)</f>
        <v>10</v>
      </c>
      <c r="L2188" s="308">
        <f>IFERROR(__xludf.DUMMYFUNCTION("""COMPUTED_VALUE"""),2012.0)</f>
        <v>2012</v>
      </c>
      <c r="M2188" s="308" t="s">
        <v>8953</v>
      </c>
      <c r="N2188" s="308"/>
      <c r="O2188" s="312" t="s">
        <v>8954</v>
      </c>
      <c r="P2188" s="308" t="s">
        <v>36564</v>
      </c>
      <c r="Q2188" s="308"/>
      <c r="R2188" s="308"/>
      <c r="S2188" s="308" t="s">
        <v>81</v>
      </c>
      <c r="T2188" s="308" t="s">
        <v>34264</v>
      </c>
      <c r="U2188" s="308" t="s">
        <v>530</v>
      </c>
      <c r="V2188" s="312"/>
    </row>
    <row r="2189">
      <c r="A2189" s="308">
        <v>2188.0</v>
      </c>
      <c r="B2189" s="308"/>
      <c r="C2189" s="308" t="s">
        <v>8956</v>
      </c>
      <c r="D2189" s="308">
        <f>IFERROR(__xludf.DUMMYFUNCTION("SPLIT(C2189,""-"")"),2209.0)</f>
        <v>2209</v>
      </c>
      <c r="E2189" s="308" t="str">
        <f>IFERROR(__xludf.DUMMYFUNCTION("""COMPUTED_VALUE""")," K")</f>
        <v> K</v>
      </c>
      <c r="F2189" s="309" t="s">
        <v>34</v>
      </c>
      <c r="G2189" s="308"/>
      <c r="H2189" s="308" t="s">
        <v>8957</v>
      </c>
      <c r="I2189" s="310">
        <v>40945.0</v>
      </c>
      <c r="J2189" s="319">
        <f>IFERROR(__xludf.DUMMYFUNCTION("SPLIT(I2189,""/"")"),6.0)</f>
        <v>6</v>
      </c>
      <c r="K2189" s="308">
        <f>IFERROR(__xludf.DUMMYFUNCTION("""COMPUTED_VALUE"""),2.0)</f>
        <v>2</v>
      </c>
      <c r="L2189" s="308">
        <f>IFERROR(__xludf.DUMMYFUNCTION("""COMPUTED_VALUE"""),2012.0)</f>
        <v>2012</v>
      </c>
      <c r="M2189" s="308" t="s">
        <v>8958</v>
      </c>
      <c r="N2189" s="308"/>
      <c r="O2189" s="312" t="s">
        <v>8959</v>
      </c>
      <c r="P2189" s="308" t="s">
        <v>8960</v>
      </c>
      <c r="Q2189" s="308"/>
      <c r="R2189" s="308"/>
      <c r="S2189" s="308" t="s">
        <v>81</v>
      </c>
      <c r="T2189" s="308" t="s">
        <v>34264</v>
      </c>
      <c r="U2189" s="308"/>
      <c r="V2189" s="312"/>
    </row>
    <row r="2190">
      <c r="A2190" s="308">
        <v>2189.0</v>
      </c>
      <c r="B2190" s="308"/>
      <c r="C2190" s="308" t="s">
        <v>8961</v>
      </c>
      <c r="D2190" s="308">
        <f>IFERROR(__xludf.DUMMYFUNCTION("SPLIT(C2190,""-"")"),2210.0)</f>
        <v>2210</v>
      </c>
      <c r="E2190" s="308" t="str">
        <f>IFERROR(__xludf.DUMMYFUNCTION("""COMPUTED_VALUE""")," K")</f>
        <v> K</v>
      </c>
      <c r="F2190" s="309" t="s">
        <v>34</v>
      </c>
      <c r="G2190" s="308"/>
      <c r="H2190" s="308" t="s">
        <v>8962</v>
      </c>
      <c r="I2190" s="314">
        <v>40018.0</v>
      </c>
      <c r="J2190" s="319">
        <f>IFERROR(__xludf.DUMMYFUNCTION("SPLIT(I2190,""/"")"),24.0)</f>
        <v>24</v>
      </c>
      <c r="K2190" s="308">
        <f>IFERROR(__xludf.DUMMYFUNCTION("""COMPUTED_VALUE"""),7.0)</f>
        <v>7</v>
      </c>
      <c r="L2190" s="308">
        <f>IFERROR(__xludf.DUMMYFUNCTION("""COMPUTED_VALUE"""),2009.0)</f>
        <v>2009</v>
      </c>
      <c r="M2190" s="308" t="s">
        <v>8963</v>
      </c>
      <c r="N2190" s="308"/>
      <c r="O2190" s="312" t="s">
        <v>8964</v>
      </c>
      <c r="P2190" s="308" t="s">
        <v>36516</v>
      </c>
      <c r="Q2190" s="308"/>
      <c r="R2190" s="308"/>
      <c r="S2190" s="315" t="s">
        <v>100</v>
      </c>
      <c r="T2190" s="311" t="s">
        <v>34208</v>
      </c>
      <c r="U2190" s="308" t="s">
        <v>530</v>
      </c>
      <c r="V2190" s="312"/>
    </row>
    <row r="2191">
      <c r="A2191" s="308">
        <v>2190.0</v>
      </c>
      <c r="B2191" s="308"/>
      <c r="C2191" s="308" t="s">
        <v>8965</v>
      </c>
      <c r="D2191" s="308">
        <f>IFERROR(__xludf.DUMMYFUNCTION("SPLIT(C2191,""-"")"),2211.0)</f>
        <v>2211</v>
      </c>
      <c r="E2191" s="308" t="str">
        <f>IFERROR(__xludf.DUMMYFUNCTION("""COMPUTED_VALUE""")," K")</f>
        <v> K</v>
      </c>
      <c r="F2191" s="309" t="s">
        <v>34</v>
      </c>
      <c r="G2191" s="308"/>
      <c r="H2191" s="308" t="s">
        <v>8966</v>
      </c>
      <c r="I2191" s="314">
        <v>40018.0</v>
      </c>
      <c r="J2191" s="319">
        <f>IFERROR(__xludf.DUMMYFUNCTION("SPLIT(I2191,""/"")"),24.0)</f>
        <v>24</v>
      </c>
      <c r="K2191" s="308">
        <f>IFERROR(__xludf.DUMMYFUNCTION("""COMPUTED_VALUE"""),7.0)</f>
        <v>7</v>
      </c>
      <c r="L2191" s="308">
        <f>IFERROR(__xludf.DUMMYFUNCTION("""COMPUTED_VALUE"""),2009.0)</f>
        <v>2009</v>
      </c>
      <c r="M2191" s="308" t="s">
        <v>8963</v>
      </c>
      <c r="N2191" s="308"/>
      <c r="O2191" s="312" t="s">
        <v>8964</v>
      </c>
      <c r="P2191" s="308" t="s">
        <v>36546</v>
      </c>
      <c r="Q2191" s="308"/>
      <c r="R2191" s="308"/>
      <c r="S2191" s="315" t="s">
        <v>100</v>
      </c>
      <c r="T2191" s="311" t="s">
        <v>34208</v>
      </c>
      <c r="U2191" s="308" t="s">
        <v>530</v>
      </c>
      <c r="V2191" s="312"/>
    </row>
    <row r="2192">
      <c r="A2192" s="308">
        <v>2191.0</v>
      </c>
      <c r="B2192" s="308"/>
      <c r="C2192" s="308" t="s">
        <v>8967</v>
      </c>
      <c r="D2192" s="308">
        <f>IFERROR(__xludf.DUMMYFUNCTION("SPLIT(C2192,""-"")"),2212.0)</f>
        <v>2212</v>
      </c>
      <c r="E2192" s="308" t="str">
        <f>IFERROR(__xludf.DUMMYFUNCTION("""COMPUTED_VALUE""")," K")</f>
        <v> K</v>
      </c>
      <c r="F2192" s="309" t="s">
        <v>34</v>
      </c>
      <c r="G2192" s="308"/>
      <c r="H2192" s="308" t="s">
        <v>8968</v>
      </c>
      <c r="I2192" s="314">
        <v>40709.0</v>
      </c>
      <c r="J2192" s="319">
        <f>IFERROR(__xludf.DUMMYFUNCTION("SPLIT(I2192,""/"")"),15.0)</f>
        <v>15</v>
      </c>
      <c r="K2192" s="308">
        <f>IFERROR(__xludf.DUMMYFUNCTION("""COMPUTED_VALUE"""),6.0)</f>
        <v>6</v>
      </c>
      <c r="L2192" s="308">
        <f>IFERROR(__xludf.DUMMYFUNCTION("""COMPUTED_VALUE"""),2011.0)</f>
        <v>2011</v>
      </c>
      <c r="M2192" s="308" t="s">
        <v>8969</v>
      </c>
      <c r="N2192" s="308"/>
      <c r="O2192" s="312" t="s">
        <v>8970</v>
      </c>
      <c r="P2192" s="308" t="s">
        <v>36565</v>
      </c>
      <c r="Q2192" s="308"/>
      <c r="R2192" s="308"/>
      <c r="S2192" s="308" t="s">
        <v>81</v>
      </c>
      <c r="T2192" s="308" t="s">
        <v>34264</v>
      </c>
      <c r="U2192" s="308"/>
      <c r="V2192" s="312"/>
    </row>
    <row r="2193">
      <c r="A2193" s="308">
        <v>2192.0</v>
      </c>
      <c r="B2193" s="308"/>
      <c r="C2193" s="308" t="s">
        <v>8972</v>
      </c>
      <c r="D2193" s="308">
        <f>IFERROR(__xludf.DUMMYFUNCTION("SPLIT(C2193,""-"")"),2213.0)</f>
        <v>2213</v>
      </c>
      <c r="E2193" s="308" t="str">
        <f>IFERROR(__xludf.DUMMYFUNCTION("""COMPUTED_VALUE""")," K")</f>
        <v> K</v>
      </c>
      <c r="F2193" s="309" t="s">
        <v>34</v>
      </c>
      <c r="G2193" s="308"/>
      <c r="H2193" s="308" t="s">
        <v>8973</v>
      </c>
      <c r="I2193" s="310">
        <v>41214.0</v>
      </c>
      <c r="J2193" s="319">
        <f>IFERROR(__xludf.DUMMYFUNCTION("SPLIT(I2193,""/"")"),1.0)</f>
        <v>1</v>
      </c>
      <c r="K2193" s="308">
        <f>IFERROR(__xludf.DUMMYFUNCTION("""COMPUTED_VALUE"""),11.0)</f>
        <v>11</v>
      </c>
      <c r="L2193" s="308">
        <f>IFERROR(__xludf.DUMMYFUNCTION("""COMPUTED_VALUE"""),2012.0)</f>
        <v>2012</v>
      </c>
      <c r="M2193" s="308" t="s">
        <v>8974</v>
      </c>
      <c r="N2193" s="308" t="s">
        <v>7798</v>
      </c>
      <c r="O2193" s="312" t="s">
        <v>8975</v>
      </c>
      <c r="P2193" s="308" t="s">
        <v>35028</v>
      </c>
      <c r="Q2193" s="308"/>
      <c r="R2193" s="308"/>
      <c r="S2193" s="308" t="s">
        <v>49</v>
      </c>
      <c r="T2193" s="308" t="s">
        <v>69</v>
      </c>
      <c r="U2193" s="308" t="s">
        <v>2152</v>
      </c>
      <c r="V2193" s="312"/>
    </row>
    <row r="2194">
      <c r="A2194" s="308">
        <v>2193.0</v>
      </c>
      <c r="B2194" s="308"/>
      <c r="C2194" s="308" t="s">
        <v>8976</v>
      </c>
      <c r="D2194" s="308">
        <f>IFERROR(__xludf.DUMMYFUNCTION("SPLIT(C2194,""-"")"),2214.0)</f>
        <v>2214</v>
      </c>
      <c r="E2194" s="308" t="str">
        <f>IFERROR(__xludf.DUMMYFUNCTION("""COMPUTED_VALUE""")," K")</f>
        <v> K</v>
      </c>
      <c r="F2194" s="309" t="s">
        <v>34</v>
      </c>
      <c r="G2194" s="308"/>
      <c r="H2194" s="308" t="s">
        <v>8977</v>
      </c>
      <c r="I2194" s="310">
        <v>41376.0</v>
      </c>
      <c r="J2194" s="319">
        <f>IFERROR(__xludf.DUMMYFUNCTION("SPLIT(I2194,""/"")"),12.0)</f>
        <v>12</v>
      </c>
      <c r="K2194" s="308">
        <f>IFERROR(__xludf.DUMMYFUNCTION("""COMPUTED_VALUE"""),4.0)</f>
        <v>4</v>
      </c>
      <c r="L2194" s="308">
        <f>IFERROR(__xludf.DUMMYFUNCTION("""COMPUTED_VALUE"""),2013.0)</f>
        <v>2013</v>
      </c>
      <c r="M2194" s="308" t="s">
        <v>8978</v>
      </c>
      <c r="N2194" s="308"/>
      <c r="O2194" s="312" t="s">
        <v>635</v>
      </c>
      <c r="P2194" s="308" t="s">
        <v>8979</v>
      </c>
      <c r="Q2194" s="308"/>
      <c r="R2194" s="308"/>
      <c r="S2194" s="308" t="s">
        <v>81</v>
      </c>
      <c r="T2194" s="311" t="s">
        <v>51</v>
      </c>
      <c r="U2194" s="308"/>
      <c r="V2194" s="312"/>
    </row>
    <row r="2195">
      <c r="A2195" s="308">
        <v>2194.0</v>
      </c>
      <c r="B2195" s="308"/>
      <c r="C2195" s="308" t="s">
        <v>8980</v>
      </c>
      <c r="D2195" s="308">
        <f>IFERROR(__xludf.DUMMYFUNCTION("SPLIT(C2195,""-"")"),2215.0)</f>
        <v>2215</v>
      </c>
      <c r="E2195" s="308" t="str">
        <f>IFERROR(__xludf.DUMMYFUNCTION("""COMPUTED_VALUE""")," K")</f>
        <v> K</v>
      </c>
      <c r="F2195" s="309" t="s">
        <v>34</v>
      </c>
      <c r="G2195" s="308"/>
      <c r="H2195" s="308" t="s">
        <v>8981</v>
      </c>
      <c r="I2195" s="316">
        <v>2010.0</v>
      </c>
      <c r="J2195" s="319"/>
      <c r="K2195" s="308"/>
      <c r="L2195" s="311">
        <v>2010.0</v>
      </c>
      <c r="M2195" s="308" t="s">
        <v>8982</v>
      </c>
      <c r="N2195" s="308"/>
      <c r="O2195" s="312" t="s">
        <v>8983</v>
      </c>
      <c r="P2195" s="308" t="s">
        <v>36546</v>
      </c>
      <c r="Q2195" s="308"/>
      <c r="R2195" s="308"/>
      <c r="S2195" s="315" t="s">
        <v>100</v>
      </c>
      <c r="T2195" s="311" t="s">
        <v>34208</v>
      </c>
      <c r="U2195" s="308" t="s">
        <v>530</v>
      </c>
      <c r="V2195" s="312"/>
    </row>
    <row r="2196">
      <c r="A2196" s="308">
        <v>2195.0</v>
      </c>
      <c r="B2196" s="308"/>
      <c r="C2196" s="308" t="s">
        <v>8984</v>
      </c>
      <c r="D2196" s="308">
        <f>IFERROR(__xludf.DUMMYFUNCTION("SPLIT(C2196,""-"")"),2216.0)</f>
        <v>2216</v>
      </c>
      <c r="E2196" s="308" t="str">
        <f>IFERROR(__xludf.DUMMYFUNCTION("""COMPUTED_VALUE""")," K")</f>
        <v> K</v>
      </c>
      <c r="F2196" s="309" t="s">
        <v>34</v>
      </c>
      <c r="G2196" s="308"/>
      <c r="H2196" s="308" t="s">
        <v>8985</v>
      </c>
      <c r="I2196" s="316">
        <v>2013.0</v>
      </c>
      <c r="J2196" s="319"/>
      <c r="K2196" s="308"/>
      <c r="L2196" s="311">
        <v>2013.0</v>
      </c>
      <c r="M2196" s="308" t="s">
        <v>8986</v>
      </c>
      <c r="N2196" s="308"/>
      <c r="O2196" s="312" t="s">
        <v>8245</v>
      </c>
      <c r="P2196" s="308" t="s">
        <v>8987</v>
      </c>
      <c r="Q2196" s="308"/>
      <c r="R2196" s="308"/>
      <c r="S2196" s="308" t="s">
        <v>81</v>
      </c>
      <c r="T2196" s="308" t="s">
        <v>34264</v>
      </c>
      <c r="U2196" s="308"/>
      <c r="V2196" s="312"/>
    </row>
    <row r="2197">
      <c r="A2197" s="308">
        <v>2196.0</v>
      </c>
      <c r="B2197" s="308"/>
      <c r="C2197" s="308" t="s">
        <v>8988</v>
      </c>
      <c r="D2197" s="308">
        <f>IFERROR(__xludf.DUMMYFUNCTION("SPLIT(C2197,""-"")"),2217.0)</f>
        <v>2217</v>
      </c>
      <c r="E2197" s="308" t="str">
        <f>IFERROR(__xludf.DUMMYFUNCTION("""COMPUTED_VALUE""")," K")</f>
        <v> K</v>
      </c>
      <c r="F2197" s="309" t="s">
        <v>34</v>
      </c>
      <c r="G2197" s="308"/>
      <c r="H2197" s="308" t="s">
        <v>8989</v>
      </c>
      <c r="I2197" s="316">
        <v>2010.0</v>
      </c>
      <c r="J2197" s="319"/>
      <c r="K2197" s="308"/>
      <c r="L2197" s="311">
        <v>2010.0</v>
      </c>
      <c r="M2197" s="308" t="s">
        <v>8990</v>
      </c>
      <c r="N2197" s="308"/>
      <c r="O2197" s="312" t="s">
        <v>635</v>
      </c>
      <c r="P2197" s="308" t="s">
        <v>8991</v>
      </c>
      <c r="Q2197" s="308"/>
      <c r="R2197" s="308"/>
      <c r="S2197" s="308" t="s">
        <v>81</v>
      </c>
      <c r="T2197" s="308" t="s">
        <v>34264</v>
      </c>
      <c r="U2197" s="308"/>
      <c r="V2197" s="312"/>
    </row>
    <row r="2198">
      <c r="A2198" s="308">
        <v>2197.0</v>
      </c>
      <c r="B2198" s="308"/>
      <c r="C2198" s="308" t="s">
        <v>8992</v>
      </c>
      <c r="D2198" s="308">
        <f>IFERROR(__xludf.DUMMYFUNCTION("SPLIT(C2198,""-"")"),2218.0)</f>
        <v>2218</v>
      </c>
      <c r="E2198" s="308" t="str">
        <f>IFERROR(__xludf.DUMMYFUNCTION("""COMPUTED_VALUE""")," P")</f>
        <v> P</v>
      </c>
      <c r="F2198" s="312" t="s">
        <v>37</v>
      </c>
      <c r="G2198" s="308" t="s">
        <v>8993</v>
      </c>
      <c r="H2198" s="308" t="s">
        <v>8994</v>
      </c>
      <c r="I2198" s="314">
        <v>41441.0</v>
      </c>
      <c r="J2198" s="319">
        <f>IFERROR(__xludf.DUMMYFUNCTION("SPLIT(I2198,""/"")"),16.0)</f>
        <v>16</v>
      </c>
      <c r="K2198" s="308">
        <f>IFERROR(__xludf.DUMMYFUNCTION("""COMPUTED_VALUE"""),6.0)</f>
        <v>6</v>
      </c>
      <c r="L2198" s="308">
        <f>IFERROR(__xludf.DUMMYFUNCTION("""COMPUTED_VALUE"""),2013.0)</f>
        <v>2013</v>
      </c>
      <c r="M2198" s="308" t="s">
        <v>8995</v>
      </c>
      <c r="N2198" s="308"/>
      <c r="O2198" s="308" t="s">
        <v>8996</v>
      </c>
      <c r="P2198" s="308" t="s">
        <v>8997</v>
      </c>
      <c r="Q2198" s="308"/>
      <c r="R2198" s="308"/>
      <c r="S2198" s="308" t="s">
        <v>81</v>
      </c>
      <c r="T2198" s="308" t="s">
        <v>73</v>
      </c>
      <c r="U2198" s="308"/>
      <c r="V2198" s="312"/>
    </row>
    <row r="2199">
      <c r="A2199" s="308">
        <v>2198.0</v>
      </c>
      <c r="B2199" s="308"/>
      <c r="C2199" s="308" t="s">
        <v>8998</v>
      </c>
      <c r="D2199" s="308">
        <f>IFERROR(__xludf.DUMMYFUNCTION("SPLIT(C2199,""-"")"),2219.0)</f>
        <v>2219</v>
      </c>
      <c r="E2199" s="308" t="str">
        <f>IFERROR(__xludf.DUMMYFUNCTION("""COMPUTED_VALUE""")," I")</f>
        <v> I</v>
      </c>
      <c r="F2199" s="309" t="s">
        <v>31</v>
      </c>
      <c r="G2199" s="308"/>
      <c r="H2199" s="308" t="s">
        <v>8999</v>
      </c>
      <c r="I2199" s="310">
        <v>41982.0</v>
      </c>
      <c r="J2199" s="319">
        <f>IFERROR(__xludf.DUMMYFUNCTION("SPLIT(I2199,""/"")"),9.0)</f>
        <v>9</v>
      </c>
      <c r="K2199" s="308">
        <f>IFERROR(__xludf.DUMMYFUNCTION("""COMPUTED_VALUE"""),12.0)</f>
        <v>12</v>
      </c>
      <c r="L2199" s="308">
        <f>IFERROR(__xludf.DUMMYFUNCTION("""COMPUTED_VALUE"""),2014.0)</f>
        <v>2014</v>
      </c>
      <c r="M2199" s="308" t="s">
        <v>9000</v>
      </c>
      <c r="N2199" s="308"/>
      <c r="O2199" s="308" t="s">
        <v>9001</v>
      </c>
      <c r="P2199" s="308" t="s">
        <v>9002</v>
      </c>
      <c r="Q2199" s="308"/>
      <c r="R2199" s="308"/>
      <c r="S2199" s="308" t="s">
        <v>81</v>
      </c>
      <c r="T2199" s="311" t="s">
        <v>51</v>
      </c>
      <c r="U2199" s="308"/>
      <c r="V2199" s="312"/>
    </row>
    <row r="2200">
      <c r="A2200" s="308">
        <v>2199.0</v>
      </c>
      <c r="B2200" s="308"/>
      <c r="C2200" s="308" t="s">
        <v>9003</v>
      </c>
      <c r="D2200" s="308">
        <f>IFERROR(__xludf.DUMMYFUNCTION("SPLIT(C2200,""-"")"),2220.0)</f>
        <v>2220</v>
      </c>
      <c r="E2200" s="308" t="str">
        <f>IFERROR(__xludf.DUMMYFUNCTION("""COMPUTED_VALUE""")," P")</f>
        <v> P</v>
      </c>
      <c r="F2200" s="312" t="s">
        <v>37</v>
      </c>
      <c r="G2200" s="308" t="s">
        <v>9004</v>
      </c>
      <c r="H2200" s="308" t="s">
        <v>9005</v>
      </c>
      <c r="I2200" s="310">
        <v>41646.0</v>
      </c>
      <c r="J2200" s="319">
        <f>IFERROR(__xludf.DUMMYFUNCTION("SPLIT(I2200,""/"")"),7.0)</f>
        <v>7</v>
      </c>
      <c r="K2200" s="308">
        <f>IFERROR(__xludf.DUMMYFUNCTION("""COMPUTED_VALUE"""),1.0)</f>
        <v>1</v>
      </c>
      <c r="L2200" s="308">
        <f>IFERROR(__xludf.DUMMYFUNCTION("""COMPUTED_VALUE"""),2014.0)</f>
        <v>2014</v>
      </c>
      <c r="M2200" s="308" t="s">
        <v>36566</v>
      </c>
      <c r="N2200" s="308"/>
      <c r="O2200" s="312" t="s">
        <v>635</v>
      </c>
      <c r="P2200" s="308" t="s">
        <v>9007</v>
      </c>
      <c r="Q2200" s="308"/>
      <c r="R2200" s="308"/>
      <c r="S2200" s="308" t="s">
        <v>81</v>
      </c>
      <c r="T2200" s="311" t="s">
        <v>51</v>
      </c>
      <c r="U2200" s="308"/>
      <c r="V2200" s="312"/>
    </row>
    <row r="2201">
      <c r="A2201" s="308">
        <v>2200.0</v>
      </c>
      <c r="B2201" s="308"/>
      <c r="C2201" s="308" t="s">
        <v>9008</v>
      </c>
      <c r="D2201" s="308">
        <f>IFERROR(__xludf.DUMMYFUNCTION("SPLIT(C2201,""-"")"),2221.0)</f>
        <v>2221</v>
      </c>
      <c r="E2201" s="308" t="str">
        <f>IFERROR(__xludf.DUMMYFUNCTION("""COMPUTED_VALUE""")," K")</f>
        <v> K</v>
      </c>
      <c r="F2201" s="309" t="s">
        <v>34</v>
      </c>
      <c r="G2201" s="308" t="s">
        <v>9009</v>
      </c>
      <c r="H2201" s="308" t="s">
        <v>9010</v>
      </c>
      <c r="I2201" s="314">
        <v>41807.0</v>
      </c>
      <c r="J2201" s="319">
        <f>IFERROR(__xludf.DUMMYFUNCTION("SPLIT(I2201,""/"")"),17.0)</f>
        <v>17</v>
      </c>
      <c r="K2201" s="308">
        <f>IFERROR(__xludf.DUMMYFUNCTION("""COMPUTED_VALUE"""),6.0)</f>
        <v>6</v>
      </c>
      <c r="L2201" s="308">
        <f>IFERROR(__xludf.DUMMYFUNCTION("""COMPUTED_VALUE"""),2014.0)</f>
        <v>2014</v>
      </c>
      <c r="M2201" s="308" t="s">
        <v>9011</v>
      </c>
      <c r="N2201" s="308"/>
      <c r="O2201" s="308" t="s">
        <v>9012</v>
      </c>
      <c r="P2201" s="308" t="s">
        <v>36567</v>
      </c>
      <c r="Q2201" s="308"/>
      <c r="R2201" s="308"/>
      <c r="S2201" s="308" t="s">
        <v>81</v>
      </c>
      <c r="T2201" s="308" t="s">
        <v>34264</v>
      </c>
      <c r="U2201" s="308"/>
      <c r="V2201" s="312"/>
    </row>
    <row r="2202">
      <c r="A2202" s="308">
        <v>2201.0</v>
      </c>
      <c r="B2202" s="308"/>
      <c r="C2202" s="308" t="s">
        <v>9014</v>
      </c>
      <c r="D2202" s="308">
        <f>IFERROR(__xludf.DUMMYFUNCTION("SPLIT(C2202,""-"")"),2222.0)</f>
        <v>2222</v>
      </c>
      <c r="E2202" s="308" t="str">
        <f>IFERROR(__xludf.DUMMYFUNCTION("""COMPUTED_VALUE""")," P")</f>
        <v> P</v>
      </c>
      <c r="F2202" s="312" t="s">
        <v>37</v>
      </c>
      <c r="G2202" s="308"/>
      <c r="H2202" s="308" t="s">
        <v>9015</v>
      </c>
      <c r="I2202" s="314">
        <v>41811.0</v>
      </c>
      <c r="J2202" s="319">
        <f>IFERROR(__xludf.DUMMYFUNCTION("SPLIT(I2202,""/"")"),21.0)</f>
        <v>21</v>
      </c>
      <c r="K2202" s="308">
        <f>IFERROR(__xludf.DUMMYFUNCTION("""COMPUTED_VALUE"""),6.0)</f>
        <v>6</v>
      </c>
      <c r="L2202" s="308">
        <f>IFERROR(__xludf.DUMMYFUNCTION("""COMPUTED_VALUE"""),2014.0)</f>
        <v>2014</v>
      </c>
      <c r="M2202" s="308" t="s">
        <v>9016</v>
      </c>
      <c r="N2202" s="308"/>
      <c r="O2202" s="308" t="s">
        <v>9017</v>
      </c>
      <c r="P2202" s="308" t="s">
        <v>36452</v>
      </c>
      <c r="Q2202" s="308"/>
      <c r="R2202" s="308"/>
      <c r="S2202" s="315" t="s">
        <v>100</v>
      </c>
      <c r="T2202" s="311" t="s">
        <v>34208</v>
      </c>
      <c r="U2202" s="308" t="s">
        <v>4273</v>
      </c>
      <c r="V2202" s="312"/>
    </row>
    <row r="2203">
      <c r="A2203" s="308">
        <v>2202.0</v>
      </c>
      <c r="B2203" s="308"/>
      <c r="C2203" s="308" t="s">
        <v>9018</v>
      </c>
      <c r="D2203" s="308"/>
      <c r="E2203" s="311"/>
      <c r="F2203" s="317" t="s">
        <v>39</v>
      </c>
      <c r="G2203" s="308" t="s">
        <v>9019</v>
      </c>
      <c r="H2203" s="308" t="s">
        <v>9020</v>
      </c>
      <c r="I2203" s="329">
        <v>41606.0</v>
      </c>
      <c r="J2203" s="323">
        <v>28.0</v>
      </c>
      <c r="K2203" s="311">
        <v>11.0</v>
      </c>
      <c r="L2203" s="311">
        <v>2013.0</v>
      </c>
      <c r="M2203" s="308" t="s">
        <v>9021</v>
      </c>
      <c r="N2203" s="308"/>
      <c r="O2203" s="308" t="s">
        <v>36568</v>
      </c>
      <c r="P2203" s="308" t="s">
        <v>36547</v>
      </c>
      <c r="Q2203" s="308"/>
      <c r="R2203" s="308"/>
      <c r="S2203" s="315" t="s">
        <v>100</v>
      </c>
      <c r="T2203" s="311" t="s">
        <v>34208</v>
      </c>
      <c r="U2203" s="308"/>
      <c r="V2203" s="312"/>
    </row>
    <row r="2204">
      <c r="A2204" s="308">
        <v>2203.0</v>
      </c>
      <c r="B2204" s="308"/>
      <c r="C2204" s="308" t="s">
        <v>9023</v>
      </c>
      <c r="D2204" s="308">
        <f>IFERROR(__xludf.DUMMYFUNCTION("SPLIT(C2204,""-"")"),2224.0)</f>
        <v>2224</v>
      </c>
      <c r="E2204" s="308" t="str">
        <f>IFERROR(__xludf.DUMMYFUNCTION("""COMPUTED_VALUE""")," K")</f>
        <v> K</v>
      </c>
      <c r="F2204" s="309" t="s">
        <v>34</v>
      </c>
      <c r="G2204" s="308"/>
      <c r="H2204" s="308" t="s">
        <v>9024</v>
      </c>
      <c r="I2204" s="316">
        <v>2009.0</v>
      </c>
      <c r="J2204" s="319"/>
      <c r="K2204" s="308"/>
      <c r="L2204" s="311">
        <v>2009.0</v>
      </c>
      <c r="M2204" s="308" t="s">
        <v>9025</v>
      </c>
      <c r="N2204" s="308"/>
      <c r="O2204" s="308" t="s">
        <v>9026</v>
      </c>
      <c r="P2204" s="308" t="s">
        <v>36516</v>
      </c>
      <c r="Q2204" s="308" t="s">
        <v>34322</v>
      </c>
      <c r="R2204" s="308"/>
      <c r="S2204" s="315" t="s">
        <v>100</v>
      </c>
      <c r="T2204" s="311" t="s">
        <v>34208</v>
      </c>
      <c r="U2204" s="308" t="s">
        <v>530</v>
      </c>
      <c r="V2204" s="312"/>
    </row>
    <row r="2205">
      <c r="A2205" s="308">
        <v>2204.0</v>
      </c>
      <c r="B2205" s="308"/>
      <c r="C2205" s="308" t="s">
        <v>9027</v>
      </c>
      <c r="D2205" s="308">
        <f>IFERROR(__xludf.DUMMYFUNCTION("SPLIT(C2205,""-"")"),2225.0)</f>
        <v>2225</v>
      </c>
      <c r="E2205" s="308" t="str">
        <f>IFERROR(__xludf.DUMMYFUNCTION("""COMPUTED_VALUE""")," S")</f>
        <v> S</v>
      </c>
      <c r="F2205" s="312" t="s">
        <v>39</v>
      </c>
      <c r="G2205" s="308"/>
      <c r="H2205" s="308" t="s">
        <v>9028</v>
      </c>
      <c r="I2205" s="314">
        <v>40968.0</v>
      </c>
      <c r="J2205" s="319">
        <f>IFERROR(__xludf.DUMMYFUNCTION("SPLIT(I2205,""/"")"),29.0)</f>
        <v>29</v>
      </c>
      <c r="K2205" s="308">
        <f>IFERROR(__xludf.DUMMYFUNCTION("""COMPUTED_VALUE"""),2.0)</f>
        <v>2</v>
      </c>
      <c r="L2205" s="308">
        <f>IFERROR(__xludf.DUMMYFUNCTION("""COMPUTED_VALUE"""),2012.0)</f>
        <v>2012</v>
      </c>
      <c r="M2205" s="308" t="s">
        <v>9029</v>
      </c>
      <c r="N2205" s="308"/>
      <c r="O2205" s="308" t="s">
        <v>36569</v>
      </c>
      <c r="P2205" s="308" t="s">
        <v>36547</v>
      </c>
      <c r="Q2205" s="308"/>
      <c r="R2205" s="308"/>
      <c r="S2205" s="315" t="s">
        <v>100</v>
      </c>
      <c r="T2205" s="311" t="s">
        <v>34208</v>
      </c>
      <c r="U2205" s="308"/>
      <c r="V2205" s="312"/>
    </row>
    <row r="2206">
      <c r="A2206" s="308">
        <v>2205.0</v>
      </c>
      <c r="B2206" s="308"/>
      <c r="C2206" s="308" t="s">
        <v>9031</v>
      </c>
      <c r="D2206" s="308">
        <f>IFERROR(__xludf.DUMMYFUNCTION("SPLIT(C2206,""-"")"),2226.0)</f>
        <v>2226</v>
      </c>
      <c r="E2206" s="308" t="str">
        <f>IFERROR(__xludf.DUMMYFUNCTION("""COMPUTED_VALUE""")," P")</f>
        <v> P</v>
      </c>
      <c r="F2206" s="312" t="s">
        <v>37</v>
      </c>
      <c r="G2206" s="308"/>
      <c r="H2206" s="308" t="s">
        <v>9032</v>
      </c>
      <c r="I2206" s="310">
        <v>41951.0</v>
      </c>
      <c r="J2206" s="319">
        <f>IFERROR(__xludf.DUMMYFUNCTION("SPLIT(I2206,""/"")"),8.0)</f>
        <v>8</v>
      </c>
      <c r="K2206" s="308">
        <f>IFERROR(__xludf.DUMMYFUNCTION("""COMPUTED_VALUE"""),11.0)</f>
        <v>11</v>
      </c>
      <c r="L2206" s="308">
        <f>IFERROR(__xludf.DUMMYFUNCTION("""COMPUTED_VALUE"""),2014.0)</f>
        <v>2014</v>
      </c>
      <c r="M2206" s="308" t="s">
        <v>9033</v>
      </c>
      <c r="N2206" s="308"/>
      <c r="O2206" s="308" t="s">
        <v>36570</v>
      </c>
      <c r="P2206" s="308" t="s">
        <v>36571</v>
      </c>
      <c r="Q2206" s="308"/>
      <c r="R2206" s="308"/>
      <c r="S2206" s="315" t="s">
        <v>100</v>
      </c>
      <c r="T2206" s="311" t="s">
        <v>34208</v>
      </c>
      <c r="U2206" s="308"/>
      <c r="V2206" s="312"/>
    </row>
    <row r="2207">
      <c r="A2207" s="308">
        <v>2206.0</v>
      </c>
      <c r="B2207" s="308"/>
      <c r="C2207" s="308" t="s">
        <v>9035</v>
      </c>
      <c r="D2207" s="308">
        <f>IFERROR(__xludf.DUMMYFUNCTION("SPLIT(C2207,""-"")"),2227.0)</f>
        <v>2227</v>
      </c>
      <c r="E2207" s="308" t="str">
        <f>IFERROR(__xludf.DUMMYFUNCTION("""COMPUTED_VALUE""")," K")</f>
        <v> K</v>
      </c>
      <c r="F2207" s="309" t="s">
        <v>34</v>
      </c>
      <c r="G2207" s="308"/>
      <c r="H2207" s="308" t="s">
        <v>9036</v>
      </c>
      <c r="I2207" s="310">
        <v>41677.0</v>
      </c>
      <c r="J2207" s="319">
        <f>IFERROR(__xludf.DUMMYFUNCTION("SPLIT(I2207,""/"")"),7.0)</f>
        <v>7</v>
      </c>
      <c r="K2207" s="308">
        <f>IFERROR(__xludf.DUMMYFUNCTION("""COMPUTED_VALUE"""),2.0)</f>
        <v>2</v>
      </c>
      <c r="L2207" s="308">
        <f>IFERROR(__xludf.DUMMYFUNCTION("""COMPUTED_VALUE"""),2014.0)</f>
        <v>2014</v>
      </c>
      <c r="M2207" s="308" t="s">
        <v>9037</v>
      </c>
      <c r="N2207" s="308"/>
      <c r="O2207" s="308" t="s">
        <v>36572</v>
      </c>
      <c r="P2207" s="308" t="s">
        <v>9039</v>
      </c>
      <c r="Q2207" s="308"/>
      <c r="R2207" s="308"/>
      <c r="S2207" s="308" t="s">
        <v>81</v>
      </c>
      <c r="T2207" s="308" t="s">
        <v>98</v>
      </c>
      <c r="U2207" s="308"/>
      <c r="V2207" s="312"/>
    </row>
    <row r="2208">
      <c r="A2208" s="308">
        <v>2207.0</v>
      </c>
      <c r="B2208" s="308"/>
      <c r="C2208" s="308" t="s">
        <v>9040</v>
      </c>
      <c r="D2208" s="308">
        <f>IFERROR(__xludf.DUMMYFUNCTION("SPLIT(C2208,""-"")"),2228.0)</f>
        <v>2228</v>
      </c>
      <c r="E2208" s="308" t="str">
        <f>IFERROR(__xludf.DUMMYFUNCTION("""COMPUTED_VALUE""")," K")</f>
        <v> K</v>
      </c>
      <c r="F2208" s="309" t="s">
        <v>34</v>
      </c>
      <c r="G2208" s="308"/>
      <c r="H2208" s="308" t="s">
        <v>9041</v>
      </c>
      <c r="I2208" s="314">
        <v>41638.0</v>
      </c>
      <c r="J2208" s="319">
        <f>IFERROR(__xludf.DUMMYFUNCTION("SPLIT(I2208,""/"")"),30.0)</f>
        <v>30</v>
      </c>
      <c r="K2208" s="308">
        <f>IFERROR(__xludf.DUMMYFUNCTION("""COMPUTED_VALUE"""),12.0)</f>
        <v>12</v>
      </c>
      <c r="L2208" s="308">
        <f>IFERROR(__xludf.DUMMYFUNCTION("""COMPUTED_VALUE"""),2013.0)</f>
        <v>2013</v>
      </c>
      <c r="M2208" s="308" t="s">
        <v>9042</v>
      </c>
      <c r="N2208" s="308"/>
      <c r="O2208" s="308" t="s">
        <v>9043</v>
      </c>
      <c r="P2208" s="308" t="s">
        <v>9044</v>
      </c>
      <c r="Q2208" s="308"/>
      <c r="R2208" s="308"/>
      <c r="S2208" s="308" t="s">
        <v>81</v>
      </c>
      <c r="T2208" s="308" t="s">
        <v>34264</v>
      </c>
      <c r="U2208" s="308"/>
      <c r="V2208" s="312"/>
    </row>
    <row r="2209">
      <c r="A2209" s="308">
        <v>2208.0</v>
      </c>
      <c r="B2209" s="308"/>
      <c r="C2209" s="308" t="s">
        <v>9045</v>
      </c>
      <c r="D2209" s="308">
        <f>IFERROR(__xludf.DUMMYFUNCTION("SPLIT(C2209,""-"")"),2229.0)</f>
        <v>2229</v>
      </c>
      <c r="E2209" s="308" t="str">
        <f>IFERROR(__xludf.DUMMYFUNCTION("""COMPUTED_VALUE""")," K")</f>
        <v> K</v>
      </c>
      <c r="F2209" s="309" t="s">
        <v>34</v>
      </c>
      <c r="G2209" s="308"/>
      <c r="H2209" s="308" t="s">
        <v>9046</v>
      </c>
      <c r="I2209" s="314">
        <v>40075.0</v>
      </c>
      <c r="J2209" s="319">
        <f>IFERROR(__xludf.DUMMYFUNCTION("SPLIT(I2209,""/"")"),19.0)</f>
        <v>19</v>
      </c>
      <c r="K2209" s="308">
        <f>IFERROR(__xludf.DUMMYFUNCTION("""COMPUTED_VALUE"""),9.0)</f>
        <v>9</v>
      </c>
      <c r="L2209" s="308">
        <f>IFERROR(__xludf.DUMMYFUNCTION("""COMPUTED_VALUE"""),2009.0)</f>
        <v>2009</v>
      </c>
      <c r="M2209" s="308" t="s">
        <v>9047</v>
      </c>
      <c r="N2209" s="308"/>
      <c r="O2209" s="308" t="s">
        <v>9048</v>
      </c>
      <c r="P2209" s="308" t="s">
        <v>36573</v>
      </c>
      <c r="Q2209" s="308"/>
      <c r="R2209" s="308"/>
      <c r="S2209" s="315" t="s">
        <v>100</v>
      </c>
      <c r="T2209" s="311" t="s">
        <v>34208</v>
      </c>
      <c r="U2209" s="308" t="s">
        <v>530</v>
      </c>
      <c r="V2209" s="312"/>
    </row>
    <row r="2210">
      <c r="A2210" s="308">
        <v>2209.0</v>
      </c>
      <c r="B2210" s="308"/>
      <c r="C2210" s="308" t="s">
        <v>9049</v>
      </c>
      <c r="D2210" s="308">
        <f>IFERROR(__xludf.DUMMYFUNCTION("SPLIT(C2210,""-"")"),2230.0)</f>
        <v>2230</v>
      </c>
      <c r="E2210" s="308" t="str">
        <f>IFERROR(__xludf.DUMMYFUNCTION("""COMPUTED_VALUE""")," K")</f>
        <v> K</v>
      </c>
      <c r="F2210" s="309" t="s">
        <v>34</v>
      </c>
      <c r="G2210" s="308"/>
      <c r="H2210" s="308" t="s">
        <v>36574</v>
      </c>
      <c r="I2210" s="314">
        <v>39577.0</v>
      </c>
      <c r="J2210" s="319">
        <f>IFERROR(__xludf.DUMMYFUNCTION("SPLIT(I2210,""/"")"),9.0)</f>
        <v>9</v>
      </c>
      <c r="K2210" s="308">
        <f>IFERROR(__xludf.DUMMYFUNCTION("""COMPUTED_VALUE"""),5.0)</f>
        <v>5</v>
      </c>
      <c r="L2210" s="308">
        <f>IFERROR(__xludf.DUMMYFUNCTION("""COMPUTED_VALUE"""),2008.0)</f>
        <v>2008</v>
      </c>
      <c r="M2210" s="308" t="s">
        <v>9047</v>
      </c>
      <c r="N2210" s="308" t="s">
        <v>9051</v>
      </c>
      <c r="O2210" s="308" t="s">
        <v>9052</v>
      </c>
      <c r="P2210" s="308" t="s">
        <v>36575</v>
      </c>
      <c r="Q2210" s="308"/>
      <c r="R2210" s="308"/>
      <c r="S2210" s="315" t="s">
        <v>100</v>
      </c>
      <c r="T2210" s="311" t="s">
        <v>34208</v>
      </c>
      <c r="U2210" s="308" t="s">
        <v>530</v>
      </c>
      <c r="V2210" s="312"/>
    </row>
    <row r="2211">
      <c r="A2211" s="308">
        <v>2210.0</v>
      </c>
      <c r="B2211" s="308"/>
      <c r="C2211" s="308" t="s">
        <v>9054</v>
      </c>
      <c r="D2211" s="308">
        <f>IFERROR(__xludf.DUMMYFUNCTION("SPLIT(C2211,""-"")"),2231.0)</f>
        <v>2231</v>
      </c>
      <c r="E2211" s="308" t="str">
        <f>IFERROR(__xludf.DUMMYFUNCTION("""COMPUTED_VALUE""")," K")</f>
        <v> K</v>
      </c>
      <c r="F2211" s="309" t="s">
        <v>34</v>
      </c>
      <c r="G2211" s="308"/>
      <c r="H2211" s="308" t="s">
        <v>36576</v>
      </c>
      <c r="I2211" s="314">
        <v>40564.0</v>
      </c>
      <c r="J2211" s="319">
        <f>IFERROR(__xludf.DUMMYFUNCTION("SPLIT(I2211,""/"")"),21.0)</f>
        <v>21</v>
      </c>
      <c r="K2211" s="308">
        <f>IFERROR(__xludf.DUMMYFUNCTION("""COMPUTED_VALUE"""),1.0)</f>
        <v>1</v>
      </c>
      <c r="L2211" s="308">
        <f>IFERROR(__xludf.DUMMYFUNCTION("""COMPUTED_VALUE"""),2011.0)</f>
        <v>2011</v>
      </c>
      <c r="M2211" s="308" t="s">
        <v>9047</v>
      </c>
      <c r="N2211" s="308"/>
      <c r="O2211" s="308"/>
      <c r="P2211" s="308" t="s">
        <v>36577</v>
      </c>
      <c r="Q2211" s="308"/>
      <c r="R2211" s="308"/>
      <c r="S2211" s="315" t="s">
        <v>100</v>
      </c>
      <c r="T2211" s="311" t="s">
        <v>34208</v>
      </c>
      <c r="U2211" s="308" t="s">
        <v>530</v>
      </c>
      <c r="V2211" s="312"/>
    </row>
    <row r="2212">
      <c r="A2212" s="308">
        <v>2211.0</v>
      </c>
      <c r="B2212" s="308"/>
      <c r="C2212" s="308" t="s">
        <v>9056</v>
      </c>
      <c r="D2212" s="308">
        <f>IFERROR(__xludf.DUMMYFUNCTION("SPLIT(C2212,""-"")"),2232.0)</f>
        <v>2232</v>
      </c>
      <c r="E2212" s="308" t="str">
        <f>IFERROR(__xludf.DUMMYFUNCTION("""COMPUTED_VALUE""")," F")</f>
        <v> F</v>
      </c>
      <c r="F2212" s="309" t="s">
        <v>34</v>
      </c>
      <c r="G2212" s="308"/>
      <c r="H2212" s="308" t="s">
        <v>9057</v>
      </c>
      <c r="I2212" s="314">
        <v>40967.0</v>
      </c>
      <c r="J2212" s="319">
        <f>IFERROR(__xludf.DUMMYFUNCTION("SPLIT(I2212,""/"")"),28.0)</f>
        <v>28</v>
      </c>
      <c r="K2212" s="308">
        <f>IFERROR(__xludf.DUMMYFUNCTION("""COMPUTED_VALUE"""),2.0)</f>
        <v>2</v>
      </c>
      <c r="L2212" s="308">
        <f>IFERROR(__xludf.DUMMYFUNCTION("""COMPUTED_VALUE"""),2012.0)</f>
        <v>2012</v>
      </c>
      <c r="M2212" s="308" t="s">
        <v>9058</v>
      </c>
      <c r="N2212" s="308"/>
      <c r="O2212" s="308" t="s">
        <v>635</v>
      </c>
      <c r="P2212" s="308" t="s">
        <v>9059</v>
      </c>
      <c r="Q2212" s="308"/>
      <c r="R2212" s="308"/>
      <c r="S2212" s="308" t="s">
        <v>81</v>
      </c>
      <c r="T2212" s="308" t="s">
        <v>34264</v>
      </c>
      <c r="U2212" s="308"/>
      <c r="V2212" s="312"/>
    </row>
    <row r="2213">
      <c r="A2213" s="308">
        <v>2212.0</v>
      </c>
      <c r="B2213" s="308"/>
      <c r="C2213" s="308" t="s">
        <v>9060</v>
      </c>
      <c r="D2213" s="308">
        <f>IFERROR(__xludf.DUMMYFUNCTION("SPLIT(C2213,""-"")"),2233.0)</f>
        <v>2233</v>
      </c>
      <c r="E2213" s="308" t="str">
        <f>IFERROR(__xludf.DUMMYFUNCTION("""COMPUTED_VALUE""")," S")</f>
        <v> S</v>
      </c>
      <c r="F2213" s="312" t="s">
        <v>39</v>
      </c>
      <c r="G2213" s="308"/>
      <c r="H2213" s="308" t="s">
        <v>9061</v>
      </c>
      <c r="I2213" s="314">
        <v>41784.0</v>
      </c>
      <c r="J2213" s="319">
        <f>IFERROR(__xludf.DUMMYFUNCTION("SPLIT(I2213,""/"")"),25.0)</f>
        <v>25</v>
      </c>
      <c r="K2213" s="308">
        <f>IFERROR(__xludf.DUMMYFUNCTION("""COMPUTED_VALUE"""),5.0)</f>
        <v>5</v>
      </c>
      <c r="L2213" s="308">
        <f>IFERROR(__xludf.DUMMYFUNCTION("""COMPUTED_VALUE"""),2014.0)</f>
        <v>2014</v>
      </c>
      <c r="M2213" s="308" t="s">
        <v>9062</v>
      </c>
      <c r="N2213" s="308"/>
      <c r="O2213" s="308" t="s">
        <v>36578</v>
      </c>
      <c r="P2213" s="308" t="s">
        <v>9064</v>
      </c>
      <c r="Q2213" s="308"/>
      <c r="R2213" s="308"/>
      <c r="S2213" s="308" t="s">
        <v>81</v>
      </c>
      <c r="T2213" s="308" t="s">
        <v>75</v>
      </c>
      <c r="U2213" s="308"/>
      <c r="V2213" s="312"/>
    </row>
    <row r="2214">
      <c r="A2214" s="308">
        <v>2213.0</v>
      </c>
      <c r="B2214" s="308"/>
      <c r="C2214" s="308" t="s">
        <v>9065</v>
      </c>
      <c r="D2214" s="308">
        <f>IFERROR(__xludf.DUMMYFUNCTION("SPLIT(C2214,""-"")"),2234.0)</f>
        <v>2234</v>
      </c>
      <c r="E2214" s="308" t="str">
        <f>IFERROR(__xludf.DUMMYFUNCTION("""COMPUTED_VALUE""")," S")</f>
        <v> S</v>
      </c>
      <c r="F2214" s="312" t="s">
        <v>39</v>
      </c>
      <c r="G2214" s="308"/>
      <c r="H2214" s="308" t="s">
        <v>9066</v>
      </c>
      <c r="I2214" s="316">
        <v>2008.0</v>
      </c>
      <c r="J2214" s="319"/>
      <c r="K2214" s="308"/>
      <c r="L2214" s="311">
        <v>2008.0</v>
      </c>
      <c r="M2214" s="308" t="s">
        <v>9067</v>
      </c>
      <c r="N2214" s="308"/>
      <c r="O2214" s="308" t="s">
        <v>36579</v>
      </c>
      <c r="P2214" s="308" t="s">
        <v>622</v>
      </c>
      <c r="Q2214" s="308"/>
      <c r="R2214" s="308"/>
      <c r="S2214" s="308" t="s">
        <v>49</v>
      </c>
      <c r="T2214" s="308" t="s">
        <v>34409</v>
      </c>
      <c r="U2214" s="308"/>
      <c r="V2214" s="312"/>
    </row>
    <row r="2215">
      <c r="A2215" s="308">
        <v>2214.0</v>
      </c>
      <c r="B2215" s="308"/>
      <c r="C2215" s="308" t="s">
        <v>9069</v>
      </c>
      <c r="D2215" s="308">
        <f>IFERROR(__xludf.DUMMYFUNCTION("SPLIT(C2215,""-"")"),2235.0)</f>
        <v>2235</v>
      </c>
      <c r="E2215" s="308" t="str">
        <f>IFERROR(__xludf.DUMMYFUNCTION("""COMPUTED_VALUE""")," K")</f>
        <v> K</v>
      </c>
      <c r="F2215" s="309" t="s">
        <v>34</v>
      </c>
      <c r="G2215" s="308"/>
      <c r="H2215" s="308" t="s">
        <v>9070</v>
      </c>
      <c r="I2215" s="314">
        <v>40113.0</v>
      </c>
      <c r="J2215" s="319">
        <f>IFERROR(__xludf.DUMMYFUNCTION("SPLIT(I2215,""/"")"),27.0)</f>
        <v>27</v>
      </c>
      <c r="K2215" s="308">
        <f>IFERROR(__xludf.DUMMYFUNCTION("""COMPUTED_VALUE"""),10.0)</f>
        <v>10</v>
      </c>
      <c r="L2215" s="308">
        <f>IFERROR(__xludf.DUMMYFUNCTION("""COMPUTED_VALUE"""),2009.0)</f>
        <v>2009</v>
      </c>
      <c r="M2215" s="308" t="s">
        <v>9071</v>
      </c>
      <c r="N2215" s="308"/>
      <c r="O2215" s="308" t="s">
        <v>635</v>
      </c>
      <c r="P2215" s="308" t="s">
        <v>9072</v>
      </c>
      <c r="Q2215" s="308"/>
      <c r="R2215" s="308"/>
      <c r="S2215" s="308" t="s">
        <v>81</v>
      </c>
      <c r="T2215" s="308" t="s">
        <v>34264</v>
      </c>
      <c r="U2215" s="308"/>
      <c r="V2215" s="312"/>
    </row>
    <row r="2216">
      <c r="A2216" s="308">
        <v>2215.0</v>
      </c>
      <c r="B2216" s="308"/>
      <c r="C2216" s="308" t="s">
        <v>9073</v>
      </c>
      <c r="D2216" s="308">
        <f>IFERROR(__xludf.DUMMYFUNCTION("SPLIT(C2216,""-"")"),2236.0)</f>
        <v>2236</v>
      </c>
      <c r="E2216" s="308" t="str">
        <f>IFERROR(__xludf.DUMMYFUNCTION("""COMPUTED_VALUE""")," K")</f>
        <v> K</v>
      </c>
      <c r="F2216" s="309" t="s">
        <v>34</v>
      </c>
      <c r="G2216" s="308"/>
      <c r="H2216" s="308" t="s">
        <v>9074</v>
      </c>
      <c r="I2216" s="316">
        <v>2009.0</v>
      </c>
      <c r="J2216" s="319"/>
      <c r="K2216" s="308"/>
      <c r="L2216" s="311">
        <v>2009.0</v>
      </c>
      <c r="M2216" s="308" t="s">
        <v>9075</v>
      </c>
      <c r="N2216" s="308"/>
      <c r="O2216" s="308" t="s">
        <v>9076</v>
      </c>
      <c r="P2216" s="308" t="s">
        <v>36580</v>
      </c>
      <c r="Q2216" s="308"/>
      <c r="R2216" s="308"/>
      <c r="S2216" s="315" t="s">
        <v>100</v>
      </c>
      <c r="T2216" s="311" t="s">
        <v>34208</v>
      </c>
      <c r="U2216" s="308" t="s">
        <v>368</v>
      </c>
      <c r="V2216" s="312"/>
    </row>
    <row r="2217">
      <c r="A2217" s="308">
        <v>2216.0</v>
      </c>
      <c r="B2217" s="308"/>
      <c r="C2217" s="308" t="s">
        <v>9078</v>
      </c>
      <c r="D2217" s="308">
        <f>IFERROR(__xludf.DUMMYFUNCTION("SPLIT(C2217,""-"")"),2237.0)</f>
        <v>2237</v>
      </c>
      <c r="E2217" s="308" t="str">
        <f>IFERROR(__xludf.DUMMYFUNCTION("""COMPUTED_VALUE""")," K")</f>
        <v> K</v>
      </c>
      <c r="F2217" s="309" t="s">
        <v>34</v>
      </c>
      <c r="G2217" s="308"/>
      <c r="H2217" s="308" t="s">
        <v>9079</v>
      </c>
      <c r="I2217" s="310">
        <v>41982.0</v>
      </c>
      <c r="J2217" s="319">
        <f>IFERROR(__xludf.DUMMYFUNCTION("SPLIT(I2217,""/"")"),9.0)</f>
        <v>9</v>
      </c>
      <c r="K2217" s="308">
        <f>IFERROR(__xludf.DUMMYFUNCTION("""COMPUTED_VALUE"""),12.0)</f>
        <v>12</v>
      </c>
      <c r="L2217" s="308">
        <f>IFERROR(__xludf.DUMMYFUNCTION("""COMPUTED_VALUE"""),2014.0)</f>
        <v>2014</v>
      </c>
      <c r="M2217" s="308" t="s">
        <v>36581</v>
      </c>
      <c r="N2217" s="308"/>
      <c r="O2217" s="308" t="s">
        <v>9081</v>
      </c>
      <c r="P2217" s="308" t="s">
        <v>9082</v>
      </c>
      <c r="Q2217" s="308"/>
      <c r="R2217" s="308"/>
      <c r="S2217" s="308" t="s">
        <v>81</v>
      </c>
      <c r="T2217" s="308" t="s">
        <v>73</v>
      </c>
      <c r="U2217" s="308"/>
      <c r="V2217" s="312"/>
    </row>
    <row r="2218">
      <c r="A2218" s="308">
        <v>2217.0</v>
      </c>
      <c r="B2218" s="308"/>
      <c r="C2218" s="308" t="s">
        <v>9083</v>
      </c>
      <c r="D2218" s="308">
        <f>IFERROR(__xludf.DUMMYFUNCTION("SPLIT(C2218,""-"")"),2238.0)</f>
        <v>2238</v>
      </c>
      <c r="E2218" s="308" t="str">
        <f>IFERROR(__xludf.DUMMYFUNCTION("""COMPUTED_VALUE""")," K")</f>
        <v> K</v>
      </c>
      <c r="F2218" s="309" t="s">
        <v>34</v>
      </c>
      <c r="G2218" s="308"/>
      <c r="H2218" s="308" t="s">
        <v>9084</v>
      </c>
      <c r="I2218" s="314">
        <v>40966.0</v>
      </c>
      <c r="J2218" s="319">
        <f>IFERROR(__xludf.DUMMYFUNCTION("SPLIT(I2218,""/"")"),27.0)</f>
        <v>27</v>
      </c>
      <c r="K2218" s="308">
        <f>IFERROR(__xludf.DUMMYFUNCTION("""COMPUTED_VALUE"""),2.0)</f>
        <v>2</v>
      </c>
      <c r="L2218" s="308">
        <f>IFERROR(__xludf.DUMMYFUNCTION("""COMPUTED_VALUE"""),2012.0)</f>
        <v>2012</v>
      </c>
      <c r="M2218" s="308" t="s">
        <v>9085</v>
      </c>
      <c r="N2218" s="308"/>
      <c r="O2218" s="308" t="s">
        <v>9086</v>
      </c>
      <c r="P2218" s="308" t="s">
        <v>36582</v>
      </c>
      <c r="Q2218" s="308"/>
      <c r="R2218" s="308"/>
      <c r="S2218" s="315" t="s">
        <v>100</v>
      </c>
      <c r="T2218" s="311" t="s">
        <v>34208</v>
      </c>
      <c r="U2218" s="308" t="s">
        <v>2152</v>
      </c>
      <c r="V2218" s="312"/>
    </row>
    <row r="2219">
      <c r="A2219" s="308">
        <v>2218.0</v>
      </c>
      <c r="B2219" s="308"/>
      <c r="C2219" s="308" t="s">
        <v>9088</v>
      </c>
      <c r="D2219" s="308">
        <f>IFERROR(__xludf.DUMMYFUNCTION("SPLIT(C2219,""-"")"),2239.0)</f>
        <v>2239</v>
      </c>
      <c r="E2219" s="308" t="str">
        <f>IFERROR(__xludf.DUMMYFUNCTION("""COMPUTED_VALUE""")," K")</f>
        <v> K</v>
      </c>
      <c r="F2219" s="309" t="s">
        <v>34</v>
      </c>
      <c r="G2219" s="308"/>
      <c r="H2219" s="308" t="s">
        <v>9089</v>
      </c>
      <c r="I2219" s="322"/>
      <c r="J2219" s="319"/>
      <c r="K2219" s="308"/>
      <c r="L2219" s="311" t="s">
        <v>79</v>
      </c>
      <c r="M2219" s="308" t="s">
        <v>9090</v>
      </c>
      <c r="N2219" s="308"/>
      <c r="O2219" s="308" t="s">
        <v>9091</v>
      </c>
      <c r="P2219" s="308" t="s">
        <v>36583</v>
      </c>
      <c r="Q2219" s="308"/>
      <c r="R2219" s="308"/>
      <c r="S2219" s="308" t="s">
        <v>81</v>
      </c>
      <c r="T2219" s="308" t="s">
        <v>34264</v>
      </c>
      <c r="U2219" s="308"/>
      <c r="V2219" s="312"/>
    </row>
    <row r="2220">
      <c r="A2220" s="308">
        <v>2219.0</v>
      </c>
      <c r="B2220" s="308"/>
      <c r="C2220" s="308" t="s">
        <v>9093</v>
      </c>
      <c r="D2220" s="308">
        <f>IFERROR(__xludf.DUMMYFUNCTION("SPLIT(C2220,""-"")"),2240.0)</f>
        <v>2240</v>
      </c>
      <c r="E2220" s="308" t="str">
        <f>IFERROR(__xludf.DUMMYFUNCTION("""COMPUTED_VALUE""")," B")</f>
        <v> B</v>
      </c>
      <c r="F2220" s="315" t="s">
        <v>26</v>
      </c>
      <c r="G2220" s="308"/>
      <c r="H2220" s="308" t="s">
        <v>9094</v>
      </c>
      <c r="I2220" s="310">
        <v>41891.0</v>
      </c>
      <c r="J2220" s="319">
        <f>IFERROR(__xludf.DUMMYFUNCTION("SPLIT(I2220,""/"")"),9.0)</f>
        <v>9</v>
      </c>
      <c r="K2220" s="308">
        <f>IFERROR(__xludf.DUMMYFUNCTION("""COMPUTED_VALUE"""),9.0)</f>
        <v>9</v>
      </c>
      <c r="L2220" s="308">
        <f>IFERROR(__xludf.DUMMYFUNCTION("""COMPUTED_VALUE"""),2014.0)</f>
        <v>2014</v>
      </c>
      <c r="M2220" s="308" t="s">
        <v>9095</v>
      </c>
      <c r="N2220" s="308"/>
      <c r="O2220" s="308" t="s">
        <v>9096</v>
      </c>
      <c r="P2220" s="308" t="s">
        <v>9097</v>
      </c>
      <c r="Q2220" s="308"/>
      <c r="R2220" s="308"/>
      <c r="S2220" s="308" t="s">
        <v>49</v>
      </c>
      <c r="T2220" s="308" t="s">
        <v>51</v>
      </c>
      <c r="U2220" s="308"/>
      <c r="V2220" s="312"/>
    </row>
    <row r="2221">
      <c r="A2221" s="308">
        <v>2220.0</v>
      </c>
      <c r="B2221" s="308"/>
      <c r="C2221" s="308" t="s">
        <v>9098</v>
      </c>
      <c r="D2221" s="308">
        <f>IFERROR(__xludf.DUMMYFUNCTION("SPLIT(C2221,""-"")"),2241.0)</f>
        <v>2241</v>
      </c>
      <c r="E2221" s="308" t="str">
        <f>IFERROR(__xludf.DUMMYFUNCTION("""COMPUTED_VALUE""")," A")</f>
        <v> A</v>
      </c>
      <c r="F2221" s="309" t="s">
        <v>23</v>
      </c>
      <c r="G2221" s="308"/>
      <c r="H2221" s="308" t="s">
        <v>9099</v>
      </c>
      <c r="I2221" s="314">
        <v>41692.0</v>
      </c>
      <c r="J2221" s="319">
        <f>IFERROR(__xludf.DUMMYFUNCTION("SPLIT(I2221,""/"")"),22.0)</f>
        <v>22</v>
      </c>
      <c r="K2221" s="308">
        <f>IFERROR(__xludf.DUMMYFUNCTION("""COMPUTED_VALUE"""),2.0)</f>
        <v>2</v>
      </c>
      <c r="L2221" s="308">
        <f>IFERROR(__xludf.DUMMYFUNCTION("""COMPUTED_VALUE"""),2014.0)</f>
        <v>2014</v>
      </c>
      <c r="M2221" s="308" t="s">
        <v>9100</v>
      </c>
      <c r="N2221" s="308"/>
      <c r="O2221" s="308" t="s">
        <v>9101</v>
      </c>
      <c r="P2221" s="308" t="s">
        <v>9102</v>
      </c>
      <c r="Q2221" s="308"/>
      <c r="R2221" s="308"/>
      <c r="S2221" s="308" t="s">
        <v>49</v>
      </c>
      <c r="T2221" s="308" t="s">
        <v>51</v>
      </c>
      <c r="U2221" s="308"/>
      <c r="V2221" s="312"/>
    </row>
    <row r="2222">
      <c r="A2222" s="308">
        <v>2221.0</v>
      </c>
      <c r="B2222" s="308"/>
      <c r="C2222" s="308" t="s">
        <v>9103</v>
      </c>
      <c r="D2222" s="308">
        <f>IFERROR(__xludf.DUMMYFUNCTION("SPLIT(C2222,""-"")"),2242.0)</f>
        <v>2242</v>
      </c>
      <c r="E2222" s="308" t="str">
        <f>IFERROR(__xludf.DUMMYFUNCTION("""COMPUTED_VALUE""")," K")</f>
        <v> K</v>
      </c>
      <c r="F2222" s="309" t="s">
        <v>34</v>
      </c>
      <c r="G2222" s="308"/>
      <c r="H2222" s="308" t="s">
        <v>36584</v>
      </c>
      <c r="I2222" s="310">
        <v>40330.0</v>
      </c>
      <c r="J2222" s="319">
        <f>IFERROR(__xludf.DUMMYFUNCTION("SPLIT(I2222,""/"")"),1.0)</f>
        <v>1</v>
      </c>
      <c r="K2222" s="308">
        <f>IFERROR(__xludf.DUMMYFUNCTION("""COMPUTED_VALUE"""),6.0)</f>
        <v>6</v>
      </c>
      <c r="L2222" s="308">
        <f>IFERROR(__xludf.DUMMYFUNCTION("""COMPUTED_VALUE"""),2010.0)</f>
        <v>2010</v>
      </c>
      <c r="M2222" s="308" t="s">
        <v>9105</v>
      </c>
      <c r="N2222" s="308"/>
      <c r="O2222" s="308"/>
      <c r="P2222" s="308" t="s">
        <v>36585</v>
      </c>
      <c r="Q2222" s="308"/>
      <c r="R2222" s="308"/>
      <c r="S2222" s="308" t="s">
        <v>81</v>
      </c>
      <c r="T2222" s="308" t="s">
        <v>34264</v>
      </c>
      <c r="U2222" s="308"/>
      <c r="V2222" s="312"/>
    </row>
    <row r="2223">
      <c r="A2223" s="308">
        <v>2222.0</v>
      </c>
      <c r="B2223" s="308"/>
      <c r="C2223" s="308" t="s">
        <v>9107</v>
      </c>
      <c r="D2223" s="308">
        <f>IFERROR(__xludf.DUMMYFUNCTION("SPLIT(C2223,""-"")"),2243.0)</f>
        <v>2243</v>
      </c>
      <c r="E2223" s="308" t="str">
        <f>IFERROR(__xludf.DUMMYFUNCTION("""COMPUTED_VALUE""")," K")</f>
        <v> K</v>
      </c>
      <c r="F2223" s="309" t="s">
        <v>34</v>
      </c>
      <c r="G2223" s="308"/>
      <c r="H2223" s="308" t="s">
        <v>8644</v>
      </c>
      <c r="I2223" s="325">
        <v>40026.0</v>
      </c>
      <c r="J2223" s="319"/>
      <c r="K2223" s="311">
        <v>8.0</v>
      </c>
      <c r="L2223" s="311">
        <v>2009.0</v>
      </c>
      <c r="M2223" s="308" t="s">
        <v>9108</v>
      </c>
      <c r="N2223" s="308"/>
      <c r="O2223" s="312" t="s">
        <v>9109</v>
      </c>
      <c r="P2223" s="308" t="s">
        <v>36586</v>
      </c>
      <c r="Q2223" s="308"/>
      <c r="R2223" s="308"/>
      <c r="S2223" s="315" t="s">
        <v>100</v>
      </c>
      <c r="T2223" s="311" t="s">
        <v>34208</v>
      </c>
      <c r="U2223" s="308" t="s">
        <v>530</v>
      </c>
      <c r="V2223" s="312"/>
    </row>
    <row r="2224">
      <c r="A2224" s="308">
        <v>2223.0</v>
      </c>
      <c r="B2224" s="308"/>
      <c r="C2224" s="308" t="s">
        <v>9110</v>
      </c>
      <c r="D2224" s="308">
        <f>IFERROR(__xludf.DUMMYFUNCTION("SPLIT(C2224,""-"")"),2244.0)</f>
        <v>2244</v>
      </c>
      <c r="E2224" s="308" t="str">
        <f>IFERROR(__xludf.DUMMYFUNCTION("""COMPUTED_VALUE""")," K")</f>
        <v> K</v>
      </c>
      <c r="F2224" s="309" t="s">
        <v>34</v>
      </c>
      <c r="G2224" s="308"/>
      <c r="H2224" s="308" t="s">
        <v>9111</v>
      </c>
      <c r="I2224" s="327">
        <v>40026.0</v>
      </c>
      <c r="J2224" s="319"/>
      <c r="K2224" s="311">
        <v>8.0</v>
      </c>
      <c r="L2224" s="311">
        <v>2009.0</v>
      </c>
      <c r="M2224" s="308" t="s">
        <v>9108</v>
      </c>
      <c r="N2224" s="308"/>
      <c r="O2224" s="312"/>
      <c r="P2224" s="308" t="s">
        <v>9112</v>
      </c>
      <c r="Q2224" s="308"/>
      <c r="R2224" s="308"/>
      <c r="S2224" s="308" t="s">
        <v>81</v>
      </c>
      <c r="T2224" s="308" t="s">
        <v>34264</v>
      </c>
      <c r="U2224" s="308" t="s">
        <v>530</v>
      </c>
      <c r="V2224" s="312"/>
    </row>
    <row r="2225">
      <c r="A2225" s="308">
        <v>2224.0</v>
      </c>
      <c r="B2225" s="308"/>
      <c r="C2225" s="308" t="s">
        <v>9113</v>
      </c>
      <c r="D2225" s="308">
        <f>IFERROR(__xludf.DUMMYFUNCTION("SPLIT(C2225,""-"")"),2245.0)</f>
        <v>2245</v>
      </c>
      <c r="E2225" s="308" t="str">
        <f>IFERROR(__xludf.DUMMYFUNCTION("""COMPUTED_VALUE""")," K")</f>
        <v> K</v>
      </c>
      <c r="F2225" s="309" t="s">
        <v>34</v>
      </c>
      <c r="G2225" s="308"/>
      <c r="H2225" s="308" t="s">
        <v>9114</v>
      </c>
      <c r="I2225" s="327">
        <v>40026.0</v>
      </c>
      <c r="J2225" s="319"/>
      <c r="K2225" s="311">
        <v>8.0</v>
      </c>
      <c r="L2225" s="311">
        <v>2009.0</v>
      </c>
      <c r="M2225" s="308" t="s">
        <v>9108</v>
      </c>
      <c r="N2225" s="308"/>
      <c r="O2225" s="312" t="s">
        <v>9115</v>
      </c>
      <c r="P2225" s="308" t="s">
        <v>36586</v>
      </c>
      <c r="Q2225" s="308"/>
      <c r="R2225" s="308"/>
      <c r="S2225" s="315" t="s">
        <v>100</v>
      </c>
      <c r="T2225" s="311" t="s">
        <v>34208</v>
      </c>
      <c r="U2225" s="308"/>
      <c r="V2225" s="312"/>
    </row>
    <row r="2226">
      <c r="A2226" s="308">
        <v>2225.0</v>
      </c>
      <c r="B2226" s="308"/>
      <c r="C2226" s="308" t="s">
        <v>9116</v>
      </c>
      <c r="D2226" s="308">
        <f>IFERROR(__xludf.DUMMYFUNCTION("SPLIT(C2226,""-"")"),2246.0)</f>
        <v>2246</v>
      </c>
      <c r="E2226" s="308" t="str">
        <f>IFERROR(__xludf.DUMMYFUNCTION("""COMPUTED_VALUE""")," P")</f>
        <v> P</v>
      </c>
      <c r="F2226" s="312" t="s">
        <v>37</v>
      </c>
      <c r="G2226" s="308"/>
      <c r="H2226" s="308" t="s">
        <v>9117</v>
      </c>
      <c r="I2226" s="314">
        <v>41711.0</v>
      </c>
      <c r="J2226" s="319">
        <f>IFERROR(__xludf.DUMMYFUNCTION("SPLIT(I2226,""/"")"),13.0)</f>
        <v>13</v>
      </c>
      <c r="K2226" s="308">
        <f>IFERROR(__xludf.DUMMYFUNCTION("""COMPUTED_VALUE"""),3.0)</f>
        <v>3</v>
      </c>
      <c r="L2226" s="308">
        <f>IFERROR(__xludf.DUMMYFUNCTION("""COMPUTED_VALUE"""),2014.0)</f>
        <v>2014</v>
      </c>
      <c r="M2226" s="308" t="s">
        <v>9118</v>
      </c>
      <c r="N2226" s="308"/>
      <c r="O2226" s="308" t="s">
        <v>9119</v>
      </c>
      <c r="P2226" s="308" t="s">
        <v>36587</v>
      </c>
      <c r="Q2226" s="308"/>
      <c r="R2226" s="308"/>
      <c r="S2226" s="315" t="s">
        <v>100</v>
      </c>
      <c r="T2226" s="311" t="s">
        <v>34208</v>
      </c>
      <c r="U2226" s="308" t="s">
        <v>143</v>
      </c>
      <c r="V2226" s="312"/>
    </row>
    <row r="2227">
      <c r="A2227" s="308">
        <v>2226.0</v>
      </c>
      <c r="B2227" s="308"/>
      <c r="C2227" s="308" t="s">
        <v>9121</v>
      </c>
      <c r="D2227" s="308">
        <f>IFERROR(__xludf.DUMMYFUNCTION("SPLIT(C2227,""-"")"),2247.0)</f>
        <v>2247</v>
      </c>
      <c r="E2227" s="308" t="str">
        <f>IFERROR(__xludf.DUMMYFUNCTION("""COMPUTED_VALUE""")," P")</f>
        <v> P</v>
      </c>
      <c r="F2227" s="312" t="s">
        <v>37</v>
      </c>
      <c r="G2227" s="308"/>
      <c r="H2227" s="308" t="s">
        <v>9122</v>
      </c>
      <c r="I2227" s="314">
        <v>41839.0</v>
      </c>
      <c r="J2227" s="319">
        <f>IFERROR(__xludf.DUMMYFUNCTION("SPLIT(I2227,""/"")"),19.0)</f>
        <v>19</v>
      </c>
      <c r="K2227" s="308">
        <f>IFERROR(__xludf.DUMMYFUNCTION("""COMPUTED_VALUE"""),7.0)</f>
        <v>7</v>
      </c>
      <c r="L2227" s="308">
        <f>IFERROR(__xludf.DUMMYFUNCTION("""COMPUTED_VALUE"""),2014.0)</f>
        <v>2014</v>
      </c>
      <c r="M2227" s="308" t="s">
        <v>9123</v>
      </c>
      <c r="N2227" s="308"/>
      <c r="O2227" s="308" t="s">
        <v>9124</v>
      </c>
      <c r="P2227" s="308" t="s">
        <v>9125</v>
      </c>
      <c r="Q2227" s="308"/>
      <c r="R2227" s="308"/>
      <c r="S2227" s="308" t="s">
        <v>81</v>
      </c>
      <c r="T2227" s="311" t="s">
        <v>73</v>
      </c>
      <c r="U2227" s="308"/>
      <c r="V2227" s="312"/>
    </row>
    <row r="2228">
      <c r="A2228" s="308">
        <v>2227.0</v>
      </c>
      <c r="B2228" s="308"/>
      <c r="C2228" s="308" t="s">
        <v>9126</v>
      </c>
      <c r="D2228" s="308">
        <f>IFERROR(__xludf.DUMMYFUNCTION("SPLIT(C2228,""-"")"),2248.0)</f>
        <v>2248</v>
      </c>
      <c r="E2228" s="308" t="str">
        <f>IFERROR(__xludf.DUMMYFUNCTION("""COMPUTED_VALUE""")," K")</f>
        <v> K</v>
      </c>
      <c r="F2228" s="309" t="s">
        <v>34</v>
      </c>
      <c r="G2228" s="308"/>
      <c r="H2228" s="308" t="s">
        <v>9127</v>
      </c>
      <c r="I2228" s="314">
        <v>40655.0</v>
      </c>
      <c r="J2228" s="319">
        <f>IFERROR(__xludf.DUMMYFUNCTION("SPLIT(I2228,""/"")"),22.0)</f>
        <v>22</v>
      </c>
      <c r="K2228" s="308">
        <f>IFERROR(__xludf.DUMMYFUNCTION("""COMPUTED_VALUE"""),4.0)</f>
        <v>4</v>
      </c>
      <c r="L2228" s="308">
        <f>IFERROR(__xludf.DUMMYFUNCTION("""COMPUTED_VALUE"""),2011.0)</f>
        <v>2011</v>
      </c>
      <c r="M2228" s="308" t="s">
        <v>9128</v>
      </c>
      <c r="N2228" s="308"/>
      <c r="O2228" s="308" t="s">
        <v>9129</v>
      </c>
      <c r="P2228" s="308" t="s">
        <v>9130</v>
      </c>
      <c r="Q2228" s="308"/>
      <c r="R2228" s="308"/>
      <c r="S2228" s="308" t="s">
        <v>81</v>
      </c>
      <c r="T2228" s="308" t="s">
        <v>34264</v>
      </c>
      <c r="U2228" s="308"/>
      <c r="V2228" s="312"/>
    </row>
    <row r="2229">
      <c r="A2229" s="308">
        <v>2228.0</v>
      </c>
      <c r="B2229" s="308"/>
      <c r="C2229" s="308" t="s">
        <v>9131</v>
      </c>
      <c r="D2229" s="308">
        <f>IFERROR(__xludf.DUMMYFUNCTION("SPLIT(C2229,""-"")"),2249.0)</f>
        <v>2249</v>
      </c>
      <c r="E2229" s="308" t="str">
        <f>IFERROR(__xludf.DUMMYFUNCTION("""COMPUTED_VALUE""")," K")</f>
        <v> K</v>
      </c>
      <c r="F2229" s="309" t="s">
        <v>34</v>
      </c>
      <c r="G2229" s="308"/>
      <c r="H2229" s="308" t="s">
        <v>9132</v>
      </c>
      <c r="I2229" s="314">
        <v>40655.0</v>
      </c>
      <c r="J2229" s="319">
        <f>IFERROR(__xludf.DUMMYFUNCTION("SPLIT(I2229,""/"")"),22.0)</f>
        <v>22</v>
      </c>
      <c r="K2229" s="308">
        <f>IFERROR(__xludf.DUMMYFUNCTION("""COMPUTED_VALUE"""),4.0)</f>
        <v>4</v>
      </c>
      <c r="L2229" s="308">
        <f>IFERROR(__xludf.DUMMYFUNCTION("""COMPUTED_VALUE"""),2011.0)</f>
        <v>2011</v>
      </c>
      <c r="M2229" s="308" t="s">
        <v>9133</v>
      </c>
      <c r="N2229" s="308"/>
      <c r="O2229" s="308" t="s">
        <v>9129</v>
      </c>
      <c r="P2229" s="308" t="s">
        <v>9130</v>
      </c>
      <c r="Q2229" s="308"/>
      <c r="R2229" s="308"/>
      <c r="S2229" s="308" t="s">
        <v>81</v>
      </c>
      <c r="T2229" s="308" t="s">
        <v>34264</v>
      </c>
      <c r="U2229" s="308"/>
      <c r="V2229" s="312"/>
    </row>
    <row r="2230">
      <c r="A2230" s="308">
        <v>2229.0</v>
      </c>
      <c r="B2230" s="308"/>
      <c r="C2230" s="308" t="s">
        <v>9134</v>
      </c>
      <c r="D2230" s="308">
        <f>IFERROR(__xludf.DUMMYFUNCTION("SPLIT(C2230,""-"")"),2250.0)</f>
        <v>2250</v>
      </c>
      <c r="E2230" s="308" t="str">
        <f>IFERROR(__xludf.DUMMYFUNCTION("""COMPUTED_VALUE""")," P")</f>
        <v> P</v>
      </c>
      <c r="F2230" s="312" t="s">
        <v>37</v>
      </c>
      <c r="G2230" s="308"/>
      <c r="H2230" s="308" t="s">
        <v>9135</v>
      </c>
      <c r="I2230" s="314">
        <v>41893.0</v>
      </c>
      <c r="J2230" s="319">
        <f>IFERROR(__xludf.DUMMYFUNCTION("SPLIT(I2230,""/"")"),11.0)</f>
        <v>11</v>
      </c>
      <c r="K2230" s="308">
        <f>IFERROR(__xludf.DUMMYFUNCTION("""COMPUTED_VALUE"""),9.0)</f>
        <v>9</v>
      </c>
      <c r="L2230" s="308">
        <f>IFERROR(__xludf.DUMMYFUNCTION("""COMPUTED_VALUE"""),2014.0)</f>
        <v>2014</v>
      </c>
      <c r="M2230" s="308" t="s">
        <v>9136</v>
      </c>
      <c r="N2230" s="308"/>
      <c r="O2230" s="308" t="s">
        <v>635</v>
      </c>
      <c r="P2230" s="308" t="s">
        <v>9137</v>
      </c>
      <c r="Q2230" s="308"/>
      <c r="R2230" s="308"/>
      <c r="S2230" s="308" t="s">
        <v>81</v>
      </c>
      <c r="T2230" s="311" t="s">
        <v>51</v>
      </c>
      <c r="U2230" s="308"/>
      <c r="V2230" s="312"/>
    </row>
    <row r="2231">
      <c r="A2231" s="308">
        <v>2230.0</v>
      </c>
      <c r="B2231" s="308"/>
      <c r="C2231" s="308" t="s">
        <v>9138</v>
      </c>
      <c r="D2231" s="308">
        <f>IFERROR(__xludf.DUMMYFUNCTION("SPLIT(C2231,""-"")"),2251.0)</f>
        <v>2251</v>
      </c>
      <c r="E2231" s="308" t="str">
        <f>IFERROR(__xludf.DUMMYFUNCTION("""COMPUTED_VALUE""")," P")</f>
        <v> P</v>
      </c>
      <c r="F2231" s="312" t="s">
        <v>37</v>
      </c>
      <c r="G2231" s="308"/>
      <c r="H2231" s="308" t="s">
        <v>9139</v>
      </c>
      <c r="I2231" s="314">
        <v>41893.0</v>
      </c>
      <c r="J2231" s="319">
        <f>IFERROR(__xludf.DUMMYFUNCTION("SPLIT(I2231,""/"")"),11.0)</f>
        <v>11</v>
      </c>
      <c r="K2231" s="308">
        <f>IFERROR(__xludf.DUMMYFUNCTION("""COMPUTED_VALUE"""),9.0)</f>
        <v>9</v>
      </c>
      <c r="L2231" s="308">
        <f>IFERROR(__xludf.DUMMYFUNCTION("""COMPUTED_VALUE"""),2014.0)</f>
        <v>2014</v>
      </c>
      <c r="M2231" s="308" t="s">
        <v>9140</v>
      </c>
      <c r="N2231" s="308"/>
      <c r="O2231" s="308" t="s">
        <v>635</v>
      </c>
      <c r="P2231" s="308" t="s">
        <v>9137</v>
      </c>
      <c r="Q2231" s="308"/>
      <c r="R2231" s="308"/>
      <c r="S2231" s="308" t="s">
        <v>81</v>
      </c>
      <c r="T2231" s="311" t="s">
        <v>51</v>
      </c>
      <c r="U2231" s="308"/>
      <c r="V2231" s="312"/>
    </row>
    <row r="2232">
      <c r="A2232" s="308">
        <v>2231.0</v>
      </c>
      <c r="B2232" s="308"/>
      <c r="C2232" s="308" t="s">
        <v>9141</v>
      </c>
      <c r="D2232" s="308">
        <f>IFERROR(__xludf.DUMMYFUNCTION("SPLIT(C2232,""-"")"),2252.0)</f>
        <v>2252</v>
      </c>
      <c r="E2232" s="308" t="str">
        <f>IFERROR(__xludf.DUMMYFUNCTION("""COMPUTED_VALUE""")," P")</f>
        <v> P</v>
      </c>
      <c r="F2232" s="312" t="s">
        <v>37</v>
      </c>
      <c r="G2232" s="308"/>
      <c r="H2232" s="308" t="s">
        <v>9142</v>
      </c>
      <c r="I2232" s="314">
        <v>41653.0</v>
      </c>
      <c r="J2232" s="319">
        <f>IFERROR(__xludf.DUMMYFUNCTION("SPLIT(I2232,""/"")"),14.0)</f>
        <v>14</v>
      </c>
      <c r="K2232" s="308">
        <f>IFERROR(__xludf.DUMMYFUNCTION("""COMPUTED_VALUE"""),1.0)</f>
        <v>1</v>
      </c>
      <c r="L2232" s="308">
        <f>IFERROR(__xludf.DUMMYFUNCTION("""COMPUTED_VALUE"""),2014.0)</f>
        <v>2014</v>
      </c>
      <c r="M2232" s="308" t="s">
        <v>9143</v>
      </c>
      <c r="N2232" s="308"/>
      <c r="O2232" s="308" t="s">
        <v>9144</v>
      </c>
      <c r="P2232" s="308" t="s">
        <v>9145</v>
      </c>
      <c r="Q2232" s="308"/>
      <c r="R2232" s="308"/>
      <c r="S2232" s="308" t="s">
        <v>81</v>
      </c>
      <c r="T2232" s="308" t="s">
        <v>75</v>
      </c>
      <c r="U2232" s="308" t="s">
        <v>2748</v>
      </c>
      <c r="V2232" s="312"/>
    </row>
    <row r="2233">
      <c r="A2233" s="308">
        <v>2232.0</v>
      </c>
      <c r="B2233" s="308"/>
      <c r="C2233" s="308" t="s">
        <v>9146</v>
      </c>
      <c r="D2233" s="308">
        <f>IFERROR(__xludf.DUMMYFUNCTION("SPLIT(C2233,""-"")"),2253.0)</f>
        <v>2253</v>
      </c>
      <c r="E2233" s="308" t="str">
        <f>IFERROR(__xludf.DUMMYFUNCTION("""COMPUTED_VALUE""")," P")</f>
        <v> P</v>
      </c>
      <c r="F2233" s="312" t="s">
        <v>37</v>
      </c>
      <c r="G2233" s="308"/>
      <c r="H2233" s="308" t="s">
        <v>9147</v>
      </c>
      <c r="I2233" s="314">
        <v>41830.0</v>
      </c>
      <c r="J2233" s="319">
        <f>IFERROR(__xludf.DUMMYFUNCTION("SPLIT(I2233,""/"")"),10.0)</f>
        <v>10</v>
      </c>
      <c r="K2233" s="308">
        <f>IFERROR(__xludf.DUMMYFUNCTION("""COMPUTED_VALUE"""),7.0)</f>
        <v>7</v>
      </c>
      <c r="L2233" s="308">
        <f>IFERROR(__xludf.DUMMYFUNCTION("""COMPUTED_VALUE"""),2014.0)</f>
        <v>2014</v>
      </c>
      <c r="M2233" s="308" t="s">
        <v>9143</v>
      </c>
      <c r="N2233" s="308"/>
      <c r="O2233" s="308" t="s">
        <v>9144</v>
      </c>
      <c r="P2233" s="308" t="s">
        <v>9145</v>
      </c>
      <c r="Q2233" s="308"/>
      <c r="R2233" s="308"/>
      <c r="S2233" s="308" t="s">
        <v>81</v>
      </c>
      <c r="T2233" s="308" t="s">
        <v>75</v>
      </c>
      <c r="U2233" s="308" t="s">
        <v>2748</v>
      </c>
      <c r="V2233" s="312"/>
    </row>
    <row r="2234">
      <c r="A2234" s="308">
        <v>2233.0</v>
      </c>
      <c r="B2234" s="308"/>
      <c r="C2234" s="308" t="s">
        <v>9148</v>
      </c>
      <c r="D2234" s="308">
        <f>IFERROR(__xludf.DUMMYFUNCTION("SPLIT(C2234,""-"")"),2254.0)</f>
        <v>2254</v>
      </c>
      <c r="E2234" s="308" t="str">
        <f>IFERROR(__xludf.DUMMYFUNCTION("""COMPUTED_VALUE""")," S")</f>
        <v> S</v>
      </c>
      <c r="F2234" s="312" t="s">
        <v>39</v>
      </c>
      <c r="G2234" s="308"/>
      <c r="H2234" s="308" t="s">
        <v>9149</v>
      </c>
      <c r="I2234" s="314">
        <v>41888.0</v>
      </c>
      <c r="J2234" s="319">
        <f>IFERROR(__xludf.DUMMYFUNCTION("SPLIT(I2234,""/"")"),6.0)</f>
        <v>6</v>
      </c>
      <c r="K2234" s="308">
        <f>IFERROR(__xludf.DUMMYFUNCTION("""COMPUTED_VALUE"""),9.0)</f>
        <v>9</v>
      </c>
      <c r="L2234" s="308">
        <f>IFERROR(__xludf.DUMMYFUNCTION("""COMPUTED_VALUE"""),2014.0)</f>
        <v>2014</v>
      </c>
      <c r="M2234" s="308" t="s">
        <v>9150</v>
      </c>
      <c r="N2234" s="308"/>
      <c r="O2234" s="308" t="s">
        <v>635</v>
      </c>
      <c r="P2234" s="308" t="s">
        <v>9151</v>
      </c>
      <c r="Q2234" s="308"/>
      <c r="R2234" s="308"/>
      <c r="S2234" s="308" t="s">
        <v>49</v>
      </c>
      <c r="T2234" s="311" t="s">
        <v>55</v>
      </c>
      <c r="U2234" s="308"/>
      <c r="V2234" s="312"/>
    </row>
    <row r="2235">
      <c r="A2235" s="308">
        <v>2234.0</v>
      </c>
      <c r="B2235" s="308"/>
      <c r="C2235" s="308" t="s">
        <v>9152</v>
      </c>
      <c r="D2235" s="308">
        <f>IFERROR(__xludf.DUMMYFUNCTION("SPLIT(C2235,""-"")"),2255.0)</f>
        <v>2255</v>
      </c>
      <c r="E2235" s="308" t="str">
        <f>IFERROR(__xludf.DUMMYFUNCTION("""COMPUTED_VALUE""")," B")</f>
        <v> B</v>
      </c>
      <c r="F2235" s="315" t="s">
        <v>26</v>
      </c>
      <c r="G2235" s="308"/>
      <c r="H2235" s="308" t="s">
        <v>9153</v>
      </c>
      <c r="I2235" s="314">
        <v>41716.0</v>
      </c>
      <c r="J2235" s="319">
        <f>IFERROR(__xludf.DUMMYFUNCTION("SPLIT(I2235,""/"")"),18.0)</f>
        <v>18</v>
      </c>
      <c r="K2235" s="308">
        <f>IFERROR(__xludf.DUMMYFUNCTION("""COMPUTED_VALUE"""),3.0)</f>
        <v>3</v>
      </c>
      <c r="L2235" s="308">
        <f>IFERROR(__xludf.DUMMYFUNCTION("""COMPUTED_VALUE"""),2014.0)</f>
        <v>2014</v>
      </c>
      <c r="M2235" s="308" t="s">
        <v>9154</v>
      </c>
      <c r="N2235" s="308"/>
      <c r="O2235" s="312" t="s">
        <v>9155</v>
      </c>
      <c r="P2235" s="308" t="s">
        <v>36588</v>
      </c>
      <c r="Q2235" s="308"/>
      <c r="R2235" s="308"/>
      <c r="S2235" s="315" t="s">
        <v>100</v>
      </c>
      <c r="T2235" s="311" t="s">
        <v>34208</v>
      </c>
      <c r="U2235" s="308" t="s">
        <v>27</v>
      </c>
      <c r="V2235" s="312"/>
    </row>
    <row r="2236">
      <c r="A2236" s="308">
        <v>2235.0</v>
      </c>
      <c r="B2236" s="308"/>
      <c r="C2236" s="308" t="s">
        <v>9157</v>
      </c>
      <c r="D2236" s="308">
        <f>IFERROR(__xludf.DUMMYFUNCTION("SPLIT(C2236,""-"")"),2256.0)</f>
        <v>2256</v>
      </c>
      <c r="E2236" s="308" t="str">
        <f>IFERROR(__xludf.DUMMYFUNCTION("""COMPUTED_VALUE""")," P")</f>
        <v> P</v>
      </c>
      <c r="F2236" s="312" t="s">
        <v>37</v>
      </c>
      <c r="G2236" s="308"/>
      <c r="H2236" s="308" t="s">
        <v>9158</v>
      </c>
      <c r="I2236" s="310">
        <v>41891.0</v>
      </c>
      <c r="J2236" s="319">
        <f>IFERROR(__xludf.DUMMYFUNCTION("SPLIT(I2236,""/"")"),9.0)</f>
        <v>9</v>
      </c>
      <c r="K2236" s="308">
        <f>IFERROR(__xludf.DUMMYFUNCTION("""COMPUTED_VALUE"""),9.0)</f>
        <v>9</v>
      </c>
      <c r="L2236" s="308">
        <f>IFERROR(__xludf.DUMMYFUNCTION("""COMPUTED_VALUE"""),2014.0)</f>
        <v>2014</v>
      </c>
      <c r="M2236" s="308" t="s">
        <v>9159</v>
      </c>
      <c r="N2236" s="308"/>
      <c r="O2236" s="312" t="s">
        <v>9160</v>
      </c>
      <c r="P2236" s="308" t="s">
        <v>9161</v>
      </c>
      <c r="Q2236" s="308"/>
      <c r="R2236" s="308"/>
      <c r="S2236" s="308" t="s">
        <v>81</v>
      </c>
      <c r="T2236" s="311" t="s">
        <v>75</v>
      </c>
      <c r="U2236" s="308"/>
      <c r="V2236" s="312"/>
    </row>
    <row r="2237">
      <c r="A2237" s="308">
        <v>2236.0</v>
      </c>
      <c r="B2237" s="308"/>
      <c r="C2237" s="308" t="s">
        <v>9162</v>
      </c>
      <c r="D2237" s="308">
        <f>IFERROR(__xludf.DUMMYFUNCTION("SPLIT(C2237,""-"")"),2257.0)</f>
        <v>2257</v>
      </c>
      <c r="E2237" s="308" t="str">
        <f>IFERROR(__xludf.DUMMYFUNCTION("""COMPUTED_VALUE""")," K")</f>
        <v> K</v>
      </c>
      <c r="F2237" s="309" t="s">
        <v>34</v>
      </c>
      <c r="G2237" s="308"/>
      <c r="H2237" s="308" t="s">
        <v>9163</v>
      </c>
      <c r="I2237" s="314">
        <v>41619.0</v>
      </c>
      <c r="J2237" s="319">
        <f>IFERROR(__xludf.DUMMYFUNCTION("SPLIT(I2237,""/"")"),11.0)</f>
        <v>11</v>
      </c>
      <c r="K2237" s="308">
        <f>IFERROR(__xludf.DUMMYFUNCTION("""COMPUTED_VALUE"""),12.0)</f>
        <v>12</v>
      </c>
      <c r="L2237" s="308">
        <f>IFERROR(__xludf.DUMMYFUNCTION("""COMPUTED_VALUE"""),2013.0)</f>
        <v>2013</v>
      </c>
      <c r="M2237" s="308" t="s">
        <v>9164</v>
      </c>
      <c r="N2237" s="308"/>
      <c r="O2237" s="312" t="s">
        <v>9165</v>
      </c>
      <c r="P2237" s="308" t="s">
        <v>9166</v>
      </c>
      <c r="Q2237" s="308"/>
      <c r="R2237" s="308"/>
      <c r="S2237" s="308" t="s">
        <v>81</v>
      </c>
      <c r="T2237" s="308" t="s">
        <v>75</v>
      </c>
      <c r="U2237" s="308"/>
      <c r="V2237" s="312"/>
    </row>
    <row r="2238">
      <c r="A2238" s="308">
        <v>2237.0</v>
      </c>
      <c r="B2238" s="308"/>
      <c r="C2238" s="308" t="s">
        <v>9167</v>
      </c>
      <c r="D2238" s="308">
        <f>IFERROR(__xludf.DUMMYFUNCTION("SPLIT(C2238,""-"")"),2258.0)</f>
        <v>2258</v>
      </c>
      <c r="E2238" s="308" t="str">
        <f>IFERROR(__xludf.DUMMYFUNCTION("""COMPUTED_VALUE""")," K")</f>
        <v> K</v>
      </c>
      <c r="F2238" s="309" t="s">
        <v>34</v>
      </c>
      <c r="G2238" s="308"/>
      <c r="H2238" s="308" t="s">
        <v>9168</v>
      </c>
      <c r="I2238" s="314">
        <v>40101.0</v>
      </c>
      <c r="J2238" s="319">
        <f>IFERROR(__xludf.DUMMYFUNCTION("SPLIT(I2238,""/"")"),15.0)</f>
        <v>15</v>
      </c>
      <c r="K2238" s="308">
        <f>IFERROR(__xludf.DUMMYFUNCTION("""COMPUTED_VALUE"""),10.0)</f>
        <v>10</v>
      </c>
      <c r="L2238" s="308">
        <f>IFERROR(__xludf.DUMMYFUNCTION("""COMPUTED_VALUE"""),2009.0)</f>
        <v>2009</v>
      </c>
      <c r="M2238" s="308" t="s">
        <v>9169</v>
      </c>
      <c r="N2238" s="308"/>
      <c r="O2238" s="312" t="s">
        <v>9170</v>
      </c>
      <c r="P2238" s="308" t="s">
        <v>36586</v>
      </c>
      <c r="Q2238" s="308"/>
      <c r="R2238" s="308"/>
      <c r="S2238" s="315" t="s">
        <v>100</v>
      </c>
      <c r="T2238" s="311" t="s">
        <v>34208</v>
      </c>
      <c r="U2238" s="308" t="s">
        <v>530</v>
      </c>
      <c r="V2238" s="312"/>
    </row>
    <row r="2239">
      <c r="A2239" s="308">
        <v>2238.0</v>
      </c>
      <c r="B2239" s="308"/>
      <c r="C2239" s="308" t="s">
        <v>9171</v>
      </c>
      <c r="D2239" s="308">
        <f>IFERROR(__xludf.DUMMYFUNCTION("SPLIT(C2239,""-"")"),2259.0)</f>
        <v>2259</v>
      </c>
      <c r="E2239" s="308" t="str">
        <f>IFERROR(__xludf.DUMMYFUNCTION("""COMPUTED_VALUE""")," P")</f>
        <v> P</v>
      </c>
      <c r="F2239" s="312" t="s">
        <v>37</v>
      </c>
      <c r="G2239" s="308"/>
      <c r="H2239" s="308" t="s">
        <v>9172</v>
      </c>
      <c r="I2239" s="310">
        <v>41889.0</v>
      </c>
      <c r="J2239" s="319">
        <f>IFERROR(__xludf.DUMMYFUNCTION("SPLIT(I2239,""/"")"),7.0)</f>
        <v>7</v>
      </c>
      <c r="K2239" s="308">
        <f>IFERROR(__xludf.DUMMYFUNCTION("""COMPUTED_VALUE"""),9.0)</f>
        <v>9</v>
      </c>
      <c r="L2239" s="308">
        <f>IFERROR(__xludf.DUMMYFUNCTION("""COMPUTED_VALUE"""),2014.0)</f>
        <v>2014</v>
      </c>
      <c r="M2239" s="308" t="s">
        <v>9173</v>
      </c>
      <c r="N2239" s="308"/>
      <c r="O2239" s="312" t="s">
        <v>9174</v>
      </c>
      <c r="P2239" s="308" t="s">
        <v>36589</v>
      </c>
      <c r="Q2239" s="308"/>
      <c r="R2239" s="308"/>
      <c r="S2239" s="315" t="s">
        <v>100</v>
      </c>
      <c r="T2239" s="311" t="s">
        <v>34208</v>
      </c>
      <c r="U2239" s="308" t="s">
        <v>137</v>
      </c>
      <c r="V2239" s="312"/>
    </row>
    <row r="2240">
      <c r="A2240" s="308">
        <v>2239.0</v>
      </c>
      <c r="B2240" s="308"/>
      <c r="C2240" s="308" t="s">
        <v>9176</v>
      </c>
      <c r="D2240" s="308">
        <f>IFERROR(__xludf.DUMMYFUNCTION("SPLIT(C2240,""-"")"),2260.0)</f>
        <v>2260</v>
      </c>
      <c r="E2240" s="308" t="str">
        <f>IFERROR(__xludf.DUMMYFUNCTION("""COMPUTED_VALUE""")," P")</f>
        <v> P</v>
      </c>
      <c r="F2240" s="312" t="s">
        <v>37</v>
      </c>
      <c r="G2240" s="308"/>
      <c r="H2240" s="308" t="s">
        <v>9177</v>
      </c>
      <c r="I2240" s="310">
        <v>41918.0</v>
      </c>
      <c r="J2240" s="319">
        <f>IFERROR(__xludf.DUMMYFUNCTION("SPLIT(I2240,""/"")"),6.0)</f>
        <v>6</v>
      </c>
      <c r="K2240" s="308">
        <f>IFERROR(__xludf.DUMMYFUNCTION("""COMPUTED_VALUE"""),10.0)</f>
        <v>10</v>
      </c>
      <c r="L2240" s="308">
        <f>IFERROR(__xludf.DUMMYFUNCTION("""COMPUTED_VALUE"""),2014.0)</f>
        <v>2014</v>
      </c>
      <c r="M2240" s="308" t="s">
        <v>9173</v>
      </c>
      <c r="N2240" s="308"/>
      <c r="O2240" s="312" t="s">
        <v>9174</v>
      </c>
      <c r="P2240" s="308" t="s">
        <v>36589</v>
      </c>
      <c r="Q2240" s="308"/>
      <c r="R2240" s="308"/>
      <c r="S2240" s="315" t="s">
        <v>100</v>
      </c>
      <c r="T2240" s="311" t="s">
        <v>34208</v>
      </c>
      <c r="U2240" s="308" t="s">
        <v>137</v>
      </c>
      <c r="V2240" s="312"/>
    </row>
    <row r="2241">
      <c r="A2241" s="308">
        <v>2240.0</v>
      </c>
      <c r="B2241" s="308"/>
      <c r="C2241" s="308" t="s">
        <v>9178</v>
      </c>
      <c r="D2241" s="308">
        <f>IFERROR(__xludf.DUMMYFUNCTION("SPLIT(C2241,""-"")"),2261.0)</f>
        <v>2261</v>
      </c>
      <c r="E2241" s="308" t="str">
        <f>IFERROR(__xludf.DUMMYFUNCTION("""COMPUTED_VALUE""")," P")</f>
        <v> P</v>
      </c>
      <c r="F2241" s="312" t="s">
        <v>37</v>
      </c>
      <c r="G2241" s="308"/>
      <c r="H2241" s="308" t="s">
        <v>9179</v>
      </c>
      <c r="I2241" s="310">
        <v>41649.0</v>
      </c>
      <c r="J2241" s="319">
        <f>IFERROR(__xludf.DUMMYFUNCTION("SPLIT(I2241,""/"")"),10.0)</f>
        <v>10</v>
      </c>
      <c r="K2241" s="308">
        <f>IFERROR(__xludf.DUMMYFUNCTION("""COMPUTED_VALUE"""),1.0)</f>
        <v>1</v>
      </c>
      <c r="L2241" s="308">
        <f>IFERROR(__xludf.DUMMYFUNCTION("""COMPUTED_VALUE"""),2014.0)</f>
        <v>2014</v>
      </c>
      <c r="M2241" s="308" t="s">
        <v>9180</v>
      </c>
      <c r="N2241" s="308"/>
      <c r="O2241" s="308" t="s">
        <v>9181</v>
      </c>
      <c r="P2241" s="308" t="s">
        <v>9182</v>
      </c>
      <c r="Q2241" s="308"/>
      <c r="R2241" s="308"/>
      <c r="S2241" s="308" t="s">
        <v>81</v>
      </c>
      <c r="T2241" s="308" t="s">
        <v>75</v>
      </c>
      <c r="U2241" s="308"/>
      <c r="V2241" s="312"/>
    </row>
    <row r="2242">
      <c r="A2242" s="308">
        <v>2241.0</v>
      </c>
      <c r="B2242" s="308"/>
      <c r="C2242" s="308" t="s">
        <v>9183</v>
      </c>
      <c r="D2242" s="308">
        <f>IFERROR(__xludf.DUMMYFUNCTION("SPLIT(C2242,""-"")"),2262.0)</f>
        <v>2262</v>
      </c>
      <c r="E2242" s="308" t="str">
        <f>IFERROR(__xludf.DUMMYFUNCTION("""COMPUTED_VALUE""")," I")</f>
        <v> I</v>
      </c>
      <c r="F2242" s="309" t="s">
        <v>31</v>
      </c>
      <c r="G2242" s="308"/>
      <c r="H2242" s="308" t="s">
        <v>9184</v>
      </c>
      <c r="I2242" s="314">
        <v>41929.0</v>
      </c>
      <c r="J2242" s="319">
        <f>IFERROR(__xludf.DUMMYFUNCTION("SPLIT(I2242,""/"")"),17.0)</f>
        <v>17</v>
      </c>
      <c r="K2242" s="308">
        <f>IFERROR(__xludf.DUMMYFUNCTION("""COMPUTED_VALUE"""),10.0)</f>
        <v>10</v>
      </c>
      <c r="L2242" s="308">
        <f>IFERROR(__xludf.DUMMYFUNCTION("""COMPUTED_VALUE"""),2014.0)</f>
        <v>2014</v>
      </c>
      <c r="M2242" s="308" t="s">
        <v>9185</v>
      </c>
      <c r="N2242" s="308"/>
      <c r="O2242" s="308" t="s">
        <v>9186</v>
      </c>
      <c r="P2242" s="308" t="s">
        <v>9187</v>
      </c>
      <c r="Q2242" s="308"/>
      <c r="R2242" s="308"/>
      <c r="S2242" s="308" t="s">
        <v>81</v>
      </c>
      <c r="T2242" s="308" t="s">
        <v>75</v>
      </c>
      <c r="U2242" s="308"/>
      <c r="V2242" s="312"/>
    </row>
    <row r="2243">
      <c r="A2243" s="308">
        <v>2242.0</v>
      </c>
      <c r="B2243" s="308"/>
      <c r="C2243" s="308" t="s">
        <v>9188</v>
      </c>
      <c r="D2243" s="308">
        <f>IFERROR(__xludf.DUMMYFUNCTION("SPLIT(C2243,""-"")"),2263.0)</f>
        <v>2263</v>
      </c>
      <c r="E2243" s="308" t="str">
        <f>IFERROR(__xludf.DUMMYFUNCTION("""COMPUTED_VALUE""")," K")</f>
        <v> K</v>
      </c>
      <c r="F2243" s="309" t="s">
        <v>34</v>
      </c>
      <c r="G2243" s="308"/>
      <c r="H2243" s="308" t="s">
        <v>9189</v>
      </c>
      <c r="I2243" s="310">
        <v>41828.0</v>
      </c>
      <c r="J2243" s="319">
        <f>IFERROR(__xludf.DUMMYFUNCTION("SPLIT(I2243,""/"")"),8.0)</f>
        <v>8</v>
      </c>
      <c r="K2243" s="308">
        <f>IFERROR(__xludf.DUMMYFUNCTION("""COMPUTED_VALUE"""),7.0)</f>
        <v>7</v>
      </c>
      <c r="L2243" s="308">
        <f>IFERROR(__xludf.DUMMYFUNCTION("""COMPUTED_VALUE"""),2014.0)</f>
        <v>2014</v>
      </c>
      <c r="M2243" s="308" t="s">
        <v>9190</v>
      </c>
      <c r="N2243" s="308"/>
      <c r="O2243" s="308" t="s">
        <v>9191</v>
      </c>
      <c r="P2243" s="308" t="s">
        <v>9192</v>
      </c>
      <c r="Q2243" s="308"/>
      <c r="R2243" s="308"/>
      <c r="S2243" s="308" t="s">
        <v>81</v>
      </c>
      <c r="T2243" s="311" t="s">
        <v>77</v>
      </c>
      <c r="U2243" s="308"/>
      <c r="V2243" s="312"/>
    </row>
    <row r="2244">
      <c r="A2244" s="308">
        <v>2243.0</v>
      </c>
      <c r="B2244" s="308"/>
      <c r="C2244" s="308" t="s">
        <v>9193</v>
      </c>
      <c r="D2244" s="308"/>
      <c r="E2244" s="311"/>
      <c r="F2244" s="317" t="s">
        <v>39</v>
      </c>
      <c r="G2244" s="308"/>
      <c r="H2244" s="308" t="s">
        <v>9194</v>
      </c>
      <c r="I2244" s="314">
        <v>41742.0</v>
      </c>
      <c r="J2244" s="319">
        <f>IFERROR(__xludf.DUMMYFUNCTION("SPLIT(I2244,""/"")"),13.0)</f>
        <v>13</v>
      </c>
      <c r="K2244" s="308">
        <f>IFERROR(__xludf.DUMMYFUNCTION("""COMPUTED_VALUE"""),4.0)</f>
        <v>4</v>
      </c>
      <c r="L2244" s="308">
        <f>IFERROR(__xludf.DUMMYFUNCTION("""COMPUTED_VALUE"""),2014.0)</f>
        <v>2014</v>
      </c>
      <c r="M2244" s="308" t="s">
        <v>9195</v>
      </c>
      <c r="N2244" s="308"/>
      <c r="O2244" s="308" t="s">
        <v>635</v>
      </c>
      <c r="P2244" s="308" t="s">
        <v>36547</v>
      </c>
      <c r="Q2244" s="308"/>
      <c r="R2244" s="308" t="s">
        <v>36590</v>
      </c>
      <c r="S2244" s="315" t="s">
        <v>100</v>
      </c>
      <c r="T2244" s="311" t="s">
        <v>34208</v>
      </c>
      <c r="U2244" s="308"/>
      <c r="V2244" s="312"/>
    </row>
    <row r="2245">
      <c r="A2245" s="308">
        <v>2244.0</v>
      </c>
      <c r="B2245" s="308"/>
      <c r="C2245" s="308" t="s">
        <v>9197</v>
      </c>
      <c r="D2245" s="308">
        <f>IFERROR(__xludf.DUMMYFUNCTION("SPLIT(C2245,""-"")"),2265.0)</f>
        <v>2265</v>
      </c>
      <c r="E2245" s="308" t="str">
        <f>IFERROR(__xludf.DUMMYFUNCTION("""COMPUTED_VALUE""")," K")</f>
        <v> K</v>
      </c>
      <c r="F2245" s="309" t="s">
        <v>34</v>
      </c>
      <c r="G2245" s="308"/>
      <c r="H2245" s="308" t="s">
        <v>9198</v>
      </c>
      <c r="I2245" s="314">
        <v>40983.0</v>
      </c>
      <c r="J2245" s="319">
        <f>IFERROR(__xludf.DUMMYFUNCTION("SPLIT(I2245,""/"")"),15.0)</f>
        <v>15</v>
      </c>
      <c r="K2245" s="308">
        <f>IFERROR(__xludf.DUMMYFUNCTION("""COMPUTED_VALUE"""),3.0)</f>
        <v>3</v>
      </c>
      <c r="L2245" s="308">
        <f>IFERROR(__xludf.DUMMYFUNCTION("""COMPUTED_VALUE"""),2012.0)</f>
        <v>2012</v>
      </c>
      <c r="M2245" s="308" t="s">
        <v>9199</v>
      </c>
      <c r="N2245" s="308"/>
      <c r="O2245" s="308" t="s">
        <v>9200</v>
      </c>
      <c r="P2245" s="308" t="s">
        <v>36515</v>
      </c>
      <c r="Q2245" s="308"/>
      <c r="R2245" s="308"/>
      <c r="S2245" s="315" t="s">
        <v>100</v>
      </c>
      <c r="T2245" s="311" t="s">
        <v>34208</v>
      </c>
      <c r="U2245" s="308" t="s">
        <v>2152</v>
      </c>
      <c r="V2245" s="312"/>
    </row>
    <row r="2246">
      <c r="A2246" s="308">
        <v>2245.0</v>
      </c>
      <c r="B2246" s="308"/>
      <c r="C2246" s="308" t="s">
        <v>9201</v>
      </c>
      <c r="D2246" s="308">
        <f>IFERROR(__xludf.DUMMYFUNCTION("SPLIT(C2246,""-"")"),2266.0)</f>
        <v>2266</v>
      </c>
      <c r="E2246" s="308" t="str">
        <f>IFERROR(__xludf.DUMMYFUNCTION("""COMPUTED_VALUE""")," S")</f>
        <v> S</v>
      </c>
      <c r="F2246" s="312" t="s">
        <v>39</v>
      </c>
      <c r="G2246" s="308"/>
      <c r="H2246" s="308" t="s">
        <v>5260</v>
      </c>
      <c r="I2246" s="314">
        <v>41900.0</v>
      </c>
      <c r="J2246" s="319">
        <f>IFERROR(__xludf.DUMMYFUNCTION("SPLIT(I2246,""/"")"),18.0)</f>
        <v>18</v>
      </c>
      <c r="K2246" s="308">
        <f>IFERROR(__xludf.DUMMYFUNCTION("""COMPUTED_VALUE"""),9.0)</f>
        <v>9</v>
      </c>
      <c r="L2246" s="308">
        <f>IFERROR(__xludf.DUMMYFUNCTION("""COMPUTED_VALUE"""),2014.0)</f>
        <v>2014</v>
      </c>
      <c r="M2246" s="308" t="s">
        <v>9202</v>
      </c>
      <c r="N2246" s="308"/>
      <c r="O2246" s="308" t="s">
        <v>36591</v>
      </c>
      <c r="P2246" s="308" t="s">
        <v>1481</v>
      </c>
      <c r="Q2246" s="308"/>
      <c r="R2246" s="308"/>
      <c r="S2246" s="308" t="s">
        <v>81</v>
      </c>
      <c r="T2246" s="308" t="s">
        <v>35048</v>
      </c>
      <c r="U2246" s="308"/>
      <c r="V2246" s="312"/>
    </row>
    <row r="2247">
      <c r="A2247" s="308">
        <v>2246.0</v>
      </c>
      <c r="B2247" s="308"/>
      <c r="C2247" s="308" t="s">
        <v>9204</v>
      </c>
      <c r="D2247" s="308">
        <f>IFERROR(__xludf.DUMMYFUNCTION("SPLIT(C2247,""-"")"),2267.0)</f>
        <v>2267</v>
      </c>
      <c r="E2247" s="308" t="str">
        <f>IFERROR(__xludf.DUMMYFUNCTION("""COMPUTED_VALUE""")," K")</f>
        <v> K</v>
      </c>
      <c r="F2247" s="309" t="s">
        <v>34</v>
      </c>
      <c r="G2247" s="308"/>
      <c r="H2247" s="308" t="s">
        <v>9205</v>
      </c>
      <c r="I2247" s="316">
        <v>2011.0</v>
      </c>
      <c r="J2247" s="319"/>
      <c r="K2247" s="308"/>
      <c r="L2247" s="311">
        <v>2011.0</v>
      </c>
      <c r="M2247" s="308" t="s">
        <v>9206</v>
      </c>
      <c r="N2247" s="308"/>
      <c r="O2247" s="308" t="s">
        <v>36101</v>
      </c>
      <c r="P2247" s="308" t="s">
        <v>9207</v>
      </c>
      <c r="Q2247" s="308"/>
      <c r="R2247" s="308"/>
      <c r="S2247" s="308" t="s">
        <v>81</v>
      </c>
      <c r="T2247" s="308" t="s">
        <v>34264</v>
      </c>
      <c r="U2247" s="308"/>
      <c r="V2247" s="312"/>
    </row>
    <row r="2248">
      <c r="A2248" s="308">
        <v>2247.0</v>
      </c>
      <c r="B2248" s="308"/>
      <c r="C2248" s="308" t="s">
        <v>9208</v>
      </c>
      <c r="D2248" s="308">
        <f>IFERROR(__xludf.DUMMYFUNCTION("SPLIT(C2248,""-"")"),2268.0)</f>
        <v>2268</v>
      </c>
      <c r="E2248" s="308" t="str">
        <f>IFERROR(__xludf.DUMMYFUNCTION("""COMPUTED_VALUE""")," P")</f>
        <v> P</v>
      </c>
      <c r="F2248" s="312" t="s">
        <v>37</v>
      </c>
      <c r="G2248" s="308"/>
      <c r="H2248" s="308" t="s">
        <v>9209</v>
      </c>
      <c r="I2248" s="314">
        <v>41863.0</v>
      </c>
      <c r="J2248" s="319">
        <f>IFERROR(__xludf.DUMMYFUNCTION("SPLIT(I2248,""/"")"),12.0)</f>
        <v>12</v>
      </c>
      <c r="K2248" s="308">
        <f>IFERROR(__xludf.DUMMYFUNCTION("""COMPUTED_VALUE"""),8.0)</f>
        <v>8</v>
      </c>
      <c r="L2248" s="308">
        <f>IFERROR(__xludf.DUMMYFUNCTION("""COMPUTED_VALUE"""),2014.0)</f>
        <v>2014</v>
      </c>
      <c r="M2248" s="308" t="s">
        <v>9210</v>
      </c>
      <c r="N2248" s="308"/>
      <c r="O2248" s="312" t="s">
        <v>9211</v>
      </c>
      <c r="P2248" s="308" t="s">
        <v>36592</v>
      </c>
      <c r="Q2248" s="308"/>
      <c r="R2248" s="308"/>
      <c r="S2248" s="308" t="s">
        <v>81</v>
      </c>
      <c r="T2248" s="308" t="s">
        <v>75</v>
      </c>
      <c r="U2248" s="308" t="s">
        <v>149</v>
      </c>
      <c r="V2248" s="312"/>
    </row>
    <row r="2249">
      <c r="A2249" s="308">
        <v>2248.0</v>
      </c>
      <c r="B2249" s="312"/>
      <c r="C2249" s="312" t="s">
        <v>9213</v>
      </c>
      <c r="D2249" s="308">
        <f>IFERROR(__xludf.DUMMYFUNCTION("SPLIT(C2249,""-"")"),2269.0)</f>
        <v>2269</v>
      </c>
      <c r="E2249" s="312" t="str">
        <f>IFERROR(__xludf.DUMMYFUNCTION("""COMPUTED_VALUE""")," P")</f>
        <v> P</v>
      </c>
      <c r="F2249" s="312" t="s">
        <v>37</v>
      </c>
      <c r="G2249" s="312"/>
      <c r="H2249" s="312" t="s">
        <v>9214</v>
      </c>
      <c r="I2249" s="314">
        <v>41877.0</v>
      </c>
      <c r="J2249" s="319">
        <f>IFERROR(__xludf.DUMMYFUNCTION("SPLIT(I2249,""/"")"),26.0)</f>
        <v>26</v>
      </c>
      <c r="K2249" s="312">
        <f>IFERROR(__xludf.DUMMYFUNCTION("""COMPUTED_VALUE"""),8.0)</f>
        <v>8</v>
      </c>
      <c r="L2249" s="312">
        <f>IFERROR(__xludf.DUMMYFUNCTION("""COMPUTED_VALUE"""),2014.0)</f>
        <v>2014</v>
      </c>
      <c r="M2249" s="312" t="s">
        <v>9215</v>
      </c>
      <c r="N2249" s="312"/>
      <c r="O2249" s="312" t="s">
        <v>9216</v>
      </c>
      <c r="P2249" s="312" t="s">
        <v>36593</v>
      </c>
      <c r="Q2249" s="308"/>
      <c r="R2249" s="308" t="s">
        <v>36594</v>
      </c>
      <c r="S2249" s="308" t="s">
        <v>81</v>
      </c>
      <c r="T2249" s="308" t="s">
        <v>75</v>
      </c>
      <c r="U2249" s="312" t="s">
        <v>143</v>
      </c>
      <c r="V2249" s="312"/>
    </row>
    <row r="2250">
      <c r="A2250" s="308">
        <v>2249.0</v>
      </c>
      <c r="B2250" s="308"/>
      <c r="C2250" s="308" t="s">
        <v>9218</v>
      </c>
      <c r="D2250" s="308">
        <f>IFERROR(__xludf.DUMMYFUNCTION("SPLIT(C2250,""-"")"),2270.0)</f>
        <v>2270</v>
      </c>
      <c r="E2250" s="308" t="str">
        <f>IFERROR(__xludf.DUMMYFUNCTION("""COMPUTED_VALUE""")," S")</f>
        <v> S</v>
      </c>
      <c r="F2250" s="312" t="s">
        <v>39</v>
      </c>
      <c r="G2250" s="308"/>
      <c r="H2250" s="308" t="s">
        <v>9219</v>
      </c>
      <c r="I2250" s="314">
        <v>41893.0</v>
      </c>
      <c r="J2250" s="319">
        <f>IFERROR(__xludf.DUMMYFUNCTION("SPLIT(I2250,""/"")"),11.0)</f>
        <v>11</v>
      </c>
      <c r="K2250" s="308">
        <f>IFERROR(__xludf.DUMMYFUNCTION("""COMPUTED_VALUE"""),9.0)</f>
        <v>9</v>
      </c>
      <c r="L2250" s="308">
        <f>IFERROR(__xludf.DUMMYFUNCTION("""COMPUTED_VALUE"""),2014.0)</f>
        <v>2014</v>
      </c>
      <c r="M2250" s="308" t="s">
        <v>9220</v>
      </c>
      <c r="N2250" s="308"/>
      <c r="O2250" s="308" t="s">
        <v>635</v>
      </c>
      <c r="P2250" s="308" t="s">
        <v>1036</v>
      </c>
      <c r="Q2250" s="308"/>
      <c r="R2250" s="308"/>
      <c r="S2250" s="308" t="s">
        <v>81</v>
      </c>
      <c r="T2250" s="308" t="s">
        <v>98</v>
      </c>
      <c r="U2250" s="308"/>
      <c r="V2250" s="312"/>
    </row>
    <row r="2251">
      <c r="A2251" s="308">
        <v>2250.0</v>
      </c>
      <c r="B2251" s="308"/>
      <c r="C2251" s="308" t="s">
        <v>9221</v>
      </c>
      <c r="D2251" s="308">
        <f>IFERROR(__xludf.DUMMYFUNCTION("SPLIT(C2251,""-"")"),2271.0)</f>
        <v>2271</v>
      </c>
      <c r="E2251" s="308" t="str">
        <f>IFERROR(__xludf.DUMMYFUNCTION("""COMPUTED_VALUE""")," P")</f>
        <v> P</v>
      </c>
      <c r="F2251" s="312" t="s">
        <v>37</v>
      </c>
      <c r="G2251" s="308"/>
      <c r="H2251" s="308" t="s">
        <v>9222</v>
      </c>
      <c r="I2251" s="314">
        <v>41915.0</v>
      </c>
      <c r="J2251" s="319">
        <f>IFERROR(__xludf.DUMMYFUNCTION("SPLIT(I2251,""/"")"),3.0)</f>
        <v>3</v>
      </c>
      <c r="K2251" s="308">
        <f>IFERROR(__xludf.DUMMYFUNCTION("""COMPUTED_VALUE"""),10.0)</f>
        <v>10</v>
      </c>
      <c r="L2251" s="308">
        <f>IFERROR(__xludf.DUMMYFUNCTION("""COMPUTED_VALUE"""),2014.0)</f>
        <v>2014</v>
      </c>
      <c r="M2251" s="308" t="s">
        <v>9223</v>
      </c>
      <c r="N2251" s="308"/>
      <c r="O2251" s="312" t="s">
        <v>9224</v>
      </c>
      <c r="P2251" s="308" t="s">
        <v>9225</v>
      </c>
      <c r="Q2251" s="308"/>
      <c r="R2251" s="308"/>
      <c r="S2251" s="308" t="s">
        <v>81</v>
      </c>
      <c r="T2251" s="308" t="s">
        <v>63</v>
      </c>
      <c r="U2251" s="308"/>
      <c r="V2251" s="312"/>
    </row>
    <row r="2252">
      <c r="A2252" s="308">
        <v>2251.0</v>
      </c>
      <c r="B2252" s="308"/>
      <c r="C2252" s="308" t="s">
        <v>9226</v>
      </c>
      <c r="D2252" s="308">
        <f>IFERROR(__xludf.DUMMYFUNCTION("SPLIT(C2252,""-"")"),2272.0)</f>
        <v>2272</v>
      </c>
      <c r="E2252" s="308" t="str">
        <f>IFERROR(__xludf.DUMMYFUNCTION("""COMPUTED_VALUE""")," P")</f>
        <v> P</v>
      </c>
      <c r="F2252" s="312" t="s">
        <v>37</v>
      </c>
      <c r="G2252" s="308" t="s">
        <v>9227</v>
      </c>
      <c r="H2252" s="308" t="s">
        <v>36595</v>
      </c>
      <c r="I2252" s="314">
        <v>41812.0</v>
      </c>
      <c r="J2252" s="319">
        <f>IFERROR(__xludf.DUMMYFUNCTION("SPLIT(I2252,""/"")"),22.0)</f>
        <v>22</v>
      </c>
      <c r="K2252" s="308">
        <f>IFERROR(__xludf.DUMMYFUNCTION("""COMPUTED_VALUE"""),6.0)</f>
        <v>6</v>
      </c>
      <c r="L2252" s="308">
        <f>IFERROR(__xludf.DUMMYFUNCTION("""COMPUTED_VALUE"""),2014.0)</f>
        <v>2014</v>
      </c>
      <c r="M2252" s="308" t="s">
        <v>9229</v>
      </c>
      <c r="N2252" s="308"/>
      <c r="O2252" s="308" t="s">
        <v>9230</v>
      </c>
      <c r="P2252" s="308" t="s">
        <v>36596</v>
      </c>
      <c r="Q2252" s="308"/>
      <c r="R2252" s="308"/>
      <c r="S2252" s="308" t="s">
        <v>81</v>
      </c>
      <c r="T2252" s="308" t="s">
        <v>73</v>
      </c>
      <c r="U2252" s="308"/>
      <c r="V2252" s="312"/>
    </row>
    <row r="2253">
      <c r="A2253" s="308">
        <v>2252.0</v>
      </c>
      <c r="B2253" s="308"/>
      <c r="C2253" s="308" t="s">
        <v>9232</v>
      </c>
      <c r="D2253" s="308">
        <f>IFERROR(__xludf.DUMMYFUNCTION("SPLIT(C2253,""-"")"),2273.0)</f>
        <v>2273</v>
      </c>
      <c r="E2253" s="308" t="str">
        <f>IFERROR(__xludf.DUMMYFUNCTION("""COMPUTED_VALUE""")," I")</f>
        <v> I</v>
      </c>
      <c r="F2253" s="309" t="s">
        <v>31</v>
      </c>
      <c r="G2253" s="308" t="s">
        <v>9233</v>
      </c>
      <c r="H2253" s="308" t="s">
        <v>9234</v>
      </c>
      <c r="I2253" s="314">
        <v>41774.0</v>
      </c>
      <c r="J2253" s="319">
        <f>IFERROR(__xludf.DUMMYFUNCTION("SPLIT(I2253,""/"")"),15.0)</f>
        <v>15</v>
      </c>
      <c r="K2253" s="308">
        <f>IFERROR(__xludf.DUMMYFUNCTION("""COMPUTED_VALUE"""),5.0)</f>
        <v>5</v>
      </c>
      <c r="L2253" s="308">
        <f>IFERROR(__xludf.DUMMYFUNCTION("""COMPUTED_VALUE"""),2014.0)</f>
        <v>2014</v>
      </c>
      <c r="M2253" s="308" t="s">
        <v>9235</v>
      </c>
      <c r="N2253" s="308"/>
      <c r="O2253" s="308" t="s">
        <v>9236</v>
      </c>
      <c r="P2253" s="308" t="s">
        <v>9237</v>
      </c>
      <c r="Q2253" s="308"/>
      <c r="R2253" s="308"/>
      <c r="S2253" s="308" t="s">
        <v>81</v>
      </c>
      <c r="T2253" s="308" t="s">
        <v>73</v>
      </c>
      <c r="U2253" s="308"/>
      <c r="V2253" s="312"/>
    </row>
    <row r="2254">
      <c r="A2254" s="308">
        <v>2253.0</v>
      </c>
      <c r="B2254" s="308"/>
      <c r="C2254" s="308" t="s">
        <v>9238</v>
      </c>
      <c r="D2254" s="308">
        <f>IFERROR(__xludf.DUMMYFUNCTION("SPLIT(C2254,""-"")"),2274.0)</f>
        <v>2274</v>
      </c>
      <c r="E2254" s="308" t="str">
        <f>IFERROR(__xludf.DUMMYFUNCTION("""COMPUTED_VALUE""")," K")</f>
        <v> K</v>
      </c>
      <c r="F2254" s="309" t="s">
        <v>34</v>
      </c>
      <c r="G2254" s="308" t="s">
        <v>9239</v>
      </c>
      <c r="H2254" s="308" t="s">
        <v>9240</v>
      </c>
      <c r="I2254" s="316">
        <v>2013.0</v>
      </c>
      <c r="J2254" s="319"/>
      <c r="K2254" s="308"/>
      <c r="L2254" s="311">
        <v>2013.0</v>
      </c>
      <c r="M2254" s="308" t="s">
        <v>9241</v>
      </c>
      <c r="N2254" s="308"/>
      <c r="O2254" s="308" t="s">
        <v>9242</v>
      </c>
      <c r="P2254" s="308" t="s">
        <v>36597</v>
      </c>
      <c r="Q2254" s="308"/>
      <c r="R2254" s="308"/>
      <c r="S2254" s="311" t="s">
        <v>49</v>
      </c>
      <c r="T2254" s="308" t="s">
        <v>51</v>
      </c>
      <c r="U2254" s="308"/>
      <c r="V2254" s="312"/>
    </row>
    <row r="2255">
      <c r="A2255" s="308">
        <v>2254.0</v>
      </c>
      <c r="B2255" s="308"/>
      <c r="C2255" s="308" t="s">
        <v>9244</v>
      </c>
      <c r="D2255" s="308">
        <f>IFERROR(__xludf.DUMMYFUNCTION("SPLIT(C2255,""-"")"),2275.0)</f>
        <v>2275</v>
      </c>
      <c r="E2255" s="308" t="str">
        <f>IFERROR(__xludf.DUMMYFUNCTION("""COMPUTED_VALUE""")," K")</f>
        <v> K</v>
      </c>
      <c r="F2255" s="309" t="s">
        <v>34</v>
      </c>
      <c r="G2255" s="308" t="s">
        <v>9245</v>
      </c>
      <c r="H2255" s="308" t="s">
        <v>36598</v>
      </c>
      <c r="I2255" s="314">
        <v>40911.0</v>
      </c>
      <c r="J2255" s="319">
        <f>IFERROR(__xludf.DUMMYFUNCTION("SPLIT(I2255,""/"")"),3.0)</f>
        <v>3</v>
      </c>
      <c r="K2255" s="308">
        <f>IFERROR(__xludf.DUMMYFUNCTION("""COMPUTED_VALUE"""),1.0)</f>
        <v>1</v>
      </c>
      <c r="L2255" s="308">
        <f>IFERROR(__xludf.DUMMYFUNCTION("""COMPUTED_VALUE"""),2012.0)</f>
        <v>2012</v>
      </c>
      <c r="M2255" s="308" t="s">
        <v>9247</v>
      </c>
      <c r="N2255" s="308"/>
      <c r="O2255" s="308" t="s">
        <v>9248</v>
      </c>
      <c r="P2255" s="308" t="s">
        <v>2175</v>
      </c>
      <c r="Q2255" s="308"/>
      <c r="R2255" s="308"/>
      <c r="S2255" s="308" t="s">
        <v>49</v>
      </c>
      <c r="T2255" s="308" t="s">
        <v>69</v>
      </c>
      <c r="U2255" s="308" t="s">
        <v>530</v>
      </c>
      <c r="V2255" s="312"/>
    </row>
    <row r="2256">
      <c r="A2256" s="308">
        <v>2255.0</v>
      </c>
      <c r="B2256" s="308"/>
      <c r="C2256" s="308" t="s">
        <v>9249</v>
      </c>
      <c r="D2256" s="308">
        <f>IFERROR(__xludf.DUMMYFUNCTION("SPLIT(C2256,""-"")"),2276.0)</f>
        <v>2276</v>
      </c>
      <c r="E2256" s="308" t="str">
        <f>IFERROR(__xludf.DUMMYFUNCTION("""COMPUTED_VALUE""")," K")</f>
        <v> K</v>
      </c>
      <c r="F2256" s="309" t="s">
        <v>34</v>
      </c>
      <c r="G2256" s="308" t="s">
        <v>9250</v>
      </c>
      <c r="H2256" s="308" t="s">
        <v>9251</v>
      </c>
      <c r="I2256" s="314">
        <v>41190.0</v>
      </c>
      <c r="J2256" s="319">
        <f>IFERROR(__xludf.DUMMYFUNCTION("SPLIT(I2256,""/"")"),8.0)</f>
        <v>8</v>
      </c>
      <c r="K2256" s="308">
        <f>IFERROR(__xludf.DUMMYFUNCTION("""COMPUTED_VALUE"""),10.0)</f>
        <v>10</v>
      </c>
      <c r="L2256" s="308">
        <f>IFERROR(__xludf.DUMMYFUNCTION("""COMPUTED_VALUE"""),2012.0)</f>
        <v>2012</v>
      </c>
      <c r="M2256" s="308" t="s">
        <v>9252</v>
      </c>
      <c r="N2256" s="308"/>
      <c r="O2256" s="308" t="s">
        <v>635</v>
      </c>
      <c r="P2256" s="308" t="s">
        <v>9253</v>
      </c>
      <c r="Q2256" s="308"/>
      <c r="R2256" s="308"/>
      <c r="S2256" s="308" t="s">
        <v>81</v>
      </c>
      <c r="T2256" s="308" t="s">
        <v>73</v>
      </c>
      <c r="U2256" s="308"/>
      <c r="V2256" s="312"/>
    </row>
    <row r="2257">
      <c r="A2257" s="308">
        <v>2256.0</v>
      </c>
      <c r="B2257" s="308"/>
      <c r="C2257" s="308" t="s">
        <v>9254</v>
      </c>
      <c r="D2257" s="308">
        <f>IFERROR(__xludf.DUMMYFUNCTION("SPLIT(C2257,""-"")"),2277.0)</f>
        <v>2277</v>
      </c>
      <c r="E2257" s="308" t="str">
        <f>IFERROR(__xludf.DUMMYFUNCTION("""COMPUTED_VALUE""")," K")</f>
        <v> K</v>
      </c>
      <c r="F2257" s="309" t="s">
        <v>34</v>
      </c>
      <c r="G2257" s="308" t="s">
        <v>9255</v>
      </c>
      <c r="H2257" s="308" t="s">
        <v>9256</v>
      </c>
      <c r="I2257" s="314">
        <v>40842.0</v>
      </c>
      <c r="J2257" s="319">
        <f>IFERROR(__xludf.DUMMYFUNCTION("SPLIT(I2257,""/"")"),26.0)</f>
        <v>26</v>
      </c>
      <c r="K2257" s="308">
        <f>IFERROR(__xludf.DUMMYFUNCTION("""COMPUTED_VALUE"""),10.0)</f>
        <v>10</v>
      </c>
      <c r="L2257" s="308">
        <f>IFERROR(__xludf.DUMMYFUNCTION("""COMPUTED_VALUE"""),2011.0)</f>
        <v>2011</v>
      </c>
      <c r="M2257" s="308" t="s">
        <v>9257</v>
      </c>
      <c r="N2257" s="308"/>
      <c r="O2257" s="308" t="s">
        <v>9258</v>
      </c>
      <c r="P2257" s="308" t="s">
        <v>9259</v>
      </c>
      <c r="Q2257" s="308"/>
      <c r="R2257" s="308"/>
      <c r="S2257" s="308" t="s">
        <v>81</v>
      </c>
      <c r="T2257" s="308" t="s">
        <v>34264</v>
      </c>
      <c r="U2257" s="308" t="s">
        <v>9260</v>
      </c>
      <c r="V2257" s="312"/>
    </row>
    <row r="2258">
      <c r="A2258" s="308">
        <v>2257.0</v>
      </c>
      <c r="B2258" s="308"/>
      <c r="C2258" s="308" t="s">
        <v>9261</v>
      </c>
      <c r="D2258" s="308">
        <f>IFERROR(__xludf.DUMMYFUNCTION("SPLIT(C2258,""-"")"),2278.0)</f>
        <v>2278</v>
      </c>
      <c r="E2258" s="308" t="str">
        <f>IFERROR(__xludf.DUMMYFUNCTION("""COMPUTED_VALUE""")," S")</f>
        <v> S</v>
      </c>
      <c r="F2258" s="312" t="s">
        <v>39</v>
      </c>
      <c r="G2258" s="308" t="s">
        <v>9262</v>
      </c>
      <c r="H2258" s="308" t="s">
        <v>9263</v>
      </c>
      <c r="I2258" s="314">
        <v>41613.0</v>
      </c>
      <c r="J2258" s="319">
        <f>IFERROR(__xludf.DUMMYFUNCTION("SPLIT(I2258,""/"")"),5.0)</f>
        <v>5</v>
      </c>
      <c r="K2258" s="308">
        <f>IFERROR(__xludf.DUMMYFUNCTION("""COMPUTED_VALUE"""),12.0)</f>
        <v>12</v>
      </c>
      <c r="L2258" s="308">
        <f>IFERROR(__xludf.DUMMYFUNCTION("""COMPUTED_VALUE"""),2013.0)</f>
        <v>2013</v>
      </c>
      <c r="M2258" s="308" t="s">
        <v>9264</v>
      </c>
      <c r="N2258" s="308"/>
      <c r="O2258" s="308" t="s">
        <v>9265</v>
      </c>
      <c r="P2258" s="308" t="s">
        <v>622</v>
      </c>
      <c r="Q2258" s="308"/>
      <c r="R2258" s="308"/>
      <c r="S2258" s="308" t="s">
        <v>49</v>
      </c>
      <c r="T2258" s="308" t="s">
        <v>34409</v>
      </c>
      <c r="U2258" s="308"/>
      <c r="V2258" s="312"/>
    </row>
    <row r="2259">
      <c r="A2259" s="308">
        <v>2258.0</v>
      </c>
      <c r="B2259" s="308"/>
      <c r="C2259" s="308" t="s">
        <v>9266</v>
      </c>
      <c r="D2259" s="308">
        <f>IFERROR(__xludf.DUMMYFUNCTION("SPLIT(C2259,""-"")"),2279.0)</f>
        <v>2279</v>
      </c>
      <c r="E2259" s="308" t="str">
        <f>IFERROR(__xludf.DUMMYFUNCTION("""COMPUTED_VALUE""")," K")</f>
        <v> K</v>
      </c>
      <c r="F2259" s="309" t="s">
        <v>34</v>
      </c>
      <c r="G2259" s="308"/>
      <c r="H2259" s="308" t="s">
        <v>9267</v>
      </c>
      <c r="I2259" s="322"/>
      <c r="J2259" s="319"/>
      <c r="K2259" s="308"/>
      <c r="L2259" s="311" t="s">
        <v>79</v>
      </c>
      <c r="M2259" s="308" t="s">
        <v>9268</v>
      </c>
      <c r="N2259" s="308"/>
      <c r="O2259" s="308" t="s">
        <v>635</v>
      </c>
      <c r="P2259" s="308" t="s">
        <v>9269</v>
      </c>
      <c r="Q2259" s="308"/>
      <c r="R2259" s="308"/>
      <c r="S2259" s="308" t="s">
        <v>81</v>
      </c>
      <c r="T2259" s="308" t="s">
        <v>34264</v>
      </c>
      <c r="U2259" s="308"/>
      <c r="V2259" s="312"/>
    </row>
    <row r="2260">
      <c r="A2260" s="308">
        <v>2259.0</v>
      </c>
      <c r="B2260" s="308"/>
      <c r="C2260" s="308" t="s">
        <v>9270</v>
      </c>
      <c r="D2260" s="308">
        <f>IFERROR(__xludf.DUMMYFUNCTION("SPLIT(C2260,""-"")"),2280.0)</f>
        <v>2280</v>
      </c>
      <c r="E2260" s="308" t="str">
        <f>IFERROR(__xludf.DUMMYFUNCTION("""COMPUTED_VALUE""")," P")</f>
        <v> P</v>
      </c>
      <c r="F2260" s="312" t="s">
        <v>37</v>
      </c>
      <c r="G2260" s="308"/>
      <c r="H2260" s="308" t="s">
        <v>9271</v>
      </c>
      <c r="I2260" s="314">
        <v>41946.0</v>
      </c>
      <c r="J2260" s="319">
        <f>IFERROR(__xludf.DUMMYFUNCTION("SPLIT(I2260,""/"")"),3.0)</f>
        <v>3</v>
      </c>
      <c r="K2260" s="308">
        <f>IFERROR(__xludf.DUMMYFUNCTION("""COMPUTED_VALUE"""),11.0)</f>
        <v>11</v>
      </c>
      <c r="L2260" s="308">
        <f>IFERROR(__xludf.DUMMYFUNCTION("""COMPUTED_VALUE"""),2014.0)</f>
        <v>2014</v>
      </c>
      <c r="M2260" s="308" t="s">
        <v>9272</v>
      </c>
      <c r="N2260" s="308"/>
      <c r="O2260" s="308" t="s">
        <v>36599</v>
      </c>
      <c r="P2260" s="308" t="s">
        <v>9274</v>
      </c>
      <c r="Q2260" s="308"/>
      <c r="R2260" s="308"/>
      <c r="S2260" s="308" t="s">
        <v>81</v>
      </c>
      <c r="T2260" s="308" t="s">
        <v>63</v>
      </c>
      <c r="U2260" s="308"/>
      <c r="V2260" s="312"/>
    </row>
    <row r="2261">
      <c r="A2261" s="308">
        <v>2260.0</v>
      </c>
      <c r="B2261" s="308"/>
      <c r="C2261" s="308" t="s">
        <v>9275</v>
      </c>
      <c r="D2261" s="308">
        <f>IFERROR(__xludf.DUMMYFUNCTION("SPLIT(C2261,""-"")"),2281.0)</f>
        <v>2281</v>
      </c>
      <c r="E2261" s="308" t="str">
        <f>IFERROR(__xludf.DUMMYFUNCTION("""COMPUTED_VALUE"""),"B")</f>
        <v>B</v>
      </c>
      <c r="F2261" s="315" t="s">
        <v>26</v>
      </c>
      <c r="G2261" s="308"/>
      <c r="H2261" s="308" t="s">
        <v>9276</v>
      </c>
      <c r="I2261" s="314">
        <v>41716.0</v>
      </c>
      <c r="J2261" s="319">
        <f>IFERROR(__xludf.DUMMYFUNCTION("SPLIT(I2261,""/"")"),18.0)</f>
        <v>18</v>
      </c>
      <c r="K2261" s="308">
        <f>IFERROR(__xludf.DUMMYFUNCTION("""COMPUTED_VALUE"""),3.0)</f>
        <v>3</v>
      </c>
      <c r="L2261" s="308">
        <f>IFERROR(__xludf.DUMMYFUNCTION("""COMPUTED_VALUE"""),2014.0)</f>
        <v>2014</v>
      </c>
      <c r="M2261" s="308" t="s">
        <v>9277</v>
      </c>
      <c r="N2261" s="308"/>
      <c r="O2261" s="308" t="s">
        <v>36600</v>
      </c>
      <c r="P2261" s="308" t="s">
        <v>36601</v>
      </c>
      <c r="Q2261" s="308"/>
      <c r="R2261" s="308"/>
      <c r="S2261" s="308" t="s">
        <v>100</v>
      </c>
      <c r="T2261" s="311" t="s">
        <v>34208</v>
      </c>
      <c r="U2261" s="308" t="s">
        <v>27</v>
      </c>
      <c r="V2261" s="312"/>
    </row>
    <row r="2262">
      <c r="A2262" s="308">
        <v>2261.0</v>
      </c>
      <c r="B2262" s="308"/>
      <c r="C2262" s="308" t="s">
        <v>9280</v>
      </c>
      <c r="D2262" s="308">
        <f>IFERROR(__xludf.DUMMYFUNCTION("SPLIT(C2262,""-"")"),2282.0)</f>
        <v>2282</v>
      </c>
      <c r="E2262" s="308" t="str">
        <f>IFERROR(__xludf.DUMMYFUNCTION("""COMPUTED_VALUE""")," I")</f>
        <v> I</v>
      </c>
      <c r="F2262" s="309" t="s">
        <v>31</v>
      </c>
      <c r="G2262" s="308"/>
      <c r="H2262" s="308" t="s">
        <v>9281</v>
      </c>
      <c r="I2262" s="314">
        <v>41895.0</v>
      </c>
      <c r="J2262" s="319">
        <f>IFERROR(__xludf.DUMMYFUNCTION("SPLIT(I2262,""/"")"),13.0)</f>
        <v>13</v>
      </c>
      <c r="K2262" s="308">
        <f>IFERROR(__xludf.DUMMYFUNCTION("""COMPUTED_VALUE"""),9.0)</f>
        <v>9</v>
      </c>
      <c r="L2262" s="308">
        <f>IFERROR(__xludf.DUMMYFUNCTION("""COMPUTED_VALUE"""),2014.0)</f>
        <v>2014</v>
      </c>
      <c r="M2262" s="308" t="s">
        <v>9282</v>
      </c>
      <c r="N2262" s="308"/>
      <c r="O2262" s="308" t="s">
        <v>9283</v>
      </c>
      <c r="P2262" s="308" t="s">
        <v>9284</v>
      </c>
      <c r="Q2262" s="308"/>
      <c r="R2262" s="308"/>
      <c r="S2262" s="308" t="s">
        <v>81</v>
      </c>
      <c r="T2262" s="308" t="s">
        <v>73</v>
      </c>
      <c r="U2262" s="308"/>
      <c r="V2262" s="312"/>
    </row>
    <row r="2263">
      <c r="A2263" s="308">
        <v>2262.0</v>
      </c>
      <c r="B2263" s="308"/>
      <c r="C2263" s="308" t="s">
        <v>9285</v>
      </c>
      <c r="D2263" s="308">
        <f>IFERROR(__xludf.DUMMYFUNCTION("SPLIT(C2263,""-"")"),2283.0)</f>
        <v>2283</v>
      </c>
      <c r="E2263" s="308" t="str">
        <f>IFERROR(__xludf.DUMMYFUNCTION("""COMPUTED_VALUE""")," I")</f>
        <v> I</v>
      </c>
      <c r="F2263" s="309" t="s">
        <v>31</v>
      </c>
      <c r="G2263" s="308"/>
      <c r="H2263" s="308" t="s">
        <v>9286</v>
      </c>
      <c r="I2263" s="314">
        <v>41895.0</v>
      </c>
      <c r="J2263" s="319">
        <f>IFERROR(__xludf.DUMMYFUNCTION("SPLIT(I2263,""/"")"),13.0)</f>
        <v>13</v>
      </c>
      <c r="K2263" s="308">
        <f>IFERROR(__xludf.DUMMYFUNCTION("""COMPUTED_VALUE"""),9.0)</f>
        <v>9</v>
      </c>
      <c r="L2263" s="308">
        <f>IFERROR(__xludf.DUMMYFUNCTION("""COMPUTED_VALUE"""),2014.0)</f>
        <v>2014</v>
      </c>
      <c r="M2263" s="308" t="s">
        <v>9282</v>
      </c>
      <c r="N2263" s="308"/>
      <c r="O2263" s="308" t="s">
        <v>36602</v>
      </c>
      <c r="P2263" s="308" t="s">
        <v>9288</v>
      </c>
      <c r="Q2263" s="308"/>
      <c r="R2263" s="308"/>
      <c r="S2263" s="308" t="s">
        <v>81</v>
      </c>
      <c r="T2263" s="308" t="s">
        <v>73</v>
      </c>
      <c r="U2263" s="308"/>
      <c r="V2263" s="312"/>
    </row>
    <row r="2264">
      <c r="A2264" s="308">
        <v>2263.0</v>
      </c>
      <c r="B2264" s="308"/>
      <c r="C2264" s="308" t="s">
        <v>9289</v>
      </c>
      <c r="D2264" s="308">
        <f>IFERROR(__xludf.DUMMYFUNCTION("SPLIT(C2264,""-"")"),2284.0)</f>
        <v>2284</v>
      </c>
      <c r="E2264" s="308" t="str">
        <f>IFERROR(__xludf.DUMMYFUNCTION("""COMPUTED_VALUE""")," I")</f>
        <v> I</v>
      </c>
      <c r="F2264" s="309" t="s">
        <v>31</v>
      </c>
      <c r="G2264" s="308"/>
      <c r="H2264" s="308" t="s">
        <v>9290</v>
      </c>
      <c r="I2264" s="314">
        <v>41895.0</v>
      </c>
      <c r="J2264" s="319">
        <f>IFERROR(__xludf.DUMMYFUNCTION("SPLIT(I2264,""/"")"),13.0)</f>
        <v>13</v>
      </c>
      <c r="K2264" s="308">
        <f>IFERROR(__xludf.DUMMYFUNCTION("""COMPUTED_VALUE"""),9.0)</f>
        <v>9</v>
      </c>
      <c r="L2264" s="308">
        <f>IFERROR(__xludf.DUMMYFUNCTION("""COMPUTED_VALUE"""),2014.0)</f>
        <v>2014</v>
      </c>
      <c r="M2264" s="308" t="s">
        <v>9282</v>
      </c>
      <c r="N2264" s="308"/>
      <c r="O2264" s="308" t="s">
        <v>36602</v>
      </c>
      <c r="P2264" s="308" t="s">
        <v>9291</v>
      </c>
      <c r="Q2264" s="308"/>
      <c r="R2264" s="308"/>
      <c r="S2264" s="308" t="s">
        <v>81</v>
      </c>
      <c r="T2264" s="308" t="s">
        <v>73</v>
      </c>
      <c r="U2264" s="308"/>
      <c r="V2264" s="312"/>
    </row>
    <row r="2265">
      <c r="A2265" s="308">
        <v>2264.0</v>
      </c>
      <c r="B2265" s="308"/>
      <c r="C2265" s="308" t="s">
        <v>9292</v>
      </c>
      <c r="D2265" s="308">
        <f>IFERROR(__xludf.DUMMYFUNCTION("SPLIT(C2265,""-"")"),2285.0)</f>
        <v>2285</v>
      </c>
      <c r="E2265" s="308" t="str">
        <f>IFERROR(__xludf.DUMMYFUNCTION("""COMPUTED_VALUE""")," S")</f>
        <v> S</v>
      </c>
      <c r="F2265" s="312" t="s">
        <v>39</v>
      </c>
      <c r="G2265" s="308"/>
      <c r="H2265" s="308" t="s">
        <v>9293</v>
      </c>
      <c r="I2265" s="314">
        <v>41948.0</v>
      </c>
      <c r="J2265" s="319">
        <f>IFERROR(__xludf.DUMMYFUNCTION("SPLIT(I2265,""/"")"),5.0)</f>
        <v>5</v>
      </c>
      <c r="K2265" s="308">
        <f>IFERROR(__xludf.DUMMYFUNCTION("""COMPUTED_VALUE"""),11.0)</f>
        <v>11</v>
      </c>
      <c r="L2265" s="308">
        <f>IFERROR(__xludf.DUMMYFUNCTION("""COMPUTED_VALUE"""),2014.0)</f>
        <v>2014</v>
      </c>
      <c r="M2265" s="308" t="s">
        <v>9294</v>
      </c>
      <c r="N2265" s="308"/>
      <c r="O2265" s="308" t="s">
        <v>36602</v>
      </c>
      <c r="P2265" s="308"/>
      <c r="Q2265" s="308"/>
      <c r="R2265" s="308"/>
      <c r="S2265" s="308" t="s">
        <v>79</v>
      </c>
      <c r="T2265" s="308" t="s">
        <v>79</v>
      </c>
      <c r="U2265" s="308"/>
      <c r="V2265" s="312"/>
    </row>
    <row r="2266">
      <c r="A2266" s="308">
        <v>2265.0</v>
      </c>
      <c r="B2266" s="308"/>
      <c r="C2266" s="308" t="s">
        <v>9295</v>
      </c>
      <c r="D2266" s="308">
        <f>IFERROR(__xludf.DUMMYFUNCTION("SPLIT(C2266,""-"")"),2286.0)</f>
        <v>2286</v>
      </c>
      <c r="E2266" s="308" t="str">
        <f>IFERROR(__xludf.DUMMYFUNCTION("""COMPUTED_VALUE""")," K")</f>
        <v> K</v>
      </c>
      <c r="F2266" s="309" t="s">
        <v>34</v>
      </c>
      <c r="G2266" s="308"/>
      <c r="H2266" s="308" t="s">
        <v>9296</v>
      </c>
      <c r="I2266" s="314">
        <v>41277.0</v>
      </c>
      <c r="J2266" s="319">
        <f>IFERROR(__xludf.DUMMYFUNCTION("SPLIT(I2266,""/"")"),3.0)</f>
        <v>3</v>
      </c>
      <c r="K2266" s="308">
        <f>IFERROR(__xludf.DUMMYFUNCTION("""COMPUTED_VALUE"""),1.0)</f>
        <v>1</v>
      </c>
      <c r="L2266" s="308">
        <f>IFERROR(__xludf.DUMMYFUNCTION("""COMPUTED_VALUE"""),2013.0)</f>
        <v>2013</v>
      </c>
      <c r="M2266" s="308" t="s">
        <v>9297</v>
      </c>
      <c r="N2266" s="308"/>
      <c r="O2266" s="308"/>
      <c r="P2266" s="308" t="s">
        <v>9298</v>
      </c>
      <c r="Q2266" s="308"/>
      <c r="R2266" s="308"/>
      <c r="S2266" s="308" t="s">
        <v>81</v>
      </c>
      <c r="T2266" s="308" t="s">
        <v>34264</v>
      </c>
      <c r="U2266" s="308"/>
      <c r="V2266" s="312"/>
    </row>
    <row r="2267">
      <c r="A2267" s="308">
        <v>2266.0</v>
      </c>
      <c r="B2267" s="308"/>
      <c r="C2267" s="308" t="s">
        <v>9299</v>
      </c>
      <c r="D2267" s="308">
        <f>IFERROR(__xludf.DUMMYFUNCTION("SPLIT(C2267,""-"")"),2287.0)</f>
        <v>2287</v>
      </c>
      <c r="E2267" s="308" t="str">
        <f>IFERROR(__xludf.DUMMYFUNCTION("""COMPUTED_VALUE""")," K")</f>
        <v> K</v>
      </c>
      <c r="F2267" s="309" t="s">
        <v>34</v>
      </c>
      <c r="G2267" s="308"/>
      <c r="H2267" s="308" t="s">
        <v>9300</v>
      </c>
      <c r="I2267" s="314">
        <v>41277.0</v>
      </c>
      <c r="J2267" s="319">
        <f>IFERROR(__xludf.DUMMYFUNCTION("SPLIT(I2267,""/"")"),3.0)</f>
        <v>3</v>
      </c>
      <c r="K2267" s="308">
        <f>IFERROR(__xludf.DUMMYFUNCTION("""COMPUTED_VALUE"""),1.0)</f>
        <v>1</v>
      </c>
      <c r="L2267" s="308">
        <f>IFERROR(__xludf.DUMMYFUNCTION("""COMPUTED_VALUE"""),2013.0)</f>
        <v>2013</v>
      </c>
      <c r="M2267" s="308" t="s">
        <v>9297</v>
      </c>
      <c r="N2267" s="308"/>
      <c r="O2267" s="308" t="s">
        <v>635</v>
      </c>
      <c r="P2267" s="308" t="s">
        <v>9298</v>
      </c>
      <c r="Q2267" s="308"/>
      <c r="R2267" s="308"/>
      <c r="S2267" s="308" t="s">
        <v>81</v>
      </c>
      <c r="T2267" s="308" t="s">
        <v>34264</v>
      </c>
      <c r="U2267" s="308"/>
      <c r="V2267" s="312"/>
    </row>
    <row r="2268">
      <c r="A2268" s="308">
        <v>2267.0</v>
      </c>
      <c r="B2268" s="308"/>
      <c r="C2268" s="308" t="s">
        <v>9301</v>
      </c>
      <c r="D2268" s="308">
        <f>IFERROR(__xludf.DUMMYFUNCTION("SPLIT(C2268,""-"")"),2288.0)</f>
        <v>2288</v>
      </c>
      <c r="E2268" s="308" t="str">
        <f>IFERROR(__xludf.DUMMYFUNCTION("""COMPUTED_VALUE""")," K")</f>
        <v> K</v>
      </c>
      <c r="F2268" s="309" t="s">
        <v>34</v>
      </c>
      <c r="G2268" s="308"/>
      <c r="H2268" s="308" t="s">
        <v>9302</v>
      </c>
      <c r="I2268" s="316">
        <v>2008.0</v>
      </c>
      <c r="J2268" s="319"/>
      <c r="K2268" s="308"/>
      <c r="L2268" s="311">
        <v>2008.0</v>
      </c>
      <c r="M2268" s="308" t="s">
        <v>9303</v>
      </c>
      <c r="N2268" s="308"/>
      <c r="O2268" s="308" t="s">
        <v>9304</v>
      </c>
      <c r="P2268" s="308" t="s">
        <v>36603</v>
      </c>
      <c r="Q2268" s="308"/>
      <c r="R2268" s="308"/>
      <c r="S2268" s="308" t="s">
        <v>81</v>
      </c>
      <c r="T2268" s="308" t="s">
        <v>34264</v>
      </c>
      <c r="U2268" s="308" t="s">
        <v>530</v>
      </c>
      <c r="V2268" s="312"/>
    </row>
    <row r="2269">
      <c r="A2269" s="308">
        <v>2268.0</v>
      </c>
      <c r="B2269" s="308"/>
      <c r="C2269" s="308" t="s">
        <v>9306</v>
      </c>
      <c r="D2269" s="308">
        <f>IFERROR(__xludf.DUMMYFUNCTION("SPLIT(C2269,""-"")"),2289.0)</f>
        <v>2289</v>
      </c>
      <c r="E2269" s="308" t="str">
        <f>IFERROR(__xludf.DUMMYFUNCTION("""COMPUTED_VALUE""")," K")</f>
        <v> K</v>
      </c>
      <c r="F2269" s="309" t="s">
        <v>34</v>
      </c>
      <c r="G2269" s="308"/>
      <c r="H2269" s="308" t="s">
        <v>9307</v>
      </c>
      <c r="I2269" s="310">
        <v>39965.0</v>
      </c>
      <c r="J2269" s="319">
        <f>IFERROR(__xludf.DUMMYFUNCTION("SPLIT(I2269,""/"")"),1.0)</f>
        <v>1</v>
      </c>
      <c r="K2269" s="308">
        <f>IFERROR(__xludf.DUMMYFUNCTION("""COMPUTED_VALUE"""),6.0)</f>
        <v>6</v>
      </c>
      <c r="L2269" s="308">
        <f>IFERROR(__xludf.DUMMYFUNCTION("""COMPUTED_VALUE"""),2009.0)</f>
        <v>2009</v>
      </c>
      <c r="M2269" s="308" t="s">
        <v>9308</v>
      </c>
      <c r="N2269" s="308"/>
      <c r="O2269" s="308" t="s">
        <v>9309</v>
      </c>
      <c r="P2269" s="308" t="s">
        <v>36559</v>
      </c>
      <c r="Q2269" s="308"/>
      <c r="R2269" s="308"/>
      <c r="S2269" s="315" t="s">
        <v>100</v>
      </c>
      <c r="T2269" s="311" t="s">
        <v>34208</v>
      </c>
      <c r="U2269" s="308" t="s">
        <v>530</v>
      </c>
      <c r="V2269" s="312"/>
    </row>
    <row r="2270">
      <c r="A2270" s="308">
        <v>2269.0</v>
      </c>
      <c r="B2270" s="308"/>
      <c r="C2270" s="308" t="s">
        <v>9310</v>
      </c>
      <c r="D2270" s="308">
        <f>IFERROR(__xludf.DUMMYFUNCTION("SPLIT(C2270,""-"")"),2290.0)</f>
        <v>2290</v>
      </c>
      <c r="E2270" s="308" t="str">
        <f>IFERROR(__xludf.DUMMYFUNCTION("""COMPUTED_VALUE""")," K")</f>
        <v> K</v>
      </c>
      <c r="F2270" s="309" t="s">
        <v>34</v>
      </c>
      <c r="G2270" s="308"/>
      <c r="H2270" s="308" t="s">
        <v>9311</v>
      </c>
      <c r="I2270" s="316">
        <v>2012.0</v>
      </c>
      <c r="J2270" s="319"/>
      <c r="K2270" s="308"/>
      <c r="L2270" s="311">
        <v>2012.0</v>
      </c>
      <c r="M2270" s="308" t="s">
        <v>9312</v>
      </c>
      <c r="N2270" s="308"/>
      <c r="O2270" s="308" t="s">
        <v>9313</v>
      </c>
      <c r="P2270" s="308" t="s">
        <v>36604</v>
      </c>
      <c r="Q2270" s="308"/>
      <c r="R2270" s="308"/>
      <c r="S2270" s="308" t="s">
        <v>49</v>
      </c>
      <c r="T2270" s="311" t="s">
        <v>51</v>
      </c>
      <c r="U2270" s="308" t="s">
        <v>530</v>
      </c>
      <c r="V2270" s="312"/>
    </row>
    <row r="2271">
      <c r="A2271" s="308">
        <v>2270.0</v>
      </c>
      <c r="B2271" s="308"/>
      <c r="C2271" s="308" t="s">
        <v>9314</v>
      </c>
      <c r="D2271" s="308">
        <f>IFERROR(__xludf.DUMMYFUNCTION("SPLIT(C2271,""-"")"),2291.0)</f>
        <v>2291</v>
      </c>
      <c r="E2271" s="308" t="str">
        <f>IFERROR(__xludf.DUMMYFUNCTION("""COMPUTED_VALUE""")," K")</f>
        <v> K</v>
      </c>
      <c r="F2271" s="309" t="s">
        <v>34</v>
      </c>
      <c r="G2271" s="308"/>
      <c r="H2271" s="308" t="s">
        <v>9315</v>
      </c>
      <c r="I2271" s="314">
        <v>40011.0</v>
      </c>
      <c r="J2271" s="319">
        <f>IFERROR(__xludf.DUMMYFUNCTION("SPLIT(I2271,""/"")"),17.0)</f>
        <v>17</v>
      </c>
      <c r="K2271" s="308">
        <f>IFERROR(__xludf.DUMMYFUNCTION("""COMPUTED_VALUE"""),7.0)</f>
        <v>7</v>
      </c>
      <c r="L2271" s="308">
        <f>IFERROR(__xludf.DUMMYFUNCTION("""COMPUTED_VALUE"""),2009.0)</f>
        <v>2009</v>
      </c>
      <c r="M2271" s="308" t="s">
        <v>9316</v>
      </c>
      <c r="N2271" s="308"/>
      <c r="O2271" s="308" t="s">
        <v>9317</v>
      </c>
      <c r="P2271" s="308" t="s">
        <v>36516</v>
      </c>
      <c r="Q2271" s="308"/>
      <c r="R2271" s="308"/>
      <c r="S2271" s="315" t="s">
        <v>100</v>
      </c>
      <c r="T2271" s="311" t="s">
        <v>34208</v>
      </c>
      <c r="U2271" s="308" t="s">
        <v>530</v>
      </c>
      <c r="V2271" s="312"/>
    </row>
    <row r="2272">
      <c r="A2272" s="308">
        <v>2271.0</v>
      </c>
      <c r="B2272" s="308"/>
      <c r="C2272" s="308" t="s">
        <v>9318</v>
      </c>
      <c r="D2272" s="308">
        <f>IFERROR(__xludf.DUMMYFUNCTION("SPLIT(C2272,""-"")"),2292.0)</f>
        <v>2292</v>
      </c>
      <c r="E2272" s="308" t="str">
        <f>IFERROR(__xludf.DUMMYFUNCTION("""COMPUTED_VALUE""")," K")</f>
        <v> K</v>
      </c>
      <c r="F2272" s="309" t="s">
        <v>34</v>
      </c>
      <c r="G2272" s="308"/>
      <c r="H2272" s="308" t="s">
        <v>9319</v>
      </c>
      <c r="I2272" s="322"/>
      <c r="J2272" s="319"/>
      <c r="K2272" s="308"/>
      <c r="L2272" s="311" t="s">
        <v>79</v>
      </c>
      <c r="M2272" s="308" t="s">
        <v>9320</v>
      </c>
      <c r="N2272" s="308"/>
      <c r="O2272" s="308" t="s">
        <v>635</v>
      </c>
      <c r="P2272" s="308" t="s">
        <v>9321</v>
      </c>
      <c r="Q2272" s="308"/>
      <c r="R2272" s="308"/>
      <c r="S2272" s="308" t="s">
        <v>81</v>
      </c>
      <c r="T2272" s="308" t="s">
        <v>34264</v>
      </c>
      <c r="U2272" s="308"/>
      <c r="V2272" s="312"/>
    </row>
    <row r="2273">
      <c r="A2273" s="308">
        <v>2272.0</v>
      </c>
      <c r="B2273" s="308"/>
      <c r="C2273" s="308" t="s">
        <v>9322</v>
      </c>
      <c r="D2273" s="308">
        <f>IFERROR(__xludf.DUMMYFUNCTION("SPLIT(C2273,""-"")"),2293.0)</f>
        <v>2293</v>
      </c>
      <c r="E2273" s="308" t="str">
        <f>IFERROR(__xludf.DUMMYFUNCTION("""COMPUTED_VALUE""")," S")</f>
        <v> S</v>
      </c>
      <c r="F2273" s="312" t="s">
        <v>39</v>
      </c>
      <c r="G2273" s="308"/>
      <c r="H2273" s="308" t="s">
        <v>9323</v>
      </c>
      <c r="I2273" s="314">
        <v>41791.0</v>
      </c>
      <c r="J2273" s="319">
        <f>IFERROR(__xludf.DUMMYFUNCTION("SPLIT(I2273,""/"")"),1.0)</f>
        <v>1</v>
      </c>
      <c r="K2273" s="308">
        <f>IFERROR(__xludf.DUMMYFUNCTION("""COMPUTED_VALUE"""),6.0)</f>
        <v>6</v>
      </c>
      <c r="L2273" s="308">
        <f>IFERROR(__xludf.DUMMYFUNCTION("""COMPUTED_VALUE"""),2014.0)</f>
        <v>2014</v>
      </c>
      <c r="M2273" s="308" t="s">
        <v>9324</v>
      </c>
      <c r="N2273" s="308"/>
      <c r="O2273" s="308" t="s">
        <v>36605</v>
      </c>
      <c r="P2273" s="308" t="s">
        <v>296</v>
      </c>
      <c r="Q2273" s="308"/>
      <c r="R2273" s="308"/>
      <c r="S2273" s="308" t="s">
        <v>81</v>
      </c>
      <c r="T2273" s="308" t="s">
        <v>75</v>
      </c>
      <c r="U2273" s="308" t="s">
        <v>40</v>
      </c>
      <c r="V2273" s="312"/>
    </row>
    <row r="2274">
      <c r="A2274" s="308">
        <v>2273.0</v>
      </c>
      <c r="B2274" s="308"/>
      <c r="C2274" s="308" t="s">
        <v>9326</v>
      </c>
      <c r="D2274" s="308">
        <f>IFERROR(__xludf.DUMMYFUNCTION("SPLIT(C2274,""-"")"),2294.0)</f>
        <v>2294</v>
      </c>
      <c r="E2274" s="308" t="str">
        <f>IFERROR(__xludf.DUMMYFUNCTION("""COMPUTED_VALUE""")," P")</f>
        <v> P</v>
      </c>
      <c r="F2274" s="312" t="s">
        <v>37</v>
      </c>
      <c r="G2274" s="308"/>
      <c r="H2274" s="308" t="s">
        <v>9327</v>
      </c>
      <c r="I2274" s="314">
        <v>41390.0</v>
      </c>
      <c r="J2274" s="319">
        <f>IFERROR(__xludf.DUMMYFUNCTION("SPLIT(I2274,""/"")"),26.0)</f>
        <v>26</v>
      </c>
      <c r="K2274" s="308">
        <f>IFERROR(__xludf.DUMMYFUNCTION("""COMPUTED_VALUE"""),4.0)</f>
        <v>4</v>
      </c>
      <c r="L2274" s="308">
        <f>IFERROR(__xludf.DUMMYFUNCTION("""COMPUTED_VALUE"""),2013.0)</f>
        <v>2013</v>
      </c>
      <c r="M2274" s="308" t="s">
        <v>9328</v>
      </c>
      <c r="N2274" s="308"/>
      <c r="O2274" s="308" t="s">
        <v>36606</v>
      </c>
      <c r="P2274" s="308" t="s">
        <v>9330</v>
      </c>
      <c r="Q2274" s="308"/>
      <c r="R2274" s="308"/>
      <c r="S2274" s="308" t="s">
        <v>81</v>
      </c>
      <c r="T2274" s="308" t="s">
        <v>75</v>
      </c>
      <c r="U2274" s="308"/>
      <c r="V2274" s="312"/>
    </row>
    <row r="2275">
      <c r="A2275" s="308">
        <v>2274.0</v>
      </c>
      <c r="B2275" s="308"/>
      <c r="C2275" s="308" t="s">
        <v>9331</v>
      </c>
      <c r="D2275" s="308">
        <f>IFERROR(__xludf.DUMMYFUNCTION("SPLIT(C2275,""-"")"),2295.0)</f>
        <v>2295</v>
      </c>
      <c r="E2275" s="308" t="str">
        <f>IFERROR(__xludf.DUMMYFUNCTION("""COMPUTED_VALUE""")," S")</f>
        <v> S</v>
      </c>
      <c r="F2275" s="312" t="s">
        <v>39</v>
      </c>
      <c r="G2275" s="308"/>
      <c r="H2275" s="308" t="s">
        <v>9332</v>
      </c>
      <c r="I2275" s="314">
        <v>41910.0</v>
      </c>
      <c r="J2275" s="319">
        <f>IFERROR(__xludf.DUMMYFUNCTION("SPLIT(I2275,""/"")"),28.0)</f>
        <v>28</v>
      </c>
      <c r="K2275" s="308">
        <f>IFERROR(__xludf.DUMMYFUNCTION("""COMPUTED_VALUE"""),9.0)</f>
        <v>9</v>
      </c>
      <c r="L2275" s="308">
        <f>IFERROR(__xludf.DUMMYFUNCTION("""COMPUTED_VALUE"""),2014.0)</f>
        <v>2014</v>
      </c>
      <c r="M2275" s="308" t="s">
        <v>9333</v>
      </c>
      <c r="N2275" s="308"/>
      <c r="O2275" s="308" t="s">
        <v>635</v>
      </c>
      <c r="P2275" s="308" t="s">
        <v>36607</v>
      </c>
      <c r="Q2275" s="308"/>
      <c r="R2275" s="308"/>
      <c r="S2275" s="308" t="s">
        <v>81</v>
      </c>
      <c r="T2275" s="308" t="s">
        <v>75</v>
      </c>
      <c r="U2275" s="312"/>
      <c r="V2275" s="312"/>
    </row>
    <row r="2276">
      <c r="A2276" s="308">
        <v>2275.0</v>
      </c>
      <c r="B2276" s="308"/>
      <c r="C2276" s="308" t="s">
        <v>9335</v>
      </c>
      <c r="D2276" s="308">
        <f>IFERROR(__xludf.DUMMYFUNCTION("SPLIT(C2276,""-"")"),2296.0)</f>
        <v>2296</v>
      </c>
      <c r="E2276" s="308" t="str">
        <f>IFERROR(__xludf.DUMMYFUNCTION("""COMPUTED_VALUE""")," S")</f>
        <v> S</v>
      </c>
      <c r="F2276" s="312" t="s">
        <v>39</v>
      </c>
      <c r="G2276" s="308" t="s">
        <v>9336</v>
      </c>
      <c r="H2276" s="308" t="s">
        <v>36608</v>
      </c>
      <c r="I2276" s="314">
        <v>41312.0</v>
      </c>
      <c r="J2276" s="319">
        <f>IFERROR(__xludf.DUMMYFUNCTION("SPLIT(I2276,""/"")"),7.0)</f>
        <v>7</v>
      </c>
      <c r="K2276" s="308">
        <f>IFERROR(__xludf.DUMMYFUNCTION("""COMPUTED_VALUE"""),2.0)</f>
        <v>2</v>
      </c>
      <c r="L2276" s="308">
        <f>IFERROR(__xludf.DUMMYFUNCTION("""COMPUTED_VALUE"""),2013.0)</f>
        <v>2013</v>
      </c>
      <c r="M2276" s="308" t="s">
        <v>9338</v>
      </c>
      <c r="N2276" s="308"/>
      <c r="O2276" s="308" t="s">
        <v>36609</v>
      </c>
      <c r="P2276" s="308" t="s">
        <v>36610</v>
      </c>
      <c r="Q2276" s="308"/>
      <c r="R2276" s="312"/>
      <c r="S2276" s="308" t="s">
        <v>81</v>
      </c>
      <c r="T2276" s="308" t="s">
        <v>75</v>
      </c>
      <c r="U2276" s="308"/>
      <c r="V2276" s="312"/>
    </row>
    <row r="2277">
      <c r="A2277" s="308">
        <v>2276.0</v>
      </c>
      <c r="B2277" s="308"/>
      <c r="C2277" s="308" t="s">
        <v>9341</v>
      </c>
      <c r="D2277" s="308">
        <f>IFERROR(__xludf.DUMMYFUNCTION("SPLIT(C2277,""-"")"),2297.0)</f>
        <v>2297</v>
      </c>
      <c r="E2277" s="308" t="str">
        <f>IFERROR(__xludf.DUMMYFUNCTION("""COMPUTED_VALUE""")," S")</f>
        <v> S</v>
      </c>
      <c r="F2277" s="312" t="s">
        <v>39</v>
      </c>
      <c r="G2277" s="308" t="s">
        <v>9342</v>
      </c>
      <c r="H2277" s="308" t="s">
        <v>9343</v>
      </c>
      <c r="I2277" s="314">
        <v>41606.0</v>
      </c>
      <c r="J2277" s="319">
        <f>IFERROR(__xludf.DUMMYFUNCTION("SPLIT(I2277,""/"")"),28.0)</f>
        <v>28</v>
      </c>
      <c r="K2277" s="308">
        <f>IFERROR(__xludf.DUMMYFUNCTION("""COMPUTED_VALUE"""),11.0)</f>
        <v>11</v>
      </c>
      <c r="L2277" s="308">
        <f>IFERROR(__xludf.DUMMYFUNCTION("""COMPUTED_VALUE"""),2013.0)</f>
        <v>2013</v>
      </c>
      <c r="M2277" s="308" t="s">
        <v>9344</v>
      </c>
      <c r="N2277" s="308"/>
      <c r="O2277" s="308" t="s">
        <v>36611</v>
      </c>
      <c r="P2277" s="308" t="s">
        <v>36612</v>
      </c>
      <c r="Q2277" s="308"/>
      <c r="R2277" s="308"/>
      <c r="S2277" s="308" t="s">
        <v>49</v>
      </c>
      <c r="T2277" s="311" t="s">
        <v>57</v>
      </c>
      <c r="U2277" s="308" t="s">
        <v>166</v>
      </c>
      <c r="V2277" s="312"/>
    </row>
    <row r="2278">
      <c r="A2278" s="308">
        <v>2277.0</v>
      </c>
      <c r="B2278" s="308"/>
      <c r="C2278" s="308" t="s">
        <v>9347</v>
      </c>
      <c r="D2278" s="308">
        <f>IFERROR(__xludf.DUMMYFUNCTION("SPLIT(C2278,""-"")"),2298.0)</f>
        <v>2298</v>
      </c>
      <c r="E2278" s="308" t="str">
        <f>IFERROR(__xludf.DUMMYFUNCTION("""COMPUTED_VALUE""")," K")</f>
        <v> K</v>
      </c>
      <c r="F2278" s="309" t="s">
        <v>34</v>
      </c>
      <c r="G2278" s="308"/>
      <c r="H2278" s="308" t="s">
        <v>9348</v>
      </c>
      <c r="I2278" s="316">
        <v>2010.0</v>
      </c>
      <c r="J2278" s="319"/>
      <c r="K2278" s="308"/>
      <c r="L2278" s="311">
        <v>2010.0</v>
      </c>
      <c r="M2278" s="308" t="s">
        <v>36613</v>
      </c>
      <c r="N2278" s="308"/>
      <c r="O2278" s="308" t="s">
        <v>9350</v>
      </c>
      <c r="P2278" s="308" t="s">
        <v>9351</v>
      </c>
      <c r="Q2278" s="308"/>
      <c r="R2278" s="308"/>
      <c r="S2278" s="308" t="s">
        <v>81</v>
      </c>
      <c r="T2278" s="308" t="s">
        <v>34264</v>
      </c>
      <c r="U2278" s="308"/>
      <c r="V2278" s="312"/>
    </row>
    <row r="2279">
      <c r="A2279" s="308">
        <v>2278.0</v>
      </c>
      <c r="B2279" s="308"/>
      <c r="C2279" s="308" t="s">
        <v>36614</v>
      </c>
      <c r="D2279" s="308">
        <f>IFERROR(__xludf.DUMMYFUNCTION("SPLIT(C2279,""-"")"),2299.0)</f>
        <v>2299</v>
      </c>
      <c r="E2279" s="308" t="str">
        <f>IFERROR(__xludf.DUMMYFUNCTION("""COMPUTED_VALUE""")," K
")</f>
        <v> K
</v>
      </c>
      <c r="F2279" s="309" t="s">
        <v>34</v>
      </c>
      <c r="G2279" s="308"/>
      <c r="H2279" s="308" t="s">
        <v>36615</v>
      </c>
      <c r="I2279" s="316">
        <v>2012.0</v>
      </c>
      <c r="J2279" s="319"/>
      <c r="K2279" s="308"/>
      <c r="L2279" s="311">
        <v>2012.0</v>
      </c>
      <c r="M2279" s="308" t="s">
        <v>9354</v>
      </c>
      <c r="N2279" s="308"/>
      <c r="O2279" s="308" t="s">
        <v>9355</v>
      </c>
      <c r="P2279" s="308" t="s">
        <v>36586</v>
      </c>
      <c r="Q2279" s="308"/>
      <c r="R2279" s="308"/>
      <c r="S2279" s="315" t="s">
        <v>100</v>
      </c>
      <c r="T2279" s="311" t="s">
        <v>34208</v>
      </c>
      <c r="U2279" s="308" t="s">
        <v>530</v>
      </c>
      <c r="V2279" s="312"/>
    </row>
    <row r="2280">
      <c r="A2280" s="308">
        <v>2279.0</v>
      </c>
      <c r="B2280" s="308"/>
      <c r="C2280" s="308" t="s">
        <v>9356</v>
      </c>
      <c r="D2280" s="308">
        <f>IFERROR(__xludf.DUMMYFUNCTION("SPLIT(C2280,""-"")"),2300.0)</f>
        <v>2300</v>
      </c>
      <c r="E2280" s="308" t="str">
        <f>IFERROR(__xludf.DUMMYFUNCTION("""COMPUTED_VALUE""")," K")</f>
        <v> K</v>
      </c>
      <c r="F2280" s="309" t="s">
        <v>34</v>
      </c>
      <c r="G2280" s="308"/>
      <c r="H2280" s="308" t="s">
        <v>9357</v>
      </c>
      <c r="I2280" s="314">
        <v>40065.0</v>
      </c>
      <c r="J2280" s="319">
        <f>IFERROR(__xludf.DUMMYFUNCTION("SPLIT(I2280,""/"")"),9.0)</f>
        <v>9</v>
      </c>
      <c r="K2280" s="308">
        <f>IFERROR(__xludf.DUMMYFUNCTION("""COMPUTED_VALUE"""),9.0)</f>
        <v>9</v>
      </c>
      <c r="L2280" s="308">
        <f>IFERROR(__xludf.DUMMYFUNCTION("""COMPUTED_VALUE"""),2009.0)</f>
        <v>2009</v>
      </c>
      <c r="M2280" s="308" t="s">
        <v>9358</v>
      </c>
      <c r="N2280" s="308"/>
      <c r="O2280" s="308" t="s">
        <v>635</v>
      </c>
      <c r="P2280" s="308" t="s">
        <v>9359</v>
      </c>
      <c r="Q2280" s="308"/>
      <c r="R2280" s="308"/>
      <c r="S2280" s="308" t="s">
        <v>81</v>
      </c>
      <c r="T2280" s="308" t="s">
        <v>34264</v>
      </c>
      <c r="U2280" s="308"/>
      <c r="V2280" s="312"/>
    </row>
    <row r="2281">
      <c r="A2281" s="308">
        <v>2280.0</v>
      </c>
      <c r="B2281" s="308"/>
      <c r="C2281" s="308" t="s">
        <v>9360</v>
      </c>
      <c r="D2281" s="308">
        <f>IFERROR(__xludf.DUMMYFUNCTION("SPLIT(C2281,""-"")"),2301.0)</f>
        <v>2301</v>
      </c>
      <c r="E2281" s="308" t="str">
        <f>IFERROR(__xludf.DUMMYFUNCTION("""COMPUTED_VALUE""")," K")</f>
        <v> K</v>
      </c>
      <c r="F2281" s="309" t="s">
        <v>34</v>
      </c>
      <c r="G2281" s="308"/>
      <c r="H2281" s="308" t="s">
        <v>9361</v>
      </c>
      <c r="I2281" s="314">
        <v>40221.0</v>
      </c>
      <c r="J2281" s="319">
        <f>IFERROR(__xludf.DUMMYFUNCTION("SPLIT(I2281,""/"")"),12.0)</f>
        <v>12</v>
      </c>
      <c r="K2281" s="308">
        <f>IFERROR(__xludf.DUMMYFUNCTION("""COMPUTED_VALUE"""),2.0)</f>
        <v>2</v>
      </c>
      <c r="L2281" s="308">
        <f>IFERROR(__xludf.DUMMYFUNCTION("""COMPUTED_VALUE"""),2010.0)</f>
        <v>2010</v>
      </c>
      <c r="M2281" s="308" t="s">
        <v>9362</v>
      </c>
      <c r="N2281" s="308"/>
      <c r="O2281" s="308" t="s">
        <v>635</v>
      </c>
      <c r="P2281" s="308" t="s">
        <v>9363</v>
      </c>
      <c r="Q2281" s="308"/>
      <c r="R2281" s="308"/>
      <c r="S2281" s="308" t="s">
        <v>81</v>
      </c>
      <c r="T2281" s="311" t="s">
        <v>85</v>
      </c>
      <c r="U2281" s="308"/>
      <c r="V2281" s="312"/>
    </row>
    <row r="2282">
      <c r="A2282" s="308">
        <v>2281.0</v>
      </c>
      <c r="B2282" s="308"/>
      <c r="C2282" s="308" t="s">
        <v>9364</v>
      </c>
      <c r="D2282" s="308">
        <f>IFERROR(__xludf.DUMMYFUNCTION("SPLIT(C2282,""-"")"),2302.0)</f>
        <v>2302</v>
      </c>
      <c r="E2282" s="308" t="str">
        <f>IFERROR(__xludf.DUMMYFUNCTION("""COMPUTED_VALUE""")," K")</f>
        <v> K</v>
      </c>
      <c r="F2282" s="309" t="s">
        <v>34</v>
      </c>
      <c r="G2282" s="308"/>
      <c r="H2282" s="308" t="s">
        <v>9365</v>
      </c>
      <c r="I2282" s="314">
        <v>41054.0</v>
      </c>
      <c r="J2282" s="319">
        <f>IFERROR(__xludf.DUMMYFUNCTION("SPLIT(I2282,""/"")"),25.0)</f>
        <v>25</v>
      </c>
      <c r="K2282" s="308">
        <f>IFERROR(__xludf.DUMMYFUNCTION("""COMPUTED_VALUE"""),5.0)</f>
        <v>5</v>
      </c>
      <c r="L2282" s="308">
        <f>IFERROR(__xludf.DUMMYFUNCTION("""COMPUTED_VALUE"""),2012.0)</f>
        <v>2012</v>
      </c>
      <c r="M2282" s="308" t="s">
        <v>9366</v>
      </c>
      <c r="N2282" s="308"/>
      <c r="O2282" s="308" t="s">
        <v>635</v>
      </c>
      <c r="P2282" s="308" t="s">
        <v>9367</v>
      </c>
      <c r="Q2282" s="308"/>
      <c r="R2282" s="308"/>
      <c r="S2282" s="308" t="s">
        <v>81</v>
      </c>
      <c r="T2282" s="308" t="s">
        <v>34264</v>
      </c>
      <c r="U2282" s="308"/>
      <c r="V2282" s="312"/>
    </row>
    <row r="2283">
      <c r="A2283" s="308">
        <v>2282.0</v>
      </c>
      <c r="B2283" s="308"/>
      <c r="C2283" s="308" t="s">
        <v>9368</v>
      </c>
      <c r="D2283" s="308">
        <f>IFERROR(__xludf.DUMMYFUNCTION("SPLIT(C2283,""-"")"),2303.0)</f>
        <v>2303</v>
      </c>
      <c r="E2283" s="308" t="str">
        <f>IFERROR(__xludf.DUMMYFUNCTION("""COMPUTED_VALUE""")," K")</f>
        <v> K</v>
      </c>
      <c r="F2283" s="309" t="s">
        <v>34</v>
      </c>
      <c r="G2283" s="308"/>
      <c r="H2283" s="308" t="s">
        <v>9369</v>
      </c>
      <c r="I2283" s="314">
        <v>40064.0</v>
      </c>
      <c r="J2283" s="319">
        <f>IFERROR(__xludf.DUMMYFUNCTION("SPLIT(I2283,""/"")"),8.0)</f>
        <v>8</v>
      </c>
      <c r="K2283" s="308">
        <f>IFERROR(__xludf.DUMMYFUNCTION("""COMPUTED_VALUE"""),9.0)</f>
        <v>9</v>
      </c>
      <c r="L2283" s="308">
        <f>IFERROR(__xludf.DUMMYFUNCTION("""COMPUTED_VALUE"""),2009.0)</f>
        <v>2009</v>
      </c>
      <c r="M2283" s="308" t="s">
        <v>9370</v>
      </c>
      <c r="N2283" s="308" t="s">
        <v>9371</v>
      </c>
      <c r="O2283" s="308" t="s">
        <v>635</v>
      </c>
      <c r="P2283" s="308" t="s">
        <v>9372</v>
      </c>
      <c r="Q2283" s="308"/>
      <c r="R2283" s="308"/>
      <c r="S2283" s="308" t="s">
        <v>81</v>
      </c>
      <c r="T2283" s="308" t="s">
        <v>34264</v>
      </c>
      <c r="U2283" s="308"/>
      <c r="V2283" s="312"/>
    </row>
    <row r="2284">
      <c r="A2284" s="308">
        <v>2283.0</v>
      </c>
      <c r="B2284" s="308"/>
      <c r="C2284" s="308" t="s">
        <v>9373</v>
      </c>
      <c r="D2284" s="308">
        <f>IFERROR(__xludf.DUMMYFUNCTION("SPLIT(C2284,""-"")"),2304.0)</f>
        <v>2304</v>
      </c>
      <c r="E2284" s="308" t="str">
        <f>IFERROR(__xludf.DUMMYFUNCTION("""COMPUTED_VALUE""")," K")</f>
        <v> K</v>
      </c>
      <c r="F2284" s="309" t="s">
        <v>34</v>
      </c>
      <c r="G2284" s="308"/>
      <c r="H2284" s="308" t="s">
        <v>9374</v>
      </c>
      <c r="I2284" s="316">
        <v>2010.0</v>
      </c>
      <c r="J2284" s="319"/>
      <c r="K2284" s="308"/>
      <c r="L2284" s="311">
        <v>2010.0</v>
      </c>
      <c r="M2284" s="308" t="s">
        <v>9375</v>
      </c>
      <c r="N2284" s="308"/>
      <c r="O2284" s="308" t="s">
        <v>9376</v>
      </c>
      <c r="P2284" s="308" t="s">
        <v>9377</v>
      </c>
      <c r="Q2284" s="308"/>
      <c r="R2284" s="308"/>
      <c r="S2284" s="308" t="s">
        <v>81</v>
      </c>
      <c r="T2284" s="308" t="s">
        <v>34264</v>
      </c>
      <c r="U2284" s="308"/>
      <c r="V2284" s="312"/>
    </row>
    <row r="2285">
      <c r="A2285" s="308">
        <v>2284.0</v>
      </c>
      <c r="B2285" s="308"/>
      <c r="C2285" s="308" t="s">
        <v>9378</v>
      </c>
      <c r="D2285" s="308">
        <f>IFERROR(__xludf.DUMMYFUNCTION("SPLIT(C2285,""-"")"),2305.0)</f>
        <v>2305</v>
      </c>
      <c r="E2285" s="308" t="str">
        <f>IFERROR(__xludf.DUMMYFUNCTION("""COMPUTED_VALUE""")," K")</f>
        <v> K</v>
      </c>
      <c r="F2285" s="309" t="s">
        <v>34</v>
      </c>
      <c r="G2285" s="308"/>
      <c r="H2285" s="308" t="s">
        <v>9379</v>
      </c>
      <c r="I2285" s="314">
        <v>41509.0</v>
      </c>
      <c r="J2285" s="319">
        <f>IFERROR(__xludf.DUMMYFUNCTION("SPLIT(I2285,""/"")"),23.0)</f>
        <v>23</v>
      </c>
      <c r="K2285" s="308">
        <f>IFERROR(__xludf.DUMMYFUNCTION("""COMPUTED_VALUE"""),8.0)</f>
        <v>8</v>
      </c>
      <c r="L2285" s="308">
        <f>IFERROR(__xludf.DUMMYFUNCTION("""COMPUTED_VALUE"""),2013.0)</f>
        <v>2013</v>
      </c>
      <c r="M2285" s="308" t="s">
        <v>9380</v>
      </c>
      <c r="N2285" s="308"/>
      <c r="O2285" s="308" t="s">
        <v>36616</v>
      </c>
      <c r="P2285" s="308" t="s">
        <v>9382</v>
      </c>
      <c r="Q2285" s="308"/>
      <c r="R2285" s="308"/>
      <c r="S2285" s="308" t="s">
        <v>49</v>
      </c>
      <c r="T2285" s="308" t="s">
        <v>51</v>
      </c>
      <c r="U2285" s="308"/>
      <c r="V2285" s="312"/>
    </row>
    <row r="2286">
      <c r="A2286" s="308">
        <v>2285.0</v>
      </c>
      <c r="B2286" s="308"/>
      <c r="C2286" s="308" t="s">
        <v>36617</v>
      </c>
      <c r="D2286" s="308">
        <f>IFERROR(__xludf.DUMMYFUNCTION("SPLIT(C2286,""-"")"),2306.0)</f>
        <v>2306</v>
      </c>
      <c r="E2286" s="308" t="str">
        <f>IFERROR(__xludf.DUMMYFUNCTION("""COMPUTED_VALUE""")," S
")</f>
        <v> S
</v>
      </c>
      <c r="F2286" s="312" t="s">
        <v>39</v>
      </c>
      <c r="G2286" s="308"/>
      <c r="H2286" s="308" t="s">
        <v>9384</v>
      </c>
      <c r="I2286" s="314">
        <v>40981.0</v>
      </c>
      <c r="J2286" s="319">
        <f>IFERROR(__xludf.DUMMYFUNCTION("SPLIT(I2286,""/"")"),13.0)</f>
        <v>13</v>
      </c>
      <c r="K2286" s="308">
        <f>IFERROR(__xludf.DUMMYFUNCTION("""COMPUTED_VALUE"""),3.0)</f>
        <v>3</v>
      </c>
      <c r="L2286" s="308">
        <f>IFERROR(__xludf.DUMMYFUNCTION("""COMPUTED_VALUE"""),2012.0)</f>
        <v>2012</v>
      </c>
      <c r="M2286" s="308" t="s">
        <v>9354</v>
      </c>
      <c r="N2286" s="308"/>
      <c r="O2286" s="308"/>
      <c r="P2286" s="308" t="s">
        <v>622</v>
      </c>
      <c r="Q2286" s="308"/>
      <c r="R2286" s="308" t="s">
        <v>2743</v>
      </c>
      <c r="S2286" s="308" t="s">
        <v>49</v>
      </c>
      <c r="T2286" s="308" t="s">
        <v>34409</v>
      </c>
      <c r="U2286" s="308" t="s">
        <v>166</v>
      </c>
      <c r="V2286" s="312"/>
    </row>
    <row r="2287">
      <c r="A2287" s="308">
        <v>2286.0</v>
      </c>
      <c r="B2287" s="308"/>
      <c r="C2287" s="308" t="s">
        <v>9385</v>
      </c>
      <c r="D2287" s="308">
        <f>IFERROR(__xludf.DUMMYFUNCTION("SPLIT(C2287,""-"")"),2307.0)</f>
        <v>2307</v>
      </c>
      <c r="E2287" s="308" t="str">
        <f>IFERROR(__xludf.DUMMYFUNCTION("""COMPUTED_VALUE""")," K")</f>
        <v> K</v>
      </c>
      <c r="F2287" s="309" t="s">
        <v>34</v>
      </c>
      <c r="G2287" s="308"/>
      <c r="H2287" s="308" t="s">
        <v>9386</v>
      </c>
      <c r="I2287" s="314">
        <v>41285.0</v>
      </c>
      <c r="J2287" s="319">
        <f>IFERROR(__xludf.DUMMYFUNCTION("SPLIT(I2287,""/"")"),11.0)</f>
        <v>11</v>
      </c>
      <c r="K2287" s="308">
        <f>IFERROR(__xludf.DUMMYFUNCTION("""COMPUTED_VALUE"""),1.0)</f>
        <v>1</v>
      </c>
      <c r="L2287" s="308">
        <f>IFERROR(__xludf.DUMMYFUNCTION("""COMPUTED_VALUE"""),2013.0)</f>
        <v>2013</v>
      </c>
      <c r="M2287" s="308" t="s">
        <v>9387</v>
      </c>
      <c r="N2287" s="308"/>
      <c r="O2287" s="308" t="s">
        <v>635</v>
      </c>
      <c r="P2287" s="308" t="s">
        <v>9388</v>
      </c>
      <c r="Q2287" s="308"/>
      <c r="R2287" s="308"/>
      <c r="S2287" s="308" t="s">
        <v>81</v>
      </c>
      <c r="T2287" s="308" t="s">
        <v>34264</v>
      </c>
      <c r="U2287" s="308"/>
      <c r="V2287" s="312"/>
    </row>
    <row r="2288">
      <c r="A2288" s="308">
        <v>2287.0</v>
      </c>
      <c r="B2288" s="308"/>
      <c r="C2288" s="308" t="s">
        <v>9389</v>
      </c>
      <c r="D2288" s="308">
        <f>IFERROR(__xludf.DUMMYFUNCTION("SPLIT(C2288,""-"")"),2308.0)</f>
        <v>2308</v>
      </c>
      <c r="E2288" s="308" t="str">
        <f>IFERROR(__xludf.DUMMYFUNCTION("""COMPUTED_VALUE""")," K")</f>
        <v> K</v>
      </c>
      <c r="F2288" s="309" t="s">
        <v>34</v>
      </c>
      <c r="G2288" s="308"/>
      <c r="H2288" s="308" t="s">
        <v>9390</v>
      </c>
      <c r="I2288" s="314">
        <v>41394.0</v>
      </c>
      <c r="J2288" s="319">
        <f>IFERROR(__xludf.DUMMYFUNCTION("SPLIT(I2288,""/"")"),30.0)</f>
        <v>30</v>
      </c>
      <c r="K2288" s="308">
        <f>IFERROR(__xludf.DUMMYFUNCTION("""COMPUTED_VALUE"""),4.0)</f>
        <v>4</v>
      </c>
      <c r="L2288" s="308">
        <f>IFERROR(__xludf.DUMMYFUNCTION("""COMPUTED_VALUE"""),2013.0)</f>
        <v>2013</v>
      </c>
      <c r="M2288" s="308" t="s">
        <v>9391</v>
      </c>
      <c r="N2288" s="308"/>
      <c r="O2288" s="308" t="s">
        <v>9392</v>
      </c>
      <c r="P2288" s="308" t="s">
        <v>9393</v>
      </c>
      <c r="Q2288" s="308"/>
      <c r="R2288" s="308"/>
      <c r="S2288" s="308" t="s">
        <v>81</v>
      </c>
      <c r="T2288" s="308" t="s">
        <v>34264</v>
      </c>
      <c r="U2288" s="308"/>
      <c r="V2288" s="312"/>
    </row>
    <row r="2289">
      <c r="A2289" s="308">
        <v>2288.0</v>
      </c>
      <c r="B2289" s="308"/>
      <c r="C2289" s="308" t="s">
        <v>9394</v>
      </c>
      <c r="D2289" s="308">
        <f>IFERROR(__xludf.DUMMYFUNCTION("SPLIT(C2289,""-"")"),2309.0)</f>
        <v>2309</v>
      </c>
      <c r="E2289" s="308" t="str">
        <f>IFERROR(__xludf.DUMMYFUNCTION("""COMPUTED_VALUE""")," P")</f>
        <v> P</v>
      </c>
      <c r="F2289" s="312" t="s">
        <v>37</v>
      </c>
      <c r="G2289" s="308"/>
      <c r="H2289" s="308" t="s">
        <v>9395</v>
      </c>
      <c r="I2289" s="314">
        <v>41820.0</v>
      </c>
      <c r="J2289" s="319">
        <f>IFERROR(__xludf.DUMMYFUNCTION("SPLIT(I2289,""/"")"),30.0)</f>
        <v>30</v>
      </c>
      <c r="K2289" s="308">
        <f>IFERROR(__xludf.DUMMYFUNCTION("""COMPUTED_VALUE"""),6.0)</f>
        <v>6</v>
      </c>
      <c r="L2289" s="308">
        <f>IFERROR(__xludf.DUMMYFUNCTION("""COMPUTED_VALUE"""),2014.0)</f>
        <v>2014</v>
      </c>
      <c r="M2289" s="308" t="s">
        <v>9396</v>
      </c>
      <c r="N2289" s="308"/>
      <c r="O2289" s="308" t="s">
        <v>36618</v>
      </c>
      <c r="P2289" s="308" t="s">
        <v>9398</v>
      </c>
      <c r="Q2289" s="308"/>
      <c r="R2289" s="308"/>
      <c r="S2289" s="308" t="s">
        <v>81</v>
      </c>
      <c r="T2289" s="311" t="s">
        <v>96</v>
      </c>
      <c r="U2289" s="308"/>
      <c r="V2289" s="312"/>
    </row>
    <row r="2290">
      <c r="A2290" s="308">
        <v>2289.0</v>
      </c>
      <c r="B2290" s="308"/>
      <c r="C2290" s="308" t="s">
        <v>9399</v>
      </c>
      <c r="D2290" s="308">
        <f>IFERROR(__xludf.DUMMYFUNCTION("SPLIT(C2290,""-"")"),2310.0)</f>
        <v>2310</v>
      </c>
      <c r="E2290" s="308" t="str">
        <f>IFERROR(__xludf.DUMMYFUNCTION("""COMPUTED_VALUE""")," K")</f>
        <v> K</v>
      </c>
      <c r="F2290" s="309" t="s">
        <v>34</v>
      </c>
      <c r="G2290" s="308"/>
      <c r="H2290" s="308" t="s">
        <v>9400</v>
      </c>
      <c r="I2290" s="314">
        <v>41914.0</v>
      </c>
      <c r="J2290" s="319">
        <f>IFERROR(__xludf.DUMMYFUNCTION("SPLIT(I2290,""/"")"),2.0)</f>
        <v>2</v>
      </c>
      <c r="K2290" s="308">
        <f>IFERROR(__xludf.DUMMYFUNCTION("""COMPUTED_VALUE"""),10.0)</f>
        <v>10</v>
      </c>
      <c r="L2290" s="308">
        <f>IFERROR(__xludf.DUMMYFUNCTION("""COMPUTED_VALUE"""),2014.0)</f>
        <v>2014</v>
      </c>
      <c r="M2290" s="308" t="s">
        <v>9401</v>
      </c>
      <c r="N2290" s="308"/>
      <c r="O2290" s="308" t="s">
        <v>36619</v>
      </c>
      <c r="P2290" s="308" t="s">
        <v>36620</v>
      </c>
      <c r="Q2290" s="308"/>
      <c r="R2290" s="308"/>
      <c r="S2290" s="315" t="s">
        <v>100</v>
      </c>
      <c r="T2290" s="311" t="s">
        <v>34208</v>
      </c>
      <c r="U2290" s="308" t="s">
        <v>125</v>
      </c>
      <c r="V2290" s="312"/>
    </row>
    <row r="2291">
      <c r="A2291" s="308">
        <v>2290.0</v>
      </c>
      <c r="B2291" s="308"/>
      <c r="C2291" s="308" t="s">
        <v>9404</v>
      </c>
      <c r="D2291" s="308">
        <f>IFERROR(__xludf.DUMMYFUNCTION("SPLIT(C2291,""-"")"),2311.0)</f>
        <v>2311</v>
      </c>
      <c r="E2291" s="308" t="str">
        <f>IFERROR(__xludf.DUMMYFUNCTION("""COMPUTED_VALUE""")," K")</f>
        <v> K</v>
      </c>
      <c r="F2291" s="309" t="s">
        <v>34</v>
      </c>
      <c r="G2291" s="308"/>
      <c r="H2291" s="308" t="s">
        <v>9405</v>
      </c>
      <c r="I2291" s="314">
        <v>40643.0</v>
      </c>
      <c r="J2291" s="319">
        <f>IFERROR(__xludf.DUMMYFUNCTION("SPLIT(I2291,""/"")"),10.0)</f>
        <v>10</v>
      </c>
      <c r="K2291" s="308">
        <f>IFERROR(__xludf.DUMMYFUNCTION("""COMPUTED_VALUE"""),4.0)</f>
        <v>4</v>
      </c>
      <c r="L2291" s="308">
        <f>IFERROR(__xludf.DUMMYFUNCTION("""COMPUTED_VALUE"""),2011.0)</f>
        <v>2011</v>
      </c>
      <c r="M2291" s="308" t="s">
        <v>9406</v>
      </c>
      <c r="N2291" s="308" t="s">
        <v>9407</v>
      </c>
      <c r="O2291" s="308" t="s">
        <v>9408</v>
      </c>
      <c r="P2291" s="308" t="s">
        <v>36621</v>
      </c>
      <c r="Q2291" s="308"/>
      <c r="R2291" s="308"/>
      <c r="S2291" s="315" t="s">
        <v>100</v>
      </c>
      <c r="T2291" s="311" t="s">
        <v>34208</v>
      </c>
      <c r="U2291" s="308" t="s">
        <v>530</v>
      </c>
      <c r="V2291" s="312"/>
    </row>
    <row r="2292">
      <c r="A2292" s="308">
        <v>2291.0</v>
      </c>
      <c r="B2292" s="308"/>
      <c r="C2292" s="308" t="s">
        <v>9409</v>
      </c>
      <c r="D2292" s="308">
        <f>IFERROR(__xludf.DUMMYFUNCTION("SPLIT(C2292,""-"")"),2312.0)</f>
        <v>2312</v>
      </c>
      <c r="E2292" s="308" t="str">
        <f>IFERROR(__xludf.DUMMYFUNCTION("""COMPUTED_VALUE""")," K")</f>
        <v> K</v>
      </c>
      <c r="F2292" s="309" t="s">
        <v>34</v>
      </c>
      <c r="G2292" s="308"/>
      <c r="H2292" s="308" t="s">
        <v>9410</v>
      </c>
      <c r="I2292" s="314">
        <v>41228.0</v>
      </c>
      <c r="J2292" s="319">
        <f>IFERROR(__xludf.DUMMYFUNCTION("SPLIT(I2292,""/"")"),15.0)</f>
        <v>15</v>
      </c>
      <c r="K2292" s="308">
        <f>IFERROR(__xludf.DUMMYFUNCTION("""COMPUTED_VALUE"""),11.0)</f>
        <v>11</v>
      </c>
      <c r="L2292" s="308">
        <f>IFERROR(__xludf.DUMMYFUNCTION("""COMPUTED_VALUE"""),2012.0)</f>
        <v>2012</v>
      </c>
      <c r="M2292" s="308" t="s">
        <v>9406</v>
      </c>
      <c r="N2292" s="308" t="s">
        <v>9411</v>
      </c>
      <c r="O2292" s="308" t="s">
        <v>9408</v>
      </c>
      <c r="P2292" s="308" t="s">
        <v>3028</v>
      </c>
      <c r="Q2292" s="308"/>
      <c r="R2292" s="308"/>
      <c r="S2292" s="308" t="s">
        <v>81</v>
      </c>
      <c r="T2292" s="308" t="s">
        <v>34264</v>
      </c>
      <c r="U2292" s="308"/>
      <c r="V2292" s="312"/>
    </row>
    <row r="2293">
      <c r="A2293" s="308">
        <v>2292.0</v>
      </c>
      <c r="B2293" s="308"/>
      <c r="C2293" s="308" t="s">
        <v>9412</v>
      </c>
      <c r="D2293" s="308">
        <f>IFERROR(__xludf.DUMMYFUNCTION("SPLIT(C2293,""-"")"),2313.0)</f>
        <v>2313</v>
      </c>
      <c r="E2293" s="308" t="str">
        <f>IFERROR(__xludf.DUMMYFUNCTION("""COMPUTED_VALUE""")," K")</f>
        <v> K</v>
      </c>
      <c r="F2293" s="309" t="s">
        <v>34</v>
      </c>
      <c r="G2293" s="308"/>
      <c r="H2293" s="308" t="s">
        <v>9413</v>
      </c>
      <c r="I2293" s="314">
        <v>41228.0</v>
      </c>
      <c r="J2293" s="319">
        <f>IFERROR(__xludf.DUMMYFUNCTION("SPLIT(I2293,""/"")"),15.0)</f>
        <v>15</v>
      </c>
      <c r="K2293" s="308">
        <f>IFERROR(__xludf.DUMMYFUNCTION("""COMPUTED_VALUE"""),11.0)</f>
        <v>11</v>
      </c>
      <c r="L2293" s="308">
        <f>IFERROR(__xludf.DUMMYFUNCTION("""COMPUTED_VALUE"""),2012.0)</f>
        <v>2012</v>
      </c>
      <c r="M2293" s="308" t="s">
        <v>9406</v>
      </c>
      <c r="N2293" s="308" t="s">
        <v>439</v>
      </c>
      <c r="O2293" s="308" t="s">
        <v>9408</v>
      </c>
      <c r="P2293" s="308" t="s">
        <v>36586</v>
      </c>
      <c r="Q2293" s="308"/>
      <c r="R2293" s="308"/>
      <c r="S2293" s="315" t="s">
        <v>100</v>
      </c>
      <c r="T2293" s="311" t="s">
        <v>34208</v>
      </c>
      <c r="U2293" s="308" t="s">
        <v>530</v>
      </c>
      <c r="V2293" s="312"/>
    </row>
    <row r="2294">
      <c r="A2294" s="308">
        <v>2293.0</v>
      </c>
      <c r="B2294" s="308"/>
      <c r="C2294" s="308" t="s">
        <v>9414</v>
      </c>
      <c r="D2294" s="308">
        <f>IFERROR(__xludf.DUMMYFUNCTION("SPLIT(C2294,""-"")"),2314.0)</f>
        <v>2314</v>
      </c>
      <c r="E2294" s="308" t="str">
        <f>IFERROR(__xludf.DUMMYFUNCTION("""COMPUTED_VALUE""")," S")</f>
        <v> S</v>
      </c>
      <c r="F2294" s="312" t="s">
        <v>39</v>
      </c>
      <c r="G2294" s="308" t="s">
        <v>9415</v>
      </c>
      <c r="H2294" s="308" t="s">
        <v>9416</v>
      </c>
      <c r="I2294" s="314">
        <v>41275.0</v>
      </c>
      <c r="J2294" s="319">
        <f>IFERROR(__xludf.DUMMYFUNCTION("SPLIT(I2294,""/"")"),1.0)</f>
        <v>1</v>
      </c>
      <c r="K2294" s="308">
        <f>IFERROR(__xludf.DUMMYFUNCTION("""COMPUTED_VALUE"""),1.0)</f>
        <v>1</v>
      </c>
      <c r="L2294" s="308">
        <f>IFERROR(__xludf.DUMMYFUNCTION("""COMPUTED_VALUE"""),2013.0)</f>
        <v>2013</v>
      </c>
      <c r="M2294" s="308" t="s">
        <v>9417</v>
      </c>
      <c r="N2294" s="308"/>
      <c r="O2294" s="308" t="s">
        <v>635</v>
      </c>
      <c r="P2294" s="308" t="s">
        <v>2675</v>
      </c>
      <c r="Q2294" s="308"/>
      <c r="R2294" s="308"/>
      <c r="S2294" s="308" t="s">
        <v>49</v>
      </c>
      <c r="T2294" s="308" t="s">
        <v>51</v>
      </c>
      <c r="U2294" s="308"/>
      <c r="V2294" s="312"/>
    </row>
    <row r="2295">
      <c r="A2295" s="308">
        <v>2294.0</v>
      </c>
      <c r="B2295" s="308"/>
      <c r="C2295" s="308" t="s">
        <v>9418</v>
      </c>
      <c r="D2295" s="308">
        <f>IFERROR(__xludf.DUMMYFUNCTION("SPLIT(C2295,""-"")"),2315.0)</f>
        <v>2315</v>
      </c>
      <c r="E2295" s="308" t="str">
        <f>IFERROR(__xludf.DUMMYFUNCTION("""COMPUTED_VALUE""")," S")</f>
        <v> S</v>
      </c>
      <c r="F2295" s="312" t="s">
        <v>39</v>
      </c>
      <c r="G2295" s="308" t="s">
        <v>9419</v>
      </c>
      <c r="H2295" s="308" t="s">
        <v>9420</v>
      </c>
      <c r="I2295" s="314">
        <v>41661.0</v>
      </c>
      <c r="J2295" s="319">
        <f>IFERROR(__xludf.DUMMYFUNCTION("SPLIT(I2295,""/"")"),22.0)</f>
        <v>22</v>
      </c>
      <c r="K2295" s="308">
        <f>IFERROR(__xludf.DUMMYFUNCTION("""COMPUTED_VALUE"""),1.0)</f>
        <v>1</v>
      </c>
      <c r="L2295" s="308">
        <f>IFERROR(__xludf.DUMMYFUNCTION("""COMPUTED_VALUE"""),2014.0)</f>
        <v>2014</v>
      </c>
      <c r="M2295" s="308" t="s">
        <v>9421</v>
      </c>
      <c r="N2295" s="308"/>
      <c r="O2295" s="308"/>
      <c r="P2295" s="308" t="s">
        <v>2675</v>
      </c>
      <c r="Q2295" s="308"/>
      <c r="R2295" s="308"/>
      <c r="S2295" s="308" t="s">
        <v>49</v>
      </c>
      <c r="T2295" s="308" t="s">
        <v>51</v>
      </c>
      <c r="U2295" s="308"/>
      <c r="V2295" s="312"/>
    </row>
    <row r="2296">
      <c r="A2296" s="308">
        <v>2295.0</v>
      </c>
      <c r="B2296" s="308"/>
      <c r="C2296" s="308" t="s">
        <v>9422</v>
      </c>
      <c r="D2296" s="308">
        <f>IFERROR(__xludf.DUMMYFUNCTION("SPLIT(C2296,""-"")"),2316.0)</f>
        <v>2316</v>
      </c>
      <c r="E2296" s="308" t="str">
        <f>IFERROR(__xludf.DUMMYFUNCTION("""COMPUTED_VALUE""")," K")</f>
        <v> K</v>
      </c>
      <c r="F2296" s="309" t="s">
        <v>34</v>
      </c>
      <c r="G2296" s="308" t="s">
        <v>9423</v>
      </c>
      <c r="H2296" s="308" t="s">
        <v>9424</v>
      </c>
      <c r="I2296" s="314">
        <v>41260.0</v>
      </c>
      <c r="J2296" s="319">
        <f>IFERROR(__xludf.DUMMYFUNCTION("SPLIT(I2296,""/"")"),17.0)</f>
        <v>17</v>
      </c>
      <c r="K2296" s="308">
        <f>IFERROR(__xludf.DUMMYFUNCTION("""COMPUTED_VALUE"""),12.0)</f>
        <v>12</v>
      </c>
      <c r="L2296" s="308">
        <f>IFERROR(__xludf.DUMMYFUNCTION("""COMPUTED_VALUE"""),2012.0)</f>
        <v>2012</v>
      </c>
      <c r="M2296" s="308" t="s">
        <v>9425</v>
      </c>
      <c r="N2296" s="308"/>
      <c r="O2296" s="308" t="s">
        <v>36101</v>
      </c>
      <c r="P2296" s="308" t="s">
        <v>9426</v>
      </c>
      <c r="Q2296" s="308"/>
      <c r="R2296" s="308"/>
      <c r="S2296" s="308" t="s">
        <v>81</v>
      </c>
      <c r="T2296" s="308" t="s">
        <v>75</v>
      </c>
      <c r="U2296" s="308"/>
      <c r="V2296" s="312"/>
    </row>
    <row r="2297">
      <c r="A2297" s="308">
        <v>2296.0</v>
      </c>
      <c r="B2297" s="308"/>
      <c r="C2297" s="308" t="s">
        <v>9427</v>
      </c>
      <c r="D2297" s="308">
        <f>IFERROR(__xludf.DUMMYFUNCTION("SPLIT(C2297,""-"")"),2317.0)</f>
        <v>2317</v>
      </c>
      <c r="E2297" s="308" t="str">
        <f>IFERROR(__xludf.DUMMYFUNCTION("""COMPUTED_VALUE""")," K")</f>
        <v> K</v>
      </c>
      <c r="F2297" s="309" t="s">
        <v>34</v>
      </c>
      <c r="G2297" s="308" t="s">
        <v>9428</v>
      </c>
      <c r="H2297" s="308" t="s">
        <v>9429</v>
      </c>
      <c r="I2297" s="316">
        <v>2011.0</v>
      </c>
      <c r="J2297" s="319"/>
      <c r="K2297" s="308"/>
      <c r="L2297" s="311">
        <v>2011.0</v>
      </c>
      <c r="M2297" s="308" t="s">
        <v>9430</v>
      </c>
      <c r="N2297" s="308"/>
      <c r="O2297" s="308" t="s">
        <v>36101</v>
      </c>
      <c r="P2297" s="308" t="s">
        <v>9431</v>
      </c>
      <c r="Q2297" s="308"/>
      <c r="R2297" s="308"/>
      <c r="S2297" s="308" t="s">
        <v>81</v>
      </c>
      <c r="T2297" s="308" t="s">
        <v>34264</v>
      </c>
      <c r="U2297" s="308"/>
      <c r="V2297" s="312"/>
    </row>
    <row r="2298">
      <c r="A2298" s="308">
        <v>2297.0</v>
      </c>
      <c r="B2298" s="308"/>
      <c r="C2298" s="308" t="s">
        <v>9432</v>
      </c>
      <c r="D2298" s="308">
        <f>IFERROR(__xludf.DUMMYFUNCTION("SPLIT(C2298,""-"")"),2318.0)</f>
        <v>2318</v>
      </c>
      <c r="E2298" s="308" t="str">
        <f>IFERROR(__xludf.DUMMYFUNCTION("""COMPUTED_VALUE""")," K")</f>
        <v> K</v>
      </c>
      <c r="F2298" s="309" t="s">
        <v>34</v>
      </c>
      <c r="G2298" s="308" t="s">
        <v>9428</v>
      </c>
      <c r="H2298" s="308" t="s">
        <v>9433</v>
      </c>
      <c r="I2298" s="316">
        <v>2011.0</v>
      </c>
      <c r="J2298" s="319"/>
      <c r="K2298" s="308"/>
      <c r="L2298" s="311">
        <v>2011.0</v>
      </c>
      <c r="M2298" s="308" t="s">
        <v>9430</v>
      </c>
      <c r="N2298" s="308"/>
      <c r="O2298" s="308" t="s">
        <v>36101</v>
      </c>
      <c r="P2298" s="308" t="s">
        <v>9431</v>
      </c>
      <c r="Q2298" s="308"/>
      <c r="R2298" s="308"/>
      <c r="S2298" s="308" t="s">
        <v>81</v>
      </c>
      <c r="T2298" s="308" t="s">
        <v>34264</v>
      </c>
      <c r="U2298" s="308"/>
      <c r="V2298" s="312"/>
    </row>
    <row r="2299">
      <c r="A2299" s="308">
        <v>2298.0</v>
      </c>
      <c r="B2299" s="308"/>
      <c r="C2299" s="308" t="s">
        <v>9434</v>
      </c>
      <c r="D2299" s="308">
        <f>IFERROR(__xludf.DUMMYFUNCTION("SPLIT(C2299,""-"")"),2319.0)</f>
        <v>2319</v>
      </c>
      <c r="E2299" s="308" t="str">
        <f>IFERROR(__xludf.DUMMYFUNCTION("""COMPUTED_VALUE""")," S")</f>
        <v> S</v>
      </c>
      <c r="F2299" s="312" t="s">
        <v>39</v>
      </c>
      <c r="G2299" s="308" t="s">
        <v>9435</v>
      </c>
      <c r="H2299" s="308" t="s">
        <v>9436</v>
      </c>
      <c r="I2299" s="322"/>
      <c r="J2299" s="319"/>
      <c r="K2299" s="308"/>
      <c r="L2299" s="311" t="s">
        <v>79</v>
      </c>
      <c r="M2299" s="308" t="s">
        <v>9437</v>
      </c>
      <c r="N2299" s="308"/>
      <c r="O2299" s="308" t="s">
        <v>635</v>
      </c>
      <c r="P2299" s="308" t="s">
        <v>9438</v>
      </c>
      <c r="Q2299" s="308"/>
      <c r="R2299" s="308"/>
      <c r="S2299" s="308" t="s">
        <v>81</v>
      </c>
      <c r="T2299" s="311" t="s">
        <v>73</v>
      </c>
      <c r="U2299" s="308"/>
      <c r="V2299" s="312"/>
    </row>
    <row r="2300">
      <c r="A2300" s="308">
        <v>2299.0</v>
      </c>
      <c r="B2300" s="308"/>
      <c r="C2300" s="308" t="s">
        <v>9439</v>
      </c>
      <c r="D2300" s="308">
        <f>IFERROR(__xludf.DUMMYFUNCTION("SPLIT(C2300,""-"")"),2320.0)</f>
        <v>2320</v>
      </c>
      <c r="E2300" s="308" t="str">
        <f>IFERROR(__xludf.DUMMYFUNCTION("""COMPUTED_VALUE""")," K")</f>
        <v> K</v>
      </c>
      <c r="F2300" s="309" t="s">
        <v>34</v>
      </c>
      <c r="G2300" s="308" t="s">
        <v>9440</v>
      </c>
      <c r="H2300" s="308" t="s">
        <v>9441</v>
      </c>
      <c r="I2300" s="314">
        <v>40057.0</v>
      </c>
      <c r="J2300" s="319">
        <f>IFERROR(__xludf.DUMMYFUNCTION("SPLIT(I2300,""/"")"),1.0)</f>
        <v>1</v>
      </c>
      <c r="K2300" s="308">
        <f>IFERROR(__xludf.DUMMYFUNCTION("""COMPUTED_VALUE"""),9.0)</f>
        <v>9</v>
      </c>
      <c r="L2300" s="308">
        <f>IFERROR(__xludf.DUMMYFUNCTION("""COMPUTED_VALUE"""),2009.0)</f>
        <v>2009</v>
      </c>
      <c r="M2300" s="308" t="s">
        <v>9442</v>
      </c>
      <c r="N2300" s="308"/>
      <c r="O2300" s="308" t="s">
        <v>36622</v>
      </c>
      <c r="P2300" s="308" t="s">
        <v>36546</v>
      </c>
      <c r="Q2300" s="308"/>
      <c r="R2300" s="308"/>
      <c r="S2300" s="315" t="s">
        <v>100</v>
      </c>
      <c r="T2300" s="311" t="s">
        <v>34208</v>
      </c>
      <c r="U2300" s="308"/>
      <c r="V2300" s="312"/>
    </row>
    <row r="2301">
      <c r="A2301" s="308">
        <v>2300.0</v>
      </c>
      <c r="B2301" s="308"/>
      <c r="C2301" s="308" t="s">
        <v>9444</v>
      </c>
      <c r="D2301" s="308">
        <f>IFERROR(__xludf.DUMMYFUNCTION("SPLIT(C2301,""-"")"),2321.0)</f>
        <v>2321</v>
      </c>
      <c r="E2301" s="308" t="str">
        <f>IFERROR(__xludf.DUMMYFUNCTION("""COMPUTED_VALUE""")," K")</f>
        <v> K</v>
      </c>
      <c r="F2301" s="309" t="s">
        <v>34</v>
      </c>
      <c r="G2301" s="308" t="s">
        <v>9445</v>
      </c>
      <c r="H2301" s="308" t="s">
        <v>9446</v>
      </c>
      <c r="I2301" s="322"/>
      <c r="J2301" s="319"/>
      <c r="K2301" s="308"/>
      <c r="L2301" s="311" t="s">
        <v>79</v>
      </c>
      <c r="M2301" s="308" t="s">
        <v>9447</v>
      </c>
      <c r="N2301" s="308"/>
      <c r="O2301" s="308" t="s">
        <v>635</v>
      </c>
      <c r="P2301" s="308" t="s">
        <v>9448</v>
      </c>
      <c r="Q2301" s="308"/>
      <c r="R2301" s="308"/>
      <c r="S2301" s="308" t="s">
        <v>81</v>
      </c>
      <c r="T2301" s="308" t="s">
        <v>34264</v>
      </c>
      <c r="U2301" s="308"/>
      <c r="V2301" s="312"/>
    </row>
    <row r="2302">
      <c r="A2302" s="308">
        <v>2301.0</v>
      </c>
      <c r="B2302" s="308"/>
      <c r="C2302" s="308" t="s">
        <v>9449</v>
      </c>
      <c r="D2302" s="308">
        <f>IFERROR(__xludf.DUMMYFUNCTION("SPLIT(C2302,""-"")"),2322.0)</f>
        <v>2322</v>
      </c>
      <c r="E2302" s="308" t="str">
        <f>IFERROR(__xludf.DUMMYFUNCTION("""COMPUTED_VALUE""")," K")</f>
        <v> K</v>
      </c>
      <c r="F2302" s="309" t="s">
        <v>34</v>
      </c>
      <c r="G2302" s="308" t="s">
        <v>9450</v>
      </c>
      <c r="H2302" s="308" t="s">
        <v>9451</v>
      </c>
      <c r="I2302" s="322"/>
      <c r="J2302" s="319"/>
      <c r="K2302" s="308"/>
      <c r="L2302" s="311" t="s">
        <v>79</v>
      </c>
      <c r="M2302" s="308" t="s">
        <v>9452</v>
      </c>
      <c r="N2302" s="308"/>
      <c r="O2302" s="308" t="s">
        <v>9453</v>
      </c>
      <c r="P2302" s="308" t="s">
        <v>9454</v>
      </c>
      <c r="Q2302" s="308"/>
      <c r="R2302" s="308"/>
      <c r="S2302" s="308" t="s">
        <v>81</v>
      </c>
      <c r="T2302" s="308" t="s">
        <v>34264</v>
      </c>
      <c r="U2302" s="308"/>
      <c r="V2302" s="308"/>
    </row>
    <row r="2303">
      <c r="A2303" s="308">
        <v>2302.0</v>
      </c>
      <c r="B2303" s="308"/>
      <c r="C2303" s="308" t="s">
        <v>9455</v>
      </c>
      <c r="D2303" s="308">
        <f>IFERROR(__xludf.DUMMYFUNCTION("SPLIT(C2303,""-"")"),2323.0)</f>
        <v>2323</v>
      </c>
      <c r="E2303" s="308" t="str">
        <f>IFERROR(__xludf.DUMMYFUNCTION("""COMPUTED_VALUE""")," S")</f>
        <v> S</v>
      </c>
      <c r="F2303" s="312" t="s">
        <v>39</v>
      </c>
      <c r="G2303" s="308" t="s">
        <v>9456</v>
      </c>
      <c r="H2303" s="308" t="s">
        <v>9457</v>
      </c>
      <c r="I2303" s="314">
        <v>41666.0</v>
      </c>
      <c r="J2303" s="319">
        <f>IFERROR(__xludf.DUMMYFUNCTION("SPLIT(I2303,""/"")"),27.0)</f>
        <v>27</v>
      </c>
      <c r="K2303" s="308">
        <f>IFERROR(__xludf.DUMMYFUNCTION("""COMPUTED_VALUE"""),1.0)</f>
        <v>1</v>
      </c>
      <c r="L2303" s="308">
        <f>IFERROR(__xludf.DUMMYFUNCTION("""COMPUTED_VALUE"""),2014.0)</f>
        <v>2014</v>
      </c>
      <c r="M2303" s="308" t="s">
        <v>9458</v>
      </c>
      <c r="N2303" s="308"/>
      <c r="O2303" s="308" t="s">
        <v>635</v>
      </c>
      <c r="P2303" s="308" t="s">
        <v>9459</v>
      </c>
      <c r="Q2303" s="308"/>
      <c r="R2303" s="308"/>
      <c r="S2303" s="308" t="s">
        <v>81</v>
      </c>
      <c r="T2303" s="308" t="s">
        <v>73</v>
      </c>
      <c r="U2303" s="308"/>
      <c r="V2303" s="312"/>
    </row>
    <row r="2304">
      <c r="A2304" s="308">
        <v>2303.0</v>
      </c>
      <c r="B2304" s="308"/>
      <c r="C2304" s="308" t="s">
        <v>9460</v>
      </c>
      <c r="D2304" s="308">
        <f>IFERROR(__xludf.DUMMYFUNCTION("SPLIT(C2304,""-"")"),2324.0)</f>
        <v>2324</v>
      </c>
      <c r="E2304" s="308" t="str">
        <f>IFERROR(__xludf.DUMMYFUNCTION("""COMPUTED_VALUE""")," S")</f>
        <v> S</v>
      </c>
      <c r="F2304" s="312" t="s">
        <v>39</v>
      </c>
      <c r="G2304" s="308" t="s">
        <v>9461</v>
      </c>
      <c r="H2304" s="308" t="s">
        <v>9462</v>
      </c>
      <c r="I2304" s="314">
        <v>41662.0</v>
      </c>
      <c r="J2304" s="319">
        <f>IFERROR(__xludf.DUMMYFUNCTION("SPLIT(I2304,""/"")"),23.0)</f>
        <v>23</v>
      </c>
      <c r="K2304" s="308">
        <f>IFERROR(__xludf.DUMMYFUNCTION("""COMPUTED_VALUE"""),1.0)</f>
        <v>1</v>
      </c>
      <c r="L2304" s="308">
        <f>IFERROR(__xludf.DUMMYFUNCTION("""COMPUTED_VALUE"""),2014.0)</f>
        <v>2014</v>
      </c>
      <c r="M2304" s="308" t="e">
        <v>#NAME?</v>
      </c>
      <c r="N2304" s="308"/>
      <c r="O2304" s="308" t="s">
        <v>635</v>
      </c>
      <c r="P2304" s="308" t="s">
        <v>36623</v>
      </c>
      <c r="Q2304" s="308"/>
      <c r="R2304" s="308"/>
      <c r="S2304" s="308" t="s">
        <v>81</v>
      </c>
      <c r="T2304" s="308" t="s">
        <v>75</v>
      </c>
      <c r="U2304" s="312"/>
      <c r="V2304" s="312"/>
    </row>
    <row r="2305">
      <c r="A2305" s="308">
        <v>2304.0</v>
      </c>
      <c r="B2305" s="308"/>
      <c r="C2305" s="308" t="s">
        <v>9464</v>
      </c>
      <c r="D2305" s="308">
        <f>IFERROR(__xludf.DUMMYFUNCTION("SPLIT(C2305,""-"")"),2325.0)</f>
        <v>2325</v>
      </c>
      <c r="E2305" s="308" t="str">
        <f>IFERROR(__xludf.DUMMYFUNCTION("""COMPUTED_VALUE""")," S")</f>
        <v> S</v>
      </c>
      <c r="F2305" s="312" t="s">
        <v>39</v>
      </c>
      <c r="G2305" s="308" t="s">
        <v>9465</v>
      </c>
      <c r="H2305" s="308" t="s">
        <v>9466</v>
      </c>
      <c r="I2305" s="314">
        <v>41585.0</v>
      </c>
      <c r="J2305" s="319">
        <f>IFERROR(__xludf.DUMMYFUNCTION("SPLIT(I2305,""/"")"),7.0)</f>
        <v>7</v>
      </c>
      <c r="K2305" s="308">
        <f>IFERROR(__xludf.DUMMYFUNCTION("""COMPUTED_VALUE"""),11.0)</f>
        <v>11</v>
      </c>
      <c r="L2305" s="308">
        <f>IFERROR(__xludf.DUMMYFUNCTION("""COMPUTED_VALUE"""),2013.0)</f>
        <v>2013</v>
      </c>
      <c r="M2305" s="308" t="s">
        <v>36624</v>
      </c>
      <c r="N2305" s="308"/>
      <c r="O2305" s="308" t="s">
        <v>635</v>
      </c>
      <c r="P2305" s="308" t="s">
        <v>36625</v>
      </c>
      <c r="Q2305" s="308"/>
      <c r="R2305" s="308"/>
      <c r="S2305" s="308" t="s">
        <v>81</v>
      </c>
      <c r="T2305" s="308" t="s">
        <v>75</v>
      </c>
      <c r="U2305" s="312"/>
      <c r="V2305" s="312"/>
    </row>
    <row r="2306">
      <c r="A2306" s="308">
        <v>2305.0</v>
      </c>
      <c r="B2306" s="308"/>
      <c r="C2306" s="308" t="s">
        <v>9469</v>
      </c>
      <c r="D2306" s="308">
        <f>IFERROR(__xludf.DUMMYFUNCTION("SPLIT(C2306,""-"")"),2326.0)</f>
        <v>2326</v>
      </c>
      <c r="E2306" s="308" t="str">
        <f>IFERROR(__xludf.DUMMYFUNCTION("""COMPUTED_VALUE""")," S")</f>
        <v> S</v>
      </c>
      <c r="F2306" s="312" t="s">
        <v>39</v>
      </c>
      <c r="G2306" s="308" t="s">
        <v>9470</v>
      </c>
      <c r="H2306" s="308" t="s">
        <v>9471</v>
      </c>
      <c r="I2306" s="314">
        <v>41655.0</v>
      </c>
      <c r="J2306" s="319">
        <f>IFERROR(__xludf.DUMMYFUNCTION("SPLIT(I2306,""/"")"),16.0)</f>
        <v>16</v>
      </c>
      <c r="K2306" s="308">
        <f>IFERROR(__xludf.DUMMYFUNCTION("""COMPUTED_VALUE"""),1.0)</f>
        <v>1</v>
      </c>
      <c r="L2306" s="308">
        <f>IFERROR(__xludf.DUMMYFUNCTION("""COMPUTED_VALUE"""),2014.0)</f>
        <v>2014</v>
      </c>
      <c r="M2306" s="308" t="s">
        <v>36626</v>
      </c>
      <c r="N2306" s="308"/>
      <c r="O2306" s="308" t="s">
        <v>635</v>
      </c>
      <c r="P2306" s="308" t="s">
        <v>9473</v>
      </c>
      <c r="Q2306" s="308"/>
      <c r="R2306" s="308"/>
      <c r="S2306" s="308" t="s">
        <v>81</v>
      </c>
      <c r="T2306" s="308" t="s">
        <v>75</v>
      </c>
      <c r="U2306" s="308"/>
      <c r="V2306" s="312"/>
    </row>
    <row r="2307">
      <c r="A2307" s="308">
        <v>2306.0</v>
      </c>
      <c r="B2307" s="308"/>
      <c r="C2307" s="308" t="s">
        <v>9474</v>
      </c>
      <c r="D2307" s="308">
        <f>IFERROR(__xludf.DUMMYFUNCTION("SPLIT(C2307,""-"")"),2327.0)</f>
        <v>2327</v>
      </c>
      <c r="E2307" s="308" t="str">
        <f>IFERROR(__xludf.DUMMYFUNCTION("""COMPUTED_VALUE""")," K")</f>
        <v> K</v>
      </c>
      <c r="F2307" s="309" t="s">
        <v>34</v>
      </c>
      <c r="G2307" s="308" t="s">
        <v>9475</v>
      </c>
      <c r="H2307" s="308" t="s">
        <v>9476</v>
      </c>
      <c r="I2307" s="314">
        <v>41199.0</v>
      </c>
      <c r="J2307" s="319">
        <f>IFERROR(__xludf.DUMMYFUNCTION("SPLIT(I2307,""/"")"),17.0)</f>
        <v>17</v>
      </c>
      <c r="K2307" s="308">
        <f>IFERROR(__xludf.DUMMYFUNCTION("""COMPUTED_VALUE"""),10.0)</f>
        <v>10</v>
      </c>
      <c r="L2307" s="308">
        <f>IFERROR(__xludf.DUMMYFUNCTION("""COMPUTED_VALUE"""),2012.0)</f>
        <v>2012</v>
      </c>
      <c r="M2307" s="308" t="s">
        <v>9477</v>
      </c>
      <c r="N2307" s="308"/>
      <c r="O2307" s="308" t="s">
        <v>635</v>
      </c>
      <c r="P2307" s="308" t="s">
        <v>9478</v>
      </c>
      <c r="Q2307" s="308"/>
      <c r="R2307" s="308"/>
      <c r="S2307" s="308" t="s">
        <v>81</v>
      </c>
      <c r="T2307" s="308" t="s">
        <v>34264</v>
      </c>
      <c r="U2307" s="308"/>
      <c r="V2307" s="312"/>
    </row>
    <row r="2308">
      <c r="A2308" s="308">
        <v>2307.0</v>
      </c>
      <c r="B2308" s="308"/>
      <c r="C2308" s="308" t="s">
        <v>9479</v>
      </c>
      <c r="D2308" s="308">
        <f>IFERROR(__xludf.DUMMYFUNCTION("SPLIT(C2308,""-"")"),2328.0)</f>
        <v>2328</v>
      </c>
      <c r="E2308" s="308" t="str">
        <f>IFERROR(__xludf.DUMMYFUNCTION("""COMPUTED_VALUE""")," K")</f>
        <v> K</v>
      </c>
      <c r="F2308" s="309" t="s">
        <v>34</v>
      </c>
      <c r="G2308" s="308" t="s">
        <v>9480</v>
      </c>
      <c r="H2308" s="308" t="s">
        <v>9481</v>
      </c>
      <c r="I2308" s="322"/>
      <c r="J2308" s="319"/>
      <c r="K2308" s="308"/>
      <c r="L2308" s="311" t="s">
        <v>79</v>
      </c>
      <c r="M2308" s="308" t="s">
        <v>9482</v>
      </c>
      <c r="N2308" s="308"/>
      <c r="O2308" s="308" t="s">
        <v>9258</v>
      </c>
      <c r="P2308" s="308" t="s">
        <v>36627</v>
      </c>
      <c r="Q2308" s="308"/>
      <c r="R2308" s="308"/>
      <c r="S2308" s="308" t="s">
        <v>81</v>
      </c>
      <c r="T2308" s="308" t="s">
        <v>34264</v>
      </c>
      <c r="U2308" s="308" t="s">
        <v>9260</v>
      </c>
      <c r="V2308" s="312"/>
    </row>
    <row r="2309">
      <c r="A2309" s="308">
        <v>2308.0</v>
      </c>
      <c r="B2309" s="308"/>
      <c r="C2309" s="308" t="s">
        <v>9484</v>
      </c>
      <c r="D2309" s="308">
        <f>IFERROR(__xludf.DUMMYFUNCTION("SPLIT(C2309,""-"")"),2329.0)</f>
        <v>2329</v>
      </c>
      <c r="E2309" s="308" t="str">
        <f>IFERROR(__xludf.DUMMYFUNCTION("""COMPUTED_VALUE""")," K")</f>
        <v> K</v>
      </c>
      <c r="F2309" s="309" t="s">
        <v>34</v>
      </c>
      <c r="G2309" s="308" t="s">
        <v>9485</v>
      </c>
      <c r="H2309" s="308" t="s">
        <v>9486</v>
      </c>
      <c r="I2309" s="316">
        <v>2009.0</v>
      </c>
      <c r="J2309" s="319"/>
      <c r="K2309" s="308"/>
      <c r="L2309" s="311">
        <v>2009.0</v>
      </c>
      <c r="M2309" s="308" t="s">
        <v>9487</v>
      </c>
      <c r="N2309" s="308"/>
      <c r="O2309" s="308" t="s">
        <v>9488</v>
      </c>
      <c r="P2309" s="308" t="s">
        <v>36628</v>
      </c>
      <c r="Q2309" s="308"/>
      <c r="R2309" s="308"/>
      <c r="S2309" s="308" t="s">
        <v>81</v>
      </c>
      <c r="T2309" s="308" t="s">
        <v>34264</v>
      </c>
      <c r="U2309" s="308" t="s">
        <v>125</v>
      </c>
      <c r="V2309" s="312"/>
    </row>
    <row r="2310">
      <c r="A2310" s="308">
        <v>2309.0</v>
      </c>
      <c r="B2310" s="308"/>
      <c r="C2310" s="308" t="s">
        <v>9490</v>
      </c>
      <c r="D2310" s="308">
        <f>IFERROR(__xludf.DUMMYFUNCTION("SPLIT(C2310,""-"")"),2330.0)</f>
        <v>2330</v>
      </c>
      <c r="E2310" s="308" t="str">
        <f>IFERROR(__xludf.DUMMYFUNCTION("""COMPUTED_VALUE""")," K")</f>
        <v> K</v>
      </c>
      <c r="F2310" s="309" t="s">
        <v>34</v>
      </c>
      <c r="G2310" s="308" t="s">
        <v>9491</v>
      </c>
      <c r="H2310" s="308" t="s">
        <v>9492</v>
      </c>
      <c r="I2310" s="314">
        <v>41193.0</v>
      </c>
      <c r="J2310" s="319">
        <f>IFERROR(__xludf.DUMMYFUNCTION("SPLIT(I2310,""/"")"),11.0)</f>
        <v>11</v>
      </c>
      <c r="K2310" s="308">
        <f>IFERROR(__xludf.DUMMYFUNCTION("""COMPUTED_VALUE"""),10.0)</f>
        <v>10</v>
      </c>
      <c r="L2310" s="308">
        <f>IFERROR(__xludf.DUMMYFUNCTION("""COMPUTED_VALUE"""),2012.0)</f>
        <v>2012</v>
      </c>
      <c r="M2310" s="308" t="s">
        <v>9493</v>
      </c>
      <c r="N2310" s="308"/>
      <c r="O2310" s="308" t="s">
        <v>635</v>
      </c>
      <c r="P2310" s="308" t="s">
        <v>36629</v>
      </c>
      <c r="Q2310" s="308"/>
      <c r="R2310" s="308"/>
      <c r="S2310" s="315" t="s">
        <v>100</v>
      </c>
      <c r="T2310" s="311" t="s">
        <v>34208</v>
      </c>
      <c r="U2310" s="308" t="s">
        <v>201</v>
      </c>
      <c r="V2310" s="312"/>
    </row>
    <row r="2311">
      <c r="A2311" s="308">
        <v>2310.0</v>
      </c>
      <c r="B2311" s="308"/>
      <c r="C2311" s="308" t="s">
        <v>9494</v>
      </c>
      <c r="D2311" s="308">
        <f>IFERROR(__xludf.DUMMYFUNCTION("SPLIT(C2311,""-"")"),2331.0)</f>
        <v>2331</v>
      </c>
      <c r="E2311" s="308" t="str">
        <f>IFERROR(__xludf.DUMMYFUNCTION("""COMPUTED_VALUE""")," K")</f>
        <v> K</v>
      </c>
      <c r="F2311" s="309" t="s">
        <v>34</v>
      </c>
      <c r="G2311" s="308" t="s">
        <v>9495</v>
      </c>
      <c r="H2311" s="308" t="s">
        <v>9496</v>
      </c>
      <c r="I2311" s="320">
        <v>41153.0</v>
      </c>
      <c r="J2311" s="319"/>
      <c r="K2311" s="311">
        <v>9.0</v>
      </c>
      <c r="L2311" s="311">
        <v>2012.0</v>
      </c>
      <c r="M2311" s="308" t="s">
        <v>9497</v>
      </c>
      <c r="N2311" s="308"/>
      <c r="O2311" s="308" t="s">
        <v>635</v>
      </c>
      <c r="P2311" s="308" t="s">
        <v>9498</v>
      </c>
      <c r="Q2311" s="308"/>
      <c r="R2311" s="308"/>
      <c r="S2311" s="308" t="s">
        <v>81</v>
      </c>
      <c r="T2311" s="308" t="s">
        <v>34264</v>
      </c>
      <c r="U2311" s="308"/>
      <c r="V2311" s="312"/>
    </row>
    <row r="2312">
      <c r="A2312" s="308">
        <v>2311.0</v>
      </c>
      <c r="B2312" s="308"/>
      <c r="C2312" s="308" t="s">
        <v>9499</v>
      </c>
      <c r="D2312" s="308">
        <f>IFERROR(__xludf.DUMMYFUNCTION("SPLIT(C2312,""-"")"),2332.0)</f>
        <v>2332</v>
      </c>
      <c r="E2312" s="308" t="str">
        <f>IFERROR(__xludf.DUMMYFUNCTION("""COMPUTED_VALUE""")," K")</f>
        <v> K</v>
      </c>
      <c r="F2312" s="309" t="s">
        <v>34</v>
      </c>
      <c r="G2312" s="308" t="s">
        <v>9500</v>
      </c>
      <c r="H2312" s="308" t="s">
        <v>9501</v>
      </c>
      <c r="I2312" s="314">
        <v>40250.0</v>
      </c>
      <c r="J2312" s="319">
        <f>IFERROR(__xludf.DUMMYFUNCTION("SPLIT(I2312,""/"")"),13.0)</f>
        <v>13</v>
      </c>
      <c r="K2312" s="308">
        <f>IFERROR(__xludf.DUMMYFUNCTION("""COMPUTED_VALUE"""),3.0)</f>
        <v>3</v>
      </c>
      <c r="L2312" s="308">
        <f>IFERROR(__xludf.DUMMYFUNCTION("""COMPUTED_VALUE"""),2010.0)</f>
        <v>2010</v>
      </c>
      <c r="M2312" s="308" t="s">
        <v>9502</v>
      </c>
      <c r="N2312" s="308"/>
      <c r="O2312" s="308" t="s">
        <v>635</v>
      </c>
      <c r="P2312" s="308" t="s">
        <v>9478</v>
      </c>
      <c r="Q2312" s="308"/>
      <c r="R2312" s="308"/>
      <c r="S2312" s="308" t="s">
        <v>81</v>
      </c>
      <c r="T2312" s="308" t="s">
        <v>34264</v>
      </c>
      <c r="U2312" s="308"/>
      <c r="V2312" s="312"/>
    </row>
    <row r="2313">
      <c r="A2313" s="308">
        <v>2312.0</v>
      </c>
      <c r="B2313" s="308"/>
      <c r="C2313" s="308" t="s">
        <v>9503</v>
      </c>
      <c r="D2313" s="308">
        <f>IFERROR(__xludf.DUMMYFUNCTION("SPLIT(C2313,""-"")"),2333.0)</f>
        <v>2333</v>
      </c>
      <c r="E2313" s="308" t="str">
        <f>IFERROR(__xludf.DUMMYFUNCTION("""COMPUTED_VALUE""")," K")</f>
        <v> K</v>
      </c>
      <c r="F2313" s="309" t="s">
        <v>34</v>
      </c>
      <c r="G2313" s="308" t="s">
        <v>9504</v>
      </c>
      <c r="H2313" s="308" t="s">
        <v>9505</v>
      </c>
      <c r="I2313" s="316">
        <v>2007.0</v>
      </c>
      <c r="J2313" s="319"/>
      <c r="K2313" s="308"/>
      <c r="L2313" s="311">
        <v>2007.0</v>
      </c>
      <c r="M2313" s="308" t="s">
        <v>36630</v>
      </c>
      <c r="N2313" s="308"/>
      <c r="O2313" s="308" t="s">
        <v>9507</v>
      </c>
      <c r="P2313" s="308" t="s">
        <v>36516</v>
      </c>
      <c r="Q2313" s="308"/>
      <c r="R2313" s="308"/>
      <c r="S2313" s="315" t="s">
        <v>100</v>
      </c>
      <c r="T2313" s="311" t="s">
        <v>34208</v>
      </c>
      <c r="U2313" s="308" t="s">
        <v>530</v>
      </c>
      <c r="V2313" s="312"/>
    </row>
    <row r="2314">
      <c r="A2314" s="308">
        <v>2313.0</v>
      </c>
      <c r="B2314" s="308"/>
      <c r="C2314" s="308" t="s">
        <v>9508</v>
      </c>
      <c r="D2314" s="308">
        <f>IFERROR(__xludf.DUMMYFUNCTION("SPLIT(C2314,""-"")"),2334.0)</f>
        <v>2334</v>
      </c>
      <c r="E2314" s="308" t="str">
        <f>IFERROR(__xludf.DUMMYFUNCTION("""COMPUTED_VALUE""")," K")</f>
        <v> K</v>
      </c>
      <c r="F2314" s="309" t="s">
        <v>34</v>
      </c>
      <c r="G2314" s="308" t="s">
        <v>9509</v>
      </c>
      <c r="H2314" s="308" t="s">
        <v>9510</v>
      </c>
      <c r="I2314" s="314">
        <v>40191.0</v>
      </c>
      <c r="J2314" s="319">
        <f>IFERROR(__xludf.DUMMYFUNCTION("SPLIT(I2314,""/"")"),13.0)</f>
        <v>13</v>
      </c>
      <c r="K2314" s="308">
        <f>IFERROR(__xludf.DUMMYFUNCTION("""COMPUTED_VALUE"""),1.0)</f>
        <v>1</v>
      </c>
      <c r="L2314" s="308">
        <f>IFERROR(__xludf.DUMMYFUNCTION("""COMPUTED_VALUE"""),2010.0)</f>
        <v>2010</v>
      </c>
      <c r="M2314" s="308" t="s">
        <v>9511</v>
      </c>
      <c r="N2314" s="308" t="s">
        <v>9512</v>
      </c>
      <c r="O2314" s="308" t="s">
        <v>9513</v>
      </c>
      <c r="P2314" s="308" t="s">
        <v>36631</v>
      </c>
      <c r="Q2314" s="308"/>
      <c r="R2314" s="308"/>
      <c r="S2314" s="315" t="s">
        <v>100</v>
      </c>
      <c r="T2314" s="311" t="s">
        <v>34208</v>
      </c>
      <c r="U2314" s="308" t="s">
        <v>282</v>
      </c>
      <c r="V2314" s="312"/>
    </row>
    <row r="2315">
      <c r="A2315" s="308">
        <v>2314.0</v>
      </c>
      <c r="B2315" s="308"/>
      <c r="C2315" s="308" t="s">
        <v>9515</v>
      </c>
      <c r="D2315" s="308">
        <f>IFERROR(__xludf.DUMMYFUNCTION("SPLIT(C2315,""-"")"),2335.0)</f>
        <v>2335</v>
      </c>
      <c r="E2315" s="308" t="str">
        <f>IFERROR(__xludf.DUMMYFUNCTION("""COMPUTED_VALUE""")," K")</f>
        <v> K</v>
      </c>
      <c r="F2315" s="309" t="s">
        <v>34</v>
      </c>
      <c r="G2315" s="308"/>
      <c r="H2315" s="308" t="s">
        <v>9516</v>
      </c>
      <c r="I2315" s="314">
        <v>41970.0</v>
      </c>
      <c r="J2315" s="319">
        <f>IFERROR(__xludf.DUMMYFUNCTION("SPLIT(I2315,""/"")"),27.0)</f>
        <v>27</v>
      </c>
      <c r="K2315" s="308">
        <f>IFERROR(__xludf.DUMMYFUNCTION("""COMPUTED_VALUE"""),11.0)</f>
        <v>11</v>
      </c>
      <c r="L2315" s="308">
        <f>IFERROR(__xludf.DUMMYFUNCTION("""COMPUTED_VALUE"""),2014.0)</f>
        <v>2014</v>
      </c>
      <c r="M2315" s="308" t="s">
        <v>9517</v>
      </c>
      <c r="N2315" s="308" t="s">
        <v>439</v>
      </c>
      <c r="O2315" s="308" t="s">
        <v>9518</v>
      </c>
      <c r="P2315" s="308" t="s">
        <v>36632</v>
      </c>
      <c r="Q2315" s="308"/>
      <c r="R2315" s="308"/>
      <c r="S2315" s="315" t="s">
        <v>100</v>
      </c>
      <c r="T2315" s="311" t="s">
        <v>34208</v>
      </c>
      <c r="U2315" s="308" t="s">
        <v>2152</v>
      </c>
      <c r="V2315" s="312"/>
    </row>
    <row r="2316">
      <c r="A2316" s="308">
        <v>2315.0</v>
      </c>
      <c r="B2316" s="308"/>
      <c r="C2316" s="308" t="s">
        <v>9519</v>
      </c>
      <c r="D2316" s="308">
        <f>IFERROR(__xludf.DUMMYFUNCTION("SPLIT(C2316,""-"")"),2336.0)</f>
        <v>2336</v>
      </c>
      <c r="E2316" s="308" t="str">
        <f>IFERROR(__xludf.DUMMYFUNCTION("""COMPUTED_VALUE""")," F")</f>
        <v> F</v>
      </c>
      <c r="F2316" s="309" t="s">
        <v>34</v>
      </c>
      <c r="G2316" s="308" t="s">
        <v>9520</v>
      </c>
      <c r="H2316" s="308" t="s">
        <v>9521</v>
      </c>
      <c r="I2316" s="314">
        <v>41227.0</v>
      </c>
      <c r="J2316" s="319">
        <f>IFERROR(__xludf.DUMMYFUNCTION("SPLIT(I2316,""/"")"),14.0)</f>
        <v>14</v>
      </c>
      <c r="K2316" s="308">
        <f>IFERROR(__xludf.DUMMYFUNCTION("""COMPUTED_VALUE"""),11.0)</f>
        <v>11</v>
      </c>
      <c r="L2316" s="308">
        <f>IFERROR(__xludf.DUMMYFUNCTION("""COMPUTED_VALUE"""),2012.0)</f>
        <v>2012</v>
      </c>
      <c r="M2316" s="308" t="s">
        <v>9522</v>
      </c>
      <c r="N2316" s="308" t="s">
        <v>439</v>
      </c>
      <c r="O2316" s="308" t="s">
        <v>9523</v>
      </c>
      <c r="P2316" s="308" t="s">
        <v>36633</v>
      </c>
      <c r="Q2316" s="308" t="s">
        <v>9524</v>
      </c>
      <c r="R2316" s="308"/>
      <c r="S2316" s="315" t="s">
        <v>100</v>
      </c>
      <c r="T2316" s="311" t="s">
        <v>34208</v>
      </c>
      <c r="U2316" s="308" t="s">
        <v>6395</v>
      </c>
      <c r="V2316" s="312"/>
    </row>
    <row r="2317">
      <c r="A2317" s="308">
        <v>2316.0</v>
      </c>
      <c r="B2317" s="308"/>
      <c r="C2317" s="308" t="s">
        <v>9525</v>
      </c>
      <c r="D2317" s="308">
        <f>IFERROR(__xludf.DUMMYFUNCTION("SPLIT(C2317,""-"")"),2337.0)</f>
        <v>2337</v>
      </c>
      <c r="E2317" s="308" t="str">
        <f>IFERROR(__xludf.DUMMYFUNCTION("""COMPUTED_VALUE""")," K")</f>
        <v> K</v>
      </c>
      <c r="F2317" s="309" t="s">
        <v>34</v>
      </c>
      <c r="G2317" s="308" t="s">
        <v>9526</v>
      </c>
      <c r="H2317" s="308" t="s">
        <v>9527</v>
      </c>
      <c r="I2317" s="316">
        <v>2009.0</v>
      </c>
      <c r="J2317" s="319"/>
      <c r="K2317" s="308"/>
      <c r="L2317" s="311">
        <v>2009.0</v>
      </c>
      <c r="M2317" s="308" t="s">
        <v>9528</v>
      </c>
      <c r="N2317" s="308"/>
      <c r="O2317" s="308" t="s">
        <v>9529</v>
      </c>
      <c r="P2317" s="308" t="s">
        <v>36516</v>
      </c>
      <c r="Q2317" s="308"/>
      <c r="R2317" s="308"/>
      <c r="S2317" s="315" t="s">
        <v>100</v>
      </c>
      <c r="T2317" s="311" t="s">
        <v>34208</v>
      </c>
      <c r="U2317" s="308"/>
      <c r="V2317" s="312"/>
    </row>
    <row r="2318">
      <c r="A2318" s="308">
        <v>2317.0</v>
      </c>
      <c r="B2318" s="308"/>
      <c r="C2318" s="308" t="s">
        <v>9530</v>
      </c>
      <c r="D2318" s="308">
        <f>IFERROR(__xludf.DUMMYFUNCTION("SPLIT(C2318,""-"")"),2338.0)</f>
        <v>2338</v>
      </c>
      <c r="E2318" s="308" t="str">
        <f>IFERROR(__xludf.DUMMYFUNCTION("""COMPUTED_VALUE""")," S")</f>
        <v> S</v>
      </c>
      <c r="F2318" s="312" t="s">
        <v>39</v>
      </c>
      <c r="G2318" s="308" t="s">
        <v>9531</v>
      </c>
      <c r="H2318" s="308" t="s">
        <v>9532</v>
      </c>
      <c r="I2318" s="314">
        <v>41331.0</v>
      </c>
      <c r="J2318" s="319">
        <f>IFERROR(__xludf.DUMMYFUNCTION("SPLIT(I2318,""/"")"),26.0)</f>
        <v>26</v>
      </c>
      <c r="K2318" s="308">
        <f>IFERROR(__xludf.DUMMYFUNCTION("""COMPUTED_VALUE"""),2.0)</f>
        <v>2</v>
      </c>
      <c r="L2318" s="308">
        <f>IFERROR(__xludf.DUMMYFUNCTION("""COMPUTED_VALUE"""),2013.0)</f>
        <v>2013</v>
      </c>
      <c r="M2318" s="308" t="s">
        <v>9533</v>
      </c>
      <c r="N2318" s="308"/>
      <c r="O2318" s="308" t="s">
        <v>9534</v>
      </c>
      <c r="P2318" s="308" t="s">
        <v>9535</v>
      </c>
      <c r="Q2318" s="308"/>
      <c r="R2318" s="308"/>
      <c r="S2318" s="308" t="s">
        <v>81</v>
      </c>
      <c r="T2318" s="308" t="s">
        <v>75</v>
      </c>
      <c r="U2318" s="308"/>
      <c r="V2318" s="312"/>
    </row>
    <row r="2319">
      <c r="A2319" s="308">
        <v>2318.0</v>
      </c>
      <c r="B2319" s="308"/>
      <c r="C2319" s="308" t="s">
        <v>9536</v>
      </c>
      <c r="D2319" s="308">
        <f>IFERROR(__xludf.DUMMYFUNCTION("SPLIT(C2319,""-"")"),2339.0)</f>
        <v>2339</v>
      </c>
      <c r="E2319" s="308" t="str">
        <f>IFERROR(__xludf.DUMMYFUNCTION("""COMPUTED_VALUE"""),"S")</f>
        <v>S</v>
      </c>
      <c r="F2319" s="312" t="s">
        <v>39</v>
      </c>
      <c r="G2319" s="308" t="s">
        <v>9537</v>
      </c>
      <c r="H2319" s="308" t="s">
        <v>9538</v>
      </c>
      <c r="I2319" s="316">
        <v>2008.0</v>
      </c>
      <c r="J2319" s="319"/>
      <c r="K2319" s="308"/>
      <c r="L2319" s="311">
        <v>2008.0</v>
      </c>
      <c r="M2319" s="308" t="s">
        <v>9539</v>
      </c>
      <c r="N2319" s="308"/>
      <c r="O2319" s="308" t="s">
        <v>36634</v>
      </c>
      <c r="P2319" s="308" t="s">
        <v>36635</v>
      </c>
      <c r="Q2319" s="308"/>
      <c r="R2319" s="308"/>
      <c r="S2319" s="308" t="s">
        <v>49</v>
      </c>
      <c r="T2319" s="311" t="s">
        <v>59</v>
      </c>
      <c r="U2319" s="308" t="s">
        <v>9542</v>
      </c>
      <c r="V2319" s="312"/>
    </row>
    <row r="2320">
      <c r="A2320" s="308">
        <v>2319.0</v>
      </c>
      <c r="B2320" s="308"/>
      <c r="C2320" s="308" t="s">
        <v>9543</v>
      </c>
      <c r="D2320" s="308">
        <f>IFERROR(__xludf.DUMMYFUNCTION("SPLIT(C2320,""-"")"),2340.0)</f>
        <v>2340</v>
      </c>
      <c r="E2320" s="308" t="str">
        <f>IFERROR(__xludf.DUMMYFUNCTION("""COMPUTED_VALUE"""),"K")</f>
        <v>K</v>
      </c>
      <c r="F2320" s="309" t="s">
        <v>34</v>
      </c>
      <c r="G2320" s="308" t="s">
        <v>9544</v>
      </c>
      <c r="H2320" s="308" t="s">
        <v>9545</v>
      </c>
      <c r="I2320" s="310">
        <v>41695.0</v>
      </c>
      <c r="J2320" s="319">
        <f>IFERROR(__xludf.DUMMYFUNCTION("SPLIT(I2320,""/"")"),25.0)</f>
        <v>25</v>
      </c>
      <c r="K2320" s="308">
        <f>IFERROR(__xludf.DUMMYFUNCTION("""COMPUTED_VALUE"""),2.0)</f>
        <v>2</v>
      </c>
      <c r="L2320" s="308">
        <f>IFERROR(__xludf.DUMMYFUNCTION("""COMPUTED_VALUE"""),2014.0)</f>
        <v>2014</v>
      </c>
      <c r="M2320" s="308" t="s">
        <v>9546</v>
      </c>
      <c r="N2320" s="308"/>
      <c r="O2320" s="308" t="s">
        <v>9547</v>
      </c>
      <c r="P2320" s="308" t="s">
        <v>9548</v>
      </c>
      <c r="Q2320" s="308"/>
      <c r="R2320" s="308"/>
      <c r="S2320" s="308" t="s">
        <v>81</v>
      </c>
      <c r="T2320" s="311" t="s">
        <v>98</v>
      </c>
      <c r="U2320" s="308"/>
      <c r="V2320" s="312"/>
    </row>
    <row r="2321">
      <c r="A2321" s="308">
        <v>2320.0</v>
      </c>
      <c r="B2321" s="308"/>
      <c r="C2321" s="308" t="s">
        <v>9549</v>
      </c>
      <c r="D2321" s="308">
        <f>IFERROR(__xludf.DUMMYFUNCTION("SPLIT(C2321,""-"")"),2341.0)</f>
        <v>2341</v>
      </c>
      <c r="E2321" s="308" t="str">
        <f>IFERROR(__xludf.DUMMYFUNCTION("""COMPUTED_VALUE"""),"S")</f>
        <v>S</v>
      </c>
      <c r="F2321" s="312" t="s">
        <v>39</v>
      </c>
      <c r="G2321" s="308"/>
      <c r="H2321" s="308" t="s">
        <v>9550</v>
      </c>
      <c r="I2321" s="310">
        <v>41808.0</v>
      </c>
      <c r="J2321" s="319">
        <f>IFERROR(__xludf.DUMMYFUNCTION("SPLIT(I2321,""/"")"),18.0)</f>
        <v>18</v>
      </c>
      <c r="K2321" s="308">
        <f>IFERROR(__xludf.DUMMYFUNCTION("""COMPUTED_VALUE"""),6.0)</f>
        <v>6</v>
      </c>
      <c r="L2321" s="308">
        <f>IFERROR(__xludf.DUMMYFUNCTION("""COMPUTED_VALUE"""),2014.0)</f>
        <v>2014</v>
      </c>
      <c r="M2321" s="308" t="s">
        <v>9551</v>
      </c>
      <c r="N2321" s="308"/>
      <c r="O2321" s="308" t="s">
        <v>635</v>
      </c>
      <c r="P2321" s="308" t="s">
        <v>9552</v>
      </c>
      <c r="Q2321" s="308"/>
      <c r="R2321" s="308"/>
      <c r="S2321" s="308" t="s">
        <v>49</v>
      </c>
      <c r="T2321" s="308" t="s">
        <v>70</v>
      </c>
      <c r="U2321" s="308"/>
      <c r="V2321" s="312"/>
    </row>
    <row r="2322">
      <c r="A2322" s="308">
        <v>2321.0</v>
      </c>
      <c r="B2322" s="308"/>
      <c r="C2322" s="308" t="s">
        <v>9553</v>
      </c>
      <c r="D2322" s="308">
        <f>IFERROR(__xludf.DUMMYFUNCTION("SPLIT(C2322,""-"")"),2342.0)</f>
        <v>2342</v>
      </c>
      <c r="E2322" s="308" t="str">
        <f>IFERROR(__xludf.DUMMYFUNCTION("""COMPUTED_VALUE"""),"P")</f>
        <v>P</v>
      </c>
      <c r="F2322" s="312" t="s">
        <v>37</v>
      </c>
      <c r="G2322" s="308"/>
      <c r="H2322" s="308" t="s">
        <v>9554</v>
      </c>
      <c r="I2322" s="310">
        <v>41979.0</v>
      </c>
      <c r="J2322" s="319">
        <f>IFERROR(__xludf.DUMMYFUNCTION("SPLIT(I2322,""/"")"),6.0)</f>
        <v>6</v>
      </c>
      <c r="K2322" s="308">
        <f>IFERROR(__xludf.DUMMYFUNCTION("""COMPUTED_VALUE"""),12.0)</f>
        <v>12</v>
      </c>
      <c r="L2322" s="308">
        <f>IFERROR(__xludf.DUMMYFUNCTION("""COMPUTED_VALUE"""),2014.0)</f>
        <v>2014</v>
      </c>
      <c r="M2322" s="308" t="s">
        <v>9555</v>
      </c>
      <c r="N2322" s="308"/>
      <c r="O2322" s="308" t="s">
        <v>9556</v>
      </c>
      <c r="P2322" s="308" t="s">
        <v>9557</v>
      </c>
      <c r="Q2322" s="308"/>
      <c r="R2322" s="308"/>
      <c r="S2322" s="308" t="s">
        <v>81</v>
      </c>
      <c r="T2322" s="311" t="s">
        <v>51</v>
      </c>
      <c r="U2322" s="308"/>
      <c r="V2322" s="312"/>
    </row>
    <row r="2323">
      <c r="A2323" s="308">
        <v>2322.0</v>
      </c>
      <c r="B2323" s="308"/>
      <c r="C2323" s="308" t="s">
        <v>9558</v>
      </c>
      <c r="D2323" s="308">
        <f>IFERROR(__xludf.DUMMYFUNCTION("SPLIT(C2323,""-"")"),2343.0)</f>
        <v>2343</v>
      </c>
      <c r="E2323" s="308" t="str">
        <f>IFERROR(__xludf.DUMMYFUNCTION("""COMPUTED_VALUE"""),"P")</f>
        <v>P</v>
      </c>
      <c r="F2323" s="312" t="s">
        <v>37</v>
      </c>
      <c r="G2323" s="308" t="s">
        <v>9559</v>
      </c>
      <c r="H2323" s="308" t="s">
        <v>9560</v>
      </c>
      <c r="I2323" s="316" t="s">
        <v>9561</v>
      </c>
      <c r="J2323" s="319">
        <f>IFERROR(__xludf.DUMMYFUNCTION("SPLIT(I2323,""/"")"),31.0)</f>
        <v>31</v>
      </c>
      <c r="K2323" s="308">
        <f>IFERROR(__xludf.DUMMYFUNCTION("""COMPUTED_VALUE"""),6.0)</f>
        <v>6</v>
      </c>
      <c r="L2323" s="308">
        <f>IFERROR(__xludf.DUMMYFUNCTION("""COMPUTED_VALUE"""),2014.0)</f>
        <v>2014</v>
      </c>
      <c r="M2323" s="308" t="s">
        <v>9562</v>
      </c>
      <c r="N2323" s="308"/>
      <c r="O2323" s="308" t="s">
        <v>9563</v>
      </c>
      <c r="P2323" s="308" t="s">
        <v>9564</v>
      </c>
      <c r="Q2323" s="308"/>
      <c r="R2323" s="308"/>
      <c r="S2323" s="308" t="s">
        <v>81</v>
      </c>
      <c r="T2323" s="308" t="s">
        <v>75</v>
      </c>
      <c r="U2323" s="308"/>
      <c r="V2323" s="312"/>
    </row>
    <row r="2324">
      <c r="A2324" s="308">
        <v>2323.0</v>
      </c>
      <c r="B2324" s="308"/>
      <c r="C2324" s="308" t="s">
        <v>9565</v>
      </c>
      <c r="D2324" s="308">
        <f>IFERROR(__xludf.DUMMYFUNCTION("SPLIT(C2324,""-"")"),2344.0)</f>
        <v>2344</v>
      </c>
      <c r="E2324" s="308" t="str">
        <f>IFERROR(__xludf.DUMMYFUNCTION("""COMPUTED_VALUE"""),"S")</f>
        <v>S</v>
      </c>
      <c r="F2324" s="312" t="s">
        <v>39</v>
      </c>
      <c r="G2324" s="308" t="s">
        <v>9566</v>
      </c>
      <c r="H2324" s="308" t="s">
        <v>9567</v>
      </c>
      <c r="I2324" s="310">
        <v>41813.0</v>
      </c>
      <c r="J2324" s="319">
        <f>IFERROR(__xludf.DUMMYFUNCTION("SPLIT(I2324,""/"")"),23.0)</f>
        <v>23</v>
      </c>
      <c r="K2324" s="308">
        <f>IFERROR(__xludf.DUMMYFUNCTION("""COMPUTED_VALUE"""),6.0)</f>
        <v>6</v>
      </c>
      <c r="L2324" s="308">
        <f>IFERROR(__xludf.DUMMYFUNCTION("""COMPUTED_VALUE"""),2014.0)</f>
        <v>2014</v>
      </c>
      <c r="M2324" s="308" t="s">
        <v>9568</v>
      </c>
      <c r="N2324" s="308"/>
      <c r="O2324" s="308" t="s">
        <v>635</v>
      </c>
      <c r="P2324" s="308" t="s">
        <v>9569</v>
      </c>
      <c r="Q2324" s="308"/>
      <c r="R2324" s="308"/>
      <c r="S2324" s="308" t="s">
        <v>81</v>
      </c>
      <c r="T2324" s="308" t="s">
        <v>75</v>
      </c>
      <c r="U2324" s="308"/>
      <c r="V2324" s="312"/>
    </row>
    <row r="2325">
      <c r="A2325" s="308">
        <v>2324.0</v>
      </c>
      <c r="B2325" s="308"/>
      <c r="C2325" s="308" t="s">
        <v>9570</v>
      </c>
      <c r="D2325" s="308">
        <f>IFERROR(__xludf.DUMMYFUNCTION("SPLIT(C2325,""-"")"),2345.0)</f>
        <v>2345</v>
      </c>
      <c r="E2325" s="308" t="str">
        <f>IFERROR(__xludf.DUMMYFUNCTION("""COMPUTED_VALUE"""),"K")</f>
        <v>K</v>
      </c>
      <c r="F2325" s="309" t="s">
        <v>34</v>
      </c>
      <c r="G2325" s="308" t="s">
        <v>9571</v>
      </c>
      <c r="H2325" s="308" t="s">
        <v>9572</v>
      </c>
      <c r="I2325" s="310">
        <v>41885.0</v>
      </c>
      <c r="J2325" s="319">
        <f>IFERROR(__xludf.DUMMYFUNCTION("SPLIT(I2325,""/"")"),3.0)</f>
        <v>3</v>
      </c>
      <c r="K2325" s="308">
        <f>IFERROR(__xludf.DUMMYFUNCTION("""COMPUTED_VALUE"""),9.0)</f>
        <v>9</v>
      </c>
      <c r="L2325" s="308">
        <f>IFERROR(__xludf.DUMMYFUNCTION("""COMPUTED_VALUE"""),2014.0)</f>
        <v>2014</v>
      </c>
      <c r="M2325" s="308" t="s">
        <v>9573</v>
      </c>
      <c r="N2325" s="308"/>
      <c r="O2325" s="308" t="s">
        <v>9574</v>
      </c>
      <c r="P2325" s="308" t="s">
        <v>9575</v>
      </c>
      <c r="Q2325" s="308"/>
      <c r="R2325" s="308"/>
      <c r="S2325" s="308" t="s">
        <v>81</v>
      </c>
      <c r="T2325" s="308" t="s">
        <v>73</v>
      </c>
      <c r="U2325" s="308"/>
      <c r="V2325" s="312"/>
    </row>
    <row r="2326">
      <c r="A2326" s="308">
        <v>2325.0</v>
      </c>
      <c r="B2326" s="308"/>
      <c r="C2326" s="308" t="s">
        <v>9576</v>
      </c>
      <c r="D2326" s="308">
        <f>IFERROR(__xludf.DUMMYFUNCTION("SPLIT(C2326,""-"")"),2346.0)</f>
        <v>2346</v>
      </c>
      <c r="E2326" s="308" t="str">
        <f>IFERROR(__xludf.DUMMYFUNCTION("""COMPUTED_VALUE"""),"K")</f>
        <v>K</v>
      </c>
      <c r="F2326" s="309" t="s">
        <v>34</v>
      </c>
      <c r="G2326" s="308"/>
      <c r="H2326" s="308" t="s">
        <v>9577</v>
      </c>
      <c r="I2326" s="316">
        <v>2009.0</v>
      </c>
      <c r="J2326" s="319"/>
      <c r="K2326" s="308"/>
      <c r="L2326" s="311">
        <v>2009.0</v>
      </c>
      <c r="M2326" s="308" t="s">
        <v>9578</v>
      </c>
      <c r="N2326" s="308"/>
      <c r="O2326" s="308" t="s">
        <v>9579</v>
      </c>
      <c r="P2326" s="308" t="s">
        <v>9580</v>
      </c>
      <c r="Q2326" s="308"/>
      <c r="R2326" s="308"/>
      <c r="S2326" s="315" t="s">
        <v>100</v>
      </c>
      <c r="T2326" s="311" t="s">
        <v>34208</v>
      </c>
      <c r="U2326" s="308" t="s">
        <v>530</v>
      </c>
      <c r="V2326" s="312"/>
    </row>
    <row r="2327">
      <c r="A2327" s="308">
        <v>2326.0</v>
      </c>
      <c r="B2327" s="308"/>
      <c r="C2327" s="308" t="s">
        <v>9581</v>
      </c>
      <c r="D2327" s="308">
        <f>IFERROR(__xludf.DUMMYFUNCTION("SPLIT(C2327,""-"")"),2347.0)</f>
        <v>2347</v>
      </c>
      <c r="E2327" s="308" t="str">
        <f>IFERROR(__xludf.DUMMYFUNCTION("""COMPUTED_VALUE"""),"K")</f>
        <v>K</v>
      </c>
      <c r="F2327" s="309" t="s">
        <v>34</v>
      </c>
      <c r="G2327" s="308"/>
      <c r="H2327" s="308" t="s">
        <v>9582</v>
      </c>
      <c r="I2327" s="316">
        <v>2009.0</v>
      </c>
      <c r="J2327" s="319"/>
      <c r="K2327" s="308"/>
      <c r="L2327" s="311">
        <v>2009.0</v>
      </c>
      <c r="M2327" s="308" t="s">
        <v>9583</v>
      </c>
      <c r="N2327" s="308"/>
      <c r="O2327" s="308" t="s">
        <v>9579</v>
      </c>
      <c r="P2327" s="308" t="s">
        <v>1481</v>
      </c>
      <c r="Q2327" s="308"/>
      <c r="R2327" s="308"/>
      <c r="S2327" s="308" t="s">
        <v>81</v>
      </c>
      <c r="T2327" s="308" t="s">
        <v>35048</v>
      </c>
      <c r="U2327" s="308"/>
      <c r="V2327" s="312"/>
    </row>
    <row r="2328">
      <c r="A2328" s="308">
        <v>2327.0</v>
      </c>
      <c r="B2328" s="308"/>
      <c r="C2328" s="308" t="s">
        <v>9584</v>
      </c>
      <c r="D2328" s="308">
        <f>IFERROR(__xludf.DUMMYFUNCTION("SPLIT(C2328,""-"")"),2348.0)</f>
        <v>2348</v>
      </c>
      <c r="E2328" s="308" t="str">
        <f>IFERROR(__xludf.DUMMYFUNCTION("""COMPUTED_VALUE"""),"K")</f>
        <v>K</v>
      </c>
      <c r="F2328" s="309" t="s">
        <v>34</v>
      </c>
      <c r="G2328" s="308"/>
      <c r="H2328" s="308" t="s">
        <v>36636</v>
      </c>
      <c r="I2328" s="316">
        <v>2010.0</v>
      </c>
      <c r="J2328" s="319"/>
      <c r="K2328" s="308"/>
      <c r="L2328" s="311">
        <v>2010.0</v>
      </c>
      <c r="M2328" s="308" t="s">
        <v>9586</v>
      </c>
      <c r="N2328" s="308"/>
      <c r="O2328" s="308" t="s">
        <v>635</v>
      </c>
      <c r="P2328" s="308" t="s">
        <v>9587</v>
      </c>
      <c r="Q2328" s="308"/>
      <c r="R2328" s="308"/>
      <c r="S2328" s="308" t="s">
        <v>81</v>
      </c>
      <c r="T2328" s="308" t="s">
        <v>34264</v>
      </c>
      <c r="U2328" s="308"/>
      <c r="V2328" s="312"/>
    </row>
    <row r="2329">
      <c r="A2329" s="308">
        <v>2328.0</v>
      </c>
      <c r="B2329" s="308"/>
      <c r="C2329" s="308" t="s">
        <v>9588</v>
      </c>
      <c r="D2329" s="308">
        <f>IFERROR(__xludf.DUMMYFUNCTION("SPLIT(C2329,""-"")"),2349.0)</f>
        <v>2349</v>
      </c>
      <c r="E2329" s="308" t="str">
        <f>IFERROR(__xludf.DUMMYFUNCTION("""COMPUTED_VALUE"""),"K")</f>
        <v>K</v>
      </c>
      <c r="F2329" s="309" t="s">
        <v>34</v>
      </c>
      <c r="G2329" s="308"/>
      <c r="H2329" s="308" t="s">
        <v>9589</v>
      </c>
      <c r="I2329" s="316">
        <v>2011.0</v>
      </c>
      <c r="J2329" s="319"/>
      <c r="K2329" s="308"/>
      <c r="L2329" s="311">
        <v>2011.0</v>
      </c>
      <c r="M2329" s="308" t="s">
        <v>9590</v>
      </c>
      <c r="N2329" s="308"/>
      <c r="O2329" s="308" t="s">
        <v>635</v>
      </c>
      <c r="P2329" s="308" t="s">
        <v>9591</v>
      </c>
      <c r="Q2329" s="308"/>
      <c r="R2329" s="308"/>
      <c r="S2329" s="308" t="s">
        <v>81</v>
      </c>
      <c r="T2329" s="308" t="s">
        <v>34264</v>
      </c>
      <c r="U2329" s="308"/>
      <c r="V2329" s="312"/>
    </row>
    <row r="2330">
      <c r="A2330" s="308">
        <v>2329.0</v>
      </c>
      <c r="B2330" s="308"/>
      <c r="C2330" s="308" t="s">
        <v>9592</v>
      </c>
      <c r="D2330" s="308">
        <f>IFERROR(__xludf.DUMMYFUNCTION("SPLIT(C2330,""-"")"),2350.0)</f>
        <v>2350</v>
      </c>
      <c r="E2330" s="308" t="str">
        <f>IFERROR(__xludf.DUMMYFUNCTION("""COMPUTED_VALUE"""),"K")</f>
        <v>K</v>
      </c>
      <c r="F2330" s="309" t="s">
        <v>34</v>
      </c>
      <c r="G2330" s="308"/>
      <c r="H2330" s="308" t="s">
        <v>9593</v>
      </c>
      <c r="I2330" s="316">
        <v>2009.0</v>
      </c>
      <c r="J2330" s="319"/>
      <c r="K2330" s="308"/>
      <c r="L2330" s="311">
        <v>2009.0</v>
      </c>
      <c r="M2330" s="308" t="s">
        <v>9594</v>
      </c>
      <c r="N2330" s="308"/>
      <c r="O2330" s="308" t="s">
        <v>635</v>
      </c>
      <c r="P2330" s="308" t="s">
        <v>9595</v>
      </c>
      <c r="Q2330" s="308"/>
      <c r="R2330" s="308"/>
      <c r="S2330" s="308" t="s">
        <v>81</v>
      </c>
      <c r="T2330" s="308" t="s">
        <v>34264</v>
      </c>
      <c r="U2330" s="308"/>
      <c r="V2330" s="312"/>
    </row>
    <row r="2331">
      <c r="A2331" s="308">
        <v>2330.0</v>
      </c>
      <c r="B2331" s="308"/>
      <c r="C2331" s="308" t="s">
        <v>9596</v>
      </c>
      <c r="D2331" s="308">
        <f>IFERROR(__xludf.DUMMYFUNCTION("SPLIT(C2331,""-"")"),2351.0)</f>
        <v>2351</v>
      </c>
      <c r="E2331" s="308" t="str">
        <f>IFERROR(__xludf.DUMMYFUNCTION("""COMPUTED_VALUE"""),"K")</f>
        <v>K</v>
      </c>
      <c r="F2331" s="309" t="s">
        <v>34</v>
      </c>
      <c r="G2331" s="308"/>
      <c r="H2331" s="308" t="s">
        <v>36637</v>
      </c>
      <c r="I2331" s="310">
        <v>41016.0</v>
      </c>
      <c r="J2331" s="319">
        <f>IFERROR(__xludf.DUMMYFUNCTION("SPLIT(I2331,""/"")"),17.0)</f>
        <v>17</v>
      </c>
      <c r="K2331" s="308">
        <f>IFERROR(__xludf.DUMMYFUNCTION("""COMPUTED_VALUE"""),4.0)</f>
        <v>4</v>
      </c>
      <c r="L2331" s="308">
        <f>IFERROR(__xludf.DUMMYFUNCTION("""COMPUTED_VALUE"""),2012.0)</f>
        <v>2012</v>
      </c>
      <c r="M2331" s="308" t="s">
        <v>9598</v>
      </c>
      <c r="N2331" s="308"/>
      <c r="O2331" s="308" t="s">
        <v>9599</v>
      </c>
      <c r="P2331" s="308" t="s">
        <v>3575</v>
      </c>
      <c r="Q2331" s="308"/>
      <c r="R2331" s="308" t="s">
        <v>1496</v>
      </c>
      <c r="S2331" s="315" t="s">
        <v>100</v>
      </c>
      <c r="T2331" s="311" t="s">
        <v>34208</v>
      </c>
      <c r="U2331" s="308" t="s">
        <v>2152</v>
      </c>
      <c r="V2331" s="312"/>
    </row>
    <row r="2332">
      <c r="A2332" s="308">
        <v>2331.0</v>
      </c>
      <c r="B2332" s="308"/>
      <c r="C2332" s="308" t="s">
        <v>9600</v>
      </c>
      <c r="D2332" s="308">
        <f>IFERROR(__xludf.DUMMYFUNCTION("SPLIT(C2332,""-"")"),2352.0)</f>
        <v>2352</v>
      </c>
      <c r="E2332" s="308" t="str">
        <f>IFERROR(__xludf.DUMMYFUNCTION("""COMPUTED_VALUE"""),"K")</f>
        <v>K</v>
      </c>
      <c r="F2332" s="309" t="s">
        <v>34</v>
      </c>
      <c r="G2332" s="308"/>
      <c r="H2332" s="308" t="s">
        <v>9601</v>
      </c>
      <c r="I2332" s="316">
        <v>2012.0</v>
      </c>
      <c r="J2332" s="319"/>
      <c r="K2332" s="308"/>
      <c r="L2332" s="311">
        <v>2012.0</v>
      </c>
      <c r="M2332" s="308" t="s">
        <v>36638</v>
      </c>
      <c r="N2332" s="308"/>
      <c r="O2332" s="308" t="s">
        <v>9603</v>
      </c>
      <c r="P2332" s="308" t="s">
        <v>1872</v>
      </c>
      <c r="Q2332" s="308"/>
      <c r="R2332" s="308"/>
      <c r="S2332" s="315" t="s">
        <v>100</v>
      </c>
      <c r="T2332" s="311" t="s">
        <v>34208</v>
      </c>
      <c r="U2332" s="308"/>
      <c r="V2332" s="312"/>
    </row>
    <row r="2333">
      <c r="A2333" s="308">
        <v>2332.0</v>
      </c>
      <c r="B2333" s="308"/>
      <c r="C2333" s="308" t="s">
        <v>9604</v>
      </c>
      <c r="D2333" s="308">
        <f>IFERROR(__xludf.DUMMYFUNCTION("SPLIT(C2333,""-"")"),2353.0)</f>
        <v>2353</v>
      </c>
      <c r="E2333" s="308" t="str">
        <f>IFERROR(__xludf.DUMMYFUNCTION("""COMPUTED_VALUE"""),"K")</f>
        <v>K</v>
      </c>
      <c r="F2333" s="309" t="s">
        <v>34</v>
      </c>
      <c r="G2333" s="308"/>
      <c r="H2333" s="308" t="s">
        <v>9605</v>
      </c>
      <c r="I2333" s="310">
        <v>41653.0</v>
      </c>
      <c r="J2333" s="319">
        <f>IFERROR(__xludf.DUMMYFUNCTION("SPLIT(I2333,""/"")"),14.0)</f>
        <v>14</v>
      </c>
      <c r="K2333" s="308">
        <f>IFERROR(__xludf.DUMMYFUNCTION("""COMPUTED_VALUE"""),1.0)</f>
        <v>1</v>
      </c>
      <c r="L2333" s="308">
        <f>IFERROR(__xludf.DUMMYFUNCTION("""COMPUTED_VALUE"""),2014.0)</f>
        <v>2014</v>
      </c>
      <c r="M2333" s="308" t="s">
        <v>36639</v>
      </c>
      <c r="N2333" s="308"/>
      <c r="O2333" s="308"/>
      <c r="P2333" s="308" t="s">
        <v>9607</v>
      </c>
      <c r="Q2333" s="308"/>
      <c r="R2333" s="308"/>
      <c r="S2333" s="308" t="s">
        <v>81</v>
      </c>
      <c r="T2333" s="308" t="s">
        <v>34264</v>
      </c>
      <c r="U2333" s="308"/>
      <c r="V2333" s="312"/>
    </row>
    <row r="2334">
      <c r="A2334" s="308">
        <v>2333.0</v>
      </c>
      <c r="B2334" s="308"/>
      <c r="C2334" s="308" t="s">
        <v>9608</v>
      </c>
      <c r="D2334" s="308">
        <f>IFERROR(__xludf.DUMMYFUNCTION("SPLIT(C2334,""-"")"),2354.0)</f>
        <v>2354</v>
      </c>
      <c r="E2334" s="308" t="str">
        <f>IFERROR(__xludf.DUMMYFUNCTION("""COMPUTED_VALUE"""),"K")</f>
        <v>K</v>
      </c>
      <c r="F2334" s="309" t="s">
        <v>34</v>
      </c>
      <c r="G2334" s="308"/>
      <c r="H2334" s="308" t="s">
        <v>9609</v>
      </c>
      <c r="I2334" s="310">
        <v>40005.0</v>
      </c>
      <c r="J2334" s="319">
        <f>IFERROR(__xludf.DUMMYFUNCTION("SPLIT(I2334,""/"")"),11.0)</f>
        <v>11</v>
      </c>
      <c r="K2334" s="308">
        <f>IFERROR(__xludf.DUMMYFUNCTION("""COMPUTED_VALUE"""),7.0)</f>
        <v>7</v>
      </c>
      <c r="L2334" s="308">
        <f>IFERROR(__xludf.DUMMYFUNCTION("""COMPUTED_VALUE"""),2009.0)</f>
        <v>2009</v>
      </c>
      <c r="M2334" s="308" t="s">
        <v>9610</v>
      </c>
      <c r="N2334" s="308"/>
      <c r="O2334" s="308"/>
      <c r="P2334" s="308" t="s">
        <v>6061</v>
      </c>
      <c r="Q2334" s="308"/>
      <c r="R2334" s="308"/>
      <c r="S2334" s="315" t="s">
        <v>100</v>
      </c>
      <c r="T2334" s="311" t="s">
        <v>34208</v>
      </c>
      <c r="U2334" s="308" t="s">
        <v>941</v>
      </c>
      <c r="V2334" s="312"/>
    </row>
    <row r="2335">
      <c r="A2335" s="308">
        <v>2334.0</v>
      </c>
      <c r="B2335" s="308"/>
      <c r="C2335" s="308" t="s">
        <v>9611</v>
      </c>
      <c r="D2335" s="308">
        <f>IFERROR(__xludf.DUMMYFUNCTION("SPLIT(C2335,""-"")"),2355.0)</f>
        <v>2355</v>
      </c>
      <c r="E2335" s="308" t="str">
        <f>IFERROR(__xludf.DUMMYFUNCTION("""COMPUTED_VALUE"""),"S")</f>
        <v>S</v>
      </c>
      <c r="F2335" s="312" t="s">
        <v>39</v>
      </c>
      <c r="G2335" s="308"/>
      <c r="H2335" s="308" t="s">
        <v>9612</v>
      </c>
      <c r="I2335" s="316">
        <v>2012.0</v>
      </c>
      <c r="J2335" s="319"/>
      <c r="K2335" s="308"/>
      <c r="L2335" s="311">
        <v>2012.0</v>
      </c>
      <c r="M2335" s="308" t="s">
        <v>9613</v>
      </c>
      <c r="N2335" s="308"/>
      <c r="O2335" s="308" t="s">
        <v>635</v>
      </c>
      <c r="P2335" s="308" t="s">
        <v>9614</v>
      </c>
      <c r="Q2335" s="308"/>
      <c r="R2335" s="308"/>
      <c r="S2335" s="308" t="s">
        <v>49</v>
      </c>
      <c r="T2335" s="308" t="s">
        <v>70</v>
      </c>
      <c r="U2335" s="308"/>
      <c r="V2335" s="312"/>
    </row>
    <row r="2336">
      <c r="A2336" s="308">
        <v>2335.0</v>
      </c>
      <c r="B2336" s="308"/>
      <c r="C2336" s="308" t="s">
        <v>9615</v>
      </c>
      <c r="D2336" s="308">
        <f>IFERROR(__xludf.DUMMYFUNCTION("SPLIT(C2336,""-"")"),2356.0)</f>
        <v>2356</v>
      </c>
      <c r="E2336" s="308" t="str">
        <f>IFERROR(__xludf.DUMMYFUNCTION("""COMPUTED_VALUE"""),"S")</f>
        <v>S</v>
      </c>
      <c r="F2336" s="312" t="s">
        <v>39</v>
      </c>
      <c r="G2336" s="308"/>
      <c r="H2336" s="308" t="s">
        <v>9616</v>
      </c>
      <c r="I2336" s="316">
        <v>2012.0</v>
      </c>
      <c r="J2336" s="319"/>
      <c r="K2336" s="308"/>
      <c r="L2336" s="311">
        <v>2012.0</v>
      </c>
      <c r="M2336" s="308" t="s">
        <v>9613</v>
      </c>
      <c r="N2336" s="308"/>
      <c r="O2336" s="308" t="s">
        <v>635</v>
      </c>
      <c r="P2336" s="308" t="s">
        <v>36640</v>
      </c>
      <c r="Q2336" s="308"/>
      <c r="R2336" s="308"/>
      <c r="S2336" s="308" t="s">
        <v>81</v>
      </c>
      <c r="T2336" s="308" t="s">
        <v>34264</v>
      </c>
      <c r="U2336" s="308"/>
      <c r="V2336" s="312"/>
    </row>
    <row r="2337">
      <c r="A2337" s="308">
        <v>2336.0</v>
      </c>
      <c r="B2337" s="308"/>
      <c r="C2337" s="308" t="s">
        <v>9618</v>
      </c>
      <c r="D2337" s="308">
        <f>IFERROR(__xludf.DUMMYFUNCTION("SPLIT(C2337,""-"")"),2357.0)</f>
        <v>2357</v>
      </c>
      <c r="E2337" s="308" t="str">
        <f>IFERROR(__xludf.DUMMYFUNCTION("""COMPUTED_VALUE"""),"K")</f>
        <v>K</v>
      </c>
      <c r="F2337" s="309" t="s">
        <v>34</v>
      </c>
      <c r="G2337" s="308"/>
      <c r="H2337" s="308" t="s">
        <v>9619</v>
      </c>
      <c r="I2337" s="316">
        <v>2008.0</v>
      </c>
      <c r="J2337" s="319"/>
      <c r="K2337" s="308"/>
      <c r="L2337" s="311">
        <v>2008.0</v>
      </c>
      <c r="M2337" s="308" t="s">
        <v>9620</v>
      </c>
      <c r="N2337" s="308"/>
      <c r="O2337" s="308" t="s">
        <v>635</v>
      </c>
      <c r="P2337" s="308" t="s">
        <v>9621</v>
      </c>
      <c r="Q2337" s="308"/>
      <c r="R2337" s="308"/>
      <c r="S2337" s="308" t="s">
        <v>81</v>
      </c>
      <c r="T2337" s="308" t="s">
        <v>34264</v>
      </c>
      <c r="U2337" s="308"/>
      <c r="V2337" s="312"/>
    </row>
    <row r="2338">
      <c r="A2338" s="308">
        <v>2337.0</v>
      </c>
      <c r="B2338" s="308"/>
      <c r="C2338" s="308" t="s">
        <v>9622</v>
      </c>
      <c r="D2338" s="308">
        <f>IFERROR(__xludf.DUMMYFUNCTION("SPLIT(C2338,""-"")"),2358.0)</f>
        <v>2358</v>
      </c>
      <c r="E2338" s="308" t="str">
        <f>IFERROR(__xludf.DUMMYFUNCTION("""COMPUTED_VALUE"""),"P")</f>
        <v>P</v>
      </c>
      <c r="F2338" s="312" t="s">
        <v>37</v>
      </c>
      <c r="G2338" s="308"/>
      <c r="H2338" s="308" t="s">
        <v>9623</v>
      </c>
      <c r="I2338" s="310">
        <v>41883.0</v>
      </c>
      <c r="J2338" s="319">
        <f>IFERROR(__xludf.DUMMYFUNCTION("SPLIT(I2338,""/"")"),1.0)</f>
        <v>1</v>
      </c>
      <c r="K2338" s="308">
        <f>IFERROR(__xludf.DUMMYFUNCTION("""COMPUTED_VALUE"""),9.0)</f>
        <v>9</v>
      </c>
      <c r="L2338" s="308">
        <f>IFERROR(__xludf.DUMMYFUNCTION("""COMPUTED_VALUE"""),2014.0)</f>
        <v>2014</v>
      </c>
      <c r="M2338" s="308" t="s">
        <v>9624</v>
      </c>
      <c r="N2338" s="308"/>
      <c r="O2338" s="308" t="s">
        <v>9625</v>
      </c>
      <c r="P2338" s="308" t="s">
        <v>9626</v>
      </c>
      <c r="Q2338" s="308"/>
      <c r="R2338" s="308"/>
      <c r="S2338" s="308" t="s">
        <v>81</v>
      </c>
      <c r="T2338" s="308" t="s">
        <v>75</v>
      </c>
      <c r="U2338" s="308" t="s">
        <v>1182</v>
      </c>
      <c r="V2338" s="312"/>
    </row>
    <row r="2339">
      <c r="A2339" s="308">
        <v>2338.0</v>
      </c>
      <c r="B2339" s="308"/>
      <c r="C2339" s="308" t="s">
        <v>9627</v>
      </c>
      <c r="D2339" s="308">
        <f>IFERROR(__xludf.DUMMYFUNCTION("SPLIT(C2339,""-"")"),2359.0)</f>
        <v>2359</v>
      </c>
      <c r="E2339" s="308" t="str">
        <f>IFERROR(__xludf.DUMMYFUNCTION("""COMPUTED_VALUE"""),"K")</f>
        <v>K</v>
      </c>
      <c r="F2339" s="309" t="s">
        <v>34</v>
      </c>
      <c r="G2339" s="308"/>
      <c r="H2339" s="308" t="s">
        <v>9628</v>
      </c>
      <c r="I2339" s="310">
        <v>41546.0</v>
      </c>
      <c r="J2339" s="319">
        <f>IFERROR(__xludf.DUMMYFUNCTION("SPLIT(I2339,""/"")"),29.0)</f>
        <v>29</v>
      </c>
      <c r="K2339" s="308">
        <f>IFERROR(__xludf.DUMMYFUNCTION("""COMPUTED_VALUE"""),9.0)</f>
        <v>9</v>
      </c>
      <c r="L2339" s="308">
        <f>IFERROR(__xludf.DUMMYFUNCTION("""COMPUTED_VALUE"""),2013.0)</f>
        <v>2013</v>
      </c>
      <c r="M2339" s="308" t="s">
        <v>9629</v>
      </c>
      <c r="N2339" s="308"/>
      <c r="O2339" s="308" t="s">
        <v>9630</v>
      </c>
      <c r="P2339" s="308" t="s">
        <v>3028</v>
      </c>
      <c r="Q2339" s="308"/>
      <c r="R2339" s="308"/>
      <c r="S2339" s="308" t="s">
        <v>81</v>
      </c>
      <c r="T2339" s="308" t="s">
        <v>34264</v>
      </c>
      <c r="U2339" s="308"/>
      <c r="V2339" s="312"/>
    </row>
    <row r="2340">
      <c r="A2340" s="308">
        <v>2339.0</v>
      </c>
      <c r="B2340" s="308"/>
      <c r="C2340" s="308" t="s">
        <v>9631</v>
      </c>
      <c r="D2340" s="308">
        <f>IFERROR(__xludf.DUMMYFUNCTION("SPLIT(C2340,""-"")"),2360.0)</f>
        <v>2360</v>
      </c>
      <c r="E2340" s="308" t="str">
        <f>IFERROR(__xludf.DUMMYFUNCTION("""COMPUTED_VALUE"""),"S")</f>
        <v>S</v>
      </c>
      <c r="F2340" s="312" t="s">
        <v>39</v>
      </c>
      <c r="G2340" s="308"/>
      <c r="H2340" s="308" t="s">
        <v>9632</v>
      </c>
      <c r="I2340" s="314">
        <v>41964.0</v>
      </c>
      <c r="J2340" s="319">
        <f>IFERROR(__xludf.DUMMYFUNCTION("SPLIT(I2340,""/"")"),21.0)</f>
        <v>21</v>
      </c>
      <c r="K2340" s="308">
        <f>IFERROR(__xludf.DUMMYFUNCTION("""COMPUTED_VALUE"""),11.0)</f>
        <v>11</v>
      </c>
      <c r="L2340" s="308">
        <f>IFERROR(__xludf.DUMMYFUNCTION("""COMPUTED_VALUE"""),2014.0)</f>
        <v>2014</v>
      </c>
      <c r="M2340" s="308" t="s">
        <v>9633</v>
      </c>
      <c r="N2340" s="308"/>
      <c r="O2340" s="308" t="s">
        <v>9634</v>
      </c>
      <c r="P2340" s="308" t="s">
        <v>296</v>
      </c>
      <c r="Q2340" s="308"/>
      <c r="R2340" s="308"/>
      <c r="S2340" s="308" t="s">
        <v>81</v>
      </c>
      <c r="T2340" s="308" t="s">
        <v>75</v>
      </c>
      <c r="U2340" s="308"/>
      <c r="V2340" s="312"/>
    </row>
    <row r="2341">
      <c r="A2341" s="308">
        <v>2340.0</v>
      </c>
      <c r="B2341" s="308"/>
      <c r="C2341" s="308" t="s">
        <v>9635</v>
      </c>
      <c r="D2341" s="308">
        <f>IFERROR(__xludf.DUMMYFUNCTION("SPLIT(C2341,""-"")"),2361.0)</f>
        <v>2361</v>
      </c>
      <c r="E2341" s="308" t="str">
        <f>IFERROR(__xludf.DUMMYFUNCTION("""COMPUTED_VALUE"""),"K")</f>
        <v>K</v>
      </c>
      <c r="F2341" s="309" t="s">
        <v>34</v>
      </c>
      <c r="G2341" s="308"/>
      <c r="H2341" s="308" t="s">
        <v>9636</v>
      </c>
      <c r="I2341" s="326">
        <v>40087.0</v>
      </c>
      <c r="J2341" s="319"/>
      <c r="K2341" s="311">
        <v>10.0</v>
      </c>
      <c r="L2341" s="311">
        <v>2009.0</v>
      </c>
      <c r="M2341" s="308" t="s">
        <v>9637</v>
      </c>
      <c r="N2341" s="308"/>
      <c r="O2341" s="308" t="s">
        <v>9638</v>
      </c>
      <c r="P2341" s="308" t="s">
        <v>1872</v>
      </c>
      <c r="Q2341" s="308"/>
      <c r="R2341" s="308"/>
      <c r="S2341" s="315" t="s">
        <v>100</v>
      </c>
      <c r="T2341" s="311" t="s">
        <v>34208</v>
      </c>
      <c r="U2341" s="308" t="s">
        <v>530</v>
      </c>
      <c r="V2341" s="312"/>
    </row>
    <row r="2342">
      <c r="A2342" s="308">
        <v>2341.0</v>
      </c>
      <c r="B2342" s="308"/>
      <c r="C2342" s="308" t="s">
        <v>9639</v>
      </c>
      <c r="D2342" s="308">
        <f>IFERROR(__xludf.DUMMYFUNCTION("SPLIT(C2342,""-"")"),2362.0)</f>
        <v>2362</v>
      </c>
      <c r="E2342" s="308" t="str">
        <f>IFERROR(__xludf.DUMMYFUNCTION("""COMPUTED_VALUE"""),"K")</f>
        <v>K</v>
      </c>
      <c r="F2342" s="309" t="s">
        <v>34</v>
      </c>
      <c r="G2342" s="308"/>
      <c r="H2342" s="308" t="s">
        <v>9640</v>
      </c>
      <c r="I2342" s="316">
        <v>2009.0</v>
      </c>
      <c r="J2342" s="319"/>
      <c r="K2342" s="308"/>
      <c r="L2342" s="311">
        <v>2009.0</v>
      </c>
      <c r="M2342" s="308" t="s">
        <v>9641</v>
      </c>
      <c r="N2342" s="308"/>
      <c r="O2342" s="308" t="s">
        <v>635</v>
      </c>
      <c r="P2342" s="308" t="s">
        <v>3028</v>
      </c>
      <c r="Q2342" s="308"/>
      <c r="R2342" s="308"/>
      <c r="S2342" s="308" t="s">
        <v>81</v>
      </c>
      <c r="T2342" s="308" t="s">
        <v>34264</v>
      </c>
      <c r="U2342" s="308"/>
      <c r="V2342" s="312"/>
    </row>
    <row r="2343">
      <c r="A2343" s="308">
        <v>2342.0</v>
      </c>
      <c r="B2343" s="308"/>
      <c r="C2343" s="308" t="s">
        <v>9642</v>
      </c>
      <c r="D2343" s="308">
        <f>IFERROR(__xludf.DUMMYFUNCTION("SPLIT(C2343,""-"")"),2363.0)</f>
        <v>2363</v>
      </c>
      <c r="E2343" s="308" t="str">
        <f>IFERROR(__xludf.DUMMYFUNCTION("""COMPUTED_VALUE"""),"P")</f>
        <v>P</v>
      </c>
      <c r="F2343" s="312" t="s">
        <v>37</v>
      </c>
      <c r="G2343" s="308"/>
      <c r="H2343" s="308" t="s">
        <v>36641</v>
      </c>
      <c r="I2343" s="314">
        <v>41972.0</v>
      </c>
      <c r="J2343" s="319">
        <f>IFERROR(__xludf.DUMMYFUNCTION("SPLIT(I2343,""/"")"),29.0)</f>
        <v>29</v>
      </c>
      <c r="K2343" s="308">
        <f>IFERROR(__xludf.DUMMYFUNCTION("""COMPUTED_VALUE"""),11.0)</f>
        <v>11</v>
      </c>
      <c r="L2343" s="308">
        <f>IFERROR(__xludf.DUMMYFUNCTION("""COMPUTED_VALUE"""),2014.0)</f>
        <v>2014</v>
      </c>
      <c r="M2343" s="308" t="s">
        <v>9644</v>
      </c>
      <c r="N2343" s="308"/>
      <c r="O2343" s="308" t="s">
        <v>9645</v>
      </c>
      <c r="P2343" s="308" t="s">
        <v>36642</v>
      </c>
      <c r="Q2343" s="308"/>
      <c r="R2343" s="308"/>
      <c r="S2343" s="308" t="s">
        <v>81</v>
      </c>
      <c r="T2343" s="308" t="s">
        <v>75</v>
      </c>
      <c r="U2343" s="308" t="s">
        <v>149</v>
      </c>
      <c r="V2343" s="312"/>
    </row>
    <row r="2344">
      <c r="A2344" s="308">
        <v>2343.0</v>
      </c>
      <c r="B2344" s="308"/>
      <c r="C2344" s="308" t="s">
        <v>9647</v>
      </c>
      <c r="D2344" s="308">
        <f>IFERROR(__xludf.DUMMYFUNCTION("SPLIT(C2344,""-"")"),2364.0)</f>
        <v>2364</v>
      </c>
      <c r="E2344" s="308" t="str">
        <f>IFERROR(__xludf.DUMMYFUNCTION("""COMPUTED_VALUE"""),"P")</f>
        <v>P</v>
      </c>
      <c r="F2344" s="312" t="s">
        <v>37</v>
      </c>
      <c r="G2344" s="308"/>
      <c r="H2344" s="308" t="s">
        <v>9648</v>
      </c>
      <c r="I2344" s="310">
        <v>41546.0</v>
      </c>
      <c r="J2344" s="319">
        <f>IFERROR(__xludf.DUMMYFUNCTION("SPLIT(I2344,""/"")"),29.0)</f>
        <v>29</v>
      </c>
      <c r="K2344" s="308">
        <f>IFERROR(__xludf.DUMMYFUNCTION("""COMPUTED_VALUE"""),9.0)</f>
        <v>9</v>
      </c>
      <c r="L2344" s="308">
        <f>IFERROR(__xludf.DUMMYFUNCTION("""COMPUTED_VALUE"""),2013.0)</f>
        <v>2013</v>
      </c>
      <c r="M2344" s="308" t="s">
        <v>9649</v>
      </c>
      <c r="N2344" s="308"/>
      <c r="O2344" s="308" t="s">
        <v>9650</v>
      </c>
      <c r="P2344" s="308" t="s">
        <v>9651</v>
      </c>
      <c r="Q2344" s="308"/>
      <c r="R2344" s="308"/>
      <c r="S2344" s="308" t="s">
        <v>81</v>
      </c>
      <c r="T2344" s="311" t="s">
        <v>35043</v>
      </c>
      <c r="U2344" s="308" t="s">
        <v>3407</v>
      </c>
      <c r="V2344" s="312"/>
    </row>
    <row r="2345">
      <c r="A2345" s="308">
        <v>2344.0</v>
      </c>
      <c r="B2345" s="308"/>
      <c r="C2345" s="308" t="s">
        <v>9652</v>
      </c>
      <c r="D2345" s="308">
        <f>IFERROR(__xludf.DUMMYFUNCTION("SPLIT(C2345,""-"")"),2365.0)</f>
        <v>2365</v>
      </c>
      <c r="E2345" s="308" t="str">
        <f>IFERROR(__xludf.DUMMYFUNCTION("""COMPUTED_VALUE"""),"K")</f>
        <v>K</v>
      </c>
      <c r="F2345" s="309" t="s">
        <v>34</v>
      </c>
      <c r="G2345" s="308"/>
      <c r="H2345" s="308" t="s">
        <v>9653</v>
      </c>
      <c r="I2345" s="310">
        <v>41678.0</v>
      </c>
      <c r="J2345" s="319">
        <f>IFERROR(__xludf.DUMMYFUNCTION("SPLIT(I2345,""/"")"),8.0)</f>
        <v>8</v>
      </c>
      <c r="K2345" s="308">
        <f>IFERROR(__xludf.DUMMYFUNCTION("""COMPUTED_VALUE"""),2.0)</f>
        <v>2</v>
      </c>
      <c r="L2345" s="308">
        <f>IFERROR(__xludf.DUMMYFUNCTION("""COMPUTED_VALUE"""),2014.0)</f>
        <v>2014</v>
      </c>
      <c r="M2345" s="308" t="s">
        <v>9654</v>
      </c>
      <c r="N2345" s="308"/>
      <c r="O2345" s="308" t="s">
        <v>9655</v>
      </c>
      <c r="P2345" s="308" t="s">
        <v>36643</v>
      </c>
      <c r="Q2345" s="308"/>
      <c r="R2345" s="308"/>
      <c r="S2345" s="308" t="s">
        <v>81</v>
      </c>
      <c r="T2345" s="308" t="s">
        <v>34264</v>
      </c>
      <c r="U2345" s="308" t="s">
        <v>530</v>
      </c>
      <c r="V2345" s="312"/>
    </row>
    <row r="2346">
      <c r="A2346" s="308">
        <v>2345.0</v>
      </c>
      <c r="B2346" s="308"/>
      <c r="C2346" s="308" t="s">
        <v>9657</v>
      </c>
      <c r="D2346" s="308">
        <f>IFERROR(__xludf.DUMMYFUNCTION("SPLIT(C2346,""-"")"),2366.0)</f>
        <v>2366</v>
      </c>
      <c r="E2346" s="308" t="str">
        <f>IFERROR(__xludf.DUMMYFUNCTION("""COMPUTED_VALUE"""),"S")</f>
        <v>S</v>
      </c>
      <c r="F2346" s="312" t="s">
        <v>39</v>
      </c>
      <c r="G2346" s="308" t="s">
        <v>9658</v>
      </c>
      <c r="H2346" s="308" t="s">
        <v>9659</v>
      </c>
      <c r="I2346" s="322"/>
      <c r="J2346" s="319"/>
      <c r="K2346" s="308"/>
      <c r="L2346" s="311" t="s">
        <v>79</v>
      </c>
      <c r="M2346" s="308" t="s">
        <v>9660</v>
      </c>
      <c r="N2346" s="308"/>
      <c r="O2346" s="308" t="s">
        <v>635</v>
      </c>
      <c r="P2346" s="308" t="s">
        <v>9661</v>
      </c>
      <c r="Q2346" s="308"/>
      <c r="R2346" s="308"/>
      <c r="S2346" s="308" t="s">
        <v>81</v>
      </c>
      <c r="T2346" s="308" t="s">
        <v>75</v>
      </c>
      <c r="U2346" s="308"/>
      <c r="V2346" s="312"/>
    </row>
    <row r="2347">
      <c r="A2347" s="308">
        <v>2346.0</v>
      </c>
      <c r="B2347" s="308"/>
      <c r="C2347" s="308" t="s">
        <v>9662</v>
      </c>
      <c r="D2347" s="308">
        <f>IFERROR(__xludf.DUMMYFUNCTION("SPLIT(C2347,""-"")"),2367.0)</f>
        <v>2367</v>
      </c>
      <c r="E2347" s="308" t="str">
        <f>IFERROR(__xludf.DUMMYFUNCTION("""COMPUTED_VALUE"""),"S")</f>
        <v>S</v>
      </c>
      <c r="F2347" s="312" t="s">
        <v>39</v>
      </c>
      <c r="G2347" s="308"/>
      <c r="H2347" s="308" t="s">
        <v>9663</v>
      </c>
      <c r="I2347" s="314">
        <v>41949.0</v>
      </c>
      <c r="J2347" s="319">
        <f>IFERROR(__xludf.DUMMYFUNCTION("SPLIT(I2347,""/"")"),6.0)</f>
        <v>6</v>
      </c>
      <c r="K2347" s="308">
        <f>IFERROR(__xludf.DUMMYFUNCTION("""COMPUTED_VALUE"""),11.0)</f>
        <v>11</v>
      </c>
      <c r="L2347" s="308">
        <f>IFERROR(__xludf.DUMMYFUNCTION("""COMPUTED_VALUE"""),2014.0)</f>
        <v>2014</v>
      </c>
      <c r="M2347" s="308" t="s">
        <v>9664</v>
      </c>
      <c r="N2347" s="308"/>
      <c r="O2347" s="308" t="s">
        <v>9665</v>
      </c>
      <c r="P2347" s="308" t="s">
        <v>34756</v>
      </c>
      <c r="Q2347" s="308"/>
      <c r="R2347" s="308"/>
      <c r="S2347" s="308" t="s">
        <v>81</v>
      </c>
      <c r="T2347" s="311" t="s">
        <v>35048</v>
      </c>
      <c r="U2347" s="308"/>
      <c r="V2347" s="312"/>
    </row>
    <row r="2348">
      <c r="A2348" s="308">
        <v>2347.0</v>
      </c>
      <c r="B2348" s="308"/>
      <c r="C2348" s="308" t="s">
        <v>9666</v>
      </c>
      <c r="D2348" s="308">
        <f>IFERROR(__xludf.DUMMYFUNCTION("SPLIT(C2348,""-"")"),2368.0)</f>
        <v>2368</v>
      </c>
      <c r="E2348" s="308" t="str">
        <f>IFERROR(__xludf.DUMMYFUNCTION("""COMPUTED_VALUE"""),"ICT")</f>
        <v>ICT</v>
      </c>
      <c r="F2348" s="315" t="s">
        <v>31</v>
      </c>
      <c r="G2348" s="308"/>
      <c r="H2348" s="308" t="s">
        <v>9667</v>
      </c>
      <c r="I2348" s="310">
        <v>41740.0</v>
      </c>
      <c r="J2348" s="319">
        <f>IFERROR(__xludf.DUMMYFUNCTION("SPLIT(I2348,""/"")"),11.0)</f>
        <v>11</v>
      </c>
      <c r="K2348" s="308">
        <f>IFERROR(__xludf.DUMMYFUNCTION("""COMPUTED_VALUE"""),4.0)</f>
        <v>4</v>
      </c>
      <c r="L2348" s="308">
        <f>IFERROR(__xludf.DUMMYFUNCTION("""COMPUTED_VALUE"""),2014.0)</f>
        <v>2014</v>
      </c>
      <c r="M2348" s="308" t="s">
        <v>9668</v>
      </c>
      <c r="N2348" s="308"/>
      <c r="O2348" s="308" t="s">
        <v>9669</v>
      </c>
      <c r="P2348" s="308" t="s">
        <v>9670</v>
      </c>
      <c r="Q2348" s="308"/>
      <c r="R2348" s="308"/>
      <c r="S2348" s="308" t="s">
        <v>49</v>
      </c>
      <c r="T2348" s="308" t="s">
        <v>51</v>
      </c>
      <c r="U2348" s="308"/>
      <c r="V2348" s="312"/>
    </row>
    <row r="2349">
      <c r="A2349" s="308">
        <v>2348.0</v>
      </c>
      <c r="B2349" s="308"/>
      <c r="C2349" s="308" t="s">
        <v>9671</v>
      </c>
      <c r="D2349" s="308">
        <f>IFERROR(__xludf.DUMMYFUNCTION("SPLIT(C2349,""-"")"),2369.0)</f>
        <v>2369</v>
      </c>
      <c r="E2349" s="308" t="str">
        <f>IFERROR(__xludf.DUMMYFUNCTION("""COMPUTED_VALUE"""),"F")</f>
        <v>F</v>
      </c>
      <c r="F2349" s="309" t="s">
        <v>34</v>
      </c>
      <c r="G2349" s="308"/>
      <c r="H2349" s="308" t="s">
        <v>9672</v>
      </c>
      <c r="I2349" s="322"/>
      <c r="J2349" s="319"/>
      <c r="K2349" s="308"/>
      <c r="L2349" s="311" t="s">
        <v>79</v>
      </c>
      <c r="M2349" s="308" t="s">
        <v>9673</v>
      </c>
      <c r="N2349" s="308"/>
      <c r="O2349" s="308" t="s">
        <v>9674</v>
      </c>
      <c r="P2349" s="308" t="s">
        <v>6393</v>
      </c>
      <c r="Q2349" s="308"/>
      <c r="R2349" s="308"/>
      <c r="S2349" s="315" t="s">
        <v>100</v>
      </c>
      <c r="T2349" s="311" t="s">
        <v>34208</v>
      </c>
      <c r="U2349" s="308"/>
      <c r="V2349" s="312"/>
    </row>
    <row r="2350">
      <c r="A2350" s="308">
        <v>2349.0</v>
      </c>
      <c r="B2350" s="308"/>
      <c r="C2350" s="308" t="s">
        <v>9675</v>
      </c>
      <c r="D2350" s="308">
        <f>IFERROR(__xludf.DUMMYFUNCTION("SPLIT(C2350,""-"")"),2370.0)</f>
        <v>2370</v>
      </c>
      <c r="E2350" s="308" t="str">
        <f>IFERROR(__xludf.DUMMYFUNCTION("""COMPUTED_VALUE"""),"K")</f>
        <v>K</v>
      </c>
      <c r="F2350" s="309" t="s">
        <v>34</v>
      </c>
      <c r="G2350" s="308"/>
      <c r="H2350" s="308" t="s">
        <v>9676</v>
      </c>
      <c r="I2350" s="314">
        <v>40144.0</v>
      </c>
      <c r="J2350" s="319">
        <f>IFERROR(__xludf.DUMMYFUNCTION("SPLIT(I2350,""/"")"),27.0)</f>
        <v>27</v>
      </c>
      <c r="K2350" s="308">
        <f>IFERROR(__xludf.DUMMYFUNCTION("""COMPUTED_VALUE"""),11.0)</f>
        <v>11</v>
      </c>
      <c r="L2350" s="308">
        <f>IFERROR(__xludf.DUMMYFUNCTION("""COMPUTED_VALUE"""),2009.0)</f>
        <v>2009</v>
      </c>
      <c r="M2350" s="308" t="s">
        <v>9677</v>
      </c>
      <c r="N2350" s="308"/>
      <c r="O2350" s="308" t="s">
        <v>36644</v>
      </c>
      <c r="P2350" s="308" t="s">
        <v>9679</v>
      </c>
      <c r="Q2350" s="308"/>
      <c r="R2350" s="308"/>
      <c r="S2350" s="315" t="s">
        <v>100</v>
      </c>
      <c r="T2350" s="311" t="s">
        <v>34208</v>
      </c>
      <c r="U2350" s="308" t="s">
        <v>2097</v>
      </c>
      <c r="V2350" s="312"/>
    </row>
    <row r="2351">
      <c r="A2351" s="308">
        <v>2350.0</v>
      </c>
      <c r="B2351" s="308"/>
      <c r="C2351" s="308" t="s">
        <v>9680</v>
      </c>
      <c r="D2351" s="308">
        <f>IFERROR(__xludf.DUMMYFUNCTION("SPLIT(C2351,""-"")"),2371.0)</f>
        <v>2371</v>
      </c>
      <c r="E2351" s="308" t="str">
        <f>IFERROR(__xludf.DUMMYFUNCTION("""COMPUTED_VALUE"""),"K")</f>
        <v>K</v>
      </c>
      <c r="F2351" s="309" t="s">
        <v>34</v>
      </c>
      <c r="G2351" s="308"/>
      <c r="H2351" s="308" t="s">
        <v>9681</v>
      </c>
      <c r="I2351" s="325">
        <v>40238.0</v>
      </c>
      <c r="J2351" s="319"/>
      <c r="K2351" s="311">
        <v>3.0</v>
      </c>
      <c r="L2351" s="311">
        <v>2010.0</v>
      </c>
      <c r="M2351" s="308" t="s">
        <v>9682</v>
      </c>
      <c r="N2351" s="308"/>
      <c r="O2351" s="308" t="s">
        <v>36645</v>
      </c>
      <c r="P2351" s="308" t="s">
        <v>9679</v>
      </c>
      <c r="Q2351" s="308"/>
      <c r="R2351" s="308"/>
      <c r="S2351" s="315" t="s">
        <v>100</v>
      </c>
      <c r="T2351" s="311" t="s">
        <v>34208</v>
      </c>
      <c r="U2351" s="308" t="s">
        <v>36646</v>
      </c>
      <c r="V2351" s="312"/>
    </row>
    <row r="2352">
      <c r="A2352" s="308">
        <v>2351.0</v>
      </c>
      <c r="B2352" s="308"/>
      <c r="C2352" s="308" t="s">
        <v>9684</v>
      </c>
      <c r="D2352" s="308">
        <f>IFERROR(__xludf.DUMMYFUNCTION("SPLIT(C2352,""-"")"),2372.0)</f>
        <v>2372</v>
      </c>
      <c r="E2352" s="308" t="str">
        <f>IFERROR(__xludf.DUMMYFUNCTION("""COMPUTED_VALUE"""),"K")</f>
        <v>K</v>
      </c>
      <c r="F2352" s="309" t="s">
        <v>34</v>
      </c>
      <c r="G2352" s="308"/>
      <c r="H2352" s="308" t="s">
        <v>36647</v>
      </c>
      <c r="I2352" s="326">
        <v>40148.0</v>
      </c>
      <c r="J2352" s="319"/>
      <c r="K2352" s="311">
        <v>12.0</v>
      </c>
      <c r="L2352" s="311">
        <v>2009.0</v>
      </c>
      <c r="M2352" s="308" t="s">
        <v>9686</v>
      </c>
      <c r="N2352" s="308"/>
      <c r="O2352" s="308" t="s">
        <v>36648</v>
      </c>
      <c r="P2352" s="308" t="s">
        <v>9679</v>
      </c>
      <c r="Q2352" s="308"/>
      <c r="R2352" s="308"/>
      <c r="S2352" s="315" t="s">
        <v>100</v>
      </c>
      <c r="T2352" s="311" t="s">
        <v>34208</v>
      </c>
      <c r="U2352" s="308" t="s">
        <v>2097</v>
      </c>
      <c r="V2352" s="312"/>
    </row>
    <row r="2353">
      <c r="A2353" s="308">
        <v>2352.0</v>
      </c>
      <c r="B2353" s="308"/>
      <c r="C2353" s="308" t="s">
        <v>9688</v>
      </c>
      <c r="D2353" s="308">
        <f>IFERROR(__xludf.DUMMYFUNCTION("SPLIT(C2353,""-"")"),2373.0)</f>
        <v>2373</v>
      </c>
      <c r="E2353" s="308" t="str">
        <f>IFERROR(__xludf.DUMMYFUNCTION("""COMPUTED_VALUE"""),"S")</f>
        <v>S</v>
      </c>
      <c r="F2353" s="312" t="s">
        <v>39</v>
      </c>
      <c r="G2353" s="308"/>
      <c r="H2353" s="308" t="s">
        <v>36649</v>
      </c>
      <c r="I2353" s="314">
        <v>41983.0</v>
      </c>
      <c r="J2353" s="319">
        <f>IFERROR(__xludf.DUMMYFUNCTION("SPLIT(I2353,""/"")"),10.0)</f>
        <v>10</v>
      </c>
      <c r="K2353" s="308">
        <f>IFERROR(__xludf.DUMMYFUNCTION("""COMPUTED_VALUE"""),12.0)</f>
        <v>12</v>
      </c>
      <c r="L2353" s="308">
        <f>IFERROR(__xludf.DUMMYFUNCTION("""COMPUTED_VALUE"""),2014.0)</f>
        <v>2014</v>
      </c>
      <c r="M2353" s="308" t="s">
        <v>9690</v>
      </c>
      <c r="N2353" s="308"/>
      <c r="O2353" s="308" t="s">
        <v>36648</v>
      </c>
      <c r="P2353" s="308" t="s">
        <v>36650</v>
      </c>
      <c r="Q2353" s="308"/>
      <c r="R2353" s="308"/>
      <c r="S2353" s="308" t="s">
        <v>81</v>
      </c>
      <c r="T2353" s="308" t="s">
        <v>75</v>
      </c>
      <c r="U2353" s="308"/>
      <c r="V2353" s="312"/>
    </row>
    <row r="2354">
      <c r="A2354" s="308">
        <v>2353.0</v>
      </c>
      <c r="B2354" s="308"/>
      <c r="C2354" s="308" t="s">
        <v>9692</v>
      </c>
      <c r="D2354" s="308">
        <f>IFERROR(__xludf.DUMMYFUNCTION("SPLIT(C2354,""-"")"),2374.0)</f>
        <v>2374</v>
      </c>
      <c r="E2354" s="308" t="str">
        <f>IFERROR(__xludf.DUMMYFUNCTION("""COMPUTED_VALUE"""),"S")</f>
        <v>S</v>
      </c>
      <c r="F2354" s="312" t="s">
        <v>39</v>
      </c>
      <c r="G2354" s="308"/>
      <c r="H2354" s="308" t="s">
        <v>9693</v>
      </c>
      <c r="I2354" s="314">
        <v>41983.0</v>
      </c>
      <c r="J2354" s="319">
        <f>IFERROR(__xludf.DUMMYFUNCTION("SPLIT(I2354,""/"")"),10.0)</f>
        <v>10</v>
      </c>
      <c r="K2354" s="308">
        <f>IFERROR(__xludf.DUMMYFUNCTION("""COMPUTED_VALUE"""),12.0)</f>
        <v>12</v>
      </c>
      <c r="L2354" s="308">
        <f>IFERROR(__xludf.DUMMYFUNCTION("""COMPUTED_VALUE"""),2014.0)</f>
        <v>2014</v>
      </c>
      <c r="M2354" s="308" t="s">
        <v>9690</v>
      </c>
      <c r="N2354" s="308"/>
      <c r="O2354" s="308" t="s">
        <v>9258</v>
      </c>
      <c r="P2354" s="308" t="s">
        <v>36650</v>
      </c>
      <c r="Q2354" s="308"/>
      <c r="R2354" s="308"/>
      <c r="S2354" s="308" t="s">
        <v>81</v>
      </c>
      <c r="T2354" s="308" t="s">
        <v>75</v>
      </c>
      <c r="U2354" s="312"/>
      <c r="V2354" s="312"/>
    </row>
    <row r="2355">
      <c r="A2355" s="308">
        <v>2354.0</v>
      </c>
      <c r="B2355" s="308"/>
      <c r="C2355" s="308" t="s">
        <v>36651</v>
      </c>
      <c r="D2355" s="308" t="str">
        <f>IFERROR(__xludf.DUMMYFUNCTION("SPLIT(C2355,""-"")"),"#REF!")</f>
        <v>#REF!</v>
      </c>
      <c r="E2355" s="311"/>
      <c r="F2355" s="309" t="s">
        <v>34</v>
      </c>
      <c r="G2355" s="308"/>
      <c r="H2355" s="308" t="s">
        <v>9695</v>
      </c>
      <c r="I2355" s="314">
        <v>40842.0</v>
      </c>
      <c r="J2355" s="319">
        <f>IFERROR(__xludf.DUMMYFUNCTION("SPLIT(I2355,""/"")"),26.0)</f>
        <v>26</v>
      </c>
      <c r="K2355" s="308">
        <f>IFERROR(__xludf.DUMMYFUNCTION("""COMPUTED_VALUE"""),10.0)</f>
        <v>10</v>
      </c>
      <c r="L2355" s="308">
        <f>IFERROR(__xludf.DUMMYFUNCTION("""COMPUTED_VALUE"""),2011.0)</f>
        <v>2011</v>
      </c>
      <c r="M2355" s="308" t="s">
        <v>9696</v>
      </c>
      <c r="N2355" s="308"/>
      <c r="O2355" s="308" t="s">
        <v>635</v>
      </c>
      <c r="P2355" s="308" t="s">
        <v>9697</v>
      </c>
      <c r="Q2355" s="308"/>
      <c r="R2355" s="308"/>
      <c r="S2355" s="308" t="s">
        <v>81</v>
      </c>
      <c r="T2355" s="308" t="s">
        <v>34264</v>
      </c>
      <c r="U2355" s="308" t="s">
        <v>9260</v>
      </c>
      <c r="V2355" s="312"/>
    </row>
    <row r="2356">
      <c r="A2356" s="308">
        <v>2355.0</v>
      </c>
      <c r="B2356" s="308"/>
      <c r="C2356" s="308" t="s">
        <v>9698</v>
      </c>
      <c r="D2356" s="308">
        <f>IFERROR(__xludf.DUMMYFUNCTION("SPLIT(C2356,""-"")"),2376.0)</f>
        <v>2376</v>
      </c>
      <c r="E2356" s="308" t="str">
        <f>IFERROR(__xludf.DUMMYFUNCTION("""COMPUTED_VALUE"""),"S")</f>
        <v>S</v>
      </c>
      <c r="F2356" s="312" t="s">
        <v>39</v>
      </c>
      <c r="G2356" s="308"/>
      <c r="H2356" s="308" t="s">
        <v>9699</v>
      </c>
      <c r="I2356" s="314">
        <v>41983.0</v>
      </c>
      <c r="J2356" s="319">
        <f>IFERROR(__xludf.DUMMYFUNCTION("SPLIT(I2356,""/"")"),10.0)</f>
        <v>10</v>
      </c>
      <c r="K2356" s="308">
        <f>IFERROR(__xludf.DUMMYFUNCTION("""COMPUTED_VALUE"""),12.0)</f>
        <v>12</v>
      </c>
      <c r="L2356" s="308">
        <f>IFERROR(__xludf.DUMMYFUNCTION("""COMPUTED_VALUE"""),2014.0)</f>
        <v>2014</v>
      </c>
      <c r="M2356" s="308" t="s">
        <v>9700</v>
      </c>
      <c r="N2356" s="308"/>
      <c r="O2356" s="308" t="s">
        <v>9701</v>
      </c>
      <c r="P2356" s="308" t="s">
        <v>9702</v>
      </c>
      <c r="Q2356" s="308"/>
      <c r="R2356" s="308"/>
      <c r="S2356" s="308" t="s">
        <v>81</v>
      </c>
      <c r="T2356" s="308" t="s">
        <v>98</v>
      </c>
      <c r="U2356" s="308"/>
      <c r="V2356" s="312"/>
    </row>
    <row r="2357">
      <c r="A2357" s="308">
        <v>2356.0</v>
      </c>
      <c r="B2357" s="308"/>
      <c r="C2357" s="308" t="s">
        <v>9703</v>
      </c>
      <c r="D2357" s="308">
        <f>IFERROR(__xludf.DUMMYFUNCTION("SPLIT(C2357,""-"")"),2377.0)</f>
        <v>2377</v>
      </c>
      <c r="E2357" s="308" t="str">
        <f>IFERROR(__xludf.DUMMYFUNCTION("""COMPUTED_VALUE"""),"P")</f>
        <v>P</v>
      </c>
      <c r="F2357" s="312" t="s">
        <v>37</v>
      </c>
      <c r="G2357" s="308"/>
      <c r="H2357" s="308" t="s">
        <v>9704</v>
      </c>
      <c r="I2357" s="310">
        <v>41849.0</v>
      </c>
      <c r="J2357" s="319">
        <f>IFERROR(__xludf.DUMMYFUNCTION("SPLIT(I2357,""/"")"),29.0)</f>
        <v>29</v>
      </c>
      <c r="K2357" s="308">
        <f>IFERROR(__xludf.DUMMYFUNCTION("""COMPUTED_VALUE"""),7.0)</f>
        <v>7</v>
      </c>
      <c r="L2357" s="308">
        <f>IFERROR(__xludf.DUMMYFUNCTION("""COMPUTED_VALUE"""),2014.0)</f>
        <v>2014</v>
      </c>
      <c r="M2357" s="308" t="s">
        <v>9705</v>
      </c>
      <c r="N2357" s="308"/>
      <c r="O2357" s="308" t="s">
        <v>9706</v>
      </c>
      <c r="P2357" s="308" t="s">
        <v>9707</v>
      </c>
      <c r="Q2357" s="308"/>
      <c r="R2357" s="308"/>
      <c r="S2357" s="308" t="s">
        <v>81</v>
      </c>
      <c r="T2357" s="311" t="s">
        <v>96</v>
      </c>
      <c r="U2357" s="308"/>
      <c r="V2357" s="312"/>
    </row>
    <row r="2358">
      <c r="A2358" s="308">
        <v>2357.0</v>
      </c>
      <c r="B2358" s="308"/>
      <c r="C2358" s="308" t="s">
        <v>9708</v>
      </c>
      <c r="D2358" s="308">
        <f>IFERROR(__xludf.DUMMYFUNCTION("SPLIT(C2358,""-"")"),2378.0)</f>
        <v>2378</v>
      </c>
      <c r="E2358" s="308" t="str">
        <f>IFERROR(__xludf.DUMMYFUNCTION("""COMPUTED_VALUE"""),"K")</f>
        <v>K</v>
      </c>
      <c r="F2358" s="309" t="s">
        <v>34</v>
      </c>
      <c r="G2358" s="308"/>
      <c r="H2358" s="308" t="s">
        <v>9709</v>
      </c>
      <c r="I2358" s="326">
        <v>41913.0</v>
      </c>
      <c r="J2358" s="319"/>
      <c r="K2358" s="311">
        <v>10.0</v>
      </c>
      <c r="L2358" s="311">
        <v>2014.0</v>
      </c>
      <c r="M2358" s="308" t="s">
        <v>9710</v>
      </c>
      <c r="N2358" s="308"/>
      <c r="O2358" s="308" t="s">
        <v>9711</v>
      </c>
      <c r="P2358" s="308" t="s">
        <v>2872</v>
      </c>
      <c r="Q2358" s="308"/>
      <c r="R2358" s="308"/>
      <c r="S2358" s="315" t="s">
        <v>100</v>
      </c>
      <c r="T2358" s="311" t="s">
        <v>34208</v>
      </c>
      <c r="U2358" s="308" t="s">
        <v>125</v>
      </c>
      <c r="V2358" s="312"/>
    </row>
    <row r="2359">
      <c r="A2359" s="308">
        <v>2358.0</v>
      </c>
      <c r="B2359" s="308"/>
      <c r="C2359" s="308" t="s">
        <v>9712</v>
      </c>
      <c r="D2359" s="308">
        <f>IFERROR(__xludf.DUMMYFUNCTION("SPLIT(C2359,""-"")"),2379.0)</f>
        <v>2379</v>
      </c>
      <c r="E2359" s="308" t="str">
        <f>IFERROR(__xludf.DUMMYFUNCTION("""COMPUTED_VALUE"""),"S")</f>
        <v>S</v>
      </c>
      <c r="F2359" s="312" t="s">
        <v>39</v>
      </c>
      <c r="G2359" s="308"/>
      <c r="H2359" s="308" t="s">
        <v>9713</v>
      </c>
      <c r="I2359" s="310">
        <v>41978.0</v>
      </c>
      <c r="J2359" s="319">
        <f>IFERROR(__xludf.DUMMYFUNCTION("SPLIT(I2359,""/"")"),5.0)</f>
        <v>5</v>
      </c>
      <c r="K2359" s="308">
        <f>IFERROR(__xludf.DUMMYFUNCTION("""COMPUTED_VALUE"""),12.0)</f>
        <v>12</v>
      </c>
      <c r="L2359" s="308">
        <f>IFERROR(__xludf.DUMMYFUNCTION("""COMPUTED_VALUE"""),2014.0)</f>
        <v>2014</v>
      </c>
      <c r="M2359" s="308" t="s">
        <v>9714</v>
      </c>
      <c r="N2359" s="308"/>
      <c r="O2359" s="308" t="s">
        <v>9711</v>
      </c>
      <c r="P2359" s="308" t="s">
        <v>9715</v>
      </c>
      <c r="Q2359" s="308"/>
      <c r="R2359" s="308"/>
      <c r="S2359" s="308" t="s">
        <v>81</v>
      </c>
      <c r="T2359" s="308" t="s">
        <v>75</v>
      </c>
      <c r="U2359" s="308"/>
      <c r="V2359" s="312"/>
    </row>
    <row r="2360">
      <c r="A2360" s="308">
        <v>2359.0</v>
      </c>
      <c r="B2360" s="308"/>
      <c r="C2360" s="308" t="s">
        <v>9716</v>
      </c>
      <c r="D2360" s="308">
        <f>IFERROR(__xludf.DUMMYFUNCTION("SPLIT(C2360,""-"")"),2380.0)</f>
        <v>2380</v>
      </c>
      <c r="E2360" s="308" t="str">
        <f>IFERROR(__xludf.DUMMYFUNCTION("""COMPUTED_VALUE"""),"S")</f>
        <v>S</v>
      </c>
      <c r="F2360" s="312" t="s">
        <v>39</v>
      </c>
      <c r="G2360" s="308"/>
      <c r="H2360" s="308" t="s">
        <v>9717</v>
      </c>
      <c r="I2360" s="310">
        <v>41978.0</v>
      </c>
      <c r="J2360" s="319">
        <f>IFERROR(__xludf.DUMMYFUNCTION("SPLIT(I2360,""/"")"),5.0)</f>
        <v>5</v>
      </c>
      <c r="K2360" s="308">
        <f>IFERROR(__xludf.DUMMYFUNCTION("""COMPUTED_VALUE"""),12.0)</f>
        <v>12</v>
      </c>
      <c r="L2360" s="308">
        <f>IFERROR(__xludf.DUMMYFUNCTION("""COMPUTED_VALUE"""),2014.0)</f>
        <v>2014</v>
      </c>
      <c r="M2360" s="308" t="s">
        <v>9714</v>
      </c>
      <c r="N2360" s="308"/>
      <c r="O2360" s="308" t="s">
        <v>9718</v>
      </c>
      <c r="P2360" s="308" t="s">
        <v>9719</v>
      </c>
      <c r="Q2360" s="308"/>
      <c r="R2360" s="308"/>
      <c r="S2360" s="308" t="s">
        <v>81</v>
      </c>
      <c r="T2360" s="308" t="s">
        <v>75</v>
      </c>
      <c r="U2360" s="308"/>
      <c r="V2360" s="312"/>
    </row>
    <row r="2361">
      <c r="A2361" s="308">
        <v>2360.0</v>
      </c>
      <c r="B2361" s="308"/>
      <c r="C2361" s="308" t="s">
        <v>9720</v>
      </c>
      <c r="D2361" s="308">
        <f>IFERROR(__xludf.DUMMYFUNCTION("SPLIT(C2361,""-"")"),2381.0)</f>
        <v>2381</v>
      </c>
      <c r="E2361" s="308" t="str">
        <f>IFERROR(__xludf.DUMMYFUNCTION("""COMPUTED_VALUE"""),"K")</f>
        <v>K</v>
      </c>
      <c r="F2361" s="309" t="s">
        <v>34</v>
      </c>
      <c r="G2361" s="308"/>
      <c r="H2361" s="308" t="s">
        <v>9721</v>
      </c>
      <c r="I2361" s="314">
        <v>41519.0</v>
      </c>
      <c r="J2361" s="319">
        <f>IFERROR(__xludf.DUMMYFUNCTION("SPLIT(I2361,""/"")"),2.0)</f>
        <v>2</v>
      </c>
      <c r="K2361" s="308">
        <f>IFERROR(__xludf.DUMMYFUNCTION("""COMPUTED_VALUE"""),9.0)</f>
        <v>9</v>
      </c>
      <c r="L2361" s="308">
        <f>IFERROR(__xludf.DUMMYFUNCTION("""COMPUTED_VALUE"""),2013.0)</f>
        <v>2013</v>
      </c>
      <c r="M2361" s="308" t="s">
        <v>9722</v>
      </c>
      <c r="N2361" s="308"/>
      <c r="O2361" s="308" t="s">
        <v>9723</v>
      </c>
      <c r="P2361" s="308" t="s">
        <v>9724</v>
      </c>
      <c r="Q2361" s="308"/>
      <c r="R2361" s="308"/>
      <c r="S2361" s="308" t="s">
        <v>81</v>
      </c>
      <c r="T2361" s="308" t="s">
        <v>34264</v>
      </c>
      <c r="U2361" s="308"/>
      <c r="V2361" s="312"/>
    </row>
    <row r="2362">
      <c r="A2362" s="308">
        <v>2361.0</v>
      </c>
      <c r="B2362" s="308"/>
      <c r="C2362" s="308" t="s">
        <v>9725</v>
      </c>
      <c r="D2362" s="308">
        <f>IFERROR(__xludf.DUMMYFUNCTION("SPLIT(C2362,""-"")"),2382.0)</f>
        <v>2382</v>
      </c>
      <c r="E2362" s="308" t="str">
        <f>IFERROR(__xludf.DUMMYFUNCTION("""COMPUTED_VALUE"""),"S")</f>
        <v>S</v>
      </c>
      <c r="F2362" s="312" t="s">
        <v>39</v>
      </c>
      <c r="G2362" s="308"/>
      <c r="H2362" s="308" t="s">
        <v>9726</v>
      </c>
      <c r="I2362" s="314">
        <v>41968.0</v>
      </c>
      <c r="J2362" s="319">
        <f>IFERROR(__xludf.DUMMYFUNCTION("SPLIT(I2362,""/"")"),25.0)</f>
        <v>25</v>
      </c>
      <c r="K2362" s="308">
        <f>IFERROR(__xludf.DUMMYFUNCTION("""COMPUTED_VALUE"""),11.0)</f>
        <v>11</v>
      </c>
      <c r="L2362" s="308">
        <f>IFERROR(__xludf.DUMMYFUNCTION("""COMPUTED_VALUE"""),2014.0)</f>
        <v>2014</v>
      </c>
      <c r="M2362" s="308" t="s">
        <v>9727</v>
      </c>
      <c r="N2362" s="308"/>
      <c r="O2362" s="308" t="s">
        <v>9723</v>
      </c>
      <c r="P2362" s="308" t="s">
        <v>36652</v>
      </c>
      <c r="Q2362" s="308"/>
      <c r="R2362" s="308"/>
      <c r="S2362" s="308" t="s">
        <v>81</v>
      </c>
      <c r="T2362" s="311" t="s">
        <v>91</v>
      </c>
      <c r="U2362" s="308"/>
      <c r="V2362" s="312"/>
    </row>
    <row r="2363">
      <c r="A2363" s="308">
        <v>2362.0</v>
      </c>
      <c r="B2363" s="308"/>
      <c r="C2363" s="308" t="s">
        <v>9729</v>
      </c>
      <c r="D2363" s="308">
        <f>IFERROR(__xludf.DUMMYFUNCTION("SPLIT(C2363,""-"")"),2383.0)</f>
        <v>2383</v>
      </c>
      <c r="E2363" s="308" t="str">
        <f>IFERROR(__xludf.DUMMYFUNCTION("""COMPUTED_VALUE"""),"S")</f>
        <v>S</v>
      </c>
      <c r="F2363" s="312" t="s">
        <v>39</v>
      </c>
      <c r="G2363" s="308"/>
      <c r="H2363" s="308" t="s">
        <v>9730</v>
      </c>
      <c r="I2363" s="314">
        <v>41968.0</v>
      </c>
      <c r="J2363" s="319">
        <f>IFERROR(__xludf.DUMMYFUNCTION("SPLIT(I2363,""/"")"),25.0)</f>
        <v>25</v>
      </c>
      <c r="K2363" s="308">
        <f>IFERROR(__xludf.DUMMYFUNCTION("""COMPUTED_VALUE"""),11.0)</f>
        <v>11</v>
      </c>
      <c r="L2363" s="308">
        <f>IFERROR(__xludf.DUMMYFUNCTION("""COMPUTED_VALUE"""),2014.0)</f>
        <v>2014</v>
      </c>
      <c r="M2363" s="308" t="s">
        <v>9727</v>
      </c>
      <c r="N2363" s="308"/>
      <c r="O2363" s="308" t="s">
        <v>9731</v>
      </c>
      <c r="P2363" s="308"/>
      <c r="Q2363" s="308"/>
      <c r="R2363" s="308"/>
      <c r="S2363" s="308" t="s">
        <v>79</v>
      </c>
      <c r="T2363" s="308" t="s">
        <v>79</v>
      </c>
      <c r="U2363" s="308"/>
      <c r="V2363" s="312"/>
    </row>
    <row r="2364">
      <c r="A2364" s="308">
        <v>2363.0</v>
      </c>
      <c r="B2364" s="308"/>
      <c r="C2364" s="308" t="s">
        <v>9732</v>
      </c>
      <c r="D2364" s="308">
        <f>IFERROR(__xludf.DUMMYFUNCTION("SPLIT(C2364,""-"")"),2384.0)</f>
        <v>2384</v>
      </c>
      <c r="E2364" s="308" t="str">
        <f>IFERROR(__xludf.DUMMYFUNCTION("""COMPUTED_VALUE"""),"S")</f>
        <v>S</v>
      </c>
      <c r="F2364" s="312" t="s">
        <v>39</v>
      </c>
      <c r="G2364" s="308"/>
      <c r="H2364" s="308" t="s">
        <v>9733</v>
      </c>
      <c r="I2364" s="314">
        <v>41124.0</v>
      </c>
      <c r="J2364" s="319">
        <f>IFERROR(__xludf.DUMMYFUNCTION("SPLIT(I2364,""/"")"),3.0)</f>
        <v>3</v>
      </c>
      <c r="K2364" s="308">
        <f>IFERROR(__xludf.DUMMYFUNCTION("""COMPUTED_VALUE"""),8.0)</f>
        <v>8</v>
      </c>
      <c r="L2364" s="308">
        <f>IFERROR(__xludf.DUMMYFUNCTION("""COMPUTED_VALUE"""),2012.0)</f>
        <v>2012</v>
      </c>
      <c r="M2364" s="308" t="s">
        <v>9727</v>
      </c>
      <c r="N2364" s="308"/>
      <c r="O2364" s="308" t="s">
        <v>9731</v>
      </c>
      <c r="P2364" s="308"/>
      <c r="Q2364" s="308"/>
      <c r="R2364" s="308"/>
      <c r="S2364" s="308" t="s">
        <v>79</v>
      </c>
      <c r="T2364" s="308" t="s">
        <v>79</v>
      </c>
      <c r="U2364" s="308"/>
      <c r="V2364" s="312"/>
    </row>
    <row r="2365">
      <c r="A2365" s="308">
        <v>2364.0</v>
      </c>
      <c r="B2365" s="308"/>
      <c r="C2365" s="308" t="s">
        <v>9734</v>
      </c>
      <c r="D2365" s="308">
        <f>IFERROR(__xludf.DUMMYFUNCTION("SPLIT(C2365,""-"")"),2385.0)</f>
        <v>2385</v>
      </c>
      <c r="E2365" s="308" t="str">
        <f>IFERROR(__xludf.DUMMYFUNCTION("""COMPUTED_VALUE"""),"A")</f>
        <v>A</v>
      </c>
      <c r="F2365" s="309" t="s">
        <v>23</v>
      </c>
      <c r="G2365" s="308"/>
      <c r="H2365" s="308" t="s">
        <v>9735</v>
      </c>
      <c r="I2365" s="314">
        <v>41861.0</v>
      </c>
      <c r="J2365" s="319">
        <f>IFERROR(__xludf.DUMMYFUNCTION("SPLIT(I2365,""/"")"),10.0)</f>
        <v>10</v>
      </c>
      <c r="K2365" s="308">
        <f>IFERROR(__xludf.DUMMYFUNCTION("""COMPUTED_VALUE"""),8.0)</f>
        <v>8</v>
      </c>
      <c r="L2365" s="308">
        <f>IFERROR(__xludf.DUMMYFUNCTION("""COMPUTED_VALUE"""),2014.0)</f>
        <v>2014</v>
      </c>
      <c r="M2365" s="308" t="s">
        <v>9736</v>
      </c>
      <c r="N2365" s="308"/>
      <c r="O2365" s="308" t="s">
        <v>9737</v>
      </c>
      <c r="P2365" s="308" t="s">
        <v>9738</v>
      </c>
      <c r="Q2365" s="308"/>
      <c r="R2365" s="308"/>
      <c r="S2365" s="308" t="s">
        <v>49</v>
      </c>
      <c r="T2365" s="308" t="s">
        <v>51</v>
      </c>
      <c r="U2365" s="308"/>
      <c r="V2365" s="312"/>
    </row>
    <row r="2366">
      <c r="A2366" s="308">
        <v>2365.0</v>
      </c>
      <c r="B2366" s="308"/>
      <c r="C2366" s="308" t="s">
        <v>9739</v>
      </c>
      <c r="D2366" s="308">
        <f>IFERROR(__xludf.DUMMYFUNCTION("SPLIT(C2366,""-"")"),2386.0)</f>
        <v>2386</v>
      </c>
      <c r="E2366" s="308" t="str">
        <f>IFERROR(__xludf.DUMMYFUNCTION("""COMPUTED_VALUE"""),"A")</f>
        <v>A</v>
      </c>
      <c r="F2366" s="309" t="s">
        <v>23</v>
      </c>
      <c r="G2366" s="308"/>
      <c r="H2366" s="308" t="s">
        <v>9740</v>
      </c>
      <c r="I2366" s="314">
        <v>41793.0</v>
      </c>
      <c r="J2366" s="319">
        <f>IFERROR(__xludf.DUMMYFUNCTION("SPLIT(I2366,""/"")"),3.0)</f>
        <v>3</v>
      </c>
      <c r="K2366" s="308">
        <f>IFERROR(__xludf.DUMMYFUNCTION("""COMPUTED_VALUE"""),6.0)</f>
        <v>6</v>
      </c>
      <c r="L2366" s="308">
        <f>IFERROR(__xludf.DUMMYFUNCTION("""COMPUTED_VALUE"""),2014.0)</f>
        <v>2014</v>
      </c>
      <c r="M2366" s="308" t="s">
        <v>9741</v>
      </c>
      <c r="N2366" s="308"/>
      <c r="O2366" s="308" t="s">
        <v>9742</v>
      </c>
      <c r="P2366" s="308" t="s">
        <v>9743</v>
      </c>
      <c r="Q2366" s="308"/>
      <c r="R2366" s="308"/>
      <c r="S2366" s="308" t="s">
        <v>81</v>
      </c>
      <c r="T2366" s="311" t="s">
        <v>73</v>
      </c>
      <c r="U2366" s="308"/>
      <c r="V2366" s="312"/>
    </row>
    <row r="2367">
      <c r="A2367" s="308">
        <v>2366.0</v>
      </c>
      <c r="B2367" s="308"/>
      <c r="C2367" s="308" t="s">
        <v>9744</v>
      </c>
      <c r="D2367" s="308">
        <f>IFERROR(__xludf.DUMMYFUNCTION("SPLIT(C2367,""-"")"),2387.0)</f>
        <v>2387</v>
      </c>
      <c r="E2367" s="308" t="str">
        <f>IFERROR(__xludf.DUMMYFUNCTION("""COMPUTED_VALUE"""),"P")</f>
        <v>P</v>
      </c>
      <c r="F2367" s="312" t="s">
        <v>37</v>
      </c>
      <c r="G2367" s="308"/>
      <c r="H2367" s="308" t="s">
        <v>9745</v>
      </c>
      <c r="I2367" s="314">
        <v>41978.0</v>
      </c>
      <c r="J2367" s="319">
        <f>IFERROR(__xludf.DUMMYFUNCTION("SPLIT(I2367,""/"")"),5.0)</f>
        <v>5</v>
      </c>
      <c r="K2367" s="308">
        <f>IFERROR(__xludf.DUMMYFUNCTION("""COMPUTED_VALUE"""),12.0)</f>
        <v>12</v>
      </c>
      <c r="L2367" s="308">
        <f>IFERROR(__xludf.DUMMYFUNCTION("""COMPUTED_VALUE"""),2014.0)</f>
        <v>2014</v>
      </c>
      <c r="M2367" s="308" t="s">
        <v>9746</v>
      </c>
      <c r="N2367" s="308"/>
      <c r="O2367" s="308" t="s">
        <v>9747</v>
      </c>
      <c r="P2367" s="308" t="s">
        <v>36653</v>
      </c>
      <c r="Q2367" s="308"/>
      <c r="R2367" s="308"/>
      <c r="S2367" s="308" t="s">
        <v>81</v>
      </c>
      <c r="T2367" s="308" t="s">
        <v>75</v>
      </c>
      <c r="U2367" s="308"/>
      <c r="V2367" s="312"/>
    </row>
    <row r="2368">
      <c r="A2368" s="308">
        <v>2367.0</v>
      </c>
      <c r="B2368" s="308"/>
      <c r="C2368" s="308" t="s">
        <v>9749</v>
      </c>
      <c r="D2368" s="308">
        <f>IFERROR(__xludf.DUMMYFUNCTION("SPLIT(C2368,""-"")"),2388.0)</f>
        <v>2388</v>
      </c>
      <c r="E2368" s="308" t="str">
        <f>IFERROR(__xludf.DUMMYFUNCTION("""COMPUTED_VALUE"""),"P")</f>
        <v>P</v>
      </c>
      <c r="F2368" s="312" t="s">
        <v>37</v>
      </c>
      <c r="G2368" s="308"/>
      <c r="H2368" s="308" t="s">
        <v>9750</v>
      </c>
      <c r="I2368" s="314">
        <v>41957.0</v>
      </c>
      <c r="J2368" s="319">
        <f>IFERROR(__xludf.DUMMYFUNCTION("SPLIT(I2368,""/"")"),14.0)</f>
        <v>14</v>
      </c>
      <c r="K2368" s="308">
        <f>IFERROR(__xludf.DUMMYFUNCTION("""COMPUTED_VALUE"""),11.0)</f>
        <v>11</v>
      </c>
      <c r="L2368" s="308">
        <f>IFERROR(__xludf.DUMMYFUNCTION("""COMPUTED_VALUE"""),2014.0)</f>
        <v>2014</v>
      </c>
      <c r="M2368" s="308" t="s">
        <v>9751</v>
      </c>
      <c r="N2368" s="308"/>
      <c r="O2368" s="308" t="s">
        <v>9752</v>
      </c>
      <c r="P2368" s="308" t="s">
        <v>9753</v>
      </c>
      <c r="Q2368" s="308"/>
      <c r="R2368" s="308"/>
      <c r="S2368" s="308" t="s">
        <v>81</v>
      </c>
      <c r="T2368" s="308" t="s">
        <v>75</v>
      </c>
      <c r="U2368" s="308"/>
      <c r="V2368" s="312"/>
    </row>
    <row r="2369">
      <c r="A2369" s="308">
        <v>2368.0</v>
      </c>
      <c r="B2369" s="308"/>
      <c r="C2369" s="308" t="s">
        <v>9754</v>
      </c>
      <c r="D2369" s="308">
        <f>IFERROR(__xludf.DUMMYFUNCTION("SPLIT(C2369,""-"")"),2389.0)</f>
        <v>2389</v>
      </c>
      <c r="E2369" s="308" t="str">
        <f>IFERROR(__xludf.DUMMYFUNCTION("""COMPUTED_VALUE"""),"P")</f>
        <v>P</v>
      </c>
      <c r="F2369" s="312" t="s">
        <v>37</v>
      </c>
      <c r="G2369" s="308"/>
      <c r="H2369" s="308" t="s">
        <v>9755</v>
      </c>
      <c r="I2369" s="314">
        <v>41991.0</v>
      </c>
      <c r="J2369" s="319">
        <f>IFERROR(__xludf.DUMMYFUNCTION("SPLIT(I2369,""/"")"),18.0)</f>
        <v>18</v>
      </c>
      <c r="K2369" s="308">
        <f>IFERROR(__xludf.DUMMYFUNCTION("""COMPUTED_VALUE"""),12.0)</f>
        <v>12</v>
      </c>
      <c r="L2369" s="308">
        <f>IFERROR(__xludf.DUMMYFUNCTION("""COMPUTED_VALUE"""),2014.0)</f>
        <v>2014</v>
      </c>
      <c r="M2369" s="308" t="s">
        <v>36654</v>
      </c>
      <c r="N2369" s="308"/>
      <c r="O2369" s="308" t="s">
        <v>9757</v>
      </c>
      <c r="P2369" s="308" t="s">
        <v>9758</v>
      </c>
      <c r="Q2369" s="308"/>
      <c r="R2369" s="308"/>
      <c r="S2369" s="308" t="s">
        <v>81</v>
      </c>
      <c r="T2369" s="308" t="s">
        <v>34264</v>
      </c>
      <c r="U2369" s="308" t="s">
        <v>1910</v>
      </c>
      <c r="V2369" s="312"/>
    </row>
    <row r="2370">
      <c r="A2370" s="308">
        <v>2369.0</v>
      </c>
      <c r="B2370" s="308"/>
      <c r="C2370" s="308" t="s">
        <v>9759</v>
      </c>
      <c r="D2370" s="308">
        <f>IFERROR(__xludf.DUMMYFUNCTION("SPLIT(C2370,""-"")"),2390.0)</f>
        <v>2390</v>
      </c>
      <c r="E2370" s="308" t="str">
        <f>IFERROR(__xludf.DUMMYFUNCTION("""COMPUTED_VALUE"""),"S")</f>
        <v>S</v>
      </c>
      <c r="F2370" s="312" t="s">
        <v>39</v>
      </c>
      <c r="G2370" s="308"/>
      <c r="H2370" s="308" t="s">
        <v>9760</v>
      </c>
      <c r="I2370" s="314">
        <v>41945.0</v>
      </c>
      <c r="J2370" s="319">
        <f>IFERROR(__xludf.DUMMYFUNCTION("SPLIT(I2370,""/"")"),2.0)</f>
        <v>2</v>
      </c>
      <c r="K2370" s="308">
        <f>IFERROR(__xludf.DUMMYFUNCTION("""COMPUTED_VALUE"""),11.0)</f>
        <v>11</v>
      </c>
      <c r="L2370" s="308">
        <f>IFERROR(__xludf.DUMMYFUNCTION("""COMPUTED_VALUE"""),2014.0)</f>
        <v>2014</v>
      </c>
      <c r="M2370" s="308" t="s">
        <v>9761</v>
      </c>
      <c r="N2370" s="308"/>
      <c r="O2370" s="308"/>
      <c r="P2370" s="308" t="s">
        <v>36655</v>
      </c>
      <c r="Q2370" s="308"/>
      <c r="R2370" s="308"/>
      <c r="S2370" s="308" t="s">
        <v>81</v>
      </c>
      <c r="T2370" s="308" t="s">
        <v>75</v>
      </c>
      <c r="U2370" s="312"/>
      <c r="V2370" s="312"/>
    </row>
    <row r="2371">
      <c r="A2371" s="308">
        <v>2370.0</v>
      </c>
      <c r="B2371" s="308"/>
      <c r="C2371" s="308" t="s">
        <v>9763</v>
      </c>
      <c r="D2371" s="308">
        <f>IFERROR(__xludf.DUMMYFUNCTION("SPLIT(C2371,""-"")"),2391.0)</f>
        <v>2391</v>
      </c>
      <c r="E2371" s="308" t="str">
        <f>IFERROR(__xludf.DUMMYFUNCTION("""COMPUTED_VALUE"""),"B")</f>
        <v>B</v>
      </c>
      <c r="F2371" s="315" t="s">
        <v>26</v>
      </c>
      <c r="G2371" s="308"/>
      <c r="H2371" s="308" t="s">
        <v>9764</v>
      </c>
      <c r="I2371" s="314">
        <v>40378.0</v>
      </c>
      <c r="J2371" s="319">
        <f>IFERROR(__xludf.DUMMYFUNCTION("SPLIT(I2371,""/"")"),19.0)</f>
        <v>19</v>
      </c>
      <c r="K2371" s="308">
        <f>IFERROR(__xludf.DUMMYFUNCTION("""COMPUTED_VALUE"""),7.0)</f>
        <v>7</v>
      </c>
      <c r="L2371" s="308">
        <f>IFERROR(__xludf.DUMMYFUNCTION("""COMPUTED_VALUE"""),2010.0)</f>
        <v>2010</v>
      </c>
      <c r="M2371" s="308" t="s">
        <v>9765</v>
      </c>
      <c r="N2371" s="308"/>
      <c r="O2371" s="312"/>
      <c r="P2371" s="308" t="s">
        <v>9766</v>
      </c>
      <c r="Q2371" s="308"/>
      <c r="R2371" s="308"/>
      <c r="S2371" s="308" t="s">
        <v>49</v>
      </c>
      <c r="T2371" s="308" t="s">
        <v>51</v>
      </c>
      <c r="U2371" s="308" t="s">
        <v>27</v>
      </c>
      <c r="V2371" s="312"/>
    </row>
    <row r="2372">
      <c r="A2372" s="308">
        <v>2371.0</v>
      </c>
      <c r="B2372" s="308"/>
      <c r="C2372" s="308" t="s">
        <v>9767</v>
      </c>
      <c r="D2372" s="308">
        <f>IFERROR(__xludf.DUMMYFUNCTION("SPLIT(C2372,""-"")"),2392.0)</f>
        <v>2392</v>
      </c>
      <c r="E2372" s="308" t="str">
        <f>IFERROR(__xludf.DUMMYFUNCTION("""COMPUTED_VALUE"""),"K")</f>
        <v>K</v>
      </c>
      <c r="F2372" s="309" t="s">
        <v>34</v>
      </c>
      <c r="G2372" s="308"/>
      <c r="H2372" s="308" t="s">
        <v>9768</v>
      </c>
      <c r="I2372" s="316">
        <v>2009.0</v>
      </c>
      <c r="J2372" s="319"/>
      <c r="K2372" s="308"/>
      <c r="L2372" s="311">
        <v>2009.0</v>
      </c>
      <c r="M2372" s="308" t="s">
        <v>9769</v>
      </c>
      <c r="N2372" s="308"/>
      <c r="O2372" s="308" t="s">
        <v>9770</v>
      </c>
      <c r="P2372" s="308" t="s">
        <v>5679</v>
      </c>
      <c r="Q2372" s="308"/>
      <c r="R2372" s="308"/>
      <c r="S2372" s="315" t="s">
        <v>100</v>
      </c>
      <c r="T2372" s="311" t="s">
        <v>34208</v>
      </c>
      <c r="U2372" s="308" t="s">
        <v>530</v>
      </c>
      <c r="V2372" s="312"/>
    </row>
    <row r="2373">
      <c r="A2373" s="308">
        <v>2372.0</v>
      </c>
      <c r="B2373" s="308"/>
      <c r="C2373" s="308" t="s">
        <v>9771</v>
      </c>
      <c r="D2373" s="308">
        <f>IFERROR(__xludf.DUMMYFUNCTION("SPLIT(C2373,""-"")"),2393.0)</f>
        <v>2393</v>
      </c>
      <c r="E2373" s="308" t="str">
        <f>IFERROR(__xludf.DUMMYFUNCTION("""COMPUTED_VALUE"""),"B")</f>
        <v>B</v>
      </c>
      <c r="F2373" s="315" t="s">
        <v>26</v>
      </c>
      <c r="G2373" s="308"/>
      <c r="H2373" s="308" t="s">
        <v>9772</v>
      </c>
      <c r="I2373" s="325">
        <v>41821.0</v>
      </c>
      <c r="J2373" s="319"/>
      <c r="K2373" s="311">
        <v>7.0</v>
      </c>
      <c r="L2373" s="311">
        <v>2014.0</v>
      </c>
      <c r="M2373" s="308" t="s">
        <v>9773</v>
      </c>
      <c r="N2373" s="308"/>
      <c r="O2373" s="308"/>
      <c r="P2373" s="308" t="s">
        <v>9774</v>
      </c>
      <c r="Q2373" s="308"/>
      <c r="R2373" s="308"/>
      <c r="S2373" s="308" t="s">
        <v>81</v>
      </c>
      <c r="T2373" s="308" t="s">
        <v>75</v>
      </c>
      <c r="U2373" s="308" t="s">
        <v>27</v>
      </c>
      <c r="V2373" s="312"/>
    </row>
    <row r="2374">
      <c r="A2374" s="308">
        <v>2373.0</v>
      </c>
      <c r="B2374" s="308"/>
      <c r="C2374" s="308" t="s">
        <v>9775</v>
      </c>
      <c r="D2374" s="308">
        <f>IFERROR(__xludf.DUMMYFUNCTION("SPLIT(C2374,""-"")"),2394.0)</f>
        <v>2394</v>
      </c>
      <c r="E2374" s="308" t="str">
        <f>IFERROR(__xludf.DUMMYFUNCTION("""COMPUTED_VALUE"""),"B")</f>
        <v>B</v>
      </c>
      <c r="F2374" s="315" t="s">
        <v>26</v>
      </c>
      <c r="G2374" s="308"/>
      <c r="H2374" s="308" t="s">
        <v>9776</v>
      </c>
      <c r="I2374" s="325">
        <v>41821.0</v>
      </c>
      <c r="J2374" s="319"/>
      <c r="K2374" s="311">
        <v>7.0</v>
      </c>
      <c r="L2374" s="311">
        <v>2014.0</v>
      </c>
      <c r="M2374" s="308" t="s">
        <v>9773</v>
      </c>
      <c r="N2374" s="308"/>
      <c r="O2374" s="308" t="s">
        <v>9777</v>
      </c>
      <c r="P2374" s="308" t="s">
        <v>9778</v>
      </c>
      <c r="Q2374" s="308"/>
      <c r="R2374" s="308"/>
      <c r="S2374" s="308" t="s">
        <v>81</v>
      </c>
      <c r="T2374" s="308" t="s">
        <v>75</v>
      </c>
      <c r="U2374" s="308" t="s">
        <v>27</v>
      </c>
      <c r="V2374" s="312"/>
    </row>
    <row r="2375">
      <c r="A2375" s="308">
        <v>2374.0</v>
      </c>
      <c r="B2375" s="308"/>
      <c r="C2375" s="308" t="s">
        <v>9779</v>
      </c>
      <c r="D2375" s="308">
        <f>IFERROR(__xludf.DUMMYFUNCTION("SPLIT(C2375,""-"")"),2395.0)</f>
        <v>2395</v>
      </c>
      <c r="E2375" s="308" t="str">
        <f>IFERROR(__xludf.DUMMYFUNCTION("""COMPUTED_VALUE"""),"K")</f>
        <v>K</v>
      </c>
      <c r="F2375" s="309" t="s">
        <v>34</v>
      </c>
      <c r="G2375" s="308" t="s">
        <v>9780</v>
      </c>
      <c r="H2375" s="308" t="s">
        <v>9781</v>
      </c>
      <c r="I2375" s="316">
        <v>2011.0</v>
      </c>
      <c r="J2375" s="319"/>
      <c r="K2375" s="308"/>
      <c r="L2375" s="311">
        <v>2011.0</v>
      </c>
      <c r="M2375" s="308" t="s">
        <v>9782</v>
      </c>
      <c r="N2375" s="308"/>
      <c r="O2375" s="308" t="s">
        <v>9777</v>
      </c>
      <c r="P2375" s="308" t="s">
        <v>5679</v>
      </c>
      <c r="Q2375" s="308"/>
      <c r="R2375" s="308"/>
      <c r="S2375" s="315" t="s">
        <v>100</v>
      </c>
      <c r="T2375" s="311" t="s">
        <v>34208</v>
      </c>
      <c r="U2375" s="308"/>
      <c r="V2375" s="312"/>
    </row>
    <row r="2376">
      <c r="A2376" s="308">
        <v>2375.0</v>
      </c>
      <c r="B2376" s="308"/>
      <c r="C2376" s="308" t="s">
        <v>9783</v>
      </c>
      <c r="D2376" s="308">
        <f>IFERROR(__xludf.DUMMYFUNCTION("SPLIT(C2376,""-"")"),2396.0)</f>
        <v>2396</v>
      </c>
      <c r="E2376" s="308" t="str">
        <f>IFERROR(__xludf.DUMMYFUNCTION("""COMPUTED_VALUE"""),"P")</f>
        <v>P</v>
      </c>
      <c r="F2376" s="312" t="s">
        <v>37</v>
      </c>
      <c r="G2376" s="308" t="s">
        <v>9784</v>
      </c>
      <c r="H2376" s="308" t="s">
        <v>9785</v>
      </c>
      <c r="I2376" s="314">
        <v>41627.0</v>
      </c>
      <c r="J2376" s="319">
        <f>IFERROR(__xludf.DUMMYFUNCTION("SPLIT(I2376,""/"")"),19.0)</f>
        <v>19</v>
      </c>
      <c r="K2376" s="308">
        <f>IFERROR(__xludf.DUMMYFUNCTION("""COMPUTED_VALUE"""),12.0)</f>
        <v>12</v>
      </c>
      <c r="L2376" s="308">
        <f>IFERROR(__xludf.DUMMYFUNCTION("""COMPUTED_VALUE"""),2013.0)</f>
        <v>2013</v>
      </c>
      <c r="M2376" s="308" t="s">
        <v>9786</v>
      </c>
      <c r="N2376" s="308"/>
      <c r="O2376" s="308" t="s">
        <v>635</v>
      </c>
      <c r="P2376" s="308" t="s">
        <v>9787</v>
      </c>
      <c r="Q2376" s="308"/>
      <c r="R2376" s="308"/>
      <c r="S2376" s="308" t="s">
        <v>81</v>
      </c>
      <c r="T2376" s="308" t="s">
        <v>75</v>
      </c>
      <c r="U2376" s="308"/>
      <c r="V2376" s="312"/>
    </row>
    <row r="2377">
      <c r="A2377" s="308">
        <v>2376.0</v>
      </c>
      <c r="B2377" s="308"/>
      <c r="C2377" s="308" t="s">
        <v>9788</v>
      </c>
      <c r="D2377" s="308">
        <f>IFERROR(__xludf.DUMMYFUNCTION("SPLIT(C2377,""-"")"),2397.0)</f>
        <v>2397</v>
      </c>
      <c r="E2377" s="308" t="str">
        <f>IFERROR(__xludf.DUMMYFUNCTION("""COMPUTED_VALUE"""),"P")</f>
        <v>P</v>
      </c>
      <c r="F2377" s="312" t="s">
        <v>37</v>
      </c>
      <c r="G2377" s="308" t="s">
        <v>9784</v>
      </c>
      <c r="H2377" s="308" t="s">
        <v>9789</v>
      </c>
      <c r="I2377" s="314">
        <v>41627.0</v>
      </c>
      <c r="J2377" s="319">
        <f>IFERROR(__xludf.DUMMYFUNCTION("SPLIT(I2377,""/"")"),19.0)</f>
        <v>19</v>
      </c>
      <c r="K2377" s="308">
        <f>IFERROR(__xludf.DUMMYFUNCTION("""COMPUTED_VALUE"""),12.0)</f>
        <v>12</v>
      </c>
      <c r="L2377" s="308">
        <f>IFERROR(__xludf.DUMMYFUNCTION("""COMPUTED_VALUE"""),2013.0)</f>
        <v>2013</v>
      </c>
      <c r="M2377" s="308" t="s">
        <v>9786</v>
      </c>
      <c r="N2377" s="308"/>
      <c r="O2377" s="308" t="s">
        <v>635</v>
      </c>
      <c r="P2377" s="308" t="s">
        <v>34756</v>
      </c>
      <c r="Q2377" s="308"/>
      <c r="R2377" s="308"/>
      <c r="S2377" s="308" t="s">
        <v>81</v>
      </c>
      <c r="T2377" s="311" t="s">
        <v>35048</v>
      </c>
      <c r="U2377" s="308"/>
      <c r="V2377" s="312"/>
    </row>
    <row r="2378">
      <c r="A2378" s="308">
        <v>2377.0</v>
      </c>
      <c r="B2378" s="308"/>
      <c r="C2378" s="308" t="s">
        <v>9790</v>
      </c>
      <c r="D2378" s="308">
        <f>IFERROR(__xludf.DUMMYFUNCTION("SPLIT(C2378,""-"")"),2398.0)</f>
        <v>2398</v>
      </c>
      <c r="E2378" s="308" t="str">
        <f>IFERROR(__xludf.DUMMYFUNCTION("""COMPUTED_VALUE"""),"S")</f>
        <v>S</v>
      </c>
      <c r="F2378" s="312" t="s">
        <v>39</v>
      </c>
      <c r="G2378" s="308" t="s">
        <v>9791</v>
      </c>
      <c r="H2378" s="308" t="s">
        <v>9792</v>
      </c>
      <c r="I2378" s="314">
        <v>41922.0</v>
      </c>
      <c r="J2378" s="319">
        <f>IFERROR(__xludf.DUMMYFUNCTION("SPLIT(I2378,""/"")"),10.0)</f>
        <v>10</v>
      </c>
      <c r="K2378" s="308">
        <f>IFERROR(__xludf.DUMMYFUNCTION("""COMPUTED_VALUE"""),10.0)</f>
        <v>10</v>
      </c>
      <c r="L2378" s="308">
        <f>IFERROR(__xludf.DUMMYFUNCTION("""COMPUTED_VALUE"""),2014.0)</f>
        <v>2014</v>
      </c>
      <c r="M2378" s="308" t="s">
        <v>9793</v>
      </c>
      <c r="N2378" s="308"/>
      <c r="O2378" s="308" t="s">
        <v>635</v>
      </c>
      <c r="P2378" s="308" t="s">
        <v>9794</v>
      </c>
      <c r="Q2378" s="308"/>
      <c r="R2378" s="308"/>
      <c r="S2378" s="308" t="s">
        <v>81</v>
      </c>
      <c r="T2378" s="311" t="s">
        <v>73</v>
      </c>
      <c r="U2378" s="308"/>
      <c r="V2378" s="312"/>
    </row>
    <row r="2379">
      <c r="A2379" s="308">
        <v>2378.0</v>
      </c>
      <c r="B2379" s="308"/>
      <c r="C2379" s="308" t="s">
        <v>9795</v>
      </c>
      <c r="D2379" s="308">
        <f>IFERROR(__xludf.DUMMYFUNCTION("SPLIT(C2379,""-"")"),2399.0)</f>
        <v>2399</v>
      </c>
      <c r="E2379" s="308" t="str">
        <f>IFERROR(__xludf.DUMMYFUNCTION("""COMPUTED_VALUE"""),"K")</f>
        <v>K</v>
      </c>
      <c r="F2379" s="309" t="s">
        <v>34</v>
      </c>
      <c r="G2379" s="308" t="s">
        <v>9796</v>
      </c>
      <c r="H2379" s="308" t="s">
        <v>9797</v>
      </c>
      <c r="I2379" s="310">
        <v>41421.0</v>
      </c>
      <c r="J2379" s="319">
        <f>IFERROR(__xludf.DUMMYFUNCTION("SPLIT(I2379,""/"")"),27.0)</f>
        <v>27</v>
      </c>
      <c r="K2379" s="308">
        <f>IFERROR(__xludf.DUMMYFUNCTION("""COMPUTED_VALUE"""),5.0)</f>
        <v>5</v>
      </c>
      <c r="L2379" s="308">
        <f>IFERROR(__xludf.DUMMYFUNCTION("""COMPUTED_VALUE"""),2013.0)</f>
        <v>2013</v>
      </c>
      <c r="M2379" s="308" t="s">
        <v>9798</v>
      </c>
      <c r="N2379" s="308"/>
      <c r="O2379" s="308"/>
      <c r="P2379" s="308" t="s">
        <v>36656</v>
      </c>
      <c r="Q2379" s="308"/>
      <c r="R2379" s="308"/>
      <c r="S2379" s="308" t="s">
        <v>81</v>
      </c>
      <c r="T2379" s="308" t="s">
        <v>34264</v>
      </c>
      <c r="U2379" s="308"/>
      <c r="V2379" s="312"/>
    </row>
    <row r="2380">
      <c r="A2380" s="308">
        <v>2379.0</v>
      </c>
      <c r="B2380" s="308"/>
      <c r="C2380" s="308" t="s">
        <v>9800</v>
      </c>
      <c r="D2380" s="308">
        <f>IFERROR(__xludf.DUMMYFUNCTION("SPLIT(C2380,""-"")"),2400.0)</f>
        <v>2400</v>
      </c>
      <c r="E2380" s="308" t="str">
        <f>IFERROR(__xludf.DUMMYFUNCTION("""COMPUTED_VALUE"""),"K")</f>
        <v>K</v>
      </c>
      <c r="F2380" s="309" t="s">
        <v>34</v>
      </c>
      <c r="G2380" s="308" t="s">
        <v>9801</v>
      </c>
      <c r="H2380" s="308" t="s">
        <v>9802</v>
      </c>
      <c r="I2380" s="310">
        <v>41676.0</v>
      </c>
      <c r="J2380" s="319">
        <f>IFERROR(__xludf.DUMMYFUNCTION("SPLIT(I2380,""/"")"),6.0)</f>
        <v>6</v>
      </c>
      <c r="K2380" s="308">
        <f>IFERROR(__xludf.DUMMYFUNCTION("""COMPUTED_VALUE"""),2.0)</f>
        <v>2</v>
      </c>
      <c r="L2380" s="308">
        <f>IFERROR(__xludf.DUMMYFUNCTION("""COMPUTED_VALUE"""),2014.0)</f>
        <v>2014</v>
      </c>
      <c r="M2380" s="308" t="s">
        <v>9803</v>
      </c>
      <c r="N2380" s="308"/>
      <c r="O2380" s="308"/>
      <c r="P2380" s="308" t="s">
        <v>9804</v>
      </c>
      <c r="Q2380" s="308"/>
      <c r="R2380" s="308"/>
      <c r="S2380" s="308" t="s">
        <v>81</v>
      </c>
      <c r="T2380" s="308" t="s">
        <v>73</v>
      </c>
      <c r="U2380" s="308"/>
      <c r="V2380" s="312"/>
    </row>
    <row r="2381">
      <c r="A2381" s="308">
        <v>2380.0</v>
      </c>
      <c r="B2381" s="308"/>
      <c r="C2381" s="308" t="s">
        <v>9805</v>
      </c>
      <c r="D2381" s="308">
        <f>IFERROR(__xludf.DUMMYFUNCTION("SPLIT(C2381,""-"")"),2401.0)</f>
        <v>2401</v>
      </c>
      <c r="E2381" s="308" t="str">
        <f>IFERROR(__xludf.DUMMYFUNCTION("""COMPUTED_VALUE"""),"S")</f>
        <v>S</v>
      </c>
      <c r="F2381" s="312" t="s">
        <v>39</v>
      </c>
      <c r="G2381" s="308" t="s">
        <v>9801</v>
      </c>
      <c r="H2381" s="308" t="s">
        <v>9806</v>
      </c>
      <c r="I2381" s="310">
        <v>41676.0</v>
      </c>
      <c r="J2381" s="319">
        <f>IFERROR(__xludf.DUMMYFUNCTION("SPLIT(I2381,""/"")"),6.0)</f>
        <v>6</v>
      </c>
      <c r="K2381" s="308">
        <f>IFERROR(__xludf.DUMMYFUNCTION("""COMPUTED_VALUE"""),2.0)</f>
        <v>2</v>
      </c>
      <c r="L2381" s="308">
        <f>IFERROR(__xludf.DUMMYFUNCTION("""COMPUTED_VALUE"""),2014.0)</f>
        <v>2014</v>
      </c>
      <c r="M2381" s="308" t="s">
        <v>9803</v>
      </c>
      <c r="N2381" s="308"/>
      <c r="O2381" s="308" t="s">
        <v>635</v>
      </c>
      <c r="P2381" s="308" t="s">
        <v>9804</v>
      </c>
      <c r="Q2381" s="308"/>
      <c r="R2381" s="308"/>
      <c r="S2381" s="308" t="s">
        <v>81</v>
      </c>
      <c r="T2381" s="308" t="s">
        <v>73</v>
      </c>
      <c r="U2381" s="312"/>
      <c r="V2381" s="312"/>
    </row>
    <row r="2382">
      <c r="A2382" s="308">
        <v>2381.0</v>
      </c>
      <c r="B2382" s="308"/>
      <c r="C2382" s="308" t="s">
        <v>9807</v>
      </c>
      <c r="D2382" s="308">
        <f>IFERROR(__xludf.DUMMYFUNCTION("SPLIT(C2382,""-"")"),2402.0)</f>
        <v>2402</v>
      </c>
      <c r="E2382" s="308" t="str">
        <f>IFERROR(__xludf.DUMMYFUNCTION("""COMPUTED_VALUE"""),"K")</f>
        <v>K</v>
      </c>
      <c r="F2382" s="309" t="s">
        <v>34</v>
      </c>
      <c r="G2382" s="308" t="s">
        <v>9808</v>
      </c>
      <c r="H2382" s="308" t="s">
        <v>9809</v>
      </c>
      <c r="I2382" s="322"/>
      <c r="J2382" s="319"/>
      <c r="K2382" s="308"/>
      <c r="L2382" s="311" t="s">
        <v>79</v>
      </c>
      <c r="M2382" s="308" t="s">
        <v>9810</v>
      </c>
      <c r="N2382" s="308"/>
      <c r="O2382" s="308"/>
      <c r="P2382" s="308" t="s">
        <v>9811</v>
      </c>
      <c r="Q2382" s="308"/>
      <c r="R2382" s="308"/>
      <c r="S2382" s="308" t="s">
        <v>81</v>
      </c>
      <c r="T2382" s="308" t="s">
        <v>34264</v>
      </c>
      <c r="U2382" s="308"/>
      <c r="V2382" s="312"/>
    </row>
    <row r="2383">
      <c r="A2383" s="308">
        <v>2382.0</v>
      </c>
      <c r="B2383" s="308"/>
      <c r="C2383" s="308" t="s">
        <v>9812</v>
      </c>
      <c r="D2383" s="308">
        <f>IFERROR(__xludf.DUMMYFUNCTION("SPLIT(C2383,""-"")"),2403.0)</f>
        <v>2403</v>
      </c>
      <c r="E2383" s="308" t="str">
        <f>IFERROR(__xludf.DUMMYFUNCTION("""COMPUTED_VALUE"""),"K")</f>
        <v>K</v>
      </c>
      <c r="F2383" s="309" t="s">
        <v>34</v>
      </c>
      <c r="G2383" s="308" t="s">
        <v>9813</v>
      </c>
      <c r="H2383" s="308" t="s">
        <v>36657</v>
      </c>
      <c r="I2383" s="316">
        <v>2013.0</v>
      </c>
      <c r="J2383" s="319"/>
      <c r="K2383" s="308"/>
      <c r="L2383" s="311">
        <v>2013.0</v>
      </c>
      <c r="M2383" s="308" t="s">
        <v>9815</v>
      </c>
      <c r="N2383" s="308"/>
      <c r="O2383" s="308"/>
      <c r="P2383" s="308" t="s">
        <v>5679</v>
      </c>
      <c r="Q2383" s="308"/>
      <c r="R2383" s="308"/>
      <c r="S2383" s="315" t="s">
        <v>100</v>
      </c>
      <c r="T2383" s="311" t="s">
        <v>34208</v>
      </c>
      <c r="U2383" s="308"/>
      <c r="V2383" s="312"/>
    </row>
    <row r="2384">
      <c r="A2384" s="308">
        <v>2383.0</v>
      </c>
      <c r="B2384" s="308"/>
      <c r="C2384" s="308" t="s">
        <v>9816</v>
      </c>
      <c r="D2384" s="308">
        <f>IFERROR(__xludf.DUMMYFUNCTION("SPLIT(C2384,""-"")"),2404.0)</f>
        <v>2404</v>
      </c>
      <c r="E2384" s="308" t="str">
        <f>IFERROR(__xludf.DUMMYFUNCTION("""COMPUTED_VALUE"""),"K")</f>
        <v>K</v>
      </c>
      <c r="F2384" s="309" t="s">
        <v>34</v>
      </c>
      <c r="G2384" s="308"/>
      <c r="H2384" s="308" t="s">
        <v>9817</v>
      </c>
      <c r="I2384" s="310">
        <v>40032.0</v>
      </c>
      <c r="J2384" s="319">
        <f>IFERROR(__xludf.DUMMYFUNCTION("SPLIT(I2384,""/"")"),7.0)</f>
        <v>7</v>
      </c>
      <c r="K2384" s="308">
        <f>IFERROR(__xludf.DUMMYFUNCTION("""COMPUTED_VALUE"""),8.0)</f>
        <v>8</v>
      </c>
      <c r="L2384" s="308">
        <f>IFERROR(__xludf.DUMMYFUNCTION("""COMPUTED_VALUE"""),2009.0)</f>
        <v>2009</v>
      </c>
      <c r="M2384" s="308" t="s">
        <v>9818</v>
      </c>
      <c r="N2384" s="308"/>
      <c r="O2384" s="308" t="s">
        <v>9819</v>
      </c>
      <c r="P2384" s="308" t="s">
        <v>2872</v>
      </c>
      <c r="Q2384" s="308"/>
      <c r="R2384" s="308"/>
      <c r="S2384" s="315" t="s">
        <v>100</v>
      </c>
      <c r="T2384" s="311" t="s">
        <v>34208</v>
      </c>
      <c r="U2384" s="308" t="s">
        <v>36658</v>
      </c>
      <c r="V2384" s="312"/>
    </row>
    <row r="2385">
      <c r="A2385" s="308">
        <v>2384.0</v>
      </c>
      <c r="B2385" s="308"/>
      <c r="C2385" s="308" t="s">
        <v>9820</v>
      </c>
      <c r="D2385" s="308">
        <f>IFERROR(__xludf.DUMMYFUNCTION("SPLIT(C2385,""-"")"),2405.0)</f>
        <v>2405</v>
      </c>
      <c r="E2385" s="308" t="str">
        <f>IFERROR(__xludf.DUMMYFUNCTION("""COMPUTED_VALUE"""),"P")</f>
        <v>P</v>
      </c>
      <c r="F2385" s="312" t="s">
        <v>37</v>
      </c>
      <c r="G2385" s="308"/>
      <c r="H2385" s="308" t="s">
        <v>9821</v>
      </c>
      <c r="I2385" s="310">
        <v>42019.0</v>
      </c>
      <c r="J2385" s="319">
        <f>IFERROR(__xludf.DUMMYFUNCTION("SPLIT(I2385,""/"")"),15.0)</f>
        <v>15</v>
      </c>
      <c r="K2385" s="308">
        <f>IFERROR(__xludf.DUMMYFUNCTION("""COMPUTED_VALUE"""),1.0)</f>
        <v>1</v>
      </c>
      <c r="L2385" s="308">
        <f>IFERROR(__xludf.DUMMYFUNCTION("""COMPUTED_VALUE"""),2015.0)</f>
        <v>2015</v>
      </c>
      <c r="M2385" s="308" t="s">
        <v>9822</v>
      </c>
      <c r="N2385" s="308"/>
      <c r="O2385" s="308" t="s">
        <v>9823</v>
      </c>
      <c r="P2385" s="308" t="s">
        <v>9824</v>
      </c>
      <c r="Q2385" s="308"/>
      <c r="R2385" s="308"/>
      <c r="S2385" s="308" t="s">
        <v>81</v>
      </c>
      <c r="T2385" s="308" t="s">
        <v>75</v>
      </c>
      <c r="U2385" s="308"/>
      <c r="V2385" s="312"/>
    </row>
    <row r="2386">
      <c r="A2386" s="308">
        <v>2385.0</v>
      </c>
      <c r="B2386" s="308"/>
      <c r="C2386" s="308" t="s">
        <v>9825</v>
      </c>
      <c r="D2386" s="308">
        <f>IFERROR(__xludf.DUMMYFUNCTION("SPLIT(C2386,""-"")"),2406.0)</f>
        <v>2406</v>
      </c>
      <c r="E2386" s="308" t="str">
        <f>IFERROR(__xludf.DUMMYFUNCTION("""COMPUTED_VALUE"""),"S")</f>
        <v>S</v>
      </c>
      <c r="F2386" s="312" t="s">
        <v>39</v>
      </c>
      <c r="G2386" s="308"/>
      <c r="H2386" s="308" t="s">
        <v>9826</v>
      </c>
      <c r="I2386" s="314">
        <v>41253.0</v>
      </c>
      <c r="J2386" s="319">
        <f>IFERROR(__xludf.DUMMYFUNCTION("SPLIT(I2386,""/"")"),10.0)</f>
        <v>10</v>
      </c>
      <c r="K2386" s="308">
        <f>IFERROR(__xludf.DUMMYFUNCTION("""COMPUTED_VALUE"""),12.0)</f>
        <v>12</v>
      </c>
      <c r="L2386" s="308">
        <f>IFERROR(__xludf.DUMMYFUNCTION("""COMPUTED_VALUE"""),2012.0)</f>
        <v>2012</v>
      </c>
      <c r="M2386" s="308" t="s">
        <v>9827</v>
      </c>
      <c r="N2386" s="308"/>
      <c r="O2386" s="308" t="s">
        <v>36659</v>
      </c>
      <c r="P2386" s="308"/>
      <c r="Q2386" s="308"/>
      <c r="R2386" s="308"/>
      <c r="S2386" s="308" t="s">
        <v>79</v>
      </c>
      <c r="T2386" s="308" t="s">
        <v>79</v>
      </c>
      <c r="U2386" s="308"/>
      <c r="V2386" s="312"/>
    </row>
    <row r="2387">
      <c r="A2387" s="308">
        <v>2386.0</v>
      </c>
      <c r="B2387" s="308"/>
      <c r="C2387" s="308" t="s">
        <v>9829</v>
      </c>
      <c r="D2387" s="308">
        <f>IFERROR(__xludf.DUMMYFUNCTION("SPLIT(C2387,""-"")"),2407.0)</f>
        <v>2407</v>
      </c>
      <c r="E2387" s="308" t="str">
        <f>IFERROR(__xludf.DUMMYFUNCTION("""COMPUTED_VALUE"""),"B")</f>
        <v>B</v>
      </c>
      <c r="F2387" s="315" t="s">
        <v>26</v>
      </c>
      <c r="G2387" s="308"/>
      <c r="H2387" s="308" t="s">
        <v>9830</v>
      </c>
      <c r="I2387" s="314">
        <v>41996.0</v>
      </c>
      <c r="J2387" s="319">
        <f>IFERROR(__xludf.DUMMYFUNCTION("SPLIT(I2387,""/"")"),23.0)</f>
        <v>23</v>
      </c>
      <c r="K2387" s="308">
        <f>IFERROR(__xludf.DUMMYFUNCTION("""COMPUTED_VALUE"""),12.0)</f>
        <v>12</v>
      </c>
      <c r="L2387" s="308">
        <f>IFERROR(__xludf.DUMMYFUNCTION("""COMPUTED_VALUE"""),2014.0)</f>
        <v>2014</v>
      </c>
      <c r="M2387" s="308" t="s">
        <v>9831</v>
      </c>
      <c r="N2387" s="308"/>
      <c r="O2387" s="308" t="s">
        <v>9832</v>
      </c>
      <c r="P2387" s="308" t="s">
        <v>296</v>
      </c>
      <c r="Q2387" s="308"/>
      <c r="R2387" s="308"/>
      <c r="S2387" s="308" t="s">
        <v>81</v>
      </c>
      <c r="T2387" s="308" t="s">
        <v>75</v>
      </c>
      <c r="U2387" s="308"/>
      <c r="V2387" s="312"/>
    </row>
    <row r="2388">
      <c r="A2388" s="308">
        <v>2387.0</v>
      </c>
      <c r="B2388" s="308"/>
      <c r="C2388" s="308" t="s">
        <v>9833</v>
      </c>
      <c r="D2388" s="308">
        <f>IFERROR(__xludf.DUMMYFUNCTION("SPLIT(C2388,""-"")"),2408.0)</f>
        <v>2408</v>
      </c>
      <c r="E2388" s="308" t="str">
        <f>IFERROR(__xludf.DUMMYFUNCTION("""COMPUTED_VALUE"""),"B")</f>
        <v>B</v>
      </c>
      <c r="F2388" s="315" t="s">
        <v>26</v>
      </c>
      <c r="G2388" s="308"/>
      <c r="H2388" s="308" t="s">
        <v>9834</v>
      </c>
      <c r="I2388" s="314">
        <v>41996.0</v>
      </c>
      <c r="J2388" s="319">
        <f>IFERROR(__xludf.DUMMYFUNCTION("SPLIT(I2388,""/"")"),23.0)</f>
        <v>23</v>
      </c>
      <c r="K2388" s="308">
        <f>IFERROR(__xludf.DUMMYFUNCTION("""COMPUTED_VALUE"""),12.0)</f>
        <v>12</v>
      </c>
      <c r="L2388" s="308">
        <f>IFERROR(__xludf.DUMMYFUNCTION("""COMPUTED_VALUE"""),2014.0)</f>
        <v>2014</v>
      </c>
      <c r="M2388" s="308" t="s">
        <v>9831</v>
      </c>
      <c r="N2388" s="308"/>
      <c r="O2388" s="308" t="s">
        <v>9832</v>
      </c>
      <c r="P2388" s="308" t="s">
        <v>296</v>
      </c>
      <c r="Q2388" s="308"/>
      <c r="R2388" s="308"/>
      <c r="S2388" s="308" t="s">
        <v>81</v>
      </c>
      <c r="T2388" s="308" t="s">
        <v>75</v>
      </c>
      <c r="U2388" s="308"/>
      <c r="V2388" s="312"/>
    </row>
    <row r="2389">
      <c r="A2389" s="308">
        <v>2388.0</v>
      </c>
      <c r="B2389" s="308"/>
      <c r="C2389" s="308" t="s">
        <v>9835</v>
      </c>
      <c r="D2389" s="308">
        <f>IFERROR(__xludf.DUMMYFUNCTION("SPLIT(C2389,""-"")"),2409.0)</f>
        <v>2409</v>
      </c>
      <c r="E2389" s="308" t="str">
        <f>IFERROR(__xludf.DUMMYFUNCTION("""COMPUTED_VALUE"""),"B")</f>
        <v>B</v>
      </c>
      <c r="F2389" s="315" t="s">
        <v>26</v>
      </c>
      <c r="G2389" s="308"/>
      <c r="H2389" s="308" t="s">
        <v>36660</v>
      </c>
      <c r="I2389" s="314">
        <v>41996.0</v>
      </c>
      <c r="J2389" s="319">
        <f>IFERROR(__xludf.DUMMYFUNCTION("SPLIT(I2389,""/"")"),23.0)</f>
        <v>23</v>
      </c>
      <c r="K2389" s="308">
        <f>IFERROR(__xludf.DUMMYFUNCTION("""COMPUTED_VALUE"""),12.0)</f>
        <v>12</v>
      </c>
      <c r="L2389" s="308">
        <f>IFERROR(__xludf.DUMMYFUNCTION("""COMPUTED_VALUE"""),2014.0)</f>
        <v>2014</v>
      </c>
      <c r="M2389" s="308" t="s">
        <v>9831</v>
      </c>
      <c r="N2389" s="308"/>
      <c r="O2389" s="308" t="s">
        <v>9837</v>
      </c>
      <c r="P2389" s="308" t="s">
        <v>296</v>
      </c>
      <c r="Q2389" s="308"/>
      <c r="R2389" s="308"/>
      <c r="S2389" s="308" t="s">
        <v>81</v>
      </c>
      <c r="T2389" s="308" t="s">
        <v>75</v>
      </c>
      <c r="U2389" s="308"/>
      <c r="V2389" s="312"/>
    </row>
    <row r="2390">
      <c r="A2390" s="308">
        <v>2389.0</v>
      </c>
      <c r="B2390" s="308"/>
      <c r="C2390" s="308" t="s">
        <v>9838</v>
      </c>
      <c r="D2390" s="308">
        <f>IFERROR(__xludf.DUMMYFUNCTION("SPLIT(C2390,""-"")"),2410.0)</f>
        <v>2410</v>
      </c>
      <c r="E2390" s="308" t="str">
        <f>IFERROR(__xludf.DUMMYFUNCTION("""COMPUTED_VALUE"""),"S")</f>
        <v>S</v>
      </c>
      <c r="F2390" s="312" t="s">
        <v>39</v>
      </c>
      <c r="G2390" s="308"/>
      <c r="H2390" s="308" t="s">
        <v>36661</v>
      </c>
      <c r="I2390" s="310">
        <v>41556.0</v>
      </c>
      <c r="J2390" s="319">
        <f>IFERROR(__xludf.DUMMYFUNCTION("SPLIT(I2390,""/"")"),9.0)</f>
        <v>9</v>
      </c>
      <c r="K2390" s="308">
        <f>IFERROR(__xludf.DUMMYFUNCTION("""COMPUTED_VALUE"""),10.0)</f>
        <v>10</v>
      </c>
      <c r="L2390" s="308">
        <f>IFERROR(__xludf.DUMMYFUNCTION("""COMPUTED_VALUE"""),2013.0)</f>
        <v>2013</v>
      </c>
      <c r="M2390" s="308" t="s">
        <v>9840</v>
      </c>
      <c r="N2390" s="308"/>
      <c r="O2390" s="308" t="s">
        <v>9841</v>
      </c>
      <c r="P2390" s="308" t="s">
        <v>9842</v>
      </c>
      <c r="Q2390" s="308"/>
      <c r="R2390" s="308"/>
      <c r="S2390" s="308" t="s">
        <v>81</v>
      </c>
      <c r="T2390" s="308" t="s">
        <v>34264</v>
      </c>
      <c r="U2390" s="308"/>
      <c r="V2390" s="312"/>
    </row>
    <row r="2391">
      <c r="A2391" s="308">
        <v>2390.0</v>
      </c>
      <c r="B2391" s="308"/>
      <c r="C2391" s="308" t="s">
        <v>9843</v>
      </c>
      <c r="D2391" s="308">
        <f>IFERROR(__xludf.DUMMYFUNCTION("SPLIT(C2391,""-"")"),2411.0)</f>
        <v>2411</v>
      </c>
      <c r="E2391" s="308" t="str">
        <f>IFERROR(__xludf.DUMMYFUNCTION("""COMPUTED_VALUE"""),"S")</f>
        <v>S</v>
      </c>
      <c r="F2391" s="312" t="s">
        <v>39</v>
      </c>
      <c r="G2391" s="308"/>
      <c r="H2391" s="308" t="s">
        <v>9844</v>
      </c>
      <c r="I2391" s="310">
        <v>41556.0</v>
      </c>
      <c r="J2391" s="319">
        <f>IFERROR(__xludf.DUMMYFUNCTION("SPLIT(I2391,""/"")"),9.0)</f>
        <v>9</v>
      </c>
      <c r="K2391" s="308">
        <f>IFERROR(__xludf.DUMMYFUNCTION("""COMPUTED_VALUE"""),10.0)</f>
        <v>10</v>
      </c>
      <c r="L2391" s="308">
        <f>IFERROR(__xludf.DUMMYFUNCTION("""COMPUTED_VALUE"""),2013.0)</f>
        <v>2013</v>
      </c>
      <c r="M2391" s="308" t="s">
        <v>9840</v>
      </c>
      <c r="N2391" s="308"/>
      <c r="O2391" s="308" t="s">
        <v>9841</v>
      </c>
      <c r="P2391" s="308" t="s">
        <v>9842</v>
      </c>
      <c r="Q2391" s="308"/>
      <c r="R2391" s="308"/>
      <c r="S2391" s="308" t="s">
        <v>81</v>
      </c>
      <c r="T2391" s="308" t="s">
        <v>34264</v>
      </c>
      <c r="U2391" s="308"/>
      <c r="V2391" s="312"/>
    </row>
    <row r="2392">
      <c r="A2392" s="308">
        <v>2391.0</v>
      </c>
      <c r="B2392" s="308"/>
      <c r="C2392" s="308" t="s">
        <v>9845</v>
      </c>
      <c r="D2392" s="308">
        <f>IFERROR(__xludf.DUMMYFUNCTION("SPLIT(C2392,""-"")"),2412.0)</f>
        <v>2412</v>
      </c>
      <c r="E2392" s="308" t="str">
        <f>IFERROR(__xludf.DUMMYFUNCTION("""COMPUTED_VALUE"""),"S")</f>
        <v>S</v>
      </c>
      <c r="F2392" s="312" t="s">
        <v>39</v>
      </c>
      <c r="G2392" s="308"/>
      <c r="H2392" s="308" t="s">
        <v>9846</v>
      </c>
      <c r="I2392" s="314">
        <v>41954.0</v>
      </c>
      <c r="J2392" s="319">
        <f>IFERROR(__xludf.DUMMYFUNCTION("SPLIT(I2392,""/"")"),11.0)</f>
        <v>11</v>
      </c>
      <c r="K2392" s="308">
        <f>IFERROR(__xludf.DUMMYFUNCTION("""COMPUTED_VALUE"""),11.0)</f>
        <v>11</v>
      </c>
      <c r="L2392" s="308">
        <f>IFERROR(__xludf.DUMMYFUNCTION("""COMPUTED_VALUE"""),2014.0)</f>
        <v>2014</v>
      </c>
      <c r="M2392" s="308" t="s">
        <v>9847</v>
      </c>
      <c r="N2392" s="308"/>
      <c r="O2392" s="308" t="s">
        <v>635</v>
      </c>
      <c r="P2392" s="308" t="s">
        <v>9804</v>
      </c>
      <c r="Q2392" s="308"/>
      <c r="R2392" s="308"/>
      <c r="S2392" s="308" t="s">
        <v>81</v>
      </c>
      <c r="T2392" s="308" t="s">
        <v>73</v>
      </c>
      <c r="U2392" s="312"/>
      <c r="V2392" s="312"/>
    </row>
    <row r="2393">
      <c r="A2393" s="308">
        <v>2392.0</v>
      </c>
      <c r="B2393" s="308"/>
      <c r="C2393" s="308" t="s">
        <v>9848</v>
      </c>
      <c r="D2393" s="308">
        <f>IFERROR(__xludf.DUMMYFUNCTION("SPLIT(C2393,""-"")"),2413.0)</f>
        <v>2413</v>
      </c>
      <c r="E2393" s="308" t="str">
        <f>IFERROR(__xludf.DUMMYFUNCTION("""COMPUTED_VALUE"""),"K")</f>
        <v>K</v>
      </c>
      <c r="F2393" s="309" t="s">
        <v>34</v>
      </c>
      <c r="G2393" s="308"/>
      <c r="H2393" s="308" t="s">
        <v>9849</v>
      </c>
      <c r="I2393" s="310">
        <v>40228.0</v>
      </c>
      <c r="J2393" s="319">
        <f>IFERROR(__xludf.DUMMYFUNCTION("SPLIT(I2393,""/"")"),19.0)</f>
        <v>19</v>
      </c>
      <c r="K2393" s="308">
        <f>IFERROR(__xludf.DUMMYFUNCTION("""COMPUTED_VALUE"""),2.0)</f>
        <v>2</v>
      </c>
      <c r="L2393" s="308">
        <f>IFERROR(__xludf.DUMMYFUNCTION("""COMPUTED_VALUE"""),2010.0)</f>
        <v>2010</v>
      </c>
      <c r="M2393" s="308" t="s">
        <v>36662</v>
      </c>
      <c r="N2393" s="308"/>
      <c r="O2393" s="308" t="s">
        <v>9851</v>
      </c>
      <c r="P2393" s="308" t="s">
        <v>9852</v>
      </c>
      <c r="Q2393" s="308"/>
      <c r="R2393" s="308"/>
      <c r="S2393" s="315" t="s">
        <v>100</v>
      </c>
      <c r="T2393" s="311" t="s">
        <v>34208</v>
      </c>
      <c r="U2393" s="308" t="s">
        <v>1393</v>
      </c>
      <c r="V2393" s="312"/>
    </row>
    <row r="2394">
      <c r="A2394" s="308">
        <v>2393.0</v>
      </c>
      <c r="B2394" s="308"/>
      <c r="C2394" s="308" t="s">
        <v>9853</v>
      </c>
      <c r="D2394" s="308">
        <f>IFERROR(__xludf.DUMMYFUNCTION("SPLIT(C2394,""-"")"),2414.0)</f>
        <v>2414</v>
      </c>
      <c r="E2394" s="308" t="str">
        <f>IFERROR(__xludf.DUMMYFUNCTION("""COMPUTED_VALUE"""),"S")</f>
        <v>S</v>
      </c>
      <c r="F2394" s="312" t="s">
        <v>39</v>
      </c>
      <c r="G2394" s="308"/>
      <c r="H2394" s="308" t="s">
        <v>9854</v>
      </c>
      <c r="I2394" s="310">
        <v>42030.0</v>
      </c>
      <c r="J2394" s="319">
        <f>IFERROR(__xludf.DUMMYFUNCTION("SPLIT(I2394,""/"")"),26.0)</f>
        <v>26</v>
      </c>
      <c r="K2394" s="308">
        <f>IFERROR(__xludf.DUMMYFUNCTION("""COMPUTED_VALUE"""),1.0)</f>
        <v>1</v>
      </c>
      <c r="L2394" s="308">
        <f>IFERROR(__xludf.DUMMYFUNCTION("""COMPUTED_VALUE"""),2015.0)</f>
        <v>2015</v>
      </c>
      <c r="M2394" s="308" t="s">
        <v>36663</v>
      </c>
      <c r="N2394" s="308"/>
      <c r="O2394" s="308" t="s">
        <v>635</v>
      </c>
      <c r="P2394" s="308" t="s">
        <v>36664</v>
      </c>
      <c r="Q2394" s="308"/>
      <c r="R2394" s="308"/>
      <c r="S2394" s="308" t="s">
        <v>81</v>
      </c>
      <c r="T2394" s="311" t="s">
        <v>91</v>
      </c>
      <c r="U2394" s="308"/>
      <c r="V2394" s="312"/>
    </row>
    <row r="2395">
      <c r="A2395" s="308">
        <v>2394.0</v>
      </c>
      <c r="B2395" s="308"/>
      <c r="C2395" s="308" t="s">
        <v>9857</v>
      </c>
      <c r="D2395" s="308">
        <f>IFERROR(__xludf.DUMMYFUNCTION("SPLIT(C2395,""-"")"),2415.0)</f>
        <v>2415</v>
      </c>
      <c r="E2395" s="308" t="str">
        <f>IFERROR(__xludf.DUMMYFUNCTION("""COMPUTED_VALUE"""),"S")</f>
        <v>S</v>
      </c>
      <c r="F2395" s="312" t="s">
        <v>39</v>
      </c>
      <c r="G2395" s="308"/>
      <c r="H2395" s="308" t="s">
        <v>9858</v>
      </c>
      <c r="I2395" s="316" t="s">
        <v>9859</v>
      </c>
      <c r="J2395" s="319">
        <f>IFERROR(__xludf.DUMMYFUNCTION("SPLIT(I2395,""/"")"),30.0)</f>
        <v>30</v>
      </c>
      <c r="K2395" s="308">
        <f>IFERROR(__xludf.DUMMYFUNCTION("""COMPUTED_VALUE"""),2.0)</f>
        <v>2</v>
      </c>
      <c r="L2395" s="308">
        <f>IFERROR(__xludf.DUMMYFUNCTION("""COMPUTED_VALUE"""),2014.0)</f>
        <v>2014</v>
      </c>
      <c r="M2395" s="308" t="s">
        <v>9860</v>
      </c>
      <c r="N2395" s="308"/>
      <c r="O2395" s="308" t="s">
        <v>9861</v>
      </c>
      <c r="P2395" s="308" t="s">
        <v>1481</v>
      </c>
      <c r="Q2395" s="308"/>
      <c r="R2395" s="308"/>
      <c r="S2395" s="308" t="s">
        <v>81</v>
      </c>
      <c r="T2395" s="308" t="s">
        <v>35048</v>
      </c>
      <c r="U2395" s="308"/>
      <c r="V2395" s="312"/>
    </row>
    <row r="2396">
      <c r="A2396" s="308">
        <v>2395.0</v>
      </c>
      <c r="B2396" s="308"/>
      <c r="C2396" s="308" t="s">
        <v>9862</v>
      </c>
      <c r="D2396" s="308">
        <f>IFERROR(__xludf.DUMMYFUNCTION("SPLIT(C2396,""-"")"),2416.0)</f>
        <v>2416</v>
      </c>
      <c r="E2396" s="308" t="str">
        <f>IFERROR(__xludf.DUMMYFUNCTION("""COMPUTED_VALUE"""),"P")</f>
        <v>P</v>
      </c>
      <c r="F2396" s="312" t="s">
        <v>37</v>
      </c>
      <c r="G2396" s="308"/>
      <c r="H2396" s="308" t="s">
        <v>9863</v>
      </c>
      <c r="I2396" s="310">
        <v>41977.0</v>
      </c>
      <c r="J2396" s="319">
        <f>IFERROR(__xludf.DUMMYFUNCTION("SPLIT(I2396,""/"")"),4.0)</f>
        <v>4</v>
      </c>
      <c r="K2396" s="308">
        <f>IFERROR(__xludf.DUMMYFUNCTION("""COMPUTED_VALUE"""),12.0)</f>
        <v>12</v>
      </c>
      <c r="L2396" s="308">
        <f>IFERROR(__xludf.DUMMYFUNCTION("""COMPUTED_VALUE"""),2014.0)</f>
        <v>2014</v>
      </c>
      <c r="M2396" s="308" t="s">
        <v>9864</v>
      </c>
      <c r="N2396" s="308"/>
      <c r="O2396" s="308" t="s">
        <v>9865</v>
      </c>
      <c r="P2396" s="308" t="s">
        <v>36665</v>
      </c>
      <c r="Q2396" s="308"/>
      <c r="R2396" s="308"/>
      <c r="S2396" s="308" t="s">
        <v>81</v>
      </c>
      <c r="T2396" s="308" t="s">
        <v>73</v>
      </c>
      <c r="U2396" s="308"/>
      <c r="V2396" s="312"/>
    </row>
    <row r="2397">
      <c r="A2397" s="308">
        <v>2396.0</v>
      </c>
      <c r="B2397" s="308"/>
      <c r="C2397" s="308" t="s">
        <v>9867</v>
      </c>
      <c r="D2397" s="308">
        <f>IFERROR(__xludf.DUMMYFUNCTION("SPLIT(C2397,""-"")"),2417.0)</f>
        <v>2417</v>
      </c>
      <c r="E2397" s="308" t="str">
        <f>IFERROR(__xludf.DUMMYFUNCTION("""COMPUTED_VALUE"""),"K")</f>
        <v>K</v>
      </c>
      <c r="F2397" s="309" t="s">
        <v>34</v>
      </c>
      <c r="G2397" s="308" t="s">
        <v>9868</v>
      </c>
      <c r="H2397" s="308" t="s">
        <v>9869</v>
      </c>
      <c r="I2397" s="310">
        <v>40002.0</v>
      </c>
      <c r="J2397" s="319">
        <f>IFERROR(__xludf.DUMMYFUNCTION("SPLIT(I2397,""/"")"),8.0)</f>
        <v>8</v>
      </c>
      <c r="K2397" s="308">
        <f>IFERROR(__xludf.DUMMYFUNCTION("""COMPUTED_VALUE"""),7.0)</f>
        <v>7</v>
      </c>
      <c r="L2397" s="308">
        <f>IFERROR(__xludf.DUMMYFUNCTION("""COMPUTED_VALUE"""),2009.0)</f>
        <v>2009</v>
      </c>
      <c r="M2397" s="308" t="s">
        <v>9870</v>
      </c>
      <c r="N2397" s="308"/>
      <c r="O2397" s="308" t="s">
        <v>635</v>
      </c>
      <c r="P2397" s="308" t="s">
        <v>9871</v>
      </c>
      <c r="Q2397" s="308"/>
      <c r="R2397" s="308"/>
      <c r="S2397" s="308" t="s">
        <v>81</v>
      </c>
      <c r="T2397" s="308" t="s">
        <v>75</v>
      </c>
      <c r="U2397" s="308"/>
      <c r="V2397" s="312"/>
    </row>
    <row r="2398">
      <c r="A2398" s="308">
        <v>2397.0</v>
      </c>
      <c r="B2398" s="308"/>
      <c r="C2398" s="308" t="s">
        <v>9872</v>
      </c>
      <c r="D2398" s="308">
        <f>IFERROR(__xludf.DUMMYFUNCTION("SPLIT(C2398,""-"")"),2418.0)</f>
        <v>2418</v>
      </c>
      <c r="E2398" s="308" t="str">
        <f>IFERROR(__xludf.DUMMYFUNCTION("""COMPUTED_VALUE"""),"K")</f>
        <v>K</v>
      </c>
      <c r="F2398" s="309" t="s">
        <v>34</v>
      </c>
      <c r="G2398" s="308" t="s">
        <v>9868</v>
      </c>
      <c r="H2398" s="308" t="s">
        <v>9873</v>
      </c>
      <c r="I2398" s="310">
        <v>40002.0</v>
      </c>
      <c r="J2398" s="319">
        <f>IFERROR(__xludf.DUMMYFUNCTION("SPLIT(I2398,""/"")"),8.0)</f>
        <v>8</v>
      </c>
      <c r="K2398" s="308">
        <f>IFERROR(__xludf.DUMMYFUNCTION("""COMPUTED_VALUE"""),7.0)</f>
        <v>7</v>
      </c>
      <c r="L2398" s="308">
        <f>IFERROR(__xludf.DUMMYFUNCTION("""COMPUTED_VALUE"""),2009.0)</f>
        <v>2009</v>
      </c>
      <c r="M2398" s="308" t="s">
        <v>9870</v>
      </c>
      <c r="N2398" s="308"/>
      <c r="O2398" s="308" t="s">
        <v>635</v>
      </c>
      <c r="P2398" s="308" t="s">
        <v>9874</v>
      </c>
      <c r="Q2398" s="308"/>
      <c r="R2398" s="308"/>
      <c r="S2398" s="308" t="s">
        <v>81</v>
      </c>
      <c r="T2398" s="311" t="s">
        <v>34264</v>
      </c>
      <c r="U2398" s="308"/>
      <c r="V2398" s="312"/>
    </row>
    <row r="2399">
      <c r="A2399" s="308">
        <v>2398.0</v>
      </c>
      <c r="B2399" s="308"/>
      <c r="C2399" s="308" t="s">
        <v>9875</v>
      </c>
      <c r="D2399" s="308">
        <f>IFERROR(__xludf.DUMMYFUNCTION("SPLIT(C2399,""-"")"),2419.0)</f>
        <v>2419</v>
      </c>
      <c r="E2399" s="308" t="str">
        <f>IFERROR(__xludf.DUMMYFUNCTION("""COMPUTED_VALUE"""),"K")</f>
        <v>K</v>
      </c>
      <c r="F2399" s="309" t="s">
        <v>34</v>
      </c>
      <c r="G2399" s="308"/>
      <c r="H2399" s="308" t="s">
        <v>9876</v>
      </c>
      <c r="I2399" s="310">
        <v>40214.0</v>
      </c>
      <c r="J2399" s="319">
        <f>IFERROR(__xludf.DUMMYFUNCTION("SPLIT(I2399,""/"")"),5.0)</f>
        <v>5</v>
      </c>
      <c r="K2399" s="308">
        <f>IFERROR(__xludf.DUMMYFUNCTION("""COMPUTED_VALUE"""),2.0)</f>
        <v>2</v>
      </c>
      <c r="L2399" s="308">
        <f>IFERROR(__xludf.DUMMYFUNCTION("""COMPUTED_VALUE"""),2010.0)</f>
        <v>2010</v>
      </c>
      <c r="M2399" s="308" t="s">
        <v>9877</v>
      </c>
      <c r="N2399" s="308"/>
      <c r="O2399" s="308" t="s">
        <v>635</v>
      </c>
      <c r="P2399" s="308" t="s">
        <v>9878</v>
      </c>
      <c r="Q2399" s="308"/>
      <c r="R2399" s="308"/>
      <c r="S2399" s="308" t="s">
        <v>81</v>
      </c>
      <c r="T2399" s="308" t="s">
        <v>75</v>
      </c>
      <c r="U2399" s="308"/>
      <c r="V2399" s="312"/>
    </row>
    <row r="2400">
      <c r="A2400" s="308">
        <v>2399.0</v>
      </c>
      <c r="B2400" s="308"/>
      <c r="C2400" s="308" t="s">
        <v>9879</v>
      </c>
      <c r="D2400" s="308">
        <f>IFERROR(__xludf.DUMMYFUNCTION("SPLIT(C2400,""-"")"),2420.0)</f>
        <v>2420</v>
      </c>
      <c r="E2400" s="308" t="str">
        <f>IFERROR(__xludf.DUMMYFUNCTION("""COMPUTED_VALUE"""),"K")</f>
        <v>K</v>
      </c>
      <c r="F2400" s="309" t="s">
        <v>34</v>
      </c>
      <c r="G2400" s="308"/>
      <c r="H2400" s="308" t="s">
        <v>9880</v>
      </c>
      <c r="I2400" s="310">
        <v>40618.0</v>
      </c>
      <c r="J2400" s="319">
        <f>IFERROR(__xludf.DUMMYFUNCTION("SPLIT(I2400,""/"")"),16.0)</f>
        <v>16</v>
      </c>
      <c r="K2400" s="308">
        <f>IFERROR(__xludf.DUMMYFUNCTION("""COMPUTED_VALUE"""),3.0)</f>
        <v>3</v>
      </c>
      <c r="L2400" s="308">
        <f>IFERROR(__xludf.DUMMYFUNCTION("""COMPUTED_VALUE"""),2011.0)</f>
        <v>2011</v>
      </c>
      <c r="M2400" s="308" t="s">
        <v>9881</v>
      </c>
      <c r="N2400" s="308"/>
      <c r="O2400" s="308" t="s">
        <v>635</v>
      </c>
      <c r="P2400" s="308" t="s">
        <v>9882</v>
      </c>
      <c r="Q2400" s="308"/>
      <c r="R2400" s="308"/>
      <c r="S2400" s="308" t="s">
        <v>81</v>
      </c>
      <c r="T2400" s="308" t="s">
        <v>75</v>
      </c>
      <c r="U2400" s="308"/>
      <c r="V2400" s="312"/>
    </row>
    <row r="2401">
      <c r="A2401" s="308">
        <v>2400.0</v>
      </c>
      <c r="B2401" s="308"/>
      <c r="C2401" s="308" t="s">
        <v>9883</v>
      </c>
      <c r="D2401" s="308">
        <f>IFERROR(__xludf.DUMMYFUNCTION("SPLIT(C2401,""-"")"),2421.0)</f>
        <v>2421</v>
      </c>
      <c r="E2401" s="308" t="str">
        <f>IFERROR(__xludf.DUMMYFUNCTION("""COMPUTED_VALUE"""),"B")</f>
        <v>B</v>
      </c>
      <c r="F2401" s="315" t="s">
        <v>26</v>
      </c>
      <c r="G2401" s="308"/>
      <c r="H2401" s="308" t="s">
        <v>9884</v>
      </c>
      <c r="I2401" s="310">
        <v>40342.0</v>
      </c>
      <c r="J2401" s="319">
        <f>IFERROR(__xludf.DUMMYFUNCTION("SPLIT(I2401,""/"")"),13.0)</f>
        <v>13</v>
      </c>
      <c r="K2401" s="308">
        <f>IFERROR(__xludf.DUMMYFUNCTION("""COMPUTED_VALUE"""),6.0)</f>
        <v>6</v>
      </c>
      <c r="L2401" s="308">
        <f>IFERROR(__xludf.DUMMYFUNCTION("""COMPUTED_VALUE"""),2010.0)</f>
        <v>2010</v>
      </c>
      <c r="M2401" s="308" t="s">
        <v>9885</v>
      </c>
      <c r="N2401" s="308"/>
      <c r="O2401" s="308" t="s">
        <v>9886</v>
      </c>
      <c r="P2401" s="308" t="s">
        <v>36666</v>
      </c>
      <c r="Q2401" s="308"/>
      <c r="R2401" s="308"/>
      <c r="S2401" s="308" t="s">
        <v>49</v>
      </c>
      <c r="T2401" s="311" t="s">
        <v>77</v>
      </c>
      <c r="U2401" s="308"/>
      <c r="V2401" s="312"/>
    </row>
    <row r="2402">
      <c r="A2402" s="308">
        <v>2401.0</v>
      </c>
      <c r="B2402" s="308"/>
      <c r="C2402" s="308" t="s">
        <v>9883</v>
      </c>
      <c r="D2402" s="308">
        <f>IFERROR(__xludf.DUMMYFUNCTION("SPLIT(C2402,""-"")"),2421.0)</f>
        <v>2421</v>
      </c>
      <c r="E2402" s="308" t="str">
        <f>IFERROR(__xludf.DUMMYFUNCTION("""COMPUTED_VALUE"""),"B")</f>
        <v>B</v>
      </c>
      <c r="F2402" s="315" t="s">
        <v>26</v>
      </c>
      <c r="G2402" s="308"/>
      <c r="H2402" s="308" t="s">
        <v>9888</v>
      </c>
      <c r="I2402" s="314">
        <v>40522.0</v>
      </c>
      <c r="J2402" s="319">
        <f>IFERROR(__xludf.DUMMYFUNCTION("SPLIT(I2402,""/"")"),10.0)</f>
        <v>10</v>
      </c>
      <c r="K2402" s="308">
        <f>IFERROR(__xludf.DUMMYFUNCTION("""COMPUTED_VALUE"""),12.0)</f>
        <v>12</v>
      </c>
      <c r="L2402" s="308">
        <f>IFERROR(__xludf.DUMMYFUNCTION("""COMPUTED_VALUE"""),2010.0)</f>
        <v>2010</v>
      </c>
      <c r="M2402" s="308" t="s">
        <v>9889</v>
      </c>
      <c r="N2402" s="308"/>
      <c r="O2402" s="308" t="s">
        <v>9890</v>
      </c>
      <c r="P2402" s="308" t="s">
        <v>9891</v>
      </c>
      <c r="Q2402" s="308"/>
      <c r="R2402" s="308"/>
      <c r="S2402" s="308" t="s">
        <v>81</v>
      </c>
      <c r="T2402" s="308" t="s">
        <v>98</v>
      </c>
      <c r="U2402" s="308"/>
      <c r="V2402" s="312"/>
    </row>
    <row r="2403">
      <c r="A2403" s="308">
        <v>2402.0</v>
      </c>
      <c r="B2403" s="308"/>
      <c r="C2403" s="308" t="s">
        <v>9892</v>
      </c>
      <c r="D2403" s="308">
        <f>IFERROR(__xludf.DUMMYFUNCTION("SPLIT(C2403,""-"")"),2423.0)</f>
        <v>2423</v>
      </c>
      <c r="E2403" s="308" t="str">
        <f>IFERROR(__xludf.DUMMYFUNCTION("""COMPUTED_VALUE"""),"K")</f>
        <v>K</v>
      </c>
      <c r="F2403" s="309" t="s">
        <v>34</v>
      </c>
      <c r="G2403" s="308"/>
      <c r="H2403" s="308" t="s">
        <v>9893</v>
      </c>
      <c r="I2403" s="314">
        <v>40522.0</v>
      </c>
      <c r="J2403" s="319">
        <f>IFERROR(__xludf.DUMMYFUNCTION("SPLIT(I2403,""/"")"),10.0)</f>
        <v>10</v>
      </c>
      <c r="K2403" s="308">
        <f>IFERROR(__xludf.DUMMYFUNCTION("""COMPUTED_VALUE"""),12.0)</f>
        <v>12</v>
      </c>
      <c r="L2403" s="308">
        <f>IFERROR(__xludf.DUMMYFUNCTION("""COMPUTED_VALUE"""),2010.0)</f>
        <v>2010</v>
      </c>
      <c r="M2403" s="308" t="s">
        <v>9889</v>
      </c>
      <c r="N2403" s="308"/>
      <c r="O2403" s="308" t="s">
        <v>9890</v>
      </c>
      <c r="P2403" s="308" t="s">
        <v>1481</v>
      </c>
      <c r="Q2403" s="308"/>
      <c r="R2403" s="308"/>
      <c r="S2403" s="308" t="s">
        <v>81</v>
      </c>
      <c r="T2403" s="308" t="s">
        <v>35048</v>
      </c>
      <c r="U2403" s="308"/>
      <c r="V2403" s="312"/>
    </row>
    <row r="2404">
      <c r="A2404" s="308">
        <v>2403.0</v>
      </c>
      <c r="B2404" s="308"/>
      <c r="C2404" s="308" t="s">
        <v>9894</v>
      </c>
      <c r="D2404" s="308">
        <f>IFERROR(__xludf.DUMMYFUNCTION("SPLIT(C2404,""-"")"),2424.0)</f>
        <v>2424</v>
      </c>
      <c r="E2404" s="308" t="str">
        <f>IFERROR(__xludf.DUMMYFUNCTION("""COMPUTED_VALUE"""),"I")</f>
        <v>I</v>
      </c>
      <c r="F2404" s="309" t="s">
        <v>31</v>
      </c>
      <c r="G2404" s="308"/>
      <c r="H2404" s="308" t="s">
        <v>9895</v>
      </c>
      <c r="I2404" s="316">
        <v>2006.0</v>
      </c>
      <c r="J2404" s="319"/>
      <c r="K2404" s="308"/>
      <c r="L2404" s="311">
        <v>2006.0</v>
      </c>
      <c r="M2404" s="308" t="s">
        <v>9896</v>
      </c>
      <c r="N2404" s="308"/>
      <c r="O2404" s="308" t="s">
        <v>9897</v>
      </c>
      <c r="P2404" s="308" t="s">
        <v>1847</v>
      </c>
      <c r="Q2404" s="308"/>
      <c r="R2404" s="308"/>
      <c r="S2404" s="308" t="s">
        <v>100</v>
      </c>
      <c r="T2404" s="311" t="s">
        <v>34208</v>
      </c>
      <c r="U2404" s="312"/>
      <c r="V2404" s="312"/>
    </row>
    <row r="2405">
      <c r="A2405" s="308">
        <v>2404.0</v>
      </c>
      <c r="B2405" s="308"/>
      <c r="C2405" s="308" t="s">
        <v>9898</v>
      </c>
      <c r="D2405" s="308">
        <f>IFERROR(__xludf.DUMMYFUNCTION("SPLIT(C2405,""-"")"),2425.0)</f>
        <v>2425</v>
      </c>
      <c r="E2405" s="308" t="str">
        <f>IFERROR(__xludf.DUMMYFUNCTION("""COMPUTED_VALUE"""),"S")</f>
        <v>S</v>
      </c>
      <c r="F2405" s="312" t="s">
        <v>39</v>
      </c>
      <c r="G2405" s="308"/>
      <c r="H2405" s="308" t="s">
        <v>9899</v>
      </c>
      <c r="I2405" s="310">
        <v>41682.0</v>
      </c>
      <c r="J2405" s="319">
        <f>IFERROR(__xludf.DUMMYFUNCTION("SPLIT(I2405,""/"")"),12.0)</f>
        <v>12</v>
      </c>
      <c r="K2405" s="308">
        <f>IFERROR(__xludf.DUMMYFUNCTION("""COMPUTED_VALUE"""),2.0)</f>
        <v>2</v>
      </c>
      <c r="L2405" s="308">
        <f>IFERROR(__xludf.DUMMYFUNCTION("""COMPUTED_VALUE"""),2014.0)</f>
        <v>2014</v>
      </c>
      <c r="M2405" s="308" t="s">
        <v>9900</v>
      </c>
      <c r="N2405" s="308"/>
      <c r="O2405" s="308" t="s">
        <v>635</v>
      </c>
      <c r="P2405" s="308" t="s">
        <v>9901</v>
      </c>
      <c r="Q2405" s="308"/>
      <c r="R2405" s="308"/>
      <c r="S2405" s="308" t="s">
        <v>81</v>
      </c>
      <c r="T2405" s="311" t="s">
        <v>73</v>
      </c>
      <c r="U2405" s="312"/>
      <c r="V2405" s="312"/>
    </row>
    <row r="2406">
      <c r="A2406" s="308">
        <v>2405.0</v>
      </c>
      <c r="B2406" s="308"/>
      <c r="C2406" s="308" t="s">
        <v>9902</v>
      </c>
      <c r="D2406" s="308">
        <f>IFERROR(__xludf.DUMMYFUNCTION("SPLIT(C2406,""-"")"),2426.0)</f>
        <v>2426</v>
      </c>
      <c r="E2406" s="308" t="str">
        <f>IFERROR(__xludf.DUMMYFUNCTION("""COMPUTED_VALUE"""),"K")</f>
        <v>K</v>
      </c>
      <c r="F2406" s="309" t="s">
        <v>34</v>
      </c>
      <c r="G2406" s="308"/>
      <c r="H2406" s="308" t="s">
        <v>9903</v>
      </c>
      <c r="I2406" s="310">
        <v>40686.0</v>
      </c>
      <c r="J2406" s="319">
        <f>IFERROR(__xludf.DUMMYFUNCTION("SPLIT(I2406,""/"")"),23.0)</f>
        <v>23</v>
      </c>
      <c r="K2406" s="308">
        <f>IFERROR(__xludf.DUMMYFUNCTION("""COMPUTED_VALUE"""),5.0)</f>
        <v>5</v>
      </c>
      <c r="L2406" s="308">
        <f>IFERROR(__xludf.DUMMYFUNCTION("""COMPUTED_VALUE"""),2011.0)</f>
        <v>2011</v>
      </c>
      <c r="M2406" s="308" t="s">
        <v>9904</v>
      </c>
      <c r="N2406" s="308"/>
      <c r="O2406" s="308" t="s">
        <v>9905</v>
      </c>
      <c r="P2406" s="308" t="s">
        <v>9906</v>
      </c>
      <c r="Q2406" s="308"/>
      <c r="R2406" s="308"/>
      <c r="S2406" s="308" t="s">
        <v>81</v>
      </c>
      <c r="T2406" s="308" t="s">
        <v>34264</v>
      </c>
      <c r="U2406" s="308"/>
      <c r="V2406" s="312"/>
    </row>
    <row r="2407">
      <c r="A2407" s="308">
        <v>2406.0</v>
      </c>
      <c r="B2407" s="308"/>
      <c r="C2407" s="308" t="s">
        <v>9907</v>
      </c>
      <c r="D2407" s="308">
        <f>IFERROR(__xludf.DUMMYFUNCTION("SPLIT(C2407,""-"")"),2427.0)</f>
        <v>2427</v>
      </c>
      <c r="E2407" s="308" t="str">
        <f>IFERROR(__xludf.DUMMYFUNCTION("""COMPUTED_VALUE"""),"K")</f>
        <v>K</v>
      </c>
      <c r="F2407" s="309" t="s">
        <v>34</v>
      </c>
      <c r="G2407" s="308"/>
      <c r="H2407" s="308" t="s">
        <v>9908</v>
      </c>
      <c r="I2407" s="322"/>
      <c r="J2407" s="319"/>
      <c r="K2407" s="308"/>
      <c r="L2407" s="311" t="s">
        <v>79</v>
      </c>
      <c r="M2407" s="308" t="s">
        <v>9909</v>
      </c>
      <c r="N2407" s="308"/>
      <c r="O2407" s="308" t="s">
        <v>9910</v>
      </c>
      <c r="P2407" s="308" t="s">
        <v>1872</v>
      </c>
      <c r="Q2407" s="308"/>
      <c r="R2407" s="308"/>
      <c r="S2407" s="315" t="s">
        <v>100</v>
      </c>
      <c r="T2407" s="311" t="s">
        <v>34208</v>
      </c>
      <c r="U2407" s="308" t="s">
        <v>530</v>
      </c>
      <c r="V2407" s="312"/>
    </row>
    <row r="2408">
      <c r="A2408" s="308">
        <v>2407.0</v>
      </c>
      <c r="B2408" s="308"/>
      <c r="C2408" s="308" t="s">
        <v>9911</v>
      </c>
      <c r="D2408" s="308">
        <f>IFERROR(__xludf.DUMMYFUNCTION("SPLIT(C2408,""-"")"),2428.0)</f>
        <v>2428</v>
      </c>
      <c r="E2408" s="308" t="str">
        <f>IFERROR(__xludf.DUMMYFUNCTION("""COMPUTED_VALUE"""),"P")</f>
        <v>P</v>
      </c>
      <c r="F2408" s="312" t="s">
        <v>37</v>
      </c>
      <c r="G2408" s="308"/>
      <c r="H2408" s="308" t="s">
        <v>9912</v>
      </c>
      <c r="I2408" s="314" t="s">
        <v>9913</v>
      </c>
      <c r="J2408" s="323"/>
      <c r="K2408" s="308"/>
      <c r="L2408" s="311" t="s">
        <v>79</v>
      </c>
      <c r="M2408" s="308" t="s">
        <v>9914</v>
      </c>
      <c r="N2408" s="308"/>
      <c r="O2408" s="308" t="s">
        <v>9915</v>
      </c>
      <c r="P2408" s="308" t="s">
        <v>9916</v>
      </c>
      <c r="Q2408" s="308"/>
      <c r="R2408" s="308"/>
      <c r="S2408" s="308" t="s">
        <v>81</v>
      </c>
      <c r="T2408" s="308" t="s">
        <v>75</v>
      </c>
      <c r="U2408" s="308"/>
      <c r="V2408" s="312"/>
    </row>
    <row r="2409">
      <c r="A2409" s="308">
        <v>2408.0</v>
      </c>
      <c r="B2409" s="308"/>
      <c r="C2409" s="308" t="s">
        <v>9917</v>
      </c>
      <c r="D2409" s="308">
        <f>IFERROR(__xludf.DUMMYFUNCTION("SPLIT(C2409,""-"")"),2429.0)</f>
        <v>2429</v>
      </c>
      <c r="E2409" s="308" t="str">
        <f>IFERROR(__xludf.DUMMYFUNCTION("""COMPUTED_VALUE"""),"P")</f>
        <v>P</v>
      </c>
      <c r="F2409" s="312" t="s">
        <v>37</v>
      </c>
      <c r="G2409" s="308"/>
      <c r="H2409" s="308" t="s">
        <v>9918</v>
      </c>
      <c r="I2409" s="316">
        <v>2013.0</v>
      </c>
      <c r="J2409" s="319"/>
      <c r="K2409" s="308"/>
      <c r="L2409" s="311">
        <v>2013.0</v>
      </c>
      <c r="M2409" s="308" t="s">
        <v>9919</v>
      </c>
      <c r="N2409" s="308"/>
      <c r="O2409" s="308" t="s">
        <v>9920</v>
      </c>
      <c r="P2409" s="308" t="s">
        <v>9921</v>
      </c>
      <c r="Q2409" s="308"/>
      <c r="R2409" s="308"/>
      <c r="S2409" s="308" t="s">
        <v>81</v>
      </c>
      <c r="T2409" s="308" t="s">
        <v>75</v>
      </c>
      <c r="U2409" s="308"/>
      <c r="V2409" s="312"/>
    </row>
    <row r="2410">
      <c r="A2410" s="308">
        <v>2409.0</v>
      </c>
      <c r="B2410" s="308"/>
      <c r="C2410" s="308" t="s">
        <v>9922</v>
      </c>
      <c r="D2410" s="308">
        <f>IFERROR(__xludf.DUMMYFUNCTION("SPLIT(C2410,""-"")"),2430.0)</f>
        <v>2430</v>
      </c>
      <c r="E2410" s="308" t="str">
        <f>IFERROR(__xludf.DUMMYFUNCTION("""COMPUTED_VALUE"""),"P")</f>
        <v>P</v>
      </c>
      <c r="F2410" s="312" t="s">
        <v>37</v>
      </c>
      <c r="G2410" s="308"/>
      <c r="H2410" s="308" t="s">
        <v>9923</v>
      </c>
      <c r="I2410" s="310">
        <v>41646.0</v>
      </c>
      <c r="J2410" s="319">
        <f>IFERROR(__xludf.DUMMYFUNCTION("SPLIT(I2410,""/"")"),7.0)</f>
        <v>7</v>
      </c>
      <c r="K2410" s="308">
        <f>IFERROR(__xludf.DUMMYFUNCTION("""COMPUTED_VALUE"""),1.0)</f>
        <v>1</v>
      </c>
      <c r="L2410" s="308">
        <f>IFERROR(__xludf.DUMMYFUNCTION("""COMPUTED_VALUE"""),2014.0)</f>
        <v>2014</v>
      </c>
      <c r="M2410" s="308" t="s">
        <v>9924</v>
      </c>
      <c r="N2410" s="308"/>
      <c r="O2410" s="308" t="s">
        <v>635</v>
      </c>
      <c r="P2410" s="308" t="s">
        <v>9925</v>
      </c>
      <c r="Q2410" s="308"/>
      <c r="R2410" s="308"/>
      <c r="S2410" s="308" t="s">
        <v>81</v>
      </c>
      <c r="T2410" s="308" t="s">
        <v>34264</v>
      </c>
      <c r="U2410" s="308"/>
      <c r="V2410" s="312"/>
    </row>
    <row r="2411">
      <c r="A2411" s="308">
        <v>2410.0</v>
      </c>
      <c r="B2411" s="308"/>
      <c r="C2411" s="308" t="s">
        <v>36667</v>
      </c>
      <c r="D2411" s="308" t="str">
        <f>IFERROR(__xludf.DUMMYFUNCTION("SPLIT(C2411,""-"")"),"#REF!")</f>
        <v>#REF!</v>
      </c>
      <c r="E2411" s="311"/>
      <c r="F2411" s="317" t="s">
        <v>39</v>
      </c>
      <c r="G2411" s="308"/>
      <c r="H2411" s="308" t="s">
        <v>9927</v>
      </c>
      <c r="I2411" s="310">
        <v>40349.0</v>
      </c>
      <c r="J2411" s="319">
        <f>IFERROR(__xludf.DUMMYFUNCTION("SPLIT(I2411,""/"")"),20.0)</f>
        <v>20</v>
      </c>
      <c r="K2411" s="308">
        <f>IFERROR(__xludf.DUMMYFUNCTION("""COMPUTED_VALUE"""),6.0)</f>
        <v>6</v>
      </c>
      <c r="L2411" s="308">
        <f>IFERROR(__xludf.DUMMYFUNCTION("""COMPUTED_VALUE"""),2010.0)</f>
        <v>2010</v>
      </c>
      <c r="M2411" s="308" t="s">
        <v>9928</v>
      </c>
      <c r="N2411" s="308"/>
      <c r="O2411" s="308" t="s">
        <v>9929</v>
      </c>
      <c r="P2411" s="308" t="s">
        <v>9930</v>
      </c>
      <c r="Q2411" s="308"/>
      <c r="R2411" s="308"/>
      <c r="S2411" s="308" t="s">
        <v>49</v>
      </c>
      <c r="T2411" s="311" t="s">
        <v>75</v>
      </c>
      <c r="U2411" s="308"/>
      <c r="V2411" s="308" t="s">
        <v>9931</v>
      </c>
    </row>
    <row r="2412">
      <c r="A2412" s="308">
        <v>2411.0</v>
      </c>
      <c r="B2412" s="308"/>
      <c r="C2412" s="308" t="s">
        <v>9932</v>
      </c>
      <c r="D2412" s="308">
        <f>IFERROR(__xludf.DUMMYFUNCTION("SPLIT(C2412,""-"")"),2432.0)</f>
        <v>2432</v>
      </c>
      <c r="E2412" s="308" t="str">
        <f>IFERROR(__xludf.DUMMYFUNCTION("""COMPUTED_VALUE"""),"P")</f>
        <v>P</v>
      </c>
      <c r="F2412" s="312" t="s">
        <v>37</v>
      </c>
      <c r="G2412" s="308"/>
      <c r="H2412" s="308" t="s">
        <v>9933</v>
      </c>
      <c r="I2412" s="314">
        <v>41223.0</v>
      </c>
      <c r="J2412" s="319">
        <f>IFERROR(__xludf.DUMMYFUNCTION("SPLIT(I2412,""/"")"),10.0)</f>
        <v>10</v>
      </c>
      <c r="K2412" s="308">
        <f>IFERROR(__xludf.DUMMYFUNCTION("""COMPUTED_VALUE"""),11.0)</f>
        <v>11</v>
      </c>
      <c r="L2412" s="308">
        <f>IFERROR(__xludf.DUMMYFUNCTION("""COMPUTED_VALUE"""),2012.0)</f>
        <v>2012</v>
      </c>
      <c r="M2412" s="308" t="s">
        <v>9934</v>
      </c>
      <c r="N2412" s="308"/>
      <c r="O2412" s="308" t="s">
        <v>9935</v>
      </c>
      <c r="P2412" s="308" t="s">
        <v>9936</v>
      </c>
      <c r="Q2412" s="308"/>
      <c r="R2412" s="308"/>
      <c r="S2412" s="308" t="s">
        <v>81</v>
      </c>
      <c r="T2412" s="311" t="s">
        <v>34565</v>
      </c>
      <c r="U2412" s="308"/>
      <c r="V2412" s="312"/>
    </row>
    <row r="2413">
      <c r="A2413" s="308">
        <v>2412.0</v>
      </c>
      <c r="B2413" s="308"/>
      <c r="C2413" s="308" t="s">
        <v>9937</v>
      </c>
      <c r="D2413" s="308">
        <f>IFERROR(__xludf.DUMMYFUNCTION("SPLIT(C2413,""-"")"),2433.0)</f>
        <v>2433</v>
      </c>
      <c r="E2413" s="308" t="str">
        <f>IFERROR(__xludf.DUMMYFUNCTION("""COMPUTED_VALUE"""),"P")</f>
        <v>P</v>
      </c>
      <c r="F2413" s="312" t="s">
        <v>37</v>
      </c>
      <c r="G2413" s="308"/>
      <c r="H2413" s="308" t="s">
        <v>9938</v>
      </c>
      <c r="I2413" s="310">
        <v>42016.0</v>
      </c>
      <c r="J2413" s="319">
        <f>IFERROR(__xludf.DUMMYFUNCTION("SPLIT(I2413,""/"")"),12.0)</f>
        <v>12</v>
      </c>
      <c r="K2413" s="308">
        <f>IFERROR(__xludf.DUMMYFUNCTION("""COMPUTED_VALUE"""),1.0)</f>
        <v>1</v>
      </c>
      <c r="L2413" s="308">
        <f>IFERROR(__xludf.DUMMYFUNCTION("""COMPUTED_VALUE"""),2015.0)</f>
        <v>2015</v>
      </c>
      <c r="M2413" s="308" t="s">
        <v>9939</v>
      </c>
      <c r="N2413" s="308"/>
      <c r="O2413" s="308" t="s">
        <v>9940</v>
      </c>
      <c r="P2413" s="308" t="s">
        <v>9941</v>
      </c>
      <c r="Q2413" s="308"/>
      <c r="R2413" s="308"/>
      <c r="S2413" s="308" t="s">
        <v>81</v>
      </c>
      <c r="T2413" s="308" t="s">
        <v>73</v>
      </c>
      <c r="U2413" s="308"/>
      <c r="V2413" s="312"/>
    </row>
    <row r="2414">
      <c r="A2414" s="308">
        <v>2413.0</v>
      </c>
      <c r="B2414" s="308"/>
      <c r="C2414" s="308" t="s">
        <v>9942</v>
      </c>
      <c r="D2414" s="308">
        <f>IFERROR(__xludf.DUMMYFUNCTION("SPLIT(C2414,""-"")"),2434.0)</f>
        <v>2434</v>
      </c>
      <c r="E2414" s="308" t="str">
        <f>IFERROR(__xludf.DUMMYFUNCTION("""COMPUTED_VALUE"""),"P")</f>
        <v>P</v>
      </c>
      <c r="F2414" s="312" t="s">
        <v>37</v>
      </c>
      <c r="G2414" s="308"/>
      <c r="H2414" s="308" t="s">
        <v>9943</v>
      </c>
      <c r="I2414" s="310">
        <v>42016.0</v>
      </c>
      <c r="J2414" s="319">
        <f>IFERROR(__xludf.DUMMYFUNCTION("SPLIT(I2414,""/"")"),12.0)</f>
        <v>12</v>
      </c>
      <c r="K2414" s="308">
        <f>IFERROR(__xludf.DUMMYFUNCTION("""COMPUTED_VALUE"""),1.0)</f>
        <v>1</v>
      </c>
      <c r="L2414" s="308">
        <f>IFERROR(__xludf.DUMMYFUNCTION("""COMPUTED_VALUE"""),2015.0)</f>
        <v>2015</v>
      </c>
      <c r="M2414" s="308" t="s">
        <v>9939</v>
      </c>
      <c r="N2414" s="308"/>
      <c r="O2414" s="308" t="s">
        <v>9940</v>
      </c>
      <c r="P2414" s="308" t="s">
        <v>9941</v>
      </c>
      <c r="Q2414" s="308"/>
      <c r="R2414" s="308"/>
      <c r="S2414" s="308" t="s">
        <v>81</v>
      </c>
      <c r="T2414" s="308" t="s">
        <v>73</v>
      </c>
      <c r="U2414" s="308"/>
      <c r="V2414" s="312"/>
    </row>
    <row r="2415">
      <c r="A2415" s="308">
        <v>2414.0</v>
      </c>
      <c r="B2415" s="308"/>
      <c r="C2415" s="308" t="s">
        <v>9944</v>
      </c>
      <c r="D2415" s="308">
        <f>IFERROR(__xludf.DUMMYFUNCTION("SPLIT(C2415,""-"")"),2435.0)</f>
        <v>2435</v>
      </c>
      <c r="E2415" s="308" t="str">
        <f>IFERROR(__xludf.DUMMYFUNCTION("""COMPUTED_VALUE"""),"P")</f>
        <v>P</v>
      </c>
      <c r="F2415" s="312" t="s">
        <v>37</v>
      </c>
      <c r="G2415" s="308"/>
      <c r="H2415" s="308" t="s">
        <v>9945</v>
      </c>
      <c r="I2415" s="310">
        <v>41904.0</v>
      </c>
      <c r="J2415" s="319">
        <f>IFERROR(__xludf.DUMMYFUNCTION("SPLIT(I2415,""/"")"),22.0)</f>
        <v>22</v>
      </c>
      <c r="K2415" s="308">
        <f>IFERROR(__xludf.DUMMYFUNCTION("""COMPUTED_VALUE"""),9.0)</f>
        <v>9</v>
      </c>
      <c r="L2415" s="308">
        <f>IFERROR(__xludf.DUMMYFUNCTION("""COMPUTED_VALUE"""),2014.0)</f>
        <v>2014</v>
      </c>
      <c r="M2415" s="308" t="s">
        <v>9946</v>
      </c>
      <c r="N2415" s="308"/>
      <c r="O2415" s="308" t="s">
        <v>36668</v>
      </c>
      <c r="P2415" s="308" t="s">
        <v>36669</v>
      </c>
      <c r="Q2415" s="308"/>
      <c r="R2415" s="308"/>
      <c r="S2415" s="308" t="s">
        <v>81</v>
      </c>
      <c r="T2415" s="308" t="s">
        <v>73</v>
      </c>
      <c r="U2415" s="308"/>
      <c r="V2415" s="312"/>
    </row>
    <row r="2416">
      <c r="A2416" s="308">
        <v>2415.0</v>
      </c>
      <c r="B2416" s="308"/>
      <c r="C2416" s="308" t="s">
        <v>9949</v>
      </c>
      <c r="D2416" s="308">
        <f>IFERROR(__xludf.DUMMYFUNCTION("SPLIT(C2416,""-"")"),2436.0)</f>
        <v>2436</v>
      </c>
      <c r="E2416" s="308" t="str">
        <f>IFERROR(__xludf.DUMMYFUNCTION("""COMPUTED_VALUE"""),"S")</f>
        <v>S</v>
      </c>
      <c r="F2416" s="312" t="s">
        <v>39</v>
      </c>
      <c r="G2416" s="308"/>
      <c r="H2416" s="308" t="s">
        <v>9950</v>
      </c>
      <c r="I2416" s="314">
        <v>41990.0</v>
      </c>
      <c r="J2416" s="319">
        <f>IFERROR(__xludf.DUMMYFUNCTION("SPLIT(I2416,""/"")"),17.0)</f>
        <v>17</v>
      </c>
      <c r="K2416" s="308">
        <f>IFERROR(__xludf.DUMMYFUNCTION("""COMPUTED_VALUE"""),12.0)</f>
        <v>12</v>
      </c>
      <c r="L2416" s="308">
        <f>IFERROR(__xludf.DUMMYFUNCTION("""COMPUTED_VALUE"""),2014.0)</f>
        <v>2014</v>
      </c>
      <c r="M2416" s="308" t="s">
        <v>36670</v>
      </c>
      <c r="N2416" s="308"/>
      <c r="O2416" s="308" t="s">
        <v>635</v>
      </c>
      <c r="P2416" s="308" t="s">
        <v>1481</v>
      </c>
      <c r="Q2416" s="308"/>
      <c r="R2416" s="308"/>
      <c r="S2416" s="308" t="s">
        <v>81</v>
      </c>
      <c r="T2416" s="308" t="s">
        <v>35048</v>
      </c>
      <c r="U2416" s="308"/>
      <c r="V2416" s="312"/>
    </row>
    <row r="2417">
      <c r="A2417" s="308">
        <v>2416.0</v>
      </c>
      <c r="B2417" s="308"/>
      <c r="C2417" s="308" t="s">
        <v>9952</v>
      </c>
      <c r="D2417" s="308">
        <f>IFERROR(__xludf.DUMMYFUNCTION("SPLIT(C2417,""-"")"),2437.0)</f>
        <v>2437</v>
      </c>
      <c r="E2417" s="308" t="str">
        <f>IFERROR(__xludf.DUMMYFUNCTION("""COMPUTED_VALUE"""),"K")</f>
        <v>K</v>
      </c>
      <c r="F2417" s="309" t="s">
        <v>34</v>
      </c>
      <c r="G2417" s="308"/>
      <c r="H2417" s="308" t="s">
        <v>9953</v>
      </c>
      <c r="I2417" s="310">
        <v>39981.0</v>
      </c>
      <c r="J2417" s="319">
        <f>IFERROR(__xludf.DUMMYFUNCTION("SPLIT(I2417,""/"")"),17.0)</f>
        <v>17</v>
      </c>
      <c r="K2417" s="308">
        <f>IFERROR(__xludf.DUMMYFUNCTION("""COMPUTED_VALUE"""),6.0)</f>
        <v>6</v>
      </c>
      <c r="L2417" s="308">
        <f>IFERROR(__xludf.DUMMYFUNCTION("""COMPUTED_VALUE"""),2009.0)</f>
        <v>2009</v>
      </c>
      <c r="M2417" s="308" t="s">
        <v>9954</v>
      </c>
      <c r="N2417" s="308" t="s">
        <v>439</v>
      </c>
      <c r="O2417" s="308" t="s">
        <v>9955</v>
      </c>
      <c r="P2417" s="308" t="s">
        <v>3575</v>
      </c>
      <c r="Q2417" s="308"/>
      <c r="R2417" s="308"/>
      <c r="S2417" s="315" t="s">
        <v>100</v>
      </c>
      <c r="T2417" s="311" t="s">
        <v>34208</v>
      </c>
      <c r="U2417" s="308" t="s">
        <v>2152</v>
      </c>
      <c r="V2417" s="312"/>
    </row>
    <row r="2418">
      <c r="A2418" s="308">
        <v>2417.0</v>
      </c>
      <c r="B2418" s="308"/>
      <c r="C2418" s="308" t="s">
        <v>9956</v>
      </c>
      <c r="D2418" s="308">
        <f>IFERROR(__xludf.DUMMYFUNCTION("SPLIT(C2418,""-"")"),2438.0)</f>
        <v>2438</v>
      </c>
      <c r="E2418" s="308" t="str">
        <f>IFERROR(__xludf.DUMMYFUNCTION("""COMPUTED_VALUE"""),"K")</f>
        <v>K</v>
      </c>
      <c r="F2418" s="309" t="s">
        <v>34</v>
      </c>
      <c r="G2418" s="308"/>
      <c r="H2418" s="308" t="s">
        <v>9957</v>
      </c>
      <c r="I2418" s="310">
        <v>41299.0</v>
      </c>
      <c r="J2418" s="319">
        <f>IFERROR(__xludf.DUMMYFUNCTION("SPLIT(I2418,""/"")"),25.0)</f>
        <v>25</v>
      </c>
      <c r="K2418" s="308">
        <f>IFERROR(__xludf.DUMMYFUNCTION("""COMPUTED_VALUE"""),1.0)</f>
        <v>1</v>
      </c>
      <c r="L2418" s="308">
        <f>IFERROR(__xludf.DUMMYFUNCTION("""COMPUTED_VALUE"""),2013.0)</f>
        <v>2013</v>
      </c>
      <c r="M2418" s="308" t="s">
        <v>9958</v>
      </c>
      <c r="N2418" s="308"/>
      <c r="O2418" s="308" t="s">
        <v>9959</v>
      </c>
      <c r="P2418" s="308" t="s">
        <v>2872</v>
      </c>
      <c r="Q2418" s="308"/>
      <c r="R2418" s="308"/>
      <c r="S2418" s="315" t="s">
        <v>100</v>
      </c>
      <c r="T2418" s="311" t="s">
        <v>34208</v>
      </c>
      <c r="U2418" s="308" t="s">
        <v>125</v>
      </c>
      <c r="V2418" s="312"/>
    </row>
    <row r="2419">
      <c r="A2419" s="308">
        <v>2418.0</v>
      </c>
      <c r="B2419" s="308"/>
      <c r="C2419" s="308" t="s">
        <v>9960</v>
      </c>
      <c r="D2419" s="308">
        <f>IFERROR(__xludf.DUMMYFUNCTION("SPLIT(C2419,""-"")"),2439.0)</f>
        <v>2439</v>
      </c>
      <c r="E2419" s="308" t="str">
        <f>IFERROR(__xludf.DUMMYFUNCTION("""COMPUTED_VALUE"""),"S")</f>
        <v>S</v>
      </c>
      <c r="F2419" s="312" t="s">
        <v>39</v>
      </c>
      <c r="G2419" s="308"/>
      <c r="H2419" s="308" t="s">
        <v>9961</v>
      </c>
      <c r="I2419" s="310">
        <v>42006.0</v>
      </c>
      <c r="J2419" s="319">
        <f>IFERROR(__xludf.DUMMYFUNCTION("SPLIT(I2419,""/"")"),2.0)</f>
        <v>2</v>
      </c>
      <c r="K2419" s="308">
        <f>IFERROR(__xludf.DUMMYFUNCTION("""COMPUTED_VALUE"""),1.0)</f>
        <v>1</v>
      </c>
      <c r="L2419" s="308">
        <f>IFERROR(__xludf.DUMMYFUNCTION("""COMPUTED_VALUE"""),2015.0)</f>
        <v>2015</v>
      </c>
      <c r="M2419" s="308" t="s">
        <v>36671</v>
      </c>
      <c r="N2419" s="308"/>
      <c r="O2419" s="308" t="s">
        <v>9963</v>
      </c>
      <c r="P2419" s="308" t="s">
        <v>9964</v>
      </c>
      <c r="Q2419" s="308"/>
      <c r="R2419" s="308"/>
      <c r="S2419" s="308" t="s">
        <v>81</v>
      </c>
      <c r="T2419" s="311" t="s">
        <v>94</v>
      </c>
      <c r="U2419" s="308"/>
      <c r="V2419" s="312"/>
    </row>
    <row r="2420">
      <c r="A2420" s="308">
        <v>2419.0</v>
      </c>
      <c r="B2420" s="308"/>
      <c r="C2420" s="308" t="s">
        <v>9965</v>
      </c>
      <c r="D2420" s="308">
        <f>IFERROR(__xludf.DUMMYFUNCTION("SPLIT(C2420,""-"")"),2440.0)</f>
        <v>2440</v>
      </c>
      <c r="E2420" s="308" t="str">
        <f>IFERROR(__xludf.DUMMYFUNCTION("""COMPUTED_VALUE"""),"S")</f>
        <v>S</v>
      </c>
      <c r="F2420" s="312" t="s">
        <v>39</v>
      </c>
      <c r="G2420" s="308"/>
      <c r="H2420" s="308" t="s">
        <v>9966</v>
      </c>
      <c r="I2420" s="310">
        <v>42009.0</v>
      </c>
      <c r="J2420" s="319">
        <f>IFERROR(__xludf.DUMMYFUNCTION("SPLIT(I2420,""/"")"),5.0)</f>
        <v>5</v>
      </c>
      <c r="K2420" s="308">
        <f>IFERROR(__xludf.DUMMYFUNCTION("""COMPUTED_VALUE"""),1.0)</f>
        <v>1</v>
      </c>
      <c r="L2420" s="308">
        <f>IFERROR(__xludf.DUMMYFUNCTION("""COMPUTED_VALUE"""),2015.0)</f>
        <v>2015</v>
      </c>
      <c r="M2420" s="308" t="s">
        <v>9967</v>
      </c>
      <c r="N2420" s="308"/>
      <c r="O2420" s="308" t="s">
        <v>635</v>
      </c>
      <c r="P2420" s="308" t="s">
        <v>9968</v>
      </c>
      <c r="Q2420" s="308"/>
      <c r="R2420" s="308"/>
      <c r="S2420" s="308" t="s">
        <v>81</v>
      </c>
      <c r="T2420" s="308" t="s">
        <v>75</v>
      </c>
      <c r="U2420" s="308"/>
      <c r="V2420" s="312"/>
    </row>
    <row r="2421">
      <c r="A2421" s="308">
        <v>2420.0</v>
      </c>
      <c r="B2421" s="308"/>
      <c r="C2421" s="308" t="s">
        <v>9969</v>
      </c>
      <c r="D2421" s="308">
        <f>IFERROR(__xludf.DUMMYFUNCTION("SPLIT(C2421,""-"")"),2441.0)</f>
        <v>2441</v>
      </c>
      <c r="E2421" s="308" t="str">
        <f>IFERROR(__xludf.DUMMYFUNCTION("""COMPUTED_VALUE"""),"S")</f>
        <v>S</v>
      </c>
      <c r="F2421" s="312" t="s">
        <v>39</v>
      </c>
      <c r="G2421" s="308"/>
      <c r="H2421" s="308" t="s">
        <v>9970</v>
      </c>
      <c r="I2421" s="310">
        <v>42019.0</v>
      </c>
      <c r="J2421" s="319">
        <f>IFERROR(__xludf.DUMMYFUNCTION("SPLIT(I2421,""/"")"),15.0)</f>
        <v>15</v>
      </c>
      <c r="K2421" s="308">
        <f>IFERROR(__xludf.DUMMYFUNCTION("""COMPUTED_VALUE"""),1.0)</f>
        <v>1</v>
      </c>
      <c r="L2421" s="308">
        <f>IFERROR(__xludf.DUMMYFUNCTION("""COMPUTED_VALUE"""),2015.0)</f>
        <v>2015</v>
      </c>
      <c r="M2421" s="308" t="s">
        <v>9971</v>
      </c>
      <c r="N2421" s="308"/>
      <c r="O2421" s="308" t="s">
        <v>635</v>
      </c>
      <c r="P2421" s="308" t="s">
        <v>9968</v>
      </c>
      <c r="Q2421" s="308"/>
      <c r="R2421" s="308"/>
      <c r="S2421" s="308" t="s">
        <v>81</v>
      </c>
      <c r="T2421" s="308" t="s">
        <v>75</v>
      </c>
      <c r="U2421" s="308"/>
      <c r="V2421" s="312"/>
    </row>
    <row r="2422">
      <c r="A2422" s="308">
        <v>2421.0</v>
      </c>
      <c r="B2422" s="308"/>
      <c r="C2422" s="308" t="s">
        <v>9972</v>
      </c>
      <c r="D2422" s="308">
        <f>IFERROR(__xludf.DUMMYFUNCTION("SPLIT(C2422,""-"")"),2442.0)</f>
        <v>2442</v>
      </c>
      <c r="E2422" s="308" t="str">
        <f>IFERROR(__xludf.DUMMYFUNCTION("""COMPUTED_VALUE"""),"S")</f>
        <v>S</v>
      </c>
      <c r="F2422" s="312" t="s">
        <v>39</v>
      </c>
      <c r="G2422" s="308"/>
      <c r="H2422" s="308" t="s">
        <v>9973</v>
      </c>
      <c r="I2422" s="310">
        <v>42019.0</v>
      </c>
      <c r="J2422" s="319">
        <f>IFERROR(__xludf.DUMMYFUNCTION("SPLIT(I2422,""/"")"),15.0)</f>
        <v>15</v>
      </c>
      <c r="K2422" s="308">
        <f>IFERROR(__xludf.DUMMYFUNCTION("""COMPUTED_VALUE"""),1.0)</f>
        <v>1</v>
      </c>
      <c r="L2422" s="308">
        <f>IFERROR(__xludf.DUMMYFUNCTION("""COMPUTED_VALUE"""),2015.0)</f>
        <v>2015</v>
      </c>
      <c r="M2422" s="308" t="s">
        <v>9974</v>
      </c>
      <c r="N2422" s="308"/>
      <c r="O2422" s="308" t="s">
        <v>635</v>
      </c>
      <c r="P2422" s="308" t="s">
        <v>9968</v>
      </c>
      <c r="Q2422" s="308"/>
      <c r="R2422" s="308"/>
      <c r="S2422" s="308" t="s">
        <v>81</v>
      </c>
      <c r="T2422" s="308" t="s">
        <v>75</v>
      </c>
      <c r="U2422" s="308"/>
      <c r="V2422" s="312"/>
    </row>
    <row r="2423">
      <c r="A2423" s="308">
        <v>2422.0</v>
      </c>
      <c r="B2423" s="308"/>
      <c r="C2423" s="308" t="s">
        <v>9975</v>
      </c>
      <c r="D2423" s="308">
        <f>IFERROR(__xludf.DUMMYFUNCTION("SPLIT(C2423,""-"")"),2443.0)</f>
        <v>2443</v>
      </c>
      <c r="E2423" s="308" t="str">
        <f>IFERROR(__xludf.DUMMYFUNCTION("""COMPUTED_VALUE"""),"S")</f>
        <v>S</v>
      </c>
      <c r="F2423" s="312" t="s">
        <v>39</v>
      </c>
      <c r="G2423" s="308"/>
      <c r="H2423" s="308" t="s">
        <v>9976</v>
      </c>
      <c r="I2423" s="310">
        <v>42020.0</v>
      </c>
      <c r="J2423" s="319">
        <f>IFERROR(__xludf.DUMMYFUNCTION("SPLIT(I2423,""/"")"),16.0)</f>
        <v>16</v>
      </c>
      <c r="K2423" s="308">
        <f>IFERROR(__xludf.DUMMYFUNCTION("""COMPUTED_VALUE"""),1.0)</f>
        <v>1</v>
      </c>
      <c r="L2423" s="308">
        <f>IFERROR(__xludf.DUMMYFUNCTION("""COMPUTED_VALUE"""),2015.0)</f>
        <v>2015</v>
      </c>
      <c r="M2423" s="308" t="s">
        <v>9977</v>
      </c>
      <c r="N2423" s="308"/>
      <c r="O2423" s="308" t="s">
        <v>9978</v>
      </c>
      <c r="P2423" s="308" t="s">
        <v>9979</v>
      </c>
      <c r="Q2423" s="308"/>
      <c r="R2423" s="308" t="s">
        <v>9980</v>
      </c>
      <c r="S2423" s="315" t="s">
        <v>100</v>
      </c>
      <c r="T2423" s="311" t="s">
        <v>34208</v>
      </c>
      <c r="U2423" s="308"/>
      <c r="V2423" s="312"/>
    </row>
    <row r="2424">
      <c r="A2424" s="308">
        <v>2423.0</v>
      </c>
      <c r="B2424" s="308"/>
      <c r="C2424" s="308" t="s">
        <v>9981</v>
      </c>
      <c r="D2424" s="308">
        <f>IFERROR(__xludf.DUMMYFUNCTION("SPLIT(C2424,""-"")"),2444.0)</f>
        <v>2444</v>
      </c>
      <c r="E2424" s="308" t="str">
        <f>IFERROR(__xludf.DUMMYFUNCTION("""COMPUTED_VALUE"""),"S")</f>
        <v>S</v>
      </c>
      <c r="F2424" s="312" t="s">
        <v>39</v>
      </c>
      <c r="G2424" s="308"/>
      <c r="H2424" s="308" t="s">
        <v>9982</v>
      </c>
      <c r="I2424" s="310">
        <v>42019.0</v>
      </c>
      <c r="J2424" s="319">
        <f>IFERROR(__xludf.DUMMYFUNCTION("SPLIT(I2424,""/"")"),15.0)</f>
        <v>15</v>
      </c>
      <c r="K2424" s="308">
        <f>IFERROR(__xludf.DUMMYFUNCTION("""COMPUTED_VALUE"""),1.0)</f>
        <v>1</v>
      </c>
      <c r="L2424" s="308">
        <f>IFERROR(__xludf.DUMMYFUNCTION("""COMPUTED_VALUE"""),2015.0)</f>
        <v>2015</v>
      </c>
      <c r="M2424" s="308" t="s">
        <v>9983</v>
      </c>
      <c r="N2424" s="308"/>
      <c r="O2424" s="308" t="s">
        <v>9984</v>
      </c>
      <c r="P2424" s="308" t="s">
        <v>9979</v>
      </c>
      <c r="Q2424" s="308"/>
      <c r="R2424" s="308" t="s">
        <v>9985</v>
      </c>
      <c r="S2424" s="315" t="s">
        <v>100</v>
      </c>
      <c r="T2424" s="311" t="s">
        <v>34208</v>
      </c>
      <c r="U2424" s="308"/>
      <c r="V2424" s="312"/>
    </row>
    <row r="2425">
      <c r="A2425" s="308">
        <v>2424.0</v>
      </c>
      <c r="B2425" s="308"/>
      <c r="C2425" s="308" t="s">
        <v>9986</v>
      </c>
      <c r="D2425" s="308">
        <f>IFERROR(__xludf.DUMMYFUNCTION("SPLIT(C2425,""-"")"),2445.0)</f>
        <v>2445</v>
      </c>
      <c r="E2425" s="308" t="str">
        <f>IFERROR(__xludf.DUMMYFUNCTION("""COMPUTED_VALUE"""),"K")</f>
        <v>K</v>
      </c>
      <c r="F2425" s="309" t="s">
        <v>34</v>
      </c>
      <c r="G2425" s="308"/>
      <c r="H2425" s="308" t="s">
        <v>9987</v>
      </c>
      <c r="I2425" s="325">
        <v>41730.0</v>
      </c>
      <c r="J2425" s="319"/>
      <c r="K2425" s="311">
        <v>4.0</v>
      </c>
      <c r="L2425" s="311">
        <v>2014.0</v>
      </c>
      <c r="M2425" s="308" t="s">
        <v>9988</v>
      </c>
      <c r="N2425" s="308"/>
      <c r="O2425" s="308" t="s">
        <v>9989</v>
      </c>
      <c r="P2425" s="308" t="s">
        <v>9990</v>
      </c>
      <c r="Q2425" s="308"/>
      <c r="R2425" s="308"/>
      <c r="S2425" s="308" t="s">
        <v>81</v>
      </c>
      <c r="T2425" s="308" t="s">
        <v>98</v>
      </c>
      <c r="U2425" s="308"/>
      <c r="V2425" s="312"/>
    </row>
    <row r="2426">
      <c r="A2426" s="308">
        <v>2425.0</v>
      </c>
      <c r="B2426" s="308"/>
      <c r="C2426" s="308" t="s">
        <v>9991</v>
      </c>
      <c r="D2426" s="308">
        <f>IFERROR(__xludf.DUMMYFUNCTION("SPLIT(C2426,""-"")"),2446.0)</f>
        <v>2446</v>
      </c>
      <c r="E2426" s="308" t="str">
        <f>IFERROR(__xludf.DUMMYFUNCTION("""COMPUTED_VALUE"""),"K")</f>
        <v>K</v>
      </c>
      <c r="F2426" s="309" t="s">
        <v>34</v>
      </c>
      <c r="G2426" s="308"/>
      <c r="H2426" s="308" t="s">
        <v>9992</v>
      </c>
      <c r="I2426" s="310">
        <v>42029.0</v>
      </c>
      <c r="J2426" s="319">
        <f>IFERROR(__xludf.DUMMYFUNCTION("SPLIT(I2426,""/"")"),25.0)</f>
        <v>25</v>
      </c>
      <c r="K2426" s="308">
        <f>IFERROR(__xludf.DUMMYFUNCTION("""COMPUTED_VALUE"""),1.0)</f>
        <v>1</v>
      </c>
      <c r="L2426" s="308">
        <f>IFERROR(__xludf.DUMMYFUNCTION("""COMPUTED_VALUE"""),2015.0)</f>
        <v>2015</v>
      </c>
      <c r="M2426" s="308" t="s">
        <v>36672</v>
      </c>
      <c r="N2426" s="308"/>
      <c r="O2426" s="308" t="s">
        <v>9994</v>
      </c>
      <c r="P2426" s="308" t="s">
        <v>9995</v>
      </c>
      <c r="Q2426" s="308"/>
      <c r="R2426" s="308"/>
      <c r="S2426" s="308" t="s">
        <v>81</v>
      </c>
      <c r="T2426" s="311" t="s">
        <v>75</v>
      </c>
      <c r="U2426" s="308"/>
      <c r="V2426" s="312"/>
    </row>
    <row r="2427">
      <c r="A2427" s="308">
        <v>2426.0</v>
      </c>
      <c r="B2427" s="308"/>
      <c r="C2427" s="308" t="s">
        <v>9996</v>
      </c>
      <c r="D2427" s="308">
        <f>IFERROR(__xludf.DUMMYFUNCTION("SPLIT(C2427,""-"")"),2447.0)</f>
        <v>2447</v>
      </c>
      <c r="E2427" s="308" t="str">
        <f>IFERROR(__xludf.DUMMYFUNCTION("""COMPUTED_VALUE"""),"P")</f>
        <v>P</v>
      </c>
      <c r="F2427" s="312" t="s">
        <v>37</v>
      </c>
      <c r="G2427" s="308"/>
      <c r="H2427" s="308" t="s">
        <v>9997</v>
      </c>
      <c r="I2427" s="314">
        <v>42000.0</v>
      </c>
      <c r="J2427" s="319">
        <f>IFERROR(__xludf.DUMMYFUNCTION("SPLIT(I2427,""/"")"),27.0)</f>
        <v>27</v>
      </c>
      <c r="K2427" s="308">
        <f>IFERROR(__xludf.DUMMYFUNCTION("""COMPUTED_VALUE"""),12.0)</f>
        <v>12</v>
      </c>
      <c r="L2427" s="308">
        <f>IFERROR(__xludf.DUMMYFUNCTION("""COMPUTED_VALUE"""),2014.0)</f>
        <v>2014</v>
      </c>
      <c r="M2427" s="308" t="s">
        <v>9998</v>
      </c>
      <c r="N2427" s="308"/>
      <c r="O2427" s="308" t="s">
        <v>635</v>
      </c>
      <c r="P2427" s="308" t="s">
        <v>9999</v>
      </c>
      <c r="Q2427" s="308"/>
      <c r="R2427" s="308"/>
      <c r="S2427" s="308" t="s">
        <v>81</v>
      </c>
      <c r="T2427" s="308" t="s">
        <v>75</v>
      </c>
      <c r="U2427" s="308"/>
      <c r="V2427" s="312"/>
    </row>
    <row r="2428">
      <c r="A2428" s="308">
        <v>2427.0</v>
      </c>
      <c r="B2428" s="308"/>
      <c r="C2428" s="308" t="s">
        <v>10000</v>
      </c>
      <c r="D2428" s="308">
        <f>IFERROR(__xludf.DUMMYFUNCTION("SPLIT(C2428,""-"")"),2448.0)</f>
        <v>2448</v>
      </c>
      <c r="E2428" s="308" t="str">
        <f>IFERROR(__xludf.DUMMYFUNCTION("""COMPUTED_VALUE"""),"P")</f>
        <v>P</v>
      </c>
      <c r="F2428" s="312" t="s">
        <v>37</v>
      </c>
      <c r="G2428" s="308"/>
      <c r="H2428" s="308" t="s">
        <v>10001</v>
      </c>
      <c r="I2428" s="314">
        <v>41988.0</v>
      </c>
      <c r="J2428" s="319">
        <f>IFERROR(__xludf.DUMMYFUNCTION("SPLIT(I2428,""/"")"),15.0)</f>
        <v>15</v>
      </c>
      <c r="K2428" s="308">
        <f>IFERROR(__xludf.DUMMYFUNCTION("""COMPUTED_VALUE"""),12.0)</f>
        <v>12</v>
      </c>
      <c r="L2428" s="308">
        <f>IFERROR(__xludf.DUMMYFUNCTION("""COMPUTED_VALUE"""),2014.0)</f>
        <v>2014</v>
      </c>
      <c r="M2428" s="308" t="s">
        <v>10002</v>
      </c>
      <c r="N2428" s="308"/>
      <c r="O2428" s="308" t="s">
        <v>10003</v>
      </c>
      <c r="P2428" s="308" t="s">
        <v>10004</v>
      </c>
      <c r="Q2428" s="308"/>
      <c r="R2428" s="308"/>
      <c r="S2428" s="308" t="s">
        <v>81</v>
      </c>
      <c r="T2428" s="308" t="s">
        <v>75</v>
      </c>
      <c r="U2428" s="308"/>
      <c r="V2428" s="312"/>
    </row>
    <row r="2429">
      <c r="A2429" s="308">
        <v>2428.0</v>
      </c>
      <c r="B2429" s="308"/>
      <c r="C2429" s="308" t="s">
        <v>10005</v>
      </c>
      <c r="D2429" s="308">
        <f>IFERROR(__xludf.DUMMYFUNCTION("SPLIT(C2429,""-"")"),2449.0)</f>
        <v>2449</v>
      </c>
      <c r="E2429" s="308" t="str">
        <f>IFERROR(__xludf.DUMMYFUNCTION("""COMPUTED_VALUE"""),"K")</f>
        <v>K</v>
      </c>
      <c r="F2429" s="309" t="s">
        <v>34</v>
      </c>
      <c r="G2429" s="308"/>
      <c r="H2429" s="308" t="s">
        <v>10006</v>
      </c>
      <c r="I2429" s="316">
        <v>2012.0</v>
      </c>
      <c r="J2429" s="319"/>
      <c r="K2429" s="308"/>
      <c r="L2429" s="311">
        <v>2012.0</v>
      </c>
      <c r="M2429" s="308" t="s">
        <v>10007</v>
      </c>
      <c r="N2429" s="308"/>
      <c r="O2429" s="308" t="s">
        <v>635</v>
      </c>
      <c r="P2429" s="308" t="s">
        <v>10008</v>
      </c>
      <c r="Q2429" s="308"/>
      <c r="R2429" s="308"/>
      <c r="S2429" s="308" t="s">
        <v>81</v>
      </c>
      <c r="T2429" s="308" t="s">
        <v>34264</v>
      </c>
      <c r="U2429" s="308"/>
      <c r="V2429" s="312"/>
    </row>
    <row r="2430">
      <c r="A2430" s="308">
        <v>2429.0</v>
      </c>
      <c r="B2430" s="308"/>
      <c r="C2430" s="308" t="s">
        <v>10009</v>
      </c>
      <c r="D2430" s="308">
        <f>IFERROR(__xludf.DUMMYFUNCTION("SPLIT(C2430,""-"")"),2450.0)</f>
        <v>2450</v>
      </c>
      <c r="E2430" s="308" t="str">
        <f>IFERROR(__xludf.DUMMYFUNCTION("""COMPUTED_VALUE"""),"P")</f>
        <v>P</v>
      </c>
      <c r="F2430" s="312" t="s">
        <v>37</v>
      </c>
      <c r="G2430" s="308"/>
      <c r="H2430" s="308" t="s">
        <v>10010</v>
      </c>
      <c r="I2430" s="310">
        <v>41876.0</v>
      </c>
      <c r="J2430" s="319">
        <f>IFERROR(__xludf.DUMMYFUNCTION("SPLIT(I2430,""/"")"),25.0)</f>
        <v>25</v>
      </c>
      <c r="K2430" s="308">
        <f>IFERROR(__xludf.DUMMYFUNCTION("""COMPUTED_VALUE"""),8.0)</f>
        <v>8</v>
      </c>
      <c r="L2430" s="308">
        <f>IFERROR(__xludf.DUMMYFUNCTION("""COMPUTED_VALUE"""),2014.0)</f>
        <v>2014</v>
      </c>
      <c r="M2430" s="308" t="s">
        <v>10011</v>
      </c>
      <c r="N2430" s="308"/>
      <c r="O2430" s="308" t="s">
        <v>10012</v>
      </c>
      <c r="P2430" s="308" t="s">
        <v>10013</v>
      </c>
      <c r="Q2430" s="308"/>
      <c r="R2430" s="308"/>
      <c r="S2430" s="308" t="s">
        <v>81</v>
      </c>
      <c r="T2430" s="311" t="s">
        <v>96</v>
      </c>
      <c r="U2430" s="308"/>
      <c r="V2430" s="312"/>
    </row>
    <row r="2431">
      <c r="A2431" s="308">
        <v>2430.0</v>
      </c>
      <c r="B2431" s="308"/>
      <c r="C2431" s="308" t="s">
        <v>10014</v>
      </c>
      <c r="D2431" s="308">
        <f>IFERROR(__xludf.DUMMYFUNCTION("SPLIT(C2431,""-"")"),2451.0)</f>
        <v>2451</v>
      </c>
      <c r="E2431" s="308" t="str">
        <f>IFERROR(__xludf.DUMMYFUNCTION("""COMPUTED_VALUE"""),"K")</f>
        <v>K</v>
      </c>
      <c r="F2431" s="309" t="s">
        <v>34</v>
      </c>
      <c r="G2431" s="308"/>
      <c r="H2431" s="308" t="s">
        <v>10015</v>
      </c>
      <c r="I2431" s="316">
        <v>2013.0</v>
      </c>
      <c r="J2431" s="319"/>
      <c r="K2431" s="308"/>
      <c r="L2431" s="311">
        <v>2013.0</v>
      </c>
      <c r="M2431" s="308" t="s">
        <v>36673</v>
      </c>
      <c r="N2431" s="308"/>
      <c r="O2431" s="308" t="s">
        <v>635</v>
      </c>
      <c r="P2431" s="308" t="s">
        <v>10017</v>
      </c>
      <c r="Q2431" s="308"/>
      <c r="R2431" s="308"/>
      <c r="S2431" s="308" t="s">
        <v>81</v>
      </c>
      <c r="T2431" s="308" t="s">
        <v>34264</v>
      </c>
      <c r="U2431" s="308"/>
      <c r="V2431" s="312"/>
    </row>
    <row r="2432">
      <c r="A2432" s="308">
        <v>2431.0</v>
      </c>
      <c r="B2432" s="308"/>
      <c r="C2432" s="308" t="s">
        <v>10018</v>
      </c>
      <c r="D2432" s="308">
        <f>IFERROR(__xludf.DUMMYFUNCTION("SPLIT(C2432,""-"")"),2452.0)</f>
        <v>2452</v>
      </c>
      <c r="E2432" s="308" t="str">
        <f>IFERROR(__xludf.DUMMYFUNCTION("""COMPUTED_VALUE"""),"P")</f>
        <v>P</v>
      </c>
      <c r="F2432" s="312" t="s">
        <v>37</v>
      </c>
      <c r="G2432" s="308"/>
      <c r="H2432" s="308" t="s">
        <v>10019</v>
      </c>
      <c r="I2432" s="310">
        <v>41818.0</v>
      </c>
      <c r="J2432" s="319">
        <f>IFERROR(__xludf.DUMMYFUNCTION("SPLIT(I2432,""/"")"),28.0)</f>
        <v>28</v>
      </c>
      <c r="K2432" s="308">
        <f>IFERROR(__xludf.DUMMYFUNCTION("""COMPUTED_VALUE"""),6.0)</f>
        <v>6</v>
      </c>
      <c r="L2432" s="308">
        <f>IFERROR(__xludf.DUMMYFUNCTION("""COMPUTED_VALUE"""),2014.0)</f>
        <v>2014</v>
      </c>
      <c r="M2432" s="308" t="s">
        <v>10020</v>
      </c>
      <c r="N2432" s="308"/>
      <c r="O2432" s="308" t="s">
        <v>10021</v>
      </c>
      <c r="P2432" s="308" t="s">
        <v>10022</v>
      </c>
      <c r="Q2432" s="308"/>
      <c r="R2432" s="308"/>
      <c r="S2432" s="308" t="s">
        <v>81</v>
      </c>
      <c r="T2432" s="308" t="s">
        <v>98</v>
      </c>
      <c r="U2432" s="308"/>
      <c r="V2432" s="312"/>
    </row>
    <row r="2433">
      <c r="A2433" s="308">
        <v>2432.0</v>
      </c>
      <c r="B2433" s="308"/>
      <c r="C2433" s="308" t="s">
        <v>10023</v>
      </c>
      <c r="D2433" s="308">
        <f>IFERROR(__xludf.DUMMYFUNCTION("SPLIT(C2433,""-"")"),2453.0)</f>
        <v>2453</v>
      </c>
      <c r="E2433" s="308" t="str">
        <f>IFERROR(__xludf.DUMMYFUNCTION("""COMPUTED_VALUE"""),"S")</f>
        <v>S</v>
      </c>
      <c r="F2433" s="312" t="s">
        <v>39</v>
      </c>
      <c r="G2433" s="308"/>
      <c r="H2433" s="308" t="s">
        <v>36674</v>
      </c>
      <c r="I2433" s="314">
        <v>41957.0</v>
      </c>
      <c r="J2433" s="319">
        <f>IFERROR(__xludf.DUMMYFUNCTION("SPLIT(I2433,""/"")"),14.0)</f>
        <v>14</v>
      </c>
      <c r="K2433" s="308">
        <f>IFERROR(__xludf.DUMMYFUNCTION("""COMPUTED_VALUE"""),11.0)</f>
        <v>11</v>
      </c>
      <c r="L2433" s="308">
        <f>IFERROR(__xludf.DUMMYFUNCTION("""COMPUTED_VALUE"""),2014.0)</f>
        <v>2014</v>
      </c>
      <c r="M2433" s="308" t="s">
        <v>36675</v>
      </c>
      <c r="N2433" s="308"/>
      <c r="O2433" s="308" t="s">
        <v>10026</v>
      </c>
      <c r="P2433" s="308" t="s">
        <v>9979</v>
      </c>
      <c r="Q2433" s="308"/>
      <c r="R2433" s="308"/>
      <c r="S2433" s="315" t="s">
        <v>100</v>
      </c>
      <c r="T2433" s="311" t="s">
        <v>34208</v>
      </c>
      <c r="U2433" s="308"/>
      <c r="V2433" s="312"/>
    </row>
    <row r="2434">
      <c r="A2434" s="308">
        <v>2433.0</v>
      </c>
      <c r="B2434" s="308"/>
      <c r="C2434" s="308" t="s">
        <v>10027</v>
      </c>
      <c r="D2434" s="308">
        <f>IFERROR(__xludf.DUMMYFUNCTION("SPLIT(C2434,""-"")"),2454.0)</f>
        <v>2454</v>
      </c>
      <c r="E2434" s="308" t="str">
        <f>IFERROR(__xludf.DUMMYFUNCTION("""COMPUTED_VALUE"""),"K")</f>
        <v>K</v>
      </c>
      <c r="F2434" s="309" t="s">
        <v>34</v>
      </c>
      <c r="G2434" s="308"/>
      <c r="H2434" s="308" t="s">
        <v>10028</v>
      </c>
      <c r="I2434" s="316" t="s">
        <v>10029</v>
      </c>
      <c r="J2434" s="319"/>
      <c r="K2434" s="308"/>
      <c r="L2434" s="311">
        <v>2013.0</v>
      </c>
      <c r="M2434" s="308" t="s">
        <v>10030</v>
      </c>
      <c r="N2434" s="308"/>
      <c r="O2434" s="308" t="s">
        <v>10031</v>
      </c>
      <c r="P2434" s="308" t="s">
        <v>36676</v>
      </c>
      <c r="Q2434" s="308"/>
      <c r="R2434" s="308"/>
      <c r="S2434" s="308" t="s">
        <v>81</v>
      </c>
      <c r="T2434" s="308" t="s">
        <v>34264</v>
      </c>
      <c r="U2434" s="308"/>
      <c r="V2434" s="312"/>
    </row>
    <row r="2435">
      <c r="A2435" s="308">
        <v>2434.0</v>
      </c>
      <c r="B2435" s="308"/>
      <c r="C2435" s="308" t="s">
        <v>10033</v>
      </c>
      <c r="D2435" s="308">
        <f>IFERROR(__xludf.DUMMYFUNCTION("SPLIT(C2435,""-"")"),2455.0)</f>
        <v>2455</v>
      </c>
      <c r="E2435" s="308" t="str">
        <f>IFERROR(__xludf.DUMMYFUNCTION("""COMPUTED_VALUE"""),"P")</f>
        <v>P</v>
      </c>
      <c r="F2435" s="312" t="s">
        <v>37</v>
      </c>
      <c r="G2435" s="308"/>
      <c r="H2435" s="308" t="s">
        <v>10034</v>
      </c>
      <c r="I2435" s="310">
        <v>42018.0</v>
      </c>
      <c r="J2435" s="319">
        <f>IFERROR(__xludf.DUMMYFUNCTION("SPLIT(I2435,""/"")"),14.0)</f>
        <v>14</v>
      </c>
      <c r="K2435" s="308">
        <f>IFERROR(__xludf.DUMMYFUNCTION("""COMPUTED_VALUE"""),1.0)</f>
        <v>1</v>
      </c>
      <c r="L2435" s="308">
        <f>IFERROR(__xludf.DUMMYFUNCTION("""COMPUTED_VALUE"""),2015.0)</f>
        <v>2015</v>
      </c>
      <c r="M2435" s="308" t="s">
        <v>10035</v>
      </c>
      <c r="N2435" s="308"/>
      <c r="O2435" s="308" t="s">
        <v>10036</v>
      </c>
      <c r="P2435" s="308" t="s">
        <v>10037</v>
      </c>
      <c r="Q2435" s="308"/>
      <c r="R2435" s="308"/>
      <c r="S2435" s="308" t="s">
        <v>81</v>
      </c>
      <c r="T2435" s="308" t="s">
        <v>75</v>
      </c>
      <c r="U2435" s="308"/>
      <c r="V2435" s="312"/>
    </row>
    <row r="2436">
      <c r="A2436" s="308">
        <v>2435.0</v>
      </c>
      <c r="B2436" s="308"/>
      <c r="C2436" s="308" t="s">
        <v>10038</v>
      </c>
      <c r="D2436" s="308">
        <f>IFERROR(__xludf.DUMMYFUNCTION("SPLIT(C2436,""-"")"),2456.0)</f>
        <v>2456</v>
      </c>
      <c r="E2436" s="308" t="str">
        <f>IFERROR(__xludf.DUMMYFUNCTION("""COMPUTED_VALUE"""),"B")</f>
        <v>B</v>
      </c>
      <c r="F2436" s="315" t="s">
        <v>26</v>
      </c>
      <c r="G2436" s="308"/>
      <c r="H2436" s="308" t="s">
        <v>10039</v>
      </c>
      <c r="I2436" s="310">
        <v>42007.0</v>
      </c>
      <c r="J2436" s="319">
        <f>IFERROR(__xludf.DUMMYFUNCTION("SPLIT(I2436,""/"")"),3.0)</f>
        <v>3</v>
      </c>
      <c r="K2436" s="308">
        <f>IFERROR(__xludf.DUMMYFUNCTION("""COMPUTED_VALUE"""),1.0)</f>
        <v>1</v>
      </c>
      <c r="L2436" s="308">
        <f>IFERROR(__xludf.DUMMYFUNCTION("""COMPUTED_VALUE"""),2015.0)</f>
        <v>2015</v>
      </c>
      <c r="M2436" s="308" t="s">
        <v>10040</v>
      </c>
      <c r="N2436" s="308"/>
      <c r="O2436" s="308" t="s">
        <v>635</v>
      </c>
      <c r="P2436" s="308" t="s">
        <v>10041</v>
      </c>
      <c r="Q2436" s="308"/>
      <c r="R2436" s="308"/>
      <c r="S2436" s="308" t="s">
        <v>81</v>
      </c>
      <c r="T2436" s="308" t="s">
        <v>75</v>
      </c>
      <c r="U2436" s="308"/>
      <c r="V2436" s="312"/>
    </row>
    <row r="2437">
      <c r="A2437" s="308">
        <v>2436.0</v>
      </c>
      <c r="B2437" s="308"/>
      <c r="C2437" s="308" t="s">
        <v>10042</v>
      </c>
      <c r="D2437" s="308">
        <f>IFERROR(__xludf.DUMMYFUNCTION("SPLIT(C2437,""-"")"),2457.0)</f>
        <v>2457</v>
      </c>
      <c r="E2437" s="308" t="str">
        <f>IFERROR(__xludf.DUMMYFUNCTION("""COMPUTED_VALUE"""),"P")</f>
        <v>P</v>
      </c>
      <c r="F2437" s="312" t="s">
        <v>37</v>
      </c>
      <c r="G2437" s="308"/>
      <c r="H2437" s="308" t="s">
        <v>10043</v>
      </c>
      <c r="I2437" s="310">
        <v>42053.0</v>
      </c>
      <c r="J2437" s="319">
        <f>IFERROR(__xludf.DUMMYFUNCTION("SPLIT(I2437,""/"")"),18.0)</f>
        <v>18</v>
      </c>
      <c r="K2437" s="308">
        <f>IFERROR(__xludf.DUMMYFUNCTION("""COMPUTED_VALUE"""),2.0)</f>
        <v>2</v>
      </c>
      <c r="L2437" s="308">
        <f>IFERROR(__xludf.DUMMYFUNCTION("""COMPUTED_VALUE"""),2015.0)</f>
        <v>2015</v>
      </c>
      <c r="M2437" s="308" t="s">
        <v>10044</v>
      </c>
      <c r="N2437" s="308"/>
      <c r="O2437" s="308" t="s">
        <v>10045</v>
      </c>
      <c r="P2437" s="308" t="s">
        <v>10046</v>
      </c>
      <c r="Q2437" s="308"/>
      <c r="R2437" s="308"/>
      <c r="S2437" s="308" t="s">
        <v>81</v>
      </c>
      <c r="T2437" s="311" t="s">
        <v>96</v>
      </c>
      <c r="U2437" s="308"/>
      <c r="V2437" s="312"/>
    </row>
    <row r="2438">
      <c r="A2438" s="308">
        <v>2437.0</v>
      </c>
      <c r="B2438" s="308"/>
      <c r="C2438" s="308" t="s">
        <v>10047</v>
      </c>
      <c r="D2438" s="308">
        <f>IFERROR(__xludf.DUMMYFUNCTION("SPLIT(C2438,""-"")"),2458.0)</f>
        <v>2458</v>
      </c>
      <c r="E2438" s="308" t="str">
        <f>IFERROR(__xludf.DUMMYFUNCTION("""COMPUTED_VALUE"""),"B")</f>
        <v>B</v>
      </c>
      <c r="F2438" s="315" t="s">
        <v>26</v>
      </c>
      <c r="G2438" s="308"/>
      <c r="H2438" s="308" t="s">
        <v>10048</v>
      </c>
      <c r="I2438" s="314">
        <v>41662.0</v>
      </c>
      <c r="J2438" s="319">
        <f>IFERROR(__xludf.DUMMYFUNCTION("SPLIT(I2438,""/"")"),23.0)</f>
        <v>23</v>
      </c>
      <c r="K2438" s="308">
        <f>IFERROR(__xludf.DUMMYFUNCTION("""COMPUTED_VALUE"""),1.0)</f>
        <v>1</v>
      </c>
      <c r="L2438" s="308">
        <f>IFERROR(__xludf.DUMMYFUNCTION("""COMPUTED_VALUE"""),2014.0)</f>
        <v>2014</v>
      </c>
      <c r="M2438" s="308" t="s">
        <v>10049</v>
      </c>
      <c r="N2438" s="308"/>
      <c r="O2438" s="308" t="s">
        <v>10050</v>
      </c>
      <c r="P2438" s="308" t="s">
        <v>10051</v>
      </c>
      <c r="Q2438" s="308"/>
      <c r="R2438" s="308"/>
      <c r="S2438" s="308" t="s">
        <v>49</v>
      </c>
      <c r="T2438" s="308" t="s">
        <v>51</v>
      </c>
      <c r="U2438" s="308"/>
      <c r="V2438" s="312"/>
    </row>
    <row r="2439">
      <c r="A2439" s="308">
        <v>2438.0</v>
      </c>
      <c r="B2439" s="308"/>
      <c r="C2439" s="308" t="s">
        <v>10052</v>
      </c>
      <c r="D2439" s="308">
        <f>IFERROR(__xludf.DUMMYFUNCTION("SPLIT(C2439,""-"")"),2459.0)</f>
        <v>2459</v>
      </c>
      <c r="E2439" s="308" t="str">
        <f>IFERROR(__xludf.DUMMYFUNCTION("""COMPUTED_VALUE"""),"B")</f>
        <v>B</v>
      </c>
      <c r="F2439" s="315" t="s">
        <v>26</v>
      </c>
      <c r="G2439" s="308"/>
      <c r="H2439" s="308" t="s">
        <v>10053</v>
      </c>
      <c r="I2439" s="314">
        <v>41515.0</v>
      </c>
      <c r="J2439" s="319">
        <f>IFERROR(__xludf.DUMMYFUNCTION("SPLIT(I2439,""/"")"),29.0)</f>
        <v>29</v>
      </c>
      <c r="K2439" s="308">
        <f>IFERROR(__xludf.DUMMYFUNCTION("""COMPUTED_VALUE"""),8.0)</f>
        <v>8</v>
      </c>
      <c r="L2439" s="308">
        <f>IFERROR(__xludf.DUMMYFUNCTION("""COMPUTED_VALUE"""),2013.0)</f>
        <v>2013</v>
      </c>
      <c r="M2439" s="308" t="s">
        <v>10054</v>
      </c>
      <c r="N2439" s="308"/>
      <c r="O2439" s="308" t="s">
        <v>10055</v>
      </c>
      <c r="P2439" s="308" t="s">
        <v>36677</v>
      </c>
      <c r="Q2439" s="308"/>
      <c r="R2439" s="308"/>
      <c r="S2439" s="308" t="s">
        <v>81</v>
      </c>
      <c r="T2439" s="311" t="s">
        <v>96</v>
      </c>
      <c r="U2439" s="308" t="s">
        <v>27</v>
      </c>
      <c r="V2439" s="312"/>
    </row>
    <row r="2440">
      <c r="A2440" s="308">
        <v>2439.0</v>
      </c>
      <c r="B2440" s="308"/>
      <c r="C2440" s="308" t="s">
        <v>10057</v>
      </c>
      <c r="D2440" s="308">
        <f>IFERROR(__xludf.DUMMYFUNCTION("SPLIT(C2440,""-"")"),2460.0)</f>
        <v>2460</v>
      </c>
      <c r="E2440" s="308" t="str">
        <f>IFERROR(__xludf.DUMMYFUNCTION("""COMPUTED_VALUE"""),"B")</f>
        <v>B</v>
      </c>
      <c r="F2440" s="315" t="s">
        <v>26</v>
      </c>
      <c r="G2440" s="308"/>
      <c r="H2440" s="308" t="s">
        <v>10058</v>
      </c>
      <c r="I2440" s="314">
        <v>41515.0</v>
      </c>
      <c r="J2440" s="319">
        <f>IFERROR(__xludf.DUMMYFUNCTION("SPLIT(I2440,""/"")"),29.0)</f>
        <v>29</v>
      </c>
      <c r="K2440" s="308">
        <f>IFERROR(__xludf.DUMMYFUNCTION("""COMPUTED_VALUE"""),8.0)</f>
        <v>8</v>
      </c>
      <c r="L2440" s="308">
        <f>IFERROR(__xludf.DUMMYFUNCTION("""COMPUTED_VALUE"""),2013.0)</f>
        <v>2013</v>
      </c>
      <c r="M2440" s="308" t="s">
        <v>10059</v>
      </c>
      <c r="N2440" s="308"/>
      <c r="O2440" s="308" t="s">
        <v>10055</v>
      </c>
      <c r="P2440" s="308" t="s">
        <v>10060</v>
      </c>
      <c r="Q2440" s="308"/>
      <c r="R2440" s="308"/>
      <c r="S2440" s="308" t="s">
        <v>49</v>
      </c>
      <c r="T2440" s="311" t="s">
        <v>51</v>
      </c>
      <c r="U2440" s="308" t="s">
        <v>27</v>
      </c>
      <c r="V2440" s="312"/>
    </row>
    <row r="2441">
      <c r="A2441" s="308">
        <v>2440.0</v>
      </c>
      <c r="B2441" s="308"/>
      <c r="C2441" s="308" t="s">
        <v>10061</v>
      </c>
      <c r="D2441" s="308">
        <f>IFERROR(__xludf.DUMMYFUNCTION("SPLIT(C2441,""-"")"),2461.0)</f>
        <v>2461</v>
      </c>
      <c r="E2441" s="308" t="str">
        <f>IFERROR(__xludf.DUMMYFUNCTION("""COMPUTED_VALUE"""),"B")</f>
        <v>B</v>
      </c>
      <c r="F2441" s="315" t="s">
        <v>26</v>
      </c>
      <c r="G2441" s="308"/>
      <c r="H2441" s="308" t="s">
        <v>10062</v>
      </c>
      <c r="I2441" s="314">
        <v>41713.0</v>
      </c>
      <c r="J2441" s="319">
        <f>IFERROR(__xludf.DUMMYFUNCTION("SPLIT(I2441,""/"")"),15.0)</f>
        <v>15</v>
      </c>
      <c r="K2441" s="308">
        <f>IFERROR(__xludf.DUMMYFUNCTION("""COMPUTED_VALUE"""),3.0)</f>
        <v>3</v>
      </c>
      <c r="L2441" s="308">
        <f>IFERROR(__xludf.DUMMYFUNCTION("""COMPUTED_VALUE"""),2014.0)</f>
        <v>2014</v>
      </c>
      <c r="M2441" s="308" t="s">
        <v>10063</v>
      </c>
      <c r="N2441" s="308"/>
      <c r="O2441" s="308" t="s">
        <v>10064</v>
      </c>
      <c r="P2441" s="308" t="s">
        <v>36678</v>
      </c>
      <c r="Q2441" s="308"/>
      <c r="R2441" s="308"/>
      <c r="S2441" s="308" t="s">
        <v>49</v>
      </c>
      <c r="T2441" s="308" t="s">
        <v>51</v>
      </c>
      <c r="U2441" s="308"/>
      <c r="V2441" s="312"/>
    </row>
    <row r="2442">
      <c r="A2442" s="308">
        <v>2441.0</v>
      </c>
      <c r="B2442" s="308"/>
      <c r="C2442" s="308" t="s">
        <v>10066</v>
      </c>
      <c r="D2442" s="308">
        <f>IFERROR(__xludf.DUMMYFUNCTION("SPLIT(C2442,""-"")"),2462.0)</f>
        <v>2462</v>
      </c>
      <c r="E2442" s="308" t="str">
        <f>IFERROR(__xludf.DUMMYFUNCTION("""COMPUTED_VALUE"""),"B")</f>
        <v>B</v>
      </c>
      <c r="F2442" s="315" t="s">
        <v>26</v>
      </c>
      <c r="G2442" s="308" t="s">
        <v>34216</v>
      </c>
      <c r="H2442" s="308" t="s">
        <v>10067</v>
      </c>
      <c r="I2442" s="331">
        <v>40263.0</v>
      </c>
      <c r="J2442" s="323">
        <v>26.0</v>
      </c>
      <c r="K2442" s="311">
        <v>3.0</v>
      </c>
      <c r="L2442" s="311">
        <v>2010.0</v>
      </c>
      <c r="M2442" s="308" t="s">
        <v>36679</v>
      </c>
      <c r="N2442" s="308"/>
      <c r="O2442" s="308" t="s">
        <v>10069</v>
      </c>
      <c r="P2442" s="308" t="s">
        <v>10070</v>
      </c>
      <c r="Q2442" s="308"/>
      <c r="R2442" s="308"/>
      <c r="S2442" s="308" t="s">
        <v>49</v>
      </c>
      <c r="T2442" s="308" t="s">
        <v>51</v>
      </c>
      <c r="U2442" s="308"/>
      <c r="V2442" s="312"/>
    </row>
    <row r="2443">
      <c r="A2443" s="308">
        <v>2442.0</v>
      </c>
      <c r="B2443" s="308"/>
      <c r="C2443" s="308" t="s">
        <v>10071</v>
      </c>
      <c r="D2443" s="308">
        <f>IFERROR(__xludf.DUMMYFUNCTION("SPLIT(C2443,""-"")"),2463.0)</f>
        <v>2463</v>
      </c>
      <c r="E2443" s="308" t="str">
        <f>IFERROR(__xludf.DUMMYFUNCTION("""COMPUTED_VALUE"""),"B")</f>
        <v>B</v>
      </c>
      <c r="F2443" s="315" t="s">
        <v>26</v>
      </c>
      <c r="G2443" s="308" t="s">
        <v>34216</v>
      </c>
      <c r="H2443" s="308" t="s">
        <v>10072</v>
      </c>
      <c r="I2443" s="314">
        <v>41907.0</v>
      </c>
      <c r="J2443" s="319">
        <f>IFERROR(__xludf.DUMMYFUNCTION("SPLIT(I2443,""/"")"),25.0)</f>
        <v>25</v>
      </c>
      <c r="K2443" s="308">
        <f>IFERROR(__xludf.DUMMYFUNCTION("""COMPUTED_VALUE"""),9.0)</f>
        <v>9</v>
      </c>
      <c r="L2443" s="308">
        <f>IFERROR(__xludf.DUMMYFUNCTION("""COMPUTED_VALUE"""),2014.0)</f>
        <v>2014</v>
      </c>
      <c r="M2443" s="308" t="s">
        <v>10073</v>
      </c>
      <c r="N2443" s="308"/>
      <c r="O2443" s="308" t="s">
        <v>10074</v>
      </c>
      <c r="P2443" s="308" t="s">
        <v>36680</v>
      </c>
      <c r="Q2443" s="308"/>
      <c r="R2443" s="308"/>
      <c r="S2443" s="315" t="s">
        <v>100</v>
      </c>
      <c r="T2443" s="311" t="s">
        <v>34208</v>
      </c>
      <c r="U2443" s="308" t="s">
        <v>27</v>
      </c>
      <c r="V2443" s="312"/>
    </row>
    <row r="2444">
      <c r="A2444" s="308">
        <v>2443.0</v>
      </c>
      <c r="B2444" s="308"/>
      <c r="C2444" s="308" t="s">
        <v>10075</v>
      </c>
      <c r="D2444" s="308">
        <f>IFERROR(__xludf.DUMMYFUNCTION("SPLIT(C2444,""-"")"),2464.0)</f>
        <v>2464</v>
      </c>
      <c r="E2444" s="308" t="str">
        <f>IFERROR(__xludf.DUMMYFUNCTION("""COMPUTED_VALUE"""),"B")</f>
        <v>B</v>
      </c>
      <c r="F2444" s="315" t="s">
        <v>26</v>
      </c>
      <c r="G2444" s="308" t="s">
        <v>34216</v>
      </c>
      <c r="H2444" s="308" t="s">
        <v>10076</v>
      </c>
      <c r="I2444" s="314">
        <v>41240.0</v>
      </c>
      <c r="J2444" s="319">
        <f>IFERROR(__xludf.DUMMYFUNCTION("SPLIT(I2444,""/"")"),27.0)</f>
        <v>27</v>
      </c>
      <c r="K2444" s="308">
        <f>IFERROR(__xludf.DUMMYFUNCTION("""COMPUTED_VALUE"""),11.0)</f>
        <v>11</v>
      </c>
      <c r="L2444" s="308">
        <f>IFERROR(__xludf.DUMMYFUNCTION("""COMPUTED_VALUE"""),2012.0)</f>
        <v>2012</v>
      </c>
      <c r="M2444" s="308" t="s">
        <v>10077</v>
      </c>
      <c r="N2444" s="308"/>
      <c r="O2444" s="308" t="s">
        <v>10078</v>
      </c>
      <c r="P2444" s="308" t="s">
        <v>10079</v>
      </c>
      <c r="Q2444" s="308"/>
      <c r="R2444" s="308"/>
      <c r="S2444" s="308" t="s">
        <v>49</v>
      </c>
      <c r="T2444" s="311" t="s">
        <v>69</v>
      </c>
      <c r="U2444" s="308" t="s">
        <v>27</v>
      </c>
      <c r="V2444" s="312"/>
    </row>
    <row r="2445">
      <c r="A2445" s="308">
        <v>2444.0</v>
      </c>
      <c r="B2445" s="308"/>
      <c r="C2445" s="308" t="s">
        <v>10080</v>
      </c>
      <c r="D2445" s="308">
        <f>IFERROR(__xludf.DUMMYFUNCTION("SPLIT(C2445,""-"")"),2465.0)</f>
        <v>2465</v>
      </c>
      <c r="E2445" s="308" t="str">
        <f>IFERROR(__xludf.DUMMYFUNCTION("""COMPUTED_VALUE"""),"B")</f>
        <v>B</v>
      </c>
      <c r="F2445" s="315" t="s">
        <v>26</v>
      </c>
      <c r="G2445" s="308" t="s">
        <v>34216</v>
      </c>
      <c r="H2445" s="308" t="s">
        <v>10081</v>
      </c>
      <c r="I2445" s="314">
        <v>41447.0</v>
      </c>
      <c r="J2445" s="319">
        <f>IFERROR(__xludf.DUMMYFUNCTION("SPLIT(I2445,""/"")"),22.0)</f>
        <v>22</v>
      </c>
      <c r="K2445" s="308">
        <f>IFERROR(__xludf.DUMMYFUNCTION("""COMPUTED_VALUE"""),6.0)</f>
        <v>6</v>
      </c>
      <c r="L2445" s="308">
        <f>IFERROR(__xludf.DUMMYFUNCTION("""COMPUTED_VALUE"""),2013.0)</f>
        <v>2013</v>
      </c>
      <c r="M2445" s="308" t="s">
        <v>10082</v>
      </c>
      <c r="N2445" s="308"/>
      <c r="O2445" s="308" t="s">
        <v>10083</v>
      </c>
      <c r="P2445" s="308" t="s">
        <v>10084</v>
      </c>
      <c r="Q2445" s="308"/>
      <c r="R2445" s="308"/>
      <c r="S2445" s="308" t="s">
        <v>49</v>
      </c>
      <c r="T2445" s="308" t="s">
        <v>51</v>
      </c>
      <c r="U2445" s="308" t="s">
        <v>27</v>
      </c>
      <c r="V2445" s="312"/>
    </row>
    <row r="2446">
      <c r="A2446" s="308">
        <v>2445.0</v>
      </c>
      <c r="B2446" s="308"/>
      <c r="C2446" s="308" t="s">
        <v>10085</v>
      </c>
      <c r="D2446" s="308">
        <f>IFERROR(__xludf.DUMMYFUNCTION("SPLIT(C2446,""-"")"),2466.0)</f>
        <v>2466</v>
      </c>
      <c r="E2446" s="308" t="str">
        <f>IFERROR(__xludf.DUMMYFUNCTION("""COMPUTED_VALUE"""),"B")</f>
        <v>B</v>
      </c>
      <c r="F2446" s="315" t="s">
        <v>26</v>
      </c>
      <c r="G2446" s="308" t="s">
        <v>34216</v>
      </c>
      <c r="H2446" s="308" t="s">
        <v>10081</v>
      </c>
      <c r="I2446" s="314">
        <v>41447.0</v>
      </c>
      <c r="J2446" s="319">
        <f>IFERROR(__xludf.DUMMYFUNCTION("SPLIT(I2446,""/"")"),22.0)</f>
        <v>22</v>
      </c>
      <c r="K2446" s="308">
        <f>IFERROR(__xludf.DUMMYFUNCTION("""COMPUTED_VALUE"""),6.0)</f>
        <v>6</v>
      </c>
      <c r="L2446" s="308">
        <f>IFERROR(__xludf.DUMMYFUNCTION("""COMPUTED_VALUE"""),2013.0)</f>
        <v>2013</v>
      </c>
      <c r="M2446" s="308" t="s">
        <v>10082</v>
      </c>
      <c r="N2446" s="308"/>
      <c r="O2446" s="308" t="s">
        <v>10083</v>
      </c>
      <c r="P2446" s="308" t="s">
        <v>10084</v>
      </c>
      <c r="Q2446" s="308"/>
      <c r="R2446" s="308"/>
      <c r="S2446" s="308" t="s">
        <v>49</v>
      </c>
      <c r="T2446" s="308" t="s">
        <v>51</v>
      </c>
      <c r="U2446" s="308"/>
      <c r="V2446" s="312"/>
    </row>
    <row r="2447">
      <c r="A2447" s="308">
        <v>2446.0</v>
      </c>
      <c r="B2447" s="308"/>
      <c r="C2447" s="308" t="s">
        <v>10086</v>
      </c>
      <c r="D2447" s="308">
        <f>IFERROR(__xludf.DUMMYFUNCTION("SPLIT(C2447,""-"")"),2467.0)</f>
        <v>2467</v>
      </c>
      <c r="E2447" s="308" t="str">
        <f>IFERROR(__xludf.DUMMYFUNCTION("""COMPUTED_VALUE"""),"B")</f>
        <v>B</v>
      </c>
      <c r="F2447" s="315" t="s">
        <v>26</v>
      </c>
      <c r="G2447" s="308" t="s">
        <v>34216</v>
      </c>
      <c r="H2447" s="308" t="s">
        <v>10087</v>
      </c>
      <c r="I2447" s="314">
        <v>41901.0</v>
      </c>
      <c r="J2447" s="319">
        <f>IFERROR(__xludf.DUMMYFUNCTION("SPLIT(I2447,""/"")"),19.0)</f>
        <v>19</v>
      </c>
      <c r="K2447" s="308">
        <f>IFERROR(__xludf.DUMMYFUNCTION("""COMPUTED_VALUE"""),9.0)</f>
        <v>9</v>
      </c>
      <c r="L2447" s="308">
        <f>IFERROR(__xludf.DUMMYFUNCTION("""COMPUTED_VALUE"""),2014.0)</f>
        <v>2014</v>
      </c>
      <c r="M2447" s="308" t="s">
        <v>10088</v>
      </c>
      <c r="N2447" s="308"/>
      <c r="O2447" s="308" t="s">
        <v>635</v>
      </c>
      <c r="P2447" s="308" t="s">
        <v>10089</v>
      </c>
      <c r="Q2447" s="308"/>
      <c r="R2447" s="308"/>
      <c r="S2447" s="308" t="s">
        <v>49</v>
      </c>
      <c r="T2447" s="311" t="s">
        <v>70</v>
      </c>
      <c r="U2447" s="308"/>
      <c r="V2447" s="312"/>
    </row>
    <row r="2448">
      <c r="A2448" s="308">
        <v>2447.0</v>
      </c>
      <c r="B2448" s="308"/>
      <c r="C2448" s="308" t="s">
        <v>10090</v>
      </c>
      <c r="D2448" s="308">
        <f>IFERROR(__xludf.DUMMYFUNCTION("SPLIT(C2448,""-"")"),2468.0)</f>
        <v>2468</v>
      </c>
      <c r="E2448" s="308" t="str">
        <f>IFERROR(__xludf.DUMMYFUNCTION("""COMPUTED_VALUE"""),"B")</f>
        <v>B</v>
      </c>
      <c r="F2448" s="315" t="s">
        <v>26</v>
      </c>
      <c r="G2448" s="308" t="s">
        <v>34216</v>
      </c>
      <c r="H2448" s="308" t="s">
        <v>10091</v>
      </c>
      <c r="I2448" s="314">
        <v>40267.0</v>
      </c>
      <c r="J2448" s="319">
        <f>IFERROR(__xludf.DUMMYFUNCTION("SPLIT(I2448,""/"")"),30.0)</f>
        <v>30</v>
      </c>
      <c r="K2448" s="308">
        <f>IFERROR(__xludf.DUMMYFUNCTION("""COMPUTED_VALUE"""),3.0)</f>
        <v>3</v>
      </c>
      <c r="L2448" s="308">
        <f>IFERROR(__xludf.DUMMYFUNCTION("""COMPUTED_VALUE"""),2010.0)</f>
        <v>2010</v>
      </c>
      <c r="M2448" s="308" t="s">
        <v>10092</v>
      </c>
      <c r="N2448" s="308" t="s">
        <v>10093</v>
      </c>
      <c r="O2448" s="308" t="s">
        <v>10094</v>
      </c>
      <c r="P2448" s="308" t="s">
        <v>10095</v>
      </c>
      <c r="Q2448" s="308"/>
      <c r="R2448" s="308"/>
      <c r="S2448" s="311" t="s">
        <v>100</v>
      </c>
      <c r="T2448" s="311" t="s">
        <v>34208</v>
      </c>
      <c r="U2448" s="308" t="s">
        <v>27</v>
      </c>
      <c r="V2448" s="312" t="s">
        <v>4627</v>
      </c>
    </row>
    <row r="2449">
      <c r="A2449" s="308">
        <v>2448.0</v>
      </c>
      <c r="B2449" s="308"/>
      <c r="C2449" s="308" t="s">
        <v>10096</v>
      </c>
      <c r="D2449" s="308">
        <f>IFERROR(__xludf.DUMMYFUNCTION("SPLIT(C2449,""-"")"),2469.0)</f>
        <v>2469</v>
      </c>
      <c r="E2449" s="308" t="str">
        <f>IFERROR(__xludf.DUMMYFUNCTION("""COMPUTED_VALUE"""),"S")</f>
        <v>S</v>
      </c>
      <c r="F2449" s="312" t="s">
        <v>39</v>
      </c>
      <c r="G2449" s="308"/>
      <c r="H2449" s="308" t="s">
        <v>10097</v>
      </c>
      <c r="I2449" s="314">
        <v>41982.0</v>
      </c>
      <c r="J2449" s="319">
        <f>IFERROR(__xludf.DUMMYFUNCTION("SPLIT(I2449,""/"")"),9.0)</f>
        <v>9</v>
      </c>
      <c r="K2449" s="308">
        <f>IFERROR(__xludf.DUMMYFUNCTION("""COMPUTED_VALUE"""),12.0)</f>
        <v>12</v>
      </c>
      <c r="L2449" s="308">
        <f>IFERROR(__xludf.DUMMYFUNCTION("""COMPUTED_VALUE"""),2014.0)</f>
        <v>2014</v>
      </c>
      <c r="M2449" s="308" t="s">
        <v>10098</v>
      </c>
      <c r="N2449" s="308"/>
      <c r="O2449" s="308" t="s">
        <v>635</v>
      </c>
      <c r="P2449" s="308" t="s">
        <v>1481</v>
      </c>
      <c r="Q2449" s="308"/>
      <c r="R2449" s="308"/>
      <c r="S2449" s="308" t="s">
        <v>81</v>
      </c>
      <c r="T2449" s="308" t="s">
        <v>35048</v>
      </c>
      <c r="U2449" s="308"/>
      <c r="V2449" s="312"/>
    </row>
    <row r="2450">
      <c r="A2450" s="308">
        <v>2449.0</v>
      </c>
      <c r="B2450" s="308"/>
      <c r="C2450" s="308" t="s">
        <v>10099</v>
      </c>
      <c r="D2450" s="308">
        <f>IFERROR(__xludf.DUMMYFUNCTION("SPLIT(C2450,""-"")"),2470.0)</f>
        <v>2470</v>
      </c>
      <c r="E2450" s="308" t="str">
        <f>IFERROR(__xludf.DUMMYFUNCTION("""COMPUTED_VALUE""")," K")</f>
        <v> K</v>
      </c>
      <c r="F2450" s="309" t="s">
        <v>34</v>
      </c>
      <c r="G2450" s="308"/>
      <c r="H2450" s="308" t="s">
        <v>10100</v>
      </c>
      <c r="I2450" s="314">
        <v>41648.0</v>
      </c>
      <c r="J2450" s="319">
        <f>IFERROR(__xludf.DUMMYFUNCTION("SPLIT(I2450,""/"")"),9.0)</f>
        <v>9</v>
      </c>
      <c r="K2450" s="308">
        <f>IFERROR(__xludf.DUMMYFUNCTION("""COMPUTED_VALUE"""),1.0)</f>
        <v>1</v>
      </c>
      <c r="L2450" s="308">
        <f>IFERROR(__xludf.DUMMYFUNCTION("""COMPUTED_VALUE"""),2014.0)</f>
        <v>2014</v>
      </c>
      <c r="M2450" s="308" t="s">
        <v>10101</v>
      </c>
      <c r="N2450" s="308"/>
      <c r="O2450" s="308" t="s">
        <v>10102</v>
      </c>
      <c r="P2450" s="308" t="s">
        <v>10103</v>
      </c>
      <c r="Q2450" s="308"/>
      <c r="R2450" s="308"/>
      <c r="S2450" s="308" t="s">
        <v>49</v>
      </c>
      <c r="T2450" s="308" t="s">
        <v>51</v>
      </c>
      <c r="U2450" s="308"/>
      <c r="V2450" s="312"/>
    </row>
    <row r="2451">
      <c r="A2451" s="308">
        <v>2450.0</v>
      </c>
      <c r="B2451" s="308"/>
      <c r="C2451" s="308" t="s">
        <v>10104</v>
      </c>
      <c r="D2451" s="308">
        <f>IFERROR(__xludf.DUMMYFUNCTION("SPLIT(C2451,""-"")"),2471.0)</f>
        <v>2471</v>
      </c>
      <c r="E2451" s="308" t="str">
        <f>IFERROR(__xludf.DUMMYFUNCTION("""COMPUTED_VALUE""")," B")</f>
        <v> B</v>
      </c>
      <c r="F2451" s="315" t="s">
        <v>26</v>
      </c>
      <c r="G2451" s="308"/>
      <c r="H2451" s="308" t="s">
        <v>10105</v>
      </c>
      <c r="I2451" s="314">
        <v>41531.0</v>
      </c>
      <c r="J2451" s="319">
        <f>IFERROR(__xludf.DUMMYFUNCTION("SPLIT(I2451,""/"")"),14.0)</f>
        <v>14</v>
      </c>
      <c r="K2451" s="308">
        <f>IFERROR(__xludf.DUMMYFUNCTION("""COMPUTED_VALUE"""),9.0)</f>
        <v>9</v>
      </c>
      <c r="L2451" s="308">
        <f>IFERROR(__xludf.DUMMYFUNCTION("""COMPUTED_VALUE"""),2013.0)</f>
        <v>2013</v>
      </c>
      <c r="M2451" s="308" t="s">
        <v>10106</v>
      </c>
      <c r="N2451" s="308"/>
      <c r="O2451" s="308" t="s">
        <v>10107</v>
      </c>
      <c r="P2451" s="308" t="s">
        <v>36681</v>
      </c>
      <c r="Q2451" s="308"/>
      <c r="R2451" s="308"/>
      <c r="S2451" s="308" t="s">
        <v>81</v>
      </c>
      <c r="T2451" s="311" t="s">
        <v>96</v>
      </c>
      <c r="U2451" s="308" t="s">
        <v>27</v>
      </c>
      <c r="V2451" s="312"/>
    </row>
    <row r="2452">
      <c r="A2452" s="308">
        <v>2451.0</v>
      </c>
      <c r="B2452" s="308"/>
      <c r="C2452" s="308" t="s">
        <v>10109</v>
      </c>
      <c r="D2452" s="308">
        <f>IFERROR(__xludf.DUMMYFUNCTION("SPLIT(C2452,""-"")"),2472.0)</f>
        <v>2472</v>
      </c>
      <c r="E2452" s="308" t="str">
        <f>IFERROR(__xludf.DUMMYFUNCTION("""COMPUTED_VALUE""")," B")</f>
        <v> B</v>
      </c>
      <c r="F2452" s="315" t="s">
        <v>26</v>
      </c>
      <c r="G2452" s="308"/>
      <c r="H2452" s="308" t="s">
        <v>10110</v>
      </c>
      <c r="I2452" s="314">
        <v>41513.0</v>
      </c>
      <c r="J2452" s="319">
        <f>IFERROR(__xludf.DUMMYFUNCTION("SPLIT(I2452,""/"")"),27.0)</f>
        <v>27</v>
      </c>
      <c r="K2452" s="308">
        <f>IFERROR(__xludf.DUMMYFUNCTION("""COMPUTED_VALUE"""),8.0)</f>
        <v>8</v>
      </c>
      <c r="L2452" s="308">
        <f>IFERROR(__xludf.DUMMYFUNCTION("""COMPUTED_VALUE"""),2013.0)</f>
        <v>2013</v>
      </c>
      <c r="M2452" s="308" t="s">
        <v>10111</v>
      </c>
      <c r="N2452" s="308"/>
      <c r="O2452" s="308" t="s">
        <v>10112</v>
      </c>
      <c r="P2452" s="308" t="s">
        <v>10113</v>
      </c>
      <c r="Q2452" s="308"/>
      <c r="R2452" s="308"/>
      <c r="S2452" s="308" t="s">
        <v>49</v>
      </c>
      <c r="T2452" s="308" t="s">
        <v>51</v>
      </c>
      <c r="U2452" s="308"/>
      <c r="V2452" s="312"/>
    </row>
    <row r="2453">
      <c r="A2453" s="308">
        <v>2452.0</v>
      </c>
      <c r="B2453" s="308"/>
      <c r="C2453" s="308" t="s">
        <v>10114</v>
      </c>
      <c r="D2453" s="308">
        <f>IFERROR(__xludf.DUMMYFUNCTION("SPLIT(C2453,""-"")"),2473.0)</f>
        <v>2473</v>
      </c>
      <c r="E2453" s="308" t="str">
        <f>IFERROR(__xludf.DUMMYFUNCTION("""COMPUTED_VALUE""")," B")</f>
        <v> B</v>
      </c>
      <c r="F2453" s="315" t="s">
        <v>26</v>
      </c>
      <c r="G2453" s="308"/>
      <c r="H2453" s="308" t="s">
        <v>10115</v>
      </c>
      <c r="I2453" s="314">
        <v>41471.0</v>
      </c>
      <c r="J2453" s="319">
        <f>IFERROR(__xludf.DUMMYFUNCTION("SPLIT(I2453,""/"")"),16.0)</f>
        <v>16</v>
      </c>
      <c r="K2453" s="308">
        <f>IFERROR(__xludf.DUMMYFUNCTION("""COMPUTED_VALUE"""),7.0)</f>
        <v>7</v>
      </c>
      <c r="L2453" s="308">
        <f>IFERROR(__xludf.DUMMYFUNCTION("""COMPUTED_VALUE"""),2013.0)</f>
        <v>2013</v>
      </c>
      <c r="M2453" s="308" t="s">
        <v>10116</v>
      </c>
      <c r="N2453" s="308"/>
      <c r="O2453" s="308" t="s">
        <v>10117</v>
      </c>
      <c r="P2453" s="308" t="s">
        <v>10118</v>
      </c>
      <c r="Q2453" s="308"/>
      <c r="R2453" s="308"/>
      <c r="S2453" s="308" t="s">
        <v>49</v>
      </c>
      <c r="T2453" s="308" t="s">
        <v>51</v>
      </c>
      <c r="U2453" s="308"/>
      <c r="V2453" s="312"/>
    </row>
    <row r="2454">
      <c r="A2454" s="308">
        <v>2453.0</v>
      </c>
      <c r="B2454" s="308"/>
      <c r="C2454" s="308" t="s">
        <v>10119</v>
      </c>
      <c r="D2454" s="308">
        <f>IFERROR(__xludf.DUMMYFUNCTION("SPLIT(C2454,""-"")"),2474.0)</f>
        <v>2474</v>
      </c>
      <c r="E2454" s="308" t="str">
        <f>IFERROR(__xludf.DUMMYFUNCTION("""COMPUTED_VALUE""")," B")</f>
        <v> B</v>
      </c>
      <c r="F2454" s="315" t="s">
        <v>26</v>
      </c>
      <c r="G2454" s="308"/>
      <c r="H2454" s="308" t="s">
        <v>10120</v>
      </c>
      <c r="I2454" s="314">
        <v>41541.0</v>
      </c>
      <c r="J2454" s="319">
        <f>IFERROR(__xludf.DUMMYFUNCTION("SPLIT(I2454,""/"")"),24.0)</f>
        <v>24</v>
      </c>
      <c r="K2454" s="308">
        <f>IFERROR(__xludf.DUMMYFUNCTION("""COMPUTED_VALUE"""),9.0)</f>
        <v>9</v>
      </c>
      <c r="L2454" s="308">
        <f>IFERROR(__xludf.DUMMYFUNCTION("""COMPUTED_VALUE"""),2013.0)</f>
        <v>2013</v>
      </c>
      <c r="M2454" s="308" t="s">
        <v>10121</v>
      </c>
      <c r="N2454" s="308"/>
      <c r="O2454" s="308" t="s">
        <v>10122</v>
      </c>
      <c r="P2454" s="308" t="s">
        <v>36680</v>
      </c>
      <c r="Q2454" s="308"/>
      <c r="R2454" s="308" t="s">
        <v>2743</v>
      </c>
      <c r="S2454" s="315" t="s">
        <v>100</v>
      </c>
      <c r="T2454" s="311" t="s">
        <v>34208</v>
      </c>
      <c r="U2454" s="312" t="s">
        <v>27</v>
      </c>
      <c r="V2454" s="312"/>
    </row>
    <row r="2455">
      <c r="A2455" s="308">
        <v>2454.0</v>
      </c>
      <c r="B2455" s="308"/>
      <c r="C2455" s="308" t="s">
        <v>10123</v>
      </c>
      <c r="D2455" s="308">
        <f>IFERROR(__xludf.DUMMYFUNCTION("SPLIT(C2455,""-"")"),2475.0)</f>
        <v>2475</v>
      </c>
      <c r="E2455" s="308" t="str">
        <f>IFERROR(__xludf.DUMMYFUNCTION("""COMPUTED_VALUE""")," B")</f>
        <v> B</v>
      </c>
      <c r="F2455" s="315" t="s">
        <v>26</v>
      </c>
      <c r="G2455" s="308"/>
      <c r="H2455" s="308" t="s">
        <v>10124</v>
      </c>
      <c r="I2455" s="314">
        <v>41843.0</v>
      </c>
      <c r="J2455" s="319">
        <f>IFERROR(__xludf.DUMMYFUNCTION("SPLIT(I2455,""/"")"),23.0)</f>
        <v>23</v>
      </c>
      <c r="K2455" s="308">
        <f>IFERROR(__xludf.DUMMYFUNCTION("""COMPUTED_VALUE"""),7.0)</f>
        <v>7</v>
      </c>
      <c r="L2455" s="308">
        <f>IFERROR(__xludf.DUMMYFUNCTION("""COMPUTED_VALUE"""),2014.0)</f>
        <v>2014</v>
      </c>
      <c r="M2455" s="308" t="s">
        <v>10125</v>
      </c>
      <c r="N2455" s="308"/>
      <c r="O2455" s="308" t="s">
        <v>10126</v>
      </c>
      <c r="P2455" s="308" t="s">
        <v>36682</v>
      </c>
      <c r="Q2455" s="308"/>
      <c r="R2455" s="308"/>
      <c r="S2455" s="308" t="s">
        <v>49</v>
      </c>
      <c r="T2455" s="311" t="s">
        <v>51</v>
      </c>
      <c r="U2455" s="308" t="s">
        <v>27</v>
      </c>
      <c r="V2455" s="312"/>
    </row>
    <row r="2456">
      <c r="A2456" s="308">
        <v>2455.0</v>
      </c>
      <c r="B2456" s="308"/>
      <c r="C2456" s="308" t="s">
        <v>10128</v>
      </c>
      <c r="D2456" s="308">
        <f>IFERROR(__xludf.DUMMYFUNCTION("SPLIT(C2456,""-"")"),2476.0)</f>
        <v>2476</v>
      </c>
      <c r="E2456" s="308" t="str">
        <f>IFERROR(__xludf.DUMMYFUNCTION("""COMPUTED_VALUE""")," B")</f>
        <v> B</v>
      </c>
      <c r="F2456" s="315" t="s">
        <v>26</v>
      </c>
      <c r="G2456" s="308"/>
      <c r="H2456" s="308" t="s">
        <v>10129</v>
      </c>
      <c r="I2456" s="314">
        <v>41401.0</v>
      </c>
      <c r="J2456" s="319">
        <f>IFERROR(__xludf.DUMMYFUNCTION("SPLIT(I2456,""/"")"),7.0)</f>
        <v>7</v>
      </c>
      <c r="K2456" s="308">
        <f>IFERROR(__xludf.DUMMYFUNCTION("""COMPUTED_VALUE"""),5.0)</f>
        <v>5</v>
      </c>
      <c r="L2456" s="308">
        <f>IFERROR(__xludf.DUMMYFUNCTION("""COMPUTED_VALUE"""),2013.0)</f>
        <v>2013</v>
      </c>
      <c r="M2456" s="308" t="s">
        <v>10130</v>
      </c>
      <c r="N2456" s="308"/>
      <c r="O2456" s="308" t="s">
        <v>10131</v>
      </c>
      <c r="P2456" s="308" t="s">
        <v>10132</v>
      </c>
      <c r="Q2456" s="308"/>
      <c r="R2456" s="308"/>
      <c r="S2456" s="308" t="s">
        <v>49</v>
      </c>
      <c r="T2456" s="308" t="s">
        <v>51</v>
      </c>
      <c r="U2456" s="308" t="s">
        <v>27</v>
      </c>
      <c r="V2456" s="312"/>
    </row>
    <row r="2457">
      <c r="A2457" s="308">
        <v>2456.0</v>
      </c>
      <c r="B2457" s="308"/>
      <c r="C2457" s="308" t="s">
        <v>10133</v>
      </c>
      <c r="D2457" s="308">
        <f>IFERROR(__xludf.DUMMYFUNCTION("SPLIT(C2457,""-"")"),2477.0)</f>
        <v>2477</v>
      </c>
      <c r="E2457" s="308" t="str">
        <f>IFERROR(__xludf.DUMMYFUNCTION("""COMPUTED_VALUE""")," B")</f>
        <v> B</v>
      </c>
      <c r="F2457" s="315" t="s">
        <v>26</v>
      </c>
      <c r="G2457" s="308"/>
      <c r="H2457" s="308" t="s">
        <v>10134</v>
      </c>
      <c r="I2457" s="314">
        <v>41591.0</v>
      </c>
      <c r="J2457" s="319">
        <f>IFERROR(__xludf.DUMMYFUNCTION("SPLIT(I2457,""/"")"),13.0)</f>
        <v>13</v>
      </c>
      <c r="K2457" s="308">
        <f>IFERROR(__xludf.DUMMYFUNCTION("""COMPUTED_VALUE"""),11.0)</f>
        <v>11</v>
      </c>
      <c r="L2457" s="308">
        <f>IFERROR(__xludf.DUMMYFUNCTION("""COMPUTED_VALUE"""),2013.0)</f>
        <v>2013</v>
      </c>
      <c r="M2457" s="308" t="s">
        <v>10135</v>
      </c>
      <c r="N2457" s="308"/>
      <c r="O2457" s="308" t="s">
        <v>10136</v>
      </c>
      <c r="P2457" s="308" t="s">
        <v>10137</v>
      </c>
      <c r="Q2457" s="308"/>
      <c r="R2457" s="308"/>
      <c r="S2457" s="308" t="s">
        <v>81</v>
      </c>
      <c r="T2457" s="311" t="s">
        <v>75</v>
      </c>
      <c r="U2457" s="308"/>
      <c r="V2457" s="312"/>
    </row>
    <row r="2458">
      <c r="A2458" s="308">
        <v>2457.0</v>
      </c>
      <c r="B2458" s="308"/>
      <c r="C2458" s="308" t="s">
        <v>10138</v>
      </c>
      <c r="D2458" s="308">
        <f>IFERROR(__xludf.DUMMYFUNCTION("SPLIT(C2458,""-"")"),2478.0)</f>
        <v>2478</v>
      </c>
      <c r="E2458" s="308" t="str">
        <f>IFERROR(__xludf.DUMMYFUNCTION("""COMPUTED_VALUE""")," B")</f>
        <v> B</v>
      </c>
      <c r="F2458" s="315" t="s">
        <v>26</v>
      </c>
      <c r="G2458" s="308"/>
      <c r="H2458" s="308" t="s">
        <v>10139</v>
      </c>
      <c r="I2458" s="314">
        <v>41775.0</v>
      </c>
      <c r="J2458" s="319">
        <f>IFERROR(__xludf.DUMMYFUNCTION("SPLIT(I2458,""/"")"),16.0)</f>
        <v>16</v>
      </c>
      <c r="K2458" s="308">
        <f>IFERROR(__xludf.DUMMYFUNCTION("""COMPUTED_VALUE"""),5.0)</f>
        <v>5</v>
      </c>
      <c r="L2458" s="308">
        <f>IFERROR(__xludf.DUMMYFUNCTION("""COMPUTED_VALUE"""),2014.0)</f>
        <v>2014</v>
      </c>
      <c r="M2458" s="308" t="s">
        <v>10140</v>
      </c>
      <c r="N2458" s="308"/>
      <c r="O2458" s="308" t="s">
        <v>10141</v>
      </c>
      <c r="P2458" s="308" t="s">
        <v>36680</v>
      </c>
      <c r="Q2458" s="308"/>
      <c r="R2458" s="308"/>
      <c r="S2458" s="315" t="s">
        <v>100</v>
      </c>
      <c r="T2458" s="311" t="s">
        <v>34208</v>
      </c>
      <c r="U2458" s="308" t="s">
        <v>27</v>
      </c>
      <c r="V2458" s="312"/>
    </row>
    <row r="2459">
      <c r="A2459" s="308">
        <v>2458.0</v>
      </c>
      <c r="B2459" s="308"/>
      <c r="C2459" s="308" t="s">
        <v>10142</v>
      </c>
      <c r="D2459" s="308">
        <f>IFERROR(__xludf.DUMMYFUNCTION("SPLIT(C2459,""-"")"),2479.0)</f>
        <v>2479</v>
      </c>
      <c r="E2459" s="308" t="str">
        <f>IFERROR(__xludf.DUMMYFUNCTION("""COMPUTED_VALUE""")," B")</f>
        <v> B</v>
      </c>
      <c r="F2459" s="315" t="s">
        <v>26</v>
      </c>
      <c r="G2459" s="308"/>
      <c r="H2459" s="308" t="s">
        <v>10143</v>
      </c>
      <c r="I2459" s="314">
        <v>42020.0</v>
      </c>
      <c r="J2459" s="319">
        <f>IFERROR(__xludf.DUMMYFUNCTION("SPLIT(I2459,""/"")"),16.0)</f>
        <v>16</v>
      </c>
      <c r="K2459" s="308">
        <f>IFERROR(__xludf.DUMMYFUNCTION("""COMPUTED_VALUE"""),1.0)</f>
        <v>1</v>
      </c>
      <c r="L2459" s="308">
        <f>IFERROR(__xludf.DUMMYFUNCTION("""COMPUTED_VALUE"""),2015.0)</f>
        <v>2015</v>
      </c>
      <c r="M2459" s="308" t="s">
        <v>10144</v>
      </c>
      <c r="N2459" s="308"/>
      <c r="O2459" s="308" t="s">
        <v>10145</v>
      </c>
      <c r="P2459" s="308" t="s">
        <v>36683</v>
      </c>
      <c r="Q2459" s="308"/>
      <c r="R2459" s="308"/>
      <c r="S2459" s="308" t="s">
        <v>49</v>
      </c>
      <c r="T2459" s="308" t="s">
        <v>51</v>
      </c>
      <c r="U2459" s="308" t="s">
        <v>27</v>
      </c>
      <c r="V2459" s="312"/>
    </row>
    <row r="2460">
      <c r="A2460" s="308">
        <v>2459.0</v>
      </c>
      <c r="B2460" s="308"/>
      <c r="C2460" s="308" t="s">
        <v>10147</v>
      </c>
      <c r="D2460" s="308">
        <f>IFERROR(__xludf.DUMMYFUNCTION("SPLIT(C2460,""-"")"),2480.0)</f>
        <v>2480</v>
      </c>
      <c r="E2460" s="308" t="str">
        <f>IFERROR(__xludf.DUMMYFUNCTION("""COMPUTED_VALUE""")," B")</f>
        <v> B</v>
      </c>
      <c r="F2460" s="315" t="s">
        <v>26</v>
      </c>
      <c r="G2460" s="308"/>
      <c r="H2460" s="308" t="s">
        <v>10148</v>
      </c>
      <c r="I2460" s="314">
        <v>41718.0</v>
      </c>
      <c r="J2460" s="319">
        <f>IFERROR(__xludf.DUMMYFUNCTION("SPLIT(I2460,""/"")"),20.0)</f>
        <v>20</v>
      </c>
      <c r="K2460" s="308">
        <f>IFERROR(__xludf.DUMMYFUNCTION("""COMPUTED_VALUE"""),3.0)</f>
        <v>3</v>
      </c>
      <c r="L2460" s="308">
        <f>IFERROR(__xludf.DUMMYFUNCTION("""COMPUTED_VALUE"""),2014.0)</f>
        <v>2014</v>
      </c>
      <c r="M2460" s="308" t="s">
        <v>10149</v>
      </c>
      <c r="N2460" s="308"/>
      <c r="O2460" s="308"/>
      <c r="P2460" s="308" t="s">
        <v>10150</v>
      </c>
      <c r="Q2460" s="308"/>
      <c r="R2460" s="308"/>
      <c r="S2460" s="308" t="s">
        <v>81</v>
      </c>
      <c r="T2460" s="308" t="s">
        <v>75</v>
      </c>
      <c r="U2460" s="308"/>
      <c r="V2460" s="312"/>
    </row>
    <row r="2461">
      <c r="A2461" s="308">
        <v>2460.0</v>
      </c>
      <c r="B2461" s="308" t="s">
        <v>10151</v>
      </c>
      <c r="C2461" s="308" t="s">
        <v>10152</v>
      </c>
      <c r="D2461" s="308">
        <f>IFERROR(__xludf.DUMMYFUNCTION("SPLIT(C2461,""-"")"),2481.0)</f>
        <v>2481</v>
      </c>
      <c r="E2461" s="308" t="str">
        <f>IFERROR(__xludf.DUMMYFUNCTION("""COMPUTED_VALUE""")," B")</f>
        <v> B</v>
      </c>
      <c r="F2461" s="315" t="s">
        <v>26</v>
      </c>
      <c r="G2461" s="308"/>
      <c r="H2461" s="308" t="s">
        <v>10153</v>
      </c>
      <c r="I2461" s="314">
        <v>41292.0</v>
      </c>
      <c r="J2461" s="319">
        <f>IFERROR(__xludf.DUMMYFUNCTION("SPLIT(I2461,""/"")"),18.0)</f>
        <v>18</v>
      </c>
      <c r="K2461" s="308">
        <f>IFERROR(__xludf.DUMMYFUNCTION("""COMPUTED_VALUE"""),1.0)</f>
        <v>1</v>
      </c>
      <c r="L2461" s="308">
        <f>IFERROR(__xludf.DUMMYFUNCTION("""COMPUTED_VALUE"""),2013.0)</f>
        <v>2013</v>
      </c>
      <c r="M2461" s="308" t="s">
        <v>10154</v>
      </c>
      <c r="N2461" s="308"/>
      <c r="O2461" s="308" t="s">
        <v>10155</v>
      </c>
      <c r="P2461" s="308" t="s">
        <v>7644</v>
      </c>
      <c r="Q2461" s="308"/>
      <c r="R2461" s="308"/>
      <c r="S2461" s="308" t="s">
        <v>49</v>
      </c>
      <c r="T2461" s="311" t="s">
        <v>53</v>
      </c>
      <c r="U2461" s="308"/>
      <c r="V2461" s="312"/>
    </row>
    <row r="2462">
      <c r="A2462" s="308">
        <v>2461.0</v>
      </c>
      <c r="B2462" s="308"/>
      <c r="C2462" s="308" t="s">
        <v>10156</v>
      </c>
      <c r="D2462" s="308">
        <f>IFERROR(__xludf.DUMMYFUNCTION("SPLIT(C2462,""-"")"),2482.0)</f>
        <v>2482</v>
      </c>
      <c r="E2462" s="308" t="str">
        <f>IFERROR(__xludf.DUMMYFUNCTION("""COMPUTED_VALUE""")," B")</f>
        <v> B</v>
      </c>
      <c r="F2462" s="315" t="s">
        <v>26</v>
      </c>
      <c r="G2462" s="308"/>
      <c r="H2462" s="308" t="s">
        <v>10157</v>
      </c>
      <c r="I2462" s="314">
        <v>41097.0</v>
      </c>
      <c r="J2462" s="319">
        <f>IFERROR(__xludf.DUMMYFUNCTION("SPLIT(I2462,""/"")"),7.0)</f>
        <v>7</v>
      </c>
      <c r="K2462" s="308">
        <f>IFERROR(__xludf.DUMMYFUNCTION("""COMPUTED_VALUE"""),7.0)</f>
        <v>7</v>
      </c>
      <c r="L2462" s="308">
        <f>IFERROR(__xludf.DUMMYFUNCTION("""COMPUTED_VALUE"""),2012.0)</f>
        <v>2012</v>
      </c>
      <c r="M2462" s="308" t="s">
        <v>10158</v>
      </c>
      <c r="N2462" s="308"/>
      <c r="O2462" s="308" t="s">
        <v>10159</v>
      </c>
      <c r="P2462" s="308" t="s">
        <v>10160</v>
      </c>
      <c r="Q2462" s="308"/>
      <c r="R2462" s="308"/>
      <c r="S2462" s="308" t="s">
        <v>49</v>
      </c>
      <c r="T2462" s="308" t="s">
        <v>51</v>
      </c>
      <c r="U2462" s="308" t="s">
        <v>27</v>
      </c>
      <c r="V2462" s="312"/>
    </row>
    <row r="2463">
      <c r="A2463" s="308">
        <v>2462.0</v>
      </c>
      <c r="B2463" s="308"/>
      <c r="C2463" s="308" t="s">
        <v>10161</v>
      </c>
      <c r="D2463" s="308">
        <f>IFERROR(__xludf.DUMMYFUNCTION("SPLIT(C2463,""-"")"),2483.0)</f>
        <v>2483</v>
      </c>
      <c r="E2463" s="308" t="str">
        <f>IFERROR(__xludf.DUMMYFUNCTION("""COMPUTED_VALUE""")," S")</f>
        <v> S</v>
      </c>
      <c r="F2463" s="312" t="s">
        <v>39</v>
      </c>
      <c r="G2463" s="308"/>
      <c r="H2463" s="308" t="s">
        <v>10162</v>
      </c>
      <c r="I2463" s="314">
        <v>41958.0</v>
      </c>
      <c r="J2463" s="319">
        <f>IFERROR(__xludf.DUMMYFUNCTION("SPLIT(I2463,""/"")"),15.0)</f>
        <v>15</v>
      </c>
      <c r="K2463" s="308">
        <f>IFERROR(__xludf.DUMMYFUNCTION("""COMPUTED_VALUE"""),11.0)</f>
        <v>11</v>
      </c>
      <c r="L2463" s="308">
        <f>IFERROR(__xludf.DUMMYFUNCTION("""COMPUTED_VALUE"""),2014.0)</f>
        <v>2014</v>
      </c>
      <c r="M2463" s="308" t="s">
        <v>10163</v>
      </c>
      <c r="N2463" s="308"/>
      <c r="O2463" s="308" t="s">
        <v>10164</v>
      </c>
      <c r="P2463" s="308" t="s">
        <v>9968</v>
      </c>
      <c r="Q2463" s="308"/>
      <c r="R2463" s="308"/>
      <c r="S2463" s="308" t="s">
        <v>81</v>
      </c>
      <c r="T2463" s="308" t="s">
        <v>75</v>
      </c>
      <c r="U2463" s="308"/>
      <c r="V2463" s="312"/>
    </row>
    <row r="2464">
      <c r="A2464" s="308">
        <v>2463.0</v>
      </c>
      <c r="B2464" s="308"/>
      <c r="C2464" s="308" t="s">
        <v>10165</v>
      </c>
      <c r="D2464" s="308">
        <f>IFERROR(__xludf.DUMMYFUNCTION("SPLIT(C2464,""-"")"),2484.0)</f>
        <v>2484</v>
      </c>
      <c r="E2464" s="308" t="str">
        <f>IFERROR(__xludf.DUMMYFUNCTION("""COMPUTED_VALUE""")," S")</f>
        <v> S</v>
      </c>
      <c r="F2464" s="312" t="s">
        <v>39</v>
      </c>
      <c r="G2464" s="308"/>
      <c r="H2464" s="308" t="s">
        <v>10166</v>
      </c>
      <c r="I2464" s="314">
        <v>41940.0</v>
      </c>
      <c r="J2464" s="319">
        <f>IFERROR(__xludf.DUMMYFUNCTION("SPLIT(I2464,""/"")"),28.0)</f>
        <v>28</v>
      </c>
      <c r="K2464" s="308">
        <f>IFERROR(__xludf.DUMMYFUNCTION("""COMPUTED_VALUE"""),10.0)</f>
        <v>10</v>
      </c>
      <c r="L2464" s="308">
        <f>IFERROR(__xludf.DUMMYFUNCTION("""COMPUTED_VALUE"""),2014.0)</f>
        <v>2014</v>
      </c>
      <c r="M2464" s="308" t="s">
        <v>36684</v>
      </c>
      <c r="N2464" s="308"/>
      <c r="O2464" s="308" t="s">
        <v>635</v>
      </c>
      <c r="P2464" s="308" t="s">
        <v>622</v>
      </c>
      <c r="Q2464" s="308"/>
      <c r="R2464" s="308"/>
      <c r="S2464" s="308" t="s">
        <v>49</v>
      </c>
      <c r="T2464" s="308" t="s">
        <v>34409</v>
      </c>
      <c r="U2464" s="308"/>
      <c r="V2464" s="312"/>
    </row>
    <row r="2465">
      <c r="A2465" s="308">
        <v>2464.0</v>
      </c>
      <c r="B2465" s="308"/>
      <c r="C2465" s="308" t="s">
        <v>10168</v>
      </c>
      <c r="D2465" s="308">
        <f>IFERROR(__xludf.DUMMYFUNCTION("SPLIT(C2465,""-"")"),2485.0)</f>
        <v>2485</v>
      </c>
      <c r="E2465" s="308" t="str">
        <f>IFERROR(__xludf.DUMMYFUNCTION("""COMPUTED_VALUE""")," S")</f>
        <v> S</v>
      </c>
      <c r="F2465" s="312" t="s">
        <v>39</v>
      </c>
      <c r="G2465" s="308"/>
      <c r="H2465" s="308" t="s">
        <v>10169</v>
      </c>
      <c r="I2465" s="310">
        <v>41707.0</v>
      </c>
      <c r="J2465" s="319">
        <f>IFERROR(__xludf.DUMMYFUNCTION("SPLIT(I2465,""/"")"),9.0)</f>
        <v>9</v>
      </c>
      <c r="K2465" s="308">
        <f>IFERROR(__xludf.DUMMYFUNCTION("""COMPUTED_VALUE"""),3.0)</f>
        <v>3</v>
      </c>
      <c r="L2465" s="308">
        <f>IFERROR(__xludf.DUMMYFUNCTION("""COMPUTED_VALUE"""),2014.0)</f>
        <v>2014</v>
      </c>
      <c r="M2465" s="308" t="s">
        <v>36685</v>
      </c>
      <c r="N2465" s="308"/>
      <c r="O2465" s="308" t="s">
        <v>635</v>
      </c>
      <c r="P2465" s="308" t="s">
        <v>1481</v>
      </c>
      <c r="Q2465" s="308"/>
      <c r="R2465" s="308"/>
      <c r="S2465" s="308" t="s">
        <v>81</v>
      </c>
      <c r="T2465" s="308" t="s">
        <v>35048</v>
      </c>
      <c r="U2465" s="308"/>
      <c r="V2465" s="312"/>
    </row>
    <row r="2466">
      <c r="A2466" s="308">
        <v>2465.0</v>
      </c>
      <c r="B2466" s="308"/>
      <c r="C2466" s="308" t="s">
        <v>10171</v>
      </c>
      <c r="D2466" s="308">
        <f>IFERROR(__xludf.DUMMYFUNCTION("SPLIT(C2466,""-"")"),2486.0)</f>
        <v>2486</v>
      </c>
      <c r="E2466" s="308" t="str">
        <f>IFERROR(__xludf.DUMMYFUNCTION("""COMPUTED_VALUE""")," P")</f>
        <v> P</v>
      </c>
      <c r="F2466" s="312" t="s">
        <v>37</v>
      </c>
      <c r="G2466" s="308"/>
      <c r="H2466" s="308" t="s">
        <v>10172</v>
      </c>
      <c r="I2466" s="310">
        <v>41981.0</v>
      </c>
      <c r="J2466" s="319">
        <f>IFERROR(__xludf.DUMMYFUNCTION("SPLIT(I2466,""/"")"),8.0)</f>
        <v>8</v>
      </c>
      <c r="K2466" s="308">
        <f>IFERROR(__xludf.DUMMYFUNCTION("""COMPUTED_VALUE"""),12.0)</f>
        <v>12</v>
      </c>
      <c r="L2466" s="308">
        <f>IFERROR(__xludf.DUMMYFUNCTION("""COMPUTED_VALUE"""),2014.0)</f>
        <v>2014</v>
      </c>
      <c r="M2466" s="308" t="s">
        <v>10173</v>
      </c>
      <c r="N2466" s="308"/>
      <c r="O2466" s="308" t="s">
        <v>10174</v>
      </c>
      <c r="P2466" s="308" t="s">
        <v>10175</v>
      </c>
      <c r="Q2466" s="308"/>
      <c r="R2466" s="308"/>
      <c r="S2466" s="308" t="s">
        <v>81</v>
      </c>
      <c r="T2466" s="311" t="s">
        <v>77</v>
      </c>
      <c r="U2466" s="308"/>
      <c r="V2466" s="312"/>
    </row>
    <row r="2467">
      <c r="A2467" s="308">
        <v>2466.0</v>
      </c>
      <c r="B2467" s="308"/>
      <c r="C2467" s="308" t="s">
        <v>10176</v>
      </c>
      <c r="D2467" s="308">
        <f>IFERROR(__xludf.DUMMYFUNCTION("SPLIT(C2467,""-"")"),2487.0)</f>
        <v>2487</v>
      </c>
      <c r="E2467" s="308" t="str">
        <f>IFERROR(__xludf.DUMMYFUNCTION("""COMPUTED_VALUE""")," P")</f>
        <v> P</v>
      </c>
      <c r="F2467" s="312" t="s">
        <v>37</v>
      </c>
      <c r="G2467" s="308"/>
      <c r="H2467" s="308" t="s">
        <v>10177</v>
      </c>
      <c r="I2467" s="310">
        <v>41981.0</v>
      </c>
      <c r="J2467" s="319">
        <f>IFERROR(__xludf.DUMMYFUNCTION("SPLIT(I2467,""/"")"),8.0)</f>
        <v>8</v>
      </c>
      <c r="K2467" s="308">
        <f>IFERROR(__xludf.DUMMYFUNCTION("""COMPUTED_VALUE"""),12.0)</f>
        <v>12</v>
      </c>
      <c r="L2467" s="308">
        <f>IFERROR(__xludf.DUMMYFUNCTION("""COMPUTED_VALUE"""),2014.0)</f>
        <v>2014</v>
      </c>
      <c r="M2467" s="308" t="s">
        <v>10178</v>
      </c>
      <c r="N2467" s="308"/>
      <c r="O2467" s="308"/>
      <c r="P2467" s="308" t="s">
        <v>10175</v>
      </c>
      <c r="Q2467" s="308"/>
      <c r="R2467" s="308"/>
      <c r="S2467" s="308" t="s">
        <v>81</v>
      </c>
      <c r="T2467" s="311" t="s">
        <v>77</v>
      </c>
      <c r="U2467" s="308"/>
      <c r="V2467" s="312"/>
    </row>
    <row r="2468">
      <c r="A2468" s="308">
        <v>2467.0</v>
      </c>
      <c r="B2468" s="308"/>
      <c r="C2468" s="308" t="s">
        <v>10179</v>
      </c>
      <c r="D2468" s="308">
        <f>IFERROR(__xludf.DUMMYFUNCTION("SPLIT(C2468,""-"")"),2488.0)</f>
        <v>2488</v>
      </c>
      <c r="E2468" s="308" t="str">
        <f>IFERROR(__xludf.DUMMYFUNCTION("""COMPUTED_VALUE""")," S")</f>
        <v> S</v>
      </c>
      <c r="F2468" s="312" t="s">
        <v>39</v>
      </c>
      <c r="G2468" s="308"/>
      <c r="H2468" s="308" t="s">
        <v>10180</v>
      </c>
      <c r="I2468" s="314">
        <v>41922.0</v>
      </c>
      <c r="J2468" s="319">
        <f>IFERROR(__xludf.DUMMYFUNCTION("SPLIT(I2468,""/"")"),10.0)</f>
        <v>10</v>
      </c>
      <c r="K2468" s="308">
        <f>IFERROR(__xludf.DUMMYFUNCTION("""COMPUTED_VALUE"""),10.0)</f>
        <v>10</v>
      </c>
      <c r="L2468" s="308">
        <f>IFERROR(__xludf.DUMMYFUNCTION("""COMPUTED_VALUE"""),2014.0)</f>
        <v>2014</v>
      </c>
      <c r="M2468" s="308" t="s">
        <v>10181</v>
      </c>
      <c r="N2468" s="308"/>
      <c r="O2468" s="308" t="s">
        <v>635</v>
      </c>
      <c r="P2468" s="308" t="s">
        <v>1481</v>
      </c>
      <c r="Q2468" s="308"/>
      <c r="R2468" s="308"/>
      <c r="S2468" s="308" t="s">
        <v>81</v>
      </c>
      <c r="T2468" s="308" t="s">
        <v>35048</v>
      </c>
      <c r="U2468" s="308"/>
      <c r="V2468" s="312"/>
    </row>
    <row r="2469">
      <c r="A2469" s="308">
        <v>2468.0</v>
      </c>
      <c r="B2469" s="308"/>
      <c r="C2469" s="308" t="s">
        <v>10182</v>
      </c>
      <c r="D2469" s="308">
        <f>IFERROR(__xludf.DUMMYFUNCTION("SPLIT(C2469,""-"")"),2489.0)</f>
        <v>2489</v>
      </c>
      <c r="E2469" s="308" t="str">
        <f>IFERROR(__xludf.DUMMYFUNCTION("""COMPUTED_VALUE""")," K")</f>
        <v> K</v>
      </c>
      <c r="F2469" s="309" t="s">
        <v>34</v>
      </c>
      <c r="G2469" s="308"/>
      <c r="H2469" s="308" t="s">
        <v>10183</v>
      </c>
      <c r="I2469" s="310">
        <v>41582.0</v>
      </c>
      <c r="J2469" s="319">
        <f>IFERROR(__xludf.DUMMYFUNCTION("SPLIT(I2469,""/"")"),4.0)</f>
        <v>4</v>
      </c>
      <c r="K2469" s="308">
        <f>IFERROR(__xludf.DUMMYFUNCTION("""COMPUTED_VALUE"""),11.0)</f>
        <v>11</v>
      </c>
      <c r="L2469" s="308">
        <f>IFERROR(__xludf.DUMMYFUNCTION("""COMPUTED_VALUE"""),2013.0)</f>
        <v>2013</v>
      </c>
      <c r="M2469" s="308" t="s">
        <v>10184</v>
      </c>
      <c r="N2469" s="308"/>
      <c r="O2469" s="308" t="s">
        <v>635</v>
      </c>
      <c r="P2469" s="308" t="s">
        <v>10185</v>
      </c>
      <c r="Q2469" s="308"/>
      <c r="R2469" s="308"/>
      <c r="S2469" s="308" t="s">
        <v>81</v>
      </c>
      <c r="T2469" s="308" t="s">
        <v>34264</v>
      </c>
      <c r="U2469" s="308"/>
      <c r="V2469" s="312"/>
    </row>
    <row r="2470">
      <c r="A2470" s="308">
        <v>2469.0</v>
      </c>
      <c r="B2470" s="308"/>
      <c r="C2470" s="308" t="s">
        <v>10186</v>
      </c>
      <c r="D2470" s="308">
        <f>IFERROR(__xludf.DUMMYFUNCTION("SPLIT(C2470,""-"")"),2490.0)</f>
        <v>2490</v>
      </c>
      <c r="E2470" s="308" t="str">
        <f>IFERROR(__xludf.DUMMYFUNCTION("""COMPUTED_VALUE""")," B")</f>
        <v> B</v>
      </c>
      <c r="F2470" s="315" t="s">
        <v>26</v>
      </c>
      <c r="G2470" s="308"/>
      <c r="H2470" s="308" t="s">
        <v>10187</v>
      </c>
      <c r="I2470" s="310">
        <v>41843.0</v>
      </c>
      <c r="J2470" s="319">
        <f>IFERROR(__xludf.DUMMYFUNCTION("SPLIT(I2470,""/"")"),23.0)</f>
        <v>23</v>
      </c>
      <c r="K2470" s="308">
        <f>IFERROR(__xludf.DUMMYFUNCTION("""COMPUTED_VALUE"""),7.0)</f>
        <v>7</v>
      </c>
      <c r="L2470" s="308">
        <f>IFERROR(__xludf.DUMMYFUNCTION("""COMPUTED_VALUE"""),2014.0)</f>
        <v>2014</v>
      </c>
      <c r="M2470" s="308" t="s">
        <v>10188</v>
      </c>
      <c r="N2470" s="308"/>
      <c r="O2470" s="308" t="s">
        <v>635</v>
      </c>
      <c r="P2470" s="308" t="s">
        <v>10189</v>
      </c>
      <c r="Q2470" s="308"/>
      <c r="R2470" s="308"/>
      <c r="S2470" s="308" t="s">
        <v>81</v>
      </c>
      <c r="T2470" s="308" t="s">
        <v>75</v>
      </c>
      <c r="U2470" s="308"/>
      <c r="V2470" s="312"/>
    </row>
    <row r="2471">
      <c r="A2471" s="308">
        <v>2470.0</v>
      </c>
      <c r="B2471" s="308"/>
      <c r="C2471" s="308" t="s">
        <v>10190</v>
      </c>
      <c r="D2471" s="308">
        <f>IFERROR(__xludf.DUMMYFUNCTION("SPLIT(C2471,""-"")"),2491.0)</f>
        <v>2491</v>
      </c>
      <c r="E2471" s="308" t="str">
        <f>IFERROR(__xludf.DUMMYFUNCTION("""COMPUTED_VALUE""")," P")</f>
        <v> P</v>
      </c>
      <c r="F2471" s="312" t="s">
        <v>37</v>
      </c>
      <c r="G2471" s="308"/>
      <c r="H2471" s="308" t="s">
        <v>10191</v>
      </c>
      <c r="I2471" s="310">
        <v>42068.0</v>
      </c>
      <c r="J2471" s="319">
        <f>IFERROR(__xludf.DUMMYFUNCTION("SPLIT(I2471,""/"")"),5.0)</f>
        <v>5</v>
      </c>
      <c r="K2471" s="308">
        <f>IFERROR(__xludf.DUMMYFUNCTION("""COMPUTED_VALUE"""),3.0)</f>
        <v>3</v>
      </c>
      <c r="L2471" s="308">
        <f>IFERROR(__xludf.DUMMYFUNCTION("""COMPUTED_VALUE"""),2015.0)</f>
        <v>2015</v>
      </c>
      <c r="M2471" s="308" t="s">
        <v>10192</v>
      </c>
      <c r="N2471" s="308"/>
      <c r="O2471" s="308" t="s">
        <v>10193</v>
      </c>
      <c r="P2471" s="308" t="s">
        <v>10194</v>
      </c>
      <c r="Q2471" s="308"/>
      <c r="R2471" s="308"/>
      <c r="S2471" s="308" t="s">
        <v>81</v>
      </c>
      <c r="T2471" s="308" t="s">
        <v>75</v>
      </c>
      <c r="U2471" s="308"/>
      <c r="V2471" s="312"/>
    </row>
    <row r="2472">
      <c r="A2472" s="308">
        <v>2471.0</v>
      </c>
      <c r="B2472" s="308"/>
      <c r="C2472" s="308" t="s">
        <v>10195</v>
      </c>
      <c r="D2472" s="308">
        <f>IFERROR(__xludf.DUMMYFUNCTION("SPLIT(C2472,""-"")"),2492.0)</f>
        <v>2492</v>
      </c>
      <c r="E2472" s="308" t="str">
        <f>IFERROR(__xludf.DUMMYFUNCTION("""COMPUTED_VALUE""")," P")</f>
        <v> P</v>
      </c>
      <c r="F2472" s="312" t="s">
        <v>37</v>
      </c>
      <c r="G2472" s="308"/>
      <c r="H2472" s="308" t="s">
        <v>10196</v>
      </c>
      <c r="I2472" s="310">
        <v>42068.0</v>
      </c>
      <c r="J2472" s="319">
        <f>IFERROR(__xludf.DUMMYFUNCTION("SPLIT(I2472,""/"")"),5.0)</f>
        <v>5</v>
      </c>
      <c r="K2472" s="308">
        <f>IFERROR(__xludf.DUMMYFUNCTION("""COMPUTED_VALUE"""),3.0)</f>
        <v>3</v>
      </c>
      <c r="L2472" s="308">
        <f>IFERROR(__xludf.DUMMYFUNCTION("""COMPUTED_VALUE"""),2015.0)</f>
        <v>2015</v>
      </c>
      <c r="M2472" s="308" t="s">
        <v>10192</v>
      </c>
      <c r="N2472" s="308"/>
      <c r="O2472" s="308" t="s">
        <v>10193</v>
      </c>
      <c r="P2472" s="308" t="s">
        <v>10194</v>
      </c>
      <c r="Q2472" s="308"/>
      <c r="R2472" s="308"/>
      <c r="S2472" s="308" t="s">
        <v>81</v>
      </c>
      <c r="T2472" s="308" t="s">
        <v>75</v>
      </c>
      <c r="U2472" s="308"/>
      <c r="V2472" s="312"/>
    </row>
    <row r="2473">
      <c r="A2473" s="308">
        <v>2472.0</v>
      </c>
      <c r="B2473" s="308"/>
      <c r="C2473" s="308" t="s">
        <v>10197</v>
      </c>
      <c r="D2473" s="308">
        <f>IFERROR(__xludf.DUMMYFUNCTION("SPLIT(C2473,""-"")"),2493.0)</f>
        <v>2493</v>
      </c>
      <c r="E2473" s="308" t="str">
        <f>IFERROR(__xludf.DUMMYFUNCTION("""COMPUTED_VALUE""")," P")</f>
        <v> P</v>
      </c>
      <c r="F2473" s="312" t="s">
        <v>37</v>
      </c>
      <c r="G2473" s="308"/>
      <c r="H2473" s="308" t="s">
        <v>10198</v>
      </c>
      <c r="I2473" s="310">
        <v>42068.0</v>
      </c>
      <c r="J2473" s="319">
        <f>IFERROR(__xludf.DUMMYFUNCTION("SPLIT(I2473,""/"")"),5.0)</f>
        <v>5</v>
      </c>
      <c r="K2473" s="308">
        <f>IFERROR(__xludf.DUMMYFUNCTION("""COMPUTED_VALUE"""),3.0)</f>
        <v>3</v>
      </c>
      <c r="L2473" s="308">
        <f>IFERROR(__xludf.DUMMYFUNCTION("""COMPUTED_VALUE"""),2015.0)</f>
        <v>2015</v>
      </c>
      <c r="M2473" s="308" t="s">
        <v>10192</v>
      </c>
      <c r="N2473" s="308"/>
      <c r="O2473" s="308" t="s">
        <v>10193</v>
      </c>
      <c r="P2473" s="308" t="s">
        <v>10194</v>
      </c>
      <c r="Q2473" s="308"/>
      <c r="R2473" s="308"/>
      <c r="S2473" s="308" t="s">
        <v>81</v>
      </c>
      <c r="T2473" s="308" t="s">
        <v>75</v>
      </c>
      <c r="U2473" s="308"/>
      <c r="V2473" s="312"/>
    </row>
    <row r="2474">
      <c r="A2474" s="308">
        <v>2473.0</v>
      </c>
      <c r="B2474" s="308"/>
      <c r="C2474" s="308" t="s">
        <v>10199</v>
      </c>
      <c r="D2474" s="308">
        <f>IFERROR(__xludf.DUMMYFUNCTION("SPLIT(C2474,""-"")"),2494.0)</f>
        <v>2494</v>
      </c>
      <c r="E2474" s="308" t="str">
        <f>IFERROR(__xludf.DUMMYFUNCTION("""COMPUTED_VALUE""")," P")</f>
        <v> P</v>
      </c>
      <c r="F2474" s="312" t="s">
        <v>37</v>
      </c>
      <c r="G2474" s="308"/>
      <c r="H2474" s="308" t="s">
        <v>10200</v>
      </c>
      <c r="I2474" s="310">
        <v>42062.0</v>
      </c>
      <c r="J2474" s="319">
        <f>IFERROR(__xludf.DUMMYFUNCTION("SPLIT(I2474,""/"")"),27.0)</f>
        <v>27</v>
      </c>
      <c r="K2474" s="308">
        <f>IFERROR(__xludf.DUMMYFUNCTION("""COMPUTED_VALUE"""),2.0)</f>
        <v>2</v>
      </c>
      <c r="L2474" s="308">
        <f>IFERROR(__xludf.DUMMYFUNCTION("""COMPUTED_VALUE"""),2015.0)</f>
        <v>2015</v>
      </c>
      <c r="M2474" s="308" t="s">
        <v>10201</v>
      </c>
      <c r="N2474" s="308"/>
      <c r="O2474" s="308" t="s">
        <v>10202</v>
      </c>
      <c r="P2474" s="308" t="s">
        <v>10203</v>
      </c>
      <c r="Q2474" s="308"/>
      <c r="R2474" s="308"/>
      <c r="S2474" s="308" t="s">
        <v>81</v>
      </c>
      <c r="T2474" s="311" t="s">
        <v>96</v>
      </c>
      <c r="U2474" s="308"/>
      <c r="V2474" s="312"/>
    </row>
    <row r="2475">
      <c r="A2475" s="308">
        <v>2474.0</v>
      </c>
      <c r="B2475" s="308"/>
      <c r="C2475" s="308" t="s">
        <v>10204</v>
      </c>
      <c r="D2475" s="308">
        <f>IFERROR(__xludf.DUMMYFUNCTION("SPLIT(C2475,""-"")"),2495.0)</f>
        <v>2495</v>
      </c>
      <c r="E2475" s="308" t="str">
        <f>IFERROR(__xludf.DUMMYFUNCTION("""COMPUTED_VALUE""")," P")</f>
        <v> P</v>
      </c>
      <c r="F2475" s="312" t="s">
        <v>37</v>
      </c>
      <c r="G2475" s="308"/>
      <c r="H2475" s="308" t="s">
        <v>10205</v>
      </c>
      <c r="I2475" s="310">
        <v>40800.0</v>
      </c>
      <c r="J2475" s="319">
        <f>IFERROR(__xludf.DUMMYFUNCTION("SPLIT(I2475,""/"")"),14.0)</f>
        <v>14</v>
      </c>
      <c r="K2475" s="308">
        <f>IFERROR(__xludf.DUMMYFUNCTION("""COMPUTED_VALUE"""),9.0)</f>
        <v>9</v>
      </c>
      <c r="L2475" s="308">
        <f>IFERROR(__xludf.DUMMYFUNCTION("""COMPUTED_VALUE"""),2011.0)</f>
        <v>2011</v>
      </c>
      <c r="M2475" s="308" t="s">
        <v>10206</v>
      </c>
      <c r="N2475" s="308"/>
      <c r="O2475" s="308" t="s">
        <v>10207</v>
      </c>
      <c r="P2475" s="308" t="s">
        <v>10208</v>
      </c>
      <c r="Q2475" s="308"/>
      <c r="R2475" s="308"/>
      <c r="S2475" s="308" t="s">
        <v>81</v>
      </c>
      <c r="T2475" s="311" t="s">
        <v>75</v>
      </c>
      <c r="U2475" s="308"/>
      <c r="V2475" s="312"/>
    </row>
    <row r="2476">
      <c r="A2476" s="308">
        <v>2475.0</v>
      </c>
      <c r="B2476" s="308"/>
      <c r="C2476" s="308" t="s">
        <v>10209</v>
      </c>
      <c r="D2476" s="308">
        <f>IFERROR(__xludf.DUMMYFUNCTION("SPLIT(C2476,""-"")"),2496.0)</f>
        <v>2496</v>
      </c>
      <c r="E2476" s="308" t="str">
        <f>IFERROR(__xludf.DUMMYFUNCTION("""COMPUTED_VALUE""")," F")</f>
        <v> F</v>
      </c>
      <c r="F2476" s="309" t="s">
        <v>34</v>
      </c>
      <c r="G2476" s="308"/>
      <c r="H2476" s="308" t="s">
        <v>10210</v>
      </c>
      <c r="I2476" s="316" t="s">
        <v>10211</v>
      </c>
      <c r="J2476" s="323">
        <v>15.0</v>
      </c>
      <c r="K2476" s="311">
        <v>2.0</v>
      </c>
      <c r="L2476" s="311">
        <v>2012.0</v>
      </c>
      <c r="M2476" s="308" t="s">
        <v>36686</v>
      </c>
      <c r="N2476" s="308"/>
      <c r="O2476" s="308" t="s">
        <v>635</v>
      </c>
      <c r="P2476" s="308" t="s">
        <v>10213</v>
      </c>
      <c r="Q2476" s="308"/>
      <c r="R2476" s="308"/>
      <c r="S2476" s="308" t="s">
        <v>81</v>
      </c>
      <c r="T2476" s="308" t="s">
        <v>34264</v>
      </c>
      <c r="U2476" s="308" t="s">
        <v>195</v>
      </c>
      <c r="V2476" s="312"/>
    </row>
    <row r="2477">
      <c r="A2477" s="308">
        <v>2476.0</v>
      </c>
      <c r="B2477" s="308"/>
      <c r="C2477" s="308" t="s">
        <v>10214</v>
      </c>
      <c r="D2477" s="308">
        <f>IFERROR(__xludf.DUMMYFUNCTION("SPLIT(C2477,""-"")"),2497.0)</f>
        <v>2497</v>
      </c>
      <c r="E2477" s="308" t="str">
        <f>IFERROR(__xludf.DUMMYFUNCTION("""COMPUTED_VALUE""")," S")</f>
        <v> S</v>
      </c>
      <c r="F2477" s="312" t="s">
        <v>39</v>
      </c>
      <c r="G2477" s="308"/>
      <c r="H2477" s="308" t="s">
        <v>10215</v>
      </c>
      <c r="I2477" s="322"/>
      <c r="J2477" s="319"/>
      <c r="K2477" s="308"/>
      <c r="L2477" s="311" t="s">
        <v>79</v>
      </c>
      <c r="M2477" s="308" t="s">
        <v>10216</v>
      </c>
      <c r="N2477" s="308"/>
      <c r="O2477" s="308" t="s">
        <v>635</v>
      </c>
      <c r="P2477" s="308" t="s">
        <v>1481</v>
      </c>
      <c r="Q2477" s="308"/>
      <c r="R2477" s="308"/>
      <c r="S2477" s="308" t="s">
        <v>81</v>
      </c>
      <c r="T2477" s="308" t="s">
        <v>35048</v>
      </c>
      <c r="U2477" s="308"/>
      <c r="V2477" s="312"/>
    </row>
    <row r="2478">
      <c r="A2478" s="308">
        <v>2477.0</v>
      </c>
      <c r="B2478" s="308"/>
      <c r="C2478" s="308" t="s">
        <v>10217</v>
      </c>
      <c r="D2478" s="308">
        <f>IFERROR(__xludf.DUMMYFUNCTION("SPLIT(C2478,""-"")"),2498.0)</f>
        <v>2498</v>
      </c>
      <c r="E2478" s="308" t="str">
        <f>IFERROR(__xludf.DUMMYFUNCTION("""COMPUTED_VALUE""")," S")</f>
        <v> S</v>
      </c>
      <c r="F2478" s="312" t="s">
        <v>39</v>
      </c>
      <c r="G2478" s="308"/>
      <c r="H2478" s="308" t="s">
        <v>10218</v>
      </c>
      <c r="I2478" s="322"/>
      <c r="J2478" s="319"/>
      <c r="K2478" s="308"/>
      <c r="L2478" s="311" t="s">
        <v>79</v>
      </c>
      <c r="M2478" s="308" t="s">
        <v>10219</v>
      </c>
      <c r="N2478" s="308"/>
      <c r="O2478" s="308" t="s">
        <v>635</v>
      </c>
      <c r="P2478" s="308" t="s">
        <v>1481</v>
      </c>
      <c r="Q2478" s="308"/>
      <c r="R2478" s="308"/>
      <c r="S2478" s="308" t="s">
        <v>81</v>
      </c>
      <c r="T2478" s="308" t="s">
        <v>35048</v>
      </c>
      <c r="U2478" s="308"/>
      <c r="V2478" s="312"/>
    </row>
    <row r="2479">
      <c r="A2479" s="308">
        <v>2478.0</v>
      </c>
      <c r="B2479" s="308"/>
      <c r="C2479" s="308" t="s">
        <v>10220</v>
      </c>
      <c r="D2479" s="308">
        <f>IFERROR(__xludf.DUMMYFUNCTION("SPLIT(C2479,""-"")"),2499.0)</f>
        <v>2499</v>
      </c>
      <c r="E2479" s="308" t="str">
        <f>IFERROR(__xludf.DUMMYFUNCTION("""COMPUTED_VALUE""")," S")</f>
        <v> S</v>
      </c>
      <c r="F2479" s="312" t="s">
        <v>39</v>
      </c>
      <c r="G2479" s="308"/>
      <c r="H2479" s="308" t="s">
        <v>10221</v>
      </c>
      <c r="I2479" s="310">
        <v>42061.0</v>
      </c>
      <c r="J2479" s="319">
        <f>IFERROR(__xludf.DUMMYFUNCTION("SPLIT(I2479,""/"")"),26.0)</f>
        <v>26</v>
      </c>
      <c r="K2479" s="308">
        <f>IFERROR(__xludf.DUMMYFUNCTION("""COMPUTED_VALUE"""),2.0)</f>
        <v>2</v>
      </c>
      <c r="L2479" s="308">
        <f>IFERROR(__xludf.DUMMYFUNCTION("""COMPUTED_VALUE"""),2015.0)</f>
        <v>2015</v>
      </c>
      <c r="M2479" s="308" t="s">
        <v>10222</v>
      </c>
      <c r="N2479" s="308"/>
      <c r="O2479" s="308" t="s">
        <v>635</v>
      </c>
      <c r="P2479" s="308" t="s">
        <v>1481</v>
      </c>
      <c r="Q2479" s="308"/>
      <c r="R2479" s="308"/>
      <c r="S2479" s="308" t="s">
        <v>81</v>
      </c>
      <c r="T2479" s="308" t="s">
        <v>35048</v>
      </c>
      <c r="U2479" s="308"/>
      <c r="V2479" s="312"/>
    </row>
    <row r="2480">
      <c r="A2480" s="308">
        <v>2479.0</v>
      </c>
      <c r="B2480" s="308"/>
      <c r="C2480" s="308" t="s">
        <v>10223</v>
      </c>
      <c r="D2480" s="308">
        <f>IFERROR(__xludf.DUMMYFUNCTION("SPLIT(C2480,""-"")"),2500.0)</f>
        <v>2500</v>
      </c>
      <c r="E2480" s="308" t="str">
        <f>IFERROR(__xludf.DUMMYFUNCTION("""COMPUTED_VALUE""")," S")</f>
        <v> S</v>
      </c>
      <c r="F2480" s="312" t="s">
        <v>39</v>
      </c>
      <c r="G2480" s="308"/>
      <c r="H2480" s="308" t="s">
        <v>10224</v>
      </c>
      <c r="I2480" s="310">
        <v>42061.0</v>
      </c>
      <c r="J2480" s="319">
        <f>IFERROR(__xludf.DUMMYFUNCTION("SPLIT(I2480,""/"")"),26.0)</f>
        <v>26</v>
      </c>
      <c r="K2480" s="308">
        <f>IFERROR(__xludf.DUMMYFUNCTION("""COMPUTED_VALUE"""),2.0)</f>
        <v>2</v>
      </c>
      <c r="L2480" s="308">
        <f>IFERROR(__xludf.DUMMYFUNCTION("""COMPUTED_VALUE"""),2015.0)</f>
        <v>2015</v>
      </c>
      <c r="M2480" s="308" t="s">
        <v>10225</v>
      </c>
      <c r="N2480" s="308"/>
      <c r="O2480" s="308" t="s">
        <v>635</v>
      </c>
      <c r="P2480" s="308" t="s">
        <v>1481</v>
      </c>
      <c r="Q2480" s="308"/>
      <c r="R2480" s="308"/>
      <c r="S2480" s="308" t="s">
        <v>81</v>
      </c>
      <c r="T2480" s="308" t="s">
        <v>35048</v>
      </c>
      <c r="U2480" s="308"/>
      <c r="V2480" s="312"/>
    </row>
    <row r="2481">
      <c r="A2481" s="308">
        <v>2480.0</v>
      </c>
      <c r="B2481" s="308"/>
      <c r="C2481" s="308" t="s">
        <v>10226</v>
      </c>
      <c r="D2481" s="308">
        <f>IFERROR(__xludf.DUMMYFUNCTION("SPLIT(C2481,""-"")"),2501.0)</f>
        <v>2501</v>
      </c>
      <c r="E2481" s="308" t="str">
        <f>IFERROR(__xludf.DUMMYFUNCTION("""COMPUTED_VALUE""")," S")</f>
        <v> S</v>
      </c>
      <c r="F2481" s="312" t="s">
        <v>39</v>
      </c>
      <c r="G2481" s="308"/>
      <c r="H2481" s="308" t="s">
        <v>10227</v>
      </c>
      <c r="I2481" s="310">
        <v>42061.0</v>
      </c>
      <c r="J2481" s="319">
        <f>IFERROR(__xludf.DUMMYFUNCTION("SPLIT(I2481,""/"")"),26.0)</f>
        <v>26</v>
      </c>
      <c r="K2481" s="308">
        <f>IFERROR(__xludf.DUMMYFUNCTION("""COMPUTED_VALUE"""),2.0)</f>
        <v>2</v>
      </c>
      <c r="L2481" s="308">
        <f>IFERROR(__xludf.DUMMYFUNCTION("""COMPUTED_VALUE"""),2015.0)</f>
        <v>2015</v>
      </c>
      <c r="M2481" s="308" t="s">
        <v>10228</v>
      </c>
      <c r="N2481" s="308"/>
      <c r="O2481" s="308" t="s">
        <v>635</v>
      </c>
      <c r="P2481" s="308" t="s">
        <v>4736</v>
      </c>
      <c r="Q2481" s="308"/>
      <c r="R2481" s="308"/>
      <c r="S2481" s="308" t="s">
        <v>81</v>
      </c>
      <c r="T2481" s="308" t="s">
        <v>98</v>
      </c>
      <c r="U2481" s="308"/>
      <c r="V2481" s="312"/>
    </row>
    <row r="2482">
      <c r="A2482" s="308">
        <v>2481.0</v>
      </c>
      <c r="B2482" s="308"/>
      <c r="C2482" s="308" t="s">
        <v>10229</v>
      </c>
      <c r="D2482" s="308">
        <f>IFERROR(__xludf.DUMMYFUNCTION("SPLIT(C2482,""-"")"),2502.0)</f>
        <v>2502</v>
      </c>
      <c r="E2482" s="308" t="str">
        <f>IFERROR(__xludf.DUMMYFUNCTION("""COMPUTED_VALUE""")," S")</f>
        <v> S</v>
      </c>
      <c r="F2482" s="312" t="s">
        <v>39</v>
      </c>
      <c r="G2482" s="308"/>
      <c r="H2482" s="308" t="s">
        <v>10230</v>
      </c>
      <c r="I2482" s="310">
        <v>42060.0</v>
      </c>
      <c r="J2482" s="319">
        <f>IFERROR(__xludf.DUMMYFUNCTION("SPLIT(I2482,""/"")"),25.0)</f>
        <v>25</v>
      </c>
      <c r="K2482" s="308">
        <f>IFERROR(__xludf.DUMMYFUNCTION("""COMPUTED_VALUE"""),2.0)</f>
        <v>2</v>
      </c>
      <c r="L2482" s="308">
        <f>IFERROR(__xludf.DUMMYFUNCTION("""COMPUTED_VALUE"""),2015.0)</f>
        <v>2015</v>
      </c>
      <c r="M2482" s="308" t="s">
        <v>10231</v>
      </c>
      <c r="N2482" s="308"/>
      <c r="O2482" s="308" t="s">
        <v>635</v>
      </c>
      <c r="P2482" s="308" t="s">
        <v>1481</v>
      </c>
      <c r="Q2482" s="308"/>
      <c r="R2482" s="308"/>
      <c r="S2482" s="308" t="s">
        <v>81</v>
      </c>
      <c r="T2482" s="308" t="s">
        <v>35048</v>
      </c>
      <c r="U2482" s="308"/>
      <c r="V2482" s="312"/>
    </row>
    <row r="2483">
      <c r="A2483" s="308">
        <v>2482.0</v>
      </c>
      <c r="B2483" s="308"/>
      <c r="C2483" s="308" t="s">
        <v>10232</v>
      </c>
      <c r="D2483" s="308">
        <f>IFERROR(__xludf.DUMMYFUNCTION("SPLIT(C2483,""-"")"),2503.0)</f>
        <v>2503</v>
      </c>
      <c r="E2483" s="308" t="str">
        <f>IFERROR(__xludf.DUMMYFUNCTION("""COMPUTED_VALUE""")," S")</f>
        <v> S</v>
      </c>
      <c r="F2483" s="312" t="s">
        <v>39</v>
      </c>
      <c r="G2483" s="308"/>
      <c r="H2483" s="308" t="s">
        <v>10233</v>
      </c>
      <c r="I2483" s="310">
        <v>42059.0</v>
      </c>
      <c r="J2483" s="319">
        <f>IFERROR(__xludf.DUMMYFUNCTION("SPLIT(I2483,""/"")"),24.0)</f>
        <v>24</v>
      </c>
      <c r="K2483" s="308">
        <f>IFERROR(__xludf.DUMMYFUNCTION("""COMPUTED_VALUE"""),2.0)</f>
        <v>2</v>
      </c>
      <c r="L2483" s="308">
        <f>IFERROR(__xludf.DUMMYFUNCTION("""COMPUTED_VALUE"""),2015.0)</f>
        <v>2015</v>
      </c>
      <c r="M2483" s="308" t="s">
        <v>10234</v>
      </c>
      <c r="N2483" s="308"/>
      <c r="O2483" s="308" t="s">
        <v>635</v>
      </c>
      <c r="P2483" s="308" t="s">
        <v>1481</v>
      </c>
      <c r="Q2483" s="308"/>
      <c r="R2483" s="308"/>
      <c r="S2483" s="308" t="s">
        <v>81</v>
      </c>
      <c r="T2483" s="308" t="s">
        <v>35048</v>
      </c>
      <c r="U2483" s="308"/>
      <c r="V2483" s="312"/>
    </row>
    <row r="2484">
      <c r="A2484" s="308">
        <v>2483.0</v>
      </c>
      <c r="B2484" s="308"/>
      <c r="C2484" s="308" t="s">
        <v>10235</v>
      </c>
      <c r="D2484" s="308">
        <f>IFERROR(__xludf.DUMMYFUNCTION("SPLIT(C2484,""-"")"),2504.0)</f>
        <v>2504</v>
      </c>
      <c r="E2484" s="308" t="str">
        <f>IFERROR(__xludf.DUMMYFUNCTION("""COMPUTED_VALUE""")," S")</f>
        <v> S</v>
      </c>
      <c r="F2484" s="312" t="s">
        <v>39</v>
      </c>
      <c r="G2484" s="308"/>
      <c r="H2484" s="308" t="s">
        <v>10236</v>
      </c>
      <c r="I2484" s="310">
        <v>41317.0</v>
      </c>
      <c r="J2484" s="319">
        <f>IFERROR(__xludf.DUMMYFUNCTION("SPLIT(I2484,""/"")"),12.0)</f>
        <v>12</v>
      </c>
      <c r="K2484" s="308">
        <f>IFERROR(__xludf.DUMMYFUNCTION("""COMPUTED_VALUE"""),2.0)</f>
        <v>2</v>
      </c>
      <c r="L2484" s="308">
        <f>IFERROR(__xludf.DUMMYFUNCTION("""COMPUTED_VALUE"""),2013.0)</f>
        <v>2013</v>
      </c>
      <c r="M2484" s="308" t="s">
        <v>10237</v>
      </c>
      <c r="N2484" s="308"/>
      <c r="O2484" s="308" t="s">
        <v>635</v>
      </c>
      <c r="P2484" s="308" t="s">
        <v>1481</v>
      </c>
      <c r="Q2484" s="308"/>
      <c r="R2484" s="308"/>
      <c r="S2484" s="308" t="s">
        <v>81</v>
      </c>
      <c r="T2484" s="308" t="s">
        <v>35048</v>
      </c>
      <c r="U2484" s="308"/>
      <c r="V2484" s="312"/>
    </row>
    <row r="2485">
      <c r="A2485" s="308">
        <v>2484.0</v>
      </c>
      <c r="B2485" s="308"/>
      <c r="C2485" s="308" t="s">
        <v>10238</v>
      </c>
      <c r="D2485" s="308">
        <f>IFERROR(__xludf.DUMMYFUNCTION("SPLIT(C2485,""-"")"),2505.0)</f>
        <v>2505</v>
      </c>
      <c r="E2485" s="308" t="str">
        <f>IFERROR(__xludf.DUMMYFUNCTION("""COMPUTED_VALUE""")," S")</f>
        <v> S</v>
      </c>
      <c r="F2485" s="312" t="s">
        <v>39</v>
      </c>
      <c r="G2485" s="308"/>
      <c r="H2485" s="308" t="s">
        <v>10239</v>
      </c>
      <c r="I2485" s="310">
        <v>42035.0</v>
      </c>
      <c r="J2485" s="319">
        <f>IFERROR(__xludf.DUMMYFUNCTION("SPLIT(I2485,""/"")"),31.0)</f>
        <v>31</v>
      </c>
      <c r="K2485" s="308">
        <f>IFERROR(__xludf.DUMMYFUNCTION("""COMPUTED_VALUE"""),1.0)</f>
        <v>1</v>
      </c>
      <c r="L2485" s="308">
        <f>IFERROR(__xludf.DUMMYFUNCTION("""COMPUTED_VALUE"""),2015.0)</f>
        <v>2015</v>
      </c>
      <c r="M2485" s="308" t="s">
        <v>10240</v>
      </c>
      <c r="N2485" s="308"/>
      <c r="O2485" s="308" t="s">
        <v>10241</v>
      </c>
      <c r="P2485" s="308" t="s">
        <v>10242</v>
      </c>
      <c r="Q2485" s="308"/>
      <c r="R2485" s="308"/>
      <c r="S2485" s="308" t="s">
        <v>81</v>
      </c>
      <c r="T2485" s="308" t="s">
        <v>98</v>
      </c>
      <c r="U2485" s="308" t="s">
        <v>166</v>
      </c>
      <c r="V2485" s="312"/>
    </row>
    <row r="2486">
      <c r="A2486" s="308">
        <v>2485.0</v>
      </c>
      <c r="B2486" s="308"/>
      <c r="C2486" s="308" t="s">
        <v>10243</v>
      </c>
      <c r="D2486" s="308">
        <f>IFERROR(__xludf.DUMMYFUNCTION("SPLIT(C2486,""-"")"),2506.0)</f>
        <v>2506</v>
      </c>
      <c r="E2486" s="308" t="str">
        <f>IFERROR(__xludf.DUMMYFUNCTION("""COMPUTED_VALUE""")," S")</f>
        <v> S</v>
      </c>
      <c r="F2486" s="312" t="s">
        <v>39</v>
      </c>
      <c r="G2486" s="308" t="s">
        <v>10244</v>
      </c>
      <c r="H2486" s="308" t="s">
        <v>10245</v>
      </c>
      <c r="I2486" s="310">
        <v>42025.0</v>
      </c>
      <c r="J2486" s="319">
        <f>IFERROR(__xludf.DUMMYFUNCTION("SPLIT(I2486,""/"")"),21.0)</f>
        <v>21</v>
      </c>
      <c r="K2486" s="308">
        <f>IFERROR(__xludf.DUMMYFUNCTION("""COMPUTED_VALUE"""),1.0)</f>
        <v>1</v>
      </c>
      <c r="L2486" s="308">
        <f>IFERROR(__xludf.DUMMYFUNCTION("""COMPUTED_VALUE"""),2015.0)</f>
        <v>2015</v>
      </c>
      <c r="M2486" s="308" t="s">
        <v>10246</v>
      </c>
      <c r="N2486" s="308"/>
      <c r="O2486" s="308" t="s">
        <v>10247</v>
      </c>
      <c r="P2486" s="308" t="s">
        <v>1481</v>
      </c>
      <c r="Q2486" s="308"/>
      <c r="R2486" s="308"/>
      <c r="S2486" s="308" t="s">
        <v>81</v>
      </c>
      <c r="T2486" s="308" t="s">
        <v>35048</v>
      </c>
      <c r="U2486" s="308"/>
      <c r="V2486" s="312"/>
    </row>
    <row r="2487">
      <c r="A2487" s="308">
        <v>2486.0</v>
      </c>
      <c r="B2487" s="308"/>
      <c r="C2487" s="308" t="s">
        <v>10248</v>
      </c>
      <c r="D2487" s="308">
        <f>IFERROR(__xludf.DUMMYFUNCTION("SPLIT(C2487,""-"")"),2507.0)</f>
        <v>2507</v>
      </c>
      <c r="E2487" s="308" t="str">
        <f>IFERROR(__xludf.DUMMYFUNCTION("""COMPUTED_VALUE""")," S")</f>
        <v> S</v>
      </c>
      <c r="F2487" s="312" t="s">
        <v>39</v>
      </c>
      <c r="G2487" s="308"/>
      <c r="H2487" s="308" t="s">
        <v>10249</v>
      </c>
      <c r="I2487" s="310">
        <v>42024.0</v>
      </c>
      <c r="J2487" s="319">
        <f>IFERROR(__xludf.DUMMYFUNCTION("SPLIT(I2487,""/"")"),20.0)</f>
        <v>20</v>
      </c>
      <c r="K2487" s="308">
        <f>IFERROR(__xludf.DUMMYFUNCTION("""COMPUTED_VALUE"""),1.0)</f>
        <v>1</v>
      </c>
      <c r="L2487" s="308">
        <f>IFERROR(__xludf.DUMMYFUNCTION("""COMPUTED_VALUE"""),2015.0)</f>
        <v>2015</v>
      </c>
      <c r="M2487" s="308" t="s">
        <v>10250</v>
      </c>
      <c r="N2487" s="308"/>
      <c r="O2487" s="308" t="s">
        <v>635</v>
      </c>
      <c r="P2487" s="308" t="s">
        <v>1481</v>
      </c>
      <c r="Q2487" s="308"/>
      <c r="R2487" s="308"/>
      <c r="S2487" s="308" t="s">
        <v>81</v>
      </c>
      <c r="T2487" s="308" t="s">
        <v>35048</v>
      </c>
      <c r="U2487" s="308"/>
      <c r="V2487" s="312"/>
    </row>
    <row r="2488">
      <c r="A2488" s="308">
        <v>2487.0</v>
      </c>
      <c r="B2488" s="308"/>
      <c r="C2488" s="308" t="s">
        <v>10251</v>
      </c>
      <c r="D2488" s="308">
        <f>IFERROR(__xludf.DUMMYFUNCTION("SPLIT(C2488,""-"")"),2508.0)</f>
        <v>2508</v>
      </c>
      <c r="E2488" s="308" t="str">
        <f>IFERROR(__xludf.DUMMYFUNCTION("""COMPUTED_VALUE""")," S")</f>
        <v> S</v>
      </c>
      <c r="F2488" s="312" t="s">
        <v>39</v>
      </c>
      <c r="G2488" s="308"/>
      <c r="H2488" s="308" t="s">
        <v>10252</v>
      </c>
      <c r="I2488" s="310">
        <v>42024.0</v>
      </c>
      <c r="J2488" s="319">
        <f>IFERROR(__xludf.DUMMYFUNCTION("SPLIT(I2488,""/"")"),20.0)</f>
        <v>20</v>
      </c>
      <c r="K2488" s="308">
        <f>IFERROR(__xludf.DUMMYFUNCTION("""COMPUTED_VALUE"""),1.0)</f>
        <v>1</v>
      </c>
      <c r="L2488" s="308">
        <f>IFERROR(__xludf.DUMMYFUNCTION("""COMPUTED_VALUE"""),2015.0)</f>
        <v>2015</v>
      </c>
      <c r="M2488" s="308" t="s">
        <v>10253</v>
      </c>
      <c r="N2488" s="308"/>
      <c r="O2488" s="308" t="s">
        <v>635</v>
      </c>
      <c r="P2488" s="308" t="s">
        <v>622</v>
      </c>
      <c r="Q2488" s="308"/>
      <c r="R2488" s="308"/>
      <c r="S2488" s="308" t="s">
        <v>49</v>
      </c>
      <c r="T2488" s="308" t="s">
        <v>34409</v>
      </c>
      <c r="U2488" s="308"/>
      <c r="V2488" s="312"/>
    </row>
    <row r="2489">
      <c r="A2489" s="308">
        <v>2488.0</v>
      </c>
      <c r="B2489" s="308"/>
      <c r="C2489" s="308" t="s">
        <v>10254</v>
      </c>
      <c r="D2489" s="308">
        <f>IFERROR(__xludf.DUMMYFUNCTION("SPLIT(C2489,""-"")"),2509.0)</f>
        <v>2509</v>
      </c>
      <c r="E2489" s="308" t="str">
        <f>IFERROR(__xludf.DUMMYFUNCTION("""COMPUTED_VALUE""")," P")</f>
        <v> P</v>
      </c>
      <c r="F2489" s="312" t="s">
        <v>37</v>
      </c>
      <c r="G2489" s="308"/>
      <c r="H2489" s="308" t="s">
        <v>10255</v>
      </c>
      <c r="I2489" s="310">
        <v>42061.0</v>
      </c>
      <c r="J2489" s="319">
        <f>IFERROR(__xludf.DUMMYFUNCTION("SPLIT(I2489,""/"")"),26.0)</f>
        <v>26</v>
      </c>
      <c r="K2489" s="308">
        <f>IFERROR(__xludf.DUMMYFUNCTION("""COMPUTED_VALUE"""),2.0)</f>
        <v>2</v>
      </c>
      <c r="L2489" s="308">
        <f>IFERROR(__xludf.DUMMYFUNCTION("""COMPUTED_VALUE"""),2015.0)</f>
        <v>2015</v>
      </c>
      <c r="M2489" s="308" t="s">
        <v>36687</v>
      </c>
      <c r="N2489" s="308"/>
      <c r="O2489" s="308" t="s">
        <v>10257</v>
      </c>
      <c r="P2489" s="308" t="s">
        <v>10258</v>
      </c>
      <c r="Q2489" s="308"/>
      <c r="R2489" s="308"/>
      <c r="S2489" s="308" t="s">
        <v>81</v>
      </c>
      <c r="T2489" s="311" t="s">
        <v>51</v>
      </c>
      <c r="U2489" s="308"/>
      <c r="V2489" s="312"/>
    </row>
    <row r="2490">
      <c r="A2490" s="308">
        <v>2489.0</v>
      </c>
      <c r="B2490" s="308"/>
      <c r="C2490" s="308" t="s">
        <v>10259</v>
      </c>
      <c r="D2490" s="308">
        <f>IFERROR(__xludf.DUMMYFUNCTION("SPLIT(C2490,""-"")"),2510.0)</f>
        <v>2510</v>
      </c>
      <c r="E2490" s="308" t="str">
        <f>IFERROR(__xludf.DUMMYFUNCTION("""COMPUTED_VALUE""")," P")</f>
        <v> P</v>
      </c>
      <c r="F2490" s="312" t="s">
        <v>37</v>
      </c>
      <c r="G2490" s="308"/>
      <c r="H2490" s="308" t="s">
        <v>10260</v>
      </c>
      <c r="I2490" s="310">
        <v>42095.0</v>
      </c>
      <c r="J2490" s="319">
        <f>IFERROR(__xludf.DUMMYFUNCTION("SPLIT(I2490,""/"")"),1.0)</f>
        <v>1</v>
      </c>
      <c r="K2490" s="308">
        <f>IFERROR(__xludf.DUMMYFUNCTION("""COMPUTED_VALUE"""),4.0)</f>
        <v>4</v>
      </c>
      <c r="L2490" s="308">
        <f>IFERROR(__xludf.DUMMYFUNCTION("""COMPUTED_VALUE"""),2015.0)</f>
        <v>2015</v>
      </c>
      <c r="M2490" s="308" t="s">
        <v>36688</v>
      </c>
      <c r="N2490" s="308"/>
      <c r="O2490" s="308" t="s">
        <v>10262</v>
      </c>
      <c r="P2490" s="308" t="s">
        <v>10263</v>
      </c>
      <c r="Q2490" s="308"/>
      <c r="R2490" s="308"/>
      <c r="S2490" s="308" t="s">
        <v>81</v>
      </c>
      <c r="T2490" s="311" t="s">
        <v>51</v>
      </c>
      <c r="U2490" s="308"/>
      <c r="V2490" s="312"/>
    </row>
    <row r="2491">
      <c r="A2491" s="308">
        <v>2490.0</v>
      </c>
      <c r="B2491" s="308"/>
      <c r="C2491" s="308" t="s">
        <v>10264</v>
      </c>
      <c r="D2491" s="308">
        <f>IFERROR(__xludf.DUMMYFUNCTION("SPLIT(C2491,""-"")"),2511.0)</f>
        <v>2511</v>
      </c>
      <c r="E2491" s="308" t="str">
        <f>IFERROR(__xludf.DUMMYFUNCTION("""COMPUTED_VALUE""")," K")</f>
        <v> K</v>
      </c>
      <c r="F2491" s="309" t="s">
        <v>34</v>
      </c>
      <c r="G2491" s="308"/>
      <c r="H2491" s="308" t="s">
        <v>10265</v>
      </c>
      <c r="I2491" s="310">
        <v>41865.0</v>
      </c>
      <c r="J2491" s="319">
        <f>IFERROR(__xludf.DUMMYFUNCTION("SPLIT(I2491,""/"")"),14.0)</f>
        <v>14</v>
      </c>
      <c r="K2491" s="308">
        <f>IFERROR(__xludf.DUMMYFUNCTION("""COMPUTED_VALUE"""),8.0)</f>
        <v>8</v>
      </c>
      <c r="L2491" s="308">
        <f>IFERROR(__xludf.DUMMYFUNCTION("""COMPUTED_VALUE"""),2014.0)</f>
        <v>2014</v>
      </c>
      <c r="M2491" s="308" t="s">
        <v>10266</v>
      </c>
      <c r="N2491" s="308"/>
      <c r="O2491" s="308" t="s">
        <v>10267</v>
      </c>
      <c r="P2491" s="308" t="s">
        <v>36689</v>
      </c>
      <c r="Q2491" s="308"/>
      <c r="R2491" s="308"/>
      <c r="S2491" s="308" t="s">
        <v>81</v>
      </c>
      <c r="T2491" s="308" t="s">
        <v>75</v>
      </c>
      <c r="U2491" s="308"/>
      <c r="V2491" s="312"/>
    </row>
    <row r="2492">
      <c r="A2492" s="308">
        <v>2491.0</v>
      </c>
      <c r="B2492" s="308"/>
      <c r="C2492" s="308" t="s">
        <v>10269</v>
      </c>
      <c r="D2492" s="308">
        <f>IFERROR(__xludf.DUMMYFUNCTION("SPLIT(C2492,""-"")"),2512.0)</f>
        <v>2512</v>
      </c>
      <c r="E2492" s="308" t="str">
        <f>IFERROR(__xludf.DUMMYFUNCTION("""COMPUTED_VALUE""")," P")</f>
        <v> P</v>
      </c>
      <c r="F2492" s="312" t="s">
        <v>37</v>
      </c>
      <c r="G2492" s="308"/>
      <c r="H2492" s="308" t="s">
        <v>10270</v>
      </c>
      <c r="I2492" s="310">
        <v>41812.0</v>
      </c>
      <c r="J2492" s="319">
        <f>IFERROR(__xludf.DUMMYFUNCTION("SPLIT(I2492,""/"")"),22.0)</f>
        <v>22</v>
      </c>
      <c r="K2492" s="308">
        <f>IFERROR(__xludf.DUMMYFUNCTION("""COMPUTED_VALUE"""),6.0)</f>
        <v>6</v>
      </c>
      <c r="L2492" s="308">
        <f>IFERROR(__xludf.DUMMYFUNCTION("""COMPUTED_VALUE"""),2014.0)</f>
        <v>2014</v>
      </c>
      <c r="M2492" s="308" t="s">
        <v>36690</v>
      </c>
      <c r="N2492" s="308"/>
      <c r="O2492" s="308" t="s">
        <v>10272</v>
      </c>
      <c r="P2492" s="308" t="s">
        <v>10273</v>
      </c>
      <c r="Q2492" s="308"/>
      <c r="R2492" s="308"/>
      <c r="S2492" s="308" t="s">
        <v>81</v>
      </c>
      <c r="T2492" s="311" t="s">
        <v>73</v>
      </c>
      <c r="U2492" s="308"/>
      <c r="V2492" s="312"/>
    </row>
    <row r="2493">
      <c r="A2493" s="308">
        <v>2492.0</v>
      </c>
      <c r="B2493" s="308"/>
      <c r="C2493" s="308" t="s">
        <v>10274</v>
      </c>
      <c r="D2493" s="308">
        <f>IFERROR(__xludf.DUMMYFUNCTION("SPLIT(C2493,""-"")"),2513.0)</f>
        <v>2513</v>
      </c>
      <c r="E2493" s="308" t="str">
        <f>IFERROR(__xludf.DUMMYFUNCTION("""COMPUTED_VALUE""")," K")</f>
        <v> K</v>
      </c>
      <c r="F2493" s="309" t="s">
        <v>34</v>
      </c>
      <c r="G2493" s="308"/>
      <c r="H2493" s="308" t="s">
        <v>10275</v>
      </c>
      <c r="I2493" s="322"/>
      <c r="J2493" s="319"/>
      <c r="K2493" s="308"/>
      <c r="L2493" s="311" t="s">
        <v>79</v>
      </c>
      <c r="M2493" s="308" t="s">
        <v>10276</v>
      </c>
      <c r="N2493" s="308"/>
      <c r="O2493" s="308" t="s">
        <v>10277</v>
      </c>
      <c r="P2493" s="308" t="s">
        <v>10278</v>
      </c>
      <c r="Q2493" s="308"/>
      <c r="R2493" s="308"/>
      <c r="S2493" s="315" t="s">
        <v>100</v>
      </c>
      <c r="T2493" s="311" t="s">
        <v>34208</v>
      </c>
      <c r="U2493" s="308" t="s">
        <v>10279</v>
      </c>
      <c r="V2493" s="312"/>
    </row>
    <row r="2494">
      <c r="A2494" s="308">
        <v>2493.0</v>
      </c>
      <c r="B2494" s="308"/>
      <c r="C2494" s="308" t="s">
        <v>10280</v>
      </c>
      <c r="D2494" s="308">
        <f>IFERROR(__xludf.DUMMYFUNCTION("SPLIT(C2494,""-"")"),2514.0)</f>
        <v>2514</v>
      </c>
      <c r="E2494" s="308" t="str">
        <f>IFERROR(__xludf.DUMMYFUNCTION("""COMPUTED_VALUE""")," P")</f>
        <v> P</v>
      </c>
      <c r="F2494" s="312" t="s">
        <v>37</v>
      </c>
      <c r="G2494" s="308"/>
      <c r="H2494" s="308" t="s">
        <v>10281</v>
      </c>
      <c r="I2494" s="310">
        <v>41611.0</v>
      </c>
      <c r="J2494" s="319">
        <f>IFERROR(__xludf.DUMMYFUNCTION("SPLIT(I2494,""/"")"),3.0)</f>
        <v>3</v>
      </c>
      <c r="K2494" s="308">
        <f>IFERROR(__xludf.DUMMYFUNCTION("""COMPUTED_VALUE"""),12.0)</f>
        <v>12</v>
      </c>
      <c r="L2494" s="308">
        <f>IFERROR(__xludf.DUMMYFUNCTION("""COMPUTED_VALUE"""),2013.0)</f>
        <v>2013</v>
      </c>
      <c r="M2494" s="308" t="s">
        <v>36691</v>
      </c>
      <c r="N2494" s="308"/>
      <c r="O2494" s="308" t="s">
        <v>10283</v>
      </c>
      <c r="P2494" s="308" t="s">
        <v>10284</v>
      </c>
      <c r="Q2494" s="308"/>
      <c r="R2494" s="308"/>
      <c r="S2494" s="308" t="s">
        <v>81</v>
      </c>
      <c r="T2494" s="311" t="s">
        <v>96</v>
      </c>
      <c r="U2494" s="308"/>
      <c r="V2494" s="312"/>
    </row>
    <row r="2495">
      <c r="A2495" s="308">
        <v>2494.0</v>
      </c>
      <c r="B2495" s="308"/>
      <c r="C2495" s="308" t="s">
        <v>10285</v>
      </c>
      <c r="D2495" s="308">
        <f>IFERROR(__xludf.DUMMYFUNCTION("SPLIT(C2495,""-"")"),2515.0)</f>
        <v>2515</v>
      </c>
      <c r="E2495" s="308" t="str">
        <f>IFERROR(__xludf.DUMMYFUNCTION("""COMPUTED_VALUE""")," K")</f>
        <v> K</v>
      </c>
      <c r="F2495" s="309" t="s">
        <v>34</v>
      </c>
      <c r="G2495" s="308"/>
      <c r="H2495" s="308" t="s">
        <v>10286</v>
      </c>
      <c r="I2495" s="325">
        <v>40026.0</v>
      </c>
      <c r="J2495" s="319"/>
      <c r="K2495" s="311">
        <v>8.0</v>
      </c>
      <c r="L2495" s="311">
        <v>2009.0</v>
      </c>
      <c r="M2495" s="308" t="s">
        <v>10287</v>
      </c>
      <c r="N2495" s="308"/>
      <c r="O2495" s="308" t="s">
        <v>10288</v>
      </c>
      <c r="P2495" s="308" t="s">
        <v>10289</v>
      </c>
      <c r="Q2495" s="308"/>
      <c r="R2495" s="308"/>
      <c r="S2495" s="308" t="s">
        <v>81</v>
      </c>
      <c r="T2495" s="308" t="s">
        <v>34264</v>
      </c>
      <c r="U2495" s="308"/>
      <c r="V2495" s="312"/>
    </row>
    <row r="2496">
      <c r="A2496" s="308">
        <v>2495.0</v>
      </c>
      <c r="B2496" s="308"/>
      <c r="C2496" s="308" t="s">
        <v>10290</v>
      </c>
      <c r="D2496" s="308">
        <f>IFERROR(__xludf.DUMMYFUNCTION("SPLIT(C2496,""-"")"),2516.0)</f>
        <v>2516</v>
      </c>
      <c r="E2496" s="308" t="str">
        <f>IFERROR(__xludf.DUMMYFUNCTION("""COMPUTED_VALUE"""),"P")</f>
        <v>P</v>
      </c>
      <c r="F2496" s="312" t="s">
        <v>37</v>
      </c>
      <c r="G2496" s="308"/>
      <c r="H2496" s="308" t="s">
        <v>10291</v>
      </c>
      <c r="I2496" s="310">
        <v>41729.0</v>
      </c>
      <c r="J2496" s="319">
        <f>IFERROR(__xludf.DUMMYFUNCTION("SPLIT(I2496,""/"")"),31.0)</f>
        <v>31</v>
      </c>
      <c r="K2496" s="308">
        <f>IFERROR(__xludf.DUMMYFUNCTION("""COMPUTED_VALUE"""),3.0)</f>
        <v>3</v>
      </c>
      <c r="L2496" s="308">
        <f>IFERROR(__xludf.DUMMYFUNCTION("""COMPUTED_VALUE"""),2014.0)</f>
        <v>2014</v>
      </c>
      <c r="M2496" s="308" t="s">
        <v>10292</v>
      </c>
      <c r="N2496" s="308"/>
      <c r="O2496" s="308" t="s">
        <v>635</v>
      </c>
      <c r="P2496" s="308" t="s">
        <v>10293</v>
      </c>
      <c r="Q2496" s="308"/>
      <c r="R2496" s="308"/>
      <c r="S2496" s="308" t="s">
        <v>81</v>
      </c>
      <c r="T2496" s="309" t="s">
        <v>61</v>
      </c>
      <c r="U2496" s="308"/>
      <c r="V2496" s="312"/>
    </row>
    <row r="2497">
      <c r="A2497" s="308">
        <v>2496.0</v>
      </c>
      <c r="B2497" s="308"/>
      <c r="C2497" s="308" t="s">
        <v>10294</v>
      </c>
      <c r="D2497" s="308">
        <f>IFERROR(__xludf.DUMMYFUNCTION("SPLIT(C2497,""-"")"),2517.0)</f>
        <v>2517</v>
      </c>
      <c r="E2497" s="308" t="str">
        <f>IFERROR(__xludf.DUMMYFUNCTION("""COMPUTED_VALUE""")," K")</f>
        <v> K</v>
      </c>
      <c r="F2497" s="309" t="s">
        <v>34</v>
      </c>
      <c r="G2497" s="308"/>
      <c r="H2497" s="308" t="s">
        <v>10295</v>
      </c>
      <c r="I2497" s="310">
        <v>41781.0</v>
      </c>
      <c r="J2497" s="319">
        <f>IFERROR(__xludf.DUMMYFUNCTION("SPLIT(I2497,""/"")"),22.0)</f>
        <v>22</v>
      </c>
      <c r="K2497" s="308">
        <f>IFERROR(__xludf.DUMMYFUNCTION("""COMPUTED_VALUE"""),5.0)</f>
        <v>5</v>
      </c>
      <c r="L2497" s="308">
        <f>IFERROR(__xludf.DUMMYFUNCTION("""COMPUTED_VALUE"""),2014.0)</f>
        <v>2014</v>
      </c>
      <c r="M2497" s="308" t="s">
        <v>10296</v>
      </c>
      <c r="N2497" s="308"/>
      <c r="O2497" s="308" t="s">
        <v>10297</v>
      </c>
      <c r="P2497" s="308" t="s">
        <v>2872</v>
      </c>
      <c r="Q2497" s="308"/>
      <c r="R2497" s="308"/>
      <c r="S2497" s="315" t="s">
        <v>100</v>
      </c>
      <c r="T2497" s="311" t="s">
        <v>34208</v>
      </c>
      <c r="U2497" s="308" t="s">
        <v>125</v>
      </c>
      <c r="V2497" s="312"/>
    </row>
    <row r="2498">
      <c r="A2498" s="308">
        <v>2497.0</v>
      </c>
      <c r="B2498" s="308"/>
      <c r="C2498" s="308" t="s">
        <v>10298</v>
      </c>
      <c r="D2498" s="308">
        <f>IFERROR(__xludf.DUMMYFUNCTION("SPLIT(C2498,""-"")"),2518.0)</f>
        <v>2518</v>
      </c>
      <c r="E2498" s="308" t="str">
        <f>IFERROR(__xludf.DUMMYFUNCTION("""COMPUTED_VALUE""")," K")</f>
        <v> K</v>
      </c>
      <c r="F2498" s="309" t="s">
        <v>34</v>
      </c>
      <c r="G2498" s="308"/>
      <c r="H2498" s="308" t="s">
        <v>10299</v>
      </c>
      <c r="I2498" s="322"/>
      <c r="J2498" s="319"/>
      <c r="K2498" s="308"/>
      <c r="L2498" s="311" t="s">
        <v>79</v>
      </c>
      <c r="M2498" s="308" t="s">
        <v>10300</v>
      </c>
      <c r="N2498" s="308"/>
      <c r="O2498" s="308" t="s">
        <v>635</v>
      </c>
      <c r="P2498" s="308" t="s">
        <v>10301</v>
      </c>
      <c r="Q2498" s="308"/>
      <c r="R2498" s="308"/>
      <c r="S2498" s="308" t="s">
        <v>81</v>
      </c>
      <c r="T2498" s="308" t="s">
        <v>34264</v>
      </c>
      <c r="U2498" s="308"/>
      <c r="V2498" s="312"/>
    </row>
    <row r="2499">
      <c r="A2499" s="308">
        <v>2498.0</v>
      </c>
      <c r="B2499" s="308"/>
      <c r="C2499" s="308" t="s">
        <v>10302</v>
      </c>
      <c r="D2499" s="308">
        <f>IFERROR(__xludf.DUMMYFUNCTION("SPLIT(C2499,""-"")"),2519.0)</f>
        <v>2519</v>
      </c>
      <c r="E2499" s="308" t="str">
        <f>IFERROR(__xludf.DUMMYFUNCTION("""COMPUTED_VALUE""")," F")</f>
        <v> F</v>
      </c>
      <c r="F2499" s="309" t="s">
        <v>34</v>
      </c>
      <c r="G2499" s="308"/>
      <c r="H2499" s="308" t="s">
        <v>10303</v>
      </c>
      <c r="I2499" s="310">
        <v>40850.0</v>
      </c>
      <c r="J2499" s="319">
        <f>IFERROR(__xludf.DUMMYFUNCTION("SPLIT(I2499,""/"")"),3.0)</f>
        <v>3</v>
      </c>
      <c r="K2499" s="308">
        <f>IFERROR(__xludf.DUMMYFUNCTION("""COMPUTED_VALUE"""),11.0)</f>
        <v>11</v>
      </c>
      <c r="L2499" s="308">
        <f>IFERROR(__xludf.DUMMYFUNCTION("""COMPUTED_VALUE"""),2011.0)</f>
        <v>2011</v>
      </c>
      <c r="M2499" s="308" t="s">
        <v>10304</v>
      </c>
      <c r="N2499" s="308"/>
      <c r="O2499" s="308" t="s">
        <v>635</v>
      </c>
      <c r="P2499" s="308" t="s">
        <v>10305</v>
      </c>
      <c r="Q2499" s="308"/>
      <c r="R2499" s="308"/>
      <c r="S2499" s="308" t="s">
        <v>81</v>
      </c>
      <c r="T2499" s="308" t="s">
        <v>34264</v>
      </c>
      <c r="U2499" s="308"/>
      <c r="V2499" s="312"/>
    </row>
    <row r="2500">
      <c r="A2500" s="308">
        <v>2499.0</v>
      </c>
      <c r="B2500" s="308"/>
      <c r="C2500" s="308" t="s">
        <v>10306</v>
      </c>
      <c r="D2500" s="308">
        <f>IFERROR(__xludf.DUMMYFUNCTION("SPLIT(C2500,""-"")"),2520.0)</f>
        <v>2520</v>
      </c>
      <c r="E2500" s="308" t="str">
        <f>IFERROR(__xludf.DUMMYFUNCTION("""COMPUTED_VALUE""")," ICT")</f>
        <v> ICT</v>
      </c>
      <c r="F2500" s="315" t="s">
        <v>31</v>
      </c>
      <c r="G2500" s="308"/>
      <c r="H2500" s="308" t="s">
        <v>10307</v>
      </c>
      <c r="I2500" s="310">
        <v>42096.0</v>
      </c>
      <c r="J2500" s="319">
        <f>IFERROR(__xludf.DUMMYFUNCTION("SPLIT(I2500,""/"")"),2.0)</f>
        <v>2</v>
      </c>
      <c r="K2500" s="308">
        <f>IFERROR(__xludf.DUMMYFUNCTION("""COMPUTED_VALUE"""),4.0)</f>
        <v>4</v>
      </c>
      <c r="L2500" s="308">
        <f>IFERROR(__xludf.DUMMYFUNCTION("""COMPUTED_VALUE"""),2015.0)</f>
        <v>2015</v>
      </c>
      <c r="M2500" s="308" t="s">
        <v>10308</v>
      </c>
      <c r="N2500" s="308"/>
      <c r="O2500" s="308" t="s">
        <v>10309</v>
      </c>
      <c r="P2500" s="308" t="s">
        <v>10310</v>
      </c>
      <c r="Q2500" s="308"/>
      <c r="R2500" s="308"/>
      <c r="S2500" s="308" t="s">
        <v>81</v>
      </c>
      <c r="T2500" s="311" t="s">
        <v>96</v>
      </c>
      <c r="U2500" s="308"/>
      <c r="V2500" s="312"/>
    </row>
    <row r="2501">
      <c r="A2501" s="308">
        <v>2500.0</v>
      </c>
      <c r="B2501" s="308"/>
      <c r="C2501" s="308" t="s">
        <v>10311</v>
      </c>
      <c r="D2501" s="308">
        <f>IFERROR(__xludf.DUMMYFUNCTION("SPLIT(C2501,""-"")"),2521.0)</f>
        <v>2521</v>
      </c>
      <c r="E2501" s="308" t="str">
        <f>IFERROR(__xludf.DUMMYFUNCTION("""COMPUTED_VALUE"""),"P")</f>
        <v>P</v>
      </c>
      <c r="F2501" s="312" t="s">
        <v>37</v>
      </c>
      <c r="G2501" s="308"/>
      <c r="H2501" s="308" t="s">
        <v>10312</v>
      </c>
      <c r="I2501" s="310">
        <v>42063.0</v>
      </c>
      <c r="J2501" s="319">
        <f>IFERROR(__xludf.DUMMYFUNCTION("SPLIT(I2501,""/"")"),28.0)</f>
        <v>28</v>
      </c>
      <c r="K2501" s="308">
        <f>IFERROR(__xludf.DUMMYFUNCTION("""COMPUTED_VALUE"""),2.0)</f>
        <v>2</v>
      </c>
      <c r="L2501" s="308">
        <f>IFERROR(__xludf.DUMMYFUNCTION("""COMPUTED_VALUE"""),2015.0)</f>
        <v>2015</v>
      </c>
      <c r="M2501" s="308" t="s">
        <v>10313</v>
      </c>
      <c r="N2501" s="308"/>
      <c r="O2501" s="308" t="s">
        <v>10314</v>
      </c>
      <c r="P2501" s="308" t="s">
        <v>10315</v>
      </c>
      <c r="Q2501" s="308"/>
      <c r="R2501" s="308"/>
      <c r="S2501" s="308" t="s">
        <v>81</v>
      </c>
      <c r="T2501" s="308" t="s">
        <v>75</v>
      </c>
      <c r="U2501" s="308"/>
      <c r="V2501" s="312"/>
    </row>
    <row r="2502">
      <c r="A2502" s="308">
        <v>2501.0</v>
      </c>
      <c r="B2502" s="308"/>
      <c r="C2502" s="308" t="s">
        <v>10316</v>
      </c>
      <c r="D2502" s="308">
        <f>IFERROR(__xludf.DUMMYFUNCTION("SPLIT(C2502,""-"")"),2522.0)</f>
        <v>2522</v>
      </c>
      <c r="E2502" s="308" t="str">
        <f>IFERROR(__xludf.DUMMYFUNCTION("""COMPUTED_VALUE"""),"P")</f>
        <v>P</v>
      </c>
      <c r="F2502" s="312" t="s">
        <v>37</v>
      </c>
      <c r="G2502" s="308"/>
      <c r="H2502" s="308" t="s">
        <v>10317</v>
      </c>
      <c r="I2502" s="310">
        <v>42074.0</v>
      </c>
      <c r="J2502" s="319">
        <f>IFERROR(__xludf.DUMMYFUNCTION("SPLIT(I2502,""/"")"),11.0)</f>
        <v>11</v>
      </c>
      <c r="K2502" s="308">
        <f>IFERROR(__xludf.DUMMYFUNCTION("""COMPUTED_VALUE"""),3.0)</f>
        <v>3</v>
      </c>
      <c r="L2502" s="308">
        <f>IFERROR(__xludf.DUMMYFUNCTION("""COMPUTED_VALUE"""),2015.0)</f>
        <v>2015</v>
      </c>
      <c r="M2502" s="308" t="s">
        <v>36692</v>
      </c>
      <c r="N2502" s="308"/>
      <c r="O2502" s="308" t="s">
        <v>10319</v>
      </c>
      <c r="P2502" s="308" t="s">
        <v>10320</v>
      </c>
      <c r="Q2502" s="308"/>
      <c r="R2502" s="308"/>
      <c r="S2502" s="315" t="s">
        <v>100</v>
      </c>
      <c r="T2502" s="311" t="s">
        <v>34208</v>
      </c>
      <c r="U2502" s="308" t="s">
        <v>2748</v>
      </c>
      <c r="V2502" s="312"/>
    </row>
    <row r="2503">
      <c r="A2503" s="308">
        <v>2502.0</v>
      </c>
      <c r="B2503" s="308"/>
      <c r="C2503" s="308" t="s">
        <v>10321</v>
      </c>
      <c r="D2503" s="308">
        <f>IFERROR(__xludf.DUMMYFUNCTION("SPLIT(C2503,""-"")"),2523.0)</f>
        <v>2523</v>
      </c>
      <c r="E2503" s="308" t="str">
        <f>IFERROR(__xludf.DUMMYFUNCTION("""COMPUTED_VALUE"""),"P")</f>
        <v>P</v>
      </c>
      <c r="F2503" s="312" t="s">
        <v>37</v>
      </c>
      <c r="G2503" s="308"/>
      <c r="H2503" s="308" t="s">
        <v>10322</v>
      </c>
      <c r="I2503" s="310">
        <v>41951.0</v>
      </c>
      <c r="J2503" s="319">
        <f>IFERROR(__xludf.DUMMYFUNCTION("SPLIT(I2503,""/"")"),8.0)</f>
        <v>8</v>
      </c>
      <c r="K2503" s="308">
        <f>IFERROR(__xludf.DUMMYFUNCTION("""COMPUTED_VALUE"""),11.0)</f>
        <v>11</v>
      </c>
      <c r="L2503" s="308">
        <f>IFERROR(__xludf.DUMMYFUNCTION("""COMPUTED_VALUE"""),2014.0)</f>
        <v>2014</v>
      </c>
      <c r="M2503" s="308" t="s">
        <v>10323</v>
      </c>
      <c r="N2503" s="308"/>
      <c r="O2503" s="308" t="s">
        <v>10324</v>
      </c>
      <c r="P2503" s="308" t="s">
        <v>10325</v>
      </c>
      <c r="Q2503" s="308"/>
      <c r="R2503" s="308"/>
      <c r="S2503" s="308" t="s">
        <v>81</v>
      </c>
      <c r="T2503" s="311" t="s">
        <v>75</v>
      </c>
      <c r="U2503" s="308"/>
      <c r="V2503" s="312"/>
    </row>
    <row r="2504">
      <c r="A2504" s="308">
        <v>2503.0</v>
      </c>
      <c r="B2504" s="308"/>
      <c r="C2504" s="308" t="s">
        <v>10326</v>
      </c>
      <c r="D2504" s="308">
        <f>IFERROR(__xludf.DUMMYFUNCTION("SPLIT(C2504,""-"")"),2524.0)</f>
        <v>2524</v>
      </c>
      <c r="E2504" s="308" t="str">
        <f>IFERROR(__xludf.DUMMYFUNCTION("""COMPUTED_VALUE"""),"K")</f>
        <v>K</v>
      </c>
      <c r="F2504" s="309" t="s">
        <v>34</v>
      </c>
      <c r="G2504" s="308"/>
      <c r="H2504" s="308" t="s">
        <v>10327</v>
      </c>
      <c r="I2504" s="310">
        <v>39968.0</v>
      </c>
      <c r="J2504" s="319">
        <f>IFERROR(__xludf.DUMMYFUNCTION("SPLIT(I2504,""/"")"),4.0)</f>
        <v>4</v>
      </c>
      <c r="K2504" s="308">
        <f>IFERROR(__xludf.DUMMYFUNCTION("""COMPUTED_VALUE"""),6.0)</f>
        <v>6</v>
      </c>
      <c r="L2504" s="308">
        <f>IFERROR(__xludf.DUMMYFUNCTION("""COMPUTED_VALUE"""),2009.0)</f>
        <v>2009</v>
      </c>
      <c r="M2504" s="308" t="s">
        <v>10328</v>
      </c>
      <c r="N2504" s="308"/>
      <c r="O2504" s="308" t="s">
        <v>10329</v>
      </c>
      <c r="P2504" s="308" t="s">
        <v>35734</v>
      </c>
      <c r="Q2504" s="308"/>
      <c r="R2504" s="308"/>
      <c r="S2504" s="315" t="s">
        <v>100</v>
      </c>
      <c r="T2504" s="311" t="s">
        <v>34208</v>
      </c>
      <c r="U2504" s="308" t="s">
        <v>530</v>
      </c>
      <c r="V2504" s="312"/>
    </row>
    <row r="2505">
      <c r="A2505" s="308">
        <v>2504.0</v>
      </c>
      <c r="B2505" s="308"/>
      <c r="C2505" s="308" t="s">
        <v>10330</v>
      </c>
      <c r="D2505" s="308">
        <f>IFERROR(__xludf.DUMMYFUNCTION("SPLIT(C2505,""-"")"),2525.0)</f>
        <v>2525</v>
      </c>
      <c r="E2505" s="308" t="str">
        <f>IFERROR(__xludf.DUMMYFUNCTION("""COMPUTED_VALUE"""),"K")</f>
        <v>K</v>
      </c>
      <c r="F2505" s="309" t="s">
        <v>34</v>
      </c>
      <c r="G2505" s="308"/>
      <c r="H2505" s="308" t="s">
        <v>10331</v>
      </c>
      <c r="I2505" s="310">
        <v>39968.0</v>
      </c>
      <c r="J2505" s="319">
        <f>IFERROR(__xludf.DUMMYFUNCTION("SPLIT(I2505,""/"")"),4.0)</f>
        <v>4</v>
      </c>
      <c r="K2505" s="308">
        <f>IFERROR(__xludf.DUMMYFUNCTION("""COMPUTED_VALUE"""),6.0)</f>
        <v>6</v>
      </c>
      <c r="L2505" s="308">
        <f>IFERROR(__xludf.DUMMYFUNCTION("""COMPUTED_VALUE"""),2009.0)</f>
        <v>2009</v>
      </c>
      <c r="M2505" s="308" t="s">
        <v>10328</v>
      </c>
      <c r="N2505" s="308"/>
      <c r="O2505" s="308" t="s">
        <v>10329</v>
      </c>
      <c r="P2505" s="308" t="s">
        <v>35734</v>
      </c>
      <c r="Q2505" s="308"/>
      <c r="R2505" s="308"/>
      <c r="S2505" s="315" t="s">
        <v>100</v>
      </c>
      <c r="T2505" s="311" t="s">
        <v>34208</v>
      </c>
      <c r="U2505" s="308" t="s">
        <v>530</v>
      </c>
      <c r="V2505" s="312"/>
    </row>
    <row r="2506">
      <c r="A2506" s="308">
        <v>2505.0</v>
      </c>
      <c r="B2506" s="308"/>
      <c r="C2506" s="308" t="s">
        <v>10332</v>
      </c>
      <c r="D2506" s="308">
        <f>IFERROR(__xludf.DUMMYFUNCTION("SPLIT(C2506,""-"")"),2526.0)</f>
        <v>2526</v>
      </c>
      <c r="E2506" s="308" t="str">
        <f>IFERROR(__xludf.DUMMYFUNCTION("""COMPUTED_VALUE"""),"K")</f>
        <v>K</v>
      </c>
      <c r="F2506" s="309" t="s">
        <v>34</v>
      </c>
      <c r="G2506" s="308"/>
      <c r="H2506" s="308" t="s">
        <v>10333</v>
      </c>
      <c r="I2506" s="310">
        <v>41490.0</v>
      </c>
      <c r="J2506" s="319">
        <f>IFERROR(__xludf.DUMMYFUNCTION("SPLIT(I2506,""/"")"),4.0)</f>
        <v>4</v>
      </c>
      <c r="K2506" s="308">
        <f>IFERROR(__xludf.DUMMYFUNCTION("""COMPUTED_VALUE"""),8.0)</f>
        <v>8</v>
      </c>
      <c r="L2506" s="308">
        <f>IFERROR(__xludf.DUMMYFUNCTION("""COMPUTED_VALUE"""),2013.0)</f>
        <v>2013</v>
      </c>
      <c r="M2506" s="308" t="s">
        <v>10334</v>
      </c>
      <c r="N2506" s="308"/>
      <c r="O2506" s="308" t="s">
        <v>10335</v>
      </c>
      <c r="P2506" s="308" t="s">
        <v>36693</v>
      </c>
      <c r="Q2506" s="308"/>
      <c r="R2506" s="308"/>
      <c r="S2506" s="308" t="s">
        <v>49</v>
      </c>
      <c r="T2506" s="311" t="s">
        <v>51</v>
      </c>
      <c r="U2506" s="308" t="s">
        <v>368</v>
      </c>
      <c r="V2506" s="312"/>
    </row>
    <row r="2507">
      <c r="A2507" s="308">
        <v>2506.0</v>
      </c>
      <c r="B2507" s="308"/>
      <c r="C2507" s="308" t="s">
        <v>10337</v>
      </c>
      <c r="D2507" s="308">
        <f>IFERROR(__xludf.DUMMYFUNCTION("SPLIT(C2507,""-"")"),2527.0)</f>
        <v>2527</v>
      </c>
      <c r="E2507" s="308" t="str">
        <f>IFERROR(__xludf.DUMMYFUNCTION("""COMPUTED_VALUE"""),"S")</f>
        <v>S</v>
      </c>
      <c r="F2507" s="312" t="s">
        <v>39</v>
      </c>
      <c r="G2507" s="308"/>
      <c r="H2507" s="308" t="s">
        <v>10338</v>
      </c>
      <c r="I2507" s="310">
        <v>42025.0</v>
      </c>
      <c r="J2507" s="319">
        <f>IFERROR(__xludf.DUMMYFUNCTION("SPLIT(I2507,""/"")"),21.0)</f>
        <v>21</v>
      </c>
      <c r="K2507" s="308">
        <f>IFERROR(__xludf.DUMMYFUNCTION("""COMPUTED_VALUE"""),1.0)</f>
        <v>1</v>
      </c>
      <c r="L2507" s="308">
        <f>IFERROR(__xludf.DUMMYFUNCTION("""COMPUTED_VALUE"""),2015.0)</f>
        <v>2015</v>
      </c>
      <c r="M2507" s="308" t="s">
        <v>10339</v>
      </c>
      <c r="N2507" s="308"/>
      <c r="O2507" s="308" t="s">
        <v>635</v>
      </c>
      <c r="P2507" s="308" t="s">
        <v>1481</v>
      </c>
      <c r="Q2507" s="308"/>
      <c r="R2507" s="308"/>
      <c r="S2507" s="308" t="s">
        <v>81</v>
      </c>
      <c r="T2507" s="308" t="s">
        <v>35048</v>
      </c>
      <c r="U2507" s="308"/>
      <c r="V2507" s="312"/>
    </row>
    <row r="2508">
      <c r="A2508" s="308">
        <v>2507.0</v>
      </c>
      <c r="B2508" s="308"/>
      <c r="C2508" s="308" t="s">
        <v>10340</v>
      </c>
      <c r="D2508" s="308">
        <f>IFERROR(__xludf.DUMMYFUNCTION("SPLIT(C2508,""-"")"),2528.0)</f>
        <v>2528</v>
      </c>
      <c r="E2508" s="308" t="str">
        <f>IFERROR(__xludf.DUMMYFUNCTION("""COMPUTED_VALUE"""),"K")</f>
        <v>K</v>
      </c>
      <c r="F2508" s="309" t="s">
        <v>34</v>
      </c>
      <c r="G2508" s="308"/>
      <c r="H2508" s="308" t="s">
        <v>10341</v>
      </c>
      <c r="I2508" s="316">
        <v>2012.0</v>
      </c>
      <c r="J2508" s="319"/>
      <c r="K2508" s="308"/>
      <c r="L2508" s="311">
        <v>2012.0</v>
      </c>
      <c r="M2508" s="308" t="s">
        <v>10342</v>
      </c>
      <c r="N2508" s="308"/>
      <c r="O2508" s="308" t="s">
        <v>10343</v>
      </c>
      <c r="P2508" s="308" t="s">
        <v>36694</v>
      </c>
      <c r="Q2508" s="308"/>
      <c r="R2508" s="308"/>
      <c r="S2508" s="308" t="s">
        <v>81</v>
      </c>
      <c r="T2508" s="311" t="s">
        <v>96</v>
      </c>
      <c r="U2508" s="308"/>
      <c r="V2508" s="312"/>
    </row>
    <row r="2509">
      <c r="A2509" s="308">
        <v>2508.0</v>
      </c>
      <c r="B2509" s="308"/>
      <c r="C2509" s="308" t="s">
        <v>10345</v>
      </c>
      <c r="D2509" s="308">
        <f>IFERROR(__xludf.DUMMYFUNCTION("SPLIT(C2509,""-"")"),2529.0)</f>
        <v>2529</v>
      </c>
      <c r="E2509" s="308" t="str">
        <f>IFERROR(__xludf.DUMMYFUNCTION("""COMPUTED_VALUE"""),"S")</f>
        <v>S</v>
      </c>
      <c r="F2509" s="312" t="s">
        <v>39</v>
      </c>
      <c r="G2509" s="308"/>
      <c r="H2509" s="308" t="s">
        <v>36695</v>
      </c>
      <c r="I2509" s="310">
        <v>42059.0</v>
      </c>
      <c r="J2509" s="319">
        <f>IFERROR(__xludf.DUMMYFUNCTION("SPLIT(I2509,""/"")"),24.0)</f>
        <v>24</v>
      </c>
      <c r="K2509" s="308">
        <f>IFERROR(__xludf.DUMMYFUNCTION("""COMPUTED_VALUE"""),2.0)</f>
        <v>2</v>
      </c>
      <c r="L2509" s="308">
        <f>IFERROR(__xludf.DUMMYFUNCTION("""COMPUTED_VALUE"""),2015.0)</f>
        <v>2015</v>
      </c>
      <c r="M2509" s="308" t="s">
        <v>36696</v>
      </c>
      <c r="N2509" s="308"/>
      <c r="O2509" s="308" t="s">
        <v>10348</v>
      </c>
      <c r="P2509" s="308" t="s">
        <v>4736</v>
      </c>
      <c r="Q2509" s="308"/>
      <c r="R2509" s="308"/>
      <c r="S2509" s="308" t="s">
        <v>81</v>
      </c>
      <c r="T2509" s="308" t="s">
        <v>98</v>
      </c>
      <c r="U2509" s="308"/>
      <c r="V2509" s="312"/>
    </row>
    <row r="2510">
      <c r="A2510" s="308">
        <v>2509.0</v>
      </c>
      <c r="B2510" s="308"/>
      <c r="C2510" s="308" t="s">
        <v>10349</v>
      </c>
      <c r="D2510" s="308">
        <f>IFERROR(__xludf.DUMMYFUNCTION("SPLIT(C2510,""-"")"),2530.0)</f>
        <v>2530</v>
      </c>
      <c r="E2510" s="308" t="str">
        <f>IFERROR(__xludf.DUMMYFUNCTION("""COMPUTED_VALUE"""),"K")</f>
        <v>K</v>
      </c>
      <c r="F2510" s="309" t="s">
        <v>34</v>
      </c>
      <c r="G2510" s="308"/>
      <c r="H2510" s="308" t="s">
        <v>10350</v>
      </c>
      <c r="I2510" s="316">
        <v>2009.0</v>
      </c>
      <c r="J2510" s="319"/>
      <c r="K2510" s="308"/>
      <c r="L2510" s="311">
        <v>2009.0</v>
      </c>
      <c r="M2510" s="308" t="s">
        <v>10351</v>
      </c>
      <c r="N2510" s="308"/>
      <c r="O2510" s="308" t="s">
        <v>10352</v>
      </c>
      <c r="P2510" s="308" t="s">
        <v>1872</v>
      </c>
      <c r="Q2510" s="308"/>
      <c r="R2510" s="308"/>
      <c r="S2510" s="315" t="s">
        <v>100</v>
      </c>
      <c r="T2510" s="311" t="s">
        <v>34208</v>
      </c>
      <c r="U2510" s="308" t="s">
        <v>530</v>
      </c>
      <c r="V2510" s="312"/>
    </row>
    <row r="2511">
      <c r="A2511" s="308">
        <v>2510.0</v>
      </c>
      <c r="B2511" s="308"/>
      <c r="C2511" s="308" t="s">
        <v>10353</v>
      </c>
      <c r="D2511" s="308">
        <f>IFERROR(__xludf.DUMMYFUNCTION("SPLIT(C2511,""-"")"),2531.0)</f>
        <v>2531</v>
      </c>
      <c r="E2511" s="308" t="str">
        <f>IFERROR(__xludf.DUMMYFUNCTION("""COMPUTED_VALUE"""),"K")</f>
        <v>K</v>
      </c>
      <c r="F2511" s="309" t="s">
        <v>34</v>
      </c>
      <c r="G2511" s="308"/>
      <c r="H2511" s="308" t="s">
        <v>10354</v>
      </c>
      <c r="I2511" s="316">
        <v>2009.0</v>
      </c>
      <c r="J2511" s="319"/>
      <c r="K2511" s="308"/>
      <c r="L2511" s="311">
        <v>2009.0</v>
      </c>
      <c r="M2511" s="308" t="s">
        <v>10355</v>
      </c>
      <c r="N2511" s="308"/>
      <c r="O2511" s="308" t="s">
        <v>10356</v>
      </c>
      <c r="P2511" s="308" t="s">
        <v>10357</v>
      </c>
      <c r="Q2511" s="308"/>
      <c r="R2511" s="308"/>
      <c r="S2511" s="308" t="s">
        <v>81</v>
      </c>
      <c r="T2511" s="308" t="s">
        <v>34264</v>
      </c>
      <c r="U2511" s="308" t="s">
        <v>530</v>
      </c>
      <c r="V2511" s="312"/>
    </row>
    <row r="2512">
      <c r="A2512" s="308">
        <v>2511.0</v>
      </c>
      <c r="B2512" s="308"/>
      <c r="C2512" s="308" t="s">
        <v>10358</v>
      </c>
      <c r="D2512" s="308">
        <f>IFERROR(__xludf.DUMMYFUNCTION("SPLIT(C2512,""-"")"),2532.0)</f>
        <v>2532</v>
      </c>
      <c r="E2512" s="308" t="str">
        <f>IFERROR(__xludf.DUMMYFUNCTION("""COMPUTED_VALUE"""),"S")</f>
        <v>S</v>
      </c>
      <c r="F2512" s="312" t="s">
        <v>39</v>
      </c>
      <c r="G2512" s="308"/>
      <c r="H2512" s="308" t="s">
        <v>10359</v>
      </c>
      <c r="I2512" s="310">
        <v>42067.0</v>
      </c>
      <c r="J2512" s="319">
        <f>IFERROR(__xludf.DUMMYFUNCTION("SPLIT(I2512,""/"")"),4.0)</f>
        <v>4</v>
      </c>
      <c r="K2512" s="308">
        <f>IFERROR(__xludf.DUMMYFUNCTION("""COMPUTED_VALUE"""),3.0)</f>
        <v>3</v>
      </c>
      <c r="L2512" s="308">
        <f>IFERROR(__xludf.DUMMYFUNCTION("""COMPUTED_VALUE"""),2015.0)</f>
        <v>2015</v>
      </c>
      <c r="M2512" s="308" t="s">
        <v>10360</v>
      </c>
      <c r="N2512" s="308"/>
      <c r="O2512" s="308" t="s">
        <v>635</v>
      </c>
      <c r="P2512" s="308" t="s">
        <v>1481</v>
      </c>
      <c r="Q2512" s="308"/>
      <c r="R2512" s="308"/>
      <c r="S2512" s="308" t="s">
        <v>81</v>
      </c>
      <c r="T2512" s="308" t="s">
        <v>35048</v>
      </c>
      <c r="U2512" s="308"/>
      <c r="V2512" s="312"/>
    </row>
    <row r="2513">
      <c r="A2513" s="308">
        <v>2512.0</v>
      </c>
      <c r="B2513" s="308"/>
      <c r="C2513" s="308" t="s">
        <v>10361</v>
      </c>
      <c r="D2513" s="308">
        <f>IFERROR(__xludf.DUMMYFUNCTION("SPLIT(C2513,""-"")"),2533.0)</f>
        <v>2533</v>
      </c>
      <c r="E2513" s="308" t="str">
        <f>IFERROR(__xludf.DUMMYFUNCTION("""COMPUTED_VALUE"""),"B")</f>
        <v>B</v>
      </c>
      <c r="F2513" s="315" t="s">
        <v>26</v>
      </c>
      <c r="G2513" s="308"/>
      <c r="H2513" s="308" t="s">
        <v>10362</v>
      </c>
      <c r="I2513" s="310">
        <v>42040.0</v>
      </c>
      <c r="J2513" s="319">
        <f>IFERROR(__xludf.DUMMYFUNCTION("SPLIT(I2513,""/"")"),5.0)</f>
        <v>5</v>
      </c>
      <c r="K2513" s="308">
        <f>IFERROR(__xludf.DUMMYFUNCTION("""COMPUTED_VALUE"""),2.0)</f>
        <v>2</v>
      </c>
      <c r="L2513" s="308">
        <f>IFERROR(__xludf.DUMMYFUNCTION("""COMPUTED_VALUE"""),2015.0)</f>
        <v>2015</v>
      </c>
      <c r="M2513" s="308" t="s">
        <v>10363</v>
      </c>
      <c r="N2513" s="308"/>
      <c r="O2513" s="308" t="s">
        <v>10364</v>
      </c>
      <c r="P2513" s="308"/>
      <c r="Q2513" s="308"/>
      <c r="R2513" s="308"/>
      <c r="S2513" s="308" t="s">
        <v>79</v>
      </c>
      <c r="T2513" s="308" t="s">
        <v>79</v>
      </c>
      <c r="U2513" s="308" t="s">
        <v>27</v>
      </c>
      <c r="V2513" s="312"/>
    </row>
    <row r="2514">
      <c r="A2514" s="308">
        <v>2513.0</v>
      </c>
      <c r="B2514" s="308"/>
      <c r="C2514" s="308" t="s">
        <v>10365</v>
      </c>
      <c r="D2514" s="308">
        <f>IFERROR(__xludf.DUMMYFUNCTION("SPLIT(C2514,""-"")"),2534.0)</f>
        <v>2534</v>
      </c>
      <c r="E2514" s="308" t="str">
        <f>IFERROR(__xludf.DUMMYFUNCTION("""COMPUTED_VALUE"""),"S")</f>
        <v>S</v>
      </c>
      <c r="F2514" s="312" t="s">
        <v>39</v>
      </c>
      <c r="G2514" s="308"/>
      <c r="H2514" s="308" t="s">
        <v>10366</v>
      </c>
      <c r="I2514" s="310">
        <v>42067.0</v>
      </c>
      <c r="J2514" s="319">
        <f>IFERROR(__xludf.DUMMYFUNCTION("SPLIT(I2514,""/"")"),4.0)</f>
        <v>4</v>
      </c>
      <c r="K2514" s="308">
        <f>IFERROR(__xludf.DUMMYFUNCTION("""COMPUTED_VALUE"""),3.0)</f>
        <v>3</v>
      </c>
      <c r="L2514" s="308">
        <f>IFERROR(__xludf.DUMMYFUNCTION("""COMPUTED_VALUE"""),2015.0)</f>
        <v>2015</v>
      </c>
      <c r="M2514" s="308" t="s">
        <v>10367</v>
      </c>
      <c r="N2514" s="308"/>
      <c r="O2514" s="308" t="s">
        <v>635</v>
      </c>
      <c r="P2514" s="308" t="s">
        <v>1481</v>
      </c>
      <c r="Q2514" s="308"/>
      <c r="R2514" s="308"/>
      <c r="S2514" s="308" t="s">
        <v>81</v>
      </c>
      <c r="T2514" s="308" t="s">
        <v>35048</v>
      </c>
      <c r="U2514" s="308"/>
      <c r="V2514" s="312"/>
    </row>
    <row r="2515">
      <c r="A2515" s="308">
        <v>2514.0</v>
      </c>
      <c r="B2515" s="308"/>
      <c r="C2515" s="308" t="s">
        <v>10368</v>
      </c>
      <c r="D2515" s="308">
        <f>IFERROR(__xludf.DUMMYFUNCTION("SPLIT(C2515,""-"")"),2535.0)</f>
        <v>2535</v>
      </c>
      <c r="E2515" s="308" t="str">
        <f>IFERROR(__xludf.DUMMYFUNCTION("""COMPUTED_VALUE"""),"S")</f>
        <v>S</v>
      </c>
      <c r="F2515" s="312" t="s">
        <v>39</v>
      </c>
      <c r="G2515" s="308"/>
      <c r="H2515" s="308" t="s">
        <v>10369</v>
      </c>
      <c r="I2515" s="310">
        <v>42065.0</v>
      </c>
      <c r="J2515" s="319">
        <f>IFERROR(__xludf.DUMMYFUNCTION("SPLIT(I2515,""/"")"),2.0)</f>
        <v>2</v>
      </c>
      <c r="K2515" s="308">
        <f>IFERROR(__xludf.DUMMYFUNCTION("""COMPUTED_VALUE"""),3.0)</f>
        <v>3</v>
      </c>
      <c r="L2515" s="308">
        <f>IFERROR(__xludf.DUMMYFUNCTION("""COMPUTED_VALUE"""),2015.0)</f>
        <v>2015</v>
      </c>
      <c r="M2515" s="308" t="s">
        <v>10370</v>
      </c>
      <c r="N2515" s="308"/>
      <c r="O2515" s="308" t="s">
        <v>635</v>
      </c>
      <c r="P2515" s="308" t="s">
        <v>1481</v>
      </c>
      <c r="Q2515" s="308"/>
      <c r="R2515" s="308"/>
      <c r="S2515" s="308" t="s">
        <v>81</v>
      </c>
      <c r="T2515" s="308" t="s">
        <v>35048</v>
      </c>
      <c r="U2515" s="308"/>
      <c r="V2515" s="312"/>
    </row>
    <row r="2516">
      <c r="A2516" s="308">
        <v>2515.0</v>
      </c>
      <c r="B2516" s="308"/>
      <c r="C2516" s="308" t="s">
        <v>10371</v>
      </c>
      <c r="D2516" s="308">
        <f>IFERROR(__xludf.DUMMYFUNCTION("SPLIT(C2516,""-"")"),2536.0)</f>
        <v>2536</v>
      </c>
      <c r="E2516" s="308" t="str">
        <f>IFERROR(__xludf.DUMMYFUNCTION("""COMPUTED_VALUE"""),"S")</f>
        <v>S</v>
      </c>
      <c r="F2516" s="312" t="s">
        <v>39</v>
      </c>
      <c r="G2516" s="308"/>
      <c r="H2516" s="308" t="s">
        <v>36697</v>
      </c>
      <c r="I2516" s="310">
        <v>42064.0</v>
      </c>
      <c r="J2516" s="319">
        <f>IFERROR(__xludf.DUMMYFUNCTION("SPLIT(I2516,""/"")"),1.0)</f>
        <v>1</v>
      </c>
      <c r="K2516" s="308">
        <f>IFERROR(__xludf.DUMMYFUNCTION("""COMPUTED_VALUE"""),3.0)</f>
        <v>3</v>
      </c>
      <c r="L2516" s="308">
        <f>IFERROR(__xludf.DUMMYFUNCTION("""COMPUTED_VALUE"""),2015.0)</f>
        <v>2015</v>
      </c>
      <c r="M2516" s="308"/>
      <c r="N2516" s="308"/>
      <c r="O2516" s="308" t="s">
        <v>635</v>
      </c>
      <c r="P2516" s="308" t="s">
        <v>1481</v>
      </c>
      <c r="Q2516" s="308"/>
      <c r="R2516" s="308"/>
      <c r="S2516" s="308" t="s">
        <v>81</v>
      </c>
      <c r="T2516" s="308" t="s">
        <v>35048</v>
      </c>
      <c r="U2516" s="308" t="s">
        <v>166</v>
      </c>
      <c r="V2516" s="312"/>
    </row>
    <row r="2517">
      <c r="A2517" s="308">
        <v>2516.0</v>
      </c>
      <c r="B2517" s="308"/>
      <c r="C2517" s="308" t="s">
        <v>10373</v>
      </c>
      <c r="D2517" s="308">
        <f>IFERROR(__xludf.DUMMYFUNCTION("SPLIT(C2517,""-"")"),2537.0)</f>
        <v>2537</v>
      </c>
      <c r="E2517" s="308" t="str">
        <f>IFERROR(__xludf.DUMMYFUNCTION("""COMPUTED_VALUE"""),"S")</f>
        <v>S</v>
      </c>
      <c r="F2517" s="312" t="s">
        <v>39</v>
      </c>
      <c r="G2517" s="308"/>
      <c r="H2517" s="308" t="s">
        <v>10374</v>
      </c>
      <c r="I2517" s="310">
        <v>42062.0</v>
      </c>
      <c r="J2517" s="319">
        <f>IFERROR(__xludf.DUMMYFUNCTION("SPLIT(I2517,""/"")"),27.0)</f>
        <v>27</v>
      </c>
      <c r="K2517" s="308">
        <f>IFERROR(__xludf.DUMMYFUNCTION("""COMPUTED_VALUE"""),2.0)</f>
        <v>2</v>
      </c>
      <c r="L2517" s="308">
        <f>IFERROR(__xludf.DUMMYFUNCTION("""COMPUTED_VALUE"""),2015.0)</f>
        <v>2015</v>
      </c>
      <c r="M2517" s="308"/>
      <c r="N2517" s="308"/>
      <c r="O2517" s="308" t="s">
        <v>635</v>
      </c>
      <c r="P2517" s="308" t="s">
        <v>136</v>
      </c>
      <c r="Q2517" s="308"/>
      <c r="R2517" s="308"/>
      <c r="S2517" s="315" t="s">
        <v>100</v>
      </c>
      <c r="T2517" s="308" t="s">
        <v>34208</v>
      </c>
      <c r="U2517" s="308" t="s">
        <v>166</v>
      </c>
      <c r="V2517" s="308" t="s">
        <v>4627</v>
      </c>
    </row>
    <row r="2518">
      <c r="A2518" s="308">
        <v>2517.0</v>
      </c>
      <c r="B2518" s="308"/>
      <c r="C2518" s="308" t="s">
        <v>10375</v>
      </c>
      <c r="D2518" s="308">
        <f>IFERROR(__xludf.DUMMYFUNCTION("SPLIT(C2518,""-"")"),2538.0)</f>
        <v>2538</v>
      </c>
      <c r="E2518" s="308" t="str">
        <f>IFERROR(__xludf.DUMMYFUNCTION("""COMPUTED_VALUE"""),"S")</f>
        <v>S</v>
      </c>
      <c r="F2518" s="312" t="s">
        <v>39</v>
      </c>
      <c r="G2518" s="308"/>
      <c r="H2518" s="308" t="s">
        <v>10376</v>
      </c>
      <c r="I2518" s="310">
        <v>42058.0</v>
      </c>
      <c r="J2518" s="319">
        <f>IFERROR(__xludf.DUMMYFUNCTION("SPLIT(I2518,""/"")"),23.0)</f>
        <v>23</v>
      </c>
      <c r="K2518" s="308">
        <f>IFERROR(__xludf.DUMMYFUNCTION("""COMPUTED_VALUE"""),2.0)</f>
        <v>2</v>
      </c>
      <c r="L2518" s="308">
        <f>IFERROR(__xludf.DUMMYFUNCTION("""COMPUTED_VALUE"""),2015.0)</f>
        <v>2015</v>
      </c>
      <c r="M2518" s="308" t="s">
        <v>10377</v>
      </c>
      <c r="N2518" s="308"/>
      <c r="O2518" s="308" t="s">
        <v>635</v>
      </c>
      <c r="P2518" s="308" t="s">
        <v>1481</v>
      </c>
      <c r="Q2518" s="308"/>
      <c r="R2518" s="308"/>
      <c r="S2518" s="308" t="s">
        <v>81</v>
      </c>
      <c r="T2518" s="308" t="s">
        <v>35048</v>
      </c>
      <c r="U2518" s="308" t="s">
        <v>166</v>
      </c>
      <c r="V2518" s="312"/>
    </row>
    <row r="2519">
      <c r="A2519" s="308">
        <v>2518.0</v>
      </c>
      <c r="B2519" s="308"/>
      <c r="C2519" s="308" t="s">
        <v>10378</v>
      </c>
      <c r="D2519" s="308">
        <f>IFERROR(__xludf.DUMMYFUNCTION("SPLIT(C2519,""-"")"),2539.0)</f>
        <v>2539</v>
      </c>
      <c r="E2519" s="308" t="str">
        <f>IFERROR(__xludf.DUMMYFUNCTION("""COMPUTED_VALUE"""),"S")</f>
        <v>S</v>
      </c>
      <c r="F2519" s="312" t="s">
        <v>39</v>
      </c>
      <c r="G2519" s="308"/>
      <c r="H2519" s="308" t="s">
        <v>10379</v>
      </c>
      <c r="I2519" s="310">
        <v>42057.0</v>
      </c>
      <c r="J2519" s="319">
        <f>IFERROR(__xludf.DUMMYFUNCTION("SPLIT(I2519,""/"")"),22.0)</f>
        <v>22</v>
      </c>
      <c r="K2519" s="308">
        <f>IFERROR(__xludf.DUMMYFUNCTION("""COMPUTED_VALUE"""),2.0)</f>
        <v>2</v>
      </c>
      <c r="L2519" s="308">
        <f>IFERROR(__xludf.DUMMYFUNCTION("""COMPUTED_VALUE"""),2015.0)</f>
        <v>2015</v>
      </c>
      <c r="M2519" s="308" t="s">
        <v>10380</v>
      </c>
      <c r="N2519" s="308"/>
      <c r="O2519" s="308" t="s">
        <v>635</v>
      </c>
      <c r="P2519" s="308" t="s">
        <v>1481</v>
      </c>
      <c r="Q2519" s="308"/>
      <c r="R2519" s="308"/>
      <c r="S2519" s="308" t="s">
        <v>81</v>
      </c>
      <c r="T2519" s="308" t="s">
        <v>35048</v>
      </c>
      <c r="U2519" s="308" t="s">
        <v>166</v>
      </c>
      <c r="V2519" s="312"/>
    </row>
    <row r="2520">
      <c r="A2520" s="308">
        <v>2519.0</v>
      </c>
      <c r="B2520" s="308"/>
      <c r="C2520" s="308" t="s">
        <v>10381</v>
      </c>
      <c r="D2520" s="308">
        <f>IFERROR(__xludf.DUMMYFUNCTION("SPLIT(C2520,""-"")"),2540.0)</f>
        <v>2540</v>
      </c>
      <c r="E2520" s="308" t="str">
        <f>IFERROR(__xludf.DUMMYFUNCTION("""COMPUTED_VALUE"""),"S")</f>
        <v>S</v>
      </c>
      <c r="F2520" s="312" t="s">
        <v>39</v>
      </c>
      <c r="G2520" s="308"/>
      <c r="H2520" s="308" t="s">
        <v>10382</v>
      </c>
      <c r="I2520" s="310">
        <v>42057.0</v>
      </c>
      <c r="J2520" s="319">
        <f>IFERROR(__xludf.DUMMYFUNCTION("SPLIT(I2520,""/"")"),22.0)</f>
        <v>22</v>
      </c>
      <c r="K2520" s="308">
        <f>IFERROR(__xludf.DUMMYFUNCTION("""COMPUTED_VALUE"""),2.0)</f>
        <v>2</v>
      </c>
      <c r="L2520" s="308">
        <f>IFERROR(__xludf.DUMMYFUNCTION("""COMPUTED_VALUE"""),2015.0)</f>
        <v>2015</v>
      </c>
      <c r="M2520" s="308" t="s">
        <v>10383</v>
      </c>
      <c r="N2520" s="308"/>
      <c r="O2520" s="308" t="s">
        <v>635</v>
      </c>
      <c r="P2520" s="308" t="s">
        <v>1481</v>
      </c>
      <c r="Q2520" s="308"/>
      <c r="R2520" s="308"/>
      <c r="S2520" s="308" t="s">
        <v>81</v>
      </c>
      <c r="T2520" s="308" t="s">
        <v>35048</v>
      </c>
      <c r="U2520" s="308" t="s">
        <v>166</v>
      </c>
      <c r="V2520" s="312"/>
    </row>
    <row r="2521">
      <c r="A2521" s="308">
        <v>2520.0</v>
      </c>
      <c r="B2521" s="308"/>
      <c r="C2521" s="308" t="s">
        <v>10384</v>
      </c>
      <c r="D2521" s="308">
        <f>IFERROR(__xludf.DUMMYFUNCTION("SPLIT(C2521,""-"")"),2541.0)</f>
        <v>2541</v>
      </c>
      <c r="E2521" s="308" t="str">
        <f>IFERROR(__xludf.DUMMYFUNCTION("""COMPUTED_VALUE"""),"S")</f>
        <v>S</v>
      </c>
      <c r="F2521" s="312" t="s">
        <v>39</v>
      </c>
      <c r="G2521" s="308"/>
      <c r="H2521" s="308" t="s">
        <v>10385</v>
      </c>
      <c r="I2521" s="310">
        <v>42050.0</v>
      </c>
      <c r="J2521" s="319">
        <f>IFERROR(__xludf.DUMMYFUNCTION("SPLIT(I2521,""/"")"),15.0)</f>
        <v>15</v>
      </c>
      <c r="K2521" s="308">
        <f>IFERROR(__xludf.DUMMYFUNCTION("""COMPUTED_VALUE"""),2.0)</f>
        <v>2</v>
      </c>
      <c r="L2521" s="308">
        <f>IFERROR(__xludf.DUMMYFUNCTION("""COMPUTED_VALUE"""),2015.0)</f>
        <v>2015</v>
      </c>
      <c r="M2521" s="308" t="s">
        <v>10386</v>
      </c>
      <c r="N2521" s="308"/>
      <c r="O2521" s="308" t="s">
        <v>635</v>
      </c>
      <c r="P2521" s="308" t="s">
        <v>1481</v>
      </c>
      <c r="Q2521" s="308"/>
      <c r="R2521" s="308"/>
      <c r="S2521" s="308" t="s">
        <v>81</v>
      </c>
      <c r="T2521" s="308" t="s">
        <v>35048</v>
      </c>
      <c r="U2521" s="308" t="s">
        <v>166</v>
      </c>
      <c r="V2521" s="312"/>
    </row>
    <row r="2522">
      <c r="A2522" s="308">
        <v>2521.0</v>
      </c>
      <c r="B2522" s="308"/>
      <c r="C2522" s="308" t="s">
        <v>10387</v>
      </c>
      <c r="D2522" s="308">
        <f>IFERROR(__xludf.DUMMYFUNCTION("SPLIT(C2522,""-"")"),2542.0)</f>
        <v>2542</v>
      </c>
      <c r="E2522" s="308" t="str">
        <f>IFERROR(__xludf.DUMMYFUNCTION("""COMPUTED_VALUE"""),"S")</f>
        <v>S</v>
      </c>
      <c r="F2522" s="312" t="s">
        <v>39</v>
      </c>
      <c r="G2522" s="308"/>
      <c r="H2522" s="308" t="s">
        <v>10388</v>
      </c>
      <c r="I2522" s="310">
        <v>42039.0</v>
      </c>
      <c r="J2522" s="319">
        <f>IFERROR(__xludf.DUMMYFUNCTION("SPLIT(I2522,""/"")"),4.0)</f>
        <v>4</v>
      </c>
      <c r="K2522" s="308">
        <f>IFERROR(__xludf.DUMMYFUNCTION("""COMPUTED_VALUE"""),2.0)</f>
        <v>2</v>
      </c>
      <c r="L2522" s="308">
        <f>IFERROR(__xludf.DUMMYFUNCTION("""COMPUTED_VALUE"""),2015.0)</f>
        <v>2015</v>
      </c>
      <c r="M2522" s="308" t="s">
        <v>10389</v>
      </c>
      <c r="N2522" s="308"/>
      <c r="O2522" s="308" t="s">
        <v>635</v>
      </c>
      <c r="P2522" s="308" t="s">
        <v>1481</v>
      </c>
      <c r="Q2522" s="308"/>
      <c r="R2522" s="308"/>
      <c r="S2522" s="308" t="s">
        <v>81</v>
      </c>
      <c r="T2522" s="308" t="s">
        <v>35048</v>
      </c>
      <c r="U2522" s="308" t="s">
        <v>166</v>
      </c>
      <c r="V2522" s="312"/>
    </row>
    <row r="2523">
      <c r="A2523" s="308">
        <v>2522.0</v>
      </c>
      <c r="B2523" s="308"/>
      <c r="C2523" s="308" t="s">
        <v>10390</v>
      </c>
      <c r="D2523" s="308">
        <f>IFERROR(__xludf.DUMMYFUNCTION("SPLIT(C2523,""-"")"),2543.0)</f>
        <v>2543</v>
      </c>
      <c r="E2523" s="308" t="str">
        <f>IFERROR(__xludf.DUMMYFUNCTION("""COMPUTED_VALUE"""),"P")</f>
        <v>P</v>
      </c>
      <c r="F2523" s="312" t="s">
        <v>37</v>
      </c>
      <c r="G2523" s="308"/>
      <c r="H2523" s="308" t="s">
        <v>10391</v>
      </c>
      <c r="I2523" s="310">
        <v>42102.0</v>
      </c>
      <c r="J2523" s="319">
        <f>IFERROR(__xludf.DUMMYFUNCTION("SPLIT(I2523,""/"")"),8.0)</f>
        <v>8</v>
      </c>
      <c r="K2523" s="308">
        <f>IFERROR(__xludf.DUMMYFUNCTION("""COMPUTED_VALUE"""),4.0)</f>
        <v>4</v>
      </c>
      <c r="L2523" s="308">
        <f>IFERROR(__xludf.DUMMYFUNCTION("""COMPUTED_VALUE"""),2015.0)</f>
        <v>2015</v>
      </c>
      <c r="M2523" s="308" t="s">
        <v>10392</v>
      </c>
      <c r="N2523" s="308"/>
      <c r="O2523" s="308" t="s">
        <v>7849</v>
      </c>
      <c r="P2523" s="308" t="s">
        <v>10393</v>
      </c>
      <c r="Q2523" s="308"/>
      <c r="R2523" s="308"/>
      <c r="S2523" s="308" t="s">
        <v>81</v>
      </c>
      <c r="T2523" s="311" t="s">
        <v>73</v>
      </c>
      <c r="U2523" s="308"/>
      <c r="V2523" s="312"/>
    </row>
    <row r="2524">
      <c r="A2524" s="308">
        <v>2523.0</v>
      </c>
      <c r="B2524" s="308"/>
      <c r="C2524" s="308" t="s">
        <v>10394</v>
      </c>
      <c r="D2524" s="308">
        <f>IFERROR(__xludf.DUMMYFUNCTION("SPLIT(C2524,""-"")"),2544.0)</f>
        <v>2544</v>
      </c>
      <c r="E2524" s="308" t="str">
        <f>IFERROR(__xludf.DUMMYFUNCTION("""COMPUTED_VALUE"""),"P")</f>
        <v>P</v>
      </c>
      <c r="F2524" s="312" t="s">
        <v>37</v>
      </c>
      <c r="G2524" s="308"/>
      <c r="H2524" s="308" t="s">
        <v>10395</v>
      </c>
      <c r="I2524" s="314">
        <v>42002.0</v>
      </c>
      <c r="J2524" s="319">
        <f>IFERROR(__xludf.DUMMYFUNCTION("SPLIT(I2524,""/"")"),29.0)</f>
        <v>29</v>
      </c>
      <c r="K2524" s="308">
        <f>IFERROR(__xludf.DUMMYFUNCTION("""COMPUTED_VALUE"""),12.0)</f>
        <v>12</v>
      </c>
      <c r="L2524" s="308">
        <f>IFERROR(__xludf.DUMMYFUNCTION("""COMPUTED_VALUE"""),2014.0)</f>
        <v>2014</v>
      </c>
      <c r="M2524" s="308" t="s">
        <v>10396</v>
      </c>
      <c r="N2524" s="308"/>
      <c r="O2524" s="308" t="s">
        <v>10397</v>
      </c>
      <c r="P2524" s="308" t="s">
        <v>10398</v>
      </c>
      <c r="Q2524" s="308"/>
      <c r="R2524" s="308"/>
      <c r="S2524" s="308" t="s">
        <v>81</v>
      </c>
      <c r="T2524" s="308" t="s">
        <v>75</v>
      </c>
      <c r="U2524" s="308"/>
      <c r="V2524" s="312"/>
    </row>
    <row r="2525">
      <c r="A2525" s="308">
        <v>2524.0</v>
      </c>
      <c r="B2525" s="308"/>
      <c r="C2525" s="308" t="s">
        <v>10399</v>
      </c>
      <c r="D2525" s="308">
        <f>IFERROR(__xludf.DUMMYFUNCTION("SPLIT(C2525,""-"")"),2545.0)</f>
        <v>2545</v>
      </c>
      <c r="E2525" s="308" t="str">
        <f>IFERROR(__xludf.DUMMYFUNCTION("""COMPUTED_VALUE"""),"K")</f>
        <v>K</v>
      </c>
      <c r="F2525" s="309" t="s">
        <v>34</v>
      </c>
      <c r="G2525" s="308"/>
      <c r="H2525" s="308" t="s">
        <v>10400</v>
      </c>
      <c r="I2525" s="325">
        <v>40330.0</v>
      </c>
      <c r="J2525" s="319"/>
      <c r="K2525" s="311">
        <v>6.0</v>
      </c>
      <c r="L2525" s="311">
        <v>2010.0</v>
      </c>
      <c r="M2525" s="308" t="s">
        <v>10401</v>
      </c>
      <c r="N2525" s="308"/>
      <c r="O2525" s="308" t="s">
        <v>10402</v>
      </c>
      <c r="P2525" s="308" t="s">
        <v>10403</v>
      </c>
      <c r="Q2525" s="308"/>
      <c r="R2525" s="308"/>
      <c r="S2525" s="308" t="s">
        <v>81</v>
      </c>
      <c r="T2525" s="308" t="s">
        <v>34264</v>
      </c>
      <c r="U2525" s="308"/>
      <c r="V2525" s="312"/>
    </row>
    <row r="2526">
      <c r="A2526" s="308">
        <v>2525.0</v>
      </c>
      <c r="B2526" s="308"/>
      <c r="C2526" s="308" t="s">
        <v>10404</v>
      </c>
      <c r="D2526" s="308">
        <f>IFERROR(__xludf.DUMMYFUNCTION("SPLIT(C2526,""-"")"),2546.0)</f>
        <v>2546</v>
      </c>
      <c r="E2526" s="308" t="str">
        <f>IFERROR(__xludf.DUMMYFUNCTION("""COMPUTED_VALUE"""),"K")</f>
        <v>K</v>
      </c>
      <c r="F2526" s="309" t="s">
        <v>34</v>
      </c>
      <c r="G2526" s="308"/>
      <c r="H2526" s="308" t="s">
        <v>10405</v>
      </c>
      <c r="I2526" s="314">
        <v>41228.0</v>
      </c>
      <c r="J2526" s="319">
        <f>IFERROR(__xludf.DUMMYFUNCTION("SPLIT(I2526,""/"")"),15.0)</f>
        <v>15</v>
      </c>
      <c r="K2526" s="308">
        <f>IFERROR(__xludf.DUMMYFUNCTION("""COMPUTED_VALUE"""),11.0)</f>
        <v>11</v>
      </c>
      <c r="L2526" s="308">
        <f>IFERROR(__xludf.DUMMYFUNCTION("""COMPUTED_VALUE"""),2012.0)</f>
        <v>2012</v>
      </c>
      <c r="M2526" s="308" t="s">
        <v>10406</v>
      </c>
      <c r="N2526" s="308"/>
      <c r="O2526" s="308" t="s">
        <v>10407</v>
      </c>
      <c r="P2526" s="308" t="s">
        <v>10408</v>
      </c>
      <c r="Q2526" s="308"/>
      <c r="R2526" s="308"/>
      <c r="S2526" s="308" t="s">
        <v>81</v>
      </c>
      <c r="T2526" s="308" t="s">
        <v>73</v>
      </c>
      <c r="U2526" s="308"/>
      <c r="V2526" s="312"/>
    </row>
    <row r="2527">
      <c r="A2527" s="308">
        <v>2526.0</v>
      </c>
      <c r="B2527" s="308"/>
      <c r="C2527" s="308" t="s">
        <v>10409</v>
      </c>
      <c r="D2527" s="308">
        <f>IFERROR(__xludf.DUMMYFUNCTION("SPLIT(C2527,""-"")"),2547.0)</f>
        <v>2547</v>
      </c>
      <c r="E2527" s="308" t="str">
        <f>IFERROR(__xludf.DUMMYFUNCTION("""COMPUTED_VALUE"""),"S")</f>
        <v>S</v>
      </c>
      <c r="F2527" s="312" t="s">
        <v>39</v>
      </c>
      <c r="G2527" s="308" t="s">
        <v>10410</v>
      </c>
      <c r="H2527" s="308" t="s">
        <v>10411</v>
      </c>
      <c r="I2527" s="310">
        <v>41818.0</v>
      </c>
      <c r="J2527" s="319">
        <f>IFERROR(__xludf.DUMMYFUNCTION("SPLIT(I2527,""/"")"),28.0)</f>
        <v>28</v>
      </c>
      <c r="K2527" s="308">
        <f>IFERROR(__xludf.DUMMYFUNCTION("""COMPUTED_VALUE"""),6.0)</f>
        <v>6</v>
      </c>
      <c r="L2527" s="308">
        <f>IFERROR(__xludf.DUMMYFUNCTION("""COMPUTED_VALUE"""),2014.0)</f>
        <v>2014</v>
      </c>
      <c r="M2527" s="308" t="s">
        <v>36698</v>
      </c>
      <c r="N2527" s="308"/>
      <c r="O2527" s="308" t="s">
        <v>635</v>
      </c>
      <c r="P2527" s="308" t="s">
        <v>10413</v>
      </c>
      <c r="Q2527" s="308"/>
      <c r="R2527" s="308"/>
      <c r="S2527" s="308" t="s">
        <v>81</v>
      </c>
      <c r="T2527" s="308" t="s">
        <v>75</v>
      </c>
      <c r="U2527" s="308" t="s">
        <v>166</v>
      </c>
      <c r="V2527" s="312"/>
    </row>
    <row r="2528">
      <c r="A2528" s="308">
        <v>2527.0</v>
      </c>
      <c r="B2528" s="308"/>
      <c r="C2528" s="308" t="s">
        <v>10414</v>
      </c>
      <c r="D2528" s="308">
        <f>IFERROR(__xludf.DUMMYFUNCTION("SPLIT(C2528,""-"")"),2548.0)</f>
        <v>2548</v>
      </c>
      <c r="E2528" s="308" t="str">
        <f>IFERROR(__xludf.DUMMYFUNCTION("""COMPUTED_VALUE"""),"P")</f>
        <v>P</v>
      </c>
      <c r="F2528" s="312" t="s">
        <v>37</v>
      </c>
      <c r="G2528" s="308" t="s">
        <v>10415</v>
      </c>
      <c r="H2528" s="308" t="s">
        <v>10416</v>
      </c>
      <c r="I2528" s="310">
        <v>41512.0</v>
      </c>
      <c r="J2528" s="319">
        <f>IFERROR(__xludf.DUMMYFUNCTION("SPLIT(I2528,""/"")"),26.0)</f>
        <v>26</v>
      </c>
      <c r="K2528" s="308">
        <f>IFERROR(__xludf.DUMMYFUNCTION("""COMPUTED_VALUE"""),8.0)</f>
        <v>8</v>
      </c>
      <c r="L2528" s="308">
        <f>IFERROR(__xludf.DUMMYFUNCTION("""COMPUTED_VALUE"""),2013.0)</f>
        <v>2013</v>
      </c>
      <c r="M2528" s="308" t="s">
        <v>10417</v>
      </c>
      <c r="N2528" s="308"/>
      <c r="O2528" s="308" t="s">
        <v>635</v>
      </c>
      <c r="P2528" s="308" t="s">
        <v>10418</v>
      </c>
      <c r="Q2528" s="308"/>
      <c r="R2528" s="308"/>
      <c r="S2528" s="308" t="s">
        <v>81</v>
      </c>
      <c r="T2528" s="311" t="s">
        <v>96</v>
      </c>
      <c r="U2528" s="308"/>
      <c r="V2528" s="312"/>
    </row>
    <row r="2529">
      <c r="A2529" s="308">
        <v>2528.0</v>
      </c>
      <c r="B2529" s="308"/>
      <c r="C2529" s="308" t="s">
        <v>10419</v>
      </c>
      <c r="D2529" s="308">
        <f>IFERROR(__xludf.DUMMYFUNCTION("SPLIT(C2529,""-"")"),2549.0)</f>
        <v>2549</v>
      </c>
      <c r="E2529" s="308" t="str">
        <f>IFERROR(__xludf.DUMMYFUNCTION("""COMPUTED_VALUE"""),"P")</f>
        <v>P</v>
      </c>
      <c r="F2529" s="312" t="s">
        <v>37</v>
      </c>
      <c r="G2529" s="308" t="s">
        <v>10420</v>
      </c>
      <c r="H2529" s="308" t="s">
        <v>10421</v>
      </c>
      <c r="I2529" s="310">
        <v>39148.0</v>
      </c>
      <c r="J2529" s="319">
        <f>IFERROR(__xludf.DUMMYFUNCTION("SPLIT(I2529,""/"")"),7.0)</f>
        <v>7</v>
      </c>
      <c r="K2529" s="308">
        <f>IFERROR(__xludf.DUMMYFUNCTION("""COMPUTED_VALUE"""),3.0)</f>
        <v>3</v>
      </c>
      <c r="L2529" s="308">
        <f>IFERROR(__xludf.DUMMYFUNCTION("""COMPUTED_VALUE"""),2007.0)</f>
        <v>2007</v>
      </c>
      <c r="M2529" s="308" t="s">
        <v>10422</v>
      </c>
      <c r="N2529" s="308"/>
      <c r="O2529" s="308" t="s">
        <v>10423</v>
      </c>
      <c r="P2529" s="308" t="s">
        <v>4430</v>
      </c>
      <c r="Q2529" s="308"/>
      <c r="R2529" s="308"/>
      <c r="S2529" s="308" t="s">
        <v>49</v>
      </c>
      <c r="T2529" s="308" t="s">
        <v>51</v>
      </c>
      <c r="U2529" s="308" t="s">
        <v>143</v>
      </c>
      <c r="V2529" s="312"/>
    </row>
    <row r="2530">
      <c r="A2530" s="308">
        <v>2529.0</v>
      </c>
      <c r="B2530" s="308"/>
      <c r="C2530" s="308" t="s">
        <v>10424</v>
      </c>
      <c r="D2530" s="308">
        <f>IFERROR(__xludf.DUMMYFUNCTION("SPLIT(C2530,""-"")"),2550.0)</f>
        <v>2550</v>
      </c>
      <c r="E2530" s="308" t="str">
        <f>IFERROR(__xludf.DUMMYFUNCTION("""COMPUTED_VALUE"""),"S")</f>
        <v>S</v>
      </c>
      <c r="F2530" s="312" t="s">
        <v>39</v>
      </c>
      <c r="G2530" s="308" t="s">
        <v>10425</v>
      </c>
      <c r="H2530" s="308" t="s">
        <v>10426</v>
      </c>
      <c r="I2530" s="314">
        <v>41956.0</v>
      </c>
      <c r="J2530" s="319">
        <f>IFERROR(__xludf.DUMMYFUNCTION("SPLIT(I2530,""/"")"),13.0)</f>
        <v>13</v>
      </c>
      <c r="K2530" s="308">
        <f>IFERROR(__xludf.DUMMYFUNCTION("""COMPUTED_VALUE"""),11.0)</f>
        <v>11</v>
      </c>
      <c r="L2530" s="308">
        <f>IFERROR(__xludf.DUMMYFUNCTION("""COMPUTED_VALUE"""),2014.0)</f>
        <v>2014</v>
      </c>
      <c r="M2530" s="308" t="s">
        <v>10427</v>
      </c>
      <c r="N2530" s="308"/>
      <c r="O2530" s="308" t="s">
        <v>10428</v>
      </c>
      <c r="P2530" s="308" t="s">
        <v>9535</v>
      </c>
      <c r="Q2530" s="308"/>
      <c r="R2530" s="308"/>
      <c r="S2530" s="308" t="s">
        <v>81</v>
      </c>
      <c r="T2530" s="308" t="s">
        <v>75</v>
      </c>
      <c r="U2530" s="308" t="s">
        <v>166</v>
      </c>
      <c r="V2530" s="312"/>
    </row>
    <row r="2531">
      <c r="A2531" s="308">
        <v>2530.0</v>
      </c>
      <c r="B2531" s="308"/>
      <c r="C2531" s="308" t="s">
        <v>10429</v>
      </c>
      <c r="D2531" s="308">
        <f>IFERROR(__xludf.DUMMYFUNCTION("SPLIT(C2531,""-"")"),2551.0)</f>
        <v>2551</v>
      </c>
      <c r="E2531" s="308" t="str">
        <f>IFERROR(__xludf.DUMMYFUNCTION("""COMPUTED_VALUE"""),"P")</f>
        <v>P</v>
      </c>
      <c r="F2531" s="312" t="s">
        <v>37</v>
      </c>
      <c r="G2531" s="308"/>
      <c r="H2531" s="308" t="s">
        <v>10430</v>
      </c>
      <c r="I2531" s="314">
        <v>41233.0</v>
      </c>
      <c r="J2531" s="319">
        <f>IFERROR(__xludf.DUMMYFUNCTION("SPLIT(I2531,""/"")"),20.0)</f>
        <v>20</v>
      </c>
      <c r="K2531" s="308">
        <f>IFERROR(__xludf.DUMMYFUNCTION("""COMPUTED_VALUE"""),11.0)</f>
        <v>11</v>
      </c>
      <c r="L2531" s="308">
        <f>IFERROR(__xludf.DUMMYFUNCTION("""COMPUTED_VALUE"""),2012.0)</f>
        <v>2012</v>
      </c>
      <c r="M2531" s="308" t="s">
        <v>10431</v>
      </c>
      <c r="N2531" s="308" t="s">
        <v>10432</v>
      </c>
      <c r="O2531" s="308" t="s">
        <v>10433</v>
      </c>
      <c r="P2531" s="308" t="s">
        <v>4430</v>
      </c>
      <c r="Q2531" s="308"/>
      <c r="R2531" s="308"/>
      <c r="S2531" s="308" t="s">
        <v>49</v>
      </c>
      <c r="T2531" s="308" t="s">
        <v>51</v>
      </c>
      <c r="U2531" s="308" t="s">
        <v>5707</v>
      </c>
      <c r="V2531" s="308"/>
    </row>
    <row r="2532">
      <c r="A2532" s="308">
        <v>2531.0</v>
      </c>
      <c r="B2532" s="308"/>
      <c r="C2532" s="308" t="s">
        <v>10434</v>
      </c>
      <c r="D2532" s="308">
        <f>IFERROR(__xludf.DUMMYFUNCTION("SPLIT(C2532,""-"")"),2552.0)</f>
        <v>2552</v>
      </c>
      <c r="E2532" s="308" t="str">
        <f>IFERROR(__xludf.DUMMYFUNCTION("""COMPUTED_VALUE"""),"S")</f>
        <v>S</v>
      </c>
      <c r="F2532" s="312" t="s">
        <v>39</v>
      </c>
      <c r="G2532" s="308"/>
      <c r="H2532" s="308" t="s">
        <v>10435</v>
      </c>
      <c r="I2532" s="310">
        <v>41906.0</v>
      </c>
      <c r="J2532" s="319">
        <f>IFERROR(__xludf.DUMMYFUNCTION("SPLIT(I2532,""/"")"),24.0)</f>
        <v>24</v>
      </c>
      <c r="K2532" s="308">
        <f>IFERROR(__xludf.DUMMYFUNCTION("""COMPUTED_VALUE"""),9.0)</f>
        <v>9</v>
      </c>
      <c r="L2532" s="308">
        <f>IFERROR(__xludf.DUMMYFUNCTION("""COMPUTED_VALUE"""),2014.0)</f>
        <v>2014</v>
      </c>
      <c r="M2532" s="308" t="s">
        <v>10436</v>
      </c>
      <c r="N2532" s="308"/>
      <c r="O2532" s="308" t="s">
        <v>635</v>
      </c>
      <c r="P2532" s="308" t="s">
        <v>1481</v>
      </c>
      <c r="Q2532" s="308"/>
      <c r="R2532" s="308"/>
      <c r="S2532" s="308" t="s">
        <v>81</v>
      </c>
      <c r="T2532" s="308" t="s">
        <v>35048</v>
      </c>
      <c r="U2532" s="308" t="s">
        <v>166</v>
      </c>
      <c r="V2532" s="312"/>
    </row>
    <row r="2533">
      <c r="A2533" s="308">
        <v>2532.0</v>
      </c>
      <c r="B2533" s="308"/>
      <c r="C2533" s="308" t="s">
        <v>10437</v>
      </c>
      <c r="D2533" s="308">
        <f>IFERROR(__xludf.DUMMYFUNCTION("SPLIT(C2533,""-"")"),2553.0)</f>
        <v>2553</v>
      </c>
      <c r="E2533" s="308" t="str">
        <f>IFERROR(__xludf.DUMMYFUNCTION("""COMPUTED_VALUE"""),"S")</f>
        <v>S</v>
      </c>
      <c r="F2533" s="312" t="s">
        <v>39</v>
      </c>
      <c r="G2533" s="308"/>
      <c r="H2533" s="308" t="s">
        <v>10438</v>
      </c>
      <c r="I2533" s="310">
        <v>41906.0</v>
      </c>
      <c r="J2533" s="319">
        <f>IFERROR(__xludf.DUMMYFUNCTION("SPLIT(I2533,""/"")"),24.0)</f>
        <v>24</v>
      </c>
      <c r="K2533" s="308">
        <f>IFERROR(__xludf.DUMMYFUNCTION("""COMPUTED_VALUE"""),9.0)</f>
        <v>9</v>
      </c>
      <c r="L2533" s="308">
        <f>IFERROR(__xludf.DUMMYFUNCTION("""COMPUTED_VALUE"""),2014.0)</f>
        <v>2014</v>
      </c>
      <c r="M2533" s="308" t="s">
        <v>10439</v>
      </c>
      <c r="N2533" s="308"/>
      <c r="O2533" s="308" t="s">
        <v>635</v>
      </c>
      <c r="P2533" s="308" t="s">
        <v>1481</v>
      </c>
      <c r="Q2533" s="308"/>
      <c r="R2533" s="308"/>
      <c r="S2533" s="308" t="s">
        <v>81</v>
      </c>
      <c r="T2533" s="308" t="s">
        <v>35048</v>
      </c>
      <c r="U2533" s="308" t="s">
        <v>166</v>
      </c>
      <c r="V2533" s="312"/>
    </row>
    <row r="2534">
      <c r="A2534" s="308">
        <v>2533.0</v>
      </c>
      <c r="B2534" s="308"/>
      <c r="C2534" s="308" t="s">
        <v>10440</v>
      </c>
      <c r="D2534" s="308">
        <f>IFERROR(__xludf.DUMMYFUNCTION("SPLIT(C2534,""-"")"),2554.0)</f>
        <v>2554</v>
      </c>
      <c r="E2534" s="308" t="str">
        <f>IFERROR(__xludf.DUMMYFUNCTION("""COMPUTED_VALUE"""),"S")</f>
        <v>S</v>
      </c>
      <c r="F2534" s="312" t="s">
        <v>39</v>
      </c>
      <c r="G2534" s="308"/>
      <c r="H2534" s="308" t="s">
        <v>36699</v>
      </c>
      <c r="I2534" s="310">
        <v>41906.0</v>
      </c>
      <c r="J2534" s="319">
        <f>IFERROR(__xludf.DUMMYFUNCTION("SPLIT(I2534,""/"")"),24.0)</f>
        <v>24</v>
      </c>
      <c r="K2534" s="308">
        <f>IFERROR(__xludf.DUMMYFUNCTION("""COMPUTED_VALUE"""),9.0)</f>
        <v>9</v>
      </c>
      <c r="L2534" s="308">
        <f>IFERROR(__xludf.DUMMYFUNCTION("""COMPUTED_VALUE"""),2014.0)</f>
        <v>2014</v>
      </c>
      <c r="M2534" s="308" t="s">
        <v>10442</v>
      </c>
      <c r="N2534" s="308"/>
      <c r="O2534" s="308" t="s">
        <v>635</v>
      </c>
      <c r="P2534" s="308" t="s">
        <v>1481</v>
      </c>
      <c r="Q2534" s="308"/>
      <c r="R2534" s="308"/>
      <c r="S2534" s="308" t="s">
        <v>81</v>
      </c>
      <c r="T2534" s="308" t="s">
        <v>35048</v>
      </c>
      <c r="U2534" s="308" t="s">
        <v>166</v>
      </c>
      <c r="V2534" s="312"/>
    </row>
    <row r="2535">
      <c r="A2535" s="308">
        <v>2534.0</v>
      </c>
      <c r="B2535" s="308"/>
      <c r="C2535" s="308" t="s">
        <v>10443</v>
      </c>
      <c r="D2535" s="308">
        <f>IFERROR(__xludf.DUMMYFUNCTION("SPLIT(C2535,""-"")"),2555.0)</f>
        <v>2555</v>
      </c>
      <c r="E2535" s="308" t="str">
        <f>IFERROR(__xludf.DUMMYFUNCTION("""COMPUTED_VALUE"""),"S")</f>
        <v>S</v>
      </c>
      <c r="F2535" s="312" t="s">
        <v>39</v>
      </c>
      <c r="G2535" s="308"/>
      <c r="H2535" s="308" t="s">
        <v>10444</v>
      </c>
      <c r="I2535" s="310">
        <v>41906.0</v>
      </c>
      <c r="J2535" s="319">
        <f>IFERROR(__xludf.DUMMYFUNCTION("SPLIT(I2535,""/"")"),24.0)</f>
        <v>24</v>
      </c>
      <c r="K2535" s="308">
        <f>IFERROR(__xludf.DUMMYFUNCTION("""COMPUTED_VALUE"""),9.0)</f>
        <v>9</v>
      </c>
      <c r="L2535" s="308">
        <f>IFERROR(__xludf.DUMMYFUNCTION("""COMPUTED_VALUE"""),2014.0)</f>
        <v>2014</v>
      </c>
      <c r="M2535" s="308"/>
      <c r="N2535" s="308"/>
      <c r="O2535" s="308" t="s">
        <v>635</v>
      </c>
      <c r="P2535" s="308" t="s">
        <v>1481</v>
      </c>
      <c r="Q2535" s="308"/>
      <c r="R2535" s="308"/>
      <c r="S2535" s="308" t="s">
        <v>81</v>
      </c>
      <c r="T2535" s="308" t="s">
        <v>35048</v>
      </c>
      <c r="U2535" s="308" t="s">
        <v>166</v>
      </c>
      <c r="V2535" s="312"/>
    </row>
    <row r="2536">
      <c r="A2536" s="308">
        <v>2535.0</v>
      </c>
      <c r="B2536" s="308"/>
      <c r="C2536" s="308" t="s">
        <v>10445</v>
      </c>
      <c r="D2536" s="308">
        <f>IFERROR(__xludf.DUMMYFUNCTION("SPLIT(C2536,""-"")"),2556.0)</f>
        <v>2556</v>
      </c>
      <c r="E2536" s="308" t="str">
        <f>IFERROR(__xludf.DUMMYFUNCTION("""COMPUTED_VALUE"""),"S")</f>
        <v>S</v>
      </c>
      <c r="F2536" s="312" t="s">
        <v>39</v>
      </c>
      <c r="G2536" s="308"/>
      <c r="H2536" s="308" t="s">
        <v>10446</v>
      </c>
      <c r="I2536" s="322"/>
      <c r="J2536" s="319"/>
      <c r="K2536" s="308"/>
      <c r="L2536" s="311" t="s">
        <v>79</v>
      </c>
      <c r="M2536" s="308" t="s">
        <v>10447</v>
      </c>
      <c r="N2536" s="308"/>
      <c r="O2536" s="308" t="s">
        <v>635</v>
      </c>
      <c r="P2536" s="308" t="s">
        <v>1481</v>
      </c>
      <c r="Q2536" s="308"/>
      <c r="R2536" s="308"/>
      <c r="S2536" s="308" t="s">
        <v>81</v>
      </c>
      <c r="T2536" s="308" t="s">
        <v>35048</v>
      </c>
      <c r="U2536" s="308" t="s">
        <v>166</v>
      </c>
      <c r="V2536" s="312"/>
    </row>
    <row r="2537">
      <c r="A2537" s="308">
        <v>2536.0</v>
      </c>
      <c r="B2537" s="308"/>
      <c r="C2537" s="308" t="s">
        <v>10448</v>
      </c>
      <c r="D2537" s="308">
        <f>IFERROR(__xludf.DUMMYFUNCTION("SPLIT(C2537,""-"")"),2557.0)</f>
        <v>2557</v>
      </c>
      <c r="E2537" s="308" t="str">
        <f>IFERROR(__xludf.DUMMYFUNCTION("""COMPUTED_VALUE"""),"S")</f>
        <v>S</v>
      </c>
      <c r="F2537" s="312" t="s">
        <v>39</v>
      </c>
      <c r="G2537" s="308"/>
      <c r="H2537" s="308" t="s">
        <v>10449</v>
      </c>
      <c r="I2537" s="322"/>
      <c r="J2537" s="319"/>
      <c r="K2537" s="308"/>
      <c r="L2537" s="311" t="s">
        <v>79</v>
      </c>
      <c r="M2537" s="308" t="s">
        <v>10450</v>
      </c>
      <c r="N2537" s="308"/>
      <c r="O2537" s="308" t="s">
        <v>635</v>
      </c>
      <c r="P2537" s="308" t="s">
        <v>9438</v>
      </c>
      <c r="Q2537" s="308"/>
      <c r="R2537" s="308"/>
      <c r="S2537" s="308" t="s">
        <v>81</v>
      </c>
      <c r="T2537" s="311" t="s">
        <v>73</v>
      </c>
      <c r="U2537" s="308" t="s">
        <v>166</v>
      </c>
      <c r="V2537" s="312"/>
    </row>
    <row r="2538">
      <c r="A2538" s="308">
        <v>2537.0</v>
      </c>
      <c r="B2538" s="308"/>
      <c r="C2538" s="308" t="s">
        <v>10451</v>
      </c>
      <c r="D2538" s="308">
        <f>IFERROR(__xludf.DUMMYFUNCTION("SPLIT(C2538,""-"")"),2558.0)</f>
        <v>2558</v>
      </c>
      <c r="E2538" s="308" t="str">
        <f>IFERROR(__xludf.DUMMYFUNCTION("""COMPUTED_VALUE"""),"S")</f>
        <v>S</v>
      </c>
      <c r="F2538" s="312" t="s">
        <v>39</v>
      </c>
      <c r="G2538" s="308"/>
      <c r="H2538" s="308" t="s">
        <v>10452</v>
      </c>
      <c r="I2538" s="322"/>
      <c r="J2538" s="319"/>
      <c r="K2538" s="308"/>
      <c r="L2538" s="311" t="s">
        <v>79</v>
      </c>
      <c r="M2538" s="308" t="s">
        <v>10453</v>
      </c>
      <c r="N2538" s="308"/>
      <c r="O2538" s="308" t="s">
        <v>635</v>
      </c>
      <c r="P2538" s="308" t="s">
        <v>1481</v>
      </c>
      <c r="Q2538" s="308"/>
      <c r="R2538" s="308"/>
      <c r="S2538" s="308" t="s">
        <v>81</v>
      </c>
      <c r="T2538" s="308" t="s">
        <v>35048</v>
      </c>
      <c r="U2538" s="308" t="s">
        <v>166</v>
      </c>
      <c r="V2538" s="312"/>
    </row>
    <row r="2539">
      <c r="A2539" s="308">
        <v>2538.0</v>
      </c>
      <c r="B2539" s="308"/>
      <c r="C2539" s="308" t="s">
        <v>10454</v>
      </c>
      <c r="D2539" s="308">
        <f>IFERROR(__xludf.DUMMYFUNCTION("SPLIT(C2539,""-"")"),2559.0)</f>
        <v>2559</v>
      </c>
      <c r="E2539" s="308" t="str">
        <f>IFERROR(__xludf.DUMMYFUNCTION("""COMPUTED_VALUE"""),"S")</f>
        <v>S</v>
      </c>
      <c r="F2539" s="312" t="s">
        <v>39</v>
      </c>
      <c r="G2539" s="308"/>
      <c r="H2539" s="308" t="s">
        <v>10455</v>
      </c>
      <c r="I2539" s="322"/>
      <c r="J2539" s="319"/>
      <c r="K2539" s="308"/>
      <c r="L2539" s="311" t="s">
        <v>79</v>
      </c>
      <c r="M2539" s="308" t="s">
        <v>10456</v>
      </c>
      <c r="N2539" s="308"/>
      <c r="O2539" s="308" t="s">
        <v>635</v>
      </c>
      <c r="P2539" s="308" t="s">
        <v>1481</v>
      </c>
      <c r="Q2539" s="308"/>
      <c r="R2539" s="308"/>
      <c r="S2539" s="308" t="s">
        <v>81</v>
      </c>
      <c r="T2539" s="308" t="s">
        <v>35048</v>
      </c>
      <c r="U2539" s="308" t="s">
        <v>166</v>
      </c>
      <c r="V2539" s="312"/>
    </row>
    <row r="2540">
      <c r="A2540" s="308">
        <v>2539.0</v>
      </c>
      <c r="B2540" s="308"/>
      <c r="C2540" s="308" t="s">
        <v>10457</v>
      </c>
      <c r="D2540" s="308">
        <f>IFERROR(__xludf.DUMMYFUNCTION("SPLIT(C2540,""-"")"),2560.0)</f>
        <v>2560</v>
      </c>
      <c r="E2540" s="308" t="str">
        <f>IFERROR(__xludf.DUMMYFUNCTION("""COMPUTED_VALUE"""),"S")</f>
        <v>S</v>
      </c>
      <c r="F2540" s="312" t="s">
        <v>39</v>
      </c>
      <c r="G2540" s="308"/>
      <c r="H2540" s="308" t="s">
        <v>10458</v>
      </c>
      <c r="I2540" s="322"/>
      <c r="J2540" s="319"/>
      <c r="K2540" s="308"/>
      <c r="L2540" s="311" t="s">
        <v>79</v>
      </c>
      <c r="M2540" s="308" t="s">
        <v>10459</v>
      </c>
      <c r="N2540" s="308"/>
      <c r="O2540" s="308" t="s">
        <v>635</v>
      </c>
      <c r="P2540" s="308" t="s">
        <v>1481</v>
      </c>
      <c r="Q2540" s="308"/>
      <c r="R2540" s="308"/>
      <c r="S2540" s="308" t="s">
        <v>81</v>
      </c>
      <c r="T2540" s="308" t="s">
        <v>35048</v>
      </c>
      <c r="U2540" s="308" t="s">
        <v>166</v>
      </c>
      <c r="V2540" s="312"/>
    </row>
    <row r="2541">
      <c r="A2541" s="308">
        <v>2540.0</v>
      </c>
      <c r="B2541" s="308"/>
      <c r="C2541" s="308" t="s">
        <v>10460</v>
      </c>
      <c r="D2541" s="308">
        <f>IFERROR(__xludf.DUMMYFUNCTION("SPLIT(C2541,""-"")"),2561.0)</f>
        <v>2561</v>
      </c>
      <c r="E2541" s="308" t="str">
        <f>IFERROR(__xludf.DUMMYFUNCTION("""COMPUTED_VALUE"""),"S")</f>
        <v>S</v>
      </c>
      <c r="F2541" s="312" t="s">
        <v>39</v>
      </c>
      <c r="G2541" s="308"/>
      <c r="H2541" s="308" t="s">
        <v>10461</v>
      </c>
      <c r="I2541" s="322"/>
      <c r="J2541" s="319"/>
      <c r="K2541" s="308"/>
      <c r="L2541" s="311" t="s">
        <v>79</v>
      </c>
      <c r="M2541" s="308"/>
      <c r="N2541" s="308"/>
      <c r="O2541" s="308" t="s">
        <v>635</v>
      </c>
      <c r="P2541" s="308" t="s">
        <v>9438</v>
      </c>
      <c r="Q2541" s="308"/>
      <c r="R2541" s="308"/>
      <c r="S2541" s="308" t="s">
        <v>81</v>
      </c>
      <c r="T2541" s="311" t="s">
        <v>73</v>
      </c>
      <c r="U2541" s="308" t="s">
        <v>166</v>
      </c>
      <c r="V2541" s="312"/>
    </row>
    <row r="2542">
      <c r="A2542" s="308">
        <v>2541.0</v>
      </c>
      <c r="B2542" s="308"/>
      <c r="C2542" s="308" t="s">
        <v>10462</v>
      </c>
      <c r="D2542" s="308">
        <f>IFERROR(__xludf.DUMMYFUNCTION("SPLIT(C2542,""-"")"),2562.0)</f>
        <v>2562</v>
      </c>
      <c r="E2542" s="308" t="str">
        <f>IFERROR(__xludf.DUMMYFUNCTION("""COMPUTED_VALUE"""),"S")</f>
        <v>S</v>
      </c>
      <c r="F2542" s="312" t="s">
        <v>39</v>
      </c>
      <c r="G2542" s="308"/>
      <c r="H2542" s="308" t="s">
        <v>36700</v>
      </c>
      <c r="I2542" s="314">
        <v>41960.0</v>
      </c>
      <c r="J2542" s="319">
        <f>IFERROR(__xludf.DUMMYFUNCTION("SPLIT(I2542,""/"")"),17.0)</f>
        <v>17</v>
      </c>
      <c r="K2542" s="308">
        <f>IFERROR(__xludf.DUMMYFUNCTION("""COMPUTED_VALUE"""),11.0)</f>
        <v>11</v>
      </c>
      <c r="L2542" s="308">
        <f>IFERROR(__xludf.DUMMYFUNCTION("""COMPUTED_VALUE"""),2014.0)</f>
        <v>2014</v>
      </c>
      <c r="M2542" s="308" t="s">
        <v>10464</v>
      </c>
      <c r="N2542" s="308"/>
      <c r="O2542" s="308" t="s">
        <v>635</v>
      </c>
      <c r="P2542" s="308" t="s">
        <v>1481</v>
      </c>
      <c r="Q2542" s="308"/>
      <c r="R2542" s="308"/>
      <c r="S2542" s="308" t="s">
        <v>81</v>
      </c>
      <c r="T2542" s="308" t="s">
        <v>35048</v>
      </c>
      <c r="U2542" s="308" t="s">
        <v>166</v>
      </c>
      <c r="V2542" s="312"/>
    </row>
    <row r="2543">
      <c r="A2543" s="308">
        <v>2542.0</v>
      </c>
      <c r="B2543" s="308"/>
      <c r="C2543" s="308" t="s">
        <v>10465</v>
      </c>
      <c r="D2543" s="308">
        <f>IFERROR(__xludf.DUMMYFUNCTION("SPLIT(C2543,""-"")"),2563.0)</f>
        <v>2563</v>
      </c>
      <c r="E2543" s="308" t="str">
        <f>IFERROR(__xludf.DUMMYFUNCTION("""COMPUTED_VALUE"""),"S")</f>
        <v>S</v>
      </c>
      <c r="F2543" s="312" t="s">
        <v>39</v>
      </c>
      <c r="G2543" s="308"/>
      <c r="H2543" s="308" t="s">
        <v>10466</v>
      </c>
      <c r="I2543" s="314">
        <v>41960.0</v>
      </c>
      <c r="J2543" s="319">
        <f>IFERROR(__xludf.DUMMYFUNCTION("SPLIT(I2543,""/"")"),17.0)</f>
        <v>17</v>
      </c>
      <c r="K2543" s="308">
        <f>IFERROR(__xludf.DUMMYFUNCTION("""COMPUTED_VALUE"""),11.0)</f>
        <v>11</v>
      </c>
      <c r="L2543" s="308">
        <f>IFERROR(__xludf.DUMMYFUNCTION("""COMPUTED_VALUE"""),2014.0)</f>
        <v>2014</v>
      </c>
      <c r="M2543" s="308" t="s">
        <v>10467</v>
      </c>
      <c r="N2543" s="308"/>
      <c r="O2543" s="308" t="s">
        <v>635</v>
      </c>
      <c r="P2543" s="308" t="s">
        <v>1481</v>
      </c>
      <c r="Q2543" s="308"/>
      <c r="R2543" s="308"/>
      <c r="S2543" s="308" t="s">
        <v>81</v>
      </c>
      <c r="T2543" s="308" t="s">
        <v>35048</v>
      </c>
      <c r="U2543" s="308" t="s">
        <v>166</v>
      </c>
      <c r="V2543" s="312"/>
    </row>
    <row r="2544">
      <c r="A2544" s="308">
        <v>2543.0</v>
      </c>
      <c r="B2544" s="308"/>
      <c r="C2544" s="308" t="s">
        <v>10468</v>
      </c>
      <c r="D2544" s="308">
        <f>IFERROR(__xludf.DUMMYFUNCTION("SPLIT(C2544,""-"")"),2564.0)</f>
        <v>2564</v>
      </c>
      <c r="E2544" s="308" t="str">
        <f>IFERROR(__xludf.DUMMYFUNCTION("""COMPUTED_VALUE"""),"S")</f>
        <v>S</v>
      </c>
      <c r="F2544" s="312" t="s">
        <v>39</v>
      </c>
      <c r="G2544" s="308"/>
      <c r="H2544" s="308" t="s">
        <v>10469</v>
      </c>
      <c r="I2544" s="314">
        <v>41960.0</v>
      </c>
      <c r="J2544" s="319">
        <f>IFERROR(__xludf.DUMMYFUNCTION("SPLIT(I2544,""/"")"),17.0)</f>
        <v>17</v>
      </c>
      <c r="K2544" s="308">
        <f>IFERROR(__xludf.DUMMYFUNCTION("""COMPUTED_VALUE"""),11.0)</f>
        <v>11</v>
      </c>
      <c r="L2544" s="308">
        <f>IFERROR(__xludf.DUMMYFUNCTION("""COMPUTED_VALUE"""),2014.0)</f>
        <v>2014</v>
      </c>
      <c r="M2544" s="308" t="s">
        <v>10470</v>
      </c>
      <c r="N2544" s="308"/>
      <c r="O2544" s="308" t="s">
        <v>635</v>
      </c>
      <c r="P2544" s="308" t="s">
        <v>1481</v>
      </c>
      <c r="Q2544" s="308"/>
      <c r="R2544" s="308"/>
      <c r="S2544" s="308" t="s">
        <v>81</v>
      </c>
      <c r="T2544" s="308" t="s">
        <v>35048</v>
      </c>
      <c r="U2544" s="308" t="s">
        <v>166</v>
      </c>
      <c r="V2544" s="312"/>
    </row>
    <row r="2545">
      <c r="A2545" s="308">
        <v>2544.0</v>
      </c>
      <c r="B2545" s="308"/>
      <c r="C2545" s="308" t="s">
        <v>10471</v>
      </c>
      <c r="D2545" s="308">
        <f>IFERROR(__xludf.DUMMYFUNCTION("SPLIT(C2545,""-"")"),2565.0)</f>
        <v>2565</v>
      </c>
      <c r="E2545" s="308" t="str">
        <f>IFERROR(__xludf.DUMMYFUNCTION("""COMPUTED_VALUE"""),"S")</f>
        <v>S</v>
      </c>
      <c r="F2545" s="312" t="s">
        <v>39</v>
      </c>
      <c r="G2545" s="308"/>
      <c r="H2545" s="308" t="s">
        <v>10472</v>
      </c>
      <c r="I2545" s="314">
        <v>41960.0</v>
      </c>
      <c r="J2545" s="319">
        <f>IFERROR(__xludf.DUMMYFUNCTION("SPLIT(I2545,""/"")"),17.0)</f>
        <v>17</v>
      </c>
      <c r="K2545" s="308">
        <f>IFERROR(__xludf.DUMMYFUNCTION("""COMPUTED_VALUE"""),11.0)</f>
        <v>11</v>
      </c>
      <c r="L2545" s="308">
        <f>IFERROR(__xludf.DUMMYFUNCTION("""COMPUTED_VALUE"""),2014.0)</f>
        <v>2014</v>
      </c>
      <c r="M2545" s="308" t="s">
        <v>10473</v>
      </c>
      <c r="N2545" s="308"/>
      <c r="O2545" s="308" t="s">
        <v>635</v>
      </c>
      <c r="P2545" s="308" t="s">
        <v>1481</v>
      </c>
      <c r="Q2545" s="308"/>
      <c r="R2545" s="308"/>
      <c r="S2545" s="308" t="s">
        <v>81</v>
      </c>
      <c r="T2545" s="308" t="s">
        <v>35048</v>
      </c>
      <c r="U2545" s="308" t="s">
        <v>166</v>
      </c>
      <c r="V2545" s="312"/>
    </row>
    <row r="2546">
      <c r="A2546" s="308">
        <v>2545.0</v>
      </c>
      <c r="B2546" s="308"/>
      <c r="C2546" s="308" t="s">
        <v>10474</v>
      </c>
      <c r="D2546" s="308">
        <f>IFERROR(__xludf.DUMMYFUNCTION("SPLIT(C2546,""-"")"),2566.0)</f>
        <v>2566</v>
      </c>
      <c r="E2546" s="308" t="str">
        <f>IFERROR(__xludf.DUMMYFUNCTION("""COMPUTED_VALUE"""),"S")</f>
        <v>S</v>
      </c>
      <c r="F2546" s="312" t="s">
        <v>39</v>
      </c>
      <c r="G2546" s="308"/>
      <c r="H2546" s="308" t="s">
        <v>10475</v>
      </c>
      <c r="I2546" s="332">
        <v>44911.0</v>
      </c>
      <c r="J2546" s="319"/>
      <c r="K2546" s="308"/>
      <c r="L2546" s="311" t="s">
        <v>79</v>
      </c>
      <c r="M2546" s="308" t="s">
        <v>10476</v>
      </c>
      <c r="N2546" s="308"/>
      <c r="O2546" s="308" t="s">
        <v>635</v>
      </c>
      <c r="P2546" s="308" t="s">
        <v>1481</v>
      </c>
      <c r="Q2546" s="308"/>
      <c r="R2546" s="308"/>
      <c r="S2546" s="308" t="s">
        <v>81</v>
      </c>
      <c r="T2546" s="308" t="s">
        <v>35048</v>
      </c>
      <c r="U2546" s="308" t="s">
        <v>166</v>
      </c>
      <c r="V2546" s="312"/>
    </row>
    <row r="2547">
      <c r="A2547" s="308">
        <v>2546.0</v>
      </c>
      <c r="B2547" s="308"/>
      <c r="C2547" s="308" t="s">
        <v>10477</v>
      </c>
      <c r="D2547" s="308">
        <f>IFERROR(__xludf.DUMMYFUNCTION("SPLIT(C2547,""-"")"),2567.0)</f>
        <v>2567</v>
      </c>
      <c r="E2547" s="308" t="str">
        <f>IFERROR(__xludf.DUMMYFUNCTION("""COMPUTED_VALUE"""),"S")</f>
        <v>S</v>
      </c>
      <c r="F2547" s="312" t="s">
        <v>39</v>
      </c>
      <c r="G2547" s="308"/>
      <c r="H2547" s="308" t="s">
        <v>10478</v>
      </c>
      <c r="I2547" s="332">
        <v>44910.0</v>
      </c>
      <c r="J2547" s="319"/>
      <c r="K2547" s="308"/>
      <c r="L2547" s="311" t="s">
        <v>79</v>
      </c>
      <c r="M2547" s="308" t="s">
        <v>10479</v>
      </c>
      <c r="N2547" s="308"/>
      <c r="O2547" s="308" t="s">
        <v>635</v>
      </c>
      <c r="P2547" s="308" t="s">
        <v>1481</v>
      </c>
      <c r="Q2547" s="308"/>
      <c r="R2547" s="308"/>
      <c r="S2547" s="308" t="s">
        <v>81</v>
      </c>
      <c r="T2547" s="308" t="s">
        <v>35048</v>
      </c>
      <c r="U2547" s="308" t="s">
        <v>166</v>
      </c>
      <c r="V2547" s="312"/>
    </row>
    <row r="2548">
      <c r="A2548" s="308">
        <v>2547.0</v>
      </c>
      <c r="B2548" s="308"/>
      <c r="C2548" s="308" t="s">
        <v>10480</v>
      </c>
      <c r="D2548" s="308">
        <f>IFERROR(__xludf.DUMMYFUNCTION("SPLIT(C2548,""-"")"),2568.0)</f>
        <v>2568</v>
      </c>
      <c r="E2548" s="308" t="str">
        <f>IFERROR(__xludf.DUMMYFUNCTION("""COMPUTED_VALUE"""),"S")</f>
        <v>S</v>
      </c>
      <c r="F2548" s="312" t="s">
        <v>39</v>
      </c>
      <c r="G2548" s="308"/>
      <c r="H2548" s="308" t="s">
        <v>10481</v>
      </c>
      <c r="I2548" s="314">
        <v>41988.0</v>
      </c>
      <c r="J2548" s="319">
        <f>IFERROR(__xludf.DUMMYFUNCTION("SPLIT(I2548,""/"")"),15.0)</f>
        <v>15</v>
      </c>
      <c r="K2548" s="308">
        <f>IFERROR(__xludf.DUMMYFUNCTION("""COMPUTED_VALUE"""),12.0)</f>
        <v>12</v>
      </c>
      <c r="L2548" s="308">
        <f>IFERROR(__xludf.DUMMYFUNCTION("""COMPUTED_VALUE"""),2014.0)</f>
        <v>2014</v>
      </c>
      <c r="M2548" s="308" t="s">
        <v>10482</v>
      </c>
      <c r="N2548" s="308"/>
      <c r="O2548" s="308" t="s">
        <v>635</v>
      </c>
      <c r="P2548" s="308" t="s">
        <v>1481</v>
      </c>
      <c r="Q2548" s="308"/>
      <c r="R2548" s="308"/>
      <c r="S2548" s="308" t="s">
        <v>81</v>
      </c>
      <c r="T2548" s="308" t="s">
        <v>35048</v>
      </c>
      <c r="U2548" s="308" t="s">
        <v>166</v>
      </c>
      <c r="V2548" s="312"/>
    </row>
    <row r="2549">
      <c r="A2549" s="308">
        <v>2548.0</v>
      </c>
      <c r="B2549" s="308"/>
      <c r="C2549" s="308" t="s">
        <v>10483</v>
      </c>
      <c r="D2549" s="308">
        <f>IFERROR(__xludf.DUMMYFUNCTION("SPLIT(C2549,""-"")"),2569.0)</f>
        <v>2569</v>
      </c>
      <c r="E2549" s="308" t="str">
        <f>IFERROR(__xludf.DUMMYFUNCTION("""COMPUTED_VALUE"""),"S")</f>
        <v>S</v>
      </c>
      <c r="F2549" s="312" t="s">
        <v>39</v>
      </c>
      <c r="G2549" s="308"/>
      <c r="H2549" s="308" t="s">
        <v>36701</v>
      </c>
      <c r="I2549" s="314">
        <v>41988.0</v>
      </c>
      <c r="J2549" s="319">
        <f>IFERROR(__xludf.DUMMYFUNCTION("SPLIT(I2549,""/"")"),15.0)</f>
        <v>15</v>
      </c>
      <c r="K2549" s="308">
        <f>IFERROR(__xludf.DUMMYFUNCTION("""COMPUTED_VALUE"""),12.0)</f>
        <v>12</v>
      </c>
      <c r="L2549" s="308">
        <f>IFERROR(__xludf.DUMMYFUNCTION("""COMPUTED_VALUE"""),2014.0)</f>
        <v>2014</v>
      </c>
      <c r="M2549" s="308" t="s">
        <v>10485</v>
      </c>
      <c r="N2549" s="308"/>
      <c r="O2549" s="308" t="s">
        <v>635</v>
      </c>
      <c r="P2549" s="308" t="s">
        <v>1481</v>
      </c>
      <c r="Q2549" s="308"/>
      <c r="R2549" s="308"/>
      <c r="S2549" s="308" t="s">
        <v>81</v>
      </c>
      <c r="T2549" s="308" t="s">
        <v>35048</v>
      </c>
      <c r="U2549" s="308" t="s">
        <v>166</v>
      </c>
      <c r="V2549" s="312"/>
    </row>
    <row r="2550">
      <c r="A2550" s="308">
        <v>2549.0</v>
      </c>
      <c r="B2550" s="308"/>
      <c r="C2550" s="308" t="s">
        <v>10486</v>
      </c>
      <c r="D2550" s="308">
        <f>IFERROR(__xludf.DUMMYFUNCTION("SPLIT(C2550,""-"")"),2570.0)</f>
        <v>2570</v>
      </c>
      <c r="E2550" s="308" t="str">
        <f>IFERROR(__xludf.DUMMYFUNCTION("""COMPUTED_VALUE"""),"S")</f>
        <v>S</v>
      </c>
      <c r="F2550" s="312" t="s">
        <v>39</v>
      </c>
      <c r="G2550" s="308"/>
      <c r="H2550" s="308" t="s">
        <v>10487</v>
      </c>
      <c r="I2550" s="314">
        <v>42002.0</v>
      </c>
      <c r="J2550" s="319">
        <f>IFERROR(__xludf.DUMMYFUNCTION("SPLIT(I2550,""/"")"),29.0)</f>
        <v>29</v>
      </c>
      <c r="K2550" s="308">
        <f>IFERROR(__xludf.DUMMYFUNCTION("""COMPUTED_VALUE"""),12.0)</f>
        <v>12</v>
      </c>
      <c r="L2550" s="308">
        <f>IFERROR(__xludf.DUMMYFUNCTION("""COMPUTED_VALUE"""),2014.0)</f>
        <v>2014</v>
      </c>
      <c r="M2550" s="308" t="s">
        <v>10488</v>
      </c>
      <c r="N2550" s="308"/>
      <c r="O2550" s="308" t="s">
        <v>635</v>
      </c>
      <c r="P2550" s="308" t="s">
        <v>1481</v>
      </c>
      <c r="Q2550" s="308"/>
      <c r="R2550" s="308"/>
      <c r="S2550" s="308" t="s">
        <v>81</v>
      </c>
      <c r="T2550" s="308" t="s">
        <v>35048</v>
      </c>
      <c r="U2550" s="308" t="s">
        <v>166</v>
      </c>
      <c r="V2550" s="312"/>
    </row>
    <row r="2551">
      <c r="A2551" s="308">
        <v>2550.0</v>
      </c>
      <c r="B2551" s="308"/>
      <c r="C2551" s="308" t="s">
        <v>10489</v>
      </c>
      <c r="D2551" s="308">
        <f>IFERROR(__xludf.DUMMYFUNCTION("SPLIT(C2551,""-"")"),2571.0)</f>
        <v>2571</v>
      </c>
      <c r="E2551" s="308" t="str">
        <f>IFERROR(__xludf.DUMMYFUNCTION("""COMPUTED_VALUE"""),"S")</f>
        <v>S</v>
      </c>
      <c r="F2551" s="312" t="s">
        <v>39</v>
      </c>
      <c r="G2551" s="308"/>
      <c r="H2551" s="308" t="s">
        <v>10490</v>
      </c>
      <c r="I2551" s="332">
        <v>44912.0</v>
      </c>
      <c r="J2551" s="319"/>
      <c r="K2551" s="308"/>
      <c r="L2551" s="311" t="s">
        <v>79</v>
      </c>
      <c r="M2551" s="308" t="s">
        <v>10491</v>
      </c>
      <c r="N2551" s="308"/>
      <c r="O2551" s="308" t="s">
        <v>635</v>
      </c>
      <c r="P2551" s="308" t="s">
        <v>1481</v>
      </c>
      <c r="Q2551" s="308"/>
      <c r="R2551" s="308"/>
      <c r="S2551" s="308" t="s">
        <v>81</v>
      </c>
      <c r="T2551" s="308" t="s">
        <v>35048</v>
      </c>
      <c r="U2551" s="308" t="s">
        <v>166</v>
      </c>
      <c r="V2551" s="312"/>
    </row>
    <row r="2552">
      <c r="A2552" s="308">
        <v>2551.0</v>
      </c>
      <c r="B2552" s="308"/>
      <c r="C2552" s="308" t="s">
        <v>10492</v>
      </c>
      <c r="D2552" s="308">
        <f>IFERROR(__xludf.DUMMYFUNCTION("SPLIT(C2552,""-"")"),2572.0)</f>
        <v>2572</v>
      </c>
      <c r="E2552" s="308" t="str">
        <f>IFERROR(__xludf.DUMMYFUNCTION("""COMPUTED_VALUE"""),"S")</f>
        <v>S</v>
      </c>
      <c r="F2552" s="312" t="s">
        <v>39</v>
      </c>
      <c r="G2552" s="308"/>
      <c r="H2552" s="308" t="s">
        <v>36702</v>
      </c>
      <c r="I2552" s="314">
        <v>41999.0</v>
      </c>
      <c r="J2552" s="319">
        <f>IFERROR(__xludf.DUMMYFUNCTION("SPLIT(I2552,""/"")"),26.0)</f>
        <v>26</v>
      </c>
      <c r="K2552" s="308">
        <f>IFERROR(__xludf.DUMMYFUNCTION("""COMPUTED_VALUE"""),12.0)</f>
        <v>12</v>
      </c>
      <c r="L2552" s="308">
        <f>IFERROR(__xludf.DUMMYFUNCTION("""COMPUTED_VALUE"""),2014.0)</f>
        <v>2014</v>
      </c>
      <c r="M2552" s="308" t="s">
        <v>10494</v>
      </c>
      <c r="N2552" s="308"/>
      <c r="O2552" s="308" t="s">
        <v>635</v>
      </c>
      <c r="P2552" s="308" t="s">
        <v>10495</v>
      </c>
      <c r="Q2552" s="308"/>
      <c r="R2552" s="308"/>
      <c r="S2552" s="308" t="s">
        <v>81</v>
      </c>
      <c r="T2552" s="311" t="s">
        <v>89</v>
      </c>
      <c r="U2552" s="308" t="s">
        <v>166</v>
      </c>
      <c r="V2552" s="312"/>
    </row>
    <row r="2553">
      <c r="A2553" s="308">
        <v>2552.0</v>
      </c>
      <c r="B2553" s="308"/>
      <c r="C2553" s="308" t="s">
        <v>10496</v>
      </c>
      <c r="D2553" s="308">
        <f>IFERROR(__xludf.DUMMYFUNCTION("SPLIT(C2553,""-"")"),2573.0)</f>
        <v>2573</v>
      </c>
      <c r="E2553" s="308" t="str">
        <f>IFERROR(__xludf.DUMMYFUNCTION("""COMPUTED_VALUE"""),"S")</f>
        <v>S</v>
      </c>
      <c r="F2553" s="312" t="s">
        <v>39</v>
      </c>
      <c r="G2553" s="308"/>
      <c r="H2553" s="308" t="s">
        <v>10497</v>
      </c>
      <c r="I2553" s="314">
        <v>41999.0</v>
      </c>
      <c r="J2553" s="319">
        <f>IFERROR(__xludf.DUMMYFUNCTION("SPLIT(I2553,""/"")"),26.0)</f>
        <v>26</v>
      </c>
      <c r="K2553" s="308">
        <f>IFERROR(__xludf.DUMMYFUNCTION("""COMPUTED_VALUE"""),12.0)</f>
        <v>12</v>
      </c>
      <c r="L2553" s="308">
        <f>IFERROR(__xludf.DUMMYFUNCTION("""COMPUTED_VALUE"""),2014.0)</f>
        <v>2014</v>
      </c>
      <c r="M2553" s="308" t="s">
        <v>10498</v>
      </c>
      <c r="N2553" s="308"/>
      <c r="O2553" s="308" t="s">
        <v>635</v>
      </c>
      <c r="P2553" s="308" t="s">
        <v>1481</v>
      </c>
      <c r="Q2553" s="308"/>
      <c r="R2553" s="308"/>
      <c r="S2553" s="308" t="s">
        <v>81</v>
      </c>
      <c r="T2553" s="308" t="s">
        <v>35048</v>
      </c>
      <c r="U2553" s="308" t="s">
        <v>166</v>
      </c>
      <c r="V2553" s="312"/>
    </row>
    <row r="2554">
      <c r="A2554" s="308">
        <v>2553.0</v>
      </c>
      <c r="B2554" s="308"/>
      <c r="C2554" s="308" t="s">
        <v>10499</v>
      </c>
      <c r="D2554" s="308">
        <f>IFERROR(__xludf.DUMMYFUNCTION("SPLIT(C2554,""-"")"),2574.0)</f>
        <v>2574</v>
      </c>
      <c r="E2554" s="308" t="str">
        <f>IFERROR(__xludf.DUMMYFUNCTION("""COMPUTED_VALUE"""),"S")</f>
        <v>S</v>
      </c>
      <c r="F2554" s="312" t="s">
        <v>39</v>
      </c>
      <c r="G2554" s="308"/>
      <c r="H2554" s="308" t="s">
        <v>36703</v>
      </c>
      <c r="I2554" s="314">
        <v>42000.0</v>
      </c>
      <c r="J2554" s="319">
        <f>IFERROR(__xludf.DUMMYFUNCTION("SPLIT(I2554,""/"")"),27.0)</f>
        <v>27</v>
      </c>
      <c r="K2554" s="308">
        <f>IFERROR(__xludf.DUMMYFUNCTION("""COMPUTED_VALUE"""),12.0)</f>
        <v>12</v>
      </c>
      <c r="L2554" s="308">
        <f>IFERROR(__xludf.DUMMYFUNCTION("""COMPUTED_VALUE"""),2014.0)</f>
        <v>2014</v>
      </c>
      <c r="M2554" s="308" t="s">
        <v>10501</v>
      </c>
      <c r="N2554" s="308"/>
      <c r="O2554" s="308" t="s">
        <v>635</v>
      </c>
      <c r="P2554" s="308" t="s">
        <v>1481</v>
      </c>
      <c r="Q2554" s="308"/>
      <c r="R2554" s="308"/>
      <c r="S2554" s="308" t="s">
        <v>81</v>
      </c>
      <c r="T2554" s="308" t="s">
        <v>35048</v>
      </c>
      <c r="U2554" s="308" t="s">
        <v>166</v>
      </c>
      <c r="V2554" s="312"/>
    </row>
    <row r="2555">
      <c r="A2555" s="308">
        <v>2554.0</v>
      </c>
      <c r="B2555" s="308"/>
      <c r="C2555" s="308" t="s">
        <v>10502</v>
      </c>
      <c r="D2555" s="308">
        <f>IFERROR(__xludf.DUMMYFUNCTION("SPLIT(C2555,""-"")"),2575.0)</f>
        <v>2575</v>
      </c>
      <c r="E2555" s="308" t="str">
        <f>IFERROR(__xludf.DUMMYFUNCTION("""COMPUTED_VALUE"""),"S")</f>
        <v>S</v>
      </c>
      <c r="F2555" s="312" t="s">
        <v>39</v>
      </c>
      <c r="G2555" s="308"/>
      <c r="H2555" s="308" t="s">
        <v>10503</v>
      </c>
      <c r="I2555" s="314">
        <v>42002.0</v>
      </c>
      <c r="J2555" s="319">
        <f>IFERROR(__xludf.DUMMYFUNCTION("SPLIT(I2555,""/"")"),29.0)</f>
        <v>29</v>
      </c>
      <c r="K2555" s="308">
        <f>IFERROR(__xludf.DUMMYFUNCTION("""COMPUTED_VALUE"""),12.0)</f>
        <v>12</v>
      </c>
      <c r="L2555" s="308">
        <f>IFERROR(__xludf.DUMMYFUNCTION("""COMPUTED_VALUE"""),2014.0)</f>
        <v>2014</v>
      </c>
      <c r="M2555" s="308" t="s">
        <v>10504</v>
      </c>
      <c r="N2555" s="308"/>
      <c r="O2555" s="308" t="s">
        <v>635</v>
      </c>
      <c r="P2555" s="308" t="s">
        <v>622</v>
      </c>
      <c r="Q2555" s="308"/>
      <c r="R2555" s="308"/>
      <c r="S2555" s="308" t="s">
        <v>49</v>
      </c>
      <c r="T2555" s="308" t="s">
        <v>34409</v>
      </c>
      <c r="U2555" s="308" t="s">
        <v>166</v>
      </c>
      <c r="V2555" s="312"/>
    </row>
    <row r="2556">
      <c r="A2556" s="308">
        <v>2555.0</v>
      </c>
      <c r="B2556" s="308"/>
      <c r="C2556" s="308" t="s">
        <v>10505</v>
      </c>
      <c r="D2556" s="308"/>
      <c r="E2556" s="311"/>
      <c r="F2556" s="317" t="s">
        <v>39</v>
      </c>
      <c r="G2556" s="308"/>
      <c r="H2556" s="308" t="s">
        <v>10506</v>
      </c>
      <c r="I2556" s="310">
        <v>41742.0</v>
      </c>
      <c r="J2556" s="319">
        <f>IFERROR(__xludf.DUMMYFUNCTION("SPLIT(I2556,""/"")"),13.0)</f>
        <v>13</v>
      </c>
      <c r="K2556" s="308">
        <f>IFERROR(__xludf.DUMMYFUNCTION("""COMPUTED_VALUE"""),4.0)</f>
        <v>4</v>
      </c>
      <c r="L2556" s="308">
        <f>IFERROR(__xludf.DUMMYFUNCTION("""COMPUTED_VALUE"""),2014.0)</f>
        <v>2014</v>
      </c>
      <c r="M2556" s="308" t="s">
        <v>10507</v>
      </c>
      <c r="N2556" s="308"/>
      <c r="O2556" s="308" t="s">
        <v>10508</v>
      </c>
      <c r="P2556" s="308" t="s">
        <v>9979</v>
      </c>
      <c r="Q2556" s="308"/>
      <c r="R2556" s="308"/>
      <c r="S2556" s="315" t="s">
        <v>100</v>
      </c>
      <c r="T2556" s="311" t="s">
        <v>34208</v>
      </c>
      <c r="U2556" s="308" t="s">
        <v>166</v>
      </c>
      <c r="V2556" s="312"/>
    </row>
    <row r="2557">
      <c r="A2557" s="308">
        <v>2556.0</v>
      </c>
      <c r="B2557" s="308"/>
      <c r="C2557" s="308" t="s">
        <v>10509</v>
      </c>
      <c r="D2557" s="308">
        <f>IFERROR(__xludf.DUMMYFUNCTION("SPLIT(C2557,""-"")"),2577.0)</f>
        <v>2577</v>
      </c>
      <c r="E2557" s="308" t="str">
        <f>IFERROR(__xludf.DUMMYFUNCTION("""COMPUTED_VALUE"""),"S")</f>
        <v>S</v>
      </c>
      <c r="F2557" s="312" t="s">
        <v>39</v>
      </c>
      <c r="G2557" s="308"/>
      <c r="H2557" s="308" t="s">
        <v>10510</v>
      </c>
      <c r="I2557" s="310">
        <v>41906.0</v>
      </c>
      <c r="J2557" s="319">
        <f>IFERROR(__xludf.DUMMYFUNCTION("SPLIT(I2557,""/"")"),24.0)</f>
        <v>24</v>
      </c>
      <c r="K2557" s="308">
        <f>IFERROR(__xludf.DUMMYFUNCTION("""COMPUTED_VALUE"""),9.0)</f>
        <v>9</v>
      </c>
      <c r="L2557" s="308">
        <f>IFERROR(__xludf.DUMMYFUNCTION("""COMPUTED_VALUE"""),2014.0)</f>
        <v>2014</v>
      </c>
      <c r="M2557" s="308" t="s">
        <v>10511</v>
      </c>
      <c r="N2557" s="308"/>
      <c r="O2557" s="308" t="s">
        <v>635</v>
      </c>
      <c r="P2557" s="308" t="s">
        <v>10512</v>
      </c>
      <c r="Q2557" s="308"/>
      <c r="R2557" s="308"/>
      <c r="S2557" s="308" t="s">
        <v>81</v>
      </c>
      <c r="T2557" s="308" t="s">
        <v>73</v>
      </c>
      <c r="U2557" s="312"/>
      <c r="V2557" s="312"/>
    </row>
    <row r="2558">
      <c r="A2558" s="308">
        <v>2557.0</v>
      </c>
      <c r="B2558" s="308"/>
      <c r="C2558" s="308" t="s">
        <v>10513</v>
      </c>
      <c r="D2558" s="308">
        <f>IFERROR(__xludf.DUMMYFUNCTION("SPLIT(C2558,""-"")"),2578.0)</f>
        <v>2578</v>
      </c>
      <c r="E2558" s="308" t="str">
        <f>IFERROR(__xludf.DUMMYFUNCTION("""COMPUTED_VALUE"""),"S")</f>
        <v>S</v>
      </c>
      <c r="F2558" s="312" t="s">
        <v>39</v>
      </c>
      <c r="G2558" s="308"/>
      <c r="H2558" s="308" t="s">
        <v>10514</v>
      </c>
      <c r="I2558" s="310">
        <v>41906.0</v>
      </c>
      <c r="J2558" s="319">
        <f>IFERROR(__xludf.DUMMYFUNCTION("SPLIT(I2558,""/"")"),24.0)</f>
        <v>24</v>
      </c>
      <c r="K2558" s="308">
        <f>IFERROR(__xludf.DUMMYFUNCTION("""COMPUTED_VALUE"""),9.0)</f>
        <v>9</v>
      </c>
      <c r="L2558" s="308">
        <f>IFERROR(__xludf.DUMMYFUNCTION("""COMPUTED_VALUE"""),2014.0)</f>
        <v>2014</v>
      </c>
      <c r="M2558" s="308" t="s">
        <v>10515</v>
      </c>
      <c r="N2558" s="308"/>
      <c r="O2558" s="308" t="s">
        <v>635</v>
      </c>
      <c r="P2558" s="308" t="s">
        <v>1481</v>
      </c>
      <c r="Q2558" s="308"/>
      <c r="R2558" s="308"/>
      <c r="S2558" s="308" t="s">
        <v>81</v>
      </c>
      <c r="T2558" s="308" t="s">
        <v>35048</v>
      </c>
      <c r="U2558" s="308" t="s">
        <v>166</v>
      </c>
      <c r="V2558" s="312"/>
    </row>
    <row r="2559">
      <c r="A2559" s="308">
        <v>2558.0</v>
      </c>
      <c r="B2559" s="308"/>
      <c r="C2559" s="308" t="s">
        <v>10516</v>
      </c>
      <c r="D2559" s="308">
        <f>IFERROR(__xludf.DUMMYFUNCTION("SPLIT(C2559,""-"")"),2579.0)</f>
        <v>2579</v>
      </c>
      <c r="E2559" s="308" t="str">
        <f>IFERROR(__xludf.DUMMYFUNCTION("""COMPUTED_VALUE"""),"S")</f>
        <v>S</v>
      </c>
      <c r="F2559" s="312" t="s">
        <v>39</v>
      </c>
      <c r="G2559" s="308"/>
      <c r="H2559" s="308" t="s">
        <v>10517</v>
      </c>
      <c r="I2559" s="314">
        <v>41988.0</v>
      </c>
      <c r="J2559" s="319">
        <f>IFERROR(__xludf.DUMMYFUNCTION("SPLIT(I2559,""/"")"),15.0)</f>
        <v>15</v>
      </c>
      <c r="K2559" s="308">
        <f>IFERROR(__xludf.DUMMYFUNCTION("""COMPUTED_VALUE"""),12.0)</f>
        <v>12</v>
      </c>
      <c r="L2559" s="308">
        <f>IFERROR(__xludf.DUMMYFUNCTION("""COMPUTED_VALUE"""),2014.0)</f>
        <v>2014</v>
      </c>
      <c r="M2559" s="308" t="s">
        <v>10518</v>
      </c>
      <c r="N2559" s="308"/>
      <c r="O2559" s="308" t="s">
        <v>10519</v>
      </c>
      <c r="P2559" s="308" t="s">
        <v>1481</v>
      </c>
      <c r="Q2559" s="308"/>
      <c r="R2559" s="308"/>
      <c r="S2559" s="308" t="s">
        <v>81</v>
      </c>
      <c r="T2559" s="308" t="s">
        <v>35048</v>
      </c>
      <c r="U2559" s="308" t="s">
        <v>166</v>
      </c>
      <c r="V2559" s="312"/>
    </row>
    <row r="2560">
      <c r="A2560" s="308">
        <v>2559.0</v>
      </c>
      <c r="B2560" s="308"/>
      <c r="C2560" s="308" t="s">
        <v>10520</v>
      </c>
      <c r="D2560" s="308">
        <f>IFERROR(__xludf.DUMMYFUNCTION("SPLIT(C2560,""-"")"),2580.0)</f>
        <v>2580</v>
      </c>
      <c r="E2560" s="308" t="str">
        <f>IFERROR(__xludf.DUMMYFUNCTION("""COMPUTED_VALUE"""),"S")</f>
        <v>S</v>
      </c>
      <c r="F2560" s="312" t="s">
        <v>39</v>
      </c>
      <c r="G2560" s="308"/>
      <c r="H2560" s="308" t="s">
        <v>10521</v>
      </c>
      <c r="I2560" s="310">
        <v>41906.0</v>
      </c>
      <c r="J2560" s="319">
        <f>IFERROR(__xludf.DUMMYFUNCTION("SPLIT(I2560,""/"")"),24.0)</f>
        <v>24</v>
      </c>
      <c r="K2560" s="308">
        <f>IFERROR(__xludf.DUMMYFUNCTION("""COMPUTED_VALUE"""),9.0)</f>
        <v>9</v>
      </c>
      <c r="L2560" s="308">
        <f>IFERROR(__xludf.DUMMYFUNCTION("""COMPUTED_VALUE"""),2014.0)</f>
        <v>2014</v>
      </c>
      <c r="M2560" s="308" t="s">
        <v>10522</v>
      </c>
      <c r="N2560" s="308"/>
      <c r="O2560" s="308" t="s">
        <v>635</v>
      </c>
      <c r="P2560" s="308" t="s">
        <v>1481</v>
      </c>
      <c r="Q2560" s="308"/>
      <c r="R2560" s="308"/>
      <c r="S2560" s="308" t="s">
        <v>81</v>
      </c>
      <c r="T2560" s="308" t="s">
        <v>35048</v>
      </c>
      <c r="U2560" s="308" t="s">
        <v>166</v>
      </c>
      <c r="V2560" s="312"/>
    </row>
    <row r="2561">
      <c r="A2561" s="308">
        <v>2560.0</v>
      </c>
      <c r="B2561" s="308"/>
      <c r="C2561" s="308" t="s">
        <v>10523</v>
      </c>
      <c r="D2561" s="308">
        <f>IFERROR(__xludf.DUMMYFUNCTION("SPLIT(C2561,""-"")"),2581.0)</f>
        <v>2581</v>
      </c>
      <c r="E2561" s="308" t="str">
        <f>IFERROR(__xludf.DUMMYFUNCTION("""COMPUTED_VALUE"""),"S")</f>
        <v>S</v>
      </c>
      <c r="F2561" s="312" t="s">
        <v>39</v>
      </c>
      <c r="G2561" s="308"/>
      <c r="H2561" s="308" t="s">
        <v>10524</v>
      </c>
      <c r="I2561" s="310">
        <v>41906.0</v>
      </c>
      <c r="J2561" s="319">
        <f>IFERROR(__xludf.DUMMYFUNCTION("SPLIT(I2561,""/"")"),24.0)</f>
        <v>24</v>
      </c>
      <c r="K2561" s="308">
        <f>IFERROR(__xludf.DUMMYFUNCTION("""COMPUTED_VALUE"""),9.0)</f>
        <v>9</v>
      </c>
      <c r="L2561" s="308">
        <f>IFERROR(__xludf.DUMMYFUNCTION("""COMPUTED_VALUE"""),2014.0)</f>
        <v>2014</v>
      </c>
      <c r="M2561" s="308" t="s">
        <v>10525</v>
      </c>
      <c r="N2561" s="308"/>
      <c r="O2561" s="308" t="s">
        <v>635</v>
      </c>
      <c r="P2561" s="308" t="s">
        <v>1481</v>
      </c>
      <c r="Q2561" s="308"/>
      <c r="R2561" s="308"/>
      <c r="S2561" s="308" t="s">
        <v>81</v>
      </c>
      <c r="T2561" s="308" t="s">
        <v>35048</v>
      </c>
      <c r="U2561" s="308" t="s">
        <v>166</v>
      </c>
      <c r="V2561" s="312"/>
    </row>
    <row r="2562">
      <c r="A2562" s="308">
        <v>2561.0</v>
      </c>
      <c r="B2562" s="308"/>
      <c r="C2562" s="308" t="s">
        <v>10526</v>
      </c>
      <c r="D2562" s="308">
        <f>IFERROR(__xludf.DUMMYFUNCTION("SPLIT(C2562,""-"")"),2582.0)</f>
        <v>2582</v>
      </c>
      <c r="E2562" s="308" t="str">
        <f>IFERROR(__xludf.DUMMYFUNCTION("""COMPUTED_VALUE"""),"S")</f>
        <v>S</v>
      </c>
      <c r="F2562" s="312" t="s">
        <v>39</v>
      </c>
      <c r="G2562" s="308" t="s">
        <v>10527</v>
      </c>
      <c r="H2562" s="308" t="s">
        <v>10528</v>
      </c>
      <c r="I2562" s="310">
        <v>42015.0</v>
      </c>
      <c r="J2562" s="319">
        <f>IFERROR(__xludf.DUMMYFUNCTION("SPLIT(I2562,""/"")"),11.0)</f>
        <v>11</v>
      </c>
      <c r="K2562" s="308">
        <f>IFERROR(__xludf.DUMMYFUNCTION("""COMPUTED_VALUE"""),1.0)</f>
        <v>1</v>
      </c>
      <c r="L2562" s="308">
        <f>IFERROR(__xludf.DUMMYFUNCTION("""COMPUTED_VALUE"""),2015.0)</f>
        <v>2015</v>
      </c>
      <c r="M2562" s="308" t="s">
        <v>10529</v>
      </c>
      <c r="N2562" s="308"/>
      <c r="O2562" s="308" t="s">
        <v>635</v>
      </c>
      <c r="P2562" s="308" t="s">
        <v>1481</v>
      </c>
      <c r="Q2562" s="308"/>
      <c r="R2562" s="308"/>
      <c r="S2562" s="308" t="s">
        <v>81</v>
      </c>
      <c r="T2562" s="308" t="s">
        <v>35048</v>
      </c>
      <c r="U2562" s="308" t="s">
        <v>166</v>
      </c>
      <c r="V2562" s="312"/>
    </row>
    <row r="2563">
      <c r="A2563" s="308">
        <v>2562.0</v>
      </c>
      <c r="B2563" s="308"/>
      <c r="C2563" s="308" t="s">
        <v>10530</v>
      </c>
      <c r="D2563" s="308" t="str">
        <f>IFERROR(__xludf.DUMMYFUNCTION("SPLIT(C2563,""-"")"),"#REF!")</f>
        <v>#REF!</v>
      </c>
      <c r="E2563" s="311"/>
      <c r="F2563" s="317" t="s">
        <v>39</v>
      </c>
      <c r="G2563" s="308"/>
      <c r="H2563" s="308" t="s">
        <v>10531</v>
      </c>
      <c r="I2563" s="310">
        <v>41343.0</v>
      </c>
      <c r="J2563" s="319">
        <f>IFERROR(__xludf.DUMMYFUNCTION("SPLIT(I2563,""/"")"),10.0)</f>
        <v>10</v>
      </c>
      <c r="K2563" s="308">
        <f>IFERROR(__xludf.DUMMYFUNCTION("""COMPUTED_VALUE"""),3.0)</f>
        <v>3</v>
      </c>
      <c r="L2563" s="308">
        <f>IFERROR(__xludf.DUMMYFUNCTION("""COMPUTED_VALUE"""),2013.0)</f>
        <v>2013</v>
      </c>
      <c r="M2563" s="308" t="s">
        <v>10532</v>
      </c>
      <c r="N2563" s="308"/>
      <c r="O2563" s="308" t="s">
        <v>10533</v>
      </c>
      <c r="P2563" s="308" t="s">
        <v>136</v>
      </c>
      <c r="Q2563" s="308"/>
      <c r="R2563" s="308"/>
      <c r="S2563" s="315" t="s">
        <v>100</v>
      </c>
      <c r="T2563" s="308" t="s">
        <v>34208</v>
      </c>
      <c r="U2563" s="312"/>
      <c r="V2563" s="312"/>
    </row>
    <row r="2564">
      <c r="A2564" s="308">
        <v>2563.0</v>
      </c>
      <c r="B2564" s="308"/>
      <c r="C2564" s="308" t="s">
        <v>10534</v>
      </c>
      <c r="D2564" s="308">
        <f>IFERROR(__xludf.DUMMYFUNCTION("SPLIT(C2564,""-"")"),2584.0)</f>
        <v>2584</v>
      </c>
      <c r="E2564" s="308" t="str">
        <f>IFERROR(__xludf.DUMMYFUNCTION("""COMPUTED_VALUE""")," K")</f>
        <v> K</v>
      </c>
      <c r="F2564" s="309" t="s">
        <v>34</v>
      </c>
      <c r="G2564" s="308"/>
      <c r="H2564" s="308" t="s">
        <v>10535</v>
      </c>
      <c r="I2564" s="310">
        <v>39930.0</v>
      </c>
      <c r="J2564" s="319">
        <f>IFERROR(__xludf.DUMMYFUNCTION("SPLIT(I2564,""/"")"),27.0)</f>
        <v>27</v>
      </c>
      <c r="K2564" s="308">
        <f>IFERROR(__xludf.DUMMYFUNCTION("""COMPUTED_VALUE"""),4.0)</f>
        <v>4</v>
      </c>
      <c r="L2564" s="308">
        <f>IFERROR(__xludf.DUMMYFUNCTION("""COMPUTED_VALUE"""),2009.0)</f>
        <v>2009</v>
      </c>
      <c r="M2564" s="308" t="s">
        <v>10536</v>
      </c>
      <c r="N2564" s="308"/>
      <c r="O2564" s="308" t="s">
        <v>10537</v>
      </c>
      <c r="P2564" s="308" t="s">
        <v>1872</v>
      </c>
      <c r="Q2564" s="308"/>
      <c r="R2564" s="308"/>
      <c r="S2564" s="315" t="s">
        <v>100</v>
      </c>
      <c r="T2564" s="311" t="s">
        <v>34208</v>
      </c>
      <c r="U2564" s="308" t="s">
        <v>530</v>
      </c>
      <c r="V2564" s="312"/>
    </row>
    <row r="2565">
      <c r="A2565" s="308">
        <v>2564.0</v>
      </c>
      <c r="B2565" s="308"/>
      <c r="C2565" s="308" t="s">
        <v>10538</v>
      </c>
      <c r="D2565" s="308">
        <f>IFERROR(__xludf.DUMMYFUNCTION("SPLIT(C2565,""-"")"),2585.0)</f>
        <v>2585</v>
      </c>
      <c r="E2565" s="308" t="str">
        <f>IFERROR(__xludf.DUMMYFUNCTION("""COMPUTED_VALUE""")," K")</f>
        <v> K</v>
      </c>
      <c r="F2565" s="309" t="s">
        <v>34</v>
      </c>
      <c r="G2565" s="308"/>
      <c r="H2565" s="308" t="s">
        <v>10539</v>
      </c>
      <c r="I2565" s="316">
        <v>2009.0</v>
      </c>
      <c r="J2565" s="319"/>
      <c r="K2565" s="308"/>
      <c r="L2565" s="311">
        <v>2009.0</v>
      </c>
      <c r="M2565" s="308" t="s">
        <v>10540</v>
      </c>
      <c r="N2565" s="308" t="s">
        <v>10541</v>
      </c>
      <c r="O2565" s="308" t="s">
        <v>635</v>
      </c>
      <c r="P2565" s="308" t="s">
        <v>1872</v>
      </c>
      <c r="Q2565" s="308"/>
      <c r="R2565" s="308"/>
      <c r="S2565" s="315" t="s">
        <v>100</v>
      </c>
      <c r="T2565" s="311" t="s">
        <v>34208</v>
      </c>
      <c r="U2565" s="308" t="s">
        <v>530</v>
      </c>
      <c r="V2565" s="312"/>
    </row>
    <row r="2566">
      <c r="A2566" s="308">
        <v>2565.0</v>
      </c>
      <c r="B2566" s="308"/>
      <c r="C2566" s="308" t="s">
        <v>10542</v>
      </c>
      <c r="D2566" s="308">
        <f>IFERROR(__xludf.DUMMYFUNCTION("SPLIT(C2566,""-"")"),2586.0)</f>
        <v>2586</v>
      </c>
      <c r="E2566" s="308" t="str">
        <f>IFERROR(__xludf.DUMMYFUNCTION("""COMPUTED_VALUE""")," P")</f>
        <v> P</v>
      </c>
      <c r="F2566" s="312" t="s">
        <v>37</v>
      </c>
      <c r="G2566" s="308"/>
      <c r="H2566" s="308" t="s">
        <v>10543</v>
      </c>
      <c r="I2566" s="314">
        <v>42108.0</v>
      </c>
      <c r="J2566" s="319">
        <f>IFERROR(__xludf.DUMMYFUNCTION("SPLIT(I2566,""/"")"),14.0)</f>
        <v>14</v>
      </c>
      <c r="K2566" s="308">
        <f>IFERROR(__xludf.DUMMYFUNCTION("""COMPUTED_VALUE"""),4.0)</f>
        <v>4</v>
      </c>
      <c r="L2566" s="308">
        <f>IFERROR(__xludf.DUMMYFUNCTION("""COMPUTED_VALUE"""),2015.0)</f>
        <v>2015</v>
      </c>
      <c r="M2566" s="308" t="s">
        <v>10544</v>
      </c>
      <c r="N2566" s="308"/>
      <c r="O2566" s="308" t="s">
        <v>10545</v>
      </c>
      <c r="P2566" s="308" t="s">
        <v>10546</v>
      </c>
      <c r="Q2566" s="308"/>
      <c r="R2566" s="308"/>
      <c r="S2566" s="308" t="s">
        <v>81</v>
      </c>
      <c r="T2566" s="311" t="s">
        <v>77</v>
      </c>
      <c r="U2566" s="308"/>
      <c r="V2566" s="312"/>
    </row>
    <row r="2567">
      <c r="A2567" s="308">
        <v>2566.0</v>
      </c>
      <c r="B2567" s="308"/>
      <c r="C2567" s="308" t="s">
        <v>10547</v>
      </c>
      <c r="D2567" s="308">
        <f>IFERROR(__xludf.DUMMYFUNCTION("SPLIT(C2567,""-"")"),2587.0)</f>
        <v>2587</v>
      </c>
      <c r="E2567" s="308" t="str">
        <f>IFERROR(__xludf.DUMMYFUNCTION("""COMPUTED_VALUE""")," P")</f>
        <v> P</v>
      </c>
      <c r="F2567" s="312" t="s">
        <v>37</v>
      </c>
      <c r="G2567" s="308"/>
      <c r="H2567" s="308" t="s">
        <v>10548</v>
      </c>
      <c r="I2567" s="314">
        <v>42108.0</v>
      </c>
      <c r="J2567" s="319">
        <f>IFERROR(__xludf.DUMMYFUNCTION("SPLIT(I2567,""/"")"),14.0)</f>
        <v>14</v>
      </c>
      <c r="K2567" s="308">
        <f>IFERROR(__xludf.DUMMYFUNCTION("""COMPUTED_VALUE"""),4.0)</f>
        <v>4</v>
      </c>
      <c r="L2567" s="308">
        <f>IFERROR(__xludf.DUMMYFUNCTION("""COMPUTED_VALUE"""),2015.0)</f>
        <v>2015</v>
      </c>
      <c r="M2567" s="308" t="s">
        <v>10549</v>
      </c>
      <c r="N2567" s="308"/>
      <c r="O2567" s="308" t="s">
        <v>10550</v>
      </c>
      <c r="P2567" s="308" t="s">
        <v>10546</v>
      </c>
      <c r="Q2567" s="308"/>
      <c r="R2567" s="308"/>
      <c r="S2567" s="308" t="s">
        <v>81</v>
      </c>
      <c r="T2567" s="311" t="s">
        <v>77</v>
      </c>
      <c r="U2567" s="308"/>
      <c r="V2567" s="312"/>
    </row>
    <row r="2568">
      <c r="A2568" s="308">
        <v>2567.0</v>
      </c>
      <c r="B2568" s="308"/>
      <c r="C2568" s="308" t="s">
        <v>10551</v>
      </c>
      <c r="D2568" s="308">
        <f>IFERROR(__xludf.DUMMYFUNCTION("SPLIT(C2568,""-"")"),2588.0)</f>
        <v>2588</v>
      </c>
      <c r="E2568" s="308" t="str">
        <f>IFERROR(__xludf.DUMMYFUNCTION("""COMPUTED_VALUE""")," P")</f>
        <v> P</v>
      </c>
      <c r="F2568" s="312" t="s">
        <v>37</v>
      </c>
      <c r="G2568" s="308"/>
      <c r="H2568" s="308" t="s">
        <v>10552</v>
      </c>
      <c r="I2568" s="314">
        <v>42108.0</v>
      </c>
      <c r="J2568" s="319">
        <f>IFERROR(__xludf.DUMMYFUNCTION("SPLIT(I2568,""/"")"),14.0)</f>
        <v>14</v>
      </c>
      <c r="K2568" s="308">
        <f>IFERROR(__xludf.DUMMYFUNCTION("""COMPUTED_VALUE"""),4.0)</f>
        <v>4</v>
      </c>
      <c r="L2568" s="308">
        <f>IFERROR(__xludf.DUMMYFUNCTION("""COMPUTED_VALUE"""),2015.0)</f>
        <v>2015</v>
      </c>
      <c r="M2568" s="308" t="s">
        <v>36704</v>
      </c>
      <c r="N2568" s="308"/>
      <c r="O2568" s="308" t="s">
        <v>10550</v>
      </c>
      <c r="P2568" s="308" t="s">
        <v>10546</v>
      </c>
      <c r="Q2568" s="308"/>
      <c r="R2568" s="308"/>
      <c r="S2568" s="308" t="s">
        <v>81</v>
      </c>
      <c r="T2568" s="311" t="s">
        <v>77</v>
      </c>
      <c r="U2568" s="308"/>
      <c r="V2568" s="312"/>
    </row>
    <row r="2569">
      <c r="A2569" s="308">
        <v>2568.0</v>
      </c>
      <c r="B2569" s="308"/>
      <c r="C2569" s="308" t="s">
        <v>10554</v>
      </c>
      <c r="D2569" s="308">
        <f>IFERROR(__xludf.DUMMYFUNCTION("SPLIT(C2569,""-"")"),2589.0)</f>
        <v>2589</v>
      </c>
      <c r="E2569" s="308" t="str">
        <f>IFERROR(__xludf.DUMMYFUNCTION("""COMPUTED_VALUE""")," K")</f>
        <v> K</v>
      </c>
      <c r="F2569" s="309" t="s">
        <v>34</v>
      </c>
      <c r="G2569" s="308"/>
      <c r="H2569" s="308" t="s">
        <v>10555</v>
      </c>
      <c r="I2569" s="314">
        <v>40984.0</v>
      </c>
      <c r="J2569" s="319">
        <f>IFERROR(__xludf.DUMMYFUNCTION("SPLIT(I2569,""/"")"),16.0)</f>
        <v>16</v>
      </c>
      <c r="K2569" s="308">
        <f>IFERROR(__xludf.DUMMYFUNCTION("""COMPUTED_VALUE"""),3.0)</f>
        <v>3</v>
      </c>
      <c r="L2569" s="308">
        <f>IFERROR(__xludf.DUMMYFUNCTION("""COMPUTED_VALUE"""),2012.0)</f>
        <v>2012</v>
      </c>
      <c r="M2569" s="308" t="s">
        <v>10556</v>
      </c>
      <c r="N2569" s="308"/>
      <c r="O2569" s="308" t="s">
        <v>10557</v>
      </c>
      <c r="P2569" s="308" t="s">
        <v>6262</v>
      </c>
      <c r="Q2569" s="308"/>
      <c r="R2569" s="308"/>
      <c r="S2569" s="315" t="s">
        <v>100</v>
      </c>
      <c r="T2569" s="311" t="s">
        <v>34208</v>
      </c>
      <c r="U2569" s="308" t="s">
        <v>368</v>
      </c>
      <c r="V2569" s="312"/>
    </row>
    <row r="2570">
      <c r="A2570" s="308">
        <v>2569.0</v>
      </c>
      <c r="B2570" s="308"/>
      <c r="C2570" s="308" t="s">
        <v>10558</v>
      </c>
      <c r="D2570" s="308">
        <f>IFERROR(__xludf.DUMMYFUNCTION("SPLIT(C2570,""-"")"),2590.0)</f>
        <v>2590</v>
      </c>
      <c r="E2570" s="308" t="str">
        <f>IFERROR(__xludf.DUMMYFUNCTION("""COMPUTED_VALUE""")," K")</f>
        <v> K</v>
      </c>
      <c r="F2570" s="309" t="s">
        <v>34</v>
      </c>
      <c r="G2570" s="308" t="s">
        <v>10559</v>
      </c>
      <c r="H2570" s="308" t="s">
        <v>10560</v>
      </c>
      <c r="I2570" s="314">
        <v>40076.0</v>
      </c>
      <c r="J2570" s="319">
        <f>IFERROR(__xludf.DUMMYFUNCTION("SPLIT(I2570,""/"")"),20.0)</f>
        <v>20</v>
      </c>
      <c r="K2570" s="308">
        <f>IFERROR(__xludf.DUMMYFUNCTION("""COMPUTED_VALUE"""),9.0)</f>
        <v>9</v>
      </c>
      <c r="L2570" s="308">
        <f>IFERROR(__xludf.DUMMYFUNCTION("""COMPUTED_VALUE"""),2009.0)</f>
        <v>2009</v>
      </c>
      <c r="M2570" s="308" t="s">
        <v>10561</v>
      </c>
      <c r="N2570" s="308"/>
      <c r="O2570" s="308" t="s">
        <v>10562</v>
      </c>
      <c r="P2570" s="308" t="s">
        <v>6381</v>
      </c>
      <c r="Q2570" s="308"/>
      <c r="R2570" s="308"/>
      <c r="S2570" s="315" t="s">
        <v>100</v>
      </c>
      <c r="T2570" s="311" t="s">
        <v>34208</v>
      </c>
      <c r="U2570" s="308" t="s">
        <v>201</v>
      </c>
      <c r="V2570" s="312"/>
    </row>
    <row r="2571">
      <c r="A2571" s="308">
        <v>2570.0</v>
      </c>
      <c r="B2571" s="308"/>
      <c r="C2571" s="308" t="s">
        <v>10563</v>
      </c>
      <c r="D2571" s="308">
        <f>IFERROR(__xludf.DUMMYFUNCTION("SPLIT(C2571,""-"")"),2591.0)</f>
        <v>2591</v>
      </c>
      <c r="E2571" s="308" t="str">
        <f>IFERROR(__xludf.DUMMYFUNCTION("""COMPUTED_VALUE""")," K")</f>
        <v> K</v>
      </c>
      <c r="F2571" s="309" t="s">
        <v>34</v>
      </c>
      <c r="G2571" s="308"/>
      <c r="H2571" s="308" t="s">
        <v>10564</v>
      </c>
      <c r="I2571" s="314">
        <v>41622.0</v>
      </c>
      <c r="J2571" s="319">
        <f>IFERROR(__xludf.DUMMYFUNCTION("SPLIT(I2571,""/"")"),14.0)</f>
        <v>14</v>
      </c>
      <c r="K2571" s="308">
        <f>IFERROR(__xludf.DUMMYFUNCTION("""COMPUTED_VALUE"""),12.0)</f>
        <v>12</v>
      </c>
      <c r="L2571" s="308">
        <f>IFERROR(__xludf.DUMMYFUNCTION("""COMPUTED_VALUE"""),2013.0)</f>
        <v>2013</v>
      </c>
      <c r="M2571" s="308" t="s">
        <v>10565</v>
      </c>
      <c r="N2571" s="308"/>
      <c r="O2571" s="308" t="s">
        <v>10566</v>
      </c>
      <c r="P2571" s="308" t="s">
        <v>10567</v>
      </c>
      <c r="Q2571" s="308"/>
      <c r="R2571" s="308"/>
      <c r="S2571" s="308" t="s">
        <v>81</v>
      </c>
      <c r="T2571" s="308" t="s">
        <v>34264</v>
      </c>
      <c r="U2571" s="308"/>
      <c r="V2571" s="312"/>
    </row>
    <row r="2572">
      <c r="A2572" s="308">
        <v>2571.0</v>
      </c>
      <c r="B2572" s="308"/>
      <c r="C2572" s="308" t="s">
        <v>10568</v>
      </c>
      <c r="D2572" s="308">
        <f>IFERROR(__xludf.DUMMYFUNCTION("SPLIT(C2572,""-"")"),2592.0)</f>
        <v>2592</v>
      </c>
      <c r="E2572" s="308" t="str">
        <f>IFERROR(__xludf.DUMMYFUNCTION("""COMPUTED_VALUE""")," K")</f>
        <v> K</v>
      </c>
      <c r="F2572" s="309" t="s">
        <v>34</v>
      </c>
      <c r="G2572" s="308"/>
      <c r="H2572" s="308" t="s">
        <v>10569</v>
      </c>
      <c r="I2572" s="314">
        <v>42068.0</v>
      </c>
      <c r="J2572" s="319">
        <f>IFERROR(__xludf.DUMMYFUNCTION("SPLIT(I2572,""/"")"),5.0)</f>
        <v>5</v>
      </c>
      <c r="K2572" s="308">
        <f>IFERROR(__xludf.DUMMYFUNCTION("""COMPUTED_VALUE"""),3.0)</f>
        <v>3</v>
      </c>
      <c r="L2572" s="308">
        <f>IFERROR(__xludf.DUMMYFUNCTION("""COMPUTED_VALUE"""),2015.0)</f>
        <v>2015</v>
      </c>
      <c r="M2572" s="308" t="s">
        <v>10570</v>
      </c>
      <c r="N2572" s="308"/>
      <c r="O2572" s="308" t="s">
        <v>10571</v>
      </c>
      <c r="P2572" s="308" t="s">
        <v>10572</v>
      </c>
      <c r="Q2572" s="308"/>
      <c r="R2572" s="308"/>
      <c r="S2572" s="308" t="s">
        <v>81</v>
      </c>
      <c r="T2572" s="311" t="s">
        <v>75</v>
      </c>
      <c r="U2572" s="308"/>
      <c r="V2572" s="312"/>
    </row>
    <row r="2573">
      <c r="A2573" s="308">
        <v>2572.0</v>
      </c>
      <c r="B2573" s="308"/>
      <c r="C2573" s="308" t="s">
        <v>10573</v>
      </c>
      <c r="D2573" s="308">
        <f>IFERROR(__xludf.DUMMYFUNCTION("SPLIT(C2573,""-"")"),2593.0)</f>
        <v>2593</v>
      </c>
      <c r="E2573" s="308" t="str">
        <f>IFERROR(__xludf.DUMMYFUNCTION("""COMPUTED_VALUE""")," K")</f>
        <v> K</v>
      </c>
      <c r="F2573" s="309" t="s">
        <v>34</v>
      </c>
      <c r="G2573" s="308" t="s">
        <v>1982</v>
      </c>
      <c r="H2573" s="308" t="s">
        <v>10574</v>
      </c>
      <c r="I2573" s="314">
        <v>41692.0</v>
      </c>
      <c r="J2573" s="319">
        <f>IFERROR(__xludf.DUMMYFUNCTION("SPLIT(I2573,""/"")"),22.0)</f>
        <v>22</v>
      </c>
      <c r="K2573" s="308">
        <f>IFERROR(__xludf.DUMMYFUNCTION("""COMPUTED_VALUE"""),2.0)</f>
        <v>2</v>
      </c>
      <c r="L2573" s="308">
        <f>IFERROR(__xludf.DUMMYFUNCTION("""COMPUTED_VALUE"""),2014.0)</f>
        <v>2014</v>
      </c>
      <c r="M2573" s="308" t="s">
        <v>10575</v>
      </c>
      <c r="N2573" s="308"/>
      <c r="O2573" s="308" t="s">
        <v>10576</v>
      </c>
      <c r="P2573" s="308" t="s">
        <v>36705</v>
      </c>
      <c r="Q2573" s="308"/>
      <c r="R2573" s="308"/>
      <c r="S2573" s="315" t="s">
        <v>100</v>
      </c>
      <c r="T2573" s="311" t="s">
        <v>34208</v>
      </c>
      <c r="U2573" s="308" t="s">
        <v>125</v>
      </c>
      <c r="V2573" s="312"/>
    </row>
    <row r="2574">
      <c r="A2574" s="308">
        <v>2573.0</v>
      </c>
      <c r="B2574" s="308"/>
      <c r="C2574" s="308" t="s">
        <v>10578</v>
      </c>
      <c r="D2574" s="308">
        <f>IFERROR(__xludf.DUMMYFUNCTION("SPLIT(C2574,""-"")"),2594.0)</f>
        <v>2594</v>
      </c>
      <c r="E2574" s="308" t="str">
        <f>IFERROR(__xludf.DUMMYFUNCTION("""COMPUTED_VALUE""")," S")</f>
        <v> S</v>
      </c>
      <c r="F2574" s="312" t="s">
        <v>39</v>
      </c>
      <c r="G2574" s="308" t="s">
        <v>10527</v>
      </c>
      <c r="H2574" s="308" t="s">
        <v>10579</v>
      </c>
      <c r="I2574" s="310">
        <v>42015.0</v>
      </c>
      <c r="J2574" s="319">
        <f>IFERROR(__xludf.DUMMYFUNCTION("SPLIT(I2574,""/"")"),11.0)</f>
        <v>11</v>
      </c>
      <c r="K2574" s="308">
        <f>IFERROR(__xludf.DUMMYFUNCTION("""COMPUTED_VALUE"""),1.0)</f>
        <v>1</v>
      </c>
      <c r="L2574" s="308">
        <f>IFERROR(__xludf.DUMMYFUNCTION("""COMPUTED_VALUE"""),2015.0)</f>
        <v>2015</v>
      </c>
      <c r="M2574" s="308" t="s">
        <v>10580</v>
      </c>
      <c r="N2574" s="308"/>
      <c r="O2574" s="308" t="s">
        <v>635</v>
      </c>
      <c r="P2574" s="308" t="s">
        <v>36706</v>
      </c>
      <c r="Q2574" s="308"/>
      <c r="R2574" s="308"/>
      <c r="S2574" s="308" t="s">
        <v>81</v>
      </c>
      <c r="T2574" s="308" t="s">
        <v>73</v>
      </c>
      <c r="U2574" s="308" t="s">
        <v>166</v>
      </c>
      <c r="V2574" s="312"/>
    </row>
    <row r="2575">
      <c r="A2575" s="308">
        <v>2574.0</v>
      </c>
      <c r="B2575" s="308"/>
      <c r="C2575" s="308" t="s">
        <v>10582</v>
      </c>
      <c r="D2575" s="308">
        <f>IFERROR(__xludf.DUMMYFUNCTION("SPLIT(C2575,""-"")"),2595.0)</f>
        <v>2595</v>
      </c>
      <c r="E2575" s="308" t="str">
        <f>IFERROR(__xludf.DUMMYFUNCTION("""COMPUTED_VALUE""")," S")</f>
        <v> S</v>
      </c>
      <c r="F2575" s="312" t="s">
        <v>39</v>
      </c>
      <c r="G2575" s="308"/>
      <c r="H2575" s="308" t="s">
        <v>10583</v>
      </c>
      <c r="I2575" s="314">
        <v>42055.0</v>
      </c>
      <c r="J2575" s="319">
        <f>IFERROR(__xludf.DUMMYFUNCTION("SPLIT(I2575,""/"")"),20.0)</f>
        <v>20</v>
      </c>
      <c r="K2575" s="308">
        <f>IFERROR(__xludf.DUMMYFUNCTION("""COMPUTED_VALUE"""),2.0)</f>
        <v>2</v>
      </c>
      <c r="L2575" s="308">
        <f>IFERROR(__xludf.DUMMYFUNCTION("""COMPUTED_VALUE"""),2015.0)</f>
        <v>2015</v>
      </c>
      <c r="M2575" s="308" t="s">
        <v>10584</v>
      </c>
      <c r="N2575" s="308"/>
      <c r="O2575" s="308" t="s">
        <v>635</v>
      </c>
      <c r="P2575" s="308" t="s">
        <v>10585</v>
      </c>
      <c r="Q2575" s="308"/>
      <c r="R2575" s="308"/>
      <c r="S2575" s="308" t="s">
        <v>49</v>
      </c>
      <c r="T2575" s="311" t="s">
        <v>69</v>
      </c>
      <c r="U2575" s="308" t="s">
        <v>166</v>
      </c>
      <c r="V2575" s="312"/>
    </row>
    <row r="2576">
      <c r="A2576" s="308">
        <v>2575.0</v>
      </c>
      <c r="B2576" s="308"/>
      <c r="C2576" s="308" t="s">
        <v>10586</v>
      </c>
      <c r="D2576" s="308">
        <f>IFERROR(__xludf.DUMMYFUNCTION("SPLIT(C2576,""-"")"),2596.0)</f>
        <v>2596</v>
      </c>
      <c r="E2576" s="308" t="str">
        <f>IFERROR(__xludf.DUMMYFUNCTION("""COMPUTED_VALUE""")," P")</f>
        <v> P</v>
      </c>
      <c r="F2576" s="312" t="s">
        <v>37</v>
      </c>
      <c r="G2576" s="308"/>
      <c r="H2576" s="308" t="s">
        <v>10587</v>
      </c>
      <c r="I2576" s="314">
        <v>41832.0</v>
      </c>
      <c r="J2576" s="319">
        <f>IFERROR(__xludf.DUMMYFUNCTION("SPLIT(I2576,""/"")"),12.0)</f>
        <v>12</v>
      </c>
      <c r="K2576" s="308">
        <f>IFERROR(__xludf.DUMMYFUNCTION("""COMPUTED_VALUE"""),7.0)</f>
        <v>7</v>
      </c>
      <c r="L2576" s="308">
        <f>IFERROR(__xludf.DUMMYFUNCTION("""COMPUTED_VALUE"""),2014.0)</f>
        <v>2014</v>
      </c>
      <c r="M2576" s="308" t="s">
        <v>10588</v>
      </c>
      <c r="N2576" s="308"/>
      <c r="O2576" s="308"/>
      <c r="P2576" s="308" t="s">
        <v>10175</v>
      </c>
      <c r="Q2576" s="308"/>
      <c r="R2576" s="308"/>
      <c r="S2576" s="308" t="s">
        <v>81</v>
      </c>
      <c r="T2576" s="311" t="s">
        <v>77</v>
      </c>
      <c r="U2576" s="308"/>
      <c r="V2576" s="312"/>
    </row>
    <row r="2577">
      <c r="A2577" s="308">
        <v>2576.0</v>
      </c>
      <c r="B2577" s="308"/>
      <c r="C2577" s="308" t="s">
        <v>10589</v>
      </c>
      <c r="D2577" s="308">
        <f>IFERROR(__xludf.DUMMYFUNCTION("SPLIT(C2577,""-"")"),2597.0)</f>
        <v>2597</v>
      </c>
      <c r="E2577" s="308" t="str">
        <f>IFERROR(__xludf.DUMMYFUNCTION("""COMPUTED_VALUE""")," P")</f>
        <v> P</v>
      </c>
      <c r="F2577" s="312" t="s">
        <v>37</v>
      </c>
      <c r="G2577" s="308" t="s">
        <v>10590</v>
      </c>
      <c r="H2577" s="308" t="s">
        <v>10591</v>
      </c>
      <c r="I2577" s="314">
        <v>41999.0</v>
      </c>
      <c r="J2577" s="319">
        <f>IFERROR(__xludf.DUMMYFUNCTION("SPLIT(I2577,""/"")"),26.0)</f>
        <v>26</v>
      </c>
      <c r="K2577" s="308">
        <f>IFERROR(__xludf.DUMMYFUNCTION("""COMPUTED_VALUE"""),12.0)</f>
        <v>12</v>
      </c>
      <c r="L2577" s="308">
        <f>IFERROR(__xludf.DUMMYFUNCTION("""COMPUTED_VALUE"""),2014.0)</f>
        <v>2014</v>
      </c>
      <c r="M2577" s="308" t="s">
        <v>10592</v>
      </c>
      <c r="N2577" s="308"/>
      <c r="O2577" s="308" t="s">
        <v>635</v>
      </c>
      <c r="P2577" s="308" t="s">
        <v>10593</v>
      </c>
      <c r="Q2577" s="308"/>
      <c r="R2577" s="308"/>
      <c r="S2577" s="308" t="s">
        <v>81</v>
      </c>
      <c r="T2577" s="311" t="s">
        <v>73</v>
      </c>
      <c r="U2577" s="308"/>
      <c r="V2577" s="312"/>
    </row>
    <row r="2578">
      <c r="A2578" s="308">
        <v>2577.0</v>
      </c>
      <c r="B2578" s="308"/>
      <c r="C2578" s="308" t="s">
        <v>10594</v>
      </c>
      <c r="D2578" s="308">
        <f>IFERROR(__xludf.DUMMYFUNCTION("SPLIT(C2578,""-"")"),2598.0)</f>
        <v>2598</v>
      </c>
      <c r="E2578" s="308" t="str">
        <f>IFERROR(__xludf.DUMMYFUNCTION("""COMPUTED_VALUE""")," S")</f>
        <v> S</v>
      </c>
      <c r="F2578" s="312" t="s">
        <v>39</v>
      </c>
      <c r="G2578" s="308" t="s">
        <v>10595</v>
      </c>
      <c r="H2578" s="308" t="s">
        <v>10596</v>
      </c>
      <c r="I2578" s="314">
        <v>41994.0</v>
      </c>
      <c r="J2578" s="319">
        <f>IFERROR(__xludf.DUMMYFUNCTION("SPLIT(I2578,""/"")"),21.0)</f>
        <v>21</v>
      </c>
      <c r="K2578" s="308">
        <f>IFERROR(__xludf.DUMMYFUNCTION("""COMPUTED_VALUE"""),12.0)</f>
        <v>12</v>
      </c>
      <c r="L2578" s="308">
        <f>IFERROR(__xludf.DUMMYFUNCTION("""COMPUTED_VALUE"""),2014.0)</f>
        <v>2014</v>
      </c>
      <c r="M2578" s="308" t="s">
        <v>10597</v>
      </c>
      <c r="N2578" s="308"/>
      <c r="O2578" s="308" t="s">
        <v>635</v>
      </c>
      <c r="P2578" s="308" t="s">
        <v>622</v>
      </c>
      <c r="Q2578" s="308"/>
      <c r="R2578" s="308"/>
      <c r="S2578" s="308" t="s">
        <v>49</v>
      </c>
      <c r="T2578" s="308" t="s">
        <v>34409</v>
      </c>
      <c r="U2578" s="308" t="s">
        <v>166</v>
      </c>
      <c r="V2578" s="312"/>
    </row>
    <row r="2579">
      <c r="A2579" s="308">
        <v>2578.0</v>
      </c>
      <c r="B2579" s="308"/>
      <c r="C2579" s="308" t="s">
        <v>10598</v>
      </c>
      <c r="D2579" s="308">
        <f>IFERROR(__xludf.DUMMYFUNCTION("SPLIT(C2579,""-"")"),2599.0)</f>
        <v>2599</v>
      </c>
      <c r="E2579" s="308" t="str">
        <f>IFERROR(__xludf.DUMMYFUNCTION("""COMPUTED_VALUE"""),"K")</f>
        <v>K</v>
      </c>
      <c r="F2579" s="309" t="s">
        <v>34</v>
      </c>
      <c r="G2579" s="308" t="s">
        <v>10599</v>
      </c>
      <c r="H2579" s="308" t="s">
        <v>10600</v>
      </c>
      <c r="I2579" s="314">
        <v>41864.0</v>
      </c>
      <c r="J2579" s="319">
        <f>IFERROR(__xludf.DUMMYFUNCTION("SPLIT(I2579,""/"")"),13.0)</f>
        <v>13</v>
      </c>
      <c r="K2579" s="308">
        <f>IFERROR(__xludf.DUMMYFUNCTION("""COMPUTED_VALUE"""),8.0)</f>
        <v>8</v>
      </c>
      <c r="L2579" s="308">
        <f>IFERROR(__xludf.DUMMYFUNCTION("""COMPUTED_VALUE"""),2014.0)</f>
        <v>2014</v>
      </c>
      <c r="M2579" s="308" t="s">
        <v>10601</v>
      </c>
      <c r="N2579" s="308"/>
      <c r="O2579" s="308" t="s">
        <v>10602</v>
      </c>
      <c r="P2579" s="308" t="s">
        <v>10603</v>
      </c>
      <c r="Q2579" s="308"/>
      <c r="R2579" s="308"/>
      <c r="S2579" s="308" t="s">
        <v>81</v>
      </c>
      <c r="T2579" s="308" t="s">
        <v>73</v>
      </c>
      <c r="U2579" s="308"/>
      <c r="V2579" s="312"/>
    </row>
    <row r="2580">
      <c r="A2580" s="308">
        <v>2579.0</v>
      </c>
      <c r="B2580" s="308"/>
      <c r="C2580" s="308" t="s">
        <v>10604</v>
      </c>
      <c r="D2580" s="308">
        <f>IFERROR(__xludf.DUMMYFUNCTION("SPLIT(C2580,""-"")"),2600.0)</f>
        <v>2600</v>
      </c>
      <c r="E2580" s="308" t="str">
        <f>IFERROR(__xludf.DUMMYFUNCTION("""COMPUTED_VALUE"""),"S")</f>
        <v>S</v>
      </c>
      <c r="F2580" s="312" t="s">
        <v>39</v>
      </c>
      <c r="G2580" s="308" t="s">
        <v>10605</v>
      </c>
      <c r="H2580" s="308" t="s">
        <v>10606</v>
      </c>
      <c r="I2580" s="310">
        <v>41648.0</v>
      </c>
      <c r="J2580" s="319">
        <f>IFERROR(__xludf.DUMMYFUNCTION("SPLIT(I2580,""/"")"),9.0)</f>
        <v>9</v>
      </c>
      <c r="K2580" s="308">
        <f>IFERROR(__xludf.DUMMYFUNCTION("""COMPUTED_VALUE"""),1.0)</f>
        <v>1</v>
      </c>
      <c r="L2580" s="308">
        <f>IFERROR(__xludf.DUMMYFUNCTION("""COMPUTED_VALUE"""),2014.0)</f>
        <v>2014</v>
      </c>
      <c r="M2580" s="308" t="s">
        <v>10607</v>
      </c>
      <c r="N2580" s="308"/>
      <c r="O2580" s="308" t="s">
        <v>10608</v>
      </c>
      <c r="P2580" s="308" t="s">
        <v>36707</v>
      </c>
      <c r="Q2580" s="308"/>
      <c r="R2580" s="308"/>
      <c r="S2580" s="315" t="s">
        <v>100</v>
      </c>
      <c r="T2580" s="311" t="s">
        <v>34208</v>
      </c>
      <c r="U2580" s="308" t="s">
        <v>166</v>
      </c>
      <c r="V2580" s="312"/>
    </row>
    <row r="2581">
      <c r="A2581" s="308">
        <v>2580.0</v>
      </c>
      <c r="B2581" s="308"/>
      <c r="C2581" s="308" t="s">
        <v>10609</v>
      </c>
      <c r="D2581" s="308">
        <f>IFERROR(__xludf.DUMMYFUNCTION("SPLIT(C2581,""-"")"),2601.0)</f>
        <v>2601</v>
      </c>
      <c r="E2581" s="308" t="str">
        <f>IFERROR(__xludf.DUMMYFUNCTION("""COMPUTED_VALUE"""),"B")</f>
        <v>B</v>
      </c>
      <c r="F2581" s="315" t="s">
        <v>26</v>
      </c>
      <c r="G2581" s="308" t="s">
        <v>10610</v>
      </c>
      <c r="H2581" s="308" t="s">
        <v>10611</v>
      </c>
      <c r="I2581" s="314">
        <v>41939.0</v>
      </c>
      <c r="J2581" s="319">
        <f>IFERROR(__xludf.DUMMYFUNCTION("SPLIT(I2581,""/"")"),27.0)</f>
        <v>27</v>
      </c>
      <c r="K2581" s="308">
        <f>IFERROR(__xludf.DUMMYFUNCTION("""COMPUTED_VALUE"""),10.0)</f>
        <v>10</v>
      </c>
      <c r="L2581" s="308">
        <f>IFERROR(__xludf.DUMMYFUNCTION("""COMPUTED_VALUE"""),2014.0)</f>
        <v>2014</v>
      </c>
      <c r="M2581" s="308" t="s">
        <v>10612</v>
      </c>
      <c r="N2581" s="308"/>
      <c r="O2581" s="308"/>
      <c r="P2581" s="308" t="s">
        <v>10613</v>
      </c>
      <c r="Q2581" s="308"/>
      <c r="R2581" s="308"/>
      <c r="S2581" s="308" t="s">
        <v>81</v>
      </c>
      <c r="T2581" s="308" t="s">
        <v>75</v>
      </c>
      <c r="U2581" s="308" t="s">
        <v>27</v>
      </c>
      <c r="V2581" s="312"/>
    </row>
    <row r="2582">
      <c r="A2582" s="308">
        <v>2581.0</v>
      </c>
      <c r="B2582" s="308"/>
      <c r="C2582" s="308" t="s">
        <v>10614</v>
      </c>
      <c r="D2582" s="308">
        <f>IFERROR(__xludf.DUMMYFUNCTION("SPLIT(C2582,""-"")"),2602.0)</f>
        <v>2602</v>
      </c>
      <c r="E2582" s="308" t="str">
        <f>IFERROR(__xludf.DUMMYFUNCTION("""COMPUTED_VALUE"""),"K")</f>
        <v>K</v>
      </c>
      <c r="F2582" s="309" t="s">
        <v>34</v>
      </c>
      <c r="G2582" s="308"/>
      <c r="H2582" s="308" t="s">
        <v>10615</v>
      </c>
      <c r="I2582" s="316">
        <v>2013.0</v>
      </c>
      <c r="J2582" s="319"/>
      <c r="K2582" s="308"/>
      <c r="L2582" s="311">
        <v>2013.0</v>
      </c>
      <c r="M2582" s="308" t="s">
        <v>10616</v>
      </c>
      <c r="N2582" s="308"/>
      <c r="O2582" s="308" t="s">
        <v>10617</v>
      </c>
      <c r="P2582" s="308" t="s">
        <v>2872</v>
      </c>
      <c r="Q2582" s="308"/>
      <c r="R2582" s="308"/>
      <c r="S2582" s="315" t="s">
        <v>100</v>
      </c>
      <c r="T2582" s="311" t="s">
        <v>34208</v>
      </c>
      <c r="U2582" s="308" t="s">
        <v>125</v>
      </c>
      <c r="V2582" s="312"/>
    </row>
    <row r="2583">
      <c r="A2583" s="308">
        <v>2582.0</v>
      </c>
      <c r="B2583" s="308"/>
      <c r="C2583" s="308" t="s">
        <v>10618</v>
      </c>
      <c r="D2583" s="308">
        <f>IFERROR(__xludf.DUMMYFUNCTION("SPLIT(C2583,""-"")"),2603.0)</f>
        <v>2603</v>
      </c>
      <c r="E2583" s="308" t="str">
        <f>IFERROR(__xludf.DUMMYFUNCTION("""COMPUTED_VALUE"""),"ICT")</f>
        <v>ICT</v>
      </c>
      <c r="F2583" s="315" t="s">
        <v>31</v>
      </c>
      <c r="G2583" s="308"/>
      <c r="H2583" s="308" t="s">
        <v>36708</v>
      </c>
      <c r="I2583" s="310">
        <v>42091.0</v>
      </c>
      <c r="J2583" s="319">
        <f>IFERROR(__xludf.DUMMYFUNCTION("SPLIT(I2583,""/"")"),28.0)</f>
        <v>28</v>
      </c>
      <c r="K2583" s="308">
        <f>IFERROR(__xludf.DUMMYFUNCTION("""COMPUTED_VALUE"""),3.0)</f>
        <v>3</v>
      </c>
      <c r="L2583" s="308">
        <f>IFERROR(__xludf.DUMMYFUNCTION("""COMPUTED_VALUE"""),2015.0)</f>
        <v>2015</v>
      </c>
      <c r="M2583" s="308" t="s">
        <v>10620</v>
      </c>
      <c r="N2583" s="308"/>
      <c r="O2583" s="308" t="s">
        <v>10621</v>
      </c>
      <c r="P2583" s="308" t="s">
        <v>10622</v>
      </c>
      <c r="Q2583" s="308"/>
      <c r="R2583" s="308"/>
      <c r="S2583" s="308" t="s">
        <v>81</v>
      </c>
      <c r="T2583" s="311" t="s">
        <v>75</v>
      </c>
      <c r="U2583" s="308"/>
      <c r="V2583" s="312"/>
    </row>
    <row r="2584">
      <c r="A2584" s="308">
        <v>2583.0</v>
      </c>
      <c r="B2584" s="308"/>
      <c r="C2584" s="308" t="s">
        <v>10623</v>
      </c>
      <c r="D2584" s="308">
        <f>IFERROR(__xludf.DUMMYFUNCTION("SPLIT(C2584,""-"")"),2604.0)</f>
        <v>2604</v>
      </c>
      <c r="E2584" s="308" t="str">
        <f>IFERROR(__xludf.DUMMYFUNCTION("""COMPUTED_VALUE"""),"P")</f>
        <v>P</v>
      </c>
      <c r="F2584" s="312" t="s">
        <v>37</v>
      </c>
      <c r="G2584" s="308"/>
      <c r="H2584" s="308" t="s">
        <v>10624</v>
      </c>
      <c r="I2584" s="310">
        <v>42100.0</v>
      </c>
      <c r="J2584" s="319">
        <f>IFERROR(__xludf.DUMMYFUNCTION("SPLIT(I2584,""/"")"),6.0)</f>
        <v>6</v>
      </c>
      <c r="K2584" s="308">
        <f>IFERROR(__xludf.DUMMYFUNCTION("""COMPUTED_VALUE"""),4.0)</f>
        <v>4</v>
      </c>
      <c r="L2584" s="308">
        <f>IFERROR(__xludf.DUMMYFUNCTION("""COMPUTED_VALUE"""),2015.0)</f>
        <v>2015</v>
      </c>
      <c r="M2584" s="308" t="s">
        <v>10620</v>
      </c>
      <c r="N2584" s="308"/>
      <c r="O2584" s="308" t="s">
        <v>10625</v>
      </c>
      <c r="P2584" s="308" t="s">
        <v>10626</v>
      </c>
      <c r="Q2584" s="308"/>
      <c r="R2584" s="308"/>
      <c r="S2584" s="308" t="s">
        <v>81</v>
      </c>
      <c r="T2584" s="311" t="s">
        <v>73</v>
      </c>
      <c r="U2584" s="308"/>
      <c r="V2584" s="312"/>
    </row>
    <row r="2585">
      <c r="A2585" s="308">
        <v>2584.0</v>
      </c>
      <c r="B2585" s="308"/>
      <c r="C2585" s="308" t="s">
        <v>10627</v>
      </c>
      <c r="D2585" s="308">
        <f>IFERROR(__xludf.DUMMYFUNCTION("SPLIT(C2585,""-"")"),2605.0)</f>
        <v>2605</v>
      </c>
      <c r="E2585" s="308" t="str">
        <f>IFERROR(__xludf.DUMMYFUNCTION("""COMPUTED_VALUE"""),"S")</f>
        <v>S</v>
      </c>
      <c r="F2585" s="312" t="s">
        <v>39</v>
      </c>
      <c r="G2585" s="308"/>
      <c r="H2585" s="308" t="s">
        <v>10628</v>
      </c>
      <c r="I2585" s="310">
        <v>42116.0</v>
      </c>
      <c r="J2585" s="319">
        <f>IFERROR(__xludf.DUMMYFUNCTION("SPLIT(I2585,""/"")"),22.0)</f>
        <v>22</v>
      </c>
      <c r="K2585" s="308">
        <f>IFERROR(__xludf.DUMMYFUNCTION("""COMPUTED_VALUE"""),4.0)</f>
        <v>4</v>
      </c>
      <c r="L2585" s="308">
        <f>IFERROR(__xludf.DUMMYFUNCTION("""COMPUTED_VALUE"""),2015.0)</f>
        <v>2015</v>
      </c>
      <c r="M2585" s="308" t="s">
        <v>10629</v>
      </c>
      <c r="N2585" s="308"/>
      <c r="O2585" s="308" t="s">
        <v>635</v>
      </c>
      <c r="P2585" s="308" t="s">
        <v>1481</v>
      </c>
      <c r="Q2585" s="308"/>
      <c r="R2585" s="308"/>
      <c r="S2585" s="308" t="s">
        <v>81</v>
      </c>
      <c r="T2585" s="308" t="s">
        <v>35048</v>
      </c>
      <c r="U2585" s="308" t="s">
        <v>166</v>
      </c>
      <c r="V2585" s="312"/>
    </row>
    <row r="2586">
      <c r="A2586" s="308">
        <v>2585.0</v>
      </c>
      <c r="B2586" s="308"/>
      <c r="C2586" s="308" t="s">
        <v>10630</v>
      </c>
      <c r="D2586" s="308">
        <f>IFERROR(__xludf.DUMMYFUNCTION("SPLIT(C2586,""-"")"),2606.0)</f>
        <v>2606</v>
      </c>
      <c r="E2586" s="308" t="str">
        <f>IFERROR(__xludf.DUMMYFUNCTION("""COMPUTED_VALUE"""),"P")</f>
        <v>P</v>
      </c>
      <c r="F2586" s="312" t="s">
        <v>37</v>
      </c>
      <c r="G2586" s="308"/>
      <c r="H2586" s="308" t="s">
        <v>10631</v>
      </c>
      <c r="I2586" s="310">
        <v>42046.0</v>
      </c>
      <c r="J2586" s="319">
        <f>IFERROR(__xludf.DUMMYFUNCTION("SPLIT(I2586,""/"")"),11.0)</f>
        <v>11</v>
      </c>
      <c r="K2586" s="308">
        <f>IFERROR(__xludf.DUMMYFUNCTION("""COMPUTED_VALUE"""),2.0)</f>
        <v>2</v>
      </c>
      <c r="L2586" s="308">
        <f>IFERROR(__xludf.DUMMYFUNCTION("""COMPUTED_VALUE"""),2015.0)</f>
        <v>2015</v>
      </c>
      <c r="M2586" s="308" t="s">
        <v>10632</v>
      </c>
      <c r="N2586" s="308"/>
      <c r="O2586" s="308" t="s">
        <v>10633</v>
      </c>
      <c r="P2586" s="308" t="s">
        <v>10634</v>
      </c>
      <c r="Q2586" s="308"/>
      <c r="R2586" s="308"/>
      <c r="S2586" s="308" t="s">
        <v>81</v>
      </c>
      <c r="T2586" s="311" t="s">
        <v>73</v>
      </c>
      <c r="U2586" s="308"/>
      <c r="V2586" s="312"/>
    </row>
    <row r="2587">
      <c r="A2587" s="308">
        <v>2586.0</v>
      </c>
      <c r="B2587" s="308"/>
      <c r="C2587" s="308" t="s">
        <v>10635</v>
      </c>
      <c r="D2587" s="308">
        <f>IFERROR(__xludf.DUMMYFUNCTION("SPLIT(C2587,""-"")"),2607.0)</f>
        <v>2607</v>
      </c>
      <c r="E2587" s="308" t="str">
        <f>IFERROR(__xludf.DUMMYFUNCTION("""COMPUTED_VALUE"""),"F")</f>
        <v>F</v>
      </c>
      <c r="F2587" s="309" t="s">
        <v>34</v>
      </c>
      <c r="G2587" s="308"/>
      <c r="H2587" s="308" t="s">
        <v>10636</v>
      </c>
      <c r="I2587" s="314">
        <v>41256.0</v>
      </c>
      <c r="J2587" s="319">
        <f>IFERROR(__xludf.DUMMYFUNCTION("SPLIT(I2587,""/"")"),13.0)</f>
        <v>13</v>
      </c>
      <c r="K2587" s="308">
        <f>IFERROR(__xludf.DUMMYFUNCTION("""COMPUTED_VALUE"""),12.0)</f>
        <v>12</v>
      </c>
      <c r="L2587" s="308">
        <f>IFERROR(__xludf.DUMMYFUNCTION("""COMPUTED_VALUE"""),2012.0)</f>
        <v>2012</v>
      </c>
      <c r="M2587" s="308" t="s">
        <v>10637</v>
      </c>
      <c r="N2587" s="308"/>
      <c r="O2587" s="308" t="s">
        <v>635</v>
      </c>
      <c r="P2587" s="308" t="s">
        <v>36709</v>
      </c>
      <c r="Q2587" s="308"/>
      <c r="R2587" s="308"/>
      <c r="S2587" s="308" t="s">
        <v>81</v>
      </c>
      <c r="T2587" s="308" t="s">
        <v>34264</v>
      </c>
      <c r="U2587" s="308" t="s">
        <v>195</v>
      </c>
      <c r="V2587" s="312"/>
    </row>
    <row r="2588">
      <c r="A2588" s="308">
        <v>2587.0</v>
      </c>
      <c r="B2588" s="308"/>
      <c r="C2588" s="308" t="s">
        <v>10639</v>
      </c>
      <c r="D2588" s="308">
        <f>IFERROR(__xludf.DUMMYFUNCTION("SPLIT(C2588,""-"")"),2608.0)</f>
        <v>2608</v>
      </c>
      <c r="E2588" s="308" t="str">
        <f>IFERROR(__xludf.DUMMYFUNCTION("""COMPUTED_VALUE"""),"ICT")</f>
        <v>ICT</v>
      </c>
      <c r="F2588" s="315" t="s">
        <v>31</v>
      </c>
      <c r="G2588" s="308"/>
      <c r="H2588" s="308" t="s">
        <v>10640</v>
      </c>
      <c r="I2588" s="310">
        <v>42143.0</v>
      </c>
      <c r="J2588" s="319">
        <f>IFERROR(__xludf.DUMMYFUNCTION("SPLIT(I2588,""/"")"),19.0)</f>
        <v>19</v>
      </c>
      <c r="K2588" s="308">
        <f>IFERROR(__xludf.DUMMYFUNCTION("""COMPUTED_VALUE"""),5.0)</f>
        <v>5</v>
      </c>
      <c r="L2588" s="308">
        <f>IFERROR(__xludf.DUMMYFUNCTION("""COMPUTED_VALUE"""),2015.0)</f>
        <v>2015</v>
      </c>
      <c r="M2588" s="308" t="s">
        <v>10641</v>
      </c>
      <c r="N2588" s="308"/>
      <c r="O2588" s="308" t="s">
        <v>10642</v>
      </c>
      <c r="P2588" s="308" t="s">
        <v>36710</v>
      </c>
      <c r="Q2588" s="308"/>
      <c r="R2588" s="308"/>
      <c r="S2588" s="315" t="s">
        <v>100</v>
      </c>
      <c r="T2588" s="311" t="s">
        <v>34208</v>
      </c>
      <c r="U2588" s="308" t="s">
        <v>31</v>
      </c>
      <c r="V2588" s="312"/>
    </row>
    <row r="2589">
      <c r="A2589" s="308">
        <v>2588.0</v>
      </c>
      <c r="B2589" s="308"/>
      <c r="C2589" s="308" t="s">
        <v>10644</v>
      </c>
      <c r="D2589" s="308">
        <f>IFERROR(__xludf.DUMMYFUNCTION("SPLIT(C2589,""-"")"),2609.0)</f>
        <v>2609</v>
      </c>
      <c r="E2589" s="308" t="str">
        <f>IFERROR(__xludf.DUMMYFUNCTION("""COMPUTED_VALUE"""),"S")</f>
        <v>S</v>
      </c>
      <c r="F2589" s="312" t="s">
        <v>39</v>
      </c>
      <c r="G2589" s="308"/>
      <c r="H2589" s="308" t="s">
        <v>10645</v>
      </c>
      <c r="I2589" s="314">
        <v>40101.0</v>
      </c>
      <c r="J2589" s="319">
        <f>IFERROR(__xludf.DUMMYFUNCTION("SPLIT(I2589,""/"")"),15.0)</f>
        <v>15</v>
      </c>
      <c r="K2589" s="308">
        <f>IFERROR(__xludf.DUMMYFUNCTION("""COMPUTED_VALUE"""),10.0)</f>
        <v>10</v>
      </c>
      <c r="L2589" s="308">
        <f>IFERROR(__xludf.DUMMYFUNCTION("""COMPUTED_VALUE"""),2009.0)</f>
        <v>2009</v>
      </c>
      <c r="M2589" s="308" t="s">
        <v>10646</v>
      </c>
      <c r="N2589" s="308"/>
      <c r="O2589" s="308" t="s">
        <v>10647</v>
      </c>
      <c r="P2589" s="308" t="s">
        <v>36710</v>
      </c>
      <c r="Q2589" s="308"/>
      <c r="R2589" s="308" t="s">
        <v>10648</v>
      </c>
      <c r="S2589" s="315" t="s">
        <v>100</v>
      </c>
      <c r="T2589" s="311" t="s">
        <v>34208</v>
      </c>
      <c r="U2589" s="308" t="s">
        <v>166</v>
      </c>
      <c r="V2589" s="312"/>
    </row>
    <row r="2590">
      <c r="A2590" s="308">
        <v>2589.0</v>
      </c>
      <c r="B2590" s="308"/>
      <c r="C2590" s="308" t="s">
        <v>10649</v>
      </c>
      <c r="D2590" s="308">
        <f>IFERROR(__xludf.DUMMYFUNCTION("SPLIT(C2590,""-"")"),2610.0)</f>
        <v>2610</v>
      </c>
      <c r="E2590" s="308" t="str">
        <f>IFERROR(__xludf.DUMMYFUNCTION("""COMPUTED_VALUE"""),"K")</f>
        <v>K</v>
      </c>
      <c r="F2590" s="309" t="s">
        <v>34</v>
      </c>
      <c r="G2590" s="308"/>
      <c r="H2590" s="308" t="s">
        <v>10650</v>
      </c>
      <c r="I2590" s="310">
        <v>41369.0</v>
      </c>
      <c r="J2590" s="319">
        <f>IFERROR(__xludf.DUMMYFUNCTION("SPLIT(I2590,""/"")"),5.0)</f>
        <v>5</v>
      </c>
      <c r="K2590" s="308">
        <f>IFERROR(__xludf.DUMMYFUNCTION("""COMPUTED_VALUE"""),4.0)</f>
        <v>4</v>
      </c>
      <c r="L2590" s="308">
        <f>IFERROR(__xludf.DUMMYFUNCTION("""COMPUTED_VALUE"""),2013.0)</f>
        <v>2013</v>
      </c>
      <c r="M2590" s="308" t="s">
        <v>10651</v>
      </c>
      <c r="N2590" s="308"/>
      <c r="O2590" s="308" t="s">
        <v>10652</v>
      </c>
      <c r="P2590" s="308" t="s">
        <v>10653</v>
      </c>
      <c r="Q2590" s="308"/>
      <c r="R2590" s="308"/>
      <c r="S2590" s="308" t="s">
        <v>81</v>
      </c>
      <c r="T2590" s="308" t="s">
        <v>34264</v>
      </c>
      <c r="U2590" s="308"/>
      <c r="V2590" s="312"/>
    </row>
    <row r="2591">
      <c r="A2591" s="308">
        <v>2590.0</v>
      </c>
      <c r="B2591" s="308"/>
      <c r="C2591" s="308" t="s">
        <v>10654</v>
      </c>
      <c r="D2591" s="308">
        <f>IFERROR(__xludf.DUMMYFUNCTION("SPLIT(C2591,""-"")"),2611.0)</f>
        <v>2611</v>
      </c>
      <c r="E2591" s="308" t="str">
        <f>IFERROR(__xludf.DUMMYFUNCTION("""COMPUTED_VALUE"""),"P")</f>
        <v>P</v>
      </c>
      <c r="F2591" s="312" t="s">
        <v>37</v>
      </c>
      <c r="G2591" s="308"/>
      <c r="H2591" s="308" t="s">
        <v>10655</v>
      </c>
      <c r="I2591" s="310">
        <v>42123.0</v>
      </c>
      <c r="J2591" s="319">
        <f>IFERROR(__xludf.DUMMYFUNCTION("SPLIT(I2591,""/"")"),29.0)</f>
        <v>29</v>
      </c>
      <c r="K2591" s="308">
        <f>IFERROR(__xludf.DUMMYFUNCTION("""COMPUTED_VALUE"""),4.0)</f>
        <v>4</v>
      </c>
      <c r="L2591" s="308">
        <f>IFERROR(__xludf.DUMMYFUNCTION("""COMPUTED_VALUE"""),2015.0)</f>
        <v>2015</v>
      </c>
      <c r="M2591" s="308" t="s">
        <v>10656</v>
      </c>
      <c r="N2591" s="308"/>
      <c r="O2591" s="308" t="s">
        <v>10657</v>
      </c>
      <c r="P2591" s="308" t="s">
        <v>10658</v>
      </c>
      <c r="Q2591" s="308"/>
      <c r="R2591" s="308"/>
      <c r="S2591" s="308" t="s">
        <v>81</v>
      </c>
      <c r="T2591" s="308" t="s">
        <v>98</v>
      </c>
      <c r="U2591" s="308"/>
      <c r="V2591" s="312"/>
    </row>
    <row r="2592">
      <c r="A2592" s="308">
        <v>2591.0</v>
      </c>
      <c r="B2592" s="308"/>
      <c r="C2592" s="308" t="s">
        <v>10659</v>
      </c>
      <c r="D2592" s="308">
        <f>IFERROR(__xludf.DUMMYFUNCTION("SPLIT(C2592,""-"")"),2612.0)</f>
        <v>2612</v>
      </c>
      <c r="E2592" s="308" t="str">
        <f>IFERROR(__xludf.DUMMYFUNCTION("""COMPUTED_VALUE"""),"P")</f>
        <v>P</v>
      </c>
      <c r="F2592" s="312" t="s">
        <v>37</v>
      </c>
      <c r="G2592" s="308"/>
      <c r="H2592" s="308" t="s">
        <v>10660</v>
      </c>
      <c r="I2592" s="310">
        <v>41705.0</v>
      </c>
      <c r="J2592" s="319">
        <f>IFERROR(__xludf.DUMMYFUNCTION("SPLIT(I2592,""/"")"),7.0)</f>
        <v>7</v>
      </c>
      <c r="K2592" s="308">
        <f>IFERROR(__xludf.DUMMYFUNCTION("""COMPUTED_VALUE"""),3.0)</f>
        <v>3</v>
      </c>
      <c r="L2592" s="308">
        <f>IFERROR(__xludf.DUMMYFUNCTION("""COMPUTED_VALUE"""),2014.0)</f>
        <v>2014</v>
      </c>
      <c r="M2592" s="308" t="s">
        <v>10661</v>
      </c>
      <c r="N2592" s="308"/>
      <c r="O2592" s="308" t="s">
        <v>635</v>
      </c>
      <c r="P2592" s="308" t="s">
        <v>10662</v>
      </c>
      <c r="Q2592" s="308"/>
      <c r="R2592" s="308"/>
      <c r="S2592" s="308" t="s">
        <v>81</v>
      </c>
      <c r="T2592" s="311" t="s">
        <v>96</v>
      </c>
      <c r="U2592" s="308"/>
      <c r="V2592" s="312"/>
    </row>
    <row r="2593">
      <c r="A2593" s="308">
        <v>2592.0</v>
      </c>
      <c r="B2593" s="308"/>
      <c r="C2593" s="308" t="s">
        <v>10663</v>
      </c>
      <c r="D2593" s="308">
        <f>IFERROR(__xludf.DUMMYFUNCTION("SPLIT(C2593,""-"")"),2613.0)</f>
        <v>2613</v>
      </c>
      <c r="E2593" s="308" t="str">
        <f>IFERROR(__xludf.DUMMYFUNCTION("""COMPUTED_VALUE"""),"P")</f>
        <v>P</v>
      </c>
      <c r="F2593" s="312" t="s">
        <v>37</v>
      </c>
      <c r="G2593" s="308"/>
      <c r="H2593" s="308" t="s">
        <v>10664</v>
      </c>
      <c r="I2593" s="310">
        <v>41868.0</v>
      </c>
      <c r="J2593" s="319">
        <f>IFERROR(__xludf.DUMMYFUNCTION("SPLIT(I2593,""/"")"),17.0)</f>
        <v>17</v>
      </c>
      <c r="K2593" s="308">
        <f>IFERROR(__xludf.DUMMYFUNCTION("""COMPUTED_VALUE"""),8.0)</f>
        <v>8</v>
      </c>
      <c r="L2593" s="308">
        <f>IFERROR(__xludf.DUMMYFUNCTION("""COMPUTED_VALUE"""),2014.0)</f>
        <v>2014</v>
      </c>
      <c r="M2593" s="308" t="s">
        <v>36711</v>
      </c>
      <c r="N2593" s="308"/>
      <c r="O2593" s="308" t="s">
        <v>10666</v>
      </c>
      <c r="P2593" s="308" t="s">
        <v>10667</v>
      </c>
      <c r="Q2593" s="308"/>
      <c r="R2593" s="308"/>
      <c r="S2593" s="308" t="s">
        <v>49</v>
      </c>
      <c r="T2593" s="311" t="s">
        <v>51</v>
      </c>
      <c r="U2593" s="308" t="s">
        <v>2263</v>
      </c>
      <c r="V2593" s="312"/>
    </row>
    <row r="2594">
      <c r="A2594" s="308">
        <v>2593.0</v>
      </c>
      <c r="B2594" s="308"/>
      <c r="C2594" s="308" t="s">
        <v>10668</v>
      </c>
      <c r="D2594" s="308">
        <f>IFERROR(__xludf.DUMMYFUNCTION("SPLIT(C2594,""-"")"),2614.0)</f>
        <v>2614</v>
      </c>
      <c r="E2594" s="308" t="str">
        <f>IFERROR(__xludf.DUMMYFUNCTION("""COMPUTED_VALUE"""),"P")</f>
        <v>P</v>
      </c>
      <c r="F2594" s="312" t="s">
        <v>37</v>
      </c>
      <c r="G2594" s="308"/>
      <c r="H2594" s="308" t="s">
        <v>36712</v>
      </c>
      <c r="I2594" s="310">
        <v>42118.0</v>
      </c>
      <c r="J2594" s="319">
        <f>IFERROR(__xludf.DUMMYFUNCTION("SPLIT(I2594,""/"")"),24.0)</f>
        <v>24</v>
      </c>
      <c r="K2594" s="308">
        <f>IFERROR(__xludf.DUMMYFUNCTION("""COMPUTED_VALUE"""),4.0)</f>
        <v>4</v>
      </c>
      <c r="L2594" s="308">
        <f>IFERROR(__xludf.DUMMYFUNCTION("""COMPUTED_VALUE"""),2015.0)</f>
        <v>2015</v>
      </c>
      <c r="M2594" s="308" t="s">
        <v>10670</v>
      </c>
      <c r="N2594" s="308"/>
      <c r="O2594" s="308" t="s">
        <v>635</v>
      </c>
      <c r="P2594" s="308" t="s">
        <v>10671</v>
      </c>
      <c r="Q2594" s="308"/>
      <c r="R2594" s="308"/>
      <c r="S2594" s="308" t="s">
        <v>81</v>
      </c>
      <c r="T2594" s="311" t="s">
        <v>91</v>
      </c>
      <c r="U2594" s="308"/>
      <c r="V2594" s="312"/>
    </row>
    <row r="2595">
      <c r="A2595" s="308">
        <v>2594.0</v>
      </c>
      <c r="B2595" s="308"/>
      <c r="C2595" s="308" t="s">
        <v>10672</v>
      </c>
      <c r="D2595" s="308">
        <f>IFERROR(__xludf.DUMMYFUNCTION("SPLIT(C2595,""-"")"),2615.0)</f>
        <v>2615</v>
      </c>
      <c r="E2595" s="308" t="str">
        <f>IFERROR(__xludf.DUMMYFUNCTION("""COMPUTED_VALUE"""),"B")</f>
        <v>B</v>
      </c>
      <c r="F2595" s="315" t="s">
        <v>26</v>
      </c>
      <c r="G2595" s="308"/>
      <c r="H2595" s="308" t="s">
        <v>10673</v>
      </c>
      <c r="I2595" s="310">
        <v>41750.0</v>
      </c>
      <c r="J2595" s="319">
        <f>IFERROR(__xludf.DUMMYFUNCTION("SPLIT(I2595,""/"")"),21.0)</f>
        <v>21</v>
      </c>
      <c r="K2595" s="308">
        <f>IFERROR(__xludf.DUMMYFUNCTION("""COMPUTED_VALUE"""),4.0)</f>
        <v>4</v>
      </c>
      <c r="L2595" s="308">
        <f>IFERROR(__xludf.DUMMYFUNCTION("""COMPUTED_VALUE"""),2014.0)</f>
        <v>2014</v>
      </c>
      <c r="M2595" s="308" t="s">
        <v>36713</v>
      </c>
      <c r="N2595" s="308"/>
      <c r="O2595" s="308" t="s">
        <v>10675</v>
      </c>
      <c r="P2595" s="308" t="s">
        <v>10676</v>
      </c>
      <c r="Q2595" s="308"/>
      <c r="R2595" s="308"/>
      <c r="S2595" s="308" t="s">
        <v>49</v>
      </c>
      <c r="T2595" s="311" t="s">
        <v>51</v>
      </c>
      <c r="U2595" s="308"/>
      <c r="V2595" s="312"/>
    </row>
    <row r="2596">
      <c r="A2596" s="308">
        <v>2595.0</v>
      </c>
      <c r="B2596" s="308"/>
      <c r="C2596" s="308" t="s">
        <v>10677</v>
      </c>
      <c r="D2596" s="308">
        <f>IFERROR(__xludf.DUMMYFUNCTION("SPLIT(C2596,""-"")"),2616.0)</f>
        <v>2616</v>
      </c>
      <c r="E2596" s="308" t="str">
        <f>IFERROR(__xludf.DUMMYFUNCTION("""COMPUTED_VALUE"""),"S")</f>
        <v>S</v>
      </c>
      <c r="F2596" s="312" t="s">
        <v>39</v>
      </c>
      <c r="G2596" s="308"/>
      <c r="H2596" s="308" t="s">
        <v>10678</v>
      </c>
      <c r="I2596" s="310">
        <v>42061.0</v>
      </c>
      <c r="J2596" s="319">
        <f>IFERROR(__xludf.DUMMYFUNCTION("SPLIT(I2596,""/"")"),26.0)</f>
        <v>26</v>
      </c>
      <c r="K2596" s="308">
        <f>IFERROR(__xludf.DUMMYFUNCTION("""COMPUTED_VALUE"""),2.0)</f>
        <v>2</v>
      </c>
      <c r="L2596" s="308">
        <f>IFERROR(__xludf.DUMMYFUNCTION("""COMPUTED_VALUE"""),2015.0)</f>
        <v>2015</v>
      </c>
      <c r="M2596" s="308" t="s">
        <v>10679</v>
      </c>
      <c r="N2596" s="308"/>
      <c r="O2596" s="308" t="s">
        <v>10680</v>
      </c>
      <c r="P2596" s="308" t="s">
        <v>36714</v>
      </c>
      <c r="Q2596" s="308"/>
      <c r="R2596" s="308"/>
      <c r="S2596" s="308" t="s">
        <v>81</v>
      </c>
      <c r="T2596" s="308" t="s">
        <v>98</v>
      </c>
      <c r="U2596" s="308" t="s">
        <v>166</v>
      </c>
      <c r="V2596" s="312"/>
    </row>
    <row r="2597">
      <c r="A2597" s="308">
        <v>2596.0</v>
      </c>
      <c r="B2597" s="308"/>
      <c r="C2597" s="308" t="s">
        <v>10682</v>
      </c>
      <c r="D2597" s="308">
        <f>IFERROR(__xludf.DUMMYFUNCTION("SPLIT(C2597,""-"")"),2617.0)</f>
        <v>2617</v>
      </c>
      <c r="E2597" s="308" t="str">
        <f>IFERROR(__xludf.DUMMYFUNCTION("""COMPUTED_VALUE"""),"S")</f>
        <v>S</v>
      </c>
      <c r="F2597" s="312" t="s">
        <v>39</v>
      </c>
      <c r="G2597" s="308"/>
      <c r="H2597" s="308" t="s">
        <v>10683</v>
      </c>
      <c r="I2597" s="310">
        <v>42117.0</v>
      </c>
      <c r="J2597" s="319">
        <f>IFERROR(__xludf.DUMMYFUNCTION("SPLIT(I2597,""/"")"),23.0)</f>
        <v>23</v>
      </c>
      <c r="K2597" s="308">
        <f>IFERROR(__xludf.DUMMYFUNCTION("""COMPUTED_VALUE"""),4.0)</f>
        <v>4</v>
      </c>
      <c r="L2597" s="308">
        <f>IFERROR(__xludf.DUMMYFUNCTION("""COMPUTED_VALUE"""),2015.0)</f>
        <v>2015</v>
      </c>
      <c r="M2597" s="308" t="s">
        <v>10684</v>
      </c>
      <c r="N2597" s="308"/>
      <c r="O2597" s="308" t="s">
        <v>10685</v>
      </c>
      <c r="P2597" s="308" t="s">
        <v>36715</v>
      </c>
      <c r="Q2597" s="308"/>
      <c r="R2597" s="308"/>
      <c r="S2597" s="308" t="s">
        <v>81</v>
      </c>
      <c r="T2597" s="308" t="s">
        <v>75</v>
      </c>
      <c r="U2597" s="308" t="s">
        <v>166</v>
      </c>
      <c r="V2597" s="312"/>
    </row>
    <row r="2598">
      <c r="A2598" s="308">
        <v>2597.0</v>
      </c>
      <c r="B2598" s="308"/>
      <c r="C2598" s="308" t="s">
        <v>10687</v>
      </c>
      <c r="D2598" s="308">
        <f>IFERROR(__xludf.DUMMYFUNCTION("SPLIT(C2598,""-"")"),2618.0)</f>
        <v>2618</v>
      </c>
      <c r="E2598" s="308" t="str">
        <f>IFERROR(__xludf.DUMMYFUNCTION("""COMPUTED_VALUE"""),"P")</f>
        <v>P</v>
      </c>
      <c r="F2598" s="312" t="s">
        <v>37</v>
      </c>
      <c r="G2598" s="308"/>
      <c r="H2598" s="308" t="s">
        <v>10688</v>
      </c>
      <c r="I2598" s="310">
        <v>42160.0</v>
      </c>
      <c r="J2598" s="319">
        <f>IFERROR(__xludf.DUMMYFUNCTION("SPLIT(I2598,""/"")"),5.0)</f>
        <v>5</v>
      </c>
      <c r="K2598" s="308">
        <f>IFERROR(__xludf.DUMMYFUNCTION("""COMPUTED_VALUE"""),6.0)</f>
        <v>6</v>
      </c>
      <c r="L2598" s="308">
        <f>IFERROR(__xludf.DUMMYFUNCTION("""COMPUTED_VALUE"""),2015.0)</f>
        <v>2015</v>
      </c>
      <c r="M2598" s="308" t="s">
        <v>10670</v>
      </c>
      <c r="N2598" s="308"/>
      <c r="O2598" s="308" t="s">
        <v>635</v>
      </c>
      <c r="P2598" s="308" t="s">
        <v>10671</v>
      </c>
      <c r="Q2598" s="308"/>
      <c r="R2598" s="308"/>
      <c r="S2598" s="308" t="s">
        <v>81</v>
      </c>
      <c r="T2598" s="311" t="s">
        <v>91</v>
      </c>
      <c r="U2598" s="308"/>
      <c r="V2598" s="312"/>
    </row>
    <row r="2599">
      <c r="A2599" s="308">
        <v>2598.0</v>
      </c>
      <c r="B2599" s="308"/>
      <c r="C2599" s="308" t="s">
        <v>10689</v>
      </c>
      <c r="D2599" s="308">
        <f>IFERROR(__xludf.DUMMYFUNCTION("SPLIT(C2599,""-"")"),2619.0)</f>
        <v>2619</v>
      </c>
      <c r="E2599" s="308" t="str">
        <f>IFERROR(__xludf.DUMMYFUNCTION("""COMPUTED_VALUE"""),"S")</f>
        <v>S</v>
      </c>
      <c r="F2599" s="312" t="s">
        <v>39</v>
      </c>
      <c r="G2599" s="308"/>
      <c r="H2599" s="308" t="s">
        <v>10690</v>
      </c>
      <c r="I2599" s="310">
        <v>41532.0</v>
      </c>
      <c r="J2599" s="319">
        <f>IFERROR(__xludf.DUMMYFUNCTION("SPLIT(I2599,""/"")"),15.0)</f>
        <v>15</v>
      </c>
      <c r="K2599" s="308">
        <f>IFERROR(__xludf.DUMMYFUNCTION("""COMPUTED_VALUE"""),9.0)</f>
        <v>9</v>
      </c>
      <c r="L2599" s="308">
        <f>IFERROR(__xludf.DUMMYFUNCTION("""COMPUTED_VALUE"""),2013.0)</f>
        <v>2013</v>
      </c>
      <c r="M2599" s="308" t="s">
        <v>10691</v>
      </c>
      <c r="N2599" s="308"/>
      <c r="O2599" s="308" t="s">
        <v>10692</v>
      </c>
      <c r="P2599" s="308"/>
      <c r="Q2599" s="308"/>
      <c r="R2599" s="308"/>
      <c r="S2599" s="308" t="s">
        <v>79</v>
      </c>
      <c r="T2599" s="308" t="s">
        <v>79</v>
      </c>
      <c r="U2599" s="308" t="s">
        <v>166</v>
      </c>
      <c r="V2599" s="312"/>
    </row>
    <row r="2600">
      <c r="A2600" s="308">
        <v>2599.0</v>
      </c>
      <c r="B2600" s="308"/>
      <c r="C2600" s="308" t="s">
        <v>10693</v>
      </c>
      <c r="D2600" s="308">
        <f>IFERROR(__xludf.DUMMYFUNCTION("SPLIT(C2600,""-"")"),2620.0)</f>
        <v>2620</v>
      </c>
      <c r="E2600" s="308" t="str">
        <f>IFERROR(__xludf.DUMMYFUNCTION("""COMPUTED_VALUE"""),"S")</f>
        <v>S</v>
      </c>
      <c r="F2600" s="312" t="s">
        <v>39</v>
      </c>
      <c r="G2600" s="308"/>
      <c r="H2600" s="308" t="s">
        <v>10694</v>
      </c>
      <c r="I2600" s="310">
        <v>42017.0</v>
      </c>
      <c r="J2600" s="319">
        <f>IFERROR(__xludf.DUMMYFUNCTION("SPLIT(I2600,""/"")"),13.0)</f>
        <v>13</v>
      </c>
      <c r="K2600" s="308">
        <f>IFERROR(__xludf.DUMMYFUNCTION("""COMPUTED_VALUE"""),1.0)</f>
        <v>1</v>
      </c>
      <c r="L2600" s="308">
        <f>IFERROR(__xludf.DUMMYFUNCTION("""COMPUTED_VALUE"""),2015.0)</f>
        <v>2015</v>
      </c>
      <c r="M2600" s="308" t="s">
        <v>36716</v>
      </c>
      <c r="N2600" s="308"/>
      <c r="O2600" s="308" t="s">
        <v>10696</v>
      </c>
      <c r="P2600" s="308" t="s">
        <v>10697</v>
      </c>
      <c r="Q2600" s="308"/>
      <c r="R2600" s="308"/>
      <c r="S2600" s="308" t="s">
        <v>81</v>
      </c>
      <c r="T2600" s="311" t="s">
        <v>73</v>
      </c>
      <c r="U2600" s="308" t="s">
        <v>166</v>
      </c>
      <c r="V2600" s="312"/>
    </row>
    <row r="2601">
      <c r="A2601" s="308">
        <v>2600.0</v>
      </c>
      <c r="B2601" s="308"/>
      <c r="C2601" s="308" t="s">
        <v>10698</v>
      </c>
      <c r="D2601" s="308">
        <f>IFERROR(__xludf.DUMMYFUNCTION("SPLIT(C2601,""-"")"),2621.0)</f>
        <v>2621</v>
      </c>
      <c r="E2601" s="308" t="str">
        <f>IFERROR(__xludf.DUMMYFUNCTION("""COMPUTED_VALUE"""),"S")</f>
        <v>S</v>
      </c>
      <c r="F2601" s="312" t="s">
        <v>39</v>
      </c>
      <c r="G2601" s="308"/>
      <c r="H2601" s="308" t="s">
        <v>10699</v>
      </c>
      <c r="I2601" s="310">
        <v>42041.0</v>
      </c>
      <c r="J2601" s="319">
        <f>IFERROR(__xludf.DUMMYFUNCTION("SPLIT(I2601,""/"")"),6.0)</f>
        <v>6</v>
      </c>
      <c r="K2601" s="308">
        <f>IFERROR(__xludf.DUMMYFUNCTION("""COMPUTED_VALUE"""),2.0)</f>
        <v>2</v>
      </c>
      <c r="L2601" s="308">
        <f>IFERROR(__xludf.DUMMYFUNCTION("""COMPUTED_VALUE"""),2015.0)</f>
        <v>2015</v>
      </c>
      <c r="M2601" s="308" t="s">
        <v>10700</v>
      </c>
      <c r="N2601" s="308"/>
      <c r="O2601" s="308" t="s">
        <v>635</v>
      </c>
      <c r="P2601" s="308" t="s">
        <v>10701</v>
      </c>
      <c r="Q2601" s="308"/>
      <c r="R2601" s="308"/>
      <c r="S2601" s="308" t="s">
        <v>49</v>
      </c>
      <c r="T2601" s="311" t="s">
        <v>53</v>
      </c>
      <c r="U2601" s="308" t="s">
        <v>166</v>
      </c>
      <c r="V2601" s="312"/>
    </row>
    <row r="2602">
      <c r="A2602" s="308">
        <v>2601.0</v>
      </c>
      <c r="B2602" s="308"/>
      <c r="C2602" s="308" t="s">
        <v>10702</v>
      </c>
      <c r="D2602" s="308">
        <f>IFERROR(__xludf.DUMMYFUNCTION("SPLIT(C2602,""-"")"),2622.0)</f>
        <v>2622</v>
      </c>
      <c r="E2602" s="308" t="str">
        <f>IFERROR(__xludf.DUMMYFUNCTION("""COMPUTED_VALUE"""),"S")</f>
        <v>S</v>
      </c>
      <c r="F2602" s="312" t="s">
        <v>39</v>
      </c>
      <c r="G2602" s="308"/>
      <c r="H2602" s="308" t="s">
        <v>10703</v>
      </c>
      <c r="I2602" s="310">
        <v>42043.0</v>
      </c>
      <c r="J2602" s="319">
        <f>IFERROR(__xludf.DUMMYFUNCTION("SPLIT(I2602,""/"")"),8.0)</f>
        <v>8</v>
      </c>
      <c r="K2602" s="308">
        <f>IFERROR(__xludf.DUMMYFUNCTION("""COMPUTED_VALUE"""),2.0)</f>
        <v>2</v>
      </c>
      <c r="L2602" s="308">
        <f>IFERROR(__xludf.DUMMYFUNCTION("""COMPUTED_VALUE"""),2015.0)</f>
        <v>2015</v>
      </c>
      <c r="M2602" s="308" t="s">
        <v>10704</v>
      </c>
      <c r="N2602" s="308"/>
      <c r="O2602" s="308" t="s">
        <v>635</v>
      </c>
      <c r="P2602" s="308" t="s">
        <v>296</v>
      </c>
      <c r="Q2602" s="308"/>
      <c r="R2602" s="308"/>
      <c r="S2602" s="308" t="s">
        <v>81</v>
      </c>
      <c r="T2602" s="308" t="s">
        <v>75</v>
      </c>
      <c r="U2602" s="308" t="s">
        <v>166</v>
      </c>
      <c r="V2602" s="312"/>
    </row>
    <row r="2603">
      <c r="A2603" s="308">
        <v>2602.0</v>
      </c>
      <c r="B2603" s="308"/>
      <c r="C2603" s="308" t="s">
        <v>10705</v>
      </c>
      <c r="D2603" s="308">
        <f>IFERROR(__xludf.DUMMYFUNCTION("SPLIT(C2603,""-"")"),2623.0)</f>
        <v>2623</v>
      </c>
      <c r="E2603" s="308" t="str">
        <f>IFERROR(__xludf.DUMMYFUNCTION("""COMPUTED_VALUE"""),"S")</f>
        <v>S</v>
      </c>
      <c r="F2603" s="312" t="s">
        <v>39</v>
      </c>
      <c r="G2603" s="308"/>
      <c r="H2603" s="308" t="s">
        <v>10706</v>
      </c>
      <c r="I2603" s="310">
        <v>42059.0</v>
      </c>
      <c r="J2603" s="319">
        <f>IFERROR(__xludf.DUMMYFUNCTION("SPLIT(I2603,""/"")"),24.0)</f>
        <v>24</v>
      </c>
      <c r="K2603" s="308">
        <f>IFERROR(__xludf.DUMMYFUNCTION("""COMPUTED_VALUE"""),2.0)</f>
        <v>2</v>
      </c>
      <c r="L2603" s="308">
        <f>IFERROR(__xludf.DUMMYFUNCTION("""COMPUTED_VALUE"""),2015.0)</f>
        <v>2015</v>
      </c>
      <c r="M2603" s="308" t="s">
        <v>10707</v>
      </c>
      <c r="N2603" s="308" t="s">
        <v>10708</v>
      </c>
      <c r="O2603" s="308" t="s">
        <v>10709</v>
      </c>
      <c r="P2603" s="308" t="s">
        <v>36717</v>
      </c>
      <c r="Q2603" s="308"/>
      <c r="R2603" s="308" t="s">
        <v>10710</v>
      </c>
      <c r="S2603" s="315" t="s">
        <v>100</v>
      </c>
      <c r="T2603" s="311" t="s">
        <v>34208</v>
      </c>
      <c r="U2603" s="308" t="s">
        <v>166</v>
      </c>
      <c r="V2603" s="312"/>
    </row>
    <row r="2604">
      <c r="A2604" s="308">
        <v>2603.0</v>
      </c>
      <c r="B2604" s="308"/>
      <c r="C2604" s="308" t="s">
        <v>10711</v>
      </c>
      <c r="D2604" s="308">
        <f>IFERROR(__xludf.DUMMYFUNCTION("SPLIT(C2604,""-"")"),2624.0)</f>
        <v>2624</v>
      </c>
      <c r="E2604" s="308" t="str">
        <f>IFERROR(__xludf.DUMMYFUNCTION("""COMPUTED_VALUE"""),"S")</f>
        <v>S</v>
      </c>
      <c r="F2604" s="312" t="s">
        <v>39</v>
      </c>
      <c r="G2604" s="308"/>
      <c r="H2604" s="308" t="s">
        <v>10712</v>
      </c>
      <c r="I2604" s="310">
        <v>42059.0</v>
      </c>
      <c r="J2604" s="319">
        <f>IFERROR(__xludf.DUMMYFUNCTION("SPLIT(I2604,""/"")"),24.0)</f>
        <v>24</v>
      </c>
      <c r="K2604" s="308">
        <f>IFERROR(__xludf.DUMMYFUNCTION("""COMPUTED_VALUE"""),2.0)</f>
        <v>2</v>
      </c>
      <c r="L2604" s="308">
        <f>IFERROR(__xludf.DUMMYFUNCTION("""COMPUTED_VALUE"""),2015.0)</f>
        <v>2015</v>
      </c>
      <c r="M2604" s="308" t="s">
        <v>10713</v>
      </c>
      <c r="N2604" s="308"/>
      <c r="O2604" s="308" t="s">
        <v>10714</v>
      </c>
      <c r="P2604" s="308" t="s">
        <v>10715</v>
      </c>
      <c r="Q2604" s="308"/>
      <c r="R2604" s="308"/>
      <c r="S2604" s="308" t="s">
        <v>81</v>
      </c>
      <c r="T2604" s="308" t="s">
        <v>98</v>
      </c>
      <c r="U2604" s="308" t="s">
        <v>166</v>
      </c>
      <c r="V2604" s="312"/>
    </row>
    <row r="2605">
      <c r="A2605" s="308">
        <v>2604.0</v>
      </c>
      <c r="B2605" s="308"/>
      <c r="C2605" s="308" t="s">
        <v>10716</v>
      </c>
      <c r="D2605" s="308">
        <f>IFERROR(__xludf.DUMMYFUNCTION("SPLIT(C2605,""-"")"),2625.0)</f>
        <v>2625</v>
      </c>
      <c r="E2605" s="308" t="str">
        <f>IFERROR(__xludf.DUMMYFUNCTION("""COMPUTED_VALUE"""),"S")</f>
        <v>S</v>
      </c>
      <c r="F2605" s="312" t="s">
        <v>39</v>
      </c>
      <c r="G2605" s="308"/>
      <c r="H2605" s="308" t="s">
        <v>36718</v>
      </c>
      <c r="I2605" s="310">
        <v>42081.0</v>
      </c>
      <c r="J2605" s="319">
        <f>IFERROR(__xludf.DUMMYFUNCTION("SPLIT(I2605,""/"")"),18.0)</f>
        <v>18</v>
      </c>
      <c r="K2605" s="308">
        <f>IFERROR(__xludf.DUMMYFUNCTION("""COMPUTED_VALUE"""),3.0)</f>
        <v>3</v>
      </c>
      <c r="L2605" s="308">
        <f>IFERROR(__xludf.DUMMYFUNCTION("""COMPUTED_VALUE"""),2015.0)</f>
        <v>2015</v>
      </c>
      <c r="M2605" s="308" t="s">
        <v>10718</v>
      </c>
      <c r="N2605" s="308"/>
      <c r="O2605" s="308" t="s">
        <v>10719</v>
      </c>
      <c r="P2605" s="308" t="s">
        <v>36719</v>
      </c>
      <c r="Q2605" s="308"/>
      <c r="R2605" s="308"/>
      <c r="S2605" s="308" t="s">
        <v>49</v>
      </c>
      <c r="T2605" s="308" t="s">
        <v>70</v>
      </c>
      <c r="U2605" s="308" t="s">
        <v>166</v>
      </c>
      <c r="V2605" s="312"/>
    </row>
    <row r="2606">
      <c r="A2606" s="308">
        <v>2605.0</v>
      </c>
      <c r="B2606" s="308"/>
      <c r="C2606" s="308" t="s">
        <v>10721</v>
      </c>
      <c r="D2606" s="308">
        <f>IFERROR(__xludf.DUMMYFUNCTION("SPLIT(C2606,""-"")"),2626.0)</f>
        <v>2626</v>
      </c>
      <c r="E2606" s="308" t="str">
        <f>IFERROR(__xludf.DUMMYFUNCTION("""COMPUTED_VALUE"""),"S")</f>
        <v>S</v>
      </c>
      <c r="F2606" s="312" t="s">
        <v>39</v>
      </c>
      <c r="G2606" s="308"/>
      <c r="H2606" s="308" t="s">
        <v>10722</v>
      </c>
      <c r="I2606" s="310">
        <v>42081.0</v>
      </c>
      <c r="J2606" s="319">
        <f>IFERROR(__xludf.DUMMYFUNCTION("SPLIT(I2606,""/"")"),18.0)</f>
        <v>18</v>
      </c>
      <c r="K2606" s="308">
        <f>IFERROR(__xludf.DUMMYFUNCTION("""COMPUTED_VALUE"""),3.0)</f>
        <v>3</v>
      </c>
      <c r="L2606" s="308">
        <f>IFERROR(__xludf.DUMMYFUNCTION("""COMPUTED_VALUE"""),2015.0)</f>
        <v>2015</v>
      </c>
      <c r="M2606" s="308" t="s">
        <v>10723</v>
      </c>
      <c r="N2606" s="308"/>
      <c r="O2606" s="308" t="s">
        <v>10724</v>
      </c>
      <c r="P2606" s="308" t="s">
        <v>10701</v>
      </c>
      <c r="Q2606" s="308"/>
      <c r="R2606" s="308"/>
      <c r="S2606" s="308" t="s">
        <v>49</v>
      </c>
      <c r="T2606" s="311" t="s">
        <v>53</v>
      </c>
      <c r="U2606" s="308" t="s">
        <v>166</v>
      </c>
      <c r="V2606" s="312"/>
    </row>
    <row r="2607">
      <c r="A2607" s="308">
        <v>2606.0</v>
      </c>
      <c r="B2607" s="308"/>
      <c r="C2607" s="308" t="s">
        <v>10725</v>
      </c>
      <c r="D2607" s="308">
        <f>IFERROR(__xludf.DUMMYFUNCTION("SPLIT(C2607,""-"")"),2627.0)</f>
        <v>2627</v>
      </c>
      <c r="E2607" s="308" t="str">
        <f>IFERROR(__xludf.DUMMYFUNCTION("""COMPUTED_VALUE"""),"S")</f>
        <v>S</v>
      </c>
      <c r="F2607" s="312" t="s">
        <v>39</v>
      </c>
      <c r="G2607" s="308"/>
      <c r="H2607" s="308" t="s">
        <v>10726</v>
      </c>
      <c r="I2607" s="310">
        <v>42082.0</v>
      </c>
      <c r="J2607" s="319">
        <f>IFERROR(__xludf.DUMMYFUNCTION("SPLIT(I2607,""/"")"),19.0)</f>
        <v>19</v>
      </c>
      <c r="K2607" s="308">
        <f>IFERROR(__xludf.DUMMYFUNCTION("""COMPUTED_VALUE"""),3.0)</f>
        <v>3</v>
      </c>
      <c r="L2607" s="308">
        <f>IFERROR(__xludf.DUMMYFUNCTION("""COMPUTED_VALUE"""),2015.0)</f>
        <v>2015</v>
      </c>
      <c r="M2607" s="308" t="s">
        <v>10727</v>
      </c>
      <c r="N2607" s="308"/>
      <c r="O2607" s="308" t="s">
        <v>10728</v>
      </c>
      <c r="P2607" s="308" t="s">
        <v>296</v>
      </c>
      <c r="Q2607" s="308"/>
      <c r="R2607" s="308"/>
      <c r="S2607" s="308" t="s">
        <v>81</v>
      </c>
      <c r="T2607" s="308" t="s">
        <v>75</v>
      </c>
      <c r="U2607" s="308" t="s">
        <v>166</v>
      </c>
      <c r="V2607" s="312"/>
    </row>
    <row r="2608">
      <c r="A2608" s="308">
        <v>2607.0</v>
      </c>
      <c r="B2608" s="308"/>
      <c r="C2608" s="308" t="s">
        <v>10729</v>
      </c>
      <c r="D2608" s="308">
        <f>IFERROR(__xludf.DUMMYFUNCTION("SPLIT(C2608,""-"")"),2628.0)</f>
        <v>2628</v>
      </c>
      <c r="E2608" s="308" t="str">
        <f>IFERROR(__xludf.DUMMYFUNCTION("""COMPUTED_VALUE"""),"S")</f>
        <v>S</v>
      </c>
      <c r="F2608" s="312" t="s">
        <v>39</v>
      </c>
      <c r="G2608" s="308"/>
      <c r="H2608" s="308" t="s">
        <v>10730</v>
      </c>
      <c r="I2608" s="310">
        <v>42087.0</v>
      </c>
      <c r="J2608" s="319">
        <f>IFERROR(__xludf.DUMMYFUNCTION("SPLIT(I2608,""/"")"),24.0)</f>
        <v>24</v>
      </c>
      <c r="K2608" s="308">
        <f>IFERROR(__xludf.DUMMYFUNCTION("""COMPUTED_VALUE"""),3.0)</f>
        <v>3</v>
      </c>
      <c r="L2608" s="308">
        <f>IFERROR(__xludf.DUMMYFUNCTION("""COMPUTED_VALUE"""),2015.0)</f>
        <v>2015</v>
      </c>
      <c r="M2608" s="308" t="s">
        <v>10731</v>
      </c>
      <c r="N2608" s="308"/>
      <c r="O2608" s="308" t="s">
        <v>10732</v>
      </c>
      <c r="P2608" s="308" t="s">
        <v>36717</v>
      </c>
      <c r="Q2608" s="308"/>
      <c r="R2608" s="308" t="s">
        <v>10733</v>
      </c>
      <c r="S2608" s="315" t="s">
        <v>100</v>
      </c>
      <c r="T2608" s="311" t="s">
        <v>34208</v>
      </c>
      <c r="U2608" s="308" t="s">
        <v>166</v>
      </c>
      <c r="V2608" s="312"/>
    </row>
    <row r="2609">
      <c r="A2609" s="308">
        <v>2608.0</v>
      </c>
      <c r="B2609" s="308"/>
      <c r="C2609" s="308" t="s">
        <v>10734</v>
      </c>
      <c r="D2609" s="308">
        <f>IFERROR(__xludf.DUMMYFUNCTION("SPLIT(C2609,""-"")"),2629.0)</f>
        <v>2629</v>
      </c>
      <c r="E2609" s="308" t="str">
        <f>IFERROR(__xludf.DUMMYFUNCTION("""COMPUTED_VALUE"""),"S")</f>
        <v>S</v>
      </c>
      <c r="F2609" s="312" t="s">
        <v>39</v>
      </c>
      <c r="G2609" s="308"/>
      <c r="H2609" s="308" t="s">
        <v>10735</v>
      </c>
      <c r="I2609" s="310">
        <v>42090.0</v>
      </c>
      <c r="J2609" s="319">
        <f>IFERROR(__xludf.DUMMYFUNCTION("SPLIT(I2609,""/"")"),27.0)</f>
        <v>27</v>
      </c>
      <c r="K2609" s="308">
        <f>IFERROR(__xludf.DUMMYFUNCTION("""COMPUTED_VALUE"""),3.0)</f>
        <v>3</v>
      </c>
      <c r="L2609" s="308">
        <f>IFERROR(__xludf.DUMMYFUNCTION("""COMPUTED_VALUE"""),2015.0)</f>
        <v>2015</v>
      </c>
      <c r="M2609" s="308" t="s">
        <v>10736</v>
      </c>
      <c r="N2609" s="308"/>
      <c r="O2609" s="308" t="s">
        <v>635</v>
      </c>
      <c r="P2609" s="308" t="s">
        <v>10737</v>
      </c>
      <c r="Q2609" s="308"/>
      <c r="R2609" s="308"/>
      <c r="S2609" s="308" t="s">
        <v>49</v>
      </c>
      <c r="T2609" s="308" t="s">
        <v>53</v>
      </c>
      <c r="U2609" s="308" t="s">
        <v>166</v>
      </c>
      <c r="V2609" s="312"/>
    </row>
    <row r="2610">
      <c r="A2610" s="308">
        <v>2609.0</v>
      </c>
      <c r="B2610" s="308"/>
      <c r="C2610" s="308" t="s">
        <v>10738</v>
      </c>
      <c r="D2610" s="308">
        <f>IFERROR(__xludf.DUMMYFUNCTION("SPLIT(C2610,""-"")"),2630.0)</f>
        <v>2630</v>
      </c>
      <c r="E2610" s="308" t="str">
        <f>IFERROR(__xludf.DUMMYFUNCTION("""COMPUTED_VALUE"""),"S")</f>
        <v>S</v>
      </c>
      <c r="F2610" s="312" t="s">
        <v>39</v>
      </c>
      <c r="G2610" s="308"/>
      <c r="H2610" s="308" t="s">
        <v>10739</v>
      </c>
      <c r="I2610" s="310">
        <v>42089.0</v>
      </c>
      <c r="J2610" s="319">
        <f>IFERROR(__xludf.DUMMYFUNCTION("SPLIT(I2610,""/"")"),26.0)</f>
        <v>26</v>
      </c>
      <c r="K2610" s="308">
        <f>IFERROR(__xludf.DUMMYFUNCTION("""COMPUTED_VALUE"""),3.0)</f>
        <v>3</v>
      </c>
      <c r="L2610" s="308">
        <f>IFERROR(__xludf.DUMMYFUNCTION("""COMPUTED_VALUE"""),2015.0)</f>
        <v>2015</v>
      </c>
      <c r="M2610" s="308" t="s">
        <v>10740</v>
      </c>
      <c r="N2610" s="308"/>
      <c r="O2610" s="308" t="s">
        <v>635</v>
      </c>
      <c r="P2610" s="308" t="s">
        <v>10741</v>
      </c>
      <c r="Q2610" s="308"/>
      <c r="R2610" s="308"/>
      <c r="S2610" s="308" t="s">
        <v>81</v>
      </c>
      <c r="T2610" s="311" t="s">
        <v>94</v>
      </c>
      <c r="U2610" s="308" t="s">
        <v>166</v>
      </c>
      <c r="V2610" s="312"/>
    </row>
    <row r="2611">
      <c r="A2611" s="308">
        <v>2610.0</v>
      </c>
      <c r="B2611" s="308"/>
      <c r="C2611" s="308" t="s">
        <v>10742</v>
      </c>
      <c r="D2611" s="308">
        <f>IFERROR(__xludf.DUMMYFUNCTION("SPLIT(C2611,""-"")"),2631.0)</f>
        <v>2631</v>
      </c>
      <c r="E2611" s="308" t="str">
        <f>IFERROR(__xludf.DUMMYFUNCTION("""COMPUTED_VALUE"""),"S")</f>
        <v>S</v>
      </c>
      <c r="F2611" s="312" t="s">
        <v>39</v>
      </c>
      <c r="G2611" s="308"/>
      <c r="H2611" s="308" t="s">
        <v>10743</v>
      </c>
      <c r="I2611" s="310">
        <v>42092.0</v>
      </c>
      <c r="J2611" s="319">
        <f>IFERROR(__xludf.DUMMYFUNCTION("SPLIT(I2611,""/"")"),29.0)</f>
        <v>29</v>
      </c>
      <c r="K2611" s="308">
        <f>IFERROR(__xludf.DUMMYFUNCTION("""COMPUTED_VALUE"""),3.0)</f>
        <v>3</v>
      </c>
      <c r="L2611" s="308">
        <f>IFERROR(__xludf.DUMMYFUNCTION("""COMPUTED_VALUE"""),2015.0)</f>
        <v>2015</v>
      </c>
      <c r="M2611" s="308" t="s">
        <v>10744</v>
      </c>
      <c r="N2611" s="308"/>
      <c r="O2611" s="308" t="s">
        <v>635</v>
      </c>
      <c r="P2611" s="308" t="s">
        <v>10745</v>
      </c>
      <c r="Q2611" s="308"/>
      <c r="R2611" s="308"/>
      <c r="S2611" s="308" t="s">
        <v>81</v>
      </c>
      <c r="T2611" s="311" t="s">
        <v>63</v>
      </c>
      <c r="U2611" s="308" t="s">
        <v>166</v>
      </c>
      <c r="V2611" s="312"/>
    </row>
    <row r="2612">
      <c r="A2612" s="308">
        <v>2611.0</v>
      </c>
      <c r="B2612" s="308"/>
      <c r="C2612" s="308" t="s">
        <v>10746</v>
      </c>
      <c r="D2612" s="308">
        <f>IFERROR(__xludf.DUMMYFUNCTION("SPLIT(C2612,""-"")"),2632.0)</f>
        <v>2632</v>
      </c>
      <c r="E2612" s="308" t="str">
        <f>IFERROR(__xludf.DUMMYFUNCTION("""COMPUTED_VALUE"""),"S")</f>
        <v>S</v>
      </c>
      <c r="F2612" s="312" t="s">
        <v>39</v>
      </c>
      <c r="G2612" s="308"/>
      <c r="H2612" s="308" t="s">
        <v>10747</v>
      </c>
      <c r="I2612" s="310">
        <v>42093.0</v>
      </c>
      <c r="J2612" s="319">
        <f>IFERROR(__xludf.DUMMYFUNCTION("SPLIT(I2612,""/"")"),30.0)</f>
        <v>30</v>
      </c>
      <c r="K2612" s="308">
        <f>IFERROR(__xludf.DUMMYFUNCTION("""COMPUTED_VALUE"""),3.0)</f>
        <v>3</v>
      </c>
      <c r="L2612" s="308">
        <f>IFERROR(__xludf.DUMMYFUNCTION("""COMPUTED_VALUE"""),2015.0)</f>
        <v>2015</v>
      </c>
      <c r="M2612" s="308" t="s">
        <v>10748</v>
      </c>
      <c r="N2612" s="308"/>
      <c r="O2612" s="308" t="s">
        <v>10749</v>
      </c>
      <c r="P2612" s="308" t="s">
        <v>36720</v>
      </c>
      <c r="Q2612" s="308"/>
      <c r="R2612" s="308"/>
      <c r="S2612" s="308" t="s">
        <v>49</v>
      </c>
      <c r="T2612" s="308" t="s">
        <v>70</v>
      </c>
      <c r="U2612" s="308" t="s">
        <v>166</v>
      </c>
      <c r="V2612" s="312"/>
    </row>
    <row r="2613">
      <c r="A2613" s="308">
        <v>2612.0</v>
      </c>
      <c r="B2613" s="308"/>
      <c r="C2613" s="308" t="s">
        <v>10751</v>
      </c>
      <c r="D2613" s="308">
        <f>IFERROR(__xludf.DUMMYFUNCTION("SPLIT(C2613,""-"")"),2633.0)</f>
        <v>2633</v>
      </c>
      <c r="E2613" s="308" t="str">
        <f>IFERROR(__xludf.DUMMYFUNCTION("""COMPUTED_VALUE"""),"S")</f>
        <v>S</v>
      </c>
      <c r="F2613" s="312" t="s">
        <v>39</v>
      </c>
      <c r="G2613" s="308"/>
      <c r="H2613" s="308" t="s">
        <v>10752</v>
      </c>
      <c r="I2613" s="310">
        <v>42093.0</v>
      </c>
      <c r="J2613" s="319">
        <f>IFERROR(__xludf.DUMMYFUNCTION("SPLIT(I2613,""/"")"),30.0)</f>
        <v>30</v>
      </c>
      <c r="K2613" s="308">
        <f>IFERROR(__xludf.DUMMYFUNCTION("""COMPUTED_VALUE"""),3.0)</f>
        <v>3</v>
      </c>
      <c r="L2613" s="308">
        <f>IFERROR(__xludf.DUMMYFUNCTION("""COMPUTED_VALUE"""),2015.0)</f>
        <v>2015</v>
      </c>
      <c r="M2613" s="308" t="s">
        <v>10753</v>
      </c>
      <c r="N2613" s="308"/>
      <c r="O2613" s="308" t="s">
        <v>10754</v>
      </c>
      <c r="P2613" s="308" t="s">
        <v>1481</v>
      </c>
      <c r="Q2613" s="308"/>
      <c r="R2613" s="308"/>
      <c r="S2613" s="308" t="s">
        <v>81</v>
      </c>
      <c r="T2613" s="308" t="s">
        <v>35048</v>
      </c>
      <c r="U2613" s="308" t="s">
        <v>166</v>
      </c>
      <c r="V2613" s="312"/>
    </row>
    <row r="2614">
      <c r="A2614" s="308">
        <v>2613.0</v>
      </c>
      <c r="B2614" s="308"/>
      <c r="C2614" s="308" t="s">
        <v>10755</v>
      </c>
      <c r="D2614" s="308">
        <f>IFERROR(__xludf.DUMMYFUNCTION("SPLIT(C2614,""-"")"),2634.0)</f>
        <v>2634</v>
      </c>
      <c r="E2614" s="308" t="str">
        <f>IFERROR(__xludf.DUMMYFUNCTION("""COMPUTED_VALUE"""),"S")</f>
        <v>S</v>
      </c>
      <c r="F2614" s="312" t="s">
        <v>39</v>
      </c>
      <c r="G2614" s="308"/>
      <c r="H2614" s="308" t="s">
        <v>10756</v>
      </c>
      <c r="I2614" s="310">
        <v>42124.0</v>
      </c>
      <c r="J2614" s="319">
        <f>IFERROR(__xludf.DUMMYFUNCTION("SPLIT(I2614,""/"")"),30.0)</f>
        <v>30</v>
      </c>
      <c r="K2614" s="308">
        <f>IFERROR(__xludf.DUMMYFUNCTION("""COMPUTED_VALUE"""),4.0)</f>
        <v>4</v>
      </c>
      <c r="L2614" s="308">
        <f>IFERROR(__xludf.DUMMYFUNCTION("""COMPUTED_VALUE"""),2015.0)</f>
        <v>2015</v>
      </c>
      <c r="M2614" s="308" t="s">
        <v>10757</v>
      </c>
      <c r="N2614" s="308"/>
      <c r="O2614" s="308" t="s">
        <v>635</v>
      </c>
      <c r="P2614" s="308" t="s">
        <v>10741</v>
      </c>
      <c r="Q2614" s="308"/>
      <c r="R2614" s="308"/>
      <c r="S2614" s="308" t="s">
        <v>81</v>
      </c>
      <c r="T2614" s="311" t="s">
        <v>94</v>
      </c>
      <c r="U2614" s="308" t="s">
        <v>166</v>
      </c>
      <c r="V2614" s="312"/>
    </row>
    <row r="2615">
      <c r="A2615" s="308">
        <v>2614.0</v>
      </c>
      <c r="B2615" s="308"/>
      <c r="C2615" s="308" t="s">
        <v>10758</v>
      </c>
      <c r="D2615" s="308">
        <f>IFERROR(__xludf.DUMMYFUNCTION("SPLIT(C2615,""-"")"),2635.0)</f>
        <v>2635</v>
      </c>
      <c r="E2615" s="308" t="str">
        <f>IFERROR(__xludf.DUMMYFUNCTION("""COMPUTED_VALUE"""),"S")</f>
        <v>S</v>
      </c>
      <c r="F2615" s="312" t="s">
        <v>39</v>
      </c>
      <c r="G2615" s="308"/>
      <c r="H2615" s="308" t="s">
        <v>10759</v>
      </c>
      <c r="I2615" s="310">
        <v>42122.0</v>
      </c>
      <c r="J2615" s="319">
        <f>IFERROR(__xludf.DUMMYFUNCTION("SPLIT(I2615,""/"")"),28.0)</f>
        <v>28</v>
      </c>
      <c r="K2615" s="308">
        <f>IFERROR(__xludf.DUMMYFUNCTION("""COMPUTED_VALUE"""),4.0)</f>
        <v>4</v>
      </c>
      <c r="L2615" s="308">
        <f>IFERROR(__xludf.DUMMYFUNCTION("""COMPUTED_VALUE"""),2015.0)</f>
        <v>2015</v>
      </c>
      <c r="M2615" s="308" t="s">
        <v>10760</v>
      </c>
      <c r="N2615" s="308"/>
      <c r="O2615" s="308" t="s">
        <v>10761</v>
      </c>
      <c r="P2615" s="308" t="s">
        <v>2675</v>
      </c>
      <c r="Q2615" s="308"/>
      <c r="R2615" s="308"/>
      <c r="S2615" s="308" t="s">
        <v>49</v>
      </c>
      <c r="T2615" s="308" t="s">
        <v>51</v>
      </c>
      <c r="U2615" s="312"/>
      <c r="V2615" s="312"/>
    </row>
    <row r="2616">
      <c r="A2616" s="308">
        <v>2615.0</v>
      </c>
      <c r="B2616" s="308"/>
      <c r="C2616" s="308" t="s">
        <v>10762</v>
      </c>
      <c r="D2616" s="308">
        <f>IFERROR(__xludf.DUMMYFUNCTION("SPLIT(C2616,""-"")"),2636.0)</f>
        <v>2636</v>
      </c>
      <c r="E2616" s="308" t="str">
        <f>IFERROR(__xludf.DUMMYFUNCTION("""COMPUTED_VALUE"""),"S")</f>
        <v>S</v>
      </c>
      <c r="F2616" s="312" t="s">
        <v>39</v>
      </c>
      <c r="G2616" s="308"/>
      <c r="H2616" s="308" t="s">
        <v>10763</v>
      </c>
      <c r="I2616" s="310">
        <v>42023.0</v>
      </c>
      <c r="J2616" s="319">
        <f>IFERROR(__xludf.DUMMYFUNCTION("SPLIT(I2616,""/"")"),19.0)</f>
        <v>19</v>
      </c>
      <c r="K2616" s="308">
        <f>IFERROR(__xludf.DUMMYFUNCTION("""COMPUTED_VALUE"""),1.0)</f>
        <v>1</v>
      </c>
      <c r="L2616" s="308">
        <f>IFERROR(__xludf.DUMMYFUNCTION("""COMPUTED_VALUE"""),2015.0)</f>
        <v>2015</v>
      </c>
      <c r="M2616" s="308" t="s">
        <v>10764</v>
      </c>
      <c r="N2616" s="308"/>
      <c r="O2616" s="308" t="s">
        <v>635</v>
      </c>
      <c r="P2616" s="308" t="s">
        <v>9438</v>
      </c>
      <c r="Q2616" s="308"/>
      <c r="R2616" s="308"/>
      <c r="S2616" s="308" t="s">
        <v>81</v>
      </c>
      <c r="T2616" s="311" t="s">
        <v>73</v>
      </c>
      <c r="U2616" s="308" t="s">
        <v>166</v>
      </c>
      <c r="V2616" s="312"/>
    </row>
    <row r="2617">
      <c r="A2617" s="308">
        <v>2616.0</v>
      </c>
      <c r="B2617" s="308"/>
      <c r="C2617" s="308" t="s">
        <v>10765</v>
      </c>
      <c r="D2617" s="308">
        <f>IFERROR(__xludf.DUMMYFUNCTION("SPLIT(C2617,""-"")"),2637.0)</f>
        <v>2637</v>
      </c>
      <c r="E2617" s="308" t="str">
        <f>IFERROR(__xludf.DUMMYFUNCTION("""COMPUTED_VALUE"""),"S")</f>
        <v>S</v>
      </c>
      <c r="F2617" s="312" t="s">
        <v>39</v>
      </c>
      <c r="G2617" s="308"/>
      <c r="H2617" s="308" t="s">
        <v>10766</v>
      </c>
      <c r="I2617" s="310">
        <v>42101.0</v>
      </c>
      <c r="J2617" s="319">
        <f>IFERROR(__xludf.DUMMYFUNCTION("SPLIT(I2617,""/"")"),7.0)</f>
        <v>7</v>
      </c>
      <c r="K2617" s="308">
        <f>IFERROR(__xludf.DUMMYFUNCTION("""COMPUTED_VALUE"""),4.0)</f>
        <v>4</v>
      </c>
      <c r="L2617" s="308">
        <f>IFERROR(__xludf.DUMMYFUNCTION("""COMPUTED_VALUE"""),2015.0)</f>
        <v>2015</v>
      </c>
      <c r="M2617" s="308" t="s">
        <v>10767</v>
      </c>
      <c r="N2617" s="308"/>
      <c r="O2617" s="308" t="s">
        <v>10768</v>
      </c>
      <c r="P2617" s="308" t="s">
        <v>10769</v>
      </c>
      <c r="Q2617" s="308"/>
      <c r="R2617" s="308"/>
      <c r="S2617" s="308" t="s">
        <v>49</v>
      </c>
      <c r="T2617" s="308" t="s">
        <v>67</v>
      </c>
      <c r="U2617" s="308"/>
      <c r="V2617" s="312"/>
    </row>
    <row r="2618">
      <c r="A2618" s="308">
        <v>2617.0</v>
      </c>
      <c r="B2618" s="308"/>
      <c r="C2618" s="308" t="s">
        <v>10770</v>
      </c>
      <c r="D2618" s="308">
        <f>IFERROR(__xludf.DUMMYFUNCTION("SPLIT(C2618,""-"")"),2638.0)</f>
        <v>2638</v>
      </c>
      <c r="E2618" s="308" t="str">
        <f>IFERROR(__xludf.DUMMYFUNCTION("""COMPUTED_VALUE"""),"S")</f>
        <v>S</v>
      </c>
      <c r="F2618" s="312" t="s">
        <v>39</v>
      </c>
      <c r="G2618" s="308"/>
      <c r="H2618" s="308" t="s">
        <v>10771</v>
      </c>
      <c r="I2618" s="310">
        <v>42123.0</v>
      </c>
      <c r="J2618" s="319">
        <f>IFERROR(__xludf.DUMMYFUNCTION("SPLIT(I2618,""/"")"),29.0)</f>
        <v>29</v>
      </c>
      <c r="K2618" s="308">
        <f>IFERROR(__xludf.DUMMYFUNCTION("""COMPUTED_VALUE"""),4.0)</f>
        <v>4</v>
      </c>
      <c r="L2618" s="308">
        <f>IFERROR(__xludf.DUMMYFUNCTION("""COMPUTED_VALUE"""),2015.0)</f>
        <v>2015</v>
      </c>
      <c r="M2618" s="308" t="s">
        <v>10772</v>
      </c>
      <c r="N2618" s="308"/>
      <c r="O2618" s="308" t="s">
        <v>635</v>
      </c>
      <c r="P2618" s="308" t="s">
        <v>622</v>
      </c>
      <c r="Q2618" s="308"/>
      <c r="R2618" s="308"/>
      <c r="S2618" s="308" t="s">
        <v>49</v>
      </c>
      <c r="T2618" s="308" t="s">
        <v>34409</v>
      </c>
      <c r="U2618" s="308" t="s">
        <v>166</v>
      </c>
      <c r="V2618" s="312"/>
    </row>
    <row r="2619">
      <c r="A2619" s="308">
        <v>2618.0</v>
      </c>
      <c r="B2619" s="308"/>
      <c r="C2619" s="308" t="s">
        <v>10773</v>
      </c>
      <c r="D2619" s="308">
        <f>IFERROR(__xludf.DUMMYFUNCTION("SPLIT(C2619,""-"")"),2639.0)</f>
        <v>2639</v>
      </c>
      <c r="E2619" s="308" t="str">
        <f>IFERROR(__xludf.DUMMYFUNCTION("""COMPUTED_VALUE"""),"S")</f>
        <v>S</v>
      </c>
      <c r="F2619" s="312" t="s">
        <v>39</v>
      </c>
      <c r="G2619" s="308"/>
      <c r="H2619" s="308" t="s">
        <v>10774</v>
      </c>
      <c r="I2619" s="310">
        <v>42093.0</v>
      </c>
      <c r="J2619" s="319">
        <f>IFERROR(__xludf.DUMMYFUNCTION("SPLIT(I2619,""/"")"),30.0)</f>
        <v>30</v>
      </c>
      <c r="K2619" s="308">
        <f>IFERROR(__xludf.DUMMYFUNCTION("""COMPUTED_VALUE"""),3.0)</f>
        <v>3</v>
      </c>
      <c r="L2619" s="308">
        <f>IFERROR(__xludf.DUMMYFUNCTION("""COMPUTED_VALUE"""),2015.0)</f>
        <v>2015</v>
      </c>
      <c r="M2619" s="308" t="s">
        <v>10775</v>
      </c>
      <c r="N2619" s="308"/>
      <c r="O2619" s="308" t="s">
        <v>10776</v>
      </c>
      <c r="P2619" s="308" t="s">
        <v>36717</v>
      </c>
      <c r="Q2619" s="308"/>
      <c r="R2619" s="308" t="s">
        <v>10777</v>
      </c>
      <c r="S2619" s="315" t="s">
        <v>100</v>
      </c>
      <c r="T2619" s="311" t="s">
        <v>34208</v>
      </c>
      <c r="U2619" s="308" t="s">
        <v>166</v>
      </c>
      <c r="V2619" s="312"/>
    </row>
    <row r="2620">
      <c r="A2620" s="308">
        <v>2619.0</v>
      </c>
      <c r="B2620" s="308"/>
      <c r="C2620" s="308" t="s">
        <v>10778</v>
      </c>
      <c r="D2620" s="308">
        <f>IFERROR(__xludf.DUMMYFUNCTION("SPLIT(C2620,""-"")"),2640.0)</f>
        <v>2640</v>
      </c>
      <c r="E2620" s="308" t="str">
        <f>IFERROR(__xludf.DUMMYFUNCTION("""COMPUTED_VALUE"""),"S")</f>
        <v>S</v>
      </c>
      <c r="F2620" s="312" t="s">
        <v>39</v>
      </c>
      <c r="G2620" s="308"/>
      <c r="H2620" s="308" t="s">
        <v>10779</v>
      </c>
      <c r="I2620" s="310">
        <v>42090.0</v>
      </c>
      <c r="J2620" s="319">
        <f>IFERROR(__xludf.DUMMYFUNCTION("SPLIT(I2620,""/"")"),27.0)</f>
        <v>27</v>
      </c>
      <c r="K2620" s="308">
        <f>IFERROR(__xludf.DUMMYFUNCTION("""COMPUTED_VALUE"""),3.0)</f>
        <v>3</v>
      </c>
      <c r="L2620" s="308">
        <f>IFERROR(__xludf.DUMMYFUNCTION("""COMPUTED_VALUE"""),2015.0)</f>
        <v>2015</v>
      </c>
      <c r="M2620" s="308" t="s">
        <v>10780</v>
      </c>
      <c r="N2620" s="308"/>
      <c r="O2620" s="308" t="s">
        <v>10781</v>
      </c>
      <c r="P2620" s="308" t="s">
        <v>36717</v>
      </c>
      <c r="Q2620" s="308"/>
      <c r="R2620" s="308" t="s">
        <v>10782</v>
      </c>
      <c r="S2620" s="315" t="s">
        <v>100</v>
      </c>
      <c r="T2620" s="311" t="s">
        <v>34208</v>
      </c>
      <c r="U2620" s="308" t="s">
        <v>166</v>
      </c>
      <c r="V2620" s="312"/>
    </row>
    <row r="2621">
      <c r="A2621" s="308">
        <v>2620.0</v>
      </c>
      <c r="B2621" s="308"/>
      <c r="C2621" s="308" t="s">
        <v>10783</v>
      </c>
      <c r="D2621" s="308">
        <f>IFERROR(__xludf.DUMMYFUNCTION("SPLIT(C2621,""-"")"),2641.0)</f>
        <v>2641</v>
      </c>
      <c r="E2621" s="308" t="str">
        <f>IFERROR(__xludf.DUMMYFUNCTION("""COMPUTED_VALUE"""),"S")</f>
        <v>S</v>
      </c>
      <c r="F2621" s="312" t="s">
        <v>39</v>
      </c>
      <c r="G2621" s="308"/>
      <c r="H2621" s="308" t="s">
        <v>10784</v>
      </c>
      <c r="I2621" s="310">
        <v>42068.0</v>
      </c>
      <c r="J2621" s="319">
        <f>IFERROR(__xludf.DUMMYFUNCTION("SPLIT(I2621,""/"")"),5.0)</f>
        <v>5</v>
      </c>
      <c r="K2621" s="308">
        <f>IFERROR(__xludf.DUMMYFUNCTION("""COMPUTED_VALUE"""),3.0)</f>
        <v>3</v>
      </c>
      <c r="L2621" s="308">
        <f>IFERROR(__xludf.DUMMYFUNCTION("""COMPUTED_VALUE"""),2015.0)</f>
        <v>2015</v>
      </c>
      <c r="M2621" s="308" t="s">
        <v>36721</v>
      </c>
      <c r="N2621" s="308"/>
      <c r="O2621" s="308" t="s">
        <v>10786</v>
      </c>
      <c r="P2621" s="308"/>
      <c r="Q2621" s="308"/>
      <c r="R2621" s="308" t="s">
        <v>10787</v>
      </c>
      <c r="S2621" s="308" t="s">
        <v>79</v>
      </c>
      <c r="T2621" s="308" t="s">
        <v>79</v>
      </c>
      <c r="U2621" s="308" t="s">
        <v>166</v>
      </c>
      <c r="V2621" s="308"/>
    </row>
    <row r="2622">
      <c r="A2622" s="308">
        <v>2621.0</v>
      </c>
      <c r="B2622" s="308"/>
      <c r="C2622" s="308" t="s">
        <v>10788</v>
      </c>
      <c r="D2622" s="308">
        <f>IFERROR(__xludf.DUMMYFUNCTION("SPLIT(C2622,""-"")"),2642.0)</f>
        <v>2642</v>
      </c>
      <c r="E2622" s="308" t="str">
        <f>IFERROR(__xludf.DUMMYFUNCTION("""COMPUTED_VALUE"""),"K")</f>
        <v>K</v>
      </c>
      <c r="F2622" s="309" t="s">
        <v>34</v>
      </c>
      <c r="G2622" s="308"/>
      <c r="H2622" s="308" t="s">
        <v>10789</v>
      </c>
      <c r="I2622" s="314">
        <v>42289.0</v>
      </c>
      <c r="J2622" s="319">
        <f>IFERROR(__xludf.DUMMYFUNCTION("SPLIT(I2622,""/"")"),12.0)</f>
        <v>12</v>
      </c>
      <c r="K2622" s="308">
        <f>IFERROR(__xludf.DUMMYFUNCTION("""COMPUTED_VALUE"""),10.0)</f>
        <v>10</v>
      </c>
      <c r="L2622" s="308">
        <f>IFERROR(__xludf.DUMMYFUNCTION("""COMPUTED_VALUE"""),2015.0)</f>
        <v>2015</v>
      </c>
      <c r="M2622" s="308" t="s">
        <v>10790</v>
      </c>
      <c r="N2622" s="308"/>
      <c r="O2622" s="308" t="s">
        <v>10791</v>
      </c>
      <c r="P2622" s="308" t="s">
        <v>10792</v>
      </c>
      <c r="Q2622" s="308"/>
      <c r="R2622" s="308"/>
      <c r="S2622" s="308" t="s">
        <v>81</v>
      </c>
      <c r="T2622" s="308" t="s">
        <v>34264</v>
      </c>
      <c r="U2622" s="308" t="s">
        <v>201</v>
      </c>
      <c r="V2622" s="312"/>
    </row>
    <row r="2623">
      <c r="A2623" s="308">
        <v>2622.0</v>
      </c>
      <c r="B2623" s="308"/>
      <c r="C2623" s="308" t="s">
        <v>10793</v>
      </c>
      <c r="D2623" s="308">
        <f>IFERROR(__xludf.DUMMYFUNCTION("SPLIT(C2623,""-"")"),2643.0)</f>
        <v>2643</v>
      </c>
      <c r="E2623" s="308" t="str">
        <f>IFERROR(__xludf.DUMMYFUNCTION("""COMPUTED_VALUE"""),"K")</f>
        <v>K</v>
      </c>
      <c r="F2623" s="309" t="s">
        <v>34</v>
      </c>
      <c r="G2623" s="308"/>
      <c r="H2623" s="308" t="s">
        <v>10794</v>
      </c>
      <c r="I2623" s="310">
        <v>41791.0</v>
      </c>
      <c r="J2623" s="319">
        <f>IFERROR(__xludf.DUMMYFUNCTION("SPLIT(I2623,""/"")"),1.0)</f>
        <v>1</v>
      </c>
      <c r="K2623" s="308">
        <f>IFERROR(__xludf.DUMMYFUNCTION("""COMPUTED_VALUE"""),6.0)</f>
        <v>6</v>
      </c>
      <c r="L2623" s="308">
        <f>IFERROR(__xludf.DUMMYFUNCTION("""COMPUTED_VALUE"""),2014.0)</f>
        <v>2014</v>
      </c>
      <c r="M2623" s="308" t="s">
        <v>10795</v>
      </c>
      <c r="N2623" s="308"/>
      <c r="O2623" s="308" t="s">
        <v>10796</v>
      </c>
      <c r="P2623" s="308" t="s">
        <v>10797</v>
      </c>
      <c r="Q2623" s="308"/>
      <c r="R2623" s="308"/>
      <c r="S2623" s="308" t="s">
        <v>81</v>
      </c>
      <c r="T2623" s="311" t="s">
        <v>51</v>
      </c>
      <c r="U2623" s="308"/>
      <c r="V2623" s="312"/>
    </row>
    <row r="2624">
      <c r="A2624" s="308">
        <v>2623.0</v>
      </c>
      <c r="B2624" s="308"/>
      <c r="C2624" s="308" t="s">
        <v>10798</v>
      </c>
      <c r="D2624" s="308">
        <f>IFERROR(__xludf.DUMMYFUNCTION("SPLIT(C2624,""-"")"),2644.0)</f>
        <v>2644</v>
      </c>
      <c r="E2624" s="308" t="str">
        <f>IFERROR(__xludf.DUMMYFUNCTION("""COMPUTED_VALUE"""),"K")</f>
        <v>K</v>
      </c>
      <c r="F2624" s="309" t="s">
        <v>34</v>
      </c>
      <c r="G2624" s="308"/>
      <c r="H2624" s="308" t="s">
        <v>10799</v>
      </c>
      <c r="I2624" s="314">
        <v>41968.0</v>
      </c>
      <c r="J2624" s="319">
        <f>IFERROR(__xludf.DUMMYFUNCTION("SPLIT(I2624,""/"")"),25.0)</f>
        <v>25</v>
      </c>
      <c r="K2624" s="308">
        <f>IFERROR(__xludf.DUMMYFUNCTION("""COMPUTED_VALUE"""),11.0)</f>
        <v>11</v>
      </c>
      <c r="L2624" s="308">
        <f>IFERROR(__xludf.DUMMYFUNCTION("""COMPUTED_VALUE"""),2014.0)</f>
        <v>2014</v>
      </c>
      <c r="M2624" s="308" t="s">
        <v>10800</v>
      </c>
      <c r="N2624" s="308"/>
      <c r="O2624" s="308" t="s">
        <v>10801</v>
      </c>
      <c r="P2624" s="308" t="s">
        <v>36722</v>
      </c>
      <c r="Q2624" s="308"/>
      <c r="R2624" s="308"/>
      <c r="S2624" s="308" t="s">
        <v>81</v>
      </c>
      <c r="T2624" s="308" t="s">
        <v>34264</v>
      </c>
      <c r="U2624" s="308" t="s">
        <v>530</v>
      </c>
      <c r="V2624" s="312"/>
    </row>
    <row r="2625">
      <c r="A2625" s="308">
        <v>2624.0</v>
      </c>
      <c r="B2625" s="308"/>
      <c r="C2625" s="308" t="s">
        <v>10803</v>
      </c>
      <c r="D2625" s="308">
        <f>IFERROR(__xludf.DUMMYFUNCTION("SPLIT(C2625,""-"")"),2645.0)</f>
        <v>2645</v>
      </c>
      <c r="E2625" s="308" t="str">
        <f>IFERROR(__xludf.DUMMYFUNCTION("""COMPUTED_VALUE"""),"P")</f>
        <v>P</v>
      </c>
      <c r="F2625" s="312" t="s">
        <v>37</v>
      </c>
      <c r="G2625" s="308"/>
      <c r="H2625" s="308" t="s">
        <v>10804</v>
      </c>
      <c r="I2625" s="310">
        <v>42102.0</v>
      </c>
      <c r="J2625" s="319">
        <f>IFERROR(__xludf.DUMMYFUNCTION("SPLIT(I2625,""/"")"),8.0)</f>
        <v>8</v>
      </c>
      <c r="K2625" s="308">
        <f>IFERROR(__xludf.DUMMYFUNCTION("""COMPUTED_VALUE"""),4.0)</f>
        <v>4</v>
      </c>
      <c r="L2625" s="308">
        <f>IFERROR(__xludf.DUMMYFUNCTION("""COMPUTED_VALUE"""),2015.0)</f>
        <v>2015</v>
      </c>
      <c r="M2625" s="308" t="s">
        <v>10805</v>
      </c>
      <c r="N2625" s="308"/>
      <c r="O2625" s="308" t="s">
        <v>10806</v>
      </c>
      <c r="P2625" s="308" t="s">
        <v>10807</v>
      </c>
      <c r="Q2625" s="308"/>
      <c r="R2625" s="308"/>
      <c r="S2625" s="315" t="s">
        <v>100</v>
      </c>
      <c r="T2625" s="311" t="s">
        <v>34208</v>
      </c>
      <c r="U2625" s="308" t="s">
        <v>10808</v>
      </c>
      <c r="V2625" s="312"/>
    </row>
    <row r="2626">
      <c r="A2626" s="308">
        <v>2625.0</v>
      </c>
      <c r="B2626" s="308"/>
      <c r="C2626" s="308" t="s">
        <v>10809</v>
      </c>
      <c r="D2626" s="308">
        <f>IFERROR(__xludf.DUMMYFUNCTION("SPLIT(C2626,""-"")"),2646.0)</f>
        <v>2646</v>
      </c>
      <c r="E2626" s="308" t="str">
        <f>IFERROR(__xludf.DUMMYFUNCTION("""COMPUTED_VALUE"""),"K")</f>
        <v>K</v>
      </c>
      <c r="F2626" s="309" t="s">
        <v>34</v>
      </c>
      <c r="G2626" s="308"/>
      <c r="H2626" s="308" t="s">
        <v>10810</v>
      </c>
      <c r="I2626" s="310">
        <v>42006.0</v>
      </c>
      <c r="J2626" s="319">
        <f>IFERROR(__xludf.DUMMYFUNCTION("SPLIT(I2626,""/"")"),2.0)</f>
        <v>2</v>
      </c>
      <c r="K2626" s="308">
        <f>IFERROR(__xludf.DUMMYFUNCTION("""COMPUTED_VALUE"""),1.0)</f>
        <v>1</v>
      </c>
      <c r="L2626" s="308">
        <f>IFERROR(__xludf.DUMMYFUNCTION("""COMPUTED_VALUE"""),2015.0)</f>
        <v>2015</v>
      </c>
      <c r="M2626" s="308" t="s">
        <v>10811</v>
      </c>
      <c r="N2626" s="308"/>
      <c r="O2626" s="308"/>
      <c r="P2626" s="308" t="s">
        <v>36723</v>
      </c>
      <c r="Q2626" s="308"/>
      <c r="R2626" s="308"/>
      <c r="S2626" s="308" t="s">
        <v>81</v>
      </c>
      <c r="T2626" s="308" t="s">
        <v>75</v>
      </c>
      <c r="U2626" s="308" t="s">
        <v>941</v>
      </c>
      <c r="V2626" s="312"/>
    </row>
    <row r="2627">
      <c r="A2627" s="308">
        <v>2626.0</v>
      </c>
      <c r="B2627" s="308"/>
      <c r="C2627" s="308" t="s">
        <v>10813</v>
      </c>
      <c r="D2627" s="308">
        <f>IFERROR(__xludf.DUMMYFUNCTION("SPLIT(C2627,""-"")"),2647.0)</f>
        <v>2647</v>
      </c>
      <c r="E2627" s="308" t="str">
        <f>IFERROR(__xludf.DUMMYFUNCTION("""COMPUTED_VALUE"""),"ICT")</f>
        <v>ICT</v>
      </c>
      <c r="F2627" s="315" t="s">
        <v>31</v>
      </c>
      <c r="G2627" s="308"/>
      <c r="H2627" s="308" t="s">
        <v>10814</v>
      </c>
      <c r="I2627" s="310">
        <v>42024.0</v>
      </c>
      <c r="J2627" s="319">
        <f>IFERROR(__xludf.DUMMYFUNCTION("SPLIT(I2627,""/"")"),20.0)</f>
        <v>20</v>
      </c>
      <c r="K2627" s="308">
        <f>IFERROR(__xludf.DUMMYFUNCTION("""COMPUTED_VALUE"""),1.0)</f>
        <v>1</v>
      </c>
      <c r="L2627" s="308">
        <f>IFERROR(__xludf.DUMMYFUNCTION("""COMPUTED_VALUE"""),2015.0)</f>
        <v>2015</v>
      </c>
      <c r="M2627" s="308" t="s">
        <v>10815</v>
      </c>
      <c r="N2627" s="308"/>
      <c r="O2627" s="308" t="s">
        <v>10816</v>
      </c>
      <c r="P2627" s="308" t="s">
        <v>36724</v>
      </c>
      <c r="Q2627" s="308"/>
      <c r="R2627" s="308"/>
      <c r="S2627" s="315" t="s">
        <v>100</v>
      </c>
      <c r="T2627" s="311" t="s">
        <v>34208</v>
      </c>
      <c r="U2627" s="308" t="s">
        <v>31</v>
      </c>
      <c r="V2627" s="312"/>
    </row>
    <row r="2628">
      <c r="A2628" s="308">
        <v>2627.0</v>
      </c>
      <c r="B2628" s="308"/>
      <c r="C2628" s="308" t="s">
        <v>10818</v>
      </c>
      <c r="D2628" s="308">
        <f>IFERROR(__xludf.DUMMYFUNCTION("SPLIT(C2628,""-"")"),2648.0)</f>
        <v>2648</v>
      </c>
      <c r="E2628" s="308" t="str">
        <f>IFERROR(__xludf.DUMMYFUNCTION("""COMPUTED_VALUE"""),"P")</f>
        <v>P</v>
      </c>
      <c r="F2628" s="312" t="s">
        <v>37</v>
      </c>
      <c r="G2628" s="308"/>
      <c r="H2628" s="308" t="s">
        <v>10819</v>
      </c>
      <c r="I2628" s="310">
        <v>42084.0</v>
      </c>
      <c r="J2628" s="319">
        <f>IFERROR(__xludf.DUMMYFUNCTION("SPLIT(I2628,""/"")"),21.0)</f>
        <v>21</v>
      </c>
      <c r="K2628" s="308">
        <f>IFERROR(__xludf.DUMMYFUNCTION("""COMPUTED_VALUE"""),3.0)</f>
        <v>3</v>
      </c>
      <c r="L2628" s="308">
        <f>IFERROR(__xludf.DUMMYFUNCTION("""COMPUTED_VALUE"""),2015.0)</f>
        <v>2015</v>
      </c>
      <c r="M2628" s="308" t="s">
        <v>10820</v>
      </c>
      <c r="N2628" s="308"/>
      <c r="O2628" s="308" t="s">
        <v>10821</v>
      </c>
      <c r="P2628" s="308" t="s">
        <v>36725</v>
      </c>
      <c r="Q2628" s="308"/>
      <c r="R2628" s="308"/>
      <c r="S2628" s="315" t="s">
        <v>100</v>
      </c>
      <c r="T2628" s="311" t="s">
        <v>34208</v>
      </c>
      <c r="U2628" s="308" t="s">
        <v>143</v>
      </c>
      <c r="V2628" s="312"/>
    </row>
    <row r="2629">
      <c r="A2629" s="308">
        <v>2628.0</v>
      </c>
      <c r="B2629" s="308"/>
      <c r="C2629" s="308" t="s">
        <v>10823</v>
      </c>
      <c r="D2629" s="308">
        <f>IFERROR(__xludf.DUMMYFUNCTION("SPLIT(C2629,""-"")"),2649.0)</f>
        <v>2649</v>
      </c>
      <c r="E2629" s="308" t="str">
        <f>IFERROR(__xludf.DUMMYFUNCTION("""COMPUTED_VALUE"""),"P")</f>
        <v>P</v>
      </c>
      <c r="F2629" s="312" t="s">
        <v>37</v>
      </c>
      <c r="G2629" s="308"/>
      <c r="H2629" s="308" t="s">
        <v>10824</v>
      </c>
      <c r="I2629" s="310">
        <v>42082.0</v>
      </c>
      <c r="J2629" s="319">
        <f>IFERROR(__xludf.DUMMYFUNCTION("SPLIT(I2629,""/"")"),19.0)</f>
        <v>19</v>
      </c>
      <c r="K2629" s="308">
        <f>IFERROR(__xludf.DUMMYFUNCTION("""COMPUTED_VALUE"""),3.0)</f>
        <v>3</v>
      </c>
      <c r="L2629" s="308">
        <f>IFERROR(__xludf.DUMMYFUNCTION("""COMPUTED_VALUE"""),2015.0)</f>
        <v>2015</v>
      </c>
      <c r="M2629" s="308" t="s">
        <v>10825</v>
      </c>
      <c r="N2629" s="308"/>
      <c r="O2629" s="308" t="s">
        <v>10826</v>
      </c>
      <c r="P2629" s="308" t="s">
        <v>10827</v>
      </c>
      <c r="Q2629" s="308"/>
      <c r="R2629" s="308"/>
      <c r="S2629" s="308" t="s">
        <v>81</v>
      </c>
      <c r="T2629" s="308" t="s">
        <v>75</v>
      </c>
      <c r="U2629" s="308"/>
      <c r="V2629" s="312"/>
    </row>
    <row r="2630">
      <c r="A2630" s="308">
        <v>2629.0</v>
      </c>
      <c r="B2630" s="308"/>
      <c r="C2630" s="308" t="s">
        <v>10828</v>
      </c>
      <c r="D2630" s="308">
        <f>IFERROR(__xludf.DUMMYFUNCTION("SPLIT(C2630,""-"")"),2650.0)</f>
        <v>2650</v>
      </c>
      <c r="E2630" s="308" t="str">
        <f>IFERROR(__xludf.DUMMYFUNCTION("""COMPUTED_VALUE"""),"P")</f>
        <v>P</v>
      </c>
      <c r="F2630" s="312" t="s">
        <v>37</v>
      </c>
      <c r="G2630" s="308"/>
      <c r="H2630" s="308" t="s">
        <v>10829</v>
      </c>
      <c r="I2630" s="314">
        <v>41996.0</v>
      </c>
      <c r="J2630" s="319">
        <f>IFERROR(__xludf.DUMMYFUNCTION("SPLIT(I2630,""/"")"),23.0)</f>
        <v>23</v>
      </c>
      <c r="K2630" s="308">
        <f>IFERROR(__xludf.DUMMYFUNCTION("""COMPUTED_VALUE"""),12.0)</f>
        <v>12</v>
      </c>
      <c r="L2630" s="308">
        <f>IFERROR(__xludf.DUMMYFUNCTION("""COMPUTED_VALUE"""),2014.0)</f>
        <v>2014</v>
      </c>
      <c r="M2630" s="308" t="s">
        <v>10830</v>
      </c>
      <c r="N2630" s="308"/>
      <c r="O2630" s="308" t="s">
        <v>10831</v>
      </c>
      <c r="P2630" s="308" t="s">
        <v>10832</v>
      </c>
      <c r="Q2630" s="308"/>
      <c r="R2630" s="308"/>
      <c r="S2630" s="308" t="s">
        <v>81</v>
      </c>
      <c r="T2630" s="311" t="s">
        <v>96</v>
      </c>
      <c r="U2630" s="308"/>
      <c r="V2630" s="312"/>
    </row>
    <row r="2631">
      <c r="A2631" s="308">
        <v>2630.0</v>
      </c>
      <c r="B2631" s="308"/>
      <c r="C2631" s="308" t="s">
        <v>10833</v>
      </c>
      <c r="D2631" s="308">
        <f>IFERROR(__xludf.DUMMYFUNCTION("SPLIT(C2631,""-"")"),2651.0)</f>
        <v>2651</v>
      </c>
      <c r="E2631" s="308" t="str">
        <f>IFERROR(__xludf.DUMMYFUNCTION("""COMPUTED_VALUE"""),"P")</f>
        <v>P</v>
      </c>
      <c r="F2631" s="312" t="s">
        <v>37</v>
      </c>
      <c r="G2631" s="308"/>
      <c r="H2631" s="308" t="s">
        <v>10834</v>
      </c>
      <c r="I2631" s="314">
        <v>42002.0</v>
      </c>
      <c r="J2631" s="319">
        <f>IFERROR(__xludf.DUMMYFUNCTION("SPLIT(I2631,""/"")"),29.0)</f>
        <v>29</v>
      </c>
      <c r="K2631" s="308">
        <f>IFERROR(__xludf.DUMMYFUNCTION("""COMPUTED_VALUE"""),12.0)</f>
        <v>12</v>
      </c>
      <c r="L2631" s="308">
        <f>IFERROR(__xludf.DUMMYFUNCTION("""COMPUTED_VALUE"""),2014.0)</f>
        <v>2014</v>
      </c>
      <c r="M2631" s="308" t="s">
        <v>10835</v>
      </c>
      <c r="N2631" s="308"/>
      <c r="O2631" s="308" t="s">
        <v>10836</v>
      </c>
      <c r="P2631" s="308" t="s">
        <v>10837</v>
      </c>
      <c r="Q2631" s="308"/>
      <c r="R2631" s="308"/>
      <c r="S2631" s="308" t="s">
        <v>81</v>
      </c>
      <c r="T2631" s="308" t="s">
        <v>75</v>
      </c>
      <c r="U2631" s="308"/>
      <c r="V2631" s="312"/>
    </row>
    <row r="2632">
      <c r="A2632" s="308">
        <v>2631.0</v>
      </c>
      <c r="B2632" s="308"/>
      <c r="C2632" s="308" t="s">
        <v>10838</v>
      </c>
      <c r="D2632" s="308">
        <f>IFERROR(__xludf.DUMMYFUNCTION("SPLIT(C2632,""-"")"),2652.0)</f>
        <v>2652</v>
      </c>
      <c r="E2632" s="308" t="str">
        <f>IFERROR(__xludf.DUMMYFUNCTION("""COMPUTED_VALUE"""),"P")</f>
        <v>P</v>
      </c>
      <c r="F2632" s="312" t="s">
        <v>37</v>
      </c>
      <c r="G2632" s="308"/>
      <c r="H2632" s="308" t="s">
        <v>10839</v>
      </c>
      <c r="I2632" s="310">
        <v>40808.0</v>
      </c>
      <c r="J2632" s="319">
        <f>IFERROR(__xludf.DUMMYFUNCTION("SPLIT(I2632,""/"")"),22.0)</f>
        <v>22</v>
      </c>
      <c r="K2632" s="308">
        <f>IFERROR(__xludf.DUMMYFUNCTION("""COMPUTED_VALUE"""),9.0)</f>
        <v>9</v>
      </c>
      <c r="L2632" s="308">
        <f>IFERROR(__xludf.DUMMYFUNCTION("""COMPUTED_VALUE"""),2011.0)</f>
        <v>2011</v>
      </c>
      <c r="M2632" s="308" t="s">
        <v>10840</v>
      </c>
      <c r="N2632" s="308"/>
      <c r="O2632" s="308" t="s">
        <v>10841</v>
      </c>
      <c r="P2632" s="308" t="s">
        <v>10842</v>
      </c>
      <c r="Q2632" s="308"/>
      <c r="R2632" s="308"/>
      <c r="S2632" s="308" t="s">
        <v>81</v>
      </c>
      <c r="T2632" s="311" t="s">
        <v>73</v>
      </c>
      <c r="U2632" s="308" t="s">
        <v>149</v>
      </c>
      <c r="V2632" s="312"/>
    </row>
    <row r="2633">
      <c r="A2633" s="308">
        <v>2632.0</v>
      </c>
      <c r="B2633" s="308"/>
      <c r="C2633" s="308" t="s">
        <v>10843</v>
      </c>
      <c r="D2633" s="308">
        <f>IFERROR(__xludf.DUMMYFUNCTION("SPLIT(C2633,""-"")"),2653.0)</f>
        <v>2653</v>
      </c>
      <c r="E2633" s="308" t="str">
        <f>IFERROR(__xludf.DUMMYFUNCTION("""COMPUTED_VALUE"""),"K")</f>
        <v>K</v>
      </c>
      <c r="F2633" s="309" t="s">
        <v>34</v>
      </c>
      <c r="G2633" s="308"/>
      <c r="H2633" s="308" t="s">
        <v>10844</v>
      </c>
      <c r="I2633" s="310">
        <v>41292.0</v>
      </c>
      <c r="J2633" s="319">
        <f>IFERROR(__xludf.DUMMYFUNCTION("SPLIT(I2633,""/"")"),18.0)</f>
        <v>18</v>
      </c>
      <c r="K2633" s="308">
        <f>IFERROR(__xludf.DUMMYFUNCTION("""COMPUTED_VALUE"""),1.0)</f>
        <v>1</v>
      </c>
      <c r="L2633" s="308">
        <f>IFERROR(__xludf.DUMMYFUNCTION("""COMPUTED_VALUE"""),2013.0)</f>
        <v>2013</v>
      </c>
      <c r="M2633" s="308" t="s">
        <v>10845</v>
      </c>
      <c r="N2633" s="308"/>
      <c r="O2633" s="308" t="s">
        <v>10846</v>
      </c>
      <c r="P2633" s="308" t="s">
        <v>10847</v>
      </c>
      <c r="Q2633" s="308"/>
      <c r="R2633" s="308"/>
      <c r="S2633" s="308" t="s">
        <v>81</v>
      </c>
      <c r="T2633" s="308" t="s">
        <v>34264</v>
      </c>
      <c r="U2633" s="308"/>
      <c r="V2633" s="312"/>
    </row>
    <row r="2634">
      <c r="A2634" s="308">
        <v>2633.0</v>
      </c>
      <c r="B2634" s="308"/>
      <c r="C2634" s="308" t="s">
        <v>10848</v>
      </c>
      <c r="D2634" s="308">
        <f>IFERROR(__xludf.DUMMYFUNCTION("SPLIT(C2634,""-"")"),2654.0)</f>
        <v>2654</v>
      </c>
      <c r="E2634" s="308" t="str">
        <f>IFERROR(__xludf.DUMMYFUNCTION("""COMPUTED_VALUE"""),"P")</f>
        <v>P</v>
      </c>
      <c r="F2634" s="312" t="s">
        <v>37</v>
      </c>
      <c r="G2634" s="308"/>
      <c r="H2634" s="308" t="s">
        <v>10849</v>
      </c>
      <c r="I2634" s="310">
        <v>41946.0</v>
      </c>
      <c r="J2634" s="319">
        <f>IFERROR(__xludf.DUMMYFUNCTION("SPLIT(I2634,""/"")"),3.0)</f>
        <v>3</v>
      </c>
      <c r="K2634" s="308">
        <f>IFERROR(__xludf.DUMMYFUNCTION("""COMPUTED_VALUE"""),11.0)</f>
        <v>11</v>
      </c>
      <c r="L2634" s="308">
        <f>IFERROR(__xludf.DUMMYFUNCTION("""COMPUTED_VALUE"""),2014.0)</f>
        <v>2014</v>
      </c>
      <c r="M2634" s="308" t="s">
        <v>10850</v>
      </c>
      <c r="N2634" s="308"/>
      <c r="O2634" s="308" t="s">
        <v>10851</v>
      </c>
      <c r="P2634" s="308" t="s">
        <v>10852</v>
      </c>
      <c r="Q2634" s="308"/>
      <c r="R2634" s="308"/>
      <c r="S2634" s="315" t="s">
        <v>100</v>
      </c>
      <c r="T2634" s="311" t="s">
        <v>34208</v>
      </c>
      <c r="U2634" s="308" t="s">
        <v>1664</v>
      </c>
      <c r="V2634" s="312"/>
    </row>
    <row r="2635">
      <c r="A2635" s="308">
        <v>2634.0</v>
      </c>
      <c r="B2635" s="308"/>
      <c r="C2635" s="308" t="s">
        <v>10853</v>
      </c>
      <c r="D2635" s="308">
        <f>IFERROR(__xludf.DUMMYFUNCTION("SPLIT(C2635,""-"")"),2655.0)</f>
        <v>2655</v>
      </c>
      <c r="E2635" s="308" t="str">
        <f>IFERROR(__xludf.DUMMYFUNCTION("""COMPUTED_VALUE"""),"P")</f>
        <v>P</v>
      </c>
      <c r="F2635" s="312" t="s">
        <v>37</v>
      </c>
      <c r="G2635" s="308"/>
      <c r="H2635" s="308" t="s">
        <v>10854</v>
      </c>
      <c r="I2635" s="310">
        <v>41982.0</v>
      </c>
      <c r="J2635" s="319">
        <f>IFERROR(__xludf.DUMMYFUNCTION("SPLIT(I2635,""/"")"),9.0)</f>
        <v>9</v>
      </c>
      <c r="K2635" s="308">
        <f>IFERROR(__xludf.DUMMYFUNCTION("""COMPUTED_VALUE"""),12.0)</f>
        <v>12</v>
      </c>
      <c r="L2635" s="308">
        <f>IFERROR(__xludf.DUMMYFUNCTION("""COMPUTED_VALUE"""),2014.0)</f>
        <v>2014</v>
      </c>
      <c r="M2635" s="308" t="s">
        <v>36726</v>
      </c>
      <c r="N2635" s="308"/>
      <c r="O2635" s="308" t="s">
        <v>10856</v>
      </c>
      <c r="P2635" s="308" t="s">
        <v>36727</v>
      </c>
      <c r="Q2635" s="308"/>
      <c r="R2635" s="308"/>
      <c r="S2635" s="308" t="s">
        <v>81</v>
      </c>
      <c r="T2635" s="311" t="s">
        <v>75</v>
      </c>
      <c r="U2635" s="308" t="s">
        <v>3407</v>
      </c>
      <c r="V2635" s="312"/>
    </row>
    <row r="2636">
      <c r="A2636" s="308">
        <v>2635.0</v>
      </c>
      <c r="B2636" s="308"/>
      <c r="C2636" s="308" t="s">
        <v>10858</v>
      </c>
      <c r="D2636" s="308">
        <f>IFERROR(__xludf.DUMMYFUNCTION("SPLIT(C2636,""-"")"),2656.0)</f>
        <v>2656</v>
      </c>
      <c r="E2636" s="308" t="str">
        <f>IFERROR(__xludf.DUMMYFUNCTION("""COMPUTED_VALUE"""),"P")</f>
        <v>P</v>
      </c>
      <c r="F2636" s="312" t="s">
        <v>37</v>
      </c>
      <c r="G2636" s="308"/>
      <c r="H2636" s="308" t="s">
        <v>10859</v>
      </c>
      <c r="I2636" s="310">
        <v>42179.0</v>
      </c>
      <c r="J2636" s="319">
        <f>IFERROR(__xludf.DUMMYFUNCTION("SPLIT(I2636,""/"")"),24.0)</f>
        <v>24</v>
      </c>
      <c r="K2636" s="308">
        <f>IFERROR(__xludf.DUMMYFUNCTION("""COMPUTED_VALUE"""),6.0)</f>
        <v>6</v>
      </c>
      <c r="L2636" s="308">
        <f>IFERROR(__xludf.DUMMYFUNCTION("""COMPUTED_VALUE"""),2015.0)</f>
        <v>2015</v>
      </c>
      <c r="M2636" s="308" t="s">
        <v>36728</v>
      </c>
      <c r="N2636" s="308"/>
      <c r="O2636" s="308" t="s">
        <v>635</v>
      </c>
      <c r="P2636" s="308" t="s">
        <v>10861</v>
      </c>
      <c r="Q2636" s="308"/>
      <c r="R2636" s="308"/>
      <c r="S2636" s="308" t="s">
        <v>81</v>
      </c>
      <c r="T2636" s="311" t="s">
        <v>75</v>
      </c>
      <c r="U2636" s="308"/>
      <c r="V2636" s="312"/>
    </row>
    <row r="2637">
      <c r="A2637" s="308">
        <v>2636.0</v>
      </c>
      <c r="B2637" s="308"/>
      <c r="C2637" s="308" t="s">
        <v>10862</v>
      </c>
      <c r="D2637" s="308">
        <f>IFERROR(__xludf.DUMMYFUNCTION("SPLIT(C2637,""-"")"),2657.0)</f>
        <v>2657</v>
      </c>
      <c r="E2637" s="308" t="str">
        <f>IFERROR(__xludf.DUMMYFUNCTION("""COMPUTED_VALUE"""),"S")</f>
        <v>S</v>
      </c>
      <c r="F2637" s="312" t="s">
        <v>39</v>
      </c>
      <c r="G2637" s="308"/>
      <c r="H2637" s="308" t="s">
        <v>10863</v>
      </c>
      <c r="I2637" s="310">
        <v>42159.0</v>
      </c>
      <c r="J2637" s="319">
        <f>IFERROR(__xludf.DUMMYFUNCTION("SPLIT(I2637,""/"")"),4.0)</f>
        <v>4</v>
      </c>
      <c r="K2637" s="308">
        <f>IFERROR(__xludf.DUMMYFUNCTION("""COMPUTED_VALUE"""),6.0)</f>
        <v>6</v>
      </c>
      <c r="L2637" s="308">
        <f>IFERROR(__xludf.DUMMYFUNCTION("""COMPUTED_VALUE"""),2015.0)</f>
        <v>2015</v>
      </c>
      <c r="M2637" s="308" t="s">
        <v>10864</v>
      </c>
      <c r="N2637" s="308"/>
      <c r="O2637" s="308" t="s">
        <v>635</v>
      </c>
      <c r="P2637" s="308" t="s">
        <v>4736</v>
      </c>
      <c r="Q2637" s="308"/>
      <c r="R2637" s="308"/>
      <c r="S2637" s="308" t="s">
        <v>81</v>
      </c>
      <c r="T2637" s="308" t="s">
        <v>98</v>
      </c>
      <c r="U2637" s="308" t="s">
        <v>166</v>
      </c>
      <c r="V2637" s="312"/>
    </row>
    <row r="2638">
      <c r="A2638" s="308">
        <v>2637.0</v>
      </c>
      <c r="B2638" s="308"/>
      <c r="C2638" s="308" t="s">
        <v>10865</v>
      </c>
      <c r="D2638" s="308">
        <f>IFERROR(__xludf.DUMMYFUNCTION("SPLIT(C2638,""-"")"),2658.0)</f>
        <v>2658</v>
      </c>
      <c r="E2638" s="308" t="str">
        <f>IFERROR(__xludf.DUMMYFUNCTION("""COMPUTED_VALUE"""),"K")</f>
        <v>K</v>
      </c>
      <c r="F2638" s="309" t="s">
        <v>34</v>
      </c>
      <c r="G2638" s="308"/>
      <c r="H2638" s="308" t="s">
        <v>10866</v>
      </c>
      <c r="I2638" s="310">
        <v>41845.0</v>
      </c>
      <c r="J2638" s="319">
        <f>IFERROR(__xludf.DUMMYFUNCTION("SPLIT(I2638,""/"")"),25.0)</f>
        <v>25</v>
      </c>
      <c r="K2638" s="308">
        <f>IFERROR(__xludf.DUMMYFUNCTION("""COMPUTED_VALUE"""),7.0)</f>
        <v>7</v>
      </c>
      <c r="L2638" s="308">
        <f>IFERROR(__xludf.DUMMYFUNCTION("""COMPUTED_VALUE"""),2014.0)</f>
        <v>2014</v>
      </c>
      <c r="M2638" s="308" t="s">
        <v>10867</v>
      </c>
      <c r="N2638" s="308"/>
      <c r="O2638" s="308" t="s">
        <v>10868</v>
      </c>
      <c r="P2638" s="308" t="s">
        <v>2872</v>
      </c>
      <c r="Q2638" s="308"/>
      <c r="R2638" s="308"/>
      <c r="S2638" s="315" t="s">
        <v>100</v>
      </c>
      <c r="T2638" s="311" t="s">
        <v>34208</v>
      </c>
      <c r="U2638" s="308" t="s">
        <v>125</v>
      </c>
      <c r="V2638" s="312"/>
    </row>
    <row r="2639">
      <c r="A2639" s="308">
        <v>2638.0</v>
      </c>
      <c r="B2639" s="308"/>
      <c r="C2639" s="308" t="s">
        <v>10869</v>
      </c>
      <c r="D2639" s="308" t="str">
        <f>IFERROR(__xludf.DUMMYFUNCTION("SPLIT(C2639,""-"")"),"#REF!")</f>
        <v>#REF!</v>
      </c>
      <c r="E2639" s="311"/>
      <c r="F2639" s="317" t="s">
        <v>39</v>
      </c>
      <c r="G2639" s="308"/>
      <c r="H2639" s="308" t="s">
        <v>10870</v>
      </c>
      <c r="I2639" s="310">
        <v>42114.0</v>
      </c>
      <c r="J2639" s="319">
        <f>IFERROR(__xludf.DUMMYFUNCTION("SPLIT(I2639,""/"")"),20.0)</f>
        <v>20</v>
      </c>
      <c r="K2639" s="308">
        <f>IFERROR(__xludf.DUMMYFUNCTION("""COMPUTED_VALUE"""),4.0)</f>
        <v>4</v>
      </c>
      <c r="L2639" s="308">
        <f>IFERROR(__xludf.DUMMYFUNCTION("""COMPUTED_VALUE"""),2015.0)</f>
        <v>2015</v>
      </c>
      <c r="M2639" s="308" t="s">
        <v>10871</v>
      </c>
      <c r="N2639" s="308"/>
      <c r="O2639" s="308" t="s">
        <v>10872</v>
      </c>
      <c r="P2639" s="308" t="s">
        <v>9979</v>
      </c>
      <c r="Q2639" s="308"/>
      <c r="R2639" s="308" t="s">
        <v>10873</v>
      </c>
      <c r="S2639" s="315" t="s">
        <v>100</v>
      </c>
      <c r="T2639" s="311" t="s">
        <v>34208</v>
      </c>
      <c r="U2639" s="308" t="s">
        <v>166</v>
      </c>
      <c r="V2639" s="312"/>
    </row>
    <row r="2640">
      <c r="A2640" s="308">
        <v>2639.0</v>
      </c>
      <c r="B2640" s="308"/>
      <c r="C2640" s="308" t="s">
        <v>10874</v>
      </c>
      <c r="D2640" s="308" t="str">
        <f>IFERROR(__xludf.DUMMYFUNCTION("SPLIT(C2640,""-"")"),"#REF!")</f>
        <v>#REF!</v>
      </c>
      <c r="E2640" s="311"/>
      <c r="F2640" s="317" t="s">
        <v>39</v>
      </c>
      <c r="G2640" s="308"/>
      <c r="H2640" s="308" t="s">
        <v>10875</v>
      </c>
      <c r="I2640" s="310">
        <v>42114.0</v>
      </c>
      <c r="J2640" s="319">
        <f>IFERROR(__xludf.DUMMYFUNCTION("SPLIT(I2640,""/"")"),20.0)</f>
        <v>20</v>
      </c>
      <c r="K2640" s="308">
        <f>IFERROR(__xludf.DUMMYFUNCTION("""COMPUTED_VALUE"""),4.0)</f>
        <v>4</v>
      </c>
      <c r="L2640" s="308">
        <f>IFERROR(__xludf.DUMMYFUNCTION("""COMPUTED_VALUE"""),2015.0)</f>
        <v>2015</v>
      </c>
      <c r="M2640" s="308" t="s">
        <v>10876</v>
      </c>
      <c r="N2640" s="308"/>
      <c r="O2640" s="308" t="s">
        <v>36729</v>
      </c>
      <c r="P2640" s="308" t="s">
        <v>9979</v>
      </c>
      <c r="Q2640" s="308"/>
      <c r="R2640" s="308" t="s">
        <v>10878</v>
      </c>
      <c r="S2640" s="315" t="s">
        <v>100</v>
      </c>
      <c r="T2640" s="311" t="s">
        <v>34208</v>
      </c>
      <c r="U2640" s="308" t="s">
        <v>166</v>
      </c>
      <c r="V2640" s="312"/>
    </row>
    <row r="2641">
      <c r="A2641" s="308">
        <v>2640.0</v>
      </c>
      <c r="B2641" s="308"/>
      <c r="C2641" s="308" t="s">
        <v>10879</v>
      </c>
      <c r="D2641" s="308">
        <f>IFERROR(__xludf.DUMMYFUNCTION("SPLIT(C2641,""-"")"),2661.0)</f>
        <v>2661</v>
      </c>
      <c r="E2641" s="308" t="str">
        <f>IFERROR(__xludf.DUMMYFUNCTION("""COMPUTED_VALUE"""),"S")</f>
        <v>S</v>
      </c>
      <c r="F2641" s="312" t="s">
        <v>39</v>
      </c>
      <c r="G2641" s="308"/>
      <c r="H2641" s="308" t="s">
        <v>10880</v>
      </c>
      <c r="I2641" s="310">
        <v>42124.0</v>
      </c>
      <c r="J2641" s="319">
        <f>IFERROR(__xludf.DUMMYFUNCTION("SPLIT(I2641,""/"")"),30.0)</f>
        <v>30</v>
      </c>
      <c r="K2641" s="308">
        <f>IFERROR(__xludf.DUMMYFUNCTION("""COMPUTED_VALUE"""),4.0)</f>
        <v>4</v>
      </c>
      <c r="L2641" s="308">
        <f>IFERROR(__xludf.DUMMYFUNCTION("""COMPUTED_VALUE"""),2015.0)</f>
        <v>2015</v>
      </c>
      <c r="M2641" s="308" t="s">
        <v>10881</v>
      </c>
      <c r="N2641" s="308"/>
      <c r="O2641" s="308" t="s">
        <v>36730</v>
      </c>
      <c r="P2641" s="308" t="s">
        <v>1481</v>
      </c>
      <c r="Q2641" s="308"/>
      <c r="R2641" s="308"/>
      <c r="S2641" s="308" t="s">
        <v>81</v>
      </c>
      <c r="T2641" s="308" t="s">
        <v>35048</v>
      </c>
      <c r="U2641" s="308" t="s">
        <v>166</v>
      </c>
      <c r="V2641" s="312"/>
    </row>
    <row r="2642">
      <c r="A2642" s="308">
        <v>2641.0</v>
      </c>
      <c r="B2642" s="308"/>
      <c r="C2642" s="308" t="s">
        <v>10883</v>
      </c>
      <c r="D2642" s="308">
        <f>IFERROR(__xludf.DUMMYFUNCTION("SPLIT(C2642,""-"")"),2662.0)</f>
        <v>2662</v>
      </c>
      <c r="E2642" s="308" t="str">
        <f>IFERROR(__xludf.DUMMYFUNCTION("""COMPUTED_VALUE"""),"S")</f>
        <v>S</v>
      </c>
      <c r="F2642" s="312" t="s">
        <v>39</v>
      </c>
      <c r="G2642" s="308"/>
      <c r="H2642" s="308" t="s">
        <v>10884</v>
      </c>
      <c r="I2642" s="310">
        <v>42130.0</v>
      </c>
      <c r="J2642" s="319">
        <f>IFERROR(__xludf.DUMMYFUNCTION("SPLIT(I2642,""/"")"),6.0)</f>
        <v>6</v>
      </c>
      <c r="K2642" s="308">
        <f>IFERROR(__xludf.DUMMYFUNCTION("""COMPUTED_VALUE"""),5.0)</f>
        <v>5</v>
      </c>
      <c r="L2642" s="308">
        <f>IFERROR(__xludf.DUMMYFUNCTION("""COMPUTED_VALUE"""),2015.0)</f>
        <v>2015</v>
      </c>
      <c r="M2642" s="308" t="s">
        <v>10885</v>
      </c>
      <c r="N2642" s="308"/>
      <c r="O2642" s="308" t="s">
        <v>36731</v>
      </c>
      <c r="P2642" s="308" t="s">
        <v>4736</v>
      </c>
      <c r="Q2642" s="308"/>
      <c r="R2642" s="308"/>
      <c r="S2642" s="308" t="s">
        <v>81</v>
      </c>
      <c r="T2642" s="308" t="s">
        <v>98</v>
      </c>
      <c r="U2642" s="308" t="s">
        <v>166</v>
      </c>
      <c r="V2642" s="312"/>
    </row>
    <row r="2643">
      <c r="A2643" s="308">
        <v>2642.0</v>
      </c>
      <c r="B2643" s="308"/>
      <c r="C2643" s="308" t="s">
        <v>10887</v>
      </c>
      <c r="D2643" s="308">
        <f>IFERROR(__xludf.DUMMYFUNCTION("SPLIT(C2643,""-"")"),2663.0)</f>
        <v>2663</v>
      </c>
      <c r="E2643" s="308" t="str">
        <f>IFERROR(__xludf.DUMMYFUNCTION("""COMPUTED_VALUE"""),"S")</f>
        <v>S</v>
      </c>
      <c r="F2643" s="312" t="s">
        <v>39</v>
      </c>
      <c r="G2643" s="308"/>
      <c r="H2643" s="308" t="s">
        <v>10888</v>
      </c>
      <c r="I2643" s="310">
        <v>42131.0</v>
      </c>
      <c r="J2643" s="319">
        <f>IFERROR(__xludf.DUMMYFUNCTION("SPLIT(I2643,""/"")"),7.0)</f>
        <v>7</v>
      </c>
      <c r="K2643" s="308">
        <f>IFERROR(__xludf.DUMMYFUNCTION("""COMPUTED_VALUE"""),5.0)</f>
        <v>5</v>
      </c>
      <c r="L2643" s="308">
        <f>IFERROR(__xludf.DUMMYFUNCTION("""COMPUTED_VALUE"""),2015.0)</f>
        <v>2015</v>
      </c>
      <c r="M2643" s="308" t="s">
        <v>10889</v>
      </c>
      <c r="N2643" s="308"/>
      <c r="O2643" s="308" t="s">
        <v>635</v>
      </c>
      <c r="P2643" s="308" t="s">
        <v>1481</v>
      </c>
      <c r="Q2643" s="308"/>
      <c r="R2643" s="308"/>
      <c r="S2643" s="308" t="s">
        <v>81</v>
      </c>
      <c r="T2643" s="308" t="s">
        <v>35048</v>
      </c>
      <c r="U2643" s="308" t="s">
        <v>166</v>
      </c>
      <c r="V2643" s="312"/>
    </row>
    <row r="2644">
      <c r="A2644" s="308">
        <v>2643.0</v>
      </c>
      <c r="B2644" s="308"/>
      <c r="C2644" s="308" t="s">
        <v>10890</v>
      </c>
      <c r="D2644" s="308">
        <f>IFERROR(__xludf.DUMMYFUNCTION("SPLIT(C2644,""-"")"),2664.0)</f>
        <v>2664</v>
      </c>
      <c r="E2644" s="308" t="str">
        <f>IFERROR(__xludf.DUMMYFUNCTION("""COMPUTED_VALUE"""),"S")</f>
        <v>S</v>
      </c>
      <c r="F2644" s="312" t="s">
        <v>39</v>
      </c>
      <c r="G2644" s="308"/>
      <c r="H2644" s="308" t="s">
        <v>10891</v>
      </c>
      <c r="I2644" s="310">
        <v>42144.0</v>
      </c>
      <c r="J2644" s="319">
        <f>IFERROR(__xludf.DUMMYFUNCTION("SPLIT(I2644,""/"")"),20.0)</f>
        <v>20</v>
      </c>
      <c r="K2644" s="308">
        <f>IFERROR(__xludf.DUMMYFUNCTION("""COMPUTED_VALUE"""),5.0)</f>
        <v>5</v>
      </c>
      <c r="L2644" s="308">
        <f>IFERROR(__xludf.DUMMYFUNCTION("""COMPUTED_VALUE"""),2015.0)</f>
        <v>2015</v>
      </c>
      <c r="M2644" s="308" t="s">
        <v>10892</v>
      </c>
      <c r="N2644" s="308"/>
      <c r="O2644" s="308" t="s">
        <v>635</v>
      </c>
      <c r="P2644" s="308" t="s">
        <v>1481</v>
      </c>
      <c r="Q2644" s="308"/>
      <c r="R2644" s="308"/>
      <c r="S2644" s="308" t="s">
        <v>81</v>
      </c>
      <c r="T2644" s="308" t="s">
        <v>35048</v>
      </c>
      <c r="U2644" s="308" t="s">
        <v>166</v>
      </c>
      <c r="V2644" s="312"/>
    </row>
    <row r="2645">
      <c r="A2645" s="308">
        <v>2644.0</v>
      </c>
      <c r="B2645" s="308"/>
      <c r="C2645" s="308" t="s">
        <v>10893</v>
      </c>
      <c r="D2645" s="308">
        <f>IFERROR(__xludf.DUMMYFUNCTION("SPLIT(C2645,""-"")"),2665.0)</f>
        <v>2665</v>
      </c>
      <c r="E2645" s="308" t="str">
        <f>IFERROR(__xludf.DUMMYFUNCTION("""COMPUTED_VALUE"""),"S")</f>
        <v>S</v>
      </c>
      <c r="F2645" s="312" t="s">
        <v>39</v>
      </c>
      <c r="G2645" s="308"/>
      <c r="H2645" s="308" t="s">
        <v>10894</v>
      </c>
      <c r="I2645" s="310">
        <v>42144.0</v>
      </c>
      <c r="J2645" s="319">
        <f>IFERROR(__xludf.DUMMYFUNCTION("SPLIT(I2645,""/"")"),20.0)</f>
        <v>20</v>
      </c>
      <c r="K2645" s="308">
        <f>IFERROR(__xludf.DUMMYFUNCTION("""COMPUTED_VALUE"""),5.0)</f>
        <v>5</v>
      </c>
      <c r="L2645" s="308">
        <f>IFERROR(__xludf.DUMMYFUNCTION("""COMPUTED_VALUE"""),2015.0)</f>
        <v>2015</v>
      </c>
      <c r="M2645" s="308" t="s">
        <v>10895</v>
      </c>
      <c r="N2645" s="308"/>
      <c r="O2645" s="308" t="s">
        <v>635</v>
      </c>
      <c r="P2645" s="308" t="s">
        <v>622</v>
      </c>
      <c r="Q2645" s="308"/>
      <c r="R2645" s="308"/>
      <c r="S2645" s="308" t="s">
        <v>49</v>
      </c>
      <c r="T2645" s="308" t="s">
        <v>34409</v>
      </c>
      <c r="U2645" s="308" t="s">
        <v>166</v>
      </c>
      <c r="V2645" s="312"/>
    </row>
    <row r="2646">
      <c r="A2646" s="308">
        <v>2645.0</v>
      </c>
      <c r="B2646" s="308"/>
      <c r="C2646" s="308" t="s">
        <v>10896</v>
      </c>
      <c r="D2646" s="308">
        <f>IFERROR(__xludf.DUMMYFUNCTION("SPLIT(C2646,""-"")"),2666.0)</f>
        <v>2666</v>
      </c>
      <c r="E2646" s="308" t="str">
        <f>IFERROR(__xludf.DUMMYFUNCTION("""COMPUTED_VALUE"""),"S")</f>
        <v>S</v>
      </c>
      <c r="F2646" s="312" t="s">
        <v>39</v>
      </c>
      <c r="G2646" s="308"/>
      <c r="H2646" s="308" t="s">
        <v>10897</v>
      </c>
      <c r="I2646" s="310">
        <v>42164.0</v>
      </c>
      <c r="J2646" s="319">
        <f>IFERROR(__xludf.DUMMYFUNCTION("SPLIT(I2646,""/"")"),9.0)</f>
        <v>9</v>
      </c>
      <c r="K2646" s="308">
        <f>IFERROR(__xludf.DUMMYFUNCTION("""COMPUTED_VALUE"""),6.0)</f>
        <v>6</v>
      </c>
      <c r="L2646" s="308">
        <f>IFERROR(__xludf.DUMMYFUNCTION("""COMPUTED_VALUE"""),2015.0)</f>
        <v>2015</v>
      </c>
      <c r="M2646" s="308" t="s">
        <v>10898</v>
      </c>
      <c r="N2646" s="308"/>
      <c r="O2646" s="308" t="s">
        <v>635</v>
      </c>
      <c r="P2646" s="308" t="s">
        <v>1481</v>
      </c>
      <c r="Q2646" s="308"/>
      <c r="R2646" s="308"/>
      <c r="S2646" s="308" t="s">
        <v>81</v>
      </c>
      <c r="T2646" s="308" t="s">
        <v>35048</v>
      </c>
      <c r="U2646" s="308" t="s">
        <v>166</v>
      </c>
      <c r="V2646" s="312"/>
    </row>
    <row r="2647">
      <c r="A2647" s="308">
        <v>2646.0</v>
      </c>
      <c r="B2647" s="308"/>
      <c r="C2647" s="308" t="s">
        <v>10899</v>
      </c>
      <c r="D2647" s="308">
        <f>IFERROR(__xludf.DUMMYFUNCTION("SPLIT(C2647,""-"")"),2667.0)</f>
        <v>2667</v>
      </c>
      <c r="E2647" s="308" t="str">
        <f>IFERROR(__xludf.DUMMYFUNCTION("""COMPUTED_VALUE"""),"S")</f>
        <v>S</v>
      </c>
      <c r="F2647" s="312" t="s">
        <v>39</v>
      </c>
      <c r="G2647" s="308"/>
      <c r="H2647" s="308" t="s">
        <v>10900</v>
      </c>
      <c r="I2647" s="310">
        <v>42149.0</v>
      </c>
      <c r="J2647" s="319">
        <f>IFERROR(__xludf.DUMMYFUNCTION("SPLIT(I2647,""/"")"),25.0)</f>
        <v>25</v>
      </c>
      <c r="K2647" s="308">
        <f>IFERROR(__xludf.DUMMYFUNCTION("""COMPUTED_VALUE"""),5.0)</f>
        <v>5</v>
      </c>
      <c r="L2647" s="308">
        <f>IFERROR(__xludf.DUMMYFUNCTION("""COMPUTED_VALUE"""),2015.0)</f>
        <v>2015</v>
      </c>
      <c r="M2647" s="308" t="s">
        <v>10901</v>
      </c>
      <c r="N2647" s="308"/>
      <c r="O2647" s="308" t="s">
        <v>635</v>
      </c>
      <c r="P2647" s="308" t="s">
        <v>10902</v>
      </c>
      <c r="Q2647" s="308"/>
      <c r="R2647" s="308"/>
      <c r="S2647" s="311" t="s">
        <v>100</v>
      </c>
      <c r="T2647" s="311" t="s">
        <v>34208</v>
      </c>
      <c r="U2647" s="308" t="s">
        <v>166</v>
      </c>
      <c r="V2647" s="312"/>
    </row>
    <row r="2648">
      <c r="A2648" s="308">
        <v>2647.0</v>
      </c>
      <c r="B2648" s="308"/>
      <c r="C2648" s="308" t="s">
        <v>10903</v>
      </c>
      <c r="D2648" s="308" t="str">
        <f>IFERROR(__xludf.DUMMYFUNCTION("SPLIT(C2648,""-"")"),"#REF!")</f>
        <v>#REF!</v>
      </c>
      <c r="E2648" s="311"/>
      <c r="F2648" s="317" t="s">
        <v>39</v>
      </c>
      <c r="G2648" s="308"/>
      <c r="H2648" s="308" t="s">
        <v>10904</v>
      </c>
      <c r="I2648" s="310">
        <v>42124.0</v>
      </c>
      <c r="J2648" s="319">
        <f>IFERROR(__xludf.DUMMYFUNCTION("SPLIT(I2648,""/"")"),30.0)</f>
        <v>30</v>
      </c>
      <c r="K2648" s="308">
        <f>IFERROR(__xludf.DUMMYFUNCTION("""COMPUTED_VALUE"""),4.0)</f>
        <v>4</v>
      </c>
      <c r="L2648" s="308">
        <f>IFERROR(__xludf.DUMMYFUNCTION("""COMPUTED_VALUE"""),2015.0)</f>
        <v>2015</v>
      </c>
      <c r="M2648" s="308" t="s">
        <v>10905</v>
      </c>
      <c r="N2648" s="308"/>
      <c r="O2648" s="308" t="s">
        <v>10906</v>
      </c>
      <c r="P2648" s="308" t="s">
        <v>9979</v>
      </c>
      <c r="Q2648" s="308"/>
      <c r="R2648" s="308"/>
      <c r="S2648" s="315" t="s">
        <v>100</v>
      </c>
      <c r="T2648" s="311" t="s">
        <v>34208</v>
      </c>
      <c r="U2648" s="308" t="s">
        <v>166</v>
      </c>
      <c r="V2648" s="312"/>
    </row>
    <row r="2649">
      <c r="A2649" s="308">
        <v>2648.0</v>
      </c>
      <c r="B2649" s="308"/>
      <c r="C2649" s="308" t="s">
        <v>10907</v>
      </c>
      <c r="D2649" s="308">
        <f>IFERROR(__xludf.DUMMYFUNCTION("SPLIT(C2649,""-"")"),2669.0)</f>
        <v>2669</v>
      </c>
      <c r="E2649" s="308" t="str">
        <f>IFERROR(__xludf.DUMMYFUNCTION("""COMPUTED_VALUE"""),"S")</f>
        <v>S</v>
      </c>
      <c r="F2649" s="312" t="s">
        <v>39</v>
      </c>
      <c r="G2649" s="308"/>
      <c r="H2649" s="308" t="s">
        <v>10908</v>
      </c>
      <c r="I2649" s="310">
        <v>42124.0</v>
      </c>
      <c r="J2649" s="319">
        <f>IFERROR(__xludf.DUMMYFUNCTION("SPLIT(I2649,""/"")"),30.0)</f>
        <v>30</v>
      </c>
      <c r="K2649" s="308">
        <f>IFERROR(__xludf.DUMMYFUNCTION("""COMPUTED_VALUE"""),4.0)</f>
        <v>4</v>
      </c>
      <c r="L2649" s="308">
        <f>IFERROR(__xludf.DUMMYFUNCTION("""COMPUTED_VALUE"""),2015.0)</f>
        <v>2015</v>
      </c>
      <c r="M2649" s="308" t="s">
        <v>10909</v>
      </c>
      <c r="N2649" s="308"/>
      <c r="O2649" s="308" t="s">
        <v>635</v>
      </c>
      <c r="P2649" s="308" t="s">
        <v>49</v>
      </c>
      <c r="Q2649" s="308"/>
      <c r="R2649" s="308"/>
      <c r="S2649" s="308" t="s">
        <v>49</v>
      </c>
      <c r="T2649" s="308" t="s">
        <v>34409</v>
      </c>
      <c r="U2649" s="308" t="s">
        <v>166</v>
      </c>
      <c r="V2649" s="312"/>
    </row>
    <row r="2650">
      <c r="A2650" s="308">
        <v>2649.0</v>
      </c>
      <c r="B2650" s="308"/>
      <c r="C2650" s="308" t="s">
        <v>10910</v>
      </c>
      <c r="D2650" s="308">
        <f>IFERROR(__xludf.DUMMYFUNCTION("SPLIT(C2650,""-"")"),2670.0)</f>
        <v>2670</v>
      </c>
      <c r="E2650" s="308" t="str">
        <f>IFERROR(__xludf.DUMMYFUNCTION("""COMPUTED_VALUE"""),"S")</f>
        <v>S</v>
      </c>
      <c r="F2650" s="312" t="s">
        <v>39</v>
      </c>
      <c r="G2650" s="308"/>
      <c r="H2650" s="308" t="s">
        <v>10911</v>
      </c>
      <c r="I2650" s="310">
        <v>42124.0</v>
      </c>
      <c r="J2650" s="319">
        <f>IFERROR(__xludf.DUMMYFUNCTION("SPLIT(I2650,""/"")"),30.0)</f>
        <v>30</v>
      </c>
      <c r="K2650" s="308">
        <f>IFERROR(__xludf.DUMMYFUNCTION("""COMPUTED_VALUE"""),4.0)</f>
        <v>4</v>
      </c>
      <c r="L2650" s="308">
        <f>IFERROR(__xludf.DUMMYFUNCTION("""COMPUTED_VALUE"""),2015.0)</f>
        <v>2015</v>
      </c>
      <c r="M2650" s="308" t="s">
        <v>10912</v>
      </c>
      <c r="N2650" s="308"/>
      <c r="O2650" s="308" t="s">
        <v>635</v>
      </c>
      <c r="P2650" s="308" t="s">
        <v>1481</v>
      </c>
      <c r="Q2650" s="308"/>
      <c r="R2650" s="308"/>
      <c r="S2650" s="308" t="s">
        <v>81</v>
      </c>
      <c r="T2650" s="308" t="s">
        <v>35048</v>
      </c>
      <c r="U2650" s="308" t="s">
        <v>166</v>
      </c>
      <c r="V2650" s="312"/>
    </row>
    <row r="2651">
      <c r="A2651" s="308">
        <v>2650.0</v>
      </c>
      <c r="B2651" s="308"/>
      <c r="C2651" s="308" t="s">
        <v>10913</v>
      </c>
      <c r="D2651" s="308">
        <f>IFERROR(__xludf.DUMMYFUNCTION("SPLIT(C2651,""-"")"),2671.0)</f>
        <v>2671</v>
      </c>
      <c r="E2651" s="308" t="str">
        <f>IFERROR(__xludf.DUMMYFUNCTION("""COMPUTED_VALUE"""),"S")</f>
        <v>S</v>
      </c>
      <c r="F2651" s="312" t="s">
        <v>39</v>
      </c>
      <c r="G2651" s="308"/>
      <c r="H2651" s="308" t="s">
        <v>10914</v>
      </c>
      <c r="I2651" s="310">
        <v>42123.0</v>
      </c>
      <c r="J2651" s="319">
        <f>IFERROR(__xludf.DUMMYFUNCTION("SPLIT(I2651,""/"")"),29.0)</f>
        <v>29</v>
      </c>
      <c r="K2651" s="308">
        <f>IFERROR(__xludf.DUMMYFUNCTION("""COMPUTED_VALUE"""),4.0)</f>
        <v>4</v>
      </c>
      <c r="L2651" s="308">
        <f>IFERROR(__xludf.DUMMYFUNCTION("""COMPUTED_VALUE"""),2015.0)</f>
        <v>2015</v>
      </c>
      <c r="M2651" s="308" t="s">
        <v>10915</v>
      </c>
      <c r="N2651" s="308"/>
      <c r="O2651" s="308" t="s">
        <v>635</v>
      </c>
      <c r="P2651" s="308" t="s">
        <v>10916</v>
      </c>
      <c r="Q2651" s="308"/>
      <c r="R2651" s="308"/>
      <c r="S2651" s="308" t="s">
        <v>49</v>
      </c>
      <c r="T2651" s="311" t="s">
        <v>67</v>
      </c>
      <c r="U2651" s="308" t="s">
        <v>166</v>
      </c>
      <c r="V2651" s="312"/>
    </row>
    <row r="2652">
      <c r="A2652" s="308">
        <v>2651.0</v>
      </c>
      <c r="B2652" s="308"/>
      <c r="C2652" s="308" t="s">
        <v>10917</v>
      </c>
      <c r="D2652" s="308">
        <f>IFERROR(__xludf.DUMMYFUNCTION("SPLIT(C2652,""-"")"),2672.0)</f>
        <v>2672</v>
      </c>
      <c r="E2652" s="308" t="str">
        <f>IFERROR(__xludf.DUMMYFUNCTION("""COMPUTED_VALUE"""),"S")</f>
        <v>S</v>
      </c>
      <c r="F2652" s="312" t="s">
        <v>39</v>
      </c>
      <c r="G2652" s="308"/>
      <c r="H2652" s="308" t="s">
        <v>10918</v>
      </c>
      <c r="I2652" s="310">
        <v>42122.0</v>
      </c>
      <c r="J2652" s="319">
        <f>IFERROR(__xludf.DUMMYFUNCTION("SPLIT(I2652,""/"")"),28.0)</f>
        <v>28</v>
      </c>
      <c r="K2652" s="308">
        <f>IFERROR(__xludf.DUMMYFUNCTION("""COMPUTED_VALUE"""),4.0)</f>
        <v>4</v>
      </c>
      <c r="L2652" s="308">
        <f>IFERROR(__xludf.DUMMYFUNCTION("""COMPUTED_VALUE"""),2015.0)</f>
        <v>2015</v>
      </c>
      <c r="M2652" s="308" t="s">
        <v>10919</v>
      </c>
      <c r="N2652" s="308"/>
      <c r="O2652" s="308" t="s">
        <v>635</v>
      </c>
      <c r="P2652" s="308" t="s">
        <v>1481</v>
      </c>
      <c r="Q2652" s="308"/>
      <c r="R2652" s="308"/>
      <c r="S2652" s="308" t="s">
        <v>81</v>
      </c>
      <c r="T2652" s="308" t="s">
        <v>35048</v>
      </c>
      <c r="U2652" s="308" t="s">
        <v>166</v>
      </c>
      <c r="V2652" s="312"/>
    </row>
    <row r="2653">
      <c r="A2653" s="308">
        <v>2652.0</v>
      </c>
      <c r="B2653" s="308"/>
      <c r="C2653" s="308" t="s">
        <v>10920</v>
      </c>
      <c r="D2653" s="308">
        <f>IFERROR(__xludf.DUMMYFUNCTION("SPLIT(C2653,""-"")"),2673.0)</f>
        <v>2673</v>
      </c>
      <c r="E2653" s="308" t="str">
        <f>IFERROR(__xludf.DUMMYFUNCTION("""COMPUTED_VALUE"""),"S")</f>
        <v>S</v>
      </c>
      <c r="F2653" s="312" t="s">
        <v>39</v>
      </c>
      <c r="G2653" s="308"/>
      <c r="H2653" s="308" t="s">
        <v>10921</v>
      </c>
      <c r="I2653" s="310">
        <v>42122.0</v>
      </c>
      <c r="J2653" s="319">
        <f>IFERROR(__xludf.DUMMYFUNCTION("SPLIT(I2653,""/"")"),28.0)</f>
        <v>28</v>
      </c>
      <c r="K2653" s="308">
        <f>IFERROR(__xludf.DUMMYFUNCTION("""COMPUTED_VALUE"""),4.0)</f>
        <v>4</v>
      </c>
      <c r="L2653" s="308">
        <f>IFERROR(__xludf.DUMMYFUNCTION("""COMPUTED_VALUE"""),2015.0)</f>
        <v>2015</v>
      </c>
      <c r="M2653" s="308" t="s">
        <v>10922</v>
      </c>
      <c r="N2653" s="308"/>
      <c r="O2653" s="308" t="s">
        <v>635</v>
      </c>
      <c r="P2653" s="308" t="s">
        <v>1481</v>
      </c>
      <c r="Q2653" s="308"/>
      <c r="R2653" s="308"/>
      <c r="S2653" s="308" t="s">
        <v>81</v>
      </c>
      <c r="T2653" s="308" t="s">
        <v>35048</v>
      </c>
      <c r="U2653" s="308" t="s">
        <v>166</v>
      </c>
      <c r="V2653" s="312"/>
    </row>
    <row r="2654">
      <c r="A2654" s="308">
        <v>2653.0</v>
      </c>
      <c r="B2654" s="308"/>
      <c r="C2654" s="308" t="s">
        <v>10923</v>
      </c>
      <c r="D2654" s="308">
        <f>IFERROR(__xludf.DUMMYFUNCTION("SPLIT(C2654,""-"")"),2674.0)</f>
        <v>2674</v>
      </c>
      <c r="E2654" s="308" t="str">
        <f>IFERROR(__xludf.DUMMYFUNCTION("""COMPUTED_VALUE"""),"S")</f>
        <v>S</v>
      </c>
      <c r="F2654" s="312" t="s">
        <v>39</v>
      </c>
      <c r="G2654" s="308"/>
      <c r="H2654" s="308" t="s">
        <v>10924</v>
      </c>
      <c r="I2654" s="310">
        <v>42152.0</v>
      </c>
      <c r="J2654" s="319">
        <f>IFERROR(__xludf.DUMMYFUNCTION("SPLIT(I2654,""/"")"),28.0)</f>
        <v>28</v>
      </c>
      <c r="K2654" s="308">
        <f>IFERROR(__xludf.DUMMYFUNCTION("""COMPUTED_VALUE"""),5.0)</f>
        <v>5</v>
      </c>
      <c r="L2654" s="308">
        <f>IFERROR(__xludf.DUMMYFUNCTION("""COMPUTED_VALUE"""),2015.0)</f>
        <v>2015</v>
      </c>
      <c r="M2654" s="308" t="s">
        <v>10925</v>
      </c>
      <c r="N2654" s="308"/>
      <c r="O2654" s="308" t="s">
        <v>635</v>
      </c>
      <c r="P2654" s="308" t="s">
        <v>1481</v>
      </c>
      <c r="Q2654" s="308"/>
      <c r="R2654" s="308"/>
      <c r="S2654" s="308" t="s">
        <v>81</v>
      </c>
      <c r="T2654" s="308" t="s">
        <v>35048</v>
      </c>
      <c r="U2654" s="308" t="s">
        <v>166</v>
      </c>
      <c r="V2654" s="312"/>
    </row>
    <row r="2655">
      <c r="A2655" s="308">
        <v>2654.0</v>
      </c>
      <c r="B2655" s="308"/>
      <c r="C2655" s="308" t="s">
        <v>10926</v>
      </c>
      <c r="D2655" s="308">
        <f>IFERROR(__xludf.DUMMYFUNCTION("SPLIT(C2655,""-"")"),2675.0)</f>
        <v>2675</v>
      </c>
      <c r="E2655" s="308" t="str">
        <f>IFERROR(__xludf.DUMMYFUNCTION("""COMPUTED_VALUE"""),"S")</f>
        <v>S</v>
      </c>
      <c r="F2655" s="312" t="s">
        <v>39</v>
      </c>
      <c r="G2655" s="308"/>
      <c r="H2655" s="308" t="s">
        <v>10927</v>
      </c>
      <c r="I2655" s="310">
        <v>42122.0</v>
      </c>
      <c r="J2655" s="319">
        <f>IFERROR(__xludf.DUMMYFUNCTION("SPLIT(I2655,""/"")"),28.0)</f>
        <v>28</v>
      </c>
      <c r="K2655" s="308">
        <f>IFERROR(__xludf.DUMMYFUNCTION("""COMPUTED_VALUE"""),4.0)</f>
        <v>4</v>
      </c>
      <c r="L2655" s="308">
        <f>IFERROR(__xludf.DUMMYFUNCTION("""COMPUTED_VALUE"""),2015.0)</f>
        <v>2015</v>
      </c>
      <c r="M2655" s="308" t="s">
        <v>10928</v>
      </c>
      <c r="N2655" s="308"/>
      <c r="O2655" s="308" t="s">
        <v>635</v>
      </c>
      <c r="P2655" s="308" t="s">
        <v>9979</v>
      </c>
      <c r="Q2655" s="308"/>
      <c r="R2655" s="308" t="s">
        <v>10929</v>
      </c>
      <c r="S2655" s="315" t="s">
        <v>100</v>
      </c>
      <c r="T2655" s="311" t="s">
        <v>34208</v>
      </c>
      <c r="U2655" s="308" t="s">
        <v>166</v>
      </c>
      <c r="V2655" s="312"/>
    </row>
    <row r="2656">
      <c r="A2656" s="308">
        <v>2655.0</v>
      </c>
      <c r="B2656" s="308"/>
      <c r="C2656" s="308" t="s">
        <v>10930</v>
      </c>
      <c r="D2656" s="308">
        <f>IFERROR(__xludf.DUMMYFUNCTION("SPLIT(C2656,""-"")"),2676.0)</f>
        <v>2676</v>
      </c>
      <c r="E2656" s="308" t="str">
        <f>IFERROR(__xludf.DUMMYFUNCTION("""COMPUTED_VALUE"""),"S")</f>
        <v>S</v>
      </c>
      <c r="F2656" s="312" t="s">
        <v>39</v>
      </c>
      <c r="G2656" s="308"/>
      <c r="H2656" s="308" t="s">
        <v>10931</v>
      </c>
      <c r="I2656" s="310">
        <v>42110.0</v>
      </c>
      <c r="J2656" s="319">
        <f>IFERROR(__xludf.DUMMYFUNCTION("SPLIT(I2656,""/"")"),16.0)</f>
        <v>16</v>
      </c>
      <c r="K2656" s="308">
        <f>IFERROR(__xludf.DUMMYFUNCTION("""COMPUTED_VALUE"""),4.0)</f>
        <v>4</v>
      </c>
      <c r="L2656" s="308">
        <f>IFERROR(__xludf.DUMMYFUNCTION("""COMPUTED_VALUE"""),2015.0)</f>
        <v>2015</v>
      </c>
      <c r="M2656" s="308" t="s">
        <v>10932</v>
      </c>
      <c r="N2656" s="308"/>
      <c r="O2656" s="308" t="s">
        <v>635</v>
      </c>
      <c r="P2656" s="308" t="s">
        <v>10933</v>
      </c>
      <c r="Q2656" s="308"/>
      <c r="R2656" s="308"/>
      <c r="S2656" s="308" t="s">
        <v>49</v>
      </c>
      <c r="T2656" s="311" t="s">
        <v>53</v>
      </c>
      <c r="U2656" s="308" t="s">
        <v>166</v>
      </c>
      <c r="V2656" s="312"/>
    </row>
    <row r="2657">
      <c r="A2657" s="308">
        <v>2656.0</v>
      </c>
      <c r="B2657" s="308"/>
      <c r="C2657" s="308" t="s">
        <v>10934</v>
      </c>
      <c r="D2657" s="308">
        <f>IFERROR(__xludf.DUMMYFUNCTION("SPLIT(C2657,""-"")"),2677.0)</f>
        <v>2677</v>
      </c>
      <c r="E2657" s="308" t="str">
        <f>IFERROR(__xludf.DUMMYFUNCTION("""COMPUTED_VALUE"""),"S")</f>
        <v>S</v>
      </c>
      <c r="F2657" s="312" t="s">
        <v>39</v>
      </c>
      <c r="G2657" s="308"/>
      <c r="H2657" s="308" t="s">
        <v>10935</v>
      </c>
      <c r="I2657" s="310">
        <v>42107.0</v>
      </c>
      <c r="J2657" s="319">
        <f>IFERROR(__xludf.DUMMYFUNCTION("SPLIT(I2657,""/"")"),13.0)</f>
        <v>13</v>
      </c>
      <c r="K2657" s="308">
        <f>IFERROR(__xludf.DUMMYFUNCTION("""COMPUTED_VALUE"""),4.0)</f>
        <v>4</v>
      </c>
      <c r="L2657" s="308">
        <f>IFERROR(__xludf.DUMMYFUNCTION("""COMPUTED_VALUE"""),2015.0)</f>
        <v>2015</v>
      </c>
      <c r="M2657" s="308" t="s">
        <v>10936</v>
      </c>
      <c r="N2657" s="308"/>
      <c r="O2657" s="308" t="s">
        <v>635</v>
      </c>
      <c r="P2657" s="308" t="s">
        <v>622</v>
      </c>
      <c r="Q2657" s="308"/>
      <c r="R2657" s="308"/>
      <c r="S2657" s="308" t="s">
        <v>49</v>
      </c>
      <c r="T2657" s="308" t="s">
        <v>34409</v>
      </c>
      <c r="U2657" s="308" t="s">
        <v>166</v>
      </c>
      <c r="V2657" s="312"/>
    </row>
    <row r="2658">
      <c r="A2658" s="308">
        <v>2657.0</v>
      </c>
      <c r="B2658" s="308"/>
      <c r="C2658" s="308" t="s">
        <v>10937</v>
      </c>
      <c r="D2658" s="308">
        <f>IFERROR(__xludf.DUMMYFUNCTION("SPLIT(C2658,""-"")"),2678.0)</f>
        <v>2678</v>
      </c>
      <c r="E2658" s="308" t="str">
        <f>IFERROR(__xludf.DUMMYFUNCTION("""COMPUTED_VALUE"""),"S")</f>
        <v>S</v>
      </c>
      <c r="F2658" s="312" t="s">
        <v>39</v>
      </c>
      <c r="G2658" s="308"/>
      <c r="H2658" s="308" t="s">
        <v>10938</v>
      </c>
      <c r="I2658" s="310">
        <v>42095.0</v>
      </c>
      <c r="J2658" s="319">
        <f>IFERROR(__xludf.DUMMYFUNCTION("SPLIT(I2658,""/"")"),1.0)</f>
        <v>1</v>
      </c>
      <c r="K2658" s="308">
        <f>IFERROR(__xludf.DUMMYFUNCTION("""COMPUTED_VALUE"""),4.0)</f>
        <v>4</v>
      </c>
      <c r="L2658" s="308">
        <f>IFERROR(__xludf.DUMMYFUNCTION("""COMPUTED_VALUE"""),2015.0)</f>
        <v>2015</v>
      </c>
      <c r="M2658" s="308" t="s">
        <v>36732</v>
      </c>
      <c r="N2658" s="308"/>
      <c r="O2658" s="308" t="s">
        <v>10940</v>
      </c>
      <c r="P2658" s="308" t="s">
        <v>4736</v>
      </c>
      <c r="Q2658" s="308"/>
      <c r="R2658" s="308"/>
      <c r="S2658" s="308" t="s">
        <v>81</v>
      </c>
      <c r="T2658" s="308" t="s">
        <v>98</v>
      </c>
      <c r="U2658" s="308" t="s">
        <v>166</v>
      </c>
      <c r="V2658" s="312"/>
    </row>
    <row r="2659">
      <c r="A2659" s="308">
        <v>2658.0</v>
      </c>
      <c r="B2659" s="308"/>
      <c r="C2659" s="308" t="s">
        <v>10941</v>
      </c>
      <c r="D2659" s="308">
        <f>IFERROR(__xludf.DUMMYFUNCTION("SPLIT(C2659,""-"")"),2679.0)</f>
        <v>2679</v>
      </c>
      <c r="E2659" s="308" t="str">
        <f>IFERROR(__xludf.DUMMYFUNCTION("""COMPUTED_VALUE"""),"S")</f>
        <v>S</v>
      </c>
      <c r="F2659" s="312" t="s">
        <v>39</v>
      </c>
      <c r="G2659" s="308"/>
      <c r="H2659" s="308" t="s">
        <v>10942</v>
      </c>
      <c r="I2659" s="310">
        <v>42082.0</v>
      </c>
      <c r="J2659" s="319">
        <f>IFERROR(__xludf.DUMMYFUNCTION("SPLIT(I2659,""/"")"),19.0)</f>
        <v>19</v>
      </c>
      <c r="K2659" s="308">
        <f>IFERROR(__xludf.DUMMYFUNCTION("""COMPUTED_VALUE"""),3.0)</f>
        <v>3</v>
      </c>
      <c r="L2659" s="308">
        <f>IFERROR(__xludf.DUMMYFUNCTION("""COMPUTED_VALUE"""),2015.0)</f>
        <v>2015</v>
      </c>
      <c r="M2659" s="308" t="s">
        <v>10943</v>
      </c>
      <c r="N2659" s="308"/>
      <c r="O2659" s="308" t="s">
        <v>36733</v>
      </c>
      <c r="P2659" s="308" t="s">
        <v>296</v>
      </c>
      <c r="Q2659" s="308"/>
      <c r="R2659" s="308"/>
      <c r="S2659" s="308" t="s">
        <v>81</v>
      </c>
      <c r="T2659" s="308" t="s">
        <v>75</v>
      </c>
      <c r="U2659" s="308" t="s">
        <v>166</v>
      </c>
      <c r="V2659" s="312"/>
    </row>
    <row r="2660">
      <c r="A2660" s="308">
        <v>2659.0</v>
      </c>
      <c r="B2660" s="308"/>
      <c r="C2660" s="308" t="s">
        <v>10945</v>
      </c>
      <c r="D2660" s="308">
        <f>IFERROR(__xludf.DUMMYFUNCTION("SPLIT(C2660,""-"")"),2680.0)</f>
        <v>2680</v>
      </c>
      <c r="E2660" s="308" t="str">
        <f>IFERROR(__xludf.DUMMYFUNCTION("""COMPUTED_VALUE"""),"S")</f>
        <v>S</v>
      </c>
      <c r="F2660" s="312" t="s">
        <v>39</v>
      </c>
      <c r="G2660" s="308"/>
      <c r="H2660" s="308" t="s">
        <v>10946</v>
      </c>
      <c r="I2660" s="310">
        <v>42054.0</v>
      </c>
      <c r="J2660" s="319">
        <f>IFERROR(__xludf.DUMMYFUNCTION("SPLIT(I2660,""/"")"),19.0)</f>
        <v>19</v>
      </c>
      <c r="K2660" s="308">
        <f>IFERROR(__xludf.DUMMYFUNCTION("""COMPUTED_VALUE"""),2.0)</f>
        <v>2</v>
      </c>
      <c r="L2660" s="308">
        <f>IFERROR(__xludf.DUMMYFUNCTION("""COMPUTED_VALUE"""),2015.0)</f>
        <v>2015</v>
      </c>
      <c r="M2660" s="308" t="s">
        <v>36734</v>
      </c>
      <c r="N2660" s="308"/>
      <c r="O2660" s="308" t="s">
        <v>635</v>
      </c>
      <c r="P2660" s="308" t="s">
        <v>10948</v>
      </c>
      <c r="Q2660" s="308"/>
      <c r="R2660" s="308"/>
      <c r="S2660" s="308" t="s">
        <v>81</v>
      </c>
      <c r="T2660" s="311" t="s">
        <v>96</v>
      </c>
      <c r="U2660" s="308" t="s">
        <v>166</v>
      </c>
      <c r="V2660" s="312"/>
    </row>
    <row r="2661">
      <c r="A2661" s="308">
        <v>2660.0</v>
      </c>
      <c r="B2661" s="308"/>
      <c r="C2661" s="308" t="s">
        <v>10949</v>
      </c>
      <c r="D2661" s="308">
        <f>IFERROR(__xludf.DUMMYFUNCTION("SPLIT(C2661,""-"")"),2681.0)</f>
        <v>2681</v>
      </c>
      <c r="E2661" s="308" t="str">
        <f>IFERROR(__xludf.DUMMYFUNCTION("""COMPUTED_VALUE"""),"ICT")</f>
        <v>ICT</v>
      </c>
      <c r="F2661" s="315" t="s">
        <v>31</v>
      </c>
      <c r="G2661" s="308"/>
      <c r="H2661" s="308" t="s">
        <v>10950</v>
      </c>
      <c r="I2661" s="310">
        <v>42081.0</v>
      </c>
      <c r="J2661" s="319">
        <f>IFERROR(__xludf.DUMMYFUNCTION("SPLIT(I2661,""/"")"),18.0)</f>
        <v>18</v>
      </c>
      <c r="K2661" s="308">
        <f>IFERROR(__xludf.DUMMYFUNCTION("""COMPUTED_VALUE"""),3.0)</f>
        <v>3</v>
      </c>
      <c r="L2661" s="308">
        <f>IFERROR(__xludf.DUMMYFUNCTION("""COMPUTED_VALUE"""),2015.0)</f>
        <v>2015</v>
      </c>
      <c r="M2661" s="308" t="s">
        <v>10951</v>
      </c>
      <c r="N2661" s="308"/>
      <c r="O2661" s="308" t="s">
        <v>10952</v>
      </c>
      <c r="P2661" s="308" t="s">
        <v>10953</v>
      </c>
      <c r="Q2661" s="308"/>
      <c r="R2661" s="308"/>
      <c r="S2661" s="308" t="s">
        <v>81</v>
      </c>
      <c r="T2661" s="311" t="s">
        <v>73</v>
      </c>
      <c r="U2661" s="308" t="s">
        <v>31</v>
      </c>
      <c r="V2661" s="312"/>
    </row>
    <row r="2662">
      <c r="A2662" s="308">
        <v>2661.0</v>
      </c>
      <c r="B2662" s="308"/>
      <c r="C2662" s="308" t="s">
        <v>10954</v>
      </c>
      <c r="D2662" s="308">
        <f>IFERROR(__xludf.DUMMYFUNCTION("SPLIT(C2662,""-"")"),2682.0)</f>
        <v>2682</v>
      </c>
      <c r="E2662" s="308" t="str">
        <f>IFERROR(__xludf.DUMMYFUNCTION("""COMPUTED_VALUE"""),"P")</f>
        <v>P</v>
      </c>
      <c r="F2662" s="312" t="s">
        <v>37</v>
      </c>
      <c r="G2662" s="308"/>
      <c r="H2662" s="308" t="s">
        <v>10955</v>
      </c>
      <c r="I2662" s="310">
        <v>42081.0</v>
      </c>
      <c r="J2662" s="319">
        <f>IFERROR(__xludf.DUMMYFUNCTION("SPLIT(I2662,""/"")"),18.0)</f>
        <v>18</v>
      </c>
      <c r="K2662" s="308">
        <f>IFERROR(__xludf.DUMMYFUNCTION("""COMPUTED_VALUE"""),3.0)</f>
        <v>3</v>
      </c>
      <c r="L2662" s="308">
        <f>IFERROR(__xludf.DUMMYFUNCTION("""COMPUTED_VALUE"""),2015.0)</f>
        <v>2015</v>
      </c>
      <c r="M2662" s="308" t="s">
        <v>10951</v>
      </c>
      <c r="N2662" s="308"/>
      <c r="O2662" s="308" t="s">
        <v>10956</v>
      </c>
      <c r="P2662" s="308" t="s">
        <v>10953</v>
      </c>
      <c r="Q2662" s="308"/>
      <c r="R2662" s="308"/>
      <c r="S2662" s="308" t="s">
        <v>81</v>
      </c>
      <c r="T2662" s="311" t="s">
        <v>73</v>
      </c>
      <c r="U2662" s="308"/>
      <c r="V2662" s="312"/>
    </row>
    <row r="2663">
      <c r="A2663" s="308">
        <v>2662.0</v>
      </c>
      <c r="B2663" s="308"/>
      <c r="C2663" s="308" t="s">
        <v>10957</v>
      </c>
      <c r="D2663" s="308">
        <f>IFERROR(__xludf.DUMMYFUNCTION("SPLIT(C2663,""-"")"),2683.0)</f>
        <v>2683</v>
      </c>
      <c r="E2663" s="308" t="str">
        <f>IFERROR(__xludf.DUMMYFUNCTION("""COMPUTED_VALUE"""),"ICT")</f>
        <v>ICT</v>
      </c>
      <c r="F2663" s="315" t="s">
        <v>31</v>
      </c>
      <c r="G2663" s="308"/>
      <c r="H2663" s="308" t="s">
        <v>10958</v>
      </c>
      <c r="I2663" s="314">
        <v>42004.0</v>
      </c>
      <c r="J2663" s="319">
        <f>IFERROR(__xludf.DUMMYFUNCTION("SPLIT(I2663,""/"")"),31.0)</f>
        <v>31</v>
      </c>
      <c r="K2663" s="308">
        <f>IFERROR(__xludf.DUMMYFUNCTION("""COMPUTED_VALUE"""),12.0)</f>
        <v>12</v>
      </c>
      <c r="L2663" s="308">
        <f>IFERROR(__xludf.DUMMYFUNCTION("""COMPUTED_VALUE"""),2014.0)</f>
        <v>2014</v>
      </c>
      <c r="M2663" s="308" t="s">
        <v>10959</v>
      </c>
      <c r="N2663" s="308"/>
      <c r="O2663" s="308" t="s">
        <v>10960</v>
      </c>
      <c r="P2663" s="308" t="s">
        <v>10961</v>
      </c>
      <c r="Q2663" s="308"/>
      <c r="R2663" s="308"/>
      <c r="S2663" s="308" t="s">
        <v>81</v>
      </c>
      <c r="T2663" s="308" t="s">
        <v>73</v>
      </c>
      <c r="U2663" s="308" t="s">
        <v>31</v>
      </c>
      <c r="V2663" s="312"/>
    </row>
    <row r="2664">
      <c r="A2664" s="308">
        <v>2663.0</v>
      </c>
      <c r="B2664" s="308"/>
      <c r="C2664" s="308" t="s">
        <v>10962</v>
      </c>
      <c r="D2664" s="308">
        <f>IFERROR(__xludf.DUMMYFUNCTION("SPLIT(C2664,""-"")"),2684.0)</f>
        <v>2684</v>
      </c>
      <c r="E2664" s="308" t="str">
        <f>IFERROR(__xludf.DUMMYFUNCTION("""COMPUTED_VALUE"""),"B")</f>
        <v>B</v>
      </c>
      <c r="F2664" s="315" t="s">
        <v>26</v>
      </c>
      <c r="G2664" s="308"/>
      <c r="H2664" s="308" t="s">
        <v>10963</v>
      </c>
      <c r="I2664" s="314">
        <v>41578.0</v>
      </c>
      <c r="J2664" s="319">
        <f>IFERROR(__xludf.DUMMYFUNCTION("SPLIT(I2664,""/"")"),31.0)</f>
        <v>31</v>
      </c>
      <c r="K2664" s="308">
        <f>IFERROR(__xludf.DUMMYFUNCTION("""COMPUTED_VALUE"""),10.0)</f>
        <v>10</v>
      </c>
      <c r="L2664" s="308">
        <f>IFERROR(__xludf.DUMMYFUNCTION("""COMPUTED_VALUE"""),2013.0)</f>
        <v>2013</v>
      </c>
      <c r="M2664" s="308" t="s">
        <v>10964</v>
      </c>
      <c r="N2664" s="308"/>
      <c r="O2664" s="308" t="s">
        <v>10965</v>
      </c>
      <c r="P2664" s="308" t="s">
        <v>10966</v>
      </c>
      <c r="Q2664" s="308"/>
      <c r="R2664" s="308"/>
      <c r="S2664" s="308" t="s">
        <v>49</v>
      </c>
      <c r="T2664" s="308" t="s">
        <v>51</v>
      </c>
      <c r="U2664" s="308"/>
      <c r="V2664" s="312"/>
    </row>
    <row r="2665">
      <c r="A2665" s="308">
        <v>2664.0</v>
      </c>
      <c r="B2665" s="308"/>
      <c r="C2665" s="308" t="s">
        <v>10967</v>
      </c>
      <c r="D2665" s="308">
        <f>IFERROR(__xludf.DUMMYFUNCTION("SPLIT(C2665,""-"")"),2685.0)</f>
        <v>2685</v>
      </c>
      <c r="E2665" s="308" t="str">
        <f>IFERROR(__xludf.DUMMYFUNCTION("""COMPUTED_VALUE"""),"B")</f>
        <v>B</v>
      </c>
      <c r="F2665" s="315" t="s">
        <v>26</v>
      </c>
      <c r="G2665" s="308"/>
      <c r="H2665" s="308" t="s">
        <v>10968</v>
      </c>
      <c r="I2665" s="310">
        <v>41823.0</v>
      </c>
      <c r="J2665" s="319">
        <f>IFERROR(__xludf.DUMMYFUNCTION("SPLIT(I2665,""/"")"),3.0)</f>
        <v>3</v>
      </c>
      <c r="K2665" s="308">
        <f>IFERROR(__xludf.DUMMYFUNCTION("""COMPUTED_VALUE"""),7.0)</f>
        <v>7</v>
      </c>
      <c r="L2665" s="308">
        <f>IFERROR(__xludf.DUMMYFUNCTION("""COMPUTED_VALUE"""),2014.0)</f>
        <v>2014</v>
      </c>
      <c r="M2665" s="308" t="s">
        <v>10969</v>
      </c>
      <c r="N2665" s="308"/>
      <c r="O2665" s="308" t="s">
        <v>10970</v>
      </c>
      <c r="P2665" s="308" t="s">
        <v>2675</v>
      </c>
      <c r="Q2665" s="308"/>
      <c r="R2665" s="308"/>
      <c r="S2665" s="308" t="s">
        <v>49</v>
      </c>
      <c r="T2665" s="308" t="s">
        <v>51</v>
      </c>
      <c r="U2665" s="308" t="s">
        <v>27</v>
      </c>
      <c r="V2665" s="312"/>
    </row>
    <row r="2666">
      <c r="A2666" s="308">
        <v>2665.0</v>
      </c>
      <c r="B2666" s="308"/>
      <c r="C2666" s="308" t="s">
        <v>10971</v>
      </c>
      <c r="D2666" s="308">
        <f>IFERROR(__xludf.DUMMYFUNCTION("SPLIT(C2666,""-"")"),2686.0)</f>
        <v>2686</v>
      </c>
      <c r="E2666" s="308" t="str">
        <f>IFERROR(__xludf.DUMMYFUNCTION("""COMPUTED_VALUE"""),"B")</f>
        <v>B</v>
      </c>
      <c r="F2666" s="315" t="s">
        <v>26</v>
      </c>
      <c r="G2666" s="308"/>
      <c r="H2666" s="308" t="s">
        <v>10972</v>
      </c>
      <c r="I2666" s="310">
        <v>41523.0</v>
      </c>
      <c r="J2666" s="319">
        <f>IFERROR(__xludf.DUMMYFUNCTION("SPLIT(I2666,""/"")"),6.0)</f>
        <v>6</v>
      </c>
      <c r="K2666" s="308">
        <f>IFERROR(__xludf.DUMMYFUNCTION("""COMPUTED_VALUE"""),9.0)</f>
        <v>9</v>
      </c>
      <c r="L2666" s="308">
        <f>IFERROR(__xludf.DUMMYFUNCTION("""COMPUTED_VALUE"""),2013.0)</f>
        <v>2013</v>
      </c>
      <c r="M2666" s="308" t="s">
        <v>10973</v>
      </c>
      <c r="N2666" s="308"/>
      <c r="O2666" s="308" t="s">
        <v>10974</v>
      </c>
      <c r="P2666" s="308" t="s">
        <v>36735</v>
      </c>
      <c r="Q2666" s="308"/>
      <c r="R2666" s="308"/>
      <c r="S2666" s="308" t="s">
        <v>49</v>
      </c>
      <c r="T2666" s="308" t="s">
        <v>51</v>
      </c>
      <c r="U2666" s="308" t="s">
        <v>27</v>
      </c>
      <c r="V2666" s="312"/>
    </row>
    <row r="2667">
      <c r="A2667" s="308">
        <v>2666.0</v>
      </c>
      <c r="B2667" s="308"/>
      <c r="C2667" s="308" t="s">
        <v>10976</v>
      </c>
      <c r="D2667" s="308">
        <f>IFERROR(__xludf.DUMMYFUNCTION("SPLIT(C2667,""-"")"),2687.0)</f>
        <v>2687</v>
      </c>
      <c r="E2667" s="308" t="str">
        <f>IFERROR(__xludf.DUMMYFUNCTION("""COMPUTED_VALUE"""),"K")</f>
        <v>K</v>
      </c>
      <c r="F2667" s="309" t="s">
        <v>34</v>
      </c>
      <c r="G2667" s="308"/>
      <c r="H2667" s="308" t="s">
        <v>10977</v>
      </c>
      <c r="I2667" s="310">
        <v>41670.0</v>
      </c>
      <c r="J2667" s="319">
        <f>IFERROR(__xludf.DUMMYFUNCTION("SPLIT(I2667,""/"")"),31.0)</f>
        <v>31</v>
      </c>
      <c r="K2667" s="308">
        <f>IFERROR(__xludf.DUMMYFUNCTION("""COMPUTED_VALUE"""),1.0)</f>
        <v>1</v>
      </c>
      <c r="L2667" s="308">
        <f>IFERROR(__xludf.DUMMYFUNCTION("""COMPUTED_VALUE"""),2014.0)</f>
        <v>2014</v>
      </c>
      <c r="M2667" s="308" t="s">
        <v>36736</v>
      </c>
      <c r="N2667" s="308"/>
      <c r="O2667" s="308" t="s">
        <v>36737</v>
      </c>
      <c r="P2667" s="308" t="s">
        <v>34212</v>
      </c>
      <c r="Q2667" s="308"/>
      <c r="R2667" s="308"/>
      <c r="S2667" s="315" t="s">
        <v>100</v>
      </c>
      <c r="T2667" s="311" t="s">
        <v>34208</v>
      </c>
      <c r="U2667" s="308" t="s">
        <v>2989</v>
      </c>
      <c r="V2667" s="312"/>
    </row>
    <row r="2668">
      <c r="A2668" s="308">
        <v>2667.0</v>
      </c>
      <c r="B2668" s="308"/>
      <c r="C2668" s="308" t="s">
        <v>10980</v>
      </c>
      <c r="D2668" s="308">
        <f>IFERROR(__xludf.DUMMYFUNCTION("SPLIT(C2668,""-"")"),2688.0)</f>
        <v>2688</v>
      </c>
      <c r="E2668" s="308" t="str">
        <f>IFERROR(__xludf.DUMMYFUNCTION("""COMPUTED_VALUE"""),"P")</f>
        <v>P</v>
      </c>
      <c r="F2668" s="312" t="s">
        <v>37</v>
      </c>
      <c r="G2668" s="308"/>
      <c r="H2668" s="308" t="s">
        <v>10981</v>
      </c>
      <c r="I2668" s="310">
        <v>42188.0</v>
      </c>
      <c r="J2668" s="319">
        <f>IFERROR(__xludf.DUMMYFUNCTION("SPLIT(I2668,""/"")"),3.0)</f>
        <v>3</v>
      </c>
      <c r="K2668" s="308">
        <f>IFERROR(__xludf.DUMMYFUNCTION("""COMPUTED_VALUE"""),7.0)</f>
        <v>7</v>
      </c>
      <c r="L2668" s="308">
        <f>IFERROR(__xludf.DUMMYFUNCTION("""COMPUTED_VALUE"""),2015.0)</f>
        <v>2015</v>
      </c>
      <c r="M2668" s="308" t="s">
        <v>10982</v>
      </c>
      <c r="N2668" s="308"/>
      <c r="O2668" s="308" t="s">
        <v>10983</v>
      </c>
      <c r="P2668" s="308" t="s">
        <v>10984</v>
      </c>
      <c r="Q2668" s="308"/>
      <c r="R2668" s="308"/>
      <c r="S2668" s="308" t="s">
        <v>81</v>
      </c>
      <c r="T2668" s="311" t="s">
        <v>73</v>
      </c>
      <c r="U2668" s="308"/>
      <c r="V2668" s="312"/>
    </row>
    <row r="2669">
      <c r="A2669" s="308">
        <v>2668.0</v>
      </c>
      <c r="B2669" s="308"/>
      <c r="C2669" s="308" t="s">
        <v>10985</v>
      </c>
      <c r="D2669" s="308">
        <f>IFERROR(__xludf.DUMMYFUNCTION("SPLIT(C2669,""-"")"),2689.0)</f>
        <v>2689</v>
      </c>
      <c r="E2669" s="308" t="str">
        <f>IFERROR(__xludf.DUMMYFUNCTION("""COMPUTED_VALUE"""),"P")</f>
        <v>P</v>
      </c>
      <c r="F2669" s="312" t="s">
        <v>37</v>
      </c>
      <c r="G2669" s="308"/>
      <c r="H2669" s="308" t="s">
        <v>10986</v>
      </c>
      <c r="I2669" s="310">
        <v>42006.0</v>
      </c>
      <c r="J2669" s="319">
        <f>IFERROR(__xludf.DUMMYFUNCTION("SPLIT(I2669,""/"")"),2.0)</f>
        <v>2</v>
      </c>
      <c r="K2669" s="308">
        <f>IFERROR(__xludf.DUMMYFUNCTION("""COMPUTED_VALUE"""),1.0)</f>
        <v>1</v>
      </c>
      <c r="L2669" s="308">
        <f>IFERROR(__xludf.DUMMYFUNCTION("""COMPUTED_VALUE"""),2015.0)</f>
        <v>2015</v>
      </c>
      <c r="M2669" s="308" t="s">
        <v>10987</v>
      </c>
      <c r="N2669" s="308"/>
      <c r="O2669" s="308" t="s">
        <v>10988</v>
      </c>
      <c r="P2669" s="308" t="s">
        <v>10989</v>
      </c>
      <c r="Q2669" s="308"/>
      <c r="R2669" s="308"/>
      <c r="S2669" s="308" t="s">
        <v>81</v>
      </c>
      <c r="T2669" s="308" t="s">
        <v>75</v>
      </c>
      <c r="U2669" s="308"/>
      <c r="V2669" s="312"/>
    </row>
    <row r="2670">
      <c r="A2670" s="308">
        <v>2669.0</v>
      </c>
      <c r="B2670" s="308"/>
      <c r="C2670" s="308" t="s">
        <v>10990</v>
      </c>
      <c r="D2670" s="308">
        <f>IFERROR(__xludf.DUMMYFUNCTION("SPLIT(C2670,""-"")"),2690.0)</f>
        <v>2690</v>
      </c>
      <c r="E2670" s="308" t="str">
        <f>IFERROR(__xludf.DUMMYFUNCTION("""COMPUTED_VALUE"""),"K")</f>
        <v>K</v>
      </c>
      <c r="F2670" s="309" t="s">
        <v>34</v>
      </c>
      <c r="G2670" s="308"/>
      <c r="H2670" s="308" t="s">
        <v>10991</v>
      </c>
      <c r="I2670" s="310">
        <v>41872.0</v>
      </c>
      <c r="J2670" s="319">
        <f>IFERROR(__xludf.DUMMYFUNCTION("SPLIT(I2670,""/"")"),21.0)</f>
        <v>21</v>
      </c>
      <c r="K2670" s="308">
        <f>IFERROR(__xludf.DUMMYFUNCTION("""COMPUTED_VALUE"""),8.0)</f>
        <v>8</v>
      </c>
      <c r="L2670" s="308">
        <f>IFERROR(__xludf.DUMMYFUNCTION("""COMPUTED_VALUE"""),2014.0)</f>
        <v>2014</v>
      </c>
      <c r="M2670" s="308" t="s">
        <v>10992</v>
      </c>
      <c r="N2670" s="308"/>
      <c r="O2670" s="308" t="s">
        <v>10993</v>
      </c>
      <c r="P2670" s="308" t="s">
        <v>10994</v>
      </c>
      <c r="Q2670" s="308"/>
      <c r="R2670" s="308"/>
      <c r="S2670" s="308" t="s">
        <v>81</v>
      </c>
      <c r="T2670" s="311" t="s">
        <v>96</v>
      </c>
      <c r="U2670" s="308"/>
      <c r="V2670" s="312"/>
    </row>
    <row r="2671">
      <c r="A2671" s="308">
        <v>2670.0</v>
      </c>
      <c r="B2671" s="308"/>
      <c r="C2671" s="308" t="s">
        <v>10995</v>
      </c>
      <c r="D2671" s="308">
        <f>IFERROR(__xludf.DUMMYFUNCTION("SPLIT(C2671,""-"")"),2691.0)</f>
        <v>2691</v>
      </c>
      <c r="E2671" s="308" t="str">
        <f>IFERROR(__xludf.DUMMYFUNCTION("""COMPUTED_VALUE"""),"K")</f>
        <v>K</v>
      </c>
      <c r="F2671" s="309" t="s">
        <v>34</v>
      </c>
      <c r="G2671" s="308"/>
      <c r="H2671" s="308" t="s">
        <v>10996</v>
      </c>
      <c r="I2671" s="310">
        <v>41317.0</v>
      </c>
      <c r="J2671" s="319">
        <f>IFERROR(__xludf.DUMMYFUNCTION("SPLIT(I2671,""/"")"),12.0)</f>
        <v>12</v>
      </c>
      <c r="K2671" s="308">
        <f>IFERROR(__xludf.DUMMYFUNCTION("""COMPUTED_VALUE"""),2.0)</f>
        <v>2</v>
      </c>
      <c r="L2671" s="308">
        <f>IFERROR(__xludf.DUMMYFUNCTION("""COMPUTED_VALUE"""),2013.0)</f>
        <v>2013</v>
      </c>
      <c r="M2671" s="308" t="s">
        <v>10997</v>
      </c>
      <c r="N2671" s="308"/>
      <c r="O2671" s="308" t="s">
        <v>10998</v>
      </c>
      <c r="P2671" s="308" t="s">
        <v>10999</v>
      </c>
      <c r="Q2671" s="308"/>
      <c r="R2671" s="308"/>
      <c r="S2671" s="308" t="s">
        <v>81</v>
      </c>
      <c r="T2671" s="311" t="s">
        <v>73</v>
      </c>
      <c r="U2671" s="308"/>
      <c r="V2671" s="312"/>
    </row>
    <row r="2672">
      <c r="A2672" s="308">
        <v>2671.0</v>
      </c>
      <c r="B2672" s="308"/>
      <c r="C2672" s="308" t="s">
        <v>11000</v>
      </c>
      <c r="D2672" s="308">
        <f>IFERROR(__xludf.DUMMYFUNCTION("SPLIT(C2672,""-"")"),2692.0)</f>
        <v>2692</v>
      </c>
      <c r="E2672" s="308" t="str">
        <f>IFERROR(__xludf.DUMMYFUNCTION("""COMPUTED_VALUE"""),"K")</f>
        <v>K</v>
      </c>
      <c r="F2672" s="309" t="s">
        <v>34</v>
      </c>
      <c r="G2672" s="308"/>
      <c r="H2672" s="308" t="s">
        <v>11001</v>
      </c>
      <c r="I2672" s="310">
        <v>41317.0</v>
      </c>
      <c r="J2672" s="319">
        <f>IFERROR(__xludf.DUMMYFUNCTION("SPLIT(I2672,""/"")"),12.0)</f>
        <v>12</v>
      </c>
      <c r="K2672" s="308">
        <f>IFERROR(__xludf.DUMMYFUNCTION("""COMPUTED_VALUE"""),2.0)</f>
        <v>2</v>
      </c>
      <c r="L2672" s="308">
        <f>IFERROR(__xludf.DUMMYFUNCTION("""COMPUTED_VALUE"""),2013.0)</f>
        <v>2013</v>
      </c>
      <c r="M2672" s="308" t="s">
        <v>11002</v>
      </c>
      <c r="N2672" s="308"/>
      <c r="O2672" s="308" t="s">
        <v>11003</v>
      </c>
      <c r="P2672" s="308" t="s">
        <v>10999</v>
      </c>
      <c r="Q2672" s="308"/>
      <c r="R2672" s="308"/>
      <c r="S2672" s="308" t="s">
        <v>81</v>
      </c>
      <c r="T2672" s="311" t="s">
        <v>73</v>
      </c>
      <c r="U2672" s="308"/>
      <c r="V2672" s="312"/>
    </row>
    <row r="2673">
      <c r="A2673" s="308">
        <v>2672.0</v>
      </c>
      <c r="B2673" s="308"/>
      <c r="C2673" s="308" t="s">
        <v>11004</v>
      </c>
      <c r="D2673" s="308">
        <f>IFERROR(__xludf.DUMMYFUNCTION("SPLIT(C2673,""-"")"),2693.0)</f>
        <v>2693</v>
      </c>
      <c r="E2673" s="308" t="str">
        <f>IFERROR(__xludf.DUMMYFUNCTION("""COMPUTED_VALUE"""),"P")</f>
        <v>P</v>
      </c>
      <c r="F2673" s="312" t="s">
        <v>37</v>
      </c>
      <c r="G2673" s="308"/>
      <c r="H2673" s="308" t="s">
        <v>11005</v>
      </c>
      <c r="I2673" s="310">
        <v>42126.0</v>
      </c>
      <c r="J2673" s="319">
        <f>IFERROR(__xludf.DUMMYFUNCTION("SPLIT(I2673,""/"")"),2.0)</f>
        <v>2</v>
      </c>
      <c r="K2673" s="308">
        <f>IFERROR(__xludf.DUMMYFUNCTION("""COMPUTED_VALUE"""),5.0)</f>
        <v>5</v>
      </c>
      <c r="L2673" s="308">
        <f>IFERROR(__xludf.DUMMYFUNCTION("""COMPUTED_VALUE"""),2015.0)</f>
        <v>2015</v>
      </c>
      <c r="M2673" s="308" t="s">
        <v>11006</v>
      </c>
      <c r="N2673" s="308"/>
      <c r="O2673" s="308" t="s">
        <v>11007</v>
      </c>
      <c r="P2673" s="308" t="s">
        <v>11008</v>
      </c>
      <c r="Q2673" s="308"/>
      <c r="R2673" s="308"/>
      <c r="S2673" s="308" t="s">
        <v>81</v>
      </c>
      <c r="T2673" s="311" t="s">
        <v>73</v>
      </c>
      <c r="U2673" s="308"/>
      <c r="V2673" s="312"/>
    </row>
    <row r="2674">
      <c r="A2674" s="308">
        <v>2673.0</v>
      </c>
      <c r="B2674" s="308"/>
      <c r="C2674" s="308" t="s">
        <v>11009</v>
      </c>
      <c r="D2674" s="308">
        <f>IFERROR(__xludf.DUMMYFUNCTION("SPLIT(C2674,""-"")"),2694.0)</f>
        <v>2694</v>
      </c>
      <c r="E2674" s="308" t="str">
        <f>IFERROR(__xludf.DUMMYFUNCTION("""COMPUTED_VALUE"""),"S")</f>
        <v>S</v>
      </c>
      <c r="F2674" s="312" t="s">
        <v>39</v>
      </c>
      <c r="G2674" s="308"/>
      <c r="H2674" s="308" t="s">
        <v>11010</v>
      </c>
      <c r="I2674" s="322"/>
      <c r="J2674" s="319"/>
      <c r="K2674" s="308"/>
      <c r="L2674" s="311" t="s">
        <v>79</v>
      </c>
      <c r="M2674" s="308" t="s">
        <v>11011</v>
      </c>
      <c r="N2674" s="308"/>
      <c r="O2674" s="308" t="s">
        <v>635</v>
      </c>
      <c r="P2674" s="308" t="s">
        <v>9535</v>
      </c>
      <c r="Q2674" s="308"/>
      <c r="R2674" s="308"/>
      <c r="S2674" s="308" t="s">
        <v>81</v>
      </c>
      <c r="T2674" s="308" t="s">
        <v>75</v>
      </c>
      <c r="U2674" s="308" t="s">
        <v>166</v>
      </c>
      <c r="V2674" s="312"/>
    </row>
    <row r="2675">
      <c r="A2675" s="308">
        <v>2674.0</v>
      </c>
      <c r="B2675" s="308"/>
      <c r="C2675" s="308" t="s">
        <v>11012</v>
      </c>
      <c r="D2675" s="308">
        <f>IFERROR(__xludf.DUMMYFUNCTION("SPLIT(C2675,""-"")"),2695.0)</f>
        <v>2695</v>
      </c>
      <c r="E2675" s="308" t="str">
        <f>IFERROR(__xludf.DUMMYFUNCTION("""COMPUTED_VALUE"""),"S")</f>
        <v>S</v>
      </c>
      <c r="F2675" s="312" t="s">
        <v>39</v>
      </c>
      <c r="G2675" s="308"/>
      <c r="H2675" s="308" t="s">
        <v>11013</v>
      </c>
      <c r="I2675" s="310">
        <v>42029.0</v>
      </c>
      <c r="J2675" s="319">
        <f>IFERROR(__xludf.DUMMYFUNCTION("SPLIT(I2675,""/"")"),25.0)</f>
        <v>25</v>
      </c>
      <c r="K2675" s="308">
        <f>IFERROR(__xludf.DUMMYFUNCTION("""COMPUTED_VALUE"""),1.0)</f>
        <v>1</v>
      </c>
      <c r="L2675" s="308">
        <f>IFERROR(__xludf.DUMMYFUNCTION("""COMPUTED_VALUE"""),2015.0)</f>
        <v>2015</v>
      </c>
      <c r="M2675" s="308" t="s">
        <v>11014</v>
      </c>
      <c r="N2675" s="308"/>
      <c r="O2675" s="308" t="s">
        <v>635</v>
      </c>
      <c r="P2675" s="308" t="s">
        <v>4736</v>
      </c>
      <c r="Q2675" s="308"/>
      <c r="R2675" s="308"/>
      <c r="S2675" s="308" t="s">
        <v>81</v>
      </c>
      <c r="T2675" s="308" t="s">
        <v>98</v>
      </c>
      <c r="U2675" s="308" t="s">
        <v>166</v>
      </c>
      <c r="V2675" s="312"/>
    </row>
    <row r="2676">
      <c r="A2676" s="308">
        <v>2675.0</v>
      </c>
      <c r="B2676" s="308"/>
      <c r="C2676" s="308" t="s">
        <v>11015</v>
      </c>
      <c r="D2676" s="308">
        <f>IFERROR(__xludf.DUMMYFUNCTION("SPLIT(C2676,""-"")"),2696.0)</f>
        <v>2696</v>
      </c>
      <c r="E2676" s="308" t="str">
        <f>IFERROR(__xludf.DUMMYFUNCTION("""COMPUTED_VALUE"""),"P")</f>
        <v>P</v>
      </c>
      <c r="F2676" s="312" t="s">
        <v>37</v>
      </c>
      <c r="G2676" s="308"/>
      <c r="H2676" s="308" t="s">
        <v>11016</v>
      </c>
      <c r="I2676" s="310">
        <v>42029.0</v>
      </c>
      <c r="J2676" s="319">
        <f>IFERROR(__xludf.DUMMYFUNCTION("SPLIT(I2676,""/"")"),25.0)</f>
        <v>25</v>
      </c>
      <c r="K2676" s="308">
        <f>IFERROR(__xludf.DUMMYFUNCTION("""COMPUTED_VALUE"""),1.0)</f>
        <v>1</v>
      </c>
      <c r="L2676" s="308">
        <f>IFERROR(__xludf.DUMMYFUNCTION("""COMPUTED_VALUE"""),2015.0)</f>
        <v>2015</v>
      </c>
      <c r="M2676" s="308" t="s">
        <v>11017</v>
      </c>
      <c r="N2676" s="308"/>
      <c r="O2676" s="308" t="s">
        <v>11018</v>
      </c>
      <c r="P2676" s="308" t="s">
        <v>11019</v>
      </c>
      <c r="Q2676" s="308"/>
      <c r="R2676" s="308"/>
      <c r="S2676" s="308" t="s">
        <v>81</v>
      </c>
      <c r="T2676" s="311" t="s">
        <v>51</v>
      </c>
      <c r="U2676" s="308"/>
      <c r="V2676" s="312"/>
    </row>
    <row r="2677">
      <c r="A2677" s="308">
        <v>2676.0</v>
      </c>
      <c r="B2677" s="308"/>
      <c r="C2677" s="308" t="s">
        <v>11020</v>
      </c>
      <c r="D2677" s="308">
        <f>IFERROR(__xludf.DUMMYFUNCTION("SPLIT(C2677,""-"")"),2697.0)</f>
        <v>2697</v>
      </c>
      <c r="E2677" s="308" t="str">
        <f>IFERROR(__xludf.DUMMYFUNCTION("""COMPUTED_VALUE"""),"P")</f>
        <v>P</v>
      </c>
      <c r="F2677" s="312" t="s">
        <v>37</v>
      </c>
      <c r="G2677" s="308"/>
      <c r="H2677" s="308" t="s">
        <v>11021</v>
      </c>
      <c r="I2677" s="310">
        <v>42100.0</v>
      </c>
      <c r="J2677" s="319">
        <f>IFERROR(__xludf.DUMMYFUNCTION("SPLIT(I2677,""/"")"),6.0)</f>
        <v>6</v>
      </c>
      <c r="K2677" s="308">
        <f>IFERROR(__xludf.DUMMYFUNCTION("""COMPUTED_VALUE"""),4.0)</f>
        <v>4</v>
      </c>
      <c r="L2677" s="308">
        <f>IFERROR(__xludf.DUMMYFUNCTION("""COMPUTED_VALUE"""),2015.0)</f>
        <v>2015</v>
      </c>
      <c r="M2677" s="308" t="s">
        <v>11022</v>
      </c>
      <c r="N2677" s="308"/>
      <c r="O2677" s="308" t="s">
        <v>635</v>
      </c>
      <c r="P2677" s="308" t="s">
        <v>11023</v>
      </c>
      <c r="Q2677" s="308"/>
      <c r="R2677" s="308"/>
      <c r="S2677" s="308" t="s">
        <v>81</v>
      </c>
      <c r="T2677" s="308" t="s">
        <v>98</v>
      </c>
      <c r="U2677" s="308"/>
      <c r="V2677" s="312"/>
    </row>
    <row r="2678">
      <c r="A2678" s="308">
        <v>2677.0</v>
      </c>
      <c r="B2678" s="308"/>
      <c r="C2678" s="308" t="s">
        <v>11024</v>
      </c>
      <c r="D2678" s="308">
        <f>IFERROR(__xludf.DUMMYFUNCTION("SPLIT(C2678,""-"")"),2698.0)</f>
        <v>2698</v>
      </c>
      <c r="E2678" s="308" t="str">
        <f>IFERROR(__xludf.DUMMYFUNCTION("""COMPUTED_VALUE"""),"P")</f>
        <v>P</v>
      </c>
      <c r="F2678" s="312" t="s">
        <v>37</v>
      </c>
      <c r="G2678" s="308"/>
      <c r="H2678" s="308" t="s">
        <v>11025</v>
      </c>
      <c r="I2678" s="310">
        <v>42100.0</v>
      </c>
      <c r="J2678" s="319">
        <f>IFERROR(__xludf.DUMMYFUNCTION("SPLIT(I2678,""/"")"),6.0)</f>
        <v>6</v>
      </c>
      <c r="K2678" s="308">
        <f>IFERROR(__xludf.DUMMYFUNCTION("""COMPUTED_VALUE"""),4.0)</f>
        <v>4</v>
      </c>
      <c r="L2678" s="308">
        <f>IFERROR(__xludf.DUMMYFUNCTION("""COMPUTED_VALUE"""),2015.0)</f>
        <v>2015</v>
      </c>
      <c r="M2678" s="308" t="s">
        <v>11026</v>
      </c>
      <c r="N2678" s="308"/>
      <c r="O2678" s="308" t="s">
        <v>635</v>
      </c>
      <c r="P2678" s="308" t="s">
        <v>11023</v>
      </c>
      <c r="Q2678" s="308"/>
      <c r="R2678" s="308"/>
      <c r="S2678" s="308" t="s">
        <v>81</v>
      </c>
      <c r="T2678" s="308" t="s">
        <v>98</v>
      </c>
      <c r="U2678" s="308"/>
      <c r="V2678" s="312"/>
    </row>
    <row r="2679">
      <c r="A2679" s="308">
        <v>2678.0</v>
      </c>
      <c r="B2679" s="308"/>
      <c r="C2679" s="308" t="s">
        <v>11027</v>
      </c>
      <c r="D2679" s="308">
        <f>IFERROR(__xludf.DUMMYFUNCTION("SPLIT(C2679,""-"")"),2699.0)</f>
        <v>2699</v>
      </c>
      <c r="E2679" s="308" t="str">
        <f>IFERROR(__xludf.DUMMYFUNCTION("""COMPUTED_VALUE"""),"P")</f>
        <v>P</v>
      </c>
      <c r="F2679" s="312" t="s">
        <v>37</v>
      </c>
      <c r="G2679" s="308"/>
      <c r="H2679" s="308" t="s">
        <v>11028</v>
      </c>
      <c r="I2679" s="310">
        <v>42044.0</v>
      </c>
      <c r="J2679" s="319">
        <f>IFERROR(__xludf.DUMMYFUNCTION("SPLIT(I2679,""/"")"),9.0)</f>
        <v>9</v>
      </c>
      <c r="K2679" s="308">
        <f>IFERROR(__xludf.DUMMYFUNCTION("""COMPUTED_VALUE"""),2.0)</f>
        <v>2</v>
      </c>
      <c r="L2679" s="308">
        <f>IFERROR(__xludf.DUMMYFUNCTION("""COMPUTED_VALUE"""),2015.0)</f>
        <v>2015</v>
      </c>
      <c r="M2679" s="308" t="s">
        <v>11029</v>
      </c>
      <c r="N2679" s="308"/>
      <c r="O2679" s="308" t="s">
        <v>635</v>
      </c>
      <c r="P2679" s="308" t="s">
        <v>11030</v>
      </c>
      <c r="Q2679" s="308"/>
      <c r="R2679" s="308"/>
      <c r="S2679" s="308" t="s">
        <v>81</v>
      </c>
      <c r="T2679" s="311" t="s">
        <v>51</v>
      </c>
      <c r="U2679" s="308"/>
      <c r="V2679" s="312"/>
    </row>
    <row r="2680">
      <c r="A2680" s="308">
        <v>2679.0</v>
      </c>
      <c r="B2680" s="308"/>
      <c r="C2680" s="308" t="s">
        <v>11031</v>
      </c>
      <c r="D2680" s="308">
        <f>IFERROR(__xludf.DUMMYFUNCTION("SPLIT(C2680,""-"")"),2700.0)</f>
        <v>2700</v>
      </c>
      <c r="E2680" s="308" t="str">
        <f>IFERROR(__xludf.DUMMYFUNCTION("""COMPUTED_VALUE"""),"S")</f>
        <v>S</v>
      </c>
      <c r="F2680" s="312" t="s">
        <v>39</v>
      </c>
      <c r="G2680" s="308"/>
      <c r="H2680" s="308" t="s">
        <v>11032</v>
      </c>
      <c r="I2680" s="310">
        <v>40304.0</v>
      </c>
      <c r="J2680" s="319">
        <f>IFERROR(__xludf.DUMMYFUNCTION("SPLIT(I2680,""/"")"),6.0)</f>
        <v>6</v>
      </c>
      <c r="K2680" s="308">
        <f>IFERROR(__xludf.DUMMYFUNCTION("""COMPUTED_VALUE"""),5.0)</f>
        <v>5</v>
      </c>
      <c r="L2680" s="308">
        <f>IFERROR(__xludf.DUMMYFUNCTION("""COMPUTED_VALUE"""),2010.0)</f>
        <v>2010</v>
      </c>
      <c r="M2680" s="308" t="s">
        <v>11033</v>
      </c>
      <c r="N2680" s="308"/>
      <c r="O2680" s="308" t="s">
        <v>11034</v>
      </c>
      <c r="P2680" s="308" t="s">
        <v>11035</v>
      </c>
      <c r="Q2680" s="308"/>
      <c r="R2680" s="308"/>
      <c r="S2680" s="308" t="s">
        <v>49</v>
      </c>
      <c r="T2680" s="311" t="s">
        <v>69</v>
      </c>
      <c r="U2680" s="308" t="s">
        <v>166</v>
      </c>
      <c r="V2680" s="312"/>
    </row>
    <row r="2681">
      <c r="A2681" s="308">
        <v>2680.0</v>
      </c>
      <c r="B2681" s="308"/>
      <c r="C2681" s="308" t="s">
        <v>11036</v>
      </c>
      <c r="D2681" s="308">
        <f>IFERROR(__xludf.DUMMYFUNCTION("SPLIT(C2681,""-"")"),2701.0)</f>
        <v>2701</v>
      </c>
      <c r="E2681" s="308" t="str">
        <f>IFERROR(__xludf.DUMMYFUNCTION("""COMPUTED_VALUE"""),"B")</f>
        <v>B</v>
      </c>
      <c r="F2681" s="315" t="s">
        <v>26</v>
      </c>
      <c r="G2681" s="308"/>
      <c r="H2681" s="308" t="s">
        <v>11037</v>
      </c>
      <c r="I2681" s="310">
        <v>42065.0</v>
      </c>
      <c r="J2681" s="319">
        <f>IFERROR(__xludf.DUMMYFUNCTION("SPLIT(I2681,""/"")"),2.0)</f>
        <v>2</v>
      </c>
      <c r="K2681" s="308">
        <f>IFERROR(__xludf.DUMMYFUNCTION("""COMPUTED_VALUE"""),3.0)</f>
        <v>3</v>
      </c>
      <c r="L2681" s="308">
        <f>IFERROR(__xludf.DUMMYFUNCTION("""COMPUTED_VALUE"""),2015.0)</f>
        <v>2015</v>
      </c>
      <c r="M2681" s="308" t="s">
        <v>11038</v>
      </c>
      <c r="N2681" s="308"/>
      <c r="O2681" s="308" t="s">
        <v>11039</v>
      </c>
      <c r="P2681" s="308" t="s">
        <v>11040</v>
      </c>
      <c r="Q2681" s="308"/>
      <c r="R2681" s="308"/>
      <c r="S2681" s="308" t="s">
        <v>49</v>
      </c>
      <c r="T2681" s="311" t="s">
        <v>51</v>
      </c>
      <c r="U2681" s="308" t="s">
        <v>27</v>
      </c>
      <c r="V2681" s="312"/>
    </row>
    <row r="2682">
      <c r="A2682" s="308">
        <v>2681.0</v>
      </c>
      <c r="B2682" s="308"/>
      <c r="C2682" s="308" t="s">
        <v>11041</v>
      </c>
      <c r="D2682" s="308">
        <f>IFERROR(__xludf.DUMMYFUNCTION("SPLIT(C2682,""-"")"),2702.0)</f>
        <v>2702</v>
      </c>
      <c r="E2682" s="308" t="str">
        <f>IFERROR(__xludf.DUMMYFUNCTION("""COMPUTED_VALUE"""),"B")</f>
        <v>B</v>
      </c>
      <c r="F2682" s="315" t="s">
        <v>26</v>
      </c>
      <c r="G2682" s="308"/>
      <c r="H2682" s="308" t="s">
        <v>11042</v>
      </c>
      <c r="I2682" s="310">
        <v>41795.0</v>
      </c>
      <c r="J2682" s="319">
        <f>IFERROR(__xludf.DUMMYFUNCTION("SPLIT(I2682,""/"")"),5.0)</f>
        <v>5</v>
      </c>
      <c r="K2682" s="308">
        <f>IFERROR(__xludf.DUMMYFUNCTION("""COMPUTED_VALUE"""),6.0)</f>
        <v>6</v>
      </c>
      <c r="L2682" s="308">
        <f>IFERROR(__xludf.DUMMYFUNCTION("""COMPUTED_VALUE"""),2014.0)</f>
        <v>2014</v>
      </c>
      <c r="M2682" s="308" t="s">
        <v>11043</v>
      </c>
      <c r="N2682" s="308"/>
      <c r="O2682" s="308" t="s">
        <v>11039</v>
      </c>
      <c r="P2682" s="308" t="s">
        <v>36738</v>
      </c>
      <c r="Q2682" s="308"/>
      <c r="R2682" s="308"/>
      <c r="S2682" s="308" t="s">
        <v>49</v>
      </c>
      <c r="T2682" s="308" t="s">
        <v>51</v>
      </c>
      <c r="U2682" s="308" t="s">
        <v>27</v>
      </c>
      <c r="V2682" s="312"/>
    </row>
    <row r="2683">
      <c r="A2683" s="308">
        <v>2682.0</v>
      </c>
      <c r="B2683" s="308"/>
      <c r="C2683" s="308" t="s">
        <v>11045</v>
      </c>
      <c r="D2683" s="308">
        <f>IFERROR(__xludf.DUMMYFUNCTION("SPLIT(C2683,""-"")"),2703.0)</f>
        <v>2703</v>
      </c>
      <c r="E2683" s="308" t="str">
        <f>IFERROR(__xludf.DUMMYFUNCTION("""COMPUTED_VALUE"""),"B")</f>
        <v>B</v>
      </c>
      <c r="F2683" s="315" t="s">
        <v>26</v>
      </c>
      <c r="G2683" s="308"/>
      <c r="H2683" s="308" t="s">
        <v>11046</v>
      </c>
      <c r="I2683" s="310">
        <v>40416.0</v>
      </c>
      <c r="J2683" s="319">
        <f>IFERROR(__xludf.DUMMYFUNCTION("SPLIT(I2683,""/"")"),26.0)</f>
        <v>26</v>
      </c>
      <c r="K2683" s="308">
        <f>IFERROR(__xludf.DUMMYFUNCTION("""COMPUTED_VALUE"""),8.0)</f>
        <v>8</v>
      </c>
      <c r="L2683" s="308">
        <f>IFERROR(__xludf.DUMMYFUNCTION("""COMPUTED_VALUE"""),2010.0)</f>
        <v>2010</v>
      </c>
      <c r="M2683" s="308" t="s">
        <v>11047</v>
      </c>
      <c r="N2683" s="308"/>
      <c r="O2683" s="308" t="s">
        <v>11048</v>
      </c>
      <c r="P2683" s="308" t="s">
        <v>11049</v>
      </c>
      <c r="Q2683" s="308"/>
      <c r="R2683" s="308"/>
      <c r="S2683" s="315" t="s">
        <v>100</v>
      </c>
      <c r="T2683" s="311" t="s">
        <v>34208</v>
      </c>
      <c r="U2683" s="308" t="s">
        <v>27</v>
      </c>
      <c r="V2683" s="312"/>
    </row>
    <row r="2684">
      <c r="A2684" s="308">
        <v>2683.0</v>
      </c>
      <c r="B2684" s="308"/>
      <c r="C2684" s="308" t="s">
        <v>11050</v>
      </c>
      <c r="D2684" s="308">
        <f>IFERROR(__xludf.DUMMYFUNCTION("SPLIT(C2684,""-"")"),2704.0)</f>
        <v>2704</v>
      </c>
      <c r="E2684" s="308" t="str">
        <f>IFERROR(__xludf.DUMMYFUNCTION("""COMPUTED_VALUE"""),"K")</f>
        <v>K</v>
      </c>
      <c r="F2684" s="309" t="s">
        <v>34</v>
      </c>
      <c r="G2684" s="308"/>
      <c r="H2684" s="308" t="s">
        <v>11051</v>
      </c>
      <c r="I2684" s="310">
        <v>41404.0</v>
      </c>
      <c r="J2684" s="319">
        <f>IFERROR(__xludf.DUMMYFUNCTION("SPLIT(I2684,""/"")"),10.0)</f>
        <v>10</v>
      </c>
      <c r="K2684" s="308">
        <f>IFERROR(__xludf.DUMMYFUNCTION("""COMPUTED_VALUE"""),5.0)</f>
        <v>5</v>
      </c>
      <c r="L2684" s="308">
        <f>IFERROR(__xludf.DUMMYFUNCTION("""COMPUTED_VALUE"""),2013.0)</f>
        <v>2013</v>
      </c>
      <c r="M2684" s="308" t="s">
        <v>11052</v>
      </c>
      <c r="N2684" s="308" t="s">
        <v>11053</v>
      </c>
      <c r="O2684" s="308" t="s">
        <v>635</v>
      </c>
      <c r="P2684" s="308" t="s">
        <v>136</v>
      </c>
      <c r="Q2684" s="308"/>
      <c r="R2684" s="308"/>
      <c r="S2684" s="315" t="s">
        <v>100</v>
      </c>
      <c r="T2684" s="308" t="s">
        <v>34208</v>
      </c>
      <c r="U2684" s="308" t="s">
        <v>530</v>
      </c>
      <c r="V2684" s="312"/>
    </row>
    <row r="2685">
      <c r="A2685" s="308">
        <v>2684.0</v>
      </c>
      <c r="B2685" s="308"/>
      <c r="C2685" s="308" t="s">
        <v>11054</v>
      </c>
      <c r="D2685" s="308">
        <f>IFERROR(__xludf.DUMMYFUNCTION("SPLIT(C2685,""-"")"),2705.0)</f>
        <v>2705</v>
      </c>
      <c r="E2685" s="308" t="str">
        <f>IFERROR(__xludf.DUMMYFUNCTION("""COMPUTED_VALUE"""),"S")</f>
        <v>S</v>
      </c>
      <c r="F2685" s="312" t="s">
        <v>39</v>
      </c>
      <c r="G2685" s="308"/>
      <c r="H2685" s="308" t="s">
        <v>11055</v>
      </c>
      <c r="I2685" s="316" t="s">
        <v>11056</v>
      </c>
      <c r="J2685" s="319">
        <f>IFERROR(__xludf.DUMMYFUNCTION("SPLIT(I2685,""/"")"),30.0)</f>
        <v>30</v>
      </c>
      <c r="K2685" s="308">
        <f>IFERROR(__xludf.DUMMYFUNCTION("""COMPUTED_VALUE"""),2.0)</f>
        <v>2</v>
      </c>
      <c r="L2685" s="308">
        <f>IFERROR(__xludf.DUMMYFUNCTION("""COMPUTED_VALUE"""),2015.0)</f>
        <v>2015</v>
      </c>
      <c r="M2685" s="308" t="s">
        <v>36739</v>
      </c>
      <c r="N2685" s="308"/>
      <c r="O2685" s="308" t="s">
        <v>635</v>
      </c>
      <c r="P2685" s="308" t="s">
        <v>1847</v>
      </c>
      <c r="Q2685" s="308"/>
      <c r="R2685" s="308"/>
      <c r="S2685" s="308" t="s">
        <v>100</v>
      </c>
      <c r="T2685" s="311" t="s">
        <v>34208</v>
      </c>
      <c r="U2685" s="308" t="s">
        <v>166</v>
      </c>
      <c r="V2685" s="312"/>
    </row>
    <row r="2686">
      <c r="A2686" s="308">
        <v>2685.0</v>
      </c>
      <c r="B2686" s="308"/>
      <c r="C2686" s="308" t="s">
        <v>11058</v>
      </c>
      <c r="D2686" s="308">
        <f>IFERROR(__xludf.DUMMYFUNCTION("SPLIT(C2686,""-"")"),2706.0)</f>
        <v>2706</v>
      </c>
      <c r="E2686" s="308" t="str">
        <f>IFERROR(__xludf.DUMMYFUNCTION("""COMPUTED_VALUE"""),"P")</f>
        <v>P</v>
      </c>
      <c r="F2686" s="312" t="s">
        <v>37</v>
      </c>
      <c r="G2686" s="308"/>
      <c r="H2686" s="308" t="s">
        <v>11059</v>
      </c>
      <c r="I2686" s="310">
        <v>42178.0</v>
      </c>
      <c r="J2686" s="319">
        <f>IFERROR(__xludf.DUMMYFUNCTION("SPLIT(I2686,""/"")"),23.0)</f>
        <v>23</v>
      </c>
      <c r="K2686" s="308">
        <f>IFERROR(__xludf.DUMMYFUNCTION("""COMPUTED_VALUE"""),6.0)</f>
        <v>6</v>
      </c>
      <c r="L2686" s="308">
        <f>IFERROR(__xludf.DUMMYFUNCTION("""COMPUTED_VALUE"""),2015.0)</f>
        <v>2015</v>
      </c>
      <c r="M2686" s="308" t="s">
        <v>11060</v>
      </c>
      <c r="N2686" s="308"/>
      <c r="O2686" s="308" t="s">
        <v>11061</v>
      </c>
      <c r="P2686" s="308" t="s">
        <v>11062</v>
      </c>
      <c r="Q2686" s="308"/>
      <c r="R2686" s="308"/>
      <c r="S2686" s="308" t="s">
        <v>81</v>
      </c>
      <c r="T2686" s="308" t="s">
        <v>73</v>
      </c>
      <c r="U2686" s="308"/>
      <c r="V2686" s="312"/>
    </row>
    <row r="2687">
      <c r="A2687" s="308">
        <v>2686.0</v>
      </c>
      <c r="B2687" s="308"/>
      <c r="C2687" s="308" t="s">
        <v>11063</v>
      </c>
      <c r="D2687" s="308">
        <f>IFERROR(__xludf.DUMMYFUNCTION("SPLIT(C2687,""-"")"),2707.0)</f>
        <v>2707</v>
      </c>
      <c r="E2687" s="308" t="str">
        <f>IFERROR(__xludf.DUMMYFUNCTION("""COMPUTED_VALUE"""),"ICT")</f>
        <v>ICT</v>
      </c>
      <c r="F2687" s="315" t="s">
        <v>31</v>
      </c>
      <c r="G2687" s="308" t="s">
        <v>11064</v>
      </c>
      <c r="H2687" s="308" t="s">
        <v>11065</v>
      </c>
      <c r="I2687" s="310">
        <v>41977.0</v>
      </c>
      <c r="J2687" s="319">
        <f>IFERROR(__xludf.DUMMYFUNCTION("SPLIT(I2687,""/"")"),4.0)</f>
        <v>4</v>
      </c>
      <c r="K2687" s="308">
        <f>IFERROR(__xludf.DUMMYFUNCTION("""COMPUTED_VALUE"""),12.0)</f>
        <v>12</v>
      </c>
      <c r="L2687" s="308">
        <f>IFERROR(__xludf.DUMMYFUNCTION("""COMPUTED_VALUE"""),2014.0)</f>
        <v>2014</v>
      </c>
      <c r="M2687" s="308" t="s">
        <v>36740</v>
      </c>
      <c r="N2687" s="308"/>
      <c r="O2687" s="308" t="s">
        <v>11067</v>
      </c>
      <c r="P2687" s="308" t="s">
        <v>11068</v>
      </c>
      <c r="Q2687" s="308"/>
      <c r="R2687" s="308"/>
      <c r="S2687" s="308" t="s">
        <v>81</v>
      </c>
      <c r="T2687" s="308" t="s">
        <v>75</v>
      </c>
      <c r="U2687" s="308" t="s">
        <v>31</v>
      </c>
      <c r="V2687" s="312"/>
    </row>
    <row r="2688">
      <c r="A2688" s="308">
        <v>2687.0</v>
      </c>
      <c r="B2688" s="308"/>
      <c r="C2688" s="308" t="s">
        <v>11069</v>
      </c>
      <c r="D2688" s="308">
        <f>IFERROR(__xludf.DUMMYFUNCTION("SPLIT(C2688,""-"")"),2708.0)</f>
        <v>2708</v>
      </c>
      <c r="E2688" s="308" t="str">
        <f>IFERROR(__xludf.DUMMYFUNCTION("""COMPUTED_VALUE""")," S")</f>
        <v> S</v>
      </c>
      <c r="F2688" s="312" t="s">
        <v>39</v>
      </c>
      <c r="G2688" s="308" t="s">
        <v>11070</v>
      </c>
      <c r="H2688" s="308" t="s">
        <v>11071</v>
      </c>
      <c r="I2688" s="310">
        <v>41699.0</v>
      </c>
      <c r="J2688" s="319">
        <f>IFERROR(__xludf.DUMMYFUNCTION("SPLIT(I2688,""/"")"),1.0)</f>
        <v>1</v>
      </c>
      <c r="K2688" s="308">
        <f>IFERROR(__xludf.DUMMYFUNCTION("""COMPUTED_VALUE"""),3.0)</f>
        <v>3</v>
      </c>
      <c r="L2688" s="308">
        <f>IFERROR(__xludf.DUMMYFUNCTION("""COMPUTED_VALUE"""),2014.0)</f>
        <v>2014</v>
      </c>
      <c r="M2688" s="308" t="s">
        <v>36741</v>
      </c>
      <c r="N2688" s="308"/>
      <c r="O2688" s="308" t="s">
        <v>635</v>
      </c>
      <c r="P2688" s="308" t="s">
        <v>622</v>
      </c>
      <c r="Q2688" s="308"/>
      <c r="R2688" s="308"/>
      <c r="S2688" s="308" t="s">
        <v>49</v>
      </c>
      <c r="T2688" s="308" t="s">
        <v>34409</v>
      </c>
      <c r="U2688" s="308" t="s">
        <v>166</v>
      </c>
      <c r="V2688" s="312"/>
    </row>
    <row r="2689">
      <c r="A2689" s="308">
        <v>2688.0</v>
      </c>
      <c r="B2689" s="308"/>
      <c r="C2689" s="308" t="s">
        <v>11073</v>
      </c>
      <c r="D2689" s="308">
        <f>IFERROR(__xludf.DUMMYFUNCTION("SPLIT(C2689,""-"")"),2709.0)</f>
        <v>2709</v>
      </c>
      <c r="E2689" s="308" t="str">
        <f>IFERROR(__xludf.DUMMYFUNCTION("""COMPUTED_VALUE""")," S")</f>
        <v> S</v>
      </c>
      <c r="F2689" s="312" t="s">
        <v>39</v>
      </c>
      <c r="G2689" s="308" t="s">
        <v>11074</v>
      </c>
      <c r="H2689" s="308" t="s">
        <v>11075</v>
      </c>
      <c r="I2689" s="310">
        <v>42018.0</v>
      </c>
      <c r="J2689" s="319">
        <f>IFERROR(__xludf.DUMMYFUNCTION("SPLIT(I2689,""/"")"),14.0)</f>
        <v>14</v>
      </c>
      <c r="K2689" s="308">
        <f>IFERROR(__xludf.DUMMYFUNCTION("""COMPUTED_VALUE"""),1.0)</f>
        <v>1</v>
      </c>
      <c r="L2689" s="308">
        <f>IFERROR(__xludf.DUMMYFUNCTION("""COMPUTED_VALUE"""),2015.0)</f>
        <v>2015</v>
      </c>
      <c r="M2689" s="308" t="s">
        <v>11076</v>
      </c>
      <c r="N2689" s="308"/>
      <c r="O2689" s="308" t="s">
        <v>635</v>
      </c>
      <c r="P2689" s="308" t="s">
        <v>622</v>
      </c>
      <c r="Q2689" s="308"/>
      <c r="R2689" s="308"/>
      <c r="S2689" s="308" t="s">
        <v>49</v>
      </c>
      <c r="T2689" s="308" t="s">
        <v>34409</v>
      </c>
      <c r="U2689" s="308" t="s">
        <v>166</v>
      </c>
      <c r="V2689" s="312"/>
    </row>
    <row r="2690">
      <c r="A2690" s="308">
        <v>2689.0</v>
      </c>
      <c r="B2690" s="308"/>
      <c r="C2690" s="308" t="s">
        <v>11077</v>
      </c>
      <c r="D2690" s="308">
        <f>IFERROR(__xludf.DUMMYFUNCTION("SPLIT(C2690,""-"")"),2710.0)</f>
        <v>2710</v>
      </c>
      <c r="E2690" s="308" t="str">
        <f>IFERROR(__xludf.DUMMYFUNCTION("""COMPUTED_VALUE""")," S")</f>
        <v> S</v>
      </c>
      <c r="F2690" s="312" t="s">
        <v>39</v>
      </c>
      <c r="G2690" s="308" t="s">
        <v>11074</v>
      </c>
      <c r="H2690" s="308" t="s">
        <v>11078</v>
      </c>
      <c r="I2690" s="310">
        <v>42018.0</v>
      </c>
      <c r="J2690" s="319">
        <f>IFERROR(__xludf.DUMMYFUNCTION("SPLIT(I2690,""/"")"),14.0)</f>
        <v>14</v>
      </c>
      <c r="K2690" s="308">
        <f>IFERROR(__xludf.DUMMYFUNCTION("""COMPUTED_VALUE"""),1.0)</f>
        <v>1</v>
      </c>
      <c r="L2690" s="308">
        <f>IFERROR(__xludf.DUMMYFUNCTION("""COMPUTED_VALUE"""),2015.0)</f>
        <v>2015</v>
      </c>
      <c r="M2690" s="308" t="s">
        <v>11076</v>
      </c>
      <c r="N2690" s="308"/>
      <c r="O2690" s="308" t="s">
        <v>635</v>
      </c>
      <c r="P2690" s="308" t="s">
        <v>622</v>
      </c>
      <c r="Q2690" s="308"/>
      <c r="R2690" s="308"/>
      <c r="S2690" s="308" t="s">
        <v>49</v>
      </c>
      <c r="T2690" s="308" t="s">
        <v>34409</v>
      </c>
      <c r="U2690" s="308" t="s">
        <v>166</v>
      </c>
      <c r="V2690" s="312"/>
    </row>
    <row r="2691">
      <c r="A2691" s="308">
        <v>2690.0</v>
      </c>
      <c r="B2691" s="308"/>
      <c r="C2691" s="308" t="s">
        <v>11079</v>
      </c>
      <c r="D2691" s="308">
        <f>IFERROR(__xludf.DUMMYFUNCTION("SPLIT(C2691,""-"")"),2711.0)</f>
        <v>2711</v>
      </c>
      <c r="E2691" s="308" t="str">
        <f>IFERROR(__xludf.DUMMYFUNCTION("""COMPUTED_VALUE""")," S")</f>
        <v> S</v>
      </c>
      <c r="F2691" s="312" t="s">
        <v>39</v>
      </c>
      <c r="G2691" s="308"/>
      <c r="H2691" s="308" t="s">
        <v>36742</v>
      </c>
      <c r="I2691" s="310">
        <v>42045.0</v>
      </c>
      <c r="J2691" s="319">
        <f>IFERROR(__xludf.DUMMYFUNCTION("SPLIT(I2691,""/"")"),10.0)</f>
        <v>10</v>
      </c>
      <c r="K2691" s="308">
        <f>IFERROR(__xludf.DUMMYFUNCTION("""COMPUTED_VALUE"""),2.0)</f>
        <v>2</v>
      </c>
      <c r="L2691" s="308">
        <f>IFERROR(__xludf.DUMMYFUNCTION("""COMPUTED_VALUE"""),2015.0)</f>
        <v>2015</v>
      </c>
      <c r="M2691" s="308" t="s">
        <v>11081</v>
      </c>
      <c r="N2691" s="308"/>
      <c r="O2691" s="308" t="s">
        <v>11082</v>
      </c>
      <c r="P2691" s="308" t="s">
        <v>36743</v>
      </c>
      <c r="Q2691" s="308"/>
      <c r="R2691" s="308"/>
      <c r="S2691" s="308" t="s">
        <v>81</v>
      </c>
      <c r="T2691" s="308" t="s">
        <v>75</v>
      </c>
      <c r="U2691" s="308" t="s">
        <v>166</v>
      </c>
      <c r="V2691" s="312"/>
    </row>
    <row r="2692">
      <c r="A2692" s="308">
        <v>2691.0</v>
      </c>
      <c r="B2692" s="308"/>
      <c r="C2692" s="308" t="s">
        <v>11084</v>
      </c>
      <c r="D2692" s="308">
        <f>IFERROR(__xludf.DUMMYFUNCTION("SPLIT(C2692,""-"")"),2712.0)</f>
        <v>2712</v>
      </c>
      <c r="E2692" s="308" t="str">
        <f>IFERROR(__xludf.DUMMYFUNCTION("""COMPUTED_VALUE""")," P")</f>
        <v> P</v>
      </c>
      <c r="F2692" s="312" t="s">
        <v>37</v>
      </c>
      <c r="G2692" s="308"/>
      <c r="H2692" s="308" t="s">
        <v>11085</v>
      </c>
      <c r="I2692" s="310">
        <v>42014.0</v>
      </c>
      <c r="J2692" s="319">
        <f>IFERROR(__xludf.DUMMYFUNCTION("SPLIT(I2692,""/"")"),10.0)</f>
        <v>10</v>
      </c>
      <c r="K2692" s="308">
        <f>IFERROR(__xludf.DUMMYFUNCTION("""COMPUTED_VALUE"""),1.0)</f>
        <v>1</v>
      </c>
      <c r="L2692" s="308">
        <f>IFERROR(__xludf.DUMMYFUNCTION("""COMPUTED_VALUE"""),2015.0)</f>
        <v>2015</v>
      </c>
      <c r="M2692" s="308" t="s">
        <v>11086</v>
      </c>
      <c r="N2692" s="308"/>
      <c r="O2692" s="308" t="s">
        <v>36744</v>
      </c>
      <c r="P2692" s="308" t="s">
        <v>11088</v>
      </c>
      <c r="Q2692" s="308"/>
      <c r="R2692" s="308"/>
      <c r="S2692" s="308" t="s">
        <v>81</v>
      </c>
      <c r="T2692" s="308" t="s">
        <v>75</v>
      </c>
      <c r="U2692" s="308"/>
      <c r="V2692" s="312"/>
    </row>
    <row r="2693">
      <c r="A2693" s="308">
        <v>2692.0</v>
      </c>
      <c r="B2693" s="308"/>
      <c r="C2693" s="308" t="s">
        <v>11089</v>
      </c>
      <c r="D2693" s="308">
        <f>IFERROR(__xludf.DUMMYFUNCTION("SPLIT(C2693,""-"")"),2713.0)</f>
        <v>2713</v>
      </c>
      <c r="E2693" s="308" t="str">
        <f>IFERROR(__xludf.DUMMYFUNCTION("""COMPUTED_VALUE""")," S")</f>
        <v> S</v>
      </c>
      <c r="F2693" s="312" t="s">
        <v>39</v>
      </c>
      <c r="G2693" s="308" t="s">
        <v>11090</v>
      </c>
      <c r="H2693" s="308" t="s">
        <v>11091</v>
      </c>
      <c r="I2693" s="314">
        <v>41969.0</v>
      </c>
      <c r="J2693" s="319">
        <f>IFERROR(__xludf.DUMMYFUNCTION("SPLIT(I2693,""/"")"),26.0)</f>
        <v>26</v>
      </c>
      <c r="K2693" s="308">
        <f>IFERROR(__xludf.DUMMYFUNCTION("""COMPUTED_VALUE"""),11.0)</f>
        <v>11</v>
      </c>
      <c r="L2693" s="308">
        <f>IFERROR(__xludf.DUMMYFUNCTION("""COMPUTED_VALUE"""),2014.0)</f>
        <v>2014</v>
      </c>
      <c r="M2693" s="308" t="s">
        <v>11092</v>
      </c>
      <c r="N2693" s="308"/>
      <c r="O2693" s="308" t="s">
        <v>635</v>
      </c>
      <c r="P2693" s="308" t="s">
        <v>9535</v>
      </c>
      <c r="Q2693" s="308"/>
      <c r="R2693" s="308"/>
      <c r="S2693" s="308" t="s">
        <v>81</v>
      </c>
      <c r="T2693" s="308" t="s">
        <v>75</v>
      </c>
      <c r="U2693" s="308" t="s">
        <v>166</v>
      </c>
      <c r="V2693" s="312"/>
    </row>
    <row r="2694">
      <c r="A2694" s="308">
        <v>2693.0</v>
      </c>
      <c r="B2694" s="308"/>
      <c r="C2694" s="308" t="s">
        <v>11093</v>
      </c>
      <c r="D2694" s="308">
        <f>IFERROR(__xludf.DUMMYFUNCTION("SPLIT(C2694,""-"")"),2714.0)</f>
        <v>2714</v>
      </c>
      <c r="E2694" s="308" t="str">
        <f>IFERROR(__xludf.DUMMYFUNCTION("""COMPUTED_VALUE""")," K")</f>
        <v> K</v>
      </c>
      <c r="F2694" s="309" t="s">
        <v>34</v>
      </c>
      <c r="G2694" s="308" t="s">
        <v>11094</v>
      </c>
      <c r="H2694" s="308" t="s">
        <v>11095</v>
      </c>
      <c r="I2694" s="310">
        <v>41161.0</v>
      </c>
      <c r="J2694" s="319">
        <f>IFERROR(__xludf.DUMMYFUNCTION("SPLIT(I2694,""/"")"),9.0)</f>
        <v>9</v>
      </c>
      <c r="K2694" s="308">
        <f>IFERROR(__xludf.DUMMYFUNCTION("""COMPUTED_VALUE"""),9.0)</f>
        <v>9</v>
      </c>
      <c r="L2694" s="308">
        <f>IFERROR(__xludf.DUMMYFUNCTION("""COMPUTED_VALUE"""),2012.0)</f>
        <v>2012</v>
      </c>
      <c r="M2694" s="308" t="s">
        <v>11096</v>
      </c>
      <c r="N2694" s="308" t="s">
        <v>11097</v>
      </c>
      <c r="O2694" s="308" t="s">
        <v>11098</v>
      </c>
      <c r="P2694" s="308" t="s">
        <v>1872</v>
      </c>
      <c r="Q2694" s="308"/>
      <c r="R2694" s="308"/>
      <c r="S2694" s="315" t="s">
        <v>100</v>
      </c>
      <c r="T2694" s="311" t="s">
        <v>34208</v>
      </c>
      <c r="U2694" s="308" t="s">
        <v>530</v>
      </c>
      <c r="V2694" s="312"/>
    </row>
    <row r="2695">
      <c r="A2695" s="308">
        <v>2694.0</v>
      </c>
      <c r="B2695" s="308"/>
      <c r="C2695" s="308" t="s">
        <v>11099</v>
      </c>
      <c r="D2695" s="308">
        <f>IFERROR(__xludf.DUMMYFUNCTION("SPLIT(C2695,""-"")"),2715.0)</f>
        <v>2715</v>
      </c>
      <c r="E2695" s="308" t="str">
        <f>IFERROR(__xludf.DUMMYFUNCTION("""COMPUTED_VALUE""")," K")</f>
        <v> K</v>
      </c>
      <c r="F2695" s="309" t="s">
        <v>34</v>
      </c>
      <c r="G2695" s="308" t="s">
        <v>11094</v>
      </c>
      <c r="H2695" s="308" t="s">
        <v>11100</v>
      </c>
      <c r="I2695" s="310">
        <v>41160.0</v>
      </c>
      <c r="J2695" s="319">
        <f>IFERROR(__xludf.DUMMYFUNCTION("SPLIT(I2695,""/"")"),8.0)</f>
        <v>8</v>
      </c>
      <c r="K2695" s="308">
        <f>IFERROR(__xludf.DUMMYFUNCTION("""COMPUTED_VALUE"""),9.0)</f>
        <v>9</v>
      </c>
      <c r="L2695" s="308">
        <f>IFERROR(__xludf.DUMMYFUNCTION("""COMPUTED_VALUE"""),2012.0)</f>
        <v>2012</v>
      </c>
      <c r="M2695" s="308" t="s">
        <v>11101</v>
      </c>
      <c r="N2695" s="308" t="s">
        <v>11102</v>
      </c>
      <c r="O2695" s="308" t="s">
        <v>11103</v>
      </c>
      <c r="P2695" s="308" t="s">
        <v>1872</v>
      </c>
      <c r="Q2695" s="308"/>
      <c r="R2695" s="308" t="s">
        <v>1496</v>
      </c>
      <c r="S2695" s="315" t="s">
        <v>100</v>
      </c>
      <c r="T2695" s="311" t="s">
        <v>34208</v>
      </c>
      <c r="U2695" s="308" t="s">
        <v>530</v>
      </c>
      <c r="V2695" s="312"/>
    </row>
    <row r="2696">
      <c r="A2696" s="308">
        <v>2695.0</v>
      </c>
      <c r="B2696" s="308"/>
      <c r="C2696" s="308" t="s">
        <v>11104</v>
      </c>
      <c r="D2696" s="308">
        <f>IFERROR(__xludf.DUMMYFUNCTION("SPLIT(C2696,""-"")"),2716.0)</f>
        <v>2716</v>
      </c>
      <c r="E2696" s="308" t="str">
        <f>IFERROR(__xludf.DUMMYFUNCTION("""COMPUTED_VALUE""")," S")</f>
        <v> S</v>
      </c>
      <c r="F2696" s="312" t="s">
        <v>39</v>
      </c>
      <c r="G2696" s="308"/>
      <c r="H2696" s="308" t="s">
        <v>11105</v>
      </c>
      <c r="I2696" s="314">
        <v>41992.0</v>
      </c>
      <c r="J2696" s="319">
        <f>IFERROR(__xludf.DUMMYFUNCTION("SPLIT(I2696,""/"")"),19.0)</f>
        <v>19</v>
      </c>
      <c r="K2696" s="308">
        <f>IFERROR(__xludf.DUMMYFUNCTION("""COMPUTED_VALUE"""),12.0)</f>
        <v>12</v>
      </c>
      <c r="L2696" s="308">
        <f>IFERROR(__xludf.DUMMYFUNCTION("""COMPUTED_VALUE"""),2014.0)</f>
        <v>2014</v>
      </c>
      <c r="M2696" s="308" t="s">
        <v>11106</v>
      </c>
      <c r="N2696" s="308"/>
      <c r="O2696" s="308" t="s">
        <v>11107</v>
      </c>
      <c r="P2696" s="308"/>
      <c r="Q2696" s="308"/>
      <c r="R2696" s="308"/>
      <c r="S2696" s="308" t="s">
        <v>79</v>
      </c>
      <c r="T2696" s="308" t="s">
        <v>79</v>
      </c>
      <c r="U2696" s="308" t="s">
        <v>166</v>
      </c>
      <c r="V2696" s="312"/>
    </row>
    <row r="2697">
      <c r="A2697" s="308">
        <v>2696.0</v>
      </c>
      <c r="B2697" s="308"/>
      <c r="C2697" s="308" t="s">
        <v>11108</v>
      </c>
      <c r="D2697" s="308">
        <f>IFERROR(__xludf.DUMMYFUNCTION("SPLIT(C2697,""-"")"),2717.0)</f>
        <v>2717</v>
      </c>
      <c r="E2697" s="308" t="str">
        <f>IFERROR(__xludf.DUMMYFUNCTION("""COMPUTED_VALUE""")," K")</f>
        <v> K</v>
      </c>
      <c r="F2697" s="309" t="s">
        <v>34</v>
      </c>
      <c r="G2697" s="308"/>
      <c r="H2697" s="308" t="s">
        <v>11109</v>
      </c>
      <c r="I2697" s="310">
        <v>42129.0</v>
      </c>
      <c r="J2697" s="319">
        <f>IFERROR(__xludf.DUMMYFUNCTION("SPLIT(I2697,""/"")"),5.0)</f>
        <v>5</v>
      </c>
      <c r="K2697" s="308">
        <f>IFERROR(__xludf.DUMMYFUNCTION("""COMPUTED_VALUE"""),5.0)</f>
        <v>5</v>
      </c>
      <c r="L2697" s="308">
        <f>IFERROR(__xludf.DUMMYFUNCTION("""COMPUTED_VALUE"""),2015.0)</f>
        <v>2015</v>
      </c>
      <c r="M2697" s="308" t="s">
        <v>11110</v>
      </c>
      <c r="N2697" s="308"/>
      <c r="O2697" s="308" t="s">
        <v>11111</v>
      </c>
      <c r="P2697" s="308" t="s">
        <v>11112</v>
      </c>
      <c r="Q2697" s="308"/>
      <c r="R2697" s="308"/>
      <c r="S2697" s="308" t="s">
        <v>81</v>
      </c>
      <c r="T2697" s="308" t="s">
        <v>75</v>
      </c>
      <c r="U2697" s="308"/>
      <c r="V2697" s="312"/>
    </row>
    <row r="2698">
      <c r="A2698" s="308">
        <v>2697.0</v>
      </c>
      <c r="B2698" s="308"/>
      <c r="C2698" s="308" t="s">
        <v>11113</v>
      </c>
      <c r="D2698" s="308">
        <f>IFERROR(__xludf.DUMMYFUNCTION("SPLIT(C2698,""-"")"),2718.0)</f>
        <v>2718</v>
      </c>
      <c r="E2698" s="308" t="str">
        <f>IFERROR(__xludf.DUMMYFUNCTION("""COMPUTED_VALUE""")," S")</f>
        <v> S</v>
      </c>
      <c r="F2698" s="312" t="s">
        <v>39</v>
      </c>
      <c r="G2698" s="308"/>
      <c r="H2698" s="308" t="s">
        <v>11114</v>
      </c>
      <c r="I2698" s="314">
        <v>41992.0</v>
      </c>
      <c r="J2698" s="319">
        <f>IFERROR(__xludf.DUMMYFUNCTION("SPLIT(I2698,""/"")"),19.0)</f>
        <v>19</v>
      </c>
      <c r="K2698" s="308">
        <f>IFERROR(__xludf.DUMMYFUNCTION("""COMPUTED_VALUE"""),12.0)</f>
        <v>12</v>
      </c>
      <c r="L2698" s="308">
        <f>IFERROR(__xludf.DUMMYFUNCTION("""COMPUTED_VALUE"""),2014.0)</f>
        <v>2014</v>
      </c>
      <c r="M2698" s="308" t="s">
        <v>11115</v>
      </c>
      <c r="N2698" s="308"/>
      <c r="O2698" s="308" t="s">
        <v>635</v>
      </c>
      <c r="P2698" s="308" t="s">
        <v>9535</v>
      </c>
      <c r="Q2698" s="308"/>
      <c r="R2698" s="308"/>
      <c r="S2698" s="308" t="s">
        <v>81</v>
      </c>
      <c r="T2698" s="308" t="s">
        <v>75</v>
      </c>
      <c r="U2698" s="308" t="s">
        <v>166</v>
      </c>
      <c r="V2698" s="312"/>
    </row>
    <row r="2699">
      <c r="A2699" s="308">
        <v>2698.0</v>
      </c>
      <c r="B2699" s="308"/>
      <c r="C2699" s="308" t="s">
        <v>11116</v>
      </c>
      <c r="D2699" s="308">
        <f>IFERROR(__xludf.DUMMYFUNCTION("SPLIT(C2699,""-"")"),2719.0)</f>
        <v>2719</v>
      </c>
      <c r="E2699" s="308" t="str">
        <f>IFERROR(__xludf.DUMMYFUNCTION("""COMPUTED_VALUE""")," K")</f>
        <v> K</v>
      </c>
      <c r="F2699" s="309" t="s">
        <v>34</v>
      </c>
      <c r="G2699" s="308"/>
      <c r="H2699" s="308" t="s">
        <v>11117</v>
      </c>
      <c r="I2699" s="316">
        <v>2014.0</v>
      </c>
      <c r="J2699" s="319"/>
      <c r="K2699" s="308"/>
      <c r="L2699" s="311">
        <v>2014.0</v>
      </c>
      <c r="M2699" s="308" t="s">
        <v>11118</v>
      </c>
      <c r="N2699" s="308"/>
      <c r="O2699" s="308" t="s">
        <v>635</v>
      </c>
      <c r="P2699" s="308" t="s">
        <v>11119</v>
      </c>
      <c r="Q2699" s="308"/>
      <c r="R2699" s="308"/>
      <c r="S2699" s="308" t="s">
        <v>81</v>
      </c>
      <c r="T2699" s="311" t="s">
        <v>75</v>
      </c>
      <c r="U2699" s="308"/>
      <c r="V2699" s="312"/>
    </row>
    <row r="2700">
      <c r="A2700" s="308">
        <v>2699.0</v>
      </c>
      <c r="B2700" s="308"/>
      <c r="C2700" s="308" t="s">
        <v>11120</v>
      </c>
      <c r="D2700" s="308">
        <f>IFERROR(__xludf.DUMMYFUNCTION("SPLIT(C2700,""-"")"),2720.0)</f>
        <v>2720</v>
      </c>
      <c r="E2700" s="308" t="str">
        <f>IFERROR(__xludf.DUMMYFUNCTION("""COMPUTED_VALUE""")," S")</f>
        <v> S</v>
      </c>
      <c r="F2700" s="312" t="s">
        <v>39</v>
      </c>
      <c r="G2700" s="308" t="s">
        <v>11121</v>
      </c>
      <c r="H2700" s="308" t="s">
        <v>11122</v>
      </c>
      <c r="I2700" s="310">
        <v>41765.0</v>
      </c>
      <c r="J2700" s="319">
        <f>IFERROR(__xludf.DUMMYFUNCTION("SPLIT(I2700,""/"")"),6.0)</f>
        <v>6</v>
      </c>
      <c r="K2700" s="308">
        <f>IFERROR(__xludf.DUMMYFUNCTION("""COMPUTED_VALUE"""),5.0)</f>
        <v>5</v>
      </c>
      <c r="L2700" s="308">
        <f>IFERROR(__xludf.DUMMYFUNCTION("""COMPUTED_VALUE"""),2014.0)</f>
        <v>2014</v>
      </c>
      <c r="M2700" s="308" t="s">
        <v>11123</v>
      </c>
      <c r="N2700" s="308"/>
      <c r="O2700" s="308" t="s">
        <v>635</v>
      </c>
      <c r="P2700" s="308" t="s">
        <v>9535</v>
      </c>
      <c r="Q2700" s="308"/>
      <c r="R2700" s="308"/>
      <c r="S2700" s="308" t="s">
        <v>81</v>
      </c>
      <c r="T2700" s="308" t="s">
        <v>75</v>
      </c>
      <c r="U2700" s="308" t="s">
        <v>166</v>
      </c>
      <c r="V2700" s="312"/>
    </row>
    <row r="2701">
      <c r="A2701" s="308">
        <v>2700.0</v>
      </c>
      <c r="B2701" s="308"/>
      <c r="C2701" s="308" t="s">
        <v>11124</v>
      </c>
      <c r="D2701" s="308">
        <f>IFERROR(__xludf.DUMMYFUNCTION("SPLIT(C2701,""-"")"),2721.0)</f>
        <v>2721</v>
      </c>
      <c r="E2701" s="308" t="str">
        <f>IFERROR(__xludf.DUMMYFUNCTION("""COMPUTED_VALUE""")," K")</f>
        <v> K</v>
      </c>
      <c r="F2701" s="309" t="s">
        <v>34</v>
      </c>
      <c r="G2701" s="308"/>
      <c r="H2701" s="308" t="s">
        <v>11125</v>
      </c>
      <c r="I2701" s="314">
        <v>41568.0</v>
      </c>
      <c r="J2701" s="319">
        <f>IFERROR(__xludf.DUMMYFUNCTION("SPLIT(I2701,""/"")"),21.0)</f>
        <v>21</v>
      </c>
      <c r="K2701" s="308">
        <f>IFERROR(__xludf.DUMMYFUNCTION("""COMPUTED_VALUE"""),10.0)</f>
        <v>10</v>
      </c>
      <c r="L2701" s="308">
        <f>IFERROR(__xludf.DUMMYFUNCTION("""COMPUTED_VALUE"""),2013.0)</f>
        <v>2013</v>
      </c>
      <c r="M2701" s="308" t="s">
        <v>11126</v>
      </c>
      <c r="N2701" s="308" t="s">
        <v>11127</v>
      </c>
      <c r="O2701" s="308" t="s">
        <v>11128</v>
      </c>
      <c r="P2701" s="308" t="s">
        <v>4052</v>
      </c>
      <c r="Q2701" s="308"/>
      <c r="R2701" s="308"/>
      <c r="S2701" s="315" t="s">
        <v>100</v>
      </c>
      <c r="T2701" s="311" t="s">
        <v>34208</v>
      </c>
      <c r="U2701" s="308" t="s">
        <v>872</v>
      </c>
      <c r="V2701" s="312"/>
    </row>
    <row r="2702">
      <c r="A2702" s="308">
        <v>2701.0</v>
      </c>
      <c r="B2702" s="308"/>
      <c r="C2702" s="308" t="s">
        <v>11129</v>
      </c>
      <c r="D2702" s="308">
        <f>IFERROR(__xludf.DUMMYFUNCTION("SPLIT(C2702,""-"")"),2722.0)</f>
        <v>2722</v>
      </c>
      <c r="E2702" s="308" t="str">
        <f>IFERROR(__xludf.DUMMYFUNCTION("""COMPUTED_VALUE""")," P")</f>
        <v> P</v>
      </c>
      <c r="F2702" s="312" t="s">
        <v>37</v>
      </c>
      <c r="G2702" s="308"/>
      <c r="H2702" s="308" t="s">
        <v>11130</v>
      </c>
      <c r="I2702" s="310">
        <v>42080.0</v>
      </c>
      <c r="J2702" s="319">
        <f>IFERROR(__xludf.DUMMYFUNCTION("SPLIT(I2702,""/"")"),17.0)</f>
        <v>17</v>
      </c>
      <c r="K2702" s="308">
        <f>IFERROR(__xludf.DUMMYFUNCTION("""COMPUTED_VALUE"""),3.0)</f>
        <v>3</v>
      </c>
      <c r="L2702" s="308">
        <f>IFERROR(__xludf.DUMMYFUNCTION("""COMPUTED_VALUE"""),2015.0)</f>
        <v>2015</v>
      </c>
      <c r="M2702" s="308" t="s">
        <v>11131</v>
      </c>
      <c r="N2702" s="308"/>
      <c r="O2702" s="308" t="s">
        <v>11132</v>
      </c>
      <c r="P2702" s="308" t="s">
        <v>11133</v>
      </c>
      <c r="Q2702" s="308"/>
      <c r="R2702" s="308"/>
      <c r="S2702" s="308" t="s">
        <v>81</v>
      </c>
      <c r="T2702" s="308" t="s">
        <v>73</v>
      </c>
      <c r="U2702" s="308"/>
      <c r="V2702" s="312"/>
    </row>
    <row r="2703">
      <c r="A2703" s="308">
        <v>2702.0</v>
      </c>
      <c r="B2703" s="308"/>
      <c r="C2703" s="308" t="s">
        <v>11134</v>
      </c>
      <c r="D2703" s="308">
        <f>IFERROR(__xludf.DUMMYFUNCTION("SPLIT(C2703,""-"")"),2723.0)</f>
        <v>2723</v>
      </c>
      <c r="E2703" s="308" t="str">
        <f>IFERROR(__xludf.DUMMYFUNCTION("""COMPUTED_VALUE"""),"S")</f>
        <v>S</v>
      </c>
      <c r="F2703" s="312" t="s">
        <v>39</v>
      </c>
      <c r="G2703" s="308"/>
      <c r="H2703" s="308" t="s">
        <v>11135</v>
      </c>
      <c r="I2703" s="310">
        <v>42143.0</v>
      </c>
      <c r="J2703" s="319">
        <f>IFERROR(__xludf.DUMMYFUNCTION("SPLIT(I2703,""/"")"),19.0)</f>
        <v>19</v>
      </c>
      <c r="K2703" s="308">
        <f>IFERROR(__xludf.DUMMYFUNCTION("""COMPUTED_VALUE"""),5.0)</f>
        <v>5</v>
      </c>
      <c r="L2703" s="308">
        <f>IFERROR(__xludf.DUMMYFUNCTION("""COMPUTED_VALUE"""),2015.0)</f>
        <v>2015</v>
      </c>
      <c r="M2703" s="308" t="s">
        <v>11136</v>
      </c>
      <c r="N2703" s="308"/>
      <c r="O2703" s="308"/>
      <c r="P2703" s="308" t="s">
        <v>4045</v>
      </c>
      <c r="Q2703" s="308"/>
      <c r="R2703" s="308"/>
      <c r="S2703" s="308" t="s">
        <v>81</v>
      </c>
      <c r="T2703" s="308" t="s">
        <v>98</v>
      </c>
      <c r="U2703" s="312"/>
      <c r="V2703" s="312"/>
    </row>
    <row r="2704">
      <c r="A2704" s="308">
        <v>2703.0</v>
      </c>
      <c r="B2704" s="308"/>
      <c r="C2704" s="308" t="s">
        <v>11137</v>
      </c>
      <c r="D2704" s="308">
        <f>IFERROR(__xludf.DUMMYFUNCTION("SPLIT(C2704,""-"")"),2724.0)</f>
        <v>2724</v>
      </c>
      <c r="E2704" s="308" t="str">
        <f>IFERROR(__xludf.DUMMYFUNCTION("""COMPUTED_VALUE"""),"S")</f>
        <v>S</v>
      </c>
      <c r="F2704" s="312" t="s">
        <v>39</v>
      </c>
      <c r="G2704" s="308"/>
      <c r="H2704" s="308" t="s">
        <v>11138</v>
      </c>
      <c r="I2704" s="310">
        <v>42134.0</v>
      </c>
      <c r="J2704" s="319">
        <f>IFERROR(__xludf.DUMMYFUNCTION("SPLIT(I2704,""/"")"),10.0)</f>
        <v>10</v>
      </c>
      <c r="K2704" s="308">
        <f>IFERROR(__xludf.DUMMYFUNCTION("""COMPUTED_VALUE"""),5.0)</f>
        <v>5</v>
      </c>
      <c r="L2704" s="308">
        <f>IFERROR(__xludf.DUMMYFUNCTION("""COMPUTED_VALUE"""),2015.0)</f>
        <v>2015</v>
      </c>
      <c r="M2704" s="308" t="s">
        <v>11139</v>
      </c>
      <c r="N2704" s="308"/>
      <c r="O2704" s="308" t="s">
        <v>635</v>
      </c>
      <c r="P2704" s="308" t="s">
        <v>11140</v>
      </c>
      <c r="Q2704" s="308"/>
      <c r="R2704" s="308"/>
      <c r="S2704" s="308" t="s">
        <v>81</v>
      </c>
      <c r="T2704" s="311" t="s">
        <v>94</v>
      </c>
      <c r="U2704" s="308" t="s">
        <v>166</v>
      </c>
      <c r="V2704" s="312"/>
    </row>
    <row r="2705">
      <c r="A2705" s="308">
        <v>2704.0</v>
      </c>
      <c r="B2705" s="308"/>
      <c r="C2705" s="308" t="s">
        <v>11141</v>
      </c>
      <c r="D2705" s="308">
        <f>IFERROR(__xludf.DUMMYFUNCTION("SPLIT(C2705,""-"")"),2725.0)</f>
        <v>2725</v>
      </c>
      <c r="E2705" s="308" t="str">
        <f>IFERROR(__xludf.DUMMYFUNCTION("""COMPUTED_VALUE"""),"S")</f>
        <v>S</v>
      </c>
      <c r="F2705" s="312" t="s">
        <v>39</v>
      </c>
      <c r="G2705" s="308"/>
      <c r="H2705" s="308" t="s">
        <v>11142</v>
      </c>
      <c r="I2705" s="310">
        <v>42131.0</v>
      </c>
      <c r="J2705" s="319">
        <f>IFERROR(__xludf.DUMMYFUNCTION("SPLIT(I2705,""/"")"),7.0)</f>
        <v>7</v>
      </c>
      <c r="K2705" s="308">
        <f>IFERROR(__xludf.DUMMYFUNCTION("""COMPUTED_VALUE"""),5.0)</f>
        <v>5</v>
      </c>
      <c r="L2705" s="308">
        <f>IFERROR(__xludf.DUMMYFUNCTION("""COMPUTED_VALUE"""),2015.0)</f>
        <v>2015</v>
      </c>
      <c r="M2705" s="308" t="s">
        <v>11143</v>
      </c>
      <c r="N2705" s="308"/>
      <c r="O2705" s="308" t="s">
        <v>635</v>
      </c>
      <c r="P2705" s="308" t="s">
        <v>11144</v>
      </c>
      <c r="Q2705" s="308"/>
      <c r="R2705" s="308"/>
      <c r="S2705" s="308" t="s">
        <v>81</v>
      </c>
      <c r="T2705" s="311" t="s">
        <v>73</v>
      </c>
      <c r="U2705" s="308" t="s">
        <v>166</v>
      </c>
      <c r="V2705" s="312"/>
    </row>
    <row r="2706">
      <c r="A2706" s="308">
        <v>2705.0</v>
      </c>
      <c r="B2706" s="308"/>
      <c r="C2706" s="308" t="s">
        <v>11145</v>
      </c>
      <c r="D2706" s="308">
        <f>IFERROR(__xludf.DUMMYFUNCTION("SPLIT(C2706,""-"")"),2726.0)</f>
        <v>2726</v>
      </c>
      <c r="E2706" s="308" t="str">
        <f>IFERROR(__xludf.DUMMYFUNCTION("""COMPUTED_VALUE"""),"S")</f>
        <v>S</v>
      </c>
      <c r="F2706" s="312" t="s">
        <v>39</v>
      </c>
      <c r="G2706" s="308"/>
      <c r="H2706" s="308" t="s">
        <v>11146</v>
      </c>
      <c r="I2706" s="310">
        <v>42130.0</v>
      </c>
      <c r="J2706" s="319">
        <f>IFERROR(__xludf.DUMMYFUNCTION("SPLIT(I2706,""/"")"),6.0)</f>
        <v>6</v>
      </c>
      <c r="K2706" s="308">
        <f>IFERROR(__xludf.DUMMYFUNCTION("""COMPUTED_VALUE"""),5.0)</f>
        <v>5</v>
      </c>
      <c r="L2706" s="308">
        <f>IFERROR(__xludf.DUMMYFUNCTION("""COMPUTED_VALUE"""),2015.0)</f>
        <v>2015</v>
      </c>
      <c r="M2706" s="308" t="s">
        <v>11147</v>
      </c>
      <c r="N2706" s="308"/>
      <c r="O2706" s="308" t="s">
        <v>11148</v>
      </c>
      <c r="P2706" s="308" t="s">
        <v>9979</v>
      </c>
      <c r="Q2706" s="308"/>
      <c r="R2706" s="308" t="s">
        <v>11149</v>
      </c>
      <c r="S2706" s="315" t="s">
        <v>100</v>
      </c>
      <c r="T2706" s="311" t="s">
        <v>34208</v>
      </c>
      <c r="U2706" s="308" t="s">
        <v>166</v>
      </c>
      <c r="V2706" s="312"/>
    </row>
    <row r="2707">
      <c r="A2707" s="308">
        <v>2706.0</v>
      </c>
      <c r="B2707" s="308"/>
      <c r="C2707" s="308" t="s">
        <v>11150</v>
      </c>
      <c r="D2707" s="308">
        <f>IFERROR(__xludf.DUMMYFUNCTION("SPLIT(C2707,""-"")"),2727.0)</f>
        <v>2727</v>
      </c>
      <c r="E2707" s="308" t="str">
        <f>IFERROR(__xludf.DUMMYFUNCTION("""COMPUTED_VALUE"""),"S")</f>
        <v>S</v>
      </c>
      <c r="F2707" s="312" t="s">
        <v>39</v>
      </c>
      <c r="G2707" s="308"/>
      <c r="H2707" s="308" t="s">
        <v>11151</v>
      </c>
      <c r="I2707" s="310">
        <v>41705.0</v>
      </c>
      <c r="J2707" s="319">
        <f>IFERROR(__xludf.DUMMYFUNCTION("SPLIT(I2707,""/"")"),7.0)</f>
        <v>7</v>
      </c>
      <c r="K2707" s="308">
        <f>IFERROR(__xludf.DUMMYFUNCTION("""COMPUTED_VALUE"""),3.0)</f>
        <v>3</v>
      </c>
      <c r="L2707" s="308">
        <f>IFERROR(__xludf.DUMMYFUNCTION("""COMPUTED_VALUE"""),2014.0)</f>
        <v>2014</v>
      </c>
      <c r="M2707" s="308" t="s">
        <v>11152</v>
      </c>
      <c r="N2707" s="308"/>
      <c r="O2707" s="308" t="s">
        <v>11153</v>
      </c>
      <c r="P2707" s="308" t="s">
        <v>2774</v>
      </c>
      <c r="Q2707" s="308"/>
      <c r="R2707" s="308"/>
      <c r="S2707" s="308" t="s">
        <v>49</v>
      </c>
      <c r="T2707" s="308" t="s">
        <v>51</v>
      </c>
      <c r="U2707" s="312"/>
      <c r="V2707" s="312"/>
    </row>
    <row r="2708">
      <c r="A2708" s="308">
        <v>2707.0</v>
      </c>
      <c r="B2708" s="308"/>
      <c r="C2708" s="308" t="s">
        <v>11154</v>
      </c>
      <c r="D2708" s="308">
        <f>IFERROR(__xludf.DUMMYFUNCTION("SPLIT(C2708,""-"")"),2728.0)</f>
        <v>2728</v>
      </c>
      <c r="E2708" s="308" t="str">
        <f>IFERROR(__xludf.DUMMYFUNCTION("""COMPUTED_VALUE"""),"K")</f>
        <v>K</v>
      </c>
      <c r="F2708" s="309" t="s">
        <v>34</v>
      </c>
      <c r="G2708" s="308"/>
      <c r="H2708" s="308" t="s">
        <v>11155</v>
      </c>
      <c r="I2708" s="310">
        <v>40969.0</v>
      </c>
      <c r="J2708" s="319">
        <f>IFERROR(__xludf.DUMMYFUNCTION("SPLIT(I2708,""/"")"),1.0)</f>
        <v>1</v>
      </c>
      <c r="K2708" s="308">
        <f>IFERROR(__xludf.DUMMYFUNCTION("""COMPUTED_VALUE"""),3.0)</f>
        <v>3</v>
      </c>
      <c r="L2708" s="308">
        <f>IFERROR(__xludf.DUMMYFUNCTION("""COMPUTED_VALUE"""),2012.0)</f>
        <v>2012</v>
      </c>
      <c r="M2708" s="308" t="s">
        <v>11156</v>
      </c>
      <c r="N2708" s="308"/>
      <c r="O2708" s="308" t="s">
        <v>11157</v>
      </c>
      <c r="P2708" s="308" t="s">
        <v>36745</v>
      </c>
      <c r="Q2708" s="308"/>
      <c r="R2708" s="308"/>
      <c r="S2708" s="308" t="s">
        <v>49</v>
      </c>
      <c r="T2708" s="311" t="s">
        <v>51</v>
      </c>
      <c r="U2708" s="308" t="s">
        <v>368</v>
      </c>
      <c r="V2708" s="312"/>
    </row>
    <row r="2709">
      <c r="A2709" s="308">
        <v>2708.0</v>
      </c>
      <c r="B2709" s="308"/>
      <c r="C2709" s="308" t="s">
        <v>11159</v>
      </c>
      <c r="D2709" s="308">
        <f>IFERROR(__xludf.DUMMYFUNCTION("SPLIT(C2709,""-"")"),2729.0)</f>
        <v>2729</v>
      </c>
      <c r="E2709" s="308" t="str">
        <f>IFERROR(__xludf.DUMMYFUNCTION("""COMPUTED_VALUE"""),"K")</f>
        <v>K</v>
      </c>
      <c r="F2709" s="309" t="s">
        <v>34</v>
      </c>
      <c r="G2709" s="308"/>
      <c r="H2709" s="308" t="s">
        <v>11160</v>
      </c>
      <c r="I2709" s="310">
        <v>42159.0</v>
      </c>
      <c r="J2709" s="319">
        <f>IFERROR(__xludf.DUMMYFUNCTION("SPLIT(I2709,""/"")"),4.0)</f>
        <v>4</v>
      </c>
      <c r="K2709" s="308">
        <f>IFERROR(__xludf.DUMMYFUNCTION("""COMPUTED_VALUE"""),6.0)</f>
        <v>6</v>
      </c>
      <c r="L2709" s="308">
        <f>IFERROR(__xludf.DUMMYFUNCTION("""COMPUTED_VALUE"""),2015.0)</f>
        <v>2015</v>
      </c>
      <c r="M2709" s="308" t="s">
        <v>11161</v>
      </c>
      <c r="N2709" s="308"/>
      <c r="O2709" s="308" t="s">
        <v>11162</v>
      </c>
      <c r="P2709" s="308" t="s">
        <v>11163</v>
      </c>
      <c r="Q2709" s="308"/>
      <c r="R2709" s="308"/>
      <c r="S2709" s="308" t="s">
        <v>81</v>
      </c>
      <c r="T2709" s="308" t="s">
        <v>75</v>
      </c>
      <c r="U2709" s="308"/>
      <c r="V2709" s="312"/>
    </row>
    <row r="2710">
      <c r="A2710" s="308">
        <v>2709.0</v>
      </c>
      <c r="B2710" s="308"/>
      <c r="C2710" s="308" t="s">
        <v>11164</v>
      </c>
      <c r="D2710" s="308">
        <f>IFERROR(__xludf.DUMMYFUNCTION("SPLIT(C2710,""-"")"),2730.0)</f>
        <v>2730</v>
      </c>
      <c r="E2710" s="308" t="str">
        <f>IFERROR(__xludf.DUMMYFUNCTION("""COMPUTED_VALUE"""),"K")</f>
        <v>K</v>
      </c>
      <c r="F2710" s="309" t="s">
        <v>34</v>
      </c>
      <c r="G2710" s="308"/>
      <c r="H2710" s="308" t="s">
        <v>11165</v>
      </c>
      <c r="I2710" s="316">
        <v>2009.0</v>
      </c>
      <c r="J2710" s="319"/>
      <c r="K2710" s="308"/>
      <c r="L2710" s="311">
        <v>2009.0</v>
      </c>
      <c r="M2710" s="308" t="s">
        <v>11166</v>
      </c>
      <c r="N2710" s="308"/>
      <c r="O2710" s="308" t="s">
        <v>11167</v>
      </c>
      <c r="P2710" s="308" t="s">
        <v>11168</v>
      </c>
      <c r="Q2710" s="308"/>
      <c r="R2710" s="308"/>
      <c r="S2710" s="308" t="s">
        <v>81</v>
      </c>
      <c r="T2710" s="308" t="s">
        <v>34264</v>
      </c>
      <c r="U2710" s="308"/>
      <c r="V2710" s="312"/>
    </row>
    <row r="2711">
      <c r="A2711" s="308">
        <v>2710.0</v>
      </c>
      <c r="B2711" s="308"/>
      <c r="C2711" s="308" t="s">
        <v>11169</v>
      </c>
      <c r="D2711" s="308">
        <f>IFERROR(__xludf.DUMMYFUNCTION("SPLIT(C2711,""-"")"),2731.0)</f>
        <v>2731</v>
      </c>
      <c r="E2711" s="308" t="str">
        <f>IFERROR(__xludf.DUMMYFUNCTION("""COMPUTED_VALUE"""),"S")</f>
        <v>S</v>
      </c>
      <c r="F2711" s="312" t="s">
        <v>39</v>
      </c>
      <c r="G2711" s="308"/>
      <c r="H2711" s="308" t="s">
        <v>11170</v>
      </c>
      <c r="I2711" s="316">
        <v>2009.0</v>
      </c>
      <c r="J2711" s="319"/>
      <c r="K2711" s="308"/>
      <c r="L2711" s="311">
        <v>2009.0</v>
      </c>
      <c r="M2711" s="308" t="s">
        <v>36746</v>
      </c>
      <c r="N2711" s="308"/>
      <c r="O2711" s="308" t="s">
        <v>11172</v>
      </c>
      <c r="P2711" s="308" t="s">
        <v>36747</v>
      </c>
      <c r="Q2711" s="308"/>
      <c r="R2711" s="308"/>
      <c r="S2711" s="308" t="s">
        <v>49</v>
      </c>
      <c r="T2711" s="308" t="s">
        <v>70</v>
      </c>
      <c r="U2711" s="308" t="s">
        <v>166</v>
      </c>
      <c r="V2711" s="312"/>
    </row>
    <row r="2712">
      <c r="A2712" s="308">
        <v>2711.0</v>
      </c>
      <c r="B2712" s="308"/>
      <c r="C2712" s="308" t="s">
        <v>11174</v>
      </c>
      <c r="D2712" s="308">
        <f>IFERROR(__xludf.DUMMYFUNCTION("SPLIT(C2712,""-"")"),2732.0)</f>
        <v>2732</v>
      </c>
      <c r="E2712" s="308" t="str">
        <f>IFERROR(__xludf.DUMMYFUNCTION("""COMPUTED_VALUE"""),"F")</f>
        <v>F</v>
      </c>
      <c r="F2712" s="309" t="s">
        <v>34</v>
      </c>
      <c r="G2712" s="308"/>
      <c r="H2712" s="308" t="s">
        <v>11175</v>
      </c>
      <c r="I2712" s="314">
        <v>41256.0</v>
      </c>
      <c r="J2712" s="319">
        <f>IFERROR(__xludf.DUMMYFUNCTION("SPLIT(I2712,""/"")"),13.0)</f>
        <v>13</v>
      </c>
      <c r="K2712" s="308">
        <f>IFERROR(__xludf.DUMMYFUNCTION("""COMPUTED_VALUE"""),12.0)</f>
        <v>12</v>
      </c>
      <c r="L2712" s="308">
        <f>IFERROR(__xludf.DUMMYFUNCTION("""COMPUTED_VALUE"""),2012.0)</f>
        <v>2012</v>
      </c>
      <c r="M2712" s="308" t="s">
        <v>11176</v>
      </c>
      <c r="N2712" s="308"/>
      <c r="O2712" s="308" t="s">
        <v>635</v>
      </c>
      <c r="P2712" s="308" t="s">
        <v>11177</v>
      </c>
      <c r="Q2712" s="308"/>
      <c r="R2712" s="308"/>
      <c r="S2712" s="308" t="s">
        <v>81</v>
      </c>
      <c r="T2712" s="308" t="s">
        <v>34264</v>
      </c>
      <c r="U2712" s="308" t="s">
        <v>195</v>
      </c>
      <c r="V2712" s="312"/>
    </row>
    <row r="2713">
      <c r="A2713" s="308">
        <v>2712.0</v>
      </c>
      <c r="B2713" s="308"/>
      <c r="C2713" s="308" t="s">
        <v>11178</v>
      </c>
      <c r="D2713" s="308">
        <f>IFERROR(__xludf.DUMMYFUNCTION("SPLIT(C2713,""-"")"),2733.0)</f>
        <v>2733</v>
      </c>
      <c r="E2713" s="308" t="str">
        <f>IFERROR(__xludf.DUMMYFUNCTION("""COMPUTED_VALUE"""),"P")</f>
        <v>P</v>
      </c>
      <c r="F2713" s="312" t="s">
        <v>37</v>
      </c>
      <c r="G2713" s="308"/>
      <c r="H2713" s="308" t="s">
        <v>11179</v>
      </c>
      <c r="I2713" s="310">
        <v>42234.0</v>
      </c>
      <c r="J2713" s="319">
        <f>IFERROR(__xludf.DUMMYFUNCTION("SPLIT(I2713,""/"")"),18.0)</f>
        <v>18</v>
      </c>
      <c r="K2713" s="308">
        <f>IFERROR(__xludf.DUMMYFUNCTION("""COMPUTED_VALUE"""),8.0)</f>
        <v>8</v>
      </c>
      <c r="L2713" s="308">
        <f>IFERROR(__xludf.DUMMYFUNCTION("""COMPUTED_VALUE"""),2015.0)</f>
        <v>2015</v>
      </c>
      <c r="M2713" s="308" t="s">
        <v>11180</v>
      </c>
      <c r="N2713" s="308"/>
      <c r="O2713" s="308" t="s">
        <v>36748</v>
      </c>
      <c r="P2713" s="308" t="s">
        <v>36749</v>
      </c>
      <c r="Q2713" s="308"/>
      <c r="R2713" s="308"/>
      <c r="S2713" s="308" t="s">
        <v>81</v>
      </c>
      <c r="T2713" s="308" t="s">
        <v>75</v>
      </c>
      <c r="U2713" s="308" t="s">
        <v>149</v>
      </c>
      <c r="V2713" s="312"/>
    </row>
    <row r="2714">
      <c r="A2714" s="308">
        <v>2713.0</v>
      </c>
      <c r="B2714" s="308"/>
      <c r="C2714" s="308" t="s">
        <v>11183</v>
      </c>
      <c r="D2714" s="308">
        <f>IFERROR(__xludf.DUMMYFUNCTION("SPLIT(C2714,""-"")"),2734.0)</f>
        <v>2734</v>
      </c>
      <c r="E2714" s="308" t="str">
        <f>IFERROR(__xludf.DUMMYFUNCTION("""COMPUTED_VALUE"""),"k")</f>
        <v>k</v>
      </c>
      <c r="F2714" s="309" t="s">
        <v>34</v>
      </c>
      <c r="G2714" s="308"/>
      <c r="H2714" s="308" t="s">
        <v>11184</v>
      </c>
      <c r="I2714" s="310">
        <v>42049.0</v>
      </c>
      <c r="J2714" s="319">
        <f>IFERROR(__xludf.DUMMYFUNCTION("SPLIT(I2714,""/"")"),14.0)</f>
        <v>14</v>
      </c>
      <c r="K2714" s="308">
        <f>IFERROR(__xludf.DUMMYFUNCTION("""COMPUTED_VALUE"""),2.0)</f>
        <v>2</v>
      </c>
      <c r="L2714" s="308">
        <f>IFERROR(__xludf.DUMMYFUNCTION("""COMPUTED_VALUE"""),2015.0)</f>
        <v>2015</v>
      </c>
      <c r="M2714" s="308" t="s">
        <v>11185</v>
      </c>
      <c r="N2714" s="308"/>
      <c r="O2714" s="308" t="s">
        <v>11186</v>
      </c>
      <c r="P2714" s="308" t="s">
        <v>11187</v>
      </c>
      <c r="Q2714" s="308"/>
      <c r="R2714" s="308"/>
      <c r="S2714" s="308" t="s">
        <v>81</v>
      </c>
      <c r="T2714" s="308" t="s">
        <v>75</v>
      </c>
      <c r="U2714" s="308"/>
      <c r="V2714" s="312"/>
    </row>
    <row r="2715">
      <c r="A2715" s="308">
        <v>2714.0</v>
      </c>
      <c r="B2715" s="308"/>
      <c r="C2715" s="308" t="s">
        <v>11188</v>
      </c>
      <c r="D2715" s="308">
        <f>IFERROR(__xludf.DUMMYFUNCTION("SPLIT(C2715,""-"")"),2735.0)</f>
        <v>2735</v>
      </c>
      <c r="E2715" s="308" t="str">
        <f>IFERROR(__xludf.DUMMYFUNCTION("""COMPUTED_VALUE"""),"K")</f>
        <v>K</v>
      </c>
      <c r="F2715" s="309" t="s">
        <v>34</v>
      </c>
      <c r="G2715" s="308"/>
      <c r="H2715" s="308" t="s">
        <v>11189</v>
      </c>
      <c r="I2715" s="310">
        <v>41397.0</v>
      </c>
      <c r="J2715" s="319">
        <f>IFERROR(__xludf.DUMMYFUNCTION("SPLIT(I2715,""/"")"),3.0)</f>
        <v>3</v>
      </c>
      <c r="K2715" s="308">
        <f>IFERROR(__xludf.DUMMYFUNCTION("""COMPUTED_VALUE"""),5.0)</f>
        <v>5</v>
      </c>
      <c r="L2715" s="308">
        <f>IFERROR(__xludf.DUMMYFUNCTION("""COMPUTED_VALUE"""),2013.0)</f>
        <v>2013</v>
      </c>
      <c r="M2715" s="308" t="s">
        <v>11190</v>
      </c>
      <c r="N2715" s="308" t="s">
        <v>36750</v>
      </c>
      <c r="O2715" s="308" t="s">
        <v>11192</v>
      </c>
      <c r="P2715" s="308" t="s">
        <v>2872</v>
      </c>
      <c r="Q2715" s="308"/>
      <c r="R2715" s="308" t="s">
        <v>11193</v>
      </c>
      <c r="S2715" s="315" t="s">
        <v>100</v>
      </c>
      <c r="T2715" s="311" t="s">
        <v>34208</v>
      </c>
      <c r="U2715" s="308" t="s">
        <v>125</v>
      </c>
      <c r="V2715" s="312"/>
    </row>
    <row r="2716">
      <c r="A2716" s="308">
        <v>2715.0</v>
      </c>
      <c r="B2716" s="308"/>
      <c r="C2716" s="308" t="s">
        <v>11194</v>
      </c>
      <c r="D2716" s="308">
        <f>IFERROR(__xludf.DUMMYFUNCTION("SPLIT(C2716,""-"")"),2736.0)</f>
        <v>2736</v>
      </c>
      <c r="E2716" s="308" t="str">
        <f>IFERROR(__xludf.DUMMYFUNCTION("""COMPUTED_VALUE"""),"F")</f>
        <v>F</v>
      </c>
      <c r="F2716" s="309" t="s">
        <v>34</v>
      </c>
      <c r="G2716" s="308"/>
      <c r="H2716" s="308" t="s">
        <v>11195</v>
      </c>
      <c r="I2716" s="310">
        <v>41910.0</v>
      </c>
      <c r="J2716" s="319">
        <f>IFERROR(__xludf.DUMMYFUNCTION("SPLIT(I2716,""/"")"),28.0)</f>
        <v>28</v>
      </c>
      <c r="K2716" s="308">
        <f>IFERROR(__xludf.DUMMYFUNCTION("""COMPUTED_VALUE"""),9.0)</f>
        <v>9</v>
      </c>
      <c r="L2716" s="308">
        <f>IFERROR(__xludf.DUMMYFUNCTION("""COMPUTED_VALUE"""),2014.0)</f>
        <v>2014</v>
      </c>
      <c r="M2716" s="308" t="s">
        <v>11196</v>
      </c>
      <c r="N2716" s="308" t="s">
        <v>11197</v>
      </c>
      <c r="O2716" s="308" t="s">
        <v>635</v>
      </c>
      <c r="P2716" s="308" t="s">
        <v>2381</v>
      </c>
      <c r="Q2716" s="308"/>
      <c r="R2716" s="308" t="s">
        <v>11198</v>
      </c>
      <c r="S2716" s="315" t="s">
        <v>100</v>
      </c>
      <c r="T2716" s="311" t="s">
        <v>34208</v>
      </c>
      <c r="U2716" s="308" t="s">
        <v>6875</v>
      </c>
      <c r="V2716" s="312"/>
    </row>
    <row r="2717">
      <c r="A2717" s="308">
        <v>2716.0</v>
      </c>
      <c r="B2717" s="308"/>
      <c r="C2717" s="308" t="s">
        <v>11199</v>
      </c>
      <c r="D2717" s="308">
        <f>IFERROR(__xludf.DUMMYFUNCTION("SPLIT(C2717,""-"")"),2737.0)</f>
        <v>2737</v>
      </c>
      <c r="E2717" s="311" t="str">
        <f>IFERROR(__xludf.DUMMYFUNCTION("""COMPUTED_VALUE"""),"K 089 Same")</f>
        <v>K 089 Same</v>
      </c>
      <c r="F2717" s="309" t="s">
        <v>34</v>
      </c>
      <c r="G2717" s="308"/>
      <c r="H2717" s="308" t="s">
        <v>11200</v>
      </c>
      <c r="I2717" s="310">
        <v>40081.0</v>
      </c>
      <c r="J2717" s="319">
        <f>IFERROR(__xludf.DUMMYFUNCTION("SPLIT(I2717,""/"")"),25.0)</f>
        <v>25</v>
      </c>
      <c r="K2717" s="308">
        <f>IFERROR(__xludf.DUMMYFUNCTION("""COMPUTED_VALUE"""),9.0)</f>
        <v>9</v>
      </c>
      <c r="L2717" s="308">
        <f>IFERROR(__xludf.DUMMYFUNCTION("""COMPUTED_VALUE"""),2009.0)</f>
        <v>2009</v>
      </c>
      <c r="M2717" s="308" t="s">
        <v>11201</v>
      </c>
      <c r="N2717" s="308"/>
      <c r="O2717" s="308" t="s">
        <v>11202</v>
      </c>
      <c r="P2717" s="308" t="s">
        <v>2872</v>
      </c>
      <c r="Q2717" s="308"/>
      <c r="R2717" s="308"/>
      <c r="S2717" s="315" t="s">
        <v>100</v>
      </c>
      <c r="T2717" s="311" t="s">
        <v>34208</v>
      </c>
      <c r="U2717" s="308" t="s">
        <v>125</v>
      </c>
      <c r="V2717" s="312"/>
    </row>
    <row r="2718">
      <c r="A2718" s="308">
        <v>2717.0</v>
      </c>
      <c r="B2718" s="308"/>
      <c r="C2718" s="308" t="s">
        <v>11203</v>
      </c>
      <c r="D2718" s="308">
        <f>IFERROR(__xludf.DUMMYFUNCTION("SPLIT(C2718,""-"")"),2738.0)</f>
        <v>2738</v>
      </c>
      <c r="E2718" s="308" t="str">
        <f>IFERROR(__xludf.DUMMYFUNCTION("""COMPUTED_VALUE"""),"S")</f>
        <v>S</v>
      </c>
      <c r="F2718" s="312" t="s">
        <v>39</v>
      </c>
      <c r="G2718" s="308"/>
      <c r="H2718" s="308" t="s">
        <v>11204</v>
      </c>
      <c r="I2718" s="310">
        <v>41439.0</v>
      </c>
      <c r="J2718" s="319">
        <f>IFERROR(__xludf.DUMMYFUNCTION("SPLIT(I2718,""/"")"),14.0)</f>
        <v>14</v>
      </c>
      <c r="K2718" s="308">
        <f>IFERROR(__xludf.DUMMYFUNCTION("""COMPUTED_VALUE"""),6.0)</f>
        <v>6</v>
      </c>
      <c r="L2718" s="308">
        <f>IFERROR(__xludf.DUMMYFUNCTION("""COMPUTED_VALUE"""),2013.0)</f>
        <v>2013</v>
      </c>
      <c r="M2718" s="308" t="s">
        <v>11205</v>
      </c>
      <c r="N2718" s="308"/>
      <c r="O2718" s="308" t="s">
        <v>11206</v>
      </c>
      <c r="P2718" s="308" t="s">
        <v>36751</v>
      </c>
      <c r="Q2718" s="308"/>
      <c r="R2718" s="308"/>
      <c r="S2718" s="308" t="s">
        <v>49</v>
      </c>
      <c r="T2718" s="308" t="s">
        <v>70</v>
      </c>
      <c r="U2718" s="308" t="s">
        <v>166</v>
      </c>
      <c r="V2718" s="312"/>
    </row>
    <row r="2719">
      <c r="A2719" s="308">
        <v>2718.0</v>
      </c>
      <c r="B2719" s="308"/>
      <c r="C2719" s="308" t="s">
        <v>11208</v>
      </c>
      <c r="D2719" s="308">
        <f>IFERROR(__xludf.DUMMYFUNCTION("SPLIT(C2719,""-"")"),2739.0)</f>
        <v>2739</v>
      </c>
      <c r="E2719" s="308" t="str">
        <f>IFERROR(__xludf.DUMMYFUNCTION("""COMPUTED_VALUE"""),"S")</f>
        <v>S</v>
      </c>
      <c r="F2719" s="312" t="s">
        <v>39</v>
      </c>
      <c r="G2719" s="308"/>
      <c r="H2719" s="308" t="s">
        <v>11209</v>
      </c>
      <c r="I2719" s="310">
        <v>42157.0</v>
      </c>
      <c r="J2719" s="319">
        <f>IFERROR(__xludf.DUMMYFUNCTION("SPLIT(I2719,""/"")"),2.0)</f>
        <v>2</v>
      </c>
      <c r="K2719" s="308">
        <f>IFERROR(__xludf.DUMMYFUNCTION("""COMPUTED_VALUE"""),6.0)</f>
        <v>6</v>
      </c>
      <c r="L2719" s="308">
        <f>IFERROR(__xludf.DUMMYFUNCTION("""COMPUTED_VALUE"""),2015.0)</f>
        <v>2015</v>
      </c>
      <c r="M2719" s="308" t="s">
        <v>11210</v>
      </c>
      <c r="N2719" s="308"/>
      <c r="O2719" s="308" t="s">
        <v>635</v>
      </c>
      <c r="P2719" s="308" t="s">
        <v>9535</v>
      </c>
      <c r="Q2719" s="308"/>
      <c r="R2719" s="308"/>
      <c r="S2719" s="308" t="s">
        <v>81</v>
      </c>
      <c r="T2719" s="308" t="s">
        <v>75</v>
      </c>
      <c r="U2719" s="308" t="s">
        <v>166</v>
      </c>
      <c r="V2719" s="312"/>
    </row>
    <row r="2720">
      <c r="A2720" s="308">
        <v>2719.0</v>
      </c>
      <c r="B2720" s="308"/>
      <c r="C2720" s="308" t="s">
        <v>11211</v>
      </c>
      <c r="D2720" s="308">
        <f>IFERROR(__xludf.DUMMYFUNCTION("SPLIT(C2720,""-"")"),2740.0)</f>
        <v>2740</v>
      </c>
      <c r="E2720" s="308" t="str">
        <f>IFERROR(__xludf.DUMMYFUNCTION("""COMPUTED_VALUE"""),"S")</f>
        <v>S</v>
      </c>
      <c r="F2720" s="312" t="s">
        <v>39</v>
      </c>
      <c r="G2720" s="308"/>
      <c r="H2720" s="308" t="s">
        <v>11212</v>
      </c>
      <c r="I2720" s="310">
        <v>42129.0</v>
      </c>
      <c r="J2720" s="319">
        <f>IFERROR(__xludf.DUMMYFUNCTION("SPLIT(I2720,""/"")"),5.0)</f>
        <v>5</v>
      </c>
      <c r="K2720" s="308">
        <f>IFERROR(__xludf.DUMMYFUNCTION("""COMPUTED_VALUE"""),5.0)</f>
        <v>5</v>
      </c>
      <c r="L2720" s="308">
        <f>IFERROR(__xludf.DUMMYFUNCTION("""COMPUTED_VALUE"""),2015.0)</f>
        <v>2015</v>
      </c>
      <c r="M2720" s="308" t="s">
        <v>11213</v>
      </c>
      <c r="N2720" s="308"/>
      <c r="O2720" s="308" t="s">
        <v>635</v>
      </c>
      <c r="P2720" s="308" t="s">
        <v>9535</v>
      </c>
      <c r="Q2720" s="308"/>
      <c r="R2720" s="308"/>
      <c r="S2720" s="308" t="s">
        <v>81</v>
      </c>
      <c r="T2720" s="308" t="s">
        <v>75</v>
      </c>
      <c r="U2720" s="308" t="s">
        <v>166</v>
      </c>
      <c r="V2720" s="312"/>
    </row>
    <row r="2721">
      <c r="A2721" s="308">
        <v>2720.0</v>
      </c>
      <c r="B2721" s="308"/>
      <c r="C2721" s="308" t="s">
        <v>11214</v>
      </c>
      <c r="D2721" s="308">
        <f>IFERROR(__xludf.DUMMYFUNCTION("SPLIT(C2721,""-"")"),2741.0)</f>
        <v>2741</v>
      </c>
      <c r="E2721" s="308" t="str">
        <f>IFERROR(__xludf.DUMMYFUNCTION("""COMPUTED_VALUE"""),"S")</f>
        <v>S</v>
      </c>
      <c r="F2721" s="312" t="s">
        <v>39</v>
      </c>
      <c r="G2721" s="308"/>
      <c r="H2721" s="308" t="s">
        <v>11215</v>
      </c>
      <c r="I2721" s="310">
        <v>42147.0</v>
      </c>
      <c r="J2721" s="319">
        <f>IFERROR(__xludf.DUMMYFUNCTION("SPLIT(I2721,""/"")"),23.0)</f>
        <v>23</v>
      </c>
      <c r="K2721" s="308">
        <f>IFERROR(__xludf.DUMMYFUNCTION("""COMPUTED_VALUE"""),5.0)</f>
        <v>5</v>
      </c>
      <c r="L2721" s="308">
        <f>IFERROR(__xludf.DUMMYFUNCTION("""COMPUTED_VALUE"""),2015.0)</f>
        <v>2015</v>
      </c>
      <c r="M2721" s="308" t="s">
        <v>11216</v>
      </c>
      <c r="N2721" s="308"/>
      <c r="O2721" s="308" t="s">
        <v>635</v>
      </c>
      <c r="P2721" s="308" t="s">
        <v>11217</v>
      </c>
      <c r="Q2721" s="308"/>
      <c r="R2721" s="308"/>
      <c r="S2721" s="308" t="s">
        <v>81</v>
      </c>
      <c r="T2721" s="311" t="s">
        <v>94</v>
      </c>
      <c r="U2721" s="308" t="s">
        <v>166</v>
      </c>
      <c r="V2721" s="312"/>
    </row>
    <row r="2722">
      <c r="A2722" s="308">
        <v>2721.0</v>
      </c>
      <c r="B2722" s="308"/>
      <c r="C2722" s="308" t="s">
        <v>11218</v>
      </c>
      <c r="D2722" s="308">
        <f>IFERROR(__xludf.DUMMYFUNCTION("SPLIT(C2722,""-"")"),2742.0)</f>
        <v>2742</v>
      </c>
      <c r="E2722" s="308" t="str">
        <f>IFERROR(__xludf.DUMMYFUNCTION("""COMPUTED_VALUE"""),"S")</f>
        <v>S</v>
      </c>
      <c r="F2722" s="312" t="s">
        <v>39</v>
      </c>
      <c r="G2722" s="308"/>
      <c r="H2722" s="308" t="s">
        <v>11219</v>
      </c>
      <c r="I2722" s="310">
        <v>42149.0</v>
      </c>
      <c r="J2722" s="319">
        <f>IFERROR(__xludf.DUMMYFUNCTION("SPLIT(I2722,""/"")"),25.0)</f>
        <v>25</v>
      </c>
      <c r="K2722" s="308">
        <f>IFERROR(__xludf.DUMMYFUNCTION("""COMPUTED_VALUE"""),5.0)</f>
        <v>5</v>
      </c>
      <c r="L2722" s="308">
        <f>IFERROR(__xludf.DUMMYFUNCTION("""COMPUTED_VALUE"""),2015.0)</f>
        <v>2015</v>
      </c>
      <c r="M2722" s="308" t="s">
        <v>11220</v>
      </c>
      <c r="N2722" s="308"/>
      <c r="O2722" s="308" t="s">
        <v>11221</v>
      </c>
      <c r="P2722" s="308"/>
      <c r="Q2722" s="308"/>
      <c r="R2722" s="308"/>
      <c r="S2722" s="308" t="s">
        <v>79</v>
      </c>
      <c r="T2722" s="308" t="s">
        <v>79</v>
      </c>
      <c r="U2722" s="308" t="s">
        <v>166</v>
      </c>
      <c r="V2722" s="312"/>
    </row>
    <row r="2723">
      <c r="A2723" s="308">
        <v>2722.0</v>
      </c>
      <c r="B2723" s="308"/>
      <c r="C2723" s="308" t="s">
        <v>11222</v>
      </c>
      <c r="D2723" s="308">
        <f>IFERROR(__xludf.DUMMYFUNCTION("SPLIT(C2723,""-"")"),2743.0)</f>
        <v>2743</v>
      </c>
      <c r="E2723" s="308" t="str">
        <f>IFERROR(__xludf.DUMMYFUNCTION("""COMPUTED_VALUE"""),"S")</f>
        <v>S</v>
      </c>
      <c r="F2723" s="312" t="s">
        <v>39</v>
      </c>
      <c r="G2723" s="308"/>
      <c r="H2723" s="308" t="s">
        <v>11223</v>
      </c>
      <c r="I2723" s="310">
        <v>42169.0</v>
      </c>
      <c r="J2723" s="319">
        <f>IFERROR(__xludf.DUMMYFUNCTION("SPLIT(I2723,""/"")"),14.0)</f>
        <v>14</v>
      </c>
      <c r="K2723" s="308">
        <f>IFERROR(__xludf.DUMMYFUNCTION("""COMPUTED_VALUE"""),6.0)</f>
        <v>6</v>
      </c>
      <c r="L2723" s="308">
        <f>IFERROR(__xludf.DUMMYFUNCTION("""COMPUTED_VALUE"""),2015.0)</f>
        <v>2015</v>
      </c>
      <c r="M2723" s="308" t="s">
        <v>36752</v>
      </c>
      <c r="N2723" s="308"/>
      <c r="O2723" s="308" t="s">
        <v>11225</v>
      </c>
      <c r="P2723" s="308" t="s">
        <v>9979</v>
      </c>
      <c r="Q2723" s="308"/>
      <c r="R2723" s="308" t="s">
        <v>11226</v>
      </c>
      <c r="S2723" s="315" t="s">
        <v>100</v>
      </c>
      <c r="T2723" s="311" t="s">
        <v>34208</v>
      </c>
      <c r="U2723" s="308" t="s">
        <v>166</v>
      </c>
      <c r="V2723" s="312"/>
    </row>
    <row r="2724">
      <c r="A2724" s="308">
        <v>2723.0</v>
      </c>
      <c r="B2724" s="308"/>
      <c r="C2724" s="308" t="s">
        <v>11227</v>
      </c>
      <c r="D2724" s="308">
        <f>IFERROR(__xludf.DUMMYFUNCTION("SPLIT(C2724,""-"")"),2744.0)</f>
        <v>2744</v>
      </c>
      <c r="E2724" s="308" t="str">
        <f>IFERROR(__xludf.DUMMYFUNCTION("""COMPUTED_VALUE"""),"S")</f>
        <v>S</v>
      </c>
      <c r="F2724" s="312" t="s">
        <v>39</v>
      </c>
      <c r="G2724" s="308"/>
      <c r="H2724" s="308" t="s">
        <v>11228</v>
      </c>
      <c r="I2724" s="310">
        <v>42180.0</v>
      </c>
      <c r="J2724" s="319">
        <f>IFERROR(__xludf.DUMMYFUNCTION("SPLIT(I2724,""/"")"),25.0)</f>
        <v>25</v>
      </c>
      <c r="K2724" s="308">
        <f>IFERROR(__xludf.DUMMYFUNCTION("""COMPUTED_VALUE"""),6.0)</f>
        <v>6</v>
      </c>
      <c r="L2724" s="308">
        <f>IFERROR(__xludf.DUMMYFUNCTION("""COMPUTED_VALUE"""),2015.0)</f>
        <v>2015</v>
      </c>
      <c r="M2724" s="308" t="s">
        <v>11229</v>
      </c>
      <c r="N2724" s="308"/>
      <c r="O2724" s="308" t="s">
        <v>11230</v>
      </c>
      <c r="P2724" s="308" t="s">
        <v>9535</v>
      </c>
      <c r="Q2724" s="308"/>
      <c r="R2724" s="308"/>
      <c r="S2724" s="308" t="s">
        <v>81</v>
      </c>
      <c r="T2724" s="308" t="s">
        <v>75</v>
      </c>
      <c r="U2724" s="308" t="s">
        <v>166</v>
      </c>
      <c r="V2724" s="312"/>
    </row>
    <row r="2725">
      <c r="A2725" s="308">
        <v>2724.0</v>
      </c>
      <c r="B2725" s="308"/>
      <c r="C2725" s="308" t="s">
        <v>11231</v>
      </c>
      <c r="D2725" s="308">
        <f>IFERROR(__xludf.DUMMYFUNCTION("SPLIT(C2725,""-"")"),2745.0)</f>
        <v>2745</v>
      </c>
      <c r="E2725" s="308" t="str">
        <f>IFERROR(__xludf.DUMMYFUNCTION("""COMPUTED_VALUE"""),"S")</f>
        <v>S</v>
      </c>
      <c r="F2725" s="312" t="s">
        <v>39</v>
      </c>
      <c r="G2725" s="308"/>
      <c r="H2725" s="308" t="s">
        <v>11232</v>
      </c>
      <c r="I2725" s="310">
        <v>42192.0</v>
      </c>
      <c r="J2725" s="319">
        <f>IFERROR(__xludf.DUMMYFUNCTION("SPLIT(I2725,""/"")"),7.0)</f>
        <v>7</v>
      </c>
      <c r="K2725" s="308">
        <f>IFERROR(__xludf.DUMMYFUNCTION("""COMPUTED_VALUE"""),7.0)</f>
        <v>7</v>
      </c>
      <c r="L2725" s="308">
        <f>IFERROR(__xludf.DUMMYFUNCTION("""COMPUTED_VALUE"""),2015.0)</f>
        <v>2015</v>
      </c>
      <c r="M2725" s="308" t="s">
        <v>11233</v>
      </c>
      <c r="N2725" s="308"/>
      <c r="O2725" s="308" t="s">
        <v>11234</v>
      </c>
      <c r="P2725" s="308" t="s">
        <v>11235</v>
      </c>
      <c r="Q2725" s="308"/>
      <c r="R2725" s="308"/>
      <c r="S2725" s="308" t="s">
        <v>81</v>
      </c>
      <c r="T2725" s="311" t="s">
        <v>94</v>
      </c>
      <c r="U2725" s="308" t="s">
        <v>166</v>
      </c>
      <c r="V2725" s="312"/>
    </row>
    <row r="2726">
      <c r="A2726" s="308">
        <v>2725.0</v>
      </c>
      <c r="B2726" s="308"/>
      <c r="C2726" s="308" t="s">
        <v>11236</v>
      </c>
      <c r="D2726" s="308">
        <f>IFERROR(__xludf.DUMMYFUNCTION("SPLIT(C2726,""-"")"),2746.0)</f>
        <v>2746</v>
      </c>
      <c r="E2726" s="308" t="str">
        <f>IFERROR(__xludf.DUMMYFUNCTION("""COMPUTED_VALUE"""),"S")</f>
        <v>S</v>
      </c>
      <c r="F2726" s="312" t="s">
        <v>39</v>
      </c>
      <c r="G2726" s="308"/>
      <c r="H2726" s="308" t="s">
        <v>11237</v>
      </c>
      <c r="I2726" s="310">
        <v>42131.0</v>
      </c>
      <c r="J2726" s="319">
        <f>IFERROR(__xludf.DUMMYFUNCTION("SPLIT(I2726,""/"")"),7.0)</f>
        <v>7</v>
      </c>
      <c r="K2726" s="308">
        <f>IFERROR(__xludf.DUMMYFUNCTION("""COMPUTED_VALUE"""),5.0)</f>
        <v>5</v>
      </c>
      <c r="L2726" s="308">
        <f>IFERROR(__xludf.DUMMYFUNCTION("""COMPUTED_VALUE"""),2015.0)</f>
        <v>2015</v>
      </c>
      <c r="M2726" s="308" t="s">
        <v>11238</v>
      </c>
      <c r="N2726" s="308"/>
      <c r="O2726" s="308" t="s">
        <v>11239</v>
      </c>
      <c r="P2726" s="308" t="s">
        <v>9979</v>
      </c>
      <c r="Q2726" s="308"/>
      <c r="R2726" s="308" t="s">
        <v>11240</v>
      </c>
      <c r="S2726" s="315" t="s">
        <v>100</v>
      </c>
      <c r="T2726" s="311" t="s">
        <v>34208</v>
      </c>
      <c r="U2726" s="308" t="s">
        <v>166</v>
      </c>
      <c r="V2726" s="312"/>
    </row>
    <row r="2727">
      <c r="A2727" s="308">
        <v>2726.0</v>
      </c>
      <c r="B2727" s="308"/>
      <c r="C2727" s="308" t="s">
        <v>11241</v>
      </c>
      <c r="D2727" s="308">
        <f>IFERROR(__xludf.DUMMYFUNCTION("SPLIT(C2727,""-"")"),2747.0)</f>
        <v>2747</v>
      </c>
      <c r="E2727" s="308" t="str">
        <f>IFERROR(__xludf.DUMMYFUNCTION("""COMPUTED_VALUE"""),"S")</f>
        <v>S</v>
      </c>
      <c r="F2727" s="312" t="s">
        <v>39</v>
      </c>
      <c r="G2727" s="308"/>
      <c r="H2727" s="308" t="s">
        <v>11242</v>
      </c>
      <c r="I2727" s="310">
        <v>42157.0</v>
      </c>
      <c r="J2727" s="319">
        <f>IFERROR(__xludf.DUMMYFUNCTION("SPLIT(I2727,""/"")"),2.0)</f>
        <v>2</v>
      </c>
      <c r="K2727" s="308">
        <f>IFERROR(__xludf.DUMMYFUNCTION("""COMPUTED_VALUE"""),6.0)</f>
        <v>6</v>
      </c>
      <c r="L2727" s="308">
        <f>IFERROR(__xludf.DUMMYFUNCTION("""COMPUTED_VALUE"""),2015.0)</f>
        <v>2015</v>
      </c>
      <c r="M2727" s="308" t="s">
        <v>36753</v>
      </c>
      <c r="N2727" s="308"/>
      <c r="O2727" s="308" t="s">
        <v>635</v>
      </c>
      <c r="P2727" s="308" t="s">
        <v>11244</v>
      </c>
      <c r="Q2727" s="308"/>
      <c r="R2727" s="308"/>
      <c r="S2727" s="308" t="s">
        <v>81</v>
      </c>
      <c r="T2727" s="311" t="s">
        <v>73</v>
      </c>
      <c r="U2727" s="308" t="s">
        <v>166</v>
      </c>
      <c r="V2727" s="312"/>
    </row>
    <row r="2728">
      <c r="A2728" s="308">
        <v>2727.0</v>
      </c>
      <c r="B2728" s="308"/>
      <c r="C2728" s="308" t="s">
        <v>11245</v>
      </c>
      <c r="D2728" s="308">
        <f>IFERROR(__xludf.DUMMYFUNCTION("SPLIT(C2728,""-"")"),2748.0)</f>
        <v>2748</v>
      </c>
      <c r="E2728" s="308" t="str">
        <f>IFERROR(__xludf.DUMMYFUNCTION("""COMPUTED_VALUE"""),"S")</f>
        <v>S</v>
      </c>
      <c r="F2728" s="312" t="s">
        <v>39</v>
      </c>
      <c r="G2728" s="308"/>
      <c r="H2728" s="308" t="s">
        <v>36754</v>
      </c>
      <c r="I2728" s="310">
        <v>42161.0</v>
      </c>
      <c r="J2728" s="319">
        <f>IFERROR(__xludf.DUMMYFUNCTION("SPLIT(I2728,""/"")"),6.0)</f>
        <v>6</v>
      </c>
      <c r="K2728" s="308">
        <f>IFERROR(__xludf.DUMMYFUNCTION("""COMPUTED_VALUE"""),6.0)</f>
        <v>6</v>
      </c>
      <c r="L2728" s="308">
        <f>IFERROR(__xludf.DUMMYFUNCTION("""COMPUTED_VALUE"""),2015.0)</f>
        <v>2015</v>
      </c>
      <c r="M2728" s="308" t="s">
        <v>11247</v>
      </c>
      <c r="N2728" s="308"/>
      <c r="O2728" s="308" t="s">
        <v>11248</v>
      </c>
      <c r="P2728" s="308" t="s">
        <v>296</v>
      </c>
      <c r="Q2728" s="308"/>
      <c r="R2728" s="308"/>
      <c r="S2728" s="308" t="s">
        <v>81</v>
      </c>
      <c r="T2728" s="308" t="s">
        <v>75</v>
      </c>
      <c r="U2728" s="308" t="s">
        <v>166</v>
      </c>
      <c r="V2728" s="312"/>
    </row>
    <row r="2729">
      <c r="A2729" s="308">
        <v>2728.0</v>
      </c>
      <c r="B2729" s="308"/>
      <c r="C2729" s="308" t="s">
        <v>11249</v>
      </c>
      <c r="D2729" s="308">
        <f>IFERROR(__xludf.DUMMYFUNCTION("SPLIT(C2729,""-"")"),2749.0)</f>
        <v>2749</v>
      </c>
      <c r="E2729" s="308" t="str">
        <f>IFERROR(__xludf.DUMMYFUNCTION("""COMPUTED_VALUE"""),"S")</f>
        <v>S</v>
      </c>
      <c r="F2729" s="312" t="s">
        <v>39</v>
      </c>
      <c r="G2729" s="308"/>
      <c r="H2729" s="308" t="s">
        <v>11250</v>
      </c>
      <c r="I2729" s="310">
        <v>42165.0</v>
      </c>
      <c r="J2729" s="319">
        <f>IFERROR(__xludf.DUMMYFUNCTION("SPLIT(I2729,""/"")"),10.0)</f>
        <v>10</v>
      </c>
      <c r="K2729" s="308">
        <f>IFERROR(__xludf.DUMMYFUNCTION("""COMPUTED_VALUE"""),6.0)</f>
        <v>6</v>
      </c>
      <c r="L2729" s="308">
        <f>IFERROR(__xludf.DUMMYFUNCTION("""COMPUTED_VALUE"""),2015.0)</f>
        <v>2015</v>
      </c>
      <c r="M2729" s="308" t="s">
        <v>11251</v>
      </c>
      <c r="N2729" s="308"/>
      <c r="O2729" s="308" t="s">
        <v>11252</v>
      </c>
      <c r="P2729" s="308" t="s">
        <v>9535</v>
      </c>
      <c r="Q2729" s="308"/>
      <c r="R2729" s="308"/>
      <c r="S2729" s="308" t="s">
        <v>81</v>
      </c>
      <c r="T2729" s="308" t="s">
        <v>75</v>
      </c>
      <c r="U2729" s="308" t="s">
        <v>166</v>
      </c>
      <c r="V2729" s="312"/>
    </row>
    <row r="2730">
      <c r="A2730" s="308">
        <v>2729.0</v>
      </c>
      <c r="B2730" s="308"/>
      <c r="C2730" s="308" t="s">
        <v>11253</v>
      </c>
      <c r="D2730" s="308">
        <f>IFERROR(__xludf.DUMMYFUNCTION("SPLIT(C2730,""-"")"),2750.0)</f>
        <v>2750</v>
      </c>
      <c r="E2730" s="308" t="str">
        <f>IFERROR(__xludf.DUMMYFUNCTION("""COMPUTED_VALUE"""),"S")</f>
        <v>S</v>
      </c>
      <c r="F2730" s="312" t="s">
        <v>39</v>
      </c>
      <c r="G2730" s="308"/>
      <c r="H2730" s="308" t="s">
        <v>11254</v>
      </c>
      <c r="I2730" s="310">
        <v>42168.0</v>
      </c>
      <c r="J2730" s="319">
        <f>IFERROR(__xludf.DUMMYFUNCTION("SPLIT(I2730,""/"")"),13.0)</f>
        <v>13</v>
      </c>
      <c r="K2730" s="308">
        <f>IFERROR(__xludf.DUMMYFUNCTION("""COMPUTED_VALUE"""),6.0)</f>
        <v>6</v>
      </c>
      <c r="L2730" s="308">
        <f>IFERROR(__xludf.DUMMYFUNCTION("""COMPUTED_VALUE"""),2015.0)</f>
        <v>2015</v>
      </c>
      <c r="M2730" s="308" t="s">
        <v>36755</v>
      </c>
      <c r="N2730" s="308"/>
      <c r="O2730" s="308" t="s">
        <v>11256</v>
      </c>
      <c r="P2730" s="308" t="s">
        <v>11257</v>
      </c>
      <c r="Q2730" s="308"/>
      <c r="R2730" s="308"/>
      <c r="S2730" s="308" t="s">
        <v>49</v>
      </c>
      <c r="T2730" s="308" t="s">
        <v>53</v>
      </c>
      <c r="U2730" s="308" t="s">
        <v>166</v>
      </c>
      <c r="V2730" s="312"/>
    </row>
    <row r="2731">
      <c r="A2731" s="308">
        <v>2730.0</v>
      </c>
      <c r="B2731" s="308"/>
      <c r="C2731" s="308" t="s">
        <v>11258</v>
      </c>
      <c r="D2731" s="308">
        <f>IFERROR(__xludf.DUMMYFUNCTION("SPLIT(C2731,""-"")"),2751.0)</f>
        <v>2751</v>
      </c>
      <c r="E2731" s="308" t="str">
        <f>IFERROR(__xludf.DUMMYFUNCTION("""COMPUTED_VALUE"""),"S")</f>
        <v>S</v>
      </c>
      <c r="F2731" s="312" t="s">
        <v>39</v>
      </c>
      <c r="G2731" s="308"/>
      <c r="H2731" s="308" t="s">
        <v>11259</v>
      </c>
      <c r="I2731" s="316" t="s">
        <v>11260</v>
      </c>
      <c r="J2731" s="323">
        <v>16.0</v>
      </c>
      <c r="K2731" s="311">
        <v>6.0</v>
      </c>
      <c r="L2731" s="311">
        <v>2015.0</v>
      </c>
      <c r="M2731" s="308" t="s">
        <v>11261</v>
      </c>
      <c r="N2731" s="308"/>
      <c r="O2731" s="308" t="s">
        <v>11262</v>
      </c>
      <c r="P2731" s="308" t="s">
        <v>9535</v>
      </c>
      <c r="Q2731" s="308"/>
      <c r="R2731" s="308"/>
      <c r="S2731" s="308" t="s">
        <v>81</v>
      </c>
      <c r="T2731" s="308" t="s">
        <v>75</v>
      </c>
      <c r="U2731" s="308" t="s">
        <v>166</v>
      </c>
      <c r="V2731" s="312"/>
    </row>
    <row r="2732">
      <c r="A2732" s="308">
        <v>2731.0</v>
      </c>
      <c r="B2732" s="308"/>
      <c r="C2732" s="308" t="s">
        <v>11263</v>
      </c>
      <c r="D2732" s="308">
        <f>IFERROR(__xludf.DUMMYFUNCTION("SPLIT(C2732,""-"")"),2752.0)</f>
        <v>2752</v>
      </c>
      <c r="E2732" s="308" t="str">
        <f>IFERROR(__xludf.DUMMYFUNCTION("""COMPUTED_VALUE"""),"S")</f>
        <v>S</v>
      </c>
      <c r="F2732" s="312" t="s">
        <v>39</v>
      </c>
      <c r="G2732" s="308"/>
      <c r="H2732" s="308" t="s">
        <v>11264</v>
      </c>
      <c r="I2732" s="310">
        <v>42187.0</v>
      </c>
      <c r="J2732" s="319">
        <f>IFERROR(__xludf.DUMMYFUNCTION("SPLIT(I2732,""/"")"),2.0)</f>
        <v>2</v>
      </c>
      <c r="K2732" s="308">
        <f>IFERROR(__xludf.DUMMYFUNCTION("""COMPUTED_VALUE"""),7.0)</f>
        <v>7</v>
      </c>
      <c r="L2732" s="308">
        <f>IFERROR(__xludf.DUMMYFUNCTION("""COMPUTED_VALUE"""),2015.0)</f>
        <v>2015</v>
      </c>
      <c r="M2732" s="308" t="s">
        <v>11265</v>
      </c>
      <c r="N2732" s="308"/>
      <c r="O2732" s="308" t="s">
        <v>635</v>
      </c>
      <c r="P2732" s="308" t="s">
        <v>11266</v>
      </c>
      <c r="Q2732" s="308"/>
      <c r="R2732" s="308"/>
      <c r="S2732" s="308" t="s">
        <v>81</v>
      </c>
      <c r="T2732" s="311" t="s">
        <v>94</v>
      </c>
      <c r="U2732" s="308" t="s">
        <v>166</v>
      </c>
      <c r="V2732" s="312"/>
    </row>
    <row r="2733">
      <c r="A2733" s="308">
        <v>2732.0</v>
      </c>
      <c r="B2733" s="308"/>
      <c r="C2733" s="308" t="s">
        <v>11267</v>
      </c>
      <c r="D2733" s="308">
        <f>IFERROR(__xludf.DUMMYFUNCTION("SPLIT(C2733,""-"")"),2753.0)</f>
        <v>2753</v>
      </c>
      <c r="E2733" s="308" t="str">
        <f>IFERROR(__xludf.DUMMYFUNCTION("""COMPUTED_VALUE"""),"S")</f>
        <v>S</v>
      </c>
      <c r="F2733" s="312" t="s">
        <v>39</v>
      </c>
      <c r="G2733" s="308"/>
      <c r="H2733" s="308" t="s">
        <v>11268</v>
      </c>
      <c r="I2733" s="310">
        <v>42187.0</v>
      </c>
      <c r="J2733" s="319">
        <f>IFERROR(__xludf.DUMMYFUNCTION("SPLIT(I2733,""/"")"),2.0)</f>
        <v>2</v>
      </c>
      <c r="K2733" s="308">
        <f>IFERROR(__xludf.DUMMYFUNCTION("""COMPUTED_VALUE"""),7.0)</f>
        <v>7</v>
      </c>
      <c r="L2733" s="308">
        <f>IFERROR(__xludf.DUMMYFUNCTION("""COMPUTED_VALUE"""),2015.0)</f>
        <v>2015</v>
      </c>
      <c r="M2733" s="308" t="s">
        <v>11269</v>
      </c>
      <c r="N2733" s="308"/>
      <c r="O2733" s="308" t="s">
        <v>635</v>
      </c>
      <c r="P2733" s="308" t="s">
        <v>11266</v>
      </c>
      <c r="Q2733" s="308"/>
      <c r="R2733" s="308"/>
      <c r="S2733" s="308" t="s">
        <v>81</v>
      </c>
      <c r="T2733" s="311" t="s">
        <v>94</v>
      </c>
      <c r="U2733" s="308" t="s">
        <v>166</v>
      </c>
      <c r="V2733" s="312"/>
    </row>
    <row r="2734">
      <c r="A2734" s="308">
        <v>2733.0</v>
      </c>
      <c r="B2734" s="308"/>
      <c r="C2734" s="308" t="s">
        <v>11270</v>
      </c>
      <c r="D2734" s="308">
        <f>IFERROR(__xludf.DUMMYFUNCTION("SPLIT(C2734,""-"")"),2754.0)</f>
        <v>2754</v>
      </c>
      <c r="E2734" s="308" t="str">
        <f>IFERROR(__xludf.DUMMYFUNCTION("""COMPUTED_VALUE"""),"S")</f>
        <v>S</v>
      </c>
      <c r="F2734" s="312" t="s">
        <v>39</v>
      </c>
      <c r="G2734" s="308"/>
      <c r="H2734" s="308" t="s">
        <v>11271</v>
      </c>
      <c r="I2734" s="310">
        <v>42190.0</v>
      </c>
      <c r="J2734" s="319">
        <f>IFERROR(__xludf.DUMMYFUNCTION("SPLIT(I2734,""/"")"),5.0)</f>
        <v>5</v>
      </c>
      <c r="K2734" s="308">
        <f>IFERROR(__xludf.DUMMYFUNCTION("""COMPUTED_VALUE"""),7.0)</f>
        <v>7</v>
      </c>
      <c r="L2734" s="308">
        <f>IFERROR(__xludf.DUMMYFUNCTION("""COMPUTED_VALUE"""),2015.0)</f>
        <v>2015</v>
      </c>
      <c r="M2734" s="308" t="s">
        <v>11272</v>
      </c>
      <c r="N2734" s="308"/>
      <c r="O2734" s="308" t="s">
        <v>635</v>
      </c>
      <c r="P2734" s="308" t="s">
        <v>9535</v>
      </c>
      <c r="Q2734" s="308"/>
      <c r="R2734" s="308"/>
      <c r="S2734" s="308" t="s">
        <v>81</v>
      </c>
      <c r="T2734" s="308" t="s">
        <v>75</v>
      </c>
      <c r="U2734" s="308" t="s">
        <v>166</v>
      </c>
      <c r="V2734" s="312"/>
    </row>
    <row r="2735">
      <c r="A2735" s="308">
        <v>2734.0</v>
      </c>
      <c r="B2735" s="308"/>
      <c r="C2735" s="308" t="s">
        <v>11273</v>
      </c>
      <c r="D2735" s="308">
        <f>IFERROR(__xludf.DUMMYFUNCTION("SPLIT(C2735,""-"")"),2755.0)</f>
        <v>2755</v>
      </c>
      <c r="E2735" s="308" t="str">
        <f>IFERROR(__xludf.DUMMYFUNCTION("""COMPUTED_VALUE"""),"S")</f>
        <v>S</v>
      </c>
      <c r="F2735" s="312" t="s">
        <v>39</v>
      </c>
      <c r="G2735" s="308"/>
      <c r="H2735" s="308" t="s">
        <v>11274</v>
      </c>
      <c r="I2735" s="310">
        <v>42207.0</v>
      </c>
      <c r="J2735" s="319">
        <f>IFERROR(__xludf.DUMMYFUNCTION("SPLIT(I2735,""/"")"),22.0)</f>
        <v>22</v>
      </c>
      <c r="K2735" s="308">
        <f>IFERROR(__xludf.DUMMYFUNCTION("""COMPUTED_VALUE"""),7.0)</f>
        <v>7</v>
      </c>
      <c r="L2735" s="308">
        <f>IFERROR(__xludf.DUMMYFUNCTION("""COMPUTED_VALUE"""),2015.0)</f>
        <v>2015</v>
      </c>
      <c r="M2735" s="308" t="s">
        <v>11275</v>
      </c>
      <c r="N2735" s="308"/>
      <c r="O2735" s="308" t="s">
        <v>11276</v>
      </c>
      <c r="P2735" s="308" t="s">
        <v>10697</v>
      </c>
      <c r="Q2735" s="308"/>
      <c r="R2735" s="308"/>
      <c r="S2735" s="308" t="s">
        <v>81</v>
      </c>
      <c r="T2735" s="311" t="s">
        <v>73</v>
      </c>
      <c r="U2735" s="308" t="s">
        <v>166</v>
      </c>
      <c r="V2735" s="312"/>
    </row>
    <row r="2736">
      <c r="A2736" s="308">
        <v>2735.0</v>
      </c>
      <c r="B2736" s="308"/>
      <c r="C2736" s="308" t="s">
        <v>11277</v>
      </c>
      <c r="D2736" s="308">
        <f>IFERROR(__xludf.DUMMYFUNCTION("SPLIT(C2736,""-"")"),2756.0)</f>
        <v>2756</v>
      </c>
      <c r="E2736" s="308" t="str">
        <f>IFERROR(__xludf.DUMMYFUNCTION("""COMPUTED_VALUE"""),"S")</f>
        <v>S</v>
      </c>
      <c r="F2736" s="312" t="s">
        <v>39</v>
      </c>
      <c r="G2736" s="308"/>
      <c r="H2736" s="308" t="s">
        <v>11278</v>
      </c>
      <c r="I2736" s="310">
        <v>42216.0</v>
      </c>
      <c r="J2736" s="319">
        <f>IFERROR(__xludf.DUMMYFUNCTION("SPLIT(I2736,""/"")"),31.0)</f>
        <v>31</v>
      </c>
      <c r="K2736" s="308">
        <f>IFERROR(__xludf.DUMMYFUNCTION("""COMPUTED_VALUE"""),7.0)</f>
        <v>7</v>
      </c>
      <c r="L2736" s="308">
        <f>IFERROR(__xludf.DUMMYFUNCTION("""COMPUTED_VALUE"""),2015.0)</f>
        <v>2015</v>
      </c>
      <c r="M2736" s="308" t="s">
        <v>11279</v>
      </c>
      <c r="N2736" s="308"/>
      <c r="O2736" s="308" t="s">
        <v>11280</v>
      </c>
      <c r="P2736" s="308" t="s">
        <v>9535</v>
      </c>
      <c r="Q2736" s="308"/>
      <c r="R2736" s="308"/>
      <c r="S2736" s="308" t="s">
        <v>81</v>
      </c>
      <c r="T2736" s="308" t="s">
        <v>75</v>
      </c>
      <c r="U2736" s="308" t="s">
        <v>166</v>
      </c>
      <c r="V2736" s="312"/>
    </row>
    <row r="2737">
      <c r="A2737" s="308">
        <v>2736.0</v>
      </c>
      <c r="B2737" s="308"/>
      <c r="C2737" s="308" t="s">
        <v>11281</v>
      </c>
      <c r="D2737" s="308">
        <f>IFERROR(__xludf.DUMMYFUNCTION("SPLIT(C2737,""-"")"),2757.0)</f>
        <v>2757</v>
      </c>
      <c r="E2737" s="308" t="str">
        <f>IFERROR(__xludf.DUMMYFUNCTION("""COMPUTED_VALUE"""),"S")</f>
        <v>S</v>
      </c>
      <c r="F2737" s="312" t="s">
        <v>39</v>
      </c>
      <c r="G2737" s="308"/>
      <c r="H2737" s="308" t="s">
        <v>11282</v>
      </c>
      <c r="I2737" s="310">
        <v>42219.0</v>
      </c>
      <c r="J2737" s="319">
        <f>IFERROR(__xludf.DUMMYFUNCTION("SPLIT(I2737,""/"")"),3.0)</f>
        <v>3</v>
      </c>
      <c r="K2737" s="308">
        <f>IFERROR(__xludf.DUMMYFUNCTION("""COMPUTED_VALUE"""),8.0)</f>
        <v>8</v>
      </c>
      <c r="L2737" s="308">
        <f>IFERROR(__xludf.DUMMYFUNCTION("""COMPUTED_VALUE"""),2015.0)</f>
        <v>2015</v>
      </c>
      <c r="M2737" s="308" t="s">
        <v>11283</v>
      </c>
      <c r="N2737" s="308"/>
      <c r="O2737" s="308" t="s">
        <v>635</v>
      </c>
      <c r="P2737" s="308" t="s">
        <v>9535</v>
      </c>
      <c r="Q2737" s="308"/>
      <c r="R2737" s="308"/>
      <c r="S2737" s="308" t="s">
        <v>81</v>
      </c>
      <c r="T2737" s="308" t="s">
        <v>75</v>
      </c>
      <c r="U2737" s="308" t="s">
        <v>166</v>
      </c>
      <c r="V2737" s="312"/>
    </row>
    <row r="2738">
      <c r="A2738" s="308">
        <v>2737.0</v>
      </c>
      <c r="B2738" s="308"/>
      <c r="C2738" s="308" t="s">
        <v>11284</v>
      </c>
      <c r="D2738" s="308">
        <f>IFERROR(__xludf.DUMMYFUNCTION("SPLIT(C2738,""-"")"),2758.0)</f>
        <v>2758</v>
      </c>
      <c r="E2738" s="308" t="str">
        <f>IFERROR(__xludf.DUMMYFUNCTION("""COMPUTED_VALUE"""),"S")</f>
        <v>S</v>
      </c>
      <c r="F2738" s="312" t="s">
        <v>39</v>
      </c>
      <c r="G2738" s="308"/>
      <c r="H2738" s="308" t="s">
        <v>11285</v>
      </c>
      <c r="I2738" s="310">
        <v>42222.0</v>
      </c>
      <c r="J2738" s="319">
        <f>IFERROR(__xludf.DUMMYFUNCTION("SPLIT(I2738,""/"")"),6.0)</f>
        <v>6</v>
      </c>
      <c r="K2738" s="308">
        <f>IFERROR(__xludf.DUMMYFUNCTION("""COMPUTED_VALUE"""),8.0)</f>
        <v>8</v>
      </c>
      <c r="L2738" s="308">
        <f>IFERROR(__xludf.DUMMYFUNCTION("""COMPUTED_VALUE"""),2015.0)</f>
        <v>2015</v>
      </c>
      <c r="M2738" s="308" t="s">
        <v>11286</v>
      </c>
      <c r="N2738" s="308"/>
      <c r="O2738" s="308" t="s">
        <v>635</v>
      </c>
      <c r="P2738" s="308" t="s">
        <v>11287</v>
      </c>
      <c r="Q2738" s="308"/>
      <c r="R2738" s="308"/>
      <c r="S2738" s="308" t="s">
        <v>81</v>
      </c>
      <c r="T2738" s="308" t="s">
        <v>63</v>
      </c>
      <c r="U2738" s="308" t="s">
        <v>166</v>
      </c>
      <c r="V2738" s="312"/>
    </row>
    <row r="2739">
      <c r="A2739" s="308">
        <v>2738.0</v>
      </c>
      <c r="B2739" s="308"/>
      <c r="C2739" s="308" t="s">
        <v>11288</v>
      </c>
      <c r="D2739" s="308">
        <f>IFERROR(__xludf.DUMMYFUNCTION("SPLIT(C2739,""-"")"),2759.0)</f>
        <v>2759</v>
      </c>
      <c r="E2739" s="308" t="str">
        <f>IFERROR(__xludf.DUMMYFUNCTION("""COMPUTED_VALUE"""),"S")</f>
        <v>S</v>
      </c>
      <c r="F2739" s="312" t="s">
        <v>39</v>
      </c>
      <c r="G2739" s="308"/>
      <c r="H2739" s="308" t="s">
        <v>36756</v>
      </c>
      <c r="I2739" s="310">
        <v>42229.0</v>
      </c>
      <c r="J2739" s="319">
        <f>IFERROR(__xludf.DUMMYFUNCTION("SPLIT(I2739,""/"")"),13.0)</f>
        <v>13</v>
      </c>
      <c r="K2739" s="308">
        <f>IFERROR(__xludf.DUMMYFUNCTION("""COMPUTED_VALUE"""),8.0)</f>
        <v>8</v>
      </c>
      <c r="L2739" s="308">
        <f>IFERROR(__xludf.DUMMYFUNCTION("""COMPUTED_VALUE"""),2015.0)</f>
        <v>2015</v>
      </c>
      <c r="M2739" s="308" t="s">
        <v>11290</v>
      </c>
      <c r="N2739" s="308"/>
      <c r="O2739" s="308" t="s">
        <v>635</v>
      </c>
      <c r="P2739" s="308" t="s">
        <v>10697</v>
      </c>
      <c r="Q2739" s="308"/>
      <c r="R2739" s="308"/>
      <c r="S2739" s="308" t="s">
        <v>81</v>
      </c>
      <c r="T2739" s="311" t="s">
        <v>73</v>
      </c>
      <c r="U2739" s="308" t="s">
        <v>166</v>
      </c>
      <c r="V2739" s="312"/>
    </row>
    <row r="2740">
      <c r="A2740" s="308">
        <v>2739.0</v>
      </c>
      <c r="B2740" s="308"/>
      <c r="C2740" s="308" t="s">
        <v>11291</v>
      </c>
      <c r="D2740" s="308">
        <f>IFERROR(__xludf.DUMMYFUNCTION("SPLIT(C2740,""-"")"),2760.0)</f>
        <v>2760</v>
      </c>
      <c r="E2740" s="308" t="str">
        <f>IFERROR(__xludf.DUMMYFUNCTION("""COMPUTED_VALUE"""),"S")</f>
        <v>S</v>
      </c>
      <c r="F2740" s="312" t="s">
        <v>39</v>
      </c>
      <c r="G2740" s="308"/>
      <c r="H2740" s="308" t="s">
        <v>11292</v>
      </c>
      <c r="I2740" s="310">
        <v>42229.0</v>
      </c>
      <c r="J2740" s="319">
        <f>IFERROR(__xludf.DUMMYFUNCTION("SPLIT(I2740,""/"")"),13.0)</f>
        <v>13</v>
      </c>
      <c r="K2740" s="308">
        <f>IFERROR(__xludf.DUMMYFUNCTION("""COMPUTED_VALUE"""),8.0)</f>
        <v>8</v>
      </c>
      <c r="L2740" s="308">
        <f>IFERROR(__xludf.DUMMYFUNCTION("""COMPUTED_VALUE"""),2015.0)</f>
        <v>2015</v>
      </c>
      <c r="M2740" s="308" t="s">
        <v>11293</v>
      </c>
      <c r="N2740" s="308"/>
      <c r="O2740" s="308" t="s">
        <v>635</v>
      </c>
      <c r="P2740" s="308" t="s">
        <v>10697</v>
      </c>
      <c r="Q2740" s="308"/>
      <c r="R2740" s="308"/>
      <c r="S2740" s="308" t="s">
        <v>81</v>
      </c>
      <c r="T2740" s="311" t="s">
        <v>73</v>
      </c>
      <c r="U2740" s="308" t="s">
        <v>166</v>
      </c>
      <c r="V2740" s="312"/>
    </row>
    <row r="2741">
      <c r="A2741" s="308">
        <v>2740.0</v>
      </c>
      <c r="B2741" s="308"/>
      <c r="C2741" s="308" t="s">
        <v>11294</v>
      </c>
      <c r="D2741" s="308">
        <f>IFERROR(__xludf.DUMMYFUNCTION("SPLIT(C2741,""-"")"),2761.0)</f>
        <v>2761</v>
      </c>
      <c r="E2741" s="308" t="str">
        <f>IFERROR(__xludf.DUMMYFUNCTION("""COMPUTED_VALUE"""),"B")</f>
        <v>B</v>
      </c>
      <c r="F2741" s="315" t="s">
        <v>26</v>
      </c>
      <c r="G2741" s="308"/>
      <c r="H2741" s="308" t="s">
        <v>11295</v>
      </c>
      <c r="I2741" s="310">
        <v>41714.0</v>
      </c>
      <c r="J2741" s="319">
        <f>IFERROR(__xludf.DUMMYFUNCTION("SPLIT(I2741,""/"")"),16.0)</f>
        <v>16</v>
      </c>
      <c r="K2741" s="308">
        <f>IFERROR(__xludf.DUMMYFUNCTION("""COMPUTED_VALUE"""),3.0)</f>
        <v>3</v>
      </c>
      <c r="L2741" s="308">
        <f>IFERROR(__xludf.DUMMYFUNCTION("""COMPUTED_VALUE"""),2014.0)</f>
        <v>2014</v>
      </c>
      <c r="M2741" s="308" t="s">
        <v>11296</v>
      </c>
      <c r="N2741" s="308"/>
      <c r="O2741" s="308" t="s">
        <v>11297</v>
      </c>
      <c r="P2741" s="308" t="s">
        <v>11298</v>
      </c>
      <c r="Q2741" s="308"/>
      <c r="R2741" s="308"/>
      <c r="S2741" s="308" t="s">
        <v>81</v>
      </c>
      <c r="T2741" s="308" t="s">
        <v>75</v>
      </c>
      <c r="U2741" s="308" t="s">
        <v>27</v>
      </c>
      <c r="V2741" s="312"/>
    </row>
    <row r="2742">
      <c r="A2742" s="308">
        <v>2741.0</v>
      </c>
      <c r="B2742" s="308"/>
      <c r="C2742" s="308" t="s">
        <v>11299</v>
      </c>
      <c r="D2742" s="308">
        <f>IFERROR(__xludf.DUMMYFUNCTION("SPLIT(C2742,""-"")"),2762.0)</f>
        <v>2762</v>
      </c>
      <c r="E2742" s="308" t="str">
        <f>IFERROR(__xludf.DUMMYFUNCTION("""COMPUTED_VALUE"""),"P")</f>
        <v>P</v>
      </c>
      <c r="F2742" s="312" t="s">
        <v>37</v>
      </c>
      <c r="G2742" s="308"/>
      <c r="H2742" s="308" t="s">
        <v>11300</v>
      </c>
      <c r="I2742" s="310">
        <v>42207.0</v>
      </c>
      <c r="J2742" s="319">
        <f>IFERROR(__xludf.DUMMYFUNCTION("SPLIT(I2742,""/"")"),22.0)</f>
        <v>22</v>
      </c>
      <c r="K2742" s="308">
        <f>IFERROR(__xludf.DUMMYFUNCTION("""COMPUTED_VALUE"""),7.0)</f>
        <v>7</v>
      </c>
      <c r="L2742" s="308">
        <f>IFERROR(__xludf.DUMMYFUNCTION("""COMPUTED_VALUE"""),2015.0)</f>
        <v>2015</v>
      </c>
      <c r="M2742" s="308" t="s">
        <v>36757</v>
      </c>
      <c r="N2742" s="308"/>
      <c r="O2742" s="308" t="s">
        <v>11302</v>
      </c>
      <c r="P2742" s="308" t="s">
        <v>11303</v>
      </c>
      <c r="Q2742" s="308"/>
      <c r="R2742" s="308"/>
      <c r="S2742" s="308" t="s">
        <v>81</v>
      </c>
      <c r="T2742" s="308" t="s">
        <v>75</v>
      </c>
      <c r="U2742" s="308"/>
      <c r="V2742" s="312"/>
    </row>
    <row r="2743">
      <c r="A2743" s="308">
        <v>2742.0</v>
      </c>
      <c r="B2743" s="308"/>
      <c r="C2743" s="308" t="s">
        <v>11304</v>
      </c>
      <c r="D2743" s="308">
        <f>IFERROR(__xludf.DUMMYFUNCTION("SPLIT(C2743,""-"")"),2763.0)</f>
        <v>2763</v>
      </c>
      <c r="E2743" s="308" t="str">
        <f>IFERROR(__xludf.DUMMYFUNCTION("""COMPUTED_VALUE"""),"K")</f>
        <v>K</v>
      </c>
      <c r="F2743" s="309" t="s">
        <v>34</v>
      </c>
      <c r="G2743" s="308"/>
      <c r="H2743" s="308" t="s">
        <v>11305</v>
      </c>
      <c r="I2743" s="310">
        <v>42167.0</v>
      </c>
      <c r="J2743" s="319">
        <f>IFERROR(__xludf.DUMMYFUNCTION("SPLIT(I2743,""/"")"),12.0)</f>
        <v>12</v>
      </c>
      <c r="K2743" s="308">
        <f>IFERROR(__xludf.DUMMYFUNCTION("""COMPUTED_VALUE"""),6.0)</f>
        <v>6</v>
      </c>
      <c r="L2743" s="308">
        <f>IFERROR(__xludf.DUMMYFUNCTION("""COMPUTED_VALUE"""),2015.0)</f>
        <v>2015</v>
      </c>
      <c r="M2743" s="308" t="s">
        <v>11306</v>
      </c>
      <c r="N2743" s="308"/>
      <c r="O2743" s="308" t="s">
        <v>11307</v>
      </c>
      <c r="P2743" s="308" t="s">
        <v>11308</v>
      </c>
      <c r="Q2743" s="308"/>
      <c r="R2743" s="308"/>
      <c r="S2743" s="308" t="s">
        <v>81</v>
      </c>
      <c r="T2743" s="308" t="s">
        <v>75</v>
      </c>
      <c r="U2743" s="308"/>
      <c r="V2743" s="312"/>
    </row>
    <row r="2744">
      <c r="A2744" s="308">
        <v>2743.0</v>
      </c>
      <c r="B2744" s="308"/>
      <c r="C2744" s="308" t="s">
        <v>11309</v>
      </c>
      <c r="D2744" s="308">
        <f>IFERROR(__xludf.DUMMYFUNCTION("SPLIT(C2744,""-"")"),2764.0)</f>
        <v>2764</v>
      </c>
      <c r="E2744" s="308" t="str">
        <f>IFERROR(__xludf.DUMMYFUNCTION("""COMPUTED_VALUE"""),"AJ&amp;K")</f>
        <v>AJ&amp;K</v>
      </c>
      <c r="F2744" s="309" t="s">
        <v>23</v>
      </c>
      <c r="G2744" s="308"/>
      <c r="H2744" s="308" t="s">
        <v>11310</v>
      </c>
      <c r="I2744" s="310">
        <v>42237.0</v>
      </c>
      <c r="J2744" s="319">
        <f>IFERROR(__xludf.DUMMYFUNCTION("SPLIT(I2744,""/"")"),21.0)</f>
        <v>21</v>
      </c>
      <c r="K2744" s="308">
        <f>IFERROR(__xludf.DUMMYFUNCTION("""COMPUTED_VALUE"""),8.0)</f>
        <v>8</v>
      </c>
      <c r="L2744" s="308">
        <f>IFERROR(__xludf.DUMMYFUNCTION("""COMPUTED_VALUE"""),2015.0)</f>
        <v>2015</v>
      </c>
      <c r="M2744" s="308" t="s">
        <v>11311</v>
      </c>
      <c r="N2744" s="308"/>
      <c r="O2744" s="308" t="s">
        <v>11312</v>
      </c>
      <c r="P2744" s="308" t="s">
        <v>36758</v>
      </c>
      <c r="Q2744" s="308"/>
      <c r="R2744" s="308"/>
      <c r="S2744" s="315" t="s">
        <v>100</v>
      </c>
      <c r="T2744" s="311" t="s">
        <v>34208</v>
      </c>
      <c r="U2744" s="308" t="s">
        <v>403</v>
      </c>
      <c r="V2744" s="312"/>
    </row>
    <row r="2745">
      <c r="A2745" s="308">
        <v>2744.0</v>
      </c>
      <c r="B2745" s="308"/>
      <c r="C2745" s="308" t="s">
        <v>11314</v>
      </c>
      <c r="D2745" s="308">
        <f>IFERROR(__xludf.DUMMYFUNCTION("SPLIT(C2745,""-"")"),2765.0)</f>
        <v>2765</v>
      </c>
      <c r="E2745" s="308" t="str">
        <f>IFERROR(__xludf.DUMMYFUNCTION("""COMPUTED_VALUE"""),"P")</f>
        <v>P</v>
      </c>
      <c r="F2745" s="312" t="s">
        <v>37</v>
      </c>
      <c r="G2745" s="308"/>
      <c r="H2745" s="308" t="s">
        <v>11315</v>
      </c>
      <c r="I2745" s="310">
        <v>42229.0</v>
      </c>
      <c r="J2745" s="319">
        <f>IFERROR(__xludf.DUMMYFUNCTION("SPLIT(I2745,""/"")"),13.0)</f>
        <v>13</v>
      </c>
      <c r="K2745" s="308">
        <f>IFERROR(__xludf.DUMMYFUNCTION("""COMPUTED_VALUE"""),8.0)</f>
        <v>8</v>
      </c>
      <c r="L2745" s="308">
        <f>IFERROR(__xludf.DUMMYFUNCTION("""COMPUTED_VALUE"""),2015.0)</f>
        <v>2015</v>
      </c>
      <c r="M2745" s="308" t="s">
        <v>11316</v>
      </c>
      <c r="N2745" s="308"/>
      <c r="O2745" s="308" t="s">
        <v>11317</v>
      </c>
      <c r="P2745" s="308" t="s">
        <v>11318</v>
      </c>
      <c r="Q2745" s="308"/>
      <c r="R2745" s="308"/>
      <c r="S2745" s="308" t="s">
        <v>81</v>
      </c>
      <c r="T2745" s="308" t="s">
        <v>75</v>
      </c>
      <c r="U2745" s="308"/>
      <c r="V2745" s="312"/>
    </row>
    <row r="2746">
      <c r="A2746" s="308">
        <v>2745.0</v>
      </c>
      <c r="B2746" s="308"/>
      <c r="C2746" s="308" t="s">
        <v>11319</v>
      </c>
      <c r="D2746" s="308">
        <f>IFERROR(__xludf.DUMMYFUNCTION("SPLIT(C2746,""-"")"),2766.0)</f>
        <v>2766</v>
      </c>
      <c r="E2746" s="308" t="str">
        <f>IFERROR(__xludf.DUMMYFUNCTION("""COMPUTED_VALUE"""),"P")</f>
        <v>P</v>
      </c>
      <c r="F2746" s="312" t="s">
        <v>37</v>
      </c>
      <c r="G2746" s="308"/>
      <c r="H2746" s="308" t="s">
        <v>36759</v>
      </c>
      <c r="I2746" s="310">
        <v>41812.0</v>
      </c>
      <c r="J2746" s="319">
        <f>IFERROR(__xludf.DUMMYFUNCTION("SPLIT(I2746,""/"")"),22.0)</f>
        <v>22</v>
      </c>
      <c r="K2746" s="308">
        <f>IFERROR(__xludf.DUMMYFUNCTION("""COMPUTED_VALUE"""),6.0)</f>
        <v>6</v>
      </c>
      <c r="L2746" s="308">
        <f>IFERROR(__xludf.DUMMYFUNCTION("""COMPUTED_VALUE"""),2014.0)</f>
        <v>2014</v>
      </c>
      <c r="M2746" s="308" t="s">
        <v>11321</v>
      </c>
      <c r="N2746" s="308"/>
      <c r="O2746" s="308" t="s">
        <v>11322</v>
      </c>
      <c r="P2746" s="308" t="s">
        <v>11323</v>
      </c>
      <c r="Q2746" s="308"/>
      <c r="R2746" s="308"/>
      <c r="S2746" s="308" t="s">
        <v>81</v>
      </c>
      <c r="T2746" s="308" t="s">
        <v>75</v>
      </c>
      <c r="U2746" s="308" t="s">
        <v>143</v>
      </c>
      <c r="V2746" s="312"/>
    </row>
    <row r="2747">
      <c r="A2747" s="308">
        <v>2746.0</v>
      </c>
      <c r="B2747" s="308"/>
      <c r="C2747" s="308" t="s">
        <v>11324</v>
      </c>
      <c r="D2747" s="308">
        <f>IFERROR(__xludf.DUMMYFUNCTION("SPLIT(C2747,""-"")"),2767.0)</f>
        <v>2767</v>
      </c>
      <c r="E2747" s="308" t="str">
        <f>IFERROR(__xludf.DUMMYFUNCTION("""COMPUTED_VALUE"""),"ICT")</f>
        <v>ICT</v>
      </c>
      <c r="F2747" s="315" t="s">
        <v>31</v>
      </c>
      <c r="G2747" s="308"/>
      <c r="H2747" s="308" t="s">
        <v>11325</v>
      </c>
      <c r="I2747" s="310">
        <v>41879.0</v>
      </c>
      <c r="J2747" s="319">
        <f>IFERROR(__xludf.DUMMYFUNCTION("SPLIT(I2747,""/"")"),28.0)</f>
        <v>28</v>
      </c>
      <c r="K2747" s="308">
        <f>IFERROR(__xludf.DUMMYFUNCTION("""COMPUTED_VALUE"""),8.0)</f>
        <v>8</v>
      </c>
      <c r="L2747" s="308">
        <f>IFERROR(__xludf.DUMMYFUNCTION("""COMPUTED_VALUE"""),2014.0)</f>
        <v>2014</v>
      </c>
      <c r="M2747" s="308" t="s">
        <v>11326</v>
      </c>
      <c r="N2747" s="308" t="s">
        <v>11327</v>
      </c>
      <c r="O2747" s="308" t="s">
        <v>11328</v>
      </c>
      <c r="P2747" s="308" t="s">
        <v>36724</v>
      </c>
      <c r="Q2747" s="308"/>
      <c r="R2747" s="308"/>
      <c r="S2747" s="315" t="s">
        <v>100</v>
      </c>
      <c r="T2747" s="311" t="s">
        <v>34208</v>
      </c>
      <c r="U2747" s="308" t="s">
        <v>31</v>
      </c>
      <c r="V2747" s="312"/>
    </row>
    <row r="2748">
      <c r="A2748" s="308">
        <v>2747.0</v>
      </c>
      <c r="B2748" s="308"/>
      <c r="C2748" s="308" t="s">
        <v>11329</v>
      </c>
      <c r="D2748" s="308">
        <f>IFERROR(__xludf.DUMMYFUNCTION("SPLIT(C2748,""-"")"),2768.0)</f>
        <v>2768</v>
      </c>
      <c r="E2748" s="308" t="str">
        <f>IFERROR(__xludf.DUMMYFUNCTION("""COMPUTED_VALUE"""),"K")</f>
        <v>K</v>
      </c>
      <c r="F2748" s="309" t="s">
        <v>34</v>
      </c>
      <c r="G2748" s="308"/>
      <c r="H2748" s="308" t="s">
        <v>11330</v>
      </c>
      <c r="I2748" s="310">
        <v>41443.0</v>
      </c>
      <c r="J2748" s="319">
        <f>IFERROR(__xludf.DUMMYFUNCTION("SPLIT(I2748,""/"")"),18.0)</f>
        <v>18</v>
      </c>
      <c r="K2748" s="308">
        <f>IFERROR(__xludf.DUMMYFUNCTION("""COMPUTED_VALUE"""),6.0)</f>
        <v>6</v>
      </c>
      <c r="L2748" s="308">
        <f>IFERROR(__xludf.DUMMYFUNCTION("""COMPUTED_VALUE"""),2013.0)</f>
        <v>2013</v>
      </c>
      <c r="M2748" s="308" t="s">
        <v>36760</v>
      </c>
      <c r="N2748" s="308"/>
      <c r="O2748" s="308" t="s">
        <v>11332</v>
      </c>
      <c r="P2748" s="308" t="s">
        <v>36761</v>
      </c>
      <c r="Q2748" s="308"/>
      <c r="R2748" s="308"/>
      <c r="S2748" s="315" t="s">
        <v>100</v>
      </c>
      <c r="T2748" s="311" t="s">
        <v>34208</v>
      </c>
      <c r="U2748" s="308" t="s">
        <v>2152</v>
      </c>
      <c r="V2748" s="312"/>
    </row>
    <row r="2749">
      <c r="A2749" s="308">
        <v>2748.0</v>
      </c>
      <c r="B2749" s="308"/>
      <c r="C2749" s="308" t="s">
        <v>11333</v>
      </c>
      <c r="D2749" s="308">
        <f>IFERROR(__xludf.DUMMYFUNCTION("SPLIT(C2749,""-"")"),2769.0)</f>
        <v>2769</v>
      </c>
      <c r="E2749" s="308" t="str">
        <f>IFERROR(__xludf.DUMMYFUNCTION("""COMPUTED_VALUE"""),"P")</f>
        <v>P</v>
      </c>
      <c r="F2749" s="312" t="s">
        <v>37</v>
      </c>
      <c r="G2749" s="308"/>
      <c r="H2749" s="308" t="s">
        <v>11334</v>
      </c>
      <c r="I2749" s="314">
        <v>41995.0</v>
      </c>
      <c r="J2749" s="319">
        <f>IFERROR(__xludf.DUMMYFUNCTION("SPLIT(I2749,""/"")"),22.0)</f>
        <v>22</v>
      </c>
      <c r="K2749" s="308">
        <f>IFERROR(__xludf.DUMMYFUNCTION("""COMPUTED_VALUE"""),12.0)</f>
        <v>12</v>
      </c>
      <c r="L2749" s="308">
        <f>IFERROR(__xludf.DUMMYFUNCTION("""COMPUTED_VALUE"""),2014.0)</f>
        <v>2014</v>
      </c>
      <c r="M2749" s="308" t="s">
        <v>11335</v>
      </c>
      <c r="N2749" s="308"/>
      <c r="O2749" s="308" t="s">
        <v>11336</v>
      </c>
      <c r="P2749" s="308" t="s">
        <v>11337</v>
      </c>
      <c r="Q2749" s="308"/>
      <c r="R2749" s="308"/>
      <c r="S2749" s="308" t="s">
        <v>81</v>
      </c>
      <c r="T2749" s="311" t="s">
        <v>73</v>
      </c>
      <c r="U2749" s="308"/>
      <c r="V2749" s="312"/>
    </row>
    <row r="2750">
      <c r="A2750" s="308">
        <v>2749.0</v>
      </c>
      <c r="B2750" s="308"/>
      <c r="C2750" s="308" t="s">
        <v>11338</v>
      </c>
      <c r="D2750" s="308">
        <f>IFERROR(__xludf.DUMMYFUNCTION("SPLIT(C2750,""-"")"),2770.0)</f>
        <v>2770</v>
      </c>
      <c r="E2750" s="308" t="str">
        <f>IFERROR(__xludf.DUMMYFUNCTION("""COMPUTED_VALUE"""),"K")</f>
        <v>K</v>
      </c>
      <c r="F2750" s="309" t="s">
        <v>34</v>
      </c>
      <c r="G2750" s="308"/>
      <c r="H2750" s="308" t="s">
        <v>11339</v>
      </c>
      <c r="I2750" s="314">
        <v>41242.0</v>
      </c>
      <c r="J2750" s="319">
        <f>IFERROR(__xludf.DUMMYFUNCTION("SPLIT(I2750,""/"")"),29.0)</f>
        <v>29</v>
      </c>
      <c r="K2750" s="308">
        <f>IFERROR(__xludf.DUMMYFUNCTION("""COMPUTED_VALUE"""),11.0)</f>
        <v>11</v>
      </c>
      <c r="L2750" s="308">
        <f>IFERROR(__xludf.DUMMYFUNCTION("""COMPUTED_VALUE"""),2012.0)</f>
        <v>2012</v>
      </c>
      <c r="M2750" s="308" t="s">
        <v>11340</v>
      </c>
      <c r="N2750" s="308" t="s">
        <v>11341</v>
      </c>
      <c r="O2750" s="308" t="s">
        <v>11342</v>
      </c>
      <c r="P2750" s="308" t="s">
        <v>36762</v>
      </c>
      <c r="Q2750" s="308"/>
      <c r="R2750" s="308"/>
      <c r="S2750" s="308" t="s">
        <v>49</v>
      </c>
      <c r="T2750" s="308" t="s">
        <v>51</v>
      </c>
      <c r="U2750" s="308" t="s">
        <v>872</v>
      </c>
      <c r="V2750" s="312"/>
    </row>
    <row r="2751">
      <c r="A2751" s="308">
        <v>2750.0</v>
      </c>
      <c r="B2751" s="308"/>
      <c r="C2751" s="308" t="s">
        <v>11344</v>
      </c>
      <c r="D2751" s="308">
        <f>IFERROR(__xludf.DUMMYFUNCTION("SPLIT(C2751,""-"")"),2771.0)</f>
        <v>2771</v>
      </c>
      <c r="E2751" s="308" t="str">
        <f>IFERROR(__xludf.DUMMYFUNCTION("""COMPUTED_VALUE"""),"K")</f>
        <v>K</v>
      </c>
      <c r="F2751" s="309" t="s">
        <v>34</v>
      </c>
      <c r="G2751" s="308"/>
      <c r="H2751" s="308" t="s">
        <v>11345</v>
      </c>
      <c r="I2751" s="310">
        <v>40014.0</v>
      </c>
      <c r="J2751" s="319">
        <f>IFERROR(__xludf.DUMMYFUNCTION("SPLIT(I2751,""/"")"),20.0)</f>
        <v>20</v>
      </c>
      <c r="K2751" s="308">
        <f>IFERROR(__xludf.DUMMYFUNCTION("""COMPUTED_VALUE"""),7.0)</f>
        <v>7</v>
      </c>
      <c r="L2751" s="308">
        <f>IFERROR(__xludf.DUMMYFUNCTION("""COMPUTED_VALUE"""),2009.0)</f>
        <v>2009</v>
      </c>
      <c r="M2751" s="308" t="s">
        <v>11346</v>
      </c>
      <c r="N2751" s="308"/>
      <c r="O2751" s="308" t="s">
        <v>11347</v>
      </c>
      <c r="P2751" s="308" t="s">
        <v>6322</v>
      </c>
      <c r="Q2751" s="308"/>
      <c r="R2751" s="308"/>
      <c r="S2751" s="315" t="s">
        <v>100</v>
      </c>
      <c r="T2751" s="311" t="s">
        <v>34208</v>
      </c>
      <c r="U2751" s="308" t="s">
        <v>4749</v>
      </c>
      <c r="V2751" s="312"/>
    </row>
    <row r="2752">
      <c r="A2752" s="308">
        <v>2751.0</v>
      </c>
      <c r="B2752" s="308"/>
      <c r="C2752" s="308" t="s">
        <v>11348</v>
      </c>
      <c r="D2752" s="308">
        <f>IFERROR(__xludf.DUMMYFUNCTION("SPLIT(C2752,""-"")"),2772.0)</f>
        <v>2772</v>
      </c>
      <c r="E2752" s="308" t="str">
        <f>IFERROR(__xludf.DUMMYFUNCTION("""COMPUTED_VALUE"""),"K")</f>
        <v>K</v>
      </c>
      <c r="F2752" s="309" t="s">
        <v>34</v>
      </c>
      <c r="G2752" s="308"/>
      <c r="H2752" s="308" t="s">
        <v>11349</v>
      </c>
      <c r="I2752" s="310">
        <v>41812.0</v>
      </c>
      <c r="J2752" s="319">
        <f>IFERROR(__xludf.DUMMYFUNCTION("SPLIT(I2752,""/"")"),22.0)</f>
        <v>22</v>
      </c>
      <c r="K2752" s="308">
        <f>IFERROR(__xludf.DUMMYFUNCTION("""COMPUTED_VALUE"""),6.0)</f>
        <v>6</v>
      </c>
      <c r="L2752" s="308">
        <f>IFERROR(__xludf.DUMMYFUNCTION("""COMPUTED_VALUE"""),2014.0)</f>
        <v>2014</v>
      </c>
      <c r="M2752" s="308" t="s">
        <v>11350</v>
      </c>
      <c r="N2752" s="308"/>
      <c r="O2752" s="308" t="s">
        <v>635</v>
      </c>
      <c r="P2752" s="308" t="s">
        <v>11351</v>
      </c>
      <c r="Q2752" s="308"/>
      <c r="R2752" s="308"/>
      <c r="S2752" s="308" t="s">
        <v>81</v>
      </c>
      <c r="T2752" s="308" t="s">
        <v>75</v>
      </c>
      <c r="U2752" s="308"/>
      <c r="V2752" s="312"/>
    </row>
    <row r="2753">
      <c r="A2753" s="308">
        <v>2752.0</v>
      </c>
      <c r="B2753" s="308"/>
      <c r="C2753" s="308" t="s">
        <v>11352</v>
      </c>
      <c r="D2753" s="308">
        <f>IFERROR(__xludf.DUMMYFUNCTION("SPLIT(C2753,""-"")"),2773.0)</f>
        <v>2773</v>
      </c>
      <c r="E2753" s="308" t="str">
        <f>IFERROR(__xludf.DUMMYFUNCTION("""COMPUTED_VALUE"""),"K")</f>
        <v>K</v>
      </c>
      <c r="F2753" s="309" t="s">
        <v>34</v>
      </c>
      <c r="G2753" s="308"/>
      <c r="H2753" s="308" t="s">
        <v>11353</v>
      </c>
      <c r="I2753" s="310">
        <v>41812.0</v>
      </c>
      <c r="J2753" s="319">
        <f>IFERROR(__xludf.DUMMYFUNCTION("SPLIT(I2753,""/"")"),22.0)</f>
        <v>22</v>
      </c>
      <c r="K2753" s="308">
        <f>IFERROR(__xludf.DUMMYFUNCTION("""COMPUTED_VALUE"""),6.0)</f>
        <v>6</v>
      </c>
      <c r="L2753" s="308">
        <f>IFERROR(__xludf.DUMMYFUNCTION("""COMPUTED_VALUE"""),2014.0)</f>
        <v>2014</v>
      </c>
      <c r="M2753" s="308" t="s">
        <v>11350</v>
      </c>
      <c r="N2753" s="308"/>
      <c r="O2753" s="308" t="s">
        <v>635</v>
      </c>
      <c r="P2753" s="308" t="s">
        <v>11354</v>
      </c>
      <c r="Q2753" s="308"/>
      <c r="R2753" s="308"/>
      <c r="S2753" s="308" t="s">
        <v>81</v>
      </c>
      <c r="T2753" s="308" t="s">
        <v>34264</v>
      </c>
      <c r="U2753" s="308" t="s">
        <v>542</v>
      </c>
      <c r="V2753" s="312"/>
    </row>
    <row r="2754">
      <c r="A2754" s="308">
        <v>2753.0</v>
      </c>
      <c r="B2754" s="308"/>
      <c r="C2754" s="308" t="s">
        <v>11355</v>
      </c>
      <c r="D2754" s="308">
        <f>IFERROR(__xludf.DUMMYFUNCTION("SPLIT(C2754,""-"")"),2774.0)</f>
        <v>2774</v>
      </c>
      <c r="E2754" s="308" t="str">
        <f>IFERROR(__xludf.DUMMYFUNCTION("""COMPUTED_VALUE"""),"K")</f>
        <v>K</v>
      </c>
      <c r="F2754" s="309" t="s">
        <v>34</v>
      </c>
      <c r="G2754" s="308"/>
      <c r="H2754" s="308" t="s">
        <v>11356</v>
      </c>
      <c r="I2754" s="310">
        <v>41812.0</v>
      </c>
      <c r="J2754" s="319">
        <f>IFERROR(__xludf.DUMMYFUNCTION("SPLIT(I2754,""/"")"),22.0)</f>
        <v>22</v>
      </c>
      <c r="K2754" s="308">
        <f>IFERROR(__xludf.DUMMYFUNCTION("""COMPUTED_VALUE"""),6.0)</f>
        <v>6</v>
      </c>
      <c r="L2754" s="308">
        <f>IFERROR(__xludf.DUMMYFUNCTION("""COMPUTED_VALUE"""),2014.0)</f>
        <v>2014</v>
      </c>
      <c r="M2754" s="308" t="s">
        <v>11357</v>
      </c>
      <c r="N2754" s="308"/>
      <c r="O2754" s="308" t="s">
        <v>635</v>
      </c>
      <c r="P2754" s="308" t="s">
        <v>11358</v>
      </c>
      <c r="Q2754" s="308"/>
      <c r="R2754" s="308"/>
      <c r="S2754" s="308" t="s">
        <v>81</v>
      </c>
      <c r="T2754" s="308" t="s">
        <v>75</v>
      </c>
      <c r="U2754" s="308"/>
      <c r="V2754" s="312"/>
    </row>
    <row r="2755">
      <c r="A2755" s="308">
        <v>2754.0</v>
      </c>
      <c r="B2755" s="308"/>
      <c r="C2755" s="308" t="s">
        <v>11359</v>
      </c>
      <c r="D2755" s="308">
        <f>IFERROR(__xludf.DUMMYFUNCTION("SPLIT(C2755,""-"")"),2775.0)</f>
        <v>2775</v>
      </c>
      <c r="E2755" s="308" t="str">
        <f>IFERROR(__xludf.DUMMYFUNCTION("""COMPUTED_VALUE"""),"K")</f>
        <v>K</v>
      </c>
      <c r="F2755" s="309" t="s">
        <v>34</v>
      </c>
      <c r="G2755" s="308"/>
      <c r="H2755" s="308" t="s">
        <v>11360</v>
      </c>
      <c r="I2755" s="310">
        <v>41812.0</v>
      </c>
      <c r="J2755" s="319">
        <f>IFERROR(__xludf.DUMMYFUNCTION("SPLIT(I2755,""/"")"),22.0)</f>
        <v>22</v>
      </c>
      <c r="K2755" s="308">
        <f>IFERROR(__xludf.DUMMYFUNCTION("""COMPUTED_VALUE"""),6.0)</f>
        <v>6</v>
      </c>
      <c r="L2755" s="308">
        <f>IFERROR(__xludf.DUMMYFUNCTION("""COMPUTED_VALUE"""),2014.0)</f>
        <v>2014</v>
      </c>
      <c r="M2755" s="308" t="s">
        <v>11361</v>
      </c>
      <c r="N2755" s="308"/>
      <c r="O2755" s="308" t="s">
        <v>635</v>
      </c>
      <c r="P2755" s="308" t="s">
        <v>11354</v>
      </c>
      <c r="Q2755" s="308"/>
      <c r="R2755" s="308"/>
      <c r="S2755" s="308" t="s">
        <v>81</v>
      </c>
      <c r="T2755" s="308" t="s">
        <v>34264</v>
      </c>
      <c r="U2755" s="308" t="s">
        <v>542</v>
      </c>
      <c r="V2755" s="312"/>
    </row>
    <row r="2756">
      <c r="A2756" s="308">
        <v>2755.0</v>
      </c>
      <c r="B2756" s="308"/>
      <c r="C2756" s="308" t="s">
        <v>11362</v>
      </c>
      <c r="D2756" s="308">
        <f>IFERROR(__xludf.DUMMYFUNCTION("SPLIT(C2756,""-"")"),2776.0)</f>
        <v>2776</v>
      </c>
      <c r="E2756" s="308" t="str">
        <f>IFERROR(__xludf.DUMMYFUNCTION("""COMPUTED_VALUE"""),"K")</f>
        <v>K</v>
      </c>
      <c r="F2756" s="309" t="s">
        <v>34</v>
      </c>
      <c r="G2756" s="308"/>
      <c r="H2756" s="308" t="s">
        <v>11363</v>
      </c>
      <c r="I2756" s="310">
        <v>41812.0</v>
      </c>
      <c r="J2756" s="319">
        <f>IFERROR(__xludf.DUMMYFUNCTION("SPLIT(I2756,""/"")"),22.0)</f>
        <v>22</v>
      </c>
      <c r="K2756" s="308">
        <f>IFERROR(__xludf.DUMMYFUNCTION("""COMPUTED_VALUE"""),6.0)</f>
        <v>6</v>
      </c>
      <c r="L2756" s="308">
        <f>IFERROR(__xludf.DUMMYFUNCTION("""COMPUTED_VALUE"""),2014.0)</f>
        <v>2014</v>
      </c>
      <c r="M2756" s="308" t="s">
        <v>11364</v>
      </c>
      <c r="N2756" s="308"/>
      <c r="O2756" s="308" t="s">
        <v>635</v>
      </c>
      <c r="P2756" s="308" t="s">
        <v>11354</v>
      </c>
      <c r="Q2756" s="308"/>
      <c r="R2756" s="308"/>
      <c r="S2756" s="308" t="s">
        <v>81</v>
      </c>
      <c r="T2756" s="308" t="s">
        <v>34264</v>
      </c>
      <c r="U2756" s="308" t="s">
        <v>542</v>
      </c>
      <c r="V2756" s="312"/>
    </row>
    <row r="2757">
      <c r="A2757" s="308">
        <v>2756.0</v>
      </c>
      <c r="B2757" s="308"/>
      <c r="C2757" s="308" t="s">
        <v>11365</v>
      </c>
      <c r="D2757" s="308">
        <f>IFERROR(__xludf.DUMMYFUNCTION("SPLIT(C2757,""-"")"),2777.0)</f>
        <v>2777</v>
      </c>
      <c r="E2757" s="308" t="str">
        <f>IFERROR(__xludf.DUMMYFUNCTION("""COMPUTED_VALUE"""),"K")</f>
        <v>K</v>
      </c>
      <c r="F2757" s="309" t="s">
        <v>34</v>
      </c>
      <c r="G2757" s="308"/>
      <c r="H2757" s="308" t="s">
        <v>11366</v>
      </c>
      <c r="I2757" s="310">
        <v>41812.0</v>
      </c>
      <c r="J2757" s="319">
        <f>IFERROR(__xludf.DUMMYFUNCTION("SPLIT(I2757,""/"")"),22.0)</f>
        <v>22</v>
      </c>
      <c r="K2757" s="308">
        <f>IFERROR(__xludf.DUMMYFUNCTION("""COMPUTED_VALUE"""),6.0)</f>
        <v>6</v>
      </c>
      <c r="L2757" s="308">
        <f>IFERROR(__xludf.DUMMYFUNCTION("""COMPUTED_VALUE"""),2014.0)</f>
        <v>2014</v>
      </c>
      <c r="M2757" s="308" t="s">
        <v>11367</v>
      </c>
      <c r="N2757" s="308"/>
      <c r="O2757" s="308" t="s">
        <v>635</v>
      </c>
      <c r="P2757" s="308" t="s">
        <v>11368</v>
      </c>
      <c r="Q2757" s="308"/>
      <c r="R2757" s="308"/>
      <c r="S2757" s="308" t="s">
        <v>81</v>
      </c>
      <c r="T2757" s="308" t="s">
        <v>75</v>
      </c>
      <c r="U2757" s="308" t="s">
        <v>542</v>
      </c>
      <c r="V2757" s="312"/>
    </row>
    <row r="2758">
      <c r="A2758" s="308">
        <v>2757.0</v>
      </c>
      <c r="B2758" s="308"/>
      <c r="C2758" s="308" t="s">
        <v>11369</v>
      </c>
      <c r="D2758" s="308">
        <f>IFERROR(__xludf.DUMMYFUNCTION("SPLIT(C2758,""-"")"),2778.0)</f>
        <v>2778</v>
      </c>
      <c r="E2758" s="308" t="str">
        <f>IFERROR(__xludf.DUMMYFUNCTION("""COMPUTED_VALUE"""),"K")</f>
        <v>K</v>
      </c>
      <c r="F2758" s="309" t="s">
        <v>34</v>
      </c>
      <c r="G2758" s="308"/>
      <c r="H2758" s="308" t="s">
        <v>11370</v>
      </c>
      <c r="I2758" s="310">
        <v>41812.0</v>
      </c>
      <c r="J2758" s="319">
        <f>IFERROR(__xludf.DUMMYFUNCTION("SPLIT(I2758,""/"")"),22.0)</f>
        <v>22</v>
      </c>
      <c r="K2758" s="308">
        <f>IFERROR(__xludf.DUMMYFUNCTION("""COMPUTED_VALUE"""),6.0)</f>
        <v>6</v>
      </c>
      <c r="L2758" s="308">
        <f>IFERROR(__xludf.DUMMYFUNCTION("""COMPUTED_VALUE"""),2014.0)</f>
        <v>2014</v>
      </c>
      <c r="M2758" s="308" t="s">
        <v>11371</v>
      </c>
      <c r="N2758" s="308"/>
      <c r="O2758" s="308" t="s">
        <v>635</v>
      </c>
      <c r="P2758" s="308" t="s">
        <v>11372</v>
      </c>
      <c r="Q2758" s="308"/>
      <c r="R2758" s="308"/>
      <c r="S2758" s="308" t="s">
        <v>81</v>
      </c>
      <c r="T2758" s="308" t="s">
        <v>34264</v>
      </c>
      <c r="U2758" s="308" t="s">
        <v>542</v>
      </c>
      <c r="V2758" s="312"/>
    </row>
    <row r="2759">
      <c r="A2759" s="308">
        <v>2758.0</v>
      </c>
      <c r="B2759" s="308"/>
      <c r="C2759" s="308" t="s">
        <v>11373</v>
      </c>
      <c r="D2759" s="308">
        <f>IFERROR(__xludf.DUMMYFUNCTION("SPLIT(C2759,""-"")"),2779.0)</f>
        <v>2779</v>
      </c>
      <c r="E2759" s="308" t="str">
        <f>IFERROR(__xludf.DUMMYFUNCTION("""COMPUTED_VALUE"""),"K")</f>
        <v>K</v>
      </c>
      <c r="F2759" s="309" t="s">
        <v>34</v>
      </c>
      <c r="G2759" s="308"/>
      <c r="H2759" s="308" t="s">
        <v>11374</v>
      </c>
      <c r="I2759" s="310">
        <v>41812.0</v>
      </c>
      <c r="J2759" s="319">
        <f>IFERROR(__xludf.DUMMYFUNCTION("SPLIT(I2759,""/"")"),22.0)</f>
        <v>22</v>
      </c>
      <c r="K2759" s="308">
        <f>IFERROR(__xludf.DUMMYFUNCTION("""COMPUTED_VALUE"""),6.0)</f>
        <v>6</v>
      </c>
      <c r="L2759" s="308">
        <f>IFERROR(__xludf.DUMMYFUNCTION("""COMPUTED_VALUE"""),2014.0)</f>
        <v>2014</v>
      </c>
      <c r="M2759" s="308" t="s">
        <v>11375</v>
      </c>
      <c r="N2759" s="308"/>
      <c r="O2759" s="308" t="s">
        <v>635</v>
      </c>
      <c r="P2759" s="308" t="s">
        <v>36763</v>
      </c>
      <c r="Q2759" s="308"/>
      <c r="R2759" s="308"/>
      <c r="S2759" s="308" t="s">
        <v>81</v>
      </c>
      <c r="T2759" s="311" t="s">
        <v>75</v>
      </c>
      <c r="U2759" s="308" t="s">
        <v>542</v>
      </c>
      <c r="V2759" s="312"/>
    </row>
    <row r="2760">
      <c r="A2760" s="308">
        <v>2759.0</v>
      </c>
      <c r="B2760" s="308"/>
      <c r="C2760" s="308" t="s">
        <v>11377</v>
      </c>
      <c r="D2760" s="308">
        <f>IFERROR(__xludf.DUMMYFUNCTION("SPLIT(C2760,""-"")"),2780.0)</f>
        <v>2780</v>
      </c>
      <c r="E2760" s="308" t="str">
        <f>IFERROR(__xludf.DUMMYFUNCTION("""COMPUTED_VALUE"""),"K")</f>
        <v>K</v>
      </c>
      <c r="F2760" s="309" t="s">
        <v>34</v>
      </c>
      <c r="G2760" s="308"/>
      <c r="H2760" s="308" t="s">
        <v>11378</v>
      </c>
      <c r="I2760" s="310">
        <v>41812.0</v>
      </c>
      <c r="J2760" s="319">
        <f>IFERROR(__xludf.DUMMYFUNCTION("SPLIT(I2760,""/"")"),22.0)</f>
        <v>22</v>
      </c>
      <c r="K2760" s="308">
        <f>IFERROR(__xludf.DUMMYFUNCTION("""COMPUTED_VALUE"""),6.0)</f>
        <v>6</v>
      </c>
      <c r="L2760" s="308">
        <f>IFERROR(__xludf.DUMMYFUNCTION("""COMPUTED_VALUE"""),2014.0)</f>
        <v>2014</v>
      </c>
      <c r="M2760" s="308" t="s">
        <v>11379</v>
      </c>
      <c r="N2760" s="308"/>
      <c r="O2760" s="308" t="s">
        <v>635</v>
      </c>
      <c r="P2760" s="308" t="s">
        <v>11354</v>
      </c>
      <c r="Q2760" s="308"/>
      <c r="R2760" s="308"/>
      <c r="S2760" s="308" t="s">
        <v>81</v>
      </c>
      <c r="T2760" s="308" t="s">
        <v>34264</v>
      </c>
      <c r="U2760" s="308" t="s">
        <v>542</v>
      </c>
      <c r="V2760" s="312"/>
    </row>
    <row r="2761">
      <c r="A2761" s="308">
        <v>2760.0</v>
      </c>
      <c r="B2761" s="308"/>
      <c r="C2761" s="308" t="s">
        <v>11380</v>
      </c>
      <c r="D2761" s="308">
        <f>IFERROR(__xludf.DUMMYFUNCTION("SPLIT(C2761,""-"")"),2781.0)</f>
        <v>2781</v>
      </c>
      <c r="E2761" s="308" t="str">
        <f>IFERROR(__xludf.DUMMYFUNCTION("""COMPUTED_VALUE"""),"K")</f>
        <v>K</v>
      </c>
      <c r="F2761" s="309" t="s">
        <v>34</v>
      </c>
      <c r="G2761" s="308"/>
      <c r="H2761" s="308" t="s">
        <v>11381</v>
      </c>
      <c r="I2761" s="310">
        <v>41812.0</v>
      </c>
      <c r="J2761" s="319">
        <f>IFERROR(__xludf.DUMMYFUNCTION("SPLIT(I2761,""/"")"),22.0)</f>
        <v>22</v>
      </c>
      <c r="K2761" s="308">
        <f>IFERROR(__xludf.DUMMYFUNCTION("""COMPUTED_VALUE"""),6.0)</f>
        <v>6</v>
      </c>
      <c r="L2761" s="308">
        <f>IFERROR(__xludf.DUMMYFUNCTION("""COMPUTED_VALUE"""),2014.0)</f>
        <v>2014</v>
      </c>
      <c r="M2761" s="308" t="s">
        <v>11382</v>
      </c>
      <c r="N2761" s="308"/>
      <c r="O2761" s="308" t="s">
        <v>635</v>
      </c>
      <c r="P2761" s="308" t="s">
        <v>11383</v>
      </c>
      <c r="Q2761" s="308"/>
      <c r="R2761" s="308"/>
      <c r="S2761" s="308" t="s">
        <v>81</v>
      </c>
      <c r="T2761" s="308" t="s">
        <v>34264</v>
      </c>
      <c r="U2761" s="308" t="s">
        <v>542</v>
      </c>
      <c r="V2761" s="312"/>
    </row>
    <row r="2762">
      <c r="A2762" s="308">
        <v>2761.0</v>
      </c>
      <c r="B2762" s="308"/>
      <c r="C2762" s="308" t="s">
        <v>11384</v>
      </c>
      <c r="D2762" s="308">
        <f>IFERROR(__xludf.DUMMYFUNCTION("SPLIT(C2762,""-"")"),2782.0)</f>
        <v>2782</v>
      </c>
      <c r="E2762" s="308" t="str">
        <f>IFERROR(__xludf.DUMMYFUNCTION("""COMPUTED_VALUE"""),"K")</f>
        <v>K</v>
      </c>
      <c r="F2762" s="309" t="s">
        <v>34</v>
      </c>
      <c r="G2762" s="308"/>
      <c r="H2762" s="308" t="s">
        <v>11385</v>
      </c>
      <c r="I2762" s="310">
        <v>41812.0</v>
      </c>
      <c r="J2762" s="319">
        <f>IFERROR(__xludf.DUMMYFUNCTION("SPLIT(I2762,""/"")"),22.0)</f>
        <v>22</v>
      </c>
      <c r="K2762" s="308">
        <f>IFERROR(__xludf.DUMMYFUNCTION("""COMPUTED_VALUE"""),6.0)</f>
        <v>6</v>
      </c>
      <c r="L2762" s="308">
        <f>IFERROR(__xludf.DUMMYFUNCTION("""COMPUTED_VALUE"""),2014.0)</f>
        <v>2014</v>
      </c>
      <c r="M2762" s="308" t="s">
        <v>11386</v>
      </c>
      <c r="N2762" s="308"/>
      <c r="O2762" s="308" t="s">
        <v>635</v>
      </c>
      <c r="P2762" s="308" t="s">
        <v>11387</v>
      </c>
      <c r="Q2762" s="308"/>
      <c r="R2762" s="308"/>
      <c r="S2762" s="308" t="s">
        <v>81</v>
      </c>
      <c r="T2762" s="308" t="s">
        <v>34264</v>
      </c>
      <c r="U2762" s="308" t="s">
        <v>542</v>
      </c>
      <c r="V2762" s="312"/>
    </row>
    <row r="2763">
      <c r="A2763" s="308">
        <v>2762.0</v>
      </c>
      <c r="B2763" s="308"/>
      <c r="C2763" s="308" t="s">
        <v>11388</v>
      </c>
      <c r="D2763" s="308">
        <f>IFERROR(__xludf.DUMMYFUNCTION("SPLIT(C2763,""-"")"),2783.0)</f>
        <v>2783</v>
      </c>
      <c r="E2763" s="308" t="str">
        <f>IFERROR(__xludf.DUMMYFUNCTION("""COMPUTED_VALUE"""),"K")</f>
        <v>K</v>
      </c>
      <c r="F2763" s="309" t="s">
        <v>34</v>
      </c>
      <c r="G2763" s="308"/>
      <c r="H2763" s="308" t="s">
        <v>11389</v>
      </c>
      <c r="I2763" s="310">
        <v>41812.0</v>
      </c>
      <c r="J2763" s="319">
        <f>IFERROR(__xludf.DUMMYFUNCTION("SPLIT(I2763,""/"")"),22.0)</f>
        <v>22</v>
      </c>
      <c r="K2763" s="308">
        <f>IFERROR(__xludf.DUMMYFUNCTION("""COMPUTED_VALUE"""),6.0)</f>
        <v>6</v>
      </c>
      <c r="L2763" s="308">
        <f>IFERROR(__xludf.DUMMYFUNCTION("""COMPUTED_VALUE"""),2014.0)</f>
        <v>2014</v>
      </c>
      <c r="M2763" s="308" t="s">
        <v>11390</v>
      </c>
      <c r="N2763" s="308"/>
      <c r="O2763" s="308" t="s">
        <v>635</v>
      </c>
      <c r="P2763" s="308" t="s">
        <v>36764</v>
      </c>
      <c r="Q2763" s="308"/>
      <c r="R2763" s="308"/>
      <c r="S2763" s="308" t="s">
        <v>81</v>
      </c>
      <c r="T2763" s="311" t="s">
        <v>75</v>
      </c>
      <c r="U2763" s="308" t="s">
        <v>542</v>
      </c>
      <c r="V2763" s="312"/>
    </row>
    <row r="2764">
      <c r="A2764" s="308">
        <v>2763.0</v>
      </c>
      <c r="B2764" s="308"/>
      <c r="C2764" s="308" t="s">
        <v>11392</v>
      </c>
      <c r="D2764" s="308">
        <f>IFERROR(__xludf.DUMMYFUNCTION("SPLIT(C2764,""-"")"),2784.0)</f>
        <v>2784</v>
      </c>
      <c r="E2764" s="308" t="str">
        <f>IFERROR(__xludf.DUMMYFUNCTION("""COMPUTED_VALUE"""),"K")</f>
        <v>K</v>
      </c>
      <c r="F2764" s="309" t="s">
        <v>34</v>
      </c>
      <c r="G2764" s="308"/>
      <c r="H2764" s="308" t="s">
        <v>11393</v>
      </c>
      <c r="I2764" s="310">
        <v>41812.0</v>
      </c>
      <c r="J2764" s="319">
        <f>IFERROR(__xludf.DUMMYFUNCTION("SPLIT(I2764,""/"")"),22.0)</f>
        <v>22</v>
      </c>
      <c r="K2764" s="308">
        <f>IFERROR(__xludf.DUMMYFUNCTION("""COMPUTED_VALUE"""),6.0)</f>
        <v>6</v>
      </c>
      <c r="L2764" s="308">
        <f>IFERROR(__xludf.DUMMYFUNCTION("""COMPUTED_VALUE"""),2014.0)</f>
        <v>2014</v>
      </c>
      <c r="M2764" s="308" t="s">
        <v>11394</v>
      </c>
      <c r="N2764" s="308"/>
      <c r="O2764" s="308" t="s">
        <v>635</v>
      </c>
      <c r="P2764" s="308" t="s">
        <v>11354</v>
      </c>
      <c r="Q2764" s="308"/>
      <c r="R2764" s="308"/>
      <c r="S2764" s="308" t="s">
        <v>81</v>
      </c>
      <c r="T2764" s="308" t="s">
        <v>34264</v>
      </c>
      <c r="U2764" s="308" t="s">
        <v>542</v>
      </c>
      <c r="V2764" s="312"/>
    </row>
    <row r="2765">
      <c r="A2765" s="308">
        <v>2764.0</v>
      </c>
      <c r="B2765" s="308"/>
      <c r="C2765" s="308" t="s">
        <v>11395</v>
      </c>
      <c r="D2765" s="308">
        <f>IFERROR(__xludf.DUMMYFUNCTION("SPLIT(C2765,""-"")"),2785.0)</f>
        <v>2785</v>
      </c>
      <c r="E2765" s="308" t="str">
        <f>IFERROR(__xludf.DUMMYFUNCTION("""COMPUTED_VALUE"""),"K")</f>
        <v>K</v>
      </c>
      <c r="F2765" s="309" t="s">
        <v>34</v>
      </c>
      <c r="G2765" s="308"/>
      <c r="H2765" s="308" t="s">
        <v>11396</v>
      </c>
      <c r="I2765" s="316">
        <v>2014.0</v>
      </c>
      <c r="J2765" s="319"/>
      <c r="K2765" s="308"/>
      <c r="L2765" s="311">
        <v>2014.0</v>
      </c>
      <c r="M2765" s="308" t="s">
        <v>11397</v>
      </c>
      <c r="N2765" s="308"/>
      <c r="O2765" s="308" t="s">
        <v>11398</v>
      </c>
      <c r="P2765" s="308" t="s">
        <v>6322</v>
      </c>
      <c r="Q2765" s="308"/>
      <c r="R2765" s="308"/>
      <c r="S2765" s="315" t="s">
        <v>100</v>
      </c>
      <c r="T2765" s="311" t="s">
        <v>34208</v>
      </c>
      <c r="U2765" s="308" t="s">
        <v>4749</v>
      </c>
      <c r="V2765" s="312"/>
    </row>
    <row r="2766">
      <c r="A2766" s="308">
        <v>2765.0</v>
      </c>
      <c r="B2766" s="308"/>
      <c r="C2766" s="308" t="s">
        <v>11399</v>
      </c>
      <c r="D2766" s="308">
        <f>IFERROR(__xludf.DUMMYFUNCTION("SPLIT(C2766,""-"")"),2786.0)</f>
        <v>2786</v>
      </c>
      <c r="E2766" s="308" t="str">
        <f>IFERROR(__xludf.DUMMYFUNCTION("""COMPUTED_VALUE"""),"P")</f>
        <v>P</v>
      </c>
      <c r="F2766" s="312" t="s">
        <v>37</v>
      </c>
      <c r="G2766" s="308"/>
      <c r="H2766" s="308" t="s">
        <v>11400</v>
      </c>
      <c r="I2766" s="310">
        <v>42210.0</v>
      </c>
      <c r="J2766" s="319">
        <f>IFERROR(__xludf.DUMMYFUNCTION("SPLIT(I2766,""/"")"),25.0)</f>
        <v>25</v>
      </c>
      <c r="K2766" s="308">
        <f>IFERROR(__xludf.DUMMYFUNCTION("""COMPUTED_VALUE"""),7.0)</f>
        <v>7</v>
      </c>
      <c r="L2766" s="308">
        <f>IFERROR(__xludf.DUMMYFUNCTION("""COMPUTED_VALUE"""),2015.0)</f>
        <v>2015</v>
      </c>
      <c r="M2766" s="308" t="s">
        <v>11401</v>
      </c>
      <c r="N2766" s="308"/>
      <c r="O2766" s="308" t="s">
        <v>11402</v>
      </c>
      <c r="P2766" s="308" t="s">
        <v>36765</v>
      </c>
      <c r="Q2766" s="308"/>
      <c r="R2766" s="308"/>
      <c r="S2766" s="308" t="s">
        <v>81</v>
      </c>
      <c r="T2766" s="308" t="s">
        <v>34264</v>
      </c>
      <c r="U2766" s="308" t="s">
        <v>2291</v>
      </c>
      <c r="V2766" s="312"/>
    </row>
    <row r="2767">
      <c r="A2767" s="308">
        <v>2766.0</v>
      </c>
      <c r="B2767" s="308"/>
      <c r="C2767" s="308" t="s">
        <v>11404</v>
      </c>
      <c r="D2767" s="308">
        <f>IFERROR(__xludf.DUMMYFUNCTION("SPLIT(C2767,""-"")"),2787.0)</f>
        <v>2787</v>
      </c>
      <c r="E2767" s="308" t="str">
        <f>IFERROR(__xludf.DUMMYFUNCTION("""COMPUTED_VALUE"""),"S")</f>
        <v>S</v>
      </c>
      <c r="F2767" s="312" t="s">
        <v>39</v>
      </c>
      <c r="G2767" s="308"/>
      <c r="H2767" s="308" t="s">
        <v>11405</v>
      </c>
      <c r="I2767" s="333">
        <v>44738.0</v>
      </c>
      <c r="J2767" s="319">
        <f>IFERROR(__xludf.DUMMYFUNCTION("SPLIT(I2767,""/"")"),26.0)</f>
        <v>26</v>
      </c>
      <c r="K2767" s="308">
        <f>IFERROR(__xludf.DUMMYFUNCTION("""COMPUTED_VALUE"""),6.0)</f>
        <v>6</v>
      </c>
      <c r="L2767" s="311" t="s">
        <v>79</v>
      </c>
      <c r="M2767" s="308" t="s">
        <v>11406</v>
      </c>
      <c r="N2767" s="308"/>
      <c r="O2767" s="308" t="s">
        <v>635</v>
      </c>
      <c r="P2767" s="308" t="s">
        <v>34467</v>
      </c>
      <c r="Q2767" s="308"/>
      <c r="R2767" s="308"/>
      <c r="S2767" s="308" t="s">
        <v>49</v>
      </c>
      <c r="T2767" s="308" t="s">
        <v>34409</v>
      </c>
      <c r="U2767" s="308" t="s">
        <v>166</v>
      </c>
      <c r="V2767" s="312"/>
    </row>
    <row r="2768">
      <c r="A2768" s="308">
        <v>2767.0</v>
      </c>
      <c r="B2768" s="308"/>
      <c r="C2768" s="308" t="s">
        <v>11407</v>
      </c>
      <c r="D2768" s="308">
        <f>IFERROR(__xludf.DUMMYFUNCTION("SPLIT(C2768,""-"")"),2788.0)</f>
        <v>2788</v>
      </c>
      <c r="E2768" s="308" t="str">
        <f>IFERROR(__xludf.DUMMYFUNCTION("""COMPUTED_VALUE"""),"S")</f>
        <v>S</v>
      </c>
      <c r="F2768" s="312" t="s">
        <v>39</v>
      </c>
      <c r="G2768" s="308"/>
      <c r="H2768" s="308" t="s">
        <v>11408</v>
      </c>
      <c r="I2768" s="310">
        <v>42127.0</v>
      </c>
      <c r="J2768" s="319">
        <f>IFERROR(__xludf.DUMMYFUNCTION("SPLIT(I2768,""/"")"),3.0)</f>
        <v>3</v>
      </c>
      <c r="K2768" s="308">
        <f>IFERROR(__xludf.DUMMYFUNCTION("""COMPUTED_VALUE"""),5.0)</f>
        <v>5</v>
      </c>
      <c r="L2768" s="308">
        <f>IFERROR(__xludf.DUMMYFUNCTION("""COMPUTED_VALUE"""),2015.0)</f>
        <v>2015</v>
      </c>
      <c r="M2768" s="308" t="s">
        <v>11409</v>
      </c>
      <c r="N2768" s="308"/>
      <c r="O2768" s="308" t="s">
        <v>635</v>
      </c>
      <c r="P2768" s="308" t="s">
        <v>9535</v>
      </c>
      <c r="Q2768" s="308"/>
      <c r="R2768" s="308"/>
      <c r="S2768" s="308" t="s">
        <v>81</v>
      </c>
      <c r="T2768" s="308" t="s">
        <v>75</v>
      </c>
      <c r="U2768" s="308" t="s">
        <v>166</v>
      </c>
      <c r="V2768" s="312"/>
    </row>
    <row r="2769">
      <c r="A2769" s="308">
        <v>2768.0</v>
      </c>
      <c r="B2769" s="308"/>
      <c r="C2769" s="308" t="s">
        <v>11410</v>
      </c>
      <c r="D2769" s="308">
        <f>IFERROR(__xludf.DUMMYFUNCTION("SPLIT(C2769,""-"")"),2789.0)</f>
        <v>2789</v>
      </c>
      <c r="E2769" s="308" t="str">
        <f>IFERROR(__xludf.DUMMYFUNCTION("""COMPUTED_VALUE"""),"K")</f>
        <v>K</v>
      </c>
      <c r="F2769" s="309" t="s">
        <v>34</v>
      </c>
      <c r="G2769" s="308"/>
      <c r="H2769" s="308" t="s">
        <v>11411</v>
      </c>
      <c r="I2769" s="316">
        <v>2009.0</v>
      </c>
      <c r="J2769" s="319"/>
      <c r="K2769" s="308"/>
      <c r="L2769" s="311">
        <v>2009.0</v>
      </c>
      <c r="M2769" s="308" t="s">
        <v>11412</v>
      </c>
      <c r="N2769" s="308"/>
      <c r="O2769" s="308"/>
      <c r="P2769" s="308" t="s">
        <v>11413</v>
      </c>
      <c r="Q2769" s="308"/>
      <c r="R2769" s="308"/>
      <c r="S2769" s="308" t="s">
        <v>81</v>
      </c>
      <c r="T2769" s="311" t="s">
        <v>35043</v>
      </c>
      <c r="U2769" s="308" t="s">
        <v>530</v>
      </c>
      <c r="V2769" s="312"/>
    </row>
    <row r="2770">
      <c r="A2770" s="308">
        <v>2769.0</v>
      </c>
      <c r="B2770" s="308"/>
      <c r="C2770" s="308" t="s">
        <v>11414</v>
      </c>
      <c r="D2770" s="308">
        <f>IFERROR(__xludf.DUMMYFUNCTION("SPLIT(C2770,""-"")"),2790.0)</f>
        <v>2790</v>
      </c>
      <c r="E2770" s="308" t="str">
        <f>IFERROR(__xludf.DUMMYFUNCTION("""COMPUTED_VALUE"""),"P")</f>
        <v>P</v>
      </c>
      <c r="F2770" s="312" t="s">
        <v>37</v>
      </c>
      <c r="G2770" s="308"/>
      <c r="H2770" s="308" t="s">
        <v>11415</v>
      </c>
      <c r="I2770" s="314">
        <v>41555.0</v>
      </c>
      <c r="J2770" s="319">
        <f>IFERROR(__xludf.DUMMYFUNCTION("SPLIT(I2770,""/"")"),8.0)</f>
        <v>8</v>
      </c>
      <c r="K2770" s="308">
        <f>IFERROR(__xludf.DUMMYFUNCTION("""COMPUTED_VALUE"""),10.0)</f>
        <v>10</v>
      </c>
      <c r="L2770" s="308">
        <f>IFERROR(__xludf.DUMMYFUNCTION("""COMPUTED_VALUE"""),2013.0)</f>
        <v>2013</v>
      </c>
      <c r="M2770" s="308" t="s">
        <v>11416</v>
      </c>
      <c r="N2770" s="308"/>
      <c r="O2770" s="308" t="s">
        <v>11417</v>
      </c>
      <c r="P2770" s="308" t="s">
        <v>36766</v>
      </c>
      <c r="Q2770" s="308"/>
      <c r="R2770" s="308"/>
      <c r="S2770" s="308" t="s">
        <v>81</v>
      </c>
      <c r="T2770" s="308" t="s">
        <v>75</v>
      </c>
      <c r="U2770" s="308" t="s">
        <v>3407</v>
      </c>
      <c r="V2770" s="312"/>
    </row>
    <row r="2771">
      <c r="A2771" s="308">
        <v>2770.0</v>
      </c>
      <c r="B2771" s="308"/>
      <c r="C2771" s="308" t="s">
        <v>11419</v>
      </c>
      <c r="D2771" s="308">
        <f>IFERROR(__xludf.DUMMYFUNCTION("SPLIT(C2771,""-"")"),2791.0)</f>
        <v>2791</v>
      </c>
      <c r="E2771" s="308" t="str">
        <f>IFERROR(__xludf.DUMMYFUNCTION("""COMPUTED_VALUE"""),"ICT")</f>
        <v>ICT</v>
      </c>
      <c r="F2771" s="315" t="s">
        <v>31</v>
      </c>
      <c r="G2771" s="308"/>
      <c r="H2771" s="308" t="s">
        <v>11420</v>
      </c>
      <c r="I2771" s="316">
        <v>2013.0</v>
      </c>
      <c r="J2771" s="319"/>
      <c r="K2771" s="308"/>
      <c r="L2771" s="311">
        <v>2013.0</v>
      </c>
      <c r="M2771" s="308" t="s">
        <v>11421</v>
      </c>
      <c r="N2771" s="308"/>
      <c r="O2771" s="308" t="s">
        <v>635</v>
      </c>
      <c r="P2771" s="308" t="s">
        <v>11422</v>
      </c>
      <c r="Q2771" s="308"/>
      <c r="R2771" s="308"/>
      <c r="S2771" s="308" t="s">
        <v>81</v>
      </c>
      <c r="T2771" s="308" t="s">
        <v>75</v>
      </c>
      <c r="U2771" s="308" t="s">
        <v>31</v>
      </c>
      <c r="V2771" s="312"/>
    </row>
    <row r="2772">
      <c r="A2772" s="308">
        <v>2771.0</v>
      </c>
      <c r="B2772" s="308"/>
      <c r="C2772" s="308" t="s">
        <v>11423</v>
      </c>
      <c r="D2772" s="308">
        <f>IFERROR(__xludf.DUMMYFUNCTION("SPLIT(C2772,""-"")"),2792.0)</f>
        <v>2792</v>
      </c>
      <c r="E2772" s="308" t="str">
        <f>IFERROR(__xludf.DUMMYFUNCTION("""COMPUTED_VALUE"""),"K")</f>
        <v>K</v>
      </c>
      <c r="F2772" s="309" t="s">
        <v>34</v>
      </c>
      <c r="G2772" s="308"/>
      <c r="H2772" s="308" t="s">
        <v>11424</v>
      </c>
      <c r="I2772" s="310">
        <v>41913.0</v>
      </c>
      <c r="J2772" s="319">
        <f>IFERROR(__xludf.DUMMYFUNCTION("SPLIT(I2772,""/"")"),1.0)</f>
        <v>1</v>
      </c>
      <c r="K2772" s="308">
        <f>IFERROR(__xludf.DUMMYFUNCTION("""COMPUTED_VALUE"""),10.0)</f>
        <v>10</v>
      </c>
      <c r="L2772" s="308">
        <f>IFERROR(__xludf.DUMMYFUNCTION("""COMPUTED_VALUE"""),2014.0)</f>
        <v>2014</v>
      </c>
      <c r="M2772" s="308" t="s">
        <v>11425</v>
      </c>
      <c r="N2772" s="308"/>
      <c r="O2772" s="308" t="s">
        <v>11426</v>
      </c>
      <c r="P2772" s="308" t="s">
        <v>11427</v>
      </c>
      <c r="Q2772" s="308"/>
      <c r="R2772" s="308"/>
      <c r="S2772" s="308" t="s">
        <v>81</v>
      </c>
      <c r="T2772" s="308" t="s">
        <v>34264</v>
      </c>
      <c r="U2772" s="308"/>
      <c r="V2772" s="312"/>
    </row>
    <row r="2773">
      <c r="A2773" s="308">
        <v>2772.0</v>
      </c>
      <c r="B2773" s="308"/>
      <c r="C2773" s="308" t="s">
        <v>11428</v>
      </c>
      <c r="D2773" s="308">
        <f>IFERROR(__xludf.DUMMYFUNCTION("SPLIT(C2773,""-"")"),2793.0)</f>
        <v>2793</v>
      </c>
      <c r="E2773" s="308" t="str">
        <f>IFERROR(__xludf.DUMMYFUNCTION("""COMPUTED_VALUE"""),"F")</f>
        <v>F</v>
      </c>
      <c r="F2773" s="309" t="s">
        <v>34</v>
      </c>
      <c r="G2773" s="308"/>
      <c r="H2773" s="308" t="s">
        <v>11429</v>
      </c>
      <c r="I2773" s="310">
        <v>41805.0</v>
      </c>
      <c r="J2773" s="319">
        <f>IFERROR(__xludf.DUMMYFUNCTION("SPLIT(I2773,""/"")"),15.0)</f>
        <v>15</v>
      </c>
      <c r="K2773" s="308">
        <f>IFERROR(__xludf.DUMMYFUNCTION("""COMPUTED_VALUE"""),6.0)</f>
        <v>6</v>
      </c>
      <c r="L2773" s="308">
        <f>IFERROR(__xludf.DUMMYFUNCTION("""COMPUTED_VALUE"""),2014.0)</f>
        <v>2014</v>
      </c>
      <c r="M2773" s="308" t="s">
        <v>11430</v>
      </c>
      <c r="N2773" s="308"/>
      <c r="O2773" s="308" t="s">
        <v>635</v>
      </c>
      <c r="P2773" s="308" t="s">
        <v>36767</v>
      </c>
      <c r="Q2773" s="308"/>
      <c r="R2773" s="308"/>
      <c r="S2773" s="308" t="s">
        <v>81</v>
      </c>
      <c r="T2773" s="308" t="s">
        <v>34264</v>
      </c>
      <c r="U2773" s="308" t="s">
        <v>195</v>
      </c>
      <c r="V2773" s="312"/>
    </row>
    <row r="2774">
      <c r="A2774" s="308">
        <v>2773.0</v>
      </c>
      <c r="B2774" s="308"/>
      <c r="C2774" s="308" t="s">
        <v>11432</v>
      </c>
      <c r="D2774" s="308">
        <f>IFERROR(__xludf.DUMMYFUNCTION("SPLIT(C2774,""-"")"),2794.0)</f>
        <v>2794</v>
      </c>
      <c r="E2774" s="308" t="str">
        <f>IFERROR(__xludf.DUMMYFUNCTION("""COMPUTED_VALUE"""),"F")</f>
        <v>F</v>
      </c>
      <c r="F2774" s="309" t="s">
        <v>34</v>
      </c>
      <c r="G2774" s="308"/>
      <c r="H2774" s="308" t="s">
        <v>11433</v>
      </c>
      <c r="I2774" s="310">
        <v>41805.0</v>
      </c>
      <c r="J2774" s="319">
        <f>IFERROR(__xludf.DUMMYFUNCTION("SPLIT(I2774,""/"")"),15.0)</f>
        <v>15</v>
      </c>
      <c r="K2774" s="308">
        <f>IFERROR(__xludf.DUMMYFUNCTION("""COMPUTED_VALUE"""),6.0)</f>
        <v>6</v>
      </c>
      <c r="L2774" s="308">
        <f>IFERROR(__xludf.DUMMYFUNCTION("""COMPUTED_VALUE"""),2014.0)</f>
        <v>2014</v>
      </c>
      <c r="M2774" s="308" t="s">
        <v>11430</v>
      </c>
      <c r="N2774" s="308"/>
      <c r="O2774" s="308"/>
      <c r="P2774" s="308" t="s">
        <v>36767</v>
      </c>
      <c r="Q2774" s="308"/>
      <c r="R2774" s="308"/>
      <c r="S2774" s="308" t="s">
        <v>81</v>
      </c>
      <c r="T2774" s="308" t="s">
        <v>34264</v>
      </c>
      <c r="U2774" s="308" t="s">
        <v>195</v>
      </c>
      <c r="V2774" s="312"/>
    </row>
    <row r="2775">
      <c r="A2775" s="308">
        <v>2774.0</v>
      </c>
      <c r="B2775" s="308"/>
      <c r="C2775" s="308" t="s">
        <v>11434</v>
      </c>
      <c r="D2775" s="308">
        <f>IFERROR(__xludf.DUMMYFUNCTION("SPLIT(C2775,""-"")"),2795.0)</f>
        <v>2795</v>
      </c>
      <c r="E2775" s="308" t="str">
        <f>IFERROR(__xludf.DUMMYFUNCTION("""COMPUTED_VALUE"""),"K")</f>
        <v>K</v>
      </c>
      <c r="F2775" s="309" t="s">
        <v>34</v>
      </c>
      <c r="G2775" s="308"/>
      <c r="H2775" s="308" t="s">
        <v>11435</v>
      </c>
      <c r="I2775" s="325">
        <v>42095.0</v>
      </c>
      <c r="J2775" s="319"/>
      <c r="K2775" s="311">
        <v>4.0</v>
      </c>
      <c r="L2775" s="311">
        <v>2015.0</v>
      </c>
      <c r="M2775" s="308" t="s">
        <v>11436</v>
      </c>
      <c r="N2775" s="308"/>
      <c r="O2775" s="308" t="s">
        <v>11437</v>
      </c>
      <c r="P2775" s="308" t="s">
        <v>11438</v>
      </c>
      <c r="Q2775" s="308"/>
      <c r="R2775" s="308"/>
      <c r="S2775" s="308" t="s">
        <v>81</v>
      </c>
      <c r="T2775" s="311" t="s">
        <v>83</v>
      </c>
      <c r="U2775" s="308"/>
      <c r="V2775" s="312"/>
    </row>
    <row r="2776">
      <c r="A2776" s="308">
        <v>2775.0</v>
      </c>
      <c r="B2776" s="308"/>
      <c r="C2776" s="308" t="s">
        <v>11439</v>
      </c>
      <c r="D2776" s="308">
        <f>IFERROR(__xludf.DUMMYFUNCTION("SPLIT(C2776,""-"")"),2796.0)</f>
        <v>2796</v>
      </c>
      <c r="E2776" s="308" t="str">
        <f>IFERROR(__xludf.DUMMYFUNCTION("""COMPUTED_VALUE"""),"K")</f>
        <v>K</v>
      </c>
      <c r="F2776" s="309" t="s">
        <v>34</v>
      </c>
      <c r="G2776" s="308"/>
      <c r="H2776" s="308" t="s">
        <v>11440</v>
      </c>
      <c r="I2776" s="316">
        <v>2014.0</v>
      </c>
      <c r="J2776" s="319"/>
      <c r="K2776" s="308"/>
      <c r="L2776" s="311">
        <v>2014.0</v>
      </c>
      <c r="M2776" s="308" t="s">
        <v>11441</v>
      </c>
      <c r="N2776" s="308"/>
      <c r="O2776" s="308" t="s">
        <v>11442</v>
      </c>
      <c r="P2776" s="308" t="s">
        <v>2872</v>
      </c>
      <c r="Q2776" s="308"/>
      <c r="R2776" s="308"/>
      <c r="S2776" s="315" t="s">
        <v>100</v>
      </c>
      <c r="T2776" s="311" t="s">
        <v>34208</v>
      </c>
      <c r="U2776" s="308" t="s">
        <v>125</v>
      </c>
      <c r="V2776" s="312"/>
    </row>
    <row r="2777">
      <c r="A2777" s="308">
        <v>2776.0</v>
      </c>
      <c r="B2777" s="308"/>
      <c r="C2777" s="308" t="s">
        <v>11443</v>
      </c>
      <c r="D2777" s="308">
        <f>IFERROR(__xludf.DUMMYFUNCTION("SPLIT(C2777,""-"")"),2797.0)</f>
        <v>2797</v>
      </c>
      <c r="E2777" s="308" t="str">
        <f>IFERROR(__xludf.DUMMYFUNCTION("""COMPUTED_VALUE"""),"S")</f>
        <v>S</v>
      </c>
      <c r="F2777" s="312" t="s">
        <v>39</v>
      </c>
      <c r="G2777" s="308"/>
      <c r="H2777" s="308" t="s">
        <v>11444</v>
      </c>
      <c r="I2777" s="310">
        <v>42243.0</v>
      </c>
      <c r="J2777" s="319">
        <f>IFERROR(__xludf.DUMMYFUNCTION("SPLIT(I2777,""/"")"),27.0)</f>
        <v>27</v>
      </c>
      <c r="K2777" s="308">
        <f>IFERROR(__xludf.DUMMYFUNCTION("""COMPUTED_VALUE"""),8.0)</f>
        <v>8</v>
      </c>
      <c r="L2777" s="308">
        <f>IFERROR(__xludf.DUMMYFUNCTION("""COMPUTED_VALUE"""),2015.0)</f>
        <v>2015</v>
      </c>
      <c r="M2777" s="308" t="s">
        <v>11445</v>
      </c>
      <c r="N2777" s="308"/>
      <c r="O2777" s="308" t="s">
        <v>635</v>
      </c>
      <c r="P2777" s="308" t="s">
        <v>9535</v>
      </c>
      <c r="Q2777" s="308"/>
      <c r="R2777" s="308"/>
      <c r="S2777" s="308" t="s">
        <v>81</v>
      </c>
      <c r="T2777" s="308" t="s">
        <v>75</v>
      </c>
      <c r="U2777" s="308" t="s">
        <v>166</v>
      </c>
      <c r="V2777" s="312"/>
    </row>
    <row r="2778">
      <c r="A2778" s="308">
        <v>2777.0</v>
      </c>
      <c r="B2778" s="308"/>
      <c r="C2778" s="308" t="s">
        <v>11446</v>
      </c>
      <c r="D2778" s="308">
        <f>IFERROR(__xludf.DUMMYFUNCTION("SPLIT(C2778,""-"")"),2798.0)</f>
        <v>2798</v>
      </c>
      <c r="E2778" s="308" t="str">
        <f>IFERROR(__xludf.DUMMYFUNCTION("""COMPUTED_VALUE"""),"S")</f>
        <v>S</v>
      </c>
      <c r="F2778" s="312" t="s">
        <v>39</v>
      </c>
      <c r="G2778" s="308"/>
      <c r="H2778" s="308" t="s">
        <v>11447</v>
      </c>
      <c r="I2778" s="310">
        <v>42243.0</v>
      </c>
      <c r="J2778" s="319">
        <f>IFERROR(__xludf.DUMMYFUNCTION("SPLIT(I2778,""/"")"),27.0)</f>
        <v>27</v>
      </c>
      <c r="K2778" s="308">
        <f>IFERROR(__xludf.DUMMYFUNCTION("""COMPUTED_VALUE"""),8.0)</f>
        <v>8</v>
      </c>
      <c r="L2778" s="308">
        <f>IFERROR(__xludf.DUMMYFUNCTION("""COMPUTED_VALUE"""),2015.0)</f>
        <v>2015</v>
      </c>
      <c r="M2778" s="308" t="s">
        <v>11448</v>
      </c>
      <c r="N2778" s="308"/>
      <c r="O2778" s="308"/>
      <c r="P2778" s="308" t="s">
        <v>9535</v>
      </c>
      <c r="Q2778" s="308"/>
      <c r="R2778" s="308"/>
      <c r="S2778" s="308" t="s">
        <v>81</v>
      </c>
      <c r="T2778" s="308" t="s">
        <v>75</v>
      </c>
      <c r="U2778" s="308" t="s">
        <v>166</v>
      </c>
      <c r="V2778" s="312"/>
    </row>
    <row r="2779">
      <c r="A2779" s="308">
        <v>2778.0</v>
      </c>
      <c r="B2779" s="308"/>
      <c r="C2779" s="308" t="s">
        <v>11449</v>
      </c>
      <c r="D2779" s="308">
        <f>IFERROR(__xludf.DUMMYFUNCTION("SPLIT(C2779,""-"")"),2799.0)</f>
        <v>2799</v>
      </c>
      <c r="E2779" s="308" t="str">
        <f>IFERROR(__xludf.DUMMYFUNCTION("""COMPUTED_VALUE"""),"S")</f>
        <v>S</v>
      </c>
      <c r="F2779" s="312" t="s">
        <v>39</v>
      </c>
      <c r="G2779" s="308"/>
      <c r="H2779" s="308" t="s">
        <v>11450</v>
      </c>
      <c r="I2779" s="310">
        <v>42242.0</v>
      </c>
      <c r="J2779" s="319">
        <f>IFERROR(__xludf.DUMMYFUNCTION("SPLIT(I2779,""/"")"),26.0)</f>
        <v>26</v>
      </c>
      <c r="K2779" s="308">
        <f>IFERROR(__xludf.DUMMYFUNCTION("""COMPUTED_VALUE"""),8.0)</f>
        <v>8</v>
      </c>
      <c r="L2779" s="308">
        <f>IFERROR(__xludf.DUMMYFUNCTION("""COMPUTED_VALUE"""),2015.0)</f>
        <v>2015</v>
      </c>
      <c r="M2779" s="308" t="s">
        <v>11451</v>
      </c>
      <c r="N2779" s="308"/>
      <c r="O2779" s="308" t="s">
        <v>635</v>
      </c>
      <c r="P2779" s="308" t="s">
        <v>11452</v>
      </c>
      <c r="Q2779" s="308"/>
      <c r="R2779" s="308"/>
      <c r="S2779" s="308" t="s">
        <v>81</v>
      </c>
      <c r="T2779" s="311" t="s">
        <v>73</v>
      </c>
      <c r="U2779" s="308" t="s">
        <v>166</v>
      </c>
      <c r="V2779" s="312"/>
    </row>
    <row r="2780">
      <c r="A2780" s="308">
        <v>2779.0</v>
      </c>
      <c r="B2780" s="308"/>
      <c r="C2780" s="308" t="s">
        <v>11453</v>
      </c>
      <c r="D2780" s="308">
        <f>IFERROR(__xludf.DUMMYFUNCTION("SPLIT(C2780,""-"")"),2800.0)</f>
        <v>2800</v>
      </c>
      <c r="E2780" s="308" t="str">
        <f>IFERROR(__xludf.DUMMYFUNCTION("""COMPUTED_VALUE"""),"S")</f>
        <v>S</v>
      </c>
      <c r="F2780" s="312" t="s">
        <v>39</v>
      </c>
      <c r="G2780" s="308"/>
      <c r="H2780" s="308" t="s">
        <v>11454</v>
      </c>
      <c r="I2780" s="310">
        <v>42238.0</v>
      </c>
      <c r="J2780" s="319">
        <f>IFERROR(__xludf.DUMMYFUNCTION("SPLIT(I2780,""/"")"),22.0)</f>
        <v>22</v>
      </c>
      <c r="K2780" s="308">
        <f>IFERROR(__xludf.DUMMYFUNCTION("""COMPUTED_VALUE"""),8.0)</f>
        <v>8</v>
      </c>
      <c r="L2780" s="308">
        <f>IFERROR(__xludf.DUMMYFUNCTION("""COMPUTED_VALUE"""),2015.0)</f>
        <v>2015</v>
      </c>
      <c r="M2780" s="308" t="s">
        <v>11455</v>
      </c>
      <c r="N2780" s="308"/>
      <c r="O2780" s="308" t="s">
        <v>635</v>
      </c>
      <c r="P2780" s="308" t="s">
        <v>9535</v>
      </c>
      <c r="Q2780" s="308"/>
      <c r="R2780" s="308"/>
      <c r="S2780" s="308" t="s">
        <v>81</v>
      </c>
      <c r="T2780" s="308" t="s">
        <v>75</v>
      </c>
      <c r="U2780" s="308" t="s">
        <v>166</v>
      </c>
      <c r="V2780" s="312"/>
    </row>
    <row r="2781">
      <c r="A2781" s="308">
        <v>2780.0</v>
      </c>
      <c r="B2781" s="308"/>
      <c r="C2781" s="308" t="s">
        <v>11456</v>
      </c>
      <c r="D2781" s="308">
        <f>IFERROR(__xludf.DUMMYFUNCTION("SPLIT(C2781,""-"")"),2801.0)</f>
        <v>2801</v>
      </c>
      <c r="E2781" s="308" t="str">
        <f>IFERROR(__xludf.DUMMYFUNCTION("""COMPUTED_VALUE"""),"S")</f>
        <v>S</v>
      </c>
      <c r="F2781" s="312" t="s">
        <v>39</v>
      </c>
      <c r="G2781" s="308"/>
      <c r="H2781" s="308" t="s">
        <v>11457</v>
      </c>
      <c r="I2781" s="310">
        <v>42235.0</v>
      </c>
      <c r="J2781" s="319">
        <f>IFERROR(__xludf.DUMMYFUNCTION("SPLIT(I2781,""/"")"),19.0)</f>
        <v>19</v>
      </c>
      <c r="K2781" s="308">
        <f>IFERROR(__xludf.DUMMYFUNCTION("""COMPUTED_VALUE"""),8.0)</f>
        <v>8</v>
      </c>
      <c r="L2781" s="308">
        <f>IFERROR(__xludf.DUMMYFUNCTION("""COMPUTED_VALUE"""),2015.0)</f>
        <v>2015</v>
      </c>
      <c r="M2781" s="308" t="s">
        <v>11458</v>
      </c>
      <c r="N2781" s="308"/>
      <c r="O2781" s="308" t="s">
        <v>635</v>
      </c>
      <c r="P2781" s="308" t="s">
        <v>11452</v>
      </c>
      <c r="Q2781" s="308"/>
      <c r="R2781" s="308"/>
      <c r="S2781" s="308" t="s">
        <v>81</v>
      </c>
      <c r="T2781" s="311" t="s">
        <v>73</v>
      </c>
      <c r="U2781" s="308" t="s">
        <v>166</v>
      </c>
      <c r="V2781" s="312"/>
    </row>
    <row r="2782">
      <c r="A2782" s="308">
        <v>2781.0</v>
      </c>
      <c r="B2782" s="308"/>
      <c r="C2782" s="308" t="s">
        <v>11459</v>
      </c>
      <c r="D2782" s="308">
        <f>IFERROR(__xludf.DUMMYFUNCTION("SPLIT(C2782,""-"")"),2802.0)</f>
        <v>2802</v>
      </c>
      <c r="E2782" s="308" t="str">
        <f>IFERROR(__xludf.DUMMYFUNCTION("""COMPUTED_VALUE"""),"S")</f>
        <v>S</v>
      </c>
      <c r="F2782" s="312" t="s">
        <v>39</v>
      </c>
      <c r="G2782" s="308"/>
      <c r="H2782" s="308" t="s">
        <v>11460</v>
      </c>
      <c r="I2782" s="310">
        <v>42234.0</v>
      </c>
      <c r="J2782" s="319">
        <f>IFERROR(__xludf.DUMMYFUNCTION("SPLIT(I2782,""/"")"),18.0)</f>
        <v>18</v>
      </c>
      <c r="K2782" s="308">
        <f>IFERROR(__xludf.DUMMYFUNCTION("""COMPUTED_VALUE"""),8.0)</f>
        <v>8</v>
      </c>
      <c r="L2782" s="308">
        <f>IFERROR(__xludf.DUMMYFUNCTION("""COMPUTED_VALUE"""),2015.0)</f>
        <v>2015</v>
      </c>
      <c r="M2782" s="308" t="s">
        <v>11461</v>
      </c>
      <c r="N2782" s="308"/>
      <c r="O2782" s="308" t="s">
        <v>635</v>
      </c>
      <c r="P2782" s="308" t="s">
        <v>9535</v>
      </c>
      <c r="Q2782" s="308"/>
      <c r="R2782" s="308"/>
      <c r="S2782" s="308" t="s">
        <v>81</v>
      </c>
      <c r="T2782" s="308" t="s">
        <v>75</v>
      </c>
      <c r="U2782" s="308" t="s">
        <v>166</v>
      </c>
      <c r="V2782" s="312"/>
    </row>
    <row r="2783">
      <c r="A2783" s="308">
        <v>2782.0</v>
      </c>
      <c r="B2783" s="308"/>
      <c r="C2783" s="308" t="s">
        <v>11462</v>
      </c>
      <c r="D2783" s="308">
        <f>IFERROR(__xludf.DUMMYFUNCTION("SPLIT(C2783,""-"")"),2803.0)</f>
        <v>2803</v>
      </c>
      <c r="E2783" s="308" t="str">
        <f>IFERROR(__xludf.DUMMYFUNCTION("""COMPUTED_VALUE"""),"S")</f>
        <v>S</v>
      </c>
      <c r="F2783" s="312" t="s">
        <v>39</v>
      </c>
      <c r="G2783" s="308"/>
      <c r="H2783" s="308" t="s">
        <v>36768</v>
      </c>
      <c r="I2783" s="310">
        <v>42231.0</v>
      </c>
      <c r="J2783" s="319">
        <f>IFERROR(__xludf.DUMMYFUNCTION("SPLIT(I2783,""/"")"),15.0)</f>
        <v>15</v>
      </c>
      <c r="K2783" s="308">
        <f>IFERROR(__xludf.DUMMYFUNCTION("""COMPUTED_VALUE"""),8.0)</f>
        <v>8</v>
      </c>
      <c r="L2783" s="308">
        <f>IFERROR(__xludf.DUMMYFUNCTION("""COMPUTED_VALUE"""),2015.0)</f>
        <v>2015</v>
      </c>
      <c r="M2783" s="308" t="s">
        <v>11464</v>
      </c>
      <c r="N2783" s="308"/>
      <c r="O2783" s="308" t="s">
        <v>635</v>
      </c>
      <c r="P2783" s="308" t="s">
        <v>9535</v>
      </c>
      <c r="Q2783" s="308"/>
      <c r="R2783" s="308"/>
      <c r="S2783" s="308" t="s">
        <v>81</v>
      </c>
      <c r="T2783" s="308" t="s">
        <v>75</v>
      </c>
      <c r="U2783" s="308" t="s">
        <v>166</v>
      </c>
      <c r="V2783" s="312"/>
    </row>
    <row r="2784">
      <c r="A2784" s="308">
        <v>2783.0</v>
      </c>
      <c r="B2784" s="308"/>
      <c r="C2784" s="308" t="s">
        <v>11465</v>
      </c>
      <c r="D2784" s="308">
        <f>IFERROR(__xludf.DUMMYFUNCTION("SPLIT(C2784,""-"")"),2804.0)</f>
        <v>2804</v>
      </c>
      <c r="E2784" s="308" t="str">
        <f>IFERROR(__xludf.DUMMYFUNCTION("""COMPUTED_VALUE"""),"S")</f>
        <v>S</v>
      </c>
      <c r="F2784" s="312" t="s">
        <v>39</v>
      </c>
      <c r="G2784" s="308"/>
      <c r="H2784" s="308" t="s">
        <v>11466</v>
      </c>
      <c r="I2784" s="310">
        <v>42227.0</v>
      </c>
      <c r="J2784" s="319">
        <f>IFERROR(__xludf.DUMMYFUNCTION("SPLIT(I2784,""/"")"),11.0)</f>
        <v>11</v>
      </c>
      <c r="K2784" s="308">
        <f>IFERROR(__xludf.DUMMYFUNCTION("""COMPUTED_VALUE"""),8.0)</f>
        <v>8</v>
      </c>
      <c r="L2784" s="308">
        <f>IFERROR(__xludf.DUMMYFUNCTION("""COMPUTED_VALUE"""),2015.0)</f>
        <v>2015</v>
      </c>
      <c r="M2784" s="308" t="s">
        <v>11467</v>
      </c>
      <c r="N2784" s="308"/>
      <c r="O2784" s="308" t="s">
        <v>635</v>
      </c>
      <c r="P2784" s="308" t="s">
        <v>9535</v>
      </c>
      <c r="Q2784" s="308"/>
      <c r="R2784" s="308"/>
      <c r="S2784" s="308" t="s">
        <v>81</v>
      </c>
      <c r="T2784" s="308" t="s">
        <v>75</v>
      </c>
      <c r="U2784" s="308" t="s">
        <v>166</v>
      </c>
      <c r="V2784" s="312"/>
    </row>
    <row r="2785">
      <c r="A2785" s="308">
        <v>2784.0</v>
      </c>
      <c r="B2785" s="308"/>
      <c r="C2785" s="308" t="s">
        <v>11468</v>
      </c>
      <c r="D2785" s="308">
        <f>IFERROR(__xludf.DUMMYFUNCTION("SPLIT(C2785,""-"")"),2805.0)</f>
        <v>2805</v>
      </c>
      <c r="E2785" s="308" t="str">
        <f>IFERROR(__xludf.DUMMYFUNCTION("""COMPUTED_VALUE"""),"S")</f>
        <v>S</v>
      </c>
      <c r="F2785" s="312" t="s">
        <v>39</v>
      </c>
      <c r="G2785" s="308"/>
      <c r="H2785" s="308" t="s">
        <v>11469</v>
      </c>
      <c r="I2785" s="310">
        <v>42216.0</v>
      </c>
      <c r="J2785" s="319">
        <f>IFERROR(__xludf.DUMMYFUNCTION("SPLIT(I2785,""/"")"),31.0)</f>
        <v>31</v>
      </c>
      <c r="K2785" s="308">
        <f>IFERROR(__xludf.DUMMYFUNCTION("""COMPUTED_VALUE"""),7.0)</f>
        <v>7</v>
      </c>
      <c r="L2785" s="308">
        <f>IFERROR(__xludf.DUMMYFUNCTION("""COMPUTED_VALUE"""),2015.0)</f>
        <v>2015</v>
      </c>
      <c r="M2785" s="308" t="s">
        <v>11470</v>
      </c>
      <c r="N2785" s="308"/>
      <c r="O2785" s="308" t="s">
        <v>11471</v>
      </c>
      <c r="P2785" s="308" t="s">
        <v>9535</v>
      </c>
      <c r="Q2785" s="308"/>
      <c r="R2785" s="308"/>
      <c r="S2785" s="308" t="s">
        <v>81</v>
      </c>
      <c r="T2785" s="308" t="s">
        <v>75</v>
      </c>
      <c r="U2785" s="308" t="s">
        <v>166</v>
      </c>
      <c r="V2785" s="312"/>
    </row>
    <row r="2786">
      <c r="A2786" s="308">
        <v>2785.0</v>
      </c>
      <c r="B2786" s="308"/>
      <c r="C2786" s="308" t="s">
        <v>11472</v>
      </c>
      <c r="D2786" s="308">
        <f>IFERROR(__xludf.DUMMYFUNCTION("SPLIT(C2786,""-"")"),2806.0)</f>
        <v>2806</v>
      </c>
      <c r="E2786" s="308" t="str">
        <f>IFERROR(__xludf.DUMMYFUNCTION("""COMPUTED_VALUE"""),"S")</f>
        <v>S</v>
      </c>
      <c r="F2786" s="312" t="s">
        <v>39</v>
      </c>
      <c r="G2786" s="308"/>
      <c r="H2786" s="308" t="s">
        <v>11473</v>
      </c>
      <c r="I2786" s="310">
        <v>42199.0</v>
      </c>
      <c r="J2786" s="319">
        <f>IFERROR(__xludf.DUMMYFUNCTION("SPLIT(I2786,""/"")"),14.0)</f>
        <v>14</v>
      </c>
      <c r="K2786" s="308">
        <f>IFERROR(__xludf.DUMMYFUNCTION("""COMPUTED_VALUE"""),7.0)</f>
        <v>7</v>
      </c>
      <c r="L2786" s="308">
        <f>IFERROR(__xludf.DUMMYFUNCTION("""COMPUTED_VALUE"""),2015.0)</f>
        <v>2015</v>
      </c>
      <c r="M2786" s="308" t="s">
        <v>11474</v>
      </c>
      <c r="N2786" s="308"/>
      <c r="O2786" s="308" t="s">
        <v>11475</v>
      </c>
      <c r="P2786" s="308" t="s">
        <v>11266</v>
      </c>
      <c r="Q2786" s="308"/>
      <c r="R2786" s="308"/>
      <c r="S2786" s="308" t="s">
        <v>81</v>
      </c>
      <c r="T2786" s="311" t="s">
        <v>94</v>
      </c>
      <c r="U2786" s="308" t="s">
        <v>166</v>
      </c>
      <c r="V2786" s="312"/>
    </row>
    <row r="2787">
      <c r="A2787" s="308">
        <v>2786.0</v>
      </c>
      <c r="B2787" s="308"/>
      <c r="C2787" s="308" t="s">
        <v>11476</v>
      </c>
      <c r="D2787" s="308">
        <f>IFERROR(__xludf.DUMMYFUNCTION("SPLIT(C2787,""-"")"),2807.0)</f>
        <v>2807</v>
      </c>
      <c r="E2787" s="308" t="str">
        <f>IFERROR(__xludf.DUMMYFUNCTION("""COMPUTED_VALUE"""),"S")</f>
        <v>S</v>
      </c>
      <c r="F2787" s="312" t="s">
        <v>39</v>
      </c>
      <c r="G2787" s="308"/>
      <c r="H2787" s="308" t="s">
        <v>36769</v>
      </c>
      <c r="I2787" s="310">
        <v>42145.0</v>
      </c>
      <c r="J2787" s="319">
        <f>IFERROR(__xludf.DUMMYFUNCTION("SPLIT(I2787,""/"")"),21.0)</f>
        <v>21</v>
      </c>
      <c r="K2787" s="308">
        <f>IFERROR(__xludf.DUMMYFUNCTION("""COMPUTED_VALUE"""),5.0)</f>
        <v>5</v>
      </c>
      <c r="L2787" s="308">
        <f>IFERROR(__xludf.DUMMYFUNCTION("""COMPUTED_VALUE"""),2015.0)</f>
        <v>2015</v>
      </c>
      <c r="M2787" s="308" t="s">
        <v>11478</v>
      </c>
      <c r="N2787" s="308"/>
      <c r="O2787" s="308" t="s">
        <v>635</v>
      </c>
      <c r="P2787" s="308" t="s">
        <v>11479</v>
      </c>
      <c r="Q2787" s="308"/>
      <c r="R2787" s="308"/>
      <c r="S2787" s="308" t="s">
        <v>81</v>
      </c>
      <c r="T2787" s="308" t="s">
        <v>63</v>
      </c>
      <c r="U2787" s="308" t="s">
        <v>166</v>
      </c>
      <c r="V2787" s="312"/>
    </row>
    <row r="2788">
      <c r="A2788" s="308">
        <v>2787.0</v>
      </c>
      <c r="B2788" s="308"/>
      <c r="C2788" s="308" t="s">
        <v>11480</v>
      </c>
      <c r="D2788" s="308">
        <f>IFERROR(__xludf.DUMMYFUNCTION("SPLIT(C2788,""-"")"),2808.0)</f>
        <v>2808</v>
      </c>
      <c r="E2788" s="308" t="str">
        <f>IFERROR(__xludf.DUMMYFUNCTION("""COMPUTED_VALUE"""),"S")</f>
        <v>S</v>
      </c>
      <c r="F2788" s="312" t="s">
        <v>39</v>
      </c>
      <c r="G2788" s="308"/>
      <c r="H2788" s="308" t="s">
        <v>11481</v>
      </c>
      <c r="I2788" s="310">
        <v>42134.0</v>
      </c>
      <c r="J2788" s="319">
        <f>IFERROR(__xludf.DUMMYFUNCTION("SPLIT(I2788,""/"")"),10.0)</f>
        <v>10</v>
      </c>
      <c r="K2788" s="308">
        <f>IFERROR(__xludf.DUMMYFUNCTION("""COMPUTED_VALUE"""),5.0)</f>
        <v>5</v>
      </c>
      <c r="L2788" s="308">
        <f>IFERROR(__xludf.DUMMYFUNCTION("""COMPUTED_VALUE"""),2015.0)</f>
        <v>2015</v>
      </c>
      <c r="M2788" s="308" t="s">
        <v>11482</v>
      </c>
      <c r="N2788" s="308"/>
      <c r="O2788" s="308" t="s">
        <v>11483</v>
      </c>
      <c r="P2788" s="308" t="s">
        <v>9535</v>
      </c>
      <c r="Q2788" s="308"/>
      <c r="R2788" s="308"/>
      <c r="S2788" s="308" t="s">
        <v>81</v>
      </c>
      <c r="T2788" s="308" t="s">
        <v>75</v>
      </c>
      <c r="U2788" s="308" t="s">
        <v>166</v>
      </c>
      <c r="V2788" s="312"/>
    </row>
    <row r="2789">
      <c r="A2789" s="308">
        <v>2788.0</v>
      </c>
      <c r="B2789" s="308"/>
      <c r="C2789" s="308" t="s">
        <v>11484</v>
      </c>
      <c r="D2789" s="308">
        <f>IFERROR(__xludf.DUMMYFUNCTION("SPLIT(C2789,""-"")"),2809.0)</f>
        <v>2809</v>
      </c>
      <c r="E2789" s="308" t="str">
        <f>IFERROR(__xludf.DUMMYFUNCTION("""COMPUTED_VALUE"""),"S")</f>
        <v>S</v>
      </c>
      <c r="F2789" s="312" t="s">
        <v>39</v>
      </c>
      <c r="G2789" s="308"/>
      <c r="H2789" s="308" t="s">
        <v>11485</v>
      </c>
      <c r="I2789" s="310">
        <v>42130.0</v>
      </c>
      <c r="J2789" s="319">
        <f>IFERROR(__xludf.DUMMYFUNCTION("SPLIT(I2789,""/"")"),6.0)</f>
        <v>6</v>
      </c>
      <c r="K2789" s="308">
        <f>IFERROR(__xludf.DUMMYFUNCTION("""COMPUTED_VALUE"""),5.0)</f>
        <v>5</v>
      </c>
      <c r="L2789" s="308">
        <f>IFERROR(__xludf.DUMMYFUNCTION("""COMPUTED_VALUE"""),2015.0)</f>
        <v>2015</v>
      </c>
      <c r="M2789" s="308" t="s">
        <v>11486</v>
      </c>
      <c r="N2789" s="308"/>
      <c r="O2789" s="308" t="s">
        <v>635</v>
      </c>
      <c r="P2789" s="308" t="s">
        <v>11479</v>
      </c>
      <c r="Q2789" s="308"/>
      <c r="R2789" s="308"/>
      <c r="S2789" s="308" t="s">
        <v>81</v>
      </c>
      <c r="T2789" s="308" t="s">
        <v>63</v>
      </c>
      <c r="U2789" s="308" t="s">
        <v>166</v>
      </c>
      <c r="V2789" s="312"/>
    </row>
    <row r="2790">
      <c r="A2790" s="308">
        <v>2789.0</v>
      </c>
      <c r="B2790" s="308"/>
      <c r="C2790" s="308" t="s">
        <v>11487</v>
      </c>
      <c r="D2790" s="308">
        <f>IFERROR(__xludf.DUMMYFUNCTION("SPLIT(C2790,""-"")"),2810.0)</f>
        <v>2810</v>
      </c>
      <c r="E2790" s="308" t="str">
        <f>IFERROR(__xludf.DUMMYFUNCTION("""COMPUTED_VALUE"""),"S")</f>
        <v>S</v>
      </c>
      <c r="F2790" s="312" t="s">
        <v>39</v>
      </c>
      <c r="G2790" s="308"/>
      <c r="H2790" s="308" t="s">
        <v>11488</v>
      </c>
      <c r="I2790" s="310">
        <v>42124.0</v>
      </c>
      <c r="J2790" s="319">
        <f>IFERROR(__xludf.DUMMYFUNCTION("SPLIT(I2790,""/"")"),30.0)</f>
        <v>30</v>
      </c>
      <c r="K2790" s="308">
        <f>IFERROR(__xludf.DUMMYFUNCTION("""COMPUTED_VALUE"""),4.0)</f>
        <v>4</v>
      </c>
      <c r="L2790" s="308">
        <f>IFERROR(__xludf.DUMMYFUNCTION("""COMPUTED_VALUE"""),2015.0)</f>
        <v>2015</v>
      </c>
      <c r="M2790" s="308" t="s">
        <v>11489</v>
      </c>
      <c r="N2790" s="308"/>
      <c r="O2790" s="308" t="s">
        <v>11490</v>
      </c>
      <c r="P2790" s="308" t="s">
        <v>9438</v>
      </c>
      <c r="Q2790" s="308"/>
      <c r="R2790" s="308"/>
      <c r="S2790" s="308" t="s">
        <v>81</v>
      </c>
      <c r="T2790" s="311" t="s">
        <v>73</v>
      </c>
      <c r="U2790" s="308" t="s">
        <v>166</v>
      </c>
      <c r="V2790" s="312"/>
    </row>
    <row r="2791">
      <c r="A2791" s="308">
        <v>2790.0</v>
      </c>
      <c r="B2791" s="308"/>
      <c r="C2791" s="308" t="s">
        <v>11491</v>
      </c>
      <c r="D2791" s="308">
        <f>IFERROR(__xludf.DUMMYFUNCTION("SPLIT(C2791,""-"")"),2811.0)</f>
        <v>2811</v>
      </c>
      <c r="E2791" s="308" t="str">
        <f>IFERROR(__xludf.DUMMYFUNCTION("""COMPUTED_VALUE"""),"S")</f>
        <v>S</v>
      </c>
      <c r="F2791" s="312" t="s">
        <v>39</v>
      </c>
      <c r="G2791" s="308"/>
      <c r="H2791" s="308" t="s">
        <v>11492</v>
      </c>
      <c r="I2791" s="310">
        <v>42215.0</v>
      </c>
      <c r="J2791" s="319">
        <f>IFERROR(__xludf.DUMMYFUNCTION("SPLIT(I2791,""/"")"),30.0)</f>
        <v>30</v>
      </c>
      <c r="K2791" s="308">
        <f>IFERROR(__xludf.DUMMYFUNCTION("""COMPUTED_VALUE"""),7.0)</f>
        <v>7</v>
      </c>
      <c r="L2791" s="308">
        <f>IFERROR(__xludf.DUMMYFUNCTION("""COMPUTED_VALUE"""),2015.0)</f>
        <v>2015</v>
      </c>
      <c r="M2791" s="308" t="s">
        <v>11493</v>
      </c>
      <c r="N2791" s="308"/>
      <c r="O2791" s="308" t="s">
        <v>11494</v>
      </c>
      <c r="P2791" s="308" t="s">
        <v>9535</v>
      </c>
      <c r="Q2791" s="308"/>
      <c r="R2791" s="308"/>
      <c r="S2791" s="308" t="s">
        <v>81</v>
      </c>
      <c r="T2791" s="308" t="s">
        <v>75</v>
      </c>
      <c r="U2791" s="308" t="s">
        <v>166</v>
      </c>
      <c r="V2791" s="312"/>
    </row>
    <row r="2792">
      <c r="A2792" s="308">
        <v>2791.0</v>
      </c>
      <c r="B2792" s="308"/>
      <c r="C2792" s="308" t="s">
        <v>11495</v>
      </c>
      <c r="D2792" s="308">
        <f>IFERROR(__xludf.DUMMYFUNCTION("SPLIT(C2792,""-"")"),2812.0)</f>
        <v>2812</v>
      </c>
      <c r="E2792" s="308" t="str">
        <f>IFERROR(__xludf.DUMMYFUNCTION("""COMPUTED_VALUE"""),"S")</f>
        <v>S</v>
      </c>
      <c r="F2792" s="312" t="s">
        <v>39</v>
      </c>
      <c r="G2792" s="308"/>
      <c r="H2792" s="308" t="s">
        <v>11496</v>
      </c>
      <c r="I2792" s="310">
        <v>42048.0</v>
      </c>
      <c r="J2792" s="319">
        <f>IFERROR(__xludf.DUMMYFUNCTION("SPLIT(I2792,""/"")"),13.0)</f>
        <v>13</v>
      </c>
      <c r="K2792" s="308">
        <f>IFERROR(__xludf.DUMMYFUNCTION("""COMPUTED_VALUE"""),2.0)</f>
        <v>2</v>
      </c>
      <c r="L2792" s="308">
        <f>IFERROR(__xludf.DUMMYFUNCTION("""COMPUTED_VALUE"""),2015.0)</f>
        <v>2015</v>
      </c>
      <c r="M2792" s="308" t="s">
        <v>11497</v>
      </c>
      <c r="N2792" s="308"/>
      <c r="O2792" s="308" t="s">
        <v>11498</v>
      </c>
      <c r="P2792" s="308" t="s">
        <v>252</v>
      </c>
      <c r="Q2792" s="308"/>
      <c r="R2792" s="308"/>
      <c r="S2792" s="308" t="s">
        <v>49</v>
      </c>
      <c r="T2792" s="308" t="s">
        <v>51</v>
      </c>
      <c r="U2792" s="308" t="s">
        <v>166</v>
      </c>
      <c r="V2792" s="312"/>
    </row>
    <row r="2793">
      <c r="A2793" s="308">
        <v>2792.0</v>
      </c>
      <c r="B2793" s="308"/>
      <c r="C2793" s="308" t="s">
        <v>11499</v>
      </c>
      <c r="D2793" s="308">
        <f>IFERROR(__xludf.DUMMYFUNCTION("SPLIT(C2793,""-"")"),2813.0)</f>
        <v>2813</v>
      </c>
      <c r="E2793" s="308" t="str">
        <f>IFERROR(__xludf.DUMMYFUNCTION("""COMPUTED_VALUE"""),"K")</f>
        <v>K</v>
      </c>
      <c r="F2793" s="309" t="s">
        <v>34</v>
      </c>
      <c r="G2793" s="308"/>
      <c r="H2793" s="308" t="s">
        <v>11500</v>
      </c>
      <c r="I2793" s="310">
        <v>42257.0</v>
      </c>
      <c r="J2793" s="319">
        <f>IFERROR(__xludf.DUMMYFUNCTION("SPLIT(I2793,""/"")"),10.0)</f>
        <v>10</v>
      </c>
      <c r="K2793" s="308">
        <f>IFERROR(__xludf.DUMMYFUNCTION("""COMPUTED_VALUE"""),9.0)</f>
        <v>9</v>
      </c>
      <c r="L2793" s="308">
        <f>IFERROR(__xludf.DUMMYFUNCTION("""COMPUTED_VALUE"""),2015.0)</f>
        <v>2015</v>
      </c>
      <c r="M2793" s="308" t="s">
        <v>11501</v>
      </c>
      <c r="N2793" s="308"/>
      <c r="O2793" s="308" t="s">
        <v>11502</v>
      </c>
      <c r="P2793" s="308" t="s">
        <v>11503</v>
      </c>
      <c r="Q2793" s="308"/>
      <c r="R2793" s="308"/>
      <c r="S2793" s="308" t="s">
        <v>81</v>
      </c>
      <c r="T2793" s="308" t="s">
        <v>75</v>
      </c>
      <c r="U2793" s="308"/>
      <c r="V2793" s="312"/>
    </row>
    <row r="2794">
      <c r="A2794" s="308">
        <v>2793.0</v>
      </c>
      <c r="B2794" s="308"/>
      <c r="C2794" s="308" t="s">
        <v>11504</v>
      </c>
      <c r="D2794" s="308">
        <f>IFERROR(__xludf.DUMMYFUNCTION("SPLIT(C2794,""-"")"),2814.0)</f>
        <v>2814</v>
      </c>
      <c r="E2794" s="308" t="str">
        <f>IFERROR(__xludf.DUMMYFUNCTION("""COMPUTED_VALUE"""),"K")</f>
        <v>K</v>
      </c>
      <c r="F2794" s="309" t="s">
        <v>34</v>
      </c>
      <c r="G2794" s="308"/>
      <c r="H2794" s="308" t="s">
        <v>11505</v>
      </c>
      <c r="I2794" s="316">
        <v>2012.0</v>
      </c>
      <c r="J2794" s="319"/>
      <c r="K2794" s="308"/>
      <c r="L2794" s="311">
        <v>2012.0</v>
      </c>
      <c r="M2794" s="308" t="s">
        <v>11506</v>
      </c>
      <c r="N2794" s="308"/>
      <c r="O2794" s="308" t="s">
        <v>635</v>
      </c>
      <c r="P2794" s="308" t="s">
        <v>11507</v>
      </c>
      <c r="Q2794" s="308"/>
      <c r="R2794" s="308"/>
      <c r="S2794" s="308" t="s">
        <v>81</v>
      </c>
      <c r="T2794" s="308" t="s">
        <v>34264</v>
      </c>
      <c r="U2794" s="308" t="s">
        <v>530</v>
      </c>
      <c r="V2794" s="312"/>
    </row>
    <row r="2795">
      <c r="A2795" s="308">
        <v>2794.0</v>
      </c>
      <c r="B2795" s="308"/>
      <c r="C2795" s="308" t="s">
        <v>11508</v>
      </c>
      <c r="D2795" s="308">
        <f>IFERROR(__xludf.DUMMYFUNCTION("SPLIT(C2795,""-"")"),2815.0)</f>
        <v>2815</v>
      </c>
      <c r="E2795" s="308" t="str">
        <f>IFERROR(__xludf.DUMMYFUNCTION("""COMPUTED_VALUE"""),"K")</f>
        <v>K</v>
      </c>
      <c r="F2795" s="309" t="s">
        <v>34</v>
      </c>
      <c r="G2795" s="308"/>
      <c r="H2795" s="308" t="s">
        <v>11509</v>
      </c>
      <c r="I2795" s="322"/>
      <c r="J2795" s="319"/>
      <c r="K2795" s="308"/>
      <c r="L2795" s="311" t="s">
        <v>79</v>
      </c>
      <c r="M2795" s="308" t="s">
        <v>11510</v>
      </c>
      <c r="N2795" s="308"/>
      <c r="O2795" s="308" t="s">
        <v>635</v>
      </c>
      <c r="P2795" s="308" t="s">
        <v>2675</v>
      </c>
      <c r="Q2795" s="308"/>
      <c r="R2795" s="308"/>
      <c r="S2795" s="308" t="s">
        <v>49</v>
      </c>
      <c r="T2795" s="308" t="s">
        <v>51</v>
      </c>
      <c r="U2795" s="312"/>
      <c r="V2795" s="312"/>
    </row>
    <row r="2796">
      <c r="A2796" s="308">
        <v>2795.0</v>
      </c>
      <c r="B2796" s="308"/>
      <c r="C2796" s="308" t="s">
        <v>11511</v>
      </c>
      <c r="D2796" s="308">
        <f>IFERROR(__xludf.DUMMYFUNCTION("SPLIT(C2796,""-"")"),2816.0)</f>
        <v>2816</v>
      </c>
      <c r="E2796" s="308" t="str">
        <f>IFERROR(__xludf.DUMMYFUNCTION("""COMPUTED_VALUE"""),"ICT")</f>
        <v>ICT</v>
      </c>
      <c r="F2796" s="315" t="s">
        <v>31</v>
      </c>
      <c r="G2796" s="308"/>
      <c r="H2796" s="308" t="s">
        <v>11512</v>
      </c>
      <c r="I2796" s="310">
        <v>42251.0</v>
      </c>
      <c r="J2796" s="319">
        <f>IFERROR(__xludf.DUMMYFUNCTION("SPLIT(I2796,""/"")"),4.0)</f>
        <v>4</v>
      </c>
      <c r="K2796" s="308">
        <f>IFERROR(__xludf.DUMMYFUNCTION("""COMPUTED_VALUE"""),9.0)</f>
        <v>9</v>
      </c>
      <c r="L2796" s="308">
        <f>IFERROR(__xludf.DUMMYFUNCTION("""COMPUTED_VALUE"""),2015.0)</f>
        <v>2015</v>
      </c>
      <c r="M2796" s="308" t="s">
        <v>11513</v>
      </c>
      <c r="N2796" s="308"/>
      <c r="O2796" s="308" t="s">
        <v>11514</v>
      </c>
      <c r="P2796" s="308" t="s">
        <v>11515</v>
      </c>
      <c r="Q2796" s="308"/>
      <c r="R2796" s="308"/>
      <c r="S2796" s="308" t="s">
        <v>81</v>
      </c>
      <c r="T2796" s="308" t="s">
        <v>75</v>
      </c>
      <c r="U2796" s="308" t="s">
        <v>31</v>
      </c>
      <c r="V2796" s="312"/>
    </row>
    <row r="2797">
      <c r="A2797" s="308">
        <v>2796.0</v>
      </c>
      <c r="B2797" s="308"/>
      <c r="C2797" s="308" t="s">
        <v>11516</v>
      </c>
      <c r="D2797" s="308">
        <f>IFERROR(__xludf.DUMMYFUNCTION("SPLIT(C2797,""-"")"),2817.0)</f>
        <v>2817</v>
      </c>
      <c r="E2797" s="308" t="str">
        <f>IFERROR(__xludf.DUMMYFUNCTION("""COMPUTED_VALUE"""),"ICT")</f>
        <v>ICT</v>
      </c>
      <c r="F2797" s="315" t="s">
        <v>31</v>
      </c>
      <c r="G2797" s="308"/>
      <c r="H2797" s="308" t="s">
        <v>11517</v>
      </c>
      <c r="I2797" s="310">
        <v>42256.0</v>
      </c>
      <c r="J2797" s="319">
        <f>IFERROR(__xludf.DUMMYFUNCTION("SPLIT(I2797,""/"")"),9.0)</f>
        <v>9</v>
      </c>
      <c r="K2797" s="308">
        <f>IFERROR(__xludf.DUMMYFUNCTION("""COMPUTED_VALUE"""),9.0)</f>
        <v>9</v>
      </c>
      <c r="L2797" s="308">
        <f>IFERROR(__xludf.DUMMYFUNCTION("""COMPUTED_VALUE"""),2015.0)</f>
        <v>2015</v>
      </c>
      <c r="M2797" s="308" t="s">
        <v>11518</v>
      </c>
      <c r="N2797" s="308"/>
      <c r="O2797" s="308" t="s">
        <v>11519</v>
      </c>
      <c r="P2797" s="308" t="s">
        <v>36770</v>
      </c>
      <c r="Q2797" s="308"/>
      <c r="R2797" s="308"/>
      <c r="S2797" s="308" t="s">
        <v>81</v>
      </c>
      <c r="T2797" s="311" t="s">
        <v>75</v>
      </c>
      <c r="U2797" s="308" t="s">
        <v>31</v>
      </c>
      <c r="V2797" s="312"/>
    </row>
    <row r="2798">
      <c r="A2798" s="308">
        <v>2797.0</v>
      </c>
      <c r="B2798" s="308"/>
      <c r="C2798" s="308" t="s">
        <v>11521</v>
      </c>
      <c r="D2798" s="308">
        <f>IFERROR(__xludf.DUMMYFUNCTION("SPLIT(C2798,""-"")"),2818.0)</f>
        <v>2818</v>
      </c>
      <c r="E2798" s="308" t="str">
        <f>IFERROR(__xludf.DUMMYFUNCTION("""COMPUTED_VALUE"""),"K")</f>
        <v>K</v>
      </c>
      <c r="F2798" s="309" t="s">
        <v>34</v>
      </c>
      <c r="G2798" s="308"/>
      <c r="H2798" s="308" t="s">
        <v>11522</v>
      </c>
      <c r="I2798" s="310">
        <v>40544.0</v>
      </c>
      <c r="J2798" s="319">
        <f>IFERROR(__xludf.DUMMYFUNCTION("SPLIT(I2798,""/"")"),1.0)</f>
        <v>1</v>
      </c>
      <c r="K2798" s="308">
        <f>IFERROR(__xludf.DUMMYFUNCTION("""COMPUTED_VALUE"""),1.0)</f>
        <v>1</v>
      </c>
      <c r="L2798" s="308">
        <f>IFERROR(__xludf.DUMMYFUNCTION("""COMPUTED_VALUE"""),2011.0)</f>
        <v>2011</v>
      </c>
      <c r="M2798" s="308" t="s">
        <v>11523</v>
      </c>
      <c r="N2798" s="308"/>
      <c r="O2798" s="308" t="s">
        <v>635</v>
      </c>
      <c r="P2798" s="308" t="s">
        <v>11524</v>
      </c>
      <c r="Q2798" s="308"/>
      <c r="R2798" s="308"/>
      <c r="S2798" s="308" t="s">
        <v>81</v>
      </c>
      <c r="T2798" s="308" t="s">
        <v>34264</v>
      </c>
      <c r="U2798" s="308" t="s">
        <v>201</v>
      </c>
      <c r="V2798" s="312"/>
    </row>
    <row r="2799">
      <c r="A2799" s="308">
        <v>2798.0</v>
      </c>
      <c r="B2799" s="308"/>
      <c r="C2799" s="308" t="s">
        <v>11525</v>
      </c>
      <c r="D2799" s="308">
        <f>IFERROR(__xludf.DUMMYFUNCTION("SPLIT(C2799,""-"")"),2819.0)</f>
        <v>2819</v>
      </c>
      <c r="E2799" s="308" t="str">
        <f>IFERROR(__xludf.DUMMYFUNCTION("""COMPUTED_VALUE"""),"ICT")</f>
        <v>ICT</v>
      </c>
      <c r="F2799" s="315" t="s">
        <v>31</v>
      </c>
      <c r="G2799" s="308"/>
      <c r="H2799" s="308" t="s">
        <v>11526</v>
      </c>
      <c r="I2799" s="310">
        <v>42229.0</v>
      </c>
      <c r="J2799" s="319">
        <f>IFERROR(__xludf.DUMMYFUNCTION("SPLIT(I2799,""/"")"),13.0)</f>
        <v>13</v>
      </c>
      <c r="K2799" s="308">
        <f>IFERROR(__xludf.DUMMYFUNCTION("""COMPUTED_VALUE"""),8.0)</f>
        <v>8</v>
      </c>
      <c r="L2799" s="308">
        <f>IFERROR(__xludf.DUMMYFUNCTION("""COMPUTED_VALUE"""),2015.0)</f>
        <v>2015</v>
      </c>
      <c r="M2799" s="308" t="s">
        <v>11527</v>
      </c>
      <c r="N2799" s="308"/>
      <c r="O2799" s="308" t="s">
        <v>11528</v>
      </c>
      <c r="P2799" s="308" t="s">
        <v>11529</v>
      </c>
      <c r="Q2799" s="308"/>
      <c r="R2799" s="308"/>
      <c r="S2799" s="308" t="s">
        <v>81</v>
      </c>
      <c r="T2799" s="308" t="s">
        <v>75</v>
      </c>
      <c r="U2799" s="308" t="s">
        <v>31</v>
      </c>
      <c r="V2799" s="312"/>
    </row>
    <row r="2800">
      <c r="A2800" s="308">
        <v>2799.0</v>
      </c>
      <c r="B2800" s="308"/>
      <c r="C2800" s="308" t="s">
        <v>11530</v>
      </c>
      <c r="D2800" s="308">
        <f>IFERROR(__xludf.DUMMYFUNCTION("SPLIT(C2800,""-"")"),2820.0)</f>
        <v>2820</v>
      </c>
      <c r="E2800" s="308" t="str">
        <f>IFERROR(__xludf.DUMMYFUNCTION("""COMPUTED_VALUE"""),"P")</f>
        <v>P</v>
      </c>
      <c r="F2800" s="312" t="s">
        <v>37</v>
      </c>
      <c r="G2800" s="308"/>
      <c r="H2800" s="308" t="s">
        <v>11531</v>
      </c>
      <c r="I2800" s="310">
        <v>42187.0</v>
      </c>
      <c r="J2800" s="319">
        <f>IFERROR(__xludf.DUMMYFUNCTION("SPLIT(I2800,""/"")"),2.0)</f>
        <v>2</v>
      </c>
      <c r="K2800" s="308">
        <f>IFERROR(__xludf.DUMMYFUNCTION("""COMPUTED_VALUE"""),7.0)</f>
        <v>7</v>
      </c>
      <c r="L2800" s="308">
        <f>IFERROR(__xludf.DUMMYFUNCTION("""COMPUTED_VALUE"""),2015.0)</f>
        <v>2015</v>
      </c>
      <c r="M2800" s="308" t="s">
        <v>11532</v>
      </c>
      <c r="N2800" s="308"/>
      <c r="O2800" s="308" t="s">
        <v>635</v>
      </c>
      <c r="P2800" s="308" t="s">
        <v>11533</v>
      </c>
      <c r="Q2800" s="308"/>
      <c r="R2800" s="308"/>
      <c r="S2800" s="308" t="s">
        <v>81</v>
      </c>
      <c r="T2800" s="311" t="s">
        <v>73</v>
      </c>
      <c r="U2800" s="308"/>
      <c r="V2800" s="312"/>
    </row>
    <row r="2801">
      <c r="A2801" s="308">
        <v>2800.0</v>
      </c>
      <c r="B2801" s="308"/>
      <c r="C2801" s="308" t="s">
        <v>11534</v>
      </c>
      <c r="D2801" s="308">
        <f>IFERROR(__xludf.DUMMYFUNCTION("SPLIT(C2801,""-"")"),2821.0)</f>
        <v>2821</v>
      </c>
      <c r="E2801" s="308" t="str">
        <f>IFERROR(__xludf.DUMMYFUNCTION("""COMPUTED_VALUE"""),"K")</f>
        <v>K</v>
      </c>
      <c r="F2801" s="309" t="s">
        <v>34</v>
      </c>
      <c r="G2801" s="308"/>
      <c r="H2801" s="308" t="s">
        <v>11535</v>
      </c>
      <c r="I2801" s="314">
        <v>41971.0</v>
      </c>
      <c r="J2801" s="319">
        <f>IFERROR(__xludf.DUMMYFUNCTION("SPLIT(I2801,""/"")"),28.0)</f>
        <v>28</v>
      </c>
      <c r="K2801" s="308">
        <f>IFERROR(__xludf.DUMMYFUNCTION("""COMPUTED_VALUE"""),11.0)</f>
        <v>11</v>
      </c>
      <c r="L2801" s="308">
        <f>IFERROR(__xludf.DUMMYFUNCTION("""COMPUTED_VALUE"""),2014.0)</f>
        <v>2014</v>
      </c>
      <c r="M2801" s="308" t="s">
        <v>11536</v>
      </c>
      <c r="N2801" s="308"/>
      <c r="O2801" s="308" t="s">
        <v>11537</v>
      </c>
      <c r="P2801" s="308" t="s">
        <v>11538</v>
      </c>
      <c r="Q2801" s="308"/>
      <c r="R2801" s="308"/>
      <c r="S2801" s="308" t="s">
        <v>81</v>
      </c>
      <c r="T2801" s="308" t="s">
        <v>34264</v>
      </c>
      <c r="U2801" s="308"/>
      <c r="V2801" s="312"/>
    </row>
    <row r="2802">
      <c r="A2802" s="308">
        <v>2801.0</v>
      </c>
      <c r="B2802" s="308"/>
      <c r="C2802" s="308" t="s">
        <v>11539</v>
      </c>
      <c r="D2802" s="308">
        <f>IFERROR(__xludf.DUMMYFUNCTION("SPLIT(C2802,""-"")"),2822.0)</f>
        <v>2822</v>
      </c>
      <c r="E2802" s="308" t="str">
        <f>IFERROR(__xludf.DUMMYFUNCTION("""COMPUTED_VALUE"""),"K")</f>
        <v>K</v>
      </c>
      <c r="F2802" s="309" t="s">
        <v>34</v>
      </c>
      <c r="G2802" s="308"/>
      <c r="H2802" s="308" t="s">
        <v>11540</v>
      </c>
      <c r="I2802" s="310">
        <v>41813.0</v>
      </c>
      <c r="J2802" s="319">
        <f>IFERROR(__xludf.DUMMYFUNCTION("SPLIT(I2802,""/"")"),23.0)</f>
        <v>23</v>
      </c>
      <c r="K2802" s="308">
        <f>IFERROR(__xludf.DUMMYFUNCTION("""COMPUTED_VALUE"""),6.0)</f>
        <v>6</v>
      </c>
      <c r="L2802" s="308">
        <f>IFERROR(__xludf.DUMMYFUNCTION("""COMPUTED_VALUE"""),2014.0)</f>
        <v>2014</v>
      </c>
      <c r="M2802" s="308" t="s">
        <v>11541</v>
      </c>
      <c r="N2802" s="308"/>
      <c r="O2802" s="308" t="s">
        <v>11542</v>
      </c>
      <c r="P2802" s="308" t="s">
        <v>11543</v>
      </c>
      <c r="Q2802" s="308"/>
      <c r="R2802" s="308" t="s">
        <v>618</v>
      </c>
      <c r="S2802" s="308" t="s">
        <v>81</v>
      </c>
      <c r="T2802" s="308" t="s">
        <v>98</v>
      </c>
      <c r="U2802" s="308" t="s">
        <v>125</v>
      </c>
      <c r="V2802" s="312"/>
    </row>
    <row r="2803">
      <c r="A2803" s="308">
        <v>2802.0</v>
      </c>
      <c r="B2803" s="308"/>
      <c r="C2803" s="308" t="s">
        <v>11544</v>
      </c>
      <c r="D2803" s="308">
        <f>IFERROR(__xludf.DUMMYFUNCTION("SPLIT(C2803,""-"")"),2823.0)</f>
        <v>2823</v>
      </c>
      <c r="E2803" s="308" t="str">
        <f>IFERROR(__xludf.DUMMYFUNCTION("""COMPUTED_VALUE"""),"K")</f>
        <v>K</v>
      </c>
      <c r="F2803" s="309" t="s">
        <v>34</v>
      </c>
      <c r="G2803" s="308"/>
      <c r="H2803" s="308" t="s">
        <v>11545</v>
      </c>
      <c r="I2803" s="310">
        <v>42150.0</v>
      </c>
      <c r="J2803" s="319">
        <f>IFERROR(__xludf.DUMMYFUNCTION("SPLIT(I2803,""/"")"),26.0)</f>
        <v>26</v>
      </c>
      <c r="K2803" s="308">
        <f>IFERROR(__xludf.DUMMYFUNCTION("""COMPUTED_VALUE"""),5.0)</f>
        <v>5</v>
      </c>
      <c r="L2803" s="308">
        <f>IFERROR(__xludf.DUMMYFUNCTION("""COMPUTED_VALUE"""),2015.0)</f>
        <v>2015</v>
      </c>
      <c r="M2803" s="308" t="s">
        <v>11546</v>
      </c>
      <c r="N2803" s="308"/>
      <c r="O2803" s="308" t="s">
        <v>635</v>
      </c>
      <c r="P2803" s="308" t="s">
        <v>11547</v>
      </c>
      <c r="Q2803" s="308"/>
      <c r="R2803" s="308"/>
      <c r="S2803" s="308" t="s">
        <v>81</v>
      </c>
      <c r="T2803" s="311" t="s">
        <v>51</v>
      </c>
      <c r="U2803" s="308"/>
      <c r="V2803" s="312"/>
    </row>
    <row r="2804">
      <c r="A2804" s="308">
        <v>2803.0</v>
      </c>
      <c r="B2804" s="308"/>
      <c r="C2804" s="308" t="s">
        <v>11548</v>
      </c>
      <c r="D2804" s="308">
        <f>IFERROR(__xludf.DUMMYFUNCTION("SPLIT(C2804,""-"")"),2824.0)</f>
        <v>2824</v>
      </c>
      <c r="E2804" s="308" t="str">
        <f>IFERROR(__xludf.DUMMYFUNCTION("""COMPUTED_VALUE"""),"K")</f>
        <v>K</v>
      </c>
      <c r="F2804" s="309" t="s">
        <v>34</v>
      </c>
      <c r="G2804" s="308"/>
      <c r="H2804" s="308" t="s">
        <v>11549</v>
      </c>
      <c r="I2804" s="310">
        <v>41803.0</v>
      </c>
      <c r="J2804" s="319">
        <f>IFERROR(__xludf.DUMMYFUNCTION("SPLIT(I2804,""/"")"),13.0)</f>
        <v>13</v>
      </c>
      <c r="K2804" s="308">
        <f>IFERROR(__xludf.DUMMYFUNCTION("""COMPUTED_VALUE"""),6.0)</f>
        <v>6</v>
      </c>
      <c r="L2804" s="308">
        <f>IFERROR(__xludf.DUMMYFUNCTION("""COMPUTED_VALUE"""),2014.0)</f>
        <v>2014</v>
      </c>
      <c r="M2804" s="308" t="s">
        <v>11550</v>
      </c>
      <c r="N2804" s="308"/>
      <c r="O2804" s="308" t="s">
        <v>635</v>
      </c>
      <c r="P2804" s="308" t="s">
        <v>11551</v>
      </c>
      <c r="Q2804" s="308"/>
      <c r="R2804" s="308"/>
      <c r="S2804" s="308" t="s">
        <v>81</v>
      </c>
      <c r="T2804" s="308" t="s">
        <v>34264</v>
      </c>
      <c r="U2804" s="308"/>
      <c r="V2804" s="312"/>
    </row>
    <row r="2805">
      <c r="A2805" s="308">
        <v>2804.0</v>
      </c>
      <c r="B2805" s="308"/>
      <c r="C2805" s="308" t="s">
        <v>11552</v>
      </c>
      <c r="D2805" s="308">
        <f>IFERROR(__xludf.DUMMYFUNCTION("SPLIT(C2805,""-"")"),2825.0)</f>
        <v>2825</v>
      </c>
      <c r="E2805" s="308" t="str">
        <f>IFERROR(__xludf.DUMMYFUNCTION("""COMPUTED_VALUE"""),"K")</f>
        <v>K</v>
      </c>
      <c r="F2805" s="309" t="s">
        <v>34</v>
      </c>
      <c r="G2805" s="308"/>
      <c r="H2805" s="308" t="s">
        <v>11553</v>
      </c>
      <c r="I2805" s="310">
        <v>42168.0</v>
      </c>
      <c r="J2805" s="319">
        <f>IFERROR(__xludf.DUMMYFUNCTION("SPLIT(I2805,""/"")"),13.0)</f>
        <v>13</v>
      </c>
      <c r="K2805" s="308">
        <f>IFERROR(__xludf.DUMMYFUNCTION("""COMPUTED_VALUE"""),6.0)</f>
        <v>6</v>
      </c>
      <c r="L2805" s="308">
        <f>IFERROR(__xludf.DUMMYFUNCTION("""COMPUTED_VALUE"""),2015.0)</f>
        <v>2015</v>
      </c>
      <c r="M2805" s="308" t="s">
        <v>11554</v>
      </c>
      <c r="N2805" s="308"/>
      <c r="O2805" s="308" t="s">
        <v>635</v>
      </c>
      <c r="P2805" s="308" t="s">
        <v>11555</v>
      </c>
      <c r="Q2805" s="308"/>
      <c r="R2805" s="308"/>
      <c r="S2805" s="308" t="s">
        <v>81</v>
      </c>
      <c r="T2805" s="308" t="s">
        <v>34264</v>
      </c>
      <c r="U2805" s="308"/>
      <c r="V2805" s="312"/>
    </row>
    <row r="2806">
      <c r="A2806" s="308">
        <v>2805.0</v>
      </c>
      <c r="B2806" s="308"/>
      <c r="C2806" s="308" t="s">
        <v>11556</v>
      </c>
      <c r="D2806" s="308">
        <f>IFERROR(__xludf.DUMMYFUNCTION("SPLIT(C2806,""-"")"),2826.0)</f>
        <v>2826</v>
      </c>
      <c r="E2806" s="308" t="str">
        <f>IFERROR(__xludf.DUMMYFUNCTION("""COMPUTED_VALUE"""),"K")</f>
        <v>K</v>
      </c>
      <c r="F2806" s="309" t="s">
        <v>34</v>
      </c>
      <c r="G2806" s="308"/>
      <c r="H2806" s="308" t="s">
        <v>11557</v>
      </c>
      <c r="I2806" s="310">
        <v>41801.0</v>
      </c>
      <c r="J2806" s="319">
        <f>IFERROR(__xludf.DUMMYFUNCTION("SPLIT(I2806,""/"")"),11.0)</f>
        <v>11</v>
      </c>
      <c r="K2806" s="308">
        <f>IFERROR(__xludf.DUMMYFUNCTION("""COMPUTED_VALUE"""),6.0)</f>
        <v>6</v>
      </c>
      <c r="L2806" s="308">
        <f>IFERROR(__xludf.DUMMYFUNCTION("""COMPUTED_VALUE"""),2014.0)</f>
        <v>2014</v>
      </c>
      <c r="M2806" s="308" t="s">
        <v>11558</v>
      </c>
      <c r="N2806" s="308"/>
      <c r="O2806" s="308" t="s">
        <v>635</v>
      </c>
      <c r="P2806" s="308" t="s">
        <v>11559</v>
      </c>
      <c r="Q2806" s="308"/>
      <c r="R2806" s="308"/>
      <c r="S2806" s="308" t="s">
        <v>81</v>
      </c>
      <c r="T2806" s="308" t="s">
        <v>34264</v>
      </c>
      <c r="U2806" s="308"/>
      <c r="V2806" s="312"/>
    </row>
    <row r="2807">
      <c r="A2807" s="308">
        <v>2806.0</v>
      </c>
      <c r="B2807" s="308"/>
      <c r="C2807" s="308" t="s">
        <v>11560</v>
      </c>
      <c r="D2807" s="308">
        <f>IFERROR(__xludf.DUMMYFUNCTION("SPLIT(C2807,""-"")"),2827.0)</f>
        <v>2827</v>
      </c>
      <c r="E2807" s="308" t="str">
        <f>IFERROR(__xludf.DUMMYFUNCTION("""COMPUTED_VALUE"""),"K")</f>
        <v>K</v>
      </c>
      <c r="F2807" s="309" t="s">
        <v>34</v>
      </c>
      <c r="G2807" s="308"/>
      <c r="H2807" s="308" t="s">
        <v>11561</v>
      </c>
      <c r="I2807" s="310">
        <v>41801.0</v>
      </c>
      <c r="J2807" s="319">
        <f>IFERROR(__xludf.DUMMYFUNCTION("SPLIT(I2807,""/"")"),11.0)</f>
        <v>11</v>
      </c>
      <c r="K2807" s="308">
        <f>IFERROR(__xludf.DUMMYFUNCTION("""COMPUTED_VALUE"""),6.0)</f>
        <v>6</v>
      </c>
      <c r="L2807" s="308">
        <f>IFERROR(__xludf.DUMMYFUNCTION("""COMPUTED_VALUE"""),2014.0)</f>
        <v>2014</v>
      </c>
      <c r="M2807" s="308" t="s">
        <v>11562</v>
      </c>
      <c r="N2807" s="308"/>
      <c r="O2807" s="308" t="s">
        <v>635</v>
      </c>
      <c r="P2807" s="308" t="s">
        <v>11559</v>
      </c>
      <c r="Q2807" s="308"/>
      <c r="R2807" s="308"/>
      <c r="S2807" s="308" t="s">
        <v>81</v>
      </c>
      <c r="T2807" s="308" t="s">
        <v>34264</v>
      </c>
      <c r="U2807" s="308"/>
      <c r="V2807" s="312"/>
    </row>
    <row r="2808">
      <c r="A2808" s="308">
        <v>2807.0</v>
      </c>
      <c r="B2808" s="308"/>
      <c r="C2808" s="308" t="s">
        <v>11563</v>
      </c>
      <c r="D2808" s="308">
        <f>IFERROR(__xludf.DUMMYFUNCTION("SPLIT(C2808,""-"")"),2828.0)</f>
        <v>2828</v>
      </c>
      <c r="E2808" s="308" t="str">
        <f>IFERROR(__xludf.DUMMYFUNCTION("""COMPUTED_VALUE"""),"K")</f>
        <v>K</v>
      </c>
      <c r="F2808" s="309" t="s">
        <v>34</v>
      </c>
      <c r="G2808" s="308"/>
      <c r="H2808" s="308" t="s">
        <v>11564</v>
      </c>
      <c r="I2808" s="310">
        <v>41803.0</v>
      </c>
      <c r="J2808" s="319">
        <f>IFERROR(__xludf.DUMMYFUNCTION("SPLIT(I2808,""/"")"),13.0)</f>
        <v>13</v>
      </c>
      <c r="K2808" s="308">
        <f>IFERROR(__xludf.DUMMYFUNCTION("""COMPUTED_VALUE"""),6.0)</f>
        <v>6</v>
      </c>
      <c r="L2808" s="308">
        <f>IFERROR(__xludf.DUMMYFUNCTION("""COMPUTED_VALUE"""),2014.0)</f>
        <v>2014</v>
      </c>
      <c r="M2808" s="308" t="s">
        <v>11565</v>
      </c>
      <c r="N2808" s="308"/>
      <c r="O2808" s="308" t="s">
        <v>635</v>
      </c>
      <c r="P2808" s="308" t="s">
        <v>11559</v>
      </c>
      <c r="Q2808" s="308"/>
      <c r="R2808" s="308"/>
      <c r="S2808" s="308" t="s">
        <v>81</v>
      </c>
      <c r="T2808" s="308" t="s">
        <v>34264</v>
      </c>
      <c r="U2808" s="308"/>
      <c r="V2808" s="312"/>
    </row>
    <row r="2809">
      <c r="A2809" s="308">
        <v>2808.0</v>
      </c>
      <c r="B2809" s="308"/>
      <c r="C2809" s="308" t="s">
        <v>11566</v>
      </c>
      <c r="D2809" s="308">
        <f>IFERROR(__xludf.DUMMYFUNCTION("SPLIT(C2809,""-"")"),2829.0)</f>
        <v>2829</v>
      </c>
      <c r="E2809" s="308" t="str">
        <f>IFERROR(__xludf.DUMMYFUNCTION("""COMPUTED_VALUE"""),"S")</f>
        <v>S</v>
      </c>
      <c r="F2809" s="312" t="s">
        <v>39</v>
      </c>
      <c r="G2809" s="308"/>
      <c r="H2809" s="308" t="s">
        <v>11567</v>
      </c>
      <c r="I2809" s="310">
        <v>42161.0</v>
      </c>
      <c r="J2809" s="319">
        <f>IFERROR(__xludf.DUMMYFUNCTION("SPLIT(I2809,""/"")"),6.0)</f>
        <v>6</v>
      </c>
      <c r="K2809" s="308">
        <f>IFERROR(__xludf.DUMMYFUNCTION("""COMPUTED_VALUE"""),6.0)</f>
        <v>6</v>
      </c>
      <c r="L2809" s="308">
        <f>IFERROR(__xludf.DUMMYFUNCTION("""COMPUTED_VALUE"""),2015.0)</f>
        <v>2015</v>
      </c>
      <c r="M2809" s="308" t="s">
        <v>36771</v>
      </c>
      <c r="N2809" s="308"/>
      <c r="O2809" s="308" t="s">
        <v>11569</v>
      </c>
      <c r="P2809" s="308" t="s">
        <v>9535</v>
      </c>
      <c r="Q2809" s="308"/>
      <c r="R2809" s="308"/>
      <c r="S2809" s="308" t="s">
        <v>81</v>
      </c>
      <c r="T2809" s="308" t="s">
        <v>75</v>
      </c>
      <c r="U2809" s="308" t="s">
        <v>166</v>
      </c>
      <c r="V2809" s="312"/>
    </row>
    <row r="2810">
      <c r="A2810" s="308">
        <v>2809.0</v>
      </c>
      <c r="B2810" s="308"/>
      <c r="C2810" s="308" t="s">
        <v>11570</v>
      </c>
      <c r="D2810" s="308">
        <f>IFERROR(__xludf.DUMMYFUNCTION("SPLIT(C2810,""-"")"),2830.0)</f>
        <v>2830</v>
      </c>
      <c r="E2810" s="308" t="str">
        <f>IFERROR(__xludf.DUMMYFUNCTION("""COMPUTED_VALUE"""),"S")</f>
        <v>S</v>
      </c>
      <c r="F2810" s="312" t="s">
        <v>39</v>
      </c>
      <c r="G2810" s="308"/>
      <c r="H2810" s="308" t="s">
        <v>11571</v>
      </c>
      <c r="I2810" s="310">
        <v>42161.0</v>
      </c>
      <c r="J2810" s="319">
        <f>IFERROR(__xludf.DUMMYFUNCTION("SPLIT(I2810,""/"")"),6.0)</f>
        <v>6</v>
      </c>
      <c r="K2810" s="308">
        <f>IFERROR(__xludf.DUMMYFUNCTION("""COMPUTED_VALUE"""),6.0)</f>
        <v>6</v>
      </c>
      <c r="L2810" s="308">
        <f>IFERROR(__xludf.DUMMYFUNCTION("""COMPUTED_VALUE"""),2015.0)</f>
        <v>2015</v>
      </c>
      <c r="M2810" s="308" t="s">
        <v>36771</v>
      </c>
      <c r="N2810" s="308"/>
      <c r="O2810" s="308" t="s">
        <v>11569</v>
      </c>
      <c r="P2810" s="308" t="s">
        <v>4045</v>
      </c>
      <c r="Q2810" s="308"/>
      <c r="R2810" s="308"/>
      <c r="S2810" s="308" t="s">
        <v>81</v>
      </c>
      <c r="T2810" s="308" t="s">
        <v>98</v>
      </c>
      <c r="U2810" s="312"/>
      <c r="V2810" s="312"/>
    </row>
    <row r="2811">
      <c r="A2811" s="308">
        <v>2810.0</v>
      </c>
      <c r="B2811" s="308"/>
      <c r="C2811" s="308" t="s">
        <v>11572</v>
      </c>
      <c r="D2811" s="308">
        <f>IFERROR(__xludf.DUMMYFUNCTION("SPLIT(C2811,""-"")"),2831.0)</f>
        <v>2831</v>
      </c>
      <c r="E2811" s="308" t="str">
        <f>IFERROR(__xludf.DUMMYFUNCTION("""COMPUTED_VALUE"""),"S")</f>
        <v>S</v>
      </c>
      <c r="F2811" s="312" t="s">
        <v>39</v>
      </c>
      <c r="G2811" s="308"/>
      <c r="H2811" s="308" t="s">
        <v>11573</v>
      </c>
      <c r="I2811" s="310">
        <v>41979.0</v>
      </c>
      <c r="J2811" s="319">
        <f>IFERROR(__xludf.DUMMYFUNCTION("SPLIT(I2811,""/"")"),6.0)</f>
        <v>6</v>
      </c>
      <c r="K2811" s="308">
        <f>IFERROR(__xludf.DUMMYFUNCTION("""COMPUTED_VALUE"""),12.0)</f>
        <v>12</v>
      </c>
      <c r="L2811" s="308">
        <f>IFERROR(__xludf.DUMMYFUNCTION("""COMPUTED_VALUE"""),2014.0)</f>
        <v>2014</v>
      </c>
      <c r="M2811" s="308" t="s">
        <v>11574</v>
      </c>
      <c r="N2811" s="308"/>
      <c r="O2811" s="308" t="s">
        <v>11575</v>
      </c>
      <c r="P2811" s="308" t="s">
        <v>11576</v>
      </c>
      <c r="Q2811" s="308"/>
      <c r="R2811" s="308"/>
      <c r="S2811" s="308" t="s">
        <v>81</v>
      </c>
      <c r="T2811" s="311" t="s">
        <v>96</v>
      </c>
      <c r="U2811" s="308"/>
      <c r="V2811" s="312"/>
    </row>
    <row r="2812">
      <c r="A2812" s="308">
        <v>2811.0</v>
      </c>
      <c r="B2812" s="308"/>
      <c r="C2812" s="308" t="s">
        <v>11577</v>
      </c>
      <c r="D2812" s="308">
        <f>IFERROR(__xludf.DUMMYFUNCTION("SPLIT(C2812,""-"")"),2832.0)</f>
        <v>2832</v>
      </c>
      <c r="E2812" s="308" t="str">
        <f>IFERROR(__xludf.DUMMYFUNCTION("""COMPUTED_VALUE"""),"S")</f>
        <v>S</v>
      </c>
      <c r="F2812" s="312" t="s">
        <v>39</v>
      </c>
      <c r="G2812" s="308"/>
      <c r="H2812" s="308" t="s">
        <v>11578</v>
      </c>
      <c r="I2812" s="314">
        <v>41931.0</v>
      </c>
      <c r="J2812" s="319">
        <f>IFERROR(__xludf.DUMMYFUNCTION("SPLIT(I2812,""/"")"),19.0)</f>
        <v>19</v>
      </c>
      <c r="K2812" s="308">
        <f>IFERROR(__xludf.DUMMYFUNCTION("""COMPUTED_VALUE"""),10.0)</f>
        <v>10</v>
      </c>
      <c r="L2812" s="308">
        <f>IFERROR(__xludf.DUMMYFUNCTION("""COMPUTED_VALUE"""),2014.0)</f>
        <v>2014</v>
      </c>
      <c r="M2812" s="308" t="s">
        <v>11579</v>
      </c>
      <c r="N2812" s="308"/>
      <c r="O2812" s="308" t="s">
        <v>635</v>
      </c>
      <c r="P2812" s="308" t="s">
        <v>11580</v>
      </c>
      <c r="Q2812" s="308"/>
      <c r="R2812" s="308"/>
      <c r="S2812" s="308" t="s">
        <v>81</v>
      </c>
      <c r="T2812" s="308" t="s">
        <v>63</v>
      </c>
      <c r="U2812" s="308" t="s">
        <v>166</v>
      </c>
      <c r="V2812" s="312"/>
    </row>
    <row r="2813">
      <c r="A2813" s="308">
        <v>2812.0</v>
      </c>
      <c r="B2813" s="308"/>
      <c r="C2813" s="308" t="s">
        <v>11581</v>
      </c>
      <c r="D2813" s="308">
        <f>IFERROR(__xludf.DUMMYFUNCTION("SPLIT(C2813,""-"")"),2833.0)</f>
        <v>2833</v>
      </c>
      <c r="E2813" s="308" t="str">
        <f>IFERROR(__xludf.DUMMYFUNCTION("""COMPUTED_VALUE"""),"S")</f>
        <v>S</v>
      </c>
      <c r="F2813" s="312" t="s">
        <v>39</v>
      </c>
      <c r="G2813" s="308"/>
      <c r="H2813" s="308" t="s">
        <v>11582</v>
      </c>
      <c r="I2813" s="310">
        <v>42271.0</v>
      </c>
      <c r="J2813" s="319">
        <f>IFERROR(__xludf.DUMMYFUNCTION("SPLIT(I2813,""/"")"),24.0)</f>
        <v>24</v>
      </c>
      <c r="K2813" s="308">
        <f>IFERROR(__xludf.DUMMYFUNCTION("""COMPUTED_VALUE"""),9.0)</f>
        <v>9</v>
      </c>
      <c r="L2813" s="308">
        <f>IFERROR(__xludf.DUMMYFUNCTION("""COMPUTED_VALUE"""),2015.0)</f>
        <v>2015</v>
      </c>
      <c r="M2813" s="308" t="s">
        <v>11583</v>
      </c>
      <c r="N2813" s="308"/>
      <c r="O2813" s="308" t="s">
        <v>635</v>
      </c>
      <c r="P2813" s="308" t="s">
        <v>11584</v>
      </c>
      <c r="Q2813" s="308"/>
      <c r="R2813" s="308"/>
      <c r="S2813" s="308" t="s">
        <v>81</v>
      </c>
      <c r="T2813" s="308" t="s">
        <v>73</v>
      </c>
      <c r="U2813" s="308" t="s">
        <v>166</v>
      </c>
      <c r="V2813" s="312"/>
    </row>
    <row r="2814">
      <c r="A2814" s="308">
        <v>2813.0</v>
      </c>
      <c r="B2814" s="308"/>
      <c r="C2814" s="308" t="s">
        <v>11585</v>
      </c>
      <c r="D2814" s="308">
        <f>IFERROR(__xludf.DUMMYFUNCTION("SPLIT(C2814,""-"")"),2834.0)</f>
        <v>2834</v>
      </c>
      <c r="E2814" s="308" t="str">
        <f>IFERROR(__xludf.DUMMYFUNCTION("""COMPUTED_VALUE"""),"S")</f>
        <v>S</v>
      </c>
      <c r="F2814" s="312" t="s">
        <v>39</v>
      </c>
      <c r="G2814" s="308"/>
      <c r="H2814" s="308" t="s">
        <v>11586</v>
      </c>
      <c r="I2814" s="310">
        <v>42257.0</v>
      </c>
      <c r="J2814" s="319">
        <f>IFERROR(__xludf.DUMMYFUNCTION("SPLIT(I2814,""/"")"),10.0)</f>
        <v>10</v>
      </c>
      <c r="K2814" s="308">
        <f>IFERROR(__xludf.DUMMYFUNCTION("""COMPUTED_VALUE"""),9.0)</f>
        <v>9</v>
      </c>
      <c r="L2814" s="308">
        <f>IFERROR(__xludf.DUMMYFUNCTION("""COMPUTED_VALUE"""),2015.0)</f>
        <v>2015</v>
      </c>
      <c r="M2814" s="308" t="s">
        <v>11587</v>
      </c>
      <c r="N2814" s="308"/>
      <c r="O2814" s="308" t="s">
        <v>635</v>
      </c>
      <c r="P2814" s="308" t="s">
        <v>11584</v>
      </c>
      <c r="Q2814" s="308"/>
      <c r="R2814" s="308"/>
      <c r="S2814" s="308" t="s">
        <v>81</v>
      </c>
      <c r="T2814" s="308" t="s">
        <v>73</v>
      </c>
      <c r="U2814" s="308" t="s">
        <v>166</v>
      </c>
      <c r="V2814" s="312"/>
    </row>
    <row r="2815">
      <c r="A2815" s="308">
        <v>2814.0</v>
      </c>
      <c r="B2815" s="308"/>
      <c r="C2815" s="308" t="s">
        <v>11588</v>
      </c>
      <c r="D2815" s="308">
        <f>IFERROR(__xludf.DUMMYFUNCTION("SPLIT(C2815,""-"")"),2835.0)</f>
        <v>2835</v>
      </c>
      <c r="E2815" s="308" t="str">
        <f>IFERROR(__xludf.DUMMYFUNCTION("""COMPUTED_VALUE"""),"S")</f>
        <v>S</v>
      </c>
      <c r="F2815" s="312" t="s">
        <v>39</v>
      </c>
      <c r="G2815" s="308"/>
      <c r="H2815" s="308" t="s">
        <v>11589</v>
      </c>
      <c r="I2815" s="310">
        <v>42251.0</v>
      </c>
      <c r="J2815" s="319">
        <f>IFERROR(__xludf.DUMMYFUNCTION("SPLIT(I2815,""/"")"),4.0)</f>
        <v>4</v>
      </c>
      <c r="K2815" s="308">
        <f>IFERROR(__xludf.DUMMYFUNCTION("""COMPUTED_VALUE"""),9.0)</f>
        <v>9</v>
      </c>
      <c r="L2815" s="308">
        <f>IFERROR(__xludf.DUMMYFUNCTION("""COMPUTED_VALUE"""),2015.0)</f>
        <v>2015</v>
      </c>
      <c r="M2815" s="308" t="s">
        <v>11590</v>
      </c>
      <c r="N2815" s="308"/>
      <c r="O2815" s="308" t="s">
        <v>11591</v>
      </c>
      <c r="P2815" s="308" t="s">
        <v>9979</v>
      </c>
      <c r="Q2815" s="308"/>
      <c r="R2815" s="308" t="s">
        <v>11592</v>
      </c>
      <c r="S2815" s="315" t="s">
        <v>100</v>
      </c>
      <c r="T2815" s="311" t="s">
        <v>34208</v>
      </c>
      <c r="U2815" s="308" t="s">
        <v>166</v>
      </c>
      <c r="V2815" s="312"/>
    </row>
    <row r="2816">
      <c r="A2816" s="308">
        <v>2815.0</v>
      </c>
      <c r="B2816" s="308"/>
      <c r="C2816" s="308" t="s">
        <v>11593</v>
      </c>
      <c r="D2816" s="308">
        <f>IFERROR(__xludf.DUMMYFUNCTION("SPLIT(C2816,""-"")"),2836.0)</f>
        <v>2836</v>
      </c>
      <c r="E2816" s="308" t="str">
        <f>IFERROR(__xludf.DUMMYFUNCTION("""COMPUTED_VALUE"""),"S")</f>
        <v>S</v>
      </c>
      <c r="F2816" s="312" t="s">
        <v>39</v>
      </c>
      <c r="G2816" s="308"/>
      <c r="H2816" s="308" t="s">
        <v>11594</v>
      </c>
      <c r="I2816" s="310">
        <v>42241.0</v>
      </c>
      <c r="J2816" s="319">
        <f>IFERROR(__xludf.DUMMYFUNCTION("SPLIT(I2816,""/"")"),25.0)</f>
        <v>25</v>
      </c>
      <c r="K2816" s="308">
        <f>IFERROR(__xludf.DUMMYFUNCTION("""COMPUTED_VALUE"""),8.0)</f>
        <v>8</v>
      </c>
      <c r="L2816" s="308">
        <f>IFERROR(__xludf.DUMMYFUNCTION("""COMPUTED_VALUE"""),2015.0)</f>
        <v>2015</v>
      </c>
      <c r="M2816" s="308" t="s">
        <v>11595</v>
      </c>
      <c r="N2816" s="308"/>
      <c r="O2816" s="308" t="s">
        <v>11596</v>
      </c>
      <c r="P2816" s="308" t="s">
        <v>9979</v>
      </c>
      <c r="Q2816" s="308"/>
      <c r="R2816" s="308" t="s">
        <v>11597</v>
      </c>
      <c r="S2816" s="315" t="s">
        <v>100</v>
      </c>
      <c r="T2816" s="311" t="s">
        <v>34208</v>
      </c>
      <c r="U2816" s="308" t="s">
        <v>166</v>
      </c>
      <c r="V2816" s="312"/>
    </row>
    <row r="2817">
      <c r="A2817" s="308">
        <v>2816.0</v>
      </c>
      <c r="B2817" s="308"/>
      <c r="C2817" s="308" t="s">
        <v>11598</v>
      </c>
      <c r="D2817" s="308">
        <f>IFERROR(__xludf.DUMMYFUNCTION("SPLIT(C2817,""-"")"),2837.0)</f>
        <v>2837</v>
      </c>
      <c r="E2817" s="308" t="str">
        <f>IFERROR(__xludf.DUMMYFUNCTION("""COMPUTED_VALUE"""),"S")</f>
        <v>S</v>
      </c>
      <c r="F2817" s="312" t="s">
        <v>39</v>
      </c>
      <c r="G2817" s="308"/>
      <c r="H2817" s="308" t="s">
        <v>11599</v>
      </c>
      <c r="I2817" s="310">
        <v>42237.0</v>
      </c>
      <c r="J2817" s="319">
        <f>IFERROR(__xludf.DUMMYFUNCTION("SPLIT(I2817,""/"")"),21.0)</f>
        <v>21</v>
      </c>
      <c r="K2817" s="308">
        <f>IFERROR(__xludf.DUMMYFUNCTION("""COMPUTED_VALUE"""),8.0)</f>
        <v>8</v>
      </c>
      <c r="L2817" s="308">
        <f>IFERROR(__xludf.DUMMYFUNCTION("""COMPUTED_VALUE"""),2015.0)</f>
        <v>2015</v>
      </c>
      <c r="M2817" s="308" t="s">
        <v>11600</v>
      </c>
      <c r="N2817" s="308"/>
      <c r="O2817" s="308" t="s">
        <v>635</v>
      </c>
      <c r="P2817" s="308" t="s">
        <v>9535</v>
      </c>
      <c r="Q2817" s="308"/>
      <c r="R2817" s="308"/>
      <c r="S2817" s="308" t="s">
        <v>81</v>
      </c>
      <c r="T2817" s="308" t="s">
        <v>75</v>
      </c>
      <c r="U2817" s="308" t="s">
        <v>166</v>
      </c>
      <c r="V2817" s="312"/>
    </row>
    <row r="2818">
      <c r="A2818" s="308">
        <v>2817.0</v>
      </c>
      <c r="B2818" s="308"/>
      <c r="C2818" s="308" t="s">
        <v>11601</v>
      </c>
      <c r="D2818" s="308">
        <f>IFERROR(__xludf.DUMMYFUNCTION("SPLIT(C2818,""-"")"),2838.0)</f>
        <v>2838</v>
      </c>
      <c r="E2818" s="308" t="str">
        <f>IFERROR(__xludf.DUMMYFUNCTION("""COMPUTED_VALUE"""),"S")</f>
        <v>S</v>
      </c>
      <c r="F2818" s="312" t="s">
        <v>39</v>
      </c>
      <c r="G2818" s="308"/>
      <c r="H2818" s="308" t="s">
        <v>11602</v>
      </c>
      <c r="I2818" s="310">
        <v>42237.0</v>
      </c>
      <c r="J2818" s="319">
        <f>IFERROR(__xludf.DUMMYFUNCTION("SPLIT(I2818,""/"")"),21.0)</f>
        <v>21</v>
      </c>
      <c r="K2818" s="308">
        <f>IFERROR(__xludf.DUMMYFUNCTION("""COMPUTED_VALUE"""),8.0)</f>
        <v>8</v>
      </c>
      <c r="L2818" s="308">
        <f>IFERROR(__xludf.DUMMYFUNCTION("""COMPUTED_VALUE"""),2015.0)</f>
        <v>2015</v>
      </c>
      <c r="M2818" s="308" t="s">
        <v>11603</v>
      </c>
      <c r="N2818" s="308"/>
      <c r="O2818" s="308" t="s">
        <v>635</v>
      </c>
      <c r="P2818" s="308" t="s">
        <v>11584</v>
      </c>
      <c r="Q2818" s="308"/>
      <c r="R2818" s="308"/>
      <c r="S2818" s="308" t="s">
        <v>81</v>
      </c>
      <c r="T2818" s="308" t="s">
        <v>73</v>
      </c>
      <c r="U2818" s="308" t="s">
        <v>166</v>
      </c>
      <c r="V2818" s="312"/>
    </row>
    <row r="2819">
      <c r="A2819" s="308">
        <v>2818.0</v>
      </c>
      <c r="B2819" s="308"/>
      <c r="C2819" s="308" t="s">
        <v>11604</v>
      </c>
      <c r="D2819" s="308">
        <f>IFERROR(__xludf.DUMMYFUNCTION("SPLIT(C2819,""-"")"),2839.0)</f>
        <v>2839</v>
      </c>
      <c r="E2819" s="308" t="str">
        <f>IFERROR(__xludf.DUMMYFUNCTION("""COMPUTED_VALUE"""),"S")</f>
        <v>S</v>
      </c>
      <c r="F2819" s="312" t="s">
        <v>39</v>
      </c>
      <c r="G2819" s="308"/>
      <c r="H2819" s="308" t="s">
        <v>11605</v>
      </c>
      <c r="I2819" s="310">
        <v>42237.0</v>
      </c>
      <c r="J2819" s="319">
        <f>IFERROR(__xludf.DUMMYFUNCTION("SPLIT(I2819,""/"")"),21.0)</f>
        <v>21</v>
      </c>
      <c r="K2819" s="308">
        <f>IFERROR(__xludf.DUMMYFUNCTION("""COMPUTED_VALUE"""),8.0)</f>
        <v>8</v>
      </c>
      <c r="L2819" s="308">
        <f>IFERROR(__xludf.DUMMYFUNCTION("""COMPUTED_VALUE"""),2015.0)</f>
        <v>2015</v>
      </c>
      <c r="M2819" s="308" t="s">
        <v>11606</v>
      </c>
      <c r="N2819" s="308"/>
      <c r="O2819" s="308" t="s">
        <v>635</v>
      </c>
      <c r="P2819" s="308" t="s">
        <v>10737</v>
      </c>
      <c r="Q2819" s="308"/>
      <c r="R2819" s="308"/>
      <c r="S2819" s="308" t="s">
        <v>49</v>
      </c>
      <c r="T2819" s="308" t="s">
        <v>53</v>
      </c>
      <c r="U2819" s="308" t="s">
        <v>166</v>
      </c>
      <c r="V2819" s="312"/>
    </row>
    <row r="2820">
      <c r="A2820" s="308">
        <v>2819.0</v>
      </c>
      <c r="B2820" s="308"/>
      <c r="C2820" s="308" t="s">
        <v>11607</v>
      </c>
      <c r="D2820" s="308">
        <f>IFERROR(__xludf.DUMMYFUNCTION("SPLIT(C2820,""-"")"),2840.0)</f>
        <v>2840</v>
      </c>
      <c r="E2820" s="308" t="str">
        <f>IFERROR(__xludf.DUMMYFUNCTION("""COMPUTED_VALUE"""),"S")</f>
        <v>S</v>
      </c>
      <c r="F2820" s="312" t="s">
        <v>39</v>
      </c>
      <c r="G2820" s="308"/>
      <c r="H2820" s="308" t="s">
        <v>11608</v>
      </c>
      <c r="I2820" s="310">
        <v>42236.0</v>
      </c>
      <c r="J2820" s="319">
        <f>IFERROR(__xludf.DUMMYFUNCTION("SPLIT(I2820,""/"")"),20.0)</f>
        <v>20</v>
      </c>
      <c r="K2820" s="308">
        <f>IFERROR(__xludf.DUMMYFUNCTION("""COMPUTED_VALUE"""),8.0)</f>
        <v>8</v>
      </c>
      <c r="L2820" s="308">
        <f>IFERROR(__xludf.DUMMYFUNCTION("""COMPUTED_VALUE"""),2015.0)</f>
        <v>2015</v>
      </c>
      <c r="M2820" s="308" t="s">
        <v>11609</v>
      </c>
      <c r="N2820" s="308"/>
      <c r="O2820" s="308" t="s">
        <v>635</v>
      </c>
      <c r="P2820" s="308" t="s">
        <v>9535</v>
      </c>
      <c r="Q2820" s="308" t="s">
        <v>34322</v>
      </c>
      <c r="R2820" s="308"/>
      <c r="S2820" s="308" t="s">
        <v>81</v>
      </c>
      <c r="T2820" s="308" t="s">
        <v>75</v>
      </c>
      <c r="U2820" s="308" t="s">
        <v>166</v>
      </c>
      <c r="V2820" s="312"/>
    </row>
    <row r="2821">
      <c r="A2821" s="308">
        <v>2820.0</v>
      </c>
      <c r="B2821" s="308"/>
      <c r="C2821" s="308" t="s">
        <v>11610</v>
      </c>
      <c r="D2821" s="308">
        <f>IFERROR(__xludf.DUMMYFUNCTION("SPLIT(C2821,""-"")"),2841.0)</f>
        <v>2841</v>
      </c>
      <c r="E2821" s="308" t="str">
        <f>IFERROR(__xludf.DUMMYFUNCTION("""COMPUTED_VALUE"""),"S")</f>
        <v>S</v>
      </c>
      <c r="F2821" s="312" t="s">
        <v>39</v>
      </c>
      <c r="G2821" s="308"/>
      <c r="H2821" s="308" t="s">
        <v>11611</v>
      </c>
      <c r="I2821" s="310">
        <v>42179.0</v>
      </c>
      <c r="J2821" s="319">
        <f>IFERROR(__xludf.DUMMYFUNCTION("SPLIT(I2821,""/"")"),24.0)</f>
        <v>24</v>
      </c>
      <c r="K2821" s="308">
        <f>IFERROR(__xludf.DUMMYFUNCTION("""COMPUTED_VALUE"""),6.0)</f>
        <v>6</v>
      </c>
      <c r="L2821" s="308">
        <f>IFERROR(__xludf.DUMMYFUNCTION("""COMPUTED_VALUE"""),2015.0)</f>
        <v>2015</v>
      </c>
      <c r="M2821" s="308" t="s">
        <v>11612</v>
      </c>
      <c r="N2821" s="308"/>
      <c r="O2821" s="308" t="s">
        <v>11613</v>
      </c>
      <c r="P2821" s="308" t="s">
        <v>9979</v>
      </c>
      <c r="Q2821" s="308"/>
      <c r="R2821" s="308"/>
      <c r="S2821" s="315" t="s">
        <v>100</v>
      </c>
      <c r="T2821" s="311" t="s">
        <v>34208</v>
      </c>
      <c r="U2821" s="308" t="s">
        <v>166</v>
      </c>
      <c r="V2821" s="312"/>
    </row>
    <row r="2822">
      <c r="A2822" s="308">
        <v>2821.0</v>
      </c>
      <c r="B2822" s="308"/>
      <c r="C2822" s="308" t="s">
        <v>11614</v>
      </c>
      <c r="D2822" s="308">
        <f>IFERROR(__xludf.DUMMYFUNCTION("SPLIT(C2822,""-"")"),2842.0)</f>
        <v>2842</v>
      </c>
      <c r="E2822" s="308" t="str">
        <f>IFERROR(__xludf.DUMMYFUNCTION("""COMPUTED_VALUE"""),"S")</f>
        <v>S</v>
      </c>
      <c r="F2822" s="312" t="s">
        <v>39</v>
      </c>
      <c r="G2822" s="308"/>
      <c r="H2822" s="308" t="s">
        <v>11615</v>
      </c>
      <c r="I2822" s="310">
        <v>42179.0</v>
      </c>
      <c r="J2822" s="319">
        <f>IFERROR(__xludf.DUMMYFUNCTION("SPLIT(I2822,""/"")"),24.0)</f>
        <v>24</v>
      </c>
      <c r="K2822" s="308">
        <f>IFERROR(__xludf.DUMMYFUNCTION("""COMPUTED_VALUE"""),6.0)</f>
        <v>6</v>
      </c>
      <c r="L2822" s="308">
        <f>IFERROR(__xludf.DUMMYFUNCTION("""COMPUTED_VALUE"""),2015.0)</f>
        <v>2015</v>
      </c>
      <c r="M2822" s="308" t="s">
        <v>11616</v>
      </c>
      <c r="N2822" s="308"/>
      <c r="O2822" s="308" t="s">
        <v>635</v>
      </c>
      <c r="P2822" s="308" t="s">
        <v>11584</v>
      </c>
      <c r="Q2822" s="308"/>
      <c r="R2822" s="308"/>
      <c r="S2822" s="308" t="s">
        <v>81</v>
      </c>
      <c r="T2822" s="308" t="s">
        <v>73</v>
      </c>
      <c r="U2822" s="308" t="s">
        <v>166</v>
      </c>
      <c r="V2822" s="312"/>
    </row>
    <row r="2823">
      <c r="A2823" s="308">
        <v>2822.0</v>
      </c>
      <c r="B2823" s="308"/>
      <c r="C2823" s="308" t="s">
        <v>11617</v>
      </c>
      <c r="D2823" s="308">
        <f>IFERROR(__xludf.DUMMYFUNCTION("SPLIT(C2823,""-"")"),2843.0)</f>
        <v>2843</v>
      </c>
      <c r="E2823" s="308" t="str">
        <f>IFERROR(__xludf.DUMMYFUNCTION("""COMPUTED_VALUE"""),"S")</f>
        <v>S</v>
      </c>
      <c r="F2823" s="312" t="s">
        <v>39</v>
      </c>
      <c r="G2823" s="308"/>
      <c r="H2823" s="308" t="s">
        <v>11618</v>
      </c>
      <c r="I2823" s="310">
        <v>42272.0</v>
      </c>
      <c r="J2823" s="319">
        <f>IFERROR(__xludf.DUMMYFUNCTION("SPLIT(I2823,""/"")"),25.0)</f>
        <v>25</v>
      </c>
      <c r="K2823" s="308">
        <f>IFERROR(__xludf.DUMMYFUNCTION("""COMPUTED_VALUE"""),9.0)</f>
        <v>9</v>
      </c>
      <c r="L2823" s="308">
        <f>IFERROR(__xludf.DUMMYFUNCTION("""COMPUTED_VALUE"""),2015.0)</f>
        <v>2015</v>
      </c>
      <c r="M2823" s="308" t="s">
        <v>11619</v>
      </c>
      <c r="N2823" s="308"/>
      <c r="O2823" s="308" t="s">
        <v>635</v>
      </c>
      <c r="P2823" s="308" t="s">
        <v>11620</v>
      </c>
      <c r="Q2823" s="308"/>
      <c r="R2823" s="308"/>
      <c r="S2823" s="308" t="s">
        <v>81</v>
      </c>
      <c r="T2823" s="308" t="s">
        <v>73</v>
      </c>
      <c r="U2823" s="308" t="s">
        <v>166</v>
      </c>
      <c r="V2823" s="312"/>
    </row>
    <row r="2824">
      <c r="A2824" s="308">
        <v>2823.0</v>
      </c>
      <c r="B2824" s="308"/>
      <c r="C2824" s="308" t="s">
        <v>11621</v>
      </c>
      <c r="D2824" s="308">
        <f>IFERROR(__xludf.DUMMYFUNCTION("SPLIT(C2824,""-"")"),2844.0)</f>
        <v>2844</v>
      </c>
      <c r="E2824" s="308" t="str">
        <f>IFERROR(__xludf.DUMMYFUNCTION("""COMPUTED_VALUE"""),"S")</f>
        <v>S</v>
      </c>
      <c r="F2824" s="312" t="s">
        <v>39</v>
      </c>
      <c r="G2824" s="308"/>
      <c r="H2824" s="308" t="s">
        <v>11622</v>
      </c>
      <c r="I2824" s="310">
        <v>42214.0</v>
      </c>
      <c r="J2824" s="319">
        <f>IFERROR(__xludf.DUMMYFUNCTION("SPLIT(I2824,""/"")"),29.0)</f>
        <v>29</v>
      </c>
      <c r="K2824" s="308">
        <f>IFERROR(__xludf.DUMMYFUNCTION("""COMPUTED_VALUE"""),7.0)</f>
        <v>7</v>
      </c>
      <c r="L2824" s="308">
        <f>IFERROR(__xludf.DUMMYFUNCTION("""COMPUTED_VALUE"""),2015.0)</f>
        <v>2015</v>
      </c>
      <c r="M2824" s="308" t="s">
        <v>11623</v>
      </c>
      <c r="N2824" s="308"/>
      <c r="O2824" s="308" t="s">
        <v>11624</v>
      </c>
      <c r="P2824" s="308" t="s">
        <v>36772</v>
      </c>
      <c r="Q2824" s="308"/>
      <c r="R2824" s="308"/>
      <c r="S2824" s="308" t="s">
        <v>49</v>
      </c>
      <c r="T2824" s="308" t="s">
        <v>53</v>
      </c>
      <c r="U2824" s="308" t="s">
        <v>166</v>
      </c>
      <c r="V2824" s="312"/>
    </row>
    <row r="2825">
      <c r="A2825" s="308">
        <v>2824.0</v>
      </c>
      <c r="B2825" s="308"/>
      <c r="C2825" s="308" t="s">
        <v>11626</v>
      </c>
      <c r="D2825" s="308">
        <f>IFERROR(__xludf.DUMMYFUNCTION("SPLIT(C2825,""-"")"),2845.0)</f>
        <v>2845</v>
      </c>
      <c r="E2825" s="308" t="str">
        <f>IFERROR(__xludf.DUMMYFUNCTION("""COMPUTED_VALUE"""),"ICT")</f>
        <v>ICT</v>
      </c>
      <c r="F2825" s="315" t="s">
        <v>31</v>
      </c>
      <c r="G2825" s="308"/>
      <c r="H2825" s="308" t="s">
        <v>11627</v>
      </c>
      <c r="I2825" s="310">
        <v>42095.0</v>
      </c>
      <c r="J2825" s="319">
        <f>IFERROR(__xludf.DUMMYFUNCTION("SPLIT(I2825,""/"")"),1.0)</f>
        <v>1</v>
      </c>
      <c r="K2825" s="308">
        <f>IFERROR(__xludf.DUMMYFUNCTION("""COMPUTED_VALUE"""),4.0)</f>
        <v>4</v>
      </c>
      <c r="L2825" s="308">
        <f>IFERROR(__xludf.DUMMYFUNCTION("""COMPUTED_VALUE"""),2015.0)</f>
        <v>2015</v>
      </c>
      <c r="M2825" s="308" t="s">
        <v>11628</v>
      </c>
      <c r="N2825" s="308"/>
      <c r="O2825" s="308" t="s">
        <v>11629</v>
      </c>
      <c r="P2825" s="308" t="s">
        <v>36724</v>
      </c>
      <c r="Q2825" s="308"/>
      <c r="R2825" s="308"/>
      <c r="S2825" s="315" t="s">
        <v>100</v>
      </c>
      <c r="T2825" s="311" t="s">
        <v>34208</v>
      </c>
      <c r="U2825" s="308" t="s">
        <v>31</v>
      </c>
      <c r="V2825" s="312"/>
    </row>
    <row r="2826">
      <c r="A2826" s="308">
        <v>2825.0</v>
      </c>
      <c r="B2826" s="308"/>
      <c r="C2826" s="308" t="s">
        <v>11630</v>
      </c>
      <c r="D2826" s="308">
        <f>IFERROR(__xludf.DUMMYFUNCTION("SPLIT(C2826,""-"")"),2846.0)</f>
        <v>2846</v>
      </c>
      <c r="E2826" s="308" t="str">
        <f>IFERROR(__xludf.DUMMYFUNCTION("""COMPUTED_VALUE"""),"K")</f>
        <v>K</v>
      </c>
      <c r="F2826" s="309" t="s">
        <v>34</v>
      </c>
      <c r="G2826" s="308"/>
      <c r="H2826" s="308" t="s">
        <v>11631</v>
      </c>
      <c r="I2826" s="310">
        <v>40037.0</v>
      </c>
      <c r="J2826" s="319">
        <f>IFERROR(__xludf.DUMMYFUNCTION("SPLIT(I2826,""/"")"),12.0)</f>
        <v>12</v>
      </c>
      <c r="K2826" s="308">
        <f>IFERROR(__xludf.DUMMYFUNCTION("""COMPUTED_VALUE"""),8.0)</f>
        <v>8</v>
      </c>
      <c r="L2826" s="308">
        <f>IFERROR(__xludf.DUMMYFUNCTION("""COMPUTED_VALUE"""),2009.0)</f>
        <v>2009</v>
      </c>
      <c r="M2826" s="308" t="s">
        <v>11632</v>
      </c>
      <c r="N2826" s="308" t="s">
        <v>11633</v>
      </c>
      <c r="O2826" s="308" t="s">
        <v>11634</v>
      </c>
      <c r="P2826" s="308" t="s">
        <v>35734</v>
      </c>
      <c r="Q2826" s="308"/>
      <c r="R2826" s="308" t="s">
        <v>2743</v>
      </c>
      <c r="S2826" s="315" t="s">
        <v>100</v>
      </c>
      <c r="T2826" s="311" t="s">
        <v>34208</v>
      </c>
      <c r="U2826" s="308" t="s">
        <v>530</v>
      </c>
      <c r="V2826" s="312"/>
    </row>
    <row r="2827">
      <c r="A2827" s="308">
        <v>2826.0</v>
      </c>
      <c r="B2827" s="308"/>
      <c r="C2827" s="308" t="s">
        <v>11635</v>
      </c>
      <c r="D2827" s="308">
        <f>IFERROR(__xludf.DUMMYFUNCTION("SPLIT(C2827,""-"")"),2847.0)</f>
        <v>2847</v>
      </c>
      <c r="E2827" s="308" t="str">
        <f>IFERROR(__xludf.DUMMYFUNCTION("""COMPUTED_VALUE"""),"K")</f>
        <v>K</v>
      </c>
      <c r="F2827" s="309" t="s">
        <v>34</v>
      </c>
      <c r="G2827" s="308" t="s">
        <v>11636</v>
      </c>
      <c r="H2827" s="308" t="s">
        <v>11637</v>
      </c>
      <c r="I2827" s="310">
        <v>42129.0</v>
      </c>
      <c r="J2827" s="319">
        <f>IFERROR(__xludf.DUMMYFUNCTION("SPLIT(I2827,""/"")"),5.0)</f>
        <v>5</v>
      </c>
      <c r="K2827" s="308">
        <f>IFERROR(__xludf.DUMMYFUNCTION("""COMPUTED_VALUE"""),5.0)</f>
        <v>5</v>
      </c>
      <c r="L2827" s="308">
        <f>IFERROR(__xludf.DUMMYFUNCTION("""COMPUTED_VALUE"""),2015.0)</f>
        <v>2015</v>
      </c>
      <c r="M2827" s="308" t="s">
        <v>11638</v>
      </c>
      <c r="N2827" s="308"/>
      <c r="O2827" s="308" t="s">
        <v>635</v>
      </c>
      <c r="P2827" s="308" t="s">
        <v>11639</v>
      </c>
      <c r="Q2827" s="308"/>
      <c r="R2827" s="308"/>
      <c r="S2827" s="308" t="s">
        <v>81</v>
      </c>
      <c r="T2827" s="311" t="s">
        <v>63</v>
      </c>
      <c r="U2827" s="308"/>
      <c r="V2827" s="312"/>
    </row>
    <row r="2828">
      <c r="A2828" s="308">
        <v>2827.0</v>
      </c>
      <c r="B2828" s="308"/>
      <c r="C2828" s="308" t="s">
        <v>11640</v>
      </c>
      <c r="D2828" s="308">
        <f>IFERROR(__xludf.DUMMYFUNCTION("SPLIT(C2828,""-"")"),2848.0)</f>
        <v>2848</v>
      </c>
      <c r="E2828" s="308" t="str">
        <f>IFERROR(__xludf.DUMMYFUNCTION("""COMPUTED_VALUE"""),"S")</f>
        <v>S</v>
      </c>
      <c r="F2828" s="312" t="s">
        <v>39</v>
      </c>
      <c r="G2828" s="308" t="s">
        <v>11641</v>
      </c>
      <c r="H2828" s="308" t="s">
        <v>11642</v>
      </c>
      <c r="I2828" s="310">
        <v>41737.0</v>
      </c>
      <c r="J2828" s="319">
        <f>IFERROR(__xludf.DUMMYFUNCTION("SPLIT(I2828,""/"")"),8.0)</f>
        <v>8</v>
      </c>
      <c r="K2828" s="308">
        <f>IFERROR(__xludf.DUMMYFUNCTION("""COMPUTED_VALUE"""),4.0)</f>
        <v>4</v>
      </c>
      <c r="L2828" s="308">
        <f>IFERROR(__xludf.DUMMYFUNCTION("""COMPUTED_VALUE"""),2014.0)</f>
        <v>2014</v>
      </c>
      <c r="M2828" s="308" t="s">
        <v>36773</v>
      </c>
      <c r="N2828" s="308"/>
      <c r="O2828" s="308" t="s">
        <v>635</v>
      </c>
      <c r="P2828" s="308" t="s">
        <v>9535</v>
      </c>
      <c r="Q2828" s="308"/>
      <c r="R2828" s="308"/>
      <c r="S2828" s="308" t="s">
        <v>81</v>
      </c>
      <c r="T2828" s="308" t="s">
        <v>75</v>
      </c>
      <c r="U2828" s="308" t="s">
        <v>166</v>
      </c>
      <c r="V2828" s="312"/>
    </row>
    <row r="2829">
      <c r="A2829" s="308">
        <v>2828.0</v>
      </c>
      <c r="B2829" s="308"/>
      <c r="C2829" s="308" t="s">
        <v>11644</v>
      </c>
      <c r="D2829" s="308">
        <f>IFERROR(__xludf.DUMMYFUNCTION("SPLIT(C2829,""-"")"),2849.0)</f>
        <v>2849</v>
      </c>
      <c r="E2829" s="308" t="str">
        <f>IFERROR(__xludf.DUMMYFUNCTION("""COMPUTED_VALUE"""),"S")</f>
        <v>S</v>
      </c>
      <c r="F2829" s="312" t="s">
        <v>39</v>
      </c>
      <c r="G2829" s="308" t="s">
        <v>11645</v>
      </c>
      <c r="H2829" s="308" t="s">
        <v>11646</v>
      </c>
      <c r="I2829" s="310">
        <v>42007.0</v>
      </c>
      <c r="J2829" s="319">
        <f>IFERROR(__xludf.DUMMYFUNCTION("SPLIT(I2829,""/"")"),3.0)</f>
        <v>3</v>
      </c>
      <c r="K2829" s="308">
        <f>IFERROR(__xludf.DUMMYFUNCTION("""COMPUTED_VALUE"""),1.0)</f>
        <v>1</v>
      </c>
      <c r="L2829" s="308">
        <f>IFERROR(__xludf.DUMMYFUNCTION("""COMPUTED_VALUE"""),2015.0)</f>
        <v>2015</v>
      </c>
      <c r="M2829" s="308" t="s">
        <v>36774</v>
      </c>
      <c r="N2829" s="308"/>
      <c r="O2829" s="308" t="s">
        <v>635</v>
      </c>
      <c r="P2829" s="308" t="s">
        <v>9535</v>
      </c>
      <c r="Q2829" s="308"/>
      <c r="R2829" s="308"/>
      <c r="S2829" s="308" t="s">
        <v>81</v>
      </c>
      <c r="T2829" s="308" t="s">
        <v>75</v>
      </c>
      <c r="U2829" s="308" t="s">
        <v>166</v>
      </c>
      <c r="V2829" s="312"/>
    </row>
    <row r="2830">
      <c r="A2830" s="308">
        <v>2829.0</v>
      </c>
      <c r="B2830" s="308"/>
      <c r="C2830" s="308" t="s">
        <v>11648</v>
      </c>
      <c r="D2830" s="308">
        <f>IFERROR(__xludf.DUMMYFUNCTION("SPLIT(C2830,""-"")"),2850.0)</f>
        <v>2850</v>
      </c>
      <c r="E2830" s="308" t="str">
        <f>IFERROR(__xludf.DUMMYFUNCTION("""COMPUTED_VALUE"""),"P")</f>
        <v>P</v>
      </c>
      <c r="F2830" s="312" t="s">
        <v>37</v>
      </c>
      <c r="G2830" s="308"/>
      <c r="H2830" s="308" t="s">
        <v>11649</v>
      </c>
      <c r="I2830" s="310">
        <v>42230.0</v>
      </c>
      <c r="J2830" s="319">
        <f>IFERROR(__xludf.DUMMYFUNCTION("SPLIT(I2830,""/"")"),14.0)</f>
        <v>14</v>
      </c>
      <c r="K2830" s="308">
        <f>IFERROR(__xludf.DUMMYFUNCTION("""COMPUTED_VALUE"""),8.0)</f>
        <v>8</v>
      </c>
      <c r="L2830" s="308">
        <f>IFERROR(__xludf.DUMMYFUNCTION("""COMPUTED_VALUE"""),2015.0)</f>
        <v>2015</v>
      </c>
      <c r="M2830" s="308" t="s">
        <v>11650</v>
      </c>
      <c r="N2830" s="308"/>
      <c r="O2830" s="308" t="s">
        <v>11651</v>
      </c>
      <c r="P2830" s="308" t="s">
        <v>11652</v>
      </c>
      <c r="Q2830" s="308"/>
      <c r="R2830" s="308"/>
      <c r="S2830" s="308" t="s">
        <v>81</v>
      </c>
      <c r="T2830" s="308" t="s">
        <v>75</v>
      </c>
      <c r="U2830" s="308"/>
      <c r="V2830" s="312"/>
    </row>
    <row r="2831">
      <c r="A2831" s="308">
        <v>2830.0</v>
      </c>
      <c r="B2831" s="308"/>
      <c r="C2831" s="308" t="s">
        <v>11653</v>
      </c>
      <c r="D2831" s="308">
        <f>IFERROR(__xludf.DUMMYFUNCTION("SPLIT(C2831,""-"")"),2851.0)</f>
        <v>2851</v>
      </c>
      <c r="E2831" s="308" t="str">
        <f>IFERROR(__xludf.DUMMYFUNCTION("""COMPUTED_VALUE"""),"P")</f>
        <v>P</v>
      </c>
      <c r="F2831" s="312" t="s">
        <v>37</v>
      </c>
      <c r="G2831" s="308"/>
      <c r="H2831" s="308" t="s">
        <v>11654</v>
      </c>
      <c r="I2831" s="310">
        <v>42230.0</v>
      </c>
      <c r="J2831" s="319">
        <f>IFERROR(__xludf.DUMMYFUNCTION("SPLIT(I2831,""/"")"),14.0)</f>
        <v>14</v>
      </c>
      <c r="K2831" s="308">
        <f>IFERROR(__xludf.DUMMYFUNCTION("""COMPUTED_VALUE"""),8.0)</f>
        <v>8</v>
      </c>
      <c r="L2831" s="308">
        <f>IFERROR(__xludf.DUMMYFUNCTION("""COMPUTED_VALUE"""),2015.0)</f>
        <v>2015</v>
      </c>
      <c r="M2831" s="308" t="s">
        <v>11655</v>
      </c>
      <c r="N2831" s="308"/>
      <c r="O2831" s="308" t="s">
        <v>11656</v>
      </c>
      <c r="P2831" s="308" t="s">
        <v>11657</v>
      </c>
      <c r="Q2831" s="308"/>
      <c r="R2831" s="308"/>
      <c r="S2831" s="308" t="s">
        <v>81</v>
      </c>
      <c r="T2831" s="308" t="s">
        <v>75</v>
      </c>
      <c r="U2831" s="308" t="s">
        <v>2748</v>
      </c>
      <c r="V2831" s="312"/>
    </row>
    <row r="2832">
      <c r="A2832" s="308">
        <v>2831.0</v>
      </c>
      <c r="B2832" s="308"/>
      <c r="C2832" s="308" t="s">
        <v>11658</v>
      </c>
      <c r="D2832" s="308">
        <f>IFERROR(__xludf.DUMMYFUNCTION("SPLIT(C2832,""-"")"),2852.0)</f>
        <v>2852</v>
      </c>
      <c r="E2832" s="308" t="str">
        <f>IFERROR(__xludf.DUMMYFUNCTION("""COMPUTED_VALUE"""),"K")</f>
        <v>K</v>
      </c>
      <c r="F2832" s="309" t="s">
        <v>34</v>
      </c>
      <c r="G2832" s="308"/>
      <c r="H2832" s="308" t="s">
        <v>11659</v>
      </c>
      <c r="I2832" s="310">
        <v>42171.0</v>
      </c>
      <c r="J2832" s="319">
        <f>IFERROR(__xludf.DUMMYFUNCTION("SPLIT(I2832,""/"")"),16.0)</f>
        <v>16</v>
      </c>
      <c r="K2832" s="308">
        <f>IFERROR(__xludf.DUMMYFUNCTION("""COMPUTED_VALUE"""),6.0)</f>
        <v>6</v>
      </c>
      <c r="L2832" s="308">
        <f>IFERROR(__xludf.DUMMYFUNCTION("""COMPUTED_VALUE"""),2015.0)</f>
        <v>2015</v>
      </c>
      <c r="M2832" s="308" t="s">
        <v>11660</v>
      </c>
      <c r="N2832" s="308"/>
      <c r="O2832" s="308" t="s">
        <v>11661</v>
      </c>
      <c r="P2832" s="308" t="s">
        <v>36775</v>
      </c>
      <c r="Q2832" s="308"/>
      <c r="R2832" s="308"/>
      <c r="S2832" s="308" t="s">
        <v>81</v>
      </c>
      <c r="T2832" s="308" t="s">
        <v>75</v>
      </c>
      <c r="U2832" s="308"/>
      <c r="V2832" s="312"/>
    </row>
    <row r="2833">
      <c r="A2833" s="308">
        <v>2832.0</v>
      </c>
      <c r="B2833" s="308"/>
      <c r="C2833" s="308" t="s">
        <v>11663</v>
      </c>
      <c r="D2833" s="308">
        <f>IFERROR(__xludf.DUMMYFUNCTION("SPLIT(C2833,""-"")"),2853.0)</f>
        <v>2853</v>
      </c>
      <c r="E2833" s="308" t="str">
        <f>IFERROR(__xludf.DUMMYFUNCTION("""COMPUTED_VALUE"""),"K")</f>
        <v>K</v>
      </c>
      <c r="F2833" s="309" t="s">
        <v>34</v>
      </c>
      <c r="G2833" s="308"/>
      <c r="H2833" s="308" t="s">
        <v>11664</v>
      </c>
      <c r="I2833" s="310">
        <v>42260.0</v>
      </c>
      <c r="J2833" s="319">
        <f>IFERROR(__xludf.DUMMYFUNCTION("SPLIT(I2833,""/"")"),13.0)</f>
        <v>13</v>
      </c>
      <c r="K2833" s="308">
        <f>IFERROR(__xludf.DUMMYFUNCTION("""COMPUTED_VALUE"""),9.0)</f>
        <v>9</v>
      </c>
      <c r="L2833" s="308">
        <f>IFERROR(__xludf.DUMMYFUNCTION("""COMPUTED_VALUE"""),2015.0)</f>
        <v>2015</v>
      </c>
      <c r="M2833" s="308" t="s">
        <v>11665</v>
      </c>
      <c r="N2833" s="308"/>
      <c r="O2833" s="308" t="s">
        <v>11666</v>
      </c>
      <c r="P2833" s="308" t="s">
        <v>36776</v>
      </c>
      <c r="Q2833" s="308"/>
      <c r="R2833" s="308"/>
      <c r="S2833" s="308" t="s">
        <v>49</v>
      </c>
      <c r="T2833" s="311" t="s">
        <v>51</v>
      </c>
      <c r="U2833" s="308" t="s">
        <v>7530</v>
      </c>
      <c r="V2833" s="312"/>
    </row>
    <row r="2834">
      <c r="A2834" s="308">
        <v>2833.0</v>
      </c>
      <c r="B2834" s="308"/>
      <c r="C2834" s="308" t="s">
        <v>11668</v>
      </c>
      <c r="D2834" s="308">
        <f>IFERROR(__xludf.DUMMYFUNCTION("SPLIT(C2834,""-"")"),2854.0)</f>
        <v>2854</v>
      </c>
      <c r="E2834" s="308" t="str">
        <f>IFERROR(__xludf.DUMMYFUNCTION("""COMPUTED_VALUE"""),"K")</f>
        <v>K</v>
      </c>
      <c r="F2834" s="309" t="s">
        <v>34</v>
      </c>
      <c r="G2834" s="308"/>
      <c r="H2834" s="308" t="s">
        <v>11669</v>
      </c>
      <c r="I2834" s="322"/>
      <c r="J2834" s="319"/>
      <c r="K2834" s="308"/>
      <c r="L2834" s="311" t="s">
        <v>79</v>
      </c>
      <c r="M2834" s="308" t="s">
        <v>11670</v>
      </c>
      <c r="N2834" s="308"/>
      <c r="O2834" s="308" t="s">
        <v>11671</v>
      </c>
      <c r="P2834" s="308" t="s">
        <v>2872</v>
      </c>
      <c r="Q2834" s="308"/>
      <c r="R2834" s="308"/>
      <c r="S2834" s="315" t="s">
        <v>100</v>
      </c>
      <c r="T2834" s="311" t="s">
        <v>34208</v>
      </c>
      <c r="U2834" s="308" t="s">
        <v>125</v>
      </c>
      <c r="V2834" s="312"/>
    </row>
    <row r="2835">
      <c r="A2835" s="308">
        <v>2834.0</v>
      </c>
      <c r="B2835" s="308"/>
      <c r="C2835" s="308" t="s">
        <v>11672</v>
      </c>
      <c r="D2835" s="308">
        <f>IFERROR(__xludf.DUMMYFUNCTION("SPLIT(C2835,""-"")"),2855.0)</f>
        <v>2855</v>
      </c>
      <c r="E2835" s="308" t="str">
        <f>IFERROR(__xludf.DUMMYFUNCTION("""COMPUTED_VALUE"""),"K")</f>
        <v>K</v>
      </c>
      <c r="F2835" s="309" t="s">
        <v>34</v>
      </c>
      <c r="G2835" s="308"/>
      <c r="H2835" s="308" t="s">
        <v>11673</v>
      </c>
      <c r="I2835" s="310">
        <v>42036.0</v>
      </c>
      <c r="J2835" s="319">
        <f>IFERROR(__xludf.DUMMYFUNCTION("SPLIT(I2835,""/"")"),1.0)</f>
        <v>1</v>
      </c>
      <c r="K2835" s="308">
        <f>IFERROR(__xludf.DUMMYFUNCTION("""COMPUTED_VALUE"""),2.0)</f>
        <v>2</v>
      </c>
      <c r="L2835" s="308">
        <f>IFERROR(__xludf.DUMMYFUNCTION("""COMPUTED_VALUE"""),2015.0)</f>
        <v>2015</v>
      </c>
      <c r="M2835" s="308" t="s">
        <v>11674</v>
      </c>
      <c r="N2835" s="308"/>
      <c r="O2835" s="308" t="s">
        <v>11675</v>
      </c>
      <c r="P2835" s="308" t="s">
        <v>34322</v>
      </c>
      <c r="Q2835" s="308"/>
      <c r="R2835" s="308"/>
      <c r="S2835" s="308" t="s">
        <v>79</v>
      </c>
      <c r="T2835" s="308" t="s">
        <v>79</v>
      </c>
      <c r="U2835" s="308" t="s">
        <v>872</v>
      </c>
      <c r="V2835" s="312"/>
    </row>
    <row r="2836">
      <c r="A2836" s="308">
        <v>2835.0</v>
      </c>
      <c r="B2836" s="308"/>
      <c r="C2836" s="308" t="s">
        <v>11676</v>
      </c>
      <c r="D2836" s="308">
        <f>IFERROR(__xludf.DUMMYFUNCTION("SPLIT(C2836,""-"")"),2856.0)</f>
        <v>2856</v>
      </c>
      <c r="E2836" s="308" t="str">
        <f>IFERROR(__xludf.DUMMYFUNCTION("""COMPUTED_VALUE"""),"K")</f>
        <v>K</v>
      </c>
      <c r="F2836" s="309" t="s">
        <v>34</v>
      </c>
      <c r="G2836" s="308"/>
      <c r="H2836" s="308" t="s">
        <v>11677</v>
      </c>
      <c r="I2836" s="310">
        <v>40004.0</v>
      </c>
      <c r="J2836" s="319">
        <f>IFERROR(__xludf.DUMMYFUNCTION("SPLIT(I2836,""/"")"),10.0)</f>
        <v>10</v>
      </c>
      <c r="K2836" s="308">
        <f>IFERROR(__xludf.DUMMYFUNCTION("""COMPUTED_VALUE"""),7.0)</f>
        <v>7</v>
      </c>
      <c r="L2836" s="308">
        <f>IFERROR(__xludf.DUMMYFUNCTION("""COMPUTED_VALUE"""),2009.0)</f>
        <v>2009</v>
      </c>
      <c r="M2836" s="308" t="s">
        <v>11678</v>
      </c>
      <c r="N2836" s="308" t="s">
        <v>11679</v>
      </c>
      <c r="O2836" s="308" t="s">
        <v>11680</v>
      </c>
      <c r="P2836" s="308" t="s">
        <v>1872</v>
      </c>
      <c r="Q2836" s="308"/>
      <c r="R2836" s="308"/>
      <c r="S2836" s="315" t="s">
        <v>100</v>
      </c>
      <c r="T2836" s="311" t="s">
        <v>34208</v>
      </c>
      <c r="U2836" s="308" t="s">
        <v>530</v>
      </c>
      <c r="V2836" s="312"/>
    </row>
    <row r="2837">
      <c r="A2837" s="308">
        <v>2836.0</v>
      </c>
      <c r="B2837" s="308"/>
      <c r="C2837" s="308" t="s">
        <v>11681</v>
      </c>
      <c r="D2837" s="308">
        <f>IFERROR(__xludf.DUMMYFUNCTION("SPLIT(C2837,""-"")"),2857.0)</f>
        <v>2857</v>
      </c>
      <c r="E2837" s="308" t="str">
        <f>IFERROR(__xludf.DUMMYFUNCTION("""COMPUTED_VALUE"""),"K")</f>
        <v>K</v>
      </c>
      <c r="F2837" s="309" t="s">
        <v>34</v>
      </c>
      <c r="G2837" s="308"/>
      <c r="H2837" s="308" t="s">
        <v>11682</v>
      </c>
      <c r="I2837" s="314">
        <v>40145.0</v>
      </c>
      <c r="J2837" s="319">
        <f>IFERROR(__xludf.DUMMYFUNCTION("SPLIT(I2837,""/"")"),28.0)</f>
        <v>28</v>
      </c>
      <c r="K2837" s="308">
        <f>IFERROR(__xludf.DUMMYFUNCTION("""COMPUTED_VALUE"""),11.0)</f>
        <v>11</v>
      </c>
      <c r="L2837" s="308">
        <f>IFERROR(__xludf.DUMMYFUNCTION("""COMPUTED_VALUE"""),2009.0)</f>
        <v>2009</v>
      </c>
      <c r="M2837" s="308" t="s">
        <v>11683</v>
      </c>
      <c r="N2837" s="308" t="s">
        <v>11684</v>
      </c>
      <c r="O2837" s="308" t="s">
        <v>11685</v>
      </c>
      <c r="P2837" s="308" t="s">
        <v>1872</v>
      </c>
      <c r="Q2837" s="308"/>
      <c r="R2837" s="308"/>
      <c r="S2837" s="315" t="s">
        <v>100</v>
      </c>
      <c r="T2837" s="311" t="s">
        <v>34208</v>
      </c>
      <c r="U2837" s="308" t="s">
        <v>530</v>
      </c>
      <c r="V2837" s="312"/>
    </row>
    <row r="2838">
      <c r="A2838" s="308">
        <v>2837.0</v>
      </c>
      <c r="B2838" s="308"/>
      <c r="C2838" s="308" t="s">
        <v>11686</v>
      </c>
      <c r="D2838" s="308">
        <f>IFERROR(__xludf.DUMMYFUNCTION("SPLIT(C2838,""-"")"),2858.0)</f>
        <v>2858</v>
      </c>
      <c r="E2838" s="308" t="str">
        <f>IFERROR(__xludf.DUMMYFUNCTION("""COMPUTED_VALUE"""),"K")</f>
        <v>K</v>
      </c>
      <c r="F2838" s="309" t="s">
        <v>34</v>
      </c>
      <c r="G2838" s="308"/>
      <c r="H2838" s="308" t="s">
        <v>11687</v>
      </c>
      <c r="I2838" s="310">
        <v>41812.0</v>
      </c>
      <c r="J2838" s="319">
        <f>IFERROR(__xludf.DUMMYFUNCTION("SPLIT(I2838,""/"")"),22.0)</f>
        <v>22</v>
      </c>
      <c r="K2838" s="308">
        <f>IFERROR(__xludf.DUMMYFUNCTION("""COMPUTED_VALUE"""),6.0)</f>
        <v>6</v>
      </c>
      <c r="L2838" s="308">
        <f>IFERROR(__xludf.DUMMYFUNCTION("""COMPUTED_VALUE"""),2014.0)</f>
        <v>2014</v>
      </c>
      <c r="M2838" s="308" t="s">
        <v>11688</v>
      </c>
      <c r="N2838" s="308"/>
      <c r="O2838" s="308" t="s">
        <v>635</v>
      </c>
      <c r="P2838" s="308" t="s">
        <v>11354</v>
      </c>
      <c r="Q2838" s="308"/>
      <c r="R2838" s="308"/>
      <c r="S2838" s="308" t="s">
        <v>81</v>
      </c>
      <c r="T2838" s="308" t="s">
        <v>34264</v>
      </c>
      <c r="U2838" s="308" t="s">
        <v>542</v>
      </c>
      <c r="V2838" s="312"/>
    </row>
    <row r="2839">
      <c r="A2839" s="308">
        <v>2838.0</v>
      </c>
      <c r="B2839" s="308"/>
      <c r="C2839" s="308" t="s">
        <v>11689</v>
      </c>
      <c r="D2839" s="308">
        <f>IFERROR(__xludf.DUMMYFUNCTION("SPLIT(C2839,""-"")"),2859.0)</f>
        <v>2859</v>
      </c>
      <c r="E2839" s="308" t="str">
        <f>IFERROR(__xludf.DUMMYFUNCTION("""COMPUTED_VALUE"""),"K")</f>
        <v>K</v>
      </c>
      <c r="F2839" s="309" t="s">
        <v>34</v>
      </c>
      <c r="G2839" s="308"/>
      <c r="H2839" s="308" t="s">
        <v>11690</v>
      </c>
      <c r="I2839" s="310">
        <v>41812.0</v>
      </c>
      <c r="J2839" s="319">
        <f>IFERROR(__xludf.DUMMYFUNCTION("SPLIT(I2839,""/"")"),22.0)</f>
        <v>22</v>
      </c>
      <c r="K2839" s="308">
        <f>IFERROR(__xludf.DUMMYFUNCTION("""COMPUTED_VALUE"""),6.0)</f>
        <v>6</v>
      </c>
      <c r="L2839" s="308">
        <f>IFERROR(__xludf.DUMMYFUNCTION("""COMPUTED_VALUE"""),2014.0)</f>
        <v>2014</v>
      </c>
      <c r="M2839" s="308" t="s">
        <v>11691</v>
      </c>
      <c r="N2839" s="308"/>
      <c r="O2839" s="308" t="s">
        <v>635</v>
      </c>
      <c r="P2839" s="308" t="s">
        <v>11354</v>
      </c>
      <c r="Q2839" s="308"/>
      <c r="R2839" s="308"/>
      <c r="S2839" s="308" t="s">
        <v>81</v>
      </c>
      <c r="T2839" s="308" t="s">
        <v>34264</v>
      </c>
      <c r="U2839" s="308" t="s">
        <v>542</v>
      </c>
      <c r="V2839" s="312"/>
    </row>
    <row r="2840">
      <c r="A2840" s="308">
        <v>2839.0</v>
      </c>
      <c r="B2840" s="308"/>
      <c r="C2840" s="308" t="s">
        <v>11692</v>
      </c>
      <c r="D2840" s="308">
        <f>IFERROR(__xludf.DUMMYFUNCTION("SPLIT(C2840,""-"")"),2860.0)</f>
        <v>2860</v>
      </c>
      <c r="E2840" s="308" t="str">
        <f>IFERROR(__xludf.DUMMYFUNCTION("""COMPUTED_VALUE"""),"S")</f>
        <v>S</v>
      </c>
      <c r="F2840" s="312" t="s">
        <v>39</v>
      </c>
      <c r="G2840" s="308"/>
      <c r="H2840" s="308" t="s">
        <v>11693</v>
      </c>
      <c r="I2840" s="314">
        <v>41989.0</v>
      </c>
      <c r="J2840" s="319">
        <f>IFERROR(__xludf.DUMMYFUNCTION("SPLIT(I2840,""/"")"),16.0)</f>
        <v>16</v>
      </c>
      <c r="K2840" s="308">
        <f>IFERROR(__xludf.DUMMYFUNCTION("""COMPUTED_VALUE"""),12.0)</f>
        <v>12</v>
      </c>
      <c r="L2840" s="308">
        <f>IFERROR(__xludf.DUMMYFUNCTION("""COMPUTED_VALUE"""),2014.0)</f>
        <v>2014</v>
      </c>
      <c r="M2840" s="308" t="s">
        <v>11694</v>
      </c>
      <c r="N2840" s="308"/>
      <c r="O2840" s="308" t="s">
        <v>11695</v>
      </c>
      <c r="P2840" s="308" t="s">
        <v>36777</v>
      </c>
      <c r="Q2840" s="308"/>
      <c r="R2840" s="308"/>
      <c r="S2840" s="308" t="s">
        <v>81</v>
      </c>
      <c r="T2840" s="308" t="s">
        <v>75</v>
      </c>
      <c r="U2840" s="308" t="s">
        <v>166</v>
      </c>
      <c r="V2840" s="312"/>
    </row>
    <row r="2841">
      <c r="A2841" s="308">
        <v>2840.0</v>
      </c>
      <c r="B2841" s="308"/>
      <c r="C2841" s="308" t="s">
        <v>11697</v>
      </c>
      <c r="D2841" s="308">
        <f>IFERROR(__xludf.DUMMYFUNCTION("SPLIT(C2841,""-"")"),2861.0)</f>
        <v>2861</v>
      </c>
      <c r="E2841" s="308" t="str">
        <f>IFERROR(__xludf.DUMMYFUNCTION("""COMPUTED_VALUE"""),"P")</f>
        <v>P</v>
      </c>
      <c r="F2841" s="312" t="s">
        <v>37</v>
      </c>
      <c r="G2841" s="308"/>
      <c r="H2841" s="308" t="s">
        <v>11698</v>
      </c>
      <c r="I2841" s="310">
        <v>42229.0</v>
      </c>
      <c r="J2841" s="319">
        <f>IFERROR(__xludf.DUMMYFUNCTION("SPLIT(I2841,""/"")"),13.0)</f>
        <v>13</v>
      </c>
      <c r="K2841" s="308">
        <f>IFERROR(__xludf.DUMMYFUNCTION("""COMPUTED_VALUE"""),8.0)</f>
        <v>8</v>
      </c>
      <c r="L2841" s="308">
        <f>IFERROR(__xludf.DUMMYFUNCTION("""COMPUTED_VALUE"""),2015.0)</f>
        <v>2015</v>
      </c>
      <c r="M2841" s="308" t="s">
        <v>11699</v>
      </c>
      <c r="N2841" s="308"/>
      <c r="O2841" s="308" t="s">
        <v>11700</v>
      </c>
      <c r="P2841" s="308" t="s">
        <v>11701</v>
      </c>
      <c r="Q2841" s="308"/>
      <c r="R2841" s="308"/>
      <c r="S2841" s="308" t="s">
        <v>81</v>
      </c>
      <c r="T2841" s="308" t="s">
        <v>75</v>
      </c>
      <c r="U2841" s="308"/>
      <c r="V2841" s="312"/>
    </row>
    <row r="2842">
      <c r="A2842" s="308">
        <v>2841.0</v>
      </c>
      <c r="B2842" s="308"/>
      <c r="C2842" s="308" t="s">
        <v>11702</v>
      </c>
      <c r="D2842" s="308">
        <f>IFERROR(__xludf.DUMMYFUNCTION("SPLIT(C2842,""-"")"),2862.0)</f>
        <v>2862</v>
      </c>
      <c r="E2842" s="308" t="str">
        <f>IFERROR(__xludf.DUMMYFUNCTION("""COMPUTED_VALUE"""),"F")</f>
        <v>F</v>
      </c>
      <c r="F2842" s="309" t="s">
        <v>34</v>
      </c>
      <c r="G2842" s="308" t="s">
        <v>11703</v>
      </c>
      <c r="H2842" s="308" t="s">
        <v>11704</v>
      </c>
      <c r="I2842" s="316">
        <v>2012.0</v>
      </c>
      <c r="J2842" s="319"/>
      <c r="K2842" s="308"/>
      <c r="L2842" s="311">
        <v>2012.0</v>
      </c>
      <c r="M2842" s="308" t="s">
        <v>11705</v>
      </c>
      <c r="N2842" s="308"/>
      <c r="O2842" s="308" t="s">
        <v>635</v>
      </c>
      <c r="P2842" s="308" t="s">
        <v>11706</v>
      </c>
      <c r="Q2842" s="308"/>
      <c r="R2842" s="308"/>
      <c r="S2842" s="308" t="s">
        <v>81</v>
      </c>
      <c r="T2842" s="311" t="s">
        <v>90</v>
      </c>
      <c r="U2842" s="308"/>
      <c r="V2842" s="312"/>
    </row>
    <row r="2843">
      <c r="A2843" s="308">
        <v>2842.0</v>
      </c>
      <c r="B2843" s="308"/>
      <c r="C2843" s="308" t="s">
        <v>11707</v>
      </c>
      <c r="D2843" s="308">
        <f>IFERROR(__xludf.DUMMYFUNCTION("SPLIT(C2843,""-"")"),2863.0)</f>
        <v>2863</v>
      </c>
      <c r="E2843" s="308" t="str">
        <f>IFERROR(__xludf.DUMMYFUNCTION("""COMPUTED_VALUE"""),"S")</f>
        <v>S</v>
      </c>
      <c r="F2843" s="312" t="s">
        <v>39</v>
      </c>
      <c r="G2843" s="308" t="s">
        <v>11708</v>
      </c>
      <c r="H2843" s="308" t="s">
        <v>11709</v>
      </c>
      <c r="I2843" s="310">
        <v>42009.0</v>
      </c>
      <c r="J2843" s="319">
        <f>IFERROR(__xludf.DUMMYFUNCTION("SPLIT(I2843,""/"")"),5.0)</f>
        <v>5</v>
      </c>
      <c r="K2843" s="308">
        <f>IFERROR(__xludf.DUMMYFUNCTION("""COMPUTED_VALUE"""),1.0)</f>
        <v>1</v>
      </c>
      <c r="L2843" s="308">
        <f>IFERROR(__xludf.DUMMYFUNCTION("""COMPUTED_VALUE"""),2015.0)</f>
        <v>2015</v>
      </c>
      <c r="M2843" s="308" t="s">
        <v>11710</v>
      </c>
      <c r="N2843" s="308"/>
      <c r="O2843" s="308" t="s">
        <v>11711</v>
      </c>
      <c r="P2843" s="308" t="s">
        <v>9535</v>
      </c>
      <c r="Q2843" s="308"/>
      <c r="R2843" s="308"/>
      <c r="S2843" s="308" t="s">
        <v>81</v>
      </c>
      <c r="T2843" s="308" t="s">
        <v>75</v>
      </c>
      <c r="U2843" s="308" t="s">
        <v>166</v>
      </c>
      <c r="V2843" s="312"/>
    </row>
    <row r="2844">
      <c r="A2844" s="308">
        <v>2843.0</v>
      </c>
      <c r="B2844" s="308"/>
      <c r="C2844" s="308" t="s">
        <v>11712</v>
      </c>
      <c r="D2844" s="308">
        <f>IFERROR(__xludf.DUMMYFUNCTION("SPLIT(C2844,""-"")"),2864.0)</f>
        <v>2864</v>
      </c>
      <c r="E2844" s="308" t="str">
        <f>IFERROR(__xludf.DUMMYFUNCTION("""COMPUTED_VALUE"""),"S")</f>
        <v>S</v>
      </c>
      <c r="F2844" s="312" t="s">
        <v>39</v>
      </c>
      <c r="G2844" s="308" t="s">
        <v>11708</v>
      </c>
      <c r="H2844" s="308" t="s">
        <v>11713</v>
      </c>
      <c r="I2844" s="310">
        <v>42009.0</v>
      </c>
      <c r="J2844" s="319">
        <f>IFERROR(__xludf.DUMMYFUNCTION("SPLIT(I2844,""/"")"),5.0)</f>
        <v>5</v>
      </c>
      <c r="K2844" s="308">
        <f>IFERROR(__xludf.DUMMYFUNCTION("""COMPUTED_VALUE"""),1.0)</f>
        <v>1</v>
      </c>
      <c r="L2844" s="308">
        <f>IFERROR(__xludf.DUMMYFUNCTION("""COMPUTED_VALUE"""),2015.0)</f>
        <v>2015</v>
      </c>
      <c r="M2844" s="308" t="s">
        <v>11710</v>
      </c>
      <c r="N2844" s="308"/>
      <c r="O2844" s="308" t="s">
        <v>11711</v>
      </c>
      <c r="P2844" s="308" t="s">
        <v>9535</v>
      </c>
      <c r="Q2844" s="308"/>
      <c r="R2844" s="308"/>
      <c r="S2844" s="308" t="s">
        <v>81</v>
      </c>
      <c r="T2844" s="308" t="s">
        <v>75</v>
      </c>
      <c r="U2844" s="308" t="s">
        <v>166</v>
      </c>
      <c r="V2844" s="312"/>
    </row>
    <row r="2845">
      <c r="A2845" s="308">
        <v>2844.0</v>
      </c>
      <c r="B2845" s="308"/>
      <c r="C2845" s="308" t="s">
        <v>11714</v>
      </c>
      <c r="D2845" s="308">
        <f>IFERROR(__xludf.DUMMYFUNCTION("SPLIT(C2845,""-"")"),2865.0)</f>
        <v>2865</v>
      </c>
      <c r="E2845" s="308" t="str">
        <f>IFERROR(__xludf.DUMMYFUNCTION("""COMPUTED_VALUE"""),"S")</f>
        <v>S</v>
      </c>
      <c r="F2845" s="312" t="s">
        <v>39</v>
      </c>
      <c r="G2845" s="308"/>
      <c r="H2845" s="308" t="s">
        <v>11715</v>
      </c>
      <c r="I2845" s="310">
        <v>42240.0</v>
      </c>
      <c r="J2845" s="319">
        <f>IFERROR(__xludf.DUMMYFUNCTION("SPLIT(I2845,""/"")"),24.0)</f>
        <v>24</v>
      </c>
      <c r="K2845" s="308">
        <f>IFERROR(__xludf.DUMMYFUNCTION("""COMPUTED_VALUE"""),8.0)</f>
        <v>8</v>
      </c>
      <c r="L2845" s="308">
        <f>IFERROR(__xludf.DUMMYFUNCTION("""COMPUTED_VALUE"""),2015.0)</f>
        <v>2015</v>
      </c>
      <c r="M2845" s="308" t="s">
        <v>11716</v>
      </c>
      <c r="N2845" s="308"/>
      <c r="O2845" s="308" t="s">
        <v>635</v>
      </c>
      <c r="P2845" s="308" t="s">
        <v>9535</v>
      </c>
      <c r="Q2845" s="308"/>
      <c r="R2845" s="308"/>
      <c r="S2845" s="308" t="s">
        <v>81</v>
      </c>
      <c r="T2845" s="308" t="s">
        <v>75</v>
      </c>
      <c r="U2845" s="308" t="s">
        <v>166</v>
      </c>
      <c r="V2845" s="312"/>
    </row>
    <row r="2846">
      <c r="A2846" s="308">
        <v>2845.0</v>
      </c>
      <c r="B2846" s="308"/>
      <c r="C2846" s="308" t="s">
        <v>11717</v>
      </c>
      <c r="D2846" s="308">
        <f>IFERROR(__xludf.DUMMYFUNCTION("SPLIT(C2846,""-"")"),2866.0)</f>
        <v>2866</v>
      </c>
      <c r="E2846" s="308" t="str">
        <f>IFERROR(__xludf.DUMMYFUNCTION("""COMPUTED_VALUE"""),"P")</f>
        <v>P</v>
      </c>
      <c r="F2846" s="312" t="s">
        <v>37</v>
      </c>
      <c r="G2846" s="308"/>
      <c r="H2846" s="308" t="s">
        <v>11718</v>
      </c>
      <c r="I2846" s="310">
        <v>39819.0</v>
      </c>
      <c r="J2846" s="319">
        <f>IFERROR(__xludf.DUMMYFUNCTION("SPLIT(I2846,""/"")"),6.0)</f>
        <v>6</v>
      </c>
      <c r="K2846" s="308">
        <f>IFERROR(__xludf.DUMMYFUNCTION("""COMPUTED_VALUE"""),1.0)</f>
        <v>1</v>
      </c>
      <c r="L2846" s="308">
        <f>IFERROR(__xludf.DUMMYFUNCTION("""COMPUTED_VALUE"""),2009.0)</f>
        <v>2009</v>
      </c>
      <c r="M2846" s="308" t="s">
        <v>11719</v>
      </c>
      <c r="N2846" s="308"/>
      <c r="O2846" s="308" t="s">
        <v>36778</v>
      </c>
      <c r="P2846" s="308" t="s">
        <v>11721</v>
      </c>
      <c r="Q2846" s="308"/>
      <c r="R2846" s="308"/>
      <c r="S2846" s="308" t="s">
        <v>49</v>
      </c>
      <c r="T2846" s="308" t="s">
        <v>51</v>
      </c>
      <c r="U2846" s="308"/>
      <c r="V2846" s="312"/>
    </row>
    <row r="2847">
      <c r="A2847" s="308">
        <v>2846.0</v>
      </c>
      <c r="B2847" s="308"/>
      <c r="C2847" s="308" t="s">
        <v>11722</v>
      </c>
      <c r="D2847" s="308">
        <f>IFERROR(__xludf.DUMMYFUNCTION("SPLIT(C2847,""-"")"),2867.0)</f>
        <v>2867</v>
      </c>
      <c r="E2847" s="308" t="str">
        <f>IFERROR(__xludf.DUMMYFUNCTION("""COMPUTED_VALUE"""),"B")</f>
        <v>B</v>
      </c>
      <c r="F2847" s="315" t="s">
        <v>26</v>
      </c>
      <c r="G2847" s="308"/>
      <c r="H2847" s="308" t="s">
        <v>11723</v>
      </c>
      <c r="I2847" s="314">
        <v>41924.0</v>
      </c>
      <c r="J2847" s="319">
        <f>IFERROR(__xludf.DUMMYFUNCTION("SPLIT(I2847,""/"")"),12.0)</f>
        <v>12</v>
      </c>
      <c r="K2847" s="308">
        <f>IFERROR(__xludf.DUMMYFUNCTION("""COMPUTED_VALUE"""),10.0)</f>
        <v>10</v>
      </c>
      <c r="L2847" s="308">
        <f>IFERROR(__xludf.DUMMYFUNCTION("""COMPUTED_VALUE"""),2014.0)</f>
        <v>2014</v>
      </c>
      <c r="M2847" s="308" t="s">
        <v>11724</v>
      </c>
      <c r="N2847" s="308"/>
      <c r="O2847" s="308" t="s">
        <v>36779</v>
      </c>
      <c r="P2847" s="308" t="s">
        <v>11726</v>
      </c>
      <c r="Q2847" s="308"/>
      <c r="R2847" s="308"/>
      <c r="S2847" s="308" t="s">
        <v>81</v>
      </c>
      <c r="T2847" s="308" t="s">
        <v>63</v>
      </c>
      <c r="U2847" s="308" t="s">
        <v>27</v>
      </c>
      <c r="V2847" s="312"/>
    </row>
    <row r="2848">
      <c r="A2848" s="308">
        <v>2847.0</v>
      </c>
      <c r="B2848" s="308"/>
      <c r="C2848" s="308" t="s">
        <v>11727</v>
      </c>
      <c r="D2848" s="308">
        <f>IFERROR(__xludf.DUMMYFUNCTION("SPLIT(C2848,""-"")"),2868.0)</f>
        <v>2868</v>
      </c>
      <c r="E2848" s="308" t="str">
        <f>IFERROR(__xludf.DUMMYFUNCTION("""COMPUTED_VALUE"""),"S")</f>
        <v>S</v>
      </c>
      <c r="F2848" s="312" t="s">
        <v>39</v>
      </c>
      <c r="G2848" s="308"/>
      <c r="H2848" s="308" t="s">
        <v>11728</v>
      </c>
      <c r="I2848" s="310">
        <v>42277.0</v>
      </c>
      <c r="J2848" s="319">
        <f>IFERROR(__xludf.DUMMYFUNCTION("SPLIT(I2848,""/"")"),30.0)</f>
        <v>30</v>
      </c>
      <c r="K2848" s="308">
        <f>IFERROR(__xludf.DUMMYFUNCTION("""COMPUTED_VALUE"""),9.0)</f>
        <v>9</v>
      </c>
      <c r="L2848" s="308">
        <f>IFERROR(__xludf.DUMMYFUNCTION("""COMPUTED_VALUE"""),2015.0)</f>
        <v>2015</v>
      </c>
      <c r="M2848" s="308" t="s">
        <v>11729</v>
      </c>
      <c r="N2848" s="308"/>
      <c r="O2848" s="308" t="s">
        <v>36779</v>
      </c>
      <c r="P2848" s="308" t="s">
        <v>36780</v>
      </c>
      <c r="Q2848" s="308"/>
      <c r="R2848" s="308"/>
      <c r="S2848" s="308" t="s">
        <v>81</v>
      </c>
      <c r="T2848" s="308" t="s">
        <v>75</v>
      </c>
      <c r="U2848" s="308" t="s">
        <v>166</v>
      </c>
      <c r="V2848" s="312"/>
    </row>
    <row r="2849">
      <c r="A2849" s="308">
        <v>2848.0</v>
      </c>
      <c r="B2849" s="308"/>
      <c r="C2849" s="308" t="s">
        <v>11731</v>
      </c>
      <c r="D2849" s="308">
        <f>IFERROR(__xludf.DUMMYFUNCTION("SPLIT(C2849,""-"")"),2869.0)</f>
        <v>2869</v>
      </c>
      <c r="E2849" s="308" t="str">
        <f>IFERROR(__xludf.DUMMYFUNCTION("""COMPUTED_VALUE"""),"K")</f>
        <v>K</v>
      </c>
      <c r="F2849" s="309" t="s">
        <v>34</v>
      </c>
      <c r="G2849" s="308"/>
      <c r="H2849" s="308" t="s">
        <v>11732</v>
      </c>
      <c r="I2849" s="310">
        <v>41778.0</v>
      </c>
      <c r="J2849" s="319">
        <f>IFERROR(__xludf.DUMMYFUNCTION("SPLIT(I2849,""/"")"),19.0)</f>
        <v>19</v>
      </c>
      <c r="K2849" s="308">
        <f>IFERROR(__xludf.DUMMYFUNCTION("""COMPUTED_VALUE"""),5.0)</f>
        <v>5</v>
      </c>
      <c r="L2849" s="308">
        <f>IFERROR(__xludf.DUMMYFUNCTION("""COMPUTED_VALUE"""),2014.0)</f>
        <v>2014</v>
      </c>
      <c r="M2849" s="308" t="s">
        <v>11733</v>
      </c>
      <c r="N2849" s="308"/>
      <c r="O2849" s="308" t="s">
        <v>36781</v>
      </c>
      <c r="P2849" s="308" t="s">
        <v>11735</v>
      </c>
      <c r="Q2849" s="308"/>
      <c r="R2849" s="308"/>
      <c r="S2849" s="308" t="s">
        <v>81</v>
      </c>
      <c r="T2849" s="308" t="s">
        <v>75</v>
      </c>
      <c r="U2849" s="308"/>
      <c r="V2849" s="312"/>
    </row>
    <row r="2850">
      <c r="A2850" s="308">
        <v>2849.0</v>
      </c>
      <c r="B2850" s="308"/>
      <c r="C2850" s="308" t="s">
        <v>11736</v>
      </c>
      <c r="D2850" s="308">
        <f>IFERROR(__xludf.DUMMYFUNCTION("SPLIT(C2850,""-"")"),2870.0)</f>
        <v>2870</v>
      </c>
      <c r="E2850" s="308" t="str">
        <f>IFERROR(__xludf.DUMMYFUNCTION("""COMPUTED_VALUE"""),"K")</f>
        <v>K</v>
      </c>
      <c r="F2850" s="309" t="s">
        <v>34</v>
      </c>
      <c r="G2850" s="308"/>
      <c r="H2850" s="308" t="s">
        <v>11737</v>
      </c>
      <c r="I2850" s="310">
        <v>40727.0</v>
      </c>
      <c r="J2850" s="319">
        <f>IFERROR(__xludf.DUMMYFUNCTION("SPLIT(I2850,""/"")"),3.0)</f>
        <v>3</v>
      </c>
      <c r="K2850" s="308">
        <f>IFERROR(__xludf.DUMMYFUNCTION("""COMPUTED_VALUE"""),7.0)</f>
        <v>7</v>
      </c>
      <c r="L2850" s="308">
        <f>IFERROR(__xludf.DUMMYFUNCTION("""COMPUTED_VALUE"""),2011.0)</f>
        <v>2011</v>
      </c>
      <c r="M2850" s="308" t="s">
        <v>11738</v>
      </c>
      <c r="N2850" s="308"/>
      <c r="O2850" s="308" t="s">
        <v>36782</v>
      </c>
      <c r="P2850" s="308"/>
      <c r="Q2850" s="308"/>
      <c r="R2850" s="308"/>
      <c r="S2850" s="308" t="s">
        <v>79</v>
      </c>
      <c r="T2850" s="308" t="s">
        <v>79</v>
      </c>
      <c r="U2850" s="308"/>
      <c r="V2850" s="312"/>
    </row>
    <row r="2851">
      <c r="A2851" s="308">
        <v>2850.0</v>
      </c>
      <c r="B2851" s="308"/>
      <c r="C2851" s="308" t="s">
        <v>11740</v>
      </c>
      <c r="D2851" s="308">
        <f>IFERROR(__xludf.DUMMYFUNCTION("SPLIT(C2851,""-"")"),2871.0)</f>
        <v>2871</v>
      </c>
      <c r="E2851" s="308" t="str">
        <f>IFERROR(__xludf.DUMMYFUNCTION("""COMPUTED_VALUE"""),"P")</f>
        <v>P</v>
      </c>
      <c r="F2851" s="312" t="s">
        <v>37</v>
      </c>
      <c r="G2851" s="308"/>
      <c r="H2851" s="308" t="s">
        <v>11741</v>
      </c>
      <c r="I2851" s="310">
        <v>41872.0</v>
      </c>
      <c r="J2851" s="319">
        <f>IFERROR(__xludf.DUMMYFUNCTION("SPLIT(I2851,""/"")"),21.0)</f>
        <v>21</v>
      </c>
      <c r="K2851" s="308">
        <f>IFERROR(__xludf.DUMMYFUNCTION("""COMPUTED_VALUE"""),8.0)</f>
        <v>8</v>
      </c>
      <c r="L2851" s="308">
        <f>IFERROR(__xludf.DUMMYFUNCTION("""COMPUTED_VALUE"""),2014.0)</f>
        <v>2014</v>
      </c>
      <c r="M2851" s="308" t="s">
        <v>36783</v>
      </c>
      <c r="N2851" s="308"/>
      <c r="O2851" s="308" t="s">
        <v>36784</v>
      </c>
      <c r="P2851" s="308" t="s">
        <v>11744</v>
      </c>
      <c r="Q2851" s="308"/>
      <c r="R2851" s="308"/>
      <c r="S2851" s="308" t="s">
        <v>81</v>
      </c>
      <c r="T2851" s="308" t="s">
        <v>75</v>
      </c>
      <c r="U2851" s="308" t="s">
        <v>2291</v>
      </c>
      <c r="V2851" s="312"/>
    </row>
    <row r="2852">
      <c r="A2852" s="308">
        <v>2851.0</v>
      </c>
      <c r="B2852" s="308"/>
      <c r="C2852" s="308" t="s">
        <v>11745</v>
      </c>
      <c r="D2852" s="308">
        <f>IFERROR(__xludf.DUMMYFUNCTION("SPLIT(C2852,""-"")"),2872.0)</f>
        <v>2872</v>
      </c>
      <c r="E2852" s="308" t="str">
        <f>IFERROR(__xludf.DUMMYFUNCTION("""COMPUTED_VALUE"""),"K")</f>
        <v>K</v>
      </c>
      <c r="F2852" s="309" t="s">
        <v>34</v>
      </c>
      <c r="G2852" s="308"/>
      <c r="H2852" s="308" t="s">
        <v>11746</v>
      </c>
      <c r="I2852" s="310">
        <v>41158.0</v>
      </c>
      <c r="J2852" s="319">
        <f>IFERROR(__xludf.DUMMYFUNCTION("SPLIT(I2852,""/"")"),6.0)</f>
        <v>6</v>
      </c>
      <c r="K2852" s="308">
        <f>IFERROR(__xludf.DUMMYFUNCTION("""COMPUTED_VALUE"""),9.0)</f>
        <v>9</v>
      </c>
      <c r="L2852" s="308">
        <f>IFERROR(__xludf.DUMMYFUNCTION("""COMPUTED_VALUE"""),2012.0)</f>
        <v>2012</v>
      </c>
      <c r="M2852" s="308" t="s">
        <v>11747</v>
      </c>
      <c r="N2852" s="308" t="s">
        <v>439</v>
      </c>
      <c r="O2852" s="308" t="s">
        <v>11748</v>
      </c>
      <c r="P2852" s="308" t="s">
        <v>1872</v>
      </c>
      <c r="Q2852" s="308"/>
      <c r="R2852" s="308"/>
      <c r="S2852" s="315" t="s">
        <v>100</v>
      </c>
      <c r="T2852" s="311" t="s">
        <v>34208</v>
      </c>
      <c r="U2852" s="308" t="s">
        <v>530</v>
      </c>
      <c r="V2852" s="312"/>
    </row>
    <row r="2853">
      <c r="A2853" s="308">
        <v>2852.0</v>
      </c>
      <c r="B2853" s="308"/>
      <c r="C2853" s="308" t="s">
        <v>11749</v>
      </c>
      <c r="D2853" s="308">
        <f>IFERROR(__xludf.DUMMYFUNCTION("SPLIT(C2853,""-"")"),2873.0)</f>
        <v>2873</v>
      </c>
      <c r="E2853" s="308" t="str">
        <f>IFERROR(__xludf.DUMMYFUNCTION("""COMPUTED_VALUE"""),"ICT")</f>
        <v>ICT</v>
      </c>
      <c r="F2853" s="315" t="s">
        <v>31</v>
      </c>
      <c r="G2853" s="308"/>
      <c r="H2853" s="308" t="s">
        <v>11750</v>
      </c>
      <c r="I2853" s="310">
        <v>42166.0</v>
      </c>
      <c r="J2853" s="319">
        <f>IFERROR(__xludf.DUMMYFUNCTION("SPLIT(I2853,""/"")"),11.0)</f>
        <v>11</v>
      </c>
      <c r="K2853" s="308">
        <f>IFERROR(__xludf.DUMMYFUNCTION("""COMPUTED_VALUE"""),6.0)</f>
        <v>6</v>
      </c>
      <c r="L2853" s="308">
        <f>IFERROR(__xludf.DUMMYFUNCTION("""COMPUTED_VALUE"""),2015.0)</f>
        <v>2015</v>
      </c>
      <c r="M2853" s="308" t="s">
        <v>11751</v>
      </c>
      <c r="N2853" s="308"/>
      <c r="O2853" s="308" t="s">
        <v>11752</v>
      </c>
      <c r="P2853" s="308" t="s">
        <v>11753</v>
      </c>
      <c r="Q2853" s="308"/>
      <c r="R2853" s="308"/>
      <c r="S2853" s="308" t="s">
        <v>81</v>
      </c>
      <c r="T2853" s="308" t="s">
        <v>75</v>
      </c>
      <c r="U2853" s="308" t="s">
        <v>31</v>
      </c>
      <c r="V2853" s="312"/>
    </row>
    <row r="2854">
      <c r="A2854" s="308">
        <v>2853.0</v>
      </c>
      <c r="B2854" s="308"/>
      <c r="C2854" s="308" t="s">
        <v>11754</v>
      </c>
      <c r="D2854" s="308">
        <f>IFERROR(__xludf.DUMMYFUNCTION("SPLIT(C2854,""-"")"),2874.0)</f>
        <v>2874</v>
      </c>
      <c r="E2854" s="308" t="str">
        <f>IFERROR(__xludf.DUMMYFUNCTION("""COMPUTED_VALUE"""),"S")</f>
        <v>S</v>
      </c>
      <c r="F2854" s="312" t="s">
        <v>39</v>
      </c>
      <c r="G2854" s="308"/>
      <c r="H2854" s="308" t="s">
        <v>11755</v>
      </c>
      <c r="I2854" s="310">
        <v>42272.0</v>
      </c>
      <c r="J2854" s="319">
        <f>IFERROR(__xludf.DUMMYFUNCTION("SPLIT(I2854,""/"")"),25.0)</f>
        <v>25</v>
      </c>
      <c r="K2854" s="308">
        <f>IFERROR(__xludf.DUMMYFUNCTION("""COMPUTED_VALUE"""),9.0)</f>
        <v>9</v>
      </c>
      <c r="L2854" s="308">
        <f>IFERROR(__xludf.DUMMYFUNCTION("""COMPUTED_VALUE"""),2015.0)</f>
        <v>2015</v>
      </c>
      <c r="M2854" s="308" t="s">
        <v>11756</v>
      </c>
      <c r="N2854" s="308"/>
      <c r="O2854" s="308" t="s">
        <v>635</v>
      </c>
      <c r="P2854" s="308" t="s">
        <v>9535</v>
      </c>
      <c r="Q2854" s="308"/>
      <c r="R2854" s="308"/>
      <c r="S2854" s="308" t="s">
        <v>81</v>
      </c>
      <c r="T2854" s="308" t="s">
        <v>75</v>
      </c>
      <c r="U2854" s="308" t="s">
        <v>166</v>
      </c>
      <c r="V2854" s="312"/>
    </row>
    <row r="2855">
      <c r="A2855" s="308">
        <v>2854.0</v>
      </c>
      <c r="B2855" s="308"/>
      <c r="C2855" s="308" t="s">
        <v>11757</v>
      </c>
      <c r="D2855" s="308">
        <f>IFERROR(__xludf.DUMMYFUNCTION("SPLIT(C2855,""-"")"),2875.0)</f>
        <v>2875</v>
      </c>
      <c r="E2855" s="308" t="str">
        <f>IFERROR(__xludf.DUMMYFUNCTION("""COMPUTED_VALUE"""),"S")</f>
        <v>S</v>
      </c>
      <c r="F2855" s="312" t="s">
        <v>39</v>
      </c>
      <c r="G2855" s="308"/>
      <c r="H2855" s="308" t="s">
        <v>11758</v>
      </c>
      <c r="I2855" s="310">
        <v>42272.0</v>
      </c>
      <c r="J2855" s="319">
        <f>IFERROR(__xludf.DUMMYFUNCTION("SPLIT(I2855,""/"")"),25.0)</f>
        <v>25</v>
      </c>
      <c r="K2855" s="308">
        <f>IFERROR(__xludf.DUMMYFUNCTION("""COMPUTED_VALUE"""),9.0)</f>
        <v>9</v>
      </c>
      <c r="L2855" s="308">
        <f>IFERROR(__xludf.DUMMYFUNCTION("""COMPUTED_VALUE"""),2015.0)</f>
        <v>2015</v>
      </c>
      <c r="M2855" s="308" t="s">
        <v>11759</v>
      </c>
      <c r="N2855" s="308"/>
      <c r="O2855" s="308" t="s">
        <v>635</v>
      </c>
      <c r="P2855" s="308" t="s">
        <v>9535</v>
      </c>
      <c r="Q2855" s="308"/>
      <c r="R2855" s="308"/>
      <c r="S2855" s="308" t="s">
        <v>81</v>
      </c>
      <c r="T2855" s="308" t="s">
        <v>75</v>
      </c>
      <c r="U2855" s="308" t="s">
        <v>166</v>
      </c>
      <c r="V2855" s="312"/>
    </row>
    <row r="2856">
      <c r="A2856" s="308">
        <v>2855.0</v>
      </c>
      <c r="B2856" s="308"/>
      <c r="C2856" s="308" t="s">
        <v>11760</v>
      </c>
      <c r="D2856" s="308">
        <f>IFERROR(__xludf.DUMMYFUNCTION("SPLIT(C2856,""-"")"),2876.0)</f>
        <v>2876</v>
      </c>
      <c r="E2856" s="308" t="str">
        <f>IFERROR(__xludf.DUMMYFUNCTION("""COMPUTED_VALUE"""),"S")</f>
        <v>S</v>
      </c>
      <c r="F2856" s="312" t="s">
        <v>39</v>
      </c>
      <c r="G2856" s="308"/>
      <c r="H2856" s="308" t="s">
        <v>11761</v>
      </c>
      <c r="I2856" s="310">
        <v>42271.0</v>
      </c>
      <c r="J2856" s="319">
        <f>IFERROR(__xludf.DUMMYFUNCTION("SPLIT(I2856,""/"")"),24.0)</f>
        <v>24</v>
      </c>
      <c r="K2856" s="308">
        <f>IFERROR(__xludf.DUMMYFUNCTION("""COMPUTED_VALUE"""),9.0)</f>
        <v>9</v>
      </c>
      <c r="L2856" s="308">
        <f>IFERROR(__xludf.DUMMYFUNCTION("""COMPUTED_VALUE"""),2015.0)</f>
        <v>2015</v>
      </c>
      <c r="M2856" s="308" t="s">
        <v>11762</v>
      </c>
      <c r="N2856" s="308"/>
      <c r="O2856" s="308" t="s">
        <v>635</v>
      </c>
      <c r="P2856" s="308" t="s">
        <v>9535</v>
      </c>
      <c r="Q2856" s="308"/>
      <c r="R2856" s="308"/>
      <c r="S2856" s="308" t="s">
        <v>81</v>
      </c>
      <c r="T2856" s="308" t="s">
        <v>75</v>
      </c>
      <c r="U2856" s="308" t="s">
        <v>166</v>
      </c>
      <c r="V2856" s="312"/>
    </row>
    <row r="2857">
      <c r="A2857" s="308">
        <v>2856.0</v>
      </c>
      <c r="B2857" s="308"/>
      <c r="C2857" s="308" t="s">
        <v>11763</v>
      </c>
      <c r="D2857" s="308">
        <f>IFERROR(__xludf.DUMMYFUNCTION("SPLIT(C2857,""-"")"),2877.0)</f>
        <v>2877</v>
      </c>
      <c r="E2857" s="308" t="str">
        <f>IFERROR(__xludf.DUMMYFUNCTION("""COMPUTED_VALUE"""),"S")</f>
        <v>S</v>
      </c>
      <c r="F2857" s="312" t="s">
        <v>39</v>
      </c>
      <c r="G2857" s="308"/>
      <c r="H2857" s="308" t="s">
        <v>11764</v>
      </c>
      <c r="I2857" s="310">
        <v>42264.0</v>
      </c>
      <c r="J2857" s="319">
        <f>IFERROR(__xludf.DUMMYFUNCTION("SPLIT(I2857,""/"")"),17.0)</f>
        <v>17</v>
      </c>
      <c r="K2857" s="308">
        <f>IFERROR(__xludf.DUMMYFUNCTION("""COMPUTED_VALUE"""),9.0)</f>
        <v>9</v>
      </c>
      <c r="L2857" s="308">
        <f>IFERROR(__xludf.DUMMYFUNCTION("""COMPUTED_VALUE"""),2015.0)</f>
        <v>2015</v>
      </c>
      <c r="M2857" s="308" t="s">
        <v>11765</v>
      </c>
      <c r="N2857" s="308"/>
      <c r="O2857" s="308" t="s">
        <v>635</v>
      </c>
      <c r="P2857" s="308" t="s">
        <v>9535</v>
      </c>
      <c r="Q2857" s="308"/>
      <c r="R2857" s="308"/>
      <c r="S2857" s="308" t="s">
        <v>81</v>
      </c>
      <c r="T2857" s="308" t="s">
        <v>75</v>
      </c>
      <c r="U2857" s="308" t="s">
        <v>166</v>
      </c>
      <c r="V2857" s="312"/>
    </row>
    <row r="2858">
      <c r="A2858" s="308">
        <v>2857.0</v>
      </c>
      <c r="B2858" s="308"/>
      <c r="C2858" s="308" t="s">
        <v>11766</v>
      </c>
      <c r="D2858" s="308">
        <f>IFERROR(__xludf.DUMMYFUNCTION("SPLIT(C2858,""-"")"),2878.0)</f>
        <v>2878</v>
      </c>
      <c r="E2858" s="308" t="str">
        <f>IFERROR(__xludf.DUMMYFUNCTION("""COMPUTED_VALUE"""),"S")</f>
        <v>S</v>
      </c>
      <c r="F2858" s="312" t="s">
        <v>39</v>
      </c>
      <c r="G2858" s="308"/>
      <c r="H2858" s="308" t="s">
        <v>11767</v>
      </c>
      <c r="I2858" s="310">
        <v>42250.0</v>
      </c>
      <c r="J2858" s="319">
        <f>IFERROR(__xludf.DUMMYFUNCTION("SPLIT(I2858,""/"")"),3.0)</f>
        <v>3</v>
      </c>
      <c r="K2858" s="308">
        <f>IFERROR(__xludf.DUMMYFUNCTION("""COMPUTED_VALUE"""),9.0)</f>
        <v>9</v>
      </c>
      <c r="L2858" s="308">
        <f>IFERROR(__xludf.DUMMYFUNCTION("""COMPUTED_VALUE"""),2015.0)</f>
        <v>2015</v>
      </c>
      <c r="M2858" s="308" t="s">
        <v>11768</v>
      </c>
      <c r="N2858" s="308"/>
      <c r="O2858" s="308" t="s">
        <v>11769</v>
      </c>
      <c r="P2858" s="308" t="s">
        <v>9535</v>
      </c>
      <c r="Q2858" s="308"/>
      <c r="R2858" s="308"/>
      <c r="S2858" s="308" t="s">
        <v>81</v>
      </c>
      <c r="T2858" s="308" t="s">
        <v>75</v>
      </c>
      <c r="U2858" s="308" t="s">
        <v>166</v>
      </c>
      <c r="V2858" s="312"/>
    </row>
    <row r="2859">
      <c r="A2859" s="308">
        <v>2858.0</v>
      </c>
      <c r="B2859" s="308"/>
      <c r="C2859" s="308" t="s">
        <v>11770</v>
      </c>
      <c r="D2859" s="308">
        <f>IFERROR(__xludf.DUMMYFUNCTION("SPLIT(C2859,""-"")"),2879.0)</f>
        <v>2879</v>
      </c>
      <c r="E2859" s="308" t="str">
        <f>IFERROR(__xludf.DUMMYFUNCTION("""COMPUTED_VALUE"""),"S")</f>
        <v>S</v>
      </c>
      <c r="F2859" s="312" t="s">
        <v>39</v>
      </c>
      <c r="G2859" s="308"/>
      <c r="H2859" s="308" t="s">
        <v>11771</v>
      </c>
      <c r="I2859" s="310">
        <v>42250.0</v>
      </c>
      <c r="J2859" s="319">
        <f>IFERROR(__xludf.DUMMYFUNCTION("SPLIT(I2859,""/"")"),3.0)</f>
        <v>3</v>
      </c>
      <c r="K2859" s="308">
        <f>IFERROR(__xludf.DUMMYFUNCTION("""COMPUTED_VALUE"""),9.0)</f>
        <v>9</v>
      </c>
      <c r="L2859" s="308">
        <f>IFERROR(__xludf.DUMMYFUNCTION("""COMPUTED_VALUE"""),2015.0)</f>
        <v>2015</v>
      </c>
      <c r="M2859" s="308" t="s">
        <v>11772</v>
      </c>
      <c r="N2859" s="308"/>
      <c r="O2859" s="308" t="s">
        <v>635</v>
      </c>
      <c r="P2859" s="308" t="s">
        <v>6778</v>
      </c>
      <c r="Q2859" s="308"/>
      <c r="R2859" s="308"/>
      <c r="S2859" s="311" t="s">
        <v>49</v>
      </c>
      <c r="T2859" s="309" t="s">
        <v>67</v>
      </c>
      <c r="U2859" s="312"/>
      <c r="V2859" s="312"/>
    </row>
    <row r="2860">
      <c r="A2860" s="308">
        <v>2859.0</v>
      </c>
      <c r="B2860" s="308"/>
      <c r="C2860" s="308" t="s">
        <v>11773</v>
      </c>
      <c r="D2860" s="308">
        <f>IFERROR(__xludf.DUMMYFUNCTION("SPLIT(C2860,""-"")"),2880.0)</f>
        <v>2880</v>
      </c>
      <c r="E2860" s="308" t="str">
        <f>IFERROR(__xludf.DUMMYFUNCTION("""COMPUTED_VALUE"""),"S")</f>
        <v>S</v>
      </c>
      <c r="F2860" s="312" t="s">
        <v>39</v>
      </c>
      <c r="G2860" s="308"/>
      <c r="H2860" s="308" t="s">
        <v>11774</v>
      </c>
      <c r="I2860" s="310">
        <v>42248.0</v>
      </c>
      <c r="J2860" s="319">
        <f>IFERROR(__xludf.DUMMYFUNCTION("SPLIT(I2860,""/"")"),1.0)</f>
        <v>1</v>
      </c>
      <c r="K2860" s="308">
        <f>IFERROR(__xludf.DUMMYFUNCTION("""COMPUTED_VALUE"""),9.0)</f>
        <v>9</v>
      </c>
      <c r="L2860" s="308">
        <f>IFERROR(__xludf.DUMMYFUNCTION("""COMPUTED_VALUE"""),2015.0)</f>
        <v>2015</v>
      </c>
      <c r="M2860" s="308" t="s">
        <v>11775</v>
      </c>
      <c r="N2860" s="308"/>
      <c r="O2860" s="308" t="s">
        <v>11776</v>
      </c>
      <c r="P2860" s="308" t="s">
        <v>11777</v>
      </c>
      <c r="Q2860" s="308"/>
      <c r="R2860" s="308"/>
      <c r="S2860" s="308" t="s">
        <v>81</v>
      </c>
      <c r="T2860" s="311" t="s">
        <v>94</v>
      </c>
      <c r="U2860" s="308" t="s">
        <v>166</v>
      </c>
      <c r="V2860" s="312"/>
    </row>
    <row r="2861">
      <c r="A2861" s="308">
        <v>2860.0</v>
      </c>
      <c r="B2861" s="308"/>
      <c r="C2861" s="308" t="s">
        <v>11778</v>
      </c>
      <c r="D2861" s="308">
        <f>IFERROR(__xludf.DUMMYFUNCTION("SPLIT(C2861,""-"")"),2881.0)</f>
        <v>2881</v>
      </c>
      <c r="E2861" s="308" t="str">
        <f>IFERROR(__xludf.DUMMYFUNCTION("""COMPUTED_VALUE"""),"S")</f>
        <v>S</v>
      </c>
      <c r="F2861" s="312" t="s">
        <v>39</v>
      </c>
      <c r="G2861" s="308"/>
      <c r="H2861" s="308" t="s">
        <v>11779</v>
      </c>
      <c r="I2861" s="310">
        <v>42245.0</v>
      </c>
      <c r="J2861" s="319">
        <f>IFERROR(__xludf.DUMMYFUNCTION("SPLIT(I2861,""/"")"),29.0)</f>
        <v>29</v>
      </c>
      <c r="K2861" s="308">
        <f>IFERROR(__xludf.DUMMYFUNCTION("""COMPUTED_VALUE"""),8.0)</f>
        <v>8</v>
      </c>
      <c r="L2861" s="308">
        <f>IFERROR(__xludf.DUMMYFUNCTION("""COMPUTED_VALUE"""),2015.0)</f>
        <v>2015</v>
      </c>
      <c r="M2861" s="308" t="s">
        <v>11780</v>
      </c>
      <c r="N2861" s="308"/>
      <c r="O2861" s="308" t="s">
        <v>11781</v>
      </c>
      <c r="P2861" s="308" t="s">
        <v>9535</v>
      </c>
      <c r="Q2861" s="308"/>
      <c r="R2861" s="308"/>
      <c r="S2861" s="308" t="s">
        <v>81</v>
      </c>
      <c r="T2861" s="308" t="s">
        <v>75</v>
      </c>
      <c r="U2861" s="308" t="s">
        <v>166</v>
      </c>
      <c r="V2861" s="312"/>
    </row>
    <row r="2862">
      <c r="A2862" s="308">
        <v>2861.0</v>
      </c>
      <c r="B2862" s="308"/>
      <c r="C2862" s="308" t="s">
        <v>11782</v>
      </c>
      <c r="D2862" s="308">
        <f>IFERROR(__xludf.DUMMYFUNCTION("SPLIT(C2862,""-"")"),2882.0)</f>
        <v>2882</v>
      </c>
      <c r="E2862" s="308" t="str">
        <f>IFERROR(__xludf.DUMMYFUNCTION("""COMPUTED_VALUE"""),"S")</f>
        <v>S</v>
      </c>
      <c r="F2862" s="312" t="s">
        <v>39</v>
      </c>
      <c r="G2862" s="308"/>
      <c r="H2862" s="308" t="s">
        <v>11783</v>
      </c>
      <c r="I2862" s="310">
        <v>42242.0</v>
      </c>
      <c r="J2862" s="319">
        <f>IFERROR(__xludf.DUMMYFUNCTION("SPLIT(I2862,""/"")"),26.0)</f>
        <v>26</v>
      </c>
      <c r="K2862" s="308">
        <f>IFERROR(__xludf.DUMMYFUNCTION("""COMPUTED_VALUE"""),8.0)</f>
        <v>8</v>
      </c>
      <c r="L2862" s="308">
        <f>IFERROR(__xludf.DUMMYFUNCTION("""COMPUTED_VALUE"""),2015.0)</f>
        <v>2015</v>
      </c>
      <c r="M2862" s="308" t="s">
        <v>11784</v>
      </c>
      <c r="N2862" s="308"/>
      <c r="O2862" s="308" t="s">
        <v>11785</v>
      </c>
      <c r="P2862" s="308" t="s">
        <v>36707</v>
      </c>
      <c r="Q2862" s="308"/>
      <c r="R2862" s="308" t="s">
        <v>11786</v>
      </c>
      <c r="S2862" s="315" t="s">
        <v>100</v>
      </c>
      <c r="T2862" s="311" t="s">
        <v>34208</v>
      </c>
      <c r="U2862" s="308" t="s">
        <v>166</v>
      </c>
      <c r="V2862" s="312"/>
    </row>
    <row r="2863">
      <c r="A2863" s="308">
        <v>2862.0</v>
      </c>
      <c r="B2863" s="308"/>
      <c r="C2863" s="308" t="s">
        <v>11787</v>
      </c>
      <c r="D2863" s="308">
        <f>IFERROR(__xludf.DUMMYFUNCTION("SPLIT(C2863,""-"")"),2883.0)</f>
        <v>2883</v>
      </c>
      <c r="E2863" s="308" t="str">
        <f>IFERROR(__xludf.DUMMYFUNCTION("""COMPUTED_VALUE"""),"S")</f>
        <v>S</v>
      </c>
      <c r="F2863" s="312" t="s">
        <v>39</v>
      </c>
      <c r="G2863" s="308"/>
      <c r="H2863" s="308" t="s">
        <v>11788</v>
      </c>
      <c r="I2863" s="310">
        <v>42233.0</v>
      </c>
      <c r="J2863" s="319">
        <f>IFERROR(__xludf.DUMMYFUNCTION("SPLIT(I2863,""/"")"),17.0)</f>
        <v>17</v>
      </c>
      <c r="K2863" s="308">
        <f>IFERROR(__xludf.DUMMYFUNCTION("""COMPUTED_VALUE"""),8.0)</f>
        <v>8</v>
      </c>
      <c r="L2863" s="308">
        <f>IFERROR(__xludf.DUMMYFUNCTION("""COMPUTED_VALUE"""),2015.0)</f>
        <v>2015</v>
      </c>
      <c r="M2863" s="308" t="s">
        <v>11789</v>
      </c>
      <c r="N2863" s="308"/>
      <c r="O2863" s="308" t="s">
        <v>11790</v>
      </c>
      <c r="P2863" s="308" t="s">
        <v>36785</v>
      </c>
      <c r="Q2863" s="308"/>
      <c r="R2863" s="308"/>
      <c r="S2863" s="308" t="s">
        <v>49</v>
      </c>
      <c r="T2863" s="308" t="s">
        <v>53</v>
      </c>
      <c r="U2863" s="308" t="s">
        <v>166</v>
      </c>
      <c r="V2863" s="312"/>
    </row>
    <row r="2864">
      <c r="A2864" s="308">
        <v>2863.0</v>
      </c>
      <c r="B2864" s="308"/>
      <c r="C2864" s="308" t="s">
        <v>11792</v>
      </c>
      <c r="D2864" s="308">
        <f>IFERROR(__xludf.DUMMYFUNCTION("SPLIT(C2864,""-"")"),2884.0)</f>
        <v>2884</v>
      </c>
      <c r="E2864" s="308" t="str">
        <f>IFERROR(__xludf.DUMMYFUNCTION("""COMPUTED_VALUE"""),"S")</f>
        <v>S</v>
      </c>
      <c r="F2864" s="312" t="s">
        <v>39</v>
      </c>
      <c r="G2864" s="308"/>
      <c r="H2864" s="308" t="s">
        <v>11793</v>
      </c>
      <c r="I2864" s="310">
        <v>42231.0</v>
      </c>
      <c r="J2864" s="319">
        <f>IFERROR(__xludf.DUMMYFUNCTION("SPLIT(I2864,""/"")"),15.0)</f>
        <v>15</v>
      </c>
      <c r="K2864" s="308">
        <f>IFERROR(__xludf.DUMMYFUNCTION("""COMPUTED_VALUE"""),8.0)</f>
        <v>8</v>
      </c>
      <c r="L2864" s="308">
        <f>IFERROR(__xludf.DUMMYFUNCTION("""COMPUTED_VALUE"""),2015.0)</f>
        <v>2015</v>
      </c>
      <c r="M2864" s="308" t="s">
        <v>11794</v>
      </c>
      <c r="N2864" s="308"/>
      <c r="O2864" s="308" t="s">
        <v>635</v>
      </c>
      <c r="P2864" s="308" t="s">
        <v>9535</v>
      </c>
      <c r="Q2864" s="308"/>
      <c r="R2864" s="308"/>
      <c r="S2864" s="308" t="s">
        <v>81</v>
      </c>
      <c r="T2864" s="308" t="s">
        <v>75</v>
      </c>
      <c r="U2864" s="308" t="s">
        <v>166</v>
      </c>
      <c r="V2864" s="312"/>
    </row>
    <row r="2865">
      <c r="A2865" s="308">
        <v>2864.0</v>
      </c>
      <c r="B2865" s="308"/>
      <c r="C2865" s="308" t="s">
        <v>11795</v>
      </c>
      <c r="D2865" s="308">
        <f>IFERROR(__xludf.DUMMYFUNCTION("SPLIT(C2865,""-"")"),2885.0)</f>
        <v>2885</v>
      </c>
      <c r="E2865" s="308" t="str">
        <f>IFERROR(__xludf.DUMMYFUNCTION("""COMPUTED_VALUE"""),"S")</f>
        <v>S</v>
      </c>
      <c r="F2865" s="312" t="s">
        <v>39</v>
      </c>
      <c r="G2865" s="308"/>
      <c r="H2865" s="308" t="s">
        <v>11796</v>
      </c>
      <c r="I2865" s="310">
        <v>42163.0</v>
      </c>
      <c r="J2865" s="319">
        <f>IFERROR(__xludf.DUMMYFUNCTION("SPLIT(I2865,""/"")"),8.0)</f>
        <v>8</v>
      </c>
      <c r="K2865" s="308">
        <f>IFERROR(__xludf.DUMMYFUNCTION("""COMPUTED_VALUE"""),6.0)</f>
        <v>6</v>
      </c>
      <c r="L2865" s="308">
        <f>IFERROR(__xludf.DUMMYFUNCTION("""COMPUTED_VALUE"""),2015.0)</f>
        <v>2015</v>
      </c>
      <c r="M2865" s="308" t="s">
        <v>11797</v>
      </c>
      <c r="N2865" s="308"/>
      <c r="O2865" s="308" t="s">
        <v>11798</v>
      </c>
      <c r="P2865" s="308" t="s">
        <v>36707</v>
      </c>
      <c r="Q2865" s="308"/>
      <c r="R2865" s="308"/>
      <c r="S2865" s="315" t="s">
        <v>100</v>
      </c>
      <c r="T2865" s="311" t="s">
        <v>34208</v>
      </c>
      <c r="U2865" s="308" t="s">
        <v>166</v>
      </c>
      <c r="V2865" s="312"/>
    </row>
    <row r="2866">
      <c r="A2866" s="308">
        <v>2865.0</v>
      </c>
      <c r="B2866" s="308"/>
      <c r="C2866" s="308" t="s">
        <v>11799</v>
      </c>
      <c r="D2866" s="308">
        <f>IFERROR(__xludf.DUMMYFUNCTION("SPLIT(C2866,""-"")"),2886.0)</f>
        <v>2886</v>
      </c>
      <c r="E2866" s="308" t="str">
        <f>IFERROR(__xludf.DUMMYFUNCTION("""COMPUTED_VALUE"""),"S")</f>
        <v>S</v>
      </c>
      <c r="F2866" s="312" t="s">
        <v>39</v>
      </c>
      <c r="G2866" s="308"/>
      <c r="H2866" s="308" t="s">
        <v>11800</v>
      </c>
      <c r="I2866" s="310">
        <v>42162.0</v>
      </c>
      <c r="J2866" s="319">
        <f>IFERROR(__xludf.DUMMYFUNCTION("SPLIT(I2866,""/"")"),7.0)</f>
        <v>7</v>
      </c>
      <c r="K2866" s="308">
        <f>IFERROR(__xludf.DUMMYFUNCTION("""COMPUTED_VALUE"""),6.0)</f>
        <v>6</v>
      </c>
      <c r="L2866" s="308">
        <f>IFERROR(__xludf.DUMMYFUNCTION("""COMPUTED_VALUE"""),2015.0)</f>
        <v>2015</v>
      </c>
      <c r="M2866" s="308" t="s">
        <v>11801</v>
      </c>
      <c r="N2866" s="308"/>
      <c r="O2866" s="308"/>
      <c r="P2866" s="308" t="s">
        <v>11802</v>
      </c>
      <c r="Q2866" s="308"/>
      <c r="R2866" s="308"/>
      <c r="S2866" s="308" t="s">
        <v>81</v>
      </c>
      <c r="T2866" s="311" t="s">
        <v>94</v>
      </c>
      <c r="U2866" s="308" t="s">
        <v>166</v>
      </c>
      <c r="V2866" s="312"/>
    </row>
    <row r="2867">
      <c r="A2867" s="308">
        <v>2866.0</v>
      </c>
      <c r="B2867" s="308"/>
      <c r="C2867" s="308" t="s">
        <v>11803</v>
      </c>
      <c r="D2867" s="308">
        <f>IFERROR(__xludf.DUMMYFUNCTION("SPLIT(C2867,""-"")"),2887.0)</f>
        <v>2887</v>
      </c>
      <c r="E2867" s="308" t="str">
        <f>IFERROR(__xludf.DUMMYFUNCTION("""COMPUTED_VALUE"""),"S")</f>
        <v>S</v>
      </c>
      <c r="F2867" s="312" t="s">
        <v>39</v>
      </c>
      <c r="G2867" s="308"/>
      <c r="H2867" s="308" t="s">
        <v>11804</v>
      </c>
      <c r="I2867" s="310">
        <v>42207.0</v>
      </c>
      <c r="J2867" s="319">
        <f>IFERROR(__xludf.DUMMYFUNCTION("SPLIT(I2867,""/"")"),22.0)</f>
        <v>22</v>
      </c>
      <c r="K2867" s="308">
        <f>IFERROR(__xludf.DUMMYFUNCTION("""COMPUTED_VALUE"""),7.0)</f>
        <v>7</v>
      </c>
      <c r="L2867" s="308">
        <f>IFERROR(__xludf.DUMMYFUNCTION("""COMPUTED_VALUE"""),2015.0)</f>
        <v>2015</v>
      </c>
      <c r="M2867" s="308" t="s">
        <v>11805</v>
      </c>
      <c r="N2867" s="308"/>
      <c r="O2867" s="308" t="s">
        <v>635</v>
      </c>
      <c r="P2867" s="308" t="s">
        <v>9535</v>
      </c>
      <c r="Q2867" s="308"/>
      <c r="R2867" s="308"/>
      <c r="S2867" s="308" t="s">
        <v>81</v>
      </c>
      <c r="T2867" s="308" t="s">
        <v>75</v>
      </c>
      <c r="U2867" s="308" t="s">
        <v>166</v>
      </c>
      <c r="V2867" s="312"/>
    </row>
    <row r="2868">
      <c r="A2868" s="308">
        <v>2867.0</v>
      </c>
      <c r="B2868" s="308"/>
      <c r="C2868" s="308" t="s">
        <v>11806</v>
      </c>
      <c r="D2868" s="308">
        <f>IFERROR(__xludf.DUMMYFUNCTION("SPLIT(C2868,""-"")"),2888.0)</f>
        <v>2888</v>
      </c>
      <c r="E2868" s="308" t="str">
        <f>IFERROR(__xludf.DUMMYFUNCTION("""COMPUTED_VALUE"""),"K")</f>
        <v>K</v>
      </c>
      <c r="F2868" s="309" t="s">
        <v>34</v>
      </c>
      <c r="G2868" s="308"/>
      <c r="H2868" s="308" t="s">
        <v>11807</v>
      </c>
      <c r="I2868" s="310">
        <v>41688.0</v>
      </c>
      <c r="J2868" s="319">
        <f>IFERROR(__xludf.DUMMYFUNCTION("SPLIT(I2868,""/"")"),18.0)</f>
        <v>18</v>
      </c>
      <c r="K2868" s="308">
        <f>IFERROR(__xludf.DUMMYFUNCTION("""COMPUTED_VALUE"""),2.0)</f>
        <v>2</v>
      </c>
      <c r="L2868" s="308">
        <f>IFERROR(__xludf.DUMMYFUNCTION("""COMPUTED_VALUE"""),2014.0)</f>
        <v>2014</v>
      </c>
      <c r="M2868" s="308" t="s">
        <v>11808</v>
      </c>
      <c r="N2868" s="308"/>
      <c r="O2868" s="308" t="s">
        <v>11809</v>
      </c>
      <c r="P2868" s="308" t="s">
        <v>2872</v>
      </c>
      <c r="Q2868" s="308"/>
      <c r="R2868" s="308"/>
      <c r="S2868" s="315" t="s">
        <v>100</v>
      </c>
      <c r="T2868" s="311" t="s">
        <v>34208</v>
      </c>
      <c r="U2868" s="308" t="s">
        <v>125</v>
      </c>
      <c r="V2868" s="312"/>
    </row>
    <row r="2869">
      <c r="A2869" s="308">
        <v>2868.0</v>
      </c>
      <c r="B2869" s="308"/>
      <c r="C2869" s="308" t="s">
        <v>11810</v>
      </c>
      <c r="D2869" s="308">
        <f>IFERROR(__xludf.DUMMYFUNCTION("SPLIT(C2869,""-"")"),2889.0)</f>
        <v>2889</v>
      </c>
      <c r="E2869" s="308" t="str">
        <f>IFERROR(__xludf.DUMMYFUNCTION("""COMPUTED_VALUE"""),"P")</f>
        <v>P</v>
      </c>
      <c r="F2869" s="312" t="s">
        <v>37</v>
      </c>
      <c r="G2869" s="308"/>
      <c r="H2869" s="308" t="s">
        <v>11811</v>
      </c>
      <c r="I2869" s="316">
        <v>2009.0</v>
      </c>
      <c r="J2869" s="319"/>
      <c r="K2869" s="308"/>
      <c r="L2869" s="311">
        <v>2009.0</v>
      </c>
      <c r="M2869" s="308" t="s">
        <v>36786</v>
      </c>
      <c r="N2869" s="308"/>
      <c r="O2869" s="308"/>
      <c r="P2869" s="308" t="s">
        <v>11813</v>
      </c>
      <c r="Q2869" s="308"/>
      <c r="R2869" s="308"/>
      <c r="S2869" s="308" t="s">
        <v>81</v>
      </c>
      <c r="T2869" s="308" t="s">
        <v>75</v>
      </c>
      <c r="U2869" s="308"/>
      <c r="V2869" s="312"/>
    </row>
    <row r="2870">
      <c r="A2870" s="308">
        <v>2869.0</v>
      </c>
      <c r="B2870" s="308"/>
      <c r="C2870" s="308" t="s">
        <v>11814</v>
      </c>
      <c r="D2870" s="308">
        <f>IFERROR(__xludf.DUMMYFUNCTION("SPLIT(C2870,""-"")"),2890.0)</f>
        <v>2890</v>
      </c>
      <c r="E2870" s="308" t="str">
        <f>IFERROR(__xludf.DUMMYFUNCTION("""COMPUTED_VALUE"""),"P")</f>
        <v>P</v>
      </c>
      <c r="F2870" s="312" t="s">
        <v>37</v>
      </c>
      <c r="G2870" s="308"/>
      <c r="H2870" s="308" t="s">
        <v>11815</v>
      </c>
      <c r="I2870" s="310">
        <v>42098.0</v>
      </c>
      <c r="J2870" s="319">
        <f>IFERROR(__xludf.DUMMYFUNCTION("SPLIT(I2870,""/"")"),4.0)</f>
        <v>4</v>
      </c>
      <c r="K2870" s="308">
        <f>IFERROR(__xludf.DUMMYFUNCTION("""COMPUTED_VALUE"""),4.0)</f>
        <v>4</v>
      </c>
      <c r="L2870" s="308">
        <f>IFERROR(__xludf.DUMMYFUNCTION("""COMPUTED_VALUE"""),2015.0)</f>
        <v>2015</v>
      </c>
      <c r="M2870" s="308" t="s">
        <v>11816</v>
      </c>
      <c r="N2870" s="308"/>
      <c r="O2870" s="308" t="s">
        <v>11817</v>
      </c>
      <c r="P2870" s="308" t="s">
        <v>9535</v>
      </c>
      <c r="Q2870" s="308"/>
      <c r="R2870" s="308"/>
      <c r="S2870" s="308" t="s">
        <v>81</v>
      </c>
      <c r="T2870" s="308" t="s">
        <v>75</v>
      </c>
      <c r="U2870" s="308"/>
      <c r="V2870" s="312"/>
    </row>
    <row r="2871">
      <c r="A2871" s="308">
        <v>2870.0</v>
      </c>
      <c r="B2871" s="308"/>
      <c r="C2871" s="308" t="s">
        <v>11818</v>
      </c>
      <c r="D2871" s="308">
        <f>IFERROR(__xludf.DUMMYFUNCTION("SPLIT(C2871,""-"")"),2891.0)</f>
        <v>2891</v>
      </c>
      <c r="E2871" s="308" t="str">
        <f>IFERROR(__xludf.DUMMYFUNCTION("""COMPUTED_VALUE"""),"P")</f>
        <v>P</v>
      </c>
      <c r="F2871" s="312" t="s">
        <v>37</v>
      </c>
      <c r="G2871" s="308"/>
      <c r="H2871" s="308" t="s">
        <v>11819</v>
      </c>
      <c r="I2871" s="310">
        <v>42098.0</v>
      </c>
      <c r="J2871" s="319">
        <f>IFERROR(__xludf.DUMMYFUNCTION("SPLIT(I2871,""/"")"),4.0)</f>
        <v>4</v>
      </c>
      <c r="K2871" s="308">
        <f>IFERROR(__xludf.DUMMYFUNCTION("""COMPUTED_VALUE"""),4.0)</f>
        <v>4</v>
      </c>
      <c r="L2871" s="308">
        <f>IFERROR(__xludf.DUMMYFUNCTION("""COMPUTED_VALUE"""),2015.0)</f>
        <v>2015</v>
      </c>
      <c r="M2871" s="308" t="s">
        <v>11820</v>
      </c>
      <c r="N2871" s="308"/>
      <c r="O2871" s="308" t="s">
        <v>11817</v>
      </c>
      <c r="P2871" s="308" t="s">
        <v>11821</v>
      </c>
      <c r="Q2871" s="308"/>
      <c r="R2871" s="308"/>
      <c r="S2871" s="308" t="s">
        <v>81</v>
      </c>
      <c r="T2871" s="308" t="s">
        <v>75</v>
      </c>
      <c r="U2871" s="308" t="s">
        <v>11822</v>
      </c>
      <c r="V2871" s="312"/>
    </row>
    <row r="2872">
      <c r="A2872" s="308">
        <v>2871.0</v>
      </c>
      <c r="B2872" s="308"/>
      <c r="C2872" s="308" t="s">
        <v>11823</v>
      </c>
      <c r="D2872" s="308">
        <f>IFERROR(__xludf.DUMMYFUNCTION("SPLIT(C2872,""-"")"),2892.0)</f>
        <v>2892</v>
      </c>
      <c r="E2872" s="308" t="str">
        <f>IFERROR(__xludf.DUMMYFUNCTION("""COMPUTED_VALUE"""),"P")</f>
        <v>P</v>
      </c>
      <c r="F2872" s="312" t="s">
        <v>37</v>
      </c>
      <c r="G2872" s="308"/>
      <c r="H2872" s="308" t="s">
        <v>11824</v>
      </c>
      <c r="I2872" s="310">
        <v>42244.0</v>
      </c>
      <c r="J2872" s="319">
        <f>IFERROR(__xludf.DUMMYFUNCTION("SPLIT(I2872,""/"")"),28.0)</f>
        <v>28</v>
      </c>
      <c r="K2872" s="308">
        <f>IFERROR(__xludf.DUMMYFUNCTION("""COMPUTED_VALUE"""),8.0)</f>
        <v>8</v>
      </c>
      <c r="L2872" s="308">
        <f>IFERROR(__xludf.DUMMYFUNCTION("""COMPUTED_VALUE"""),2015.0)</f>
        <v>2015</v>
      </c>
      <c r="M2872" s="308" t="s">
        <v>11825</v>
      </c>
      <c r="N2872" s="308"/>
      <c r="O2872" s="308" t="s">
        <v>11826</v>
      </c>
      <c r="P2872" s="308" t="s">
        <v>11827</v>
      </c>
      <c r="Q2872" s="308"/>
      <c r="R2872" s="308"/>
      <c r="S2872" s="308" t="s">
        <v>81</v>
      </c>
      <c r="T2872" s="311" t="s">
        <v>73</v>
      </c>
      <c r="U2872" s="308"/>
      <c r="V2872" s="312"/>
    </row>
    <row r="2873">
      <c r="A2873" s="308">
        <v>2872.0</v>
      </c>
      <c r="B2873" s="308"/>
      <c r="C2873" s="308" t="s">
        <v>11828</v>
      </c>
      <c r="D2873" s="308">
        <f>IFERROR(__xludf.DUMMYFUNCTION("SPLIT(C2873,""-"")"),2893.0)</f>
        <v>2893</v>
      </c>
      <c r="E2873" s="308" t="str">
        <f>IFERROR(__xludf.DUMMYFUNCTION("""COMPUTED_VALUE"""),"K")</f>
        <v>K</v>
      </c>
      <c r="F2873" s="309" t="s">
        <v>34</v>
      </c>
      <c r="G2873" s="308"/>
      <c r="H2873" s="308" t="s">
        <v>11829</v>
      </c>
      <c r="I2873" s="325">
        <v>40909.0</v>
      </c>
      <c r="J2873" s="319"/>
      <c r="K2873" s="311">
        <v>1.0</v>
      </c>
      <c r="L2873" s="311">
        <v>2012.0</v>
      </c>
      <c r="M2873" s="308" t="s">
        <v>36787</v>
      </c>
      <c r="N2873" s="308"/>
      <c r="O2873" s="308" t="s">
        <v>11831</v>
      </c>
      <c r="P2873" s="308" t="s">
        <v>11832</v>
      </c>
      <c r="Q2873" s="308"/>
      <c r="R2873" s="308"/>
      <c r="S2873" s="308" t="s">
        <v>81</v>
      </c>
      <c r="T2873" s="308" t="s">
        <v>34264</v>
      </c>
      <c r="U2873" s="308"/>
      <c r="V2873" s="312"/>
    </row>
    <row r="2874">
      <c r="A2874" s="308">
        <v>2873.0</v>
      </c>
      <c r="B2874" s="308"/>
      <c r="C2874" s="308" t="s">
        <v>11833</v>
      </c>
      <c r="D2874" s="308">
        <f>IFERROR(__xludf.DUMMYFUNCTION("SPLIT(C2874,""-"")"),2894.0)</f>
        <v>2894</v>
      </c>
      <c r="E2874" s="308" t="str">
        <f>IFERROR(__xludf.DUMMYFUNCTION("""COMPUTED_VALUE"""),"K")</f>
        <v>K</v>
      </c>
      <c r="F2874" s="309" t="s">
        <v>34</v>
      </c>
      <c r="G2874" s="308" t="s">
        <v>11834</v>
      </c>
      <c r="H2874" s="308" t="s">
        <v>11835</v>
      </c>
      <c r="I2874" s="310">
        <v>40318.0</v>
      </c>
      <c r="J2874" s="319">
        <f>IFERROR(__xludf.DUMMYFUNCTION("SPLIT(I2874,""/"")"),20.0)</f>
        <v>20</v>
      </c>
      <c r="K2874" s="308">
        <f>IFERROR(__xludf.DUMMYFUNCTION("""COMPUTED_VALUE"""),5.0)</f>
        <v>5</v>
      </c>
      <c r="L2874" s="308">
        <f>IFERROR(__xludf.DUMMYFUNCTION("""COMPUTED_VALUE"""),2010.0)</f>
        <v>2010</v>
      </c>
      <c r="M2874" s="308" t="s">
        <v>36788</v>
      </c>
      <c r="N2874" s="308"/>
      <c r="O2874" s="308" t="s">
        <v>11837</v>
      </c>
      <c r="P2874" s="308" t="s">
        <v>11838</v>
      </c>
      <c r="Q2874" s="308"/>
      <c r="R2874" s="308"/>
      <c r="S2874" s="315" t="s">
        <v>100</v>
      </c>
      <c r="T2874" s="311" t="s">
        <v>34208</v>
      </c>
      <c r="U2874" s="308" t="s">
        <v>2989</v>
      </c>
      <c r="V2874" s="312"/>
    </row>
    <row r="2875">
      <c r="A2875" s="308">
        <v>2874.0</v>
      </c>
      <c r="B2875" s="308"/>
      <c r="C2875" s="308" t="s">
        <v>11839</v>
      </c>
      <c r="D2875" s="308">
        <f>IFERROR(__xludf.DUMMYFUNCTION("SPLIT(C2875,""-"")"),2895.0)</f>
        <v>2895</v>
      </c>
      <c r="E2875" s="308" t="str">
        <f>IFERROR(__xludf.DUMMYFUNCTION("""COMPUTED_VALUE"""),"K")</f>
        <v>K</v>
      </c>
      <c r="F2875" s="309" t="s">
        <v>34</v>
      </c>
      <c r="G2875" s="308" t="s">
        <v>11840</v>
      </c>
      <c r="H2875" s="308" t="s">
        <v>11841</v>
      </c>
      <c r="I2875" s="310">
        <v>41644.0</v>
      </c>
      <c r="J2875" s="319">
        <f>IFERROR(__xludf.DUMMYFUNCTION("SPLIT(I2875,""/"")"),5.0)</f>
        <v>5</v>
      </c>
      <c r="K2875" s="308">
        <f>IFERROR(__xludf.DUMMYFUNCTION("""COMPUTED_VALUE"""),1.0)</f>
        <v>1</v>
      </c>
      <c r="L2875" s="308">
        <f>IFERROR(__xludf.DUMMYFUNCTION("""COMPUTED_VALUE"""),2014.0)</f>
        <v>2014</v>
      </c>
      <c r="M2875" s="308" t="s">
        <v>11842</v>
      </c>
      <c r="N2875" s="308"/>
      <c r="O2875" s="308" t="s">
        <v>11843</v>
      </c>
      <c r="P2875" s="308" t="s">
        <v>11844</v>
      </c>
      <c r="Q2875" s="308"/>
      <c r="R2875" s="308"/>
      <c r="S2875" s="308" t="s">
        <v>81</v>
      </c>
      <c r="T2875" s="308" t="s">
        <v>34264</v>
      </c>
      <c r="U2875" s="308" t="s">
        <v>941</v>
      </c>
      <c r="V2875" s="312"/>
    </row>
    <row r="2876">
      <c r="A2876" s="308">
        <v>2875.0</v>
      </c>
      <c r="B2876" s="308"/>
      <c r="C2876" s="308" t="s">
        <v>11845</v>
      </c>
      <c r="D2876" s="308">
        <f>IFERROR(__xludf.DUMMYFUNCTION("SPLIT(C2876,""-"")"),2896.0)</f>
        <v>2896</v>
      </c>
      <c r="E2876" s="308" t="str">
        <f>IFERROR(__xludf.DUMMYFUNCTION("""COMPUTED_VALUE"""),"K")</f>
        <v>K</v>
      </c>
      <c r="F2876" s="309" t="s">
        <v>34</v>
      </c>
      <c r="G2876" s="308"/>
      <c r="H2876" s="308" t="s">
        <v>11846</v>
      </c>
      <c r="I2876" s="310">
        <v>40247.0</v>
      </c>
      <c r="J2876" s="319">
        <f>IFERROR(__xludf.DUMMYFUNCTION("SPLIT(I2876,""/"")"),10.0)</f>
        <v>10</v>
      </c>
      <c r="K2876" s="308">
        <f>IFERROR(__xludf.DUMMYFUNCTION("""COMPUTED_VALUE"""),3.0)</f>
        <v>3</v>
      </c>
      <c r="L2876" s="308">
        <f>IFERROR(__xludf.DUMMYFUNCTION("""COMPUTED_VALUE"""),2010.0)</f>
        <v>2010</v>
      </c>
      <c r="M2876" s="308" t="s">
        <v>36789</v>
      </c>
      <c r="N2876" s="308"/>
      <c r="O2876" s="308" t="s">
        <v>36790</v>
      </c>
      <c r="P2876" s="308" t="s">
        <v>11849</v>
      </c>
      <c r="Q2876" s="308"/>
      <c r="R2876" s="308"/>
      <c r="S2876" s="315" t="s">
        <v>100</v>
      </c>
      <c r="T2876" s="311" t="s">
        <v>34208</v>
      </c>
      <c r="U2876" s="308" t="s">
        <v>7530</v>
      </c>
      <c r="V2876" s="312"/>
    </row>
    <row r="2877">
      <c r="A2877" s="308">
        <v>2876.0</v>
      </c>
      <c r="B2877" s="308"/>
      <c r="C2877" s="308" t="s">
        <v>11850</v>
      </c>
      <c r="D2877" s="308">
        <f>IFERROR(__xludf.DUMMYFUNCTION("SPLIT(C2877,""-"")"),2897.0)</f>
        <v>2897</v>
      </c>
      <c r="E2877" s="308" t="str">
        <f>IFERROR(__xludf.DUMMYFUNCTION("""COMPUTED_VALUE"""),"P")</f>
        <v>P</v>
      </c>
      <c r="F2877" s="312" t="s">
        <v>37</v>
      </c>
      <c r="G2877" s="308"/>
      <c r="H2877" s="308" t="s">
        <v>11851</v>
      </c>
      <c r="I2877" s="310">
        <v>42094.0</v>
      </c>
      <c r="J2877" s="319">
        <f>IFERROR(__xludf.DUMMYFUNCTION("SPLIT(I2877,""/"")"),31.0)</f>
        <v>31</v>
      </c>
      <c r="K2877" s="308">
        <f>IFERROR(__xludf.DUMMYFUNCTION("""COMPUTED_VALUE"""),3.0)</f>
        <v>3</v>
      </c>
      <c r="L2877" s="308">
        <f>IFERROR(__xludf.DUMMYFUNCTION("""COMPUTED_VALUE"""),2015.0)</f>
        <v>2015</v>
      </c>
      <c r="M2877" s="308" t="s">
        <v>11852</v>
      </c>
      <c r="N2877" s="308"/>
      <c r="O2877" s="308" t="s">
        <v>11853</v>
      </c>
      <c r="P2877" s="308" t="s">
        <v>11854</v>
      </c>
      <c r="Q2877" s="308"/>
      <c r="R2877" s="308" t="s">
        <v>11855</v>
      </c>
      <c r="S2877" s="308" t="s">
        <v>81</v>
      </c>
      <c r="T2877" s="308" t="s">
        <v>75</v>
      </c>
      <c r="U2877" s="308" t="s">
        <v>5707</v>
      </c>
      <c r="V2877" s="312"/>
    </row>
    <row r="2878">
      <c r="A2878" s="308">
        <v>2877.0</v>
      </c>
      <c r="B2878" s="308"/>
      <c r="C2878" s="308" t="s">
        <v>11856</v>
      </c>
      <c r="D2878" s="308">
        <f>IFERROR(__xludf.DUMMYFUNCTION("SPLIT(C2878,""-"")"),2898.0)</f>
        <v>2898</v>
      </c>
      <c r="E2878" s="308" t="str">
        <f>IFERROR(__xludf.DUMMYFUNCTION("""COMPUTED_VALUE"""),"P")</f>
        <v>P</v>
      </c>
      <c r="F2878" s="312" t="s">
        <v>37</v>
      </c>
      <c r="G2878" s="308"/>
      <c r="H2878" s="308" t="s">
        <v>11857</v>
      </c>
      <c r="I2878" s="310">
        <v>42128.0</v>
      </c>
      <c r="J2878" s="319">
        <f>IFERROR(__xludf.DUMMYFUNCTION("SPLIT(I2878,""/"")"),4.0)</f>
        <v>4</v>
      </c>
      <c r="K2878" s="308">
        <f>IFERROR(__xludf.DUMMYFUNCTION("""COMPUTED_VALUE"""),5.0)</f>
        <v>5</v>
      </c>
      <c r="L2878" s="308">
        <f>IFERROR(__xludf.DUMMYFUNCTION("""COMPUTED_VALUE"""),2015.0)</f>
        <v>2015</v>
      </c>
      <c r="M2878" s="308" t="s">
        <v>11858</v>
      </c>
      <c r="N2878" s="308"/>
      <c r="O2878" s="308" t="s">
        <v>11859</v>
      </c>
      <c r="P2878" s="308" t="s">
        <v>36791</v>
      </c>
      <c r="Q2878" s="308"/>
      <c r="R2878" s="308"/>
      <c r="S2878" s="308" t="s">
        <v>81</v>
      </c>
      <c r="T2878" s="308" t="s">
        <v>75</v>
      </c>
      <c r="U2878" s="308" t="s">
        <v>4273</v>
      </c>
      <c r="V2878" s="312"/>
    </row>
    <row r="2879">
      <c r="A2879" s="308">
        <v>2878.0</v>
      </c>
      <c r="B2879" s="308"/>
      <c r="C2879" s="308" t="s">
        <v>11861</v>
      </c>
      <c r="D2879" s="308">
        <f>IFERROR(__xludf.DUMMYFUNCTION("SPLIT(C2879,""-"")"),2899.0)</f>
        <v>2899</v>
      </c>
      <c r="E2879" s="308" t="str">
        <f>IFERROR(__xludf.DUMMYFUNCTION("""COMPUTED_VALUE"""),"K")</f>
        <v>K</v>
      </c>
      <c r="F2879" s="309" t="s">
        <v>34</v>
      </c>
      <c r="G2879" s="308"/>
      <c r="H2879" s="308" t="s">
        <v>11862</v>
      </c>
      <c r="I2879" s="310">
        <v>41151.0</v>
      </c>
      <c r="J2879" s="319">
        <f>IFERROR(__xludf.DUMMYFUNCTION("SPLIT(I2879,""/"")"),30.0)</f>
        <v>30</v>
      </c>
      <c r="K2879" s="308">
        <f>IFERROR(__xludf.DUMMYFUNCTION("""COMPUTED_VALUE"""),8.0)</f>
        <v>8</v>
      </c>
      <c r="L2879" s="308">
        <f>IFERROR(__xludf.DUMMYFUNCTION("""COMPUTED_VALUE"""),2012.0)</f>
        <v>2012</v>
      </c>
      <c r="M2879" s="308" t="s">
        <v>11863</v>
      </c>
      <c r="N2879" s="308"/>
      <c r="O2879" s="308" t="s">
        <v>36792</v>
      </c>
      <c r="P2879" s="308" t="s">
        <v>11865</v>
      </c>
      <c r="Q2879" s="308"/>
      <c r="R2879" s="308"/>
      <c r="S2879" s="308" t="s">
        <v>81</v>
      </c>
      <c r="T2879" s="308" t="s">
        <v>34264</v>
      </c>
      <c r="U2879" s="308" t="s">
        <v>125</v>
      </c>
      <c r="V2879" s="312"/>
    </row>
    <row r="2880">
      <c r="A2880" s="308">
        <v>2879.0</v>
      </c>
      <c r="B2880" s="308"/>
      <c r="C2880" s="308" t="s">
        <v>11866</v>
      </c>
      <c r="D2880" s="308">
        <f>IFERROR(__xludf.DUMMYFUNCTION("SPLIT(C2880,""-"")"),2900.0)</f>
        <v>2900</v>
      </c>
      <c r="E2880" s="308" t="str">
        <f>IFERROR(__xludf.DUMMYFUNCTION("""COMPUTED_VALUE"""),"P")</f>
        <v>P</v>
      </c>
      <c r="F2880" s="312" t="s">
        <v>37</v>
      </c>
      <c r="G2880" s="308"/>
      <c r="H2880" s="308" t="s">
        <v>11867</v>
      </c>
      <c r="I2880" s="314">
        <v>42319.0</v>
      </c>
      <c r="J2880" s="319">
        <f>IFERROR(__xludf.DUMMYFUNCTION("SPLIT(I2880,""/"")"),11.0)</f>
        <v>11</v>
      </c>
      <c r="K2880" s="308">
        <f>IFERROR(__xludf.DUMMYFUNCTION("""COMPUTED_VALUE"""),11.0)</f>
        <v>11</v>
      </c>
      <c r="L2880" s="308">
        <f>IFERROR(__xludf.DUMMYFUNCTION("""COMPUTED_VALUE"""),2015.0)</f>
        <v>2015</v>
      </c>
      <c r="M2880" s="308" t="s">
        <v>11868</v>
      </c>
      <c r="N2880" s="308"/>
      <c r="O2880" s="308" t="s">
        <v>11869</v>
      </c>
      <c r="P2880" s="308" t="s">
        <v>36793</v>
      </c>
      <c r="Q2880" s="308"/>
      <c r="R2880" s="308"/>
      <c r="S2880" s="308" t="s">
        <v>81</v>
      </c>
      <c r="T2880" s="311" t="s">
        <v>90</v>
      </c>
      <c r="U2880" s="308" t="s">
        <v>2748</v>
      </c>
      <c r="V2880" s="312"/>
    </row>
    <row r="2881">
      <c r="A2881" s="308">
        <v>2880.0</v>
      </c>
      <c r="B2881" s="308"/>
      <c r="C2881" s="308" t="s">
        <v>11871</v>
      </c>
      <c r="D2881" s="308">
        <f>IFERROR(__xludf.DUMMYFUNCTION("SPLIT(C2881,""-"")"),2901.0)</f>
        <v>2901</v>
      </c>
      <c r="E2881" s="308" t="str">
        <f>IFERROR(__xludf.DUMMYFUNCTION("""COMPUTED_VALUE"""),"K")</f>
        <v>K</v>
      </c>
      <c r="F2881" s="309" t="s">
        <v>34</v>
      </c>
      <c r="G2881" s="308"/>
      <c r="H2881" s="308" t="s">
        <v>11872</v>
      </c>
      <c r="I2881" s="310">
        <v>41171.0</v>
      </c>
      <c r="J2881" s="319">
        <f>IFERROR(__xludf.DUMMYFUNCTION("SPLIT(I2881,""/"")"),19.0)</f>
        <v>19</v>
      </c>
      <c r="K2881" s="308">
        <f>IFERROR(__xludf.DUMMYFUNCTION("""COMPUTED_VALUE"""),9.0)</f>
        <v>9</v>
      </c>
      <c r="L2881" s="308">
        <f>IFERROR(__xludf.DUMMYFUNCTION("""COMPUTED_VALUE"""),2012.0)</f>
        <v>2012</v>
      </c>
      <c r="M2881" s="308" t="s">
        <v>11873</v>
      </c>
      <c r="N2881" s="308"/>
      <c r="O2881" s="308" t="s">
        <v>11874</v>
      </c>
      <c r="P2881" s="308" t="s">
        <v>9403</v>
      </c>
      <c r="Q2881" s="308"/>
      <c r="R2881" s="308" t="s">
        <v>36794</v>
      </c>
      <c r="S2881" s="315" t="s">
        <v>100</v>
      </c>
      <c r="T2881" s="311" t="s">
        <v>34208</v>
      </c>
      <c r="U2881" s="308" t="s">
        <v>125</v>
      </c>
      <c r="V2881" s="312"/>
    </row>
    <row r="2882">
      <c r="A2882" s="308">
        <v>2881.0</v>
      </c>
      <c r="B2882" s="308"/>
      <c r="C2882" s="308" t="s">
        <v>11876</v>
      </c>
      <c r="D2882" s="308">
        <f>IFERROR(__xludf.DUMMYFUNCTION("SPLIT(C2882,""-"")"),2902.0)</f>
        <v>2902</v>
      </c>
      <c r="E2882" s="308" t="str">
        <f>IFERROR(__xludf.DUMMYFUNCTION("""COMPUTED_VALUE"""),"K")</f>
        <v>K</v>
      </c>
      <c r="F2882" s="309" t="s">
        <v>34</v>
      </c>
      <c r="G2882" s="308"/>
      <c r="H2882" s="308" t="s">
        <v>11877</v>
      </c>
      <c r="I2882" s="316">
        <v>2009.0</v>
      </c>
      <c r="J2882" s="319"/>
      <c r="K2882" s="308"/>
      <c r="L2882" s="311">
        <v>2009.0</v>
      </c>
      <c r="M2882" s="308" t="s">
        <v>11878</v>
      </c>
      <c r="N2882" s="308"/>
      <c r="O2882" s="308" t="s">
        <v>11879</v>
      </c>
      <c r="P2882" s="308" t="s">
        <v>7988</v>
      </c>
      <c r="Q2882" s="308"/>
      <c r="R2882" s="308"/>
      <c r="S2882" s="315" t="s">
        <v>100</v>
      </c>
      <c r="T2882" s="311" t="s">
        <v>34208</v>
      </c>
      <c r="U2882" s="308" t="s">
        <v>530</v>
      </c>
      <c r="V2882" s="312"/>
    </row>
    <row r="2883">
      <c r="A2883" s="308">
        <v>2882.0</v>
      </c>
      <c r="B2883" s="308"/>
      <c r="C2883" s="308" t="s">
        <v>11880</v>
      </c>
      <c r="D2883" s="308">
        <f>IFERROR(__xludf.DUMMYFUNCTION("SPLIT(C2883,""-"")"),2903.0)</f>
        <v>2903</v>
      </c>
      <c r="E2883" s="308" t="str">
        <f>IFERROR(__xludf.DUMMYFUNCTION("""COMPUTED_VALUE"""),"K")</f>
        <v>K</v>
      </c>
      <c r="F2883" s="309" t="s">
        <v>34</v>
      </c>
      <c r="G2883" s="308"/>
      <c r="H2883" s="308" t="s">
        <v>11881</v>
      </c>
      <c r="I2883" s="310">
        <v>42230.0</v>
      </c>
      <c r="J2883" s="319">
        <f>IFERROR(__xludf.DUMMYFUNCTION("SPLIT(I2883,""/"")"),14.0)</f>
        <v>14</v>
      </c>
      <c r="K2883" s="308">
        <f>IFERROR(__xludf.DUMMYFUNCTION("""COMPUTED_VALUE"""),8.0)</f>
        <v>8</v>
      </c>
      <c r="L2883" s="308">
        <f>IFERROR(__xludf.DUMMYFUNCTION("""COMPUTED_VALUE"""),2015.0)</f>
        <v>2015</v>
      </c>
      <c r="M2883" s="308" t="s">
        <v>11882</v>
      </c>
      <c r="N2883" s="308"/>
      <c r="O2883" s="308" t="s">
        <v>11883</v>
      </c>
      <c r="P2883" s="308" t="s">
        <v>11884</v>
      </c>
      <c r="Q2883" s="308"/>
      <c r="R2883" s="308"/>
      <c r="S2883" s="308" t="s">
        <v>81</v>
      </c>
      <c r="T2883" s="311" t="s">
        <v>73</v>
      </c>
      <c r="U2883" s="308"/>
      <c r="V2883" s="312"/>
    </row>
    <row r="2884">
      <c r="A2884" s="308">
        <v>2883.0</v>
      </c>
      <c r="B2884" s="308"/>
      <c r="C2884" s="308" t="s">
        <v>11885</v>
      </c>
      <c r="D2884" s="308">
        <f>IFERROR(__xludf.DUMMYFUNCTION("SPLIT(C2884,""-"")"),2904.0)</f>
        <v>2904</v>
      </c>
      <c r="E2884" s="308" t="str">
        <f>IFERROR(__xludf.DUMMYFUNCTION("""COMPUTED_VALUE"""),"P")</f>
        <v>P</v>
      </c>
      <c r="F2884" s="312" t="s">
        <v>37</v>
      </c>
      <c r="G2884" s="308"/>
      <c r="H2884" s="308" t="s">
        <v>11886</v>
      </c>
      <c r="I2884" s="314">
        <v>42296.0</v>
      </c>
      <c r="J2884" s="319">
        <f>IFERROR(__xludf.DUMMYFUNCTION("SPLIT(I2884,""/"")"),19.0)</f>
        <v>19</v>
      </c>
      <c r="K2884" s="308">
        <f>IFERROR(__xludf.DUMMYFUNCTION("""COMPUTED_VALUE"""),10.0)</f>
        <v>10</v>
      </c>
      <c r="L2884" s="308">
        <f>IFERROR(__xludf.DUMMYFUNCTION("""COMPUTED_VALUE"""),2015.0)</f>
        <v>2015</v>
      </c>
      <c r="M2884" s="308" t="s">
        <v>11887</v>
      </c>
      <c r="N2884" s="308"/>
      <c r="O2884" s="308" t="s">
        <v>11888</v>
      </c>
      <c r="P2884" s="308" t="s">
        <v>11889</v>
      </c>
      <c r="Q2884" s="308"/>
      <c r="R2884" s="308"/>
      <c r="S2884" s="308" t="s">
        <v>81</v>
      </c>
      <c r="T2884" s="308" t="s">
        <v>75</v>
      </c>
      <c r="U2884" s="308"/>
      <c r="V2884" s="312"/>
    </row>
    <row r="2885">
      <c r="A2885" s="308">
        <v>2884.0</v>
      </c>
      <c r="B2885" s="308"/>
      <c r="C2885" s="308" t="s">
        <v>11890</v>
      </c>
      <c r="D2885" s="308">
        <f>IFERROR(__xludf.DUMMYFUNCTION("SPLIT(C2885,""-"")"),2905.0)</f>
        <v>2905</v>
      </c>
      <c r="E2885" s="308" t="str">
        <f>IFERROR(__xludf.DUMMYFUNCTION("""COMPUTED_VALUE"""),"K")</f>
        <v>K</v>
      </c>
      <c r="F2885" s="309" t="s">
        <v>34</v>
      </c>
      <c r="G2885" s="308"/>
      <c r="H2885" s="308" t="s">
        <v>11891</v>
      </c>
      <c r="I2885" s="314">
        <v>42096.0</v>
      </c>
      <c r="J2885" s="319">
        <f>IFERROR(__xludf.DUMMYFUNCTION("SPLIT(I2885,""/"")"),2.0)</f>
        <v>2</v>
      </c>
      <c r="K2885" s="308">
        <f>IFERROR(__xludf.DUMMYFUNCTION("""COMPUTED_VALUE"""),4.0)</f>
        <v>4</v>
      </c>
      <c r="L2885" s="308">
        <f>IFERROR(__xludf.DUMMYFUNCTION("""COMPUTED_VALUE"""),2015.0)</f>
        <v>2015</v>
      </c>
      <c r="M2885" s="308" t="s">
        <v>11892</v>
      </c>
      <c r="N2885" s="308"/>
      <c r="O2885" s="308" t="s">
        <v>11893</v>
      </c>
      <c r="P2885" s="308" t="s">
        <v>7988</v>
      </c>
      <c r="Q2885" s="308"/>
      <c r="R2885" s="308"/>
      <c r="S2885" s="315" t="s">
        <v>100</v>
      </c>
      <c r="T2885" s="311" t="s">
        <v>34208</v>
      </c>
      <c r="U2885" s="308" t="s">
        <v>530</v>
      </c>
      <c r="V2885" s="312"/>
    </row>
    <row r="2886">
      <c r="A2886" s="308">
        <v>2885.0</v>
      </c>
      <c r="B2886" s="308"/>
      <c r="C2886" s="308" t="s">
        <v>11894</v>
      </c>
      <c r="D2886" s="308">
        <f>IFERROR(__xludf.DUMMYFUNCTION("SPLIT(C2886,""-"")"),2906.0)</f>
        <v>2906</v>
      </c>
      <c r="E2886" s="308" t="str">
        <f>IFERROR(__xludf.DUMMYFUNCTION("""COMPUTED_VALUE"""),"P")</f>
        <v>P</v>
      </c>
      <c r="F2886" s="312" t="s">
        <v>37</v>
      </c>
      <c r="G2886" s="308"/>
      <c r="H2886" s="308" t="s">
        <v>11895</v>
      </c>
      <c r="I2886" s="310">
        <v>42262.0</v>
      </c>
      <c r="J2886" s="319">
        <f>IFERROR(__xludf.DUMMYFUNCTION("SPLIT(I2886,""/"")"),15.0)</f>
        <v>15</v>
      </c>
      <c r="K2886" s="308">
        <f>IFERROR(__xludf.DUMMYFUNCTION("""COMPUTED_VALUE"""),9.0)</f>
        <v>9</v>
      </c>
      <c r="L2886" s="308">
        <f>IFERROR(__xludf.DUMMYFUNCTION("""COMPUTED_VALUE"""),2015.0)</f>
        <v>2015</v>
      </c>
      <c r="M2886" s="308" t="s">
        <v>11896</v>
      </c>
      <c r="N2886" s="308"/>
      <c r="O2886" s="308" t="s">
        <v>11897</v>
      </c>
      <c r="P2886" s="308" t="s">
        <v>11898</v>
      </c>
      <c r="Q2886" s="308"/>
      <c r="R2886" s="308"/>
      <c r="S2886" s="308" t="s">
        <v>81</v>
      </c>
      <c r="T2886" s="308" t="s">
        <v>73</v>
      </c>
      <c r="U2886" s="308"/>
      <c r="V2886" s="312"/>
    </row>
    <row r="2887">
      <c r="A2887" s="308">
        <v>2886.0</v>
      </c>
      <c r="B2887" s="308"/>
      <c r="C2887" s="308" t="s">
        <v>11899</v>
      </c>
      <c r="D2887" s="308">
        <f>IFERROR(__xludf.DUMMYFUNCTION("SPLIT(C2887,""-"")"),2907.0)</f>
        <v>2907</v>
      </c>
      <c r="E2887" s="308" t="str">
        <f>IFERROR(__xludf.DUMMYFUNCTION("""COMPUTED_VALUE"""),"P")</f>
        <v>P</v>
      </c>
      <c r="F2887" s="312" t="s">
        <v>37</v>
      </c>
      <c r="G2887" s="308"/>
      <c r="H2887" s="308" t="s">
        <v>11900</v>
      </c>
      <c r="I2887" s="310">
        <v>42157.0</v>
      </c>
      <c r="J2887" s="319">
        <f>IFERROR(__xludf.DUMMYFUNCTION("SPLIT(I2887,""/"")"),2.0)</f>
        <v>2</v>
      </c>
      <c r="K2887" s="308">
        <f>IFERROR(__xludf.DUMMYFUNCTION("""COMPUTED_VALUE"""),6.0)</f>
        <v>6</v>
      </c>
      <c r="L2887" s="308">
        <f>IFERROR(__xludf.DUMMYFUNCTION("""COMPUTED_VALUE"""),2015.0)</f>
        <v>2015</v>
      </c>
      <c r="M2887" s="308" t="s">
        <v>11901</v>
      </c>
      <c r="N2887" s="308"/>
      <c r="O2887" s="308" t="s">
        <v>11902</v>
      </c>
      <c r="P2887" s="308" t="s">
        <v>36795</v>
      </c>
      <c r="Q2887" s="308"/>
      <c r="R2887" s="308"/>
      <c r="S2887" s="308" t="s">
        <v>81</v>
      </c>
      <c r="T2887" s="308" t="s">
        <v>75</v>
      </c>
      <c r="U2887" s="308" t="s">
        <v>143</v>
      </c>
      <c r="V2887" s="312"/>
    </row>
    <row r="2888">
      <c r="A2888" s="308">
        <v>2887.0</v>
      </c>
      <c r="B2888" s="308"/>
      <c r="C2888" s="308" t="s">
        <v>11904</v>
      </c>
      <c r="D2888" s="308">
        <f>IFERROR(__xludf.DUMMYFUNCTION("SPLIT(C2888,""-"")"),2908.0)</f>
        <v>2908</v>
      </c>
      <c r="E2888" s="308" t="str">
        <f>IFERROR(__xludf.DUMMYFUNCTION("""COMPUTED_VALUE"""),"S")</f>
        <v>S</v>
      </c>
      <c r="F2888" s="312" t="s">
        <v>39</v>
      </c>
      <c r="G2888" s="308"/>
      <c r="H2888" s="308" t="s">
        <v>11905</v>
      </c>
      <c r="I2888" s="310">
        <v>42234.0</v>
      </c>
      <c r="J2888" s="319">
        <f>IFERROR(__xludf.DUMMYFUNCTION("SPLIT(I2888,""/"")"),18.0)</f>
        <v>18</v>
      </c>
      <c r="K2888" s="308">
        <f>IFERROR(__xludf.DUMMYFUNCTION("""COMPUTED_VALUE"""),8.0)</f>
        <v>8</v>
      </c>
      <c r="L2888" s="308">
        <f>IFERROR(__xludf.DUMMYFUNCTION("""COMPUTED_VALUE"""),2015.0)</f>
        <v>2015</v>
      </c>
      <c r="M2888" s="308" t="s">
        <v>11906</v>
      </c>
      <c r="N2888" s="308"/>
      <c r="O2888" s="308" t="s">
        <v>11907</v>
      </c>
      <c r="P2888" s="308" t="s">
        <v>11908</v>
      </c>
      <c r="Q2888" s="308"/>
      <c r="R2888" s="308"/>
      <c r="S2888" s="308" t="s">
        <v>49</v>
      </c>
      <c r="T2888" s="308" t="s">
        <v>70</v>
      </c>
      <c r="U2888" s="308" t="s">
        <v>166</v>
      </c>
      <c r="V2888" s="312"/>
    </row>
    <row r="2889">
      <c r="A2889" s="308">
        <v>2888.0</v>
      </c>
      <c r="B2889" s="308"/>
      <c r="C2889" s="308" t="s">
        <v>11909</v>
      </c>
      <c r="D2889" s="308">
        <f>IFERROR(__xludf.DUMMYFUNCTION("SPLIT(C2889,""-"")"),2909.0)</f>
        <v>2909</v>
      </c>
      <c r="E2889" s="308" t="str">
        <f>IFERROR(__xludf.DUMMYFUNCTION("""COMPUTED_VALUE"""),"K")</f>
        <v>K</v>
      </c>
      <c r="F2889" s="309" t="s">
        <v>34</v>
      </c>
      <c r="G2889" s="308" t="s">
        <v>11910</v>
      </c>
      <c r="H2889" s="308" t="s">
        <v>11911</v>
      </c>
      <c r="I2889" s="310">
        <v>42151.0</v>
      </c>
      <c r="J2889" s="319">
        <f>IFERROR(__xludf.DUMMYFUNCTION("SPLIT(I2889,""/"")"),27.0)</f>
        <v>27</v>
      </c>
      <c r="K2889" s="308">
        <f>IFERROR(__xludf.DUMMYFUNCTION("""COMPUTED_VALUE"""),5.0)</f>
        <v>5</v>
      </c>
      <c r="L2889" s="308">
        <f>IFERROR(__xludf.DUMMYFUNCTION("""COMPUTED_VALUE"""),2015.0)</f>
        <v>2015</v>
      </c>
      <c r="M2889" s="308" t="s">
        <v>11912</v>
      </c>
      <c r="N2889" s="308"/>
      <c r="O2889" s="308" t="s">
        <v>635</v>
      </c>
      <c r="P2889" s="308" t="s">
        <v>11913</v>
      </c>
      <c r="Q2889" s="308"/>
      <c r="R2889" s="308"/>
      <c r="S2889" s="308" t="s">
        <v>81</v>
      </c>
      <c r="T2889" s="308" t="s">
        <v>75</v>
      </c>
      <c r="U2889" s="308"/>
      <c r="V2889" s="312"/>
    </row>
    <row r="2890">
      <c r="A2890" s="308">
        <v>2889.0</v>
      </c>
      <c r="B2890" s="308"/>
      <c r="C2890" s="308" t="s">
        <v>11914</v>
      </c>
      <c r="D2890" s="308">
        <f>IFERROR(__xludf.DUMMYFUNCTION("SPLIT(C2890,""-"")"),2910.0)</f>
        <v>2910</v>
      </c>
      <c r="E2890" s="308" t="str">
        <f>IFERROR(__xludf.DUMMYFUNCTION("""COMPUTED_VALUE"""),"S")</f>
        <v>S</v>
      </c>
      <c r="F2890" s="312" t="s">
        <v>39</v>
      </c>
      <c r="G2890" s="308" t="s">
        <v>11915</v>
      </c>
      <c r="H2890" s="308" t="s">
        <v>11916</v>
      </c>
      <c r="I2890" s="310">
        <v>41743.0</v>
      </c>
      <c r="J2890" s="319">
        <f>IFERROR(__xludf.DUMMYFUNCTION("SPLIT(I2890,""/"")"),14.0)</f>
        <v>14</v>
      </c>
      <c r="K2890" s="308">
        <f>IFERROR(__xludf.DUMMYFUNCTION("""COMPUTED_VALUE"""),4.0)</f>
        <v>4</v>
      </c>
      <c r="L2890" s="308">
        <f>IFERROR(__xludf.DUMMYFUNCTION("""COMPUTED_VALUE"""),2014.0)</f>
        <v>2014</v>
      </c>
      <c r="M2890" s="308" t="s">
        <v>11917</v>
      </c>
      <c r="N2890" s="308"/>
      <c r="O2890" s="308" t="s">
        <v>635</v>
      </c>
      <c r="P2890" s="308" t="s">
        <v>2675</v>
      </c>
      <c r="Q2890" s="308"/>
      <c r="R2890" s="308"/>
      <c r="S2890" s="308" t="s">
        <v>49</v>
      </c>
      <c r="T2890" s="308" t="s">
        <v>51</v>
      </c>
      <c r="U2890" s="312"/>
      <c r="V2890" s="312"/>
    </row>
    <row r="2891">
      <c r="A2891" s="308">
        <v>2890.0</v>
      </c>
      <c r="B2891" s="308"/>
      <c r="C2891" s="308" t="s">
        <v>11918</v>
      </c>
      <c r="D2891" s="308">
        <f>IFERROR(__xludf.DUMMYFUNCTION("SPLIT(C2891,""-"")"),2911.0)</f>
        <v>2911</v>
      </c>
      <c r="E2891" s="308" t="str">
        <f>IFERROR(__xludf.DUMMYFUNCTION("""COMPUTED_VALUE"""),"S")</f>
        <v>S</v>
      </c>
      <c r="F2891" s="312" t="s">
        <v>39</v>
      </c>
      <c r="G2891" s="308" t="s">
        <v>11919</v>
      </c>
      <c r="H2891" s="308" t="s">
        <v>11920</v>
      </c>
      <c r="I2891" s="310">
        <v>42264.0</v>
      </c>
      <c r="J2891" s="319">
        <f>IFERROR(__xludf.DUMMYFUNCTION("SPLIT(I2891,""/"")"),17.0)</f>
        <v>17</v>
      </c>
      <c r="K2891" s="308">
        <f>IFERROR(__xludf.DUMMYFUNCTION("""COMPUTED_VALUE"""),9.0)</f>
        <v>9</v>
      </c>
      <c r="L2891" s="308">
        <f>IFERROR(__xludf.DUMMYFUNCTION("""COMPUTED_VALUE"""),2015.0)</f>
        <v>2015</v>
      </c>
      <c r="M2891" s="308" t="s">
        <v>11921</v>
      </c>
      <c r="N2891" s="308"/>
      <c r="O2891" s="308" t="s">
        <v>635</v>
      </c>
      <c r="P2891" s="308" t="s">
        <v>9535</v>
      </c>
      <c r="Q2891" s="308"/>
      <c r="R2891" s="308"/>
      <c r="S2891" s="308" t="s">
        <v>81</v>
      </c>
      <c r="T2891" s="308" t="s">
        <v>75</v>
      </c>
      <c r="U2891" s="308" t="s">
        <v>166</v>
      </c>
      <c r="V2891" s="312"/>
    </row>
    <row r="2892">
      <c r="A2892" s="308">
        <v>2891.0</v>
      </c>
      <c r="B2892" s="308"/>
      <c r="C2892" s="308" t="s">
        <v>11922</v>
      </c>
      <c r="D2892" s="308">
        <f>IFERROR(__xludf.DUMMYFUNCTION("SPLIT(C2892,""-"")"),2912.0)</f>
        <v>2912</v>
      </c>
      <c r="E2892" s="308" t="str">
        <f>IFERROR(__xludf.DUMMYFUNCTION("""COMPUTED_VALUE"""),"K")</f>
        <v>K</v>
      </c>
      <c r="F2892" s="309" t="s">
        <v>34</v>
      </c>
      <c r="G2892" s="308" t="s">
        <v>11923</v>
      </c>
      <c r="H2892" s="308" t="s">
        <v>11924</v>
      </c>
      <c r="I2892" s="310">
        <v>41112.0</v>
      </c>
      <c r="J2892" s="319">
        <f>IFERROR(__xludf.DUMMYFUNCTION("SPLIT(I2892,""/"")"),22.0)</f>
        <v>22</v>
      </c>
      <c r="K2892" s="308">
        <f>IFERROR(__xludf.DUMMYFUNCTION("""COMPUTED_VALUE"""),7.0)</f>
        <v>7</v>
      </c>
      <c r="L2892" s="308">
        <f>IFERROR(__xludf.DUMMYFUNCTION("""COMPUTED_VALUE"""),2012.0)</f>
        <v>2012</v>
      </c>
      <c r="M2892" s="308" t="s">
        <v>36796</v>
      </c>
      <c r="N2892" s="308"/>
      <c r="O2892" s="308" t="s">
        <v>635</v>
      </c>
      <c r="P2892" s="308" t="s">
        <v>11926</v>
      </c>
      <c r="Q2892" s="308"/>
      <c r="R2892" s="308"/>
      <c r="S2892" s="308" t="s">
        <v>81</v>
      </c>
      <c r="T2892" s="308" t="s">
        <v>34264</v>
      </c>
      <c r="U2892" s="308" t="s">
        <v>201</v>
      </c>
      <c r="V2892" s="312"/>
    </row>
    <row r="2893">
      <c r="A2893" s="308">
        <v>2892.0</v>
      </c>
      <c r="B2893" s="308"/>
      <c r="C2893" s="308" t="s">
        <v>11927</v>
      </c>
      <c r="D2893" s="308">
        <f>IFERROR(__xludf.DUMMYFUNCTION("SPLIT(C2893,""-"")"),2913.0)</f>
        <v>2913</v>
      </c>
      <c r="E2893" s="308" t="str">
        <f>IFERROR(__xludf.DUMMYFUNCTION("""COMPUTED_VALUE"""),"S")</f>
        <v>S</v>
      </c>
      <c r="F2893" s="312" t="s">
        <v>39</v>
      </c>
      <c r="G2893" s="308"/>
      <c r="H2893" s="308" t="s">
        <v>11928</v>
      </c>
      <c r="I2893" s="310">
        <v>42268.0</v>
      </c>
      <c r="J2893" s="319">
        <f>IFERROR(__xludf.DUMMYFUNCTION("SPLIT(I2893,""/"")"),21.0)</f>
        <v>21</v>
      </c>
      <c r="K2893" s="308">
        <f>IFERROR(__xludf.DUMMYFUNCTION("""COMPUTED_VALUE"""),9.0)</f>
        <v>9</v>
      </c>
      <c r="L2893" s="308">
        <f>IFERROR(__xludf.DUMMYFUNCTION("""COMPUTED_VALUE"""),2015.0)</f>
        <v>2015</v>
      </c>
      <c r="M2893" s="308"/>
      <c r="N2893" s="308"/>
      <c r="O2893" s="308" t="s">
        <v>635</v>
      </c>
      <c r="P2893" s="308" t="s">
        <v>11584</v>
      </c>
      <c r="Q2893" s="308"/>
      <c r="R2893" s="308"/>
      <c r="S2893" s="308" t="s">
        <v>81</v>
      </c>
      <c r="T2893" s="308" t="s">
        <v>73</v>
      </c>
      <c r="U2893" s="308" t="s">
        <v>166</v>
      </c>
      <c r="V2893" s="312"/>
    </row>
    <row r="2894">
      <c r="A2894" s="308">
        <v>2893.0</v>
      </c>
      <c r="B2894" s="308"/>
      <c r="C2894" s="308" t="s">
        <v>11929</v>
      </c>
      <c r="D2894" s="308">
        <f>IFERROR(__xludf.DUMMYFUNCTION("SPLIT(C2894,""-"")"),2914.0)</f>
        <v>2914</v>
      </c>
      <c r="E2894" s="308" t="str">
        <f>IFERROR(__xludf.DUMMYFUNCTION("""COMPUTED_VALUE"""),"S")</f>
        <v>S</v>
      </c>
      <c r="F2894" s="312" t="s">
        <v>39</v>
      </c>
      <c r="G2894" s="308"/>
      <c r="H2894" s="308" t="s">
        <v>11930</v>
      </c>
      <c r="I2894" s="310">
        <v>42268.0</v>
      </c>
      <c r="J2894" s="319">
        <f>IFERROR(__xludf.DUMMYFUNCTION("SPLIT(I2894,""/"")"),21.0)</f>
        <v>21</v>
      </c>
      <c r="K2894" s="308">
        <f>IFERROR(__xludf.DUMMYFUNCTION("""COMPUTED_VALUE"""),9.0)</f>
        <v>9</v>
      </c>
      <c r="L2894" s="308">
        <f>IFERROR(__xludf.DUMMYFUNCTION("""COMPUTED_VALUE"""),2015.0)</f>
        <v>2015</v>
      </c>
      <c r="M2894" s="308" t="s">
        <v>11931</v>
      </c>
      <c r="N2894" s="308"/>
      <c r="O2894" s="308" t="s">
        <v>36797</v>
      </c>
      <c r="P2894" s="308" t="s">
        <v>36798</v>
      </c>
      <c r="Q2894" s="308"/>
      <c r="R2894" s="308"/>
      <c r="S2894" s="308" t="s">
        <v>81</v>
      </c>
      <c r="T2894" s="308" t="s">
        <v>75</v>
      </c>
      <c r="U2894" s="308" t="s">
        <v>166</v>
      </c>
      <c r="V2894" s="312"/>
    </row>
    <row r="2895">
      <c r="A2895" s="308">
        <v>2894.0</v>
      </c>
      <c r="B2895" s="308"/>
      <c r="C2895" s="308" t="s">
        <v>11934</v>
      </c>
      <c r="D2895" s="308">
        <f>IFERROR(__xludf.DUMMYFUNCTION("SPLIT(C2895,""-"")"),2915.0)</f>
        <v>2915</v>
      </c>
      <c r="E2895" s="308" t="str">
        <f>IFERROR(__xludf.DUMMYFUNCTION("""COMPUTED_VALUE"""),"S")</f>
        <v>S</v>
      </c>
      <c r="F2895" s="312" t="s">
        <v>39</v>
      </c>
      <c r="G2895" s="308"/>
      <c r="H2895" s="308" t="s">
        <v>11935</v>
      </c>
      <c r="I2895" s="310">
        <v>42268.0</v>
      </c>
      <c r="J2895" s="319">
        <f>IFERROR(__xludf.DUMMYFUNCTION("SPLIT(I2895,""/"")"),21.0)</f>
        <v>21</v>
      </c>
      <c r="K2895" s="308">
        <f>IFERROR(__xludf.DUMMYFUNCTION("""COMPUTED_VALUE"""),9.0)</f>
        <v>9</v>
      </c>
      <c r="L2895" s="308">
        <f>IFERROR(__xludf.DUMMYFUNCTION("""COMPUTED_VALUE"""),2015.0)</f>
        <v>2015</v>
      </c>
      <c r="M2895" s="308" t="s">
        <v>11936</v>
      </c>
      <c r="N2895" s="308"/>
      <c r="O2895" s="308" t="s">
        <v>635</v>
      </c>
      <c r="P2895" s="308" t="s">
        <v>9535</v>
      </c>
      <c r="Q2895" s="308"/>
      <c r="R2895" s="308"/>
      <c r="S2895" s="308" t="s">
        <v>81</v>
      </c>
      <c r="T2895" s="308" t="s">
        <v>75</v>
      </c>
      <c r="U2895" s="308" t="s">
        <v>166</v>
      </c>
      <c r="V2895" s="312"/>
    </row>
    <row r="2896">
      <c r="A2896" s="308">
        <v>2895.0</v>
      </c>
      <c r="B2896" s="308"/>
      <c r="C2896" s="308" t="s">
        <v>11937</v>
      </c>
      <c r="D2896" s="308">
        <f>IFERROR(__xludf.DUMMYFUNCTION("SPLIT(C2896,""-"")"),2916.0)</f>
        <v>2916</v>
      </c>
      <c r="E2896" s="308" t="str">
        <f>IFERROR(__xludf.DUMMYFUNCTION("""COMPUTED_VALUE"""),"S")</f>
        <v>S</v>
      </c>
      <c r="F2896" s="312" t="s">
        <v>39</v>
      </c>
      <c r="G2896" s="308"/>
      <c r="H2896" s="308" t="s">
        <v>11938</v>
      </c>
      <c r="I2896" s="310">
        <v>42270.0</v>
      </c>
      <c r="J2896" s="319">
        <f>IFERROR(__xludf.DUMMYFUNCTION("SPLIT(I2896,""/"")"),23.0)</f>
        <v>23</v>
      </c>
      <c r="K2896" s="308">
        <f>IFERROR(__xludf.DUMMYFUNCTION("""COMPUTED_VALUE"""),9.0)</f>
        <v>9</v>
      </c>
      <c r="L2896" s="308">
        <f>IFERROR(__xludf.DUMMYFUNCTION("""COMPUTED_VALUE"""),2015.0)</f>
        <v>2015</v>
      </c>
      <c r="M2896" s="308" t="s">
        <v>11939</v>
      </c>
      <c r="N2896" s="308"/>
      <c r="O2896" s="308" t="s">
        <v>635</v>
      </c>
      <c r="P2896" s="308" t="s">
        <v>11584</v>
      </c>
      <c r="Q2896" s="308"/>
      <c r="R2896" s="308"/>
      <c r="S2896" s="308" t="s">
        <v>81</v>
      </c>
      <c r="T2896" s="308" t="s">
        <v>73</v>
      </c>
      <c r="U2896" s="308" t="s">
        <v>166</v>
      </c>
      <c r="V2896" s="312"/>
    </row>
    <row r="2897">
      <c r="A2897" s="308">
        <v>2896.0</v>
      </c>
      <c r="B2897" s="308"/>
      <c r="C2897" s="308" t="s">
        <v>11940</v>
      </c>
      <c r="D2897" s="308">
        <f>IFERROR(__xludf.DUMMYFUNCTION("SPLIT(C2897,""-"")"),2917.0)</f>
        <v>2917</v>
      </c>
      <c r="E2897" s="308" t="str">
        <f>IFERROR(__xludf.DUMMYFUNCTION("""COMPUTED_VALUE"""),"S")</f>
        <v>S</v>
      </c>
      <c r="F2897" s="312" t="s">
        <v>39</v>
      </c>
      <c r="G2897" s="308"/>
      <c r="H2897" s="308" t="s">
        <v>11941</v>
      </c>
      <c r="I2897" s="310">
        <v>42279.0</v>
      </c>
      <c r="J2897" s="319">
        <f>IFERROR(__xludf.DUMMYFUNCTION("SPLIT(I2897,""/"")"),2.0)</f>
        <v>2</v>
      </c>
      <c r="K2897" s="308">
        <f>IFERROR(__xludf.DUMMYFUNCTION("""COMPUTED_VALUE"""),10.0)</f>
        <v>10</v>
      </c>
      <c r="L2897" s="308">
        <f>IFERROR(__xludf.DUMMYFUNCTION("""COMPUTED_VALUE"""),2015.0)</f>
        <v>2015</v>
      </c>
      <c r="M2897" s="308" t="s">
        <v>11942</v>
      </c>
      <c r="N2897" s="308"/>
      <c r="O2897" s="308" t="s">
        <v>635</v>
      </c>
      <c r="P2897" s="308" t="s">
        <v>9535</v>
      </c>
      <c r="Q2897" s="308"/>
      <c r="R2897" s="308"/>
      <c r="S2897" s="308" t="s">
        <v>81</v>
      </c>
      <c r="T2897" s="308" t="s">
        <v>75</v>
      </c>
      <c r="U2897" s="308" t="s">
        <v>166</v>
      </c>
      <c r="V2897" s="312"/>
    </row>
    <row r="2898">
      <c r="A2898" s="308">
        <v>2897.0</v>
      </c>
      <c r="B2898" s="308"/>
      <c r="C2898" s="308" t="s">
        <v>11943</v>
      </c>
      <c r="D2898" s="308">
        <f>IFERROR(__xludf.DUMMYFUNCTION("SPLIT(C2898,""-"")"),2918.0)</f>
        <v>2918</v>
      </c>
      <c r="E2898" s="308" t="str">
        <f>IFERROR(__xludf.DUMMYFUNCTION("""COMPUTED_VALUE"""),"S")</f>
        <v>S</v>
      </c>
      <c r="F2898" s="312" t="s">
        <v>39</v>
      </c>
      <c r="G2898" s="308"/>
      <c r="H2898" s="308" t="s">
        <v>11944</v>
      </c>
      <c r="I2898" s="310">
        <v>42279.0</v>
      </c>
      <c r="J2898" s="319">
        <f>IFERROR(__xludf.DUMMYFUNCTION("SPLIT(I2898,""/"")"),2.0)</f>
        <v>2</v>
      </c>
      <c r="K2898" s="308">
        <f>IFERROR(__xludf.DUMMYFUNCTION("""COMPUTED_VALUE"""),10.0)</f>
        <v>10</v>
      </c>
      <c r="L2898" s="308">
        <f>IFERROR(__xludf.DUMMYFUNCTION("""COMPUTED_VALUE"""),2015.0)</f>
        <v>2015</v>
      </c>
      <c r="M2898" s="308" t="s">
        <v>11945</v>
      </c>
      <c r="N2898" s="308"/>
      <c r="O2898" s="308" t="s">
        <v>635</v>
      </c>
      <c r="P2898" s="308" t="s">
        <v>11235</v>
      </c>
      <c r="Q2898" s="308"/>
      <c r="R2898" s="308"/>
      <c r="S2898" s="308" t="s">
        <v>81</v>
      </c>
      <c r="T2898" s="311" t="s">
        <v>94</v>
      </c>
      <c r="U2898" s="308" t="s">
        <v>166</v>
      </c>
      <c r="V2898" s="312"/>
    </row>
    <row r="2899">
      <c r="A2899" s="308">
        <v>2898.0</v>
      </c>
      <c r="B2899" s="308"/>
      <c r="C2899" s="308" t="s">
        <v>11946</v>
      </c>
      <c r="D2899" s="308">
        <f>IFERROR(__xludf.DUMMYFUNCTION("SPLIT(C2899,""-"")"),2919.0)</f>
        <v>2919</v>
      </c>
      <c r="E2899" s="308" t="str">
        <f>IFERROR(__xludf.DUMMYFUNCTION("""COMPUTED_VALUE"""),"S")</f>
        <v>S</v>
      </c>
      <c r="F2899" s="312" t="s">
        <v>39</v>
      </c>
      <c r="G2899" s="308"/>
      <c r="H2899" s="308" t="s">
        <v>11947</v>
      </c>
      <c r="I2899" s="310">
        <v>42282.0</v>
      </c>
      <c r="J2899" s="319">
        <f>IFERROR(__xludf.DUMMYFUNCTION("SPLIT(I2899,""/"")"),5.0)</f>
        <v>5</v>
      </c>
      <c r="K2899" s="308">
        <f>IFERROR(__xludf.DUMMYFUNCTION("""COMPUTED_VALUE"""),10.0)</f>
        <v>10</v>
      </c>
      <c r="L2899" s="308">
        <f>IFERROR(__xludf.DUMMYFUNCTION("""COMPUTED_VALUE"""),2015.0)</f>
        <v>2015</v>
      </c>
      <c r="M2899" s="308" t="s">
        <v>11948</v>
      </c>
      <c r="N2899" s="308"/>
      <c r="O2899" s="308" t="s">
        <v>635</v>
      </c>
      <c r="P2899" s="308" t="s">
        <v>9535</v>
      </c>
      <c r="Q2899" s="308"/>
      <c r="R2899" s="308"/>
      <c r="S2899" s="308" t="s">
        <v>81</v>
      </c>
      <c r="T2899" s="308" t="s">
        <v>75</v>
      </c>
      <c r="U2899" s="308" t="s">
        <v>166</v>
      </c>
      <c r="V2899" s="312"/>
    </row>
    <row r="2900">
      <c r="A2900" s="308">
        <v>2899.0</v>
      </c>
      <c r="B2900" s="308"/>
      <c r="C2900" s="308" t="s">
        <v>11949</v>
      </c>
      <c r="D2900" s="308">
        <f>IFERROR(__xludf.DUMMYFUNCTION("SPLIT(C2900,""-"")"),2920.0)</f>
        <v>2920</v>
      </c>
      <c r="E2900" s="308" t="str">
        <f>IFERROR(__xludf.DUMMYFUNCTION("""COMPUTED_VALUE"""),"S")</f>
        <v>S</v>
      </c>
      <c r="F2900" s="312" t="s">
        <v>39</v>
      </c>
      <c r="G2900" s="308"/>
      <c r="H2900" s="308" t="s">
        <v>11950</v>
      </c>
      <c r="I2900" s="310">
        <v>42282.0</v>
      </c>
      <c r="J2900" s="319">
        <f>IFERROR(__xludf.DUMMYFUNCTION("SPLIT(I2900,""/"")"),5.0)</f>
        <v>5</v>
      </c>
      <c r="K2900" s="308">
        <f>IFERROR(__xludf.DUMMYFUNCTION("""COMPUTED_VALUE"""),10.0)</f>
        <v>10</v>
      </c>
      <c r="L2900" s="308">
        <f>IFERROR(__xludf.DUMMYFUNCTION("""COMPUTED_VALUE"""),2015.0)</f>
        <v>2015</v>
      </c>
      <c r="M2900" s="308" t="s">
        <v>11951</v>
      </c>
      <c r="N2900" s="308"/>
      <c r="O2900" s="308" t="s">
        <v>635</v>
      </c>
      <c r="P2900" s="308" t="s">
        <v>9535</v>
      </c>
      <c r="Q2900" s="308"/>
      <c r="R2900" s="308"/>
      <c r="S2900" s="308" t="s">
        <v>81</v>
      </c>
      <c r="T2900" s="308" t="s">
        <v>75</v>
      </c>
      <c r="U2900" s="308" t="s">
        <v>166</v>
      </c>
      <c r="V2900" s="312"/>
    </row>
    <row r="2901">
      <c r="A2901" s="308">
        <v>2900.0</v>
      </c>
      <c r="B2901" s="308"/>
      <c r="C2901" s="308" t="s">
        <v>11952</v>
      </c>
      <c r="D2901" s="308">
        <f>IFERROR(__xludf.DUMMYFUNCTION("SPLIT(C2901,""-"")"),2921.0)</f>
        <v>2921</v>
      </c>
      <c r="E2901" s="308" t="str">
        <f>IFERROR(__xludf.DUMMYFUNCTION("""COMPUTED_VALUE"""),"S")</f>
        <v>S</v>
      </c>
      <c r="F2901" s="312" t="s">
        <v>39</v>
      </c>
      <c r="G2901" s="308"/>
      <c r="H2901" s="308" t="s">
        <v>11953</v>
      </c>
      <c r="I2901" s="310">
        <v>42284.0</v>
      </c>
      <c r="J2901" s="319">
        <f>IFERROR(__xludf.DUMMYFUNCTION("SPLIT(I2901,""/"")"),7.0)</f>
        <v>7</v>
      </c>
      <c r="K2901" s="308">
        <f>IFERROR(__xludf.DUMMYFUNCTION("""COMPUTED_VALUE"""),10.0)</f>
        <v>10</v>
      </c>
      <c r="L2901" s="308">
        <f>IFERROR(__xludf.DUMMYFUNCTION("""COMPUTED_VALUE"""),2015.0)</f>
        <v>2015</v>
      </c>
      <c r="M2901" s="308" t="s">
        <v>11954</v>
      </c>
      <c r="N2901" s="308"/>
      <c r="O2901" s="308" t="s">
        <v>635</v>
      </c>
      <c r="P2901" s="308" t="s">
        <v>9535</v>
      </c>
      <c r="Q2901" s="308"/>
      <c r="R2901" s="308"/>
      <c r="S2901" s="308" t="s">
        <v>81</v>
      </c>
      <c r="T2901" s="308" t="s">
        <v>75</v>
      </c>
      <c r="U2901" s="308" t="s">
        <v>166</v>
      </c>
      <c r="V2901" s="312"/>
    </row>
    <row r="2902">
      <c r="A2902" s="308">
        <v>2901.0</v>
      </c>
      <c r="B2902" s="308"/>
      <c r="C2902" s="308" t="s">
        <v>11955</v>
      </c>
      <c r="D2902" s="308">
        <f>IFERROR(__xludf.DUMMYFUNCTION("SPLIT(C2902,""-"")"),2922.0)</f>
        <v>2922</v>
      </c>
      <c r="E2902" s="308" t="str">
        <f>IFERROR(__xludf.DUMMYFUNCTION("""COMPUTED_VALUE"""),"S")</f>
        <v>S</v>
      </c>
      <c r="F2902" s="312" t="s">
        <v>39</v>
      </c>
      <c r="G2902" s="308"/>
      <c r="H2902" s="308" t="s">
        <v>11956</v>
      </c>
      <c r="I2902" s="310">
        <v>42285.0</v>
      </c>
      <c r="J2902" s="319">
        <f>IFERROR(__xludf.DUMMYFUNCTION("SPLIT(I2902,""/"")"),8.0)</f>
        <v>8</v>
      </c>
      <c r="K2902" s="308">
        <f>IFERROR(__xludf.DUMMYFUNCTION("""COMPUTED_VALUE"""),10.0)</f>
        <v>10</v>
      </c>
      <c r="L2902" s="308">
        <f>IFERROR(__xludf.DUMMYFUNCTION("""COMPUTED_VALUE"""),2015.0)</f>
        <v>2015</v>
      </c>
      <c r="M2902" s="308" t="s">
        <v>11957</v>
      </c>
      <c r="N2902" s="308"/>
      <c r="O2902" s="308" t="s">
        <v>635</v>
      </c>
      <c r="P2902" s="308" t="s">
        <v>11802</v>
      </c>
      <c r="Q2902" s="308"/>
      <c r="R2902" s="308"/>
      <c r="S2902" s="308" t="s">
        <v>81</v>
      </c>
      <c r="T2902" s="311" t="s">
        <v>94</v>
      </c>
      <c r="U2902" s="308" t="s">
        <v>166</v>
      </c>
      <c r="V2902" s="312"/>
    </row>
    <row r="2903">
      <c r="A2903" s="308">
        <v>2902.0</v>
      </c>
      <c r="B2903" s="308"/>
      <c r="C2903" s="308" t="s">
        <v>11958</v>
      </c>
      <c r="D2903" s="308">
        <f>IFERROR(__xludf.DUMMYFUNCTION("SPLIT(C2903,""-"")"),2923.0)</f>
        <v>2923</v>
      </c>
      <c r="E2903" s="308" t="str">
        <f>IFERROR(__xludf.DUMMYFUNCTION("""COMPUTED_VALUE"""),"S")</f>
        <v>S</v>
      </c>
      <c r="F2903" s="312" t="s">
        <v>39</v>
      </c>
      <c r="G2903" s="308"/>
      <c r="H2903" s="308" t="s">
        <v>11959</v>
      </c>
      <c r="I2903" s="310">
        <v>42286.0</v>
      </c>
      <c r="J2903" s="319">
        <f>IFERROR(__xludf.DUMMYFUNCTION("SPLIT(I2903,""/"")"),9.0)</f>
        <v>9</v>
      </c>
      <c r="K2903" s="308">
        <f>IFERROR(__xludf.DUMMYFUNCTION("""COMPUTED_VALUE"""),10.0)</f>
        <v>10</v>
      </c>
      <c r="L2903" s="308">
        <f>IFERROR(__xludf.DUMMYFUNCTION("""COMPUTED_VALUE"""),2015.0)</f>
        <v>2015</v>
      </c>
      <c r="M2903" s="308" t="s">
        <v>11960</v>
      </c>
      <c r="N2903" s="308"/>
      <c r="O2903" s="308" t="s">
        <v>635</v>
      </c>
      <c r="P2903" s="308" t="s">
        <v>9535</v>
      </c>
      <c r="Q2903" s="308"/>
      <c r="R2903" s="308"/>
      <c r="S2903" s="308" t="s">
        <v>81</v>
      </c>
      <c r="T2903" s="308" t="s">
        <v>75</v>
      </c>
      <c r="U2903" s="308" t="s">
        <v>166</v>
      </c>
      <c r="V2903" s="312"/>
    </row>
    <row r="2904">
      <c r="A2904" s="308">
        <v>2903.0</v>
      </c>
      <c r="B2904" s="308"/>
      <c r="C2904" s="308" t="s">
        <v>11961</v>
      </c>
      <c r="D2904" s="308">
        <f>IFERROR(__xludf.DUMMYFUNCTION("SPLIT(C2904,""-"")"),2924.0)</f>
        <v>2924</v>
      </c>
      <c r="E2904" s="308" t="str">
        <f>IFERROR(__xludf.DUMMYFUNCTION("""COMPUTED_VALUE"""),"S")</f>
        <v>S</v>
      </c>
      <c r="F2904" s="312" t="s">
        <v>39</v>
      </c>
      <c r="G2904" s="308"/>
      <c r="H2904" s="308" t="s">
        <v>11962</v>
      </c>
      <c r="I2904" s="314">
        <v>42288.0</v>
      </c>
      <c r="J2904" s="319">
        <f>IFERROR(__xludf.DUMMYFUNCTION("SPLIT(I2904,""/"")"),11.0)</f>
        <v>11</v>
      </c>
      <c r="K2904" s="308">
        <f>IFERROR(__xludf.DUMMYFUNCTION("""COMPUTED_VALUE"""),10.0)</f>
        <v>10</v>
      </c>
      <c r="L2904" s="308">
        <f>IFERROR(__xludf.DUMMYFUNCTION("""COMPUTED_VALUE"""),2015.0)</f>
        <v>2015</v>
      </c>
      <c r="M2904" s="308" t="s">
        <v>36799</v>
      </c>
      <c r="N2904" s="308"/>
      <c r="O2904" s="308" t="s">
        <v>11964</v>
      </c>
      <c r="P2904" s="308" t="s">
        <v>9535</v>
      </c>
      <c r="Q2904" s="308"/>
      <c r="R2904" s="308"/>
      <c r="S2904" s="308" t="s">
        <v>81</v>
      </c>
      <c r="T2904" s="308" t="s">
        <v>75</v>
      </c>
      <c r="U2904" s="308" t="s">
        <v>166</v>
      </c>
      <c r="V2904" s="312"/>
    </row>
    <row r="2905">
      <c r="A2905" s="308">
        <v>2904.0</v>
      </c>
      <c r="B2905" s="308"/>
      <c r="C2905" s="308" t="s">
        <v>11965</v>
      </c>
      <c r="D2905" s="308">
        <f>IFERROR(__xludf.DUMMYFUNCTION("SPLIT(C2905,""-"")"),2925.0)</f>
        <v>2925</v>
      </c>
      <c r="E2905" s="308" t="str">
        <f>IFERROR(__xludf.DUMMYFUNCTION("""COMPUTED_VALUE"""),"S")</f>
        <v>S</v>
      </c>
      <c r="F2905" s="312" t="s">
        <v>39</v>
      </c>
      <c r="G2905" s="308"/>
      <c r="H2905" s="308" t="s">
        <v>11966</v>
      </c>
      <c r="I2905" s="314">
        <v>42288.0</v>
      </c>
      <c r="J2905" s="319">
        <f>IFERROR(__xludf.DUMMYFUNCTION("SPLIT(I2905,""/"")"),11.0)</f>
        <v>11</v>
      </c>
      <c r="K2905" s="308">
        <f>IFERROR(__xludf.DUMMYFUNCTION("""COMPUTED_VALUE"""),10.0)</f>
        <v>10</v>
      </c>
      <c r="L2905" s="308">
        <f>IFERROR(__xludf.DUMMYFUNCTION("""COMPUTED_VALUE"""),2015.0)</f>
        <v>2015</v>
      </c>
      <c r="M2905" s="308" t="s">
        <v>11967</v>
      </c>
      <c r="N2905" s="308"/>
      <c r="O2905" s="308" t="s">
        <v>635</v>
      </c>
      <c r="P2905" s="308" t="s">
        <v>11584</v>
      </c>
      <c r="Q2905" s="308"/>
      <c r="R2905" s="308"/>
      <c r="S2905" s="308" t="s">
        <v>81</v>
      </c>
      <c r="T2905" s="308" t="s">
        <v>73</v>
      </c>
      <c r="U2905" s="308" t="s">
        <v>166</v>
      </c>
      <c r="V2905" s="312"/>
    </row>
    <row r="2906">
      <c r="A2906" s="308">
        <v>2905.0</v>
      </c>
      <c r="B2906" s="308"/>
      <c r="C2906" s="308" t="s">
        <v>11968</v>
      </c>
      <c r="D2906" s="308">
        <f>IFERROR(__xludf.DUMMYFUNCTION("SPLIT(C2906,""-"")"),2926.0)</f>
        <v>2926</v>
      </c>
      <c r="E2906" s="308" t="str">
        <f>IFERROR(__xludf.DUMMYFUNCTION("""COMPUTED_VALUE"""),"S")</f>
        <v>S</v>
      </c>
      <c r="F2906" s="312" t="s">
        <v>39</v>
      </c>
      <c r="G2906" s="308"/>
      <c r="H2906" s="308" t="s">
        <v>11969</v>
      </c>
      <c r="I2906" s="314">
        <v>42289.0</v>
      </c>
      <c r="J2906" s="319">
        <f>IFERROR(__xludf.DUMMYFUNCTION("SPLIT(I2906,""/"")"),12.0)</f>
        <v>12</v>
      </c>
      <c r="K2906" s="308">
        <f>IFERROR(__xludf.DUMMYFUNCTION("""COMPUTED_VALUE"""),10.0)</f>
        <v>10</v>
      </c>
      <c r="L2906" s="308">
        <f>IFERROR(__xludf.DUMMYFUNCTION("""COMPUTED_VALUE"""),2015.0)</f>
        <v>2015</v>
      </c>
      <c r="M2906" s="308" t="s">
        <v>11970</v>
      </c>
      <c r="N2906" s="308"/>
      <c r="O2906" s="308" t="s">
        <v>11971</v>
      </c>
      <c r="P2906" s="308" t="s">
        <v>36800</v>
      </c>
      <c r="Q2906" s="308"/>
      <c r="R2906" s="308"/>
      <c r="S2906" s="308" t="s">
        <v>81</v>
      </c>
      <c r="T2906" s="308" t="s">
        <v>75</v>
      </c>
      <c r="U2906" s="308" t="s">
        <v>166</v>
      </c>
      <c r="V2906" s="312"/>
    </row>
    <row r="2907">
      <c r="A2907" s="308">
        <v>2906.0</v>
      </c>
      <c r="B2907" s="308"/>
      <c r="C2907" s="308" t="s">
        <v>11973</v>
      </c>
      <c r="D2907" s="308">
        <f>IFERROR(__xludf.DUMMYFUNCTION("SPLIT(C2907,""-"")"),2927.0)</f>
        <v>2927</v>
      </c>
      <c r="E2907" s="308" t="str">
        <f>IFERROR(__xludf.DUMMYFUNCTION("""COMPUTED_VALUE"""),"S")</f>
        <v>S</v>
      </c>
      <c r="F2907" s="312" t="s">
        <v>39</v>
      </c>
      <c r="G2907" s="308"/>
      <c r="H2907" s="308" t="s">
        <v>11974</v>
      </c>
      <c r="I2907" s="314">
        <v>42289.0</v>
      </c>
      <c r="J2907" s="319">
        <f>IFERROR(__xludf.DUMMYFUNCTION("SPLIT(I2907,""/"")"),12.0)</f>
        <v>12</v>
      </c>
      <c r="K2907" s="308">
        <f>IFERROR(__xludf.DUMMYFUNCTION("""COMPUTED_VALUE"""),10.0)</f>
        <v>10</v>
      </c>
      <c r="L2907" s="308">
        <f>IFERROR(__xludf.DUMMYFUNCTION("""COMPUTED_VALUE"""),2015.0)</f>
        <v>2015</v>
      </c>
      <c r="M2907" s="308" t="s">
        <v>11975</v>
      </c>
      <c r="N2907" s="308"/>
      <c r="O2907" s="308"/>
      <c r="P2907" s="308" t="s">
        <v>9535</v>
      </c>
      <c r="Q2907" s="308"/>
      <c r="R2907" s="308"/>
      <c r="S2907" s="308" t="s">
        <v>81</v>
      </c>
      <c r="T2907" s="308" t="s">
        <v>75</v>
      </c>
      <c r="U2907" s="308" t="s">
        <v>166</v>
      </c>
      <c r="V2907" s="312"/>
    </row>
    <row r="2908">
      <c r="A2908" s="308">
        <v>2907.0</v>
      </c>
      <c r="B2908" s="308"/>
      <c r="C2908" s="308" t="s">
        <v>11976</v>
      </c>
      <c r="D2908" s="308">
        <f>IFERROR(__xludf.DUMMYFUNCTION("SPLIT(C2908,""-"")"),2928.0)</f>
        <v>2928</v>
      </c>
      <c r="E2908" s="308" t="str">
        <f>IFERROR(__xludf.DUMMYFUNCTION("""COMPUTED_VALUE"""),"S")</f>
        <v>S</v>
      </c>
      <c r="F2908" s="312" t="s">
        <v>39</v>
      </c>
      <c r="G2908" s="308"/>
      <c r="H2908" s="308" t="s">
        <v>11977</v>
      </c>
      <c r="I2908" s="314">
        <v>42290.0</v>
      </c>
      <c r="J2908" s="319">
        <f>IFERROR(__xludf.DUMMYFUNCTION("SPLIT(I2908,""/"")"),13.0)</f>
        <v>13</v>
      </c>
      <c r="K2908" s="308">
        <f>IFERROR(__xludf.DUMMYFUNCTION("""COMPUTED_VALUE"""),10.0)</f>
        <v>10</v>
      </c>
      <c r="L2908" s="308">
        <f>IFERROR(__xludf.DUMMYFUNCTION("""COMPUTED_VALUE"""),2015.0)</f>
        <v>2015</v>
      </c>
      <c r="M2908" s="308" t="s">
        <v>11978</v>
      </c>
      <c r="N2908" s="308"/>
      <c r="O2908" s="308"/>
      <c r="P2908" s="308" t="s">
        <v>9535</v>
      </c>
      <c r="Q2908" s="308"/>
      <c r="R2908" s="308"/>
      <c r="S2908" s="308" t="s">
        <v>81</v>
      </c>
      <c r="T2908" s="308" t="s">
        <v>75</v>
      </c>
      <c r="U2908" s="308" t="s">
        <v>166</v>
      </c>
      <c r="V2908" s="312"/>
    </row>
    <row r="2909">
      <c r="A2909" s="308">
        <v>2908.0</v>
      </c>
      <c r="B2909" s="308"/>
      <c r="C2909" s="308" t="s">
        <v>11979</v>
      </c>
      <c r="D2909" s="308">
        <f>IFERROR(__xludf.DUMMYFUNCTION("SPLIT(C2909,""-"")"),2929.0)</f>
        <v>2929</v>
      </c>
      <c r="E2909" s="308" t="str">
        <f>IFERROR(__xludf.DUMMYFUNCTION("""COMPUTED_VALUE"""),"S")</f>
        <v>S</v>
      </c>
      <c r="F2909" s="312" t="s">
        <v>39</v>
      </c>
      <c r="G2909" s="308"/>
      <c r="H2909" s="308" t="s">
        <v>11980</v>
      </c>
      <c r="I2909" s="314">
        <v>42290.0</v>
      </c>
      <c r="J2909" s="319">
        <f>IFERROR(__xludf.DUMMYFUNCTION("SPLIT(I2909,""/"")"),13.0)</f>
        <v>13</v>
      </c>
      <c r="K2909" s="308">
        <f>IFERROR(__xludf.DUMMYFUNCTION("""COMPUTED_VALUE"""),10.0)</f>
        <v>10</v>
      </c>
      <c r="L2909" s="308">
        <f>IFERROR(__xludf.DUMMYFUNCTION("""COMPUTED_VALUE"""),2015.0)</f>
        <v>2015</v>
      </c>
      <c r="M2909" s="308" t="s">
        <v>11981</v>
      </c>
      <c r="N2909" s="308"/>
      <c r="O2909" s="308" t="s">
        <v>635</v>
      </c>
      <c r="P2909" s="308" t="s">
        <v>36801</v>
      </c>
      <c r="Q2909" s="308"/>
      <c r="R2909" s="308"/>
      <c r="S2909" s="308" t="s">
        <v>81</v>
      </c>
      <c r="T2909" s="308" t="s">
        <v>75</v>
      </c>
      <c r="U2909" s="312"/>
      <c r="V2909" s="312"/>
    </row>
    <row r="2910">
      <c r="A2910" s="308">
        <v>2909.0</v>
      </c>
      <c r="B2910" s="308"/>
      <c r="C2910" s="308" t="s">
        <v>11983</v>
      </c>
      <c r="D2910" s="308">
        <f>IFERROR(__xludf.DUMMYFUNCTION("SPLIT(C2910,""-"")"),2930.0)</f>
        <v>2930</v>
      </c>
      <c r="E2910" s="308" t="str">
        <f>IFERROR(__xludf.DUMMYFUNCTION("""COMPUTED_VALUE"""),"S")</f>
        <v>S</v>
      </c>
      <c r="F2910" s="312" t="s">
        <v>39</v>
      </c>
      <c r="G2910" s="308"/>
      <c r="H2910" s="308" t="s">
        <v>11984</v>
      </c>
      <c r="I2910" s="314">
        <v>42291.0</v>
      </c>
      <c r="J2910" s="319">
        <f>IFERROR(__xludf.DUMMYFUNCTION("SPLIT(I2910,""/"")"),14.0)</f>
        <v>14</v>
      </c>
      <c r="K2910" s="308">
        <f>IFERROR(__xludf.DUMMYFUNCTION("""COMPUTED_VALUE"""),10.0)</f>
        <v>10</v>
      </c>
      <c r="L2910" s="308">
        <f>IFERROR(__xludf.DUMMYFUNCTION("""COMPUTED_VALUE"""),2015.0)</f>
        <v>2015</v>
      </c>
      <c r="M2910" s="308" t="s">
        <v>11985</v>
      </c>
      <c r="N2910" s="308"/>
      <c r="O2910" s="308"/>
      <c r="P2910" s="308" t="s">
        <v>36802</v>
      </c>
      <c r="Q2910" s="308"/>
      <c r="R2910" s="308"/>
      <c r="S2910" s="308" t="s">
        <v>81</v>
      </c>
      <c r="T2910" s="308" t="s">
        <v>75</v>
      </c>
      <c r="U2910" s="312"/>
      <c r="V2910" s="312"/>
    </row>
    <row r="2911">
      <c r="A2911" s="308">
        <v>2910.0</v>
      </c>
      <c r="B2911" s="308"/>
      <c r="C2911" s="308" t="s">
        <v>11987</v>
      </c>
      <c r="D2911" s="308">
        <f>IFERROR(__xludf.DUMMYFUNCTION("SPLIT(C2911,""-"")"),2931.0)</f>
        <v>2931</v>
      </c>
      <c r="E2911" s="308" t="str">
        <f>IFERROR(__xludf.DUMMYFUNCTION("""COMPUTED_VALUE"""),"K")</f>
        <v>K</v>
      </c>
      <c r="F2911" s="309" t="s">
        <v>34</v>
      </c>
      <c r="G2911" s="308"/>
      <c r="H2911" s="308" t="s">
        <v>11988</v>
      </c>
      <c r="I2911" s="314">
        <v>42323.0</v>
      </c>
      <c r="J2911" s="319">
        <f>IFERROR(__xludf.DUMMYFUNCTION("SPLIT(I2911,""/"")"),15.0)</f>
        <v>15</v>
      </c>
      <c r="K2911" s="308">
        <f>IFERROR(__xludf.DUMMYFUNCTION("""COMPUTED_VALUE"""),11.0)</f>
        <v>11</v>
      </c>
      <c r="L2911" s="308">
        <f>IFERROR(__xludf.DUMMYFUNCTION("""COMPUTED_VALUE"""),2015.0)</f>
        <v>2015</v>
      </c>
      <c r="M2911" s="308" t="s">
        <v>11989</v>
      </c>
      <c r="N2911" s="308"/>
      <c r="O2911" s="308" t="s">
        <v>11990</v>
      </c>
      <c r="P2911" s="308" t="s">
        <v>11991</v>
      </c>
      <c r="Q2911" s="308"/>
      <c r="R2911" s="308"/>
      <c r="S2911" s="315" t="s">
        <v>100</v>
      </c>
      <c r="T2911" s="311" t="s">
        <v>34208</v>
      </c>
      <c r="U2911" s="308" t="s">
        <v>1509</v>
      </c>
      <c r="V2911" s="312"/>
    </row>
    <row r="2912">
      <c r="A2912" s="308">
        <v>2911.0</v>
      </c>
      <c r="B2912" s="308"/>
      <c r="C2912" s="308" t="s">
        <v>11992</v>
      </c>
      <c r="D2912" s="308">
        <f>IFERROR(__xludf.DUMMYFUNCTION("SPLIT(C2912,""-"")"),2932.0)</f>
        <v>2932</v>
      </c>
      <c r="E2912" s="308" t="str">
        <f>IFERROR(__xludf.DUMMYFUNCTION("""COMPUTED_VALUE"""),"P")</f>
        <v>P</v>
      </c>
      <c r="F2912" s="312" t="s">
        <v>37</v>
      </c>
      <c r="G2912" s="308"/>
      <c r="H2912" s="308" t="s">
        <v>11993</v>
      </c>
      <c r="I2912" s="310">
        <v>41766.0</v>
      </c>
      <c r="J2912" s="319">
        <f>IFERROR(__xludf.DUMMYFUNCTION("SPLIT(I2912,""/"")"),7.0)</f>
        <v>7</v>
      </c>
      <c r="K2912" s="308">
        <f>IFERROR(__xludf.DUMMYFUNCTION("""COMPUTED_VALUE"""),5.0)</f>
        <v>5</v>
      </c>
      <c r="L2912" s="308">
        <f>IFERROR(__xludf.DUMMYFUNCTION("""COMPUTED_VALUE"""),2014.0)</f>
        <v>2014</v>
      </c>
      <c r="M2912" s="308" t="s">
        <v>11994</v>
      </c>
      <c r="N2912" s="308"/>
      <c r="O2912" s="308" t="s">
        <v>11995</v>
      </c>
      <c r="P2912" s="308" t="s">
        <v>9175</v>
      </c>
      <c r="Q2912" s="308"/>
      <c r="R2912" s="308"/>
      <c r="S2912" s="315" t="s">
        <v>100</v>
      </c>
      <c r="T2912" s="311" t="s">
        <v>34208</v>
      </c>
      <c r="U2912" s="308" t="s">
        <v>143</v>
      </c>
      <c r="V2912" s="312"/>
    </row>
    <row r="2913">
      <c r="A2913" s="308">
        <v>2912.0</v>
      </c>
      <c r="B2913" s="308"/>
      <c r="C2913" s="308" t="s">
        <v>11996</v>
      </c>
      <c r="D2913" s="308">
        <f>IFERROR(__xludf.DUMMYFUNCTION("SPLIT(C2913,""-"")"),2933.0)</f>
        <v>2933</v>
      </c>
      <c r="E2913" s="308" t="str">
        <f>IFERROR(__xludf.DUMMYFUNCTION("""COMPUTED_VALUE"""),"K")</f>
        <v>K</v>
      </c>
      <c r="F2913" s="309" t="s">
        <v>34</v>
      </c>
      <c r="G2913" s="308"/>
      <c r="H2913" s="308" t="s">
        <v>11997</v>
      </c>
      <c r="I2913" s="310">
        <v>42036.0</v>
      </c>
      <c r="J2913" s="319">
        <f>IFERROR(__xludf.DUMMYFUNCTION("SPLIT(I2913,""/"")"),1.0)</f>
        <v>1</v>
      </c>
      <c r="K2913" s="308">
        <f>IFERROR(__xludf.DUMMYFUNCTION("""COMPUTED_VALUE"""),2.0)</f>
        <v>2</v>
      </c>
      <c r="L2913" s="308">
        <f>IFERROR(__xludf.DUMMYFUNCTION("""COMPUTED_VALUE"""),2015.0)</f>
        <v>2015</v>
      </c>
      <c r="M2913" s="308" t="s">
        <v>11998</v>
      </c>
      <c r="N2913" s="308"/>
      <c r="O2913" s="308" t="s">
        <v>11999</v>
      </c>
      <c r="P2913" s="308" t="s">
        <v>12000</v>
      </c>
      <c r="Q2913" s="308"/>
      <c r="R2913" s="308"/>
      <c r="S2913" s="308" t="s">
        <v>81</v>
      </c>
      <c r="T2913" s="308" t="s">
        <v>75</v>
      </c>
      <c r="U2913" s="308"/>
      <c r="V2913" s="312"/>
    </row>
    <row r="2914">
      <c r="A2914" s="308">
        <v>2913.0</v>
      </c>
      <c r="B2914" s="308"/>
      <c r="C2914" s="308" t="s">
        <v>12001</v>
      </c>
      <c r="D2914" s="308">
        <f>IFERROR(__xludf.DUMMYFUNCTION("SPLIT(C2914,""-"")"),2934.0)</f>
        <v>2934</v>
      </c>
      <c r="E2914" s="308" t="str">
        <f>IFERROR(__xludf.DUMMYFUNCTION("""COMPUTED_VALUE"""),"P")</f>
        <v>P</v>
      </c>
      <c r="F2914" s="312" t="s">
        <v>37</v>
      </c>
      <c r="G2914" s="308"/>
      <c r="H2914" s="308" t="s">
        <v>12002</v>
      </c>
      <c r="I2914" s="310">
        <v>41438.0</v>
      </c>
      <c r="J2914" s="319">
        <f>IFERROR(__xludf.DUMMYFUNCTION("SPLIT(I2914,""/"")"),13.0)</f>
        <v>13</v>
      </c>
      <c r="K2914" s="308">
        <f>IFERROR(__xludf.DUMMYFUNCTION("""COMPUTED_VALUE"""),6.0)</f>
        <v>6</v>
      </c>
      <c r="L2914" s="308">
        <f>IFERROR(__xludf.DUMMYFUNCTION("""COMPUTED_VALUE"""),2013.0)</f>
        <v>2013</v>
      </c>
      <c r="M2914" s="308" t="s">
        <v>36803</v>
      </c>
      <c r="N2914" s="308"/>
      <c r="O2914" s="308" t="s">
        <v>12004</v>
      </c>
      <c r="P2914" s="308" t="s">
        <v>12005</v>
      </c>
      <c r="Q2914" s="308"/>
      <c r="R2914" s="308"/>
      <c r="S2914" s="315" t="s">
        <v>100</v>
      </c>
      <c r="T2914" s="311" t="s">
        <v>34208</v>
      </c>
      <c r="U2914" s="308" t="s">
        <v>12006</v>
      </c>
      <c r="V2914" s="312"/>
    </row>
    <row r="2915">
      <c r="A2915" s="308">
        <v>2914.0</v>
      </c>
      <c r="B2915" s="308"/>
      <c r="C2915" s="308" t="s">
        <v>12007</v>
      </c>
      <c r="D2915" s="308">
        <f>IFERROR(__xludf.DUMMYFUNCTION("SPLIT(C2915,""-"")"),2935.0)</f>
        <v>2935</v>
      </c>
      <c r="E2915" s="308" t="str">
        <f>IFERROR(__xludf.DUMMYFUNCTION("""COMPUTED_VALUE"""),"S")</f>
        <v>S</v>
      </c>
      <c r="F2915" s="312" t="s">
        <v>39</v>
      </c>
      <c r="G2915" s="308"/>
      <c r="H2915" s="308" t="s">
        <v>12008</v>
      </c>
      <c r="I2915" s="310">
        <v>42272.0</v>
      </c>
      <c r="J2915" s="319">
        <f>IFERROR(__xludf.DUMMYFUNCTION("SPLIT(I2915,""/"")"),25.0)</f>
        <v>25</v>
      </c>
      <c r="K2915" s="308">
        <f>IFERROR(__xludf.DUMMYFUNCTION("""COMPUTED_VALUE"""),9.0)</f>
        <v>9</v>
      </c>
      <c r="L2915" s="308">
        <f>IFERROR(__xludf.DUMMYFUNCTION("""COMPUTED_VALUE"""),2015.0)</f>
        <v>2015</v>
      </c>
      <c r="M2915" s="308" t="s">
        <v>36804</v>
      </c>
      <c r="N2915" s="308"/>
      <c r="O2915" s="308" t="s">
        <v>635</v>
      </c>
      <c r="P2915" s="308" t="s">
        <v>9535</v>
      </c>
      <c r="Q2915" s="308"/>
      <c r="R2915" s="308"/>
      <c r="S2915" s="308" t="s">
        <v>81</v>
      </c>
      <c r="T2915" s="308" t="s">
        <v>75</v>
      </c>
      <c r="U2915" s="308" t="s">
        <v>166</v>
      </c>
      <c r="V2915" s="312"/>
    </row>
    <row r="2916">
      <c r="A2916" s="308">
        <v>2915.0</v>
      </c>
      <c r="B2916" s="308"/>
      <c r="C2916" s="308" t="s">
        <v>12010</v>
      </c>
      <c r="D2916" s="308">
        <f>IFERROR(__xludf.DUMMYFUNCTION("SPLIT(C2916,""-"")"),2936.0)</f>
        <v>2936</v>
      </c>
      <c r="E2916" s="308" t="str">
        <f>IFERROR(__xludf.DUMMYFUNCTION("""COMPUTED_VALUE"""),"K")</f>
        <v>K</v>
      </c>
      <c r="F2916" s="309" t="s">
        <v>34</v>
      </c>
      <c r="G2916" s="308"/>
      <c r="H2916" s="308" t="s">
        <v>12011</v>
      </c>
      <c r="I2916" s="316">
        <v>2013.0</v>
      </c>
      <c r="J2916" s="319"/>
      <c r="K2916" s="308"/>
      <c r="L2916" s="311">
        <v>2013.0</v>
      </c>
      <c r="M2916" s="308" t="s">
        <v>12012</v>
      </c>
      <c r="N2916" s="308"/>
      <c r="O2916" s="308" t="s">
        <v>36805</v>
      </c>
      <c r="P2916" s="308" t="s">
        <v>12014</v>
      </c>
      <c r="Q2916" s="308"/>
      <c r="R2916" s="308"/>
      <c r="S2916" s="308" t="s">
        <v>81</v>
      </c>
      <c r="T2916" s="308" t="s">
        <v>34264</v>
      </c>
      <c r="U2916" s="308" t="s">
        <v>872</v>
      </c>
      <c r="V2916" s="312"/>
    </row>
    <row r="2917">
      <c r="A2917" s="308">
        <v>2916.0</v>
      </c>
      <c r="B2917" s="308"/>
      <c r="C2917" s="308" t="s">
        <v>12015</v>
      </c>
      <c r="D2917" s="308">
        <f>IFERROR(__xludf.DUMMYFUNCTION("SPLIT(C2917,""-"")"),2937.0)</f>
        <v>2937</v>
      </c>
      <c r="E2917" s="308" t="str">
        <f>IFERROR(__xludf.DUMMYFUNCTION("""COMPUTED_VALUE"""),"S")</f>
        <v>S</v>
      </c>
      <c r="F2917" s="312" t="s">
        <v>39</v>
      </c>
      <c r="G2917" s="308"/>
      <c r="H2917" s="308" t="s">
        <v>12016</v>
      </c>
      <c r="I2917" s="314">
        <v>42294.0</v>
      </c>
      <c r="J2917" s="319">
        <f>IFERROR(__xludf.DUMMYFUNCTION("SPLIT(I2917,""/"")"),17.0)</f>
        <v>17</v>
      </c>
      <c r="K2917" s="308">
        <f>IFERROR(__xludf.DUMMYFUNCTION("""COMPUTED_VALUE"""),10.0)</f>
        <v>10</v>
      </c>
      <c r="L2917" s="308">
        <f>IFERROR(__xludf.DUMMYFUNCTION("""COMPUTED_VALUE"""),2015.0)</f>
        <v>2015</v>
      </c>
      <c r="M2917" s="308" t="s">
        <v>12017</v>
      </c>
      <c r="N2917" s="308"/>
      <c r="O2917" s="308" t="s">
        <v>36806</v>
      </c>
      <c r="P2917" s="308" t="s">
        <v>252</v>
      </c>
      <c r="Q2917" s="308"/>
      <c r="R2917" s="308"/>
      <c r="S2917" s="308" t="s">
        <v>49</v>
      </c>
      <c r="T2917" s="308" t="s">
        <v>51</v>
      </c>
      <c r="U2917" s="308" t="s">
        <v>166</v>
      </c>
      <c r="V2917" s="312"/>
    </row>
    <row r="2918">
      <c r="A2918" s="308">
        <v>2917.0</v>
      </c>
      <c r="B2918" s="308"/>
      <c r="C2918" s="308" t="s">
        <v>12019</v>
      </c>
      <c r="D2918" s="308">
        <f>IFERROR(__xludf.DUMMYFUNCTION("SPLIT(C2918,""-"")"),2938.0)</f>
        <v>2938</v>
      </c>
      <c r="E2918" s="308" t="str">
        <f>IFERROR(__xludf.DUMMYFUNCTION("""COMPUTED_VALUE"""),"K")</f>
        <v>K</v>
      </c>
      <c r="F2918" s="309" t="s">
        <v>34</v>
      </c>
      <c r="G2918" s="308"/>
      <c r="H2918" s="308" t="s">
        <v>12020</v>
      </c>
      <c r="I2918" s="310">
        <v>39995.0</v>
      </c>
      <c r="J2918" s="319">
        <f>IFERROR(__xludf.DUMMYFUNCTION("SPLIT(I2918,""/"")"),1.0)</f>
        <v>1</v>
      </c>
      <c r="K2918" s="308">
        <f>IFERROR(__xludf.DUMMYFUNCTION("""COMPUTED_VALUE"""),7.0)</f>
        <v>7</v>
      </c>
      <c r="L2918" s="308">
        <f>IFERROR(__xludf.DUMMYFUNCTION("""COMPUTED_VALUE"""),2009.0)</f>
        <v>2009</v>
      </c>
      <c r="M2918" s="308" t="s">
        <v>12021</v>
      </c>
      <c r="N2918" s="308"/>
      <c r="O2918" s="308" t="s">
        <v>36807</v>
      </c>
      <c r="P2918" s="308" t="s">
        <v>12023</v>
      </c>
      <c r="Q2918" s="308"/>
      <c r="R2918" s="308"/>
      <c r="S2918" s="315" t="s">
        <v>100</v>
      </c>
      <c r="T2918" s="311" t="s">
        <v>34208</v>
      </c>
      <c r="U2918" s="308" t="s">
        <v>4487</v>
      </c>
      <c r="V2918" s="312"/>
    </row>
    <row r="2919">
      <c r="A2919" s="308">
        <v>2918.0</v>
      </c>
      <c r="B2919" s="308"/>
      <c r="C2919" s="308" t="s">
        <v>12024</v>
      </c>
      <c r="D2919" s="308">
        <f>IFERROR(__xludf.DUMMYFUNCTION("SPLIT(C2919,""-"")"),2939.0)</f>
        <v>2939</v>
      </c>
      <c r="E2919" s="308" t="str">
        <f>IFERROR(__xludf.DUMMYFUNCTION("""COMPUTED_VALUE"""),"K")</f>
        <v>K</v>
      </c>
      <c r="F2919" s="309" t="s">
        <v>34</v>
      </c>
      <c r="G2919" s="308"/>
      <c r="H2919" s="308" t="s">
        <v>12025</v>
      </c>
      <c r="I2919" s="310">
        <v>39995.0</v>
      </c>
      <c r="J2919" s="319">
        <f>IFERROR(__xludf.DUMMYFUNCTION("SPLIT(I2919,""/"")"),1.0)</f>
        <v>1</v>
      </c>
      <c r="K2919" s="308">
        <f>IFERROR(__xludf.DUMMYFUNCTION("""COMPUTED_VALUE"""),7.0)</f>
        <v>7</v>
      </c>
      <c r="L2919" s="308">
        <f>IFERROR(__xludf.DUMMYFUNCTION("""COMPUTED_VALUE"""),2009.0)</f>
        <v>2009</v>
      </c>
      <c r="M2919" s="308" t="s">
        <v>12026</v>
      </c>
      <c r="N2919" s="308"/>
      <c r="O2919" s="308" t="s">
        <v>36808</v>
      </c>
      <c r="P2919" s="308" t="s">
        <v>12023</v>
      </c>
      <c r="Q2919" s="308"/>
      <c r="R2919" s="308"/>
      <c r="S2919" s="315" t="s">
        <v>100</v>
      </c>
      <c r="T2919" s="311" t="s">
        <v>34208</v>
      </c>
      <c r="U2919" s="308" t="s">
        <v>4487</v>
      </c>
      <c r="V2919" s="312"/>
    </row>
    <row r="2920">
      <c r="A2920" s="308">
        <v>2919.0</v>
      </c>
      <c r="B2920" s="308"/>
      <c r="C2920" s="308" t="s">
        <v>12028</v>
      </c>
      <c r="D2920" s="308">
        <f>IFERROR(__xludf.DUMMYFUNCTION("SPLIT(C2920,""-"")"),2940.0)</f>
        <v>2940</v>
      </c>
      <c r="E2920" s="308" t="str">
        <f>IFERROR(__xludf.DUMMYFUNCTION("""COMPUTED_VALUE"""),"B")</f>
        <v>B</v>
      </c>
      <c r="F2920" s="315" t="s">
        <v>26</v>
      </c>
      <c r="G2920" s="308"/>
      <c r="H2920" s="308" t="s">
        <v>12029</v>
      </c>
      <c r="I2920" s="316">
        <v>2013.0</v>
      </c>
      <c r="J2920" s="319"/>
      <c r="K2920" s="308"/>
      <c r="L2920" s="311">
        <v>2013.0</v>
      </c>
      <c r="M2920" s="308" t="s">
        <v>12030</v>
      </c>
      <c r="N2920" s="308"/>
      <c r="O2920" s="308" t="s">
        <v>36809</v>
      </c>
      <c r="P2920" s="308" t="s">
        <v>12032</v>
      </c>
      <c r="Q2920" s="308"/>
      <c r="R2920" s="308"/>
      <c r="S2920" s="308" t="s">
        <v>49</v>
      </c>
      <c r="T2920" s="311" t="s">
        <v>51</v>
      </c>
      <c r="U2920" s="308" t="s">
        <v>27</v>
      </c>
      <c r="V2920" s="312"/>
    </row>
    <row r="2921">
      <c r="A2921" s="308">
        <v>2920.0</v>
      </c>
      <c r="B2921" s="308"/>
      <c r="C2921" s="308" t="s">
        <v>12033</v>
      </c>
      <c r="D2921" s="308">
        <f>IFERROR(__xludf.DUMMYFUNCTION("SPLIT(C2921,""-"")"),2941.0)</f>
        <v>2941</v>
      </c>
      <c r="E2921" s="308" t="str">
        <f>IFERROR(__xludf.DUMMYFUNCTION("""COMPUTED_VALUE"""),"B")</f>
        <v>B</v>
      </c>
      <c r="F2921" s="315" t="s">
        <v>26</v>
      </c>
      <c r="G2921" s="308"/>
      <c r="H2921" s="308" t="s">
        <v>12034</v>
      </c>
      <c r="I2921" s="310">
        <v>42225.0</v>
      </c>
      <c r="J2921" s="319">
        <f>IFERROR(__xludf.DUMMYFUNCTION("SPLIT(I2921,""/"")"),9.0)</f>
        <v>9</v>
      </c>
      <c r="K2921" s="308">
        <f>IFERROR(__xludf.DUMMYFUNCTION("""COMPUTED_VALUE"""),8.0)</f>
        <v>8</v>
      </c>
      <c r="L2921" s="308">
        <f>IFERROR(__xludf.DUMMYFUNCTION("""COMPUTED_VALUE"""),2015.0)</f>
        <v>2015</v>
      </c>
      <c r="M2921" s="308" t="s">
        <v>12035</v>
      </c>
      <c r="N2921" s="308"/>
      <c r="O2921" s="308" t="s">
        <v>12036</v>
      </c>
      <c r="P2921" s="308" t="s">
        <v>36810</v>
      </c>
      <c r="Q2921" s="308"/>
      <c r="R2921" s="308"/>
      <c r="S2921" s="308" t="s">
        <v>81</v>
      </c>
      <c r="T2921" s="308" t="s">
        <v>75</v>
      </c>
      <c r="U2921" s="308" t="s">
        <v>27</v>
      </c>
      <c r="V2921" s="312"/>
    </row>
    <row r="2922">
      <c r="A2922" s="308">
        <v>2921.0</v>
      </c>
      <c r="B2922" s="308"/>
      <c r="C2922" s="308" t="s">
        <v>12038</v>
      </c>
      <c r="D2922" s="308">
        <f>IFERROR(__xludf.DUMMYFUNCTION("SPLIT(C2922,""-"")"),2942.0)</f>
        <v>2942</v>
      </c>
      <c r="E2922" s="308" t="str">
        <f>IFERROR(__xludf.DUMMYFUNCTION("""COMPUTED_VALUE"""),"B")</f>
        <v>B</v>
      </c>
      <c r="F2922" s="315" t="s">
        <v>26</v>
      </c>
      <c r="G2922" s="308"/>
      <c r="H2922" s="308" t="s">
        <v>36811</v>
      </c>
      <c r="I2922" s="310">
        <v>42147.0</v>
      </c>
      <c r="J2922" s="319">
        <f>IFERROR(__xludf.DUMMYFUNCTION("SPLIT(I2922,""/"")"),23.0)</f>
        <v>23</v>
      </c>
      <c r="K2922" s="308">
        <f>IFERROR(__xludf.DUMMYFUNCTION("""COMPUTED_VALUE"""),5.0)</f>
        <v>5</v>
      </c>
      <c r="L2922" s="308">
        <f>IFERROR(__xludf.DUMMYFUNCTION("""COMPUTED_VALUE"""),2015.0)</f>
        <v>2015</v>
      </c>
      <c r="M2922" s="308" t="s">
        <v>12040</v>
      </c>
      <c r="N2922" s="308"/>
      <c r="O2922" s="308" t="s">
        <v>12041</v>
      </c>
      <c r="P2922" s="308" t="s">
        <v>12042</v>
      </c>
      <c r="Q2922" s="308"/>
      <c r="R2922" s="308"/>
      <c r="S2922" s="308" t="s">
        <v>81</v>
      </c>
      <c r="T2922" s="308" t="s">
        <v>73</v>
      </c>
      <c r="U2922" s="308" t="s">
        <v>27</v>
      </c>
      <c r="V2922" s="312"/>
    </row>
    <row r="2923">
      <c r="A2923" s="308">
        <v>2922.0</v>
      </c>
      <c r="B2923" s="308"/>
      <c r="C2923" s="308" t="s">
        <v>12043</v>
      </c>
      <c r="D2923" s="308">
        <f>IFERROR(__xludf.DUMMYFUNCTION("SPLIT(C2923,""-"")"),2943.0)</f>
        <v>2943</v>
      </c>
      <c r="E2923" s="308" t="str">
        <f>IFERROR(__xludf.DUMMYFUNCTION("""COMPUTED_VALUE"""),"B")</f>
        <v>B</v>
      </c>
      <c r="F2923" s="315" t="s">
        <v>26</v>
      </c>
      <c r="G2923" s="308"/>
      <c r="H2923" s="308" t="s">
        <v>12044</v>
      </c>
      <c r="I2923" s="310">
        <v>41843.0</v>
      </c>
      <c r="J2923" s="319">
        <f>IFERROR(__xludf.DUMMYFUNCTION("SPLIT(I2923,""/"")"),23.0)</f>
        <v>23</v>
      </c>
      <c r="K2923" s="308">
        <f>IFERROR(__xludf.DUMMYFUNCTION("""COMPUTED_VALUE"""),7.0)</f>
        <v>7</v>
      </c>
      <c r="L2923" s="308">
        <f>IFERROR(__xludf.DUMMYFUNCTION("""COMPUTED_VALUE"""),2014.0)</f>
        <v>2014</v>
      </c>
      <c r="M2923" s="308" t="s">
        <v>12045</v>
      </c>
      <c r="N2923" s="308"/>
      <c r="O2923" s="308" t="s">
        <v>12046</v>
      </c>
      <c r="P2923" s="308" t="s">
        <v>12047</v>
      </c>
      <c r="Q2923" s="308"/>
      <c r="R2923" s="308"/>
      <c r="S2923" s="308" t="s">
        <v>49</v>
      </c>
      <c r="T2923" s="308" t="s">
        <v>53</v>
      </c>
      <c r="U2923" s="308" t="s">
        <v>27</v>
      </c>
      <c r="V2923" s="312"/>
    </row>
    <row r="2924">
      <c r="A2924" s="308">
        <v>2923.0</v>
      </c>
      <c r="B2924" s="308"/>
      <c r="C2924" s="308" t="s">
        <v>12048</v>
      </c>
      <c r="D2924" s="308">
        <f>IFERROR(__xludf.DUMMYFUNCTION("SPLIT(C2924,""-"")"),2944.0)</f>
        <v>2944</v>
      </c>
      <c r="E2924" s="308" t="str">
        <f>IFERROR(__xludf.DUMMYFUNCTION("""COMPUTED_VALUE"""),"B")</f>
        <v>B</v>
      </c>
      <c r="F2924" s="315" t="s">
        <v>26</v>
      </c>
      <c r="G2924" s="308"/>
      <c r="H2924" s="308" t="s">
        <v>12049</v>
      </c>
      <c r="I2924" s="310">
        <v>42137.0</v>
      </c>
      <c r="J2924" s="319">
        <f>IFERROR(__xludf.DUMMYFUNCTION("SPLIT(I2924,""/"")"),13.0)</f>
        <v>13</v>
      </c>
      <c r="K2924" s="308">
        <f>IFERROR(__xludf.DUMMYFUNCTION("""COMPUTED_VALUE"""),5.0)</f>
        <v>5</v>
      </c>
      <c r="L2924" s="308">
        <f>IFERROR(__xludf.DUMMYFUNCTION("""COMPUTED_VALUE"""),2015.0)</f>
        <v>2015</v>
      </c>
      <c r="M2924" s="308" t="s">
        <v>12050</v>
      </c>
      <c r="N2924" s="308"/>
      <c r="O2924" s="308" t="s">
        <v>12051</v>
      </c>
      <c r="P2924" s="308" t="s">
        <v>12052</v>
      </c>
      <c r="Q2924" s="308"/>
      <c r="R2924" s="308"/>
      <c r="S2924" s="308" t="s">
        <v>81</v>
      </c>
      <c r="T2924" s="311" t="s">
        <v>51</v>
      </c>
      <c r="U2924" s="308" t="s">
        <v>27</v>
      </c>
      <c r="V2924" s="312"/>
    </row>
    <row r="2925">
      <c r="A2925" s="308">
        <v>2924.0</v>
      </c>
      <c r="B2925" s="308"/>
      <c r="C2925" s="308" t="s">
        <v>12053</v>
      </c>
      <c r="D2925" s="308">
        <f>IFERROR(__xludf.DUMMYFUNCTION("SPLIT(C2925,""-"")"),2945.0)</f>
        <v>2945</v>
      </c>
      <c r="E2925" s="308" t="str">
        <f>IFERROR(__xludf.DUMMYFUNCTION("""COMPUTED_VALUE"""),"B")</f>
        <v>B</v>
      </c>
      <c r="F2925" s="315" t="s">
        <v>26</v>
      </c>
      <c r="G2925" s="308"/>
      <c r="H2925" s="308" t="s">
        <v>12054</v>
      </c>
      <c r="I2925" s="310">
        <v>41151.0</v>
      </c>
      <c r="J2925" s="319">
        <f>IFERROR(__xludf.DUMMYFUNCTION("SPLIT(I2925,""/"")"),30.0)</f>
        <v>30</v>
      </c>
      <c r="K2925" s="308">
        <f>IFERROR(__xludf.DUMMYFUNCTION("""COMPUTED_VALUE"""),8.0)</f>
        <v>8</v>
      </c>
      <c r="L2925" s="308">
        <f>IFERROR(__xludf.DUMMYFUNCTION("""COMPUTED_VALUE"""),2012.0)</f>
        <v>2012</v>
      </c>
      <c r="M2925" s="308" t="s">
        <v>12055</v>
      </c>
      <c r="N2925" s="308"/>
      <c r="O2925" s="308" t="s">
        <v>12056</v>
      </c>
      <c r="P2925" s="308" t="s">
        <v>12057</v>
      </c>
      <c r="Q2925" s="308"/>
      <c r="R2925" s="308"/>
      <c r="S2925" s="308" t="s">
        <v>49</v>
      </c>
      <c r="T2925" s="308" t="s">
        <v>51</v>
      </c>
      <c r="U2925" s="308" t="s">
        <v>27</v>
      </c>
      <c r="V2925" s="312"/>
    </row>
    <row r="2926">
      <c r="A2926" s="308">
        <v>2925.0</v>
      </c>
      <c r="B2926" s="308"/>
      <c r="C2926" s="308" t="s">
        <v>12058</v>
      </c>
      <c r="D2926" s="308">
        <f>IFERROR(__xludf.DUMMYFUNCTION("SPLIT(C2926,""-"")"),2946.0)</f>
        <v>2946</v>
      </c>
      <c r="E2926" s="308" t="str">
        <f>IFERROR(__xludf.DUMMYFUNCTION("""COMPUTED_VALUE"""),"B")</f>
        <v>B</v>
      </c>
      <c r="F2926" s="315" t="s">
        <v>26</v>
      </c>
      <c r="G2926" s="308"/>
      <c r="H2926" s="308" t="s">
        <v>12059</v>
      </c>
      <c r="I2926" s="310">
        <v>41901.0</v>
      </c>
      <c r="J2926" s="319">
        <f>IFERROR(__xludf.DUMMYFUNCTION("SPLIT(I2926,""/"")"),19.0)</f>
        <v>19</v>
      </c>
      <c r="K2926" s="308">
        <f>IFERROR(__xludf.DUMMYFUNCTION("""COMPUTED_VALUE"""),9.0)</f>
        <v>9</v>
      </c>
      <c r="L2926" s="308">
        <f>IFERROR(__xludf.DUMMYFUNCTION("""COMPUTED_VALUE"""),2014.0)</f>
        <v>2014</v>
      </c>
      <c r="M2926" s="308" t="s">
        <v>12060</v>
      </c>
      <c r="N2926" s="308"/>
      <c r="O2926" s="308"/>
      <c r="P2926" s="308" t="s">
        <v>12061</v>
      </c>
      <c r="Q2926" s="308"/>
      <c r="R2926" s="308"/>
      <c r="S2926" s="308" t="s">
        <v>81</v>
      </c>
      <c r="T2926" s="311" t="s">
        <v>96</v>
      </c>
      <c r="U2926" s="308" t="s">
        <v>27</v>
      </c>
      <c r="V2926" s="312"/>
    </row>
    <row r="2927">
      <c r="A2927" s="308">
        <v>2926.0</v>
      </c>
      <c r="B2927" s="308"/>
      <c r="C2927" s="308" t="s">
        <v>12062</v>
      </c>
      <c r="D2927" s="308">
        <f>IFERROR(__xludf.DUMMYFUNCTION("SPLIT(C2927,""-"")"),2947.0)</f>
        <v>2947</v>
      </c>
      <c r="E2927" s="308" t="str">
        <f>IFERROR(__xludf.DUMMYFUNCTION("""COMPUTED_VALUE"""),"S")</f>
        <v>S</v>
      </c>
      <c r="F2927" s="312" t="s">
        <v>39</v>
      </c>
      <c r="G2927" s="308"/>
      <c r="H2927" s="308" t="s">
        <v>11151</v>
      </c>
      <c r="I2927" s="316">
        <v>41823.0</v>
      </c>
      <c r="J2927" s="319"/>
      <c r="K2927" s="308"/>
      <c r="L2927" s="311" t="s">
        <v>79</v>
      </c>
      <c r="M2927" s="308" t="s">
        <v>12063</v>
      </c>
      <c r="N2927" s="308"/>
      <c r="O2927" s="308" t="s">
        <v>12064</v>
      </c>
      <c r="P2927" s="308"/>
      <c r="Q2927" s="308"/>
      <c r="R2927" s="308"/>
      <c r="S2927" s="308" t="s">
        <v>79</v>
      </c>
      <c r="T2927" s="308" t="s">
        <v>79</v>
      </c>
      <c r="U2927" s="308" t="s">
        <v>166</v>
      </c>
      <c r="V2927" s="312"/>
    </row>
    <row r="2928">
      <c r="A2928" s="308">
        <v>2927.0</v>
      </c>
      <c r="B2928" s="308"/>
      <c r="C2928" s="308" t="s">
        <v>12065</v>
      </c>
      <c r="D2928" s="308">
        <f>IFERROR(__xludf.DUMMYFUNCTION("SPLIT(C2928,""-"")"),2948.0)</f>
        <v>2948</v>
      </c>
      <c r="E2928" s="308" t="str">
        <f>IFERROR(__xludf.DUMMYFUNCTION("""COMPUTED_VALUE"""),"B")</f>
        <v>B</v>
      </c>
      <c r="F2928" s="315" t="s">
        <v>26</v>
      </c>
      <c r="G2928" s="308"/>
      <c r="H2928" s="308" t="s">
        <v>36812</v>
      </c>
      <c r="I2928" s="310">
        <v>40444.0</v>
      </c>
      <c r="J2928" s="319">
        <f>IFERROR(__xludf.DUMMYFUNCTION("SPLIT(I2928,""/"")"),23.0)</f>
        <v>23</v>
      </c>
      <c r="K2928" s="308">
        <f>IFERROR(__xludf.DUMMYFUNCTION("""COMPUTED_VALUE"""),9.0)</f>
        <v>9</v>
      </c>
      <c r="L2928" s="308">
        <f>IFERROR(__xludf.DUMMYFUNCTION("""COMPUTED_VALUE"""),2010.0)</f>
        <v>2010</v>
      </c>
      <c r="M2928" s="308" t="s">
        <v>12067</v>
      </c>
      <c r="N2928" s="308"/>
      <c r="O2928" s="308" t="s">
        <v>12068</v>
      </c>
      <c r="P2928" s="308" t="s">
        <v>12069</v>
      </c>
      <c r="Q2928" s="308"/>
      <c r="R2928" s="308"/>
      <c r="S2928" s="308" t="s">
        <v>49</v>
      </c>
      <c r="T2928" s="308" t="s">
        <v>51</v>
      </c>
      <c r="U2928" s="308" t="s">
        <v>27</v>
      </c>
      <c r="V2928" s="312"/>
    </row>
    <row r="2929">
      <c r="A2929" s="308">
        <v>2928.0</v>
      </c>
      <c r="B2929" s="308"/>
      <c r="C2929" s="308" t="s">
        <v>12070</v>
      </c>
      <c r="D2929" s="308">
        <f>IFERROR(__xludf.DUMMYFUNCTION("SPLIT(C2929,""-"")"),2949.0)</f>
        <v>2949</v>
      </c>
      <c r="E2929" s="308" t="str">
        <f>IFERROR(__xludf.DUMMYFUNCTION("""COMPUTED_VALUE"""),"B")</f>
        <v>B</v>
      </c>
      <c r="F2929" s="315" t="s">
        <v>26</v>
      </c>
      <c r="G2929" s="308"/>
      <c r="H2929" s="308" t="s">
        <v>12071</v>
      </c>
      <c r="I2929" s="316" t="s">
        <v>12072</v>
      </c>
      <c r="J2929" s="319">
        <f>IFERROR(__xludf.DUMMYFUNCTION("SPLIT(I2929,""/"")"),31.0)</f>
        <v>31</v>
      </c>
      <c r="K2929" s="308">
        <f>IFERROR(__xludf.DUMMYFUNCTION("""COMPUTED_VALUE"""),4.0)</f>
        <v>4</v>
      </c>
      <c r="L2929" s="308">
        <f>IFERROR(__xludf.DUMMYFUNCTION("""COMPUTED_VALUE"""),2013.0)</f>
        <v>2013</v>
      </c>
      <c r="M2929" s="308" t="s">
        <v>12073</v>
      </c>
      <c r="N2929" s="308"/>
      <c r="O2929" s="308" t="s">
        <v>36813</v>
      </c>
      <c r="P2929" s="308" t="s">
        <v>36814</v>
      </c>
      <c r="Q2929" s="308"/>
      <c r="R2929" s="308"/>
      <c r="S2929" s="315" t="s">
        <v>100</v>
      </c>
      <c r="T2929" s="311" t="s">
        <v>34208</v>
      </c>
      <c r="U2929" s="308" t="s">
        <v>27</v>
      </c>
      <c r="V2929" s="312"/>
    </row>
    <row r="2930">
      <c r="A2930" s="308">
        <v>2929.0</v>
      </c>
      <c r="B2930" s="308"/>
      <c r="C2930" s="308" t="s">
        <v>12075</v>
      </c>
      <c r="D2930" s="308">
        <f>IFERROR(__xludf.DUMMYFUNCTION("SPLIT(C2930,""-"")"),2950.0)</f>
        <v>2950</v>
      </c>
      <c r="E2930" s="308" t="str">
        <f>IFERROR(__xludf.DUMMYFUNCTION("""COMPUTED_VALUE"""),"B")</f>
        <v>B</v>
      </c>
      <c r="F2930" s="315" t="s">
        <v>26</v>
      </c>
      <c r="G2930" s="308"/>
      <c r="H2930" s="308" t="s">
        <v>12076</v>
      </c>
      <c r="I2930" s="314">
        <v>41988.0</v>
      </c>
      <c r="J2930" s="319">
        <f>IFERROR(__xludf.DUMMYFUNCTION("SPLIT(I2930,""/"")"),15.0)</f>
        <v>15</v>
      </c>
      <c r="K2930" s="308">
        <f>IFERROR(__xludf.DUMMYFUNCTION("""COMPUTED_VALUE"""),12.0)</f>
        <v>12</v>
      </c>
      <c r="L2930" s="308">
        <f>IFERROR(__xludf.DUMMYFUNCTION("""COMPUTED_VALUE"""),2014.0)</f>
        <v>2014</v>
      </c>
      <c r="M2930" s="308" t="s">
        <v>12077</v>
      </c>
      <c r="N2930" s="308"/>
      <c r="O2930" s="308" t="s">
        <v>36815</v>
      </c>
      <c r="P2930" s="308" t="s">
        <v>12079</v>
      </c>
      <c r="Q2930" s="308"/>
      <c r="R2930" s="308"/>
      <c r="S2930" s="308" t="s">
        <v>81</v>
      </c>
      <c r="T2930" s="308" t="s">
        <v>75</v>
      </c>
      <c r="U2930" s="308" t="s">
        <v>27</v>
      </c>
      <c r="V2930" s="312"/>
    </row>
    <row r="2931">
      <c r="A2931" s="308">
        <v>2930.0</v>
      </c>
      <c r="B2931" s="308"/>
      <c r="C2931" s="308" t="s">
        <v>12080</v>
      </c>
      <c r="D2931" s="308">
        <f>IFERROR(__xludf.DUMMYFUNCTION("SPLIT(C2931,""-"")"),2951.0)</f>
        <v>2951</v>
      </c>
      <c r="E2931" s="308" t="str">
        <f>IFERROR(__xludf.DUMMYFUNCTION("""COMPUTED_VALUE"""),"B")</f>
        <v>B</v>
      </c>
      <c r="F2931" s="315" t="s">
        <v>26</v>
      </c>
      <c r="G2931" s="308"/>
      <c r="H2931" s="308" t="s">
        <v>12081</v>
      </c>
      <c r="I2931" s="314">
        <v>41988.0</v>
      </c>
      <c r="J2931" s="319">
        <f>IFERROR(__xludf.DUMMYFUNCTION("SPLIT(I2931,""/"")"),15.0)</f>
        <v>15</v>
      </c>
      <c r="K2931" s="308">
        <f>IFERROR(__xludf.DUMMYFUNCTION("""COMPUTED_VALUE"""),12.0)</f>
        <v>12</v>
      </c>
      <c r="L2931" s="308">
        <f>IFERROR(__xludf.DUMMYFUNCTION("""COMPUTED_VALUE"""),2014.0)</f>
        <v>2014</v>
      </c>
      <c r="M2931" s="308" t="s">
        <v>12077</v>
      </c>
      <c r="N2931" s="308"/>
      <c r="O2931" s="308" t="s">
        <v>36815</v>
      </c>
      <c r="P2931" s="308" t="s">
        <v>12079</v>
      </c>
      <c r="Q2931" s="308"/>
      <c r="R2931" s="308"/>
      <c r="S2931" s="308" t="s">
        <v>81</v>
      </c>
      <c r="T2931" s="308" t="s">
        <v>75</v>
      </c>
      <c r="U2931" s="308" t="s">
        <v>27</v>
      </c>
      <c r="V2931" s="312"/>
    </row>
    <row r="2932">
      <c r="A2932" s="308">
        <v>2931.0</v>
      </c>
      <c r="B2932" s="308"/>
      <c r="C2932" s="308" t="s">
        <v>12082</v>
      </c>
      <c r="D2932" s="308">
        <f>IFERROR(__xludf.DUMMYFUNCTION("SPLIT(C2932,""-"")"),2952.0)</f>
        <v>2952</v>
      </c>
      <c r="E2932" s="308" t="str">
        <f>IFERROR(__xludf.DUMMYFUNCTION("""COMPUTED_VALUE"""),"K")</f>
        <v>K</v>
      </c>
      <c r="F2932" s="309" t="s">
        <v>34</v>
      </c>
      <c r="G2932" s="308"/>
      <c r="H2932" s="308" t="s">
        <v>12083</v>
      </c>
      <c r="I2932" s="310">
        <v>41837.0</v>
      </c>
      <c r="J2932" s="319">
        <f>IFERROR(__xludf.DUMMYFUNCTION("SPLIT(I2932,""/"")"),17.0)</f>
        <v>17</v>
      </c>
      <c r="K2932" s="308">
        <f>IFERROR(__xludf.DUMMYFUNCTION("""COMPUTED_VALUE"""),7.0)</f>
        <v>7</v>
      </c>
      <c r="L2932" s="308">
        <f>IFERROR(__xludf.DUMMYFUNCTION("""COMPUTED_VALUE"""),2014.0)</f>
        <v>2014</v>
      </c>
      <c r="M2932" s="308" t="s">
        <v>12084</v>
      </c>
      <c r="N2932" s="308"/>
      <c r="O2932" s="308"/>
      <c r="P2932" s="308" t="s">
        <v>36816</v>
      </c>
      <c r="Q2932" s="308"/>
      <c r="R2932" s="308"/>
      <c r="S2932" s="315" t="s">
        <v>100</v>
      </c>
      <c r="T2932" s="311" t="s">
        <v>34208</v>
      </c>
      <c r="U2932" s="308" t="s">
        <v>941</v>
      </c>
      <c r="V2932" s="312"/>
    </row>
    <row r="2933">
      <c r="A2933" s="308">
        <v>2932.0</v>
      </c>
      <c r="B2933" s="308"/>
      <c r="C2933" s="308" t="s">
        <v>12085</v>
      </c>
      <c r="D2933" s="308">
        <f>IFERROR(__xludf.DUMMYFUNCTION("SPLIT(C2933,""-"")"),2953.0)</f>
        <v>2953</v>
      </c>
      <c r="E2933" s="308" t="str">
        <f>IFERROR(__xludf.DUMMYFUNCTION("""COMPUTED_VALUE"""),"A")</f>
        <v>A</v>
      </c>
      <c r="F2933" s="309" t="s">
        <v>23</v>
      </c>
      <c r="G2933" s="308"/>
      <c r="H2933" s="308" t="s">
        <v>12086</v>
      </c>
      <c r="I2933" s="314">
        <v>42306.0</v>
      </c>
      <c r="J2933" s="319">
        <f>IFERROR(__xludf.DUMMYFUNCTION("SPLIT(I2933,""/"")"),29.0)</f>
        <v>29</v>
      </c>
      <c r="K2933" s="308">
        <f>IFERROR(__xludf.DUMMYFUNCTION("""COMPUTED_VALUE"""),10.0)</f>
        <v>10</v>
      </c>
      <c r="L2933" s="308">
        <f>IFERROR(__xludf.DUMMYFUNCTION("""COMPUTED_VALUE"""),2015.0)</f>
        <v>2015</v>
      </c>
      <c r="M2933" s="308" t="s">
        <v>12087</v>
      </c>
      <c r="N2933" s="308"/>
      <c r="O2933" s="308" t="s">
        <v>36817</v>
      </c>
      <c r="P2933" s="308" t="s">
        <v>12089</v>
      </c>
      <c r="Q2933" s="308"/>
      <c r="R2933" s="308"/>
      <c r="S2933" s="308" t="s">
        <v>81</v>
      </c>
      <c r="T2933" s="308" t="s">
        <v>75</v>
      </c>
      <c r="U2933" s="308"/>
      <c r="V2933" s="312"/>
    </row>
    <row r="2934">
      <c r="A2934" s="308">
        <v>2933.0</v>
      </c>
      <c r="B2934" s="308"/>
      <c r="C2934" s="308" t="s">
        <v>12090</v>
      </c>
      <c r="D2934" s="308">
        <f>IFERROR(__xludf.DUMMYFUNCTION("SPLIT(C2934,""-"")"),2954.0)</f>
        <v>2954</v>
      </c>
      <c r="E2934" s="308" t="str">
        <f>IFERROR(__xludf.DUMMYFUNCTION("""COMPUTED_VALUE"""),"K")</f>
        <v>K</v>
      </c>
      <c r="F2934" s="309" t="s">
        <v>34</v>
      </c>
      <c r="G2934" s="308"/>
      <c r="H2934" s="308" t="s">
        <v>12091</v>
      </c>
      <c r="I2934" s="314">
        <v>42350.0</v>
      </c>
      <c r="J2934" s="319">
        <f>IFERROR(__xludf.DUMMYFUNCTION("SPLIT(I2934,""/"")"),12.0)</f>
        <v>12</v>
      </c>
      <c r="K2934" s="308">
        <f>IFERROR(__xludf.DUMMYFUNCTION("""COMPUTED_VALUE"""),12.0)</f>
        <v>12</v>
      </c>
      <c r="L2934" s="308">
        <f>IFERROR(__xludf.DUMMYFUNCTION("""COMPUTED_VALUE"""),2015.0)</f>
        <v>2015</v>
      </c>
      <c r="M2934" s="308" t="s">
        <v>12092</v>
      </c>
      <c r="N2934" s="308"/>
      <c r="O2934" s="308" t="s">
        <v>36818</v>
      </c>
      <c r="P2934" s="308" t="s">
        <v>36819</v>
      </c>
      <c r="Q2934" s="308"/>
      <c r="R2934" s="308"/>
      <c r="S2934" s="315" t="s">
        <v>100</v>
      </c>
      <c r="T2934" s="311" t="s">
        <v>34208</v>
      </c>
      <c r="U2934" s="308" t="s">
        <v>368</v>
      </c>
      <c r="V2934" s="312"/>
    </row>
    <row r="2935">
      <c r="A2935" s="308">
        <v>2934.0</v>
      </c>
      <c r="B2935" s="308"/>
      <c r="C2935" s="308" t="s">
        <v>12094</v>
      </c>
      <c r="D2935" s="308">
        <f>IFERROR(__xludf.DUMMYFUNCTION("SPLIT(C2935,""-"")"),2955.0)</f>
        <v>2955</v>
      </c>
      <c r="E2935" s="308" t="str">
        <f>IFERROR(__xludf.DUMMYFUNCTION("""COMPUTED_VALUE"""),"K")</f>
        <v>K</v>
      </c>
      <c r="F2935" s="309" t="s">
        <v>34</v>
      </c>
      <c r="G2935" s="308"/>
      <c r="H2935" s="308" t="s">
        <v>12095</v>
      </c>
      <c r="I2935" s="310">
        <v>40771.0</v>
      </c>
      <c r="J2935" s="319">
        <f>IFERROR(__xludf.DUMMYFUNCTION("SPLIT(I2935,""/"")"),16.0)</f>
        <v>16</v>
      </c>
      <c r="K2935" s="308">
        <f>IFERROR(__xludf.DUMMYFUNCTION("""COMPUTED_VALUE"""),8.0)</f>
        <v>8</v>
      </c>
      <c r="L2935" s="308">
        <f>IFERROR(__xludf.DUMMYFUNCTION("""COMPUTED_VALUE"""),2011.0)</f>
        <v>2011</v>
      </c>
      <c r="M2935" s="308" t="s">
        <v>36820</v>
      </c>
      <c r="N2935" s="308"/>
      <c r="O2935" s="308" t="s">
        <v>12097</v>
      </c>
      <c r="P2935" s="308" t="s">
        <v>12098</v>
      </c>
      <c r="Q2935" s="308"/>
      <c r="R2935" s="308"/>
      <c r="S2935" s="308" t="s">
        <v>49</v>
      </c>
      <c r="T2935" s="311" t="s">
        <v>77</v>
      </c>
      <c r="U2935" s="308"/>
      <c r="V2935" s="312"/>
    </row>
    <row r="2936">
      <c r="A2936" s="308">
        <v>2935.0</v>
      </c>
      <c r="B2936" s="308"/>
      <c r="C2936" s="308" t="s">
        <v>12099</v>
      </c>
      <c r="D2936" s="308">
        <f>IFERROR(__xludf.DUMMYFUNCTION("SPLIT(C2936,""-"")"),2956.0)</f>
        <v>2956</v>
      </c>
      <c r="E2936" s="308" t="str">
        <f>IFERROR(__xludf.DUMMYFUNCTION("""COMPUTED_VALUE"""),"S")</f>
        <v>S</v>
      </c>
      <c r="F2936" s="312" t="s">
        <v>39</v>
      </c>
      <c r="G2936" s="308"/>
      <c r="H2936" s="308" t="s">
        <v>12100</v>
      </c>
      <c r="I2936" s="310">
        <v>42009.0</v>
      </c>
      <c r="J2936" s="319">
        <f>IFERROR(__xludf.DUMMYFUNCTION("SPLIT(I2936,""/"")"),5.0)</f>
        <v>5</v>
      </c>
      <c r="K2936" s="308">
        <f>IFERROR(__xludf.DUMMYFUNCTION("""COMPUTED_VALUE"""),1.0)</f>
        <v>1</v>
      </c>
      <c r="L2936" s="308">
        <f>IFERROR(__xludf.DUMMYFUNCTION("""COMPUTED_VALUE"""),2015.0)</f>
        <v>2015</v>
      </c>
      <c r="M2936" s="308" t="s">
        <v>12101</v>
      </c>
      <c r="N2936" s="308"/>
      <c r="O2936" s="308" t="s">
        <v>36821</v>
      </c>
      <c r="P2936" s="308" t="s">
        <v>36822</v>
      </c>
      <c r="Q2936" s="308"/>
      <c r="R2936" s="308"/>
      <c r="S2936" s="308" t="s">
        <v>49</v>
      </c>
      <c r="T2936" s="308" t="s">
        <v>70</v>
      </c>
      <c r="U2936" s="308" t="s">
        <v>166</v>
      </c>
      <c r="V2936" s="312"/>
    </row>
    <row r="2937">
      <c r="A2937" s="308">
        <v>2936.0</v>
      </c>
      <c r="B2937" s="308"/>
      <c r="C2937" s="308" t="s">
        <v>12104</v>
      </c>
      <c r="D2937" s="308">
        <f>IFERROR(__xludf.DUMMYFUNCTION("SPLIT(C2937,""-"")"),2957.0)</f>
        <v>2957</v>
      </c>
      <c r="E2937" s="308" t="str">
        <f>IFERROR(__xludf.DUMMYFUNCTION("""COMPUTED_VALUE"""),"K")</f>
        <v>K</v>
      </c>
      <c r="F2937" s="309" t="s">
        <v>34</v>
      </c>
      <c r="G2937" s="308"/>
      <c r="H2937" s="308" t="s">
        <v>12105</v>
      </c>
      <c r="I2937" s="310">
        <v>42138.0</v>
      </c>
      <c r="J2937" s="319">
        <f>IFERROR(__xludf.DUMMYFUNCTION("SPLIT(I2937,""/"")"),14.0)</f>
        <v>14</v>
      </c>
      <c r="K2937" s="308">
        <f>IFERROR(__xludf.DUMMYFUNCTION("""COMPUTED_VALUE"""),5.0)</f>
        <v>5</v>
      </c>
      <c r="L2937" s="308">
        <f>IFERROR(__xludf.DUMMYFUNCTION("""COMPUTED_VALUE"""),2015.0)</f>
        <v>2015</v>
      </c>
      <c r="M2937" s="308" t="s">
        <v>12106</v>
      </c>
      <c r="N2937" s="308"/>
      <c r="O2937" s="308" t="s">
        <v>12107</v>
      </c>
      <c r="P2937" s="308" t="s">
        <v>12108</v>
      </c>
      <c r="Q2937" s="308"/>
      <c r="R2937" s="308"/>
      <c r="S2937" s="308" t="s">
        <v>81</v>
      </c>
      <c r="T2937" s="308" t="s">
        <v>98</v>
      </c>
      <c r="U2937" s="308"/>
      <c r="V2937" s="312"/>
    </row>
    <row r="2938">
      <c r="A2938" s="308">
        <v>2937.0</v>
      </c>
      <c r="B2938" s="308"/>
      <c r="C2938" s="308" t="s">
        <v>12109</v>
      </c>
      <c r="D2938" s="308">
        <f>IFERROR(__xludf.DUMMYFUNCTION("SPLIT(C2938,""-"")"),2958.0)</f>
        <v>2958</v>
      </c>
      <c r="E2938" s="308" t="str">
        <f>IFERROR(__xludf.DUMMYFUNCTION("""COMPUTED_VALUE"""),"K")</f>
        <v>K</v>
      </c>
      <c r="F2938" s="309" t="s">
        <v>34</v>
      </c>
      <c r="G2938" s="308"/>
      <c r="H2938" s="308" t="s">
        <v>12110</v>
      </c>
      <c r="I2938" s="310">
        <v>42158.0</v>
      </c>
      <c r="J2938" s="319">
        <f>IFERROR(__xludf.DUMMYFUNCTION("SPLIT(I2938,""/"")"),3.0)</f>
        <v>3</v>
      </c>
      <c r="K2938" s="308">
        <f>IFERROR(__xludf.DUMMYFUNCTION("""COMPUTED_VALUE"""),6.0)</f>
        <v>6</v>
      </c>
      <c r="L2938" s="308">
        <f>IFERROR(__xludf.DUMMYFUNCTION("""COMPUTED_VALUE"""),2015.0)</f>
        <v>2015</v>
      </c>
      <c r="M2938" s="308" t="s">
        <v>36823</v>
      </c>
      <c r="N2938" s="308"/>
      <c r="O2938" s="308" t="s">
        <v>12112</v>
      </c>
      <c r="P2938" s="308" t="s">
        <v>12113</v>
      </c>
      <c r="Q2938" s="308"/>
      <c r="R2938" s="308"/>
      <c r="S2938" s="308" t="s">
        <v>81</v>
      </c>
      <c r="T2938" s="308" t="s">
        <v>75</v>
      </c>
      <c r="U2938" s="308"/>
      <c r="V2938" s="312"/>
    </row>
    <row r="2939">
      <c r="A2939" s="308">
        <v>2938.0</v>
      </c>
      <c r="B2939" s="308"/>
      <c r="C2939" s="308" t="s">
        <v>12114</v>
      </c>
      <c r="D2939" s="308">
        <f>IFERROR(__xludf.DUMMYFUNCTION("SPLIT(C2939,""-"")"),2959.0)</f>
        <v>2959</v>
      </c>
      <c r="E2939" s="308" t="str">
        <f>IFERROR(__xludf.DUMMYFUNCTION("""COMPUTED_VALUE"""),"K")</f>
        <v>K</v>
      </c>
      <c r="F2939" s="309" t="s">
        <v>34</v>
      </c>
      <c r="G2939" s="308"/>
      <c r="H2939" s="308" t="s">
        <v>12115</v>
      </c>
      <c r="I2939" s="310">
        <v>42194.0</v>
      </c>
      <c r="J2939" s="319">
        <f>IFERROR(__xludf.DUMMYFUNCTION("SPLIT(I2939,""/"")"),9.0)</f>
        <v>9</v>
      </c>
      <c r="K2939" s="308">
        <f>IFERROR(__xludf.DUMMYFUNCTION("""COMPUTED_VALUE"""),7.0)</f>
        <v>7</v>
      </c>
      <c r="L2939" s="308">
        <f>IFERROR(__xludf.DUMMYFUNCTION("""COMPUTED_VALUE"""),2015.0)</f>
        <v>2015</v>
      </c>
      <c r="M2939" s="308" t="s">
        <v>12116</v>
      </c>
      <c r="N2939" s="308"/>
      <c r="O2939" s="308" t="s">
        <v>12117</v>
      </c>
      <c r="P2939" s="308" t="s">
        <v>36824</v>
      </c>
      <c r="Q2939" s="308"/>
      <c r="R2939" s="308"/>
      <c r="S2939" s="308" t="s">
        <v>81</v>
      </c>
      <c r="T2939" s="308" t="s">
        <v>98</v>
      </c>
      <c r="U2939" s="312"/>
      <c r="V2939" s="312"/>
    </row>
    <row r="2940">
      <c r="A2940" s="308">
        <v>2939.0</v>
      </c>
      <c r="B2940" s="308"/>
      <c r="C2940" s="308" t="s">
        <v>12119</v>
      </c>
      <c r="D2940" s="308">
        <f>IFERROR(__xludf.DUMMYFUNCTION("SPLIT(C2940,""-"")"),2960.0)</f>
        <v>2960</v>
      </c>
      <c r="E2940" s="308" t="str">
        <f>IFERROR(__xludf.DUMMYFUNCTION("""COMPUTED_VALUE"""),"K")</f>
        <v>K</v>
      </c>
      <c r="F2940" s="309" t="s">
        <v>34</v>
      </c>
      <c r="G2940" s="308"/>
      <c r="H2940" s="308" t="s">
        <v>12120</v>
      </c>
      <c r="I2940" s="310">
        <v>42138.0</v>
      </c>
      <c r="J2940" s="319">
        <f>IFERROR(__xludf.DUMMYFUNCTION("SPLIT(I2940,""/"")"),14.0)</f>
        <v>14</v>
      </c>
      <c r="K2940" s="308">
        <f>IFERROR(__xludf.DUMMYFUNCTION("""COMPUTED_VALUE"""),5.0)</f>
        <v>5</v>
      </c>
      <c r="L2940" s="308">
        <f>IFERROR(__xludf.DUMMYFUNCTION("""COMPUTED_VALUE"""),2015.0)</f>
        <v>2015</v>
      </c>
      <c r="M2940" s="308" t="s">
        <v>12116</v>
      </c>
      <c r="N2940" s="308"/>
      <c r="O2940" s="308" t="s">
        <v>12121</v>
      </c>
      <c r="P2940" s="308" t="s">
        <v>36825</v>
      </c>
      <c r="Q2940" s="308"/>
      <c r="R2940" s="308"/>
      <c r="S2940" s="308" t="s">
        <v>81</v>
      </c>
      <c r="T2940" s="308" t="s">
        <v>34264</v>
      </c>
      <c r="U2940" s="308"/>
      <c r="V2940" s="312"/>
    </row>
    <row r="2941">
      <c r="A2941" s="308">
        <v>2940.0</v>
      </c>
      <c r="B2941" s="308"/>
      <c r="C2941" s="308" t="s">
        <v>12123</v>
      </c>
      <c r="D2941" s="308">
        <f>IFERROR(__xludf.DUMMYFUNCTION("SPLIT(C2941,""-"")"),2961.0)</f>
        <v>2961</v>
      </c>
      <c r="E2941" s="308" t="str">
        <f>IFERROR(__xludf.DUMMYFUNCTION("""COMPUTED_VALUE"""),"S")</f>
        <v>S</v>
      </c>
      <c r="F2941" s="312" t="s">
        <v>39</v>
      </c>
      <c r="G2941" s="308"/>
      <c r="H2941" s="308" t="s">
        <v>12124</v>
      </c>
      <c r="I2941" s="310">
        <v>42173.0</v>
      </c>
      <c r="J2941" s="319">
        <f>IFERROR(__xludf.DUMMYFUNCTION("SPLIT(I2941,""/"")"),18.0)</f>
        <v>18</v>
      </c>
      <c r="K2941" s="308">
        <f>IFERROR(__xludf.DUMMYFUNCTION("""COMPUTED_VALUE"""),6.0)</f>
        <v>6</v>
      </c>
      <c r="L2941" s="308">
        <f>IFERROR(__xludf.DUMMYFUNCTION("""COMPUTED_VALUE"""),2015.0)</f>
        <v>2015</v>
      </c>
      <c r="M2941" s="308" t="s">
        <v>12125</v>
      </c>
      <c r="N2941" s="308"/>
      <c r="O2941" s="308" t="s">
        <v>12126</v>
      </c>
      <c r="P2941" s="308" t="s">
        <v>36826</v>
      </c>
      <c r="Q2941" s="308"/>
      <c r="R2941" s="308"/>
      <c r="S2941" s="308" t="s">
        <v>81</v>
      </c>
      <c r="T2941" s="308" t="s">
        <v>75</v>
      </c>
      <c r="U2941" s="312"/>
      <c r="V2941" s="312"/>
    </row>
    <row r="2942">
      <c r="A2942" s="308">
        <v>2941.0</v>
      </c>
      <c r="B2942" s="308"/>
      <c r="C2942" s="308" t="s">
        <v>12128</v>
      </c>
      <c r="D2942" s="308">
        <f>IFERROR(__xludf.DUMMYFUNCTION("SPLIT(C2942,""-"")"),2962.0)</f>
        <v>2962</v>
      </c>
      <c r="E2942" s="308" t="str">
        <f>IFERROR(__xludf.DUMMYFUNCTION("""COMPUTED_VALUE"""),"S")</f>
        <v>S</v>
      </c>
      <c r="F2942" s="312" t="s">
        <v>39</v>
      </c>
      <c r="G2942" s="308" t="s">
        <v>12129</v>
      </c>
      <c r="H2942" s="308" t="s">
        <v>12130</v>
      </c>
      <c r="I2942" s="310">
        <v>42231.0</v>
      </c>
      <c r="J2942" s="319">
        <f>IFERROR(__xludf.DUMMYFUNCTION("SPLIT(I2942,""/"")"),15.0)</f>
        <v>15</v>
      </c>
      <c r="K2942" s="308">
        <f>IFERROR(__xludf.DUMMYFUNCTION("""COMPUTED_VALUE"""),8.0)</f>
        <v>8</v>
      </c>
      <c r="L2942" s="308">
        <f>IFERROR(__xludf.DUMMYFUNCTION("""COMPUTED_VALUE"""),2015.0)</f>
        <v>2015</v>
      </c>
      <c r="M2942" s="308" t="s">
        <v>12131</v>
      </c>
      <c r="N2942" s="308"/>
      <c r="O2942" s="308" t="s">
        <v>635</v>
      </c>
      <c r="P2942" s="308" t="s">
        <v>11452</v>
      </c>
      <c r="Q2942" s="308"/>
      <c r="R2942" s="308"/>
      <c r="S2942" s="308" t="s">
        <v>81</v>
      </c>
      <c r="T2942" s="311" t="s">
        <v>73</v>
      </c>
      <c r="U2942" s="308"/>
      <c r="V2942" s="312"/>
    </row>
    <row r="2943">
      <c r="A2943" s="308">
        <v>2942.0</v>
      </c>
      <c r="B2943" s="308"/>
      <c r="C2943" s="308" t="s">
        <v>12132</v>
      </c>
      <c r="D2943" s="308">
        <f>IFERROR(__xludf.DUMMYFUNCTION("SPLIT(C2943,""-"")"),2963.0)</f>
        <v>2963</v>
      </c>
      <c r="E2943" s="308" t="str">
        <f>IFERROR(__xludf.DUMMYFUNCTION("""COMPUTED_VALUE"""),"P")</f>
        <v>P</v>
      </c>
      <c r="F2943" s="312" t="s">
        <v>37</v>
      </c>
      <c r="G2943" s="308" t="s">
        <v>12133</v>
      </c>
      <c r="H2943" s="308" t="s">
        <v>12134</v>
      </c>
      <c r="I2943" s="310">
        <v>39183.0</v>
      </c>
      <c r="J2943" s="319">
        <f>IFERROR(__xludf.DUMMYFUNCTION("SPLIT(I2943,""/"")"),11.0)</f>
        <v>11</v>
      </c>
      <c r="K2943" s="308">
        <f>IFERROR(__xludf.DUMMYFUNCTION("""COMPUTED_VALUE"""),4.0)</f>
        <v>4</v>
      </c>
      <c r="L2943" s="308">
        <f>IFERROR(__xludf.DUMMYFUNCTION("""COMPUTED_VALUE"""),2007.0)</f>
        <v>2007</v>
      </c>
      <c r="M2943" s="308" t="s">
        <v>12135</v>
      </c>
      <c r="N2943" s="308"/>
      <c r="O2943" s="308" t="s">
        <v>12136</v>
      </c>
      <c r="P2943" s="308" t="s">
        <v>2774</v>
      </c>
      <c r="Q2943" s="308"/>
      <c r="R2943" s="312"/>
      <c r="S2943" s="308" t="s">
        <v>49</v>
      </c>
      <c r="T2943" s="308" t="s">
        <v>51</v>
      </c>
      <c r="U2943" s="308"/>
      <c r="V2943" s="312"/>
    </row>
    <row r="2944">
      <c r="A2944" s="308">
        <v>2943.0</v>
      </c>
      <c r="B2944" s="308"/>
      <c r="C2944" s="308" t="s">
        <v>12137</v>
      </c>
      <c r="D2944" s="308">
        <f>IFERROR(__xludf.DUMMYFUNCTION("SPLIT(C2944,""-"")"),2964.0)</f>
        <v>2964</v>
      </c>
      <c r="E2944" s="308" t="str">
        <f>IFERROR(__xludf.DUMMYFUNCTION("""COMPUTED_VALUE"""),"P")</f>
        <v>P</v>
      </c>
      <c r="F2944" s="312" t="s">
        <v>37</v>
      </c>
      <c r="G2944" s="308" t="s">
        <v>12138</v>
      </c>
      <c r="H2944" s="308" t="s">
        <v>12139</v>
      </c>
      <c r="I2944" s="310">
        <v>42172.0</v>
      </c>
      <c r="J2944" s="319">
        <f>IFERROR(__xludf.DUMMYFUNCTION("SPLIT(I2944,""/"")"),17.0)</f>
        <v>17</v>
      </c>
      <c r="K2944" s="308">
        <f>IFERROR(__xludf.DUMMYFUNCTION("""COMPUTED_VALUE"""),6.0)</f>
        <v>6</v>
      </c>
      <c r="L2944" s="308">
        <f>IFERROR(__xludf.DUMMYFUNCTION("""COMPUTED_VALUE"""),2015.0)</f>
        <v>2015</v>
      </c>
      <c r="M2944" s="308" t="s">
        <v>36827</v>
      </c>
      <c r="N2944" s="308"/>
      <c r="O2944" s="308" t="s">
        <v>635</v>
      </c>
      <c r="P2944" s="308" t="s">
        <v>12141</v>
      </c>
      <c r="Q2944" s="308"/>
      <c r="R2944" s="308"/>
      <c r="S2944" s="308" t="s">
        <v>81</v>
      </c>
      <c r="T2944" s="311" t="s">
        <v>96</v>
      </c>
      <c r="U2944" s="308"/>
      <c r="V2944" s="312"/>
    </row>
    <row r="2945">
      <c r="A2945" s="308">
        <v>2944.0</v>
      </c>
      <c r="B2945" s="308"/>
      <c r="C2945" s="308" t="s">
        <v>12142</v>
      </c>
      <c r="D2945" s="308">
        <f>IFERROR(__xludf.DUMMYFUNCTION("SPLIT(C2945,""-"")"),2965.0)</f>
        <v>2965</v>
      </c>
      <c r="E2945" s="308" t="str">
        <f>IFERROR(__xludf.DUMMYFUNCTION("""COMPUTED_VALUE"""),"K")</f>
        <v>K</v>
      </c>
      <c r="F2945" s="309" t="s">
        <v>34</v>
      </c>
      <c r="G2945" s="308"/>
      <c r="H2945" s="308" t="s">
        <v>12143</v>
      </c>
      <c r="I2945" s="310">
        <v>41164.0</v>
      </c>
      <c r="J2945" s="319">
        <f>IFERROR(__xludf.DUMMYFUNCTION("SPLIT(I2945,""/"")"),12.0)</f>
        <v>12</v>
      </c>
      <c r="K2945" s="308">
        <f>IFERROR(__xludf.DUMMYFUNCTION("""COMPUTED_VALUE"""),9.0)</f>
        <v>9</v>
      </c>
      <c r="L2945" s="308">
        <f>IFERROR(__xludf.DUMMYFUNCTION("""COMPUTED_VALUE"""),2012.0)</f>
        <v>2012</v>
      </c>
      <c r="M2945" s="308" t="s">
        <v>12144</v>
      </c>
      <c r="N2945" s="308"/>
      <c r="O2945" s="308" t="s">
        <v>12145</v>
      </c>
      <c r="P2945" s="308" t="s">
        <v>12146</v>
      </c>
      <c r="Q2945" s="308"/>
      <c r="R2945" s="308"/>
      <c r="S2945" s="308" t="s">
        <v>81</v>
      </c>
      <c r="T2945" s="308" t="s">
        <v>75</v>
      </c>
      <c r="U2945" s="308" t="s">
        <v>542</v>
      </c>
      <c r="V2945" s="312"/>
    </row>
    <row r="2946">
      <c r="A2946" s="308">
        <v>2945.0</v>
      </c>
      <c r="B2946" s="308"/>
      <c r="C2946" s="308" t="s">
        <v>12147</v>
      </c>
      <c r="D2946" s="308">
        <f>IFERROR(__xludf.DUMMYFUNCTION("SPLIT(C2946,""-"")"),2966.0)</f>
        <v>2966</v>
      </c>
      <c r="E2946" s="308" t="str">
        <f>IFERROR(__xludf.DUMMYFUNCTION("""COMPUTED_VALUE"""),"S")</f>
        <v>S</v>
      </c>
      <c r="F2946" s="312" t="s">
        <v>39</v>
      </c>
      <c r="G2946" s="308"/>
      <c r="H2946" s="308" t="s">
        <v>12148</v>
      </c>
      <c r="I2946" s="314">
        <v>42327.0</v>
      </c>
      <c r="J2946" s="319">
        <f>IFERROR(__xludf.DUMMYFUNCTION("SPLIT(I2946,""/"")"),19.0)</f>
        <v>19</v>
      </c>
      <c r="K2946" s="308">
        <f>IFERROR(__xludf.DUMMYFUNCTION("""COMPUTED_VALUE"""),11.0)</f>
        <v>11</v>
      </c>
      <c r="L2946" s="308">
        <f>IFERROR(__xludf.DUMMYFUNCTION("""COMPUTED_VALUE"""),2015.0)</f>
        <v>2015</v>
      </c>
      <c r="M2946" s="308" t="s">
        <v>12149</v>
      </c>
      <c r="N2946" s="308"/>
      <c r="O2946" s="308" t="s">
        <v>635</v>
      </c>
      <c r="P2946" s="308" t="s">
        <v>11584</v>
      </c>
      <c r="Q2946" s="308"/>
      <c r="R2946" s="308"/>
      <c r="S2946" s="308" t="s">
        <v>81</v>
      </c>
      <c r="T2946" s="308" t="s">
        <v>73</v>
      </c>
      <c r="U2946" s="308" t="s">
        <v>166</v>
      </c>
      <c r="V2946" s="312"/>
    </row>
    <row r="2947">
      <c r="A2947" s="308">
        <v>2946.0</v>
      </c>
      <c r="B2947" s="308"/>
      <c r="C2947" s="308" t="s">
        <v>12150</v>
      </c>
      <c r="D2947" s="308">
        <f>IFERROR(__xludf.DUMMYFUNCTION("SPLIT(C2947,""-"")"),2967.0)</f>
        <v>2967</v>
      </c>
      <c r="E2947" s="308" t="str">
        <f>IFERROR(__xludf.DUMMYFUNCTION("""COMPUTED_VALUE"""),"S")</f>
        <v>S</v>
      </c>
      <c r="F2947" s="312" t="s">
        <v>39</v>
      </c>
      <c r="G2947" s="308"/>
      <c r="H2947" s="308" t="s">
        <v>12151</v>
      </c>
      <c r="I2947" s="314">
        <v>42327.0</v>
      </c>
      <c r="J2947" s="319">
        <f>IFERROR(__xludf.DUMMYFUNCTION("SPLIT(I2947,""/"")"),19.0)</f>
        <v>19</v>
      </c>
      <c r="K2947" s="308">
        <f>IFERROR(__xludf.DUMMYFUNCTION("""COMPUTED_VALUE"""),11.0)</f>
        <v>11</v>
      </c>
      <c r="L2947" s="308">
        <f>IFERROR(__xludf.DUMMYFUNCTION("""COMPUTED_VALUE"""),2015.0)</f>
        <v>2015</v>
      </c>
      <c r="M2947" s="308" t="s">
        <v>12152</v>
      </c>
      <c r="N2947" s="308"/>
      <c r="O2947" s="308" t="s">
        <v>635</v>
      </c>
      <c r="P2947" s="308" t="s">
        <v>11584</v>
      </c>
      <c r="Q2947" s="308"/>
      <c r="R2947" s="308"/>
      <c r="S2947" s="308" t="s">
        <v>81</v>
      </c>
      <c r="T2947" s="308" t="s">
        <v>73</v>
      </c>
      <c r="U2947" s="308" t="s">
        <v>166</v>
      </c>
      <c r="V2947" s="312"/>
    </row>
    <row r="2948">
      <c r="A2948" s="308">
        <v>2947.0</v>
      </c>
      <c r="B2948" s="308"/>
      <c r="C2948" s="308" t="s">
        <v>12153</v>
      </c>
      <c r="D2948" s="308">
        <f>IFERROR(__xludf.DUMMYFUNCTION("SPLIT(C2948,""-"")"),2968.0)</f>
        <v>2968</v>
      </c>
      <c r="E2948" s="308" t="str">
        <f>IFERROR(__xludf.DUMMYFUNCTION("""COMPUTED_VALUE"""),"S")</f>
        <v>S</v>
      </c>
      <c r="F2948" s="312" t="s">
        <v>39</v>
      </c>
      <c r="G2948" s="308"/>
      <c r="H2948" s="308" t="s">
        <v>12154</v>
      </c>
      <c r="I2948" s="314">
        <v>42329.0</v>
      </c>
      <c r="J2948" s="319">
        <f>IFERROR(__xludf.DUMMYFUNCTION("SPLIT(I2948,""/"")"),21.0)</f>
        <v>21</v>
      </c>
      <c r="K2948" s="308">
        <f>IFERROR(__xludf.DUMMYFUNCTION("""COMPUTED_VALUE"""),11.0)</f>
        <v>11</v>
      </c>
      <c r="L2948" s="308">
        <f>IFERROR(__xludf.DUMMYFUNCTION("""COMPUTED_VALUE"""),2015.0)</f>
        <v>2015</v>
      </c>
      <c r="M2948" s="308" t="s">
        <v>12155</v>
      </c>
      <c r="N2948" s="308"/>
      <c r="O2948" s="308" t="s">
        <v>635</v>
      </c>
      <c r="P2948" s="308" t="s">
        <v>9535</v>
      </c>
      <c r="Q2948" s="308"/>
      <c r="R2948" s="308"/>
      <c r="S2948" s="308" t="s">
        <v>81</v>
      </c>
      <c r="T2948" s="308" t="s">
        <v>75</v>
      </c>
      <c r="U2948" s="308" t="s">
        <v>166</v>
      </c>
      <c r="V2948" s="312"/>
    </row>
    <row r="2949">
      <c r="A2949" s="308">
        <v>2948.0</v>
      </c>
      <c r="B2949" s="308"/>
      <c r="C2949" s="308" t="s">
        <v>12156</v>
      </c>
      <c r="D2949" s="308">
        <f>IFERROR(__xludf.DUMMYFUNCTION("SPLIT(C2949,""-"")"),2969.0)</f>
        <v>2969</v>
      </c>
      <c r="E2949" s="308" t="str">
        <f>IFERROR(__xludf.DUMMYFUNCTION("""COMPUTED_VALUE"""),"S")</f>
        <v>S</v>
      </c>
      <c r="F2949" s="312" t="s">
        <v>39</v>
      </c>
      <c r="G2949" s="308"/>
      <c r="H2949" s="308" t="s">
        <v>12157</v>
      </c>
      <c r="I2949" s="314">
        <v>42329.0</v>
      </c>
      <c r="J2949" s="319">
        <f>IFERROR(__xludf.DUMMYFUNCTION("SPLIT(I2949,""/"")"),21.0)</f>
        <v>21</v>
      </c>
      <c r="K2949" s="308">
        <f>IFERROR(__xludf.DUMMYFUNCTION("""COMPUTED_VALUE"""),11.0)</f>
        <v>11</v>
      </c>
      <c r="L2949" s="308">
        <f>IFERROR(__xludf.DUMMYFUNCTION("""COMPUTED_VALUE"""),2015.0)</f>
        <v>2015</v>
      </c>
      <c r="M2949" s="308"/>
      <c r="N2949" s="308"/>
      <c r="O2949" s="308" t="s">
        <v>635</v>
      </c>
      <c r="P2949" s="308" t="s">
        <v>12158</v>
      </c>
      <c r="Q2949" s="308"/>
      <c r="R2949" s="308"/>
      <c r="S2949" s="308" t="s">
        <v>49</v>
      </c>
      <c r="T2949" s="311" t="s">
        <v>67</v>
      </c>
      <c r="U2949" s="308" t="s">
        <v>166</v>
      </c>
      <c r="V2949" s="312"/>
    </row>
    <row r="2950">
      <c r="A2950" s="308">
        <v>2949.0</v>
      </c>
      <c r="B2950" s="308"/>
      <c r="C2950" s="308" t="s">
        <v>12159</v>
      </c>
      <c r="D2950" s="308">
        <f>IFERROR(__xludf.DUMMYFUNCTION("SPLIT(C2950,""-"")"),2970.0)</f>
        <v>2970</v>
      </c>
      <c r="E2950" s="308" t="str">
        <f>IFERROR(__xludf.DUMMYFUNCTION("""COMPUTED_VALUE"""),"S")</f>
        <v>S</v>
      </c>
      <c r="F2950" s="312" t="s">
        <v>39</v>
      </c>
      <c r="G2950" s="308"/>
      <c r="H2950" s="308" t="s">
        <v>12160</v>
      </c>
      <c r="I2950" s="314">
        <v>42329.0</v>
      </c>
      <c r="J2950" s="319">
        <f>IFERROR(__xludf.DUMMYFUNCTION("SPLIT(I2950,""/"")"),21.0)</f>
        <v>21</v>
      </c>
      <c r="K2950" s="308">
        <f>IFERROR(__xludf.DUMMYFUNCTION("""COMPUTED_VALUE"""),11.0)</f>
        <v>11</v>
      </c>
      <c r="L2950" s="308">
        <f>IFERROR(__xludf.DUMMYFUNCTION("""COMPUTED_VALUE"""),2015.0)</f>
        <v>2015</v>
      </c>
      <c r="M2950" s="308" t="s">
        <v>12161</v>
      </c>
      <c r="N2950" s="308"/>
      <c r="O2950" s="308" t="s">
        <v>635</v>
      </c>
      <c r="P2950" s="308" t="s">
        <v>9535</v>
      </c>
      <c r="Q2950" s="308"/>
      <c r="R2950" s="308"/>
      <c r="S2950" s="308" t="s">
        <v>81</v>
      </c>
      <c r="T2950" s="308" t="s">
        <v>75</v>
      </c>
      <c r="U2950" s="308" t="s">
        <v>166</v>
      </c>
      <c r="V2950" s="312"/>
    </row>
    <row r="2951">
      <c r="A2951" s="308">
        <v>2950.0</v>
      </c>
      <c r="B2951" s="308"/>
      <c r="C2951" s="308" t="s">
        <v>12162</v>
      </c>
      <c r="D2951" s="308">
        <f>IFERROR(__xludf.DUMMYFUNCTION("SPLIT(C2951,""-"")"),2971.0)</f>
        <v>2971</v>
      </c>
      <c r="E2951" s="308" t="str">
        <f>IFERROR(__xludf.DUMMYFUNCTION("""COMPUTED_VALUE"""),"S")</f>
        <v>S</v>
      </c>
      <c r="F2951" s="312" t="s">
        <v>39</v>
      </c>
      <c r="G2951" s="308"/>
      <c r="H2951" s="308" t="s">
        <v>12163</v>
      </c>
      <c r="I2951" s="314">
        <v>42329.0</v>
      </c>
      <c r="J2951" s="319">
        <f>IFERROR(__xludf.DUMMYFUNCTION("SPLIT(I2951,""/"")"),21.0)</f>
        <v>21</v>
      </c>
      <c r="K2951" s="308">
        <f>IFERROR(__xludf.DUMMYFUNCTION("""COMPUTED_VALUE"""),11.0)</f>
        <v>11</v>
      </c>
      <c r="L2951" s="308">
        <f>IFERROR(__xludf.DUMMYFUNCTION("""COMPUTED_VALUE"""),2015.0)</f>
        <v>2015</v>
      </c>
      <c r="M2951" s="308" t="s">
        <v>12164</v>
      </c>
      <c r="N2951" s="308"/>
      <c r="O2951" s="308" t="s">
        <v>635</v>
      </c>
      <c r="P2951" s="308" t="s">
        <v>9535</v>
      </c>
      <c r="Q2951" s="308"/>
      <c r="R2951" s="308"/>
      <c r="S2951" s="308" t="s">
        <v>81</v>
      </c>
      <c r="T2951" s="308" t="s">
        <v>75</v>
      </c>
      <c r="U2951" s="308" t="s">
        <v>166</v>
      </c>
      <c r="V2951" s="312"/>
    </row>
    <row r="2952">
      <c r="A2952" s="308">
        <v>2951.0</v>
      </c>
      <c r="B2952" s="308"/>
      <c r="C2952" s="308" t="s">
        <v>12165</v>
      </c>
      <c r="D2952" s="308">
        <f>IFERROR(__xludf.DUMMYFUNCTION("SPLIT(C2952,""-"")"),2972.0)</f>
        <v>2972</v>
      </c>
      <c r="E2952" s="308" t="str">
        <f>IFERROR(__xludf.DUMMYFUNCTION("""COMPUTED_VALUE"""),"S")</f>
        <v>S</v>
      </c>
      <c r="F2952" s="312" t="s">
        <v>39</v>
      </c>
      <c r="G2952" s="308"/>
      <c r="H2952" s="308" t="s">
        <v>12166</v>
      </c>
      <c r="I2952" s="314">
        <v>42329.0</v>
      </c>
      <c r="J2952" s="319">
        <f>IFERROR(__xludf.DUMMYFUNCTION("SPLIT(I2952,""/"")"),21.0)</f>
        <v>21</v>
      </c>
      <c r="K2952" s="308">
        <f>IFERROR(__xludf.DUMMYFUNCTION("""COMPUTED_VALUE"""),11.0)</f>
        <v>11</v>
      </c>
      <c r="L2952" s="308">
        <f>IFERROR(__xludf.DUMMYFUNCTION("""COMPUTED_VALUE"""),2015.0)</f>
        <v>2015</v>
      </c>
      <c r="M2952" s="308" t="s">
        <v>12167</v>
      </c>
      <c r="N2952" s="308"/>
      <c r="O2952" s="308" t="s">
        <v>635</v>
      </c>
      <c r="P2952" s="308" t="s">
        <v>11266</v>
      </c>
      <c r="Q2952" s="308"/>
      <c r="R2952" s="308"/>
      <c r="S2952" s="308" t="s">
        <v>81</v>
      </c>
      <c r="T2952" s="311" t="s">
        <v>94</v>
      </c>
      <c r="U2952" s="308" t="s">
        <v>166</v>
      </c>
      <c r="V2952" s="312"/>
    </row>
    <row r="2953">
      <c r="A2953" s="308">
        <v>2952.0</v>
      </c>
      <c r="B2953" s="308"/>
      <c r="C2953" s="308" t="s">
        <v>12168</v>
      </c>
      <c r="D2953" s="308">
        <f>IFERROR(__xludf.DUMMYFUNCTION("SPLIT(C2953,""-"")"),2973.0)</f>
        <v>2973</v>
      </c>
      <c r="E2953" s="308" t="str">
        <f>IFERROR(__xludf.DUMMYFUNCTION("""COMPUTED_VALUE"""),"S")</f>
        <v>S</v>
      </c>
      <c r="F2953" s="312" t="s">
        <v>39</v>
      </c>
      <c r="G2953" s="308"/>
      <c r="H2953" s="308" t="s">
        <v>12169</v>
      </c>
      <c r="I2953" s="314">
        <v>42329.0</v>
      </c>
      <c r="J2953" s="319">
        <f>IFERROR(__xludf.DUMMYFUNCTION("SPLIT(I2953,""/"")"),21.0)</f>
        <v>21</v>
      </c>
      <c r="K2953" s="308">
        <f>IFERROR(__xludf.DUMMYFUNCTION("""COMPUTED_VALUE"""),11.0)</f>
        <v>11</v>
      </c>
      <c r="L2953" s="308">
        <f>IFERROR(__xludf.DUMMYFUNCTION("""COMPUTED_VALUE"""),2015.0)</f>
        <v>2015</v>
      </c>
      <c r="M2953" s="308"/>
      <c r="N2953" s="308"/>
      <c r="O2953" s="308" t="s">
        <v>635</v>
      </c>
      <c r="P2953" s="308" t="s">
        <v>12170</v>
      </c>
      <c r="Q2953" s="308"/>
      <c r="R2953" s="308"/>
      <c r="S2953" s="308" t="s">
        <v>49</v>
      </c>
      <c r="T2953" s="311" t="s">
        <v>67</v>
      </c>
      <c r="U2953" s="308" t="s">
        <v>166</v>
      </c>
      <c r="V2953" s="312"/>
    </row>
    <row r="2954">
      <c r="A2954" s="308">
        <v>2953.0</v>
      </c>
      <c r="B2954" s="308"/>
      <c r="C2954" s="308" t="s">
        <v>12171</v>
      </c>
      <c r="D2954" s="308">
        <f>IFERROR(__xludf.DUMMYFUNCTION("SPLIT(C2954,""-"")"),2974.0)</f>
        <v>2974</v>
      </c>
      <c r="E2954" s="308" t="str">
        <f>IFERROR(__xludf.DUMMYFUNCTION("""COMPUTED_VALUE"""),"S")</f>
        <v>S</v>
      </c>
      <c r="F2954" s="312" t="s">
        <v>39</v>
      </c>
      <c r="G2954" s="308"/>
      <c r="H2954" s="308" t="s">
        <v>12172</v>
      </c>
      <c r="I2954" s="314">
        <v>42329.0</v>
      </c>
      <c r="J2954" s="319">
        <f>IFERROR(__xludf.DUMMYFUNCTION("SPLIT(I2954,""/"")"),21.0)</f>
        <v>21</v>
      </c>
      <c r="K2954" s="308">
        <f>IFERROR(__xludf.DUMMYFUNCTION("""COMPUTED_VALUE"""),11.0)</f>
        <v>11</v>
      </c>
      <c r="L2954" s="308">
        <f>IFERROR(__xludf.DUMMYFUNCTION("""COMPUTED_VALUE"""),2015.0)</f>
        <v>2015</v>
      </c>
      <c r="M2954" s="308"/>
      <c r="N2954" s="308"/>
      <c r="O2954" s="308" t="s">
        <v>635</v>
      </c>
      <c r="P2954" s="308" t="s">
        <v>12158</v>
      </c>
      <c r="Q2954" s="308"/>
      <c r="R2954" s="308"/>
      <c r="S2954" s="308" t="s">
        <v>49</v>
      </c>
      <c r="T2954" s="311" t="s">
        <v>67</v>
      </c>
      <c r="U2954" s="308" t="s">
        <v>166</v>
      </c>
      <c r="V2954" s="312"/>
    </row>
    <row r="2955">
      <c r="A2955" s="308">
        <v>2954.0</v>
      </c>
      <c r="B2955" s="308"/>
      <c r="C2955" s="308" t="s">
        <v>12173</v>
      </c>
      <c r="D2955" s="308">
        <f>IFERROR(__xludf.DUMMYFUNCTION("SPLIT(C2955,""-"")"),2975.0)</f>
        <v>2975</v>
      </c>
      <c r="E2955" s="308" t="str">
        <f>IFERROR(__xludf.DUMMYFUNCTION("""COMPUTED_VALUE"""),"S")</f>
        <v>S</v>
      </c>
      <c r="F2955" s="312" t="s">
        <v>39</v>
      </c>
      <c r="G2955" s="308"/>
      <c r="H2955" s="308" t="s">
        <v>12174</v>
      </c>
      <c r="I2955" s="314">
        <v>42329.0</v>
      </c>
      <c r="J2955" s="319">
        <f>IFERROR(__xludf.DUMMYFUNCTION("SPLIT(I2955,""/"")"),21.0)</f>
        <v>21</v>
      </c>
      <c r="K2955" s="308">
        <f>IFERROR(__xludf.DUMMYFUNCTION("""COMPUTED_VALUE"""),11.0)</f>
        <v>11</v>
      </c>
      <c r="L2955" s="308">
        <f>IFERROR(__xludf.DUMMYFUNCTION("""COMPUTED_VALUE"""),2015.0)</f>
        <v>2015</v>
      </c>
      <c r="M2955" s="308" t="s">
        <v>12175</v>
      </c>
      <c r="N2955" s="308"/>
      <c r="O2955" s="308" t="s">
        <v>635</v>
      </c>
      <c r="P2955" s="308" t="s">
        <v>9438</v>
      </c>
      <c r="Q2955" s="308"/>
      <c r="R2955" s="308"/>
      <c r="S2955" s="308" t="s">
        <v>81</v>
      </c>
      <c r="T2955" s="311" t="s">
        <v>73</v>
      </c>
      <c r="U2955" s="308" t="s">
        <v>166</v>
      </c>
      <c r="V2955" s="312"/>
    </row>
    <row r="2956">
      <c r="A2956" s="308">
        <v>2955.0</v>
      </c>
      <c r="B2956" s="308"/>
      <c r="C2956" s="308" t="s">
        <v>12176</v>
      </c>
      <c r="D2956" s="308">
        <f>IFERROR(__xludf.DUMMYFUNCTION("SPLIT(C2956,""-"")"),2976.0)</f>
        <v>2976</v>
      </c>
      <c r="E2956" s="308" t="str">
        <f>IFERROR(__xludf.DUMMYFUNCTION("""COMPUTED_VALUE"""),"S")</f>
        <v>S</v>
      </c>
      <c r="F2956" s="312" t="s">
        <v>39</v>
      </c>
      <c r="G2956" s="308"/>
      <c r="H2956" s="308" t="s">
        <v>12177</v>
      </c>
      <c r="I2956" s="314">
        <v>42329.0</v>
      </c>
      <c r="J2956" s="319">
        <f>IFERROR(__xludf.DUMMYFUNCTION("SPLIT(I2956,""/"")"),21.0)</f>
        <v>21</v>
      </c>
      <c r="K2956" s="308">
        <f>IFERROR(__xludf.DUMMYFUNCTION("""COMPUTED_VALUE"""),11.0)</f>
        <v>11</v>
      </c>
      <c r="L2956" s="308">
        <f>IFERROR(__xludf.DUMMYFUNCTION("""COMPUTED_VALUE"""),2015.0)</f>
        <v>2015</v>
      </c>
      <c r="M2956" s="308" t="s">
        <v>12178</v>
      </c>
      <c r="N2956" s="308"/>
      <c r="O2956" s="308" t="s">
        <v>635</v>
      </c>
      <c r="P2956" s="308" t="s">
        <v>11584</v>
      </c>
      <c r="Q2956" s="308"/>
      <c r="R2956" s="308"/>
      <c r="S2956" s="308" t="s">
        <v>81</v>
      </c>
      <c r="T2956" s="308" t="s">
        <v>73</v>
      </c>
      <c r="U2956" s="308" t="s">
        <v>166</v>
      </c>
      <c r="V2956" s="312"/>
    </row>
    <row r="2957">
      <c r="A2957" s="308">
        <v>2956.0</v>
      </c>
      <c r="B2957" s="308"/>
      <c r="C2957" s="308" t="s">
        <v>12179</v>
      </c>
      <c r="D2957" s="308">
        <f>IFERROR(__xludf.DUMMYFUNCTION("SPLIT(C2957,""-"")"),2977.0)</f>
        <v>2977</v>
      </c>
      <c r="E2957" s="308" t="str">
        <f>IFERROR(__xludf.DUMMYFUNCTION("""COMPUTED_VALUE"""),"S")</f>
        <v>S</v>
      </c>
      <c r="F2957" s="312" t="s">
        <v>39</v>
      </c>
      <c r="G2957" s="308"/>
      <c r="H2957" s="308" t="s">
        <v>12180</v>
      </c>
      <c r="I2957" s="314">
        <v>42329.0</v>
      </c>
      <c r="J2957" s="319">
        <f>IFERROR(__xludf.DUMMYFUNCTION("SPLIT(I2957,""/"")"),21.0)</f>
        <v>21</v>
      </c>
      <c r="K2957" s="308">
        <f>IFERROR(__xludf.DUMMYFUNCTION("""COMPUTED_VALUE"""),11.0)</f>
        <v>11</v>
      </c>
      <c r="L2957" s="308">
        <f>IFERROR(__xludf.DUMMYFUNCTION("""COMPUTED_VALUE"""),2015.0)</f>
        <v>2015</v>
      </c>
      <c r="M2957" s="308" t="s">
        <v>12181</v>
      </c>
      <c r="N2957" s="308"/>
      <c r="O2957" s="308" t="s">
        <v>635</v>
      </c>
      <c r="P2957" s="308" t="s">
        <v>9535</v>
      </c>
      <c r="Q2957" s="308"/>
      <c r="R2957" s="308"/>
      <c r="S2957" s="308" t="s">
        <v>81</v>
      </c>
      <c r="T2957" s="308" t="s">
        <v>75</v>
      </c>
      <c r="U2957" s="308" t="s">
        <v>166</v>
      </c>
      <c r="V2957" s="312"/>
    </row>
    <row r="2958">
      <c r="A2958" s="308">
        <v>2957.0</v>
      </c>
      <c r="B2958" s="308"/>
      <c r="C2958" s="308" t="s">
        <v>12182</v>
      </c>
      <c r="D2958" s="308">
        <f>IFERROR(__xludf.DUMMYFUNCTION("SPLIT(C2958,""-"")"),2978.0)</f>
        <v>2978</v>
      </c>
      <c r="E2958" s="308" t="str">
        <f>IFERROR(__xludf.DUMMYFUNCTION("""COMPUTED_VALUE"""),"S")</f>
        <v>S</v>
      </c>
      <c r="F2958" s="312" t="s">
        <v>39</v>
      </c>
      <c r="G2958" s="308"/>
      <c r="H2958" s="308" t="s">
        <v>12183</v>
      </c>
      <c r="I2958" s="314">
        <v>42329.0</v>
      </c>
      <c r="J2958" s="319">
        <f>IFERROR(__xludf.DUMMYFUNCTION("SPLIT(I2958,""/"")"),21.0)</f>
        <v>21</v>
      </c>
      <c r="K2958" s="308">
        <f>IFERROR(__xludf.DUMMYFUNCTION("""COMPUTED_VALUE"""),11.0)</f>
        <v>11</v>
      </c>
      <c r="L2958" s="308">
        <f>IFERROR(__xludf.DUMMYFUNCTION("""COMPUTED_VALUE"""),2015.0)</f>
        <v>2015</v>
      </c>
      <c r="M2958" s="308" t="s">
        <v>12184</v>
      </c>
      <c r="N2958" s="308"/>
      <c r="O2958" s="308" t="s">
        <v>635</v>
      </c>
      <c r="P2958" s="308" t="s">
        <v>9535</v>
      </c>
      <c r="Q2958" s="308"/>
      <c r="R2958" s="308"/>
      <c r="S2958" s="308" t="s">
        <v>81</v>
      </c>
      <c r="T2958" s="308" t="s">
        <v>75</v>
      </c>
      <c r="U2958" s="308" t="s">
        <v>166</v>
      </c>
      <c r="V2958" s="312"/>
    </row>
    <row r="2959">
      <c r="A2959" s="308">
        <v>2958.0</v>
      </c>
      <c r="B2959" s="308"/>
      <c r="C2959" s="308" t="s">
        <v>12185</v>
      </c>
      <c r="D2959" s="308">
        <f>IFERROR(__xludf.DUMMYFUNCTION("SPLIT(C2959,""-"")"),2979.0)</f>
        <v>2979</v>
      </c>
      <c r="E2959" s="308" t="str">
        <f>IFERROR(__xludf.DUMMYFUNCTION("""COMPUTED_VALUE"""),"S")</f>
        <v>S</v>
      </c>
      <c r="F2959" s="312" t="s">
        <v>39</v>
      </c>
      <c r="G2959" s="308"/>
      <c r="H2959" s="308" t="s">
        <v>12186</v>
      </c>
      <c r="I2959" s="314">
        <v>42329.0</v>
      </c>
      <c r="J2959" s="319">
        <f>IFERROR(__xludf.DUMMYFUNCTION("SPLIT(I2959,""/"")"),21.0)</f>
        <v>21</v>
      </c>
      <c r="K2959" s="308">
        <f>IFERROR(__xludf.DUMMYFUNCTION("""COMPUTED_VALUE"""),11.0)</f>
        <v>11</v>
      </c>
      <c r="L2959" s="308">
        <f>IFERROR(__xludf.DUMMYFUNCTION("""COMPUTED_VALUE"""),2015.0)</f>
        <v>2015</v>
      </c>
      <c r="M2959" s="308" t="s">
        <v>36828</v>
      </c>
      <c r="N2959" s="308"/>
      <c r="O2959" s="308" t="s">
        <v>635</v>
      </c>
      <c r="P2959" s="308" t="s">
        <v>9535</v>
      </c>
      <c r="Q2959" s="308"/>
      <c r="R2959" s="308"/>
      <c r="S2959" s="308" t="s">
        <v>81</v>
      </c>
      <c r="T2959" s="308" t="s">
        <v>75</v>
      </c>
      <c r="U2959" s="308" t="s">
        <v>166</v>
      </c>
      <c r="V2959" s="312"/>
    </row>
    <row r="2960">
      <c r="A2960" s="308">
        <v>2959.0</v>
      </c>
      <c r="B2960" s="308"/>
      <c r="C2960" s="308" t="s">
        <v>12188</v>
      </c>
      <c r="D2960" s="308">
        <f>IFERROR(__xludf.DUMMYFUNCTION("SPLIT(C2960,""-"")"),2980.0)</f>
        <v>2980</v>
      </c>
      <c r="E2960" s="308" t="str">
        <f>IFERROR(__xludf.DUMMYFUNCTION("""COMPUTED_VALUE"""),"S")</f>
        <v>S</v>
      </c>
      <c r="F2960" s="312" t="s">
        <v>39</v>
      </c>
      <c r="G2960" s="308"/>
      <c r="H2960" s="308" t="s">
        <v>12189</v>
      </c>
      <c r="I2960" s="314">
        <v>42329.0</v>
      </c>
      <c r="J2960" s="319">
        <f>IFERROR(__xludf.DUMMYFUNCTION("SPLIT(I2960,""/"")"),21.0)</f>
        <v>21</v>
      </c>
      <c r="K2960" s="308">
        <f>IFERROR(__xludf.DUMMYFUNCTION("""COMPUTED_VALUE"""),11.0)</f>
        <v>11</v>
      </c>
      <c r="L2960" s="308">
        <f>IFERROR(__xludf.DUMMYFUNCTION("""COMPUTED_VALUE"""),2015.0)</f>
        <v>2015</v>
      </c>
      <c r="M2960" s="308" t="s">
        <v>12190</v>
      </c>
      <c r="N2960" s="308"/>
      <c r="O2960" s="308" t="s">
        <v>635</v>
      </c>
      <c r="P2960" s="308" t="s">
        <v>12191</v>
      </c>
      <c r="Q2960" s="308"/>
      <c r="R2960" s="308"/>
      <c r="S2960" s="308" t="s">
        <v>81</v>
      </c>
      <c r="T2960" s="311" t="s">
        <v>89</v>
      </c>
      <c r="U2960" s="308" t="s">
        <v>166</v>
      </c>
      <c r="V2960" s="312"/>
    </row>
    <row r="2961">
      <c r="A2961" s="308">
        <v>2960.0</v>
      </c>
      <c r="B2961" s="308"/>
      <c r="C2961" s="308" t="s">
        <v>12192</v>
      </c>
      <c r="D2961" s="308">
        <f>IFERROR(__xludf.DUMMYFUNCTION("SPLIT(C2961,""-"")"),2981.0)</f>
        <v>2981</v>
      </c>
      <c r="E2961" s="308" t="str">
        <f>IFERROR(__xludf.DUMMYFUNCTION("""COMPUTED_VALUE"""),"S")</f>
        <v>S</v>
      </c>
      <c r="F2961" s="312" t="s">
        <v>39</v>
      </c>
      <c r="G2961" s="308"/>
      <c r="H2961" s="308" t="s">
        <v>12193</v>
      </c>
      <c r="I2961" s="314">
        <v>42329.0</v>
      </c>
      <c r="J2961" s="319">
        <f>IFERROR(__xludf.DUMMYFUNCTION("SPLIT(I2961,""/"")"),21.0)</f>
        <v>21</v>
      </c>
      <c r="K2961" s="308">
        <f>IFERROR(__xludf.DUMMYFUNCTION("""COMPUTED_VALUE"""),11.0)</f>
        <v>11</v>
      </c>
      <c r="L2961" s="308">
        <f>IFERROR(__xludf.DUMMYFUNCTION("""COMPUTED_VALUE"""),2015.0)</f>
        <v>2015</v>
      </c>
      <c r="M2961" s="308" t="s">
        <v>12194</v>
      </c>
      <c r="N2961" s="308"/>
      <c r="O2961" s="308" t="s">
        <v>635</v>
      </c>
      <c r="P2961" s="308" t="s">
        <v>9901</v>
      </c>
      <c r="Q2961" s="308"/>
      <c r="R2961" s="308"/>
      <c r="S2961" s="308" t="s">
        <v>81</v>
      </c>
      <c r="T2961" s="311" t="s">
        <v>73</v>
      </c>
      <c r="U2961" s="312"/>
      <c r="V2961" s="312"/>
    </row>
    <row r="2962">
      <c r="A2962" s="308">
        <v>2961.0</v>
      </c>
      <c r="B2962" s="308"/>
      <c r="C2962" s="308" t="s">
        <v>12195</v>
      </c>
      <c r="D2962" s="308">
        <f>IFERROR(__xludf.DUMMYFUNCTION("SPLIT(C2962,""-"")"),2982.0)</f>
        <v>2982</v>
      </c>
      <c r="E2962" s="308" t="str">
        <f>IFERROR(__xludf.DUMMYFUNCTION("""COMPUTED_VALUE"""),"S")</f>
        <v>S</v>
      </c>
      <c r="F2962" s="312" t="s">
        <v>39</v>
      </c>
      <c r="G2962" s="308"/>
      <c r="H2962" s="308" t="s">
        <v>12196</v>
      </c>
      <c r="I2962" s="314">
        <v>42329.0</v>
      </c>
      <c r="J2962" s="319">
        <f>IFERROR(__xludf.DUMMYFUNCTION("SPLIT(I2962,""/"")"),21.0)</f>
        <v>21</v>
      </c>
      <c r="K2962" s="308">
        <f>IFERROR(__xludf.DUMMYFUNCTION("""COMPUTED_VALUE"""),11.0)</f>
        <v>11</v>
      </c>
      <c r="L2962" s="308">
        <f>IFERROR(__xludf.DUMMYFUNCTION("""COMPUTED_VALUE"""),2015.0)</f>
        <v>2015</v>
      </c>
      <c r="M2962" s="308" t="s">
        <v>12197</v>
      </c>
      <c r="N2962" s="308"/>
      <c r="O2962" s="308" t="s">
        <v>635</v>
      </c>
      <c r="P2962" s="308" t="s">
        <v>9535</v>
      </c>
      <c r="Q2962" s="308"/>
      <c r="R2962" s="308"/>
      <c r="S2962" s="308" t="s">
        <v>81</v>
      </c>
      <c r="T2962" s="308" t="s">
        <v>75</v>
      </c>
      <c r="U2962" s="308" t="s">
        <v>166</v>
      </c>
      <c r="V2962" s="312"/>
    </row>
    <row r="2963">
      <c r="A2963" s="308">
        <v>2962.0</v>
      </c>
      <c r="B2963" s="308"/>
      <c r="C2963" s="308" t="s">
        <v>12198</v>
      </c>
      <c r="D2963" s="308">
        <f>IFERROR(__xludf.DUMMYFUNCTION("SPLIT(C2963,""-"")"),2983.0)</f>
        <v>2983</v>
      </c>
      <c r="E2963" s="308" t="str">
        <f>IFERROR(__xludf.DUMMYFUNCTION("""COMPUTED_VALUE"""),"S")</f>
        <v>S</v>
      </c>
      <c r="F2963" s="312" t="s">
        <v>39</v>
      </c>
      <c r="G2963" s="308"/>
      <c r="H2963" s="308" t="s">
        <v>12199</v>
      </c>
      <c r="I2963" s="314">
        <v>42329.0</v>
      </c>
      <c r="J2963" s="319">
        <f>IFERROR(__xludf.DUMMYFUNCTION("SPLIT(I2963,""/"")"),21.0)</f>
        <v>21</v>
      </c>
      <c r="K2963" s="308">
        <f>IFERROR(__xludf.DUMMYFUNCTION("""COMPUTED_VALUE"""),11.0)</f>
        <v>11</v>
      </c>
      <c r="L2963" s="308">
        <f>IFERROR(__xludf.DUMMYFUNCTION("""COMPUTED_VALUE"""),2015.0)</f>
        <v>2015</v>
      </c>
      <c r="M2963" s="308" t="s">
        <v>12200</v>
      </c>
      <c r="N2963" s="308"/>
      <c r="O2963" s="308" t="s">
        <v>635</v>
      </c>
      <c r="P2963" s="308" t="s">
        <v>11584</v>
      </c>
      <c r="Q2963" s="308"/>
      <c r="R2963" s="308"/>
      <c r="S2963" s="308" t="s">
        <v>81</v>
      </c>
      <c r="T2963" s="308" t="s">
        <v>73</v>
      </c>
      <c r="U2963" s="308" t="s">
        <v>166</v>
      </c>
      <c r="V2963" s="312"/>
    </row>
    <row r="2964">
      <c r="A2964" s="308">
        <v>2963.0</v>
      </c>
      <c r="B2964" s="308"/>
      <c r="C2964" s="308" t="s">
        <v>12201</v>
      </c>
      <c r="D2964" s="308">
        <f>IFERROR(__xludf.DUMMYFUNCTION("SPLIT(C2964,""-"")"),2984.0)</f>
        <v>2984</v>
      </c>
      <c r="E2964" s="308" t="str">
        <f>IFERROR(__xludf.DUMMYFUNCTION("""COMPUTED_VALUE"""),"S")</f>
        <v>S</v>
      </c>
      <c r="F2964" s="312" t="s">
        <v>39</v>
      </c>
      <c r="G2964" s="308"/>
      <c r="H2964" s="308" t="s">
        <v>12202</v>
      </c>
      <c r="I2964" s="314">
        <v>42329.0</v>
      </c>
      <c r="J2964" s="319">
        <f>IFERROR(__xludf.DUMMYFUNCTION("SPLIT(I2964,""/"")"),21.0)</f>
        <v>21</v>
      </c>
      <c r="K2964" s="308">
        <f>IFERROR(__xludf.DUMMYFUNCTION("""COMPUTED_VALUE"""),11.0)</f>
        <v>11</v>
      </c>
      <c r="L2964" s="308">
        <f>IFERROR(__xludf.DUMMYFUNCTION("""COMPUTED_VALUE"""),2015.0)</f>
        <v>2015</v>
      </c>
      <c r="M2964" s="308" t="s">
        <v>12203</v>
      </c>
      <c r="N2964" s="308"/>
      <c r="O2964" s="308"/>
      <c r="P2964" s="308" t="s">
        <v>9535</v>
      </c>
      <c r="Q2964" s="308"/>
      <c r="R2964" s="308"/>
      <c r="S2964" s="308" t="s">
        <v>81</v>
      </c>
      <c r="T2964" s="308" t="s">
        <v>75</v>
      </c>
      <c r="U2964" s="308" t="s">
        <v>166</v>
      </c>
      <c r="V2964" s="312"/>
    </row>
    <row r="2965">
      <c r="A2965" s="308">
        <v>2964.0</v>
      </c>
      <c r="B2965" s="308"/>
      <c r="C2965" s="308" t="s">
        <v>12204</v>
      </c>
      <c r="D2965" s="308">
        <f>IFERROR(__xludf.DUMMYFUNCTION("SPLIT(C2965,""-"")"),2985.0)</f>
        <v>2985</v>
      </c>
      <c r="E2965" s="308" t="str">
        <f>IFERROR(__xludf.DUMMYFUNCTION("""COMPUTED_VALUE"""),"S")</f>
        <v>S</v>
      </c>
      <c r="F2965" s="312" t="s">
        <v>39</v>
      </c>
      <c r="G2965" s="308"/>
      <c r="H2965" s="308" t="s">
        <v>12205</v>
      </c>
      <c r="I2965" s="314">
        <v>42329.0</v>
      </c>
      <c r="J2965" s="319">
        <f>IFERROR(__xludf.DUMMYFUNCTION("SPLIT(I2965,""/"")"),21.0)</f>
        <v>21</v>
      </c>
      <c r="K2965" s="308">
        <f>IFERROR(__xludf.DUMMYFUNCTION("""COMPUTED_VALUE"""),11.0)</f>
        <v>11</v>
      </c>
      <c r="L2965" s="308">
        <f>IFERROR(__xludf.DUMMYFUNCTION("""COMPUTED_VALUE"""),2015.0)</f>
        <v>2015</v>
      </c>
      <c r="M2965" s="308" t="s">
        <v>12206</v>
      </c>
      <c r="N2965" s="308"/>
      <c r="O2965" s="308"/>
      <c r="P2965" s="308" t="s">
        <v>9535</v>
      </c>
      <c r="Q2965" s="308"/>
      <c r="R2965" s="308"/>
      <c r="S2965" s="308" t="s">
        <v>81</v>
      </c>
      <c r="T2965" s="308" t="s">
        <v>75</v>
      </c>
      <c r="U2965" s="308" t="s">
        <v>166</v>
      </c>
      <c r="V2965" s="312"/>
    </row>
    <row r="2966">
      <c r="A2966" s="308">
        <v>2965.0</v>
      </c>
      <c r="B2966" s="308"/>
      <c r="C2966" s="308" t="s">
        <v>12207</v>
      </c>
      <c r="D2966" s="308">
        <f>IFERROR(__xludf.DUMMYFUNCTION("SPLIT(C2966,""-"")"),2986.0)</f>
        <v>2986</v>
      </c>
      <c r="E2966" s="308" t="str">
        <f>IFERROR(__xludf.DUMMYFUNCTION("""COMPUTED_VALUE"""),"S")</f>
        <v>S</v>
      </c>
      <c r="F2966" s="312" t="s">
        <v>39</v>
      </c>
      <c r="G2966" s="308"/>
      <c r="H2966" s="308" t="s">
        <v>12208</v>
      </c>
      <c r="I2966" s="314">
        <v>42329.0</v>
      </c>
      <c r="J2966" s="319">
        <f>IFERROR(__xludf.DUMMYFUNCTION("SPLIT(I2966,""/"")"),21.0)</f>
        <v>21</v>
      </c>
      <c r="K2966" s="308">
        <f>IFERROR(__xludf.DUMMYFUNCTION("""COMPUTED_VALUE"""),11.0)</f>
        <v>11</v>
      </c>
      <c r="L2966" s="308">
        <f>IFERROR(__xludf.DUMMYFUNCTION("""COMPUTED_VALUE"""),2015.0)</f>
        <v>2015</v>
      </c>
      <c r="M2966" s="308" t="s">
        <v>12209</v>
      </c>
      <c r="N2966" s="308"/>
      <c r="O2966" s="308"/>
      <c r="P2966" s="308" t="s">
        <v>11584</v>
      </c>
      <c r="Q2966" s="308"/>
      <c r="R2966" s="308"/>
      <c r="S2966" s="308" t="s">
        <v>81</v>
      </c>
      <c r="T2966" s="308" t="s">
        <v>73</v>
      </c>
      <c r="U2966" s="308" t="s">
        <v>166</v>
      </c>
      <c r="V2966" s="312"/>
    </row>
    <row r="2967">
      <c r="A2967" s="308">
        <v>2966.0</v>
      </c>
      <c r="B2967" s="308"/>
      <c r="C2967" s="308" t="s">
        <v>12210</v>
      </c>
      <c r="D2967" s="308">
        <f>IFERROR(__xludf.DUMMYFUNCTION("SPLIT(C2967,""-"")"),2987.0)</f>
        <v>2987</v>
      </c>
      <c r="E2967" s="308" t="str">
        <f>IFERROR(__xludf.DUMMYFUNCTION("""COMPUTED_VALUE"""),"S")</f>
        <v>S</v>
      </c>
      <c r="F2967" s="312" t="s">
        <v>39</v>
      </c>
      <c r="G2967" s="308"/>
      <c r="H2967" s="308" t="s">
        <v>12211</v>
      </c>
      <c r="I2967" s="314">
        <v>42329.0</v>
      </c>
      <c r="J2967" s="319">
        <f>IFERROR(__xludf.DUMMYFUNCTION("SPLIT(I2967,""/"")"),21.0)</f>
        <v>21</v>
      </c>
      <c r="K2967" s="308">
        <f>IFERROR(__xludf.DUMMYFUNCTION("""COMPUTED_VALUE"""),11.0)</f>
        <v>11</v>
      </c>
      <c r="L2967" s="308">
        <f>IFERROR(__xludf.DUMMYFUNCTION("""COMPUTED_VALUE"""),2015.0)</f>
        <v>2015</v>
      </c>
      <c r="M2967" s="308" t="s">
        <v>12212</v>
      </c>
      <c r="N2967" s="308"/>
      <c r="O2967" s="308"/>
      <c r="P2967" s="308" t="s">
        <v>11584</v>
      </c>
      <c r="Q2967" s="308"/>
      <c r="R2967" s="308"/>
      <c r="S2967" s="308" t="s">
        <v>81</v>
      </c>
      <c r="T2967" s="308" t="s">
        <v>73</v>
      </c>
      <c r="U2967" s="308" t="s">
        <v>166</v>
      </c>
      <c r="V2967" s="312"/>
    </row>
    <row r="2968">
      <c r="A2968" s="308">
        <v>2967.0</v>
      </c>
      <c r="B2968" s="308"/>
      <c r="C2968" s="308" t="s">
        <v>12213</v>
      </c>
      <c r="D2968" s="308">
        <f>IFERROR(__xludf.DUMMYFUNCTION("SPLIT(C2968,""-"")"),2988.0)</f>
        <v>2988</v>
      </c>
      <c r="E2968" s="308" t="str">
        <f>IFERROR(__xludf.DUMMYFUNCTION("""COMPUTED_VALUE"""),"S")</f>
        <v>S</v>
      </c>
      <c r="F2968" s="312" t="s">
        <v>39</v>
      </c>
      <c r="G2968" s="308"/>
      <c r="H2968" s="308" t="s">
        <v>12214</v>
      </c>
      <c r="I2968" s="314">
        <v>42329.0</v>
      </c>
      <c r="J2968" s="319">
        <f>IFERROR(__xludf.DUMMYFUNCTION("SPLIT(I2968,""/"")"),21.0)</f>
        <v>21</v>
      </c>
      <c r="K2968" s="308">
        <f>IFERROR(__xludf.DUMMYFUNCTION("""COMPUTED_VALUE"""),11.0)</f>
        <v>11</v>
      </c>
      <c r="L2968" s="308">
        <f>IFERROR(__xludf.DUMMYFUNCTION("""COMPUTED_VALUE"""),2015.0)</f>
        <v>2015</v>
      </c>
      <c r="M2968" s="308" t="s">
        <v>12215</v>
      </c>
      <c r="N2968" s="308"/>
      <c r="O2968" s="308"/>
      <c r="P2968" s="308" t="s">
        <v>11584</v>
      </c>
      <c r="Q2968" s="308"/>
      <c r="R2968" s="308"/>
      <c r="S2968" s="308" t="s">
        <v>81</v>
      </c>
      <c r="T2968" s="308" t="s">
        <v>73</v>
      </c>
      <c r="U2968" s="308" t="s">
        <v>166</v>
      </c>
      <c r="V2968" s="312"/>
    </row>
    <row r="2969">
      <c r="A2969" s="308">
        <v>2968.0</v>
      </c>
      <c r="B2969" s="308"/>
      <c r="C2969" s="308" t="s">
        <v>12216</v>
      </c>
      <c r="D2969" s="308">
        <f>IFERROR(__xludf.DUMMYFUNCTION("SPLIT(C2969,""-"")"),2989.0)</f>
        <v>2989</v>
      </c>
      <c r="E2969" s="308" t="str">
        <f>IFERROR(__xludf.DUMMYFUNCTION("""COMPUTED_VALUE"""),"S")</f>
        <v>S</v>
      </c>
      <c r="F2969" s="312" t="s">
        <v>39</v>
      </c>
      <c r="G2969" s="308"/>
      <c r="H2969" s="308" t="s">
        <v>12217</v>
      </c>
      <c r="I2969" s="314">
        <v>42329.0</v>
      </c>
      <c r="J2969" s="319">
        <f>IFERROR(__xludf.DUMMYFUNCTION("SPLIT(I2969,""/"")"),21.0)</f>
        <v>21</v>
      </c>
      <c r="K2969" s="308">
        <f>IFERROR(__xludf.DUMMYFUNCTION("""COMPUTED_VALUE"""),11.0)</f>
        <v>11</v>
      </c>
      <c r="L2969" s="308">
        <f>IFERROR(__xludf.DUMMYFUNCTION("""COMPUTED_VALUE"""),2015.0)</f>
        <v>2015</v>
      </c>
      <c r="M2969" s="308"/>
      <c r="N2969" s="308"/>
      <c r="O2969" s="308"/>
      <c r="P2969" s="308" t="s">
        <v>12158</v>
      </c>
      <c r="Q2969" s="308"/>
      <c r="R2969" s="308"/>
      <c r="S2969" s="308" t="s">
        <v>49</v>
      </c>
      <c r="T2969" s="311" t="s">
        <v>67</v>
      </c>
      <c r="U2969" s="308" t="s">
        <v>166</v>
      </c>
      <c r="V2969" s="312"/>
    </row>
    <row r="2970">
      <c r="A2970" s="308">
        <v>2969.0</v>
      </c>
      <c r="B2970" s="308"/>
      <c r="C2970" s="308" t="s">
        <v>12218</v>
      </c>
      <c r="D2970" s="308">
        <f>IFERROR(__xludf.DUMMYFUNCTION("SPLIT(C2970,""-"")"),2990.0)</f>
        <v>2990</v>
      </c>
      <c r="E2970" s="308" t="str">
        <f>IFERROR(__xludf.DUMMYFUNCTION("""COMPUTED_VALUE"""),"S")</f>
        <v>S</v>
      </c>
      <c r="F2970" s="312" t="s">
        <v>39</v>
      </c>
      <c r="G2970" s="308"/>
      <c r="H2970" s="308" t="s">
        <v>12219</v>
      </c>
      <c r="I2970" s="314">
        <v>42329.0</v>
      </c>
      <c r="J2970" s="319">
        <f>IFERROR(__xludf.DUMMYFUNCTION("SPLIT(I2970,""/"")"),21.0)</f>
        <v>21</v>
      </c>
      <c r="K2970" s="308">
        <f>IFERROR(__xludf.DUMMYFUNCTION("""COMPUTED_VALUE"""),11.0)</f>
        <v>11</v>
      </c>
      <c r="L2970" s="308">
        <f>IFERROR(__xludf.DUMMYFUNCTION("""COMPUTED_VALUE"""),2015.0)</f>
        <v>2015</v>
      </c>
      <c r="M2970" s="308" t="s">
        <v>12220</v>
      </c>
      <c r="N2970" s="308"/>
      <c r="O2970" s="308"/>
      <c r="P2970" s="308" t="s">
        <v>11584</v>
      </c>
      <c r="Q2970" s="308"/>
      <c r="R2970" s="308"/>
      <c r="S2970" s="308" t="s">
        <v>81</v>
      </c>
      <c r="T2970" s="308" t="s">
        <v>73</v>
      </c>
      <c r="U2970" s="308" t="s">
        <v>166</v>
      </c>
      <c r="V2970" s="312"/>
    </row>
    <row r="2971">
      <c r="A2971" s="308">
        <v>2970.0</v>
      </c>
      <c r="B2971" s="308"/>
      <c r="C2971" s="308" t="s">
        <v>12221</v>
      </c>
      <c r="D2971" s="308">
        <f>IFERROR(__xludf.DUMMYFUNCTION("SPLIT(C2971,""-"")"),2991.0)</f>
        <v>2991</v>
      </c>
      <c r="E2971" s="308" t="str">
        <f>IFERROR(__xludf.DUMMYFUNCTION("""COMPUTED_VALUE"""),"S")</f>
        <v>S</v>
      </c>
      <c r="F2971" s="312" t="s">
        <v>39</v>
      </c>
      <c r="G2971" s="308"/>
      <c r="H2971" s="308" t="s">
        <v>12222</v>
      </c>
      <c r="I2971" s="314">
        <v>42329.0</v>
      </c>
      <c r="J2971" s="319">
        <f>IFERROR(__xludf.DUMMYFUNCTION("SPLIT(I2971,""/"")"),21.0)</f>
        <v>21</v>
      </c>
      <c r="K2971" s="308">
        <f>IFERROR(__xludf.DUMMYFUNCTION("""COMPUTED_VALUE"""),11.0)</f>
        <v>11</v>
      </c>
      <c r="L2971" s="308">
        <f>IFERROR(__xludf.DUMMYFUNCTION("""COMPUTED_VALUE"""),2015.0)</f>
        <v>2015</v>
      </c>
      <c r="M2971" s="308" t="s">
        <v>36829</v>
      </c>
      <c r="N2971" s="308"/>
      <c r="O2971" s="308"/>
      <c r="P2971" s="308" t="s">
        <v>9535</v>
      </c>
      <c r="Q2971" s="308"/>
      <c r="R2971" s="308"/>
      <c r="S2971" s="308" t="s">
        <v>81</v>
      </c>
      <c r="T2971" s="308" t="s">
        <v>75</v>
      </c>
      <c r="U2971" s="308" t="s">
        <v>166</v>
      </c>
      <c r="V2971" s="312"/>
    </row>
    <row r="2972">
      <c r="A2972" s="308">
        <v>2971.0</v>
      </c>
      <c r="B2972" s="308"/>
      <c r="C2972" s="308" t="s">
        <v>12224</v>
      </c>
      <c r="D2972" s="308">
        <f>IFERROR(__xludf.DUMMYFUNCTION("SPLIT(C2972,""-"")"),2992.0)</f>
        <v>2992</v>
      </c>
      <c r="E2972" s="308" t="str">
        <f>IFERROR(__xludf.DUMMYFUNCTION("""COMPUTED_VALUE"""),"S")</f>
        <v>S</v>
      </c>
      <c r="F2972" s="312" t="s">
        <v>39</v>
      </c>
      <c r="G2972" s="308"/>
      <c r="H2972" s="308" t="s">
        <v>12225</v>
      </c>
      <c r="I2972" s="314">
        <v>42329.0</v>
      </c>
      <c r="J2972" s="319">
        <f>IFERROR(__xludf.DUMMYFUNCTION("SPLIT(I2972,""/"")"),21.0)</f>
        <v>21</v>
      </c>
      <c r="K2972" s="308">
        <f>IFERROR(__xludf.DUMMYFUNCTION("""COMPUTED_VALUE"""),11.0)</f>
        <v>11</v>
      </c>
      <c r="L2972" s="308">
        <f>IFERROR(__xludf.DUMMYFUNCTION("""COMPUTED_VALUE"""),2015.0)</f>
        <v>2015</v>
      </c>
      <c r="M2972" s="308" t="s">
        <v>12226</v>
      </c>
      <c r="N2972" s="308"/>
      <c r="O2972" s="308"/>
      <c r="P2972" s="308" t="s">
        <v>9535</v>
      </c>
      <c r="Q2972" s="308"/>
      <c r="R2972" s="308"/>
      <c r="S2972" s="308" t="s">
        <v>81</v>
      </c>
      <c r="T2972" s="308" t="s">
        <v>75</v>
      </c>
      <c r="U2972" s="308" t="s">
        <v>166</v>
      </c>
      <c r="V2972" s="312"/>
    </row>
    <row r="2973">
      <c r="A2973" s="308">
        <v>2972.0</v>
      </c>
      <c r="B2973" s="308"/>
      <c r="C2973" s="308" t="s">
        <v>12227</v>
      </c>
      <c r="D2973" s="308">
        <f>IFERROR(__xludf.DUMMYFUNCTION("SPLIT(C2973,""-"")"),2993.0)</f>
        <v>2993</v>
      </c>
      <c r="E2973" s="308" t="str">
        <f>IFERROR(__xludf.DUMMYFUNCTION("""COMPUTED_VALUE"""),"S")</f>
        <v>S</v>
      </c>
      <c r="F2973" s="312" t="s">
        <v>39</v>
      </c>
      <c r="G2973" s="308"/>
      <c r="H2973" s="308" t="s">
        <v>12228</v>
      </c>
      <c r="I2973" s="314">
        <v>42330.0</v>
      </c>
      <c r="J2973" s="319">
        <f>IFERROR(__xludf.DUMMYFUNCTION("SPLIT(I2973,""/"")"),22.0)</f>
        <v>22</v>
      </c>
      <c r="K2973" s="308">
        <f>IFERROR(__xludf.DUMMYFUNCTION("""COMPUTED_VALUE"""),11.0)</f>
        <v>11</v>
      </c>
      <c r="L2973" s="308">
        <f>IFERROR(__xludf.DUMMYFUNCTION("""COMPUTED_VALUE"""),2015.0)</f>
        <v>2015</v>
      </c>
      <c r="M2973" s="308" t="s">
        <v>12229</v>
      </c>
      <c r="N2973" s="308"/>
      <c r="O2973" s="308"/>
      <c r="P2973" s="308" t="s">
        <v>9535</v>
      </c>
      <c r="Q2973" s="308"/>
      <c r="R2973" s="308"/>
      <c r="S2973" s="308" t="s">
        <v>81</v>
      </c>
      <c r="T2973" s="308" t="s">
        <v>75</v>
      </c>
      <c r="U2973" s="308" t="s">
        <v>166</v>
      </c>
      <c r="V2973" s="312"/>
    </row>
    <row r="2974">
      <c r="A2974" s="308">
        <v>2973.0</v>
      </c>
      <c r="B2974" s="308"/>
      <c r="C2974" s="308" t="s">
        <v>12230</v>
      </c>
      <c r="D2974" s="308">
        <f>IFERROR(__xludf.DUMMYFUNCTION("SPLIT(C2974,""-"")"),2994.0)</f>
        <v>2994</v>
      </c>
      <c r="E2974" s="308" t="str">
        <f>IFERROR(__xludf.DUMMYFUNCTION("""COMPUTED_VALUE"""),"S")</f>
        <v>S</v>
      </c>
      <c r="F2974" s="312" t="s">
        <v>39</v>
      </c>
      <c r="G2974" s="308"/>
      <c r="H2974" s="308" t="s">
        <v>12231</v>
      </c>
      <c r="I2974" s="314">
        <v>42330.0</v>
      </c>
      <c r="J2974" s="319">
        <f>IFERROR(__xludf.DUMMYFUNCTION("SPLIT(I2974,""/"")"),22.0)</f>
        <v>22</v>
      </c>
      <c r="K2974" s="308">
        <f>IFERROR(__xludf.DUMMYFUNCTION("""COMPUTED_VALUE"""),11.0)</f>
        <v>11</v>
      </c>
      <c r="L2974" s="308">
        <f>IFERROR(__xludf.DUMMYFUNCTION("""COMPUTED_VALUE"""),2015.0)</f>
        <v>2015</v>
      </c>
      <c r="M2974" s="308" t="s">
        <v>12232</v>
      </c>
      <c r="N2974" s="308"/>
      <c r="O2974" s="308"/>
      <c r="P2974" s="308" t="s">
        <v>9535</v>
      </c>
      <c r="Q2974" s="308"/>
      <c r="R2974" s="308"/>
      <c r="S2974" s="308" t="s">
        <v>81</v>
      </c>
      <c r="T2974" s="308" t="s">
        <v>75</v>
      </c>
      <c r="U2974" s="308" t="s">
        <v>166</v>
      </c>
      <c r="V2974" s="312"/>
    </row>
    <row r="2975">
      <c r="A2975" s="308">
        <v>2974.0</v>
      </c>
      <c r="B2975" s="308"/>
      <c r="C2975" s="308" t="s">
        <v>12233</v>
      </c>
      <c r="D2975" s="308">
        <f>IFERROR(__xludf.DUMMYFUNCTION("SPLIT(C2975,""-"")"),2995.0)</f>
        <v>2995</v>
      </c>
      <c r="E2975" s="308" t="str">
        <f>IFERROR(__xludf.DUMMYFUNCTION("""COMPUTED_VALUE"""),"S")</f>
        <v>S</v>
      </c>
      <c r="F2975" s="312" t="s">
        <v>39</v>
      </c>
      <c r="G2975" s="308"/>
      <c r="H2975" s="308" t="s">
        <v>12234</v>
      </c>
      <c r="I2975" s="314">
        <v>42330.0</v>
      </c>
      <c r="J2975" s="319">
        <f>IFERROR(__xludf.DUMMYFUNCTION("SPLIT(I2975,""/"")"),22.0)</f>
        <v>22</v>
      </c>
      <c r="K2975" s="308">
        <f>IFERROR(__xludf.DUMMYFUNCTION("""COMPUTED_VALUE"""),11.0)</f>
        <v>11</v>
      </c>
      <c r="L2975" s="308">
        <f>IFERROR(__xludf.DUMMYFUNCTION("""COMPUTED_VALUE"""),2015.0)</f>
        <v>2015</v>
      </c>
      <c r="M2975" s="308" t="s">
        <v>36830</v>
      </c>
      <c r="N2975" s="308"/>
      <c r="O2975" s="308"/>
      <c r="P2975" s="308" t="s">
        <v>9535</v>
      </c>
      <c r="Q2975" s="308"/>
      <c r="R2975" s="308"/>
      <c r="S2975" s="308" t="s">
        <v>81</v>
      </c>
      <c r="T2975" s="308" t="s">
        <v>75</v>
      </c>
      <c r="U2975" s="308" t="s">
        <v>166</v>
      </c>
      <c r="V2975" s="312"/>
    </row>
    <row r="2976">
      <c r="A2976" s="308">
        <v>2975.0</v>
      </c>
      <c r="B2976" s="308"/>
      <c r="C2976" s="308" t="s">
        <v>12236</v>
      </c>
      <c r="D2976" s="308">
        <f>IFERROR(__xludf.DUMMYFUNCTION("SPLIT(C2976,""-"")"),2996.0)</f>
        <v>2996</v>
      </c>
      <c r="E2976" s="308" t="str">
        <f>IFERROR(__xludf.DUMMYFUNCTION("""COMPUTED_VALUE"""),"S")</f>
        <v>S</v>
      </c>
      <c r="F2976" s="312" t="s">
        <v>39</v>
      </c>
      <c r="G2976" s="308"/>
      <c r="H2976" s="308" t="s">
        <v>12237</v>
      </c>
      <c r="I2976" s="314">
        <v>42330.0</v>
      </c>
      <c r="J2976" s="319">
        <f>IFERROR(__xludf.DUMMYFUNCTION("SPLIT(I2976,""/"")"),22.0)</f>
        <v>22</v>
      </c>
      <c r="K2976" s="308">
        <f>IFERROR(__xludf.DUMMYFUNCTION("""COMPUTED_VALUE"""),11.0)</f>
        <v>11</v>
      </c>
      <c r="L2976" s="308">
        <f>IFERROR(__xludf.DUMMYFUNCTION("""COMPUTED_VALUE"""),2015.0)</f>
        <v>2015</v>
      </c>
      <c r="M2976" s="308" t="s">
        <v>12238</v>
      </c>
      <c r="N2976" s="308"/>
      <c r="O2976" s="308"/>
      <c r="P2976" s="308" t="s">
        <v>9535</v>
      </c>
      <c r="Q2976" s="308"/>
      <c r="R2976" s="308"/>
      <c r="S2976" s="308" t="s">
        <v>81</v>
      </c>
      <c r="T2976" s="308" t="s">
        <v>75</v>
      </c>
      <c r="U2976" s="308" t="s">
        <v>166</v>
      </c>
      <c r="V2976" s="312"/>
    </row>
    <row r="2977">
      <c r="A2977" s="308">
        <v>2976.0</v>
      </c>
      <c r="B2977" s="308"/>
      <c r="C2977" s="308" t="s">
        <v>12239</v>
      </c>
      <c r="D2977" s="308">
        <f>IFERROR(__xludf.DUMMYFUNCTION("SPLIT(C2977,""-"")"),2997.0)</f>
        <v>2997</v>
      </c>
      <c r="E2977" s="308" t="str">
        <f>IFERROR(__xludf.DUMMYFUNCTION("""COMPUTED_VALUE"""),"S")</f>
        <v>S</v>
      </c>
      <c r="F2977" s="312" t="s">
        <v>39</v>
      </c>
      <c r="G2977" s="308"/>
      <c r="H2977" s="308" t="s">
        <v>12240</v>
      </c>
      <c r="I2977" s="314">
        <v>42330.0</v>
      </c>
      <c r="J2977" s="319">
        <f>IFERROR(__xludf.DUMMYFUNCTION("SPLIT(I2977,""/"")"),22.0)</f>
        <v>22</v>
      </c>
      <c r="K2977" s="308">
        <f>IFERROR(__xludf.DUMMYFUNCTION("""COMPUTED_VALUE"""),11.0)</f>
        <v>11</v>
      </c>
      <c r="L2977" s="308">
        <f>IFERROR(__xludf.DUMMYFUNCTION("""COMPUTED_VALUE"""),2015.0)</f>
        <v>2015</v>
      </c>
      <c r="M2977" s="308" t="s">
        <v>12241</v>
      </c>
      <c r="N2977" s="308"/>
      <c r="O2977" s="308"/>
      <c r="P2977" s="308" t="s">
        <v>11584</v>
      </c>
      <c r="Q2977" s="308"/>
      <c r="R2977" s="308"/>
      <c r="S2977" s="308" t="s">
        <v>81</v>
      </c>
      <c r="T2977" s="308" t="s">
        <v>73</v>
      </c>
      <c r="U2977" s="308" t="s">
        <v>166</v>
      </c>
      <c r="V2977" s="312"/>
    </row>
    <row r="2978">
      <c r="A2978" s="308">
        <v>2977.0</v>
      </c>
      <c r="B2978" s="308"/>
      <c r="C2978" s="308" t="s">
        <v>12242</v>
      </c>
      <c r="D2978" s="308">
        <f>IFERROR(__xludf.DUMMYFUNCTION("SPLIT(C2978,""-"")"),2998.0)</f>
        <v>2998</v>
      </c>
      <c r="E2978" s="308" t="str">
        <f>IFERROR(__xludf.DUMMYFUNCTION("""COMPUTED_VALUE"""),"P")</f>
        <v>P</v>
      </c>
      <c r="F2978" s="312" t="s">
        <v>37</v>
      </c>
      <c r="G2978" s="308"/>
      <c r="H2978" s="308" t="s">
        <v>12243</v>
      </c>
      <c r="I2978" s="325">
        <v>42005.0</v>
      </c>
      <c r="J2978" s="319"/>
      <c r="K2978" s="311">
        <v>1.0</v>
      </c>
      <c r="L2978" s="311">
        <v>2015.0</v>
      </c>
      <c r="M2978" s="308" t="s">
        <v>12244</v>
      </c>
      <c r="N2978" s="308"/>
      <c r="O2978" s="308" t="s">
        <v>12245</v>
      </c>
      <c r="P2978" s="308" t="s">
        <v>36831</v>
      </c>
      <c r="Q2978" s="308"/>
      <c r="R2978" s="308"/>
      <c r="S2978" s="308" t="s">
        <v>81</v>
      </c>
      <c r="T2978" s="311" t="s">
        <v>73</v>
      </c>
      <c r="U2978" s="312"/>
      <c r="V2978" s="312"/>
    </row>
    <row r="2979">
      <c r="A2979" s="308">
        <v>2978.0</v>
      </c>
      <c r="B2979" s="308"/>
      <c r="C2979" s="308" t="s">
        <v>12247</v>
      </c>
      <c r="D2979" s="308">
        <f>IFERROR(__xludf.DUMMYFUNCTION("SPLIT(C2979,""-"")"),2999.0)</f>
        <v>2999</v>
      </c>
      <c r="E2979" s="308" t="str">
        <f>IFERROR(__xludf.DUMMYFUNCTION("""COMPUTED_VALUE"""),"S")</f>
        <v>S</v>
      </c>
      <c r="F2979" s="312" t="s">
        <v>39</v>
      </c>
      <c r="G2979" s="308"/>
      <c r="H2979" s="308" t="s">
        <v>12248</v>
      </c>
      <c r="I2979" s="310">
        <v>42285.0</v>
      </c>
      <c r="J2979" s="319">
        <f>IFERROR(__xludf.DUMMYFUNCTION("SPLIT(I2979,""/"")"),8.0)</f>
        <v>8</v>
      </c>
      <c r="K2979" s="308">
        <f>IFERROR(__xludf.DUMMYFUNCTION("""COMPUTED_VALUE"""),10.0)</f>
        <v>10</v>
      </c>
      <c r="L2979" s="308">
        <f>IFERROR(__xludf.DUMMYFUNCTION("""COMPUTED_VALUE"""),2015.0)</f>
        <v>2015</v>
      </c>
      <c r="M2979" s="308" t="s">
        <v>12249</v>
      </c>
      <c r="N2979" s="308"/>
      <c r="O2979" s="308" t="s">
        <v>635</v>
      </c>
      <c r="P2979" s="308" t="s">
        <v>12250</v>
      </c>
      <c r="Q2979" s="308"/>
      <c r="R2979" s="308"/>
      <c r="S2979" s="308" t="s">
        <v>49</v>
      </c>
      <c r="T2979" s="308" t="s">
        <v>67</v>
      </c>
      <c r="U2979" s="308"/>
      <c r="V2979" s="312"/>
    </row>
    <row r="2980">
      <c r="A2980" s="308">
        <v>2979.0</v>
      </c>
      <c r="B2980" s="308"/>
      <c r="C2980" s="308" t="s">
        <v>12251</v>
      </c>
      <c r="D2980" s="308">
        <f>IFERROR(__xludf.DUMMYFUNCTION("SPLIT(C2980,""-"")"),3000.0)</f>
        <v>3000</v>
      </c>
      <c r="E2980" s="308" t="str">
        <f>IFERROR(__xludf.DUMMYFUNCTION("""COMPUTED_VALUE"""),"P")</f>
        <v>P</v>
      </c>
      <c r="F2980" s="312" t="s">
        <v>37</v>
      </c>
      <c r="G2980" s="308"/>
      <c r="H2980" s="308" t="s">
        <v>12252</v>
      </c>
      <c r="I2980" s="310">
        <v>42312.0</v>
      </c>
      <c r="J2980" s="319">
        <f>IFERROR(__xludf.DUMMYFUNCTION("SPLIT(I2980,""/"")"),4.0)</f>
        <v>4</v>
      </c>
      <c r="K2980" s="308">
        <f>IFERROR(__xludf.DUMMYFUNCTION("""COMPUTED_VALUE"""),11.0)</f>
        <v>11</v>
      </c>
      <c r="L2980" s="308">
        <f>IFERROR(__xludf.DUMMYFUNCTION("""COMPUTED_VALUE"""),2015.0)</f>
        <v>2015</v>
      </c>
      <c r="M2980" s="308" t="s">
        <v>12253</v>
      </c>
      <c r="N2980" s="308"/>
      <c r="O2980" s="308"/>
      <c r="P2980" s="308" t="s">
        <v>12254</v>
      </c>
      <c r="Q2980" s="308"/>
      <c r="R2980" s="308"/>
      <c r="S2980" s="308" t="s">
        <v>81</v>
      </c>
      <c r="T2980" s="311" t="s">
        <v>75</v>
      </c>
      <c r="U2980" s="308"/>
      <c r="V2980" s="312"/>
    </row>
    <row r="2981">
      <c r="A2981" s="308">
        <v>2980.0</v>
      </c>
      <c r="B2981" s="308"/>
      <c r="C2981" s="308" t="s">
        <v>12255</v>
      </c>
      <c r="D2981" s="308">
        <f>IFERROR(__xludf.DUMMYFUNCTION("SPLIT(C2981,""-"")"),3001.0)</f>
        <v>3001</v>
      </c>
      <c r="E2981" s="308" t="str">
        <f>IFERROR(__xludf.DUMMYFUNCTION("""COMPUTED_VALUE"""),"P")</f>
        <v>P</v>
      </c>
      <c r="F2981" s="312" t="s">
        <v>37</v>
      </c>
      <c r="G2981" s="308"/>
      <c r="H2981" s="308" t="s">
        <v>12256</v>
      </c>
      <c r="I2981" s="314">
        <v>42296.0</v>
      </c>
      <c r="J2981" s="319">
        <f>IFERROR(__xludf.DUMMYFUNCTION("SPLIT(I2981,""/"")"),19.0)</f>
        <v>19</v>
      </c>
      <c r="K2981" s="308">
        <f>IFERROR(__xludf.DUMMYFUNCTION("""COMPUTED_VALUE"""),10.0)</f>
        <v>10</v>
      </c>
      <c r="L2981" s="308">
        <f>IFERROR(__xludf.DUMMYFUNCTION("""COMPUTED_VALUE"""),2015.0)</f>
        <v>2015</v>
      </c>
      <c r="M2981" s="308" t="s">
        <v>12257</v>
      </c>
      <c r="N2981" s="308"/>
      <c r="O2981" s="308" t="s">
        <v>12258</v>
      </c>
      <c r="P2981" s="308" t="s">
        <v>12259</v>
      </c>
      <c r="Q2981" s="308"/>
      <c r="R2981" s="308"/>
      <c r="S2981" s="308" t="s">
        <v>81</v>
      </c>
      <c r="T2981" s="311" t="s">
        <v>51</v>
      </c>
      <c r="U2981" s="308"/>
      <c r="V2981" s="312"/>
    </row>
    <row r="2982">
      <c r="A2982" s="308">
        <v>2981.0</v>
      </c>
      <c r="B2982" s="308"/>
      <c r="C2982" s="308" t="s">
        <v>12260</v>
      </c>
      <c r="D2982" s="308">
        <f>IFERROR(__xludf.DUMMYFUNCTION("SPLIT(C2982,""-"")"),3002.0)</f>
        <v>3002</v>
      </c>
      <c r="E2982" s="308" t="str">
        <f>IFERROR(__xludf.DUMMYFUNCTION("""COMPUTED_VALUE"""),"P")</f>
        <v>P</v>
      </c>
      <c r="F2982" s="312" t="s">
        <v>37</v>
      </c>
      <c r="G2982" s="308"/>
      <c r="H2982" s="308" t="s">
        <v>12261</v>
      </c>
      <c r="I2982" s="314">
        <v>42296.0</v>
      </c>
      <c r="J2982" s="319">
        <f>IFERROR(__xludf.DUMMYFUNCTION("SPLIT(I2982,""/"")"),19.0)</f>
        <v>19</v>
      </c>
      <c r="K2982" s="308">
        <f>IFERROR(__xludf.DUMMYFUNCTION("""COMPUTED_VALUE"""),10.0)</f>
        <v>10</v>
      </c>
      <c r="L2982" s="308">
        <f>IFERROR(__xludf.DUMMYFUNCTION("""COMPUTED_VALUE"""),2015.0)</f>
        <v>2015</v>
      </c>
      <c r="M2982" s="308" t="s">
        <v>12257</v>
      </c>
      <c r="N2982" s="308"/>
      <c r="O2982" s="308" t="s">
        <v>12258</v>
      </c>
      <c r="P2982" s="308" t="s">
        <v>12259</v>
      </c>
      <c r="Q2982" s="308"/>
      <c r="R2982" s="308"/>
      <c r="S2982" s="308" t="s">
        <v>81</v>
      </c>
      <c r="T2982" s="311" t="s">
        <v>51</v>
      </c>
      <c r="U2982" s="308"/>
      <c r="V2982" s="312"/>
    </row>
    <row r="2983">
      <c r="A2983" s="308">
        <v>2982.0</v>
      </c>
      <c r="B2983" s="308"/>
      <c r="C2983" s="308" t="s">
        <v>12262</v>
      </c>
      <c r="D2983" s="308">
        <f>IFERROR(__xludf.DUMMYFUNCTION("SPLIT(C2983,""-"")"),3003.0)</f>
        <v>3003</v>
      </c>
      <c r="E2983" s="308" t="str">
        <f>IFERROR(__xludf.DUMMYFUNCTION("""COMPUTED_VALUE"""),"P")</f>
        <v>P</v>
      </c>
      <c r="F2983" s="312" t="s">
        <v>37</v>
      </c>
      <c r="G2983" s="308"/>
      <c r="H2983" s="308" t="s">
        <v>12263</v>
      </c>
      <c r="I2983" s="314">
        <v>42004.0</v>
      </c>
      <c r="J2983" s="319">
        <f>IFERROR(__xludf.DUMMYFUNCTION("SPLIT(I2983,""/"")"),31.0)</f>
        <v>31</v>
      </c>
      <c r="K2983" s="308">
        <f>IFERROR(__xludf.DUMMYFUNCTION("""COMPUTED_VALUE"""),12.0)</f>
        <v>12</v>
      </c>
      <c r="L2983" s="308">
        <f>IFERROR(__xludf.DUMMYFUNCTION("""COMPUTED_VALUE"""),2014.0)</f>
        <v>2014</v>
      </c>
      <c r="M2983" s="308" t="s">
        <v>12264</v>
      </c>
      <c r="N2983" s="308"/>
      <c r="O2983" s="308" t="s">
        <v>36832</v>
      </c>
      <c r="P2983" s="308" t="s">
        <v>36833</v>
      </c>
      <c r="Q2983" s="308"/>
      <c r="R2983" s="308"/>
      <c r="S2983" s="308" t="s">
        <v>81</v>
      </c>
      <c r="T2983" s="308" t="s">
        <v>75</v>
      </c>
      <c r="U2983" s="308" t="s">
        <v>143</v>
      </c>
      <c r="V2983" s="312"/>
    </row>
    <row r="2984">
      <c r="A2984" s="308">
        <v>2983.0</v>
      </c>
      <c r="B2984" s="308"/>
      <c r="C2984" s="308" t="s">
        <v>12267</v>
      </c>
      <c r="D2984" s="308">
        <f>IFERROR(__xludf.DUMMYFUNCTION("SPLIT(C2984,""-"")"),3004.0)</f>
        <v>3004</v>
      </c>
      <c r="E2984" s="308" t="str">
        <f>IFERROR(__xludf.DUMMYFUNCTION("""COMPUTED_VALUE"""),"S")</f>
        <v>S</v>
      </c>
      <c r="F2984" s="312" t="s">
        <v>39</v>
      </c>
      <c r="G2984" s="308"/>
      <c r="H2984" s="308" t="s">
        <v>12268</v>
      </c>
      <c r="I2984" s="314">
        <v>42297.0</v>
      </c>
      <c r="J2984" s="319">
        <f>IFERROR(__xludf.DUMMYFUNCTION("SPLIT(I2984,""/"")"),20.0)</f>
        <v>20</v>
      </c>
      <c r="K2984" s="308">
        <f>IFERROR(__xludf.DUMMYFUNCTION("""COMPUTED_VALUE"""),10.0)</f>
        <v>10</v>
      </c>
      <c r="L2984" s="308">
        <f>IFERROR(__xludf.DUMMYFUNCTION("""COMPUTED_VALUE"""),2015.0)</f>
        <v>2015</v>
      </c>
      <c r="M2984" s="308" t="s">
        <v>12269</v>
      </c>
      <c r="N2984" s="308"/>
      <c r="O2984" s="308" t="s">
        <v>12270</v>
      </c>
      <c r="P2984" s="308" t="s">
        <v>12271</v>
      </c>
      <c r="Q2984" s="308"/>
      <c r="R2984" s="308"/>
      <c r="S2984" s="308" t="s">
        <v>81</v>
      </c>
      <c r="T2984" s="308" t="s">
        <v>75</v>
      </c>
      <c r="U2984" s="308"/>
      <c r="V2984" s="312"/>
    </row>
    <row r="2985">
      <c r="A2985" s="308">
        <v>2984.0</v>
      </c>
      <c r="B2985" s="308"/>
      <c r="C2985" s="308" t="s">
        <v>12272</v>
      </c>
      <c r="D2985" s="308">
        <f>IFERROR(__xludf.DUMMYFUNCTION("SPLIT(C2985,""-"")"),3005.0)</f>
        <v>3005</v>
      </c>
      <c r="E2985" s="308" t="str">
        <f>IFERROR(__xludf.DUMMYFUNCTION("""COMPUTED_VALUE"""),"K")</f>
        <v>K</v>
      </c>
      <c r="F2985" s="309" t="s">
        <v>34</v>
      </c>
      <c r="G2985" s="308"/>
      <c r="H2985" s="308" t="s">
        <v>12273</v>
      </c>
      <c r="I2985" s="314">
        <v>39767.0</v>
      </c>
      <c r="J2985" s="319">
        <f>IFERROR(__xludf.DUMMYFUNCTION("SPLIT(I2985,""/"")"),15.0)</f>
        <v>15</v>
      </c>
      <c r="K2985" s="308">
        <f>IFERROR(__xludf.DUMMYFUNCTION("""COMPUTED_VALUE"""),11.0)</f>
        <v>11</v>
      </c>
      <c r="L2985" s="308">
        <f>IFERROR(__xludf.DUMMYFUNCTION("""COMPUTED_VALUE"""),2008.0)</f>
        <v>2008</v>
      </c>
      <c r="M2985" s="308" t="s">
        <v>12274</v>
      </c>
      <c r="N2985" s="308"/>
      <c r="O2985" s="308" t="s">
        <v>12275</v>
      </c>
      <c r="P2985" s="308" t="s">
        <v>12276</v>
      </c>
      <c r="Q2985" s="308"/>
      <c r="R2985" s="308"/>
      <c r="S2985" s="308" t="s">
        <v>81</v>
      </c>
      <c r="T2985" s="308" t="s">
        <v>34264</v>
      </c>
      <c r="U2985" s="308"/>
      <c r="V2985" s="312"/>
    </row>
    <row r="2986">
      <c r="A2986" s="308">
        <v>2985.0</v>
      </c>
      <c r="B2986" s="308"/>
      <c r="C2986" s="308" t="s">
        <v>12277</v>
      </c>
      <c r="D2986" s="308">
        <f>IFERROR(__xludf.DUMMYFUNCTION("SPLIT(C2986,""-"")"),3006.0)</f>
        <v>3006</v>
      </c>
      <c r="E2986" s="308" t="str">
        <f>IFERROR(__xludf.DUMMYFUNCTION("""COMPUTED_VALUE"""),"P")</f>
        <v>P</v>
      </c>
      <c r="F2986" s="312" t="s">
        <v>37</v>
      </c>
      <c r="G2986" s="308"/>
      <c r="H2986" s="308" t="s">
        <v>12278</v>
      </c>
      <c r="I2986" s="314">
        <v>42348.0</v>
      </c>
      <c r="J2986" s="319">
        <f>IFERROR(__xludf.DUMMYFUNCTION("SPLIT(I2986,""/"")"),10.0)</f>
        <v>10</v>
      </c>
      <c r="K2986" s="308">
        <f>IFERROR(__xludf.DUMMYFUNCTION("""COMPUTED_VALUE"""),12.0)</f>
        <v>12</v>
      </c>
      <c r="L2986" s="308">
        <f>IFERROR(__xludf.DUMMYFUNCTION("""COMPUTED_VALUE"""),2015.0)</f>
        <v>2015</v>
      </c>
      <c r="M2986" s="308" t="s">
        <v>12279</v>
      </c>
      <c r="N2986" s="308"/>
      <c r="O2986" s="308" t="s">
        <v>12280</v>
      </c>
      <c r="P2986" s="308" t="s">
        <v>12281</v>
      </c>
      <c r="Q2986" s="308"/>
      <c r="R2986" s="308"/>
      <c r="S2986" s="308" t="s">
        <v>81</v>
      </c>
      <c r="T2986" s="311" t="s">
        <v>51</v>
      </c>
      <c r="U2986" s="308"/>
      <c r="V2986" s="312"/>
    </row>
    <row r="2987">
      <c r="A2987" s="308">
        <v>2986.0</v>
      </c>
      <c r="B2987" s="308"/>
      <c r="C2987" s="308" t="s">
        <v>12282</v>
      </c>
      <c r="D2987" s="308">
        <f>IFERROR(__xludf.DUMMYFUNCTION("SPLIT(C2987,""-"")"),3007.0)</f>
        <v>3007</v>
      </c>
      <c r="E2987" s="308" t="str">
        <f>IFERROR(__xludf.DUMMYFUNCTION("""COMPUTED_VALUE"""),"B")</f>
        <v>B</v>
      </c>
      <c r="F2987" s="315" t="s">
        <v>26</v>
      </c>
      <c r="G2987" s="308"/>
      <c r="H2987" s="308" t="s">
        <v>12283</v>
      </c>
      <c r="I2987" s="316">
        <v>2013.0</v>
      </c>
      <c r="J2987" s="319"/>
      <c r="K2987" s="308"/>
      <c r="L2987" s="311">
        <v>2013.0</v>
      </c>
      <c r="M2987" s="308" t="s">
        <v>12284</v>
      </c>
      <c r="N2987" s="308"/>
      <c r="O2987" s="308"/>
      <c r="P2987" s="308" t="s">
        <v>12285</v>
      </c>
      <c r="Q2987" s="308"/>
      <c r="R2987" s="308"/>
      <c r="S2987" s="308" t="s">
        <v>49</v>
      </c>
      <c r="T2987" s="308" t="s">
        <v>51</v>
      </c>
      <c r="U2987" s="308"/>
      <c r="V2987" s="312"/>
    </row>
    <row r="2988">
      <c r="A2988" s="308">
        <v>2987.0</v>
      </c>
      <c r="B2988" s="308"/>
      <c r="C2988" s="308" t="s">
        <v>12286</v>
      </c>
      <c r="D2988" s="308">
        <f>IFERROR(__xludf.DUMMYFUNCTION("SPLIT(C2988,""-"")"),3008.0)</f>
        <v>3008</v>
      </c>
      <c r="E2988" s="308" t="str">
        <f>IFERROR(__xludf.DUMMYFUNCTION("""COMPUTED_VALUE"""),"B")</f>
        <v>B</v>
      </c>
      <c r="F2988" s="315" t="s">
        <v>26</v>
      </c>
      <c r="G2988" s="308"/>
      <c r="H2988" s="308" t="s">
        <v>12287</v>
      </c>
      <c r="I2988" s="316">
        <v>2008.0</v>
      </c>
      <c r="J2988" s="319"/>
      <c r="K2988" s="308"/>
      <c r="L2988" s="311">
        <v>2008.0</v>
      </c>
      <c r="M2988" s="308" t="s">
        <v>12288</v>
      </c>
      <c r="N2988" s="308"/>
      <c r="O2988" s="308" t="s">
        <v>36834</v>
      </c>
      <c r="P2988" s="308" t="s">
        <v>36814</v>
      </c>
      <c r="Q2988" s="308"/>
      <c r="R2988" s="308"/>
      <c r="S2988" s="315" t="s">
        <v>100</v>
      </c>
      <c r="T2988" s="311" t="s">
        <v>34208</v>
      </c>
      <c r="U2988" s="308" t="s">
        <v>27</v>
      </c>
      <c r="V2988" s="312"/>
    </row>
    <row r="2989">
      <c r="A2989" s="308">
        <v>2988.0</v>
      </c>
      <c r="B2989" s="308"/>
      <c r="C2989" s="308" t="s">
        <v>12290</v>
      </c>
      <c r="D2989" s="308">
        <f>IFERROR(__xludf.DUMMYFUNCTION("SPLIT(C2989,""-"")"),3009.0)</f>
        <v>3009</v>
      </c>
      <c r="E2989" s="308" t="str">
        <f>IFERROR(__xludf.DUMMYFUNCTION("""COMPUTED_VALUE"""),"B")</f>
        <v>B</v>
      </c>
      <c r="F2989" s="315" t="s">
        <v>26</v>
      </c>
      <c r="G2989" s="308"/>
      <c r="H2989" s="308" t="s">
        <v>12291</v>
      </c>
      <c r="I2989" s="316">
        <v>2014.0</v>
      </c>
      <c r="J2989" s="319"/>
      <c r="K2989" s="308"/>
      <c r="L2989" s="311">
        <v>2014.0</v>
      </c>
      <c r="M2989" s="308" t="s">
        <v>12292</v>
      </c>
      <c r="N2989" s="308"/>
      <c r="O2989" s="308"/>
      <c r="P2989" s="308" t="s">
        <v>12293</v>
      </c>
      <c r="Q2989" s="308"/>
      <c r="R2989" s="308"/>
      <c r="S2989" s="308" t="s">
        <v>81</v>
      </c>
      <c r="T2989" s="308" t="s">
        <v>75</v>
      </c>
      <c r="U2989" s="308"/>
      <c r="V2989" s="312"/>
    </row>
    <row r="2990">
      <c r="A2990" s="308">
        <v>2989.0</v>
      </c>
      <c r="B2990" s="308"/>
      <c r="C2990" s="308" t="s">
        <v>12294</v>
      </c>
      <c r="D2990" s="308">
        <f>IFERROR(__xludf.DUMMYFUNCTION("SPLIT(C2990,""-"")"),3010.0)</f>
        <v>3010</v>
      </c>
      <c r="E2990" s="308" t="str">
        <f>IFERROR(__xludf.DUMMYFUNCTION("""COMPUTED_VALUE"""),"B")</f>
        <v>B</v>
      </c>
      <c r="F2990" s="315" t="s">
        <v>26</v>
      </c>
      <c r="G2990" s="308"/>
      <c r="H2990" s="308" t="s">
        <v>12295</v>
      </c>
      <c r="I2990" s="310">
        <v>41888.0</v>
      </c>
      <c r="J2990" s="319">
        <f>IFERROR(__xludf.DUMMYFUNCTION("SPLIT(I2990,""/"")"),6.0)</f>
        <v>6</v>
      </c>
      <c r="K2990" s="308">
        <f>IFERROR(__xludf.DUMMYFUNCTION("""COMPUTED_VALUE"""),9.0)</f>
        <v>9</v>
      </c>
      <c r="L2990" s="308">
        <f>IFERROR(__xludf.DUMMYFUNCTION("""COMPUTED_VALUE"""),2014.0)</f>
        <v>2014</v>
      </c>
      <c r="M2990" s="308" t="s">
        <v>12296</v>
      </c>
      <c r="N2990" s="308"/>
      <c r="O2990" s="308" t="s">
        <v>36835</v>
      </c>
      <c r="P2990" s="308" t="s">
        <v>36836</v>
      </c>
      <c r="Q2990" s="308"/>
      <c r="R2990" s="308"/>
      <c r="S2990" s="308" t="s">
        <v>49</v>
      </c>
      <c r="T2990" s="308" t="s">
        <v>51</v>
      </c>
      <c r="U2990" s="308" t="s">
        <v>27</v>
      </c>
      <c r="V2990" s="312"/>
    </row>
    <row r="2991">
      <c r="A2991" s="308">
        <v>2990.0</v>
      </c>
      <c r="B2991" s="308"/>
      <c r="C2991" s="308" t="s">
        <v>12299</v>
      </c>
      <c r="D2991" s="308">
        <f>IFERROR(__xludf.DUMMYFUNCTION("SPLIT(C2991,""-"")"),3011.0)</f>
        <v>3011</v>
      </c>
      <c r="E2991" s="308" t="str">
        <f>IFERROR(__xludf.DUMMYFUNCTION("""COMPUTED_VALUE"""),"B")</f>
        <v>B</v>
      </c>
      <c r="F2991" s="315" t="s">
        <v>26</v>
      </c>
      <c r="G2991" s="308"/>
      <c r="H2991" s="308" t="s">
        <v>12300</v>
      </c>
      <c r="I2991" s="325">
        <v>41730.0</v>
      </c>
      <c r="J2991" s="319"/>
      <c r="K2991" s="311">
        <v>4.0</v>
      </c>
      <c r="L2991" s="311">
        <v>2014.0</v>
      </c>
      <c r="M2991" s="308" t="s">
        <v>12301</v>
      </c>
      <c r="N2991" s="308"/>
      <c r="O2991" s="308" t="s">
        <v>36837</v>
      </c>
      <c r="P2991" s="308" t="s">
        <v>12303</v>
      </c>
      <c r="Q2991" s="308"/>
      <c r="R2991" s="308"/>
      <c r="S2991" s="308" t="s">
        <v>81</v>
      </c>
      <c r="T2991" s="311" t="s">
        <v>96</v>
      </c>
      <c r="U2991" s="308"/>
      <c r="V2991" s="312"/>
    </row>
    <row r="2992">
      <c r="A2992" s="308">
        <v>2991.0</v>
      </c>
      <c r="B2992" s="308"/>
      <c r="C2992" s="308" t="s">
        <v>12304</v>
      </c>
      <c r="D2992" s="308">
        <f>IFERROR(__xludf.DUMMYFUNCTION("SPLIT(C2992,""-"")"),3012.0)</f>
        <v>3012</v>
      </c>
      <c r="E2992" s="308" t="str">
        <f>IFERROR(__xludf.DUMMYFUNCTION("""COMPUTED_VALUE"""),"B")</f>
        <v>B</v>
      </c>
      <c r="F2992" s="315" t="s">
        <v>26</v>
      </c>
      <c r="G2992" s="308"/>
      <c r="H2992" s="308" t="s">
        <v>12305</v>
      </c>
      <c r="I2992" s="316">
        <v>2014.0</v>
      </c>
      <c r="J2992" s="319"/>
      <c r="K2992" s="308"/>
      <c r="L2992" s="311">
        <v>2014.0</v>
      </c>
      <c r="M2992" s="308" t="s">
        <v>12306</v>
      </c>
      <c r="N2992" s="308"/>
      <c r="O2992" s="308"/>
      <c r="P2992" s="308" t="s">
        <v>12285</v>
      </c>
      <c r="Q2992" s="308"/>
      <c r="R2992" s="308"/>
      <c r="S2992" s="308" t="s">
        <v>49</v>
      </c>
      <c r="T2992" s="308" t="s">
        <v>51</v>
      </c>
      <c r="U2992" s="308"/>
      <c r="V2992" s="312"/>
    </row>
    <row r="2993">
      <c r="A2993" s="308">
        <v>2992.0</v>
      </c>
      <c r="B2993" s="308"/>
      <c r="C2993" s="308" t="s">
        <v>12307</v>
      </c>
      <c r="D2993" s="308">
        <f>IFERROR(__xludf.DUMMYFUNCTION("SPLIT(C2993,""-"")"),3013.0)</f>
        <v>3013</v>
      </c>
      <c r="E2993" s="308" t="str">
        <f>IFERROR(__xludf.DUMMYFUNCTION("""COMPUTED_VALUE"""),"S")</f>
        <v>S</v>
      </c>
      <c r="F2993" s="312" t="s">
        <v>39</v>
      </c>
      <c r="G2993" s="308"/>
      <c r="H2993" s="308" t="s">
        <v>12308</v>
      </c>
      <c r="I2993" s="314">
        <v>42155.0</v>
      </c>
      <c r="J2993" s="319">
        <f>IFERROR(__xludf.DUMMYFUNCTION("SPLIT(I2993,""/"")"),31.0)</f>
        <v>31</v>
      </c>
      <c r="K2993" s="308">
        <f>IFERROR(__xludf.DUMMYFUNCTION("""COMPUTED_VALUE"""),5.0)</f>
        <v>5</v>
      </c>
      <c r="L2993" s="308">
        <f>IFERROR(__xludf.DUMMYFUNCTION("""COMPUTED_VALUE"""),2015.0)</f>
        <v>2015</v>
      </c>
      <c r="M2993" s="308" t="s">
        <v>12309</v>
      </c>
      <c r="N2993" s="308"/>
      <c r="O2993" s="308" t="s">
        <v>36838</v>
      </c>
      <c r="P2993" s="308" t="s">
        <v>9535</v>
      </c>
      <c r="Q2993" s="308"/>
      <c r="R2993" s="308"/>
      <c r="S2993" s="308" t="s">
        <v>81</v>
      </c>
      <c r="T2993" s="308" t="s">
        <v>75</v>
      </c>
      <c r="U2993" s="308"/>
      <c r="V2993" s="312"/>
    </row>
    <row r="2994">
      <c r="A2994" s="308">
        <v>2993.0</v>
      </c>
      <c r="B2994" s="308"/>
      <c r="C2994" s="308" t="s">
        <v>12311</v>
      </c>
      <c r="D2994" s="308">
        <f>IFERROR(__xludf.DUMMYFUNCTION("SPLIT(C2994,""-"")"),3014.0)</f>
        <v>3014</v>
      </c>
      <c r="E2994" s="308" t="str">
        <f>IFERROR(__xludf.DUMMYFUNCTION("""COMPUTED_VALUE"""),"B")</f>
        <v>B</v>
      </c>
      <c r="F2994" s="315" t="s">
        <v>26</v>
      </c>
      <c r="G2994" s="308"/>
      <c r="H2994" s="308" t="s">
        <v>12312</v>
      </c>
      <c r="I2994" s="310">
        <v>40592.0</v>
      </c>
      <c r="J2994" s="319">
        <f>IFERROR(__xludf.DUMMYFUNCTION("SPLIT(I2994,""/"")"),18.0)</f>
        <v>18</v>
      </c>
      <c r="K2994" s="308">
        <f>IFERROR(__xludf.DUMMYFUNCTION("""COMPUTED_VALUE"""),2.0)</f>
        <v>2</v>
      </c>
      <c r="L2994" s="308">
        <f>IFERROR(__xludf.DUMMYFUNCTION("""COMPUTED_VALUE"""),2011.0)</f>
        <v>2011</v>
      </c>
      <c r="M2994" s="308" t="s">
        <v>12313</v>
      </c>
      <c r="N2994" s="308"/>
      <c r="O2994" s="308" t="s">
        <v>12314</v>
      </c>
      <c r="P2994" s="308" t="s">
        <v>11049</v>
      </c>
      <c r="Q2994" s="308"/>
      <c r="R2994" s="308"/>
      <c r="S2994" s="315" t="s">
        <v>100</v>
      </c>
      <c r="T2994" s="311" t="s">
        <v>34208</v>
      </c>
      <c r="U2994" s="308" t="s">
        <v>27</v>
      </c>
      <c r="V2994" s="312"/>
    </row>
    <row r="2995">
      <c r="A2995" s="308">
        <v>2994.0</v>
      </c>
      <c r="B2995" s="308"/>
      <c r="C2995" s="308" t="s">
        <v>12315</v>
      </c>
      <c r="D2995" s="308">
        <f>IFERROR(__xludf.DUMMYFUNCTION("SPLIT(C2995,""-"")"),3015.0)</f>
        <v>3015</v>
      </c>
      <c r="E2995" s="308" t="str">
        <f>IFERROR(__xludf.DUMMYFUNCTION("""COMPUTED_VALUE"""),"K")</f>
        <v>K</v>
      </c>
      <c r="F2995" s="309" t="s">
        <v>34</v>
      </c>
      <c r="G2995" s="308"/>
      <c r="H2995" s="308" t="s">
        <v>12316</v>
      </c>
      <c r="I2995" s="310">
        <v>40067.0</v>
      </c>
      <c r="J2995" s="319">
        <f>IFERROR(__xludf.DUMMYFUNCTION("SPLIT(I2995,""/"")"),11.0)</f>
        <v>11</v>
      </c>
      <c r="K2995" s="308">
        <f>IFERROR(__xludf.DUMMYFUNCTION("""COMPUTED_VALUE"""),9.0)</f>
        <v>9</v>
      </c>
      <c r="L2995" s="308">
        <f>IFERROR(__xludf.DUMMYFUNCTION("""COMPUTED_VALUE"""),2009.0)</f>
        <v>2009</v>
      </c>
      <c r="M2995" s="308" t="s">
        <v>36839</v>
      </c>
      <c r="N2995" s="308"/>
      <c r="O2995" s="308"/>
      <c r="P2995" s="308" t="s">
        <v>36840</v>
      </c>
      <c r="Q2995" s="308"/>
      <c r="R2995" s="308"/>
      <c r="S2995" s="315" t="s">
        <v>100</v>
      </c>
      <c r="T2995" s="311" t="s">
        <v>34208</v>
      </c>
      <c r="U2995" s="308" t="s">
        <v>872</v>
      </c>
      <c r="V2995" s="312"/>
    </row>
    <row r="2996">
      <c r="A2996" s="308">
        <v>2995.0</v>
      </c>
      <c r="B2996" s="308"/>
      <c r="C2996" s="308" t="s">
        <v>12319</v>
      </c>
      <c r="D2996" s="308">
        <f>IFERROR(__xludf.DUMMYFUNCTION("SPLIT(C2996,""-"")"),3016.0)</f>
        <v>3016</v>
      </c>
      <c r="E2996" s="308" t="str">
        <f>IFERROR(__xludf.DUMMYFUNCTION("""COMPUTED_VALUE"""),"K")</f>
        <v>K</v>
      </c>
      <c r="F2996" s="309" t="s">
        <v>34</v>
      </c>
      <c r="G2996" s="308"/>
      <c r="H2996" s="308" t="s">
        <v>12320</v>
      </c>
      <c r="I2996" s="310">
        <v>40067.0</v>
      </c>
      <c r="J2996" s="319">
        <f>IFERROR(__xludf.DUMMYFUNCTION("SPLIT(I2996,""/"")"),11.0)</f>
        <v>11</v>
      </c>
      <c r="K2996" s="308">
        <f>IFERROR(__xludf.DUMMYFUNCTION("""COMPUTED_VALUE"""),9.0)</f>
        <v>9</v>
      </c>
      <c r="L2996" s="308">
        <f>IFERROR(__xludf.DUMMYFUNCTION("""COMPUTED_VALUE"""),2009.0)</f>
        <v>2009</v>
      </c>
      <c r="M2996" s="308" t="s">
        <v>12321</v>
      </c>
      <c r="N2996" s="308"/>
      <c r="O2996" s="308"/>
      <c r="P2996" s="308" t="s">
        <v>36840</v>
      </c>
      <c r="Q2996" s="308"/>
      <c r="R2996" s="308"/>
      <c r="S2996" s="315" t="s">
        <v>100</v>
      </c>
      <c r="T2996" s="311" t="s">
        <v>34208</v>
      </c>
      <c r="U2996" s="308" t="s">
        <v>872</v>
      </c>
      <c r="V2996" s="312"/>
    </row>
    <row r="2997">
      <c r="A2997" s="308">
        <v>2996.0</v>
      </c>
      <c r="B2997" s="308"/>
      <c r="C2997" s="308" t="s">
        <v>12322</v>
      </c>
      <c r="D2997" s="308">
        <f>IFERROR(__xludf.DUMMYFUNCTION("SPLIT(C2997,""-"")"),3017.0)</f>
        <v>3017</v>
      </c>
      <c r="E2997" s="308" t="str">
        <f>IFERROR(__xludf.DUMMYFUNCTION("""COMPUTED_VALUE"""),"P")</f>
        <v>P</v>
      </c>
      <c r="F2997" s="312" t="s">
        <v>37</v>
      </c>
      <c r="G2997" s="308"/>
      <c r="H2997" s="308" t="s">
        <v>12323</v>
      </c>
      <c r="I2997" s="314">
        <v>42296.0</v>
      </c>
      <c r="J2997" s="319">
        <f>IFERROR(__xludf.DUMMYFUNCTION("SPLIT(I2997,""/"")"),19.0)</f>
        <v>19</v>
      </c>
      <c r="K2997" s="308">
        <f>IFERROR(__xludf.DUMMYFUNCTION("""COMPUTED_VALUE"""),10.0)</f>
        <v>10</v>
      </c>
      <c r="L2997" s="308">
        <f>IFERROR(__xludf.DUMMYFUNCTION("""COMPUTED_VALUE"""),2015.0)</f>
        <v>2015</v>
      </c>
      <c r="M2997" s="308" t="s">
        <v>12324</v>
      </c>
      <c r="N2997" s="308"/>
      <c r="O2997" s="308" t="s">
        <v>12325</v>
      </c>
      <c r="P2997" s="308" t="s">
        <v>36841</v>
      </c>
      <c r="Q2997" s="308"/>
      <c r="R2997" s="308"/>
      <c r="S2997" s="315" t="s">
        <v>100</v>
      </c>
      <c r="T2997" s="311" t="s">
        <v>34208</v>
      </c>
      <c r="U2997" s="308" t="s">
        <v>143</v>
      </c>
      <c r="V2997" s="312"/>
    </row>
    <row r="2998">
      <c r="A2998" s="308">
        <v>2997.0</v>
      </c>
      <c r="B2998" s="308"/>
      <c r="C2998" s="308" t="s">
        <v>12326</v>
      </c>
      <c r="D2998" s="308">
        <f>IFERROR(__xludf.DUMMYFUNCTION("SPLIT(C2998,""-"")"),3018.0)</f>
        <v>3018</v>
      </c>
      <c r="E2998" s="308" t="str">
        <f>IFERROR(__xludf.DUMMYFUNCTION("""COMPUTED_VALUE"""),"S")</f>
        <v>S</v>
      </c>
      <c r="F2998" s="312" t="s">
        <v>39</v>
      </c>
      <c r="G2998" s="308"/>
      <c r="H2998" s="308" t="s">
        <v>12327</v>
      </c>
      <c r="I2998" s="310">
        <v>42216.0</v>
      </c>
      <c r="J2998" s="319">
        <f>IFERROR(__xludf.DUMMYFUNCTION("SPLIT(I2998,""/"")"),31.0)</f>
        <v>31</v>
      </c>
      <c r="K2998" s="308">
        <f>IFERROR(__xludf.DUMMYFUNCTION("""COMPUTED_VALUE"""),7.0)</f>
        <v>7</v>
      </c>
      <c r="L2998" s="308">
        <f>IFERROR(__xludf.DUMMYFUNCTION("""COMPUTED_VALUE"""),2015.0)</f>
        <v>2015</v>
      </c>
      <c r="M2998" s="308" t="s">
        <v>36842</v>
      </c>
      <c r="N2998" s="308"/>
      <c r="O2998" s="308" t="s">
        <v>635</v>
      </c>
      <c r="P2998" s="308" t="s">
        <v>12329</v>
      </c>
      <c r="Q2998" s="308"/>
      <c r="R2998" s="308"/>
      <c r="S2998" s="308" t="s">
        <v>49</v>
      </c>
      <c r="T2998" s="311" t="s">
        <v>70</v>
      </c>
      <c r="U2998" s="308" t="s">
        <v>2748</v>
      </c>
      <c r="V2998" s="312"/>
    </row>
    <row r="2999">
      <c r="A2999" s="308">
        <v>2998.0</v>
      </c>
      <c r="B2999" s="308"/>
      <c r="C2999" s="308" t="s">
        <v>12330</v>
      </c>
      <c r="D2999" s="308">
        <f>IFERROR(__xludf.DUMMYFUNCTION("SPLIT(C2999,""-"")"),3019.0)</f>
        <v>3019</v>
      </c>
      <c r="E2999" s="308" t="str">
        <f>IFERROR(__xludf.DUMMYFUNCTION("""COMPUTED_VALUE"""),"B")</f>
        <v>B</v>
      </c>
      <c r="F2999" s="315" t="s">
        <v>26</v>
      </c>
      <c r="G2999" s="308"/>
      <c r="H2999" s="308" t="s">
        <v>12331</v>
      </c>
      <c r="I2999" s="316">
        <v>2014.0</v>
      </c>
      <c r="J2999" s="319"/>
      <c r="K2999" s="308"/>
      <c r="L2999" s="311">
        <v>2014.0</v>
      </c>
      <c r="M2999" s="308" t="s">
        <v>36843</v>
      </c>
      <c r="N2999" s="308"/>
      <c r="O2999" s="308" t="s">
        <v>12333</v>
      </c>
      <c r="P2999" s="308" t="s">
        <v>12334</v>
      </c>
      <c r="Q2999" s="308"/>
      <c r="R2999" s="308"/>
      <c r="S2999" s="308" t="s">
        <v>81</v>
      </c>
      <c r="T2999" s="308" t="s">
        <v>73</v>
      </c>
      <c r="U2999" s="308"/>
      <c r="V2999" s="312"/>
    </row>
    <row r="3000">
      <c r="A3000" s="308">
        <v>2999.0</v>
      </c>
      <c r="B3000" s="308"/>
      <c r="C3000" s="308" t="s">
        <v>12335</v>
      </c>
      <c r="D3000" s="308">
        <f>IFERROR(__xludf.DUMMYFUNCTION("SPLIT(C3000,""-"")"),3020.0)</f>
        <v>3020</v>
      </c>
      <c r="E3000" s="308" t="str">
        <f>IFERROR(__xludf.DUMMYFUNCTION("""COMPUTED_VALUE"""),"S")</f>
        <v>S</v>
      </c>
      <c r="F3000" s="312" t="s">
        <v>39</v>
      </c>
      <c r="G3000" s="308"/>
      <c r="H3000" s="308" t="s">
        <v>12336</v>
      </c>
      <c r="I3000" s="310">
        <v>42231.0</v>
      </c>
      <c r="J3000" s="319">
        <f>IFERROR(__xludf.DUMMYFUNCTION("SPLIT(I3000,""/"")"),15.0)</f>
        <v>15</v>
      </c>
      <c r="K3000" s="308">
        <f>IFERROR(__xludf.DUMMYFUNCTION("""COMPUTED_VALUE"""),8.0)</f>
        <v>8</v>
      </c>
      <c r="L3000" s="308">
        <f>IFERROR(__xludf.DUMMYFUNCTION("""COMPUTED_VALUE"""),2015.0)</f>
        <v>2015</v>
      </c>
      <c r="M3000" s="308" t="s">
        <v>12337</v>
      </c>
      <c r="N3000" s="308"/>
      <c r="O3000" s="308"/>
      <c r="P3000" s="308" t="s">
        <v>2675</v>
      </c>
      <c r="Q3000" s="308"/>
      <c r="R3000" s="308"/>
      <c r="S3000" s="308" t="s">
        <v>49</v>
      </c>
      <c r="T3000" s="308" t="s">
        <v>51</v>
      </c>
      <c r="U3000" s="308"/>
      <c r="V3000" s="312"/>
    </row>
    <row r="3001">
      <c r="A3001" s="308">
        <v>3000.0</v>
      </c>
      <c r="B3001" s="308"/>
      <c r="C3001" s="308" t="s">
        <v>12338</v>
      </c>
      <c r="D3001" s="308">
        <f>IFERROR(__xludf.DUMMYFUNCTION("SPLIT(C3001,""-"")"),3021.0)</f>
        <v>3021</v>
      </c>
      <c r="E3001" s="308" t="str">
        <f>IFERROR(__xludf.DUMMYFUNCTION("""COMPUTED_VALUE"""),"K")</f>
        <v>K</v>
      </c>
      <c r="F3001" s="309" t="s">
        <v>34</v>
      </c>
      <c r="G3001" s="308"/>
      <c r="H3001" s="308" t="s">
        <v>12339</v>
      </c>
      <c r="I3001" s="316">
        <v>2009.0</v>
      </c>
      <c r="J3001" s="319"/>
      <c r="K3001" s="308"/>
      <c r="L3001" s="311">
        <v>2009.0</v>
      </c>
      <c r="M3001" s="308" t="s">
        <v>12340</v>
      </c>
      <c r="N3001" s="308"/>
      <c r="O3001" s="308" t="s">
        <v>12341</v>
      </c>
      <c r="P3001" s="308" t="s">
        <v>1872</v>
      </c>
      <c r="Q3001" s="308"/>
      <c r="R3001" s="308"/>
      <c r="S3001" s="315" t="s">
        <v>100</v>
      </c>
      <c r="T3001" s="311" t="s">
        <v>34208</v>
      </c>
      <c r="U3001" s="308" t="s">
        <v>530</v>
      </c>
      <c r="V3001" s="312"/>
    </row>
    <row r="3002">
      <c r="A3002" s="308">
        <v>3001.0</v>
      </c>
      <c r="B3002" s="308"/>
      <c r="C3002" s="308" t="s">
        <v>12342</v>
      </c>
      <c r="D3002" s="308">
        <f>IFERROR(__xludf.DUMMYFUNCTION("SPLIT(C3002,""-"")"),3022.0)</f>
        <v>3022</v>
      </c>
      <c r="E3002" s="308" t="str">
        <f>IFERROR(__xludf.DUMMYFUNCTION("""COMPUTED_VALUE"""),"P")</f>
        <v>P</v>
      </c>
      <c r="F3002" s="312" t="s">
        <v>37</v>
      </c>
      <c r="G3002" s="308"/>
      <c r="H3002" s="308" t="s">
        <v>12343</v>
      </c>
      <c r="I3002" s="314">
        <v>42348.0</v>
      </c>
      <c r="J3002" s="319">
        <f>IFERROR(__xludf.DUMMYFUNCTION("SPLIT(I3002,""/"")"),10.0)</f>
        <v>10</v>
      </c>
      <c r="K3002" s="308">
        <f>IFERROR(__xludf.DUMMYFUNCTION("""COMPUTED_VALUE"""),12.0)</f>
        <v>12</v>
      </c>
      <c r="L3002" s="308">
        <f>IFERROR(__xludf.DUMMYFUNCTION("""COMPUTED_VALUE"""),2015.0)</f>
        <v>2015</v>
      </c>
      <c r="M3002" s="308" t="s">
        <v>12344</v>
      </c>
      <c r="N3002" s="308"/>
      <c r="O3002" s="308" t="s">
        <v>635</v>
      </c>
      <c r="P3002" s="308" t="s">
        <v>12345</v>
      </c>
      <c r="Q3002" s="308"/>
      <c r="R3002" s="308"/>
      <c r="S3002" s="308" t="s">
        <v>81</v>
      </c>
      <c r="T3002" s="311" t="s">
        <v>51</v>
      </c>
      <c r="U3002" s="308"/>
      <c r="V3002" s="312"/>
    </row>
    <row r="3003">
      <c r="A3003" s="308">
        <v>3002.0</v>
      </c>
      <c r="B3003" s="308"/>
      <c r="C3003" s="308" t="s">
        <v>12346</v>
      </c>
      <c r="D3003" s="308">
        <f>IFERROR(__xludf.DUMMYFUNCTION("SPLIT(C3003,""-"")"),3023.0)</f>
        <v>3023</v>
      </c>
      <c r="E3003" s="308" t="str">
        <f>IFERROR(__xludf.DUMMYFUNCTION("""COMPUTED_VALUE"""),"S")</f>
        <v>S</v>
      </c>
      <c r="F3003" s="312" t="s">
        <v>39</v>
      </c>
      <c r="G3003" s="308"/>
      <c r="H3003" s="308" t="s">
        <v>12347</v>
      </c>
      <c r="I3003" s="316">
        <v>2012.0</v>
      </c>
      <c r="J3003" s="319"/>
      <c r="K3003" s="308"/>
      <c r="L3003" s="311">
        <v>2012.0</v>
      </c>
      <c r="M3003" s="308" t="s">
        <v>12348</v>
      </c>
      <c r="N3003" s="308"/>
      <c r="O3003" s="308"/>
      <c r="P3003" s="308" t="s">
        <v>49</v>
      </c>
      <c r="Q3003" s="308"/>
      <c r="R3003" s="308" t="s">
        <v>2743</v>
      </c>
      <c r="S3003" s="308" t="s">
        <v>49</v>
      </c>
      <c r="T3003" s="308" t="s">
        <v>34409</v>
      </c>
      <c r="U3003" s="308" t="s">
        <v>166</v>
      </c>
      <c r="V3003" s="312"/>
    </row>
    <row r="3004">
      <c r="A3004" s="308">
        <v>3003.0</v>
      </c>
      <c r="B3004" s="308"/>
      <c r="C3004" s="308" t="s">
        <v>12349</v>
      </c>
      <c r="D3004" s="308">
        <f>IFERROR(__xludf.DUMMYFUNCTION("SPLIT(C3004,""-"")"),3024.0)</f>
        <v>3024</v>
      </c>
      <c r="E3004" s="308" t="str">
        <f>IFERROR(__xludf.DUMMYFUNCTION("""COMPUTED_VALUE"""),"P")</f>
        <v>P</v>
      </c>
      <c r="F3004" s="312" t="s">
        <v>37</v>
      </c>
      <c r="G3004" s="308" t="s">
        <v>12350</v>
      </c>
      <c r="H3004" s="308" t="s">
        <v>12351</v>
      </c>
      <c r="I3004" s="310">
        <v>41976.0</v>
      </c>
      <c r="J3004" s="319">
        <f>IFERROR(__xludf.DUMMYFUNCTION("SPLIT(I3004,""/"")"),3.0)</f>
        <v>3</v>
      </c>
      <c r="K3004" s="308">
        <f>IFERROR(__xludf.DUMMYFUNCTION("""COMPUTED_VALUE"""),12.0)</f>
        <v>12</v>
      </c>
      <c r="L3004" s="308">
        <f>IFERROR(__xludf.DUMMYFUNCTION("""COMPUTED_VALUE"""),2014.0)</f>
        <v>2014</v>
      </c>
      <c r="M3004" s="308" t="s">
        <v>12352</v>
      </c>
      <c r="N3004" s="308"/>
      <c r="O3004" s="308" t="s">
        <v>36844</v>
      </c>
      <c r="P3004" s="308" t="s">
        <v>12354</v>
      </c>
      <c r="Q3004" s="308"/>
      <c r="R3004" s="308"/>
      <c r="S3004" s="308" t="s">
        <v>81</v>
      </c>
      <c r="T3004" s="308" t="s">
        <v>73</v>
      </c>
      <c r="U3004" s="308" t="s">
        <v>143</v>
      </c>
      <c r="V3004" s="312"/>
    </row>
    <row r="3005">
      <c r="A3005" s="308">
        <v>3004.0</v>
      </c>
      <c r="B3005" s="308"/>
      <c r="C3005" s="308" t="s">
        <v>12355</v>
      </c>
      <c r="D3005" s="308">
        <f>IFERROR(__xludf.DUMMYFUNCTION("SPLIT(C3005,""-"")"),3025.0)</f>
        <v>3025</v>
      </c>
      <c r="E3005" s="308" t="str">
        <f>IFERROR(__xludf.DUMMYFUNCTION("""COMPUTED_VALUE"""),"K")</f>
        <v>K</v>
      </c>
      <c r="F3005" s="309" t="s">
        <v>34</v>
      </c>
      <c r="G3005" s="308" t="s">
        <v>12356</v>
      </c>
      <c r="H3005" s="308" t="s">
        <v>12357</v>
      </c>
      <c r="I3005" s="310">
        <v>41524.0</v>
      </c>
      <c r="J3005" s="319">
        <f>IFERROR(__xludf.DUMMYFUNCTION("SPLIT(I3005,""/"")"),7.0)</f>
        <v>7</v>
      </c>
      <c r="K3005" s="308">
        <f>IFERROR(__xludf.DUMMYFUNCTION("""COMPUTED_VALUE"""),9.0)</f>
        <v>9</v>
      </c>
      <c r="L3005" s="308">
        <f>IFERROR(__xludf.DUMMYFUNCTION("""COMPUTED_VALUE"""),2013.0)</f>
        <v>2013</v>
      </c>
      <c r="M3005" s="308" t="s">
        <v>12358</v>
      </c>
      <c r="N3005" s="308"/>
      <c r="O3005" s="308" t="s">
        <v>635</v>
      </c>
      <c r="P3005" s="308" t="s">
        <v>12359</v>
      </c>
      <c r="Q3005" s="308"/>
      <c r="R3005" s="308"/>
      <c r="S3005" s="308" t="s">
        <v>81</v>
      </c>
      <c r="T3005" s="308" t="s">
        <v>34264</v>
      </c>
      <c r="U3005" s="308"/>
      <c r="V3005" s="312"/>
    </row>
    <row r="3006">
      <c r="A3006" s="308">
        <v>3005.0</v>
      </c>
      <c r="B3006" s="308"/>
      <c r="C3006" s="308" t="s">
        <v>12360</v>
      </c>
      <c r="D3006" s="308">
        <f>IFERROR(__xludf.DUMMYFUNCTION("SPLIT(C3006,""-"")"),3026.0)</f>
        <v>3026</v>
      </c>
      <c r="E3006" s="308" t="str">
        <f>IFERROR(__xludf.DUMMYFUNCTION("""COMPUTED_VALUE"""),"S")</f>
        <v>S</v>
      </c>
      <c r="F3006" s="312" t="s">
        <v>39</v>
      </c>
      <c r="G3006" s="308" t="s">
        <v>12361</v>
      </c>
      <c r="H3006" s="308" t="s">
        <v>12362</v>
      </c>
      <c r="I3006" s="310">
        <v>42143.0</v>
      </c>
      <c r="J3006" s="319">
        <f>IFERROR(__xludf.DUMMYFUNCTION("SPLIT(I3006,""/"")"),19.0)</f>
        <v>19</v>
      </c>
      <c r="K3006" s="308">
        <f>IFERROR(__xludf.DUMMYFUNCTION("""COMPUTED_VALUE"""),5.0)</f>
        <v>5</v>
      </c>
      <c r="L3006" s="308">
        <f>IFERROR(__xludf.DUMMYFUNCTION("""COMPUTED_VALUE"""),2015.0)</f>
        <v>2015</v>
      </c>
      <c r="M3006" s="308" t="s">
        <v>12363</v>
      </c>
      <c r="N3006" s="308"/>
      <c r="O3006" s="308" t="s">
        <v>635</v>
      </c>
      <c r="P3006" s="308" t="s">
        <v>12364</v>
      </c>
      <c r="Q3006" s="308"/>
      <c r="R3006" s="308"/>
      <c r="S3006" s="308" t="s">
        <v>81</v>
      </c>
      <c r="T3006" s="311" t="s">
        <v>91</v>
      </c>
      <c r="U3006" s="308"/>
      <c r="V3006" s="312"/>
    </row>
    <row r="3007">
      <c r="A3007" s="308">
        <v>3006.0</v>
      </c>
      <c r="B3007" s="308"/>
      <c r="C3007" s="308" t="s">
        <v>12365</v>
      </c>
      <c r="D3007" s="308">
        <f>IFERROR(__xludf.DUMMYFUNCTION("SPLIT(C3007,""-"")"),3027.0)</f>
        <v>3027</v>
      </c>
      <c r="E3007" s="308" t="str">
        <f>IFERROR(__xludf.DUMMYFUNCTION("""COMPUTED_VALUE"""),"S")</f>
        <v>S</v>
      </c>
      <c r="F3007" s="312" t="s">
        <v>39</v>
      </c>
      <c r="G3007" s="308" t="s">
        <v>12366</v>
      </c>
      <c r="H3007" s="308" t="s">
        <v>12367</v>
      </c>
      <c r="I3007" s="310">
        <v>42166.0</v>
      </c>
      <c r="J3007" s="319">
        <f>IFERROR(__xludf.DUMMYFUNCTION("SPLIT(I3007,""/"")"),11.0)</f>
        <v>11</v>
      </c>
      <c r="K3007" s="308">
        <f>IFERROR(__xludf.DUMMYFUNCTION("""COMPUTED_VALUE"""),6.0)</f>
        <v>6</v>
      </c>
      <c r="L3007" s="308">
        <f>IFERROR(__xludf.DUMMYFUNCTION("""COMPUTED_VALUE"""),2015.0)</f>
        <v>2015</v>
      </c>
      <c r="M3007" s="308" t="s">
        <v>12368</v>
      </c>
      <c r="N3007" s="308"/>
      <c r="O3007" s="308"/>
      <c r="P3007" s="308" t="s">
        <v>12369</v>
      </c>
      <c r="Q3007" s="308"/>
      <c r="R3007" s="308"/>
      <c r="S3007" s="308" t="s">
        <v>81</v>
      </c>
      <c r="T3007" s="311" t="s">
        <v>73</v>
      </c>
      <c r="U3007" s="308" t="s">
        <v>166</v>
      </c>
      <c r="V3007" s="312"/>
    </row>
    <row r="3008">
      <c r="A3008" s="308">
        <v>3007.0</v>
      </c>
      <c r="B3008" s="308"/>
      <c r="C3008" s="308" t="s">
        <v>12370</v>
      </c>
      <c r="D3008" s="308">
        <f>IFERROR(__xludf.DUMMYFUNCTION("SPLIT(C3008,""-"")"),3028.0)</f>
        <v>3028</v>
      </c>
      <c r="E3008" s="308" t="str">
        <f>IFERROR(__xludf.DUMMYFUNCTION("""COMPUTED_VALUE"""),"B")</f>
        <v>B</v>
      </c>
      <c r="F3008" s="315" t="s">
        <v>26</v>
      </c>
      <c r="G3008" s="308"/>
      <c r="H3008" s="308" t="s">
        <v>12371</v>
      </c>
      <c r="I3008" s="310">
        <v>42211.0</v>
      </c>
      <c r="J3008" s="319">
        <f>IFERROR(__xludf.DUMMYFUNCTION("SPLIT(I3008,""/"")"),26.0)</f>
        <v>26</v>
      </c>
      <c r="K3008" s="308">
        <f>IFERROR(__xludf.DUMMYFUNCTION("""COMPUTED_VALUE"""),7.0)</f>
        <v>7</v>
      </c>
      <c r="L3008" s="308">
        <f>IFERROR(__xludf.DUMMYFUNCTION("""COMPUTED_VALUE"""),2015.0)</f>
        <v>2015</v>
      </c>
      <c r="M3008" s="308" t="s">
        <v>12372</v>
      </c>
      <c r="N3008" s="308"/>
      <c r="O3008" s="308"/>
      <c r="P3008" s="308" t="s">
        <v>12373</v>
      </c>
      <c r="Q3008" s="308"/>
      <c r="R3008" s="308"/>
      <c r="S3008" s="308" t="s">
        <v>81</v>
      </c>
      <c r="T3008" s="308" t="s">
        <v>75</v>
      </c>
      <c r="U3008" s="308"/>
      <c r="V3008" s="312"/>
    </row>
    <row r="3009">
      <c r="A3009" s="308">
        <v>3008.0</v>
      </c>
      <c r="B3009" s="308"/>
      <c r="C3009" s="308" t="s">
        <v>12374</v>
      </c>
      <c r="D3009" s="308">
        <f>IFERROR(__xludf.DUMMYFUNCTION("SPLIT(C3009,""-"")"),3029.0)</f>
        <v>3029</v>
      </c>
      <c r="E3009" s="308" t="str">
        <f>IFERROR(__xludf.DUMMYFUNCTION("""COMPUTED_VALUE"""),"K")</f>
        <v>K</v>
      </c>
      <c r="F3009" s="309" t="s">
        <v>34</v>
      </c>
      <c r="G3009" s="308"/>
      <c r="H3009" s="308" t="s">
        <v>12375</v>
      </c>
      <c r="I3009" s="310">
        <v>41911.0</v>
      </c>
      <c r="J3009" s="319">
        <f>IFERROR(__xludf.DUMMYFUNCTION("SPLIT(I3009,""/"")"),29.0)</f>
        <v>29</v>
      </c>
      <c r="K3009" s="308">
        <f>IFERROR(__xludf.DUMMYFUNCTION("""COMPUTED_VALUE"""),9.0)</f>
        <v>9</v>
      </c>
      <c r="L3009" s="308">
        <f>IFERROR(__xludf.DUMMYFUNCTION("""COMPUTED_VALUE"""),2014.0)</f>
        <v>2014</v>
      </c>
      <c r="M3009" s="308" t="s">
        <v>12376</v>
      </c>
      <c r="N3009" s="308" t="s">
        <v>12377</v>
      </c>
      <c r="O3009" s="308" t="s">
        <v>12378</v>
      </c>
      <c r="P3009" s="308" t="s">
        <v>36845</v>
      </c>
      <c r="Q3009" s="308"/>
      <c r="R3009" s="308"/>
      <c r="S3009" s="308" t="s">
        <v>49</v>
      </c>
      <c r="T3009" s="311" t="s">
        <v>51</v>
      </c>
      <c r="U3009" s="308" t="s">
        <v>2152</v>
      </c>
      <c r="V3009" s="312"/>
    </row>
    <row r="3010">
      <c r="A3010" s="308">
        <v>3009.0</v>
      </c>
      <c r="B3010" s="308"/>
      <c r="C3010" s="308" t="s">
        <v>12380</v>
      </c>
      <c r="D3010" s="308">
        <f>IFERROR(__xludf.DUMMYFUNCTION("SPLIT(C3010,""-"")"),3030.0)</f>
        <v>3030</v>
      </c>
      <c r="E3010" s="308" t="str">
        <f>IFERROR(__xludf.DUMMYFUNCTION("""COMPUTED_VALUE"""),"F")</f>
        <v>F</v>
      </c>
      <c r="F3010" s="309" t="s">
        <v>34</v>
      </c>
      <c r="G3010" s="308"/>
      <c r="H3010" s="308" t="s">
        <v>12381</v>
      </c>
      <c r="I3010" s="310">
        <v>40038.0</v>
      </c>
      <c r="J3010" s="319">
        <f>IFERROR(__xludf.DUMMYFUNCTION("SPLIT(I3010,""/"")"),13.0)</f>
        <v>13</v>
      </c>
      <c r="K3010" s="308">
        <f>IFERROR(__xludf.DUMMYFUNCTION("""COMPUTED_VALUE"""),8.0)</f>
        <v>8</v>
      </c>
      <c r="L3010" s="308">
        <f>IFERROR(__xludf.DUMMYFUNCTION("""COMPUTED_VALUE"""),2009.0)</f>
        <v>2009</v>
      </c>
      <c r="M3010" s="308" t="s">
        <v>12382</v>
      </c>
      <c r="N3010" s="308" t="s">
        <v>439</v>
      </c>
      <c r="O3010" s="308" t="s">
        <v>635</v>
      </c>
      <c r="P3010" s="308" t="s">
        <v>36846</v>
      </c>
      <c r="Q3010" s="308"/>
      <c r="R3010" s="308"/>
      <c r="S3010" s="315" t="s">
        <v>100</v>
      </c>
      <c r="T3010" s="311" t="s">
        <v>34208</v>
      </c>
      <c r="U3010" s="308" t="s">
        <v>6875</v>
      </c>
      <c r="V3010" s="312"/>
    </row>
    <row r="3011">
      <c r="A3011" s="308">
        <v>3010.0</v>
      </c>
      <c r="B3011" s="308"/>
      <c r="C3011" s="308" t="s">
        <v>12383</v>
      </c>
      <c r="D3011" s="308">
        <f>IFERROR(__xludf.DUMMYFUNCTION("SPLIT(C3011,""-"")"),3031.0)</f>
        <v>3031</v>
      </c>
      <c r="E3011" s="308" t="str">
        <f>IFERROR(__xludf.DUMMYFUNCTION("""COMPUTED_VALUE"""),"P")</f>
        <v>P</v>
      </c>
      <c r="F3011" s="312" t="s">
        <v>37</v>
      </c>
      <c r="G3011" s="308"/>
      <c r="H3011" s="308" t="s">
        <v>12384</v>
      </c>
      <c r="I3011" s="316" t="s">
        <v>12385</v>
      </c>
      <c r="J3011" s="323">
        <v>27.0</v>
      </c>
      <c r="K3011" s="311">
        <v>11.0</v>
      </c>
      <c r="L3011" s="311">
        <v>2015.0</v>
      </c>
      <c r="M3011" s="308" t="s">
        <v>12386</v>
      </c>
      <c r="N3011" s="308"/>
      <c r="O3011" s="308" t="s">
        <v>12387</v>
      </c>
      <c r="P3011" s="308" t="s">
        <v>12388</v>
      </c>
      <c r="Q3011" s="308"/>
      <c r="R3011" s="308"/>
      <c r="S3011" s="308" t="s">
        <v>81</v>
      </c>
      <c r="T3011" s="308" t="s">
        <v>75</v>
      </c>
      <c r="U3011" s="308"/>
      <c r="V3011" s="312"/>
    </row>
    <row r="3012">
      <c r="A3012" s="308">
        <v>3011.0</v>
      </c>
      <c r="B3012" s="308"/>
      <c r="C3012" s="308" t="s">
        <v>12389</v>
      </c>
      <c r="D3012" s="308">
        <f>IFERROR(__xludf.DUMMYFUNCTION("SPLIT(C3012,""-"")"),3032.0)</f>
        <v>3032</v>
      </c>
      <c r="E3012" s="308" t="str">
        <f>IFERROR(__xludf.DUMMYFUNCTION("""COMPUTED_VALUE"""),"K")</f>
        <v>K</v>
      </c>
      <c r="F3012" s="309" t="s">
        <v>34</v>
      </c>
      <c r="G3012" s="308"/>
      <c r="H3012" s="308" t="s">
        <v>12390</v>
      </c>
      <c r="I3012" s="310">
        <v>42147.0</v>
      </c>
      <c r="J3012" s="319">
        <f>IFERROR(__xludf.DUMMYFUNCTION("SPLIT(I3012,""/"")"),23.0)</f>
        <v>23</v>
      </c>
      <c r="K3012" s="308">
        <f>IFERROR(__xludf.DUMMYFUNCTION("""COMPUTED_VALUE"""),5.0)</f>
        <v>5</v>
      </c>
      <c r="L3012" s="308">
        <f>IFERROR(__xludf.DUMMYFUNCTION("""COMPUTED_VALUE"""),2015.0)</f>
        <v>2015</v>
      </c>
      <c r="M3012" s="308" t="s">
        <v>12391</v>
      </c>
      <c r="N3012" s="308"/>
      <c r="O3012" s="308" t="s">
        <v>12392</v>
      </c>
      <c r="P3012" s="308" t="s">
        <v>12393</v>
      </c>
      <c r="Q3012" s="308"/>
      <c r="R3012" s="308"/>
      <c r="S3012" s="308" t="s">
        <v>49</v>
      </c>
      <c r="T3012" s="308" t="s">
        <v>51</v>
      </c>
      <c r="U3012" s="308"/>
      <c r="V3012" s="312"/>
    </row>
    <row r="3013">
      <c r="A3013" s="308">
        <v>3012.0</v>
      </c>
      <c r="B3013" s="308"/>
      <c r="C3013" s="308" t="s">
        <v>12394</v>
      </c>
      <c r="D3013" s="308">
        <f>IFERROR(__xludf.DUMMYFUNCTION("SPLIT(C3013,""-"")"),3033.0)</f>
        <v>3033</v>
      </c>
      <c r="E3013" s="308" t="str">
        <f>IFERROR(__xludf.DUMMYFUNCTION("""COMPUTED_VALUE"""),"K")</f>
        <v>K</v>
      </c>
      <c r="F3013" s="309" t="s">
        <v>34</v>
      </c>
      <c r="G3013" s="308"/>
      <c r="H3013" s="308" t="s">
        <v>12395</v>
      </c>
      <c r="I3013" s="314">
        <v>42350.0</v>
      </c>
      <c r="J3013" s="319">
        <f>IFERROR(__xludf.DUMMYFUNCTION("SPLIT(I3013,""/"")"),12.0)</f>
        <v>12</v>
      </c>
      <c r="K3013" s="308">
        <f>IFERROR(__xludf.DUMMYFUNCTION("""COMPUTED_VALUE"""),12.0)</f>
        <v>12</v>
      </c>
      <c r="L3013" s="308">
        <f>IFERROR(__xludf.DUMMYFUNCTION("""COMPUTED_VALUE"""),2015.0)</f>
        <v>2015</v>
      </c>
      <c r="M3013" s="308" t="s">
        <v>12396</v>
      </c>
      <c r="N3013" s="308"/>
      <c r="O3013" s="308" t="s">
        <v>36847</v>
      </c>
      <c r="P3013" s="308" t="s">
        <v>12398</v>
      </c>
      <c r="Q3013" s="308"/>
      <c r="R3013" s="308"/>
      <c r="S3013" s="308" t="s">
        <v>81</v>
      </c>
      <c r="T3013" s="311" t="s">
        <v>57</v>
      </c>
      <c r="U3013" s="308" t="s">
        <v>125</v>
      </c>
      <c r="V3013" s="312"/>
    </row>
    <row r="3014">
      <c r="A3014" s="308">
        <v>3013.0</v>
      </c>
      <c r="B3014" s="308"/>
      <c r="C3014" s="308" t="s">
        <v>12399</v>
      </c>
      <c r="D3014" s="308">
        <f>IFERROR(__xludf.DUMMYFUNCTION("SPLIT(C3014,""-"")"),3034.0)</f>
        <v>3034</v>
      </c>
      <c r="E3014" s="308" t="str">
        <f>IFERROR(__xludf.DUMMYFUNCTION("""COMPUTED_VALUE"""),"K")</f>
        <v>K</v>
      </c>
      <c r="F3014" s="309" t="s">
        <v>34</v>
      </c>
      <c r="G3014" s="308"/>
      <c r="H3014" s="308" t="s">
        <v>12400</v>
      </c>
      <c r="I3014" s="310">
        <v>41385.0</v>
      </c>
      <c r="J3014" s="319">
        <f>IFERROR(__xludf.DUMMYFUNCTION("SPLIT(I3014,""/"")"),21.0)</f>
        <v>21</v>
      </c>
      <c r="K3014" s="308">
        <f>IFERROR(__xludf.DUMMYFUNCTION("""COMPUTED_VALUE"""),4.0)</f>
        <v>4</v>
      </c>
      <c r="L3014" s="308">
        <f>IFERROR(__xludf.DUMMYFUNCTION("""COMPUTED_VALUE"""),2013.0)</f>
        <v>2013</v>
      </c>
      <c r="M3014" s="308" t="s">
        <v>12401</v>
      </c>
      <c r="N3014" s="308"/>
      <c r="O3014" s="308" t="s">
        <v>36848</v>
      </c>
      <c r="P3014" s="308" t="s">
        <v>1872</v>
      </c>
      <c r="Q3014" s="308"/>
      <c r="R3014" s="308"/>
      <c r="S3014" s="315" t="s">
        <v>100</v>
      </c>
      <c r="T3014" s="311" t="s">
        <v>34208</v>
      </c>
      <c r="U3014" s="308" t="s">
        <v>530</v>
      </c>
      <c r="V3014" s="312"/>
    </row>
    <row r="3015">
      <c r="A3015" s="308">
        <v>3014.0</v>
      </c>
      <c r="B3015" s="308"/>
      <c r="C3015" s="308" t="s">
        <v>12403</v>
      </c>
      <c r="D3015" s="308">
        <f>IFERROR(__xludf.DUMMYFUNCTION("SPLIT(C3015,""-"")"),3035.0)</f>
        <v>3035</v>
      </c>
      <c r="E3015" s="308" t="str">
        <f>IFERROR(__xludf.DUMMYFUNCTION("""COMPUTED_VALUE"""),"P")</f>
        <v>P</v>
      </c>
      <c r="F3015" s="312" t="s">
        <v>37</v>
      </c>
      <c r="G3015" s="308"/>
      <c r="H3015" s="308" t="s">
        <v>12404</v>
      </c>
      <c r="I3015" s="310">
        <v>42236.0</v>
      </c>
      <c r="J3015" s="319">
        <f>IFERROR(__xludf.DUMMYFUNCTION("SPLIT(I3015,""/"")"),20.0)</f>
        <v>20</v>
      </c>
      <c r="K3015" s="308">
        <f>IFERROR(__xludf.DUMMYFUNCTION("""COMPUTED_VALUE"""),8.0)</f>
        <v>8</v>
      </c>
      <c r="L3015" s="308">
        <f>IFERROR(__xludf.DUMMYFUNCTION("""COMPUTED_VALUE"""),2015.0)</f>
        <v>2015</v>
      </c>
      <c r="M3015" s="308" t="s">
        <v>12405</v>
      </c>
      <c r="N3015" s="308"/>
      <c r="O3015" s="308" t="s">
        <v>36849</v>
      </c>
      <c r="P3015" s="308" t="s">
        <v>36850</v>
      </c>
      <c r="Q3015" s="308"/>
      <c r="R3015" s="308"/>
      <c r="S3015" s="308" t="s">
        <v>81</v>
      </c>
      <c r="T3015" s="311" t="s">
        <v>96</v>
      </c>
      <c r="U3015" s="308" t="s">
        <v>149</v>
      </c>
      <c r="V3015" s="312"/>
    </row>
    <row r="3016">
      <c r="A3016" s="308">
        <v>3015.0</v>
      </c>
      <c r="B3016" s="308"/>
      <c r="C3016" s="308" t="s">
        <v>12408</v>
      </c>
      <c r="D3016" s="308">
        <f>IFERROR(__xludf.DUMMYFUNCTION("SPLIT(C3016,""-"")"),3036.0)</f>
        <v>3036</v>
      </c>
      <c r="E3016" s="308" t="str">
        <f>IFERROR(__xludf.DUMMYFUNCTION("""COMPUTED_VALUE"""),"F")</f>
        <v>F</v>
      </c>
      <c r="F3016" s="309" t="s">
        <v>34</v>
      </c>
      <c r="G3016" s="308"/>
      <c r="H3016" s="308" t="s">
        <v>36851</v>
      </c>
      <c r="I3016" s="310">
        <v>42145.0</v>
      </c>
      <c r="J3016" s="319">
        <f>IFERROR(__xludf.DUMMYFUNCTION("SPLIT(I3016,""/"")"),21.0)</f>
        <v>21</v>
      </c>
      <c r="K3016" s="308">
        <f>IFERROR(__xludf.DUMMYFUNCTION("""COMPUTED_VALUE"""),5.0)</f>
        <v>5</v>
      </c>
      <c r="L3016" s="308">
        <f>IFERROR(__xludf.DUMMYFUNCTION("""COMPUTED_VALUE"""),2015.0)</f>
        <v>2015</v>
      </c>
      <c r="M3016" s="308" t="s">
        <v>12410</v>
      </c>
      <c r="N3016" s="308"/>
      <c r="O3016" s="308" t="s">
        <v>635</v>
      </c>
      <c r="P3016" s="308" t="s">
        <v>12411</v>
      </c>
      <c r="Q3016" s="308"/>
      <c r="R3016" s="308"/>
      <c r="S3016" s="308" t="s">
        <v>81</v>
      </c>
      <c r="T3016" s="308" t="s">
        <v>34264</v>
      </c>
      <c r="U3016" s="308" t="s">
        <v>195</v>
      </c>
      <c r="V3016" s="312"/>
    </row>
    <row r="3017">
      <c r="A3017" s="308">
        <v>3016.0</v>
      </c>
      <c r="B3017" s="308"/>
      <c r="C3017" s="308" t="s">
        <v>12412</v>
      </c>
      <c r="D3017" s="308">
        <f>IFERROR(__xludf.DUMMYFUNCTION("SPLIT(C3017,""-"")"),3037.0)</f>
        <v>3037</v>
      </c>
      <c r="E3017" s="308" t="str">
        <f>IFERROR(__xludf.DUMMYFUNCTION("""COMPUTED_VALUE"""),"K")</f>
        <v>K</v>
      </c>
      <c r="F3017" s="309" t="s">
        <v>34</v>
      </c>
      <c r="G3017" s="308"/>
      <c r="H3017" s="308" t="s">
        <v>12413</v>
      </c>
      <c r="I3017" s="316" t="s">
        <v>12414</v>
      </c>
      <c r="J3017" s="323">
        <v>21.0</v>
      </c>
      <c r="K3017" s="311">
        <v>6.0</v>
      </c>
      <c r="L3017" s="311">
        <v>2014.0</v>
      </c>
      <c r="M3017" s="308" t="s">
        <v>12415</v>
      </c>
      <c r="N3017" s="308"/>
      <c r="O3017" s="308" t="s">
        <v>12416</v>
      </c>
      <c r="P3017" s="308" t="s">
        <v>12417</v>
      </c>
      <c r="Q3017" s="308"/>
      <c r="R3017" s="308"/>
      <c r="S3017" s="308" t="s">
        <v>81</v>
      </c>
      <c r="T3017" s="308" t="s">
        <v>34264</v>
      </c>
      <c r="U3017" s="308" t="s">
        <v>530</v>
      </c>
      <c r="V3017" s="312"/>
    </row>
    <row r="3018">
      <c r="A3018" s="308">
        <v>3017.0</v>
      </c>
      <c r="B3018" s="308"/>
      <c r="C3018" s="308" t="s">
        <v>12418</v>
      </c>
      <c r="D3018" s="308">
        <f>IFERROR(__xludf.DUMMYFUNCTION("SPLIT(C3018,""-"")"),3038.0)</f>
        <v>3038</v>
      </c>
      <c r="E3018" s="308" t="str">
        <f>IFERROR(__xludf.DUMMYFUNCTION("""COMPUTED_VALUE"""),"ICT")</f>
        <v>ICT</v>
      </c>
      <c r="F3018" s="315" t="s">
        <v>31</v>
      </c>
      <c r="G3018" s="308"/>
      <c r="H3018" s="308" t="s">
        <v>12419</v>
      </c>
      <c r="I3018" s="310">
        <v>42095.0</v>
      </c>
      <c r="J3018" s="319">
        <f>IFERROR(__xludf.DUMMYFUNCTION("SPLIT(I3018,""/"")"),1.0)</f>
        <v>1</v>
      </c>
      <c r="K3018" s="308">
        <f>IFERROR(__xludf.DUMMYFUNCTION("""COMPUTED_VALUE"""),4.0)</f>
        <v>4</v>
      </c>
      <c r="L3018" s="308">
        <f>IFERROR(__xludf.DUMMYFUNCTION("""COMPUTED_VALUE"""),2015.0)</f>
        <v>2015</v>
      </c>
      <c r="M3018" s="308" t="s">
        <v>12420</v>
      </c>
      <c r="N3018" s="308"/>
      <c r="O3018" s="308" t="s">
        <v>12421</v>
      </c>
      <c r="P3018" s="308" t="s">
        <v>12422</v>
      </c>
      <c r="Q3018" s="308"/>
      <c r="R3018" s="308"/>
      <c r="S3018" s="308" t="s">
        <v>81</v>
      </c>
      <c r="T3018" s="308" t="s">
        <v>98</v>
      </c>
      <c r="U3018" s="308" t="s">
        <v>31</v>
      </c>
      <c r="V3018" s="312"/>
    </row>
    <row r="3019">
      <c r="A3019" s="308">
        <v>3018.0</v>
      </c>
      <c r="B3019" s="308"/>
      <c r="C3019" s="308" t="s">
        <v>12423</v>
      </c>
      <c r="D3019" s="308">
        <f>IFERROR(__xludf.DUMMYFUNCTION("SPLIT(C3019,""-"")"),3039.0)</f>
        <v>3039</v>
      </c>
      <c r="E3019" s="308" t="str">
        <f>IFERROR(__xludf.DUMMYFUNCTION("""COMPUTED_VALUE"""),"S")</f>
        <v>S</v>
      </c>
      <c r="F3019" s="312" t="s">
        <v>39</v>
      </c>
      <c r="G3019" s="308"/>
      <c r="H3019" s="308" t="s">
        <v>12424</v>
      </c>
      <c r="I3019" s="314">
        <v>42288.0</v>
      </c>
      <c r="J3019" s="319">
        <f>IFERROR(__xludf.DUMMYFUNCTION("SPLIT(I3019,""/"")"),11.0)</f>
        <v>11</v>
      </c>
      <c r="K3019" s="308">
        <f>IFERROR(__xludf.DUMMYFUNCTION("""COMPUTED_VALUE"""),10.0)</f>
        <v>10</v>
      </c>
      <c r="L3019" s="308">
        <f>IFERROR(__xludf.DUMMYFUNCTION("""COMPUTED_VALUE"""),2015.0)</f>
        <v>2015</v>
      </c>
      <c r="M3019" s="308" t="s">
        <v>12425</v>
      </c>
      <c r="N3019" s="308"/>
      <c r="O3019" s="308"/>
      <c r="P3019" s="308" t="s">
        <v>9891</v>
      </c>
      <c r="Q3019" s="308"/>
      <c r="R3019" s="308"/>
      <c r="S3019" s="308" t="s">
        <v>81</v>
      </c>
      <c r="T3019" s="308" t="s">
        <v>98</v>
      </c>
      <c r="U3019" s="308"/>
      <c r="V3019" s="312"/>
    </row>
    <row r="3020">
      <c r="A3020" s="308">
        <v>3019.0</v>
      </c>
      <c r="B3020" s="308"/>
      <c r="C3020" s="308" t="s">
        <v>12426</v>
      </c>
      <c r="D3020" s="308">
        <f>IFERROR(__xludf.DUMMYFUNCTION("SPLIT(C3020,""-"")"),3040.0)</f>
        <v>3040</v>
      </c>
      <c r="E3020" s="308" t="str">
        <f>IFERROR(__xludf.DUMMYFUNCTION("""COMPUTED_VALUE"""),"K")</f>
        <v>K</v>
      </c>
      <c r="F3020" s="309" t="s">
        <v>34</v>
      </c>
      <c r="G3020" s="308"/>
      <c r="H3020" s="308" t="s">
        <v>12427</v>
      </c>
      <c r="I3020" s="310">
        <v>41808.0</v>
      </c>
      <c r="J3020" s="319">
        <f>IFERROR(__xludf.DUMMYFUNCTION("SPLIT(I3020,""/"")"),18.0)</f>
        <v>18</v>
      </c>
      <c r="K3020" s="308">
        <f>IFERROR(__xludf.DUMMYFUNCTION("""COMPUTED_VALUE"""),6.0)</f>
        <v>6</v>
      </c>
      <c r="L3020" s="308">
        <f>IFERROR(__xludf.DUMMYFUNCTION("""COMPUTED_VALUE"""),2014.0)</f>
        <v>2014</v>
      </c>
      <c r="M3020" s="308" t="s">
        <v>12428</v>
      </c>
      <c r="N3020" s="308"/>
      <c r="O3020" s="308" t="s">
        <v>12429</v>
      </c>
      <c r="P3020" s="308" t="s">
        <v>12430</v>
      </c>
      <c r="Q3020" s="308"/>
      <c r="R3020" s="308"/>
      <c r="S3020" s="308" t="s">
        <v>81</v>
      </c>
      <c r="T3020" s="308" t="s">
        <v>75</v>
      </c>
      <c r="U3020" s="308"/>
      <c r="V3020" s="312"/>
    </row>
    <row r="3021">
      <c r="A3021" s="308">
        <v>3020.0</v>
      </c>
      <c r="B3021" s="308"/>
      <c r="C3021" s="308" t="s">
        <v>12431</v>
      </c>
      <c r="D3021" s="308">
        <f>IFERROR(__xludf.DUMMYFUNCTION("SPLIT(C3021,""-"")"),3041.0)</f>
        <v>3041</v>
      </c>
      <c r="E3021" s="308" t="str">
        <f>IFERROR(__xludf.DUMMYFUNCTION("""COMPUTED_VALUE"""),"S")</f>
        <v>S</v>
      </c>
      <c r="F3021" s="312" t="s">
        <v>39</v>
      </c>
      <c r="G3021" s="308"/>
      <c r="H3021" s="308" t="s">
        <v>12432</v>
      </c>
      <c r="I3021" s="314">
        <v>42295.0</v>
      </c>
      <c r="J3021" s="319">
        <f>IFERROR(__xludf.DUMMYFUNCTION("SPLIT(I3021,""/"")"),18.0)</f>
        <v>18</v>
      </c>
      <c r="K3021" s="308">
        <f>IFERROR(__xludf.DUMMYFUNCTION("""COMPUTED_VALUE"""),10.0)</f>
        <v>10</v>
      </c>
      <c r="L3021" s="308">
        <f>IFERROR(__xludf.DUMMYFUNCTION("""COMPUTED_VALUE"""),2015.0)</f>
        <v>2015</v>
      </c>
      <c r="M3021" s="308" t="s">
        <v>12433</v>
      </c>
      <c r="N3021" s="308"/>
      <c r="O3021" s="308"/>
      <c r="P3021" s="308" t="s">
        <v>296</v>
      </c>
      <c r="Q3021" s="308"/>
      <c r="R3021" s="308"/>
      <c r="S3021" s="308" t="s">
        <v>81</v>
      </c>
      <c r="T3021" s="308" t="s">
        <v>75</v>
      </c>
      <c r="U3021" s="308" t="s">
        <v>12434</v>
      </c>
      <c r="V3021" s="312"/>
    </row>
    <row r="3022">
      <c r="A3022" s="308">
        <v>3021.0</v>
      </c>
      <c r="B3022" s="308"/>
      <c r="C3022" s="308" t="s">
        <v>12435</v>
      </c>
      <c r="D3022" s="308">
        <f>IFERROR(__xludf.DUMMYFUNCTION("SPLIT(C3022,""-"")"),3042.0)</f>
        <v>3042</v>
      </c>
      <c r="E3022" s="308" t="str">
        <f>IFERROR(__xludf.DUMMYFUNCTION("""COMPUTED_VALUE"""),"K")</f>
        <v>K</v>
      </c>
      <c r="F3022" s="309" t="s">
        <v>34</v>
      </c>
      <c r="G3022" s="308"/>
      <c r="H3022" s="308" t="s">
        <v>12436</v>
      </c>
      <c r="I3022" s="310">
        <v>40628.0</v>
      </c>
      <c r="J3022" s="319">
        <f>IFERROR(__xludf.DUMMYFUNCTION("SPLIT(I3022,""/"")"),26.0)</f>
        <v>26</v>
      </c>
      <c r="K3022" s="308">
        <f>IFERROR(__xludf.DUMMYFUNCTION("""COMPUTED_VALUE"""),3.0)</f>
        <v>3</v>
      </c>
      <c r="L3022" s="308">
        <f>IFERROR(__xludf.DUMMYFUNCTION("""COMPUTED_VALUE"""),2011.0)</f>
        <v>2011</v>
      </c>
      <c r="M3022" s="308" t="s">
        <v>12437</v>
      </c>
      <c r="N3022" s="308"/>
      <c r="O3022" s="308" t="s">
        <v>12438</v>
      </c>
      <c r="P3022" s="308" t="s">
        <v>2872</v>
      </c>
      <c r="Q3022" s="308"/>
      <c r="R3022" s="308"/>
      <c r="S3022" s="315" t="s">
        <v>100</v>
      </c>
      <c r="T3022" s="311" t="s">
        <v>34208</v>
      </c>
      <c r="U3022" s="308" t="s">
        <v>125</v>
      </c>
      <c r="V3022" s="312"/>
    </row>
    <row r="3023">
      <c r="A3023" s="308">
        <v>3022.0</v>
      </c>
      <c r="B3023" s="308"/>
      <c r="C3023" s="308" t="s">
        <v>12439</v>
      </c>
      <c r="D3023" s="308">
        <f>IFERROR(__xludf.DUMMYFUNCTION("SPLIT(C3023,""-"")"),3043.0)</f>
        <v>3043</v>
      </c>
      <c r="E3023" s="308" t="str">
        <f>IFERROR(__xludf.DUMMYFUNCTION("""COMPUTED_VALUE"""),"K")</f>
        <v>K</v>
      </c>
      <c r="F3023" s="309" t="s">
        <v>34</v>
      </c>
      <c r="G3023" s="308"/>
      <c r="H3023" s="308" t="s">
        <v>12440</v>
      </c>
      <c r="I3023" s="310">
        <v>40628.0</v>
      </c>
      <c r="J3023" s="319">
        <f>IFERROR(__xludf.DUMMYFUNCTION("SPLIT(I3023,""/"")"),26.0)</f>
        <v>26</v>
      </c>
      <c r="K3023" s="308">
        <f>IFERROR(__xludf.DUMMYFUNCTION("""COMPUTED_VALUE"""),3.0)</f>
        <v>3</v>
      </c>
      <c r="L3023" s="308">
        <f>IFERROR(__xludf.DUMMYFUNCTION("""COMPUTED_VALUE"""),2011.0)</f>
        <v>2011</v>
      </c>
      <c r="M3023" s="308" t="s">
        <v>12441</v>
      </c>
      <c r="N3023" s="308"/>
      <c r="O3023" s="308" t="s">
        <v>12438</v>
      </c>
      <c r="P3023" s="308" t="s">
        <v>2872</v>
      </c>
      <c r="Q3023" s="308"/>
      <c r="R3023" s="308"/>
      <c r="S3023" s="315" t="s">
        <v>100</v>
      </c>
      <c r="T3023" s="311" t="s">
        <v>34208</v>
      </c>
      <c r="U3023" s="308" t="s">
        <v>125</v>
      </c>
      <c r="V3023" s="312"/>
    </row>
    <row r="3024">
      <c r="A3024" s="308">
        <v>3023.0</v>
      </c>
      <c r="B3024" s="308"/>
      <c r="C3024" s="308" t="s">
        <v>12442</v>
      </c>
      <c r="D3024" s="308">
        <f>IFERROR(__xludf.DUMMYFUNCTION("SPLIT(C3024,""-"")"),3044.0)</f>
        <v>3044</v>
      </c>
      <c r="E3024" s="308" t="str">
        <f>IFERROR(__xludf.DUMMYFUNCTION("""COMPUTED_VALUE"""),"S")</f>
        <v>S</v>
      </c>
      <c r="F3024" s="312" t="s">
        <v>39</v>
      </c>
      <c r="G3024" s="308"/>
      <c r="H3024" s="308" t="s">
        <v>12443</v>
      </c>
      <c r="I3024" s="310">
        <v>42276.0</v>
      </c>
      <c r="J3024" s="319">
        <f>IFERROR(__xludf.DUMMYFUNCTION("SPLIT(I3024,""/"")"),29.0)</f>
        <v>29</v>
      </c>
      <c r="K3024" s="308">
        <f>IFERROR(__xludf.DUMMYFUNCTION("""COMPUTED_VALUE"""),9.0)</f>
        <v>9</v>
      </c>
      <c r="L3024" s="308">
        <f>IFERROR(__xludf.DUMMYFUNCTION("""COMPUTED_VALUE"""),2015.0)</f>
        <v>2015</v>
      </c>
      <c r="M3024" s="308" t="s">
        <v>12444</v>
      </c>
      <c r="N3024" s="308"/>
      <c r="O3024" s="308" t="s">
        <v>12445</v>
      </c>
      <c r="P3024" s="308" t="s">
        <v>12446</v>
      </c>
      <c r="Q3024" s="308"/>
      <c r="R3024" s="308"/>
      <c r="S3024" s="308" t="s">
        <v>81</v>
      </c>
      <c r="T3024" s="308" t="s">
        <v>73</v>
      </c>
      <c r="U3024" s="308"/>
      <c r="V3024" s="312"/>
    </row>
    <row r="3025">
      <c r="A3025" s="308">
        <v>3024.0</v>
      </c>
      <c r="B3025" s="308"/>
      <c r="C3025" s="308" t="s">
        <v>12447</v>
      </c>
      <c r="D3025" s="308">
        <f>IFERROR(__xludf.DUMMYFUNCTION("SPLIT(C3025,""-"")"),3045.0)</f>
        <v>3045</v>
      </c>
      <c r="E3025" s="308" t="str">
        <f>IFERROR(__xludf.DUMMYFUNCTION("""COMPUTED_VALUE"""),"F")</f>
        <v>F</v>
      </c>
      <c r="F3025" s="309" t="s">
        <v>34</v>
      </c>
      <c r="G3025" s="308"/>
      <c r="H3025" s="308" t="s">
        <v>12448</v>
      </c>
      <c r="I3025" s="310">
        <v>39951.0</v>
      </c>
      <c r="J3025" s="319">
        <f>IFERROR(__xludf.DUMMYFUNCTION("SPLIT(I3025,""/"")"),18.0)</f>
        <v>18</v>
      </c>
      <c r="K3025" s="308">
        <f>IFERROR(__xludf.DUMMYFUNCTION("""COMPUTED_VALUE"""),5.0)</f>
        <v>5</v>
      </c>
      <c r="L3025" s="308">
        <f>IFERROR(__xludf.DUMMYFUNCTION("""COMPUTED_VALUE"""),2009.0)</f>
        <v>2009</v>
      </c>
      <c r="M3025" s="308" t="s">
        <v>12449</v>
      </c>
      <c r="N3025" s="308" t="s">
        <v>439</v>
      </c>
      <c r="O3025" s="308" t="s">
        <v>635</v>
      </c>
      <c r="P3025" s="308" t="s">
        <v>6393</v>
      </c>
      <c r="Q3025" s="308"/>
      <c r="R3025" s="308"/>
      <c r="S3025" s="315" t="s">
        <v>100</v>
      </c>
      <c r="T3025" s="311" t="s">
        <v>34208</v>
      </c>
      <c r="U3025" s="308" t="s">
        <v>4487</v>
      </c>
      <c r="V3025" s="312"/>
    </row>
    <row r="3026">
      <c r="A3026" s="308">
        <v>3025.0</v>
      </c>
      <c r="B3026" s="308"/>
      <c r="C3026" s="308" t="s">
        <v>12450</v>
      </c>
      <c r="D3026" s="308">
        <f>IFERROR(__xludf.DUMMYFUNCTION("SPLIT(C3026,""-"")"),3046.0)</f>
        <v>3046</v>
      </c>
      <c r="E3026" s="308" t="str">
        <f>IFERROR(__xludf.DUMMYFUNCTION("""COMPUTED_VALUE"""),"I")</f>
        <v>I</v>
      </c>
      <c r="F3026" s="309" t="s">
        <v>31</v>
      </c>
      <c r="G3026" s="308"/>
      <c r="H3026" s="308" t="s">
        <v>12451</v>
      </c>
      <c r="I3026" s="310">
        <v>42387.0</v>
      </c>
      <c r="J3026" s="319">
        <f>IFERROR(__xludf.DUMMYFUNCTION("SPLIT(I3026,""/"")"),18.0)</f>
        <v>18</v>
      </c>
      <c r="K3026" s="308">
        <f>IFERROR(__xludf.DUMMYFUNCTION("""COMPUTED_VALUE"""),1.0)</f>
        <v>1</v>
      </c>
      <c r="L3026" s="308">
        <f>IFERROR(__xludf.DUMMYFUNCTION("""COMPUTED_VALUE"""),2016.0)</f>
        <v>2016</v>
      </c>
      <c r="M3026" s="308" t="s">
        <v>12452</v>
      </c>
      <c r="N3026" s="308"/>
      <c r="O3026" s="308" t="s">
        <v>12453</v>
      </c>
      <c r="P3026" s="308" t="s">
        <v>12454</v>
      </c>
      <c r="Q3026" s="308"/>
      <c r="R3026" s="308"/>
      <c r="S3026" s="308" t="s">
        <v>81</v>
      </c>
      <c r="T3026" s="308" t="s">
        <v>75</v>
      </c>
      <c r="U3026" s="308"/>
      <c r="V3026" s="312"/>
    </row>
    <row r="3027">
      <c r="A3027" s="308">
        <v>3026.0</v>
      </c>
      <c r="B3027" s="308"/>
      <c r="C3027" s="308" t="s">
        <v>12455</v>
      </c>
      <c r="D3027" s="308">
        <f>IFERROR(__xludf.DUMMYFUNCTION("SPLIT(C3027,""-"")"),3047.0)</f>
        <v>3047</v>
      </c>
      <c r="E3027" s="308" t="str">
        <f>IFERROR(__xludf.DUMMYFUNCTION("""COMPUTED_VALUE"""),"P")</f>
        <v>P</v>
      </c>
      <c r="F3027" s="312" t="s">
        <v>37</v>
      </c>
      <c r="G3027" s="308" t="s">
        <v>12456</v>
      </c>
      <c r="H3027" s="308" t="s">
        <v>12457</v>
      </c>
      <c r="I3027" s="314">
        <v>42354.0</v>
      </c>
      <c r="J3027" s="319">
        <f>IFERROR(__xludf.DUMMYFUNCTION("SPLIT(I3027,""/"")"),16.0)</f>
        <v>16</v>
      </c>
      <c r="K3027" s="308">
        <f>IFERROR(__xludf.DUMMYFUNCTION("""COMPUTED_VALUE"""),12.0)</f>
        <v>12</v>
      </c>
      <c r="L3027" s="308">
        <f>IFERROR(__xludf.DUMMYFUNCTION("""COMPUTED_VALUE"""),2015.0)</f>
        <v>2015</v>
      </c>
      <c r="M3027" s="308" t="s">
        <v>12458</v>
      </c>
      <c r="N3027" s="308"/>
      <c r="O3027" s="308" t="s">
        <v>12459</v>
      </c>
      <c r="P3027" s="308" t="s">
        <v>12460</v>
      </c>
      <c r="Q3027" s="308"/>
      <c r="R3027" s="308"/>
      <c r="S3027" s="308" t="s">
        <v>81</v>
      </c>
      <c r="T3027" s="311" t="s">
        <v>73</v>
      </c>
      <c r="U3027" s="308" t="s">
        <v>149</v>
      </c>
      <c r="V3027" s="312"/>
    </row>
    <row r="3028">
      <c r="A3028" s="308">
        <v>3027.0</v>
      </c>
      <c r="B3028" s="308"/>
      <c r="C3028" s="308" t="s">
        <v>12461</v>
      </c>
      <c r="D3028" s="308">
        <f>IFERROR(__xludf.DUMMYFUNCTION("SPLIT(C3028,""-"")"),3048.0)</f>
        <v>3048</v>
      </c>
      <c r="E3028" s="308" t="str">
        <f>IFERROR(__xludf.DUMMYFUNCTION("""COMPUTED_VALUE"""),"K")</f>
        <v>K</v>
      </c>
      <c r="F3028" s="309" t="s">
        <v>34</v>
      </c>
      <c r="G3028" s="308"/>
      <c r="H3028" s="308" t="s">
        <v>12462</v>
      </c>
      <c r="I3028" s="310">
        <v>41471.0</v>
      </c>
      <c r="J3028" s="319">
        <f>IFERROR(__xludf.DUMMYFUNCTION("SPLIT(I3028,""/"")"),16.0)</f>
        <v>16</v>
      </c>
      <c r="K3028" s="308">
        <f>IFERROR(__xludf.DUMMYFUNCTION("""COMPUTED_VALUE"""),7.0)</f>
        <v>7</v>
      </c>
      <c r="L3028" s="308">
        <f>IFERROR(__xludf.DUMMYFUNCTION("""COMPUTED_VALUE"""),2013.0)</f>
        <v>2013</v>
      </c>
      <c r="M3028" s="308" t="s">
        <v>12463</v>
      </c>
      <c r="N3028" s="308"/>
      <c r="O3028" s="308" t="s">
        <v>12464</v>
      </c>
      <c r="P3028" s="308" t="s">
        <v>12465</v>
      </c>
      <c r="Q3028" s="308"/>
      <c r="R3028" s="308"/>
      <c r="S3028" s="308" t="s">
        <v>81</v>
      </c>
      <c r="T3028" s="311" t="s">
        <v>85</v>
      </c>
      <c r="U3028" s="308"/>
      <c r="V3028" s="312"/>
    </row>
    <row r="3029">
      <c r="A3029" s="308">
        <v>3028.0</v>
      </c>
      <c r="B3029" s="308"/>
      <c r="C3029" s="308" t="s">
        <v>12466</v>
      </c>
      <c r="D3029" s="308">
        <f>IFERROR(__xludf.DUMMYFUNCTION("SPLIT(C3029,""-"")"),3049.0)</f>
        <v>3049</v>
      </c>
      <c r="E3029" s="308" t="str">
        <f>IFERROR(__xludf.DUMMYFUNCTION("""COMPUTED_VALUE"""),"S")</f>
        <v>S</v>
      </c>
      <c r="F3029" s="312" t="s">
        <v>39</v>
      </c>
      <c r="G3029" s="308"/>
      <c r="H3029" s="308" t="s">
        <v>12467</v>
      </c>
      <c r="I3029" s="310">
        <v>42241.0</v>
      </c>
      <c r="J3029" s="319">
        <f>IFERROR(__xludf.DUMMYFUNCTION("SPLIT(I3029,""/"")"),25.0)</f>
        <v>25</v>
      </c>
      <c r="K3029" s="308">
        <f>IFERROR(__xludf.DUMMYFUNCTION("""COMPUTED_VALUE"""),8.0)</f>
        <v>8</v>
      </c>
      <c r="L3029" s="308">
        <f>IFERROR(__xludf.DUMMYFUNCTION("""COMPUTED_VALUE"""),2015.0)</f>
        <v>2015</v>
      </c>
      <c r="M3029" s="308" t="s">
        <v>12468</v>
      </c>
      <c r="N3029" s="308"/>
      <c r="O3029" s="308"/>
      <c r="P3029" s="308" t="s">
        <v>11452</v>
      </c>
      <c r="Q3029" s="308"/>
      <c r="R3029" s="308"/>
      <c r="S3029" s="308" t="s">
        <v>81</v>
      </c>
      <c r="T3029" s="311" t="s">
        <v>73</v>
      </c>
      <c r="U3029" s="308"/>
      <c r="V3029" s="312"/>
    </row>
    <row r="3030">
      <c r="A3030" s="308">
        <v>3029.0</v>
      </c>
      <c r="B3030" s="308"/>
      <c r="C3030" s="308" t="s">
        <v>12469</v>
      </c>
      <c r="D3030" s="308">
        <f>IFERROR(__xludf.DUMMYFUNCTION("SPLIT(C3030,""-"")"),3050.0)</f>
        <v>3050</v>
      </c>
      <c r="E3030" s="308" t="str">
        <f>IFERROR(__xludf.DUMMYFUNCTION("""COMPUTED_VALUE"""),"P")</f>
        <v>P</v>
      </c>
      <c r="F3030" s="312" t="s">
        <v>37</v>
      </c>
      <c r="G3030" s="308"/>
      <c r="H3030" s="308" t="s">
        <v>12470</v>
      </c>
      <c r="I3030" s="314">
        <v>42318.0</v>
      </c>
      <c r="J3030" s="319">
        <f>IFERROR(__xludf.DUMMYFUNCTION("SPLIT(I3030,""/"")"),10.0)</f>
        <v>10</v>
      </c>
      <c r="K3030" s="308">
        <f>IFERROR(__xludf.DUMMYFUNCTION("""COMPUTED_VALUE"""),11.0)</f>
        <v>11</v>
      </c>
      <c r="L3030" s="308">
        <f>IFERROR(__xludf.DUMMYFUNCTION("""COMPUTED_VALUE"""),2015.0)</f>
        <v>2015</v>
      </c>
      <c r="M3030" s="308" t="s">
        <v>12471</v>
      </c>
      <c r="N3030" s="308"/>
      <c r="O3030" s="308"/>
      <c r="P3030" s="308" t="s">
        <v>12472</v>
      </c>
      <c r="Q3030" s="308"/>
      <c r="R3030" s="308"/>
      <c r="S3030" s="308" t="s">
        <v>81</v>
      </c>
      <c r="T3030" s="308" t="s">
        <v>75</v>
      </c>
      <c r="U3030" s="308"/>
      <c r="V3030" s="312"/>
    </row>
    <row r="3031">
      <c r="A3031" s="308">
        <v>3030.0</v>
      </c>
      <c r="B3031" s="308"/>
      <c r="C3031" s="308" t="s">
        <v>12473</v>
      </c>
      <c r="D3031" s="308">
        <f>IFERROR(__xludf.DUMMYFUNCTION("SPLIT(C3031,""-"")"),3051.0)</f>
        <v>3051</v>
      </c>
      <c r="E3031" s="308" t="str">
        <f>IFERROR(__xludf.DUMMYFUNCTION("""COMPUTED_VALUE"""),"P")</f>
        <v>P</v>
      </c>
      <c r="F3031" s="312" t="s">
        <v>37</v>
      </c>
      <c r="G3031" s="308"/>
      <c r="H3031" s="308" t="s">
        <v>12474</v>
      </c>
      <c r="I3031" s="310">
        <v>42181.0</v>
      </c>
      <c r="J3031" s="319">
        <f>IFERROR(__xludf.DUMMYFUNCTION("SPLIT(I3031,""/"")"),26.0)</f>
        <v>26</v>
      </c>
      <c r="K3031" s="308">
        <f>IFERROR(__xludf.DUMMYFUNCTION("""COMPUTED_VALUE"""),6.0)</f>
        <v>6</v>
      </c>
      <c r="L3031" s="308">
        <f>IFERROR(__xludf.DUMMYFUNCTION("""COMPUTED_VALUE"""),2015.0)</f>
        <v>2015</v>
      </c>
      <c r="M3031" s="308" t="s">
        <v>12475</v>
      </c>
      <c r="N3031" s="308"/>
      <c r="O3031" s="308" t="s">
        <v>12476</v>
      </c>
      <c r="P3031" s="308" t="s">
        <v>36852</v>
      </c>
      <c r="Q3031" s="308"/>
      <c r="R3031" s="308"/>
      <c r="S3031" s="308" t="s">
        <v>81</v>
      </c>
      <c r="T3031" s="308" t="s">
        <v>75</v>
      </c>
      <c r="U3031" s="308" t="s">
        <v>143</v>
      </c>
      <c r="V3031" s="312"/>
    </row>
    <row r="3032">
      <c r="A3032" s="308">
        <v>3031.0</v>
      </c>
      <c r="B3032" s="308"/>
      <c r="C3032" s="308" t="s">
        <v>12478</v>
      </c>
      <c r="D3032" s="308" t="str">
        <f>IFERROR(__xludf.DUMMYFUNCTION("SPLIT(C3032,""-"")"),"#REF!")</f>
        <v>#REF!</v>
      </c>
      <c r="E3032" s="311"/>
      <c r="F3032" s="317" t="s">
        <v>39</v>
      </c>
      <c r="G3032" s="308"/>
      <c r="H3032" s="308" t="s">
        <v>12479</v>
      </c>
      <c r="I3032" s="310">
        <v>42150.0</v>
      </c>
      <c r="J3032" s="319">
        <f>IFERROR(__xludf.DUMMYFUNCTION("SPLIT(I3032,""/"")"),26.0)</f>
        <v>26</v>
      </c>
      <c r="K3032" s="308">
        <f>IFERROR(__xludf.DUMMYFUNCTION("""COMPUTED_VALUE"""),5.0)</f>
        <v>5</v>
      </c>
      <c r="L3032" s="308">
        <f>IFERROR(__xludf.DUMMYFUNCTION("""COMPUTED_VALUE"""),2015.0)</f>
        <v>2015</v>
      </c>
      <c r="M3032" s="308" t="s">
        <v>12480</v>
      </c>
      <c r="N3032" s="308"/>
      <c r="O3032" s="308" t="s">
        <v>12481</v>
      </c>
      <c r="P3032" s="308" t="s">
        <v>36853</v>
      </c>
      <c r="Q3032" s="308"/>
      <c r="R3032" s="308" t="s">
        <v>12483</v>
      </c>
      <c r="S3032" s="308" t="s">
        <v>49</v>
      </c>
      <c r="T3032" s="308" t="s">
        <v>51</v>
      </c>
      <c r="U3032" s="308" t="s">
        <v>166</v>
      </c>
      <c r="V3032" s="312"/>
    </row>
    <row r="3033">
      <c r="A3033" s="308">
        <v>3032.0</v>
      </c>
      <c r="B3033" s="308"/>
      <c r="C3033" s="308" t="s">
        <v>12484</v>
      </c>
      <c r="D3033" s="308">
        <f>IFERROR(__xludf.DUMMYFUNCTION("SPLIT(C3033,""-"")"),3053.0)</f>
        <v>3053</v>
      </c>
      <c r="E3033" s="308" t="str">
        <f>IFERROR(__xludf.DUMMYFUNCTION("""COMPUTED_VALUE"""),"S")</f>
        <v>S</v>
      </c>
      <c r="F3033" s="312" t="s">
        <v>39</v>
      </c>
      <c r="G3033" s="308"/>
      <c r="H3033" s="308" t="s">
        <v>12485</v>
      </c>
      <c r="I3033" s="314">
        <v>42305.0</v>
      </c>
      <c r="J3033" s="319">
        <f>IFERROR(__xludf.DUMMYFUNCTION("SPLIT(I3033,""/"")"),28.0)</f>
        <v>28</v>
      </c>
      <c r="K3033" s="308">
        <f>IFERROR(__xludf.DUMMYFUNCTION("""COMPUTED_VALUE"""),10.0)</f>
        <v>10</v>
      </c>
      <c r="L3033" s="308">
        <f>IFERROR(__xludf.DUMMYFUNCTION("""COMPUTED_VALUE"""),2015.0)</f>
        <v>2015</v>
      </c>
      <c r="M3033" s="308" t="s">
        <v>12486</v>
      </c>
      <c r="N3033" s="308"/>
      <c r="O3033" s="308" t="s">
        <v>12487</v>
      </c>
      <c r="P3033" s="308" t="s">
        <v>9979</v>
      </c>
      <c r="Q3033" s="308"/>
      <c r="R3033" s="308" t="s">
        <v>12488</v>
      </c>
      <c r="S3033" s="315" t="s">
        <v>100</v>
      </c>
      <c r="T3033" s="311" t="s">
        <v>34208</v>
      </c>
      <c r="U3033" s="308" t="s">
        <v>166</v>
      </c>
      <c r="V3033" s="312"/>
    </row>
    <row r="3034">
      <c r="A3034" s="308">
        <v>3033.0</v>
      </c>
      <c r="B3034" s="308"/>
      <c r="C3034" s="308" t="s">
        <v>12489</v>
      </c>
      <c r="D3034" s="308">
        <f>IFERROR(__xludf.DUMMYFUNCTION("SPLIT(C3034,""-"")"),3054.0)</f>
        <v>3054</v>
      </c>
      <c r="E3034" s="308" t="str">
        <f>IFERROR(__xludf.DUMMYFUNCTION("""COMPUTED_VALUE"""),"S")</f>
        <v>S</v>
      </c>
      <c r="F3034" s="312" t="s">
        <v>39</v>
      </c>
      <c r="G3034" s="308"/>
      <c r="H3034" s="308" t="s">
        <v>12490</v>
      </c>
      <c r="I3034" s="314">
        <v>42337.0</v>
      </c>
      <c r="J3034" s="319">
        <f>IFERROR(__xludf.DUMMYFUNCTION("SPLIT(I3034,""/"")"),29.0)</f>
        <v>29</v>
      </c>
      <c r="K3034" s="308">
        <f>IFERROR(__xludf.DUMMYFUNCTION("""COMPUTED_VALUE"""),11.0)</f>
        <v>11</v>
      </c>
      <c r="L3034" s="308">
        <f>IFERROR(__xludf.DUMMYFUNCTION("""COMPUTED_VALUE"""),2015.0)</f>
        <v>2015</v>
      </c>
      <c r="M3034" s="308" t="s">
        <v>12491</v>
      </c>
      <c r="N3034" s="308"/>
      <c r="O3034" s="308"/>
      <c r="P3034" s="308" t="s">
        <v>11802</v>
      </c>
      <c r="Q3034" s="308"/>
      <c r="R3034" s="308"/>
      <c r="S3034" s="308" t="s">
        <v>81</v>
      </c>
      <c r="T3034" s="311" t="s">
        <v>94</v>
      </c>
      <c r="U3034" s="308" t="s">
        <v>166</v>
      </c>
      <c r="V3034" s="312"/>
    </row>
    <row r="3035">
      <c r="A3035" s="308">
        <v>3034.0</v>
      </c>
      <c r="B3035" s="308"/>
      <c r="C3035" s="308" t="s">
        <v>12492</v>
      </c>
      <c r="D3035" s="308">
        <f>IFERROR(__xludf.DUMMYFUNCTION("SPLIT(C3035,""-"")"),3055.0)</f>
        <v>3055</v>
      </c>
      <c r="E3035" s="308" t="str">
        <f>IFERROR(__xludf.DUMMYFUNCTION("""COMPUTED_VALUE"""),"S")</f>
        <v>S</v>
      </c>
      <c r="F3035" s="312" t="s">
        <v>39</v>
      </c>
      <c r="G3035" s="308"/>
      <c r="H3035" s="308" t="s">
        <v>12493</v>
      </c>
      <c r="I3035" s="314">
        <v>42325.0</v>
      </c>
      <c r="J3035" s="319">
        <f>IFERROR(__xludf.DUMMYFUNCTION("SPLIT(I3035,""/"")"),17.0)</f>
        <v>17</v>
      </c>
      <c r="K3035" s="308">
        <f>IFERROR(__xludf.DUMMYFUNCTION("""COMPUTED_VALUE"""),11.0)</f>
        <v>11</v>
      </c>
      <c r="L3035" s="308">
        <f>IFERROR(__xludf.DUMMYFUNCTION("""COMPUTED_VALUE"""),2015.0)</f>
        <v>2015</v>
      </c>
      <c r="M3035" s="308" t="s">
        <v>12494</v>
      </c>
      <c r="N3035" s="308"/>
      <c r="O3035" s="308" t="s">
        <v>12495</v>
      </c>
      <c r="P3035" s="308" t="s">
        <v>11452</v>
      </c>
      <c r="Q3035" s="308"/>
      <c r="R3035" s="308"/>
      <c r="S3035" s="308" t="s">
        <v>81</v>
      </c>
      <c r="T3035" s="311" t="s">
        <v>73</v>
      </c>
      <c r="U3035" s="308" t="s">
        <v>166</v>
      </c>
      <c r="V3035" s="312"/>
    </row>
    <row r="3036">
      <c r="A3036" s="308">
        <v>3035.0</v>
      </c>
      <c r="B3036" s="308"/>
      <c r="C3036" s="308" t="s">
        <v>12496</v>
      </c>
      <c r="D3036" s="308">
        <f>IFERROR(__xludf.DUMMYFUNCTION("SPLIT(C3036,""-"")"),3056.0)</f>
        <v>3056</v>
      </c>
      <c r="E3036" s="308" t="str">
        <f>IFERROR(__xludf.DUMMYFUNCTION("""COMPUTED_VALUE"""),"S")</f>
        <v>S</v>
      </c>
      <c r="F3036" s="312" t="s">
        <v>39</v>
      </c>
      <c r="G3036" s="308"/>
      <c r="H3036" s="308" t="s">
        <v>12497</v>
      </c>
      <c r="I3036" s="310">
        <v>42313.0</v>
      </c>
      <c r="J3036" s="319">
        <f>IFERROR(__xludf.DUMMYFUNCTION("SPLIT(I3036,""/"")"),5.0)</f>
        <v>5</v>
      </c>
      <c r="K3036" s="308">
        <f>IFERROR(__xludf.DUMMYFUNCTION("""COMPUTED_VALUE"""),11.0)</f>
        <v>11</v>
      </c>
      <c r="L3036" s="308">
        <f>IFERROR(__xludf.DUMMYFUNCTION("""COMPUTED_VALUE"""),2015.0)</f>
        <v>2015</v>
      </c>
      <c r="M3036" s="308" t="s">
        <v>12498</v>
      </c>
      <c r="N3036" s="308"/>
      <c r="O3036" s="308" t="s">
        <v>12499</v>
      </c>
      <c r="P3036" s="308" t="s">
        <v>2774</v>
      </c>
      <c r="Q3036" s="308"/>
      <c r="R3036" s="308"/>
      <c r="S3036" s="308" t="s">
        <v>49</v>
      </c>
      <c r="T3036" s="308" t="s">
        <v>51</v>
      </c>
      <c r="U3036" s="312"/>
      <c r="V3036" s="312"/>
    </row>
    <row r="3037">
      <c r="A3037" s="308">
        <v>3036.0</v>
      </c>
      <c r="B3037" s="308"/>
      <c r="C3037" s="308" t="s">
        <v>12500</v>
      </c>
      <c r="D3037" s="308">
        <f>IFERROR(__xludf.DUMMYFUNCTION("SPLIT(C3037,""-"")"),3057.0)</f>
        <v>3057</v>
      </c>
      <c r="E3037" s="308" t="str">
        <f>IFERROR(__xludf.DUMMYFUNCTION("""COMPUTED_VALUE"""),"S")</f>
        <v>S</v>
      </c>
      <c r="F3037" s="312" t="s">
        <v>39</v>
      </c>
      <c r="G3037" s="308"/>
      <c r="H3037" s="308" t="s">
        <v>12501</v>
      </c>
      <c r="I3037" s="314">
        <v>42303.0</v>
      </c>
      <c r="J3037" s="319">
        <f>IFERROR(__xludf.DUMMYFUNCTION("SPLIT(I3037,""/"")"),26.0)</f>
        <v>26</v>
      </c>
      <c r="K3037" s="308">
        <f>IFERROR(__xludf.DUMMYFUNCTION("""COMPUTED_VALUE"""),10.0)</f>
        <v>10</v>
      </c>
      <c r="L3037" s="308">
        <f>IFERROR(__xludf.DUMMYFUNCTION("""COMPUTED_VALUE"""),2015.0)</f>
        <v>2015</v>
      </c>
      <c r="M3037" s="308" t="s">
        <v>12502</v>
      </c>
      <c r="N3037" s="308"/>
      <c r="O3037" s="308"/>
      <c r="P3037" s="308" t="s">
        <v>11452</v>
      </c>
      <c r="Q3037" s="308"/>
      <c r="R3037" s="308"/>
      <c r="S3037" s="308" t="s">
        <v>81</v>
      </c>
      <c r="T3037" s="311" t="s">
        <v>73</v>
      </c>
      <c r="U3037" s="308" t="s">
        <v>166</v>
      </c>
      <c r="V3037" s="312"/>
    </row>
    <row r="3038">
      <c r="A3038" s="308">
        <v>3037.0</v>
      </c>
      <c r="B3038" s="308"/>
      <c r="C3038" s="308" t="s">
        <v>12503</v>
      </c>
      <c r="D3038" s="308">
        <f>IFERROR(__xludf.DUMMYFUNCTION("SPLIT(C3038,""-"")"),3058.0)</f>
        <v>3058</v>
      </c>
      <c r="E3038" s="308" t="str">
        <f>IFERROR(__xludf.DUMMYFUNCTION("""COMPUTED_VALUE"""),"S")</f>
        <v>S</v>
      </c>
      <c r="F3038" s="312" t="s">
        <v>39</v>
      </c>
      <c r="G3038" s="308"/>
      <c r="H3038" s="308" t="s">
        <v>12504</v>
      </c>
      <c r="I3038" s="314">
        <v>42295.0</v>
      </c>
      <c r="J3038" s="319">
        <f>IFERROR(__xludf.DUMMYFUNCTION("SPLIT(I3038,""/"")"),18.0)</f>
        <v>18</v>
      </c>
      <c r="K3038" s="308">
        <f>IFERROR(__xludf.DUMMYFUNCTION("""COMPUTED_VALUE"""),10.0)</f>
        <v>10</v>
      </c>
      <c r="L3038" s="308">
        <f>IFERROR(__xludf.DUMMYFUNCTION("""COMPUTED_VALUE"""),2015.0)</f>
        <v>2015</v>
      </c>
      <c r="M3038" s="308" t="s">
        <v>12505</v>
      </c>
      <c r="N3038" s="308"/>
      <c r="O3038" s="308" t="s">
        <v>12506</v>
      </c>
      <c r="P3038" s="308"/>
      <c r="Q3038" s="308"/>
      <c r="R3038" s="308"/>
      <c r="S3038" s="308" t="s">
        <v>79</v>
      </c>
      <c r="T3038" s="308" t="s">
        <v>79</v>
      </c>
      <c r="U3038" s="308" t="s">
        <v>166</v>
      </c>
      <c r="V3038" s="312"/>
    </row>
    <row r="3039">
      <c r="A3039" s="308">
        <v>3038.0</v>
      </c>
      <c r="B3039" s="308"/>
      <c r="C3039" s="308" t="s">
        <v>12507</v>
      </c>
      <c r="D3039" s="308">
        <f>IFERROR(__xludf.DUMMYFUNCTION("SPLIT(C3039,""-"")"),3059.0)</f>
        <v>3059</v>
      </c>
      <c r="E3039" s="308" t="str">
        <f>IFERROR(__xludf.DUMMYFUNCTION("""COMPUTED_VALUE"""),"S")</f>
        <v>S</v>
      </c>
      <c r="F3039" s="312" t="s">
        <v>39</v>
      </c>
      <c r="G3039" s="308"/>
      <c r="H3039" s="308" t="s">
        <v>12508</v>
      </c>
      <c r="I3039" s="310">
        <v>42236.0</v>
      </c>
      <c r="J3039" s="319">
        <f>IFERROR(__xludf.DUMMYFUNCTION("SPLIT(I3039,""/"")"),20.0)</f>
        <v>20</v>
      </c>
      <c r="K3039" s="308">
        <f>IFERROR(__xludf.DUMMYFUNCTION("""COMPUTED_VALUE"""),8.0)</f>
        <v>8</v>
      </c>
      <c r="L3039" s="308">
        <f>IFERROR(__xludf.DUMMYFUNCTION("""COMPUTED_VALUE"""),2015.0)</f>
        <v>2015</v>
      </c>
      <c r="M3039" s="308" t="s">
        <v>12509</v>
      </c>
      <c r="N3039" s="308"/>
      <c r="O3039" s="308"/>
      <c r="P3039" s="308" t="s">
        <v>12510</v>
      </c>
      <c r="Q3039" s="308"/>
      <c r="R3039" s="308"/>
      <c r="S3039" s="308" t="s">
        <v>81</v>
      </c>
      <c r="T3039" s="308" t="s">
        <v>75</v>
      </c>
      <c r="U3039" s="308" t="s">
        <v>166</v>
      </c>
      <c r="V3039" s="312"/>
    </row>
    <row r="3040">
      <c r="A3040" s="308">
        <v>3039.0</v>
      </c>
      <c r="B3040" s="308"/>
      <c r="C3040" s="308" t="s">
        <v>12511</v>
      </c>
      <c r="D3040" s="308">
        <f>IFERROR(__xludf.DUMMYFUNCTION("SPLIT(C3040,""-"")"),3060.0)</f>
        <v>3060</v>
      </c>
      <c r="E3040" s="308" t="str">
        <f>IFERROR(__xludf.DUMMYFUNCTION("""COMPUTED_VALUE"""),"S")</f>
        <v>S</v>
      </c>
      <c r="F3040" s="312" t="s">
        <v>39</v>
      </c>
      <c r="G3040" s="308"/>
      <c r="H3040" s="308" t="s">
        <v>12512</v>
      </c>
      <c r="I3040" s="310">
        <v>42161.0</v>
      </c>
      <c r="J3040" s="319">
        <f>IFERROR(__xludf.DUMMYFUNCTION("SPLIT(I3040,""/"")"),6.0)</f>
        <v>6</v>
      </c>
      <c r="K3040" s="308">
        <f>IFERROR(__xludf.DUMMYFUNCTION("""COMPUTED_VALUE"""),6.0)</f>
        <v>6</v>
      </c>
      <c r="L3040" s="308">
        <f>IFERROR(__xludf.DUMMYFUNCTION("""COMPUTED_VALUE"""),2015.0)</f>
        <v>2015</v>
      </c>
      <c r="M3040" s="308" t="s">
        <v>12513</v>
      </c>
      <c r="N3040" s="308"/>
      <c r="O3040" s="308"/>
      <c r="P3040" s="308" t="s">
        <v>12514</v>
      </c>
      <c r="Q3040" s="308"/>
      <c r="R3040" s="308"/>
      <c r="S3040" s="308" t="s">
        <v>81</v>
      </c>
      <c r="T3040" s="311" t="s">
        <v>94</v>
      </c>
      <c r="U3040" s="308" t="s">
        <v>166</v>
      </c>
      <c r="V3040" s="312"/>
    </row>
    <row r="3041">
      <c r="A3041" s="308">
        <v>3040.0</v>
      </c>
      <c r="B3041" s="308"/>
      <c r="C3041" s="308" t="s">
        <v>12515</v>
      </c>
      <c r="D3041" s="308">
        <f>IFERROR(__xludf.DUMMYFUNCTION("SPLIT(C3041,""-"")"),3061.0)</f>
        <v>3061</v>
      </c>
      <c r="E3041" s="308" t="str">
        <f>IFERROR(__xludf.DUMMYFUNCTION("""COMPUTED_VALUE"""),"S")</f>
        <v>S</v>
      </c>
      <c r="F3041" s="312" t="s">
        <v>39</v>
      </c>
      <c r="G3041" s="308"/>
      <c r="H3041" s="308" t="s">
        <v>12516</v>
      </c>
      <c r="I3041" s="310">
        <v>42262.0</v>
      </c>
      <c r="J3041" s="319">
        <f>IFERROR(__xludf.DUMMYFUNCTION("SPLIT(I3041,""/"")"),15.0)</f>
        <v>15</v>
      </c>
      <c r="K3041" s="308">
        <f>IFERROR(__xludf.DUMMYFUNCTION("""COMPUTED_VALUE"""),9.0)</f>
        <v>9</v>
      </c>
      <c r="L3041" s="308">
        <f>IFERROR(__xludf.DUMMYFUNCTION("""COMPUTED_VALUE"""),2015.0)</f>
        <v>2015</v>
      </c>
      <c r="M3041" s="308" t="s">
        <v>12517</v>
      </c>
      <c r="N3041" s="308"/>
      <c r="O3041" s="308" t="s">
        <v>635</v>
      </c>
      <c r="P3041" s="308" t="s">
        <v>36854</v>
      </c>
      <c r="Q3041" s="308"/>
      <c r="R3041" s="308"/>
      <c r="S3041" s="311" t="s">
        <v>81</v>
      </c>
      <c r="T3041" s="311" t="s">
        <v>91</v>
      </c>
      <c r="U3041" s="308" t="s">
        <v>166</v>
      </c>
      <c r="V3041" s="312"/>
    </row>
    <row r="3042">
      <c r="A3042" s="308">
        <v>3041.0</v>
      </c>
      <c r="B3042" s="308"/>
      <c r="C3042" s="308" t="s">
        <v>12519</v>
      </c>
      <c r="D3042" s="308">
        <f>IFERROR(__xludf.DUMMYFUNCTION("SPLIT(C3042,""-"")"),3062.0)</f>
        <v>3062</v>
      </c>
      <c r="E3042" s="308" t="str">
        <f>IFERROR(__xludf.DUMMYFUNCTION("""COMPUTED_VALUE"""),"S")</f>
        <v>S</v>
      </c>
      <c r="F3042" s="312" t="s">
        <v>39</v>
      </c>
      <c r="G3042" s="308"/>
      <c r="H3042" s="308" t="s">
        <v>12520</v>
      </c>
      <c r="I3042" s="310">
        <v>42154.0</v>
      </c>
      <c r="J3042" s="319">
        <f>IFERROR(__xludf.DUMMYFUNCTION("SPLIT(I3042,""/"")"),30.0)</f>
        <v>30</v>
      </c>
      <c r="K3042" s="308">
        <f>IFERROR(__xludf.DUMMYFUNCTION("""COMPUTED_VALUE"""),5.0)</f>
        <v>5</v>
      </c>
      <c r="L3042" s="308">
        <f>IFERROR(__xludf.DUMMYFUNCTION("""COMPUTED_VALUE"""),2015.0)</f>
        <v>2015</v>
      </c>
      <c r="M3042" s="308" t="s">
        <v>12521</v>
      </c>
      <c r="N3042" s="308"/>
      <c r="O3042" s="308" t="s">
        <v>635</v>
      </c>
      <c r="P3042" s="308" t="s">
        <v>9979</v>
      </c>
      <c r="Q3042" s="308"/>
      <c r="R3042" s="308" t="s">
        <v>12522</v>
      </c>
      <c r="S3042" s="315" t="s">
        <v>100</v>
      </c>
      <c r="T3042" s="311" t="s">
        <v>34208</v>
      </c>
      <c r="U3042" s="308" t="s">
        <v>166</v>
      </c>
      <c r="V3042" s="312"/>
    </row>
    <row r="3043">
      <c r="A3043" s="308">
        <v>3042.0</v>
      </c>
      <c r="B3043" s="308"/>
      <c r="C3043" s="308" t="s">
        <v>12523</v>
      </c>
      <c r="D3043" s="308">
        <f>IFERROR(__xludf.DUMMYFUNCTION("SPLIT(C3043,""-"")"),3063.0)</f>
        <v>3063</v>
      </c>
      <c r="E3043" s="308" t="str">
        <f>IFERROR(__xludf.DUMMYFUNCTION("""COMPUTED_VALUE"""),"S")</f>
        <v>S</v>
      </c>
      <c r="F3043" s="312" t="s">
        <v>39</v>
      </c>
      <c r="G3043" s="308"/>
      <c r="H3043" s="308" t="s">
        <v>12524</v>
      </c>
      <c r="I3043" s="314">
        <v>42288.0</v>
      </c>
      <c r="J3043" s="319">
        <f>IFERROR(__xludf.DUMMYFUNCTION("SPLIT(I3043,""/"")"),11.0)</f>
        <v>11</v>
      </c>
      <c r="K3043" s="308">
        <f>IFERROR(__xludf.DUMMYFUNCTION("""COMPUTED_VALUE"""),10.0)</f>
        <v>10</v>
      </c>
      <c r="L3043" s="308">
        <f>IFERROR(__xludf.DUMMYFUNCTION("""COMPUTED_VALUE"""),2015.0)</f>
        <v>2015</v>
      </c>
      <c r="M3043" s="308" t="s">
        <v>12525</v>
      </c>
      <c r="N3043" s="308"/>
      <c r="O3043" s="308" t="s">
        <v>635</v>
      </c>
      <c r="P3043" s="308" t="s">
        <v>296</v>
      </c>
      <c r="Q3043" s="308"/>
      <c r="R3043" s="308"/>
      <c r="S3043" s="308" t="s">
        <v>81</v>
      </c>
      <c r="T3043" s="308" t="s">
        <v>75</v>
      </c>
      <c r="U3043" s="308" t="s">
        <v>166</v>
      </c>
      <c r="V3043" s="312"/>
    </row>
    <row r="3044">
      <c r="A3044" s="308">
        <v>3043.0</v>
      </c>
      <c r="B3044" s="308"/>
      <c r="C3044" s="308" t="s">
        <v>12526</v>
      </c>
      <c r="D3044" s="308">
        <f>IFERROR(__xludf.DUMMYFUNCTION("SPLIT(C3044,""-"")"),3064.0)</f>
        <v>3064</v>
      </c>
      <c r="E3044" s="308" t="str">
        <f>IFERROR(__xludf.DUMMYFUNCTION("""COMPUTED_VALUE"""),"S")</f>
        <v>S</v>
      </c>
      <c r="F3044" s="312" t="s">
        <v>39</v>
      </c>
      <c r="G3044" s="308"/>
      <c r="H3044" s="308" t="s">
        <v>12527</v>
      </c>
      <c r="I3044" s="310">
        <v>42262.0</v>
      </c>
      <c r="J3044" s="319">
        <f>IFERROR(__xludf.DUMMYFUNCTION("SPLIT(I3044,""/"")"),15.0)</f>
        <v>15</v>
      </c>
      <c r="K3044" s="308">
        <f>IFERROR(__xludf.DUMMYFUNCTION("""COMPUTED_VALUE"""),9.0)</f>
        <v>9</v>
      </c>
      <c r="L3044" s="308">
        <f>IFERROR(__xludf.DUMMYFUNCTION("""COMPUTED_VALUE"""),2015.0)</f>
        <v>2015</v>
      </c>
      <c r="M3044" s="308" t="s">
        <v>12528</v>
      </c>
      <c r="N3044" s="308"/>
      <c r="O3044" s="308" t="s">
        <v>635</v>
      </c>
      <c r="P3044" s="308" t="s">
        <v>36855</v>
      </c>
      <c r="Q3044" s="308"/>
      <c r="R3044" s="308"/>
      <c r="S3044" s="308" t="s">
        <v>81</v>
      </c>
      <c r="T3044" s="308" t="s">
        <v>73</v>
      </c>
      <c r="U3044" s="308" t="s">
        <v>166</v>
      </c>
      <c r="V3044" s="312"/>
    </row>
    <row r="3045">
      <c r="A3045" s="308">
        <v>3044.0</v>
      </c>
      <c r="B3045" s="308"/>
      <c r="C3045" s="308" t="s">
        <v>12529</v>
      </c>
      <c r="D3045" s="308">
        <f>IFERROR(__xludf.DUMMYFUNCTION("SPLIT(C3045,""-"")"),3065.0)</f>
        <v>3065</v>
      </c>
      <c r="E3045" s="308" t="str">
        <f>IFERROR(__xludf.DUMMYFUNCTION("""COMPUTED_VALUE"""),"S")</f>
        <v>S</v>
      </c>
      <c r="F3045" s="312" t="s">
        <v>39</v>
      </c>
      <c r="G3045" s="308"/>
      <c r="H3045" s="308" t="s">
        <v>12530</v>
      </c>
      <c r="I3045" s="314">
        <v>42292.0</v>
      </c>
      <c r="J3045" s="319">
        <f>IFERROR(__xludf.DUMMYFUNCTION("SPLIT(I3045,""/"")"),15.0)</f>
        <v>15</v>
      </c>
      <c r="K3045" s="308">
        <f>IFERROR(__xludf.DUMMYFUNCTION("""COMPUTED_VALUE"""),10.0)</f>
        <v>10</v>
      </c>
      <c r="L3045" s="308">
        <f>IFERROR(__xludf.DUMMYFUNCTION("""COMPUTED_VALUE"""),2015.0)</f>
        <v>2015</v>
      </c>
      <c r="M3045" s="308" t="s">
        <v>12531</v>
      </c>
      <c r="N3045" s="308"/>
      <c r="O3045" s="308" t="s">
        <v>635</v>
      </c>
      <c r="P3045" s="308" t="s">
        <v>9979</v>
      </c>
      <c r="Q3045" s="308"/>
      <c r="R3045" s="308" t="s">
        <v>12532</v>
      </c>
      <c r="S3045" s="315" t="s">
        <v>100</v>
      </c>
      <c r="T3045" s="311" t="s">
        <v>34208</v>
      </c>
      <c r="U3045" s="308" t="s">
        <v>166</v>
      </c>
      <c r="V3045" s="312"/>
    </row>
    <row r="3046">
      <c r="A3046" s="308">
        <v>3045.0</v>
      </c>
      <c r="B3046" s="308"/>
      <c r="C3046" s="308" t="s">
        <v>12533</v>
      </c>
      <c r="D3046" s="308">
        <f>IFERROR(__xludf.DUMMYFUNCTION("SPLIT(C3046,""-"")"),3066.0)</f>
        <v>3066</v>
      </c>
      <c r="E3046" s="308" t="str">
        <f>IFERROR(__xludf.DUMMYFUNCTION("""COMPUTED_VALUE"""),"S")</f>
        <v>S</v>
      </c>
      <c r="F3046" s="312" t="s">
        <v>39</v>
      </c>
      <c r="G3046" s="308"/>
      <c r="H3046" s="308" t="s">
        <v>12534</v>
      </c>
      <c r="I3046" s="314">
        <v>42295.0</v>
      </c>
      <c r="J3046" s="319">
        <f>IFERROR(__xludf.DUMMYFUNCTION("SPLIT(I3046,""/"")"),18.0)</f>
        <v>18</v>
      </c>
      <c r="K3046" s="308">
        <f>IFERROR(__xludf.DUMMYFUNCTION("""COMPUTED_VALUE"""),10.0)</f>
        <v>10</v>
      </c>
      <c r="L3046" s="308">
        <f>IFERROR(__xludf.DUMMYFUNCTION("""COMPUTED_VALUE"""),2015.0)</f>
        <v>2015</v>
      </c>
      <c r="M3046" s="308" t="s">
        <v>12535</v>
      </c>
      <c r="N3046" s="308"/>
      <c r="O3046" s="308" t="s">
        <v>635</v>
      </c>
      <c r="P3046" s="308" t="s">
        <v>296</v>
      </c>
      <c r="Q3046" s="308"/>
      <c r="R3046" s="308"/>
      <c r="S3046" s="308" t="s">
        <v>81</v>
      </c>
      <c r="T3046" s="308" t="s">
        <v>75</v>
      </c>
      <c r="U3046" s="308" t="s">
        <v>166</v>
      </c>
      <c r="V3046" s="312"/>
    </row>
    <row r="3047">
      <c r="A3047" s="308">
        <v>3046.0</v>
      </c>
      <c r="B3047" s="308"/>
      <c r="C3047" s="308" t="s">
        <v>12536</v>
      </c>
      <c r="D3047" s="308">
        <f>IFERROR(__xludf.DUMMYFUNCTION("SPLIT(C3047,""-"")"),3067.0)</f>
        <v>3067</v>
      </c>
      <c r="E3047" s="308" t="str">
        <f>IFERROR(__xludf.DUMMYFUNCTION("""COMPUTED_VALUE"""),"S")</f>
        <v>S</v>
      </c>
      <c r="F3047" s="312" t="s">
        <v>39</v>
      </c>
      <c r="G3047" s="308"/>
      <c r="H3047" s="308" t="s">
        <v>12537</v>
      </c>
      <c r="I3047" s="314">
        <v>42295.0</v>
      </c>
      <c r="J3047" s="319">
        <f>IFERROR(__xludf.DUMMYFUNCTION("SPLIT(I3047,""/"")"),18.0)</f>
        <v>18</v>
      </c>
      <c r="K3047" s="308">
        <f>IFERROR(__xludf.DUMMYFUNCTION("""COMPUTED_VALUE"""),10.0)</f>
        <v>10</v>
      </c>
      <c r="L3047" s="308">
        <f>IFERROR(__xludf.DUMMYFUNCTION("""COMPUTED_VALUE"""),2015.0)</f>
        <v>2015</v>
      </c>
      <c r="M3047" s="308" t="s">
        <v>12538</v>
      </c>
      <c r="N3047" s="308"/>
      <c r="O3047" s="308" t="s">
        <v>635</v>
      </c>
      <c r="P3047" s="308" t="s">
        <v>148</v>
      </c>
      <c r="Q3047" s="308"/>
      <c r="R3047" s="308"/>
      <c r="S3047" s="308" t="s">
        <v>49</v>
      </c>
      <c r="T3047" s="308" t="s">
        <v>51</v>
      </c>
      <c r="U3047" s="308" t="s">
        <v>166</v>
      </c>
      <c r="V3047" s="312"/>
    </row>
    <row r="3048">
      <c r="A3048" s="308">
        <v>3047.0</v>
      </c>
      <c r="B3048" s="308"/>
      <c r="C3048" s="308" t="s">
        <v>12539</v>
      </c>
      <c r="D3048" s="308">
        <f>IFERROR(__xludf.DUMMYFUNCTION("SPLIT(C3048,""-"")"),3068.0)</f>
        <v>3068</v>
      </c>
      <c r="E3048" s="308" t="str">
        <f>IFERROR(__xludf.DUMMYFUNCTION("""COMPUTED_VALUE"""),"K")</f>
        <v>K</v>
      </c>
      <c r="F3048" s="309" t="s">
        <v>34</v>
      </c>
      <c r="G3048" s="308"/>
      <c r="H3048" s="308" t="s">
        <v>12540</v>
      </c>
      <c r="I3048" s="310">
        <v>42007.0</v>
      </c>
      <c r="J3048" s="319">
        <f>IFERROR(__xludf.DUMMYFUNCTION("SPLIT(I3048,""/"")"),3.0)</f>
        <v>3</v>
      </c>
      <c r="K3048" s="308">
        <f>IFERROR(__xludf.DUMMYFUNCTION("""COMPUTED_VALUE"""),1.0)</f>
        <v>1</v>
      </c>
      <c r="L3048" s="308">
        <f>IFERROR(__xludf.DUMMYFUNCTION("""COMPUTED_VALUE"""),2015.0)</f>
        <v>2015</v>
      </c>
      <c r="M3048" s="308" t="s">
        <v>12541</v>
      </c>
      <c r="N3048" s="308"/>
      <c r="O3048" s="308" t="s">
        <v>12542</v>
      </c>
      <c r="P3048" s="308" t="s">
        <v>36856</v>
      </c>
      <c r="Q3048" s="308"/>
      <c r="R3048" s="308"/>
      <c r="S3048" s="308" t="s">
        <v>81</v>
      </c>
      <c r="T3048" s="311" t="s">
        <v>85</v>
      </c>
      <c r="U3048" s="308" t="s">
        <v>125</v>
      </c>
      <c r="V3048" s="312"/>
    </row>
    <row r="3049">
      <c r="A3049" s="308">
        <v>3048.0</v>
      </c>
      <c r="B3049" s="308"/>
      <c r="C3049" s="308" t="s">
        <v>12544</v>
      </c>
      <c r="D3049" s="308">
        <f>IFERROR(__xludf.DUMMYFUNCTION("SPLIT(C3049,""-"")"),3069.0)</f>
        <v>3069</v>
      </c>
      <c r="E3049" s="308" t="str">
        <f>IFERROR(__xludf.DUMMYFUNCTION("""COMPUTED_VALUE"""),"S")</f>
        <v>S</v>
      </c>
      <c r="F3049" s="312" t="s">
        <v>39</v>
      </c>
      <c r="G3049" s="308"/>
      <c r="H3049" s="308" t="s">
        <v>12545</v>
      </c>
      <c r="I3049" s="310">
        <v>42370.0</v>
      </c>
      <c r="J3049" s="319">
        <f>IFERROR(__xludf.DUMMYFUNCTION("SPLIT(I3049,""/"")"),1.0)</f>
        <v>1</v>
      </c>
      <c r="K3049" s="308">
        <f>IFERROR(__xludf.DUMMYFUNCTION("""COMPUTED_VALUE"""),1.0)</f>
        <v>1</v>
      </c>
      <c r="L3049" s="308">
        <f>IFERROR(__xludf.DUMMYFUNCTION("""COMPUTED_VALUE"""),2016.0)</f>
        <v>2016</v>
      </c>
      <c r="M3049" s="308" t="s">
        <v>12546</v>
      </c>
      <c r="N3049" s="308"/>
      <c r="O3049" s="308" t="s">
        <v>635</v>
      </c>
      <c r="P3049" s="308" t="s">
        <v>12250</v>
      </c>
      <c r="Q3049" s="308"/>
      <c r="R3049" s="308"/>
      <c r="S3049" s="308" t="s">
        <v>49</v>
      </c>
      <c r="T3049" s="308" t="s">
        <v>67</v>
      </c>
      <c r="U3049" s="308" t="s">
        <v>166</v>
      </c>
      <c r="V3049" s="312"/>
    </row>
    <row r="3050">
      <c r="A3050" s="308">
        <v>3049.0</v>
      </c>
      <c r="B3050" s="308"/>
      <c r="C3050" s="308" t="s">
        <v>12547</v>
      </c>
      <c r="D3050" s="308">
        <f>IFERROR(__xludf.DUMMYFUNCTION("SPLIT(C3050,""-"")"),3070.0)</f>
        <v>3070</v>
      </c>
      <c r="E3050" s="308" t="str">
        <f>IFERROR(__xludf.DUMMYFUNCTION("""COMPUTED_VALUE"""),"S")</f>
        <v>S</v>
      </c>
      <c r="F3050" s="312" t="s">
        <v>39</v>
      </c>
      <c r="G3050" s="308"/>
      <c r="H3050" s="308" t="s">
        <v>12548</v>
      </c>
      <c r="I3050" s="310">
        <v>42370.0</v>
      </c>
      <c r="J3050" s="319">
        <f>IFERROR(__xludf.DUMMYFUNCTION("SPLIT(I3050,""/"")"),1.0)</f>
        <v>1</v>
      </c>
      <c r="K3050" s="308">
        <f>IFERROR(__xludf.DUMMYFUNCTION("""COMPUTED_VALUE"""),1.0)</f>
        <v>1</v>
      </c>
      <c r="L3050" s="308">
        <f>IFERROR(__xludf.DUMMYFUNCTION("""COMPUTED_VALUE"""),2016.0)</f>
        <v>2016</v>
      </c>
      <c r="M3050" s="308" t="s">
        <v>12546</v>
      </c>
      <c r="N3050" s="308"/>
      <c r="O3050" s="308" t="s">
        <v>635</v>
      </c>
      <c r="P3050" s="308" t="s">
        <v>36857</v>
      </c>
      <c r="Q3050" s="308"/>
      <c r="R3050" s="308"/>
      <c r="S3050" s="308" t="s">
        <v>81</v>
      </c>
      <c r="T3050" s="308" t="s">
        <v>75</v>
      </c>
      <c r="U3050" s="312"/>
      <c r="V3050" s="312"/>
    </row>
    <row r="3051">
      <c r="A3051" s="308">
        <v>3050.0</v>
      </c>
      <c r="B3051" s="308"/>
      <c r="C3051" s="308" t="s">
        <v>12550</v>
      </c>
      <c r="D3051" s="308">
        <f>IFERROR(__xludf.DUMMYFUNCTION("SPLIT(C3051,""-"")"),3071.0)</f>
        <v>3071</v>
      </c>
      <c r="E3051" s="308" t="str">
        <f>IFERROR(__xludf.DUMMYFUNCTION("""COMPUTED_VALUE"""),"S")</f>
        <v>S</v>
      </c>
      <c r="F3051" s="312" t="s">
        <v>39</v>
      </c>
      <c r="G3051" s="308"/>
      <c r="H3051" s="308" t="s">
        <v>12551</v>
      </c>
      <c r="I3051" s="310">
        <v>42370.0</v>
      </c>
      <c r="J3051" s="319">
        <f>IFERROR(__xludf.DUMMYFUNCTION("SPLIT(I3051,""/"")"),1.0)</f>
        <v>1</v>
      </c>
      <c r="K3051" s="308">
        <f>IFERROR(__xludf.DUMMYFUNCTION("""COMPUTED_VALUE"""),1.0)</f>
        <v>1</v>
      </c>
      <c r="L3051" s="308">
        <f>IFERROR(__xludf.DUMMYFUNCTION("""COMPUTED_VALUE"""),2016.0)</f>
        <v>2016</v>
      </c>
      <c r="M3051" s="308" t="s">
        <v>12552</v>
      </c>
      <c r="N3051" s="308"/>
      <c r="O3051" s="308" t="s">
        <v>635</v>
      </c>
      <c r="P3051" s="308" t="s">
        <v>12446</v>
      </c>
      <c r="Q3051" s="308"/>
      <c r="R3051" s="308"/>
      <c r="S3051" s="308" t="s">
        <v>81</v>
      </c>
      <c r="T3051" s="308" t="s">
        <v>73</v>
      </c>
      <c r="U3051" s="308" t="s">
        <v>166</v>
      </c>
      <c r="V3051" s="312"/>
    </row>
    <row r="3052">
      <c r="A3052" s="308">
        <v>3051.0</v>
      </c>
      <c r="B3052" s="308"/>
      <c r="C3052" s="308" t="s">
        <v>12553</v>
      </c>
      <c r="D3052" s="308">
        <f>IFERROR(__xludf.DUMMYFUNCTION("SPLIT(C3052,""-"")"),3072.0)</f>
        <v>3072</v>
      </c>
      <c r="E3052" s="308" t="str">
        <f>IFERROR(__xludf.DUMMYFUNCTION("""COMPUTED_VALUE"""),"S")</f>
        <v>S</v>
      </c>
      <c r="F3052" s="312" t="s">
        <v>39</v>
      </c>
      <c r="G3052" s="308"/>
      <c r="H3052" s="308" t="s">
        <v>12554</v>
      </c>
      <c r="I3052" s="310">
        <v>42370.0</v>
      </c>
      <c r="J3052" s="319">
        <f>IFERROR(__xludf.DUMMYFUNCTION("SPLIT(I3052,""/"")"),1.0)</f>
        <v>1</v>
      </c>
      <c r="K3052" s="308">
        <f>IFERROR(__xludf.DUMMYFUNCTION("""COMPUTED_VALUE"""),1.0)</f>
        <v>1</v>
      </c>
      <c r="L3052" s="308">
        <f>IFERROR(__xludf.DUMMYFUNCTION("""COMPUTED_VALUE"""),2016.0)</f>
        <v>2016</v>
      </c>
      <c r="M3052" s="308" t="s">
        <v>12555</v>
      </c>
      <c r="N3052" s="308"/>
      <c r="O3052" s="308" t="s">
        <v>635</v>
      </c>
      <c r="P3052" s="308" t="s">
        <v>12446</v>
      </c>
      <c r="Q3052" s="308"/>
      <c r="R3052" s="308"/>
      <c r="S3052" s="308" t="s">
        <v>81</v>
      </c>
      <c r="T3052" s="308" t="s">
        <v>73</v>
      </c>
      <c r="U3052" s="308" t="s">
        <v>166</v>
      </c>
      <c r="V3052" s="312"/>
    </row>
    <row r="3053">
      <c r="A3053" s="308">
        <v>3052.0</v>
      </c>
      <c r="B3053" s="308"/>
      <c r="C3053" s="308" t="s">
        <v>12556</v>
      </c>
      <c r="D3053" s="308" t="str">
        <f>IFERROR(__xludf.DUMMYFUNCTION("SPLIT(C3053,""-"")"),"#REF!")</f>
        <v>#REF!</v>
      </c>
      <c r="E3053" s="311"/>
      <c r="F3053" s="317" t="s">
        <v>39</v>
      </c>
      <c r="G3053" s="308"/>
      <c r="H3053" s="308" t="s">
        <v>12557</v>
      </c>
      <c r="I3053" s="316" t="s">
        <v>12558</v>
      </c>
      <c r="J3053" s="319"/>
      <c r="K3053" s="308"/>
      <c r="L3053" s="311">
        <v>2016.0</v>
      </c>
      <c r="M3053" s="308" t="s">
        <v>12559</v>
      </c>
      <c r="N3053" s="308"/>
      <c r="O3053" s="308" t="s">
        <v>635</v>
      </c>
      <c r="P3053" s="308" t="s">
        <v>36853</v>
      </c>
      <c r="Q3053" s="308"/>
      <c r="R3053" s="308" t="s">
        <v>12483</v>
      </c>
      <c r="S3053" s="308" t="s">
        <v>49</v>
      </c>
      <c r="T3053" s="308" t="s">
        <v>51</v>
      </c>
      <c r="U3053" s="308" t="s">
        <v>166</v>
      </c>
      <c r="V3053" s="312"/>
    </row>
    <row r="3054">
      <c r="A3054" s="308">
        <v>3053.0</v>
      </c>
      <c r="B3054" s="308"/>
      <c r="C3054" s="308" t="s">
        <v>12560</v>
      </c>
      <c r="D3054" s="308">
        <f>IFERROR(__xludf.DUMMYFUNCTION("SPLIT(C3054,""-"")"),3074.0)</f>
        <v>3074</v>
      </c>
      <c r="E3054" s="308" t="str">
        <f>IFERROR(__xludf.DUMMYFUNCTION("""COMPUTED_VALUE"""),"S")</f>
        <v>S</v>
      </c>
      <c r="F3054" s="312" t="s">
        <v>39</v>
      </c>
      <c r="G3054" s="308"/>
      <c r="H3054" s="308" t="s">
        <v>12561</v>
      </c>
      <c r="I3054" s="310">
        <v>42376.0</v>
      </c>
      <c r="J3054" s="319">
        <f>IFERROR(__xludf.DUMMYFUNCTION("SPLIT(I3054,""/"")"),7.0)</f>
        <v>7</v>
      </c>
      <c r="K3054" s="308">
        <f>IFERROR(__xludf.DUMMYFUNCTION("""COMPUTED_VALUE"""),1.0)</f>
        <v>1</v>
      </c>
      <c r="L3054" s="308">
        <f>IFERROR(__xludf.DUMMYFUNCTION("""COMPUTED_VALUE"""),2016.0)</f>
        <v>2016</v>
      </c>
      <c r="M3054" s="308" t="s">
        <v>12562</v>
      </c>
      <c r="N3054" s="308"/>
      <c r="O3054" s="308"/>
      <c r="P3054" s="308" t="s">
        <v>12514</v>
      </c>
      <c r="Q3054" s="308"/>
      <c r="R3054" s="308"/>
      <c r="S3054" s="308" t="s">
        <v>81</v>
      </c>
      <c r="T3054" s="311" t="s">
        <v>94</v>
      </c>
      <c r="U3054" s="308" t="s">
        <v>166</v>
      </c>
      <c r="V3054" s="312"/>
    </row>
    <row r="3055">
      <c r="A3055" s="308">
        <v>3054.0</v>
      </c>
      <c r="B3055" s="308"/>
      <c r="C3055" s="308" t="s">
        <v>12563</v>
      </c>
      <c r="D3055" s="308">
        <f>IFERROR(__xludf.DUMMYFUNCTION("SPLIT(C3055,""-"")"),3075.0)</f>
        <v>3075</v>
      </c>
      <c r="E3055" s="308" t="str">
        <f>IFERROR(__xludf.DUMMYFUNCTION("""COMPUTED_VALUE"""),"S")</f>
        <v>S</v>
      </c>
      <c r="F3055" s="312" t="s">
        <v>39</v>
      </c>
      <c r="G3055" s="308"/>
      <c r="H3055" s="308" t="s">
        <v>12564</v>
      </c>
      <c r="I3055" s="310">
        <v>42376.0</v>
      </c>
      <c r="J3055" s="319">
        <f>IFERROR(__xludf.DUMMYFUNCTION("SPLIT(I3055,""/"")"),7.0)</f>
        <v>7</v>
      </c>
      <c r="K3055" s="308">
        <f>IFERROR(__xludf.DUMMYFUNCTION("""COMPUTED_VALUE"""),1.0)</f>
        <v>1</v>
      </c>
      <c r="L3055" s="308">
        <f>IFERROR(__xludf.DUMMYFUNCTION("""COMPUTED_VALUE"""),2016.0)</f>
        <v>2016</v>
      </c>
      <c r="M3055" s="308" t="s">
        <v>12565</v>
      </c>
      <c r="N3055" s="308"/>
      <c r="O3055" s="312"/>
      <c r="P3055" s="308" t="s">
        <v>296</v>
      </c>
      <c r="Q3055" s="308"/>
      <c r="R3055" s="308"/>
      <c r="S3055" s="308" t="s">
        <v>81</v>
      </c>
      <c r="T3055" s="308" t="s">
        <v>75</v>
      </c>
      <c r="U3055" s="308" t="s">
        <v>166</v>
      </c>
      <c r="V3055" s="312"/>
    </row>
    <row r="3056">
      <c r="A3056" s="308">
        <v>3055.0</v>
      </c>
      <c r="B3056" s="308"/>
      <c r="C3056" s="308" t="s">
        <v>12566</v>
      </c>
      <c r="D3056" s="308">
        <f>IFERROR(__xludf.DUMMYFUNCTION("SPLIT(C3056,""-"")"),3076.0)</f>
        <v>3076</v>
      </c>
      <c r="E3056" s="308" t="str">
        <f>IFERROR(__xludf.DUMMYFUNCTION("""COMPUTED_VALUE"""),"S")</f>
        <v>S</v>
      </c>
      <c r="F3056" s="312" t="s">
        <v>39</v>
      </c>
      <c r="G3056" s="308"/>
      <c r="H3056" s="308" t="s">
        <v>12567</v>
      </c>
      <c r="I3056" s="310">
        <v>42377.0</v>
      </c>
      <c r="J3056" s="319">
        <f>IFERROR(__xludf.DUMMYFUNCTION("SPLIT(I3056,""/"")"),8.0)</f>
        <v>8</v>
      </c>
      <c r="K3056" s="308">
        <f>IFERROR(__xludf.DUMMYFUNCTION("""COMPUTED_VALUE"""),1.0)</f>
        <v>1</v>
      </c>
      <c r="L3056" s="308">
        <f>IFERROR(__xludf.DUMMYFUNCTION("""COMPUTED_VALUE"""),2016.0)</f>
        <v>2016</v>
      </c>
      <c r="M3056" s="308" t="s">
        <v>12568</v>
      </c>
      <c r="N3056" s="308"/>
      <c r="O3056" s="308"/>
      <c r="P3056" s="308" t="s">
        <v>296</v>
      </c>
      <c r="Q3056" s="308"/>
      <c r="R3056" s="308"/>
      <c r="S3056" s="308" t="s">
        <v>81</v>
      </c>
      <c r="T3056" s="308" t="s">
        <v>75</v>
      </c>
      <c r="U3056" s="308" t="s">
        <v>166</v>
      </c>
      <c r="V3056" s="312"/>
    </row>
    <row r="3057">
      <c r="A3057" s="308">
        <v>3056.0</v>
      </c>
      <c r="B3057" s="308"/>
      <c r="C3057" s="308" t="s">
        <v>12569</v>
      </c>
      <c r="D3057" s="308">
        <f>IFERROR(__xludf.DUMMYFUNCTION("SPLIT(C3057,""-"")"),3077.0)</f>
        <v>3077</v>
      </c>
      <c r="E3057" s="308" t="str">
        <f>IFERROR(__xludf.DUMMYFUNCTION("""COMPUTED_VALUE"""),"S")</f>
        <v>S</v>
      </c>
      <c r="F3057" s="312" t="s">
        <v>39</v>
      </c>
      <c r="G3057" s="308"/>
      <c r="H3057" s="308" t="s">
        <v>12570</v>
      </c>
      <c r="I3057" s="310">
        <v>42377.0</v>
      </c>
      <c r="J3057" s="319">
        <f>IFERROR(__xludf.DUMMYFUNCTION("SPLIT(I3057,""/"")"),8.0)</f>
        <v>8</v>
      </c>
      <c r="K3057" s="308">
        <f>IFERROR(__xludf.DUMMYFUNCTION("""COMPUTED_VALUE"""),1.0)</f>
        <v>1</v>
      </c>
      <c r="L3057" s="308">
        <f>IFERROR(__xludf.DUMMYFUNCTION("""COMPUTED_VALUE"""),2016.0)</f>
        <v>2016</v>
      </c>
      <c r="M3057" s="308" t="s">
        <v>36858</v>
      </c>
      <c r="N3057" s="308"/>
      <c r="O3057" s="308" t="s">
        <v>12572</v>
      </c>
      <c r="P3057" s="308" t="s">
        <v>622</v>
      </c>
      <c r="Q3057" s="308"/>
      <c r="R3057" s="308"/>
      <c r="S3057" s="308" t="s">
        <v>49</v>
      </c>
      <c r="T3057" s="308" t="s">
        <v>34409</v>
      </c>
      <c r="U3057" s="308" t="s">
        <v>166</v>
      </c>
      <c r="V3057" s="312"/>
    </row>
    <row r="3058">
      <c r="A3058" s="308">
        <v>3057.0</v>
      </c>
      <c r="B3058" s="308"/>
      <c r="C3058" s="308" t="s">
        <v>12573</v>
      </c>
      <c r="D3058" s="308">
        <f>IFERROR(__xludf.DUMMYFUNCTION("SPLIT(C3058,""-"")"),3078.0)</f>
        <v>3078</v>
      </c>
      <c r="E3058" s="308" t="str">
        <f>IFERROR(__xludf.DUMMYFUNCTION("""COMPUTED_VALUE"""),"S")</f>
        <v>S</v>
      </c>
      <c r="F3058" s="312" t="s">
        <v>39</v>
      </c>
      <c r="G3058" s="308"/>
      <c r="H3058" s="308" t="s">
        <v>12574</v>
      </c>
      <c r="I3058" s="310">
        <v>42377.0</v>
      </c>
      <c r="J3058" s="319">
        <f>IFERROR(__xludf.DUMMYFUNCTION("SPLIT(I3058,""/"")"),8.0)</f>
        <v>8</v>
      </c>
      <c r="K3058" s="308">
        <f>IFERROR(__xludf.DUMMYFUNCTION("""COMPUTED_VALUE"""),1.0)</f>
        <v>1</v>
      </c>
      <c r="L3058" s="308">
        <f>IFERROR(__xludf.DUMMYFUNCTION("""COMPUTED_VALUE"""),2016.0)</f>
        <v>2016</v>
      </c>
      <c r="M3058" s="308" t="s">
        <v>12575</v>
      </c>
      <c r="N3058" s="308"/>
      <c r="O3058" s="308"/>
      <c r="P3058" s="308" t="s">
        <v>11452</v>
      </c>
      <c r="Q3058" s="308"/>
      <c r="R3058" s="308"/>
      <c r="S3058" s="308" t="s">
        <v>81</v>
      </c>
      <c r="T3058" s="311" t="s">
        <v>73</v>
      </c>
      <c r="U3058" s="308" t="s">
        <v>166</v>
      </c>
      <c r="V3058" s="312"/>
    </row>
    <row r="3059">
      <c r="A3059" s="308">
        <v>3058.0</v>
      </c>
      <c r="B3059" s="308"/>
      <c r="C3059" s="308" t="s">
        <v>12576</v>
      </c>
      <c r="D3059" s="308">
        <f>IFERROR(__xludf.DUMMYFUNCTION("SPLIT(C3059,""-"")"),3079.0)</f>
        <v>3079</v>
      </c>
      <c r="E3059" s="308" t="str">
        <f>IFERROR(__xludf.DUMMYFUNCTION("""COMPUTED_VALUE"""),"S")</f>
        <v>S</v>
      </c>
      <c r="F3059" s="312" t="s">
        <v>39</v>
      </c>
      <c r="G3059" s="308"/>
      <c r="H3059" s="308" t="s">
        <v>12577</v>
      </c>
      <c r="I3059" s="310">
        <v>42378.0</v>
      </c>
      <c r="J3059" s="319">
        <f>IFERROR(__xludf.DUMMYFUNCTION("SPLIT(I3059,""/"")"),9.0)</f>
        <v>9</v>
      </c>
      <c r="K3059" s="308">
        <f>IFERROR(__xludf.DUMMYFUNCTION("""COMPUTED_VALUE"""),1.0)</f>
        <v>1</v>
      </c>
      <c r="L3059" s="308">
        <f>IFERROR(__xludf.DUMMYFUNCTION("""COMPUTED_VALUE"""),2016.0)</f>
        <v>2016</v>
      </c>
      <c r="M3059" s="308" t="s">
        <v>12578</v>
      </c>
      <c r="N3059" s="308"/>
      <c r="O3059" s="308"/>
      <c r="P3059" s="308" t="s">
        <v>296</v>
      </c>
      <c r="Q3059" s="308"/>
      <c r="R3059" s="308"/>
      <c r="S3059" s="308" t="s">
        <v>81</v>
      </c>
      <c r="T3059" s="308" t="s">
        <v>75</v>
      </c>
      <c r="U3059" s="308" t="s">
        <v>166</v>
      </c>
      <c r="V3059" s="312"/>
    </row>
    <row r="3060">
      <c r="A3060" s="308">
        <v>3059.0</v>
      </c>
      <c r="B3060" s="308"/>
      <c r="C3060" s="308" t="s">
        <v>12579</v>
      </c>
      <c r="D3060" s="308">
        <f>IFERROR(__xludf.DUMMYFUNCTION("SPLIT(C3060,""-"")"),3080.0)</f>
        <v>3080</v>
      </c>
      <c r="E3060" s="308" t="str">
        <f>IFERROR(__xludf.DUMMYFUNCTION("""COMPUTED_VALUE"""),"S")</f>
        <v>S</v>
      </c>
      <c r="F3060" s="312" t="s">
        <v>39</v>
      </c>
      <c r="G3060" s="308"/>
      <c r="H3060" s="308" t="s">
        <v>12580</v>
      </c>
      <c r="I3060" s="310">
        <v>42279.0</v>
      </c>
      <c r="J3060" s="319">
        <f>IFERROR(__xludf.DUMMYFUNCTION("SPLIT(I3060,""/"")"),2.0)</f>
        <v>2</v>
      </c>
      <c r="K3060" s="308">
        <f>IFERROR(__xludf.DUMMYFUNCTION("""COMPUTED_VALUE"""),10.0)</f>
        <v>10</v>
      </c>
      <c r="L3060" s="308">
        <f>IFERROR(__xludf.DUMMYFUNCTION("""COMPUTED_VALUE"""),2015.0)</f>
        <v>2015</v>
      </c>
      <c r="M3060" s="308" t="s">
        <v>12581</v>
      </c>
      <c r="N3060" s="308"/>
      <c r="O3060" s="308"/>
      <c r="P3060" s="308" t="s">
        <v>12582</v>
      </c>
      <c r="Q3060" s="308"/>
      <c r="R3060" s="308"/>
      <c r="S3060" s="308" t="s">
        <v>81</v>
      </c>
      <c r="T3060" s="308" t="s">
        <v>63</v>
      </c>
      <c r="U3060" s="308" t="s">
        <v>166</v>
      </c>
      <c r="V3060" s="312"/>
    </row>
    <row r="3061">
      <c r="A3061" s="308">
        <v>3060.0</v>
      </c>
      <c r="B3061" s="308"/>
      <c r="C3061" s="308" t="s">
        <v>12583</v>
      </c>
      <c r="D3061" s="308">
        <f>IFERROR(__xludf.DUMMYFUNCTION("SPLIT(C3061,""-"")"),3081.0)</f>
        <v>3081</v>
      </c>
      <c r="E3061" s="308" t="str">
        <f>IFERROR(__xludf.DUMMYFUNCTION("""COMPUTED_VALUE"""),"S")</f>
        <v>S</v>
      </c>
      <c r="F3061" s="312" t="s">
        <v>39</v>
      </c>
      <c r="G3061" s="308"/>
      <c r="H3061" s="308" t="s">
        <v>12584</v>
      </c>
      <c r="I3061" s="314">
        <v>42330.0</v>
      </c>
      <c r="J3061" s="319">
        <f>IFERROR(__xludf.DUMMYFUNCTION("SPLIT(I3061,""/"")"),22.0)</f>
        <v>22</v>
      </c>
      <c r="K3061" s="308">
        <f>IFERROR(__xludf.DUMMYFUNCTION("""COMPUTED_VALUE"""),11.0)</f>
        <v>11</v>
      </c>
      <c r="L3061" s="308">
        <f>IFERROR(__xludf.DUMMYFUNCTION("""COMPUTED_VALUE"""),2015.0)</f>
        <v>2015</v>
      </c>
      <c r="M3061" s="308" t="s">
        <v>12585</v>
      </c>
      <c r="N3061" s="308"/>
      <c r="O3061" s="308" t="s">
        <v>12586</v>
      </c>
      <c r="P3061" s="308" t="s">
        <v>36859</v>
      </c>
      <c r="Q3061" s="308"/>
      <c r="R3061" s="308"/>
      <c r="S3061" s="308" t="s">
        <v>81</v>
      </c>
      <c r="T3061" s="308" t="s">
        <v>75</v>
      </c>
      <c r="U3061" s="312"/>
      <c r="V3061" s="312"/>
    </row>
    <row r="3062">
      <c r="A3062" s="308">
        <v>3061.0</v>
      </c>
      <c r="B3062" s="308"/>
      <c r="C3062" s="308" t="s">
        <v>12588</v>
      </c>
      <c r="D3062" s="308">
        <f>IFERROR(__xludf.DUMMYFUNCTION("SPLIT(C3062,""-"")"),3082.0)</f>
        <v>3082</v>
      </c>
      <c r="E3062" s="308" t="str">
        <f>IFERROR(__xludf.DUMMYFUNCTION("""COMPUTED_VALUE"""),"S")</f>
        <v>S</v>
      </c>
      <c r="F3062" s="312" t="s">
        <v>39</v>
      </c>
      <c r="G3062" s="308"/>
      <c r="H3062" s="308" t="s">
        <v>12589</v>
      </c>
      <c r="I3062" s="314">
        <v>42349.0</v>
      </c>
      <c r="J3062" s="319">
        <f>IFERROR(__xludf.DUMMYFUNCTION("SPLIT(I3062,""/"")"),11.0)</f>
        <v>11</v>
      </c>
      <c r="K3062" s="308">
        <f>IFERROR(__xludf.DUMMYFUNCTION("""COMPUTED_VALUE"""),12.0)</f>
        <v>12</v>
      </c>
      <c r="L3062" s="308">
        <f>IFERROR(__xludf.DUMMYFUNCTION("""COMPUTED_VALUE"""),2015.0)</f>
        <v>2015</v>
      </c>
      <c r="M3062" s="308" t="s">
        <v>12590</v>
      </c>
      <c r="N3062" s="308"/>
      <c r="O3062" s="308" t="s">
        <v>635</v>
      </c>
      <c r="P3062" s="308" t="s">
        <v>296</v>
      </c>
      <c r="Q3062" s="308"/>
      <c r="R3062" s="308"/>
      <c r="S3062" s="308" t="s">
        <v>81</v>
      </c>
      <c r="T3062" s="308" t="s">
        <v>75</v>
      </c>
      <c r="U3062" s="308"/>
      <c r="V3062" s="312"/>
    </row>
    <row r="3063">
      <c r="A3063" s="308">
        <v>3062.0</v>
      </c>
      <c r="B3063" s="308"/>
      <c r="C3063" s="308" t="s">
        <v>12591</v>
      </c>
      <c r="D3063" s="308">
        <f>IFERROR(__xludf.DUMMYFUNCTION("SPLIT(C3063,""-"")"),3083.0)</f>
        <v>3083</v>
      </c>
      <c r="E3063" s="308" t="str">
        <f>IFERROR(__xludf.DUMMYFUNCTION("""COMPUTED_VALUE"""),"P")</f>
        <v>P</v>
      </c>
      <c r="F3063" s="312" t="s">
        <v>37</v>
      </c>
      <c r="G3063" s="308"/>
      <c r="H3063" s="308" t="s">
        <v>12592</v>
      </c>
      <c r="I3063" s="310">
        <v>41762.0</v>
      </c>
      <c r="J3063" s="319">
        <f>IFERROR(__xludf.DUMMYFUNCTION("SPLIT(I3063,""/"")"),3.0)</f>
        <v>3</v>
      </c>
      <c r="K3063" s="308">
        <f>IFERROR(__xludf.DUMMYFUNCTION("""COMPUTED_VALUE"""),5.0)</f>
        <v>5</v>
      </c>
      <c r="L3063" s="308">
        <f>IFERROR(__xludf.DUMMYFUNCTION("""COMPUTED_VALUE"""),2014.0)</f>
        <v>2014</v>
      </c>
      <c r="M3063" s="308" t="s">
        <v>12593</v>
      </c>
      <c r="N3063" s="308"/>
      <c r="O3063" s="308" t="s">
        <v>12594</v>
      </c>
      <c r="P3063" s="308" t="s">
        <v>9175</v>
      </c>
      <c r="Q3063" s="308"/>
      <c r="R3063" s="308"/>
      <c r="S3063" s="315" t="s">
        <v>100</v>
      </c>
      <c r="T3063" s="311" t="s">
        <v>34208</v>
      </c>
      <c r="U3063" s="308" t="s">
        <v>143</v>
      </c>
      <c r="V3063" s="312"/>
    </row>
    <row r="3064">
      <c r="A3064" s="308">
        <v>3063.0</v>
      </c>
      <c r="B3064" s="308"/>
      <c r="C3064" s="308" t="s">
        <v>12595</v>
      </c>
      <c r="D3064" s="308">
        <f>IFERROR(__xludf.DUMMYFUNCTION("SPLIT(C3064,""-"")"),3084.0)</f>
        <v>3084</v>
      </c>
      <c r="E3064" s="308" t="str">
        <f>IFERROR(__xludf.DUMMYFUNCTION("""COMPUTED_VALUE"""),"K")</f>
        <v>K</v>
      </c>
      <c r="F3064" s="309" t="s">
        <v>34</v>
      </c>
      <c r="G3064" s="308"/>
      <c r="H3064" s="308" t="s">
        <v>12596</v>
      </c>
      <c r="I3064" s="314">
        <v>41943.0</v>
      </c>
      <c r="J3064" s="319">
        <f>IFERROR(__xludf.DUMMYFUNCTION("SPLIT(I3064,""/"")"),31.0)</f>
        <v>31</v>
      </c>
      <c r="K3064" s="308">
        <f>IFERROR(__xludf.DUMMYFUNCTION("""COMPUTED_VALUE"""),10.0)</f>
        <v>10</v>
      </c>
      <c r="L3064" s="308">
        <f>IFERROR(__xludf.DUMMYFUNCTION("""COMPUTED_VALUE"""),2014.0)</f>
        <v>2014</v>
      </c>
      <c r="M3064" s="308" t="s">
        <v>12597</v>
      </c>
      <c r="N3064" s="308"/>
      <c r="O3064" s="308" t="s">
        <v>12598</v>
      </c>
      <c r="P3064" s="308" t="s">
        <v>12599</v>
      </c>
      <c r="Q3064" s="308"/>
      <c r="R3064" s="308"/>
      <c r="S3064" s="308" t="s">
        <v>81</v>
      </c>
      <c r="T3064" s="311" t="s">
        <v>73</v>
      </c>
      <c r="U3064" s="308" t="s">
        <v>125</v>
      </c>
      <c r="V3064" s="312"/>
    </row>
    <row r="3065">
      <c r="A3065" s="308">
        <v>3064.0</v>
      </c>
      <c r="B3065" s="308"/>
      <c r="C3065" s="308" t="s">
        <v>12600</v>
      </c>
      <c r="D3065" s="308">
        <f>IFERROR(__xludf.DUMMYFUNCTION("SPLIT(C3065,""-"")"),3085.0)</f>
        <v>3085</v>
      </c>
      <c r="E3065" s="308" t="str">
        <f>IFERROR(__xludf.DUMMYFUNCTION("""COMPUTED_VALUE"""),"K")</f>
        <v>K</v>
      </c>
      <c r="F3065" s="309" t="s">
        <v>34</v>
      </c>
      <c r="G3065" s="308" t="s">
        <v>12601</v>
      </c>
      <c r="H3065" s="308" t="s">
        <v>12602</v>
      </c>
      <c r="I3065" s="310">
        <v>42055.0</v>
      </c>
      <c r="J3065" s="319">
        <f>IFERROR(__xludf.DUMMYFUNCTION("SPLIT(I3065,""/"")"),20.0)</f>
        <v>20</v>
      </c>
      <c r="K3065" s="308">
        <f>IFERROR(__xludf.DUMMYFUNCTION("""COMPUTED_VALUE"""),2.0)</f>
        <v>2</v>
      </c>
      <c r="L3065" s="308">
        <f>IFERROR(__xludf.DUMMYFUNCTION("""COMPUTED_VALUE"""),2015.0)</f>
        <v>2015</v>
      </c>
      <c r="M3065" s="308" t="s">
        <v>12603</v>
      </c>
      <c r="N3065" s="308"/>
      <c r="O3065" s="308" t="s">
        <v>12604</v>
      </c>
      <c r="P3065" s="308" t="s">
        <v>12605</v>
      </c>
      <c r="Q3065" s="308"/>
      <c r="R3065" s="308"/>
      <c r="S3065" s="315" t="s">
        <v>100</v>
      </c>
      <c r="T3065" s="311" t="s">
        <v>34208</v>
      </c>
      <c r="U3065" s="308" t="s">
        <v>201</v>
      </c>
      <c r="V3065" s="312"/>
    </row>
    <row r="3066">
      <c r="A3066" s="308">
        <v>3065.0</v>
      </c>
      <c r="B3066" s="308"/>
      <c r="C3066" s="308" t="s">
        <v>12606</v>
      </c>
      <c r="D3066" s="308">
        <f>IFERROR(__xludf.DUMMYFUNCTION("SPLIT(C3066,""-"")"),3086.0)</f>
        <v>3086</v>
      </c>
      <c r="E3066" s="308" t="str">
        <f>IFERROR(__xludf.DUMMYFUNCTION("""COMPUTED_VALUE"""),"K")</f>
        <v>K</v>
      </c>
      <c r="F3066" s="309" t="s">
        <v>34</v>
      </c>
      <c r="G3066" s="308"/>
      <c r="H3066" s="308" t="s">
        <v>12607</v>
      </c>
      <c r="I3066" s="310">
        <v>41913.0</v>
      </c>
      <c r="J3066" s="319">
        <f>IFERROR(__xludf.DUMMYFUNCTION("SPLIT(I3066,""/"")"),1.0)</f>
        <v>1</v>
      </c>
      <c r="K3066" s="308">
        <f>IFERROR(__xludf.DUMMYFUNCTION("""COMPUTED_VALUE"""),10.0)</f>
        <v>10</v>
      </c>
      <c r="L3066" s="308">
        <f>IFERROR(__xludf.DUMMYFUNCTION("""COMPUTED_VALUE"""),2014.0)</f>
        <v>2014</v>
      </c>
      <c r="M3066" s="308" t="s">
        <v>12608</v>
      </c>
      <c r="N3066" s="308"/>
      <c r="O3066" s="308" t="s">
        <v>12609</v>
      </c>
      <c r="P3066" s="308" t="s">
        <v>9403</v>
      </c>
      <c r="Q3066" s="308"/>
      <c r="R3066" s="308"/>
      <c r="S3066" s="315" t="s">
        <v>100</v>
      </c>
      <c r="T3066" s="311" t="s">
        <v>34208</v>
      </c>
      <c r="U3066" s="308" t="s">
        <v>125</v>
      </c>
      <c r="V3066" s="312"/>
    </row>
    <row r="3067">
      <c r="A3067" s="308">
        <v>3066.0</v>
      </c>
      <c r="B3067" s="308"/>
      <c r="C3067" s="308" t="s">
        <v>12610</v>
      </c>
      <c r="D3067" s="308">
        <f>IFERROR(__xludf.DUMMYFUNCTION("SPLIT(C3067,""-"")"),3087.0)</f>
        <v>3087</v>
      </c>
      <c r="E3067" s="308" t="str">
        <f>IFERROR(__xludf.DUMMYFUNCTION("""COMPUTED_VALUE"""),"P")</f>
        <v>P</v>
      </c>
      <c r="F3067" s="312" t="s">
        <v>37</v>
      </c>
      <c r="G3067" s="308"/>
      <c r="H3067" s="308" t="s">
        <v>12611</v>
      </c>
      <c r="I3067" s="314">
        <v>42291.0</v>
      </c>
      <c r="J3067" s="319">
        <f>IFERROR(__xludf.DUMMYFUNCTION("SPLIT(I3067,""/"")"),14.0)</f>
        <v>14</v>
      </c>
      <c r="K3067" s="308">
        <f>IFERROR(__xludf.DUMMYFUNCTION("""COMPUTED_VALUE"""),10.0)</f>
        <v>10</v>
      </c>
      <c r="L3067" s="308">
        <f>IFERROR(__xludf.DUMMYFUNCTION("""COMPUTED_VALUE"""),2015.0)</f>
        <v>2015</v>
      </c>
      <c r="M3067" s="308" t="s">
        <v>12612</v>
      </c>
      <c r="N3067" s="308"/>
      <c r="O3067" s="308" t="s">
        <v>12613</v>
      </c>
      <c r="P3067" s="308" t="s">
        <v>12614</v>
      </c>
      <c r="Q3067" s="308"/>
      <c r="R3067" s="308"/>
      <c r="S3067" s="308" t="s">
        <v>81</v>
      </c>
      <c r="T3067" s="308" t="s">
        <v>75</v>
      </c>
      <c r="U3067" s="308" t="s">
        <v>2291</v>
      </c>
      <c r="V3067" s="312"/>
    </row>
    <row r="3068">
      <c r="A3068" s="308">
        <v>3067.0</v>
      </c>
      <c r="B3068" s="308"/>
      <c r="C3068" s="308" t="s">
        <v>12615</v>
      </c>
      <c r="D3068" s="308">
        <f>IFERROR(__xludf.DUMMYFUNCTION("SPLIT(C3068,""-"")"),3088.0)</f>
        <v>3088</v>
      </c>
      <c r="E3068" s="308" t="str">
        <f>IFERROR(__xludf.DUMMYFUNCTION("""COMPUTED_VALUE"""),"P")</f>
        <v>P</v>
      </c>
      <c r="F3068" s="312" t="s">
        <v>37</v>
      </c>
      <c r="G3068" s="308"/>
      <c r="H3068" s="308" t="s">
        <v>12616</v>
      </c>
      <c r="I3068" s="310">
        <v>42345.0</v>
      </c>
      <c r="J3068" s="319">
        <f>IFERROR(__xludf.DUMMYFUNCTION("SPLIT(I3068,""/"")"),7.0)</f>
        <v>7</v>
      </c>
      <c r="K3068" s="308">
        <f>IFERROR(__xludf.DUMMYFUNCTION("""COMPUTED_VALUE"""),12.0)</f>
        <v>12</v>
      </c>
      <c r="L3068" s="308">
        <f>IFERROR(__xludf.DUMMYFUNCTION("""COMPUTED_VALUE"""),2015.0)</f>
        <v>2015</v>
      </c>
      <c r="M3068" s="308" t="s">
        <v>12617</v>
      </c>
      <c r="N3068" s="308"/>
      <c r="O3068" s="308" t="s">
        <v>12618</v>
      </c>
      <c r="P3068" s="308" t="s">
        <v>12619</v>
      </c>
      <c r="Q3068" s="308"/>
      <c r="R3068" s="308"/>
      <c r="S3068" s="308" t="s">
        <v>81</v>
      </c>
      <c r="T3068" s="308" t="s">
        <v>75</v>
      </c>
      <c r="U3068" s="308" t="s">
        <v>149</v>
      </c>
      <c r="V3068" s="312"/>
    </row>
    <row r="3069">
      <c r="A3069" s="308">
        <v>3068.0</v>
      </c>
      <c r="B3069" s="308"/>
      <c r="C3069" s="308" t="s">
        <v>12620</v>
      </c>
      <c r="D3069" s="308">
        <f>IFERROR(__xludf.DUMMYFUNCTION("SPLIT(C3069,""-"")"),3089.0)</f>
        <v>3089</v>
      </c>
      <c r="E3069" s="308" t="str">
        <f>IFERROR(__xludf.DUMMYFUNCTION("""COMPUTED_VALUE"""),"S")</f>
        <v>S</v>
      </c>
      <c r="F3069" s="312" t="s">
        <v>39</v>
      </c>
      <c r="G3069" s="308"/>
      <c r="H3069" s="308" t="s">
        <v>12621</v>
      </c>
      <c r="I3069" s="310">
        <v>41361.0</v>
      </c>
      <c r="J3069" s="319">
        <f>IFERROR(__xludf.DUMMYFUNCTION("SPLIT(I3069,""/"")"),28.0)</f>
        <v>28</v>
      </c>
      <c r="K3069" s="308">
        <f>IFERROR(__xludf.DUMMYFUNCTION("""COMPUTED_VALUE"""),3.0)</f>
        <v>3</v>
      </c>
      <c r="L3069" s="308">
        <f>IFERROR(__xludf.DUMMYFUNCTION("""COMPUTED_VALUE"""),2013.0)</f>
        <v>2013</v>
      </c>
      <c r="M3069" s="308" t="s">
        <v>12622</v>
      </c>
      <c r="N3069" s="308"/>
      <c r="O3069" s="308" t="s">
        <v>12623</v>
      </c>
      <c r="P3069" s="308" t="s">
        <v>296</v>
      </c>
      <c r="Q3069" s="308"/>
      <c r="R3069" s="308"/>
      <c r="S3069" s="308" t="s">
        <v>81</v>
      </c>
      <c r="T3069" s="308" t="s">
        <v>75</v>
      </c>
      <c r="U3069" s="308"/>
      <c r="V3069" s="312"/>
    </row>
    <row r="3070">
      <c r="A3070" s="308">
        <v>3069.0</v>
      </c>
      <c r="B3070" s="308"/>
      <c r="C3070" s="308" t="s">
        <v>12624</v>
      </c>
      <c r="D3070" s="308">
        <f>IFERROR(__xludf.DUMMYFUNCTION("SPLIT(C3070,""-"")"),3090.0)</f>
        <v>3090</v>
      </c>
      <c r="E3070" s="308" t="str">
        <f>IFERROR(__xludf.DUMMYFUNCTION("""COMPUTED_VALUE"""),"K")</f>
        <v>K</v>
      </c>
      <c r="F3070" s="309" t="s">
        <v>34</v>
      </c>
      <c r="G3070" s="308"/>
      <c r="H3070" s="308" t="s">
        <v>12625</v>
      </c>
      <c r="I3070" s="310">
        <v>41088.0</v>
      </c>
      <c r="J3070" s="319">
        <f>IFERROR(__xludf.DUMMYFUNCTION("SPLIT(I3070,""/"")"),28.0)</f>
        <v>28</v>
      </c>
      <c r="K3070" s="308">
        <f>IFERROR(__xludf.DUMMYFUNCTION("""COMPUTED_VALUE"""),6.0)</f>
        <v>6</v>
      </c>
      <c r="L3070" s="308">
        <f>IFERROR(__xludf.DUMMYFUNCTION("""COMPUTED_VALUE"""),2012.0)</f>
        <v>2012</v>
      </c>
      <c r="M3070" s="308" t="s">
        <v>12626</v>
      </c>
      <c r="N3070" s="308"/>
      <c r="O3070" s="308" t="s">
        <v>12627</v>
      </c>
      <c r="P3070" s="308" t="s">
        <v>2872</v>
      </c>
      <c r="Q3070" s="308"/>
      <c r="R3070" s="308"/>
      <c r="S3070" s="315" t="s">
        <v>100</v>
      </c>
      <c r="T3070" s="311" t="s">
        <v>34208</v>
      </c>
      <c r="U3070" s="308" t="s">
        <v>125</v>
      </c>
      <c r="V3070" s="312"/>
    </row>
    <row r="3071">
      <c r="A3071" s="308">
        <v>3070.0</v>
      </c>
      <c r="B3071" s="308"/>
      <c r="C3071" s="308" t="s">
        <v>12628</v>
      </c>
      <c r="D3071" s="308">
        <f>IFERROR(__xludf.DUMMYFUNCTION("SPLIT(C3071,""-"")"),3091.0)</f>
        <v>3091</v>
      </c>
      <c r="E3071" s="308" t="str">
        <f>IFERROR(__xludf.DUMMYFUNCTION("""COMPUTED_VALUE"""),"S")</f>
        <v>S</v>
      </c>
      <c r="F3071" s="312" t="s">
        <v>39</v>
      </c>
      <c r="G3071" s="308"/>
      <c r="H3071" s="308" t="s">
        <v>12629</v>
      </c>
      <c r="I3071" s="310">
        <v>42231.0</v>
      </c>
      <c r="J3071" s="319">
        <f>IFERROR(__xludf.DUMMYFUNCTION("SPLIT(I3071,""/"")"),15.0)</f>
        <v>15</v>
      </c>
      <c r="K3071" s="308">
        <f>IFERROR(__xludf.DUMMYFUNCTION("""COMPUTED_VALUE"""),8.0)</f>
        <v>8</v>
      </c>
      <c r="L3071" s="308">
        <f>IFERROR(__xludf.DUMMYFUNCTION("""COMPUTED_VALUE"""),2015.0)</f>
        <v>2015</v>
      </c>
      <c r="M3071" s="308" t="s">
        <v>12630</v>
      </c>
      <c r="N3071" s="308"/>
      <c r="O3071" s="308" t="s">
        <v>635</v>
      </c>
      <c r="P3071" s="308" t="s">
        <v>296</v>
      </c>
      <c r="Q3071" s="308"/>
      <c r="R3071" s="308"/>
      <c r="S3071" s="308" t="s">
        <v>81</v>
      </c>
      <c r="T3071" s="308" t="s">
        <v>75</v>
      </c>
      <c r="U3071" s="308"/>
      <c r="V3071" s="312"/>
    </row>
    <row r="3072">
      <c r="A3072" s="308">
        <v>3071.0</v>
      </c>
      <c r="B3072" s="308"/>
      <c r="C3072" s="308" t="s">
        <v>12631</v>
      </c>
      <c r="D3072" s="308">
        <f>IFERROR(__xludf.DUMMYFUNCTION("SPLIT(C3072,""-"")"),3092.0)</f>
        <v>3092</v>
      </c>
      <c r="E3072" s="308" t="str">
        <f>IFERROR(__xludf.DUMMYFUNCTION("""COMPUTED_VALUE"""),"S")</f>
        <v>S</v>
      </c>
      <c r="F3072" s="312" t="s">
        <v>39</v>
      </c>
      <c r="G3072" s="308"/>
      <c r="H3072" s="308" t="s">
        <v>12632</v>
      </c>
      <c r="I3072" s="310">
        <v>42231.0</v>
      </c>
      <c r="J3072" s="319">
        <f>IFERROR(__xludf.DUMMYFUNCTION("SPLIT(I3072,""/"")"),15.0)</f>
        <v>15</v>
      </c>
      <c r="K3072" s="308">
        <f>IFERROR(__xludf.DUMMYFUNCTION("""COMPUTED_VALUE"""),8.0)</f>
        <v>8</v>
      </c>
      <c r="L3072" s="308">
        <f>IFERROR(__xludf.DUMMYFUNCTION("""COMPUTED_VALUE"""),2015.0)</f>
        <v>2015</v>
      </c>
      <c r="M3072" s="308" t="s">
        <v>12630</v>
      </c>
      <c r="N3072" s="308"/>
      <c r="O3072" s="308" t="s">
        <v>635</v>
      </c>
      <c r="P3072" s="308" t="s">
        <v>296</v>
      </c>
      <c r="Q3072" s="308"/>
      <c r="R3072" s="308"/>
      <c r="S3072" s="308" t="s">
        <v>81</v>
      </c>
      <c r="T3072" s="308" t="s">
        <v>75</v>
      </c>
      <c r="U3072" s="308"/>
      <c r="V3072" s="312"/>
    </row>
    <row r="3073">
      <c r="A3073" s="308">
        <v>3072.0</v>
      </c>
      <c r="B3073" s="308"/>
      <c r="C3073" s="308" t="s">
        <v>12633</v>
      </c>
      <c r="D3073" s="308">
        <f>IFERROR(__xludf.DUMMYFUNCTION("SPLIT(C3073,""-"")"),3093.0)</f>
        <v>3093</v>
      </c>
      <c r="E3073" s="308" t="str">
        <f>IFERROR(__xludf.DUMMYFUNCTION("""COMPUTED_VALUE"""),"S")</f>
        <v>S</v>
      </c>
      <c r="F3073" s="312" t="s">
        <v>39</v>
      </c>
      <c r="G3073" s="308"/>
      <c r="H3073" s="308" t="s">
        <v>12634</v>
      </c>
      <c r="I3073" s="310">
        <v>42231.0</v>
      </c>
      <c r="J3073" s="319">
        <f>IFERROR(__xludf.DUMMYFUNCTION("SPLIT(I3073,""/"")"),15.0)</f>
        <v>15</v>
      </c>
      <c r="K3073" s="308">
        <f>IFERROR(__xludf.DUMMYFUNCTION("""COMPUTED_VALUE"""),8.0)</f>
        <v>8</v>
      </c>
      <c r="L3073" s="308">
        <f>IFERROR(__xludf.DUMMYFUNCTION("""COMPUTED_VALUE"""),2015.0)</f>
        <v>2015</v>
      </c>
      <c r="M3073" s="308" t="s">
        <v>12635</v>
      </c>
      <c r="N3073" s="308"/>
      <c r="O3073" s="308"/>
      <c r="P3073" s="308" t="s">
        <v>622</v>
      </c>
      <c r="Q3073" s="308"/>
      <c r="R3073" s="308"/>
      <c r="S3073" s="308" t="s">
        <v>49</v>
      </c>
      <c r="T3073" s="308" t="s">
        <v>34409</v>
      </c>
      <c r="U3073" s="308"/>
      <c r="V3073" s="312"/>
    </row>
    <row r="3074">
      <c r="A3074" s="308">
        <v>3073.0</v>
      </c>
      <c r="B3074" s="308"/>
      <c r="C3074" s="308" t="s">
        <v>12636</v>
      </c>
      <c r="D3074" s="308">
        <f>IFERROR(__xludf.DUMMYFUNCTION("SPLIT(C3074,""-"")"),3094.0)</f>
        <v>3094</v>
      </c>
      <c r="E3074" s="308" t="str">
        <f>IFERROR(__xludf.DUMMYFUNCTION("""COMPUTED_VALUE"""),"K")</f>
        <v>K</v>
      </c>
      <c r="F3074" s="309" t="s">
        <v>34</v>
      </c>
      <c r="G3074" s="308"/>
      <c r="H3074" s="308" t="s">
        <v>12637</v>
      </c>
      <c r="I3074" s="310">
        <v>41219.0</v>
      </c>
      <c r="J3074" s="319">
        <f>IFERROR(__xludf.DUMMYFUNCTION("SPLIT(I3074,""/"")"),6.0)</f>
        <v>6</v>
      </c>
      <c r="K3074" s="308">
        <f>IFERROR(__xludf.DUMMYFUNCTION("""COMPUTED_VALUE"""),11.0)</f>
        <v>11</v>
      </c>
      <c r="L3074" s="308">
        <f>IFERROR(__xludf.DUMMYFUNCTION("""COMPUTED_VALUE"""),2012.0)</f>
        <v>2012</v>
      </c>
      <c r="M3074" s="308" t="s">
        <v>12638</v>
      </c>
      <c r="N3074" s="308"/>
      <c r="O3074" s="308" t="s">
        <v>12639</v>
      </c>
      <c r="P3074" s="308" t="s">
        <v>12640</v>
      </c>
      <c r="Q3074" s="308"/>
      <c r="R3074" s="308"/>
      <c r="S3074" s="308" t="s">
        <v>81</v>
      </c>
      <c r="T3074" s="308" t="s">
        <v>34264</v>
      </c>
      <c r="U3074" s="308" t="s">
        <v>125</v>
      </c>
      <c r="V3074" s="312"/>
    </row>
    <row r="3075">
      <c r="A3075" s="308">
        <v>3074.0</v>
      </c>
      <c r="B3075" s="308"/>
      <c r="C3075" s="308" t="s">
        <v>12641</v>
      </c>
      <c r="D3075" s="308">
        <f>IFERROR(__xludf.DUMMYFUNCTION("SPLIT(C3075,""-"")"),3095.0)</f>
        <v>3095</v>
      </c>
      <c r="E3075" s="308" t="str">
        <f>IFERROR(__xludf.DUMMYFUNCTION("""COMPUTED_VALUE"""),"K")</f>
        <v>K</v>
      </c>
      <c r="F3075" s="309" t="s">
        <v>34</v>
      </c>
      <c r="G3075" s="308"/>
      <c r="H3075" s="308" t="s">
        <v>12642</v>
      </c>
      <c r="I3075" s="314">
        <v>42350.0</v>
      </c>
      <c r="J3075" s="319">
        <f>IFERROR(__xludf.DUMMYFUNCTION("SPLIT(I3075,""/"")"),12.0)</f>
        <v>12</v>
      </c>
      <c r="K3075" s="308">
        <f>IFERROR(__xludf.DUMMYFUNCTION("""COMPUTED_VALUE"""),12.0)</f>
        <v>12</v>
      </c>
      <c r="L3075" s="308">
        <f>IFERROR(__xludf.DUMMYFUNCTION("""COMPUTED_VALUE"""),2015.0)</f>
        <v>2015</v>
      </c>
      <c r="M3075" s="308" t="s">
        <v>12643</v>
      </c>
      <c r="N3075" s="308"/>
      <c r="O3075" s="308" t="s">
        <v>635</v>
      </c>
      <c r="P3075" s="308" t="s">
        <v>12644</v>
      </c>
      <c r="Q3075" s="308"/>
      <c r="R3075" s="308"/>
      <c r="S3075" s="308" t="s">
        <v>81</v>
      </c>
      <c r="T3075" s="308" t="s">
        <v>75</v>
      </c>
      <c r="U3075" s="308"/>
      <c r="V3075" s="312"/>
    </row>
    <row r="3076">
      <c r="A3076" s="308">
        <v>3075.0</v>
      </c>
      <c r="B3076" s="308"/>
      <c r="C3076" s="308" t="s">
        <v>12645</v>
      </c>
      <c r="D3076" s="308">
        <f>IFERROR(__xludf.DUMMYFUNCTION("SPLIT(C3076,""-"")"),3096.0)</f>
        <v>3096</v>
      </c>
      <c r="E3076" s="308" t="str">
        <f>IFERROR(__xludf.DUMMYFUNCTION("""COMPUTED_VALUE"""),"K")</f>
        <v>K</v>
      </c>
      <c r="F3076" s="309" t="s">
        <v>34</v>
      </c>
      <c r="G3076" s="308"/>
      <c r="H3076" s="308" t="s">
        <v>12646</v>
      </c>
      <c r="I3076" s="310">
        <v>42101.0</v>
      </c>
      <c r="J3076" s="319">
        <f>IFERROR(__xludf.DUMMYFUNCTION("SPLIT(I3076,""/"")"),7.0)</f>
        <v>7</v>
      </c>
      <c r="K3076" s="308">
        <f>IFERROR(__xludf.DUMMYFUNCTION("""COMPUTED_VALUE"""),4.0)</f>
        <v>4</v>
      </c>
      <c r="L3076" s="308">
        <f>IFERROR(__xludf.DUMMYFUNCTION("""COMPUTED_VALUE"""),2015.0)</f>
        <v>2015</v>
      </c>
      <c r="M3076" s="308" t="s">
        <v>12643</v>
      </c>
      <c r="N3076" s="308"/>
      <c r="O3076" s="308" t="s">
        <v>12647</v>
      </c>
      <c r="P3076" s="308" t="s">
        <v>36860</v>
      </c>
      <c r="Q3076" s="308"/>
      <c r="R3076" s="308"/>
      <c r="S3076" s="308" t="s">
        <v>49</v>
      </c>
      <c r="T3076" s="308" t="s">
        <v>51</v>
      </c>
      <c r="U3076" s="308" t="s">
        <v>368</v>
      </c>
      <c r="V3076" s="312"/>
    </row>
    <row r="3077">
      <c r="A3077" s="308">
        <v>3076.0</v>
      </c>
      <c r="B3077" s="308"/>
      <c r="C3077" s="308" t="s">
        <v>12649</v>
      </c>
      <c r="D3077" s="308">
        <f>IFERROR(__xludf.DUMMYFUNCTION("SPLIT(C3077,""-"")"),3097.0)</f>
        <v>3097</v>
      </c>
      <c r="E3077" s="308" t="str">
        <f>IFERROR(__xludf.DUMMYFUNCTION("""COMPUTED_VALUE"""),"P")</f>
        <v>P</v>
      </c>
      <c r="F3077" s="312" t="s">
        <v>37</v>
      </c>
      <c r="G3077" s="308"/>
      <c r="H3077" s="308" t="s">
        <v>12650</v>
      </c>
      <c r="I3077" s="314">
        <v>42361.0</v>
      </c>
      <c r="J3077" s="319">
        <f>IFERROR(__xludf.DUMMYFUNCTION("SPLIT(I3077,""/"")"),23.0)</f>
        <v>23</v>
      </c>
      <c r="K3077" s="308">
        <f>IFERROR(__xludf.DUMMYFUNCTION("""COMPUTED_VALUE"""),12.0)</f>
        <v>12</v>
      </c>
      <c r="L3077" s="308">
        <f>IFERROR(__xludf.DUMMYFUNCTION("""COMPUTED_VALUE"""),2015.0)</f>
        <v>2015</v>
      </c>
      <c r="M3077" s="308" t="s">
        <v>12651</v>
      </c>
      <c r="N3077" s="308"/>
      <c r="O3077" s="308" t="s">
        <v>635</v>
      </c>
      <c r="P3077" s="308" t="s">
        <v>36861</v>
      </c>
      <c r="Q3077" s="308"/>
      <c r="R3077" s="308"/>
      <c r="S3077" s="308" t="s">
        <v>81</v>
      </c>
      <c r="T3077" s="308" t="s">
        <v>75</v>
      </c>
      <c r="U3077" s="308"/>
      <c r="V3077" s="312"/>
    </row>
    <row r="3078">
      <c r="A3078" s="308">
        <v>3077.0</v>
      </c>
      <c r="B3078" s="308"/>
      <c r="C3078" s="308" t="s">
        <v>12653</v>
      </c>
      <c r="D3078" s="308">
        <f>IFERROR(__xludf.DUMMYFUNCTION("SPLIT(C3078,""-"")"),3098.0)</f>
        <v>3098</v>
      </c>
      <c r="E3078" s="308" t="str">
        <f>IFERROR(__xludf.DUMMYFUNCTION("""COMPUTED_VALUE"""),"P")</f>
        <v>P</v>
      </c>
      <c r="F3078" s="312" t="s">
        <v>37</v>
      </c>
      <c r="G3078" s="308"/>
      <c r="H3078" s="308" t="s">
        <v>12654</v>
      </c>
      <c r="I3078" s="310">
        <v>42402.0</v>
      </c>
      <c r="J3078" s="319">
        <f>IFERROR(__xludf.DUMMYFUNCTION("SPLIT(I3078,""/"")"),2.0)</f>
        <v>2</v>
      </c>
      <c r="K3078" s="308">
        <f>IFERROR(__xludf.DUMMYFUNCTION("""COMPUTED_VALUE"""),2.0)</f>
        <v>2</v>
      </c>
      <c r="L3078" s="308">
        <f>IFERROR(__xludf.DUMMYFUNCTION("""COMPUTED_VALUE"""),2016.0)</f>
        <v>2016</v>
      </c>
      <c r="M3078" s="308" t="s">
        <v>12655</v>
      </c>
      <c r="N3078" s="308"/>
      <c r="O3078" s="308" t="s">
        <v>12656</v>
      </c>
      <c r="P3078" s="308" t="s">
        <v>4736</v>
      </c>
      <c r="Q3078" s="308"/>
      <c r="R3078" s="308"/>
      <c r="S3078" s="308" t="s">
        <v>81</v>
      </c>
      <c r="T3078" s="308" t="s">
        <v>98</v>
      </c>
      <c r="U3078" s="308" t="s">
        <v>143</v>
      </c>
      <c r="V3078" s="312"/>
    </row>
    <row r="3079">
      <c r="A3079" s="308">
        <v>3078.0</v>
      </c>
      <c r="B3079" s="308"/>
      <c r="C3079" s="308" t="s">
        <v>12657</v>
      </c>
      <c r="D3079" s="308">
        <f>IFERROR(__xludf.DUMMYFUNCTION("SPLIT(C3079,""-"")"),3099.0)</f>
        <v>3099</v>
      </c>
      <c r="E3079" s="308" t="str">
        <f>IFERROR(__xludf.DUMMYFUNCTION("""COMPUTED_VALUE"""),"I")</f>
        <v>I</v>
      </c>
      <c r="F3079" s="309" t="s">
        <v>31</v>
      </c>
      <c r="G3079" s="308"/>
      <c r="H3079" s="308" t="s">
        <v>12658</v>
      </c>
      <c r="I3079" s="310">
        <v>41731.0</v>
      </c>
      <c r="J3079" s="319">
        <f>IFERROR(__xludf.DUMMYFUNCTION("SPLIT(I3079,""/"")"),2.0)</f>
        <v>2</v>
      </c>
      <c r="K3079" s="308">
        <f>IFERROR(__xludf.DUMMYFUNCTION("""COMPUTED_VALUE"""),4.0)</f>
        <v>4</v>
      </c>
      <c r="L3079" s="308">
        <f>IFERROR(__xludf.DUMMYFUNCTION("""COMPUTED_VALUE"""),2014.0)</f>
        <v>2014</v>
      </c>
      <c r="M3079" s="308" t="s">
        <v>12659</v>
      </c>
      <c r="N3079" s="308"/>
      <c r="O3079" s="308" t="s">
        <v>12660</v>
      </c>
      <c r="P3079" s="308" t="s">
        <v>12661</v>
      </c>
      <c r="Q3079" s="308"/>
      <c r="R3079" s="308"/>
      <c r="S3079" s="308" t="s">
        <v>49</v>
      </c>
      <c r="T3079" s="311" t="s">
        <v>55</v>
      </c>
      <c r="U3079" s="308"/>
      <c r="V3079" s="312"/>
    </row>
    <row r="3080">
      <c r="A3080" s="308">
        <v>3079.0</v>
      </c>
      <c r="B3080" s="308"/>
      <c r="C3080" s="308" t="s">
        <v>12662</v>
      </c>
      <c r="D3080" s="308">
        <f>IFERROR(__xludf.DUMMYFUNCTION("SPLIT(C3080,""-"")"),3100.0)</f>
        <v>3100</v>
      </c>
      <c r="E3080" s="308" t="str">
        <f>IFERROR(__xludf.DUMMYFUNCTION("""COMPUTED_VALUE"""),"K")</f>
        <v>K</v>
      </c>
      <c r="F3080" s="309" t="s">
        <v>34</v>
      </c>
      <c r="G3080" s="308"/>
      <c r="H3080" s="308" t="s">
        <v>36862</v>
      </c>
      <c r="I3080" s="310">
        <v>42271.0</v>
      </c>
      <c r="J3080" s="319">
        <f>IFERROR(__xludf.DUMMYFUNCTION("SPLIT(I3080,""/"")"),24.0)</f>
        <v>24</v>
      </c>
      <c r="K3080" s="308">
        <f>IFERROR(__xludf.DUMMYFUNCTION("""COMPUTED_VALUE"""),9.0)</f>
        <v>9</v>
      </c>
      <c r="L3080" s="308">
        <f>IFERROR(__xludf.DUMMYFUNCTION("""COMPUTED_VALUE"""),2015.0)</f>
        <v>2015</v>
      </c>
      <c r="M3080" s="308" t="s">
        <v>12664</v>
      </c>
      <c r="N3080" s="308"/>
      <c r="O3080" s="308" t="s">
        <v>12665</v>
      </c>
      <c r="P3080" s="308" t="s">
        <v>12666</v>
      </c>
      <c r="Q3080" s="308"/>
      <c r="R3080" s="308"/>
      <c r="S3080" s="308" t="s">
        <v>81</v>
      </c>
      <c r="T3080" s="308" t="s">
        <v>75</v>
      </c>
      <c r="U3080" s="308"/>
      <c r="V3080" s="312"/>
    </row>
    <row r="3081">
      <c r="A3081" s="308">
        <v>3080.0</v>
      </c>
      <c r="B3081" s="308"/>
      <c r="C3081" s="308" t="s">
        <v>12667</v>
      </c>
      <c r="D3081" s="308">
        <f>IFERROR(__xludf.DUMMYFUNCTION("SPLIT(C3081,""-"")"),3101.0)</f>
        <v>3101</v>
      </c>
      <c r="E3081" s="308" t="str">
        <f>IFERROR(__xludf.DUMMYFUNCTION("""COMPUTED_VALUE"""),"K")</f>
        <v>K</v>
      </c>
      <c r="F3081" s="309" t="s">
        <v>34</v>
      </c>
      <c r="G3081" s="308"/>
      <c r="H3081" s="308" t="s">
        <v>12668</v>
      </c>
      <c r="I3081" s="310">
        <v>42271.0</v>
      </c>
      <c r="J3081" s="319">
        <f>IFERROR(__xludf.DUMMYFUNCTION("SPLIT(I3081,""/"")"),24.0)</f>
        <v>24</v>
      </c>
      <c r="K3081" s="308">
        <f>IFERROR(__xludf.DUMMYFUNCTION("""COMPUTED_VALUE"""),9.0)</f>
        <v>9</v>
      </c>
      <c r="L3081" s="308">
        <f>IFERROR(__xludf.DUMMYFUNCTION("""COMPUTED_VALUE"""),2015.0)</f>
        <v>2015</v>
      </c>
      <c r="M3081" s="308" t="s">
        <v>36863</v>
      </c>
      <c r="N3081" s="308"/>
      <c r="O3081" s="308" t="s">
        <v>12670</v>
      </c>
      <c r="P3081" s="308" t="s">
        <v>12671</v>
      </c>
      <c r="Q3081" s="308"/>
      <c r="R3081" s="308"/>
      <c r="S3081" s="308" t="s">
        <v>81</v>
      </c>
      <c r="T3081" s="308" t="s">
        <v>34264</v>
      </c>
      <c r="U3081" s="308" t="s">
        <v>2989</v>
      </c>
      <c r="V3081" s="312"/>
    </row>
    <row r="3082">
      <c r="A3082" s="308">
        <v>3081.0</v>
      </c>
      <c r="B3082" s="308"/>
      <c r="C3082" s="308" t="s">
        <v>12672</v>
      </c>
      <c r="D3082" s="308">
        <f>IFERROR(__xludf.DUMMYFUNCTION("SPLIT(C3082,""-"")"),3102.0)</f>
        <v>3102</v>
      </c>
      <c r="E3082" s="308" t="str">
        <f>IFERROR(__xludf.DUMMYFUNCTION("""COMPUTED_VALUE"""),"B")</f>
        <v>B</v>
      </c>
      <c r="F3082" s="315" t="s">
        <v>26</v>
      </c>
      <c r="G3082" s="308"/>
      <c r="H3082" s="308" t="s">
        <v>12673</v>
      </c>
      <c r="I3082" s="310">
        <v>42388.0</v>
      </c>
      <c r="J3082" s="319">
        <f>IFERROR(__xludf.DUMMYFUNCTION("SPLIT(I3082,""/"")"),19.0)</f>
        <v>19</v>
      </c>
      <c r="K3082" s="308">
        <f>IFERROR(__xludf.DUMMYFUNCTION("""COMPUTED_VALUE"""),1.0)</f>
        <v>1</v>
      </c>
      <c r="L3082" s="308">
        <f>IFERROR(__xludf.DUMMYFUNCTION("""COMPUTED_VALUE"""),2016.0)</f>
        <v>2016</v>
      </c>
      <c r="M3082" s="308" t="s">
        <v>12674</v>
      </c>
      <c r="N3082" s="308"/>
      <c r="O3082" s="308"/>
      <c r="P3082" s="308" t="s">
        <v>2355</v>
      </c>
      <c r="Q3082" s="308"/>
      <c r="R3082" s="308"/>
      <c r="S3082" s="311" t="s">
        <v>49</v>
      </c>
      <c r="T3082" s="309" t="s">
        <v>77</v>
      </c>
      <c r="U3082" s="312"/>
      <c r="V3082" s="312"/>
    </row>
    <row r="3083">
      <c r="A3083" s="308">
        <v>3082.0</v>
      </c>
      <c r="B3083" s="308"/>
      <c r="C3083" s="308" t="s">
        <v>12675</v>
      </c>
      <c r="D3083" s="308">
        <f>IFERROR(__xludf.DUMMYFUNCTION("SPLIT(C3083,""-"")"),3103.0)</f>
        <v>3103</v>
      </c>
      <c r="E3083" s="308" t="str">
        <f>IFERROR(__xludf.DUMMYFUNCTION("""COMPUTED_VALUE"""),"I")</f>
        <v>I</v>
      </c>
      <c r="F3083" s="309" t="s">
        <v>31</v>
      </c>
      <c r="G3083" s="308"/>
      <c r="H3083" s="308" t="s">
        <v>12676</v>
      </c>
      <c r="I3083" s="310">
        <v>42417.0</v>
      </c>
      <c r="J3083" s="319">
        <f>IFERROR(__xludf.DUMMYFUNCTION("SPLIT(I3083,""/"")"),17.0)</f>
        <v>17</v>
      </c>
      <c r="K3083" s="308">
        <f>IFERROR(__xludf.DUMMYFUNCTION("""COMPUTED_VALUE"""),2.0)</f>
        <v>2</v>
      </c>
      <c r="L3083" s="308">
        <f>IFERROR(__xludf.DUMMYFUNCTION("""COMPUTED_VALUE"""),2016.0)</f>
        <v>2016</v>
      </c>
      <c r="M3083" s="308" t="s">
        <v>12677</v>
      </c>
      <c r="N3083" s="308"/>
      <c r="O3083" s="308" t="s">
        <v>12678</v>
      </c>
      <c r="P3083" s="308" t="s">
        <v>296</v>
      </c>
      <c r="Q3083" s="308"/>
      <c r="R3083" s="308"/>
      <c r="S3083" s="308" t="s">
        <v>81</v>
      </c>
      <c r="T3083" s="308" t="s">
        <v>75</v>
      </c>
      <c r="U3083" s="308"/>
      <c r="V3083" s="312"/>
    </row>
    <row r="3084">
      <c r="A3084" s="308">
        <v>3083.0</v>
      </c>
      <c r="B3084" s="308"/>
      <c r="C3084" s="308" t="s">
        <v>12679</v>
      </c>
      <c r="D3084" s="308">
        <f>IFERROR(__xludf.DUMMYFUNCTION("SPLIT(C3084,""-"")"),3104.0)</f>
        <v>3104</v>
      </c>
      <c r="E3084" s="308" t="str">
        <f>IFERROR(__xludf.DUMMYFUNCTION("""COMPUTED_VALUE"""),"S")</f>
        <v>S</v>
      </c>
      <c r="F3084" s="312" t="s">
        <v>39</v>
      </c>
      <c r="G3084" s="308"/>
      <c r="H3084" s="308" t="s">
        <v>12680</v>
      </c>
      <c r="I3084" s="310">
        <v>42224.0</v>
      </c>
      <c r="J3084" s="319">
        <f>IFERROR(__xludf.DUMMYFUNCTION("SPLIT(I3084,""/"")"),8.0)</f>
        <v>8</v>
      </c>
      <c r="K3084" s="308">
        <f>IFERROR(__xludf.DUMMYFUNCTION("""COMPUTED_VALUE"""),8.0)</f>
        <v>8</v>
      </c>
      <c r="L3084" s="308">
        <f>IFERROR(__xludf.DUMMYFUNCTION("""COMPUTED_VALUE"""),2015.0)</f>
        <v>2015</v>
      </c>
      <c r="M3084" s="308" t="s">
        <v>12681</v>
      </c>
      <c r="N3084" s="308"/>
      <c r="O3084" s="308"/>
      <c r="P3084" s="308" t="s">
        <v>11452</v>
      </c>
      <c r="Q3084" s="308"/>
      <c r="R3084" s="308"/>
      <c r="S3084" s="308" t="s">
        <v>81</v>
      </c>
      <c r="T3084" s="311" t="s">
        <v>73</v>
      </c>
      <c r="U3084" s="308"/>
      <c r="V3084" s="312"/>
    </row>
    <row r="3085">
      <c r="A3085" s="308">
        <v>3084.0</v>
      </c>
      <c r="B3085" s="308"/>
      <c r="C3085" s="308" t="s">
        <v>12682</v>
      </c>
      <c r="D3085" s="308">
        <f>IFERROR(__xludf.DUMMYFUNCTION("SPLIT(C3085,""-"")"),3105.0)</f>
        <v>3105</v>
      </c>
      <c r="E3085" s="308" t="str">
        <f>IFERROR(__xludf.DUMMYFUNCTION("""COMPUTED_VALUE"""),"P")</f>
        <v>P</v>
      </c>
      <c r="F3085" s="312" t="s">
        <v>37</v>
      </c>
      <c r="G3085" s="308"/>
      <c r="H3085" s="308" t="s">
        <v>12683</v>
      </c>
      <c r="I3085" s="314">
        <v>42292.0</v>
      </c>
      <c r="J3085" s="319">
        <f>IFERROR(__xludf.DUMMYFUNCTION("SPLIT(I3085,""/"")"),15.0)</f>
        <v>15</v>
      </c>
      <c r="K3085" s="308">
        <f>IFERROR(__xludf.DUMMYFUNCTION("""COMPUTED_VALUE"""),10.0)</f>
        <v>10</v>
      </c>
      <c r="L3085" s="308">
        <f>IFERROR(__xludf.DUMMYFUNCTION("""COMPUTED_VALUE"""),2015.0)</f>
        <v>2015</v>
      </c>
      <c r="M3085" s="308" t="s">
        <v>12684</v>
      </c>
      <c r="N3085" s="308"/>
      <c r="O3085" s="308" t="s">
        <v>12685</v>
      </c>
      <c r="P3085" s="308" t="s">
        <v>36864</v>
      </c>
      <c r="Q3085" s="308"/>
      <c r="R3085" s="308"/>
      <c r="S3085" s="308" t="s">
        <v>81</v>
      </c>
      <c r="T3085" s="308" t="s">
        <v>75</v>
      </c>
      <c r="U3085" s="308" t="s">
        <v>149</v>
      </c>
      <c r="V3085" s="312"/>
    </row>
    <row r="3086">
      <c r="A3086" s="308">
        <v>3085.0</v>
      </c>
      <c r="B3086" s="308"/>
      <c r="C3086" s="308" t="s">
        <v>12687</v>
      </c>
      <c r="D3086" s="308" t="str">
        <f>IFERROR(__xludf.DUMMYFUNCTION("SPLIT(C3086,""-"")"),"#REF!")</f>
        <v>#REF!</v>
      </c>
      <c r="E3086" s="311"/>
      <c r="F3086" s="309" t="s">
        <v>31</v>
      </c>
      <c r="G3086" s="308"/>
      <c r="H3086" s="308" t="s">
        <v>12688</v>
      </c>
      <c r="I3086" s="310">
        <v>42166.0</v>
      </c>
      <c r="J3086" s="319">
        <f>IFERROR(__xludf.DUMMYFUNCTION("SPLIT(I3086,""/"")"),11.0)</f>
        <v>11</v>
      </c>
      <c r="K3086" s="308">
        <f>IFERROR(__xludf.DUMMYFUNCTION("""COMPUTED_VALUE"""),6.0)</f>
        <v>6</v>
      </c>
      <c r="L3086" s="308">
        <f>IFERROR(__xludf.DUMMYFUNCTION("""COMPUTED_VALUE"""),2015.0)</f>
        <v>2015</v>
      </c>
      <c r="M3086" s="308" t="s">
        <v>12689</v>
      </c>
      <c r="N3086" s="308" t="s">
        <v>12690</v>
      </c>
      <c r="O3086" s="308" t="s">
        <v>12691</v>
      </c>
      <c r="P3086" s="308" t="s">
        <v>36724</v>
      </c>
      <c r="Q3086" s="308"/>
      <c r="R3086" s="308"/>
      <c r="S3086" s="315" t="s">
        <v>100</v>
      </c>
      <c r="T3086" s="311" t="s">
        <v>34208</v>
      </c>
      <c r="U3086" s="308" t="s">
        <v>31</v>
      </c>
      <c r="V3086" s="312"/>
    </row>
    <row r="3087">
      <c r="A3087" s="308">
        <v>3086.0</v>
      </c>
      <c r="B3087" s="308"/>
      <c r="C3087" s="308" t="s">
        <v>12692</v>
      </c>
      <c r="D3087" s="308">
        <f>IFERROR(__xludf.DUMMYFUNCTION("SPLIT(C3087,""-"")"),3107.0)</f>
        <v>3107</v>
      </c>
      <c r="E3087" s="308" t="str">
        <f>IFERROR(__xludf.DUMMYFUNCTION("""COMPUTED_VALUE"""),"P")</f>
        <v>P</v>
      </c>
      <c r="F3087" s="312" t="s">
        <v>37</v>
      </c>
      <c r="G3087" s="308"/>
      <c r="H3087" s="308" t="s">
        <v>12693</v>
      </c>
      <c r="I3087" s="314">
        <v>42367.0</v>
      </c>
      <c r="J3087" s="319">
        <f>IFERROR(__xludf.DUMMYFUNCTION("SPLIT(I3087,""/"")"),29.0)</f>
        <v>29</v>
      </c>
      <c r="K3087" s="308">
        <f>IFERROR(__xludf.DUMMYFUNCTION("""COMPUTED_VALUE"""),12.0)</f>
        <v>12</v>
      </c>
      <c r="L3087" s="308">
        <f>IFERROR(__xludf.DUMMYFUNCTION("""COMPUTED_VALUE"""),2015.0)</f>
        <v>2015</v>
      </c>
      <c r="M3087" s="308" t="s">
        <v>12694</v>
      </c>
      <c r="N3087" s="308"/>
      <c r="O3087" s="308" t="s">
        <v>635</v>
      </c>
      <c r="P3087" s="308" t="s">
        <v>12695</v>
      </c>
      <c r="Q3087" s="308"/>
      <c r="R3087" s="308"/>
      <c r="S3087" s="308" t="s">
        <v>81</v>
      </c>
      <c r="T3087" s="311" t="s">
        <v>96</v>
      </c>
      <c r="U3087" s="308"/>
      <c r="V3087" s="312"/>
    </row>
    <row r="3088">
      <c r="A3088" s="308">
        <v>3087.0</v>
      </c>
      <c r="B3088" s="308"/>
      <c r="C3088" s="308" t="s">
        <v>12696</v>
      </c>
      <c r="D3088" s="308">
        <f>IFERROR(__xludf.DUMMYFUNCTION("SPLIT(C3088,""-"")"),3108.0)</f>
        <v>3108</v>
      </c>
      <c r="E3088" s="308" t="str">
        <f>IFERROR(__xludf.DUMMYFUNCTION("""COMPUTED_VALUE"""),"P")</f>
        <v>P</v>
      </c>
      <c r="F3088" s="312" t="s">
        <v>37</v>
      </c>
      <c r="G3088" s="308"/>
      <c r="H3088" s="308" t="s">
        <v>12697</v>
      </c>
      <c r="I3088" s="310">
        <v>42400.0</v>
      </c>
      <c r="J3088" s="319">
        <f>IFERROR(__xludf.DUMMYFUNCTION("SPLIT(I3088,""/"")"),31.0)</f>
        <v>31</v>
      </c>
      <c r="K3088" s="308">
        <f>IFERROR(__xludf.DUMMYFUNCTION("""COMPUTED_VALUE"""),1.0)</f>
        <v>1</v>
      </c>
      <c r="L3088" s="308">
        <f>IFERROR(__xludf.DUMMYFUNCTION("""COMPUTED_VALUE"""),2016.0)</f>
        <v>2016</v>
      </c>
      <c r="M3088" s="308" t="s">
        <v>36865</v>
      </c>
      <c r="N3088" s="308"/>
      <c r="O3088" s="308" t="s">
        <v>12699</v>
      </c>
      <c r="P3088" s="308" t="s">
        <v>36866</v>
      </c>
      <c r="Q3088" s="308"/>
      <c r="R3088" s="308"/>
      <c r="S3088" s="308" t="s">
        <v>81</v>
      </c>
      <c r="T3088" s="308" t="s">
        <v>75</v>
      </c>
      <c r="U3088" s="308" t="s">
        <v>2291</v>
      </c>
      <c r="V3088" s="312"/>
    </row>
    <row r="3089">
      <c r="A3089" s="308">
        <v>3088.0</v>
      </c>
      <c r="B3089" s="308"/>
      <c r="C3089" s="308" t="s">
        <v>12701</v>
      </c>
      <c r="D3089" s="308">
        <f>IFERROR(__xludf.DUMMYFUNCTION("SPLIT(C3089,""-"")"),3109.0)</f>
        <v>3109</v>
      </c>
      <c r="E3089" s="308" t="str">
        <f>IFERROR(__xludf.DUMMYFUNCTION("""COMPUTED_VALUE"""),"P")</f>
        <v>P</v>
      </c>
      <c r="F3089" s="312" t="s">
        <v>37</v>
      </c>
      <c r="G3089" s="308"/>
      <c r="H3089" s="308" t="s">
        <v>12702</v>
      </c>
      <c r="I3089" s="310">
        <v>42389.0</v>
      </c>
      <c r="J3089" s="319">
        <f>IFERROR(__xludf.DUMMYFUNCTION("SPLIT(I3089,""/"")"),20.0)</f>
        <v>20</v>
      </c>
      <c r="K3089" s="308">
        <f>IFERROR(__xludf.DUMMYFUNCTION("""COMPUTED_VALUE"""),1.0)</f>
        <v>1</v>
      </c>
      <c r="L3089" s="308">
        <f>IFERROR(__xludf.DUMMYFUNCTION("""COMPUTED_VALUE"""),2016.0)</f>
        <v>2016</v>
      </c>
      <c r="M3089" s="308" t="s">
        <v>12703</v>
      </c>
      <c r="N3089" s="308"/>
      <c r="O3089" s="308" t="s">
        <v>635</v>
      </c>
      <c r="P3089" s="308" t="s">
        <v>12704</v>
      </c>
      <c r="Q3089" s="308"/>
      <c r="R3089" s="308"/>
      <c r="S3089" s="308" t="s">
        <v>81</v>
      </c>
      <c r="T3089" s="308" t="s">
        <v>73</v>
      </c>
      <c r="U3089" s="308"/>
      <c r="V3089" s="312"/>
    </row>
    <row r="3090">
      <c r="A3090" s="308">
        <v>3089.0</v>
      </c>
      <c r="B3090" s="308"/>
      <c r="C3090" s="308" t="s">
        <v>12705</v>
      </c>
      <c r="D3090" s="308">
        <f>IFERROR(__xludf.DUMMYFUNCTION("SPLIT(C3090,""-"")"),3110.0)</f>
        <v>3110</v>
      </c>
      <c r="E3090" s="308" t="str">
        <f>IFERROR(__xludf.DUMMYFUNCTION("""COMPUTED_VALUE"""),"P")</f>
        <v>P</v>
      </c>
      <c r="F3090" s="312" t="s">
        <v>37</v>
      </c>
      <c r="G3090" s="308"/>
      <c r="H3090" s="308" t="s">
        <v>12706</v>
      </c>
      <c r="I3090" s="310">
        <v>42389.0</v>
      </c>
      <c r="J3090" s="319">
        <f>IFERROR(__xludf.DUMMYFUNCTION("SPLIT(I3090,""/"")"),20.0)</f>
        <v>20</v>
      </c>
      <c r="K3090" s="308">
        <f>IFERROR(__xludf.DUMMYFUNCTION("""COMPUTED_VALUE"""),1.0)</f>
        <v>1</v>
      </c>
      <c r="L3090" s="308">
        <f>IFERROR(__xludf.DUMMYFUNCTION("""COMPUTED_VALUE"""),2016.0)</f>
        <v>2016</v>
      </c>
      <c r="M3090" s="308" t="s">
        <v>12703</v>
      </c>
      <c r="N3090" s="308"/>
      <c r="O3090" s="308" t="s">
        <v>635</v>
      </c>
      <c r="P3090" s="308" t="s">
        <v>12704</v>
      </c>
      <c r="Q3090" s="308"/>
      <c r="R3090" s="308"/>
      <c r="S3090" s="308" t="s">
        <v>81</v>
      </c>
      <c r="T3090" s="308" t="s">
        <v>73</v>
      </c>
      <c r="U3090" s="308"/>
      <c r="V3090" s="312"/>
    </row>
    <row r="3091">
      <c r="A3091" s="308">
        <v>3090.0</v>
      </c>
      <c r="B3091" s="308"/>
      <c r="C3091" s="308" t="s">
        <v>12707</v>
      </c>
      <c r="D3091" s="308">
        <f>IFERROR(__xludf.DUMMYFUNCTION("SPLIT(C3091,""-"")"),3111.0)</f>
        <v>3111</v>
      </c>
      <c r="E3091" s="308" t="str">
        <f>IFERROR(__xludf.DUMMYFUNCTION("""COMPUTED_VALUE"""),"S")</f>
        <v>S</v>
      </c>
      <c r="F3091" s="312" t="s">
        <v>39</v>
      </c>
      <c r="G3091" s="308"/>
      <c r="H3091" s="308" t="s">
        <v>12708</v>
      </c>
      <c r="I3091" s="310">
        <v>41791.0</v>
      </c>
      <c r="J3091" s="319">
        <f>IFERROR(__xludf.DUMMYFUNCTION("SPLIT(I3091,""/"")"),1.0)</f>
        <v>1</v>
      </c>
      <c r="K3091" s="308">
        <f>IFERROR(__xludf.DUMMYFUNCTION("""COMPUTED_VALUE"""),6.0)</f>
        <v>6</v>
      </c>
      <c r="L3091" s="308">
        <f>IFERROR(__xludf.DUMMYFUNCTION("""COMPUTED_VALUE"""),2014.0)</f>
        <v>2014</v>
      </c>
      <c r="M3091" s="308" t="s">
        <v>12709</v>
      </c>
      <c r="N3091" s="308"/>
      <c r="O3091" s="308" t="s">
        <v>12710</v>
      </c>
      <c r="P3091" s="308" t="s">
        <v>12711</v>
      </c>
      <c r="Q3091" s="308"/>
      <c r="R3091" s="308"/>
      <c r="S3091" s="308" t="s">
        <v>81</v>
      </c>
      <c r="T3091" s="308" t="s">
        <v>75</v>
      </c>
      <c r="U3091" s="308" t="s">
        <v>166</v>
      </c>
      <c r="V3091" s="312"/>
    </row>
    <row r="3092">
      <c r="A3092" s="308">
        <v>3091.0</v>
      </c>
      <c r="B3092" s="308"/>
      <c r="C3092" s="308" t="s">
        <v>12712</v>
      </c>
      <c r="D3092" s="308">
        <f>IFERROR(__xludf.DUMMYFUNCTION("SPLIT(C3092,""-"")"),3112.0)</f>
        <v>3112</v>
      </c>
      <c r="E3092" s="308" t="str">
        <f>IFERROR(__xludf.DUMMYFUNCTION("""COMPUTED_VALUE"""),"S")</f>
        <v>S</v>
      </c>
      <c r="F3092" s="312" t="s">
        <v>39</v>
      </c>
      <c r="G3092" s="308"/>
      <c r="H3092" s="308" t="s">
        <v>12713</v>
      </c>
      <c r="I3092" s="310">
        <v>41791.0</v>
      </c>
      <c r="J3092" s="319">
        <f>IFERROR(__xludf.DUMMYFUNCTION("SPLIT(I3092,""/"")"),1.0)</f>
        <v>1</v>
      </c>
      <c r="K3092" s="308">
        <f>IFERROR(__xludf.DUMMYFUNCTION("""COMPUTED_VALUE"""),6.0)</f>
        <v>6</v>
      </c>
      <c r="L3092" s="308">
        <f>IFERROR(__xludf.DUMMYFUNCTION("""COMPUTED_VALUE"""),2014.0)</f>
        <v>2014</v>
      </c>
      <c r="M3092" s="308" t="s">
        <v>12714</v>
      </c>
      <c r="N3092" s="308"/>
      <c r="O3092" s="308" t="s">
        <v>12710</v>
      </c>
      <c r="P3092" s="308" t="s">
        <v>36867</v>
      </c>
      <c r="Q3092" s="308"/>
      <c r="R3092" s="308"/>
      <c r="S3092" s="308" t="s">
        <v>81</v>
      </c>
      <c r="T3092" s="308" t="s">
        <v>75</v>
      </c>
      <c r="U3092" s="312"/>
      <c r="V3092" s="312"/>
    </row>
    <row r="3093">
      <c r="A3093" s="308">
        <v>3092.0</v>
      </c>
      <c r="B3093" s="308"/>
      <c r="C3093" s="308" t="s">
        <v>12716</v>
      </c>
      <c r="D3093" s="308">
        <f>IFERROR(__xludf.DUMMYFUNCTION("SPLIT(C3093,""-"")"),3113.0)</f>
        <v>3113</v>
      </c>
      <c r="E3093" s="308" t="str">
        <f>IFERROR(__xludf.DUMMYFUNCTION("""COMPUTED_VALUE"""),"S")</f>
        <v>S</v>
      </c>
      <c r="F3093" s="312" t="s">
        <v>39</v>
      </c>
      <c r="G3093" s="308"/>
      <c r="H3093" s="308" t="s">
        <v>12717</v>
      </c>
      <c r="I3093" s="310">
        <v>42267.0</v>
      </c>
      <c r="J3093" s="319">
        <f>IFERROR(__xludf.DUMMYFUNCTION("SPLIT(I3093,""/"")"),20.0)</f>
        <v>20</v>
      </c>
      <c r="K3093" s="308">
        <f>IFERROR(__xludf.DUMMYFUNCTION("""COMPUTED_VALUE"""),9.0)</f>
        <v>9</v>
      </c>
      <c r="L3093" s="308">
        <f>IFERROR(__xludf.DUMMYFUNCTION("""COMPUTED_VALUE"""),2015.0)</f>
        <v>2015</v>
      </c>
      <c r="M3093" s="308" t="s">
        <v>12718</v>
      </c>
      <c r="N3093" s="308"/>
      <c r="O3093" s="308" t="s">
        <v>12719</v>
      </c>
      <c r="P3093" s="308" t="s">
        <v>36868</v>
      </c>
      <c r="Q3093" s="308"/>
      <c r="R3093" s="308"/>
      <c r="S3093" s="308" t="s">
        <v>81</v>
      </c>
      <c r="T3093" s="308" t="s">
        <v>75</v>
      </c>
      <c r="U3093" s="312"/>
      <c r="V3093" s="312"/>
    </row>
    <row r="3094">
      <c r="A3094" s="308">
        <v>3093.0</v>
      </c>
      <c r="B3094" s="308"/>
      <c r="C3094" s="308" t="s">
        <v>12721</v>
      </c>
      <c r="D3094" s="308">
        <f>IFERROR(__xludf.DUMMYFUNCTION("SPLIT(C3094,""-"")"),3114.0)</f>
        <v>3114</v>
      </c>
      <c r="E3094" s="308" t="str">
        <f>IFERROR(__xludf.DUMMYFUNCTION("""COMPUTED_VALUE"""),"S")</f>
        <v>S</v>
      </c>
      <c r="F3094" s="312" t="s">
        <v>39</v>
      </c>
      <c r="G3094" s="308"/>
      <c r="H3094" s="308" t="s">
        <v>12722</v>
      </c>
      <c r="I3094" s="314">
        <v>42355.0</v>
      </c>
      <c r="J3094" s="319">
        <f>IFERROR(__xludf.DUMMYFUNCTION("SPLIT(I3094,""/"")"),17.0)</f>
        <v>17</v>
      </c>
      <c r="K3094" s="308">
        <f>IFERROR(__xludf.DUMMYFUNCTION("""COMPUTED_VALUE"""),12.0)</f>
        <v>12</v>
      </c>
      <c r="L3094" s="308">
        <f>IFERROR(__xludf.DUMMYFUNCTION("""COMPUTED_VALUE"""),2015.0)</f>
        <v>2015</v>
      </c>
      <c r="M3094" s="308" t="s">
        <v>12723</v>
      </c>
      <c r="N3094" s="308"/>
      <c r="O3094" s="308"/>
      <c r="P3094" s="308" t="s">
        <v>296</v>
      </c>
      <c r="Q3094" s="308"/>
      <c r="R3094" s="308"/>
      <c r="S3094" s="308" t="s">
        <v>81</v>
      </c>
      <c r="T3094" s="308" t="s">
        <v>75</v>
      </c>
      <c r="U3094" s="308" t="s">
        <v>166</v>
      </c>
      <c r="V3094" s="312"/>
    </row>
    <row r="3095">
      <c r="A3095" s="308">
        <v>3094.0</v>
      </c>
      <c r="B3095" s="308"/>
      <c r="C3095" s="308" t="s">
        <v>12724</v>
      </c>
      <c r="D3095" s="308">
        <f>IFERROR(__xludf.DUMMYFUNCTION("SPLIT(C3095,""-"")"),3115.0)</f>
        <v>3115</v>
      </c>
      <c r="E3095" s="308" t="str">
        <f>IFERROR(__xludf.DUMMYFUNCTION("""COMPUTED_VALUE"""),"S")</f>
        <v>S</v>
      </c>
      <c r="F3095" s="312" t="s">
        <v>39</v>
      </c>
      <c r="G3095" s="308"/>
      <c r="H3095" s="308" t="s">
        <v>12725</v>
      </c>
      <c r="I3095" s="310">
        <v>42382.0</v>
      </c>
      <c r="J3095" s="319">
        <f>IFERROR(__xludf.DUMMYFUNCTION("SPLIT(I3095,""/"")"),13.0)</f>
        <v>13</v>
      </c>
      <c r="K3095" s="308">
        <f>IFERROR(__xludf.DUMMYFUNCTION("""COMPUTED_VALUE"""),1.0)</f>
        <v>1</v>
      </c>
      <c r="L3095" s="308">
        <f>IFERROR(__xludf.DUMMYFUNCTION("""COMPUTED_VALUE"""),2016.0)</f>
        <v>2016</v>
      </c>
      <c r="M3095" s="308" t="s">
        <v>12726</v>
      </c>
      <c r="N3095" s="308"/>
      <c r="O3095" s="308" t="s">
        <v>635</v>
      </c>
      <c r="P3095" s="308" t="s">
        <v>11452</v>
      </c>
      <c r="Q3095" s="308"/>
      <c r="R3095" s="308"/>
      <c r="S3095" s="308" t="s">
        <v>81</v>
      </c>
      <c r="T3095" s="311" t="s">
        <v>73</v>
      </c>
      <c r="U3095" s="308"/>
      <c r="V3095" s="312"/>
    </row>
    <row r="3096">
      <c r="A3096" s="308">
        <v>3095.0</v>
      </c>
      <c r="B3096" s="308"/>
      <c r="C3096" s="308" t="s">
        <v>12727</v>
      </c>
      <c r="D3096" s="308">
        <f>IFERROR(__xludf.DUMMYFUNCTION("SPLIT(C3096,""-"")"),3116.0)</f>
        <v>3116</v>
      </c>
      <c r="E3096" s="308" t="str">
        <f>IFERROR(__xludf.DUMMYFUNCTION("""COMPUTED_VALUE"""),"S")</f>
        <v>S</v>
      </c>
      <c r="F3096" s="312" t="s">
        <v>39</v>
      </c>
      <c r="G3096" s="308"/>
      <c r="H3096" s="308" t="s">
        <v>12728</v>
      </c>
      <c r="I3096" s="310">
        <v>42383.0</v>
      </c>
      <c r="J3096" s="319">
        <f>IFERROR(__xludf.DUMMYFUNCTION("SPLIT(I3096,""/"")"),14.0)</f>
        <v>14</v>
      </c>
      <c r="K3096" s="308">
        <f>IFERROR(__xludf.DUMMYFUNCTION("""COMPUTED_VALUE"""),1.0)</f>
        <v>1</v>
      </c>
      <c r="L3096" s="308">
        <f>IFERROR(__xludf.DUMMYFUNCTION("""COMPUTED_VALUE"""),2016.0)</f>
        <v>2016</v>
      </c>
      <c r="M3096" s="308" t="s">
        <v>12729</v>
      </c>
      <c r="N3096" s="308"/>
      <c r="O3096" s="308" t="s">
        <v>635</v>
      </c>
      <c r="P3096" s="308" t="s">
        <v>9438</v>
      </c>
      <c r="Q3096" s="308"/>
      <c r="R3096" s="308"/>
      <c r="S3096" s="308" t="s">
        <v>81</v>
      </c>
      <c r="T3096" s="311" t="s">
        <v>73</v>
      </c>
      <c r="U3096" s="308" t="s">
        <v>166</v>
      </c>
      <c r="V3096" s="312"/>
    </row>
    <row r="3097">
      <c r="A3097" s="308">
        <v>3096.0</v>
      </c>
      <c r="B3097" s="308"/>
      <c r="C3097" s="308" t="s">
        <v>12730</v>
      </c>
      <c r="D3097" s="308">
        <f>IFERROR(__xludf.DUMMYFUNCTION("SPLIT(C3097,""-"")"),3117.0)</f>
        <v>3117</v>
      </c>
      <c r="E3097" s="308" t="str">
        <f>IFERROR(__xludf.DUMMYFUNCTION("""COMPUTED_VALUE"""),"S")</f>
        <v>S</v>
      </c>
      <c r="F3097" s="312" t="s">
        <v>39</v>
      </c>
      <c r="G3097" s="308"/>
      <c r="H3097" s="308" t="s">
        <v>12731</v>
      </c>
      <c r="I3097" s="310">
        <v>42383.0</v>
      </c>
      <c r="J3097" s="319">
        <f>IFERROR(__xludf.DUMMYFUNCTION("SPLIT(I3097,""/"")"),14.0)</f>
        <v>14</v>
      </c>
      <c r="K3097" s="308">
        <f>IFERROR(__xludf.DUMMYFUNCTION("""COMPUTED_VALUE"""),1.0)</f>
        <v>1</v>
      </c>
      <c r="L3097" s="308">
        <f>IFERROR(__xludf.DUMMYFUNCTION("""COMPUTED_VALUE"""),2016.0)</f>
        <v>2016</v>
      </c>
      <c r="M3097" s="308" t="s">
        <v>12732</v>
      </c>
      <c r="N3097" s="308"/>
      <c r="O3097" s="308" t="s">
        <v>635</v>
      </c>
      <c r="P3097" s="308" t="s">
        <v>9901</v>
      </c>
      <c r="Q3097" s="308"/>
      <c r="R3097" s="308"/>
      <c r="S3097" s="308" t="s">
        <v>81</v>
      </c>
      <c r="T3097" s="311" t="s">
        <v>73</v>
      </c>
      <c r="U3097" s="312"/>
      <c r="V3097" s="312"/>
    </row>
    <row r="3098">
      <c r="A3098" s="308">
        <v>3097.0</v>
      </c>
      <c r="B3098" s="308"/>
      <c r="C3098" s="308" t="s">
        <v>12733</v>
      </c>
      <c r="D3098" s="308">
        <f>IFERROR(__xludf.DUMMYFUNCTION("SPLIT(C3098,""-"")"),3118.0)</f>
        <v>3118</v>
      </c>
      <c r="E3098" s="308" t="str">
        <f>IFERROR(__xludf.DUMMYFUNCTION("""COMPUTED_VALUE"""),"S")</f>
        <v>S</v>
      </c>
      <c r="F3098" s="312" t="s">
        <v>39</v>
      </c>
      <c r="G3098" s="308"/>
      <c r="H3098" s="308" t="s">
        <v>12734</v>
      </c>
      <c r="I3098" s="310">
        <v>42384.0</v>
      </c>
      <c r="J3098" s="319">
        <f>IFERROR(__xludf.DUMMYFUNCTION("SPLIT(I3098,""/"")"),15.0)</f>
        <v>15</v>
      </c>
      <c r="K3098" s="308">
        <f>IFERROR(__xludf.DUMMYFUNCTION("""COMPUTED_VALUE"""),1.0)</f>
        <v>1</v>
      </c>
      <c r="L3098" s="308">
        <f>IFERROR(__xludf.DUMMYFUNCTION("""COMPUTED_VALUE"""),2016.0)</f>
        <v>2016</v>
      </c>
      <c r="M3098" s="308" t="s">
        <v>12735</v>
      </c>
      <c r="N3098" s="308"/>
      <c r="O3098" s="308" t="s">
        <v>635</v>
      </c>
      <c r="P3098" s="308" t="s">
        <v>296</v>
      </c>
      <c r="Q3098" s="308"/>
      <c r="R3098" s="308"/>
      <c r="S3098" s="308" t="s">
        <v>81</v>
      </c>
      <c r="T3098" s="308" t="s">
        <v>75</v>
      </c>
      <c r="U3098" s="308" t="s">
        <v>166</v>
      </c>
      <c r="V3098" s="312"/>
    </row>
    <row r="3099">
      <c r="A3099" s="308">
        <v>3098.0</v>
      </c>
      <c r="B3099" s="308"/>
      <c r="C3099" s="308" t="s">
        <v>12736</v>
      </c>
      <c r="D3099" s="308">
        <f>IFERROR(__xludf.DUMMYFUNCTION("SPLIT(C3099,""-"")"),3119.0)</f>
        <v>3119</v>
      </c>
      <c r="E3099" s="308" t="str">
        <f>IFERROR(__xludf.DUMMYFUNCTION("""COMPUTED_VALUE"""),"S")</f>
        <v>S</v>
      </c>
      <c r="F3099" s="312" t="s">
        <v>39</v>
      </c>
      <c r="G3099" s="308"/>
      <c r="H3099" s="308" t="s">
        <v>12737</v>
      </c>
      <c r="I3099" s="310">
        <v>42385.0</v>
      </c>
      <c r="J3099" s="319">
        <f>IFERROR(__xludf.DUMMYFUNCTION("SPLIT(I3099,""/"")"),16.0)</f>
        <v>16</v>
      </c>
      <c r="K3099" s="308">
        <f>IFERROR(__xludf.DUMMYFUNCTION("""COMPUTED_VALUE"""),1.0)</f>
        <v>1</v>
      </c>
      <c r="L3099" s="308">
        <f>IFERROR(__xludf.DUMMYFUNCTION("""COMPUTED_VALUE"""),2016.0)</f>
        <v>2016</v>
      </c>
      <c r="M3099" s="308" t="s">
        <v>12738</v>
      </c>
      <c r="N3099" s="308"/>
      <c r="O3099" s="308" t="s">
        <v>635</v>
      </c>
      <c r="P3099" s="308" t="s">
        <v>36869</v>
      </c>
      <c r="Q3099" s="308"/>
      <c r="R3099" s="308"/>
      <c r="S3099" s="308" t="s">
        <v>81</v>
      </c>
      <c r="T3099" s="308" t="s">
        <v>75</v>
      </c>
      <c r="U3099" s="312"/>
      <c r="V3099" s="312"/>
    </row>
    <row r="3100">
      <c r="A3100" s="308">
        <v>3099.0</v>
      </c>
      <c r="B3100" s="308"/>
      <c r="C3100" s="308" t="s">
        <v>12740</v>
      </c>
      <c r="D3100" s="308">
        <f>IFERROR(__xludf.DUMMYFUNCTION("SPLIT(C3100,""-"")"),3120.0)</f>
        <v>3120</v>
      </c>
      <c r="E3100" s="308" t="str">
        <f>IFERROR(__xludf.DUMMYFUNCTION("""COMPUTED_VALUE"""),"S")</f>
        <v>S</v>
      </c>
      <c r="F3100" s="312" t="s">
        <v>39</v>
      </c>
      <c r="G3100" s="308"/>
      <c r="H3100" s="308" t="s">
        <v>12741</v>
      </c>
      <c r="I3100" s="310">
        <v>42385.0</v>
      </c>
      <c r="J3100" s="319">
        <f>IFERROR(__xludf.DUMMYFUNCTION("SPLIT(I3100,""/"")"),16.0)</f>
        <v>16</v>
      </c>
      <c r="K3100" s="308">
        <f>IFERROR(__xludf.DUMMYFUNCTION("""COMPUTED_VALUE"""),1.0)</f>
        <v>1</v>
      </c>
      <c r="L3100" s="308">
        <f>IFERROR(__xludf.DUMMYFUNCTION("""COMPUTED_VALUE"""),2016.0)</f>
        <v>2016</v>
      </c>
      <c r="M3100" s="308" t="s">
        <v>12742</v>
      </c>
      <c r="N3100" s="308"/>
      <c r="O3100" s="308" t="s">
        <v>12743</v>
      </c>
      <c r="P3100" s="308" t="s">
        <v>36870</v>
      </c>
      <c r="Q3100" s="308"/>
      <c r="R3100" s="308"/>
      <c r="S3100" s="308" t="s">
        <v>49</v>
      </c>
      <c r="T3100" s="308" t="s">
        <v>70</v>
      </c>
      <c r="U3100" s="308" t="s">
        <v>166</v>
      </c>
      <c r="V3100" s="312"/>
    </row>
    <row r="3101">
      <c r="A3101" s="308">
        <v>3100.0</v>
      </c>
      <c r="B3101" s="308"/>
      <c r="C3101" s="308" t="s">
        <v>12745</v>
      </c>
      <c r="D3101" s="308">
        <f>IFERROR(__xludf.DUMMYFUNCTION("SPLIT(C3101,""-"")"),3121.0)</f>
        <v>3121</v>
      </c>
      <c r="E3101" s="308" t="str">
        <f>IFERROR(__xludf.DUMMYFUNCTION("""COMPUTED_VALUE"""),"S")</f>
        <v>S</v>
      </c>
      <c r="F3101" s="312" t="s">
        <v>39</v>
      </c>
      <c r="G3101" s="308"/>
      <c r="H3101" s="308" t="s">
        <v>12746</v>
      </c>
      <c r="I3101" s="310">
        <v>42386.0</v>
      </c>
      <c r="J3101" s="319">
        <f>IFERROR(__xludf.DUMMYFUNCTION("SPLIT(I3101,""/"")"),17.0)</f>
        <v>17</v>
      </c>
      <c r="K3101" s="308">
        <f>IFERROR(__xludf.DUMMYFUNCTION("""COMPUTED_VALUE"""),1.0)</f>
        <v>1</v>
      </c>
      <c r="L3101" s="308">
        <f>IFERROR(__xludf.DUMMYFUNCTION("""COMPUTED_VALUE"""),2016.0)</f>
        <v>2016</v>
      </c>
      <c r="M3101" s="308" t="s">
        <v>12747</v>
      </c>
      <c r="N3101" s="308"/>
      <c r="O3101" s="308" t="s">
        <v>635</v>
      </c>
      <c r="P3101" s="308" t="s">
        <v>296</v>
      </c>
      <c r="Q3101" s="308"/>
      <c r="R3101" s="308"/>
      <c r="S3101" s="308" t="s">
        <v>81</v>
      </c>
      <c r="T3101" s="308" t="s">
        <v>75</v>
      </c>
      <c r="U3101" s="308" t="s">
        <v>166</v>
      </c>
      <c r="V3101" s="312"/>
    </row>
    <row r="3102">
      <c r="A3102" s="308">
        <v>3101.0</v>
      </c>
      <c r="B3102" s="308"/>
      <c r="C3102" s="308" t="s">
        <v>12748</v>
      </c>
      <c r="D3102" s="308">
        <f>IFERROR(__xludf.DUMMYFUNCTION("SPLIT(C3102,""-"")"),3122.0)</f>
        <v>3122</v>
      </c>
      <c r="E3102" s="308" t="str">
        <f>IFERROR(__xludf.DUMMYFUNCTION("""COMPUTED_VALUE"""),"S")</f>
        <v>S</v>
      </c>
      <c r="F3102" s="312" t="s">
        <v>39</v>
      </c>
      <c r="G3102" s="308"/>
      <c r="H3102" s="308" t="s">
        <v>12749</v>
      </c>
      <c r="I3102" s="310">
        <v>42387.0</v>
      </c>
      <c r="J3102" s="319">
        <f>IFERROR(__xludf.DUMMYFUNCTION("SPLIT(I3102,""/"")"),18.0)</f>
        <v>18</v>
      </c>
      <c r="K3102" s="308">
        <f>IFERROR(__xludf.DUMMYFUNCTION("""COMPUTED_VALUE"""),1.0)</f>
        <v>1</v>
      </c>
      <c r="L3102" s="308">
        <f>IFERROR(__xludf.DUMMYFUNCTION("""COMPUTED_VALUE"""),2016.0)</f>
        <v>2016</v>
      </c>
      <c r="M3102" s="308" t="s">
        <v>12750</v>
      </c>
      <c r="N3102" s="308"/>
      <c r="O3102" s="308" t="s">
        <v>635</v>
      </c>
      <c r="P3102" s="308" t="s">
        <v>12446</v>
      </c>
      <c r="Q3102" s="308"/>
      <c r="R3102" s="308"/>
      <c r="S3102" s="308" t="s">
        <v>81</v>
      </c>
      <c r="T3102" s="308" t="s">
        <v>73</v>
      </c>
      <c r="U3102" s="308" t="s">
        <v>166</v>
      </c>
      <c r="V3102" s="312"/>
    </row>
    <row r="3103">
      <c r="A3103" s="308">
        <v>3102.0</v>
      </c>
      <c r="B3103" s="308"/>
      <c r="C3103" s="308" t="s">
        <v>12751</v>
      </c>
      <c r="D3103" s="308">
        <f>IFERROR(__xludf.DUMMYFUNCTION("SPLIT(C3103,""-"")"),3123.0)</f>
        <v>3123</v>
      </c>
      <c r="E3103" s="308" t="str">
        <f>IFERROR(__xludf.DUMMYFUNCTION("""COMPUTED_VALUE"""),"S")</f>
        <v>S</v>
      </c>
      <c r="F3103" s="312" t="s">
        <v>39</v>
      </c>
      <c r="G3103" s="308"/>
      <c r="H3103" s="308" t="s">
        <v>12752</v>
      </c>
      <c r="I3103" s="310">
        <v>42387.0</v>
      </c>
      <c r="J3103" s="319">
        <f>IFERROR(__xludf.DUMMYFUNCTION("SPLIT(I3103,""/"")"),18.0)</f>
        <v>18</v>
      </c>
      <c r="K3103" s="308">
        <f>IFERROR(__xludf.DUMMYFUNCTION("""COMPUTED_VALUE"""),1.0)</f>
        <v>1</v>
      </c>
      <c r="L3103" s="308">
        <f>IFERROR(__xludf.DUMMYFUNCTION("""COMPUTED_VALUE"""),2016.0)</f>
        <v>2016</v>
      </c>
      <c r="M3103" s="308" t="s">
        <v>12753</v>
      </c>
      <c r="N3103" s="308"/>
      <c r="O3103" s="308" t="s">
        <v>635</v>
      </c>
      <c r="P3103" s="308" t="s">
        <v>12446</v>
      </c>
      <c r="Q3103" s="308"/>
      <c r="R3103" s="308"/>
      <c r="S3103" s="308" t="s">
        <v>81</v>
      </c>
      <c r="T3103" s="308" t="s">
        <v>73</v>
      </c>
      <c r="U3103" s="308" t="s">
        <v>166</v>
      </c>
      <c r="V3103" s="312"/>
    </row>
    <row r="3104">
      <c r="A3104" s="308">
        <v>3103.0</v>
      </c>
      <c r="B3104" s="308"/>
      <c r="C3104" s="308" t="s">
        <v>12754</v>
      </c>
      <c r="D3104" s="308">
        <f>IFERROR(__xludf.DUMMYFUNCTION("SPLIT(C3104,""-"")"),3124.0)</f>
        <v>3124</v>
      </c>
      <c r="E3104" s="308" t="str">
        <f>IFERROR(__xludf.DUMMYFUNCTION("""COMPUTED_VALUE"""),"S")</f>
        <v>S</v>
      </c>
      <c r="F3104" s="312" t="s">
        <v>39</v>
      </c>
      <c r="G3104" s="308"/>
      <c r="H3104" s="308" t="s">
        <v>12755</v>
      </c>
      <c r="I3104" s="310">
        <v>42391.0</v>
      </c>
      <c r="J3104" s="319">
        <f>IFERROR(__xludf.DUMMYFUNCTION("SPLIT(I3104,""/"")"),22.0)</f>
        <v>22</v>
      </c>
      <c r="K3104" s="308">
        <f>IFERROR(__xludf.DUMMYFUNCTION("""COMPUTED_VALUE"""),1.0)</f>
        <v>1</v>
      </c>
      <c r="L3104" s="308">
        <f>IFERROR(__xludf.DUMMYFUNCTION("""COMPUTED_VALUE"""),2016.0)</f>
        <v>2016</v>
      </c>
      <c r="M3104" s="308" t="s">
        <v>12756</v>
      </c>
      <c r="N3104" s="308"/>
      <c r="O3104" s="308" t="s">
        <v>635</v>
      </c>
      <c r="P3104" s="308" t="s">
        <v>12446</v>
      </c>
      <c r="Q3104" s="308"/>
      <c r="R3104" s="308"/>
      <c r="S3104" s="308" t="s">
        <v>81</v>
      </c>
      <c r="T3104" s="308" t="s">
        <v>73</v>
      </c>
      <c r="U3104" s="308" t="s">
        <v>166</v>
      </c>
      <c r="V3104" s="312"/>
    </row>
    <row r="3105">
      <c r="A3105" s="308">
        <v>3104.0</v>
      </c>
      <c r="B3105" s="308"/>
      <c r="C3105" s="308" t="s">
        <v>12757</v>
      </c>
      <c r="D3105" s="308">
        <f>IFERROR(__xludf.DUMMYFUNCTION("SPLIT(C3105,""-"")"),3125.0)</f>
        <v>3125</v>
      </c>
      <c r="E3105" s="308" t="str">
        <f>IFERROR(__xludf.DUMMYFUNCTION("""COMPUTED_VALUE"""),"S")</f>
        <v>S</v>
      </c>
      <c r="F3105" s="312" t="s">
        <v>39</v>
      </c>
      <c r="G3105" s="308"/>
      <c r="H3105" s="308" t="s">
        <v>12758</v>
      </c>
      <c r="I3105" s="310">
        <v>42391.0</v>
      </c>
      <c r="J3105" s="319">
        <f>IFERROR(__xludf.DUMMYFUNCTION("SPLIT(I3105,""/"")"),22.0)</f>
        <v>22</v>
      </c>
      <c r="K3105" s="308">
        <f>IFERROR(__xludf.DUMMYFUNCTION("""COMPUTED_VALUE"""),1.0)</f>
        <v>1</v>
      </c>
      <c r="L3105" s="308">
        <f>IFERROR(__xludf.DUMMYFUNCTION("""COMPUTED_VALUE"""),2016.0)</f>
        <v>2016</v>
      </c>
      <c r="M3105" s="308" t="s">
        <v>12759</v>
      </c>
      <c r="N3105" s="308"/>
      <c r="O3105" s="308" t="s">
        <v>635</v>
      </c>
      <c r="P3105" s="308" t="s">
        <v>12446</v>
      </c>
      <c r="Q3105" s="308"/>
      <c r="R3105" s="308"/>
      <c r="S3105" s="308" t="s">
        <v>81</v>
      </c>
      <c r="T3105" s="308" t="s">
        <v>73</v>
      </c>
      <c r="U3105" s="308" t="s">
        <v>166</v>
      </c>
      <c r="V3105" s="312"/>
    </row>
    <row r="3106">
      <c r="A3106" s="308">
        <v>3105.0</v>
      </c>
      <c r="B3106" s="308"/>
      <c r="C3106" s="308" t="s">
        <v>12760</v>
      </c>
      <c r="D3106" s="308">
        <f>IFERROR(__xludf.DUMMYFUNCTION("SPLIT(C3106,""-"")"),3126.0)</f>
        <v>3126</v>
      </c>
      <c r="E3106" s="308" t="str">
        <f>IFERROR(__xludf.DUMMYFUNCTION("""COMPUTED_VALUE"""),"S")</f>
        <v>S</v>
      </c>
      <c r="F3106" s="312" t="s">
        <v>39</v>
      </c>
      <c r="G3106" s="308"/>
      <c r="H3106" s="308" t="s">
        <v>12761</v>
      </c>
      <c r="I3106" s="310">
        <v>42392.0</v>
      </c>
      <c r="J3106" s="319">
        <f>IFERROR(__xludf.DUMMYFUNCTION("SPLIT(I3106,""/"")"),23.0)</f>
        <v>23</v>
      </c>
      <c r="K3106" s="308">
        <f>IFERROR(__xludf.DUMMYFUNCTION("""COMPUTED_VALUE"""),1.0)</f>
        <v>1</v>
      </c>
      <c r="L3106" s="308">
        <f>IFERROR(__xludf.DUMMYFUNCTION("""COMPUTED_VALUE"""),2016.0)</f>
        <v>2016</v>
      </c>
      <c r="M3106" s="308" t="s">
        <v>12762</v>
      </c>
      <c r="N3106" s="308"/>
      <c r="O3106" s="308" t="s">
        <v>635</v>
      </c>
      <c r="P3106" s="308" t="s">
        <v>296</v>
      </c>
      <c r="Q3106" s="308"/>
      <c r="R3106" s="308"/>
      <c r="S3106" s="308" t="s">
        <v>81</v>
      </c>
      <c r="T3106" s="308" t="s">
        <v>75</v>
      </c>
      <c r="U3106" s="308" t="s">
        <v>166</v>
      </c>
      <c r="V3106" s="312"/>
    </row>
    <row r="3107">
      <c r="A3107" s="308">
        <v>3106.0</v>
      </c>
      <c r="B3107" s="308"/>
      <c r="C3107" s="308" t="s">
        <v>12763</v>
      </c>
      <c r="D3107" s="308"/>
      <c r="E3107" s="311"/>
      <c r="F3107" s="317" t="s">
        <v>39</v>
      </c>
      <c r="G3107" s="308"/>
      <c r="H3107" s="308" t="s">
        <v>12764</v>
      </c>
      <c r="I3107" s="310">
        <v>42392.0</v>
      </c>
      <c r="J3107" s="319">
        <f>IFERROR(__xludf.DUMMYFUNCTION("SPLIT(I3107,""/"")"),23.0)</f>
        <v>23</v>
      </c>
      <c r="K3107" s="308">
        <f>IFERROR(__xludf.DUMMYFUNCTION("""COMPUTED_VALUE"""),1.0)</f>
        <v>1</v>
      </c>
      <c r="L3107" s="308">
        <f>IFERROR(__xludf.DUMMYFUNCTION("""COMPUTED_VALUE"""),2016.0)</f>
        <v>2016</v>
      </c>
      <c r="M3107" s="308" t="s">
        <v>12765</v>
      </c>
      <c r="N3107" s="308"/>
      <c r="O3107" s="308" t="s">
        <v>635</v>
      </c>
      <c r="P3107" s="308" t="s">
        <v>12446</v>
      </c>
      <c r="Q3107" s="308"/>
      <c r="R3107" s="308"/>
      <c r="S3107" s="308" t="s">
        <v>81</v>
      </c>
      <c r="T3107" s="308" t="s">
        <v>73</v>
      </c>
      <c r="U3107" s="308" t="s">
        <v>166</v>
      </c>
      <c r="V3107" s="312"/>
    </row>
    <row r="3108">
      <c r="A3108" s="308">
        <v>3107.0</v>
      </c>
      <c r="B3108" s="308"/>
      <c r="C3108" s="308" t="s">
        <v>12766</v>
      </c>
      <c r="D3108" s="308">
        <f>IFERROR(__xludf.DUMMYFUNCTION("SPLIT(C3108,""-"")"),3128.0)</f>
        <v>3128</v>
      </c>
      <c r="E3108" s="308" t="str">
        <f>IFERROR(__xludf.DUMMYFUNCTION("""COMPUTED_VALUE"""),"S")</f>
        <v>S</v>
      </c>
      <c r="F3108" s="312" t="s">
        <v>39</v>
      </c>
      <c r="G3108" s="308"/>
      <c r="H3108" s="308" t="s">
        <v>12767</v>
      </c>
      <c r="I3108" s="310">
        <v>42393.0</v>
      </c>
      <c r="J3108" s="319">
        <f>IFERROR(__xludf.DUMMYFUNCTION("SPLIT(I3108,""/"")"),24.0)</f>
        <v>24</v>
      </c>
      <c r="K3108" s="308">
        <f>IFERROR(__xludf.DUMMYFUNCTION("""COMPUTED_VALUE"""),1.0)</f>
        <v>1</v>
      </c>
      <c r="L3108" s="308">
        <f>IFERROR(__xludf.DUMMYFUNCTION("""COMPUTED_VALUE"""),2016.0)</f>
        <v>2016</v>
      </c>
      <c r="M3108" s="308" t="s">
        <v>12768</v>
      </c>
      <c r="N3108" s="308"/>
      <c r="O3108" s="308" t="s">
        <v>635</v>
      </c>
      <c r="P3108" s="308" t="s">
        <v>12446</v>
      </c>
      <c r="Q3108" s="308"/>
      <c r="R3108" s="308"/>
      <c r="S3108" s="308" t="s">
        <v>81</v>
      </c>
      <c r="T3108" s="308" t="s">
        <v>73</v>
      </c>
      <c r="U3108" s="308" t="s">
        <v>166</v>
      </c>
      <c r="V3108" s="312"/>
    </row>
    <row r="3109">
      <c r="A3109" s="308">
        <v>3108.0</v>
      </c>
      <c r="B3109" s="308"/>
      <c r="C3109" s="308" t="s">
        <v>12769</v>
      </c>
      <c r="D3109" s="308">
        <f>IFERROR(__xludf.DUMMYFUNCTION("SPLIT(C3109,""-"")"),3129.0)</f>
        <v>3129</v>
      </c>
      <c r="E3109" s="308" t="str">
        <f>IFERROR(__xludf.DUMMYFUNCTION("""COMPUTED_VALUE"""),"S")</f>
        <v>S</v>
      </c>
      <c r="F3109" s="312" t="s">
        <v>39</v>
      </c>
      <c r="G3109" s="308"/>
      <c r="H3109" s="308" t="s">
        <v>12770</v>
      </c>
      <c r="I3109" s="310">
        <v>42393.0</v>
      </c>
      <c r="J3109" s="319">
        <f>IFERROR(__xludf.DUMMYFUNCTION("SPLIT(I3109,""/"")"),24.0)</f>
        <v>24</v>
      </c>
      <c r="K3109" s="308">
        <f>IFERROR(__xludf.DUMMYFUNCTION("""COMPUTED_VALUE"""),1.0)</f>
        <v>1</v>
      </c>
      <c r="L3109" s="308">
        <f>IFERROR(__xludf.DUMMYFUNCTION("""COMPUTED_VALUE"""),2016.0)</f>
        <v>2016</v>
      </c>
      <c r="M3109" s="308" t="s">
        <v>12771</v>
      </c>
      <c r="N3109" s="308"/>
      <c r="O3109" s="308" t="s">
        <v>635</v>
      </c>
      <c r="P3109" s="308" t="s">
        <v>6778</v>
      </c>
      <c r="Q3109" s="308"/>
      <c r="R3109" s="308"/>
      <c r="S3109" s="311" t="s">
        <v>49</v>
      </c>
      <c r="T3109" s="309" t="s">
        <v>67</v>
      </c>
      <c r="U3109" s="312"/>
      <c r="V3109" s="312"/>
    </row>
    <row r="3110">
      <c r="A3110" s="308">
        <v>3109.0</v>
      </c>
      <c r="B3110" s="308"/>
      <c r="C3110" s="308" t="s">
        <v>12772</v>
      </c>
      <c r="D3110" s="308">
        <f>IFERROR(__xludf.DUMMYFUNCTION("SPLIT(C3110,""-"")"),3130.0)</f>
        <v>3130</v>
      </c>
      <c r="E3110" s="308" t="str">
        <f>IFERROR(__xludf.DUMMYFUNCTION("""COMPUTED_VALUE"""),"S")</f>
        <v>S</v>
      </c>
      <c r="F3110" s="312" t="s">
        <v>39</v>
      </c>
      <c r="G3110" s="308"/>
      <c r="H3110" s="308" t="s">
        <v>12773</v>
      </c>
      <c r="I3110" s="310">
        <v>42393.0</v>
      </c>
      <c r="J3110" s="319">
        <f>IFERROR(__xludf.DUMMYFUNCTION("SPLIT(I3110,""/"")"),24.0)</f>
        <v>24</v>
      </c>
      <c r="K3110" s="308">
        <f>IFERROR(__xludf.DUMMYFUNCTION("""COMPUTED_VALUE"""),1.0)</f>
        <v>1</v>
      </c>
      <c r="L3110" s="308">
        <f>IFERROR(__xludf.DUMMYFUNCTION("""COMPUTED_VALUE"""),2016.0)</f>
        <v>2016</v>
      </c>
      <c r="M3110" s="308" t="s">
        <v>12774</v>
      </c>
      <c r="N3110" s="308"/>
      <c r="O3110" s="308" t="s">
        <v>635</v>
      </c>
      <c r="P3110" s="308" t="s">
        <v>12250</v>
      </c>
      <c r="Q3110" s="308"/>
      <c r="R3110" s="308"/>
      <c r="S3110" s="308" t="s">
        <v>49</v>
      </c>
      <c r="T3110" s="308" t="s">
        <v>67</v>
      </c>
      <c r="U3110" s="308" t="s">
        <v>166</v>
      </c>
      <c r="V3110" s="312"/>
    </row>
    <row r="3111">
      <c r="A3111" s="308">
        <v>3110.0</v>
      </c>
      <c r="B3111" s="308"/>
      <c r="C3111" s="308" t="s">
        <v>12775</v>
      </c>
      <c r="D3111" s="308">
        <f>IFERROR(__xludf.DUMMYFUNCTION("SPLIT(C3111,""-"")"),3131.0)</f>
        <v>3131</v>
      </c>
      <c r="E3111" s="308" t="str">
        <f>IFERROR(__xludf.DUMMYFUNCTION("""COMPUTED_VALUE"""),"K")</f>
        <v>K</v>
      </c>
      <c r="F3111" s="309" t="s">
        <v>34</v>
      </c>
      <c r="G3111" s="308"/>
      <c r="H3111" s="308" t="s">
        <v>12776</v>
      </c>
      <c r="I3111" s="310">
        <v>42020.0</v>
      </c>
      <c r="J3111" s="319">
        <f>IFERROR(__xludf.DUMMYFUNCTION("SPLIT(I3111,""/"")"),16.0)</f>
        <v>16</v>
      </c>
      <c r="K3111" s="308">
        <f>IFERROR(__xludf.DUMMYFUNCTION("""COMPUTED_VALUE"""),1.0)</f>
        <v>1</v>
      </c>
      <c r="L3111" s="308">
        <f>IFERROR(__xludf.DUMMYFUNCTION("""COMPUTED_VALUE"""),2015.0)</f>
        <v>2015</v>
      </c>
      <c r="M3111" s="308" t="s">
        <v>12777</v>
      </c>
      <c r="N3111" s="308"/>
      <c r="O3111" s="308" t="s">
        <v>12778</v>
      </c>
      <c r="P3111" s="308" t="s">
        <v>12779</v>
      </c>
      <c r="Q3111" s="308"/>
      <c r="R3111" s="308"/>
      <c r="S3111" s="308" t="s">
        <v>81</v>
      </c>
      <c r="T3111" s="311" t="s">
        <v>96</v>
      </c>
      <c r="U3111" s="308"/>
      <c r="V3111" s="312"/>
    </row>
    <row r="3112">
      <c r="A3112" s="308">
        <v>3111.0</v>
      </c>
      <c r="B3112" s="308"/>
      <c r="C3112" s="308" t="s">
        <v>12780</v>
      </c>
      <c r="D3112" s="308">
        <f>IFERROR(__xludf.DUMMYFUNCTION("SPLIT(C3112,""-"")"),3132.0)</f>
        <v>3132</v>
      </c>
      <c r="E3112" s="308" t="str">
        <f>IFERROR(__xludf.DUMMYFUNCTION("""COMPUTED_VALUE"""),"K")</f>
        <v>K</v>
      </c>
      <c r="F3112" s="309" t="s">
        <v>34</v>
      </c>
      <c r="G3112" s="308"/>
      <c r="H3112" s="308" t="s">
        <v>12781</v>
      </c>
      <c r="I3112" s="310">
        <v>42283.0</v>
      </c>
      <c r="J3112" s="319">
        <f>IFERROR(__xludf.DUMMYFUNCTION("SPLIT(I3112,""/"")"),6.0)</f>
        <v>6</v>
      </c>
      <c r="K3112" s="308">
        <f>IFERROR(__xludf.DUMMYFUNCTION("""COMPUTED_VALUE"""),10.0)</f>
        <v>10</v>
      </c>
      <c r="L3112" s="308">
        <f>IFERROR(__xludf.DUMMYFUNCTION("""COMPUTED_VALUE"""),2015.0)</f>
        <v>2015</v>
      </c>
      <c r="M3112" s="308" t="s">
        <v>12782</v>
      </c>
      <c r="N3112" s="308"/>
      <c r="O3112" s="308" t="s">
        <v>12783</v>
      </c>
      <c r="P3112" s="308" t="s">
        <v>12784</v>
      </c>
      <c r="Q3112" s="308"/>
      <c r="R3112" s="308"/>
      <c r="S3112" s="308" t="s">
        <v>81</v>
      </c>
      <c r="T3112" s="308" t="s">
        <v>75</v>
      </c>
      <c r="U3112" s="308" t="s">
        <v>201</v>
      </c>
      <c r="V3112" s="312"/>
    </row>
    <row r="3113">
      <c r="A3113" s="308">
        <v>3112.0</v>
      </c>
      <c r="B3113" s="308"/>
      <c r="C3113" s="308" t="s">
        <v>12785</v>
      </c>
      <c r="D3113" s="308">
        <f>IFERROR(__xludf.DUMMYFUNCTION("SPLIT(C3113,""-"")"),3133.0)</f>
        <v>3133</v>
      </c>
      <c r="E3113" s="308" t="str">
        <f>IFERROR(__xludf.DUMMYFUNCTION("""COMPUTED_VALUE"""),"P")</f>
        <v>P</v>
      </c>
      <c r="F3113" s="312" t="s">
        <v>37</v>
      </c>
      <c r="G3113" s="308"/>
      <c r="H3113" s="308" t="s">
        <v>12786</v>
      </c>
      <c r="I3113" s="314">
        <v>42306.0</v>
      </c>
      <c r="J3113" s="319">
        <f>IFERROR(__xludf.DUMMYFUNCTION("SPLIT(I3113,""/"")"),29.0)</f>
        <v>29</v>
      </c>
      <c r="K3113" s="308">
        <f>IFERROR(__xludf.DUMMYFUNCTION("""COMPUTED_VALUE"""),10.0)</f>
        <v>10</v>
      </c>
      <c r="L3113" s="308">
        <f>IFERROR(__xludf.DUMMYFUNCTION("""COMPUTED_VALUE"""),2015.0)</f>
        <v>2015</v>
      </c>
      <c r="M3113" s="308" t="s">
        <v>12787</v>
      </c>
      <c r="N3113" s="308"/>
      <c r="O3113" s="308" t="s">
        <v>12788</v>
      </c>
      <c r="P3113" s="308" t="s">
        <v>12789</v>
      </c>
      <c r="Q3113" s="308"/>
      <c r="R3113" s="308"/>
      <c r="S3113" s="308" t="s">
        <v>81</v>
      </c>
      <c r="T3113" s="311" t="s">
        <v>73</v>
      </c>
      <c r="U3113" s="308" t="s">
        <v>1182</v>
      </c>
      <c r="V3113" s="312"/>
    </row>
    <row r="3114">
      <c r="A3114" s="308">
        <v>3113.0</v>
      </c>
      <c r="B3114" s="308"/>
      <c r="C3114" s="308" t="s">
        <v>12790</v>
      </c>
      <c r="D3114" s="308">
        <f>IFERROR(__xludf.DUMMYFUNCTION("SPLIT(C3114,""-"")"),3134.0)</f>
        <v>3134</v>
      </c>
      <c r="E3114" s="308" t="str">
        <f>IFERROR(__xludf.DUMMYFUNCTION("""COMPUTED_VALUE"""),"F")</f>
        <v>F</v>
      </c>
      <c r="F3114" s="309" t="s">
        <v>34</v>
      </c>
      <c r="G3114" s="308"/>
      <c r="H3114" s="308" t="s">
        <v>12791</v>
      </c>
      <c r="I3114" s="310">
        <v>41805.0</v>
      </c>
      <c r="J3114" s="319">
        <f>IFERROR(__xludf.DUMMYFUNCTION("SPLIT(I3114,""/"")"),15.0)</f>
        <v>15</v>
      </c>
      <c r="K3114" s="308">
        <f>IFERROR(__xludf.DUMMYFUNCTION("""COMPUTED_VALUE"""),6.0)</f>
        <v>6</v>
      </c>
      <c r="L3114" s="308">
        <f>IFERROR(__xludf.DUMMYFUNCTION("""COMPUTED_VALUE"""),2014.0)</f>
        <v>2014</v>
      </c>
      <c r="M3114" s="308" t="s">
        <v>12792</v>
      </c>
      <c r="N3114" s="308"/>
      <c r="O3114" s="308" t="s">
        <v>635</v>
      </c>
      <c r="P3114" s="308" t="s">
        <v>12793</v>
      </c>
      <c r="Q3114" s="308"/>
      <c r="R3114" s="308"/>
      <c r="S3114" s="308" t="s">
        <v>81</v>
      </c>
      <c r="T3114" s="311" t="s">
        <v>89</v>
      </c>
      <c r="U3114" s="308"/>
      <c r="V3114" s="312"/>
    </row>
    <row r="3115">
      <c r="A3115" s="308">
        <v>3114.0</v>
      </c>
      <c r="B3115" s="308"/>
      <c r="C3115" s="308" t="s">
        <v>12794</v>
      </c>
      <c r="D3115" s="308">
        <f>IFERROR(__xludf.DUMMYFUNCTION("SPLIT(C3115,""-"")"),3135.0)</f>
        <v>3135</v>
      </c>
      <c r="E3115" s="308" t="str">
        <f>IFERROR(__xludf.DUMMYFUNCTION("""COMPUTED_VALUE"""),"P")</f>
        <v>P</v>
      </c>
      <c r="F3115" s="312" t="s">
        <v>37</v>
      </c>
      <c r="G3115" s="308"/>
      <c r="H3115" s="308" t="s">
        <v>12795</v>
      </c>
      <c r="I3115" s="310">
        <v>42344.0</v>
      </c>
      <c r="J3115" s="319">
        <f>IFERROR(__xludf.DUMMYFUNCTION("SPLIT(I3115,""/"")"),6.0)</f>
        <v>6</v>
      </c>
      <c r="K3115" s="308">
        <f>IFERROR(__xludf.DUMMYFUNCTION("""COMPUTED_VALUE"""),12.0)</f>
        <v>12</v>
      </c>
      <c r="L3115" s="308">
        <f>IFERROR(__xludf.DUMMYFUNCTION("""COMPUTED_VALUE"""),2015.0)</f>
        <v>2015</v>
      </c>
      <c r="M3115" s="308" t="s">
        <v>12796</v>
      </c>
      <c r="N3115" s="308"/>
      <c r="O3115" s="308" t="s">
        <v>12797</v>
      </c>
      <c r="P3115" s="308" t="s">
        <v>12798</v>
      </c>
      <c r="Q3115" s="308"/>
      <c r="R3115" s="308"/>
      <c r="S3115" s="308" t="s">
        <v>81</v>
      </c>
      <c r="T3115" s="311" t="s">
        <v>73</v>
      </c>
      <c r="U3115" s="308" t="s">
        <v>149</v>
      </c>
      <c r="V3115" s="312"/>
    </row>
    <row r="3116">
      <c r="A3116" s="308">
        <v>3115.0</v>
      </c>
      <c r="B3116" s="308"/>
      <c r="C3116" s="308" t="s">
        <v>12799</v>
      </c>
      <c r="D3116" s="308">
        <f>IFERROR(__xludf.DUMMYFUNCTION("SPLIT(C3116,""-"")"),3136.0)</f>
        <v>3136</v>
      </c>
      <c r="E3116" s="308" t="str">
        <f>IFERROR(__xludf.DUMMYFUNCTION("""COMPUTED_VALUE"""),"K")</f>
        <v>K</v>
      </c>
      <c r="F3116" s="309" t="s">
        <v>34</v>
      </c>
      <c r="G3116" s="308" t="s">
        <v>12800</v>
      </c>
      <c r="H3116" s="308" t="s">
        <v>12801</v>
      </c>
      <c r="I3116" s="310">
        <v>40029.0</v>
      </c>
      <c r="J3116" s="319">
        <f>IFERROR(__xludf.DUMMYFUNCTION("SPLIT(I3116,""/"")"),4.0)</f>
        <v>4</v>
      </c>
      <c r="K3116" s="308">
        <f>IFERROR(__xludf.DUMMYFUNCTION("""COMPUTED_VALUE"""),8.0)</f>
        <v>8</v>
      </c>
      <c r="L3116" s="308">
        <f>IFERROR(__xludf.DUMMYFUNCTION("""COMPUTED_VALUE"""),2009.0)</f>
        <v>2009</v>
      </c>
      <c r="M3116" s="308" t="s">
        <v>12802</v>
      </c>
      <c r="N3116" s="308"/>
      <c r="O3116" s="308" t="s">
        <v>12803</v>
      </c>
      <c r="P3116" s="308" t="s">
        <v>35734</v>
      </c>
      <c r="Q3116" s="308"/>
      <c r="R3116" s="308"/>
      <c r="S3116" s="315" t="s">
        <v>100</v>
      </c>
      <c r="T3116" s="311" t="s">
        <v>34208</v>
      </c>
      <c r="U3116" s="308" t="s">
        <v>530</v>
      </c>
      <c r="V3116" s="312"/>
    </row>
    <row r="3117">
      <c r="A3117" s="308">
        <v>3116.0</v>
      </c>
      <c r="B3117" s="308"/>
      <c r="C3117" s="308" t="s">
        <v>12804</v>
      </c>
      <c r="D3117" s="308">
        <f>IFERROR(__xludf.DUMMYFUNCTION("SPLIT(C3117,""-"")"),3137.0)</f>
        <v>3137</v>
      </c>
      <c r="E3117" s="308" t="str">
        <f>IFERROR(__xludf.DUMMYFUNCTION("""COMPUTED_VALUE"""),"K")</f>
        <v>K</v>
      </c>
      <c r="F3117" s="309" t="s">
        <v>34</v>
      </c>
      <c r="G3117" s="308"/>
      <c r="H3117" s="308" t="s">
        <v>12805</v>
      </c>
      <c r="I3117" s="310">
        <v>42378.0</v>
      </c>
      <c r="J3117" s="319">
        <f>IFERROR(__xludf.DUMMYFUNCTION("SPLIT(I3117,""/"")"),9.0)</f>
        <v>9</v>
      </c>
      <c r="K3117" s="308">
        <f>IFERROR(__xludf.DUMMYFUNCTION("""COMPUTED_VALUE"""),1.0)</f>
        <v>1</v>
      </c>
      <c r="L3117" s="308">
        <f>IFERROR(__xludf.DUMMYFUNCTION("""COMPUTED_VALUE"""),2016.0)</f>
        <v>2016</v>
      </c>
      <c r="M3117" s="308" t="s">
        <v>12806</v>
      </c>
      <c r="N3117" s="308"/>
      <c r="O3117" s="308" t="s">
        <v>12807</v>
      </c>
      <c r="P3117" s="308" t="s">
        <v>6262</v>
      </c>
      <c r="Q3117" s="308"/>
      <c r="R3117" s="308"/>
      <c r="S3117" s="315" t="s">
        <v>100</v>
      </c>
      <c r="T3117" s="311" t="s">
        <v>34208</v>
      </c>
      <c r="U3117" s="308" t="s">
        <v>368</v>
      </c>
      <c r="V3117" s="312"/>
    </row>
    <row r="3118">
      <c r="A3118" s="308">
        <v>3117.0</v>
      </c>
      <c r="B3118" s="308"/>
      <c r="C3118" s="308" t="s">
        <v>12808</v>
      </c>
      <c r="D3118" s="308">
        <f>IFERROR(__xludf.DUMMYFUNCTION("SPLIT(C3118,""-"")"),3138.0)</f>
        <v>3138</v>
      </c>
      <c r="E3118" s="308" t="str">
        <f>IFERROR(__xludf.DUMMYFUNCTION("""COMPUTED_VALUE"""),"B")</f>
        <v>B</v>
      </c>
      <c r="F3118" s="315" t="s">
        <v>26</v>
      </c>
      <c r="G3118" s="308"/>
      <c r="H3118" s="308" t="s">
        <v>12809</v>
      </c>
      <c r="I3118" s="310">
        <v>42252.0</v>
      </c>
      <c r="J3118" s="319">
        <f>IFERROR(__xludf.DUMMYFUNCTION("SPLIT(I3118,""/"")"),5.0)</f>
        <v>5</v>
      </c>
      <c r="K3118" s="308">
        <f>IFERROR(__xludf.DUMMYFUNCTION("""COMPUTED_VALUE"""),9.0)</f>
        <v>9</v>
      </c>
      <c r="L3118" s="308">
        <f>IFERROR(__xludf.DUMMYFUNCTION("""COMPUTED_VALUE"""),2015.0)</f>
        <v>2015</v>
      </c>
      <c r="M3118" s="308" t="s">
        <v>12810</v>
      </c>
      <c r="N3118" s="308"/>
      <c r="O3118" s="308" t="s">
        <v>12811</v>
      </c>
      <c r="P3118" s="308" t="s">
        <v>36871</v>
      </c>
      <c r="Q3118" s="308"/>
      <c r="R3118" s="308"/>
      <c r="S3118" s="308" t="s">
        <v>49</v>
      </c>
      <c r="T3118" s="308" t="s">
        <v>51</v>
      </c>
      <c r="U3118" s="308" t="s">
        <v>27</v>
      </c>
      <c r="V3118" s="312"/>
    </row>
    <row r="3119">
      <c r="A3119" s="308">
        <v>3118.0</v>
      </c>
      <c r="B3119" s="308"/>
      <c r="C3119" s="308" t="s">
        <v>12813</v>
      </c>
      <c r="D3119" s="308">
        <f>IFERROR(__xludf.DUMMYFUNCTION("SPLIT(C3119,""-"")"),3139.0)</f>
        <v>3139</v>
      </c>
      <c r="E3119" s="308" t="str">
        <f>IFERROR(__xludf.DUMMYFUNCTION("""COMPUTED_VALUE"""),"K")</f>
        <v>K</v>
      </c>
      <c r="F3119" s="309" t="s">
        <v>34</v>
      </c>
      <c r="G3119" s="308"/>
      <c r="H3119" s="308" t="s">
        <v>12814</v>
      </c>
      <c r="I3119" s="310">
        <v>42250.0</v>
      </c>
      <c r="J3119" s="319">
        <f>IFERROR(__xludf.DUMMYFUNCTION("SPLIT(I3119,""/"")"),3.0)</f>
        <v>3</v>
      </c>
      <c r="K3119" s="308">
        <f>IFERROR(__xludf.DUMMYFUNCTION("""COMPUTED_VALUE"""),9.0)</f>
        <v>9</v>
      </c>
      <c r="L3119" s="308">
        <f>IFERROR(__xludf.DUMMYFUNCTION("""COMPUTED_VALUE"""),2015.0)</f>
        <v>2015</v>
      </c>
      <c r="M3119" s="308" t="s">
        <v>12815</v>
      </c>
      <c r="N3119" s="308"/>
      <c r="O3119" s="308" t="s">
        <v>36872</v>
      </c>
      <c r="P3119" s="308" t="s">
        <v>11838</v>
      </c>
      <c r="Q3119" s="308"/>
      <c r="R3119" s="308"/>
      <c r="S3119" s="315" t="s">
        <v>100</v>
      </c>
      <c r="T3119" s="311" t="s">
        <v>34208</v>
      </c>
      <c r="U3119" s="308" t="s">
        <v>2989</v>
      </c>
      <c r="V3119" s="312"/>
    </row>
    <row r="3120">
      <c r="A3120" s="308">
        <v>3119.0</v>
      </c>
      <c r="B3120" s="308"/>
      <c r="C3120" s="308" t="s">
        <v>12817</v>
      </c>
      <c r="D3120" s="308">
        <f>IFERROR(__xludf.DUMMYFUNCTION("SPLIT(C3120,""-"")"),3140.0)</f>
        <v>3140</v>
      </c>
      <c r="E3120" s="308" t="str">
        <f>IFERROR(__xludf.DUMMYFUNCTION("""COMPUTED_VALUE"""),"K")</f>
        <v>K</v>
      </c>
      <c r="F3120" s="309" t="s">
        <v>34</v>
      </c>
      <c r="G3120" s="308"/>
      <c r="H3120" s="308" t="s">
        <v>12818</v>
      </c>
      <c r="I3120" s="310">
        <v>42383.0</v>
      </c>
      <c r="J3120" s="319">
        <f>IFERROR(__xludf.DUMMYFUNCTION("SPLIT(I3120,""/"")"),14.0)</f>
        <v>14</v>
      </c>
      <c r="K3120" s="308">
        <f>IFERROR(__xludf.DUMMYFUNCTION("""COMPUTED_VALUE"""),1.0)</f>
        <v>1</v>
      </c>
      <c r="L3120" s="308">
        <f>IFERROR(__xludf.DUMMYFUNCTION("""COMPUTED_VALUE"""),2016.0)</f>
        <v>2016</v>
      </c>
      <c r="M3120" s="308" t="s">
        <v>12819</v>
      </c>
      <c r="N3120" s="308"/>
      <c r="O3120" s="308" t="s">
        <v>36873</v>
      </c>
      <c r="P3120" s="308" t="s">
        <v>12821</v>
      </c>
      <c r="Q3120" s="308"/>
      <c r="R3120" s="308"/>
      <c r="S3120" s="308" t="s">
        <v>81</v>
      </c>
      <c r="T3120" s="311" t="s">
        <v>51</v>
      </c>
      <c r="U3120" s="308"/>
      <c r="V3120" s="312"/>
    </row>
    <row r="3121">
      <c r="A3121" s="308">
        <v>3120.0</v>
      </c>
      <c r="B3121" s="308" t="s">
        <v>12822</v>
      </c>
      <c r="C3121" s="308" t="s">
        <v>12823</v>
      </c>
      <c r="D3121" s="308">
        <f>IFERROR(__xludf.DUMMYFUNCTION("SPLIT(C3121,""-"")"),3141.0)</f>
        <v>3141</v>
      </c>
      <c r="E3121" s="308" t="str">
        <f>IFERROR(__xludf.DUMMYFUNCTION("""COMPUTED_VALUE"""),"K")</f>
        <v>K</v>
      </c>
      <c r="F3121" s="309" t="s">
        <v>34</v>
      </c>
      <c r="G3121" s="308"/>
      <c r="H3121" s="308" t="s">
        <v>12824</v>
      </c>
      <c r="I3121" s="316">
        <v>2013.0</v>
      </c>
      <c r="J3121" s="319"/>
      <c r="K3121" s="308"/>
      <c r="L3121" s="311">
        <v>2013.0</v>
      </c>
      <c r="M3121" s="308" t="s">
        <v>12825</v>
      </c>
      <c r="N3121" s="308"/>
      <c r="O3121" s="308"/>
      <c r="P3121" s="308" t="s">
        <v>36874</v>
      </c>
      <c r="Q3121" s="308"/>
      <c r="R3121" s="308"/>
      <c r="S3121" s="311" t="s">
        <v>49</v>
      </c>
      <c r="T3121" s="308" t="s">
        <v>51</v>
      </c>
      <c r="U3121" s="308" t="s">
        <v>125</v>
      </c>
      <c r="V3121" s="312"/>
    </row>
    <row r="3122">
      <c r="A3122" s="308">
        <v>3121.0</v>
      </c>
      <c r="B3122" s="308"/>
      <c r="C3122" s="308" t="s">
        <v>12826</v>
      </c>
      <c r="D3122" s="308">
        <f>IFERROR(__xludf.DUMMYFUNCTION("SPLIT(C3122,""-"")"),3142.0)</f>
        <v>3142</v>
      </c>
      <c r="E3122" s="308" t="str">
        <f>IFERROR(__xludf.DUMMYFUNCTION("""COMPUTED_VALUE"""),"S")</f>
        <v>S</v>
      </c>
      <c r="F3122" s="312" t="s">
        <v>39</v>
      </c>
      <c r="G3122" s="308"/>
      <c r="H3122" s="308" t="s">
        <v>36875</v>
      </c>
      <c r="I3122" s="314">
        <v>42348.0</v>
      </c>
      <c r="J3122" s="319">
        <f>IFERROR(__xludf.DUMMYFUNCTION("SPLIT(I3122,""/"")"),10.0)</f>
        <v>10</v>
      </c>
      <c r="K3122" s="308">
        <f>IFERROR(__xludf.DUMMYFUNCTION("""COMPUTED_VALUE"""),12.0)</f>
        <v>12</v>
      </c>
      <c r="L3122" s="308">
        <f>IFERROR(__xludf.DUMMYFUNCTION("""COMPUTED_VALUE"""),2015.0)</f>
        <v>2015</v>
      </c>
      <c r="M3122" s="308" t="s">
        <v>12828</v>
      </c>
      <c r="N3122" s="308"/>
      <c r="O3122" s="308" t="s">
        <v>635</v>
      </c>
      <c r="P3122" s="308" t="s">
        <v>296</v>
      </c>
      <c r="Q3122" s="308"/>
      <c r="R3122" s="308"/>
      <c r="S3122" s="308" t="s">
        <v>81</v>
      </c>
      <c r="T3122" s="308" t="s">
        <v>75</v>
      </c>
      <c r="U3122" s="308"/>
      <c r="V3122" s="312"/>
    </row>
    <row r="3123">
      <c r="A3123" s="308">
        <v>3122.0</v>
      </c>
      <c r="B3123" s="308"/>
      <c r="C3123" s="308" t="s">
        <v>12829</v>
      </c>
      <c r="D3123" s="308">
        <f>IFERROR(__xludf.DUMMYFUNCTION("SPLIT(C3123,""-"")"),3143.0)</f>
        <v>3143</v>
      </c>
      <c r="E3123" s="308" t="str">
        <f>IFERROR(__xludf.DUMMYFUNCTION("""COMPUTED_VALUE"""),"K")</f>
        <v>K</v>
      </c>
      <c r="F3123" s="309" t="s">
        <v>34</v>
      </c>
      <c r="G3123" s="308"/>
      <c r="H3123" s="308" t="s">
        <v>12830</v>
      </c>
      <c r="I3123" s="310">
        <v>42247.0</v>
      </c>
      <c r="J3123" s="319">
        <f>IFERROR(__xludf.DUMMYFUNCTION("SPLIT(I3123,""/"")"),31.0)</f>
        <v>31</v>
      </c>
      <c r="K3123" s="308">
        <f>IFERROR(__xludf.DUMMYFUNCTION("""COMPUTED_VALUE"""),8.0)</f>
        <v>8</v>
      </c>
      <c r="L3123" s="308">
        <f>IFERROR(__xludf.DUMMYFUNCTION("""COMPUTED_VALUE"""),2015.0)</f>
        <v>2015</v>
      </c>
      <c r="M3123" s="308" t="s">
        <v>12831</v>
      </c>
      <c r="N3123" s="308"/>
      <c r="O3123" s="308" t="s">
        <v>12832</v>
      </c>
      <c r="P3123" s="308" t="s">
        <v>36876</v>
      </c>
      <c r="Q3123" s="308"/>
      <c r="R3123" s="308"/>
      <c r="S3123" s="308" t="s">
        <v>49</v>
      </c>
      <c r="T3123" s="311" t="s">
        <v>51</v>
      </c>
      <c r="U3123" s="308" t="s">
        <v>368</v>
      </c>
      <c r="V3123" s="312"/>
    </row>
    <row r="3124">
      <c r="A3124" s="308">
        <v>3123.0</v>
      </c>
      <c r="B3124" s="308"/>
      <c r="C3124" s="308" t="s">
        <v>12834</v>
      </c>
      <c r="D3124" s="308">
        <f>IFERROR(__xludf.DUMMYFUNCTION("SPLIT(C3124,""-"")"),3144.0)</f>
        <v>3144</v>
      </c>
      <c r="E3124" s="308" t="str">
        <f>IFERROR(__xludf.DUMMYFUNCTION("""COMPUTED_VALUE"""),"P")</f>
        <v>P</v>
      </c>
      <c r="F3124" s="312" t="s">
        <v>37</v>
      </c>
      <c r="G3124" s="308"/>
      <c r="H3124" s="308" t="s">
        <v>12835</v>
      </c>
      <c r="I3124" s="310">
        <v>42222.0</v>
      </c>
      <c r="J3124" s="319">
        <f>IFERROR(__xludf.DUMMYFUNCTION("SPLIT(I3124,""/"")"),6.0)</f>
        <v>6</v>
      </c>
      <c r="K3124" s="308">
        <f>IFERROR(__xludf.DUMMYFUNCTION("""COMPUTED_VALUE"""),8.0)</f>
        <v>8</v>
      </c>
      <c r="L3124" s="308">
        <f>IFERROR(__xludf.DUMMYFUNCTION("""COMPUTED_VALUE"""),2015.0)</f>
        <v>2015</v>
      </c>
      <c r="M3124" s="308" t="s">
        <v>12538</v>
      </c>
      <c r="N3124" s="308"/>
      <c r="O3124" s="308"/>
      <c r="P3124" s="308" t="s">
        <v>12836</v>
      </c>
      <c r="Q3124" s="308"/>
      <c r="R3124" s="308"/>
      <c r="S3124" s="308" t="s">
        <v>81</v>
      </c>
      <c r="T3124" s="311" t="s">
        <v>94</v>
      </c>
      <c r="U3124" s="308" t="s">
        <v>143</v>
      </c>
      <c r="V3124" s="312"/>
    </row>
    <row r="3125">
      <c r="A3125" s="308">
        <v>3124.0</v>
      </c>
      <c r="B3125" s="308"/>
      <c r="C3125" s="308" t="s">
        <v>12837</v>
      </c>
      <c r="D3125" s="308">
        <f>IFERROR(__xludf.DUMMYFUNCTION("SPLIT(C3125,""-"")"),3145.0)</f>
        <v>3145</v>
      </c>
      <c r="E3125" s="308" t="str">
        <f>IFERROR(__xludf.DUMMYFUNCTION("""COMPUTED_VALUE"""),"S")</f>
        <v>S</v>
      </c>
      <c r="F3125" s="312" t="s">
        <v>39</v>
      </c>
      <c r="G3125" s="308" t="s">
        <v>12838</v>
      </c>
      <c r="H3125" s="308" t="s">
        <v>12839</v>
      </c>
      <c r="I3125" s="322"/>
      <c r="J3125" s="319"/>
      <c r="K3125" s="308"/>
      <c r="L3125" s="311" t="s">
        <v>79</v>
      </c>
      <c r="M3125" s="308" t="s">
        <v>12840</v>
      </c>
      <c r="N3125" s="308"/>
      <c r="O3125" s="308" t="s">
        <v>635</v>
      </c>
      <c r="P3125" s="308" t="s">
        <v>296</v>
      </c>
      <c r="Q3125" s="308"/>
      <c r="R3125" s="308"/>
      <c r="S3125" s="308" t="s">
        <v>81</v>
      </c>
      <c r="T3125" s="308" t="s">
        <v>75</v>
      </c>
      <c r="U3125" s="308"/>
      <c r="V3125" s="312"/>
    </row>
    <row r="3126">
      <c r="A3126" s="308">
        <v>3125.0</v>
      </c>
      <c r="B3126" s="308"/>
      <c r="C3126" s="308" t="s">
        <v>12841</v>
      </c>
      <c r="D3126" s="308">
        <f>IFERROR(__xludf.DUMMYFUNCTION("SPLIT(C3126,""-"")"),3146.0)</f>
        <v>3146</v>
      </c>
      <c r="E3126" s="308" t="str">
        <f>IFERROR(__xludf.DUMMYFUNCTION("""COMPUTED_VALUE"""),"S")</f>
        <v>S</v>
      </c>
      <c r="F3126" s="312" t="s">
        <v>39</v>
      </c>
      <c r="G3126" s="308" t="s">
        <v>12838</v>
      </c>
      <c r="H3126" s="308" t="s">
        <v>36877</v>
      </c>
      <c r="I3126" s="322"/>
      <c r="J3126" s="319"/>
      <c r="K3126" s="308"/>
      <c r="L3126" s="311" t="s">
        <v>79</v>
      </c>
      <c r="M3126" s="308" t="s">
        <v>12843</v>
      </c>
      <c r="N3126" s="308"/>
      <c r="O3126" s="308" t="s">
        <v>635</v>
      </c>
      <c r="P3126" s="308" t="s">
        <v>296</v>
      </c>
      <c r="Q3126" s="308"/>
      <c r="R3126" s="308"/>
      <c r="S3126" s="308" t="s">
        <v>81</v>
      </c>
      <c r="T3126" s="308" t="s">
        <v>75</v>
      </c>
      <c r="U3126" s="308"/>
      <c r="V3126" s="312"/>
    </row>
    <row r="3127">
      <c r="A3127" s="308">
        <v>3126.0</v>
      </c>
      <c r="B3127" s="308"/>
      <c r="C3127" s="308" t="s">
        <v>12844</v>
      </c>
      <c r="D3127" s="308">
        <f>IFERROR(__xludf.DUMMYFUNCTION("SPLIT(C3127,""-"")"),3147.0)</f>
        <v>3147</v>
      </c>
      <c r="E3127" s="308" t="str">
        <f>IFERROR(__xludf.DUMMYFUNCTION("""COMPUTED_VALUE"""),"P")</f>
        <v>P</v>
      </c>
      <c r="F3127" s="312" t="s">
        <v>37</v>
      </c>
      <c r="G3127" s="308" t="s">
        <v>12845</v>
      </c>
      <c r="H3127" s="308" t="s">
        <v>12846</v>
      </c>
      <c r="I3127" s="310">
        <v>41861.0</v>
      </c>
      <c r="J3127" s="319">
        <f>IFERROR(__xludf.DUMMYFUNCTION("SPLIT(I3127,""/"")"),10.0)</f>
        <v>10</v>
      </c>
      <c r="K3127" s="308">
        <f>IFERROR(__xludf.DUMMYFUNCTION("""COMPUTED_VALUE"""),8.0)</f>
        <v>8</v>
      </c>
      <c r="L3127" s="308">
        <f>IFERROR(__xludf.DUMMYFUNCTION("""COMPUTED_VALUE"""),2014.0)</f>
        <v>2014</v>
      </c>
      <c r="M3127" s="308" t="s">
        <v>12847</v>
      </c>
      <c r="N3127" s="308"/>
      <c r="O3127" s="308" t="s">
        <v>12848</v>
      </c>
      <c r="P3127" s="308" t="s">
        <v>12849</v>
      </c>
      <c r="Q3127" s="308"/>
      <c r="R3127" s="308"/>
      <c r="S3127" s="308" t="s">
        <v>81</v>
      </c>
      <c r="T3127" s="308" t="s">
        <v>75</v>
      </c>
      <c r="U3127" s="308"/>
      <c r="V3127" s="312"/>
    </row>
    <row r="3128">
      <c r="A3128" s="308">
        <v>3127.0</v>
      </c>
      <c r="B3128" s="308"/>
      <c r="C3128" s="308" t="s">
        <v>12850</v>
      </c>
      <c r="D3128" s="308">
        <f>IFERROR(__xludf.DUMMYFUNCTION("SPLIT(C3128,""-"")"),3148.0)</f>
        <v>3148</v>
      </c>
      <c r="E3128" s="308" t="str">
        <f>IFERROR(__xludf.DUMMYFUNCTION("""COMPUTED_VALUE"""),"S")</f>
        <v>S</v>
      </c>
      <c r="F3128" s="312" t="s">
        <v>39</v>
      </c>
      <c r="G3128" s="308" t="s">
        <v>12851</v>
      </c>
      <c r="H3128" s="308" t="s">
        <v>12852</v>
      </c>
      <c r="I3128" s="310">
        <v>42094.0</v>
      </c>
      <c r="J3128" s="319">
        <f>IFERROR(__xludf.DUMMYFUNCTION("SPLIT(I3128,""/"")"),31.0)</f>
        <v>31</v>
      </c>
      <c r="K3128" s="308">
        <f>IFERROR(__xludf.DUMMYFUNCTION("""COMPUTED_VALUE"""),3.0)</f>
        <v>3</v>
      </c>
      <c r="L3128" s="308">
        <f>IFERROR(__xludf.DUMMYFUNCTION("""COMPUTED_VALUE"""),2015.0)</f>
        <v>2015</v>
      </c>
      <c r="M3128" s="308" t="s">
        <v>12853</v>
      </c>
      <c r="N3128" s="308"/>
      <c r="O3128" s="308" t="s">
        <v>635</v>
      </c>
      <c r="P3128" s="308" t="s">
        <v>296</v>
      </c>
      <c r="Q3128" s="308"/>
      <c r="R3128" s="308"/>
      <c r="S3128" s="308" t="s">
        <v>81</v>
      </c>
      <c r="T3128" s="308" t="s">
        <v>75</v>
      </c>
      <c r="U3128" s="308"/>
      <c r="V3128" s="312"/>
    </row>
    <row r="3129">
      <c r="A3129" s="308">
        <v>3128.0</v>
      </c>
      <c r="B3129" s="308"/>
      <c r="C3129" s="308" t="s">
        <v>12854</v>
      </c>
      <c r="D3129" s="308">
        <f>IFERROR(__xludf.DUMMYFUNCTION("SPLIT(C3129,""-"")"),3149.0)</f>
        <v>3149</v>
      </c>
      <c r="E3129" s="308" t="str">
        <f>IFERROR(__xludf.DUMMYFUNCTION("""COMPUTED_VALUE"""),"K")</f>
        <v>K</v>
      </c>
      <c r="F3129" s="309" t="s">
        <v>34</v>
      </c>
      <c r="G3129" s="308" t="s">
        <v>12855</v>
      </c>
      <c r="H3129" s="308" t="s">
        <v>12856</v>
      </c>
      <c r="I3129" s="310">
        <v>41286.0</v>
      </c>
      <c r="J3129" s="319">
        <f>IFERROR(__xludf.DUMMYFUNCTION("SPLIT(I3129,""/"")"),12.0)</f>
        <v>12</v>
      </c>
      <c r="K3129" s="308">
        <f>IFERROR(__xludf.DUMMYFUNCTION("""COMPUTED_VALUE"""),1.0)</f>
        <v>1</v>
      </c>
      <c r="L3129" s="308">
        <f>IFERROR(__xludf.DUMMYFUNCTION("""COMPUTED_VALUE"""),2013.0)</f>
        <v>2013</v>
      </c>
      <c r="M3129" s="308" t="s">
        <v>12857</v>
      </c>
      <c r="N3129" s="308"/>
      <c r="O3129" s="308" t="s">
        <v>635</v>
      </c>
      <c r="P3129" s="308" t="s">
        <v>6381</v>
      </c>
      <c r="Q3129" s="308"/>
      <c r="R3129" s="308" t="s">
        <v>2743</v>
      </c>
      <c r="S3129" s="315" t="s">
        <v>100</v>
      </c>
      <c r="T3129" s="311" t="s">
        <v>34208</v>
      </c>
      <c r="U3129" s="308" t="s">
        <v>201</v>
      </c>
      <c r="V3129" s="312"/>
    </row>
    <row r="3130">
      <c r="A3130" s="308">
        <v>3129.0</v>
      </c>
      <c r="B3130" s="308"/>
      <c r="C3130" s="308" t="s">
        <v>12858</v>
      </c>
      <c r="D3130" s="308">
        <f>IFERROR(__xludf.DUMMYFUNCTION("SPLIT(C3130,""-"")"),3150.0)</f>
        <v>3150</v>
      </c>
      <c r="E3130" s="308" t="str">
        <f>IFERROR(__xludf.DUMMYFUNCTION("""COMPUTED_VALUE"""),"K")</f>
        <v>K</v>
      </c>
      <c r="F3130" s="309" t="s">
        <v>34</v>
      </c>
      <c r="G3130" s="308"/>
      <c r="H3130" s="308" t="s">
        <v>12859</v>
      </c>
      <c r="I3130" s="310">
        <v>42109.0</v>
      </c>
      <c r="J3130" s="319">
        <f>IFERROR(__xludf.DUMMYFUNCTION("SPLIT(I3130,""/"")"),15.0)</f>
        <v>15</v>
      </c>
      <c r="K3130" s="308">
        <f>IFERROR(__xludf.DUMMYFUNCTION("""COMPUTED_VALUE"""),4.0)</f>
        <v>4</v>
      </c>
      <c r="L3130" s="308">
        <f>IFERROR(__xludf.DUMMYFUNCTION("""COMPUTED_VALUE"""),2015.0)</f>
        <v>2015</v>
      </c>
      <c r="M3130" s="308" t="s">
        <v>12860</v>
      </c>
      <c r="N3130" s="308"/>
      <c r="O3130" s="308" t="s">
        <v>12861</v>
      </c>
      <c r="P3130" s="308" t="s">
        <v>6262</v>
      </c>
      <c r="Q3130" s="308"/>
      <c r="R3130" s="308"/>
      <c r="S3130" s="315" t="s">
        <v>100</v>
      </c>
      <c r="T3130" s="311" t="s">
        <v>34208</v>
      </c>
      <c r="U3130" s="308" t="s">
        <v>12862</v>
      </c>
      <c r="V3130" s="312"/>
    </row>
    <row r="3131">
      <c r="A3131" s="308">
        <v>3130.0</v>
      </c>
      <c r="B3131" s="308"/>
      <c r="C3131" s="308" t="s">
        <v>12863</v>
      </c>
      <c r="D3131" s="308">
        <f>IFERROR(__xludf.DUMMYFUNCTION("SPLIT(C3131,""-"")"),3151.0)</f>
        <v>3151</v>
      </c>
      <c r="E3131" s="308" t="str">
        <f>IFERROR(__xludf.DUMMYFUNCTION("""COMPUTED_VALUE"""),"K")</f>
        <v>K</v>
      </c>
      <c r="F3131" s="309" t="s">
        <v>34</v>
      </c>
      <c r="G3131" s="308"/>
      <c r="H3131" s="308" t="s">
        <v>12864</v>
      </c>
      <c r="I3131" s="325">
        <v>42217.0</v>
      </c>
      <c r="J3131" s="319"/>
      <c r="K3131" s="311">
        <v>8.0</v>
      </c>
      <c r="L3131" s="311">
        <v>2015.0</v>
      </c>
      <c r="M3131" s="308" t="s">
        <v>12865</v>
      </c>
      <c r="N3131" s="308"/>
      <c r="O3131" s="308" t="s">
        <v>12866</v>
      </c>
      <c r="P3131" s="308" t="s">
        <v>1872</v>
      </c>
      <c r="Q3131" s="308"/>
      <c r="R3131" s="308"/>
      <c r="S3131" s="315" t="s">
        <v>100</v>
      </c>
      <c r="T3131" s="311" t="s">
        <v>34208</v>
      </c>
      <c r="U3131" s="308" t="s">
        <v>530</v>
      </c>
      <c r="V3131" s="312"/>
    </row>
    <row r="3132">
      <c r="A3132" s="308">
        <v>3131.0</v>
      </c>
      <c r="B3132" s="308"/>
      <c r="C3132" s="308" t="s">
        <v>12867</v>
      </c>
      <c r="D3132" s="308">
        <f>IFERROR(__xludf.DUMMYFUNCTION("SPLIT(C3132,""-"")"),3152.0)</f>
        <v>3152</v>
      </c>
      <c r="E3132" s="308" t="str">
        <f>IFERROR(__xludf.DUMMYFUNCTION("""COMPUTED_VALUE"""),"P")</f>
        <v>P</v>
      </c>
      <c r="F3132" s="312" t="s">
        <v>37</v>
      </c>
      <c r="G3132" s="308"/>
      <c r="H3132" s="308" t="s">
        <v>12868</v>
      </c>
      <c r="I3132" s="310">
        <v>42159.0</v>
      </c>
      <c r="J3132" s="319">
        <f>IFERROR(__xludf.DUMMYFUNCTION("SPLIT(I3132,""/"")"),4.0)</f>
        <v>4</v>
      </c>
      <c r="K3132" s="308">
        <f>IFERROR(__xludf.DUMMYFUNCTION("""COMPUTED_VALUE"""),6.0)</f>
        <v>6</v>
      </c>
      <c r="L3132" s="308">
        <f>IFERROR(__xludf.DUMMYFUNCTION("""COMPUTED_VALUE"""),2015.0)</f>
        <v>2015</v>
      </c>
      <c r="M3132" s="308" t="s">
        <v>12869</v>
      </c>
      <c r="N3132" s="308"/>
      <c r="O3132" s="308" t="s">
        <v>12870</v>
      </c>
      <c r="P3132" s="308" t="s">
        <v>12871</v>
      </c>
      <c r="Q3132" s="308"/>
      <c r="R3132" s="308"/>
      <c r="S3132" s="308" t="s">
        <v>81</v>
      </c>
      <c r="T3132" s="308" t="s">
        <v>75</v>
      </c>
      <c r="U3132" s="308"/>
      <c r="V3132" s="312"/>
    </row>
    <row r="3133">
      <c r="A3133" s="308">
        <v>3132.0</v>
      </c>
      <c r="B3133" s="308"/>
      <c r="C3133" s="308" t="s">
        <v>12872</v>
      </c>
      <c r="D3133" s="308">
        <f>IFERROR(__xludf.DUMMYFUNCTION("SPLIT(C3133,""-"")"),3153.0)</f>
        <v>3153</v>
      </c>
      <c r="E3133" s="308" t="str">
        <f>IFERROR(__xludf.DUMMYFUNCTION("""COMPUTED_VALUE"""),"S")</f>
        <v>S</v>
      </c>
      <c r="F3133" s="312" t="s">
        <v>39</v>
      </c>
      <c r="G3133" s="308"/>
      <c r="H3133" s="308" t="s">
        <v>12873</v>
      </c>
      <c r="I3133" s="310">
        <v>42228.0</v>
      </c>
      <c r="J3133" s="319">
        <f>IFERROR(__xludf.DUMMYFUNCTION("SPLIT(I3133,""/"")"),12.0)</f>
        <v>12</v>
      </c>
      <c r="K3133" s="308">
        <f>IFERROR(__xludf.DUMMYFUNCTION("""COMPUTED_VALUE"""),8.0)</f>
        <v>8</v>
      </c>
      <c r="L3133" s="308">
        <f>IFERROR(__xludf.DUMMYFUNCTION("""COMPUTED_VALUE"""),2015.0)</f>
        <v>2015</v>
      </c>
      <c r="M3133" s="308" t="s">
        <v>36878</v>
      </c>
      <c r="N3133" s="308"/>
      <c r="O3133" s="308" t="s">
        <v>12875</v>
      </c>
      <c r="P3133" s="308" t="s">
        <v>12876</v>
      </c>
      <c r="Q3133" s="308"/>
      <c r="R3133" s="308"/>
      <c r="S3133" s="308" t="s">
        <v>81</v>
      </c>
      <c r="T3133" s="308" t="s">
        <v>75</v>
      </c>
      <c r="U3133" s="308" t="s">
        <v>166</v>
      </c>
      <c r="V3133" s="312"/>
    </row>
    <row r="3134">
      <c r="A3134" s="308">
        <v>3133.0</v>
      </c>
      <c r="B3134" s="308"/>
      <c r="C3134" s="308" t="s">
        <v>12877</v>
      </c>
      <c r="D3134" s="308">
        <f>IFERROR(__xludf.DUMMYFUNCTION("SPLIT(C3134,""-"")"),3154.0)</f>
        <v>3154</v>
      </c>
      <c r="E3134" s="308" t="str">
        <f>IFERROR(__xludf.DUMMYFUNCTION("""COMPUTED_VALUE"""),"S")</f>
        <v>S</v>
      </c>
      <c r="F3134" s="312" t="s">
        <v>39</v>
      </c>
      <c r="G3134" s="308"/>
      <c r="H3134" s="308" t="s">
        <v>12878</v>
      </c>
      <c r="I3134" s="314">
        <v>42366.0</v>
      </c>
      <c r="J3134" s="319">
        <f>IFERROR(__xludf.DUMMYFUNCTION("SPLIT(I3134,""/"")"),28.0)</f>
        <v>28</v>
      </c>
      <c r="K3134" s="308">
        <f>IFERROR(__xludf.DUMMYFUNCTION("""COMPUTED_VALUE"""),12.0)</f>
        <v>12</v>
      </c>
      <c r="L3134" s="308">
        <f>IFERROR(__xludf.DUMMYFUNCTION("""COMPUTED_VALUE"""),2015.0)</f>
        <v>2015</v>
      </c>
      <c r="M3134" s="308" t="s">
        <v>12879</v>
      </c>
      <c r="N3134" s="308"/>
      <c r="O3134" s="308" t="s">
        <v>12880</v>
      </c>
      <c r="P3134" s="308" t="s">
        <v>9979</v>
      </c>
      <c r="Q3134" s="308"/>
      <c r="R3134" s="308"/>
      <c r="S3134" s="315" t="s">
        <v>100</v>
      </c>
      <c r="T3134" s="311" t="s">
        <v>34208</v>
      </c>
      <c r="U3134" s="308" t="s">
        <v>166</v>
      </c>
      <c r="V3134" s="312"/>
    </row>
    <row r="3135">
      <c r="A3135" s="308">
        <v>3134.0</v>
      </c>
      <c r="B3135" s="308"/>
      <c r="C3135" s="308" t="s">
        <v>12881</v>
      </c>
      <c r="D3135" s="308">
        <f>IFERROR(__xludf.DUMMYFUNCTION("SPLIT(C3135,""-"")"),3155.0)</f>
        <v>3155</v>
      </c>
      <c r="E3135" s="308" t="str">
        <f>IFERROR(__xludf.DUMMYFUNCTION("""COMPUTED_VALUE"""),"K")</f>
        <v>K</v>
      </c>
      <c r="F3135" s="309" t="s">
        <v>34</v>
      </c>
      <c r="G3135" s="308"/>
      <c r="H3135" s="308" t="s">
        <v>12882</v>
      </c>
      <c r="I3135" s="314">
        <v>41816.0</v>
      </c>
      <c r="J3135" s="319">
        <f>IFERROR(__xludf.DUMMYFUNCTION("SPLIT(I3135,""/"")"),26.0)</f>
        <v>26</v>
      </c>
      <c r="K3135" s="308">
        <f>IFERROR(__xludf.DUMMYFUNCTION("""COMPUTED_VALUE"""),6.0)</f>
        <v>6</v>
      </c>
      <c r="L3135" s="308">
        <f>IFERROR(__xludf.DUMMYFUNCTION("""COMPUTED_VALUE"""),2014.0)</f>
        <v>2014</v>
      </c>
      <c r="M3135" s="308" t="s">
        <v>12883</v>
      </c>
      <c r="N3135" s="308" t="s">
        <v>439</v>
      </c>
      <c r="O3135" s="308" t="s">
        <v>12884</v>
      </c>
      <c r="P3135" s="308" t="s">
        <v>12885</v>
      </c>
      <c r="Q3135" s="308"/>
      <c r="R3135" s="308"/>
      <c r="S3135" s="315" t="s">
        <v>100</v>
      </c>
      <c r="T3135" s="311" t="s">
        <v>34208</v>
      </c>
      <c r="U3135" s="308" t="s">
        <v>282</v>
      </c>
      <c r="V3135" s="312"/>
    </row>
    <row r="3136">
      <c r="A3136" s="308">
        <v>3135.0</v>
      </c>
      <c r="B3136" s="308"/>
      <c r="C3136" s="308" t="s">
        <v>12886</v>
      </c>
      <c r="D3136" s="308">
        <f>IFERROR(__xludf.DUMMYFUNCTION("SPLIT(C3136,""-"")"),3156.0)</f>
        <v>3156</v>
      </c>
      <c r="E3136" s="308" t="str">
        <f>IFERROR(__xludf.DUMMYFUNCTION("""COMPUTED_VALUE"""),"K")</f>
        <v>K</v>
      </c>
      <c r="F3136" s="309" t="s">
        <v>34</v>
      </c>
      <c r="G3136" s="308"/>
      <c r="H3136" s="308" t="s">
        <v>12887</v>
      </c>
      <c r="I3136" s="314">
        <v>41991.0</v>
      </c>
      <c r="J3136" s="319">
        <f>IFERROR(__xludf.DUMMYFUNCTION("SPLIT(I3136,""/"")"),18.0)</f>
        <v>18</v>
      </c>
      <c r="K3136" s="308">
        <f>IFERROR(__xludf.DUMMYFUNCTION("""COMPUTED_VALUE"""),12.0)</f>
        <v>12</v>
      </c>
      <c r="L3136" s="308">
        <f>IFERROR(__xludf.DUMMYFUNCTION("""COMPUTED_VALUE"""),2014.0)</f>
        <v>2014</v>
      </c>
      <c r="M3136" s="308" t="s">
        <v>12888</v>
      </c>
      <c r="N3136" s="308"/>
      <c r="O3136" s="308"/>
      <c r="P3136" s="308" t="s">
        <v>12889</v>
      </c>
      <c r="Q3136" s="308"/>
      <c r="R3136" s="308"/>
      <c r="S3136" s="308" t="s">
        <v>81</v>
      </c>
      <c r="T3136" s="308" t="s">
        <v>34264</v>
      </c>
      <c r="U3136" s="308" t="s">
        <v>125</v>
      </c>
      <c r="V3136" s="312"/>
    </row>
    <row r="3137">
      <c r="A3137" s="308">
        <v>3136.0</v>
      </c>
      <c r="B3137" s="308"/>
      <c r="C3137" s="308" t="s">
        <v>12890</v>
      </c>
      <c r="D3137" s="308">
        <f>IFERROR(__xludf.DUMMYFUNCTION("SPLIT(C3137,""-"")"),3157.0)</f>
        <v>3157</v>
      </c>
      <c r="E3137" s="308" t="str">
        <f>IFERROR(__xludf.DUMMYFUNCTION("""COMPUTED_VALUE"""),"A")</f>
        <v>A</v>
      </c>
      <c r="F3137" s="309" t="s">
        <v>23</v>
      </c>
      <c r="G3137" s="308"/>
      <c r="H3137" s="308" t="s">
        <v>12891</v>
      </c>
      <c r="I3137" s="314">
        <v>42332.0</v>
      </c>
      <c r="J3137" s="319">
        <f>IFERROR(__xludf.DUMMYFUNCTION("SPLIT(I3137,""/"")"),24.0)</f>
        <v>24</v>
      </c>
      <c r="K3137" s="308">
        <f>IFERROR(__xludf.DUMMYFUNCTION("""COMPUTED_VALUE"""),11.0)</f>
        <v>11</v>
      </c>
      <c r="L3137" s="308">
        <f>IFERROR(__xludf.DUMMYFUNCTION("""COMPUTED_VALUE"""),2015.0)</f>
        <v>2015</v>
      </c>
      <c r="M3137" s="308" t="s">
        <v>12892</v>
      </c>
      <c r="N3137" s="308"/>
      <c r="O3137" s="308" t="s">
        <v>635</v>
      </c>
      <c r="P3137" s="308" t="s">
        <v>12893</v>
      </c>
      <c r="Q3137" s="308"/>
      <c r="R3137" s="308"/>
      <c r="S3137" s="308" t="s">
        <v>81</v>
      </c>
      <c r="T3137" s="311" t="s">
        <v>85</v>
      </c>
      <c r="U3137" s="308" t="s">
        <v>403</v>
      </c>
      <c r="V3137" s="312"/>
    </row>
    <row r="3138">
      <c r="A3138" s="308">
        <v>3137.0</v>
      </c>
      <c r="B3138" s="308"/>
      <c r="C3138" s="308" t="s">
        <v>12894</v>
      </c>
      <c r="D3138" s="308">
        <f>IFERROR(__xludf.DUMMYFUNCTION("SPLIT(C3138,""-"")"),3158.0)</f>
        <v>3158</v>
      </c>
      <c r="E3138" s="308" t="str">
        <f>IFERROR(__xludf.DUMMYFUNCTION("""COMPUTED_VALUE"""),"F")</f>
        <v>F</v>
      </c>
      <c r="F3138" s="309" t="s">
        <v>34</v>
      </c>
      <c r="G3138" s="308"/>
      <c r="H3138" s="308" t="s">
        <v>12895</v>
      </c>
      <c r="I3138" s="310">
        <v>40794.0</v>
      </c>
      <c r="J3138" s="319">
        <f>IFERROR(__xludf.DUMMYFUNCTION("SPLIT(I3138,""/"")"),8.0)</f>
        <v>8</v>
      </c>
      <c r="K3138" s="308">
        <f>IFERROR(__xludf.DUMMYFUNCTION("""COMPUTED_VALUE"""),9.0)</f>
        <v>9</v>
      </c>
      <c r="L3138" s="308">
        <f>IFERROR(__xludf.DUMMYFUNCTION("""COMPUTED_VALUE"""),2011.0)</f>
        <v>2011</v>
      </c>
      <c r="M3138" s="308" t="s">
        <v>12896</v>
      </c>
      <c r="N3138" s="308"/>
      <c r="O3138" s="308" t="s">
        <v>635</v>
      </c>
      <c r="P3138" s="308" t="s">
        <v>12897</v>
      </c>
      <c r="Q3138" s="308"/>
      <c r="R3138" s="308"/>
      <c r="S3138" s="308" t="s">
        <v>81</v>
      </c>
      <c r="T3138" s="308" t="s">
        <v>34264</v>
      </c>
      <c r="U3138" s="308" t="s">
        <v>195</v>
      </c>
      <c r="V3138" s="312"/>
    </row>
    <row r="3139">
      <c r="A3139" s="308">
        <v>3138.0</v>
      </c>
      <c r="B3139" s="308"/>
      <c r="C3139" s="308" t="s">
        <v>12898</v>
      </c>
      <c r="D3139" s="308">
        <f>IFERROR(__xludf.DUMMYFUNCTION("SPLIT(C3139,""-"")"),3159.0)</f>
        <v>3159</v>
      </c>
      <c r="E3139" s="308" t="str">
        <f>IFERROR(__xludf.DUMMYFUNCTION("""COMPUTED_VALUE"""),"K")</f>
        <v>K</v>
      </c>
      <c r="F3139" s="309" t="s">
        <v>34</v>
      </c>
      <c r="G3139" s="308"/>
      <c r="H3139" s="308" t="s">
        <v>12899</v>
      </c>
      <c r="I3139" s="314">
        <v>40347.0</v>
      </c>
      <c r="J3139" s="319">
        <f>IFERROR(__xludf.DUMMYFUNCTION("SPLIT(I3139,""/"")"),18.0)</f>
        <v>18</v>
      </c>
      <c r="K3139" s="308">
        <f>IFERROR(__xludf.DUMMYFUNCTION("""COMPUTED_VALUE"""),6.0)</f>
        <v>6</v>
      </c>
      <c r="L3139" s="308">
        <f>IFERROR(__xludf.DUMMYFUNCTION("""COMPUTED_VALUE"""),2010.0)</f>
        <v>2010</v>
      </c>
      <c r="M3139" s="308" t="s">
        <v>12900</v>
      </c>
      <c r="N3139" s="308"/>
      <c r="O3139" s="308" t="s">
        <v>12901</v>
      </c>
      <c r="P3139" s="308" t="s">
        <v>2675</v>
      </c>
      <c r="Q3139" s="308"/>
      <c r="R3139" s="308"/>
      <c r="S3139" s="308" t="s">
        <v>49</v>
      </c>
      <c r="T3139" s="308" t="s">
        <v>51</v>
      </c>
      <c r="U3139" s="312"/>
      <c r="V3139" s="312"/>
    </row>
    <row r="3140">
      <c r="A3140" s="308">
        <v>3139.0</v>
      </c>
      <c r="B3140" s="308"/>
      <c r="C3140" s="308" t="s">
        <v>12902</v>
      </c>
      <c r="D3140" s="308">
        <f>IFERROR(__xludf.DUMMYFUNCTION("SPLIT(C3140,""-"")"),3160.0)</f>
        <v>3160</v>
      </c>
      <c r="E3140" s="308" t="str">
        <f>IFERROR(__xludf.DUMMYFUNCTION("""COMPUTED_VALUE"""),"P")</f>
        <v>P</v>
      </c>
      <c r="F3140" s="312" t="s">
        <v>37</v>
      </c>
      <c r="G3140" s="308"/>
      <c r="H3140" s="308" t="s">
        <v>12903</v>
      </c>
      <c r="I3140" s="310">
        <v>42378.0</v>
      </c>
      <c r="J3140" s="319">
        <f>IFERROR(__xludf.DUMMYFUNCTION("SPLIT(I3140,""/"")"),9.0)</f>
        <v>9</v>
      </c>
      <c r="K3140" s="308">
        <f>IFERROR(__xludf.DUMMYFUNCTION("""COMPUTED_VALUE"""),1.0)</f>
        <v>1</v>
      </c>
      <c r="L3140" s="308">
        <f>IFERROR(__xludf.DUMMYFUNCTION("""COMPUTED_VALUE"""),2016.0)</f>
        <v>2016</v>
      </c>
      <c r="M3140" s="308" t="s">
        <v>12904</v>
      </c>
      <c r="N3140" s="308"/>
      <c r="O3140" s="308" t="s">
        <v>11322</v>
      </c>
      <c r="P3140" s="308" t="s">
        <v>12905</v>
      </c>
      <c r="Q3140" s="308"/>
      <c r="R3140" s="308"/>
      <c r="S3140" s="308" t="s">
        <v>81</v>
      </c>
      <c r="T3140" s="308" t="s">
        <v>75</v>
      </c>
      <c r="U3140" s="308"/>
      <c r="V3140" s="312"/>
    </row>
    <row r="3141">
      <c r="A3141" s="308">
        <v>3140.0</v>
      </c>
      <c r="B3141" s="308"/>
      <c r="C3141" s="308" t="s">
        <v>12906</v>
      </c>
      <c r="D3141" s="308">
        <f>IFERROR(__xludf.DUMMYFUNCTION("SPLIT(C3141,""-"")"),3161.0)</f>
        <v>3161</v>
      </c>
      <c r="E3141" s="308" t="str">
        <f>IFERROR(__xludf.DUMMYFUNCTION("""COMPUTED_VALUE"""),"B")</f>
        <v>B</v>
      </c>
      <c r="F3141" s="315" t="s">
        <v>26</v>
      </c>
      <c r="G3141" s="308"/>
      <c r="H3141" s="308" t="s">
        <v>12907</v>
      </c>
      <c r="I3141" s="314">
        <v>41686.0</v>
      </c>
      <c r="J3141" s="319">
        <f>IFERROR(__xludf.DUMMYFUNCTION("SPLIT(I3141,""/"")"),16.0)</f>
        <v>16</v>
      </c>
      <c r="K3141" s="308">
        <f>IFERROR(__xludf.DUMMYFUNCTION("""COMPUTED_VALUE"""),2.0)</f>
        <v>2</v>
      </c>
      <c r="L3141" s="308">
        <f>IFERROR(__xludf.DUMMYFUNCTION("""COMPUTED_VALUE"""),2014.0)</f>
        <v>2014</v>
      </c>
      <c r="M3141" s="308" t="s">
        <v>12908</v>
      </c>
      <c r="N3141" s="308"/>
      <c r="O3141" s="308" t="s">
        <v>12909</v>
      </c>
      <c r="P3141" s="308" t="s">
        <v>12910</v>
      </c>
      <c r="Q3141" s="308"/>
      <c r="R3141" s="308"/>
      <c r="S3141" s="308" t="s">
        <v>81</v>
      </c>
      <c r="T3141" s="308" t="s">
        <v>75</v>
      </c>
      <c r="U3141" s="308" t="s">
        <v>27</v>
      </c>
      <c r="V3141" s="312"/>
    </row>
    <row r="3142">
      <c r="A3142" s="308">
        <v>3141.0</v>
      </c>
      <c r="B3142" s="308"/>
      <c r="C3142" s="308" t="s">
        <v>12911</v>
      </c>
      <c r="D3142" s="308">
        <f>IFERROR(__xludf.DUMMYFUNCTION("SPLIT(C3142,""-"")"),3162.0)</f>
        <v>3162</v>
      </c>
      <c r="E3142" s="308" t="str">
        <f>IFERROR(__xludf.DUMMYFUNCTION("""COMPUTED_VALUE"""),"B")</f>
        <v>B</v>
      </c>
      <c r="F3142" s="315" t="s">
        <v>26</v>
      </c>
      <c r="G3142" s="308"/>
      <c r="H3142" s="308" t="s">
        <v>12912</v>
      </c>
      <c r="I3142" s="314">
        <v>41686.0</v>
      </c>
      <c r="J3142" s="319">
        <f>IFERROR(__xludf.DUMMYFUNCTION("SPLIT(I3142,""/"")"),16.0)</f>
        <v>16</v>
      </c>
      <c r="K3142" s="308">
        <f>IFERROR(__xludf.DUMMYFUNCTION("""COMPUTED_VALUE"""),2.0)</f>
        <v>2</v>
      </c>
      <c r="L3142" s="308">
        <f>IFERROR(__xludf.DUMMYFUNCTION("""COMPUTED_VALUE"""),2014.0)</f>
        <v>2014</v>
      </c>
      <c r="M3142" s="308" t="s">
        <v>12908</v>
      </c>
      <c r="N3142" s="308"/>
      <c r="O3142" s="308" t="s">
        <v>12909</v>
      </c>
      <c r="P3142" s="308" t="s">
        <v>12913</v>
      </c>
      <c r="Q3142" s="308"/>
      <c r="R3142" s="308"/>
      <c r="S3142" s="308" t="s">
        <v>81</v>
      </c>
      <c r="T3142" s="308" t="s">
        <v>75</v>
      </c>
      <c r="U3142" s="308" t="s">
        <v>27</v>
      </c>
      <c r="V3142" s="312"/>
    </row>
    <row r="3143">
      <c r="A3143" s="308">
        <v>3142.0</v>
      </c>
      <c r="B3143" s="308"/>
      <c r="C3143" s="308" t="s">
        <v>12914</v>
      </c>
      <c r="D3143" s="308">
        <f>IFERROR(__xludf.DUMMYFUNCTION("SPLIT(C3143,""-"")"),3163.0)</f>
        <v>3163</v>
      </c>
      <c r="E3143" s="308" t="str">
        <f>IFERROR(__xludf.DUMMYFUNCTION("""COMPUTED_VALUE"""),"P")</f>
        <v>P</v>
      </c>
      <c r="F3143" s="312" t="s">
        <v>37</v>
      </c>
      <c r="G3143" s="308"/>
      <c r="H3143" s="308" t="s">
        <v>12915</v>
      </c>
      <c r="I3143" s="314">
        <v>42356.0</v>
      </c>
      <c r="J3143" s="319">
        <f>IFERROR(__xludf.DUMMYFUNCTION("SPLIT(I3143,""/"")"),18.0)</f>
        <v>18</v>
      </c>
      <c r="K3143" s="308">
        <f>IFERROR(__xludf.DUMMYFUNCTION("""COMPUTED_VALUE"""),12.0)</f>
        <v>12</v>
      </c>
      <c r="L3143" s="308">
        <f>IFERROR(__xludf.DUMMYFUNCTION("""COMPUTED_VALUE"""),2015.0)</f>
        <v>2015</v>
      </c>
      <c r="M3143" s="308" t="s">
        <v>12916</v>
      </c>
      <c r="N3143" s="308"/>
      <c r="O3143" s="308" t="s">
        <v>12917</v>
      </c>
      <c r="P3143" s="308" t="s">
        <v>12918</v>
      </c>
      <c r="Q3143" s="308"/>
      <c r="R3143" s="308"/>
      <c r="S3143" s="308" t="s">
        <v>81</v>
      </c>
      <c r="T3143" s="308" t="s">
        <v>75</v>
      </c>
      <c r="U3143" s="308" t="s">
        <v>143</v>
      </c>
      <c r="V3143" s="312"/>
    </row>
    <row r="3144">
      <c r="A3144" s="308">
        <v>3143.0</v>
      </c>
      <c r="B3144" s="308"/>
      <c r="C3144" s="308" t="s">
        <v>12919</v>
      </c>
      <c r="D3144" s="308">
        <f>IFERROR(__xludf.DUMMYFUNCTION("SPLIT(C3144,""-"")"),3164.0)</f>
        <v>3164</v>
      </c>
      <c r="E3144" s="308" t="str">
        <f>IFERROR(__xludf.DUMMYFUNCTION("""COMPUTED_VALUE"""),"P")</f>
        <v>P</v>
      </c>
      <c r="F3144" s="312" t="s">
        <v>37</v>
      </c>
      <c r="G3144" s="308"/>
      <c r="H3144" s="308" t="s">
        <v>12920</v>
      </c>
      <c r="I3144" s="310">
        <v>42346.0</v>
      </c>
      <c r="J3144" s="319">
        <f>IFERROR(__xludf.DUMMYFUNCTION("SPLIT(I3144,""/"")"),8.0)</f>
        <v>8</v>
      </c>
      <c r="K3144" s="308">
        <f>IFERROR(__xludf.DUMMYFUNCTION("""COMPUTED_VALUE"""),12.0)</f>
        <v>12</v>
      </c>
      <c r="L3144" s="308">
        <f>IFERROR(__xludf.DUMMYFUNCTION("""COMPUTED_VALUE"""),2015.0)</f>
        <v>2015</v>
      </c>
      <c r="M3144" s="308" t="s">
        <v>12921</v>
      </c>
      <c r="N3144" s="308"/>
      <c r="O3144" s="308" t="s">
        <v>12922</v>
      </c>
      <c r="P3144" s="308" t="s">
        <v>12923</v>
      </c>
      <c r="Q3144" s="308"/>
      <c r="R3144" s="308"/>
      <c r="S3144" s="308" t="s">
        <v>81</v>
      </c>
      <c r="T3144" s="308" t="s">
        <v>73</v>
      </c>
      <c r="U3144" s="308"/>
      <c r="V3144" s="312"/>
    </row>
    <row r="3145">
      <c r="A3145" s="308">
        <v>3144.0</v>
      </c>
      <c r="B3145" s="308"/>
      <c r="C3145" s="308" t="s">
        <v>12924</v>
      </c>
      <c r="D3145" s="308">
        <f>IFERROR(__xludf.DUMMYFUNCTION("SPLIT(C3145,""-"")"),3165.0)</f>
        <v>3165</v>
      </c>
      <c r="E3145" s="308" t="str">
        <f>IFERROR(__xludf.DUMMYFUNCTION("""COMPUTED_VALUE"""),"P")</f>
        <v>P</v>
      </c>
      <c r="F3145" s="312" t="s">
        <v>37</v>
      </c>
      <c r="G3145" s="308"/>
      <c r="H3145" s="308" t="s">
        <v>12925</v>
      </c>
      <c r="I3145" s="310">
        <v>42346.0</v>
      </c>
      <c r="J3145" s="319">
        <f>IFERROR(__xludf.DUMMYFUNCTION("SPLIT(I3145,""/"")"),8.0)</f>
        <v>8</v>
      </c>
      <c r="K3145" s="308">
        <f>IFERROR(__xludf.DUMMYFUNCTION("""COMPUTED_VALUE"""),12.0)</f>
        <v>12</v>
      </c>
      <c r="L3145" s="308">
        <f>IFERROR(__xludf.DUMMYFUNCTION("""COMPUTED_VALUE"""),2015.0)</f>
        <v>2015</v>
      </c>
      <c r="M3145" s="308" t="s">
        <v>12921</v>
      </c>
      <c r="N3145" s="308"/>
      <c r="O3145" s="308" t="s">
        <v>12922</v>
      </c>
      <c r="P3145" s="308" t="s">
        <v>12923</v>
      </c>
      <c r="Q3145" s="308"/>
      <c r="R3145" s="308"/>
      <c r="S3145" s="308" t="s">
        <v>81</v>
      </c>
      <c r="T3145" s="308" t="s">
        <v>73</v>
      </c>
      <c r="U3145" s="308"/>
      <c r="V3145" s="312"/>
    </row>
    <row r="3146">
      <c r="A3146" s="308">
        <v>3145.0</v>
      </c>
      <c r="B3146" s="308"/>
      <c r="C3146" s="308" t="s">
        <v>12926</v>
      </c>
      <c r="D3146" s="308">
        <f>IFERROR(__xludf.DUMMYFUNCTION("SPLIT(C3146,""-"")"),3166.0)</f>
        <v>3166</v>
      </c>
      <c r="E3146" s="308" t="str">
        <f>IFERROR(__xludf.DUMMYFUNCTION("""COMPUTED_VALUE"""),"K")</f>
        <v>K</v>
      </c>
      <c r="F3146" s="309" t="s">
        <v>34</v>
      </c>
      <c r="G3146" s="308"/>
      <c r="H3146" s="308" t="s">
        <v>758</v>
      </c>
      <c r="I3146" s="314">
        <v>40509.0</v>
      </c>
      <c r="J3146" s="319">
        <f>IFERROR(__xludf.DUMMYFUNCTION("SPLIT(I3146,""/"")"),27.0)</f>
        <v>27</v>
      </c>
      <c r="K3146" s="308">
        <f>IFERROR(__xludf.DUMMYFUNCTION("""COMPUTED_VALUE"""),11.0)</f>
        <v>11</v>
      </c>
      <c r="L3146" s="308">
        <f>IFERROR(__xludf.DUMMYFUNCTION("""COMPUTED_VALUE"""),2010.0)</f>
        <v>2010</v>
      </c>
      <c r="M3146" s="308" t="s">
        <v>36879</v>
      </c>
      <c r="N3146" s="308"/>
      <c r="O3146" s="308" t="s">
        <v>12928</v>
      </c>
      <c r="P3146" s="308" t="s">
        <v>12929</v>
      </c>
      <c r="Q3146" s="308"/>
      <c r="R3146" s="308"/>
      <c r="S3146" s="308" t="s">
        <v>81</v>
      </c>
      <c r="T3146" s="308" t="s">
        <v>75</v>
      </c>
      <c r="U3146" s="308"/>
      <c r="V3146" s="312"/>
    </row>
    <row r="3147">
      <c r="A3147" s="308">
        <v>3146.0</v>
      </c>
      <c r="B3147" s="308"/>
      <c r="C3147" s="308" t="s">
        <v>36880</v>
      </c>
      <c r="D3147" s="308" t="str">
        <f>IFERROR(__xludf.DUMMYFUNCTION("SPLIT(C3147,""-"")"),"#REF!")</f>
        <v>#REF!</v>
      </c>
      <c r="E3147" s="311"/>
      <c r="F3147" s="309" t="s">
        <v>31</v>
      </c>
      <c r="G3147" s="308"/>
      <c r="H3147" s="308" t="s">
        <v>12931</v>
      </c>
      <c r="I3147" s="314">
        <v>42352.0</v>
      </c>
      <c r="J3147" s="319">
        <f>IFERROR(__xludf.DUMMYFUNCTION("SPLIT(I3147,""/"")"),14.0)</f>
        <v>14</v>
      </c>
      <c r="K3147" s="308">
        <f>IFERROR(__xludf.DUMMYFUNCTION("""COMPUTED_VALUE"""),12.0)</f>
        <v>12</v>
      </c>
      <c r="L3147" s="308">
        <f>IFERROR(__xludf.DUMMYFUNCTION("""COMPUTED_VALUE"""),2015.0)</f>
        <v>2015</v>
      </c>
      <c r="M3147" s="308" t="s">
        <v>12932</v>
      </c>
      <c r="N3147" s="308" t="s">
        <v>12933</v>
      </c>
      <c r="O3147" s="308" t="s">
        <v>12934</v>
      </c>
      <c r="P3147" s="308" t="s">
        <v>36881</v>
      </c>
      <c r="Q3147" s="308" t="s">
        <v>4627</v>
      </c>
      <c r="R3147" s="308"/>
      <c r="S3147" s="308" t="s">
        <v>49</v>
      </c>
      <c r="T3147" s="308" t="s">
        <v>51</v>
      </c>
      <c r="U3147" s="308" t="s">
        <v>31</v>
      </c>
      <c r="V3147" s="312"/>
    </row>
    <row r="3148">
      <c r="A3148" s="308">
        <v>3147.0</v>
      </c>
      <c r="B3148" s="308"/>
      <c r="C3148" s="308" t="s">
        <v>12936</v>
      </c>
      <c r="D3148" s="308">
        <f>IFERROR(__xludf.DUMMYFUNCTION("SPLIT(C3148,""-"")"),3168.0)</f>
        <v>3168</v>
      </c>
      <c r="E3148" s="308" t="str">
        <f>IFERROR(__xludf.DUMMYFUNCTION("""COMPUTED_VALUE"""),"I")</f>
        <v>I</v>
      </c>
      <c r="F3148" s="309" t="s">
        <v>31</v>
      </c>
      <c r="G3148" s="308"/>
      <c r="H3148" s="308" t="s">
        <v>12937</v>
      </c>
      <c r="I3148" s="316" t="s">
        <v>12938</v>
      </c>
      <c r="J3148" s="323">
        <v>17.0</v>
      </c>
      <c r="K3148" s="311">
        <v>7.0</v>
      </c>
      <c r="L3148" s="311">
        <v>2015.0</v>
      </c>
      <c r="M3148" s="308" t="s">
        <v>12939</v>
      </c>
      <c r="N3148" s="308"/>
      <c r="O3148" s="308" t="s">
        <v>12940</v>
      </c>
      <c r="P3148" s="308" t="s">
        <v>12941</v>
      </c>
      <c r="Q3148" s="308"/>
      <c r="R3148" s="308" t="s">
        <v>36882</v>
      </c>
      <c r="S3148" s="308" t="s">
        <v>49</v>
      </c>
      <c r="T3148" s="311" t="s">
        <v>51</v>
      </c>
      <c r="U3148" s="308" t="s">
        <v>31</v>
      </c>
      <c r="V3148" s="312"/>
    </row>
    <row r="3149">
      <c r="A3149" s="308">
        <v>3148.0</v>
      </c>
      <c r="B3149" s="308"/>
      <c r="C3149" s="308" t="s">
        <v>12942</v>
      </c>
      <c r="D3149" s="308">
        <f>IFERROR(__xludf.DUMMYFUNCTION("SPLIT(C3149,""-"")"),3169.0)</f>
        <v>3169</v>
      </c>
      <c r="E3149" s="308" t="str">
        <f>IFERROR(__xludf.DUMMYFUNCTION("""COMPUTED_VALUE"""),"S")</f>
        <v>S</v>
      </c>
      <c r="F3149" s="312" t="s">
        <v>39</v>
      </c>
      <c r="G3149" s="308"/>
      <c r="H3149" s="308" t="s">
        <v>12943</v>
      </c>
      <c r="I3149" s="310">
        <v>41770.0</v>
      </c>
      <c r="J3149" s="319">
        <f>IFERROR(__xludf.DUMMYFUNCTION("SPLIT(I3149,""/"")"),11.0)</f>
        <v>11</v>
      </c>
      <c r="K3149" s="308">
        <f>IFERROR(__xludf.DUMMYFUNCTION("""COMPUTED_VALUE"""),5.0)</f>
        <v>5</v>
      </c>
      <c r="L3149" s="308">
        <f>IFERROR(__xludf.DUMMYFUNCTION("""COMPUTED_VALUE"""),2014.0)</f>
        <v>2014</v>
      </c>
      <c r="M3149" s="308" t="s">
        <v>12944</v>
      </c>
      <c r="N3149" s="308"/>
      <c r="O3149" s="308" t="s">
        <v>12945</v>
      </c>
      <c r="P3149" s="308" t="s">
        <v>36883</v>
      </c>
      <c r="Q3149" s="308"/>
      <c r="R3149" s="308"/>
      <c r="S3149" s="308" t="s">
        <v>81</v>
      </c>
      <c r="T3149" s="311" t="s">
        <v>73</v>
      </c>
      <c r="U3149" s="308" t="s">
        <v>12947</v>
      </c>
      <c r="V3149" s="312"/>
    </row>
    <row r="3150">
      <c r="A3150" s="308">
        <v>3149.0</v>
      </c>
      <c r="B3150" s="308" t="s">
        <v>12948</v>
      </c>
      <c r="C3150" s="308" t="s">
        <v>12949</v>
      </c>
      <c r="D3150" s="308">
        <f>IFERROR(__xludf.DUMMYFUNCTION("SPLIT(C3150,""-"")"),3170.0)</f>
        <v>3170</v>
      </c>
      <c r="E3150" s="308" t="str">
        <f>IFERROR(__xludf.DUMMYFUNCTION("""COMPUTED_VALUE"""),"P")</f>
        <v>P</v>
      </c>
      <c r="F3150" s="312" t="s">
        <v>37</v>
      </c>
      <c r="G3150" s="308"/>
      <c r="H3150" s="308" t="s">
        <v>4192</v>
      </c>
      <c r="I3150" s="314">
        <v>40675.0</v>
      </c>
      <c r="J3150" s="319">
        <f>IFERROR(__xludf.DUMMYFUNCTION("SPLIT(I3150,""/"")"),12.0)</f>
        <v>12</v>
      </c>
      <c r="K3150" s="308">
        <f>IFERROR(__xludf.DUMMYFUNCTION("""COMPUTED_VALUE"""),5.0)</f>
        <v>5</v>
      </c>
      <c r="L3150" s="308">
        <f>IFERROR(__xludf.DUMMYFUNCTION("""COMPUTED_VALUE"""),2011.0)</f>
        <v>2011</v>
      </c>
      <c r="M3150" s="308" t="s">
        <v>4193</v>
      </c>
      <c r="N3150" s="308"/>
      <c r="O3150" s="308"/>
      <c r="P3150" s="308" t="s">
        <v>12950</v>
      </c>
      <c r="Q3150" s="308"/>
      <c r="R3150" s="308"/>
      <c r="S3150" s="308" t="s">
        <v>81</v>
      </c>
      <c r="T3150" s="308" t="s">
        <v>73</v>
      </c>
      <c r="U3150" s="308"/>
      <c r="V3150" s="312"/>
    </row>
    <row r="3151">
      <c r="A3151" s="308">
        <v>3150.0</v>
      </c>
      <c r="B3151" s="308"/>
      <c r="C3151" s="308" t="s">
        <v>12951</v>
      </c>
      <c r="D3151" s="308">
        <f>IFERROR(__xludf.DUMMYFUNCTION("SPLIT(C3151,""-"")"),3171.0)</f>
        <v>3171</v>
      </c>
      <c r="E3151" s="308" t="str">
        <f>IFERROR(__xludf.DUMMYFUNCTION("""COMPUTED_VALUE"""),"K")</f>
        <v>K</v>
      </c>
      <c r="F3151" s="309" t="s">
        <v>34</v>
      </c>
      <c r="G3151" s="308" t="s">
        <v>12952</v>
      </c>
      <c r="H3151" s="308">
        <v>6360.0</v>
      </c>
      <c r="I3151" s="316">
        <v>2008.0</v>
      </c>
      <c r="J3151" s="319"/>
      <c r="K3151" s="308"/>
      <c r="L3151" s="311">
        <v>2008.0</v>
      </c>
      <c r="M3151" s="308" t="s">
        <v>12953</v>
      </c>
      <c r="N3151" s="308"/>
      <c r="O3151" s="308" t="s">
        <v>635</v>
      </c>
      <c r="P3151" s="308" t="s">
        <v>36884</v>
      </c>
      <c r="Q3151" s="308"/>
      <c r="R3151" s="308"/>
      <c r="S3151" s="308" t="s">
        <v>49</v>
      </c>
      <c r="T3151" s="308" t="s">
        <v>51</v>
      </c>
      <c r="U3151" s="308" t="s">
        <v>36885</v>
      </c>
      <c r="V3151" s="312"/>
    </row>
    <row r="3152">
      <c r="A3152" s="308">
        <v>3151.0</v>
      </c>
      <c r="B3152" s="308"/>
      <c r="C3152" s="308" t="s">
        <v>12955</v>
      </c>
      <c r="D3152" s="308">
        <f>IFERROR(__xludf.DUMMYFUNCTION("SPLIT(C3152,""-"")"),3172.0)</f>
        <v>3172</v>
      </c>
      <c r="E3152" s="308" t="str">
        <f>IFERROR(__xludf.DUMMYFUNCTION("""COMPUTED_VALUE"""),"K")</f>
        <v>K</v>
      </c>
      <c r="F3152" s="309" t="s">
        <v>34</v>
      </c>
      <c r="G3152" s="308"/>
      <c r="H3152" s="308" t="s">
        <v>12956</v>
      </c>
      <c r="I3152" s="314">
        <v>42361.0</v>
      </c>
      <c r="J3152" s="319">
        <f>IFERROR(__xludf.DUMMYFUNCTION("SPLIT(I3152,""/"")"),23.0)</f>
        <v>23</v>
      </c>
      <c r="K3152" s="308">
        <f>IFERROR(__xludf.DUMMYFUNCTION("""COMPUTED_VALUE"""),12.0)</f>
        <v>12</v>
      </c>
      <c r="L3152" s="308">
        <f>IFERROR(__xludf.DUMMYFUNCTION("""COMPUTED_VALUE"""),2015.0)</f>
        <v>2015</v>
      </c>
      <c r="M3152" s="308" t="s">
        <v>12953</v>
      </c>
      <c r="N3152" s="308"/>
      <c r="O3152" s="308" t="s">
        <v>635</v>
      </c>
      <c r="P3152" s="308" t="s">
        <v>296</v>
      </c>
      <c r="Q3152" s="308"/>
      <c r="R3152" s="308"/>
      <c r="S3152" s="308" t="s">
        <v>81</v>
      </c>
      <c r="T3152" s="308" t="s">
        <v>75</v>
      </c>
      <c r="U3152" s="308" t="s">
        <v>282</v>
      </c>
      <c r="V3152" s="312"/>
    </row>
    <row r="3153">
      <c r="A3153" s="308">
        <v>3152.0</v>
      </c>
      <c r="B3153" s="308"/>
      <c r="C3153" s="308" t="s">
        <v>12957</v>
      </c>
      <c r="D3153" s="308">
        <f>IFERROR(__xludf.DUMMYFUNCTION("SPLIT(C3153,""-"")"),3173.0)</f>
        <v>3173</v>
      </c>
      <c r="E3153" s="308" t="str">
        <f>IFERROR(__xludf.DUMMYFUNCTION("""COMPUTED_VALUE"""),"K")</f>
        <v>K</v>
      </c>
      <c r="F3153" s="309" t="s">
        <v>34</v>
      </c>
      <c r="G3153" s="308"/>
      <c r="H3153" s="308" t="s">
        <v>12958</v>
      </c>
      <c r="I3153" s="310">
        <v>41858.0</v>
      </c>
      <c r="J3153" s="319">
        <f>IFERROR(__xludf.DUMMYFUNCTION("SPLIT(I3153,""/"")"),7.0)</f>
        <v>7</v>
      </c>
      <c r="K3153" s="308">
        <f>IFERROR(__xludf.DUMMYFUNCTION("""COMPUTED_VALUE"""),8.0)</f>
        <v>8</v>
      </c>
      <c r="L3153" s="308">
        <f>IFERROR(__xludf.DUMMYFUNCTION("""COMPUTED_VALUE"""),2014.0)</f>
        <v>2014</v>
      </c>
      <c r="M3153" s="308" t="s">
        <v>12959</v>
      </c>
      <c r="N3153" s="308"/>
      <c r="O3153" s="308" t="s">
        <v>12960</v>
      </c>
      <c r="P3153" s="308" t="s">
        <v>36886</v>
      </c>
      <c r="Q3153" s="308"/>
      <c r="R3153" s="308" t="s">
        <v>618</v>
      </c>
      <c r="S3153" s="315" t="s">
        <v>100</v>
      </c>
      <c r="T3153" s="311" t="s">
        <v>34208</v>
      </c>
      <c r="U3153" s="308" t="s">
        <v>125</v>
      </c>
      <c r="V3153" s="312"/>
    </row>
    <row r="3154">
      <c r="A3154" s="308">
        <v>3153.0</v>
      </c>
      <c r="B3154" s="308"/>
      <c r="C3154" s="308" t="s">
        <v>12961</v>
      </c>
      <c r="D3154" s="308">
        <f>IFERROR(__xludf.DUMMYFUNCTION("SPLIT(C3154,""-"")"),3174.0)</f>
        <v>3174</v>
      </c>
      <c r="E3154" s="308" t="str">
        <f>IFERROR(__xludf.DUMMYFUNCTION("""COMPUTED_VALUE"""),"S")</f>
        <v>S</v>
      </c>
      <c r="F3154" s="312" t="s">
        <v>39</v>
      </c>
      <c r="G3154" s="308"/>
      <c r="H3154" s="308" t="s">
        <v>12962</v>
      </c>
      <c r="I3154" s="314">
        <v>42332.0</v>
      </c>
      <c r="J3154" s="319">
        <f>IFERROR(__xludf.DUMMYFUNCTION("SPLIT(I3154,""/"")"),24.0)</f>
        <v>24</v>
      </c>
      <c r="K3154" s="308">
        <f>IFERROR(__xludf.DUMMYFUNCTION("""COMPUTED_VALUE"""),11.0)</f>
        <v>11</v>
      </c>
      <c r="L3154" s="308">
        <f>IFERROR(__xludf.DUMMYFUNCTION("""COMPUTED_VALUE"""),2015.0)</f>
        <v>2015</v>
      </c>
      <c r="M3154" s="308" t="s">
        <v>36887</v>
      </c>
      <c r="N3154" s="308"/>
      <c r="O3154" s="308"/>
      <c r="P3154" s="308" t="s">
        <v>36888</v>
      </c>
      <c r="Q3154" s="308"/>
      <c r="R3154" s="308"/>
      <c r="S3154" s="308" t="s">
        <v>81</v>
      </c>
      <c r="T3154" s="308" t="s">
        <v>73</v>
      </c>
      <c r="U3154" s="308" t="s">
        <v>166</v>
      </c>
      <c r="V3154" s="312"/>
    </row>
    <row r="3155">
      <c r="A3155" s="308">
        <v>3154.0</v>
      </c>
      <c r="B3155" s="308"/>
      <c r="C3155" s="308" t="s">
        <v>12965</v>
      </c>
      <c r="D3155" s="308">
        <f>IFERROR(__xludf.DUMMYFUNCTION("SPLIT(C3155,""-"")"),3175.0)</f>
        <v>3175</v>
      </c>
      <c r="E3155" s="308" t="str">
        <f>IFERROR(__xludf.DUMMYFUNCTION("""COMPUTED_VALUE"""),"K")</f>
        <v>K</v>
      </c>
      <c r="F3155" s="309" t="s">
        <v>34</v>
      </c>
      <c r="G3155" s="308"/>
      <c r="H3155" s="308" t="s">
        <v>12966</v>
      </c>
      <c r="I3155" s="316">
        <v>2009.0</v>
      </c>
      <c r="J3155" s="319"/>
      <c r="K3155" s="308"/>
      <c r="L3155" s="311">
        <v>2009.0</v>
      </c>
      <c r="M3155" s="308" t="s">
        <v>12967</v>
      </c>
      <c r="N3155" s="308" t="s">
        <v>12968</v>
      </c>
      <c r="O3155" s="308" t="s">
        <v>12969</v>
      </c>
      <c r="P3155" s="308" t="s">
        <v>36889</v>
      </c>
      <c r="Q3155" s="308"/>
      <c r="R3155" s="308"/>
      <c r="S3155" s="315" t="s">
        <v>100</v>
      </c>
      <c r="T3155" s="311" t="s">
        <v>34208</v>
      </c>
      <c r="U3155" s="308" t="s">
        <v>530</v>
      </c>
      <c r="V3155" s="312"/>
    </row>
    <row r="3156">
      <c r="A3156" s="308">
        <v>3155.0</v>
      </c>
      <c r="B3156" s="308"/>
      <c r="C3156" s="308" t="s">
        <v>12970</v>
      </c>
      <c r="D3156" s="308">
        <f>IFERROR(__xludf.DUMMYFUNCTION("SPLIT(C3156,""-"")"),3176.0)</f>
        <v>3176</v>
      </c>
      <c r="E3156" s="308" t="str">
        <f>IFERROR(__xludf.DUMMYFUNCTION("""COMPUTED_VALUE"""),"K")</f>
        <v>K</v>
      </c>
      <c r="F3156" s="309" t="s">
        <v>34</v>
      </c>
      <c r="G3156" s="308"/>
      <c r="H3156" s="308" t="s">
        <v>36890</v>
      </c>
      <c r="I3156" s="314">
        <v>41629.0</v>
      </c>
      <c r="J3156" s="319">
        <f>IFERROR(__xludf.DUMMYFUNCTION("SPLIT(I3156,""/"")"),21.0)</f>
        <v>21</v>
      </c>
      <c r="K3156" s="308">
        <f>IFERROR(__xludf.DUMMYFUNCTION("""COMPUTED_VALUE"""),12.0)</f>
        <v>12</v>
      </c>
      <c r="L3156" s="308">
        <f>IFERROR(__xludf.DUMMYFUNCTION("""COMPUTED_VALUE"""),2013.0)</f>
        <v>2013</v>
      </c>
      <c r="M3156" s="308" t="s">
        <v>12972</v>
      </c>
      <c r="N3156" s="308"/>
      <c r="O3156" s="308" t="s">
        <v>12973</v>
      </c>
      <c r="P3156" s="308" t="s">
        <v>12974</v>
      </c>
      <c r="Q3156" s="308"/>
      <c r="R3156" s="308"/>
      <c r="S3156" s="308" t="s">
        <v>81</v>
      </c>
      <c r="T3156" s="308" t="s">
        <v>98</v>
      </c>
      <c r="U3156" s="308" t="s">
        <v>542</v>
      </c>
      <c r="V3156" s="312"/>
    </row>
    <row r="3157">
      <c r="A3157" s="308">
        <v>3156.0</v>
      </c>
      <c r="B3157" s="308"/>
      <c r="C3157" s="308" t="s">
        <v>12975</v>
      </c>
      <c r="D3157" s="308">
        <f>IFERROR(__xludf.DUMMYFUNCTION("SPLIT(C3157,""-"")"),3177.0)</f>
        <v>3177</v>
      </c>
      <c r="E3157" s="308" t="str">
        <f>IFERROR(__xludf.DUMMYFUNCTION("""COMPUTED_VALUE"""),"I")</f>
        <v>I</v>
      </c>
      <c r="F3157" s="309" t="s">
        <v>31</v>
      </c>
      <c r="G3157" s="308"/>
      <c r="H3157" s="308" t="s">
        <v>12976</v>
      </c>
      <c r="I3157" s="310">
        <v>42404.0</v>
      </c>
      <c r="J3157" s="319">
        <f>IFERROR(__xludf.DUMMYFUNCTION("SPLIT(I3157,""/"")"),4.0)</f>
        <v>4</v>
      </c>
      <c r="K3157" s="308">
        <f>IFERROR(__xludf.DUMMYFUNCTION("""COMPUTED_VALUE"""),2.0)</f>
        <v>2</v>
      </c>
      <c r="L3157" s="308">
        <f>IFERROR(__xludf.DUMMYFUNCTION("""COMPUTED_VALUE"""),2016.0)</f>
        <v>2016</v>
      </c>
      <c r="M3157" s="308" t="s">
        <v>12977</v>
      </c>
      <c r="N3157" s="308"/>
      <c r="O3157" s="308" t="s">
        <v>12978</v>
      </c>
      <c r="P3157" s="308" t="s">
        <v>12979</v>
      </c>
      <c r="Q3157" s="308"/>
      <c r="R3157" s="308"/>
      <c r="S3157" s="308" t="s">
        <v>81</v>
      </c>
      <c r="T3157" s="311" t="s">
        <v>75</v>
      </c>
      <c r="U3157" s="308"/>
      <c r="V3157" s="312"/>
    </row>
    <row r="3158">
      <c r="A3158" s="308">
        <v>3157.0</v>
      </c>
      <c r="B3158" s="308"/>
      <c r="C3158" s="308" t="s">
        <v>12980</v>
      </c>
      <c r="D3158" s="308">
        <f>IFERROR(__xludf.DUMMYFUNCTION("SPLIT(C3158,""-"")"),3178.0)</f>
        <v>3178</v>
      </c>
      <c r="E3158" s="308" t="str">
        <f>IFERROR(__xludf.DUMMYFUNCTION("""COMPUTED_VALUE"""),"K")</f>
        <v>K</v>
      </c>
      <c r="F3158" s="309" t="s">
        <v>34</v>
      </c>
      <c r="G3158" s="308"/>
      <c r="H3158" s="308" t="s">
        <v>12981</v>
      </c>
      <c r="I3158" s="314">
        <v>37905.0</v>
      </c>
      <c r="J3158" s="319">
        <f>IFERROR(__xludf.DUMMYFUNCTION("SPLIT(I3158,""/"")"),11.0)</f>
        <v>11</v>
      </c>
      <c r="K3158" s="308">
        <f>IFERROR(__xludf.DUMMYFUNCTION("""COMPUTED_VALUE"""),10.0)</f>
        <v>10</v>
      </c>
      <c r="L3158" s="308">
        <f>IFERROR(__xludf.DUMMYFUNCTION("""COMPUTED_VALUE"""),2003.0)</f>
        <v>2003</v>
      </c>
      <c r="M3158" s="308" t="s">
        <v>12982</v>
      </c>
      <c r="N3158" s="308"/>
      <c r="O3158" s="308" t="s">
        <v>12983</v>
      </c>
      <c r="P3158" s="308" t="s">
        <v>12984</v>
      </c>
      <c r="Q3158" s="308"/>
      <c r="R3158" s="308"/>
      <c r="S3158" s="308" t="s">
        <v>49</v>
      </c>
      <c r="T3158" s="308" t="s">
        <v>51</v>
      </c>
      <c r="U3158" s="308"/>
      <c r="V3158" s="312"/>
    </row>
    <row r="3159">
      <c r="A3159" s="308">
        <v>3158.0</v>
      </c>
      <c r="B3159" s="308"/>
      <c r="C3159" s="308" t="s">
        <v>12985</v>
      </c>
      <c r="D3159" s="308">
        <f>IFERROR(__xludf.DUMMYFUNCTION("SPLIT(C3159,""-"")"),3179.0)</f>
        <v>3179</v>
      </c>
      <c r="E3159" s="308" t="str">
        <f>IFERROR(__xludf.DUMMYFUNCTION("""COMPUTED_VALUE"""),"P")</f>
        <v>P</v>
      </c>
      <c r="F3159" s="312" t="s">
        <v>37</v>
      </c>
      <c r="G3159" s="308"/>
      <c r="H3159" s="308" t="s">
        <v>12986</v>
      </c>
      <c r="I3159" s="314">
        <v>42333.0</v>
      </c>
      <c r="J3159" s="319">
        <f>IFERROR(__xludf.DUMMYFUNCTION("SPLIT(I3159,""/"")"),25.0)</f>
        <v>25</v>
      </c>
      <c r="K3159" s="308">
        <f>IFERROR(__xludf.DUMMYFUNCTION("""COMPUTED_VALUE"""),11.0)</f>
        <v>11</v>
      </c>
      <c r="L3159" s="308">
        <f>IFERROR(__xludf.DUMMYFUNCTION("""COMPUTED_VALUE"""),2015.0)</f>
        <v>2015</v>
      </c>
      <c r="M3159" s="308" t="s">
        <v>12987</v>
      </c>
      <c r="N3159" s="308"/>
      <c r="O3159" s="308" t="s">
        <v>635</v>
      </c>
      <c r="P3159" s="308" t="s">
        <v>12988</v>
      </c>
      <c r="Q3159" s="308"/>
      <c r="R3159" s="308"/>
      <c r="S3159" s="308" t="s">
        <v>81</v>
      </c>
      <c r="T3159" s="308" t="s">
        <v>75</v>
      </c>
      <c r="U3159" s="308" t="s">
        <v>143</v>
      </c>
      <c r="V3159" s="312"/>
    </row>
    <row r="3160">
      <c r="A3160" s="308">
        <v>3159.0</v>
      </c>
      <c r="B3160" s="308"/>
      <c r="C3160" s="308" t="s">
        <v>12989</v>
      </c>
      <c r="D3160" s="308">
        <f>IFERROR(__xludf.DUMMYFUNCTION("SPLIT(C3160,""-"")"),3180.0)</f>
        <v>3180</v>
      </c>
      <c r="E3160" s="308" t="str">
        <f>IFERROR(__xludf.DUMMYFUNCTION("""COMPUTED_VALUE"""),"S")</f>
        <v>S</v>
      </c>
      <c r="F3160" s="312" t="s">
        <v>39</v>
      </c>
      <c r="G3160" s="308"/>
      <c r="H3160" s="308" t="s">
        <v>12990</v>
      </c>
      <c r="I3160" s="310">
        <v>42461.0</v>
      </c>
      <c r="J3160" s="319">
        <f>IFERROR(__xludf.DUMMYFUNCTION("SPLIT(I3160,""/"")"),1.0)</f>
        <v>1</v>
      </c>
      <c r="K3160" s="308">
        <f>IFERROR(__xludf.DUMMYFUNCTION("""COMPUTED_VALUE"""),4.0)</f>
        <v>4</v>
      </c>
      <c r="L3160" s="308">
        <f>IFERROR(__xludf.DUMMYFUNCTION("""COMPUTED_VALUE"""),2016.0)</f>
        <v>2016</v>
      </c>
      <c r="M3160" s="308" t="s">
        <v>12991</v>
      </c>
      <c r="N3160" s="308"/>
      <c r="O3160" s="312"/>
      <c r="P3160" s="308" t="s">
        <v>36888</v>
      </c>
      <c r="Q3160" s="308"/>
      <c r="R3160" s="308"/>
      <c r="S3160" s="308" t="s">
        <v>81</v>
      </c>
      <c r="T3160" s="308" t="s">
        <v>73</v>
      </c>
      <c r="U3160" s="308" t="s">
        <v>166</v>
      </c>
      <c r="V3160" s="312"/>
    </row>
    <row r="3161">
      <c r="A3161" s="308">
        <v>3160.0</v>
      </c>
      <c r="B3161" s="308"/>
      <c r="C3161" s="308" t="s">
        <v>12992</v>
      </c>
      <c r="D3161" s="308">
        <f>IFERROR(__xludf.DUMMYFUNCTION("SPLIT(C3161,""-"")"),3181.0)</f>
        <v>3181</v>
      </c>
      <c r="E3161" s="308" t="str">
        <f>IFERROR(__xludf.DUMMYFUNCTION("""COMPUTED_VALUE"""),"P")</f>
        <v>P</v>
      </c>
      <c r="F3161" s="312" t="s">
        <v>37</v>
      </c>
      <c r="G3161" s="308"/>
      <c r="H3161" s="308" t="s">
        <v>12993</v>
      </c>
      <c r="I3161" s="310">
        <v>42427.0</v>
      </c>
      <c r="J3161" s="319">
        <f>IFERROR(__xludf.DUMMYFUNCTION("SPLIT(I3161,""/"")"),27.0)</f>
        <v>27</v>
      </c>
      <c r="K3161" s="308">
        <f>IFERROR(__xludf.DUMMYFUNCTION("""COMPUTED_VALUE"""),2.0)</f>
        <v>2</v>
      </c>
      <c r="L3161" s="308">
        <f>IFERROR(__xludf.DUMMYFUNCTION("""COMPUTED_VALUE"""),2016.0)</f>
        <v>2016</v>
      </c>
      <c r="M3161" s="308" t="s">
        <v>12994</v>
      </c>
      <c r="N3161" s="308"/>
      <c r="O3161" s="308" t="s">
        <v>12995</v>
      </c>
      <c r="P3161" s="308" t="s">
        <v>12996</v>
      </c>
      <c r="Q3161" s="308"/>
      <c r="R3161" s="308"/>
      <c r="S3161" s="308" t="s">
        <v>81</v>
      </c>
      <c r="T3161" s="308" t="s">
        <v>73</v>
      </c>
      <c r="U3161" s="308"/>
      <c r="V3161" s="312"/>
    </row>
    <row r="3162">
      <c r="A3162" s="308">
        <v>3161.0</v>
      </c>
      <c r="B3162" s="308"/>
      <c r="C3162" s="308" t="s">
        <v>12997</v>
      </c>
      <c r="D3162" s="308">
        <f>IFERROR(__xludf.DUMMYFUNCTION("SPLIT(C3162,""-"")"),3182.0)</f>
        <v>3182</v>
      </c>
      <c r="E3162" s="308" t="str">
        <f>IFERROR(__xludf.DUMMYFUNCTION("""COMPUTED_VALUE"""),"P")</f>
        <v>P</v>
      </c>
      <c r="F3162" s="312" t="s">
        <v>37</v>
      </c>
      <c r="G3162" s="308"/>
      <c r="H3162" s="308" t="s">
        <v>12998</v>
      </c>
      <c r="I3162" s="310">
        <v>42384.0</v>
      </c>
      <c r="J3162" s="319">
        <f>IFERROR(__xludf.DUMMYFUNCTION("SPLIT(I3162,""/"")"),15.0)</f>
        <v>15</v>
      </c>
      <c r="K3162" s="308">
        <f>IFERROR(__xludf.DUMMYFUNCTION("""COMPUTED_VALUE"""),1.0)</f>
        <v>1</v>
      </c>
      <c r="L3162" s="308">
        <f>IFERROR(__xludf.DUMMYFUNCTION("""COMPUTED_VALUE"""),2016.0)</f>
        <v>2016</v>
      </c>
      <c r="M3162" s="308" t="s">
        <v>12999</v>
      </c>
      <c r="N3162" s="308"/>
      <c r="O3162" s="308" t="s">
        <v>635</v>
      </c>
      <c r="P3162" s="308" t="s">
        <v>13000</v>
      </c>
      <c r="Q3162" s="308"/>
      <c r="R3162" s="308"/>
      <c r="S3162" s="308" t="s">
        <v>81</v>
      </c>
      <c r="T3162" s="311" t="s">
        <v>63</v>
      </c>
      <c r="U3162" s="308" t="s">
        <v>4273</v>
      </c>
      <c r="V3162" s="312"/>
    </row>
    <row r="3163">
      <c r="A3163" s="308">
        <v>3162.0</v>
      </c>
      <c r="B3163" s="308"/>
      <c r="C3163" s="308" t="s">
        <v>13001</v>
      </c>
      <c r="D3163" s="308">
        <f>IFERROR(__xludf.DUMMYFUNCTION("SPLIT(C3163,""-"")"),3183.0)</f>
        <v>3183</v>
      </c>
      <c r="E3163" s="308" t="str">
        <f>IFERROR(__xludf.DUMMYFUNCTION("""COMPUTED_VALUE"""),"S")</f>
        <v>S</v>
      </c>
      <c r="F3163" s="312" t="s">
        <v>39</v>
      </c>
      <c r="G3163" s="308"/>
      <c r="H3163" s="308" t="s">
        <v>13002</v>
      </c>
      <c r="I3163" s="310">
        <v>41921.0</v>
      </c>
      <c r="J3163" s="319">
        <f>IFERROR(__xludf.DUMMYFUNCTION("SPLIT(I3163,""/"")"),9.0)</f>
        <v>9</v>
      </c>
      <c r="K3163" s="308">
        <f>IFERROR(__xludf.DUMMYFUNCTION("""COMPUTED_VALUE"""),10.0)</f>
        <v>10</v>
      </c>
      <c r="L3163" s="308">
        <f>IFERROR(__xludf.DUMMYFUNCTION("""COMPUTED_VALUE"""),2014.0)</f>
        <v>2014</v>
      </c>
      <c r="M3163" s="308" t="s">
        <v>13003</v>
      </c>
      <c r="N3163" s="308"/>
      <c r="O3163" s="308" t="s">
        <v>635</v>
      </c>
      <c r="P3163" s="308" t="s">
        <v>36891</v>
      </c>
      <c r="Q3163" s="308"/>
      <c r="R3163" s="308"/>
      <c r="S3163" s="308" t="s">
        <v>81</v>
      </c>
      <c r="T3163" s="308" t="s">
        <v>75</v>
      </c>
      <c r="U3163" s="308" t="s">
        <v>166</v>
      </c>
      <c r="V3163" s="312"/>
    </row>
    <row r="3164">
      <c r="A3164" s="308">
        <v>3163.0</v>
      </c>
      <c r="B3164" s="308"/>
      <c r="C3164" s="308" t="s">
        <v>13005</v>
      </c>
      <c r="D3164" s="308">
        <f>IFERROR(__xludf.DUMMYFUNCTION("SPLIT(C3164,""-"")"),3184.0)</f>
        <v>3184</v>
      </c>
      <c r="E3164" s="308" t="str">
        <f>IFERROR(__xludf.DUMMYFUNCTION("""COMPUTED_VALUE"""),"F")</f>
        <v>F</v>
      </c>
      <c r="F3164" s="309" t="s">
        <v>34</v>
      </c>
      <c r="G3164" s="308"/>
      <c r="H3164" s="308" t="s">
        <v>13006</v>
      </c>
      <c r="I3164" s="310">
        <v>41285.0</v>
      </c>
      <c r="J3164" s="319">
        <f>IFERROR(__xludf.DUMMYFUNCTION("SPLIT(I3164,""/"")"),11.0)</f>
        <v>11</v>
      </c>
      <c r="K3164" s="308">
        <f>IFERROR(__xludf.DUMMYFUNCTION("""COMPUTED_VALUE"""),1.0)</f>
        <v>1</v>
      </c>
      <c r="L3164" s="308">
        <f>IFERROR(__xludf.DUMMYFUNCTION("""COMPUTED_VALUE"""),2013.0)</f>
        <v>2013</v>
      </c>
      <c r="M3164" s="308" t="s">
        <v>13007</v>
      </c>
      <c r="N3164" s="308"/>
      <c r="O3164" s="308" t="s">
        <v>635</v>
      </c>
      <c r="P3164" s="308" t="s">
        <v>13008</v>
      </c>
      <c r="Q3164" s="308"/>
      <c r="R3164" s="308"/>
      <c r="S3164" s="308" t="s">
        <v>81</v>
      </c>
      <c r="T3164" s="311" t="s">
        <v>87</v>
      </c>
      <c r="U3164" s="308" t="s">
        <v>195</v>
      </c>
      <c r="V3164" s="312"/>
    </row>
    <row r="3165">
      <c r="A3165" s="308">
        <v>3164.0</v>
      </c>
      <c r="B3165" s="308"/>
      <c r="C3165" s="308" t="s">
        <v>13009</v>
      </c>
      <c r="D3165" s="308">
        <f>IFERROR(__xludf.DUMMYFUNCTION("SPLIT(C3165,""-"")"),3185.0)</f>
        <v>3185</v>
      </c>
      <c r="E3165" s="308" t="str">
        <f>IFERROR(__xludf.DUMMYFUNCTION("""COMPUTED_VALUE"""),"K")</f>
        <v>K</v>
      </c>
      <c r="F3165" s="309" t="s">
        <v>34</v>
      </c>
      <c r="G3165" s="308"/>
      <c r="H3165" s="308" t="s">
        <v>13010</v>
      </c>
      <c r="I3165" s="314">
        <v>40908.0</v>
      </c>
      <c r="J3165" s="319">
        <f>IFERROR(__xludf.DUMMYFUNCTION("SPLIT(I3165,""/"")"),31.0)</f>
        <v>31</v>
      </c>
      <c r="K3165" s="308">
        <f>IFERROR(__xludf.DUMMYFUNCTION("""COMPUTED_VALUE"""),12.0)</f>
        <v>12</v>
      </c>
      <c r="L3165" s="308">
        <f>IFERROR(__xludf.DUMMYFUNCTION("""COMPUTED_VALUE"""),2011.0)</f>
        <v>2011</v>
      </c>
      <c r="M3165" s="308" t="s">
        <v>13011</v>
      </c>
      <c r="N3165" s="308"/>
      <c r="O3165" s="308" t="s">
        <v>13012</v>
      </c>
      <c r="P3165" s="308" t="s">
        <v>13013</v>
      </c>
      <c r="Q3165" s="308"/>
      <c r="R3165" s="308"/>
      <c r="S3165" s="308" t="s">
        <v>81</v>
      </c>
      <c r="T3165" s="308" t="s">
        <v>34264</v>
      </c>
      <c r="U3165" s="308" t="s">
        <v>201</v>
      </c>
      <c r="V3165" s="312"/>
    </row>
    <row r="3166">
      <c r="A3166" s="308">
        <v>3165.0</v>
      </c>
      <c r="B3166" s="308"/>
      <c r="C3166" s="308" t="s">
        <v>13014</v>
      </c>
      <c r="D3166" s="308">
        <f>IFERROR(__xludf.DUMMYFUNCTION("SPLIT(C3166,""-"")"),3186.0)</f>
        <v>3186</v>
      </c>
      <c r="E3166" s="308" t="str">
        <f>IFERROR(__xludf.DUMMYFUNCTION("""COMPUTED_VALUE"""),"I")</f>
        <v>I</v>
      </c>
      <c r="F3166" s="309" t="s">
        <v>31</v>
      </c>
      <c r="G3166" s="308"/>
      <c r="H3166" s="308" t="s">
        <v>13015</v>
      </c>
      <c r="I3166" s="310">
        <v>42472.0</v>
      </c>
      <c r="J3166" s="319">
        <f>IFERROR(__xludf.DUMMYFUNCTION("SPLIT(I3166,""/"")"),12.0)</f>
        <v>12</v>
      </c>
      <c r="K3166" s="308">
        <f>IFERROR(__xludf.DUMMYFUNCTION("""COMPUTED_VALUE"""),4.0)</f>
        <v>4</v>
      </c>
      <c r="L3166" s="308">
        <f>IFERROR(__xludf.DUMMYFUNCTION("""COMPUTED_VALUE"""),2016.0)</f>
        <v>2016</v>
      </c>
      <c r="M3166" s="308" t="s">
        <v>13016</v>
      </c>
      <c r="N3166" s="308"/>
      <c r="O3166" s="308" t="s">
        <v>13017</v>
      </c>
      <c r="P3166" s="308" t="s">
        <v>13018</v>
      </c>
      <c r="Q3166" s="308"/>
      <c r="R3166" s="308"/>
      <c r="S3166" s="308" t="s">
        <v>81</v>
      </c>
      <c r="T3166" s="311" t="s">
        <v>75</v>
      </c>
      <c r="U3166" s="308" t="s">
        <v>31</v>
      </c>
      <c r="V3166" s="312"/>
    </row>
    <row r="3167">
      <c r="A3167" s="308">
        <v>3166.0</v>
      </c>
      <c r="B3167" s="308"/>
      <c r="C3167" s="308" t="s">
        <v>13019</v>
      </c>
      <c r="D3167" s="308" t="str">
        <f>IFERROR(__xludf.DUMMYFUNCTION("SPLIT(C3167,""-"")"),"#REF!")</f>
        <v>#REF!</v>
      </c>
      <c r="E3167" s="311"/>
      <c r="F3167" s="317" t="s">
        <v>39</v>
      </c>
      <c r="G3167" s="308"/>
      <c r="H3167" s="308" t="s">
        <v>13020</v>
      </c>
      <c r="I3167" s="316">
        <v>2009.0</v>
      </c>
      <c r="J3167" s="319"/>
      <c r="K3167" s="308"/>
      <c r="L3167" s="311">
        <v>2009.0</v>
      </c>
      <c r="M3167" s="308" t="s">
        <v>13021</v>
      </c>
      <c r="N3167" s="308"/>
      <c r="O3167" s="308" t="s">
        <v>635</v>
      </c>
      <c r="P3167" s="308"/>
      <c r="Q3167" s="308"/>
      <c r="R3167" s="308"/>
      <c r="S3167" s="308" t="s">
        <v>79</v>
      </c>
      <c r="T3167" s="308" t="s">
        <v>79</v>
      </c>
      <c r="U3167" s="308" t="s">
        <v>166</v>
      </c>
      <c r="V3167" s="312"/>
    </row>
    <row r="3168">
      <c r="A3168" s="308">
        <v>3167.0</v>
      </c>
      <c r="B3168" s="308"/>
      <c r="C3168" s="308" t="s">
        <v>13022</v>
      </c>
      <c r="D3168" s="308">
        <f>IFERROR(__xludf.DUMMYFUNCTION("SPLIT(C3168,""-"")"),3188.0)</f>
        <v>3188</v>
      </c>
      <c r="E3168" s="308" t="str">
        <f>IFERROR(__xludf.DUMMYFUNCTION("""COMPUTED_VALUE"""),"K")</f>
        <v>K</v>
      </c>
      <c r="F3168" s="309" t="s">
        <v>34</v>
      </c>
      <c r="G3168" s="308"/>
      <c r="H3168" s="308" t="s">
        <v>13023</v>
      </c>
      <c r="I3168" s="316">
        <v>2009.0</v>
      </c>
      <c r="J3168" s="319"/>
      <c r="K3168" s="308"/>
      <c r="L3168" s="311">
        <v>2009.0</v>
      </c>
      <c r="M3168" s="308" t="s">
        <v>13024</v>
      </c>
      <c r="N3168" s="308"/>
      <c r="O3168" s="308" t="s">
        <v>13025</v>
      </c>
      <c r="P3168" s="308" t="s">
        <v>1872</v>
      </c>
      <c r="Q3168" s="308"/>
      <c r="R3168" s="308"/>
      <c r="S3168" s="315" t="s">
        <v>100</v>
      </c>
      <c r="T3168" s="311" t="s">
        <v>34208</v>
      </c>
      <c r="U3168" s="308" t="s">
        <v>530</v>
      </c>
      <c r="V3168" s="312"/>
    </row>
    <row r="3169">
      <c r="A3169" s="308">
        <v>3168.0</v>
      </c>
      <c r="B3169" s="308"/>
      <c r="C3169" s="308" t="s">
        <v>13026</v>
      </c>
      <c r="D3169" s="308">
        <f>IFERROR(__xludf.DUMMYFUNCTION("SPLIT(C3169,""-"")"),3189.0)</f>
        <v>3189</v>
      </c>
      <c r="E3169" s="308" t="str">
        <f>IFERROR(__xludf.DUMMYFUNCTION("""COMPUTED_VALUE"""),"P")</f>
        <v>P</v>
      </c>
      <c r="F3169" s="312" t="s">
        <v>37</v>
      </c>
      <c r="G3169" s="308"/>
      <c r="H3169" s="308" t="s">
        <v>13027</v>
      </c>
      <c r="I3169" s="310">
        <v>42274.0</v>
      </c>
      <c r="J3169" s="319">
        <f>IFERROR(__xludf.DUMMYFUNCTION("SPLIT(I3169,""/"")"),27.0)</f>
        <v>27</v>
      </c>
      <c r="K3169" s="308">
        <f>IFERROR(__xludf.DUMMYFUNCTION("""COMPUTED_VALUE"""),9.0)</f>
        <v>9</v>
      </c>
      <c r="L3169" s="308">
        <f>IFERROR(__xludf.DUMMYFUNCTION("""COMPUTED_VALUE"""),2015.0)</f>
        <v>2015</v>
      </c>
      <c r="M3169" s="308" t="s">
        <v>13028</v>
      </c>
      <c r="N3169" s="308"/>
      <c r="O3169" s="308" t="s">
        <v>13029</v>
      </c>
      <c r="P3169" s="308" t="s">
        <v>13030</v>
      </c>
      <c r="Q3169" s="308"/>
      <c r="R3169" s="308"/>
      <c r="S3169" s="308" t="s">
        <v>49</v>
      </c>
      <c r="T3169" s="308" t="s">
        <v>51</v>
      </c>
      <c r="U3169" s="308" t="s">
        <v>143</v>
      </c>
      <c r="V3169" s="312"/>
    </row>
    <row r="3170">
      <c r="A3170" s="308">
        <v>3169.0</v>
      </c>
      <c r="B3170" s="308"/>
      <c r="C3170" s="308" t="s">
        <v>13031</v>
      </c>
      <c r="D3170" s="308">
        <f>IFERROR(__xludf.DUMMYFUNCTION("SPLIT(C3170,""-"")"),3190.0)</f>
        <v>3190</v>
      </c>
      <c r="E3170" s="308" t="str">
        <f>IFERROR(__xludf.DUMMYFUNCTION("""COMPUTED_VALUE"""),"K")</f>
        <v>K</v>
      </c>
      <c r="F3170" s="309" t="s">
        <v>34</v>
      </c>
      <c r="G3170" s="308"/>
      <c r="H3170" s="308" t="s">
        <v>13032</v>
      </c>
      <c r="I3170" s="310">
        <v>42469.0</v>
      </c>
      <c r="J3170" s="319">
        <f>IFERROR(__xludf.DUMMYFUNCTION("SPLIT(I3170,""/"")"),9.0)</f>
        <v>9</v>
      </c>
      <c r="K3170" s="308">
        <f>IFERROR(__xludf.DUMMYFUNCTION("""COMPUTED_VALUE"""),4.0)</f>
        <v>4</v>
      </c>
      <c r="L3170" s="308">
        <f>IFERROR(__xludf.DUMMYFUNCTION("""COMPUTED_VALUE"""),2016.0)</f>
        <v>2016</v>
      </c>
      <c r="M3170" s="308" t="s">
        <v>13033</v>
      </c>
      <c r="N3170" s="308"/>
      <c r="O3170" s="308" t="s">
        <v>635</v>
      </c>
      <c r="P3170" s="308" t="s">
        <v>13034</v>
      </c>
      <c r="Q3170" s="308"/>
      <c r="R3170" s="308"/>
      <c r="S3170" s="308" t="s">
        <v>81</v>
      </c>
      <c r="T3170" s="311" t="s">
        <v>91</v>
      </c>
      <c r="U3170" s="308" t="s">
        <v>3714</v>
      </c>
      <c r="V3170" s="312"/>
    </row>
    <row r="3171">
      <c r="A3171" s="308">
        <v>3170.0</v>
      </c>
      <c r="B3171" s="308"/>
      <c r="C3171" s="308" t="s">
        <v>13035</v>
      </c>
      <c r="D3171" s="308">
        <f>IFERROR(__xludf.DUMMYFUNCTION("SPLIT(C3171,""-"")"),3191.0)</f>
        <v>3191</v>
      </c>
      <c r="E3171" s="308" t="str">
        <f>IFERROR(__xludf.DUMMYFUNCTION("""COMPUTED_VALUE"""),"K")</f>
        <v>K</v>
      </c>
      <c r="F3171" s="309" t="s">
        <v>34</v>
      </c>
      <c r="G3171" s="308"/>
      <c r="H3171" s="308" t="s">
        <v>13036</v>
      </c>
      <c r="I3171" s="310">
        <v>42469.0</v>
      </c>
      <c r="J3171" s="319">
        <f>IFERROR(__xludf.DUMMYFUNCTION("SPLIT(I3171,""/"")"),9.0)</f>
        <v>9</v>
      </c>
      <c r="K3171" s="308">
        <f>IFERROR(__xludf.DUMMYFUNCTION("""COMPUTED_VALUE"""),4.0)</f>
        <v>4</v>
      </c>
      <c r="L3171" s="308">
        <f>IFERROR(__xludf.DUMMYFUNCTION("""COMPUTED_VALUE"""),2016.0)</f>
        <v>2016</v>
      </c>
      <c r="M3171" s="308" t="s">
        <v>13033</v>
      </c>
      <c r="N3171" s="308"/>
      <c r="O3171" s="308" t="s">
        <v>635</v>
      </c>
      <c r="P3171" s="308" t="s">
        <v>13037</v>
      </c>
      <c r="Q3171" s="308"/>
      <c r="R3171" s="308"/>
      <c r="S3171" s="308" t="s">
        <v>81</v>
      </c>
      <c r="T3171" s="311" t="s">
        <v>51</v>
      </c>
      <c r="U3171" s="308" t="s">
        <v>3714</v>
      </c>
      <c r="V3171" s="312"/>
    </row>
    <row r="3172">
      <c r="A3172" s="308">
        <v>3171.0</v>
      </c>
      <c r="B3172" s="308"/>
      <c r="C3172" s="308" t="s">
        <v>13038</v>
      </c>
      <c r="D3172" s="308">
        <f>IFERROR(__xludf.DUMMYFUNCTION("SPLIT(C3172,""-"")"),3192.0)</f>
        <v>3192</v>
      </c>
      <c r="E3172" s="308" t="str">
        <f>IFERROR(__xludf.DUMMYFUNCTION("""COMPUTED_VALUE"""),"K")</f>
        <v>K</v>
      </c>
      <c r="F3172" s="309" t="s">
        <v>34</v>
      </c>
      <c r="G3172" s="308" t="s">
        <v>13039</v>
      </c>
      <c r="H3172" s="308" t="s">
        <v>13040</v>
      </c>
      <c r="I3172" s="310">
        <v>42248.0</v>
      </c>
      <c r="J3172" s="319">
        <f>IFERROR(__xludf.DUMMYFUNCTION("SPLIT(I3172,""/"")"),1.0)</f>
        <v>1</v>
      </c>
      <c r="K3172" s="308">
        <f>IFERROR(__xludf.DUMMYFUNCTION("""COMPUTED_VALUE"""),9.0)</f>
        <v>9</v>
      </c>
      <c r="L3172" s="308">
        <f>IFERROR(__xludf.DUMMYFUNCTION("""COMPUTED_VALUE"""),2015.0)</f>
        <v>2015</v>
      </c>
      <c r="M3172" s="308" t="s">
        <v>13041</v>
      </c>
      <c r="N3172" s="308"/>
      <c r="O3172" s="308" t="s">
        <v>635</v>
      </c>
      <c r="P3172" s="308" t="s">
        <v>13042</v>
      </c>
      <c r="Q3172" s="308"/>
      <c r="R3172" s="308"/>
      <c r="S3172" s="308" t="s">
        <v>81</v>
      </c>
      <c r="T3172" s="311" t="s">
        <v>75</v>
      </c>
      <c r="U3172" s="308"/>
      <c r="V3172" s="312"/>
    </row>
    <row r="3173">
      <c r="A3173" s="308">
        <v>3172.0</v>
      </c>
      <c r="B3173" s="308"/>
      <c r="C3173" s="308" t="s">
        <v>13043</v>
      </c>
      <c r="D3173" s="308">
        <f>IFERROR(__xludf.DUMMYFUNCTION("SPLIT(C3173,""-"")"),3193.0)</f>
        <v>3193</v>
      </c>
      <c r="E3173" s="308" t="str">
        <f>IFERROR(__xludf.DUMMYFUNCTION("""COMPUTED_VALUE"""),"S")</f>
        <v>S</v>
      </c>
      <c r="F3173" s="312" t="s">
        <v>39</v>
      </c>
      <c r="G3173" s="308" t="s">
        <v>13044</v>
      </c>
      <c r="H3173" s="308" t="s">
        <v>13045</v>
      </c>
      <c r="I3173" s="310">
        <v>42251.0</v>
      </c>
      <c r="J3173" s="319">
        <f>IFERROR(__xludf.DUMMYFUNCTION("SPLIT(I3173,""/"")"),4.0)</f>
        <v>4</v>
      </c>
      <c r="K3173" s="308">
        <f>IFERROR(__xludf.DUMMYFUNCTION("""COMPUTED_VALUE"""),9.0)</f>
        <v>9</v>
      </c>
      <c r="L3173" s="308">
        <f>IFERROR(__xludf.DUMMYFUNCTION("""COMPUTED_VALUE"""),2015.0)</f>
        <v>2015</v>
      </c>
      <c r="M3173" s="308" t="s">
        <v>13046</v>
      </c>
      <c r="N3173" s="308"/>
      <c r="O3173" s="308"/>
      <c r="P3173" s="308" t="s">
        <v>296</v>
      </c>
      <c r="Q3173" s="308"/>
      <c r="R3173" s="308"/>
      <c r="S3173" s="308" t="s">
        <v>81</v>
      </c>
      <c r="T3173" s="308" t="s">
        <v>75</v>
      </c>
      <c r="U3173" s="308" t="s">
        <v>166</v>
      </c>
      <c r="V3173" s="312"/>
    </row>
    <row r="3174">
      <c r="A3174" s="308">
        <v>3173.0</v>
      </c>
      <c r="B3174" s="308"/>
      <c r="C3174" s="308" t="s">
        <v>13047</v>
      </c>
      <c r="D3174" s="308">
        <f>IFERROR(__xludf.DUMMYFUNCTION("SPLIT(C3174,""-"")"),3194.0)</f>
        <v>3194</v>
      </c>
      <c r="E3174" s="308" t="str">
        <f>IFERROR(__xludf.DUMMYFUNCTION("""COMPUTED_VALUE"""),"S")</f>
        <v>S</v>
      </c>
      <c r="F3174" s="312" t="s">
        <v>39</v>
      </c>
      <c r="G3174" s="308" t="s">
        <v>13048</v>
      </c>
      <c r="H3174" s="308" t="s">
        <v>13049</v>
      </c>
      <c r="I3174" s="310">
        <v>42086.0</v>
      </c>
      <c r="J3174" s="319">
        <f>IFERROR(__xludf.DUMMYFUNCTION("SPLIT(I3174,""/"")"),23.0)</f>
        <v>23</v>
      </c>
      <c r="K3174" s="308">
        <f>IFERROR(__xludf.DUMMYFUNCTION("""COMPUTED_VALUE"""),3.0)</f>
        <v>3</v>
      </c>
      <c r="L3174" s="308">
        <f>IFERROR(__xludf.DUMMYFUNCTION("""COMPUTED_VALUE"""),2015.0)</f>
        <v>2015</v>
      </c>
      <c r="M3174" s="308" t="s">
        <v>13050</v>
      </c>
      <c r="N3174" s="308"/>
      <c r="O3174" s="308" t="s">
        <v>13051</v>
      </c>
      <c r="P3174" s="308" t="s">
        <v>9979</v>
      </c>
      <c r="Q3174" s="308"/>
      <c r="R3174" s="308"/>
      <c r="S3174" s="315" t="s">
        <v>100</v>
      </c>
      <c r="T3174" s="311" t="s">
        <v>34208</v>
      </c>
      <c r="U3174" s="308" t="s">
        <v>166</v>
      </c>
      <c r="V3174" s="312"/>
    </row>
    <row r="3175">
      <c r="A3175" s="308">
        <v>3174.0</v>
      </c>
      <c r="B3175" s="308"/>
      <c r="C3175" s="308" t="s">
        <v>13052</v>
      </c>
      <c r="D3175" s="308">
        <f>IFERROR(__xludf.DUMMYFUNCTION("SPLIT(C3175,""-"")"),3195.0)</f>
        <v>3195</v>
      </c>
      <c r="E3175" s="308" t="str">
        <f>IFERROR(__xludf.DUMMYFUNCTION("""COMPUTED_VALUE"""),"K")</f>
        <v>K</v>
      </c>
      <c r="F3175" s="309" t="s">
        <v>34</v>
      </c>
      <c r="G3175" s="308"/>
      <c r="H3175" s="308" t="s">
        <v>13053</v>
      </c>
      <c r="I3175" s="310">
        <v>42254.0</v>
      </c>
      <c r="J3175" s="319">
        <f>IFERROR(__xludf.DUMMYFUNCTION("SPLIT(I3175,""/"")"),7.0)</f>
        <v>7</v>
      </c>
      <c r="K3175" s="308">
        <f>IFERROR(__xludf.DUMMYFUNCTION("""COMPUTED_VALUE"""),9.0)</f>
        <v>9</v>
      </c>
      <c r="L3175" s="308">
        <f>IFERROR(__xludf.DUMMYFUNCTION("""COMPUTED_VALUE"""),2015.0)</f>
        <v>2015</v>
      </c>
      <c r="M3175" s="308" t="s">
        <v>13054</v>
      </c>
      <c r="N3175" s="308"/>
      <c r="O3175" s="308" t="s">
        <v>13055</v>
      </c>
      <c r="P3175" s="308" t="s">
        <v>13056</v>
      </c>
      <c r="Q3175" s="308"/>
      <c r="R3175" s="308"/>
      <c r="S3175" s="308" t="s">
        <v>81</v>
      </c>
      <c r="T3175" s="308" t="s">
        <v>75</v>
      </c>
      <c r="U3175" s="308" t="s">
        <v>2152</v>
      </c>
      <c r="V3175" s="312"/>
    </row>
    <row r="3176">
      <c r="A3176" s="308">
        <v>3175.0</v>
      </c>
      <c r="B3176" s="308"/>
      <c r="C3176" s="308" t="s">
        <v>13057</v>
      </c>
      <c r="D3176" s="308">
        <f>IFERROR(__xludf.DUMMYFUNCTION("SPLIT(C3176,""-"")"),3196.0)</f>
        <v>3196</v>
      </c>
      <c r="E3176" s="308" t="str">
        <f>IFERROR(__xludf.DUMMYFUNCTION("""COMPUTED_VALUE"""),"P")</f>
        <v>P</v>
      </c>
      <c r="F3176" s="312" t="s">
        <v>37</v>
      </c>
      <c r="G3176" s="308"/>
      <c r="H3176" s="308" t="s">
        <v>13058</v>
      </c>
      <c r="I3176" s="310">
        <v>42397.0</v>
      </c>
      <c r="J3176" s="319">
        <f>IFERROR(__xludf.DUMMYFUNCTION("SPLIT(I3176,""/"")"),28.0)</f>
        <v>28</v>
      </c>
      <c r="K3176" s="308">
        <f>IFERROR(__xludf.DUMMYFUNCTION("""COMPUTED_VALUE"""),1.0)</f>
        <v>1</v>
      </c>
      <c r="L3176" s="308">
        <f>IFERROR(__xludf.DUMMYFUNCTION("""COMPUTED_VALUE"""),2016.0)</f>
        <v>2016</v>
      </c>
      <c r="M3176" s="308" t="s">
        <v>13059</v>
      </c>
      <c r="N3176" s="308"/>
      <c r="O3176" s="308" t="s">
        <v>13060</v>
      </c>
      <c r="P3176" s="308" t="s">
        <v>13061</v>
      </c>
      <c r="Q3176" s="308"/>
      <c r="R3176" s="308"/>
      <c r="S3176" s="308" t="s">
        <v>81</v>
      </c>
      <c r="T3176" s="311" t="s">
        <v>51</v>
      </c>
      <c r="U3176" s="308"/>
      <c r="V3176" s="312"/>
    </row>
    <row r="3177">
      <c r="A3177" s="308">
        <v>3176.0</v>
      </c>
      <c r="B3177" s="308"/>
      <c r="C3177" s="308" t="s">
        <v>13062</v>
      </c>
      <c r="D3177" s="308">
        <f>IFERROR(__xludf.DUMMYFUNCTION("SPLIT(C3177,""-"")"),3197.0)</f>
        <v>3197</v>
      </c>
      <c r="E3177" s="308" t="str">
        <f>IFERROR(__xludf.DUMMYFUNCTION("""COMPUTED_VALUE"""),"P")</f>
        <v>P</v>
      </c>
      <c r="F3177" s="312" t="s">
        <v>37</v>
      </c>
      <c r="G3177" s="308"/>
      <c r="H3177" s="308" t="s">
        <v>13063</v>
      </c>
      <c r="I3177" s="314">
        <v>42331.0</v>
      </c>
      <c r="J3177" s="319">
        <f>IFERROR(__xludf.DUMMYFUNCTION("SPLIT(I3177,""/"")"),23.0)</f>
        <v>23</v>
      </c>
      <c r="K3177" s="308">
        <f>IFERROR(__xludf.DUMMYFUNCTION("""COMPUTED_VALUE"""),11.0)</f>
        <v>11</v>
      </c>
      <c r="L3177" s="308">
        <f>IFERROR(__xludf.DUMMYFUNCTION("""COMPUTED_VALUE"""),2015.0)</f>
        <v>2015</v>
      </c>
      <c r="M3177" s="308" t="s">
        <v>13064</v>
      </c>
      <c r="N3177" s="308"/>
      <c r="O3177" s="308" t="s">
        <v>635</v>
      </c>
      <c r="P3177" s="308" t="s">
        <v>36892</v>
      </c>
      <c r="Q3177" s="308"/>
      <c r="R3177" s="308"/>
      <c r="S3177" s="308" t="s">
        <v>81</v>
      </c>
      <c r="T3177" s="308" t="s">
        <v>75</v>
      </c>
      <c r="U3177" s="308" t="s">
        <v>5537</v>
      </c>
      <c r="V3177" s="312"/>
    </row>
    <row r="3178">
      <c r="A3178" s="308">
        <v>3177.0</v>
      </c>
      <c r="B3178" s="308"/>
      <c r="C3178" s="308" t="s">
        <v>13066</v>
      </c>
      <c r="D3178" s="308">
        <f>IFERROR(__xludf.DUMMYFUNCTION("SPLIT(C3178,""-"")"),3198.0)</f>
        <v>3198</v>
      </c>
      <c r="E3178" s="308" t="str">
        <f>IFERROR(__xludf.DUMMYFUNCTION("""COMPUTED_VALUE"""),"P")</f>
        <v>P</v>
      </c>
      <c r="F3178" s="312" t="s">
        <v>37</v>
      </c>
      <c r="G3178" s="308"/>
      <c r="H3178" s="308" t="s">
        <v>13067</v>
      </c>
      <c r="I3178" s="310">
        <v>42425.0</v>
      </c>
      <c r="J3178" s="319">
        <f>IFERROR(__xludf.DUMMYFUNCTION("SPLIT(I3178,""/"")"),25.0)</f>
        <v>25</v>
      </c>
      <c r="K3178" s="308">
        <f>IFERROR(__xludf.DUMMYFUNCTION("""COMPUTED_VALUE"""),2.0)</f>
        <v>2</v>
      </c>
      <c r="L3178" s="308">
        <f>IFERROR(__xludf.DUMMYFUNCTION("""COMPUTED_VALUE"""),2016.0)</f>
        <v>2016</v>
      </c>
      <c r="M3178" s="308" t="s">
        <v>13068</v>
      </c>
      <c r="N3178" s="308"/>
      <c r="O3178" s="308" t="s">
        <v>13069</v>
      </c>
      <c r="P3178" s="308" t="s">
        <v>13070</v>
      </c>
      <c r="Q3178" s="308"/>
      <c r="R3178" s="308"/>
      <c r="S3178" s="308" t="s">
        <v>81</v>
      </c>
      <c r="T3178" s="308" t="s">
        <v>73</v>
      </c>
      <c r="U3178" s="308"/>
      <c r="V3178" s="312"/>
    </row>
    <row r="3179">
      <c r="A3179" s="308">
        <v>3178.0</v>
      </c>
      <c r="B3179" s="308"/>
      <c r="C3179" s="308" t="s">
        <v>13071</v>
      </c>
      <c r="D3179" s="308">
        <f>IFERROR(__xludf.DUMMYFUNCTION("SPLIT(C3179,""-"")"),3199.0)</f>
        <v>3199</v>
      </c>
      <c r="E3179" s="308" t="str">
        <f>IFERROR(__xludf.DUMMYFUNCTION("""COMPUTED_VALUE"""),"P")</f>
        <v>P</v>
      </c>
      <c r="F3179" s="312" t="s">
        <v>37</v>
      </c>
      <c r="G3179" s="308"/>
      <c r="H3179" s="308" t="s">
        <v>13072</v>
      </c>
      <c r="I3179" s="310">
        <v>42441.0</v>
      </c>
      <c r="J3179" s="319">
        <f>IFERROR(__xludf.DUMMYFUNCTION("SPLIT(I3179,""/"")"),12.0)</f>
        <v>12</v>
      </c>
      <c r="K3179" s="308">
        <f>IFERROR(__xludf.DUMMYFUNCTION("""COMPUTED_VALUE"""),3.0)</f>
        <v>3</v>
      </c>
      <c r="L3179" s="308">
        <f>IFERROR(__xludf.DUMMYFUNCTION("""COMPUTED_VALUE"""),2016.0)</f>
        <v>2016</v>
      </c>
      <c r="M3179" s="308" t="s">
        <v>13073</v>
      </c>
      <c r="N3179" s="308"/>
      <c r="O3179" s="308" t="s">
        <v>13074</v>
      </c>
      <c r="P3179" s="308" t="s">
        <v>13075</v>
      </c>
      <c r="Q3179" s="308"/>
      <c r="R3179" s="308"/>
      <c r="S3179" s="308" t="s">
        <v>81</v>
      </c>
      <c r="T3179" s="308" t="s">
        <v>75</v>
      </c>
      <c r="U3179" s="308" t="s">
        <v>10808</v>
      </c>
      <c r="V3179" s="312"/>
    </row>
    <row r="3180">
      <c r="A3180" s="308">
        <v>3179.0</v>
      </c>
      <c r="B3180" s="308"/>
      <c r="C3180" s="308" t="s">
        <v>13076</v>
      </c>
      <c r="D3180" s="308">
        <f>IFERROR(__xludf.DUMMYFUNCTION("SPLIT(C3180,""-"")"),3200.0)</f>
        <v>3200</v>
      </c>
      <c r="E3180" s="308" t="str">
        <f>IFERROR(__xludf.DUMMYFUNCTION("""COMPUTED_VALUE"""),"P")</f>
        <v>P</v>
      </c>
      <c r="F3180" s="312" t="s">
        <v>37</v>
      </c>
      <c r="G3180" s="308"/>
      <c r="H3180" s="308" t="s">
        <v>13077</v>
      </c>
      <c r="I3180" s="310">
        <v>42098.0</v>
      </c>
      <c r="J3180" s="319">
        <f>IFERROR(__xludf.DUMMYFUNCTION("SPLIT(I3180,""/"")"),4.0)</f>
        <v>4</v>
      </c>
      <c r="K3180" s="308">
        <f>IFERROR(__xludf.DUMMYFUNCTION("""COMPUTED_VALUE"""),4.0)</f>
        <v>4</v>
      </c>
      <c r="L3180" s="308">
        <f>IFERROR(__xludf.DUMMYFUNCTION("""COMPUTED_VALUE"""),2015.0)</f>
        <v>2015</v>
      </c>
      <c r="M3180" s="308" t="s">
        <v>13078</v>
      </c>
      <c r="N3180" s="308"/>
      <c r="O3180" s="308" t="s">
        <v>13079</v>
      </c>
      <c r="P3180" s="308" t="s">
        <v>13080</v>
      </c>
      <c r="Q3180" s="308"/>
      <c r="R3180" s="308"/>
      <c r="S3180" s="315" t="s">
        <v>100</v>
      </c>
      <c r="T3180" s="311" t="s">
        <v>34208</v>
      </c>
      <c r="U3180" s="308" t="s">
        <v>11822</v>
      </c>
      <c r="V3180" s="312"/>
    </row>
    <row r="3181">
      <c r="A3181" s="308">
        <v>3180.0</v>
      </c>
      <c r="B3181" s="308"/>
      <c r="C3181" s="308" t="s">
        <v>13081</v>
      </c>
      <c r="D3181" s="308">
        <f>IFERROR(__xludf.DUMMYFUNCTION("SPLIT(C3181,""-"")"),3201.0)</f>
        <v>3201</v>
      </c>
      <c r="E3181" s="308" t="str">
        <f>IFERROR(__xludf.DUMMYFUNCTION("""COMPUTED_VALUE"""),"F")</f>
        <v>F</v>
      </c>
      <c r="F3181" s="309" t="s">
        <v>34</v>
      </c>
      <c r="G3181" s="308"/>
      <c r="H3181" s="308" t="s">
        <v>13082</v>
      </c>
      <c r="I3181" s="314">
        <v>42323.0</v>
      </c>
      <c r="J3181" s="319">
        <f>IFERROR(__xludf.DUMMYFUNCTION("SPLIT(I3181,""/"")"),15.0)</f>
        <v>15</v>
      </c>
      <c r="K3181" s="308">
        <f>IFERROR(__xludf.DUMMYFUNCTION("""COMPUTED_VALUE"""),11.0)</f>
        <v>11</v>
      </c>
      <c r="L3181" s="308">
        <f>IFERROR(__xludf.DUMMYFUNCTION("""COMPUTED_VALUE"""),2015.0)</f>
        <v>2015</v>
      </c>
      <c r="M3181" s="308" t="s">
        <v>13083</v>
      </c>
      <c r="N3181" s="308" t="s">
        <v>13084</v>
      </c>
      <c r="O3181" s="308" t="s">
        <v>635</v>
      </c>
      <c r="P3181" s="308"/>
      <c r="Q3181" s="308"/>
      <c r="R3181" s="308"/>
      <c r="S3181" s="308" t="s">
        <v>79</v>
      </c>
      <c r="T3181" s="308" t="s">
        <v>79</v>
      </c>
      <c r="U3181" s="312" t="s">
        <v>13085</v>
      </c>
      <c r="V3181" s="312"/>
    </row>
    <row r="3182">
      <c r="A3182" s="308">
        <v>3181.0</v>
      </c>
      <c r="B3182" s="308"/>
      <c r="C3182" s="308" t="s">
        <v>13086</v>
      </c>
      <c r="D3182" s="308">
        <f>IFERROR(__xludf.DUMMYFUNCTION("SPLIT(C3182,""-"")"),3202.0)</f>
        <v>3202</v>
      </c>
      <c r="E3182" s="308" t="str">
        <f>IFERROR(__xludf.DUMMYFUNCTION("""COMPUTED_VALUE"""),"F")</f>
        <v>F</v>
      </c>
      <c r="F3182" s="309" t="s">
        <v>34</v>
      </c>
      <c r="G3182" s="308"/>
      <c r="H3182" s="308" t="s">
        <v>13087</v>
      </c>
      <c r="I3182" s="310">
        <v>42311.0</v>
      </c>
      <c r="J3182" s="319">
        <f>IFERROR(__xludf.DUMMYFUNCTION("SPLIT(I3182,""/"")"),3.0)</f>
        <v>3</v>
      </c>
      <c r="K3182" s="308">
        <f>IFERROR(__xludf.DUMMYFUNCTION("""COMPUTED_VALUE"""),11.0)</f>
        <v>11</v>
      </c>
      <c r="L3182" s="308">
        <f>IFERROR(__xludf.DUMMYFUNCTION("""COMPUTED_VALUE"""),2015.0)</f>
        <v>2015</v>
      </c>
      <c r="M3182" s="308" t="s">
        <v>13088</v>
      </c>
      <c r="N3182" s="308"/>
      <c r="O3182" s="308" t="s">
        <v>635</v>
      </c>
      <c r="P3182" s="308" t="s">
        <v>36846</v>
      </c>
      <c r="Q3182" s="308"/>
      <c r="R3182" s="308"/>
      <c r="S3182" s="315" t="s">
        <v>100</v>
      </c>
      <c r="T3182" s="311" t="s">
        <v>34208</v>
      </c>
      <c r="U3182" s="308" t="s">
        <v>195</v>
      </c>
      <c r="V3182" s="312"/>
    </row>
    <row r="3183">
      <c r="A3183" s="308">
        <v>3182.0</v>
      </c>
      <c r="B3183" s="308"/>
      <c r="C3183" s="308" t="s">
        <v>13089</v>
      </c>
      <c r="D3183" s="308">
        <f>IFERROR(__xludf.DUMMYFUNCTION("SPLIT(C3183,""-"")"),3203.0)</f>
        <v>3203</v>
      </c>
      <c r="E3183" s="308" t="str">
        <f>IFERROR(__xludf.DUMMYFUNCTION("""COMPUTED_VALUE"""),"F")</f>
        <v>F</v>
      </c>
      <c r="F3183" s="309" t="s">
        <v>34</v>
      </c>
      <c r="G3183" s="308"/>
      <c r="H3183" s="308" t="s">
        <v>13090</v>
      </c>
      <c r="I3183" s="310">
        <v>42412.0</v>
      </c>
      <c r="J3183" s="319">
        <f>IFERROR(__xludf.DUMMYFUNCTION("SPLIT(I3183,""/"")"),12.0)</f>
        <v>12</v>
      </c>
      <c r="K3183" s="308">
        <f>IFERROR(__xludf.DUMMYFUNCTION("""COMPUTED_VALUE"""),2.0)</f>
        <v>2</v>
      </c>
      <c r="L3183" s="308">
        <f>IFERROR(__xludf.DUMMYFUNCTION("""COMPUTED_VALUE"""),2016.0)</f>
        <v>2016</v>
      </c>
      <c r="M3183" s="308" t="s">
        <v>13091</v>
      </c>
      <c r="N3183" s="308"/>
      <c r="O3183" s="308" t="s">
        <v>635</v>
      </c>
      <c r="P3183" s="308" t="s">
        <v>36893</v>
      </c>
      <c r="Q3183" s="308"/>
      <c r="R3183" s="308"/>
      <c r="S3183" s="308" t="s">
        <v>81</v>
      </c>
      <c r="T3183" s="308" t="s">
        <v>75</v>
      </c>
      <c r="U3183" s="312"/>
      <c r="V3183" s="312"/>
    </row>
    <row r="3184">
      <c r="A3184" s="308">
        <v>3183.0</v>
      </c>
      <c r="B3184" s="308"/>
      <c r="C3184" s="308" t="s">
        <v>13093</v>
      </c>
      <c r="D3184" s="308">
        <f>IFERROR(__xludf.DUMMYFUNCTION("SPLIT(C3184,""-"")"),3204.0)</f>
        <v>3204</v>
      </c>
      <c r="E3184" s="308" t="str">
        <f>IFERROR(__xludf.DUMMYFUNCTION("""COMPUTED_VALUE"""),"K")</f>
        <v>K</v>
      </c>
      <c r="F3184" s="309" t="s">
        <v>34</v>
      </c>
      <c r="G3184" s="308"/>
      <c r="H3184" s="308" t="s">
        <v>13094</v>
      </c>
      <c r="I3184" s="310">
        <v>41703.0</v>
      </c>
      <c r="J3184" s="319">
        <f>IFERROR(__xludf.DUMMYFUNCTION("SPLIT(I3184,""/"")"),5.0)</f>
        <v>5</v>
      </c>
      <c r="K3184" s="308">
        <f>IFERROR(__xludf.DUMMYFUNCTION("""COMPUTED_VALUE"""),3.0)</f>
        <v>3</v>
      </c>
      <c r="L3184" s="308">
        <f>IFERROR(__xludf.DUMMYFUNCTION("""COMPUTED_VALUE"""),2014.0)</f>
        <v>2014</v>
      </c>
      <c r="M3184" s="308" t="s">
        <v>10790</v>
      </c>
      <c r="N3184" s="308"/>
      <c r="O3184" s="308" t="s">
        <v>13095</v>
      </c>
      <c r="P3184" s="308" t="s">
        <v>13096</v>
      </c>
      <c r="Q3184" s="308"/>
      <c r="R3184" s="308"/>
      <c r="S3184" s="308" t="s">
        <v>81</v>
      </c>
      <c r="T3184" s="308" t="s">
        <v>34264</v>
      </c>
      <c r="U3184" s="308" t="s">
        <v>125</v>
      </c>
      <c r="V3184" s="312"/>
    </row>
    <row r="3185">
      <c r="A3185" s="308">
        <v>3184.0</v>
      </c>
      <c r="B3185" s="308"/>
      <c r="C3185" s="308" t="s">
        <v>13097</v>
      </c>
      <c r="D3185" s="308">
        <f>IFERROR(__xludf.DUMMYFUNCTION("SPLIT(C3185,""-"")"),3205.0)</f>
        <v>3205</v>
      </c>
      <c r="E3185" s="308" t="str">
        <f>IFERROR(__xludf.DUMMYFUNCTION("""COMPUTED_VALUE"""),"K")</f>
        <v>K</v>
      </c>
      <c r="F3185" s="309" t="s">
        <v>34</v>
      </c>
      <c r="G3185" s="308"/>
      <c r="H3185" s="308" t="s">
        <v>13098</v>
      </c>
      <c r="I3185" s="310">
        <v>40976.0</v>
      </c>
      <c r="J3185" s="319">
        <f>IFERROR(__xludf.DUMMYFUNCTION("SPLIT(I3185,""/"")"),8.0)</f>
        <v>8</v>
      </c>
      <c r="K3185" s="308">
        <f>IFERROR(__xludf.DUMMYFUNCTION("""COMPUTED_VALUE"""),3.0)</f>
        <v>3</v>
      </c>
      <c r="L3185" s="308">
        <f>IFERROR(__xludf.DUMMYFUNCTION("""COMPUTED_VALUE"""),2012.0)</f>
        <v>2012</v>
      </c>
      <c r="M3185" s="308" t="s">
        <v>13099</v>
      </c>
      <c r="N3185" s="308"/>
      <c r="O3185" s="308" t="s">
        <v>13100</v>
      </c>
      <c r="P3185" s="308" t="s">
        <v>36894</v>
      </c>
      <c r="Q3185" s="308"/>
      <c r="R3185" s="308"/>
      <c r="S3185" s="315" t="s">
        <v>100</v>
      </c>
      <c r="T3185" s="311" t="s">
        <v>34208</v>
      </c>
      <c r="U3185" s="308" t="s">
        <v>125</v>
      </c>
      <c r="V3185" s="312"/>
    </row>
    <row r="3186">
      <c r="A3186" s="308">
        <v>3185.0</v>
      </c>
      <c r="B3186" s="308"/>
      <c r="C3186" s="308" t="s">
        <v>13101</v>
      </c>
      <c r="D3186" s="308">
        <f>IFERROR(__xludf.DUMMYFUNCTION("SPLIT(C3186,""-"")"),3206.0)</f>
        <v>3206</v>
      </c>
      <c r="E3186" s="308" t="str">
        <f>IFERROR(__xludf.DUMMYFUNCTION("""COMPUTED_VALUE"""),"K")</f>
        <v>K</v>
      </c>
      <c r="F3186" s="309" t="s">
        <v>34</v>
      </c>
      <c r="G3186" s="308"/>
      <c r="H3186" s="308" t="s">
        <v>13102</v>
      </c>
      <c r="I3186" s="316">
        <v>2010.0</v>
      </c>
      <c r="J3186" s="319"/>
      <c r="K3186" s="308"/>
      <c r="L3186" s="311">
        <v>2010.0</v>
      </c>
      <c r="M3186" s="308" t="s">
        <v>13103</v>
      </c>
      <c r="N3186" s="308"/>
      <c r="O3186" s="308" t="s">
        <v>13104</v>
      </c>
      <c r="P3186" s="308" t="s">
        <v>1872</v>
      </c>
      <c r="Q3186" s="308"/>
      <c r="R3186" s="308"/>
      <c r="S3186" s="315" t="s">
        <v>100</v>
      </c>
      <c r="T3186" s="311" t="s">
        <v>34208</v>
      </c>
      <c r="U3186" s="308" t="s">
        <v>530</v>
      </c>
      <c r="V3186" s="312"/>
    </row>
    <row r="3187">
      <c r="A3187" s="308">
        <v>3186.0</v>
      </c>
      <c r="B3187" s="308"/>
      <c r="C3187" s="308" t="s">
        <v>13105</v>
      </c>
      <c r="D3187" s="308">
        <f>IFERROR(__xludf.DUMMYFUNCTION("SPLIT(C3187,""-"")"),3207.0)</f>
        <v>3207</v>
      </c>
      <c r="E3187" s="308" t="str">
        <f>IFERROR(__xludf.DUMMYFUNCTION("""COMPUTED_VALUE"""),"S")</f>
        <v>S</v>
      </c>
      <c r="F3187" s="312" t="s">
        <v>39</v>
      </c>
      <c r="G3187" s="308"/>
      <c r="H3187" s="308" t="s">
        <v>36895</v>
      </c>
      <c r="I3187" s="310">
        <v>42244.0</v>
      </c>
      <c r="J3187" s="319">
        <f>IFERROR(__xludf.DUMMYFUNCTION("SPLIT(I3187,""/"")"),28.0)</f>
        <v>28</v>
      </c>
      <c r="K3187" s="308">
        <f>IFERROR(__xludf.DUMMYFUNCTION("""COMPUTED_VALUE"""),8.0)</f>
        <v>8</v>
      </c>
      <c r="L3187" s="308">
        <f>IFERROR(__xludf.DUMMYFUNCTION("""COMPUTED_VALUE"""),2015.0)</f>
        <v>2015</v>
      </c>
      <c r="M3187" s="308" t="s">
        <v>13107</v>
      </c>
      <c r="N3187" s="308"/>
      <c r="O3187" s="308" t="s">
        <v>13108</v>
      </c>
      <c r="P3187" s="308" t="s">
        <v>36896</v>
      </c>
      <c r="Q3187" s="308"/>
      <c r="R3187" s="308"/>
      <c r="S3187" s="308" t="s">
        <v>81</v>
      </c>
      <c r="T3187" s="308" t="s">
        <v>75</v>
      </c>
      <c r="U3187" s="312"/>
      <c r="V3187" s="312"/>
    </row>
    <row r="3188">
      <c r="A3188" s="308">
        <v>3187.0</v>
      </c>
      <c r="B3188" s="308"/>
      <c r="C3188" s="308" t="s">
        <v>13110</v>
      </c>
      <c r="D3188" s="308">
        <f>IFERROR(__xludf.DUMMYFUNCTION("SPLIT(C3188,""-"")"),3208.0)</f>
        <v>3208</v>
      </c>
      <c r="E3188" s="308" t="str">
        <f>IFERROR(__xludf.DUMMYFUNCTION("""COMPUTED_VALUE"""),"S")</f>
        <v>S</v>
      </c>
      <c r="F3188" s="312" t="s">
        <v>39</v>
      </c>
      <c r="G3188" s="308"/>
      <c r="H3188" s="308" t="s">
        <v>13111</v>
      </c>
      <c r="I3188" s="310">
        <v>42341.0</v>
      </c>
      <c r="J3188" s="319">
        <f>IFERROR(__xludf.DUMMYFUNCTION("SPLIT(I3188,""/"")"),3.0)</f>
        <v>3</v>
      </c>
      <c r="K3188" s="308">
        <f>IFERROR(__xludf.DUMMYFUNCTION("""COMPUTED_VALUE"""),12.0)</f>
        <v>12</v>
      </c>
      <c r="L3188" s="308">
        <f>IFERROR(__xludf.DUMMYFUNCTION("""COMPUTED_VALUE"""),2015.0)</f>
        <v>2015</v>
      </c>
      <c r="M3188" s="308" t="s">
        <v>13112</v>
      </c>
      <c r="N3188" s="308"/>
      <c r="O3188" s="308" t="s">
        <v>635</v>
      </c>
      <c r="P3188" s="308" t="s">
        <v>6778</v>
      </c>
      <c r="Q3188" s="308"/>
      <c r="R3188" s="308"/>
      <c r="S3188" s="311" t="s">
        <v>49</v>
      </c>
      <c r="T3188" s="309" t="s">
        <v>67</v>
      </c>
      <c r="U3188" s="312"/>
      <c r="V3188" s="312"/>
    </row>
    <row r="3189">
      <c r="A3189" s="308">
        <v>3188.0</v>
      </c>
      <c r="B3189" s="308"/>
      <c r="C3189" s="308" t="s">
        <v>13113</v>
      </c>
      <c r="D3189" s="308">
        <f>IFERROR(__xludf.DUMMYFUNCTION("SPLIT(C3189,""-"")"),3209.0)</f>
        <v>3209</v>
      </c>
      <c r="E3189" s="308" t="str">
        <f>IFERROR(__xludf.DUMMYFUNCTION("""COMPUTED_VALUE"""),"I")</f>
        <v>I</v>
      </c>
      <c r="F3189" s="309" t="s">
        <v>31</v>
      </c>
      <c r="G3189" s="308"/>
      <c r="H3189" s="308" t="s">
        <v>13114</v>
      </c>
      <c r="I3189" s="310">
        <v>42469.0</v>
      </c>
      <c r="J3189" s="319">
        <f>IFERROR(__xludf.DUMMYFUNCTION("SPLIT(I3189,""/"")"),9.0)</f>
        <v>9</v>
      </c>
      <c r="K3189" s="308">
        <f>IFERROR(__xludf.DUMMYFUNCTION("""COMPUTED_VALUE"""),4.0)</f>
        <v>4</v>
      </c>
      <c r="L3189" s="308">
        <f>IFERROR(__xludf.DUMMYFUNCTION("""COMPUTED_VALUE"""),2016.0)</f>
        <v>2016</v>
      </c>
      <c r="M3189" s="308" t="s">
        <v>13115</v>
      </c>
      <c r="N3189" s="308"/>
      <c r="O3189" s="308" t="s">
        <v>635</v>
      </c>
      <c r="P3189" s="308" t="s">
        <v>13116</v>
      </c>
      <c r="Q3189" s="308"/>
      <c r="R3189" s="308"/>
      <c r="S3189" s="308" t="s">
        <v>81</v>
      </c>
      <c r="T3189" s="308" t="s">
        <v>73</v>
      </c>
      <c r="U3189" s="308" t="s">
        <v>31</v>
      </c>
      <c r="V3189" s="312"/>
    </row>
    <row r="3190">
      <c r="A3190" s="308">
        <v>3189.0</v>
      </c>
      <c r="B3190" s="308"/>
      <c r="C3190" s="308" t="s">
        <v>13117</v>
      </c>
      <c r="D3190" s="308">
        <f>IFERROR(__xludf.DUMMYFUNCTION("SPLIT(C3190,""-"")"),3210.0)</f>
        <v>3210</v>
      </c>
      <c r="E3190" s="308" t="str">
        <f>IFERROR(__xludf.DUMMYFUNCTION("""COMPUTED_VALUE"""),"S")</f>
        <v>S</v>
      </c>
      <c r="F3190" s="312" t="s">
        <v>39</v>
      </c>
      <c r="G3190" s="308"/>
      <c r="H3190" s="308" t="s">
        <v>13118</v>
      </c>
      <c r="I3190" s="310">
        <v>42444.0</v>
      </c>
      <c r="J3190" s="319">
        <f>IFERROR(__xludf.DUMMYFUNCTION("SPLIT(I3190,""/"")"),15.0)</f>
        <v>15</v>
      </c>
      <c r="K3190" s="308">
        <f>IFERROR(__xludf.DUMMYFUNCTION("""COMPUTED_VALUE"""),3.0)</f>
        <v>3</v>
      </c>
      <c r="L3190" s="308">
        <f>IFERROR(__xludf.DUMMYFUNCTION("""COMPUTED_VALUE"""),2016.0)</f>
        <v>2016</v>
      </c>
      <c r="M3190" s="308" t="s">
        <v>13119</v>
      </c>
      <c r="N3190" s="308"/>
      <c r="O3190" s="308"/>
      <c r="P3190" s="308" t="s">
        <v>36897</v>
      </c>
      <c r="Q3190" s="308"/>
      <c r="R3190" s="308"/>
      <c r="S3190" s="308" t="s">
        <v>81</v>
      </c>
      <c r="T3190" s="308" t="s">
        <v>73</v>
      </c>
      <c r="U3190" s="308" t="s">
        <v>166</v>
      </c>
      <c r="V3190" s="312"/>
    </row>
    <row r="3191">
      <c r="A3191" s="308">
        <v>3190.0</v>
      </c>
      <c r="B3191" s="308"/>
      <c r="C3191" s="308" t="s">
        <v>13121</v>
      </c>
      <c r="D3191" s="308">
        <f>IFERROR(__xludf.DUMMYFUNCTION("SPLIT(C3191,""-"")"),3211.0)</f>
        <v>3211</v>
      </c>
      <c r="E3191" s="308" t="str">
        <f>IFERROR(__xludf.DUMMYFUNCTION("""COMPUTED_VALUE"""),"S")</f>
        <v>S</v>
      </c>
      <c r="F3191" s="312" t="s">
        <v>39</v>
      </c>
      <c r="G3191" s="308"/>
      <c r="H3191" s="308" t="s">
        <v>13122</v>
      </c>
      <c r="I3191" s="310">
        <v>42446.0</v>
      </c>
      <c r="J3191" s="319">
        <f>IFERROR(__xludf.DUMMYFUNCTION("SPLIT(I3191,""/"")"),17.0)</f>
        <v>17</v>
      </c>
      <c r="K3191" s="308">
        <f>IFERROR(__xludf.DUMMYFUNCTION("""COMPUTED_VALUE"""),3.0)</f>
        <v>3</v>
      </c>
      <c r="L3191" s="308">
        <f>IFERROR(__xludf.DUMMYFUNCTION("""COMPUTED_VALUE"""),2016.0)</f>
        <v>2016</v>
      </c>
      <c r="M3191" s="308" t="s">
        <v>13123</v>
      </c>
      <c r="N3191" s="308"/>
      <c r="O3191" s="308"/>
      <c r="P3191" s="308" t="s">
        <v>11266</v>
      </c>
      <c r="Q3191" s="308"/>
      <c r="R3191" s="308"/>
      <c r="S3191" s="308" t="s">
        <v>81</v>
      </c>
      <c r="T3191" s="311" t="s">
        <v>94</v>
      </c>
      <c r="U3191" s="308" t="s">
        <v>166</v>
      </c>
      <c r="V3191" s="312"/>
    </row>
    <row r="3192">
      <c r="A3192" s="308">
        <v>3191.0</v>
      </c>
      <c r="B3192" s="308"/>
      <c r="C3192" s="308" t="s">
        <v>13124</v>
      </c>
      <c r="D3192" s="308">
        <f>IFERROR(__xludf.DUMMYFUNCTION("SPLIT(C3192,""-"")"),3212.0)</f>
        <v>3212</v>
      </c>
      <c r="E3192" s="308" t="str">
        <f>IFERROR(__xludf.DUMMYFUNCTION("""COMPUTED_VALUE"""),"S")</f>
        <v>S</v>
      </c>
      <c r="F3192" s="312" t="s">
        <v>39</v>
      </c>
      <c r="G3192" s="308"/>
      <c r="H3192" s="308" t="s">
        <v>13125</v>
      </c>
      <c r="I3192" s="310">
        <v>42448.0</v>
      </c>
      <c r="J3192" s="319">
        <f>IFERROR(__xludf.DUMMYFUNCTION("SPLIT(I3192,""/"")"),19.0)</f>
        <v>19</v>
      </c>
      <c r="K3192" s="308">
        <f>IFERROR(__xludf.DUMMYFUNCTION("""COMPUTED_VALUE"""),3.0)</f>
        <v>3</v>
      </c>
      <c r="L3192" s="308">
        <f>IFERROR(__xludf.DUMMYFUNCTION("""COMPUTED_VALUE"""),2016.0)</f>
        <v>2016</v>
      </c>
      <c r="M3192" s="308" t="s">
        <v>13126</v>
      </c>
      <c r="N3192" s="308"/>
      <c r="O3192" s="308"/>
      <c r="P3192" s="308" t="s">
        <v>13127</v>
      </c>
      <c r="Q3192" s="308"/>
      <c r="R3192" s="308"/>
      <c r="S3192" s="308" t="s">
        <v>81</v>
      </c>
      <c r="T3192" s="311" t="s">
        <v>91</v>
      </c>
      <c r="U3192" s="308" t="s">
        <v>166</v>
      </c>
      <c r="V3192" s="312"/>
    </row>
    <row r="3193">
      <c r="A3193" s="308">
        <v>3192.0</v>
      </c>
      <c r="B3193" s="308"/>
      <c r="C3193" s="308" t="s">
        <v>13128</v>
      </c>
      <c r="D3193" s="308">
        <f>IFERROR(__xludf.DUMMYFUNCTION("SPLIT(C3193,""-"")"),3213.0)</f>
        <v>3213</v>
      </c>
      <c r="E3193" s="308" t="str">
        <f>IFERROR(__xludf.DUMMYFUNCTION("""COMPUTED_VALUE"""),"S")</f>
        <v>S</v>
      </c>
      <c r="F3193" s="312" t="s">
        <v>39</v>
      </c>
      <c r="G3193" s="308"/>
      <c r="H3193" s="308" t="s">
        <v>13129</v>
      </c>
      <c r="I3193" s="310">
        <v>42448.0</v>
      </c>
      <c r="J3193" s="319">
        <f>IFERROR(__xludf.DUMMYFUNCTION("SPLIT(I3193,""/"")"),19.0)</f>
        <v>19</v>
      </c>
      <c r="K3193" s="308">
        <f>IFERROR(__xludf.DUMMYFUNCTION("""COMPUTED_VALUE"""),3.0)</f>
        <v>3</v>
      </c>
      <c r="L3193" s="308">
        <f>IFERROR(__xludf.DUMMYFUNCTION("""COMPUTED_VALUE"""),2016.0)</f>
        <v>2016</v>
      </c>
      <c r="M3193" s="308" t="s">
        <v>13130</v>
      </c>
      <c r="N3193" s="308"/>
      <c r="O3193" s="308"/>
      <c r="P3193" s="308" t="s">
        <v>13131</v>
      </c>
      <c r="Q3193" s="308"/>
      <c r="R3193" s="308"/>
      <c r="S3193" s="308" t="s">
        <v>81</v>
      </c>
      <c r="T3193" s="311" t="s">
        <v>91</v>
      </c>
      <c r="U3193" s="308" t="s">
        <v>166</v>
      </c>
      <c r="V3193" s="312"/>
    </row>
    <row r="3194">
      <c r="A3194" s="308">
        <v>3193.0</v>
      </c>
      <c r="B3194" s="308"/>
      <c r="C3194" s="308" t="s">
        <v>13132</v>
      </c>
      <c r="D3194" s="308">
        <f>IFERROR(__xludf.DUMMYFUNCTION("SPLIT(C3194,""-"")"),3214.0)</f>
        <v>3214</v>
      </c>
      <c r="E3194" s="308" t="str">
        <f>IFERROR(__xludf.DUMMYFUNCTION("""COMPUTED_VALUE"""),"S")</f>
        <v>S</v>
      </c>
      <c r="F3194" s="312" t="s">
        <v>39</v>
      </c>
      <c r="G3194" s="308"/>
      <c r="H3194" s="308" t="s">
        <v>13133</v>
      </c>
      <c r="I3194" s="310">
        <v>42450.0</v>
      </c>
      <c r="J3194" s="319">
        <f>IFERROR(__xludf.DUMMYFUNCTION("SPLIT(I3194,""/"")"),21.0)</f>
        <v>21</v>
      </c>
      <c r="K3194" s="308">
        <f>IFERROR(__xludf.DUMMYFUNCTION("""COMPUTED_VALUE"""),3.0)</f>
        <v>3</v>
      </c>
      <c r="L3194" s="308">
        <f>IFERROR(__xludf.DUMMYFUNCTION("""COMPUTED_VALUE"""),2016.0)</f>
        <v>2016</v>
      </c>
      <c r="M3194" s="308" t="s">
        <v>13134</v>
      </c>
      <c r="N3194" s="308"/>
      <c r="O3194" s="308" t="s">
        <v>635</v>
      </c>
      <c r="P3194" s="308" t="s">
        <v>36898</v>
      </c>
      <c r="Q3194" s="308"/>
      <c r="R3194" s="308"/>
      <c r="S3194" s="308" t="s">
        <v>49</v>
      </c>
      <c r="T3194" s="311" t="s">
        <v>70</v>
      </c>
      <c r="U3194" s="312"/>
      <c r="V3194" s="312"/>
    </row>
    <row r="3195">
      <c r="A3195" s="308">
        <v>3194.0</v>
      </c>
      <c r="B3195" s="308"/>
      <c r="C3195" s="308" t="s">
        <v>13136</v>
      </c>
      <c r="D3195" s="308">
        <f>IFERROR(__xludf.DUMMYFUNCTION("SPLIT(C3195,""-"")"),3215.0)</f>
        <v>3215</v>
      </c>
      <c r="E3195" s="308" t="str">
        <f>IFERROR(__xludf.DUMMYFUNCTION("""COMPUTED_VALUE"""),"S")</f>
        <v>S</v>
      </c>
      <c r="F3195" s="312" t="s">
        <v>39</v>
      </c>
      <c r="G3195" s="308"/>
      <c r="H3195" s="308" t="s">
        <v>13137</v>
      </c>
      <c r="I3195" s="310">
        <v>42450.0</v>
      </c>
      <c r="J3195" s="319">
        <f>IFERROR(__xludf.DUMMYFUNCTION("SPLIT(I3195,""/"")"),21.0)</f>
        <v>21</v>
      </c>
      <c r="K3195" s="308">
        <f>IFERROR(__xludf.DUMMYFUNCTION("""COMPUTED_VALUE"""),3.0)</f>
        <v>3</v>
      </c>
      <c r="L3195" s="308">
        <f>IFERROR(__xludf.DUMMYFUNCTION("""COMPUTED_VALUE"""),2016.0)</f>
        <v>2016</v>
      </c>
      <c r="M3195" s="308" t="s">
        <v>13138</v>
      </c>
      <c r="N3195" s="308"/>
      <c r="O3195" s="308" t="s">
        <v>635</v>
      </c>
      <c r="P3195" s="308" t="s">
        <v>13139</v>
      </c>
      <c r="Q3195" s="308"/>
      <c r="R3195" s="308"/>
      <c r="S3195" s="308" t="s">
        <v>81</v>
      </c>
      <c r="T3195" s="309" t="s">
        <v>73</v>
      </c>
      <c r="U3195" s="312"/>
      <c r="V3195" s="312"/>
    </row>
    <row r="3196">
      <c r="A3196" s="308">
        <v>3195.0</v>
      </c>
      <c r="B3196" s="308"/>
      <c r="C3196" s="308" t="s">
        <v>13140</v>
      </c>
      <c r="D3196" s="308">
        <f>IFERROR(__xludf.DUMMYFUNCTION("SPLIT(C3196,""-"")"),3216.0)</f>
        <v>3216</v>
      </c>
      <c r="E3196" s="308" t="str">
        <f>IFERROR(__xludf.DUMMYFUNCTION("""COMPUTED_VALUE"""),"S")</f>
        <v>S</v>
      </c>
      <c r="F3196" s="312" t="s">
        <v>39</v>
      </c>
      <c r="G3196" s="308"/>
      <c r="H3196" s="308" t="s">
        <v>13141</v>
      </c>
      <c r="I3196" s="310">
        <v>42451.0</v>
      </c>
      <c r="J3196" s="319">
        <f>IFERROR(__xludf.DUMMYFUNCTION("SPLIT(I3196,""/"")"),22.0)</f>
        <v>22</v>
      </c>
      <c r="K3196" s="308">
        <f>IFERROR(__xludf.DUMMYFUNCTION("""COMPUTED_VALUE"""),3.0)</f>
        <v>3</v>
      </c>
      <c r="L3196" s="308">
        <f>IFERROR(__xludf.DUMMYFUNCTION("""COMPUTED_VALUE"""),2016.0)</f>
        <v>2016</v>
      </c>
      <c r="M3196" s="308" t="s">
        <v>36899</v>
      </c>
      <c r="N3196" s="308"/>
      <c r="O3196" s="308"/>
      <c r="P3196" s="308" t="s">
        <v>296</v>
      </c>
      <c r="Q3196" s="308"/>
      <c r="R3196" s="308"/>
      <c r="S3196" s="308" t="s">
        <v>81</v>
      </c>
      <c r="T3196" s="308" t="s">
        <v>75</v>
      </c>
      <c r="U3196" s="308" t="s">
        <v>166</v>
      </c>
      <c r="V3196" s="312"/>
    </row>
    <row r="3197">
      <c r="A3197" s="308">
        <v>3196.0</v>
      </c>
      <c r="B3197" s="308"/>
      <c r="C3197" s="308" t="s">
        <v>13143</v>
      </c>
      <c r="D3197" s="308">
        <f>IFERROR(__xludf.DUMMYFUNCTION("SPLIT(C3197,""-"")"),3217.0)</f>
        <v>3217</v>
      </c>
      <c r="E3197" s="308" t="str">
        <f>IFERROR(__xludf.DUMMYFUNCTION("""COMPUTED_VALUE"""),"S")</f>
        <v>S</v>
      </c>
      <c r="F3197" s="312" t="s">
        <v>39</v>
      </c>
      <c r="G3197" s="308"/>
      <c r="H3197" s="308" t="s">
        <v>13144</v>
      </c>
      <c r="I3197" s="310">
        <v>42451.0</v>
      </c>
      <c r="J3197" s="319">
        <f>IFERROR(__xludf.DUMMYFUNCTION("SPLIT(I3197,""/"")"),22.0)</f>
        <v>22</v>
      </c>
      <c r="K3197" s="308">
        <f>IFERROR(__xludf.DUMMYFUNCTION("""COMPUTED_VALUE"""),3.0)</f>
        <v>3</v>
      </c>
      <c r="L3197" s="308">
        <f>IFERROR(__xludf.DUMMYFUNCTION("""COMPUTED_VALUE"""),2016.0)</f>
        <v>2016</v>
      </c>
      <c r="M3197" s="308" t="s">
        <v>13145</v>
      </c>
      <c r="N3197" s="308"/>
      <c r="O3197" s="308"/>
      <c r="P3197" s="308" t="s">
        <v>296</v>
      </c>
      <c r="Q3197" s="308"/>
      <c r="R3197" s="308"/>
      <c r="S3197" s="308" t="s">
        <v>81</v>
      </c>
      <c r="T3197" s="308" t="s">
        <v>75</v>
      </c>
      <c r="U3197" s="308" t="s">
        <v>166</v>
      </c>
      <c r="V3197" s="312"/>
    </row>
    <row r="3198">
      <c r="A3198" s="308">
        <v>3197.0</v>
      </c>
      <c r="B3198" s="308"/>
      <c r="C3198" s="308" t="s">
        <v>13146</v>
      </c>
      <c r="D3198" s="308">
        <f>IFERROR(__xludf.DUMMYFUNCTION("SPLIT(C3198,""-"")"),3218.0)</f>
        <v>3218</v>
      </c>
      <c r="E3198" s="308" t="str">
        <f>IFERROR(__xludf.DUMMYFUNCTION("""COMPUTED_VALUE"""),"S")</f>
        <v>S</v>
      </c>
      <c r="F3198" s="312" t="s">
        <v>39</v>
      </c>
      <c r="G3198" s="308"/>
      <c r="H3198" s="308" t="s">
        <v>13147</v>
      </c>
      <c r="I3198" s="310">
        <v>42451.0</v>
      </c>
      <c r="J3198" s="319">
        <f>IFERROR(__xludf.DUMMYFUNCTION("SPLIT(I3198,""/"")"),22.0)</f>
        <v>22</v>
      </c>
      <c r="K3198" s="308">
        <f>IFERROR(__xludf.DUMMYFUNCTION("""COMPUTED_VALUE"""),3.0)</f>
        <v>3</v>
      </c>
      <c r="L3198" s="308">
        <f>IFERROR(__xludf.DUMMYFUNCTION("""COMPUTED_VALUE"""),2016.0)</f>
        <v>2016</v>
      </c>
      <c r="M3198" s="308" t="s">
        <v>13148</v>
      </c>
      <c r="N3198" s="308"/>
      <c r="O3198" s="308" t="s">
        <v>635</v>
      </c>
      <c r="P3198" s="308" t="s">
        <v>6973</v>
      </c>
      <c r="Q3198" s="308"/>
      <c r="R3198" s="308"/>
      <c r="S3198" s="308" t="s">
        <v>49</v>
      </c>
      <c r="T3198" s="308" t="s">
        <v>67</v>
      </c>
      <c r="U3198" s="308" t="s">
        <v>166</v>
      </c>
      <c r="V3198" s="312"/>
    </row>
    <row r="3199">
      <c r="A3199" s="308">
        <v>3198.0</v>
      </c>
      <c r="B3199" s="308"/>
      <c r="C3199" s="308" t="s">
        <v>13149</v>
      </c>
      <c r="D3199" s="308">
        <f>IFERROR(__xludf.DUMMYFUNCTION("SPLIT(C3199,""-"")"),3219.0)</f>
        <v>3219</v>
      </c>
      <c r="E3199" s="308" t="str">
        <f>IFERROR(__xludf.DUMMYFUNCTION("""COMPUTED_VALUE"""),"S")</f>
        <v>S</v>
      </c>
      <c r="F3199" s="312" t="s">
        <v>39</v>
      </c>
      <c r="G3199" s="308"/>
      <c r="H3199" s="308" t="s">
        <v>13150</v>
      </c>
      <c r="I3199" s="310">
        <v>42451.0</v>
      </c>
      <c r="J3199" s="319">
        <f>IFERROR(__xludf.DUMMYFUNCTION("SPLIT(I3199,""/"")"),22.0)</f>
        <v>22</v>
      </c>
      <c r="K3199" s="308">
        <f>IFERROR(__xludf.DUMMYFUNCTION("""COMPUTED_VALUE"""),3.0)</f>
        <v>3</v>
      </c>
      <c r="L3199" s="308">
        <f>IFERROR(__xludf.DUMMYFUNCTION("""COMPUTED_VALUE"""),2016.0)</f>
        <v>2016</v>
      </c>
      <c r="M3199" s="308" t="s">
        <v>13151</v>
      </c>
      <c r="N3199" s="308"/>
      <c r="O3199" s="308"/>
      <c r="P3199" s="308" t="s">
        <v>13131</v>
      </c>
      <c r="Q3199" s="308"/>
      <c r="R3199" s="308"/>
      <c r="S3199" s="308" t="s">
        <v>81</v>
      </c>
      <c r="T3199" s="311" t="s">
        <v>91</v>
      </c>
      <c r="U3199" s="308" t="s">
        <v>166</v>
      </c>
      <c r="V3199" s="312"/>
    </row>
    <row r="3200">
      <c r="A3200" s="308">
        <v>3199.0</v>
      </c>
      <c r="B3200" s="308"/>
      <c r="C3200" s="308" t="s">
        <v>13152</v>
      </c>
      <c r="D3200" s="308">
        <f>IFERROR(__xludf.DUMMYFUNCTION("SPLIT(C3200,""-"")"),3220.0)</f>
        <v>3220</v>
      </c>
      <c r="E3200" s="308" t="str">
        <f>IFERROR(__xludf.DUMMYFUNCTION("""COMPUTED_VALUE"""),"S")</f>
        <v>S</v>
      </c>
      <c r="F3200" s="312" t="s">
        <v>39</v>
      </c>
      <c r="G3200" s="308"/>
      <c r="H3200" s="308" t="s">
        <v>13153</v>
      </c>
      <c r="I3200" s="310">
        <v>42452.0</v>
      </c>
      <c r="J3200" s="319">
        <f>IFERROR(__xludf.DUMMYFUNCTION("SPLIT(I3200,""/"")"),23.0)</f>
        <v>23</v>
      </c>
      <c r="K3200" s="308">
        <f>IFERROR(__xludf.DUMMYFUNCTION("""COMPUTED_VALUE"""),3.0)</f>
        <v>3</v>
      </c>
      <c r="L3200" s="308">
        <f>IFERROR(__xludf.DUMMYFUNCTION("""COMPUTED_VALUE"""),2016.0)</f>
        <v>2016</v>
      </c>
      <c r="M3200" s="308" t="s">
        <v>13154</v>
      </c>
      <c r="N3200" s="308"/>
      <c r="O3200" s="308"/>
      <c r="P3200" s="308" t="s">
        <v>11266</v>
      </c>
      <c r="Q3200" s="308"/>
      <c r="R3200" s="308"/>
      <c r="S3200" s="308" t="s">
        <v>81</v>
      </c>
      <c r="T3200" s="311" t="s">
        <v>94</v>
      </c>
      <c r="U3200" s="308" t="s">
        <v>166</v>
      </c>
      <c r="V3200" s="312"/>
    </row>
    <row r="3201">
      <c r="A3201" s="308">
        <v>3200.0</v>
      </c>
      <c r="B3201" s="308"/>
      <c r="C3201" s="308" t="s">
        <v>13155</v>
      </c>
      <c r="D3201" s="308">
        <f>IFERROR(__xludf.DUMMYFUNCTION("SPLIT(C3201,""-"")"),3221.0)</f>
        <v>3221</v>
      </c>
      <c r="E3201" s="308" t="str">
        <f>IFERROR(__xludf.DUMMYFUNCTION("""COMPUTED_VALUE"""),"S")</f>
        <v>S</v>
      </c>
      <c r="F3201" s="312" t="s">
        <v>39</v>
      </c>
      <c r="G3201" s="308"/>
      <c r="H3201" s="308" t="s">
        <v>13156</v>
      </c>
      <c r="I3201" s="310">
        <v>42452.0</v>
      </c>
      <c r="J3201" s="319">
        <f>IFERROR(__xludf.DUMMYFUNCTION("SPLIT(I3201,""/"")"),23.0)</f>
        <v>23</v>
      </c>
      <c r="K3201" s="308">
        <f>IFERROR(__xludf.DUMMYFUNCTION("""COMPUTED_VALUE"""),3.0)</f>
        <v>3</v>
      </c>
      <c r="L3201" s="308">
        <f>IFERROR(__xludf.DUMMYFUNCTION("""COMPUTED_VALUE"""),2016.0)</f>
        <v>2016</v>
      </c>
      <c r="M3201" s="308" t="s">
        <v>13157</v>
      </c>
      <c r="N3201" s="308"/>
      <c r="O3201" s="308" t="s">
        <v>635</v>
      </c>
      <c r="P3201" s="308" t="s">
        <v>841</v>
      </c>
      <c r="Q3201" s="308"/>
      <c r="R3201" s="308"/>
      <c r="S3201" s="308" t="s">
        <v>49</v>
      </c>
      <c r="T3201" s="311" t="s">
        <v>77</v>
      </c>
      <c r="U3201" s="308" t="s">
        <v>166</v>
      </c>
      <c r="V3201" s="312"/>
    </row>
    <row r="3202">
      <c r="A3202" s="308">
        <v>3201.0</v>
      </c>
      <c r="B3202" s="308"/>
      <c r="C3202" s="308" t="s">
        <v>13158</v>
      </c>
      <c r="D3202" s="308">
        <f>IFERROR(__xludf.DUMMYFUNCTION("SPLIT(C3202,""-"")"),3222.0)</f>
        <v>3222</v>
      </c>
      <c r="E3202" s="308" t="str">
        <f>IFERROR(__xludf.DUMMYFUNCTION("""COMPUTED_VALUE"""),"S")</f>
        <v>S</v>
      </c>
      <c r="F3202" s="312" t="s">
        <v>39</v>
      </c>
      <c r="G3202" s="308"/>
      <c r="H3202" s="308" t="s">
        <v>13159</v>
      </c>
      <c r="I3202" s="310">
        <v>42452.0</v>
      </c>
      <c r="J3202" s="319">
        <f>IFERROR(__xludf.DUMMYFUNCTION("SPLIT(I3202,""/"")"),23.0)</f>
        <v>23</v>
      </c>
      <c r="K3202" s="308">
        <f>IFERROR(__xludf.DUMMYFUNCTION("""COMPUTED_VALUE"""),3.0)</f>
        <v>3</v>
      </c>
      <c r="L3202" s="308">
        <f>IFERROR(__xludf.DUMMYFUNCTION("""COMPUTED_VALUE"""),2016.0)</f>
        <v>2016</v>
      </c>
      <c r="M3202" s="308" t="s">
        <v>36900</v>
      </c>
      <c r="N3202" s="308"/>
      <c r="O3202" s="308" t="s">
        <v>635</v>
      </c>
      <c r="P3202" s="308" t="s">
        <v>12369</v>
      </c>
      <c r="Q3202" s="308"/>
      <c r="R3202" s="308"/>
      <c r="S3202" s="308" t="s">
        <v>81</v>
      </c>
      <c r="T3202" s="308" t="s">
        <v>73</v>
      </c>
      <c r="U3202" s="308" t="s">
        <v>166</v>
      </c>
      <c r="V3202" s="312"/>
    </row>
    <row r="3203">
      <c r="A3203" s="308">
        <v>3202.0</v>
      </c>
      <c r="B3203" s="308"/>
      <c r="C3203" s="308" t="s">
        <v>13161</v>
      </c>
      <c r="D3203" s="308">
        <f>IFERROR(__xludf.DUMMYFUNCTION("SPLIT(C3203,""-"")"),3223.0)</f>
        <v>3223</v>
      </c>
      <c r="E3203" s="308" t="str">
        <f>IFERROR(__xludf.DUMMYFUNCTION("""COMPUTED_VALUE"""),"S")</f>
        <v>S</v>
      </c>
      <c r="F3203" s="312" t="s">
        <v>39</v>
      </c>
      <c r="G3203" s="308"/>
      <c r="H3203" s="308" t="s">
        <v>13162</v>
      </c>
      <c r="I3203" s="310">
        <v>42452.0</v>
      </c>
      <c r="J3203" s="319">
        <f>IFERROR(__xludf.DUMMYFUNCTION("SPLIT(I3203,""/"")"),23.0)</f>
        <v>23</v>
      </c>
      <c r="K3203" s="308">
        <f>IFERROR(__xludf.DUMMYFUNCTION("""COMPUTED_VALUE"""),3.0)</f>
        <v>3</v>
      </c>
      <c r="L3203" s="308">
        <f>IFERROR(__xludf.DUMMYFUNCTION("""COMPUTED_VALUE"""),2016.0)</f>
        <v>2016</v>
      </c>
      <c r="M3203" s="308" t="s">
        <v>13163</v>
      </c>
      <c r="N3203" s="308"/>
      <c r="O3203" s="308"/>
      <c r="P3203" s="308" t="s">
        <v>36901</v>
      </c>
      <c r="Q3203" s="308"/>
      <c r="R3203" s="308"/>
      <c r="S3203" s="308" t="s">
        <v>81</v>
      </c>
      <c r="T3203" s="308" t="s">
        <v>73</v>
      </c>
      <c r="U3203" s="308" t="s">
        <v>166</v>
      </c>
      <c r="V3203" s="312"/>
    </row>
    <row r="3204">
      <c r="A3204" s="308">
        <v>3203.0</v>
      </c>
      <c r="B3204" s="308"/>
      <c r="C3204" s="308" t="s">
        <v>13165</v>
      </c>
      <c r="D3204" s="308">
        <f>IFERROR(__xludf.DUMMYFUNCTION("SPLIT(C3204,""-"")"),3224.0)</f>
        <v>3224</v>
      </c>
      <c r="E3204" s="308" t="str">
        <f>IFERROR(__xludf.DUMMYFUNCTION("""COMPUTED_VALUE"""),"S")</f>
        <v>S</v>
      </c>
      <c r="F3204" s="312" t="s">
        <v>39</v>
      </c>
      <c r="G3204" s="308"/>
      <c r="H3204" s="308" t="s">
        <v>13166</v>
      </c>
      <c r="I3204" s="310">
        <v>42452.0</v>
      </c>
      <c r="J3204" s="319">
        <f>IFERROR(__xludf.DUMMYFUNCTION("SPLIT(I3204,""/"")"),23.0)</f>
        <v>23</v>
      </c>
      <c r="K3204" s="308">
        <f>IFERROR(__xludf.DUMMYFUNCTION("""COMPUTED_VALUE"""),3.0)</f>
        <v>3</v>
      </c>
      <c r="L3204" s="308">
        <f>IFERROR(__xludf.DUMMYFUNCTION("""COMPUTED_VALUE"""),2016.0)</f>
        <v>2016</v>
      </c>
      <c r="M3204" s="308" t="s">
        <v>13163</v>
      </c>
      <c r="N3204" s="308"/>
      <c r="O3204" s="308"/>
      <c r="P3204" s="308" t="s">
        <v>36901</v>
      </c>
      <c r="Q3204" s="308"/>
      <c r="R3204" s="308"/>
      <c r="S3204" s="308" t="s">
        <v>81</v>
      </c>
      <c r="T3204" s="308" t="s">
        <v>73</v>
      </c>
      <c r="U3204" s="308" t="s">
        <v>166</v>
      </c>
      <c r="V3204" s="312"/>
    </row>
    <row r="3205">
      <c r="A3205" s="308">
        <v>3204.0</v>
      </c>
      <c r="B3205" s="308"/>
      <c r="C3205" s="308" t="s">
        <v>13167</v>
      </c>
      <c r="D3205" s="308">
        <f>IFERROR(__xludf.DUMMYFUNCTION("SPLIT(C3205,""-"")"),3225.0)</f>
        <v>3225</v>
      </c>
      <c r="E3205" s="308" t="str">
        <f>IFERROR(__xludf.DUMMYFUNCTION("""COMPUTED_VALUE"""),"S")</f>
        <v>S</v>
      </c>
      <c r="F3205" s="312" t="s">
        <v>39</v>
      </c>
      <c r="G3205" s="308"/>
      <c r="H3205" s="308" t="s">
        <v>13168</v>
      </c>
      <c r="I3205" s="310">
        <v>42453.0</v>
      </c>
      <c r="J3205" s="319">
        <f>IFERROR(__xludf.DUMMYFUNCTION("SPLIT(I3205,""/"")"),24.0)</f>
        <v>24</v>
      </c>
      <c r="K3205" s="308">
        <f>IFERROR(__xludf.DUMMYFUNCTION("""COMPUTED_VALUE"""),3.0)</f>
        <v>3</v>
      </c>
      <c r="L3205" s="308">
        <f>IFERROR(__xludf.DUMMYFUNCTION("""COMPUTED_VALUE"""),2016.0)</f>
        <v>2016</v>
      </c>
      <c r="M3205" s="308" t="s">
        <v>13169</v>
      </c>
      <c r="N3205" s="308"/>
      <c r="O3205" s="308"/>
      <c r="P3205" s="308" t="s">
        <v>296</v>
      </c>
      <c r="Q3205" s="308"/>
      <c r="R3205" s="308"/>
      <c r="S3205" s="308" t="s">
        <v>81</v>
      </c>
      <c r="T3205" s="308" t="s">
        <v>75</v>
      </c>
      <c r="U3205" s="308" t="s">
        <v>166</v>
      </c>
      <c r="V3205" s="312"/>
    </row>
    <row r="3206">
      <c r="A3206" s="308">
        <v>3205.0</v>
      </c>
      <c r="B3206" s="308"/>
      <c r="C3206" s="308" t="s">
        <v>13170</v>
      </c>
      <c r="D3206" s="308">
        <f>IFERROR(__xludf.DUMMYFUNCTION("SPLIT(C3206,""-"")"),3226.0)</f>
        <v>3226</v>
      </c>
      <c r="E3206" s="308" t="str">
        <f>IFERROR(__xludf.DUMMYFUNCTION("""COMPUTED_VALUE"""),"S")</f>
        <v>S</v>
      </c>
      <c r="F3206" s="312" t="s">
        <v>39</v>
      </c>
      <c r="G3206" s="308"/>
      <c r="H3206" s="308" t="s">
        <v>13171</v>
      </c>
      <c r="I3206" s="310">
        <v>42453.0</v>
      </c>
      <c r="J3206" s="319">
        <f>IFERROR(__xludf.DUMMYFUNCTION("SPLIT(I3206,""/"")"),24.0)</f>
        <v>24</v>
      </c>
      <c r="K3206" s="308">
        <f>IFERROR(__xludf.DUMMYFUNCTION("""COMPUTED_VALUE"""),3.0)</f>
        <v>3</v>
      </c>
      <c r="L3206" s="308">
        <f>IFERROR(__xludf.DUMMYFUNCTION("""COMPUTED_VALUE"""),2016.0)</f>
        <v>2016</v>
      </c>
      <c r="M3206" s="308" t="s">
        <v>13172</v>
      </c>
      <c r="N3206" s="308"/>
      <c r="O3206" s="308"/>
      <c r="P3206" s="308" t="s">
        <v>296</v>
      </c>
      <c r="Q3206" s="308"/>
      <c r="R3206" s="308"/>
      <c r="S3206" s="308" t="s">
        <v>81</v>
      </c>
      <c r="T3206" s="308" t="s">
        <v>75</v>
      </c>
      <c r="U3206" s="308" t="s">
        <v>166</v>
      </c>
      <c r="V3206" s="312"/>
    </row>
    <row r="3207">
      <c r="A3207" s="308">
        <v>3206.0</v>
      </c>
      <c r="B3207" s="308"/>
      <c r="C3207" s="308" t="s">
        <v>13173</v>
      </c>
      <c r="D3207" s="308">
        <f>IFERROR(__xludf.DUMMYFUNCTION("SPLIT(C3207,""-"")"),3227.0)</f>
        <v>3227</v>
      </c>
      <c r="E3207" s="308" t="str">
        <f>IFERROR(__xludf.DUMMYFUNCTION("""COMPUTED_VALUE"""),"S")</f>
        <v>S</v>
      </c>
      <c r="F3207" s="312" t="s">
        <v>39</v>
      </c>
      <c r="G3207" s="308"/>
      <c r="H3207" s="308" t="s">
        <v>13174</v>
      </c>
      <c r="I3207" s="310">
        <v>42454.0</v>
      </c>
      <c r="J3207" s="319">
        <f>IFERROR(__xludf.DUMMYFUNCTION("SPLIT(I3207,""/"")"),25.0)</f>
        <v>25</v>
      </c>
      <c r="K3207" s="308">
        <f>IFERROR(__xludf.DUMMYFUNCTION("""COMPUTED_VALUE"""),3.0)</f>
        <v>3</v>
      </c>
      <c r="L3207" s="308">
        <f>IFERROR(__xludf.DUMMYFUNCTION("""COMPUTED_VALUE"""),2016.0)</f>
        <v>2016</v>
      </c>
      <c r="M3207" s="308" t="s">
        <v>13175</v>
      </c>
      <c r="N3207" s="308"/>
      <c r="O3207" s="308"/>
      <c r="P3207" s="308" t="s">
        <v>36902</v>
      </c>
      <c r="Q3207" s="308"/>
      <c r="R3207" s="308"/>
      <c r="S3207" s="308" t="s">
        <v>81</v>
      </c>
      <c r="T3207" s="311" t="s">
        <v>91</v>
      </c>
      <c r="U3207" s="308" t="s">
        <v>166</v>
      </c>
      <c r="V3207" s="312"/>
    </row>
    <row r="3208">
      <c r="A3208" s="308">
        <v>3207.0</v>
      </c>
      <c r="B3208" s="308"/>
      <c r="C3208" s="308" t="s">
        <v>13176</v>
      </c>
      <c r="D3208" s="308">
        <f>IFERROR(__xludf.DUMMYFUNCTION("SPLIT(C3208,""-"")"),3228.0)</f>
        <v>3228</v>
      </c>
      <c r="E3208" s="308" t="str">
        <f>IFERROR(__xludf.DUMMYFUNCTION("""COMPUTED_VALUE"""),"S")</f>
        <v>S</v>
      </c>
      <c r="F3208" s="312" t="s">
        <v>39</v>
      </c>
      <c r="G3208" s="308"/>
      <c r="H3208" s="308" t="s">
        <v>13177</v>
      </c>
      <c r="I3208" s="310">
        <v>42454.0</v>
      </c>
      <c r="J3208" s="319">
        <f>IFERROR(__xludf.DUMMYFUNCTION("SPLIT(I3208,""/"")"),25.0)</f>
        <v>25</v>
      </c>
      <c r="K3208" s="308">
        <f>IFERROR(__xludf.DUMMYFUNCTION("""COMPUTED_VALUE"""),3.0)</f>
        <v>3</v>
      </c>
      <c r="L3208" s="308">
        <f>IFERROR(__xludf.DUMMYFUNCTION("""COMPUTED_VALUE"""),2016.0)</f>
        <v>2016</v>
      </c>
      <c r="M3208" s="308" t="s">
        <v>13178</v>
      </c>
      <c r="N3208" s="308"/>
      <c r="O3208" s="308" t="s">
        <v>635</v>
      </c>
      <c r="P3208" s="308" t="s">
        <v>12369</v>
      </c>
      <c r="Q3208" s="308"/>
      <c r="R3208" s="308"/>
      <c r="S3208" s="308" t="s">
        <v>81</v>
      </c>
      <c r="T3208" s="308" t="s">
        <v>73</v>
      </c>
      <c r="U3208" s="308" t="s">
        <v>166</v>
      </c>
      <c r="V3208" s="312"/>
    </row>
    <row r="3209">
      <c r="A3209" s="308">
        <v>3208.0</v>
      </c>
      <c r="B3209" s="308"/>
      <c r="C3209" s="308" t="s">
        <v>13179</v>
      </c>
      <c r="D3209" s="308">
        <f>IFERROR(__xludf.DUMMYFUNCTION("SPLIT(C3209,""-"")"),3229.0)</f>
        <v>3229</v>
      </c>
      <c r="E3209" s="308" t="str">
        <f>IFERROR(__xludf.DUMMYFUNCTION("""COMPUTED_VALUE"""),"S")</f>
        <v>S</v>
      </c>
      <c r="F3209" s="312" t="s">
        <v>39</v>
      </c>
      <c r="G3209" s="308"/>
      <c r="H3209" s="308" t="s">
        <v>13180</v>
      </c>
      <c r="I3209" s="310">
        <v>42454.0</v>
      </c>
      <c r="J3209" s="319">
        <f>IFERROR(__xludf.DUMMYFUNCTION("SPLIT(I3209,""/"")"),25.0)</f>
        <v>25</v>
      </c>
      <c r="K3209" s="308">
        <f>IFERROR(__xludf.DUMMYFUNCTION("""COMPUTED_VALUE"""),3.0)</f>
        <v>3</v>
      </c>
      <c r="L3209" s="308">
        <f>IFERROR(__xludf.DUMMYFUNCTION("""COMPUTED_VALUE"""),2016.0)</f>
        <v>2016</v>
      </c>
      <c r="M3209" s="308" t="s">
        <v>36903</v>
      </c>
      <c r="N3209" s="308"/>
      <c r="O3209" s="308"/>
      <c r="P3209" s="308" t="s">
        <v>36888</v>
      </c>
      <c r="Q3209" s="308"/>
      <c r="R3209" s="308"/>
      <c r="S3209" s="308" t="s">
        <v>81</v>
      </c>
      <c r="T3209" s="308" t="s">
        <v>73</v>
      </c>
      <c r="U3209" s="308" t="s">
        <v>166</v>
      </c>
      <c r="V3209" s="312"/>
    </row>
    <row r="3210">
      <c r="A3210" s="308">
        <v>3209.0</v>
      </c>
      <c r="B3210" s="308"/>
      <c r="C3210" s="308" t="s">
        <v>13182</v>
      </c>
      <c r="D3210" s="308">
        <f>IFERROR(__xludf.DUMMYFUNCTION("SPLIT(C3210,""-"")"),3230.0)</f>
        <v>3230</v>
      </c>
      <c r="E3210" s="308" t="str">
        <f>IFERROR(__xludf.DUMMYFUNCTION("""COMPUTED_VALUE"""),"S")</f>
        <v>S</v>
      </c>
      <c r="F3210" s="312" t="s">
        <v>39</v>
      </c>
      <c r="G3210" s="308"/>
      <c r="H3210" s="308" t="s">
        <v>13183</v>
      </c>
      <c r="I3210" s="310">
        <v>42455.0</v>
      </c>
      <c r="J3210" s="319">
        <f>IFERROR(__xludf.DUMMYFUNCTION("SPLIT(I3210,""/"")"),26.0)</f>
        <v>26</v>
      </c>
      <c r="K3210" s="308">
        <f>IFERROR(__xludf.DUMMYFUNCTION("""COMPUTED_VALUE"""),3.0)</f>
        <v>3</v>
      </c>
      <c r="L3210" s="308">
        <f>IFERROR(__xludf.DUMMYFUNCTION("""COMPUTED_VALUE"""),2016.0)</f>
        <v>2016</v>
      </c>
      <c r="M3210" s="308" t="s">
        <v>13184</v>
      </c>
      <c r="N3210" s="308"/>
      <c r="O3210" s="308"/>
      <c r="P3210" s="308" t="s">
        <v>12250</v>
      </c>
      <c r="Q3210" s="308"/>
      <c r="R3210" s="308"/>
      <c r="S3210" s="308" t="s">
        <v>49</v>
      </c>
      <c r="T3210" s="308" t="s">
        <v>67</v>
      </c>
      <c r="U3210" s="308" t="s">
        <v>166</v>
      </c>
      <c r="V3210" s="312"/>
    </row>
    <row r="3211">
      <c r="A3211" s="308">
        <v>3210.0</v>
      </c>
      <c r="B3211" s="308"/>
      <c r="C3211" s="308" t="s">
        <v>13185</v>
      </c>
      <c r="D3211" s="308">
        <f>IFERROR(__xludf.DUMMYFUNCTION("SPLIT(C3211,""-"")"),3231.0)</f>
        <v>3231</v>
      </c>
      <c r="E3211" s="308" t="str">
        <f>IFERROR(__xludf.DUMMYFUNCTION("""COMPUTED_VALUE"""),"S")</f>
        <v>S</v>
      </c>
      <c r="F3211" s="312" t="s">
        <v>39</v>
      </c>
      <c r="G3211" s="308"/>
      <c r="H3211" s="308" t="s">
        <v>13186</v>
      </c>
      <c r="I3211" s="310">
        <v>42455.0</v>
      </c>
      <c r="J3211" s="319">
        <f>IFERROR(__xludf.DUMMYFUNCTION("SPLIT(I3211,""/"")"),26.0)</f>
        <v>26</v>
      </c>
      <c r="K3211" s="308">
        <f>IFERROR(__xludf.DUMMYFUNCTION("""COMPUTED_VALUE"""),3.0)</f>
        <v>3</v>
      </c>
      <c r="L3211" s="308">
        <f>IFERROR(__xludf.DUMMYFUNCTION("""COMPUTED_VALUE"""),2016.0)</f>
        <v>2016</v>
      </c>
      <c r="M3211" s="308" t="s">
        <v>13187</v>
      </c>
      <c r="N3211" s="308"/>
      <c r="O3211" s="308"/>
      <c r="P3211" s="308" t="s">
        <v>36888</v>
      </c>
      <c r="Q3211" s="308"/>
      <c r="R3211" s="308"/>
      <c r="S3211" s="308" t="s">
        <v>81</v>
      </c>
      <c r="T3211" s="308" t="s">
        <v>73</v>
      </c>
      <c r="U3211" s="308" t="s">
        <v>166</v>
      </c>
      <c r="V3211" s="312"/>
    </row>
    <row r="3212">
      <c r="A3212" s="308">
        <v>3211.0</v>
      </c>
      <c r="B3212" s="308"/>
      <c r="C3212" s="308" t="s">
        <v>13188</v>
      </c>
      <c r="D3212" s="308">
        <f>IFERROR(__xludf.DUMMYFUNCTION("SPLIT(C3212,""-"")"),3232.0)</f>
        <v>3232</v>
      </c>
      <c r="E3212" s="308" t="str">
        <f>IFERROR(__xludf.DUMMYFUNCTION("""COMPUTED_VALUE"""),"S")</f>
        <v>S</v>
      </c>
      <c r="F3212" s="312" t="s">
        <v>39</v>
      </c>
      <c r="G3212" s="308"/>
      <c r="H3212" s="308" t="s">
        <v>13189</v>
      </c>
      <c r="I3212" s="310">
        <v>42455.0</v>
      </c>
      <c r="J3212" s="319">
        <f>IFERROR(__xludf.DUMMYFUNCTION("SPLIT(I3212,""/"")"),26.0)</f>
        <v>26</v>
      </c>
      <c r="K3212" s="308">
        <f>IFERROR(__xludf.DUMMYFUNCTION("""COMPUTED_VALUE"""),3.0)</f>
        <v>3</v>
      </c>
      <c r="L3212" s="308">
        <f>IFERROR(__xludf.DUMMYFUNCTION("""COMPUTED_VALUE"""),2016.0)</f>
        <v>2016</v>
      </c>
      <c r="M3212" s="308" t="s">
        <v>13190</v>
      </c>
      <c r="N3212" s="308"/>
      <c r="O3212" s="308" t="s">
        <v>635</v>
      </c>
      <c r="P3212" s="308" t="s">
        <v>6778</v>
      </c>
      <c r="Q3212" s="308"/>
      <c r="R3212" s="308"/>
      <c r="S3212" s="311" t="s">
        <v>49</v>
      </c>
      <c r="T3212" s="309" t="s">
        <v>67</v>
      </c>
      <c r="U3212" s="312"/>
      <c r="V3212" s="312"/>
    </row>
    <row r="3213">
      <c r="A3213" s="308">
        <v>3212.0</v>
      </c>
      <c r="B3213" s="308"/>
      <c r="C3213" s="308" t="s">
        <v>13191</v>
      </c>
      <c r="D3213" s="308">
        <f>IFERROR(__xludf.DUMMYFUNCTION("SPLIT(C3213,""-"")"),3233.0)</f>
        <v>3233</v>
      </c>
      <c r="E3213" s="308" t="str">
        <f>IFERROR(__xludf.DUMMYFUNCTION("""COMPUTED_VALUE"""),"S")</f>
        <v>S</v>
      </c>
      <c r="F3213" s="312" t="s">
        <v>39</v>
      </c>
      <c r="G3213" s="308"/>
      <c r="H3213" s="308" t="s">
        <v>13192</v>
      </c>
      <c r="I3213" s="310">
        <v>42455.0</v>
      </c>
      <c r="J3213" s="319">
        <f>IFERROR(__xludf.DUMMYFUNCTION("SPLIT(I3213,""/"")"),26.0)</f>
        <v>26</v>
      </c>
      <c r="K3213" s="308">
        <f>IFERROR(__xludf.DUMMYFUNCTION("""COMPUTED_VALUE"""),3.0)</f>
        <v>3</v>
      </c>
      <c r="L3213" s="308">
        <f>IFERROR(__xludf.DUMMYFUNCTION("""COMPUTED_VALUE"""),2016.0)</f>
        <v>2016</v>
      </c>
      <c r="M3213" s="308" t="s">
        <v>13193</v>
      </c>
      <c r="N3213" s="308"/>
      <c r="O3213" s="308"/>
      <c r="P3213" s="308" t="s">
        <v>36888</v>
      </c>
      <c r="Q3213" s="308"/>
      <c r="R3213" s="308"/>
      <c r="S3213" s="308" t="s">
        <v>81</v>
      </c>
      <c r="T3213" s="308" t="s">
        <v>73</v>
      </c>
      <c r="U3213" s="308" t="s">
        <v>166</v>
      </c>
      <c r="V3213" s="312"/>
    </row>
    <row r="3214">
      <c r="A3214" s="308">
        <v>3213.0</v>
      </c>
      <c r="B3214" s="308"/>
      <c r="C3214" s="308" t="s">
        <v>13194</v>
      </c>
      <c r="D3214" s="308">
        <f>IFERROR(__xludf.DUMMYFUNCTION("SPLIT(C3214,""-"")"),3234.0)</f>
        <v>3234</v>
      </c>
      <c r="E3214" s="308" t="str">
        <f>IFERROR(__xludf.DUMMYFUNCTION("""COMPUTED_VALUE"""),"S")</f>
        <v>S</v>
      </c>
      <c r="F3214" s="312" t="s">
        <v>39</v>
      </c>
      <c r="G3214" s="308"/>
      <c r="H3214" s="308" t="s">
        <v>13195</v>
      </c>
      <c r="I3214" s="310">
        <v>42455.0</v>
      </c>
      <c r="J3214" s="319">
        <f>IFERROR(__xludf.DUMMYFUNCTION("SPLIT(I3214,""/"")"),26.0)</f>
        <v>26</v>
      </c>
      <c r="K3214" s="308">
        <f>IFERROR(__xludf.DUMMYFUNCTION("""COMPUTED_VALUE"""),3.0)</f>
        <v>3</v>
      </c>
      <c r="L3214" s="308">
        <f>IFERROR(__xludf.DUMMYFUNCTION("""COMPUTED_VALUE"""),2016.0)</f>
        <v>2016</v>
      </c>
      <c r="M3214" s="308" t="s">
        <v>13196</v>
      </c>
      <c r="N3214" s="308"/>
      <c r="O3214" s="308"/>
      <c r="P3214" s="308" t="s">
        <v>36888</v>
      </c>
      <c r="Q3214" s="308"/>
      <c r="R3214" s="308"/>
      <c r="S3214" s="308" t="s">
        <v>81</v>
      </c>
      <c r="T3214" s="308" t="s">
        <v>73</v>
      </c>
      <c r="U3214" s="308" t="s">
        <v>166</v>
      </c>
      <c r="V3214" s="312"/>
    </row>
    <row r="3215">
      <c r="A3215" s="308">
        <v>3214.0</v>
      </c>
      <c r="B3215" s="308"/>
      <c r="C3215" s="308" t="s">
        <v>13197</v>
      </c>
      <c r="D3215" s="308">
        <f>IFERROR(__xludf.DUMMYFUNCTION("SPLIT(C3215,""-"")"),3235.0)</f>
        <v>3235</v>
      </c>
      <c r="E3215" s="308" t="str">
        <f>IFERROR(__xludf.DUMMYFUNCTION("""COMPUTED_VALUE"""),"S")</f>
        <v>S</v>
      </c>
      <c r="F3215" s="312" t="s">
        <v>39</v>
      </c>
      <c r="G3215" s="308"/>
      <c r="H3215" s="308" t="s">
        <v>13198</v>
      </c>
      <c r="I3215" s="310">
        <v>42456.0</v>
      </c>
      <c r="J3215" s="319">
        <f>IFERROR(__xludf.DUMMYFUNCTION("SPLIT(I3215,""/"")"),27.0)</f>
        <v>27</v>
      </c>
      <c r="K3215" s="308">
        <f>IFERROR(__xludf.DUMMYFUNCTION("""COMPUTED_VALUE"""),3.0)</f>
        <v>3</v>
      </c>
      <c r="L3215" s="308">
        <f>IFERROR(__xludf.DUMMYFUNCTION("""COMPUTED_VALUE"""),2016.0)</f>
        <v>2016</v>
      </c>
      <c r="M3215" s="308" t="s">
        <v>13196</v>
      </c>
      <c r="N3215" s="308"/>
      <c r="O3215" s="308"/>
      <c r="P3215" s="308" t="s">
        <v>36888</v>
      </c>
      <c r="Q3215" s="308"/>
      <c r="R3215" s="308"/>
      <c r="S3215" s="308" t="s">
        <v>81</v>
      </c>
      <c r="T3215" s="308" t="s">
        <v>73</v>
      </c>
      <c r="U3215" s="308" t="s">
        <v>166</v>
      </c>
      <c r="V3215" s="312"/>
    </row>
    <row r="3216">
      <c r="A3216" s="308">
        <v>3215.0</v>
      </c>
      <c r="B3216" s="308"/>
      <c r="C3216" s="308" t="s">
        <v>13199</v>
      </c>
      <c r="D3216" s="308">
        <f>IFERROR(__xludf.DUMMYFUNCTION("SPLIT(C3216,""-"")"),3236.0)</f>
        <v>3236</v>
      </c>
      <c r="E3216" s="308" t="str">
        <f>IFERROR(__xludf.DUMMYFUNCTION("""COMPUTED_VALUE"""),"S")</f>
        <v>S</v>
      </c>
      <c r="F3216" s="312" t="s">
        <v>39</v>
      </c>
      <c r="G3216" s="308"/>
      <c r="H3216" s="308" t="s">
        <v>13200</v>
      </c>
      <c r="I3216" s="310">
        <v>42457.0</v>
      </c>
      <c r="J3216" s="319">
        <f>IFERROR(__xludf.DUMMYFUNCTION("SPLIT(I3216,""/"")"),28.0)</f>
        <v>28</v>
      </c>
      <c r="K3216" s="308">
        <f>IFERROR(__xludf.DUMMYFUNCTION("""COMPUTED_VALUE"""),3.0)</f>
        <v>3</v>
      </c>
      <c r="L3216" s="308">
        <f>IFERROR(__xludf.DUMMYFUNCTION("""COMPUTED_VALUE"""),2016.0)</f>
        <v>2016</v>
      </c>
      <c r="M3216" s="308" t="s">
        <v>13201</v>
      </c>
      <c r="N3216" s="308"/>
      <c r="O3216" s="308"/>
      <c r="P3216" s="308" t="s">
        <v>36888</v>
      </c>
      <c r="Q3216" s="308"/>
      <c r="R3216" s="308"/>
      <c r="S3216" s="308" t="s">
        <v>81</v>
      </c>
      <c r="T3216" s="308" t="s">
        <v>73</v>
      </c>
      <c r="U3216" s="308" t="s">
        <v>166</v>
      </c>
      <c r="V3216" s="312"/>
    </row>
    <row r="3217">
      <c r="A3217" s="308">
        <v>3216.0</v>
      </c>
      <c r="B3217" s="308"/>
      <c r="C3217" s="308" t="s">
        <v>13202</v>
      </c>
      <c r="D3217" s="308">
        <f>IFERROR(__xludf.DUMMYFUNCTION("SPLIT(C3217,""-"")"),3237.0)</f>
        <v>3237</v>
      </c>
      <c r="E3217" s="308" t="str">
        <f>IFERROR(__xludf.DUMMYFUNCTION("""COMPUTED_VALUE"""),"S")</f>
        <v>S</v>
      </c>
      <c r="F3217" s="312" t="s">
        <v>39</v>
      </c>
      <c r="G3217" s="308"/>
      <c r="H3217" s="308" t="s">
        <v>13203</v>
      </c>
      <c r="I3217" s="310">
        <v>42458.0</v>
      </c>
      <c r="J3217" s="319">
        <f>IFERROR(__xludf.DUMMYFUNCTION("SPLIT(I3217,""/"")"),29.0)</f>
        <v>29</v>
      </c>
      <c r="K3217" s="308">
        <f>IFERROR(__xludf.DUMMYFUNCTION("""COMPUTED_VALUE"""),3.0)</f>
        <v>3</v>
      </c>
      <c r="L3217" s="308">
        <f>IFERROR(__xludf.DUMMYFUNCTION("""COMPUTED_VALUE"""),2016.0)</f>
        <v>2016</v>
      </c>
      <c r="M3217" s="308" t="s">
        <v>13204</v>
      </c>
      <c r="N3217" s="308"/>
      <c r="O3217" s="308"/>
      <c r="P3217" s="308" t="s">
        <v>11266</v>
      </c>
      <c r="Q3217" s="308"/>
      <c r="R3217" s="308"/>
      <c r="S3217" s="308" t="s">
        <v>81</v>
      </c>
      <c r="T3217" s="311" t="s">
        <v>94</v>
      </c>
      <c r="U3217" s="308" t="s">
        <v>166</v>
      </c>
      <c r="V3217" s="312"/>
    </row>
    <row r="3218">
      <c r="A3218" s="308">
        <v>3217.0</v>
      </c>
      <c r="B3218" s="308"/>
      <c r="C3218" s="308" t="s">
        <v>13205</v>
      </c>
      <c r="D3218" s="308">
        <f>IFERROR(__xludf.DUMMYFUNCTION("SPLIT(C3218,""-"")"),3238.0)</f>
        <v>3238</v>
      </c>
      <c r="E3218" s="308" t="str">
        <f>IFERROR(__xludf.DUMMYFUNCTION("""COMPUTED_VALUE"""),"S")</f>
        <v>S</v>
      </c>
      <c r="F3218" s="312" t="s">
        <v>39</v>
      </c>
      <c r="G3218" s="308"/>
      <c r="H3218" s="308" t="s">
        <v>13206</v>
      </c>
      <c r="I3218" s="310">
        <v>42458.0</v>
      </c>
      <c r="J3218" s="319">
        <f>IFERROR(__xludf.DUMMYFUNCTION("SPLIT(I3218,""/"")"),29.0)</f>
        <v>29</v>
      </c>
      <c r="K3218" s="308">
        <f>IFERROR(__xludf.DUMMYFUNCTION("""COMPUTED_VALUE"""),3.0)</f>
        <v>3</v>
      </c>
      <c r="L3218" s="308">
        <f>IFERROR(__xludf.DUMMYFUNCTION("""COMPUTED_VALUE"""),2016.0)</f>
        <v>2016</v>
      </c>
      <c r="M3218" s="308" t="s">
        <v>13207</v>
      </c>
      <c r="N3218" s="308"/>
      <c r="O3218" s="308" t="s">
        <v>635</v>
      </c>
      <c r="P3218" s="308" t="s">
        <v>12369</v>
      </c>
      <c r="Q3218" s="308"/>
      <c r="R3218" s="308"/>
      <c r="S3218" s="308" t="s">
        <v>81</v>
      </c>
      <c r="T3218" s="308" t="s">
        <v>73</v>
      </c>
      <c r="U3218" s="308" t="s">
        <v>166</v>
      </c>
      <c r="V3218" s="312"/>
    </row>
    <row r="3219">
      <c r="A3219" s="308">
        <v>3218.0</v>
      </c>
      <c r="B3219" s="308"/>
      <c r="C3219" s="308" t="s">
        <v>13208</v>
      </c>
      <c r="D3219" s="308">
        <f>IFERROR(__xludf.DUMMYFUNCTION("SPLIT(C3219,""-"")"),3239.0)</f>
        <v>3239</v>
      </c>
      <c r="E3219" s="308" t="str">
        <f>IFERROR(__xludf.DUMMYFUNCTION("""COMPUTED_VALUE"""),"S")</f>
        <v>S</v>
      </c>
      <c r="F3219" s="312" t="s">
        <v>39</v>
      </c>
      <c r="G3219" s="308"/>
      <c r="H3219" s="308" t="s">
        <v>13209</v>
      </c>
      <c r="I3219" s="310">
        <v>42458.0</v>
      </c>
      <c r="J3219" s="319">
        <f>IFERROR(__xludf.DUMMYFUNCTION("SPLIT(I3219,""/"")"),29.0)</f>
        <v>29</v>
      </c>
      <c r="K3219" s="308">
        <f>IFERROR(__xludf.DUMMYFUNCTION("""COMPUTED_VALUE"""),3.0)</f>
        <v>3</v>
      </c>
      <c r="L3219" s="308">
        <f>IFERROR(__xludf.DUMMYFUNCTION("""COMPUTED_VALUE"""),2016.0)</f>
        <v>2016</v>
      </c>
      <c r="M3219" s="308" t="s">
        <v>13210</v>
      </c>
      <c r="N3219" s="308"/>
      <c r="O3219" s="308" t="s">
        <v>635</v>
      </c>
      <c r="P3219" s="308" t="s">
        <v>13211</v>
      </c>
      <c r="Q3219" s="308"/>
      <c r="R3219" s="308"/>
      <c r="S3219" s="308" t="s">
        <v>81</v>
      </c>
      <c r="T3219" s="308" t="s">
        <v>75</v>
      </c>
      <c r="U3219" s="308" t="s">
        <v>166</v>
      </c>
      <c r="V3219" s="312"/>
    </row>
    <row r="3220">
      <c r="A3220" s="308">
        <v>3219.0</v>
      </c>
      <c r="B3220" s="308"/>
      <c r="C3220" s="308" t="s">
        <v>13212</v>
      </c>
      <c r="D3220" s="308">
        <f>IFERROR(__xludf.DUMMYFUNCTION("SPLIT(C3220,""-"")"),3240.0)</f>
        <v>3240</v>
      </c>
      <c r="E3220" s="308" t="str">
        <f>IFERROR(__xludf.DUMMYFUNCTION("""COMPUTED_VALUE"""),"S")</f>
        <v>S</v>
      </c>
      <c r="F3220" s="312" t="s">
        <v>39</v>
      </c>
      <c r="G3220" s="308"/>
      <c r="H3220" s="308" t="s">
        <v>36904</v>
      </c>
      <c r="I3220" s="310">
        <v>42461.0</v>
      </c>
      <c r="J3220" s="319">
        <f>IFERROR(__xludf.DUMMYFUNCTION("SPLIT(I3220,""/"")"),1.0)</f>
        <v>1</v>
      </c>
      <c r="K3220" s="308">
        <f>IFERROR(__xludf.DUMMYFUNCTION("""COMPUTED_VALUE"""),4.0)</f>
        <v>4</v>
      </c>
      <c r="L3220" s="308">
        <f>IFERROR(__xludf.DUMMYFUNCTION("""COMPUTED_VALUE"""),2016.0)</f>
        <v>2016</v>
      </c>
      <c r="M3220" s="308" t="s">
        <v>13214</v>
      </c>
      <c r="N3220" s="308"/>
      <c r="O3220" s="308"/>
      <c r="P3220" s="308" t="s">
        <v>13215</v>
      </c>
      <c r="Q3220" s="308"/>
      <c r="R3220" s="308"/>
      <c r="S3220" s="308" t="s">
        <v>81</v>
      </c>
      <c r="T3220" s="311" t="s">
        <v>91</v>
      </c>
      <c r="U3220" s="308" t="s">
        <v>166</v>
      </c>
      <c r="V3220" s="312"/>
    </row>
    <row r="3221">
      <c r="A3221" s="308">
        <v>3220.0</v>
      </c>
      <c r="B3221" s="308"/>
      <c r="C3221" s="308" t="s">
        <v>13216</v>
      </c>
      <c r="D3221" s="308">
        <f>IFERROR(__xludf.DUMMYFUNCTION("SPLIT(C3221,""-"")"),3241.0)</f>
        <v>3241</v>
      </c>
      <c r="E3221" s="308" t="str">
        <f>IFERROR(__xludf.DUMMYFUNCTION("""COMPUTED_VALUE"""),"S")</f>
        <v>S</v>
      </c>
      <c r="F3221" s="312" t="s">
        <v>39</v>
      </c>
      <c r="G3221" s="308"/>
      <c r="H3221" s="308" t="s">
        <v>13217</v>
      </c>
      <c r="I3221" s="310">
        <v>42461.0</v>
      </c>
      <c r="J3221" s="319">
        <f>IFERROR(__xludf.DUMMYFUNCTION("SPLIT(I3221,""/"")"),1.0)</f>
        <v>1</v>
      </c>
      <c r="K3221" s="308">
        <f>IFERROR(__xludf.DUMMYFUNCTION("""COMPUTED_VALUE"""),4.0)</f>
        <v>4</v>
      </c>
      <c r="L3221" s="308">
        <f>IFERROR(__xludf.DUMMYFUNCTION("""COMPUTED_VALUE"""),2016.0)</f>
        <v>2016</v>
      </c>
      <c r="M3221" s="308" t="s">
        <v>13214</v>
      </c>
      <c r="N3221" s="308"/>
      <c r="O3221" s="308"/>
      <c r="P3221" s="308" t="s">
        <v>12364</v>
      </c>
      <c r="Q3221" s="308"/>
      <c r="R3221" s="308"/>
      <c r="S3221" s="308" t="s">
        <v>81</v>
      </c>
      <c r="T3221" s="311" t="s">
        <v>91</v>
      </c>
      <c r="U3221" s="308" t="s">
        <v>166</v>
      </c>
      <c r="V3221" s="312"/>
    </row>
    <row r="3222">
      <c r="A3222" s="308">
        <v>3221.0</v>
      </c>
      <c r="B3222" s="308"/>
      <c r="C3222" s="308" t="s">
        <v>13218</v>
      </c>
      <c r="D3222" s="308">
        <f>IFERROR(__xludf.DUMMYFUNCTION("SPLIT(C3222,""-"")"),3242.0)</f>
        <v>3242</v>
      </c>
      <c r="E3222" s="308" t="str">
        <f>IFERROR(__xludf.DUMMYFUNCTION("""COMPUTED_VALUE"""),"S")</f>
        <v>S</v>
      </c>
      <c r="F3222" s="312" t="s">
        <v>39</v>
      </c>
      <c r="G3222" s="308"/>
      <c r="H3222" s="308" t="s">
        <v>13219</v>
      </c>
      <c r="I3222" s="310">
        <v>42461.0</v>
      </c>
      <c r="J3222" s="319">
        <f>IFERROR(__xludf.DUMMYFUNCTION("SPLIT(I3222,""/"")"),1.0)</f>
        <v>1</v>
      </c>
      <c r="K3222" s="308">
        <f>IFERROR(__xludf.DUMMYFUNCTION("""COMPUTED_VALUE"""),4.0)</f>
        <v>4</v>
      </c>
      <c r="L3222" s="308">
        <f>IFERROR(__xludf.DUMMYFUNCTION("""COMPUTED_VALUE"""),2016.0)</f>
        <v>2016</v>
      </c>
      <c r="M3222" s="308" t="s">
        <v>13214</v>
      </c>
      <c r="N3222" s="308"/>
      <c r="O3222" s="308"/>
      <c r="P3222" s="308" t="s">
        <v>12364</v>
      </c>
      <c r="Q3222" s="308"/>
      <c r="R3222" s="308"/>
      <c r="S3222" s="308" t="s">
        <v>81</v>
      </c>
      <c r="T3222" s="311" t="s">
        <v>91</v>
      </c>
      <c r="U3222" s="308" t="s">
        <v>166</v>
      </c>
      <c r="V3222" s="312"/>
    </row>
    <row r="3223">
      <c r="A3223" s="308">
        <v>3222.0</v>
      </c>
      <c r="B3223" s="308"/>
      <c r="C3223" s="308" t="s">
        <v>13220</v>
      </c>
      <c r="D3223" s="308">
        <f>IFERROR(__xludf.DUMMYFUNCTION("SPLIT(C3223,""-"")"),3243.0)</f>
        <v>3243</v>
      </c>
      <c r="E3223" s="308" t="str">
        <f>IFERROR(__xludf.DUMMYFUNCTION("""COMPUTED_VALUE"""),"S")</f>
        <v>S</v>
      </c>
      <c r="F3223" s="312" t="s">
        <v>39</v>
      </c>
      <c r="G3223" s="308"/>
      <c r="H3223" s="308" t="s">
        <v>13221</v>
      </c>
      <c r="I3223" s="310">
        <v>42461.0</v>
      </c>
      <c r="J3223" s="319">
        <f>IFERROR(__xludf.DUMMYFUNCTION("SPLIT(I3223,""/"")"),1.0)</f>
        <v>1</v>
      </c>
      <c r="K3223" s="308">
        <f>IFERROR(__xludf.DUMMYFUNCTION("""COMPUTED_VALUE"""),4.0)</f>
        <v>4</v>
      </c>
      <c r="L3223" s="308">
        <f>IFERROR(__xludf.DUMMYFUNCTION("""COMPUTED_VALUE"""),2016.0)</f>
        <v>2016</v>
      </c>
      <c r="M3223" s="308" t="s">
        <v>13222</v>
      </c>
      <c r="N3223" s="308"/>
      <c r="O3223" s="308"/>
      <c r="P3223" s="308" t="s">
        <v>12364</v>
      </c>
      <c r="Q3223" s="308"/>
      <c r="R3223" s="308"/>
      <c r="S3223" s="308" t="s">
        <v>81</v>
      </c>
      <c r="T3223" s="311" t="s">
        <v>91</v>
      </c>
      <c r="U3223" s="308" t="s">
        <v>166</v>
      </c>
      <c r="V3223" s="312"/>
    </row>
    <row r="3224">
      <c r="A3224" s="308">
        <v>3223.0</v>
      </c>
      <c r="B3224" s="308"/>
      <c r="C3224" s="308" t="s">
        <v>13223</v>
      </c>
      <c r="D3224" s="308">
        <f>IFERROR(__xludf.DUMMYFUNCTION("SPLIT(C3224,""-"")"),3244.0)</f>
        <v>3244</v>
      </c>
      <c r="E3224" s="308" t="str">
        <f>IFERROR(__xludf.DUMMYFUNCTION("""COMPUTED_VALUE"""),"S")</f>
        <v>S</v>
      </c>
      <c r="F3224" s="312" t="s">
        <v>39</v>
      </c>
      <c r="G3224" s="308"/>
      <c r="H3224" s="308" t="s">
        <v>13224</v>
      </c>
      <c r="I3224" s="310">
        <v>42461.0</v>
      </c>
      <c r="J3224" s="319">
        <f>IFERROR(__xludf.DUMMYFUNCTION("SPLIT(I3224,""/"")"),1.0)</f>
        <v>1</v>
      </c>
      <c r="K3224" s="308">
        <f>IFERROR(__xludf.DUMMYFUNCTION("""COMPUTED_VALUE"""),4.0)</f>
        <v>4</v>
      </c>
      <c r="L3224" s="308">
        <f>IFERROR(__xludf.DUMMYFUNCTION("""COMPUTED_VALUE"""),2016.0)</f>
        <v>2016</v>
      </c>
      <c r="M3224" s="308" t="s">
        <v>13222</v>
      </c>
      <c r="N3224" s="308"/>
      <c r="O3224" s="308"/>
      <c r="P3224" s="308" t="s">
        <v>12250</v>
      </c>
      <c r="Q3224" s="308"/>
      <c r="R3224" s="308"/>
      <c r="S3224" s="308" t="s">
        <v>49</v>
      </c>
      <c r="T3224" s="308" t="s">
        <v>67</v>
      </c>
      <c r="U3224" s="308" t="s">
        <v>166</v>
      </c>
      <c r="V3224" s="312"/>
    </row>
    <row r="3225">
      <c r="A3225" s="308">
        <v>3224.0</v>
      </c>
      <c r="B3225" s="308"/>
      <c r="C3225" s="308" t="s">
        <v>13225</v>
      </c>
      <c r="D3225" s="308">
        <f>IFERROR(__xludf.DUMMYFUNCTION("SPLIT(C3225,""-"")"),3245.0)</f>
        <v>3245</v>
      </c>
      <c r="E3225" s="308" t="str">
        <f>IFERROR(__xludf.DUMMYFUNCTION("""COMPUTED_VALUE"""),"S")</f>
        <v>S</v>
      </c>
      <c r="F3225" s="312" t="s">
        <v>39</v>
      </c>
      <c r="G3225" s="308"/>
      <c r="H3225" s="308" t="s">
        <v>13226</v>
      </c>
      <c r="I3225" s="310">
        <v>42461.0</v>
      </c>
      <c r="J3225" s="319">
        <f>IFERROR(__xludf.DUMMYFUNCTION("SPLIT(I3225,""/"")"),1.0)</f>
        <v>1</v>
      </c>
      <c r="K3225" s="308">
        <f>IFERROR(__xludf.DUMMYFUNCTION("""COMPUTED_VALUE"""),4.0)</f>
        <v>4</v>
      </c>
      <c r="L3225" s="308">
        <f>IFERROR(__xludf.DUMMYFUNCTION("""COMPUTED_VALUE"""),2016.0)</f>
        <v>2016</v>
      </c>
      <c r="M3225" s="308" t="s">
        <v>13227</v>
      </c>
      <c r="N3225" s="308"/>
      <c r="O3225" s="308"/>
      <c r="P3225" s="308" t="s">
        <v>12364</v>
      </c>
      <c r="Q3225" s="308"/>
      <c r="R3225" s="308"/>
      <c r="S3225" s="308" t="s">
        <v>81</v>
      </c>
      <c r="T3225" s="311" t="s">
        <v>91</v>
      </c>
      <c r="U3225" s="308" t="s">
        <v>166</v>
      </c>
      <c r="V3225" s="312"/>
    </row>
    <row r="3226">
      <c r="A3226" s="308">
        <v>3225.0</v>
      </c>
      <c r="B3226" s="308"/>
      <c r="C3226" s="308" t="s">
        <v>13228</v>
      </c>
      <c r="D3226" s="308">
        <f>IFERROR(__xludf.DUMMYFUNCTION("SPLIT(C3226,""-"")"),3246.0)</f>
        <v>3246</v>
      </c>
      <c r="E3226" s="308" t="str">
        <f>IFERROR(__xludf.DUMMYFUNCTION("""COMPUTED_VALUE"""),"S")</f>
        <v>S</v>
      </c>
      <c r="F3226" s="312" t="s">
        <v>39</v>
      </c>
      <c r="G3226" s="308"/>
      <c r="H3226" s="308" t="s">
        <v>13229</v>
      </c>
      <c r="I3226" s="310">
        <v>42461.0</v>
      </c>
      <c r="J3226" s="319">
        <f>IFERROR(__xludf.DUMMYFUNCTION("SPLIT(I3226,""/"")"),1.0)</f>
        <v>1</v>
      </c>
      <c r="K3226" s="308">
        <f>IFERROR(__xludf.DUMMYFUNCTION("""COMPUTED_VALUE"""),4.0)</f>
        <v>4</v>
      </c>
      <c r="L3226" s="308">
        <f>IFERROR(__xludf.DUMMYFUNCTION("""COMPUTED_VALUE"""),2016.0)</f>
        <v>2016</v>
      </c>
      <c r="M3226" s="308" t="s">
        <v>13227</v>
      </c>
      <c r="N3226" s="308"/>
      <c r="O3226" s="308"/>
      <c r="P3226" s="308" t="s">
        <v>12364</v>
      </c>
      <c r="Q3226" s="308"/>
      <c r="R3226" s="308"/>
      <c r="S3226" s="308" t="s">
        <v>81</v>
      </c>
      <c r="T3226" s="311" t="s">
        <v>91</v>
      </c>
      <c r="U3226" s="308" t="s">
        <v>166</v>
      </c>
      <c r="V3226" s="312"/>
    </row>
    <row r="3227">
      <c r="A3227" s="308">
        <v>3226.0</v>
      </c>
      <c r="B3227" s="308"/>
      <c r="C3227" s="308" t="s">
        <v>13230</v>
      </c>
      <c r="D3227" s="308">
        <f>IFERROR(__xludf.DUMMYFUNCTION("SPLIT(C3227,""-"")"),3247.0)</f>
        <v>3247</v>
      </c>
      <c r="E3227" s="308" t="str">
        <f>IFERROR(__xludf.DUMMYFUNCTION("""COMPUTED_VALUE"""),"S")</f>
        <v>S</v>
      </c>
      <c r="F3227" s="312" t="s">
        <v>39</v>
      </c>
      <c r="G3227" s="308"/>
      <c r="H3227" s="308" t="s">
        <v>13231</v>
      </c>
      <c r="I3227" s="310">
        <v>42461.0</v>
      </c>
      <c r="J3227" s="319">
        <f>IFERROR(__xludf.DUMMYFUNCTION("SPLIT(I3227,""/"")"),1.0)</f>
        <v>1</v>
      </c>
      <c r="K3227" s="308">
        <f>IFERROR(__xludf.DUMMYFUNCTION("""COMPUTED_VALUE"""),4.0)</f>
        <v>4</v>
      </c>
      <c r="L3227" s="308">
        <f>IFERROR(__xludf.DUMMYFUNCTION("""COMPUTED_VALUE"""),2016.0)</f>
        <v>2016</v>
      </c>
      <c r="M3227" s="308" t="s">
        <v>13227</v>
      </c>
      <c r="N3227" s="308"/>
      <c r="O3227" s="308"/>
      <c r="P3227" s="308" t="s">
        <v>12364</v>
      </c>
      <c r="Q3227" s="308"/>
      <c r="R3227" s="308"/>
      <c r="S3227" s="308" t="s">
        <v>81</v>
      </c>
      <c r="T3227" s="311" t="s">
        <v>91</v>
      </c>
      <c r="U3227" s="308" t="s">
        <v>166</v>
      </c>
      <c r="V3227" s="312"/>
    </row>
    <row r="3228">
      <c r="A3228" s="308">
        <v>3227.0</v>
      </c>
      <c r="B3228" s="308"/>
      <c r="C3228" s="308" t="s">
        <v>13232</v>
      </c>
      <c r="D3228" s="308">
        <f>IFERROR(__xludf.DUMMYFUNCTION("SPLIT(C3228,""-"")"),3248.0)</f>
        <v>3248</v>
      </c>
      <c r="E3228" s="308" t="str">
        <f>IFERROR(__xludf.DUMMYFUNCTION("""COMPUTED_VALUE"""),"S")</f>
        <v>S</v>
      </c>
      <c r="F3228" s="312" t="s">
        <v>39</v>
      </c>
      <c r="G3228" s="308"/>
      <c r="H3228" s="308" t="s">
        <v>13233</v>
      </c>
      <c r="I3228" s="310">
        <v>42461.0</v>
      </c>
      <c r="J3228" s="319">
        <f>IFERROR(__xludf.DUMMYFUNCTION("SPLIT(I3228,""/"")"),1.0)</f>
        <v>1</v>
      </c>
      <c r="K3228" s="308">
        <f>IFERROR(__xludf.DUMMYFUNCTION("""COMPUTED_VALUE"""),4.0)</f>
        <v>4</v>
      </c>
      <c r="L3228" s="308">
        <f>IFERROR(__xludf.DUMMYFUNCTION("""COMPUTED_VALUE"""),2016.0)</f>
        <v>2016</v>
      </c>
      <c r="M3228" s="308" t="s">
        <v>13227</v>
      </c>
      <c r="N3228" s="308"/>
      <c r="O3228" s="308"/>
      <c r="P3228" s="308" t="s">
        <v>12364</v>
      </c>
      <c r="Q3228" s="308"/>
      <c r="R3228" s="308"/>
      <c r="S3228" s="308" t="s">
        <v>81</v>
      </c>
      <c r="T3228" s="311" t="s">
        <v>91</v>
      </c>
      <c r="U3228" s="308" t="s">
        <v>166</v>
      </c>
      <c r="V3228" s="312"/>
    </row>
    <row r="3229">
      <c r="A3229" s="308">
        <v>3228.0</v>
      </c>
      <c r="B3229" s="308"/>
      <c r="C3229" s="308" t="s">
        <v>13234</v>
      </c>
      <c r="D3229" s="308">
        <f>IFERROR(__xludf.DUMMYFUNCTION("SPLIT(C3229,""-"")"),3249.0)</f>
        <v>3249</v>
      </c>
      <c r="E3229" s="308" t="str">
        <f>IFERROR(__xludf.DUMMYFUNCTION("""COMPUTED_VALUE"""),"S")</f>
        <v>S</v>
      </c>
      <c r="F3229" s="312" t="s">
        <v>39</v>
      </c>
      <c r="G3229" s="308"/>
      <c r="H3229" s="308" t="s">
        <v>36905</v>
      </c>
      <c r="I3229" s="310">
        <v>42461.0</v>
      </c>
      <c r="J3229" s="319">
        <f>IFERROR(__xludf.DUMMYFUNCTION("SPLIT(I3229,""/"")"),1.0)</f>
        <v>1</v>
      </c>
      <c r="K3229" s="308">
        <f>IFERROR(__xludf.DUMMYFUNCTION("""COMPUTED_VALUE"""),4.0)</f>
        <v>4</v>
      </c>
      <c r="L3229" s="308">
        <f>IFERROR(__xludf.DUMMYFUNCTION("""COMPUTED_VALUE"""),2016.0)</f>
        <v>2016</v>
      </c>
      <c r="M3229" s="308" t="s">
        <v>13227</v>
      </c>
      <c r="N3229" s="308"/>
      <c r="O3229" s="308"/>
      <c r="P3229" s="308" t="s">
        <v>12250</v>
      </c>
      <c r="Q3229" s="308"/>
      <c r="R3229" s="308"/>
      <c r="S3229" s="308" t="s">
        <v>49</v>
      </c>
      <c r="T3229" s="308" t="s">
        <v>67</v>
      </c>
      <c r="U3229" s="308" t="s">
        <v>166</v>
      </c>
      <c r="V3229" s="312"/>
    </row>
    <row r="3230">
      <c r="A3230" s="308">
        <v>3229.0</v>
      </c>
      <c r="B3230" s="308"/>
      <c r="C3230" s="308" t="s">
        <v>13236</v>
      </c>
      <c r="D3230" s="308">
        <f>IFERROR(__xludf.DUMMYFUNCTION("SPLIT(C3230,""-"")"),3250.0)</f>
        <v>3250</v>
      </c>
      <c r="E3230" s="308" t="str">
        <f>IFERROR(__xludf.DUMMYFUNCTION("""COMPUTED_VALUE"""),"S")</f>
        <v>S</v>
      </c>
      <c r="F3230" s="312" t="s">
        <v>39</v>
      </c>
      <c r="G3230" s="308"/>
      <c r="H3230" s="308" t="s">
        <v>13237</v>
      </c>
      <c r="I3230" s="310">
        <v>42461.0</v>
      </c>
      <c r="J3230" s="319">
        <f>IFERROR(__xludf.DUMMYFUNCTION("SPLIT(I3230,""/"")"),1.0)</f>
        <v>1</v>
      </c>
      <c r="K3230" s="308">
        <f>IFERROR(__xludf.DUMMYFUNCTION("""COMPUTED_VALUE"""),4.0)</f>
        <v>4</v>
      </c>
      <c r="L3230" s="308">
        <f>IFERROR(__xludf.DUMMYFUNCTION("""COMPUTED_VALUE"""),2016.0)</f>
        <v>2016</v>
      </c>
      <c r="M3230" s="308" t="s">
        <v>13227</v>
      </c>
      <c r="N3230" s="308"/>
      <c r="O3230" s="308"/>
      <c r="P3230" s="308" t="s">
        <v>12250</v>
      </c>
      <c r="Q3230" s="308"/>
      <c r="R3230" s="308"/>
      <c r="S3230" s="308" t="s">
        <v>49</v>
      </c>
      <c r="T3230" s="308" t="s">
        <v>67</v>
      </c>
      <c r="U3230" s="308" t="s">
        <v>166</v>
      </c>
      <c r="V3230" s="312"/>
    </row>
    <row r="3231">
      <c r="A3231" s="308">
        <v>3230.0</v>
      </c>
      <c r="B3231" s="308"/>
      <c r="C3231" s="308" t="s">
        <v>13238</v>
      </c>
      <c r="D3231" s="308">
        <f>IFERROR(__xludf.DUMMYFUNCTION("SPLIT(C3231,""-"")"),3251.0)</f>
        <v>3251</v>
      </c>
      <c r="E3231" s="308" t="str">
        <f>IFERROR(__xludf.DUMMYFUNCTION("""COMPUTED_VALUE"""),"S")</f>
        <v>S</v>
      </c>
      <c r="F3231" s="312" t="s">
        <v>39</v>
      </c>
      <c r="G3231" s="308"/>
      <c r="H3231" s="308" t="s">
        <v>13239</v>
      </c>
      <c r="I3231" s="310">
        <v>42461.0</v>
      </c>
      <c r="J3231" s="319">
        <f>IFERROR(__xludf.DUMMYFUNCTION("SPLIT(I3231,""/"")"),1.0)</f>
        <v>1</v>
      </c>
      <c r="K3231" s="308">
        <f>IFERROR(__xludf.DUMMYFUNCTION("""COMPUTED_VALUE"""),4.0)</f>
        <v>4</v>
      </c>
      <c r="L3231" s="308">
        <f>IFERROR(__xludf.DUMMYFUNCTION("""COMPUTED_VALUE"""),2016.0)</f>
        <v>2016</v>
      </c>
      <c r="M3231" s="308" t="s">
        <v>13227</v>
      </c>
      <c r="N3231" s="308"/>
      <c r="O3231" s="308"/>
      <c r="P3231" s="308" t="s">
        <v>12250</v>
      </c>
      <c r="Q3231" s="308"/>
      <c r="R3231" s="308"/>
      <c r="S3231" s="308" t="s">
        <v>49</v>
      </c>
      <c r="T3231" s="308" t="s">
        <v>67</v>
      </c>
      <c r="U3231" s="308" t="s">
        <v>166</v>
      </c>
      <c r="V3231" s="312"/>
    </row>
    <row r="3232">
      <c r="A3232" s="308">
        <v>3231.0</v>
      </c>
      <c r="B3232" s="308"/>
      <c r="C3232" s="308" t="s">
        <v>13240</v>
      </c>
      <c r="D3232" s="308">
        <f>IFERROR(__xludf.DUMMYFUNCTION("SPLIT(C3232,""-"")"),3252.0)</f>
        <v>3252</v>
      </c>
      <c r="E3232" s="308" t="str">
        <f>IFERROR(__xludf.DUMMYFUNCTION("""COMPUTED_VALUE"""),"S")</f>
        <v>S</v>
      </c>
      <c r="F3232" s="312" t="s">
        <v>39</v>
      </c>
      <c r="G3232" s="308"/>
      <c r="H3232" s="308" t="s">
        <v>13241</v>
      </c>
      <c r="I3232" s="310">
        <v>42461.0</v>
      </c>
      <c r="J3232" s="319">
        <f>IFERROR(__xludf.DUMMYFUNCTION("SPLIT(I3232,""/"")"),1.0)</f>
        <v>1</v>
      </c>
      <c r="K3232" s="308">
        <f>IFERROR(__xludf.DUMMYFUNCTION("""COMPUTED_VALUE"""),4.0)</f>
        <v>4</v>
      </c>
      <c r="L3232" s="308">
        <f>IFERROR(__xludf.DUMMYFUNCTION("""COMPUTED_VALUE"""),2016.0)</f>
        <v>2016</v>
      </c>
      <c r="M3232" s="308" t="s">
        <v>13227</v>
      </c>
      <c r="N3232" s="308"/>
      <c r="O3232" s="308"/>
      <c r="P3232" s="308" t="s">
        <v>12250</v>
      </c>
      <c r="Q3232" s="308"/>
      <c r="R3232" s="308"/>
      <c r="S3232" s="308" t="s">
        <v>49</v>
      </c>
      <c r="T3232" s="308" t="s">
        <v>67</v>
      </c>
      <c r="U3232" s="308" t="s">
        <v>166</v>
      </c>
      <c r="V3232" s="312"/>
    </row>
    <row r="3233">
      <c r="A3233" s="308">
        <v>3232.0</v>
      </c>
      <c r="B3233" s="308"/>
      <c r="C3233" s="308" t="s">
        <v>13242</v>
      </c>
      <c r="D3233" s="308">
        <f>IFERROR(__xludf.DUMMYFUNCTION("SPLIT(C3233,""-"")"),3253.0)</f>
        <v>3253</v>
      </c>
      <c r="E3233" s="308" t="str">
        <f>IFERROR(__xludf.DUMMYFUNCTION("""COMPUTED_VALUE"""),"S")</f>
        <v>S</v>
      </c>
      <c r="F3233" s="312" t="s">
        <v>39</v>
      </c>
      <c r="G3233" s="308"/>
      <c r="H3233" s="308" t="s">
        <v>13243</v>
      </c>
      <c r="I3233" s="310">
        <v>42461.0</v>
      </c>
      <c r="J3233" s="319">
        <f>IFERROR(__xludf.DUMMYFUNCTION("SPLIT(I3233,""/"")"),1.0)</f>
        <v>1</v>
      </c>
      <c r="K3233" s="308">
        <f>IFERROR(__xludf.DUMMYFUNCTION("""COMPUTED_VALUE"""),4.0)</f>
        <v>4</v>
      </c>
      <c r="L3233" s="308">
        <f>IFERROR(__xludf.DUMMYFUNCTION("""COMPUTED_VALUE"""),2016.0)</f>
        <v>2016</v>
      </c>
      <c r="M3233" s="308" t="s">
        <v>13227</v>
      </c>
      <c r="N3233" s="308"/>
      <c r="O3233" s="308"/>
      <c r="P3233" s="308" t="s">
        <v>12250</v>
      </c>
      <c r="Q3233" s="308"/>
      <c r="R3233" s="308"/>
      <c r="S3233" s="308" t="s">
        <v>49</v>
      </c>
      <c r="T3233" s="308" t="s">
        <v>67</v>
      </c>
      <c r="U3233" s="308" t="s">
        <v>166</v>
      </c>
      <c r="V3233" s="312"/>
    </row>
    <row r="3234">
      <c r="A3234" s="308">
        <v>3233.0</v>
      </c>
      <c r="B3234" s="308"/>
      <c r="C3234" s="308" t="s">
        <v>13244</v>
      </c>
      <c r="D3234" s="308">
        <f>IFERROR(__xludf.DUMMYFUNCTION("SPLIT(C3234,""-"")"),3254.0)</f>
        <v>3254</v>
      </c>
      <c r="E3234" s="308" t="str">
        <f>IFERROR(__xludf.DUMMYFUNCTION("""COMPUTED_VALUE"""),"S")</f>
        <v>S</v>
      </c>
      <c r="F3234" s="312" t="s">
        <v>39</v>
      </c>
      <c r="G3234" s="308"/>
      <c r="H3234" s="308" t="s">
        <v>13245</v>
      </c>
      <c r="I3234" s="310">
        <v>42461.0</v>
      </c>
      <c r="J3234" s="319">
        <f>IFERROR(__xludf.DUMMYFUNCTION("SPLIT(I3234,""/"")"),1.0)</f>
        <v>1</v>
      </c>
      <c r="K3234" s="308">
        <f>IFERROR(__xludf.DUMMYFUNCTION("""COMPUTED_VALUE"""),4.0)</f>
        <v>4</v>
      </c>
      <c r="L3234" s="308">
        <f>IFERROR(__xludf.DUMMYFUNCTION("""COMPUTED_VALUE"""),2016.0)</f>
        <v>2016</v>
      </c>
      <c r="M3234" s="308" t="s">
        <v>13227</v>
      </c>
      <c r="N3234" s="308"/>
      <c r="O3234" s="308"/>
      <c r="P3234" s="308" t="s">
        <v>12250</v>
      </c>
      <c r="Q3234" s="308"/>
      <c r="R3234" s="308"/>
      <c r="S3234" s="308" t="s">
        <v>49</v>
      </c>
      <c r="T3234" s="308" t="s">
        <v>67</v>
      </c>
      <c r="U3234" s="308" t="s">
        <v>166</v>
      </c>
      <c r="V3234" s="312"/>
    </row>
    <row r="3235">
      <c r="A3235" s="308">
        <v>3234.0</v>
      </c>
      <c r="B3235" s="308"/>
      <c r="C3235" s="308" t="s">
        <v>13246</v>
      </c>
      <c r="D3235" s="308">
        <f>IFERROR(__xludf.DUMMYFUNCTION("SPLIT(C3235,""-"")"),3255.0)</f>
        <v>3255</v>
      </c>
      <c r="E3235" s="308" t="str">
        <f>IFERROR(__xludf.DUMMYFUNCTION("""COMPUTED_VALUE"""),"S")</f>
        <v>S</v>
      </c>
      <c r="F3235" s="312" t="s">
        <v>39</v>
      </c>
      <c r="G3235" s="308"/>
      <c r="H3235" s="308" t="s">
        <v>13247</v>
      </c>
      <c r="I3235" s="310">
        <v>42461.0</v>
      </c>
      <c r="J3235" s="319">
        <f>IFERROR(__xludf.DUMMYFUNCTION("SPLIT(I3235,""/"")"),1.0)</f>
        <v>1</v>
      </c>
      <c r="K3235" s="308">
        <f>IFERROR(__xludf.DUMMYFUNCTION("""COMPUTED_VALUE"""),4.0)</f>
        <v>4</v>
      </c>
      <c r="L3235" s="308">
        <f>IFERROR(__xludf.DUMMYFUNCTION("""COMPUTED_VALUE"""),2016.0)</f>
        <v>2016</v>
      </c>
      <c r="M3235" s="308" t="s">
        <v>13227</v>
      </c>
      <c r="N3235" s="308"/>
      <c r="O3235" s="308"/>
      <c r="P3235" s="308" t="s">
        <v>12250</v>
      </c>
      <c r="Q3235" s="308"/>
      <c r="R3235" s="308"/>
      <c r="S3235" s="308" t="s">
        <v>49</v>
      </c>
      <c r="T3235" s="308" t="s">
        <v>67</v>
      </c>
      <c r="U3235" s="308" t="s">
        <v>166</v>
      </c>
      <c r="V3235" s="312"/>
    </row>
    <row r="3236">
      <c r="A3236" s="308">
        <v>3235.0</v>
      </c>
      <c r="B3236" s="308"/>
      <c r="C3236" s="308" t="s">
        <v>13248</v>
      </c>
      <c r="D3236" s="308">
        <f>IFERROR(__xludf.DUMMYFUNCTION("SPLIT(C3236,""-"")"),3256.0)</f>
        <v>3256</v>
      </c>
      <c r="E3236" s="308" t="str">
        <f>IFERROR(__xludf.DUMMYFUNCTION("""COMPUTED_VALUE"""),"S")</f>
        <v>S</v>
      </c>
      <c r="F3236" s="312" t="s">
        <v>39</v>
      </c>
      <c r="G3236" s="308"/>
      <c r="H3236" s="308" t="s">
        <v>13249</v>
      </c>
      <c r="I3236" s="310">
        <v>42526.0</v>
      </c>
      <c r="J3236" s="319">
        <f>IFERROR(__xludf.DUMMYFUNCTION("SPLIT(I3236,""/"")"),5.0)</f>
        <v>5</v>
      </c>
      <c r="K3236" s="308">
        <f>IFERROR(__xludf.DUMMYFUNCTION("""COMPUTED_VALUE"""),6.0)</f>
        <v>6</v>
      </c>
      <c r="L3236" s="308">
        <f>IFERROR(__xludf.DUMMYFUNCTION("""COMPUTED_VALUE"""),2016.0)</f>
        <v>2016</v>
      </c>
      <c r="M3236" s="308" t="s">
        <v>13250</v>
      </c>
      <c r="N3236" s="308"/>
      <c r="O3236" s="308"/>
      <c r="P3236" s="308" t="s">
        <v>12446</v>
      </c>
      <c r="Q3236" s="308"/>
      <c r="R3236" s="308"/>
      <c r="S3236" s="308" t="s">
        <v>81</v>
      </c>
      <c r="T3236" s="308" t="s">
        <v>73</v>
      </c>
      <c r="U3236" s="308" t="s">
        <v>166</v>
      </c>
      <c r="V3236" s="312"/>
    </row>
    <row r="3237">
      <c r="A3237" s="308">
        <v>3236.0</v>
      </c>
      <c r="B3237" s="308"/>
      <c r="C3237" s="308" t="s">
        <v>13251</v>
      </c>
      <c r="D3237" s="308">
        <f>IFERROR(__xludf.DUMMYFUNCTION("SPLIT(C3237,""-"")"),3257.0)</f>
        <v>3257</v>
      </c>
      <c r="E3237" s="308" t="str">
        <f>IFERROR(__xludf.DUMMYFUNCTION("""COMPUTED_VALUE"""),"S")</f>
        <v>S</v>
      </c>
      <c r="F3237" s="312" t="s">
        <v>39</v>
      </c>
      <c r="G3237" s="308"/>
      <c r="H3237" s="308" t="s">
        <v>13252</v>
      </c>
      <c r="I3237" s="310">
        <v>42461.0</v>
      </c>
      <c r="J3237" s="319">
        <f>IFERROR(__xludf.DUMMYFUNCTION("SPLIT(I3237,""/"")"),1.0)</f>
        <v>1</v>
      </c>
      <c r="K3237" s="308">
        <f>IFERROR(__xludf.DUMMYFUNCTION("""COMPUTED_VALUE"""),4.0)</f>
        <v>4</v>
      </c>
      <c r="L3237" s="308">
        <f>IFERROR(__xludf.DUMMYFUNCTION("""COMPUTED_VALUE"""),2016.0)</f>
        <v>2016</v>
      </c>
      <c r="M3237" s="308" t="s">
        <v>13253</v>
      </c>
      <c r="N3237" s="308"/>
      <c r="O3237" s="308"/>
      <c r="P3237" s="308" t="s">
        <v>296</v>
      </c>
      <c r="Q3237" s="308"/>
      <c r="R3237" s="308"/>
      <c r="S3237" s="308" t="s">
        <v>81</v>
      </c>
      <c r="T3237" s="308" t="s">
        <v>75</v>
      </c>
      <c r="U3237" s="308" t="s">
        <v>166</v>
      </c>
      <c r="V3237" s="312"/>
    </row>
    <row r="3238">
      <c r="A3238" s="308">
        <v>3237.0</v>
      </c>
      <c r="B3238" s="308"/>
      <c r="C3238" s="308" t="s">
        <v>13254</v>
      </c>
      <c r="D3238" s="308">
        <f>IFERROR(__xludf.DUMMYFUNCTION("SPLIT(C3238,""-"")"),3258.0)</f>
        <v>3258</v>
      </c>
      <c r="E3238" s="308" t="str">
        <f>IFERROR(__xludf.DUMMYFUNCTION("""COMPUTED_VALUE"""),"S")</f>
        <v>S</v>
      </c>
      <c r="F3238" s="312" t="s">
        <v>39</v>
      </c>
      <c r="G3238" s="308"/>
      <c r="H3238" s="308" t="s">
        <v>13255</v>
      </c>
      <c r="I3238" s="310">
        <v>42464.0</v>
      </c>
      <c r="J3238" s="319">
        <f>IFERROR(__xludf.DUMMYFUNCTION("SPLIT(I3238,""/"")"),4.0)</f>
        <v>4</v>
      </c>
      <c r="K3238" s="308">
        <f>IFERROR(__xludf.DUMMYFUNCTION("""COMPUTED_VALUE"""),4.0)</f>
        <v>4</v>
      </c>
      <c r="L3238" s="308">
        <f>IFERROR(__xludf.DUMMYFUNCTION("""COMPUTED_VALUE"""),2016.0)</f>
        <v>2016</v>
      </c>
      <c r="M3238" s="308" t="s">
        <v>13256</v>
      </c>
      <c r="N3238" s="308"/>
      <c r="O3238" s="308"/>
      <c r="P3238" s="308" t="s">
        <v>12446</v>
      </c>
      <c r="Q3238" s="308"/>
      <c r="R3238" s="308"/>
      <c r="S3238" s="308" t="s">
        <v>81</v>
      </c>
      <c r="T3238" s="308" t="s">
        <v>73</v>
      </c>
      <c r="U3238" s="308" t="s">
        <v>166</v>
      </c>
      <c r="V3238" s="312"/>
    </row>
    <row r="3239">
      <c r="A3239" s="308">
        <v>3238.0</v>
      </c>
      <c r="B3239" s="308"/>
      <c r="C3239" s="308" t="s">
        <v>13257</v>
      </c>
      <c r="D3239" s="308">
        <f>IFERROR(__xludf.DUMMYFUNCTION("SPLIT(C3239,""-"")"),3259.0)</f>
        <v>3259</v>
      </c>
      <c r="E3239" s="308" t="str">
        <f>IFERROR(__xludf.DUMMYFUNCTION("""COMPUTED_VALUE"""),"S")</f>
        <v>S</v>
      </c>
      <c r="F3239" s="312" t="s">
        <v>39</v>
      </c>
      <c r="G3239" s="308"/>
      <c r="H3239" s="308" t="s">
        <v>13258</v>
      </c>
      <c r="I3239" s="310">
        <v>42465.0</v>
      </c>
      <c r="J3239" s="319">
        <f>IFERROR(__xludf.DUMMYFUNCTION("SPLIT(I3239,""/"")"),5.0)</f>
        <v>5</v>
      </c>
      <c r="K3239" s="308">
        <f>IFERROR(__xludf.DUMMYFUNCTION("""COMPUTED_VALUE"""),4.0)</f>
        <v>4</v>
      </c>
      <c r="L3239" s="308">
        <f>IFERROR(__xludf.DUMMYFUNCTION("""COMPUTED_VALUE"""),2016.0)</f>
        <v>2016</v>
      </c>
      <c r="M3239" s="308" t="s">
        <v>13259</v>
      </c>
      <c r="N3239" s="308"/>
      <c r="O3239" s="308"/>
      <c r="P3239" s="308" t="s">
        <v>12369</v>
      </c>
      <c r="Q3239" s="308"/>
      <c r="R3239" s="308"/>
      <c r="S3239" s="308" t="s">
        <v>81</v>
      </c>
      <c r="T3239" s="308" t="s">
        <v>73</v>
      </c>
      <c r="U3239" s="308" t="s">
        <v>166</v>
      </c>
      <c r="V3239" s="312"/>
    </row>
    <row r="3240">
      <c r="A3240" s="308">
        <v>3239.0</v>
      </c>
      <c r="B3240" s="308"/>
      <c r="C3240" s="308" t="s">
        <v>13260</v>
      </c>
      <c r="D3240" s="308">
        <f>IFERROR(__xludf.DUMMYFUNCTION("SPLIT(C3240,""-"")"),3260.0)</f>
        <v>3260</v>
      </c>
      <c r="E3240" s="308" t="str">
        <f>IFERROR(__xludf.DUMMYFUNCTION("""COMPUTED_VALUE"""),"S")</f>
        <v>S</v>
      </c>
      <c r="F3240" s="312" t="s">
        <v>39</v>
      </c>
      <c r="G3240" s="308"/>
      <c r="H3240" s="308" t="s">
        <v>13261</v>
      </c>
      <c r="I3240" s="310">
        <v>42465.0</v>
      </c>
      <c r="J3240" s="319">
        <f>IFERROR(__xludf.DUMMYFUNCTION("SPLIT(I3240,""/"")"),5.0)</f>
        <v>5</v>
      </c>
      <c r="K3240" s="308">
        <f>IFERROR(__xludf.DUMMYFUNCTION("""COMPUTED_VALUE"""),4.0)</f>
        <v>4</v>
      </c>
      <c r="L3240" s="308">
        <f>IFERROR(__xludf.DUMMYFUNCTION("""COMPUTED_VALUE"""),2016.0)</f>
        <v>2016</v>
      </c>
      <c r="M3240" s="308" t="s">
        <v>13262</v>
      </c>
      <c r="N3240" s="308"/>
      <c r="O3240" s="308"/>
      <c r="P3240" s="308" t="s">
        <v>11620</v>
      </c>
      <c r="Q3240" s="308"/>
      <c r="R3240" s="308"/>
      <c r="S3240" s="308" t="s">
        <v>81</v>
      </c>
      <c r="T3240" s="308" t="s">
        <v>73</v>
      </c>
      <c r="U3240" s="308" t="s">
        <v>166</v>
      </c>
      <c r="V3240" s="312"/>
    </row>
    <row r="3241">
      <c r="A3241" s="308">
        <v>3240.0</v>
      </c>
      <c r="B3241" s="308"/>
      <c r="C3241" s="308" t="s">
        <v>13263</v>
      </c>
      <c r="D3241" s="308">
        <f>IFERROR(__xludf.DUMMYFUNCTION("SPLIT(C3241,""-"")"),3261.0)</f>
        <v>3261</v>
      </c>
      <c r="E3241" s="308" t="str">
        <f>IFERROR(__xludf.DUMMYFUNCTION("""COMPUTED_VALUE"""),"S")</f>
        <v>S</v>
      </c>
      <c r="F3241" s="312" t="s">
        <v>39</v>
      </c>
      <c r="G3241" s="308"/>
      <c r="H3241" s="308" t="s">
        <v>13264</v>
      </c>
      <c r="I3241" s="310">
        <v>42465.0</v>
      </c>
      <c r="J3241" s="319">
        <f>IFERROR(__xludf.DUMMYFUNCTION("SPLIT(I3241,""/"")"),5.0)</f>
        <v>5</v>
      </c>
      <c r="K3241" s="308">
        <f>IFERROR(__xludf.DUMMYFUNCTION("""COMPUTED_VALUE"""),4.0)</f>
        <v>4</v>
      </c>
      <c r="L3241" s="308">
        <f>IFERROR(__xludf.DUMMYFUNCTION("""COMPUTED_VALUE"""),2016.0)</f>
        <v>2016</v>
      </c>
      <c r="M3241" s="308" t="s">
        <v>13265</v>
      </c>
      <c r="N3241" s="308"/>
      <c r="O3241" s="308"/>
      <c r="P3241" s="308" t="s">
        <v>9535</v>
      </c>
      <c r="Q3241" s="308"/>
      <c r="R3241" s="308"/>
      <c r="S3241" s="308" t="s">
        <v>81</v>
      </c>
      <c r="T3241" s="308" t="s">
        <v>75</v>
      </c>
      <c r="U3241" s="308" t="s">
        <v>166</v>
      </c>
      <c r="V3241" s="312"/>
    </row>
    <row r="3242">
      <c r="A3242" s="308">
        <v>3241.0</v>
      </c>
      <c r="B3242" s="308"/>
      <c r="C3242" s="308" t="s">
        <v>13266</v>
      </c>
      <c r="D3242" s="308">
        <f>IFERROR(__xludf.DUMMYFUNCTION("SPLIT(C3242,""-"")"),3262.0)</f>
        <v>3262</v>
      </c>
      <c r="E3242" s="308" t="str">
        <f>IFERROR(__xludf.DUMMYFUNCTION("""COMPUTED_VALUE"""),"S")</f>
        <v>S</v>
      </c>
      <c r="F3242" s="312" t="s">
        <v>39</v>
      </c>
      <c r="G3242" s="308"/>
      <c r="H3242" s="308" t="s">
        <v>13267</v>
      </c>
      <c r="I3242" s="310">
        <v>42465.0</v>
      </c>
      <c r="J3242" s="319">
        <f>IFERROR(__xludf.DUMMYFUNCTION("SPLIT(I3242,""/"")"),5.0)</f>
        <v>5</v>
      </c>
      <c r="K3242" s="308">
        <f>IFERROR(__xludf.DUMMYFUNCTION("""COMPUTED_VALUE"""),4.0)</f>
        <v>4</v>
      </c>
      <c r="L3242" s="308">
        <f>IFERROR(__xludf.DUMMYFUNCTION("""COMPUTED_VALUE"""),2016.0)</f>
        <v>2016</v>
      </c>
      <c r="M3242" s="308" t="s">
        <v>13253</v>
      </c>
      <c r="N3242" s="308"/>
      <c r="O3242" s="308"/>
      <c r="P3242" s="308" t="s">
        <v>9535</v>
      </c>
      <c r="Q3242" s="308"/>
      <c r="R3242" s="308"/>
      <c r="S3242" s="308" t="s">
        <v>81</v>
      </c>
      <c r="T3242" s="308" t="s">
        <v>75</v>
      </c>
      <c r="U3242" s="308" t="s">
        <v>166</v>
      </c>
      <c r="V3242" s="312"/>
    </row>
    <row r="3243">
      <c r="A3243" s="308">
        <v>3242.0</v>
      </c>
      <c r="B3243" s="308"/>
      <c r="C3243" s="308" t="s">
        <v>13268</v>
      </c>
      <c r="D3243" s="308">
        <f>IFERROR(__xludf.DUMMYFUNCTION("SPLIT(C3243,""-"")"),3263.0)</f>
        <v>3263</v>
      </c>
      <c r="E3243" s="308" t="str">
        <f>IFERROR(__xludf.DUMMYFUNCTION("""COMPUTED_VALUE"""),"S")</f>
        <v>S</v>
      </c>
      <c r="F3243" s="312" t="s">
        <v>39</v>
      </c>
      <c r="G3243" s="308"/>
      <c r="H3243" s="308" t="s">
        <v>13269</v>
      </c>
      <c r="I3243" s="310">
        <v>42465.0</v>
      </c>
      <c r="J3243" s="319">
        <f>IFERROR(__xludf.DUMMYFUNCTION("SPLIT(I3243,""/"")"),5.0)</f>
        <v>5</v>
      </c>
      <c r="K3243" s="308">
        <f>IFERROR(__xludf.DUMMYFUNCTION("""COMPUTED_VALUE"""),4.0)</f>
        <v>4</v>
      </c>
      <c r="L3243" s="308">
        <f>IFERROR(__xludf.DUMMYFUNCTION("""COMPUTED_VALUE"""),2016.0)</f>
        <v>2016</v>
      </c>
      <c r="M3243" s="308" t="s">
        <v>13270</v>
      </c>
      <c r="N3243" s="308"/>
      <c r="O3243" s="308"/>
      <c r="P3243" s="308" t="s">
        <v>11266</v>
      </c>
      <c r="Q3243" s="308"/>
      <c r="R3243" s="308"/>
      <c r="S3243" s="308" t="s">
        <v>81</v>
      </c>
      <c r="T3243" s="311" t="s">
        <v>94</v>
      </c>
      <c r="U3243" s="308" t="s">
        <v>166</v>
      </c>
      <c r="V3243" s="312"/>
    </row>
    <row r="3244">
      <c r="A3244" s="308">
        <v>3243.0</v>
      </c>
      <c r="B3244" s="308"/>
      <c r="C3244" s="308" t="s">
        <v>13271</v>
      </c>
      <c r="D3244" s="308">
        <f>IFERROR(__xludf.DUMMYFUNCTION("SPLIT(C3244,""-"")"),3264.0)</f>
        <v>3264</v>
      </c>
      <c r="E3244" s="308" t="str">
        <f>IFERROR(__xludf.DUMMYFUNCTION("""COMPUTED_VALUE"""),"S")</f>
        <v>S</v>
      </c>
      <c r="F3244" s="312" t="s">
        <v>39</v>
      </c>
      <c r="G3244" s="308"/>
      <c r="H3244" s="308" t="s">
        <v>13272</v>
      </c>
      <c r="I3244" s="310">
        <v>42465.0</v>
      </c>
      <c r="J3244" s="319">
        <f>IFERROR(__xludf.DUMMYFUNCTION("SPLIT(I3244,""/"")"),5.0)</f>
        <v>5</v>
      </c>
      <c r="K3244" s="308">
        <f>IFERROR(__xludf.DUMMYFUNCTION("""COMPUTED_VALUE"""),4.0)</f>
        <v>4</v>
      </c>
      <c r="L3244" s="308">
        <f>IFERROR(__xludf.DUMMYFUNCTION("""COMPUTED_VALUE"""),2016.0)</f>
        <v>2016</v>
      </c>
      <c r="M3244" s="308" t="s">
        <v>13273</v>
      </c>
      <c r="N3244" s="308"/>
      <c r="O3244" s="308"/>
      <c r="P3244" s="308" t="s">
        <v>11266</v>
      </c>
      <c r="Q3244" s="308"/>
      <c r="R3244" s="308"/>
      <c r="S3244" s="308" t="s">
        <v>81</v>
      </c>
      <c r="T3244" s="311" t="s">
        <v>94</v>
      </c>
      <c r="U3244" s="308" t="s">
        <v>166</v>
      </c>
      <c r="V3244" s="312"/>
    </row>
    <row r="3245">
      <c r="A3245" s="308">
        <v>3244.0</v>
      </c>
      <c r="B3245" s="308"/>
      <c r="C3245" s="308" t="s">
        <v>13274</v>
      </c>
      <c r="D3245" s="308">
        <f>IFERROR(__xludf.DUMMYFUNCTION("SPLIT(C3245,""-"")"),3265.0)</f>
        <v>3265</v>
      </c>
      <c r="E3245" s="308" t="str">
        <f>IFERROR(__xludf.DUMMYFUNCTION("""COMPUTED_VALUE"""),"S")</f>
        <v>S</v>
      </c>
      <c r="F3245" s="312" t="s">
        <v>39</v>
      </c>
      <c r="G3245" s="308"/>
      <c r="H3245" s="308" t="s">
        <v>13275</v>
      </c>
      <c r="I3245" s="310">
        <v>42465.0</v>
      </c>
      <c r="J3245" s="319">
        <f>IFERROR(__xludf.DUMMYFUNCTION("SPLIT(I3245,""/"")"),5.0)</f>
        <v>5</v>
      </c>
      <c r="K3245" s="308">
        <f>IFERROR(__xludf.DUMMYFUNCTION("""COMPUTED_VALUE"""),4.0)</f>
        <v>4</v>
      </c>
      <c r="L3245" s="308">
        <f>IFERROR(__xludf.DUMMYFUNCTION("""COMPUTED_VALUE"""),2016.0)</f>
        <v>2016</v>
      </c>
      <c r="M3245" s="308" t="s">
        <v>13276</v>
      </c>
      <c r="N3245" s="308"/>
      <c r="O3245" s="308"/>
      <c r="P3245" s="308" t="s">
        <v>9535</v>
      </c>
      <c r="Q3245" s="308"/>
      <c r="R3245" s="308"/>
      <c r="S3245" s="308" t="s">
        <v>81</v>
      </c>
      <c r="T3245" s="308" t="s">
        <v>75</v>
      </c>
      <c r="U3245" s="308" t="s">
        <v>166</v>
      </c>
      <c r="V3245" s="312"/>
    </row>
    <row r="3246">
      <c r="A3246" s="308">
        <v>3245.0</v>
      </c>
      <c r="B3246" s="308"/>
      <c r="C3246" s="308" t="s">
        <v>13277</v>
      </c>
      <c r="D3246" s="308">
        <f>IFERROR(__xludf.DUMMYFUNCTION("SPLIT(C3246,""-"")"),3266.0)</f>
        <v>3266</v>
      </c>
      <c r="E3246" s="308" t="str">
        <f>IFERROR(__xludf.DUMMYFUNCTION("""COMPUTED_VALUE"""),"S")</f>
        <v>S</v>
      </c>
      <c r="F3246" s="312" t="s">
        <v>39</v>
      </c>
      <c r="G3246" s="308"/>
      <c r="H3246" s="308" t="s">
        <v>13278</v>
      </c>
      <c r="I3246" s="310">
        <v>42465.0</v>
      </c>
      <c r="J3246" s="319">
        <f>IFERROR(__xludf.DUMMYFUNCTION("SPLIT(I3246,""/"")"),5.0)</f>
        <v>5</v>
      </c>
      <c r="K3246" s="308">
        <f>IFERROR(__xludf.DUMMYFUNCTION("""COMPUTED_VALUE"""),4.0)</f>
        <v>4</v>
      </c>
      <c r="L3246" s="308">
        <f>IFERROR(__xludf.DUMMYFUNCTION("""COMPUTED_VALUE"""),2016.0)</f>
        <v>2016</v>
      </c>
      <c r="M3246" s="308" t="s">
        <v>13279</v>
      </c>
      <c r="N3246" s="308"/>
      <c r="O3246" s="308"/>
      <c r="P3246" s="308" t="s">
        <v>11452</v>
      </c>
      <c r="Q3246" s="308"/>
      <c r="R3246" s="308"/>
      <c r="S3246" s="308" t="s">
        <v>81</v>
      </c>
      <c r="T3246" s="311" t="s">
        <v>73</v>
      </c>
      <c r="U3246" s="308" t="s">
        <v>166</v>
      </c>
      <c r="V3246" s="312"/>
    </row>
    <row r="3247">
      <c r="A3247" s="308">
        <v>3246.0</v>
      </c>
      <c r="B3247" s="308"/>
      <c r="C3247" s="308" t="s">
        <v>13280</v>
      </c>
      <c r="D3247" s="308">
        <f>IFERROR(__xludf.DUMMYFUNCTION("SPLIT(C3247,""-"")"),3267.0)</f>
        <v>3267</v>
      </c>
      <c r="E3247" s="308" t="str">
        <f>IFERROR(__xludf.DUMMYFUNCTION("""COMPUTED_VALUE"""),"S")</f>
        <v>S</v>
      </c>
      <c r="F3247" s="312" t="s">
        <v>39</v>
      </c>
      <c r="G3247" s="308"/>
      <c r="H3247" s="308" t="s">
        <v>13281</v>
      </c>
      <c r="I3247" s="310">
        <v>42465.0</v>
      </c>
      <c r="J3247" s="319">
        <f>IFERROR(__xludf.DUMMYFUNCTION("SPLIT(I3247,""/"")"),5.0)</f>
        <v>5</v>
      </c>
      <c r="K3247" s="308">
        <f>IFERROR(__xludf.DUMMYFUNCTION("""COMPUTED_VALUE"""),4.0)</f>
        <v>4</v>
      </c>
      <c r="L3247" s="308">
        <f>IFERROR(__xludf.DUMMYFUNCTION("""COMPUTED_VALUE"""),2016.0)</f>
        <v>2016</v>
      </c>
      <c r="M3247" s="308" t="s">
        <v>13282</v>
      </c>
      <c r="N3247" s="308"/>
      <c r="O3247" s="308"/>
      <c r="P3247" s="308" t="s">
        <v>11452</v>
      </c>
      <c r="Q3247" s="308"/>
      <c r="R3247" s="308"/>
      <c r="S3247" s="308" t="s">
        <v>81</v>
      </c>
      <c r="T3247" s="311" t="s">
        <v>73</v>
      </c>
      <c r="U3247" s="308" t="s">
        <v>166</v>
      </c>
      <c r="V3247" s="312"/>
    </row>
    <row r="3248">
      <c r="A3248" s="308">
        <v>3247.0</v>
      </c>
      <c r="B3248" s="308"/>
      <c r="C3248" s="308" t="s">
        <v>13283</v>
      </c>
      <c r="D3248" s="308">
        <f>IFERROR(__xludf.DUMMYFUNCTION("SPLIT(C3248,""-"")"),3268.0)</f>
        <v>3268</v>
      </c>
      <c r="E3248" s="308" t="str">
        <f>IFERROR(__xludf.DUMMYFUNCTION("""COMPUTED_VALUE"""),"S")</f>
        <v>S</v>
      </c>
      <c r="F3248" s="312" t="s">
        <v>39</v>
      </c>
      <c r="G3248" s="308"/>
      <c r="H3248" s="308" t="s">
        <v>13284</v>
      </c>
      <c r="I3248" s="310">
        <v>42466.0</v>
      </c>
      <c r="J3248" s="319">
        <f>IFERROR(__xludf.DUMMYFUNCTION("SPLIT(I3248,""/"")"),6.0)</f>
        <v>6</v>
      </c>
      <c r="K3248" s="308">
        <f>IFERROR(__xludf.DUMMYFUNCTION("""COMPUTED_VALUE"""),4.0)</f>
        <v>4</v>
      </c>
      <c r="L3248" s="308">
        <f>IFERROR(__xludf.DUMMYFUNCTION("""COMPUTED_VALUE"""),2016.0)</f>
        <v>2016</v>
      </c>
      <c r="M3248" s="308" t="s">
        <v>36906</v>
      </c>
      <c r="N3248" s="308"/>
      <c r="O3248" s="308"/>
      <c r="P3248" s="308" t="s">
        <v>12369</v>
      </c>
      <c r="Q3248" s="308"/>
      <c r="R3248" s="308"/>
      <c r="S3248" s="308" t="s">
        <v>81</v>
      </c>
      <c r="T3248" s="308" t="s">
        <v>73</v>
      </c>
      <c r="U3248" s="308" t="s">
        <v>166</v>
      </c>
      <c r="V3248" s="312"/>
    </row>
    <row r="3249">
      <c r="A3249" s="308">
        <v>3248.0</v>
      </c>
      <c r="B3249" s="308"/>
      <c r="C3249" s="308" t="s">
        <v>13286</v>
      </c>
      <c r="D3249" s="308">
        <f>IFERROR(__xludf.DUMMYFUNCTION("SPLIT(C3249,""-"")"),3269.0)</f>
        <v>3269</v>
      </c>
      <c r="E3249" s="308" t="str">
        <f>IFERROR(__xludf.DUMMYFUNCTION("""COMPUTED_VALUE"""),"S")</f>
        <v>S</v>
      </c>
      <c r="F3249" s="312" t="s">
        <v>39</v>
      </c>
      <c r="G3249" s="308"/>
      <c r="H3249" s="308" t="s">
        <v>13287</v>
      </c>
      <c r="I3249" s="310">
        <v>42466.0</v>
      </c>
      <c r="J3249" s="319">
        <f>IFERROR(__xludf.DUMMYFUNCTION("SPLIT(I3249,""/"")"),6.0)</f>
        <v>6</v>
      </c>
      <c r="K3249" s="308">
        <f>IFERROR(__xludf.DUMMYFUNCTION("""COMPUTED_VALUE"""),4.0)</f>
        <v>4</v>
      </c>
      <c r="L3249" s="308">
        <f>IFERROR(__xludf.DUMMYFUNCTION("""COMPUTED_VALUE"""),2016.0)</f>
        <v>2016</v>
      </c>
      <c r="M3249" s="308" t="s">
        <v>13288</v>
      </c>
      <c r="N3249" s="308"/>
      <c r="O3249" s="308"/>
      <c r="P3249" s="308" t="s">
        <v>11266</v>
      </c>
      <c r="Q3249" s="308"/>
      <c r="R3249" s="308"/>
      <c r="S3249" s="308" t="s">
        <v>81</v>
      </c>
      <c r="T3249" s="311" t="s">
        <v>94</v>
      </c>
      <c r="U3249" s="308" t="s">
        <v>166</v>
      </c>
      <c r="V3249" s="312"/>
    </row>
    <row r="3250">
      <c r="A3250" s="308">
        <v>3249.0</v>
      </c>
      <c r="B3250" s="308"/>
      <c r="C3250" s="308" t="s">
        <v>13289</v>
      </c>
      <c r="D3250" s="308">
        <f>IFERROR(__xludf.DUMMYFUNCTION("SPLIT(C3250,""-"")"),3270.0)</f>
        <v>3270</v>
      </c>
      <c r="E3250" s="308" t="str">
        <f>IFERROR(__xludf.DUMMYFUNCTION("""COMPUTED_VALUE"""),"S")</f>
        <v>S</v>
      </c>
      <c r="F3250" s="312" t="s">
        <v>39</v>
      </c>
      <c r="G3250" s="308"/>
      <c r="H3250" s="308" t="s">
        <v>13290</v>
      </c>
      <c r="I3250" s="310">
        <v>42466.0</v>
      </c>
      <c r="J3250" s="319">
        <f>IFERROR(__xludf.DUMMYFUNCTION("SPLIT(I3250,""/"")"),6.0)</f>
        <v>6</v>
      </c>
      <c r="K3250" s="308">
        <f>IFERROR(__xludf.DUMMYFUNCTION("""COMPUTED_VALUE"""),4.0)</f>
        <v>4</v>
      </c>
      <c r="L3250" s="308">
        <f>IFERROR(__xludf.DUMMYFUNCTION("""COMPUTED_VALUE"""),2016.0)</f>
        <v>2016</v>
      </c>
      <c r="M3250" s="308" t="s">
        <v>13291</v>
      </c>
      <c r="N3250" s="308"/>
      <c r="O3250" s="308"/>
      <c r="P3250" s="308" t="s">
        <v>13292</v>
      </c>
      <c r="Q3250" s="308"/>
      <c r="R3250" s="308"/>
      <c r="S3250" s="308" t="s">
        <v>81</v>
      </c>
      <c r="T3250" s="308" t="s">
        <v>75</v>
      </c>
      <c r="U3250" s="308" t="s">
        <v>166</v>
      </c>
      <c r="V3250" s="312"/>
    </row>
    <row r="3251">
      <c r="A3251" s="308">
        <v>3250.0</v>
      </c>
      <c r="B3251" s="308"/>
      <c r="C3251" s="308" t="s">
        <v>13293</v>
      </c>
      <c r="D3251" s="308">
        <f>IFERROR(__xludf.DUMMYFUNCTION("SPLIT(C3251,""-"")"),3271.0)</f>
        <v>3271</v>
      </c>
      <c r="E3251" s="308" t="str">
        <f>IFERROR(__xludf.DUMMYFUNCTION("""COMPUTED_VALUE"""),"P")</f>
        <v>P</v>
      </c>
      <c r="F3251" s="312" t="s">
        <v>37</v>
      </c>
      <c r="G3251" s="308"/>
      <c r="H3251" s="308" t="s">
        <v>13294</v>
      </c>
      <c r="I3251" s="310">
        <v>42345.0</v>
      </c>
      <c r="J3251" s="319">
        <f>IFERROR(__xludf.DUMMYFUNCTION("SPLIT(I3251,""/"")"),7.0)</f>
        <v>7</v>
      </c>
      <c r="K3251" s="308">
        <f>IFERROR(__xludf.DUMMYFUNCTION("""COMPUTED_VALUE"""),12.0)</f>
        <v>12</v>
      </c>
      <c r="L3251" s="308">
        <f>IFERROR(__xludf.DUMMYFUNCTION("""COMPUTED_VALUE"""),2015.0)</f>
        <v>2015</v>
      </c>
      <c r="M3251" s="308" t="s">
        <v>13295</v>
      </c>
      <c r="N3251" s="308"/>
      <c r="O3251" s="308" t="s">
        <v>13296</v>
      </c>
      <c r="P3251" s="308" t="s">
        <v>36907</v>
      </c>
      <c r="Q3251" s="308"/>
      <c r="R3251" s="308"/>
      <c r="S3251" s="308" t="s">
        <v>81</v>
      </c>
      <c r="T3251" s="308" t="s">
        <v>75</v>
      </c>
      <c r="U3251" s="308" t="s">
        <v>149</v>
      </c>
      <c r="V3251" s="312"/>
    </row>
    <row r="3252">
      <c r="A3252" s="308">
        <v>3251.0</v>
      </c>
      <c r="B3252" s="308"/>
      <c r="C3252" s="308" t="s">
        <v>13298</v>
      </c>
      <c r="D3252" s="308">
        <f>IFERROR(__xludf.DUMMYFUNCTION("SPLIT(C3252,""-"")"),3272.0)</f>
        <v>3272</v>
      </c>
      <c r="E3252" s="308" t="str">
        <f>IFERROR(__xludf.DUMMYFUNCTION("""COMPUTED_VALUE"""),"P")</f>
        <v>P</v>
      </c>
      <c r="F3252" s="312" t="s">
        <v>37</v>
      </c>
      <c r="G3252" s="308"/>
      <c r="H3252" s="308" t="s">
        <v>13299</v>
      </c>
      <c r="I3252" s="310">
        <v>42455.0</v>
      </c>
      <c r="J3252" s="319">
        <f>IFERROR(__xludf.DUMMYFUNCTION("SPLIT(I3252,""/"")"),26.0)</f>
        <v>26</v>
      </c>
      <c r="K3252" s="308">
        <f>IFERROR(__xludf.DUMMYFUNCTION("""COMPUTED_VALUE"""),3.0)</f>
        <v>3</v>
      </c>
      <c r="L3252" s="308">
        <f>IFERROR(__xludf.DUMMYFUNCTION("""COMPUTED_VALUE"""),2016.0)</f>
        <v>2016</v>
      </c>
      <c r="M3252" s="308" t="s">
        <v>13300</v>
      </c>
      <c r="N3252" s="308"/>
      <c r="O3252" s="308" t="s">
        <v>13301</v>
      </c>
      <c r="P3252" s="308" t="s">
        <v>13302</v>
      </c>
      <c r="Q3252" s="308"/>
      <c r="R3252" s="308"/>
      <c r="S3252" s="308" t="s">
        <v>81</v>
      </c>
      <c r="T3252" s="311" t="s">
        <v>77</v>
      </c>
      <c r="U3252" s="308" t="s">
        <v>13303</v>
      </c>
      <c r="V3252" s="312"/>
    </row>
    <row r="3253">
      <c r="A3253" s="308">
        <v>3252.0</v>
      </c>
      <c r="B3253" s="308"/>
      <c r="C3253" s="308" t="s">
        <v>13304</v>
      </c>
      <c r="D3253" s="308">
        <f>IFERROR(__xludf.DUMMYFUNCTION("SPLIT(C3253,""-"")"),3273.0)</f>
        <v>3273</v>
      </c>
      <c r="E3253" s="308" t="str">
        <f>IFERROR(__xludf.DUMMYFUNCTION("""COMPUTED_VALUE"""),"P")</f>
        <v>P</v>
      </c>
      <c r="F3253" s="312" t="s">
        <v>37</v>
      </c>
      <c r="G3253" s="308"/>
      <c r="H3253" s="308" t="s">
        <v>13305</v>
      </c>
      <c r="I3253" s="310">
        <v>42467.0</v>
      </c>
      <c r="J3253" s="319">
        <f>IFERROR(__xludf.DUMMYFUNCTION("SPLIT(I3253,""/"")"),7.0)</f>
        <v>7</v>
      </c>
      <c r="K3253" s="308">
        <f>IFERROR(__xludf.DUMMYFUNCTION("""COMPUTED_VALUE"""),4.0)</f>
        <v>4</v>
      </c>
      <c r="L3253" s="308">
        <f>IFERROR(__xludf.DUMMYFUNCTION("""COMPUTED_VALUE"""),2016.0)</f>
        <v>2016</v>
      </c>
      <c r="M3253" s="308" t="s">
        <v>13306</v>
      </c>
      <c r="N3253" s="308"/>
      <c r="O3253" s="308" t="s">
        <v>635</v>
      </c>
      <c r="P3253" s="308" t="s">
        <v>13307</v>
      </c>
      <c r="Q3253" s="308"/>
      <c r="R3253" s="308"/>
      <c r="S3253" s="308" t="s">
        <v>81</v>
      </c>
      <c r="T3253" s="308" t="s">
        <v>73</v>
      </c>
      <c r="U3253" s="308" t="s">
        <v>2748</v>
      </c>
      <c r="V3253" s="312"/>
    </row>
    <row r="3254">
      <c r="A3254" s="308">
        <v>3253.0</v>
      </c>
      <c r="B3254" s="308"/>
      <c r="C3254" s="308" t="s">
        <v>13308</v>
      </c>
      <c r="D3254" s="308">
        <f>IFERROR(__xludf.DUMMYFUNCTION("SPLIT(C3254,""-"")"),3274.0)</f>
        <v>3274</v>
      </c>
      <c r="E3254" s="308" t="str">
        <f>IFERROR(__xludf.DUMMYFUNCTION("""COMPUTED_VALUE"""),"B")</f>
        <v>B</v>
      </c>
      <c r="F3254" s="315" t="s">
        <v>26</v>
      </c>
      <c r="G3254" s="308"/>
      <c r="H3254" s="308" t="s">
        <v>13309</v>
      </c>
      <c r="I3254" s="310">
        <v>40427.0</v>
      </c>
      <c r="J3254" s="319">
        <f>IFERROR(__xludf.DUMMYFUNCTION("SPLIT(I3254,""/"")"),6.0)</f>
        <v>6</v>
      </c>
      <c r="K3254" s="308">
        <f>IFERROR(__xludf.DUMMYFUNCTION("""COMPUTED_VALUE"""),9.0)</f>
        <v>9</v>
      </c>
      <c r="L3254" s="308">
        <f>IFERROR(__xludf.DUMMYFUNCTION("""COMPUTED_VALUE"""),2010.0)</f>
        <v>2010</v>
      </c>
      <c r="M3254" s="308" t="s">
        <v>13310</v>
      </c>
      <c r="N3254" s="308"/>
      <c r="O3254" s="308" t="s">
        <v>13311</v>
      </c>
      <c r="P3254" s="308" t="s">
        <v>13312</v>
      </c>
      <c r="Q3254" s="308"/>
      <c r="R3254" s="308"/>
      <c r="S3254" s="308" t="s">
        <v>49</v>
      </c>
      <c r="T3254" s="308" t="s">
        <v>51</v>
      </c>
      <c r="U3254" s="308" t="s">
        <v>27</v>
      </c>
      <c r="V3254" s="312"/>
    </row>
    <row r="3255">
      <c r="A3255" s="308">
        <v>3254.0</v>
      </c>
      <c r="B3255" s="308"/>
      <c r="C3255" s="308" t="s">
        <v>13313</v>
      </c>
      <c r="D3255" s="308">
        <f>IFERROR(__xludf.DUMMYFUNCTION("SPLIT(C3255,""-"")"),3275.0)</f>
        <v>3275</v>
      </c>
      <c r="E3255" s="308" t="str">
        <f>IFERROR(__xludf.DUMMYFUNCTION("""COMPUTED_VALUE"""),"B")</f>
        <v>B</v>
      </c>
      <c r="F3255" s="315" t="s">
        <v>26</v>
      </c>
      <c r="G3255" s="308"/>
      <c r="H3255" s="308" t="s">
        <v>13314</v>
      </c>
      <c r="I3255" s="310">
        <v>42416.0</v>
      </c>
      <c r="J3255" s="319">
        <f>IFERROR(__xludf.DUMMYFUNCTION("SPLIT(I3255,""/"")"),16.0)</f>
        <v>16</v>
      </c>
      <c r="K3255" s="308">
        <f>IFERROR(__xludf.DUMMYFUNCTION("""COMPUTED_VALUE"""),2.0)</f>
        <v>2</v>
      </c>
      <c r="L3255" s="308">
        <f>IFERROR(__xludf.DUMMYFUNCTION("""COMPUTED_VALUE"""),2016.0)</f>
        <v>2016</v>
      </c>
      <c r="M3255" s="308" t="s">
        <v>13315</v>
      </c>
      <c r="N3255" s="308"/>
      <c r="O3255" s="308"/>
      <c r="P3255" s="308" t="s">
        <v>13316</v>
      </c>
      <c r="Q3255" s="308"/>
      <c r="R3255" s="308"/>
      <c r="S3255" s="308" t="s">
        <v>81</v>
      </c>
      <c r="T3255" s="311" t="s">
        <v>75</v>
      </c>
      <c r="U3255" s="308" t="s">
        <v>27</v>
      </c>
      <c r="V3255" s="312"/>
    </row>
    <row r="3256">
      <c r="A3256" s="308">
        <v>3255.0</v>
      </c>
      <c r="B3256" s="308"/>
      <c r="C3256" s="308" t="s">
        <v>13317</v>
      </c>
      <c r="D3256" s="308">
        <f>IFERROR(__xludf.DUMMYFUNCTION("SPLIT(C3256,""-"")"),3276.0)</f>
        <v>3276</v>
      </c>
      <c r="E3256" s="308" t="str">
        <f>IFERROR(__xludf.DUMMYFUNCTION("""COMPUTED_VALUE"""),"P")</f>
        <v>P</v>
      </c>
      <c r="F3256" s="312" t="s">
        <v>37</v>
      </c>
      <c r="G3256" s="308"/>
      <c r="H3256" s="308" t="s">
        <v>13318</v>
      </c>
      <c r="I3256" s="310">
        <v>42314.0</v>
      </c>
      <c r="J3256" s="319">
        <f>IFERROR(__xludf.DUMMYFUNCTION("SPLIT(I3256,""/"")"),6.0)</f>
        <v>6</v>
      </c>
      <c r="K3256" s="308">
        <f>IFERROR(__xludf.DUMMYFUNCTION("""COMPUTED_VALUE"""),11.0)</f>
        <v>11</v>
      </c>
      <c r="L3256" s="308">
        <f>IFERROR(__xludf.DUMMYFUNCTION("""COMPUTED_VALUE"""),2015.0)</f>
        <v>2015</v>
      </c>
      <c r="M3256" s="308" t="s">
        <v>13319</v>
      </c>
      <c r="N3256" s="308"/>
      <c r="O3256" s="308" t="s">
        <v>635</v>
      </c>
      <c r="P3256" s="308" t="s">
        <v>13320</v>
      </c>
      <c r="Q3256" s="308"/>
      <c r="R3256" s="308"/>
      <c r="S3256" s="308" t="s">
        <v>81</v>
      </c>
      <c r="T3256" s="308" t="s">
        <v>75</v>
      </c>
      <c r="U3256" s="308" t="s">
        <v>5707</v>
      </c>
      <c r="V3256" s="312"/>
    </row>
    <row r="3257">
      <c r="A3257" s="308">
        <v>3256.0</v>
      </c>
      <c r="B3257" s="308"/>
      <c r="C3257" s="308" t="s">
        <v>13321</v>
      </c>
      <c r="D3257" s="308">
        <f>IFERROR(__xludf.DUMMYFUNCTION("SPLIT(C3257,""-"")"),3277.0)</f>
        <v>3277</v>
      </c>
      <c r="E3257" s="308" t="str">
        <f>IFERROR(__xludf.DUMMYFUNCTION("""COMPUTED_VALUE"""),"K")</f>
        <v>K</v>
      </c>
      <c r="F3257" s="309" t="s">
        <v>34</v>
      </c>
      <c r="G3257" s="308"/>
      <c r="H3257" s="308" t="s">
        <v>13322</v>
      </c>
      <c r="I3257" s="316">
        <v>2014.0</v>
      </c>
      <c r="J3257" s="319"/>
      <c r="K3257" s="308"/>
      <c r="L3257" s="311">
        <v>2014.0</v>
      </c>
      <c r="M3257" s="308" t="s">
        <v>13323</v>
      </c>
      <c r="N3257" s="308"/>
      <c r="O3257" s="308" t="s">
        <v>13324</v>
      </c>
      <c r="P3257" s="308" t="s">
        <v>1762</v>
      </c>
      <c r="Q3257" s="308"/>
      <c r="R3257" s="308"/>
      <c r="S3257" s="315" t="s">
        <v>100</v>
      </c>
      <c r="T3257" s="311" t="s">
        <v>34208</v>
      </c>
      <c r="U3257" s="308" t="s">
        <v>542</v>
      </c>
      <c r="V3257" s="312"/>
    </row>
    <row r="3258">
      <c r="A3258" s="308">
        <v>3257.0</v>
      </c>
      <c r="B3258" s="308"/>
      <c r="C3258" s="308" t="s">
        <v>13325</v>
      </c>
      <c r="D3258" s="308">
        <f>IFERROR(__xludf.DUMMYFUNCTION("SPLIT(C3258,""-"")"),3278.0)</f>
        <v>3278</v>
      </c>
      <c r="E3258" s="308" t="str">
        <f>IFERROR(__xludf.DUMMYFUNCTION("""COMPUTED_VALUE"""),"S")</f>
        <v>S</v>
      </c>
      <c r="F3258" s="312" t="s">
        <v>39</v>
      </c>
      <c r="G3258" s="308"/>
      <c r="H3258" s="308" t="s">
        <v>13326</v>
      </c>
      <c r="I3258" s="310">
        <v>42467.0</v>
      </c>
      <c r="J3258" s="319">
        <f>IFERROR(__xludf.DUMMYFUNCTION("SPLIT(I3258,""/"")"),7.0)</f>
        <v>7</v>
      </c>
      <c r="K3258" s="308">
        <f>IFERROR(__xludf.DUMMYFUNCTION("""COMPUTED_VALUE"""),4.0)</f>
        <v>4</v>
      </c>
      <c r="L3258" s="308">
        <f>IFERROR(__xludf.DUMMYFUNCTION("""COMPUTED_VALUE"""),2016.0)</f>
        <v>2016</v>
      </c>
      <c r="M3258" s="308" t="s">
        <v>13327</v>
      </c>
      <c r="N3258" s="308"/>
      <c r="O3258" s="308"/>
      <c r="P3258" s="308" t="s">
        <v>9535</v>
      </c>
      <c r="Q3258" s="308"/>
      <c r="R3258" s="308"/>
      <c r="S3258" s="308" t="s">
        <v>81</v>
      </c>
      <c r="T3258" s="308" t="s">
        <v>75</v>
      </c>
      <c r="U3258" s="308" t="s">
        <v>166</v>
      </c>
      <c r="V3258" s="312"/>
    </row>
    <row r="3259">
      <c r="A3259" s="308">
        <v>3258.0</v>
      </c>
      <c r="B3259" s="308"/>
      <c r="C3259" s="308" t="s">
        <v>13328</v>
      </c>
      <c r="D3259" s="308">
        <f>IFERROR(__xludf.DUMMYFUNCTION("SPLIT(C3259,""-"")"),3279.0)</f>
        <v>3279</v>
      </c>
      <c r="E3259" s="308" t="str">
        <f>IFERROR(__xludf.DUMMYFUNCTION("""COMPUTED_VALUE"""),"F")</f>
        <v>F</v>
      </c>
      <c r="F3259" s="309" t="s">
        <v>34</v>
      </c>
      <c r="G3259" s="308"/>
      <c r="H3259" s="308" t="s">
        <v>13329</v>
      </c>
      <c r="I3259" s="310">
        <v>41982.0</v>
      </c>
      <c r="J3259" s="319">
        <f>IFERROR(__xludf.DUMMYFUNCTION("SPLIT(I3259,""/"")"),9.0)</f>
        <v>9</v>
      </c>
      <c r="K3259" s="308">
        <f>IFERROR(__xludf.DUMMYFUNCTION("""COMPUTED_VALUE"""),12.0)</f>
        <v>12</v>
      </c>
      <c r="L3259" s="308">
        <f>IFERROR(__xludf.DUMMYFUNCTION("""COMPUTED_VALUE"""),2014.0)</f>
        <v>2014</v>
      </c>
      <c r="M3259" s="308" t="s">
        <v>36908</v>
      </c>
      <c r="N3259" s="308"/>
      <c r="O3259" s="308" t="s">
        <v>635</v>
      </c>
      <c r="P3259" s="308" t="s">
        <v>36846</v>
      </c>
      <c r="Q3259" s="308"/>
      <c r="R3259" s="308" t="s">
        <v>2743</v>
      </c>
      <c r="S3259" s="315" t="s">
        <v>100</v>
      </c>
      <c r="T3259" s="311" t="s">
        <v>34208</v>
      </c>
      <c r="U3259" s="308" t="s">
        <v>195</v>
      </c>
      <c r="V3259" s="312"/>
    </row>
    <row r="3260">
      <c r="A3260" s="308">
        <v>3259.0</v>
      </c>
      <c r="B3260" s="308"/>
      <c r="C3260" s="308" t="s">
        <v>13331</v>
      </c>
      <c r="D3260" s="308">
        <f>IFERROR(__xludf.DUMMYFUNCTION("SPLIT(C3260,""-"")"),3280.0)</f>
        <v>3280</v>
      </c>
      <c r="E3260" s="308" t="str">
        <f>IFERROR(__xludf.DUMMYFUNCTION("""COMPUTED_VALUE"""),"B")</f>
        <v>B</v>
      </c>
      <c r="F3260" s="315" t="s">
        <v>26</v>
      </c>
      <c r="G3260" s="308"/>
      <c r="H3260" s="308" t="s">
        <v>13332</v>
      </c>
      <c r="I3260" s="310">
        <v>41440.0</v>
      </c>
      <c r="J3260" s="319">
        <f>IFERROR(__xludf.DUMMYFUNCTION("SPLIT(I3260,""/"")"),15.0)</f>
        <v>15</v>
      </c>
      <c r="K3260" s="308">
        <f>IFERROR(__xludf.DUMMYFUNCTION("""COMPUTED_VALUE"""),6.0)</f>
        <v>6</v>
      </c>
      <c r="L3260" s="308">
        <f>IFERROR(__xludf.DUMMYFUNCTION("""COMPUTED_VALUE"""),2013.0)</f>
        <v>2013</v>
      </c>
      <c r="M3260" s="308" t="s">
        <v>13333</v>
      </c>
      <c r="N3260" s="308"/>
      <c r="O3260" s="308" t="s">
        <v>13334</v>
      </c>
      <c r="P3260" s="308" t="s">
        <v>36909</v>
      </c>
      <c r="Q3260" s="308"/>
      <c r="R3260" s="308" t="s">
        <v>2743</v>
      </c>
      <c r="S3260" s="315" t="s">
        <v>100</v>
      </c>
      <c r="T3260" s="311" t="s">
        <v>34208</v>
      </c>
      <c r="U3260" s="308" t="s">
        <v>27</v>
      </c>
      <c r="V3260" s="312"/>
    </row>
    <row r="3261">
      <c r="A3261" s="308">
        <v>3260.0</v>
      </c>
      <c r="B3261" s="308"/>
      <c r="C3261" s="308" t="s">
        <v>13336</v>
      </c>
      <c r="D3261" s="308">
        <f>IFERROR(__xludf.DUMMYFUNCTION("SPLIT(C3261,""-"")"),3281.0)</f>
        <v>3281</v>
      </c>
      <c r="E3261" s="308" t="str">
        <f>IFERROR(__xludf.DUMMYFUNCTION("""COMPUTED_VALUE"""),"B")</f>
        <v>B</v>
      </c>
      <c r="F3261" s="315" t="s">
        <v>26</v>
      </c>
      <c r="G3261" s="308"/>
      <c r="H3261" s="308" t="s">
        <v>13337</v>
      </c>
      <c r="I3261" s="310">
        <v>41758.0</v>
      </c>
      <c r="J3261" s="319">
        <f>IFERROR(__xludf.DUMMYFUNCTION("SPLIT(I3261,""/"")"),29.0)</f>
        <v>29</v>
      </c>
      <c r="K3261" s="308">
        <f>IFERROR(__xludf.DUMMYFUNCTION("""COMPUTED_VALUE"""),4.0)</f>
        <v>4</v>
      </c>
      <c r="L3261" s="308">
        <f>IFERROR(__xludf.DUMMYFUNCTION("""COMPUTED_VALUE"""),2014.0)</f>
        <v>2014</v>
      </c>
      <c r="M3261" s="308" t="s">
        <v>13338</v>
      </c>
      <c r="N3261" s="308"/>
      <c r="O3261" s="308" t="s">
        <v>13339</v>
      </c>
      <c r="P3261" s="308" t="s">
        <v>13340</v>
      </c>
      <c r="Q3261" s="308"/>
      <c r="R3261" s="308" t="s">
        <v>2743</v>
      </c>
      <c r="S3261" s="308" t="s">
        <v>49</v>
      </c>
      <c r="T3261" s="308" t="s">
        <v>51</v>
      </c>
      <c r="U3261" s="308"/>
      <c r="V3261" s="312"/>
    </row>
    <row r="3262">
      <c r="A3262" s="308">
        <v>3261.0</v>
      </c>
      <c r="B3262" s="308"/>
      <c r="C3262" s="308" t="s">
        <v>13341</v>
      </c>
      <c r="D3262" s="308">
        <f>IFERROR(__xludf.DUMMYFUNCTION("SPLIT(C3262,""-"")"),3282.0)</f>
        <v>3282</v>
      </c>
      <c r="E3262" s="308" t="str">
        <f>IFERROR(__xludf.DUMMYFUNCTION("""COMPUTED_VALUE"""),"K")</f>
        <v>K</v>
      </c>
      <c r="F3262" s="309" t="s">
        <v>34</v>
      </c>
      <c r="G3262" s="308"/>
      <c r="H3262" s="308" t="s">
        <v>13342</v>
      </c>
      <c r="I3262" s="310">
        <v>41781.0</v>
      </c>
      <c r="J3262" s="319">
        <f>IFERROR(__xludf.DUMMYFUNCTION("SPLIT(I3262,""/"")"),22.0)</f>
        <v>22</v>
      </c>
      <c r="K3262" s="308">
        <f>IFERROR(__xludf.DUMMYFUNCTION("""COMPUTED_VALUE"""),5.0)</f>
        <v>5</v>
      </c>
      <c r="L3262" s="308">
        <f>IFERROR(__xludf.DUMMYFUNCTION("""COMPUTED_VALUE"""),2014.0)</f>
        <v>2014</v>
      </c>
      <c r="M3262" s="308" t="s">
        <v>13343</v>
      </c>
      <c r="N3262" s="308"/>
      <c r="O3262" s="308" t="s">
        <v>13344</v>
      </c>
      <c r="P3262" s="308" t="s">
        <v>36894</v>
      </c>
      <c r="Q3262" s="308"/>
      <c r="R3262" s="308" t="s">
        <v>2743</v>
      </c>
      <c r="S3262" s="315" t="s">
        <v>100</v>
      </c>
      <c r="T3262" s="311" t="s">
        <v>34208</v>
      </c>
      <c r="U3262" s="308" t="s">
        <v>125</v>
      </c>
      <c r="V3262" s="312"/>
    </row>
    <row r="3263">
      <c r="A3263" s="308">
        <v>3262.0</v>
      </c>
      <c r="B3263" s="308"/>
      <c r="C3263" s="308" t="s">
        <v>13345</v>
      </c>
      <c r="D3263" s="308">
        <f>IFERROR(__xludf.DUMMYFUNCTION("SPLIT(C3263,""-"")"),3283.0)</f>
        <v>3283</v>
      </c>
      <c r="E3263" s="308" t="str">
        <f>IFERROR(__xludf.DUMMYFUNCTION("""COMPUTED_VALUE"""),"K")</f>
        <v>K</v>
      </c>
      <c r="F3263" s="309" t="s">
        <v>34</v>
      </c>
      <c r="G3263" s="308"/>
      <c r="H3263" s="308" t="s">
        <v>13346</v>
      </c>
      <c r="I3263" s="310">
        <v>41902.0</v>
      </c>
      <c r="J3263" s="319">
        <f>IFERROR(__xludf.DUMMYFUNCTION("SPLIT(I3263,""/"")"),20.0)</f>
        <v>20</v>
      </c>
      <c r="K3263" s="308">
        <f>IFERROR(__xludf.DUMMYFUNCTION("""COMPUTED_VALUE"""),9.0)</f>
        <v>9</v>
      </c>
      <c r="L3263" s="308">
        <f>IFERROR(__xludf.DUMMYFUNCTION("""COMPUTED_VALUE"""),2014.0)</f>
        <v>2014</v>
      </c>
      <c r="M3263" s="308" t="s">
        <v>13347</v>
      </c>
      <c r="N3263" s="308"/>
      <c r="O3263" s="308" t="s">
        <v>13348</v>
      </c>
      <c r="P3263" s="308" t="s">
        <v>13349</v>
      </c>
      <c r="Q3263" s="308"/>
      <c r="R3263" s="308" t="s">
        <v>2743</v>
      </c>
      <c r="S3263" s="308" t="s">
        <v>49</v>
      </c>
      <c r="T3263" s="308" t="s">
        <v>51</v>
      </c>
      <c r="U3263" s="308" t="s">
        <v>201</v>
      </c>
      <c r="V3263" s="312"/>
    </row>
    <row r="3264">
      <c r="A3264" s="308">
        <v>3263.0</v>
      </c>
      <c r="B3264" s="308"/>
      <c r="C3264" s="308" t="s">
        <v>13350</v>
      </c>
      <c r="D3264" s="308">
        <f>IFERROR(__xludf.DUMMYFUNCTION("SPLIT(C3264,""-"")"),3284.0)</f>
        <v>3284</v>
      </c>
      <c r="E3264" s="308" t="str">
        <f>IFERROR(__xludf.DUMMYFUNCTION("""COMPUTED_VALUE"""),"K")</f>
        <v>K</v>
      </c>
      <c r="F3264" s="309" t="s">
        <v>34</v>
      </c>
      <c r="G3264" s="308"/>
      <c r="H3264" s="308" t="s">
        <v>13351</v>
      </c>
      <c r="I3264" s="310">
        <v>41721.0</v>
      </c>
      <c r="J3264" s="319">
        <f>IFERROR(__xludf.DUMMYFUNCTION("SPLIT(I3264,""/"")"),23.0)</f>
        <v>23</v>
      </c>
      <c r="K3264" s="308">
        <f>IFERROR(__xludf.DUMMYFUNCTION("""COMPUTED_VALUE"""),3.0)</f>
        <v>3</v>
      </c>
      <c r="L3264" s="308">
        <f>IFERROR(__xludf.DUMMYFUNCTION("""COMPUTED_VALUE"""),2014.0)</f>
        <v>2014</v>
      </c>
      <c r="M3264" s="308" t="s">
        <v>13352</v>
      </c>
      <c r="N3264" s="308"/>
      <c r="O3264" s="308" t="s">
        <v>13353</v>
      </c>
      <c r="P3264" s="308" t="s">
        <v>36910</v>
      </c>
      <c r="Q3264" s="308"/>
      <c r="R3264" s="308" t="s">
        <v>2743</v>
      </c>
      <c r="S3264" s="308" t="s">
        <v>81</v>
      </c>
      <c r="T3264" s="311" t="s">
        <v>34264</v>
      </c>
      <c r="U3264" s="312"/>
      <c r="V3264" s="312"/>
    </row>
    <row r="3265">
      <c r="A3265" s="308">
        <v>3264.0</v>
      </c>
      <c r="B3265" s="308"/>
      <c r="C3265" s="308" t="s">
        <v>13355</v>
      </c>
      <c r="D3265" s="308">
        <f>IFERROR(__xludf.DUMMYFUNCTION("SPLIT(C3265,""-"")"),3285.0)</f>
        <v>3285</v>
      </c>
      <c r="E3265" s="308" t="str">
        <f>IFERROR(__xludf.DUMMYFUNCTION("""COMPUTED_VALUE"""),"B")</f>
        <v>B</v>
      </c>
      <c r="F3265" s="315" t="s">
        <v>26</v>
      </c>
      <c r="G3265" s="308"/>
      <c r="H3265" s="308" t="s">
        <v>36911</v>
      </c>
      <c r="I3265" s="310">
        <v>42378.0</v>
      </c>
      <c r="J3265" s="319">
        <f>IFERROR(__xludf.DUMMYFUNCTION("SPLIT(I3265,""/"")"),9.0)</f>
        <v>9</v>
      </c>
      <c r="K3265" s="308">
        <f>IFERROR(__xludf.DUMMYFUNCTION("""COMPUTED_VALUE"""),1.0)</f>
        <v>1</v>
      </c>
      <c r="L3265" s="308">
        <f>IFERROR(__xludf.DUMMYFUNCTION("""COMPUTED_VALUE"""),2016.0)</f>
        <v>2016</v>
      </c>
      <c r="M3265" s="308" t="s">
        <v>13357</v>
      </c>
      <c r="N3265" s="308"/>
      <c r="O3265" s="308"/>
      <c r="P3265" s="308" t="s">
        <v>13358</v>
      </c>
      <c r="Q3265" s="308"/>
      <c r="R3265" s="308" t="s">
        <v>2743</v>
      </c>
      <c r="S3265" s="315" t="s">
        <v>100</v>
      </c>
      <c r="T3265" s="311" t="s">
        <v>34208</v>
      </c>
      <c r="U3265" s="308" t="s">
        <v>27</v>
      </c>
      <c r="V3265" s="312"/>
    </row>
    <row r="3266">
      <c r="A3266" s="308">
        <v>3265.0</v>
      </c>
      <c r="B3266" s="308"/>
      <c r="C3266" s="308" t="s">
        <v>13359</v>
      </c>
      <c r="D3266" s="308">
        <f>IFERROR(__xludf.DUMMYFUNCTION("SPLIT(C3266,""-"")"),3286.0)</f>
        <v>3286</v>
      </c>
      <c r="E3266" s="308" t="str">
        <f>IFERROR(__xludf.DUMMYFUNCTION("""COMPUTED_VALUE"""),"P")</f>
        <v>P</v>
      </c>
      <c r="F3266" s="312" t="s">
        <v>37</v>
      </c>
      <c r="G3266" s="308"/>
      <c r="H3266" s="308" t="s">
        <v>13360</v>
      </c>
      <c r="I3266" s="310">
        <v>42488.0</v>
      </c>
      <c r="J3266" s="319">
        <f>IFERROR(__xludf.DUMMYFUNCTION("SPLIT(I3266,""/"")"),28.0)</f>
        <v>28</v>
      </c>
      <c r="K3266" s="308">
        <f>IFERROR(__xludf.DUMMYFUNCTION("""COMPUTED_VALUE"""),4.0)</f>
        <v>4</v>
      </c>
      <c r="L3266" s="308">
        <f>IFERROR(__xludf.DUMMYFUNCTION("""COMPUTED_VALUE"""),2016.0)</f>
        <v>2016</v>
      </c>
      <c r="M3266" s="308" t="s">
        <v>36912</v>
      </c>
      <c r="N3266" s="308"/>
      <c r="O3266" s="308" t="s">
        <v>13362</v>
      </c>
      <c r="P3266" s="308" t="s">
        <v>36913</v>
      </c>
      <c r="Q3266" s="308"/>
      <c r="R3266" s="308" t="s">
        <v>2743</v>
      </c>
      <c r="S3266" s="308" t="s">
        <v>81</v>
      </c>
      <c r="T3266" s="308" t="s">
        <v>73</v>
      </c>
      <c r="U3266" s="312"/>
      <c r="V3266" s="312"/>
    </row>
    <row r="3267">
      <c r="A3267" s="308">
        <v>3266.0</v>
      </c>
      <c r="B3267" s="308"/>
      <c r="C3267" s="308" t="s">
        <v>13364</v>
      </c>
      <c r="D3267" s="308">
        <f>IFERROR(__xludf.DUMMYFUNCTION("SPLIT(C3267,""-"")"),3287.0)</f>
        <v>3287</v>
      </c>
      <c r="E3267" s="308" t="str">
        <f>IFERROR(__xludf.DUMMYFUNCTION("""COMPUTED_VALUE"""),"I")</f>
        <v>I</v>
      </c>
      <c r="F3267" s="309" t="s">
        <v>31</v>
      </c>
      <c r="G3267" s="308"/>
      <c r="H3267" s="308" t="s">
        <v>13365</v>
      </c>
      <c r="I3267" s="310">
        <v>42416.0</v>
      </c>
      <c r="J3267" s="319">
        <f>IFERROR(__xludf.DUMMYFUNCTION("SPLIT(I3267,""/"")"),16.0)</f>
        <v>16</v>
      </c>
      <c r="K3267" s="308">
        <f>IFERROR(__xludf.DUMMYFUNCTION("""COMPUTED_VALUE"""),2.0)</f>
        <v>2</v>
      </c>
      <c r="L3267" s="308">
        <f>IFERROR(__xludf.DUMMYFUNCTION("""COMPUTED_VALUE"""),2016.0)</f>
        <v>2016</v>
      </c>
      <c r="M3267" s="308" t="s">
        <v>13366</v>
      </c>
      <c r="N3267" s="308"/>
      <c r="O3267" s="308" t="s">
        <v>13367</v>
      </c>
      <c r="P3267" s="308" t="s">
        <v>36724</v>
      </c>
      <c r="Q3267" s="308"/>
      <c r="R3267" s="308" t="s">
        <v>2743</v>
      </c>
      <c r="S3267" s="315" t="s">
        <v>100</v>
      </c>
      <c r="T3267" s="311" t="s">
        <v>34208</v>
      </c>
      <c r="U3267" s="308" t="s">
        <v>31</v>
      </c>
      <c r="V3267" s="312"/>
    </row>
    <row r="3268">
      <c r="A3268" s="308">
        <v>3267.0</v>
      </c>
      <c r="B3268" s="308"/>
      <c r="C3268" s="308" t="s">
        <v>13368</v>
      </c>
      <c r="D3268" s="308">
        <f>IFERROR(__xludf.DUMMYFUNCTION("SPLIT(C3268,""-"")"),3288.0)</f>
        <v>3288</v>
      </c>
      <c r="E3268" s="308" t="str">
        <f>IFERROR(__xludf.DUMMYFUNCTION("""COMPUTED_VALUE"""),"I")</f>
        <v>I</v>
      </c>
      <c r="F3268" s="309" t="s">
        <v>31</v>
      </c>
      <c r="G3268" s="308"/>
      <c r="H3268" s="308" t="s">
        <v>13369</v>
      </c>
      <c r="I3268" s="310">
        <v>42416.0</v>
      </c>
      <c r="J3268" s="319">
        <f>IFERROR(__xludf.DUMMYFUNCTION("SPLIT(I3268,""/"")"),16.0)</f>
        <v>16</v>
      </c>
      <c r="K3268" s="308">
        <f>IFERROR(__xludf.DUMMYFUNCTION("""COMPUTED_VALUE"""),2.0)</f>
        <v>2</v>
      </c>
      <c r="L3268" s="308">
        <f>IFERROR(__xludf.DUMMYFUNCTION("""COMPUTED_VALUE"""),2016.0)</f>
        <v>2016</v>
      </c>
      <c r="M3268" s="308" t="s">
        <v>13366</v>
      </c>
      <c r="N3268" s="308"/>
      <c r="O3268" s="308" t="s">
        <v>13367</v>
      </c>
      <c r="P3268" s="308" t="s">
        <v>36724</v>
      </c>
      <c r="Q3268" s="308"/>
      <c r="R3268" s="308" t="s">
        <v>2743</v>
      </c>
      <c r="S3268" s="315" t="s">
        <v>100</v>
      </c>
      <c r="T3268" s="311" t="s">
        <v>34208</v>
      </c>
      <c r="U3268" s="308" t="s">
        <v>31</v>
      </c>
      <c r="V3268" s="312"/>
    </row>
    <row r="3269">
      <c r="A3269" s="308">
        <v>3268.0</v>
      </c>
      <c r="B3269" s="308"/>
      <c r="C3269" s="308" t="s">
        <v>13370</v>
      </c>
      <c r="D3269" s="308">
        <f>IFERROR(__xludf.DUMMYFUNCTION("SPLIT(C3269,""-"")"),3289.0)</f>
        <v>3289</v>
      </c>
      <c r="E3269" s="308" t="str">
        <f>IFERROR(__xludf.DUMMYFUNCTION("""COMPUTED_VALUE"""),"P")</f>
        <v>P</v>
      </c>
      <c r="F3269" s="312" t="s">
        <v>37</v>
      </c>
      <c r="G3269" s="308"/>
      <c r="H3269" s="308" t="s">
        <v>13371</v>
      </c>
      <c r="I3269" s="310">
        <v>42489.0</v>
      </c>
      <c r="J3269" s="319">
        <f>IFERROR(__xludf.DUMMYFUNCTION("SPLIT(I3269,""/"")"),29.0)</f>
        <v>29</v>
      </c>
      <c r="K3269" s="308">
        <f>IFERROR(__xludf.DUMMYFUNCTION("""COMPUTED_VALUE"""),4.0)</f>
        <v>4</v>
      </c>
      <c r="L3269" s="308">
        <f>IFERROR(__xludf.DUMMYFUNCTION("""COMPUTED_VALUE"""),2016.0)</f>
        <v>2016</v>
      </c>
      <c r="M3269" s="308" t="s">
        <v>13372</v>
      </c>
      <c r="N3269" s="308"/>
      <c r="O3269" s="308"/>
      <c r="P3269" s="308" t="s">
        <v>13373</v>
      </c>
      <c r="Q3269" s="308" t="s">
        <v>34322</v>
      </c>
      <c r="R3269" s="308" t="s">
        <v>2743</v>
      </c>
      <c r="S3269" s="308" t="s">
        <v>81</v>
      </c>
      <c r="T3269" s="311" t="s">
        <v>77</v>
      </c>
      <c r="U3269" s="308" t="s">
        <v>2748</v>
      </c>
      <c r="V3269" s="312"/>
    </row>
    <row r="3270">
      <c r="A3270" s="308">
        <v>3269.0</v>
      </c>
      <c r="B3270" s="308"/>
      <c r="C3270" s="308" t="s">
        <v>13374</v>
      </c>
      <c r="D3270" s="308">
        <f>IFERROR(__xludf.DUMMYFUNCTION("SPLIT(C3270,""-"")"),3290.0)</f>
        <v>3290</v>
      </c>
      <c r="E3270" s="308" t="str">
        <f>IFERROR(__xludf.DUMMYFUNCTION("""COMPUTED_VALUE"""),"P")</f>
        <v>P</v>
      </c>
      <c r="F3270" s="312" t="s">
        <v>37</v>
      </c>
      <c r="G3270" s="308"/>
      <c r="H3270" s="308" t="s">
        <v>13375</v>
      </c>
      <c r="I3270" s="310">
        <v>42489.0</v>
      </c>
      <c r="J3270" s="319">
        <f>IFERROR(__xludf.DUMMYFUNCTION("SPLIT(I3270,""/"")"),29.0)</f>
        <v>29</v>
      </c>
      <c r="K3270" s="308">
        <f>IFERROR(__xludf.DUMMYFUNCTION("""COMPUTED_VALUE"""),4.0)</f>
        <v>4</v>
      </c>
      <c r="L3270" s="308">
        <f>IFERROR(__xludf.DUMMYFUNCTION("""COMPUTED_VALUE"""),2016.0)</f>
        <v>2016</v>
      </c>
      <c r="M3270" s="308" t="s">
        <v>13372</v>
      </c>
      <c r="N3270" s="308"/>
      <c r="O3270" s="308"/>
      <c r="P3270" s="308" t="s">
        <v>13373</v>
      </c>
      <c r="Q3270" s="308"/>
      <c r="R3270" s="308" t="s">
        <v>2743</v>
      </c>
      <c r="S3270" s="308" t="s">
        <v>81</v>
      </c>
      <c r="T3270" s="311" t="s">
        <v>77</v>
      </c>
      <c r="U3270" s="308" t="s">
        <v>2748</v>
      </c>
      <c r="V3270" s="312"/>
    </row>
    <row r="3271">
      <c r="A3271" s="308">
        <v>3270.0</v>
      </c>
      <c r="B3271" s="308"/>
      <c r="C3271" s="308" t="s">
        <v>13376</v>
      </c>
      <c r="D3271" s="308">
        <f>IFERROR(__xludf.DUMMYFUNCTION("SPLIT(C3271,""-"")"),3291.0)</f>
        <v>3291</v>
      </c>
      <c r="E3271" s="308" t="str">
        <f>IFERROR(__xludf.DUMMYFUNCTION("""COMPUTED_VALUE"""),"P")</f>
        <v>P</v>
      </c>
      <c r="F3271" s="312" t="s">
        <v>37</v>
      </c>
      <c r="G3271" s="308"/>
      <c r="H3271" s="308" t="s">
        <v>13377</v>
      </c>
      <c r="I3271" s="310">
        <v>41975.0</v>
      </c>
      <c r="J3271" s="319">
        <f>IFERROR(__xludf.DUMMYFUNCTION("SPLIT(I3271,""/"")"),2.0)</f>
        <v>2</v>
      </c>
      <c r="K3271" s="308">
        <f>IFERROR(__xludf.DUMMYFUNCTION("""COMPUTED_VALUE"""),12.0)</f>
        <v>12</v>
      </c>
      <c r="L3271" s="308">
        <f>IFERROR(__xludf.DUMMYFUNCTION("""COMPUTED_VALUE"""),2014.0)</f>
        <v>2014</v>
      </c>
      <c r="M3271" s="308" t="s">
        <v>13378</v>
      </c>
      <c r="N3271" s="308"/>
      <c r="O3271" s="308" t="s">
        <v>13379</v>
      </c>
      <c r="P3271" s="308" t="s">
        <v>13380</v>
      </c>
      <c r="Q3271" s="308"/>
      <c r="R3271" s="308" t="s">
        <v>2743</v>
      </c>
      <c r="S3271" s="308" t="s">
        <v>81</v>
      </c>
      <c r="T3271" s="308" t="s">
        <v>34264</v>
      </c>
      <c r="U3271" s="308" t="s">
        <v>5712</v>
      </c>
      <c r="V3271" s="312"/>
    </row>
    <row r="3272">
      <c r="A3272" s="308">
        <v>3271.0</v>
      </c>
      <c r="B3272" s="308"/>
      <c r="C3272" s="308" t="s">
        <v>13381</v>
      </c>
      <c r="D3272" s="308">
        <f>IFERROR(__xludf.DUMMYFUNCTION("SPLIT(C3272,""-"")"),3292.0)</f>
        <v>3292</v>
      </c>
      <c r="E3272" s="308" t="str">
        <f>IFERROR(__xludf.DUMMYFUNCTION("""COMPUTED_VALUE"""),"K")</f>
        <v>K</v>
      </c>
      <c r="F3272" s="309" t="s">
        <v>34</v>
      </c>
      <c r="G3272" s="308"/>
      <c r="H3272" s="308" t="s">
        <v>13382</v>
      </c>
      <c r="I3272" s="316">
        <v>2009.0</v>
      </c>
      <c r="J3272" s="319"/>
      <c r="K3272" s="308"/>
      <c r="L3272" s="311">
        <v>2009.0</v>
      </c>
      <c r="M3272" s="308" t="s">
        <v>13383</v>
      </c>
      <c r="N3272" s="308"/>
      <c r="O3272" s="308" t="s">
        <v>13384</v>
      </c>
      <c r="P3272" s="308" t="s">
        <v>35542</v>
      </c>
      <c r="Q3272" s="308"/>
      <c r="R3272" s="308" t="s">
        <v>2743</v>
      </c>
      <c r="S3272" s="308" t="s">
        <v>49</v>
      </c>
      <c r="T3272" s="308" t="s">
        <v>51</v>
      </c>
      <c r="U3272" s="308" t="s">
        <v>368</v>
      </c>
      <c r="V3272" s="312"/>
    </row>
    <row r="3273">
      <c r="A3273" s="308">
        <v>3272.0</v>
      </c>
      <c r="B3273" s="308"/>
      <c r="C3273" s="308" t="s">
        <v>13385</v>
      </c>
      <c r="D3273" s="308">
        <f>IFERROR(__xludf.DUMMYFUNCTION("SPLIT(C3273,""-"")"),3293.0)</f>
        <v>3293</v>
      </c>
      <c r="E3273" s="308" t="str">
        <f>IFERROR(__xludf.DUMMYFUNCTION("""COMPUTED_VALUE"""),"P")</f>
        <v>P</v>
      </c>
      <c r="F3273" s="312" t="s">
        <v>37</v>
      </c>
      <c r="G3273" s="308"/>
      <c r="H3273" s="308" t="s">
        <v>13386</v>
      </c>
      <c r="I3273" s="325">
        <v>40634.0</v>
      </c>
      <c r="J3273" s="319"/>
      <c r="K3273" s="311">
        <v>4.0</v>
      </c>
      <c r="L3273" s="311">
        <v>2011.0</v>
      </c>
      <c r="M3273" s="308" t="s">
        <v>36914</v>
      </c>
      <c r="N3273" s="308" t="s">
        <v>13388</v>
      </c>
      <c r="O3273" s="308"/>
      <c r="P3273" s="308" t="s">
        <v>4213</v>
      </c>
      <c r="Q3273" s="308"/>
      <c r="R3273" s="308" t="s">
        <v>2743</v>
      </c>
      <c r="S3273" s="315" t="s">
        <v>100</v>
      </c>
      <c r="T3273" s="311" t="s">
        <v>34208</v>
      </c>
      <c r="U3273" s="308" t="s">
        <v>4001</v>
      </c>
      <c r="V3273" s="312"/>
    </row>
    <row r="3274">
      <c r="A3274" s="308">
        <v>3273.0</v>
      </c>
      <c r="B3274" s="308"/>
      <c r="C3274" s="308" t="s">
        <v>13389</v>
      </c>
      <c r="D3274" s="308">
        <f>IFERROR(__xludf.DUMMYFUNCTION("SPLIT(C3274,""-"")"),3294.0)</f>
        <v>3294</v>
      </c>
      <c r="E3274" s="308" t="str">
        <f>IFERROR(__xludf.DUMMYFUNCTION("""COMPUTED_VALUE"""),"A")</f>
        <v>A</v>
      </c>
      <c r="F3274" s="309" t="s">
        <v>23</v>
      </c>
      <c r="G3274" s="308"/>
      <c r="H3274" s="308" t="s">
        <v>13390</v>
      </c>
      <c r="I3274" s="310">
        <v>41810.0</v>
      </c>
      <c r="J3274" s="319">
        <f>IFERROR(__xludf.DUMMYFUNCTION("SPLIT(I3274,""/"")"),20.0)</f>
        <v>20</v>
      </c>
      <c r="K3274" s="308">
        <f>IFERROR(__xludf.DUMMYFUNCTION("""COMPUTED_VALUE"""),6.0)</f>
        <v>6</v>
      </c>
      <c r="L3274" s="308">
        <f>IFERROR(__xludf.DUMMYFUNCTION("""COMPUTED_VALUE"""),2014.0)</f>
        <v>2014</v>
      </c>
      <c r="M3274" s="308" t="s">
        <v>36914</v>
      </c>
      <c r="N3274" s="308" t="s">
        <v>13391</v>
      </c>
      <c r="O3274" s="308" t="s">
        <v>13392</v>
      </c>
      <c r="P3274" s="308" t="s">
        <v>13393</v>
      </c>
      <c r="Q3274" s="308"/>
      <c r="R3274" s="308" t="s">
        <v>2743</v>
      </c>
      <c r="S3274" s="308" t="s">
        <v>49</v>
      </c>
      <c r="T3274" s="311" t="s">
        <v>51</v>
      </c>
      <c r="U3274" s="308" t="s">
        <v>403</v>
      </c>
      <c r="V3274" s="312"/>
    </row>
    <row r="3275">
      <c r="A3275" s="308">
        <v>3274.0</v>
      </c>
      <c r="B3275" s="308"/>
      <c r="C3275" s="308" t="s">
        <v>13394</v>
      </c>
      <c r="D3275" s="308">
        <f>IFERROR(__xludf.DUMMYFUNCTION("SPLIT(C3275,""-"")"),3295.0)</f>
        <v>3295</v>
      </c>
      <c r="E3275" s="308" t="str">
        <f>IFERROR(__xludf.DUMMYFUNCTION("""COMPUTED_VALUE"""),"P")</f>
        <v>P</v>
      </c>
      <c r="F3275" s="312" t="s">
        <v>37</v>
      </c>
      <c r="G3275" s="308"/>
      <c r="H3275" s="308" t="s">
        <v>13395</v>
      </c>
      <c r="I3275" s="310">
        <v>42472.0</v>
      </c>
      <c r="J3275" s="319">
        <f>IFERROR(__xludf.DUMMYFUNCTION("SPLIT(I3275,""/"")"),12.0)</f>
        <v>12</v>
      </c>
      <c r="K3275" s="308">
        <f>IFERROR(__xludf.DUMMYFUNCTION("""COMPUTED_VALUE"""),4.0)</f>
        <v>4</v>
      </c>
      <c r="L3275" s="308">
        <f>IFERROR(__xludf.DUMMYFUNCTION("""COMPUTED_VALUE"""),2016.0)</f>
        <v>2016</v>
      </c>
      <c r="M3275" s="308" t="s">
        <v>13396</v>
      </c>
      <c r="N3275" s="308"/>
      <c r="O3275" s="308" t="s">
        <v>13397</v>
      </c>
      <c r="P3275" s="308" t="s">
        <v>36915</v>
      </c>
      <c r="Q3275" s="308"/>
      <c r="R3275" s="308" t="s">
        <v>2743</v>
      </c>
      <c r="S3275" s="308" t="s">
        <v>81</v>
      </c>
      <c r="T3275" s="308" t="s">
        <v>75</v>
      </c>
      <c r="U3275" s="308" t="s">
        <v>2291</v>
      </c>
      <c r="V3275" s="312"/>
    </row>
    <row r="3276">
      <c r="A3276" s="308">
        <v>3275.0</v>
      </c>
      <c r="B3276" s="308"/>
      <c r="C3276" s="308" t="s">
        <v>13399</v>
      </c>
      <c r="D3276" s="308">
        <f>IFERROR(__xludf.DUMMYFUNCTION("SPLIT(C3276,""-"")"),3296.0)</f>
        <v>3296</v>
      </c>
      <c r="E3276" s="308" t="str">
        <f>IFERROR(__xludf.DUMMYFUNCTION("""COMPUTED_VALUE"""),"P")</f>
        <v>P</v>
      </c>
      <c r="F3276" s="312" t="s">
        <v>37</v>
      </c>
      <c r="G3276" s="308"/>
      <c r="H3276" s="308" t="s">
        <v>13400</v>
      </c>
      <c r="I3276" s="310">
        <v>42449.0</v>
      </c>
      <c r="J3276" s="319">
        <f>IFERROR(__xludf.DUMMYFUNCTION("SPLIT(I3276,""/"")"),20.0)</f>
        <v>20</v>
      </c>
      <c r="K3276" s="308">
        <f>IFERROR(__xludf.DUMMYFUNCTION("""COMPUTED_VALUE"""),3.0)</f>
        <v>3</v>
      </c>
      <c r="L3276" s="308">
        <f>IFERROR(__xludf.DUMMYFUNCTION("""COMPUTED_VALUE"""),2016.0)</f>
        <v>2016</v>
      </c>
      <c r="M3276" s="308" t="s">
        <v>13401</v>
      </c>
      <c r="N3276" s="308"/>
      <c r="O3276" s="308" t="s">
        <v>13402</v>
      </c>
      <c r="P3276" s="308" t="s">
        <v>13403</v>
      </c>
      <c r="Q3276" s="308"/>
      <c r="R3276" s="308" t="s">
        <v>2743</v>
      </c>
      <c r="S3276" s="308" t="s">
        <v>81</v>
      </c>
      <c r="T3276" s="308" t="s">
        <v>75</v>
      </c>
      <c r="U3276" s="308" t="s">
        <v>143</v>
      </c>
      <c r="V3276" s="312"/>
    </row>
    <row r="3277">
      <c r="A3277" s="308">
        <v>3276.0</v>
      </c>
      <c r="B3277" s="308"/>
      <c r="C3277" s="308" t="s">
        <v>13404</v>
      </c>
      <c r="D3277" s="308">
        <f>IFERROR(__xludf.DUMMYFUNCTION("SPLIT(C3277,""-"")"),3297.0)</f>
        <v>3297</v>
      </c>
      <c r="E3277" s="308" t="str">
        <f>IFERROR(__xludf.DUMMYFUNCTION("""COMPUTED_VALUE"""),"K")</f>
        <v>K</v>
      </c>
      <c r="F3277" s="309" t="s">
        <v>34</v>
      </c>
      <c r="G3277" s="308"/>
      <c r="H3277" s="308" t="s">
        <v>13405</v>
      </c>
      <c r="I3277" s="310">
        <v>42254.0</v>
      </c>
      <c r="J3277" s="319">
        <f>IFERROR(__xludf.DUMMYFUNCTION("SPLIT(I3277,""/"")"),7.0)</f>
        <v>7</v>
      </c>
      <c r="K3277" s="308">
        <f>IFERROR(__xludf.DUMMYFUNCTION("""COMPUTED_VALUE"""),9.0)</f>
        <v>9</v>
      </c>
      <c r="L3277" s="308">
        <f>IFERROR(__xludf.DUMMYFUNCTION("""COMPUTED_VALUE"""),2015.0)</f>
        <v>2015</v>
      </c>
      <c r="M3277" s="308" t="s">
        <v>13406</v>
      </c>
      <c r="N3277" s="308"/>
      <c r="O3277" s="308" t="s">
        <v>13407</v>
      </c>
      <c r="P3277" s="308" t="s">
        <v>13408</v>
      </c>
      <c r="Q3277" s="308"/>
      <c r="R3277" s="308" t="s">
        <v>2743</v>
      </c>
      <c r="S3277" s="308" t="s">
        <v>81</v>
      </c>
      <c r="T3277" s="308" t="s">
        <v>73</v>
      </c>
      <c r="U3277" s="308"/>
      <c r="V3277" s="312"/>
    </row>
    <row r="3278">
      <c r="A3278" s="308">
        <v>3277.0</v>
      </c>
      <c r="B3278" s="308"/>
      <c r="C3278" s="308" t="s">
        <v>13409</v>
      </c>
      <c r="D3278" s="308">
        <f>IFERROR(__xludf.DUMMYFUNCTION("SPLIT(C3278,""-"")"),3298.0)</f>
        <v>3298</v>
      </c>
      <c r="E3278" s="308" t="str">
        <f>IFERROR(__xludf.DUMMYFUNCTION("""COMPUTED_VALUE"""),"S")</f>
        <v>S</v>
      </c>
      <c r="F3278" s="312" t="s">
        <v>39</v>
      </c>
      <c r="G3278" s="308"/>
      <c r="H3278" s="308" t="s">
        <v>13410</v>
      </c>
      <c r="I3278" s="310">
        <v>42242.0</v>
      </c>
      <c r="J3278" s="319">
        <f>IFERROR(__xludf.DUMMYFUNCTION("SPLIT(I3278,""/"")"),26.0)</f>
        <v>26</v>
      </c>
      <c r="K3278" s="308">
        <f>IFERROR(__xludf.DUMMYFUNCTION("""COMPUTED_VALUE"""),8.0)</f>
        <v>8</v>
      </c>
      <c r="L3278" s="308">
        <f>IFERROR(__xludf.DUMMYFUNCTION("""COMPUTED_VALUE"""),2015.0)</f>
        <v>2015</v>
      </c>
      <c r="M3278" s="308" t="s">
        <v>13411</v>
      </c>
      <c r="N3278" s="308"/>
      <c r="O3278" s="308" t="s">
        <v>13412</v>
      </c>
      <c r="P3278" s="308" t="s">
        <v>36916</v>
      </c>
      <c r="Q3278" s="308"/>
      <c r="R3278" s="308" t="s">
        <v>2743</v>
      </c>
      <c r="S3278" s="308" t="s">
        <v>81</v>
      </c>
      <c r="T3278" s="308" t="s">
        <v>75</v>
      </c>
      <c r="U3278" s="308" t="s">
        <v>166</v>
      </c>
      <c r="V3278" s="312"/>
    </row>
    <row r="3279">
      <c r="A3279" s="308">
        <v>3278.0</v>
      </c>
      <c r="B3279" s="308"/>
      <c r="C3279" s="308" t="s">
        <v>13414</v>
      </c>
      <c r="D3279" s="308">
        <f>IFERROR(__xludf.DUMMYFUNCTION("SPLIT(C3279,""-"")"),3299.0)</f>
        <v>3299</v>
      </c>
      <c r="E3279" s="308" t="str">
        <f>IFERROR(__xludf.DUMMYFUNCTION("""COMPUTED_VALUE"""),"S")</f>
        <v>S</v>
      </c>
      <c r="F3279" s="312" t="s">
        <v>39</v>
      </c>
      <c r="G3279" s="308"/>
      <c r="H3279" s="308" t="s">
        <v>13415</v>
      </c>
      <c r="I3279" s="310">
        <v>42402.0</v>
      </c>
      <c r="J3279" s="319">
        <f>IFERROR(__xludf.DUMMYFUNCTION("SPLIT(I3279,""/"")"),2.0)</f>
        <v>2</v>
      </c>
      <c r="K3279" s="308">
        <f>IFERROR(__xludf.DUMMYFUNCTION("""COMPUTED_VALUE"""),2.0)</f>
        <v>2</v>
      </c>
      <c r="L3279" s="308">
        <f>IFERROR(__xludf.DUMMYFUNCTION("""COMPUTED_VALUE"""),2016.0)</f>
        <v>2016</v>
      </c>
      <c r="M3279" s="308" t="s">
        <v>13416</v>
      </c>
      <c r="N3279" s="308"/>
      <c r="O3279" s="308"/>
      <c r="P3279" s="308" t="s">
        <v>9535</v>
      </c>
      <c r="Q3279" s="308"/>
      <c r="R3279" s="308" t="s">
        <v>2743</v>
      </c>
      <c r="S3279" s="308" t="s">
        <v>81</v>
      </c>
      <c r="T3279" s="308" t="s">
        <v>75</v>
      </c>
      <c r="U3279" s="308" t="s">
        <v>166</v>
      </c>
      <c r="V3279" s="312"/>
    </row>
    <row r="3280">
      <c r="A3280" s="308">
        <v>3279.0</v>
      </c>
      <c r="B3280" s="308"/>
      <c r="C3280" s="308" t="s">
        <v>13417</v>
      </c>
      <c r="D3280" s="308">
        <f>IFERROR(__xludf.DUMMYFUNCTION("SPLIT(C3280,""-"")"),3300.0)</f>
        <v>3300</v>
      </c>
      <c r="E3280" s="308" t="str">
        <f>IFERROR(__xludf.DUMMYFUNCTION("""COMPUTED_VALUE"""),"P")</f>
        <v>P</v>
      </c>
      <c r="F3280" s="312" t="s">
        <v>37</v>
      </c>
      <c r="G3280" s="308"/>
      <c r="H3280" s="308" t="s">
        <v>13418</v>
      </c>
      <c r="I3280" s="310">
        <v>42403.0</v>
      </c>
      <c r="J3280" s="319">
        <f>IFERROR(__xludf.DUMMYFUNCTION("SPLIT(I3280,""/"")"),3.0)</f>
        <v>3</v>
      </c>
      <c r="K3280" s="308">
        <f>IFERROR(__xludf.DUMMYFUNCTION("""COMPUTED_VALUE"""),2.0)</f>
        <v>2</v>
      </c>
      <c r="L3280" s="308">
        <f>IFERROR(__xludf.DUMMYFUNCTION("""COMPUTED_VALUE"""),2016.0)</f>
        <v>2016</v>
      </c>
      <c r="M3280" s="308" t="s">
        <v>13419</v>
      </c>
      <c r="N3280" s="308"/>
      <c r="O3280" s="308" t="s">
        <v>13420</v>
      </c>
      <c r="P3280" s="308" t="s">
        <v>13421</v>
      </c>
      <c r="Q3280" s="308"/>
      <c r="R3280" s="308" t="s">
        <v>2743</v>
      </c>
      <c r="S3280" s="308" t="s">
        <v>81</v>
      </c>
      <c r="T3280" s="308" t="s">
        <v>34264</v>
      </c>
      <c r="U3280" s="308" t="s">
        <v>149</v>
      </c>
      <c r="V3280" s="312"/>
    </row>
    <row r="3281">
      <c r="A3281" s="308">
        <v>3280.0</v>
      </c>
      <c r="B3281" s="308"/>
      <c r="C3281" s="308" t="s">
        <v>13422</v>
      </c>
      <c r="D3281" s="308">
        <f>IFERROR(__xludf.DUMMYFUNCTION("SPLIT(C3281,""-"")"),3301.0)</f>
        <v>3301</v>
      </c>
      <c r="E3281" s="308" t="str">
        <f>IFERROR(__xludf.DUMMYFUNCTION("""COMPUTED_VALUE"""),"S")</f>
        <v>S</v>
      </c>
      <c r="F3281" s="312" t="s">
        <v>39</v>
      </c>
      <c r="G3281" s="308"/>
      <c r="H3281" s="308" t="s">
        <v>13284</v>
      </c>
      <c r="I3281" s="310">
        <v>42465.0</v>
      </c>
      <c r="J3281" s="319">
        <f>IFERROR(__xludf.DUMMYFUNCTION("SPLIT(I3281,""/"")"),5.0)</f>
        <v>5</v>
      </c>
      <c r="K3281" s="308">
        <f>IFERROR(__xludf.DUMMYFUNCTION("""COMPUTED_VALUE"""),4.0)</f>
        <v>4</v>
      </c>
      <c r="L3281" s="308">
        <f>IFERROR(__xludf.DUMMYFUNCTION("""COMPUTED_VALUE"""),2016.0)</f>
        <v>2016</v>
      </c>
      <c r="M3281" s="308" t="s">
        <v>13423</v>
      </c>
      <c r="N3281" s="308"/>
      <c r="O3281" s="308"/>
      <c r="P3281" s="308" t="s">
        <v>11266</v>
      </c>
      <c r="Q3281" s="308" t="s">
        <v>36917</v>
      </c>
      <c r="R3281" s="308" t="s">
        <v>13424</v>
      </c>
      <c r="S3281" s="308" t="s">
        <v>81</v>
      </c>
      <c r="T3281" s="311" t="s">
        <v>94</v>
      </c>
      <c r="U3281" s="308" t="s">
        <v>166</v>
      </c>
      <c r="V3281" s="312"/>
    </row>
    <row r="3282">
      <c r="A3282" s="308">
        <v>3281.0</v>
      </c>
      <c r="B3282" s="308"/>
      <c r="C3282" s="308" t="s">
        <v>13425</v>
      </c>
      <c r="D3282" s="308">
        <f>IFERROR(__xludf.DUMMYFUNCTION("SPLIT(C3282,""-"")"),3302.0)</f>
        <v>3302</v>
      </c>
      <c r="E3282" s="308" t="str">
        <f>IFERROR(__xludf.DUMMYFUNCTION("""COMPUTED_VALUE"""),"S")</f>
        <v>S</v>
      </c>
      <c r="F3282" s="312" t="s">
        <v>39</v>
      </c>
      <c r="G3282" s="308"/>
      <c r="H3282" s="308" t="s">
        <v>13426</v>
      </c>
      <c r="I3282" s="310">
        <v>42466.0</v>
      </c>
      <c r="J3282" s="319">
        <f>IFERROR(__xludf.DUMMYFUNCTION("SPLIT(I3282,""/"")"),6.0)</f>
        <v>6</v>
      </c>
      <c r="K3282" s="308">
        <f>IFERROR(__xludf.DUMMYFUNCTION("""COMPUTED_VALUE"""),4.0)</f>
        <v>4</v>
      </c>
      <c r="L3282" s="308">
        <f>IFERROR(__xludf.DUMMYFUNCTION("""COMPUTED_VALUE"""),2016.0)</f>
        <v>2016</v>
      </c>
      <c r="M3282" s="308" t="s">
        <v>13427</v>
      </c>
      <c r="N3282" s="308"/>
      <c r="O3282" s="308"/>
      <c r="P3282" s="308" t="s">
        <v>9535</v>
      </c>
      <c r="Q3282" s="308" t="s">
        <v>36917</v>
      </c>
      <c r="R3282" s="308" t="s">
        <v>13424</v>
      </c>
      <c r="S3282" s="308" t="s">
        <v>81</v>
      </c>
      <c r="T3282" s="308" t="s">
        <v>75</v>
      </c>
      <c r="U3282" s="308" t="s">
        <v>166</v>
      </c>
      <c r="V3282" s="312"/>
    </row>
    <row r="3283">
      <c r="A3283" s="308">
        <v>3282.0</v>
      </c>
      <c r="B3283" s="308"/>
      <c r="C3283" s="308" t="s">
        <v>13428</v>
      </c>
      <c r="D3283" s="308">
        <f>IFERROR(__xludf.DUMMYFUNCTION("SPLIT(C3283,""-"")"),3303.0)</f>
        <v>3303</v>
      </c>
      <c r="E3283" s="308" t="str">
        <f>IFERROR(__xludf.DUMMYFUNCTION("""COMPUTED_VALUE"""),"S")</f>
        <v>S</v>
      </c>
      <c r="F3283" s="312" t="s">
        <v>39</v>
      </c>
      <c r="G3283" s="308"/>
      <c r="H3283" s="308" t="s">
        <v>13429</v>
      </c>
      <c r="I3283" s="310">
        <v>42473.0</v>
      </c>
      <c r="J3283" s="319">
        <f>IFERROR(__xludf.DUMMYFUNCTION("SPLIT(I3283,""/"")"),13.0)</f>
        <v>13</v>
      </c>
      <c r="K3283" s="308">
        <f>IFERROR(__xludf.DUMMYFUNCTION("""COMPUTED_VALUE"""),4.0)</f>
        <v>4</v>
      </c>
      <c r="L3283" s="308">
        <f>IFERROR(__xludf.DUMMYFUNCTION("""COMPUTED_VALUE"""),2016.0)</f>
        <v>2016</v>
      </c>
      <c r="M3283" s="308" t="s">
        <v>13430</v>
      </c>
      <c r="N3283" s="308"/>
      <c r="O3283" s="308"/>
      <c r="P3283" s="308" t="s">
        <v>12369</v>
      </c>
      <c r="Q3283" s="308" t="s">
        <v>36917</v>
      </c>
      <c r="R3283" s="308" t="s">
        <v>13424</v>
      </c>
      <c r="S3283" s="308" t="s">
        <v>81</v>
      </c>
      <c r="T3283" s="308" t="s">
        <v>73</v>
      </c>
      <c r="U3283" s="308" t="s">
        <v>166</v>
      </c>
      <c r="V3283" s="312"/>
    </row>
    <row r="3284">
      <c r="A3284" s="308">
        <v>3283.0</v>
      </c>
      <c r="B3284" s="308"/>
      <c r="C3284" s="308" t="s">
        <v>13431</v>
      </c>
      <c r="D3284" s="308">
        <f>IFERROR(__xludf.DUMMYFUNCTION("SPLIT(C3284,""-"")"),3304.0)</f>
        <v>3304</v>
      </c>
      <c r="E3284" s="308" t="str">
        <f>IFERROR(__xludf.DUMMYFUNCTION("""COMPUTED_VALUE"""),"S")</f>
        <v>S</v>
      </c>
      <c r="F3284" s="312" t="s">
        <v>39</v>
      </c>
      <c r="G3284" s="308"/>
      <c r="H3284" s="308" t="s">
        <v>13432</v>
      </c>
      <c r="I3284" s="310">
        <v>42473.0</v>
      </c>
      <c r="J3284" s="319">
        <f>IFERROR(__xludf.DUMMYFUNCTION("SPLIT(I3284,""/"")"),13.0)</f>
        <v>13</v>
      </c>
      <c r="K3284" s="308">
        <f>IFERROR(__xludf.DUMMYFUNCTION("""COMPUTED_VALUE"""),4.0)</f>
        <v>4</v>
      </c>
      <c r="L3284" s="308">
        <f>IFERROR(__xludf.DUMMYFUNCTION("""COMPUTED_VALUE"""),2016.0)</f>
        <v>2016</v>
      </c>
      <c r="M3284" s="308" t="s">
        <v>13433</v>
      </c>
      <c r="N3284" s="308"/>
      <c r="O3284" s="308"/>
      <c r="P3284" s="308" t="s">
        <v>13434</v>
      </c>
      <c r="Q3284" s="308" t="s">
        <v>36917</v>
      </c>
      <c r="R3284" s="308" t="s">
        <v>13424</v>
      </c>
      <c r="S3284" s="308" t="s">
        <v>81</v>
      </c>
      <c r="T3284" s="311" t="s">
        <v>94</v>
      </c>
      <c r="U3284" s="308" t="s">
        <v>166</v>
      </c>
      <c r="V3284" s="312"/>
    </row>
    <row r="3285">
      <c r="A3285" s="308">
        <v>3284.0</v>
      </c>
      <c r="B3285" s="308"/>
      <c r="C3285" s="308" t="s">
        <v>13435</v>
      </c>
      <c r="D3285" s="308">
        <f>IFERROR(__xludf.DUMMYFUNCTION("SPLIT(C3285,""-"")"),3305.0)</f>
        <v>3305</v>
      </c>
      <c r="E3285" s="308" t="str">
        <f>IFERROR(__xludf.DUMMYFUNCTION("""COMPUTED_VALUE"""),"S")</f>
        <v>S</v>
      </c>
      <c r="F3285" s="312" t="s">
        <v>39</v>
      </c>
      <c r="G3285" s="308"/>
      <c r="H3285" s="308" t="s">
        <v>13436</v>
      </c>
      <c r="I3285" s="310">
        <v>42474.0</v>
      </c>
      <c r="J3285" s="319">
        <f>IFERROR(__xludf.DUMMYFUNCTION("SPLIT(I3285,""/"")"),14.0)</f>
        <v>14</v>
      </c>
      <c r="K3285" s="308">
        <f>IFERROR(__xludf.DUMMYFUNCTION("""COMPUTED_VALUE"""),4.0)</f>
        <v>4</v>
      </c>
      <c r="L3285" s="308">
        <f>IFERROR(__xludf.DUMMYFUNCTION("""COMPUTED_VALUE"""),2016.0)</f>
        <v>2016</v>
      </c>
      <c r="M3285" s="308" t="s">
        <v>13437</v>
      </c>
      <c r="N3285" s="308"/>
      <c r="O3285" s="308" t="s">
        <v>635</v>
      </c>
      <c r="P3285" s="308" t="s">
        <v>13438</v>
      </c>
      <c r="Q3285" s="308" t="s">
        <v>36917</v>
      </c>
      <c r="R3285" s="308" t="s">
        <v>13424</v>
      </c>
      <c r="S3285" s="308" t="s">
        <v>81</v>
      </c>
      <c r="T3285" s="308" t="s">
        <v>75</v>
      </c>
      <c r="U3285" s="308" t="s">
        <v>166</v>
      </c>
      <c r="V3285" s="312"/>
    </row>
    <row r="3286">
      <c r="A3286" s="308">
        <v>3285.0</v>
      </c>
      <c r="B3286" s="308"/>
      <c r="C3286" s="308" t="s">
        <v>13439</v>
      </c>
      <c r="D3286" s="308">
        <f>IFERROR(__xludf.DUMMYFUNCTION("SPLIT(C3286,""-"")"),3306.0)</f>
        <v>3306</v>
      </c>
      <c r="E3286" s="308" t="str">
        <f>IFERROR(__xludf.DUMMYFUNCTION("""COMPUTED_VALUE"""),"S")</f>
        <v>S</v>
      </c>
      <c r="F3286" s="312" t="s">
        <v>39</v>
      </c>
      <c r="G3286" s="308"/>
      <c r="H3286" s="308" t="s">
        <v>13440</v>
      </c>
      <c r="I3286" s="310">
        <v>42535.0</v>
      </c>
      <c r="J3286" s="319">
        <f>IFERROR(__xludf.DUMMYFUNCTION("SPLIT(I3286,""/"")"),14.0)</f>
        <v>14</v>
      </c>
      <c r="K3286" s="308">
        <f>IFERROR(__xludf.DUMMYFUNCTION("""COMPUTED_VALUE"""),6.0)</f>
        <v>6</v>
      </c>
      <c r="L3286" s="308">
        <f>IFERROR(__xludf.DUMMYFUNCTION("""COMPUTED_VALUE"""),2016.0)</f>
        <v>2016</v>
      </c>
      <c r="M3286" s="308" t="s">
        <v>13441</v>
      </c>
      <c r="N3286" s="308"/>
      <c r="O3286" s="308"/>
      <c r="P3286" s="308" t="s">
        <v>9535</v>
      </c>
      <c r="Q3286" s="308" t="s">
        <v>36917</v>
      </c>
      <c r="R3286" s="308" t="s">
        <v>13424</v>
      </c>
      <c r="S3286" s="308" t="s">
        <v>81</v>
      </c>
      <c r="T3286" s="308" t="s">
        <v>75</v>
      </c>
      <c r="U3286" s="308" t="s">
        <v>166</v>
      </c>
      <c r="V3286" s="312"/>
    </row>
    <row r="3287">
      <c r="A3287" s="308">
        <v>3286.0</v>
      </c>
      <c r="B3287" s="308"/>
      <c r="C3287" s="308" t="s">
        <v>13442</v>
      </c>
      <c r="D3287" s="308">
        <f>IFERROR(__xludf.DUMMYFUNCTION("SPLIT(C3287,""-"")"),3307.0)</f>
        <v>3307</v>
      </c>
      <c r="E3287" s="308" t="str">
        <f>IFERROR(__xludf.DUMMYFUNCTION("""COMPUTED_VALUE"""),"S")</f>
        <v>S</v>
      </c>
      <c r="F3287" s="312" t="s">
        <v>39</v>
      </c>
      <c r="G3287" s="308"/>
      <c r="H3287" s="308" t="s">
        <v>13443</v>
      </c>
      <c r="I3287" s="310">
        <v>42535.0</v>
      </c>
      <c r="J3287" s="319">
        <f>IFERROR(__xludf.DUMMYFUNCTION("SPLIT(I3287,""/"")"),14.0)</f>
        <v>14</v>
      </c>
      <c r="K3287" s="308">
        <f>IFERROR(__xludf.DUMMYFUNCTION("""COMPUTED_VALUE"""),6.0)</f>
        <v>6</v>
      </c>
      <c r="L3287" s="308">
        <f>IFERROR(__xludf.DUMMYFUNCTION("""COMPUTED_VALUE"""),2016.0)</f>
        <v>2016</v>
      </c>
      <c r="M3287" s="308" t="s">
        <v>13444</v>
      </c>
      <c r="N3287" s="308"/>
      <c r="O3287" s="308"/>
      <c r="P3287" s="308" t="s">
        <v>36918</v>
      </c>
      <c r="Q3287" s="308" t="s">
        <v>36917</v>
      </c>
      <c r="R3287" s="308" t="s">
        <v>13424</v>
      </c>
      <c r="S3287" s="308" t="s">
        <v>81</v>
      </c>
      <c r="T3287" s="308" t="s">
        <v>75</v>
      </c>
      <c r="U3287" s="312"/>
      <c r="V3287" s="312"/>
    </row>
    <row r="3288">
      <c r="A3288" s="308">
        <v>3287.0</v>
      </c>
      <c r="B3288" s="308"/>
      <c r="C3288" s="308" t="s">
        <v>13446</v>
      </c>
      <c r="D3288" s="308">
        <f>IFERROR(__xludf.DUMMYFUNCTION("SPLIT(C3288,""-"")"),3308.0)</f>
        <v>3308</v>
      </c>
      <c r="E3288" s="308" t="str">
        <f>IFERROR(__xludf.DUMMYFUNCTION("""COMPUTED_VALUE"""),"S")</f>
        <v>S</v>
      </c>
      <c r="F3288" s="312" t="s">
        <v>39</v>
      </c>
      <c r="G3288" s="308"/>
      <c r="H3288" s="308" t="s">
        <v>13447</v>
      </c>
      <c r="I3288" s="310">
        <v>42475.0</v>
      </c>
      <c r="J3288" s="319">
        <f>IFERROR(__xludf.DUMMYFUNCTION("SPLIT(I3288,""/"")"),15.0)</f>
        <v>15</v>
      </c>
      <c r="K3288" s="308">
        <f>IFERROR(__xludf.DUMMYFUNCTION("""COMPUTED_VALUE"""),4.0)</f>
        <v>4</v>
      </c>
      <c r="L3288" s="308">
        <f>IFERROR(__xludf.DUMMYFUNCTION("""COMPUTED_VALUE"""),2016.0)</f>
        <v>2016</v>
      </c>
      <c r="M3288" s="308" t="s">
        <v>13448</v>
      </c>
      <c r="N3288" s="308"/>
      <c r="O3288" s="308" t="s">
        <v>635</v>
      </c>
      <c r="P3288" s="308" t="s">
        <v>6778</v>
      </c>
      <c r="Q3288" s="308" t="s">
        <v>36917</v>
      </c>
      <c r="R3288" s="308" t="s">
        <v>13424</v>
      </c>
      <c r="S3288" s="311" t="s">
        <v>49</v>
      </c>
      <c r="T3288" s="309" t="s">
        <v>67</v>
      </c>
      <c r="U3288" s="312"/>
      <c r="V3288" s="312"/>
    </row>
    <row r="3289">
      <c r="A3289" s="308">
        <v>3288.0</v>
      </c>
      <c r="B3289" s="308"/>
      <c r="C3289" s="308" t="s">
        <v>13449</v>
      </c>
      <c r="D3289" s="308">
        <f>IFERROR(__xludf.DUMMYFUNCTION("SPLIT(C3289,""-"")"),3309.0)</f>
        <v>3309</v>
      </c>
      <c r="E3289" s="308" t="str">
        <f>IFERROR(__xludf.DUMMYFUNCTION("""COMPUTED_VALUE"""),"S")</f>
        <v>S</v>
      </c>
      <c r="F3289" s="312" t="s">
        <v>39</v>
      </c>
      <c r="G3289" s="308"/>
      <c r="H3289" s="308" t="s">
        <v>13450</v>
      </c>
      <c r="I3289" s="310">
        <v>42475.0</v>
      </c>
      <c r="J3289" s="319">
        <f>IFERROR(__xludf.DUMMYFUNCTION("SPLIT(I3289,""/"")"),15.0)</f>
        <v>15</v>
      </c>
      <c r="K3289" s="308">
        <f>IFERROR(__xludf.DUMMYFUNCTION("""COMPUTED_VALUE"""),4.0)</f>
        <v>4</v>
      </c>
      <c r="L3289" s="308">
        <f>IFERROR(__xludf.DUMMYFUNCTION("""COMPUTED_VALUE"""),2016.0)</f>
        <v>2016</v>
      </c>
      <c r="M3289" s="308" t="s">
        <v>13451</v>
      </c>
      <c r="N3289" s="308"/>
      <c r="O3289" s="308" t="s">
        <v>635</v>
      </c>
      <c r="P3289" s="308" t="s">
        <v>6778</v>
      </c>
      <c r="Q3289" s="308" t="s">
        <v>36917</v>
      </c>
      <c r="R3289" s="308" t="s">
        <v>13424</v>
      </c>
      <c r="S3289" s="311" t="s">
        <v>49</v>
      </c>
      <c r="T3289" s="309" t="s">
        <v>67</v>
      </c>
      <c r="U3289" s="312"/>
      <c r="V3289" s="312"/>
    </row>
    <row r="3290">
      <c r="A3290" s="308">
        <v>3289.0</v>
      </c>
      <c r="B3290" s="308"/>
      <c r="C3290" s="308" t="s">
        <v>13452</v>
      </c>
      <c r="D3290" s="308">
        <f>IFERROR(__xludf.DUMMYFUNCTION("SPLIT(C3290,""-"")"),3310.0)</f>
        <v>3310</v>
      </c>
      <c r="E3290" s="308" t="str">
        <f>IFERROR(__xludf.DUMMYFUNCTION("""COMPUTED_VALUE"""),"S")</f>
        <v>S</v>
      </c>
      <c r="F3290" s="312" t="s">
        <v>39</v>
      </c>
      <c r="G3290" s="308"/>
      <c r="H3290" s="308" t="s">
        <v>13453</v>
      </c>
      <c r="I3290" s="310">
        <v>42475.0</v>
      </c>
      <c r="J3290" s="319">
        <f>IFERROR(__xludf.DUMMYFUNCTION("SPLIT(I3290,""/"")"),15.0)</f>
        <v>15</v>
      </c>
      <c r="K3290" s="308">
        <f>IFERROR(__xludf.DUMMYFUNCTION("""COMPUTED_VALUE"""),4.0)</f>
        <v>4</v>
      </c>
      <c r="L3290" s="308">
        <f>IFERROR(__xludf.DUMMYFUNCTION("""COMPUTED_VALUE"""),2016.0)</f>
        <v>2016</v>
      </c>
      <c r="M3290" s="308" t="s">
        <v>13454</v>
      </c>
      <c r="N3290" s="308"/>
      <c r="O3290" s="308" t="s">
        <v>635</v>
      </c>
      <c r="P3290" s="308" t="s">
        <v>6778</v>
      </c>
      <c r="Q3290" s="308" t="s">
        <v>36917</v>
      </c>
      <c r="R3290" s="308" t="s">
        <v>13424</v>
      </c>
      <c r="S3290" s="311" t="s">
        <v>49</v>
      </c>
      <c r="T3290" s="309" t="s">
        <v>67</v>
      </c>
      <c r="U3290" s="312"/>
      <c r="V3290" s="312"/>
    </row>
    <row r="3291">
      <c r="A3291" s="308">
        <v>3290.0</v>
      </c>
      <c r="B3291" s="308"/>
      <c r="C3291" s="308" t="s">
        <v>13455</v>
      </c>
      <c r="D3291" s="308">
        <f>IFERROR(__xludf.DUMMYFUNCTION("SPLIT(C3291,""-"")"),3311.0)</f>
        <v>3311</v>
      </c>
      <c r="E3291" s="308" t="str">
        <f>IFERROR(__xludf.DUMMYFUNCTION("""COMPUTED_VALUE"""),"S")</f>
        <v>S</v>
      </c>
      <c r="F3291" s="312" t="s">
        <v>39</v>
      </c>
      <c r="G3291" s="308"/>
      <c r="H3291" s="308" t="s">
        <v>13456</v>
      </c>
      <c r="I3291" s="310">
        <v>42475.0</v>
      </c>
      <c r="J3291" s="319">
        <f>IFERROR(__xludf.DUMMYFUNCTION("SPLIT(I3291,""/"")"),15.0)</f>
        <v>15</v>
      </c>
      <c r="K3291" s="308">
        <f>IFERROR(__xludf.DUMMYFUNCTION("""COMPUTED_VALUE"""),4.0)</f>
        <v>4</v>
      </c>
      <c r="L3291" s="308">
        <f>IFERROR(__xludf.DUMMYFUNCTION("""COMPUTED_VALUE"""),2016.0)</f>
        <v>2016</v>
      </c>
      <c r="M3291" s="308" t="s">
        <v>13457</v>
      </c>
      <c r="N3291" s="308"/>
      <c r="O3291" s="308"/>
      <c r="P3291" s="308" t="s">
        <v>9535</v>
      </c>
      <c r="Q3291" s="308" t="s">
        <v>36917</v>
      </c>
      <c r="R3291" s="308" t="s">
        <v>13424</v>
      </c>
      <c r="S3291" s="308" t="s">
        <v>81</v>
      </c>
      <c r="T3291" s="308" t="s">
        <v>75</v>
      </c>
      <c r="U3291" s="308" t="s">
        <v>166</v>
      </c>
      <c r="V3291" s="312"/>
    </row>
    <row r="3292">
      <c r="A3292" s="308">
        <v>3291.0</v>
      </c>
      <c r="B3292" s="308"/>
      <c r="C3292" s="308" t="s">
        <v>13458</v>
      </c>
      <c r="D3292" s="308">
        <f>IFERROR(__xludf.DUMMYFUNCTION("SPLIT(C3292,""-"")"),3312.0)</f>
        <v>3312</v>
      </c>
      <c r="E3292" s="308" t="str">
        <f>IFERROR(__xludf.DUMMYFUNCTION("""COMPUTED_VALUE"""),"S")</f>
        <v>S</v>
      </c>
      <c r="F3292" s="312" t="s">
        <v>39</v>
      </c>
      <c r="G3292" s="308"/>
      <c r="H3292" s="308" t="s">
        <v>13459</v>
      </c>
      <c r="I3292" s="310">
        <v>42475.0</v>
      </c>
      <c r="J3292" s="319">
        <f>IFERROR(__xludf.DUMMYFUNCTION("SPLIT(I3292,""/"")"),15.0)</f>
        <v>15</v>
      </c>
      <c r="K3292" s="308">
        <f>IFERROR(__xludf.DUMMYFUNCTION("""COMPUTED_VALUE"""),4.0)</f>
        <v>4</v>
      </c>
      <c r="L3292" s="308">
        <f>IFERROR(__xludf.DUMMYFUNCTION("""COMPUTED_VALUE"""),2016.0)</f>
        <v>2016</v>
      </c>
      <c r="M3292" s="308" t="s">
        <v>13460</v>
      </c>
      <c r="N3292" s="308"/>
      <c r="O3292" s="308" t="s">
        <v>635</v>
      </c>
      <c r="P3292" s="308" t="s">
        <v>13461</v>
      </c>
      <c r="Q3292" s="308" t="s">
        <v>36917</v>
      </c>
      <c r="R3292" s="308" t="s">
        <v>13424</v>
      </c>
      <c r="S3292" s="308" t="s">
        <v>81</v>
      </c>
      <c r="T3292" s="308" t="s">
        <v>75</v>
      </c>
      <c r="U3292" s="308" t="s">
        <v>166</v>
      </c>
      <c r="V3292" s="312"/>
    </row>
    <row r="3293">
      <c r="A3293" s="308">
        <v>3292.0</v>
      </c>
      <c r="B3293" s="308"/>
      <c r="C3293" s="308" t="s">
        <v>13462</v>
      </c>
      <c r="D3293" s="308">
        <f>IFERROR(__xludf.DUMMYFUNCTION("SPLIT(C3293,""-"")"),3313.0)</f>
        <v>3313</v>
      </c>
      <c r="E3293" s="308" t="str">
        <f>IFERROR(__xludf.DUMMYFUNCTION("""COMPUTED_VALUE"""),"S")</f>
        <v>S</v>
      </c>
      <c r="F3293" s="312" t="s">
        <v>39</v>
      </c>
      <c r="G3293" s="308"/>
      <c r="H3293" s="308" t="s">
        <v>13463</v>
      </c>
      <c r="I3293" s="310">
        <v>42475.0</v>
      </c>
      <c r="J3293" s="319">
        <f>IFERROR(__xludf.DUMMYFUNCTION("SPLIT(I3293,""/"")"),15.0)</f>
        <v>15</v>
      </c>
      <c r="K3293" s="308">
        <f>IFERROR(__xludf.DUMMYFUNCTION("""COMPUTED_VALUE"""),4.0)</f>
        <v>4</v>
      </c>
      <c r="L3293" s="308">
        <f>IFERROR(__xludf.DUMMYFUNCTION("""COMPUTED_VALUE"""),2016.0)</f>
        <v>2016</v>
      </c>
      <c r="M3293" s="308" t="s">
        <v>36919</v>
      </c>
      <c r="N3293" s="308"/>
      <c r="O3293" s="308"/>
      <c r="P3293" s="308" t="s">
        <v>13465</v>
      </c>
      <c r="Q3293" s="308" t="s">
        <v>36917</v>
      </c>
      <c r="R3293" s="308" t="s">
        <v>13424</v>
      </c>
      <c r="S3293" s="308" t="s">
        <v>81</v>
      </c>
      <c r="T3293" s="308" t="s">
        <v>75</v>
      </c>
      <c r="U3293" s="308" t="s">
        <v>166</v>
      </c>
      <c r="V3293" s="312"/>
    </row>
    <row r="3294">
      <c r="A3294" s="308">
        <v>3293.0</v>
      </c>
      <c r="B3294" s="308"/>
      <c r="C3294" s="308" t="s">
        <v>13466</v>
      </c>
      <c r="D3294" s="308">
        <f>IFERROR(__xludf.DUMMYFUNCTION("SPLIT(C3294,""-"")"),3314.0)</f>
        <v>3314</v>
      </c>
      <c r="E3294" s="308" t="str">
        <f>IFERROR(__xludf.DUMMYFUNCTION("""COMPUTED_VALUE"""),"S")</f>
        <v>S</v>
      </c>
      <c r="F3294" s="312" t="s">
        <v>39</v>
      </c>
      <c r="G3294" s="308"/>
      <c r="H3294" s="308" t="s">
        <v>13467</v>
      </c>
      <c r="I3294" s="310">
        <v>42475.0</v>
      </c>
      <c r="J3294" s="319">
        <f>IFERROR(__xludf.DUMMYFUNCTION("SPLIT(I3294,""/"")"),15.0)</f>
        <v>15</v>
      </c>
      <c r="K3294" s="308">
        <f>IFERROR(__xludf.DUMMYFUNCTION("""COMPUTED_VALUE"""),4.0)</f>
        <v>4</v>
      </c>
      <c r="L3294" s="308">
        <f>IFERROR(__xludf.DUMMYFUNCTION("""COMPUTED_VALUE"""),2016.0)</f>
        <v>2016</v>
      </c>
      <c r="M3294" s="308" t="s">
        <v>13468</v>
      </c>
      <c r="N3294" s="308"/>
      <c r="O3294" s="308" t="s">
        <v>635</v>
      </c>
      <c r="P3294" s="308" t="s">
        <v>9901</v>
      </c>
      <c r="Q3294" s="308" t="s">
        <v>36917</v>
      </c>
      <c r="R3294" s="308" t="s">
        <v>13424</v>
      </c>
      <c r="S3294" s="308" t="s">
        <v>81</v>
      </c>
      <c r="T3294" s="311" t="s">
        <v>73</v>
      </c>
      <c r="U3294" s="312"/>
      <c r="V3294" s="312"/>
    </row>
    <row r="3295">
      <c r="A3295" s="308">
        <v>3294.0</v>
      </c>
      <c r="B3295" s="308"/>
      <c r="C3295" s="308" t="s">
        <v>13469</v>
      </c>
      <c r="D3295" s="308">
        <f>IFERROR(__xludf.DUMMYFUNCTION("SPLIT(C3295,""-"")"),3315.0)</f>
        <v>3315</v>
      </c>
      <c r="E3295" s="308" t="str">
        <f>IFERROR(__xludf.DUMMYFUNCTION("""COMPUTED_VALUE"""),"S")</f>
        <v>S</v>
      </c>
      <c r="F3295" s="312" t="s">
        <v>39</v>
      </c>
      <c r="G3295" s="308"/>
      <c r="H3295" s="308" t="s">
        <v>13470</v>
      </c>
      <c r="I3295" s="310">
        <v>42476.0</v>
      </c>
      <c r="J3295" s="319">
        <f>IFERROR(__xludf.DUMMYFUNCTION("SPLIT(I3295,""/"")"),16.0)</f>
        <v>16</v>
      </c>
      <c r="K3295" s="308">
        <f>IFERROR(__xludf.DUMMYFUNCTION("""COMPUTED_VALUE"""),4.0)</f>
        <v>4</v>
      </c>
      <c r="L3295" s="308">
        <f>IFERROR(__xludf.DUMMYFUNCTION("""COMPUTED_VALUE"""),2016.0)</f>
        <v>2016</v>
      </c>
      <c r="M3295" s="308" t="s">
        <v>13471</v>
      </c>
      <c r="N3295" s="308"/>
      <c r="O3295" s="308"/>
      <c r="P3295" s="308" t="s">
        <v>11266</v>
      </c>
      <c r="Q3295" s="308" t="s">
        <v>36917</v>
      </c>
      <c r="R3295" s="308" t="s">
        <v>13424</v>
      </c>
      <c r="S3295" s="308" t="s">
        <v>81</v>
      </c>
      <c r="T3295" s="311" t="s">
        <v>94</v>
      </c>
      <c r="U3295" s="308" t="s">
        <v>166</v>
      </c>
      <c r="V3295" s="312"/>
    </row>
    <row r="3296">
      <c r="A3296" s="308">
        <v>3295.0</v>
      </c>
      <c r="B3296" s="308"/>
      <c r="C3296" s="308" t="s">
        <v>13472</v>
      </c>
      <c r="D3296" s="308">
        <f>IFERROR(__xludf.DUMMYFUNCTION("SPLIT(C3296,""-"")"),3316.0)</f>
        <v>3316</v>
      </c>
      <c r="E3296" s="308" t="str">
        <f>IFERROR(__xludf.DUMMYFUNCTION("""COMPUTED_VALUE"""),"S")</f>
        <v>S</v>
      </c>
      <c r="F3296" s="312" t="s">
        <v>39</v>
      </c>
      <c r="G3296" s="308"/>
      <c r="H3296" s="308" t="s">
        <v>13473</v>
      </c>
      <c r="I3296" s="310">
        <v>42476.0</v>
      </c>
      <c r="J3296" s="319">
        <f>IFERROR(__xludf.DUMMYFUNCTION("SPLIT(I3296,""/"")"),16.0)</f>
        <v>16</v>
      </c>
      <c r="K3296" s="308">
        <f>IFERROR(__xludf.DUMMYFUNCTION("""COMPUTED_VALUE"""),4.0)</f>
        <v>4</v>
      </c>
      <c r="L3296" s="308">
        <f>IFERROR(__xludf.DUMMYFUNCTION("""COMPUTED_VALUE"""),2016.0)</f>
        <v>2016</v>
      </c>
      <c r="M3296" s="308" t="s">
        <v>13474</v>
      </c>
      <c r="N3296" s="308"/>
      <c r="O3296" s="308"/>
      <c r="P3296" s="308" t="s">
        <v>13434</v>
      </c>
      <c r="Q3296" s="308" t="s">
        <v>36917</v>
      </c>
      <c r="R3296" s="308" t="s">
        <v>13424</v>
      </c>
      <c r="S3296" s="308" t="s">
        <v>81</v>
      </c>
      <c r="T3296" s="311" t="s">
        <v>94</v>
      </c>
      <c r="U3296" s="308" t="s">
        <v>166</v>
      </c>
      <c r="V3296" s="312"/>
    </row>
    <row r="3297">
      <c r="A3297" s="308">
        <v>3296.0</v>
      </c>
      <c r="B3297" s="308"/>
      <c r="C3297" s="308" t="s">
        <v>13475</v>
      </c>
      <c r="D3297" s="308">
        <f>IFERROR(__xludf.DUMMYFUNCTION("SPLIT(C3297,""-"")"),3317.0)</f>
        <v>3317</v>
      </c>
      <c r="E3297" s="308" t="str">
        <f>IFERROR(__xludf.DUMMYFUNCTION("""COMPUTED_VALUE"""),"S")</f>
        <v>S</v>
      </c>
      <c r="F3297" s="312" t="s">
        <v>39</v>
      </c>
      <c r="G3297" s="308"/>
      <c r="H3297" s="308" t="s">
        <v>13476</v>
      </c>
      <c r="I3297" s="310">
        <v>42476.0</v>
      </c>
      <c r="J3297" s="319">
        <f>IFERROR(__xludf.DUMMYFUNCTION("SPLIT(I3297,""/"")"),16.0)</f>
        <v>16</v>
      </c>
      <c r="K3297" s="308">
        <f>IFERROR(__xludf.DUMMYFUNCTION("""COMPUTED_VALUE"""),4.0)</f>
        <v>4</v>
      </c>
      <c r="L3297" s="308">
        <f>IFERROR(__xludf.DUMMYFUNCTION("""COMPUTED_VALUE"""),2016.0)</f>
        <v>2016</v>
      </c>
      <c r="M3297" s="308" t="s">
        <v>13477</v>
      </c>
      <c r="N3297" s="308"/>
      <c r="O3297" s="308"/>
      <c r="P3297" s="308" t="s">
        <v>9535</v>
      </c>
      <c r="Q3297" s="308" t="s">
        <v>36917</v>
      </c>
      <c r="R3297" s="308" t="s">
        <v>13424</v>
      </c>
      <c r="S3297" s="308" t="s">
        <v>81</v>
      </c>
      <c r="T3297" s="308" t="s">
        <v>75</v>
      </c>
      <c r="U3297" s="308" t="s">
        <v>166</v>
      </c>
      <c r="V3297" s="312"/>
    </row>
    <row r="3298">
      <c r="A3298" s="308">
        <v>3297.0</v>
      </c>
      <c r="B3298" s="308"/>
      <c r="C3298" s="308" t="s">
        <v>13478</v>
      </c>
      <c r="D3298" s="308">
        <f>IFERROR(__xludf.DUMMYFUNCTION("SPLIT(C3298,""-"")"),3318.0)</f>
        <v>3318</v>
      </c>
      <c r="E3298" s="308" t="str">
        <f>IFERROR(__xludf.DUMMYFUNCTION("""COMPUTED_VALUE"""),"S")</f>
        <v>S</v>
      </c>
      <c r="F3298" s="312" t="s">
        <v>39</v>
      </c>
      <c r="G3298" s="308"/>
      <c r="H3298" s="308" t="s">
        <v>13479</v>
      </c>
      <c r="I3298" s="310">
        <v>42476.0</v>
      </c>
      <c r="J3298" s="319">
        <f>IFERROR(__xludf.DUMMYFUNCTION("SPLIT(I3298,""/"")"),16.0)</f>
        <v>16</v>
      </c>
      <c r="K3298" s="308">
        <f>IFERROR(__xludf.DUMMYFUNCTION("""COMPUTED_VALUE"""),4.0)</f>
        <v>4</v>
      </c>
      <c r="L3298" s="308">
        <f>IFERROR(__xludf.DUMMYFUNCTION("""COMPUTED_VALUE"""),2016.0)</f>
        <v>2016</v>
      </c>
      <c r="M3298" s="308" t="s">
        <v>13480</v>
      </c>
      <c r="N3298" s="308"/>
      <c r="O3298" s="308" t="s">
        <v>635</v>
      </c>
      <c r="P3298" s="308" t="s">
        <v>6973</v>
      </c>
      <c r="Q3298" s="308" t="s">
        <v>36917</v>
      </c>
      <c r="R3298" s="308" t="s">
        <v>13424</v>
      </c>
      <c r="S3298" s="308" t="s">
        <v>49</v>
      </c>
      <c r="T3298" s="308" t="s">
        <v>67</v>
      </c>
      <c r="U3298" s="308" t="s">
        <v>166</v>
      </c>
      <c r="V3298" s="312"/>
    </row>
    <row r="3299">
      <c r="A3299" s="308">
        <v>3298.0</v>
      </c>
      <c r="B3299" s="308"/>
      <c r="C3299" s="308" t="s">
        <v>13481</v>
      </c>
      <c r="D3299" s="308">
        <f>IFERROR(__xludf.DUMMYFUNCTION("SPLIT(C3299,""-"")"),3319.0)</f>
        <v>3319</v>
      </c>
      <c r="E3299" s="308" t="str">
        <f>IFERROR(__xludf.DUMMYFUNCTION("""COMPUTED_VALUE"""),"S")</f>
        <v>S</v>
      </c>
      <c r="F3299" s="312" t="s">
        <v>39</v>
      </c>
      <c r="G3299" s="308"/>
      <c r="H3299" s="308" t="s">
        <v>13482</v>
      </c>
      <c r="I3299" s="310">
        <v>42476.0</v>
      </c>
      <c r="J3299" s="319">
        <f>IFERROR(__xludf.DUMMYFUNCTION("SPLIT(I3299,""/"")"),16.0)</f>
        <v>16</v>
      </c>
      <c r="K3299" s="308">
        <f>IFERROR(__xludf.DUMMYFUNCTION("""COMPUTED_VALUE"""),4.0)</f>
        <v>4</v>
      </c>
      <c r="L3299" s="308">
        <f>IFERROR(__xludf.DUMMYFUNCTION("""COMPUTED_VALUE"""),2016.0)</f>
        <v>2016</v>
      </c>
      <c r="M3299" s="308" t="s">
        <v>13483</v>
      </c>
      <c r="N3299" s="308"/>
      <c r="O3299" s="308" t="s">
        <v>635</v>
      </c>
      <c r="P3299" s="308" t="s">
        <v>6973</v>
      </c>
      <c r="Q3299" s="308" t="s">
        <v>36917</v>
      </c>
      <c r="R3299" s="308" t="s">
        <v>13424</v>
      </c>
      <c r="S3299" s="308" t="s">
        <v>49</v>
      </c>
      <c r="T3299" s="308" t="s">
        <v>67</v>
      </c>
      <c r="U3299" s="308" t="s">
        <v>166</v>
      </c>
      <c r="V3299" s="312"/>
    </row>
    <row r="3300">
      <c r="A3300" s="308">
        <v>3299.0</v>
      </c>
      <c r="B3300" s="308"/>
      <c r="C3300" s="308" t="s">
        <v>13484</v>
      </c>
      <c r="D3300" s="308">
        <f>IFERROR(__xludf.DUMMYFUNCTION("SPLIT(C3300,""-"")"),3320.0)</f>
        <v>3320</v>
      </c>
      <c r="E3300" s="308" t="str">
        <f>IFERROR(__xludf.DUMMYFUNCTION("""COMPUTED_VALUE"""),"S")</f>
        <v>S</v>
      </c>
      <c r="F3300" s="312" t="s">
        <v>39</v>
      </c>
      <c r="G3300" s="308"/>
      <c r="H3300" s="308" t="s">
        <v>13485</v>
      </c>
      <c r="I3300" s="310">
        <v>42478.0</v>
      </c>
      <c r="J3300" s="319">
        <f>IFERROR(__xludf.DUMMYFUNCTION("SPLIT(I3300,""/"")"),18.0)</f>
        <v>18</v>
      </c>
      <c r="K3300" s="308">
        <f>IFERROR(__xludf.DUMMYFUNCTION("""COMPUTED_VALUE"""),4.0)</f>
        <v>4</v>
      </c>
      <c r="L3300" s="308">
        <f>IFERROR(__xludf.DUMMYFUNCTION("""COMPUTED_VALUE"""),2016.0)</f>
        <v>2016</v>
      </c>
      <c r="M3300" s="308" t="s">
        <v>13486</v>
      </c>
      <c r="N3300" s="308"/>
      <c r="O3300" s="308"/>
      <c r="P3300" s="308" t="s">
        <v>9968</v>
      </c>
      <c r="Q3300" s="308" t="s">
        <v>36917</v>
      </c>
      <c r="R3300" s="308" t="s">
        <v>13424</v>
      </c>
      <c r="S3300" s="308" t="s">
        <v>81</v>
      </c>
      <c r="T3300" s="308" t="s">
        <v>75</v>
      </c>
      <c r="U3300" s="308" t="s">
        <v>166</v>
      </c>
      <c r="V3300" s="312"/>
    </row>
    <row r="3301">
      <c r="A3301" s="308">
        <v>3300.0</v>
      </c>
      <c r="B3301" s="308"/>
      <c r="C3301" s="308" t="s">
        <v>13487</v>
      </c>
      <c r="D3301" s="308">
        <f>IFERROR(__xludf.DUMMYFUNCTION("SPLIT(C3301,""-"")"),3321.0)</f>
        <v>3321</v>
      </c>
      <c r="E3301" s="308" t="str">
        <f>IFERROR(__xludf.DUMMYFUNCTION("""COMPUTED_VALUE"""),"S")</f>
        <v>S</v>
      </c>
      <c r="F3301" s="312" t="s">
        <v>39</v>
      </c>
      <c r="G3301" s="308"/>
      <c r="H3301" s="308" t="s">
        <v>13488</v>
      </c>
      <c r="I3301" s="310">
        <v>42478.0</v>
      </c>
      <c r="J3301" s="319">
        <f>IFERROR(__xludf.DUMMYFUNCTION("SPLIT(I3301,""/"")"),18.0)</f>
        <v>18</v>
      </c>
      <c r="K3301" s="308">
        <f>IFERROR(__xludf.DUMMYFUNCTION("""COMPUTED_VALUE"""),4.0)</f>
        <v>4</v>
      </c>
      <c r="L3301" s="308">
        <f>IFERROR(__xludf.DUMMYFUNCTION("""COMPUTED_VALUE"""),2016.0)</f>
        <v>2016</v>
      </c>
      <c r="M3301" s="308" t="s">
        <v>13489</v>
      </c>
      <c r="N3301" s="308"/>
      <c r="O3301" s="308"/>
      <c r="P3301" s="308" t="s">
        <v>9968</v>
      </c>
      <c r="Q3301" s="308" t="s">
        <v>36917</v>
      </c>
      <c r="R3301" s="308" t="s">
        <v>13424</v>
      </c>
      <c r="S3301" s="308" t="s">
        <v>81</v>
      </c>
      <c r="T3301" s="308" t="s">
        <v>75</v>
      </c>
      <c r="U3301" s="308" t="s">
        <v>166</v>
      </c>
      <c r="V3301" s="312"/>
    </row>
    <row r="3302">
      <c r="A3302" s="308">
        <v>3301.0</v>
      </c>
      <c r="B3302" s="308"/>
      <c r="C3302" s="308" t="s">
        <v>13490</v>
      </c>
      <c r="D3302" s="308">
        <f>IFERROR(__xludf.DUMMYFUNCTION("SPLIT(C3302,""-"")"),3322.0)</f>
        <v>3322</v>
      </c>
      <c r="E3302" s="308" t="str">
        <f>IFERROR(__xludf.DUMMYFUNCTION("""COMPUTED_VALUE"""),"S")</f>
        <v>S</v>
      </c>
      <c r="F3302" s="312" t="s">
        <v>39</v>
      </c>
      <c r="G3302" s="308"/>
      <c r="H3302" s="308" t="s">
        <v>13491</v>
      </c>
      <c r="I3302" s="310">
        <v>42478.0</v>
      </c>
      <c r="J3302" s="319">
        <f>IFERROR(__xludf.DUMMYFUNCTION("SPLIT(I3302,""/"")"),18.0)</f>
        <v>18</v>
      </c>
      <c r="K3302" s="308">
        <f>IFERROR(__xludf.DUMMYFUNCTION("""COMPUTED_VALUE"""),4.0)</f>
        <v>4</v>
      </c>
      <c r="L3302" s="308">
        <f>IFERROR(__xludf.DUMMYFUNCTION("""COMPUTED_VALUE"""),2016.0)</f>
        <v>2016</v>
      </c>
      <c r="M3302" s="308" t="s">
        <v>13492</v>
      </c>
      <c r="N3302" s="308"/>
      <c r="O3302" s="308" t="s">
        <v>635</v>
      </c>
      <c r="P3302" s="308" t="s">
        <v>6973</v>
      </c>
      <c r="Q3302" s="308" t="s">
        <v>36917</v>
      </c>
      <c r="R3302" s="308" t="s">
        <v>13424</v>
      </c>
      <c r="S3302" s="308" t="s">
        <v>49</v>
      </c>
      <c r="T3302" s="308" t="s">
        <v>67</v>
      </c>
      <c r="U3302" s="308" t="s">
        <v>166</v>
      </c>
      <c r="V3302" s="312"/>
    </row>
    <row r="3303">
      <c r="A3303" s="308">
        <v>3302.0</v>
      </c>
      <c r="B3303" s="308"/>
      <c r="C3303" s="308" t="s">
        <v>13493</v>
      </c>
      <c r="D3303" s="308">
        <f>IFERROR(__xludf.DUMMYFUNCTION("SPLIT(C3303,""-"")"),3323.0)</f>
        <v>3323</v>
      </c>
      <c r="E3303" s="308" t="str">
        <f>IFERROR(__xludf.DUMMYFUNCTION("""COMPUTED_VALUE"""),"S")</f>
        <v>S</v>
      </c>
      <c r="F3303" s="312" t="s">
        <v>39</v>
      </c>
      <c r="G3303" s="308"/>
      <c r="H3303" s="308" t="s">
        <v>13494</v>
      </c>
      <c r="I3303" s="310">
        <v>42479.0</v>
      </c>
      <c r="J3303" s="319">
        <f>IFERROR(__xludf.DUMMYFUNCTION("SPLIT(I3303,""/"")"),19.0)</f>
        <v>19</v>
      </c>
      <c r="K3303" s="308">
        <f>IFERROR(__xludf.DUMMYFUNCTION("""COMPUTED_VALUE"""),4.0)</f>
        <v>4</v>
      </c>
      <c r="L3303" s="308">
        <f>IFERROR(__xludf.DUMMYFUNCTION("""COMPUTED_VALUE"""),2016.0)</f>
        <v>2016</v>
      </c>
      <c r="M3303" s="308" t="s">
        <v>13495</v>
      </c>
      <c r="N3303" s="308"/>
      <c r="O3303" s="308"/>
      <c r="P3303" s="308" t="s">
        <v>9968</v>
      </c>
      <c r="Q3303" s="308" t="s">
        <v>36917</v>
      </c>
      <c r="R3303" s="308" t="s">
        <v>13424</v>
      </c>
      <c r="S3303" s="308" t="s">
        <v>81</v>
      </c>
      <c r="T3303" s="308" t="s">
        <v>75</v>
      </c>
      <c r="U3303" s="308" t="s">
        <v>166</v>
      </c>
      <c r="V3303" s="312"/>
    </row>
    <row r="3304">
      <c r="A3304" s="308">
        <v>3303.0</v>
      </c>
      <c r="B3304" s="308"/>
      <c r="C3304" s="308" t="s">
        <v>13496</v>
      </c>
      <c r="D3304" s="308">
        <f>IFERROR(__xludf.DUMMYFUNCTION("SPLIT(C3304,""-"")"),3324.0)</f>
        <v>3324</v>
      </c>
      <c r="E3304" s="308" t="str">
        <f>IFERROR(__xludf.DUMMYFUNCTION("""COMPUTED_VALUE"""),"S")</f>
        <v>S</v>
      </c>
      <c r="F3304" s="312" t="s">
        <v>39</v>
      </c>
      <c r="G3304" s="308"/>
      <c r="H3304" s="308" t="s">
        <v>13497</v>
      </c>
      <c r="I3304" s="310">
        <v>42479.0</v>
      </c>
      <c r="J3304" s="319">
        <f>IFERROR(__xludf.DUMMYFUNCTION("SPLIT(I3304,""/"")"),19.0)</f>
        <v>19</v>
      </c>
      <c r="K3304" s="308">
        <f>IFERROR(__xludf.DUMMYFUNCTION("""COMPUTED_VALUE"""),4.0)</f>
        <v>4</v>
      </c>
      <c r="L3304" s="308">
        <f>IFERROR(__xludf.DUMMYFUNCTION("""COMPUTED_VALUE"""),2016.0)</f>
        <v>2016</v>
      </c>
      <c r="M3304" s="308" t="s">
        <v>36920</v>
      </c>
      <c r="N3304" s="308"/>
      <c r="O3304" s="308"/>
      <c r="P3304" s="308" t="s">
        <v>6973</v>
      </c>
      <c r="Q3304" s="308" t="s">
        <v>36917</v>
      </c>
      <c r="R3304" s="308" t="s">
        <v>13424</v>
      </c>
      <c r="S3304" s="308" t="s">
        <v>49</v>
      </c>
      <c r="T3304" s="308" t="s">
        <v>67</v>
      </c>
      <c r="U3304" s="308" t="s">
        <v>166</v>
      </c>
      <c r="V3304" s="312"/>
    </row>
    <row r="3305">
      <c r="A3305" s="308">
        <v>3304.0</v>
      </c>
      <c r="B3305" s="308"/>
      <c r="C3305" s="308" t="s">
        <v>13499</v>
      </c>
      <c r="D3305" s="308">
        <f>IFERROR(__xludf.DUMMYFUNCTION("SPLIT(C3305,""-"")"),3325.0)</f>
        <v>3325</v>
      </c>
      <c r="E3305" s="308" t="str">
        <f>IFERROR(__xludf.DUMMYFUNCTION("""COMPUTED_VALUE"""),"I")</f>
        <v>I</v>
      </c>
      <c r="F3305" s="309" t="s">
        <v>31</v>
      </c>
      <c r="G3305" s="308"/>
      <c r="H3305" s="308" t="s">
        <v>13500</v>
      </c>
      <c r="I3305" s="310">
        <v>42453.0</v>
      </c>
      <c r="J3305" s="319">
        <f>IFERROR(__xludf.DUMMYFUNCTION("SPLIT(I3305,""/"")"),24.0)</f>
        <v>24</v>
      </c>
      <c r="K3305" s="308">
        <f>IFERROR(__xludf.DUMMYFUNCTION("""COMPUTED_VALUE"""),3.0)</f>
        <v>3</v>
      </c>
      <c r="L3305" s="308">
        <f>IFERROR(__xludf.DUMMYFUNCTION("""COMPUTED_VALUE"""),2016.0)</f>
        <v>2016</v>
      </c>
      <c r="M3305" s="308" t="s">
        <v>13501</v>
      </c>
      <c r="N3305" s="308"/>
      <c r="O3305" s="308" t="s">
        <v>13502</v>
      </c>
      <c r="P3305" s="308" t="s">
        <v>13503</v>
      </c>
      <c r="Q3305" s="308" t="s">
        <v>36917</v>
      </c>
      <c r="R3305" s="308" t="s">
        <v>2743</v>
      </c>
      <c r="S3305" s="308" t="s">
        <v>81</v>
      </c>
      <c r="T3305" s="308" t="s">
        <v>75</v>
      </c>
      <c r="U3305" s="308"/>
      <c r="V3305" s="312"/>
    </row>
    <row r="3306">
      <c r="A3306" s="308">
        <v>3305.0</v>
      </c>
      <c r="B3306" s="308"/>
      <c r="C3306" s="308" t="s">
        <v>13504</v>
      </c>
      <c r="D3306" s="308">
        <f>IFERROR(__xludf.DUMMYFUNCTION("SPLIT(C3306,""-"")"),3326.0)</f>
        <v>3326</v>
      </c>
      <c r="E3306" s="308" t="str">
        <f>IFERROR(__xludf.DUMMYFUNCTION("""COMPUTED_VALUE"""),"K")</f>
        <v>K</v>
      </c>
      <c r="F3306" s="309" t="s">
        <v>34</v>
      </c>
      <c r="G3306" s="308"/>
      <c r="H3306" s="308" t="s">
        <v>13505</v>
      </c>
      <c r="I3306" s="314">
        <v>41929.0</v>
      </c>
      <c r="J3306" s="319">
        <f>IFERROR(__xludf.DUMMYFUNCTION("SPLIT(I3306,""/"")"),17.0)</f>
        <v>17</v>
      </c>
      <c r="K3306" s="308">
        <f>IFERROR(__xludf.DUMMYFUNCTION("""COMPUTED_VALUE"""),10.0)</f>
        <v>10</v>
      </c>
      <c r="L3306" s="308">
        <f>IFERROR(__xludf.DUMMYFUNCTION("""COMPUTED_VALUE"""),2014.0)</f>
        <v>2014</v>
      </c>
      <c r="M3306" s="308" t="s">
        <v>13506</v>
      </c>
      <c r="N3306" s="308"/>
      <c r="O3306" s="308" t="s">
        <v>13507</v>
      </c>
      <c r="P3306" s="308" t="s">
        <v>13508</v>
      </c>
      <c r="Q3306" s="308" t="s">
        <v>36917</v>
      </c>
      <c r="R3306" s="308" t="s">
        <v>2743</v>
      </c>
      <c r="S3306" s="308" t="s">
        <v>49</v>
      </c>
      <c r="T3306" s="308" t="s">
        <v>53</v>
      </c>
      <c r="U3306" s="308"/>
      <c r="V3306" s="312"/>
    </row>
    <row r="3307">
      <c r="A3307" s="308">
        <v>3306.0</v>
      </c>
      <c r="B3307" s="308"/>
      <c r="C3307" s="308" t="s">
        <v>13509</v>
      </c>
      <c r="D3307" s="308">
        <f>IFERROR(__xludf.DUMMYFUNCTION("SPLIT(C3307,""-"")"),3327.0)</f>
        <v>3327</v>
      </c>
      <c r="E3307" s="308" t="str">
        <f>IFERROR(__xludf.DUMMYFUNCTION("""COMPUTED_VALUE"""),"K")</f>
        <v>K</v>
      </c>
      <c r="F3307" s="309" t="s">
        <v>34</v>
      </c>
      <c r="G3307" s="308"/>
      <c r="H3307" s="308" t="s">
        <v>36921</v>
      </c>
      <c r="I3307" s="310">
        <v>42156.0</v>
      </c>
      <c r="J3307" s="319">
        <f>IFERROR(__xludf.DUMMYFUNCTION("SPLIT(I3307,""/"")"),1.0)</f>
        <v>1</v>
      </c>
      <c r="K3307" s="308">
        <f>IFERROR(__xludf.DUMMYFUNCTION("""COMPUTED_VALUE"""),6.0)</f>
        <v>6</v>
      </c>
      <c r="L3307" s="308">
        <f>IFERROR(__xludf.DUMMYFUNCTION("""COMPUTED_VALUE"""),2015.0)</f>
        <v>2015</v>
      </c>
      <c r="M3307" s="308" t="s">
        <v>13511</v>
      </c>
      <c r="N3307" s="308"/>
      <c r="O3307" s="308" t="s">
        <v>13512</v>
      </c>
      <c r="P3307" s="308" t="s">
        <v>36922</v>
      </c>
      <c r="Q3307" s="308" t="s">
        <v>36917</v>
      </c>
      <c r="R3307" s="308" t="s">
        <v>2743</v>
      </c>
      <c r="S3307" s="308" t="s">
        <v>81</v>
      </c>
      <c r="T3307" s="308" t="s">
        <v>75</v>
      </c>
      <c r="U3307" s="308" t="s">
        <v>542</v>
      </c>
      <c r="V3307" s="312"/>
    </row>
    <row r="3308">
      <c r="A3308" s="308">
        <v>3307.0</v>
      </c>
      <c r="B3308" s="308"/>
      <c r="C3308" s="308" t="s">
        <v>13514</v>
      </c>
      <c r="D3308" s="308">
        <f>IFERROR(__xludf.DUMMYFUNCTION("SPLIT(C3308,""-"")"),3328.0)</f>
        <v>3328</v>
      </c>
      <c r="E3308" s="308" t="str">
        <f>IFERROR(__xludf.DUMMYFUNCTION("""COMPUTED_VALUE"""),"P")</f>
        <v>P</v>
      </c>
      <c r="F3308" s="312" t="s">
        <v>37</v>
      </c>
      <c r="G3308" s="308"/>
      <c r="H3308" s="308" t="s">
        <v>13515</v>
      </c>
      <c r="I3308" s="314">
        <v>42327.0</v>
      </c>
      <c r="J3308" s="319">
        <f>IFERROR(__xludf.DUMMYFUNCTION("SPLIT(I3308,""/"")"),19.0)</f>
        <v>19</v>
      </c>
      <c r="K3308" s="308">
        <f>IFERROR(__xludf.DUMMYFUNCTION("""COMPUTED_VALUE"""),11.0)</f>
        <v>11</v>
      </c>
      <c r="L3308" s="308">
        <f>IFERROR(__xludf.DUMMYFUNCTION("""COMPUTED_VALUE"""),2015.0)</f>
        <v>2015</v>
      </c>
      <c r="M3308" s="308" t="s">
        <v>13516</v>
      </c>
      <c r="N3308" s="308"/>
      <c r="O3308" s="308" t="s">
        <v>13517</v>
      </c>
      <c r="P3308" s="308" t="s">
        <v>36923</v>
      </c>
      <c r="Q3308" s="308" t="s">
        <v>36917</v>
      </c>
      <c r="R3308" s="308" t="s">
        <v>2743</v>
      </c>
      <c r="S3308" s="308" t="s">
        <v>49</v>
      </c>
      <c r="T3308" s="308" t="s">
        <v>51</v>
      </c>
      <c r="U3308" s="308" t="s">
        <v>143</v>
      </c>
      <c r="V3308" s="312"/>
    </row>
    <row r="3309">
      <c r="A3309" s="308">
        <v>3308.0</v>
      </c>
      <c r="B3309" s="308"/>
      <c r="C3309" s="308" t="s">
        <v>13519</v>
      </c>
      <c r="D3309" s="308">
        <f>IFERROR(__xludf.DUMMYFUNCTION("SPLIT(C3309,""-"")"),3329.0)</f>
        <v>3329</v>
      </c>
      <c r="E3309" s="308" t="str">
        <f>IFERROR(__xludf.DUMMYFUNCTION("""COMPUTED_VALUE"""),"S")</f>
        <v>S</v>
      </c>
      <c r="F3309" s="312" t="s">
        <v>39</v>
      </c>
      <c r="G3309" s="308" t="s">
        <v>13520</v>
      </c>
      <c r="H3309" s="308" t="s">
        <v>13521</v>
      </c>
      <c r="I3309" s="314">
        <v>42328.0</v>
      </c>
      <c r="J3309" s="319">
        <f>IFERROR(__xludf.DUMMYFUNCTION("SPLIT(I3309,""/"")"),20.0)</f>
        <v>20</v>
      </c>
      <c r="K3309" s="308">
        <f>IFERROR(__xludf.DUMMYFUNCTION("""COMPUTED_VALUE"""),11.0)</f>
        <v>11</v>
      </c>
      <c r="L3309" s="308">
        <f>IFERROR(__xludf.DUMMYFUNCTION("""COMPUTED_VALUE"""),2015.0)</f>
        <v>2015</v>
      </c>
      <c r="M3309" s="308" t="s">
        <v>13522</v>
      </c>
      <c r="N3309" s="308"/>
      <c r="O3309" s="308"/>
      <c r="P3309" s="308" t="s">
        <v>9968</v>
      </c>
      <c r="Q3309" s="308" t="s">
        <v>36917</v>
      </c>
      <c r="R3309" s="308" t="s">
        <v>13523</v>
      </c>
      <c r="S3309" s="308" t="s">
        <v>81</v>
      </c>
      <c r="T3309" s="308" t="s">
        <v>75</v>
      </c>
      <c r="U3309" s="308" t="s">
        <v>166</v>
      </c>
      <c r="V3309" s="312"/>
    </row>
    <row r="3310">
      <c r="A3310" s="308">
        <v>3309.0</v>
      </c>
      <c r="B3310" s="308"/>
      <c r="C3310" s="308" t="s">
        <v>13524</v>
      </c>
      <c r="D3310" s="308">
        <f>IFERROR(__xludf.DUMMYFUNCTION("SPLIT(C3310,""-"")"),3330.0)</f>
        <v>3330</v>
      </c>
      <c r="E3310" s="308" t="str">
        <f>IFERROR(__xludf.DUMMYFUNCTION("""COMPUTED_VALUE"""),"S")</f>
        <v>S</v>
      </c>
      <c r="F3310" s="312" t="s">
        <v>39</v>
      </c>
      <c r="G3310" s="308" t="s">
        <v>13525</v>
      </c>
      <c r="H3310" s="308" t="s">
        <v>13526</v>
      </c>
      <c r="I3310" s="322"/>
      <c r="J3310" s="319"/>
      <c r="K3310" s="308"/>
      <c r="L3310" s="311" t="s">
        <v>79</v>
      </c>
      <c r="M3310" s="308" t="s">
        <v>36924</v>
      </c>
      <c r="N3310" s="308"/>
      <c r="O3310" s="308" t="s">
        <v>635</v>
      </c>
      <c r="P3310" s="308" t="s">
        <v>9979</v>
      </c>
      <c r="Q3310" s="308" t="s">
        <v>36917</v>
      </c>
      <c r="R3310" s="308" t="s">
        <v>13523</v>
      </c>
      <c r="S3310" s="315" t="s">
        <v>100</v>
      </c>
      <c r="T3310" s="311" t="s">
        <v>34208</v>
      </c>
      <c r="U3310" s="308" t="s">
        <v>2355</v>
      </c>
      <c r="V3310" s="312"/>
    </row>
    <row r="3311">
      <c r="A3311" s="308">
        <v>3310.0</v>
      </c>
      <c r="B3311" s="308"/>
      <c r="C3311" s="308" t="s">
        <v>13528</v>
      </c>
      <c r="D3311" s="308">
        <f>IFERROR(__xludf.DUMMYFUNCTION("SPLIT(C3311,""-"")"),3331.0)</f>
        <v>3331</v>
      </c>
      <c r="E3311" s="308" t="str">
        <f>IFERROR(__xludf.DUMMYFUNCTION("""COMPUTED_VALUE"""),"S")</f>
        <v>S</v>
      </c>
      <c r="F3311" s="312" t="s">
        <v>39</v>
      </c>
      <c r="G3311" s="308"/>
      <c r="H3311" s="308" t="s">
        <v>13529</v>
      </c>
      <c r="I3311" s="310">
        <v>42480.0</v>
      </c>
      <c r="J3311" s="319">
        <f>IFERROR(__xludf.DUMMYFUNCTION("SPLIT(I3311,""/"")"),20.0)</f>
        <v>20</v>
      </c>
      <c r="K3311" s="308">
        <f>IFERROR(__xludf.DUMMYFUNCTION("""COMPUTED_VALUE"""),4.0)</f>
        <v>4</v>
      </c>
      <c r="L3311" s="308">
        <f>IFERROR(__xludf.DUMMYFUNCTION("""COMPUTED_VALUE"""),2016.0)</f>
        <v>2016</v>
      </c>
      <c r="M3311" s="308" t="s">
        <v>13530</v>
      </c>
      <c r="N3311" s="308"/>
      <c r="O3311" s="308" t="s">
        <v>635</v>
      </c>
      <c r="P3311" s="308" t="s">
        <v>36925</v>
      </c>
      <c r="Q3311" s="308" t="s">
        <v>36917</v>
      </c>
      <c r="R3311" s="312"/>
      <c r="S3311" s="308" t="s">
        <v>81</v>
      </c>
      <c r="T3311" s="308" t="s">
        <v>75</v>
      </c>
      <c r="U3311" s="308" t="s">
        <v>166</v>
      </c>
      <c r="V3311" s="312"/>
    </row>
    <row r="3312">
      <c r="A3312" s="308">
        <v>3311.0</v>
      </c>
      <c r="B3312" s="308"/>
      <c r="C3312" s="308" t="s">
        <v>13532</v>
      </c>
      <c r="D3312" s="308">
        <f>IFERROR(__xludf.DUMMYFUNCTION("SPLIT(C3312,""-"")"),3332.0)</f>
        <v>3332</v>
      </c>
      <c r="E3312" s="308" t="str">
        <f>IFERROR(__xludf.DUMMYFUNCTION("""COMPUTED_VALUE"""),"P")</f>
        <v>P</v>
      </c>
      <c r="F3312" s="312" t="s">
        <v>37</v>
      </c>
      <c r="G3312" s="308"/>
      <c r="H3312" s="308" t="s">
        <v>13533</v>
      </c>
      <c r="I3312" s="310">
        <v>42522.0</v>
      </c>
      <c r="J3312" s="319">
        <f>IFERROR(__xludf.DUMMYFUNCTION("SPLIT(I3312,""/"")"),1.0)</f>
        <v>1</v>
      </c>
      <c r="K3312" s="308">
        <f>IFERROR(__xludf.DUMMYFUNCTION("""COMPUTED_VALUE"""),6.0)</f>
        <v>6</v>
      </c>
      <c r="L3312" s="308">
        <f>IFERROR(__xludf.DUMMYFUNCTION("""COMPUTED_VALUE"""),2016.0)</f>
        <v>2016</v>
      </c>
      <c r="M3312" s="308" t="s">
        <v>13534</v>
      </c>
      <c r="N3312" s="308"/>
      <c r="O3312" s="308" t="s">
        <v>13535</v>
      </c>
      <c r="P3312" s="308" t="s">
        <v>36926</v>
      </c>
      <c r="Q3312" s="308" t="s">
        <v>36917</v>
      </c>
      <c r="R3312" s="308" t="s">
        <v>13523</v>
      </c>
      <c r="S3312" s="308" t="s">
        <v>81</v>
      </c>
      <c r="T3312" s="308" t="s">
        <v>75</v>
      </c>
      <c r="U3312" s="312"/>
      <c r="V3312" s="312"/>
    </row>
    <row r="3313">
      <c r="A3313" s="308">
        <v>3312.0</v>
      </c>
      <c r="B3313" s="308"/>
      <c r="C3313" s="308" t="s">
        <v>13537</v>
      </c>
      <c r="D3313" s="308">
        <f>IFERROR(__xludf.DUMMYFUNCTION("SPLIT(C3313,""-"")"),3333.0)</f>
        <v>3333</v>
      </c>
      <c r="E3313" s="308" t="str">
        <f>IFERROR(__xludf.DUMMYFUNCTION("""COMPUTED_VALUE"""),"B")</f>
        <v>B</v>
      </c>
      <c r="F3313" s="315" t="s">
        <v>26</v>
      </c>
      <c r="G3313" s="308"/>
      <c r="H3313" s="308" t="s">
        <v>13538</v>
      </c>
      <c r="I3313" s="310">
        <v>40592.0</v>
      </c>
      <c r="J3313" s="319">
        <f>IFERROR(__xludf.DUMMYFUNCTION("SPLIT(I3313,""/"")"),18.0)</f>
        <v>18</v>
      </c>
      <c r="K3313" s="308">
        <f>IFERROR(__xludf.DUMMYFUNCTION("""COMPUTED_VALUE"""),2.0)</f>
        <v>2</v>
      </c>
      <c r="L3313" s="308">
        <f>IFERROR(__xludf.DUMMYFUNCTION("""COMPUTED_VALUE"""),2011.0)</f>
        <v>2011</v>
      </c>
      <c r="M3313" s="308" t="s">
        <v>13539</v>
      </c>
      <c r="N3313" s="308"/>
      <c r="O3313" s="308" t="s">
        <v>13540</v>
      </c>
      <c r="P3313" s="308" t="s">
        <v>13541</v>
      </c>
      <c r="Q3313" s="308" t="s">
        <v>36917</v>
      </c>
      <c r="R3313" s="308" t="s">
        <v>13542</v>
      </c>
      <c r="S3313" s="315" t="s">
        <v>100</v>
      </c>
      <c r="T3313" s="311" t="s">
        <v>34208</v>
      </c>
      <c r="U3313" s="308" t="s">
        <v>27</v>
      </c>
      <c r="V3313" s="312"/>
    </row>
    <row r="3314">
      <c r="A3314" s="308">
        <v>3313.0</v>
      </c>
      <c r="B3314" s="308"/>
      <c r="C3314" s="308" t="s">
        <v>13543</v>
      </c>
      <c r="D3314" s="308">
        <f>IFERROR(__xludf.DUMMYFUNCTION("SPLIT(C3314,""-"")"),3334.0)</f>
        <v>3334</v>
      </c>
      <c r="E3314" s="308" t="str">
        <f>IFERROR(__xludf.DUMMYFUNCTION("""COMPUTED_VALUE"""),"B")</f>
        <v>B</v>
      </c>
      <c r="F3314" s="315" t="s">
        <v>26</v>
      </c>
      <c r="G3314" s="308"/>
      <c r="H3314" s="308" t="s">
        <v>13544</v>
      </c>
      <c r="I3314" s="310">
        <v>40592.0</v>
      </c>
      <c r="J3314" s="319">
        <f>IFERROR(__xludf.DUMMYFUNCTION("SPLIT(I3314,""/"")"),18.0)</f>
        <v>18</v>
      </c>
      <c r="K3314" s="308">
        <f>IFERROR(__xludf.DUMMYFUNCTION("""COMPUTED_VALUE"""),2.0)</f>
        <v>2</v>
      </c>
      <c r="L3314" s="308">
        <f>IFERROR(__xludf.DUMMYFUNCTION("""COMPUTED_VALUE"""),2011.0)</f>
        <v>2011</v>
      </c>
      <c r="M3314" s="308" t="s">
        <v>13539</v>
      </c>
      <c r="N3314" s="308"/>
      <c r="O3314" s="308" t="s">
        <v>13540</v>
      </c>
      <c r="P3314" s="308" t="s">
        <v>36927</v>
      </c>
      <c r="Q3314" s="308" t="s">
        <v>36917</v>
      </c>
      <c r="R3314" s="308" t="s">
        <v>13542</v>
      </c>
      <c r="S3314" s="308" t="s">
        <v>49</v>
      </c>
      <c r="T3314" s="311" t="s">
        <v>51</v>
      </c>
      <c r="U3314" s="308" t="s">
        <v>27</v>
      </c>
      <c r="V3314" s="312"/>
    </row>
    <row r="3315">
      <c r="A3315" s="308">
        <v>3314.0</v>
      </c>
      <c r="B3315" s="308"/>
      <c r="C3315" s="308" t="s">
        <v>13546</v>
      </c>
      <c r="D3315" s="308">
        <f>IFERROR(__xludf.DUMMYFUNCTION("SPLIT(C3315,""-"")"),3335.0)</f>
        <v>3335</v>
      </c>
      <c r="E3315" s="308" t="str">
        <f>IFERROR(__xludf.DUMMYFUNCTION("""COMPUTED_VALUE"""),"B")</f>
        <v>B</v>
      </c>
      <c r="F3315" s="315" t="s">
        <v>26</v>
      </c>
      <c r="G3315" s="308"/>
      <c r="H3315" s="308" t="s">
        <v>13547</v>
      </c>
      <c r="I3315" s="310">
        <v>42209.0</v>
      </c>
      <c r="J3315" s="319">
        <f>IFERROR(__xludf.DUMMYFUNCTION("SPLIT(I3315,""/"")"),24.0)</f>
        <v>24</v>
      </c>
      <c r="K3315" s="308">
        <f>IFERROR(__xludf.DUMMYFUNCTION("""COMPUTED_VALUE"""),7.0)</f>
        <v>7</v>
      </c>
      <c r="L3315" s="308">
        <f>IFERROR(__xludf.DUMMYFUNCTION("""COMPUTED_VALUE"""),2015.0)</f>
        <v>2015</v>
      </c>
      <c r="M3315" s="308" t="s">
        <v>13548</v>
      </c>
      <c r="N3315" s="308"/>
      <c r="O3315" s="308" t="s">
        <v>635</v>
      </c>
      <c r="P3315" s="308" t="s">
        <v>13549</v>
      </c>
      <c r="Q3315" s="308" t="s">
        <v>36917</v>
      </c>
      <c r="R3315" s="308" t="s">
        <v>13542</v>
      </c>
      <c r="S3315" s="308" t="s">
        <v>49</v>
      </c>
      <c r="T3315" s="311" t="s">
        <v>53</v>
      </c>
      <c r="U3315" s="308"/>
      <c r="V3315" s="312"/>
    </row>
    <row r="3316">
      <c r="A3316" s="308">
        <v>3315.0</v>
      </c>
      <c r="B3316" s="308"/>
      <c r="C3316" s="308" t="s">
        <v>13550</v>
      </c>
      <c r="D3316" s="308">
        <f>IFERROR(__xludf.DUMMYFUNCTION("SPLIT(C3316,""-"")"),3336.0)</f>
        <v>3336</v>
      </c>
      <c r="E3316" s="308" t="str">
        <f>IFERROR(__xludf.DUMMYFUNCTION("""COMPUTED_VALUE"""),"I")</f>
        <v>I</v>
      </c>
      <c r="F3316" s="309" t="s">
        <v>31</v>
      </c>
      <c r="G3316" s="308"/>
      <c r="H3316" s="308" t="s">
        <v>13551</v>
      </c>
      <c r="I3316" s="314">
        <v>41940.0</v>
      </c>
      <c r="J3316" s="319">
        <f>IFERROR(__xludf.DUMMYFUNCTION("SPLIT(I3316,""/"")"),28.0)</f>
        <v>28</v>
      </c>
      <c r="K3316" s="308">
        <f>IFERROR(__xludf.DUMMYFUNCTION("""COMPUTED_VALUE"""),10.0)</f>
        <v>10</v>
      </c>
      <c r="L3316" s="308">
        <f>IFERROR(__xludf.DUMMYFUNCTION("""COMPUTED_VALUE"""),2014.0)</f>
        <v>2014</v>
      </c>
      <c r="M3316" s="308" t="s">
        <v>13552</v>
      </c>
      <c r="N3316" s="308"/>
      <c r="O3316" s="308" t="s">
        <v>13553</v>
      </c>
      <c r="P3316" s="308" t="s">
        <v>36928</v>
      </c>
      <c r="Q3316" s="308" t="s">
        <v>36917</v>
      </c>
      <c r="R3316" s="308" t="s">
        <v>2743</v>
      </c>
      <c r="S3316" s="308" t="s">
        <v>49</v>
      </c>
      <c r="T3316" s="308" t="s">
        <v>51</v>
      </c>
      <c r="U3316" s="308" t="s">
        <v>31</v>
      </c>
      <c r="V3316" s="312"/>
    </row>
    <row r="3317">
      <c r="A3317" s="308">
        <v>3316.0</v>
      </c>
      <c r="B3317" s="308"/>
      <c r="C3317" s="308" t="s">
        <v>13555</v>
      </c>
      <c r="D3317" s="308">
        <f>IFERROR(__xludf.DUMMYFUNCTION("SPLIT(C3317,""-"")"),3337.0)</f>
        <v>3337</v>
      </c>
      <c r="E3317" s="308" t="str">
        <f>IFERROR(__xludf.DUMMYFUNCTION("""COMPUTED_VALUE"""),"S")</f>
        <v>S</v>
      </c>
      <c r="F3317" s="312" t="s">
        <v>39</v>
      </c>
      <c r="G3317" s="308"/>
      <c r="H3317" s="308" t="s">
        <v>13556</v>
      </c>
      <c r="I3317" s="310">
        <v>42460.0</v>
      </c>
      <c r="J3317" s="319">
        <f>IFERROR(__xludf.DUMMYFUNCTION("SPLIT(I3317,""/"")"),31.0)</f>
        <v>31</v>
      </c>
      <c r="K3317" s="312">
        <f>IFERROR(__xludf.DUMMYFUNCTION("""COMPUTED_VALUE"""),3.0)</f>
        <v>3</v>
      </c>
      <c r="L3317" s="312">
        <f>IFERROR(__xludf.DUMMYFUNCTION("""COMPUTED_VALUE"""),2016.0)</f>
        <v>2016</v>
      </c>
      <c r="M3317" s="312"/>
      <c r="N3317" s="312"/>
      <c r="O3317" s="308" t="s">
        <v>13557</v>
      </c>
      <c r="P3317" s="308" t="s">
        <v>9979</v>
      </c>
      <c r="Q3317" s="308" t="s">
        <v>36917</v>
      </c>
      <c r="R3317" s="308" t="s">
        <v>13558</v>
      </c>
      <c r="S3317" s="315" t="s">
        <v>100</v>
      </c>
      <c r="T3317" s="311" t="s">
        <v>34208</v>
      </c>
      <c r="U3317" s="308" t="s">
        <v>166</v>
      </c>
      <c r="V3317" s="312"/>
    </row>
    <row r="3318">
      <c r="A3318" s="308">
        <v>3317.0</v>
      </c>
      <c r="B3318" s="308"/>
      <c r="C3318" s="308" t="s">
        <v>13559</v>
      </c>
      <c r="D3318" s="308">
        <f>IFERROR(__xludf.DUMMYFUNCTION("SPLIT(C3318,""-"")"),3338.0)</f>
        <v>3338</v>
      </c>
      <c r="E3318" s="308" t="str">
        <f>IFERROR(__xludf.DUMMYFUNCTION("""COMPUTED_VALUE"""),"S")</f>
        <v>S</v>
      </c>
      <c r="F3318" s="312" t="s">
        <v>39</v>
      </c>
      <c r="G3318" s="308"/>
      <c r="H3318" s="308" t="s">
        <v>13560</v>
      </c>
      <c r="I3318" s="310">
        <v>41824.0</v>
      </c>
      <c r="J3318" s="319">
        <f>IFERROR(__xludf.DUMMYFUNCTION("SPLIT(I3318,""/"")"),4.0)</f>
        <v>4</v>
      </c>
      <c r="K3318" s="308">
        <f>IFERROR(__xludf.DUMMYFUNCTION("""COMPUTED_VALUE"""),7.0)</f>
        <v>7</v>
      </c>
      <c r="L3318" s="308">
        <f>IFERROR(__xludf.DUMMYFUNCTION("""COMPUTED_VALUE"""),2014.0)</f>
        <v>2014</v>
      </c>
      <c r="M3318" s="308" t="s">
        <v>36929</v>
      </c>
      <c r="N3318" s="308"/>
      <c r="O3318" s="308" t="s">
        <v>13562</v>
      </c>
      <c r="P3318" s="308" t="s">
        <v>34527</v>
      </c>
      <c r="Q3318" s="308" t="s">
        <v>36930</v>
      </c>
      <c r="R3318" s="308" t="s">
        <v>2743</v>
      </c>
      <c r="S3318" s="308" t="s">
        <v>49</v>
      </c>
      <c r="T3318" s="311" t="s">
        <v>51</v>
      </c>
      <c r="U3318" s="308" t="s">
        <v>166</v>
      </c>
      <c r="V3318" s="312"/>
    </row>
    <row r="3319">
      <c r="A3319" s="308">
        <v>3318.0</v>
      </c>
      <c r="B3319" s="308"/>
      <c r="C3319" s="308" t="s">
        <v>13563</v>
      </c>
      <c r="D3319" s="308">
        <f>IFERROR(__xludf.DUMMYFUNCTION("SPLIT(C3319,""-"")"),3339.0)</f>
        <v>3339</v>
      </c>
      <c r="E3319" s="308" t="str">
        <f>IFERROR(__xludf.DUMMYFUNCTION("""COMPUTED_VALUE"""),"S")</f>
        <v>S</v>
      </c>
      <c r="F3319" s="312" t="s">
        <v>39</v>
      </c>
      <c r="G3319" s="308"/>
      <c r="H3319" s="308" t="s">
        <v>13564</v>
      </c>
      <c r="I3319" s="316">
        <v>2009.0</v>
      </c>
      <c r="J3319" s="319"/>
      <c r="K3319" s="308"/>
      <c r="L3319" s="311">
        <v>2009.0</v>
      </c>
      <c r="M3319" s="308" t="s">
        <v>13565</v>
      </c>
      <c r="N3319" s="308"/>
      <c r="O3319" s="308" t="s">
        <v>635</v>
      </c>
      <c r="P3319" s="308" t="s">
        <v>9979</v>
      </c>
      <c r="Q3319" s="308" t="s">
        <v>36931</v>
      </c>
      <c r="R3319" s="308" t="s">
        <v>2743</v>
      </c>
      <c r="S3319" s="315" t="s">
        <v>100</v>
      </c>
      <c r="T3319" s="311" t="s">
        <v>34208</v>
      </c>
      <c r="U3319" s="308" t="s">
        <v>166</v>
      </c>
      <c r="V3319" s="312"/>
    </row>
    <row r="3320">
      <c r="A3320" s="308">
        <v>3319.0</v>
      </c>
      <c r="B3320" s="308"/>
      <c r="C3320" s="308" t="s">
        <v>13566</v>
      </c>
      <c r="D3320" s="308">
        <f>IFERROR(__xludf.DUMMYFUNCTION("SPLIT(C3320,""-"")"),3340.0)</f>
        <v>3340</v>
      </c>
      <c r="E3320" s="308" t="str">
        <f>IFERROR(__xludf.DUMMYFUNCTION("""COMPUTED_VALUE"""),"S")</f>
        <v>S</v>
      </c>
      <c r="F3320" s="312" t="s">
        <v>39</v>
      </c>
      <c r="G3320" s="308"/>
      <c r="H3320" s="308" t="s">
        <v>13567</v>
      </c>
      <c r="I3320" s="310">
        <v>42466.0</v>
      </c>
      <c r="J3320" s="319">
        <f>IFERROR(__xludf.DUMMYFUNCTION("SPLIT(I3320,""/"")"),6.0)</f>
        <v>6</v>
      </c>
      <c r="K3320" s="308">
        <f>IFERROR(__xludf.DUMMYFUNCTION("""COMPUTED_VALUE"""),4.0)</f>
        <v>4</v>
      </c>
      <c r="L3320" s="308">
        <f>IFERROR(__xludf.DUMMYFUNCTION("""COMPUTED_VALUE"""),2016.0)</f>
        <v>2016</v>
      </c>
      <c r="M3320" s="308" t="s">
        <v>13568</v>
      </c>
      <c r="N3320" s="308"/>
      <c r="O3320" s="308"/>
      <c r="P3320" s="308" t="s">
        <v>9968</v>
      </c>
      <c r="Q3320" s="308" t="s">
        <v>36931</v>
      </c>
      <c r="R3320" s="308" t="s">
        <v>13424</v>
      </c>
      <c r="S3320" s="308" t="s">
        <v>81</v>
      </c>
      <c r="T3320" s="308" t="s">
        <v>75</v>
      </c>
      <c r="U3320" s="308" t="s">
        <v>166</v>
      </c>
      <c r="V3320" s="312"/>
    </row>
    <row r="3321">
      <c r="A3321" s="308">
        <v>3320.0</v>
      </c>
      <c r="B3321" s="308"/>
      <c r="C3321" s="308" t="s">
        <v>13569</v>
      </c>
      <c r="D3321" s="308">
        <f>IFERROR(__xludf.DUMMYFUNCTION("SPLIT(C3321,""-"")"),3341.0)</f>
        <v>3341</v>
      </c>
      <c r="E3321" s="308" t="str">
        <f>IFERROR(__xludf.DUMMYFUNCTION("""COMPUTED_VALUE"""),"S")</f>
        <v>S</v>
      </c>
      <c r="F3321" s="312" t="s">
        <v>39</v>
      </c>
      <c r="G3321" s="308"/>
      <c r="H3321" s="308" t="s">
        <v>13570</v>
      </c>
      <c r="I3321" s="310">
        <v>42464.0</v>
      </c>
      <c r="J3321" s="319">
        <f>IFERROR(__xludf.DUMMYFUNCTION("SPLIT(I3321,""/"")"),4.0)</f>
        <v>4</v>
      </c>
      <c r="K3321" s="308">
        <f>IFERROR(__xludf.DUMMYFUNCTION("""COMPUTED_VALUE"""),4.0)</f>
        <v>4</v>
      </c>
      <c r="L3321" s="308">
        <f>IFERROR(__xludf.DUMMYFUNCTION("""COMPUTED_VALUE"""),2016.0)</f>
        <v>2016</v>
      </c>
      <c r="M3321" s="308" t="s">
        <v>13571</v>
      </c>
      <c r="N3321" s="308"/>
      <c r="O3321" s="308" t="s">
        <v>635</v>
      </c>
      <c r="P3321" s="308" t="s">
        <v>6973</v>
      </c>
      <c r="Q3321" s="308" t="s">
        <v>36931</v>
      </c>
      <c r="R3321" s="308" t="s">
        <v>13424</v>
      </c>
      <c r="S3321" s="308" t="s">
        <v>49</v>
      </c>
      <c r="T3321" s="308" t="s">
        <v>67</v>
      </c>
      <c r="U3321" s="308" t="s">
        <v>166</v>
      </c>
      <c r="V3321" s="312"/>
    </row>
    <row r="3322">
      <c r="A3322" s="308">
        <v>3321.0</v>
      </c>
      <c r="B3322" s="308"/>
      <c r="C3322" s="308" t="s">
        <v>13572</v>
      </c>
      <c r="D3322" s="308">
        <f>IFERROR(__xludf.DUMMYFUNCTION("SPLIT(C3322,""-"")"),3342.0)</f>
        <v>3342</v>
      </c>
      <c r="E3322" s="308" t="str">
        <f>IFERROR(__xludf.DUMMYFUNCTION("""COMPUTED_VALUE"""),"S")</f>
        <v>S</v>
      </c>
      <c r="F3322" s="312" t="s">
        <v>39</v>
      </c>
      <c r="G3322" s="308"/>
      <c r="H3322" s="308" t="s">
        <v>13573</v>
      </c>
      <c r="I3322" s="310">
        <v>42528.0</v>
      </c>
      <c r="J3322" s="319">
        <f>IFERROR(__xludf.DUMMYFUNCTION("SPLIT(I3322,""/"")"),7.0)</f>
        <v>7</v>
      </c>
      <c r="K3322" s="308">
        <f>IFERROR(__xludf.DUMMYFUNCTION("""COMPUTED_VALUE"""),6.0)</f>
        <v>6</v>
      </c>
      <c r="L3322" s="308">
        <f>IFERROR(__xludf.DUMMYFUNCTION("""COMPUTED_VALUE"""),2016.0)</f>
        <v>2016</v>
      </c>
      <c r="M3322" s="308" t="s">
        <v>13574</v>
      </c>
      <c r="N3322" s="308"/>
      <c r="O3322" s="308" t="s">
        <v>635</v>
      </c>
      <c r="P3322" s="308" t="s">
        <v>6973</v>
      </c>
      <c r="Q3322" s="308" t="s">
        <v>36931</v>
      </c>
      <c r="R3322" s="308" t="s">
        <v>13424</v>
      </c>
      <c r="S3322" s="308" t="s">
        <v>49</v>
      </c>
      <c r="T3322" s="308" t="s">
        <v>67</v>
      </c>
      <c r="U3322" s="308" t="s">
        <v>166</v>
      </c>
      <c r="V3322" s="312"/>
    </row>
    <row r="3323">
      <c r="A3323" s="308">
        <v>3322.0</v>
      </c>
      <c r="B3323" s="308"/>
      <c r="C3323" s="308" t="s">
        <v>13575</v>
      </c>
      <c r="D3323" s="308">
        <f>IFERROR(__xludf.DUMMYFUNCTION("SPLIT(C3323,""-"")"),3343.0)</f>
        <v>3343</v>
      </c>
      <c r="E3323" s="308" t="str">
        <f>IFERROR(__xludf.DUMMYFUNCTION("""COMPUTED_VALUE"""),"S")</f>
        <v>S</v>
      </c>
      <c r="F3323" s="312" t="s">
        <v>39</v>
      </c>
      <c r="G3323" s="308"/>
      <c r="H3323" s="308" t="s">
        <v>13576</v>
      </c>
      <c r="I3323" s="310">
        <v>42528.0</v>
      </c>
      <c r="J3323" s="319">
        <f>IFERROR(__xludf.DUMMYFUNCTION("SPLIT(I3323,""/"")"),7.0)</f>
        <v>7</v>
      </c>
      <c r="K3323" s="308">
        <f>IFERROR(__xludf.DUMMYFUNCTION("""COMPUTED_VALUE"""),6.0)</f>
        <v>6</v>
      </c>
      <c r="L3323" s="308">
        <f>IFERROR(__xludf.DUMMYFUNCTION("""COMPUTED_VALUE"""),2016.0)</f>
        <v>2016</v>
      </c>
      <c r="M3323" s="308" t="s">
        <v>13577</v>
      </c>
      <c r="N3323" s="308"/>
      <c r="O3323" s="308"/>
      <c r="P3323" s="308" t="s">
        <v>11266</v>
      </c>
      <c r="Q3323" s="308" t="s">
        <v>36931</v>
      </c>
      <c r="R3323" s="308" t="s">
        <v>13424</v>
      </c>
      <c r="S3323" s="308" t="s">
        <v>81</v>
      </c>
      <c r="T3323" s="311" t="s">
        <v>94</v>
      </c>
      <c r="U3323" s="308" t="s">
        <v>166</v>
      </c>
      <c r="V3323" s="312"/>
    </row>
    <row r="3324">
      <c r="A3324" s="308">
        <v>3323.0</v>
      </c>
      <c r="B3324" s="308"/>
      <c r="C3324" s="308" t="s">
        <v>13578</v>
      </c>
      <c r="D3324" s="308">
        <f>IFERROR(__xludf.DUMMYFUNCTION("SPLIT(C3324,""-"")"),3344.0)</f>
        <v>3344</v>
      </c>
      <c r="E3324" s="308" t="str">
        <f>IFERROR(__xludf.DUMMYFUNCTION("""COMPUTED_VALUE"""),"S")</f>
        <v>S</v>
      </c>
      <c r="F3324" s="312" t="s">
        <v>39</v>
      </c>
      <c r="G3324" s="308"/>
      <c r="H3324" s="308" t="s">
        <v>13579</v>
      </c>
      <c r="I3324" s="310">
        <v>42470.0</v>
      </c>
      <c r="J3324" s="319">
        <f>IFERROR(__xludf.DUMMYFUNCTION("SPLIT(I3324,""/"")"),10.0)</f>
        <v>10</v>
      </c>
      <c r="K3324" s="308">
        <f>IFERROR(__xludf.DUMMYFUNCTION("""COMPUTED_VALUE"""),4.0)</f>
        <v>4</v>
      </c>
      <c r="L3324" s="308">
        <f>IFERROR(__xludf.DUMMYFUNCTION("""COMPUTED_VALUE"""),2016.0)</f>
        <v>2016</v>
      </c>
      <c r="M3324" s="308" t="s">
        <v>13580</v>
      </c>
      <c r="N3324" s="308"/>
      <c r="O3324" s="308"/>
      <c r="P3324" s="308" t="s">
        <v>11266</v>
      </c>
      <c r="Q3324" s="308" t="s">
        <v>36931</v>
      </c>
      <c r="R3324" s="308" t="s">
        <v>13424</v>
      </c>
      <c r="S3324" s="308" t="s">
        <v>81</v>
      </c>
      <c r="T3324" s="311" t="s">
        <v>94</v>
      </c>
      <c r="U3324" s="308" t="s">
        <v>166</v>
      </c>
      <c r="V3324" s="312"/>
    </row>
    <row r="3325">
      <c r="A3325" s="308">
        <v>3324.0</v>
      </c>
      <c r="B3325" s="308"/>
      <c r="C3325" s="308" t="s">
        <v>13581</v>
      </c>
      <c r="D3325" s="308">
        <f>IFERROR(__xludf.DUMMYFUNCTION("SPLIT(C3325,""-"")"),3345.0)</f>
        <v>3345</v>
      </c>
      <c r="E3325" s="308" t="str">
        <f>IFERROR(__xludf.DUMMYFUNCTION("""COMPUTED_VALUE"""),"S")</f>
        <v>S</v>
      </c>
      <c r="F3325" s="312" t="s">
        <v>39</v>
      </c>
      <c r="G3325" s="308"/>
      <c r="H3325" s="308" t="s">
        <v>13582</v>
      </c>
      <c r="I3325" s="310">
        <v>42470.0</v>
      </c>
      <c r="J3325" s="319">
        <f>IFERROR(__xludf.DUMMYFUNCTION("SPLIT(I3325,""/"")"),10.0)</f>
        <v>10</v>
      </c>
      <c r="K3325" s="308">
        <f>IFERROR(__xludf.DUMMYFUNCTION("""COMPUTED_VALUE"""),4.0)</f>
        <v>4</v>
      </c>
      <c r="L3325" s="308">
        <f>IFERROR(__xludf.DUMMYFUNCTION("""COMPUTED_VALUE"""),2016.0)</f>
        <v>2016</v>
      </c>
      <c r="M3325" s="308" t="s">
        <v>13583</v>
      </c>
      <c r="N3325" s="308"/>
      <c r="O3325" s="308"/>
      <c r="P3325" s="308" t="s">
        <v>9968</v>
      </c>
      <c r="Q3325" s="308" t="s">
        <v>36931</v>
      </c>
      <c r="R3325" s="308" t="s">
        <v>13424</v>
      </c>
      <c r="S3325" s="308" t="s">
        <v>81</v>
      </c>
      <c r="T3325" s="308" t="s">
        <v>75</v>
      </c>
      <c r="U3325" s="308" t="s">
        <v>166</v>
      </c>
      <c r="V3325" s="312"/>
    </row>
    <row r="3326">
      <c r="A3326" s="308">
        <v>3325.0</v>
      </c>
      <c r="B3326" s="308"/>
      <c r="C3326" s="308" t="s">
        <v>13584</v>
      </c>
      <c r="D3326" s="308">
        <f>IFERROR(__xludf.DUMMYFUNCTION("SPLIT(C3326,""-"")"),3346.0)</f>
        <v>3346</v>
      </c>
      <c r="E3326" s="308" t="str">
        <f>IFERROR(__xludf.DUMMYFUNCTION("""COMPUTED_VALUE"""),"S")</f>
        <v>S</v>
      </c>
      <c r="F3326" s="312" t="s">
        <v>39</v>
      </c>
      <c r="G3326" s="308"/>
      <c r="H3326" s="308" t="s">
        <v>13585</v>
      </c>
      <c r="I3326" s="310">
        <v>42472.0</v>
      </c>
      <c r="J3326" s="319">
        <f>IFERROR(__xludf.DUMMYFUNCTION("SPLIT(I3326,""/"")"),12.0)</f>
        <v>12</v>
      </c>
      <c r="K3326" s="308">
        <f>IFERROR(__xludf.DUMMYFUNCTION("""COMPUTED_VALUE"""),4.0)</f>
        <v>4</v>
      </c>
      <c r="L3326" s="308">
        <f>IFERROR(__xludf.DUMMYFUNCTION("""COMPUTED_VALUE"""),2016.0)</f>
        <v>2016</v>
      </c>
      <c r="M3326" s="308" t="s">
        <v>13586</v>
      </c>
      <c r="N3326" s="308"/>
      <c r="O3326" s="308"/>
      <c r="P3326" s="308" t="s">
        <v>12250</v>
      </c>
      <c r="Q3326" s="308" t="s">
        <v>36931</v>
      </c>
      <c r="R3326" s="308" t="s">
        <v>13424</v>
      </c>
      <c r="S3326" s="308" t="s">
        <v>49</v>
      </c>
      <c r="T3326" s="308" t="s">
        <v>67</v>
      </c>
      <c r="U3326" s="308" t="s">
        <v>166</v>
      </c>
      <c r="V3326" s="312"/>
    </row>
    <row r="3327">
      <c r="A3327" s="308">
        <v>3326.0</v>
      </c>
      <c r="B3327" s="308"/>
      <c r="C3327" s="308" t="s">
        <v>13587</v>
      </c>
      <c r="D3327" s="308">
        <f>IFERROR(__xludf.DUMMYFUNCTION("SPLIT(C3327,""-"")"),3347.0)</f>
        <v>3347</v>
      </c>
      <c r="E3327" s="308" t="str">
        <f>IFERROR(__xludf.DUMMYFUNCTION("""COMPUTED_VALUE"""),"S")</f>
        <v>S</v>
      </c>
      <c r="F3327" s="312" t="s">
        <v>39</v>
      </c>
      <c r="G3327" s="308"/>
      <c r="H3327" s="308" t="s">
        <v>13588</v>
      </c>
      <c r="I3327" s="310">
        <v>42472.0</v>
      </c>
      <c r="J3327" s="319">
        <f>IFERROR(__xludf.DUMMYFUNCTION("SPLIT(I3327,""/"")"),12.0)</f>
        <v>12</v>
      </c>
      <c r="K3327" s="308">
        <f>IFERROR(__xludf.DUMMYFUNCTION("""COMPUTED_VALUE"""),4.0)</f>
        <v>4</v>
      </c>
      <c r="L3327" s="308">
        <f>IFERROR(__xludf.DUMMYFUNCTION("""COMPUTED_VALUE"""),2016.0)</f>
        <v>2016</v>
      </c>
      <c r="M3327" s="308" t="s">
        <v>13589</v>
      </c>
      <c r="N3327" s="308"/>
      <c r="O3327" s="308"/>
      <c r="P3327" s="308" t="s">
        <v>12369</v>
      </c>
      <c r="Q3327" s="308" t="s">
        <v>36932</v>
      </c>
      <c r="R3327" s="308" t="s">
        <v>13424</v>
      </c>
      <c r="S3327" s="308" t="s">
        <v>81</v>
      </c>
      <c r="T3327" s="308" t="s">
        <v>73</v>
      </c>
      <c r="U3327" s="308" t="s">
        <v>166</v>
      </c>
      <c r="V3327" s="312"/>
    </row>
    <row r="3328">
      <c r="A3328" s="308">
        <v>3327.0</v>
      </c>
      <c r="B3328" s="308"/>
      <c r="C3328" s="308" t="s">
        <v>13590</v>
      </c>
      <c r="D3328" s="308">
        <f>IFERROR(__xludf.DUMMYFUNCTION("SPLIT(C3328,""-"")"),3348.0)</f>
        <v>3348</v>
      </c>
      <c r="E3328" s="308" t="str">
        <f>IFERROR(__xludf.DUMMYFUNCTION("""COMPUTED_VALUE"""),"P")</f>
        <v>P</v>
      </c>
      <c r="F3328" s="312" t="s">
        <v>37</v>
      </c>
      <c r="G3328" s="308"/>
      <c r="H3328" s="308" t="s">
        <v>13591</v>
      </c>
      <c r="I3328" s="310">
        <v>42423.0</v>
      </c>
      <c r="J3328" s="319">
        <f>IFERROR(__xludf.DUMMYFUNCTION("SPLIT(I3328,""/"")"),23.0)</f>
        <v>23</v>
      </c>
      <c r="K3328" s="308">
        <f>IFERROR(__xludf.DUMMYFUNCTION("""COMPUTED_VALUE"""),2.0)</f>
        <v>2</v>
      </c>
      <c r="L3328" s="308">
        <f>IFERROR(__xludf.DUMMYFUNCTION("""COMPUTED_VALUE"""),2016.0)</f>
        <v>2016</v>
      </c>
      <c r="M3328" s="308" t="s">
        <v>13592</v>
      </c>
      <c r="N3328" s="308"/>
      <c r="O3328" s="308" t="s">
        <v>635</v>
      </c>
      <c r="P3328" s="308" t="s">
        <v>13593</v>
      </c>
      <c r="Q3328" s="308" t="s">
        <v>36933</v>
      </c>
      <c r="R3328" s="308" t="s">
        <v>13594</v>
      </c>
      <c r="S3328" s="308" t="s">
        <v>81</v>
      </c>
      <c r="T3328" s="308" t="s">
        <v>75</v>
      </c>
      <c r="U3328" s="308" t="s">
        <v>2748</v>
      </c>
      <c r="V3328" s="312"/>
    </row>
    <row r="3329">
      <c r="A3329" s="308">
        <v>3328.0</v>
      </c>
      <c r="B3329" s="308"/>
      <c r="C3329" s="308" t="s">
        <v>13595</v>
      </c>
      <c r="D3329" s="308">
        <f>IFERROR(__xludf.DUMMYFUNCTION("SPLIT(C3329,""-"")"),3349.0)</f>
        <v>3349</v>
      </c>
      <c r="E3329" s="308" t="str">
        <f>IFERROR(__xludf.DUMMYFUNCTION("""COMPUTED_VALUE"""),"P")</f>
        <v>P</v>
      </c>
      <c r="F3329" s="312" t="s">
        <v>37</v>
      </c>
      <c r="G3329" s="308"/>
      <c r="H3329" s="308" t="s">
        <v>13596</v>
      </c>
      <c r="I3329" s="310">
        <v>42423.0</v>
      </c>
      <c r="J3329" s="319">
        <f>IFERROR(__xludf.DUMMYFUNCTION("SPLIT(I3329,""/"")"),23.0)</f>
        <v>23</v>
      </c>
      <c r="K3329" s="308">
        <f>IFERROR(__xludf.DUMMYFUNCTION("""COMPUTED_VALUE"""),2.0)</f>
        <v>2</v>
      </c>
      <c r="L3329" s="308">
        <f>IFERROR(__xludf.DUMMYFUNCTION("""COMPUTED_VALUE"""),2016.0)</f>
        <v>2016</v>
      </c>
      <c r="M3329" s="308" t="s">
        <v>13592</v>
      </c>
      <c r="N3329" s="308"/>
      <c r="O3329" s="308" t="s">
        <v>635</v>
      </c>
      <c r="P3329" s="308" t="s">
        <v>13593</v>
      </c>
      <c r="Q3329" s="308" t="s">
        <v>36933</v>
      </c>
      <c r="R3329" s="308" t="s">
        <v>13594</v>
      </c>
      <c r="S3329" s="308" t="s">
        <v>81</v>
      </c>
      <c r="T3329" s="308" t="s">
        <v>75</v>
      </c>
      <c r="U3329" s="308" t="s">
        <v>2748</v>
      </c>
      <c r="V3329" s="312"/>
    </row>
    <row r="3330">
      <c r="A3330" s="308">
        <v>3329.0</v>
      </c>
      <c r="B3330" s="308"/>
      <c r="C3330" s="308" t="s">
        <v>13597</v>
      </c>
      <c r="D3330" s="308">
        <f>IFERROR(__xludf.DUMMYFUNCTION("SPLIT(C3330,""-"")"),3350.0)</f>
        <v>3350</v>
      </c>
      <c r="E3330" s="308" t="str">
        <f>IFERROR(__xludf.DUMMYFUNCTION("""COMPUTED_VALUE"""),"P")</f>
        <v>P</v>
      </c>
      <c r="F3330" s="312" t="s">
        <v>37</v>
      </c>
      <c r="G3330" s="308"/>
      <c r="H3330" s="308" t="s">
        <v>13598</v>
      </c>
      <c r="I3330" s="310">
        <v>42423.0</v>
      </c>
      <c r="J3330" s="319">
        <f>IFERROR(__xludf.DUMMYFUNCTION("SPLIT(I3330,""/"")"),23.0)</f>
        <v>23</v>
      </c>
      <c r="K3330" s="308">
        <f>IFERROR(__xludf.DUMMYFUNCTION("""COMPUTED_VALUE"""),2.0)</f>
        <v>2</v>
      </c>
      <c r="L3330" s="308">
        <f>IFERROR(__xludf.DUMMYFUNCTION("""COMPUTED_VALUE"""),2016.0)</f>
        <v>2016</v>
      </c>
      <c r="M3330" s="308" t="s">
        <v>13592</v>
      </c>
      <c r="N3330" s="308"/>
      <c r="O3330" s="308" t="s">
        <v>635</v>
      </c>
      <c r="P3330" s="308" t="s">
        <v>13593</v>
      </c>
      <c r="Q3330" s="308" t="s">
        <v>36933</v>
      </c>
      <c r="R3330" s="308" t="s">
        <v>13594</v>
      </c>
      <c r="S3330" s="308" t="s">
        <v>81</v>
      </c>
      <c r="T3330" s="308" t="s">
        <v>75</v>
      </c>
      <c r="U3330" s="308" t="s">
        <v>2748</v>
      </c>
      <c r="V3330" s="312"/>
    </row>
    <row r="3331">
      <c r="A3331" s="308">
        <v>3330.0</v>
      </c>
      <c r="B3331" s="308"/>
      <c r="C3331" s="308" t="s">
        <v>13599</v>
      </c>
      <c r="D3331" s="308">
        <f>IFERROR(__xludf.DUMMYFUNCTION("SPLIT(C3331,""-"")"),3351.0)</f>
        <v>3351</v>
      </c>
      <c r="E3331" s="308" t="str">
        <f>IFERROR(__xludf.DUMMYFUNCTION("""COMPUTED_VALUE"""),"P")</f>
        <v>P</v>
      </c>
      <c r="F3331" s="312" t="s">
        <v>37</v>
      </c>
      <c r="G3331" s="308"/>
      <c r="H3331" s="308" t="s">
        <v>13600</v>
      </c>
      <c r="I3331" s="310">
        <v>42423.0</v>
      </c>
      <c r="J3331" s="319">
        <f>IFERROR(__xludf.DUMMYFUNCTION("SPLIT(I3331,""/"")"),23.0)</f>
        <v>23</v>
      </c>
      <c r="K3331" s="308">
        <f>IFERROR(__xludf.DUMMYFUNCTION("""COMPUTED_VALUE"""),2.0)</f>
        <v>2</v>
      </c>
      <c r="L3331" s="308">
        <f>IFERROR(__xludf.DUMMYFUNCTION("""COMPUTED_VALUE"""),2016.0)</f>
        <v>2016</v>
      </c>
      <c r="M3331" s="308" t="s">
        <v>13592</v>
      </c>
      <c r="N3331" s="308"/>
      <c r="O3331" s="308" t="s">
        <v>635</v>
      </c>
      <c r="P3331" s="308" t="s">
        <v>13593</v>
      </c>
      <c r="Q3331" s="308" t="s">
        <v>36933</v>
      </c>
      <c r="R3331" s="308" t="s">
        <v>13594</v>
      </c>
      <c r="S3331" s="308" t="s">
        <v>81</v>
      </c>
      <c r="T3331" s="308" t="s">
        <v>75</v>
      </c>
      <c r="U3331" s="308" t="s">
        <v>2748</v>
      </c>
      <c r="V3331" s="312"/>
    </row>
    <row r="3332">
      <c r="A3332" s="308">
        <v>3331.0</v>
      </c>
      <c r="B3332" s="308"/>
      <c r="C3332" s="308" t="s">
        <v>13601</v>
      </c>
      <c r="D3332" s="308">
        <f>IFERROR(__xludf.DUMMYFUNCTION("SPLIT(C3332,""-"")"),3352.0)</f>
        <v>3352</v>
      </c>
      <c r="E3332" s="308" t="str">
        <f>IFERROR(__xludf.DUMMYFUNCTION("""COMPUTED_VALUE"""),"P")</f>
        <v>P</v>
      </c>
      <c r="F3332" s="312" t="s">
        <v>37</v>
      </c>
      <c r="G3332" s="308"/>
      <c r="H3332" s="308" t="s">
        <v>13602</v>
      </c>
      <c r="I3332" s="310">
        <v>42423.0</v>
      </c>
      <c r="J3332" s="319">
        <f>IFERROR(__xludf.DUMMYFUNCTION("SPLIT(I3332,""/"")"),23.0)</f>
        <v>23</v>
      </c>
      <c r="K3332" s="308">
        <f>IFERROR(__xludf.DUMMYFUNCTION("""COMPUTED_VALUE"""),2.0)</f>
        <v>2</v>
      </c>
      <c r="L3332" s="308">
        <f>IFERROR(__xludf.DUMMYFUNCTION("""COMPUTED_VALUE"""),2016.0)</f>
        <v>2016</v>
      </c>
      <c r="M3332" s="308" t="s">
        <v>13592</v>
      </c>
      <c r="N3332" s="308"/>
      <c r="O3332" s="308" t="s">
        <v>635</v>
      </c>
      <c r="P3332" s="308" t="s">
        <v>13593</v>
      </c>
      <c r="Q3332" s="308" t="s">
        <v>36933</v>
      </c>
      <c r="R3332" s="308" t="s">
        <v>13594</v>
      </c>
      <c r="S3332" s="308" t="s">
        <v>81</v>
      </c>
      <c r="T3332" s="308" t="s">
        <v>75</v>
      </c>
      <c r="U3332" s="308" t="s">
        <v>2748</v>
      </c>
      <c r="V3332" s="312"/>
    </row>
    <row r="3333">
      <c r="A3333" s="308">
        <v>3332.0</v>
      </c>
      <c r="B3333" s="308"/>
      <c r="C3333" s="308" t="s">
        <v>13603</v>
      </c>
      <c r="D3333" s="308">
        <f>IFERROR(__xludf.DUMMYFUNCTION("SPLIT(C3333,""-"")"),3353.0)</f>
        <v>3353</v>
      </c>
      <c r="E3333" s="308" t="str">
        <f>IFERROR(__xludf.DUMMYFUNCTION("""COMPUTED_VALUE"""),"F")</f>
        <v>F</v>
      </c>
      <c r="F3333" s="309" t="s">
        <v>34</v>
      </c>
      <c r="G3333" s="308"/>
      <c r="H3333" s="308" t="s">
        <v>13604</v>
      </c>
      <c r="I3333" s="310">
        <v>41901.0</v>
      </c>
      <c r="J3333" s="319">
        <f>IFERROR(__xludf.DUMMYFUNCTION("SPLIT(I3333,""/"")"),19.0)</f>
        <v>19</v>
      </c>
      <c r="K3333" s="308">
        <f>IFERROR(__xludf.DUMMYFUNCTION("""COMPUTED_VALUE"""),9.0)</f>
        <v>9</v>
      </c>
      <c r="L3333" s="308">
        <f>IFERROR(__xludf.DUMMYFUNCTION("""COMPUTED_VALUE"""),2014.0)</f>
        <v>2014</v>
      </c>
      <c r="M3333" s="308" t="s">
        <v>13605</v>
      </c>
      <c r="N3333" s="308" t="s">
        <v>13606</v>
      </c>
      <c r="O3333" s="308" t="s">
        <v>635</v>
      </c>
      <c r="P3333" s="308" t="s">
        <v>36846</v>
      </c>
      <c r="Q3333" s="308" t="s">
        <v>36933</v>
      </c>
      <c r="R3333" s="308" t="s">
        <v>13594</v>
      </c>
      <c r="S3333" s="315" t="s">
        <v>100</v>
      </c>
      <c r="T3333" s="311" t="s">
        <v>34208</v>
      </c>
      <c r="U3333" s="308" t="s">
        <v>13085</v>
      </c>
      <c r="V3333" s="312"/>
    </row>
    <row r="3334">
      <c r="A3334" s="308">
        <v>3333.0</v>
      </c>
      <c r="B3334" s="308"/>
      <c r="C3334" s="308" t="s">
        <v>13607</v>
      </c>
      <c r="D3334" s="308">
        <f>IFERROR(__xludf.DUMMYFUNCTION("SPLIT(C3334,""-"")"),3354.0)</f>
        <v>3354</v>
      </c>
      <c r="E3334" s="308" t="str">
        <f>IFERROR(__xludf.DUMMYFUNCTION("""COMPUTED_VALUE"""),"A")</f>
        <v>A</v>
      </c>
      <c r="F3334" s="309" t="s">
        <v>23</v>
      </c>
      <c r="G3334" s="308"/>
      <c r="H3334" s="308" t="s">
        <v>13608</v>
      </c>
      <c r="I3334" s="310">
        <v>42493.0</v>
      </c>
      <c r="J3334" s="319">
        <f>IFERROR(__xludf.DUMMYFUNCTION("SPLIT(I3334,""/"")"),3.0)</f>
        <v>3</v>
      </c>
      <c r="K3334" s="308">
        <f>IFERROR(__xludf.DUMMYFUNCTION("""COMPUTED_VALUE"""),5.0)</f>
        <v>5</v>
      </c>
      <c r="L3334" s="308">
        <f>IFERROR(__xludf.DUMMYFUNCTION("""COMPUTED_VALUE"""),2016.0)</f>
        <v>2016</v>
      </c>
      <c r="M3334" s="308" t="s">
        <v>13609</v>
      </c>
      <c r="N3334" s="308"/>
      <c r="O3334" s="308" t="s">
        <v>635</v>
      </c>
      <c r="P3334" s="308" t="s">
        <v>13610</v>
      </c>
      <c r="Q3334" s="308" t="s">
        <v>36933</v>
      </c>
      <c r="R3334" s="308" t="s">
        <v>13594</v>
      </c>
      <c r="S3334" s="308" t="s">
        <v>81</v>
      </c>
      <c r="T3334" s="311" t="s">
        <v>73</v>
      </c>
      <c r="U3334" s="308" t="s">
        <v>36934</v>
      </c>
      <c r="V3334" s="312"/>
    </row>
    <row r="3335">
      <c r="A3335" s="308">
        <v>3334.0</v>
      </c>
      <c r="B3335" s="308"/>
      <c r="C3335" s="308" t="s">
        <v>13612</v>
      </c>
      <c r="D3335" s="308">
        <f>IFERROR(__xludf.DUMMYFUNCTION("SPLIT(C3335,""-"")"),3355.0)</f>
        <v>3355</v>
      </c>
      <c r="E3335" s="308" t="str">
        <f>IFERROR(__xludf.DUMMYFUNCTION("""COMPUTED_VALUE"""),"P")</f>
        <v>P</v>
      </c>
      <c r="F3335" s="312" t="s">
        <v>37</v>
      </c>
      <c r="G3335" s="308"/>
      <c r="H3335" s="308" t="s">
        <v>13613</v>
      </c>
      <c r="I3335" s="310">
        <v>42423.0</v>
      </c>
      <c r="J3335" s="319">
        <f>IFERROR(__xludf.DUMMYFUNCTION("SPLIT(I3335,""/"")"),23.0)</f>
        <v>23</v>
      </c>
      <c r="K3335" s="308">
        <f>IFERROR(__xludf.DUMMYFUNCTION("""COMPUTED_VALUE"""),2.0)</f>
        <v>2</v>
      </c>
      <c r="L3335" s="308">
        <f>IFERROR(__xludf.DUMMYFUNCTION("""COMPUTED_VALUE"""),2016.0)</f>
        <v>2016</v>
      </c>
      <c r="M3335" s="308" t="s">
        <v>13614</v>
      </c>
      <c r="N3335" s="308"/>
      <c r="O3335" s="308" t="s">
        <v>13615</v>
      </c>
      <c r="P3335" s="308" t="s">
        <v>36935</v>
      </c>
      <c r="Q3335" s="308" t="s">
        <v>36933</v>
      </c>
      <c r="R3335" s="308" t="s">
        <v>13594</v>
      </c>
      <c r="S3335" s="315" t="s">
        <v>100</v>
      </c>
      <c r="T3335" s="311" t="s">
        <v>34208</v>
      </c>
      <c r="U3335" s="308" t="s">
        <v>2291</v>
      </c>
      <c r="V3335" s="312"/>
    </row>
    <row r="3336">
      <c r="A3336" s="308">
        <v>3335.0</v>
      </c>
      <c r="B3336" s="308"/>
      <c r="C3336" s="308" t="s">
        <v>13617</v>
      </c>
      <c r="D3336" s="308">
        <f>IFERROR(__xludf.DUMMYFUNCTION("SPLIT(C3336,""-"")"),3356.0)</f>
        <v>3356</v>
      </c>
      <c r="E3336" s="308" t="str">
        <f>IFERROR(__xludf.DUMMYFUNCTION("""COMPUTED_VALUE"""),"K")</f>
        <v>K</v>
      </c>
      <c r="F3336" s="309" t="s">
        <v>34</v>
      </c>
      <c r="G3336" s="308"/>
      <c r="H3336" s="308" t="s">
        <v>13618</v>
      </c>
      <c r="I3336" s="310">
        <v>42405.0</v>
      </c>
      <c r="J3336" s="319">
        <f>IFERROR(__xludf.DUMMYFUNCTION("SPLIT(I3336,""/"")"),5.0)</f>
        <v>5</v>
      </c>
      <c r="K3336" s="308">
        <f>IFERROR(__xludf.DUMMYFUNCTION("""COMPUTED_VALUE"""),2.0)</f>
        <v>2</v>
      </c>
      <c r="L3336" s="308">
        <f>IFERROR(__xludf.DUMMYFUNCTION("""COMPUTED_VALUE"""),2016.0)</f>
        <v>2016</v>
      </c>
      <c r="M3336" s="308" t="s">
        <v>13619</v>
      </c>
      <c r="N3336" s="308" t="s">
        <v>13620</v>
      </c>
      <c r="O3336" s="308" t="s">
        <v>13621</v>
      </c>
      <c r="P3336" s="308" t="s">
        <v>36761</v>
      </c>
      <c r="Q3336" s="308" t="s">
        <v>36933</v>
      </c>
      <c r="R3336" s="308" t="s">
        <v>13594</v>
      </c>
      <c r="S3336" s="315" t="s">
        <v>100</v>
      </c>
      <c r="T3336" s="311" t="s">
        <v>34208</v>
      </c>
      <c r="U3336" s="308" t="s">
        <v>2152</v>
      </c>
      <c r="V3336" s="312"/>
    </row>
    <row r="3337">
      <c r="A3337" s="308">
        <v>3336.0</v>
      </c>
      <c r="B3337" s="308"/>
      <c r="C3337" s="308" t="s">
        <v>13622</v>
      </c>
      <c r="D3337" s="308">
        <f>IFERROR(__xludf.DUMMYFUNCTION("SPLIT(C3337,""-"")"),3357.0)</f>
        <v>3357</v>
      </c>
      <c r="E3337" s="308" t="str">
        <f>IFERROR(__xludf.DUMMYFUNCTION("""COMPUTED_VALUE"""),"K")</f>
        <v>K</v>
      </c>
      <c r="F3337" s="309" t="s">
        <v>34</v>
      </c>
      <c r="G3337" s="308"/>
      <c r="H3337" s="308" t="s">
        <v>13623</v>
      </c>
      <c r="I3337" s="310">
        <v>41684.0</v>
      </c>
      <c r="J3337" s="319">
        <f>IFERROR(__xludf.DUMMYFUNCTION("SPLIT(I3337,""/"")"),14.0)</f>
        <v>14</v>
      </c>
      <c r="K3337" s="308">
        <f>IFERROR(__xludf.DUMMYFUNCTION("""COMPUTED_VALUE"""),2.0)</f>
        <v>2</v>
      </c>
      <c r="L3337" s="308">
        <f>IFERROR(__xludf.DUMMYFUNCTION("""COMPUTED_VALUE"""),2014.0)</f>
        <v>2014</v>
      </c>
      <c r="M3337" s="308" t="s">
        <v>13624</v>
      </c>
      <c r="N3337" s="308" t="s">
        <v>13625</v>
      </c>
      <c r="O3337" s="308" t="s">
        <v>13626</v>
      </c>
      <c r="P3337" s="308" t="s">
        <v>13627</v>
      </c>
      <c r="Q3337" s="308" t="s">
        <v>36933</v>
      </c>
      <c r="R3337" s="308" t="s">
        <v>2743</v>
      </c>
      <c r="S3337" s="308" t="s">
        <v>49</v>
      </c>
      <c r="T3337" s="308" t="s">
        <v>53</v>
      </c>
      <c r="U3337" s="308" t="s">
        <v>4749</v>
      </c>
      <c r="V3337" s="312"/>
    </row>
    <row r="3338">
      <c r="A3338" s="308">
        <v>3337.0</v>
      </c>
      <c r="B3338" s="308"/>
      <c r="C3338" s="308" t="s">
        <v>13628</v>
      </c>
      <c r="D3338" s="308">
        <f>IFERROR(__xludf.DUMMYFUNCTION("SPLIT(C3338,""-"")"),3358.0)</f>
        <v>3358</v>
      </c>
      <c r="E3338" s="308" t="str">
        <f>IFERROR(__xludf.DUMMYFUNCTION("""COMPUTED_VALUE"""),"P")</f>
        <v>P</v>
      </c>
      <c r="F3338" s="312" t="s">
        <v>37</v>
      </c>
      <c r="G3338" s="308"/>
      <c r="H3338" s="308" t="s">
        <v>13629</v>
      </c>
      <c r="I3338" s="310">
        <v>42512.0</v>
      </c>
      <c r="J3338" s="319">
        <f>IFERROR(__xludf.DUMMYFUNCTION("SPLIT(I3338,""/"")"),22.0)</f>
        <v>22</v>
      </c>
      <c r="K3338" s="308">
        <f>IFERROR(__xludf.DUMMYFUNCTION("""COMPUTED_VALUE"""),5.0)</f>
        <v>5</v>
      </c>
      <c r="L3338" s="308">
        <f>IFERROR(__xludf.DUMMYFUNCTION("""COMPUTED_VALUE"""),2016.0)</f>
        <v>2016</v>
      </c>
      <c r="M3338" s="308" t="s">
        <v>13630</v>
      </c>
      <c r="N3338" s="308"/>
      <c r="O3338" s="308"/>
      <c r="P3338" s="308" t="s">
        <v>13631</v>
      </c>
      <c r="Q3338" s="308" t="s">
        <v>36936</v>
      </c>
      <c r="R3338" s="308" t="s">
        <v>2743</v>
      </c>
      <c r="S3338" s="308" t="s">
        <v>81</v>
      </c>
      <c r="T3338" s="311" t="s">
        <v>51</v>
      </c>
      <c r="U3338" s="308" t="s">
        <v>143</v>
      </c>
      <c r="V3338" s="312"/>
    </row>
    <row r="3339">
      <c r="A3339" s="308">
        <v>3338.0</v>
      </c>
      <c r="B3339" s="308"/>
      <c r="C3339" s="308" t="s">
        <v>13632</v>
      </c>
      <c r="D3339" s="308">
        <f>IFERROR(__xludf.DUMMYFUNCTION("SPLIT(C3339,""-"")"),3359.0)</f>
        <v>3359</v>
      </c>
      <c r="E3339" s="308" t="str">
        <f>IFERROR(__xludf.DUMMYFUNCTION("""COMPUTED_VALUE"""),"S")</f>
        <v>S</v>
      </c>
      <c r="F3339" s="312" t="s">
        <v>39</v>
      </c>
      <c r="G3339" s="308"/>
      <c r="H3339" s="308" t="s">
        <v>13633</v>
      </c>
      <c r="I3339" s="310">
        <v>42503.0</v>
      </c>
      <c r="J3339" s="319">
        <f>IFERROR(__xludf.DUMMYFUNCTION("SPLIT(I3339,""/"")"),13.0)</f>
        <v>13</v>
      </c>
      <c r="K3339" s="308">
        <f>IFERROR(__xludf.DUMMYFUNCTION("""COMPUTED_VALUE"""),5.0)</f>
        <v>5</v>
      </c>
      <c r="L3339" s="308">
        <f>IFERROR(__xludf.DUMMYFUNCTION("""COMPUTED_VALUE"""),2016.0)</f>
        <v>2016</v>
      </c>
      <c r="M3339" s="308" t="s">
        <v>13634</v>
      </c>
      <c r="N3339" s="308"/>
      <c r="O3339" s="308" t="s">
        <v>13635</v>
      </c>
      <c r="P3339" s="308" t="s">
        <v>36937</v>
      </c>
      <c r="Q3339" s="308" t="s">
        <v>36938</v>
      </c>
      <c r="R3339" s="312"/>
      <c r="S3339" s="308" t="s">
        <v>81</v>
      </c>
      <c r="T3339" s="308" t="s">
        <v>75</v>
      </c>
      <c r="U3339" s="308" t="s">
        <v>12434</v>
      </c>
      <c r="V3339" s="312"/>
    </row>
    <row r="3340">
      <c r="A3340" s="308">
        <v>3339.0</v>
      </c>
      <c r="B3340" s="308"/>
      <c r="C3340" s="308" t="s">
        <v>13637</v>
      </c>
      <c r="D3340" s="308">
        <f>IFERROR(__xludf.DUMMYFUNCTION("SPLIT(C3340,""-"")"),3360.0)</f>
        <v>3360</v>
      </c>
      <c r="E3340" s="308" t="str">
        <f>IFERROR(__xludf.DUMMYFUNCTION("""COMPUTED_VALUE"""),"P")</f>
        <v>P</v>
      </c>
      <c r="F3340" s="312" t="s">
        <v>37</v>
      </c>
      <c r="G3340" s="308"/>
      <c r="H3340" s="308" t="s">
        <v>13638</v>
      </c>
      <c r="I3340" s="310">
        <v>42443.0</v>
      </c>
      <c r="J3340" s="319">
        <f>IFERROR(__xludf.DUMMYFUNCTION("SPLIT(I3340,""/"")"),14.0)</f>
        <v>14</v>
      </c>
      <c r="K3340" s="308">
        <f>IFERROR(__xludf.DUMMYFUNCTION("""COMPUTED_VALUE"""),3.0)</f>
        <v>3</v>
      </c>
      <c r="L3340" s="308">
        <f>IFERROR(__xludf.DUMMYFUNCTION("""COMPUTED_VALUE"""),2016.0)</f>
        <v>2016</v>
      </c>
      <c r="M3340" s="308" t="s">
        <v>13639</v>
      </c>
      <c r="N3340" s="308"/>
      <c r="O3340" s="308"/>
      <c r="P3340" s="308" t="s">
        <v>13640</v>
      </c>
      <c r="Q3340" s="308" t="s">
        <v>36938</v>
      </c>
      <c r="R3340" s="308" t="s">
        <v>2743</v>
      </c>
      <c r="S3340" s="308" t="s">
        <v>81</v>
      </c>
      <c r="T3340" s="311" t="s">
        <v>51</v>
      </c>
      <c r="U3340" s="308" t="s">
        <v>143</v>
      </c>
      <c r="V3340" s="312"/>
    </row>
    <row r="3341">
      <c r="A3341" s="308">
        <v>3340.0</v>
      </c>
      <c r="B3341" s="308"/>
      <c r="C3341" s="308" t="s">
        <v>13641</v>
      </c>
      <c r="D3341" s="308">
        <f>IFERROR(__xludf.DUMMYFUNCTION("SPLIT(C3341,""-"")"),3361.0)</f>
        <v>3361</v>
      </c>
      <c r="E3341" s="308" t="str">
        <f>IFERROR(__xludf.DUMMYFUNCTION("""COMPUTED_VALUE"""),"K")</f>
        <v>K</v>
      </c>
      <c r="F3341" s="309" t="s">
        <v>34</v>
      </c>
      <c r="G3341" s="308"/>
      <c r="H3341" s="308" t="s">
        <v>13642</v>
      </c>
      <c r="I3341" s="310">
        <v>42467.0</v>
      </c>
      <c r="J3341" s="319">
        <f>IFERROR(__xludf.DUMMYFUNCTION("SPLIT(I3341,""/"")"),7.0)</f>
        <v>7</v>
      </c>
      <c r="K3341" s="308">
        <f>IFERROR(__xludf.DUMMYFUNCTION("""COMPUTED_VALUE"""),4.0)</f>
        <v>4</v>
      </c>
      <c r="L3341" s="308">
        <f>IFERROR(__xludf.DUMMYFUNCTION("""COMPUTED_VALUE"""),2016.0)</f>
        <v>2016</v>
      </c>
      <c r="M3341" s="308" t="s">
        <v>13643</v>
      </c>
      <c r="N3341" s="308"/>
      <c r="O3341" s="308" t="s">
        <v>13644</v>
      </c>
      <c r="P3341" s="308" t="s">
        <v>13645</v>
      </c>
      <c r="Q3341" s="308" t="s">
        <v>36938</v>
      </c>
      <c r="R3341" s="308" t="s">
        <v>2743</v>
      </c>
      <c r="S3341" s="308" t="s">
        <v>81</v>
      </c>
      <c r="T3341" s="308" t="s">
        <v>75</v>
      </c>
      <c r="U3341" s="308"/>
      <c r="V3341" s="312"/>
    </row>
    <row r="3342">
      <c r="A3342" s="308">
        <v>3341.0</v>
      </c>
      <c r="B3342" s="308"/>
      <c r="C3342" s="308" t="s">
        <v>13646</v>
      </c>
      <c r="D3342" s="308">
        <f>IFERROR(__xludf.DUMMYFUNCTION("SPLIT(C3342,""-"")"),3362.0)</f>
        <v>3362</v>
      </c>
      <c r="E3342" s="308" t="str">
        <f>IFERROR(__xludf.DUMMYFUNCTION("""COMPUTED_VALUE"""),"P")</f>
        <v>P</v>
      </c>
      <c r="F3342" s="312" t="s">
        <v>37</v>
      </c>
      <c r="G3342" s="308"/>
      <c r="H3342" s="308" t="s">
        <v>13647</v>
      </c>
      <c r="I3342" s="310">
        <v>41895.0</v>
      </c>
      <c r="J3342" s="319">
        <f>IFERROR(__xludf.DUMMYFUNCTION("SPLIT(I3342,""/"")"),13.0)</f>
        <v>13</v>
      </c>
      <c r="K3342" s="308">
        <f>IFERROR(__xludf.DUMMYFUNCTION("""COMPUTED_VALUE"""),9.0)</f>
        <v>9</v>
      </c>
      <c r="L3342" s="308">
        <f>IFERROR(__xludf.DUMMYFUNCTION("""COMPUTED_VALUE"""),2014.0)</f>
        <v>2014</v>
      </c>
      <c r="M3342" s="308" t="s">
        <v>13648</v>
      </c>
      <c r="N3342" s="308"/>
      <c r="O3342" s="308" t="s">
        <v>13649</v>
      </c>
      <c r="P3342" s="308" t="s">
        <v>36939</v>
      </c>
      <c r="Q3342" s="308" t="s">
        <v>36938</v>
      </c>
      <c r="R3342" s="308" t="s">
        <v>2743</v>
      </c>
      <c r="S3342" s="308" t="s">
        <v>81</v>
      </c>
      <c r="T3342" s="311" t="s">
        <v>63</v>
      </c>
      <c r="U3342" s="308" t="s">
        <v>149</v>
      </c>
      <c r="V3342" s="312"/>
    </row>
    <row r="3343">
      <c r="A3343" s="308">
        <v>3342.0</v>
      </c>
      <c r="B3343" s="308"/>
      <c r="C3343" s="308" t="s">
        <v>13651</v>
      </c>
      <c r="D3343" s="308">
        <f>IFERROR(__xludf.DUMMYFUNCTION("SPLIT(C3343,""-"")"),3363.0)</f>
        <v>3363</v>
      </c>
      <c r="E3343" s="308" t="str">
        <f>IFERROR(__xludf.DUMMYFUNCTION("""COMPUTED_VALUE"""),"K")</f>
        <v>K</v>
      </c>
      <c r="F3343" s="309" t="s">
        <v>34</v>
      </c>
      <c r="G3343" s="308"/>
      <c r="H3343" s="308" t="s">
        <v>13652</v>
      </c>
      <c r="I3343" s="310">
        <v>42393.0</v>
      </c>
      <c r="J3343" s="319">
        <f>IFERROR(__xludf.DUMMYFUNCTION("SPLIT(I3343,""/"")"),24.0)</f>
        <v>24</v>
      </c>
      <c r="K3343" s="308">
        <f>IFERROR(__xludf.DUMMYFUNCTION("""COMPUTED_VALUE"""),1.0)</f>
        <v>1</v>
      </c>
      <c r="L3343" s="308">
        <f>IFERROR(__xludf.DUMMYFUNCTION("""COMPUTED_VALUE"""),2016.0)</f>
        <v>2016</v>
      </c>
      <c r="M3343" s="308" t="s">
        <v>13653</v>
      </c>
      <c r="N3343" s="308"/>
      <c r="O3343" s="308"/>
      <c r="P3343" s="308" t="s">
        <v>13654</v>
      </c>
      <c r="Q3343" s="308" t="s">
        <v>36938</v>
      </c>
      <c r="R3343" s="308" t="s">
        <v>2743</v>
      </c>
      <c r="S3343" s="308" t="s">
        <v>81</v>
      </c>
      <c r="T3343" s="311" t="s">
        <v>57</v>
      </c>
      <c r="U3343" s="308" t="s">
        <v>125</v>
      </c>
      <c r="V3343" s="312"/>
    </row>
    <row r="3344">
      <c r="A3344" s="308">
        <v>3343.0</v>
      </c>
      <c r="B3344" s="308"/>
      <c r="C3344" s="308" t="s">
        <v>13655</v>
      </c>
      <c r="D3344" s="308">
        <f>IFERROR(__xludf.DUMMYFUNCTION("SPLIT(C3344,""-"")"),3364.0)</f>
        <v>3364</v>
      </c>
      <c r="E3344" s="308" t="str">
        <f>IFERROR(__xludf.DUMMYFUNCTION("""COMPUTED_VALUE"""),"K")</f>
        <v>K</v>
      </c>
      <c r="F3344" s="309" t="s">
        <v>34</v>
      </c>
      <c r="G3344" s="308"/>
      <c r="H3344" s="308" t="s">
        <v>13656</v>
      </c>
      <c r="I3344" s="316">
        <v>2015.0</v>
      </c>
      <c r="J3344" s="319"/>
      <c r="K3344" s="308"/>
      <c r="L3344" s="311">
        <v>2015.0</v>
      </c>
      <c r="M3344" s="308" t="s">
        <v>13657</v>
      </c>
      <c r="N3344" s="308"/>
      <c r="O3344" s="308" t="s">
        <v>13658</v>
      </c>
      <c r="P3344" s="308" t="s">
        <v>36940</v>
      </c>
      <c r="Q3344" s="308" t="s">
        <v>36938</v>
      </c>
      <c r="R3344" s="308" t="s">
        <v>2743</v>
      </c>
      <c r="S3344" s="308" t="s">
        <v>81</v>
      </c>
      <c r="T3344" s="308" t="s">
        <v>34264</v>
      </c>
      <c r="U3344" s="308" t="s">
        <v>125</v>
      </c>
      <c r="V3344" s="312"/>
    </row>
    <row r="3345">
      <c r="A3345" s="308">
        <v>3344.0</v>
      </c>
      <c r="B3345" s="308"/>
      <c r="C3345" s="308" t="s">
        <v>13660</v>
      </c>
      <c r="D3345" s="308">
        <f>IFERROR(__xludf.DUMMYFUNCTION("SPLIT(C3345,""-"")"),3365.0)</f>
        <v>3365</v>
      </c>
      <c r="E3345" s="308" t="str">
        <f>IFERROR(__xludf.DUMMYFUNCTION("""COMPUTED_VALUE"""),"S")</f>
        <v>S</v>
      </c>
      <c r="F3345" s="312" t="s">
        <v>39</v>
      </c>
      <c r="G3345" s="308"/>
      <c r="H3345" s="308" t="s">
        <v>13661</v>
      </c>
      <c r="I3345" s="310">
        <v>42505.0</v>
      </c>
      <c r="J3345" s="319">
        <f>IFERROR(__xludf.DUMMYFUNCTION("SPLIT(I3345,""/"")"),15.0)</f>
        <v>15</v>
      </c>
      <c r="K3345" s="308">
        <f>IFERROR(__xludf.DUMMYFUNCTION("""COMPUTED_VALUE"""),5.0)</f>
        <v>5</v>
      </c>
      <c r="L3345" s="308">
        <f>IFERROR(__xludf.DUMMYFUNCTION("""COMPUTED_VALUE"""),2016.0)</f>
        <v>2016</v>
      </c>
      <c r="M3345" s="308" t="s">
        <v>13662</v>
      </c>
      <c r="N3345" s="308"/>
      <c r="O3345" s="308"/>
      <c r="P3345" s="308" t="s">
        <v>13434</v>
      </c>
      <c r="Q3345" s="308" t="s">
        <v>36941</v>
      </c>
      <c r="R3345" s="308" t="s">
        <v>13663</v>
      </c>
      <c r="S3345" s="308" t="s">
        <v>81</v>
      </c>
      <c r="T3345" s="311" t="s">
        <v>94</v>
      </c>
      <c r="U3345" s="308" t="s">
        <v>40</v>
      </c>
      <c r="V3345" s="312"/>
    </row>
    <row r="3346">
      <c r="A3346" s="308">
        <v>3345.0</v>
      </c>
      <c r="B3346" s="308"/>
      <c r="C3346" s="308" t="s">
        <v>13664</v>
      </c>
      <c r="D3346" s="308">
        <f>IFERROR(__xludf.DUMMYFUNCTION("SPLIT(C3346,""-"")"),3366.0)</f>
        <v>3366</v>
      </c>
      <c r="E3346" s="308" t="str">
        <f>IFERROR(__xludf.DUMMYFUNCTION("""COMPUTED_VALUE"""),"K")</f>
        <v>K</v>
      </c>
      <c r="F3346" s="309" t="s">
        <v>34</v>
      </c>
      <c r="G3346" s="308"/>
      <c r="H3346" s="308" t="s">
        <v>13665</v>
      </c>
      <c r="I3346" s="310">
        <v>42012.0</v>
      </c>
      <c r="J3346" s="319">
        <f>IFERROR(__xludf.DUMMYFUNCTION("SPLIT(I3346,""/"")"),8.0)</f>
        <v>8</v>
      </c>
      <c r="K3346" s="308">
        <f>IFERROR(__xludf.DUMMYFUNCTION("""COMPUTED_VALUE"""),1.0)</f>
        <v>1</v>
      </c>
      <c r="L3346" s="308">
        <f>IFERROR(__xludf.DUMMYFUNCTION("""COMPUTED_VALUE"""),2015.0)</f>
        <v>2015</v>
      </c>
      <c r="M3346" s="308" t="s">
        <v>13666</v>
      </c>
      <c r="N3346" s="308"/>
      <c r="O3346" s="308" t="s">
        <v>13667</v>
      </c>
      <c r="P3346" s="308" t="s">
        <v>2872</v>
      </c>
      <c r="Q3346" s="308" t="s">
        <v>36942</v>
      </c>
      <c r="R3346" s="308" t="s">
        <v>2743</v>
      </c>
      <c r="S3346" s="315" t="s">
        <v>100</v>
      </c>
      <c r="T3346" s="311" t="s">
        <v>34208</v>
      </c>
      <c r="U3346" s="308" t="s">
        <v>125</v>
      </c>
      <c r="V3346" s="312"/>
    </row>
    <row r="3347">
      <c r="A3347" s="308">
        <v>3346.0</v>
      </c>
      <c r="B3347" s="308"/>
      <c r="C3347" s="308" t="s">
        <v>13668</v>
      </c>
      <c r="D3347" s="308">
        <f>IFERROR(__xludf.DUMMYFUNCTION("SPLIT(C3347,""-"")"),3367.0)</f>
        <v>3367</v>
      </c>
      <c r="E3347" s="308" t="str">
        <f>IFERROR(__xludf.DUMMYFUNCTION("""COMPUTED_VALUE"""),"A")</f>
        <v>A</v>
      </c>
      <c r="F3347" s="309" t="s">
        <v>23</v>
      </c>
      <c r="G3347" s="308"/>
      <c r="H3347" s="308" t="s">
        <v>13669</v>
      </c>
      <c r="I3347" s="310">
        <v>42286.0</v>
      </c>
      <c r="J3347" s="319">
        <f>IFERROR(__xludf.DUMMYFUNCTION("SPLIT(I3347,""/"")"),9.0)</f>
        <v>9</v>
      </c>
      <c r="K3347" s="308">
        <f>IFERROR(__xludf.DUMMYFUNCTION("""COMPUTED_VALUE"""),10.0)</f>
        <v>10</v>
      </c>
      <c r="L3347" s="308">
        <f>IFERROR(__xludf.DUMMYFUNCTION("""COMPUTED_VALUE"""),2015.0)</f>
        <v>2015</v>
      </c>
      <c r="M3347" s="308" t="s">
        <v>13670</v>
      </c>
      <c r="N3347" s="308"/>
      <c r="O3347" s="308" t="s">
        <v>13671</v>
      </c>
      <c r="P3347" s="308" t="s">
        <v>13672</v>
      </c>
      <c r="Q3347" s="308" t="s">
        <v>36942</v>
      </c>
      <c r="R3347" s="308" t="s">
        <v>2743</v>
      </c>
      <c r="S3347" s="308" t="s">
        <v>81</v>
      </c>
      <c r="T3347" s="308" t="s">
        <v>75</v>
      </c>
      <c r="U3347" s="308" t="s">
        <v>403</v>
      </c>
      <c r="V3347" s="312"/>
    </row>
    <row r="3348">
      <c r="A3348" s="308">
        <v>3347.0</v>
      </c>
      <c r="B3348" s="308"/>
      <c r="C3348" s="308" t="s">
        <v>13673</v>
      </c>
      <c r="D3348" s="308">
        <f>IFERROR(__xludf.DUMMYFUNCTION("SPLIT(C3348,""-"")"),3368.0)</f>
        <v>3368</v>
      </c>
      <c r="E3348" s="308" t="str">
        <f>IFERROR(__xludf.DUMMYFUNCTION("""COMPUTED_VALUE"""),"P")</f>
        <v>P</v>
      </c>
      <c r="F3348" s="312" t="s">
        <v>37</v>
      </c>
      <c r="G3348" s="308"/>
      <c r="H3348" s="308" t="s">
        <v>13674</v>
      </c>
      <c r="I3348" s="314">
        <v>42353.0</v>
      </c>
      <c r="J3348" s="319">
        <f>IFERROR(__xludf.DUMMYFUNCTION("SPLIT(I3348,""/"")"),15.0)</f>
        <v>15</v>
      </c>
      <c r="K3348" s="308">
        <f>IFERROR(__xludf.DUMMYFUNCTION("""COMPUTED_VALUE"""),12.0)</f>
        <v>12</v>
      </c>
      <c r="L3348" s="308">
        <f>IFERROR(__xludf.DUMMYFUNCTION("""COMPUTED_VALUE"""),2015.0)</f>
        <v>2015</v>
      </c>
      <c r="M3348" s="308" t="s">
        <v>13675</v>
      </c>
      <c r="N3348" s="308"/>
      <c r="O3348" s="308" t="s">
        <v>13676</v>
      </c>
      <c r="P3348" s="308" t="s">
        <v>36943</v>
      </c>
      <c r="Q3348" s="308" t="s">
        <v>36942</v>
      </c>
      <c r="R3348" s="308" t="s">
        <v>13678</v>
      </c>
      <c r="S3348" s="308" t="s">
        <v>81</v>
      </c>
      <c r="T3348" s="308" t="s">
        <v>75</v>
      </c>
      <c r="U3348" s="312"/>
      <c r="V3348" s="312"/>
    </row>
    <row r="3349">
      <c r="A3349" s="308">
        <v>3348.0</v>
      </c>
      <c r="B3349" s="308"/>
      <c r="C3349" s="308" t="s">
        <v>13679</v>
      </c>
      <c r="D3349" s="308">
        <f>IFERROR(__xludf.DUMMYFUNCTION("SPLIT(C3349,""-"")"),3369.0)</f>
        <v>3369</v>
      </c>
      <c r="E3349" s="308" t="str">
        <f>IFERROR(__xludf.DUMMYFUNCTION("""COMPUTED_VALUE"""),"K")</f>
        <v>K</v>
      </c>
      <c r="F3349" s="309" t="s">
        <v>34</v>
      </c>
      <c r="G3349" s="308"/>
      <c r="H3349" s="308" t="s">
        <v>13680</v>
      </c>
      <c r="I3349" s="334">
        <v>42457.0</v>
      </c>
      <c r="J3349" s="319"/>
      <c r="K3349" s="308"/>
      <c r="L3349" s="311">
        <v>2016.0</v>
      </c>
      <c r="M3349" s="308" t="s">
        <v>13681</v>
      </c>
      <c r="N3349" s="308"/>
      <c r="O3349" s="308" t="s">
        <v>13682</v>
      </c>
      <c r="P3349" s="308" t="s">
        <v>36944</v>
      </c>
      <c r="Q3349" s="308" t="s">
        <v>36945</v>
      </c>
      <c r="R3349" s="308" t="s">
        <v>2743</v>
      </c>
      <c r="S3349" s="308" t="s">
        <v>49</v>
      </c>
      <c r="T3349" s="308" t="s">
        <v>51</v>
      </c>
      <c r="U3349" s="308" t="s">
        <v>125</v>
      </c>
      <c r="V3349" s="312"/>
    </row>
    <row r="3350">
      <c r="A3350" s="308">
        <v>3349.0</v>
      </c>
      <c r="B3350" s="308"/>
      <c r="C3350" s="308" t="s">
        <v>13684</v>
      </c>
      <c r="D3350" s="308">
        <f>IFERROR(__xludf.DUMMYFUNCTION("SPLIT(C3350,""-"")"),3370.0)</f>
        <v>3370</v>
      </c>
      <c r="E3350" s="308" t="str">
        <f>IFERROR(__xludf.DUMMYFUNCTION("""COMPUTED_VALUE"""),"S")</f>
        <v>S</v>
      </c>
      <c r="F3350" s="312" t="s">
        <v>39</v>
      </c>
      <c r="G3350" s="308" t="s">
        <v>13685</v>
      </c>
      <c r="H3350" s="308" t="s">
        <v>13686</v>
      </c>
      <c r="I3350" s="310">
        <v>42151.0</v>
      </c>
      <c r="J3350" s="319">
        <f>IFERROR(__xludf.DUMMYFUNCTION("SPLIT(I3350,""/"")"),27.0)</f>
        <v>27</v>
      </c>
      <c r="K3350" s="308">
        <f>IFERROR(__xludf.DUMMYFUNCTION("""COMPUTED_VALUE"""),5.0)</f>
        <v>5</v>
      </c>
      <c r="L3350" s="308">
        <f>IFERROR(__xludf.DUMMYFUNCTION("""COMPUTED_VALUE"""),2015.0)</f>
        <v>2015</v>
      </c>
      <c r="M3350" s="308" t="s">
        <v>13687</v>
      </c>
      <c r="N3350" s="308"/>
      <c r="O3350" s="308"/>
      <c r="P3350" s="308" t="s">
        <v>13688</v>
      </c>
      <c r="Q3350" s="308" t="s">
        <v>36945</v>
      </c>
      <c r="R3350" s="308" t="s">
        <v>13689</v>
      </c>
      <c r="S3350" s="308" t="s">
        <v>81</v>
      </c>
      <c r="T3350" s="308" t="s">
        <v>75</v>
      </c>
      <c r="U3350" s="308" t="s">
        <v>166</v>
      </c>
      <c r="V3350" s="312"/>
    </row>
    <row r="3351">
      <c r="A3351" s="308">
        <v>3350.0</v>
      </c>
      <c r="B3351" s="308"/>
      <c r="C3351" s="308" t="s">
        <v>13690</v>
      </c>
      <c r="D3351" s="308">
        <f>IFERROR(__xludf.DUMMYFUNCTION("SPLIT(C3351,""-"")"),3371.0)</f>
        <v>3371</v>
      </c>
      <c r="E3351" s="308" t="str">
        <f>IFERROR(__xludf.DUMMYFUNCTION("""COMPUTED_VALUE"""),"K")</f>
        <v>K</v>
      </c>
      <c r="F3351" s="309" t="s">
        <v>34</v>
      </c>
      <c r="G3351" s="308" t="s">
        <v>13691</v>
      </c>
      <c r="H3351" s="308" t="s">
        <v>13692</v>
      </c>
      <c r="I3351" s="314">
        <v>41954.0</v>
      </c>
      <c r="J3351" s="319">
        <f>IFERROR(__xludf.DUMMYFUNCTION("SPLIT(I3351,""/"")"),11.0)</f>
        <v>11</v>
      </c>
      <c r="K3351" s="308">
        <f>IFERROR(__xludf.DUMMYFUNCTION("""COMPUTED_VALUE"""),11.0)</f>
        <v>11</v>
      </c>
      <c r="L3351" s="308">
        <f>IFERROR(__xludf.DUMMYFUNCTION("""COMPUTED_VALUE"""),2014.0)</f>
        <v>2014</v>
      </c>
      <c r="M3351" s="308" t="s">
        <v>13693</v>
      </c>
      <c r="N3351" s="308"/>
      <c r="O3351" s="308"/>
      <c r="P3351" s="308" t="s">
        <v>13694</v>
      </c>
      <c r="Q3351" s="308" t="s">
        <v>36945</v>
      </c>
      <c r="R3351" s="308" t="s">
        <v>13689</v>
      </c>
      <c r="S3351" s="308" t="s">
        <v>81</v>
      </c>
      <c r="T3351" s="308" t="s">
        <v>34264</v>
      </c>
      <c r="U3351" s="308" t="s">
        <v>542</v>
      </c>
      <c r="V3351" s="312"/>
    </row>
    <row r="3352">
      <c r="A3352" s="308">
        <v>3351.0</v>
      </c>
      <c r="B3352" s="308"/>
      <c r="C3352" s="308" t="s">
        <v>13695</v>
      </c>
      <c r="D3352" s="308">
        <f>IFERROR(__xludf.DUMMYFUNCTION("SPLIT(C3352,""-"")"),3372.0)</f>
        <v>3372</v>
      </c>
      <c r="E3352" s="308" t="str">
        <f>IFERROR(__xludf.DUMMYFUNCTION("""COMPUTED_VALUE"""),"K")</f>
        <v>K</v>
      </c>
      <c r="F3352" s="309" t="s">
        <v>34</v>
      </c>
      <c r="G3352" s="308"/>
      <c r="H3352" s="308" t="s">
        <v>13696</v>
      </c>
      <c r="I3352" s="310">
        <v>41351.0</v>
      </c>
      <c r="J3352" s="319">
        <f>IFERROR(__xludf.DUMMYFUNCTION("SPLIT(I3352,""/"")"),18.0)</f>
        <v>18</v>
      </c>
      <c r="K3352" s="308">
        <f>IFERROR(__xludf.DUMMYFUNCTION("""COMPUTED_VALUE"""),3.0)</f>
        <v>3</v>
      </c>
      <c r="L3352" s="308">
        <f>IFERROR(__xludf.DUMMYFUNCTION("""COMPUTED_VALUE"""),2013.0)</f>
        <v>2013</v>
      </c>
      <c r="M3352" s="308" t="s">
        <v>13697</v>
      </c>
      <c r="N3352" s="308"/>
      <c r="O3352" s="308"/>
      <c r="P3352" s="308" t="s">
        <v>13698</v>
      </c>
      <c r="Q3352" s="308" t="s">
        <v>36945</v>
      </c>
      <c r="R3352" s="308" t="s">
        <v>2743</v>
      </c>
      <c r="S3352" s="308" t="s">
        <v>81</v>
      </c>
      <c r="T3352" s="308" t="s">
        <v>34264</v>
      </c>
      <c r="U3352" s="308" t="s">
        <v>4487</v>
      </c>
      <c r="V3352" s="312"/>
    </row>
    <row r="3353">
      <c r="A3353" s="308">
        <v>3352.0</v>
      </c>
      <c r="B3353" s="308"/>
      <c r="C3353" s="308" t="s">
        <v>13699</v>
      </c>
      <c r="D3353" s="308">
        <f>IFERROR(__xludf.DUMMYFUNCTION("SPLIT(C3353,""-"")"),3373.0)</f>
        <v>3373</v>
      </c>
      <c r="E3353" s="308" t="str">
        <f>IFERROR(__xludf.DUMMYFUNCTION("""COMPUTED_VALUE"""),"P")</f>
        <v>P</v>
      </c>
      <c r="F3353" s="312" t="s">
        <v>37</v>
      </c>
      <c r="G3353" s="308"/>
      <c r="H3353" s="308" t="s">
        <v>13700</v>
      </c>
      <c r="I3353" s="314">
        <v>42361.0</v>
      </c>
      <c r="J3353" s="319">
        <f>IFERROR(__xludf.DUMMYFUNCTION("SPLIT(I3353,""/"")"),23.0)</f>
        <v>23</v>
      </c>
      <c r="K3353" s="308">
        <f>IFERROR(__xludf.DUMMYFUNCTION("""COMPUTED_VALUE"""),12.0)</f>
        <v>12</v>
      </c>
      <c r="L3353" s="308">
        <f>IFERROR(__xludf.DUMMYFUNCTION("""COMPUTED_VALUE"""),2015.0)</f>
        <v>2015</v>
      </c>
      <c r="M3353" s="308" t="s">
        <v>13701</v>
      </c>
      <c r="N3353" s="308"/>
      <c r="O3353" s="308" t="s">
        <v>13702</v>
      </c>
      <c r="P3353" s="308" t="s">
        <v>13703</v>
      </c>
      <c r="Q3353" s="308" t="s">
        <v>36946</v>
      </c>
      <c r="R3353" s="308" t="s">
        <v>2743</v>
      </c>
      <c r="S3353" s="308" t="s">
        <v>81</v>
      </c>
      <c r="T3353" s="308" t="s">
        <v>75</v>
      </c>
      <c r="U3353" s="308" t="s">
        <v>143</v>
      </c>
      <c r="V3353" s="312"/>
    </row>
    <row r="3354">
      <c r="A3354" s="308">
        <v>3353.0</v>
      </c>
      <c r="B3354" s="308"/>
      <c r="C3354" s="308" t="s">
        <v>13704</v>
      </c>
      <c r="D3354" s="308">
        <f>IFERROR(__xludf.DUMMYFUNCTION("SPLIT(C3354,""-"")"),3374.0)</f>
        <v>3374</v>
      </c>
      <c r="E3354" s="308" t="str">
        <f>IFERROR(__xludf.DUMMYFUNCTION("""COMPUTED_VALUE"""),"S")</f>
        <v>S</v>
      </c>
      <c r="F3354" s="312" t="s">
        <v>39</v>
      </c>
      <c r="G3354" s="308"/>
      <c r="H3354" s="308" t="s">
        <v>13705</v>
      </c>
      <c r="I3354" s="310">
        <v>41176.0</v>
      </c>
      <c r="J3354" s="319">
        <f>IFERROR(__xludf.DUMMYFUNCTION("SPLIT(I3354,""/"")"),24.0)</f>
        <v>24</v>
      </c>
      <c r="K3354" s="308">
        <f>IFERROR(__xludf.DUMMYFUNCTION("""COMPUTED_VALUE"""),9.0)</f>
        <v>9</v>
      </c>
      <c r="L3354" s="308">
        <f>IFERROR(__xludf.DUMMYFUNCTION("""COMPUTED_VALUE"""),2012.0)</f>
        <v>2012</v>
      </c>
      <c r="M3354" s="308" t="s">
        <v>13706</v>
      </c>
      <c r="N3354" s="308"/>
      <c r="O3354" s="308" t="s">
        <v>13707</v>
      </c>
      <c r="P3354" s="308" t="s">
        <v>35542</v>
      </c>
      <c r="Q3354" s="308" t="s">
        <v>36946</v>
      </c>
      <c r="R3354" s="308" t="s">
        <v>13708</v>
      </c>
      <c r="S3354" s="308" t="s">
        <v>49</v>
      </c>
      <c r="T3354" s="308" t="s">
        <v>51</v>
      </c>
      <c r="U3354" s="308" t="s">
        <v>166</v>
      </c>
      <c r="V3354" s="312"/>
    </row>
    <row r="3355">
      <c r="A3355" s="308">
        <v>3354.0</v>
      </c>
      <c r="B3355" s="308"/>
      <c r="C3355" s="308" t="s">
        <v>13709</v>
      </c>
      <c r="D3355" s="308">
        <f>IFERROR(__xludf.DUMMYFUNCTION("SPLIT(C3355,""-"")"),3375.0)</f>
        <v>3375</v>
      </c>
      <c r="E3355" s="308" t="str">
        <f>IFERROR(__xludf.DUMMYFUNCTION("""COMPUTED_VALUE"""),"S")</f>
        <v>S</v>
      </c>
      <c r="F3355" s="312" t="s">
        <v>39</v>
      </c>
      <c r="G3355" s="308"/>
      <c r="H3355" s="308" t="s">
        <v>13710</v>
      </c>
      <c r="I3355" s="310">
        <v>41738.0</v>
      </c>
      <c r="J3355" s="319">
        <f>IFERROR(__xludf.DUMMYFUNCTION("SPLIT(I3355,""/"")"),9.0)</f>
        <v>9</v>
      </c>
      <c r="K3355" s="308">
        <f>IFERROR(__xludf.DUMMYFUNCTION("""COMPUTED_VALUE"""),4.0)</f>
        <v>4</v>
      </c>
      <c r="L3355" s="308">
        <f>IFERROR(__xludf.DUMMYFUNCTION("""COMPUTED_VALUE"""),2014.0)</f>
        <v>2014</v>
      </c>
      <c r="M3355" s="308" t="s">
        <v>13711</v>
      </c>
      <c r="N3355" s="308"/>
      <c r="O3355" s="308" t="s">
        <v>13712</v>
      </c>
      <c r="P3355" s="308" t="s">
        <v>36947</v>
      </c>
      <c r="Q3355" s="308" t="s">
        <v>36946</v>
      </c>
      <c r="R3355" s="308" t="s">
        <v>13708</v>
      </c>
      <c r="S3355" s="308" t="s">
        <v>49</v>
      </c>
      <c r="T3355" s="311" t="s">
        <v>51</v>
      </c>
      <c r="U3355" s="308" t="s">
        <v>166</v>
      </c>
      <c r="V3355" s="312"/>
    </row>
    <row r="3356">
      <c r="A3356" s="308">
        <v>3355.0</v>
      </c>
      <c r="B3356" s="308"/>
      <c r="C3356" s="308" t="s">
        <v>13714</v>
      </c>
      <c r="D3356" s="308">
        <f>IFERROR(__xludf.DUMMYFUNCTION("SPLIT(C3356,""-"")"),3376.0)</f>
        <v>3376</v>
      </c>
      <c r="E3356" s="308" t="str">
        <f>IFERROR(__xludf.DUMMYFUNCTION("""COMPUTED_VALUE"""),"S")</f>
        <v>S</v>
      </c>
      <c r="F3356" s="312" t="s">
        <v>39</v>
      </c>
      <c r="G3356" s="308"/>
      <c r="H3356" s="308" t="s">
        <v>13715</v>
      </c>
      <c r="I3356" s="314">
        <v>42367.0</v>
      </c>
      <c r="J3356" s="319">
        <f>IFERROR(__xludf.DUMMYFUNCTION("SPLIT(I3356,""/"")"),29.0)</f>
        <v>29</v>
      </c>
      <c r="K3356" s="308">
        <f>IFERROR(__xludf.DUMMYFUNCTION("""COMPUTED_VALUE"""),12.0)</f>
        <v>12</v>
      </c>
      <c r="L3356" s="308">
        <f>IFERROR(__xludf.DUMMYFUNCTION("""COMPUTED_VALUE"""),2015.0)</f>
        <v>2015</v>
      </c>
      <c r="M3356" s="308" t="s">
        <v>13716</v>
      </c>
      <c r="N3356" s="308"/>
      <c r="O3356" s="308" t="s">
        <v>13717</v>
      </c>
      <c r="P3356" s="308" t="s">
        <v>36948</v>
      </c>
      <c r="Q3356" s="308" t="s">
        <v>36946</v>
      </c>
      <c r="R3356" s="308" t="s">
        <v>13708</v>
      </c>
      <c r="S3356" s="308" t="s">
        <v>81</v>
      </c>
      <c r="T3356" s="308" t="s">
        <v>75</v>
      </c>
      <c r="U3356" s="308" t="s">
        <v>166</v>
      </c>
      <c r="V3356" s="312"/>
    </row>
    <row r="3357">
      <c r="A3357" s="308">
        <v>3356.0</v>
      </c>
      <c r="B3357" s="308"/>
      <c r="C3357" s="308" t="s">
        <v>13719</v>
      </c>
      <c r="D3357" s="308">
        <f>IFERROR(__xludf.DUMMYFUNCTION("SPLIT(C3357,""-"")"),3377.0)</f>
        <v>3377</v>
      </c>
      <c r="E3357" s="308" t="str">
        <f>IFERROR(__xludf.DUMMYFUNCTION("""COMPUTED_VALUE"""),"S")</f>
        <v>S</v>
      </c>
      <c r="F3357" s="312" t="s">
        <v>39</v>
      </c>
      <c r="G3357" s="308"/>
      <c r="H3357" s="308" t="s">
        <v>13720</v>
      </c>
      <c r="I3357" s="310">
        <v>42382.0</v>
      </c>
      <c r="J3357" s="319">
        <f>IFERROR(__xludf.DUMMYFUNCTION("SPLIT(I3357,""/"")"),13.0)</f>
        <v>13</v>
      </c>
      <c r="K3357" s="308">
        <f>IFERROR(__xludf.DUMMYFUNCTION("""COMPUTED_VALUE"""),1.0)</f>
        <v>1</v>
      </c>
      <c r="L3357" s="308">
        <f>IFERROR(__xludf.DUMMYFUNCTION("""COMPUTED_VALUE"""),2016.0)</f>
        <v>2016</v>
      </c>
      <c r="M3357" s="308" t="s">
        <v>13721</v>
      </c>
      <c r="N3357" s="308"/>
      <c r="O3357" s="308" t="s">
        <v>635</v>
      </c>
      <c r="P3357" s="308" t="s">
        <v>13722</v>
      </c>
      <c r="Q3357" s="308" t="s">
        <v>36946</v>
      </c>
      <c r="R3357" s="308" t="s">
        <v>13708</v>
      </c>
      <c r="S3357" s="308" t="s">
        <v>81</v>
      </c>
      <c r="T3357" s="308" t="s">
        <v>73</v>
      </c>
      <c r="U3357" s="308" t="s">
        <v>166</v>
      </c>
      <c r="V3357" s="312"/>
    </row>
    <row r="3358">
      <c r="A3358" s="308">
        <v>3357.0</v>
      </c>
      <c r="B3358" s="308"/>
      <c r="C3358" s="308" t="s">
        <v>13723</v>
      </c>
      <c r="D3358" s="308">
        <f>IFERROR(__xludf.DUMMYFUNCTION("SPLIT(C3358,""-"")"),3378.0)</f>
        <v>3378</v>
      </c>
      <c r="E3358" s="308" t="str">
        <f>IFERROR(__xludf.DUMMYFUNCTION("""COMPUTED_VALUE"""),"S")</f>
        <v>S</v>
      </c>
      <c r="F3358" s="312" t="s">
        <v>39</v>
      </c>
      <c r="G3358" s="308"/>
      <c r="H3358" s="308" t="s">
        <v>13724</v>
      </c>
      <c r="I3358" s="310">
        <v>42394.0</v>
      </c>
      <c r="J3358" s="319">
        <f>IFERROR(__xludf.DUMMYFUNCTION("SPLIT(I3358,""/"")"),25.0)</f>
        <v>25</v>
      </c>
      <c r="K3358" s="308">
        <f>IFERROR(__xludf.DUMMYFUNCTION("""COMPUTED_VALUE"""),1.0)</f>
        <v>1</v>
      </c>
      <c r="L3358" s="308">
        <f>IFERROR(__xludf.DUMMYFUNCTION("""COMPUTED_VALUE"""),2016.0)</f>
        <v>2016</v>
      </c>
      <c r="M3358" s="308" t="s">
        <v>13725</v>
      </c>
      <c r="N3358" s="308"/>
      <c r="O3358" s="308" t="s">
        <v>13726</v>
      </c>
      <c r="P3358" s="308" t="s">
        <v>13727</v>
      </c>
      <c r="Q3358" s="308" t="s">
        <v>36946</v>
      </c>
      <c r="R3358" s="308" t="s">
        <v>13708</v>
      </c>
      <c r="S3358" s="308" t="s">
        <v>81</v>
      </c>
      <c r="T3358" s="308" t="s">
        <v>75</v>
      </c>
      <c r="U3358" s="308" t="s">
        <v>166</v>
      </c>
      <c r="V3358" s="312"/>
    </row>
    <row r="3359">
      <c r="A3359" s="308">
        <v>3358.0</v>
      </c>
      <c r="B3359" s="308"/>
      <c r="C3359" s="308" t="s">
        <v>13728</v>
      </c>
      <c r="D3359" s="308">
        <f>IFERROR(__xludf.DUMMYFUNCTION("SPLIT(C3359,""-"")"),3379.0)</f>
        <v>3379</v>
      </c>
      <c r="E3359" s="308" t="str">
        <f>IFERROR(__xludf.DUMMYFUNCTION("""COMPUTED_VALUE"""),"S")</f>
        <v>S</v>
      </c>
      <c r="F3359" s="312" t="s">
        <v>39</v>
      </c>
      <c r="G3359" s="308"/>
      <c r="H3359" s="308" t="s">
        <v>13729</v>
      </c>
      <c r="I3359" s="310">
        <v>42459.0</v>
      </c>
      <c r="J3359" s="319">
        <f>IFERROR(__xludf.DUMMYFUNCTION("SPLIT(I3359,""/"")"),30.0)</f>
        <v>30</v>
      </c>
      <c r="K3359" s="308">
        <f>IFERROR(__xludf.DUMMYFUNCTION("""COMPUTED_VALUE"""),3.0)</f>
        <v>3</v>
      </c>
      <c r="L3359" s="308">
        <f>IFERROR(__xludf.DUMMYFUNCTION("""COMPUTED_VALUE"""),2016.0)</f>
        <v>2016</v>
      </c>
      <c r="M3359" s="308" t="s">
        <v>13730</v>
      </c>
      <c r="N3359" s="308"/>
      <c r="O3359" s="308" t="s">
        <v>635</v>
      </c>
      <c r="P3359" s="308" t="s">
        <v>36949</v>
      </c>
      <c r="Q3359" s="308" t="s">
        <v>36946</v>
      </c>
      <c r="R3359" s="312"/>
      <c r="S3359" s="308" t="s">
        <v>81</v>
      </c>
      <c r="T3359" s="308" t="s">
        <v>75</v>
      </c>
      <c r="U3359" s="308" t="s">
        <v>166</v>
      </c>
      <c r="V3359" s="312"/>
    </row>
    <row r="3360">
      <c r="A3360" s="308">
        <v>3359.0</v>
      </c>
      <c r="B3360" s="308"/>
      <c r="C3360" s="308" t="s">
        <v>13732</v>
      </c>
      <c r="D3360" s="308">
        <f>IFERROR(__xludf.DUMMYFUNCTION("SPLIT(C3360,""-"")"),3380.0)</f>
        <v>3380</v>
      </c>
      <c r="E3360" s="308" t="str">
        <f>IFERROR(__xludf.DUMMYFUNCTION("""COMPUTED_VALUE"""),"S")</f>
        <v>S</v>
      </c>
      <c r="F3360" s="312" t="s">
        <v>39</v>
      </c>
      <c r="G3360" s="308"/>
      <c r="H3360" s="308" t="s">
        <v>36950</v>
      </c>
      <c r="I3360" s="310">
        <v>42460.0</v>
      </c>
      <c r="J3360" s="319">
        <f>IFERROR(__xludf.DUMMYFUNCTION("SPLIT(I3360,""/"")"),31.0)</f>
        <v>31</v>
      </c>
      <c r="K3360" s="308">
        <f>IFERROR(__xludf.DUMMYFUNCTION("""COMPUTED_VALUE"""),3.0)</f>
        <v>3</v>
      </c>
      <c r="L3360" s="308">
        <f>IFERROR(__xludf.DUMMYFUNCTION("""COMPUTED_VALUE"""),2016.0)</f>
        <v>2016</v>
      </c>
      <c r="M3360" s="308" t="s">
        <v>13734</v>
      </c>
      <c r="N3360" s="308"/>
      <c r="O3360" s="308" t="s">
        <v>635</v>
      </c>
      <c r="P3360" s="308" t="s">
        <v>13735</v>
      </c>
      <c r="Q3360" s="308" t="s">
        <v>36946</v>
      </c>
      <c r="R3360" s="308" t="s">
        <v>13708</v>
      </c>
      <c r="S3360" s="308" t="s">
        <v>81</v>
      </c>
      <c r="T3360" s="308" t="s">
        <v>75</v>
      </c>
      <c r="U3360" s="308" t="s">
        <v>166</v>
      </c>
      <c r="V3360" s="312"/>
    </row>
    <row r="3361">
      <c r="A3361" s="308">
        <v>3360.0</v>
      </c>
      <c r="B3361" s="308"/>
      <c r="C3361" s="308" t="s">
        <v>13736</v>
      </c>
      <c r="D3361" s="308">
        <f>IFERROR(__xludf.DUMMYFUNCTION("SPLIT(C3361,""-"")"),3381.0)</f>
        <v>3381</v>
      </c>
      <c r="E3361" s="308" t="str">
        <f>IFERROR(__xludf.DUMMYFUNCTION("""COMPUTED_VALUE"""),"P")</f>
        <v>P</v>
      </c>
      <c r="F3361" s="312" t="s">
        <v>37</v>
      </c>
      <c r="G3361" s="308"/>
      <c r="H3361" s="308" t="s">
        <v>13737</v>
      </c>
      <c r="I3361" s="310">
        <v>42459.0</v>
      </c>
      <c r="J3361" s="319">
        <f>IFERROR(__xludf.DUMMYFUNCTION("SPLIT(I3361,""/"")"),30.0)</f>
        <v>30</v>
      </c>
      <c r="K3361" s="308">
        <f>IFERROR(__xludf.DUMMYFUNCTION("""COMPUTED_VALUE"""),3.0)</f>
        <v>3</v>
      </c>
      <c r="L3361" s="308">
        <f>IFERROR(__xludf.DUMMYFUNCTION("""COMPUTED_VALUE"""),2016.0)</f>
        <v>2016</v>
      </c>
      <c r="M3361" s="308" t="s">
        <v>13738</v>
      </c>
      <c r="N3361" s="308"/>
      <c r="O3361" s="308" t="s">
        <v>13739</v>
      </c>
      <c r="P3361" s="308" t="s">
        <v>13740</v>
      </c>
      <c r="Q3361" s="308" t="s">
        <v>36951</v>
      </c>
      <c r="R3361" s="308" t="s">
        <v>2743</v>
      </c>
      <c r="S3361" s="308" t="s">
        <v>81</v>
      </c>
      <c r="T3361" s="311" t="s">
        <v>51</v>
      </c>
      <c r="U3361" s="308" t="s">
        <v>143</v>
      </c>
      <c r="V3361" s="312"/>
    </row>
    <row r="3362">
      <c r="A3362" s="308">
        <v>3361.0</v>
      </c>
      <c r="B3362" s="308"/>
      <c r="C3362" s="308" t="s">
        <v>13741</v>
      </c>
      <c r="D3362" s="308">
        <f>IFERROR(__xludf.DUMMYFUNCTION("SPLIT(C3362,""-"")"),3382.0)</f>
        <v>3382</v>
      </c>
      <c r="E3362" s="308" t="str">
        <f>IFERROR(__xludf.DUMMYFUNCTION("""COMPUTED_VALUE"""),"P")</f>
        <v>P</v>
      </c>
      <c r="F3362" s="312" t="s">
        <v>37</v>
      </c>
      <c r="G3362" s="308"/>
      <c r="H3362" s="308" t="s">
        <v>13742</v>
      </c>
      <c r="I3362" s="310">
        <v>42160.0</v>
      </c>
      <c r="J3362" s="319">
        <f>IFERROR(__xludf.DUMMYFUNCTION("SPLIT(I3362,""/"")"),5.0)</f>
        <v>5</v>
      </c>
      <c r="K3362" s="308">
        <f>IFERROR(__xludf.DUMMYFUNCTION("""COMPUTED_VALUE"""),6.0)</f>
        <v>6</v>
      </c>
      <c r="L3362" s="308">
        <f>IFERROR(__xludf.DUMMYFUNCTION("""COMPUTED_VALUE"""),2015.0)</f>
        <v>2015</v>
      </c>
      <c r="M3362" s="308" t="s">
        <v>13743</v>
      </c>
      <c r="N3362" s="308"/>
      <c r="O3362" s="308" t="s">
        <v>13744</v>
      </c>
      <c r="P3362" s="308" t="s">
        <v>13745</v>
      </c>
      <c r="Q3362" s="308" t="s">
        <v>36952</v>
      </c>
      <c r="R3362" s="308" t="s">
        <v>2743</v>
      </c>
      <c r="S3362" s="308" t="s">
        <v>81</v>
      </c>
      <c r="T3362" s="311" t="s">
        <v>51</v>
      </c>
      <c r="U3362" s="308" t="s">
        <v>143</v>
      </c>
      <c r="V3362" s="312"/>
    </row>
    <row r="3363">
      <c r="A3363" s="308">
        <v>3362.0</v>
      </c>
      <c r="B3363" s="308"/>
      <c r="C3363" s="308" t="s">
        <v>13746</v>
      </c>
      <c r="D3363" s="308"/>
      <c r="E3363" s="311"/>
      <c r="F3363" s="317" t="s">
        <v>39</v>
      </c>
      <c r="G3363" s="308" t="s">
        <v>13747</v>
      </c>
      <c r="H3363" s="308" t="s">
        <v>13748</v>
      </c>
      <c r="I3363" s="310">
        <v>41479.0</v>
      </c>
      <c r="J3363" s="319">
        <f>IFERROR(__xludf.DUMMYFUNCTION("SPLIT(I3363,""/"")"),24.0)</f>
        <v>24</v>
      </c>
      <c r="K3363" s="308">
        <f>IFERROR(__xludf.DUMMYFUNCTION("""COMPUTED_VALUE"""),7.0)</f>
        <v>7</v>
      </c>
      <c r="L3363" s="308">
        <f>IFERROR(__xludf.DUMMYFUNCTION("""COMPUTED_VALUE"""),2013.0)</f>
        <v>2013</v>
      </c>
      <c r="M3363" s="308" t="s">
        <v>13749</v>
      </c>
      <c r="N3363" s="308"/>
      <c r="O3363" s="308" t="s">
        <v>13750</v>
      </c>
      <c r="P3363" s="308" t="s">
        <v>36953</v>
      </c>
      <c r="Q3363" s="308" t="s">
        <v>36952</v>
      </c>
      <c r="R3363" s="308" t="s">
        <v>13689</v>
      </c>
      <c r="S3363" s="315" t="s">
        <v>100</v>
      </c>
      <c r="T3363" s="311" t="s">
        <v>34208</v>
      </c>
      <c r="U3363" s="308" t="s">
        <v>40</v>
      </c>
      <c r="V3363" s="312"/>
    </row>
    <row r="3364">
      <c r="A3364" s="308">
        <v>3363.0</v>
      </c>
      <c r="B3364" s="308"/>
      <c r="C3364" s="308" t="s">
        <v>13751</v>
      </c>
      <c r="D3364" s="308">
        <f>IFERROR(__xludf.DUMMYFUNCTION("SPLIT(C3364,""-"")"),3384.0)</f>
        <v>3384</v>
      </c>
      <c r="E3364" s="308" t="str">
        <f>IFERROR(__xludf.DUMMYFUNCTION("""COMPUTED_VALUE"""),"K")</f>
        <v>K</v>
      </c>
      <c r="F3364" s="309" t="s">
        <v>34</v>
      </c>
      <c r="G3364" s="308"/>
      <c r="H3364" s="308" t="s">
        <v>13752</v>
      </c>
      <c r="I3364" s="310">
        <v>42130.0</v>
      </c>
      <c r="J3364" s="319">
        <f>IFERROR(__xludf.DUMMYFUNCTION("SPLIT(I3364,""/"")"),6.0)</f>
        <v>6</v>
      </c>
      <c r="K3364" s="308">
        <f>IFERROR(__xludf.DUMMYFUNCTION("""COMPUTED_VALUE"""),5.0)</f>
        <v>5</v>
      </c>
      <c r="L3364" s="308">
        <f>IFERROR(__xludf.DUMMYFUNCTION("""COMPUTED_VALUE"""),2015.0)</f>
        <v>2015</v>
      </c>
      <c r="M3364" s="308" t="s">
        <v>13753</v>
      </c>
      <c r="N3364" s="308" t="s">
        <v>13754</v>
      </c>
      <c r="O3364" s="308" t="s">
        <v>13755</v>
      </c>
      <c r="P3364" s="308" t="s">
        <v>36761</v>
      </c>
      <c r="Q3364" s="308" t="s">
        <v>36954</v>
      </c>
      <c r="R3364" s="308" t="s">
        <v>13678</v>
      </c>
      <c r="S3364" s="315" t="s">
        <v>100</v>
      </c>
      <c r="T3364" s="311" t="s">
        <v>34208</v>
      </c>
      <c r="U3364" s="308" t="s">
        <v>2152</v>
      </c>
      <c r="V3364" s="312"/>
    </row>
    <row r="3365">
      <c r="A3365" s="308">
        <v>3364.0</v>
      </c>
      <c r="B3365" s="308"/>
      <c r="C3365" s="308" t="s">
        <v>13756</v>
      </c>
      <c r="D3365" s="308">
        <f>IFERROR(__xludf.DUMMYFUNCTION("SPLIT(C3365,""-"")"),3385.0)</f>
        <v>3385</v>
      </c>
      <c r="E3365" s="308" t="str">
        <f>IFERROR(__xludf.DUMMYFUNCTION("""COMPUTED_VALUE"""),"P")</f>
        <v>P</v>
      </c>
      <c r="F3365" s="312" t="s">
        <v>37</v>
      </c>
      <c r="G3365" s="308"/>
      <c r="H3365" s="308" t="s">
        <v>13757</v>
      </c>
      <c r="I3365" s="314">
        <v>42361.0</v>
      </c>
      <c r="J3365" s="319">
        <f>IFERROR(__xludf.DUMMYFUNCTION("SPLIT(I3365,""/"")"),23.0)</f>
        <v>23</v>
      </c>
      <c r="K3365" s="308">
        <f>IFERROR(__xludf.DUMMYFUNCTION("""COMPUTED_VALUE"""),12.0)</f>
        <v>12</v>
      </c>
      <c r="L3365" s="308">
        <f>IFERROR(__xludf.DUMMYFUNCTION("""COMPUTED_VALUE"""),2015.0)</f>
        <v>2015</v>
      </c>
      <c r="M3365" s="308" t="s">
        <v>13758</v>
      </c>
      <c r="N3365" s="308"/>
      <c r="O3365" s="308" t="s">
        <v>13759</v>
      </c>
      <c r="P3365" s="308" t="s">
        <v>13760</v>
      </c>
      <c r="Q3365" s="308" t="s">
        <v>36955</v>
      </c>
      <c r="R3365" s="308" t="s">
        <v>2743</v>
      </c>
      <c r="S3365" s="308" t="s">
        <v>81</v>
      </c>
      <c r="T3365" s="308" t="s">
        <v>73</v>
      </c>
      <c r="U3365" s="308"/>
      <c r="V3365" s="312"/>
    </row>
    <row r="3366">
      <c r="A3366" s="308">
        <v>3365.0</v>
      </c>
      <c r="B3366" s="308"/>
      <c r="C3366" s="308" t="s">
        <v>13761</v>
      </c>
      <c r="D3366" s="308">
        <f>IFERROR(__xludf.DUMMYFUNCTION("SPLIT(C3366,""-"")"),3386.0)</f>
        <v>3386</v>
      </c>
      <c r="E3366" s="308" t="str">
        <f>IFERROR(__xludf.DUMMYFUNCTION("""COMPUTED_VALUE"""),"S")</f>
        <v>S</v>
      </c>
      <c r="F3366" s="312" t="s">
        <v>39</v>
      </c>
      <c r="G3366" s="308" t="s">
        <v>13762</v>
      </c>
      <c r="H3366" s="308" t="s">
        <v>13763</v>
      </c>
      <c r="I3366" s="310">
        <v>42104.0</v>
      </c>
      <c r="J3366" s="319">
        <f>IFERROR(__xludf.DUMMYFUNCTION("SPLIT(I3366,""/"")"),10.0)</f>
        <v>10</v>
      </c>
      <c r="K3366" s="308">
        <f>IFERROR(__xludf.DUMMYFUNCTION("""COMPUTED_VALUE"""),4.0)</f>
        <v>4</v>
      </c>
      <c r="L3366" s="308">
        <f>IFERROR(__xludf.DUMMYFUNCTION("""COMPUTED_VALUE"""),2015.0)</f>
        <v>2015</v>
      </c>
      <c r="M3366" s="308" t="s">
        <v>13764</v>
      </c>
      <c r="N3366" s="308"/>
      <c r="O3366" s="308" t="s">
        <v>635</v>
      </c>
      <c r="P3366" s="308" t="s">
        <v>36707</v>
      </c>
      <c r="Q3366" s="308" t="s">
        <v>36956</v>
      </c>
      <c r="R3366" s="308" t="s">
        <v>36957</v>
      </c>
      <c r="S3366" s="315" t="s">
        <v>100</v>
      </c>
      <c r="T3366" s="311" t="s">
        <v>34208</v>
      </c>
      <c r="U3366" s="308" t="s">
        <v>166</v>
      </c>
      <c r="V3366" s="312"/>
    </row>
    <row r="3367">
      <c r="A3367" s="308">
        <v>3366.0</v>
      </c>
      <c r="B3367" s="308"/>
      <c r="C3367" s="308" t="s">
        <v>13766</v>
      </c>
      <c r="D3367" s="308">
        <f>IFERROR(__xludf.DUMMYFUNCTION("SPLIT(C3367,""-"")"),3387.0)</f>
        <v>3387</v>
      </c>
      <c r="E3367" s="308" t="str">
        <f>IFERROR(__xludf.DUMMYFUNCTION("""COMPUTED_VALUE"""),"S")</f>
        <v>S</v>
      </c>
      <c r="F3367" s="312" t="s">
        <v>39</v>
      </c>
      <c r="G3367" s="308" t="s">
        <v>13767</v>
      </c>
      <c r="H3367" s="308" t="s">
        <v>13768</v>
      </c>
      <c r="I3367" s="316">
        <v>2009.0</v>
      </c>
      <c r="J3367" s="319"/>
      <c r="K3367" s="308"/>
      <c r="L3367" s="311">
        <v>2009.0</v>
      </c>
      <c r="M3367" s="308" t="s">
        <v>13769</v>
      </c>
      <c r="N3367" s="308"/>
      <c r="O3367" s="308" t="s">
        <v>635</v>
      </c>
      <c r="P3367" s="308" t="s">
        <v>36707</v>
      </c>
      <c r="Q3367" s="308" t="s">
        <v>36956</v>
      </c>
      <c r="R3367" s="308" t="s">
        <v>13770</v>
      </c>
      <c r="S3367" s="315" t="s">
        <v>100</v>
      </c>
      <c r="T3367" s="311" t="s">
        <v>34208</v>
      </c>
      <c r="U3367" s="308"/>
      <c r="V3367" s="312"/>
    </row>
    <row r="3368">
      <c r="A3368" s="308">
        <v>3367.0</v>
      </c>
      <c r="B3368" s="308"/>
      <c r="C3368" s="308" t="s">
        <v>13771</v>
      </c>
      <c r="D3368" s="308">
        <f>IFERROR(__xludf.DUMMYFUNCTION("SPLIT(C3368,""-"")"),3388.0)</f>
        <v>3388</v>
      </c>
      <c r="E3368" s="308" t="str">
        <f>IFERROR(__xludf.DUMMYFUNCTION("""COMPUTED_VALUE"""),"K")</f>
        <v>K</v>
      </c>
      <c r="F3368" s="309" t="s">
        <v>34</v>
      </c>
      <c r="G3368" s="308" t="s">
        <v>13772</v>
      </c>
      <c r="H3368" s="308" t="s">
        <v>13773</v>
      </c>
      <c r="I3368" s="310">
        <v>40795.0</v>
      </c>
      <c r="J3368" s="319">
        <f>IFERROR(__xludf.DUMMYFUNCTION("SPLIT(I3368,""/"")"),9.0)</f>
        <v>9</v>
      </c>
      <c r="K3368" s="308">
        <f>IFERROR(__xludf.DUMMYFUNCTION("""COMPUTED_VALUE"""),9.0)</f>
        <v>9</v>
      </c>
      <c r="L3368" s="308">
        <f>IFERROR(__xludf.DUMMYFUNCTION("""COMPUTED_VALUE"""),2011.0)</f>
        <v>2011</v>
      </c>
      <c r="M3368" s="308" t="s">
        <v>13774</v>
      </c>
      <c r="N3368" s="308"/>
      <c r="O3368" s="308" t="s">
        <v>13775</v>
      </c>
      <c r="P3368" s="308" t="s">
        <v>36894</v>
      </c>
      <c r="Q3368" s="308" t="s">
        <v>36956</v>
      </c>
      <c r="R3368" s="308" t="s">
        <v>13770</v>
      </c>
      <c r="S3368" s="315" t="s">
        <v>100</v>
      </c>
      <c r="T3368" s="311" t="s">
        <v>34208</v>
      </c>
      <c r="U3368" s="308" t="s">
        <v>125</v>
      </c>
      <c r="V3368" s="312"/>
    </row>
    <row r="3369">
      <c r="A3369" s="308">
        <v>3368.0</v>
      </c>
      <c r="B3369" s="308"/>
      <c r="C3369" s="308" t="s">
        <v>13776</v>
      </c>
      <c r="D3369" s="308">
        <f>IFERROR(__xludf.DUMMYFUNCTION("SPLIT(C3369,""-"")"),3389.0)</f>
        <v>3389</v>
      </c>
      <c r="E3369" s="308" t="str">
        <f>IFERROR(__xludf.DUMMYFUNCTION("""COMPUTED_VALUE"""),"K")</f>
        <v>K</v>
      </c>
      <c r="F3369" s="309" t="s">
        <v>34</v>
      </c>
      <c r="G3369" s="308" t="s">
        <v>13772</v>
      </c>
      <c r="H3369" s="308" t="s">
        <v>13777</v>
      </c>
      <c r="I3369" s="314">
        <v>42320.0</v>
      </c>
      <c r="J3369" s="319">
        <f>IFERROR(__xludf.DUMMYFUNCTION("SPLIT(I3369,""/"")"),12.0)</f>
        <v>12</v>
      </c>
      <c r="K3369" s="308">
        <f>IFERROR(__xludf.DUMMYFUNCTION("""COMPUTED_VALUE"""),11.0)</f>
        <v>11</v>
      </c>
      <c r="L3369" s="308">
        <f>IFERROR(__xludf.DUMMYFUNCTION("""COMPUTED_VALUE"""),2015.0)</f>
        <v>2015</v>
      </c>
      <c r="M3369" s="308" t="s">
        <v>13778</v>
      </c>
      <c r="N3369" s="308"/>
      <c r="O3369" s="308" t="s">
        <v>13779</v>
      </c>
      <c r="P3369" s="308" t="s">
        <v>36958</v>
      </c>
      <c r="Q3369" s="308" t="s">
        <v>36956</v>
      </c>
      <c r="R3369" s="308" t="s">
        <v>13770</v>
      </c>
      <c r="S3369" s="308" t="s">
        <v>81</v>
      </c>
      <c r="T3369" s="308" t="s">
        <v>75</v>
      </c>
      <c r="U3369" s="308" t="s">
        <v>282</v>
      </c>
      <c r="V3369" s="312"/>
    </row>
    <row r="3370">
      <c r="A3370" s="308">
        <v>3369.0</v>
      </c>
      <c r="B3370" s="308"/>
      <c r="C3370" s="308" t="s">
        <v>13781</v>
      </c>
      <c r="D3370" s="308">
        <f>IFERROR(__xludf.DUMMYFUNCTION("SPLIT(C3370,""-"")"),3390.0)</f>
        <v>3390</v>
      </c>
      <c r="E3370" s="308" t="str">
        <f>IFERROR(__xludf.DUMMYFUNCTION("""COMPUTED_VALUE"""),"K")</f>
        <v>K</v>
      </c>
      <c r="F3370" s="309" t="s">
        <v>34</v>
      </c>
      <c r="G3370" s="308" t="s">
        <v>13782</v>
      </c>
      <c r="H3370" s="308" t="s">
        <v>13783</v>
      </c>
      <c r="I3370" s="322"/>
      <c r="J3370" s="319"/>
      <c r="K3370" s="308"/>
      <c r="L3370" s="311" t="s">
        <v>79</v>
      </c>
      <c r="M3370" s="308" t="s">
        <v>13784</v>
      </c>
      <c r="N3370" s="308"/>
      <c r="O3370" s="308" t="s">
        <v>635</v>
      </c>
      <c r="P3370" s="308" t="s">
        <v>13785</v>
      </c>
      <c r="Q3370" s="308" t="s">
        <v>36956</v>
      </c>
      <c r="R3370" s="308" t="s">
        <v>13770</v>
      </c>
      <c r="S3370" s="308" t="s">
        <v>81</v>
      </c>
      <c r="T3370" s="308" t="s">
        <v>98</v>
      </c>
      <c r="U3370" s="308" t="s">
        <v>13786</v>
      </c>
      <c r="V3370" s="312"/>
    </row>
    <row r="3371">
      <c r="A3371" s="308">
        <v>3370.0</v>
      </c>
      <c r="B3371" s="308"/>
      <c r="C3371" s="308" t="s">
        <v>13787</v>
      </c>
      <c r="D3371" s="308">
        <f>IFERROR(__xludf.DUMMYFUNCTION("SPLIT(C3371,""-"")"),3391.0)</f>
        <v>3391</v>
      </c>
      <c r="E3371" s="308" t="str">
        <f>IFERROR(__xludf.DUMMYFUNCTION("""COMPUTED_VALUE"""),"F")</f>
        <v>F</v>
      </c>
      <c r="F3371" s="309" t="s">
        <v>34</v>
      </c>
      <c r="G3371" s="308" t="s">
        <v>13788</v>
      </c>
      <c r="H3371" s="308" t="s">
        <v>13789</v>
      </c>
      <c r="I3371" s="316">
        <v>2008.0</v>
      </c>
      <c r="J3371" s="319"/>
      <c r="K3371" s="308"/>
      <c r="L3371" s="311">
        <v>2008.0</v>
      </c>
      <c r="M3371" s="308" t="s">
        <v>13790</v>
      </c>
      <c r="N3371" s="308"/>
      <c r="O3371" s="308" t="s">
        <v>635</v>
      </c>
      <c r="P3371" s="308" t="s">
        <v>36959</v>
      </c>
      <c r="Q3371" s="308" t="s">
        <v>36956</v>
      </c>
      <c r="R3371" s="308" t="s">
        <v>13770</v>
      </c>
      <c r="S3371" s="308" t="s">
        <v>49</v>
      </c>
      <c r="T3371" s="308" t="s">
        <v>51</v>
      </c>
      <c r="U3371" s="308" t="s">
        <v>195</v>
      </c>
      <c r="V3371" s="312"/>
    </row>
    <row r="3372">
      <c r="A3372" s="308">
        <v>3371.0</v>
      </c>
      <c r="B3372" s="308"/>
      <c r="C3372" s="308" t="s">
        <v>13792</v>
      </c>
      <c r="D3372" s="308">
        <f>IFERROR(__xludf.DUMMYFUNCTION("SPLIT(C3372,""-"")"),3392.0)</f>
        <v>3392</v>
      </c>
      <c r="E3372" s="308" t="str">
        <f>IFERROR(__xludf.DUMMYFUNCTION("""COMPUTED_VALUE"""),"P")</f>
        <v>P</v>
      </c>
      <c r="F3372" s="312" t="s">
        <v>37</v>
      </c>
      <c r="G3372" s="308"/>
      <c r="H3372" s="308" t="s">
        <v>13793</v>
      </c>
      <c r="I3372" s="310">
        <v>42497.0</v>
      </c>
      <c r="J3372" s="319">
        <f>IFERROR(__xludf.DUMMYFUNCTION("SPLIT(I3372,""/"")"),7.0)</f>
        <v>7</v>
      </c>
      <c r="K3372" s="308">
        <f>IFERROR(__xludf.DUMMYFUNCTION("""COMPUTED_VALUE"""),5.0)</f>
        <v>5</v>
      </c>
      <c r="L3372" s="308">
        <f>IFERROR(__xludf.DUMMYFUNCTION("""COMPUTED_VALUE"""),2016.0)</f>
        <v>2016</v>
      </c>
      <c r="M3372" s="308" t="s">
        <v>36960</v>
      </c>
      <c r="N3372" s="308"/>
      <c r="O3372" s="308" t="s">
        <v>13795</v>
      </c>
      <c r="P3372" s="308" t="s">
        <v>13796</v>
      </c>
      <c r="Q3372" s="308"/>
      <c r="R3372" s="308"/>
      <c r="S3372" s="308" t="s">
        <v>81</v>
      </c>
      <c r="T3372" s="308" t="s">
        <v>75</v>
      </c>
      <c r="U3372" s="308"/>
      <c r="V3372" s="312"/>
    </row>
    <row r="3373">
      <c r="A3373" s="308">
        <v>3372.0</v>
      </c>
      <c r="B3373" s="308"/>
      <c r="C3373" s="308" t="s">
        <v>13797</v>
      </c>
      <c r="D3373" s="308">
        <f>IFERROR(__xludf.DUMMYFUNCTION("SPLIT(C3373,""-"")"),3393.0)</f>
        <v>3393</v>
      </c>
      <c r="E3373" s="308" t="str">
        <f>IFERROR(__xludf.DUMMYFUNCTION("""COMPUTED_VALUE"""),"K")</f>
        <v>K</v>
      </c>
      <c r="F3373" s="309" t="s">
        <v>34</v>
      </c>
      <c r="G3373" s="308"/>
      <c r="H3373" s="308" t="s">
        <v>13798</v>
      </c>
      <c r="I3373" s="314">
        <v>41927.0</v>
      </c>
      <c r="J3373" s="319">
        <f>IFERROR(__xludf.DUMMYFUNCTION("SPLIT(I3373,""/"")"),15.0)</f>
        <v>15</v>
      </c>
      <c r="K3373" s="308">
        <f>IFERROR(__xludf.DUMMYFUNCTION("""COMPUTED_VALUE"""),10.0)</f>
        <v>10</v>
      </c>
      <c r="L3373" s="308">
        <f>IFERROR(__xludf.DUMMYFUNCTION("""COMPUTED_VALUE"""),2014.0)</f>
        <v>2014</v>
      </c>
      <c r="M3373" s="308" t="s">
        <v>13799</v>
      </c>
      <c r="N3373" s="308"/>
      <c r="O3373" s="308" t="s">
        <v>13800</v>
      </c>
      <c r="P3373" s="308" t="s">
        <v>13801</v>
      </c>
      <c r="Q3373" s="308" t="s">
        <v>36961</v>
      </c>
      <c r="R3373" s="308" t="s">
        <v>2743</v>
      </c>
      <c r="S3373" s="308" t="s">
        <v>81</v>
      </c>
      <c r="T3373" s="308" t="s">
        <v>75</v>
      </c>
      <c r="U3373" s="308" t="s">
        <v>282</v>
      </c>
      <c r="V3373" s="312"/>
    </row>
    <row r="3374">
      <c r="A3374" s="308">
        <v>3373.0</v>
      </c>
      <c r="B3374" s="308"/>
      <c r="C3374" s="308" t="s">
        <v>13802</v>
      </c>
      <c r="D3374" s="308">
        <f>IFERROR(__xludf.DUMMYFUNCTION("SPLIT(C3374,""-"")"),3394.0)</f>
        <v>3394</v>
      </c>
      <c r="E3374" s="308" t="str">
        <f>IFERROR(__xludf.DUMMYFUNCTION("""COMPUTED_VALUE"""),"I")</f>
        <v>I</v>
      </c>
      <c r="F3374" s="309" t="s">
        <v>31</v>
      </c>
      <c r="G3374" s="308"/>
      <c r="H3374" s="308" t="s">
        <v>13803</v>
      </c>
      <c r="I3374" s="310">
        <v>42443.0</v>
      </c>
      <c r="J3374" s="319">
        <f>IFERROR(__xludf.DUMMYFUNCTION("SPLIT(I3374,""/"")"),14.0)</f>
        <v>14</v>
      </c>
      <c r="K3374" s="308">
        <f>IFERROR(__xludf.DUMMYFUNCTION("""COMPUTED_VALUE"""),3.0)</f>
        <v>3</v>
      </c>
      <c r="L3374" s="308">
        <f>IFERROR(__xludf.DUMMYFUNCTION("""COMPUTED_VALUE"""),2016.0)</f>
        <v>2016</v>
      </c>
      <c r="M3374" s="308" t="s">
        <v>13804</v>
      </c>
      <c r="N3374" s="308"/>
      <c r="O3374" s="308" t="s">
        <v>13805</v>
      </c>
      <c r="P3374" s="308" t="s">
        <v>36962</v>
      </c>
      <c r="Q3374" s="308" t="s">
        <v>36961</v>
      </c>
      <c r="R3374" s="308" t="s">
        <v>2743</v>
      </c>
      <c r="S3374" s="315" t="s">
        <v>100</v>
      </c>
      <c r="T3374" s="311" t="s">
        <v>34208</v>
      </c>
      <c r="U3374" s="308" t="s">
        <v>31</v>
      </c>
      <c r="V3374" s="312"/>
    </row>
    <row r="3375">
      <c r="A3375" s="308">
        <v>3374.0</v>
      </c>
      <c r="B3375" s="308"/>
      <c r="C3375" s="308" t="s">
        <v>13806</v>
      </c>
      <c r="D3375" s="308">
        <f>IFERROR(__xludf.DUMMYFUNCTION("SPLIT(C3375,""-"")"),3395.0)</f>
        <v>3395</v>
      </c>
      <c r="E3375" s="308" t="str">
        <f>IFERROR(__xludf.DUMMYFUNCTION("""COMPUTED_VALUE"""),"K")</f>
        <v>K</v>
      </c>
      <c r="F3375" s="309" t="s">
        <v>34</v>
      </c>
      <c r="G3375" s="308"/>
      <c r="H3375" s="308" t="s">
        <v>13807</v>
      </c>
      <c r="I3375" s="310">
        <v>40970.0</v>
      </c>
      <c r="J3375" s="319">
        <f>IFERROR(__xludf.DUMMYFUNCTION("SPLIT(I3375,""/"")"),2.0)</f>
        <v>2</v>
      </c>
      <c r="K3375" s="308">
        <f>IFERROR(__xludf.DUMMYFUNCTION("""COMPUTED_VALUE"""),3.0)</f>
        <v>3</v>
      </c>
      <c r="L3375" s="308">
        <f>IFERROR(__xludf.DUMMYFUNCTION("""COMPUTED_VALUE"""),2012.0)</f>
        <v>2012</v>
      </c>
      <c r="M3375" s="308" t="s">
        <v>13808</v>
      </c>
      <c r="N3375" s="308"/>
      <c r="O3375" s="308" t="s">
        <v>13809</v>
      </c>
      <c r="P3375" s="308" t="s">
        <v>36886</v>
      </c>
      <c r="Q3375" s="308" t="s">
        <v>36961</v>
      </c>
      <c r="R3375" s="308" t="s">
        <v>13810</v>
      </c>
      <c r="S3375" s="315" t="s">
        <v>100</v>
      </c>
      <c r="T3375" s="311" t="s">
        <v>34208</v>
      </c>
      <c r="U3375" s="308" t="s">
        <v>125</v>
      </c>
      <c r="V3375" s="312"/>
    </row>
    <row r="3376">
      <c r="A3376" s="308">
        <v>3375.0</v>
      </c>
      <c r="B3376" s="308"/>
      <c r="C3376" s="308" t="s">
        <v>13811</v>
      </c>
      <c r="D3376" s="308">
        <f>IFERROR(__xludf.DUMMYFUNCTION("SPLIT(C3376,""-"")"),3396.0)</f>
        <v>3396</v>
      </c>
      <c r="E3376" s="308" t="str">
        <f>IFERROR(__xludf.DUMMYFUNCTION("""COMPUTED_VALUE"""),"I")</f>
        <v>I</v>
      </c>
      <c r="F3376" s="309" t="s">
        <v>31</v>
      </c>
      <c r="G3376" s="308"/>
      <c r="H3376" s="308" t="s">
        <v>13812</v>
      </c>
      <c r="I3376" s="310">
        <v>42500.0</v>
      </c>
      <c r="J3376" s="319">
        <f>IFERROR(__xludf.DUMMYFUNCTION("SPLIT(I3376,""/"")"),10.0)</f>
        <v>10</v>
      </c>
      <c r="K3376" s="308">
        <f>IFERROR(__xludf.DUMMYFUNCTION("""COMPUTED_VALUE"""),5.0)</f>
        <v>5</v>
      </c>
      <c r="L3376" s="308">
        <f>IFERROR(__xludf.DUMMYFUNCTION("""COMPUTED_VALUE"""),2016.0)</f>
        <v>2016</v>
      </c>
      <c r="M3376" s="308" t="s">
        <v>13813</v>
      </c>
      <c r="N3376" s="308"/>
      <c r="O3376" s="308" t="s">
        <v>13814</v>
      </c>
      <c r="P3376" s="308" t="s">
        <v>13815</v>
      </c>
      <c r="Q3376" s="308" t="s">
        <v>36963</v>
      </c>
      <c r="R3376" s="308" t="s">
        <v>13594</v>
      </c>
      <c r="S3376" s="308" t="s">
        <v>81</v>
      </c>
      <c r="T3376" s="308" t="s">
        <v>75</v>
      </c>
      <c r="U3376" s="308"/>
      <c r="V3376" s="312"/>
    </row>
    <row r="3377">
      <c r="A3377" s="308">
        <v>3376.0</v>
      </c>
      <c r="B3377" s="308"/>
      <c r="C3377" s="308" t="s">
        <v>13816</v>
      </c>
      <c r="D3377" s="308">
        <f>IFERROR(__xludf.DUMMYFUNCTION("SPLIT(C3377,""-"")"),3397.0)</f>
        <v>3397</v>
      </c>
      <c r="E3377" s="308" t="str">
        <f>IFERROR(__xludf.DUMMYFUNCTION("""COMPUTED_VALUE"""),"A")</f>
        <v>A</v>
      </c>
      <c r="F3377" s="309" t="s">
        <v>23</v>
      </c>
      <c r="G3377" s="308"/>
      <c r="H3377" s="308" t="s">
        <v>13817</v>
      </c>
      <c r="I3377" s="310">
        <v>42345.0</v>
      </c>
      <c r="J3377" s="319">
        <f>IFERROR(__xludf.DUMMYFUNCTION("SPLIT(I3377,""/"")"),7.0)</f>
        <v>7</v>
      </c>
      <c r="K3377" s="308">
        <f>IFERROR(__xludf.DUMMYFUNCTION("""COMPUTED_VALUE"""),12.0)</f>
        <v>12</v>
      </c>
      <c r="L3377" s="308">
        <f>IFERROR(__xludf.DUMMYFUNCTION("""COMPUTED_VALUE"""),2015.0)</f>
        <v>2015</v>
      </c>
      <c r="M3377" s="308" t="s">
        <v>13818</v>
      </c>
      <c r="N3377" s="308"/>
      <c r="O3377" s="308" t="s">
        <v>13819</v>
      </c>
      <c r="P3377" s="308" t="s">
        <v>13820</v>
      </c>
      <c r="Q3377" s="308" t="s">
        <v>36963</v>
      </c>
      <c r="R3377" s="308" t="s">
        <v>13594</v>
      </c>
      <c r="S3377" s="308" t="s">
        <v>81</v>
      </c>
      <c r="T3377" s="308" t="s">
        <v>73</v>
      </c>
      <c r="U3377" s="308" t="s">
        <v>403</v>
      </c>
      <c r="V3377" s="312"/>
    </row>
    <row r="3378">
      <c r="A3378" s="308">
        <v>3377.0</v>
      </c>
      <c r="B3378" s="308"/>
      <c r="C3378" s="308" t="s">
        <v>13821</v>
      </c>
      <c r="D3378" s="308">
        <f>IFERROR(__xludf.DUMMYFUNCTION("SPLIT(C3378,""-"")"),3398.0)</f>
        <v>3398</v>
      </c>
      <c r="E3378" s="308" t="str">
        <f>IFERROR(__xludf.DUMMYFUNCTION("""COMPUTED_VALUE"""),"P")</f>
        <v>P</v>
      </c>
      <c r="F3378" s="312" t="s">
        <v>37</v>
      </c>
      <c r="G3378" s="308"/>
      <c r="H3378" s="308" t="s">
        <v>13822</v>
      </c>
      <c r="I3378" s="314">
        <v>41997.0</v>
      </c>
      <c r="J3378" s="319">
        <f>IFERROR(__xludf.DUMMYFUNCTION("SPLIT(I3378,""/"")"),24.0)</f>
        <v>24</v>
      </c>
      <c r="K3378" s="308">
        <f>IFERROR(__xludf.DUMMYFUNCTION("""COMPUTED_VALUE"""),12.0)</f>
        <v>12</v>
      </c>
      <c r="L3378" s="308">
        <f>IFERROR(__xludf.DUMMYFUNCTION("""COMPUTED_VALUE"""),2014.0)</f>
        <v>2014</v>
      </c>
      <c r="M3378" s="308" t="s">
        <v>13823</v>
      </c>
      <c r="N3378" s="308"/>
      <c r="O3378" s="308" t="s">
        <v>13824</v>
      </c>
      <c r="P3378" s="308" t="s">
        <v>36964</v>
      </c>
      <c r="Q3378" s="308" t="s">
        <v>36963</v>
      </c>
      <c r="R3378" s="308" t="s">
        <v>34322</v>
      </c>
      <c r="S3378" s="315" t="s">
        <v>100</v>
      </c>
      <c r="T3378" s="311" t="s">
        <v>34208</v>
      </c>
      <c r="U3378" s="308" t="s">
        <v>2291</v>
      </c>
      <c r="V3378" s="312"/>
    </row>
    <row r="3379">
      <c r="A3379" s="308">
        <v>3378.0</v>
      </c>
      <c r="B3379" s="308"/>
      <c r="C3379" s="308" t="s">
        <v>13825</v>
      </c>
      <c r="D3379" s="308">
        <f>IFERROR(__xludf.DUMMYFUNCTION("SPLIT(C3379,""-"")"),3399.0)</f>
        <v>3399</v>
      </c>
      <c r="E3379" s="308" t="str">
        <f>IFERROR(__xludf.DUMMYFUNCTION("""COMPUTED_VALUE"""),"K")</f>
        <v>K</v>
      </c>
      <c r="F3379" s="309" t="s">
        <v>34</v>
      </c>
      <c r="G3379" s="308"/>
      <c r="H3379" s="308" t="s">
        <v>13826</v>
      </c>
      <c r="I3379" s="310">
        <v>41366.0</v>
      </c>
      <c r="J3379" s="319">
        <f>IFERROR(__xludf.DUMMYFUNCTION("SPLIT(I3379,""/"")"),2.0)</f>
        <v>2</v>
      </c>
      <c r="K3379" s="308">
        <f>IFERROR(__xludf.DUMMYFUNCTION("""COMPUTED_VALUE"""),4.0)</f>
        <v>4</v>
      </c>
      <c r="L3379" s="308">
        <f>IFERROR(__xludf.DUMMYFUNCTION("""COMPUTED_VALUE"""),2013.0)</f>
        <v>2013</v>
      </c>
      <c r="M3379" s="308" t="s">
        <v>13827</v>
      </c>
      <c r="N3379" s="308"/>
      <c r="O3379" s="308" t="s">
        <v>13828</v>
      </c>
      <c r="P3379" s="308" t="s">
        <v>13829</v>
      </c>
      <c r="Q3379" s="308" t="s">
        <v>36963</v>
      </c>
      <c r="R3379" s="308" t="s">
        <v>13594</v>
      </c>
      <c r="S3379" s="308" t="s">
        <v>81</v>
      </c>
      <c r="T3379" s="308" t="s">
        <v>34264</v>
      </c>
      <c r="U3379" s="308" t="s">
        <v>872</v>
      </c>
      <c r="V3379" s="312"/>
    </row>
    <row r="3380">
      <c r="A3380" s="308">
        <v>3379.0</v>
      </c>
      <c r="B3380" s="308"/>
      <c r="C3380" s="308" t="s">
        <v>13830</v>
      </c>
      <c r="D3380" s="308">
        <f>IFERROR(__xludf.DUMMYFUNCTION("SPLIT(C3380,""-"")"),3400.0)</f>
        <v>3400</v>
      </c>
      <c r="E3380" s="308" t="str">
        <f>IFERROR(__xludf.DUMMYFUNCTION("""COMPUTED_VALUE"""),"S")</f>
        <v>S</v>
      </c>
      <c r="F3380" s="312" t="s">
        <v>39</v>
      </c>
      <c r="G3380" s="308"/>
      <c r="H3380" s="308" t="s">
        <v>13831</v>
      </c>
      <c r="I3380" s="310">
        <v>42499.0</v>
      </c>
      <c r="J3380" s="319">
        <f>IFERROR(__xludf.DUMMYFUNCTION("SPLIT(I3380,""/"")"),9.0)</f>
        <v>9</v>
      </c>
      <c r="K3380" s="308">
        <f>IFERROR(__xludf.DUMMYFUNCTION("""COMPUTED_VALUE"""),5.0)</f>
        <v>5</v>
      </c>
      <c r="L3380" s="308">
        <f>IFERROR(__xludf.DUMMYFUNCTION("""COMPUTED_VALUE"""),2016.0)</f>
        <v>2016</v>
      </c>
      <c r="M3380" s="308" t="s">
        <v>36965</v>
      </c>
      <c r="N3380" s="308"/>
      <c r="O3380" s="308" t="s">
        <v>635</v>
      </c>
      <c r="P3380" s="308" t="s">
        <v>9968</v>
      </c>
      <c r="Q3380" s="308" t="s">
        <v>36963</v>
      </c>
      <c r="R3380" s="308" t="s">
        <v>13594</v>
      </c>
      <c r="S3380" s="308" t="s">
        <v>81</v>
      </c>
      <c r="T3380" s="308" t="s">
        <v>75</v>
      </c>
      <c r="U3380" s="308" t="s">
        <v>166</v>
      </c>
      <c r="V3380" s="312"/>
    </row>
    <row r="3381">
      <c r="A3381" s="308">
        <v>3380.0</v>
      </c>
      <c r="B3381" s="308"/>
      <c r="C3381" s="308" t="s">
        <v>13833</v>
      </c>
      <c r="D3381" s="308">
        <f>IFERROR(__xludf.DUMMYFUNCTION("SPLIT(C3381,""-"")"),3401.0)</f>
        <v>3401</v>
      </c>
      <c r="E3381" s="308" t="str">
        <f>IFERROR(__xludf.DUMMYFUNCTION("""COMPUTED_VALUE"""),"S")</f>
        <v>S</v>
      </c>
      <c r="F3381" s="312" t="s">
        <v>39</v>
      </c>
      <c r="G3381" s="308"/>
      <c r="H3381" s="308" t="s">
        <v>13834</v>
      </c>
      <c r="I3381" s="310">
        <v>42514.0</v>
      </c>
      <c r="J3381" s="319">
        <f>IFERROR(__xludf.DUMMYFUNCTION("SPLIT(I3381,""/"")"),24.0)</f>
        <v>24</v>
      </c>
      <c r="K3381" s="308">
        <f>IFERROR(__xludf.DUMMYFUNCTION("""COMPUTED_VALUE"""),5.0)</f>
        <v>5</v>
      </c>
      <c r="L3381" s="308">
        <f>IFERROR(__xludf.DUMMYFUNCTION("""COMPUTED_VALUE"""),2016.0)</f>
        <v>2016</v>
      </c>
      <c r="M3381" s="308" t="s">
        <v>36966</v>
      </c>
      <c r="N3381" s="308"/>
      <c r="O3381" s="308" t="s">
        <v>635</v>
      </c>
      <c r="P3381" s="308" t="s">
        <v>6973</v>
      </c>
      <c r="Q3381" s="308" t="s">
        <v>36967</v>
      </c>
      <c r="R3381" s="308" t="s">
        <v>13836</v>
      </c>
      <c r="S3381" s="308" t="s">
        <v>49</v>
      </c>
      <c r="T3381" s="308" t="s">
        <v>67</v>
      </c>
      <c r="U3381" s="308" t="s">
        <v>166</v>
      </c>
      <c r="V3381" s="312"/>
    </row>
    <row r="3382">
      <c r="A3382" s="308">
        <v>3381.0</v>
      </c>
      <c r="B3382" s="308"/>
      <c r="C3382" s="308" t="s">
        <v>13837</v>
      </c>
      <c r="D3382" s="308">
        <f>IFERROR(__xludf.DUMMYFUNCTION("SPLIT(C3382,""-"")"),3402.0)</f>
        <v>3402</v>
      </c>
      <c r="E3382" s="308" t="str">
        <f>IFERROR(__xludf.DUMMYFUNCTION("""COMPUTED_VALUE"""),"S")</f>
        <v>S</v>
      </c>
      <c r="F3382" s="312" t="s">
        <v>39</v>
      </c>
      <c r="G3382" s="308"/>
      <c r="H3382" s="308" t="s">
        <v>13838</v>
      </c>
      <c r="I3382" s="310">
        <v>42514.0</v>
      </c>
      <c r="J3382" s="319">
        <f>IFERROR(__xludf.DUMMYFUNCTION("SPLIT(I3382,""/"")"),24.0)</f>
        <v>24</v>
      </c>
      <c r="K3382" s="308">
        <f>IFERROR(__xludf.DUMMYFUNCTION("""COMPUTED_VALUE"""),5.0)</f>
        <v>5</v>
      </c>
      <c r="L3382" s="308">
        <f>IFERROR(__xludf.DUMMYFUNCTION("""COMPUTED_VALUE"""),2016.0)</f>
        <v>2016</v>
      </c>
      <c r="M3382" s="308" t="s">
        <v>13839</v>
      </c>
      <c r="N3382" s="308"/>
      <c r="O3382" s="308" t="s">
        <v>13840</v>
      </c>
      <c r="P3382" s="308" t="s">
        <v>36968</v>
      </c>
      <c r="Q3382" s="308" t="s">
        <v>36967</v>
      </c>
      <c r="R3382" s="308" t="s">
        <v>13836</v>
      </c>
      <c r="S3382" s="308" t="s">
        <v>81</v>
      </c>
      <c r="T3382" s="308" t="s">
        <v>75</v>
      </c>
      <c r="U3382" s="308" t="s">
        <v>166</v>
      </c>
      <c r="V3382" s="312"/>
    </row>
    <row r="3383">
      <c r="A3383" s="308">
        <v>3382.0</v>
      </c>
      <c r="B3383" s="308"/>
      <c r="C3383" s="308" t="s">
        <v>13842</v>
      </c>
      <c r="D3383" s="308">
        <f>IFERROR(__xludf.DUMMYFUNCTION("SPLIT(C3383,""-"")"),3403.0)</f>
        <v>3403</v>
      </c>
      <c r="E3383" s="308" t="str">
        <f>IFERROR(__xludf.DUMMYFUNCTION("""COMPUTED_VALUE"""),"S")</f>
        <v>S</v>
      </c>
      <c r="F3383" s="312" t="s">
        <v>39</v>
      </c>
      <c r="G3383" s="308"/>
      <c r="H3383" s="308" t="s">
        <v>13843</v>
      </c>
      <c r="I3383" s="310">
        <v>42515.0</v>
      </c>
      <c r="J3383" s="319">
        <f>IFERROR(__xludf.DUMMYFUNCTION("SPLIT(I3383,""/"")"),25.0)</f>
        <v>25</v>
      </c>
      <c r="K3383" s="308">
        <f>IFERROR(__xludf.DUMMYFUNCTION("""COMPUTED_VALUE"""),5.0)</f>
        <v>5</v>
      </c>
      <c r="L3383" s="308">
        <f>IFERROR(__xludf.DUMMYFUNCTION("""COMPUTED_VALUE"""),2016.0)</f>
        <v>2016</v>
      </c>
      <c r="M3383" s="308" t="s">
        <v>13844</v>
      </c>
      <c r="N3383" s="308"/>
      <c r="O3383" s="308" t="s">
        <v>635</v>
      </c>
      <c r="P3383" s="308" t="s">
        <v>12369</v>
      </c>
      <c r="Q3383" s="308" t="s">
        <v>36967</v>
      </c>
      <c r="R3383" s="308" t="s">
        <v>13836</v>
      </c>
      <c r="S3383" s="308" t="s">
        <v>81</v>
      </c>
      <c r="T3383" s="308" t="s">
        <v>73</v>
      </c>
      <c r="U3383" s="308" t="s">
        <v>166</v>
      </c>
      <c r="V3383" s="312"/>
    </row>
    <row r="3384">
      <c r="A3384" s="308">
        <v>3383.0</v>
      </c>
      <c r="B3384" s="308"/>
      <c r="C3384" s="308" t="s">
        <v>13845</v>
      </c>
      <c r="D3384" s="308">
        <f>IFERROR(__xludf.DUMMYFUNCTION("SPLIT(C3384,""-"")"),3404.0)</f>
        <v>3404</v>
      </c>
      <c r="E3384" s="308" t="str">
        <f>IFERROR(__xludf.DUMMYFUNCTION("""COMPUTED_VALUE"""),"S")</f>
        <v>S</v>
      </c>
      <c r="F3384" s="312" t="s">
        <v>39</v>
      </c>
      <c r="G3384" s="308"/>
      <c r="H3384" s="308" t="s">
        <v>13846</v>
      </c>
      <c r="I3384" s="310">
        <v>42515.0</v>
      </c>
      <c r="J3384" s="319">
        <f>IFERROR(__xludf.DUMMYFUNCTION("SPLIT(I3384,""/"")"),25.0)</f>
        <v>25</v>
      </c>
      <c r="K3384" s="308">
        <f>IFERROR(__xludf.DUMMYFUNCTION("""COMPUTED_VALUE"""),5.0)</f>
        <v>5</v>
      </c>
      <c r="L3384" s="308">
        <f>IFERROR(__xludf.DUMMYFUNCTION("""COMPUTED_VALUE"""),2016.0)</f>
        <v>2016</v>
      </c>
      <c r="M3384" s="308" t="s">
        <v>13847</v>
      </c>
      <c r="N3384" s="308"/>
      <c r="O3384" s="308" t="s">
        <v>635</v>
      </c>
      <c r="P3384" s="308" t="s">
        <v>13848</v>
      </c>
      <c r="Q3384" s="308" t="s">
        <v>36967</v>
      </c>
      <c r="R3384" s="308" t="s">
        <v>13836</v>
      </c>
      <c r="S3384" s="308" t="s">
        <v>81</v>
      </c>
      <c r="T3384" s="308" t="s">
        <v>75</v>
      </c>
      <c r="U3384" s="308" t="s">
        <v>166</v>
      </c>
      <c r="V3384" s="312"/>
    </row>
    <row r="3385">
      <c r="A3385" s="308">
        <v>3384.0</v>
      </c>
      <c r="B3385" s="308"/>
      <c r="C3385" s="308" t="s">
        <v>13849</v>
      </c>
      <c r="D3385" s="308">
        <f>IFERROR(__xludf.DUMMYFUNCTION("SPLIT(C3385,""-"")"),3405.0)</f>
        <v>3405</v>
      </c>
      <c r="E3385" s="308" t="str">
        <f>IFERROR(__xludf.DUMMYFUNCTION("""COMPUTED_VALUE"""),"S")</f>
        <v>S</v>
      </c>
      <c r="F3385" s="312" t="s">
        <v>39</v>
      </c>
      <c r="G3385" s="308"/>
      <c r="H3385" s="308" t="s">
        <v>13850</v>
      </c>
      <c r="I3385" s="310">
        <v>42524.0</v>
      </c>
      <c r="J3385" s="319">
        <f>IFERROR(__xludf.DUMMYFUNCTION("SPLIT(I3385,""/"")"),3.0)</f>
        <v>3</v>
      </c>
      <c r="K3385" s="308">
        <f>IFERROR(__xludf.DUMMYFUNCTION("""COMPUTED_VALUE"""),6.0)</f>
        <v>6</v>
      </c>
      <c r="L3385" s="308">
        <f>IFERROR(__xludf.DUMMYFUNCTION("""COMPUTED_VALUE"""),2016.0)</f>
        <v>2016</v>
      </c>
      <c r="M3385" s="308" t="s">
        <v>13851</v>
      </c>
      <c r="N3385" s="308"/>
      <c r="O3385" s="308" t="s">
        <v>635</v>
      </c>
      <c r="P3385" s="308" t="s">
        <v>13852</v>
      </c>
      <c r="Q3385" s="308" t="s">
        <v>36967</v>
      </c>
      <c r="R3385" s="308" t="s">
        <v>13836</v>
      </c>
      <c r="S3385" s="308" t="s">
        <v>81</v>
      </c>
      <c r="T3385" s="308" t="s">
        <v>75</v>
      </c>
      <c r="U3385" s="308" t="s">
        <v>166</v>
      </c>
      <c r="V3385" s="312"/>
    </row>
    <row r="3386">
      <c r="A3386" s="308">
        <v>3385.0</v>
      </c>
      <c r="B3386" s="308"/>
      <c r="C3386" s="308" t="s">
        <v>13853</v>
      </c>
      <c r="D3386" s="308">
        <f>IFERROR(__xludf.DUMMYFUNCTION("SPLIT(C3386,""-"")"),3406.0)</f>
        <v>3406</v>
      </c>
      <c r="E3386" s="308" t="str">
        <f>IFERROR(__xludf.DUMMYFUNCTION("""COMPUTED_VALUE"""),"S")</f>
        <v>S</v>
      </c>
      <c r="F3386" s="312" t="s">
        <v>39</v>
      </c>
      <c r="G3386" s="308"/>
      <c r="H3386" s="308" t="s">
        <v>13854</v>
      </c>
      <c r="I3386" s="310">
        <v>42524.0</v>
      </c>
      <c r="J3386" s="319">
        <f>IFERROR(__xludf.DUMMYFUNCTION("SPLIT(I3386,""/"")"),3.0)</f>
        <v>3</v>
      </c>
      <c r="K3386" s="308">
        <f>IFERROR(__xludf.DUMMYFUNCTION("""COMPUTED_VALUE"""),6.0)</f>
        <v>6</v>
      </c>
      <c r="L3386" s="308">
        <f>IFERROR(__xludf.DUMMYFUNCTION("""COMPUTED_VALUE"""),2016.0)</f>
        <v>2016</v>
      </c>
      <c r="M3386" s="308" t="s">
        <v>13851</v>
      </c>
      <c r="N3386" s="308"/>
      <c r="O3386" s="308" t="s">
        <v>635</v>
      </c>
      <c r="P3386" s="308" t="s">
        <v>12369</v>
      </c>
      <c r="Q3386" s="308" t="s">
        <v>36967</v>
      </c>
      <c r="R3386" s="308" t="s">
        <v>13836</v>
      </c>
      <c r="S3386" s="308" t="s">
        <v>81</v>
      </c>
      <c r="T3386" s="308" t="s">
        <v>73</v>
      </c>
      <c r="U3386" s="308" t="s">
        <v>166</v>
      </c>
      <c r="V3386" s="312"/>
    </row>
    <row r="3387">
      <c r="A3387" s="308">
        <v>3386.0</v>
      </c>
      <c r="B3387" s="308"/>
      <c r="C3387" s="308" t="s">
        <v>13855</v>
      </c>
      <c r="D3387" s="308">
        <f>IFERROR(__xludf.DUMMYFUNCTION("SPLIT(C3387,""-"")"),3407.0)</f>
        <v>3407</v>
      </c>
      <c r="E3387" s="308" t="str">
        <f>IFERROR(__xludf.DUMMYFUNCTION("""COMPUTED_VALUE"""),"S")</f>
        <v>S</v>
      </c>
      <c r="F3387" s="312" t="s">
        <v>39</v>
      </c>
      <c r="G3387" s="308"/>
      <c r="H3387" s="308" t="s">
        <v>13856</v>
      </c>
      <c r="I3387" s="310">
        <v>42524.0</v>
      </c>
      <c r="J3387" s="319">
        <f>IFERROR(__xludf.DUMMYFUNCTION("SPLIT(I3387,""/"")"),3.0)</f>
        <v>3</v>
      </c>
      <c r="K3387" s="308">
        <f>IFERROR(__xludf.DUMMYFUNCTION("""COMPUTED_VALUE"""),6.0)</f>
        <v>6</v>
      </c>
      <c r="L3387" s="308">
        <f>IFERROR(__xludf.DUMMYFUNCTION("""COMPUTED_VALUE"""),2016.0)</f>
        <v>2016</v>
      </c>
      <c r="M3387" s="308" t="s">
        <v>13851</v>
      </c>
      <c r="N3387" s="308"/>
      <c r="O3387" s="308" t="s">
        <v>635</v>
      </c>
      <c r="P3387" s="308" t="s">
        <v>13857</v>
      </c>
      <c r="Q3387" s="308" t="s">
        <v>36967</v>
      </c>
      <c r="R3387" s="308" t="s">
        <v>13836</v>
      </c>
      <c r="S3387" s="308" t="s">
        <v>81</v>
      </c>
      <c r="T3387" s="311" t="s">
        <v>35048</v>
      </c>
      <c r="U3387" s="308" t="s">
        <v>166</v>
      </c>
      <c r="V3387" s="312"/>
    </row>
    <row r="3388">
      <c r="A3388" s="308">
        <v>3387.0</v>
      </c>
      <c r="B3388" s="308"/>
      <c r="C3388" s="308" t="s">
        <v>13858</v>
      </c>
      <c r="D3388" s="308">
        <f>IFERROR(__xludf.DUMMYFUNCTION("SPLIT(C3388,""-"")"),3408.0)</f>
        <v>3408</v>
      </c>
      <c r="E3388" s="308" t="str">
        <f>IFERROR(__xludf.DUMMYFUNCTION("""COMPUTED_VALUE"""),"S")</f>
        <v>S</v>
      </c>
      <c r="F3388" s="312" t="s">
        <v>39</v>
      </c>
      <c r="G3388" s="308"/>
      <c r="H3388" s="308" t="s">
        <v>13859</v>
      </c>
      <c r="I3388" s="310">
        <v>42524.0</v>
      </c>
      <c r="J3388" s="319">
        <f>IFERROR(__xludf.DUMMYFUNCTION("SPLIT(I3388,""/"")"),3.0)</f>
        <v>3</v>
      </c>
      <c r="K3388" s="308">
        <f>IFERROR(__xludf.DUMMYFUNCTION("""COMPUTED_VALUE"""),6.0)</f>
        <v>6</v>
      </c>
      <c r="L3388" s="308">
        <f>IFERROR(__xludf.DUMMYFUNCTION("""COMPUTED_VALUE"""),2016.0)</f>
        <v>2016</v>
      </c>
      <c r="M3388" s="308" t="s">
        <v>13860</v>
      </c>
      <c r="N3388" s="308"/>
      <c r="O3388" s="308" t="s">
        <v>635</v>
      </c>
      <c r="P3388" s="308" t="s">
        <v>13861</v>
      </c>
      <c r="Q3388" s="308" t="s">
        <v>36967</v>
      </c>
      <c r="R3388" s="308" t="s">
        <v>13836</v>
      </c>
      <c r="S3388" s="308" t="s">
        <v>81</v>
      </c>
      <c r="T3388" s="311" t="s">
        <v>35048</v>
      </c>
      <c r="U3388" s="308" t="s">
        <v>166</v>
      </c>
      <c r="V3388" s="312"/>
    </row>
    <row r="3389">
      <c r="A3389" s="308">
        <v>3388.0</v>
      </c>
      <c r="B3389" s="308"/>
      <c r="C3389" s="308" t="s">
        <v>13862</v>
      </c>
      <c r="D3389" s="308">
        <f>IFERROR(__xludf.DUMMYFUNCTION("SPLIT(C3389,""-"")"),3409.0)</f>
        <v>3409</v>
      </c>
      <c r="E3389" s="308" t="str">
        <f>IFERROR(__xludf.DUMMYFUNCTION("""COMPUTED_VALUE"""),"S")</f>
        <v>S</v>
      </c>
      <c r="F3389" s="312" t="s">
        <v>39</v>
      </c>
      <c r="G3389" s="308"/>
      <c r="H3389" s="308" t="s">
        <v>13863</v>
      </c>
      <c r="I3389" s="310">
        <v>42524.0</v>
      </c>
      <c r="J3389" s="319">
        <f>IFERROR(__xludf.DUMMYFUNCTION("SPLIT(I3389,""/"")"),3.0)</f>
        <v>3</v>
      </c>
      <c r="K3389" s="308">
        <f>IFERROR(__xludf.DUMMYFUNCTION("""COMPUTED_VALUE"""),6.0)</f>
        <v>6</v>
      </c>
      <c r="L3389" s="308">
        <f>IFERROR(__xludf.DUMMYFUNCTION("""COMPUTED_VALUE"""),2016.0)</f>
        <v>2016</v>
      </c>
      <c r="M3389" s="308" t="s">
        <v>13864</v>
      </c>
      <c r="N3389" s="308"/>
      <c r="O3389" s="308" t="s">
        <v>635</v>
      </c>
      <c r="P3389" s="308" t="s">
        <v>11802</v>
      </c>
      <c r="Q3389" s="308" t="s">
        <v>36967</v>
      </c>
      <c r="R3389" s="308" t="s">
        <v>13836</v>
      </c>
      <c r="S3389" s="308" t="s">
        <v>81</v>
      </c>
      <c r="T3389" s="311" t="s">
        <v>94</v>
      </c>
      <c r="U3389" s="308" t="s">
        <v>166</v>
      </c>
      <c r="V3389" s="312"/>
    </row>
    <row r="3390">
      <c r="A3390" s="308">
        <v>3389.0</v>
      </c>
      <c r="B3390" s="308"/>
      <c r="C3390" s="308" t="s">
        <v>13865</v>
      </c>
      <c r="D3390" s="308">
        <f>IFERROR(__xludf.DUMMYFUNCTION("SPLIT(C3390,""-"")"),3410.0)</f>
        <v>3410</v>
      </c>
      <c r="E3390" s="308" t="str">
        <f>IFERROR(__xludf.DUMMYFUNCTION("""COMPUTED_VALUE"""),"S")</f>
        <v>S</v>
      </c>
      <c r="F3390" s="312" t="s">
        <v>39</v>
      </c>
      <c r="G3390" s="308"/>
      <c r="H3390" s="308" t="s">
        <v>13866</v>
      </c>
      <c r="I3390" s="310">
        <v>42529.0</v>
      </c>
      <c r="J3390" s="319">
        <f>IFERROR(__xludf.DUMMYFUNCTION("SPLIT(I3390,""/"")"),8.0)</f>
        <v>8</v>
      </c>
      <c r="K3390" s="308">
        <f>IFERROR(__xludf.DUMMYFUNCTION("""COMPUTED_VALUE"""),6.0)</f>
        <v>6</v>
      </c>
      <c r="L3390" s="308">
        <f>IFERROR(__xludf.DUMMYFUNCTION("""COMPUTED_VALUE"""),2016.0)</f>
        <v>2016</v>
      </c>
      <c r="M3390" s="308" t="s">
        <v>13867</v>
      </c>
      <c r="N3390" s="308"/>
      <c r="O3390" s="308" t="s">
        <v>635</v>
      </c>
      <c r="P3390" s="308" t="s">
        <v>11802</v>
      </c>
      <c r="Q3390" s="308" t="s">
        <v>36967</v>
      </c>
      <c r="R3390" s="308" t="s">
        <v>13836</v>
      </c>
      <c r="S3390" s="308" t="s">
        <v>81</v>
      </c>
      <c r="T3390" s="311" t="s">
        <v>94</v>
      </c>
      <c r="U3390" s="308" t="s">
        <v>166</v>
      </c>
      <c r="V3390" s="312"/>
    </row>
    <row r="3391">
      <c r="A3391" s="308">
        <v>3390.0</v>
      </c>
      <c r="B3391" s="308"/>
      <c r="C3391" s="308" t="s">
        <v>13868</v>
      </c>
      <c r="D3391" s="308">
        <f>IFERROR(__xludf.DUMMYFUNCTION("SPLIT(C3391,""-"")"),3411.0)</f>
        <v>3411</v>
      </c>
      <c r="E3391" s="308" t="str">
        <f>IFERROR(__xludf.DUMMYFUNCTION("""COMPUTED_VALUE"""),"S")</f>
        <v>S</v>
      </c>
      <c r="F3391" s="312" t="s">
        <v>39</v>
      </c>
      <c r="G3391" s="308"/>
      <c r="H3391" s="308" t="s">
        <v>13869</v>
      </c>
      <c r="I3391" s="310">
        <v>42530.0</v>
      </c>
      <c r="J3391" s="319">
        <f>IFERROR(__xludf.DUMMYFUNCTION("SPLIT(I3391,""/"")"),9.0)</f>
        <v>9</v>
      </c>
      <c r="K3391" s="308">
        <f>IFERROR(__xludf.DUMMYFUNCTION("""COMPUTED_VALUE"""),6.0)</f>
        <v>6</v>
      </c>
      <c r="L3391" s="308">
        <f>IFERROR(__xludf.DUMMYFUNCTION("""COMPUTED_VALUE"""),2016.0)</f>
        <v>2016</v>
      </c>
      <c r="M3391" s="308" t="s">
        <v>13870</v>
      </c>
      <c r="N3391" s="308"/>
      <c r="O3391" s="308" t="s">
        <v>635</v>
      </c>
      <c r="P3391" s="308" t="s">
        <v>10769</v>
      </c>
      <c r="Q3391" s="308" t="s">
        <v>36967</v>
      </c>
      <c r="R3391" s="308" t="s">
        <v>13836</v>
      </c>
      <c r="S3391" s="308" t="s">
        <v>49</v>
      </c>
      <c r="T3391" s="308" t="s">
        <v>67</v>
      </c>
      <c r="U3391" s="308" t="s">
        <v>166</v>
      </c>
      <c r="V3391" s="312"/>
    </row>
    <row r="3392">
      <c r="A3392" s="308">
        <v>3391.0</v>
      </c>
      <c r="B3392" s="308"/>
      <c r="C3392" s="308" t="s">
        <v>13871</v>
      </c>
      <c r="D3392" s="308">
        <f>IFERROR(__xludf.DUMMYFUNCTION("SPLIT(C3392,""-"")"),3412.0)</f>
        <v>3412</v>
      </c>
      <c r="E3392" s="308" t="str">
        <f>IFERROR(__xludf.DUMMYFUNCTION("""COMPUTED_VALUE"""),"S")</f>
        <v>S</v>
      </c>
      <c r="F3392" s="312" t="s">
        <v>39</v>
      </c>
      <c r="G3392" s="308"/>
      <c r="H3392" s="308" t="s">
        <v>13872</v>
      </c>
      <c r="I3392" s="310">
        <v>42530.0</v>
      </c>
      <c r="J3392" s="319">
        <f>IFERROR(__xludf.DUMMYFUNCTION("SPLIT(I3392,""/"")"),9.0)</f>
        <v>9</v>
      </c>
      <c r="K3392" s="308">
        <f>IFERROR(__xludf.DUMMYFUNCTION("""COMPUTED_VALUE"""),6.0)</f>
        <v>6</v>
      </c>
      <c r="L3392" s="308">
        <f>IFERROR(__xludf.DUMMYFUNCTION("""COMPUTED_VALUE"""),2016.0)</f>
        <v>2016</v>
      </c>
      <c r="M3392" s="308" t="s">
        <v>13870</v>
      </c>
      <c r="N3392" s="308"/>
      <c r="O3392" s="308" t="s">
        <v>635</v>
      </c>
      <c r="P3392" s="308" t="s">
        <v>6973</v>
      </c>
      <c r="Q3392" s="308" t="s">
        <v>36967</v>
      </c>
      <c r="R3392" s="308" t="s">
        <v>13836</v>
      </c>
      <c r="S3392" s="308" t="s">
        <v>49</v>
      </c>
      <c r="T3392" s="308" t="s">
        <v>67</v>
      </c>
      <c r="U3392" s="308" t="s">
        <v>166</v>
      </c>
      <c r="V3392" s="312"/>
    </row>
    <row r="3393">
      <c r="A3393" s="308">
        <v>3392.0</v>
      </c>
      <c r="B3393" s="308"/>
      <c r="C3393" s="308" t="s">
        <v>13873</v>
      </c>
      <c r="D3393" s="308">
        <f>IFERROR(__xludf.DUMMYFUNCTION("SPLIT(C3393,""-"")"),3413.0)</f>
        <v>3413</v>
      </c>
      <c r="E3393" s="308" t="str">
        <f>IFERROR(__xludf.DUMMYFUNCTION("""COMPUTED_VALUE"""),"S")</f>
        <v>S</v>
      </c>
      <c r="F3393" s="312" t="s">
        <v>39</v>
      </c>
      <c r="G3393" s="308"/>
      <c r="H3393" s="308" t="s">
        <v>13874</v>
      </c>
      <c r="I3393" s="310">
        <v>42530.0</v>
      </c>
      <c r="J3393" s="319">
        <f>IFERROR(__xludf.DUMMYFUNCTION("SPLIT(I3393,""/"")"),9.0)</f>
        <v>9</v>
      </c>
      <c r="K3393" s="308">
        <f>IFERROR(__xludf.DUMMYFUNCTION("""COMPUTED_VALUE"""),6.0)</f>
        <v>6</v>
      </c>
      <c r="L3393" s="308">
        <f>IFERROR(__xludf.DUMMYFUNCTION("""COMPUTED_VALUE"""),2016.0)</f>
        <v>2016</v>
      </c>
      <c r="M3393" s="308" t="s">
        <v>13870</v>
      </c>
      <c r="N3393" s="308"/>
      <c r="O3393" s="308" t="s">
        <v>635</v>
      </c>
      <c r="P3393" s="308" t="s">
        <v>6973</v>
      </c>
      <c r="Q3393" s="308" t="s">
        <v>36967</v>
      </c>
      <c r="R3393" s="308" t="s">
        <v>13836</v>
      </c>
      <c r="S3393" s="308" t="s">
        <v>49</v>
      </c>
      <c r="T3393" s="308" t="s">
        <v>67</v>
      </c>
      <c r="U3393" s="308" t="s">
        <v>166</v>
      </c>
      <c r="V3393" s="312"/>
    </row>
    <row r="3394">
      <c r="A3394" s="308">
        <v>3393.0</v>
      </c>
      <c r="B3394" s="308"/>
      <c r="C3394" s="308" t="s">
        <v>13875</v>
      </c>
      <c r="D3394" s="308">
        <f>IFERROR(__xludf.DUMMYFUNCTION("SPLIT(C3394,""-"")"),3414.0)</f>
        <v>3414</v>
      </c>
      <c r="E3394" s="308" t="str">
        <f>IFERROR(__xludf.DUMMYFUNCTION("""COMPUTED_VALUE"""),"P")</f>
        <v>P</v>
      </c>
      <c r="F3394" s="312" t="s">
        <v>37</v>
      </c>
      <c r="G3394" s="308"/>
      <c r="H3394" s="308" t="s">
        <v>13876</v>
      </c>
      <c r="I3394" s="314">
        <v>42300.0</v>
      </c>
      <c r="J3394" s="319">
        <f>IFERROR(__xludf.DUMMYFUNCTION("SPLIT(I3394,""/"")"),23.0)</f>
        <v>23</v>
      </c>
      <c r="K3394" s="308">
        <f>IFERROR(__xludf.DUMMYFUNCTION("""COMPUTED_VALUE"""),10.0)</f>
        <v>10</v>
      </c>
      <c r="L3394" s="308">
        <f>IFERROR(__xludf.DUMMYFUNCTION("""COMPUTED_VALUE"""),2015.0)</f>
        <v>2015</v>
      </c>
      <c r="M3394" s="308" t="s">
        <v>13877</v>
      </c>
      <c r="N3394" s="308"/>
      <c r="O3394" s="308" t="s">
        <v>13878</v>
      </c>
      <c r="P3394" s="308" t="s">
        <v>13879</v>
      </c>
      <c r="Q3394" s="308" t="s">
        <v>36967</v>
      </c>
      <c r="R3394" s="308" t="s">
        <v>2743</v>
      </c>
      <c r="S3394" s="308" t="s">
        <v>81</v>
      </c>
      <c r="T3394" s="308" t="s">
        <v>73</v>
      </c>
      <c r="U3394" s="308"/>
      <c r="V3394" s="312"/>
    </row>
    <row r="3395">
      <c r="A3395" s="308">
        <v>3394.0</v>
      </c>
      <c r="B3395" s="308"/>
      <c r="C3395" s="308" t="s">
        <v>13880</v>
      </c>
      <c r="D3395" s="308">
        <f>IFERROR(__xludf.DUMMYFUNCTION("SPLIT(C3395,""-"")"),3415.0)</f>
        <v>3415</v>
      </c>
      <c r="E3395" s="308" t="str">
        <f>IFERROR(__xludf.DUMMYFUNCTION("""COMPUTED_VALUE"""),"P")</f>
        <v>P</v>
      </c>
      <c r="F3395" s="312" t="s">
        <v>37</v>
      </c>
      <c r="G3395" s="308"/>
      <c r="H3395" s="308" t="s">
        <v>13881</v>
      </c>
      <c r="I3395" s="316">
        <v>2012.0</v>
      </c>
      <c r="J3395" s="319"/>
      <c r="K3395" s="308"/>
      <c r="L3395" s="311">
        <v>2012.0</v>
      </c>
      <c r="M3395" s="308" t="s">
        <v>13882</v>
      </c>
      <c r="N3395" s="308"/>
      <c r="O3395" s="308" t="s">
        <v>13883</v>
      </c>
      <c r="P3395" s="308" t="s">
        <v>36969</v>
      </c>
      <c r="Q3395" s="308" t="s">
        <v>36970</v>
      </c>
      <c r="R3395" s="308" t="s">
        <v>13884</v>
      </c>
      <c r="S3395" s="315" t="s">
        <v>100</v>
      </c>
      <c r="T3395" s="311" t="s">
        <v>34208</v>
      </c>
      <c r="U3395" s="308" t="s">
        <v>2748</v>
      </c>
      <c r="V3395" s="312"/>
    </row>
    <row r="3396">
      <c r="A3396" s="308">
        <v>3395.0</v>
      </c>
      <c r="B3396" s="308"/>
      <c r="C3396" s="308" t="s">
        <v>13885</v>
      </c>
      <c r="D3396" s="308">
        <f>IFERROR(__xludf.DUMMYFUNCTION("SPLIT(C3396,""-"")"),3416.0)</f>
        <v>3416</v>
      </c>
      <c r="E3396" s="308" t="str">
        <f>IFERROR(__xludf.DUMMYFUNCTION("""COMPUTED_VALUE"""),"S")</f>
        <v>S</v>
      </c>
      <c r="F3396" s="312" t="s">
        <v>39</v>
      </c>
      <c r="G3396" s="308" t="s">
        <v>13886</v>
      </c>
      <c r="H3396" s="308" t="s">
        <v>13887</v>
      </c>
      <c r="I3396" s="314">
        <v>42349.0</v>
      </c>
      <c r="J3396" s="319">
        <f>IFERROR(__xludf.DUMMYFUNCTION("SPLIT(I3396,""/"")"),11.0)</f>
        <v>11</v>
      </c>
      <c r="K3396" s="308">
        <f>IFERROR(__xludf.DUMMYFUNCTION("""COMPUTED_VALUE"""),12.0)</f>
        <v>12</v>
      </c>
      <c r="L3396" s="308">
        <f>IFERROR(__xludf.DUMMYFUNCTION("""COMPUTED_VALUE"""),2015.0)</f>
        <v>2015</v>
      </c>
      <c r="M3396" s="308" t="s">
        <v>13888</v>
      </c>
      <c r="N3396" s="308"/>
      <c r="O3396" s="308" t="s">
        <v>635</v>
      </c>
      <c r="P3396" s="308" t="s">
        <v>13889</v>
      </c>
      <c r="Q3396" s="308" t="s">
        <v>36970</v>
      </c>
      <c r="R3396" s="308" t="s">
        <v>13890</v>
      </c>
      <c r="S3396" s="308" t="s">
        <v>81</v>
      </c>
      <c r="T3396" s="308" t="s">
        <v>75</v>
      </c>
      <c r="U3396" s="308" t="s">
        <v>166</v>
      </c>
      <c r="V3396" s="312"/>
    </row>
    <row r="3397">
      <c r="A3397" s="308">
        <v>3396.0</v>
      </c>
      <c r="B3397" s="308"/>
      <c r="C3397" s="308" t="s">
        <v>13891</v>
      </c>
      <c r="D3397" s="308">
        <f>IFERROR(__xludf.DUMMYFUNCTION("SPLIT(C3397,""-"")"),3417.0)</f>
        <v>3417</v>
      </c>
      <c r="E3397" s="308" t="str">
        <f>IFERROR(__xludf.DUMMYFUNCTION("""COMPUTED_VALUE"""),"S")</f>
        <v>S</v>
      </c>
      <c r="F3397" s="312" t="s">
        <v>39</v>
      </c>
      <c r="G3397" s="308" t="s">
        <v>13892</v>
      </c>
      <c r="H3397" s="308" t="s">
        <v>13893</v>
      </c>
      <c r="I3397" s="310">
        <v>40950.0</v>
      </c>
      <c r="J3397" s="319">
        <f>IFERROR(__xludf.DUMMYFUNCTION("SPLIT(I3397,""/"")"),11.0)</f>
        <v>11</v>
      </c>
      <c r="K3397" s="308">
        <f>IFERROR(__xludf.DUMMYFUNCTION("""COMPUTED_VALUE"""),2.0)</f>
        <v>2</v>
      </c>
      <c r="L3397" s="308">
        <f>IFERROR(__xludf.DUMMYFUNCTION("""COMPUTED_VALUE"""),2012.0)</f>
        <v>2012</v>
      </c>
      <c r="M3397" s="308" t="s">
        <v>36971</v>
      </c>
      <c r="N3397" s="308"/>
      <c r="O3397" s="308" t="s">
        <v>635</v>
      </c>
      <c r="P3397" s="308" t="s">
        <v>36972</v>
      </c>
      <c r="Q3397" s="308" t="s">
        <v>36970</v>
      </c>
      <c r="R3397" s="312"/>
      <c r="S3397" s="308" t="s">
        <v>81</v>
      </c>
      <c r="T3397" s="308" t="s">
        <v>75</v>
      </c>
      <c r="U3397" s="308" t="s">
        <v>12947</v>
      </c>
      <c r="V3397" s="312"/>
    </row>
    <row r="3398">
      <c r="A3398" s="308">
        <v>3397.0</v>
      </c>
      <c r="B3398" s="308"/>
      <c r="C3398" s="308" t="s">
        <v>13896</v>
      </c>
      <c r="D3398" s="308">
        <f>IFERROR(__xludf.DUMMYFUNCTION("SPLIT(C3398,""-"")"),3418.0)</f>
        <v>3418</v>
      </c>
      <c r="E3398" s="308" t="str">
        <f>IFERROR(__xludf.DUMMYFUNCTION("""COMPUTED_VALUE"""),"S")</f>
        <v>S</v>
      </c>
      <c r="F3398" s="312" t="s">
        <v>39</v>
      </c>
      <c r="G3398" s="308" t="s">
        <v>13897</v>
      </c>
      <c r="H3398" s="308" t="s">
        <v>13898</v>
      </c>
      <c r="I3398" s="310">
        <v>42144.0</v>
      </c>
      <c r="J3398" s="319">
        <f>IFERROR(__xludf.DUMMYFUNCTION("SPLIT(I3398,""/"")"),20.0)</f>
        <v>20</v>
      </c>
      <c r="K3398" s="308">
        <f>IFERROR(__xludf.DUMMYFUNCTION("""COMPUTED_VALUE"""),5.0)</f>
        <v>5</v>
      </c>
      <c r="L3398" s="308">
        <f>IFERROR(__xludf.DUMMYFUNCTION("""COMPUTED_VALUE"""),2015.0)</f>
        <v>2015</v>
      </c>
      <c r="M3398" s="308" t="s">
        <v>13899</v>
      </c>
      <c r="N3398" s="308"/>
      <c r="O3398" s="308" t="s">
        <v>635</v>
      </c>
      <c r="P3398" s="308" t="s">
        <v>36973</v>
      </c>
      <c r="Q3398" s="308" t="s">
        <v>36970</v>
      </c>
      <c r="R3398" s="308" t="s">
        <v>13900</v>
      </c>
      <c r="S3398" s="315" t="s">
        <v>100</v>
      </c>
      <c r="T3398" s="311" t="s">
        <v>34208</v>
      </c>
      <c r="U3398" s="308" t="s">
        <v>166</v>
      </c>
      <c r="V3398" s="312"/>
    </row>
    <row r="3399">
      <c r="A3399" s="308">
        <v>3398.0</v>
      </c>
      <c r="B3399" s="308"/>
      <c r="C3399" s="308" t="s">
        <v>13901</v>
      </c>
      <c r="D3399" s="308">
        <f>IFERROR(__xludf.DUMMYFUNCTION("SPLIT(C3399,""-"")"),3419.0)</f>
        <v>3419</v>
      </c>
      <c r="E3399" s="308" t="str">
        <f>IFERROR(__xludf.DUMMYFUNCTION("""COMPUTED_VALUE"""),"P")</f>
        <v>P</v>
      </c>
      <c r="F3399" s="312" t="s">
        <v>37</v>
      </c>
      <c r="G3399" s="308" t="s">
        <v>13902</v>
      </c>
      <c r="H3399" s="308" t="s">
        <v>13903</v>
      </c>
      <c r="I3399" s="310">
        <v>40922.0</v>
      </c>
      <c r="J3399" s="319">
        <f>IFERROR(__xludf.DUMMYFUNCTION("SPLIT(I3399,""/"")"),14.0)</f>
        <v>14</v>
      </c>
      <c r="K3399" s="308">
        <f>IFERROR(__xludf.DUMMYFUNCTION("""COMPUTED_VALUE"""),1.0)</f>
        <v>1</v>
      </c>
      <c r="L3399" s="308">
        <f>IFERROR(__xludf.DUMMYFUNCTION("""COMPUTED_VALUE"""),2012.0)</f>
        <v>2012</v>
      </c>
      <c r="M3399" s="308" t="s">
        <v>13904</v>
      </c>
      <c r="N3399" s="308"/>
      <c r="O3399" s="308" t="s">
        <v>13905</v>
      </c>
      <c r="P3399" s="308" t="s">
        <v>13906</v>
      </c>
      <c r="Q3399" s="308" t="s">
        <v>36970</v>
      </c>
      <c r="R3399" s="308" t="s">
        <v>13890</v>
      </c>
      <c r="S3399" s="308" t="s">
        <v>81</v>
      </c>
      <c r="T3399" s="308" t="s">
        <v>34264</v>
      </c>
      <c r="U3399" s="308" t="s">
        <v>2291</v>
      </c>
      <c r="V3399" s="312"/>
    </row>
    <row r="3400">
      <c r="A3400" s="308">
        <v>3399.0</v>
      </c>
      <c r="B3400" s="308"/>
      <c r="C3400" s="308" t="s">
        <v>13907</v>
      </c>
      <c r="D3400" s="308">
        <f>IFERROR(__xludf.DUMMYFUNCTION("SPLIT(C3400,""-"")"),3420.0)</f>
        <v>3420</v>
      </c>
      <c r="E3400" s="308" t="str">
        <f>IFERROR(__xludf.DUMMYFUNCTION("""COMPUTED_VALUE"""),"S")</f>
        <v>S</v>
      </c>
      <c r="F3400" s="312" t="s">
        <v>39</v>
      </c>
      <c r="G3400" s="308" t="s">
        <v>13908</v>
      </c>
      <c r="H3400" s="308" t="s">
        <v>13909</v>
      </c>
      <c r="I3400" s="310">
        <v>41870.0</v>
      </c>
      <c r="J3400" s="319">
        <f>IFERROR(__xludf.DUMMYFUNCTION("SPLIT(I3400,""/"")"),19.0)</f>
        <v>19</v>
      </c>
      <c r="K3400" s="308">
        <f>IFERROR(__xludf.DUMMYFUNCTION("""COMPUTED_VALUE"""),8.0)</f>
        <v>8</v>
      </c>
      <c r="L3400" s="308">
        <f>IFERROR(__xludf.DUMMYFUNCTION("""COMPUTED_VALUE"""),2014.0)</f>
        <v>2014</v>
      </c>
      <c r="M3400" s="308" t="s">
        <v>13910</v>
      </c>
      <c r="N3400" s="308"/>
      <c r="O3400" s="308"/>
      <c r="P3400" s="308" t="s">
        <v>36973</v>
      </c>
      <c r="Q3400" s="308" t="s">
        <v>36970</v>
      </c>
      <c r="R3400" s="308" t="s">
        <v>13890</v>
      </c>
      <c r="S3400" s="315" t="s">
        <v>100</v>
      </c>
      <c r="T3400" s="311" t="s">
        <v>34208</v>
      </c>
      <c r="U3400" s="308" t="s">
        <v>166</v>
      </c>
      <c r="V3400" s="312"/>
    </row>
    <row r="3401">
      <c r="A3401" s="308">
        <v>3400.0</v>
      </c>
      <c r="B3401" s="308"/>
      <c r="C3401" s="308" t="s">
        <v>13911</v>
      </c>
      <c r="D3401" s="308">
        <f>IFERROR(__xludf.DUMMYFUNCTION("SPLIT(C3401,""-"")"),3421.0)</f>
        <v>3421</v>
      </c>
      <c r="E3401" s="308" t="str">
        <f>IFERROR(__xludf.DUMMYFUNCTION("""COMPUTED_VALUE"""),"S")</f>
        <v>S</v>
      </c>
      <c r="F3401" s="312" t="s">
        <v>39</v>
      </c>
      <c r="G3401" s="308" t="s">
        <v>13912</v>
      </c>
      <c r="H3401" s="308" t="s">
        <v>13913</v>
      </c>
      <c r="I3401" s="310">
        <v>42156.0</v>
      </c>
      <c r="J3401" s="319">
        <f>IFERROR(__xludf.DUMMYFUNCTION("SPLIT(I3401,""/"")"),1.0)</f>
        <v>1</v>
      </c>
      <c r="K3401" s="308">
        <f>IFERROR(__xludf.DUMMYFUNCTION("""COMPUTED_VALUE"""),6.0)</f>
        <v>6</v>
      </c>
      <c r="L3401" s="308">
        <f>IFERROR(__xludf.DUMMYFUNCTION("""COMPUTED_VALUE"""),2015.0)</f>
        <v>2015</v>
      </c>
      <c r="M3401" s="308" t="s">
        <v>13914</v>
      </c>
      <c r="N3401" s="308"/>
      <c r="O3401" s="308" t="s">
        <v>635</v>
      </c>
      <c r="P3401" s="308" t="s">
        <v>36973</v>
      </c>
      <c r="Q3401" s="308" t="s">
        <v>36970</v>
      </c>
      <c r="R3401" s="308" t="s">
        <v>13890</v>
      </c>
      <c r="S3401" s="315" t="s">
        <v>100</v>
      </c>
      <c r="T3401" s="311" t="s">
        <v>34208</v>
      </c>
      <c r="U3401" s="308" t="s">
        <v>13915</v>
      </c>
      <c r="V3401" s="312"/>
    </row>
    <row r="3402">
      <c r="A3402" s="308">
        <v>3401.0</v>
      </c>
      <c r="B3402" s="308"/>
      <c r="C3402" s="308" t="s">
        <v>13916</v>
      </c>
      <c r="D3402" s="308">
        <f>IFERROR(__xludf.DUMMYFUNCTION("SPLIT(C3402,""-"")"),3422.0)</f>
        <v>3422</v>
      </c>
      <c r="E3402" s="308" t="str">
        <f>IFERROR(__xludf.DUMMYFUNCTION("""COMPUTED_VALUE"""),"S")</f>
        <v>S</v>
      </c>
      <c r="F3402" s="312" t="s">
        <v>39</v>
      </c>
      <c r="G3402" s="308" t="s">
        <v>13917</v>
      </c>
      <c r="H3402" s="308" t="s">
        <v>36974</v>
      </c>
      <c r="I3402" s="310">
        <v>42128.0</v>
      </c>
      <c r="J3402" s="319">
        <f>IFERROR(__xludf.DUMMYFUNCTION("SPLIT(I3402,""/"")"),4.0)</f>
        <v>4</v>
      </c>
      <c r="K3402" s="308">
        <f>IFERROR(__xludf.DUMMYFUNCTION("""COMPUTED_VALUE"""),5.0)</f>
        <v>5</v>
      </c>
      <c r="L3402" s="308">
        <f>IFERROR(__xludf.DUMMYFUNCTION("""COMPUTED_VALUE"""),2015.0)</f>
        <v>2015</v>
      </c>
      <c r="M3402" s="308" t="s">
        <v>13919</v>
      </c>
      <c r="N3402" s="308"/>
      <c r="O3402" s="308"/>
      <c r="P3402" s="308" t="s">
        <v>36975</v>
      </c>
      <c r="Q3402" s="308" t="s">
        <v>36970</v>
      </c>
      <c r="R3402" s="308" t="s">
        <v>13890</v>
      </c>
      <c r="S3402" s="308" t="s">
        <v>81</v>
      </c>
      <c r="T3402" s="308" t="s">
        <v>75</v>
      </c>
      <c r="U3402" s="308" t="s">
        <v>166</v>
      </c>
      <c r="V3402" s="312"/>
    </row>
    <row r="3403">
      <c r="A3403" s="308">
        <v>3402.0</v>
      </c>
      <c r="B3403" s="308"/>
      <c r="C3403" s="308" t="s">
        <v>13921</v>
      </c>
      <c r="D3403" s="308">
        <f>IFERROR(__xludf.DUMMYFUNCTION("SPLIT(C3403,""-"")"),3423.0)</f>
        <v>3423</v>
      </c>
      <c r="E3403" s="308" t="str">
        <f>IFERROR(__xludf.DUMMYFUNCTION("""COMPUTED_VALUE"""),"S")</f>
        <v>S</v>
      </c>
      <c r="F3403" s="312" t="s">
        <v>39</v>
      </c>
      <c r="G3403" s="308" t="s">
        <v>13922</v>
      </c>
      <c r="H3403" s="308" t="s">
        <v>13923</v>
      </c>
      <c r="I3403" s="333">
        <v>44804.0</v>
      </c>
      <c r="J3403" s="319">
        <f>IFERROR(__xludf.DUMMYFUNCTION("SPLIT(I3403,""/"")"),31.0)</f>
        <v>31</v>
      </c>
      <c r="K3403" s="308">
        <f>IFERROR(__xludf.DUMMYFUNCTION("""COMPUTED_VALUE"""),8.0)</f>
        <v>8</v>
      </c>
      <c r="L3403" s="311" t="s">
        <v>79</v>
      </c>
      <c r="M3403" s="308" t="s">
        <v>36976</v>
      </c>
      <c r="N3403" s="308"/>
      <c r="O3403" s="308" t="s">
        <v>635</v>
      </c>
      <c r="P3403" s="308" t="s">
        <v>13925</v>
      </c>
      <c r="Q3403" s="308" t="s">
        <v>36970</v>
      </c>
      <c r="R3403" s="308" t="s">
        <v>13890</v>
      </c>
      <c r="S3403" s="308" t="s">
        <v>81</v>
      </c>
      <c r="T3403" s="308" t="s">
        <v>75</v>
      </c>
      <c r="U3403" s="308" t="s">
        <v>166</v>
      </c>
      <c r="V3403" s="312"/>
    </row>
    <row r="3404">
      <c r="A3404" s="308">
        <v>3403.0</v>
      </c>
      <c r="B3404" s="308"/>
      <c r="C3404" s="308" t="s">
        <v>13926</v>
      </c>
      <c r="D3404" s="308">
        <f>IFERROR(__xludf.DUMMYFUNCTION("SPLIT(C3404,""-"")"),3424.0)</f>
        <v>3424</v>
      </c>
      <c r="E3404" s="308" t="str">
        <f>IFERROR(__xludf.DUMMYFUNCTION("""COMPUTED_VALUE"""),"K")</f>
        <v>K</v>
      </c>
      <c r="F3404" s="309" t="s">
        <v>34</v>
      </c>
      <c r="G3404" s="308"/>
      <c r="H3404" s="308" t="s">
        <v>13927</v>
      </c>
      <c r="I3404" s="333">
        <v>44636.0</v>
      </c>
      <c r="J3404" s="319"/>
      <c r="K3404" s="308"/>
      <c r="L3404" s="311">
        <v>2016.0</v>
      </c>
      <c r="M3404" s="308" t="s">
        <v>13928</v>
      </c>
      <c r="N3404" s="308"/>
      <c r="O3404" s="308" t="s">
        <v>13929</v>
      </c>
      <c r="P3404" s="308" t="s">
        <v>13930</v>
      </c>
      <c r="Q3404" s="308" t="s">
        <v>36970</v>
      </c>
      <c r="R3404" s="308" t="s">
        <v>2743</v>
      </c>
      <c r="S3404" s="308" t="s">
        <v>81</v>
      </c>
      <c r="T3404" s="308" t="s">
        <v>34264</v>
      </c>
      <c r="U3404" s="308" t="s">
        <v>530</v>
      </c>
      <c r="V3404" s="312"/>
    </row>
    <row r="3405">
      <c r="A3405" s="308">
        <v>3404.0</v>
      </c>
      <c r="B3405" s="308"/>
      <c r="C3405" s="308" t="s">
        <v>13931</v>
      </c>
      <c r="D3405" s="308">
        <f>IFERROR(__xludf.DUMMYFUNCTION("SPLIT(C3405,""-"")"),3425.0)</f>
        <v>3425</v>
      </c>
      <c r="E3405" s="308" t="str">
        <f>IFERROR(__xludf.DUMMYFUNCTION("""COMPUTED_VALUE"""),"F")</f>
        <v>F</v>
      </c>
      <c r="F3405" s="309" t="s">
        <v>34</v>
      </c>
      <c r="G3405" s="308" t="s">
        <v>13932</v>
      </c>
      <c r="H3405" s="308" t="s">
        <v>13933</v>
      </c>
      <c r="I3405" s="310">
        <v>42446.0</v>
      </c>
      <c r="J3405" s="319">
        <f>IFERROR(__xludf.DUMMYFUNCTION("SPLIT(I3405,""/"")"),17.0)</f>
        <v>17</v>
      </c>
      <c r="K3405" s="308">
        <f>IFERROR(__xludf.DUMMYFUNCTION("""COMPUTED_VALUE"""),3.0)</f>
        <v>3</v>
      </c>
      <c r="L3405" s="308">
        <f>IFERROR(__xludf.DUMMYFUNCTION("""COMPUTED_VALUE"""),2016.0)</f>
        <v>2016</v>
      </c>
      <c r="M3405" s="308" t="s">
        <v>13934</v>
      </c>
      <c r="N3405" s="308"/>
      <c r="O3405" s="308" t="s">
        <v>635</v>
      </c>
      <c r="P3405" s="308" t="s">
        <v>13935</v>
      </c>
      <c r="Q3405" s="308" t="s">
        <v>36970</v>
      </c>
      <c r="R3405" s="308" t="s">
        <v>13890</v>
      </c>
      <c r="S3405" s="308" t="s">
        <v>81</v>
      </c>
      <c r="T3405" s="308" t="s">
        <v>75</v>
      </c>
      <c r="U3405" s="308"/>
      <c r="V3405" s="312"/>
    </row>
    <row r="3406">
      <c r="A3406" s="308">
        <v>3405.0</v>
      </c>
      <c r="B3406" s="308"/>
      <c r="C3406" s="308" t="s">
        <v>13936</v>
      </c>
      <c r="D3406" s="308">
        <f>IFERROR(__xludf.DUMMYFUNCTION("SPLIT(C3406,""-"")"),3426.0)</f>
        <v>3426</v>
      </c>
      <c r="E3406" s="308" t="str">
        <f>IFERROR(__xludf.DUMMYFUNCTION("""COMPUTED_VALUE"""),"F")</f>
        <v>F</v>
      </c>
      <c r="F3406" s="309" t="s">
        <v>34</v>
      </c>
      <c r="G3406" s="308"/>
      <c r="H3406" s="308" t="s">
        <v>13937</v>
      </c>
      <c r="I3406" s="310">
        <v>42311.0</v>
      </c>
      <c r="J3406" s="319">
        <f>IFERROR(__xludf.DUMMYFUNCTION("SPLIT(I3406,""/"")"),3.0)</f>
        <v>3</v>
      </c>
      <c r="K3406" s="308">
        <f>IFERROR(__xludf.DUMMYFUNCTION("""COMPUTED_VALUE"""),11.0)</f>
        <v>11</v>
      </c>
      <c r="L3406" s="308">
        <f>IFERROR(__xludf.DUMMYFUNCTION("""COMPUTED_VALUE"""),2015.0)</f>
        <v>2015</v>
      </c>
      <c r="M3406" s="308" t="s">
        <v>13938</v>
      </c>
      <c r="N3406" s="308"/>
      <c r="O3406" s="308" t="s">
        <v>635</v>
      </c>
      <c r="P3406" s="308" t="s">
        <v>13939</v>
      </c>
      <c r="Q3406" s="308" t="s">
        <v>36977</v>
      </c>
      <c r="R3406" s="308" t="s">
        <v>2743</v>
      </c>
      <c r="S3406" s="308" t="s">
        <v>81</v>
      </c>
      <c r="T3406" s="308" t="s">
        <v>75</v>
      </c>
      <c r="U3406" s="308"/>
      <c r="V3406" s="312"/>
    </row>
    <row r="3407">
      <c r="A3407" s="308">
        <v>3406.0</v>
      </c>
      <c r="B3407" s="308"/>
      <c r="C3407" s="308" t="s">
        <v>13940</v>
      </c>
      <c r="D3407" s="308">
        <f>IFERROR(__xludf.DUMMYFUNCTION("SPLIT(C3407,""-"")"),3427.0)</f>
        <v>3427</v>
      </c>
      <c r="E3407" s="308" t="str">
        <f>IFERROR(__xludf.DUMMYFUNCTION("""COMPUTED_VALUE"""),"K")</f>
        <v>K</v>
      </c>
      <c r="F3407" s="309" t="s">
        <v>34</v>
      </c>
      <c r="G3407" s="308"/>
      <c r="H3407" s="308" t="s">
        <v>13941</v>
      </c>
      <c r="I3407" s="310">
        <v>42411.0</v>
      </c>
      <c r="J3407" s="319">
        <f>IFERROR(__xludf.DUMMYFUNCTION("SPLIT(I3407,""/"")"),11.0)</f>
        <v>11</v>
      </c>
      <c r="K3407" s="308">
        <f>IFERROR(__xludf.DUMMYFUNCTION("""COMPUTED_VALUE"""),2.0)</f>
        <v>2</v>
      </c>
      <c r="L3407" s="308">
        <f>IFERROR(__xludf.DUMMYFUNCTION("""COMPUTED_VALUE"""),2016.0)</f>
        <v>2016</v>
      </c>
      <c r="M3407" s="308" t="s">
        <v>13942</v>
      </c>
      <c r="N3407" s="308"/>
      <c r="O3407" s="308" t="s">
        <v>13943</v>
      </c>
      <c r="P3407" s="308" t="s">
        <v>13944</v>
      </c>
      <c r="Q3407" s="308" t="s">
        <v>36977</v>
      </c>
      <c r="R3407" s="308" t="s">
        <v>2743</v>
      </c>
      <c r="S3407" s="308" t="s">
        <v>81</v>
      </c>
      <c r="T3407" s="308" t="s">
        <v>75</v>
      </c>
      <c r="U3407" s="308"/>
      <c r="V3407" s="312"/>
    </row>
    <row r="3408">
      <c r="A3408" s="308">
        <v>3407.0</v>
      </c>
      <c r="B3408" s="308"/>
      <c r="C3408" s="308" t="s">
        <v>13945</v>
      </c>
      <c r="D3408" s="308">
        <f>IFERROR(__xludf.DUMMYFUNCTION("SPLIT(C3408,""-"")"),3428.0)</f>
        <v>3428</v>
      </c>
      <c r="E3408" s="308" t="str">
        <f>IFERROR(__xludf.DUMMYFUNCTION("""COMPUTED_VALUE"""),"K")</f>
        <v>K</v>
      </c>
      <c r="F3408" s="309" t="s">
        <v>34</v>
      </c>
      <c r="G3408" s="308"/>
      <c r="H3408" s="308" t="s">
        <v>13946</v>
      </c>
      <c r="I3408" s="310">
        <v>42411.0</v>
      </c>
      <c r="J3408" s="319">
        <f>IFERROR(__xludf.DUMMYFUNCTION("SPLIT(I3408,""/"")"),11.0)</f>
        <v>11</v>
      </c>
      <c r="K3408" s="308">
        <f>IFERROR(__xludf.DUMMYFUNCTION("""COMPUTED_VALUE"""),2.0)</f>
        <v>2</v>
      </c>
      <c r="L3408" s="308">
        <f>IFERROR(__xludf.DUMMYFUNCTION("""COMPUTED_VALUE"""),2016.0)</f>
        <v>2016</v>
      </c>
      <c r="M3408" s="308" t="s">
        <v>13942</v>
      </c>
      <c r="N3408" s="308"/>
      <c r="O3408" s="308" t="s">
        <v>13943</v>
      </c>
      <c r="P3408" s="308" t="s">
        <v>13944</v>
      </c>
      <c r="Q3408" s="308" t="s">
        <v>36977</v>
      </c>
      <c r="R3408" s="308" t="s">
        <v>2743</v>
      </c>
      <c r="S3408" s="308" t="s">
        <v>81</v>
      </c>
      <c r="T3408" s="308" t="s">
        <v>75</v>
      </c>
      <c r="U3408" s="308"/>
      <c r="V3408" s="312"/>
    </row>
    <row r="3409">
      <c r="A3409" s="308">
        <v>3408.0</v>
      </c>
      <c r="B3409" s="308"/>
      <c r="C3409" s="308" t="s">
        <v>13947</v>
      </c>
      <c r="D3409" s="308">
        <f>IFERROR(__xludf.DUMMYFUNCTION("SPLIT(C3409,""-"")"),3429.0)</f>
        <v>3429</v>
      </c>
      <c r="E3409" s="308" t="str">
        <f>IFERROR(__xludf.DUMMYFUNCTION("""COMPUTED_VALUE"""),"S")</f>
        <v>S</v>
      </c>
      <c r="F3409" s="312" t="s">
        <v>39</v>
      </c>
      <c r="G3409" s="308"/>
      <c r="H3409" s="308" t="s">
        <v>13948</v>
      </c>
      <c r="I3409" s="310">
        <v>42529.0</v>
      </c>
      <c r="J3409" s="319">
        <f>IFERROR(__xludf.DUMMYFUNCTION("SPLIT(I3409,""/"")"),8.0)</f>
        <v>8</v>
      </c>
      <c r="K3409" s="308">
        <f>IFERROR(__xludf.DUMMYFUNCTION("""COMPUTED_VALUE"""),6.0)</f>
        <v>6</v>
      </c>
      <c r="L3409" s="308">
        <f>IFERROR(__xludf.DUMMYFUNCTION("""COMPUTED_VALUE"""),2016.0)</f>
        <v>2016</v>
      </c>
      <c r="M3409" s="308" t="s">
        <v>13949</v>
      </c>
      <c r="N3409" s="308"/>
      <c r="O3409" s="308" t="s">
        <v>635</v>
      </c>
      <c r="P3409" s="308" t="s">
        <v>6973</v>
      </c>
      <c r="Q3409" s="308" t="s">
        <v>36978</v>
      </c>
      <c r="R3409" s="308" t="s">
        <v>13836</v>
      </c>
      <c r="S3409" s="308" t="s">
        <v>49</v>
      </c>
      <c r="T3409" s="308" t="s">
        <v>67</v>
      </c>
      <c r="U3409" s="308" t="s">
        <v>166</v>
      </c>
      <c r="V3409" s="312"/>
    </row>
    <row r="3410">
      <c r="A3410" s="308">
        <v>3409.0</v>
      </c>
      <c r="B3410" s="308"/>
      <c r="C3410" s="308" t="s">
        <v>13950</v>
      </c>
      <c r="D3410" s="308">
        <f>IFERROR(__xludf.DUMMYFUNCTION("SPLIT(C3410,""-"")"),3430.0)</f>
        <v>3430</v>
      </c>
      <c r="E3410" s="308" t="str">
        <f>IFERROR(__xludf.DUMMYFUNCTION("""COMPUTED_VALUE"""),"S")</f>
        <v>S</v>
      </c>
      <c r="F3410" s="312" t="s">
        <v>39</v>
      </c>
      <c r="G3410" s="308"/>
      <c r="H3410" s="308" t="s">
        <v>13951</v>
      </c>
      <c r="I3410" s="310">
        <v>42533.0</v>
      </c>
      <c r="J3410" s="319">
        <f>IFERROR(__xludf.DUMMYFUNCTION("SPLIT(I3410,""/"")"),12.0)</f>
        <v>12</v>
      </c>
      <c r="K3410" s="308">
        <f>IFERROR(__xludf.DUMMYFUNCTION("""COMPUTED_VALUE"""),6.0)</f>
        <v>6</v>
      </c>
      <c r="L3410" s="308">
        <f>IFERROR(__xludf.DUMMYFUNCTION("""COMPUTED_VALUE"""),2016.0)</f>
        <v>2016</v>
      </c>
      <c r="M3410" s="308" t="s">
        <v>13952</v>
      </c>
      <c r="N3410" s="308"/>
      <c r="O3410" s="308" t="s">
        <v>635</v>
      </c>
      <c r="P3410" s="308" t="s">
        <v>13953</v>
      </c>
      <c r="Q3410" s="308" t="s">
        <v>36978</v>
      </c>
      <c r="R3410" s="308" t="s">
        <v>13836</v>
      </c>
      <c r="S3410" s="308" t="s">
        <v>81</v>
      </c>
      <c r="T3410" s="308" t="s">
        <v>75</v>
      </c>
      <c r="U3410" s="308" t="s">
        <v>166</v>
      </c>
      <c r="V3410" s="312"/>
    </row>
    <row r="3411">
      <c r="A3411" s="308">
        <v>3410.0</v>
      </c>
      <c r="B3411" s="308"/>
      <c r="C3411" s="308" t="s">
        <v>13954</v>
      </c>
      <c r="D3411" s="308">
        <f>IFERROR(__xludf.DUMMYFUNCTION("SPLIT(C3411,""-"")"),3431.0)</f>
        <v>3431</v>
      </c>
      <c r="E3411" s="308" t="str">
        <f>IFERROR(__xludf.DUMMYFUNCTION("""COMPUTED_VALUE"""),"S")</f>
        <v>S</v>
      </c>
      <c r="F3411" s="312" t="s">
        <v>39</v>
      </c>
      <c r="G3411" s="308"/>
      <c r="H3411" s="308" t="s">
        <v>13955</v>
      </c>
      <c r="I3411" s="310">
        <v>42533.0</v>
      </c>
      <c r="J3411" s="319">
        <f>IFERROR(__xludf.DUMMYFUNCTION("SPLIT(I3411,""/"")"),12.0)</f>
        <v>12</v>
      </c>
      <c r="K3411" s="308">
        <f>IFERROR(__xludf.DUMMYFUNCTION("""COMPUTED_VALUE"""),6.0)</f>
        <v>6</v>
      </c>
      <c r="L3411" s="308">
        <f>IFERROR(__xludf.DUMMYFUNCTION("""COMPUTED_VALUE"""),2016.0)</f>
        <v>2016</v>
      </c>
      <c r="M3411" s="308" t="s">
        <v>13956</v>
      </c>
      <c r="N3411" s="308"/>
      <c r="O3411" s="308" t="s">
        <v>635</v>
      </c>
      <c r="P3411" s="308" t="s">
        <v>36979</v>
      </c>
      <c r="Q3411" s="308" t="s">
        <v>36978</v>
      </c>
      <c r="R3411" s="308" t="s">
        <v>13836</v>
      </c>
      <c r="S3411" s="315" t="s">
        <v>100</v>
      </c>
      <c r="T3411" s="311" t="s">
        <v>34208</v>
      </c>
      <c r="U3411" s="308" t="s">
        <v>13957</v>
      </c>
      <c r="V3411" s="312"/>
    </row>
    <row r="3412">
      <c r="A3412" s="308">
        <v>3411.0</v>
      </c>
      <c r="B3412" s="308"/>
      <c r="C3412" s="308" t="s">
        <v>13958</v>
      </c>
      <c r="D3412" s="308">
        <f>IFERROR(__xludf.DUMMYFUNCTION("SPLIT(C3412,""-"")"),3432.0)</f>
        <v>3432</v>
      </c>
      <c r="E3412" s="308" t="str">
        <f>IFERROR(__xludf.DUMMYFUNCTION("""COMPUTED_VALUE"""),"S")</f>
        <v>S</v>
      </c>
      <c r="F3412" s="312" t="s">
        <v>39</v>
      </c>
      <c r="G3412" s="308"/>
      <c r="H3412" s="308" t="s">
        <v>13959</v>
      </c>
      <c r="I3412" s="310">
        <v>42535.0</v>
      </c>
      <c r="J3412" s="319">
        <f>IFERROR(__xludf.DUMMYFUNCTION("SPLIT(I3412,""/"")"),14.0)</f>
        <v>14</v>
      </c>
      <c r="K3412" s="308">
        <f>IFERROR(__xludf.DUMMYFUNCTION("""COMPUTED_VALUE"""),6.0)</f>
        <v>6</v>
      </c>
      <c r="L3412" s="308">
        <f>IFERROR(__xludf.DUMMYFUNCTION("""COMPUTED_VALUE"""),2016.0)</f>
        <v>2016</v>
      </c>
      <c r="M3412" s="308" t="s">
        <v>13960</v>
      </c>
      <c r="N3412" s="308"/>
      <c r="O3412" s="308" t="s">
        <v>635</v>
      </c>
      <c r="P3412" s="308" t="s">
        <v>13961</v>
      </c>
      <c r="Q3412" s="308" t="s">
        <v>36978</v>
      </c>
      <c r="R3412" s="308" t="s">
        <v>13836</v>
      </c>
      <c r="S3412" s="308" t="s">
        <v>81</v>
      </c>
      <c r="T3412" s="311" t="s">
        <v>35048</v>
      </c>
      <c r="U3412" s="308" t="s">
        <v>166</v>
      </c>
      <c r="V3412" s="312"/>
    </row>
    <row r="3413">
      <c r="A3413" s="308">
        <v>3412.0</v>
      </c>
      <c r="B3413" s="308"/>
      <c r="C3413" s="308" t="s">
        <v>13962</v>
      </c>
      <c r="D3413" s="308">
        <f>IFERROR(__xludf.DUMMYFUNCTION("SPLIT(C3413,""-"")"),3433.0)</f>
        <v>3433</v>
      </c>
      <c r="E3413" s="308" t="str">
        <f>IFERROR(__xludf.DUMMYFUNCTION("""COMPUTED_VALUE"""),"S")</f>
        <v>S</v>
      </c>
      <c r="F3413" s="312" t="s">
        <v>39</v>
      </c>
      <c r="G3413" s="308"/>
      <c r="H3413" s="308" t="s">
        <v>13963</v>
      </c>
      <c r="I3413" s="310">
        <v>42536.0</v>
      </c>
      <c r="J3413" s="319">
        <f>IFERROR(__xludf.DUMMYFUNCTION("SPLIT(I3413,""/"")"),15.0)</f>
        <v>15</v>
      </c>
      <c r="K3413" s="308">
        <f>IFERROR(__xludf.DUMMYFUNCTION("""COMPUTED_VALUE"""),6.0)</f>
        <v>6</v>
      </c>
      <c r="L3413" s="308">
        <f>IFERROR(__xludf.DUMMYFUNCTION("""COMPUTED_VALUE"""),2016.0)</f>
        <v>2016</v>
      </c>
      <c r="M3413" s="308" t="s">
        <v>13964</v>
      </c>
      <c r="N3413" s="308"/>
      <c r="O3413" s="308" t="s">
        <v>635</v>
      </c>
      <c r="P3413" s="308" t="s">
        <v>12369</v>
      </c>
      <c r="Q3413" s="308" t="s">
        <v>36978</v>
      </c>
      <c r="R3413" s="308" t="s">
        <v>13836</v>
      </c>
      <c r="S3413" s="308" t="s">
        <v>81</v>
      </c>
      <c r="T3413" s="308" t="s">
        <v>73</v>
      </c>
      <c r="U3413" s="308" t="s">
        <v>166</v>
      </c>
      <c r="V3413" s="312"/>
    </row>
    <row r="3414">
      <c r="A3414" s="308">
        <v>3413.0</v>
      </c>
      <c r="B3414" s="308"/>
      <c r="C3414" s="308" t="s">
        <v>13965</v>
      </c>
      <c r="D3414" s="308">
        <f>IFERROR(__xludf.DUMMYFUNCTION("SPLIT(C3414,""-"")"),3434.0)</f>
        <v>3434</v>
      </c>
      <c r="E3414" s="308" t="str">
        <f>IFERROR(__xludf.DUMMYFUNCTION("""COMPUTED_VALUE"""),"S")</f>
        <v>S</v>
      </c>
      <c r="F3414" s="312" t="s">
        <v>39</v>
      </c>
      <c r="G3414" s="308"/>
      <c r="H3414" s="308" t="s">
        <v>13966</v>
      </c>
      <c r="I3414" s="310">
        <v>42536.0</v>
      </c>
      <c r="J3414" s="319">
        <f>IFERROR(__xludf.DUMMYFUNCTION("SPLIT(I3414,""/"")"),15.0)</f>
        <v>15</v>
      </c>
      <c r="K3414" s="308">
        <f>IFERROR(__xludf.DUMMYFUNCTION("""COMPUTED_VALUE"""),6.0)</f>
        <v>6</v>
      </c>
      <c r="L3414" s="308">
        <f>IFERROR(__xludf.DUMMYFUNCTION("""COMPUTED_VALUE"""),2016.0)</f>
        <v>2016</v>
      </c>
      <c r="M3414" s="308" t="s">
        <v>13967</v>
      </c>
      <c r="N3414" s="308"/>
      <c r="O3414" s="308" t="s">
        <v>635</v>
      </c>
      <c r="P3414" s="308" t="s">
        <v>12369</v>
      </c>
      <c r="Q3414" s="308" t="s">
        <v>36978</v>
      </c>
      <c r="R3414" s="308" t="s">
        <v>13836</v>
      </c>
      <c r="S3414" s="308" t="s">
        <v>81</v>
      </c>
      <c r="T3414" s="308" t="s">
        <v>73</v>
      </c>
      <c r="U3414" s="308" t="s">
        <v>166</v>
      </c>
      <c r="V3414" s="312"/>
    </row>
    <row r="3415">
      <c r="A3415" s="308">
        <v>3414.0</v>
      </c>
      <c r="B3415" s="308"/>
      <c r="C3415" s="308" t="s">
        <v>13968</v>
      </c>
      <c r="D3415" s="308">
        <f>IFERROR(__xludf.DUMMYFUNCTION("SPLIT(C3415,""-"")"),3435.0)</f>
        <v>3435</v>
      </c>
      <c r="E3415" s="308" t="str">
        <f>IFERROR(__xludf.DUMMYFUNCTION("""COMPUTED_VALUE"""),"S")</f>
        <v>S</v>
      </c>
      <c r="F3415" s="312" t="s">
        <v>39</v>
      </c>
      <c r="G3415" s="308"/>
      <c r="H3415" s="308" t="s">
        <v>13969</v>
      </c>
      <c r="I3415" s="310">
        <v>42536.0</v>
      </c>
      <c r="J3415" s="319">
        <f>IFERROR(__xludf.DUMMYFUNCTION("SPLIT(I3415,""/"")"),15.0)</f>
        <v>15</v>
      </c>
      <c r="K3415" s="308">
        <f>IFERROR(__xludf.DUMMYFUNCTION("""COMPUTED_VALUE"""),6.0)</f>
        <v>6</v>
      </c>
      <c r="L3415" s="308">
        <f>IFERROR(__xludf.DUMMYFUNCTION("""COMPUTED_VALUE"""),2016.0)</f>
        <v>2016</v>
      </c>
      <c r="M3415" s="308" t="s">
        <v>13970</v>
      </c>
      <c r="N3415" s="308"/>
      <c r="O3415" s="308" t="s">
        <v>635</v>
      </c>
      <c r="P3415" s="308" t="s">
        <v>12369</v>
      </c>
      <c r="Q3415" s="308" t="s">
        <v>36978</v>
      </c>
      <c r="R3415" s="308" t="s">
        <v>13836</v>
      </c>
      <c r="S3415" s="308" t="s">
        <v>81</v>
      </c>
      <c r="T3415" s="308" t="s">
        <v>73</v>
      </c>
      <c r="U3415" s="308" t="s">
        <v>166</v>
      </c>
      <c r="V3415" s="312"/>
    </row>
    <row r="3416">
      <c r="A3416" s="308">
        <v>3415.0</v>
      </c>
      <c r="B3416" s="308"/>
      <c r="C3416" s="308" t="s">
        <v>13971</v>
      </c>
      <c r="D3416" s="308">
        <f>IFERROR(__xludf.DUMMYFUNCTION("SPLIT(C3416,""-"")"),3436.0)</f>
        <v>3436</v>
      </c>
      <c r="E3416" s="308" t="str">
        <f>IFERROR(__xludf.DUMMYFUNCTION("""COMPUTED_VALUE"""),"S")</f>
        <v>S</v>
      </c>
      <c r="F3416" s="312" t="s">
        <v>39</v>
      </c>
      <c r="G3416" s="308"/>
      <c r="H3416" s="308" t="s">
        <v>13972</v>
      </c>
      <c r="I3416" s="310">
        <v>42537.0</v>
      </c>
      <c r="J3416" s="319">
        <f>IFERROR(__xludf.DUMMYFUNCTION("SPLIT(I3416,""/"")"),16.0)</f>
        <v>16</v>
      </c>
      <c r="K3416" s="308">
        <f>IFERROR(__xludf.DUMMYFUNCTION("""COMPUTED_VALUE"""),6.0)</f>
        <v>6</v>
      </c>
      <c r="L3416" s="308">
        <f>IFERROR(__xludf.DUMMYFUNCTION("""COMPUTED_VALUE"""),2016.0)</f>
        <v>2016</v>
      </c>
      <c r="M3416" s="308" t="s">
        <v>13973</v>
      </c>
      <c r="N3416" s="308"/>
      <c r="O3416" s="308" t="s">
        <v>635</v>
      </c>
      <c r="P3416" s="308" t="s">
        <v>6973</v>
      </c>
      <c r="Q3416" s="308" t="s">
        <v>36978</v>
      </c>
      <c r="R3416" s="308" t="s">
        <v>13836</v>
      </c>
      <c r="S3416" s="308" t="s">
        <v>49</v>
      </c>
      <c r="T3416" s="308" t="s">
        <v>67</v>
      </c>
      <c r="U3416" s="308" t="s">
        <v>166</v>
      </c>
      <c r="V3416" s="312"/>
    </row>
    <row r="3417">
      <c r="A3417" s="308">
        <v>3416.0</v>
      </c>
      <c r="B3417" s="308"/>
      <c r="C3417" s="308" t="s">
        <v>13974</v>
      </c>
      <c r="D3417" s="308">
        <f>IFERROR(__xludf.DUMMYFUNCTION("SPLIT(C3417,""-"")"),3437.0)</f>
        <v>3437</v>
      </c>
      <c r="E3417" s="308" t="str">
        <f>IFERROR(__xludf.DUMMYFUNCTION("""COMPUTED_VALUE"""),"S")</f>
        <v>S</v>
      </c>
      <c r="F3417" s="312" t="s">
        <v>39</v>
      </c>
      <c r="G3417" s="308"/>
      <c r="H3417" s="308" t="s">
        <v>13975</v>
      </c>
      <c r="I3417" s="310">
        <v>42537.0</v>
      </c>
      <c r="J3417" s="319">
        <f>IFERROR(__xludf.DUMMYFUNCTION("SPLIT(I3417,""/"")"),16.0)</f>
        <v>16</v>
      </c>
      <c r="K3417" s="308">
        <f>IFERROR(__xludf.DUMMYFUNCTION("""COMPUTED_VALUE"""),6.0)</f>
        <v>6</v>
      </c>
      <c r="L3417" s="308">
        <f>IFERROR(__xludf.DUMMYFUNCTION("""COMPUTED_VALUE"""),2016.0)</f>
        <v>2016</v>
      </c>
      <c r="M3417" s="308" t="s">
        <v>13976</v>
      </c>
      <c r="N3417" s="308"/>
      <c r="O3417" s="308" t="s">
        <v>635</v>
      </c>
      <c r="P3417" s="308" t="s">
        <v>12369</v>
      </c>
      <c r="Q3417" s="308" t="s">
        <v>36978</v>
      </c>
      <c r="R3417" s="308" t="s">
        <v>13836</v>
      </c>
      <c r="S3417" s="308" t="s">
        <v>81</v>
      </c>
      <c r="T3417" s="308" t="s">
        <v>73</v>
      </c>
      <c r="U3417" s="308" t="s">
        <v>166</v>
      </c>
      <c r="V3417" s="312"/>
    </row>
    <row r="3418">
      <c r="A3418" s="308">
        <v>3417.0</v>
      </c>
      <c r="B3418" s="308"/>
      <c r="C3418" s="308" t="s">
        <v>13977</v>
      </c>
      <c r="D3418" s="308">
        <f>IFERROR(__xludf.DUMMYFUNCTION("SPLIT(C3418,""-"")"),3438.0)</f>
        <v>3438</v>
      </c>
      <c r="E3418" s="308" t="str">
        <f>IFERROR(__xludf.DUMMYFUNCTION("""COMPUTED_VALUE"""),"S")</f>
        <v>S</v>
      </c>
      <c r="F3418" s="312" t="s">
        <v>39</v>
      </c>
      <c r="G3418" s="308"/>
      <c r="H3418" s="308" t="s">
        <v>13978</v>
      </c>
      <c r="I3418" s="310">
        <v>42537.0</v>
      </c>
      <c r="J3418" s="319">
        <f>IFERROR(__xludf.DUMMYFUNCTION("SPLIT(I3418,""/"")"),16.0)</f>
        <v>16</v>
      </c>
      <c r="K3418" s="308">
        <f>IFERROR(__xludf.DUMMYFUNCTION("""COMPUTED_VALUE"""),6.0)</f>
        <v>6</v>
      </c>
      <c r="L3418" s="308">
        <f>IFERROR(__xludf.DUMMYFUNCTION("""COMPUTED_VALUE"""),2016.0)</f>
        <v>2016</v>
      </c>
      <c r="M3418" s="308" t="s">
        <v>13979</v>
      </c>
      <c r="N3418" s="308"/>
      <c r="O3418" s="308" t="s">
        <v>635</v>
      </c>
      <c r="P3418" s="308" t="s">
        <v>841</v>
      </c>
      <c r="Q3418" s="308" t="s">
        <v>36978</v>
      </c>
      <c r="R3418" s="308" t="s">
        <v>13836</v>
      </c>
      <c r="S3418" s="308" t="s">
        <v>49</v>
      </c>
      <c r="T3418" s="311" t="s">
        <v>77</v>
      </c>
      <c r="U3418" s="308" t="s">
        <v>166</v>
      </c>
      <c r="V3418" s="312"/>
    </row>
    <row r="3419">
      <c r="A3419" s="308">
        <v>3418.0</v>
      </c>
      <c r="B3419" s="308"/>
      <c r="C3419" s="308" t="s">
        <v>13980</v>
      </c>
      <c r="D3419" s="308">
        <f>IFERROR(__xludf.DUMMYFUNCTION("SPLIT(C3419,""-"")"),3439.0)</f>
        <v>3439</v>
      </c>
      <c r="E3419" s="308" t="str">
        <f>IFERROR(__xludf.DUMMYFUNCTION("""COMPUTED_VALUE"""),"S")</f>
        <v>S</v>
      </c>
      <c r="F3419" s="312" t="s">
        <v>39</v>
      </c>
      <c r="G3419" s="308"/>
      <c r="H3419" s="308" t="s">
        <v>13981</v>
      </c>
      <c r="I3419" s="310">
        <v>42538.0</v>
      </c>
      <c r="J3419" s="319">
        <f>IFERROR(__xludf.DUMMYFUNCTION("SPLIT(I3419,""/"")"),17.0)</f>
        <v>17</v>
      </c>
      <c r="K3419" s="308">
        <f>IFERROR(__xludf.DUMMYFUNCTION("""COMPUTED_VALUE"""),6.0)</f>
        <v>6</v>
      </c>
      <c r="L3419" s="308">
        <f>IFERROR(__xludf.DUMMYFUNCTION("""COMPUTED_VALUE"""),2016.0)</f>
        <v>2016</v>
      </c>
      <c r="M3419" s="308" t="s">
        <v>13982</v>
      </c>
      <c r="N3419" s="308"/>
      <c r="O3419" s="308" t="s">
        <v>635</v>
      </c>
      <c r="P3419" s="308" t="s">
        <v>6973</v>
      </c>
      <c r="Q3419" s="308" t="s">
        <v>36978</v>
      </c>
      <c r="R3419" s="308" t="s">
        <v>13836</v>
      </c>
      <c r="S3419" s="308" t="s">
        <v>49</v>
      </c>
      <c r="T3419" s="308" t="s">
        <v>67</v>
      </c>
      <c r="U3419" s="308" t="s">
        <v>166</v>
      </c>
      <c r="V3419" s="312"/>
    </row>
    <row r="3420">
      <c r="A3420" s="308">
        <v>3419.0</v>
      </c>
      <c r="B3420" s="308"/>
      <c r="C3420" s="308" t="s">
        <v>13983</v>
      </c>
      <c r="D3420" s="308">
        <f>IFERROR(__xludf.DUMMYFUNCTION("SPLIT(C3420,""-"")"),3440.0)</f>
        <v>3440</v>
      </c>
      <c r="E3420" s="308" t="str">
        <f>IFERROR(__xludf.DUMMYFUNCTION("""COMPUTED_VALUE"""),"P")</f>
        <v>P</v>
      </c>
      <c r="F3420" s="312" t="s">
        <v>37</v>
      </c>
      <c r="G3420" s="308"/>
      <c r="H3420" s="308" t="s">
        <v>13984</v>
      </c>
      <c r="I3420" s="314">
        <v>42362.0</v>
      </c>
      <c r="J3420" s="319">
        <f>IFERROR(__xludf.DUMMYFUNCTION("SPLIT(I3420,""/"")"),24.0)</f>
        <v>24</v>
      </c>
      <c r="K3420" s="308">
        <f>IFERROR(__xludf.DUMMYFUNCTION("""COMPUTED_VALUE"""),12.0)</f>
        <v>12</v>
      </c>
      <c r="L3420" s="308">
        <f>IFERROR(__xludf.DUMMYFUNCTION("""COMPUTED_VALUE"""),2015.0)</f>
        <v>2015</v>
      </c>
      <c r="M3420" s="308" t="s">
        <v>13985</v>
      </c>
      <c r="N3420" s="308"/>
      <c r="O3420" s="308" t="s">
        <v>13986</v>
      </c>
      <c r="P3420" s="308" t="s">
        <v>13760</v>
      </c>
      <c r="Q3420" s="308" t="s">
        <v>36980</v>
      </c>
      <c r="R3420" s="308" t="s">
        <v>2743</v>
      </c>
      <c r="S3420" s="308" t="s">
        <v>81</v>
      </c>
      <c r="T3420" s="308" t="s">
        <v>73</v>
      </c>
      <c r="U3420" s="308"/>
      <c r="V3420" s="312"/>
    </row>
    <row r="3421">
      <c r="A3421" s="308">
        <v>3420.0</v>
      </c>
      <c r="B3421" s="308"/>
      <c r="C3421" s="308" t="s">
        <v>13987</v>
      </c>
      <c r="D3421" s="308">
        <f>IFERROR(__xludf.DUMMYFUNCTION("SPLIT(C3421,""-"")"),3441.0)</f>
        <v>3441</v>
      </c>
      <c r="E3421" s="308" t="str">
        <f>IFERROR(__xludf.DUMMYFUNCTION("""COMPUTED_VALUE"""),"F")</f>
        <v>F</v>
      </c>
      <c r="F3421" s="309" t="s">
        <v>34</v>
      </c>
      <c r="G3421" s="308"/>
      <c r="H3421" s="308" t="s">
        <v>13988</v>
      </c>
      <c r="I3421" s="314">
        <v>42002.0</v>
      </c>
      <c r="J3421" s="319">
        <f>IFERROR(__xludf.DUMMYFUNCTION("SPLIT(I3421,""/"")"),29.0)</f>
        <v>29</v>
      </c>
      <c r="K3421" s="308">
        <f>IFERROR(__xludf.DUMMYFUNCTION("""COMPUTED_VALUE"""),12.0)</f>
        <v>12</v>
      </c>
      <c r="L3421" s="308">
        <f>IFERROR(__xludf.DUMMYFUNCTION("""COMPUTED_VALUE"""),2014.0)</f>
        <v>2014</v>
      </c>
      <c r="M3421" s="308" t="s">
        <v>13989</v>
      </c>
      <c r="N3421" s="308"/>
      <c r="O3421" s="308" t="s">
        <v>635</v>
      </c>
      <c r="P3421" s="308" t="s">
        <v>13990</v>
      </c>
      <c r="Q3421" s="308" t="s">
        <v>36980</v>
      </c>
      <c r="R3421" s="308" t="s">
        <v>2743</v>
      </c>
      <c r="S3421" s="308" t="s">
        <v>81</v>
      </c>
      <c r="T3421" s="308" t="s">
        <v>34264</v>
      </c>
      <c r="U3421" s="308"/>
      <c r="V3421" s="312"/>
    </row>
    <row r="3422">
      <c r="A3422" s="308">
        <v>3421.0</v>
      </c>
      <c r="B3422" s="308"/>
      <c r="C3422" s="308" t="s">
        <v>13991</v>
      </c>
      <c r="D3422" s="308">
        <f>IFERROR(__xludf.DUMMYFUNCTION("SPLIT(C3422,""-"")"),3442.0)</f>
        <v>3442</v>
      </c>
      <c r="E3422" s="308" t="str">
        <f>IFERROR(__xludf.DUMMYFUNCTION("""COMPUTED_VALUE"""),"K")</f>
        <v>K</v>
      </c>
      <c r="F3422" s="309" t="s">
        <v>34</v>
      </c>
      <c r="G3422" s="308"/>
      <c r="H3422" s="308" t="s">
        <v>13992</v>
      </c>
      <c r="I3422" s="310">
        <v>40679.0</v>
      </c>
      <c r="J3422" s="319">
        <f>IFERROR(__xludf.DUMMYFUNCTION("SPLIT(I3422,""/"")"),16.0)</f>
        <v>16</v>
      </c>
      <c r="K3422" s="308">
        <f>IFERROR(__xludf.DUMMYFUNCTION("""COMPUTED_VALUE"""),5.0)</f>
        <v>5</v>
      </c>
      <c r="L3422" s="308">
        <f>IFERROR(__xludf.DUMMYFUNCTION("""COMPUTED_VALUE"""),2011.0)</f>
        <v>2011</v>
      </c>
      <c r="M3422" s="308" t="s">
        <v>13993</v>
      </c>
      <c r="N3422" s="308"/>
      <c r="O3422" s="308"/>
      <c r="P3422" s="308" t="s">
        <v>13994</v>
      </c>
      <c r="Q3422" s="308" t="s">
        <v>36980</v>
      </c>
      <c r="R3422" s="308" t="s">
        <v>2743</v>
      </c>
      <c r="S3422" s="308" t="s">
        <v>81</v>
      </c>
      <c r="T3422" s="308" t="s">
        <v>34264</v>
      </c>
      <c r="U3422" s="308" t="s">
        <v>201</v>
      </c>
      <c r="V3422" s="312"/>
    </row>
    <row r="3423">
      <c r="A3423" s="308">
        <v>3422.0</v>
      </c>
      <c r="B3423" s="308"/>
      <c r="C3423" s="308" t="s">
        <v>13995</v>
      </c>
      <c r="D3423" s="308">
        <f>IFERROR(__xludf.DUMMYFUNCTION("SPLIT(C3423,""-"")"),3443.0)</f>
        <v>3443</v>
      </c>
      <c r="E3423" s="308" t="str">
        <f>IFERROR(__xludf.DUMMYFUNCTION("""COMPUTED_VALUE"""),"I")</f>
        <v>I</v>
      </c>
      <c r="F3423" s="309" t="s">
        <v>31</v>
      </c>
      <c r="G3423" s="308"/>
      <c r="H3423" s="308" t="s">
        <v>13996</v>
      </c>
      <c r="I3423" s="310">
        <v>42465.0</v>
      </c>
      <c r="J3423" s="319">
        <f>IFERROR(__xludf.DUMMYFUNCTION("SPLIT(I3423,""/"")"),5.0)</f>
        <v>5</v>
      </c>
      <c r="K3423" s="308">
        <f>IFERROR(__xludf.DUMMYFUNCTION("""COMPUTED_VALUE"""),4.0)</f>
        <v>4</v>
      </c>
      <c r="L3423" s="308">
        <f>IFERROR(__xludf.DUMMYFUNCTION("""COMPUTED_VALUE"""),2016.0)</f>
        <v>2016</v>
      </c>
      <c r="M3423" s="308" t="s">
        <v>36981</v>
      </c>
      <c r="N3423" s="308"/>
      <c r="O3423" s="308" t="s">
        <v>13998</v>
      </c>
      <c r="P3423" s="308" t="s">
        <v>13999</v>
      </c>
      <c r="Q3423" s="308" t="s">
        <v>36980</v>
      </c>
      <c r="R3423" s="308" t="s">
        <v>2743</v>
      </c>
      <c r="S3423" s="308" t="s">
        <v>81</v>
      </c>
      <c r="T3423" s="308" t="s">
        <v>75</v>
      </c>
      <c r="U3423" s="308" t="s">
        <v>31</v>
      </c>
      <c r="V3423" s="312"/>
    </row>
    <row r="3424">
      <c r="A3424" s="308">
        <v>3423.0</v>
      </c>
      <c r="B3424" s="308"/>
      <c r="C3424" s="308" t="s">
        <v>14000</v>
      </c>
      <c r="D3424" s="308">
        <f>IFERROR(__xludf.DUMMYFUNCTION("SPLIT(C3424,""-"")"),3444.0)</f>
        <v>3444</v>
      </c>
      <c r="E3424" s="308" t="str">
        <f>IFERROR(__xludf.DUMMYFUNCTION("""COMPUTED_VALUE"""),"K")</f>
        <v>K</v>
      </c>
      <c r="F3424" s="309" t="s">
        <v>34</v>
      </c>
      <c r="G3424" s="308"/>
      <c r="H3424" s="308" t="s">
        <v>14001</v>
      </c>
      <c r="I3424" s="310">
        <v>42028.0</v>
      </c>
      <c r="J3424" s="319">
        <f>IFERROR(__xludf.DUMMYFUNCTION("SPLIT(I3424,""/"")"),24.0)</f>
        <v>24</v>
      </c>
      <c r="K3424" s="308">
        <f>IFERROR(__xludf.DUMMYFUNCTION("""COMPUTED_VALUE"""),1.0)</f>
        <v>1</v>
      </c>
      <c r="L3424" s="308">
        <f>IFERROR(__xludf.DUMMYFUNCTION("""COMPUTED_VALUE"""),2015.0)</f>
        <v>2015</v>
      </c>
      <c r="M3424" s="308" t="s">
        <v>14002</v>
      </c>
      <c r="N3424" s="308"/>
      <c r="O3424" s="308" t="s">
        <v>14003</v>
      </c>
      <c r="P3424" s="308" t="s">
        <v>36982</v>
      </c>
      <c r="Q3424" s="308" t="s">
        <v>36980</v>
      </c>
      <c r="R3424" s="308" t="s">
        <v>13678</v>
      </c>
      <c r="S3424" s="308" t="s">
        <v>81</v>
      </c>
      <c r="T3424" s="308" t="s">
        <v>75</v>
      </c>
      <c r="U3424" s="308" t="s">
        <v>125</v>
      </c>
      <c r="V3424" s="312"/>
    </row>
    <row r="3425">
      <c r="A3425" s="308">
        <v>3424.0</v>
      </c>
      <c r="B3425" s="308"/>
      <c r="C3425" s="308" t="s">
        <v>14005</v>
      </c>
      <c r="D3425" s="308">
        <f>IFERROR(__xludf.DUMMYFUNCTION("SPLIT(C3425,""-"")"),3445.0)</f>
        <v>3445</v>
      </c>
      <c r="E3425" s="308" t="str">
        <f>IFERROR(__xludf.DUMMYFUNCTION("""COMPUTED_VALUE"""),"K")</f>
        <v>K</v>
      </c>
      <c r="F3425" s="309" t="s">
        <v>34</v>
      </c>
      <c r="G3425" s="308"/>
      <c r="H3425" s="308" t="s">
        <v>14006</v>
      </c>
      <c r="I3425" s="310">
        <v>42248.0</v>
      </c>
      <c r="J3425" s="319">
        <f>IFERROR(__xludf.DUMMYFUNCTION("SPLIT(I3425,""/"")"),1.0)</f>
        <v>1</v>
      </c>
      <c r="K3425" s="308">
        <f>IFERROR(__xludf.DUMMYFUNCTION("""COMPUTED_VALUE"""),9.0)</f>
        <v>9</v>
      </c>
      <c r="L3425" s="308">
        <f>IFERROR(__xludf.DUMMYFUNCTION("""COMPUTED_VALUE"""),2015.0)</f>
        <v>2015</v>
      </c>
      <c r="M3425" s="308" t="s">
        <v>14007</v>
      </c>
      <c r="N3425" s="308"/>
      <c r="O3425" s="308" t="s">
        <v>14008</v>
      </c>
      <c r="P3425" s="308" t="s">
        <v>36983</v>
      </c>
      <c r="Q3425" s="308" t="s">
        <v>36980</v>
      </c>
      <c r="R3425" s="308" t="s">
        <v>14009</v>
      </c>
      <c r="S3425" s="315" t="s">
        <v>100</v>
      </c>
      <c r="T3425" s="311" t="s">
        <v>34208</v>
      </c>
      <c r="U3425" s="308" t="s">
        <v>368</v>
      </c>
      <c r="V3425" s="312"/>
    </row>
    <row r="3426">
      <c r="A3426" s="308">
        <v>3425.0</v>
      </c>
      <c r="B3426" s="308"/>
      <c r="C3426" s="308" t="s">
        <v>14010</v>
      </c>
      <c r="D3426" s="308">
        <f>IFERROR(__xludf.DUMMYFUNCTION("SPLIT(C3426,""-"")"),3446.0)</f>
        <v>3446</v>
      </c>
      <c r="E3426" s="308" t="str">
        <f>IFERROR(__xludf.DUMMYFUNCTION("""COMPUTED_VALUE"""),"F")</f>
        <v>F</v>
      </c>
      <c r="F3426" s="309" t="s">
        <v>34</v>
      </c>
      <c r="G3426" s="308"/>
      <c r="H3426" s="308" t="s">
        <v>14011</v>
      </c>
      <c r="I3426" s="310">
        <v>41537.0</v>
      </c>
      <c r="J3426" s="319">
        <f>IFERROR(__xludf.DUMMYFUNCTION("SPLIT(I3426,""/"")"),20.0)</f>
        <v>20</v>
      </c>
      <c r="K3426" s="308">
        <f>IFERROR(__xludf.DUMMYFUNCTION("""COMPUTED_VALUE"""),9.0)</f>
        <v>9</v>
      </c>
      <c r="L3426" s="308">
        <f>IFERROR(__xludf.DUMMYFUNCTION("""COMPUTED_VALUE"""),2013.0)</f>
        <v>2013</v>
      </c>
      <c r="M3426" s="308" t="s">
        <v>36984</v>
      </c>
      <c r="N3426" s="308"/>
      <c r="O3426" s="308" t="s">
        <v>635</v>
      </c>
      <c r="P3426" s="308" t="s">
        <v>14013</v>
      </c>
      <c r="Q3426" s="308" t="s">
        <v>36980</v>
      </c>
      <c r="R3426" s="308" t="s">
        <v>14009</v>
      </c>
      <c r="S3426" s="308" t="s">
        <v>81</v>
      </c>
      <c r="T3426" s="308" t="s">
        <v>75</v>
      </c>
      <c r="U3426" s="308"/>
      <c r="V3426" s="312"/>
    </row>
    <row r="3427">
      <c r="A3427" s="308">
        <v>3426.0</v>
      </c>
      <c r="B3427" s="308"/>
      <c r="C3427" s="308" t="s">
        <v>14014</v>
      </c>
      <c r="D3427" s="308">
        <f>IFERROR(__xludf.DUMMYFUNCTION("SPLIT(C3427,""-"")"),3447.0)</f>
        <v>3447</v>
      </c>
      <c r="E3427" s="308" t="str">
        <f>IFERROR(__xludf.DUMMYFUNCTION("""COMPUTED_VALUE"""),"K")</f>
        <v>K</v>
      </c>
      <c r="F3427" s="309" t="s">
        <v>34</v>
      </c>
      <c r="G3427" s="308"/>
      <c r="H3427" s="308" t="s">
        <v>14015</v>
      </c>
      <c r="I3427" s="310">
        <v>41662.0</v>
      </c>
      <c r="J3427" s="319">
        <f>IFERROR(__xludf.DUMMYFUNCTION("SPLIT(I3427,""/"")"),23.0)</f>
        <v>23</v>
      </c>
      <c r="K3427" s="308">
        <f>IFERROR(__xludf.DUMMYFUNCTION("""COMPUTED_VALUE"""),1.0)</f>
        <v>1</v>
      </c>
      <c r="L3427" s="308">
        <f>IFERROR(__xludf.DUMMYFUNCTION("""COMPUTED_VALUE"""),2014.0)</f>
        <v>2014</v>
      </c>
      <c r="M3427" s="308" t="s">
        <v>14016</v>
      </c>
      <c r="N3427" s="308"/>
      <c r="O3427" s="308" t="s">
        <v>36985</v>
      </c>
      <c r="P3427" s="308" t="s">
        <v>36983</v>
      </c>
      <c r="Q3427" s="308" t="s">
        <v>36980</v>
      </c>
      <c r="R3427" s="308" t="s">
        <v>14009</v>
      </c>
      <c r="S3427" s="315" t="s">
        <v>100</v>
      </c>
      <c r="T3427" s="311" t="s">
        <v>34208</v>
      </c>
      <c r="U3427" s="308" t="s">
        <v>368</v>
      </c>
      <c r="V3427" s="312"/>
    </row>
    <row r="3428">
      <c r="A3428" s="308">
        <v>3427.0</v>
      </c>
      <c r="B3428" s="308"/>
      <c r="C3428" s="308" t="s">
        <v>14018</v>
      </c>
      <c r="D3428" s="308">
        <f>IFERROR(__xludf.DUMMYFUNCTION("SPLIT(C3428,""-"")"),3448.0)</f>
        <v>3448</v>
      </c>
      <c r="E3428" s="308" t="str">
        <f>IFERROR(__xludf.DUMMYFUNCTION("""COMPUTED_VALUE"""),"K")</f>
        <v>K</v>
      </c>
      <c r="F3428" s="309" t="s">
        <v>34</v>
      </c>
      <c r="G3428" s="308"/>
      <c r="H3428" s="308" t="s">
        <v>14019</v>
      </c>
      <c r="I3428" s="314">
        <v>42324.0</v>
      </c>
      <c r="J3428" s="319">
        <f>IFERROR(__xludf.DUMMYFUNCTION("SPLIT(I3428,""/"")"),16.0)</f>
        <v>16</v>
      </c>
      <c r="K3428" s="308">
        <f>IFERROR(__xludf.DUMMYFUNCTION("""COMPUTED_VALUE"""),11.0)</f>
        <v>11</v>
      </c>
      <c r="L3428" s="308">
        <f>IFERROR(__xludf.DUMMYFUNCTION("""COMPUTED_VALUE"""),2015.0)</f>
        <v>2015</v>
      </c>
      <c r="M3428" s="308" t="s">
        <v>14020</v>
      </c>
      <c r="N3428" s="308"/>
      <c r="O3428" s="308" t="s">
        <v>36986</v>
      </c>
      <c r="P3428" s="308" t="s">
        <v>36987</v>
      </c>
      <c r="Q3428" s="308" t="s">
        <v>36980</v>
      </c>
      <c r="R3428" s="308" t="s">
        <v>14009</v>
      </c>
      <c r="S3428" s="315" t="s">
        <v>100</v>
      </c>
      <c r="T3428" s="311" t="s">
        <v>34208</v>
      </c>
      <c r="U3428" s="308" t="s">
        <v>201</v>
      </c>
      <c r="V3428" s="312"/>
    </row>
    <row r="3429">
      <c r="A3429" s="308">
        <v>3428.0</v>
      </c>
      <c r="B3429" s="308"/>
      <c r="C3429" s="308" t="s">
        <v>14023</v>
      </c>
      <c r="D3429" s="308" t="str">
        <f>IFERROR(__xludf.DUMMYFUNCTION("SPLIT(C3429,""-"")"),"#REF!")</f>
        <v>#REF!</v>
      </c>
      <c r="E3429" s="308"/>
      <c r="F3429" s="309" t="s">
        <v>34</v>
      </c>
      <c r="G3429" s="308"/>
      <c r="H3429" s="308" t="s">
        <v>14024</v>
      </c>
      <c r="I3429" s="310">
        <v>42053.0</v>
      </c>
      <c r="J3429" s="319">
        <f>IFERROR(__xludf.DUMMYFUNCTION("SPLIT(I3429,""/"")"),18.0)</f>
        <v>18</v>
      </c>
      <c r="K3429" s="308">
        <f>IFERROR(__xludf.DUMMYFUNCTION("""COMPUTED_VALUE"""),2.0)</f>
        <v>2</v>
      </c>
      <c r="L3429" s="308">
        <f>IFERROR(__xludf.DUMMYFUNCTION("""COMPUTED_VALUE"""),2015.0)</f>
        <v>2015</v>
      </c>
      <c r="M3429" s="308" t="s">
        <v>14025</v>
      </c>
      <c r="N3429" s="308"/>
      <c r="O3429" s="308" t="s">
        <v>635</v>
      </c>
      <c r="P3429" s="308" t="s">
        <v>14026</v>
      </c>
      <c r="Q3429" s="308" t="s">
        <v>36988</v>
      </c>
      <c r="R3429" s="308" t="s">
        <v>14027</v>
      </c>
      <c r="S3429" s="308" t="s">
        <v>81</v>
      </c>
      <c r="T3429" s="308" t="s">
        <v>34264</v>
      </c>
      <c r="U3429" s="308" t="s">
        <v>14028</v>
      </c>
      <c r="V3429" s="312"/>
    </row>
    <row r="3430">
      <c r="A3430" s="308">
        <v>3429.0</v>
      </c>
      <c r="B3430" s="308"/>
      <c r="C3430" s="308" t="s">
        <v>14029</v>
      </c>
      <c r="D3430" s="308">
        <f>IFERROR(__xludf.DUMMYFUNCTION("SPLIT(C3430,""-"")"),3450.0)</f>
        <v>3450</v>
      </c>
      <c r="E3430" s="308" t="str">
        <f>IFERROR(__xludf.DUMMYFUNCTION("""COMPUTED_VALUE"""),"I")</f>
        <v>I</v>
      </c>
      <c r="F3430" s="309" t="s">
        <v>31</v>
      </c>
      <c r="G3430" s="308"/>
      <c r="H3430" s="308" t="s">
        <v>14030</v>
      </c>
      <c r="I3430" s="310">
        <v>42558.0</v>
      </c>
      <c r="J3430" s="319">
        <f>IFERROR(__xludf.DUMMYFUNCTION("SPLIT(I3430,""/"")"),7.0)</f>
        <v>7</v>
      </c>
      <c r="K3430" s="308">
        <f>IFERROR(__xludf.DUMMYFUNCTION("""COMPUTED_VALUE"""),7.0)</f>
        <v>7</v>
      </c>
      <c r="L3430" s="308">
        <f>IFERROR(__xludf.DUMMYFUNCTION("""COMPUTED_VALUE"""),2016.0)</f>
        <v>2016</v>
      </c>
      <c r="M3430" s="308" t="s">
        <v>14031</v>
      </c>
      <c r="N3430" s="308"/>
      <c r="O3430" s="308" t="s">
        <v>635</v>
      </c>
      <c r="P3430" s="308" t="s">
        <v>14032</v>
      </c>
      <c r="Q3430" s="308" t="s">
        <v>36989</v>
      </c>
      <c r="R3430" s="308" t="s">
        <v>2743</v>
      </c>
      <c r="S3430" s="308" t="s">
        <v>81</v>
      </c>
      <c r="T3430" s="308" t="s">
        <v>73</v>
      </c>
      <c r="U3430" s="308" t="s">
        <v>31</v>
      </c>
      <c r="V3430" s="312"/>
    </row>
    <row r="3431">
      <c r="A3431" s="308">
        <v>3430.0</v>
      </c>
      <c r="B3431" s="308"/>
      <c r="C3431" s="308" t="s">
        <v>14033</v>
      </c>
      <c r="D3431" s="308">
        <f>IFERROR(__xludf.DUMMYFUNCTION("SPLIT(C3431,""-"")"),3451.0)</f>
        <v>3451</v>
      </c>
      <c r="E3431" s="308" t="str">
        <f>IFERROR(__xludf.DUMMYFUNCTION("""COMPUTED_VALUE"""),"S")</f>
        <v>S</v>
      </c>
      <c r="F3431" s="312" t="s">
        <v>39</v>
      </c>
      <c r="G3431" s="308" t="s">
        <v>14034</v>
      </c>
      <c r="H3431" s="308" t="s">
        <v>14035</v>
      </c>
      <c r="I3431" s="310">
        <v>42011.0</v>
      </c>
      <c r="J3431" s="319">
        <f>IFERROR(__xludf.DUMMYFUNCTION("SPLIT(I3431,""/"")"),7.0)</f>
        <v>7</v>
      </c>
      <c r="K3431" s="308">
        <f>IFERROR(__xludf.DUMMYFUNCTION("""COMPUTED_VALUE"""),1.0)</f>
        <v>1</v>
      </c>
      <c r="L3431" s="308">
        <f>IFERROR(__xludf.DUMMYFUNCTION("""COMPUTED_VALUE"""),2015.0)</f>
        <v>2015</v>
      </c>
      <c r="M3431" s="328" t="s">
        <v>34322</v>
      </c>
      <c r="N3431" s="308"/>
      <c r="O3431" s="308" t="s">
        <v>635</v>
      </c>
      <c r="P3431" s="308" t="s">
        <v>36990</v>
      </c>
      <c r="Q3431" s="308" t="s">
        <v>36989</v>
      </c>
      <c r="R3431" s="308" t="s">
        <v>13890</v>
      </c>
      <c r="S3431" s="315" t="s">
        <v>100</v>
      </c>
      <c r="T3431" s="311" t="s">
        <v>34208</v>
      </c>
      <c r="U3431" s="308" t="s">
        <v>36991</v>
      </c>
      <c r="V3431" s="312"/>
    </row>
    <row r="3432">
      <c r="A3432" s="308">
        <v>3431.0</v>
      </c>
      <c r="B3432" s="308"/>
      <c r="C3432" s="308" t="s">
        <v>14037</v>
      </c>
      <c r="D3432" s="308">
        <f>IFERROR(__xludf.DUMMYFUNCTION("SPLIT(C3432,""-"")"),3452.0)</f>
        <v>3452</v>
      </c>
      <c r="E3432" s="308" t="str">
        <f>IFERROR(__xludf.DUMMYFUNCTION("""COMPUTED_VALUE"""),"S")</f>
        <v>S</v>
      </c>
      <c r="F3432" s="312" t="s">
        <v>39</v>
      </c>
      <c r="G3432" s="308" t="s">
        <v>14038</v>
      </c>
      <c r="H3432" s="308" t="s">
        <v>14039</v>
      </c>
      <c r="I3432" s="314">
        <v>42361.0</v>
      </c>
      <c r="J3432" s="319">
        <f>IFERROR(__xludf.DUMMYFUNCTION("SPLIT(I3432,""/"")"),23.0)</f>
        <v>23</v>
      </c>
      <c r="K3432" s="308">
        <f>IFERROR(__xludf.DUMMYFUNCTION("""COMPUTED_VALUE"""),12.0)</f>
        <v>12</v>
      </c>
      <c r="L3432" s="308">
        <f>IFERROR(__xludf.DUMMYFUNCTION("""COMPUTED_VALUE"""),2015.0)</f>
        <v>2015</v>
      </c>
      <c r="M3432" s="308" t="s">
        <v>36992</v>
      </c>
      <c r="N3432" s="308"/>
      <c r="O3432" s="308" t="s">
        <v>635</v>
      </c>
      <c r="P3432" s="308" t="s">
        <v>12369</v>
      </c>
      <c r="Q3432" s="308" t="s">
        <v>36989</v>
      </c>
      <c r="R3432" s="308" t="s">
        <v>13890</v>
      </c>
      <c r="S3432" s="308" t="s">
        <v>81</v>
      </c>
      <c r="T3432" s="308" t="s">
        <v>73</v>
      </c>
      <c r="U3432" s="308" t="s">
        <v>166</v>
      </c>
      <c r="V3432" s="312"/>
    </row>
    <row r="3433">
      <c r="A3433" s="308">
        <v>3432.0</v>
      </c>
      <c r="B3433" s="308"/>
      <c r="C3433" s="308" t="s">
        <v>14041</v>
      </c>
      <c r="D3433" s="308">
        <f>IFERROR(__xludf.DUMMYFUNCTION("SPLIT(C3433,""-"")"),3453.0)</f>
        <v>3453</v>
      </c>
      <c r="E3433" s="308" t="str">
        <f>IFERROR(__xludf.DUMMYFUNCTION("""COMPUTED_VALUE"""),"S")</f>
        <v>S</v>
      </c>
      <c r="F3433" s="312" t="s">
        <v>39</v>
      </c>
      <c r="G3433" s="308" t="s">
        <v>14042</v>
      </c>
      <c r="H3433" s="308" t="s">
        <v>14043</v>
      </c>
      <c r="I3433" s="314">
        <v>42294.0</v>
      </c>
      <c r="J3433" s="319">
        <f>IFERROR(__xludf.DUMMYFUNCTION("SPLIT(I3433,""/"")"),17.0)</f>
        <v>17</v>
      </c>
      <c r="K3433" s="308">
        <f>IFERROR(__xludf.DUMMYFUNCTION("""COMPUTED_VALUE"""),10.0)</f>
        <v>10</v>
      </c>
      <c r="L3433" s="308">
        <f>IFERROR(__xludf.DUMMYFUNCTION("""COMPUTED_VALUE"""),2015.0)</f>
        <v>2015</v>
      </c>
      <c r="M3433" s="308" t="s">
        <v>14044</v>
      </c>
      <c r="N3433" s="308"/>
      <c r="O3433" s="308" t="s">
        <v>635</v>
      </c>
      <c r="P3433" s="308" t="s">
        <v>14045</v>
      </c>
      <c r="Q3433" s="308" t="s">
        <v>36989</v>
      </c>
      <c r="R3433" s="308" t="s">
        <v>13890</v>
      </c>
      <c r="S3433" s="308" t="s">
        <v>81</v>
      </c>
      <c r="T3433" s="308" t="s">
        <v>75</v>
      </c>
      <c r="U3433" s="308" t="s">
        <v>166</v>
      </c>
      <c r="V3433" s="312"/>
    </row>
    <row r="3434">
      <c r="A3434" s="308">
        <v>3433.0</v>
      </c>
      <c r="B3434" s="308" t="s">
        <v>14046</v>
      </c>
      <c r="C3434" s="308" t="s">
        <v>14047</v>
      </c>
      <c r="D3434" s="308">
        <f>IFERROR(__xludf.DUMMYFUNCTION("SPLIT(C3434,""-"")"),3454.0)</f>
        <v>3454</v>
      </c>
      <c r="E3434" s="308" t="str">
        <f>IFERROR(__xludf.DUMMYFUNCTION("""COMPUTED_VALUE"""),"K")</f>
        <v>K</v>
      </c>
      <c r="F3434" s="309" t="s">
        <v>34</v>
      </c>
      <c r="G3434" s="308" t="s">
        <v>14048</v>
      </c>
      <c r="H3434" s="308" t="s">
        <v>14049</v>
      </c>
      <c r="I3434" s="316">
        <v>2008.0</v>
      </c>
      <c r="J3434" s="319"/>
      <c r="K3434" s="308"/>
      <c r="L3434" s="311">
        <v>2008.0</v>
      </c>
      <c r="M3434" s="308" t="s">
        <v>14050</v>
      </c>
      <c r="N3434" s="308"/>
      <c r="O3434" s="308" t="s">
        <v>14051</v>
      </c>
      <c r="P3434" s="308" t="s">
        <v>14052</v>
      </c>
      <c r="Q3434" s="308" t="s">
        <v>36989</v>
      </c>
      <c r="R3434" s="308" t="s">
        <v>13770</v>
      </c>
      <c r="S3434" s="315" t="s">
        <v>100</v>
      </c>
      <c r="T3434" s="311" t="s">
        <v>34208</v>
      </c>
      <c r="U3434" s="308" t="s">
        <v>137</v>
      </c>
      <c r="V3434" s="312"/>
    </row>
    <row r="3435">
      <c r="A3435" s="308">
        <v>3434.0</v>
      </c>
      <c r="B3435" s="308"/>
      <c r="C3435" s="308" t="s">
        <v>14053</v>
      </c>
      <c r="D3435" s="308">
        <f>IFERROR(__xludf.DUMMYFUNCTION("SPLIT(C3435,""-"")"),3455.0)</f>
        <v>3455</v>
      </c>
      <c r="E3435" s="308" t="str">
        <f>IFERROR(__xludf.DUMMYFUNCTION("""COMPUTED_VALUE"""),"S")</f>
        <v>S</v>
      </c>
      <c r="F3435" s="312" t="s">
        <v>39</v>
      </c>
      <c r="G3435" s="308" t="s">
        <v>14054</v>
      </c>
      <c r="H3435" s="308" t="s">
        <v>14055</v>
      </c>
      <c r="I3435" s="310">
        <v>41809.0</v>
      </c>
      <c r="J3435" s="319">
        <f>IFERROR(__xludf.DUMMYFUNCTION("SPLIT(I3435,""/"")"),19.0)</f>
        <v>19</v>
      </c>
      <c r="K3435" s="308">
        <f>IFERROR(__xludf.DUMMYFUNCTION("""COMPUTED_VALUE"""),6.0)</f>
        <v>6</v>
      </c>
      <c r="L3435" s="308">
        <f>IFERROR(__xludf.DUMMYFUNCTION("""COMPUTED_VALUE"""),2014.0)</f>
        <v>2014</v>
      </c>
      <c r="M3435" s="308" t="s">
        <v>14056</v>
      </c>
      <c r="N3435" s="308"/>
      <c r="O3435" s="308" t="s">
        <v>14057</v>
      </c>
      <c r="P3435" s="308" t="s">
        <v>14058</v>
      </c>
      <c r="Q3435" s="308" t="s">
        <v>36989</v>
      </c>
      <c r="R3435" s="308" t="s">
        <v>13890</v>
      </c>
      <c r="S3435" s="308" t="s">
        <v>81</v>
      </c>
      <c r="T3435" s="311" t="s">
        <v>98</v>
      </c>
      <c r="U3435" s="308" t="s">
        <v>166</v>
      </c>
      <c r="V3435" s="312"/>
    </row>
    <row r="3436">
      <c r="A3436" s="308">
        <v>3435.0</v>
      </c>
      <c r="B3436" s="308"/>
      <c r="C3436" s="308" t="s">
        <v>14059</v>
      </c>
      <c r="D3436" s="308">
        <f>IFERROR(__xludf.DUMMYFUNCTION("SPLIT(C3436,""-"")"),3456.0)</f>
        <v>3456</v>
      </c>
      <c r="E3436" s="308" t="str">
        <f>IFERROR(__xludf.DUMMYFUNCTION("""COMPUTED_VALUE"""),"S")</f>
        <v>S</v>
      </c>
      <c r="F3436" s="312" t="s">
        <v>39</v>
      </c>
      <c r="G3436" s="308" t="s">
        <v>14060</v>
      </c>
      <c r="H3436" s="308" t="s">
        <v>14061</v>
      </c>
      <c r="I3436" s="310">
        <v>42387.0</v>
      </c>
      <c r="J3436" s="319">
        <f>IFERROR(__xludf.DUMMYFUNCTION("SPLIT(I3436,""/"")"),18.0)</f>
        <v>18</v>
      </c>
      <c r="K3436" s="308">
        <f>IFERROR(__xludf.DUMMYFUNCTION("""COMPUTED_VALUE"""),1.0)</f>
        <v>1</v>
      </c>
      <c r="L3436" s="308">
        <f>IFERROR(__xludf.DUMMYFUNCTION("""COMPUTED_VALUE"""),2016.0)</f>
        <v>2016</v>
      </c>
      <c r="M3436" s="308" t="s">
        <v>14062</v>
      </c>
      <c r="N3436" s="308"/>
      <c r="O3436" s="308" t="s">
        <v>635</v>
      </c>
      <c r="P3436" s="308" t="s">
        <v>12369</v>
      </c>
      <c r="Q3436" s="308" t="s">
        <v>36989</v>
      </c>
      <c r="R3436" s="308" t="s">
        <v>13890</v>
      </c>
      <c r="S3436" s="308" t="s">
        <v>81</v>
      </c>
      <c r="T3436" s="308" t="s">
        <v>73</v>
      </c>
      <c r="U3436" s="308" t="s">
        <v>166</v>
      </c>
      <c r="V3436" s="312"/>
    </row>
    <row r="3437">
      <c r="A3437" s="308">
        <v>3436.0</v>
      </c>
      <c r="B3437" s="308"/>
      <c r="C3437" s="308" t="s">
        <v>14063</v>
      </c>
      <c r="D3437" s="308">
        <f>IFERROR(__xludf.DUMMYFUNCTION("SPLIT(C3437,""-"")"),3457.0)</f>
        <v>3457</v>
      </c>
      <c r="E3437" s="308" t="str">
        <f>IFERROR(__xludf.DUMMYFUNCTION("""COMPUTED_VALUE"""),"K")</f>
        <v>K</v>
      </c>
      <c r="F3437" s="309" t="s">
        <v>34</v>
      </c>
      <c r="G3437" s="308"/>
      <c r="H3437" s="308" t="s">
        <v>14064</v>
      </c>
      <c r="I3437" s="325">
        <v>42401.0</v>
      </c>
      <c r="J3437" s="319"/>
      <c r="K3437" s="311">
        <v>2.0</v>
      </c>
      <c r="L3437" s="311">
        <v>2016.0</v>
      </c>
      <c r="M3437" s="308" t="s">
        <v>14065</v>
      </c>
      <c r="N3437" s="308"/>
      <c r="O3437" s="308" t="s">
        <v>14066</v>
      </c>
      <c r="P3437" s="308" t="s">
        <v>14067</v>
      </c>
      <c r="Q3437" s="308" t="s">
        <v>36989</v>
      </c>
      <c r="R3437" s="308" t="s">
        <v>2743</v>
      </c>
      <c r="S3437" s="308" t="s">
        <v>81</v>
      </c>
      <c r="T3437" s="308" t="s">
        <v>34264</v>
      </c>
      <c r="U3437" s="308" t="s">
        <v>7530</v>
      </c>
      <c r="V3437" s="312"/>
    </row>
    <row r="3438">
      <c r="A3438" s="308">
        <v>3437.0</v>
      </c>
      <c r="B3438" s="308"/>
      <c r="C3438" s="308" t="s">
        <v>14068</v>
      </c>
      <c r="D3438" s="308">
        <f>IFERROR(__xludf.DUMMYFUNCTION("SPLIT(C3438,""-"")"),3458.0)</f>
        <v>3458</v>
      </c>
      <c r="E3438" s="308" t="str">
        <f>IFERROR(__xludf.DUMMYFUNCTION("""COMPUTED_VALUE"""),"S")</f>
        <v>S</v>
      </c>
      <c r="F3438" s="312" t="s">
        <v>39</v>
      </c>
      <c r="G3438" s="308"/>
      <c r="H3438" s="308" t="s">
        <v>14069</v>
      </c>
      <c r="I3438" s="310">
        <v>42567.0</v>
      </c>
      <c r="J3438" s="319">
        <f>IFERROR(__xludf.DUMMYFUNCTION("SPLIT(I3438,""/"")"),16.0)</f>
        <v>16</v>
      </c>
      <c r="K3438" s="308">
        <f>IFERROR(__xludf.DUMMYFUNCTION("""COMPUTED_VALUE"""),7.0)</f>
        <v>7</v>
      </c>
      <c r="L3438" s="308">
        <f>IFERROR(__xludf.DUMMYFUNCTION("""COMPUTED_VALUE"""),2016.0)</f>
        <v>2016</v>
      </c>
      <c r="M3438" s="308" t="s">
        <v>14070</v>
      </c>
      <c r="N3438" s="308"/>
      <c r="O3438" s="308" t="s">
        <v>635</v>
      </c>
      <c r="P3438" s="308" t="s">
        <v>14071</v>
      </c>
      <c r="Q3438" s="308" t="s">
        <v>36993</v>
      </c>
      <c r="R3438" s="308" t="s">
        <v>13884</v>
      </c>
      <c r="S3438" s="308" t="s">
        <v>81</v>
      </c>
      <c r="T3438" s="308" t="s">
        <v>75</v>
      </c>
      <c r="U3438" s="308" t="s">
        <v>12947</v>
      </c>
      <c r="V3438" s="312"/>
    </row>
    <row r="3439">
      <c r="A3439" s="308">
        <v>3438.0</v>
      </c>
      <c r="B3439" s="308"/>
      <c r="C3439" s="308" t="s">
        <v>14072</v>
      </c>
      <c r="D3439" s="308">
        <f>IFERROR(__xludf.DUMMYFUNCTION("SPLIT(C3439,""-"")"),3459.0)</f>
        <v>3459</v>
      </c>
      <c r="E3439" s="308" t="str">
        <f>IFERROR(__xludf.DUMMYFUNCTION("""COMPUTED_VALUE"""),"S")</f>
        <v>S</v>
      </c>
      <c r="F3439" s="312" t="s">
        <v>39</v>
      </c>
      <c r="G3439" s="308"/>
      <c r="H3439" s="308" t="s">
        <v>14073</v>
      </c>
      <c r="I3439" s="310">
        <v>42541.0</v>
      </c>
      <c r="J3439" s="319">
        <f>IFERROR(__xludf.DUMMYFUNCTION("SPLIT(I3439,""/"")"),20.0)</f>
        <v>20</v>
      </c>
      <c r="K3439" s="308">
        <f>IFERROR(__xludf.DUMMYFUNCTION("""COMPUTED_VALUE"""),6.0)</f>
        <v>6</v>
      </c>
      <c r="L3439" s="308">
        <f>IFERROR(__xludf.DUMMYFUNCTION("""COMPUTED_VALUE"""),2016.0)</f>
        <v>2016</v>
      </c>
      <c r="M3439" s="308" t="s">
        <v>14074</v>
      </c>
      <c r="N3439" s="308"/>
      <c r="O3439" s="308" t="s">
        <v>635</v>
      </c>
      <c r="P3439" s="308" t="s">
        <v>12369</v>
      </c>
      <c r="Q3439" s="308" t="s">
        <v>36993</v>
      </c>
      <c r="R3439" s="308" t="s">
        <v>13836</v>
      </c>
      <c r="S3439" s="308" t="s">
        <v>81</v>
      </c>
      <c r="T3439" s="308" t="s">
        <v>73</v>
      </c>
      <c r="U3439" s="308" t="s">
        <v>166</v>
      </c>
      <c r="V3439" s="312"/>
    </row>
    <row r="3440">
      <c r="A3440" s="308">
        <v>3439.0</v>
      </c>
      <c r="B3440" s="308"/>
      <c r="C3440" s="308" t="s">
        <v>14075</v>
      </c>
      <c r="D3440" s="308">
        <f>IFERROR(__xludf.DUMMYFUNCTION("SPLIT(C3440,""-"")"),3460.0)</f>
        <v>3460</v>
      </c>
      <c r="E3440" s="308" t="str">
        <f>IFERROR(__xludf.DUMMYFUNCTION("""COMPUTED_VALUE"""),"S")</f>
        <v>S</v>
      </c>
      <c r="F3440" s="312" t="s">
        <v>39</v>
      </c>
      <c r="G3440" s="308"/>
      <c r="H3440" s="308" t="s">
        <v>14076</v>
      </c>
      <c r="I3440" s="310">
        <v>42541.0</v>
      </c>
      <c r="J3440" s="319">
        <f>IFERROR(__xludf.DUMMYFUNCTION("SPLIT(I3440,""/"")"),20.0)</f>
        <v>20</v>
      </c>
      <c r="K3440" s="308">
        <f>IFERROR(__xludf.DUMMYFUNCTION("""COMPUTED_VALUE"""),6.0)</f>
        <v>6</v>
      </c>
      <c r="L3440" s="308">
        <f>IFERROR(__xludf.DUMMYFUNCTION("""COMPUTED_VALUE"""),2016.0)</f>
        <v>2016</v>
      </c>
      <c r="M3440" s="308" t="s">
        <v>14077</v>
      </c>
      <c r="N3440" s="308"/>
      <c r="O3440" s="308" t="s">
        <v>635</v>
      </c>
      <c r="P3440" s="308" t="s">
        <v>14078</v>
      </c>
      <c r="Q3440" s="308" t="s">
        <v>36993</v>
      </c>
      <c r="R3440" s="308" t="s">
        <v>13836</v>
      </c>
      <c r="S3440" s="308" t="s">
        <v>81</v>
      </c>
      <c r="T3440" s="308" t="s">
        <v>75</v>
      </c>
      <c r="U3440" s="308" t="s">
        <v>166</v>
      </c>
      <c r="V3440" s="312"/>
    </row>
    <row r="3441">
      <c r="A3441" s="308">
        <v>3440.0</v>
      </c>
      <c r="B3441" s="308"/>
      <c r="C3441" s="308" t="s">
        <v>14079</v>
      </c>
      <c r="D3441" s="308">
        <f>IFERROR(__xludf.DUMMYFUNCTION("SPLIT(C3441,""-"")"),3461.0)</f>
        <v>3461</v>
      </c>
      <c r="E3441" s="308" t="str">
        <f>IFERROR(__xludf.DUMMYFUNCTION("""COMPUTED_VALUE"""),"S")</f>
        <v>S</v>
      </c>
      <c r="F3441" s="312" t="s">
        <v>39</v>
      </c>
      <c r="G3441" s="308"/>
      <c r="H3441" s="308" t="s">
        <v>14080</v>
      </c>
      <c r="I3441" s="310">
        <v>42544.0</v>
      </c>
      <c r="J3441" s="319">
        <f>IFERROR(__xludf.DUMMYFUNCTION("SPLIT(I3441,""/"")"),23.0)</f>
        <v>23</v>
      </c>
      <c r="K3441" s="308">
        <f>IFERROR(__xludf.DUMMYFUNCTION("""COMPUTED_VALUE"""),6.0)</f>
        <v>6</v>
      </c>
      <c r="L3441" s="308">
        <f>IFERROR(__xludf.DUMMYFUNCTION("""COMPUTED_VALUE"""),2016.0)</f>
        <v>2016</v>
      </c>
      <c r="M3441" s="308" t="s">
        <v>14081</v>
      </c>
      <c r="N3441" s="308"/>
      <c r="O3441" s="308" t="s">
        <v>635</v>
      </c>
      <c r="P3441" s="308" t="s">
        <v>12369</v>
      </c>
      <c r="Q3441" s="308" t="s">
        <v>36993</v>
      </c>
      <c r="R3441" s="308" t="s">
        <v>13836</v>
      </c>
      <c r="S3441" s="308" t="s">
        <v>81</v>
      </c>
      <c r="T3441" s="308" t="s">
        <v>73</v>
      </c>
      <c r="U3441" s="308" t="s">
        <v>166</v>
      </c>
      <c r="V3441" s="312"/>
    </row>
    <row r="3442">
      <c r="A3442" s="308">
        <v>3441.0</v>
      </c>
      <c r="B3442" s="308"/>
      <c r="C3442" s="308" t="s">
        <v>14082</v>
      </c>
      <c r="D3442" s="308">
        <f>IFERROR(__xludf.DUMMYFUNCTION("SPLIT(C3442,""-"")"),3462.0)</f>
        <v>3462</v>
      </c>
      <c r="E3442" s="308" t="str">
        <f>IFERROR(__xludf.DUMMYFUNCTION("""COMPUTED_VALUE"""),"S")</f>
        <v>S</v>
      </c>
      <c r="F3442" s="312" t="s">
        <v>39</v>
      </c>
      <c r="G3442" s="308"/>
      <c r="H3442" s="308" t="s">
        <v>14083</v>
      </c>
      <c r="I3442" s="310">
        <v>42544.0</v>
      </c>
      <c r="J3442" s="319">
        <f>IFERROR(__xludf.DUMMYFUNCTION("SPLIT(I3442,""/"")"),23.0)</f>
        <v>23</v>
      </c>
      <c r="K3442" s="308">
        <f>IFERROR(__xludf.DUMMYFUNCTION("""COMPUTED_VALUE"""),6.0)</f>
        <v>6</v>
      </c>
      <c r="L3442" s="308">
        <f>IFERROR(__xludf.DUMMYFUNCTION("""COMPUTED_VALUE"""),2016.0)</f>
        <v>2016</v>
      </c>
      <c r="M3442" s="308" t="s">
        <v>14084</v>
      </c>
      <c r="N3442" s="308"/>
      <c r="O3442" s="308" t="s">
        <v>635</v>
      </c>
      <c r="P3442" s="308" t="s">
        <v>12369</v>
      </c>
      <c r="Q3442" s="308" t="s">
        <v>36993</v>
      </c>
      <c r="R3442" s="308" t="s">
        <v>13836</v>
      </c>
      <c r="S3442" s="308" t="s">
        <v>81</v>
      </c>
      <c r="T3442" s="308" t="s">
        <v>73</v>
      </c>
      <c r="U3442" s="308" t="s">
        <v>166</v>
      </c>
      <c r="V3442" s="312"/>
    </row>
    <row r="3443">
      <c r="A3443" s="308">
        <v>3442.0</v>
      </c>
      <c r="B3443" s="308"/>
      <c r="C3443" s="308" t="s">
        <v>14085</v>
      </c>
      <c r="D3443" s="308">
        <f>IFERROR(__xludf.DUMMYFUNCTION("SPLIT(C3443,""-"")"),3463.0)</f>
        <v>3463</v>
      </c>
      <c r="E3443" s="308" t="str">
        <f>IFERROR(__xludf.DUMMYFUNCTION("""COMPUTED_VALUE"""),"S")</f>
        <v>S</v>
      </c>
      <c r="F3443" s="312" t="s">
        <v>39</v>
      </c>
      <c r="G3443" s="308"/>
      <c r="H3443" s="308" t="s">
        <v>14086</v>
      </c>
      <c r="I3443" s="310">
        <v>42544.0</v>
      </c>
      <c r="J3443" s="319">
        <f>IFERROR(__xludf.DUMMYFUNCTION("SPLIT(I3443,""/"")"),23.0)</f>
        <v>23</v>
      </c>
      <c r="K3443" s="308">
        <f>IFERROR(__xludf.DUMMYFUNCTION("""COMPUTED_VALUE"""),6.0)</f>
        <v>6</v>
      </c>
      <c r="L3443" s="308">
        <f>IFERROR(__xludf.DUMMYFUNCTION("""COMPUTED_VALUE"""),2016.0)</f>
        <v>2016</v>
      </c>
      <c r="M3443" s="308" t="s">
        <v>14087</v>
      </c>
      <c r="N3443" s="308"/>
      <c r="O3443" s="308" t="s">
        <v>635</v>
      </c>
      <c r="P3443" s="308" t="s">
        <v>12369</v>
      </c>
      <c r="Q3443" s="308" t="s">
        <v>36993</v>
      </c>
      <c r="R3443" s="308" t="s">
        <v>13836</v>
      </c>
      <c r="S3443" s="308" t="s">
        <v>81</v>
      </c>
      <c r="T3443" s="308" t="s">
        <v>73</v>
      </c>
      <c r="U3443" s="308" t="s">
        <v>166</v>
      </c>
      <c r="V3443" s="312"/>
    </row>
    <row r="3444">
      <c r="A3444" s="308">
        <v>3443.0</v>
      </c>
      <c r="B3444" s="308"/>
      <c r="C3444" s="308" t="s">
        <v>14088</v>
      </c>
      <c r="D3444" s="308">
        <f>IFERROR(__xludf.DUMMYFUNCTION("SPLIT(C3444,""-"")"),3464.0)</f>
        <v>3464</v>
      </c>
      <c r="E3444" s="308" t="str">
        <f>IFERROR(__xludf.DUMMYFUNCTION("""COMPUTED_VALUE"""),"S")</f>
        <v>S</v>
      </c>
      <c r="F3444" s="312" t="s">
        <v>39</v>
      </c>
      <c r="G3444" s="308"/>
      <c r="H3444" s="308" t="s">
        <v>14089</v>
      </c>
      <c r="I3444" s="310">
        <v>42544.0</v>
      </c>
      <c r="J3444" s="319">
        <f>IFERROR(__xludf.DUMMYFUNCTION("SPLIT(I3444,""/"")"),23.0)</f>
        <v>23</v>
      </c>
      <c r="K3444" s="308">
        <f>IFERROR(__xludf.DUMMYFUNCTION("""COMPUTED_VALUE"""),6.0)</f>
        <v>6</v>
      </c>
      <c r="L3444" s="308">
        <f>IFERROR(__xludf.DUMMYFUNCTION("""COMPUTED_VALUE"""),2016.0)</f>
        <v>2016</v>
      </c>
      <c r="M3444" s="308" t="s">
        <v>14090</v>
      </c>
      <c r="N3444" s="308"/>
      <c r="O3444" s="308" t="s">
        <v>635</v>
      </c>
      <c r="P3444" s="308" t="s">
        <v>12369</v>
      </c>
      <c r="Q3444" s="308" t="s">
        <v>36993</v>
      </c>
      <c r="R3444" s="308" t="s">
        <v>13836</v>
      </c>
      <c r="S3444" s="308" t="s">
        <v>81</v>
      </c>
      <c r="T3444" s="308" t="s">
        <v>73</v>
      </c>
      <c r="U3444" s="308" t="s">
        <v>166</v>
      </c>
      <c r="V3444" s="312"/>
    </row>
    <row r="3445">
      <c r="A3445" s="308">
        <v>3444.0</v>
      </c>
      <c r="B3445" s="308"/>
      <c r="C3445" s="308" t="s">
        <v>14091</v>
      </c>
      <c r="D3445" s="308">
        <f>IFERROR(__xludf.DUMMYFUNCTION("SPLIT(C3445,""-"")"),3465.0)</f>
        <v>3465</v>
      </c>
      <c r="E3445" s="308" t="str">
        <f>IFERROR(__xludf.DUMMYFUNCTION("""COMPUTED_VALUE"""),"S")</f>
        <v>S</v>
      </c>
      <c r="F3445" s="312" t="s">
        <v>39</v>
      </c>
      <c r="G3445" s="308"/>
      <c r="H3445" s="308" t="s">
        <v>14092</v>
      </c>
      <c r="I3445" s="310">
        <v>42544.0</v>
      </c>
      <c r="J3445" s="319">
        <f>IFERROR(__xludf.DUMMYFUNCTION("SPLIT(I3445,""/"")"),23.0)</f>
        <v>23</v>
      </c>
      <c r="K3445" s="308">
        <f>IFERROR(__xludf.DUMMYFUNCTION("""COMPUTED_VALUE"""),6.0)</f>
        <v>6</v>
      </c>
      <c r="L3445" s="308">
        <f>IFERROR(__xludf.DUMMYFUNCTION("""COMPUTED_VALUE"""),2016.0)</f>
        <v>2016</v>
      </c>
      <c r="M3445" s="308" t="s">
        <v>14093</v>
      </c>
      <c r="N3445" s="308"/>
      <c r="O3445" s="308" t="s">
        <v>635</v>
      </c>
      <c r="P3445" s="308" t="s">
        <v>14094</v>
      </c>
      <c r="Q3445" s="308" t="s">
        <v>36993</v>
      </c>
      <c r="R3445" s="308" t="s">
        <v>13836</v>
      </c>
      <c r="S3445" s="308" t="s">
        <v>81</v>
      </c>
      <c r="T3445" s="311" t="s">
        <v>73</v>
      </c>
      <c r="U3445" s="308" t="s">
        <v>166</v>
      </c>
      <c r="V3445" s="312"/>
    </row>
    <row r="3446">
      <c r="A3446" s="308">
        <v>3445.0</v>
      </c>
      <c r="B3446" s="308"/>
      <c r="C3446" s="308" t="s">
        <v>14095</v>
      </c>
      <c r="D3446" s="308">
        <f>IFERROR(__xludf.DUMMYFUNCTION("SPLIT(C3446,""-"")"),3466.0)</f>
        <v>3466</v>
      </c>
      <c r="E3446" s="308" t="str">
        <f>IFERROR(__xludf.DUMMYFUNCTION("""COMPUTED_VALUE"""),"S")</f>
        <v>S</v>
      </c>
      <c r="F3446" s="312" t="s">
        <v>39</v>
      </c>
      <c r="G3446" s="308"/>
      <c r="H3446" s="308" t="s">
        <v>14096</v>
      </c>
      <c r="I3446" s="310">
        <v>42542.0</v>
      </c>
      <c r="J3446" s="319">
        <f>IFERROR(__xludf.DUMMYFUNCTION("SPLIT(I3446,""/"")"),21.0)</f>
        <v>21</v>
      </c>
      <c r="K3446" s="308">
        <f>IFERROR(__xludf.DUMMYFUNCTION("""COMPUTED_VALUE"""),6.0)</f>
        <v>6</v>
      </c>
      <c r="L3446" s="308">
        <f>IFERROR(__xludf.DUMMYFUNCTION("""COMPUTED_VALUE"""),2016.0)</f>
        <v>2016</v>
      </c>
      <c r="M3446" s="308" t="s">
        <v>14097</v>
      </c>
      <c r="N3446" s="308"/>
      <c r="O3446" s="308" t="s">
        <v>635</v>
      </c>
      <c r="P3446" s="308" t="s">
        <v>6973</v>
      </c>
      <c r="Q3446" s="308" t="s">
        <v>36993</v>
      </c>
      <c r="R3446" s="308" t="s">
        <v>13836</v>
      </c>
      <c r="S3446" s="308" t="s">
        <v>49</v>
      </c>
      <c r="T3446" s="308" t="s">
        <v>67</v>
      </c>
      <c r="U3446" s="308" t="s">
        <v>166</v>
      </c>
      <c r="V3446" s="312"/>
    </row>
    <row r="3447">
      <c r="A3447" s="308">
        <v>3446.0</v>
      </c>
      <c r="B3447" s="308"/>
      <c r="C3447" s="308" t="s">
        <v>14098</v>
      </c>
      <c r="D3447" s="308">
        <f>IFERROR(__xludf.DUMMYFUNCTION("SPLIT(C3447,""-"")"),3467.0)</f>
        <v>3467</v>
      </c>
      <c r="E3447" s="308" t="str">
        <f>IFERROR(__xludf.DUMMYFUNCTION("""COMPUTED_VALUE"""),"S")</f>
        <v>S</v>
      </c>
      <c r="F3447" s="312" t="s">
        <v>39</v>
      </c>
      <c r="G3447" s="308"/>
      <c r="H3447" s="308" t="s">
        <v>14099</v>
      </c>
      <c r="I3447" s="310">
        <v>42542.0</v>
      </c>
      <c r="J3447" s="319">
        <f>IFERROR(__xludf.DUMMYFUNCTION("SPLIT(I3447,""/"")"),21.0)</f>
        <v>21</v>
      </c>
      <c r="K3447" s="308">
        <f>IFERROR(__xludf.DUMMYFUNCTION("""COMPUTED_VALUE"""),6.0)</f>
        <v>6</v>
      </c>
      <c r="L3447" s="308">
        <f>IFERROR(__xludf.DUMMYFUNCTION("""COMPUTED_VALUE"""),2016.0)</f>
        <v>2016</v>
      </c>
      <c r="M3447" s="308" t="s">
        <v>14100</v>
      </c>
      <c r="N3447" s="308"/>
      <c r="O3447" s="308" t="s">
        <v>635</v>
      </c>
      <c r="P3447" s="308" t="s">
        <v>6973</v>
      </c>
      <c r="Q3447" s="308" t="s">
        <v>36993</v>
      </c>
      <c r="R3447" s="308" t="s">
        <v>13836</v>
      </c>
      <c r="S3447" s="308" t="s">
        <v>49</v>
      </c>
      <c r="T3447" s="308" t="s">
        <v>67</v>
      </c>
      <c r="U3447" s="308" t="s">
        <v>166</v>
      </c>
      <c r="V3447" s="312"/>
    </row>
    <row r="3448">
      <c r="A3448" s="308">
        <v>3447.0</v>
      </c>
      <c r="B3448" s="308"/>
      <c r="C3448" s="308" t="s">
        <v>14101</v>
      </c>
      <c r="D3448" s="308">
        <f>IFERROR(__xludf.DUMMYFUNCTION("SPLIT(C3448,""-"")"),3468.0)</f>
        <v>3468</v>
      </c>
      <c r="E3448" s="308" t="str">
        <f>IFERROR(__xludf.DUMMYFUNCTION("""COMPUTED_VALUE"""),"S")</f>
        <v>S</v>
      </c>
      <c r="F3448" s="312" t="s">
        <v>39</v>
      </c>
      <c r="G3448" s="308"/>
      <c r="H3448" s="308" t="s">
        <v>14102</v>
      </c>
      <c r="I3448" s="310">
        <v>42551.0</v>
      </c>
      <c r="J3448" s="319">
        <f>IFERROR(__xludf.DUMMYFUNCTION("SPLIT(I3448,""/"")"),30.0)</f>
        <v>30</v>
      </c>
      <c r="K3448" s="308">
        <f>IFERROR(__xludf.DUMMYFUNCTION("""COMPUTED_VALUE"""),6.0)</f>
        <v>6</v>
      </c>
      <c r="L3448" s="308">
        <f>IFERROR(__xludf.DUMMYFUNCTION("""COMPUTED_VALUE"""),2016.0)</f>
        <v>2016</v>
      </c>
      <c r="M3448" s="308" t="s">
        <v>14103</v>
      </c>
      <c r="N3448" s="308"/>
      <c r="O3448" s="308" t="s">
        <v>635</v>
      </c>
      <c r="P3448" s="308" t="s">
        <v>12369</v>
      </c>
      <c r="Q3448" s="308" t="s">
        <v>36993</v>
      </c>
      <c r="R3448" s="308" t="s">
        <v>13836</v>
      </c>
      <c r="S3448" s="308" t="s">
        <v>81</v>
      </c>
      <c r="T3448" s="308" t="s">
        <v>73</v>
      </c>
      <c r="U3448" s="308" t="s">
        <v>166</v>
      </c>
      <c r="V3448" s="312"/>
    </row>
    <row r="3449">
      <c r="A3449" s="308">
        <v>3448.0</v>
      </c>
      <c r="B3449" s="308"/>
      <c r="C3449" s="308" t="s">
        <v>14104</v>
      </c>
      <c r="D3449" s="308">
        <f>IFERROR(__xludf.DUMMYFUNCTION("SPLIT(C3449,""-"")"),3469.0)</f>
        <v>3469</v>
      </c>
      <c r="E3449" s="308" t="str">
        <f>IFERROR(__xludf.DUMMYFUNCTION("""COMPUTED_VALUE"""),"S")</f>
        <v>S</v>
      </c>
      <c r="F3449" s="312" t="s">
        <v>39</v>
      </c>
      <c r="G3449" s="308"/>
      <c r="H3449" s="308" t="s">
        <v>14105</v>
      </c>
      <c r="I3449" s="310">
        <v>42549.0</v>
      </c>
      <c r="J3449" s="319">
        <f>IFERROR(__xludf.DUMMYFUNCTION("SPLIT(I3449,""/"")"),28.0)</f>
        <v>28</v>
      </c>
      <c r="K3449" s="308">
        <f>IFERROR(__xludf.DUMMYFUNCTION("""COMPUTED_VALUE"""),6.0)</f>
        <v>6</v>
      </c>
      <c r="L3449" s="308">
        <f>IFERROR(__xludf.DUMMYFUNCTION("""COMPUTED_VALUE"""),2016.0)</f>
        <v>2016</v>
      </c>
      <c r="M3449" s="308" t="s">
        <v>14106</v>
      </c>
      <c r="N3449" s="308"/>
      <c r="O3449" s="308" t="s">
        <v>635</v>
      </c>
      <c r="P3449" s="308" t="s">
        <v>14107</v>
      </c>
      <c r="Q3449" s="308" t="s">
        <v>36993</v>
      </c>
      <c r="R3449" s="308" t="s">
        <v>13836</v>
      </c>
      <c r="S3449" s="308" t="s">
        <v>81</v>
      </c>
      <c r="T3449" s="308" t="s">
        <v>75</v>
      </c>
      <c r="U3449" s="308" t="s">
        <v>12947</v>
      </c>
      <c r="V3449" s="312"/>
    </row>
    <row r="3450">
      <c r="A3450" s="308">
        <v>3449.0</v>
      </c>
      <c r="B3450" s="308"/>
      <c r="C3450" s="308" t="s">
        <v>14108</v>
      </c>
      <c r="D3450" s="308">
        <f>IFERROR(__xludf.DUMMYFUNCTION("SPLIT(C3450,""-"")"),3470.0)</f>
        <v>3470</v>
      </c>
      <c r="E3450" s="308" t="str">
        <f>IFERROR(__xludf.DUMMYFUNCTION("""COMPUTED_VALUE"""),"S")</f>
        <v>S</v>
      </c>
      <c r="F3450" s="312" t="s">
        <v>39</v>
      </c>
      <c r="G3450" s="308"/>
      <c r="H3450" s="308" t="s">
        <v>14109</v>
      </c>
      <c r="I3450" s="310">
        <v>42547.0</v>
      </c>
      <c r="J3450" s="319">
        <f>IFERROR(__xludf.DUMMYFUNCTION("SPLIT(I3450,""/"")"),26.0)</f>
        <v>26</v>
      </c>
      <c r="K3450" s="308">
        <f>IFERROR(__xludf.DUMMYFUNCTION("""COMPUTED_VALUE"""),6.0)</f>
        <v>6</v>
      </c>
      <c r="L3450" s="308">
        <f>IFERROR(__xludf.DUMMYFUNCTION("""COMPUTED_VALUE"""),2016.0)</f>
        <v>2016</v>
      </c>
      <c r="M3450" s="308" t="s">
        <v>14110</v>
      </c>
      <c r="N3450" s="308"/>
      <c r="O3450" s="308" t="s">
        <v>635</v>
      </c>
      <c r="P3450" s="308" t="s">
        <v>12369</v>
      </c>
      <c r="Q3450" s="308" t="s">
        <v>36993</v>
      </c>
      <c r="R3450" s="308" t="s">
        <v>13836</v>
      </c>
      <c r="S3450" s="308" t="s">
        <v>81</v>
      </c>
      <c r="T3450" s="308" t="s">
        <v>73</v>
      </c>
      <c r="U3450" s="308" t="s">
        <v>12947</v>
      </c>
      <c r="V3450" s="312"/>
    </row>
    <row r="3451">
      <c r="A3451" s="308">
        <v>3450.0</v>
      </c>
      <c r="B3451" s="308"/>
      <c r="C3451" s="308" t="s">
        <v>14111</v>
      </c>
      <c r="D3451" s="308">
        <f>IFERROR(__xludf.DUMMYFUNCTION("SPLIT(C3451,""-"")"),3471.0)</f>
        <v>3471</v>
      </c>
      <c r="E3451" s="308" t="str">
        <f>IFERROR(__xludf.DUMMYFUNCTION("""COMPUTED_VALUE"""),"S")</f>
        <v>S</v>
      </c>
      <c r="F3451" s="312" t="s">
        <v>39</v>
      </c>
      <c r="G3451" s="308"/>
      <c r="H3451" s="308" t="s">
        <v>14112</v>
      </c>
      <c r="I3451" s="310">
        <v>42549.0</v>
      </c>
      <c r="J3451" s="319">
        <f>IFERROR(__xludf.DUMMYFUNCTION("SPLIT(I3451,""/"")"),28.0)</f>
        <v>28</v>
      </c>
      <c r="K3451" s="308">
        <f>IFERROR(__xludf.DUMMYFUNCTION("""COMPUTED_VALUE"""),6.0)</f>
        <v>6</v>
      </c>
      <c r="L3451" s="308">
        <f>IFERROR(__xludf.DUMMYFUNCTION("""COMPUTED_VALUE"""),2016.0)</f>
        <v>2016</v>
      </c>
      <c r="M3451" s="308" t="s">
        <v>14113</v>
      </c>
      <c r="N3451" s="308"/>
      <c r="O3451" s="308" t="s">
        <v>635</v>
      </c>
      <c r="P3451" s="308" t="s">
        <v>14114</v>
      </c>
      <c r="Q3451" s="308" t="s">
        <v>36993</v>
      </c>
      <c r="R3451" s="308" t="s">
        <v>13836</v>
      </c>
      <c r="S3451" s="308" t="s">
        <v>81</v>
      </c>
      <c r="T3451" s="308" t="s">
        <v>75</v>
      </c>
      <c r="U3451" s="308" t="s">
        <v>166</v>
      </c>
      <c r="V3451" s="312"/>
    </row>
    <row r="3452">
      <c r="A3452" s="308">
        <v>3451.0</v>
      </c>
      <c r="B3452" s="308"/>
      <c r="C3452" s="308" t="s">
        <v>14115</v>
      </c>
      <c r="D3452" s="308">
        <f>IFERROR(__xludf.DUMMYFUNCTION("SPLIT(C3452,""-"")"),3472.0)</f>
        <v>3472</v>
      </c>
      <c r="E3452" s="308" t="str">
        <f>IFERROR(__xludf.DUMMYFUNCTION("""COMPUTED_VALUE"""),"S")</f>
        <v>S</v>
      </c>
      <c r="F3452" s="312" t="s">
        <v>39</v>
      </c>
      <c r="G3452" s="308"/>
      <c r="H3452" s="308" t="s">
        <v>14116</v>
      </c>
      <c r="I3452" s="310">
        <v>42549.0</v>
      </c>
      <c r="J3452" s="319">
        <f>IFERROR(__xludf.DUMMYFUNCTION("SPLIT(I3452,""/"")"),28.0)</f>
        <v>28</v>
      </c>
      <c r="K3452" s="308">
        <f>IFERROR(__xludf.DUMMYFUNCTION("""COMPUTED_VALUE"""),6.0)</f>
        <v>6</v>
      </c>
      <c r="L3452" s="308">
        <f>IFERROR(__xludf.DUMMYFUNCTION("""COMPUTED_VALUE"""),2016.0)</f>
        <v>2016</v>
      </c>
      <c r="M3452" s="308" t="s">
        <v>14117</v>
      </c>
      <c r="N3452" s="308"/>
      <c r="O3452" s="308" t="s">
        <v>635</v>
      </c>
      <c r="P3452" s="308" t="s">
        <v>14118</v>
      </c>
      <c r="Q3452" s="308" t="s">
        <v>36993</v>
      </c>
      <c r="R3452" s="308" t="s">
        <v>13836</v>
      </c>
      <c r="S3452" s="308" t="s">
        <v>81</v>
      </c>
      <c r="T3452" s="308" t="s">
        <v>75</v>
      </c>
      <c r="U3452" s="308" t="s">
        <v>166</v>
      </c>
      <c r="V3452" s="312"/>
    </row>
    <row r="3453">
      <c r="A3453" s="308">
        <v>3452.0</v>
      </c>
      <c r="B3453" s="308"/>
      <c r="C3453" s="308" t="s">
        <v>14119</v>
      </c>
      <c r="D3453" s="308">
        <f>IFERROR(__xludf.DUMMYFUNCTION("SPLIT(C3453,""-"")"),3473.0)</f>
        <v>3473</v>
      </c>
      <c r="E3453" s="308" t="str">
        <f>IFERROR(__xludf.DUMMYFUNCTION("""COMPUTED_VALUE"""),"S")</f>
        <v>S</v>
      </c>
      <c r="F3453" s="312" t="s">
        <v>39</v>
      </c>
      <c r="G3453" s="308"/>
      <c r="H3453" s="308" t="s">
        <v>14120</v>
      </c>
      <c r="I3453" s="310">
        <v>42550.0</v>
      </c>
      <c r="J3453" s="319">
        <f>IFERROR(__xludf.DUMMYFUNCTION("SPLIT(I3453,""/"")"),29.0)</f>
        <v>29</v>
      </c>
      <c r="K3453" s="308">
        <f>IFERROR(__xludf.DUMMYFUNCTION("""COMPUTED_VALUE"""),6.0)</f>
        <v>6</v>
      </c>
      <c r="L3453" s="308">
        <f>IFERROR(__xludf.DUMMYFUNCTION("""COMPUTED_VALUE"""),2016.0)</f>
        <v>2016</v>
      </c>
      <c r="M3453" s="308" t="s">
        <v>14121</v>
      </c>
      <c r="N3453" s="308"/>
      <c r="O3453" s="308" t="s">
        <v>635</v>
      </c>
      <c r="P3453" s="308" t="s">
        <v>12369</v>
      </c>
      <c r="Q3453" s="308" t="s">
        <v>36993</v>
      </c>
      <c r="R3453" s="308" t="s">
        <v>13836</v>
      </c>
      <c r="S3453" s="308" t="s">
        <v>81</v>
      </c>
      <c r="T3453" s="308" t="s">
        <v>73</v>
      </c>
      <c r="U3453" s="308" t="s">
        <v>166</v>
      </c>
      <c r="V3453" s="312"/>
    </row>
    <row r="3454">
      <c r="A3454" s="308">
        <v>3453.0</v>
      </c>
      <c r="B3454" s="308"/>
      <c r="C3454" s="308" t="s">
        <v>14122</v>
      </c>
      <c r="D3454" s="308">
        <f>IFERROR(__xludf.DUMMYFUNCTION("SPLIT(C3454,""-"")"),3474.0)</f>
        <v>3474</v>
      </c>
      <c r="E3454" s="308" t="str">
        <f>IFERROR(__xludf.DUMMYFUNCTION("""COMPUTED_VALUE"""),"S")</f>
        <v>S</v>
      </c>
      <c r="F3454" s="312" t="s">
        <v>39</v>
      </c>
      <c r="G3454" s="308"/>
      <c r="H3454" s="308" t="s">
        <v>14123</v>
      </c>
      <c r="I3454" s="310">
        <v>42550.0</v>
      </c>
      <c r="J3454" s="319">
        <f>IFERROR(__xludf.DUMMYFUNCTION("SPLIT(I3454,""/"")"),29.0)</f>
        <v>29</v>
      </c>
      <c r="K3454" s="308">
        <f>IFERROR(__xludf.DUMMYFUNCTION("""COMPUTED_VALUE"""),6.0)</f>
        <v>6</v>
      </c>
      <c r="L3454" s="308">
        <f>IFERROR(__xludf.DUMMYFUNCTION("""COMPUTED_VALUE"""),2016.0)</f>
        <v>2016</v>
      </c>
      <c r="M3454" s="308" t="s">
        <v>14121</v>
      </c>
      <c r="N3454" s="308"/>
      <c r="O3454" s="308" t="s">
        <v>635</v>
      </c>
      <c r="P3454" s="308" t="s">
        <v>14124</v>
      </c>
      <c r="Q3454" s="308" t="s">
        <v>36993</v>
      </c>
      <c r="R3454" s="308" t="s">
        <v>13836</v>
      </c>
      <c r="S3454" s="308" t="s">
        <v>81</v>
      </c>
      <c r="T3454" s="311" t="s">
        <v>91</v>
      </c>
      <c r="U3454" s="308" t="s">
        <v>166</v>
      </c>
      <c r="V3454" s="312"/>
    </row>
    <row r="3455">
      <c r="A3455" s="308">
        <v>3454.0</v>
      </c>
      <c r="B3455" s="308"/>
      <c r="C3455" s="308" t="s">
        <v>14125</v>
      </c>
      <c r="D3455" s="308">
        <f>IFERROR(__xludf.DUMMYFUNCTION("SPLIT(C3455,""-"")"),3475.0)</f>
        <v>3475</v>
      </c>
      <c r="E3455" s="308" t="str">
        <f>IFERROR(__xludf.DUMMYFUNCTION("""COMPUTED_VALUE"""),"S")</f>
        <v>S</v>
      </c>
      <c r="F3455" s="312" t="s">
        <v>39</v>
      </c>
      <c r="G3455" s="308"/>
      <c r="H3455" s="308" t="s">
        <v>14126</v>
      </c>
      <c r="I3455" s="310">
        <v>42550.0</v>
      </c>
      <c r="J3455" s="319">
        <f>IFERROR(__xludf.DUMMYFUNCTION("SPLIT(I3455,""/"")"),29.0)</f>
        <v>29</v>
      </c>
      <c r="K3455" s="308">
        <f>IFERROR(__xludf.DUMMYFUNCTION("""COMPUTED_VALUE"""),6.0)</f>
        <v>6</v>
      </c>
      <c r="L3455" s="308">
        <f>IFERROR(__xludf.DUMMYFUNCTION("""COMPUTED_VALUE"""),2016.0)</f>
        <v>2016</v>
      </c>
      <c r="M3455" s="308" t="s">
        <v>14127</v>
      </c>
      <c r="N3455" s="308"/>
      <c r="O3455" s="308" t="s">
        <v>635</v>
      </c>
      <c r="P3455" s="308" t="s">
        <v>14128</v>
      </c>
      <c r="Q3455" s="308" t="s">
        <v>36993</v>
      </c>
      <c r="R3455" s="308" t="s">
        <v>13836</v>
      </c>
      <c r="S3455" s="308" t="s">
        <v>81</v>
      </c>
      <c r="T3455" s="308" t="s">
        <v>75</v>
      </c>
      <c r="U3455" s="308" t="s">
        <v>166</v>
      </c>
      <c r="V3455" s="312"/>
    </row>
    <row r="3456">
      <c r="A3456" s="308">
        <v>3455.0</v>
      </c>
      <c r="B3456" s="308"/>
      <c r="C3456" s="308" t="s">
        <v>14129</v>
      </c>
      <c r="D3456" s="308">
        <f>IFERROR(__xludf.DUMMYFUNCTION("SPLIT(C3456,""-"")"),3476.0)</f>
        <v>3476</v>
      </c>
      <c r="E3456" s="308" t="str">
        <f>IFERROR(__xludf.DUMMYFUNCTION("""COMPUTED_VALUE"""),"S")</f>
        <v>S</v>
      </c>
      <c r="F3456" s="312" t="s">
        <v>39</v>
      </c>
      <c r="G3456" s="308"/>
      <c r="H3456" s="308" t="s">
        <v>14130</v>
      </c>
      <c r="I3456" s="310">
        <v>42550.0</v>
      </c>
      <c r="J3456" s="319">
        <f>IFERROR(__xludf.DUMMYFUNCTION("SPLIT(I3456,""/"")"),29.0)</f>
        <v>29</v>
      </c>
      <c r="K3456" s="308">
        <f>IFERROR(__xludf.DUMMYFUNCTION("""COMPUTED_VALUE"""),6.0)</f>
        <v>6</v>
      </c>
      <c r="L3456" s="308">
        <f>IFERROR(__xludf.DUMMYFUNCTION("""COMPUTED_VALUE"""),2016.0)</f>
        <v>2016</v>
      </c>
      <c r="M3456" s="308" t="s">
        <v>14127</v>
      </c>
      <c r="N3456" s="308"/>
      <c r="O3456" s="308" t="s">
        <v>635</v>
      </c>
      <c r="P3456" s="308" t="s">
        <v>12369</v>
      </c>
      <c r="Q3456" s="308" t="s">
        <v>36993</v>
      </c>
      <c r="R3456" s="308" t="s">
        <v>13836</v>
      </c>
      <c r="S3456" s="308" t="s">
        <v>81</v>
      </c>
      <c r="T3456" s="308" t="s">
        <v>73</v>
      </c>
      <c r="U3456" s="308" t="s">
        <v>166</v>
      </c>
      <c r="V3456" s="312"/>
    </row>
    <row r="3457">
      <c r="A3457" s="308">
        <v>3456.0</v>
      </c>
      <c r="B3457" s="308"/>
      <c r="C3457" s="308" t="s">
        <v>14131</v>
      </c>
      <c r="D3457" s="308">
        <f>IFERROR(__xludf.DUMMYFUNCTION("SPLIT(C3457,""-"")"),3477.0)</f>
        <v>3477</v>
      </c>
      <c r="E3457" s="308" t="str">
        <f>IFERROR(__xludf.DUMMYFUNCTION("""COMPUTED_VALUE"""),"S")</f>
        <v>S</v>
      </c>
      <c r="F3457" s="312" t="s">
        <v>39</v>
      </c>
      <c r="G3457" s="308"/>
      <c r="H3457" s="308" t="s">
        <v>14132</v>
      </c>
      <c r="I3457" s="310">
        <v>42548.0</v>
      </c>
      <c r="J3457" s="319">
        <f>IFERROR(__xludf.DUMMYFUNCTION("SPLIT(I3457,""/"")"),27.0)</f>
        <v>27</v>
      </c>
      <c r="K3457" s="308">
        <f>IFERROR(__xludf.DUMMYFUNCTION("""COMPUTED_VALUE"""),6.0)</f>
        <v>6</v>
      </c>
      <c r="L3457" s="308">
        <f>IFERROR(__xludf.DUMMYFUNCTION("""COMPUTED_VALUE"""),2016.0)</f>
        <v>2016</v>
      </c>
      <c r="M3457" s="308" t="s">
        <v>14133</v>
      </c>
      <c r="N3457" s="308"/>
      <c r="O3457" s="308" t="s">
        <v>635</v>
      </c>
      <c r="P3457" s="308" t="s">
        <v>14134</v>
      </c>
      <c r="Q3457" s="308" t="s">
        <v>36993</v>
      </c>
      <c r="R3457" s="308" t="s">
        <v>13836</v>
      </c>
      <c r="S3457" s="308" t="s">
        <v>81</v>
      </c>
      <c r="T3457" s="308" t="s">
        <v>75</v>
      </c>
      <c r="U3457" s="308" t="s">
        <v>166</v>
      </c>
      <c r="V3457" s="312"/>
    </row>
    <row r="3458">
      <c r="A3458" s="308">
        <v>3457.0</v>
      </c>
      <c r="B3458" s="308"/>
      <c r="C3458" s="308" t="s">
        <v>14135</v>
      </c>
      <c r="D3458" s="308">
        <f>IFERROR(__xludf.DUMMYFUNCTION("SPLIT(C3458,""-"")"),3478.0)</f>
        <v>3478</v>
      </c>
      <c r="E3458" s="308" t="str">
        <f>IFERROR(__xludf.DUMMYFUNCTION("""COMPUTED_VALUE"""),"S")</f>
        <v>S</v>
      </c>
      <c r="F3458" s="312" t="s">
        <v>39</v>
      </c>
      <c r="G3458" s="308"/>
      <c r="H3458" s="308" t="s">
        <v>14136</v>
      </c>
      <c r="I3458" s="310">
        <v>42548.0</v>
      </c>
      <c r="J3458" s="319">
        <f>IFERROR(__xludf.DUMMYFUNCTION("SPLIT(I3458,""/"")"),27.0)</f>
        <v>27</v>
      </c>
      <c r="K3458" s="308">
        <f>IFERROR(__xludf.DUMMYFUNCTION("""COMPUTED_VALUE"""),6.0)</f>
        <v>6</v>
      </c>
      <c r="L3458" s="308">
        <f>IFERROR(__xludf.DUMMYFUNCTION("""COMPUTED_VALUE"""),2016.0)</f>
        <v>2016</v>
      </c>
      <c r="M3458" s="308" t="s">
        <v>14137</v>
      </c>
      <c r="N3458" s="308"/>
      <c r="O3458" s="308" t="s">
        <v>635</v>
      </c>
      <c r="P3458" s="308" t="s">
        <v>12369</v>
      </c>
      <c r="Q3458" s="308" t="s">
        <v>36993</v>
      </c>
      <c r="R3458" s="308" t="s">
        <v>13836</v>
      </c>
      <c r="S3458" s="308" t="s">
        <v>81</v>
      </c>
      <c r="T3458" s="308" t="s">
        <v>73</v>
      </c>
      <c r="U3458" s="308" t="s">
        <v>166</v>
      </c>
      <c r="V3458" s="312"/>
    </row>
    <row r="3459">
      <c r="A3459" s="308">
        <v>3458.0</v>
      </c>
      <c r="B3459" s="308"/>
      <c r="C3459" s="308" t="s">
        <v>14138</v>
      </c>
      <c r="D3459" s="308">
        <f>IFERROR(__xludf.DUMMYFUNCTION("SPLIT(C3459,""-"")"),3479.0)</f>
        <v>3479</v>
      </c>
      <c r="E3459" s="308" t="str">
        <f>IFERROR(__xludf.DUMMYFUNCTION("""COMPUTED_VALUE"""),"S")</f>
        <v>S</v>
      </c>
      <c r="F3459" s="312" t="s">
        <v>39</v>
      </c>
      <c r="G3459" s="308"/>
      <c r="H3459" s="308" t="s">
        <v>14139</v>
      </c>
      <c r="I3459" s="310">
        <v>42549.0</v>
      </c>
      <c r="J3459" s="319">
        <f>IFERROR(__xludf.DUMMYFUNCTION("SPLIT(I3459,""/"")"),28.0)</f>
        <v>28</v>
      </c>
      <c r="K3459" s="308">
        <f>IFERROR(__xludf.DUMMYFUNCTION("""COMPUTED_VALUE"""),6.0)</f>
        <v>6</v>
      </c>
      <c r="L3459" s="308">
        <f>IFERROR(__xludf.DUMMYFUNCTION("""COMPUTED_VALUE"""),2016.0)</f>
        <v>2016</v>
      </c>
      <c r="M3459" s="308" t="s">
        <v>14140</v>
      </c>
      <c r="N3459" s="308"/>
      <c r="O3459" s="308" t="s">
        <v>635</v>
      </c>
      <c r="P3459" s="308" t="s">
        <v>14124</v>
      </c>
      <c r="Q3459" s="308" t="s">
        <v>36993</v>
      </c>
      <c r="R3459" s="308" t="s">
        <v>13836</v>
      </c>
      <c r="S3459" s="308" t="s">
        <v>81</v>
      </c>
      <c r="T3459" s="311" t="s">
        <v>91</v>
      </c>
      <c r="U3459" s="308" t="s">
        <v>166</v>
      </c>
      <c r="V3459" s="312"/>
    </row>
    <row r="3460">
      <c r="A3460" s="308">
        <v>3459.0</v>
      </c>
      <c r="B3460" s="308"/>
      <c r="C3460" s="308" t="s">
        <v>14141</v>
      </c>
      <c r="D3460" s="308">
        <f>IFERROR(__xludf.DUMMYFUNCTION("SPLIT(C3460,""-"")"),3480.0)</f>
        <v>3480</v>
      </c>
      <c r="E3460" s="308" t="str">
        <f>IFERROR(__xludf.DUMMYFUNCTION("""COMPUTED_VALUE"""),"S")</f>
        <v>S</v>
      </c>
      <c r="F3460" s="312" t="s">
        <v>39</v>
      </c>
      <c r="G3460" s="308"/>
      <c r="H3460" s="308" t="s">
        <v>14142</v>
      </c>
      <c r="I3460" s="310">
        <v>42552.0</v>
      </c>
      <c r="J3460" s="319">
        <f>IFERROR(__xludf.DUMMYFUNCTION("SPLIT(I3460,""/"")"),1.0)</f>
        <v>1</v>
      </c>
      <c r="K3460" s="308">
        <f>IFERROR(__xludf.DUMMYFUNCTION("""COMPUTED_VALUE"""),7.0)</f>
        <v>7</v>
      </c>
      <c r="L3460" s="308">
        <f>IFERROR(__xludf.DUMMYFUNCTION("""COMPUTED_VALUE"""),2016.0)</f>
        <v>2016</v>
      </c>
      <c r="M3460" s="308" t="s">
        <v>14143</v>
      </c>
      <c r="N3460" s="308"/>
      <c r="O3460" s="308" t="s">
        <v>635</v>
      </c>
      <c r="P3460" s="308" t="s">
        <v>14144</v>
      </c>
      <c r="Q3460" s="308" t="s">
        <v>36993</v>
      </c>
      <c r="R3460" s="308" t="s">
        <v>13836</v>
      </c>
      <c r="S3460" s="308" t="s">
        <v>81</v>
      </c>
      <c r="T3460" s="308" t="s">
        <v>75</v>
      </c>
      <c r="U3460" s="308" t="s">
        <v>12947</v>
      </c>
      <c r="V3460" s="312"/>
    </row>
    <row r="3461">
      <c r="A3461" s="308">
        <v>3460.0</v>
      </c>
      <c r="B3461" s="308"/>
      <c r="C3461" s="308" t="s">
        <v>14145</v>
      </c>
      <c r="D3461" s="308">
        <f>IFERROR(__xludf.DUMMYFUNCTION("SPLIT(C3461,""-"")"),3481.0)</f>
        <v>3481</v>
      </c>
      <c r="E3461" s="308" t="str">
        <f>IFERROR(__xludf.DUMMYFUNCTION("""COMPUTED_VALUE"""),"S")</f>
        <v>S</v>
      </c>
      <c r="F3461" s="312" t="s">
        <v>39</v>
      </c>
      <c r="G3461" s="308"/>
      <c r="H3461" s="308" t="s">
        <v>14146</v>
      </c>
      <c r="I3461" s="310">
        <v>42548.0</v>
      </c>
      <c r="J3461" s="319">
        <f>IFERROR(__xludf.DUMMYFUNCTION("SPLIT(I3461,""/"")"),27.0)</f>
        <v>27</v>
      </c>
      <c r="K3461" s="308">
        <f>IFERROR(__xludf.DUMMYFUNCTION("""COMPUTED_VALUE"""),6.0)</f>
        <v>6</v>
      </c>
      <c r="L3461" s="308">
        <f>IFERROR(__xludf.DUMMYFUNCTION("""COMPUTED_VALUE"""),2016.0)</f>
        <v>2016</v>
      </c>
      <c r="M3461" s="308" t="s">
        <v>14147</v>
      </c>
      <c r="N3461" s="308"/>
      <c r="O3461" s="308" t="s">
        <v>635</v>
      </c>
      <c r="P3461" s="308" t="s">
        <v>6973</v>
      </c>
      <c r="Q3461" s="308" t="s">
        <v>36993</v>
      </c>
      <c r="R3461" s="308" t="s">
        <v>13836</v>
      </c>
      <c r="S3461" s="308" t="s">
        <v>49</v>
      </c>
      <c r="T3461" s="308" t="s">
        <v>67</v>
      </c>
      <c r="U3461" s="308" t="s">
        <v>166</v>
      </c>
      <c r="V3461" s="312"/>
    </row>
    <row r="3462">
      <c r="A3462" s="308">
        <v>3461.0</v>
      </c>
      <c r="B3462" s="308"/>
      <c r="C3462" s="308" t="s">
        <v>14148</v>
      </c>
      <c r="D3462" s="308">
        <f>IFERROR(__xludf.DUMMYFUNCTION("SPLIT(C3462,""-"")"),3482.0)</f>
        <v>3482</v>
      </c>
      <c r="E3462" s="308" t="str">
        <f>IFERROR(__xludf.DUMMYFUNCTION("""COMPUTED_VALUE"""),"S")</f>
        <v>S</v>
      </c>
      <c r="F3462" s="312" t="s">
        <v>39</v>
      </c>
      <c r="G3462" s="308"/>
      <c r="H3462" s="308" t="s">
        <v>14149</v>
      </c>
      <c r="I3462" s="310">
        <v>42553.0</v>
      </c>
      <c r="J3462" s="319">
        <f>IFERROR(__xludf.DUMMYFUNCTION("SPLIT(I3462,""/"")"),2.0)</f>
        <v>2</v>
      </c>
      <c r="K3462" s="308">
        <f>IFERROR(__xludf.DUMMYFUNCTION("""COMPUTED_VALUE"""),7.0)</f>
        <v>7</v>
      </c>
      <c r="L3462" s="308">
        <f>IFERROR(__xludf.DUMMYFUNCTION("""COMPUTED_VALUE"""),2016.0)</f>
        <v>2016</v>
      </c>
      <c r="M3462" s="308" t="s">
        <v>14150</v>
      </c>
      <c r="N3462" s="308"/>
      <c r="O3462" s="308" t="s">
        <v>635</v>
      </c>
      <c r="P3462" s="308" t="s">
        <v>14151</v>
      </c>
      <c r="Q3462" s="308" t="s">
        <v>36993</v>
      </c>
      <c r="R3462" s="308" t="s">
        <v>13836</v>
      </c>
      <c r="S3462" s="308" t="s">
        <v>81</v>
      </c>
      <c r="T3462" s="308" t="s">
        <v>75</v>
      </c>
      <c r="U3462" s="308" t="s">
        <v>166</v>
      </c>
      <c r="V3462" s="312"/>
    </row>
    <row r="3463">
      <c r="A3463" s="308">
        <v>3462.0</v>
      </c>
      <c r="B3463" s="308"/>
      <c r="C3463" s="308" t="s">
        <v>14152</v>
      </c>
      <c r="D3463" s="308">
        <f>IFERROR(__xludf.DUMMYFUNCTION("SPLIT(C3463,""-"")"),3483.0)</f>
        <v>3483</v>
      </c>
      <c r="E3463" s="308" t="str">
        <f>IFERROR(__xludf.DUMMYFUNCTION("""COMPUTED_VALUE"""),"S")</f>
        <v>S</v>
      </c>
      <c r="F3463" s="312" t="s">
        <v>39</v>
      </c>
      <c r="G3463" s="308"/>
      <c r="H3463" s="308" t="s">
        <v>14153</v>
      </c>
      <c r="I3463" s="310">
        <v>42554.0</v>
      </c>
      <c r="J3463" s="319">
        <f>IFERROR(__xludf.DUMMYFUNCTION("SPLIT(I3463,""/"")"),3.0)</f>
        <v>3</v>
      </c>
      <c r="K3463" s="308">
        <f>IFERROR(__xludf.DUMMYFUNCTION("""COMPUTED_VALUE"""),7.0)</f>
        <v>7</v>
      </c>
      <c r="L3463" s="308">
        <f>IFERROR(__xludf.DUMMYFUNCTION("""COMPUTED_VALUE"""),2016.0)</f>
        <v>2016</v>
      </c>
      <c r="M3463" s="308" t="s">
        <v>14154</v>
      </c>
      <c r="N3463" s="308"/>
      <c r="O3463" s="308" t="s">
        <v>635</v>
      </c>
      <c r="P3463" s="308" t="s">
        <v>6973</v>
      </c>
      <c r="Q3463" s="308" t="s">
        <v>36993</v>
      </c>
      <c r="R3463" s="308" t="s">
        <v>13836</v>
      </c>
      <c r="S3463" s="308" t="s">
        <v>49</v>
      </c>
      <c r="T3463" s="308" t="s">
        <v>67</v>
      </c>
      <c r="U3463" s="308" t="s">
        <v>166</v>
      </c>
      <c r="V3463" s="312"/>
    </row>
    <row r="3464">
      <c r="A3464" s="308">
        <v>3463.0</v>
      </c>
      <c r="B3464" s="308"/>
      <c r="C3464" s="308" t="s">
        <v>14155</v>
      </c>
      <c r="D3464" s="308">
        <f>IFERROR(__xludf.DUMMYFUNCTION("SPLIT(C3464,""-"")"),3484.0)</f>
        <v>3484</v>
      </c>
      <c r="E3464" s="308" t="str">
        <f>IFERROR(__xludf.DUMMYFUNCTION("""COMPUTED_VALUE"""),"S")</f>
        <v>S</v>
      </c>
      <c r="F3464" s="312" t="s">
        <v>39</v>
      </c>
      <c r="G3464" s="308"/>
      <c r="H3464" s="308" t="s">
        <v>14156</v>
      </c>
      <c r="I3464" s="310">
        <v>42552.0</v>
      </c>
      <c r="J3464" s="319">
        <f>IFERROR(__xludf.DUMMYFUNCTION("SPLIT(I3464,""/"")"),1.0)</f>
        <v>1</v>
      </c>
      <c r="K3464" s="308">
        <f>IFERROR(__xludf.DUMMYFUNCTION("""COMPUTED_VALUE"""),7.0)</f>
        <v>7</v>
      </c>
      <c r="L3464" s="308">
        <f>IFERROR(__xludf.DUMMYFUNCTION("""COMPUTED_VALUE"""),2016.0)</f>
        <v>2016</v>
      </c>
      <c r="M3464" s="308" t="s">
        <v>14157</v>
      </c>
      <c r="N3464" s="308"/>
      <c r="O3464" s="308" t="s">
        <v>635</v>
      </c>
      <c r="P3464" s="308" t="s">
        <v>14124</v>
      </c>
      <c r="Q3464" s="308" t="s">
        <v>36993</v>
      </c>
      <c r="R3464" s="308" t="s">
        <v>13836</v>
      </c>
      <c r="S3464" s="308" t="s">
        <v>81</v>
      </c>
      <c r="T3464" s="311" t="s">
        <v>91</v>
      </c>
      <c r="U3464" s="308" t="s">
        <v>40</v>
      </c>
      <c r="V3464" s="312"/>
    </row>
    <row r="3465">
      <c r="A3465" s="308">
        <v>3464.0</v>
      </c>
      <c r="B3465" s="308"/>
      <c r="C3465" s="308" t="s">
        <v>14158</v>
      </c>
      <c r="D3465" s="308">
        <f>IFERROR(__xludf.DUMMYFUNCTION("SPLIT(C3465,""-"")"),3485.0)</f>
        <v>3485</v>
      </c>
      <c r="E3465" s="308" t="str">
        <f>IFERROR(__xludf.DUMMYFUNCTION("""COMPUTED_VALUE"""),"S")</f>
        <v>S</v>
      </c>
      <c r="F3465" s="312" t="s">
        <v>39</v>
      </c>
      <c r="G3465" s="308"/>
      <c r="H3465" s="308" t="s">
        <v>14159</v>
      </c>
      <c r="I3465" s="310">
        <v>42552.0</v>
      </c>
      <c r="J3465" s="319">
        <f>IFERROR(__xludf.DUMMYFUNCTION("SPLIT(I3465,""/"")"),1.0)</f>
        <v>1</v>
      </c>
      <c r="K3465" s="308">
        <f>IFERROR(__xludf.DUMMYFUNCTION("""COMPUTED_VALUE"""),7.0)</f>
        <v>7</v>
      </c>
      <c r="L3465" s="308">
        <f>IFERROR(__xludf.DUMMYFUNCTION("""COMPUTED_VALUE"""),2016.0)</f>
        <v>2016</v>
      </c>
      <c r="M3465" s="308" t="s">
        <v>14157</v>
      </c>
      <c r="N3465" s="308"/>
      <c r="O3465" s="308" t="s">
        <v>635</v>
      </c>
      <c r="P3465" s="308" t="s">
        <v>14124</v>
      </c>
      <c r="Q3465" s="308" t="s">
        <v>36993</v>
      </c>
      <c r="R3465" s="308" t="s">
        <v>13836</v>
      </c>
      <c r="S3465" s="308" t="s">
        <v>81</v>
      </c>
      <c r="T3465" s="311" t="s">
        <v>91</v>
      </c>
      <c r="U3465" s="308" t="s">
        <v>40</v>
      </c>
      <c r="V3465" s="312"/>
    </row>
    <row r="3466">
      <c r="A3466" s="308">
        <v>3465.0</v>
      </c>
      <c r="B3466" s="308"/>
      <c r="C3466" s="308" t="s">
        <v>14160</v>
      </c>
      <c r="D3466" s="308">
        <f>IFERROR(__xludf.DUMMYFUNCTION("SPLIT(C3466,""-"")"),3486.0)</f>
        <v>3486</v>
      </c>
      <c r="E3466" s="308" t="str">
        <f>IFERROR(__xludf.DUMMYFUNCTION("""COMPUTED_VALUE"""),"F")</f>
        <v>F</v>
      </c>
      <c r="F3466" s="309" t="s">
        <v>34</v>
      </c>
      <c r="G3466" s="308"/>
      <c r="H3466" s="308" t="s">
        <v>14161</v>
      </c>
      <c r="I3466" s="310">
        <v>41154.0</v>
      </c>
      <c r="J3466" s="319">
        <f>IFERROR(__xludf.DUMMYFUNCTION("SPLIT(I3466,""/"")"),2.0)</f>
        <v>2</v>
      </c>
      <c r="K3466" s="308">
        <f>IFERROR(__xludf.DUMMYFUNCTION("""COMPUTED_VALUE"""),9.0)</f>
        <v>9</v>
      </c>
      <c r="L3466" s="308">
        <f>IFERROR(__xludf.DUMMYFUNCTION("""COMPUTED_VALUE"""),2012.0)</f>
        <v>2012</v>
      </c>
      <c r="M3466" s="308" t="s">
        <v>14162</v>
      </c>
      <c r="N3466" s="308"/>
      <c r="O3466" s="312" t="s">
        <v>635</v>
      </c>
      <c r="P3466" s="308" t="s">
        <v>36633</v>
      </c>
      <c r="Q3466" s="308" t="s">
        <v>36993</v>
      </c>
      <c r="R3466" s="308" t="s">
        <v>2743</v>
      </c>
      <c r="S3466" s="315" t="s">
        <v>100</v>
      </c>
      <c r="T3466" s="311" t="s">
        <v>34208</v>
      </c>
      <c r="U3466" s="308" t="s">
        <v>195</v>
      </c>
      <c r="V3466" s="312"/>
    </row>
    <row r="3467">
      <c r="A3467" s="308">
        <v>3466.0</v>
      </c>
      <c r="B3467" s="308"/>
      <c r="C3467" s="308" t="s">
        <v>14163</v>
      </c>
      <c r="D3467" s="308">
        <f>IFERROR(__xludf.DUMMYFUNCTION("SPLIT(C3467,""-"")"),3487.0)</f>
        <v>3487</v>
      </c>
      <c r="E3467" s="308" t="str">
        <f>IFERROR(__xludf.DUMMYFUNCTION("""COMPUTED_VALUE"""),"K")</f>
        <v>K</v>
      </c>
      <c r="F3467" s="309" t="s">
        <v>34</v>
      </c>
      <c r="G3467" s="308"/>
      <c r="H3467" s="308" t="s">
        <v>14164</v>
      </c>
      <c r="I3467" s="310">
        <v>42564.0</v>
      </c>
      <c r="J3467" s="319">
        <f>IFERROR(__xludf.DUMMYFUNCTION("SPLIT(I3467,""/"")"),13.0)</f>
        <v>13</v>
      </c>
      <c r="K3467" s="308">
        <f>IFERROR(__xludf.DUMMYFUNCTION("""COMPUTED_VALUE"""),7.0)</f>
        <v>7</v>
      </c>
      <c r="L3467" s="308">
        <f>IFERROR(__xludf.DUMMYFUNCTION("""COMPUTED_VALUE"""),2016.0)</f>
        <v>2016</v>
      </c>
      <c r="M3467" s="308" t="s">
        <v>36994</v>
      </c>
      <c r="N3467" s="308"/>
      <c r="O3467" s="312" t="s">
        <v>635</v>
      </c>
      <c r="P3467" s="308" t="s">
        <v>14166</v>
      </c>
      <c r="Q3467" s="308" t="s">
        <v>36993</v>
      </c>
      <c r="R3467" s="308" t="s">
        <v>2743</v>
      </c>
      <c r="S3467" s="308" t="s">
        <v>81</v>
      </c>
      <c r="T3467" s="308" t="s">
        <v>75</v>
      </c>
      <c r="U3467" s="308"/>
      <c r="V3467" s="312"/>
    </row>
    <row r="3468">
      <c r="A3468" s="308">
        <v>3467.0</v>
      </c>
      <c r="B3468" s="308"/>
      <c r="C3468" s="308" t="s">
        <v>14167</v>
      </c>
      <c r="D3468" s="308">
        <f>IFERROR(__xludf.DUMMYFUNCTION("SPLIT(C3468,""-"")"),3488.0)</f>
        <v>3488</v>
      </c>
      <c r="E3468" s="308" t="str">
        <f>IFERROR(__xludf.DUMMYFUNCTION("""COMPUTED_VALUE"""),"K")</f>
        <v>K</v>
      </c>
      <c r="F3468" s="309" t="s">
        <v>34</v>
      </c>
      <c r="G3468" s="308"/>
      <c r="H3468" s="308" t="s">
        <v>14168</v>
      </c>
      <c r="I3468" s="310">
        <v>41640.0</v>
      </c>
      <c r="J3468" s="319">
        <f>IFERROR(__xludf.DUMMYFUNCTION("SPLIT(I3468,""/"")"),1.0)</f>
        <v>1</v>
      </c>
      <c r="K3468" s="308">
        <f>IFERROR(__xludf.DUMMYFUNCTION("""COMPUTED_VALUE"""),1.0)</f>
        <v>1</v>
      </c>
      <c r="L3468" s="308">
        <f>IFERROR(__xludf.DUMMYFUNCTION("""COMPUTED_VALUE"""),2014.0)</f>
        <v>2014</v>
      </c>
      <c r="M3468" s="308" t="s">
        <v>14169</v>
      </c>
      <c r="N3468" s="308"/>
      <c r="O3468" s="312" t="s">
        <v>635</v>
      </c>
      <c r="P3468" s="308" t="s">
        <v>36995</v>
      </c>
      <c r="Q3468" s="308" t="s">
        <v>36996</v>
      </c>
      <c r="R3468" s="308" t="s">
        <v>2743</v>
      </c>
      <c r="S3468" s="308" t="s">
        <v>81</v>
      </c>
      <c r="T3468" s="308" t="s">
        <v>34264</v>
      </c>
      <c r="U3468" s="308"/>
      <c r="V3468" s="312"/>
    </row>
    <row r="3469">
      <c r="A3469" s="308">
        <v>3468.0</v>
      </c>
      <c r="B3469" s="308"/>
      <c r="C3469" s="308" t="s">
        <v>14171</v>
      </c>
      <c r="D3469" s="308">
        <f>IFERROR(__xludf.DUMMYFUNCTION("SPLIT(C3469,""-"")"),3489.0)</f>
        <v>3489</v>
      </c>
      <c r="E3469" s="308" t="str">
        <f>IFERROR(__xludf.DUMMYFUNCTION("""COMPUTED_VALUE"""),"B")</f>
        <v>B</v>
      </c>
      <c r="F3469" s="315" t="s">
        <v>26</v>
      </c>
      <c r="G3469" s="308"/>
      <c r="H3469" s="308" t="s">
        <v>14172</v>
      </c>
      <c r="I3469" s="310">
        <v>40592.0</v>
      </c>
      <c r="J3469" s="319">
        <f>IFERROR(__xludf.DUMMYFUNCTION("SPLIT(I3469,""/"")"),18.0)</f>
        <v>18</v>
      </c>
      <c r="K3469" s="308">
        <f>IFERROR(__xludf.DUMMYFUNCTION("""COMPUTED_VALUE"""),2.0)</f>
        <v>2</v>
      </c>
      <c r="L3469" s="308">
        <f>IFERROR(__xludf.DUMMYFUNCTION("""COMPUTED_VALUE"""),2011.0)</f>
        <v>2011</v>
      </c>
      <c r="M3469" s="308" t="s">
        <v>14173</v>
      </c>
      <c r="N3469" s="308"/>
      <c r="O3469" s="312" t="s">
        <v>12314</v>
      </c>
      <c r="P3469" s="308" t="s">
        <v>14174</v>
      </c>
      <c r="Q3469" s="308"/>
      <c r="R3469" s="308"/>
      <c r="S3469" s="315" t="s">
        <v>100</v>
      </c>
      <c r="T3469" s="311" t="s">
        <v>34208</v>
      </c>
      <c r="U3469" s="308" t="s">
        <v>27</v>
      </c>
      <c r="V3469" s="312"/>
    </row>
    <row r="3470">
      <c r="A3470" s="308">
        <v>3469.0</v>
      </c>
      <c r="B3470" s="308"/>
      <c r="C3470" s="308" t="s">
        <v>14175</v>
      </c>
      <c r="D3470" s="308">
        <f>IFERROR(__xludf.DUMMYFUNCTION("SPLIT(C3470,""-"")"),3490.0)</f>
        <v>3490</v>
      </c>
      <c r="E3470" s="308" t="str">
        <f>IFERROR(__xludf.DUMMYFUNCTION("""COMPUTED_VALUE"""),"S")</f>
        <v>S</v>
      </c>
      <c r="F3470" s="312" t="s">
        <v>39</v>
      </c>
      <c r="G3470" s="308" t="s">
        <v>14176</v>
      </c>
      <c r="H3470" s="308" t="s">
        <v>14177</v>
      </c>
      <c r="I3470" s="310">
        <v>42083.0</v>
      </c>
      <c r="J3470" s="319">
        <f>IFERROR(__xludf.DUMMYFUNCTION("SPLIT(I3470,""/"")"),20.0)</f>
        <v>20</v>
      </c>
      <c r="K3470" s="308">
        <f>IFERROR(__xludf.DUMMYFUNCTION("""COMPUTED_VALUE"""),3.0)</f>
        <v>3</v>
      </c>
      <c r="L3470" s="308">
        <f>IFERROR(__xludf.DUMMYFUNCTION("""COMPUTED_VALUE"""),2015.0)</f>
        <v>2015</v>
      </c>
      <c r="M3470" s="308" t="s">
        <v>14178</v>
      </c>
      <c r="N3470" s="308"/>
      <c r="O3470" s="308" t="s">
        <v>635</v>
      </c>
      <c r="P3470" s="308" t="s">
        <v>14179</v>
      </c>
      <c r="Q3470" s="308" t="s">
        <v>36996</v>
      </c>
      <c r="R3470" s="308" t="s">
        <v>13890</v>
      </c>
      <c r="S3470" s="308" t="s">
        <v>81</v>
      </c>
      <c r="T3470" s="308" t="s">
        <v>75</v>
      </c>
      <c r="U3470" s="308" t="s">
        <v>166</v>
      </c>
      <c r="V3470" s="312"/>
    </row>
    <row r="3471">
      <c r="A3471" s="308">
        <v>3470.0</v>
      </c>
      <c r="B3471" s="308"/>
      <c r="C3471" s="308" t="s">
        <v>14180</v>
      </c>
      <c r="D3471" s="308">
        <f>IFERROR(__xludf.DUMMYFUNCTION("SPLIT(C3471,""-"")"),3491.0)</f>
        <v>3491</v>
      </c>
      <c r="E3471" s="308" t="str">
        <f>IFERROR(__xludf.DUMMYFUNCTION("""COMPUTED_VALUE"""),"S")</f>
        <v>S</v>
      </c>
      <c r="F3471" s="312" t="s">
        <v>39</v>
      </c>
      <c r="G3471" s="308" t="s">
        <v>14176</v>
      </c>
      <c r="H3471" s="308" t="s">
        <v>14181</v>
      </c>
      <c r="I3471" s="310">
        <v>42083.0</v>
      </c>
      <c r="J3471" s="319">
        <f>IFERROR(__xludf.DUMMYFUNCTION("SPLIT(I3471,""/"")"),20.0)</f>
        <v>20</v>
      </c>
      <c r="K3471" s="308">
        <f>IFERROR(__xludf.DUMMYFUNCTION("""COMPUTED_VALUE"""),3.0)</f>
        <v>3</v>
      </c>
      <c r="L3471" s="308">
        <f>IFERROR(__xludf.DUMMYFUNCTION("""COMPUTED_VALUE"""),2015.0)</f>
        <v>2015</v>
      </c>
      <c r="M3471" s="308" t="s">
        <v>14178</v>
      </c>
      <c r="N3471" s="308"/>
      <c r="O3471" s="308" t="s">
        <v>635</v>
      </c>
      <c r="P3471" s="308" t="s">
        <v>14179</v>
      </c>
      <c r="Q3471" s="308" t="s">
        <v>36996</v>
      </c>
      <c r="R3471" s="308" t="s">
        <v>13890</v>
      </c>
      <c r="S3471" s="308" t="s">
        <v>81</v>
      </c>
      <c r="T3471" s="308" t="s">
        <v>75</v>
      </c>
      <c r="U3471" s="308" t="s">
        <v>166</v>
      </c>
      <c r="V3471" s="312"/>
    </row>
    <row r="3472">
      <c r="A3472" s="308">
        <v>3471.0</v>
      </c>
      <c r="B3472" s="308"/>
      <c r="C3472" s="308" t="s">
        <v>14182</v>
      </c>
      <c r="D3472" s="308">
        <f>IFERROR(__xludf.DUMMYFUNCTION("SPLIT(C3472,""-"")"),3492.0)</f>
        <v>3492</v>
      </c>
      <c r="E3472" s="308" t="str">
        <f>IFERROR(__xludf.DUMMYFUNCTION("""COMPUTED_VALUE"""),"K")</f>
        <v>K</v>
      </c>
      <c r="F3472" s="309" t="s">
        <v>34</v>
      </c>
      <c r="G3472" s="308" t="s">
        <v>14183</v>
      </c>
      <c r="H3472" s="308" t="s">
        <v>14184</v>
      </c>
      <c r="I3472" s="310">
        <v>42512.0</v>
      </c>
      <c r="J3472" s="319">
        <f>IFERROR(__xludf.DUMMYFUNCTION("SPLIT(I3472,""/"")"),22.0)</f>
        <v>22</v>
      </c>
      <c r="K3472" s="308">
        <f>IFERROR(__xludf.DUMMYFUNCTION("""COMPUTED_VALUE"""),5.0)</f>
        <v>5</v>
      </c>
      <c r="L3472" s="308">
        <f>IFERROR(__xludf.DUMMYFUNCTION("""COMPUTED_VALUE"""),2016.0)</f>
        <v>2016</v>
      </c>
      <c r="M3472" s="308" t="s">
        <v>36997</v>
      </c>
      <c r="N3472" s="308"/>
      <c r="O3472" s="308" t="s">
        <v>635</v>
      </c>
      <c r="P3472" s="308" t="s">
        <v>14186</v>
      </c>
      <c r="Q3472" s="308" t="s">
        <v>36996</v>
      </c>
      <c r="R3472" s="308" t="s">
        <v>13890</v>
      </c>
      <c r="S3472" s="308" t="s">
        <v>81</v>
      </c>
      <c r="T3472" s="308" t="s">
        <v>75</v>
      </c>
      <c r="U3472" s="308"/>
      <c r="V3472" s="312"/>
    </row>
    <row r="3473">
      <c r="A3473" s="308">
        <v>3472.0</v>
      </c>
      <c r="B3473" s="308"/>
      <c r="C3473" s="308" t="s">
        <v>14187</v>
      </c>
      <c r="D3473" s="308">
        <f>IFERROR(__xludf.DUMMYFUNCTION("SPLIT(C3473,""-"")"),3493.0)</f>
        <v>3493</v>
      </c>
      <c r="E3473" s="308" t="str">
        <f>IFERROR(__xludf.DUMMYFUNCTION("""COMPUTED_VALUE"""),"K")</f>
        <v>K</v>
      </c>
      <c r="F3473" s="309" t="s">
        <v>34</v>
      </c>
      <c r="G3473" s="308" t="s">
        <v>14188</v>
      </c>
      <c r="H3473" s="308" t="s">
        <v>14189</v>
      </c>
      <c r="I3473" s="310">
        <v>42254.0</v>
      </c>
      <c r="J3473" s="319">
        <f>IFERROR(__xludf.DUMMYFUNCTION("SPLIT(I3473,""/"")"),7.0)</f>
        <v>7</v>
      </c>
      <c r="K3473" s="308">
        <f>IFERROR(__xludf.DUMMYFUNCTION("""COMPUTED_VALUE"""),9.0)</f>
        <v>9</v>
      </c>
      <c r="L3473" s="308">
        <f>IFERROR(__xludf.DUMMYFUNCTION("""COMPUTED_VALUE"""),2015.0)</f>
        <v>2015</v>
      </c>
      <c r="M3473" s="308" t="s">
        <v>14190</v>
      </c>
      <c r="N3473" s="308"/>
      <c r="O3473" s="312" t="s">
        <v>14191</v>
      </c>
      <c r="P3473" s="308" t="s">
        <v>14192</v>
      </c>
      <c r="Q3473" s="308" t="s">
        <v>36996</v>
      </c>
      <c r="R3473" s="308" t="s">
        <v>13890</v>
      </c>
      <c r="S3473" s="308" t="s">
        <v>81</v>
      </c>
      <c r="T3473" s="311" t="s">
        <v>73</v>
      </c>
      <c r="U3473" s="308"/>
      <c r="V3473" s="312"/>
    </row>
    <row r="3474">
      <c r="A3474" s="308">
        <v>3473.0</v>
      </c>
      <c r="B3474" s="308"/>
      <c r="C3474" s="308" t="s">
        <v>14193</v>
      </c>
      <c r="D3474" s="308">
        <f>IFERROR(__xludf.DUMMYFUNCTION("SPLIT(C3474,""-"")"),3494.0)</f>
        <v>3494</v>
      </c>
      <c r="E3474" s="308" t="str">
        <f>IFERROR(__xludf.DUMMYFUNCTION("""COMPUTED_VALUE"""),"P")</f>
        <v>P</v>
      </c>
      <c r="F3474" s="312" t="s">
        <v>37</v>
      </c>
      <c r="G3474" s="308" t="s">
        <v>14194</v>
      </c>
      <c r="H3474" s="308" t="s">
        <v>14195</v>
      </c>
      <c r="I3474" s="310">
        <v>42128.0</v>
      </c>
      <c r="J3474" s="319">
        <f>IFERROR(__xludf.DUMMYFUNCTION("SPLIT(I3474,""/"")"),4.0)</f>
        <v>4</v>
      </c>
      <c r="K3474" s="308">
        <f>IFERROR(__xludf.DUMMYFUNCTION("""COMPUTED_VALUE"""),5.0)</f>
        <v>5</v>
      </c>
      <c r="L3474" s="308">
        <f>IFERROR(__xludf.DUMMYFUNCTION("""COMPUTED_VALUE"""),2015.0)</f>
        <v>2015</v>
      </c>
      <c r="M3474" s="308" t="s">
        <v>14196</v>
      </c>
      <c r="N3474" s="308"/>
      <c r="O3474" s="312" t="s">
        <v>14197</v>
      </c>
      <c r="P3474" s="308" t="s">
        <v>14198</v>
      </c>
      <c r="Q3474" s="308" t="s">
        <v>36996</v>
      </c>
      <c r="R3474" s="308" t="s">
        <v>13890</v>
      </c>
      <c r="S3474" s="308" t="s">
        <v>81</v>
      </c>
      <c r="T3474" s="311" t="s">
        <v>51</v>
      </c>
      <c r="U3474" s="308" t="s">
        <v>2748</v>
      </c>
      <c r="V3474" s="312"/>
    </row>
    <row r="3475">
      <c r="A3475" s="308">
        <v>3474.0</v>
      </c>
      <c r="B3475" s="308"/>
      <c r="C3475" s="308" t="s">
        <v>14199</v>
      </c>
      <c r="D3475" s="308">
        <f>IFERROR(__xludf.DUMMYFUNCTION("SPLIT(C3475,""-"")"),3495.0)</f>
        <v>3495</v>
      </c>
      <c r="E3475" s="308" t="str">
        <f>IFERROR(__xludf.DUMMYFUNCTION("""COMPUTED_VALUE"""),"S")</f>
        <v>S</v>
      </c>
      <c r="F3475" s="312" t="s">
        <v>39</v>
      </c>
      <c r="G3475" s="308" t="s">
        <v>14200</v>
      </c>
      <c r="H3475" s="308" t="s">
        <v>14201</v>
      </c>
      <c r="I3475" s="310">
        <v>41776.0</v>
      </c>
      <c r="J3475" s="319">
        <f>IFERROR(__xludf.DUMMYFUNCTION("SPLIT(I3475,""/"")"),17.0)</f>
        <v>17</v>
      </c>
      <c r="K3475" s="308">
        <f>IFERROR(__xludf.DUMMYFUNCTION("""COMPUTED_VALUE"""),5.0)</f>
        <v>5</v>
      </c>
      <c r="L3475" s="308">
        <f>IFERROR(__xludf.DUMMYFUNCTION("""COMPUTED_VALUE"""),2014.0)</f>
        <v>2014</v>
      </c>
      <c r="M3475" s="308" t="s">
        <v>14202</v>
      </c>
      <c r="N3475" s="308"/>
      <c r="O3475" s="308" t="s">
        <v>635</v>
      </c>
      <c r="P3475" s="308" t="s">
        <v>9891</v>
      </c>
      <c r="Q3475" s="308" t="s">
        <v>36996</v>
      </c>
      <c r="R3475" s="308" t="s">
        <v>13890</v>
      </c>
      <c r="S3475" s="308" t="s">
        <v>81</v>
      </c>
      <c r="T3475" s="308" t="s">
        <v>98</v>
      </c>
      <c r="U3475" s="308" t="s">
        <v>166</v>
      </c>
      <c r="V3475" s="312"/>
    </row>
    <row r="3476">
      <c r="A3476" s="308">
        <v>3475.0</v>
      </c>
      <c r="B3476" s="308"/>
      <c r="C3476" s="308" t="s">
        <v>14203</v>
      </c>
      <c r="D3476" s="308">
        <f>IFERROR(__xludf.DUMMYFUNCTION("SPLIT(C3476,""-"")"),3496.0)</f>
        <v>3496</v>
      </c>
      <c r="E3476" s="308" t="str">
        <f>IFERROR(__xludf.DUMMYFUNCTION("""COMPUTED_VALUE"""),"S")</f>
        <v>S</v>
      </c>
      <c r="F3476" s="312" t="s">
        <v>39</v>
      </c>
      <c r="G3476" s="308" t="s">
        <v>14200</v>
      </c>
      <c r="H3476" s="308" t="s">
        <v>14204</v>
      </c>
      <c r="I3476" s="310">
        <v>41776.0</v>
      </c>
      <c r="J3476" s="319">
        <f>IFERROR(__xludf.DUMMYFUNCTION("SPLIT(I3476,""/"")"),17.0)</f>
        <v>17</v>
      </c>
      <c r="K3476" s="308">
        <f>IFERROR(__xludf.DUMMYFUNCTION("""COMPUTED_VALUE"""),5.0)</f>
        <v>5</v>
      </c>
      <c r="L3476" s="308">
        <f>IFERROR(__xludf.DUMMYFUNCTION("""COMPUTED_VALUE"""),2014.0)</f>
        <v>2014</v>
      </c>
      <c r="M3476" s="308" t="s">
        <v>14202</v>
      </c>
      <c r="N3476" s="308"/>
      <c r="O3476" s="308" t="s">
        <v>635</v>
      </c>
      <c r="P3476" s="308" t="s">
        <v>14205</v>
      </c>
      <c r="Q3476" s="308" t="s">
        <v>36996</v>
      </c>
      <c r="R3476" s="308" t="s">
        <v>13890</v>
      </c>
      <c r="S3476" s="309" t="s">
        <v>81</v>
      </c>
      <c r="T3476" s="311" t="s">
        <v>63</v>
      </c>
      <c r="U3476" s="312"/>
      <c r="V3476" s="312"/>
    </row>
    <row r="3477">
      <c r="A3477" s="308">
        <v>3476.0</v>
      </c>
      <c r="B3477" s="308"/>
      <c r="C3477" s="308" t="s">
        <v>14206</v>
      </c>
      <c r="D3477" s="308">
        <f>IFERROR(__xludf.DUMMYFUNCTION("SPLIT(C3477,""-"")"),3497.0)</f>
        <v>3497</v>
      </c>
      <c r="E3477" s="308" t="str">
        <f>IFERROR(__xludf.DUMMYFUNCTION("""COMPUTED_VALUE"""),"S")</f>
        <v>S</v>
      </c>
      <c r="F3477" s="312" t="s">
        <v>39</v>
      </c>
      <c r="G3477" s="308" t="s">
        <v>14207</v>
      </c>
      <c r="H3477" s="308" t="s">
        <v>14208</v>
      </c>
      <c r="I3477" s="310">
        <v>42075.0</v>
      </c>
      <c r="J3477" s="319">
        <f>IFERROR(__xludf.DUMMYFUNCTION("SPLIT(I3477,""/"")"),12.0)</f>
        <v>12</v>
      </c>
      <c r="K3477" s="308">
        <f>IFERROR(__xludf.DUMMYFUNCTION("""COMPUTED_VALUE"""),3.0)</f>
        <v>3</v>
      </c>
      <c r="L3477" s="308">
        <f>IFERROR(__xludf.DUMMYFUNCTION("""COMPUTED_VALUE"""),2015.0)</f>
        <v>2015</v>
      </c>
      <c r="M3477" s="308" t="s">
        <v>14209</v>
      </c>
      <c r="N3477" s="308"/>
      <c r="O3477" s="308" t="s">
        <v>635</v>
      </c>
      <c r="P3477" s="308" t="s">
        <v>2774</v>
      </c>
      <c r="Q3477" s="308" t="s">
        <v>36996</v>
      </c>
      <c r="R3477" s="308" t="s">
        <v>13890</v>
      </c>
      <c r="S3477" s="308" t="s">
        <v>49</v>
      </c>
      <c r="T3477" s="308" t="s">
        <v>51</v>
      </c>
      <c r="U3477" s="312"/>
      <c r="V3477" s="312"/>
    </row>
    <row r="3478">
      <c r="A3478" s="308">
        <v>3477.0</v>
      </c>
      <c r="B3478" s="308"/>
      <c r="C3478" s="308" t="s">
        <v>14210</v>
      </c>
      <c r="D3478" s="308">
        <f>IFERROR(__xludf.DUMMYFUNCTION("SPLIT(C3478,""-"")"),3498.0)</f>
        <v>3498</v>
      </c>
      <c r="E3478" s="308" t="str">
        <f>IFERROR(__xludf.DUMMYFUNCTION("""COMPUTED_VALUE"""),"S")</f>
        <v>S</v>
      </c>
      <c r="F3478" s="312" t="s">
        <v>39</v>
      </c>
      <c r="G3478" s="308" t="s">
        <v>14211</v>
      </c>
      <c r="H3478" s="308" t="s">
        <v>14212</v>
      </c>
      <c r="I3478" s="310">
        <v>42401.0</v>
      </c>
      <c r="J3478" s="319">
        <f>IFERROR(__xludf.DUMMYFUNCTION("SPLIT(I3478,""/"")"),1.0)</f>
        <v>1</v>
      </c>
      <c r="K3478" s="308">
        <f>IFERROR(__xludf.DUMMYFUNCTION("""COMPUTED_VALUE"""),2.0)</f>
        <v>2</v>
      </c>
      <c r="L3478" s="308">
        <f>IFERROR(__xludf.DUMMYFUNCTION("""COMPUTED_VALUE"""),2016.0)</f>
        <v>2016</v>
      </c>
      <c r="M3478" s="308" t="s">
        <v>36998</v>
      </c>
      <c r="N3478" s="308"/>
      <c r="O3478" s="308" t="s">
        <v>635</v>
      </c>
      <c r="P3478" s="308" t="s">
        <v>14214</v>
      </c>
      <c r="Q3478" s="308" t="s">
        <v>36996</v>
      </c>
      <c r="R3478" s="308" t="s">
        <v>13890</v>
      </c>
      <c r="S3478" s="308" t="s">
        <v>81</v>
      </c>
      <c r="T3478" s="308" t="s">
        <v>75</v>
      </c>
      <c r="U3478" s="308" t="s">
        <v>12947</v>
      </c>
      <c r="V3478" s="312"/>
    </row>
    <row r="3479">
      <c r="A3479" s="308">
        <v>3478.0</v>
      </c>
      <c r="B3479" s="308"/>
      <c r="C3479" s="308" t="s">
        <v>14215</v>
      </c>
      <c r="D3479" s="308">
        <f>IFERROR(__xludf.DUMMYFUNCTION("SPLIT(C3479,""-"")"),3499.0)</f>
        <v>3499</v>
      </c>
      <c r="E3479" s="308" t="str">
        <f>IFERROR(__xludf.DUMMYFUNCTION("""COMPUTED_VALUE"""),"K")</f>
        <v>K</v>
      </c>
      <c r="F3479" s="309" t="s">
        <v>34</v>
      </c>
      <c r="G3479" s="308" t="s">
        <v>14216</v>
      </c>
      <c r="H3479" s="308" t="s">
        <v>14217</v>
      </c>
      <c r="I3479" s="310">
        <v>41844.0</v>
      </c>
      <c r="J3479" s="319">
        <f>IFERROR(__xludf.DUMMYFUNCTION("SPLIT(I3479,""/"")"),24.0)</f>
        <v>24</v>
      </c>
      <c r="K3479" s="308">
        <f>IFERROR(__xludf.DUMMYFUNCTION("""COMPUTED_VALUE"""),7.0)</f>
        <v>7</v>
      </c>
      <c r="L3479" s="308">
        <f>IFERROR(__xludf.DUMMYFUNCTION("""COMPUTED_VALUE"""),2014.0)</f>
        <v>2014</v>
      </c>
      <c r="M3479" s="308" t="s">
        <v>14218</v>
      </c>
      <c r="N3479" s="308" t="s">
        <v>14219</v>
      </c>
      <c r="O3479" s="312" t="s">
        <v>14220</v>
      </c>
      <c r="P3479" s="308" t="s">
        <v>36999</v>
      </c>
      <c r="Q3479" s="308" t="s">
        <v>36996</v>
      </c>
      <c r="R3479" s="308" t="s">
        <v>14221</v>
      </c>
      <c r="S3479" s="315" t="s">
        <v>100</v>
      </c>
      <c r="T3479" s="311" t="s">
        <v>34208</v>
      </c>
      <c r="U3479" s="308" t="s">
        <v>872</v>
      </c>
      <c r="V3479" s="312"/>
    </row>
    <row r="3480">
      <c r="A3480" s="308">
        <v>3479.0</v>
      </c>
      <c r="B3480" s="308"/>
      <c r="C3480" s="308" t="s">
        <v>14222</v>
      </c>
      <c r="D3480" s="308">
        <f>IFERROR(__xludf.DUMMYFUNCTION("SPLIT(C3480,""-"")"),3500.0)</f>
        <v>3500</v>
      </c>
      <c r="E3480" s="308" t="str">
        <f>IFERROR(__xludf.DUMMYFUNCTION("""COMPUTED_VALUE"""),"K")</f>
        <v>K</v>
      </c>
      <c r="F3480" s="309" t="s">
        <v>34</v>
      </c>
      <c r="G3480" s="308" t="s">
        <v>14223</v>
      </c>
      <c r="H3480" s="308" t="s">
        <v>14224</v>
      </c>
      <c r="I3480" s="310">
        <v>42407.0</v>
      </c>
      <c r="J3480" s="319">
        <f>IFERROR(__xludf.DUMMYFUNCTION("SPLIT(I3480,""/"")"),7.0)</f>
        <v>7</v>
      </c>
      <c r="K3480" s="308">
        <f>IFERROR(__xludf.DUMMYFUNCTION("""COMPUTED_VALUE"""),2.0)</f>
        <v>2</v>
      </c>
      <c r="L3480" s="308">
        <f>IFERROR(__xludf.DUMMYFUNCTION("""COMPUTED_VALUE"""),2016.0)</f>
        <v>2016</v>
      </c>
      <c r="M3480" s="308" t="s">
        <v>14225</v>
      </c>
      <c r="N3480" s="308"/>
      <c r="O3480" s="308"/>
      <c r="P3480" s="308" t="s">
        <v>14226</v>
      </c>
      <c r="Q3480" s="308" t="s">
        <v>36996</v>
      </c>
      <c r="R3480" s="308" t="s">
        <v>14221</v>
      </c>
      <c r="S3480" s="308" t="s">
        <v>81</v>
      </c>
      <c r="T3480" s="308" t="s">
        <v>75</v>
      </c>
      <c r="U3480" s="308" t="s">
        <v>872</v>
      </c>
      <c r="V3480" s="312"/>
    </row>
    <row r="3481">
      <c r="A3481" s="308">
        <v>3480.0</v>
      </c>
      <c r="B3481" s="308"/>
      <c r="C3481" s="308" t="s">
        <v>14227</v>
      </c>
      <c r="D3481" s="308">
        <f>IFERROR(__xludf.DUMMYFUNCTION("SPLIT(C3481,""-"")"),3501.0)</f>
        <v>3501</v>
      </c>
      <c r="E3481" s="308" t="str">
        <f>IFERROR(__xludf.DUMMYFUNCTION("""COMPUTED_VALUE"""),"F")</f>
        <v>F</v>
      </c>
      <c r="F3481" s="309" t="s">
        <v>34</v>
      </c>
      <c r="G3481" s="308"/>
      <c r="H3481" s="308" t="s">
        <v>14228</v>
      </c>
      <c r="I3481" s="310">
        <v>40727.0</v>
      </c>
      <c r="J3481" s="319">
        <f>IFERROR(__xludf.DUMMYFUNCTION("SPLIT(I3481,""/"")"),3.0)</f>
        <v>3</v>
      </c>
      <c r="K3481" s="308">
        <f>IFERROR(__xludf.DUMMYFUNCTION("""COMPUTED_VALUE"""),7.0)</f>
        <v>7</v>
      </c>
      <c r="L3481" s="308">
        <f>IFERROR(__xludf.DUMMYFUNCTION("""COMPUTED_VALUE"""),2011.0)</f>
        <v>2011</v>
      </c>
      <c r="M3481" s="308" t="s">
        <v>14229</v>
      </c>
      <c r="N3481" s="308"/>
      <c r="O3481" s="308" t="s">
        <v>635</v>
      </c>
      <c r="P3481" s="308" t="s">
        <v>37000</v>
      </c>
      <c r="Q3481" s="308" t="s">
        <v>36996</v>
      </c>
      <c r="R3481" s="308" t="s">
        <v>13594</v>
      </c>
      <c r="S3481" s="308" t="s">
        <v>81</v>
      </c>
      <c r="T3481" s="309" t="s">
        <v>61</v>
      </c>
      <c r="U3481" s="308" t="s">
        <v>195</v>
      </c>
      <c r="V3481" s="312"/>
    </row>
    <row r="3482">
      <c r="A3482" s="308">
        <v>3481.0</v>
      </c>
      <c r="B3482" s="308"/>
      <c r="C3482" s="308" t="s">
        <v>14231</v>
      </c>
      <c r="D3482" s="308">
        <f>IFERROR(__xludf.DUMMYFUNCTION("SPLIT(C3482,""-"")"),3502.0)</f>
        <v>3502</v>
      </c>
      <c r="E3482" s="308" t="str">
        <f>IFERROR(__xludf.DUMMYFUNCTION("""COMPUTED_VALUE"""),"K")</f>
        <v>K</v>
      </c>
      <c r="F3482" s="309" t="s">
        <v>34</v>
      </c>
      <c r="G3482" s="308"/>
      <c r="H3482" s="308" t="s">
        <v>14232</v>
      </c>
      <c r="I3482" s="310">
        <v>42439.0</v>
      </c>
      <c r="J3482" s="319">
        <f>IFERROR(__xludf.DUMMYFUNCTION("SPLIT(I3482,""/"")"),10.0)</f>
        <v>10</v>
      </c>
      <c r="K3482" s="308">
        <f>IFERROR(__xludf.DUMMYFUNCTION("""COMPUTED_VALUE"""),3.0)</f>
        <v>3</v>
      </c>
      <c r="L3482" s="308">
        <f>IFERROR(__xludf.DUMMYFUNCTION("""COMPUTED_VALUE"""),2016.0)</f>
        <v>2016</v>
      </c>
      <c r="M3482" s="308" t="s">
        <v>14233</v>
      </c>
      <c r="N3482" s="308"/>
      <c r="O3482" s="308" t="s">
        <v>14234</v>
      </c>
      <c r="P3482" s="308" t="s">
        <v>14235</v>
      </c>
      <c r="Q3482" s="308" t="s">
        <v>36996</v>
      </c>
      <c r="R3482" s="308" t="s">
        <v>14236</v>
      </c>
      <c r="S3482" s="308" t="s">
        <v>81</v>
      </c>
      <c r="T3482" s="308" t="s">
        <v>75</v>
      </c>
      <c r="U3482" s="308"/>
      <c r="V3482" s="312"/>
    </row>
    <row r="3483">
      <c r="A3483" s="308">
        <v>3482.0</v>
      </c>
      <c r="B3483" s="308"/>
      <c r="C3483" s="308" t="s">
        <v>14237</v>
      </c>
      <c r="D3483" s="308">
        <f>IFERROR(__xludf.DUMMYFUNCTION("SPLIT(C3483,""-"")"),3503.0)</f>
        <v>3503</v>
      </c>
      <c r="E3483" s="308" t="str">
        <f>IFERROR(__xludf.DUMMYFUNCTION("""COMPUTED_VALUE"""),"K")</f>
        <v>K</v>
      </c>
      <c r="F3483" s="309" t="s">
        <v>34</v>
      </c>
      <c r="G3483" s="308"/>
      <c r="H3483" s="308" t="s">
        <v>14238</v>
      </c>
      <c r="I3483" s="310">
        <v>41978.0</v>
      </c>
      <c r="J3483" s="319">
        <f>IFERROR(__xludf.DUMMYFUNCTION("SPLIT(I3483,""/"")"),5.0)</f>
        <v>5</v>
      </c>
      <c r="K3483" s="308">
        <f>IFERROR(__xludf.DUMMYFUNCTION("""COMPUTED_VALUE"""),12.0)</f>
        <v>12</v>
      </c>
      <c r="L3483" s="308">
        <f>IFERROR(__xludf.DUMMYFUNCTION("""COMPUTED_VALUE"""),2014.0)</f>
        <v>2014</v>
      </c>
      <c r="M3483" s="308" t="s">
        <v>14239</v>
      </c>
      <c r="N3483" s="308"/>
      <c r="O3483" s="308" t="s">
        <v>14240</v>
      </c>
      <c r="P3483" s="308" t="s">
        <v>37001</v>
      </c>
      <c r="Q3483" s="308" t="s">
        <v>36996</v>
      </c>
      <c r="R3483" s="308" t="s">
        <v>13770</v>
      </c>
      <c r="S3483" s="315" t="s">
        <v>100</v>
      </c>
      <c r="T3483" s="311" t="s">
        <v>34208</v>
      </c>
      <c r="U3483" s="308" t="s">
        <v>125</v>
      </c>
      <c r="V3483" s="312"/>
    </row>
    <row r="3484">
      <c r="A3484" s="308">
        <v>3483.0</v>
      </c>
      <c r="B3484" s="308"/>
      <c r="C3484" s="308" t="s">
        <v>14241</v>
      </c>
      <c r="D3484" s="308">
        <f>IFERROR(__xludf.DUMMYFUNCTION("SPLIT(C3484,""-"")"),3504.0)</f>
        <v>3504</v>
      </c>
      <c r="E3484" s="308" t="str">
        <f>IFERROR(__xludf.DUMMYFUNCTION("""COMPUTED_VALUE"""),"K")</f>
        <v>K</v>
      </c>
      <c r="F3484" s="309" t="s">
        <v>34</v>
      </c>
      <c r="G3484" s="308"/>
      <c r="H3484" s="308" t="s">
        <v>14242</v>
      </c>
      <c r="I3484" s="314">
        <v>42366.0</v>
      </c>
      <c r="J3484" s="319">
        <f>IFERROR(__xludf.DUMMYFUNCTION("SPLIT(I3484,""/"")"),28.0)</f>
        <v>28</v>
      </c>
      <c r="K3484" s="308">
        <f>IFERROR(__xludf.DUMMYFUNCTION("""COMPUTED_VALUE"""),12.0)</f>
        <v>12</v>
      </c>
      <c r="L3484" s="308">
        <f>IFERROR(__xludf.DUMMYFUNCTION("""COMPUTED_VALUE"""),2015.0)</f>
        <v>2015</v>
      </c>
      <c r="M3484" s="308" t="s">
        <v>14243</v>
      </c>
      <c r="N3484" s="308"/>
      <c r="O3484" s="308" t="s">
        <v>635</v>
      </c>
      <c r="P3484" s="308" t="s">
        <v>37002</v>
      </c>
      <c r="Q3484" s="308" t="s">
        <v>36996</v>
      </c>
      <c r="R3484" s="308" t="s">
        <v>14236</v>
      </c>
      <c r="S3484" s="308" t="s">
        <v>81</v>
      </c>
      <c r="T3484" s="308" t="s">
        <v>75</v>
      </c>
      <c r="U3484" s="312"/>
      <c r="V3484" s="312"/>
    </row>
    <row r="3485">
      <c r="A3485" s="308">
        <v>3484.0</v>
      </c>
      <c r="B3485" s="308"/>
      <c r="C3485" s="308" t="s">
        <v>14245</v>
      </c>
      <c r="D3485" s="308">
        <f>IFERROR(__xludf.DUMMYFUNCTION("SPLIT(C3485,""-"")"),3505.0)</f>
        <v>3505</v>
      </c>
      <c r="E3485" s="308" t="str">
        <f>IFERROR(__xludf.DUMMYFUNCTION("""COMPUTED_VALUE"""),"K")</f>
        <v>K</v>
      </c>
      <c r="F3485" s="309" t="s">
        <v>34</v>
      </c>
      <c r="G3485" s="308"/>
      <c r="H3485" s="308" t="s">
        <v>14246</v>
      </c>
      <c r="I3485" s="316">
        <v>2012.0</v>
      </c>
      <c r="J3485" s="319"/>
      <c r="K3485" s="308"/>
      <c r="L3485" s="311">
        <v>2012.0</v>
      </c>
      <c r="M3485" s="308" t="s">
        <v>14247</v>
      </c>
      <c r="N3485" s="308"/>
      <c r="O3485" s="308" t="s">
        <v>14248</v>
      </c>
      <c r="P3485" s="308" t="s">
        <v>5369</v>
      </c>
      <c r="Q3485" s="308" t="s">
        <v>36996</v>
      </c>
      <c r="R3485" s="308" t="s">
        <v>14236</v>
      </c>
      <c r="S3485" s="308" t="s">
        <v>49</v>
      </c>
      <c r="T3485" s="308" t="s">
        <v>51</v>
      </c>
      <c r="U3485" s="308" t="s">
        <v>2152</v>
      </c>
      <c r="V3485" s="312"/>
    </row>
    <row r="3486">
      <c r="A3486" s="308">
        <v>3485.0</v>
      </c>
      <c r="B3486" s="308"/>
      <c r="C3486" s="308" t="s">
        <v>14249</v>
      </c>
      <c r="D3486" s="308">
        <f>IFERROR(__xludf.DUMMYFUNCTION("SPLIT(C3486,""-"")"),3506.0)</f>
        <v>3506</v>
      </c>
      <c r="E3486" s="308" t="str">
        <f>IFERROR(__xludf.DUMMYFUNCTION("""COMPUTED_VALUE"""),"K")</f>
        <v>K</v>
      </c>
      <c r="F3486" s="309" t="s">
        <v>34</v>
      </c>
      <c r="G3486" s="308"/>
      <c r="H3486" s="308" t="s">
        <v>14250</v>
      </c>
      <c r="I3486" s="310">
        <v>41825.0</v>
      </c>
      <c r="J3486" s="319">
        <f>IFERROR(__xludf.DUMMYFUNCTION("SPLIT(I3486,""/"")"),5.0)</f>
        <v>5</v>
      </c>
      <c r="K3486" s="308">
        <f>IFERROR(__xludf.DUMMYFUNCTION("""COMPUTED_VALUE"""),7.0)</f>
        <v>7</v>
      </c>
      <c r="L3486" s="308">
        <f>IFERROR(__xludf.DUMMYFUNCTION("""COMPUTED_VALUE"""),2014.0)</f>
        <v>2014</v>
      </c>
      <c r="M3486" s="308" t="s">
        <v>14251</v>
      </c>
      <c r="N3486" s="308"/>
      <c r="O3486" s="308" t="s">
        <v>14252</v>
      </c>
      <c r="P3486" s="308" t="s">
        <v>37003</v>
      </c>
      <c r="Q3486" s="308" t="s">
        <v>36996</v>
      </c>
      <c r="R3486" s="308" t="s">
        <v>2743</v>
      </c>
      <c r="S3486" s="315" t="s">
        <v>100</v>
      </c>
      <c r="T3486" s="311" t="s">
        <v>34208</v>
      </c>
      <c r="U3486" s="308" t="s">
        <v>201</v>
      </c>
      <c r="V3486" s="312"/>
    </row>
    <row r="3487">
      <c r="A3487" s="308">
        <v>3486.0</v>
      </c>
      <c r="B3487" s="308"/>
      <c r="C3487" s="308" t="s">
        <v>14253</v>
      </c>
      <c r="D3487" s="308">
        <f>IFERROR(__xludf.DUMMYFUNCTION("SPLIT(C3487,""-"")"),3507.0)</f>
        <v>3507</v>
      </c>
      <c r="E3487" s="308" t="str">
        <f>IFERROR(__xludf.DUMMYFUNCTION("""COMPUTED_VALUE"""),"S")</f>
        <v>S</v>
      </c>
      <c r="F3487" s="312" t="s">
        <v>39</v>
      </c>
      <c r="G3487" s="308"/>
      <c r="H3487" s="308" t="s">
        <v>14254</v>
      </c>
      <c r="I3487" s="310">
        <v>42583.0</v>
      </c>
      <c r="J3487" s="319">
        <f>IFERROR(__xludf.DUMMYFUNCTION("SPLIT(I3487,""/"")"),1.0)</f>
        <v>1</v>
      </c>
      <c r="K3487" s="308">
        <f>IFERROR(__xludf.DUMMYFUNCTION("""COMPUTED_VALUE"""),8.0)</f>
        <v>8</v>
      </c>
      <c r="L3487" s="308">
        <f>IFERROR(__xludf.DUMMYFUNCTION("""COMPUTED_VALUE"""),2016.0)</f>
        <v>2016</v>
      </c>
      <c r="M3487" s="308" t="s">
        <v>14255</v>
      </c>
      <c r="N3487" s="308"/>
      <c r="O3487" s="308" t="s">
        <v>635</v>
      </c>
      <c r="P3487" s="308" t="s">
        <v>12369</v>
      </c>
      <c r="Q3487" s="308" t="s">
        <v>37004</v>
      </c>
      <c r="R3487" s="308" t="s">
        <v>14256</v>
      </c>
      <c r="S3487" s="308" t="s">
        <v>81</v>
      </c>
      <c r="T3487" s="308" t="s">
        <v>73</v>
      </c>
      <c r="U3487" s="308"/>
      <c r="V3487" s="312"/>
    </row>
    <row r="3488">
      <c r="A3488" s="308">
        <v>3487.0</v>
      </c>
      <c r="B3488" s="308"/>
      <c r="C3488" s="308" t="s">
        <v>14257</v>
      </c>
      <c r="D3488" s="308">
        <f>IFERROR(__xludf.DUMMYFUNCTION("SPLIT(C3488,""-"")"),3508.0)</f>
        <v>3508</v>
      </c>
      <c r="E3488" s="308" t="str">
        <f>IFERROR(__xludf.DUMMYFUNCTION("""COMPUTED_VALUE"""),"S")</f>
        <v>S</v>
      </c>
      <c r="F3488" s="312" t="s">
        <v>39</v>
      </c>
      <c r="G3488" s="308"/>
      <c r="H3488" s="308" t="s">
        <v>14258</v>
      </c>
      <c r="I3488" s="310">
        <v>42549.0</v>
      </c>
      <c r="J3488" s="319">
        <f>IFERROR(__xludf.DUMMYFUNCTION("SPLIT(I3488,""/"")"),28.0)</f>
        <v>28</v>
      </c>
      <c r="K3488" s="308">
        <f>IFERROR(__xludf.DUMMYFUNCTION("""COMPUTED_VALUE"""),6.0)</f>
        <v>6</v>
      </c>
      <c r="L3488" s="308">
        <f>IFERROR(__xludf.DUMMYFUNCTION("""COMPUTED_VALUE"""),2016.0)</f>
        <v>2016</v>
      </c>
      <c r="M3488" s="308" t="s">
        <v>14259</v>
      </c>
      <c r="N3488" s="308"/>
      <c r="O3488" s="308" t="s">
        <v>635</v>
      </c>
      <c r="P3488" s="308" t="s">
        <v>14260</v>
      </c>
      <c r="Q3488" s="308" t="s">
        <v>37004</v>
      </c>
      <c r="R3488" s="308" t="s">
        <v>14256</v>
      </c>
      <c r="S3488" s="308" t="s">
        <v>81</v>
      </c>
      <c r="T3488" s="308" t="s">
        <v>75</v>
      </c>
      <c r="U3488" s="308" t="s">
        <v>166</v>
      </c>
      <c r="V3488" s="312"/>
    </row>
    <row r="3489">
      <c r="A3489" s="308">
        <v>3488.0</v>
      </c>
      <c r="B3489" s="308"/>
      <c r="C3489" s="308" t="s">
        <v>14261</v>
      </c>
      <c r="D3489" s="308">
        <f>IFERROR(__xludf.DUMMYFUNCTION("SPLIT(C3489,""-"")"),3509.0)</f>
        <v>3509</v>
      </c>
      <c r="E3489" s="308" t="str">
        <f>IFERROR(__xludf.DUMMYFUNCTION("""COMPUTED_VALUE"""),"S")</f>
        <v>S</v>
      </c>
      <c r="F3489" s="312" t="s">
        <v>39</v>
      </c>
      <c r="G3489" s="308"/>
      <c r="H3489" s="308" t="s">
        <v>14262</v>
      </c>
      <c r="I3489" s="310">
        <v>42565.0</v>
      </c>
      <c r="J3489" s="319">
        <f>IFERROR(__xludf.DUMMYFUNCTION("SPLIT(I3489,""/"")"),14.0)</f>
        <v>14</v>
      </c>
      <c r="K3489" s="308">
        <f>IFERROR(__xludf.DUMMYFUNCTION("""COMPUTED_VALUE"""),7.0)</f>
        <v>7</v>
      </c>
      <c r="L3489" s="308">
        <f>IFERROR(__xludf.DUMMYFUNCTION("""COMPUTED_VALUE"""),2016.0)</f>
        <v>2016</v>
      </c>
      <c r="M3489" s="308" t="s">
        <v>14263</v>
      </c>
      <c r="N3489" s="308"/>
      <c r="O3489" s="308" t="s">
        <v>635</v>
      </c>
      <c r="P3489" s="308" t="s">
        <v>6973</v>
      </c>
      <c r="Q3489" s="308" t="s">
        <v>37004</v>
      </c>
      <c r="R3489" s="308" t="s">
        <v>14256</v>
      </c>
      <c r="S3489" s="308" t="s">
        <v>49</v>
      </c>
      <c r="T3489" s="308" t="s">
        <v>67</v>
      </c>
      <c r="U3489" s="308" t="s">
        <v>166</v>
      </c>
      <c r="V3489" s="312"/>
    </row>
    <row r="3490">
      <c r="A3490" s="308">
        <v>3489.0</v>
      </c>
      <c r="B3490" s="308"/>
      <c r="C3490" s="308" t="s">
        <v>14264</v>
      </c>
      <c r="D3490" s="308">
        <f>IFERROR(__xludf.DUMMYFUNCTION("SPLIT(C3490,""-"")"),3510.0)</f>
        <v>3510</v>
      </c>
      <c r="E3490" s="308" t="str">
        <f>IFERROR(__xludf.DUMMYFUNCTION("""COMPUTED_VALUE"""),"S")</f>
        <v>S</v>
      </c>
      <c r="F3490" s="312" t="s">
        <v>39</v>
      </c>
      <c r="G3490" s="308"/>
      <c r="H3490" s="308" t="s">
        <v>14265</v>
      </c>
      <c r="I3490" s="310">
        <v>42568.0</v>
      </c>
      <c r="J3490" s="319">
        <f>IFERROR(__xludf.DUMMYFUNCTION("SPLIT(I3490,""/"")"),17.0)</f>
        <v>17</v>
      </c>
      <c r="K3490" s="308">
        <f>IFERROR(__xludf.DUMMYFUNCTION("""COMPUTED_VALUE"""),7.0)</f>
        <v>7</v>
      </c>
      <c r="L3490" s="308">
        <f>IFERROR(__xludf.DUMMYFUNCTION("""COMPUTED_VALUE"""),2016.0)</f>
        <v>2016</v>
      </c>
      <c r="M3490" s="308" t="s">
        <v>37005</v>
      </c>
      <c r="N3490" s="308"/>
      <c r="O3490" s="308" t="s">
        <v>635</v>
      </c>
      <c r="P3490" s="308" t="s">
        <v>14267</v>
      </c>
      <c r="Q3490" s="308" t="s">
        <v>37004</v>
      </c>
      <c r="R3490" s="308" t="s">
        <v>14256</v>
      </c>
      <c r="S3490" s="308" t="s">
        <v>81</v>
      </c>
      <c r="T3490" s="308" t="s">
        <v>75</v>
      </c>
      <c r="U3490" s="308" t="s">
        <v>166</v>
      </c>
      <c r="V3490" s="312"/>
    </row>
    <row r="3491">
      <c r="A3491" s="308">
        <v>3490.0</v>
      </c>
      <c r="B3491" s="308"/>
      <c r="C3491" s="308" t="s">
        <v>14268</v>
      </c>
      <c r="D3491" s="308">
        <f>IFERROR(__xludf.DUMMYFUNCTION("SPLIT(C3491,""-"")"),3511.0)</f>
        <v>3511</v>
      </c>
      <c r="E3491" s="308" t="str">
        <f>IFERROR(__xludf.DUMMYFUNCTION("""COMPUTED_VALUE"""),"S")</f>
        <v>S</v>
      </c>
      <c r="F3491" s="312" t="s">
        <v>39</v>
      </c>
      <c r="G3491" s="308"/>
      <c r="H3491" s="308" t="s">
        <v>14269</v>
      </c>
      <c r="I3491" s="310">
        <v>42568.0</v>
      </c>
      <c r="J3491" s="319">
        <f>IFERROR(__xludf.DUMMYFUNCTION("SPLIT(I3491,""/"")"),17.0)</f>
        <v>17</v>
      </c>
      <c r="K3491" s="308">
        <f>IFERROR(__xludf.DUMMYFUNCTION("""COMPUTED_VALUE"""),7.0)</f>
        <v>7</v>
      </c>
      <c r="L3491" s="308">
        <f>IFERROR(__xludf.DUMMYFUNCTION("""COMPUTED_VALUE"""),2016.0)</f>
        <v>2016</v>
      </c>
      <c r="M3491" s="308" t="s">
        <v>14270</v>
      </c>
      <c r="N3491" s="308"/>
      <c r="O3491" s="308" t="s">
        <v>635</v>
      </c>
      <c r="P3491" s="308" t="s">
        <v>14271</v>
      </c>
      <c r="Q3491" s="308" t="s">
        <v>37004</v>
      </c>
      <c r="R3491" s="308" t="s">
        <v>14256</v>
      </c>
      <c r="S3491" s="308" t="s">
        <v>81</v>
      </c>
      <c r="T3491" s="308" t="s">
        <v>75</v>
      </c>
      <c r="U3491" s="308" t="s">
        <v>166</v>
      </c>
      <c r="V3491" s="312"/>
    </row>
    <row r="3492">
      <c r="A3492" s="308">
        <v>3491.0</v>
      </c>
      <c r="B3492" s="308"/>
      <c r="C3492" s="308" t="s">
        <v>14272</v>
      </c>
      <c r="D3492" s="308">
        <f>IFERROR(__xludf.DUMMYFUNCTION("SPLIT(C3492,""-"")"),3512.0)</f>
        <v>3512</v>
      </c>
      <c r="E3492" s="308" t="str">
        <f>IFERROR(__xludf.DUMMYFUNCTION("""COMPUTED_VALUE"""),"S")</f>
        <v>S</v>
      </c>
      <c r="F3492" s="312" t="s">
        <v>39</v>
      </c>
      <c r="G3492" s="308"/>
      <c r="H3492" s="308" t="s">
        <v>14273</v>
      </c>
      <c r="I3492" s="310">
        <v>42568.0</v>
      </c>
      <c r="J3492" s="319">
        <f>IFERROR(__xludf.DUMMYFUNCTION("SPLIT(I3492,""/"")"),17.0)</f>
        <v>17</v>
      </c>
      <c r="K3492" s="308">
        <f>IFERROR(__xludf.DUMMYFUNCTION("""COMPUTED_VALUE"""),7.0)</f>
        <v>7</v>
      </c>
      <c r="L3492" s="308">
        <f>IFERROR(__xludf.DUMMYFUNCTION("""COMPUTED_VALUE"""),2016.0)</f>
        <v>2016</v>
      </c>
      <c r="M3492" s="308" t="s">
        <v>14274</v>
      </c>
      <c r="N3492" s="308"/>
      <c r="O3492" s="308" t="s">
        <v>635</v>
      </c>
      <c r="P3492" s="308" t="s">
        <v>14124</v>
      </c>
      <c r="Q3492" s="308" t="s">
        <v>37004</v>
      </c>
      <c r="R3492" s="308" t="s">
        <v>14256</v>
      </c>
      <c r="S3492" s="308" t="s">
        <v>81</v>
      </c>
      <c r="T3492" s="311" t="s">
        <v>91</v>
      </c>
      <c r="U3492" s="308" t="s">
        <v>166</v>
      </c>
      <c r="V3492" s="312"/>
    </row>
    <row r="3493">
      <c r="A3493" s="308">
        <v>3492.0</v>
      </c>
      <c r="B3493" s="308"/>
      <c r="C3493" s="308" t="s">
        <v>14275</v>
      </c>
      <c r="D3493" s="308">
        <f>IFERROR(__xludf.DUMMYFUNCTION("SPLIT(C3493,""-"")"),3513.0)</f>
        <v>3513</v>
      </c>
      <c r="E3493" s="308" t="str">
        <f>IFERROR(__xludf.DUMMYFUNCTION("""COMPUTED_VALUE"""),"S")</f>
        <v>S</v>
      </c>
      <c r="F3493" s="312" t="s">
        <v>39</v>
      </c>
      <c r="G3493" s="308"/>
      <c r="H3493" s="308" t="s">
        <v>14276</v>
      </c>
      <c r="I3493" s="310">
        <v>42568.0</v>
      </c>
      <c r="J3493" s="319">
        <f>IFERROR(__xludf.DUMMYFUNCTION("SPLIT(I3493,""/"")"),17.0)</f>
        <v>17</v>
      </c>
      <c r="K3493" s="308">
        <f>IFERROR(__xludf.DUMMYFUNCTION("""COMPUTED_VALUE"""),7.0)</f>
        <v>7</v>
      </c>
      <c r="L3493" s="308">
        <f>IFERROR(__xludf.DUMMYFUNCTION("""COMPUTED_VALUE"""),2016.0)</f>
        <v>2016</v>
      </c>
      <c r="M3493" s="308" t="s">
        <v>14277</v>
      </c>
      <c r="N3493" s="308"/>
      <c r="O3493" s="308" t="s">
        <v>635</v>
      </c>
      <c r="P3493" s="308" t="s">
        <v>12369</v>
      </c>
      <c r="Q3493" s="308" t="s">
        <v>37004</v>
      </c>
      <c r="R3493" s="308" t="s">
        <v>14256</v>
      </c>
      <c r="S3493" s="308" t="s">
        <v>81</v>
      </c>
      <c r="T3493" s="308" t="s">
        <v>73</v>
      </c>
      <c r="U3493" s="308" t="s">
        <v>166</v>
      </c>
      <c r="V3493" s="312"/>
    </row>
    <row r="3494">
      <c r="A3494" s="308">
        <v>3493.0</v>
      </c>
      <c r="B3494" s="308"/>
      <c r="C3494" s="308" t="s">
        <v>14278</v>
      </c>
      <c r="D3494" s="308">
        <f>IFERROR(__xludf.DUMMYFUNCTION("SPLIT(C3494,""-"")"),3514.0)</f>
        <v>3514</v>
      </c>
      <c r="E3494" s="308" t="str">
        <f>IFERROR(__xludf.DUMMYFUNCTION("""COMPUTED_VALUE"""),"S")</f>
        <v>S</v>
      </c>
      <c r="F3494" s="312" t="s">
        <v>39</v>
      </c>
      <c r="G3494" s="308"/>
      <c r="H3494" s="308" t="s">
        <v>14279</v>
      </c>
      <c r="I3494" s="310">
        <v>42553.0</v>
      </c>
      <c r="J3494" s="319">
        <f>IFERROR(__xludf.DUMMYFUNCTION("SPLIT(I3494,""/"")"),2.0)</f>
        <v>2</v>
      </c>
      <c r="K3494" s="308">
        <f>IFERROR(__xludf.DUMMYFUNCTION("""COMPUTED_VALUE"""),7.0)</f>
        <v>7</v>
      </c>
      <c r="L3494" s="308">
        <f>IFERROR(__xludf.DUMMYFUNCTION("""COMPUTED_VALUE"""),2016.0)</f>
        <v>2016</v>
      </c>
      <c r="M3494" s="308" t="s">
        <v>14280</v>
      </c>
      <c r="N3494" s="308"/>
      <c r="O3494" s="308" t="s">
        <v>635</v>
      </c>
      <c r="P3494" s="308" t="s">
        <v>12369</v>
      </c>
      <c r="Q3494" s="308" t="s">
        <v>37004</v>
      </c>
      <c r="R3494" s="308" t="s">
        <v>14256</v>
      </c>
      <c r="S3494" s="308" t="s">
        <v>81</v>
      </c>
      <c r="T3494" s="308" t="s">
        <v>73</v>
      </c>
      <c r="U3494" s="308" t="s">
        <v>166</v>
      </c>
      <c r="V3494" s="312"/>
    </row>
    <row r="3495">
      <c r="A3495" s="308">
        <v>3494.0</v>
      </c>
      <c r="B3495" s="308"/>
      <c r="C3495" s="308" t="s">
        <v>14281</v>
      </c>
      <c r="D3495" s="308">
        <f>IFERROR(__xludf.DUMMYFUNCTION("SPLIT(C3495,""-"")"),3515.0)</f>
        <v>3515</v>
      </c>
      <c r="E3495" s="308" t="str">
        <f>IFERROR(__xludf.DUMMYFUNCTION("""COMPUTED_VALUE"""),"S")</f>
        <v>S</v>
      </c>
      <c r="F3495" s="312" t="s">
        <v>39</v>
      </c>
      <c r="G3495" s="308"/>
      <c r="H3495" s="308" t="s">
        <v>14282</v>
      </c>
      <c r="I3495" s="310">
        <v>42555.0</v>
      </c>
      <c r="J3495" s="319">
        <f>IFERROR(__xludf.DUMMYFUNCTION("SPLIT(I3495,""/"")"),4.0)</f>
        <v>4</v>
      </c>
      <c r="K3495" s="308">
        <f>IFERROR(__xludf.DUMMYFUNCTION("""COMPUTED_VALUE"""),7.0)</f>
        <v>7</v>
      </c>
      <c r="L3495" s="308">
        <f>IFERROR(__xludf.DUMMYFUNCTION("""COMPUTED_VALUE"""),2016.0)</f>
        <v>2016</v>
      </c>
      <c r="M3495" s="308" t="s">
        <v>14283</v>
      </c>
      <c r="N3495" s="308"/>
      <c r="O3495" s="308" t="s">
        <v>635</v>
      </c>
      <c r="P3495" s="308" t="s">
        <v>37006</v>
      </c>
      <c r="Q3495" s="308" t="s">
        <v>37004</v>
      </c>
      <c r="R3495" s="312"/>
      <c r="S3495" s="308" t="s">
        <v>81</v>
      </c>
      <c r="T3495" s="308" t="s">
        <v>75</v>
      </c>
      <c r="U3495" s="308" t="s">
        <v>166</v>
      </c>
      <c r="V3495" s="312"/>
    </row>
    <row r="3496">
      <c r="A3496" s="308">
        <v>3495.0</v>
      </c>
      <c r="B3496" s="308"/>
      <c r="C3496" s="308" t="s">
        <v>14285</v>
      </c>
      <c r="D3496" s="308">
        <f>IFERROR(__xludf.DUMMYFUNCTION("SPLIT(C3496,""-"")"),3516.0)</f>
        <v>3516</v>
      </c>
      <c r="E3496" s="308" t="str">
        <f>IFERROR(__xludf.DUMMYFUNCTION("""COMPUTED_VALUE"""),"S")</f>
        <v>S</v>
      </c>
      <c r="F3496" s="312" t="s">
        <v>39</v>
      </c>
      <c r="G3496" s="308"/>
      <c r="H3496" s="308" t="s">
        <v>14286</v>
      </c>
      <c r="I3496" s="310">
        <v>42555.0</v>
      </c>
      <c r="J3496" s="319">
        <f>IFERROR(__xludf.DUMMYFUNCTION("SPLIT(I3496,""/"")"),4.0)</f>
        <v>4</v>
      </c>
      <c r="K3496" s="308">
        <f>IFERROR(__xludf.DUMMYFUNCTION("""COMPUTED_VALUE"""),7.0)</f>
        <v>7</v>
      </c>
      <c r="L3496" s="308">
        <f>IFERROR(__xludf.DUMMYFUNCTION("""COMPUTED_VALUE"""),2016.0)</f>
        <v>2016</v>
      </c>
      <c r="M3496" s="308" t="s">
        <v>14287</v>
      </c>
      <c r="N3496" s="308"/>
      <c r="O3496" s="308" t="s">
        <v>635</v>
      </c>
      <c r="P3496" s="308" t="s">
        <v>37007</v>
      </c>
      <c r="Q3496" s="308" t="s">
        <v>37004</v>
      </c>
      <c r="R3496" s="308" t="s">
        <v>14256</v>
      </c>
      <c r="S3496" s="308" t="s">
        <v>81</v>
      </c>
      <c r="T3496" s="308" t="s">
        <v>75</v>
      </c>
      <c r="U3496" s="312"/>
      <c r="V3496" s="312"/>
    </row>
    <row r="3497">
      <c r="A3497" s="308">
        <v>3496.0</v>
      </c>
      <c r="B3497" s="308"/>
      <c r="C3497" s="308" t="s">
        <v>14289</v>
      </c>
      <c r="D3497" s="308">
        <f>IFERROR(__xludf.DUMMYFUNCTION("SPLIT(C3497,""-"")"),3517.0)</f>
        <v>3517</v>
      </c>
      <c r="E3497" s="308" t="str">
        <f>IFERROR(__xludf.DUMMYFUNCTION("""COMPUTED_VALUE"""),"S")</f>
        <v>S</v>
      </c>
      <c r="F3497" s="312" t="s">
        <v>39</v>
      </c>
      <c r="G3497" s="308"/>
      <c r="H3497" s="308" t="s">
        <v>14290</v>
      </c>
      <c r="I3497" s="310">
        <v>42555.0</v>
      </c>
      <c r="J3497" s="319">
        <f>IFERROR(__xludf.DUMMYFUNCTION("SPLIT(I3497,""/"")"),4.0)</f>
        <v>4</v>
      </c>
      <c r="K3497" s="308">
        <f>IFERROR(__xludf.DUMMYFUNCTION("""COMPUTED_VALUE"""),7.0)</f>
        <v>7</v>
      </c>
      <c r="L3497" s="308">
        <f>IFERROR(__xludf.DUMMYFUNCTION("""COMPUTED_VALUE"""),2016.0)</f>
        <v>2016</v>
      </c>
      <c r="M3497" s="308" t="s">
        <v>14291</v>
      </c>
      <c r="N3497" s="308"/>
      <c r="O3497" s="308" t="s">
        <v>635</v>
      </c>
      <c r="P3497" s="308" t="s">
        <v>14292</v>
      </c>
      <c r="Q3497" s="308" t="s">
        <v>37004</v>
      </c>
      <c r="R3497" s="308" t="s">
        <v>14256</v>
      </c>
      <c r="S3497" s="311" t="s">
        <v>49</v>
      </c>
      <c r="T3497" s="309" t="s">
        <v>69</v>
      </c>
      <c r="U3497" s="312"/>
      <c r="V3497" s="312"/>
    </row>
    <row r="3498">
      <c r="A3498" s="308">
        <v>3497.0</v>
      </c>
      <c r="B3498" s="308"/>
      <c r="C3498" s="308" t="s">
        <v>14293</v>
      </c>
      <c r="D3498" s="308">
        <f>IFERROR(__xludf.DUMMYFUNCTION("SPLIT(C3498,""-"")"),3518.0)</f>
        <v>3518</v>
      </c>
      <c r="E3498" s="308" t="str">
        <f>IFERROR(__xludf.DUMMYFUNCTION("""COMPUTED_VALUE"""),"S")</f>
        <v>S</v>
      </c>
      <c r="F3498" s="312" t="s">
        <v>39</v>
      </c>
      <c r="G3498" s="308"/>
      <c r="H3498" s="308" t="s">
        <v>14294</v>
      </c>
      <c r="I3498" s="310">
        <v>42560.0</v>
      </c>
      <c r="J3498" s="319">
        <f>IFERROR(__xludf.DUMMYFUNCTION("SPLIT(I3498,""/"")"),9.0)</f>
        <v>9</v>
      </c>
      <c r="K3498" s="308">
        <f>IFERROR(__xludf.DUMMYFUNCTION("""COMPUTED_VALUE"""),7.0)</f>
        <v>7</v>
      </c>
      <c r="L3498" s="308">
        <f>IFERROR(__xludf.DUMMYFUNCTION("""COMPUTED_VALUE"""),2016.0)</f>
        <v>2016</v>
      </c>
      <c r="M3498" s="308" t="s">
        <v>14295</v>
      </c>
      <c r="N3498" s="308"/>
      <c r="O3498" s="308" t="s">
        <v>635</v>
      </c>
      <c r="P3498" s="308" t="s">
        <v>6778</v>
      </c>
      <c r="Q3498" s="308" t="s">
        <v>37004</v>
      </c>
      <c r="R3498" s="308" t="s">
        <v>14256</v>
      </c>
      <c r="S3498" s="311" t="s">
        <v>49</v>
      </c>
      <c r="T3498" s="309" t="s">
        <v>67</v>
      </c>
      <c r="U3498" s="312"/>
      <c r="V3498" s="312"/>
    </row>
    <row r="3499">
      <c r="A3499" s="308">
        <v>3498.0</v>
      </c>
      <c r="B3499" s="308"/>
      <c r="C3499" s="308" t="s">
        <v>14296</v>
      </c>
      <c r="D3499" s="308">
        <f>IFERROR(__xludf.DUMMYFUNCTION("SPLIT(C3499,""-"")"),3519.0)</f>
        <v>3519</v>
      </c>
      <c r="E3499" s="308" t="str">
        <f>IFERROR(__xludf.DUMMYFUNCTION("""COMPUTED_VALUE"""),"S")</f>
        <v>S</v>
      </c>
      <c r="F3499" s="312" t="s">
        <v>39</v>
      </c>
      <c r="G3499" s="308"/>
      <c r="H3499" s="308" t="s">
        <v>37008</v>
      </c>
      <c r="I3499" s="310">
        <v>42560.0</v>
      </c>
      <c r="J3499" s="319">
        <f>IFERROR(__xludf.DUMMYFUNCTION("SPLIT(I3499,""/"")"),9.0)</f>
        <v>9</v>
      </c>
      <c r="K3499" s="308">
        <f>IFERROR(__xludf.DUMMYFUNCTION("""COMPUTED_VALUE"""),7.0)</f>
        <v>7</v>
      </c>
      <c r="L3499" s="308">
        <f>IFERROR(__xludf.DUMMYFUNCTION("""COMPUTED_VALUE"""),2016.0)</f>
        <v>2016</v>
      </c>
      <c r="M3499" s="308" t="s">
        <v>14295</v>
      </c>
      <c r="N3499" s="308"/>
      <c r="O3499" s="308" t="s">
        <v>635</v>
      </c>
      <c r="P3499" s="308" t="s">
        <v>6778</v>
      </c>
      <c r="Q3499" s="308" t="s">
        <v>37004</v>
      </c>
      <c r="R3499" s="308" t="s">
        <v>14256</v>
      </c>
      <c r="S3499" s="311" t="s">
        <v>49</v>
      </c>
      <c r="T3499" s="309" t="s">
        <v>67</v>
      </c>
      <c r="U3499" s="312"/>
      <c r="V3499" s="312"/>
    </row>
    <row r="3500">
      <c r="A3500" s="308">
        <v>3499.0</v>
      </c>
      <c r="B3500" s="308"/>
      <c r="C3500" s="308" t="s">
        <v>14298</v>
      </c>
      <c r="D3500" s="308">
        <f>IFERROR(__xludf.DUMMYFUNCTION("SPLIT(C3500,""-"")"),3520.0)</f>
        <v>3520</v>
      </c>
      <c r="E3500" s="308" t="str">
        <f>IFERROR(__xludf.DUMMYFUNCTION("""COMPUTED_VALUE"""),"P")</f>
        <v>P</v>
      </c>
      <c r="F3500" s="312" t="s">
        <v>37</v>
      </c>
      <c r="G3500" s="308"/>
      <c r="H3500" s="308" t="s">
        <v>14299</v>
      </c>
      <c r="I3500" s="310">
        <v>42339.0</v>
      </c>
      <c r="J3500" s="319">
        <f>IFERROR(__xludf.DUMMYFUNCTION("SPLIT(I3500,""/"")"),1.0)</f>
        <v>1</v>
      </c>
      <c r="K3500" s="308">
        <f>IFERROR(__xludf.DUMMYFUNCTION("""COMPUTED_VALUE"""),12.0)</f>
        <v>12</v>
      </c>
      <c r="L3500" s="308">
        <f>IFERROR(__xludf.DUMMYFUNCTION("""COMPUTED_VALUE"""),2015.0)</f>
        <v>2015</v>
      </c>
      <c r="M3500" s="308" t="s">
        <v>14300</v>
      </c>
      <c r="N3500" s="308"/>
      <c r="O3500" s="308" t="s">
        <v>14301</v>
      </c>
      <c r="P3500" s="308" t="s">
        <v>37009</v>
      </c>
      <c r="Q3500" s="308" t="s">
        <v>37010</v>
      </c>
      <c r="R3500" s="308" t="s">
        <v>2743</v>
      </c>
      <c r="S3500" s="308" t="s">
        <v>81</v>
      </c>
      <c r="T3500" s="308" t="s">
        <v>63</v>
      </c>
      <c r="U3500" s="308" t="s">
        <v>143</v>
      </c>
      <c r="V3500" s="312"/>
    </row>
    <row r="3501">
      <c r="A3501" s="308">
        <v>3500.0</v>
      </c>
      <c r="B3501" s="308"/>
      <c r="C3501" s="308" t="s">
        <v>14303</v>
      </c>
      <c r="D3501" s="308">
        <f>IFERROR(__xludf.DUMMYFUNCTION("SPLIT(C3501,""-"")"),3521.0)</f>
        <v>3521</v>
      </c>
      <c r="E3501" s="308" t="str">
        <f>IFERROR(__xludf.DUMMYFUNCTION("""COMPUTED_VALUE"""),"I")</f>
        <v>I</v>
      </c>
      <c r="F3501" s="309" t="s">
        <v>31</v>
      </c>
      <c r="G3501" s="308"/>
      <c r="H3501" s="308" t="s">
        <v>14304</v>
      </c>
      <c r="I3501" s="310">
        <v>42052.0</v>
      </c>
      <c r="J3501" s="319">
        <f>IFERROR(__xludf.DUMMYFUNCTION("SPLIT(I3501,""/"")"),17.0)</f>
        <v>17</v>
      </c>
      <c r="K3501" s="308">
        <f>IFERROR(__xludf.DUMMYFUNCTION("""COMPUTED_VALUE"""),2.0)</f>
        <v>2</v>
      </c>
      <c r="L3501" s="308">
        <f>IFERROR(__xludf.DUMMYFUNCTION("""COMPUTED_VALUE"""),2015.0)</f>
        <v>2015</v>
      </c>
      <c r="M3501" s="308" t="s">
        <v>14300</v>
      </c>
      <c r="N3501" s="308"/>
      <c r="O3501" s="308" t="s">
        <v>14305</v>
      </c>
      <c r="P3501" s="308" t="s">
        <v>14306</v>
      </c>
      <c r="Q3501" s="308" t="s">
        <v>37010</v>
      </c>
      <c r="R3501" s="308" t="s">
        <v>2743</v>
      </c>
      <c r="S3501" s="308" t="s">
        <v>81</v>
      </c>
      <c r="T3501" s="308" t="s">
        <v>75</v>
      </c>
      <c r="U3501" s="308" t="s">
        <v>31</v>
      </c>
      <c r="V3501" s="312"/>
    </row>
    <row r="3502">
      <c r="A3502" s="308">
        <v>3501.0</v>
      </c>
      <c r="B3502" s="308"/>
      <c r="C3502" s="308" t="s">
        <v>14307</v>
      </c>
      <c r="D3502" s="308">
        <f>IFERROR(__xludf.DUMMYFUNCTION("SPLIT(C3502,""-"")"),3522.0)</f>
        <v>3522</v>
      </c>
      <c r="E3502" s="308" t="str">
        <f>IFERROR(__xludf.DUMMYFUNCTION("""COMPUTED_VALUE"""),"B")</f>
        <v>B</v>
      </c>
      <c r="F3502" s="315" t="s">
        <v>26</v>
      </c>
      <c r="G3502" s="308" t="s">
        <v>14308</v>
      </c>
      <c r="H3502" s="308" t="s">
        <v>14309</v>
      </c>
      <c r="I3502" s="322"/>
      <c r="J3502" s="319"/>
      <c r="K3502" s="308"/>
      <c r="L3502" s="311" t="s">
        <v>79</v>
      </c>
      <c r="M3502" s="308" t="s">
        <v>14310</v>
      </c>
      <c r="N3502" s="308"/>
      <c r="O3502" s="308" t="s">
        <v>635</v>
      </c>
      <c r="P3502" s="308" t="s">
        <v>37011</v>
      </c>
      <c r="Q3502" s="308" t="s">
        <v>37010</v>
      </c>
      <c r="R3502" s="308" t="s">
        <v>13890</v>
      </c>
      <c r="S3502" s="308" t="s">
        <v>49</v>
      </c>
      <c r="T3502" s="308" t="s">
        <v>51</v>
      </c>
      <c r="U3502" s="308" t="s">
        <v>27</v>
      </c>
      <c r="V3502" s="312"/>
    </row>
    <row r="3503">
      <c r="A3503" s="308">
        <v>3502.0</v>
      </c>
      <c r="B3503" s="308"/>
      <c r="C3503" s="308" t="s">
        <v>14312</v>
      </c>
      <c r="D3503" s="308">
        <f>IFERROR(__xludf.DUMMYFUNCTION("SPLIT(C3503,""-"")"),3523.0)</f>
        <v>3523</v>
      </c>
      <c r="E3503" s="308" t="str">
        <f>IFERROR(__xludf.DUMMYFUNCTION("""COMPUTED_VALUE"""),"K")</f>
        <v>K</v>
      </c>
      <c r="F3503" s="309" t="s">
        <v>34</v>
      </c>
      <c r="G3503" s="308"/>
      <c r="H3503" s="308" t="s">
        <v>14313</v>
      </c>
      <c r="I3503" s="310">
        <v>42453.0</v>
      </c>
      <c r="J3503" s="319">
        <f>IFERROR(__xludf.DUMMYFUNCTION("SPLIT(I3503,""/"")"),24.0)</f>
        <v>24</v>
      </c>
      <c r="K3503" s="308">
        <f>IFERROR(__xludf.DUMMYFUNCTION("""COMPUTED_VALUE"""),3.0)</f>
        <v>3</v>
      </c>
      <c r="L3503" s="308">
        <f>IFERROR(__xludf.DUMMYFUNCTION("""COMPUTED_VALUE"""),2016.0)</f>
        <v>2016</v>
      </c>
      <c r="M3503" s="308" t="s">
        <v>14314</v>
      </c>
      <c r="N3503" s="308"/>
      <c r="O3503" s="308"/>
      <c r="P3503" s="308" t="s">
        <v>37012</v>
      </c>
      <c r="Q3503" s="308" t="s">
        <v>36978</v>
      </c>
      <c r="R3503" s="308" t="s">
        <v>2743</v>
      </c>
      <c r="S3503" s="315" t="s">
        <v>100</v>
      </c>
      <c r="T3503" s="311" t="s">
        <v>34208</v>
      </c>
      <c r="U3503" s="308" t="s">
        <v>125</v>
      </c>
      <c r="V3503" s="312"/>
    </row>
    <row r="3504">
      <c r="A3504" s="308">
        <v>3503.0</v>
      </c>
      <c r="B3504" s="308"/>
      <c r="C3504" s="308" t="s">
        <v>14315</v>
      </c>
      <c r="D3504" s="308">
        <f>IFERROR(__xludf.DUMMYFUNCTION("SPLIT(C3504,""-"")"),3524.0)</f>
        <v>3524</v>
      </c>
      <c r="E3504" s="308" t="str">
        <f>IFERROR(__xludf.DUMMYFUNCTION("""COMPUTED_VALUE"""),"F")</f>
        <v>F</v>
      </c>
      <c r="F3504" s="309" t="s">
        <v>34</v>
      </c>
      <c r="G3504" s="308"/>
      <c r="H3504" s="308" t="s">
        <v>14316</v>
      </c>
      <c r="I3504" s="316" t="s">
        <v>14317</v>
      </c>
      <c r="J3504" s="319">
        <f>IFERROR(__xludf.DUMMYFUNCTION("SPLIT(I3504,""/"")"),31.0)</f>
        <v>31</v>
      </c>
      <c r="K3504" s="308">
        <f>IFERROR(__xludf.DUMMYFUNCTION("""COMPUTED_VALUE"""),6.0)</f>
        <v>6</v>
      </c>
      <c r="L3504" s="308">
        <f>IFERROR(__xludf.DUMMYFUNCTION("""COMPUTED_VALUE"""),2016.0)</f>
        <v>2016</v>
      </c>
      <c r="M3504" s="308" t="s">
        <v>14318</v>
      </c>
      <c r="N3504" s="308"/>
      <c r="O3504" s="308" t="s">
        <v>635</v>
      </c>
      <c r="P3504" s="308" t="s">
        <v>14319</v>
      </c>
      <c r="Q3504" s="308" t="s">
        <v>36978</v>
      </c>
      <c r="R3504" s="308" t="s">
        <v>2743</v>
      </c>
      <c r="S3504" s="308" t="s">
        <v>81</v>
      </c>
      <c r="T3504" s="308" t="s">
        <v>75</v>
      </c>
      <c r="U3504" s="308"/>
      <c r="V3504" s="312"/>
    </row>
    <row r="3505">
      <c r="A3505" s="308">
        <v>3504.0</v>
      </c>
      <c r="B3505" s="308"/>
      <c r="C3505" s="308" t="s">
        <v>14320</v>
      </c>
      <c r="D3505" s="308">
        <f>IFERROR(__xludf.DUMMYFUNCTION("SPLIT(C3505,""-"")"),3525.0)</f>
        <v>3525</v>
      </c>
      <c r="E3505" s="308" t="str">
        <f>IFERROR(__xludf.DUMMYFUNCTION("""COMPUTED_VALUE"""),"F")</f>
        <v>F</v>
      </c>
      <c r="F3505" s="309" t="s">
        <v>34</v>
      </c>
      <c r="G3505" s="308"/>
      <c r="H3505" s="308" t="s">
        <v>14321</v>
      </c>
      <c r="I3505" s="316" t="s">
        <v>14317</v>
      </c>
      <c r="J3505" s="319">
        <f>IFERROR(__xludf.DUMMYFUNCTION("SPLIT(I3505,""/"")"),31.0)</f>
        <v>31</v>
      </c>
      <c r="K3505" s="308">
        <f>IFERROR(__xludf.DUMMYFUNCTION("""COMPUTED_VALUE"""),6.0)</f>
        <v>6</v>
      </c>
      <c r="L3505" s="308">
        <f>IFERROR(__xludf.DUMMYFUNCTION("""COMPUTED_VALUE"""),2016.0)</f>
        <v>2016</v>
      </c>
      <c r="M3505" s="308" t="s">
        <v>14322</v>
      </c>
      <c r="N3505" s="308"/>
      <c r="O3505" s="308" t="s">
        <v>635</v>
      </c>
      <c r="P3505" s="308" t="s">
        <v>14323</v>
      </c>
      <c r="Q3505" s="308" t="s">
        <v>36978</v>
      </c>
      <c r="R3505" s="308" t="s">
        <v>2743</v>
      </c>
      <c r="S3505" s="308" t="s">
        <v>81</v>
      </c>
      <c r="T3505" s="308" t="s">
        <v>73</v>
      </c>
      <c r="U3505" s="308"/>
      <c r="V3505" s="312"/>
    </row>
    <row r="3506">
      <c r="A3506" s="308">
        <v>3505.0</v>
      </c>
      <c r="B3506" s="308"/>
      <c r="C3506" s="308" t="s">
        <v>14324</v>
      </c>
      <c r="D3506" s="308">
        <f>IFERROR(__xludf.DUMMYFUNCTION("SPLIT(C3506,""-"")"),3526.0)</f>
        <v>3526</v>
      </c>
      <c r="E3506" s="308" t="str">
        <f>IFERROR(__xludf.DUMMYFUNCTION("""COMPUTED_VALUE"""),"P")</f>
        <v>P</v>
      </c>
      <c r="F3506" s="312" t="s">
        <v>37</v>
      </c>
      <c r="G3506" s="308"/>
      <c r="H3506" s="308" t="s">
        <v>14325</v>
      </c>
      <c r="I3506" s="310">
        <v>42537.0</v>
      </c>
      <c r="J3506" s="319">
        <f>IFERROR(__xludf.DUMMYFUNCTION("SPLIT(I3506,""/"")"),16.0)</f>
        <v>16</v>
      </c>
      <c r="K3506" s="308">
        <f>IFERROR(__xludf.DUMMYFUNCTION("""COMPUTED_VALUE"""),6.0)</f>
        <v>6</v>
      </c>
      <c r="L3506" s="308">
        <f>IFERROR(__xludf.DUMMYFUNCTION("""COMPUTED_VALUE"""),2016.0)</f>
        <v>2016</v>
      </c>
      <c r="M3506" s="308" t="s">
        <v>14326</v>
      </c>
      <c r="N3506" s="308"/>
      <c r="O3506" s="308" t="s">
        <v>14327</v>
      </c>
      <c r="P3506" s="308" t="s">
        <v>14328</v>
      </c>
      <c r="Q3506" s="308" t="s">
        <v>36978</v>
      </c>
      <c r="R3506" s="308" t="s">
        <v>2743</v>
      </c>
      <c r="S3506" s="308" t="s">
        <v>81</v>
      </c>
      <c r="T3506" s="308" t="s">
        <v>75</v>
      </c>
      <c r="U3506" s="308" t="s">
        <v>2527</v>
      </c>
      <c r="V3506" s="312"/>
    </row>
    <row r="3507">
      <c r="A3507" s="308">
        <v>3506.0</v>
      </c>
      <c r="B3507" s="308"/>
      <c r="C3507" s="308" t="s">
        <v>14329</v>
      </c>
      <c r="D3507" s="308">
        <f>IFERROR(__xludf.DUMMYFUNCTION("SPLIT(C3507,""-"")"),3527.0)</f>
        <v>3527</v>
      </c>
      <c r="E3507" s="308" t="str">
        <f>IFERROR(__xludf.DUMMYFUNCTION("""COMPUTED_VALUE"""),"P")</f>
        <v>P</v>
      </c>
      <c r="F3507" s="312" t="s">
        <v>37</v>
      </c>
      <c r="G3507" s="308"/>
      <c r="H3507" s="308" t="s">
        <v>14330</v>
      </c>
      <c r="I3507" s="310">
        <v>42019.0</v>
      </c>
      <c r="J3507" s="319">
        <f>IFERROR(__xludf.DUMMYFUNCTION("SPLIT(I3507,""/"")"),15.0)</f>
        <v>15</v>
      </c>
      <c r="K3507" s="308">
        <f>IFERROR(__xludf.DUMMYFUNCTION("""COMPUTED_VALUE"""),1.0)</f>
        <v>1</v>
      </c>
      <c r="L3507" s="308">
        <f>IFERROR(__xludf.DUMMYFUNCTION("""COMPUTED_VALUE"""),2015.0)</f>
        <v>2015</v>
      </c>
      <c r="M3507" s="308" t="s">
        <v>14331</v>
      </c>
      <c r="N3507" s="308"/>
      <c r="O3507" s="308" t="s">
        <v>14332</v>
      </c>
      <c r="P3507" s="308" t="s">
        <v>37013</v>
      </c>
      <c r="Q3507" s="308" t="s">
        <v>36978</v>
      </c>
      <c r="R3507" s="308" t="s">
        <v>2743</v>
      </c>
      <c r="S3507" s="308" t="s">
        <v>81</v>
      </c>
      <c r="T3507" s="308" t="s">
        <v>75</v>
      </c>
      <c r="U3507" s="308" t="s">
        <v>3795</v>
      </c>
      <c r="V3507" s="312"/>
    </row>
    <row r="3508">
      <c r="A3508" s="308">
        <v>3507.0</v>
      </c>
      <c r="B3508" s="308"/>
      <c r="C3508" s="308" t="s">
        <v>14334</v>
      </c>
      <c r="D3508" s="308">
        <f>IFERROR(__xludf.DUMMYFUNCTION("SPLIT(C3508,""-"")"),3528.0)</f>
        <v>3528</v>
      </c>
      <c r="E3508" s="308" t="str">
        <f>IFERROR(__xludf.DUMMYFUNCTION("""COMPUTED_VALUE"""),"P")</f>
        <v>P</v>
      </c>
      <c r="F3508" s="312" t="s">
        <v>37</v>
      </c>
      <c r="G3508" s="308"/>
      <c r="H3508" s="308" t="s">
        <v>14335</v>
      </c>
      <c r="I3508" s="310">
        <v>42537.0</v>
      </c>
      <c r="J3508" s="319">
        <f>IFERROR(__xludf.DUMMYFUNCTION("SPLIT(I3508,""/"")"),16.0)</f>
        <v>16</v>
      </c>
      <c r="K3508" s="308">
        <f>IFERROR(__xludf.DUMMYFUNCTION("""COMPUTED_VALUE"""),6.0)</f>
        <v>6</v>
      </c>
      <c r="L3508" s="308">
        <f>IFERROR(__xludf.DUMMYFUNCTION("""COMPUTED_VALUE"""),2016.0)</f>
        <v>2016</v>
      </c>
      <c r="M3508" s="308" t="s">
        <v>14336</v>
      </c>
      <c r="N3508" s="308"/>
      <c r="O3508" s="308" t="s">
        <v>14337</v>
      </c>
      <c r="P3508" s="308" t="s">
        <v>14338</v>
      </c>
      <c r="Q3508" s="308" t="s">
        <v>37014</v>
      </c>
      <c r="R3508" s="308" t="s">
        <v>2743</v>
      </c>
      <c r="S3508" s="308" t="s">
        <v>81</v>
      </c>
      <c r="T3508" s="311" t="s">
        <v>73</v>
      </c>
      <c r="U3508" s="308" t="s">
        <v>149</v>
      </c>
      <c r="V3508" s="312"/>
    </row>
    <row r="3509">
      <c r="A3509" s="308">
        <v>3508.0</v>
      </c>
      <c r="B3509" s="308"/>
      <c r="C3509" s="308" t="s">
        <v>14339</v>
      </c>
      <c r="D3509" s="308">
        <f>IFERROR(__xludf.DUMMYFUNCTION("SPLIT(C3509,""-"")"),3529.0)</f>
        <v>3529</v>
      </c>
      <c r="E3509" s="308" t="str">
        <f>IFERROR(__xludf.DUMMYFUNCTION("""COMPUTED_VALUE"""),"P")</f>
        <v>P</v>
      </c>
      <c r="F3509" s="312" t="s">
        <v>37</v>
      </c>
      <c r="G3509" s="308"/>
      <c r="H3509" s="308" t="s">
        <v>14340</v>
      </c>
      <c r="I3509" s="310">
        <v>42388.0</v>
      </c>
      <c r="J3509" s="319">
        <f>IFERROR(__xludf.DUMMYFUNCTION("SPLIT(I3509,""/"")"),19.0)</f>
        <v>19</v>
      </c>
      <c r="K3509" s="308">
        <f>IFERROR(__xludf.DUMMYFUNCTION("""COMPUTED_VALUE"""),1.0)</f>
        <v>1</v>
      </c>
      <c r="L3509" s="308">
        <f>IFERROR(__xludf.DUMMYFUNCTION("""COMPUTED_VALUE"""),2016.0)</f>
        <v>2016</v>
      </c>
      <c r="M3509" s="308" t="s">
        <v>14341</v>
      </c>
      <c r="N3509" s="308"/>
      <c r="O3509" s="308" t="s">
        <v>14342</v>
      </c>
      <c r="P3509" s="308" t="s">
        <v>14343</v>
      </c>
      <c r="Q3509" s="308" t="s">
        <v>37014</v>
      </c>
      <c r="R3509" s="308" t="s">
        <v>2743</v>
      </c>
      <c r="S3509" s="308" t="s">
        <v>81</v>
      </c>
      <c r="T3509" s="308" t="s">
        <v>34264</v>
      </c>
      <c r="U3509" s="308" t="s">
        <v>13303</v>
      </c>
      <c r="V3509" s="312"/>
    </row>
    <row r="3510">
      <c r="A3510" s="308">
        <v>3509.0</v>
      </c>
      <c r="B3510" s="308"/>
      <c r="C3510" s="308" t="s">
        <v>14344</v>
      </c>
      <c r="D3510" s="308">
        <f>IFERROR(__xludf.DUMMYFUNCTION("SPLIT(C3510,""-"")"),3530.0)</f>
        <v>3530</v>
      </c>
      <c r="E3510" s="308" t="str">
        <f>IFERROR(__xludf.DUMMYFUNCTION("""COMPUTED_VALUE"""),"I")</f>
        <v>I</v>
      </c>
      <c r="F3510" s="309" t="s">
        <v>31</v>
      </c>
      <c r="G3510" s="308"/>
      <c r="H3510" s="308" t="s">
        <v>14345</v>
      </c>
      <c r="I3510" s="310">
        <v>41171.0</v>
      </c>
      <c r="J3510" s="319">
        <f>IFERROR(__xludf.DUMMYFUNCTION("SPLIT(I3510,""/"")"),19.0)</f>
        <v>19</v>
      </c>
      <c r="K3510" s="308">
        <f>IFERROR(__xludf.DUMMYFUNCTION("""COMPUTED_VALUE"""),9.0)</f>
        <v>9</v>
      </c>
      <c r="L3510" s="308">
        <f>IFERROR(__xludf.DUMMYFUNCTION("""COMPUTED_VALUE"""),2012.0)</f>
        <v>2012</v>
      </c>
      <c r="M3510" s="308" t="s">
        <v>14346</v>
      </c>
      <c r="N3510" s="308"/>
      <c r="O3510" s="308" t="s">
        <v>14347</v>
      </c>
      <c r="P3510" s="308" t="s">
        <v>37015</v>
      </c>
      <c r="Q3510" s="308" t="s">
        <v>37014</v>
      </c>
      <c r="R3510" s="308" t="s">
        <v>2743</v>
      </c>
      <c r="S3510" s="315" t="s">
        <v>100</v>
      </c>
      <c r="T3510" s="311" t="s">
        <v>34208</v>
      </c>
      <c r="U3510" s="308" t="s">
        <v>31</v>
      </c>
      <c r="V3510" s="312"/>
    </row>
    <row r="3511">
      <c r="A3511" s="308">
        <v>3510.0</v>
      </c>
      <c r="B3511" s="308"/>
      <c r="C3511" s="308" t="s">
        <v>14348</v>
      </c>
      <c r="D3511" s="308">
        <f>IFERROR(__xludf.DUMMYFUNCTION("SPLIT(C3511,""-"")"),3531.0)</f>
        <v>3531</v>
      </c>
      <c r="E3511" s="308" t="str">
        <f>IFERROR(__xludf.DUMMYFUNCTION("""COMPUTED_VALUE"""),"I")</f>
        <v>I</v>
      </c>
      <c r="F3511" s="309" t="s">
        <v>31</v>
      </c>
      <c r="G3511" s="308"/>
      <c r="H3511" s="308" t="s">
        <v>14349</v>
      </c>
      <c r="I3511" s="310">
        <v>42571.0</v>
      </c>
      <c r="J3511" s="319">
        <f>IFERROR(__xludf.DUMMYFUNCTION("SPLIT(I3511,""/"")"),20.0)</f>
        <v>20</v>
      </c>
      <c r="K3511" s="308">
        <f>IFERROR(__xludf.DUMMYFUNCTION("""COMPUTED_VALUE"""),7.0)</f>
        <v>7</v>
      </c>
      <c r="L3511" s="308">
        <f>IFERROR(__xludf.DUMMYFUNCTION("""COMPUTED_VALUE"""),2016.0)</f>
        <v>2016</v>
      </c>
      <c r="M3511" s="308" t="s">
        <v>14350</v>
      </c>
      <c r="N3511" s="308"/>
      <c r="O3511" s="308" t="s">
        <v>14351</v>
      </c>
      <c r="P3511" s="308" t="s">
        <v>37016</v>
      </c>
      <c r="Q3511" s="308" t="s">
        <v>37014</v>
      </c>
      <c r="R3511" s="308" t="s">
        <v>2743</v>
      </c>
      <c r="S3511" s="308" t="s">
        <v>81</v>
      </c>
      <c r="T3511" s="308" t="s">
        <v>75</v>
      </c>
      <c r="U3511" s="308" t="s">
        <v>31</v>
      </c>
      <c r="V3511" s="312"/>
    </row>
    <row r="3512">
      <c r="A3512" s="308">
        <v>3511.0</v>
      </c>
      <c r="B3512" s="308"/>
      <c r="C3512" s="308" t="s">
        <v>14353</v>
      </c>
      <c r="D3512" s="308">
        <f>IFERROR(__xludf.DUMMYFUNCTION("SPLIT(C3512,""-"")"),3532.0)</f>
        <v>3532</v>
      </c>
      <c r="E3512" s="308" t="str">
        <f>IFERROR(__xludf.DUMMYFUNCTION("""COMPUTED_VALUE"""),"S")</f>
        <v>S</v>
      </c>
      <c r="F3512" s="312" t="s">
        <v>39</v>
      </c>
      <c r="G3512" s="308"/>
      <c r="H3512" s="308" t="s">
        <v>14354</v>
      </c>
      <c r="I3512" s="310">
        <v>42244.0</v>
      </c>
      <c r="J3512" s="319">
        <f>IFERROR(__xludf.DUMMYFUNCTION("SPLIT(I3512,""/"")"),28.0)</f>
        <v>28</v>
      </c>
      <c r="K3512" s="308">
        <f>IFERROR(__xludf.DUMMYFUNCTION("""COMPUTED_VALUE"""),8.0)</f>
        <v>8</v>
      </c>
      <c r="L3512" s="308">
        <f>IFERROR(__xludf.DUMMYFUNCTION("""COMPUTED_VALUE"""),2015.0)</f>
        <v>2015</v>
      </c>
      <c r="M3512" s="308" t="s">
        <v>14355</v>
      </c>
      <c r="N3512" s="308"/>
      <c r="O3512" s="308"/>
      <c r="P3512" s="308" t="s">
        <v>37017</v>
      </c>
      <c r="Q3512" s="308" t="s">
        <v>37014</v>
      </c>
      <c r="R3512" s="308" t="s">
        <v>2743</v>
      </c>
      <c r="S3512" s="308" t="s">
        <v>81</v>
      </c>
      <c r="T3512" s="308" t="s">
        <v>75</v>
      </c>
      <c r="U3512" s="312"/>
      <c r="V3512" s="312"/>
    </row>
    <row r="3513">
      <c r="A3513" s="308">
        <v>3512.0</v>
      </c>
      <c r="B3513" s="308"/>
      <c r="C3513" s="308" t="s">
        <v>14357</v>
      </c>
      <c r="D3513" s="308">
        <f>IFERROR(__xludf.DUMMYFUNCTION("SPLIT(C3513,""-"")"),3533.0)</f>
        <v>3533</v>
      </c>
      <c r="E3513" s="308" t="str">
        <f>IFERROR(__xludf.DUMMYFUNCTION("""COMPUTED_VALUE"""),"K")</f>
        <v>K</v>
      </c>
      <c r="F3513" s="309" t="s">
        <v>34</v>
      </c>
      <c r="G3513" s="308" t="s">
        <v>14358</v>
      </c>
      <c r="H3513" s="308" t="s">
        <v>14359</v>
      </c>
      <c r="I3513" s="310">
        <v>41395.0</v>
      </c>
      <c r="J3513" s="319">
        <f>IFERROR(__xludf.DUMMYFUNCTION("SPLIT(I3513,""/"")"),1.0)</f>
        <v>1</v>
      </c>
      <c r="K3513" s="308">
        <f>IFERROR(__xludf.DUMMYFUNCTION("""COMPUTED_VALUE"""),5.0)</f>
        <v>5</v>
      </c>
      <c r="L3513" s="308">
        <f>IFERROR(__xludf.DUMMYFUNCTION("""COMPUTED_VALUE"""),2013.0)</f>
        <v>2013</v>
      </c>
      <c r="M3513" s="308" t="s">
        <v>14360</v>
      </c>
      <c r="N3513" s="308"/>
      <c r="O3513" s="308" t="s">
        <v>14361</v>
      </c>
      <c r="P3513" s="308" t="s">
        <v>37018</v>
      </c>
      <c r="Q3513" s="308" t="s">
        <v>37019</v>
      </c>
      <c r="R3513" s="308" t="s">
        <v>13890</v>
      </c>
      <c r="S3513" s="308" t="s">
        <v>81</v>
      </c>
      <c r="T3513" s="308" t="s">
        <v>34264</v>
      </c>
      <c r="U3513" s="308" t="s">
        <v>530</v>
      </c>
      <c r="V3513" s="312"/>
    </row>
    <row r="3514">
      <c r="A3514" s="308">
        <v>3513.0</v>
      </c>
      <c r="B3514" s="308"/>
      <c r="C3514" s="308" t="s">
        <v>14363</v>
      </c>
      <c r="D3514" s="308">
        <f>IFERROR(__xludf.DUMMYFUNCTION("SPLIT(C3514,""-"")"),3534.0)</f>
        <v>3534</v>
      </c>
      <c r="E3514" s="308" t="str">
        <f>IFERROR(__xludf.DUMMYFUNCTION("""COMPUTED_VALUE"""),"P")</f>
        <v>P</v>
      </c>
      <c r="F3514" s="312" t="s">
        <v>37</v>
      </c>
      <c r="G3514" s="308" t="s">
        <v>14364</v>
      </c>
      <c r="H3514" s="308" t="s">
        <v>14365</v>
      </c>
      <c r="I3514" s="310">
        <v>42409.0</v>
      </c>
      <c r="J3514" s="319">
        <f>IFERROR(__xludf.DUMMYFUNCTION("SPLIT(I3514,""/"")"),9.0)</f>
        <v>9</v>
      </c>
      <c r="K3514" s="308">
        <f>IFERROR(__xludf.DUMMYFUNCTION("""COMPUTED_VALUE"""),2.0)</f>
        <v>2</v>
      </c>
      <c r="L3514" s="308">
        <f>IFERROR(__xludf.DUMMYFUNCTION("""COMPUTED_VALUE"""),2016.0)</f>
        <v>2016</v>
      </c>
      <c r="M3514" s="308" t="s">
        <v>14366</v>
      </c>
      <c r="N3514" s="308"/>
      <c r="O3514" s="308" t="s">
        <v>635</v>
      </c>
      <c r="P3514" s="308" t="s">
        <v>14367</v>
      </c>
      <c r="Q3514" s="308" t="s">
        <v>37019</v>
      </c>
      <c r="R3514" s="308" t="s">
        <v>13890</v>
      </c>
      <c r="S3514" s="308" t="s">
        <v>81</v>
      </c>
      <c r="T3514" s="311" t="s">
        <v>90</v>
      </c>
      <c r="U3514" s="308" t="s">
        <v>149</v>
      </c>
      <c r="V3514" s="312"/>
    </row>
    <row r="3515">
      <c r="A3515" s="308">
        <v>3514.0</v>
      </c>
      <c r="B3515" s="308"/>
      <c r="C3515" s="308" t="s">
        <v>14368</v>
      </c>
      <c r="D3515" s="308">
        <f>IFERROR(__xludf.DUMMYFUNCTION("SPLIT(C3515,""-"")"),3535.0)</f>
        <v>3535</v>
      </c>
      <c r="E3515" s="308" t="str">
        <f>IFERROR(__xludf.DUMMYFUNCTION("""COMPUTED_VALUE"""),"S")</f>
        <v>S</v>
      </c>
      <c r="F3515" s="312" t="s">
        <v>39</v>
      </c>
      <c r="G3515" s="308" t="s">
        <v>14369</v>
      </c>
      <c r="H3515" s="308" t="s">
        <v>14370</v>
      </c>
      <c r="I3515" s="310">
        <v>42275.0</v>
      </c>
      <c r="J3515" s="319">
        <f>IFERROR(__xludf.DUMMYFUNCTION("SPLIT(I3515,""/"")"),28.0)</f>
        <v>28</v>
      </c>
      <c r="K3515" s="308">
        <f>IFERROR(__xludf.DUMMYFUNCTION("""COMPUTED_VALUE"""),9.0)</f>
        <v>9</v>
      </c>
      <c r="L3515" s="308">
        <f>IFERROR(__xludf.DUMMYFUNCTION("""COMPUTED_VALUE"""),2015.0)</f>
        <v>2015</v>
      </c>
      <c r="M3515" s="308" t="s">
        <v>14371</v>
      </c>
      <c r="N3515" s="308"/>
      <c r="O3515" s="308"/>
      <c r="P3515" s="308" t="s">
        <v>37020</v>
      </c>
      <c r="Q3515" s="308" t="s">
        <v>37019</v>
      </c>
      <c r="R3515" s="308" t="s">
        <v>13890</v>
      </c>
      <c r="S3515" s="315" t="s">
        <v>100</v>
      </c>
      <c r="T3515" s="311" t="s">
        <v>34208</v>
      </c>
      <c r="U3515" s="308" t="s">
        <v>14372</v>
      </c>
      <c r="V3515" s="312"/>
    </row>
    <row r="3516">
      <c r="A3516" s="308">
        <v>3515.0</v>
      </c>
      <c r="B3516" s="308"/>
      <c r="C3516" s="308" t="s">
        <v>14373</v>
      </c>
      <c r="D3516" s="308">
        <f>IFERROR(__xludf.DUMMYFUNCTION("SPLIT(C3516,""-"")"),3536.0)</f>
        <v>3536</v>
      </c>
      <c r="E3516" s="308" t="str">
        <f>IFERROR(__xludf.DUMMYFUNCTION("""COMPUTED_VALUE"""),"P")</f>
        <v>P</v>
      </c>
      <c r="F3516" s="312" t="s">
        <v>37</v>
      </c>
      <c r="G3516" s="308"/>
      <c r="H3516" s="308" t="s">
        <v>14374</v>
      </c>
      <c r="I3516" s="310">
        <v>42370.0</v>
      </c>
      <c r="J3516" s="319">
        <f>IFERROR(__xludf.DUMMYFUNCTION("SPLIT(I3516,""/"")"),1.0)</f>
        <v>1</v>
      </c>
      <c r="K3516" s="308">
        <f>IFERROR(__xludf.DUMMYFUNCTION("""COMPUTED_VALUE"""),1.0)</f>
        <v>1</v>
      </c>
      <c r="L3516" s="308">
        <f>IFERROR(__xludf.DUMMYFUNCTION("""COMPUTED_VALUE"""),2016.0)</f>
        <v>2016</v>
      </c>
      <c r="M3516" s="308" t="s">
        <v>14375</v>
      </c>
      <c r="N3516" s="308"/>
      <c r="O3516" s="308" t="s">
        <v>14376</v>
      </c>
      <c r="P3516" s="308" t="s">
        <v>14377</v>
      </c>
      <c r="Q3516" s="308" t="s">
        <v>37019</v>
      </c>
      <c r="R3516" s="308" t="s">
        <v>2743</v>
      </c>
      <c r="S3516" s="308" t="s">
        <v>81</v>
      </c>
      <c r="T3516" s="308" t="s">
        <v>75</v>
      </c>
      <c r="U3516" s="308" t="s">
        <v>143</v>
      </c>
      <c r="V3516" s="312"/>
    </row>
    <row r="3517">
      <c r="A3517" s="308">
        <v>3516.0</v>
      </c>
      <c r="B3517" s="308"/>
      <c r="C3517" s="308" t="s">
        <v>14378</v>
      </c>
      <c r="D3517" s="308">
        <f>IFERROR(__xludf.DUMMYFUNCTION("SPLIT(C3517,""-"")"),3537.0)</f>
        <v>3537</v>
      </c>
      <c r="E3517" s="308" t="str">
        <f>IFERROR(__xludf.DUMMYFUNCTION("""COMPUTED_VALUE"""),"F")</f>
        <v>F</v>
      </c>
      <c r="F3517" s="309" t="s">
        <v>34</v>
      </c>
      <c r="G3517" s="308"/>
      <c r="H3517" s="308" t="s">
        <v>14379</v>
      </c>
      <c r="I3517" s="310">
        <v>42091.0</v>
      </c>
      <c r="J3517" s="319">
        <f>IFERROR(__xludf.DUMMYFUNCTION("SPLIT(I3517,""/"")"),28.0)</f>
        <v>28</v>
      </c>
      <c r="K3517" s="308">
        <f>IFERROR(__xludf.DUMMYFUNCTION("""COMPUTED_VALUE"""),3.0)</f>
        <v>3</v>
      </c>
      <c r="L3517" s="308">
        <f>IFERROR(__xludf.DUMMYFUNCTION("""COMPUTED_VALUE"""),2015.0)</f>
        <v>2015</v>
      </c>
      <c r="M3517" s="308" t="s">
        <v>14380</v>
      </c>
      <c r="N3517" s="308"/>
      <c r="O3517" s="308" t="s">
        <v>635</v>
      </c>
      <c r="P3517" s="308" t="s">
        <v>14381</v>
      </c>
      <c r="Q3517" s="308" t="s">
        <v>37019</v>
      </c>
      <c r="R3517" s="308" t="s">
        <v>13594</v>
      </c>
      <c r="S3517" s="308" t="s">
        <v>81</v>
      </c>
      <c r="T3517" s="308" t="s">
        <v>73</v>
      </c>
      <c r="U3517" s="308"/>
      <c r="V3517" s="312"/>
    </row>
    <row r="3518">
      <c r="A3518" s="308">
        <v>3517.0</v>
      </c>
      <c r="B3518" s="308"/>
      <c r="C3518" s="308" t="s">
        <v>14382</v>
      </c>
      <c r="D3518" s="308">
        <f>IFERROR(__xludf.DUMMYFUNCTION("SPLIT(C3518,""-"")"),3538.0)</f>
        <v>3538</v>
      </c>
      <c r="E3518" s="308" t="str">
        <f>IFERROR(__xludf.DUMMYFUNCTION("""COMPUTED_VALUE"""),"P")</f>
        <v>P</v>
      </c>
      <c r="F3518" s="312" t="s">
        <v>37</v>
      </c>
      <c r="G3518" s="308"/>
      <c r="H3518" s="308" t="s">
        <v>14383</v>
      </c>
      <c r="I3518" s="310">
        <v>42400.0</v>
      </c>
      <c r="J3518" s="319">
        <f>IFERROR(__xludf.DUMMYFUNCTION("SPLIT(I3518,""/"")"),31.0)</f>
        <v>31</v>
      </c>
      <c r="K3518" s="308">
        <f>IFERROR(__xludf.DUMMYFUNCTION("""COMPUTED_VALUE"""),1.0)</f>
        <v>1</v>
      </c>
      <c r="L3518" s="308">
        <f>IFERROR(__xludf.DUMMYFUNCTION("""COMPUTED_VALUE"""),2016.0)</f>
        <v>2016</v>
      </c>
      <c r="M3518" s="308" t="s">
        <v>14384</v>
      </c>
      <c r="N3518" s="308"/>
      <c r="O3518" s="308" t="s">
        <v>635</v>
      </c>
      <c r="P3518" s="308" t="s">
        <v>14385</v>
      </c>
      <c r="Q3518" s="308" t="s">
        <v>37019</v>
      </c>
      <c r="R3518" s="308" t="s">
        <v>13594</v>
      </c>
      <c r="S3518" s="308" t="s">
        <v>81</v>
      </c>
      <c r="T3518" s="311" t="s">
        <v>96</v>
      </c>
      <c r="U3518" s="308"/>
      <c r="V3518" s="312"/>
    </row>
    <row r="3519">
      <c r="A3519" s="308">
        <v>3518.0</v>
      </c>
      <c r="B3519" s="308"/>
      <c r="C3519" s="308" t="s">
        <v>14386</v>
      </c>
      <c r="D3519" s="308">
        <f>IFERROR(__xludf.DUMMYFUNCTION("SPLIT(C3519,""-"")"),3539.0)</f>
        <v>3539</v>
      </c>
      <c r="E3519" s="308" t="str">
        <f>IFERROR(__xludf.DUMMYFUNCTION("""COMPUTED_VALUE"""),"P")</f>
        <v>P</v>
      </c>
      <c r="F3519" s="312" t="s">
        <v>37</v>
      </c>
      <c r="G3519" s="308"/>
      <c r="H3519" s="308" t="s">
        <v>14387</v>
      </c>
      <c r="I3519" s="310">
        <v>42400.0</v>
      </c>
      <c r="J3519" s="319">
        <f>IFERROR(__xludf.DUMMYFUNCTION("SPLIT(I3519,""/"")"),31.0)</f>
        <v>31</v>
      </c>
      <c r="K3519" s="308">
        <f>IFERROR(__xludf.DUMMYFUNCTION("""COMPUTED_VALUE"""),1.0)</f>
        <v>1</v>
      </c>
      <c r="L3519" s="308">
        <f>IFERROR(__xludf.DUMMYFUNCTION("""COMPUTED_VALUE"""),2016.0)</f>
        <v>2016</v>
      </c>
      <c r="M3519" s="308" t="s">
        <v>14388</v>
      </c>
      <c r="N3519" s="308"/>
      <c r="O3519" s="308" t="s">
        <v>14389</v>
      </c>
      <c r="P3519" s="308" t="s">
        <v>37021</v>
      </c>
      <c r="Q3519" s="308" t="s">
        <v>37019</v>
      </c>
      <c r="R3519" s="308" t="s">
        <v>13594</v>
      </c>
      <c r="S3519" s="315" t="s">
        <v>100</v>
      </c>
      <c r="T3519" s="311" t="s">
        <v>34208</v>
      </c>
      <c r="U3519" s="308" t="s">
        <v>4273</v>
      </c>
      <c r="V3519" s="312"/>
    </row>
    <row r="3520">
      <c r="A3520" s="308">
        <v>3519.0</v>
      </c>
      <c r="B3520" s="308"/>
      <c r="C3520" s="308" t="s">
        <v>14390</v>
      </c>
      <c r="D3520" s="308">
        <f>IFERROR(__xludf.DUMMYFUNCTION("SPLIT(C3520,""-"")"),3540.0)</f>
        <v>3540</v>
      </c>
      <c r="E3520" s="308" t="str">
        <f>IFERROR(__xludf.DUMMYFUNCTION("""COMPUTED_VALUE"""),"P")</f>
        <v>P</v>
      </c>
      <c r="F3520" s="312" t="s">
        <v>37</v>
      </c>
      <c r="G3520" s="308"/>
      <c r="H3520" s="308" t="s">
        <v>14391</v>
      </c>
      <c r="I3520" s="310">
        <v>42468.0</v>
      </c>
      <c r="J3520" s="319">
        <f>IFERROR(__xludf.DUMMYFUNCTION("SPLIT(I3520,""/"")"),8.0)</f>
        <v>8</v>
      </c>
      <c r="K3520" s="308">
        <f>IFERROR(__xludf.DUMMYFUNCTION("""COMPUTED_VALUE"""),4.0)</f>
        <v>4</v>
      </c>
      <c r="L3520" s="308">
        <f>IFERROR(__xludf.DUMMYFUNCTION("""COMPUTED_VALUE"""),2016.0)</f>
        <v>2016</v>
      </c>
      <c r="M3520" s="308" t="s">
        <v>14392</v>
      </c>
      <c r="N3520" s="308"/>
      <c r="O3520" s="308" t="s">
        <v>635</v>
      </c>
      <c r="P3520" s="308" t="s">
        <v>14393</v>
      </c>
      <c r="Q3520" s="308" t="s">
        <v>37019</v>
      </c>
      <c r="R3520" s="308" t="s">
        <v>13594</v>
      </c>
      <c r="S3520" s="308" t="s">
        <v>81</v>
      </c>
      <c r="T3520" s="308" t="s">
        <v>73</v>
      </c>
      <c r="U3520" s="308" t="s">
        <v>13303</v>
      </c>
      <c r="V3520" s="312"/>
    </row>
    <row r="3521">
      <c r="A3521" s="308">
        <v>3520.0</v>
      </c>
      <c r="B3521" s="308"/>
      <c r="C3521" s="308" t="s">
        <v>14394</v>
      </c>
      <c r="D3521" s="308">
        <f>IFERROR(__xludf.DUMMYFUNCTION("SPLIT(C3521,""-"")"),3541.0)</f>
        <v>3541</v>
      </c>
      <c r="E3521" s="308" t="str">
        <f>IFERROR(__xludf.DUMMYFUNCTION("""COMPUTED_VALUE"""),"I")</f>
        <v>I</v>
      </c>
      <c r="F3521" s="309" t="s">
        <v>31</v>
      </c>
      <c r="G3521" s="308"/>
      <c r="H3521" s="308" t="s">
        <v>14395</v>
      </c>
      <c r="I3521" s="310">
        <v>41746.0</v>
      </c>
      <c r="J3521" s="319">
        <f>IFERROR(__xludf.DUMMYFUNCTION("SPLIT(I3521,""/"")"),17.0)</f>
        <v>17</v>
      </c>
      <c r="K3521" s="308">
        <f>IFERROR(__xludf.DUMMYFUNCTION("""COMPUTED_VALUE"""),4.0)</f>
        <v>4</v>
      </c>
      <c r="L3521" s="308">
        <f>IFERROR(__xludf.DUMMYFUNCTION("""COMPUTED_VALUE"""),2014.0)</f>
        <v>2014</v>
      </c>
      <c r="M3521" s="308" t="s">
        <v>14396</v>
      </c>
      <c r="N3521" s="308"/>
      <c r="O3521" s="308" t="s">
        <v>14397</v>
      </c>
      <c r="P3521" s="308" t="s">
        <v>14398</v>
      </c>
      <c r="Q3521" s="308" t="s">
        <v>37019</v>
      </c>
      <c r="R3521" s="308" t="s">
        <v>13594</v>
      </c>
      <c r="S3521" s="308" t="s">
        <v>49</v>
      </c>
      <c r="T3521" s="308" t="s">
        <v>51</v>
      </c>
      <c r="U3521" s="308"/>
      <c r="V3521" s="312"/>
    </row>
    <row r="3522">
      <c r="A3522" s="308">
        <v>3521.0</v>
      </c>
      <c r="B3522" s="308"/>
      <c r="C3522" s="308" t="s">
        <v>14399</v>
      </c>
      <c r="D3522" s="308">
        <f>IFERROR(__xludf.DUMMYFUNCTION("SPLIT(C3522,""-"")"),3542.0)</f>
        <v>3542</v>
      </c>
      <c r="E3522" s="308" t="str">
        <f>IFERROR(__xludf.DUMMYFUNCTION("""COMPUTED_VALUE"""),"S")</f>
        <v>S</v>
      </c>
      <c r="F3522" s="312" t="s">
        <v>39</v>
      </c>
      <c r="G3522" s="308"/>
      <c r="H3522" s="308" t="s">
        <v>14400</v>
      </c>
      <c r="I3522" s="314">
        <v>40859.0</v>
      </c>
      <c r="J3522" s="319">
        <f>IFERROR(__xludf.DUMMYFUNCTION("SPLIT(I3522,""/"")"),12.0)</f>
        <v>12</v>
      </c>
      <c r="K3522" s="308">
        <f>IFERROR(__xludf.DUMMYFUNCTION("""COMPUTED_VALUE"""),11.0)</f>
        <v>11</v>
      </c>
      <c r="L3522" s="308">
        <f>IFERROR(__xludf.DUMMYFUNCTION("""COMPUTED_VALUE"""),2011.0)</f>
        <v>2011</v>
      </c>
      <c r="M3522" s="308" t="s">
        <v>14401</v>
      </c>
      <c r="N3522" s="308"/>
      <c r="O3522" s="308"/>
      <c r="P3522" s="308"/>
      <c r="Q3522" s="308" t="s">
        <v>37019</v>
      </c>
      <c r="R3522" s="308" t="s">
        <v>13884</v>
      </c>
      <c r="S3522" s="308" t="s">
        <v>79</v>
      </c>
      <c r="T3522" s="308" t="s">
        <v>79</v>
      </c>
      <c r="U3522" s="308" t="s">
        <v>166</v>
      </c>
      <c r="V3522" s="312"/>
    </row>
    <row r="3523">
      <c r="A3523" s="308">
        <v>3522.0</v>
      </c>
      <c r="B3523" s="308"/>
      <c r="C3523" s="308" t="s">
        <v>14402</v>
      </c>
      <c r="D3523" s="308">
        <f>IFERROR(__xludf.DUMMYFUNCTION("SPLIT(C3523,""-"")"),3543.0)</f>
        <v>3543</v>
      </c>
      <c r="E3523" s="308" t="str">
        <f>IFERROR(__xludf.DUMMYFUNCTION("""COMPUTED_VALUE"""),"P")</f>
        <v>P</v>
      </c>
      <c r="F3523" s="312" t="s">
        <v>37</v>
      </c>
      <c r="G3523" s="308"/>
      <c r="H3523" s="308" t="s">
        <v>14403</v>
      </c>
      <c r="I3523" s="310">
        <v>42544.0</v>
      </c>
      <c r="J3523" s="319">
        <f>IFERROR(__xludf.DUMMYFUNCTION("SPLIT(I3523,""/"")"),23.0)</f>
        <v>23</v>
      </c>
      <c r="K3523" s="308">
        <f>IFERROR(__xludf.DUMMYFUNCTION("""COMPUTED_VALUE"""),6.0)</f>
        <v>6</v>
      </c>
      <c r="L3523" s="308">
        <f>IFERROR(__xludf.DUMMYFUNCTION("""COMPUTED_VALUE"""),2016.0)</f>
        <v>2016</v>
      </c>
      <c r="M3523" s="308" t="s">
        <v>37022</v>
      </c>
      <c r="N3523" s="308"/>
      <c r="O3523" s="308" t="s">
        <v>14405</v>
      </c>
      <c r="P3523" s="308" t="s">
        <v>14406</v>
      </c>
      <c r="Q3523" s="308" t="s">
        <v>37019</v>
      </c>
      <c r="R3523" s="308" t="s">
        <v>13594</v>
      </c>
      <c r="S3523" s="308" t="s">
        <v>81</v>
      </c>
      <c r="T3523" s="308" t="s">
        <v>73</v>
      </c>
      <c r="U3523" s="308" t="s">
        <v>143</v>
      </c>
      <c r="V3523" s="312"/>
    </row>
    <row r="3524">
      <c r="A3524" s="308">
        <v>3523.0</v>
      </c>
      <c r="B3524" s="308"/>
      <c r="C3524" s="308" t="s">
        <v>14407</v>
      </c>
      <c r="D3524" s="308">
        <f>IFERROR(__xludf.DUMMYFUNCTION("SPLIT(C3524,""-"")"),3544.0)</f>
        <v>3544</v>
      </c>
      <c r="E3524" s="308" t="str">
        <f>IFERROR(__xludf.DUMMYFUNCTION("""COMPUTED_VALUE"""),"P")</f>
        <v>P</v>
      </c>
      <c r="F3524" s="312" t="s">
        <v>37</v>
      </c>
      <c r="G3524" s="308"/>
      <c r="H3524" s="308" t="s">
        <v>14408</v>
      </c>
      <c r="I3524" s="310">
        <v>42237.0</v>
      </c>
      <c r="J3524" s="319">
        <f>IFERROR(__xludf.DUMMYFUNCTION("SPLIT(I3524,""/"")"),21.0)</f>
        <v>21</v>
      </c>
      <c r="K3524" s="308">
        <f>IFERROR(__xludf.DUMMYFUNCTION("""COMPUTED_VALUE"""),8.0)</f>
        <v>8</v>
      </c>
      <c r="L3524" s="308">
        <f>IFERROR(__xludf.DUMMYFUNCTION("""COMPUTED_VALUE"""),2015.0)</f>
        <v>2015</v>
      </c>
      <c r="M3524" s="308" t="s">
        <v>14409</v>
      </c>
      <c r="N3524" s="308"/>
      <c r="O3524" s="308" t="s">
        <v>14410</v>
      </c>
      <c r="P3524" s="308" t="s">
        <v>37023</v>
      </c>
      <c r="Q3524" s="308" t="s">
        <v>37024</v>
      </c>
      <c r="R3524" s="308" t="s">
        <v>13594</v>
      </c>
      <c r="S3524" s="315" t="s">
        <v>100</v>
      </c>
      <c r="T3524" s="311" t="s">
        <v>34208</v>
      </c>
      <c r="U3524" s="308" t="s">
        <v>2748</v>
      </c>
      <c r="V3524" s="312"/>
    </row>
    <row r="3525">
      <c r="A3525" s="308">
        <v>3524.0</v>
      </c>
      <c r="B3525" s="308"/>
      <c r="C3525" s="308" t="s">
        <v>14412</v>
      </c>
      <c r="D3525" s="308">
        <f>IFERROR(__xludf.DUMMYFUNCTION("SPLIT(C3525,""-"")"),3545.0)</f>
        <v>3545</v>
      </c>
      <c r="E3525" s="308" t="str">
        <f>IFERROR(__xludf.DUMMYFUNCTION("""COMPUTED_VALUE"""),"K")</f>
        <v>K</v>
      </c>
      <c r="F3525" s="309" t="s">
        <v>34</v>
      </c>
      <c r="G3525" s="308"/>
      <c r="H3525" s="308" t="s">
        <v>14413</v>
      </c>
      <c r="I3525" s="310">
        <v>40063.0</v>
      </c>
      <c r="J3525" s="319">
        <f>IFERROR(__xludf.DUMMYFUNCTION("SPLIT(I3525,""/"")"),7.0)</f>
        <v>7</v>
      </c>
      <c r="K3525" s="308">
        <f>IFERROR(__xludf.DUMMYFUNCTION("""COMPUTED_VALUE"""),9.0)</f>
        <v>9</v>
      </c>
      <c r="L3525" s="308">
        <f>IFERROR(__xludf.DUMMYFUNCTION("""COMPUTED_VALUE"""),2009.0)</f>
        <v>2009</v>
      </c>
      <c r="M3525" s="308" t="s">
        <v>14414</v>
      </c>
      <c r="N3525" s="308"/>
      <c r="O3525" s="308" t="s">
        <v>14415</v>
      </c>
      <c r="P3525" s="308" t="s">
        <v>37025</v>
      </c>
      <c r="Q3525" s="308" t="s">
        <v>37024</v>
      </c>
      <c r="R3525" s="308" t="s">
        <v>2743</v>
      </c>
      <c r="S3525" s="315" t="s">
        <v>100</v>
      </c>
      <c r="T3525" s="311" t="s">
        <v>34208</v>
      </c>
      <c r="U3525" s="308" t="s">
        <v>4749</v>
      </c>
      <c r="V3525" s="312"/>
    </row>
    <row r="3526">
      <c r="A3526" s="308">
        <v>3525.0</v>
      </c>
      <c r="B3526" s="308"/>
      <c r="C3526" s="308" t="s">
        <v>14416</v>
      </c>
      <c r="D3526" s="308">
        <f>IFERROR(__xludf.DUMMYFUNCTION("SPLIT(C3526,""-"")"),3546.0)</f>
        <v>3546</v>
      </c>
      <c r="E3526" s="308" t="str">
        <f>IFERROR(__xludf.DUMMYFUNCTION("""COMPUTED_VALUE"""),"K")</f>
        <v>K</v>
      </c>
      <c r="F3526" s="309" t="s">
        <v>34</v>
      </c>
      <c r="G3526" s="308"/>
      <c r="H3526" s="308" t="s">
        <v>14417</v>
      </c>
      <c r="I3526" s="316">
        <v>2011.0</v>
      </c>
      <c r="J3526" s="319"/>
      <c r="K3526" s="308"/>
      <c r="L3526" s="311">
        <v>2011.0</v>
      </c>
      <c r="M3526" s="308" t="s">
        <v>14418</v>
      </c>
      <c r="N3526" s="308"/>
      <c r="O3526" s="308" t="s">
        <v>635</v>
      </c>
      <c r="P3526" s="308" t="s">
        <v>14419</v>
      </c>
      <c r="Q3526" s="308" t="s">
        <v>37026</v>
      </c>
      <c r="R3526" s="308" t="s">
        <v>2743</v>
      </c>
      <c r="S3526" s="308" t="s">
        <v>81</v>
      </c>
      <c r="T3526" s="308" t="s">
        <v>34264</v>
      </c>
      <c r="U3526" s="308" t="s">
        <v>201</v>
      </c>
      <c r="V3526" s="312"/>
    </row>
    <row r="3527">
      <c r="A3527" s="308">
        <v>3526.0</v>
      </c>
      <c r="B3527" s="308"/>
      <c r="C3527" s="308" t="s">
        <v>14420</v>
      </c>
      <c r="D3527" s="308">
        <f>IFERROR(__xludf.DUMMYFUNCTION("SPLIT(C3527,""-"")"),3547.0)</f>
        <v>3547</v>
      </c>
      <c r="E3527" s="308" t="str">
        <f>IFERROR(__xludf.DUMMYFUNCTION("""COMPUTED_VALUE"""),"S")</f>
        <v>S</v>
      </c>
      <c r="F3527" s="312" t="s">
        <v>39</v>
      </c>
      <c r="G3527" s="308"/>
      <c r="H3527" s="308" t="s">
        <v>14421</v>
      </c>
      <c r="I3527" s="310">
        <v>42428.0</v>
      </c>
      <c r="J3527" s="319">
        <f>IFERROR(__xludf.DUMMYFUNCTION("SPLIT(I3527,""/"")"),28.0)</f>
        <v>28</v>
      </c>
      <c r="K3527" s="308">
        <f>IFERROR(__xludf.DUMMYFUNCTION("""COMPUTED_VALUE"""),2.0)</f>
        <v>2</v>
      </c>
      <c r="L3527" s="308">
        <f>IFERROR(__xludf.DUMMYFUNCTION("""COMPUTED_VALUE"""),2016.0)</f>
        <v>2016</v>
      </c>
      <c r="M3527" s="308" t="s">
        <v>14422</v>
      </c>
      <c r="N3527" s="308"/>
      <c r="O3527" s="308" t="s">
        <v>14423</v>
      </c>
      <c r="P3527" s="308" t="s">
        <v>36990</v>
      </c>
      <c r="Q3527" s="308" t="s">
        <v>37027</v>
      </c>
      <c r="R3527" s="308" t="s">
        <v>2774</v>
      </c>
      <c r="S3527" s="315" t="s">
        <v>100</v>
      </c>
      <c r="T3527" s="311" t="s">
        <v>34208</v>
      </c>
      <c r="U3527" s="308" t="s">
        <v>166</v>
      </c>
      <c r="V3527" s="312"/>
    </row>
    <row r="3528">
      <c r="A3528" s="308">
        <v>3527.0</v>
      </c>
      <c r="B3528" s="308"/>
      <c r="C3528" s="308" t="s">
        <v>14424</v>
      </c>
      <c r="D3528" s="308">
        <f>IFERROR(__xludf.DUMMYFUNCTION("SPLIT(C3528,""-"")"),3548.0)</f>
        <v>3548</v>
      </c>
      <c r="E3528" s="308" t="str">
        <f>IFERROR(__xludf.DUMMYFUNCTION("""COMPUTED_VALUE"""),"S")</f>
        <v>S</v>
      </c>
      <c r="F3528" s="312" t="s">
        <v>39</v>
      </c>
      <c r="G3528" s="308"/>
      <c r="H3528" s="308" t="s">
        <v>14425</v>
      </c>
      <c r="I3528" s="310">
        <v>42166.0</v>
      </c>
      <c r="J3528" s="319">
        <f>IFERROR(__xludf.DUMMYFUNCTION("SPLIT(I3528,""/"")"),11.0)</f>
        <v>11</v>
      </c>
      <c r="K3528" s="308">
        <f>IFERROR(__xludf.DUMMYFUNCTION("""COMPUTED_VALUE"""),6.0)</f>
        <v>6</v>
      </c>
      <c r="L3528" s="308">
        <f>IFERROR(__xludf.DUMMYFUNCTION("""COMPUTED_VALUE"""),2015.0)</f>
        <v>2015</v>
      </c>
      <c r="M3528" s="308" t="s">
        <v>14426</v>
      </c>
      <c r="N3528" s="308"/>
      <c r="O3528" s="308" t="s">
        <v>14427</v>
      </c>
      <c r="P3528" s="308" t="s">
        <v>36990</v>
      </c>
      <c r="Q3528" s="308" t="s">
        <v>37027</v>
      </c>
      <c r="R3528" s="308" t="s">
        <v>2743</v>
      </c>
      <c r="S3528" s="315" t="s">
        <v>100</v>
      </c>
      <c r="T3528" s="311" t="s">
        <v>34208</v>
      </c>
      <c r="U3528" s="308" t="s">
        <v>166</v>
      </c>
      <c r="V3528" s="312"/>
    </row>
    <row r="3529">
      <c r="A3529" s="308">
        <v>3528.0</v>
      </c>
      <c r="B3529" s="308"/>
      <c r="C3529" s="308" t="s">
        <v>14428</v>
      </c>
      <c r="D3529" s="308">
        <f>IFERROR(__xludf.DUMMYFUNCTION("SPLIT(C3529,""-"")"),3549.0)</f>
        <v>3549</v>
      </c>
      <c r="E3529" s="308" t="str">
        <f>IFERROR(__xludf.DUMMYFUNCTION("""COMPUTED_VALUE"""),"S")</f>
        <v>S</v>
      </c>
      <c r="F3529" s="312" t="s">
        <v>39</v>
      </c>
      <c r="G3529" s="308"/>
      <c r="H3529" s="308" t="s">
        <v>14429</v>
      </c>
      <c r="I3529" s="310">
        <v>42565.0</v>
      </c>
      <c r="J3529" s="319">
        <f>IFERROR(__xludf.DUMMYFUNCTION("SPLIT(I3529,""/"")"),14.0)</f>
        <v>14</v>
      </c>
      <c r="K3529" s="308">
        <f>IFERROR(__xludf.DUMMYFUNCTION("""COMPUTED_VALUE"""),7.0)</f>
        <v>7</v>
      </c>
      <c r="L3529" s="308">
        <f>IFERROR(__xludf.DUMMYFUNCTION("""COMPUTED_VALUE"""),2016.0)</f>
        <v>2016</v>
      </c>
      <c r="M3529" s="308" t="s">
        <v>14430</v>
      </c>
      <c r="N3529" s="308"/>
      <c r="O3529" s="308" t="s">
        <v>635</v>
      </c>
      <c r="P3529" s="308" t="s">
        <v>14431</v>
      </c>
      <c r="Q3529" s="308" t="s">
        <v>37027</v>
      </c>
      <c r="R3529" s="308" t="s">
        <v>2743</v>
      </c>
      <c r="S3529" s="309" t="s">
        <v>81</v>
      </c>
      <c r="T3529" s="311" t="s">
        <v>63</v>
      </c>
      <c r="U3529" s="312"/>
      <c r="V3529" s="312"/>
    </row>
    <row r="3530">
      <c r="A3530" s="308">
        <v>3529.0</v>
      </c>
      <c r="B3530" s="308"/>
      <c r="C3530" s="308" t="s">
        <v>14432</v>
      </c>
      <c r="D3530" s="308">
        <f>IFERROR(__xludf.DUMMYFUNCTION("SPLIT(C3530,""-"")"),3550.0)</f>
        <v>3550</v>
      </c>
      <c r="E3530" s="308" t="str">
        <f>IFERROR(__xludf.DUMMYFUNCTION("""COMPUTED_VALUE"""),"P")</f>
        <v>P</v>
      </c>
      <c r="F3530" s="312" t="s">
        <v>37</v>
      </c>
      <c r="G3530" s="308"/>
      <c r="H3530" s="308" t="s">
        <v>14433</v>
      </c>
      <c r="I3530" s="314">
        <v>42356.0</v>
      </c>
      <c r="J3530" s="319">
        <f>IFERROR(__xludf.DUMMYFUNCTION("SPLIT(I3530,""/"")"),18.0)</f>
        <v>18</v>
      </c>
      <c r="K3530" s="308">
        <f>IFERROR(__xludf.DUMMYFUNCTION("""COMPUTED_VALUE"""),12.0)</f>
        <v>12</v>
      </c>
      <c r="L3530" s="308">
        <f>IFERROR(__xludf.DUMMYFUNCTION("""COMPUTED_VALUE"""),2015.0)</f>
        <v>2015</v>
      </c>
      <c r="M3530" s="308" t="s">
        <v>37028</v>
      </c>
      <c r="N3530" s="308"/>
      <c r="O3530" s="308"/>
      <c r="P3530" s="308" t="s">
        <v>14435</v>
      </c>
      <c r="Q3530" s="308" t="s">
        <v>37027</v>
      </c>
      <c r="R3530" s="308" t="s">
        <v>13594</v>
      </c>
      <c r="S3530" s="308" t="s">
        <v>81</v>
      </c>
      <c r="T3530" s="311" t="s">
        <v>73</v>
      </c>
      <c r="U3530" s="308" t="s">
        <v>13303</v>
      </c>
      <c r="V3530" s="312"/>
    </row>
    <row r="3531">
      <c r="A3531" s="308">
        <v>3530.0</v>
      </c>
      <c r="B3531" s="308"/>
      <c r="C3531" s="308" t="s">
        <v>14436</v>
      </c>
      <c r="D3531" s="308">
        <f>IFERROR(__xludf.DUMMYFUNCTION("SPLIT(C3531,""-"")"),3551.0)</f>
        <v>3551</v>
      </c>
      <c r="E3531" s="308" t="str">
        <f>IFERROR(__xludf.DUMMYFUNCTION("""COMPUTED_VALUE"""),"P")</f>
        <v>P</v>
      </c>
      <c r="F3531" s="312" t="s">
        <v>37</v>
      </c>
      <c r="G3531" s="308"/>
      <c r="H3531" s="308" t="s">
        <v>14437</v>
      </c>
      <c r="I3531" s="310">
        <v>42346.0</v>
      </c>
      <c r="J3531" s="319">
        <f>IFERROR(__xludf.DUMMYFUNCTION("SPLIT(I3531,""/"")"),8.0)</f>
        <v>8</v>
      </c>
      <c r="K3531" s="308">
        <f>IFERROR(__xludf.DUMMYFUNCTION("""COMPUTED_VALUE"""),12.0)</f>
        <v>12</v>
      </c>
      <c r="L3531" s="308">
        <f>IFERROR(__xludf.DUMMYFUNCTION("""COMPUTED_VALUE"""),2015.0)</f>
        <v>2015</v>
      </c>
      <c r="M3531" s="308" t="s">
        <v>37028</v>
      </c>
      <c r="N3531" s="308"/>
      <c r="O3531" s="308" t="s">
        <v>14438</v>
      </c>
      <c r="P3531" s="308" t="s">
        <v>37029</v>
      </c>
      <c r="Q3531" s="308" t="s">
        <v>37027</v>
      </c>
      <c r="R3531" s="308" t="s">
        <v>13594</v>
      </c>
      <c r="S3531" s="308" t="s">
        <v>81</v>
      </c>
      <c r="T3531" s="308" t="s">
        <v>34264</v>
      </c>
      <c r="U3531" s="308" t="s">
        <v>13303</v>
      </c>
      <c r="V3531" s="312"/>
    </row>
    <row r="3532">
      <c r="A3532" s="308">
        <v>3531.0</v>
      </c>
      <c r="B3532" s="308"/>
      <c r="C3532" s="308" t="s">
        <v>14440</v>
      </c>
      <c r="D3532" s="308">
        <f>IFERROR(__xludf.DUMMYFUNCTION("SPLIT(C3532,""-"")"),3552.0)</f>
        <v>3552</v>
      </c>
      <c r="E3532" s="308" t="str">
        <f>IFERROR(__xludf.DUMMYFUNCTION("""COMPUTED_VALUE"""),"P")</f>
        <v>P</v>
      </c>
      <c r="F3532" s="312" t="s">
        <v>37</v>
      </c>
      <c r="G3532" s="308"/>
      <c r="H3532" s="308" t="s">
        <v>14441</v>
      </c>
      <c r="I3532" s="310">
        <v>42346.0</v>
      </c>
      <c r="J3532" s="319">
        <f>IFERROR(__xludf.DUMMYFUNCTION("SPLIT(I3532,""/"")"),8.0)</f>
        <v>8</v>
      </c>
      <c r="K3532" s="308">
        <f>IFERROR(__xludf.DUMMYFUNCTION("""COMPUTED_VALUE"""),12.0)</f>
        <v>12</v>
      </c>
      <c r="L3532" s="308">
        <f>IFERROR(__xludf.DUMMYFUNCTION("""COMPUTED_VALUE"""),2015.0)</f>
        <v>2015</v>
      </c>
      <c r="M3532" s="308" t="s">
        <v>37028</v>
      </c>
      <c r="N3532" s="308"/>
      <c r="O3532" s="308" t="s">
        <v>14438</v>
      </c>
      <c r="P3532" s="308" t="s">
        <v>37030</v>
      </c>
      <c r="Q3532" s="308" t="s">
        <v>37027</v>
      </c>
      <c r="R3532" s="308" t="s">
        <v>13594</v>
      </c>
      <c r="S3532" s="315" t="s">
        <v>100</v>
      </c>
      <c r="T3532" s="311" t="s">
        <v>34208</v>
      </c>
      <c r="U3532" s="308" t="s">
        <v>13303</v>
      </c>
      <c r="V3532" s="312"/>
    </row>
    <row r="3533">
      <c r="A3533" s="308">
        <v>3532.0</v>
      </c>
      <c r="B3533" s="308"/>
      <c r="C3533" s="308" t="s">
        <v>14443</v>
      </c>
      <c r="D3533" s="308">
        <f>IFERROR(__xludf.DUMMYFUNCTION("SPLIT(C3533,""-"")"),3553.0)</f>
        <v>3553</v>
      </c>
      <c r="E3533" s="308" t="str">
        <f>IFERROR(__xludf.DUMMYFUNCTION("""COMPUTED_VALUE"""),"P")</f>
        <v>P</v>
      </c>
      <c r="F3533" s="312" t="s">
        <v>37</v>
      </c>
      <c r="G3533" s="308"/>
      <c r="H3533" s="308" t="s">
        <v>14444</v>
      </c>
      <c r="I3533" s="310">
        <v>42467.0</v>
      </c>
      <c r="J3533" s="319">
        <f>IFERROR(__xludf.DUMMYFUNCTION("SPLIT(I3533,""/"")"),7.0)</f>
        <v>7</v>
      </c>
      <c r="K3533" s="308">
        <f>IFERROR(__xludf.DUMMYFUNCTION("""COMPUTED_VALUE"""),4.0)</f>
        <v>4</v>
      </c>
      <c r="L3533" s="308">
        <f>IFERROR(__xludf.DUMMYFUNCTION("""COMPUTED_VALUE"""),2016.0)</f>
        <v>2016</v>
      </c>
      <c r="M3533" s="308" t="s">
        <v>14445</v>
      </c>
      <c r="N3533" s="308"/>
      <c r="O3533" s="308" t="s">
        <v>14446</v>
      </c>
      <c r="P3533" s="308" t="s">
        <v>37031</v>
      </c>
      <c r="Q3533" s="308" t="s">
        <v>37027</v>
      </c>
      <c r="R3533" s="308" t="s">
        <v>13594</v>
      </c>
      <c r="S3533" s="308" t="s">
        <v>81</v>
      </c>
      <c r="T3533" s="308" t="s">
        <v>75</v>
      </c>
      <c r="U3533" s="312"/>
      <c r="V3533" s="312"/>
    </row>
    <row r="3534">
      <c r="A3534" s="308">
        <v>3533.0</v>
      </c>
      <c r="B3534" s="308"/>
      <c r="C3534" s="308" t="s">
        <v>14448</v>
      </c>
      <c r="D3534" s="308">
        <f>IFERROR(__xludf.DUMMYFUNCTION("SPLIT(C3534,""-"")"),3554.0)</f>
        <v>3554</v>
      </c>
      <c r="E3534" s="308" t="str">
        <f>IFERROR(__xludf.DUMMYFUNCTION("""COMPUTED_VALUE"""),"P")</f>
        <v>P</v>
      </c>
      <c r="F3534" s="312" t="s">
        <v>37</v>
      </c>
      <c r="G3534" s="308"/>
      <c r="H3534" s="308" t="s">
        <v>14449</v>
      </c>
      <c r="I3534" s="322"/>
      <c r="J3534" s="319"/>
      <c r="K3534" s="308"/>
      <c r="L3534" s="311" t="s">
        <v>79</v>
      </c>
      <c r="M3534" s="308" t="s">
        <v>14445</v>
      </c>
      <c r="N3534" s="308"/>
      <c r="O3534" s="308" t="s">
        <v>14446</v>
      </c>
      <c r="P3534" s="308" t="s">
        <v>37032</v>
      </c>
      <c r="Q3534" s="308" t="s">
        <v>37027</v>
      </c>
      <c r="R3534" s="308" t="s">
        <v>13594</v>
      </c>
      <c r="S3534" s="308" t="s">
        <v>81</v>
      </c>
      <c r="T3534" s="308" t="s">
        <v>75</v>
      </c>
      <c r="U3534" s="308" t="s">
        <v>4273</v>
      </c>
      <c r="V3534" s="312"/>
    </row>
    <row r="3535">
      <c r="A3535" s="308">
        <v>3534.0</v>
      </c>
      <c r="B3535" s="308"/>
      <c r="C3535" s="308" t="s">
        <v>14451</v>
      </c>
      <c r="D3535" s="308">
        <f>IFERROR(__xludf.DUMMYFUNCTION("SPLIT(C3535,""-"")"),3555.0)</f>
        <v>3555</v>
      </c>
      <c r="E3535" s="308" t="str">
        <f>IFERROR(__xludf.DUMMYFUNCTION("""COMPUTED_VALUE"""),"P")</f>
        <v>P</v>
      </c>
      <c r="F3535" s="312" t="s">
        <v>37</v>
      </c>
      <c r="G3535" s="308"/>
      <c r="H3535" s="308" t="s">
        <v>14452</v>
      </c>
      <c r="I3535" s="310">
        <v>42513.0</v>
      </c>
      <c r="J3535" s="319">
        <f>IFERROR(__xludf.DUMMYFUNCTION("SPLIT(I3535,""/"")"),23.0)</f>
        <v>23</v>
      </c>
      <c r="K3535" s="308">
        <f>IFERROR(__xludf.DUMMYFUNCTION("""COMPUTED_VALUE"""),5.0)</f>
        <v>5</v>
      </c>
      <c r="L3535" s="308">
        <f>IFERROR(__xludf.DUMMYFUNCTION("""COMPUTED_VALUE"""),2016.0)</f>
        <v>2016</v>
      </c>
      <c r="M3535" s="308" t="s">
        <v>14453</v>
      </c>
      <c r="N3535" s="308"/>
      <c r="O3535" s="308" t="s">
        <v>14454</v>
      </c>
      <c r="P3535" s="308" t="s">
        <v>14455</v>
      </c>
      <c r="Q3535" s="308" t="s">
        <v>37027</v>
      </c>
      <c r="R3535" s="308" t="s">
        <v>2743</v>
      </c>
      <c r="S3535" s="308" t="s">
        <v>81</v>
      </c>
      <c r="T3535" s="308" t="s">
        <v>73</v>
      </c>
      <c r="U3535" s="308" t="s">
        <v>14456</v>
      </c>
      <c r="V3535" s="312"/>
    </row>
    <row r="3536">
      <c r="A3536" s="308">
        <v>3535.0</v>
      </c>
      <c r="B3536" s="308"/>
      <c r="C3536" s="308" t="s">
        <v>14457</v>
      </c>
      <c r="D3536" s="308">
        <f>IFERROR(__xludf.DUMMYFUNCTION("SPLIT(C3536,""-"")"),3556.0)</f>
        <v>3556</v>
      </c>
      <c r="E3536" s="308" t="str">
        <f>IFERROR(__xludf.DUMMYFUNCTION("""COMPUTED_VALUE"""),"P")</f>
        <v>P</v>
      </c>
      <c r="F3536" s="312" t="s">
        <v>37</v>
      </c>
      <c r="G3536" s="308"/>
      <c r="H3536" s="308" t="s">
        <v>14458</v>
      </c>
      <c r="I3536" s="310">
        <v>42473.0</v>
      </c>
      <c r="J3536" s="319">
        <f>IFERROR(__xludf.DUMMYFUNCTION("SPLIT(I3536,""/"")"),13.0)</f>
        <v>13</v>
      </c>
      <c r="K3536" s="308">
        <f>IFERROR(__xludf.DUMMYFUNCTION("""COMPUTED_VALUE"""),4.0)</f>
        <v>4</v>
      </c>
      <c r="L3536" s="308">
        <f>IFERROR(__xludf.DUMMYFUNCTION("""COMPUTED_VALUE"""),2016.0)</f>
        <v>2016</v>
      </c>
      <c r="M3536" s="308" t="s">
        <v>14459</v>
      </c>
      <c r="N3536" s="308"/>
      <c r="O3536" s="308" t="s">
        <v>14460</v>
      </c>
      <c r="P3536" s="308" t="s">
        <v>14461</v>
      </c>
      <c r="Q3536" s="308" t="s">
        <v>37027</v>
      </c>
      <c r="R3536" s="308" t="s">
        <v>2743</v>
      </c>
      <c r="S3536" s="308" t="s">
        <v>81</v>
      </c>
      <c r="T3536" s="308" t="s">
        <v>98</v>
      </c>
      <c r="U3536" s="308"/>
      <c r="V3536" s="312"/>
    </row>
    <row r="3537">
      <c r="A3537" s="308">
        <v>3536.0</v>
      </c>
      <c r="B3537" s="308"/>
      <c r="C3537" s="308" t="s">
        <v>14462</v>
      </c>
      <c r="D3537" s="308">
        <f>IFERROR(__xludf.DUMMYFUNCTION("SPLIT(C3537,""-"")"),3557.0)</f>
        <v>3557</v>
      </c>
      <c r="E3537" s="308" t="str">
        <f>IFERROR(__xludf.DUMMYFUNCTION("""COMPUTED_VALUE"""),"S")</f>
        <v>S</v>
      </c>
      <c r="F3537" s="312" t="s">
        <v>39</v>
      </c>
      <c r="G3537" s="308"/>
      <c r="H3537" s="308" t="s">
        <v>14463</v>
      </c>
      <c r="I3537" s="310">
        <v>42586.0</v>
      </c>
      <c r="J3537" s="319">
        <f>IFERROR(__xludf.DUMMYFUNCTION("SPLIT(I3537,""/"")"),4.0)</f>
        <v>4</v>
      </c>
      <c r="K3537" s="308">
        <f>IFERROR(__xludf.DUMMYFUNCTION("""COMPUTED_VALUE"""),8.0)</f>
        <v>8</v>
      </c>
      <c r="L3537" s="308">
        <f>IFERROR(__xludf.DUMMYFUNCTION("""COMPUTED_VALUE"""),2016.0)</f>
        <v>2016</v>
      </c>
      <c r="M3537" s="308" t="s">
        <v>14464</v>
      </c>
      <c r="N3537" s="308"/>
      <c r="O3537" s="308" t="s">
        <v>635</v>
      </c>
      <c r="P3537" s="308" t="s">
        <v>14465</v>
      </c>
      <c r="Q3537" s="308" t="s">
        <v>37033</v>
      </c>
      <c r="R3537" s="308" t="s">
        <v>14256</v>
      </c>
      <c r="S3537" s="308" t="s">
        <v>81</v>
      </c>
      <c r="T3537" s="308" t="s">
        <v>75</v>
      </c>
      <c r="U3537" s="308" t="s">
        <v>166</v>
      </c>
      <c r="V3537" s="312"/>
    </row>
    <row r="3538">
      <c r="A3538" s="308">
        <v>3537.0</v>
      </c>
      <c r="B3538" s="308"/>
      <c r="C3538" s="308" t="s">
        <v>14466</v>
      </c>
      <c r="D3538" s="308">
        <f>IFERROR(__xludf.DUMMYFUNCTION("SPLIT(C3538,""-"")"),3558.0)</f>
        <v>3558</v>
      </c>
      <c r="E3538" s="308" t="str">
        <f>IFERROR(__xludf.DUMMYFUNCTION("""COMPUTED_VALUE"""),"S")</f>
        <v>S</v>
      </c>
      <c r="F3538" s="312" t="s">
        <v>39</v>
      </c>
      <c r="G3538" s="308"/>
      <c r="H3538" s="308" t="s">
        <v>14467</v>
      </c>
      <c r="I3538" s="310">
        <v>42587.0</v>
      </c>
      <c r="J3538" s="319">
        <f>IFERROR(__xludf.DUMMYFUNCTION("SPLIT(I3538,""/"")"),5.0)</f>
        <v>5</v>
      </c>
      <c r="K3538" s="308">
        <f>IFERROR(__xludf.DUMMYFUNCTION("""COMPUTED_VALUE"""),8.0)</f>
        <v>8</v>
      </c>
      <c r="L3538" s="308">
        <f>IFERROR(__xludf.DUMMYFUNCTION("""COMPUTED_VALUE"""),2016.0)</f>
        <v>2016</v>
      </c>
      <c r="M3538" s="308" t="s">
        <v>14468</v>
      </c>
      <c r="N3538" s="308"/>
      <c r="O3538" s="308" t="s">
        <v>635</v>
      </c>
      <c r="P3538" s="308" t="s">
        <v>37034</v>
      </c>
      <c r="Q3538" s="308" t="s">
        <v>37035</v>
      </c>
      <c r="R3538" s="308" t="s">
        <v>14256</v>
      </c>
      <c r="S3538" s="308" t="s">
        <v>81</v>
      </c>
      <c r="T3538" s="308" t="s">
        <v>75</v>
      </c>
      <c r="U3538" s="308" t="s">
        <v>166</v>
      </c>
      <c r="V3538" s="312"/>
    </row>
    <row r="3539">
      <c r="A3539" s="308">
        <v>3538.0</v>
      </c>
      <c r="B3539" s="308"/>
      <c r="C3539" s="308" t="s">
        <v>14470</v>
      </c>
      <c r="D3539" s="308">
        <f>IFERROR(__xludf.DUMMYFUNCTION("SPLIT(C3539,""-"")"),3559.0)</f>
        <v>3559</v>
      </c>
      <c r="E3539" s="308" t="str">
        <f>IFERROR(__xludf.DUMMYFUNCTION("""COMPUTED_VALUE"""),"S")</f>
        <v>S</v>
      </c>
      <c r="F3539" s="312" t="s">
        <v>39</v>
      </c>
      <c r="G3539" s="308"/>
      <c r="H3539" s="308" t="s">
        <v>14471</v>
      </c>
      <c r="I3539" s="310">
        <v>42587.0</v>
      </c>
      <c r="J3539" s="319">
        <f>IFERROR(__xludf.DUMMYFUNCTION("SPLIT(I3539,""/"")"),5.0)</f>
        <v>5</v>
      </c>
      <c r="K3539" s="308">
        <f>IFERROR(__xludf.DUMMYFUNCTION("""COMPUTED_VALUE"""),8.0)</f>
        <v>8</v>
      </c>
      <c r="L3539" s="308">
        <f>IFERROR(__xludf.DUMMYFUNCTION("""COMPUTED_VALUE"""),2016.0)</f>
        <v>2016</v>
      </c>
      <c r="M3539" s="308" t="s">
        <v>14468</v>
      </c>
      <c r="N3539" s="308"/>
      <c r="O3539" s="308" t="s">
        <v>635</v>
      </c>
      <c r="P3539" s="308" t="s">
        <v>37034</v>
      </c>
      <c r="Q3539" s="308" t="s">
        <v>37036</v>
      </c>
      <c r="R3539" s="308" t="s">
        <v>14256</v>
      </c>
      <c r="S3539" s="308" t="s">
        <v>81</v>
      </c>
      <c r="T3539" s="308" t="s">
        <v>75</v>
      </c>
      <c r="U3539" s="308" t="s">
        <v>166</v>
      </c>
      <c r="V3539" s="312"/>
    </row>
    <row r="3540">
      <c r="A3540" s="308">
        <v>3539.0</v>
      </c>
      <c r="B3540" s="308"/>
      <c r="C3540" s="308" t="s">
        <v>14472</v>
      </c>
      <c r="D3540" s="308">
        <f>IFERROR(__xludf.DUMMYFUNCTION("SPLIT(C3540,""-"")"),3560.0)</f>
        <v>3560</v>
      </c>
      <c r="E3540" s="308" t="str">
        <f>IFERROR(__xludf.DUMMYFUNCTION("""COMPUTED_VALUE"""),"S")</f>
        <v>S</v>
      </c>
      <c r="F3540" s="312" t="s">
        <v>39</v>
      </c>
      <c r="G3540" s="308"/>
      <c r="H3540" s="308" t="s">
        <v>14473</v>
      </c>
      <c r="I3540" s="310">
        <v>42587.0</v>
      </c>
      <c r="J3540" s="319">
        <f>IFERROR(__xludf.DUMMYFUNCTION("SPLIT(I3540,""/"")"),5.0)</f>
        <v>5</v>
      </c>
      <c r="K3540" s="308">
        <f>IFERROR(__xludf.DUMMYFUNCTION("""COMPUTED_VALUE"""),8.0)</f>
        <v>8</v>
      </c>
      <c r="L3540" s="308">
        <f>IFERROR(__xludf.DUMMYFUNCTION("""COMPUTED_VALUE"""),2016.0)</f>
        <v>2016</v>
      </c>
      <c r="M3540" s="308" t="s">
        <v>14474</v>
      </c>
      <c r="N3540" s="308"/>
      <c r="O3540" s="308" t="s">
        <v>635</v>
      </c>
      <c r="P3540" s="308" t="s">
        <v>37034</v>
      </c>
      <c r="Q3540" s="308" t="s">
        <v>37037</v>
      </c>
      <c r="R3540" s="308" t="s">
        <v>14256</v>
      </c>
      <c r="S3540" s="308" t="s">
        <v>81</v>
      </c>
      <c r="T3540" s="308" t="s">
        <v>75</v>
      </c>
      <c r="U3540" s="308" t="s">
        <v>166</v>
      </c>
      <c r="V3540" s="312"/>
    </row>
    <row r="3541">
      <c r="A3541" s="308">
        <v>3540.0</v>
      </c>
      <c r="B3541" s="308"/>
      <c r="C3541" s="308" t="s">
        <v>14475</v>
      </c>
      <c r="D3541" s="308">
        <f>IFERROR(__xludf.DUMMYFUNCTION("SPLIT(C3541,""-"")"),3561.0)</f>
        <v>3561</v>
      </c>
      <c r="E3541" s="308" t="str">
        <f>IFERROR(__xludf.DUMMYFUNCTION("""COMPUTED_VALUE"""),"S")</f>
        <v>S</v>
      </c>
      <c r="F3541" s="312" t="s">
        <v>39</v>
      </c>
      <c r="G3541" s="308"/>
      <c r="H3541" s="308" t="s">
        <v>14476</v>
      </c>
      <c r="I3541" s="310">
        <v>42587.0</v>
      </c>
      <c r="J3541" s="319">
        <f>IFERROR(__xludf.DUMMYFUNCTION("SPLIT(I3541,""/"")"),5.0)</f>
        <v>5</v>
      </c>
      <c r="K3541" s="308">
        <f>IFERROR(__xludf.DUMMYFUNCTION("""COMPUTED_VALUE"""),8.0)</f>
        <v>8</v>
      </c>
      <c r="L3541" s="308">
        <f>IFERROR(__xludf.DUMMYFUNCTION("""COMPUTED_VALUE"""),2016.0)</f>
        <v>2016</v>
      </c>
      <c r="M3541" s="308" t="s">
        <v>14477</v>
      </c>
      <c r="N3541" s="308"/>
      <c r="O3541" s="308" t="s">
        <v>635</v>
      </c>
      <c r="P3541" s="308" t="s">
        <v>37034</v>
      </c>
      <c r="Q3541" s="308" t="s">
        <v>37037</v>
      </c>
      <c r="R3541" s="308" t="s">
        <v>14256</v>
      </c>
      <c r="S3541" s="308" t="s">
        <v>81</v>
      </c>
      <c r="T3541" s="308" t="s">
        <v>75</v>
      </c>
      <c r="U3541" s="308" t="s">
        <v>166</v>
      </c>
      <c r="V3541" s="312"/>
    </row>
    <row r="3542">
      <c r="A3542" s="308">
        <v>3541.0</v>
      </c>
      <c r="B3542" s="308"/>
      <c r="C3542" s="308" t="s">
        <v>14478</v>
      </c>
      <c r="D3542" s="308">
        <f>IFERROR(__xludf.DUMMYFUNCTION("SPLIT(C3542,""-"")"),3562.0)</f>
        <v>3562</v>
      </c>
      <c r="E3542" s="308" t="str">
        <f>IFERROR(__xludf.DUMMYFUNCTION("""COMPUTED_VALUE"""),"S")</f>
        <v>S</v>
      </c>
      <c r="F3542" s="312" t="s">
        <v>39</v>
      </c>
      <c r="G3542" s="308"/>
      <c r="H3542" s="308" t="s">
        <v>14479</v>
      </c>
      <c r="I3542" s="310">
        <v>42587.0</v>
      </c>
      <c r="J3542" s="319">
        <f>IFERROR(__xludf.DUMMYFUNCTION("SPLIT(I3542,""/"")"),5.0)</f>
        <v>5</v>
      </c>
      <c r="K3542" s="308">
        <f>IFERROR(__xludf.DUMMYFUNCTION("""COMPUTED_VALUE"""),8.0)</f>
        <v>8</v>
      </c>
      <c r="L3542" s="308">
        <f>IFERROR(__xludf.DUMMYFUNCTION("""COMPUTED_VALUE"""),2016.0)</f>
        <v>2016</v>
      </c>
      <c r="M3542" s="308" t="s">
        <v>14480</v>
      </c>
      <c r="N3542" s="308"/>
      <c r="O3542" s="308" t="s">
        <v>635</v>
      </c>
      <c r="P3542" s="308" t="s">
        <v>14481</v>
      </c>
      <c r="Q3542" s="308" t="s">
        <v>37037</v>
      </c>
      <c r="R3542" s="308" t="s">
        <v>14256</v>
      </c>
      <c r="S3542" s="308" t="s">
        <v>81</v>
      </c>
      <c r="T3542" s="308" t="s">
        <v>75</v>
      </c>
      <c r="U3542" s="308" t="s">
        <v>166</v>
      </c>
      <c r="V3542" s="312"/>
    </row>
    <row r="3543">
      <c r="A3543" s="308">
        <v>3542.0</v>
      </c>
      <c r="B3543" s="308"/>
      <c r="C3543" s="308" t="s">
        <v>14482</v>
      </c>
      <c r="D3543" s="308">
        <f>IFERROR(__xludf.DUMMYFUNCTION("SPLIT(C3543,""-"")"),3563.0)</f>
        <v>3563</v>
      </c>
      <c r="E3543" s="308" t="str">
        <f>IFERROR(__xludf.DUMMYFUNCTION("""COMPUTED_VALUE"""),"S")</f>
        <v>S</v>
      </c>
      <c r="F3543" s="312" t="s">
        <v>39</v>
      </c>
      <c r="G3543" s="308"/>
      <c r="H3543" s="308" t="s">
        <v>14483</v>
      </c>
      <c r="I3543" s="310">
        <v>42587.0</v>
      </c>
      <c r="J3543" s="319">
        <f>IFERROR(__xludf.DUMMYFUNCTION("SPLIT(I3543,""/"")"),5.0)</f>
        <v>5</v>
      </c>
      <c r="K3543" s="308">
        <f>IFERROR(__xludf.DUMMYFUNCTION("""COMPUTED_VALUE"""),8.0)</f>
        <v>8</v>
      </c>
      <c r="L3543" s="308">
        <f>IFERROR(__xludf.DUMMYFUNCTION("""COMPUTED_VALUE"""),2016.0)</f>
        <v>2016</v>
      </c>
      <c r="M3543" s="308" t="s">
        <v>14484</v>
      </c>
      <c r="N3543" s="308"/>
      <c r="O3543" s="308" t="s">
        <v>635</v>
      </c>
      <c r="P3543" s="308" t="s">
        <v>37038</v>
      </c>
      <c r="Q3543" s="308" t="s">
        <v>37037</v>
      </c>
      <c r="R3543" s="308" t="s">
        <v>14256</v>
      </c>
      <c r="S3543" s="308" t="s">
        <v>81</v>
      </c>
      <c r="T3543" s="308" t="s">
        <v>75</v>
      </c>
      <c r="U3543" s="308" t="s">
        <v>166</v>
      </c>
      <c r="V3543" s="312"/>
    </row>
    <row r="3544">
      <c r="A3544" s="308">
        <v>3543.0</v>
      </c>
      <c r="B3544" s="308"/>
      <c r="C3544" s="308" t="s">
        <v>14486</v>
      </c>
      <c r="D3544" s="308">
        <f>IFERROR(__xludf.DUMMYFUNCTION("SPLIT(C3544,""-"")"),3564.0)</f>
        <v>3564</v>
      </c>
      <c r="E3544" s="308" t="str">
        <f>IFERROR(__xludf.DUMMYFUNCTION("""COMPUTED_VALUE"""),"S")</f>
        <v>S</v>
      </c>
      <c r="F3544" s="312" t="s">
        <v>39</v>
      </c>
      <c r="G3544" s="308"/>
      <c r="H3544" s="308" t="s">
        <v>14487</v>
      </c>
      <c r="I3544" s="310">
        <v>42588.0</v>
      </c>
      <c r="J3544" s="319">
        <f>IFERROR(__xludf.DUMMYFUNCTION("SPLIT(I3544,""/"")"),6.0)</f>
        <v>6</v>
      </c>
      <c r="K3544" s="308">
        <f>IFERROR(__xludf.DUMMYFUNCTION("""COMPUTED_VALUE"""),8.0)</f>
        <v>8</v>
      </c>
      <c r="L3544" s="308">
        <f>IFERROR(__xludf.DUMMYFUNCTION("""COMPUTED_VALUE"""),2016.0)</f>
        <v>2016</v>
      </c>
      <c r="M3544" s="308" t="s">
        <v>14488</v>
      </c>
      <c r="N3544" s="308"/>
      <c r="O3544" s="308" t="s">
        <v>635</v>
      </c>
      <c r="P3544" s="308" t="s">
        <v>36990</v>
      </c>
      <c r="Q3544" s="308" t="s">
        <v>37037</v>
      </c>
      <c r="R3544" s="308" t="s">
        <v>14256</v>
      </c>
      <c r="S3544" s="315" t="s">
        <v>100</v>
      </c>
      <c r="T3544" s="311" t="s">
        <v>34208</v>
      </c>
      <c r="U3544" s="308" t="s">
        <v>6778</v>
      </c>
      <c r="V3544" s="312"/>
    </row>
    <row r="3545">
      <c r="A3545" s="308">
        <v>3544.0</v>
      </c>
      <c r="B3545" s="308"/>
      <c r="C3545" s="308" t="s">
        <v>14489</v>
      </c>
      <c r="D3545" s="308">
        <f>IFERROR(__xludf.DUMMYFUNCTION("SPLIT(C3545,""-"")"),3565.0)</f>
        <v>3565</v>
      </c>
      <c r="E3545" s="308" t="str">
        <f>IFERROR(__xludf.DUMMYFUNCTION("""COMPUTED_VALUE"""),"S")</f>
        <v>S</v>
      </c>
      <c r="F3545" s="312" t="s">
        <v>39</v>
      </c>
      <c r="G3545" s="308"/>
      <c r="H3545" s="308" t="s">
        <v>14490</v>
      </c>
      <c r="I3545" s="310">
        <v>42593.0</v>
      </c>
      <c r="J3545" s="319">
        <f>IFERROR(__xludf.DUMMYFUNCTION("SPLIT(I3545,""/"")"),11.0)</f>
        <v>11</v>
      </c>
      <c r="K3545" s="308">
        <f>IFERROR(__xludf.DUMMYFUNCTION("""COMPUTED_VALUE"""),8.0)</f>
        <v>8</v>
      </c>
      <c r="L3545" s="308">
        <f>IFERROR(__xludf.DUMMYFUNCTION("""COMPUTED_VALUE"""),2016.0)</f>
        <v>2016</v>
      </c>
      <c r="M3545" s="308" t="s">
        <v>14491</v>
      </c>
      <c r="N3545" s="308"/>
      <c r="O3545" s="308" t="s">
        <v>635</v>
      </c>
      <c r="P3545" s="308" t="s">
        <v>14492</v>
      </c>
      <c r="Q3545" s="308" t="s">
        <v>37037</v>
      </c>
      <c r="R3545" s="308" t="s">
        <v>14256</v>
      </c>
      <c r="S3545" s="308" t="s">
        <v>81</v>
      </c>
      <c r="T3545" s="308" t="s">
        <v>75</v>
      </c>
      <c r="U3545" s="308" t="s">
        <v>166</v>
      </c>
      <c r="V3545" s="312"/>
    </row>
    <row r="3546">
      <c r="A3546" s="308">
        <v>3545.0</v>
      </c>
      <c r="B3546" s="308"/>
      <c r="C3546" s="308" t="s">
        <v>14493</v>
      </c>
      <c r="D3546" s="308">
        <f>IFERROR(__xludf.DUMMYFUNCTION("SPLIT(C3546,""-"")"),3566.0)</f>
        <v>3566</v>
      </c>
      <c r="E3546" s="308" t="str">
        <f>IFERROR(__xludf.DUMMYFUNCTION("""COMPUTED_VALUE"""),"S")</f>
        <v>S</v>
      </c>
      <c r="F3546" s="312" t="s">
        <v>39</v>
      </c>
      <c r="G3546" s="308"/>
      <c r="H3546" s="308" t="s">
        <v>14494</v>
      </c>
      <c r="I3546" s="310">
        <v>42583.0</v>
      </c>
      <c r="J3546" s="319">
        <f>IFERROR(__xludf.DUMMYFUNCTION("SPLIT(I3546,""/"")"),1.0)</f>
        <v>1</v>
      </c>
      <c r="K3546" s="308">
        <f>IFERROR(__xludf.DUMMYFUNCTION("""COMPUTED_VALUE"""),8.0)</f>
        <v>8</v>
      </c>
      <c r="L3546" s="308">
        <f>IFERROR(__xludf.DUMMYFUNCTION("""COMPUTED_VALUE"""),2016.0)</f>
        <v>2016</v>
      </c>
      <c r="M3546" s="308" t="s">
        <v>14495</v>
      </c>
      <c r="N3546" s="308"/>
      <c r="O3546" s="308" t="s">
        <v>635</v>
      </c>
      <c r="P3546" s="308" t="s">
        <v>36990</v>
      </c>
      <c r="Q3546" s="308" t="s">
        <v>37037</v>
      </c>
      <c r="R3546" s="308" t="s">
        <v>14256</v>
      </c>
      <c r="S3546" s="315" t="s">
        <v>100</v>
      </c>
      <c r="T3546" s="311" t="s">
        <v>34208</v>
      </c>
      <c r="U3546" s="308" t="s">
        <v>6778</v>
      </c>
      <c r="V3546" s="312"/>
    </row>
    <row r="3547">
      <c r="A3547" s="308">
        <v>3546.0</v>
      </c>
      <c r="B3547" s="308"/>
      <c r="C3547" s="308" t="s">
        <v>14496</v>
      </c>
      <c r="D3547" s="308">
        <f>IFERROR(__xludf.DUMMYFUNCTION("SPLIT(C3547,""-"")"),3567.0)</f>
        <v>3567</v>
      </c>
      <c r="E3547" s="308" t="str">
        <f>IFERROR(__xludf.DUMMYFUNCTION("""COMPUTED_VALUE"""),"S")</f>
        <v>S</v>
      </c>
      <c r="F3547" s="312" t="s">
        <v>39</v>
      </c>
      <c r="G3547" s="308"/>
      <c r="H3547" s="308" t="s">
        <v>14497</v>
      </c>
      <c r="I3547" s="310">
        <v>42583.0</v>
      </c>
      <c r="J3547" s="319">
        <f>IFERROR(__xludf.DUMMYFUNCTION("SPLIT(I3547,""/"")"),1.0)</f>
        <v>1</v>
      </c>
      <c r="K3547" s="308">
        <f>IFERROR(__xludf.DUMMYFUNCTION("""COMPUTED_VALUE"""),8.0)</f>
        <v>8</v>
      </c>
      <c r="L3547" s="308">
        <f>IFERROR(__xludf.DUMMYFUNCTION("""COMPUTED_VALUE"""),2016.0)</f>
        <v>2016</v>
      </c>
      <c r="M3547" s="308" t="s">
        <v>14498</v>
      </c>
      <c r="N3547" s="308"/>
      <c r="O3547" s="308" t="s">
        <v>635</v>
      </c>
      <c r="P3547" s="308" t="s">
        <v>14499</v>
      </c>
      <c r="Q3547" s="308" t="s">
        <v>37037</v>
      </c>
      <c r="R3547" s="308" t="s">
        <v>14256</v>
      </c>
      <c r="S3547" s="308" t="s">
        <v>49</v>
      </c>
      <c r="T3547" s="308" t="s">
        <v>67</v>
      </c>
      <c r="U3547" s="308" t="s">
        <v>166</v>
      </c>
      <c r="V3547" s="312"/>
    </row>
    <row r="3548">
      <c r="A3548" s="308">
        <v>3547.0</v>
      </c>
      <c r="B3548" s="308"/>
      <c r="C3548" s="308" t="s">
        <v>14500</v>
      </c>
      <c r="D3548" s="308">
        <f>IFERROR(__xludf.DUMMYFUNCTION("SPLIT(C3548,""-"")"),3568.0)</f>
        <v>3568</v>
      </c>
      <c r="E3548" s="308" t="str">
        <f>IFERROR(__xludf.DUMMYFUNCTION("""COMPUTED_VALUE"""),"S")</f>
        <v>S</v>
      </c>
      <c r="F3548" s="312" t="s">
        <v>39</v>
      </c>
      <c r="G3548" s="308"/>
      <c r="H3548" s="308" t="s">
        <v>14501</v>
      </c>
      <c r="I3548" s="310">
        <v>42584.0</v>
      </c>
      <c r="J3548" s="319">
        <f>IFERROR(__xludf.DUMMYFUNCTION("SPLIT(I3548,""/"")"),2.0)</f>
        <v>2</v>
      </c>
      <c r="K3548" s="308">
        <f>IFERROR(__xludf.DUMMYFUNCTION("""COMPUTED_VALUE"""),8.0)</f>
        <v>8</v>
      </c>
      <c r="L3548" s="308">
        <f>IFERROR(__xludf.DUMMYFUNCTION("""COMPUTED_VALUE"""),2016.0)</f>
        <v>2016</v>
      </c>
      <c r="M3548" s="308" t="s">
        <v>14502</v>
      </c>
      <c r="N3548" s="308"/>
      <c r="O3548" s="308" t="s">
        <v>635</v>
      </c>
      <c r="P3548" s="308" t="s">
        <v>6973</v>
      </c>
      <c r="Q3548" s="308" t="s">
        <v>37037</v>
      </c>
      <c r="R3548" s="308" t="s">
        <v>14256</v>
      </c>
      <c r="S3548" s="308" t="s">
        <v>49</v>
      </c>
      <c r="T3548" s="308" t="s">
        <v>67</v>
      </c>
      <c r="U3548" s="308" t="s">
        <v>166</v>
      </c>
      <c r="V3548" s="312"/>
    </row>
    <row r="3549">
      <c r="A3549" s="308">
        <v>3548.0</v>
      </c>
      <c r="B3549" s="308"/>
      <c r="C3549" s="308" t="s">
        <v>14503</v>
      </c>
      <c r="D3549" s="308">
        <f>IFERROR(__xludf.DUMMYFUNCTION("SPLIT(C3549,""-"")"),3569.0)</f>
        <v>3569</v>
      </c>
      <c r="E3549" s="308" t="str">
        <f>IFERROR(__xludf.DUMMYFUNCTION("""COMPUTED_VALUE"""),"F")</f>
        <v>F</v>
      </c>
      <c r="F3549" s="309" t="s">
        <v>34</v>
      </c>
      <c r="G3549" s="308"/>
      <c r="H3549" s="308" t="s">
        <v>14504</v>
      </c>
      <c r="I3549" s="310">
        <v>42476.0</v>
      </c>
      <c r="J3549" s="319">
        <f>IFERROR(__xludf.DUMMYFUNCTION("SPLIT(I3549,""/"")"),16.0)</f>
        <v>16</v>
      </c>
      <c r="K3549" s="308">
        <f>IFERROR(__xludf.DUMMYFUNCTION("""COMPUTED_VALUE"""),4.0)</f>
        <v>4</v>
      </c>
      <c r="L3549" s="308">
        <f>IFERROR(__xludf.DUMMYFUNCTION("""COMPUTED_VALUE"""),2016.0)</f>
        <v>2016</v>
      </c>
      <c r="M3549" s="308" t="s">
        <v>14505</v>
      </c>
      <c r="N3549" s="308"/>
      <c r="O3549" s="308" t="s">
        <v>635</v>
      </c>
      <c r="P3549" s="308" t="s">
        <v>14506</v>
      </c>
      <c r="Q3549" s="308" t="s">
        <v>37037</v>
      </c>
      <c r="R3549" s="308" t="s">
        <v>2743</v>
      </c>
      <c r="S3549" s="308" t="s">
        <v>81</v>
      </c>
      <c r="T3549" s="311" t="s">
        <v>73</v>
      </c>
      <c r="U3549" s="308" t="s">
        <v>195</v>
      </c>
      <c r="V3549" s="312"/>
    </row>
    <row r="3550">
      <c r="A3550" s="308">
        <v>3549.0</v>
      </c>
      <c r="B3550" s="308"/>
      <c r="C3550" s="308" t="s">
        <v>14507</v>
      </c>
      <c r="D3550" s="308">
        <f>IFERROR(__xludf.DUMMYFUNCTION("SPLIT(C3550,""-"")"),3570.0)</f>
        <v>3570</v>
      </c>
      <c r="E3550" s="308" t="str">
        <f>IFERROR(__xludf.DUMMYFUNCTION("""COMPUTED_VALUE"""),"K")</f>
        <v>K</v>
      </c>
      <c r="F3550" s="309" t="s">
        <v>34</v>
      </c>
      <c r="G3550" s="308"/>
      <c r="H3550" s="308" t="s">
        <v>14508</v>
      </c>
      <c r="I3550" s="314">
        <v>42001.0</v>
      </c>
      <c r="J3550" s="319">
        <f>IFERROR(__xludf.DUMMYFUNCTION("SPLIT(I3550,""/"")"),28.0)</f>
        <v>28</v>
      </c>
      <c r="K3550" s="308">
        <f>IFERROR(__xludf.DUMMYFUNCTION("""COMPUTED_VALUE"""),12.0)</f>
        <v>12</v>
      </c>
      <c r="L3550" s="308">
        <f>IFERROR(__xludf.DUMMYFUNCTION("""COMPUTED_VALUE"""),2014.0)</f>
        <v>2014</v>
      </c>
      <c r="M3550" s="308" t="s">
        <v>14509</v>
      </c>
      <c r="N3550" s="308"/>
      <c r="O3550" s="308"/>
      <c r="P3550" s="308" t="s">
        <v>14510</v>
      </c>
      <c r="Q3550" s="308" t="s">
        <v>37037</v>
      </c>
      <c r="R3550" s="308" t="s">
        <v>2743</v>
      </c>
      <c r="S3550" s="308" t="s">
        <v>81</v>
      </c>
      <c r="T3550" s="308" t="s">
        <v>34264</v>
      </c>
      <c r="U3550" s="308" t="s">
        <v>125</v>
      </c>
      <c r="V3550" s="312"/>
    </row>
    <row r="3551">
      <c r="A3551" s="308">
        <v>3550.0</v>
      </c>
      <c r="B3551" s="308"/>
      <c r="C3551" s="308" t="s">
        <v>14511</v>
      </c>
      <c r="D3551" s="308">
        <f>IFERROR(__xludf.DUMMYFUNCTION("SPLIT(C3551,""-"")"),3571.0)</f>
        <v>3571</v>
      </c>
      <c r="E3551" s="308" t="str">
        <f>IFERROR(__xludf.DUMMYFUNCTION("""COMPUTED_VALUE"""),"K")</f>
        <v>K</v>
      </c>
      <c r="F3551" s="309" t="s">
        <v>34</v>
      </c>
      <c r="G3551" s="308"/>
      <c r="H3551" s="308" t="s">
        <v>14512</v>
      </c>
      <c r="I3551" s="310">
        <v>40663.0</v>
      </c>
      <c r="J3551" s="319">
        <f>IFERROR(__xludf.DUMMYFUNCTION("SPLIT(I3551,""/"")"),30.0)</f>
        <v>30</v>
      </c>
      <c r="K3551" s="308">
        <f>IFERROR(__xludf.DUMMYFUNCTION("""COMPUTED_VALUE"""),4.0)</f>
        <v>4</v>
      </c>
      <c r="L3551" s="308">
        <f>IFERROR(__xludf.DUMMYFUNCTION("""COMPUTED_VALUE"""),2011.0)</f>
        <v>2011</v>
      </c>
      <c r="M3551" s="308" t="s">
        <v>14513</v>
      </c>
      <c r="N3551" s="308"/>
      <c r="O3551" s="308"/>
      <c r="P3551" s="308" t="s">
        <v>37039</v>
      </c>
      <c r="Q3551" s="308" t="s">
        <v>37037</v>
      </c>
      <c r="R3551" s="308" t="s">
        <v>2743</v>
      </c>
      <c r="S3551" s="308" t="s">
        <v>81</v>
      </c>
      <c r="T3551" s="308" t="s">
        <v>34264</v>
      </c>
      <c r="U3551" s="308"/>
      <c r="V3551" s="312"/>
    </row>
    <row r="3552">
      <c r="A3552" s="308">
        <v>3551.0</v>
      </c>
      <c r="B3552" s="308"/>
      <c r="C3552" s="308" t="s">
        <v>14515</v>
      </c>
      <c r="D3552" s="308">
        <f>IFERROR(__xludf.DUMMYFUNCTION("SPLIT(C3552,""-"")"),3572.0)</f>
        <v>3572</v>
      </c>
      <c r="E3552" s="308" t="str">
        <f>IFERROR(__xludf.DUMMYFUNCTION("""COMPUTED_VALUE"""),"K")</f>
        <v>K</v>
      </c>
      <c r="F3552" s="309" t="s">
        <v>34</v>
      </c>
      <c r="G3552" s="308"/>
      <c r="H3552" s="308" t="s">
        <v>14516</v>
      </c>
      <c r="I3552" s="310">
        <v>40642.0</v>
      </c>
      <c r="J3552" s="319">
        <f>IFERROR(__xludf.DUMMYFUNCTION("SPLIT(I3552,""/"")"),9.0)</f>
        <v>9</v>
      </c>
      <c r="K3552" s="308">
        <f>IFERROR(__xludf.DUMMYFUNCTION("""COMPUTED_VALUE"""),4.0)</f>
        <v>4</v>
      </c>
      <c r="L3552" s="308">
        <f>IFERROR(__xludf.DUMMYFUNCTION("""COMPUTED_VALUE"""),2011.0)</f>
        <v>2011</v>
      </c>
      <c r="M3552" s="308" t="s">
        <v>14517</v>
      </c>
      <c r="N3552" s="308"/>
      <c r="O3552" s="308" t="s">
        <v>635</v>
      </c>
      <c r="P3552" s="308" t="s">
        <v>37040</v>
      </c>
      <c r="Q3552" s="308" t="s">
        <v>37037</v>
      </c>
      <c r="R3552" s="308" t="s">
        <v>2743</v>
      </c>
      <c r="S3552" s="308" t="s">
        <v>81</v>
      </c>
      <c r="T3552" s="308" t="s">
        <v>73</v>
      </c>
      <c r="U3552" s="308"/>
      <c r="V3552" s="312"/>
    </row>
    <row r="3553">
      <c r="A3553" s="308">
        <v>3552.0</v>
      </c>
      <c r="B3553" s="308"/>
      <c r="C3553" s="308" t="s">
        <v>14519</v>
      </c>
      <c r="D3553" s="308">
        <f>IFERROR(__xludf.DUMMYFUNCTION("SPLIT(C3553,""-"")"),3573.0)</f>
        <v>3573</v>
      </c>
      <c r="E3553" s="308" t="str">
        <f>IFERROR(__xludf.DUMMYFUNCTION("""COMPUTED_VALUE"""),"K")</f>
        <v>K</v>
      </c>
      <c r="F3553" s="309" t="s">
        <v>34</v>
      </c>
      <c r="G3553" s="308"/>
      <c r="H3553" s="308" t="s">
        <v>14520</v>
      </c>
      <c r="I3553" s="314">
        <v>42000.0</v>
      </c>
      <c r="J3553" s="319">
        <f>IFERROR(__xludf.DUMMYFUNCTION("SPLIT(I3553,""/"")"),27.0)</f>
        <v>27</v>
      </c>
      <c r="K3553" s="308">
        <f>IFERROR(__xludf.DUMMYFUNCTION("""COMPUTED_VALUE"""),12.0)</f>
        <v>12</v>
      </c>
      <c r="L3553" s="308">
        <f>IFERROR(__xludf.DUMMYFUNCTION("""COMPUTED_VALUE"""),2014.0)</f>
        <v>2014</v>
      </c>
      <c r="M3553" s="308" t="s">
        <v>14521</v>
      </c>
      <c r="N3553" s="308" t="s">
        <v>439</v>
      </c>
      <c r="O3553" s="308" t="s">
        <v>14522</v>
      </c>
      <c r="P3553" s="308" t="s">
        <v>37041</v>
      </c>
      <c r="Q3553" s="308" t="s">
        <v>37037</v>
      </c>
      <c r="R3553" s="308" t="s">
        <v>2743</v>
      </c>
      <c r="S3553" s="315" t="s">
        <v>100</v>
      </c>
      <c r="T3553" s="311" t="s">
        <v>34208</v>
      </c>
      <c r="U3553" s="308" t="s">
        <v>282</v>
      </c>
      <c r="V3553" s="312"/>
    </row>
    <row r="3554">
      <c r="A3554" s="308">
        <v>3553.0</v>
      </c>
      <c r="B3554" s="308"/>
      <c r="C3554" s="308" t="s">
        <v>14523</v>
      </c>
      <c r="D3554" s="308">
        <f>IFERROR(__xludf.DUMMYFUNCTION("SPLIT(C3554,""-"")"),3574.0)</f>
        <v>3574</v>
      </c>
      <c r="E3554" s="308" t="str">
        <f>IFERROR(__xludf.DUMMYFUNCTION("""COMPUTED_VALUE"""),"P")</f>
        <v>P</v>
      </c>
      <c r="F3554" s="312" t="s">
        <v>37</v>
      </c>
      <c r="G3554" s="308"/>
      <c r="H3554" s="308" t="s">
        <v>14524</v>
      </c>
      <c r="I3554" s="310">
        <v>41950.0</v>
      </c>
      <c r="J3554" s="319">
        <f>IFERROR(__xludf.DUMMYFUNCTION("SPLIT(I3554,""/"")"),7.0)</f>
        <v>7</v>
      </c>
      <c r="K3554" s="308">
        <f>IFERROR(__xludf.DUMMYFUNCTION("""COMPUTED_VALUE"""),11.0)</f>
        <v>11</v>
      </c>
      <c r="L3554" s="308">
        <f>IFERROR(__xludf.DUMMYFUNCTION("""COMPUTED_VALUE"""),2014.0)</f>
        <v>2014</v>
      </c>
      <c r="M3554" s="308" t="s">
        <v>14525</v>
      </c>
      <c r="N3554" s="308"/>
      <c r="O3554" s="308" t="s">
        <v>14526</v>
      </c>
      <c r="P3554" s="308" t="s">
        <v>14527</v>
      </c>
      <c r="Q3554" s="308" t="s">
        <v>37037</v>
      </c>
      <c r="R3554" s="308" t="s">
        <v>2743</v>
      </c>
      <c r="S3554" s="308" t="s">
        <v>81</v>
      </c>
      <c r="T3554" s="308" t="s">
        <v>75</v>
      </c>
      <c r="U3554" s="308"/>
      <c r="V3554" s="312"/>
    </row>
    <row r="3555">
      <c r="A3555" s="308">
        <v>3554.0</v>
      </c>
      <c r="B3555" s="308"/>
      <c r="C3555" s="308" t="s">
        <v>14528</v>
      </c>
      <c r="D3555" s="308">
        <f>IFERROR(__xludf.DUMMYFUNCTION("SPLIT(C3555,""-"")"),3575.0)</f>
        <v>3575</v>
      </c>
      <c r="E3555" s="308" t="str">
        <f>IFERROR(__xludf.DUMMYFUNCTION("""COMPUTED_VALUE"""),"P")</f>
        <v>P</v>
      </c>
      <c r="F3555" s="312" t="s">
        <v>37</v>
      </c>
      <c r="G3555" s="308"/>
      <c r="H3555" s="308" t="s">
        <v>14529</v>
      </c>
      <c r="I3555" s="310">
        <v>42578.0</v>
      </c>
      <c r="J3555" s="319">
        <f>IFERROR(__xludf.DUMMYFUNCTION("SPLIT(I3555,""/"")"),27.0)</f>
        <v>27</v>
      </c>
      <c r="K3555" s="308">
        <f>IFERROR(__xludf.DUMMYFUNCTION("""COMPUTED_VALUE"""),7.0)</f>
        <v>7</v>
      </c>
      <c r="L3555" s="308">
        <f>IFERROR(__xludf.DUMMYFUNCTION("""COMPUTED_VALUE"""),2016.0)</f>
        <v>2016</v>
      </c>
      <c r="M3555" s="308" t="s">
        <v>14530</v>
      </c>
      <c r="N3555" s="308"/>
      <c r="O3555" s="308" t="s">
        <v>14531</v>
      </c>
      <c r="P3555" s="308" t="s">
        <v>37042</v>
      </c>
      <c r="Q3555" s="308" t="s">
        <v>37037</v>
      </c>
      <c r="R3555" s="308" t="s">
        <v>2743</v>
      </c>
      <c r="S3555" s="308" t="s">
        <v>81</v>
      </c>
      <c r="T3555" s="308" t="s">
        <v>75</v>
      </c>
      <c r="U3555" s="308" t="s">
        <v>149</v>
      </c>
      <c r="V3555" s="312"/>
    </row>
    <row r="3556">
      <c r="A3556" s="308">
        <v>3555.0</v>
      </c>
      <c r="B3556" s="308"/>
      <c r="C3556" s="308" t="s">
        <v>14533</v>
      </c>
      <c r="D3556" s="308">
        <f>IFERROR(__xludf.DUMMYFUNCTION("SPLIT(C3556,""-"")"),3576.0)</f>
        <v>3576</v>
      </c>
      <c r="E3556" s="308" t="str">
        <f>IFERROR(__xludf.DUMMYFUNCTION("""COMPUTED_VALUE"""),"K")</f>
        <v>K</v>
      </c>
      <c r="F3556" s="309" t="s">
        <v>34</v>
      </c>
      <c r="G3556" s="308"/>
      <c r="H3556" s="308" t="s">
        <v>14534</v>
      </c>
      <c r="I3556" s="310">
        <v>42229.0</v>
      </c>
      <c r="J3556" s="319">
        <f>IFERROR(__xludf.DUMMYFUNCTION("SPLIT(I3556,""/"")"),13.0)</f>
        <v>13</v>
      </c>
      <c r="K3556" s="308">
        <f>IFERROR(__xludf.DUMMYFUNCTION("""COMPUTED_VALUE"""),8.0)</f>
        <v>8</v>
      </c>
      <c r="L3556" s="308">
        <f>IFERROR(__xludf.DUMMYFUNCTION("""COMPUTED_VALUE"""),2015.0)</f>
        <v>2015</v>
      </c>
      <c r="M3556" s="308" t="s">
        <v>14535</v>
      </c>
      <c r="N3556" s="308"/>
      <c r="O3556" s="308" t="s">
        <v>14536</v>
      </c>
      <c r="P3556" s="308" t="s">
        <v>37043</v>
      </c>
      <c r="Q3556" s="308" t="s">
        <v>37037</v>
      </c>
      <c r="R3556" s="308" t="s">
        <v>2743</v>
      </c>
      <c r="S3556" s="315" t="s">
        <v>100</v>
      </c>
      <c r="T3556" s="311" t="s">
        <v>34208</v>
      </c>
      <c r="U3556" s="308" t="s">
        <v>368</v>
      </c>
      <c r="V3556" s="312"/>
    </row>
    <row r="3557">
      <c r="A3557" s="308">
        <v>3556.0</v>
      </c>
      <c r="B3557" s="308"/>
      <c r="C3557" s="308" t="s">
        <v>14537</v>
      </c>
      <c r="D3557" s="308">
        <f>IFERROR(__xludf.DUMMYFUNCTION("SPLIT(C3557,""-"")"),3577.0)</f>
        <v>3577</v>
      </c>
      <c r="E3557" s="308" t="str">
        <f>IFERROR(__xludf.DUMMYFUNCTION("""COMPUTED_VALUE"""),"F")</f>
        <v>F</v>
      </c>
      <c r="F3557" s="309" t="s">
        <v>34</v>
      </c>
      <c r="G3557" s="308"/>
      <c r="H3557" s="308" t="s">
        <v>14538</v>
      </c>
      <c r="I3557" s="310">
        <v>41398.0</v>
      </c>
      <c r="J3557" s="319">
        <f>IFERROR(__xludf.DUMMYFUNCTION("SPLIT(I3557,""/"")"),4.0)</f>
        <v>4</v>
      </c>
      <c r="K3557" s="308">
        <f>IFERROR(__xludf.DUMMYFUNCTION("""COMPUTED_VALUE"""),5.0)</f>
        <v>5</v>
      </c>
      <c r="L3557" s="308">
        <f>IFERROR(__xludf.DUMMYFUNCTION("""COMPUTED_VALUE"""),2013.0)</f>
        <v>2013</v>
      </c>
      <c r="M3557" s="308" t="s">
        <v>14539</v>
      </c>
      <c r="N3557" s="308" t="s">
        <v>14540</v>
      </c>
      <c r="O3557" s="308" t="s">
        <v>635</v>
      </c>
      <c r="P3557" s="308" t="s">
        <v>36492</v>
      </c>
      <c r="Q3557" s="308" t="s">
        <v>37044</v>
      </c>
      <c r="R3557" s="308" t="s">
        <v>2743</v>
      </c>
      <c r="S3557" s="315" t="s">
        <v>100</v>
      </c>
      <c r="T3557" s="311" t="s">
        <v>34208</v>
      </c>
      <c r="U3557" s="308" t="s">
        <v>195</v>
      </c>
      <c r="V3557" s="312"/>
    </row>
    <row r="3558">
      <c r="A3558" s="308">
        <v>3557.0</v>
      </c>
      <c r="B3558" s="308"/>
      <c r="C3558" s="308" t="s">
        <v>14541</v>
      </c>
      <c r="D3558" s="308">
        <f>IFERROR(__xludf.DUMMYFUNCTION("SPLIT(C3558,""-"")"),3578.0)</f>
        <v>3578</v>
      </c>
      <c r="E3558" s="308" t="str">
        <f>IFERROR(__xludf.DUMMYFUNCTION("""COMPUTED_VALUE"""),"I")</f>
        <v>I</v>
      </c>
      <c r="F3558" s="309" t="s">
        <v>31</v>
      </c>
      <c r="G3558" s="308"/>
      <c r="H3558" s="308" t="s">
        <v>14542</v>
      </c>
      <c r="I3558" s="310">
        <v>42170.0</v>
      </c>
      <c r="J3558" s="319">
        <f>IFERROR(__xludf.DUMMYFUNCTION("SPLIT(I3558,""/"")"),15.0)</f>
        <v>15</v>
      </c>
      <c r="K3558" s="308">
        <f>IFERROR(__xludf.DUMMYFUNCTION("""COMPUTED_VALUE"""),6.0)</f>
        <v>6</v>
      </c>
      <c r="L3558" s="308">
        <f>IFERROR(__xludf.DUMMYFUNCTION("""COMPUTED_VALUE"""),2015.0)</f>
        <v>2015</v>
      </c>
      <c r="M3558" s="308" t="s">
        <v>14543</v>
      </c>
      <c r="N3558" s="308"/>
      <c r="O3558" s="308" t="s">
        <v>14544</v>
      </c>
      <c r="P3558" s="308" t="s">
        <v>37045</v>
      </c>
      <c r="Q3558" s="308" t="s">
        <v>37046</v>
      </c>
      <c r="R3558" s="308" t="s">
        <v>2743</v>
      </c>
      <c r="S3558" s="308" t="s">
        <v>81</v>
      </c>
      <c r="T3558" s="311" t="s">
        <v>63</v>
      </c>
      <c r="U3558" s="308" t="s">
        <v>31</v>
      </c>
      <c r="V3558" s="312"/>
    </row>
    <row r="3559">
      <c r="A3559" s="308">
        <v>3558.0</v>
      </c>
      <c r="B3559" s="308"/>
      <c r="C3559" s="308" t="s">
        <v>14546</v>
      </c>
      <c r="D3559" s="308">
        <f>IFERROR(__xludf.DUMMYFUNCTION("SPLIT(C3559,""-"")"),3579.0)</f>
        <v>3579</v>
      </c>
      <c r="E3559" s="308" t="str">
        <f>IFERROR(__xludf.DUMMYFUNCTION("""COMPUTED_VALUE"""),"K")</f>
        <v>K</v>
      </c>
      <c r="F3559" s="309" t="s">
        <v>34</v>
      </c>
      <c r="G3559" s="308"/>
      <c r="H3559" s="308" t="s">
        <v>14547</v>
      </c>
      <c r="I3559" s="310">
        <v>41864.0</v>
      </c>
      <c r="J3559" s="319">
        <f>IFERROR(__xludf.DUMMYFUNCTION("SPLIT(I3559,""/"")"),13.0)</f>
        <v>13</v>
      </c>
      <c r="K3559" s="308">
        <f>IFERROR(__xludf.DUMMYFUNCTION("""COMPUTED_VALUE"""),8.0)</f>
        <v>8</v>
      </c>
      <c r="L3559" s="308">
        <f>IFERROR(__xludf.DUMMYFUNCTION("""COMPUTED_VALUE"""),2014.0)</f>
        <v>2014</v>
      </c>
      <c r="M3559" s="308" t="s">
        <v>14548</v>
      </c>
      <c r="N3559" s="308"/>
      <c r="O3559" s="308" t="s">
        <v>14549</v>
      </c>
      <c r="P3559" s="308" t="s">
        <v>37047</v>
      </c>
      <c r="Q3559" s="308" t="s">
        <v>37046</v>
      </c>
      <c r="R3559" s="308" t="s">
        <v>2743</v>
      </c>
      <c r="S3559" s="308" t="s">
        <v>81</v>
      </c>
      <c r="T3559" s="308" t="s">
        <v>34264</v>
      </c>
      <c r="U3559" s="308"/>
      <c r="V3559" s="312"/>
    </row>
    <row r="3560">
      <c r="A3560" s="308">
        <v>3559.0</v>
      </c>
      <c r="B3560" s="308"/>
      <c r="C3560" s="308" t="s">
        <v>14551</v>
      </c>
      <c r="D3560" s="308">
        <f>IFERROR(__xludf.DUMMYFUNCTION("SPLIT(C3560,""-"")"),3580.0)</f>
        <v>3580</v>
      </c>
      <c r="E3560" s="308" t="str">
        <f>IFERROR(__xludf.DUMMYFUNCTION("""COMPUTED_VALUE"""),"P")</f>
        <v>P</v>
      </c>
      <c r="F3560" s="312" t="s">
        <v>37</v>
      </c>
      <c r="G3560" s="308"/>
      <c r="H3560" s="308" t="s">
        <v>14552</v>
      </c>
      <c r="I3560" s="310">
        <v>42604.0</v>
      </c>
      <c r="J3560" s="319">
        <f>IFERROR(__xludf.DUMMYFUNCTION("SPLIT(I3560,""/"")"),22.0)</f>
        <v>22</v>
      </c>
      <c r="K3560" s="308">
        <f>IFERROR(__xludf.DUMMYFUNCTION("""COMPUTED_VALUE"""),8.0)</f>
        <v>8</v>
      </c>
      <c r="L3560" s="308">
        <f>IFERROR(__xludf.DUMMYFUNCTION("""COMPUTED_VALUE"""),2016.0)</f>
        <v>2016</v>
      </c>
      <c r="M3560" s="308" t="s">
        <v>14553</v>
      </c>
      <c r="N3560" s="308"/>
      <c r="O3560" s="308" t="s">
        <v>635</v>
      </c>
      <c r="P3560" s="308" t="s">
        <v>14554</v>
      </c>
      <c r="Q3560" s="308" t="s">
        <v>37048</v>
      </c>
      <c r="R3560" s="308" t="s">
        <v>34322</v>
      </c>
      <c r="S3560" s="308" t="s">
        <v>81</v>
      </c>
      <c r="T3560" s="311" t="s">
        <v>73</v>
      </c>
      <c r="U3560" s="308" t="s">
        <v>2748</v>
      </c>
      <c r="V3560" s="312"/>
    </row>
    <row r="3561">
      <c r="A3561" s="308">
        <v>3560.0</v>
      </c>
      <c r="B3561" s="308"/>
      <c r="C3561" s="308" t="s">
        <v>14555</v>
      </c>
      <c r="D3561" s="308">
        <f>IFERROR(__xludf.DUMMYFUNCTION("SPLIT(C3561,""-"")"),3581.0)</f>
        <v>3581</v>
      </c>
      <c r="E3561" s="308" t="str">
        <f>IFERROR(__xludf.DUMMYFUNCTION("""COMPUTED_VALUE"""),"S")</f>
        <v>S</v>
      </c>
      <c r="F3561" s="312" t="s">
        <v>39</v>
      </c>
      <c r="G3561" s="308"/>
      <c r="H3561" s="308" t="s">
        <v>14556</v>
      </c>
      <c r="I3561" s="310">
        <v>42533.0</v>
      </c>
      <c r="J3561" s="319">
        <f>IFERROR(__xludf.DUMMYFUNCTION("SPLIT(I3561,""/"")"),12.0)</f>
        <v>12</v>
      </c>
      <c r="K3561" s="308">
        <f>IFERROR(__xludf.DUMMYFUNCTION("""COMPUTED_VALUE"""),6.0)</f>
        <v>6</v>
      </c>
      <c r="L3561" s="308">
        <f>IFERROR(__xludf.DUMMYFUNCTION("""COMPUTED_VALUE"""),2016.0)</f>
        <v>2016</v>
      </c>
      <c r="M3561" s="308" t="s">
        <v>14557</v>
      </c>
      <c r="N3561" s="308"/>
      <c r="O3561" s="308" t="s">
        <v>14558</v>
      </c>
      <c r="P3561" s="308" t="s">
        <v>14559</v>
      </c>
      <c r="Q3561" s="308" t="s">
        <v>37048</v>
      </c>
      <c r="R3561" s="308" t="s">
        <v>2743</v>
      </c>
      <c r="S3561" s="308" t="s">
        <v>49</v>
      </c>
      <c r="T3561" s="311" t="s">
        <v>51</v>
      </c>
      <c r="U3561" s="308" t="s">
        <v>166</v>
      </c>
      <c r="V3561" s="312"/>
    </row>
    <row r="3562">
      <c r="A3562" s="308">
        <v>3561.0</v>
      </c>
      <c r="B3562" s="308"/>
      <c r="C3562" s="308" t="s">
        <v>14560</v>
      </c>
      <c r="D3562" s="308">
        <f>IFERROR(__xludf.DUMMYFUNCTION("SPLIT(C3562,""-"")"),3582.0)</f>
        <v>3582</v>
      </c>
      <c r="E3562" s="308" t="str">
        <f>IFERROR(__xludf.DUMMYFUNCTION("""COMPUTED_VALUE"""),"P")</f>
        <v>P</v>
      </c>
      <c r="F3562" s="312" t="s">
        <v>37</v>
      </c>
      <c r="G3562" s="308"/>
      <c r="H3562" s="308" t="s">
        <v>14561</v>
      </c>
      <c r="I3562" s="310">
        <v>42497.0</v>
      </c>
      <c r="J3562" s="319">
        <f>IFERROR(__xludf.DUMMYFUNCTION("SPLIT(I3562,""/"")"),7.0)</f>
        <v>7</v>
      </c>
      <c r="K3562" s="308">
        <f>IFERROR(__xludf.DUMMYFUNCTION("""COMPUTED_VALUE"""),5.0)</f>
        <v>5</v>
      </c>
      <c r="L3562" s="308">
        <f>IFERROR(__xludf.DUMMYFUNCTION("""COMPUTED_VALUE"""),2016.0)</f>
        <v>2016</v>
      </c>
      <c r="M3562" s="308" t="s">
        <v>14562</v>
      </c>
      <c r="N3562" s="308"/>
      <c r="O3562" s="308" t="s">
        <v>14563</v>
      </c>
      <c r="P3562" s="308" t="s">
        <v>37049</v>
      </c>
      <c r="Q3562" s="308" t="s">
        <v>37048</v>
      </c>
      <c r="R3562" s="308" t="s">
        <v>2743</v>
      </c>
      <c r="S3562" s="315" t="s">
        <v>100</v>
      </c>
      <c r="T3562" s="311" t="s">
        <v>34208</v>
      </c>
      <c r="U3562" s="308" t="s">
        <v>3795</v>
      </c>
      <c r="V3562" s="312"/>
    </row>
    <row r="3563">
      <c r="A3563" s="308">
        <v>3562.0</v>
      </c>
      <c r="B3563" s="308"/>
      <c r="C3563" s="308" t="s">
        <v>14565</v>
      </c>
      <c r="D3563" s="308">
        <f>IFERROR(__xludf.DUMMYFUNCTION("SPLIT(C3563,""-"")"),3583.0)</f>
        <v>3583</v>
      </c>
      <c r="E3563" s="308" t="str">
        <f>IFERROR(__xludf.DUMMYFUNCTION("""COMPUTED_VALUE"""),"P")</f>
        <v>P</v>
      </c>
      <c r="F3563" s="312" t="s">
        <v>37</v>
      </c>
      <c r="G3563" s="308"/>
      <c r="H3563" s="308" t="s">
        <v>14566</v>
      </c>
      <c r="I3563" s="310">
        <v>42497.0</v>
      </c>
      <c r="J3563" s="319">
        <f>IFERROR(__xludf.DUMMYFUNCTION("SPLIT(I3563,""/"")"),7.0)</f>
        <v>7</v>
      </c>
      <c r="K3563" s="308">
        <f>IFERROR(__xludf.DUMMYFUNCTION("""COMPUTED_VALUE"""),5.0)</f>
        <v>5</v>
      </c>
      <c r="L3563" s="308">
        <f>IFERROR(__xludf.DUMMYFUNCTION("""COMPUTED_VALUE"""),2016.0)</f>
        <v>2016</v>
      </c>
      <c r="M3563" s="308" t="s">
        <v>14567</v>
      </c>
      <c r="N3563" s="308"/>
      <c r="O3563" s="308" t="s">
        <v>14563</v>
      </c>
      <c r="P3563" s="308" t="s">
        <v>37049</v>
      </c>
      <c r="Q3563" s="308" t="s">
        <v>37048</v>
      </c>
      <c r="R3563" s="308" t="s">
        <v>2743</v>
      </c>
      <c r="S3563" s="315" t="s">
        <v>100</v>
      </c>
      <c r="T3563" s="311" t="s">
        <v>34208</v>
      </c>
      <c r="U3563" s="308" t="s">
        <v>3795</v>
      </c>
      <c r="V3563" s="312"/>
    </row>
    <row r="3564">
      <c r="A3564" s="308">
        <v>3563.0</v>
      </c>
      <c r="B3564" s="308"/>
      <c r="C3564" s="308" t="s">
        <v>14568</v>
      </c>
      <c r="D3564" s="308">
        <f>IFERROR(__xludf.DUMMYFUNCTION("SPLIT(C3564,""-"")"),3584.0)</f>
        <v>3584</v>
      </c>
      <c r="E3564" s="308" t="str">
        <f>IFERROR(__xludf.DUMMYFUNCTION("""COMPUTED_VALUE"""),"P")</f>
        <v>P</v>
      </c>
      <c r="F3564" s="312" t="s">
        <v>37</v>
      </c>
      <c r="G3564" s="308"/>
      <c r="H3564" s="308" t="s">
        <v>14569</v>
      </c>
      <c r="I3564" s="310">
        <v>42432.0</v>
      </c>
      <c r="J3564" s="319">
        <f>IFERROR(__xludf.DUMMYFUNCTION("SPLIT(I3564,""/"")"),3.0)</f>
        <v>3</v>
      </c>
      <c r="K3564" s="308">
        <f>IFERROR(__xludf.DUMMYFUNCTION("""COMPUTED_VALUE"""),3.0)</f>
        <v>3</v>
      </c>
      <c r="L3564" s="308">
        <f>IFERROR(__xludf.DUMMYFUNCTION("""COMPUTED_VALUE"""),2016.0)</f>
        <v>2016</v>
      </c>
      <c r="M3564" s="308" t="s">
        <v>14562</v>
      </c>
      <c r="N3564" s="308"/>
      <c r="O3564" s="308"/>
      <c r="P3564" s="308" t="s">
        <v>37049</v>
      </c>
      <c r="Q3564" s="308" t="s">
        <v>37048</v>
      </c>
      <c r="R3564" s="308" t="s">
        <v>2743</v>
      </c>
      <c r="S3564" s="315" t="s">
        <v>100</v>
      </c>
      <c r="T3564" s="311" t="s">
        <v>34208</v>
      </c>
      <c r="U3564" s="308" t="s">
        <v>3795</v>
      </c>
      <c r="V3564" s="312"/>
    </row>
    <row r="3565">
      <c r="A3565" s="308">
        <v>3564.0</v>
      </c>
      <c r="B3565" s="308"/>
      <c r="C3565" s="308" t="s">
        <v>14570</v>
      </c>
      <c r="D3565" s="308">
        <f>IFERROR(__xludf.DUMMYFUNCTION("SPLIT(C3565,""-"")"),3585.0)</f>
        <v>3585</v>
      </c>
      <c r="E3565" s="308" t="str">
        <f>IFERROR(__xludf.DUMMYFUNCTION("""COMPUTED_VALUE"""),"P")</f>
        <v>P</v>
      </c>
      <c r="F3565" s="312" t="s">
        <v>37</v>
      </c>
      <c r="G3565" s="308"/>
      <c r="H3565" s="308" t="s">
        <v>14571</v>
      </c>
      <c r="I3565" s="310">
        <v>42600.0</v>
      </c>
      <c r="J3565" s="319">
        <f>IFERROR(__xludf.DUMMYFUNCTION("SPLIT(I3565,""/"")"),18.0)</f>
        <v>18</v>
      </c>
      <c r="K3565" s="308">
        <f>IFERROR(__xludf.DUMMYFUNCTION("""COMPUTED_VALUE"""),8.0)</f>
        <v>8</v>
      </c>
      <c r="L3565" s="308">
        <f>IFERROR(__xludf.DUMMYFUNCTION("""COMPUTED_VALUE"""),2016.0)</f>
        <v>2016</v>
      </c>
      <c r="M3565" s="308" t="s">
        <v>14572</v>
      </c>
      <c r="N3565" s="308"/>
      <c r="O3565" s="308" t="s">
        <v>14573</v>
      </c>
      <c r="P3565" s="308" t="s">
        <v>14574</v>
      </c>
      <c r="Q3565" s="308" t="s">
        <v>37048</v>
      </c>
      <c r="R3565" s="308" t="s">
        <v>2743</v>
      </c>
      <c r="S3565" s="308" t="s">
        <v>81</v>
      </c>
      <c r="T3565" s="308" t="s">
        <v>75</v>
      </c>
      <c r="U3565" s="308" t="s">
        <v>143</v>
      </c>
      <c r="V3565" s="312"/>
    </row>
    <row r="3566">
      <c r="A3566" s="308">
        <v>3565.0</v>
      </c>
      <c r="B3566" s="308"/>
      <c r="C3566" s="308" t="s">
        <v>14575</v>
      </c>
      <c r="D3566" s="308">
        <f>IFERROR(__xludf.DUMMYFUNCTION("SPLIT(C3566,""-"")"),3586.0)</f>
        <v>3586</v>
      </c>
      <c r="E3566" s="308" t="str">
        <f>IFERROR(__xludf.DUMMYFUNCTION("""COMPUTED_VALUE"""),"I")</f>
        <v>I</v>
      </c>
      <c r="F3566" s="309" t="s">
        <v>31</v>
      </c>
      <c r="G3566" s="308"/>
      <c r="H3566" s="308" t="s">
        <v>14576</v>
      </c>
      <c r="I3566" s="310">
        <v>42534.0</v>
      </c>
      <c r="J3566" s="319">
        <f>IFERROR(__xludf.DUMMYFUNCTION("SPLIT(I3566,""/"")"),13.0)</f>
        <v>13</v>
      </c>
      <c r="K3566" s="308">
        <f>IFERROR(__xludf.DUMMYFUNCTION("""COMPUTED_VALUE"""),6.0)</f>
        <v>6</v>
      </c>
      <c r="L3566" s="308">
        <f>IFERROR(__xludf.DUMMYFUNCTION("""COMPUTED_VALUE"""),2016.0)</f>
        <v>2016</v>
      </c>
      <c r="M3566" s="308" t="s">
        <v>14577</v>
      </c>
      <c r="N3566" s="308"/>
      <c r="O3566" s="308" t="s">
        <v>14578</v>
      </c>
      <c r="P3566" s="308" t="s">
        <v>37050</v>
      </c>
      <c r="Q3566" s="308" t="s">
        <v>37051</v>
      </c>
      <c r="R3566" s="308" t="s">
        <v>2743</v>
      </c>
      <c r="S3566" s="308" t="s">
        <v>81</v>
      </c>
      <c r="T3566" s="308" t="s">
        <v>75</v>
      </c>
      <c r="U3566" s="308" t="s">
        <v>31</v>
      </c>
      <c r="V3566" s="312"/>
    </row>
    <row r="3567">
      <c r="A3567" s="308">
        <v>3566.0</v>
      </c>
      <c r="B3567" s="308"/>
      <c r="C3567" s="308" t="s">
        <v>14580</v>
      </c>
      <c r="D3567" s="308">
        <f>IFERROR(__xludf.DUMMYFUNCTION("SPLIT(C3567,""-"")"),3587.0)</f>
        <v>3587</v>
      </c>
      <c r="E3567" s="308" t="str">
        <f>IFERROR(__xludf.DUMMYFUNCTION("""COMPUTED_VALUE"""),"K")</f>
        <v>K</v>
      </c>
      <c r="F3567" s="309" t="s">
        <v>34</v>
      </c>
      <c r="G3567" s="308"/>
      <c r="H3567" s="308" t="s">
        <v>14581</v>
      </c>
      <c r="I3567" s="310">
        <v>42011.0</v>
      </c>
      <c r="J3567" s="319">
        <f>IFERROR(__xludf.DUMMYFUNCTION("SPLIT(I3567,""/"")"),7.0)</f>
        <v>7</v>
      </c>
      <c r="K3567" s="308">
        <f>IFERROR(__xludf.DUMMYFUNCTION("""COMPUTED_VALUE"""),1.0)</f>
        <v>1</v>
      </c>
      <c r="L3567" s="308">
        <f>IFERROR(__xludf.DUMMYFUNCTION("""COMPUTED_VALUE"""),2015.0)</f>
        <v>2015</v>
      </c>
      <c r="M3567" s="308" t="s">
        <v>14582</v>
      </c>
      <c r="N3567" s="308"/>
      <c r="O3567" s="308" t="s">
        <v>14583</v>
      </c>
      <c r="P3567" s="308" t="s">
        <v>37052</v>
      </c>
      <c r="Q3567" s="308" t="s">
        <v>37051</v>
      </c>
      <c r="R3567" s="308" t="s">
        <v>2743</v>
      </c>
      <c r="S3567" s="308" t="s">
        <v>49</v>
      </c>
      <c r="T3567" s="308" t="s">
        <v>51</v>
      </c>
      <c r="U3567" s="308" t="s">
        <v>368</v>
      </c>
      <c r="V3567" s="312"/>
    </row>
    <row r="3568">
      <c r="A3568" s="308">
        <v>3567.0</v>
      </c>
      <c r="B3568" s="308"/>
      <c r="C3568" s="308" t="s">
        <v>14585</v>
      </c>
      <c r="D3568" s="308">
        <f>IFERROR(__xludf.DUMMYFUNCTION("SPLIT(C3568,""-"")"),3588.0)</f>
        <v>3588</v>
      </c>
      <c r="E3568" s="308" t="str">
        <f>IFERROR(__xludf.DUMMYFUNCTION("""COMPUTED_VALUE"""),"K")</f>
        <v>K</v>
      </c>
      <c r="F3568" s="309" t="s">
        <v>34</v>
      </c>
      <c r="G3568" s="308"/>
      <c r="H3568" s="308" t="s">
        <v>14586</v>
      </c>
      <c r="I3568" s="310">
        <v>42031.0</v>
      </c>
      <c r="J3568" s="319">
        <f>IFERROR(__xludf.DUMMYFUNCTION("SPLIT(I3568,""/"")"),27.0)</f>
        <v>27</v>
      </c>
      <c r="K3568" s="308">
        <f>IFERROR(__xludf.DUMMYFUNCTION("""COMPUTED_VALUE"""),1.0)</f>
        <v>1</v>
      </c>
      <c r="L3568" s="308">
        <f>IFERROR(__xludf.DUMMYFUNCTION("""COMPUTED_VALUE"""),2015.0)</f>
        <v>2015</v>
      </c>
      <c r="M3568" s="308" t="s">
        <v>14587</v>
      </c>
      <c r="N3568" s="308" t="s">
        <v>14588</v>
      </c>
      <c r="O3568" s="308" t="s">
        <v>14589</v>
      </c>
      <c r="P3568" s="308" t="s">
        <v>37053</v>
      </c>
      <c r="Q3568" s="308" t="s">
        <v>37051</v>
      </c>
      <c r="R3568" s="308" t="s">
        <v>2743</v>
      </c>
      <c r="S3568" s="315" t="s">
        <v>100</v>
      </c>
      <c r="T3568" s="311" t="s">
        <v>34208</v>
      </c>
      <c r="U3568" s="308" t="s">
        <v>282</v>
      </c>
      <c r="V3568" s="312"/>
    </row>
    <row r="3569">
      <c r="A3569" s="308">
        <v>3568.0</v>
      </c>
      <c r="B3569" s="308"/>
      <c r="C3569" s="308" t="s">
        <v>14590</v>
      </c>
      <c r="D3569" s="308">
        <f>IFERROR(__xludf.DUMMYFUNCTION("SPLIT(C3569,""-"")"),3589.0)</f>
        <v>3589</v>
      </c>
      <c r="E3569" s="308" t="str">
        <f>IFERROR(__xludf.DUMMYFUNCTION("""COMPUTED_VALUE"""),"I")</f>
        <v>I</v>
      </c>
      <c r="F3569" s="309" t="s">
        <v>31</v>
      </c>
      <c r="G3569" s="308"/>
      <c r="H3569" s="308" t="s">
        <v>14591</v>
      </c>
      <c r="I3569" s="310">
        <v>42597.0</v>
      </c>
      <c r="J3569" s="319">
        <f>IFERROR(__xludf.DUMMYFUNCTION("SPLIT(I3569,""/"")"),15.0)</f>
        <v>15</v>
      </c>
      <c r="K3569" s="308">
        <f>IFERROR(__xludf.DUMMYFUNCTION("""COMPUTED_VALUE"""),8.0)</f>
        <v>8</v>
      </c>
      <c r="L3569" s="308">
        <f>IFERROR(__xludf.DUMMYFUNCTION("""COMPUTED_VALUE"""),2016.0)</f>
        <v>2016</v>
      </c>
      <c r="M3569" s="308" t="s">
        <v>14592</v>
      </c>
      <c r="N3569" s="308"/>
      <c r="O3569" s="308" t="s">
        <v>14593</v>
      </c>
      <c r="P3569" s="308" t="s">
        <v>14594</v>
      </c>
      <c r="Q3569" s="308" t="s">
        <v>37051</v>
      </c>
      <c r="R3569" s="308" t="s">
        <v>2743</v>
      </c>
      <c r="S3569" s="308" t="s">
        <v>81</v>
      </c>
      <c r="T3569" s="308" t="s">
        <v>73</v>
      </c>
      <c r="U3569" s="308"/>
      <c r="V3569" s="312"/>
    </row>
    <row r="3570">
      <c r="A3570" s="308">
        <v>3569.0</v>
      </c>
      <c r="B3570" s="308"/>
      <c r="C3570" s="308" t="s">
        <v>14595</v>
      </c>
      <c r="D3570" s="308">
        <f>IFERROR(__xludf.DUMMYFUNCTION("SPLIT(C3570,""-"")"),3590.0)</f>
        <v>3590</v>
      </c>
      <c r="E3570" s="308" t="str">
        <f>IFERROR(__xludf.DUMMYFUNCTION("""COMPUTED_VALUE"""),"B")</f>
        <v>B</v>
      </c>
      <c r="F3570" s="315" t="s">
        <v>26</v>
      </c>
      <c r="G3570" s="308"/>
      <c r="H3570" s="308" t="s">
        <v>14596</v>
      </c>
      <c r="I3570" s="326">
        <v>42339.0</v>
      </c>
      <c r="J3570" s="319"/>
      <c r="K3570" s="311">
        <v>12.0</v>
      </c>
      <c r="L3570" s="311">
        <v>2015.0</v>
      </c>
      <c r="M3570" s="308" t="s">
        <v>14597</v>
      </c>
      <c r="N3570" s="308"/>
      <c r="O3570" s="308"/>
      <c r="P3570" s="308" t="s">
        <v>37054</v>
      </c>
      <c r="Q3570" s="308" t="s">
        <v>37051</v>
      </c>
      <c r="R3570" s="308" t="s">
        <v>2743</v>
      </c>
      <c r="S3570" s="308" t="s">
        <v>81</v>
      </c>
      <c r="T3570" s="308" t="s">
        <v>75</v>
      </c>
      <c r="U3570" s="312"/>
      <c r="V3570" s="312"/>
    </row>
    <row r="3571">
      <c r="A3571" s="308">
        <v>3570.0</v>
      </c>
      <c r="B3571" s="308"/>
      <c r="C3571" s="308" t="s">
        <v>14599</v>
      </c>
      <c r="D3571" s="308">
        <f>IFERROR(__xludf.DUMMYFUNCTION("SPLIT(C3571,""-"")"),3591.0)</f>
        <v>3591</v>
      </c>
      <c r="E3571" s="308" t="str">
        <f>IFERROR(__xludf.DUMMYFUNCTION("""COMPUTED_VALUE"""),"F")</f>
        <v>F</v>
      </c>
      <c r="F3571" s="309" t="s">
        <v>34</v>
      </c>
      <c r="G3571" s="308"/>
      <c r="H3571" s="308" t="s">
        <v>14600</v>
      </c>
      <c r="I3571" s="314">
        <v>40164.0</v>
      </c>
      <c r="J3571" s="319">
        <f>IFERROR(__xludf.DUMMYFUNCTION("SPLIT(I3571,""/"")"),17.0)</f>
        <v>17</v>
      </c>
      <c r="K3571" s="308">
        <f>IFERROR(__xludf.DUMMYFUNCTION("""COMPUTED_VALUE"""),12.0)</f>
        <v>12</v>
      </c>
      <c r="L3571" s="308">
        <f>IFERROR(__xludf.DUMMYFUNCTION("""COMPUTED_VALUE"""),2009.0)</f>
        <v>2009</v>
      </c>
      <c r="M3571" s="308" t="s">
        <v>14601</v>
      </c>
      <c r="N3571" s="308" t="s">
        <v>14602</v>
      </c>
      <c r="O3571" s="308" t="s">
        <v>635</v>
      </c>
      <c r="P3571" s="308" t="s">
        <v>37055</v>
      </c>
      <c r="Q3571" s="308" t="s">
        <v>37056</v>
      </c>
      <c r="R3571" s="308" t="s">
        <v>2743</v>
      </c>
      <c r="S3571" s="315" t="s">
        <v>100</v>
      </c>
      <c r="T3571" s="311" t="s">
        <v>34208</v>
      </c>
      <c r="U3571" s="308" t="s">
        <v>195</v>
      </c>
      <c r="V3571" s="312"/>
    </row>
    <row r="3572">
      <c r="A3572" s="308">
        <v>3571.0</v>
      </c>
      <c r="B3572" s="308" t="s">
        <v>14046</v>
      </c>
      <c r="C3572" s="308" t="s">
        <v>14603</v>
      </c>
      <c r="D3572" s="308">
        <f>IFERROR(__xludf.DUMMYFUNCTION("SPLIT(C3572,""-"")"),3592.0)</f>
        <v>3592</v>
      </c>
      <c r="E3572" s="308" t="str">
        <f>IFERROR(__xludf.DUMMYFUNCTION("""COMPUTED_VALUE"""),"K")</f>
        <v>K</v>
      </c>
      <c r="F3572" s="309" t="s">
        <v>34</v>
      </c>
      <c r="G3572" s="308"/>
      <c r="H3572" s="308" t="s">
        <v>14604</v>
      </c>
      <c r="I3572" s="316">
        <v>2008.0</v>
      </c>
      <c r="J3572" s="319"/>
      <c r="K3572" s="308"/>
      <c r="L3572" s="311">
        <v>2008.0</v>
      </c>
      <c r="M3572" s="308" t="s">
        <v>14605</v>
      </c>
      <c r="N3572" s="308"/>
      <c r="O3572" s="308"/>
      <c r="P3572" s="308" t="s">
        <v>37057</v>
      </c>
      <c r="Q3572" s="308" t="s">
        <v>37051</v>
      </c>
      <c r="R3572" s="308" t="s">
        <v>2743</v>
      </c>
      <c r="S3572" s="315" t="s">
        <v>100</v>
      </c>
      <c r="T3572" s="311" t="s">
        <v>34208</v>
      </c>
      <c r="U3572" s="308" t="s">
        <v>137</v>
      </c>
      <c r="V3572" s="312"/>
    </row>
    <row r="3573">
      <c r="A3573" s="308">
        <v>3572.0</v>
      </c>
      <c r="B3573" s="308"/>
      <c r="C3573" s="308" t="s">
        <v>14607</v>
      </c>
      <c r="D3573" s="308">
        <f>IFERROR(__xludf.DUMMYFUNCTION("SPLIT(C3573,""-"")"),3593.0)</f>
        <v>3593</v>
      </c>
      <c r="E3573" s="308" t="str">
        <f>IFERROR(__xludf.DUMMYFUNCTION("""COMPUTED_VALUE"""),"P")</f>
        <v>P</v>
      </c>
      <c r="F3573" s="312" t="s">
        <v>37</v>
      </c>
      <c r="G3573" s="308"/>
      <c r="H3573" s="308" t="s">
        <v>14608</v>
      </c>
      <c r="I3573" s="310">
        <v>42381.0</v>
      </c>
      <c r="J3573" s="319">
        <f>IFERROR(__xludf.DUMMYFUNCTION("SPLIT(I3573,""/"")"),12.0)</f>
        <v>12</v>
      </c>
      <c r="K3573" s="308">
        <f>IFERROR(__xludf.DUMMYFUNCTION("""COMPUTED_VALUE"""),1.0)</f>
        <v>1</v>
      </c>
      <c r="L3573" s="308">
        <f>IFERROR(__xludf.DUMMYFUNCTION("""COMPUTED_VALUE"""),2016.0)</f>
        <v>2016</v>
      </c>
      <c r="M3573" s="308" t="s">
        <v>14609</v>
      </c>
      <c r="N3573" s="308"/>
      <c r="O3573" s="308" t="s">
        <v>14610</v>
      </c>
      <c r="P3573" s="308" t="s">
        <v>14611</v>
      </c>
      <c r="Q3573" s="308" t="s">
        <v>37051</v>
      </c>
      <c r="R3573" s="308" t="s">
        <v>14612</v>
      </c>
      <c r="S3573" s="308" t="s">
        <v>81</v>
      </c>
      <c r="T3573" s="308" t="s">
        <v>75</v>
      </c>
      <c r="U3573" s="308"/>
      <c r="V3573" s="312"/>
    </row>
    <row r="3574">
      <c r="A3574" s="308">
        <v>3573.0</v>
      </c>
      <c r="B3574" s="308"/>
      <c r="C3574" s="308" t="s">
        <v>14613</v>
      </c>
      <c r="D3574" s="308">
        <f>IFERROR(__xludf.DUMMYFUNCTION("SPLIT(C3574,""-"")"),3594.0)</f>
        <v>3594</v>
      </c>
      <c r="E3574" s="308" t="str">
        <f>IFERROR(__xludf.DUMMYFUNCTION("""COMPUTED_VALUE"""),"P")</f>
        <v>P</v>
      </c>
      <c r="F3574" s="312" t="s">
        <v>37</v>
      </c>
      <c r="G3574" s="308"/>
      <c r="H3574" s="308" t="s">
        <v>14614</v>
      </c>
      <c r="I3574" s="310">
        <v>42616.0</v>
      </c>
      <c r="J3574" s="319">
        <f>IFERROR(__xludf.DUMMYFUNCTION("SPLIT(I3574,""/"")"),3.0)</f>
        <v>3</v>
      </c>
      <c r="K3574" s="308">
        <f>IFERROR(__xludf.DUMMYFUNCTION("""COMPUTED_VALUE"""),9.0)</f>
        <v>9</v>
      </c>
      <c r="L3574" s="308">
        <f>IFERROR(__xludf.DUMMYFUNCTION("""COMPUTED_VALUE"""),2016.0)</f>
        <v>2016</v>
      </c>
      <c r="M3574" s="308" t="s">
        <v>14615</v>
      </c>
      <c r="N3574" s="308"/>
      <c r="O3574" s="308" t="s">
        <v>14616</v>
      </c>
      <c r="P3574" s="308" t="s">
        <v>14617</v>
      </c>
      <c r="Q3574" s="308" t="s">
        <v>37058</v>
      </c>
      <c r="R3574" s="308" t="s">
        <v>2743</v>
      </c>
      <c r="S3574" s="308" t="s">
        <v>81</v>
      </c>
      <c r="T3574" s="311" t="s">
        <v>51</v>
      </c>
      <c r="U3574" s="308"/>
      <c r="V3574" s="312"/>
    </row>
    <row r="3575">
      <c r="A3575" s="308">
        <v>3574.0</v>
      </c>
      <c r="B3575" s="308"/>
      <c r="C3575" s="308" t="s">
        <v>14618</v>
      </c>
      <c r="D3575" s="308">
        <f>IFERROR(__xludf.DUMMYFUNCTION("SPLIT(C3575,""-"")"),3595.0)</f>
        <v>3595</v>
      </c>
      <c r="E3575" s="308" t="str">
        <f>IFERROR(__xludf.DUMMYFUNCTION("""COMPUTED_VALUE"""),"K")</f>
        <v>K</v>
      </c>
      <c r="F3575" s="309" t="s">
        <v>34</v>
      </c>
      <c r="G3575" s="308"/>
      <c r="H3575" s="308" t="s">
        <v>14619</v>
      </c>
      <c r="I3575" s="310">
        <v>42612.0</v>
      </c>
      <c r="J3575" s="319">
        <f>IFERROR(__xludf.DUMMYFUNCTION("SPLIT(I3575,""/"")"),30.0)</f>
        <v>30</v>
      </c>
      <c r="K3575" s="308">
        <f>IFERROR(__xludf.DUMMYFUNCTION("""COMPUTED_VALUE"""),8.0)</f>
        <v>8</v>
      </c>
      <c r="L3575" s="308">
        <f>IFERROR(__xludf.DUMMYFUNCTION("""COMPUTED_VALUE"""),2016.0)</f>
        <v>2016</v>
      </c>
      <c r="M3575" s="308" t="s">
        <v>14620</v>
      </c>
      <c r="N3575" s="308"/>
      <c r="O3575" s="308" t="s">
        <v>14621</v>
      </c>
      <c r="P3575" s="308" t="s">
        <v>37059</v>
      </c>
      <c r="Q3575" s="308" t="s">
        <v>37058</v>
      </c>
      <c r="R3575" s="308" t="s">
        <v>2743</v>
      </c>
      <c r="S3575" s="308" t="s">
        <v>81</v>
      </c>
      <c r="T3575" s="308" t="s">
        <v>75</v>
      </c>
      <c r="U3575" s="308" t="s">
        <v>125</v>
      </c>
      <c r="V3575" s="312"/>
    </row>
    <row r="3576">
      <c r="A3576" s="308">
        <v>3575.0</v>
      </c>
      <c r="B3576" s="308"/>
      <c r="C3576" s="308" t="s">
        <v>14623</v>
      </c>
      <c r="D3576" s="308">
        <f>IFERROR(__xludf.DUMMYFUNCTION("SPLIT(C3576,""-"")"),3596.0)</f>
        <v>3596</v>
      </c>
      <c r="E3576" s="308" t="str">
        <f>IFERROR(__xludf.DUMMYFUNCTION("""COMPUTED_VALUE"""),"P")</f>
        <v>P</v>
      </c>
      <c r="F3576" s="312" t="s">
        <v>37</v>
      </c>
      <c r="G3576" s="308"/>
      <c r="H3576" s="308" t="s">
        <v>14624</v>
      </c>
      <c r="I3576" s="310">
        <v>42445.0</v>
      </c>
      <c r="J3576" s="319">
        <f>IFERROR(__xludf.DUMMYFUNCTION("SPLIT(I3576,""/"")"),16.0)</f>
        <v>16</v>
      </c>
      <c r="K3576" s="308">
        <f>IFERROR(__xludf.DUMMYFUNCTION("""COMPUTED_VALUE"""),3.0)</f>
        <v>3</v>
      </c>
      <c r="L3576" s="308">
        <f>IFERROR(__xludf.DUMMYFUNCTION("""COMPUTED_VALUE"""),2016.0)</f>
        <v>2016</v>
      </c>
      <c r="M3576" s="308" t="s">
        <v>14625</v>
      </c>
      <c r="N3576" s="308"/>
      <c r="O3576" s="308" t="s">
        <v>14626</v>
      </c>
      <c r="P3576" s="308" t="s">
        <v>37049</v>
      </c>
      <c r="Q3576" s="308" t="s">
        <v>37060</v>
      </c>
      <c r="R3576" s="308" t="s">
        <v>2743</v>
      </c>
      <c r="S3576" s="315" t="s">
        <v>100</v>
      </c>
      <c r="T3576" s="311" t="s">
        <v>34208</v>
      </c>
      <c r="U3576" s="308" t="s">
        <v>3795</v>
      </c>
      <c r="V3576" s="312"/>
    </row>
    <row r="3577">
      <c r="A3577" s="308">
        <v>3576.0</v>
      </c>
      <c r="B3577" s="308"/>
      <c r="C3577" s="308" t="s">
        <v>14627</v>
      </c>
      <c r="D3577" s="308">
        <f>IFERROR(__xludf.DUMMYFUNCTION("SPLIT(C3577,""-"")"),3597.0)</f>
        <v>3597</v>
      </c>
      <c r="E3577" s="308" t="str">
        <f>IFERROR(__xludf.DUMMYFUNCTION("""COMPUTED_VALUE"""),"P")</f>
        <v>P</v>
      </c>
      <c r="F3577" s="312" t="s">
        <v>37</v>
      </c>
      <c r="G3577" s="308"/>
      <c r="H3577" s="308" t="s">
        <v>14628</v>
      </c>
      <c r="I3577" s="310">
        <v>42445.0</v>
      </c>
      <c r="J3577" s="319">
        <f>IFERROR(__xludf.DUMMYFUNCTION("SPLIT(I3577,""/"")"),16.0)</f>
        <v>16</v>
      </c>
      <c r="K3577" s="308">
        <f>IFERROR(__xludf.DUMMYFUNCTION("""COMPUTED_VALUE"""),3.0)</f>
        <v>3</v>
      </c>
      <c r="L3577" s="308">
        <f>IFERROR(__xludf.DUMMYFUNCTION("""COMPUTED_VALUE"""),2016.0)</f>
        <v>2016</v>
      </c>
      <c r="M3577" s="308" t="s">
        <v>14625</v>
      </c>
      <c r="N3577" s="308"/>
      <c r="O3577" s="308" t="s">
        <v>14626</v>
      </c>
      <c r="P3577" s="308" t="s">
        <v>37049</v>
      </c>
      <c r="Q3577" s="308" t="s">
        <v>37060</v>
      </c>
      <c r="R3577" s="308" t="s">
        <v>2743</v>
      </c>
      <c r="S3577" s="315" t="s">
        <v>100</v>
      </c>
      <c r="T3577" s="311" t="s">
        <v>34208</v>
      </c>
      <c r="U3577" s="308" t="s">
        <v>3795</v>
      </c>
      <c r="V3577" s="312"/>
    </row>
    <row r="3578">
      <c r="A3578" s="308">
        <v>3577.0</v>
      </c>
      <c r="B3578" s="308"/>
      <c r="C3578" s="308" t="s">
        <v>14629</v>
      </c>
      <c r="D3578" s="308">
        <f>IFERROR(__xludf.DUMMYFUNCTION("SPLIT(C3578,""-"")"),3598.0)</f>
        <v>3598</v>
      </c>
      <c r="E3578" s="308" t="str">
        <f>IFERROR(__xludf.DUMMYFUNCTION("""COMPUTED_VALUE"""),"P")</f>
        <v>P</v>
      </c>
      <c r="F3578" s="312" t="s">
        <v>37</v>
      </c>
      <c r="G3578" s="308"/>
      <c r="H3578" s="308" t="s">
        <v>14630</v>
      </c>
      <c r="I3578" s="310">
        <v>42445.0</v>
      </c>
      <c r="J3578" s="319">
        <f>IFERROR(__xludf.DUMMYFUNCTION("SPLIT(I3578,""/"")"),16.0)</f>
        <v>16</v>
      </c>
      <c r="K3578" s="308">
        <f>IFERROR(__xludf.DUMMYFUNCTION("""COMPUTED_VALUE"""),3.0)</f>
        <v>3</v>
      </c>
      <c r="L3578" s="308">
        <f>IFERROR(__xludf.DUMMYFUNCTION("""COMPUTED_VALUE"""),2016.0)</f>
        <v>2016</v>
      </c>
      <c r="M3578" s="308" t="s">
        <v>14625</v>
      </c>
      <c r="N3578" s="308"/>
      <c r="O3578" s="308" t="s">
        <v>14626</v>
      </c>
      <c r="P3578" s="312" t="s">
        <v>14631</v>
      </c>
      <c r="Q3578" s="308" t="s">
        <v>37060</v>
      </c>
      <c r="R3578" s="308" t="s">
        <v>2743</v>
      </c>
      <c r="S3578" s="308" t="s">
        <v>81</v>
      </c>
      <c r="T3578" s="311" t="s">
        <v>75</v>
      </c>
      <c r="U3578" s="308" t="s">
        <v>3795</v>
      </c>
      <c r="V3578" s="312"/>
    </row>
    <row r="3579">
      <c r="A3579" s="308">
        <v>3578.0</v>
      </c>
      <c r="B3579" s="308"/>
      <c r="C3579" s="308" t="s">
        <v>14632</v>
      </c>
      <c r="D3579" s="308">
        <f>IFERROR(__xludf.DUMMYFUNCTION("SPLIT(C3579,""-"")"),3599.0)</f>
        <v>3599</v>
      </c>
      <c r="E3579" s="308" t="str">
        <f>IFERROR(__xludf.DUMMYFUNCTION("""COMPUTED_VALUE"""),"P")</f>
        <v>P</v>
      </c>
      <c r="F3579" s="312" t="s">
        <v>37</v>
      </c>
      <c r="G3579" s="308"/>
      <c r="H3579" s="308" t="s">
        <v>14633</v>
      </c>
      <c r="I3579" s="310">
        <v>42538.0</v>
      </c>
      <c r="J3579" s="319">
        <f>IFERROR(__xludf.DUMMYFUNCTION("SPLIT(I3579,""/"")"),17.0)</f>
        <v>17</v>
      </c>
      <c r="K3579" s="308">
        <f>IFERROR(__xludf.DUMMYFUNCTION("""COMPUTED_VALUE"""),6.0)</f>
        <v>6</v>
      </c>
      <c r="L3579" s="308">
        <f>IFERROR(__xludf.DUMMYFUNCTION("""COMPUTED_VALUE"""),2016.0)</f>
        <v>2016</v>
      </c>
      <c r="M3579" s="308" t="s">
        <v>14634</v>
      </c>
      <c r="N3579" s="308"/>
      <c r="O3579" s="308" t="s">
        <v>14635</v>
      </c>
      <c r="P3579" s="308" t="s">
        <v>14636</v>
      </c>
      <c r="Q3579" s="308" t="s">
        <v>37060</v>
      </c>
      <c r="R3579" s="308" t="s">
        <v>2743</v>
      </c>
      <c r="S3579" s="308" t="s">
        <v>81</v>
      </c>
      <c r="T3579" s="308" t="s">
        <v>75</v>
      </c>
      <c r="U3579" s="308" t="s">
        <v>149</v>
      </c>
      <c r="V3579" s="312"/>
    </row>
    <row r="3580">
      <c r="A3580" s="308">
        <v>3579.0</v>
      </c>
      <c r="B3580" s="308"/>
      <c r="C3580" s="308" t="s">
        <v>14637</v>
      </c>
      <c r="D3580" s="308">
        <f>IFERROR(__xludf.DUMMYFUNCTION("SPLIT(C3580,""-"")"),3600.0)</f>
        <v>3600</v>
      </c>
      <c r="E3580" s="308" t="str">
        <f>IFERROR(__xludf.DUMMYFUNCTION("""COMPUTED_VALUE"""),"K")</f>
        <v>K</v>
      </c>
      <c r="F3580" s="309" t="s">
        <v>34</v>
      </c>
      <c r="G3580" s="308"/>
      <c r="H3580" s="308" t="s">
        <v>37061</v>
      </c>
      <c r="I3580" s="310">
        <v>42423.0</v>
      </c>
      <c r="J3580" s="319">
        <f>IFERROR(__xludf.DUMMYFUNCTION("SPLIT(I3580,""/"")"),23.0)</f>
        <v>23</v>
      </c>
      <c r="K3580" s="308">
        <f>IFERROR(__xludf.DUMMYFUNCTION("""COMPUTED_VALUE"""),2.0)</f>
        <v>2</v>
      </c>
      <c r="L3580" s="308">
        <f>IFERROR(__xludf.DUMMYFUNCTION("""COMPUTED_VALUE"""),2016.0)</f>
        <v>2016</v>
      </c>
      <c r="M3580" s="308" t="s">
        <v>14639</v>
      </c>
      <c r="N3580" s="308"/>
      <c r="O3580" s="308" t="s">
        <v>14640</v>
      </c>
      <c r="P3580" s="308" t="s">
        <v>12023</v>
      </c>
      <c r="Q3580" s="308" t="s">
        <v>37062</v>
      </c>
      <c r="R3580" s="308" t="s">
        <v>2743</v>
      </c>
      <c r="S3580" s="315" t="s">
        <v>100</v>
      </c>
      <c r="T3580" s="311" t="s">
        <v>34208</v>
      </c>
      <c r="U3580" s="308" t="s">
        <v>4487</v>
      </c>
      <c r="V3580" s="312"/>
    </row>
    <row r="3581">
      <c r="A3581" s="308">
        <v>3580.0</v>
      </c>
      <c r="B3581" s="308"/>
      <c r="C3581" s="308" t="s">
        <v>14641</v>
      </c>
      <c r="D3581" s="308">
        <f>IFERROR(__xludf.DUMMYFUNCTION("SPLIT(C3581,""-"")"),3601.0)</f>
        <v>3601</v>
      </c>
      <c r="E3581" s="308" t="str">
        <f>IFERROR(__xludf.DUMMYFUNCTION("""COMPUTED_VALUE"""),"S")</f>
        <v>S</v>
      </c>
      <c r="F3581" s="312" t="s">
        <v>39</v>
      </c>
      <c r="G3581" s="308"/>
      <c r="H3581" s="308" t="s">
        <v>14642</v>
      </c>
      <c r="I3581" s="310">
        <v>40515.0</v>
      </c>
      <c r="J3581" s="319">
        <f>IFERROR(__xludf.DUMMYFUNCTION("SPLIT(I3581,""/"")"),3.0)</f>
        <v>3</v>
      </c>
      <c r="K3581" s="308">
        <f>IFERROR(__xludf.DUMMYFUNCTION("""COMPUTED_VALUE"""),12.0)</f>
        <v>12</v>
      </c>
      <c r="L3581" s="308">
        <f>IFERROR(__xludf.DUMMYFUNCTION("""COMPUTED_VALUE"""),2010.0)</f>
        <v>2010</v>
      </c>
      <c r="M3581" s="308" t="s">
        <v>14643</v>
      </c>
      <c r="N3581" s="308"/>
      <c r="O3581" s="308" t="s">
        <v>14644</v>
      </c>
      <c r="P3581" s="308" t="s">
        <v>37063</v>
      </c>
      <c r="Q3581" s="308" t="s">
        <v>37062</v>
      </c>
      <c r="R3581" s="308" t="s">
        <v>2743</v>
      </c>
      <c r="S3581" s="308" t="s">
        <v>81</v>
      </c>
      <c r="T3581" s="308" t="s">
        <v>75</v>
      </c>
      <c r="U3581" s="308" t="s">
        <v>166</v>
      </c>
      <c r="V3581" s="312"/>
    </row>
    <row r="3582">
      <c r="A3582" s="308">
        <v>3581.0</v>
      </c>
      <c r="B3582" s="308"/>
      <c r="C3582" s="308" t="s">
        <v>14646</v>
      </c>
      <c r="D3582" s="308">
        <f>IFERROR(__xludf.DUMMYFUNCTION("SPLIT(C3582,""-"")"),3602.0)</f>
        <v>3602</v>
      </c>
      <c r="E3582" s="308" t="str">
        <f>IFERROR(__xludf.DUMMYFUNCTION("""COMPUTED_VALUE"""),"P")</f>
        <v>P</v>
      </c>
      <c r="F3582" s="312" t="s">
        <v>37</v>
      </c>
      <c r="G3582" s="308"/>
      <c r="H3582" s="308" t="s">
        <v>37064</v>
      </c>
      <c r="I3582" s="310">
        <v>42370.0</v>
      </c>
      <c r="J3582" s="319">
        <f>IFERROR(__xludf.DUMMYFUNCTION("SPLIT(I3582,""/"")"),1.0)</f>
        <v>1</v>
      </c>
      <c r="K3582" s="308">
        <f>IFERROR(__xludf.DUMMYFUNCTION("""COMPUTED_VALUE"""),1.0)</f>
        <v>1</v>
      </c>
      <c r="L3582" s="308">
        <f>IFERROR(__xludf.DUMMYFUNCTION("""COMPUTED_VALUE"""),2016.0)</f>
        <v>2016</v>
      </c>
      <c r="M3582" s="308" t="s">
        <v>14648</v>
      </c>
      <c r="N3582" s="308"/>
      <c r="O3582" s="308" t="s">
        <v>14649</v>
      </c>
      <c r="P3582" s="308" t="s">
        <v>37065</v>
      </c>
      <c r="Q3582" s="308" t="s">
        <v>37066</v>
      </c>
      <c r="R3582" s="308" t="s">
        <v>2743</v>
      </c>
      <c r="S3582" s="308" t="s">
        <v>81</v>
      </c>
      <c r="T3582" s="308" t="s">
        <v>75</v>
      </c>
      <c r="U3582" s="308" t="s">
        <v>143</v>
      </c>
      <c r="V3582" s="312"/>
    </row>
    <row r="3583">
      <c r="A3583" s="308">
        <v>3582.0</v>
      </c>
      <c r="B3583" s="308"/>
      <c r="C3583" s="308" t="s">
        <v>14651</v>
      </c>
      <c r="D3583" s="308">
        <f>IFERROR(__xludf.DUMMYFUNCTION("SPLIT(C3583,""-"")"),3603.0)</f>
        <v>3603</v>
      </c>
      <c r="E3583" s="308" t="str">
        <f>IFERROR(__xludf.DUMMYFUNCTION("""COMPUTED_VALUE"""),"P")</f>
        <v>P</v>
      </c>
      <c r="F3583" s="312" t="s">
        <v>37</v>
      </c>
      <c r="G3583" s="308"/>
      <c r="H3583" s="308" t="s">
        <v>14652</v>
      </c>
      <c r="I3583" s="310">
        <v>42006.0</v>
      </c>
      <c r="J3583" s="319">
        <f>IFERROR(__xludf.DUMMYFUNCTION("SPLIT(I3583,""/"")"),2.0)</f>
        <v>2</v>
      </c>
      <c r="K3583" s="308">
        <f>IFERROR(__xludf.DUMMYFUNCTION("""COMPUTED_VALUE"""),1.0)</f>
        <v>1</v>
      </c>
      <c r="L3583" s="308">
        <f>IFERROR(__xludf.DUMMYFUNCTION("""COMPUTED_VALUE"""),2015.0)</f>
        <v>2015</v>
      </c>
      <c r="M3583" s="308" t="s">
        <v>14653</v>
      </c>
      <c r="N3583" s="308"/>
      <c r="O3583" s="308"/>
      <c r="P3583" s="308" t="s">
        <v>4801</v>
      </c>
      <c r="Q3583" s="308" t="s">
        <v>37066</v>
      </c>
      <c r="R3583" s="308" t="s">
        <v>2743</v>
      </c>
      <c r="S3583" s="315" t="s">
        <v>100</v>
      </c>
      <c r="T3583" s="311" t="s">
        <v>34208</v>
      </c>
      <c r="U3583" s="308" t="s">
        <v>149</v>
      </c>
      <c r="V3583" s="312"/>
    </row>
    <row r="3584">
      <c r="A3584" s="308">
        <v>3583.0</v>
      </c>
      <c r="B3584" s="308"/>
      <c r="C3584" s="308" t="s">
        <v>14654</v>
      </c>
      <c r="D3584" s="308">
        <f>IFERROR(__xludf.DUMMYFUNCTION("SPLIT(C3584,""-"")"),3604.0)</f>
        <v>3604</v>
      </c>
      <c r="E3584" s="308" t="str">
        <f>IFERROR(__xludf.DUMMYFUNCTION("""COMPUTED_VALUE"""),"P")</f>
        <v>P</v>
      </c>
      <c r="F3584" s="312" t="s">
        <v>37</v>
      </c>
      <c r="G3584" s="308"/>
      <c r="H3584" s="308" t="s">
        <v>14655</v>
      </c>
      <c r="I3584" s="310">
        <v>42006.0</v>
      </c>
      <c r="J3584" s="319">
        <f>IFERROR(__xludf.DUMMYFUNCTION("SPLIT(I3584,""/"")"),2.0)</f>
        <v>2</v>
      </c>
      <c r="K3584" s="308">
        <f>IFERROR(__xludf.DUMMYFUNCTION("""COMPUTED_VALUE"""),1.0)</f>
        <v>1</v>
      </c>
      <c r="L3584" s="308">
        <f>IFERROR(__xludf.DUMMYFUNCTION("""COMPUTED_VALUE"""),2015.0)</f>
        <v>2015</v>
      </c>
      <c r="M3584" s="308" t="s">
        <v>14653</v>
      </c>
      <c r="N3584" s="308"/>
      <c r="O3584" s="308"/>
      <c r="P3584" s="308" t="s">
        <v>14656</v>
      </c>
      <c r="Q3584" s="308" t="s">
        <v>37066</v>
      </c>
      <c r="R3584" s="308" t="s">
        <v>2743</v>
      </c>
      <c r="S3584" s="308" t="s">
        <v>81</v>
      </c>
      <c r="T3584" s="311" t="s">
        <v>73</v>
      </c>
      <c r="U3584" s="312"/>
      <c r="V3584" s="312"/>
    </row>
    <row r="3585">
      <c r="A3585" s="308">
        <v>3584.0</v>
      </c>
      <c r="B3585" s="308"/>
      <c r="C3585" s="308" t="s">
        <v>14657</v>
      </c>
      <c r="D3585" s="308">
        <f>IFERROR(__xludf.DUMMYFUNCTION("SPLIT(C3585,""-"")"),3605.0)</f>
        <v>3605</v>
      </c>
      <c r="E3585" s="308" t="str">
        <f>IFERROR(__xludf.DUMMYFUNCTION("""COMPUTED_VALUE"""),"F")</f>
        <v>F</v>
      </c>
      <c r="F3585" s="309" t="s">
        <v>34</v>
      </c>
      <c r="G3585" s="308"/>
      <c r="H3585" s="308" t="s">
        <v>14658</v>
      </c>
      <c r="I3585" s="310">
        <v>42437.0</v>
      </c>
      <c r="J3585" s="319">
        <f>IFERROR(__xludf.DUMMYFUNCTION("SPLIT(I3585,""/"")"),8.0)</f>
        <v>8</v>
      </c>
      <c r="K3585" s="308">
        <f>IFERROR(__xludf.DUMMYFUNCTION("""COMPUTED_VALUE"""),3.0)</f>
        <v>3</v>
      </c>
      <c r="L3585" s="308">
        <f>IFERROR(__xludf.DUMMYFUNCTION("""COMPUTED_VALUE"""),2016.0)</f>
        <v>2016</v>
      </c>
      <c r="M3585" s="308" t="s">
        <v>14659</v>
      </c>
      <c r="N3585" s="308"/>
      <c r="O3585" s="308"/>
      <c r="P3585" s="308" t="s">
        <v>14660</v>
      </c>
      <c r="Q3585" s="308" t="s">
        <v>37067</v>
      </c>
      <c r="R3585" s="308" t="s">
        <v>13594</v>
      </c>
      <c r="S3585" s="308" t="s">
        <v>81</v>
      </c>
      <c r="T3585" s="308" t="s">
        <v>34264</v>
      </c>
      <c r="U3585" s="308"/>
      <c r="V3585" s="312"/>
    </row>
    <row r="3586">
      <c r="A3586" s="308">
        <v>3585.0</v>
      </c>
      <c r="B3586" s="308"/>
      <c r="C3586" s="308" t="s">
        <v>14661</v>
      </c>
      <c r="D3586" s="308">
        <f>IFERROR(__xludf.DUMMYFUNCTION("SPLIT(C3586,""-"")"),3606.0)</f>
        <v>3606</v>
      </c>
      <c r="E3586" s="308" t="str">
        <f>IFERROR(__xludf.DUMMYFUNCTION("""COMPUTED_VALUE"""),"F")</f>
        <v>F</v>
      </c>
      <c r="F3586" s="309" t="s">
        <v>34</v>
      </c>
      <c r="G3586" s="308"/>
      <c r="H3586" s="308" t="s">
        <v>14662</v>
      </c>
      <c r="I3586" s="310">
        <v>41658.0</v>
      </c>
      <c r="J3586" s="319">
        <f>IFERROR(__xludf.DUMMYFUNCTION("SPLIT(I3586,""/"")"),19.0)</f>
        <v>19</v>
      </c>
      <c r="K3586" s="308">
        <f>IFERROR(__xludf.DUMMYFUNCTION("""COMPUTED_VALUE"""),1.0)</f>
        <v>1</v>
      </c>
      <c r="L3586" s="308">
        <f>IFERROR(__xludf.DUMMYFUNCTION("""COMPUTED_VALUE"""),2014.0)</f>
        <v>2014</v>
      </c>
      <c r="M3586" s="308" t="s">
        <v>14663</v>
      </c>
      <c r="N3586" s="308"/>
      <c r="O3586" s="308" t="s">
        <v>635</v>
      </c>
      <c r="P3586" s="308" t="s">
        <v>14664</v>
      </c>
      <c r="Q3586" s="308" t="s">
        <v>37067</v>
      </c>
      <c r="R3586" s="308" t="s">
        <v>13594</v>
      </c>
      <c r="S3586" s="308" t="s">
        <v>81</v>
      </c>
      <c r="T3586" s="308" t="s">
        <v>34264</v>
      </c>
      <c r="U3586" s="308"/>
      <c r="V3586" s="312"/>
    </row>
    <row r="3587">
      <c r="A3587" s="308">
        <v>3586.0</v>
      </c>
      <c r="B3587" s="308"/>
      <c r="C3587" s="308" t="s">
        <v>14665</v>
      </c>
      <c r="D3587" s="308">
        <f>IFERROR(__xludf.DUMMYFUNCTION("SPLIT(C3587,""-"")"),3607.0)</f>
        <v>3607</v>
      </c>
      <c r="E3587" s="308" t="str">
        <f>IFERROR(__xludf.DUMMYFUNCTION("""COMPUTED_VALUE"""),"K")</f>
        <v>K</v>
      </c>
      <c r="F3587" s="309" t="s">
        <v>34</v>
      </c>
      <c r="G3587" s="308"/>
      <c r="H3587" s="308" t="s">
        <v>14666</v>
      </c>
      <c r="I3587" s="310">
        <v>42544.0</v>
      </c>
      <c r="J3587" s="319">
        <f>IFERROR(__xludf.DUMMYFUNCTION("SPLIT(I3587,""/"")"),23.0)</f>
        <v>23</v>
      </c>
      <c r="K3587" s="308">
        <f>IFERROR(__xludf.DUMMYFUNCTION("""COMPUTED_VALUE"""),6.0)</f>
        <v>6</v>
      </c>
      <c r="L3587" s="308">
        <f>IFERROR(__xludf.DUMMYFUNCTION("""COMPUTED_VALUE"""),2016.0)</f>
        <v>2016</v>
      </c>
      <c r="M3587" s="308" t="s">
        <v>14667</v>
      </c>
      <c r="N3587" s="308"/>
      <c r="O3587" s="308" t="s">
        <v>14668</v>
      </c>
      <c r="P3587" s="308" t="s">
        <v>37068</v>
      </c>
      <c r="Q3587" s="308" t="s">
        <v>37067</v>
      </c>
      <c r="R3587" s="308" t="s">
        <v>13594</v>
      </c>
      <c r="S3587" s="308" t="s">
        <v>49</v>
      </c>
      <c r="T3587" s="311" t="s">
        <v>51</v>
      </c>
      <c r="U3587" s="308" t="s">
        <v>4749</v>
      </c>
      <c r="V3587" s="312"/>
    </row>
    <row r="3588">
      <c r="A3588" s="308">
        <v>3587.0</v>
      </c>
      <c r="B3588" s="308"/>
      <c r="C3588" s="308" t="s">
        <v>14670</v>
      </c>
      <c r="D3588" s="308">
        <f>IFERROR(__xludf.DUMMYFUNCTION("SPLIT(C3588,""-"")"),3608.0)</f>
        <v>3608</v>
      </c>
      <c r="E3588" s="308" t="str">
        <f>IFERROR(__xludf.DUMMYFUNCTION("""COMPUTED_VALUE"""),"S")</f>
        <v>S</v>
      </c>
      <c r="F3588" s="312" t="s">
        <v>39</v>
      </c>
      <c r="G3588" s="308"/>
      <c r="H3588" s="308" t="s">
        <v>14671</v>
      </c>
      <c r="I3588" s="310">
        <v>41385.0</v>
      </c>
      <c r="J3588" s="319">
        <f>IFERROR(__xludf.DUMMYFUNCTION("SPLIT(I3588,""/"")"),21.0)</f>
        <v>21</v>
      </c>
      <c r="K3588" s="308">
        <f>IFERROR(__xludf.DUMMYFUNCTION("""COMPUTED_VALUE"""),4.0)</f>
        <v>4</v>
      </c>
      <c r="L3588" s="308">
        <f>IFERROR(__xludf.DUMMYFUNCTION("""COMPUTED_VALUE"""),2013.0)</f>
        <v>2013</v>
      </c>
      <c r="M3588" s="308" t="s">
        <v>14672</v>
      </c>
      <c r="N3588" s="308"/>
      <c r="O3588" s="308" t="s">
        <v>14673</v>
      </c>
      <c r="P3588" s="308" t="s">
        <v>37069</v>
      </c>
      <c r="Q3588" s="308" t="s">
        <v>37067</v>
      </c>
      <c r="R3588" s="308" t="s">
        <v>13594</v>
      </c>
      <c r="S3588" s="308" t="s">
        <v>81</v>
      </c>
      <c r="T3588" s="308" t="s">
        <v>34264</v>
      </c>
      <c r="U3588" s="308" t="s">
        <v>166</v>
      </c>
      <c r="V3588" s="312"/>
    </row>
    <row r="3589">
      <c r="A3589" s="308">
        <v>3588.0</v>
      </c>
      <c r="B3589" s="308"/>
      <c r="C3589" s="308" t="s">
        <v>14675</v>
      </c>
      <c r="D3589" s="308">
        <f>IFERROR(__xludf.DUMMYFUNCTION("SPLIT(C3589,""-"")"),3609.0)</f>
        <v>3609</v>
      </c>
      <c r="E3589" s="308" t="str">
        <f>IFERROR(__xludf.DUMMYFUNCTION("""COMPUTED_VALUE"""),"K")</f>
        <v>K</v>
      </c>
      <c r="F3589" s="309" t="s">
        <v>34</v>
      </c>
      <c r="G3589" s="308"/>
      <c r="H3589" s="308" t="s">
        <v>14676</v>
      </c>
      <c r="I3589" s="310">
        <v>42592.0</v>
      </c>
      <c r="J3589" s="319">
        <f>IFERROR(__xludf.DUMMYFUNCTION("SPLIT(I3589,""/"")"),10.0)</f>
        <v>10</v>
      </c>
      <c r="K3589" s="308">
        <f>IFERROR(__xludf.DUMMYFUNCTION("""COMPUTED_VALUE"""),8.0)</f>
        <v>8</v>
      </c>
      <c r="L3589" s="308">
        <f>IFERROR(__xludf.DUMMYFUNCTION("""COMPUTED_VALUE"""),2016.0)</f>
        <v>2016</v>
      </c>
      <c r="M3589" s="308" t="s">
        <v>14677</v>
      </c>
      <c r="N3589" s="308"/>
      <c r="O3589" s="308" t="s">
        <v>14678</v>
      </c>
      <c r="P3589" s="308" t="s">
        <v>37070</v>
      </c>
      <c r="Q3589" s="308" t="s">
        <v>37067</v>
      </c>
      <c r="R3589" s="308" t="s">
        <v>13594</v>
      </c>
      <c r="S3589" s="308" t="s">
        <v>49</v>
      </c>
      <c r="T3589" s="308" t="s">
        <v>51</v>
      </c>
      <c r="U3589" s="308" t="s">
        <v>368</v>
      </c>
      <c r="V3589" s="312"/>
    </row>
    <row r="3590">
      <c r="A3590" s="308">
        <v>3589.0</v>
      </c>
      <c r="B3590" s="308"/>
      <c r="C3590" s="308" t="s">
        <v>14680</v>
      </c>
      <c r="D3590" s="308">
        <f>IFERROR(__xludf.DUMMYFUNCTION("SPLIT(C3590,""-"")"),3610.0)</f>
        <v>3610</v>
      </c>
      <c r="E3590" s="308" t="str">
        <f>IFERROR(__xludf.DUMMYFUNCTION("""COMPUTED_VALUE"""),"K")</f>
        <v>K</v>
      </c>
      <c r="F3590" s="309" t="s">
        <v>34</v>
      </c>
      <c r="G3590" s="308"/>
      <c r="H3590" s="308" t="s">
        <v>14681</v>
      </c>
      <c r="I3590" s="310">
        <v>41352.0</v>
      </c>
      <c r="J3590" s="319">
        <f>IFERROR(__xludf.DUMMYFUNCTION("SPLIT(I3590,""/"")"),19.0)</f>
        <v>19</v>
      </c>
      <c r="K3590" s="308">
        <f>IFERROR(__xludf.DUMMYFUNCTION("""COMPUTED_VALUE"""),3.0)</f>
        <v>3</v>
      </c>
      <c r="L3590" s="308">
        <f>IFERROR(__xludf.DUMMYFUNCTION("""COMPUTED_VALUE"""),2013.0)</f>
        <v>2013</v>
      </c>
      <c r="M3590" s="308" t="s">
        <v>14682</v>
      </c>
      <c r="N3590" s="308" t="s">
        <v>439</v>
      </c>
      <c r="O3590" s="308" t="s">
        <v>14683</v>
      </c>
      <c r="P3590" s="308" t="s">
        <v>3575</v>
      </c>
      <c r="Q3590" s="308" t="s">
        <v>37067</v>
      </c>
      <c r="R3590" s="308" t="s">
        <v>13594</v>
      </c>
      <c r="S3590" s="315" t="s">
        <v>100</v>
      </c>
      <c r="T3590" s="311" t="s">
        <v>34208</v>
      </c>
      <c r="U3590" s="308" t="s">
        <v>2152</v>
      </c>
      <c r="V3590" s="312"/>
    </row>
    <row r="3591">
      <c r="A3591" s="308">
        <v>3590.0</v>
      </c>
      <c r="B3591" s="308"/>
      <c r="C3591" s="308" t="s">
        <v>14684</v>
      </c>
      <c r="D3591" s="308">
        <f>IFERROR(__xludf.DUMMYFUNCTION("SPLIT(C3591,""-"")"),3611.0)</f>
        <v>3611</v>
      </c>
      <c r="E3591" s="308" t="str">
        <f>IFERROR(__xludf.DUMMYFUNCTION("""COMPUTED_VALUE"""),"P")</f>
        <v>P</v>
      </c>
      <c r="F3591" s="312" t="s">
        <v>37</v>
      </c>
      <c r="G3591" s="308"/>
      <c r="H3591" s="308" t="s">
        <v>14685</v>
      </c>
      <c r="I3591" s="310">
        <v>41822.0</v>
      </c>
      <c r="J3591" s="319">
        <f>IFERROR(__xludf.DUMMYFUNCTION("SPLIT(I3591,""/"")"),2.0)</f>
        <v>2</v>
      </c>
      <c r="K3591" s="308">
        <f>IFERROR(__xludf.DUMMYFUNCTION("""COMPUTED_VALUE"""),7.0)</f>
        <v>7</v>
      </c>
      <c r="L3591" s="308">
        <f>IFERROR(__xludf.DUMMYFUNCTION("""COMPUTED_VALUE"""),2014.0)</f>
        <v>2014</v>
      </c>
      <c r="M3591" s="308" t="s">
        <v>14686</v>
      </c>
      <c r="N3591" s="308"/>
      <c r="O3591" s="308" t="s">
        <v>14687</v>
      </c>
      <c r="P3591" s="308" t="s">
        <v>14688</v>
      </c>
      <c r="Q3591" s="308" t="s">
        <v>37067</v>
      </c>
      <c r="R3591" s="308" t="s">
        <v>2743</v>
      </c>
      <c r="S3591" s="308" t="s">
        <v>49</v>
      </c>
      <c r="T3591" s="308" t="s">
        <v>51</v>
      </c>
      <c r="U3591" s="308"/>
      <c r="V3591" s="312"/>
    </row>
    <row r="3592">
      <c r="A3592" s="308">
        <v>3591.0</v>
      </c>
      <c r="B3592" s="308"/>
      <c r="C3592" s="308" t="s">
        <v>14689</v>
      </c>
      <c r="D3592" s="308">
        <f>IFERROR(__xludf.DUMMYFUNCTION("SPLIT(C3592,""-"")"),3612.0)</f>
        <v>3612</v>
      </c>
      <c r="E3592" s="308" t="str">
        <f>IFERROR(__xludf.DUMMYFUNCTION("""COMPUTED_VALUE"""),"K")</f>
        <v>K</v>
      </c>
      <c r="F3592" s="309" t="s">
        <v>34</v>
      </c>
      <c r="G3592" s="308"/>
      <c r="H3592" s="308" t="s">
        <v>14690</v>
      </c>
      <c r="I3592" s="314">
        <v>42304.0</v>
      </c>
      <c r="J3592" s="319">
        <f>IFERROR(__xludf.DUMMYFUNCTION("SPLIT(I3592,""/"")"),27.0)</f>
        <v>27</v>
      </c>
      <c r="K3592" s="308">
        <f>IFERROR(__xludf.DUMMYFUNCTION("""COMPUTED_VALUE"""),10.0)</f>
        <v>10</v>
      </c>
      <c r="L3592" s="308">
        <f>IFERROR(__xludf.DUMMYFUNCTION("""COMPUTED_VALUE"""),2015.0)</f>
        <v>2015</v>
      </c>
      <c r="M3592" s="308" t="s">
        <v>14691</v>
      </c>
      <c r="N3592" s="308"/>
      <c r="O3592" s="308" t="s">
        <v>14692</v>
      </c>
      <c r="P3592" s="308" t="s">
        <v>14693</v>
      </c>
      <c r="Q3592" s="308" t="s">
        <v>37071</v>
      </c>
      <c r="R3592" s="308" t="s">
        <v>2743</v>
      </c>
      <c r="S3592" s="308" t="s">
        <v>81</v>
      </c>
      <c r="T3592" s="311" t="s">
        <v>96</v>
      </c>
      <c r="U3592" s="308"/>
      <c r="V3592" s="312"/>
    </row>
    <row r="3593">
      <c r="A3593" s="308">
        <v>3592.0</v>
      </c>
      <c r="B3593" s="308"/>
      <c r="C3593" s="308" t="s">
        <v>14694</v>
      </c>
      <c r="D3593" s="308">
        <f>IFERROR(__xludf.DUMMYFUNCTION("SPLIT(C3593,""-"")"),3613.0)</f>
        <v>3613</v>
      </c>
      <c r="E3593" s="308" t="str">
        <f>IFERROR(__xludf.DUMMYFUNCTION("""COMPUTED_VALUE"""),"P")</f>
        <v>P</v>
      </c>
      <c r="F3593" s="312" t="s">
        <v>37</v>
      </c>
      <c r="G3593" s="308"/>
      <c r="H3593" s="308" t="s">
        <v>14695</v>
      </c>
      <c r="I3593" s="310">
        <v>42382.0</v>
      </c>
      <c r="J3593" s="319">
        <f>IFERROR(__xludf.DUMMYFUNCTION("SPLIT(I3593,""/"")"),13.0)</f>
        <v>13</v>
      </c>
      <c r="K3593" s="308">
        <f>IFERROR(__xludf.DUMMYFUNCTION("""COMPUTED_VALUE"""),1.0)</f>
        <v>1</v>
      </c>
      <c r="L3593" s="308">
        <f>IFERROR(__xludf.DUMMYFUNCTION("""COMPUTED_VALUE"""),2016.0)</f>
        <v>2016</v>
      </c>
      <c r="M3593" s="308" t="s">
        <v>14696</v>
      </c>
      <c r="N3593" s="308"/>
      <c r="O3593" s="308" t="s">
        <v>14697</v>
      </c>
      <c r="P3593" s="308" t="s">
        <v>37072</v>
      </c>
      <c r="Q3593" s="308" t="s">
        <v>37073</v>
      </c>
      <c r="R3593" s="308" t="s">
        <v>2743</v>
      </c>
      <c r="S3593" s="308" t="s">
        <v>81</v>
      </c>
      <c r="T3593" s="308" t="s">
        <v>75</v>
      </c>
      <c r="U3593" s="308" t="s">
        <v>149</v>
      </c>
      <c r="V3593" s="312"/>
    </row>
    <row r="3594">
      <c r="A3594" s="308">
        <v>3593.0</v>
      </c>
      <c r="B3594" s="308"/>
      <c r="C3594" s="308" t="s">
        <v>14699</v>
      </c>
      <c r="D3594" s="308">
        <f>IFERROR(__xludf.DUMMYFUNCTION("SPLIT(C3594,""-"")"),3614.0)</f>
        <v>3614</v>
      </c>
      <c r="E3594" s="308" t="str">
        <f>IFERROR(__xludf.DUMMYFUNCTION("""COMPUTED_VALUE"""),"K")</f>
        <v>K</v>
      </c>
      <c r="F3594" s="309" t="s">
        <v>34</v>
      </c>
      <c r="G3594" s="308"/>
      <c r="H3594" s="308" t="s">
        <v>14700</v>
      </c>
      <c r="I3594" s="310">
        <v>42236.0</v>
      </c>
      <c r="J3594" s="319">
        <f>IFERROR(__xludf.DUMMYFUNCTION("SPLIT(I3594,""/"")"),20.0)</f>
        <v>20</v>
      </c>
      <c r="K3594" s="308">
        <f>IFERROR(__xludf.DUMMYFUNCTION("""COMPUTED_VALUE"""),8.0)</f>
        <v>8</v>
      </c>
      <c r="L3594" s="308">
        <f>IFERROR(__xludf.DUMMYFUNCTION("""COMPUTED_VALUE"""),2015.0)</f>
        <v>2015</v>
      </c>
      <c r="M3594" s="308" t="s">
        <v>14701</v>
      </c>
      <c r="N3594" s="308"/>
      <c r="O3594" s="308" t="s">
        <v>14702</v>
      </c>
      <c r="P3594" s="308" t="s">
        <v>37074</v>
      </c>
      <c r="Q3594" s="308" t="s">
        <v>37073</v>
      </c>
      <c r="R3594" s="308" t="s">
        <v>2743</v>
      </c>
      <c r="S3594" s="308" t="s">
        <v>49</v>
      </c>
      <c r="T3594" s="311" t="s">
        <v>51</v>
      </c>
      <c r="U3594" s="308" t="s">
        <v>125</v>
      </c>
      <c r="V3594" s="312"/>
    </row>
    <row r="3595">
      <c r="A3595" s="308">
        <v>3594.0</v>
      </c>
      <c r="B3595" s="308"/>
      <c r="C3595" s="308" t="s">
        <v>14704</v>
      </c>
      <c r="D3595" s="308">
        <f>IFERROR(__xludf.DUMMYFUNCTION("SPLIT(C3595,""-"")"),3615.0)</f>
        <v>3615</v>
      </c>
      <c r="E3595" s="308" t="str">
        <f>IFERROR(__xludf.DUMMYFUNCTION("""COMPUTED_VALUE"""),"K")</f>
        <v>K</v>
      </c>
      <c r="F3595" s="309" t="s">
        <v>34</v>
      </c>
      <c r="G3595" s="308"/>
      <c r="H3595" s="308" t="s">
        <v>14705</v>
      </c>
      <c r="I3595" s="316">
        <v>2009.0</v>
      </c>
      <c r="J3595" s="319"/>
      <c r="K3595" s="308"/>
      <c r="L3595" s="311">
        <v>2009.0</v>
      </c>
      <c r="M3595" s="308" t="s">
        <v>14706</v>
      </c>
      <c r="N3595" s="308"/>
      <c r="O3595" s="308" t="s">
        <v>14707</v>
      </c>
      <c r="P3595" s="308" t="s">
        <v>9580</v>
      </c>
      <c r="Q3595" s="308" t="s">
        <v>37073</v>
      </c>
      <c r="R3595" s="308" t="s">
        <v>2743</v>
      </c>
      <c r="S3595" s="315" t="s">
        <v>100</v>
      </c>
      <c r="T3595" s="311" t="s">
        <v>34208</v>
      </c>
      <c r="U3595" s="308" t="s">
        <v>530</v>
      </c>
      <c r="V3595" s="312"/>
    </row>
    <row r="3596">
      <c r="A3596" s="308">
        <v>3595.0</v>
      </c>
      <c r="B3596" s="308"/>
      <c r="C3596" s="308" t="s">
        <v>14708</v>
      </c>
      <c r="D3596" s="308">
        <f>IFERROR(__xludf.DUMMYFUNCTION("SPLIT(C3596,""-"")"),3616.0)</f>
        <v>3616</v>
      </c>
      <c r="E3596" s="308" t="str">
        <f>IFERROR(__xludf.DUMMYFUNCTION("""COMPUTED_VALUE"""),"K")</f>
        <v>K</v>
      </c>
      <c r="F3596" s="309" t="s">
        <v>34</v>
      </c>
      <c r="G3596" s="308"/>
      <c r="H3596" s="308" t="s">
        <v>14709</v>
      </c>
      <c r="I3596" s="310">
        <v>42443.0</v>
      </c>
      <c r="J3596" s="319">
        <f>IFERROR(__xludf.DUMMYFUNCTION("SPLIT(I3596,""/"")"),14.0)</f>
        <v>14</v>
      </c>
      <c r="K3596" s="308">
        <f>IFERROR(__xludf.DUMMYFUNCTION("""COMPUTED_VALUE"""),3.0)</f>
        <v>3</v>
      </c>
      <c r="L3596" s="308">
        <f>IFERROR(__xludf.DUMMYFUNCTION("""COMPUTED_VALUE"""),2016.0)</f>
        <v>2016</v>
      </c>
      <c r="M3596" s="308" t="s">
        <v>14710</v>
      </c>
      <c r="N3596" s="308"/>
      <c r="O3596" s="308" t="s">
        <v>14711</v>
      </c>
      <c r="P3596" s="308" t="s">
        <v>14712</v>
      </c>
      <c r="Q3596" s="308" t="s">
        <v>37073</v>
      </c>
      <c r="R3596" s="308" t="s">
        <v>2743</v>
      </c>
      <c r="S3596" s="308" t="s">
        <v>81</v>
      </c>
      <c r="T3596" s="308" t="s">
        <v>75</v>
      </c>
      <c r="U3596" s="308" t="s">
        <v>2152</v>
      </c>
      <c r="V3596" s="312"/>
    </row>
    <row r="3597">
      <c r="A3597" s="308">
        <v>3596.0</v>
      </c>
      <c r="B3597" s="308"/>
      <c r="C3597" s="308" t="s">
        <v>14713</v>
      </c>
      <c r="D3597" s="308">
        <f>IFERROR(__xludf.DUMMYFUNCTION("SPLIT(C3597,""-"")"),3617.0)</f>
        <v>3617</v>
      </c>
      <c r="E3597" s="308" t="str">
        <f>IFERROR(__xludf.DUMMYFUNCTION("""COMPUTED_VALUE"""),"K")</f>
        <v>K</v>
      </c>
      <c r="F3597" s="309" t="s">
        <v>34</v>
      </c>
      <c r="G3597" s="308"/>
      <c r="H3597" s="308" t="s">
        <v>14714</v>
      </c>
      <c r="I3597" s="325">
        <v>41334.0</v>
      </c>
      <c r="J3597" s="319"/>
      <c r="K3597" s="311">
        <v>3.0</v>
      </c>
      <c r="L3597" s="311">
        <v>2013.0</v>
      </c>
      <c r="M3597" s="308" t="s">
        <v>14715</v>
      </c>
      <c r="N3597" s="308"/>
      <c r="O3597" s="308" t="s">
        <v>14716</v>
      </c>
      <c r="P3597" s="308" t="s">
        <v>14717</v>
      </c>
      <c r="Q3597" s="308" t="s">
        <v>37073</v>
      </c>
      <c r="R3597" s="308" t="s">
        <v>2743</v>
      </c>
      <c r="S3597" s="308" t="s">
        <v>81</v>
      </c>
      <c r="T3597" s="311" t="s">
        <v>51</v>
      </c>
      <c r="U3597" s="308" t="s">
        <v>530</v>
      </c>
      <c r="V3597" s="312"/>
    </row>
    <row r="3598">
      <c r="A3598" s="308">
        <v>3597.0</v>
      </c>
      <c r="B3598" s="308"/>
      <c r="C3598" s="308" t="s">
        <v>14718</v>
      </c>
      <c r="D3598" s="308">
        <f>IFERROR(__xludf.DUMMYFUNCTION("SPLIT(C3598,""-"")"),3618.0)</f>
        <v>3618</v>
      </c>
      <c r="E3598" s="308" t="str">
        <f>IFERROR(__xludf.DUMMYFUNCTION("""COMPUTED_VALUE"""),"K")</f>
        <v>K</v>
      </c>
      <c r="F3598" s="309" t="s">
        <v>34</v>
      </c>
      <c r="G3598" s="308"/>
      <c r="H3598" s="308" t="s">
        <v>14719</v>
      </c>
      <c r="I3598" s="310">
        <v>42509.0</v>
      </c>
      <c r="J3598" s="319">
        <f>IFERROR(__xludf.DUMMYFUNCTION("SPLIT(I3598,""/"")"),19.0)</f>
        <v>19</v>
      </c>
      <c r="K3598" s="308">
        <f>IFERROR(__xludf.DUMMYFUNCTION("""COMPUTED_VALUE"""),5.0)</f>
        <v>5</v>
      </c>
      <c r="L3598" s="308">
        <f>IFERROR(__xludf.DUMMYFUNCTION("""COMPUTED_VALUE"""),2016.0)</f>
        <v>2016</v>
      </c>
      <c r="M3598" s="308" t="s">
        <v>14720</v>
      </c>
      <c r="N3598" s="308"/>
      <c r="O3598" s="308" t="s">
        <v>14721</v>
      </c>
      <c r="P3598" s="308" t="s">
        <v>14722</v>
      </c>
      <c r="Q3598" s="308" t="s">
        <v>37073</v>
      </c>
      <c r="R3598" s="308" t="s">
        <v>2743</v>
      </c>
      <c r="S3598" s="308" t="s">
        <v>81</v>
      </c>
      <c r="T3598" s="308" t="s">
        <v>75</v>
      </c>
      <c r="U3598" s="308" t="s">
        <v>125</v>
      </c>
      <c r="V3598" s="312"/>
    </row>
    <row r="3599">
      <c r="A3599" s="308">
        <v>3598.0</v>
      </c>
      <c r="B3599" s="308"/>
      <c r="C3599" s="308" t="s">
        <v>14723</v>
      </c>
      <c r="D3599" s="308">
        <f>IFERROR(__xludf.DUMMYFUNCTION("SPLIT(C3599,""-"")"),3619.0)</f>
        <v>3619</v>
      </c>
      <c r="E3599" s="308" t="str">
        <f>IFERROR(__xludf.DUMMYFUNCTION("""COMPUTED_VALUE"""),"K")</f>
        <v>K</v>
      </c>
      <c r="F3599" s="309" t="s">
        <v>34</v>
      </c>
      <c r="G3599" s="308"/>
      <c r="H3599" s="308" t="s">
        <v>14724</v>
      </c>
      <c r="I3599" s="310">
        <v>41760.0</v>
      </c>
      <c r="J3599" s="319">
        <f>IFERROR(__xludf.DUMMYFUNCTION("SPLIT(I3599,""/"")"),1.0)</f>
        <v>1</v>
      </c>
      <c r="K3599" s="308">
        <f>IFERROR(__xludf.DUMMYFUNCTION("""COMPUTED_VALUE"""),5.0)</f>
        <v>5</v>
      </c>
      <c r="L3599" s="308">
        <f>IFERROR(__xludf.DUMMYFUNCTION("""COMPUTED_VALUE"""),2014.0)</f>
        <v>2014</v>
      </c>
      <c r="M3599" s="308" t="s">
        <v>14725</v>
      </c>
      <c r="N3599" s="308"/>
      <c r="O3599" s="308" t="s">
        <v>14726</v>
      </c>
      <c r="P3599" s="308" t="s">
        <v>37075</v>
      </c>
      <c r="Q3599" s="308" t="s">
        <v>37073</v>
      </c>
      <c r="R3599" s="308" t="s">
        <v>2743</v>
      </c>
      <c r="S3599" s="308" t="s">
        <v>49</v>
      </c>
      <c r="T3599" s="308" t="s">
        <v>51</v>
      </c>
      <c r="U3599" s="308" t="s">
        <v>201</v>
      </c>
      <c r="V3599" s="312"/>
    </row>
    <row r="3600">
      <c r="A3600" s="308">
        <v>3599.0</v>
      </c>
      <c r="B3600" s="308"/>
      <c r="C3600" s="308" t="s">
        <v>14728</v>
      </c>
      <c r="D3600" s="308">
        <f>IFERROR(__xludf.DUMMYFUNCTION("SPLIT(C3600,""-"")"),3620.0)</f>
        <v>3620</v>
      </c>
      <c r="E3600" s="308" t="str">
        <f>IFERROR(__xludf.DUMMYFUNCTION("""COMPUTED_VALUE"""),"F")</f>
        <v>F</v>
      </c>
      <c r="F3600" s="309" t="s">
        <v>34</v>
      </c>
      <c r="G3600" s="308"/>
      <c r="H3600" s="308" t="s">
        <v>14729</v>
      </c>
      <c r="I3600" s="314">
        <v>40895.0</v>
      </c>
      <c r="J3600" s="319">
        <f>IFERROR(__xludf.DUMMYFUNCTION("SPLIT(I3600,""/"")"),18.0)</f>
        <v>18</v>
      </c>
      <c r="K3600" s="308">
        <f>IFERROR(__xludf.DUMMYFUNCTION("""COMPUTED_VALUE"""),12.0)</f>
        <v>12</v>
      </c>
      <c r="L3600" s="308">
        <f>IFERROR(__xludf.DUMMYFUNCTION("""COMPUTED_VALUE"""),2011.0)</f>
        <v>2011</v>
      </c>
      <c r="M3600" s="308" t="s">
        <v>14730</v>
      </c>
      <c r="N3600" s="308"/>
      <c r="O3600" s="308" t="s">
        <v>635</v>
      </c>
      <c r="P3600" s="308" t="s">
        <v>14731</v>
      </c>
      <c r="Q3600" s="308" t="s">
        <v>37076</v>
      </c>
      <c r="R3600" s="308" t="s">
        <v>2743</v>
      </c>
      <c r="S3600" s="308" t="s">
        <v>81</v>
      </c>
      <c r="T3600" s="308" t="s">
        <v>34264</v>
      </c>
      <c r="U3600" s="308" t="s">
        <v>195</v>
      </c>
      <c r="V3600" s="312"/>
    </row>
    <row r="3601">
      <c r="A3601" s="308">
        <v>3600.0</v>
      </c>
      <c r="B3601" s="308"/>
      <c r="C3601" s="308" t="s">
        <v>14732</v>
      </c>
      <c r="D3601" s="308">
        <f>IFERROR(__xludf.DUMMYFUNCTION("SPLIT(C3601,""-"")"),3621.0)</f>
        <v>3621</v>
      </c>
      <c r="E3601" s="308" t="str">
        <f>IFERROR(__xludf.DUMMYFUNCTION("""COMPUTED_VALUE"""),"P")</f>
        <v>P</v>
      </c>
      <c r="F3601" s="312" t="s">
        <v>37</v>
      </c>
      <c r="G3601" s="308"/>
      <c r="H3601" s="308" t="s">
        <v>14733</v>
      </c>
      <c r="I3601" s="310">
        <v>42538.0</v>
      </c>
      <c r="J3601" s="319">
        <f>IFERROR(__xludf.DUMMYFUNCTION("SPLIT(I3601,""/"")"),17.0)</f>
        <v>17</v>
      </c>
      <c r="K3601" s="308">
        <f>IFERROR(__xludf.DUMMYFUNCTION("""COMPUTED_VALUE"""),6.0)</f>
        <v>6</v>
      </c>
      <c r="L3601" s="308">
        <f>IFERROR(__xludf.DUMMYFUNCTION("""COMPUTED_VALUE"""),2016.0)</f>
        <v>2016</v>
      </c>
      <c r="M3601" s="308" t="s">
        <v>14734</v>
      </c>
      <c r="N3601" s="308"/>
      <c r="O3601" s="308" t="s">
        <v>14635</v>
      </c>
      <c r="P3601" s="308" t="s">
        <v>14735</v>
      </c>
      <c r="Q3601" s="308" t="s">
        <v>37076</v>
      </c>
      <c r="R3601" s="308" t="s">
        <v>2743</v>
      </c>
      <c r="S3601" s="308" t="s">
        <v>81</v>
      </c>
      <c r="T3601" s="311" t="s">
        <v>73</v>
      </c>
      <c r="U3601" s="308" t="s">
        <v>149</v>
      </c>
      <c r="V3601" s="312"/>
    </row>
    <row r="3602">
      <c r="A3602" s="308">
        <v>3601.0</v>
      </c>
      <c r="B3602" s="308"/>
      <c r="C3602" s="308" t="s">
        <v>14736</v>
      </c>
      <c r="D3602" s="308">
        <f>IFERROR(__xludf.DUMMYFUNCTION("SPLIT(C3602,""-"")"),3622.0)</f>
        <v>3622</v>
      </c>
      <c r="E3602" s="308" t="str">
        <f>IFERROR(__xludf.DUMMYFUNCTION("""COMPUTED_VALUE"""),"P")</f>
        <v>P</v>
      </c>
      <c r="F3602" s="312" t="s">
        <v>37</v>
      </c>
      <c r="G3602" s="308"/>
      <c r="H3602" s="308" t="s">
        <v>14737</v>
      </c>
      <c r="I3602" s="310">
        <v>42600.0</v>
      </c>
      <c r="J3602" s="319">
        <f>IFERROR(__xludf.DUMMYFUNCTION("SPLIT(I3602,""/"")"),18.0)</f>
        <v>18</v>
      </c>
      <c r="K3602" s="308">
        <f>IFERROR(__xludf.DUMMYFUNCTION("""COMPUTED_VALUE"""),8.0)</f>
        <v>8</v>
      </c>
      <c r="L3602" s="308">
        <f>IFERROR(__xludf.DUMMYFUNCTION("""COMPUTED_VALUE"""),2016.0)</f>
        <v>2016</v>
      </c>
      <c r="M3602" s="308" t="s">
        <v>14738</v>
      </c>
      <c r="N3602" s="308"/>
      <c r="O3602" s="308"/>
      <c r="P3602" s="308" t="s">
        <v>14739</v>
      </c>
      <c r="Q3602" s="308" t="s">
        <v>37076</v>
      </c>
      <c r="R3602" s="308" t="s">
        <v>13594</v>
      </c>
      <c r="S3602" s="308" t="s">
        <v>81</v>
      </c>
      <c r="T3602" s="308" t="s">
        <v>75</v>
      </c>
      <c r="U3602" s="308"/>
      <c r="V3602" s="312"/>
    </row>
    <row r="3603">
      <c r="A3603" s="308">
        <v>3602.0</v>
      </c>
      <c r="B3603" s="308"/>
      <c r="C3603" s="308" t="s">
        <v>14740</v>
      </c>
      <c r="D3603" s="308">
        <f>IFERROR(__xludf.DUMMYFUNCTION("SPLIT(C3603,""-"")"),3623.0)</f>
        <v>3623</v>
      </c>
      <c r="E3603" s="308" t="str">
        <f>IFERROR(__xludf.DUMMYFUNCTION("""COMPUTED_VALUE"""),"P")</f>
        <v>P</v>
      </c>
      <c r="F3603" s="312" t="s">
        <v>37</v>
      </c>
      <c r="G3603" s="308"/>
      <c r="H3603" s="308" t="s">
        <v>14741</v>
      </c>
      <c r="I3603" s="310">
        <v>42594.0</v>
      </c>
      <c r="J3603" s="319">
        <f>IFERROR(__xludf.DUMMYFUNCTION("SPLIT(I3603,""/"")"),12.0)</f>
        <v>12</v>
      </c>
      <c r="K3603" s="308">
        <f>IFERROR(__xludf.DUMMYFUNCTION("""COMPUTED_VALUE"""),8.0)</f>
        <v>8</v>
      </c>
      <c r="L3603" s="308">
        <f>IFERROR(__xludf.DUMMYFUNCTION("""COMPUTED_VALUE"""),2016.0)</f>
        <v>2016</v>
      </c>
      <c r="M3603" s="308" t="s">
        <v>14738</v>
      </c>
      <c r="N3603" s="308"/>
      <c r="O3603" s="308"/>
      <c r="P3603" s="308" t="s">
        <v>14742</v>
      </c>
      <c r="Q3603" s="308" t="s">
        <v>37076</v>
      </c>
      <c r="R3603" s="308" t="s">
        <v>13594</v>
      </c>
      <c r="S3603" s="308" t="s">
        <v>81</v>
      </c>
      <c r="T3603" s="308" t="s">
        <v>73</v>
      </c>
      <c r="U3603" s="308" t="s">
        <v>149</v>
      </c>
      <c r="V3603" s="312"/>
    </row>
    <row r="3604">
      <c r="A3604" s="308">
        <v>3603.0</v>
      </c>
      <c r="B3604" s="308"/>
      <c r="C3604" s="308" t="s">
        <v>14743</v>
      </c>
      <c r="D3604" s="308">
        <f>IFERROR(__xludf.DUMMYFUNCTION("SPLIT(C3604,""-"")"),3624.0)</f>
        <v>3624</v>
      </c>
      <c r="E3604" s="308" t="str">
        <f>IFERROR(__xludf.DUMMYFUNCTION("""COMPUTED_VALUE"""),"P")</f>
        <v>P</v>
      </c>
      <c r="F3604" s="312" t="s">
        <v>37</v>
      </c>
      <c r="G3604" s="308"/>
      <c r="H3604" s="308" t="s">
        <v>14744</v>
      </c>
      <c r="I3604" s="314">
        <v>41983.0</v>
      </c>
      <c r="J3604" s="319">
        <f>IFERROR(__xludf.DUMMYFUNCTION("SPLIT(I3604,""/"")"),10.0)</f>
        <v>10</v>
      </c>
      <c r="K3604" s="308">
        <f>IFERROR(__xludf.DUMMYFUNCTION("""COMPUTED_VALUE"""),12.0)</f>
        <v>12</v>
      </c>
      <c r="L3604" s="308">
        <f>IFERROR(__xludf.DUMMYFUNCTION("""COMPUTED_VALUE"""),2014.0)</f>
        <v>2014</v>
      </c>
      <c r="M3604" s="308" t="s">
        <v>14745</v>
      </c>
      <c r="N3604" s="308"/>
      <c r="O3604" s="308" t="s">
        <v>14746</v>
      </c>
      <c r="P3604" s="308" t="s">
        <v>37077</v>
      </c>
      <c r="Q3604" s="308" t="s">
        <v>37076</v>
      </c>
      <c r="R3604" s="308" t="s">
        <v>13594</v>
      </c>
      <c r="S3604" s="308" t="s">
        <v>81</v>
      </c>
      <c r="T3604" s="308" t="s">
        <v>75</v>
      </c>
      <c r="U3604" s="308" t="s">
        <v>143</v>
      </c>
      <c r="V3604" s="312"/>
    </row>
    <row r="3605">
      <c r="A3605" s="308">
        <v>3604.0</v>
      </c>
      <c r="B3605" s="308"/>
      <c r="C3605" s="308" t="s">
        <v>14748</v>
      </c>
      <c r="D3605" s="308">
        <f>IFERROR(__xludf.DUMMYFUNCTION("SPLIT(C3605,""-"")"),3625.0)</f>
        <v>3625</v>
      </c>
      <c r="E3605" s="308" t="str">
        <f>IFERROR(__xludf.DUMMYFUNCTION("""COMPUTED_VALUE"""),"I")</f>
        <v>I</v>
      </c>
      <c r="F3605" s="309" t="s">
        <v>31</v>
      </c>
      <c r="G3605" s="308"/>
      <c r="H3605" s="308" t="s">
        <v>14749</v>
      </c>
      <c r="I3605" s="310">
        <v>42636.0</v>
      </c>
      <c r="J3605" s="319">
        <f>IFERROR(__xludf.DUMMYFUNCTION("SPLIT(I3605,""/"")"),23.0)</f>
        <v>23</v>
      </c>
      <c r="K3605" s="308">
        <f>IFERROR(__xludf.DUMMYFUNCTION("""COMPUTED_VALUE"""),9.0)</f>
        <v>9</v>
      </c>
      <c r="L3605" s="308">
        <f>IFERROR(__xludf.DUMMYFUNCTION("""COMPUTED_VALUE"""),2016.0)</f>
        <v>2016</v>
      </c>
      <c r="M3605" s="308" t="s">
        <v>14750</v>
      </c>
      <c r="N3605" s="308"/>
      <c r="O3605" s="308" t="s">
        <v>14751</v>
      </c>
      <c r="P3605" s="308" t="s">
        <v>14752</v>
      </c>
      <c r="Q3605" s="308" t="s">
        <v>37076</v>
      </c>
      <c r="R3605" s="308" t="s">
        <v>2743</v>
      </c>
      <c r="S3605" s="308" t="s">
        <v>81</v>
      </c>
      <c r="T3605" s="311" t="s">
        <v>75</v>
      </c>
      <c r="U3605" s="308"/>
      <c r="V3605" s="312"/>
    </row>
    <row r="3606">
      <c r="A3606" s="308">
        <v>3605.0</v>
      </c>
      <c r="B3606" s="308"/>
      <c r="C3606" s="308" t="s">
        <v>14753</v>
      </c>
      <c r="D3606" s="308">
        <f>IFERROR(__xludf.DUMMYFUNCTION("SPLIT(C3606,""-"")"),3626.0)</f>
        <v>3626</v>
      </c>
      <c r="E3606" s="308" t="str">
        <f>IFERROR(__xludf.DUMMYFUNCTION("""COMPUTED_VALUE"""),"P")</f>
        <v>P</v>
      </c>
      <c r="F3606" s="312" t="s">
        <v>37</v>
      </c>
      <c r="G3606" s="308"/>
      <c r="H3606" s="308" t="s">
        <v>14754</v>
      </c>
      <c r="I3606" s="314">
        <v>42294.0</v>
      </c>
      <c r="J3606" s="319">
        <f>IFERROR(__xludf.DUMMYFUNCTION("SPLIT(I3606,""/"")"),17.0)</f>
        <v>17</v>
      </c>
      <c r="K3606" s="308">
        <f>IFERROR(__xludf.DUMMYFUNCTION("""COMPUTED_VALUE"""),10.0)</f>
        <v>10</v>
      </c>
      <c r="L3606" s="308">
        <f>IFERROR(__xludf.DUMMYFUNCTION("""COMPUTED_VALUE"""),2015.0)</f>
        <v>2015</v>
      </c>
      <c r="M3606" s="308" t="s">
        <v>14755</v>
      </c>
      <c r="N3606" s="308"/>
      <c r="O3606" s="308"/>
      <c r="P3606" s="308" t="s">
        <v>37078</v>
      </c>
      <c r="Q3606" s="308" t="s">
        <v>37076</v>
      </c>
      <c r="R3606" s="308" t="s">
        <v>2743</v>
      </c>
      <c r="S3606" s="308" t="s">
        <v>81</v>
      </c>
      <c r="T3606" s="308" t="s">
        <v>75</v>
      </c>
      <c r="U3606" s="312"/>
      <c r="V3606" s="312"/>
    </row>
    <row r="3607">
      <c r="A3607" s="308">
        <v>3606.0</v>
      </c>
      <c r="B3607" s="308"/>
      <c r="C3607" s="308" t="s">
        <v>14757</v>
      </c>
      <c r="D3607" s="308">
        <f>IFERROR(__xludf.DUMMYFUNCTION("SPLIT(C3607,""-"")"),3627.0)</f>
        <v>3627</v>
      </c>
      <c r="E3607" s="308" t="str">
        <f>IFERROR(__xludf.DUMMYFUNCTION("""COMPUTED_VALUE"""),"I")</f>
        <v>I</v>
      </c>
      <c r="F3607" s="309" t="s">
        <v>31</v>
      </c>
      <c r="G3607" s="308"/>
      <c r="H3607" s="308" t="s">
        <v>14758</v>
      </c>
      <c r="I3607" s="310">
        <v>42440.0</v>
      </c>
      <c r="J3607" s="319">
        <f>IFERROR(__xludf.DUMMYFUNCTION("SPLIT(I3607,""/"")"),11.0)</f>
        <v>11</v>
      </c>
      <c r="K3607" s="308">
        <f>IFERROR(__xludf.DUMMYFUNCTION("""COMPUTED_VALUE"""),3.0)</f>
        <v>3</v>
      </c>
      <c r="L3607" s="308">
        <f>IFERROR(__xludf.DUMMYFUNCTION("""COMPUTED_VALUE"""),2016.0)</f>
        <v>2016</v>
      </c>
      <c r="M3607" s="308" t="s">
        <v>14759</v>
      </c>
      <c r="N3607" s="308"/>
      <c r="O3607" s="308" t="s">
        <v>14760</v>
      </c>
      <c r="P3607" s="308" t="s">
        <v>14761</v>
      </c>
      <c r="Q3607" s="308" t="s">
        <v>37079</v>
      </c>
      <c r="R3607" s="308" t="s">
        <v>2743</v>
      </c>
      <c r="S3607" s="308" t="s">
        <v>49</v>
      </c>
      <c r="T3607" s="308" t="s">
        <v>51</v>
      </c>
      <c r="U3607" s="308"/>
      <c r="V3607" s="312"/>
    </row>
    <row r="3608">
      <c r="A3608" s="308">
        <v>3607.0</v>
      </c>
      <c r="B3608" s="308"/>
      <c r="C3608" s="308" t="s">
        <v>14762</v>
      </c>
      <c r="D3608" s="308">
        <f>IFERROR(__xludf.DUMMYFUNCTION("SPLIT(C3608,""-"")"),3628.0)</f>
        <v>3628</v>
      </c>
      <c r="E3608" s="308" t="str">
        <f>IFERROR(__xludf.DUMMYFUNCTION("""COMPUTED_VALUE"""),"S")</f>
        <v>S</v>
      </c>
      <c r="F3608" s="312" t="s">
        <v>39</v>
      </c>
      <c r="G3608" s="308"/>
      <c r="H3608" s="308" t="s">
        <v>14763</v>
      </c>
      <c r="I3608" s="326">
        <v>42339.0</v>
      </c>
      <c r="J3608" s="319"/>
      <c r="K3608" s="311">
        <v>12.0</v>
      </c>
      <c r="L3608" s="311">
        <v>2015.0</v>
      </c>
      <c r="M3608" s="308" t="s">
        <v>14764</v>
      </c>
      <c r="N3608" s="308"/>
      <c r="O3608" s="308" t="s">
        <v>14765</v>
      </c>
      <c r="P3608" s="308" t="s">
        <v>10413</v>
      </c>
      <c r="Q3608" s="308" t="s">
        <v>37080</v>
      </c>
      <c r="R3608" s="308" t="s">
        <v>2743</v>
      </c>
      <c r="S3608" s="308" t="s">
        <v>81</v>
      </c>
      <c r="T3608" s="308" t="s">
        <v>75</v>
      </c>
      <c r="U3608" s="308" t="s">
        <v>40</v>
      </c>
      <c r="V3608" s="312"/>
    </row>
    <row r="3609">
      <c r="A3609" s="308">
        <v>3608.0</v>
      </c>
      <c r="B3609" s="308"/>
      <c r="C3609" s="308" t="s">
        <v>14766</v>
      </c>
      <c r="D3609" s="308">
        <f>IFERROR(__xludf.DUMMYFUNCTION("SPLIT(C3609,""-"")"),3629.0)</f>
        <v>3629</v>
      </c>
      <c r="E3609" s="308" t="str">
        <f>IFERROR(__xludf.DUMMYFUNCTION("""COMPUTED_VALUE"""),"S")</f>
        <v>S</v>
      </c>
      <c r="F3609" s="312" t="s">
        <v>39</v>
      </c>
      <c r="G3609" s="308"/>
      <c r="H3609" s="308" t="s">
        <v>14767</v>
      </c>
      <c r="I3609" s="310">
        <v>42942.0</v>
      </c>
      <c r="J3609" s="319">
        <f>IFERROR(__xludf.DUMMYFUNCTION("SPLIT(I3609,""/"")"),26.0)</f>
        <v>26</v>
      </c>
      <c r="K3609" s="308">
        <f>IFERROR(__xludf.DUMMYFUNCTION("""COMPUTED_VALUE"""),7.0)</f>
        <v>7</v>
      </c>
      <c r="L3609" s="308">
        <f>IFERROR(__xludf.DUMMYFUNCTION("""COMPUTED_VALUE"""),2017.0)</f>
        <v>2017</v>
      </c>
      <c r="M3609" s="308" t="s">
        <v>14768</v>
      </c>
      <c r="N3609" s="308"/>
      <c r="O3609" s="308" t="s">
        <v>14769</v>
      </c>
      <c r="P3609" s="308" t="s">
        <v>37081</v>
      </c>
      <c r="Q3609" s="308" t="s">
        <v>37080</v>
      </c>
      <c r="R3609" s="308" t="s">
        <v>2743</v>
      </c>
      <c r="S3609" s="308" t="s">
        <v>81</v>
      </c>
      <c r="T3609" s="308" t="s">
        <v>75</v>
      </c>
      <c r="U3609" s="312"/>
      <c r="V3609" s="312"/>
    </row>
    <row r="3610">
      <c r="A3610" s="308">
        <v>3609.0</v>
      </c>
      <c r="B3610" s="308"/>
      <c r="C3610" s="308" t="s">
        <v>14771</v>
      </c>
      <c r="D3610" s="308">
        <f>IFERROR(__xludf.DUMMYFUNCTION("SPLIT(C3610,""-"")"),3630.0)</f>
        <v>3630</v>
      </c>
      <c r="E3610" s="308" t="str">
        <f>IFERROR(__xludf.DUMMYFUNCTION("""COMPUTED_VALUE"""),"K")</f>
        <v>K</v>
      </c>
      <c r="F3610" s="309" t="s">
        <v>34</v>
      </c>
      <c r="G3610" s="308"/>
      <c r="H3610" s="308" t="s">
        <v>14772</v>
      </c>
      <c r="I3610" s="310">
        <v>40487.0</v>
      </c>
      <c r="J3610" s="319">
        <f>IFERROR(__xludf.DUMMYFUNCTION("SPLIT(I3610,""/"")"),5.0)</f>
        <v>5</v>
      </c>
      <c r="K3610" s="308">
        <f>IFERROR(__xludf.DUMMYFUNCTION("""COMPUTED_VALUE"""),11.0)</f>
        <v>11</v>
      </c>
      <c r="L3610" s="308">
        <f>IFERROR(__xludf.DUMMYFUNCTION("""COMPUTED_VALUE"""),2010.0)</f>
        <v>2010</v>
      </c>
      <c r="M3610" s="308" t="s">
        <v>14773</v>
      </c>
      <c r="N3610" s="308"/>
      <c r="O3610" s="308" t="s">
        <v>14774</v>
      </c>
      <c r="P3610" s="308" t="s">
        <v>37082</v>
      </c>
      <c r="Q3610" s="308" t="s">
        <v>37083</v>
      </c>
      <c r="R3610" s="308" t="s">
        <v>2743</v>
      </c>
      <c r="S3610" s="308" t="s">
        <v>49</v>
      </c>
      <c r="T3610" s="311" t="s">
        <v>51</v>
      </c>
      <c r="U3610" s="308" t="s">
        <v>125</v>
      </c>
      <c r="V3610" s="312"/>
    </row>
    <row r="3611">
      <c r="A3611" s="308">
        <v>3610.0</v>
      </c>
      <c r="B3611" s="308"/>
      <c r="C3611" s="308" t="s">
        <v>14776</v>
      </c>
      <c r="D3611" s="308">
        <f>IFERROR(__xludf.DUMMYFUNCTION("SPLIT(C3611,""-"")"),3631.0)</f>
        <v>3631</v>
      </c>
      <c r="E3611" s="308" t="str">
        <f>IFERROR(__xludf.DUMMYFUNCTION("""COMPUTED_VALUE"""),"K")</f>
        <v>K</v>
      </c>
      <c r="F3611" s="309" t="s">
        <v>34</v>
      </c>
      <c r="G3611" s="308"/>
      <c r="H3611" s="308" t="s">
        <v>14777</v>
      </c>
      <c r="I3611" s="310">
        <v>41774.0</v>
      </c>
      <c r="J3611" s="319">
        <f>IFERROR(__xludf.DUMMYFUNCTION("SPLIT(I3611,""/"")"),15.0)</f>
        <v>15</v>
      </c>
      <c r="K3611" s="308">
        <f>IFERROR(__xludf.DUMMYFUNCTION("""COMPUTED_VALUE"""),5.0)</f>
        <v>5</v>
      </c>
      <c r="L3611" s="308">
        <f>IFERROR(__xludf.DUMMYFUNCTION("""COMPUTED_VALUE"""),2014.0)</f>
        <v>2014</v>
      </c>
      <c r="M3611" s="308" t="s">
        <v>14778</v>
      </c>
      <c r="N3611" s="308"/>
      <c r="O3611" s="308" t="s">
        <v>635</v>
      </c>
      <c r="P3611" s="308" t="s">
        <v>14779</v>
      </c>
      <c r="Q3611" s="308" t="s">
        <v>37084</v>
      </c>
      <c r="R3611" s="308" t="s">
        <v>2743</v>
      </c>
      <c r="S3611" s="308" t="s">
        <v>81</v>
      </c>
      <c r="T3611" s="308" t="s">
        <v>34264</v>
      </c>
      <c r="U3611" s="308"/>
      <c r="V3611" s="312"/>
    </row>
    <row r="3612">
      <c r="A3612" s="308">
        <v>3611.0</v>
      </c>
      <c r="B3612" s="308"/>
      <c r="C3612" s="308" t="s">
        <v>14780</v>
      </c>
      <c r="D3612" s="308">
        <f>IFERROR(__xludf.DUMMYFUNCTION("SPLIT(C3612,""-"")"),3632.0)</f>
        <v>3632</v>
      </c>
      <c r="E3612" s="308" t="str">
        <f>IFERROR(__xludf.DUMMYFUNCTION("""COMPUTED_VALUE"""),"P")</f>
        <v>P</v>
      </c>
      <c r="F3612" s="312" t="s">
        <v>37</v>
      </c>
      <c r="G3612" s="308"/>
      <c r="H3612" s="308" t="s">
        <v>14781</v>
      </c>
      <c r="I3612" s="310">
        <v>42621.0</v>
      </c>
      <c r="J3612" s="319">
        <f>IFERROR(__xludf.DUMMYFUNCTION("SPLIT(I3612,""/"")"),8.0)</f>
        <v>8</v>
      </c>
      <c r="K3612" s="308">
        <f>IFERROR(__xludf.DUMMYFUNCTION("""COMPUTED_VALUE"""),9.0)</f>
        <v>9</v>
      </c>
      <c r="L3612" s="308">
        <f>IFERROR(__xludf.DUMMYFUNCTION("""COMPUTED_VALUE"""),2016.0)</f>
        <v>2016</v>
      </c>
      <c r="M3612" s="308" t="s">
        <v>14782</v>
      </c>
      <c r="N3612" s="308"/>
      <c r="O3612" s="308" t="s">
        <v>14783</v>
      </c>
      <c r="P3612" s="308" t="s">
        <v>37085</v>
      </c>
      <c r="Q3612" s="308" t="s">
        <v>37086</v>
      </c>
      <c r="R3612" s="308" t="s">
        <v>2743</v>
      </c>
      <c r="S3612" s="308" t="s">
        <v>81</v>
      </c>
      <c r="T3612" s="308" t="s">
        <v>98</v>
      </c>
      <c r="U3612" s="308" t="s">
        <v>143</v>
      </c>
      <c r="V3612" s="312"/>
    </row>
    <row r="3613">
      <c r="A3613" s="308">
        <v>3612.0</v>
      </c>
      <c r="B3613" s="308"/>
      <c r="C3613" s="308" t="s">
        <v>14785</v>
      </c>
      <c r="D3613" s="308">
        <f>IFERROR(__xludf.DUMMYFUNCTION("SPLIT(C3613,""-"")"),3633.0)</f>
        <v>3633</v>
      </c>
      <c r="E3613" s="308" t="str">
        <f>IFERROR(__xludf.DUMMYFUNCTION("""COMPUTED_VALUE"""),"P")</f>
        <v>P</v>
      </c>
      <c r="F3613" s="312" t="s">
        <v>37</v>
      </c>
      <c r="G3613" s="308"/>
      <c r="H3613" s="308" t="s">
        <v>14786</v>
      </c>
      <c r="I3613" s="310">
        <v>42634.0</v>
      </c>
      <c r="J3613" s="319">
        <f>IFERROR(__xludf.DUMMYFUNCTION("SPLIT(I3613,""/"")"),21.0)</f>
        <v>21</v>
      </c>
      <c r="K3613" s="308">
        <f>IFERROR(__xludf.DUMMYFUNCTION("""COMPUTED_VALUE"""),9.0)</f>
        <v>9</v>
      </c>
      <c r="L3613" s="308">
        <f>IFERROR(__xludf.DUMMYFUNCTION("""COMPUTED_VALUE"""),2016.0)</f>
        <v>2016</v>
      </c>
      <c r="M3613" s="308" t="s">
        <v>14787</v>
      </c>
      <c r="N3613" s="308"/>
      <c r="O3613" s="308" t="s">
        <v>14788</v>
      </c>
      <c r="P3613" s="308" t="s">
        <v>14789</v>
      </c>
      <c r="Q3613" s="308" t="s">
        <v>37086</v>
      </c>
      <c r="R3613" s="308" t="s">
        <v>2743</v>
      </c>
      <c r="S3613" s="308" t="s">
        <v>81</v>
      </c>
      <c r="T3613" s="311" t="s">
        <v>51</v>
      </c>
      <c r="U3613" s="308"/>
      <c r="V3613" s="312"/>
    </row>
    <row r="3614">
      <c r="A3614" s="308">
        <v>3613.0</v>
      </c>
      <c r="B3614" s="308"/>
      <c r="C3614" s="308" t="s">
        <v>14790</v>
      </c>
      <c r="D3614" s="308">
        <f>IFERROR(__xludf.DUMMYFUNCTION("SPLIT(C3614,""-"")"),3634.0)</f>
        <v>3634</v>
      </c>
      <c r="E3614" s="308" t="str">
        <f>IFERROR(__xludf.DUMMYFUNCTION("""COMPUTED_VALUE"""),"K")</f>
        <v>K</v>
      </c>
      <c r="F3614" s="309" t="s">
        <v>34</v>
      </c>
      <c r="G3614" s="308"/>
      <c r="H3614" s="308" t="s">
        <v>14791</v>
      </c>
      <c r="I3614" s="310">
        <v>42610.0</v>
      </c>
      <c r="J3614" s="319">
        <f>IFERROR(__xludf.DUMMYFUNCTION("SPLIT(I3614,""/"")"),28.0)</f>
        <v>28</v>
      </c>
      <c r="K3614" s="308">
        <f>IFERROR(__xludf.DUMMYFUNCTION("""COMPUTED_VALUE"""),8.0)</f>
        <v>8</v>
      </c>
      <c r="L3614" s="308">
        <f>IFERROR(__xludf.DUMMYFUNCTION("""COMPUTED_VALUE"""),2016.0)</f>
        <v>2016</v>
      </c>
      <c r="M3614" s="308" t="s">
        <v>14792</v>
      </c>
      <c r="N3614" s="308"/>
      <c r="O3614" s="308" t="s">
        <v>37087</v>
      </c>
      <c r="P3614" s="308" t="s">
        <v>14794</v>
      </c>
      <c r="Q3614" s="308" t="s">
        <v>37088</v>
      </c>
      <c r="R3614" s="308" t="s">
        <v>2743</v>
      </c>
      <c r="S3614" s="308" t="s">
        <v>81</v>
      </c>
      <c r="T3614" s="311" t="s">
        <v>75</v>
      </c>
      <c r="U3614" s="308"/>
      <c r="V3614" s="312"/>
    </row>
    <row r="3615">
      <c r="A3615" s="308">
        <v>3614.0</v>
      </c>
      <c r="B3615" s="308"/>
      <c r="C3615" s="308" t="s">
        <v>14795</v>
      </c>
      <c r="D3615" s="308">
        <f>IFERROR(__xludf.DUMMYFUNCTION("SPLIT(C3615,""-"")"),3635.0)</f>
        <v>3635</v>
      </c>
      <c r="E3615" s="308" t="str">
        <f>IFERROR(__xludf.DUMMYFUNCTION("""COMPUTED_VALUE"""),"K")</f>
        <v>K</v>
      </c>
      <c r="F3615" s="309" t="s">
        <v>34</v>
      </c>
      <c r="G3615" s="308"/>
      <c r="H3615" s="308" t="s">
        <v>14796</v>
      </c>
      <c r="I3615" s="314">
        <v>41966.0</v>
      </c>
      <c r="J3615" s="319">
        <f>IFERROR(__xludf.DUMMYFUNCTION("SPLIT(I3615,""/"")"),23.0)</f>
        <v>23</v>
      </c>
      <c r="K3615" s="308">
        <f>IFERROR(__xludf.DUMMYFUNCTION("""COMPUTED_VALUE"""),11.0)</f>
        <v>11</v>
      </c>
      <c r="L3615" s="308">
        <f>IFERROR(__xludf.DUMMYFUNCTION("""COMPUTED_VALUE"""),2014.0)</f>
        <v>2014</v>
      </c>
      <c r="M3615" s="308" t="s">
        <v>14797</v>
      </c>
      <c r="N3615" s="308"/>
      <c r="O3615" s="308" t="s">
        <v>37089</v>
      </c>
      <c r="P3615" s="308" t="s">
        <v>2872</v>
      </c>
      <c r="Q3615" s="308" t="s">
        <v>37090</v>
      </c>
      <c r="R3615" s="308" t="s">
        <v>13594</v>
      </c>
      <c r="S3615" s="315" t="s">
        <v>100</v>
      </c>
      <c r="T3615" s="311" t="s">
        <v>34208</v>
      </c>
      <c r="U3615" s="308" t="s">
        <v>125</v>
      </c>
      <c r="V3615" s="312"/>
    </row>
    <row r="3616">
      <c r="A3616" s="308">
        <v>3615.0</v>
      </c>
      <c r="B3616" s="308"/>
      <c r="C3616" s="308" t="s">
        <v>14799</v>
      </c>
      <c r="D3616" s="308">
        <f>IFERROR(__xludf.DUMMYFUNCTION("SPLIT(C3616,""-"")"),3636.0)</f>
        <v>3636</v>
      </c>
      <c r="E3616" s="308" t="str">
        <f>IFERROR(__xludf.DUMMYFUNCTION("""COMPUTED_VALUE"""),"P")</f>
        <v>P</v>
      </c>
      <c r="F3616" s="312" t="s">
        <v>37</v>
      </c>
      <c r="G3616" s="308"/>
      <c r="H3616" s="308" t="s">
        <v>14800</v>
      </c>
      <c r="I3616" s="310">
        <v>42622.0</v>
      </c>
      <c r="J3616" s="319">
        <f>IFERROR(__xludf.DUMMYFUNCTION("SPLIT(I3616,""/"")"),9.0)</f>
        <v>9</v>
      </c>
      <c r="K3616" s="308">
        <f>IFERROR(__xludf.DUMMYFUNCTION("""COMPUTED_VALUE"""),9.0)</f>
        <v>9</v>
      </c>
      <c r="L3616" s="308">
        <f>IFERROR(__xludf.DUMMYFUNCTION("""COMPUTED_VALUE"""),2016.0)</f>
        <v>2016</v>
      </c>
      <c r="M3616" s="308" t="s">
        <v>14801</v>
      </c>
      <c r="N3616" s="308"/>
      <c r="O3616" s="308" t="s">
        <v>14802</v>
      </c>
      <c r="P3616" s="308" t="s">
        <v>37091</v>
      </c>
      <c r="Q3616" s="308" t="s">
        <v>37090</v>
      </c>
      <c r="R3616" s="308" t="s">
        <v>13594</v>
      </c>
      <c r="S3616" s="308" t="s">
        <v>81</v>
      </c>
      <c r="T3616" s="308" t="s">
        <v>75</v>
      </c>
      <c r="U3616" s="312"/>
      <c r="V3616" s="312"/>
    </row>
    <row r="3617">
      <c r="A3617" s="308">
        <v>3616.0</v>
      </c>
      <c r="B3617" s="308"/>
      <c r="C3617" s="308" t="s">
        <v>14804</v>
      </c>
      <c r="D3617" s="308">
        <f>IFERROR(__xludf.DUMMYFUNCTION("SPLIT(C3617,""-"")"),3637.0)</f>
        <v>3637</v>
      </c>
      <c r="E3617" s="308" t="str">
        <f>IFERROR(__xludf.DUMMYFUNCTION("""COMPUTED_VALUE"""),"P")</f>
        <v>P</v>
      </c>
      <c r="F3617" s="312" t="s">
        <v>37</v>
      </c>
      <c r="G3617" s="308"/>
      <c r="H3617" s="308" t="s">
        <v>14805</v>
      </c>
      <c r="I3617" s="310">
        <v>42538.0</v>
      </c>
      <c r="J3617" s="319">
        <f>IFERROR(__xludf.DUMMYFUNCTION("SPLIT(I3617,""/"")"),17.0)</f>
        <v>17</v>
      </c>
      <c r="K3617" s="308">
        <f>IFERROR(__xludf.DUMMYFUNCTION("""COMPUTED_VALUE"""),6.0)</f>
        <v>6</v>
      </c>
      <c r="L3617" s="308">
        <f>IFERROR(__xludf.DUMMYFUNCTION("""COMPUTED_VALUE"""),2016.0)</f>
        <v>2016</v>
      </c>
      <c r="M3617" s="308" t="s">
        <v>14806</v>
      </c>
      <c r="N3617" s="308"/>
      <c r="O3617" s="308" t="s">
        <v>14635</v>
      </c>
      <c r="P3617" s="308" t="s">
        <v>14807</v>
      </c>
      <c r="Q3617" s="308" t="s">
        <v>37090</v>
      </c>
      <c r="R3617" s="308" t="s">
        <v>2743</v>
      </c>
      <c r="S3617" s="308" t="s">
        <v>81</v>
      </c>
      <c r="T3617" s="308" t="s">
        <v>34264</v>
      </c>
      <c r="U3617" s="308" t="s">
        <v>149</v>
      </c>
      <c r="V3617" s="312"/>
    </row>
    <row r="3618">
      <c r="A3618" s="308">
        <v>3617.0</v>
      </c>
      <c r="B3618" s="308"/>
      <c r="C3618" s="308" t="s">
        <v>14808</v>
      </c>
      <c r="D3618" s="308">
        <f>IFERROR(__xludf.DUMMYFUNCTION("SPLIT(C3618,""-"")"),3638.0)</f>
        <v>3638</v>
      </c>
      <c r="E3618" s="308" t="str">
        <f>IFERROR(__xludf.DUMMYFUNCTION("""COMPUTED_VALUE"""),"P")</f>
        <v>P</v>
      </c>
      <c r="F3618" s="312" t="s">
        <v>37</v>
      </c>
      <c r="G3618" s="308"/>
      <c r="H3618" s="308" t="s">
        <v>14809</v>
      </c>
      <c r="I3618" s="310">
        <v>42593.0</v>
      </c>
      <c r="J3618" s="319">
        <f>IFERROR(__xludf.DUMMYFUNCTION("SPLIT(I3618,""/"")"),11.0)</f>
        <v>11</v>
      </c>
      <c r="K3618" s="308">
        <f>IFERROR(__xludf.DUMMYFUNCTION("""COMPUTED_VALUE"""),8.0)</f>
        <v>8</v>
      </c>
      <c r="L3618" s="308">
        <f>IFERROR(__xludf.DUMMYFUNCTION("""COMPUTED_VALUE"""),2016.0)</f>
        <v>2016</v>
      </c>
      <c r="M3618" s="308" t="s">
        <v>14810</v>
      </c>
      <c r="N3618" s="308"/>
      <c r="O3618" s="308"/>
      <c r="P3618" s="308" t="s">
        <v>37092</v>
      </c>
      <c r="Q3618" s="308" t="s">
        <v>37090</v>
      </c>
      <c r="R3618" s="308" t="s">
        <v>2743</v>
      </c>
      <c r="S3618" s="308" t="s">
        <v>81</v>
      </c>
      <c r="T3618" s="308" t="s">
        <v>75</v>
      </c>
      <c r="U3618" s="308" t="s">
        <v>5707</v>
      </c>
      <c r="V3618" s="312"/>
    </row>
    <row r="3619">
      <c r="A3619" s="308">
        <v>3618.0</v>
      </c>
      <c r="B3619" s="308"/>
      <c r="C3619" s="308" t="s">
        <v>14812</v>
      </c>
      <c r="D3619" s="308">
        <f>IFERROR(__xludf.DUMMYFUNCTION("SPLIT(C3619,""-"")"),3639.0)</f>
        <v>3639</v>
      </c>
      <c r="E3619" s="308" t="str">
        <f>IFERROR(__xludf.DUMMYFUNCTION("""COMPUTED_VALUE"""),"K")</f>
        <v>K</v>
      </c>
      <c r="F3619" s="309" t="s">
        <v>34</v>
      </c>
      <c r="G3619" s="308"/>
      <c r="H3619" s="308" t="s">
        <v>14813</v>
      </c>
      <c r="I3619" s="310">
        <v>40973.0</v>
      </c>
      <c r="J3619" s="319">
        <f>IFERROR(__xludf.DUMMYFUNCTION("SPLIT(I3619,""/"")"),5.0)</f>
        <v>5</v>
      </c>
      <c r="K3619" s="308">
        <f>IFERROR(__xludf.DUMMYFUNCTION("""COMPUTED_VALUE"""),3.0)</f>
        <v>3</v>
      </c>
      <c r="L3619" s="308">
        <f>IFERROR(__xludf.DUMMYFUNCTION("""COMPUTED_VALUE"""),2012.0)</f>
        <v>2012</v>
      </c>
      <c r="M3619" s="308" t="s">
        <v>14814</v>
      </c>
      <c r="N3619" s="308"/>
      <c r="O3619" s="308" t="s">
        <v>37093</v>
      </c>
      <c r="P3619" s="308" t="s">
        <v>37094</v>
      </c>
      <c r="Q3619" s="308" t="s">
        <v>37090</v>
      </c>
      <c r="R3619" s="308" t="s">
        <v>2743</v>
      </c>
      <c r="S3619" s="315" t="s">
        <v>100</v>
      </c>
      <c r="T3619" s="311" t="s">
        <v>34208</v>
      </c>
      <c r="U3619" s="308" t="s">
        <v>542</v>
      </c>
      <c r="V3619" s="312"/>
    </row>
    <row r="3620">
      <c r="A3620" s="308">
        <v>3619.0</v>
      </c>
      <c r="B3620" s="308"/>
      <c r="C3620" s="308" t="s">
        <v>14816</v>
      </c>
      <c r="D3620" s="308">
        <f>IFERROR(__xludf.DUMMYFUNCTION("SPLIT(C3620,""-"")"),3640.0)</f>
        <v>3640</v>
      </c>
      <c r="E3620" s="308" t="str">
        <f>IFERROR(__xludf.DUMMYFUNCTION("""COMPUTED_VALUE"""),"P")</f>
        <v>P</v>
      </c>
      <c r="F3620" s="312" t="s">
        <v>37</v>
      </c>
      <c r="G3620" s="308"/>
      <c r="H3620" s="308" t="s">
        <v>14817</v>
      </c>
      <c r="I3620" s="310">
        <v>42454.0</v>
      </c>
      <c r="J3620" s="319">
        <f>IFERROR(__xludf.DUMMYFUNCTION("SPLIT(I3620,""/"")"),25.0)</f>
        <v>25</v>
      </c>
      <c r="K3620" s="308">
        <f>IFERROR(__xludf.DUMMYFUNCTION("""COMPUTED_VALUE"""),3.0)</f>
        <v>3</v>
      </c>
      <c r="L3620" s="308">
        <f>IFERROR(__xludf.DUMMYFUNCTION("""COMPUTED_VALUE"""),2016.0)</f>
        <v>2016</v>
      </c>
      <c r="M3620" s="308" t="s">
        <v>14818</v>
      </c>
      <c r="N3620" s="308"/>
      <c r="O3620" s="308" t="s">
        <v>37095</v>
      </c>
      <c r="P3620" s="308" t="s">
        <v>14820</v>
      </c>
      <c r="Q3620" s="308" t="s">
        <v>37090</v>
      </c>
      <c r="R3620" s="308" t="s">
        <v>2743</v>
      </c>
      <c r="S3620" s="308" t="s">
        <v>81</v>
      </c>
      <c r="T3620" s="311" t="s">
        <v>75</v>
      </c>
      <c r="U3620" s="308"/>
      <c r="V3620" s="312"/>
    </row>
    <row r="3621">
      <c r="A3621" s="308">
        <v>3620.0</v>
      </c>
      <c r="B3621" s="308"/>
      <c r="C3621" s="308" t="s">
        <v>14821</v>
      </c>
      <c r="D3621" s="308">
        <f>IFERROR(__xludf.DUMMYFUNCTION("SPLIT(C3621,""-"")"),3641.0)</f>
        <v>3641</v>
      </c>
      <c r="E3621" s="308" t="str">
        <f>IFERROR(__xludf.DUMMYFUNCTION("""COMPUTED_VALUE"""),"K")</f>
        <v>K</v>
      </c>
      <c r="F3621" s="309" t="s">
        <v>34</v>
      </c>
      <c r="G3621" s="308"/>
      <c r="H3621" s="308" t="s">
        <v>14822</v>
      </c>
      <c r="I3621" s="310">
        <v>42343.0</v>
      </c>
      <c r="J3621" s="319">
        <f>IFERROR(__xludf.DUMMYFUNCTION("SPLIT(I3621,""/"")"),5.0)</f>
        <v>5</v>
      </c>
      <c r="K3621" s="308">
        <f>IFERROR(__xludf.DUMMYFUNCTION("""COMPUTED_VALUE"""),12.0)</f>
        <v>12</v>
      </c>
      <c r="L3621" s="308">
        <f>IFERROR(__xludf.DUMMYFUNCTION("""COMPUTED_VALUE"""),2015.0)</f>
        <v>2015</v>
      </c>
      <c r="M3621" s="308" t="s">
        <v>14823</v>
      </c>
      <c r="N3621" s="308"/>
      <c r="O3621" s="308" t="s">
        <v>37096</v>
      </c>
      <c r="P3621" s="308" t="s">
        <v>37097</v>
      </c>
      <c r="Q3621" s="308" t="s">
        <v>37090</v>
      </c>
      <c r="R3621" s="308" t="s">
        <v>2743</v>
      </c>
      <c r="S3621" s="308" t="s">
        <v>81</v>
      </c>
      <c r="T3621" s="308" t="s">
        <v>75</v>
      </c>
      <c r="U3621" s="308" t="s">
        <v>2152</v>
      </c>
      <c r="V3621" s="312"/>
    </row>
    <row r="3622">
      <c r="A3622" s="308">
        <v>3621.0</v>
      </c>
      <c r="B3622" s="308"/>
      <c r="C3622" s="308" t="s">
        <v>14826</v>
      </c>
      <c r="D3622" s="308">
        <f>IFERROR(__xludf.DUMMYFUNCTION("SPLIT(C3622,""-"")"),3642.0)</f>
        <v>3642</v>
      </c>
      <c r="E3622" s="308" t="str">
        <f>IFERROR(__xludf.DUMMYFUNCTION("""COMPUTED_VALUE"""),"K")</f>
        <v>K</v>
      </c>
      <c r="F3622" s="309" t="s">
        <v>34</v>
      </c>
      <c r="G3622" s="308"/>
      <c r="H3622" s="308" t="s">
        <v>14827</v>
      </c>
      <c r="I3622" s="310">
        <v>42623.0</v>
      </c>
      <c r="J3622" s="319">
        <f>IFERROR(__xludf.DUMMYFUNCTION("SPLIT(I3622,""/"")"),10.0)</f>
        <v>10</v>
      </c>
      <c r="K3622" s="308">
        <f>IFERROR(__xludf.DUMMYFUNCTION("""COMPUTED_VALUE"""),9.0)</f>
        <v>9</v>
      </c>
      <c r="L3622" s="308">
        <f>IFERROR(__xludf.DUMMYFUNCTION("""COMPUTED_VALUE"""),2016.0)</f>
        <v>2016</v>
      </c>
      <c r="M3622" s="308" t="s">
        <v>14828</v>
      </c>
      <c r="N3622" s="308"/>
      <c r="O3622" s="308" t="s">
        <v>37098</v>
      </c>
      <c r="P3622" s="308" t="s">
        <v>14830</v>
      </c>
      <c r="Q3622" s="308" t="s">
        <v>37090</v>
      </c>
      <c r="R3622" s="308" t="s">
        <v>2743</v>
      </c>
      <c r="S3622" s="308" t="s">
        <v>81</v>
      </c>
      <c r="T3622" s="308" t="s">
        <v>75</v>
      </c>
      <c r="U3622" s="308"/>
      <c r="V3622" s="312"/>
    </row>
    <row r="3623">
      <c r="A3623" s="308">
        <v>3622.0</v>
      </c>
      <c r="B3623" s="308"/>
      <c r="C3623" s="308" t="s">
        <v>14831</v>
      </c>
      <c r="D3623" s="308">
        <f>IFERROR(__xludf.DUMMYFUNCTION("SPLIT(C3623,""-"")"),3643.0)</f>
        <v>3643</v>
      </c>
      <c r="E3623" s="308" t="str">
        <f>IFERROR(__xludf.DUMMYFUNCTION("""COMPUTED_VALUE"""),"S")</f>
        <v>S</v>
      </c>
      <c r="F3623" s="312" t="s">
        <v>39</v>
      </c>
      <c r="G3623" s="308"/>
      <c r="H3623" s="308" t="s">
        <v>14832</v>
      </c>
      <c r="I3623" s="310">
        <v>42418.0</v>
      </c>
      <c r="J3623" s="319">
        <f>IFERROR(__xludf.DUMMYFUNCTION("SPLIT(I3623,""/"")"),18.0)</f>
        <v>18</v>
      </c>
      <c r="K3623" s="308">
        <f>IFERROR(__xludf.DUMMYFUNCTION("""COMPUTED_VALUE"""),2.0)</f>
        <v>2</v>
      </c>
      <c r="L3623" s="308">
        <f>IFERROR(__xludf.DUMMYFUNCTION("""COMPUTED_VALUE"""),2016.0)</f>
        <v>2016</v>
      </c>
      <c r="M3623" s="308" t="s">
        <v>14833</v>
      </c>
      <c r="N3623" s="308"/>
      <c r="O3623" s="308" t="s">
        <v>635</v>
      </c>
      <c r="P3623" s="308" t="s">
        <v>6558</v>
      </c>
      <c r="Q3623" s="308" t="s">
        <v>37099</v>
      </c>
      <c r="R3623" s="312"/>
      <c r="S3623" s="308" t="s">
        <v>81</v>
      </c>
      <c r="T3623" s="311" t="s">
        <v>73</v>
      </c>
      <c r="U3623" s="308" t="s">
        <v>166</v>
      </c>
      <c r="V3623" s="312"/>
    </row>
    <row r="3624">
      <c r="A3624" s="308">
        <v>3623.0</v>
      </c>
      <c r="B3624" s="308"/>
      <c r="C3624" s="308" t="s">
        <v>14834</v>
      </c>
      <c r="D3624" s="308">
        <f>IFERROR(__xludf.DUMMYFUNCTION("SPLIT(C3624,""-"")"),3644.0)</f>
        <v>3644</v>
      </c>
      <c r="E3624" s="308" t="str">
        <f>IFERROR(__xludf.DUMMYFUNCTION("""COMPUTED_VALUE"""),"GB")</f>
        <v>GB</v>
      </c>
      <c r="F3624" s="315" t="s">
        <v>29</v>
      </c>
      <c r="G3624" s="308"/>
      <c r="H3624" s="308" t="s">
        <v>14835</v>
      </c>
      <c r="I3624" s="310">
        <v>42562.0</v>
      </c>
      <c r="J3624" s="319">
        <f>IFERROR(__xludf.DUMMYFUNCTION("SPLIT(I3624,""/"")"),11.0)</f>
        <v>11</v>
      </c>
      <c r="K3624" s="308">
        <f>IFERROR(__xludf.DUMMYFUNCTION("""COMPUTED_VALUE"""),7.0)</f>
        <v>7</v>
      </c>
      <c r="L3624" s="308">
        <f>IFERROR(__xludf.DUMMYFUNCTION("""COMPUTED_VALUE"""),2016.0)</f>
        <v>2016</v>
      </c>
      <c r="M3624" s="308" t="s">
        <v>14836</v>
      </c>
      <c r="N3624" s="308"/>
      <c r="O3624" s="308" t="s">
        <v>14837</v>
      </c>
      <c r="P3624" s="308" t="s">
        <v>37100</v>
      </c>
      <c r="Q3624" s="308" t="s">
        <v>37101</v>
      </c>
      <c r="R3624" s="308" t="s">
        <v>2743</v>
      </c>
      <c r="S3624" s="308" t="s">
        <v>49</v>
      </c>
      <c r="T3624" s="308" t="s">
        <v>51</v>
      </c>
      <c r="U3624" s="308" t="s">
        <v>3528</v>
      </c>
      <c r="V3624" s="312"/>
    </row>
    <row r="3625">
      <c r="A3625" s="308">
        <v>3624.0</v>
      </c>
      <c r="B3625" s="308"/>
      <c r="C3625" s="308" t="s">
        <v>14839</v>
      </c>
      <c r="D3625" s="308">
        <f>IFERROR(__xludf.DUMMYFUNCTION("SPLIT(C3625,""-"")"),3645.0)</f>
        <v>3645</v>
      </c>
      <c r="E3625" s="308" t="str">
        <f>IFERROR(__xludf.DUMMYFUNCTION("""COMPUTED_VALUE"""),"GB")</f>
        <v>GB</v>
      </c>
      <c r="F3625" s="315" t="s">
        <v>29</v>
      </c>
      <c r="G3625" s="308"/>
      <c r="H3625" s="308" t="s">
        <v>14840</v>
      </c>
      <c r="I3625" s="310">
        <v>42562.0</v>
      </c>
      <c r="J3625" s="319">
        <f>IFERROR(__xludf.DUMMYFUNCTION("SPLIT(I3625,""/"")"),11.0)</f>
        <v>11</v>
      </c>
      <c r="K3625" s="308">
        <f>IFERROR(__xludf.DUMMYFUNCTION("""COMPUTED_VALUE"""),7.0)</f>
        <v>7</v>
      </c>
      <c r="L3625" s="308">
        <f>IFERROR(__xludf.DUMMYFUNCTION("""COMPUTED_VALUE"""),2016.0)</f>
        <v>2016</v>
      </c>
      <c r="M3625" s="308" t="s">
        <v>14841</v>
      </c>
      <c r="N3625" s="308"/>
      <c r="O3625" s="308" t="s">
        <v>14837</v>
      </c>
      <c r="P3625" s="308" t="s">
        <v>37100</v>
      </c>
      <c r="Q3625" s="308" t="s">
        <v>37101</v>
      </c>
      <c r="R3625" s="308" t="s">
        <v>2743</v>
      </c>
      <c r="S3625" s="308" t="s">
        <v>49</v>
      </c>
      <c r="T3625" s="308" t="s">
        <v>51</v>
      </c>
      <c r="U3625" s="308" t="s">
        <v>3528</v>
      </c>
      <c r="V3625" s="312"/>
    </row>
    <row r="3626">
      <c r="A3626" s="308">
        <v>3625.0</v>
      </c>
      <c r="B3626" s="308"/>
      <c r="C3626" s="308" t="s">
        <v>14842</v>
      </c>
      <c r="D3626" s="308">
        <f>IFERROR(__xludf.DUMMYFUNCTION("SPLIT(C3626,""-"")"),3646.0)</f>
        <v>3646</v>
      </c>
      <c r="E3626" s="308" t="str">
        <f>IFERROR(__xludf.DUMMYFUNCTION("""COMPUTED_VALUE"""),"GB")</f>
        <v>GB</v>
      </c>
      <c r="F3626" s="315" t="s">
        <v>29</v>
      </c>
      <c r="G3626" s="308"/>
      <c r="H3626" s="308" t="s">
        <v>14843</v>
      </c>
      <c r="I3626" s="310">
        <v>42562.0</v>
      </c>
      <c r="J3626" s="319">
        <f>IFERROR(__xludf.DUMMYFUNCTION("SPLIT(I3626,""/"")"),11.0)</f>
        <v>11</v>
      </c>
      <c r="K3626" s="308">
        <f>IFERROR(__xludf.DUMMYFUNCTION("""COMPUTED_VALUE"""),7.0)</f>
        <v>7</v>
      </c>
      <c r="L3626" s="308">
        <f>IFERROR(__xludf.DUMMYFUNCTION("""COMPUTED_VALUE"""),2016.0)</f>
        <v>2016</v>
      </c>
      <c r="M3626" s="308" t="s">
        <v>14844</v>
      </c>
      <c r="N3626" s="308"/>
      <c r="O3626" s="308" t="s">
        <v>14837</v>
      </c>
      <c r="P3626" s="308" t="s">
        <v>37100</v>
      </c>
      <c r="Q3626" s="308" t="s">
        <v>37101</v>
      </c>
      <c r="R3626" s="308" t="s">
        <v>2743</v>
      </c>
      <c r="S3626" s="308" t="s">
        <v>49</v>
      </c>
      <c r="T3626" s="308" t="s">
        <v>51</v>
      </c>
      <c r="U3626" s="308" t="s">
        <v>3528</v>
      </c>
      <c r="V3626" s="312"/>
    </row>
    <row r="3627">
      <c r="A3627" s="308">
        <v>3626.0</v>
      </c>
      <c r="B3627" s="308"/>
      <c r="C3627" s="308" t="s">
        <v>14845</v>
      </c>
      <c r="D3627" s="308">
        <f>IFERROR(__xludf.DUMMYFUNCTION("SPLIT(C3627,""-"")"),3647.0)</f>
        <v>3647</v>
      </c>
      <c r="E3627" s="308" t="str">
        <f>IFERROR(__xludf.DUMMYFUNCTION("""COMPUTED_VALUE"""),"K")</f>
        <v>K</v>
      </c>
      <c r="F3627" s="309" t="s">
        <v>34</v>
      </c>
      <c r="G3627" s="308"/>
      <c r="H3627" s="308" t="s">
        <v>14846</v>
      </c>
      <c r="I3627" s="310">
        <v>41686.0</v>
      </c>
      <c r="J3627" s="319">
        <f>IFERROR(__xludf.DUMMYFUNCTION("SPLIT(I3627,""/"")"),16.0)</f>
        <v>16</v>
      </c>
      <c r="K3627" s="308">
        <f>IFERROR(__xludf.DUMMYFUNCTION("""COMPUTED_VALUE"""),2.0)</f>
        <v>2</v>
      </c>
      <c r="L3627" s="308">
        <f>IFERROR(__xludf.DUMMYFUNCTION("""COMPUTED_VALUE"""),2014.0)</f>
        <v>2014</v>
      </c>
      <c r="M3627" s="308" t="s">
        <v>14847</v>
      </c>
      <c r="N3627" s="308"/>
      <c r="O3627" s="308" t="s">
        <v>14848</v>
      </c>
      <c r="P3627" s="308" t="s">
        <v>37102</v>
      </c>
      <c r="Q3627" s="308" t="s">
        <v>37101</v>
      </c>
      <c r="R3627" s="308" t="s">
        <v>2743</v>
      </c>
      <c r="S3627" s="315" t="s">
        <v>100</v>
      </c>
      <c r="T3627" s="311" t="s">
        <v>34208</v>
      </c>
      <c r="U3627" s="308" t="s">
        <v>7530</v>
      </c>
      <c r="V3627" s="312"/>
    </row>
    <row r="3628">
      <c r="A3628" s="308">
        <v>3627.0</v>
      </c>
      <c r="B3628" s="308"/>
      <c r="C3628" s="308" t="s">
        <v>14849</v>
      </c>
      <c r="D3628" s="308">
        <f>IFERROR(__xludf.DUMMYFUNCTION("SPLIT(C3628,""-"")"),3648.0)</f>
        <v>3648</v>
      </c>
      <c r="E3628" s="308" t="str">
        <f>IFERROR(__xludf.DUMMYFUNCTION("""COMPUTED_VALUE"""),"P")</f>
        <v>P</v>
      </c>
      <c r="F3628" s="312" t="s">
        <v>37</v>
      </c>
      <c r="G3628" s="308"/>
      <c r="H3628" s="308" t="s">
        <v>14850</v>
      </c>
      <c r="I3628" s="310">
        <v>42675.0</v>
      </c>
      <c r="J3628" s="319">
        <f>IFERROR(__xludf.DUMMYFUNCTION("SPLIT(I3628,""/"")"),1.0)</f>
        <v>1</v>
      </c>
      <c r="K3628" s="308">
        <f>IFERROR(__xludf.DUMMYFUNCTION("""COMPUTED_VALUE"""),11.0)</f>
        <v>11</v>
      </c>
      <c r="L3628" s="308">
        <f>IFERROR(__xludf.DUMMYFUNCTION("""COMPUTED_VALUE"""),2016.0)</f>
        <v>2016</v>
      </c>
      <c r="M3628" s="308" t="s">
        <v>14851</v>
      </c>
      <c r="N3628" s="308"/>
      <c r="O3628" s="308" t="s">
        <v>14852</v>
      </c>
      <c r="P3628" s="308" t="s">
        <v>14853</v>
      </c>
      <c r="Q3628" s="308" t="s">
        <v>37101</v>
      </c>
      <c r="R3628" s="308" t="s">
        <v>2743</v>
      </c>
      <c r="S3628" s="308" t="s">
        <v>81</v>
      </c>
      <c r="T3628" s="311" t="s">
        <v>75</v>
      </c>
      <c r="U3628" s="308"/>
      <c r="V3628" s="312"/>
    </row>
    <row r="3629">
      <c r="A3629" s="308">
        <v>3628.0</v>
      </c>
      <c r="B3629" s="308"/>
      <c r="C3629" s="308" t="s">
        <v>14854</v>
      </c>
      <c r="D3629" s="308">
        <f>IFERROR(__xludf.DUMMYFUNCTION("SPLIT(C3629,""-"")"),3649.0)</f>
        <v>3649</v>
      </c>
      <c r="E3629" s="308" t="str">
        <f>IFERROR(__xludf.DUMMYFUNCTION("""COMPUTED_VALUE"""),"I")</f>
        <v>I</v>
      </c>
      <c r="F3629" s="309" t="s">
        <v>31</v>
      </c>
      <c r="G3629" s="308"/>
      <c r="H3629" s="308" t="s">
        <v>14855</v>
      </c>
      <c r="I3629" s="314">
        <v>42660.0</v>
      </c>
      <c r="J3629" s="319">
        <f>IFERROR(__xludf.DUMMYFUNCTION("SPLIT(I3629,""/"")"),17.0)</f>
        <v>17</v>
      </c>
      <c r="K3629" s="308">
        <f>IFERROR(__xludf.DUMMYFUNCTION("""COMPUTED_VALUE"""),10.0)</f>
        <v>10</v>
      </c>
      <c r="L3629" s="308">
        <f>IFERROR(__xludf.DUMMYFUNCTION("""COMPUTED_VALUE"""),2016.0)</f>
        <v>2016</v>
      </c>
      <c r="M3629" s="308" t="s">
        <v>14851</v>
      </c>
      <c r="N3629" s="308"/>
      <c r="O3629" s="308" t="s">
        <v>14856</v>
      </c>
      <c r="P3629" s="308" t="s">
        <v>14857</v>
      </c>
      <c r="Q3629" s="308" t="s">
        <v>37101</v>
      </c>
      <c r="R3629" s="308" t="s">
        <v>2743</v>
      </c>
      <c r="S3629" s="308" t="s">
        <v>49</v>
      </c>
      <c r="T3629" s="308" t="s">
        <v>53</v>
      </c>
      <c r="U3629" s="308"/>
      <c r="V3629" s="312"/>
    </row>
    <row r="3630">
      <c r="A3630" s="308">
        <v>3629.0</v>
      </c>
      <c r="B3630" s="308"/>
      <c r="C3630" s="308" t="s">
        <v>14858</v>
      </c>
      <c r="D3630" s="308">
        <f>IFERROR(__xludf.DUMMYFUNCTION("SPLIT(C3630,""-"")"),3650.0)</f>
        <v>3650</v>
      </c>
      <c r="E3630" s="308" t="str">
        <f>IFERROR(__xludf.DUMMYFUNCTION("""COMPUTED_VALUE"""),"P")</f>
        <v>P</v>
      </c>
      <c r="F3630" s="312" t="s">
        <v>37</v>
      </c>
      <c r="G3630" s="308"/>
      <c r="H3630" s="308" t="s">
        <v>37103</v>
      </c>
      <c r="I3630" s="310">
        <v>42676.0</v>
      </c>
      <c r="J3630" s="319">
        <f>IFERROR(__xludf.DUMMYFUNCTION("SPLIT(I3630,""/"")"),2.0)</f>
        <v>2</v>
      </c>
      <c r="K3630" s="308">
        <f>IFERROR(__xludf.DUMMYFUNCTION("""COMPUTED_VALUE"""),11.0)</f>
        <v>11</v>
      </c>
      <c r="L3630" s="308">
        <f>IFERROR(__xludf.DUMMYFUNCTION("""COMPUTED_VALUE"""),2016.0)</f>
        <v>2016</v>
      </c>
      <c r="M3630" s="308" t="s">
        <v>37104</v>
      </c>
      <c r="N3630" s="308"/>
      <c r="O3630" s="308" t="s">
        <v>14861</v>
      </c>
      <c r="P3630" s="308" t="s">
        <v>14862</v>
      </c>
      <c r="Q3630" s="308" t="s">
        <v>37101</v>
      </c>
      <c r="R3630" s="308" t="s">
        <v>2743</v>
      </c>
      <c r="S3630" s="308" t="s">
        <v>81</v>
      </c>
      <c r="T3630" s="308" t="s">
        <v>75</v>
      </c>
      <c r="U3630" s="308"/>
      <c r="V3630" s="312"/>
    </row>
    <row r="3631">
      <c r="A3631" s="308">
        <v>3630.0</v>
      </c>
      <c r="B3631" s="308"/>
      <c r="C3631" s="308" t="s">
        <v>14863</v>
      </c>
      <c r="D3631" s="308">
        <f>IFERROR(__xludf.DUMMYFUNCTION("SPLIT(C3631,""-"")"),3651.0)</f>
        <v>3651</v>
      </c>
      <c r="E3631" s="308" t="str">
        <f>IFERROR(__xludf.DUMMYFUNCTION("""COMPUTED_VALUE"""),"S")</f>
        <v>S</v>
      </c>
      <c r="F3631" s="312" t="s">
        <v>39</v>
      </c>
      <c r="G3631" s="308"/>
      <c r="H3631" s="308" t="s">
        <v>14864</v>
      </c>
      <c r="I3631" s="310">
        <v>42562.0</v>
      </c>
      <c r="J3631" s="319">
        <f>IFERROR(__xludf.DUMMYFUNCTION("SPLIT(I3631,""/"")"),11.0)</f>
        <v>11</v>
      </c>
      <c r="K3631" s="308">
        <f>IFERROR(__xludf.DUMMYFUNCTION("""COMPUTED_VALUE"""),7.0)</f>
        <v>7</v>
      </c>
      <c r="L3631" s="308">
        <f>IFERROR(__xludf.DUMMYFUNCTION("""COMPUTED_VALUE"""),2016.0)</f>
        <v>2016</v>
      </c>
      <c r="M3631" s="308" t="s">
        <v>14865</v>
      </c>
      <c r="N3631" s="308"/>
      <c r="O3631" s="308" t="s">
        <v>14866</v>
      </c>
      <c r="P3631" s="308" t="s">
        <v>14867</v>
      </c>
      <c r="Q3631" s="308" t="s">
        <v>37105</v>
      </c>
      <c r="R3631" s="308" t="s">
        <v>14256</v>
      </c>
      <c r="S3631" s="308" t="s">
        <v>81</v>
      </c>
      <c r="T3631" s="308" t="s">
        <v>75</v>
      </c>
      <c r="U3631" s="308" t="s">
        <v>166</v>
      </c>
      <c r="V3631" s="312"/>
    </row>
    <row r="3632">
      <c r="A3632" s="308">
        <v>3631.0</v>
      </c>
      <c r="B3632" s="308"/>
      <c r="C3632" s="308" t="s">
        <v>14868</v>
      </c>
      <c r="D3632" s="308">
        <f>IFERROR(__xludf.DUMMYFUNCTION("SPLIT(C3632,""-"")"),3652.0)</f>
        <v>3652</v>
      </c>
      <c r="E3632" s="308" t="str">
        <f>IFERROR(__xludf.DUMMYFUNCTION("""COMPUTED_VALUE"""),"B")</f>
        <v>B</v>
      </c>
      <c r="F3632" s="315" t="s">
        <v>26</v>
      </c>
      <c r="G3632" s="308"/>
      <c r="H3632" s="308" t="s">
        <v>14869</v>
      </c>
      <c r="I3632" s="310">
        <v>42647.0</v>
      </c>
      <c r="J3632" s="319">
        <f>IFERROR(__xludf.DUMMYFUNCTION("SPLIT(I3632,""/"")"),4.0)</f>
        <v>4</v>
      </c>
      <c r="K3632" s="308">
        <f>IFERROR(__xludf.DUMMYFUNCTION("""COMPUTED_VALUE"""),10.0)</f>
        <v>10</v>
      </c>
      <c r="L3632" s="308">
        <f>IFERROR(__xludf.DUMMYFUNCTION("""COMPUTED_VALUE"""),2016.0)</f>
        <v>2016</v>
      </c>
      <c r="M3632" s="308"/>
      <c r="N3632" s="308"/>
      <c r="O3632" s="308" t="s">
        <v>37106</v>
      </c>
      <c r="P3632" s="308" t="s">
        <v>11049</v>
      </c>
      <c r="Q3632" s="308" t="s">
        <v>37105</v>
      </c>
      <c r="R3632" s="308" t="s">
        <v>14256</v>
      </c>
      <c r="S3632" s="315" t="s">
        <v>100</v>
      </c>
      <c r="T3632" s="311" t="s">
        <v>34208</v>
      </c>
      <c r="U3632" s="308" t="s">
        <v>27</v>
      </c>
      <c r="V3632" s="312"/>
    </row>
    <row r="3633">
      <c r="A3633" s="308">
        <v>3632.0</v>
      </c>
      <c r="B3633" s="308"/>
      <c r="C3633" s="308" t="s">
        <v>14871</v>
      </c>
      <c r="D3633" s="308">
        <f>IFERROR(__xludf.DUMMYFUNCTION("SPLIT(C3633,""-"")"),3653.0)</f>
        <v>3653</v>
      </c>
      <c r="E3633" s="308" t="str">
        <f>IFERROR(__xludf.DUMMYFUNCTION("""COMPUTED_VALUE"""),"K")</f>
        <v>K</v>
      </c>
      <c r="F3633" s="309" t="s">
        <v>34</v>
      </c>
      <c r="G3633" s="308"/>
      <c r="H3633" s="308" t="s">
        <v>14872</v>
      </c>
      <c r="I3633" s="314">
        <v>41993.0</v>
      </c>
      <c r="J3633" s="319">
        <f>IFERROR(__xludf.DUMMYFUNCTION("SPLIT(I3633,""/"")"),20.0)</f>
        <v>20</v>
      </c>
      <c r="K3633" s="308">
        <f>IFERROR(__xludf.DUMMYFUNCTION("""COMPUTED_VALUE"""),12.0)</f>
        <v>12</v>
      </c>
      <c r="L3633" s="308">
        <f>IFERROR(__xludf.DUMMYFUNCTION("""COMPUTED_VALUE"""),2014.0)</f>
        <v>2014</v>
      </c>
      <c r="M3633" s="308" t="s">
        <v>14873</v>
      </c>
      <c r="N3633" s="308"/>
      <c r="O3633" s="308" t="s">
        <v>14874</v>
      </c>
      <c r="P3633" s="308" t="s">
        <v>37107</v>
      </c>
      <c r="Q3633" s="308" t="s">
        <v>37105</v>
      </c>
      <c r="R3633" s="308" t="s">
        <v>2743</v>
      </c>
      <c r="S3633" s="315" t="s">
        <v>100</v>
      </c>
      <c r="T3633" s="311" t="s">
        <v>34208</v>
      </c>
      <c r="U3633" s="308" t="s">
        <v>1528</v>
      </c>
      <c r="V3633" s="312"/>
    </row>
    <row r="3634">
      <c r="A3634" s="308">
        <v>3633.0</v>
      </c>
      <c r="B3634" s="308"/>
      <c r="C3634" s="308" t="s">
        <v>14876</v>
      </c>
      <c r="D3634" s="308">
        <f>IFERROR(__xludf.DUMMYFUNCTION("SPLIT(C3634,""-"")"),3654.0)</f>
        <v>3654</v>
      </c>
      <c r="E3634" s="308" t="str">
        <f>IFERROR(__xludf.DUMMYFUNCTION("""COMPUTED_VALUE"""),"K")</f>
        <v>K</v>
      </c>
      <c r="F3634" s="309" t="s">
        <v>34</v>
      </c>
      <c r="G3634" s="308"/>
      <c r="H3634" s="308" t="s">
        <v>14877</v>
      </c>
      <c r="I3634" s="314">
        <v>41929.0</v>
      </c>
      <c r="J3634" s="319">
        <f>IFERROR(__xludf.DUMMYFUNCTION("SPLIT(I3634,""/"")"),17.0)</f>
        <v>17</v>
      </c>
      <c r="K3634" s="308">
        <f>IFERROR(__xludf.DUMMYFUNCTION("""COMPUTED_VALUE"""),10.0)</f>
        <v>10</v>
      </c>
      <c r="L3634" s="308">
        <f>IFERROR(__xludf.DUMMYFUNCTION("""COMPUTED_VALUE"""),2014.0)</f>
        <v>2014</v>
      </c>
      <c r="M3634" s="308" t="s">
        <v>14878</v>
      </c>
      <c r="N3634" s="308"/>
      <c r="O3634" s="308" t="s">
        <v>14879</v>
      </c>
      <c r="P3634" s="308" t="s">
        <v>37108</v>
      </c>
      <c r="Q3634" s="308" t="s">
        <v>37109</v>
      </c>
      <c r="R3634" s="308" t="s">
        <v>2743</v>
      </c>
      <c r="S3634" s="308" t="s">
        <v>49</v>
      </c>
      <c r="T3634" s="311" t="s">
        <v>51</v>
      </c>
      <c r="U3634" s="308" t="s">
        <v>125</v>
      </c>
      <c r="V3634" s="312"/>
    </row>
    <row r="3635">
      <c r="A3635" s="308">
        <v>3634.0</v>
      </c>
      <c r="B3635" s="308"/>
      <c r="C3635" s="308" t="s">
        <v>14881</v>
      </c>
      <c r="D3635" s="308">
        <f>IFERROR(__xludf.DUMMYFUNCTION("SPLIT(C3635,""-"")"),3655.0)</f>
        <v>3655</v>
      </c>
      <c r="E3635" s="308" t="str">
        <f>IFERROR(__xludf.DUMMYFUNCTION("""COMPUTED_VALUE"""),"K")</f>
        <v>K</v>
      </c>
      <c r="F3635" s="309" t="s">
        <v>34</v>
      </c>
      <c r="G3635" s="308"/>
      <c r="H3635" s="308" t="s">
        <v>14882</v>
      </c>
      <c r="I3635" s="310">
        <v>41945.0</v>
      </c>
      <c r="J3635" s="319">
        <f>IFERROR(__xludf.DUMMYFUNCTION("SPLIT(I3635,""/"")"),2.0)</f>
        <v>2</v>
      </c>
      <c r="K3635" s="308">
        <f>IFERROR(__xludf.DUMMYFUNCTION("""COMPUTED_VALUE"""),11.0)</f>
        <v>11</v>
      </c>
      <c r="L3635" s="308">
        <f>IFERROR(__xludf.DUMMYFUNCTION("""COMPUTED_VALUE"""),2014.0)</f>
        <v>2014</v>
      </c>
      <c r="M3635" s="308" t="s">
        <v>14883</v>
      </c>
      <c r="N3635" s="308"/>
      <c r="O3635" s="308" t="s">
        <v>14884</v>
      </c>
      <c r="P3635" s="308" t="s">
        <v>14885</v>
      </c>
      <c r="Q3635" s="308" t="s">
        <v>37109</v>
      </c>
      <c r="R3635" s="308" t="s">
        <v>2743</v>
      </c>
      <c r="S3635" s="308" t="s">
        <v>81</v>
      </c>
      <c r="T3635" s="308" t="s">
        <v>34264</v>
      </c>
      <c r="U3635" s="308" t="s">
        <v>282</v>
      </c>
      <c r="V3635" s="312"/>
    </row>
    <row r="3636">
      <c r="A3636" s="308">
        <v>3635.0</v>
      </c>
      <c r="B3636" s="308"/>
      <c r="C3636" s="308" t="s">
        <v>14886</v>
      </c>
      <c r="D3636" s="308">
        <f>IFERROR(__xludf.DUMMYFUNCTION("SPLIT(C3636,""-"")"),3656.0)</f>
        <v>3656</v>
      </c>
      <c r="E3636" s="308" t="str">
        <f>IFERROR(__xludf.DUMMYFUNCTION("""COMPUTED_VALUE"""),"K")</f>
        <v>K</v>
      </c>
      <c r="F3636" s="309" t="s">
        <v>34</v>
      </c>
      <c r="G3636" s="308"/>
      <c r="H3636" s="308" t="s">
        <v>14887</v>
      </c>
      <c r="I3636" s="310">
        <v>42582.0</v>
      </c>
      <c r="J3636" s="319">
        <f>IFERROR(__xludf.DUMMYFUNCTION("SPLIT(I3636,""/"")"),31.0)</f>
        <v>31</v>
      </c>
      <c r="K3636" s="308">
        <f>IFERROR(__xludf.DUMMYFUNCTION("""COMPUTED_VALUE"""),7.0)</f>
        <v>7</v>
      </c>
      <c r="L3636" s="308">
        <f>IFERROR(__xludf.DUMMYFUNCTION("""COMPUTED_VALUE"""),2016.0)</f>
        <v>2016</v>
      </c>
      <c r="M3636" s="308" t="s">
        <v>14888</v>
      </c>
      <c r="N3636" s="308"/>
      <c r="O3636" s="308" t="s">
        <v>14889</v>
      </c>
      <c r="P3636" s="308" t="s">
        <v>37012</v>
      </c>
      <c r="Q3636" s="308" t="s">
        <v>37109</v>
      </c>
      <c r="R3636" s="308" t="s">
        <v>2743</v>
      </c>
      <c r="S3636" s="315" t="s">
        <v>100</v>
      </c>
      <c r="T3636" s="311" t="s">
        <v>34208</v>
      </c>
      <c r="U3636" s="308" t="s">
        <v>125</v>
      </c>
      <c r="V3636" s="312"/>
    </row>
    <row r="3637">
      <c r="A3637" s="308">
        <v>3636.0</v>
      </c>
      <c r="B3637" s="308"/>
      <c r="C3637" s="308" t="s">
        <v>14890</v>
      </c>
      <c r="D3637" s="308">
        <f>IFERROR(__xludf.DUMMYFUNCTION("SPLIT(C3637,""-"")"),3657.0)</f>
        <v>3657</v>
      </c>
      <c r="E3637" s="308" t="str">
        <f>IFERROR(__xludf.DUMMYFUNCTION("""COMPUTED_VALUE"""),"K")</f>
        <v>K</v>
      </c>
      <c r="F3637" s="309" t="s">
        <v>34</v>
      </c>
      <c r="G3637" s="308"/>
      <c r="H3637" s="308" t="s">
        <v>14891</v>
      </c>
      <c r="I3637" s="310">
        <v>42196.0</v>
      </c>
      <c r="J3637" s="319">
        <f>IFERROR(__xludf.DUMMYFUNCTION("SPLIT(I3637,""/"")"),11.0)</f>
        <v>11</v>
      </c>
      <c r="K3637" s="308">
        <f>IFERROR(__xludf.DUMMYFUNCTION("""COMPUTED_VALUE"""),7.0)</f>
        <v>7</v>
      </c>
      <c r="L3637" s="308">
        <f>IFERROR(__xludf.DUMMYFUNCTION("""COMPUTED_VALUE"""),2015.0)</f>
        <v>2015</v>
      </c>
      <c r="M3637" s="308" t="s">
        <v>14892</v>
      </c>
      <c r="N3637" s="308"/>
      <c r="O3637" s="308" t="s">
        <v>14893</v>
      </c>
      <c r="P3637" s="308" t="s">
        <v>37110</v>
      </c>
      <c r="Q3637" s="308" t="s">
        <v>37109</v>
      </c>
      <c r="R3637" s="308" t="s">
        <v>2743</v>
      </c>
      <c r="S3637" s="308" t="s">
        <v>49</v>
      </c>
      <c r="T3637" s="308" t="s">
        <v>51</v>
      </c>
      <c r="U3637" s="308" t="s">
        <v>125</v>
      </c>
      <c r="V3637" s="312"/>
    </row>
    <row r="3638">
      <c r="A3638" s="308">
        <v>3637.0</v>
      </c>
      <c r="B3638" s="308"/>
      <c r="C3638" s="308" t="s">
        <v>14895</v>
      </c>
      <c r="D3638" s="308">
        <f>IFERROR(__xludf.DUMMYFUNCTION("SPLIT(C3638,""-"")"),3658.0)</f>
        <v>3658</v>
      </c>
      <c r="E3638" s="308" t="str">
        <f>IFERROR(__xludf.DUMMYFUNCTION("""COMPUTED_VALUE"""),"K")</f>
        <v>K</v>
      </c>
      <c r="F3638" s="309" t="s">
        <v>34</v>
      </c>
      <c r="G3638" s="308"/>
      <c r="H3638" s="308" t="s">
        <v>14896</v>
      </c>
      <c r="I3638" s="310">
        <v>42161.0</v>
      </c>
      <c r="J3638" s="319">
        <f>IFERROR(__xludf.DUMMYFUNCTION("SPLIT(I3638,""/"")"),6.0)</f>
        <v>6</v>
      </c>
      <c r="K3638" s="308">
        <f>IFERROR(__xludf.DUMMYFUNCTION("""COMPUTED_VALUE"""),6.0)</f>
        <v>6</v>
      </c>
      <c r="L3638" s="308">
        <f>IFERROR(__xludf.DUMMYFUNCTION("""COMPUTED_VALUE"""),2015.0)</f>
        <v>2015</v>
      </c>
      <c r="M3638" s="308" t="s">
        <v>14897</v>
      </c>
      <c r="N3638" s="308"/>
      <c r="O3638" s="308" t="s">
        <v>14898</v>
      </c>
      <c r="P3638" s="308" t="s">
        <v>37111</v>
      </c>
      <c r="Q3638" s="308" t="s">
        <v>37109</v>
      </c>
      <c r="R3638" s="308" t="s">
        <v>2743</v>
      </c>
      <c r="S3638" s="308" t="s">
        <v>81</v>
      </c>
      <c r="T3638" s="308" t="s">
        <v>34264</v>
      </c>
      <c r="U3638" s="308" t="s">
        <v>125</v>
      </c>
      <c r="V3638" s="312"/>
    </row>
    <row r="3639">
      <c r="A3639" s="308">
        <v>3638.0</v>
      </c>
      <c r="B3639" s="308"/>
      <c r="C3639" s="308" t="s">
        <v>14900</v>
      </c>
      <c r="D3639" s="308">
        <f>IFERROR(__xludf.DUMMYFUNCTION("SPLIT(C3639,""-"")"),3659.0)</f>
        <v>3659</v>
      </c>
      <c r="E3639" s="308" t="str">
        <f>IFERROR(__xludf.DUMMYFUNCTION("""COMPUTED_VALUE"""),"S")</f>
        <v>S</v>
      </c>
      <c r="F3639" s="312" t="s">
        <v>39</v>
      </c>
      <c r="G3639" s="308"/>
      <c r="H3639" s="308" t="s">
        <v>14901</v>
      </c>
      <c r="I3639" s="310">
        <v>41300.0</v>
      </c>
      <c r="J3639" s="319">
        <f>IFERROR(__xludf.DUMMYFUNCTION("SPLIT(I3639,""/"")"),26.0)</f>
        <v>26</v>
      </c>
      <c r="K3639" s="308">
        <f>IFERROR(__xludf.DUMMYFUNCTION("""COMPUTED_VALUE"""),1.0)</f>
        <v>1</v>
      </c>
      <c r="L3639" s="308">
        <f>IFERROR(__xludf.DUMMYFUNCTION("""COMPUTED_VALUE"""),2013.0)</f>
        <v>2013</v>
      </c>
      <c r="M3639" s="308" t="s">
        <v>14902</v>
      </c>
      <c r="N3639" s="308"/>
      <c r="O3639" s="308" t="s">
        <v>14903</v>
      </c>
      <c r="P3639" s="308" t="s">
        <v>37112</v>
      </c>
      <c r="Q3639" s="308" t="s">
        <v>37109</v>
      </c>
      <c r="R3639" s="308" t="s">
        <v>2743</v>
      </c>
      <c r="S3639" s="308" t="s">
        <v>81</v>
      </c>
      <c r="T3639" s="311" t="s">
        <v>91</v>
      </c>
      <c r="U3639" s="308" t="s">
        <v>166</v>
      </c>
      <c r="V3639" s="312"/>
    </row>
    <row r="3640">
      <c r="A3640" s="308">
        <v>3639.0</v>
      </c>
      <c r="B3640" s="308"/>
      <c r="C3640" s="308" t="s">
        <v>14905</v>
      </c>
      <c r="D3640" s="308">
        <f>IFERROR(__xludf.DUMMYFUNCTION("SPLIT(C3640,""-"")"),3660.0)</f>
        <v>3660</v>
      </c>
      <c r="E3640" s="308" t="str">
        <f>IFERROR(__xludf.DUMMYFUNCTION("""COMPUTED_VALUE"""),"K")</f>
        <v>K</v>
      </c>
      <c r="F3640" s="309" t="s">
        <v>34</v>
      </c>
      <c r="G3640" s="308"/>
      <c r="H3640" s="308" t="s">
        <v>14906</v>
      </c>
      <c r="I3640" s="310">
        <v>40206.0</v>
      </c>
      <c r="J3640" s="319">
        <f>IFERROR(__xludf.DUMMYFUNCTION("SPLIT(I3640,""/"")"),28.0)</f>
        <v>28</v>
      </c>
      <c r="K3640" s="308">
        <f>IFERROR(__xludf.DUMMYFUNCTION("""COMPUTED_VALUE"""),1.0)</f>
        <v>1</v>
      </c>
      <c r="L3640" s="308">
        <f>IFERROR(__xludf.DUMMYFUNCTION("""COMPUTED_VALUE"""),2010.0)</f>
        <v>2010</v>
      </c>
      <c r="M3640" s="308" t="s">
        <v>14907</v>
      </c>
      <c r="N3640" s="308"/>
      <c r="O3640" s="308" t="s">
        <v>635</v>
      </c>
      <c r="P3640" s="308" t="s">
        <v>37113</v>
      </c>
      <c r="Q3640" s="308" t="s">
        <v>37109</v>
      </c>
      <c r="R3640" s="308" t="s">
        <v>1496</v>
      </c>
      <c r="S3640" s="308" t="s">
        <v>81</v>
      </c>
      <c r="T3640" s="308" t="s">
        <v>75</v>
      </c>
      <c r="U3640" s="308" t="s">
        <v>530</v>
      </c>
      <c r="V3640" s="312"/>
    </row>
    <row r="3641">
      <c r="A3641" s="308">
        <v>3640.0</v>
      </c>
      <c r="B3641" s="308"/>
      <c r="C3641" s="308" t="s">
        <v>14909</v>
      </c>
      <c r="D3641" s="308">
        <f>IFERROR(__xludf.DUMMYFUNCTION("SPLIT(C3641,""-"")"),3661.0)</f>
        <v>3661</v>
      </c>
      <c r="E3641" s="308" t="str">
        <f>IFERROR(__xludf.DUMMYFUNCTION("""COMPUTED_VALUE"""),"K")</f>
        <v>K</v>
      </c>
      <c r="F3641" s="309" t="s">
        <v>34</v>
      </c>
      <c r="G3641" s="308"/>
      <c r="H3641" s="308" t="s">
        <v>14910</v>
      </c>
      <c r="I3641" s="310">
        <v>40206.0</v>
      </c>
      <c r="J3641" s="319">
        <f>IFERROR(__xludf.DUMMYFUNCTION("SPLIT(I3641,""/"")"),28.0)</f>
        <v>28</v>
      </c>
      <c r="K3641" s="308">
        <f>IFERROR(__xludf.DUMMYFUNCTION("""COMPUTED_VALUE"""),1.0)</f>
        <v>1</v>
      </c>
      <c r="L3641" s="308">
        <f>IFERROR(__xludf.DUMMYFUNCTION("""COMPUTED_VALUE"""),2010.0)</f>
        <v>2010</v>
      </c>
      <c r="M3641" s="308" t="s">
        <v>14907</v>
      </c>
      <c r="N3641" s="308"/>
      <c r="O3641" s="308" t="s">
        <v>635</v>
      </c>
      <c r="P3641" s="308" t="s">
        <v>37114</v>
      </c>
      <c r="Q3641" s="308" t="s">
        <v>37109</v>
      </c>
      <c r="R3641" s="308" t="s">
        <v>14911</v>
      </c>
      <c r="S3641" s="315" t="s">
        <v>100</v>
      </c>
      <c r="T3641" s="311" t="s">
        <v>34208</v>
      </c>
      <c r="U3641" s="308" t="s">
        <v>2989</v>
      </c>
      <c r="V3641" s="312"/>
    </row>
    <row r="3642">
      <c r="A3642" s="308">
        <v>3641.0</v>
      </c>
      <c r="B3642" s="308"/>
      <c r="C3642" s="308" t="s">
        <v>14912</v>
      </c>
      <c r="D3642" s="308">
        <f>IFERROR(__xludf.DUMMYFUNCTION("SPLIT(C3642,""-"")"),3662.0)</f>
        <v>3662</v>
      </c>
      <c r="E3642" s="308" t="str">
        <f>IFERROR(__xludf.DUMMYFUNCTION("""COMPUTED_VALUE"""),"F")</f>
        <v>F</v>
      </c>
      <c r="F3642" s="309" t="s">
        <v>34</v>
      </c>
      <c r="G3642" s="308"/>
      <c r="H3642" s="308" t="s">
        <v>14913</v>
      </c>
      <c r="I3642" s="310">
        <v>42055.0</v>
      </c>
      <c r="J3642" s="319">
        <f>IFERROR(__xludf.DUMMYFUNCTION("SPLIT(I3642,""/"")"),20.0)</f>
        <v>20</v>
      </c>
      <c r="K3642" s="308">
        <f>IFERROR(__xludf.DUMMYFUNCTION("""COMPUTED_VALUE"""),2.0)</f>
        <v>2</v>
      </c>
      <c r="L3642" s="308">
        <f>IFERROR(__xludf.DUMMYFUNCTION("""COMPUTED_VALUE"""),2015.0)</f>
        <v>2015</v>
      </c>
      <c r="M3642" s="308" t="s">
        <v>14914</v>
      </c>
      <c r="N3642" s="308" t="s">
        <v>14915</v>
      </c>
      <c r="O3642" s="308" t="s">
        <v>635</v>
      </c>
      <c r="P3642" s="308" t="s">
        <v>37115</v>
      </c>
      <c r="Q3642" s="308" t="s">
        <v>37109</v>
      </c>
      <c r="R3642" s="308" t="s">
        <v>14911</v>
      </c>
      <c r="S3642" s="315" t="s">
        <v>100</v>
      </c>
      <c r="T3642" s="311" t="s">
        <v>34208</v>
      </c>
      <c r="U3642" s="308" t="s">
        <v>6875</v>
      </c>
      <c r="V3642" s="312"/>
    </row>
    <row r="3643">
      <c r="A3643" s="308">
        <v>3642.0</v>
      </c>
      <c r="B3643" s="308"/>
      <c r="C3643" s="308" t="s">
        <v>14916</v>
      </c>
      <c r="D3643" s="308">
        <f>IFERROR(__xludf.DUMMYFUNCTION("SPLIT(C3643,""-"")"),3663.0)</f>
        <v>3663</v>
      </c>
      <c r="E3643" s="308" t="str">
        <f>IFERROR(__xludf.DUMMYFUNCTION("""COMPUTED_VALUE"""),"F")</f>
        <v>F</v>
      </c>
      <c r="F3643" s="309" t="s">
        <v>34</v>
      </c>
      <c r="G3643" s="308"/>
      <c r="H3643" s="308" t="s">
        <v>14917</v>
      </c>
      <c r="I3643" s="314">
        <v>42325.0</v>
      </c>
      <c r="J3643" s="319">
        <f>IFERROR(__xludf.DUMMYFUNCTION("SPLIT(I3643,""/"")"),17.0)</f>
        <v>17</v>
      </c>
      <c r="K3643" s="308">
        <f>IFERROR(__xludf.DUMMYFUNCTION("""COMPUTED_VALUE"""),11.0)</f>
        <v>11</v>
      </c>
      <c r="L3643" s="308">
        <f>IFERROR(__xludf.DUMMYFUNCTION("""COMPUTED_VALUE"""),2015.0)</f>
        <v>2015</v>
      </c>
      <c r="M3643" s="308" t="s">
        <v>14918</v>
      </c>
      <c r="N3643" s="308"/>
      <c r="O3643" s="308" t="s">
        <v>635</v>
      </c>
      <c r="P3643" s="308" t="s">
        <v>2355</v>
      </c>
      <c r="Q3643" s="308" t="s">
        <v>37109</v>
      </c>
      <c r="R3643" s="308" t="s">
        <v>14911</v>
      </c>
      <c r="S3643" s="311" t="s">
        <v>49</v>
      </c>
      <c r="T3643" s="309" t="s">
        <v>77</v>
      </c>
      <c r="U3643" s="312"/>
      <c r="V3643" s="312"/>
    </row>
    <row r="3644">
      <c r="A3644" s="308">
        <v>3643.0</v>
      </c>
      <c r="B3644" s="308"/>
      <c r="C3644" s="308" t="s">
        <v>14919</v>
      </c>
      <c r="D3644" s="308">
        <f>IFERROR(__xludf.DUMMYFUNCTION("SPLIT(C3644,""-"")"),3664.0)</f>
        <v>3664</v>
      </c>
      <c r="E3644" s="308" t="str">
        <f>IFERROR(__xludf.DUMMYFUNCTION("""COMPUTED_VALUE"""),"K")</f>
        <v>K</v>
      </c>
      <c r="F3644" s="309" t="s">
        <v>34</v>
      </c>
      <c r="G3644" s="308"/>
      <c r="H3644" s="308" t="s">
        <v>14920</v>
      </c>
      <c r="I3644" s="316">
        <v>2013.0</v>
      </c>
      <c r="J3644" s="319"/>
      <c r="K3644" s="308"/>
      <c r="L3644" s="311">
        <v>2013.0</v>
      </c>
      <c r="M3644" s="308" t="s">
        <v>14921</v>
      </c>
      <c r="N3644" s="308"/>
      <c r="O3644" s="308" t="s">
        <v>14922</v>
      </c>
      <c r="P3644" s="308" t="s">
        <v>37116</v>
      </c>
      <c r="Q3644" s="308" t="s">
        <v>37109</v>
      </c>
      <c r="R3644" s="308" t="s">
        <v>2743</v>
      </c>
      <c r="S3644" s="308" t="s">
        <v>49</v>
      </c>
      <c r="T3644" s="308" t="s">
        <v>51</v>
      </c>
      <c r="U3644" s="308" t="s">
        <v>3714</v>
      </c>
      <c r="V3644" s="312"/>
    </row>
    <row r="3645">
      <c r="A3645" s="308">
        <v>3644.0</v>
      </c>
      <c r="B3645" s="308"/>
      <c r="C3645" s="308" t="s">
        <v>14924</v>
      </c>
      <c r="D3645" s="308">
        <f>IFERROR(__xludf.DUMMYFUNCTION("SPLIT(C3645,""-"")"),3665.0)</f>
        <v>3665</v>
      </c>
      <c r="E3645" s="308" t="str">
        <f>IFERROR(__xludf.DUMMYFUNCTION("""COMPUTED_VALUE"""),"K")</f>
        <v>K</v>
      </c>
      <c r="F3645" s="309" t="s">
        <v>34</v>
      </c>
      <c r="G3645" s="308"/>
      <c r="H3645" s="308" t="s">
        <v>14925</v>
      </c>
      <c r="I3645" s="314">
        <v>41195.0</v>
      </c>
      <c r="J3645" s="319">
        <f>IFERROR(__xludf.DUMMYFUNCTION("SPLIT(I3645,""/"")"),13.0)</f>
        <v>13</v>
      </c>
      <c r="K3645" s="308">
        <f>IFERROR(__xludf.DUMMYFUNCTION("""COMPUTED_VALUE"""),10.0)</f>
        <v>10</v>
      </c>
      <c r="L3645" s="308">
        <f>IFERROR(__xludf.DUMMYFUNCTION("""COMPUTED_VALUE"""),2012.0)</f>
        <v>2012</v>
      </c>
      <c r="M3645" s="308" t="s">
        <v>14926</v>
      </c>
      <c r="N3645" s="308"/>
      <c r="O3645" s="308" t="s">
        <v>14927</v>
      </c>
      <c r="P3645" s="308" t="s">
        <v>37117</v>
      </c>
      <c r="Q3645" s="308" t="s">
        <v>37118</v>
      </c>
      <c r="R3645" s="308" t="s">
        <v>2743</v>
      </c>
      <c r="S3645" s="315" t="s">
        <v>100</v>
      </c>
      <c r="T3645" s="311" t="s">
        <v>34208</v>
      </c>
      <c r="U3645" s="308" t="s">
        <v>125</v>
      </c>
      <c r="V3645" s="312"/>
    </row>
    <row r="3646">
      <c r="A3646" s="308">
        <v>3645.0</v>
      </c>
      <c r="B3646" s="308"/>
      <c r="C3646" s="308" t="s">
        <v>14928</v>
      </c>
      <c r="D3646" s="308">
        <f>IFERROR(__xludf.DUMMYFUNCTION("SPLIT(C3646,""-"")"),3666.0)</f>
        <v>3666</v>
      </c>
      <c r="E3646" s="308" t="str">
        <f>IFERROR(__xludf.DUMMYFUNCTION("""COMPUTED_VALUE"""),"K")</f>
        <v>K</v>
      </c>
      <c r="F3646" s="309" t="s">
        <v>34</v>
      </c>
      <c r="G3646" s="308"/>
      <c r="H3646" s="308" t="s">
        <v>37119</v>
      </c>
      <c r="I3646" s="310">
        <v>42144.0</v>
      </c>
      <c r="J3646" s="319">
        <f>IFERROR(__xludf.DUMMYFUNCTION("SPLIT(I3646,""/"")"),20.0)</f>
        <v>20</v>
      </c>
      <c r="K3646" s="308">
        <f>IFERROR(__xludf.DUMMYFUNCTION("""COMPUTED_VALUE"""),5.0)</f>
        <v>5</v>
      </c>
      <c r="L3646" s="308">
        <f>IFERROR(__xludf.DUMMYFUNCTION("""COMPUTED_VALUE"""),2015.0)</f>
        <v>2015</v>
      </c>
      <c r="M3646" s="308" t="s">
        <v>14930</v>
      </c>
      <c r="N3646" s="308"/>
      <c r="O3646" s="308" t="s">
        <v>14931</v>
      </c>
      <c r="P3646" s="308" t="s">
        <v>37117</v>
      </c>
      <c r="Q3646" s="308" t="s">
        <v>37118</v>
      </c>
      <c r="R3646" s="308" t="s">
        <v>2743</v>
      </c>
      <c r="S3646" s="315" t="s">
        <v>100</v>
      </c>
      <c r="T3646" s="311" t="s">
        <v>34208</v>
      </c>
      <c r="U3646" s="308" t="s">
        <v>125</v>
      </c>
      <c r="V3646" s="312"/>
    </row>
    <row r="3647">
      <c r="A3647" s="308">
        <v>3646.0</v>
      </c>
      <c r="B3647" s="308"/>
      <c r="C3647" s="308" t="s">
        <v>14932</v>
      </c>
      <c r="D3647" s="308">
        <f>IFERROR(__xludf.DUMMYFUNCTION("SPLIT(C3647,""-"")"),3667.0)</f>
        <v>3667</v>
      </c>
      <c r="E3647" s="308" t="str">
        <f>IFERROR(__xludf.DUMMYFUNCTION("""COMPUTED_VALUE"""),"K")</f>
        <v>K</v>
      </c>
      <c r="F3647" s="309" t="s">
        <v>34</v>
      </c>
      <c r="G3647" s="308"/>
      <c r="H3647" s="308" t="s">
        <v>14933</v>
      </c>
      <c r="I3647" s="316">
        <v>2015.0</v>
      </c>
      <c r="J3647" s="319"/>
      <c r="K3647" s="308"/>
      <c r="L3647" s="311">
        <v>2015.0</v>
      </c>
      <c r="M3647" s="308" t="s">
        <v>14934</v>
      </c>
      <c r="N3647" s="308"/>
      <c r="O3647" s="308"/>
      <c r="P3647" s="308" t="s">
        <v>14935</v>
      </c>
      <c r="Q3647" s="308" t="s">
        <v>37118</v>
      </c>
      <c r="R3647" s="308" t="s">
        <v>2743</v>
      </c>
      <c r="S3647" s="308" t="s">
        <v>81</v>
      </c>
      <c r="T3647" s="308" t="s">
        <v>34264</v>
      </c>
      <c r="U3647" s="308"/>
      <c r="V3647" s="312"/>
    </row>
    <row r="3648">
      <c r="A3648" s="308">
        <v>3647.0</v>
      </c>
      <c r="B3648" s="308"/>
      <c r="C3648" s="308" t="s">
        <v>14936</v>
      </c>
      <c r="D3648" s="308">
        <f>IFERROR(__xludf.DUMMYFUNCTION("SPLIT(C3648,""-"")"),3668.0)</f>
        <v>3668</v>
      </c>
      <c r="E3648" s="308" t="str">
        <f>IFERROR(__xludf.DUMMYFUNCTION("""COMPUTED_VALUE"""),"K")</f>
        <v>K</v>
      </c>
      <c r="F3648" s="309" t="s">
        <v>34</v>
      </c>
      <c r="G3648" s="308"/>
      <c r="H3648" s="308" t="s">
        <v>14937</v>
      </c>
      <c r="I3648" s="310">
        <v>42340.0</v>
      </c>
      <c r="J3648" s="319">
        <f>IFERROR(__xludf.DUMMYFUNCTION("SPLIT(I3648,""/"")"),2.0)</f>
        <v>2</v>
      </c>
      <c r="K3648" s="308">
        <f>IFERROR(__xludf.DUMMYFUNCTION("""COMPUTED_VALUE"""),12.0)</f>
        <v>12</v>
      </c>
      <c r="L3648" s="308">
        <f>IFERROR(__xludf.DUMMYFUNCTION("""COMPUTED_VALUE"""),2015.0)</f>
        <v>2015</v>
      </c>
      <c r="M3648" s="308" t="s">
        <v>14938</v>
      </c>
      <c r="N3648" s="308"/>
      <c r="O3648" s="308" t="s">
        <v>14939</v>
      </c>
      <c r="P3648" s="308" t="s">
        <v>37120</v>
      </c>
      <c r="Q3648" s="308" t="s">
        <v>37118</v>
      </c>
      <c r="R3648" s="308" t="s">
        <v>2743</v>
      </c>
      <c r="S3648" s="308" t="s">
        <v>81</v>
      </c>
      <c r="T3648" s="308" t="s">
        <v>75</v>
      </c>
      <c r="U3648" s="308" t="s">
        <v>2989</v>
      </c>
      <c r="V3648" s="312"/>
    </row>
    <row r="3649">
      <c r="A3649" s="308">
        <v>3648.0</v>
      </c>
      <c r="B3649" s="308"/>
      <c r="C3649" s="308" t="s">
        <v>14941</v>
      </c>
      <c r="D3649" s="308">
        <f>IFERROR(__xludf.DUMMYFUNCTION("SPLIT(C3649,""-"")"),3669.0)</f>
        <v>3669</v>
      </c>
      <c r="E3649" s="308" t="str">
        <f>IFERROR(__xludf.DUMMYFUNCTION("""COMPUTED_VALUE"""),"P")</f>
        <v>P</v>
      </c>
      <c r="F3649" s="312" t="s">
        <v>37</v>
      </c>
      <c r="G3649" s="308"/>
      <c r="H3649" s="308" t="s">
        <v>14942</v>
      </c>
      <c r="I3649" s="314">
        <v>42670.0</v>
      </c>
      <c r="J3649" s="319">
        <f>IFERROR(__xludf.DUMMYFUNCTION("SPLIT(I3649,""/"")"),27.0)</f>
        <v>27</v>
      </c>
      <c r="K3649" s="308">
        <f>IFERROR(__xludf.DUMMYFUNCTION("""COMPUTED_VALUE"""),10.0)</f>
        <v>10</v>
      </c>
      <c r="L3649" s="308">
        <f>IFERROR(__xludf.DUMMYFUNCTION("""COMPUTED_VALUE"""),2016.0)</f>
        <v>2016</v>
      </c>
      <c r="M3649" s="308" t="s">
        <v>14943</v>
      </c>
      <c r="N3649" s="308"/>
      <c r="O3649" s="308" t="s">
        <v>635</v>
      </c>
      <c r="P3649" s="308" t="s">
        <v>14944</v>
      </c>
      <c r="Q3649" s="308" t="s">
        <v>37118</v>
      </c>
      <c r="R3649" s="308" t="s">
        <v>2743</v>
      </c>
      <c r="S3649" s="308" t="s">
        <v>81</v>
      </c>
      <c r="T3649" s="311" t="s">
        <v>75</v>
      </c>
      <c r="U3649" s="308"/>
      <c r="V3649" s="312"/>
    </row>
    <row r="3650">
      <c r="A3650" s="308">
        <v>3649.0</v>
      </c>
      <c r="B3650" s="308"/>
      <c r="C3650" s="308" t="s">
        <v>14945</v>
      </c>
      <c r="D3650" s="308">
        <f>IFERROR(__xludf.DUMMYFUNCTION("SPLIT(C3650,""-"")"),3670.0)</f>
        <v>3670</v>
      </c>
      <c r="E3650" s="308" t="str">
        <f>IFERROR(__xludf.DUMMYFUNCTION("""COMPUTED_VALUE"""),"P")</f>
        <v>P</v>
      </c>
      <c r="F3650" s="312" t="s">
        <v>37</v>
      </c>
      <c r="G3650" s="308"/>
      <c r="H3650" s="308" t="s">
        <v>14946</v>
      </c>
      <c r="I3650" s="310">
        <v>39114.0</v>
      </c>
      <c r="J3650" s="319">
        <f>IFERROR(__xludf.DUMMYFUNCTION("SPLIT(I3650,""/"")"),1.0)</f>
        <v>1</v>
      </c>
      <c r="K3650" s="308">
        <f>IFERROR(__xludf.DUMMYFUNCTION("""COMPUTED_VALUE"""),2.0)</f>
        <v>2</v>
      </c>
      <c r="L3650" s="308">
        <f>IFERROR(__xludf.DUMMYFUNCTION("""COMPUTED_VALUE"""),2007.0)</f>
        <v>2007</v>
      </c>
      <c r="M3650" s="308" t="s">
        <v>14947</v>
      </c>
      <c r="N3650" s="308"/>
      <c r="O3650" s="308" t="s">
        <v>14948</v>
      </c>
      <c r="P3650" s="308" t="s">
        <v>37121</v>
      </c>
      <c r="Q3650" s="308" t="s">
        <v>37118</v>
      </c>
      <c r="R3650" s="308" t="s">
        <v>2743</v>
      </c>
      <c r="S3650" s="315" t="s">
        <v>100</v>
      </c>
      <c r="T3650" s="311" t="s">
        <v>34208</v>
      </c>
      <c r="U3650" s="308" t="s">
        <v>2291</v>
      </c>
      <c r="V3650" s="312"/>
    </row>
    <row r="3651">
      <c r="A3651" s="308">
        <v>3650.0</v>
      </c>
      <c r="B3651" s="308"/>
      <c r="C3651" s="308" t="s">
        <v>14949</v>
      </c>
      <c r="D3651" s="308">
        <f>IFERROR(__xludf.DUMMYFUNCTION("SPLIT(C3651,""-"")"),3671.0)</f>
        <v>3671</v>
      </c>
      <c r="E3651" s="308" t="str">
        <f>IFERROR(__xludf.DUMMYFUNCTION("""COMPUTED_VALUE"""),"P")</f>
        <v>P</v>
      </c>
      <c r="F3651" s="312" t="s">
        <v>37</v>
      </c>
      <c r="G3651" s="308"/>
      <c r="H3651" s="308" t="s">
        <v>14950</v>
      </c>
      <c r="I3651" s="314">
        <v>42689.0</v>
      </c>
      <c r="J3651" s="319">
        <f>IFERROR(__xludf.DUMMYFUNCTION("SPLIT(I3651,""/"")"),15.0)</f>
        <v>15</v>
      </c>
      <c r="K3651" s="308">
        <f>IFERROR(__xludf.DUMMYFUNCTION("""COMPUTED_VALUE"""),11.0)</f>
        <v>11</v>
      </c>
      <c r="L3651" s="308">
        <f>IFERROR(__xludf.DUMMYFUNCTION("""COMPUTED_VALUE"""),2016.0)</f>
        <v>2016</v>
      </c>
      <c r="M3651" s="308" t="s">
        <v>14951</v>
      </c>
      <c r="N3651" s="308"/>
      <c r="O3651" s="308" t="s">
        <v>635</v>
      </c>
      <c r="P3651" s="308" t="s">
        <v>14952</v>
      </c>
      <c r="Q3651" s="308" t="s">
        <v>37118</v>
      </c>
      <c r="R3651" s="308" t="s">
        <v>2743</v>
      </c>
      <c r="S3651" s="308" t="s">
        <v>81</v>
      </c>
      <c r="T3651" s="308" t="s">
        <v>75</v>
      </c>
      <c r="U3651" s="308"/>
      <c r="V3651" s="312"/>
    </row>
    <row r="3652">
      <c r="A3652" s="308">
        <v>3651.0</v>
      </c>
      <c r="B3652" s="308"/>
      <c r="C3652" s="308" t="s">
        <v>14953</v>
      </c>
      <c r="D3652" s="308">
        <f>IFERROR(__xludf.DUMMYFUNCTION("SPLIT(C3652,""-"")"),3672.0)</f>
        <v>3672</v>
      </c>
      <c r="E3652" s="308" t="str">
        <f>IFERROR(__xludf.DUMMYFUNCTION("""COMPUTED_VALUE"""),"P")</f>
        <v>P</v>
      </c>
      <c r="F3652" s="312" t="s">
        <v>37</v>
      </c>
      <c r="G3652" s="308"/>
      <c r="H3652" s="308" t="s">
        <v>14954</v>
      </c>
      <c r="I3652" s="310">
        <v>42106.0</v>
      </c>
      <c r="J3652" s="319">
        <f>IFERROR(__xludf.DUMMYFUNCTION("SPLIT(I3652,""/"")"),12.0)</f>
        <v>12</v>
      </c>
      <c r="K3652" s="308">
        <f>IFERROR(__xludf.DUMMYFUNCTION("""COMPUTED_VALUE"""),4.0)</f>
        <v>4</v>
      </c>
      <c r="L3652" s="308">
        <f>IFERROR(__xludf.DUMMYFUNCTION("""COMPUTED_VALUE"""),2015.0)</f>
        <v>2015</v>
      </c>
      <c r="M3652" s="308" t="s">
        <v>14955</v>
      </c>
      <c r="N3652" s="308"/>
      <c r="O3652" s="308" t="s">
        <v>14956</v>
      </c>
      <c r="P3652" s="308" t="s">
        <v>37009</v>
      </c>
      <c r="Q3652" s="308" t="s">
        <v>37118</v>
      </c>
      <c r="R3652" s="308" t="s">
        <v>2743</v>
      </c>
      <c r="S3652" s="308" t="s">
        <v>81</v>
      </c>
      <c r="T3652" s="308" t="s">
        <v>63</v>
      </c>
      <c r="U3652" s="308" t="s">
        <v>143</v>
      </c>
      <c r="V3652" s="312"/>
    </row>
    <row r="3653">
      <c r="A3653" s="308">
        <v>3652.0</v>
      </c>
      <c r="B3653" s="308"/>
      <c r="C3653" s="308" t="s">
        <v>14957</v>
      </c>
      <c r="D3653" s="308">
        <f>IFERROR(__xludf.DUMMYFUNCTION("SPLIT(C3653,""-"")"),3673.0)</f>
        <v>3673</v>
      </c>
      <c r="E3653" s="308" t="str">
        <f>IFERROR(__xludf.DUMMYFUNCTION("""COMPUTED_VALUE"""),"P")</f>
        <v>P</v>
      </c>
      <c r="F3653" s="312" t="s">
        <v>37</v>
      </c>
      <c r="G3653" s="308"/>
      <c r="H3653" s="308" t="s">
        <v>14958</v>
      </c>
      <c r="I3653" s="314">
        <v>42673.0</v>
      </c>
      <c r="J3653" s="319">
        <f>IFERROR(__xludf.DUMMYFUNCTION("SPLIT(I3653,""/"")"),30.0)</f>
        <v>30</v>
      </c>
      <c r="K3653" s="308">
        <f>IFERROR(__xludf.DUMMYFUNCTION("""COMPUTED_VALUE"""),10.0)</f>
        <v>10</v>
      </c>
      <c r="L3653" s="308">
        <f>IFERROR(__xludf.DUMMYFUNCTION("""COMPUTED_VALUE"""),2016.0)</f>
        <v>2016</v>
      </c>
      <c r="M3653" s="308" t="s">
        <v>14959</v>
      </c>
      <c r="N3653" s="308"/>
      <c r="O3653" s="308"/>
      <c r="P3653" s="308" t="s">
        <v>14960</v>
      </c>
      <c r="Q3653" s="308" t="s">
        <v>37118</v>
      </c>
      <c r="R3653" s="308" t="s">
        <v>2743</v>
      </c>
      <c r="S3653" s="308" t="s">
        <v>81</v>
      </c>
      <c r="T3653" s="308" t="s">
        <v>73</v>
      </c>
      <c r="U3653" s="308" t="s">
        <v>14456</v>
      </c>
      <c r="V3653" s="312"/>
    </row>
    <row r="3654">
      <c r="A3654" s="308">
        <v>3653.0</v>
      </c>
      <c r="B3654" s="308"/>
      <c r="C3654" s="308" t="s">
        <v>14961</v>
      </c>
      <c r="D3654" s="308">
        <f>IFERROR(__xludf.DUMMYFUNCTION("SPLIT(C3654,""-"")"),3674.0)</f>
        <v>3674</v>
      </c>
      <c r="E3654" s="308" t="str">
        <f>IFERROR(__xludf.DUMMYFUNCTION("""COMPUTED_VALUE"""),"I")</f>
        <v>I</v>
      </c>
      <c r="F3654" s="309" t="s">
        <v>31</v>
      </c>
      <c r="G3654" s="308"/>
      <c r="H3654" s="308" t="s">
        <v>14962</v>
      </c>
      <c r="I3654" s="310">
        <v>42556.0</v>
      </c>
      <c r="J3654" s="319">
        <f>IFERROR(__xludf.DUMMYFUNCTION("SPLIT(I3654,""/"")"),5.0)</f>
        <v>5</v>
      </c>
      <c r="K3654" s="308">
        <f>IFERROR(__xludf.DUMMYFUNCTION("""COMPUTED_VALUE"""),7.0)</f>
        <v>7</v>
      </c>
      <c r="L3654" s="308">
        <f>IFERROR(__xludf.DUMMYFUNCTION("""COMPUTED_VALUE"""),2016.0)</f>
        <v>2016</v>
      </c>
      <c r="M3654" s="308" t="s">
        <v>14963</v>
      </c>
      <c r="N3654" s="308"/>
      <c r="O3654" s="308" t="s">
        <v>635</v>
      </c>
      <c r="P3654" s="308" t="s">
        <v>14964</v>
      </c>
      <c r="Q3654" s="308" t="s">
        <v>37118</v>
      </c>
      <c r="R3654" s="308" t="s">
        <v>2743</v>
      </c>
      <c r="S3654" s="308" t="s">
        <v>81</v>
      </c>
      <c r="T3654" s="311" t="s">
        <v>75</v>
      </c>
      <c r="U3654" s="308"/>
      <c r="V3654" s="312"/>
    </row>
    <row r="3655">
      <c r="A3655" s="308">
        <v>3654.0</v>
      </c>
      <c r="B3655" s="308"/>
      <c r="C3655" s="308" t="s">
        <v>14965</v>
      </c>
      <c r="D3655" s="308">
        <f>IFERROR(__xludf.DUMMYFUNCTION("SPLIT(C3655,""-"")"),3675.0)</f>
        <v>3675</v>
      </c>
      <c r="E3655" s="308" t="str">
        <f>IFERROR(__xludf.DUMMYFUNCTION("""COMPUTED_VALUE"""),"B")</f>
        <v>B</v>
      </c>
      <c r="F3655" s="315" t="s">
        <v>26</v>
      </c>
      <c r="G3655" s="308"/>
      <c r="H3655" s="308" t="s">
        <v>14966</v>
      </c>
      <c r="I3655" s="310">
        <v>41168.0</v>
      </c>
      <c r="J3655" s="319">
        <f>IFERROR(__xludf.DUMMYFUNCTION("SPLIT(I3655,""/"")"),16.0)</f>
        <v>16</v>
      </c>
      <c r="K3655" s="308">
        <f>IFERROR(__xludf.DUMMYFUNCTION("""COMPUTED_VALUE"""),9.0)</f>
        <v>9</v>
      </c>
      <c r="L3655" s="308">
        <f>IFERROR(__xludf.DUMMYFUNCTION("""COMPUTED_VALUE"""),2012.0)</f>
        <v>2012</v>
      </c>
      <c r="M3655" s="308" t="s">
        <v>14967</v>
      </c>
      <c r="N3655" s="308"/>
      <c r="O3655" s="308" t="s">
        <v>635</v>
      </c>
      <c r="P3655" s="308" t="s">
        <v>2021</v>
      </c>
      <c r="Q3655" s="308" t="s">
        <v>37118</v>
      </c>
      <c r="R3655" s="308" t="s">
        <v>14968</v>
      </c>
      <c r="S3655" s="308" t="s">
        <v>49</v>
      </c>
      <c r="T3655" s="308" t="s">
        <v>51</v>
      </c>
      <c r="U3655" s="308" t="s">
        <v>27</v>
      </c>
      <c r="V3655" s="312"/>
    </row>
    <row r="3656">
      <c r="A3656" s="308">
        <v>3655.0</v>
      </c>
      <c r="B3656" s="308"/>
      <c r="C3656" s="308" t="s">
        <v>14969</v>
      </c>
      <c r="D3656" s="308">
        <f>IFERROR(__xludf.DUMMYFUNCTION("SPLIT(C3656,""-"")"),3676.0)</f>
        <v>3676</v>
      </c>
      <c r="E3656" s="308" t="str">
        <f>IFERROR(__xludf.DUMMYFUNCTION("""COMPUTED_VALUE"""),"B")</f>
        <v>B</v>
      </c>
      <c r="F3656" s="315" t="s">
        <v>26</v>
      </c>
      <c r="G3656" s="308"/>
      <c r="H3656" s="308" t="s">
        <v>14970</v>
      </c>
      <c r="I3656" s="310">
        <v>40592.0</v>
      </c>
      <c r="J3656" s="319">
        <f>IFERROR(__xludf.DUMMYFUNCTION("SPLIT(I3656,""/"")"),18.0)</f>
        <v>18</v>
      </c>
      <c r="K3656" s="308">
        <f>IFERROR(__xludf.DUMMYFUNCTION("""COMPUTED_VALUE"""),2.0)</f>
        <v>2</v>
      </c>
      <c r="L3656" s="308">
        <f>IFERROR(__xludf.DUMMYFUNCTION("""COMPUTED_VALUE"""),2011.0)</f>
        <v>2011</v>
      </c>
      <c r="M3656" s="308" t="s">
        <v>14971</v>
      </c>
      <c r="N3656" s="308"/>
      <c r="O3656" s="308" t="s">
        <v>14972</v>
      </c>
      <c r="P3656" s="308" t="s">
        <v>37122</v>
      </c>
      <c r="Q3656" s="308" t="s">
        <v>37118</v>
      </c>
      <c r="R3656" s="308" t="s">
        <v>14968</v>
      </c>
      <c r="S3656" s="315" t="s">
        <v>100</v>
      </c>
      <c r="T3656" s="311" t="s">
        <v>34208</v>
      </c>
      <c r="U3656" s="308" t="s">
        <v>27</v>
      </c>
      <c r="V3656" s="312"/>
    </row>
    <row r="3657">
      <c r="A3657" s="308">
        <v>3656.0</v>
      </c>
      <c r="B3657" s="308"/>
      <c r="C3657" s="308" t="s">
        <v>14973</v>
      </c>
      <c r="D3657" s="308">
        <f>IFERROR(__xludf.DUMMYFUNCTION("SPLIT(C3657,""-"")"),3677.0)</f>
        <v>3677</v>
      </c>
      <c r="E3657" s="308" t="str">
        <f>IFERROR(__xludf.DUMMYFUNCTION("""COMPUTED_VALUE"""),"B")</f>
        <v>B</v>
      </c>
      <c r="F3657" s="315" t="s">
        <v>26</v>
      </c>
      <c r="G3657" s="308"/>
      <c r="H3657" s="308" t="s">
        <v>14974</v>
      </c>
      <c r="I3657" s="310">
        <v>40434.0</v>
      </c>
      <c r="J3657" s="319">
        <f>IFERROR(__xludf.DUMMYFUNCTION("SPLIT(I3657,""/"")"),13.0)</f>
        <v>13</v>
      </c>
      <c r="K3657" s="308">
        <f>IFERROR(__xludf.DUMMYFUNCTION("""COMPUTED_VALUE"""),9.0)</f>
        <v>9</v>
      </c>
      <c r="L3657" s="308">
        <f>IFERROR(__xludf.DUMMYFUNCTION("""COMPUTED_VALUE"""),2010.0)</f>
        <v>2010</v>
      </c>
      <c r="M3657" s="308" t="s">
        <v>14975</v>
      </c>
      <c r="N3657" s="308"/>
      <c r="O3657" s="308" t="s">
        <v>14976</v>
      </c>
      <c r="P3657" s="308" t="s">
        <v>37122</v>
      </c>
      <c r="Q3657" s="308" t="s">
        <v>37118</v>
      </c>
      <c r="R3657" s="308" t="s">
        <v>14968</v>
      </c>
      <c r="S3657" s="315" t="s">
        <v>100</v>
      </c>
      <c r="T3657" s="311" t="s">
        <v>34208</v>
      </c>
      <c r="U3657" s="308" t="s">
        <v>27</v>
      </c>
      <c r="V3657" s="312"/>
    </row>
    <row r="3658">
      <c r="A3658" s="308">
        <v>3657.0</v>
      </c>
      <c r="B3658" s="308"/>
      <c r="C3658" s="308" t="s">
        <v>14977</v>
      </c>
      <c r="D3658" s="308">
        <f>IFERROR(__xludf.DUMMYFUNCTION("SPLIT(C3658,""-"")"),3678.0)</f>
        <v>3678</v>
      </c>
      <c r="E3658" s="308" t="str">
        <f>IFERROR(__xludf.DUMMYFUNCTION("""COMPUTED_VALUE"""),"B")</f>
        <v>B</v>
      </c>
      <c r="F3658" s="315" t="s">
        <v>26</v>
      </c>
      <c r="G3658" s="308"/>
      <c r="H3658" s="308" t="s">
        <v>14978</v>
      </c>
      <c r="I3658" s="310">
        <v>40436.0</v>
      </c>
      <c r="J3658" s="319">
        <f>IFERROR(__xludf.DUMMYFUNCTION("SPLIT(I3658,""/"")"),15.0)</f>
        <v>15</v>
      </c>
      <c r="K3658" s="308">
        <f>IFERROR(__xludf.DUMMYFUNCTION("""COMPUTED_VALUE"""),9.0)</f>
        <v>9</v>
      </c>
      <c r="L3658" s="308">
        <f>IFERROR(__xludf.DUMMYFUNCTION("""COMPUTED_VALUE"""),2010.0)</f>
        <v>2010</v>
      </c>
      <c r="M3658" s="308" t="s">
        <v>14979</v>
      </c>
      <c r="N3658" s="308"/>
      <c r="O3658" s="308"/>
      <c r="P3658" s="308" t="s">
        <v>14980</v>
      </c>
      <c r="Q3658" s="308" t="s">
        <v>37118</v>
      </c>
      <c r="R3658" s="308" t="s">
        <v>14968</v>
      </c>
      <c r="S3658" s="308" t="s">
        <v>49</v>
      </c>
      <c r="T3658" s="308" t="s">
        <v>51</v>
      </c>
      <c r="U3658" s="308" t="s">
        <v>27</v>
      </c>
      <c r="V3658" s="312"/>
    </row>
    <row r="3659">
      <c r="A3659" s="308">
        <v>3658.0</v>
      </c>
      <c r="B3659" s="308"/>
      <c r="C3659" s="308" t="s">
        <v>14981</v>
      </c>
      <c r="D3659" s="308">
        <f>IFERROR(__xludf.DUMMYFUNCTION("SPLIT(C3659,""-"")"),3679.0)</f>
        <v>3679</v>
      </c>
      <c r="E3659" s="308" t="str">
        <f>IFERROR(__xludf.DUMMYFUNCTION("""COMPUTED_VALUE"""),"P")</f>
        <v>P</v>
      </c>
      <c r="F3659" s="312" t="s">
        <v>37</v>
      </c>
      <c r="G3659" s="308"/>
      <c r="H3659" s="308" t="s">
        <v>14982</v>
      </c>
      <c r="I3659" s="310">
        <v>42508.0</v>
      </c>
      <c r="J3659" s="319">
        <f>IFERROR(__xludf.DUMMYFUNCTION("SPLIT(I3659,""/"")"),18.0)</f>
        <v>18</v>
      </c>
      <c r="K3659" s="308">
        <f>IFERROR(__xludf.DUMMYFUNCTION("""COMPUTED_VALUE"""),5.0)</f>
        <v>5</v>
      </c>
      <c r="L3659" s="308">
        <f>IFERROR(__xludf.DUMMYFUNCTION("""COMPUTED_VALUE"""),2016.0)</f>
        <v>2016</v>
      </c>
      <c r="M3659" s="308" t="s">
        <v>11825</v>
      </c>
      <c r="N3659" s="308"/>
      <c r="O3659" s="308"/>
      <c r="P3659" s="308" t="s">
        <v>37123</v>
      </c>
      <c r="Q3659" s="308" t="s">
        <v>37124</v>
      </c>
      <c r="R3659" s="308" t="s">
        <v>2743</v>
      </c>
      <c r="S3659" s="308" t="s">
        <v>81</v>
      </c>
      <c r="T3659" s="308" t="s">
        <v>75</v>
      </c>
      <c r="U3659" s="308" t="s">
        <v>14984</v>
      </c>
      <c r="V3659" s="312"/>
    </row>
    <row r="3660">
      <c r="A3660" s="308">
        <v>3659.0</v>
      </c>
      <c r="B3660" s="308"/>
      <c r="C3660" s="308" t="s">
        <v>14985</v>
      </c>
      <c r="D3660" s="308">
        <f>IFERROR(__xludf.DUMMYFUNCTION("SPLIT(C3660,""-"")"),3680.0)</f>
        <v>3680</v>
      </c>
      <c r="E3660" s="308" t="str">
        <f>IFERROR(__xludf.DUMMYFUNCTION("""COMPUTED_VALUE"""),"K")</f>
        <v>K</v>
      </c>
      <c r="F3660" s="309" t="s">
        <v>34</v>
      </c>
      <c r="G3660" s="308"/>
      <c r="H3660" s="308" t="s">
        <v>14986</v>
      </c>
      <c r="I3660" s="310">
        <v>41487.0</v>
      </c>
      <c r="J3660" s="319">
        <f>IFERROR(__xludf.DUMMYFUNCTION("SPLIT(I3660,""/"")"),1.0)</f>
        <v>1</v>
      </c>
      <c r="K3660" s="308">
        <f>IFERROR(__xludf.DUMMYFUNCTION("""COMPUTED_VALUE"""),8.0)</f>
        <v>8</v>
      </c>
      <c r="L3660" s="308">
        <f>IFERROR(__xludf.DUMMYFUNCTION("""COMPUTED_VALUE"""),2013.0)</f>
        <v>2013</v>
      </c>
      <c r="M3660" s="308" t="s">
        <v>14987</v>
      </c>
      <c r="N3660" s="308"/>
      <c r="O3660" s="308" t="s">
        <v>14988</v>
      </c>
      <c r="P3660" s="308" t="s">
        <v>6262</v>
      </c>
      <c r="Q3660" s="308" t="s">
        <v>37125</v>
      </c>
      <c r="R3660" s="308" t="s">
        <v>2743</v>
      </c>
      <c r="S3660" s="315" t="s">
        <v>100</v>
      </c>
      <c r="T3660" s="311" t="s">
        <v>34208</v>
      </c>
      <c r="U3660" s="308" t="s">
        <v>368</v>
      </c>
      <c r="V3660" s="312"/>
    </row>
    <row r="3661">
      <c r="A3661" s="308">
        <v>3660.0</v>
      </c>
      <c r="B3661" s="308"/>
      <c r="C3661" s="308" t="s">
        <v>14989</v>
      </c>
      <c r="D3661" s="308">
        <f>IFERROR(__xludf.DUMMYFUNCTION("SPLIT(C3661,""-"")"),3681.0)</f>
        <v>3681</v>
      </c>
      <c r="E3661" s="308" t="str">
        <f>IFERROR(__xludf.DUMMYFUNCTION("""COMPUTED_VALUE"""),"P")</f>
        <v>P</v>
      </c>
      <c r="F3661" s="312" t="s">
        <v>37</v>
      </c>
      <c r="G3661" s="308"/>
      <c r="H3661" s="308" t="s">
        <v>14990</v>
      </c>
      <c r="I3661" s="310">
        <v>42676.0</v>
      </c>
      <c r="J3661" s="319">
        <f>IFERROR(__xludf.DUMMYFUNCTION("SPLIT(I3661,""/"")"),2.0)</f>
        <v>2</v>
      </c>
      <c r="K3661" s="308">
        <f>IFERROR(__xludf.DUMMYFUNCTION("""COMPUTED_VALUE"""),11.0)</f>
        <v>11</v>
      </c>
      <c r="L3661" s="308">
        <f>IFERROR(__xludf.DUMMYFUNCTION("""COMPUTED_VALUE"""),2016.0)</f>
        <v>2016</v>
      </c>
      <c r="M3661" s="308" t="s">
        <v>14991</v>
      </c>
      <c r="N3661" s="308"/>
      <c r="O3661" s="308" t="s">
        <v>14992</v>
      </c>
      <c r="P3661" s="308" t="s">
        <v>37126</v>
      </c>
      <c r="Q3661" s="308" t="s">
        <v>37125</v>
      </c>
      <c r="R3661" s="308" t="s">
        <v>2743</v>
      </c>
      <c r="S3661" s="308" t="s">
        <v>49</v>
      </c>
      <c r="T3661" s="308" t="s">
        <v>51</v>
      </c>
      <c r="U3661" s="308" t="s">
        <v>2318</v>
      </c>
      <c r="V3661" s="312"/>
    </row>
    <row r="3662">
      <c r="A3662" s="308">
        <v>3661.0</v>
      </c>
      <c r="B3662" s="308"/>
      <c r="C3662" s="308" t="s">
        <v>14994</v>
      </c>
      <c r="D3662" s="308">
        <f>IFERROR(__xludf.DUMMYFUNCTION("SPLIT(C3662,""-"")"),3682.0)</f>
        <v>3682</v>
      </c>
      <c r="E3662" s="308" t="str">
        <f>IFERROR(__xludf.DUMMYFUNCTION("""COMPUTED_VALUE"""),"P")</f>
        <v>P</v>
      </c>
      <c r="F3662" s="312" t="s">
        <v>37</v>
      </c>
      <c r="G3662" s="308"/>
      <c r="H3662" s="308" t="s">
        <v>14995</v>
      </c>
      <c r="I3662" s="310">
        <v>42344.0</v>
      </c>
      <c r="J3662" s="319">
        <f>IFERROR(__xludf.DUMMYFUNCTION("SPLIT(I3662,""/"")"),6.0)</f>
        <v>6</v>
      </c>
      <c r="K3662" s="308">
        <f>IFERROR(__xludf.DUMMYFUNCTION("""COMPUTED_VALUE"""),12.0)</f>
        <v>12</v>
      </c>
      <c r="L3662" s="308">
        <f>IFERROR(__xludf.DUMMYFUNCTION("""COMPUTED_VALUE"""),2015.0)</f>
        <v>2015</v>
      </c>
      <c r="M3662" s="308" t="s">
        <v>14996</v>
      </c>
      <c r="N3662" s="308"/>
      <c r="O3662" s="308"/>
      <c r="P3662" s="308" t="s">
        <v>14997</v>
      </c>
      <c r="Q3662" s="308" t="s">
        <v>37125</v>
      </c>
      <c r="R3662" s="308" t="s">
        <v>2743</v>
      </c>
      <c r="S3662" s="308" t="s">
        <v>81</v>
      </c>
      <c r="T3662" s="311" t="s">
        <v>73</v>
      </c>
      <c r="U3662" s="308" t="s">
        <v>143</v>
      </c>
      <c r="V3662" s="312"/>
    </row>
    <row r="3663">
      <c r="A3663" s="308">
        <v>3662.0</v>
      </c>
      <c r="B3663" s="308"/>
      <c r="C3663" s="308" t="s">
        <v>14998</v>
      </c>
      <c r="D3663" s="308">
        <f>IFERROR(__xludf.DUMMYFUNCTION("SPLIT(C3663,""-"")"),3683.0)</f>
        <v>3683</v>
      </c>
      <c r="E3663" s="308" t="str">
        <f>IFERROR(__xludf.DUMMYFUNCTION("""COMPUTED_VALUE"""),"P")</f>
        <v>P</v>
      </c>
      <c r="F3663" s="312" t="s">
        <v>37</v>
      </c>
      <c r="G3663" s="308"/>
      <c r="H3663" s="308" t="s">
        <v>37127</v>
      </c>
      <c r="I3663" s="310">
        <v>42344.0</v>
      </c>
      <c r="J3663" s="319">
        <f>IFERROR(__xludf.DUMMYFUNCTION("SPLIT(I3663,""/"")"),6.0)</f>
        <v>6</v>
      </c>
      <c r="K3663" s="308">
        <f>IFERROR(__xludf.DUMMYFUNCTION("""COMPUTED_VALUE"""),12.0)</f>
        <v>12</v>
      </c>
      <c r="L3663" s="308">
        <f>IFERROR(__xludf.DUMMYFUNCTION("""COMPUTED_VALUE"""),2015.0)</f>
        <v>2015</v>
      </c>
      <c r="M3663" s="308" t="s">
        <v>14996</v>
      </c>
      <c r="N3663" s="308"/>
      <c r="O3663" s="308"/>
      <c r="P3663" s="308" t="s">
        <v>14997</v>
      </c>
      <c r="Q3663" s="308" t="s">
        <v>37125</v>
      </c>
      <c r="R3663" s="308" t="s">
        <v>2743</v>
      </c>
      <c r="S3663" s="308" t="s">
        <v>81</v>
      </c>
      <c r="T3663" s="311" t="s">
        <v>73</v>
      </c>
      <c r="U3663" s="308" t="s">
        <v>143</v>
      </c>
      <c r="V3663" s="312"/>
    </row>
    <row r="3664">
      <c r="A3664" s="308">
        <v>3663.0</v>
      </c>
      <c r="B3664" s="308"/>
      <c r="C3664" s="308" t="s">
        <v>15000</v>
      </c>
      <c r="D3664" s="308">
        <f>IFERROR(__xludf.DUMMYFUNCTION("SPLIT(C3664,""-"")"),3684.0)</f>
        <v>3684</v>
      </c>
      <c r="E3664" s="308" t="str">
        <f>IFERROR(__xludf.DUMMYFUNCTION("""COMPUTED_VALUE"""),"K")</f>
        <v>K</v>
      </c>
      <c r="F3664" s="309" t="s">
        <v>34</v>
      </c>
      <c r="G3664" s="308"/>
      <c r="H3664" s="308" t="s">
        <v>15001</v>
      </c>
      <c r="I3664" s="316">
        <v>2010.0</v>
      </c>
      <c r="J3664" s="319"/>
      <c r="K3664" s="308"/>
      <c r="L3664" s="311">
        <v>2010.0</v>
      </c>
      <c r="M3664" s="308" t="s">
        <v>15002</v>
      </c>
      <c r="N3664" s="308"/>
      <c r="O3664" s="308" t="s">
        <v>15003</v>
      </c>
      <c r="P3664" s="308" t="s">
        <v>37128</v>
      </c>
      <c r="Q3664" s="308" t="s">
        <v>37125</v>
      </c>
      <c r="R3664" s="308" t="s">
        <v>2743</v>
      </c>
      <c r="S3664" s="315" t="s">
        <v>100</v>
      </c>
      <c r="T3664" s="311" t="s">
        <v>34208</v>
      </c>
      <c r="U3664" s="308" t="s">
        <v>530</v>
      </c>
      <c r="V3664" s="312"/>
    </row>
    <row r="3665">
      <c r="A3665" s="308">
        <v>3664.0</v>
      </c>
      <c r="B3665" s="308"/>
      <c r="C3665" s="308" t="s">
        <v>15004</v>
      </c>
      <c r="D3665" s="308">
        <f>IFERROR(__xludf.DUMMYFUNCTION("SPLIT(C3665,""-"")"),3685.0)</f>
        <v>3685</v>
      </c>
      <c r="E3665" s="308" t="str">
        <f>IFERROR(__xludf.DUMMYFUNCTION("""COMPUTED_VALUE"""),"K")</f>
        <v>K</v>
      </c>
      <c r="F3665" s="309" t="s">
        <v>34</v>
      </c>
      <c r="G3665" s="308"/>
      <c r="H3665" s="308" t="s">
        <v>15005</v>
      </c>
      <c r="I3665" s="310">
        <v>40391.0</v>
      </c>
      <c r="J3665" s="319">
        <f>IFERROR(__xludf.DUMMYFUNCTION("SPLIT(I3665,""/"")"),1.0)</f>
        <v>1</v>
      </c>
      <c r="K3665" s="308">
        <f>IFERROR(__xludf.DUMMYFUNCTION("""COMPUTED_VALUE"""),8.0)</f>
        <v>8</v>
      </c>
      <c r="L3665" s="308">
        <f>IFERROR(__xludf.DUMMYFUNCTION("""COMPUTED_VALUE"""),2010.0)</f>
        <v>2010</v>
      </c>
      <c r="M3665" s="308" t="s">
        <v>15006</v>
      </c>
      <c r="N3665" s="308"/>
      <c r="O3665" s="308"/>
      <c r="P3665" s="308" t="s">
        <v>148</v>
      </c>
      <c r="Q3665" s="308" t="s">
        <v>37125</v>
      </c>
      <c r="R3665" s="308" t="s">
        <v>15007</v>
      </c>
      <c r="S3665" s="308" t="s">
        <v>49</v>
      </c>
      <c r="T3665" s="308" t="s">
        <v>51</v>
      </c>
      <c r="U3665" s="308" t="s">
        <v>166</v>
      </c>
      <c r="V3665" s="312"/>
    </row>
    <row r="3666">
      <c r="A3666" s="308">
        <v>3665.0</v>
      </c>
      <c r="B3666" s="308"/>
      <c r="C3666" s="308" t="s">
        <v>15008</v>
      </c>
      <c r="D3666" s="308">
        <f>IFERROR(__xludf.DUMMYFUNCTION("SPLIT(C3666,""-"")"),3686.0)</f>
        <v>3686</v>
      </c>
      <c r="E3666" s="308" t="str">
        <f>IFERROR(__xludf.DUMMYFUNCTION("""COMPUTED_VALUE"""),"P")</f>
        <v>P</v>
      </c>
      <c r="F3666" s="312" t="s">
        <v>37</v>
      </c>
      <c r="G3666" s="308"/>
      <c r="H3666" s="308" t="s">
        <v>15009</v>
      </c>
      <c r="I3666" s="314">
        <v>42331.0</v>
      </c>
      <c r="J3666" s="319">
        <f>IFERROR(__xludf.DUMMYFUNCTION("SPLIT(I3666,""/"")"),23.0)</f>
        <v>23</v>
      </c>
      <c r="K3666" s="308">
        <f>IFERROR(__xludf.DUMMYFUNCTION("""COMPUTED_VALUE"""),11.0)</f>
        <v>11</v>
      </c>
      <c r="L3666" s="308">
        <f>IFERROR(__xludf.DUMMYFUNCTION("""COMPUTED_VALUE"""),2015.0)</f>
        <v>2015</v>
      </c>
      <c r="M3666" s="308" t="s">
        <v>15010</v>
      </c>
      <c r="N3666" s="308"/>
      <c r="O3666" s="308" t="s">
        <v>15011</v>
      </c>
      <c r="P3666" s="308" t="s">
        <v>37009</v>
      </c>
      <c r="Q3666" s="308" t="s">
        <v>37129</v>
      </c>
      <c r="R3666" s="308" t="s">
        <v>2743</v>
      </c>
      <c r="S3666" s="308" t="s">
        <v>81</v>
      </c>
      <c r="T3666" s="308" t="s">
        <v>63</v>
      </c>
      <c r="U3666" s="308" t="s">
        <v>4273</v>
      </c>
      <c r="V3666" s="312"/>
    </row>
    <row r="3667">
      <c r="A3667" s="308">
        <v>3666.0</v>
      </c>
      <c r="B3667" s="308"/>
      <c r="C3667" s="308" t="s">
        <v>15012</v>
      </c>
      <c r="D3667" s="308">
        <f>IFERROR(__xludf.DUMMYFUNCTION("SPLIT(C3667,""-"")"),3687.0)</f>
        <v>3687</v>
      </c>
      <c r="E3667" s="308" t="str">
        <f>IFERROR(__xludf.DUMMYFUNCTION("""COMPUTED_VALUE"""),"P")</f>
        <v>P</v>
      </c>
      <c r="F3667" s="312" t="s">
        <v>37</v>
      </c>
      <c r="G3667" s="308"/>
      <c r="H3667" s="308" t="s">
        <v>15013</v>
      </c>
      <c r="I3667" s="310">
        <v>42681.0</v>
      </c>
      <c r="J3667" s="319">
        <f>IFERROR(__xludf.DUMMYFUNCTION("SPLIT(I3667,""/"")"),7.0)</f>
        <v>7</v>
      </c>
      <c r="K3667" s="308">
        <f>IFERROR(__xludf.DUMMYFUNCTION("""COMPUTED_VALUE"""),11.0)</f>
        <v>11</v>
      </c>
      <c r="L3667" s="308">
        <f>IFERROR(__xludf.DUMMYFUNCTION("""COMPUTED_VALUE"""),2016.0)</f>
        <v>2016</v>
      </c>
      <c r="M3667" s="308" t="s">
        <v>15014</v>
      </c>
      <c r="N3667" s="308"/>
      <c r="O3667" s="308" t="s">
        <v>14852</v>
      </c>
      <c r="P3667" s="308" t="s">
        <v>15015</v>
      </c>
      <c r="Q3667" s="308" t="s">
        <v>37129</v>
      </c>
      <c r="R3667" s="308" t="s">
        <v>2743</v>
      </c>
      <c r="S3667" s="308" t="s">
        <v>81</v>
      </c>
      <c r="T3667" s="311" t="s">
        <v>75</v>
      </c>
      <c r="U3667" s="308"/>
      <c r="V3667" s="312"/>
    </row>
    <row r="3668">
      <c r="A3668" s="308">
        <v>3667.0</v>
      </c>
      <c r="B3668" s="308"/>
      <c r="C3668" s="308" t="s">
        <v>15016</v>
      </c>
      <c r="D3668" s="308">
        <f>IFERROR(__xludf.DUMMYFUNCTION("SPLIT(C3668,""-"")"),3688.0)</f>
        <v>3688</v>
      </c>
      <c r="E3668" s="308" t="str">
        <f>IFERROR(__xludf.DUMMYFUNCTION("""COMPUTED_VALUE"""),"P")</f>
        <v>P</v>
      </c>
      <c r="F3668" s="312" t="s">
        <v>37</v>
      </c>
      <c r="G3668" s="308"/>
      <c r="H3668" s="308" t="s">
        <v>15017</v>
      </c>
      <c r="I3668" s="314">
        <v>42688.0</v>
      </c>
      <c r="J3668" s="319">
        <f>IFERROR(__xludf.DUMMYFUNCTION("SPLIT(I3668,""/"")"),14.0)</f>
        <v>14</v>
      </c>
      <c r="K3668" s="308">
        <f>IFERROR(__xludf.DUMMYFUNCTION("""COMPUTED_VALUE"""),11.0)</f>
        <v>11</v>
      </c>
      <c r="L3668" s="308">
        <f>IFERROR(__xludf.DUMMYFUNCTION("""COMPUTED_VALUE"""),2016.0)</f>
        <v>2016</v>
      </c>
      <c r="M3668" s="308" t="s">
        <v>15018</v>
      </c>
      <c r="N3668" s="308"/>
      <c r="O3668" s="308"/>
      <c r="P3668" s="308" t="s">
        <v>15019</v>
      </c>
      <c r="Q3668" s="308" t="s">
        <v>37129</v>
      </c>
      <c r="R3668" s="308"/>
      <c r="S3668" s="308" t="s">
        <v>81</v>
      </c>
      <c r="T3668" s="311" t="s">
        <v>51</v>
      </c>
      <c r="U3668" s="308"/>
      <c r="V3668" s="312"/>
    </row>
    <row r="3669">
      <c r="A3669" s="308">
        <v>3668.0</v>
      </c>
      <c r="B3669" s="308"/>
      <c r="C3669" s="308" t="s">
        <v>15020</v>
      </c>
      <c r="D3669" s="308">
        <f>IFERROR(__xludf.DUMMYFUNCTION("SPLIT(C3669,""-"")"),3689.0)</f>
        <v>3689</v>
      </c>
      <c r="E3669" s="308" t="str">
        <f>IFERROR(__xludf.DUMMYFUNCTION("""COMPUTED_VALUE"""),"B")</f>
        <v>B</v>
      </c>
      <c r="F3669" s="315" t="s">
        <v>26</v>
      </c>
      <c r="G3669" s="308"/>
      <c r="H3669" s="308" t="s">
        <v>15021</v>
      </c>
      <c r="I3669" s="316">
        <v>2015.0</v>
      </c>
      <c r="J3669" s="319"/>
      <c r="K3669" s="308"/>
      <c r="L3669" s="311">
        <v>2015.0</v>
      </c>
      <c r="M3669" s="308" t="s">
        <v>15022</v>
      </c>
      <c r="N3669" s="308"/>
      <c r="O3669" s="308"/>
      <c r="P3669" s="308" t="s">
        <v>15023</v>
      </c>
      <c r="Q3669" s="308" t="s">
        <v>37129</v>
      </c>
      <c r="R3669" s="308" t="s">
        <v>14911</v>
      </c>
      <c r="S3669" s="308" t="s">
        <v>49</v>
      </c>
      <c r="T3669" s="311" t="s">
        <v>69</v>
      </c>
      <c r="U3669" s="308" t="s">
        <v>27</v>
      </c>
      <c r="V3669" s="312"/>
    </row>
    <row r="3670">
      <c r="A3670" s="308">
        <v>3669.0</v>
      </c>
      <c r="B3670" s="308"/>
      <c r="C3670" s="308" t="s">
        <v>15024</v>
      </c>
      <c r="D3670" s="308">
        <f>IFERROR(__xludf.DUMMYFUNCTION("SPLIT(C3670,""-"")"),3690.0)</f>
        <v>3690</v>
      </c>
      <c r="E3670" s="308" t="str">
        <f>IFERROR(__xludf.DUMMYFUNCTION("""COMPUTED_VALUE"""),"B")</f>
        <v>B</v>
      </c>
      <c r="F3670" s="315" t="s">
        <v>26</v>
      </c>
      <c r="G3670" s="308"/>
      <c r="H3670" s="308" t="s">
        <v>15025</v>
      </c>
      <c r="I3670" s="314">
        <v>42356.0</v>
      </c>
      <c r="J3670" s="319">
        <f>IFERROR(__xludf.DUMMYFUNCTION("SPLIT(I3670,""/"")"),18.0)</f>
        <v>18</v>
      </c>
      <c r="K3670" s="308">
        <f>IFERROR(__xludf.DUMMYFUNCTION("""COMPUTED_VALUE"""),12.0)</f>
        <v>12</v>
      </c>
      <c r="L3670" s="308">
        <f>IFERROR(__xludf.DUMMYFUNCTION("""COMPUTED_VALUE"""),2015.0)</f>
        <v>2015</v>
      </c>
      <c r="M3670" s="308" t="s">
        <v>37130</v>
      </c>
      <c r="N3670" s="308"/>
      <c r="O3670" s="308"/>
      <c r="P3670" s="308" t="s">
        <v>37131</v>
      </c>
      <c r="Q3670" s="308" t="s">
        <v>37129</v>
      </c>
      <c r="R3670" s="308" t="s">
        <v>14911</v>
      </c>
      <c r="S3670" s="315" t="s">
        <v>100</v>
      </c>
      <c r="T3670" s="311" t="s">
        <v>34208</v>
      </c>
      <c r="U3670" s="308" t="s">
        <v>27</v>
      </c>
      <c r="V3670" s="312"/>
    </row>
    <row r="3671">
      <c r="A3671" s="308">
        <v>3670.0</v>
      </c>
      <c r="B3671" s="308"/>
      <c r="C3671" s="308" t="s">
        <v>15027</v>
      </c>
      <c r="D3671" s="308">
        <f>IFERROR(__xludf.DUMMYFUNCTION("SPLIT(C3671,""-"")"),3691.0)</f>
        <v>3691</v>
      </c>
      <c r="E3671" s="308" t="str">
        <f>IFERROR(__xludf.DUMMYFUNCTION("""COMPUTED_VALUE"""),"P")</f>
        <v>P</v>
      </c>
      <c r="F3671" s="312" t="s">
        <v>37</v>
      </c>
      <c r="G3671" s="308"/>
      <c r="H3671" s="308" t="s">
        <v>15028</v>
      </c>
      <c r="I3671" s="314">
        <v>42654.0</v>
      </c>
      <c r="J3671" s="319">
        <f>IFERROR(__xludf.DUMMYFUNCTION("SPLIT(I3671,""/"")"),11.0)</f>
        <v>11</v>
      </c>
      <c r="K3671" s="308">
        <f>IFERROR(__xludf.DUMMYFUNCTION("""COMPUTED_VALUE"""),10.0)</f>
        <v>10</v>
      </c>
      <c r="L3671" s="308">
        <f>IFERROR(__xludf.DUMMYFUNCTION("""COMPUTED_VALUE"""),2016.0)</f>
        <v>2016</v>
      </c>
      <c r="M3671" s="308" t="s">
        <v>15029</v>
      </c>
      <c r="N3671" s="308"/>
      <c r="O3671" s="308" t="s">
        <v>15030</v>
      </c>
      <c r="P3671" s="308" t="s">
        <v>37132</v>
      </c>
      <c r="Q3671" s="308" t="s">
        <v>37129</v>
      </c>
      <c r="R3671" s="308" t="s">
        <v>14911</v>
      </c>
      <c r="S3671" s="308" t="s">
        <v>81</v>
      </c>
      <c r="T3671" s="308" t="s">
        <v>75</v>
      </c>
      <c r="U3671" s="308" t="s">
        <v>2263</v>
      </c>
      <c r="V3671" s="312"/>
    </row>
    <row r="3672">
      <c r="A3672" s="308">
        <v>3671.0</v>
      </c>
      <c r="B3672" s="308"/>
      <c r="C3672" s="308" t="s">
        <v>15032</v>
      </c>
      <c r="D3672" s="308" t="str">
        <f>IFERROR(__xludf.DUMMYFUNCTION("SPLIT(C3672,""-"")"),"#REF!")</f>
        <v>#REF!</v>
      </c>
      <c r="E3672" s="311"/>
      <c r="F3672" s="317" t="s">
        <v>39</v>
      </c>
      <c r="G3672" s="308"/>
      <c r="H3672" s="308" t="s">
        <v>15033</v>
      </c>
      <c r="I3672" s="310">
        <v>42058.0</v>
      </c>
      <c r="J3672" s="319">
        <f>IFERROR(__xludf.DUMMYFUNCTION("SPLIT(I3672,""/"")"),23.0)</f>
        <v>23</v>
      </c>
      <c r="K3672" s="308">
        <f>IFERROR(__xludf.DUMMYFUNCTION("""COMPUTED_VALUE"""),2.0)</f>
        <v>2</v>
      </c>
      <c r="L3672" s="308">
        <f>IFERROR(__xludf.DUMMYFUNCTION("""COMPUTED_VALUE"""),2015.0)</f>
        <v>2015</v>
      </c>
      <c r="M3672" s="308" t="s">
        <v>15034</v>
      </c>
      <c r="N3672" s="308"/>
      <c r="O3672" s="308" t="s">
        <v>15035</v>
      </c>
      <c r="P3672" s="308" t="s">
        <v>37133</v>
      </c>
      <c r="Q3672" s="308" t="s">
        <v>37129</v>
      </c>
      <c r="R3672" s="308" t="s">
        <v>14911</v>
      </c>
      <c r="S3672" s="315" t="s">
        <v>100</v>
      </c>
      <c r="T3672" s="311" t="s">
        <v>34208</v>
      </c>
      <c r="U3672" s="308" t="s">
        <v>166</v>
      </c>
      <c r="V3672" s="312"/>
    </row>
    <row r="3673">
      <c r="A3673" s="308">
        <v>3672.0</v>
      </c>
      <c r="B3673" s="308"/>
      <c r="C3673" s="308" t="s">
        <v>15036</v>
      </c>
      <c r="D3673" s="308" t="str">
        <f>IFERROR(__xludf.DUMMYFUNCTION("SPLIT(C3673,""-"")"),"#REF!")</f>
        <v>#REF!</v>
      </c>
      <c r="E3673" s="311"/>
      <c r="F3673" s="309" t="s">
        <v>34</v>
      </c>
      <c r="G3673" s="308"/>
      <c r="H3673" s="308" t="s">
        <v>15037</v>
      </c>
      <c r="I3673" s="325">
        <v>39508.0</v>
      </c>
      <c r="J3673" s="319"/>
      <c r="K3673" s="311">
        <v>3.0</v>
      </c>
      <c r="L3673" s="311">
        <v>2008.0</v>
      </c>
      <c r="M3673" s="308" t="s">
        <v>6196</v>
      </c>
      <c r="N3673" s="308" t="s">
        <v>439</v>
      </c>
      <c r="O3673" s="308" t="s">
        <v>15038</v>
      </c>
      <c r="P3673" s="308" t="s">
        <v>37134</v>
      </c>
      <c r="Q3673" s="308" t="s">
        <v>37135</v>
      </c>
      <c r="R3673" s="308" t="s">
        <v>1496</v>
      </c>
      <c r="S3673" s="315" t="s">
        <v>100</v>
      </c>
      <c r="T3673" s="311" t="s">
        <v>34208</v>
      </c>
      <c r="U3673" s="308" t="s">
        <v>530</v>
      </c>
      <c r="V3673" s="312"/>
    </row>
    <row r="3674">
      <c r="A3674" s="308">
        <v>3673.0</v>
      </c>
      <c r="B3674" s="308"/>
      <c r="C3674" s="308" t="s">
        <v>15039</v>
      </c>
      <c r="D3674" s="308">
        <f>IFERROR(__xludf.DUMMYFUNCTION("SPLIT(C3674,""-"")"),3694.0)</f>
        <v>3694</v>
      </c>
      <c r="E3674" s="308" t="str">
        <f>IFERROR(__xludf.DUMMYFUNCTION("""COMPUTED_VALUE"""),"K")</f>
        <v>K</v>
      </c>
      <c r="F3674" s="309" t="s">
        <v>34</v>
      </c>
      <c r="G3674" s="308"/>
      <c r="H3674" s="308" t="s">
        <v>15040</v>
      </c>
      <c r="I3674" s="314">
        <v>40172.0</v>
      </c>
      <c r="J3674" s="319">
        <f>IFERROR(__xludf.DUMMYFUNCTION("SPLIT(I3674,""/"")"),25.0)</f>
        <v>25</v>
      </c>
      <c r="K3674" s="308">
        <f>IFERROR(__xludf.DUMMYFUNCTION("""COMPUTED_VALUE"""),12.0)</f>
        <v>12</v>
      </c>
      <c r="L3674" s="308">
        <f>IFERROR(__xludf.DUMMYFUNCTION("""COMPUTED_VALUE"""),2009.0)</f>
        <v>2009</v>
      </c>
      <c r="M3674" s="308" t="s">
        <v>15041</v>
      </c>
      <c r="N3674" s="308"/>
      <c r="O3674" s="308" t="s">
        <v>15042</v>
      </c>
      <c r="P3674" s="308" t="s">
        <v>37136</v>
      </c>
      <c r="Q3674" s="308" t="s">
        <v>37137</v>
      </c>
      <c r="R3674" s="308" t="s">
        <v>2743</v>
      </c>
      <c r="S3674" s="315" t="s">
        <v>100</v>
      </c>
      <c r="T3674" s="311" t="s">
        <v>34208</v>
      </c>
      <c r="U3674" s="308" t="s">
        <v>125</v>
      </c>
      <c r="V3674" s="312"/>
    </row>
    <row r="3675">
      <c r="A3675" s="308">
        <v>3674.0</v>
      </c>
      <c r="B3675" s="308"/>
      <c r="C3675" s="308" t="s">
        <v>15043</v>
      </c>
      <c r="D3675" s="308">
        <f>IFERROR(__xludf.DUMMYFUNCTION("SPLIT(C3675,""-"")"),3695.0)</f>
        <v>3695</v>
      </c>
      <c r="E3675" s="308" t="str">
        <f>IFERROR(__xludf.DUMMYFUNCTION("""COMPUTED_VALUE"""),"S")</f>
        <v>S</v>
      </c>
      <c r="F3675" s="312" t="s">
        <v>39</v>
      </c>
      <c r="G3675" s="308"/>
      <c r="H3675" s="308" t="s">
        <v>15044</v>
      </c>
      <c r="I3675" s="310">
        <v>42513.0</v>
      </c>
      <c r="J3675" s="319">
        <f>IFERROR(__xludf.DUMMYFUNCTION("SPLIT(I3675,""/"")"),23.0)</f>
        <v>23</v>
      </c>
      <c r="K3675" s="308">
        <f>IFERROR(__xludf.DUMMYFUNCTION("""COMPUTED_VALUE"""),5.0)</f>
        <v>5</v>
      </c>
      <c r="L3675" s="308">
        <f>IFERROR(__xludf.DUMMYFUNCTION("""COMPUTED_VALUE"""),2016.0)</f>
        <v>2016</v>
      </c>
      <c r="M3675" s="308" t="s">
        <v>15045</v>
      </c>
      <c r="N3675" s="308"/>
      <c r="O3675" s="308" t="s">
        <v>635</v>
      </c>
      <c r="P3675" s="308" t="s">
        <v>37138</v>
      </c>
      <c r="Q3675" s="308" t="s">
        <v>37139</v>
      </c>
      <c r="R3675" s="308" t="s">
        <v>14256</v>
      </c>
      <c r="S3675" s="308" t="s">
        <v>81</v>
      </c>
      <c r="T3675" s="308" t="s">
        <v>75</v>
      </c>
      <c r="U3675" s="308"/>
      <c r="V3675" s="312"/>
    </row>
    <row r="3676">
      <c r="A3676" s="308">
        <v>3675.0</v>
      </c>
      <c r="B3676" s="308"/>
      <c r="C3676" s="308" t="s">
        <v>15047</v>
      </c>
      <c r="D3676" s="308">
        <f>IFERROR(__xludf.DUMMYFUNCTION("SPLIT(C3676,""-"")"),3696.0)</f>
        <v>3696</v>
      </c>
      <c r="E3676" s="308" t="str">
        <f>IFERROR(__xludf.DUMMYFUNCTION("""COMPUTED_VALUE"""),"S")</f>
        <v>S</v>
      </c>
      <c r="F3676" s="312" t="s">
        <v>39</v>
      </c>
      <c r="G3676" s="308"/>
      <c r="H3676" s="308" t="s">
        <v>15048</v>
      </c>
      <c r="I3676" s="310">
        <v>42494.0</v>
      </c>
      <c r="J3676" s="319">
        <f>IFERROR(__xludf.DUMMYFUNCTION("SPLIT(I3676,""/"")"),4.0)</f>
        <v>4</v>
      </c>
      <c r="K3676" s="308">
        <f>IFERROR(__xludf.DUMMYFUNCTION("""COMPUTED_VALUE"""),5.0)</f>
        <v>5</v>
      </c>
      <c r="L3676" s="308">
        <f>IFERROR(__xludf.DUMMYFUNCTION("""COMPUTED_VALUE"""),2016.0)</f>
        <v>2016</v>
      </c>
      <c r="M3676" s="308" t="s">
        <v>15049</v>
      </c>
      <c r="N3676" s="308"/>
      <c r="O3676" s="308" t="s">
        <v>15050</v>
      </c>
      <c r="P3676" s="308" t="s">
        <v>37140</v>
      </c>
      <c r="Q3676" s="308" t="s">
        <v>37139</v>
      </c>
      <c r="R3676" s="308" t="s">
        <v>14256</v>
      </c>
      <c r="S3676" s="308" t="s">
        <v>81</v>
      </c>
      <c r="T3676" s="308" t="s">
        <v>75</v>
      </c>
      <c r="U3676" s="308"/>
      <c r="V3676" s="312"/>
    </row>
    <row r="3677">
      <c r="A3677" s="308">
        <v>3676.0</v>
      </c>
      <c r="B3677" s="308"/>
      <c r="C3677" s="308" t="s">
        <v>15052</v>
      </c>
      <c r="D3677" s="308">
        <f>IFERROR(__xludf.DUMMYFUNCTION("SPLIT(C3677,""-"")"),3697.0)</f>
        <v>3697</v>
      </c>
      <c r="E3677" s="308" t="str">
        <f>IFERROR(__xludf.DUMMYFUNCTION("""COMPUTED_VALUE"""),"S")</f>
        <v>S</v>
      </c>
      <c r="F3677" s="312" t="s">
        <v>39</v>
      </c>
      <c r="G3677" s="308"/>
      <c r="H3677" s="308" t="s">
        <v>15053</v>
      </c>
      <c r="I3677" s="310">
        <v>42583.0</v>
      </c>
      <c r="J3677" s="319">
        <f>IFERROR(__xludf.DUMMYFUNCTION("SPLIT(I3677,""/"")"),1.0)</f>
        <v>1</v>
      </c>
      <c r="K3677" s="308">
        <f>IFERROR(__xludf.DUMMYFUNCTION("""COMPUTED_VALUE"""),8.0)</f>
        <v>8</v>
      </c>
      <c r="L3677" s="308">
        <f>IFERROR(__xludf.DUMMYFUNCTION("""COMPUTED_VALUE"""),2016.0)</f>
        <v>2016</v>
      </c>
      <c r="M3677" s="308" t="s">
        <v>15054</v>
      </c>
      <c r="N3677" s="308"/>
      <c r="O3677" s="308"/>
      <c r="P3677" s="308" t="s">
        <v>37141</v>
      </c>
      <c r="Q3677" s="308" t="s">
        <v>37139</v>
      </c>
      <c r="R3677" s="308" t="s">
        <v>14256</v>
      </c>
      <c r="S3677" s="308" t="s">
        <v>49</v>
      </c>
      <c r="T3677" s="311" t="s">
        <v>70</v>
      </c>
      <c r="U3677" s="308"/>
      <c r="V3677" s="312"/>
    </row>
    <row r="3678">
      <c r="A3678" s="308">
        <v>3677.0</v>
      </c>
      <c r="B3678" s="308"/>
      <c r="C3678" s="308" t="s">
        <v>15056</v>
      </c>
      <c r="D3678" s="308">
        <f>IFERROR(__xludf.DUMMYFUNCTION("SPLIT(C3678,""-"")"),3698.0)</f>
        <v>3698</v>
      </c>
      <c r="E3678" s="308" t="str">
        <f>IFERROR(__xludf.DUMMYFUNCTION("""COMPUTED_VALUE"""),"S")</f>
        <v>S</v>
      </c>
      <c r="F3678" s="312" t="s">
        <v>39</v>
      </c>
      <c r="G3678" s="308"/>
      <c r="H3678" s="308" t="s">
        <v>15057</v>
      </c>
      <c r="I3678" s="310">
        <v>42583.0</v>
      </c>
      <c r="J3678" s="319">
        <f>IFERROR(__xludf.DUMMYFUNCTION("SPLIT(I3678,""/"")"),1.0)</f>
        <v>1</v>
      </c>
      <c r="K3678" s="308">
        <f>IFERROR(__xludf.DUMMYFUNCTION("""COMPUTED_VALUE"""),8.0)</f>
        <v>8</v>
      </c>
      <c r="L3678" s="308">
        <f>IFERROR(__xludf.DUMMYFUNCTION("""COMPUTED_VALUE"""),2016.0)</f>
        <v>2016</v>
      </c>
      <c r="M3678" s="308" t="s">
        <v>15058</v>
      </c>
      <c r="N3678" s="308"/>
      <c r="O3678" s="308" t="s">
        <v>635</v>
      </c>
      <c r="P3678" s="308" t="s">
        <v>15059</v>
      </c>
      <c r="Q3678" s="308" t="s">
        <v>37139</v>
      </c>
      <c r="R3678" s="308" t="s">
        <v>14256</v>
      </c>
      <c r="S3678" s="308" t="s">
        <v>49</v>
      </c>
      <c r="T3678" s="308" t="s">
        <v>67</v>
      </c>
      <c r="U3678" s="308"/>
      <c r="V3678" s="312"/>
    </row>
    <row r="3679">
      <c r="A3679" s="308">
        <v>3678.0</v>
      </c>
      <c r="B3679" s="308"/>
      <c r="C3679" s="308" t="s">
        <v>15060</v>
      </c>
      <c r="D3679" s="308">
        <f>IFERROR(__xludf.DUMMYFUNCTION("SPLIT(C3679,""-"")"),3699.0)</f>
        <v>3699</v>
      </c>
      <c r="E3679" s="308" t="str">
        <f>IFERROR(__xludf.DUMMYFUNCTION("""COMPUTED_VALUE"""),"S")</f>
        <v>S</v>
      </c>
      <c r="F3679" s="312" t="s">
        <v>39</v>
      </c>
      <c r="G3679" s="308"/>
      <c r="H3679" s="308" t="s">
        <v>15061</v>
      </c>
      <c r="I3679" s="310">
        <v>42584.0</v>
      </c>
      <c r="J3679" s="319">
        <f>IFERROR(__xludf.DUMMYFUNCTION("SPLIT(I3679,""/"")"),2.0)</f>
        <v>2</v>
      </c>
      <c r="K3679" s="308">
        <f>IFERROR(__xludf.DUMMYFUNCTION("""COMPUTED_VALUE"""),8.0)</f>
        <v>8</v>
      </c>
      <c r="L3679" s="308">
        <f>IFERROR(__xludf.DUMMYFUNCTION("""COMPUTED_VALUE"""),2016.0)</f>
        <v>2016</v>
      </c>
      <c r="M3679" s="308" t="s">
        <v>15062</v>
      </c>
      <c r="N3679" s="308"/>
      <c r="O3679" s="308" t="s">
        <v>635</v>
      </c>
      <c r="P3679" s="308" t="s">
        <v>37142</v>
      </c>
      <c r="Q3679" s="308" t="s">
        <v>37139</v>
      </c>
      <c r="R3679" s="308" t="s">
        <v>14256</v>
      </c>
      <c r="S3679" s="308" t="s">
        <v>81</v>
      </c>
      <c r="T3679" s="308" t="s">
        <v>75</v>
      </c>
      <c r="U3679" s="308"/>
      <c r="V3679" s="312"/>
    </row>
    <row r="3680">
      <c r="A3680" s="308">
        <v>3679.0</v>
      </c>
      <c r="B3680" s="308"/>
      <c r="C3680" s="308" t="s">
        <v>15064</v>
      </c>
      <c r="D3680" s="308">
        <f>IFERROR(__xludf.DUMMYFUNCTION("SPLIT(C3680,""-"")"),3700.0)</f>
        <v>3700</v>
      </c>
      <c r="E3680" s="308" t="str">
        <f>IFERROR(__xludf.DUMMYFUNCTION("""COMPUTED_VALUE"""),"S")</f>
        <v>S</v>
      </c>
      <c r="F3680" s="312" t="s">
        <v>39</v>
      </c>
      <c r="G3680" s="308"/>
      <c r="H3680" s="308" t="s">
        <v>15065</v>
      </c>
      <c r="I3680" s="310">
        <v>42584.0</v>
      </c>
      <c r="J3680" s="319">
        <f>IFERROR(__xludf.DUMMYFUNCTION("SPLIT(I3680,""/"")"),2.0)</f>
        <v>2</v>
      </c>
      <c r="K3680" s="308">
        <f>IFERROR(__xludf.DUMMYFUNCTION("""COMPUTED_VALUE"""),8.0)</f>
        <v>8</v>
      </c>
      <c r="L3680" s="308">
        <f>IFERROR(__xludf.DUMMYFUNCTION("""COMPUTED_VALUE"""),2016.0)</f>
        <v>2016</v>
      </c>
      <c r="M3680" s="308" t="s">
        <v>15062</v>
      </c>
      <c r="N3680" s="308"/>
      <c r="O3680" s="308" t="s">
        <v>635</v>
      </c>
      <c r="P3680" s="308" t="s">
        <v>6558</v>
      </c>
      <c r="Q3680" s="308" t="s">
        <v>37139</v>
      </c>
      <c r="R3680" s="308" t="s">
        <v>14256</v>
      </c>
      <c r="S3680" s="308" t="s">
        <v>81</v>
      </c>
      <c r="T3680" s="311" t="s">
        <v>73</v>
      </c>
      <c r="U3680" s="308"/>
      <c r="V3680" s="312"/>
    </row>
    <row r="3681">
      <c r="A3681" s="308">
        <v>3680.0</v>
      </c>
      <c r="B3681" s="308"/>
      <c r="C3681" s="308" t="s">
        <v>15066</v>
      </c>
      <c r="D3681" s="308">
        <f>IFERROR(__xludf.DUMMYFUNCTION("SPLIT(C3681,""-"")"),3701.0)</f>
        <v>3701</v>
      </c>
      <c r="E3681" s="308" t="str">
        <f>IFERROR(__xludf.DUMMYFUNCTION("""COMPUTED_VALUE"""),"S")</f>
        <v>S</v>
      </c>
      <c r="F3681" s="312" t="s">
        <v>39</v>
      </c>
      <c r="G3681" s="308"/>
      <c r="H3681" s="308" t="s">
        <v>15067</v>
      </c>
      <c r="I3681" s="310">
        <v>42584.0</v>
      </c>
      <c r="J3681" s="319">
        <f>IFERROR(__xludf.DUMMYFUNCTION("SPLIT(I3681,""/"")"),2.0)</f>
        <v>2</v>
      </c>
      <c r="K3681" s="308">
        <f>IFERROR(__xludf.DUMMYFUNCTION("""COMPUTED_VALUE"""),8.0)</f>
        <v>8</v>
      </c>
      <c r="L3681" s="308">
        <f>IFERROR(__xludf.DUMMYFUNCTION("""COMPUTED_VALUE"""),2016.0)</f>
        <v>2016</v>
      </c>
      <c r="M3681" s="308" t="s">
        <v>15068</v>
      </c>
      <c r="N3681" s="308"/>
      <c r="O3681" s="308" t="s">
        <v>635</v>
      </c>
      <c r="P3681" s="308" t="s">
        <v>6778</v>
      </c>
      <c r="Q3681" s="308" t="s">
        <v>37139</v>
      </c>
      <c r="R3681" s="308" t="s">
        <v>14256</v>
      </c>
      <c r="S3681" s="311" t="s">
        <v>49</v>
      </c>
      <c r="T3681" s="309" t="s">
        <v>67</v>
      </c>
      <c r="U3681" s="308"/>
      <c r="V3681" s="312"/>
    </row>
    <row r="3682">
      <c r="A3682" s="308">
        <v>3681.0</v>
      </c>
      <c r="B3682" s="308"/>
      <c r="C3682" s="308" t="s">
        <v>15069</v>
      </c>
      <c r="D3682" s="308">
        <f>IFERROR(__xludf.DUMMYFUNCTION("SPLIT(C3682,""-"")"),3702.0)</f>
        <v>3702</v>
      </c>
      <c r="E3682" s="308" t="str">
        <f>IFERROR(__xludf.DUMMYFUNCTION("""COMPUTED_VALUE"""),"S")</f>
        <v>S</v>
      </c>
      <c r="F3682" s="312" t="s">
        <v>39</v>
      </c>
      <c r="G3682" s="308"/>
      <c r="H3682" s="308" t="s">
        <v>15070</v>
      </c>
      <c r="I3682" s="310">
        <v>42584.0</v>
      </c>
      <c r="J3682" s="319">
        <f>IFERROR(__xludf.DUMMYFUNCTION("SPLIT(I3682,""/"")"),2.0)</f>
        <v>2</v>
      </c>
      <c r="K3682" s="308">
        <f>IFERROR(__xludf.DUMMYFUNCTION("""COMPUTED_VALUE"""),8.0)</f>
        <v>8</v>
      </c>
      <c r="L3682" s="308">
        <f>IFERROR(__xludf.DUMMYFUNCTION("""COMPUTED_VALUE"""),2016.0)</f>
        <v>2016</v>
      </c>
      <c r="M3682" s="308" t="s">
        <v>15068</v>
      </c>
      <c r="N3682" s="308"/>
      <c r="O3682" s="308" t="s">
        <v>635</v>
      </c>
      <c r="P3682" s="308" t="s">
        <v>6778</v>
      </c>
      <c r="Q3682" s="308" t="s">
        <v>37139</v>
      </c>
      <c r="R3682" s="308" t="s">
        <v>14256</v>
      </c>
      <c r="S3682" s="311" t="s">
        <v>49</v>
      </c>
      <c r="T3682" s="309" t="s">
        <v>67</v>
      </c>
      <c r="U3682" s="308"/>
      <c r="V3682" s="312"/>
    </row>
    <row r="3683">
      <c r="A3683" s="308">
        <v>3682.0</v>
      </c>
      <c r="B3683" s="308"/>
      <c r="C3683" s="308" t="s">
        <v>15071</v>
      </c>
      <c r="D3683" s="308">
        <f>IFERROR(__xludf.DUMMYFUNCTION("SPLIT(C3683,""-"")"),3703.0)</f>
        <v>3703</v>
      </c>
      <c r="E3683" s="308" t="str">
        <f>IFERROR(__xludf.DUMMYFUNCTION("""COMPUTED_VALUE"""),"S")</f>
        <v>S</v>
      </c>
      <c r="F3683" s="312" t="s">
        <v>39</v>
      </c>
      <c r="G3683" s="308"/>
      <c r="H3683" s="308" t="s">
        <v>15072</v>
      </c>
      <c r="I3683" s="310">
        <v>42586.0</v>
      </c>
      <c r="J3683" s="319">
        <f>IFERROR(__xludf.DUMMYFUNCTION("SPLIT(I3683,""/"")"),4.0)</f>
        <v>4</v>
      </c>
      <c r="K3683" s="308">
        <f>IFERROR(__xludf.DUMMYFUNCTION("""COMPUTED_VALUE"""),8.0)</f>
        <v>8</v>
      </c>
      <c r="L3683" s="308">
        <f>IFERROR(__xludf.DUMMYFUNCTION("""COMPUTED_VALUE"""),2016.0)</f>
        <v>2016</v>
      </c>
      <c r="M3683" s="308" t="s">
        <v>15073</v>
      </c>
      <c r="N3683" s="308"/>
      <c r="O3683" s="308" t="s">
        <v>635</v>
      </c>
      <c r="P3683" s="308" t="s">
        <v>37143</v>
      </c>
      <c r="Q3683" s="308" t="s">
        <v>37139</v>
      </c>
      <c r="R3683" s="312"/>
      <c r="S3683" s="308" t="s">
        <v>81</v>
      </c>
      <c r="T3683" s="308" t="s">
        <v>75</v>
      </c>
      <c r="U3683" s="308"/>
      <c r="V3683" s="312"/>
    </row>
    <row r="3684">
      <c r="A3684" s="308">
        <v>3683.0</v>
      </c>
      <c r="B3684" s="308"/>
      <c r="C3684" s="308" t="s">
        <v>15075</v>
      </c>
      <c r="D3684" s="308">
        <f>IFERROR(__xludf.DUMMYFUNCTION("SPLIT(C3684,""-"")"),3704.0)</f>
        <v>3704</v>
      </c>
      <c r="E3684" s="308" t="str">
        <f>IFERROR(__xludf.DUMMYFUNCTION("""COMPUTED_VALUE"""),"S")</f>
        <v>S</v>
      </c>
      <c r="F3684" s="312" t="s">
        <v>39</v>
      </c>
      <c r="G3684" s="308"/>
      <c r="H3684" s="308">
        <v>3549.0</v>
      </c>
      <c r="I3684" s="310">
        <v>42585.0</v>
      </c>
      <c r="J3684" s="319">
        <f>IFERROR(__xludf.DUMMYFUNCTION("SPLIT(I3684,""/"")"),3.0)</f>
        <v>3</v>
      </c>
      <c r="K3684" s="308">
        <f>IFERROR(__xludf.DUMMYFUNCTION("""COMPUTED_VALUE"""),8.0)</f>
        <v>8</v>
      </c>
      <c r="L3684" s="308">
        <f>IFERROR(__xludf.DUMMYFUNCTION("""COMPUTED_VALUE"""),2016.0)</f>
        <v>2016</v>
      </c>
      <c r="M3684" s="308" t="s">
        <v>15076</v>
      </c>
      <c r="N3684" s="308"/>
      <c r="O3684" s="308"/>
      <c r="P3684" s="312" t="s">
        <v>6778</v>
      </c>
      <c r="Q3684" s="308" t="s">
        <v>37139</v>
      </c>
      <c r="R3684" s="312"/>
      <c r="S3684" s="311" t="s">
        <v>49</v>
      </c>
      <c r="T3684" s="309" t="s">
        <v>67</v>
      </c>
      <c r="U3684" s="308"/>
      <c r="V3684" s="312"/>
    </row>
    <row r="3685">
      <c r="A3685" s="308">
        <v>3684.0</v>
      </c>
      <c r="B3685" s="308"/>
      <c r="C3685" s="308" t="s">
        <v>15077</v>
      </c>
      <c r="D3685" s="308">
        <f>IFERROR(__xludf.DUMMYFUNCTION("SPLIT(C3685,""-"")"),3705.0)</f>
        <v>3705</v>
      </c>
      <c r="E3685" s="308" t="str">
        <f>IFERROR(__xludf.DUMMYFUNCTION("""COMPUTED_VALUE"""),"S")</f>
        <v>S</v>
      </c>
      <c r="F3685" s="312" t="s">
        <v>39</v>
      </c>
      <c r="G3685" s="308"/>
      <c r="H3685" s="308" t="s">
        <v>15078</v>
      </c>
      <c r="I3685" s="310">
        <v>42586.0</v>
      </c>
      <c r="J3685" s="319">
        <f>IFERROR(__xludf.DUMMYFUNCTION("SPLIT(I3685,""/"")"),4.0)</f>
        <v>4</v>
      </c>
      <c r="K3685" s="308">
        <f>IFERROR(__xludf.DUMMYFUNCTION("""COMPUTED_VALUE"""),8.0)</f>
        <v>8</v>
      </c>
      <c r="L3685" s="308">
        <f>IFERROR(__xludf.DUMMYFUNCTION("""COMPUTED_VALUE"""),2016.0)</f>
        <v>2016</v>
      </c>
      <c r="M3685" s="308" t="s">
        <v>15079</v>
      </c>
      <c r="N3685" s="308"/>
      <c r="O3685" s="308" t="s">
        <v>635</v>
      </c>
      <c r="P3685" s="312" t="s">
        <v>15059</v>
      </c>
      <c r="Q3685" s="308" t="s">
        <v>37139</v>
      </c>
      <c r="R3685" s="312"/>
      <c r="S3685" s="308" t="s">
        <v>49</v>
      </c>
      <c r="T3685" s="308" t="s">
        <v>67</v>
      </c>
      <c r="U3685" s="308"/>
      <c r="V3685" s="312"/>
    </row>
    <row r="3686">
      <c r="A3686" s="308">
        <v>3685.0</v>
      </c>
      <c r="B3686" s="308"/>
      <c r="C3686" s="308" t="s">
        <v>15080</v>
      </c>
      <c r="D3686" s="308">
        <f>IFERROR(__xludf.DUMMYFUNCTION("SPLIT(C3686,""-"")"),3706.0)</f>
        <v>3706</v>
      </c>
      <c r="E3686" s="308" t="str">
        <f>IFERROR(__xludf.DUMMYFUNCTION("""COMPUTED_VALUE"""),"S")</f>
        <v>S</v>
      </c>
      <c r="F3686" s="312" t="s">
        <v>39</v>
      </c>
      <c r="G3686" s="308"/>
      <c r="H3686" s="308" t="s">
        <v>15081</v>
      </c>
      <c r="I3686" s="310">
        <v>42587.0</v>
      </c>
      <c r="J3686" s="319">
        <f>IFERROR(__xludf.DUMMYFUNCTION("SPLIT(I3686,""/"")"),5.0)</f>
        <v>5</v>
      </c>
      <c r="K3686" s="308">
        <f>IFERROR(__xludf.DUMMYFUNCTION("""COMPUTED_VALUE"""),8.0)</f>
        <v>8</v>
      </c>
      <c r="L3686" s="308">
        <f>IFERROR(__xludf.DUMMYFUNCTION("""COMPUTED_VALUE"""),2016.0)</f>
        <v>2016</v>
      </c>
      <c r="M3686" s="308" t="s">
        <v>15082</v>
      </c>
      <c r="N3686" s="308"/>
      <c r="O3686" s="308"/>
      <c r="P3686" s="308" t="s">
        <v>148</v>
      </c>
      <c r="Q3686" s="308" t="s">
        <v>37139</v>
      </c>
      <c r="R3686" s="312"/>
      <c r="S3686" s="308" t="s">
        <v>49</v>
      </c>
      <c r="T3686" s="308" t="s">
        <v>51</v>
      </c>
      <c r="U3686" s="308" t="s">
        <v>166</v>
      </c>
      <c r="V3686" s="312"/>
    </row>
    <row r="3687">
      <c r="A3687" s="308">
        <v>3686.0</v>
      </c>
      <c r="B3687" s="308"/>
      <c r="C3687" s="308" t="s">
        <v>15083</v>
      </c>
      <c r="D3687" s="308">
        <f>IFERROR(__xludf.DUMMYFUNCTION("SPLIT(C3687,""-"")"),3707.0)</f>
        <v>3707</v>
      </c>
      <c r="E3687" s="308" t="str">
        <f>IFERROR(__xludf.DUMMYFUNCTION("""COMPUTED_VALUE"""),"S")</f>
        <v>S</v>
      </c>
      <c r="F3687" s="312" t="s">
        <v>39</v>
      </c>
      <c r="G3687" s="308"/>
      <c r="H3687" s="308" t="s">
        <v>15084</v>
      </c>
      <c r="I3687" s="310">
        <v>42588.0</v>
      </c>
      <c r="J3687" s="319">
        <f>IFERROR(__xludf.DUMMYFUNCTION("SPLIT(I3687,""/"")"),6.0)</f>
        <v>6</v>
      </c>
      <c r="K3687" s="308">
        <f>IFERROR(__xludf.DUMMYFUNCTION("""COMPUTED_VALUE"""),8.0)</f>
        <v>8</v>
      </c>
      <c r="L3687" s="308">
        <f>IFERROR(__xludf.DUMMYFUNCTION("""COMPUTED_VALUE"""),2016.0)</f>
        <v>2016</v>
      </c>
      <c r="M3687" s="308" t="s">
        <v>15085</v>
      </c>
      <c r="N3687" s="308"/>
      <c r="O3687" s="308"/>
      <c r="P3687" s="312" t="s">
        <v>6778</v>
      </c>
      <c r="Q3687" s="308" t="s">
        <v>37139</v>
      </c>
      <c r="R3687" s="312"/>
      <c r="S3687" s="311" t="s">
        <v>49</v>
      </c>
      <c r="T3687" s="311" t="s">
        <v>67</v>
      </c>
      <c r="U3687" s="308"/>
      <c r="V3687" s="312"/>
    </row>
    <row r="3688">
      <c r="A3688" s="308">
        <v>3687.0</v>
      </c>
      <c r="B3688" s="308"/>
      <c r="C3688" s="308" t="s">
        <v>15086</v>
      </c>
      <c r="D3688" s="308">
        <f>IFERROR(__xludf.DUMMYFUNCTION("SPLIT(C3688,""-"")"),3708.0)</f>
        <v>3708</v>
      </c>
      <c r="E3688" s="308" t="str">
        <f>IFERROR(__xludf.DUMMYFUNCTION("""COMPUTED_VALUE"""),"S")</f>
        <v>S</v>
      </c>
      <c r="F3688" s="312" t="s">
        <v>39</v>
      </c>
      <c r="G3688" s="308"/>
      <c r="H3688" s="308" t="s">
        <v>15087</v>
      </c>
      <c r="I3688" s="310">
        <v>42588.0</v>
      </c>
      <c r="J3688" s="319">
        <f>IFERROR(__xludf.DUMMYFUNCTION("SPLIT(I3688,""/"")"),6.0)</f>
        <v>6</v>
      </c>
      <c r="K3688" s="308">
        <f>IFERROR(__xludf.DUMMYFUNCTION("""COMPUTED_VALUE"""),8.0)</f>
        <v>8</v>
      </c>
      <c r="L3688" s="308">
        <f>IFERROR(__xludf.DUMMYFUNCTION("""COMPUTED_VALUE"""),2016.0)</f>
        <v>2016</v>
      </c>
      <c r="M3688" s="308" t="s">
        <v>15088</v>
      </c>
      <c r="N3688" s="308"/>
      <c r="O3688" s="308" t="s">
        <v>635</v>
      </c>
      <c r="P3688" s="308" t="s">
        <v>15089</v>
      </c>
      <c r="Q3688" s="308" t="s">
        <v>37139</v>
      </c>
      <c r="R3688" s="312"/>
      <c r="S3688" s="308" t="s">
        <v>81</v>
      </c>
      <c r="T3688" s="308" t="s">
        <v>75</v>
      </c>
      <c r="U3688" s="308" t="s">
        <v>166</v>
      </c>
      <c r="V3688" s="312"/>
    </row>
    <row r="3689">
      <c r="A3689" s="308">
        <v>3688.0</v>
      </c>
      <c r="B3689" s="308"/>
      <c r="C3689" s="308" t="s">
        <v>15090</v>
      </c>
      <c r="D3689" s="308">
        <f>IFERROR(__xludf.DUMMYFUNCTION("SPLIT(C3689,""-"")"),3709.0)</f>
        <v>3709</v>
      </c>
      <c r="E3689" s="308" t="str">
        <f>IFERROR(__xludf.DUMMYFUNCTION("""COMPUTED_VALUE"""),"S")</f>
        <v>S</v>
      </c>
      <c r="F3689" s="312" t="s">
        <v>39</v>
      </c>
      <c r="G3689" s="308"/>
      <c r="H3689" s="308" t="s">
        <v>37144</v>
      </c>
      <c r="I3689" s="310">
        <v>40391.0</v>
      </c>
      <c r="J3689" s="319">
        <f>IFERROR(__xludf.DUMMYFUNCTION("SPLIT(I3689,""/"")"),1.0)</f>
        <v>1</v>
      </c>
      <c r="K3689" s="308">
        <f>IFERROR(__xludf.DUMMYFUNCTION("""COMPUTED_VALUE"""),8.0)</f>
        <v>8</v>
      </c>
      <c r="L3689" s="308">
        <f>IFERROR(__xludf.DUMMYFUNCTION("""COMPUTED_VALUE"""),2010.0)</f>
        <v>2010</v>
      </c>
      <c r="M3689" s="308" t="s">
        <v>15091</v>
      </c>
      <c r="N3689" s="308"/>
      <c r="O3689" s="308"/>
      <c r="P3689" s="308" t="s">
        <v>34782</v>
      </c>
      <c r="Q3689" s="308" t="s">
        <v>37139</v>
      </c>
      <c r="R3689" s="312"/>
      <c r="S3689" s="308" t="s">
        <v>49</v>
      </c>
      <c r="T3689" s="308" t="s">
        <v>51</v>
      </c>
      <c r="U3689" s="308" t="s">
        <v>166</v>
      </c>
      <c r="V3689" s="312"/>
    </row>
    <row r="3690">
      <c r="A3690" s="308">
        <v>3689.0</v>
      </c>
      <c r="B3690" s="308"/>
      <c r="C3690" s="308" t="s">
        <v>15092</v>
      </c>
      <c r="D3690" s="308">
        <f>IFERROR(__xludf.DUMMYFUNCTION("SPLIT(C3690,""-"")"),3710.0)</f>
        <v>3710</v>
      </c>
      <c r="E3690" s="308" t="str">
        <f>IFERROR(__xludf.DUMMYFUNCTION("""COMPUTED_VALUE"""),"S")</f>
        <v>S</v>
      </c>
      <c r="F3690" s="312" t="s">
        <v>39</v>
      </c>
      <c r="G3690" s="308"/>
      <c r="H3690" s="308" t="s">
        <v>15093</v>
      </c>
      <c r="I3690" s="310">
        <v>42614.0</v>
      </c>
      <c r="J3690" s="319">
        <f>IFERROR(__xludf.DUMMYFUNCTION("SPLIT(I3690,""/"")"),1.0)</f>
        <v>1</v>
      </c>
      <c r="K3690" s="308">
        <f>IFERROR(__xludf.DUMMYFUNCTION("""COMPUTED_VALUE"""),9.0)</f>
        <v>9</v>
      </c>
      <c r="L3690" s="308">
        <f>IFERROR(__xludf.DUMMYFUNCTION("""COMPUTED_VALUE"""),2016.0)</f>
        <v>2016</v>
      </c>
      <c r="M3690" s="308" t="s">
        <v>15094</v>
      </c>
      <c r="N3690" s="308"/>
      <c r="O3690" s="308" t="s">
        <v>635</v>
      </c>
      <c r="P3690" s="308" t="s">
        <v>37145</v>
      </c>
      <c r="Q3690" s="308" t="s">
        <v>37139</v>
      </c>
      <c r="R3690" s="312"/>
      <c r="S3690" s="308" t="s">
        <v>81</v>
      </c>
      <c r="T3690" s="308" t="s">
        <v>75</v>
      </c>
      <c r="U3690" s="308" t="s">
        <v>166</v>
      </c>
      <c r="V3690" s="312"/>
    </row>
    <row r="3691">
      <c r="A3691" s="308">
        <v>3690.0</v>
      </c>
      <c r="B3691" s="308"/>
      <c r="C3691" s="308" t="s">
        <v>15096</v>
      </c>
      <c r="D3691" s="308">
        <f>IFERROR(__xludf.DUMMYFUNCTION("SPLIT(C3691,""-"")"),3711.0)</f>
        <v>3711</v>
      </c>
      <c r="E3691" s="308" t="str">
        <f>IFERROR(__xludf.DUMMYFUNCTION("""COMPUTED_VALUE"""),"K")</f>
        <v>K</v>
      </c>
      <c r="F3691" s="309" t="s">
        <v>34</v>
      </c>
      <c r="G3691" s="308"/>
      <c r="H3691" s="308" t="s">
        <v>37146</v>
      </c>
      <c r="I3691" s="310">
        <v>42563.0</v>
      </c>
      <c r="J3691" s="319">
        <f>IFERROR(__xludf.DUMMYFUNCTION("SPLIT(I3691,""/"")"),12.0)</f>
        <v>12</v>
      </c>
      <c r="K3691" s="308">
        <f>IFERROR(__xludf.DUMMYFUNCTION("""COMPUTED_VALUE"""),7.0)</f>
        <v>7</v>
      </c>
      <c r="L3691" s="308">
        <f>IFERROR(__xludf.DUMMYFUNCTION("""COMPUTED_VALUE"""),2016.0)</f>
        <v>2016</v>
      </c>
      <c r="M3691" s="308" t="s">
        <v>15098</v>
      </c>
      <c r="N3691" s="308"/>
      <c r="O3691" s="308" t="s">
        <v>15099</v>
      </c>
      <c r="P3691" s="308" t="s">
        <v>15100</v>
      </c>
      <c r="Q3691" s="308" t="s">
        <v>37139</v>
      </c>
      <c r="R3691" s="312"/>
      <c r="S3691" s="308" t="s">
        <v>81</v>
      </c>
      <c r="T3691" s="311" t="s">
        <v>75</v>
      </c>
      <c r="U3691" s="308" t="s">
        <v>125</v>
      </c>
      <c r="V3691" s="312"/>
    </row>
    <row r="3692">
      <c r="A3692" s="308">
        <v>3691.0</v>
      </c>
      <c r="B3692" s="308"/>
      <c r="C3692" s="308" t="s">
        <v>15101</v>
      </c>
      <c r="D3692" s="308">
        <f>IFERROR(__xludf.DUMMYFUNCTION("SPLIT(C3692,""-"")"),3712.0)</f>
        <v>3712</v>
      </c>
      <c r="E3692" s="308" t="str">
        <f>IFERROR(__xludf.DUMMYFUNCTION("""COMPUTED_VALUE"""),"P")</f>
        <v>P</v>
      </c>
      <c r="F3692" s="312" t="s">
        <v>37</v>
      </c>
      <c r="G3692" s="308"/>
      <c r="H3692" s="308" t="s">
        <v>15102</v>
      </c>
      <c r="I3692" s="310">
        <v>42435.0</v>
      </c>
      <c r="J3692" s="319">
        <f>IFERROR(__xludf.DUMMYFUNCTION("SPLIT(I3692,""/"")"),6.0)</f>
        <v>6</v>
      </c>
      <c r="K3692" s="308">
        <f>IFERROR(__xludf.DUMMYFUNCTION("""COMPUTED_VALUE"""),3.0)</f>
        <v>3</v>
      </c>
      <c r="L3692" s="308">
        <f>IFERROR(__xludf.DUMMYFUNCTION("""COMPUTED_VALUE"""),2016.0)</f>
        <v>2016</v>
      </c>
      <c r="M3692" s="308" t="s">
        <v>15103</v>
      </c>
      <c r="N3692" s="308"/>
      <c r="O3692" s="308"/>
      <c r="P3692" s="308" t="s">
        <v>37147</v>
      </c>
      <c r="Q3692" s="308" t="s">
        <v>37139</v>
      </c>
      <c r="R3692" s="312"/>
      <c r="S3692" s="315" t="s">
        <v>100</v>
      </c>
      <c r="T3692" s="311" t="s">
        <v>34208</v>
      </c>
      <c r="U3692" s="308" t="s">
        <v>10808</v>
      </c>
      <c r="V3692" s="312"/>
    </row>
    <row r="3693">
      <c r="A3693" s="308">
        <v>3692.0</v>
      </c>
      <c r="B3693" s="308"/>
      <c r="C3693" s="308" t="s">
        <v>15104</v>
      </c>
      <c r="D3693" s="308">
        <f>IFERROR(__xludf.DUMMYFUNCTION("SPLIT(C3693,""-"")"),3713.0)</f>
        <v>3713</v>
      </c>
      <c r="E3693" s="308" t="str">
        <f>IFERROR(__xludf.DUMMYFUNCTION("""COMPUTED_VALUE"""),"B")</f>
        <v>B</v>
      </c>
      <c r="F3693" s="315" t="s">
        <v>26</v>
      </c>
      <c r="G3693" s="308"/>
      <c r="H3693" s="308" t="s">
        <v>15105</v>
      </c>
      <c r="I3693" s="310">
        <v>40592.0</v>
      </c>
      <c r="J3693" s="319">
        <f>IFERROR(__xludf.DUMMYFUNCTION("SPLIT(I3693,""/"")"),18.0)</f>
        <v>18</v>
      </c>
      <c r="K3693" s="308">
        <f>IFERROR(__xludf.DUMMYFUNCTION("""COMPUTED_VALUE"""),2.0)</f>
        <v>2</v>
      </c>
      <c r="L3693" s="308">
        <f>IFERROR(__xludf.DUMMYFUNCTION("""COMPUTED_VALUE"""),2011.0)</f>
        <v>2011</v>
      </c>
      <c r="M3693" s="308" t="s">
        <v>15106</v>
      </c>
      <c r="N3693" s="308"/>
      <c r="O3693" s="308" t="s">
        <v>15107</v>
      </c>
      <c r="P3693" s="308" t="s">
        <v>37148</v>
      </c>
      <c r="Q3693" s="308" t="s">
        <v>37139</v>
      </c>
      <c r="R3693" s="312"/>
      <c r="S3693" s="315" t="s">
        <v>100</v>
      </c>
      <c r="T3693" s="311" t="s">
        <v>34208</v>
      </c>
      <c r="U3693" s="308" t="s">
        <v>27</v>
      </c>
      <c r="V3693" s="312"/>
    </row>
    <row r="3694">
      <c r="A3694" s="308">
        <v>3693.0</v>
      </c>
      <c r="B3694" s="308"/>
      <c r="C3694" s="308" t="s">
        <v>15108</v>
      </c>
      <c r="D3694" s="308">
        <f>IFERROR(__xludf.DUMMYFUNCTION("SPLIT(C3694,""-"")"),3714.0)</f>
        <v>3714</v>
      </c>
      <c r="E3694" s="308" t="str">
        <f>IFERROR(__xludf.DUMMYFUNCTION("""COMPUTED_VALUE"""),"B")</f>
        <v>B</v>
      </c>
      <c r="F3694" s="315" t="s">
        <v>26</v>
      </c>
      <c r="G3694" s="308"/>
      <c r="H3694" s="308" t="s">
        <v>15109</v>
      </c>
      <c r="I3694" s="310">
        <v>40434.0</v>
      </c>
      <c r="J3694" s="319">
        <f>IFERROR(__xludf.DUMMYFUNCTION("SPLIT(I3694,""/"")"),13.0)</f>
        <v>13</v>
      </c>
      <c r="K3694" s="308">
        <f>IFERROR(__xludf.DUMMYFUNCTION("""COMPUTED_VALUE"""),9.0)</f>
        <v>9</v>
      </c>
      <c r="L3694" s="308">
        <f>IFERROR(__xludf.DUMMYFUNCTION("""COMPUTED_VALUE"""),2010.0)</f>
        <v>2010</v>
      </c>
      <c r="M3694" s="308" t="s">
        <v>15110</v>
      </c>
      <c r="N3694" s="308"/>
      <c r="O3694" s="308" t="s">
        <v>15107</v>
      </c>
      <c r="P3694" s="308" t="s">
        <v>37148</v>
      </c>
      <c r="Q3694" s="308" t="s">
        <v>37139</v>
      </c>
      <c r="R3694" s="312"/>
      <c r="S3694" s="315" t="s">
        <v>100</v>
      </c>
      <c r="T3694" s="311" t="s">
        <v>34208</v>
      </c>
      <c r="U3694" s="308" t="s">
        <v>27</v>
      </c>
      <c r="V3694" s="312"/>
    </row>
    <row r="3695">
      <c r="A3695" s="308">
        <v>3694.0</v>
      </c>
      <c r="B3695" s="308"/>
      <c r="C3695" s="308" t="s">
        <v>15111</v>
      </c>
      <c r="D3695" s="308">
        <f>IFERROR(__xludf.DUMMYFUNCTION("SPLIT(C3695,""-"")"),3715.0)</f>
        <v>3715</v>
      </c>
      <c r="E3695" s="308" t="str">
        <f>IFERROR(__xludf.DUMMYFUNCTION("""COMPUTED_VALUE"""),"B")</f>
        <v>B</v>
      </c>
      <c r="F3695" s="315" t="s">
        <v>26</v>
      </c>
      <c r="G3695" s="308"/>
      <c r="H3695" s="308" t="s">
        <v>15112</v>
      </c>
      <c r="I3695" s="310">
        <v>40434.0</v>
      </c>
      <c r="J3695" s="319">
        <f>IFERROR(__xludf.DUMMYFUNCTION("SPLIT(I3695,""/"")"),13.0)</f>
        <v>13</v>
      </c>
      <c r="K3695" s="308">
        <f>IFERROR(__xludf.DUMMYFUNCTION("""COMPUTED_VALUE"""),9.0)</f>
        <v>9</v>
      </c>
      <c r="L3695" s="308">
        <f>IFERROR(__xludf.DUMMYFUNCTION("""COMPUTED_VALUE"""),2010.0)</f>
        <v>2010</v>
      </c>
      <c r="M3695" s="308" t="s">
        <v>15110</v>
      </c>
      <c r="N3695" s="308"/>
      <c r="O3695" s="308" t="s">
        <v>15107</v>
      </c>
      <c r="P3695" s="308" t="s">
        <v>37148</v>
      </c>
      <c r="Q3695" s="308" t="s">
        <v>37139</v>
      </c>
      <c r="R3695" s="312"/>
      <c r="S3695" s="315" t="s">
        <v>100</v>
      </c>
      <c r="T3695" s="311" t="s">
        <v>34208</v>
      </c>
      <c r="U3695" s="308" t="s">
        <v>27</v>
      </c>
      <c r="V3695" s="312"/>
    </row>
    <row r="3696">
      <c r="A3696" s="308">
        <v>3695.0</v>
      </c>
      <c r="B3696" s="308"/>
      <c r="C3696" s="308" t="s">
        <v>15113</v>
      </c>
      <c r="D3696" s="308">
        <f>IFERROR(__xludf.DUMMYFUNCTION("SPLIT(C3696,""-"")"),3716.0)</f>
        <v>3716</v>
      </c>
      <c r="E3696" s="308" t="str">
        <f>IFERROR(__xludf.DUMMYFUNCTION("""COMPUTED_VALUE"""),"K")</f>
        <v>K</v>
      </c>
      <c r="F3696" s="309" t="s">
        <v>34</v>
      </c>
      <c r="G3696" s="308"/>
      <c r="H3696" s="308" t="s">
        <v>15114</v>
      </c>
      <c r="I3696" s="310">
        <v>42403.0</v>
      </c>
      <c r="J3696" s="319">
        <f>IFERROR(__xludf.DUMMYFUNCTION("SPLIT(I3696,""/"")"),3.0)</f>
        <v>3</v>
      </c>
      <c r="K3696" s="308">
        <f>IFERROR(__xludf.DUMMYFUNCTION("""COMPUTED_VALUE"""),2.0)</f>
        <v>2</v>
      </c>
      <c r="L3696" s="308">
        <f>IFERROR(__xludf.DUMMYFUNCTION("""COMPUTED_VALUE"""),2016.0)</f>
        <v>2016</v>
      </c>
      <c r="M3696" s="308" t="s">
        <v>15115</v>
      </c>
      <c r="N3696" s="308"/>
      <c r="O3696" s="308" t="s">
        <v>15116</v>
      </c>
      <c r="P3696" s="308" t="s">
        <v>15117</v>
      </c>
      <c r="Q3696" s="308" t="s">
        <v>37149</v>
      </c>
      <c r="R3696" s="312"/>
      <c r="S3696" s="308" t="s">
        <v>81</v>
      </c>
      <c r="T3696" s="308" t="s">
        <v>34264</v>
      </c>
      <c r="U3696" s="308" t="s">
        <v>125</v>
      </c>
      <c r="V3696" s="312"/>
    </row>
    <row r="3697">
      <c r="A3697" s="308">
        <v>3696.0</v>
      </c>
      <c r="B3697" s="308"/>
      <c r="C3697" s="308" t="s">
        <v>15118</v>
      </c>
      <c r="D3697" s="308">
        <f>IFERROR(__xludf.DUMMYFUNCTION("SPLIT(C3697,""-"")"),3717.0)</f>
        <v>3717</v>
      </c>
      <c r="E3697" s="308" t="str">
        <f>IFERROR(__xludf.DUMMYFUNCTION("""COMPUTED_VALUE"""),"K")</f>
        <v>K</v>
      </c>
      <c r="F3697" s="309" t="s">
        <v>34</v>
      </c>
      <c r="G3697" s="308"/>
      <c r="H3697" s="308" t="s">
        <v>15119</v>
      </c>
      <c r="I3697" s="310">
        <v>40965.0</v>
      </c>
      <c r="J3697" s="319">
        <f>IFERROR(__xludf.DUMMYFUNCTION("SPLIT(I3697,""/"")"),26.0)</f>
        <v>26</v>
      </c>
      <c r="K3697" s="308">
        <f>IFERROR(__xludf.DUMMYFUNCTION("""COMPUTED_VALUE"""),2.0)</f>
        <v>2</v>
      </c>
      <c r="L3697" s="308">
        <f>IFERROR(__xludf.DUMMYFUNCTION("""COMPUTED_VALUE"""),2012.0)</f>
        <v>2012</v>
      </c>
      <c r="M3697" s="308" t="s">
        <v>15120</v>
      </c>
      <c r="N3697" s="308"/>
      <c r="O3697" s="308" t="s">
        <v>15121</v>
      </c>
      <c r="P3697" s="308" t="s">
        <v>37150</v>
      </c>
      <c r="Q3697" s="308" t="s">
        <v>37151</v>
      </c>
      <c r="R3697" s="312" t="s">
        <v>2743</v>
      </c>
      <c r="S3697" s="308" t="s">
        <v>81</v>
      </c>
      <c r="T3697" s="308" t="s">
        <v>34264</v>
      </c>
      <c r="U3697" s="308" t="s">
        <v>2152</v>
      </c>
      <c r="V3697" s="312"/>
    </row>
    <row r="3698">
      <c r="A3698" s="308">
        <v>3697.0</v>
      </c>
      <c r="B3698" s="308"/>
      <c r="C3698" s="308" t="s">
        <v>15123</v>
      </c>
      <c r="D3698" s="308">
        <f>IFERROR(__xludf.DUMMYFUNCTION("SPLIT(C3698,""-"")"),3718.0)</f>
        <v>3718</v>
      </c>
      <c r="E3698" s="308" t="str">
        <f>IFERROR(__xludf.DUMMYFUNCTION("""COMPUTED_VALUE"""),"P")</f>
        <v>P</v>
      </c>
      <c r="F3698" s="312" t="s">
        <v>37</v>
      </c>
      <c r="G3698" s="308"/>
      <c r="H3698" s="308" t="s">
        <v>15124</v>
      </c>
      <c r="I3698" s="310">
        <v>42609.0</v>
      </c>
      <c r="J3698" s="319">
        <f>IFERROR(__xludf.DUMMYFUNCTION("SPLIT(I3698,""/"")"),27.0)</f>
        <v>27</v>
      </c>
      <c r="K3698" s="308">
        <f>IFERROR(__xludf.DUMMYFUNCTION("""COMPUTED_VALUE"""),8.0)</f>
        <v>8</v>
      </c>
      <c r="L3698" s="308">
        <f>IFERROR(__xludf.DUMMYFUNCTION("""COMPUTED_VALUE"""),2016.0)</f>
        <v>2016</v>
      </c>
      <c r="M3698" s="308" t="s">
        <v>15125</v>
      </c>
      <c r="N3698" s="308"/>
      <c r="O3698" s="308" t="s">
        <v>15126</v>
      </c>
      <c r="P3698" s="308" t="s">
        <v>37152</v>
      </c>
      <c r="Q3698" s="308" t="s">
        <v>37151</v>
      </c>
      <c r="R3698" s="308" t="s">
        <v>2743</v>
      </c>
      <c r="S3698" s="308" t="s">
        <v>81</v>
      </c>
      <c r="T3698" s="308" t="s">
        <v>75</v>
      </c>
      <c r="U3698" s="308" t="s">
        <v>1435</v>
      </c>
      <c r="V3698" s="312"/>
    </row>
    <row r="3699">
      <c r="A3699" s="308">
        <v>3698.0</v>
      </c>
      <c r="B3699" s="308"/>
      <c r="C3699" s="308" t="s">
        <v>15128</v>
      </c>
      <c r="D3699" s="308">
        <f>IFERROR(__xludf.DUMMYFUNCTION("SPLIT(C3699,""-"")"),3719.0)</f>
        <v>3719</v>
      </c>
      <c r="E3699" s="308" t="str">
        <f>IFERROR(__xludf.DUMMYFUNCTION("""COMPUTED_VALUE"""),"K")</f>
        <v>K</v>
      </c>
      <c r="F3699" s="309" t="s">
        <v>34</v>
      </c>
      <c r="G3699" s="308"/>
      <c r="H3699" s="308" t="s">
        <v>15129</v>
      </c>
      <c r="I3699" s="316">
        <v>2012.0</v>
      </c>
      <c r="J3699" s="319"/>
      <c r="K3699" s="308"/>
      <c r="L3699" s="311">
        <v>2012.0</v>
      </c>
      <c r="M3699" s="308" t="s">
        <v>15130</v>
      </c>
      <c r="N3699" s="308"/>
      <c r="O3699" s="308" t="s">
        <v>635</v>
      </c>
      <c r="P3699" s="308" t="s">
        <v>37153</v>
      </c>
      <c r="Q3699" s="308" t="s">
        <v>37154</v>
      </c>
      <c r="R3699" s="308" t="s">
        <v>2743</v>
      </c>
      <c r="S3699" s="308" t="s">
        <v>81</v>
      </c>
      <c r="T3699" s="308" t="s">
        <v>34264</v>
      </c>
      <c r="U3699" s="308"/>
      <c r="V3699" s="312"/>
    </row>
    <row r="3700">
      <c r="A3700" s="308">
        <v>3699.0</v>
      </c>
      <c r="B3700" s="308"/>
      <c r="C3700" s="308" t="s">
        <v>15132</v>
      </c>
      <c r="D3700" s="308">
        <f>IFERROR(__xludf.DUMMYFUNCTION("SPLIT(C3700,""-"")"),3720.0)</f>
        <v>3720</v>
      </c>
      <c r="E3700" s="308" t="str">
        <f>IFERROR(__xludf.DUMMYFUNCTION("""COMPUTED_VALUE"""),"K")</f>
        <v>K</v>
      </c>
      <c r="F3700" s="309" t="s">
        <v>34</v>
      </c>
      <c r="G3700" s="308"/>
      <c r="H3700" s="308" t="s">
        <v>15133</v>
      </c>
      <c r="I3700" s="325">
        <v>40544.0</v>
      </c>
      <c r="J3700" s="319"/>
      <c r="K3700" s="311">
        <v>1.0</v>
      </c>
      <c r="L3700" s="311">
        <v>2011.0</v>
      </c>
      <c r="M3700" s="308" t="s">
        <v>37155</v>
      </c>
      <c r="N3700" s="308"/>
      <c r="O3700" s="308" t="s">
        <v>15135</v>
      </c>
      <c r="P3700" s="308" t="s">
        <v>37156</v>
      </c>
      <c r="Q3700" s="308" t="s">
        <v>37154</v>
      </c>
      <c r="R3700" s="308" t="s">
        <v>2743</v>
      </c>
      <c r="S3700" s="308" t="s">
        <v>81</v>
      </c>
      <c r="T3700" s="308" t="s">
        <v>34264</v>
      </c>
      <c r="U3700" s="308" t="s">
        <v>530</v>
      </c>
      <c r="V3700" s="312"/>
    </row>
    <row r="3701">
      <c r="A3701" s="308">
        <v>3700.0</v>
      </c>
      <c r="B3701" s="308"/>
      <c r="C3701" s="308" t="s">
        <v>15137</v>
      </c>
      <c r="D3701" s="308">
        <f>IFERROR(__xludf.DUMMYFUNCTION("SPLIT(C3701,""-"")"),3721.0)</f>
        <v>3721</v>
      </c>
      <c r="E3701" s="308" t="str">
        <f>IFERROR(__xludf.DUMMYFUNCTION("""COMPUTED_VALUE"""),"K")</f>
        <v>K</v>
      </c>
      <c r="F3701" s="309" t="s">
        <v>34</v>
      </c>
      <c r="G3701" s="308"/>
      <c r="H3701" s="308" t="s">
        <v>15138</v>
      </c>
      <c r="I3701" s="314">
        <v>42698.0</v>
      </c>
      <c r="J3701" s="319">
        <f>IFERROR(__xludf.DUMMYFUNCTION("SPLIT(I3701,""/"")"),24.0)</f>
        <v>24</v>
      </c>
      <c r="K3701" s="308">
        <f>IFERROR(__xludf.DUMMYFUNCTION("""COMPUTED_VALUE"""),11.0)</f>
        <v>11</v>
      </c>
      <c r="L3701" s="308">
        <f>IFERROR(__xludf.DUMMYFUNCTION("""COMPUTED_VALUE"""),2016.0)</f>
        <v>2016</v>
      </c>
      <c r="M3701" s="308" t="s">
        <v>15139</v>
      </c>
      <c r="N3701" s="308"/>
      <c r="O3701" s="308" t="s">
        <v>15140</v>
      </c>
      <c r="P3701" s="308" t="s">
        <v>15141</v>
      </c>
      <c r="Q3701" s="308" t="s">
        <v>37157</v>
      </c>
      <c r="R3701" s="308" t="s">
        <v>2743</v>
      </c>
      <c r="S3701" s="308" t="s">
        <v>81</v>
      </c>
      <c r="T3701" s="308" t="s">
        <v>75</v>
      </c>
      <c r="U3701" s="308" t="s">
        <v>3714</v>
      </c>
      <c r="V3701" s="312"/>
    </row>
    <row r="3702">
      <c r="A3702" s="308">
        <v>3701.0</v>
      </c>
      <c r="B3702" s="308"/>
      <c r="C3702" s="308" t="s">
        <v>15142</v>
      </c>
      <c r="D3702" s="308">
        <f>IFERROR(__xludf.DUMMYFUNCTION("SPLIT(C3702,""-"")"),3722.0)</f>
        <v>3722</v>
      </c>
      <c r="E3702" s="308" t="str">
        <f>IFERROR(__xludf.DUMMYFUNCTION("""COMPUTED_VALUE"""),"P")</f>
        <v>P</v>
      </c>
      <c r="F3702" s="312" t="s">
        <v>37</v>
      </c>
      <c r="G3702" s="308"/>
      <c r="H3702" s="308" t="s">
        <v>15143</v>
      </c>
      <c r="I3702" s="314">
        <v>42671.0</v>
      </c>
      <c r="J3702" s="319">
        <f>IFERROR(__xludf.DUMMYFUNCTION("SPLIT(I3702,""/"")"),28.0)</f>
        <v>28</v>
      </c>
      <c r="K3702" s="308">
        <f>IFERROR(__xludf.DUMMYFUNCTION("""COMPUTED_VALUE"""),10.0)</f>
        <v>10</v>
      </c>
      <c r="L3702" s="308">
        <f>IFERROR(__xludf.DUMMYFUNCTION("""COMPUTED_VALUE"""),2016.0)</f>
        <v>2016</v>
      </c>
      <c r="M3702" s="308" t="s">
        <v>15144</v>
      </c>
      <c r="N3702" s="308"/>
      <c r="O3702" s="308" t="s">
        <v>15145</v>
      </c>
      <c r="P3702" s="308" t="s">
        <v>9175</v>
      </c>
      <c r="Q3702" s="308" t="s">
        <v>37158</v>
      </c>
      <c r="R3702" s="308" t="s">
        <v>2743</v>
      </c>
      <c r="S3702" s="315" t="s">
        <v>100</v>
      </c>
      <c r="T3702" s="311" t="s">
        <v>34208</v>
      </c>
      <c r="U3702" s="308" t="s">
        <v>143</v>
      </c>
      <c r="V3702" s="312"/>
    </row>
    <row r="3703">
      <c r="A3703" s="308">
        <v>3702.0</v>
      </c>
      <c r="B3703" s="308"/>
      <c r="C3703" s="308" t="s">
        <v>15146</v>
      </c>
      <c r="D3703" s="308">
        <f>IFERROR(__xludf.DUMMYFUNCTION("SPLIT(C3703,""-"")"),3723.0)</f>
        <v>3723</v>
      </c>
      <c r="E3703" s="308" t="str">
        <f>IFERROR(__xludf.DUMMYFUNCTION("""COMPUTED_VALUE"""),"K")</f>
        <v>K</v>
      </c>
      <c r="F3703" s="309" t="s">
        <v>34</v>
      </c>
      <c r="G3703" s="308"/>
      <c r="H3703" s="308" t="s">
        <v>15147</v>
      </c>
      <c r="I3703" s="310">
        <v>42624.0</v>
      </c>
      <c r="J3703" s="319">
        <f>IFERROR(__xludf.DUMMYFUNCTION("SPLIT(I3703,""/"")"),11.0)</f>
        <v>11</v>
      </c>
      <c r="K3703" s="308">
        <f>IFERROR(__xludf.DUMMYFUNCTION("""COMPUTED_VALUE"""),9.0)</f>
        <v>9</v>
      </c>
      <c r="L3703" s="308">
        <f>IFERROR(__xludf.DUMMYFUNCTION("""COMPUTED_VALUE"""),2016.0)</f>
        <v>2016</v>
      </c>
      <c r="M3703" s="308" t="s">
        <v>15148</v>
      </c>
      <c r="N3703" s="308"/>
      <c r="O3703" s="308" t="s">
        <v>15149</v>
      </c>
      <c r="P3703" s="308" t="s">
        <v>15150</v>
      </c>
      <c r="Q3703" s="308" t="s">
        <v>37158</v>
      </c>
      <c r="R3703" s="308" t="s">
        <v>2743</v>
      </c>
      <c r="S3703" s="308" t="s">
        <v>81</v>
      </c>
      <c r="T3703" s="311" t="s">
        <v>83</v>
      </c>
      <c r="U3703" s="308"/>
      <c r="V3703" s="312"/>
    </row>
    <row r="3704">
      <c r="A3704" s="308">
        <v>3703.0</v>
      </c>
      <c r="B3704" s="308"/>
      <c r="C3704" s="308" t="s">
        <v>15151</v>
      </c>
      <c r="D3704" s="308">
        <f>IFERROR(__xludf.DUMMYFUNCTION("SPLIT(C3704,""-"")"),3724.0)</f>
        <v>3724</v>
      </c>
      <c r="E3704" s="308" t="str">
        <f>IFERROR(__xludf.DUMMYFUNCTION("""COMPUTED_VALUE"""),"K")</f>
        <v>K</v>
      </c>
      <c r="F3704" s="309" t="s">
        <v>34</v>
      </c>
      <c r="G3704" s="308"/>
      <c r="H3704" s="308" t="s">
        <v>15152</v>
      </c>
      <c r="I3704" s="310">
        <v>42624.0</v>
      </c>
      <c r="J3704" s="319">
        <f>IFERROR(__xludf.DUMMYFUNCTION("SPLIT(I3704,""/"")"),11.0)</f>
        <v>11</v>
      </c>
      <c r="K3704" s="308">
        <f>IFERROR(__xludf.DUMMYFUNCTION("""COMPUTED_VALUE"""),9.0)</f>
        <v>9</v>
      </c>
      <c r="L3704" s="308">
        <f>IFERROR(__xludf.DUMMYFUNCTION("""COMPUTED_VALUE"""),2016.0)</f>
        <v>2016</v>
      </c>
      <c r="M3704" s="308" t="s">
        <v>15153</v>
      </c>
      <c r="N3704" s="308"/>
      <c r="O3704" s="308" t="s">
        <v>15149</v>
      </c>
      <c r="P3704" s="308" t="s">
        <v>37159</v>
      </c>
      <c r="Q3704" s="308" t="s">
        <v>37158</v>
      </c>
      <c r="R3704" s="308" t="s">
        <v>2743</v>
      </c>
      <c r="S3704" s="308" t="s">
        <v>81</v>
      </c>
      <c r="T3704" s="311" t="s">
        <v>73</v>
      </c>
      <c r="U3704" s="308" t="s">
        <v>125</v>
      </c>
      <c r="V3704" s="312"/>
    </row>
    <row r="3705">
      <c r="A3705" s="308">
        <v>3704.0</v>
      </c>
      <c r="B3705" s="308"/>
      <c r="C3705" s="308" t="s">
        <v>15155</v>
      </c>
      <c r="D3705" s="308">
        <f>IFERROR(__xludf.DUMMYFUNCTION("SPLIT(C3705,""-"")"),3725.0)</f>
        <v>3725</v>
      </c>
      <c r="E3705" s="308" t="str">
        <f>IFERROR(__xludf.DUMMYFUNCTION("""COMPUTED_VALUE"""),"K")</f>
        <v>K</v>
      </c>
      <c r="F3705" s="309" t="s">
        <v>34</v>
      </c>
      <c r="G3705" s="308"/>
      <c r="H3705" s="308" t="s">
        <v>15156</v>
      </c>
      <c r="I3705" s="310">
        <v>42058.0</v>
      </c>
      <c r="J3705" s="319">
        <f>IFERROR(__xludf.DUMMYFUNCTION("SPLIT(I3705,""/"")"),23.0)</f>
        <v>23</v>
      </c>
      <c r="K3705" s="308">
        <f>IFERROR(__xludf.DUMMYFUNCTION("""COMPUTED_VALUE"""),2.0)</f>
        <v>2</v>
      </c>
      <c r="L3705" s="308">
        <f>IFERROR(__xludf.DUMMYFUNCTION("""COMPUTED_VALUE"""),2015.0)</f>
        <v>2015</v>
      </c>
      <c r="M3705" s="308" t="s">
        <v>15157</v>
      </c>
      <c r="N3705" s="308" t="s">
        <v>15158</v>
      </c>
      <c r="O3705" s="308" t="s">
        <v>15159</v>
      </c>
      <c r="P3705" s="308" t="s">
        <v>37160</v>
      </c>
      <c r="Q3705" s="308" t="s">
        <v>37158</v>
      </c>
      <c r="R3705" s="308" t="s">
        <v>2743</v>
      </c>
      <c r="S3705" s="308" t="s">
        <v>81</v>
      </c>
      <c r="T3705" s="308" t="s">
        <v>34264</v>
      </c>
      <c r="U3705" s="308" t="s">
        <v>125</v>
      </c>
      <c r="V3705" s="308" t="s">
        <v>4627</v>
      </c>
    </row>
    <row r="3706">
      <c r="A3706" s="308">
        <v>3705.0</v>
      </c>
      <c r="B3706" s="308"/>
      <c r="C3706" s="308" t="s">
        <v>15161</v>
      </c>
      <c r="D3706" s="308">
        <f>IFERROR(__xludf.DUMMYFUNCTION("SPLIT(C3706,""-"")"),3726.0)</f>
        <v>3726</v>
      </c>
      <c r="E3706" s="308" t="str">
        <f>IFERROR(__xludf.DUMMYFUNCTION("""COMPUTED_VALUE"""),"A")</f>
        <v>A</v>
      </c>
      <c r="F3706" s="309" t="s">
        <v>23</v>
      </c>
      <c r="G3706" s="308"/>
      <c r="H3706" s="308" t="s">
        <v>15162</v>
      </c>
      <c r="I3706" s="310">
        <v>42247.0</v>
      </c>
      <c r="J3706" s="319">
        <f>IFERROR(__xludf.DUMMYFUNCTION("SPLIT(I3706,""/"")"),31.0)</f>
        <v>31</v>
      </c>
      <c r="K3706" s="308">
        <f>IFERROR(__xludf.DUMMYFUNCTION("""COMPUTED_VALUE"""),8.0)</f>
        <v>8</v>
      </c>
      <c r="L3706" s="308">
        <f>IFERROR(__xludf.DUMMYFUNCTION("""COMPUTED_VALUE"""),2015.0)</f>
        <v>2015</v>
      </c>
      <c r="M3706" s="308" t="s">
        <v>15163</v>
      </c>
      <c r="N3706" s="308"/>
      <c r="O3706" s="308" t="s">
        <v>15164</v>
      </c>
      <c r="P3706" s="308" t="s">
        <v>37161</v>
      </c>
      <c r="Q3706" s="308" t="s">
        <v>37158</v>
      </c>
      <c r="R3706" s="308" t="s">
        <v>2743</v>
      </c>
      <c r="S3706" s="308" t="s">
        <v>49</v>
      </c>
      <c r="T3706" s="311" t="s">
        <v>59</v>
      </c>
      <c r="U3706" s="308" t="s">
        <v>403</v>
      </c>
      <c r="V3706" s="312"/>
    </row>
    <row r="3707">
      <c r="A3707" s="308">
        <v>3706.0</v>
      </c>
      <c r="B3707" s="308"/>
      <c r="C3707" s="308" t="s">
        <v>15166</v>
      </c>
      <c r="D3707" s="308">
        <f>IFERROR(__xludf.DUMMYFUNCTION("SPLIT(C3707,""-"")"),3727.0)</f>
        <v>3727</v>
      </c>
      <c r="E3707" s="308" t="str">
        <f>IFERROR(__xludf.DUMMYFUNCTION("""COMPUTED_VALUE"""),"A")</f>
        <v>A</v>
      </c>
      <c r="F3707" s="309" t="s">
        <v>23</v>
      </c>
      <c r="G3707" s="308"/>
      <c r="H3707" s="308" t="s">
        <v>15167</v>
      </c>
      <c r="I3707" s="310">
        <v>42247.0</v>
      </c>
      <c r="J3707" s="319">
        <f>IFERROR(__xludf.DUMMYFUNCTION("SPLIT(I3707,""/"")"),31.0)</f>
        <v>31</v>
      </c>
      <c r="K3707" s="308">
        <f>IFERROR(__xludf.DUMMYFUNCTION("""COMPUTED_VALUE"""),8.0)</f>
        <v>8</v>
      </c>
      <c r="L3707" s="308">
        <f>IFERROR(__xludf.DUMMYFUNCTION("""COMPUTED_VALUE"""),2015.0)</f>
        <v>2015</v>
      </c>
      <c r="M3707" s="308" t="s">
        <v>15168</v>
      </c>
      <c r="N3707" s="308"/>
      <c r="O3707" s="308" t="s">
        <v>15164</v>
      </c>
      <c r="P3707" s="308" t="s">
        <v>37161</v>
      </c>
      <c r="Q3707" s="308" t="s">
        <v>37158</v>
      </c>
      <c r="R3707" s="308" t="s">
        <v>2743</v>
      </c>
      <c r="S3707" s="308" t="s">
        <v>49</v>
      </c>
      <c r="T3707" s="311" t="s">
        <v>59</v>
      </c>
      <c r="U3707" s="308" t="s">
        <v>403</v>
      </c>
      <c r="V3707" s="312"/>
    </row>
    <row r="3708">
      <c r="A3708" s="308">
        <v>3707.0</v>
      </c>
      <c r="B3708" s="308"/>
      <c r="C3708" s="308" t="s">
        <v>15169</v>
      </c>
      <c r="D3708" s="308">
        <f>IFERROR(__xludf.DUMMYFUNCTION("SPLIT(C3708,""-"")"),3728.0)</f>
        <v>3728</v>
      </c>
      <c r="E3708" s="308" t="str">
        <f>IFERROR(__xludf.DUMMYFUNCTION("""COMPUTED_VALUE"""),"A")</f>
        <v>A</v>
      </c>
      <c r="F3708" s="309" t="s">
        <v>23</v>
      </c>
      <c r="G3708" s="308"/>
      <c r="H3708" s="308" t="s">
        <v>15170</v>
      </c>
      <c r="I3708" s="310">
        <v>42247.0</v>
      </c>
      <c r="J3708" s="319">
        <f>IFERROR(__xludf.DUMMYFUNCTION("SPLIT(I3708,""/"")"),31.0)</f>
        <v>31</v>
      </c>
      <c r="K3708" s="308">
        <f>IFERROR(__xludf.DUMMYFUNCTION("""COMPUTED_VALUE"""),8.0)</f>
        <v>8</v>
      </c>
      <c r="L3708" s="308">
        <f>IFERROR(__xludf.DUMMYFUNCTION("""COMPUTED_VALUE"""),2015.0)</f>
        <v>2015</v>
      </c>
      <c r="M3708" s="308" t="s">
        <v>15171</v>
      </c>
      <c r="N3708" s="308"/>
      <c r="O3708" s="308" t="s">
        <v>15164</v>
      </c>
      <c r="P3708" s="308" t="s">
        <v>37161</v>
      </c>
      <c r="Q3708" s="308" t="s">
        <v>37158</v>
      </c>
      <c r="R3708" s="308" t="s">
        <v>2743</v>
      </c>
      <c r="S3708" s="308" t="s">
        <v>49</v>
      </c>
      <c r="T3708" s="311" t="s">
        <v>59</v>
      </c>
      <c r="U3708" s="308" t="s">
        <v>403</v>
      </c>
      <c r="V3708" s="312"/>
    </row>
    <row r="3709">
      <c r="A3709" s="308">
        <v>3708.0</v>
      </c>
      <c r="B3709" s="308"/>
      <c r="C3709" s="308" t="s">
        <v>15172</v>
      </c>
      <c r="D3709" s="308">
        <f>IFERROR(__xludf.DUMMYFUNCTION("SPLIT(C3709,""-"")"),3729.0)</f>
        <v>3729</v>
      </c>
      <c r="E3709" s="308" t="str">
        <f>IFERROR(__xludf.DUMMYFUNCTION("""COMPUTED_VALUE"""),"P")</f>
        <v>P</v>
      </c>
      <c r="F3709" s="312" t="s">
        <v>37</v>
      </c>
      <c r="G3709" s="308"/>
      <c r="H3709" s="308" t="s">
        <v>15173</v>
      </c>
      <c r="I3709" s="314">
        <v>42685.0</v>
      </c>
      <c r="J3709" s="319">
        <f>IFERROR(__xludf.DUMMYFUNCTION("SPLIT(I3709,""/"")"),11.0)</f>
        <v>11</v>
      </c>
      <c r="K3709" s="308">
        <f>IFERROR(__xludf.DUMMYFUNCTION("""COMPUTED_VALUE"""),11.0)</f>
        <v>11</v>
      </c>
      <c r="L3709" s="308">
        <f>IFERROR(__xludf.DUMMYFUNCTION("""COMPUTED_VALUE"""),2016.0)</f>
        <v>2016</v>
      </c>
      <c r="M3709" s="308" t="s">
        <v>15174</v>
      </c>
      <c r="N3709" s="308"/>
      <c r="O3709" s="308" t="s">
        <v>15175</v>
      </c>
      <c r="P3709" s="308" t="s">
        <v>37162</v>
      </c>
      <c r="Q3709" s="308" t="s">
        <v>37158</v>
      </c>
      <c r="R3709" s="308" t="s">
        <v>2743</v>
      </c>
      <c r="S3709" s="308" t="s">
        <v>81</v>
      </c>
      <c r="T3709" s="308" t="s">
        <v>75</v>
      </c>
      <c r="U3709" s="308" t="s">
        <v>2263</v>
      </c>
      <c r="V3709" s="312"/>
    </row>
    <row r="3710">
      <c r="A3710" s="308">
        <v>3709.0</v>
      </c>
      <c r="B3710" s="308"/>
      <c r="C3710" s="308" t="s">
        <v>15177</v>
      </c>
      <c r="D3710" s="308">
        <f>IFERROR(__xludf.DUMMYFUNCTION("SPLIT(C3710,""-"")"),3730.0)</f>
        <v>3730</v>
      </c>
      <c r="E3710" s="308" t="str">
        <f>IFERROR(__xludf.DUMMYFUNCTION("""COMPUTED_VALUE"""),"K")</f>
        <v>K</v>
      </c>
      <c r="F3710" s="309" t="s">
        <v>34</v>
      </c>
      <c r="G3710" s="308"/>
      <c r="H3710" s="308" t="s">
        <v>15178</v>
      </c>
      <c r="I3710" s="314">
        <v>42659.0</v>
      </c>
      <c r="J3710" s="319">
        <f>IFERROR(__xludf.DUMMYFUNCTION("SPLIT(I3710,""/"")"),16.0)</f>
        <v>16</v>
      </c>
      <c r="K3710" s="308">
        <f>IFERROR(__xludf.DUMMYFUNCTION("""COMPUTED_VALUE"""),10.0)</f>
        <v>10</v>
      </c>
      <c r="L3710" s="308">
        <f>IFERROR(__xludf.DUMMYFUNCTION("""COMPUTED_VALUE"""),2016.0)</f>
        <v>2016</v>
      </c>
      <c r="M3710" s="308" t="s">
        <v>15179</v>
      </c>
      <c r="N3710" s="308"/>
      <c r="O3710" s="308" t="s">
        <v>15180</v>
      </c>
      <c r="P3710" s="308" t="s">
        <v>15181</v>
      </c>
      <c r="Q3710" s="308" t="s">
        <v>37158</v>
      </c>
      <c r="R3710" s="308" t="s">
        <v>2743</v>
      </c>
      <c r="S3710" s="308" t="s">
        <v>81</v>
      </c>
      <c r="T3710" s="308" t="s">
        <v>73</v>
      </c>
      <c r="U3710" s="308" t="s">
        <v>3714</v>
      </c>
      <c r="V3710" s="312"/>
    </row>
    <row r="3711">
      <c r="A3711" s="308">
        <v>3710.0</v>
      </c>
      <c r="B3711" s="308"/>
      <c r="C3711" s="308" t="s">
        <v>15182</v>
      </c>
      <c r="D3711" s="308">
        <f>IFERROR(__xludf.DUMMYFUNCTION("SPLIT(C3711,""-"")"),3731.0)</f>
        <v>3731</v>
      </c>
      <c r="E3711" s="308" t="str">
        <f>IFERROR(__xludf.DUMMYFUNCTION("""COMPUTED_VALUE"""),"P")</f>
        <v>P</v>
      </c>
      <c r="F3711" s="312" t="s">
        <v>37</v>
      </c>
      <c r="G3711" s="308"/>
      <c r="H3711" s="308" t="s">
        <v>15183</v>
      </c>
      <c r="I3711" s="310">
        <v>40915.0</v>
      </c>
      <c r="J3711" s="319">
        <f>IFERROR(__xludf.DUMMYFUNCTION("SPLIT(I3711,""/"")"),7.0)</f>
        <v>7</v>
      </c>
      <c r="K3711" s="308">
        <f>IFERROR(__xludf.DUMMYFUNCTION("""COMPUTED_VALUE"""),1.0)</f>
        <v>1</v>
      </c>
      <c r="L3711" s="308">
        <f>IFERROR(__xludf.DUMMYFUNCTION("""COMPUTED_VALUE"""),2012.0)</f>
        <v>2012</v>
      </c>
      <c r="M3711" s="308" t="s">
        <v>15184</v>
      </c>
      <c r="N3711" s="308"/>
      <c r="O3711" s="308"/>
      <c r="P3711" s="308" t="s">
        <v>15185</v>
      </c>
      <c r="Q3711" s="308" t="s">
        <v>37158</v>
      </c>
      <c r="R3711" s="308" t="s">
        <v>2743</v>
      </c>
      <c r="S3711" s="308" t="s">
        <v>81</v>
      </c>
      <c r="T3711" s="308" t="s">
        <v>34264</v>
      </c>
      <c r="U3711" s="308" t="s">
        <v>15186</v>
      </c>
      <c r="V3711" s="312"/>
    </row>
    <row r="3712">
      <c r="A3712" s="308">
        <v>3711.0</v>
      </c>
      <c r="B3712" s="308"/>
      <c r="C3712" s="308" t="s">
        <v>15187</v>
      </c>
      <c r="D3712" s="308">
        <f>IFERROR(__xludf.DUMMYFUNCTION("SPLIT(C3712,""-"")"),3732.0)</f>
        <v>3732</v>
      </c>
      <c r="E3712" s="308" t="str">
        <f>IFERROR(__xludf.DUMMYFUNCTION("""COMPUTED_VALUE"""),"K")</f>
        <v>K</v>
      </c>
      <c r="F3712" s="309" t="s">
        <v>34</v>
      </c>
      <c r="G3712" s="308"/>
      <c r="H3712" s="308" t="s">
        <v>15188</v>
      </c>
      <c r="I3712" s="310">
        <v>42561.0</v>
      </c>
      <c r="J3712" s="319">
        <f>IFERROR(__xludf.DUMMYFUNCTION("SPLIT(I3712,""/"")"),10.0)</f>
        <v>10</v>
      </c>
      <c r="K3712" s="308">
        <f>IFERROR(__xludf.DUMMYFUNCTION("""COMPUTED_VALUE"""),7.0)</f>
        <v>7</v>
      </c>
      <c r="L3712" s="308">
        <f>IFERROR(__xludf.DUMMYFUNCTION("""COMPUTED_VALUE"""),2016.0)</f>
        <v>2016</v>
      </c>
      <c r="M3712" s="308" t="s">
        <v>15189</v>
      </c>
      <c r="N3712" s="308"/>
      <c r="O3712" s="308" t="s">
        <v>15190</v>
      </c>
      <c r="P3712" s="308" t="s">
        <v>15191</v>
      </c>
      <c r="Q3712" s="308" t="s">
        <v>37158</v>
      </c>
      <c r="R3712" s="308" t="s">
        <v>14911</v>
      </c>
      <c r="S3712" s="308" t="s">
        <v>81</v>
      </c>
      <c r="T3712" s="308" t="s">
        <v>34264</v>
      </c>
      <c r="U3712" s="308" t="s">
        <v>872</v>
      </c>
      <c r="V3712" s="312"/>
    </row>
    <row r="3713">
      <c r="A3713" s="308">
        <v>3712.0</v>
      </c>
      <c r="B3713" s="308"/>
      <c r="C3713" s="308" t="s">
        <v>15192</v>
      </c>
      <c r="D3713" s="308">
        <f>IFERROR(__xludf.DUMMYFUNCTION("SPLIT(C3713,""-"")"),3733.0)</f>
        <v>3733</v>
      </c>
      <c r="E3713" s="308" t="str">
        <f>IFERROR(__xludf.DUMMYFUNCTION("""COMPUTED_VALUE"""),"K")</f>
        <v>K</v>
      </c>
      <c r="F3713" s="309" t="s">
        <v>34</v>
      </c>
      <c r="G3713" s="308"/>
      <c r="H3713" s="308" t="s">
        <v>15193</v>
      </c>
      <c r="I3713" s="310">
        <v>41656.0</v>
      </c>
      <c r="J3713" s="319">
        <f>IFERROR(__xludf.DUMMYFUNCTION("SPLIT(I3713,""/"")"),17.0)</f>
        <v>17</v>
      </c>
      <c r="K3713" s="308">
        <f>IFERROR(__xludf.DUMMYFUNCTION("""COMPUTED_VALUE"""),1.0)</f>
        <v>1</v>
      </c>
      <c r="L3713" s="308">
        <f>IFERROR(__xludf.DUMMYFUNCTION("""COMPUTED_VALUE"""),2014.0)</f>
        <v>2014</v>
      </c>
      <c r="M3713" s="308" t="s">
        <v>15194</v>
      </c>
      <c r="N3713" s="308"/>
      <c r="O3713" s="308" t="s">
        <v>15195</v>
      </c>
      <c r="P3713" s="308" t="s">
        <v>2872</v>
      </c>
      <c r="Q3713" s="308" t="s">
        <v>37158</v>
      </c>
      <c r="R3713" s="308" t="s">
        <v>14911</v>
      </c>
      <c r="S3713" s="315" t="s">
        <v>100</v>
      </c>
      <c r="T3713" s="311" t="s">
        <v>34208</v>
      </c>
      <c r="U3713" s="308" t="s">
        <v>125</v>
      </c>
      <c r="V3713" s="312"/>
    </row>
    <row r="3714">
      <c r="A3714" s="308">
        <v>3713.0</v>
      </c>
      <c r="B3714" s="308"/>
      <c r="C3714" s="308" t="s">
        <v>15196</v>
      </c>
      <c r="D3714" s="308">
        <f>IFERROR(__xludf.DUMMYFUNCTION("SPLIT(C3714,""-"")"),3734.0)</f>
        <v>3734</v>
      </c>
      <c r="E3714" s="308" t="str">
        <f>IFERROR(__xludf.DUMMYFUNCTION("""COMPUTED_VALUE"""),"K")</f>
        <v>K</v>
      </c>
      <c r="F3714" s="309" t="s">
        <v>34</v>
      </c>
      <c r="G3714" s="308"/>
      <c r="H3714" s="308" t="s">
        <v>15197</v>
      </c>
      <c r="I3714" s="310">
        <v>42284.0</v>
      </c>
      <c r="J3714" s="319">
        <f>IFERROR(__xludf.DUMMYFUNCTION("SPLIT(I3714,""/"")"),7.0)</f>
        <v>7</v>
      </c>
      <c r="K3714" s="308">
        <f>IFERROR(__xludf.DUMMYFUNCTION("""COMPUTED_VALUE"""),10.0)</f>
        <v>10</v>
      </c>
      <c r="L3714" s="308">
        <f>IFERROR(__xludf.DUMMYFUNCTION("""COMPUTED_VALUE"""),2015.0)</f>
        <v>2015</v>
      </c>
      <c r="M3714" s="308" t="s">
        <v>15198</v>
      </c>
      <c r="N3714" s="308"/>
      <c r="O3714" s="308" t="s">
        <v>15199</v>
      </c>
      <c r="P3714" s="308" t="s">
        <v>6262</v>
      </c>
      <c r="Q3714" s="308" t="s">
        <v>37158</v>
      </c>
      <c r="R3714" s="308" t="s">
        <v>14911</v>
      </c>
      <c r="S3714" s="315" t="s">
        <v>100</v>
      </c>
      <c r="T3714" s="311" t="s">
        <v>34208</v>
      </c>
      <c r="U3714" s="308" t="s">
        <v>368</v>
      </c>
      <c r="V3714" s="312"/>
    </row>
    <row r="3715">
      <c r="A3715" s="308">
        <v>3714.0</v>
      </c>
      <c r="B3715" s="308"/>
      <c r="C3715" s="308" t="s">
        <v>15200</v>
      </c>
      <c r="D3715" s="308">
        <f>IFERROR(__xludf.DUMMYFUNCTION("SPLIT(C3715,""-"")"),3735.0)</f>
        <v>3735</v>
      </c>
      <c r="E3715" s="308" t="str">
        <f>IFERROR(__xludf.DUMMYFUNCTION("""COMPUTED_VALUE"""),"K")</f>
        <v>K</v>
      </c>
      <c r="F3715" s="309" t="s">
        <v>34</v>
      </c>
      <c r="G3715" s="308"/>
      <c r="H3715" s="308" t="s">
        <v>15201</v>
      </c>
      <c r="I3715" s="310">
        <v>40330.0</v>
      </c>
      <c r="J3715" s="319">
        <f>IFERROR(__xludf.DUMMYFUNCTION("SPLIT(I3715,""/"")"),1.0)</f>
        <v>1</v>
      </c>
      <c r="K3715" s="308">
        <f>IFERROR(__xludf.DUMMYFUNCTION("""COMPUTED_VALUE"""),6.0)</f>
        <v>6</v>
      </c>
      <c r="L3715" s="308">
        <f>IFERROR(__xludf.DUMMYFUNCTION("""COMPUTED_VALUE"""),2010.0)</f>
        <v>2010</v>
      </c>
      <c r="M3715" s="308" t="s">
        <v>15202</v>
      </c>
      <c r="N3715" s="308"/>
      <c r="O3715" s="308"/>
      <c r="P3715" s="308" t="s">
        <v>15203</v>
      </c>
      <c r="Q3715" s="308" t="s">
        <v>37158</v>
      </c>
      <c r="R3715" s="308" t="s">
        <v>2743</v>
      </c>
      <c r="S3715" s="308" t="s">
        <v>81</v>
      </c>
      <c r="T3715" s="308" t="s">
        <v>34264</v>
      </c>
      <c r="U3715" s="308" t="s">
        <v>9260</v>
      </c>
      <c r="V3715" s="312"/>
    </row>
    <row r="3716">
      <c r="A3716" s="308">
        <v>3715.0</v>
      </c>
      <c r="B3716" s="308"/>
      <c r="C3716" s="308" t="s">
        <v>15204</v>
      </c>
      <c r="D3716" s="308">
        <f>IFERROR(__xludf.DUMMYFUNCTION("SPLIT(C3716,""-"")"),3736.0)</f>
        <v>3736</v>
      </c>
      <c r="E3716" s="308" t="str">
        <f>IFERROR(__xludf.DUMMYFUNCTION("""COMPUTED_VALUE"""),"P")</f>
        <v>P</v>
      </c>
      <c r="F3716" s="312" t="s">
        <v>37</v>
      </c>
      <c r="G3716" s="308"/>
      <c r="H3716" s="308" t="s">
        <v>15205</v>
      </c>
      <c r="I3716" s="314">
        <v>42702.0</v>
      </c>
      <c r="J3716" s="319">
        <f>IFERROR(__xludf.DUMMYFUNCTION("SPLIT(I3716,""/"")"),28.0)</f>
        <v>28</v>
      </c>
      <c r="K3716" s="308">
        <f>IFERROR(__xludf.DUMMYFUNCTION("""COMPUTED_VALUE"""),11.0)</f>
        <v>11</v>
      </c>
      <c r="L3716" s="308">
        <f>IFERROR(__xludf.DUMMYFUNCTION("""COMPUTED_VALUE"""),2016.0)</f>
        <v>2016</v>
      </c>
      <c r="M3716" s="308" t="s">
        <v>15206</v>
      </c>
      <c r="N3716" s="308"/>
      <c r="O3716" s="308" t="s">
        <v>15207</v>
      </c>
      <c r="P3716" s="308" t="s">
        <v>15208</v>
      </c>
      <c r="Q3716" s="308" t="s">
        <v>37163</v>
      </c>
      <c r="R3716" s="308" t="s">
        <v>2743</v>
      </c>
      <c r="S3716" s="308" t="s">
        <v>81</v>
      </c>
      <c r="T3716" s="308" t="s">
        <v>73</v>
      </c>
      <c r="U3716" s="308" t="s">
        <v>14456</v>
      </c>
      <c r="V3716" s="312"/>
    </row>
    <row r="3717">
      <c r="A3717" s="308">
        <v>3716.0</v>
      </c>
      <c r="B3717" s="308"/>
      <c r="C3717" s="308" t="s">
        <v>15209</v>
      </c>
      <c r="D3717" s="308">
        <f>IFERROR(__xludf.DUMMYFUNCTION("SPLIT(C3717,""-"")"),3737.0)</f>
        <v>3737</v>
      </c>
      <c r="E3717" s="308" t="str">
        <f>IFERROR(__xludf.DUMMYFUNCTION("""COMPUTED_VALUE"""),"P")</f>
        <v>P</v>
      </c>
      <c r="F3717" s="312" t="s">
        <v>37</v>
      </c>
      <c r="G3717" s="308"/>
      <c r="H3717" s="308" t="s">
        <v>15210</v>
      </c>
      <c r="I3717" s="310">
        <v>41831.0</v>
      </c>
      <c r="J3717" s="319">
        <f>IFERROR(__xludf.DUMMYFUNCTION("SPLIT(I3717,""/"")"),11.0)</f>
        <v>11</v>
      </c>
      <c r="K3717" s="308">
        <f>IFERROR(__xludf.DUMMYFUNCTION("""COMPUTED_VALUE"""),7.0)</f>
        <v>7</v>
      </c>
      <c r="L3717" s="308">
        <f>IFERROR(__xludf.DUMMYFUNCTION("""COMPUTED_VALUE"""),2014.0)</f>
        <v>2014</v>
      </c>
      <c r="M3717" s="308" t="s">
        <v>15211</v>
      </c>
      <c r="N3717" s="308"/>
      <c r="O3717" s="308" t="s">
        <v>15212</v>
      </c>
      <c r="P3717" s="308" t="s">
        <v>9175</v>
      </c>
      <c r="Q3717" s="308" t="s">
        <v>37164</v>
      </c>
      <c r="R3717" s="308" t="s">
        <v>2743</v>
      </c>
      <c r="S3717" s="315" t="s">
        <v>100</v>
      </c>
      <c r="T3717" s="311" t="s">
        <v>34208</v>
      </c>
      <c r="U3717" s="308" t="s">
        <v>143</v>
      </c>
      <c r="V3717" s="312"/>
    </row>
    <row r="3718">
      <c r="A3718" s="308">
        <v>3717.0</v>
      </c>
      <c r="B3718" s="308"/>
      <c r="C3718" s="308" t="s">
        <v>15213</v>
      </c>
      <c r="D3718" s="308">
        <f>IFERROR(__xludf.DUMMYFUNCTION("SPLIT(C3718,""-"")"),3738.0)</f>
        <v>3738</v>
      </c>
      <c r="E3718" s="308" t="str">
        <f>IFERROR(__xludf.DUMMYFUNCTION("""COMPUTED_VALUE"""),"P")</f>
        <v>P</v>
      </c>
      <c r="F3718" s="312" t="s">
        <v>37</v>
      </c>
      <c r="G3718" s="308"/>
      <c r="H3718" s="308" t="s">
        <v>15214</v>
      </c>
      <c r="I3718" s="310">
        <v>42559.0</v>
      </c>
      <c r="J3718" s="319">
        <f>IFERROR(__xludf.DUMMYFUNCTION("SPLIT(I3718,""/"")"),8.0)</f>
        <v>8</v>
      </c>
      <c r="K3718" s="308">
        <f>IFERROR(__xludf.DUMMYFUNCTION("""COMPUTED_VALUE"""),7.0)</f>
        <v>7</v>
      </c>
      <c r="L3718" s="308">
        <f>IFERROR(__xludf.DUMMYFUNCTION("""COMPUTED_VALUE"""),2016.0)</f>
        <v>2016</v>
      </c>
      <c r="M3718" s="308" t="s">
        <v>15215</v>
      </c>
      <c r="N3718" s="308"/>
      <c r="O3718" s="308" t="s">
        <v>15216</v>
      </c>
      <c r="P3718" s="311" t="s">
        <v>37165</v>
      </c>
      <c r="Q3718" s="308" t="s">
        <v>37164</v>
      </c>
      <c r="R3718" s="308" t="s">
        <v>2743</v>
      </c>
      <c r="S3718" s="308" t="s">
        <v>81</v>
      </c>
      <c r="T3718" s="311" t="s">
        <v>57</v>
      </c>
      <c r="U3718" s="308" t="s">
        <v>2291</v>
      </c>
      <c r="V3718" s="312"/>
    </row>
    <row r="3719">
      <c r="A3719" s="308">
        <v>3718.0</v>
      </c>
      <c r="B3719" s="308"/>
      <c r="C3719" s="308" t="s">
        <v>15218</v>
      </c>
      <c r="D3719" s="308">
        <f>IFERROR(__xludf.DUMMYFUNCTION("SPLIT(C3719,""-"")"),3739.0)</f>
        <v>3739</v>
      </c>
      <c r="E3719" s="308" t="str">
        <f>IFERROR(__xludf.DUMMYFUNCTION("""COMPUTED_VALUE"""),"P")</f>
        <v>P</v>
      </c>
      <c r="F3719" s="312" t="s">
        <v>37</v>
      </c>
      <c r="G3719" s="308"/>
      <c r="H3719" s="308" t="s">
        <v>15219</v>
      </c>
      <c r="I3719" s="310">
        <v>42649.0</v>
      </c>
      <c r="J3719" s="319">
        <f>IFERROR(__xludf.DUMMYFUNCTION("SPLIT(I3719,""/"")"),6.0)</f>
        <v>6</v>
      </c>
      <c r="K3719" s="308">
        <f>IFERROR(__xludf.DUMMYFUNCTION("""COMPUTED_VALUE"""),10.0)</f>
        <v>10</v>
      </c>
      <c r="L3719" s="308">
        <f>IFERROR(__xludf.DUMMYFUNCTION("""COMPUTED_VALUE"""),2016.0)</f>
        <v>2016</v>
      </c>
      <c r="M3719" s="308" t="s">
        <v>15220</v>
      </c>
      <c r="N3719" s="308"/>
      <c r="O3719" s="308"/>
      <c r="P3719" s="308" t="s">
        <v>15221</v>
      </c>
      <c r="Q3719" s="308" t="s">
        <v>37166</v>
      </c>
      <c r="R3719" s="308" t="s">
        <v>14256</v>
      </c>
      <c r="S3719" s="308" t="s">
        <v>81</v>
      </c>
      <c r="T3719" s="308" t="s">
        <v>75</v>
      </c>
      <c r="U3719" s="308"/>
      <c r="V3719" s="312"/>
    </row>
    <row r="3720">
      <c r="A3720" s="308">
        <v>3719.0</v>
      </c>
      <c r="B3720" s="308"/>
      <c r="C3720" s="308" t="s">
        <v>15222</v>
      </c>
      <c r="D3720" s="308">
        <f>IFERROR(__xludf.DUMMYFUNCTION("SPLIT(C3720,""-"")"),3740.0)</f>
        <v>3740</v>
      </c>
      <c r="E3720" s="308" t="str">
        <f>IFERROR(__xludf.DUMMYFUNCTION("""COMPUTED_VALUE"""),"S")</f>
        <v>S</v>
      </c>
      <c r="F3720" s="312" t="s">
        <v>39</v>
      </c>
      <c r="G3720" s="308"/>
      <c r="H3720" s="308" t="s">
        <v>15223</v>
      </c>
      <c r="I3720" s="310">
        <v>41373.0</v>
      </c>
      <c r="J3720" s="319">
        <f>IFERROR(__xludf.DUMMYFUNCTION("SPLIT(I3720,""/"")"),9.0)</f>
        <v>9</v>
      </c>
      <c r="K3720" s="308">
        <f>IFERROR(__xludf.DUMMYFUNCTION("""COMPUTED_VALUE"""),4.0)</f>
        <v>4</v>
      </c>
      <c r="L3720" s="308">
        <f>IFERROR(__xludf.DUMMYFUNCTION("""COMPUTED_VALUE"""),2013.0)</f>
        <v>2013</v>
      </c>
      <c r="M3720" s="308" t="s">
        <v>15224</v>
      </c>
      <c r="N3720" s="308"/>
      <c r="O3720" s="308" t="s">
        <v>635</v>
      </c>
      <c r="P3720" s="308" t="s">
        <v>37167</v>
      </c>
      <c r="Q3720" s="308" t="s">
        <v>37166</v>
      </c>
      <c r="R3720" s="308" t="s">
        <v>2743</v>
      </c>
      <c r="S3720" s="308" t="s">
        <v>81</v>
      </c>
      <c r="T3720" s="308" t="s">
        <v>34264</v>
      </c>
      <c r="U3720" s="308" t="s">
        <v>166</v>
      </c>
      <c r="V3720" s="312"/>
    </row>
    <row r="3721">
      <c r="A3721" s="308">
        <v>3720.0</v>
      </c>
      <c r="B3721" s="308"/>
      <c r="C3721" s="308" t="s">
        <v>15226</v>
      </c>
      <c r="D3721" s="308">
        <f>IFERROR(__xludf.DUMMYFUNCTION("SPLIT(C3721,""-"")"),3741.0)</f>
        <v>3741</v>
      </c>
      <c r="E3721" s="308" t="str">
        <f>IFERROR(__xludf.DUMMYFUNCTION("""COMPUTED_VALUE"""),"K")</f>
        <v>K</v>
      </c>
      <c r="F3721" s="309" t="s">
        <v>34</v>
      </c>
      <c r="G3721" s="308"/>
      <c r="H3721" s="308" t="s">
        <v>15227</v>
      </c>
      <c r="I3721" s="310">
        <v>42611.0</v>
      </c>
      <c r="J3721" s="319">
        <f>IFERROR(__xludf.DUMMYFUNCTION("SPLIT(I3721,""/"")"),29.0)</f>
        <v>29</v>
      </c>
      <c r="K3721" s="308">
        <f>IFERROR(__xludf.DUMMYFUNCTION("""COMPUTED_VALUE"""),8.0)</f>
        <v>8</v>
      </c>
      <c r="L3721" s="308">
        <f>IFERROR(__xludf.DUMMYFUNCTION("""COMPUTED_VALUE"""),2016.0)</f>
        <v>2016</v>
      </c>
      <c r="M3721" s="308" t="s">
        <v>15228</v>
      </c>
      <c r="N3721" s="308"/>
      <c r="O3721" s="308" t="s">
        <v>15229</v>
      </c>
      <c r="P3721" s="308" t="s">
        <v>15230</v>
      </c>
      <c r="Q3721" s="308" t="s">
        <v>37168</v>
      </c>
      <c r="R3721" s="308" t="s">
        <v>2743</v>
      </c>
      <c r="S3721" s="308" t="s">
        <v>81</v>
      </c>
      <c r="T3721" s="335" t="s">
        <v>89</v>
      </c>
      <c r="U3721" s="308" t="s">
        <v>125</v>
      </c>
      <c r="V3721" s="312"/>
    </row>
    <row r="3722">
      <c r="A3722" s="308">
        <v>3721.0</v>
      </c>
      <c r="B3722" s="308"/>
      <c r="C3722" s="308" t="s">
        <v>15231</v>
      </c>
      <c r="D3722" s="308">
        <f>IFERROR(__xludf.DUMMYFUNCTION("SPLIT(C3722,""-"")"),3742.0)</f>
        <v>3742</v>
      </c>
      <c r="E3722" s="308" t="str">
        <f>IFERROR(__xludf.DUMMYFUNCTION("""COMPUTED_VALUE"""),"K")</f>
        <v>K</v>
      </c>
      <c r="F3722" s="309" t="s">
        <v>34</v>
      </c>
      <c r="G3722" s="308"/>
      <c r="H3722" s="308" t="s">
        <v>15232</v>
      </c>
      <c r="I3722" s="310">
        <v>42611.0</v>
      </c>
      <c r="J3722" s="319">
        <f>IFERROR(__xludf.DUMMYFUNCTION("SPLIT(I3722,""/"")"),29.0)</f>
        <v>29</v>
      </c>
      <c r="K3722" s="308">
        <f>IFERROR(__xludf.DUMMYFUNCTION("""COMPUTED_VALUE"""),8.0)</f>
        <v>8</v>
      </c>
      <c r="L3722" s="308">
        <f>IFERROR(__xludf.DUMMYFUNCTION("""COMPUTED_VALUE"""),2016.0)</f>
        <v>2016</v>
      </c>
      <c r="M3722" s="308" t="s">
        <v>15228</v>
      </c>
      <c r="N3722" s="308"/>
      <c r="O3722" s="308" t="s">
        <v>15229</v>
      </c>
      <c r="P3722" s="308" t="s">
        <v>15233</v>
      </c>
      <c r="Q3722" s="308" t="s">
        <v>37168</v>
      </c>
      <c r="R3722" s="308" t="s">
        <v>2743</v>
      </c>
      <c r="S3722" s="308" t="s">
        <v>81</v>
      </c>
      <c r="T3722" s="308" t="s">
        <v>34264</v>
      </c>
      <c r="U3722" s="308" t="s">
        <v>125</v>
      </c>
      <c r="V3722" s="312"/>
    </row>
    <row r="3723">
      <c r="A3723" s="308">
        <v>3722.0</v>
      </c>
      <c r="B3723" s="308"/>
      <c r="C3723" s="308" t="s">
        <v>15234</v>
      </c>
      <c r="D3723" s="308">
        <f>IFERROR(__xludf.DUMMYFUNCTION("SPLIT(C3723,""-"")"),3743.0)</f>
        <v>3743</v>
      </c>
      <c r="E3723" s="308" t="str">
        <f>IFERROR(__xludf.DUMMYFUNCTION("""COMPUTED_VALUE"""),"S")</f>
        <v>S</v>
      </c>
      <c r="F3723" s="312" t="s">
        <v>39</v>
      </c>
      <c r="G3723" s="308"/>
      <c r="H3723" s="308" t="s">
        <v>15235</v>
      </c>
      <c r="I3723" s="310">
        <v>41430.0</v>
      </c>
      <c r="J3723" s="319">
        <f>IFERROR(__xludf.DUMMYFUNCTION("SPLIT(I3723,""/"")"),5.0)</f>
        <v>5</v>
      </c>
      <c r="K3723" s="308">
        <f>IFERROR(__xludf.DUMMYFUNCTION("""COMPUTED_VALUE"""),6.0)</f>
        <v>6</v>
      </c>
      <c r="L3723" s="308">
        <f>IFERROR(__xludf.DUMMYFUNCTION("""COMPUTED_VALUE"""),2013.0)</f>
        <v>2013</v>
      </c>
      <c r="M3723" s="308" t="s">
        <v>37169</v>
      </c>
      <c r="N3723" s="308"/>
      <c r="O3723" s="308" t="s">
        <v>635</v>
      </c>
      <c r="P3723" s="308" t="s">
        <v>37170</v>
      </c>
      <c r="Q3723" s="308" t="s">
        <v>37168</v>
      </c>
      <c r="R3723" s="308" t="s">
        <v>2743</v>
      </c>
      <c r="S3723" s="308" t="s">
        <v>81</v>
      </c>
      <c r="T3723" s="308" t="s">
        <v>75</v>
      </c>
      <c r="U3723" s="308" t="s">
        <v>166</v>
      </c>
      <c r="V3723" s="312"/>
    </row>
    <row r="3724">
      <c r="A3724" s="308">
        <v>3723.0</v>
      </c>
      <c r="B3724" s="308"/>
      <c r="C3724" s="308" t="s">
        <v>15238</v>
      </c>
      <c r="D3724" s="308">
        <f>IFERROR(__xludf.DUMMYFUNCTION("SPLIT(C3724,""-"")"),3744.0)</f>
        <v>3744</v>
      </c>
      <c r="E3724" s="308" t="str">
        <f>IFERROR(__xludf.DUMMYFUNCTION("""COMPUTED_VALUE"""),"K")</f>
        <v>K</v>
      </c>
      <c r="F3724" s="309" t="s">
        <v>34</v>
      </c>
      <c r="G3724" s="308"/>
      <c r="H3724" s="308" t="s">
        <v>15239</v>
      </c>
      <c r="I3724" s="310">
        <v>42539.0</v>
      </c>
      <c r="J3724" s="319">
        <f>IFERROR(__xludf.DUMMYFUNCTION("SPLIT(I3724,""/"")"),18.0)</f>
        <v>18</v>
      </c>
      <c r="K3724" s="308">
        <f>IFERROR(__xludf.DUMMYFUNCTION("""COMPUTED_VALUE"""),6.0)</f>
        <v>6</v>
      </c>
      <c r="L3724" s="308">
        <f>IFERROR(__xludf.DUMMYFUNCTION("""COMPUTED_VALUE"""),2016.0)</f>
        <v>2016</v>
      </c>
      <c r="M3724" s="308" t="s">
        <v>15240</v>
      </c>
      <c r="N3724" s="308"/>
      <c r="O3724" s="308" t="s">
        <v>15241</v>
      </c>
      <c r="P3724" s="308" t="s">
        <v>15242</v>
      </c>
      <c r="Q3724" s="308" t="s">
        <v>37171</v>
      </c>
      <c r="R3724" s="308" t="s">
        <v>2743</v>
      </c>
      <c r="S3724" s="308" t="s">
        <v>81</v>
      </c>
      <c r="T3724" s="308" t="s">
        <v>98</v>
      </c>
      <c r="U3724" s="308"/>
      <c r="V3724" s="312"/>
    </row>
    <row r="3725">
      <c r="A3725" s="308">
        <v>3724.0</v>
      </c>
      <c r="B3725" s="308"/>
      <c r="C3725" s="308" t="s">
        <v>15243</v>
      </c>
      <c r="D3725" s="308">
        <f>IFERROR(__xludf.DUMMYFUNCTION("SPLIT(C3725,""-"")"),3745.0)</f>
        <v>3745</v>
      </c>
      <c r="E3725" s="308" t="str">
        <f>IFERROR(__xludf.DUMMYFUNCTION("""COMPUTED_VALUE"""),"P")</f>
        <v>P</v>
      </c>
      <c r="F3725" s="312" t="s">
        <v>37</v>
      </c>
      <c r="G3725" s="308"/>
      <c r="H3725" s="308" t="s">
        <v>15244</v>
      </c>
      <c r="I3725" s="310">
        <v>42711.0</v>
      </c>
      <c r="J3725" s="319">
        <f>IFERROR(__xludf.DUMMYFUNCTION("SPLIT(I3725,""/"")"),7.0)</f>
        <v>7</v>
      </c>
      <c r="K3725" s="308">
        <f>IFERROR(__xludf.DUMMYFUNCTION("""COMPUTED_VALUE"""),12.0)</f>
        <v>12</v>
      </c>
      <c r="L3725" s="308">
        <f>IFERROR(__xludf.DUMMYFUNCTION("""COMPUTED_VALUE"""),2016.0)</f>
        <v>2016</v>
      </c>
      <c r="M3725" s="308" t="s">
        <v>15245</v>
      </c>
      <c r="N3725" s="308"/>
      <c r="O3725" s="308"/>
      <c r="P3725" s="308" t="s">
        <v>15246</v>
      </c>
      <c r="Q3725" s="308" t="s">
        <v>37171</v>
      </c>
      <c r="R3725" s="308" t="s">
        <v>14911</v>
      </c>
      <c r="S3725" s="308" t="s">
        <v>81</v>
      </c>
      <c r="T3725" s="308" t="s">
        <v>75</v>
      </c>
      <c r="U3725" s="308"/>
      <c r="V3725" s="312"/>
    </row>
    <row r="3726">
      <c r="A3726" s="308">
        <v>3725.0</v>
      </c>
      <c r="B3726" s="308"/>
      <c r="C3726" s="308" t="s">
        <v>15247</v>
      </c>
      <c r="D3726" s="308">
        <f>IFERROR(__xludf.DUMMYFUNCTION("SPLIT(C3726,""-"")"),3746.0)</f>
        <v>3746</v>
      </c>
      <c r="E3726" s="308" t="str">
        <f>IFERROR(__xludf.DUMMYFUNCTION("""COMPUTED_VALUE"""),"S")</f>
        <v>S</v>
      </c>
      <c r="F3726" s="312" t="s">
        <v>39</v>
      </c>
      <c r="G3726" s="308"/>
      <c r="H3726" s="308" t="s">
        <v>15248</v>
      </c>
      <c r="I3726" s="310">
        <v>41685.0</v>
      </c>
      <c r="J3726" s="319">
        <f>IFERROR(__xludf.DUMMYFUNCTION("SPLIT(I3726,""/"")"),15.0)</f>
        <v>15</v>
      </c>
      <c r="K3726" s="308">
        <f>IFERROR(__xludf.DUMMYFUNCTION("""COMPUTED_VALUE"""),2.0)</f>
        <v>2</v>
      </c>
      <c r="L3726" s="308">
        <f>IFERROR(__xludf.DUMMYFUNCTION("""COMPUTED_VALUE"""),2014.0)</f>
        <v>2014</v>
      </c>
      <c r="M3726" s="308" t="s">
        <v>15249</v>
      </c>
      <c r="N3726" s="308"/>
      <c r="O3726" s="308" t="s">
        <v>15250</v>
      </c>
      <c r="P3726" s="308"/>
      <c r="Q3726" s="308" t="s">
        <v>37172</v>
      </c>
      <c r="R3726" s="308" t="s">
        <v>14911</v>
      </c>
      <c r="S3726" s="308" t="s">
        <v>79</v>
      </c>
      <c r="T3726" s="308" t="s">
        <v>79</v>
      </c>
      <c r="U3726" s="308" t="s">
        <v>40</v>
      </c>
      <c r="V3726" s="312"/>
    </row>
    <row r="3727">
      <c r="A3727" s="308">
        <v>3726.0</v>
      </c>
      <c r="B3727" s="308"/>
      <c r="C3727" s="308" t="s">
        <v>15251</v>
      </c>
      <c r="D3727" s="308">
        <f>IFERROR(__xludf.DUMMYFUNCTION("SPLIT(C3727,""-"")"),3747.0)</f>
        <v>3747</v>
      </c>
      <c r="E3727" s="308" t="str">
        <f>IFERROR(__xludf.DUMMYFUNCTION("""COMPUTED_VALUE"""),"P")</f>
        <v>P</v>
      </c>
      <c r="F3727" s="312" t="s">
        <v>37</v>
      </c>
      <c r="G3727" s="308"/>
      <c r="H3727" s="308" t="s">
        <v>15252</v>
      </c>
      <c r="I3727" s="310">
        <v>42683.0</v>
      </c>
      <c r="J3727" s="319">
        <f>IFERROR(__xludf.DUMMYFUNCTION("SPLIT(I3727,""/"")"),9.0)</f>
        <v>9</v>
      </c>
      <c r="K3727" s="308">
        <f>IFERROR(__xludf.DUMMYFUNCTION("""COMPUTED_VALUE"""),11.0)</f>
        <v>11</v>
      </c>
      <c r="L3727" s="308">
        <f>IFERROR(__xludf.DUMMYFUNCTION("""COMPUTED_VALUE"""),2016.0)</f>
        <v>2016</v>
      </c>
      <c r="M3727" s="308" t="s">
        <v>15253</v>
      </c>
      <c r="N3727" s="308"/>
      <c r="O3727" s="308" t="s">
        <v>635</v>
      </c>
      <c r="P3727" s="308" t="s">
        <v>15254</v>
      </c>
      <c r="Q3727" s="308" t="s">
        <v>37172</v>
      </c>
      <c r="R3727" s="308" t="s">
        <v>14911</v>
      </c>
      <c r="S3727" s="308" t="s">
        <v>81</v>
      </c>
      <c r="T3727" s="308" t="s">
        <v>73</v>
      </c>
      <c r="U3727" s="308"/>
      <c r="V3727" s="312"/>
    </row>
    <row r="3728">
      <c r="A3728" s="308">
        <v>3727.0</v>
      </c>
      <c r="B3728" s="308"/>
      <c r="C3728" s="308" t="s">
        <v>15255</v>
      </c>
      <c r="D3728" s="308">
        <f>IFERROR(__xludf.DUMMYFUNCTION("SPLIT(C3728,""-"")"),3748.0)</f>
        <v>3748</v>
      </c>
      <c r="E3728" s="308" t="str">
        <f>IFERROR(__xludf.DUMMYFUNCTION("""COMPUTED_VALUE"""),"P")</f>
        <v>P</v>
      </c>
      <c r="F3728" s="312" t="s">
        <v>37</v>
      </c>
      <c r="G3728" s="308"/>
      <c r="H3728" s="308" t="s">
        <v>15256</v>
      </c>
      <c r="I3728" s="310">
        <v>42593.0</v>
      </c>
      <c r="J3728" s="319">
        <f>IFERROR(__xludf.DUMMYFUNCTION("SPLIT(I3728,""/"")"),11.0)</f>
        <v>11</v>
      </c>
      <c r="K3728" s="308">
        <f>IFERROR(__xludf.DUMMYFUNCTION("""COMPUTED_VALUE"""),8.0)</f>
        <v>8</v>
      </c>
      <c r="L3728" s="308">
        <f>IFERROR(__xludf.DUMMYFUNCTION("""COMPUTED_VALUE"""),2016.0)</f>
        <v>2016</v>
      </c>
      <c r="M3728" s="308" t="s">
        <v>15257</v>
      </c>
      <c r="N3728" s="308"/>
      <c r="O3728" s="308" t="s">
        <v>635</v>
      </c>
      <c r="P3728" s="308" t="s">
        <v>15254</v>
      </c>
      <c r="Q3728" s="308" t="s">
        <v>37172</v>
      </c>
      <c r="R3728" s="308" t="s">
        <v>14911</v>
      </c>
      <c r="S3728" s="308" t="s">
        <v>81</v>
      </c>
      <c r="T3728" s="308" t="s">
        <v>73</v>
      </c>
      <c r="U3728" s="308"/>
      <c r="V3728" s="312"/>
    </row>
    <row r="3729">
      <c r="A3729" s="308">
        <v>3728.0</v>
      </c>
      <c r="B3729" s="308"/>
      <c r="C3729" s="308" t="s">
        <v>15258</v>
      </c>
      <c r="D3729" s="308">
        <f>IFERROR(__xludf.DUMMYFUNCTION("SPLIT(C3729,""-"")"),3749.0)</f>
        <v>3749</v>
      </c>
      <c r="E3729" s="308" t="str">
        <f>IFERROR(__xludf.DUMMYFUNCTION("""COMPUTED_VALUE"""),"P")</f>
        <v>P</v>
      </c>
      <c r="F3729" s="312" t="s">
        <v>37</v>
      </c>
      <c r="G3729" s="308"/>
      <c r="H3729" s="308" t="s">
        <v>15259</v>
      </c>
      <c r="I3729" s="310">
        <v>42712.0</v>
      </c>
      <c r="J3729" s="319">
        <f>IFERROR(__xludf.DUMMYFUNCTION("SPLIT(I3729,""/"")"),8.0)</f>
        <v>8</v>
      </c>
      <c r="K3729" s="308">
        <f>IFERROR(__xludf.DUMMYFUNCTION("""COMPUTED_VALUE"""),12.0)</f>
        <v>12</v>
      </c>
      <c r="L3729" s="308">
        <f>IFERROR(__xludf.DUMMYFUNCTION("""COMPUTED_VALUE"""),2016.0)</f>
        <v>2016</v>
      </c>
      <c r="M3729" s="308" t="s">
        <v>15260</v>
      </c>
      <c r="N3729" s="308"/>
      <c r="O3729" s="308"/>
      <c r="P3729" s="308" t="s">
        <v>15261</v>
      </c>
      <c r="Q3729" s="308" t="s">
        <v>37172</v>
      </c>
      <c r="R3729" s="308" t="s">
        <v>2743</v>
      </c>
      <c r="S3729" s="308" t="s">
        <v>81</v>
      </c>
      <c r="T3729" s="308" t="s">
        <v>75</v>
      </c>
      <c r="U3729" s="308" t="s">
        <v>4001</v>
      </c>
      <c r="V3729" s="312"/>
    </row>
    <row r="3730">
      <c r="A3730" s="308">
        <v>3729.0</v>
      </c>
      <c r="B3730" s="308"/>
      <c r="C3730" s="308" t="s">
        <v>15262</v>
      </c>
      <c r="D3730" s="308">
        <f>IFERROR(__xludf.DUMMYFUNCTION("SPLIT(C3730,""-"")"),3750.0)</f>
        <v>3750</v>
      </c>
      <c r="E3730" s="308" t="str">
        <f>IFERROR(__xludf.DUMMYFUNCTION("""COMPUTED_VALUE"""),"K")</f>
        <v>K</v>
      </c>
      <c r="F3730" s="309" t="s">
        <v>34</v>
      </c>
      <c r="G3730" s="308"/>
      <c r="H3730" s="308" t="s">
        <v>15263</v>
      </c>
      <c r="I3730" s="310">
        <v>42540.0</v>
      </c>
      <c r="J3730" s="319">
        <f>IFERROR(__xludf.DUMMYFUNCTION("SPLIT(I3730,""/"")"),19.0)</f>
        <v>19</v>
      </c>
      <c r="K3730" s="308">
        <f>IFERROR(__xludf.DUMMYFUNCTION("""COMPUTED_VALUE"""),6.0)</f>
        <v>6</v>
      </c>
      <c r="L3730" s="308">
        <f>IFERROR(__xludf.DUMMYFUNCTION("""COMPUTED_VALUE"""),2016.0)</f>
        <v>2016</v>
      </c>
      <c r="M3730" s="308" t="s">
        <v>15264</v>
      </c>
      <c r="N3730" s="308"/>
      <c r="O3730" s="308" t="s">
        <v>15265</v>
      </c>
      <c r="P3730" s="308" t="s">
        <v>15266</v>
      </c>
      <c r="Q3730" s="308" t="s">
        <v>37172</v>
      </c>
      <c r="R3730" s="308" t="s">
        <v>2743</v>
      </c>
      <c r="S3730" s="308" t="s">
        <v>81</v>
      </c>
      <c r="T3730" s="311" t="s">
        <v>51</v>
      </c>
      <c r="U3730" s="308"/>
      <c r="V3730" s="312"/>
    </row>
    <row r="3731">
      <c r="A3731" s="308">
        <v>3730.0</v>
      </c>
      <c r="B3731" s="308"/>
      <c r="C3731" s="308" t="s">
        <v>15267</v>
      </c>
      <c r="D3731" s="308">
        <f>IFERROR(__xludf.DUMMYFUNCTION("SPLIT(C3731,""-"")"),3751.0)</f>
        <v>3751</v>
      </c>
      <c r="E3731" s="308" t="str">
        <f>IFERROR(__xludf.DUMMYFUNCTION("""COMPUTED_VALUE"""),"K")</f>
        <v>K</v>
      </c>
      <c r="F3731" s="309" t="s">
        <v>34</v>
      </c>
      <c r="G3731" s="308"/>
      <c r="H3731" s="308" t="s">
        <v>15268</v>
      </c>
      <c r="I3731" s="310">
        <v>41287.0</v>
      </c>
      <c r="J3731" s="319">
        <f>IFERROR(__xludf.DUMMYFUNCTION("SPLIT(I3731,""/"")"),13.0)</f>
        <v>13</v>
      </c>
      <c r="K3731" s="308">
        <f>IFERROR(__xludf.DUMMYFUNCTION("""COMPUTED_VALUE"""),1.0)</f>
        <v>1</v>
      </c>
      <c r="L3731" s="308">
        <f>IFERROR(__xludf.DUMMYFUNCTION("""COMPUTED_VALUE"""),2013.0)</f>
        <v>2013</v>
      </c>
      <c r="M3731" s="308" t="s">
        <v>15269</v>
      </c>
      <c r="N3731" s="308"/>
      <c r="O3731" s="308" t="s">
        <v>15270</v>
      </c>
      <c r="P3731" s="308" t="s">
        <v>37173</v>
      </c>
      <c r="Q3731" s="308" t="s">
        <v>37172</v>
      </c>
      <c r="R3731" s="308" t="s">
        <v>2743</v>
      </c>
      <c r="S3731" s="308" t="s">
        <v>81</v>
      </c>
      <c r="T3731" s="308" t="s">
        <v>34264</v>
      </c>
      <c r="U3731" s="308" t="s">
        <v>37174</v>
      </c>
      <c r="V3731" s="312"/>
    </row>
    <row r="3732">
      <c r="A3732" s="308">
        <v>3731.0</v>
      </c>
      <c r="B3732" s="308"/>
      <c r="C3732" s="308" t="s">
        <v>15273</v>
      </c>
      <c r="D3732" s="308">
        <f>IFERROR(__xludf.DUMMYFUNCTION("SPLIT(C3732,""-"")"),3752.0)</f>
        <v>3752</v>
      </c>
      <c r="E3732" s="308" t="str">
        <f>IFERROR(__xludf.DUMMYFUNCTION("""COMPUTED_VALUE"""),"K")</f>
        <v>K</v>
      </c>
      <c r="F3732" s="309" t="s">
        <v>34</v>
      </c>
      <c r="G3732" s="308"/>
      <c r="H3732" s="308" t="s">
        <v>15274</v>
      </c>
      <c r="I3732" s="325">
        <v>39965.0</v>
      </c>
      <c r="J3732" s="319"/>
      <c r="K3732" s="311">
        <v>6.0</v>
      </c>
      <c r="L3732" s="311">
        <v>2009.0</v>
      </c>
      <c r="M3732" s="308" t="s">
        <v>15275</v>
      </c>
      <c r="N3732" s="308"/>
      <c r="O3732" s="308" t="s">
        <v>15276</v>
      </c>
      <c r="P3732" s="308" t="s">
        <v>6381</v>
      </c>
      <c r="Q3732" s="308" t="s">
        <v>37172</v>
      </c>
      <c r="R3732" s="308" t="s">
        <v>2743</v>
      </c>
      <c r="S3732" s="315" t="s">
        <v>100</v>
      </c>
      <c r="T3732" s="311" t="s">
        <v>34208</v>
      </c>
      <c r="U3732" s="308" t="s">
        <v>201</v>
      </c>
      <c r="V3732" s="312"/>
    </row>
    <row r="3733">
      <c r="A3733" s="308">
        <v>3732.0</v>
      </c>
      <c r="B3733" s="308"/>
      <c r="C3733" s="308" t="s">
        <v>15277</v>
      </c>
      <c r="D3733" s="308">
        <f>IFERROR(__xludf.DUMMYFUNCTION("SPLIT(C3733,""-"")"),3753.0)</f>
        <v>3753</v>
      </c>
      <c r="E3733" s="308" t="str">
        <f>IFERROR(__xludf.DUMMYFUNCTION("""COMPUTED_VALUE"""),"K")</f>
        <v>K</v>
      </c>
      <c r="F3733" s="309" t="s">
        <v>34</v>
      </c>
      <c r="G3733" s="308"/>
      <c r="H3733" s="308" t="s">
        <v>37175</v>
      </c>
      <c r="I3733" s="314">
        <v>42691.0</v>
      </c>
      <c r="J3733" s="319">
        <f>IFERROR(__xludf.DUMMYFUNCTION("SPLIT(I3733,""/"")"),17.0)</f>
        <v>17</v>
      </c>
      <c r="K3733" s="308">
        <f>IFERROR(__xludf.DUMMYFUNCTION("""COMPUTED_VALUE"""),11.0)</f>
        <v>11</v>
      </c>
      <c r="L3733" s="308">
        <f>IFERROR(__xludf.DUMMYFUNCTION("""COMPUTED_VALUE"""),2016.0)</f>
        <v>2016</v>
      </c>
      <c r="M3733" s="308" t="s">
        <v>15279</v>
      </c>
      <c r="N3733" s="308"/>
      <c r="O3733" s="308" t="s">
        <v>15280</v>
      </c>
      <c r="P3733" s="308" t="s">
        <v>15281</v>
      </c>
      <c r="Q3733" s="308" t="s">
        <v>37176</v>
      </c>
      <c r="R3733" s="308" t="s">
        <v>2743</v>
      </c>
      <c r="S3733" s="308" t="s">
        <v>81</v>
      </c>
      <c r="T3733" s="311" t="s">
        <v>96</v>
      </c>
      <c r="U3733" s="308" t="s">
        <v>872</v>
      </c>
      <c r="V3733" s="312"/>
    </row>
    <row r="3734">
      <c r="A3734" s="308">
        <v>3733.0</v>
      </c>
      <c r="B3734" s="308"/>
      <c r="C3734" s="308" t="s">
        <v>15282</v>
      </c>
      <c r="D3734" s="308">
        <f>IFERROR(__xludf.DUMMYFUNCTION("SPLIT(C3734,""-"")"),3754.0)</f>
        <v>3754</v>
      </c>
      <c r="E3734" s="308" t="str">
        <f>IFERROR(__xludf.DUMMYFUNCTION("""COMPUTED_VALUE"""),"I")</f>
        <v>I</v>
      </c>
      <c r="F3734" s="309" t="s">
        <v>31</v>
      </c>
      <c r="G3734" s="308"/>
      <c r="H3734" s="308" t="s">
        <v>15283</v>
      </c>
      <c r="I3734" s="310">
        <v>42499.0</v>
      </c>
      <c r="J3734" s="319">
        <f>IFERROR(__xludf.DUMMYFUNCTION("SPLIT(I3734,""/"")"),9.0)</f>
        <v>9</v>
      </c>
      <c r="K3734" s="308">
        <f>IFERROR(__xludf.DUMMYFUNCTION("""COMPUTED_VALUE"""),5.0)</f>
        <v>5</v>
      </c>
      <c r="L3734" s="308">
        <f>IFERROR(__xludf.DUMMYFUNCTION("""COMPUTED_VALUE"""),2016.0)</f>
        <v>2016</v>
      </c>
      <c r="M3734" s="308" t="s">
        <v>15284</v>
      </c>
      <c r="N3734" s="308"/>
      <c r="O3734" s="308" t="s">
        <v>15285</v>
      </c>
      <c r="P3734" s="308" t="s">
        <v>37177</v>
      </c>
      <c r="Q3734" s="308" t="s">
        <v>37176</v>
      </c>
      <c r="R3734" s="308" t="s">
        <v>14911</v>
      </c>
      <c r="S3734" s="308" t="s">
        <v>81</v>
      </c>
      <c r="T3734" s="311" t="s">
        <v>75</v>
      </c>
      <c r="U3734" s="308" t="s">
        <v>31</v>
      </c>
      <c r="V3734" s="312"/>
    </row>
    <row r="3735">
      <c r="A3735" s="308">
        <v>3734.0</v>
      </c>
      <c r="B3735" s="308"/>
      <c r="C3735" s="308" t="s">
        <v>15287</v>
      </c>
      <c r="D3735" s="308">
        <f>IFERROR(__xludf.DUMMYFUNCTION("SPLIT(C3735,""-"")"),3755.0)</f>
        <v>3755</v>
      </c>
      <c r="E3735" s="308" t="str">
        <f>IFERROR(__xludf.DUMMYFUNCTION("""COMPUTED_VALUE"""),"I")</f>
        <v>I</v>
      </c>
      <c r="F3735" s="309" t="s">
        <v>31</v>
      </c>
      <c r="G3735" s="308"/>
      <c r="H3735" s="308" t="s">
        <v>15288</v>
      </c>
      <c r="I3735" s="310">
        <v>42499.0</v>
      </c>
      <c r="J3735" s="319">
        <f>IFERROR(__xludf.DUMMYFUNCTION("SPLIT(I3735,""/"")"),9.0)</f>
        <v>9</v>
      </c>
      <c r="K3735" s="308">
        <f>IFERROR(__xludf.DUMMYFUNCTION("""COMPUTED_VALUE"""),5.0)</f>
        <v>5</v>
      </c>
      <c r="L3735" s="308">
        <f>IFERROR(__xludf.DUMMYFUNCTION("""COMPUTED_VALUE"""),2016.0)</f>
        <v>2016</v>
      </c>
      <c r="M3735" s="308" t="s">
        <v>14947</v>
      </c>
      <c r="N3735" s="308"/>
      <c r="O3735" s="308" t="s">
        <v>15289</v>
      </c>
      <c r="P3735" s="308" t="s">
        <v>15290</v>
      </c>
      <c r="Q3735" s="308" t="s">
        <v>37176</v>
      </c>
      <c r="R3735" s="308" t="s">
        <v>14911</v>
      </c>
      <c r="S3735" s="308" t="s">
        <v>81</v>
      </c>
      <c r="T3735" s="308" t="s">
        <v>75</v>
      </c>
      <c r="U3735" s="308" t="s">
        <v>31</v>
      </c>
      <c r="V3735" s="312"/>
    </row>
    <row r="3736">
      <c r="A3736" s="308">
        <v>3735.0</v>
      </c>
      <c r="B3736" s="308"/>
      <c r="C3736" s="308" t="s">
        <v>15291</v>
      </c>
      <c r="D3736" s="308">
        <f>IFERROR(__xludf.DUMMYFUNCTION("SPLIT(C3736,""-"")"),3756.0)</f>
        <v>3756</v>
      </c>
      <c r="E3736" s="308" t="str">
        <f>IFERROR(__xludf.DUMMYFUNCTION("""COMPUTED_VALUE"""),"K")</f>
        <v>K</v>
      </c>
      <c r="F3736" s="309" t="s">
        <v>34</v>
      </c>
      <c r="G3736" s="308"/>
      <c r="H3736" s="308" t="s">
        <v>15292</v>
      </c>
      <c r="I3736" s="310">
        <v>41299.0</v>
      </c>
      <c r="J3736" s="319">
        <f>IFERROR(__xludf.DUMMYFUNCTION("SPLIT(I3736,""/"")"),25.0)</f>
        <v>25</v>
      </c>
      <c r="K3736" s="308">
        <f>IFERROR(__xludf.DUMMYFUNCTION("""COMPUTED_VALUE"""),1.0)</f>
        <v>1</v>
      </c>
      <c r="L3736" s="308">
        <f>IFERROR(__xludf.DUMMYFUNCTION("""COMPUTED_VALUE"""),2013.0)</f>
        <v>2013</v>
      </c>
      <c r="M3736" s="308" t="s">
        <v>15293</v>
      </c>
      <c r="N3736" s="308"/>
      <c r="O3736" s="308" t="s">
        <v>15294</v>
      </c>
      <c r="P3736" s="308" t="s">
        <v>36894</v>
      </c>
      <c r="Q3736" s="308" t="s">
        <v>37176</v>
      </c>
      <c r="R3736" s="308" t="s">
        <v>14911</v>
      </c>
      <c r="S3736" s="315" t="s">
        <v>100</v>
      </c>
      <c r="T3736" s="311" t="s">
        <v>34208</v>
      </c>
      <c r="U3736" s="308" t="s">
        <v>125</v>
      </c>
      <c r="V3736" s="312"/>
    </row>
    <row r="3737">
      <c r="A3737" s="308">
        <v>3736.0</v>
      </c>
      <c r="B3737" s="308"/>
      <c r="C3737" s="308" t="s">
        <v>15295</v>
      </c>
      <c r="D3737" s="308">
        <f>IFERROR(__xludf.DUMMYFUNCTION("SPLIT(C3737,""-"")"),3757.0)</f>
        <v>3757</v>
      </c>
      <c r="E3737" s="308" t="str">
        <f>IFERROR(__xludf.DUMMYFUNCTION("""COMPUTED_VALUE"""),"K")</f>
        <v>K</v>
      </c>
      <c r="F3737" s="309" t="s">
        <v>34</v>
      </c>
      <c r="G3737" s="308"/>
      <c r="H3737" s="308" t="s">
        <v>15296</v>
      </c>
      <c r="I3737" s="310">
        <v>41299.0</v>
      </c>
      <c r="J3737" s="319">
        <f>IFERROR(__xludf.DUMMYFUNCTION("SPLIT(I3737,""/"")"),25.0)</f>
        <v>25</v>
      </c>
      <c r="K3737" s="308">
        <f>IFERROR(__xludf.DUMMYFUNCTION("""COMPUTED_VALUE"""),1.0)</f>
        <v>1</v>
      </c>
      <c r="L3737" s="308">
        <f>IFERROR(__xludf.DUMMYFUNCTION("""COMPUTED_VALUE"""),2013.0)</f>
        <v>2013</v>
      </c>
      <c r="M3737" s="308" t="s">
        <v>15293</v>
      </c>
      <c r="N3737" s="308"/>
      <c r="O3737" s="308" t="s">
        <v>15294</v>
      </c>
      <c r="P3737" s="308" t="s">
        <v>36894</v>
      </c>
      <c r="Q3737" s="308" t="s">
        <v>37176</v>
      </c>
      <c r="R3737" s="308" t="s">
        <v>14911</v>
      </c>
      <c r="S3737" s="315" t="s">
        <v>100</v>
      </c>
      <c r="T3737" s="311" t="s">
        <v>34208</v>
      </c>
      <c r="U3737" s="308" t="s">
        <v>125</v>
      </c>
      <c r="V3737" s="312"/>
    </row>
    <row r="3738">
      <c r="A3738" s="308">
        <v>3737.0</v>
      </c>
      <c r="B3738" s="308"/>
      <c r="C3738" s="308" t="s">
        <v>15297</v>
      </c>
      <c r="D3738" s="308">
        <f>IFERROR(__xludf.DUMMYFUNCTION("SPLIT(C3738,""-"")"),3758.0)</f>
        <v>3758</v>
      </c>
      <c r="E3738" s="308" t="str">
        <f>IFERROR(__xludf.DUMMYFUNCTION("""COMPUTED_VALUE"""),"P")</f>
        <v>P</v>
      </c>
      <c r="F3738" s="312" t="s">
        <v>37</v>
      </c>
      <c r="G3738" s="308"/>
      <c r="H3738" s="308" t="s">
        <v>15298</v>
      </c>
      <c r="I3738" s="314">
        <v>38272.0</v>
      </c>
      <c r="J3738" s="319">
        <f>IFERROR(__xludf.DUMMYFUNCTION("SPLIT(I3738,""/"")"),12.0)</f>
        <v>12</v>
      </c>
      <c r="K3738" s="308">
        <f>IFERROR(__xludf.DUMMYFUNCTION("""COMPUTED_VALUE"""),10.0)</f>
        <v>10</v>
      </c>
      <c r="L3738" s="308">
        <f>IFERROR(__xludf.DUMMYFUNCTION("""COMPUTED_VALUE"""),2004.0)</f>
        <v>2004</v>
      </c>
      <c r="M3738" s="308" t="s">
        <v>15299</v>
      </c>
      <c r="N3738" s="308"/>
      <c r="O3738" s="308" t="s">
        <v>15300</v>
      </c>
      <c r="P3738" s="308" t="s">
        <v>37178</v>
      </c>
      <c r="Q3738" s="308" t="s">
        <v>37179</v>
      </c>
      <c r="R3738" s="308" t="s">
        <v>2743</v>
      </c>
      <c r="S3738" s="308" t="s">
        <v>49</v>
      </c>
      <c r="T3738" s="311" t="s">
        <v>51</v>
      </c>
      <c r="U3738" s="308" t="s">
        <v>2748</v>
      </c>
      <c r="V3738" s="312"/>
    </row>
    <row r="3739">
      <c r="A3739" s="308">
        <v>3738.0</v>
      </c>
      <c r="B3739" s="308"/>
      <c r="C3739" s="308" t="s">
        <v>15302</v>
      </c>
      <c r="D3739" s="308">
        <f>IFERROR(__xludf.DUMMYFUNCTION("SPLIT(C3739,""-"")"),3759.0)</f>
        <v>3759</v>
      </c>
      <c r="E3739" s="308" t="str">
        <f>IFERROR(__xludf.DUMMYFUNCTION("""COMPUTED_VALUE"""),"B")</f>
        <v>B</v>
      </c>
      <c r="F3739" s="315" t="s">
        <v>26</v>
      </c>
      <c r="G3739" s="308"/>
      <c r="H3739" s="308" t="s">
        <v>15303</v>
      </c>
      <c r="I3739" s="310">
        <v>42647.0</v>
      </c>
      <c r="J3739" s="319">
        <f>IFERROR(__xludf.DUMMYFUNCTION("SPLIT(I3739,""/"")"),4.0)</f>
        <v>4</v>
      </c>
      <c r="K3739" s="308">
        <f>IFERROR(__xludf.DUMMYFUNCTION("""COMPUTED_VALUE"""),10.0)</f>
        <v>10</v>
      </c>
      <c r="L3739" s="308">
        <f>IFERROR(__xludf.DUMMYFUNCTION("""COMPUTED_VALUE"""),2016.0)</f>
        <v>2016</v>
      </c>
      <c r="M3739" s="308" t="s">
        <v>15304</v>
      </c>
      <c r="N3739" s="308"/>
      <c r="O3739" s="308" t="s">
        <v>37106</v>
      </c>
      <c r="P3739" s="308" t="s">
        <v>13358</v>
      </c>
      <c r="Q3739" s="308" t="s">
        <v>37180</v>
      </c>
      <c r="R3739" s="308" t="s">
        <v>14256</v>
      </c>
      <c r="S3739" s="315" t="s">
        <v>100</v>
      </c>
      <c r="T3739" s="311" t="s">
        <v>34208</v>
      </c>
      <c r="U3739" s="308" t="s">
        <v>27</v>
      </c>
      <c r="V3739" s="312"/>
    </row>
    <row r="3740">
      <c r="A3740" s="308">
        <v>3739.0</v>
      </c>
      <c r="B3740" s="308"/>
      <c r="C3740" s="308" t="s">
        <v>15305</v>
      </c>
      <c r="D3740" s="308">
        <f>IFERROR(__xludf.DUMMYFUNCTION("SPLIT(C3740,""-"")"),3760.0)</f>
        <v>3760</v>
      </c>
      <c r="E3740" s="308" t="str">
        <f>IFERROR(__xludf.DUMMYFUNCTION("""COMPUTED_VALUE"""),"I")</f>
        <v>I</v>
      </c>
      <c r="F3740" s="309" t="s">
        <v>31</v>
      </c>
      <c r="G3740" s="308"/>
      <c r="H3740" s="308" t="s">
        <v>15306</v>
      </c>
      <c r="I3740" s="314">
        <v>42690.0</v>
      </c>
      <c r="J3740" s="319">
        <f>IFERROR(__xludf.DUMMYFUNCTION("SPLIT(I3740,""/"")"),16.0)</f>
        <v>16</v>
      </c>
      <c r="K3740" s="308">
        <f>IFERROR(__xludf.DUMMYFUNCTION("""COMPUTED_VALUE"""),11.0)</f>
        <v>11</v>
      </c>
      <c r="L3740" s="308">
        <f>IFERROR(__xludf.DUMMYFUNCTION("""COMPUTED_VALUE"""),2016.0)</f>
        <v>2016</v>
      </c>
      <c r="M3740" s="308" t="s">
        <v>15307</v>
      </c>
      <c r="N3740" s="308"/>
      <c r="O3740" s="308" t="s">
        <v>635</v>
      </c>
      <c r="P3740" s="308" t="s">
        <v>15308</v>
      </c>
      <c r="Q3740" s="308" t="s">
        <v>37180</v>
      </c>
      <c r="R3740" s="308" t="s">
        <v>2743</v>
      </c>
      <c r="S3740" s="308" t="s">
        <v>81</v>
      </c>
      <c r="T3740" s="311" t="s">
        <v>51</v>
      </c>
      <c r="U3740" s="308"/>
      <c r="V3740" s="312"/>
    </row>
    <row r="3741">
      <c r="A3741" s="308">
        <v>3740.0</v>
      </c>
      <c r="B3741" s="308"/>
      <c r="C3741" s="308" t="s">
        <v>15309</v>
      </c>
      <c r="D3741" s="308">
        <f>IFERROR(__xludf.DUMMYFUNCTION("SPLIT(C3741,""-"")"),3761.0)</f>
        <v>3761</v>
      </c>
      <c r="E3741" s="308" t="str">
        <f>IFERROR(__xludf.DUMMYFUNCTION("""COMPUTED_VALUE"""),"GB")</f>
        <v>GB</v>
      </c>
      <c r="F3741" s="315" t="s">
        <v>29</v>
      </c>
      <c r="G3741" s="308"/>
      <c r="H3741" s="308" t="s">
        <v>15310</v>
      </c>
      <c r="I3741" s="310">
        <v>42567.0</v>
      </c>
      <c r="J3741" s="319">
        <f>IFERROR(__xludf.DUMMYFUNCTION("SPLIT(I3741,""/"")"),16.0)</f>
        <v>16</v>
      </c>
      <c r="K3741" s="308">
        <f>IFERROR(__xludf.DUMMYFUNCTION("""COMPUTED_VALUE"""),7.0)</f>
        <v>7</v>
      </c>
      <c r="L3741" s="308">
        <f>IFERROR(__xludf.DUMMYFUNCTION("""COMPUTED_VALUE"""),2016.0)</f>
        <v>2016</v>
      </c>
      <c r="M3741" s="308" t="s">
        <v>15311</v>
      </c>
      <c r="N3741" s="308"/>
      <c r="O3741" s="308"/>
      <c r="P3741" s="308" t="s">
        <v>37181</v>
      </c>
      <c r="Q3741" s="308" t="s">
        <v>37180</v>
      </c>
      <c r="R3741" s="308" t="s">
        <v>2743</v>
      </c>
      <c r="S3741" s="315" t="s">
        <v>100</v>
      </c>
      <c r="T3741" s="311" t="s">
        <v>34208</v>
      </c>
      <c r="U3741" s="308" t="s">
        <v>3528</v>
      </c>
      <c r="V3741" s="312"/>
    </row>
    <row r="3742">
      <c r="A3742" s="308">
        <v>3741.0</v>
      </c>
      <c r="B3742" s="308"/>
      <c r="C3742" s="308" t="s">
        <v>15313</v>
      </c>
      <c r="D3742" s="308">
        <f>IFERROR(__xludf.DUMMYFUNCTION("SPLIT(C3742,""-"")"),3762.0)</f>
        <v>3762</v>
      </c>
      <c r="E3742" s="308" t="str">
        <f>IFERROR(__xludf.DUMMYFUNCTION("""COMPUTED_VALUE"""),"GB")</f>
        <v>GB</v>
      </c>
      <c r="F3742" s="315" t="s">
        <v>29</v>
      </c>
      <c r="G3742" s="308"/>
      <c r="H3742" s="308" t="s">
        <v>15314</v>
      </c>
      <c r="I3742" s="310">
        <v>42567.0</v>
      </c>
      <c r="J3742" s="319">
        <f>IFERROR(__xludf.DUMMYFUNCTION("SPLIT(I3742,""/"")"),16.0)</f>
        <v>16</v>
      </c>
      <c r="K3742" s="308">
        <f>IFERROR(__xludf.DUMMYFUNCTION("""COMPUTED_VALUE"""),7.0)</f>
        <v>7</v>
      </c>
      <c r="L3742" s="308">
        <f>IFERROR(__xludf.DUMMYFUNCTION("""COMPUTED_VALUE"""),2016.0)</f>
        <v>2016</v>
      </c>
      <c r="M3742" s="308" t="s">
        <v>15315</v>
      </c>
      <c r="N3742" s="308"/>
      <c r="O3742" s="308"/>
      <c r="P3742" s="308" t="s">
        <v>37181</v>
      </c>
      <c r="Q3742" s="308" t="s">
        <v>37180</v>
      </c>
      <c r="R3742" s="308" t="s">
        <v>2743</v>
      </c>
      <c r="S3742" s="315" t="s">
        <v>100</v>
      </c>
      <c r="T3742" s="311" t="s">
        <v>34208</v>
      </c>
      <c r="U3742" s="308" t="s">
        <v>3528</v>
      </c>
      <c r="V3742" s="312"/>
    </row>
    <row r="3743">
      <c r="A3743" s="308">
        <v>3742.0</v>
      </c>
      <c r="B3743" s="308"/>
      <c r="C3743" s="308" t="s">
        <v>15316</v>
      </c>
      <c r="D3743" s="308">
        <f>IFERROR(__xludf.DUMMYFUNCTION("SPLIT(C3743,""-"")"),3763.0)</f>
        <v>3763</v>
      </c>
      <c r="E3743" s="308" t="str">
        <f>IFERROR(__xludf.DUMMYFUNCTION("""COMPUTED_VALUE"""),"B")</f>
        <v>B</v>
      </c>
      <c r="F3743" s="315" t="s">
        <v>26</v>
      </c>
      <c r="G3743" s="308"/>
      <c r="H3743" s="308" t="s">
        <v>15317</v>
      </c>
      <c r="I3743" s="310">
        <v>41381.0</v>
      </c>
      <c r="J3743" s="319">
        <f>IFERROR(__xludf.DUMMYFUNCTION("SPLIT(I3743,""/"")"),17.0)</f>
        <v>17</v>
      </c>
      <c r="K3743" s="308">
        <f>IFERROR(__xludf.DUMMYFUNCTION("""COMPUTED_VALUE"""),4.0)</f>
        <v>4</v>
      </c>
      <c r="L3743" s="308">
        <f>IFERROR(__xludf.DUMMYFUNCTION("""COMPUTED_VALUE"""),2013.0)</f>
        <v>2013</v>
      </c>
      <c r="M3743" s="308" t="s">
        <v>15318</v>
      </c>
      <c r="N3743" s="308"/>
      <c r="O3743" s="308" t="s">
        <v>15319</v>
      </c>
      <c r="P3743" s="308" t="s">
        <v>37182</v>
      </c>
      <c r="Q3743" s="308" t="s">
        <v>37180</v>
      </c>
      <c r="R3743" s="308" t="s">
        <v>2743</v>
      </c>
      <c r="S3743" s="308" t="s">
        <v>49</v>
      </c>
      <c r="T3743" s="308" t="s">
        <v>51</v>
      </c>
      <c r="U3743" s="308" t="s">
        <v>27</v>
      </c>
      <c r="V3743" s="312"/>
    </row>
    <row r="3744">
      <c r="A3744" s="308">
        <v>3743.0</v>
      </c>
      <c r="B3744" s="308"/>
      <c r="C3744" s="308" t="s">
        <v>15321</v>
      </c>
      <c r="D3744" s="308">
        <f>IFERROR(__xludf.DUMMYFUNCTION("SPLIT(C3744,""-"")"),3764.0)</f>
        <v>3764</v>
      </c>
      <c r="E3744" s="308" t="str">
        <f>IFERROR(__xludf.DUMMYFUNCTION("""COMPUTED_VALUE"""),"K")</f>
        <v>K</v>
      </c>
      <c r="F3744" s="309" t="s">
        <v>34</v>
      </c>
      <c r="G3744" s="308"/>
      <c r="H3744" s="308" t="s">
        <v>15322</v>
      </c>
      <c r="I3744" s="314">
        <v>42719.0</v>
      </c>
      <c r="J3744" s="319">
        <f>IFERROR(__xludf.DUMMYFUNCTION("SPLIT(I3744,""/"")"),15.0)</f>
        <v>15</v>
      </c>
      <c r="K3744" s="308">
        <f>IFERROR(__xludf.DUMMYFUNCTION("""COMPUTED_VALUE"""),12.0)</f>
        <v>12</v>
      </c>
      <c r="L3744" s="308">
        <f>IFERROR(__xludf.DUMMYFUNCTION("""COMPUTED_VALUE"""),2016.0)</f>
        <v>2016</v>
      </c>
      <c r="M3744" s="308" t="s">
        <v>15323</v>
      </c>
      <c r="N3744" s="308" t="s">
        <v>15324</v>
      </c>
      <c r="O3744" s="308" t="s">
        <v>15325</v>
      </c>
      <c r="P3744" s="308" t="s">
        <v>36761</v>
      </c>
      <c r="Q3744" s="308" t="s">
        <v>37183</v>
      </c>
      <c r="R3744" s="308" t="s">
        <v>2743</v>
      </c>
      <c r="S3744" s="315" t="s">
        <v>100</v>
      </c>
      <c r="T3744" s="311" t="s">
        <v>34208</v>
      </c>
      <c r="U3744" s="308" t="s">
        <v>2152</v>
      </c>
      <c r="V3744" s="312"/>
    </row>
    <row r="3745">
      <c r="A3745" s="308">
        <v>3744.0</v>
      </c>
      <c r="B3745" s="308"/>
      <c r="C3745" s="308" t="s">
        <v>15326</v>
      </c>
      <c r="D3745" s="308">
        <f>IFERROR(__xludf.DUMMYFUNCTION("SPLIT(C3745,""-"")"),3765.0)</f>
        <v>3765</v>
      </c>
      <c r="E3745" s="308" t="str">
        <f>IFERROR(__xludf.DUMMYFUNCTION("""COMPUTED_VALUE"""),"K")</f>
        <v>K</v>
      </c>
      <c r="F3745" s="309" t="s">
        <v>34</v>
      </c>
      <c r="G3745" s="308"/>
      <c r="H3745" s="308" t="s">
        <v>15327</v>
      </c>
      <c r="I3745" s="310">
        <v>42539.0</v>
      </c>
      <c r="J3745" s="319">
        <f>IFERROR(__xludf.DUMMYFUNCTION("SPLIT(I3745,""/"")"),18.0)</f>
        <v>18</v>
      </c>
      <c r="K3745" s="308">
        <f>IFERROR(__xludf.DUMMYFUNCTION("""COMPUTED_VALUE"""),6.0)</f>
        <v>6</v>
      </c>
      <c r="L3745" s="308">
        <f>IFERROR(__xludf.DUMMYFUNCTION("""COMPUTED_VALUE"""),2016.0)</f>
        <v>2016</v>
      </c>
      <c r="M3745" s="308" t="s">
        <v>15328</v>
      </c>
      <c r="N3745" s="308"/>
      <c r="O3745" s="308" t="s">
        <v>635</v>
      </c>
      <c r="P3745" s="308" t="s">
        <v>15329</v>
      </c>
      <c r="Q3745" s="308" t="s">
        <v>37183</v>
      </c>
      <c r="R3745" s="308" t="s">
        <v>2743</v>
      </c>
      <c r="S3745" s="308" t="s">
        <v>81</v>
      </c>
      <c r="T3745" s="308" t="s">
        <v>34264</v>
      </c>
      <c r="U3745" s="308"/>
      <c r="V3745" s="312"/>
    </row>
    <row r="3746">
      <c r="A3746" s="308">
        <v>3745.0</v>
      </c>
      <c r="B3746" s="308"/>
      <c r="C3746" s="308" t="s">
        <v>15330</v>
      </c>
      <c r="D3746" s="308">
        <f>IFERROR(__xludf.DUMMYFUNCTION("SPLIT(C3746,""-"")"),3766.0)</f>
        <v>3766</v>
      </c>
      <c r="E3746" s="308" t="str">
        <f>IFERROR(__xludf.DUMMYFUNCTION("""COMPUTED_VALUE"""),"K")</f>
        <v>K</v>
      </c>
      <c r="F3746" s="309" t="s">
        <v>34</v>
      </c>
      <c r="G3746" s="308"/>
      <c r="H3746" s="308" t="s">
        <v>15331</v>
      </c>
      <c r="I3746" s="314">
        <v>42661.0</v>
      </c>
      <c r="J3746" s="319">
        <f>IFERROR(__xludf.DUMMYFUNCTION("SPLIT(I3746,""/"")"),18.0)</f>
        <v>18</v>
      </c>
      <c r="K3746" s="308">
        <f>IFERROR(__xludf.DUMMYFUNCTION("""COMPUTED_VALUE"""),10.0)</f>
        <v>10</v>
      </c>
      <c r="L3746" s="308">
        <f>IFERROR(__xludf.DUMMYFUNCTION("""COMPUTED_VALUE"""),2016.0)</f>
        <v>2016</v>
      </c>
      <c r="M3746" s="308" t="s">
        <v>15332</v>
      </c>
      <c r="N3746" s="308"/>
      <c r="O3746" s="308" t="s">
        <v>635</v>
      </c>
      <c r="P3746" s="308" t="s">
        <v>15333</v>
      </c>
      <c r="Q3746" s="308" t="s">
        <v>37183</v>
      </c>
      <c r="R3746" s="308" t="s">
        <v>2743</v>
      </c>
      <c r="S3746" s="308" t="s">
        <v>81</v>
      </c>
      <c r="T3746" s="308" t="s">
        <v>34264</v>
      </c>
      <c r="U3746" s="308"/>
      <c r="V3746" s="312"/>
    </row>
    <row r="3747">
      <c r="A3747" s="308">
        <v>3746.0</v>
      </c>
      <c r="B3747" s="308"/>
      <c r="C3747" s="308" t="s">
        <v>15334</v>
      </c>
      <c r="D3747" s="308">
        <f>IFERROR(__xludf.DUMMYFUNCTION("SPLIT(C3747,""-"")"),3767.0)</f>
        <v>3767</v>
      </c>
      <c r="E3747" s="308" t="str">
        <f>IFERROR(__xludf.DUMMYFUNCTION("""COMPUTED_VALUE"""),"P")</f>
        <v>P</v>
      </c>
      <c r="F3747" s="312" t="s">
        <v>37</v>
      </c>
      <c r="G3747" s="308"/>
      <c r="H3747" s="308" t="s">
        <v>15335</v>
      </c>
      <c r="I3747" s="310">
        <v>42746.0</v>
      </c>
      <c r="J3747" s="319">
        <f>IFERROR(__xludf.DUMMYFUNCTION("SPLIT(I3747,""/"")"),11.0)</f>
        <v>11</v>
      </c>
      <c r="K3747" s="308">
        <f>IFERROR(__xludf.DUMMYFUNCTION("""COMPUTED_VALUE"""),1.0)</f>
        <v>1</v>
      </c>
      <c r="L3747" s="308">
        <f>IFERROR(__xludf.DUMMYFUNCTION("""COMPUTED_VALUE"""),2017.0)</f>
        <v>2017</v>
      </c>
      <c r="M3747" s="308" t="s">
        <v>15336</v>
      </c>
      <c r="N3747" s="308"/>
      <c r="O3747" s="308"/>
      <c r="P3747" s="308" t="s">
        <v>37184</v>
      </c>
      <c r="Q3747" s="308" t="s">
        <v>37183</v>
      </c>
      <c r="R3747" s="308" t="s">
        <v>2743</v>
      </c>
      <c r="S3747" s="308" t="s">
        <v>81</v>
      </c>
      <c r="T3747" s="308" t="s">
        <v>75</v>
      </c>
      <c r="U3747" s="308" t="s">
        <v>2748</v>
      </c>
      <c r="V3747" s="312"/>
    </row>
    <row r="3748">
      <c r="A3748" s="308">
        <v>3747.0</v>
      </c>
      <c r="B3748" s="308"/>
      <c r="C3748" s="308" t="s">
        <v>15338</v>
      </c>
      <c r="D3748" s="308">
        <f>IFERROR(__xludf.DUMMYFUNCTION("SPLIT(C3748,""-"")"),3768.0)</f>
        <v>3768</v>
      </c>
      <c r="E3748" s="308" t="str">
        <f>IFERROR(__xludf.DUMMYFUNCTION("""COMPUTED_VALUE"""),"P")</f>
        <v>P</v>
      </c>
      <c r="F3748" s="312" t="s">
        <v>37</v>
      </c>
      <c r="G3748" s="308"/>
      <c r="H3748" s="308" t="s">
        <v>15339</v>
      </c>
      <c r="I3748" s="314">
        <v>42735.0</v>
      </c>
      <c r="J3748" s="319">
        <f>IFERROR(__xludf.DUMMYFUNCTION("SPLIT(I3748,""/"")"),31.0)</f>
        <v>31</v>
      </c>
      <c r="K3748" s="308">
        <f>IFERROR(__xludf.DUMMYFUNCTION("""COMPUTED_VALUE"""),12.0)</f>
        <v>12</v>
      </c>
      <c r="L3748" s="308">
        <f>IFERROR(__xludf.DUMMYFUNCTION("""COMPUTED_VALUE"""),2016.0)</f>
        <v>2016</v>
      </c>
      <c r="M3748" s="308" t="s">
        <v>15340</v>
      </c>
      <c r="N3748" s="308"/>
      <c r="O3748" s="308" t="s">
        <v>635</v>
      </c>
      <c r="P3748" s="308" t="s">
        <v>15341</v>
      </c>
      <c r="Q3748" s="308" t="s">
        <v>37183</v>
      </c>
      <c r="R3748" s="308" t="s">
        <v>2743</v>
      </c>
      <c r="S3748" s="308" t="s">
        <v>81</v>
      </c>
      <c r="T3748" s="308" t="s">
        <v>75</v>
      </c>
      <c r="U3748" s="308"/>
      <c r="V3748" s="312"/>
    </row>
    <row r="3749">
      <c r="A3749" s="308">
        <v>3748.0</v>
      </c>
      <c r="B3749" s="308"/>
      <c r="C3749" s="308" t="s">
        <v>15342</v>
      </c>
      <c r="D3749" s="308">
        <f>IFERROR(__xludf.DUMMYFUNCTION("SPLIT(C3749,""-"")"),3769.0)</f>
        <v>3769</v>
      </c>
      <c r="E3749" s="308" t="str">
        <f>IFERROR(__xludf.DUMMYFUNCTION("""COMPUTED_VALUE"""),"P")</f>
        <v>P</v>
      </c>
      <c r="F3749" s="312" t="s">
        <v>37</v>
      </c>
      <c r="G3749" s="308"/>
      <c r="H3749" s="308" t="s">
        <v>15343</v>
      </c>
      <c r="I3749" s="310">
        <v>42676.0</v>
      </c>
      <c r="J3749" s="319">
        <f>IFERROR(__xludf.DUMMYFUNCTION("SPLIT(I3749,""/"")"),2.0)</f>
        <v>2</v>
      </c>
      <c r="K3749" s="308">
        <f>IFERROR(__xludf.DUMMYFUNCTION("""COMPUTED_VALUE"""),11.0)</f>
        <v>11</v>
      </c>
      <c r="L3749" s="308">
        <f>IFERROR(__xludf.DUMMYFUNCTION("""COMPUTED_VALUE"""),2016.0)</f>
        <v>2016</v>
      </c>
      <c r="M3749" s="308" t="s">
        <v>15344</v>
      </c>
      <c r="N3749" s="308"/>
      <c r="O3749" s="308"/>
      <c r="P3749" s="308" t="s">
        <v>15345</v>
      </c>
      <c r="Q3749" s="308" t="s">
        <v>37183</v>
      </c>
      <c r="R3749" s="308" t="s">
        <v>14911</v>
      </c>
      <c r="S3749" s="308" t="s">
        <v>81</v>
      </c>
      <c r="T3749" s="311" t="s">
        <v>75</v>
      </c>
      <c r="U3749" s="308"/>
      <c r="V3749" s="312"/>
    </row>
    <row r="3750">
      <c r="A3750" s="308">
        <v>3749.0</v>
      </c>
      <c r="B3750" s="308"/>
      <c r="C3750" s="308" t="s">
        <v>15346</v>
      </c>
      <c r="D3750" s="308">
        <f>IFERROR(__xludf.DUMMYFUNCTION("SPLIT(C3750,""-"")"),3770.0)</f>
        <v>3770</v>
      </c>
      <c r="E3750" s="308" t="str">
        <f>IFERROR(__xludf.DUMMYFUNCTION("""COMPUTED_VALUE"""),"P")</f>
        <v>P</v>
      </c>
      <c r="F3750" s="312" t="s">
        <v>37</v>
      </c>
      <c r="G3750" s="308"/>
      <c r="H3750" s="308" t="s">
        <v>15347</v>
      </c>
      <c r="I3750" s="310">
        <v>42681.0</v>
      </c>
      <c r="J3750" s="319">
        <f>IFERROR(__xludf.DUMMYFUNCTION("SPLIT(I3750,""/"")"),7.0)</f>
        <v>7</v>
      </c>
      <c r="K3750" s="308">
        <f>IFERROR(__xludf.DUMMYFUNCTION("""COMPUTED_VALUE"""),11.0)</f>
        <v>11</v>
      </c>
      <c r="L3750" s="308">
        <f>IFERROR(__xludf.DUMMYFUNCTION("""COMPUTED_VALUE"""),2016.0)</f>
        <v>2016</v>
      </c>
      <c r="M3750" s="308" t="s">
        <v>37185</v>
      </c>
      <c r="N3750" s="308"/>
      <c r="O3750" s="308" t="s">
        <v>635</v>
      </c>
      <c r="P3750" s="308" t="s">
        <v>15349</v>
      </c>
      <c r="Q3750" s="308" t="s">
        <v>37183</v>
      </c>
      <c r="R3750" s="308" t="s">
        <v>14911</v>
      </c>
      <c r="S3750" s="308" t="s">
        <v>81</v>
      </c>
      <c r="T3750" s="311" t="s">
        <v>51</v>
      </c>
      <c r="U3750" s="308"/>
      <c r="V3750" s="312"/>
    </row>
    <row r="3751">
      <c r="A3751" s="308">
        <v>3750.0</v>
      </c>
      <c r="B3751" s="308"/>
      <c r="C3751" s="308" t="s">
        <v>15350</v>
      </c>
      <c r="D3751" s="308">
        <f>IFERROR(__xludf.DUMMYFUNCTION("SPLIT(C3751,""-"")"),3771.0)</f>
        <v>3771</v>
      </c>
      <c r="E3751" s="308" t="str">
        <f>IFERROR(__xludf.DUMMYFUNCTION("""COMPUTED_VALUE"""),"K")</f>
        <v>K</v>
      </c>
      <c r="F3751" s="309" t="s">
        <v>34</v>
      </c>
      <c r="G3751" s="308"/>
      <c r="H3751" s="308" t="s">
        <v>15351</v>
      </c>
      <c r="I3751" s="314">
        <v>42290.0</v>
      </c>
      <c r="J3751" s="319">
        <f>IFERROR(__xludf.DUMMYFUNCTION("SPLIT(I3751,""/"")"),13.0)</f>
        <v>13</v>
      </c>
      <c r="K3751" s="308">
        <f>IFERROR(__xludf.DUMMYFUNCTION("""COMPUTED_VALUE"""),10.0)</f>
        <v>10</v>
      </c>
      <c r="L3751" s="308">
        <f>IFERROR(__xludf.DUMMYFUNCTION("""COMPUTED_VALUE"""),2015.0)</f>
        <v>2015</v>
      </c>
      <c r="M3751" s="308" t="s">
        <v>15352</v>
      </c>
      <c r="N3751" s="308"/>
      <c r="O3751" s="308" t="s">
        <v>15353</v>
      </c>
      <c r="P3751" s="308" t="s">
        <v>15354</v>
      </c>
      <c r="Q3751" s="308" t="s">
        <v>37183</v>
      </c>
      <c r="R3751" s="308" t="s">
        <v>14911</v>
      </c>
      <c r="S3751" s="308" t="s">
        <v>49</v>
      </c>
      <c r="T3751" s="308" t="s">
        <v>53</v>
      </c>
      <c r="U3751" s="308" t="s">
        <v>7530</v>
      </c>
      <c r="V3751" s="312"/>
    </row>
    <row r="3752">
      <c r="A3752" s="308">
        <v>3751.0</v>
      </c>
      <c r="B3752" s="308"/>
      <c r="C3752" s="308" t="s">
        <v>15355</v>
      </c>
      <c r="D3752" s="308">
        <f>IFERROR(__xludf.DUMMYFUNCTION("SPLIT(C3752,""-"")"),3772.0)</f>
        <v>3772</v>
      </c>
      <c r="E3752" s="308" t="str">
        <f>IFERROR(__xludf.DUMMYFUNCTION("""COMPUTED_VALUE"""),"S")</f>
        <v>S</v>
      </c>
      <c r="F3752" s="312" t="s">
        <v>39</v>
      </c>
      <c r="G3752" s="308"/>
      <c r="H3752" s="308" t="s">
        <v>15356</v>
      </c>
      <c r="I3752" s="316">
        <v>2013.0</v>
      </c>
      <c r="J3752" s="319"/>
      <c r="K3752" s="308"/>
      <c r="L3752" s="311">
        <v>2013.0</v>
      </c>
      <c r="M3752" s="308" t="s">
        <v>15357</v>
      </c>
      <c r="N3752" s="308"/>
      <c r="O3752" s="308" t="s">
        <v>635</v>
      </c>
      <c r="P3752" s="308" t="s">
        <v>37186</v>
      </c>
      <c r="Q3752" s="308" t="s">
        <v>37183</v>
      </c>
      <c r="R3752" s="308" t="s">
        <v>14911</v>
      </c>
      <c r="S3752" s="308" t="s">
        <v>49</v>
      </c>
      <c r="T3752" s="311" t="s">
        <v>51</v>
      </c>
      <c r="U3752" s="308"/>
      <c r="V3752" s="312"/>
    </row>
    <row r="3753">
      <c r="A3753" s="308">
        <v>3752.0</v>
      </c>
      <c r="B3753" s="308"/>
      <c r="C3753" s="308" t="s">
        <v>15359</v>
      </c>
      <c r="D3753" s="308">
        <f>IFERROR(__xludf.DUMMYFUNCTION("SPLIT(C3753,""-"")"),3773.0)</f>
        <v>3773</v>
      </c>
      <c r="E3753" s="308" t="str">
        <f>IFERROR(__xludf.DUMMYFUNCTION("""COMPUTED_VALUE"""),"I")</f>
        <v>I</v>
      </c>
      <c r="F3753" s="309" t="s">
        <v>31</v>
      </c>
      <c r="G3753" s="308"/>
      <c r="H3753" s="308" t="s">
        <v>15360</v>
      </c>
      <c r="I3753" s="310">
        <v>42465.0</v>
      </c>
      <c r="J3753" s="319">
        <f>IFERROR(__xludf.DUMMYFUNCTION("SPLIT(I3753,""/"")"),5.0)</f>
        <v>5</v>
      </c>
      <c r="K3753" s="308">
        <f>IFERROR(__xludf.DUMMYFUNCTION("""COMPUTED_VALUE"""),4.0)</f>
        <v>4</v>
      </c>
      <c r="L3753" s="308">
        <f>IFERROR(__xludf.DUMMYFUNCTION("""COMPUTED_VALUE"""),2016.0)</f>
        <v>2016</v>
      </c>
      <c r="M3753" s="308" t="s">
        <v>37187</v>
      </c>
      <c r="N3753" s="308"/>
      <c r="O3753" s="308" t="s">
        <v>15362</v>
      </c>
      <c r="P3753" s="308" t="s">
        <v>15363</v>
      </c>
      <c r="Q3753" s="308" t="s">
        <v>37183</v>
      </c>
      <c r="R3753" s="308" t="s">
        <v>14911</v>
      </c>
      <c r="S3753" s="308" t="s">
        <v>81</v>
      </c>
      <c r="T3753" s="308" t="s">
        <v>75</v>
      </c>
      <c r="U3753" s="308" t="s">
        <v>31</v>
      </c>
      <c r="V3753" s="312"/>
    </row>
    <row r="3754">
      <c r="A3754" s="308">
        <v>3753.0</v>
      </c>
      <c r="B3754" s="308"/>
      <c r="C3754" s="308" t="s">
        <v>15364</v>
      </c>
      <c r="D3754" s="308">
        <f>IFERROR(__xludf.DUMMYFUNCTION("SPLIT(C3754,""-"")"),3774.0)</f>
        <v>3774</v>
      </c>
      <c r="E3754" s="308" t="str">
        <f>IFERROR(__xludf.DUMMYFUNCTION("""COMPUTED_VALUE"""),"S")</f>
        <v>S</v>
      </c>
      <c r="F3754" s="312" t="s">
        <v>39</v>
      </c>
      <c r="G3754" s="308"/>
      <c r="H3754" s="308" t="s">
        <v>15365</v>
      </c>
      <c r="I3754" s="310">
        <v>42421.0</v>
      </c>
      <c r="J3754" s="319">
        <f>IFERROR(__xludf.DUMMYFUNCTION("SPLIT(I3754,""/"")"),21.0)</f>
        <v>21</v>
      </c>
      <c r="K3754" s="308">
        <f>IFERROR(__xludf.DUMMYFUNCTION("""COMPUTED_VALUE"""),2.0)</f>
        <v>2</v>
      </c>
      <c r="L3754" s="308">
        <f>IFERROR(__xludf.DUMMYFUNCTION("""COMPUTED_VALUE"""),2016.0)</f>
        <v>2016</v>
      </c>
      <c r="M3754" s="308" t="s">
        <v>15366</v>
      </c>
      <c r="N3754" s="308"/>
      <c r="O3754" s="308" t="s">
        <v>635</v>
      </c>
      <c r="P3754" s="308" t="s">
        <v>37188</v>
      </c>
      <c r="Q3754" s="308" t="s">
        <v>37183</v>
      </c>
      <c r="R3754" s="308" t="s">
        <v>2743</v>
      </c>
      <c r="S3754" s="308" t="s">
        <v>81</v>
      </c>
      <c r="T3754" s="308" t="s">
        <v>75</v>
      </c>
      <c r="U3754" s="308"/>
      <c r="V3754" s="312"/>
    </row>
    <row r="3755">
      <c r="A3755" s="308">
        <v>3754.0</v>
      </c>
      <c r="B3755" s="308"/>
      <c r="C3755" s="308" t="s">
        <v>15368</v>
      </c>
      <c r="D3755" s="308">
        <f>IFERROR(__xludf.DUMMYFUNCTION("SPLIT(C3755,""-"")"),3775.0)</f>
        <v>3775</v>
      </c>
      <c r="E3755" s="308" t="str">
        <f>IFERROR(__xludf.DUMMYFUNCTION("""COMPUTED_VALUE"""),"K")</f>
        <v>K</v>
      </c>
      <c r="F3755" s="309" t="s">
        <v>34</v>
      </c>
      <c r="G3755" s="308"/>
      <c r="H3755" s="308" t="s">
        <v>15369</v>
      </c>
      <c r="I3755" s="316">
        <v>2009.0</v>
      </c>
      <c r="J3755" s="319"/>
      <c r="K3755" s="308"/>
      <c r="L3755" s="311">
        <v>2009.0</v>
      </c>
      <c r="M3755" s="308" t="s">
        <v>15370</v>
      </c>
      <c r="N3755" s="308"/>
      <c r="O3755" s="308" t="s">
        <v>15371</v>
      </c>
      <c r="P3755" s="308" t="s">
        <v>35028</v>
      </c>
      <c r="Q3755" s="308" t="s">
        <v>37183</v>
      </c>
      <c r="R3755" s="308" t="s">
        <v>2743</v>
      </c>
      <c r="S3755" s="308" t="s">
        <v>49</v>
      </c>
      <c r="T3755" s="308" t="s">
        <v>69</v>
      </c>
      <c r="U3755" s="308" t="s">
        <v>530</v>
      </c>
      <c r="V3755" s="312"/>
    </row>
    <row r="3756">
      <c r="A3756" s="308">
        <v>3755.0</v>
      </c>
      <c r="B3756" s="308"/>
      <c r="C3756" s="308" t="s">
        <v>15372</v>
      </c>
      <c r="D3756" s="308">
        <f>IFERROR(__xludf.DUMMYFUNCTION("SPLIT(C3756,""-"")"),3776.0)</f>
        <v>3776</v>
      </c>
      <c r="E3756" s="308" t="str">
        <f>IFERROR(__xludf.DUMMYFUNCTION("""COMPUTED_VALUE"""),"P")</f>
        <v>P</v>
      </c>
      <c r="F3756" s="312" t="s">
        <v>37</v>
      </c>
      <c r="G3756" s="308"/>
      <c r="H3756" s="308" t="s">
        <v>15373</v>
      </c>
      <c r="I3756" s="314">
        <v>42349.0</v>
      </c>
      <c r="J3756" s="319">
        <f>IFERROR(__xludf.DUMMYFUNCTION("SPLIT(I3756,""/"")"),11.0)</f>
        <v>11</v>
      </c>
      <c r="K3756" s="308">
        <f>IFERROR(__xludf.DUMMYFUNCTION("""COMPUTED_VALUE"""),12.0)</f>
        <v>12</v>
      </c>
      <c r="L3756" s="308">
        <f>IFERROR(__xludf.DUMMYFUNCTION("""COMPUTED_VALUE"""),2015.0)</f>
        <v>2015</v>
      </c>
      <c r="M3756" s="308" t="s">
        <v>15374</v>
      </c>
      <c r="N3756" s="308"/>
      <c r="O3756" s="308" t="s">
        <v>15375</v>
      </c>
      <c r="P3756" s="308" t="s">
        <v>37189</v>
      </c>
      <c r="Q3756" s="308" t="s">
        <v>37183</v>
      </c>
      <c r="R3756" s="308" t="s">
        <v>2743</v>
      </c>
      <c r="S3756" s="308" t="s">
        <v>81</v>
      </c>
      <c r="T3756" s="308" t="s">
        <v>34264</v>
      </c>
      <c r="U3756" s="308" t="s">
        <v>149</v>
      </c>
      <c r="V3756" s="312"/>
    </row>
    <row r="3757">
      <c r="A3757" s="308">
        <v>3756.0</v>
      </c>
      <c r="B3757" s="308"/>
      <c r="C3757" s="308" t="s">
        <v>15377</v>
      </c>
      <c r="D3757" s="308">
        <f>IFERROR(__xludf.DUMMYFUNCTION("SPLIT(C3757,""-"")"),3777.0)</f>
        <v>3777</v>
      </c>
      <c r="E3757" s="308" t="str">
        <f>IFERROR(__xludf.DUMMYFUNCTION("""COMPUTED_VALUE"""),"P")</f>
        <v>P</v>
      </c>
      <c r="F3757" s="312" t="s">
        <v>37</v>
      </c>
      <c r="G3757" s="308"/>
      <c r="H3757" s="308" t="s">
        <v>15378</v>
      </c>
      <c r="I3757" s="310">
        <v>42553.0</v>
      </c>
      <c r="J3757" s="319">
        <f>IFERROR(__xludf.DUMMYFUNCTION("SPLIT(I3757,""/"")"),2.0)</f>
        <v>2</v>
      </c>
      <c r="K3757" s="308">
        <f>IFERROR(__xludf.DUMMYFUNCTION("""COMPUTED_VALUE"""),7.0)</f>
        <v>7</v>
      </c>
      <c r="L3757" s="308">
        <f>IFERROR(__xludf.DUMMYFUNCTION("""COMPUTED_VALUE"""),2016.0)</f>
        <v>2016</v>
      </c>
      <c r="M3757" s="308" t="s">
        <v>15379</v>
      </c>
      <c r="N3757" s="308"/>
      <c r="O3757" s="308" t="s">
        <v>15380</v>
      </c>
      <c r="P3757" s="308" t="s">
        <v>15381</v>
      </c>
      <c r="Q3757" s="308" t="s">
        <v>37183</v>
      </c>
      <c r="R3757" s="308" t="s">
        <v>2743</v>
      </c>
      <c r="S3757" s="308" t="s">
        <v>81</v>
      </c>
      <c r="T3757" s="308" t="s">
        <v>75</v>
      </c>
      <c r="U3757" s="308" t="s">
        <v>149</v>
      </c>
      <c r="V3757" s="312"/>
    </row>
    <row r="3758">
      <c r="A3758" s="308">
        <v>3757.0</v>
      </c>
      <c r="B3758" s="308"/>
      <c r="C3758" s="308" t="s">
        <v>15382</v>
      </c>
      <c r="D3758" s="308">
        <f>IFERROR(__xludf.DUMMYFUNCTION("SPLIT(C3758,""-"")"),3778.0)</f>
        <v>3778</v>
      </c>
      <c r="E3758" s="308" t="str">
        <f>IFERROR(__xludf.DUMMYFUNCTION("""COMPUTED_VALUE"""),"K")</f>
        <v>K</v>
      </c>
      <c r="F3758" s="309" t="s">
        <v>34</v>
      </c>
      <c r="G3758" s="308"/>
      <c r="H3758" s="308" t="s">
        <v>15383</v>
      </c>
      <c r="I3758" s="310">
        <v>42504.0</v>
      </c>
      <c r="J3758" s="319">
        <f>IFERROR(__xludf.DUMMYFUNCTION("SPLIT(I3758,""/"")"),14.0)</f>
        <v>14</v>
      </c>
      <c r="K3758" s="308">
        <f>IFERROR(__xludf.DUMMYFUNCTION("""COMPUTED_VALUE"""),5.0)</f>
        <v>5</v>
      </c>
      <c r="L3758" s="308">
        <f>IFERROR(__xludf.DUMMYFUNCTION("""COMPUTED_VALUE"""),2016.0)</f>
        <v>2016</v>
      </c>
      <c r="M3758" s="308" t="s">
        <v>15384</v>
      </c>
      <c r="N3758" s="308"/>
      <c r="O3758" s="308" t="s">
        <v>635</v>
      </c>
      <c r="P3758" s="308" t="s">
        <v>37190</v>
      </c>
      <c r="Q3758" s="308" t="s">
        <v>37191</v>
      </c>
      <c r="R3758" s="308" t="s">
        <v>2743</v>
      </c>
      <c r="S3758" s="308" t="s">
        <v>81</v>
      </c>
      <c r="T3758" s="308" t="s">
        <v>34264</v>
      </c>
      <c r="U3758" s="308"/>
      <c r="V3758" s="312"/>
    </row>
    <row r="3759">
      <c r="A3759" s="308">
        <v>3758.0</v>
      </c>
      <c r="B3759" s="308"/>
      <c r="C3759" s="308" t="s">
        <v>15386</v>
      </c>
      <c r="D3759" s="308">
        <f>IFERROR(__xludf.DUMMYFUNCTION("SPLIT(C3759,""-"")"),3779.0)</f>
        <v>3779</v>
      </c>
      <c r="E3759" s="308" t="str">
        <f>IFERROR(__xludf.DUMMYFUNCTION("""COMPUTED_VALUE"""),"F")</f>
        <v>F</v>
      </c>
      <c r="F3759" s="309" t="s">
        <v>34</v>
      </c>
      <c r="G3759" s="308"/>
      <c r="H3759" s="308" t="s">
        <v>15387</v>
      </c>
      <c r="I3759" s="314">
        <v>42701.0</v>
      </c>
      <c r="J3759" s="319">
        <f>IFERROR(__xludf.DUMMYFUNCTION("SPLIT(I3759,""/"")"),27.0)</f>
        <v>27</v>
      </c>
      <c r="K3759" s="308">
        <f>IFERROR(__xludf.DUMMYFUNCTION("""COMPUTED_VALUE"""),11.0)</f>
        <v>11</v>
      </c>
      <c r="L3759" s="308">
        <f>IFERROR(__xludf.DUMMYFUNCTION("""COMPUTED_VALUE"""),2016.0)</f>
        <v>2016</v>
      </c>
      <c r="M3759" s="308" t="s">
        <v>15388</v>
      </c>
      <c r="N3759" s="308"/>
      <c r="O3759" s="308" t="s">
        <v>635</v>
      </c>
      <c r="P3759" s="308" t="s">
        <v>15389</v>
      </c>
      <c r="Q3759" s="308" t="s">
        <v>37191</v>
      </c>
      <c r="R3759" s="308" t="s">
        <v>2743</v>
      </c>
      <c r="S3759" s="308" t="s">
        <v>81</v>
      </c>
      <c r="T3759" s="308" t="s">
        <v>75</v>
      </c>
      <c r="U3759" s="308"/>
      <c r="V3759" s="312"/>
    </row>
    <row r="3760">
      <c r="A3760" s="308">
        <v>3759.0</v>
      </c>
      <c r="B3760" s="308"/>
      <c r="C3760" s="308" t="s">
        <v>15390</v>
      </c>
      <c r="D3760" s="308">
        <f>IFERROR(__xludf.DUMMYFUNCTION("SPLIT(C3760,""-"")"),3780.0)</f>
        <v>3780</v>
      </c>
      <c r="E3760" s="308" t="str">
        <f>IFERROR(__xludf.DUMMYFUNCTION("""COMPUTED_VALUE"""),"K")</f>
        <v>K</v>
      </c>
      <c r="F3760" s="309" t="s">
        <v>34</v>
      </c>
      <c r="G3760" s="308"/>
      <c r="H3760" s="308" t="s">
        <v>15391</v>
      </c>
      <c r="I3760" s="310">
        <v>42097.0</v>
      </c>
      <c r="J3760" s="319">
        <f>IFERROR(__xludf.DUMMYFUNCTION("SPLIT(I3760,""/"")"),3.0)</f>
        <v>3</v>
      </c>
      <c r="K3760" s="308">
        <f>IFERROR(__xludf.DUMMYFUNCTION("""COMPUTED_VALUE"""),4.0)</f>
        <v>4</v>
      </c>
      <c r="L3760" s="308">
        <f>IFERROR(__xludf.DUMMYFUNCTION("""COMPUTED_VALUE"""),2015.0)</f>
        <v>2015</v>
      </c>
      <c r="M3760" s="308" t="s">
        <v>15392</v>
      </c>
      <c r="N3760" s="308"/>
      <c r="O3760" s="308" t="s">
        <v>15393</v>
      </c>
      <c r="P3760" s="308" t="s">
        <v>15394</v>
      </c>
      <c r="Q3760" s="308" t="s">
        <v>37191</v>
      </c>
      <c r="R3760" s="308" t="s">
        <v>2743</v>
      </c>
      <c r="S3760" s="308" t="s">
        <v>81</v>
      </c>
      <c r="T3760" s="308" t="s">
        <v>75</v>
      </c>
      <c r="U3760" s="308" t="s">
        <v>4487</v>
      </c>
      <c r="V3760" s="312"/>
    </row>
    <row r="3761">
      <c r="A3761" s="308">
        <v>3760.0</v>
      </c>
      <c r="B3761" s="308"/>
      <c r="C3761" s="308" t="s">
        <v>15395</v>
      </c>
      <c r="D3761" s="308">
        <f>IFERROR(__xludf.DUMMYFUNCTION("SPLIT(C3761,""-"")"),3781.0)</f>
        <v>3781</v>
      </c>
      <c r="E3761" s="308" t="str">
        <f>IFERROR(__xludf.DUMMYFUNCTION("""COMPUTED_VALUE"""),"K")</f>
        <v>K</v>
      </c>
      <c r="F3761" s="309" t="s">
        <v>34</v>
      </c>
      <c r="G3761" s="308"/>
      <c r="H3761" s="308" t="s">
        <v>15396</v>
      </c>
      <c r="I3761" s="310">
        <v>42097.0</v>
      </c>
      <c r="J3761" s="319">
        <f>IFERROR(__xludf.DUMMYFUNCTION("SPLIT(I3761,""/"")"),3.0)</f>
        <v>3</v>
      </c>
      <c r="K3761" s="308">
        <f>IFERROR(__xludf.DUMMYFUNCTION("""COMPUTED_VALUE"""),4.0)</f>
        <v>4</v>
      </c>
      <c r="L3761" s="308">
        <f>IFERROR(__xludf.DUMMYFUNCTION("""COMPUTED_VALUE"""),2015.0)</f>
        <v>2015</v>
      </c>
      <c r="M3761" s="308" t="s">
        <v>15397</v>
      </c>
      <c r="N3761" s="308"/>
      <c r="O3761" s="308" t="s">
        <v>15393</v>
      </c>
      <c r="P3761" s="308" t="s">
        <v>15394</v>
      </c>
      <c r="Q3761" s="308" t="s">
        <v>37191</v>
      </c>
      <c r="R3761" s="308" t="s">
        <v>2743</v>
      </c>
      <c r="S3761" s="308" t="s">
        <v>81</v>
      </c>
      <c r="T3761" s="308" t="s">
        <v>75</v>
      </c>
      <c r="U3761" s="308" t="s">
        <v>4487</v>
      </c>
      <c r="V3761" s="312"/>
    </row>
    <row r="3762">
      <c r="A3762" s="308">
        <v>3761.0</v>
      </c>
      <c r="B3762" s="308"/>
      <c r="C3762" s="308" t="s">
        <v>15398</v>
      </c>
      <c r="D3762" s="308">
        <f>IFERROR(__xludf.DUMMYFUNCTION("SPLIT(C3762,""-"")"),3782.0)</f>
        <v>3782</v>
      </c>
      <c r="E3762" s="308" t="str">
        <f>IFERROR(__xludf.DUMMYFUNCTION("""COMPUTED_VALUE"""),"S")</f>
        <v>S</v>
      </c>
      <c r="F3762" s="312" t="s">
        <v>39</v>
      </c>
      <c r="G3762" s="308"/>
      <c r="H3762" s="308" t="s">
        <v>15399</v>
      </c>
      <c r="I3762" s="314">
        <v>42735.0</v>
      </c>
      <c r="J3762" s="319">
        <f>IFERROR(__xludf.DUMMYFUNCTION("SPLIT(I3762,""/"")"),31.0)</f>
        <v>31</v>
      </c>
      <c r="K3762" s="308">
        <f>IFERROR(__xludf.DUMMYFUNCTION("""COMPUTED_VALUE"""),12.0)</f>
        <v>12</v>
      </c>
      <c r="L3762" s="308">
        <f>IFERROR(__xludf.DUMMYFUNCTION("""COMPUTED_VALUE"""),2016.0)</f>
        <v>2016</v>
      </c>
      <c r="M3762" s="308" t="s">
        <v>37192</v>
      </c>
      <c r="N3762" s="308"/>
      <c r="O3762" s="308"/>
      <c r="P3762" s="308" t="s">
        <v>37193</v>
      </c>
      <c r="Q3762" s="308" t="s">
        <v>37191</v>
      </c>
      <c r="R3762" s="308" t="s">
        <v>14256</v>
      </c>
      <c r="S3762" s="308" t="s">
        <v>81</v>
      </c>
      <c r="T3762" s="308" t="s">
        <v>75</v>
      </c>
      <c r="U3762" s="308" t="s">
        <v>166</v>
      </c>
      <c r="V3762" s="312"/>
    </row>
    <row r="3763">
      <c r="A3763" s="308">
        <v>3762.0</v>
      </c>
      <c r="B3763" s="308"/>
      <c r="C3763" s="308" t="s">
        <v>15402</v>
      </c>
      <c r="D3763" s="308">
        <f>IFERROR(__xludf.DUMMYFUNCTION("SPLIT(C3763,""-"")"),3783.0)</f>
        <v>3783</v>
      </c>
      <c r="E3763" s="308" t="str">
        <f>IFERROR(__xludf.DUMMYFUNCTION("""COMPUTED_VALUE"""),"I")</f>
        <v>I</v>
      </c>
      <c r="F3763" s="309" t="s">
        <v>31</v>
      </c>
      <c r="G3763" s="308"/>
      <c r="H3763" s="308" t="s">
        <v>15403</v>
      </c>
      <c r="I3763" s="310">
        <v>42742.0</v>
      </c>
      <c r="J3763" s="319">
        <f>IFERROR(__xludf.DUMMYFUNCTION("SPLIT(I3763,""/"")"),7.0)</f>
        <v>7</v>
      </c>
      <c r="K3763" s="308">
        <f>IFERROR(__xludf.DUMMYFUNCTION("""COMPUTED_VALUE"""),1.0)</f>
        <v>1</v>
      </c>
      <c r="L3763" s="308">
        <f>IFERROR(__xludf.DUMMYFUNCTION("""COMPUTED_VALUE"""),2017.0)</f>
        <v>2017</v>
      </c>
      <c r="M3763" s="308"/>
      <c r="N3763" s="308"/>
      <c r="O3763" s="308" t="s">
        <v>635</v>
      </c>
      <c r="P3763" s="308" t="s">
        <v>15404</v>
      </c>
      <c r="Q3763" s="308" t="s">
        <v>37191</v>
      </c>
      <c r="R3763" s="308" t="s">
        <v>14256</v>
      </c>
      <c r="S3763" s="308" t="s">
        <v>81</v>
      </c>
      <c r="T3763" s="308" t="s">
        <v>75</v>
      </c>
      <c r="U3763" s="308" t="s">
        <v>36655</v>
      </c>
      <c r="V3763" s="312"/>
    </row>
    <row r="3764">
      <c r="A3764" s="308">
        <v>3763.0</v>
      </c>
      <c r="B3764" s="308"/>
      <c r="C3764" s="308" t="s">
        <v>15405</v>
      </c>
      <c r="D3764" s="308">
        <f>IFERROR(__xludf.DUMMYFUNCTION("SPLIT(C3764,""-"")"),3784.0)</f>
        <v>3784</v>
      </c>
      <c r="E3764" s="308" t="str">
        <f>IFERROR(__xludf.DUMMYFUNCTION("""COMPUTED_VALUE"""),"P")</f>
        <v>P</v>
      </c>
      <c r="F3764" s="312" t="s">
        <v>37</v>
      </c>
      <c r="G3764" s="308"/>
      <c r="H3764" s="308" t="s">
        <v>15406</v>
      </c>
      <c r="I3764" s="310">
        <v>42742.0</v>
      </c>
      <c r="J3764" s="319">
        <f>IFERROR(__xludf.DUMMYFUNCTION("SPLIT(I3764,""/"")"),7.0)</f>
        <v>7</v>
      </c>
      <c r="K3764" s="308">
        <f>IFERROR(__xludf.DUMMYFUNCTION("""COMPUTED_VALUE"""),1.0)</f>
        <v>1</v>
      </c>
      <c r="L3764" s="308">
        <f>IFERROR(__xludf.DUMMYFUNCTION("""COMPUTED_VALUE"""),2017.0)</f>
        <v>2017</v>
      </c>
      <c r="M3764" s="308"/>
      <c r="N3764" s="308"/>
      <c r="O3764" s="308" t="s">
        <v>15407</v>
      </c>
      <c r="P3764" s="308" t="s">
        <v>15408</v>
      </c>
      <c r="Q3764" s="308" t="s">
        <v>37191</v>
      </c>
      <c r="R3764" s="308" t="s">
        <v>14256</v>
      </c>
      <c r="S3764" s="308" t="s">
        <v>81</v>
      </c>
      <c r="T3764" s="308" t="s">
        <v>75</v>
      </c>
      <c r="U3764" s="308"/>
      <c r="V3764" s="312"/>
    </row>
    <row r="3765">
      <c r="A3765" s="308">
        <v>3764.0</v>
      </c>
      <c r="B3765" s="308"/>
      <c r="C3765" s="308" t="s">
        <v>15409</v>
      </c>
      <c r="D3765" s="308">
        <f>IFERROR(__xludf.DUMMYFUNCTION("SPLIT(C3765,""-"")"),3785.0)</f>
        <v>3785</v>
      </c>
      <c r="E3765" s="308" t="str">
        <f>IFERROR(__xludf.DUMMYFUNCTION("""COMPUTED_VALUE"""),"P")</f>
        <v>P</v>
      </c>
      <c r="F3765" s="312" t="s">
        <v>37</v>
      </c>
      <c r="G3765" s="308"/>
      <c r="H3765" s="308" t="s">
        <v>15410</v>
      </c>
      <c r="I3765" s="310">
        <v>42742.0</v>
      </c>
      <c r="J3765" s="319">
        <f>IFERROR(__xludf.DUMMYFUNCTION("SPLIT(I3765,""/"")"),7.0)</f>
        <v>7</v>
      </c>
      <c r="K3765" s="308">
        <f>IFERROR(__xludf.DUMMYFUNCTION("""COMPUTED_VALUE"""),1.0)</f>
        <v>1</v>
      </c>
      <c r="L3765" s="308">
        <f>IFERROR(__xludf.DUMMYFUNCTION("""COMPUTED_VALUE"""),2017.0)</f>
        <v>2017</v>
      </c>
      <c r="M3765" s="308"/>
      <c r="N3765" s="308"/>
      <c r="O3765" s="308" t="s">
        <v>15407</v>
      </c>
      <c r="P3765" s="308" t="s">
        <v>15411</v>
      </c>
      <c r="Q3765" s="308" t="s">
        <v>37191</v>
      </c>
      <c r="R3765" s="308" t="s">
        <v>14256</v>
      </c>
      <c r="S3765" s="308" t="s">
        <v>81</v>
      </c>
      <c r="T3765" s="308" t="s">
        <v>75</v>
      </c>
      <c r="U3765" s="308"/>
      <c r="V3765" s="312"/>
    </row>
    <row r="3766">
      <c r="A3766" s="308">
        <v>3765.0</v>
      </c>
      <c r="B3766" s="308"/>
      <c r="C3766" s="308" t="s">
        <v>15412</v>
      </c>
      <c r="D3766" s="308">
        <f>IFERROR(__xludf.DUMMYFUNCTION("SPLIT(C3766,""-"")"),3786.0)</f>
        <v>3786</v>
      </c>
      <c r="E3766" s="308" t="str">
        <f>IFERROR(__xludf.DUMMYFUNCTION("""COMPUTED_VALUE"""),"P")</f>
        <v>P</v>
      </c>
      <c r="F3766" s="312" t="s">
        <v>37</v>
      </c>
      <c r="G3766" s="308"/>
      <c r="H3766" s="308" t="s">
        <v>15413</v>
      </c>
      <c r="I3766" s="310">
        <v>42742.0</v>
      </c>
      <c r="J3766" s="319">
        <f>IFERROR(__xludf.DUMMYFUNCTION("SPLIT(I3766,""/"")"),7.0)</f>
        <v>7</v>
      </c>
      <c r="K3766" s="308">
        <f>IFERROR(__xludf.DUMMYFUNCTION("""COMPUTED_VALUE"""),1.0)</f>
        <v>1</v>
      </c>
      <c r="L3766" s="308">
        <f>IFERROR(__xludf.DUMMYFUNCTION("""COMPUTED_VALUE"""),2017.0)</f>
        <v>2017</v>
      </c>
      <c r="M3766" s="308"/>
      <c r="N3766" s="308"/>
      <c r="O3766" s="308" t="s">
        <v>15407</v>
      </c>
      <c r="P3766" s="308" t="s">
        <v>15414</v>
      </c>
      <c r="Q3766" s="308" t="s">
        <v>37191</v>
      </c>
      <c r="R3766" s="308" t="s">
        <v>14256</v>
      </c>
      <c r="S3766" s="308" t="s">
        <v>81</v>
      </c>
      <c r="T3766" s="308" t="s">
        <v>75</v>
      </c>
      <c r="U3766" s="308" t="s">
        <v>149</v>
      </c>
      <c r="V3766" s="312"/>
    </row>
    <row r="3767">
      <c r="A3767" s="308">
        <v>3766.0</v>
      </c>
      <c r="B3767" s="308"/>
      <c r="C3767" s="308" t="s">
        <v>15415</v>
      </c>
      <c r="D3767" s="308">
        <f>IFERROR(__xludf.DUMMYFUNCTION("SPLIT(C3767,""-"")"),3787.0)</f>
        <v>3787</v>
      </c>
      <c r="E3767" s="308" t="str">
        <f>IFERROR(__xludf.DUMMYFUNCTION("""COMPUTED_VALUE"""),"S")</f>
        <v>S</v>
      </c>
      <c r="F3767" s="312" t="s">
        <v>39</v>
      </c>
      <c r="G3767" s="308"/>
      <c r="H3767" s="308" t="s">
        <v>15416</v>
      </c>
      <c r="I3767" s="310">
        <v>42532.0</v>
      </c>
      <c r="J3767" s="319">
        <f>IFERROR(__xludf.DUMMYFUNCTION("SPLIT(I3767,""/"")"),11.0)</f>
        <v>11</v>
      </c>
      <c r="K3767" s="308">
        <f>IFERROR(__xludf.DUMMYFUNCTION("""COMPUTED_VALUE"""),6.0)</f>
        <v>6</v>
      </c>
      <c r="L3767" s="308">
        <f>IFERROR(__xludf.DUMMYFUNCTION("""COMPUTED_VALUE"""),2016.0)</f>
        <v>2016</v>
      </c>
      <c r="M3767" s="308" t="s">
        <v>15417</v>
      </c>
      <c r="N3767" s="308"/>
      <c r="O3767" s="308" t="s">
        <v>15418</v>
      </c>
      <c r="P3767" s="308" t="s">
        <v>15419</v>
      </c>
      <c r="Q3767" s="308" t="s">
        <v>37191</v>
      </c>
      <c r="R3767" s="308" t="s">
        <v>2743</v>
      </c>
      <c r="S3767" s="308" t="s">
        <v>81</v>
      </c>
      <c r="T3767" s="311" t="s">
        <v>73</v>
      </c>
      <c r="U3767" s="308" t="s">
        <v>166</v>
      </c>
      <c r="V3767" s="312"/>
    </row>
    <row r="3768">
      <c r="A3768" s="308">
        <v>3767.0</v>
      </c>
      <c r="B3768" s="308"/>
      <c r="C3768" s="308" t="s">
        <v>15420</v>
      </c>
      <c r="D3768" s="308">
        <f>IFERROR(__xludf.DUMMYFUNCTION("SPLIT(C3768,""-"")"),3788.0)</f>
        <v>3788</v>
      </c>
      <c r="E3768" s="308" t="str">
        <f>IFERROR(__xludf.DUMMYFUNCTION("""COMPUTED_VALUE"""),"K")</f>
        <v>K</v>
      </c>
      <c r="F3768" s="309" t="s">
        <v>34</v>
      </c>
      <c r="G3768" s="308"/>
      <c r="H3768" s="308" t="s">
        <v>15421</v>
      </c>
      <c r="I3768" s="310">
        <v>41764.0</v>
      </c>
      <c r="J3768" s="319">
        <f>IFERROR(__xludf.DUMMYFUNCTION("SPLIT(I3768,""/"")"),5.0)</f>
        <v>5</v>
      </c>
      <c r="K3768" s="308">
        <f>IFERROR(__xludf.DUMMYFUNCTION("""COMPUTED_VALUE"""),5.0)</f>
        <v>5</v>
      </c>
      <c r="L3768" s="308">
        <f>IFERROR(__xludf.DUMMYFUNCTION("""COMPUTED_VALUE"""),2014.0)</f>
        <v>2014</v>
      </c>
      <c r="M3768" s="308" t="s">
        <v>15422</v>
      </c>
      <c r="N3768" s="308" t="s">
        <v>15423</v>
      </c>
      <c r="O3768" s="308" t="s">
        <v>15424</v>
      </c>
      <c r="P3768" s="308" t="s">
        <v>37194</v>
      </c>
      <c r="Q3768" s="308" t="s">
        <v>37191</v>
      </c>
      <c r="R3768" s="308" t="s">
        <v>2743</v>
      </c>
      <c r="S3768" s="315" t="s">
        <v>100</v>
      </c>
      <c r="T3768" s="311" t="s">
        <v>34208</v>
      </c>
      <c r="U3768" s="308" t="s">
        <v>872</v>
      </c>
      <c r="V3768" s="312"/>
    </row>
    <row r="3769">
      <c r="A3769" s="308">
        <v>3768.0</v>
      </c>
      <c r="B3769" s="308"/>
      <c r="C3769" s="308" t="s">
        <v>15425</v>
      </c>
      <c r="D3769" s="308">
        <f>IFERROR(__xludf.DUMMYFUNCTION("SPLIT(C3769,""-"")"),3789.0)</f>
        <v>3789</v>
      </c>
      <c r="E3769" s="308" t="str">
        <f>IFERROR(__xludf.DUMMYFUNCTION("""COMPUTED_VALUE"""),"P")</f>
        <v>P</v>
      </c>
      <c r="F3769" s="312" t="s">
        <v>37</v>
      </c>
      <c r="G3769" s="308"/>
      <c r="H3769" s="308" t="s">
        <v>15426</v>
      </c>
      <c r="I3769" s="310">
        <v>42440.0</v>
      </c>
      <c r="J3769" s="319">
        <f>IFERROR(__xludf.DUMMYFUNCTION("SPLIT(I3769,""/"")"),11.0)</f>
        <v>11</v>
      </c>
      <c r="K3769" s="308">
        <f>IFERROR(__xludf.DUMMYFUNCTION("""COMPUTED_VALUE"""),3.0)</f>
        <v>3</v>
      </c>
      <c r="L3769" s="308">
        <f>IFERROR(__xludf.DUMMYFUNCTION("""COMPUTED_VALUE"""),2016.0)</f>
        <v>2016</v>
      </c>
      <c r="M3769" s="308" t="s">
        <v>15427</v>
      </c>
      <c r="N3769" s="308"/>
      <c r="O3769" s="308" t="s">
        <v>15428</v>
      </c>
      <c r="P3769" s="308" t="s">
        <v>15429</v>
      </c>
      <c r="Q3769" s="308" t="s">
        <v>37195</v>
      </c>
      <c r="R3769" s="308" t="s">
        <v>2743</v>
      </c>
      <c r="S3769" s="308" t="s">
        <v>81</v>
      </c>
      <c r="T3769" s="308" t="s">
        <v>34264</v>
      </c>
      <c r="U3769" s="308" t="s">
        <v>13303</v>
      </c>
      <c r="V3769" s="312"/>
    </row>
    <row r="3770">
      <c r="A3770" s="308">
        <v>3769.0</v>
      </c>
      <c r="B3770" s="308"/>
      <c r="C3770" s="308" t="s">
        <v>15430</v>
      </c>
      <c r="D3770" s="308">
        <f>IFERROR(__xludf.DUMMYFUNCTION("SPLIT(C3770,""-"")"),3790.0)</f>
        <v>3790</v>
      </c>
      <c r="E3770" s="308" t="str">
        <f>IFERROR(__xludf.DUMMYFUNCTION("""COMPUTED_VALUE"""),"K")</f>
        <v>K</v>
      </c>
      <c r="F3770" s="309" t="s">
        <v>34</v>
      </c>
      <c r="G3770" s="308"/>
      <c r="H3770" s="308" t="s">
        <v>15431</v>
      </c>
      <c r="I3770" s="310">
        <v>42082.0</v>
      </c>
      <c r="J3770" s="319">
        <f>IFERROR(__xludf.DUMMYFUNCTION("SPLIT(I3770,""/"")"),19.0)</f>
        <v>19</v>
      </c>
      <c r="K3770" s="308">
        <f>IFERROR(__xludf.DUMMYFUNCTION("""COMPUTED_VALUE"""),3.0)</f>
        <v>3</v>
      </c>
      <c r="L3770" s="308">
        <f>IFERROR(__xludf.DUMMYFUNCTION("""COMPUTED_VALUE"""),2015.0)</f>
        <v>2015</v>
      </c>
      <c r="M3770" s="308" t="s">
        <v>15432</v>
      </c>
      <c r="N3770" s="308"/>
      <c r="O3770" s="308"/>
      <c r="P3770" s="308" t="s">
        <v>15433</v>
      </c>
      <c r="Q3770" s="308" t="s">
        <v>37195</v>
      </c>
      <c r="R3770" s="308" t="s">
        <v>2743</v>
      </c>
      <c r="S3770" s="308" t="s">
        <v>81</v>
      </c>
      <c r="T3770" s="308" t="s">
        <v>34264</v>
      </c>
      <c r="U3770" s="308" t="s">
        <v>125</v>
      </c>
      <c r="V3770" s="312"/>
    </row>
    <row r="3771">
      <c r="A3771" s="308">
        <v>3770.0</v>
      </c>
      <c r="B3771" s="308"/>
      <c r="C3771" s="308" t="s">
        <v>15434</v>
      </c>
      <c r="D3771" s="308">
        <f>IFERROR(__xludf.DUMMYFUNCTION("SPLIT(C3771,""-"")"),3791.0)</f>
        <v>3791</v>
      </c>
      <c r="E3771" s="308" t="str">
        <f>IFERROR(__xludf.DUMMYFUNCTION("""COMPUTED_VALUE"""),"S")</f>
        <v>S</v>
      </c>
      <c r="F3771" s="312" t="s">
        <v>39</v>
      </c>
      <c r="G3771" s="308"/>
      <c r="H3771" s="308" t="s">
        <v>15435</v>
      </c>
      <c r="I3771" s="310">
        <v>42651.0</v>
      </c>
      <c r="J3771" s="319">
        <f>IFERROR(__xludf.DUMMYFUNCTION("SPLIT(I3771,""/"")"),8.0)</f>
        <v>8</v>
      </c>
      <c r="K3771" s="308">
        <f>IFERROR(__xludf.DUMMYFUNCTION("""COMPUTED_VALUE"""),10.0)</f>
        <v>10</v>
      </c>
      <c r="L3771" s="308">
        <f>IFERROR(__xludf.DUMMYFUNCTION("""COMPUTED_VALUE"""),2016.0)</f>
        <v>2016</v>
      </c>
      <c r="M3771" s="308" t="s">
        <v>15436</v>
      </c>
      <c r="N3771" s="308"/>
      <c r="O3771" s="308"/>
      <c r="P3771" s="308" t="s">
        <v>37196</v>
      </c>
      <c r="Q3771" s="308" t="s">
        <v>37195</v>
      </c>
      <c r="R3771" s="308" t="s">
        <v>14256</v>
      </c>
      <c r="S3771" s="308" t="s">
        <v>81</v>
      </c>
      <c r="T3771" s="311" t="s">
        <v>73</v>
      </c>
      <c r="U3771" s="312"/>
      <c r="V3771" s="312"/>
    </row>
    <row r="3772">
      <c r="A3772" s="308">
        <v>3771.0</v>
      </c>
      <c r="B3772" s="308"/>
      <c r="C3772" s="308" t="s">
        <v>15438</v>
      </c>
      <c r="D3772" s="308">
        <f>IFERROR(__xludf.DUMMYFUNCTION("SPLIT(C3772,""-"")"),3792.0)</f>
        <v>3792</v>
      </c>
      <c r="E3772" s="308" t="str">
        <f>IFERROR(__xludf.DUMMYFUNCTION("""COMPUTED_VALUE"""),"K")</f>
        <v>K</v>
      </c>
      <c r="F3772" s="309" t="s">
        <v>34</v>
      </c>
      <c r="G3772" s="308"/>
      <c r="H3772" s="308" t="s">
        <v>15439</v>
      </c>
      <c r="I3772" s="310">
        <v>42594.0</v>
      </c>
      <c r="J3772" s="319">
        <f>IFERROR(__xludf.DUMMYFUNCTION("SPLIT(I3772,""/"")"),12.0)</f>
        <v>12</v>
      </c>
      <c r="K3772" s="308">
        <f>IFERROR(__xludf.DUMMYFUNCTION("""COMPUTED_VALUE"""),8.0)</f>
        <v>8</v>
      </c>
      <c r="L3772" s="308">
        <f>IFERROR(__xludf.DUMMYFUNCTION("""COMPUTED_VALUE"""),2016.0)</f>
        <v>2016</v>
      </c>
      <c r="M3772" s="308" t="s">
        <v>37197</v>
      </c>
      <c r="N3772" s="308"/>
      <c r="O3772" s="308"/>
      <c r="P3772" s="308" t="s">
        <v>15441</v>
      </c>
      <c r="Q3772" s="308" t="s">
        <v>37195</v>
      </c>
      <c r="R3772" s="308" t="s">
        <v>14256</v>
      </c>
      <c r="S3772" s="308" t="s">
        <v>81</v>
      </c>
      <c r="T3772" s="311" t="s">
        <v>96</v>
      </c>
      <c r="U3772" s="308"/>
      <c r="V3772" s="312"/>
    </row>
    <row r="3773">
      <c r="A3773" s="308">
        <v>3772.0</v>
      </c>
      <c r="B3773" s="308"/>
      <c r="C3773" s="308" t="s">
        <v>15442</v>
      </c>
      <c r="D3773" s="308">
        <f>IFERROR(__xludf.DUMMYFUNCTION("SPLIT(C3773,""-"")"),3793.0)</f>
        <v>3793</v>
      </c>
      <c r="E3773" s="308" t="str">
        <f>IFERROR(__xludf.DUMMYFUNCTION("""COMPUTED_VALUE"""),"K")</f>
        <v>K</v>
      </c>
      <c r="F3773" s="309" t="s">
        <v>34</v>
      </c>
      <c r="G3773" s="308"/>
      <c r="H3773" s="308" t="s">
        <v>15443</v>
      </c>
      <c r="I3773" s="314">
        <v>41266.0</v>
      </c>
      <c r="J3773" s="319">
        <f>IFERROR(__xludf.DUMMYFUNCTION("SPLIT(I3773,""/"")"),23.0)</f>
        <v>23</v>
      </c>
      <c r="K3773" s="308">
        <f>IFERROR(__xludf.DUMMYFUNCTION("""COMPUTED_VALUE"""),12.0)</f>
        <v>12</v>
      </c>
      <c r="L3773" s="308">
        <f>IFERROR(__xludf.DUMMYFUNCTION("""COMPUTED_VALUE"""),2012.0)</f>
        <v>2012</v>
      </c>
      <c r="M3773" s="308" t="s">
        <v>15444</v>
      </c>
      <c r="N3773" s="308"/>
      <c r="O3773" s="308"/>
      <c r="P3773" s="308" t="s">
        <v>37198</v>
      </c>
      <c r="Q3773" s="308" t="s">
        <v>37195</v>
      </c>
      <c r="R3773" s="308" t="s">
        <v>14256</v>
      </c>
      <c r="S3773" s="308" t="s">
        <v>81</v>
      </c>
      <c r="T3773" s="311" t="s">
        <v>73</v>
      </c>
      <c r="U3773" s="308" t="s">
        <v>2097</v>
      </c>
      <c r="V3773" s="312"/>
    </row>
    <row r="3774">
      <c r="A3774" s="308">
        <v>3773.0</v>
      </c>
      <c r="B3774" s="308"/>
      <c r="C3774" s="308" t="s">
        <v>15446</v>
      </c>
      <c r="D3774" s="308">
        <f>IFERROR(__xludf.DUMMYFUNCTION("SPLIT(C3774,""-"")"),3794.0)</f>
        <v>3794</v>
      </c>
      <c r="E3774" s="308" t="str">
        <f>IFERROR(__xludf.DUMMYFUNCTION("""COMPUTED_VALUE"""),"K")</f>
        <v>K</v>
      </c>
      <c r="F3774" s="309" t="s">
        <v>34</v>
      </c>
      <c r="G3774" s="308"/>
      <c r="H3774" s="308" t="s">
        <v>15447</v>
      </c>
      <c r="I3774" s="310">
        <v>42601.0</v>
      </c>
      <c r="J3774" s="319">
        <f>IFERROR(__xludf.DUMMYFUNCTION("SPLIT(I3774,""/"")"),19.0)</f>
        <v>19</v>
      </c>
      <c r="K3774" s="308">
        <f>IFERROR(__xludf.DUMMYFUNCTION("""COMPUTED_VALUE"""),8.0)</f>
        <v>8</v>
      </c>
      <c r="L3774" s="308">
        <f>IFERROR(__xludf.DUMMYFUNCTION("""COMPUTED_VALUE"""),2016.0)</f>
        <v>2016</v>
      </c>
      <c r="M3774" s="308" t="s">
        <v>15448</v>
      </c>
      <c r="N3774" s="308"/>
      <c r="O3774" s="308" t="s">
        <v>15449</v>
      </c>
      <c r="P3774" s="308" t="s">
        <v>15450</v>
      </c>
      <c r="Q3774" s="308" t="s">
        <v>37199</v>
      </c>
      <c r="R3774" s="308" t="s">
        <v>2743</v>
      </c>
      <c r="S3774" s="308" t="s">
        <v>81</v>
      </c>
      <c r="T3774" s="308" t="s">
        <v>75</v>
      </c>
      <c r="U3774" s="308"/>
      <c r="V3774" s="312"/>
    </row>
    <row r="3775">
      <c r="A3775" s="308">
        <v>3774.0</v>
      </c>
      <c r="B3775" s="308"/>
      <c r="C3775" s="308" t="s">
        <v>15451</v>
      </c>
      <c r="D3775" s="308">
        <f>IFERROR(__xludf.DUMMYFUNCTION("SPLIT(C3775,""-"")"),3795.0)</f>
        <v>3795</v>
      </c>
      <c r="E3775" s="308" t="str">
        <f>IFERROR(__xludf.DUMMYFUNCTION("""COMPUTED_VALUE"""),"K")</f>
        <v>K</v>
      </c>
      <c r="F3775" s="309" t="s">
        <v>34</v>
      </c>
      <c r="G3775" s="308"/>
      <c r="H3775" s="308" t="s">
        <v>15452</v>
      </c>
      <c r="I3775" s="310">
        <v>42381.0</v>
      </c>
      <c r="J3775" s="319">
        <f>IFERROR(__xludf.DUMMYFUNCTION("SPLIT(I3775,""/"")"),12.0)</f>
        <v>12</v>
      </c>
      <c r="K3775" s="308">
        <f>IFERROR(__xludf.DUMMYFUNCTION("""COMPUTED_VALUE"""),1.0)</f>
        <v>1</v>
      </c>
      <c r="L3775" s="308">
        <f>IFERROR(__xludf.DUMMYFUNCTION("""COMPUTED_VALUE"""),2016.0)</f>
        <v>2016</v>
      </c>
      <c r="M3775" s="308" t="s">
        <v>15453</v>
      </c>
      <c r="N3775" s="308"/>
      <c r="O3775" s="308" t="s">
        <v>635</v>
      </c>
      <c r="P3775" s="308" t="s">
        <v>15454</v>
      </c>
      <c r="Q3775" s="308" t="s">
        <v>37199</v>
      </c>
      <c r="R3775" s="308" t="s">
        <v>2743</v>
      </c>
      <c r="S3775" s="308" t="s">
        <v>81</v>
      </c>
      <c r="T3775" s="308" t="s">
        <v>75</v>
      </c>
      <c r="U3775" s="308"/>
      <c r="V3775" s="312"/>
    </row>
    <row r="3776">
      <c r="A3776" s="308">
        <v>3775.0</v>
      </c>
      <c r="B3776" s="308"/>
      <c r="C3776" s="308" t="s">
        <v>15455</v>
      </c>
      <c r="D3776" s="308">
        <f>IFERROR(__xludf.DUMMYFUNCTION("SPLIT(C3776,""-"")"),3796.0)</f>
        <v>3796</v>
      </c>
      <c r="E3776" s="308" t="str">
        <f>IFERROR(__xludf.DUMMYFUNCTION("""COMPUTED_VALUE"""),"P")</f>
        <v>P</v>
      </c>
      <c r="F3776" s="312" t="s">
        <v>37</v>
      </c>
      <c r="G3776" s="308"/>
      <c r="H3776" s="308" t="s">
        <v>15456</v>
      </c>
      <c r="I3776" s="310">
        <v>42266.0</v>
      </c>
      <c r="J3776" s="319">
        <f>IFERROR(__xludf.DUMMYFUNCTION("SPLIT(I3776,""/"")"),19.0)</f>
        <v>19</v>
      </c>
      <c r="K3776" s="308">
        <f>IFERROR(__xludf.DUMMYFUNCTION("""COMPUTED_VALUE"""),9.0)</f>
        <v>9</v>
      </c>
      <c r="L3776" s="308">
        <f>IFERROR(__xludf.DUMMYFUNCTION("""COMPUTED_VALUE"""),2015.0)</f>
        <v>2015</v>
      </c>
      <c r="M3776" s="308" t="s">
        <v>15457</v>
      </c>
      <c r="N3776" s="308"/>
      <c r="O3776" s="308" t="s">
        <v>15458</v>
      </c>
      <c r="P3776" s="308" t="s">
        <v>15459</v>
      </c>
      <c r="Q3776" s="308" t="s">
        <v>37200</v>
      </c>
      <c r="R3776" s="308" t="s">
        <v>2743</v>
      </c>
      <c r="S3776" s="308" t="s">
        <v>49</v>
      </c>
      <c r="T3776" s="308" t="s">
        <v>51</v>
      </c>
      <c r="U3776" s="308" t="s">
        <v>3012</v>
      </c>
      <c r="V3776" s="312"/>
    </row>
    <row r="3777">
      <c r="A3777" s="308">
        <v>3776.0</v>
      </c>
      <c r="B3777" s="308"/>
      <c r="C3777" s="308" t="s">
        <v>15460</v>
      </c>
      <c r="D3777" s="308">
        <f>IFERROR(__xludf.DUMMYFUNCTION("SPLIT(C3777,""-"")"),3797.0)</f>
        <v>3797</v>
      </c>
      <c r="E3777" s="308" t="str">
        <f>IFERROR(__xludf.DUMMYFUNCTION("""COMPUTED_VALUE"""),"P")</f>
        <v>P</v>
      </c>
      <c r="F3777" s="312" t="s">
        <v>37</v>
      </c>
      <c r="G3777" s="308"/>
      <c r="H3777" s="308" t="s">
        <v>15461</v>
      </c>
      <c r="I3777" s="326">
        <v>41579.0</v>
      </c>
      <c r="J3777" s="319"/>
      <c r="K3777" s="311">
        <v>11.0</v>
      </c>
      <c r="L3777" s="311">
        <v>2013.0</v>
      </c>
      <c r="M3777" s="308" t="s">
        <v>15462</v>
      </c>
      <c r="N3777" s="308"/>
      <c r="O3777" s="308"/>
      <c r="P3777" s="308" t="s">
        <v>15463</v>
      </c>
      <c r="Q3777" s="308" t="s">
        <v>37200</v>
      </c>
      <c r="R3777" s="308" t="s">
        <v>2743</v>
      </c>
      <c r="S3777" s="308" t="s">
        <v>81</v>
      </c>
      <c r="T3777" s="311" t="s">
        <v>98</v>
      </c>
      <c r="U3777" s="308" t="s">
        <v>15464</v>
      </c>
      <c r="V3777" s="312"/>
    </row>
    <row r="3778">
      <c r="A3778" s="308">
        <v>3777.0</v>
      </c>
      <c r="B3778" s="308"/>
      <c r="C3778" s="308" t="s">
        <v>15465</v>
      </c>
      <c r="D3778" s="308">
        <f>IFERROR(__xludf.DUMMYFUNCTION("SPLIT(C3778,""-"")"),3798.0)</f>
        <v>3798</v>
      </c>
      <c r="E3778" s="308" t="str">
        <f>IFERROR(__xludf.DUMMYFUNCTION("""COMPUTED_VALUE"""),"B")</f>
        <v>B</v>
      </c>
      <c r="F3778" s="315" t="s">
        <v>26</v>
      </c>
      <c r="G3778" s="308"/>
      <c r="H3778" s="308" t="s">
        <v>15466</v>
      </c>
      <c r="I3778" s="310">
        <v>41356.0</v>
      </c>
      <c r="J3778" s="319">
        <f>IFERROR(__xludf.DUMMYFUNCTION("SPLIT(I3778,""/"")"),23.0)</f>
        <v>23</v>
      </c>
      <c r="K3778" s="308">
        <f>IFERROR(__xludf.DUMMYFUNCTION("""COMPUTED_VALUE"""),3.0)</f>
        <v>3</v>
      </c>
      <c r="L3778" s="308">
        <f>IFERROR(__xludf.DUMMYFUNCTION("""COMPUTED_VALUE"""),2013.0)</f>
        <v>2013</v>
      </c>
      <c r="M3778" s="308" t="s">
        <v>15467</v>
      </c>
      <c r="N3778" s="308" t="s">
        <v>15468</v>
      </c>
      <c r="O3778" s="308"/>
      <c r="P3778" s="308" t="s">
        <v>37201</v>
      </c>
      <c r="Q3778" s="308" t="s">
        <v>37200</v>
      </c>
      <c r="R3778" s="308" t="s">
        <v>14911</v>
      </c>
      <c r="S3778" s="308" t="s">
        <v>49</v>
      </c>
      <c r="T3778" s="311" t="s">
        <v>51</v>
      </c>
      <c r="U3778" s="308" t="s">
        <v>27</v>
      </c>
      <c r="V3778" s="312"/>
    </row>
    <row r="3779">
      <c r="A3779" s="308">
        <v>3778.0</v>
      </c>
      <c r="B3779" s="308"/>
      <c r="C3779" s="308" t="s">
        <v>15470</v>
      </c>
      <c r="D3779" s="308">
        <f>IFERROR(__xludf.DUMMYFUNCTION("SPLIT(C3779,""-"")"),3799.0)</f>
        <v>3799</v>
      </c>
      <c r="E3779" s="308" t="str">
        <f>IFERROR(__xludf.DUMMYFUNCTION("""COMPUTED_VALUE"""),"P")</f>
        <v>P</v>
      </c>
      <c r="F3779" s="312" t="s">
        <v>37</v>
      </c>
      <c r="G3779" s="308"/>
      <c r="H3779" s="308" t="s">
        <v>15471</v>
      </c>
      <c r="I3779" s="310">
        <v>41616.0</v>
      </c>
      <c r="J3779" s="319">
        <f>IFERROR(__xludf.DUMMYFUNCTION("SPLIT(I3779,""/"")"),8.0)</f>
        <v>8</v>
      </c>
      <c r="K3779" s="308">
        <f>IFERROR(__xludf.DUMMYFUNCTION("""COMPUTED_VALUE"""),12.0)</f>
        <v>12</v>
      </c>
      <c r="L3779" s="308">
        <f>IFERROR(__xludf.DUMMYFUNCTION("""COMPUTED_VALUE"""),2013.0)</f>
        <v>2013</v>
      </c>
      <c r="M3779" s="308" t="s">
        <v>15472</v>
      </c>
      <c r="N3779" s="308"/>
      <c r="O3779" s="308" t="s">
        <v>15473</v>
      </c>
      <c r="P3779" s="308" t="s">
        <v>37202</v>
      </c>
      <c r="Q3779" s="308" t="s">
        <v>37200</v>
      </c>
      <c r="R3779" s="308" t="s">
        <v>14911</v>
      </c>
      <c r="S3779" s="308" t="s">
        <v>81</v>
      </c>
      <c r="T3779" s="311" t="s">
        <v>51</v>
      </c>
      <c r="U3779" s="308" t="s">
        <v>149</v>
      </c>
      <c r="V3779" s="312"/>
    </row>
    <row r="3780">
      <c r="A3780" s="308">
        <v>3779.0</v>
      </c>
      <c r="B3780" s="308"/>
      <c r="C3780" s="308" t="s">
        <v>15475</v>
      </c>
      <c r="D3780" s="308">
        <f>IFERROR(__xludf.DUMMYFUNCTION("SPLIT(C3780,""-"")"),3800.0)</f>
        <v>3800</v>
      </c>
      <c r="E3780" s="308" t="str">
        <f>IFERROR(__xludf.DUMMYFUNCTION("""COMPUTED_VALUE"""),"P")</f>
        <v>P</v>
      </c>
      <c r="F3780" s="312" t="s">
        <v>37</v>
      </c>
      <c r="G3780" s="308"/>
      <c r="H3780" s="308" t="s">
        <v>15476</v>
      </c>
      <c r="I3780" s="310">
        <v>42752.0</v>
      </c>
      <c r="J3780" s="319">
        <f>IFERROR(__xludf.DUMMYFUNCTION("SPLIT(I3780,""/"")"),17.0)</f>
        <v>17</v>
      </c>
      <c r="K3780" s="308">
        <f>IFERROR(__xludf.DUMMYFUNCTION("""COMPUTED_VALUE"""),1.0)</f>
        <v>1</v>
      </c>
      <c r="L3780" s="308">
        <f>IFERROR(__xludf.DUMMYFUNCTION("""COMPUTED_VALUE"""),2017.0)</f>
        <v>2017</v>
      </c>
      <c r="M3780" s="308" t="s">
        <v>15477</v>
      </c>
      <c r="N3780" s="308"/>
      <c r="O3780" s="308" t="s">
        <v>635</v>
      </c>
      <c r="P3780" s="308" t="s">
        <v>15478</v>
      </c>
      <c r="Q3780" s="308" t="s">
        <v>37200</v>
      </c>
      <c r="R3780" s="308" t="s">
        <v>14911</v>
      </c>
      <c r="S3780" s="308" t="s">
        <v>81</v>
      </c>
      <c r="T3780" s="308" t="s">
        <v>75</v>
      </c>
      <c r="U3780" s="308"/>
      <c r="V3780" s="312"/>
    </row>
    <row r="3781">
      <c r="A3781" s="308">
        <v>3780.0</v>
      </c>
      <c r="B3781" s="308"/>
      <c r="C3781" s="308" t="s">
        <v>15479</v>
      </c>
      <c r="D3781" s="308">
        <f>IFERROR(__xludf.DUMMYFUNCTION("SPLIT(C3781,""-"")"),3801.0)</f>
        <v>3801</v>
      </c>
      <c r="E3781" s="308" t="str">
        <f>IFERROR(__xludf.DUMMYFUNCTION("""COMPUTED_VALUE"""),"P")</f>
        <v>P</v>
      </c>
      <c r="F3781" s="312" t="s">
        <v>37</v>
      </c>
      <c r="G3781" s="308"/>
      <c r="H3781" s="308" t="s">
        <v>15480</v>
      </c>
      <c r="I3781" s="310">
        <v>42752.0</v>
      </c>
      <c r="J3781" s="319">
        <f>IFERROR(__xludf.DUMMYFUNCTION("SPLIT(I3781,""/"")"),17.0)</f>
        <v>17</v>
      </c>
      <c r="K3781" s="308">
        <f>IFERROR(__xludf.DUMMYFUNCTION("""COMPUTED_VALUE"""),1.0)</f>
        <v>1</v>
      </c>
      <c r="L3781" s="308">
        <f>IFERROR(__xludf.DUMMYFUNCTION("""COMPUTED_VALUE"""),2017.0)</f>
        <v>2017</v>
      </c>
      <c r="M3781" s="308" t="s">
        <v>15481</v>
      </c>
      <c r="N3781" s="308"/>
      <c r="O3781" s="308"/>
      <c r="P3781" s="308" t="s">
        <v>15482</v>
      </c>
      <c r="Q3781" s="308" t="s">
        <v>37200</v>
      </c>
      <c r="R3781" s="308" t="s">
        <v>14911</v>
      </c>
      <c r="S3781" s="308" t="s">
        <v>81</v>
      </c>
      <c r="T3781" s="308" t="s">
        <v>75</v>
      </c>
      <c r="U3781" s="308"/>
      <c r="V3781" s="312"/>
    </row>
    <row r="3782">
      <c r="A3782" s="308">
        <v>3781.0</v>
      </c>
      <c r="B3782" s="308"/>
      <c r="C3782" s="308" t="s">
        <v>15483</v>
      </c>
      <c r="D3782" s="308">
        <f>IFERROR(__xludf.DUMMYFUNCTION("SPLIT(C3782,""-"")"),3802.0)</f>
        <v>3802</v>
      </c>
      <c r="E3782" s="308" t="str">
        <f>IFERROR(__xludf.DUMMYFUNCTION("""COMPUTED_VALUE"""),"I")</f>
        <v>I</v>
      </c>
      <c r="F3782" s="309" t="s">
        <v>31</v>
      </c>
      <c r="G3782" s="308"/>
      <c r="H3782" s="308" t="s">
        <v>15484</v>
      </c>
      <c r="I3782" s="310">
        <v>42749.0</v>
      </c>
      <c r="J3782" s="319">
        <f>IFERROR(__xludf.DUMMYFUNCTION("SPLIT(I3782,""/"")"),14.0)</f>
        <v>14</v>
      </c>
      <c r="K3782" s="308">
        <f>IFERROR(__xludf.DUMMYFUNCTION("""COMPUTED_VALUE"""),1.0)</f>
        <v>1</v>
      </c>
      <c r="L3782" s="308">
        <f>IFERROR(__xludf.DUMMYFUNCTION("""COMPUTED_VALUE"""),2017.0)</f>
        <v>2017</v>
      </c>
      <c r="M3782" s="308" t="s">
        <v>15485</v>
      </c>
      <c r="N3782" s="308"/>
      <c r="O3782" s="308"/>
      <c r="P3782" s="308" t="s">
        <v>15486</v>
      </c>
      <c r="Q3782" s="308" t="s">
        <v>37200</v>
      </c>
      <c r="R3782" s="308" t="s">
        <v>14911</v>
      </c>
      <c r="S3782" s="308" t="s">
        <v>81</v>
      </c>
      <c r="T3782" s="308" t="s">
        <v>75</v>
      </c>
      <c r="U3782" s="308"/>
      <c r="V3782" s="312"/>
    </row>
    <row r="3783">
      <c r="A3783" s="308">
        <v>3782.0</v>
      </c>
      <c r="B3783" s="308"/>
      <c r="C3783" s="308" t="s">
        <v>15487</v>
      </c>
      <c r="D3783" s="308">
        <f>IFERROR(__xludf.DUMMYFUNCTION("SPLIT(C3783,""-"")"),3803.0)</f>
        <v>3803</v>
      </c>
      <c r="E3783" s="308" t="str">
        <f>IFERROR(__xludf.DUMMYFUNCTION("""COMPUTED_VALUE"""),"I")</f>
        <v>I</v>
      </c>
      <c r="F3783" s="309" t="s">
        <v>31</v>
      </c>
      <c r="G3783" s="308"/>
      <c r="H3783" s="308" t="s">
        <v>15488</v>
      </c>
      <c r="I3783" s="310">
        <v>42743.0</v>
      </c>
      <c r="J3783" s="319">
        <f>IFERROR(__xludf.DUMMYFUNCTION("SPLIT(I3783,""/"")"),8.0)</f>
        <v>8</v>
      </c>
      <c r="K3783" s="308">
        <f>IFERROR(__xludf.DUMMYFUNCTION("""COMPUTED_VALUE"""),1.0)</f>
        <v>1</v>
      </c>
      <c r="L3783" s="308">
        <f>IFERROR(__xludf.DUMMYFUNCTION("""COMPUTED_VALUE"""),2017.0)</f>
        <v>2017</v>
      </c>
      <c r="M3783" s="308" t="s">
        <v>15489</v>
      </c>
      <c r="N3783" s="308"/>
      <c r="O3783" s="308" t="s">
        <v>15490</v>
      </c>
      <c r="P3783" s="308" t="s">
        <v>37203</v>
      </c>
      <c r="Q3783" s="308" t="s">
        <v>37200</v>
      </c>
      <c r="R3783" s="308" t="s">
        <v>2743</v>
      </c>
      <c r="S3783" s="308" t="s">
        <v>81</v>
      </c>
      <c r="T3783" s="308" t="s">
        <v>75</v>
      </c>
      <c r="U3783" s="308" t="s">
        <v>31</v>
      </c>
      <c r="V3783" s="312"/>
    </row>
    <row r="3784">
      <c r="A3784" s="308">
        <v>3783.0</v>
      </c>
      <c r="B3784" s="308"/>
      <c r="C3784" s="308" t="s">
        <v>15492</v>
      </c>
      <c r="D3784" s="308">
        <f>IFERROR(__xludf.DUMMYFUNCTION("SPLIT(C3784,""-"")"),3804.0)</f>
        <v>3804</v>
      </c>
      <c r="E3784" s="308" t="str">
        <f>IFERROR(__xludf.DUMMYFUNCTION("""COMPUTED_VALUE"""),"P")</f>
        <v>P</v>
      </c>
      <c r="F3784" s="312" t="s">
        <v>37</v>
      </c>
      <c r="G3784" s="308"/>
      <c r="H3784" s="308" t="s">
        <v>4786</v>
      </c>
      <c r="I3784" s="310">
        <v>42677.0</v>
      </c>
      <c r="J3784" s="319">
        <f>IFERROR(__xludf.DUMMYFUNCTION("SPLIT(I3784,""/"")"),3.0)</f>
        <v>3</v>
      </c>
      <c r="K3784" s="308">
        <f>IFERROR(__xludf.DUMMYFUNCTION("""COMPUTED_VALUE"""),11.0)</f>
        <v>11</v>
      </c>
      <c r="L3784" s="308">
        <f>IFERROR(__xludf.DUMMYFUNCTION("""COMPUTED_VALUE"""),2016.0)</f>
        <v>2016</v>
      </c>
      <c r="M3784" s="308" t="s">
        <v>15493</v>
      </c>
      <c r="N3784" s="308"/>
      <c r="O3784" s="308"/>
      <c r="P3784" s="308" t="s">
        <v>37204</v>
      </c>
      <c r="Q3784" s="308" t="s">
        <v>37200</v>
      </c>
      <c r="R3784" s="308" t="s">
        <v>2743</v>
      </c>
      <c r="S3784" s="315" t="s">
        <v>100</v>
      </c>
      <c r="T3784" s="311" t="s">
        <v>34208</v>
      </c>
      <c r="U3784" s="308" t="s">
        <v>2527</v>
      </c>
      <c r="V3784" s="312"/>
    </row>
    <row r="3785">
      <c r="A3785" s="308">
        <v>3784.0</v>
      </c>
      <c r="B3785" s="308"/>
      <c r="C3785" s="308" t="s">
        <v>15494</v>
      </c>
      <c r="D3785" s="308">
        <f>IFERROR(__xludf.DUMMYFUNCTION("SPLIT(C3785,""-"")"),3805.0)</f>
        <v>3805</v>
      </c>
      <c r="E3785" s="308" t="str">
        <f>IFERROR(__xludf.DUMMYFUNCTION("""COMPUTED_VALUE"""),"P")</f>
        <v>P</v>
      </c>
      <c r="F3785" s="312" t="s">
        <v>37</v>
      </c>
      <c r="G3785" s="308"/>
      <c r="H3785" s="308" t="s">
        <v>15495</v>
      </c>
      <c r="I3785" s="310">
        <v>42742.0</v>
      </c>
      <c r="J3785" s="319">
        <f>IFERROR(__xludf.DUMMYFUNCTION("SPLIT(I3785,""/"")"),7.0)</f>
        <v>7</v>
      </c>
      <c r="K3785" s="308">
        <f>IFERROR(__xludf.DUMMYFUNCTION("""COMPUTED_VALUE"""),1.0)</f>
        <v>1</v>
      </c>
      <c r="L3785" s="308">
        <f>IFERROR(__xludf.DUMMYFUNCTION("""COMPUTED_VALUE"""),2017.0)</f>
        <v>2017</v>
      </c>
      <c r="M3785" s="308" t="s">
        <v>15496</v>
      </c>
      <c r="N3785" s="308"/>
      <c r="O3785" s="308"/>
      <c r="P3785" s="308" t="s">
        <v>15497</v>
      </c>
      <c r="Q3785" s="308" t="s">
        <v>37205</v>
      </c>
      <c r="R3785" s="308" t="s">
        <v>14911</v>
      </c>
      <c r="S3785" s="308" t="s">
        <v>81</v>
      </c>
      <c r="T3785" s="308" t="s">
        <v>75</v>
      </c>
      <c r="U3785" s="308" t="s">
        <v>143</v>
      </c>
      <c r="V3785" s="312"/>
    </row>
    <row r="3786">
      <c r="A3786" s="308">
        <v>3785.0</v>
      </c>
      <c r="B3786" s="308"/>
      <c r="C3786" s="308" t="s">
        <v>15498</v>
      </c>
      <c r="D3786" s="308">
        <f>IFERROR(__xludf.DUMMYFUNCTION("SPLIT(C3786,""-"")"),3806.0)</f>
        <v>3806</v>
      </c>
      <c r="E3786" s="308" t="str">
        <f>IFERROR(__xludf.DUMMYFUNCTION("""COMPUTED_VALUE"""),"S")</f>
        <v>S</v>
      </c>
      <c r="F3786" s="312" t="s">
        <v>39</v>
      </c>
      <c r="G3786" s="308"/>
      <c r="H3786" s="308" t="s">
        <v>15499</v>
      </c>
      <c r="I3786" s="310">
        <v>42747.0</v>
      </c>
      <c r="J3786" s="319">
        <f>IFERROR(__xludf.DUMMYFUNCTION("SPLIT(I3786,""/"")"),12.0)</f>
        <v>12</v>
      </c>
      <c r="K3786" s="308">
        <f>IFERROR(__xludf.DUMMYFUNCTION("""COMPUTED_VALUE"""),1.0)</f>
        <v>1</v>
      </c>
      <c r="L3786" s="308">
        <f>IFERROR(__xludf.DUMMYFUNCTION("""COMPUTED_VALUE"""),2017.0)</f>
        <v>2017</v>
      </c>
      <c r="M3786" s="308" t="s">
        <v>15500</v>
      </c>
      <c r="N3786" s="308"/>
      <c r="O3786" s="308" t="s">
        <v>635</v>
      </c>
      <c r="P3786" s="308" t="s">
        <v>37206</v>
      </c>
      <c r="Q3786" s="308" t="s">
        <v>37205</v>
      </c>
      <c r="R3786" s="308" t="s">
        <v>14256</v>
      </c>
      <c r="S3786" s="308" t="s">
        <v>81</v>
      </c>
      <c r="T3786" s="308" t="s">
        <v>75</v>
      </c>
      <c r="U3786" s="308"/>
      <c r="V3786" s="312"/>
    </row>
    <row r="3787">
      <c r="A3787" s="308">
        <v>3786.0</v>
      </c>
      <c r="B3787" s="308"/>
      <c r="C3787" s="308" t="s">
        <v>15502</v>
      </c>
      <c r="D3787" s="308">
        <f>IFERROR(__xludf.DUMMYFUNCTION("SPLIT(C3787,""-"")"),3807.0)</f>
        <v>3807</v>
      </c>
      <c r="E3787" s="308" t="str">
        <f>IFERROR(__xludf.DUMMYFUNCTION("""COMPUTED_VALUE"""),"P")</f>
        <v>P</v>
      </c>
      <c r="F3787" s="312" t="s">
        <v>37</v>
      </c>
      <c r="G3787" s="308"/>
      <c r="H3787" s="308" t="s">
        <v>15503</v>
      </c>
      <c r="I3787" s="310">
        <v>41476.0</v>
      </c>
      <c r="J3787" s="319">
        <f>IFERROR(__xludf.DUMMYFUNCTION("SPLIT(I3787,""/"")"),21.0)</f>
        <v>21</v>
      </c>
      <c r="K3787" s="308">
        <f>IFERROR(__xludf.DUMMYFUNCTION("""COMPUTED_VALUE"""),7.0)</f>
        <v>7</v>
      </c>
      <c r="L3787" s="308">
        <f>IFERROR(__xludf.DUMMYFUNCTION("""COMPUTED_VALUE"""),2013.0)</f>
        <v>2013</v>
      </c>
      <c r="M3787" s="308" t="s">
        <v>15504</v>
      </c>
      <c r="N3787" s="308"/>
      <c r="O3787" s="308" t="s">
        <v>15505</v>
      </c>
      <c r="P3787" s="308" t="s">
        <v>2774</v>
      </c>
      <c r="Q3787" s="308" t="s">
        <v>37205</v>
      </c>
      <c r="R3787" s="308" t="s">
        <v>2743</v>
      </c>
      <c r="S3787" s="308" t="s">
        <v>49</v>
      </c>
      <c r="T3787" s="308" t="s">
        <v>51</v>
      </c>
      <c r="U3787" s="308"/>
      <c r="V3787" s="312"/>
    </row>
    <row r="3788">
      <c r="A3788" s="308">
        <v>3787.0</v>
      </c>
      <c r="B3788" s="308"/>
      <c r="C3788" s="308" t="s">
        <v>15506</v>
      </c>
      <c r="D3788" s="308">
        <f>IFERROR(__xludf.DUMMYFUNCTION("SPLIT(C3788,""-"")"),3808.0)</f>
        <v>3808</v>
      </c>
      <c r="E3788" s="308" t="str">
        <f>IFERROR(__xludf.DUMMYFUNCTION("""COMPUTED_VALUE"""),"P")</f>
        <v>P</v>
      </c>
      <c r="F3788" s="312" t="s">
        <v>37</v>
      </c>
      <c r="G3788" s="308"/>
      <c r="H3788" s="308" t="s">
        <v>15507</v>
      </c>
      <c r="I3788" s="310">
        <v>42593.0</v>
      </c>
      <c r="J3788" s="319">
        <f>IFERROR(__xludf.DUMMYFUNCTION("SPLIT(I3788,""/"")"),11.0)</f>
        <v>11</v>
      </c>
      <c r="K3788" s="308">
        <f>IFERROR(__xludf.DUMMYFUNCTION("""COMPUTED_VALUE"""),8.0)</f>
        <v>8</v>
      </c>
      <c r="L3788" s="308">
        <f>IFERROR(__xludf.DUMMYFUNCTION("""COMPUTED_VALUE"""),2016.0)</f>
        <v>2016</v>
      </c>
      <c r="M3788" s="308" t="s">
        <v>15508</v>
      </c>
      <c r="N3788" s="308"/>
      <c r="O3788" s="308"/>
      <c r="P3788" s="308" t="s">
        <v>37207</v>
      </c>
      <c r="Q3788" s="308" t="s">
        <v>37205</v>
      </c>
      <c r="R3788" s="308" t="s">
        <v>2743</v>
      </c>
      <c r="S3788" s="308" t="s">
        <v>81</v>
      </c>
      <c r="T3788" s="308" t="s">
        <v>75</v>
      </c>
      <c r="U3788" s="308" t="s">
        <v>149</v>
      </c>
      <c r="V3788" s="312"/>
    </row>
    <row r="3789">
      <c r="A3789" s="308">
        <v>3788.0</v>
      </c>
      <c r="B3789" s="308"/>
      <c r="C3789" s="308" t="s">
        <v>15510</v>
      </c>
      <c r="D3789" s="308">
        <f>IFERROR(__xludf.DUMMYFUNCTION("SPLIT(C3789,""-"")"),3809.0)</f>
        <v>3809</v>
      </c>
      <c r="E3789" s="308" t="str">
        <f>IFERROR(__xludf.DUMMYFUNCTION("""COMPUTED_VALUE"""),"P")</f>
        <v>P</v>
      </c>
      <c r="F3789" s="312" t="s">
        <v>37</v>
      </c>
      <c r="G3789" s="308"/>
      <c r="H3789" s="308" t="s">
        <v>15511</v>
      </c>
      <c r="I3789" s="310">
        <v>42242.0</v>
      </c>
      <c r="J3789" s="319">
        <f>IFERROR(__xludf.DUMMYFUNCTION("SPLIT(I3789,""/"")"),26.0)</f>
        <v>26</v>
      </c>
      <c r="K3789" s="308">
        <f>IFERROR(__xludf.DUMMYFUNCTION("""COMPUTED_VALUE"""),8.0)</f>
        <v>8</v>
      </c>
      <c r="L3789" s="308">
        <f>IFERROR(__xludf.DUMMYFUNCTION("""COMPUTED_VALUE"""),2015.0)</f>
        <v>2015</v>
      </c>
      <c r="M3789" s="308" t="s">
        <v>15512</v>
      </c>
      <c r="N3789" s="308"/>
      <c r="O3789" s="308" t="s">
        <v>15513</v>
      </c>
      <c r="P3789" s="308" t="s">
        <v>37208</v>
      </c>
      <c r="Q3789" s="308" t="s">
        <v>37205</v>
      </c>
      <c r="R3789" s="308" t="s">
        <v>2743</v>
      </c>
      <c r="S3789" s="308" t="s">
        <v>81</v>
      </c>
      <c r="T3789" s="308" t="s">
        <v>75</v>
      </c>
      <c r="U3789" s="308" t="s">
        <v>5707</v>
      </c>
      <c r="V3789" s="312"/>
    </row>
    <row r="3790">
      <c r="A3790" s="308">
        <v>3789.0</v>
      </c>
      <c r="B3790" s="308"/>
      <c r="C3790" s="308" t="s">
        <v>15515</v>
      </c>
      <c r="D3790" s="308">
        <f>IFERROR(__xludf.DUMMYFUNCTION("SPLIT(C3790,""-"")"),3810.0)</f>
        <v>3810</v>
      </c>
      <c r="E3790" s="308" t="str">
        <f>IFERROR(__xludf.DUMMYFUNCTION("""COMPUTED_VALUE"""),"K")</f>
        <v>K</v>
      </c>
      <c r="F3790" s="309" t="s">
        <v>34</v>
      </c>
      <c r="G3790" s="308"/>
      <c r="H3790" s="308" t="s">
        <v>15516</v>
      </c>
      <c r="I3790" s="310">
        <v>42760.0</v>
      </c>
      <c r="J3790" s="319" t="str">
        <f>IFERROR(__xludf.DUMMYFUNCTION("SPLIT(I3790,""/"")"),"#REF!")</f>
        <v>#REF!</v>
      </c>
      <c r="K3790" s="308"/>
      <c r="L3790" s="308">
        <v>2017.0</v>
      </c>
      <c r="M3790" s="308" t="s">
        <v>15517</v>
      </c>
      <c r="N3790" s="308"/>
      <c r="O3790" s="308" t="s">
        <v>15518</v>
      </c>
      <c r="P3790" s="308" t="s">
        <v>37209</v>
      </c>
      <c r="Q3790" s="308" t="s">
        <v>37205</v>
      </c>
      <c r="R3790" s="308" t="s">
        <v>2743</v>
      </c>
      <c r="S3790" s="315" t="s">
        <v>100</v>
      </c>
      <c r="T3790" s="311" t="s">
        <v>34208</v>
      </c>
      <c r="U3790" s="308" t="s">
        <v>125</v>
      </c>
      <c r="V3790" s="312"/>
    </row>
    <row r="3791">
      <c r="A3791" s="308">
        <v>3790.0</v>
      </c>
      <c r="B3791" s="308"/>
      <c r="C3791" s="308" t="s">
        <v>15519</v>
      </c>
      <c r="D3791" s="308">
        <f>IFERROR(__xludf.DUMMYFUNCTION("SPLIT(C3791,""-"")"),3811.0)</f>
        <v>3811</v>
      </c>
      <c r="E3791" s="308" t="str">
        <f>IFERROR(__xludf.DUMMYFUNCTION("""COMPUTED_VALUE"""),"K")</f>
        <v>K</v>
      </c>
      <c r="F3791" s="309" t="s">
        <v>34</v>
      </c>
      <c r="G3791" s="308"/>
      <c r="H3791" s="308" t="s">
        <v>15520</v>
      </c>
      <c r="I3791" s="314">
        <v>41269.0</v>
      </c>
      <c r="J3791" s="319">
        <f>IFERROR(__xludf.DUMMYFUNCTION("SPLIT(I3791,""/"")"),26.0)</f>
        <v>26</v>
      </c>
      <c r="K3791" s="308">
        <f>IFERROR(__xludf.DUMMYFUNCTION("""COMPUTED_VALUE"""),12.0)</f>
        <v>12</v>
      </c>
      <c r="L3791" s="308">
        <f>IFERROR(__xludf.DUMMYFUNCTION("""COMPUTED_VALUE"""),2012.0)</f>
        <v>2012</v>
      </c>
      <c r="M3791" s="308" t="s">
        <v>15521</v>
      </c>
      <c r="N3791" s="308"/>
      <c r="O3791" s="308" t="s">
        <v>15522</v>
      </c>
      <c r="P3791" s="308">
        <v>5312.0</v>
      </c>
      <c r="Q3791" s="308" t="s">
        <v>37205</v>
      </c>
      <c r="R3791" s="308" t="s">
        <v>14911</v>
      </c>
      <c r="S3791" s="311" t="s">
        <v>79</v>
      </c>
      <c r="T3791" s="311" t="s">
        <v>79</v>
      </c>
      <c r="U3791" s="308" t="s">
        <v>2152</v>
      </c>
      <c r="V3791" s="312"/>
    </row>
    <row r="3792">
      <c r="A3792" s="308">
        <v>3791.0</v>
      </c>
      <c r="B3792" s="308"/>
      <c r="C3792" s="308" t="s">
        <v>15523</v>
      </c>
      <c r="D3792" s="308">
        <f>IFERROR(__xludf.DUMMYFUNCTION("SPLIT(C3792,""-"")"),3812.0)</f>
        <v>3812</v>
      </c>
      <c r="E3792" s="308" t="str">
        <f>IFERROR(__xludf.DUMMYFUNCTION("""COMPUTED_VALUE"""),"I")</f>
        <v>I</v>
      </c>
      <c r="F3792" s="309" t="s">
        <v>31</v>
      </c>
      <c r="G3792" s="308"/>
      <c r="H3792" s="308" t="s">
        <v>15524</v>
      </c>
      <c r="I3792" s="310">
        <v>42741.0</v>
      </c>
      <c r="J3792" s="319">
        <f>IFERROR(__xludf.DUMMYFUNCTION("SPLIT(I3792,""/"")"),6.0)</f>
        <v>6</v>
      </c>
      <c r="K3792" s="308">
        <f>IFERROR(__xludf.DUMMYFUNCTION("""COMPUTED_VALUE"""),1.0)</f>
        <v>1</v>
      </c>
      <c r="L3792" s="308">
        <f>IFERROR(__xludf.DUMMYFUNCTION("""COMPUTED_VALUE"""),2017.0)</f>
        <v>2017</v>
      </c>
      <c r="M3792" s="308" t="s">
        <v>15525</v>
      </c>
      <c r="N3792" s="308"/>
      <c r="O3792" s="308" t="s">
        <v>15526</v>
      </c>
      <c r="P3792" s="308" t="s">
        <v>15527</v>
      </c>
      <c r="Q3792" s="308" t="s">
        <v>37205</v>
      </c>
      <c r="R3792" s="308" t="s">
        <v>14911</v>
      </c>
      <c r="S3792" s="308" t="s">
        <v>81</v>
      </c>
      <c r="T3792" s="311" t="s">
        <v>75</v>
      </c>
      <c r="U3792" s="308" t="s">
        <v>31</v>
      </c>
      <c r="V3792" s="312"/>
    </row>
    <row r="3793">
      <c r="A3793" s="308">
        <v>3792.0</v>
      </c>
      <c r="B3793" s="308"/>
      <c r="C3793" s="308" t="s">
        <v>15528</v>
      </c>
      <c r="D3793" s="308">
        <f>IFERROR(__xludf.DUMMYFUNCTION("SPLIT(C3793,""-"")"),3813.0)</f>
        <v>3813</v>
      </c>
      <c r="E3793" s="308" t="str">
        <f>IFERROR(__xludf.DUMMYFUNCTION("""COMPUTED_VALUE"""),"I")</f>
        <v>I</v>
      </c>
      <c r="F3793" s="309" t="s">
        <v>31</v>
      </c>
      <c r="G3793" s="308"/>
      <c r="H3793" s="308" t="s">
        <v>15529</v>
      </c>
      <c r="I3793" s="310">
        <v>42749.0</v>
      </c>
      <c r="J3793" s="319">
        <f>IFERROR(__xludf.DUMMYFUNCTION("SPLIT(I3793,""/"")"),14.0)</f>
        <v>14</v>
      </c>
      <c r="K3793" s="308">
        <f>IFERROR(__xludf.DUMMYFUNCTION("""COMPUTED_VALUE"""),1.0)</f>
        <v>1</v>
      </c>
      <c r="L3793" s="308">
        <f>IFERROR(__xludf.DUMMYFUNCTION("""COMPUTED_VALUE"""),2017.0)</f>
        <v>2017</v>
      </c>
      <c r="M3793" s="308" t="s">
        <v>15530</v>
      </c>
      <c r="N3793" s="308"/>
      <c r="O3793" s="308" t="s">
        <v>635</v>
      </c>
      <c r="P3793" s="308" t="s">
        <v>15531</v>
      </c>
      <c r="Q3793" s="308" t="s">
        <v>37205</v>
      </c>
      <c r="R3793" s="308" t="s">
        <v>14911</v>
      </c>
      <c r="S3793" s="308" t="s">
        <v>81</v>
      </c>
      <c r="T3793" s="308" t="s">
        <v>75</v>
      </c>
      <c r="U3793" s="308"/>
      <c r="V3793" s="312"/>
    </row>
    <row r="3794">
      <c r="A3794" s="308">
        <v>3793.0</v>
      </c>
      <c r="B3794" s="308"/>
      <c r="C3794" s="308" t="s">
        <v>15532</v>
      </c>
      <c r="D3794" s="308">
        <f>IFERROR(__xludf.DUMMYFUNCTION("SPLIT(C3794,""-"")"),3814.0)</f>
        <v>3814</v>
      </c>
      <c r="E3794" s="308" t="str">
        <f>IFERROR(__xludf.DUMMYFUNCTION("""COMPUTED_VALUE"""),"K")</f>
        <v>K</v>
      </c>
      <c r="F3794" s="309" t="s">
        <v>34</v>
      </c>
      <c r="G3794" s="308"/>
      <c r="H3794" s="308" t="s">
        <v>15533</v>
      </c>
      <c r="I3794" s="310">
        <v>42763.0</v>
      </c>
      <c r="J3794" s="319" t="str">
        <f>IFERROR(__xludf.DUMMYFUNCTION("SPLIT(I3794,""/"")"),"#REF!")</f>
        <v>#REF!</v>
      </c>
      <c r="K3794" s="308"/>
      <c r="L3794" s="308">
        <v>2017.0</v>
      </c>
      <c r="M3794" s="308" t="s">
        <v>15534</v>
      </c>
      <c r="N3794" s="308"/>
      <c r="O3794" s="308" t="s">
        <v>15535</v>
      </c>
      <c r="P3794" s="308" t="s">
        <v>15536</v>
      </c>
      <c r="Q3794" s="308" t="s">
        <v>37205</v>
      </c>
      <c r="R3794" s="308" t="s">
        <v>2743</v>
      </c>
      <c r="S3794" s="308" t="s">
        <v>81</v>
      </c>
      <c r="T3794" s="308" t="s">
        <v>75</v>
      </c>
      <c r="U3794" s="308" t="s">
        <v>10279</v>
      </c>
      <c r="V3794" s="312"/>
    </row>
    <row r="3795">
      <c r="A3795" s="308">
        <v>3794.0</v>
      </c>
      <c r="B3795" s="308"/>
      <c r="C3795" s="308" t="s">
        <v>15537</v>
      </c>
      <c r="D3795" s="308">
        <f>IFERROR(__xludf.DUMMYFUNCTION("SPLIT(C3795,""-"")"),3815.0)</f>
        <v>3815</v>
      </c>
      <c r="E3795" s="308" t="str">
        <f>IFERROR(__xludf.DUMMYFUNCTION("""COMPUTED_VALUE"""),"P")</f>
        <v>P</v>
      </c>
      <c r="F3795" s="312" t="s">
        <v>37</v>
      </c>
      <c r="G3795" s="308"/>
      <c r="H3795" s="308" t="s">
        <v>37210</v>
      </c>
      <c r="I3795" s="310">
        <v>42604.0</v>
      </c>
      <c r="J3795" s="319">
        <f>IFERROR(__xludf.DUMMYFUNCTION("SPLIT(I3795,""/"")"),22.0)</f>
        <v>22</v>
      </c>
      <c r="K3795" s="308">
        <f>IFERROR(__xludf.DUMMYFUNCTION("""COMPUTED_VALUE"""),8.0)</f>
        <v>8</v>
      </c>
      <c r="L3795" s="308">
        <f>IFERROR(__xludf.DUMMYFUNCTION("""COMPUTED_VALUE"""),2016.0)</f>
        <v>2016</v>
      </c>
      <c r="M3795" s="308" t="s">
        <v>15539</v>
      </c>
      <c r="N3795" s="308"/>
      <c r="O3795" s="308"/>
      <c r="P3795" s="308" t="s">
        <v>37211</v>
      </c>
      <c r="Q3795" s="308" t="s">
        <v>37212</v>
      </c>
      <c r="R3795" s="308" t="s">
        <v>2743</v>
      </c>
      <c r="S3795" s="308" t="s">
        <v>81</v>
      </c>
      <c r="T3795" s="308" t="s">
        <v>75</v>
      </c>
      <c r="U3795" s="308" t="s">
        <v>5702</v>
      </c>
      <c r="V3795" s="312"/>
    </row>
    <row r="3796">
      <c r="A3796" s="308">
        <v>3795.0</v>
      </c>
      <c r="B3796" s="308"/>
      <c r="C3796" s="308" t="s">
        <v>15541</v>
      </c>
      <c r="D3796" s="308">
        <f>IFERROR(__xludf.DUMMYFUNCTION("SPLIT(C3796,""-"")"),3816.0)</f>
        <v>3816</v>
      </c>
      <c r="E3796" s="308" t="str">
        <f>IFERROR(__xludf.DUMMYFUNCTION("""COMPUTED_VALUE"""),"P")</f>
        <v>P</v>
      </c>
      <c r="F3796" s="312" t="s">
        <v>37</v>
      </c>
      <c r="G3796" s="308"/>
      <c r="H3796" s="308" t="s">
        <v>15542</v>
      </c>
      <c r="I3796" s="310">
        <v>42634.0</v>
      </c>
      <c r="J3796" s="319">
        <f>IFERROR(__xludf.DUMMYFUNCTION("SPLIT(I3796,""/"")"),21.0)</f>
        <v>21</v>
      </c>
      <c r="K3796" s="308">
        <f>IFERROR(__xludf.DUMMYFUNCTION("""COMPUTED_VALUE"""),9.0)</f>
        <v>9</v>
      </c>
      <c r="L3796" s="308">
        <f>IFERROR(__xludf.DUMMYFUNCTION("""COMPUTED_VALUE"""),2016.0)</f>
        <v>2016</v>
      </c>
      <c r="M3796" s="308" t="s">
        <v>15539</v>
      </c>
      <c r="N3796" s="308"/>
      <c r="O3796" s="308" t="s">
        <v>15543</v>
      </c>
      <c r="P3796" s="308" t="s">
        <v>15544</v>
      </c>
      <c r="Q3796" s="308" t="s">
        <v>37212</v>
      </c>
      <c r="R3796" s="308" t="s">
        <v>2743</v>
      </c>
      <c r="S3796" s="308" t="s">
        <v>81</v>
      </c>
      <c r="T3796" s="308" t="s">
        <v>75</v>
      </c>
      <c r="U3796" s="308" t="s">
        <v>2748</v>
      </c>
      <c r="V3796" s="312"/>
    </row>
    <row r="3797">
      <c r="A3797" s="308">
        <v>3796.0</v>
      </c>
      <c r="B3797" s="308"/>
      <c r="C3797" s="308" t="s">
        <v>15545</v>
      </c>
      <c r="D3797" s="308">
        <f>IFERROR(__xludf.DUMMYFUNCTION("SPLIT(C3797,""-"")"),3817.0)</f>
        <v>3817</v>
      </c>
      <c r="E3797" s="308" t="str">
        <f>IFERROR(__xludf.DUMMYFUNCTION("""COMPUTED_VALUE"""),"P")</f>
        <v>P</v>
      </c>
      <c r="F3797" s="312" t="s">
        <v>37</v>
      </c>
      <c r="G3797" s="308"/>
      <c r="H3797" s="308" t="s">
        <v>15546</v>
      </c>
      <c r="I3797" s="322"/>
      <c r="J3797" s="319"/>
      <c r="K3797" s="308"/>
      <c r="L3797" s="311" t="s">
        <v>79</v>
      </c>
      <c r="M3797" s="308" t="s">
        <v>15539</v>
      </c>
      <c r="N3797" s="308"/>
      <c r="O3797" s="308"/>
      <c r="P3797" s="308" t="s">
        <v>37213</v>
      </c>
      <c r="Q3797" s="308" t="s">
        <v>37212</v>
      </c>
      <c r="R3797" s="308" t="s">
        <v>2743</v>
      </c>
      <c r="S3797" s="308" t="s">
        <v>81</v>
      </c>
      <c r="T3797" s="308" t="s">
        <v>75</v>
      </c>
      <c r="U3797" s="308" t="s">
        <v>5702</v>
      </c>
      <c r="V3797" s="312"/>
    </row>
    <row r="3798">
      <c r="A3798" s="308">
        <v>3797.0</v>
      </c>
      <c r="B3798" s="308"/>
      <c r="C3798" s="308" t="s">
        <v>15548</v>
      </c>
      <c r="D3798" s="308">
        <f>IFERROR(__xludf.DUMMYFUNCTION("SPLIT(C3798,""-"")"),3818.0)</f>
        <v>3818</v>
      </c>
      <c r="E3798" s="308" t="str">
        <f>IFERROR(__xludf.DUMMYFUNCTION("""COMPUTED_VALUE"""),"P")</f>
        <v>P</v>
      </c>
      <c r="F3798" s="312" t="s">
        <v>37</v>
      </c>
      <c r="G3798" s="308"/>
      <c r="H3798" s="308" t="s">
        <v>15549</v>
      </c>
      <c r="I3798" s="322"/>
      <c r="J3798" s="319"/>
      <c r="K3798" s="308"/>
      <c r="L3798" s="311" t="s">
        <v>79</v>
      </c>
      <c r="M3798" s="308" t="s">
        <v>15539</v>
      </c>
      <c r="N3798" s="308"/>
      <c r="O3798" s="308"/>
      <c r="P3798" s="308" t="s">
        <v>37214</v>
      </c>
      <c r="Q3798" s="308" t="s">
        <v>37212</v>
      </c>
      <c r="R3798" s="308" t="s">
        <v>2743</v>
      </c>
      <c r="S3798" s="308" t="s">
        <v>81</v>
      </c>
      <c r="T3798" s="308" t="s">
        <v>75</v>
      </c>
      <c r="U3798" s="308" t="s">
        <v>3407</v>
      </c>
      <c r="V3798" s="312"/>
    </row>
    <row r="3799">
      <c r="A3799" s="308">
        <v>3798.0</v>
      </c>
      <c r="B3799" s="308"/>
      <c r="C3799" s="308" t="s">
        <v>15551</v>
      </c>
      <c r="D3799" s="308">
        <f>IFERROR(__xludf.DUMMYFUNCTION("SPLIT(C3799,""-"")"),3819.0)</f>
        <v>3819</v>
      </c>
      <c r="E3799" s="308" t="str">
        <f>IFERROR(__xludf.DUMMYFUNCTION("""COMPUTED_VALUE"""),"P")</f>
        <v>P</v>
      </c>
      <c r="F3799" s="312" t="s">
        <v>37</v>
      </c>
      <c r="G3799" s="308"/>
      <c r="H3799" s="308" t="s">
        <v>15552</v>
      </c>
      <c r="I3799" s="322"/>
      <c r="J3799" s="319"/>
      <c r="K3799" s="308"/>
      <c r="L3799" s="311" t="s">
        <v>79</v>
      </c>
      <c r="M3799" s="308" t="s">
        <v>15539</v>
      </c>
      <c r="N3799" s="308"/>
      <c r="O3799" s="308" t="s">
        <v>15553</v>
      </c>
      <c r="P3799" s="308" t="s">
        <v>15554</v>
      </c>
      <c r="Q3799" s="308" t="s">
        <v>37212</v>
      </c>
      <c r="R3799" s="308" t="s">
        <v>2743</v>
      </c>
      <c r="S3799" s="308" t="s">
        <v>49</v>
      </c>
      <c r="T3799" s="311" t="s">
        <v>51</v>
      </c>
      <c r="U3799" s="308" t="s">
        <v>5702</v>
      </c>
      <c r="V3799" s="312"/>
    </row>
    <row r="3800">
      <c r="A3800" s="308">
        <v>3799.0</v>
      </c>
      <c r="B3800" s="308"/>
      <c r="C3800" s="308" t="s">
        <v>15555</v>
      </c>
      <c r="D3800" s="308">
        <f>IFERROR(__xludf.DUMMYFUNCTION("SPLIT(C3800,""-"")"),3820.0)</f>
        <v>3820</v>
      </c>
      <c r="E3800" s="308" t="str">
        <f>IFERROR(__xludf.DUMMYFUNCTION("""COMPUTED_VALUE"""),"K")</f>
        <v>K</v>
      </c>
      <c r="F3800" s="309" t="s">
        <v>34</v>
      </c>
      <c r="G3800" s="308"/>
      <c r="H3800" s="308" t="s">
        <v>15556</v>
      </c>
      <c r="I3800" s="310">
        <v>42168.0</v>
      </c>
      <c r="J3800" s="319">
        <f>IFERROR(__xludf.DUMMYFUNCTION("SPLIT(I3800,""/"")"),13.0)</f>
        <v>13</v>
      </c>
      <c r="K3800" s="308">
        <f>IFERROR(__xludf.DUMMYFUNCTION("""COMPUTED_VALUE"""),6.0)</f>
        <v>6</v>
      </c>
      <c r="L3800" s="308">
        <f>IFERROR(__xludf.DUMMYFUNCTION("""COMPUTED_VALUE"""),2015.0)</f>
        <v>2015</v>
      </c>
      <c r="M3800" s="308" t="s">
        <v>15557</v>
      </c>
      <c r="N3800" s="308"/>
      <c r="O3800" s="308"/>
      <c r="P3800" s="308" t="s">
        <v>37209</v>
      </c>
      <c r="Q3800" s="308" t="s">
        <v>37215</v>
      </c>
      <c r="R3800" s="308" t="s">
        <v>2743</v>
      </c>
      <c r="S3800" s="315" t="s">
        <v>100</v>
      </c>
      <c r="T3800" s="311" t="s">
        <v>34208</v>
      </c>
      <c r="U3800" s="308" t="s">
        <v>125</v>
      </c>
      <c r="V3800" s="312"/>
    </row>
    <row r="3801">
      <c r="A3801" s="308">
        <v>3800.0</v>
      </c>
      <c r="B3801" s="308"/>
      <c r="C3801" s="308" t="s">
        <v>15558</v>
      </c>
      <c r="D3801" s="308">
        <f>IFERROR(__xludf.DUMMYFUNCTION("SPLIT(C3801,""-"")"),3821.0)</f>
        <v>3821</v>
      </c>
      <c r="E3801" s="308" t="str">
        <f>IFERROR(__xludf.DUMMYFUNCTION("""COMPUTED_VALUE"""),"P")</f>
        <v>P</v>
      </c>
      <c r="F3801" s="312" t="s">
        <v>37</v>
      </c>
      <c r="G3801" s="308"/>
      <c r="H3801" s="308" t="s">
        <v>15559</v>
      </c>
      <c r="I3801" s="310">
        <v>42047.0</v>
      </c>
      <c r="J3801" s="319">
        <f>IFERROR(__xludf.DUMMYFUNCTION("SPLIT(I3801,""/"")"),12.0)</f>
        <v>12</v>
      </c>
      <c r="K3801" s="308">
        <f>IFERROR(__xludf.DUMMYFUNCTION("""COMPUTED_VALUE"""),2.0)</f>
        <v>2</v>
      </c>
      <c r="L3801" s="308">
        <f>IFERROR(__xludf.DUMMYFUNCTION("""COMPUTED_VALUE"""),2015.0)</f>
        <v>2015</v>
      </c>
      <c r="M3801" s="308" t="s">
        <v>15560</v>
      </c>
      <c r="N3801" s="308"/>
      <c r="O3801" s="308" t="s">
        <v>635</v>
      </c>
      <c r="P3801" s="308" t="s">
        <v>15561</v>
      </c>
      <c r="Q3801" s="308" t="s">
        <v>37215</v>
      </c>
      <c r="R3801" s="308" t="s">
        <v>2743</v>
      </c>
      <c r="S3801" s="308" t="s">
        <v>81</v>
      </c>
      <c r="T3801" s="308" t="s">
        <v>34264</v>
      </c>
      <c r="U3801" s="308" t="s">
        <v>2291</v>
      </c>
      <c r="V3801" s="312"/>
    </row>
    <row r="3802">
      <c r="A3802" s="308">
        <v>3801.0</v>
      </c>
      <c r="B3802" s="308"/>
      <c r="C3802" s="308" t="s">
        <v>15562</v>
      </c>
      <c r="D3802" s="308">
        <f>IFERROR(__xludf.DUMMYFUNCTION("SPLIT(C3802,""-"")"),3822.0)</f>
        <v>3822</v>
      </c>
      <c r="E3802" s="308" t="str">
        <f>IFERROR(__xludf.DUMMYFUNCTION("""COMPUTED_VALUE"""),"P")</f>
        <v>P</v>
      </c>
      <c r="F3802" s="312" t="s">
        <v>37</v>
      </c>
      <c r="G3802" s="308"/>
      <c r="H3802" s="308" t="s">
        <v>15563</v>
      </c>
      <c r="I3802" s="310">
        <v>42053.0</v>
      </c>
      <c r="J3802" s="319">
        <f>IFERROR(__xludf.DUMMYFUNCTION("SPLIT(I3802,""/"")"),18.0)</f>
        <v>18</v>
      </c>
      <c r="K3802" s="308">
        <f>IFERROR(__xludf.DUMMYFUNCTION("""COMPUTED_VALUE"""),2.0)</f>
        <v>2</v>
      </c>
      <c r="L3802" s="308">
        <f>IFERROR(__xludf.DUMMYFUNCTION("""COMPUTED_VALUE"""),2015.0)</f>
        <v>2015</v>
      </c>
      <c r="M3802" s="308" t="s">
        <v>15564</v>
      </c>
      <c r="N3802" s="308"/>
      <c r="O3802" s="308" t="s">
        <v>15565</v>
      </c>
      <c r="P3802" s="308" t="s">
        <v>15566</v>
      </c>
      <c r="Q3802" s="308" t="s">
        <v>37215</v>
      </c>
      <c r="R3802" s="308" t="s">
        <v>2743</v>
      </c>
      <c r="S3802" s="308" t="s">
        <v>81</v>
      </c>
      <c r="T3802" s="308" t="s">
        <v>34264</v>
      </c>
      <c r="U3802" s="308"/>
      <c r="V3802" s="312"/>
    </row>
    <row r="3803">
      <c r="A3803" s="308">
        <v>3802.0</v>
      </c>
      <c r="B3803" s="308"/>
      <c r="C3803" s="308" t="s">
        <v>15567</v>
      </c>
      <c r="D3803" s="308">
        <f>IFERROR(__xludf.DUMMYFUNCTION("SPLIT(C3803,""-"")"),3823.0)</f>
        <v>3823</v>
      </c>
      <c r="E3803" s="308" t="str">
        <f>IFERROR(__xludf.DUMMYFUNCTION("""COMPUTED_VALUE"""),"K")</f>
        <v>K</v>
      </c>
      <c r="F3803" s="309" t="s">
        <v>34</v>
      </c>
      <c r="G3803" s="308"/>
      <c r="H3803" s="308" t="s">
        <v>15568</v>
      </c>
      <c r="I3803" s="310">
        <v>40814.0</v>
      </c>
      <c r="J3803" s="319">
        <f>IFERROR(__xludf.DUMMYFUNCTION("SPLIT(I3803,""/"")"),28.0)</f>
        <v>28</v>
      </c>
      <c r="K3803" s="308">
        <f>IFERROR(__xludf.DUMMYFUNCTION("""COMPUTED_VALUE"""),9.0)</f>
        <v>9</v>
      </c>
      <c r="L3803" s="308">
        <f>IFERROR(__xludf.DUMMYFUNCTION("""COMPUTED_VALUE"""),2011.0)</f>
        <v>2011</v>
      </c>
      <c r="M3803" s="308" t="s">
        <v>15569</v>
      </c>
      <c r="N3803" s="308"/>
      <c r="O3803" s="308"/>
      <c r="P3803" s="308" t="s">
        <v>15570</v>
      </c>
      <c r="Q3803" s="308" t="s">
        <v>37215</v>
      </c>
      <c r="R3803" s="308" t="s">
        <v>2743</v>
      </c>
      <c r="S3803" s="308" t="s">
        <v>81</v>
      </c>
      <c r="T3803" s="308" t="s">
        <v>73</v>
      </c>
      <c r="U3803" s="308"/>
      <c r="V3803" s="312"/>
    </row>
    <row r="3804">
      <c r="A3804" s="308">
        <v>3803.0</v>
      </c>
      <c r="B3804" s="308"/>
      <c r="C3804" s="308" t="s">
        <v>15571</v>
      </c>
      <c r="D3804" s="308">
        <f>IFERROR(__xludf.DUMMYFUNCTION("SPLIT(C3804,""-"")"),3824.0)</f>
        <v>3824</v>
      </c>
      <c r="E3804" s="308" t="str">
        <f>IFERROR(__xludf.DUMMYFUNCTION("""COMPUTED_VALUE"""),"K")</f>
        <v>K</v>
      </c>
      <c r="F3804" s="309" t="s">
        <v>34</v>
      </c>
      <c r="G3804" s="308"/>
      <c r="H3804" s="308" t="s">
        <v>15572</v>
      </c>
      <c r="I3804" s="310">
        <v>42766.0</v>
      </c>
      <c r="J3804" s="319" t="str">
        <f>IFERROR(__xludf.DUMMYFUNCTION("SPLIT(I3804,""/"")"),"#REF!")</f>
        <v>#REF!</v>
      </c>
      <c r="K3804" s="308"/>
      <c r="L3804" s="308">
        <v>2017.0</v>
      </c>
      <c r="M3804" s="308" t="s">
        <v>15573</v>
      </c>
      <c r="N3804" s="308"/>
      <c r="O3804" s="308" t="s">
        <v>15574</v>
      </c>
      <c r="P3804" s="308" t="s">
        <v>37216</v>
      </c>
      <c r="Q3804" s="308" t="s">
        <v>37215</v>
      </c>
      <c r="R3804" s="308" t="s">
        <v>2743</v>
      </c>
      <c r="S3804" s="308" t="s">
        <v>81</v>
      </c>
      <c r="T3804" s="308" t="s">
        <v>34264</v>
      </c>
      <c r="U3804" s="308" t="s">
        <v>4749</v>
      </c>
      <c r="V3804" s="312"/>
    </row>
    <row r="3805">
      <c r="A3805" s="308">
        <v>3804.0</v>
      </c>
      <c r="B3805" s="308"/>
      <c r="C3805" s="308" t="s">
        <v>15576</v>
      </c>
      <c r="D3805" s="308">
        <f>IFERROR(__xludf.DUMMYFUNCTION("SPLIT(C3805,""-"")"),3825.0)</f>
        <v>3825</v>
      </c>
      <c r="E3805" s="308" t="str">
        <f>IFERROR(__xludf.DUMMYFUNCTION("""COMPUTED_VALUE"""),"P")</f>
        <v>P</v>
      </c>
      <c r="F3805" s="312" t="s">
        <v>37</v>
      </c>
      <c r="G3805" s="308"/>
      <c r="H3805" s="308" t="s">
        <v>15577</v>
      </c>
      <c r="I3805" s="310">
        <v>42469.0</v>
      </c>
      <c r="J3805" s="319">
        <f>IFERROR(__xludf.DUMMYFUNCTION("SPLIT(I3805,""/"")"),9.0)</f>
        <v>9</v>
      </c>
      <c r="K3805" s="308">
        <f>IFERROR(__xludf.DUMMYFUNCTION("""COMPUTED_VALUE"""),4.0)</f>
        <v>4</v>
      </c>
      <c r="L3805" s="308">
        <f>IFERROR(__xludf.DUMMYFUNCTION("""COMPUTED_VALUE"""),2016.0)</f>
        <v>2016</v>
      </c>
      <c r="M3805" s="308" t="s">
        <v>15578</v>
      </c>
      <c r="N3805" s="308"/>
      <c r="O3805" s="308"/>
      <c r="P3805" s="308" t="s">
        <v>15579</v>
      </c>
      <c r="Q3805" s="308" t="s">
        <v>37215</v>
      </c>
      <c r="R3805" s="308" t="s">
        <v>2743</v>
      </c>
      <c r="S3805" s="308" t="s">
        <v>81</v>
      </c>
      <c r="T3805" s="308" t="s">
        <v>75</v>
      </c>
      <c r="U3805" s="308" t="s">
        <v>143</v>
      </c>
      <c r="V3805" s="312"/>
    </row>
    <row r="3806">
      <c r="A3806" s="308">
        <v>3805.0</v>
      </c>
      <c r="B3806" s="308"/>
      <c r="C3806" s="308" t="s">
        <v>15580</v>
      </c>
      <c r="D3806" s="308">
        <f>IFERROR(__xludf.DUMMYFUNCTION("SPLIT(C3806,""-"")"),3826.0)</f>
        <v>3826</v>
      </c>
      <c r="E3806" s="308" t="str">
        <f>IFERROR(__xludf.DUMMYFUNCTION("""COMPUTED_VALUE"""),"P")</f>
        <v>P</v>
      </c>
      <c r="F3806" s="312" t="s">
        <v>37</v>
      </c>
      <c r="G3806" s="308"/>
      <c r="H3806" s="308" t="s">
        <v>15581</v>
      </c>
      <c r="I3806" s="314">
        <v>42332.0</v>
      </c>
      <c r="J3806" s="319">
        <f>IFERROR(__xludf.DUMMYFUNCTION("SPLIT(I3806,""/"")"),24.0)</f>
        <v>24</v>
      </c>
      <c r="K3806" s="308">
        <f>IFERROR(__xludf.DUMMYFUNCTION("""COMPUTED_VALUE"""),11.0)</f>
        <v>11</v>
      </c>
      <c r="L3806" s="308">
        <f>IFERROR(__xludf.DUMMYFUNCTION("""COMPUTED_VALUE"""),2015.0)</f>
        <v>2015</v>
      </c>
      <c r="M3806" s="308" t="s">
        <v>15582</v>
      </c>
      <c r="N3806" s="308"/>
      <c r="O3806" s="308" t="s">
        <v>15583</v>
      </c>
      <c r="P3806" s="308" t="s">
        <v>37217</v>
      </c>
      <c r="Q3806" s="308" t="s">
        <v>15585</v>
      </c>
      <c r="R3806" s="308" t="s">
        <v>2743</v>
      </c>
      <c r="S3806" s="315" t="s">
        <v>100</v>
      </c>
      <c r="T3806" s="311" t="s">
        <v>34208</v>
      </c>
      <c r="U3806" s="308" t="s">
        <v>15586</v>
      </c>
      <c r="V3806" s="312"/>
    </row>
    <row r="3807">
      <c r="A3807" s="308">
        <v>3806.0</v>
      </c>
      <c r="B3807" s="308"/>
      <c r="C3807" s="308" t="s">
        <v>15587</v>
      </c>
      <c r="D3807" s="308">
        <f>IFERROR(__xludf.DUMMYFUNCTION("SPLIT(C3807,""-"")"),3827.0)</f>
        <v>3827</v>
      </c>
      <c r="E3807" s="308" t="str">
        <f>IFERROR(__xludf.DUMMYFUNCTION("""COMPUTED_VALUE"""),"P")</f>
        <v>P</v>
      </c>
      <c r="F3807" s="312" t="s">
        <v>37</v>
      </c>
      <c r="G3807" s="308"/>
      <c r="H3807" s="308" t="s">
        <v>37218</v>
      </c>
      <c r="I3807" s="310">
        <v>42640.0</v>
      </c>
      <c r="J3807" s="319">
        <f>IFERROR(__xludf.DUMMYFUNCTION("SPLIT(I3807,""/"")"),27.0)</f>
        <v>27</v>
      </c>
      <c r="K3807" s="308">
        <f>IFERROR(__xludf.DUMMYFUNCTION("""COMPUTED_VALUE"""),9.0)</f>
        <v>9</v>
      </c>
      <c r="L3807" s="308">
        <f>IFERROR(__xludf.DUMMYFUNCTION("""COMPUTED_VALUE"""),2016.0)</f>
        <v>2016</v>
      </c>
      <c r="M3807" s="308" t="s">
        <v>15589</v>
      </c>
      <c r="N3807" s="308"/>
      <c r="O3807" s="308"/>
      <c r="P3807" s="308" t="s">
        <v>37219</v>
      </c>
      <c r="Q3807" s="308" t="s">
        <v>37220</v>
      </c>
      <c r="R3807" s="308" t="s">
        <v>2743</v>
      </c>
      <c r="S3807" s="308" t="s">
        <v>81</v>
      </c>
      <c r="T3807" s="311" t="s">
        <v>75</v>
      </c>
      <c r="U3807" s="308" t="s">
        <v>1435</v>
      </c>
      <c r="V3807" s="312"/>
    </row>
    <row r="3808">
      <c r="A3808" s="308">
        <v>3807.0</v>
      </c>
      <c r="B3808" s="308"/>
      <c r="C3808" s="308" t="s">
        <v>15591</v>
      </c>
      <c r="D3808" s="308">
        <f>IFERROR(__xludf.DUMMYFUNCTION("SPLIT(C3808,""-"")"),3828.0)</f>
        <v>3828</v>
      </c>
      <c r="E3808" s="308" t="str">
        <f>IFERROR(__xludf.DUMMYFUNCTION("""COMPUTED_VALUE"""),"P")</f>
        <v>P</v>
      </c>
      <c r="F3808" s="312" t="s">
        <v>37</v>
      </c>
      <c r="G3808" s="308"/>
      <c r="H3808" s="308" t="s">
        <v>15592</v>
      </c>
      <c r="I3808" s="314">
        <v>42693.0</v>
      </c>
      <c r="J3808" s="319">
        <f>IFERROR(__xludf.DUMMYFUNCTION("SPLIT(I3808,""/"")"),19.0)</f>
        <v>19</v>
      </c>
      <c r="K3808" s="308">
        <f>IFERROR(__xludf.DUMMYFUNCTION("""COMPUTED_VALUE"""),11.0)</f>
        <v>11</v>
      </c>
      <c r="L3808" s="308">
        <f>IFERROR(__xludf.DUMMYFUNCTION("""COMPUTED_VALUE"""),2016.0)</f>
        <v>2016</v>
      </c>
      <c r="M3808" s="308" t="s">
        <v>15593</v>
      </c>
      <c r="N3808" s="308"/>
      <c r="O3808" s="308"/>
      <c r="P3808" s="308" t="s">
        <v>15594</v>
      </c>
      <c r="Q3808" s="308" t="s">
        <v>37220</v>
      </c>
      <c r="R3808" s="308" t="s">
        <v>2743</v>
      </c>
      <c r="S3808" s="308" t="s">
        <v>81</v>
      </c>
      <c r="T3808" s="308" t="s">
        <v>34264</v>
      </c>
      <c r="U3808" s="308" t="s">
        <v>5707</v>
      </c>
      <c r="V3808" s="312"/>
    </row>
    <row r="3809">
      <c r="A3809" s="308">
        <v>3808.0</v>
      </c>
      <c r="B3809" s="308"/>
      <c r="C3809" s="308" t="s">
        <v>15595</v>
      </c>
      <c r="D3809" s="308">
        <f>IFERROR(__xludf.DUMMYFUNCTION("SPLIT(C3809,""-"")"),3829.0)</f>
        <v>3829</v>
      </c>
      <c r="E3809" s="308" t="str">
        <f>IFERROR(__xludf.DUMMYFUNCTION("""COMPUTED_VALUE"""),"K")</f>
        <v>K</v>
      </c>
      <c r="F3809" s="309" t="s">
        <v>34</v>
      </c>
      <c r="G3809" s="308"/>
      <c r="H3809" s="308" t="s">
        <v>15596</v>
      </c>
      <c r="I3809" s="316">
        <v>2016.0</v>
      </c>
      <c r="J3809" s="319"/>
      <c r="K3809" s="308"/>
      <c r="L3809" s="311">
        <v>2016.0</v>
      </c>
      <c r="M3809" s="308" t="s">
        <v>15597</v>
      </c>
      <c r="N3809" s="308" t="s">
        <v>15598</v>
      </c>
      <c r="O3809" s="308" t="s">
        <v>15599</v>
      </c>
      <c r="P3809" s="308" t="s">
        <v>37221</v>
      </c>
      <c r="Q3809" s="308" t="s">
        <v>37220</v>
      </c>
      <c r="R3809" s="308" t="s">
        <v>34322</v>
      </c>
      <c r="S3809" s="315" t="s">
        <v>100</v>
      </c>
      <c r="T3809" s="311" t="s">
        <v>34208</v>
      </c>
      <c r="U3809" s="308" t="s">
        <v>2152</v>
      </c>
      <c r="V3809" s="312"/>
    </row>
    <row r="3810">
      <c r="A3810" s="308">
        <v>3809.0</v>
      </c>
      <c r="B3810" s="308"/>
      <c r="C3810" s="308" t="s">
        <v>15600</v>
      </c>
      <c r="D3810" s="308">
        <f>IFERROR(__xludf.DUMMYFUNCTION("SPLIT(C3810,""-"")"),3830.0)</f>
        <v>3830</v>
      </c>
      <c r="E3810" s="308" t="str">
        <f>IFERROR(__xludf.DUMMYFUNCTION("""COMPUTED_VALUE"""),"B")</f>
        <v>B</v>
      </c>
      <c r="F3810" s="315" t="s">
        <v>26</v>
      </c>
      <c r="G3810" s="308"/>
      <c r="H3810" s="308" t="s">
        <v>15601</v>
      </c>
      <c r="I3810" s="310">
        <v>42385.0</v>
      </c>
      <c r="J3810" s="319">
        <f>IFERROR(__xludf.DUMMYFUNCTION("SPLIT(I3810,""/"")"),16.0)</f>
        <v>16</v>
      </c>
      <c r="K3810" s="308">
        <f>IFERROR(__xludf.DUMMYFUNCTION("""COMPUTED_VALUE"""),1.0)</f>
        <v>1</v>
      </c>
      <c r="L3810" s="308">
        <f>IFERROR(__xludf.DUMMYFUNCTION("""COMPUTED_VALUE"""),2016.0)</f>
        <v>2016</v>
      </c>
      <c r="M3810" s="308" t="s">
        <v>15602</v>
      </c>
      <c r="N3810" s="308"/>
      <c r="O3810" s="308" t="s">
        <v>15603</v>
      </c>
      <c r="P3810" s="308" t="s">
        <v>37222</v>
      </c>
      <c r="Q3810" s="308" t="s">
        <v>37223</v>
      </c>
      <c r="R3810" s="308" t="s">
        <v>2743</v>
      </c>
      <c r="S3810" s="308" t="s">
        <v>81</v>
      </c>
      <c r="T3810" s="311" t="s">
        <v>63</v>
      </c>
      <c r="U3810" s="308" t="s">
        <v>27</v>
      </c>
      <c r="V3810" s="312"/>
    </row>
    <row r="3811">
      <c r="A3811" s="308">
        <v>3810.0</v>
      </c>
      <c r="B3811" s="308"/>
      <c r="C3811" s="308" t="s">
        <v>15605</v>
      </c>
      <c r="D3811" s="308">
        <f>IFERROR(__xludf.DUMMYFUNCTION("SPLIT(C3811,""-"")"),3831.0)</f>
        <v>3831</v>
      </c>
      <c r="E3811" s="308" t="str">
        <f>IFERROR(__xludf.DUMMYFUNCTION("""COMPUTED_VALUE"""),"K")</f>
        <v>K</v>
      </c>
      <c r="F3811" s="309" t="s">
        <v>34</v>
      </c>
      <c r="G3811" s="308"/>
      <c r="H3811" s="308" t="s">
        <v>15606</v>
      </c>
      <c r="I3811" s="310">
        <v>42586.0</v>
      </c>
      <c r="J3811" s="319">
        <f>IFERROR(__xludf.DUMMYFUNCTION("SPLIT(I3811,""/"")"),4.0)</f>
        <v>4</v>
      </c>
      <c r="K3811" s="308">
        <f>IFERROR(__xludf.DUMMYFUNCTION("""COMPUTED_VALUE"""),8.0)</f>
        <v>8</v>
      </c>
      <c r="L3811" s="308">
        <f>IFERROR(__xludf.DUMMYFUNCTION("""COMPUTED_VALUE"""),2016.0)</f>
        <v>2016</v>
      </c>
      <c r="M3811" s="308" t="s">
        <v>15607</v>
      </c>
      <c r="N3811" s="308" t="s">
        <v>15608</v>
      </c>
      <c r="O3811" s="308" t="s">
        <v>15609</v>
      </c>
      <c r="P3811" s="308" t="s">
        <v>37224</v>
      </c>
      <c r="Q3811" s="308" t="s">
        <v>37225</v>
      </c>
      <c r="R3811" s="308" t="s">
        <v>2743</v>
      </c>
      <c r="S3811" s="315" t="s">
        <v>100</v>
      </c>
      <c r="T3811" s="311" t="s">
        <v>34208</v>
      </c>
      <c r="U3811" s="308" t="s">
        <v>872</v>
      </c>
      <c r="V3811" s="312"/>
    </row>
    <row r="3812">
      <c r="A3812" s="308">
        <v>3811.0</v>
      </c>
      <c r="B3812" s="308"/>
      <c r="C3812" s="308" t="s">
        <v>15611</v>
      </c>
      <c r="D3812" s="308">
        <f>IFERROR(__xludf.DUMMYFUNCTION("SPLIT(C3812,""-"")"),3832.0)</f>
        <v>3832</v>
      </c>
      <c r="E3812" s="308" t="str">
        <f>IFERROR(__xludf.DUMMYFUNCTION("""COMPUTED_VALUE"""),"K")</f>
        <v>K</v>
      </c>
      <c r="F3812" s="309" t="s">
        <v>34</v>
      </c>
      <c r="G3812" s="308"/>
      <c r="H3812" s="308" t="s">
        <v>15612</v>
      </c>
      <c r="I3812" s="310">
        <v>42130.0</v>
      </c>
      <c r="J3812" s="319">
        <f>IFERROR(__xludf.DUMMYFUNCTION("SPLIT(I3812,""/"")"),6.0)</f>
        <v>6</v>
      </c>
      <c r="K3812" s="308">
        <f>IFERROR(__xludf.DUMMYFUNCTION("""COMPUTED_VALUE"""),5.0)</f>
        <v>5</v>
      </c>
      <c r="L3812" s="308">
        <f>IFERROR(__xludf.DUMMYFUNCTION("""COMPUTED_VALUE"""),2015.0)</f>
        <v>2015</v>
      </c>
      <c r="M3812" s="308" t="s">
        <v>15613</v>
      </c>
      <c r="N3812" s="308"/>
      <c r="O3812" s="308"/>
      <c r="P3812" s="308" t="s">
        <v>37226</v>
      </c>
      <c r="Q3812" s="308" t="s">
        <v>37225</v>
      </c>
      <c r="R3812" s="308" t="s">
        <v>2743</v>
      </c>
      <c r="S3812" s="308" t="s">
        <v>81</v>
      </c>
      <c r="T3812" s="308" t="s">
        <v>75</v>
      </c>
      <c r="U3812" s="308" t="s">
        <v>282</v>
      </c>
      <c r="V3812" s="312"/>
    </row>
    <row r="3813">
      <c r="A3813" s="308">
        <v>3812.0</v>
      </c>
      <c r="B3813" s="308"/>
      <c r="C3813" s="308" t="s">
        <v>15615</v>
      </c>
      <c r="D3813" s="308">
        <f>IFERROR(__xludf.DUMMYFUNCTION("SPLIT(C3813,""-"")"),3833.0)</f>
        <v>3833</v>
      </c>
      <c r="E3813" s="308" t="str">
        <f>IFERROR(__xludf.DUMMYFUNCTION("""COMPUTED_VALUE"""),"P")</f>
        <v>P</v>
      </c>
      <c r="F3813" s="312" t="s">
        <v>37</v>
      </c>
      <c r="G3813" s="308"/>
      <c r="H3813" s="308" t="s">
        <v>15616</v>
      </c>
      <c r="I3813" s="310">
        <v>39346.0</v>
      </c>
      <c r="J3813" s="319">
        <f>IFERROR(__xludf.DUMMYFUNCTION("SPLIT(I3813,""/"")"),21.0)</f>
        <v>21</v>
      </c>
      <c r="K3813" s="308">
        <f>IFERROR(__xludf.DUMMYFUNCTION("""COMPUTED_VALUE"""),9.0)</f>
        <v>9</v>
      </c>
      <c r="L3813" s="308">
        <f>IFERROR(__xludf.DUMMYFUNCTION("""COMPUTED_VALUE"""),2007.0)</f>
        <v>2007</v>
      </c>
      <c r="M3813" s="308" t="s">
        <v>15617</v>
      </c>
      <c r="N3813" s="308"/>
      <c r="O3813" s="308"/>
      <c r="P3813" s="308" t="s">
        <v>15618</v>
      </c>
      <c r="Q3813" s="308" t="s">
        <v>37225</v>
      </c>
      <c r="R3813" s="308" t="s">
        <v>2743</v>
      </c>
      <c r="S3813" s="308" t="s">
        <v>49</v>
      </c>
      <c r="T3813" s="311" t="s">
        <v>53</v>
      </c>
      <c r="U3813" s="308" t="s">
        <v>143</v>
      </c>
      <c r="V3813" s="312"/>
    </row>
    <row r="3814">
      <c r="A3814" s="308">
        <v>3813.0</v>
      </c>
      <c r="B3814" s="308"/>
      <c r="C3814" s="308" t="s">
        <v>15619</v>
      </c>
      <c r="D3814" s="308">
        <f>IFERROR(__xludf.DUMMYFUNCTION("SPLIT(C3814,""-"")"),3834.0)</f>
        <v>3834</v>
      </c>
      <c r="E3814" s="308" t="str">
        <f>IFERROR(__xludf.DUMMYFUNCTION("""COMPUTED_VALUE"""),"P")</f>
        <v>P</v>
      </c>
      <c r="F3814" s="312" t="s">
        <v>37</v>
      </c>
      <c r="G3814" s="308"/>
      <c r="H3814" s="308" t="s">
        <v>37227</v>
      </c>
      <c r="I3814" s="310">
        <v>39346.0</v>
      </c>
      <c r="J3814" s="319">
        <f>IFERROR(__xludf.DUMMYFUNCTION("SPLIT(I3814,""/"")"),21.0)</f>
        <v>21</v>
      </c>
      <c r="K3814" s="308">
        <f>IFERROR(__xludf.DUMMYFUNCTION("""COMPUTED_VALUE"""),9.0)</f>
        <v>9</v>
      </c>
      <c r="L3814" s="308">
        <f>IFERROR(__xludf.DUMMYFUNCTION("""COMPUTED_VALUE"""),2007.0)</f>
        <v>2007</v>
      </c>
      <c r="M3814" s="308" t="s">
        <v>15617</v>
      </c>
      <c r="N3814" s="308"/>
      <c r="O3814" s="308"/>
      <c r="P3814" s="308" t="s">
        <v>15621</v>
      </c>
      <c r="Q3814" s="308" t="s">
        <v>37225</v>
      </c>
      <c r="R3814" s="308" t="s">
        <v>2743</v>
      </c>
      <c r="S3814" s="308" t="s">
        <v>49</v>
      </c>
      <c r="T3814" s="311" t="s">
        <v>53</v>
      </c>
      <c r="U3814" s="308" t="s">
        <v>143</v>
      </c>
      <c r="V3814" s="312"/>
    </row>
    <row r="3815">
      <c r="A3815" s="308">
        <v>3814.0</v>
      </c>
      <c r="B3815" s="308"/>
      <c r="C3815" s="308" t="s">
        <v>15622</v>
      </c>
      <c r="D3815" s="308">
        <f>IFERROR(__xludf.DUMMYFUNCTION("SPLIT(C3815,""-"")"),3835.0)</f>
        <v>3835</v>
      </c>
      <c r="E3815" s="308" t="str">
        <f>IFERROR(__xludf.DUMMYFUNCTION("""COMPUTED_VALUE"""),"P")</f>
        <v>P</v>
      </c>
      <c r="F3815" s="312" t="s">
        <v>37</v>
      </c>
      <c r="G3815" s="308"/>
      <c r="H3815" s="308" t="s">
        <v>15623</v>
      </c>
      <c r="I3815" s="310">
        <v>42776.0</v>
      </c>
      <c r="J3815" s="319">
        <f>IFERROR(__xludf.DUMMYFUNCTION("SPLIT(I3815,""/"")"),10.0)</f>
        <v>10</v>
      </c>
      <c r="K3815" s="308">
        <f>IFERROR(__xludf.DUMMYFUNCTION("""COMPUTED_VALUE"""),2.0)</f>
        <v>2</v>
      </c>
      <c r="L3815" s="308">
        <f>IFERROR(__xludf.DUMMYFUNCTION("""COMPUTED_VALUE"""),2017.0)</f>
        <v>2017</v>
      </c>
      <c r="M3815" s="308" t="s">
        <v>15624</v>
      </c>
      <c r="N3815" s="308"/>
      <c r="O3815" s="308" t="s">
        <v>15625</v>
      </c>
      <c r="P3815" s="308" t="s">
        <v>15626</v>
      </c>
      <c r="Q3815" s="308" t="s">
        <v>37225</v>
      </c>
      <c r="R3815" s="308" t="s">
        <v>2743</v>
      </c>
      <c r="S3815" s="311" t="s">
        <v>81</v>
      </c>
      <c r="T3815" s="311" t="s">
        <v>51</v>
      </c>
      <c r="U3815" s="308"/>
      <c r="V3815" s="312"/>
    </row>
    <row r="3816">
      <c r="A3816" s="308">
        <v>3815.0</v>
      </c>
      <c r="B3816" s="308"/>
      <c r="C3816" s="308" t="s">
        <v>15627</v>
      </c>
      <c r="D3816" s="308">
        <f>IFERROR(__xludf.DUMMYFUNCTION("SPLIT(C3816,""-"")"),3836.0)</f>
        <v>3836</v>
      </c>
      <c r="E3816" s="308" t="str">
        <f>IFERROR(__xludf.DUMMYFUNCTION("""COMPUTED_VALUE"""),"P")</f>
        <v>P</v>
      </c>
      <c r="F3816" s="312" t="s">
        <v>37</v>
      </c>
      <c r="G3816" s="308"/>
      <c r="H3816" s="308" t="s">
        <v>15628</v>
      </c>
      <c r="I3816" s="314">
        <v>42329.0</v>
      </c>
      <c r="J3816" s="319">
        <f>IFERROR(__xludf.DUMMYFUNCTION("SPLIT(I3816,""/"")"),21.0)</f>
        <v>21</v>
      </c>
      <c r="K3816" s="308">
        <f>IFERROR(__xludf.DUMMYFUNCTION("""COMPUTED_VALUE"""),11.0)</f>
        <v>11</v>
      </c>
      <c r="L3816" s="308">
        <f>IFERROR(__xludf.DUMMYFUNCTION("""COMPUTED_VALUE"""),2015.0)</f>
        <v>2015</v>
      </c>
      <c r="M3816" s="308" t="s">
        <v>15629</v>
      </c>
      <c r="N3816" s="308"/>
      <c r="O3816" s="308" t="s">
        <v>635</v>
      </c>
      <c r="P3816" s="308" t="s">
        <v>37228</v>
      </c>
      <c r="Q3816" s="308" t="s">
        <v>37225</v>
      </c>
      <c r="R3816" s="308" t="s">
        <v>2743</v>
      </c>
      <c r="S3816" s="315" t="s">
        <v>100</v>
      </c>
      <c r="T3816" s="311" t="s">
        <v>34208</v>
      </c>
      <c r="U3816" s="308" t="s">
        <v>3012</v>
      </c>
      <c r="V3816" s="312"/>
    </row>
    <row r="3817">
      <c r="A3817" s="308">
        <v>3816.0</v>
      </c>
      <c r="B3817" s="308"/>
      <c r="C3817" s="308" t="s">
        <v>15631</v>
      </c>
      <c r="D3817" s="308">
        <f>IFERROR(__xludf.DUMMYFUNCTION("SPLIT(C3817,""-"")"),3837.0)</f>
        <v>3837</v>
      </c>
      <c r="E3817" s="308" t="str">
        <f>IFERROR(__xludf.DUMMYFUNCTION("""COMPUTED_VALUE"""),"I")</f>
        <v>I</v>
      </c>
      <c r="F3817" s="309" t="s">
        <v>31</v>
      </c>
      <c r="G3817" s="308"/>
      <c r="H3817" s="308" t="s">
        <v>15632</v>
      </c>
      <c r="I3817" s="310">
        <v>42770.0</v>
      </c>
      <c r="J3817" s="319">
        <f>IFERROR(__xludf.DUMMYFUNCTION("SPLIT(I3817,""/"")"),4.0)</f>
        <v>4</v>
      </c>
      <c r="K3817" s="308">
        <f>IFERROR(__xludf.DUMMYFUNCTION("""COMPUTED_VALUE"""),2.0)</f>
        <v>2</v>
      </c>
      <c r="L3817" s="308">
        <f>IFERROR(__xludf.DUMMYFUNCTION("""COMPUTED_VALUE"""),2017.0)</f>
        <v>2017</v>
      </c>
      <c r="M3817" s="308" t="s">
        <v>37229</v>
      </c>
      <c r="N3817" s="308"/>
      <c r="O3817" s="308" t="s">
        <v>635</v>
      </c>
      <c r="P3817" s="308" t="s">
        <v>15634</v>
      </c>
      <c r="Q3817" s="308" t="s">
        <v>37225</v>
      </c>
      <c r="R3817" s="308" t="s">
        <v>2743</v>
      </c>
      <c r="S3817" s="308" t="s">
        <v>81</v>
      </c>
      <c r="T3817" s="308" t="s">
        <v>34264</v>
      </c>
      <c r="U3817" s="308" t="s">
        <v>31</v>
      </c>
      <c r="V3817" s="312"/>
    </row>
    <row r="3818">
      <c r="A3818" s="308">
        <v>3817.0</v>
      </c>
      <c r="B3818" s="308"/>
      <c r="C3818" s="308" t="s">
        <v>15635</v>
      </c>
      <c r="D3818" s="308">
        <f>IFERROR(__xludf.DUMMYFUNCTION("SPLIT(C3818,""-"")"),3838.0)</f>
        <v>3838</v>
      </c>
      <c r="E3818" s="308" t="str">
        <f>IFERROR(__xludf.DUMMYFUNCTION("""COMPUTED_VALUE"""),"S")</f>
        <v>S</v>
      </c>
      <c r="F3818" s="312" t="s">
        <v>39</v>
      </c>
      <c r="G3818" s="308"/>
      <c r="H3818" s="308" t="s">
        <v>15636</v>
      </c>
      <c r="I3818" s="310">
        <v>42752.0</v>
      </c>
      <c r="J3818" s="319">
        <f>IFERROR(__xludf.DUMMYFUNCTION("SPLIT(I3818,""/"")"),17.0)</f>
        <v>17</v>
      </c>
      <c r="K3818" s="308">
        <f>IFERROR(__xludf.DUMMYFUNCTION("""COMPUTED_VALUE"""),1.0)</f>
        <v>1</v>
      </c>
      <c r="L3818" s="308">
        <f>IFERROR(__xludf.DUMMYFUNCTION("""COMPUTED_VALUE"""),2017.0)</f>
        <v>2017</v>
      </c>
      <c r="M3818" s="308" t="s">
        <v>15637</v>
      </c>
      <c r="N3818" s="308"/>
      <c r="O3818" s="308" t="s">
        <v>635</v>
      </c>
      <c r="P3818" s="308" t="s">
        <v>37230</v>
      </c>
      <c r="Q3818" s="308" t="s">
        <v>37225</v>
      </c>
      <c r="R3818" s="308" t="s">
        <v>14256</v>
      </c>
      <c r="S3818" s="308" t="s">
        <v>81</v>
      </c>
      <c r="T3818" s="308" t="s">
        <v>75</v>
      </c>
      <c r="U3818" s="312"/>
      <c r="V3818" s="312"/>
    </row>
    <row r="3819">
      <c r="A3819" s="308">
        <v>3818.0</v>
      </c>
      <c r="B3819" s="308"/>
      <c r="C3819" s="308" t="s">
        <v>15639</v>
      </c>
      <c r="D3819" s="308">
        <f>IFERROR(__xludf.DUMMYFUNCTION("SPLIT(C3819,""-"")"),3839.0)</f>
        <v>3839</v>
      </c>
      <c r="E3819" s="308" t="str">
        <f>IFERROR(__xludf.DUMMYFUNCTION("""COMPUTED_VALUE"""),"S")</f>
        <v>S</v>
      </c>
      <c r="F3819" s="312" t="s">
        <v>39</v>
      </c>
      <c r="G3819" s="308"/>
      <c r="H3819" s="308" t="s">
        <v>15640</v>
      </c>
      <c r="I3819" s="310">
        <v>42748.0</v>
      </c>
      <c r="J3819" s="319">
        <f>IFERROR(__xludf.DUMMYFUNCTION("SPLIT(I3819,""/"")"),13.0)</f>
        <v>13</v>
      </c>
      <c r="K3819" s="308">
        <f>IFERROR(__xludf.DUMMYFUNCTION("""COMPUTED_VALUE"""),1.0)</f>
        <v>1</v>
      </c>
      <c r="L3819" s="308">
        <f>IFERROR(__xludf.DUMMYFUNCTION("""COMPUTED_VALUE"""),2017.0)</f>
        <v>2017</v>
      </c>
      <c r="M3819" s="308" t="s">
        <v>15641</v>
      </c>
      <c r="N3819" s="308"/>
      <c r="O3819" s="308" t="s">
        <v>635</v>
      </c>
      <c r="P3819" s="308" t="s">
        <v>15642</v>
      </c>
      <c r="Q3819" s="308" t="s">
        <v>37225</v>
      </c>
      <c r="R3819" s="308" t="s">
        <v>14256</v>
      </c>
      <c r="S3819" s="308" t="s">
        <v>81</v>
      </c>
      <c r="T3819" s="311" t="s">
        <v>77</v>
      </c>
      <c r="U3819" s="308" t="s">
        <v>166</v>
      </c>
      <c r="V3819" s="312"/>
    </row>
    <row r="3820">
      <c r="A3820" s="308">
        <v>3819.0</v>
      </c>
      <c r="B3820" s="308"/>
      <c r="C3820" s="308" t="s">
        <v>15643</v>
      </c>
      <c r="D3820" s="308">
        <f>IFERROR(__xludf.DUMMYFUNCTION("SPLIT(C3820,""-"")"),3840.0)</f>
        <v>3840</v>
      </c>
      <c r="E3820" s="308" t="str">
        <f>IFERROR(__xludf.DUMMYFUNCTION("""COMPUTED_VALUE"""),"S")</f>
        <v>S</v>
      </c>
      <c r="F3820" s="312" t="s">
        <v>39</v>
      </c>
      <c r="G3820" s="308"/>
      <c r="H3820" s="308" t="s">
        <v>15644</v>
      </c>
      <c r="I3820" s="310">
        <v>42752.0</v>
      </c>
      <c r="J3820" s="319">
        <f>IFERROR(__xludf.DUMMYFUNCTION("SPLIT(I3820,""/"")"),17.0)</f>
        <v>17</v>
      </c>
      <c r="K3820" s="308">
        <f>IFERROR(__xludf.DUMMYFUNCTION("""COMPUTED_VALUE"""),1.0)</f>
        <v>1</v>
      </c>
      <c r="L3820" s="308">
        <f>IFERROR(__xludf.DUMMYFUNCTION("""COMPUTED_VALUE"""),2017.0)</f>
        <v>2017</v>
      </c>
      <c r="M3820" s="308" t="s">
        <v>15645</v>
      </c>
      <c r="N3820" s="308"/>
      <c r="O3820" s="308" t="s">
        <v>635</v>
      </c>
      <c r="P3820" s="308" t="s">
        <v>15646</v>
      </c>
      <c r="Q3820" s="308" t="s">
        <v>37225</v>
      </c>
      <c r="R3820" s="308" t="s">
        <v>14256</v>
      </c>
      <c r="S3820" s="308" t="s">
        <v>81</v>
      </c>
      <c r="T3820" s="308" t="s">
        <v>75</v>
      </c>
      <c r="U3820" s="308" t="s">
        <v>166</v>
      </c>
      <c r="V3820" s="312"/>
    </row>
    <row r="3821">
      <c r="A3821" s="308">
        <v>3820.0</v>
      </c>
      <c r="B3821" s="308"/>
      <c r="C3821" s="308" t="s">
        <v>15647</v>
      </c>
      <c r="D3821" s="308">
        <f>IFERROR(__xludf.DUMMYFUNCTION("SPLIT(C3821,""-"")"),3841.0)</f>
        <v>3841</v>
      </c>
      <c r="E3821" s="308" t="str">
        <f>IFERROR(__xludf.DUMMYFUNCTION("""COMPUTED_VALUE"""),"S")</f>
        <v>S</v>
      </c>
      <c r="F3821" s="312" t="s">
        <v>39</v>
      </c>
      <c r="G3821" s="308"/>
      <c r="H3821" s="308" t="s">
        <v>15648</v>
      </c>
      <c r="I3821" s="310">
        <v>42753.0</v>
      </c>
      <c r="J3821" s="319">
        <f>IFERROR(__xludf.DUMMYFUNCTION("SPLIT(I3821,""/"")"),18.0)</f>
        <v>18</v>
      </c>
      <c r="K3821" s="308">
        <f>IFERROR(__xludf.DUMMYFUNCTION("""COMPUTED_VALUE"""),1.0)</f>
        <v>1</v>
      </c>
      <c r="L3821" s="308">
        <f>IFERROR(__xludf.DUMMYFUNCTION("""COMPUTED_VALUE"""),2017.0)</f>
        <v>2017</v>
      </c>
      <c r="M3821" s="308" t="s">
        <v>15649</v>
      </c>
      <c r="N3821" s="308"/>
      <c r="O3821" s="308" t="s">
        <v>635</v>
      </c>
      <c r="P3821" s="308" t="s">
        <v>15650</v>
      </c>
      <c r="Q3821" s="308" t="s">
        <v>37225</v>
      </c>
      <c r="R3821" s="308" t="s">
        <v>14256</v>
      </c>
      <c r="S3821" s="308" t="s">
        <v>81</v>
      </c>
      <c r="T3821" s="308" t="s">
        <v>75</v>
      </c>
      <c r="U3821" s="308" t="s">
        <v>166</v>
      </c>
      <c r="V3821" s="312"/>
    </row>
    <row r="3822">
      <c r="A3822" s="308">
        <v>3821.0</v>
      </c>
      <c r="B3822" s="308"/>
      <c r="C3822" s="308" t="s">
        <v>15651</v>
      </c>
      <c r="D3822" s="308">
        <f>IFERROR(__xludf.DUMMYFUNCTION("SPLIT(C3822,""-"")"),3842.0)</f>
        <v>3842</v>
      </c>
      <c r="E3822" s="308" t="str">
        <f>IFERROR(__xludf.DUMMYFUNCTION("""COMPUTED_VALUE"""),"S")</f>
        <v>S</v>
      </c>
      <c r="F3822" s="312" t="s">
        <v>39</v>
      </c>
      <c r="G3822" s="308"/>
      <c r="H3822" s="308" t="s">
        <v>15652</v>
      </c>
      <c r="I3822" s="310">
        <v>42605.0</v>
      </c>
      <c r="J3822" s="319">
        <f>IFERROR(__xludf.DUMMYFUNCTION("SPLIT(I3822,""/"")"),23.0)</f>
        <v>23</v>
      </c>
      <c r="K3822" s="308">
        <f>IFERROR(__xludf.DUMMYFUNCTION("""COMPUTED_VALUE"""),8.0)</f>
        <v>8</v>
      </c>
      <c r="L3822" s="308">
        <f>IFERROR(__xludf.DUMMYFUNCTION("""COMPUTED_VALUE"""),2016.0)</f>
        <v>2016</v>
      </c>
      <c r="M3822" s="308" t="s">
        <v>15653</v>
      </c>
      <c r="N3822" s="308"/>
      <c r="O3822" s="308" t="s">
        <v>15654</v>
      </c>
      <c r="P3822" s="308" t="s">
        <v>37231</v>
      </c>
      <c r="Q3822" s="308" t="s">
        <v>37225</v>
      </c>
      <c r="R3822" s="308" t="s">
        <v>2743</v>
      </c>
      <c r="S3822" s="308" t="s">
        <v>81</v>
      </c>
      <c r="T3822" s="308" t="s">
        <v>75</v>
      </c>
      <c r="U3822" s="308" t="s">
        <v>166</v>
      </c>
      <c r="V3822" s="312"/>
    </row>
    <row r="3823">
      <c r="A3823" s="308">
        <v>3822.0</v>
      </c>
      <c r="B3823" s="308"/>
      <c r="C3823" s="308" t="s">
        <v>15656</v>
      </c>
      <c r="D3823" s="308">
        <f>IFERROR(__xludf.DUMMYFUNCTION("SPLIT(C3823,""-"")"),3843.0)</f>
        <v>3843</v>
      </c>
      <c r="E3823" s="308" t="str">
        <f>IFERROR(__xludf.DUMMYFUNCTION("""COMPUTED_VALUE"""),"S")</f>
        <v>S</v>
      </c>
      <c r="F3823" s="312" t="s">
        <v>39</v>
      </c>
      <c r="G3823" s="308"/>
      <c r="H3823" s="308" t="s">
        <v>15657</v>
      </c>
      <c r="I3823" s="310">
        <v>42739.0</v>
      </c>
      <c r="J3823" s="319">
        <f>IFERROR(__xludf.DUMMYFUNCTION("SPLIT(I3823,""/"")"),4.0)</f>
        <v>4</v>
      </c>
      <c r="K3823" s="308">
        <f>IFERROR(__xludf.DUMMYFUNCTION("""COMPUTED_VALUE"""),1.0)</f>
        <v>1</v>
      </c>
      <c r="L3823" s="308">
        <f>IFERROR(__xludf.DUMMYFUNCTION("""COMPUTED_VALUE"""),2017.0)</f>
        <v>2017</v>
      </c>
      <c r="M3823" s="308" t="s">
        <v>37232</v>
      </c>
      <c r="N3823" s="308"/>
      <c r="O3823" s="308" t="s">
        <v>15659</v>
      </c>
      <c r="P3823" s="308" t="s">
        <v>37233</v>
      </c>
      <c r="Q3823" s="308" t="s">
        <v>37225</v>
      </c>
      <c r="R3823" s="308" t="s">
        <v>2743</v>
      </c>
      <c r="S3823" s="315" t="s">
        <v>100</v>
      </c>
      <c r="T3823" s="311" t="s">
        <v>34208</v>
      </c>
      <c r="U3823" s="308" t="s">
        <v>37234</v>
      </c>
      <c r="V3823" s="312"/>
    </row>
    <row r="3824">
      <c r="A3824" s="308">
        <v>3823.0</v>
      </c>
      <c r="B3824" s="308"/>
      <c r="C3824" s="308" t="s">
        <v>15661</v>
      </c>
      <c r="D3824" s="308">
        <f>IFERROR(__xludf.DUMMYFUNCTION("SPLIT(C3824,""-"")"),3844.0)</f>
        <v>3844</v>
      </c>
      <c r="E3824" s="308" t="str">
        <f>IFERROR(__xludf.DUMMYFUNCTION("""COMPUTED_VALUE"""),"I")</f>
        <v>I</v>
      </c>
      <c r="F3824" s="309" t="s">
        <v>31</v>
      </c>
      <c r="G3824" s="308"/>
      <c r="H3824" s="308" t="s">
        <v>15662</v>
      </c>
      <c r="I3824" s="310">
        <v>42636.0</v>
      </c>
      <c r="J3824" s="319">
        <f>IFERROR(__xludf.DUMMYFUNCTION("SPLIT(I3824,""/"")"),23.0)</f>
        <v>23</v>
      </c>
      <c r="K3824" s="308">
        <f>IFERROR(__xludf.DUMMYFUNCTION("""COMPUTED_VALUE"""),9.0)</f>
        <v>9</v>
      </c>
      <c r="L3824" s="308">
        <f>IFERROR(__xludf.DUMMYFUNCTION("""COMPUTED_VALUE"""),2016.0)</f>
        <v>2016</v>
      </c>
      <c r="M3824" s="308" t="s">
        <v>15663</v>
      </c>
      <c r="N3824" s="308"/>
      <c r="O3824" s="308" t="s">
        <v>15664</v>
      </c>
      <c r="P3824" s="308" t="s">
        <v>15665</v>
      </c>
      <c r="Q3824" s="308" t="s">
        <v>37235</v>
      </c>
      <c r="R3824" s="308" t="s">
        <v>2743</v>
      </c>
      <c r="S3824" s="308" t="s">
        <v>81</v>
      </c>
      <c r="T3824" s="309" t="s">
        <v>73</v>
      </c>
      <c r="U3824" s="312"/>
      <c r="V3824" s="312"/>
    </row>
    <row r="3825">
      <c r="A3825" s="308">
        <v>3824.0</v>
      </c>
      <c r="B3825" s="308"/>
      <c r="C3825" s="308" t="s">
        <v>15666</v>
      </c>
      <c r="D3825" s="308">
        <f>IFERROR(__xludf.DUMMYFUNCTION("SPLIT(C3825,""-"")"),3845.0)</f>
        <v>3845</v>
      </c>
      <c r="E3825" s="308" t="str">
        <f>IFERROR(__xludf.DUMMYFUNCTION("""COMPUTED_VALUE"""),"K")</f>
        <v>K</v>
      </c>
      <c r="F3825" s="309" t="s">
        <v>34</v>
      </c>
      <c r="G3825" s="308"/>
      <c r="H3825" s="308" t="s">
        <v>15667</v>
      </c>
      <c r="I3825" s="314">
        <v>40146.0</v>
      </c>
      <c r="J3825" s="319">
        <f>IFERROR(__xludf.DUMMYFUNCTION("SPLIT(I3825,""/"")"),29.0)</f>
        <v>29</v>
      </c>
      <c r="K3825" s="308">
        <f>IFERROR(__xludf.DUMMYFUNCTION("""COMPUTED_VALUE"""),11.0)</f>
        <v>11</v>
      </c>
      <c r="L3825" s="308">
        <f>IFERROR(__xludf.DUMMYFUNCTION("""COMPUTED_VALUE"""),2009.0)</f>
        <v>2009</v>
      </c>
      <c r="M3825" s="308" t="s">
        <v>15668</v>
      </c>
      <c r="N3825" s="308" t="s">
        <v>15669</v>
      </c>
      <c r="O3825" s="308" t="s">
        <v>15670</v>
      </c>
      <c r="P3825" s="308" t="s">
        <v>37236</v>
      </c>
      <c r="Q3825" s="308" t="s">
        <v>37235</v>
      </c>
      <c r="R3825" s="308" t="s">
        <v>2743</v>
      </c>
      <c r="S3825" s="315" t="s">
        <v>100</v>
      </c>
      <c r="T3825" s="311" t="s">
        <v>34208</v>
      </c>
      <c r="U3825" s="308" t="s">
        <v>282</v>
      </c>
      <c r="V3825" s="312"/>
    </row>
    <row r="3826">
      <c r="A3826" s="308">
        <v>3825.0</v>
      </c>
      <c r="B3826" s="308"/>
      <c r="C3826" s="308" t="s">
        <v>15671</v>
      </c>
      <c r="D3826" s="308">
        <f>IFERROR(__xludf.DUMMYFUNCTION("SPLIT(C3826,""-"")"),3846.0)</f>
        <v>3846</v>
      </c>
      <c r="E3826" s="308" t="str">
        <f>IFERROR(__xludf.DUMMYFUNCTION("""COMPUTED_VALUE"""),"P")</f>
        <v>P</v>
      </c>
      <c r="F3826" s="312" t="s">
        <v>37</v>
      </c>
      <c r="G3826" s="308"/>
      <c r="H3826" s="308" t="s">
        <v>37237</v>
      </c>
      <c r="I3826" s="310">
        <v>42787.0</v>
      </c>
      <c r="J3826" s="319">
        <f>IFERROR(__xludf.DUMMYFUNCTION("SPLIT(I3826,""/"")"),21.0)</f>
        <v>21</v>
      </c>
      <c r="K3826" s="308">
        <f>IFERROR(__xludf.DUMMYFUNCTION("""COMPUTED_VALUE"""),2.0)</f>
        <v>2</v>
      </c>
      <c r="L3826" s="308">
        <f>IFERROR(__xludf.DUMMYFUNCTION("""COMPUTED_VALUE"""),2017.0)</f>
        <v>2017</v>
      </c>
      <c r="M3826" s="308" t="s">
        <v>15673</v>
      </c>
      <c r="N3826" s="308"/>
      <c r="O3826" s="308" t="s">
        <v>15674</v>
      </c>
      <c r="P3826" s="308" t="s">
        <v>15675</v>
      </c>
      <c r="Q3826" s="308" t="s">
        <v>37238</v>
      </c>
      <c r="R3826" s="308" t="s">
        <v>2743</v>
      </c>
      <c r="S3826" s="308" t="s">
        <v>81</v>
      </c>
      <c r="T3826" s="311" t="s">
        <v>51</v>
      </c>
      <c r="U3826" s="308" t="s">
        <v>4273</v>
      </c>
      <c r="V3826" s="312"/>
    </row>
    <row r="3827">
      <c r="A3827" s="308">
        <v>3826.0</v>
      </c>
      <c r="B3827" s="308"/>
      <c r="C3827" s="308" t="s">
        <v>15676</v>
      </c>
      <c r="D3827" s="308">
        <f>IFERROR(__xludf.DUMMYFUNCTION("SPLIT(C3827,""-"")"),3847.0)</f>
        <v>3847</v>
      </c>
      <c r="E3827" s="308" t="str">
        <f>IFERROR(__xludf.DUMMYFUNCTION("""COMPUTED_VALUE"""),"P")</f>
        <v>P</v>
      </c>
      <c r="F3827" s="312" t="s">
        <v>37</v>
      </c>
      <c r="G3827" s="308"/>
      <c r="H3827" s="308" t="s">
        <v>15677</v>
      </c>
      <c r="I3827" s="310">
        <v>42271.0</v>
      </c>
      <c r="J3827" s="319">
        <f>IFERROR(__xludf.DUMMYFUNCTION("SPLIT(I3827,""/"")"),24.0)</f>
        <v>24</v>
      </c>
      <c r="K3827" s="308">
        <f>IFERROR(__xludf.DUMMYFUNCTION("""COMPUTED_VALUE"""),9.0)</f>
        <v>9</v>
      </c>
      <c r="L3827" s="308">
        <f>IFERROR(__xludf.DUMMYFUNCTION("""COMPUTED_VALUE"""),2015.0)</f>
        <v>2015</v>
      </c>
      <c r="M3827" s="308" t="s">
        <v>15678</v>
      </c>
      <c r="N3827" s="308"/>
      <c r="O3827" s="308"/>
      <c r="P3827" s="308" t="s">
        <v>5692</v>
      </c>
      <c r="Q3827" s="308" t="s">
        <v>37238</v>
      </c>
      <c r="R3827" s="308" t="s">
        <v>2743</v>
      </c>
      <c r="S3827" s="315" t="s">
        <v>100</v>
      </c>
      <c r="T3827" s="311" t="s">
        <v>34208</v>
      </c>
      <c r="U3827" s="308" t="s">
        <v>5537</v>
      </c>
      <c r="V3827" s="312"/>
    </row>
    <row r="3828">
      <c r="A3828" s="308">
        <v>3827.0</v>
      </c>
      <c r="B3828" s="308"/>
      <c r="C3828" s="308" t="s">
        <v>15679</v>
      </c>
      <c r="D3828" s="308">
        <f>IFERROR(__xludf.DUMMYFUNCTION("SPLIT(C3828,""-"")"),3848.0)</f>
        <v>3848</v>
      </c>
      <c r="E3828" s="308" t="str">
        <f>IFERROR(__xludf.DUMMYFUNCTION("""COMPUTED_VALUE"""),"P")</f>
        <v>P</v>
      </c>
      <c r="F3828" s="312" t="s">
        <v>37</v>
      </c>
      <c r="G3828" s="308"/>
      <c r="H3828" s="308" t="s">
        <v>15680</v>
      </c>
      <c r="I3828" s="310">
        <v>42506.0</v>
      </c>
      <c r="J3828" s="319">
        <f>IFERROR(__xludf.DUMMYFUNCTION("SPLIT(I3828,""/"")"),16.0)</f>
        <v>16</v>
      </c>
      <c r="K3828" s="308">
        <f>IFERROR(__xludf.DUMMYFUNCTION("""COMPUTED_VALUE"""),5.0)</f>
        <v>5</v>
      </c>
      <c r="L3828" s="308">
        <f>IFERROR(__xludf.DUMMYFUNCTION("""COMPUTED_VALUE"""),2016.0)</f>
        <v>2016</v>
      </c>
      <c r="M3828" s="308" t="s">
        <v>15681</v>
      </c>
      <c r="N3828" s="308"/>
      <c r="O3828" s="308" t="s">
        <v>15682</v>
      </c>
      <c r="P3828" s="308" t="s">
        <v>37239</v>
      </c>
      <c r="Q3828" s="308" t="s">
        <v>37238</v>
      </c>
      <c r="R3828" s="308" t="s">
        <v>2743</v>
      </c>
      <c r="S3828" s="308" t="s">
        <v>81</v>
      </c>
      <c r="T3828" s="308" t="s">
        <v>75</v>
      </c>
      <c r="U3828" s="308" t="s">
        <v>4273</v>
      </c>
      <c r="V3828" s="312"/>
    </row>
    <row r="3829">
      <c r="A3829" s="308">
        <v>3828.0</v>
      </c>
      <c r="B3829" s="308"/>
      <c r="C3829" s="308" t="s">
        <v>15684</v>
      </c>
      <c r="D3829" s="308">
        <f>IFERROR(__xludf.DUMMYFUNCTION("SPLIT(C3829,""-"")"),3849.0)</f>
        <v>3849</v>
      </c>
      <c r="E3829" s="308" t="str">
        <f>IFERROR(__xludf.DUMMYFUNCTION("""COMPUTED_VALUE"""),"K")</f>
        <v>K</v>
      </c>
      <c r="F3829" s="309" t="s">
        <v>34</v>
      </c>
      <c r="G3829" s="308"/>
      <c r="H3829" s="308" t="s">
        <v>15685</v>
      </c>
      <c r="I3829" s="310">
        <v>41654.0</v>
      </c>
      <c r="J3829" s="319">
        <f>IFERROR(__xludf.DUMMYFUNCTION("SPLIT(I3829,""/"")"),15.0)</f>
        <v>15</v>
      </c>
      <c r="K3829" s="308">
        <f>IFERROR(__xludf.DUMMYFUNCTION("""COMPUTED_VALUE"""),1.0)</f>
        <v>1</v>
      </c>
      <c r="L3829" s="308">
        <f>IFERROR(__xludf.DUMMYFUNCTION("""COMPUTED_VALUE"""),2014.0)</f>
        <v>2014</v>
      </c>
      <c r="M3829" s="308" t="s">
        <v>15686</v>
      </c>
      <c r="N3829" s="308"/>
      <c r="O3829" s="308"/>
      <c r="P3829" s="308" t="s">
        <v>15687</v>
      </c>
      <c r="Q3829" s="308" t="s">
        <v>37238</v>
      </c>
      <c r="R3829" s="308" t="s">
        <v>2743</v>
      </c>
      <c r="S3829" s="308" t="s">
        <v>81</v>
      </c>
      <c r="T3829" s="308" t="s">
        <v>34264</v>
      </c>
      <c r="U3829" s="308" t="s">
        <v>125</v>
      </c>
      <c r="V3829" s="312"/>
    </row>
    <row r="3830">
      <c r="A3830" s="308">
        <v>3829.0</v>
      </c>
      <c r="B3830" s="308"/>
      <c r="C3830" s="308" t="s">
        <v>15688</v>
      </c>
      <c r="D3830" s="308">
        <f>IFERROR(__xludf.DUMMYFUNCTION("SPLIT(C3830,""-"")"),3850.0)</f>
        <v>3850</v>
      </c>
      <c r="E3830" s="308" t="str">
        <f>IFERROR(__xludf.DUMMYFUNCTION("""COMPUTED_VALUE"""),"K")</f>
        <v>K</v>
      </c>
      <c r="F3830" s="309" t="s">
        <v>34</v>
      </c>
      <c r="G3830" s="308"/>
      <c r="H3830" s="308" t="s">
        <v>15689</v>
      </c>
      <c r="I3830" s="310">
        <v>41912.0</v>
      </c>
      <c r="J3830" s="319">
        <f>IFERROR(__xludf.DUMMYFUNCTION("SPLIT(I3830,""/"")"),30.0)</f>
        <v>30</v>
      </c>
      <c r="K3830" s="308">
        <f>IFERROR(__xludf.DUMMYFUNCTION("""COMPUTED_VALUE"""),9.0)</f>
        <v>9</v>
      </c>
      <c r="L3830" s="308">
        <f>IFERROR(__xludf.DUMMYFUNCTION("""COMPUTED_VALUE"""),2014.0)</f>
        <v>2014</v>
      </c>
      <c r="M3830" s="308" t="s">
        <v>15690</v>
      </c>
      <c r="N3830" s="308"/>
      <c r="O3830" s="308"/>
      <c r="P3830" s="308" t="s">
        <v>15691</v>
      </c>
      <c r="Q3830" s="308" t="s">
        <v>37240</v>
      </c>
      <c r="R3830" s="308" t="s">
        <v>2743</v>
      </c>
      <c r="S3830" s="308" t="s">
        <v>81</v>
      </c>
      <c r="T3830" s="308" t="s">
        <v>34264</v>
      </c>
      <c r="U3830" s="308"/>
      <c r="V3830" s="312"/>
    </row>
    <row r="3831">
      <c r="A3831" s="308">
        <v>3830.0</v>
      </c>
      <c r="B3831" s="308"/>
      <c r="C3831" s="308" t="s">
        <v>15692</v>
      </c>
      <c r="D3831" s="308">
        <f>IFERROR(__xludf.DUMMYFUNCTION("SPLIT(C3831,""-"")"),3851.0)</f>
        <v>3851</v>
      </c>
      <c r="E3831" s="308" t="str">
        <f>IFERROR(__xludf.DUMMYFUNCTION("""COMPUTED_VALUE"""),"S")</f>
        <v>S</v>
      </c>
      <c r="F3831" s="312" t="s">
        <v>39</v>
      </c>
      <c r="G3831" s="308"/>
      <c r="H3831" s="308" t="s">
        <v>15693</v>
      </c>
      <c r="I3831" s="310">
        <v>41834.0</v>
      </c>
      <c r="J3831" s="319">
        <f>IFERROR(__xludf.DUMMYFUNCTION("SPLIT(I3831,""/"")"),14.0)</f>
        <v>14</v>
      </c>
      <c r="K3831" s="308">
        <f>IFERROR(__xludf.DUMMYFUNCTION("""COMPUTED_VALUE"""),7.0)</f>
        <v>7</v>
      </c>
      <c r="L3831" s="308">
        <f>IFERROR(__xludf.DUMMYFUNCTION("""COMPUTED_VALUE"""),2014.0)</f>
        <v>2014</v>
      </c>
      <c r="M3831" s="308" t="s">
        <v>15694</v>
      </c>
      <c r="N3831" s="308"/>
      <c r="O3831" s="308" t="s">
        <v>15695</v>
      </c>
      <c r="P3831" s="308" t="s">
        <v>2021</v>
      </c>
      <c r="Q3831" s="308" t="s">
        <v>37240</v>
      </c>
      <c r="R3831" s="308" t="s">
        <v>2743</v>
      </c>
      <c r="S3831" s="308" t="s">
        <v>49</v>
      </c>
      <c r="T3831" s="308" t="s">
        <v>51</v>
      </c>
      <c r="U3831" s="308"/>
      <c r="V3831" s="312"/>
    </row>
    <row r="3832">
      <c r="A3832" s="308">
        <v>3831.0</v>
      </c>
      <c r="B3832" s="308"/>
      <c r="C3832" s="308" t="s">
        <v>15696</v>
      </c>
      <c r="D3832" s="308">
        <f>IFERROR(__xludf.DUMMYFUNCTION("SPLIT(C3832,""-"")"),3852.0)</f>
        <v>3852</v>
      </c>
      <c r="E3832" s="308" t="str">
        <f>IFERROR(__xludf.DUMMYFUNCTION("""COMPUTED_VALUE"""),"P")</f>
        <v>P</v>
      </c>
      <c r="F3832" s="312" t="s">
        <v>37</v>
      </c>
      <c r="G3832" s="308"/>
      <c r="H3832" s="308" t="s">
        <v>15697</v>
      </c>
      <c r="I3832" s="310">
        <v>42770.0</v>
      </c>
      <c r="J3832" s="319">
        <f>IFERROR(__xludf.DUMMYFUNCTION("SPLIT(I3832,""/"")"),4.0)</f>
        <v>4</v>
      </c>
      <c r="K3832" s="308">
        <f>IFERROR(__xludf.DUMMYFUNCTION("""COMPUTED_VALUE"""),2.0)</f>
        <v>2</v>
      </c>
      <c r="L3832" s="308">
        <f>IFERROR(__xludf.DUMMYFUNCTION("""COMPUTED_VALUE"""),2017.0)</f>
        <v>2017</v>
      </c>
      <c r="M3832" s="308" t="s">
        <v>15698</v>
      </c>
      <c r="N3832" s="308"/>
      <c r="O3832" s="308" t="s">
        <v>15699</v>
      </c>
      <c r="P3832" s="308" t="s">
        <v>15700</v>
      </c>
      <c r="Q3832" s="308" t="s">
        <v>37241</v>
      </c>
      <c r="R3832" s="308" t="s">
        <v>2743</v>
      </c>
      <c r="S3832" s="308" t="s">
        <v>81</v>
      </c>
      <c r="T3832" s="308" t="s">
        <v>75</v>
      </c>
      <c r="U3832" s="308" t="s">
        <v>14984</v>
      </c>
      <c r="V3832" s="312"/>
    </row>
    <row r="3833">
      <c r="A3833" s="308">
        <v>3832.0</v>
      </c>
      <c r="B3833" s="308"/>
      <c r="C3833" s="308" t="s">
        <v>15701</v>
      </c>
      <c r="D3833" s="308">
        <f>IFERROR(__xludf.DUMMYFUNCTION("SPLIT(C3833,""-"")"),3853.0)</f>
        <v>3853</v>
      </c>
      <c r="E3833" s="308" t="str">
        <f>IFERROR(__xludf.DUMMYFUNCTION("""COMPUTED_VALUE"""),"P")</f>
        <v>P</v>
      </c>
      <c r="F3833" s="312" t="s">
        <v>37</v>
      </c>
      <c r="G3833" s="308"/>
      <c r="H3833" s="308" t="s">
        <v>15702</v>
      </c>
      <c r="I3833" s="314">
        <v>42330.0</v>
      </c>
      <c r="J3833" s="319">
        <f>IFERROR(__xludf.DUMMYFUNCTION("SPLIT(I3833,""/"")"),22.0)</f>
        <v>22</v>
      </c>
      <c r="K3833" s="308">
        <f>IFERROR(__xludf.DUMMYFUNCTION("""COMPUTED_VALUE"""),11.0)</f>
        <v>11</v>
      </c>
      <c r="L3833" s="308">
        <f>IFERROR(__xludf.DUMMYFUNCTION("""COMPUTED_VALUE"""),2015.0)</f>
        <v>2015</v>
      </c>
      <c r="M3833" s="308" t="s">
        <v>15703</v>
      </c>
      <c r="N3833" s="308"/>
      <c r="O3833" s="308"/>
      <c r="P3833" s="308" t="s">
        <v>37242</v>
      </c>
      <c r="Q3833" s="308" t="s">
        <v>37241</v>
      </c>
      <c r="R3833" s="308" t="s">
        <v>2743</v>
      </c>
      <c r="S3833" s="308" t="s">
        <v>81</v>
      </c>
      <c r="T3833" s="311" t="s">
        <v>63</v>
      </c>
      <c r="U3833" s="308" t="s">
        <v>2263</v>
      </c>
      <c r="V3833" s="312"/>
    </row>
    <row r="3834">
      <c r="A3834" s="308">
        <v>3833.0</v>
      </c>
      <c r="B3834" s="308"/>
      <c r="C3834" s="308" t="s">
        <v>15705</v>
      </c>
      <c r="D3834" s="308">
        <f>IFERROR(__xludf.DUMMYFUNCTION("SPLIT(C3834,""-"")"),3854.0)</f>
        <v>3854</v>
      </c>
      <c r="E3834" s="308" t="str">
        <f>IFERROR(__xludf.DUMMYFUNCTION("""COMPUTED_VALUE"""),"P")</f>
        <v>P</v>
      </c>
      <c r="F3834" s="312" t="s">
        <v>37</v>
      </c>
      <c r="G3834" s="308"/>
      <c r="H3834" s="308" t="s">
        <v>37210</v>
      </c>
      <c r="I3834" s="310">
        <v>42606.0</v>
      </c>
      <c r="J3834" s="319">
        <f>IFERROR(__xludf.DUMMYFUNCTION("SPLIT(I3834,""/"")"),24.0)</f>
        <v>24</v>
      </c>
      <c r="K3834" s="308">
        <f>IFERROR(__xludf.DUMMYFUNCTION("""COMPUTED_VALUE"""),8.0)</f>
        <v>8</v>
      </c>
      <c r="L3834" s="308">
        <f>IFERROR(__xludf.DUMMYFUNCTION("""COMPUTED_VALUE"""),2016.0)</f>
        <v>2016</v>
      </c>
      <c r="M3834" s="308" t="s">
        <v>15706</v>
      </c>
      <c r="N3834" s="308"/>
      <c r="O3834" s="308"/>
      <c r="P3834" s="308" t="s">
        <v>37243</v>
      </c>
      <c r="Q3834" s="308" t="s">
        <v>37241</v>
      </c>
      <c r="R3834" s="308" t="s">
        <v>2743</v>
      </c>
      <c r="S3834" s="308" t="s">
        <v>81</v>
      </c>
      <c r="T3834" s="308" t="s">
        <v>75</v>
      </c>
      <c r="U3834" s="308" t="s">
        <v>5702</v>
      </c>
      <c r="V3834" s="312"/>
    </row>
    <row r="3835">
      <c r="A3835" s="308">
        <v>3834.0</v>
      </c>
      <c r="B3835" s="308"/>
      <c r="C3835" s="308" t="s">
        <v>15708</v>
      </c>
      <c r="D3835" s="308">
        <f>IFERROR(__xludf.DUMMYFUNCTION("SPLIT(C3835,""-"")"),3855.0)</f>
        <v>3855</v>
      </c>
      <c r="E3835" s="308" t="str">
        <f>IFERROR(__xludf.DUMMYFUNCTION("""COMPUTED_VALUE"""),"P")</f>
        <v>P</v>
      </c>
      <c r="F3835" s="312" t="s">
        <v>37</v>
      </c>
      <c r="G3835" s="308"/>
      <c r="H3835" s="308" t="s">
        <v>15709</v>
      </c>
      <c r="I3835" s="310">
        <v>42606.0</v>
      </c>
      <c r="J3835" s="319">
        <f>IFERROR(__xludf.DUMMYFUNCTION("SPLIT(I3835,""/"")"),24.0)</f>
        <v>24</v>
      </c>
      <c r="K3835" s="308">
        <f>IFERROR(__xludf.DUMMYFUNCTION("""COMPUTED_VALUE"""),8.0)</f>
        <v>8</v>
      </c>
      <c r="L3835" s="308">
        <f>IFERROR(__xludf.DUMMYFUNCTION("""COMPUTED_VALUE"""),2016.0)</f>
        <v>2016</v>
      </c>
      <c r="M3835" s="308" t="s">
        <v>15706</v>
      </c>
      <c r="N3835" s="308"/>
      <c r="O3835" s="308"/>
      <c r="P3835" s="308" t="s">
        <v>15710</v>
      </c>
      <c r="Q3835" s="308" t="s">
        <v>37241</v>
      </c>
      <c r="R3835" s="308" t="s">
        <v>2743</v>
      </c>
      <c r="S3835" s="308" t="s">
        <v>81</v>
      </c>
      <c r="T3835" s="308" t="s">
        <v>75</v>
      </c>
      <c r="U3835" s="308" t="s">
        <v>5702</v>
      </c>
      <c r="V3835" s="312"/>
    </row>
    <row r="3836">
      <c r="A3836" s="308">
        <v>3835.0</v>
      </c>
      <c r="B3836" s="308"/>
      <c r="C3836" s="308" t="s">
        <v>15711</v>
      </c>
      <c r="D3836" s="308">
        <f>IFERROR(__xludf.DUMMYFUNCTION("SPLIT(C3836,""-"")"),3856.0)</f>
        <v>3856</v>
      </c>
      <c r="E3836" s="308" t="str">
        <f>IFERROR(__xludf.DUMMYFUNCTION("""COMPUTED_VALUE"""),"K")</f>
        <v>K</v>
      </c>
      <c r="F3836" s="309" t="s">
        <v>34</v>
      </c>
      <c r="G3836" s="308"/>
      <c r="H3836" s="308" t="s">
        <v>15712</v>
      </c>
      <c r="I3836" s="310">
        <v>42345.0</v>
      </c>
      <c r="J3836" s="319">
        <f>IFERROR(__xludf.DUMMYFUNCTION("SPLIT(I3836,""/"")"),7.0)</f>
        <v>7</v>
      </c>
      <c r="K3836" s="308">
        <f>IFERROR(__xludf.DUMMYFUNCTION("""COMPUTED_VALUE"""),12.0)</f>
        <v>12</v>
      </c>
      <c r="L3836" s="308">
        <f>IFERROR(__xludf.DUMMYFUNCTION("""COMPUTED_VALUE"""),2015.0)</f>
        <v>2015</v>
      </c>
      <c r="M3836" s="308" t="s">
        <v>15713</v>
      </c>
      <c r="N3836" s="308"/>
      <c r="O3836" s="308" t="s">
        <v>635</v>
      </c>
      <c r="P3836" s="308" t="s">
        <v>37244</v>
      </c>
      <c r="Q3836" s="308" t="s">
        <v>37241</v>
      </c>
      <c r="R3836" s="308" t="s">
        <v>2743</v>
      </c>
      <c r="S3836" s="308" t="s">
        <v>81</v>
      </c>
      <c r="T3836" s="311" t="s">
        <v>35043</v>
      </c>
      <c r="U3836" s="308" t="s">
        <v>872</v>
      </c>
      <c r="V3836" s="312"/>
    </row>
    <row r="3837">
      <c r="A3837" s="308">
        <v>3836.0</v>
      </c>
      <c r="B3837" s="308"/>
      <c r="C3837" s="308" t="s">
        <v>15715</v>
      </c>
      <c r="D3837" s="308">
        <f>IFERROR(__xludf.DUMMYFUNCTION("SPLIT(C3837,""-"")"),3857.0)</f>
        <v>3857</v>
      </c>
      <c r="E3837" s="308" t="str">
        <f>IFERROR(__xludf.DUMMYFUNCTION("""COMPUTED_VALUE"""),"P")</f>
        <v>P</v>
      </c>
      <c r="F3837" s="312" t="s">
        <v>37</v>
      </c>
      <c r="G3837" s="308"/>
      <c r="H3837" s="308" t="s">
        <v>15716</v>
      </c>
      <c r="I3837" s="310">
        <v>39205.0</v>
      </c>
      <c r="J3837" s="319">
        <f>IFERROR(__xludf.DUMMYFUNCTION("SPLIT(I3837,""/"")"),3.0)</f>
        <v>3</v>
      </c>
      <c r="K3837" s="308">
        <f>IFERROR(__xludf.DUMMYFUNCTION("""COMPUTED_VALUE"""),5.0)</f>
        <v>5</v>
      </c>
      <c r="L3837" s="308">
        <f>IFERROR(__xludf.DUMMYFUNCTION("""COMPUTED_VALUE"""),2007.0)</f>
        <v>2007</v>
      </c>
      <c r="M3837" s="308" t="s">
        <v>15717</v>
      </c>
      <c r="N3837" s="308"/>
      <c r="O3837" s="308" t="s">
        <v>15718</v>
      </c>
      <c r="P3837" s="308" t="s">
        <v>37245</v>
      </c>
      <c r="Q3837" s="308" t="s">
        <v>37246</v>
      </c>
      <c r="R3837" s="308" t="s">
        <v>2743</v>
      </c>
      <c r="S3837" s="308" t="s">
        <v>49</v>
      </c>
      <c r="T3837" s="308" t="s">
        <v>51</v>
      </c>
      <c r="U3837" s="308" t="s">
        <v>143</v>
      </c>
      <c r="V3837" s="312"/>
    </row>
    <row r="3838">
      <c r="A3838" s="308">
        <v>3837.0</v>
      </c>
      <c r="B3838" s="308"/>
      <c r="C3838" s="308" t="s">
        <v>15720</v>
      </c>
      <c r="D3838" s="308">
        <f>IFERROR(__xludf.DUMMYFUNCTION("SPLIT(C3838,""-"")"),3858.0)</f>
        <v>3858</v>
      </c>
      <c r="E3838" s="308" t="str">
        <f>IFERROR(__xludf.DUMMYFUNCTION("""COMPUTED_VALUE"""),"P")</f>
        <v>P</v>
      </c>
      <c r="F3838" s="312" t="s">
        <v>37</v>
      </c>
      <c r="G3838" s="308"/>
      <c r="H3838" s="308" t="s">
        <v>15721</v>
      </c>
      <c r="I3838" s="310">
        <v>42794.0</v>
      </c>
      <c r="J3838" s="319">
        <f>IFERROR(__xludf.DUMMYFUNCTION("SPLIT(I3838,""/"")"),28.0)</f>
        <v>28</v>
      </c>
      <c r="K3838" s="308">
        <f>IFERROR(__xludf.DUMMYFUNCTION("""COMPUTED_VALUE"""),2.0)</f>
        <v>2</v>
      </c>
      <c r="L3838" s="308">
        <f>IFERROR(__xludf.DUMMYFUNCTION("""COMPUTED_VALUE"""),2017.0)</f>
        <v>2017</v>
      </c>
      <c r="M3838" s="308" t="s">
        <v>15722</v>
      </c>
      <c r="N3838" s="308"/>
      <c r="O3838" s="308"/>
      <c r="P3838" s="308" t="s">
        <v>37247</v>
      </c>
      <c r="Q3838" s="308" t="s">
        <v>37248</v>
      </c>
      <c r="R3838" s="308" t="s">
        <v>2743</v>
      </c>
      <c r="S3838" s="308" t="s">
        <v>81</v>
      </c>
      <c r="T3838" s="308" t="s">
        <v>75</v>
      </c>
      <c r="U3838" s="308" t="s">
        <v>143</v>
      </c>
      <c r="V3838" s="312"/>
    </row>
    <row r="3839">
      <c r="A3839" s="308">
        <v>3838.0</v>
      </c>
      <c r="B3839" s="308"/>
      <c r="C3839" s="308" t="s">
        <v>15724</v>
      </c>
      <c r="D3839" s="308">
        <f>IFERROR(__xludf.DUMMYFUNCTION("SPLIT(C3839,""-"")"),3859.0)</f>
        <v>3859</v>
      </c>
      <c r="E3839" s="308" t="str">
        <f>IFERROR(__xludf.DUMMYFUNCTION("""COMPUTED_VALUE"""),"K")</f>
        <v>K</v>
      </c>
      <c r="F3839" s="309" t="s">
        <v>34</v>
      </c>
      <c r="G3839" s="308"/>
      <c r="H3839" s="308" t="s">
        <v>15725</v>
      </c>
      <c r="I3839" s="310">
        <v>42341.0</v>
      </c>
      <c r="J3839" s="319">
        <f>IFERROR(__xludf.DUMMYFUNCTION("SPLIT(I3839,""/"")"),3.0)</f>
        <v>3</v>
      </c>
      <c r="K3839" s="308">
        <f>IFERROR(__xludf.DUMMYFUNCTION("""COMPUTED_VALUE"""),12.0)</f>
        <v>12</v>
      </c>
      <c r="L3839" s="308">
        <f>IFERROR(__xludf.DUMMYFUNCTION("""COMPUTED_VALUE"""),2015.0)</f>
        <v>2015</v>
      </c>
      <c r="M3839" s="308" t="s">
        <v>15726</v>
      </c>
      <c r="N3839" s="308"/>
      <c r="O3839" s="308"/>
      <c r="P3839" s="308" t="s">
        <v>37249</v>
      </c>
      <c r="Q3839" s="308" t="s">
        <v>37248</v>
      </c>
      <c r="R3839" s="308" t="s">
        <v>2743</v>
      </c>
      <c r="S3839" s="315" t="s">
        <v>100</v>
      </c>
      <c r="T3839" s="311" t="s">
        <v>34208</v>
      </c>
      <c r="U3839" s="308" t="s">
        <v>4749</v>
      </c>
      <c r="V3839" s="312"/>
    </row>
    <row r="3840">
      <c r="A3840" s="308">
        <v>3839.0</v>
      </c>
      <c r="B3840" s="308"/>
      <c r="C3840" s="308" t="s">
        <v>15727</v>
      </c>
      <c r="D3840" s="308">
        <f>IFERROR(__xludf.DUMMYFUNCTION("SPLIT(C3840,""-"")"),3860.0)</f>
        <v>3860</v>
      </c>
      <c r="E3840" s="308" t="str">
        <f>IFERROR(__xludf.DUMMYFUNCTION("""COMPUTED_VALUE"""),"P")</f>
        <v>P</v>
      </c>
      <c r="F3840" s="312" t="s">
        <v>37</v>
      </c>
      <c r="G3840" s="308"/>
      <c r="H3840" s="308" t="s">
        <v>15728</v>
      </c>
      <c r="I3840" s="310">
        <v>42796.0</v>
      </c>
      <c r="J3840" s="319">
        <f>IFERROR(__xludf.DUMMYFUNCTION("SPLIT(I3840,""/"")"),2.0)</f>
        <v>2</v>
      </c>
      <c r="K3840" s="308">
        <f>IFERROR(__xludf.DUMMYFUNCTION("""COMPUTED_VALUE"""),3.0)</f>
        <v>3</v>
      </c>
      <c r="L3840" s="308">
        <f>IFERROR(__xludf.DUMMYFUNCTION("""COMPUTED_VALUE"""),2017.0)</f>
        <v>2017</v>
      </c>
      <c r="M3840" s="308" t="s">
        <v>15729</v>
      </c>
      <c r="N3840" s="308"/>
      <c r="O3840" s="308" t="s">
        <v>15730</v>
      </c>
      <c r="P3840" s="308" t="s">
        <v>37250</v>
      </c>
      <c r="Q3840" s="308" t="s">
        <v>37248</v>
      </c>
      <c r="R3840" s="308" t="s">
        <v>2743</v>
      </c>
      <c r="S3840" s="308" t="s">
        <v>81</v>
      </c>
      <c r="T3840" s="308" t="s">
        <v>75</v>
      </c>
      <c r="U3840" s="308" t="s">
        <v>37251</v>
      </c>
      <c r="V3840" s="312"/>
    </row>
    <row r="3841">
      <c r="A3841" s="308">
        <v>3840.0</v>
      </c>
      <c r="B3841" s="308"/>
      <c r="C3841" s="308" t="s">
        <v>15732</v>
      </c>
      <c r="D3841" s="308">
        <f>IFERROR(__xludf.DUMMYFUNCTION("SPLIT(C3841,""-"")"),3861.0)</f>
        <v>3861</v>
      </c>
      <c r="E3841" s="308" t="str">
        <f>IFERROR(__xludf.DUMMYFUNCTION("""COMPUTED_VALUE"""),"K")</f>
        <v>K</v>
      </c>
      <c r="F3841" s="309" t="s">
        <v>34</v>
      </c>
      <c r="G3841" s="308"/>
      <c r="H3841" s="308" t="s">
        <v>15733</v>
      </c>
      <c r="I3841" s="310">
        <v>42035.0</v>
      </c>
      <c r="J3841" s="319">
        <f>IFERROR(__xludf.DUMMYFUNCTION("SPLIT(I3841,""/"")"),31.0)</f>
        <v>31</v>
      </c>
      <c r="K3841" s="308">
        <f>IFERROR(__xludf.DUMMYFUNCTION("""COMPUTED_VALUE"""),1.0)</f>
        <v>1</v>
      </c>
      <c r="L3841" s="308">
        <f>IFERROR(__xludf.DUMMYFUNCTION("""COMPUTED_VALUE"""),2015.0)</f>
        <v>2015</v>
      </c>
      <c r="M3841" s="308" t="s">
        <v>15734</v>
      </c>
      <c r="N3841" s="308"/>
      <c r="O3841" s="308" t="s">
        <v>15735</v>
      </c>
      <c r="P3841" s="308" t="s">
        <v>15736</v>
      </c>
      <c r="Q3841" s="308" t="s">
        <v>37248</v>
      </c>
      <c r="R3841" s="308" t="s">
        <v>2743</v>
      </c>
      <c r="S3841" s="308" t="s">
        <v>81</v>
      </c>
      <c r="T3841" s="308" t="s">
        <v>34264</v>
      </c>
      <c r="U3841" s="308" t="s">
        <v>125</v>
      </c>
      <c r="V3841" s="312"/>
    </row>
    <row r="3842">
      <c r="A3842" s="308">
        <v>3841.0</v>
      </c>
      <c r="B3842" s="308"/>
      <c r="C3842" s="308" t="s">
        <v>15737</v>
      </c>
      <c r="D3842" s="308">
        <f>IFERROR(__xludf.DUMMYFUNCTION("SPLIT(C3842,""-"")"),3862.0)</f>
        <v>3862</v>
      </c>
      <c r="E3842" s="308" t="str">
        <f>IFERROR(__xludf.DUMMYFUNCTION("""COMPUTED_VALUE"""),"P")</f>
        <v>P</v>
      </c>
      <c r="F3842" s="312" t="s">
        <v>37</v>
      </c>
      <c r="G3842" s="308"/>
      <c r="H3842" s="308" t="s">
        <v>15738</v>
      </c>
      <c r="I3842" s="310">
        <v>42780.0</v>
      </c>
      <c r="J3842" s="319">
        <f>IFERROR(__xludf.DUMMYFUNCTION("SPLIT(I3842,""/"")"),14.0)</f>
        <v>14</v>
      </c>
      <c r="K3842" s="308">
        <f>IFERROR(__xludf.DUMMYFUNCTION("""COMPUTED_VALUE"""),2.0)</f>
        <v>2</v>
      </c>
      <c r="L3842" s="308">
        <f>IFERROR(__xludf.DUMMYFUNCTION("""COMPUTED_VALUE"""),2017.0)</f>
        <v>2017</v>
      </c>
      <c r="M3842" s="308" t="s">
        <v>15739</v>
      </c>
      <c r="N3842" s="308"/>
      <c r="O3842" s="308" t="s">
        <v>15740</v>
      </c>
      <c r="P3842" s="308" t="s">
        <v>37252</v>
      </c>
      <c r="Q3842" s="308" t="s">
        <v>37248</v>
      </c>
      <c r="R3842" s="308" t="s">
        <v>2743</v>
      </c>
      <c r="S3842" s="308" t="s">
        <v>81</v>
      </c>
      <c r="T3842" s="311" t="s">
        <v>51</v>
      </c>
      <c r="U3842" s="308" t="s">
        <v>4273</v>
      </c>
      <c r="V3842" s="312"/>
    </row>
    <row r="3843">
      <c r="A3843" s="308">
        <v>3842.0</v>
      </c>
      <c r="B3843" s="308"/>
      <c r="C3843" s="308" t="s">
        <v>15742</v>
      </c>
      <c r="D3843" s="308">
        <f>IFERROR(__xludf.DUMMYFUNCTION("SPLIT(C3843,""-"")"),3863.0)</f>
        <v>3863</v>
      </c>
      <c r="E3843" s="308" t="str">
        <f>IFERROR(__xludf.DUMMYFUNCTION("""COMPUTED_VALUE"""),"I")</f>
        <v>I</v>
      </c>
      <c r="F3843" s="309" t="s">
        <v>31</v>
      </c>
      <c r="G3843" s="308"/>
      <c r="H3843" s="308" t="s">
        <v>15743</v>
      </c>
      <c r="I3843" s="310">
        <v>42790.0</v>
      </c>
      <c r="J3843" s="319">
        <f>IFERROR(__xludf.DUMMYFUNCTION("SPLIT(I3843,""/"")"),24.0)</f>
        <v>24</v>
      </c>
      <c r="K3843" s="308">
        <f>IFERROR(__xludf.DUMMYFUNCTION("""COMPUTED_VALUE"""),2.0)</f>
        <v>2</v>
      </c>
      <c r="L3843" s="308">
        <f>IFERROR(__xludf.DUMMYFUNCTION("""COMPUTED_VALUE"""),2017.0)</f>
        <v>2017</v>
      </c>
      <c r="M3843" s="308" t="s">
        <v>15744</v>
      </c>
      <c r="N3843" s="308"/>
      <c r="O3843" s="308" t="s">
        <v>15745</v>
      </c>
      <c r="P3843" s="308" t="s">
        <v>37253</v>
      </c>
      <c r="Q3843" s="308" t="s">
        <v>37248</v>
      </c>
      <c r="R3843" s="308" t="s">
        <v>2743</v>
      </c>
      <c r="S3843" s="308" t="s">
        <v>81</v>
      </c>
      <c r="T3843" s="311" t="s">
        <v>75</v>
      </c>
      <c r="U3843" s="308" t="s">
        <v>31</v>
      </c>
      <c r="V3843" s="312"/>
    </row>
    <row r="3844">
      <c r="A3844" s="308">
        <v>3843.0</v>
      </c>
      <c r="B3844" s="308"/>
      <c r="C3844" s="308" t="s">
        <v>15747</v>
      </c>
      <c r="D3844" s="308">
        <f>IFERROR(__xludf.DUMMYFUNCTION("SPLIT(C3844,""-"")"),3864.0)</f>
        <v>3864</v>
      </c>
      <c r="E3844" s="308" t="str">
        <f>IFERROR(__xludf.DUMMYFUNCTION("""COMPUTED_VALUE"""),"P")</f>
        <v>P</v>
      </c>
      <c r="F3844" s="312" t="s">
        <v>37</v>
      </c>
      <c r="G3844" s="308"/>
      <c r="H3844" s="308" t="s">
        <v>15748</v>
      </c>
      <c r="I3844" s="310">
        <v>42744.0</v>
      </c>
      <c r="J3844" s="319">
        <f>IFERROR(__xludf.DUMMYFUNCTION("SPLIT(I3844,""/"")"),9.0)</f>
        <v>9</v>
      </c>
      <c r="K3844" s="308">
        <f>IFERROR(__xludf.DUMMYFUNCTION("""COMPUTED_VALUE"""),1.0)</f>
        <v>1</v>
      </c>
      <c r="L3844" s="308">
        <f>IFERROR(__xludf.DUMMYFUNCTION("""COMPUTED_VALUE"""),2017.0)</f>
        <v>2017</v>
      </c>
      <c r="M3844" s="308" t="s">
        <v>15749</v>
      </c>
      <c r="N3844" s="308"/>
      <c r="O3844" s="308"/>
      <c r="P3844" s="308" t="s">
        <v>15750</v>
      </c>
      <c r="Q3844" s="308" t="s">
        <v>37248</v>
      </c>
      <c r="R3844" s="308" t="s">
        <v>2743</v>
      </c>
      <c r="S3844" s="308" t="s">
        <v>81</v>
      </c>
      <c r="T3844" s="308" t="s">
        <v>73</v>
      </c>
      <c r="U3844" s="308" t="s">
        <v>14984</v>
      </c>
      <c r="V3844" s="312"/>
    </row>
    <row r="3845">
      <c r="A3845" s="308">
        <v>3844.0</v>
      </c>
      <c r="B3845" s="308"/>
      <c r="C3845" s="308" t="s">
        <v>15751</v>
      </c>
      <c r="D3845" s="308">
        <f>IFERROR(__xludf.DUMMYFUNCTION("SPLIT(C3845,""-"")"),3865.0)</f>
        <v>3865</v>
      </c>
      <c r="E3845" s="308" t="str">
        <f>IFERROR(__xludf.DUMMYFUNCTION("""COMPUTED_VALUE"""),"I")</f>
        <v>I</v>
      </c>
      <c r="F3845" s="309" t="s">
        <v>31</v>
      </c>
      <c r="G3845" s="308"/>
      <c r="H3845" s="308" t="s">
        <v>15752</v>
      </c>
      <c r="I3845" s="310">
        <v>42457.0</v>
      </c>
      <c r="J3845" s="319">
        <f>IFERROR(__xludf.DUMMYFUNCTION("SPLIT(I3845,""/"")"),28.0)</f>
        <v>28</v>
      </c>
      <c r="K3845" s="308">
        <f>IFERROR(__xludf.DUMMYFUNCTION("""COMPUTED_VALUE"""),3.0)</f>
        <v>3</v>
      </c>
      <c r="L3845" s="308">
        <f>IFERROR(__xludf.DUMMYFUNCTION("""COMPUTED_VALUE"""),2016.0)</f>
        <v>2016</v>
      </c>
      <c r="M3845" s="308" t="s">
        <v>15753</v>
      </c>
      <c r="N3845" s="308"/>
      <c r="O3845" s="308"/>
      <c r="P3845" s="308" t="s">
        <v>15754</v>
      </c>
      <c r="Q3845" s="308" t="s">
        <v>37248</v>
      </c>
      <c r="R3845" s="308" t="s">
        <v>2743</v>
      </c>
      <c r="S3845" s="308" t="s">
        <v>81</v>
      </c>
      <c r="T3845" s="311" t="s">
        <v>83</v>
      </c>
      <c r="U3845" s="308"/>
      <c r="V3845" s="312"/>
    </row>
    <row r="3846">
      <c r="A3846" s="308">
        <v>3845.0</v>
      </c>
      <c r="B3846" s="308"/>
      <c r="C3846" s="308" t="s">
        <v>15755</v>
      </c>
      <c r="D3846" s="308">
        <f>IFERROR(__xludf.DUMMYFUNCTION("SPLIT(C3846,""-"")"),3866.0)</f>
        <v>3866</v>
      </c>
      <c r="E3846" s="308" t="str">
        <f>IFERROR(__xludf.DUMMYFUNCTION("""COMPUTED_VALUE"""),"B")</f>
        <v>B</v>
      </c>
      <c r="F3846" s="315" t="s">
        <v>26</v>
      </c>
      <c r="G3846" s="308"/>
      <c r="H3846" s="308" t="s">
        <v>15756</v>
      </c>
      <c r="I3846" s="310">
        <v>42505.0</v>
      </c>
      <c r="J3846" s="319">
        <f>IFERROR(__xludf.DUMMYFUNCTION("SPLIT(I3846,""/"")"),15.0)</f>
        <v>15</v>
      </c>
      <c r="K3846" s="308">
        <f>IFERROR(__xludf.DUMMYFUNCTION("""COMPUTED_VALUE"""),5.0)</f>
        <v>5</v>
      </c>
      <c r="L3846" s="308">
        <f>IFERROR(__xludf.DUMMYFUNCTION("""COMPUTED_VALUE"""),2016.0)</f>
        <v>2016</v>
      </c>
      <c r="M3846" s="308" t="s">
        <v>15757</v>
      </c>
      <c r="N3846" s="308"/>
      <c r="O3846" s="308" t="s">
        <v>15758</v>
      </c>
      <c r="P3846" s="308" t="s">
        <v>37254</v>
      </c>
      <c r="Q3846" s="308" t="s">
        <v>37248</v>
      </c>
      <c r="R3846" s="308" t="s">
        <v>2743</v>
      </c>
      <c r="S3846" s="308" t="s">
        <v>81</v>
      </c>
      <c r="T3846" s="308" t="s">
        <v>75</v>
      </c>
      <c r="U3846" s="308" t="s">
        <v>27</v>
      </c>
      <c r="V3846" s="312"/>
    </row>
    <row r="3847">
      <c r="A3847" s="308">
        <v>3846.0</v>
      </c>
      <c r="B3847" s="308"/>
      <c r="C3847" s="308" t="s">
        <v>15760</v>
      </c>
      <c r="D3847" s="308">
        <f>IFERROR(__xludf.DUMMYFUNCTION("SPLIT(C3847,""-"")"),3867.0)</f>
        <v>3867</v>
      </c>
      <c r="E3847" s="308" t="str">
        <f>IFERROR(__xludf.DUMMYFUNCTION("""COMPUTED_VALUE"""),"S")</f>
        <v>S</v>
      </c>
      <c r="F3847" s="312" t="s">
        <v>39</v>
      </c>
      <c r="G3847" s="308"/>
      <c r="H3847" s="308" t="s">
        <v>15761</v>
      </c>
      <c r="I3847" s="310">
        <v>42755.0</v>
      </c>
      <c r="J3847" s="319">
        <f>IFERROR(__xludf.DUMMYFUNCTION("SPLIT(I3847,""/"")"),20.0)</f>
        <v>20</v>
      </c>
      <c r="K3847" s="308">
        <f>IFERROR(__xludf.DUMMYFUNCTION("""COMPUTED_VALUE"""),1.0)</f>
        <v>1</v>
      </c>
      <c r="L3847" s="308">
        <f>IFERROR(__xludf.DUMMYFUNCTION("""COMPUTED_VALUE"""),2017.0)</f>
        <v>2017</v>
      </c>
      <c r="M3847" s="308" t="s">
        <v>15762</v>
      </c>
      <c r="N3847" s="308"/>
      <c r="O3847" s="308"/>
      <c r="P3847" s="308" t="s">
        <v>37255</v>
      </c>
      <c r="Q3847" s="308" t="s">
        <v>37248</v>
      </c>
      <c r="R3847" s="308" t="s">
        <v>2743</v>
      </c>
      <c r="S3847" s="308" t="s">
        <v>81</v>
      </c>
      <c r="T3847" s="308" t="s">
        <v>75</v>
      </c>
      <c r="U3847" s="308" t="s">
        <v>166</v>
      </c>
      <c r="V3847" s="312"/>
    </row>
    <row r="3848">
      <c r="A3848" s="308">
        <v>3847.0</v>
      </c>
      <c r="B3848" s="308"/>
      <c r="C3848" s="308" t="s">
        <v>15764</v>
      </c>
      <c r="D3848" s="308">
        <f>IFERROR(__xludf.DUMMYFUNCTION("SPLIT(C3848,""-"")"),3868.0)</f>
        <v>3868</v>
      </c>
      <c r="E3848" s="308" t="str">
        <f>IFERROR(__xludf.DUMMYFUNCTION("""COMPUTED_VALUE"""),"P")</f>
        <v>P</v>
      </c>
      <c r="F3848" s="312" t="s">
        <v>37</v>
      </c>
      <c r="G3848" s="308"/>
      <c r="H3848" s="308" t="s">
        <v>15765</v>
      </c>
      <c r="I3848" s="314">
        <v>42735.0</v>
      </c>
      <c r="J3848" s="319">
        <f>IFERROR(__xludf.DUMMYFUNCTION("SPLIT(I3848,""/"")"),31.0)</f>
        <v>31</v>
      </c>
      <c r="K3848" s="308">
        <f>IFERROR(__xludf.DUMMYFUNCTION("""COMPUTED_VALUE"""),12.0)</f>
        <v>12</v>
      </c>
      <c r="L3848" s="308">
        <f>IFERROR(__xludf.DUMMYFUNCTION("""COMPUTED_VALUE"""),2016.0)</f>
        <v>2016</v>
      </c>
      <c r="M3848" s="308" t="s">
        <v>15766</v>
      </c>
      <c r="N3848" s="308"/>
      <c r="O3848" s="308"/>
      <c r="P3848" s="308" t="s">
        <v>15767</v>
      </c>
      <c r="Q3848" s="308" t="s">
        <v>37248</v>
      </c>
      <c r="R3848" s="308" t="s">
        <v>2743</v>
      </c>
      <c r="S3848" s="308" t="s">
        <v>81</v>
      </c>
      <c r="T3848" s="311" t="s">
        <v>51</v>
      </c>
      <c r="U3848" s="308" t="s">
        <v>143</v>
      </c>
      <c r="V3848" s="312"/>
    </row>
    <row r="3849">
      <c r="A3849" s="308">
        <v>3848.0</v>
      </c>
      <c r="B3849" s="308"/>
      <c r="C3849" s="308" t="s">
        <v>15768</v>
      </c>
      <c r="D3849" s="308">
        <f>IFERROR(__xludf.DUMMYFUNCTION("SPLIT(C3849,""-"")"),3869.0)</f>
        <v>3869</v>
      </c>
      <c r="E3849" s="308" t="str">
        <f>IFERROR(__xludf.DUMMYFUNCTION("""COMPUTED_VALUE"""),"S")</f>
        <v>S</v>
      </c>
      <c r="F3849" s="312" t="s">
        <v>39</v>
      </c>
      <c r="G3849" s="308"/>
      <c r="H3849" s="308" t="s">
        <v>15769</v>
      </c>
      <c r="I3849" s="310">
        <v>42620.0</v>
      </c>
      <c r="J3849" s="319">
        <f>IFERROR(__xludf.DUMMYFUNCTION("SPLIT(I3849,""/"")"),7.0)</f>
        <v>7</v>
      </c>
      <c r="K3849" s="308">
        <f>IFERROR(__xludf.DUMMYFUNCTION("""COMPUTED_VALUE"""),9.0)</f>
        <v>9</v>
      </c>
      <c r="L3849" s="308">
        <f>IFERROR(__xludf.DUMMYFUNCTION("""COMPUTED_VALUE"""),2016.0)</f>
        <v>2016</v>
      </c>
      <c r="M3849" s="308" t="s">
        <v>15770</v>
      </c>
      <c r="N3849" s="308"/>
      <c r="O3849" s="308"/>
      <c r="P3849" s="308" t="s">
        <v>15771</v>
      </c>
      <c r="Q3849" s="308" t="s">
        <v>37256</v>
      </c>
      <c r="R3849" s="308" t="s">
        <v>14911</v>
      </c>
      <c r="S3849" s="309" t="s">
        <v>81</v>
      </c>
      <c r="T3849" s="311" t="s">
        <v>63</v>
      </c>
      <c r="U3849" s="312"/>
      <c r="V3849" s="312"/>
    </row>
    <row r="3850">
      <c r="A3850" s="308">
        <v>3849.0</v>
      </c>
      <c r="B3850" s="308"/>
      <c r="C3850" s="308" t="s">
        <v>15772</v>
      </c>
      <c r="D3850" s="308">
        <f>IFERROR(__xludf.DUMMYFUNCTION("SPLIT(C3850,""-"")"),3870.0)</f>
        <v>3870</v>
      </c>
      <c r="E3850" s="308" t="str">
        <f>IFERROR(__xludf.DUMMYFUNCTION("""COMPUTED_VALUE"""),"S")</f>
        <v>S</v>
      </c>
      <c r="F3850" s="312" t="s">
        <v>39</v>
      </c>
      <c r="G3850" s="308"/>
      <c r="H3850" s="308" t="s">
        <v>15773</v>
      </c>
      <c r="I3850" s="310">
        <v>42643.0</v>
      </c>
      <c r="J3850" s="319">
        <f>IFERROR(__xludf.DUMMYFUNCTION("SPLIT(I3850,""/"")"),30.0)</f>
        <v>30</v>
      </c>
      <c r="K3850" s="308">
        <f>IFERROR(__xludf.DUMMYFUNCTION("""COMPUTED_VALUE"""),9.0)</f>
        <v>9</v>
      </c>
      <c r="L3850" s="308">
        <f>IFERROR(__xludf.DUMMYFUNCTION("""COMPUTED_VALUE"""),2016.0)</f>
        <v>2016</v>
      </c>
      <c r="M3850" s="308" t="s">
        <v>15774</v>
      </c>
      <c r="N3850" s="308"/>
      <c r="O3850" s="308"/>
      <c r="P3850" s="308" t="s">
        <v>37257</v>
      </c>
      <c r="Q3850" s="308" t="s">
        <v>37256</v>
      </c>
      <c r="R3850" s="308" t="s">
        <v>14911</v>
      </c>
      <c r="S3850" s="308" t="s">
        <v>49</v>
      </c>
      <c r="T3850" s="308" t="s">
        <v>53</v>
      </c>
      <c r="U3850" s="308" t="s">
        <v>166</v>
      </c>
      <c r="V3850" s="312"/>
    </row>
    <row r="3851">
      <c r="A3851" s="308">
        <v>3850.0</v>
      </c>
      <c r="B3851" s="308"/>
      <c r="C3851" s="308" t="s">
        <v>15776</v>
      </c>
      <c r="D3851" s="308">
        <f>IFERROR(__xludf.DUMMYFUNCTION("SPLIT(C3851,""-"")"),3871.0)</f>
        <v>3871</v>
      </c>
      <c r="E3851" s="308" t="str">
        <f>IFERROR(__xludf.DUMMYFUNCTION("""COMPUTED_VALUE"""),"S")</f>
        <v>S</v>
      </c>
      <c r="F3851" s="312" t="s">
        <v>39</v>
      </c>
      <c r="G3851" s="308"/>
      <c r="H3851" s="308" t="s">
        <v>15777</v>
      </c>
      <c r="I3851" s="310">
        <v>42643.0</v>
      </c>
      <c r="J3851" s="319">
        <f>IFERROR(__xludf.DUMMYFUNCTION("SPLIT(I3851,""/"")"),30.0)</f>
        <v>30</v>
      </c>
      <c r="K3851" s="308">
        <f>IFERROR(__xludf.DUMMYFUNCTION("""COMPUTED_VALUE"""),9.0)</f>
        <v>9</v>
      </c>
      <c r="L3851" s="308">
        <f>IFERROR(__xludf.DUMMYFUNCTION("""COMPUTED_VALUE"""),2016.0)</f>
        <v>2016</v>
      </c>
      <c r="M3851" s="308" t="s">
        <v>15778</v>
      </c>
      <c r="N3851" s="308"/>
      <c r="O3851" s="308" t="s">
        <v>15779</v>
      </c>
      <c r="P3851" s="308" t="s">
        <v>37258</v>
      </c>
      <c r="Q3851" s="308" t="s">
        <v>37256</v>
      </c>
      <c r="R3851" s="308" t="s">
        <v>14911</v>
      </c>
      <c r="S3851" s="308" t="s">
        <v>81</v>
      </c>
      <c r="T3851" s="308" t="s">
        <v>63</v>
      </c>
      <c r="U3851" s="308" t="s">
        <v>166</v>
      </c>
      <c r="V3851" s="312"/>
    </row>
    <row r="3852">
      <c r="A3852" s="308">
        <v>3851.0</v>
      </c>
      <c r="B3852" s="308"/>
      <c r="C3852" s="308" t="s">
        <v>15781</v>
      </c>
      <c r="D3852" s="308">
        <f>IFERROR(__xludf.DUMMYFUNCTION("SPLIT(C3852,""-"")"),3872.0)</f>
        <v>3872</v>
      </c>
      <c r="E3852" s="308" t="str">
        <f>IFERROR(__xludf.DUMMYFUNCTION("""COMPUTED_VALUE"""),"S")</f>
        <v>S</v>
      </c>
      <c r="F3852" s="312" t="s">
        <v>39</v>
      </c>
      <c r="G3852" s="308"/>
      <c r="H3852" s="308" t="s">
        <v>15782</v>
      </c>
      <c r="I3852" s="310">
        <v>42643.0</v>
      </c>
      <c r="J3852" s="319">
        <f>IFERROR(__xludf.DUMMYFUNCTION("SPLIT(I3852,""/"")"),30.0)</f>
        <v>30</v>
      </c>
      <c r="K3852" s="308">
        <f>IFERROR(__xludf.DUMMYFUNCTION("""COMPUTED_VALUE"""),9.0)</f>
        <v>9</v>
      </c>
      <c r="L3852" s="308">
        <f>IFERROR(__xludf.DUMMYFUNCTION("""COMPUTED_VALUE"""),2016.0)</f>
        <v>2016</v>
      </c>
      <c r="M3852" s="308" t="s">
        <v>15778</v>
      </c>
      <c r="N3852" s="308"/>
      <c r="O3852" s="308" t="s">
        <v>15783</v>
      </c>
      <c r="P3852" s="308" t="s">
        <v>37259</v>
      </c>
      <c r="Q3852" s="308" t="s">
        <v>37256</v>
      </c>
      <c r="R3852" s="308" t="s">
        <v>14911</v>
      </c>
      <c r="S3852" s="308" t="s">
        <v>81</v>
      </c>
      <c r="T3852" s="311" t="s">
        <v>53</v>
      </c>
      <c r="U3852" s="308" t="s">
        <v>166</v>
      </c>
      <c r="V3852" s="312"/>
    </row>
    <row r="3853">
      <c r="A3853" s="308">
        <v>3852.0</v>
      </c>
      <c r="B3853" s="308"/>
      <c r="C3853" s="308" t="s">
        <v>15785</v>
      </c>
      <c r="D3853" s="308">
        <f>IFERROR(__xludf.DUMMYFUNCTION("SPLIT(C3853,""-"")"),3873.0)</f>
        <v>3873</v>
      </c>
      <c r="E3853" s="308" t="str">
        <f>IFERROR(__xludf.DUMMYFUNCTION("""COMPUTED_VALUE"""),"S")</f>
        <v>S</v>
      </c>
      <c r="F3853" s="312" t="s">
        <v>39</v>
      </c>
      <c r="G3853" s="308"/>
      <c r="H3853" s="308" t="s">
        <v>15786</v>
      </c>
      <c r="I3853" s="310">
        <v>42783.0</v>
      </c>
      <c r="J3853" s="319">
        <f>IFERROR(__xludf.DUMMYFUNCTION("SPLIT(I3853,""/"")"),17.0)</f>
        <v>17</v>
      </c>
      <c r="K3853" s="308">
        <f>IFERROR(__xludf.DUMMYFUNCTION("""COMPUTED_VALUE"""),2.0)</f>
        <v>2</v>
      </c>
      <c r="L3853" s="308">
        <f>IFERROR(__xludf.DUMMYFUNCTION("""COMPUTED_VALUE"""),2017.0)</f>
        <v>2017</v>
      </c>
      <c r="M3853" s="308" t="s">
        <v>15787</v>
      </c>
      <c r="N3853" s="308"/>
      <c r="O3853" s="308"/>
      <c r="P3853" s="308" t="s">
        <v>15788</v>
      </c>
      <c r="Q3853" s="308" t="s">
        <v>37256</v>
      </c>
      <c r="R3853" s="308" t="s">
        <v>14911</v>
      </c>
      <c r="S3853" s="308" t="s">
        <v>81</v>
      </c>
      <c r="T3853" s="308" t="s">
        <v>75</v>
      </c>
      <c r="U3853" s="308" t="s">
        <v>15789</v>
      </c>
      <c r="V3853" s="312"/>
    </row>
    <row r="3854">
      <c r="A3854" s="308">
        <v>3853.0</v>
      </c>
      <c r="B3854" s="308"/>
      <c r="C3854" s="308" t="s">
        <v>15790</v>
      </c>
      <c r="D3854" s="308">
        <f>IFERROR(__xludf.DUMMYFUNCTION("SPLIT(C3854,""-"")"),3874.0)</f>
        <v>3874</v>
      </c>
      <c r="E3854" s="308" t="str">
        <f>IFERROR(__xludf.DUMMYFUNCTION("""COMPUTED_VALUE"""),"P")</f>
        <v>P</v>
      </c>
      <c r="F3854" s="312" t="s">
        <v>37</v>
      </c>
      <c r="G3854" s="308"/>
      <c r="H3854" s="308" t="s">
        <v>15791</v>
      </c>
      <c r="I3854" s="310">
        <v>42775.0</v>
      </c>
      <c r="J3854" s="319">
        <f>IFERROR(__xludf.DUMMYFUNCTION("SPLIT(I3854,""/"")"),9.0)</f>
        <v>9</v>
      </c>
      <c r="K3854" s="308">
        <f>IFERROR(__xludf.DUMMYFUNCTION("""COMPUTED_VALUE"""),2.0)</f>
        <v>2</v>
      </c>
      <c r="L3854" s="308">
        <f>IFERROR(__xludf.DUMMYFUNCTION("""COMPUTED_VALUE"""),2017.0)</f>
        <v>2017</v>
      </c>
      <c r="M3854" s="308" t="s">
        <v>15792</v>
      </c>
      <c r="N3854" s="308"/>
      <c r="O3854" s="308"/>
      <c r="P3854" s="308" t="s">
        <v>15793</v>
      </c>
      <c r="Q3854" s="308" t="s">
        <v>37256</v>
      </c>
      <c r="R3854" s="308" t="s">
        <v>14911</v>
      </c>
      <c r="S3854" s="308" t="s">
        <v>81</v>
      </c>
      <c r="T3854" s="311" t="s">
        <v>96</v>
      </c>
      <c r="U3854" s="308"/>
      <c r="V3854" s="312"/>
    </row>
    <row r="3855">
      <c r="A3855" s="308">
        <v>3854.0</v>
      </c>
      <c r="B3855" s="308"/>
      <c r="C3855" s="308" t="s">
        <v>15794</v>
      </c>
      <c r="D3855" s="308">
        <f>IFERROR(__xludf.DUMMYFUNCTION("SPLIT(C3855,""-"")"),3875.0)</f>
        <v>3875</v>
      </c>
      <c r="E3855" s="308" t="str">
        <f>IFERROR(__xludf.DUMMYFUNCTION("""COMPUTED_VALUE"""),"P")</f>
        <v>P</v>
      </c>
      <c r="F3855" s="312" t="s">
        <v>37</v>
      </c>
      <c r="G3855" s="308"/>
      <c r="H3855" s="308" t="s">
        <v>15795</v>
      </c>
      <c r="I3855" s="314">
        <v>42351.0</v>
      </c>
      <c r="J3855" s="319">
        <f>IFERROR(__xludf.DUMMYFUNCTION("SPLIT(I3855,""/"")"),13.0)</f>
        <v>13</v>
      </c>
      <c r="K3855" s="308">
        <f>IFERROR(__xludf.DUMMYFUNCTION("""COMPUTED_VALUE"""),12.0)</f>
        <v>12</v>
      </c>
      <c r="L3855" s="308">
        <f>IFERROR(__xludf.DUMMYFUNCTION("""COMPUTED_VALUE"""),2015.0)</f>
        <v>2015</v>
      </c>
      <c r="M3855" s="308" t="s">
        <v>15796</v>
      </c>
      <c r="N3855" s="308" t="s">
        <v>15797</v>
      </c>
      <c r="O3855" s="308"/>
      <c r="P3855" s="308" t="s">
        <v>37260</v>
      </c>
      <c r="Q3855" s="308" t="s">
        <v>37256</v>
      </c>
      <c r="R3855" s="308" t="s">
        <v>14911</v>
      </c>
      <c r="S3855" s="315" t="s">
        <v>100</v>
      </c>
      <c r="T3855" s="311" t="s">
        <v>34208</v>
      </c>
      <c r="U3855" s="308" t="s">
        <v>143</v>
      </c>
      <c r="V3855" s="312"/>
    </row>
    <row r="3856">
      <c r="A3856" s="308">
        <v>3855.0</v>
      </c>
      <c r="B3856" s="308"/>
      <c r="C3856" s="308" t="s">
        <v>15798</v>
      </c>
      <c r="D3856" s="308">
        <f>IFERROR(__xludf.DUMMYFUNCTION("SPLIT(C3856,""-"")"),3876.0)</f>
        <v>3876</v>
      </c>
      <c r="E3856" s="308" t="str">
        <f>IFERROR(__xludf.DUMMYFUNCTION("""COMPUTED_VALUE"""),"P")</f>
        <v>P</v>
      </c>
      <c r="F3856" s="312" t="s">
        <v>37</v>
      </c>
      <c r="G3856" s="308"/>
      <c r="H3856" s="308" t="s">
        <v>15799</v>
      </c>
      <c r="I3856" s="314">
        <v>42351.0</v>
      </c>
      <c r="J3856" s="319">
        <f>IFERROR(__xludf.DUMMYFUNCTION("SPLIT(I3856,""/"")"),13.0)</f>
        <v>13</v>
      </c>
      <c r="K3856" s="308">
        <f>IFERROR(__xludf.DUMMYFUNCTION("""COMPUTED_VALUE"""),12.0)</f>
        <v>12</v>
      </c>
      <c r="L3856" s="308">
        <f>IFERROR(__xludf.DUMMYFUNCTION("""COMPUTED_VALUE"""),2015.0)</f>
        <v>2015</v>
      </c>
      <c r="M3856" s="308" t="s">
        <v>15800</v>
      </c>
      <c r="N3856" s="308"/>
      <c r="O3856" s="308"/>
      <c r="P3856" s="308" t="s">
        <v>37009</v>
      </c>
      <c r="Q3856" s="308" t="s">
        <v>37256</v>
      </c>
      <c r="R3856" s="308" t="s">
        <v>14911</v>
      </c>
      <c r="S3856" s="308" t="s">
        <v>81</v>
      </c>
      <c r="T3856" s="308" t="s">
        <v>63</v>
      </c>
      <c r="U3856" s="308" t="s">
        <v>143</v>
      </c>
      <c r="V3856" s="312"/>
    </row>
    <row r="3857">
      <c r="A3857" s="308">
        <v>3856.0</v>
      </c>
      <c r="B3857" s="308"/>
      <c r="C3857" s="308" t="s">
        <v>15801</v>
      </c>
      <c r="D3857" s="308">
        <f>IFERROR(__xludf.DUMMYFUNCTION("SPLIT(C3857,""-"")"),3877.0)</f>
        <v>3877</v>
      </c>
      <c r="E3857" s="308" t="str">
        <f>IFERROR(__xludf.DUMMYFUNCTION("""COMPUTED_VALUE"""),"K")</f>
        <v>K</v>
      </c>
      <c r="F3857" s="309" t="s">
        <v>34</v>
      </c>
      <c r="G3857" s="308"/>
      <c r="H3857" s="308" t="s">
        <v>15802</v>
      </c>
      <c r="I3857" s="310">
        <v>40083.0</v>
      </c>
      <c r="J3857" s="319">
        <f>IFERROR(__xludf.DUMMYFUNCTION("SPLIT(I3857,""/"")"),27.0)</f>
        <v>27</v>
      </c>
      <c r="K3857" s="308">
        <f>IFERROR(__xludf.DUMMYFUNCTION("""COMPUTED_VALUE"""),9.0)</f>
        <v>9</v>
      </c>
      <c r="L3857" s="308">
        <f>IFERROR(__xludf.DUMMYFUNCTION("""COMPUTED_VALUE"""),2009.0)</f>
        <v>2009</v>
      </c>
      <c r="M3857" s="308" t="s">
        <v>15803</v>
      </c>
      <c r="N3857" s="308"/>
      <c r="O3857" s="308"/>
      <c r="P3857" s="308" t="s">
        <v>37261</v>
      </c>
      <c r="Q3857" s="308" t="s">
        <v>37256</v>
      </c>
      <c r="R3857" s="308" t="s">
        <v>14911</v>
      </c>
      <c r="S3857" s="315" t="s">
        <v>100</v>
      </c>
      <c r="T3857" s="311" t="s">
        <v>34208</v>
      </c>
      <c r="U3857" s="308" t="s">
        <v>2466</v>
      </c>
      <c r="V3857" s="312"/>
    </row>
    <row r="3858">
      <c r="A3858" s="308">
        <v>3857.0</v>
      </c>
      <c r="B3858" s="308"/>
      <c r="C3858" s="308" t="s">
        <v>15805</v>
      </c>
      <c r="D3858" s="308">
        <f>IFERROR(__xludf.DUMMYFUNCTION("SPLIT(C3858,""-"")"),3878.0)</f>
        <v>3878</v>
      </c>
      <c r="E3858" s="308" t="str">
        <f>IFERROR(__xludf.DUMMYFUNCTION("""COMPUTED_VALUE"""),"P")</f>
        <v>P</v>
      </c>
      <c r="F3858" s="312" t="s">
        <v>37</v>
      </c>
      <c r="G3858" s="308"/>
      <c r="H3858" s="308" t="s">
        <v>15806</v>
      </c>
      <c r="I3858" s="333">
        <v>44903.0</v>
      </c>
      <c r="J3858" s="319">
        <f>IFERROR(__xludf.DUMMYFUNCTION("SPLIT(I3858,""/"")"),8.0)</f>
        <v>8</v>
      </c>
      <c r="K3858" s="308">
        <f>IFERROR(__xludf.DUMMYFUNCTION("""COMPUTED_VALUE"""),12.0)</f>
        <v>12</v>
      </c>
      <c r="L3858" s="311" t="s">
        <v>79</v>
      </c>
      <c r="M3858" s="308" t="s">
        <v>15807</v>
      </c>
      <c r="N3858" s="308"/>
      <c r="O3858" s="308" t="s">
        <v>15808</v>
      </c>
      <c r="P3858" s="308" t="s">
        <v>15809</v>
      </c>
      <c r="Q3858" s="308" t="s">
        <v>37256</v>
      </c>
      <c r="R3858" s="308" t="s">
        <v>14911</v>
      </c>
      <c r="S3858" s="308" t="s">
        <v>81</v>
      </c>
      <c r="T3858" s="308" t="s">
        <v>75</v>
      </c>
      <c r="U3858" s="308" t="s">
        <v>4001</v>
      </c>
      <c r="V3858" s="312"/>
    </row>
    <row r="3859">
      <c r="A3859" s="308">
        <v>3858.0</v>
      </c>
      <c r="B3859" s="308"/>
      <c r="C3859" s="308" t="s">
        <v>15810</v>
      </c>
      <c r="D3859" s="308">
        <f>IFERROR(__xludf.DUMMYFUNCTION("SPLIT(C3859,""-"")"),3879.0)</f>
        <v>3879</v>
      </c>
      <c r="E3859" s="308" t="str">
        <f>IFERROR(__xludf.DUMMYFUNCTION("""COMPUTED_VALUE"""),"P")</f>
        <v>P</v>
      </c>
      <c r="F3859" s="312" t="s">
        <v>37</v>
      </c>
      <c r="G3859" s="308"/>
      <c r="H3859" s="308" t="s">
        <v>15811</v>
      </c>
      <c r="I3859" s="310">
        <v>42738.0</v>
      </c>
      <c r="J3859" s="319">
        <f>IFERROR(__xludf.DUMMYFUNCTION("SPLIT(I3859,""/"")"),3.0)</f>
        <v>3</v>
      </c>
      <c r="K3859" s="308">
        <f>IFERROR(__xludf.DUMMYFUNCTION("""COMPUTED_VALUE"""),1.0)</f>
        <v>1</v>
      </c>
      <c r="L3859" s="308">
        <f>IFERROR(__xludf.DUMMYFUNCTION("""COMPUTED_VALUE"""),2017.0)</f>
        <v>2017</v>
      </c>
      <c r="M3859" s="308" t="s">
        <v>15812</v>
      </c>
      <c r="N3859" s="308"/>
      <c r="O3859" s="308"/>
      <c r="P3859" s="308" t="s">
        <v>15813</v>
      </c>
      <c r="Q3859" s="308" t="s">
        <v>37256</v>
      </c>
      <c r="R3859" s="308" t="s">
        <v>14911</v>
      </c>
      <c r="S3859" s="308" t="s">
        <v>81</v>
      </c>
      <c r="T3859" s="311" t="s">
        <v>73</v>
      </c>
      <c r="U3859" s="308" t="s">
        <v>4001</v>
      </c>
      <c r="V3859" s="312"/>
    </row>
    <row r="3860">
      <c r="A3860" s="308">
        <v>3859.0</v>
      </c>
      <c r="B3860" s="308"/>
      <c r="C3860" s="308" t="s">
        <v>15814</v>
      </c>
      <c r="D3860" s="308">
        <f>IFERROR(__xludf.DUMMYFUNCTION("SPLIT(C3860,""-"")"),3880.0)</f>
        <v>3880</v>
      </c>
      <c r="E3860" s="308" t="str">
        <f>IFERROR(__xludf.DUMMYFUNCTION("""COMPUTED_VALUE"""),"P")</f>
        <v>P</v>
      </c>
      <c r="F3860" s="312" t="s">
        <v>37</v>
      </c>
      <c r="G3860" s="308"/>
      <c r="H3860" s="308" t="s">
        <v>15815</v>
      </c>
      <c r="I3860" s="310">
        <v>42603.0</v>
      </c>
      <c r="J3860" s="319">
        <f>IFERROR(__xludf.DUMMYFUNCTION("SPLIT(I3860,""/"")"),21.0)</f>
        <v>21</v>
      </c>
      <c r="K3860" s="308">
        <f>IFERROR(__xludf.DUMMYFUNCTION("""COMPUTED_VALUE"""),8.0)</f>
        <v>8</v>
      </c>
      <c r="L3860" s="308">
        <f>IFERROR(__xludf.DUMMYFUNCTION("""COMPUTED_VALUE"""),2016.0)</f>
        <v>2016</v>
      </c>
      <c r="M3860" s="308" t="s">
        <v>15816</v>
      </c>
      <c r="N3860" s="308"/>
      <c r="O3860" s="308"/>
      <c r="P3860" s="308" t="s">
        <v>37262</v>
      </c>
      <c r="Q3860" s="308" t="s">
        <v>37256</v>
      </c>
      <c r="R3860" s="308" t="s">
        <v>14911</v>
      </c>
      <c r="S3860" s="315" t="s">
        <v>100</v>
      </c>
      <c r="T3860" s="311" t="s">
        <v>34208</v>
      </c>
      <c r="U3860" s="308" t="s">
        <v>15586</v>
      </c>
      <c r="V3860" s="312"/>
    </row>
    <row r="3861">
      <c r="A3861" s="308">
        <v>3860.0</v>
      </c>
      <c r="B3861" s="308"/>
      <c r="C3861" s="308" t="s">
        <v>15817</v>
      </c>
      <c r="D3861" s="308">
        <f>IFERROR(__xludf.DUMMYFUNCTION("SPLIT(C3861,""-"")"),3881.0)</f>
        <v>3881</v>
      </c>
      <c r="E3861" s="308" t="str">
        <f>IFERROR(__xludf.DUMMYFUNCTION("""COMPUTED_VALUE"""),"K")</f>
        <v>K</v>
      </c>
      <c r="F3861" s="309" t="s">
        <v>34</v>
      </c>
      <c r="G3861" s="308"/>
      <c r="H3861" s="308" t="s">
        <v>15818</v>
      </c>
      <c r="I3861" s="310">
        <v>42520.0</v>
      </c>
      <c r="J3861" s="319">
        <f>IFERROR(__xludf.DUMMYFUNCTION("SPLIT(I3861,""/"")"),30.0)</f>
        <v>30</v>
      </c>
      <c r="K3861" s="308">
        <f>IFERROR(__xludf.DUMMYFUNCTION("""COMPUTED_VALUE"""),5.0)</f>
        <v>5</v>
      </c>
      <c r="L3861" s="308">
        <f>IFERROR(__xludf.DUMMYFUNCTION("""COMPUTED_VALUE"""),2016.0)</f>
        <v>2016</v>
      </c>
      <c r="M3861" s="308" t="s">
        <v>15819</v>
      </c>
      <c r="N3861" s="308"/>
      <c r="O3861" s="308"/>
      <c r="P3861" s="308" t="s">
        <v>37263</v>
      </c>
      <c r="Q3861" s="308" t="s">
        <v>37256</v>
      </c>
      <c r="R3861" s="308" t="s">
        <v>14911</v>
      </c>
      <c r="S3861" s="308" t="s">
        <v>81</v>
      </c>
      <c r="T3861" s="308" t="s">
        <v>75</v>
      </c>
      <c r="U3861" s="308" t="s">
        <v>542</v>
      </c>
      <c r="V3861" s="312"/>
    </row>
    <row r="3862">
      <c r="A3862" s="308">
        <v>3861.0</v>
      </c>
      <c r="B3862" s="308"/>
      <c r="C3862" s="308" t="s">
        <v>15821</v>
      </c>
      <c r="D3862" s="308">
        <f>IFERROR(__xludf.DUMMYFUNCTION("SPLIT(C3862,""-"")"),3882.0)</f>
        <v>3882</v>
      </c>
      <c r="E3862" s="308" t="str">
        <f>IFERROR(__xludf.DUMMYFUNCTION("""COMPUTED_VALUE"""),"K")</f>
        <v>K</v>
      </c>
      <c r="F3862" s="309" t="s">
        <v>34</v>
      </c>
      <c r="G3862" s="308"/>
      <c r="H3862" s="308" t="s">
        <v>15822</v>
      </c>
      <c r="I3862" s="310">
        <v>40744.0</v>
      </c>
      <c r="J3862" s="319">
        <f>IFERROR(__xludf.DUMMYFUNCTION("SPLIT(I3862,""/"")"),20.0)</f>
        <v>20</v>
      </c>
      <c r="K3862" s="308">
        <f>IFERROR(__xludf.DUMMYFUNCTION("""COMPUTED_VALUE"""),7.0)</f>
        <v>7</v>
      </c>
      <c r="L3862" s="308">
        <f>IFERROR(__xludf.DUMMYFUNCTION("""COMPUTED_VALUE"""),2011.0)</f>
        <v>2011</v>
      </c>
      <c r="M3862" s="308" t="s">
        <v>15823</v>
      </c>
      <c r="N3862" s="308"/>
      <c r="O3862" s="308" t="s">
        <v>15824</v>
      </c>
      <c r="P3862" s="308" t="s">
        <v>37209</v>
      </c>
      <c r="Q3862" s="308" t="s">
        <v>37256</v>
      </c>
      <c r="R3862" s="308" t="s">
        <v>14911</v>
      </c>
      <c r="S3862" s="315" t="s">
        <v>100</v>
      </c>
      <c r="T3862" s="311" t="s">
        <v>34208</v>
      </c>
      <c r="U3862" s="308" t="s">
        <v>125</v>
      </c>
      <c r="V3862" s="312"/>
    </row>
    <row r="3863">
      <c r="A3863" s="308">
        <v>3862.0</v>
      </c>
      <c r="B3863" s="308"/>
      <c r="C3863" s="308" t="s">
        <v>15825</v>
      </c>
      <c r="D3863" s="308">
        <f>IFERROR(__xludf.DUMMYFUNCTION("SPLIT(C3863,""-"")"),3883.0)</f>
        <v>3883</v>
      </c>
      <c r="E3863" s="308" t="str">
        <f>IFERROR(__xludf.DUMMYFUNCTION("""COMPUTED_VALUE"""),"K")</f>
        <v>K</v>
      </c>
      <c r="F3863" s="309" t="s">
        <v>34</v>
      </c>
      <c r="G3863" s="308"/>
      <c r="H3863" s="308" t="s">
        <v>15826</v>
      </c>
      <c r="I3863" s="310">
        <v>42403.0</v>
      </c>
      <c r="J3863" s="319">
        <f>IFERROR(__xludf.DUMMYFUNCTION("SPLIT(I3863,""/"")"),3.0)</f>
        <v>3</v>
      </c>
      <c r="K3863" s="308">
        <f>IFERROR(__xludf.DUMMYFUNCTION("""COMPUTED_VALUE"""),2.0)</f>
        <v>2</v>
      </c>
      <c r="L3863" s="308">
        <f>IFERROR(__xludf.DUMMYFUNCTION("""COMPUTED_VALUE"""),2016.0)</f>
        <v>2016</v>
      </c>
      <c r="M3863" s="308" t="s">
        <v>15827</v>
      </c>
      <c r="N3863" s="308"/>
      <c r="O3863" s="308"/>
      <c r="P3863" s="308" t="s">
        <v>15828</v>
      </c>
      <c r="Q3863" s="308" t="s">
        <v>37256</v>
      </c>
      <c r="R3863" s="308" t="s">
        <v>14911</v>
      </c>
      <c r="S3863" s="308" t="s">
        <v>81</v>
      </c>
      <c r="T3863" s="308" t="s">
        <v>34264</v>
      </c>
      <c r="U3863" s="308" t="s">
        <v>125</v>
      </c>
      <c r="V3863" s="312"/>
    </row>
    <row r="3864">
      <c r="A3864" s="308">
        <v>3863.0</v>
      </c>
      <c r="B3864" s="308"/>
      <c r="C3864" s="308" t="s">
        <v>15829</v>
      </c>
      <c r="D3864" s="308">
        <f>IFERROR(__xludf.DUMMYFUNCTION("SPLIT(C3864,""-"")"),3884.0)</f>
        <v>3884</v>
      </c>
      <c r="E3864" s="308" t="str">
        <f>IFERROR(__xludf.DUMMYFUNCTION("""COMPUTED_VALUE"""),"K")</f>
        <v>K</v>
      </c>
      <c r="F3864" s="309" t="s">
        <v>34</v>
      </c>
      <c r="G3864" s="308"/>
      <c r="H3864" s="308" t="s">
        <v>15830</v>
      </c>
      <c r="I3864" s="310">
        <v>42403.0</v>
      </c>
      <c r="J3864" s="319">
        <f>IFERROR(__xludf.DUMMYFUNCTION("SPLIT(I3864,""/"")"),3.0)</f>
        <v>3</v>
      </c>
      <c r="K3864" s="308">
        <f>IFERROR(__xludf.DUMMYFUNCTION("""COMPUTED_VALUE"""),2.0)</f>
        <v>2</v>
      </c>
      <c r="L3864" s="308">
        <f>IFERROR(__xludf.DUMMYFUNCTION("""COMPUTED_VALUE"""),2016.0)</f>
        <v>2016</v>
      </c>
      <c r="M3864" s="308" t="s">
        <v>15827</v>
      </c>
      <c r="N3864" s="308"/>
      <c r="O3864" s="308" t="s">
        <v>15831</v>
      </c>
      <c r="P3864" s="308" t="s">
        <v>15828</v>
      </c>
      <c r="Q3864" s="308" t="s">
        <v>37256</v>
      </c>
      <c r="R3864" s="308" t="s">
        <v>14911</v>
      </c>
      <c r="S3864" s="308" t="s">
        <v>81</v>
      </c>
      <c r="T3864" s="308" t="s">
        <v>34264</v>
      </c>
      <c r="U3864" s="308" t="s">
        <v>125</v>
      </c>
      <c r="V3864" s="312"/>
    </row>
    <row r="3865">
      <c r="A3865" s="308">
        <v>3864.0</v>
      </c>
      <c r="B3865" s="308"/>
      <c r="C3865" s="308" t="s">
        <v>15832</v>
      </c>
      <c r="D3865" s="308">
        <f>IFERROR(__xludf.DUMMYFUNCTION("SPLIT(C3865,""-"")"),3885.0)</f>
        <v>3885</v>
      </c>
      <c r="E3865" s="308" t="str">
        <f>IFERROR(__xludf.DUMMYFUNCTION("""COMPUTED_VALUE"""),"K")</f>
        <v>K</v>
      </c>
      <c r="F3865" s="309" t="s">
        <v>34</v>
      </c>
      <c r="G3865" s="308"/>
      <c r="H3865" s="308" t="s">
        <v>15833</v>
      </c>
      <c r="I3865" s="310">
        <v>42612.0</v>
      </c>
      <c r="J3865" s="319">
        <f>IFERROR(__xludf.DUMMYFUNCTION("SPLIT(I3865,""/"")"),30.0)</f>
        <v>30</v>
      </c>
      <c r="K3865" s="308">
        <f>IFERROR(__xludf.DUMMYFUNCTION("""COMPUTED_VALUE"""),8.0)</f>
        <v>8</v>
      </c>
      <c r="L3865" s="308">
        <f>IFERROR(__xludf.DUMMYFUNCTION("""COMPUTED_VALUE"""),2016.0)</f>
        <v>2016</v>
      </c>
      <c r="M3865" s="308" t="s">
        <v>15834</v>
      </c>
      <c r="N3865" s="308"/>
      <c r="O3865" s="308"/>
      <c r="P3865" s="308" t="s">
        <v>15835</v>
      </c>
      <c r="Q3865" s="308" t="s">
        <v>37256</v>
      </c>
      <c r="R3865" s="308"/>
      <c r="S3865" s="308" t="s">
        <v>81</v>
      </c>
      <c r="T3865" s="308" t="s">
        <v>75</v>
      </c>
      <c r="U3865" s="308" t="s">
        <v>368</v>
      </c>
      <c r="V3865" s="312"/>
    </row>
    <row r="3866">
      <c r="A3866" s="308">
        <v>3865.0</v>
      </c>
      <c r="B3866" s="308"/>
      <c r="C3866" s="308" t="s">
        <v>15836</v>
      </c>
      <c r="D3866" s="308">
        <f>IFERROR(__xludf.DUMMYFUNCTION("SPLIT(C3866,""-"")"),3886.0)</f>
        <v>3886</v>
      </c>
      <c r="E3866" s="308" t="str">
        <f>IFERROR(__xludf.DUMMYFUNCTION("""COMPUTED_VALUE"""),"K")</f>
        <v>K</v>
      </c>
      <c r="F3866" s="309" t="s">
        <v>34</v>
      </c>
      <c r="G3866" s="308"/>
      <c r="H3866" s="308" t="s">
        <v>15837</v>
      </c>
      <c r="I3866" s="310">
        <v>42753.0</v>
      </c>
      <c r="J3866" s="319" t="str">
        <f>IFERROR(__xludf.DUMMYFUNCTION("SPLIT(I3866,""/"")"),"#REF!")</f>
        <v>#REF!</v>
      </c>
      <c r="K3866" s="308"/>
      <c r="L3866" s="308">
        <v>2017.0</v>
      </c>
      <c r="M3866" s="308" t="s">
        <v>15838</v>
      </c>
      <c r="N3866" s="308"/>
      <c r="O3866" s="308"/>
      <c r="P3866" s="308" t="s">
        <v>15839</v>
      </c>
      <c r="Q3866" s="308" t="s">
        <v>37256</v>
      </c>
      <c r="R3866" s="308" t="s">
        <v>13810</v>
      </c>
      <c r="S3866" s="308" t="s">
        <v>49</v>
      </c>
      <c r="T3866" s="311" t="s">
        <v>61</v>
      </c>
      <c r="U3866" s="308" t="s">
        <v>156</v>
      </c>
      <c r="V3866" s="312"/>
    </row>
    <row r="3867">
      <c r="A3867" s="308">
        <v>3866.0</v>
      </c>
      <c r="B3867" s="308"/>
      <c r="C3867" s="308" t="s">
        <v>15840</v>
      </c>
      <c r="D3867" s="308">
        <f>IFERROR(__xludf.DUMMYFUNCTION("SPLIT(C3867,""-"")"),3887.0)</f>
        <v>3887</v>
      </c>
      <c r="E3867" s="308" t="str">
        <f>IFERROR(__xludf.DUMMYFUNCTION("""COMPUTED_VALUE"""),"K")</f>
        <v>K</v>
      </c>
      <c r="F3867" s="309" t="s">
        <v>34</v>
      </c>
      <c r="G3867" s="308"/>
      <c r="H3867" s="308" t="s">
        <v>15841</v>
      </c>
      <c r="I3867" s="310">
        <v>42740.0</v>
      </c>
      <c r="J3867" s="319">
        <f>IFERROR(__xludf.DUMMYFUNCTION("SPLIT(I3867,""/"")"),5.0)</f>
        <v>5</v>
      </c>
      <c r="K3867" s="308">
        <f>IFERROR(__xludf.DUMMYFUNCTION("""COMPUTED_VALUE"""),1.0)</f>
        <v>1</v>
      </c>
      <c r="L3867" s="308">
        <f>IFERROR(__xludf.DUMMYFUNCTION("""COMPUTED_VALUE"""),2017.0)</f>
        <v>2017</v>
      </c>
      <c r="M3867" s="308" t="s">
        <v>15842</v>
      </c>
      <c r="N3867" s="308"/>
      <c r="O3867" s="308" t="s">
        <v>635</v>
      </c>
      <c r="P3867" s="308" t="s">
        <v>15843</v>
      </c>
      <c r="Q3867" s="308" t="s">
        <v>37264</v>
      </c>
      <c r="R3867" s="308" t="s">
        <v>2743</v>
      </c>
      <c r="S3867" s="308" t="s">
        <v>81</v>
      </c>
      <c r="T3867" s="308" t="s">
        <v>75</v>
      </c>
      <c r="U3867" s="308" t="s">
        <v>2989</v>
      </c>
      <c r="V3867" s="312"/>
    </row>
    <row r="3868">
      <c r="A3868" s="308">
        <v>3867.0</v>
      </c>
      <c r="B3868" s="308"/>
      <c r="C3868" s="308" t="s">
        <v>15844</v>
      </c>
      <c r="D3868" s="308">
        <f>IFERROR(__xludf.DUMMYFUNCTION("SPLIT(C3868,""-"")"),3888.0)</f>
        <v>3888</v>
      </c>
      <c r="E3868" s="308" t="str">
        <f>IFERROR(__xludf.DUMMYFUNCTION("""COMPUTED_VALUE"""),"K")</f>
        <v>K</v>
      </c>
      <c r="F3868" s="309" t="s">
        <v>34</v>
      </c>
      <c r="G3868" s="308"/>
      <c r="H3868" s="308" t="s">
        <v>15845</v>
      </c>
      <c r="I3868" s="310">
        <v>42404.0</v>
      </c>
      <c r="J3868" s="319">
        <f>IFERROR(__xludf.DUMMYFUNCTION("SPLIT(I3868,""/"")"),4.0)</f>
        <v>4</v>
      </c>
      <c r="K3868" s="308">
        <f>IFERROR(__xludf.DUMMYFUNCTION("""COMPUTED_VALUE"""),2.0)</f>
        <v>2</v>
      </c>
      <c r="L3868" s="308">
        <f>IFERROR(__xludf.DUMMYFUNCTION("""COMPUTED_VALUE"""),2016.0)</f>
        <v>2016</v>
      </c>
      <c r="M3868" s="308" t="s">
        <v>15846</v>
      </c>
      <c r="N3868" s="308" t="s">
        <v>15847</v>
      </c>
      <c r="O3868" s="308" t="s">
        <v>15848</v>
      </c>
      <c r="P3868" s="308" t="s">
        <v>37265</v>
      </c>
      <c r="Q3868" s="308" t="s">
        <v>37264</v>
      </c>
      <c r="R3868" s="308" t="s">
        <v>2743</v>
      </c>
      <c r="S3868" s="315" t="s">
        <v>100</v>
      </c>
      <c r="T3868" s="311" t="s">
        <v>34208</v>
      </c>
      <c r="U3868" s="308" t="s">
        <v>872</v>
      </c>
      <c r="V3868" s="312"/>
    </row>
    <row r="3869">
      <c r="A3869" s="308">
        <v>3868.0</v>
      </c>
      <c r="B3869" s="308"/>
      <c r="C3869" s="308" t="s">
        <v>15849</v>
      </c>
      <c r="D3869" s="308">
        <f>IFERROR(__xludf.DUMMYFUNCTION("SPLIT(C3869,""-"")"),3889.0)</f>
        <v>3889</v>
      </c>
      <c r="E3869" s="308" t="str">
        <f>IFERROR(__xludf.DUMMYFUNCTION("""COMPUTED_VALUE"""),"K")</f>
        <v>K</v>
      </c>
      <c r="F3869" s="309" t="s">
        <v>34</v>
      </c>
      <c r="G3869" s="308"/>
      <c r="H3869" s="308" t="s">
        <v>15850</v>
      </c>
      <c r="I3869" s="310">
        <v>42794.0</v>
      </c>
      <c r="J3869" s="319" t="str">
        <f>IFERROR(__xludf.DUMMYFUNCTION("SPLIT(I3869,""/"")"),"#REF!")</f>
        <v>#REF!</v>
      </c>
      <c r="K3869" s="308"/>
      <c r="L3869" s="308">
        <v>2017.0</v>
      </c>
      <c r="M3869" s="308" t="s">
        <v>15851</v>
      </c>
      <c r="N3869" s="308"/>
      <c r="O3869" s="308" t="s">
        <v>15852</v>
      </c>
      <c r="P3869" s="308" t="s">
        <v>15853</v>
      </c>
      <c r="Q3869" s="308" t="s">
        <v>37264</v>
      </c>
      <c r="R3869" s="308" t="s">
        <v>2743</v>
      </c>
      <c r="S3869" s="308" t="s">
        <v>81</v>
      </c>
      <c r="T3869" s="308" t="s">
        <v>75</v>
      </c>
      <c r="U3869" s="308"/>
      <c r="V3869" s="312"/>
    </row>
    <row r="3870">
      <c r="A3870" s="308">
        <v>3869.0</v>
      </c>
      <c r="B3870" s="308"/>
      <c r="C3870" s="308" t="s">
        <v>15854</v>
      </c>
      <c r="D3870" s="308">
        <f>IFERROR(__xludf.DUMMYFUNCTION("SPLIT(C3870,""-"")"),3890.0)</f>
        <v>3890</v>
      </c>
      <c r="E3870" s="308" t="str">
        <f>IFERROR(__xludf.DUMMYFUNCTION("""COMPUTED_VALUE"""),"P")</f>
        <v>P</v>
      </c>
      <c r="F3870" s="312" t="s">
        <v>37</v>
      </c>
      <c r="G3870" s="308"/>
      <c r="H3870" s="308" t="s">
        <v>15855</v>
      </c>
      <c r="I3870" s="310">
        <v>37997.0</v>
      </c>
      <c r="J3870" s="319">
        <f>IFERROR(__xludf.DUMMYFUNCTION("SPLIT(I3870,""/"")"),11.0)</f>
        <v>11</v>
      </c>
      <c r="K3870" s="308">
        <f>IFERROR(__xludf.DUMMYFUNCTION("""COMPUTED_VALUE"""),1.0)</f>
        <v>1</v>
      </c>
      <c r="L3870" s="308">
        <f>IFERROR(__xludf.DUMMYFUNCTION("""COMPUTED_VALUE"""),2004.0)</f>
        <v>2004</v>
      </c>
      <c r="M3870" s="308" t="s">
        <v>15856</v>
      </c>
      <c r="N3870" s="308"/>
      <c r="O3870" s="308"/>
      <c r="P3870" s="308" t="s">
        <v>37266</v>
      </c>
      <c r="Q3870" s="308" t="s">
        <v>37264</v>
      </c>
      <c r="R3870" s="308" t="s">
        <v>2743</v>
      </c>
      <c r="S3870" s="308" t="s">
        <v>81</v>
      </c>
      <c r="T3870" s="308" t="s">
        <v>34264</v>
      </c>
      <c r="U3870" s="308" t="s">
        <v>2748</v>
      </c>
      <c r="V3870" s="312"/>
    </row>
    <row r="3871">
      <c r="A3871" s="308">
        <v>3870.0</v>
      </c>
      <c r="B3871" s="308"/>
      <c r="C3871" s="308" t="s">
        <v>15858</v>
      </c>
      <c r="D3871" s="308">
        <f>IFERROR(__xludf.DUMMYFUNCTION("SPLIT(C3871,""-"")"),3891.0)</f>
        <v>3891</v>
      </c>
      <c r="E3871" s="308" t="str">
        <f>IFERROR(__xludf.DUMMYFUNCTION("""COMPUTED_VALUE"""),"P")</f>
        <v>P</v>
      </c>
      <c r="F3871" s="312" t="s">
        <v>37</v>
      </c>
      <c r="G3871" s="308"/>
      <c r="H3871" s="308" t="s">
        <v>15859</v>
      </c>
      <c r="I3871" s="310">
        <v>42643.0</v>
      </c>
      <c r="J3871" s="319">
        <f>IFERROR(__xludf.DUMMYFUNCTION("SPLIT(I3871,""/"")"),30.0)</f>
        <v>30</v>
      </c>
      <c r="K3871" s="308">
        <f>IFERROR(__xludf.DUMMYFUNCTION("""COMPUTED_VALUE"""),9.0)</f>
        <v>9</v>
      </c>
      <c r="L3871" s="308">
        <f>IFERROR(__xludf.DUMMYFUNCTION("""COMPUTED_VALUE"""),2016.0)</f>
        <v>2016</v>
      </c>
      <c r="M3871" s="308" t="s">
        <v>15860</v>
      </c>
      <c r="N3871" s="308"/>
      <c r="O3871" s="308"/>
      <c r="P3871" s="308" t="s">
        <v>37267</v>
      </c>
      <c r="Q3871" s="308" t="s">
        <v>37264</v>
      </c>
      <c r="R3871" s="308" t="s">
        <v>2743</v>
      </c>
      <c r="S3871" s="315" t="s">
        <v>100</v>
      </c>
      <c r="T3871" s="311" t="s">
        <v>34208</v>
      </c>
      <c r="U3871" s="308" t="s">
        <v>14984</v>
      </c>
      <c r="V3871" s="312"/>
    </row>
    <row r="3872">
      <c r="A3872" s="308">
        <v>3871.0</v>
      </c>
      <c r="B3872" s="308"/>
      <c r="C3872" s="308" t="s">
        <v>15862</v>
      </c>
      <c r="D3872" s="308">
        <f>IFERROR(__xludf.DUMMYFUNCTION("SPLIT(C3872,""-"")"),3892.0)</f>
        <v>3892</v>
      </c>
      <c r="E3872" s="308" t="str">
        <f>IFERROR(__xludf.DUMMYFUNCTION("""COMPUTED_VALUE"""),"K")</f>
        <v>K</v>
      </c>
      <c r="F3872" s="309" t="s">
        <v>34</v>
      </c>
      <c r="G3872" s="308"/>
      <c r="H3872" s="308" t="s">
        <v>15863</v>
      </c>
      <c r="I3872" s="310">
        <v>42065.0</v>
      </c>
      <c r="J3872" s="319">
        <f>IFERROR(__xludf.DUMMYFUNCTION("SPLIT(I3872,""/"")"),2.0)</f>
        <v>2</v>
      </c>
      <c r="K3872" s="308">
        <f>IFERROR(__xludf.DUMMYFUNCTION("""COMPUTED_VALUE"""),3.0)</f>
        <v>3</v>
      </c>
      <c r="L3872" s="308">
        <f>IFERROR(__xludf.DUMMYFUNCTION("""COMPUTED_VALUE"""),2015.0)</f>
        <v>2015</v>
      </c>
      <c r="M3872" s="308" t="s">
        <v>15864</v>
      </c>
      <c r="N3872" s="308"/>
      <c r="O3872" s="308"/>
      <c r="P3872" s="308" t="s">
        <v>15865</v>
      </c>
      <c r="Q3872" s="308" t="s">
        <v>37268</v>
      </c>
      <c r="R3872" s="308" t="s">
        <v>2743</v>
      </c>
      <c r="S3872" s="308" t="s">
        <v>81</v>
      </c>
      <c r="T3872" s="308" t="s">
        <v>75</v>
      </c>
      <c r="U3872" s="308" t="s">
        <v>282</v>
      </c>
      <c r="V3872" s="312"/>
    </row>
    <row r="3873">
      <c r="A3873" s="308">
        <v>3872.0</v>
      </c>
      <c r="B3873" s="308"/>
      <c r="C3873" s="308" t="s">
        <v>15866</v>
      </c>
      <c r="D3873" s="308">
        <f>IFERROR(__xludf.DUMMYFUNCTION("SPLIT(C3873,""-"")"),3893.0)</f>
        <v>3893</v>
      </c>
      <c r="E3873" s="308" t="str">
        <f>IFERROR(__xludf.DUMMYFUNCTION("""COMPUTED_VALUE"""),"P")</f>
        <v>P</v>
      </c>
      <c r="F3873" s="312" t="s">
        <v>37</v>
      </c>
      <c r="G3873" s="308"/>
      <c r="H3873" s="308" t="s">
        <v>15867</v>
      </c>
      <c r="I3873" s="310">
        <v>42796.0</v>
      </c>
      <c r="J3873" s="319">
        <f>IFERROR(__xludf.DUMMYFUNCTION("SPLIT(I3873,""/"")"),2.0)</f>
        <v>2</v>
      </c>
      <c r="K3873" s="308">
        <f>IFERROR(__xludf.DUMMYFUNCTION("""COMPUTED_VALUE"""),3.0)</f>
        <v>3</v>
      </c>
      <c r="L3873" s="308">
        <f>IFERROR(__xludf.DUMMYFUNCTION("""COMPUTED_VALUE"""),2017.0)</f>
        <v>2017</v>
      </c>
      <c r="M3873" s="308" t="s">
        <v>15868</v>
      </c>
      <c r="N3873" s="308"/>
      <c r="O3873" s="308"/>
      <c r="P3873" s="308" t="s">
        <v>15869</v>
      </c>
      <c r="Q3873" s="308" t="s">
        <v>37268</v>
      </c>
      <c r="R3873" s="308" t="s">
        <v>2743</v>
      </c>
      <c r="S3873" s="308" t="s">
        <v>81</v>
      </c>
      <c r="T3873" s="311" t="s">
        <v>73</v>
      </c>
      <c r="U3873" s="308" t="s">
        <v>1182</v>
      </c>
      <c r="V3873" s="312"/>
    </row>
    <row r="3874">
      <c r="A3874" s="308">
        <v>3873.0</v>
      </c>
      <c r="B3874" s="308"/>
      <c r="C3874" s="308" t="s">
        <v>15870</v>
      </c>
      <c r="D3874" s="308">
        <f>IFERROR(__xludf.DUMMYFUNCTION("SPLIT(C3874,""-"")"),3894.0)</f>
        <v>3894</v>
      </c>
      <c r="E3874" s="308" t="str">
        <f>IFERROR(__xludf.DUMMYFUNCTION("""COMPUTED_VALUE"""),"P")</f>
        <v>P</v>
      </c>
      <c r="F3874" s="312" t="s">
        <v>37</v>
      </c>
      <c r="G3874" s="308"/>
      <c r="H3874" s="308" t="s">
        <v>15871</v>
      </c>
      <c r="I3874" s="310">
        <v>41340.0</v>
      </c>
      <c r="J3874" s="319">
        <f>IFERROR(__xludf.DUMMYFUNCTION("SPLIT(I3874,""/"")"),7.0)</f>
        <v>7</v>
      </c>
      <c r="K3874" s="308">
        <f>IFERROR(__xludf.DUMMYFUNCTION("""COMPUTED_VALUE"""),3.0)</f>
        <v>3</v>
      </c>
      <c r="L3874" s="308">
        <f>IFERROR(__xludf.DUMMYFUNCTION("""COMPUTED_VALUE"""),2013.0)</f>
        <v>2013</v>
      </c>
      <c r="M3874" s="308" t="s">
        <v>37269</v>
      </c>
      <c r="N3874" s="308"/>
      <c r="O3874" s="308"/>
      <c r="P3874" s="308" t="s">
        <v>37260</v>
      </c>
      <c r="Q3874" s="308" t="s">
        <v>37268</v>
      </c>
      <c r="R3874" s="308" t="s">
        <v>14911</v>
      </c>
      <c r="S3874" s="315" t="s">
        <v>100</v>
      </c>
      <c r="T3874" s="311" t="s">
        <v>34208</v>
      </c>
      <c r="U3874" s="308" t="s">
        <v>143</v>
      </c>
      <c r="V3874" s="312"/>
    </row>
    <row r="3875">
      <c r="A3875" s="308">
        <v>3874.0</v>
      </c>
      <c r="B3875" s="308"/>
      <c r="C3875" s="308" t="s">
        <v>15873</v>
      </c>
      <c r="D3875" s="308">
        <f>IFERROR(__xludf.DUMMYFUNCTION("SPLIT(C3875,""-"")"),3895.0)</f>
        <v>3895</v>
      </c>
      <c r="E3875" s="308" t="str">
        <f>IFERROR(__xludf.DUMMYFUNCTION("""COMPUTED_VALUE"""),"P")</f>
        <v>P</v>
      </c>
      <c r="F3875" s="312" t="s">
        <v>37</v>
      </c>
      <c r="G3875" s="308"/>
      <c r="H3875" s="308" t="s">
        <v>15874</v>
      </c>
      <c r="I3875" s="310">
        <v>42600.0</v>
      </c>
      <c r="J3875" s="319">
        <f>IFERROR(__xludf.DUMMYFUNCTION("SPLIT(I3875,""/"")"),18.0)</f>
        <v>18</v>
      </c>
      <c r="K3875" s="308">
        <f>IFERROR(__xludf.DUMMYFUNCTION("""COMPUTED_VALUE"""),8.0)</f>
        <v>8</v>
      </c>
      <c r="L3875" s="308">
        <f>IFERROR(__xludf.DUMMYFUNCTION("""COMPUTED_VALUE"""),2016.0)</f>
        <v>2016</v>
      </c>
      <c r="M3875" s="308" t="s">
        <v>15875</v>
      </c>
      <c r="N3875" s="308"/>
      <c r="O3875" s="308"/>
      <c r="P3875" s="308" t="s">
        <v>37270</v>
      </c>
      <c r="Q3875" s="308" t="s">
        <v>37268</v>
      </c>
      <c r="R3875" s="308" t="s">
        <v>14911</v>
      </c>
      <c r="S3875" s="311" t="s">
        <v>81</v>
      </c>
      <c r="T3875" s="311" t="s">
        <v>73</v>
      </c>
      <c r="U3875" s="308" t="s">
        <v>2748</v>
      </c>
      <c r="V3875" s="312"/>
    </row>
    <row r="3876">
      <c r="A3876" s="308">
        <v>3875.0</v>
      </c>
      <c r="B3876" s="308"/>
      <c r="C3876" s="308" t="s">
        <v>15877</v>
      </c>
      <c r="D3876" s="308">
        <f>IFERROR(__xludf.DUMMYFUNCTION("SPLIT(C3876,""-"")"),3896.0)</f>
        <v>3896</v>
      </c>
      <c r="E3876" s="308" t="str">
        <f>IFERROR(__xludf.DUMMYFUNCTION("""COMPUTED_VALUE"""),"K")</f>
        <v>K</v>
      </c>
      <c r="F3876" s="309" t="s">
        <v>34</v>
      </c>
      <c r="G3876" s="308"/>
      <c r="H3876" s="308" t="s">
        <v>37271</v>
      </c>
      <c r="I3876" s="310">
        <v>42769.0</v>
      </c>
      <c r="J3876" s="319" t="str">
        <f>IFERROR(__xludf.DUMMYFUNCTION("SPLIT(I3876,""/"")"),"#REF!")</f>
        <v>#REF!</v>
      </c>
      <c r="K3876" s="308"/>
      <c r="L3876" s="308">
        <v>2017.0</v>
      </c>
      <c r="M3876" s="308" t="s">
        <v>15879</v>
      </c>
      <c r="N3876" s="308"/>
      <c r="O3876" s="308"/>
      <c r="P3876" s="308" t="s">
        <v>15880</v>
      </c>
      <c r="Q3876" s="308" t="s">
        <v>37268</v>
      </c>
      <c r="R3876" s="308" t="s">
        <v>14911</v>
      </c>
      <c r="S3876" s="308" t="s">
        <v>81</v>
      </c>
      <c r="T3876" s="308" t="s">
        <v>75</v>
      </c>
      <c r="U3876" s="308" t="s">
        <v>941</v>
      </c>
      <c r="V3876" s="312"/>
    </row>
    <row r="3877">
      <c r="A3877" s="308">
        <v>3876.0</v>
      </c>
      <c r="B3877" s="308"/>
      <c r="C3877" s="308" t="s">
        <v>15881</v>
      </c>
      <c r="D3877" s="308">
        <f>IFERROR(__xludf.DUMMYFUNCTION("SPLIT(C3877,""-"")"),3897.0)</f>
        <v>3897</v>
      </c>
      <c r="E3877" s="308" t="str">
        <f>IFERROR(__xludf.DUMMYFUNCTION("""COMPUTED_VALUE"""),"K")</f>
        <v>K</v>
      </c>
      <c r="F3877" s="309" t="s">
        <v>34</v>
      </c>
      <c r="G3877" s="308"/>
      <c r="H3877" s="308" t="s">
        <v>15882</v>
      </c>
      <c r="I3877" s="310">
        <v>42742.0</v>
      </c>
      <c r="J3877" s="319" t="str">
        <f>IFERROR(__xludf.DUMMYFUNCTION("SPLIT(I3877,""/"")"),"#REF!")</f>
        <v>#REF!</v>
      </c>
      <c r="K3877" s="308"/>
      <c r="L3877" s="308">
        <v>2017.0</v>
      </c>
      <c r="M3877" s="308" t="s">
        <v>15883</v>
      </c>
      <c r="N3877" s="308"/>
      <c r="O3877" s="308" t="s">
        <v>15884</v>
      </c>
      <c r="P3877" s="308" t="s">
        <v>37272</v>
      </c>
      <c r="Q3877" s="308" t="s">
        <v>37268</v>
      </c>
      <c r="R3877" s="308" t="s">
        <v>2743</v>
      </c>
      <c r="S3877" s="308" t="s">
        <v>81</v>
      </c>
      <c r="T3877" s="311" t="s">
        <v>51</v>
      </c>
      <c r="U3877" s="308" t="s">
        <v>4487</v>
      </c>
      <c r="V3877" s="312"/>
    </row>
    <row r="3878">
      <c r="A3878" s="308">
        <v>3877.0</v>
      </c>
      <c r="B3878" s="308"/>
      <c r="C3878" s="308" t="s">
        <v>15886</v>
      </c>
      <c r="D3878" s="308">
        <f>IFERROR(__xludf.DUMMYFUNCTION("SPLIT(C3878,""-"")"),3898.0)</f>
        <v>3898</v>
      </c>
      <c r="E3878" s="308" t="str">
        <f>IFERROR(__xludf.DUMMYFUNCTION("""COMPUTED_VALUE"""),"K")</f>
        <v>K</v>
      </c>
      <c r="F3878" s="309" t="s">
        <v>34</v>
      </c>
      <c r="G3878" s="308"/>
      <c r="H3878" s="308" t="s">
        <v>15887</v>
      </c>
      <c r="I3878" s="316">
        <v>2009.0</v>
      </c>
      <c r="J3878" s="319"/>
      <c r="K3878" s="308"/>
      <c r="L3878" s="311">
        <v>2009.0</v>
      </c>
      <c r="M3878" s="308" t="s">
        <v>15888</v>
      </c>
      <c r="N3878" s="308"/>
      <c r="O3878" s="308"/>
      <c r="P3878" s="308" t="s">
        <v>37128</v>
      </c>
      <c r="Q3878" s="308" t="s">
        <v>37268</v>
      </c>
      <c r="R3878" s="308" t="s">
        <v>2743</v>
      </c>
      <c r="S3878" s="315" t="s">
        <v>100</v>
      </c>
      <c r="T3878" s="311" t="s">
        <v>34208</v>
      </c>
      <c r="U3878" s="308" t="s">
        <v>530</v>
      </c>
      <c r="V3878" s="312"/>
    </row>
    <row r="3879">
      <c r="A3879" s="308">
        <v>3878.0</v>
      </c>
      <c r="B3879" s="308"/>
      <c r="C3879" s="308" t="s">
        <v>15889</v>
      </c>
      <c r="D3879" s="308">
        <f>IFERROR(__xludf.DUMMYFUNCTION("SPLIT(C3879,""-"")"),3899.0)</f>
        <v>3899</v>
      </c>
      <c r="E3879" s="308" t="str">
        <f>IFERROR(__xludf.DUMMYFUNCTION("""COMPUTED_VALUE"""),"K")</f>
        <v>K</v>
      </c>
      <c r="F3879" s="309" t="s">
        <v>34</v>
      </c>
      <c r="G3879" s="308"/>
      <c r="H3879" s="308" t="s">
        <v>15890</v>
      </c>
      <c r="I3879" s="310">
        <v>42807.0</v>
      </c>
      <c r="J3879" s="319" t="str">
        <f>IFERROR(__xludf.DUMMYFUNCTION("SPLIT(I3879,""/"")"),"#REF!")</f>
        <v>#REF!</v>
      </c>
      <c r="K3879" s="308"/>
      <c r="L3879" s="308">
        <v>2017.0</v>
      </c>
      <c r="M3879" s="308" t="s">
        <v>15891</v>
      </c>
      <c r="N3879" s="308"/>
      <c r="O3879" s="308"/>
      <c r="P3879" s="308" t="s">
        <v>15892</v>
      </c>
      <c r="Q3879" s="308" t="s">
        <v>37268</v>
      </c>
      <c r="R3879" s="308" t="s">
        <v>2743</v>
      </c>
      <c r="S3879" s="308" t="s">
        <v>81</v>
      </c>
      <c r="T3879" s="308" t="s">
        <v>75</v>
      </c>
      <c r="U3879" s="308" t="s">
        <v>4487</v>
      </c>
      <c r="V3879" s="312"/>
    </row>
    <row r="3880">
      <c r="A3880" s="308">
        <v>3879.0</v>
      </c>
      <c r="B3880" s="308"/>
      <c r="C3880" s="308" t="s">
        <v>15893</v>
      </c>
      <c r="D3880" s="308">
        <f>IFERROR(__xludf.DUMMYFUNCTION("SPLIT(C3880,""-"")"),3900.0)</f>
        <v>3900</v>
      </c>
      <c r="E3880" s="308" t="str">
        <f>IFERROR(__xludf.DUMMYFUNCTION("""COMPUTED_VALUE"""),"K")</f>
        <v>K</v>
      </c>
      <c r="F3880" s="309" t="s">
        <v>34</v>
      </c>
      <c r="G3880" s="308"/>
      <c r="H3880" s="308" t="s">
        <v>15894</v>
      </c>
      <c r="I3880" s="310">
        <v>42520.0</v>
      </c>
      <c r="J3880" s="319">
        <f>IFERROR(__xludf.DUMMYFUNCTION("SPLIT(I3880,""/"")"),30.0)</f>
        <v>30</v>
      </c>
      <c r="K3880" s="308">
        <f>IFERROR(__xludf.DUMMYFUNCTION("""COMPUTED_VALUE"""),5.0)</f>
        <v>5</v>
      </c>
      <c r="L3880" s="308">
        <f>IFERROR(__xludf.DUMMYFUNCTION("""COMPUTED_VALUE"""),2016.0)</f>
        <v>2016</v>
      </c>
      <c r="M3880" s="308" t="s">
        <v>15895</v>
      </c>
      <c r="N3880" s="308"/>
      <c r="O3880" s="308"/>
      <c r="P3880" s="308" t="s">
        <v>37273</v>
      </c>
      <c r="Q3880" s="308" t="s">
        <v>37268</v>
      </c>
      <c r="R3880" s="308" t="s">
        <v>2743</v>
      </c>
      <c r="S3880" s="315" t="s">
        <v>100</v>
      </c>
      <c r="T3880" s="311" t="s">
        <v>34208</v>
      </c>
      <c r="U3880" s="308" t="s">
        <v>368</v>
      </c>
      <c r="V3880" s="312"/>
    </row>
    <row r="3881">
      <c r="A3881" s="308">
        <v>3880.0</v>
      </c>
      <c r="B3881" s="308"/>
      <c r="C3881" s="308" t="s">
        <v>15896</v>
      </c>
      <c r="D3881" s="308">
        <f>IFERROR(__xludf.DUMMYFUNCTION("SPLIT(C3881,""-"")"),3901.0)</f>
        <v>3901</v>
      </c>
      <c r="E3881" s="308" t="str">
        <f>IFERROR(__xludf.DUMMYFUNCTION("""COMPUTED_VALUE"""),"K")</f>
        <v>K</v>
      </c>
      <c r="F3881" s="309" t="s">
        <v>34</v>
      </c>
      <c r="G3881" s="308"/>
      <c r="H3881" s="308" t="s">
        <v>15897</v>
      </c>
      <c r="I3881" s="310">
        <v>39974.0</v>
      </c>
      <c r="J3881" s="319">
        <f>IFERROR(__xludf.DUMMYFUNCTION("SPLIT(I3881,""/"")"),10.0)</f>
        <v>10</v>
      </c>
      <c r="K3881" s="308">
        <f>IFERROR(__xludf.DUMMYFUNCTION("""COMPUTED_VALUE"""),6.0)</f>
        <v>6</v>
      </c>
      <c r="L3881" s="308">
        <f>IFERROR(__xludf.DUMMYFUNCTION("""COMPUTED_VALUE"""),2009.0)</f>
        <v>2009</v>
      </c>
      <c r="M3881" s="308" t="s">
        <v>15898</v>
      </c>
      <c r="N3881" s="308"/>
      <c r="O3881" s="308"/>
      <c r="P3881" s="308" t="s">
        <v>37274</v>
      </c>
      <c r="Q3881" s="308" t="s">
        <v>37268</v>
      </c>
      <c r="R3881" s="308" t="s">
        <v>2743</v>
      </c>
      <c r="S3881" s="308" t="s">
        <v>81</v>
      </c>
      <c r="T3881" s="308" t="s">
        <v>34264</v>
      </c>
      <c r="U3881" s="308" t="s">
        <v>2989</v>
      </c>
      <c r="V3881" s="312"/>
    </row>
    <row r="3882">
      <c r="A3882" s="308">
        <v>3881.0</v>
      </c>
      <c r="B3882" s="308"/>
      <c r="C3882" s="308" t="s">
        <v>15900</v>
      </c>
      <c r="D3882" s="308">
        <f>IFERROR(__xludf.DUMMYFUNCTION("SPLIT(C3882,""-"")"),3902.0)</f>
        <v>3902</v>
      </c>
      <c r="E3882" s="308" t="str">
        <f>IFERROR(__xludf.DUMMYFUNCTION("""COMPUTED_VALUE"""),"P")</f>
        <v>P</v>
      </c>
      <c r="F3882" s="312" t="s">
        <v>37</v>
      </c>
      <c r="G3882" s="308"/>
      <c r="H3882" s="308" t="s">
        <v>15901</v>
      </c>
      <c r="I3882" s="310">
        <v>42377.0</v>
      </c>
      <c r="J3882" s="319">
        <f>IFERROR(__xludf.DUMMYFUNCTION("SPLIT(I3882,""/"")"),8.0)</f>
        <v>8</v>
      </c>
      <c r="K3882" s="308">
        <f>IFERROR(__xludf.DUMMYFUNCTION("""COMPUTED_VALUE"""),1.0)</f>
        <v>1</v>
      </c>
      <c r="L3882" s="308">
        <f>IFERROR(__xludf.DUMMYFUNCTION("""COMPUTED_VALUE"""),2016.0)</f>
        <v>2016</v>
      </c>
      <c r="M3882" s="308" t="s">
        <v>15902</v>
      </c>
      <c r="N3882" s="308"/>
      <c r="O3882" s="308"/>
      <c r="P3882" s="308" t="s">
        <v>37275</v>
      </c>
      <c r="Q3882" s="308" t="s">
        <v>37276</v>
      </c>
      <c r="R3882" s="308" t="s">
        <v>2743</v>
      </c>
      <c r="S3882" s="308" t="s">
        <v>81</v>
      </c>
      <c r="T3882" s="311" t="s">
        <v>75</v>
      </c>
      <c r="U3882" s="308" t="s">
        <v>15904</v>
      </c>
      <c r="V3882" s="312"/>
    </row>
    <row r="3883">
      <c r="A3883" s="308">
        <v>3882.0</v>
      </c>
      <c r="B3883" s="308"/>
      <c r="C3883" s="308" t="s">
        <v>15905</v>
      </c>
      <c r="D3883" s="308">
        <f>IFERROR(__xludf.DUMMYFUNCTION("SPLIT(C3883,""-"")"),3903.0)</f>
        <v>3903</v>
      </c>
      <c r="E3883" s="308" t="str">
        <f>IFERROR(__xludf.DUMMYFUNCTION("""COMPUTED_VALUE"""),"P")</f>
        <v>P</v>
      </c>
      <c r="F3883" s="312" t="s">
        <v>37</v>
      </c>
      <c r="G3883" s="308"/>
      <c r="H3883" s="308" t="s">
        <v>15906</v>
      </c>
      <c r="I3883" s="310">
        <v>42805.0</v>
      </c>
      <c r="J3883" s="319">
        <f>IFERROR(__xludf.DUMMYFUNCTION("SPLIT(I3883,""/"")"),11.0)</f>
        <v>11</v>
      </c>
      <c r="K3883" s="308">
        <f>IFERROR(__xludf.DUMMYFUNCTION("""COMPUTED_VALUE"""),3.0)</f>
        <v>3</v>
      </c>
      <c r="L3883" s="308">
        <f>IFERROR(__xludf.DUMMYFUNCTION("""COMPUTED_VALUE"""),2017.0)</f>
        <v>2017</v>
      </c>
      <c r="M3883" s="308" t="s">
        <v>15907</v>
      </c>
      <c r="N3883" s="308"/>
      <c r="O3883" s="308"/>
      <c r="P3883" s="308" t="s">
        <v>15908</v>
      </c>
      <c r="Q3883" s="308" t="s">
        <v>37277</v>
      </c>
      <c r="R3883" s="308" t="s">
        <v>2743</v>
      </c>
      <c r="S3883" s="308" t="s">
        <v>81</v>
      </c>
      <c r="T3883" s="308" t="s">
        <v>75</v>
      </c>
      <c r="U3883" s="308" t="s">
        <v>15909</v>
      </c>
      <c r="V3883" s="312"/>
    </row>
    <row r="3884">
      <c r="A3884" s="308">
        <v>3883.0</v>
      </c>
      <c r="B3884" s="308"/>
      <c r="C3884" s="308" t="s">
        <v>15910</v>
      </c>
      <c r="D3884" s="308">
        <f>IFERROR(__xludf.DUMMYFUNCTION("SPLIT(C3884,""-"")"),3904.0)</f>
        <v>3904</v>
      </c>
      <c r="E3884" s="308" t="str">
        <f>IFERROR(__xludf.DUMMYFUNCTION("""COMPUTED_VALUE"""),"P")</f>
        <v>P</v>
      </c>
      <c r="F3884" s="312" t="s">
        <v>37</v>
      </c>
      <c r="G3884" s="308"/>
      <c r="H3884" s="308" t="s">
        <v>15911</v>
      </c>
      <c r="I3884" s="316">
        <v>2007.0</v>
      </c>
      <c r="J3884" s="319"/>
      <c r="K3884" s="308"/>
      <c r="L3884" s="311">
        <v>2007.0</v>
      </c>
      <c r="M3884" s="308" t="s">
        <v>37278</v>
      </c>
      <c r="N3884" s="308"/>
      <c r="O3884" s="308" t="s">
        <v>15913</v>
      </c>
      <c r="P3884" s="308" t="s">
        <v>37279</v>
      </c>
      <c r="Q3884" s="308" t="s">
        <v>37277</v>
      </c>
      <c r="R3884" s="308" t="s">
        <v>2743</v>
      </c>
      <c r="S3884" s="308" t="s">
        <v>49</v>
      </c>
      <c r="T3884" s="311" t="s">
        <v>51</v>
      </c>
      <c r="U3884" s="308" t="s">
        <v>15586</v>
      </c>
      <c r="V3884" s="312"/>
    </row>
    <row r="3885">
      <c r="A3885" s="308">
        <v>3884.0</v>
      </c>
      <c r="B3885" s="308"/>
      <c r="C3885" s="308" t="s">
        <v>15915</v>
      </c>
      <c r="D3885" s="308">
        <f>IFERROR(__xludf.DUMMYFUNCTION("SPLIT(C3885,""-"")"),3905.0)</f>
        <v>3905</v>
      </c>
      <c r="E3885" s="308" t="str">
        <f>IFERROR(__xludf.DUMMYFUNCTION("""COMPUTED_VALUE"""),"P")</f>
        <v>P</v>
      </c>
      <c r="F3885" s="312" t="s">
        <v>37</v>
      </c>
      <c r="G3885" s="308"/>
      <c r="H3885" s="308" t="s">
        <v>15916</v>
      </c>
      <c r="I3885" s="314">
        <v>42723.0</v>
      </c>
      <c r="J3885" s="319">
        <f>IFERROR(__xludf.DUMMYFUNCTION("SPLIT(I3885,""/"")"),19.0)</f>
        <v>19</v>
      </c>
      <c r="K3885" s="308">
        <f>IFERROR(__xludf.DUMMYFUNCTION("""COMPUTED_VALUE"""),12.0)</f>
        <v>12</v>
      </c>
      <c r="L3885" s="308">
        <f>IFERROR(__xludf.DUMMYFUNCTION("""COMPUTED_VALUE"""),2016.0)</f>
        <v>2016</v>
      </c>
      <c r="M3885" s="308" t="s">
        <v>15917</v>
      </c>
      <c r="N3885" s="308"/>
      <c r="O3885" s="308"/>
      <c r="P3885" s="308" t="s">
        <v>37280</v>
      </c>
      <c r="Q3885" s="308" t="s">
        <v>37277</v>
      </c>
      <c r="R3885" s="308" t="s">
        <v>2743</v>
      </c>
      <c r="S3885" s="308" t="s">
        <v>81</v>
      </c>
      <c r="T3885" s="308" t="s">
        <v>75</v>
      </c>
      <c r="U3885" s="308" t="s">
        <v>3407</v>
      </c>
      <c r="V3885" s="312"/>
    </row>
    <row r="3886">
      <c r="A3886" s="308">
        <v>3885.0</v>
      </c>
      <c r="B3886" s="308"/>
      <c r="C3886" s="308" t="s">
        <v>15919</v>
      </c>
      <c r="D3886" s="308">
        <f>IFERROR(__xludf.DUMMYFUNCTION("SPLIT(C3886,""-"")"),3906.0)</f>
        <v>3906</v>
      </c>
      <c r="E3886" s="308" t="str">
        <f>IFERROR(__xludf.DUMMYFUNCTION("""COMPUTED_VALUE"""),"I")</f>
        <v>I</v>
      </c>
      <c r="F3886" s="309" t="s">
        <v>31</v>
      </c>
      <c r="G3886" s="308"/>
      <c r="H3886" s="308" t="s">
        <v>15920</v>
      </c>
      <c r="I3886" s="316">
        <v>2013.0</v>
      </c>
      <c r="J3886" s="319"/>
      <c r="K3886" s="308"/>
      <c r="L3886" s="311">
        <v>2013.0</v>
      </c>
      <c r="M3886" s="308" t="s">
        <v>15921</v>
      </c>
      <c r="N3886" s="308"/>
      <c r="O3886" s="308" t="s">
        <v>15922</v>
      </c>
      <c r="P3886" s="308" t="s">
        <v>37281</v>
      </c>
      <c r="Q3886" s="308" t="s">
        <v>37277</v>
      </c>
      <c r="R3886" s="308" t="s">
        <v>2743</v>
      </c>
      <c r="S3886" s="308" t="s">
        <v>49</v>
      </c>
      <c r="T3886" s="308" t="s">
        <v>51</v>
      </c>
      <c r="U3886" s="308" t="s">
        <v>31</v>
      </c>
      <c r="V3886" s="312"/>
    </row>
    <row r="3887">
      <c r="A3887" s="308">
        <v>3886.0</v>
      </c>
      <c r="B3887" s="308"/>
      <c r="C3887" s="308" t="s">
        <v>15924</v>
      </c>
      <c r="D3887" s="308">
        <f>IFERROR(__xludf.DUMMYFUNCTION("SPLIT(C3887,""-"")"),3907.0)</f>
        <v>3907</v>
      </c>
      <c r="E3887" s="308" t="str">
        <f>IFERROR(__xludf.DUMMYFUNCTION("""COMPUTED_VALUE"""),"I")</f>
        <v>I</v>
      </c>
      <c r="F3887" s="309" t="s">
        <v>31</v>
      </c>
      <c r="G3887" s="308"/>
      <c r="H3887" s="308" t="s">
        <v>15925</v>
      </c>
      <c r="I3887" s="310">
        <v>42790.0</v>
      </c>
      <c r="J3887" s="319">
        <f>IFERROR(__xludf.DUMMYFUNCTION("SPLIT(I3887,""/"")"),24.0)</f>
        <v>24</v>
      </c>
      <c r="K3887" s="308">
        <f>IFERROR(__xludf.DUMMYFUNCTION("""COMPUTED_VALUE"""),2.0)</f>
        <v>2</v>
      </c>
      <c r="L3887" s="308">
        <f>IFERROR(__xludf.DUMMYFUNCTION("""COMPUTED_VALUE"""),2017.0)</f>
        <v>2017</v>
      </c>
      <c r="M3887" s="308" t="s">
        <v>37282</v>
      </c>
      <c r="N3887" s="308"/>
      <c r="O3887" s="308" t="s">
        <v>15927</v>
      </c>
      <c r="P3887" s="308" t="s">
        <v>15928</v>
      </c>
      <c r="Q3887" s="308" t="s">
        <v>37277</v>
      </c>
      <c r="R3887" s="308" t="s">
        <v>2743</v>
      </c>
      <c r="S3887" s="308" t="s">
        <v>81</v>
      </c>
      <c r="T3887" s="311" t="s">
        <v>77</v>
      </c>
      <c r="U3887" s="308"/>
      <c r="V3887" s="312"/>
    </row>
    <row r="3888">
      <c r="A3888" s="308">
        <v>3887.0</v>
      </c>
      <c r="B3888" s="308"/>
      <c r="C3888" s="308" t="s">
        <v>15929</v>
      </c>
      <c r="D3888" s="308">
        <f>IFERROR(__xludf.DUMMYFUNCTION("SPLIT(C3888,""-"")"),3908.0)</f>
        <v>3908</v>
      </c>
      <c r="E3888" s="308" t="str">
        <f>IFERROR(__xludf.DUMMYFUNCTION("""COMPUTED_VALUE"""),"I")</f>
        <v>I</v>
      </c>
      <c r="F3888" s="309" t="s">
        <v>31</v>
      </c>
      <c r="G3888" s="308"/>
      <c r="H3888" s="308" t="s">
        <v>15930</v>
      </c>
      <c r="I3888" s="310">
        <v>42807.0</v>
      </c>
      <c r="J3888" s="319">
        <f>IFERROR(__xludf.DUMMYFUNCTION("SPLIT(I3888,""/"")"),13.0)</f>
        <v>13</v>
      </c>
      <c r="K3888" s="308">
        <f>IFERROR(__xludf.DUMMYFUNCTION("""COMPUTED_VALUE"""),3.0)</f>
        <v>3</v>
      </c>
      <c r="L3888" s="308">
        <f>IFERROR(__xludf.DUMMYFUNCTION("""COMPUTED_VALUE"""),2017.0)</f>
        <v>2017</v>
      </c>
      <c r="M3888" s="308" t="s">
        <v>15931</v>
      </c>
      <c r="N3888" s="308"/>
      <c r="O3888" s="308" t="s">
        <v>635</v>
      </c>
      <c r="P3888" s="308" t="s">
        <v>15932</v>
      </c>
      <c r="Q3888" s="308" t="s">
        <v>37283</v>
      </c>
      <c r="R3888" s="308" t="s">
        <v>2743</v>
      </c>
      <c r="S3888" s="308" t="s">
        <v>81</v>
      </c>
      <c r="T3888" s="308" t="s">
        <v>75</v>
      </c>
      <c r="U3888" s="308"/>
      <c r="V3888" s="312"/>
    </row>
    <row r="3889">
      <c r="A3889" s="308">
        <v>3888.0</v>
      </c>
      <c r="B3889" s="308"/>
      <c r="C3889" s="308" t="s">
        <v>15933</v>
      </c>
      <c r="D3889" s="308">
        <f>IFERROR(__xludf.DUMMYFUNCTION("SPLIT(C3889,""-"")"),3909.0)</f>
        <v>3909</v>
      </c>
      <c r="E3889" s="308" t="str">
        <f>IFERROR(__xludf.DUMMYFUNCTION("""COMPUTED_VALUE"""),"I")</f>
        <v>I</v>
      </c>
      <c r="F3889" s="309" t="s">
        <v>31</v>
      </c>
      <c r="G3889" s="308"/>
      <c r="H3889" s="308" t="s">
        <v>15934</v>
      </c>
      <c r="I3889" s="310">
        <v>42814.0</v>
      </c>
      <c r="J3889" s="319">
        <f>IFERROR(__xludf.DUMMYFUNCTION("SPLIT(I3889,""/"")"),20.0)</f>
        <v>20</v>
      </c>
      <c r="K3889" s="308">
        <f>IFERROR(__xludf.DUMMYFUNCTION("""COMPUTED_VALUE"""),3.0)</f>
        <v>3</v>
      </c>
      <c r="L3889" s="308">
        <f>IFERROR(__xludf.DUMMYFUNCTION("""COMPUTED_VALUE"""),2017.0)</f>
        <v>2017</v>
      </c>
      <c r="M3889" s="308" t="s">
        <v>15935</v>
      </c>
      <c r="N3889" s="308"/>
      <c r="O3889" s="308"/>
      <c r="P3889" s="308" t="s">
        <v>15936</v>
      </c>
      <c r="Q3889" s="308" t="s">
        <v>37284</v>
      </c>
      <c r="R3889" s="308" t="s">
        <v>2743</v>
      </c>
      <c r="S3889" s="308" t="s">
        <v>81</v>
      </c>
      <c r="T3889" s="308" t="s">
        <v>75</v>
      </c>
      <c r="U3889" s="308" t="s">
        <v>31</v>
      </c>
      <c r="V3889" s="312"/>
    </row>
    <row r="3890">
      <c r="A3890" s="308">
        <v>3889.0</v>
      </c>
      <c r="B3890" s="308"/>
      <c r="C3890" s="308" t="s">
        <v>15937</v>
      </c>
      <c r="D3890" s="308">
        <f>IFERROR(__xludf.DUMMYFUNCTION("SPLIT(C3890,""-"")"),3910.0)</f>
        <v>3910</v>
      </c>
      <c r="E3890" s="308" t="str">
        <f>IFERROR(__xludf.DUMMYFUNCTION("""COMPUTED_VALUE"""),"K")</f>
        <v>K</v>
      </c>
      <c r="F3890" s="309" t="s">
        <v>34</v>
      </c>
      <c r="G3890" s="308"/>
      <c r="H3890" s="308" t="s">
        <v>15938</v>
      </c>
      <c r="I3890" s="325">
        <v>41699.0</v>
      </c>
      <c r="J3890" s="319"/>
      <c r="K3890" s="311">
        <v>3.0</v>
      </c>
      <c r="L3890" s="311">
        <v>2014.0</v>
      </c>
      <c r="M3890" s="308" t="s">
        <v>15939</v>
      </c>
      <c r="N3890" s="308"/>
      <c r="O3890" s="308"/>
      <c r="P3890" s="308" t="s">
        <v>37285</v>
      </c>
      <c r="Q3890" s="308" t="s">
        <v>37286</v>
      </c>
      <c r="R3890" s="308" t="s">
        <v>2743</v>
      </c>
      <c r="S3890" s="315" t="s">
        <v>100</v>
      </c>
      <c r="T3890" s="311" t="s">
        <v>34208</v>
      </c>
      <c r="U3890" s="308" t="s">
        <v>125</v>
      </c>
      <c r="V3890" s="312"/>
    </row>
    <row r="3891">
      <c r="A3891" s="308">
        <v>3890.0</v>
      </c>
      <c r="B3891" s="308"/>
      <c r="C3891" s="308" t="s">
        <v>15940</v>
      </c>
      <c r="D3891" s="308">
        <f>IFERROR(__xludf.DUMMYFUNCTION("SPLIT(C3891,""-"")"),3911.0)</f>
        <v>3911</v>
      </c>
      <c r="E3891" s="308" t="str">
        <f>IFERROR(__xludf.DUMMYFUNCTION("""COMPUTED_VALUE"""),"K")</f>
        <v>K</v>
      </c>
      <c r="F3891" s="309" t="s">
        <v>34</v>
      </c>
      <c r="G3891" s="308"/>
      <c r="H3891" s="308" t="s">
        <v>15941</v>
      </c>
      <c r="I3891" s="310">
        <v>42783.0</v>
      </c>
      <c r="J3891" s="319" t="str">
        <f>IFERROR(__xludf.DUMMYFUNCTION("SPLIT(I3891,""/"")"),"#REF!")</f>
        <v>#REF!</v>
      </c>
      <c r="K3891" s="308"/>
      <c r="L3891" s="308">
        <v>2017.0</v>
      </c>
      <c r="M3891" s="308" t="s">
        <v>15942</v>
      </c>
      <c r="N3891" s="308"/>
      <c r="O3891" s="308"/>
      <c r="P3891" s="308" t="s">
        <v>15943</v>
      </c>
      <c r="Q3891" s="308" t="s">
        <v>37286</v>
      </c>
      <c r="R3891" s="308" t="s">
        <v>2743</v>
      </c>
      <c r="S3891" s="308" t="s">
        <v>81</v>
      </c>
      <c r="T3891" s="308" t="s">
        <v>75</v>
      </c>
      <c r="U3891" s="308" t="s">
        <v>3714</v>
      </c>
      <c r="V3891" s="312"/>
    </row>
    <row r="3892">
      <c r="A3892" s="308">
        <v>3891.0</v>
      </c>
      <c r="B3892" s="308"/>
      <c r="C3892" s="308" t="s">
        <v>15944</v>
      </c>
      <c r="D3892" s="308">
        <f>IFERROR(__xludf.DUMMYFUNCTION("SPLIT(C3892,""-"")"),3912.0)</f>
        <v>3912</v>
      </c>
      <c r="E3892" s="308" t="str">
        <f>IFERROR(__xludf.DUMMYFUNCTION("""COMPUTED_VALUE"""),"K")</f>
        <v>K</v>
      </c>
      <c r="F3892" s="309" t="s">
        <v>34</v>
      </c>
      <c r="G3892" s="308"/>
      <c r="H3892" s="308" t="s">
        <v>15945</v>
      </c>
      <c r="I3892" s="310">
        <v>41660.0</v>
      </c>
      <c r="J3892" s="319">
        <f>IFERROR(__xludf.DUMMYFUNCTION("SPLIT(I3892,""/"")"),21.0)</f>
        <v>21</v>
      </c>
      <c r="K3892" s="308">
        <f>IFERROR(__xludf.DUMMYFUNCTION("""COMPUTED_VALUE"""),1.0)</f>
        <v>1</v>
      </c>
      <c r="L3892" s="308">
        <f>IFERROR(__xludf.DUMMYFUNCTION("""COMPUTED_VALUE"""),2014.0)</f>
        <v>2014</v>
      </c>
      <c r="M3892" s="308" t="s">
        <v>15946</v>
      </c>
      <c r="N3892" s="308"/>
      <c r="O3892" s="308"/>
      <c r="P3892" s="308" t="s">
        <v>37287</v>
      </c>
      <c r="Q3892" s="308" t="s">
        <v>37286</v>
      </c>
      <c r="R3892" s="308" t="s">
        <v>2743</v>
      </c>
      <c r="S3892" s="308" t="s">
        <v>49</v>
      </c>
      <c r="T3892" s="308" t="s">
        <v>51</v>
      </c>
      <c r="U3892" s="308" t="s">
        <v>125</v>
      </c>
      <c r="V3892" s="312"/>
    </row>
    <row r="3893">
      <c r="A3893" s="308">
        <v>3892.0</v>
      </c>
      <c r="B3893" s="308"/>
      <c r="C3893" s="308" t="s">
        <v>15948</v>
      </c>
      <c r="D3893" s="308">
        <f>IFERROR(__xludf.DUMMYFUNCTION("SPLIT(C3893,""-"")"),3913.0)</f>
        <v>3913</v>
      </c>
      <c r="E3893" s="308" t="str">
        <f>IFERROR(__xludf.DUMMYFUNCTION("""COMPUTED_VALUE"""),"K")</f>
        <v>K</v>
      </c>
      <c r="F3893" s="309" t="s">
        <v>34</v>
      </c>
      <c r="G3893" s="308"/>
      <c r="H3893" s="308" t="s">
        <v>15949</v>
      </c>
      <c r="I3893" s="310">
        <v>41403.0</v>
      </c>
      <c r="J3893" s="319">
        <f>IFERROR(__xludf.DUMMYFUNCTION("SPLIT(I3893,""/"")"),9.0)</f>
        <v>9</v>
      </c>
      <c r="K3893" s="308">
        <f>IFERROR(__xludf.DUMMYFUNCTION("""COMPUTED_VALUE"""),5.0)</f>
        <v>5</v>
      </c>
      <c r="L3893" s="308">
        <f>IFERROR(__xludf.DUMMYFUNCTION("""COMPUTED_VALUE"""),2013.0)</f>
        <v>2013</v>
      </c>
      <c r="M3893" s="308" t="s">
        <v>37288</v>
      </c>
      <c r="N3893" s="308"/>
      <c r="O3893" s="308"/>
      <c r="P3893" s="308" t="s">
        <v>37285</v>
      </c>
      <c r="Q3893" s="308" t="s">
        <v>37286</v>
      </c>
      <c r="R3893" s="308" t="s">
        <v>2743</v>
      </c>
      <c r="S3893" s="315" t="s">
        <v>100</v>
      </c>
      <c r="T3893" s="311" t="s">
        <v>34208</v>
      </c>
      <c r="U3893" s="308" t="s">
        <v>125</v>
      </c>
      <c r="V3893" s="312"/>
    </row>
    <row r="3894">
      <c r="A3894" s="308">
        <v>3893.0</v>
      </c>
      <c r="B3894" s="308"/>
      <c r="C3894" s="308" t="s">
        <v>15951</v>
      </c>
      <c r="D3894" s="308">
        <f>IFERROR(__xludf.DUMMYFUNCTION("SPLIT(C3894,""-"")"),3914.0)</f>
        <v>3914</v>
      </c>
      <c r="E3894" s="308" t="str">
        <f>IFERROR(__xludf.DUMMYFUNCTION("""COMPUTED_VALUE"""),"K")</f>
        <v>K</v>
      </c>
      <c r="F3894" s="309" t="s">
        <v>34</v>
      </c>
      <c r="G3894" s="308"/>
      <c r="H3894" s="308" t="s">
        <v>15952</v>
      </c>
      <c r="I3894" s="310">
        <v>42258.0</v>
      </c>
      <c r="J3894" s="319">
        <f>IFERROR(__xludf.DUMMYFUNCTION("SPLIT(I3894,""/"")"),11.0)</f>
        <v>11</v>
      </c>
      <c r="K3894" s="308">
        <f>IFERROR(__xludf.DUMMYFUNCTION("""COMPUTED_VALUE"""),9.0)</f>
        <v>9</v>
      </c>
      <c r="L3894" s="308">
        <f>IFERROR(__xludf.DUMMYFUNCTION("""COMPUTED_VALUE"""),2015.0)</f>
        <v>2015</v>
      </c>
      <c r="M3894" s="308" t="s">
        <v>15953</v>
      </c>
      <c r="N3894" s="308"/>
      <c r="O3894" s="308"/>
      <c r="P3894" s="308" t="s">
        <v>15954</v>
      </c>
      <c r="Q3894" s="308" t="s">
        <v>37286</v>
      </c>
      <c r="R3894" s="308" t="s">
        <v>2743</v>
      </c>
      <c r="S3894" s="308" t="s">
        <v>81</v>
      </c>
      <c r="T3894" s="308" t="s">
        <v>75</v>
      </c>
      <c r="U3894" s="308" t="s">
        <v>542</v>
      </c>
      <c r="V3894" s="312"/>
    </row>
    <row r="3895">
      <c r="A3895" s="308">
        <v>3894.0</v>
      </c>
      <c r="B3895" s="308"/>
      <c r="C3895" s="308" t="s">
        <v>15955</v>
      </c>
      <c r="D3895" s="308">
        <f>IFERROR(__xludf.DUMMYFUNCTION("SPLIT(C3895,""-"")"),3915.0)</f>
        <v>3915</v>
      </c>
      <c r="E3895" s="308" t="str">
        <f>IFERROR(__xludf.DUMMYFUNCTION("""COMPUTED_VALUE"""),"K")</f>
        <v>K</v>
      </c>
      <c r="F3895" s="309" t="s">
        <v>34</v>
      </c>
      <c r="G3895" s="308"/>
      <c r="H3895" s="308" t="s">
        <v>15956</v>
      </c>
      <c r="I3895" s="316">
        <v>2009.0</v>
      </c>
      <c r="J3895" s="319"/>
      <c r="K3895" s="308"/>
      <c r="L3895" s="311">
        <v>2009.0</v>
      </c>
      <c r="M3895" s="308" t="s">
        <v>15957</v>
      </c>
      <c r="N3895" s="308"/>
      <c r="O3895" s="308"/>
      <c r="P3895" s="308" t="s">
        <v>37289</v>
      </c>
      <c r="Q3895" s="308" t="s">
        <v>37286</v>
      </c>
      <c r="R3895" s="308" t="s">
        <v>2743</v>
      </c>
      <c r="S3895" s="308" t="s">
        <v>81</v>
      </c>
      <c r="T3895" s="308" t="s">
        <v>34264</v>
      </c>
      <c r="U3895" s="308" t="s">
        <v>530</v>
      </c>
      <c r="V3895" s="312"/>
    </row>
    <row r="3896">
      <c r="A3896" s="308">
        <v>3895.0</v>
      </c>
      <c r="B3896" s="308"/>
      <c r="C3896" s="308" t="s">
        <v>15959</v>
      </c>
      <c r="D3896" s="308">
        <f>IFERROR(__xludf.DUMMYFUNCTION("SPLIT(C3896,""-"")"),3916.0)</f>
        <v>3916</v>
      </c>
      <c r="E3896" s="308" t="str">
        <f>IFERROR(__xludf.DUMMYFUNCTION("""COMPUTED_VALUE"""),"K")</f>
        <v>K</v>
      </c>
      <c r="F3896" s="309" t="s">
        <v>34</v>
      </c>
      <c r="G3896" s="308"/>
      <c r="H3896" s="308" t="s">
        <v>15960</v>
      </c>
      <c r="I3896" s="316">
        <v>2015.0</v>
      </c>
      <c r="J3896" s="319"/>
      <c r="K3896" s="308"/>
      <c r="L3896" s="311">
        <v>2015.0</v>
      </c>
      <c r="M3896" s="308" t="s">
        <v>15961</v>
      </c>
      <c r="N3896" s="308"/>
      <c r="O3896" s="308" t="s">
        <v>15962</v>
      </c>
      <c r="P3896" s="308" t="s">
        <v>15963</v>
      </c>
      <c r="Q3896" s="308" t="s">
        <v>37290</v>
      </c>
      <c r="R3896" s="308" t="s">
        <v>2743</v>
      </c>
      <c r="S3896" s="308" t="s">
        <v>81</v>
      </c>
      <c r="T3896" s="311" t="s">
        <v>51</v>
      </c>
      <c r="U3896" s="308" t="s">
        <v>201</v>
      </c>
      <c r="V3896" s="312"/>
    </row>
    <row r="3897">
      <c r="A3897" s="308">
        <v>3896.0</v>
      </c>
      <c r="B3897" s="308"/>
      <c r="C3897" s="308" t="s">
        <v>15964</v>
      </c>
      <c r="D3897" s="308">
        <f>IFERROR(__xludf.DUMMYFUNCTION("SPLIT(C3897,""-"")"),3917.0)</f>
        <v>3917</v>
      </c>
      <c r="E3897" s="308" t="str">
        <f>IFERROR(__xludf.DUMMYFUNCTION("""COMPUTED_VALUE"""),"F")</f>
        <v>F</v>
      </c>
      <c r="F3897" s="309" t="s">
        <v>34</v>
      </c>
      <c r="G3897" s="308"/>
      <c r="H3897" s="308" t="s">
        <v>15965</v>
      </c>
      <c r="I3897" s="310">
        <v>42629.0</v>
      </c>
      <c r="J3897" s="319">
        <f>IFERROR(__xludf.DUMMYFUNCTION("SPLIT(I3897,""/"")"),16.0)</f>
        <v>16</v>
      </c>
      <c r="K3897" s="308">
        <f>IFERROR(__xludf.DUMMYFUNCTION("""COMPUTED_VALUE"""),9.0)</f>
        <v>9</v>
      </c>
      <c r="L3897" s="308">
        <f>IFERROR(__xludf.DUMMYFUNCTION("""COMPUTED_VALUE"""),2016.0)</f>
        <v>2016</v>
      </c>
      <c r="M3897" s="308" t="s">
        <v>15966</v>
      </c>
      <c r="N3897" s="308"/>
      <c r="O3897" s="308"/>
      <c r="P3897" s="308" t="s">
        <v>37291</v>
      </c>
      <c r="Q3897" s="308" t="s">
        <v>37290</v>
      </c>
      <c r="R3897" s="308" t="s">
        <v>14911</v>
      </c>
      <c r="S3897" s="308" t="s">
        <v>81</v>
      </c>
      <c r="T3897" s="308" t="s">
        <v>75</v>
      </c>
      <c r="U3897" s="308" t="s">
        <v>195</v>
      </c>
      <c r="V3897" s="312"/>
    </row>
    <row r="3898">
      <c r="A3898" s="308">
        <v>3897.0</v>
      </c>
      <c r="B3898" s="308"/>
      <c r="C3898" s="308" t="s">
        <v>15968</v>
      </c>
      <c r="D3898" s="308">
        <f>IFERROR(__xludf.DUMMYFUNCTION("SPLIT(C3898,""-"")"),3918.0)</f>
        <v>3918</v>
      </c>
      <c r="E3898" s="308" t="str">
        <f>IFERROR(__xludf.DUMMYFUNCTION("""COMPUTED_VALUE"""),"F")</f>
        <v>F</v>
      </c>
      <c r="F3898" s="309" t="s">
        <v>34</v>
      </c>
      <c r="G3898" s="308"/>
      <c r="H3898" s="308" t="s">
        <v>15969</v>
      </c>
      <c r="I3898" s="310">
        <v>42629.0</v>
      </c>
      <c r="J3898" s="319">
        <f>IFERROR(__xludf.DUMMYFUNCTION("SPLIT(I3898,""/"")"),16.0)</f>
        <v>16</v>
      </c>
      <c r="K3898" s="308">
        <f>IFERROR(__xludf.DUMMYFUNCTION("""COMPUTED_VALUE"""),9.0)</f>
        <v>9</v>
      </c>
      <c r="L3898" s="308">
        <f>IFERROR(__xludf.DUMMYFUNCTION("""COMPUTED_VALUE"""),2016.0)</f>
        <v>2016</v>
      </c>
      <c r="M3898" s="308" t="s">
        <v>15966</v>
      </c>
      <c r="N3898" s="308"/>
      <c r="O3898" s="308"/>
      <c r="P3898" s="308" t="s">
        <v>37291</v>
      </c>
      <c r="Q3898" s="308" t="s">
        <v>37290</v>
      </c>
      <c r="R3898" s="308" t="s">
        <v>14911</v>
      </c>
      <c r="S3898" s="308" t="s">
        <v>81</v>
      </c>
      <c r="T3898" s="308" t="s">
        <v>75</v>
      </c>
      <c r="U3898" s="308" t="s">
        <v>195</v>
      </c>
      <c r="V3898" s="312"/>
    </row>
    <row r="3899">
      <c r="A3899" s="308">
        <v>3898.0</v>
      </c>
      <c r="B3899" s="308"/>
      <c r="C3899" s="308" t="s">
        <v>15970</v>
      </c>
      <c r="D3899" s="308">
        <f>IFERROR(__xludf.DUMMYFUNCTION("SPLIT(C3899,""-"")"),3919.0)</f>
        <v>3919</v>
      </c>
      <c r="E3899" s="308" t="str">
        <f>IFERROR(__xludf.DUMMYFUNCTION("""COMPUTED_VALUE"""),"P")</f>
        <v>P</v>
      </c>
      <c r="F3899" s="312" t="s">
        <v>37</v>
      </c>
      <c r="G3899" s="308"/>
      <c r="H3899" s="308" t="s">
        <v>15971</v>
      </c>
      <c r="I3899" s="310">
        <v>42782.0</v>
      </c>
      <c r="J3899" s="319">
        <f>IFERROR(__xludf.DUMMYFUNCTION("SPLIT(I3899,""/"")"),16.0)</f>
        <v>16</v>
      </c>
      <c r="K3899" s="308">
        <f>IFERROR(__xludf.DUMMYFUNCTION("""COMPUTED_VALUE"""),2.0)</f>
        <v>2</v>
      </c>
      <c r="L3899" s="308">
        <f>IFERROR(__xludf.DUMMYFUNCTION("""COMPUTED_VALUE"""),2017.0)</f>
        <v>2017</v>
      </c>
      <c r="M3899" s="308" t="s">
        <v>15972</v>
      </c>
      <c r="N3899" s="308"/>
      <c r="O3899" s="308"/>
      <c r="P3899" s="308" t="s">
        <v>37292</v>
      </c>
      <c r="Q3899" s="308" t="s">
        <v>37290</v>
      </c>
      <c r="R3899" s="308" t="s">
        <v>14911</v>
      </c>
      <c r="S3899" s="315" t="s">
        <v>100</v>
      </c>
      <c r="T3899" s="311" t="s">
        <v>34208</v>
      </c>
      <c r="U3899" s="308" t="s">
        <v>2748</v>
      </c>
      <c r="V3899" s="312"/>
    </row>
    <row r="3900">
      <c r="A3900" s="308">
        <v>3899.0</v>
      </c>
      <c r="B3900" s="308"/>
      <c r="C3900" s="308" t="s">
        <v>15973</v>
      </c>
      <c r="D3900" s="308">
        <f>IFERROR(__xludf.DUMMYFUNCTION("SPLIT(C3900,""-"")"),3920.0)</f>
        <v>3920</v>
      </c>
      <c r="E3900" s="308" t="str">
        <f>IFERROR(__xludf.DUMMYFUNCTION("""COMPUTED_VALUE"""),"F")</f>
        <v>F</v>
      </c>
      <c r="F3900" s="309" t="s">
        <v>34</v>
      </c>
      <c r="G3900" s="308"/>
      <c r="H3900" s="308" t="s">
        <v>15974</v>
      </c>
      <c r="I3900" s="310">
        <v>42457.0</v>
      </c>
      <c r="J3900" s="319">
        <f>IFERROR(__xludf.DUMMYFUNCTION("SPLIT(I3900,""/"")"),28.0)</f>
        <v>28</v>
      </c>
      <c r="K3900" s="308">
        <f>IFERROR(__xludf.DUMMYFUNCTION("""COMPUTED_VALUE"""),3.0)</f>
        <v>3</v>
      </c>
      <c r="L3900" s="308">
        <f>IFERROR(__xludf.DUMMYFUNCTION("""COMPUTED_VALUE"""),2016.0)</f>
        <v>2016</v>
      </c>
      <c r="M3900" s="308" t="s">
        <v>15975</v>
      </c>
      <c r="N3900" s="308"/>
      <c r="O3900" s="308"/>
      <c r="P3900" s="308" t="s">
        <v>37293</v>
      </c>
      <c r="Q3900" s="308" t="s">
        <v>37290</v>
      </c>
      <c r="R3900" s="308" t="s">
        <v>2743</v>
      </c>
      <c r="S3900" s="308" t="s">
        <v>81</v>
      </c>
      <c r="T3900" s="308" t="s">
        <v>34264</v>
      </c>
      <c r="U3900" s="308"/>
      <c r="V3900" s="312"/>
    </row>
    <row r="3901">
      <c r="A3901" s="308">
        <v>3900.0</v>
      </c>
      <c r="B3901" s="308"/>
      <c r="C3901" s="308" t="s">
        <v>15977</v>
      </c>
      <c r="D3901" s="308">
        <f>IFERROR(__xludf.DUMMYFUNCTION("SPLIT(C3901,""-"")"),3921.0)</f>
        <v>3921</v>
      </c>
      <c r="E3901" s="308" t="str">
        <f>IFERROR(__xludf.DUMMYFUNCTION("""COMPUTED_VALUE"""),"K")</f>
        <v>K</v>
      </c>
      <c r="F3901" s="309" t="s">
        <v>34</v>
      </c>
      <c r="G3901" s="308"/>
      <c r="H3901" s="308" t="s">
        <v>15978</v>
      </c>
      <c r="I3901" s="310">
        <v>41913.0</v>
      </c>
      <c r="J3901" s="319">
        <f>IFERROR(__xludf.DUMMYFUNCTION("SPLIT(I3901,""/"")"),1.0)</f>
        <v>1</v>
      </c>
      <c r="K3901" s="308">
        <f>IFERROR(__xludf.DUMMYFUNCTION("""COMPUTED_VALUE"""),10.0)</f>
        <v>10</v>
      </c>
      <c r="L3901" s="308">
        <f>IFERROR(__xludf.DUMMYFUNCTION("""COMPUTED_VALUE"""),2014.0)</f>
        <v>2014</v>
      </c>
      <c r="M3901" s="308" t="s">
        <v>15979</v>
      </c>
      <c r="N3901" s="308"/>
      <c r="O3901" s="308"/>
      <c r="P3901" s="308" t="s">
        <v>37294</v>
      </c>
      <c r="Q3901" s="308" t="s">
        <v>37295</v>
      </c>
      <c r="R3901" s="308" t="s">
        <v>2743</v>
      </c>
      <c r="S3901" s="308" t="s">
        <v>49</v>
      </c>
      <c r="T3901" s="308" t="s">
        <v>51</v>
      </c>
      <c r="U3901" s="308" t="s">
        <v>2152</v>
      </c>
      <c r="V3901" s="312"/>
    </row>
    <row r="3902">
      <c r="A3902" s="308">
        <v>3901.0</v>
      </c>
      <c r="B3902" s="308"/>
      <c r="C3902" s="308" t="s">
        <v>15981</v>
      </c>
      <c r="D3902" s="308">
        <f>IFERROR(__xludf.DUMMYFUNCTION("SPLIT(C3902,""-"")"),3922.0)</f>
        <v>3922</v>
      </c>
      <c r="E3902" s="308" t="str">
        <f>IFERROR(__xludf.DUMMYFUNCTION("""COMPUTED_VALUE"""),"P")</f>
        <v>P</v>
      </c>
      <c r="F3902" s="312" t="s">
        <v>37</v>
      </c>
      <c r="G3902" s="308"/>
      <c r="H3902" s="308" t="s">
        <v>15982</v>
      </c>
      <c r="I3902" s="314">
        <v>42667.0</v>
      </c>
      <c r="J3902" s="319">
        <f>IFERROR(__xludf.DUMMYFUNCTION("SPLIT(I3902,""/"")"),24.0)</f>
        <v>24</v>
      </c>
      <c r="K3902" s="308">
        <f>IFERROR(__xludf.DUMMYFUNCTION("""COMPUTED_VALUE"""),10.0)</f>
        <v>10</v>
      </c>
      <c r="L3902" s="308">
        <f>IFERROR(__xludf.DUMMYFUNCTION("""COMPUTED_VALUE"""),2016.0)</f>
        <v>2016</v>
      </c>
      <c r="M3902" s="308" t="s">
        <v>15983</v>
      </c>
      <c r="N3902" s="308"/>
      <c r="O3902" s="308"/>
      <c r="P3902" s="308" t="s">
        <v>15984</v>
      </c>
      <c r="Q3902" s="308" t="s">
        <v>37295</v>
      </c>
      <c r="R3902" s="308" t="s">
        <v>2743</v>
      </c>
      <c r="S3902" s="308" t="s">
        <v>81</v>
      </c>
      <c r="T3902" s="311" t="s">
        <v>63</v>
      </c>
      <c r="U3902" s="308" t="s">
        <v>149</v>
      </c>
      <c r="V3902" s="312"/>
    </row>
    <row r="3903">
      <c r="A3903" s="308">
        <v>3902.0</v>
      </c>
      <c r="B3903" s="308"/>
      <c r="C3903" s="308" t="s">
        <v>15985</v>
      </c>
      <c r="D3903" s="308">
        <f>IFERROR(__xludf.DUMMYFUNCTION("SPLIT(C3903,""-"")"),3923.0)</f>
        <v>3923</v>
      </c>
      <c r="E3903" s="308" t="str">
        <f>IFERROR(__xludf.DUMMYFUNCTION("""COMPUTED_VALUE"""),"P")</f>
        <v>P</v>
      </c>
      <c r="F3903" s="312" t="s">
        <v>37</v>
      </c>
      <c r="G3903" s="308"/>
      <c r="H3903" s="308" t="s">
        <v>15986</v>
      </c>
      <c r="I3903" s="310">
        <v>42460.0</v>
      </c>
      <c r="J3903" s="319">
        <f>IFERROR(__xludf.DUMMYFUNCTION("SPLIT(I3903,""/"")"),31.0)</f>
        <v>31</v>
      </c>
      <c r="K3903" s="308">
        <f>IFERROR(__xludf.DUMMYFUNCTION("""COMPUTED_VALUE"""),3.0)</f>
        <v>3</v>
      </c>
      <c r="L3903" s="308">
        <f>IFERROR(__xludf.DUMMYFUNCTION("""COMPUTED_VALUE"""),2016.0)</f>
        <v>2016</v>
      </c>
      <c r="M3903" s="308" t="s">
        <v>15987</v>
      </c>
      <c r="N3903" s="308"/>
      <c r="O3903" s="308"/>
      <c r="P3903" s="308" t="s">
        <v>15988</v>
      </c>
      <c r="Q3903" s="308" t="s">
        <v>37295</v>
      </c>
      <c r="R3903" s="308" t="s">
        <v>2743</v>
      </c>
      <c r="S3903" s="308" t="s">
        <v>81</v>
      </c>
      <c r="T3903" s="311" t="s">
        <v>96</v>
      </c>
      <c r="U3903" s="308" t="s">
        <v>149</v>
      </c>
      <c r="V3903" s="312"/>
    </row>
    <row r="3904">
      <c r="A3904" s="308">
        <v>3903.0</v>
      </c>
      <c r="B3904" s="308"/>
      <c r="C3904" s="308" t="s">
        <v>15989</v>
      </c>
      <c r="D3904" s="308">
        <f>IFERROR(__xludf.DUMMYFUNCTION("SPLIT(C3904,""-"")"),3924.0)</f>
        <v>3924</v>
      </c>
      <c r="E3904" s="308" t="str">
        <f>IFERROR(__xludf.DUMMYFUNCTION("""COMPUTED_VALUE"""),"P")</f>
        <v>P</v>
      </c>
      <c r="F3904" s="312" t="s">
        <v>37</v>
      </c>
      <c r="G3904" s="308"/>
      <c r="H3904" s="308" t="s">
        <v>15990</v>
      </c>
      <c r="I3904" s="310">
        <v>42517.0</v>
      </c>
      <c r="J3904" s="319">
        <f>IFERROR(__xludf.DUMMYFUNCTION("SPLIT(I3904,""/"")"),27.0)</f>
        <v>27</v>
      </c>
      <c r="K3904" s="308">
        <f>IFERROR(__xludf.DUMMYFUNCTION("""COMPUTED_VALUE"""),5.0)</f>
        <v>5</v>
      </c>
      <c r="L3904" s="308">
        <f>IFERROR(__xludf.DUMMYFUNCTION("""COMPUTED_VALUE"""),2016.0)</f>
        <v>2016</v>
      </c>
      <c r="M3904" s="308" t="s">
        <v>15991</v>
      </c>
      <c r="N3904" s="308"/>
      <c r="O3904" s="308"/>
      <c r="P3904" s="308" t="s">
        <v>37296</v>
      </c>
      <c r="Q3904" s="308" t="s">
        <v>37295</v>
      </c>
      <c r="R3904" s="308" t="s">
        <v>2743</v>
      </c>
      <c r="S3904" s="308" t="s">
        <v>49</v>
      </c>
      <c r="T3904" s="308" t="s">
        <v>51</v>
      </c>
      <c r="U3904" s="308" t="s">
        <v>149</v>
      </c>
      <c r="V3904" s="312"/>
    </row>
    <row r="3905">
      <c r="A3905" s="308">
        <v>3904.0</v>
      </c>
      <c r="B3905" s="308"/>
      <c r="C3905" s="308" t="s">
        <v>15993</v>
      </c>
      <c r="D3905" s="308">
        <f>IFERROR(__xludf.DUMMYFUNCTION("SPLIT(C3905,""-"")"),3925.0)</f>
        <v>3925</v>
      </c>
      <c r="E3905" s="308" t="str">
        <f>IFERROR(__xludf.DUMMYFUNCTION("""COMPUTED_VALUE"""),"P")</f>
        <v>P</v>
      </c>
      <c r="F3905" s="312" t="s">
        <v>37</v>
      </c>
      <c r="G3905" s="308"/>
      <c r="H3905" s="308" t="s">
        <v>15994</v>
      </c>
      <c r="I3905" s="314">
        <v>42349.0</v>
      </c>
      <c r="J3905" s="319">
        <f>IFERROR(__xludf.DUMMYFUNCTION("SPLIT(I3905,""/"")"),11.0)</f>
        <v>11</v>
      </c>
      <c r="K3905" s="308">
        <f>IFERROR(__xludf.DUMMYFUNCTION("""COMPUTED_VALUE"""),12.0)</f>
        <v>12</v>
      </c>
      <c r="L3905" s="308">
        <f>IFERROR(__xludf.DUMMYFUNCTION("""COMPUTED_VALUE"""),2015.0)</f>
        <v>2015</v>
      </c>
      <c r="M3905" s="308" t="s">
        <v>15995</v>
      </c>
      <c r="N3905" s="308"/>
      <c r="O3905" s="308"/>
      <c r="P3905" s="308" t="s">
        <v>15996</v>
      </c>
      <c r="Q3905" s="308" t="s">
        <v>37295</v>
      </c>
      <c r="R3905" s="308" t="s">
        <v>2743</v>
      </c>
      <c r="S3905" s="308" t="s">
        <v>81</v>
      </c>
      <c r="T3905" s="311" t="s">
        <v>75</v>
      </c>
      <c r="U3905" s="308" t="s">
        <v>149</v>
      </c>
      <c r="V3905" s="312"/>
    </row>
    <row r="3906">
      <c r="A3906" s="308">
        <v>3905.0</v>
      </c>
      <c r="B3906" s="308"/>
      <c r="C3906" s="308" t="s">
        <v>15997</v>
      </c>
      <c r="D3906" s="308">
        <f>IFERROR(__xludf.DUMMYFUNCTION("SPLIT(C3906,""-"")"),3926.0)</f>
        <v>3926</v>
      </c>
      <c r="E3906" s="308" t="str">
        <f>IFERROR(__xludf.DUMMYFUNCTION("""COMPUTED_VALUE"""),"K")</f>
        <v>K</v>
      </c>
      <c r="F3906" s="309" t="s">
        <v>34</v>
      </c>
      <c r="G3906" s="308"/>
      <c r="H3906" s="308" t="s">
        <v>15998</v>
      </c>
      <c r="I3906" s="310">
        <v>42773.0</v>
      </c>
      <c r="J3906" s="319" t="str">
        <f>IFERROR(__xludf.DUMMYFUNCTION("SPLIT(I3906,""/"")"),"#REF!")</f>
        <v>#REF!</v>
      </c>
      <c r="K3906" s="308"/>
      <c r="L3906" s="308">
        <v>2017.0</v>
      </c>
      <c r="M3906" s="308" t="s">
        <v>15999</v>
      </c>
      <c r="N3906" s="308"/>
      <c r="O3906" s="308"/>
      <c r="P3906" s="308" t="s">
        <v>16000</v>
      </c>
      <c r="Q3906" s="308" t="s">
        <v>37297</v>
      </c>
      <c r="R3906" s="308" t="s">
        <v>14256</v>
      </c>
      <c r="S3906" s="308" t="s">
        <v>81</v>
      </c>
      <c r="T3906" s="311" t="s">
        <v>90</v>
      </c>
      <c r="U3906" s="308"/>
      <c r="V3906" s="312"/>
    </row>
    <row r="3907">
      <c r="A3907" s="308">
        <v>3906.0</v>
      </c>
      <c r="B3907" s="308"/>
      <c r="C3907" s="308" t="s">
        <v>16001</v>
      </c>
      <c r="D3907" s="308">
        <f>IFERROR(__xludf.DUMMYFUNCTION("SPLIT(C3907,""-"")"),3927.0)</f>
        <v>3927</v>
      </c>
      <c r="E3907" s="308" t="str">
        <f>IFERROR(__xludf.DUMMYFUNCTION("""COMPUTED_VALUE"""),"K")</f>
        <v>K</v>
      </c>
      <c r="F3907" s="309" t="s">
        <v>34</v>
      </c>
      <c r="G3907" s="308"/>
      <c r="H3907" s="308" t="s">
        <v>16002</v>
      </c>
      <c r="I3907" s="314">
        <v>42717.0</v>
      </c>
      <c r="J3907" s="319">
        <f>IFERROR(__xludf.DUMMYFUNCTION("SPLIT(I3907,""/"")"),13.0)</f>
        <v>13</v>
      </c>
      <c r="K3907" s="308">
        <f>IFERROR(__xludf.DUMMYFUNCTION("""COMPUTED_VALUE"""),12.0)</f>
        <v>12</v>
      </c>
      <c r="L3907" s="308">
        <f>IFERROR(__xludf.DUMMYFUNCTION("""COMPUTED_VALUE"""),2016.0)</f>
        <v>2016</v>
      </c>
      <c r="M3907" s="308" t="s">
        <v>16003</v>
      </c>
      <c r="N3907" s="308"/>
      <c r="O3907" s="308"/>
      <c r="P3907" s="308" t="s">
        <v>37298</v>
      </c>
      <c r="Q3907" s="308" t="s">
        <v>37297</v>
      </c>
      <c r="R3907" s="308" t="s">
        <v>14256</v>
      </c>
      <c r="S3907" s="308" t="s">
        <v>81</v>
      </c>
      <c r="T3907" s="308" t="s">
        <v>75</v>
      </c>
      <c r="U3907" s="308" t="s">
        <v>542</v>
      </c>
      <c r="V3907" s="312"/>
    </row>
    <row r="3908">
      <c r="A3908" s="308">
        <v>3907.0</v>
      </c>
      <c r="B3908" s="308"/>
      <c r="C3908" s="308" t="s">
        <v>16005</v>
      </c>
      <c r="D3908" s="308">
        <f>IFERROR(__xludf.DUMMYFUNCTION("SPLIT(C3908,""-"")"),3928.0)</f>
        <v>3928</v>
      </c>
      <c r="E3908" s="308" t="str">
        <f>IFERROR(__xludf.DUMMYFUNCTION("""COMPUTED_VALUE"""),"F")</f>
        <v>F</v>
      </c>
      <c r="F3908" s="309" t="s">
        <v>34</v>
      </c>
      <c r="G3908" s="308"/>
      <c r="H3908" s="308" t="s">
        <v>16006</v>
      </c>
      <c r="I3908" s="310">
        <v>42768.0</v>
      </c>
      <c r="J3908" s="319" t="str">
        <f>IFERROR(__xludf.DUMMYFUNCTION("SPLIT(I3908,""/"")"),"#REF!")</f>
        <v>#REF!</v>
      </c>
      <c r="K3908" s="308"/>
      <c r="L3908" s="308">
        <v>2017.0</v>
      </c>
      <c r="M3908" s="308" t="s">
        <v>16007</v>
      </c>
      <c r="N3908" s="308"/>
      <c r="O3908" s="308"/>
      <c r="P3908" s="308" t="s">
        <v>16008</v>
      </c>
      <c r="Q3908" s="308" t="s">
        <v>37297</v>
      </c>
      <c r="R3908" s="308" t="s">
        <v>14256</v>
      </c>
      <c r="S3908" s="308" t="s">
        <v>81</v>
      </c>
      <c r="T3908" s="308" t="s">
        <v>75</v>
      </c>
      <c r="U3908" s="308" t="s">
        <v>195</v>
      </c>
      <c r="V3908" s="312"/>
    </row>
    <row r="3909">
      <c r="A3909" s="308">
        <v>3908.0</v>
      </c>
      <c r="B3909" s="308"/>
      <c r="C3909" s="308" t="s">
        <v>16009</v>
      </c>
      <c r="D3909" s="308">
        <f>IFERROR(__xludf.DUMMYFUNCTION("SPLIT(C3909,""-"")"),3929.0)</f>
        <v>3929</v>
      </c>
      <c r="E3909" s="308" t="str">
        <f>IFERROR(__xludf.DUMMYFUNCTION("""COMPUTED_VALUE"""),"F")</f>
        <v>F</v>
      </c>
      <c r="F3909" s="309" t="s">
        <v>34</v>
      </c>
      <c r="G3909" s="308"/>
      <c r="H3909" s="308" t="s">
        <v>37299</v>
      </c>
      <c r="I3909" s="314">
        <v>42720.0</v>
      </c>
      <c r="J3909" s="319">
        <f>IFERROR(__xludf.DUMMYFUNCTION("SPLIT(I3909,""/"")"),16.0)</f>
        <v>16</v>
      </c>
      <c r="K3909" s="308">
        <f>IFERROR(__xludf.DUMMYFUNCTION("""COMPUTED_VALUE"""),12.0)</f>
        <v>12</v>
      </c>
      <c r="L3909" s="308">
        <f>IFERROR(__xludf.DUMMYFUNCTION("""COMPUTED_VALUE"""),2016.0)</f>
        <v>2016</v>
      </c>
      <c r="M3909" s="308" t="s">
        <v>16011</v>
      </c>
      <c r="N3909" s="308"/>
      <c r="O3909" s="308"/>
      <c r="P3909" s="308" t="s">
        <v>37300</v>
      </c>
      <c r="Q3909" s="308" t="s">
        <v>37297</v>
      </c>
      <c r="R3909" s="308" t="s">
        <v>14256</v>
      </c>
      <c r="S3909" s="308" t="s">
        <v>81</v>
      </c>
      <c r="T3909" s="308" t="s">
        <v>75</v>
      </c>
      <c r="U3909" s="308" t="s">
        <v>195</v>
      </c>
      <c r="V3909" s="312"/>
    </row>
    <row r="3910">
      <c r="A3910" s="308">
        <v>3909.0</v>
      </c>
      <c r="B3910" s="308"/>
      <c r="C3910" s="308" t="s">
        <v>16013</v>
      </c>
      <c r="D3910" s="308">
        <f>IFERROR(__xludf.DUMMYFUNCTION("SPLIT(C3910,""-"")"),3930.0)</f>
        <v>3930</v>
      </c>
      <c r="E3910" s="308" t="str">
        <f>IFERROR(__xludf.DUMMYFUNCTION("""COMPUTED_VALUE"""),"P")</f>
        <v>P</v>
      </c>
      <c r="F3910" s="312" t="s">
        <v>37</v>
      </c>
      <c r="G3910" s="308"/>
      <c r="H3910" s="308" t="s">
        <v>16014</v>
      </c>
      <c r="I3910" s="310">
        <v>42808.0</v>
      </c>
      <c r="J3910" s="319">
        <f>IFERROR(__xludf.DUMMYFUNCTION("SPLIT(I3910,""/"")"),14.0)</f>
        <v>14</v>
      </c>
      <c r="K3910" s="308">
        <f>IFERROR(__xludf.DUMMYFUNCTION("""COMPUTED_VALUE"""),3.0)</f>
        <v>3</v>
      </c>
      <c r="L3910" s="308">
        <f>IFERROR(__xludf.DUMMYFUNCTION("""COMPUTED_VALUE"""),2017.0)</f>
        <v>2017</v>
      </c>
      <c r="M3910" s="308" t="s">
        <v>16015</v>
      </c>
      <c r="N3910" s="308"/>
      <c r="O3910" s="308"/>
      <c r="P3910" s="308" t="s">
        <v>37301</v>
      </c>
      <c r="Q3910" s="308" t="s">
        <v>37297</v>
      </c>
      <c r="R3910" s="308" t="s">
        <v>2743</v>
      </c>
      <c r="S3910" s="308" t="s">
        <v>81</v>
      </c>
      <c r="T3910" s="308" t="s">
        <v>75</v>
      </c>
      <c r="U3910" s="308" t="s">
        <v>2527</v>
      </c>
      <c r="V3910" s="312"/>
    </row>
    <row r="3911">
      <c r="A3911" s="308">
        <v>3910.0</v>
      </c>
      <c r="B3911" s="308"/>
      <c r="C3911" s="308" t="s">
        <v>16017</v>
      </c>
      <c r="D3911" s="308">
        <f>IFERROR(__xludf.DUMMYFUNCTION("SPLIT(C3911,""-"")"),3931.0)</f>
        <v>3931</v>
      </c>
      <c r="E3911" s="308" t="str">
        <f>IFERROR(__xludf.DUMMYFUNCTION("""COMPUTED_VALUE"""),"K")</f>
        <v>K</v>
      </c>
      <c r="F3911" s="309" t="s">
        <v>34</v>
      </c>
      <c r="G3911" s="308"/>
      <c r="H3911" s="308" t="s">
        <v>16018</v>
      </c>
      <c r="I3911" s="310">
        <v>42517.0</v>
      </c>
      <c r="J3911" s="319">
        <f>IFERROR(__xludf.DUMMYFUNCTION("SPLIT(I3911,""/"")"),27.0)</f>
        <v>27</v>
      </c>
      <c r="K3911" s="308">
        <f>IFERROR(__xludf.DUMMYFUNCTION("""COMPUTED_VALUE"""),5.0)</f>
        <v>5</v>
      </c>
      <c r="L3911" s="308">
        <f>IFERROR(__xludf.DUMMYFUNCTION("""COMPUTED_VALUE"""),2016.0)</f>
        <v>2016</v>
      </c>
      <c r="M3911" s="308" t="s">
        <v>16019</v>
      </c>
      <c r="N3911" s="308"/>
      <c r="O3911" s="308"/>
      <c r="P3911" s="308" t="s">
        <v>37302</v>
      </c>
      <c r="Q3911" s="308" t="s">
        <v>37297</v>
      </c>
      <c r="R3911" s="308" t="s">
        <v>2743</v>
      </c>
      <c r="S3911" s="308" t="s">
        <v>81</v>
      </c>
      <c r="T3911" s="308" t="s">
        <v>75</v>
      </c>
      <c r="U3911" s="308" t="s">
        <v>530</v>
      </c>
      <c r="V3911" s="312"/>
    </row>
    <row r="3912">
      <c r="A3912" s="308">
        <v>3911.0</v>
      </c>
      <c r="B3912" s="308"/>
      <c r="C3912" s="308" t="s">
        <v>16021</v>
      </c>
      <c r="D3912" s="308">
        <f>IFERROR(__xludf.DUMMYFUNCTION("SPLIT(C3912,""-"")"),3932.0)</f>
        <v>3932</v>
      </c>
      <c r="E3912" s="308" t="str">
        <f>IFERROR(__xludf.DUMMYFUNCTION("""COMPUTED_VALUE"""),"K")</f>
        <v>K</v>
      </c>
      <c r="F3912" s="309" t="s">
        <v>34</v>
      </c>
      <c r="G3912" s="308"/>
      <c r="H3912" s="308" t="s">
        <v>16022</v>
      </c>
      <c r="I3912" s="310">
        <v>42783.0</v>
      </c>
      <c r="J3912" s="319" t="str">
        <f>IFERROR(__xludf.DUMMYFUNCTION("SPLIT(I3912,""/"")"),"#REF!")</f>
        <v>#REF!</v>
      </c>
      <c r="K3912" s="308"/>
      <c r="L3912" s="308">
        <v>2017.0</v>
      </c>
      <c r="M3912" s="308" t="s">
        <v>16023</v>
      </c>
      <c r="N3912" s="308"/>
      <c r="O3912" s="308"/>
      <c r="P3912" s="308" t="s">
        <v>16024</v>
      </c>
      <c r="Q3912" s="308" t="s">
        <v>37297</v>
      </c>
      <c r="R3912" s="308" t="s">
        <v>2743</v>
      </c>
      <c r="S3912" s="308" t="s">
        <v>81</v>
      </c>
      <c r="T3912" s="308" t="s">
        <v>75</v>
      </c>
      <c r="U3912" s="308" t="s">
        <v>542</v>
      </c>
      <c r="V3912" s="312"/>
    </row>
    <row r="3913">
      <c r="A3913" s="308">
        <v>3912.0</v>
      </c>
      <c r="B3913" s="308"/>
      <c r="C3913" s="308" t="s">
        <v>16025</v>
      </c>
      <c r="D3913" s="308">
        <f>IFERROR(__xludf.DUMMYFUNCTION("SPLIT(C3913,""-"")"),3933.0)</f>
        <v>3933</v>
      </c>
      <c r="E3913" s="308" t="str">
        <f>IFERROR(__xludf.DUMMYFUNCTION("""COMPUTED_VALUE"""),"P")</f>
        <v>P</v>
      </c>
      <c r="F3913" s="312" t="s">
        <v>37</v>
      </c>
      <c r="G3913" s="308"/>
      <c r="H3913" s="308" t="s">
        <v>16026</v>
      </c>
      <c r="I3913" s="310">
        <v>42639.0</v>
      </c>
      <c r="J3913" s="319">
        <f>IFERROR(__xludf.DUMMYFUNCTION("SPLIT(I3913,""/"")"),26.0)</f>
        <v>26</v>
      </c>
      <c r="K3913" s="308">
        <f>IFERROR(__xludf.DUMMYFUNCTION("""COMPUTED_VALUE"""),9.0)</f>
        <v>9</v>
      </c>
      <c r="L3913" s="308">
        <f>IFERROR(__xludf.DUMMYFUNCTION("""COMPUTED_VALUE"""),2016.0)</f>
        <v>2016</v>
      </c>
      <c r="M3913" s="308" t="s">
        <v>16027</v>
      </c>
      <c r="N3913" s="308"/>
      <c r="O3913" s="308"/>
      <c r="P3913" s="308" t="s">
        <v>16028</v>
      </c>
      <c r="Q3913" s="308" t="s">
        <v>37303</v>
      </c>
      <c r="R3913" s="308" t="s">
        <v>2743</v>
      </c>
      <c r="S3913" s="308" t="s">
        <v>81</v>
      </c>
      <c r="T3913" s="308" t="s">
        <v>75</v>
      </c>
      <c r="U3913" s="308" t="s">
        <v>1910</v>
      </c>
      <c r="V3913" s="312"/>
    </row>
    <row r="3914">
      <c r="A3914" s="308">
        <v>3913.0</v>
      </c>
      <c r="B3914" s="308"/>
      <c r="C3914" s="308" t="s">
        <v>16029</v>
      </c>
      <c r="D3914" s="308">
        <f>IFERROR(__xludf.DUMMYFUNCTION("SPLIT(C3914,""-"")"),3934.0)</f>
        <v>3934</v>
      </c>
      <c r="E3914" s="308" t="str">
        <f>IFERROR(__xludf.DUMMYFUNCTION("""COMPUTED_VALUE"""),"K")</f>
        <v>K</v>
      </c>
      <c r="F3914" s="309" t="s">
        <v>34</v>
      </c>
      <c r="G3914" s="308"/>
      <c r="H3914" s="308" t="s">
        <v>16030</v>
      </c>
      <c r="I3914" s="310">
        <v>40219.0</v>
      </c>
      <c r="J3914" s="319">
        <f>IFERROR(__xludf.DUMMYFUNCTION("SPLIT(I3914,""/"")"),10.0)</f>
        <v>10</v>
      </c>
      <c r="K3914" s="308">
        <f>IFERROR(__xludf.DUMMYFUNCTION("""COMPUTED_VALUE"""),2.0)</f>
        <v>2</v>
      </c>
      <c r="L3914" s="308">
        <f>IFERROR(__xludf.DUMMYFUNCTION("""COMPUTED_VALUE"""),2010.0)</f>
        <v>2010</v>
      </c>
      <c r="M3914" s="308" t="s">
        <v>16031</v>
      </c>
      <c r="N3914" s="308"/>
      <c r="O3914" s="308"/>
      <c r="P3914" s="308" t="s">
        <v>37304</v>
      </c>
      <c r="Q3914" s="308" t="s">
        <v>37303</v>
      </c>
      <c r="R3914" s="308" t="s">
        <v>2743</v>
      </c>
      <c r="S3914" s="315" t="s">
        <v>100</v>
      </c>
      <c r="T3914" s="311" t="s">
        <v>34208</v>
      </c>
      <c r="U3914" s="308" t="s">
        <v>2989</v>
      </c>
      <c r="V3914" s="312"/>
    </row>
    <row r="3915">
      <c r="A3915" s="308">
        <v>3914.0</v>
      </c>
      <c r="B3915" s="308"/>
      <c r="C3915" s="308" t="s">
        <v>16032</v>
      </c>
      <c r="D3915" s="308">
        <f>IFERROR(__xludf.DUMMYFUNCTION("SPLIT(C3915,""-"")"),3935.0)</f>
        <v>3935</v>
      </c>
      <c r="E3915" s="308" t="str">
        <f>IFERROR(__xludf.DUMMYFUNCTION("""COMPUTED_VALUE"""),"K")</f>
        <v>K</v>
      </c>
      <c r="F3915" s="309" t="s">
        <v>34</v>
      </c>
      <c r="G3915" s="308"/>
      <c r="H3915" s="308" t="s">
        <v>16033</v>
      </c>
      <c r="I3915" s="310">
        <v>42266.0</v>
      </c>
      <c r="J3915" s="319">
        <f>IFERROR(__xludf.DUMMYFUNCTION("SPLIT(I3915,""/"")"),19.0)</f>
        <v>19</v>
      </c>
      <c r="K3915" s="308">
        <f>IFERROR(__xludf.DUMMYFUNCTION("""COMPUTED_VALUE"""),9.0)</f>
        <v>9</v>
      </c>
      <c r="L3915" s="308">
        <f>IFERROR(__xludf.DUMMYFUNCTION("""COMPUTED_VALUE"""),2015.0)</f>
        <v>2015</v>
      </c>
      <c r="M3915" s="308" t="s">
        <v>16034</v>
      </c>
      <c r="N3915" s="308"/>
      <c r="O3915" s="308" t="s">
        <v>16035</v>
      </c>
      <c r="P3915" s="308" t="s">
        <v>37273</v>
      </c>
      <c r="Q3915" s="308" t="s">
        <v>37303</v>
      </c>
      <c r="R3915" s="308" t="s">
        <v>2743</v>
      </c>
      <c r="S3915" s="315" t="s">
        <v>100</v>
      </c>
      <c r="T3915" s="311" t="s">
        <v>34208</v>
      </c>
      <c r="U3915" s="308" t="s">
        <v>368</v>
      </c>
      <c r="V3915" s="312"/>
    </row>
    <row r="3916">
      <c r="A3916" s="308">
        <v>3915.0</v>
      </c>
      <c r="B3916" s="308"/>
      <c r="C3916" s="308" t="s">
        <v>16036</v>
      </c>
      <c r="D3916" s="308">
        <f>IFERROR(__xludf.DUMMYFUNCTION("SPLIT(C3916,""-"")"),3936.0)</f>
        <v>3936</v>
      </c>
      <c r="E3916" s="308" t="str">
        <f>IFERROR(__xludf.DUMMYFUNCTION("""COMPUTED_VALUE"""),"S")</f>
        <v>S</v>
      </c>
      <c r="F3916" s="312" t="s">
        <v>39</v>
      </c>
      <c r="G3916" s="308"/>
      <c r="H3916" s="308" t="s">
        <v>16037</v>
      </c>
      <c r="I3916" s="310">
        <v>42558.0</v>
      </c>
      <c r="J3916" s="319">
        <f>IFERROR(__xludf.DUMMYFUNCTION("SPLIT(I3916,""/"")"),7.0)</f>
        <v>7</v>
      </c>
      <c r="K3916" s="308">
        <f>IFERROR(__xludf.DUMMYFUNCTION("""COMPUTED_VALUE"""),7.0)</f>
        <v>7</v>
      </c>
      <c r="L3916" s="308">
        <f>IFERROR(__xludf.DUMMYFUNCTION("""COMPUTED_VALUE"""),2016.0)</f>
        <v>2016</v>
      </c>
      <c r="M3916" s="308" t="s">
        <v>16038</v>
      </c>
      <c r="N3916" s="308"/>
      <c r="O3916" s="308"/>
      <c r="P3916" s="308" t="s">
        <v>16039</v>
      </c>
      <c r="Q3916" s="308" t="s">
        <v>37303</v>
      </c>
      <c r="R3916" s="308" t="s">
        <v>2743</v>
      </c>
      <c r="S3916" s="308" t="s">
        <v>81</v>
      </c>
      <c r="T3916" s="308" t="s">
        <v>75</v>
      </c>
      <c r="U3916" s="308" t="s">
        <v>166</v>
      </c>
      <c r="V3916" s="312"/>
    </row>
    <row r="3917">
      <c r="A3917" s="308">
        <v>3916.0</v>
      </c>
      <c r="B3917" s="308"/>
      <c r="C3917" s="308" t="s">
        <v>16040</v>
      </c>
      <c r="D3917" s="308">
        <f>IFERROR(__xludf.DUMMYFUNCTION("SPLIT(C3917,""-"")"),3937.0)</f>
        <v>3937</v>
      </c>
      <c r="E3917" s="308" t="str">
        <f>IFERROR(__xludf.DUMMYFUNCTION("""COMPUTED_VALUE"""),"K")</f>
        <v>K</v>
      </c>
      <c r="F3917" s="309" t="s">
        <v>34</v>
      </c>
      <c r="G3917" s="308"/>
      <c r="H3917" s="308" t="s">
        <v>37305</v>
      </c>
      <c r="I3917" s="310">
        <v>40944.0</v>
      </c>
      <c r="J3917" s="319">
        <f>IFERROR(__xludf.DUMMYFUNCTION("SPLIT(I3917,""/"")"),5.0)</f>
        <v>5</v>
      </c>
      <c r="K3917" s="308">
        <f>IFERROR(__xludf.DUMMYFUNCTION("""COMPUTED_VALUE"""),2.0)</f>
        <v>2</v>
      </c>
      <c r="L3917" s="308">
        <f>IFERROR(__xludf.DUMMYFUNCTION("""COMPUTED_VALUE"""),2012.0)</f>
        <v>2012</v>
      </c>
      <c r="M3917" s="308" t="s">
        <v>16042</v>
      </c>
      <c r="N3917" s="308"/>
      <c r="O3917" s="308"/>
      <c r="P3917" s="308" t="s">
        <v>37306</v>
      </c>
      <c r="Q3917" s="308" t="s">
        <v>37303</v>
      </c>
      <c r="R3917" s="308" t="s">
        <v>2743</v>
      </c>
      <c r="S3917" s="311" t="s">
        <v>49</v>
      </c>
      <c r="T3917" s="311" t="s">
        <v>51</v>
      </c>
      <c r="U3917" s="308" t="s">
        <v>125</v>
      </c>
      <c r="V3917" s="312"/>
    </row>
    <row r="3918">
      <c r="A3918" s="308">
        <v>3917.0</v>
      </c>
      <c r="B3918" s="308"/>
      <c r="C3918" s="308" t="s">
        <v>16044</v>
      </c>
      <c r="D3918" s="308">
        <f>IFERROR(__xludf.DUMMYFUNCTION("SPLIT(C3918,""-"")"),3938.0)</f>
        <v>3938</v>
      </c>
      <c r="E3918" s="308" t="str">
        <f>IFERROR(__xludf.DUMMYFUNCTION("""COMPUTED_VALUE"""),"K")</f>
        <v>K</v>
      </c>
      <c r="F3918" s="309" t="s">
        <v>34</v>
      </c>
      <c r="G3918" s="308"/>
      <c r="H3918" s="308" t="s">
        <v>16045</v>
      </c>
      <c r="I3918" s="314">
        <v>42704.0</v>
      </c>
      <c r="J3918" s="319">
        <f>IFERROR(__xludf.DUMMYFUNCTION("SPLIT(I3918,""/"")"),30.0)</f>
        <v>30</v>
      </c>
      <c r="K3918" s="308">
        <f>IFERROR(__xludf.DUMMYFUNCTION("""COMPUTED_VALUE"""),11.0)</f>
        <v>11</v>
      </c>
      <c r="L3918" s="308">
        <f>IFERROR(__xludf.DUMMYFUNCTION("""COMPUTED_VALUE"""),2016.0)</f>
        <v>2016</v>
      </c>
      <c r="M3918" s="308" t="s">
        <v>16046</v>
      </c>
      <c r="N3918" s="308"/>
      <c r="O3918" s="308" t="s">
        <v>16047</v>
      </c>
      <c r="P3918" s="308" t="s">
        <v>37249</v>
      </c>
      <c r="Q3918" s="308" t="s">
        <v>37307</v>
      </c>
      <c r="R3918" s="308" t="s">
        <v>2743</v>
      </c>
      <c r="S3918" s="315" t="s">
        <v>100</v>
      </c>
      <c r="T3918" s="311" t="s">
        <v>34208</v>
      </c>
      <c r="U3918" s="308" t="s">
        <v>4749</v>
      </c>
      <c r="V3918" s="312"/>
    </row>
    <row r="3919">
      <c r="A3919" s="308">
        <v>3918.0</v>
      </c>
      <c r="B3919" s="308"/>
      <c r="C3919" s="308" t="s">
        <v>16048</v>
      </c>
      <c r="D3919" s="308">
        <f>IFERROR(__xludf.DUMMYFUNCTION("SPLIT(C3919,""-"")"),3939.0)</f>
        <v>3939</v>
      </c>
      <c r="E3919" s="308" t="str">
        <f>IFERROR(__xludf.DUMMYFUNCTION("""COMPUTED_VALUE"""),"P")</f>
        <v>P</v>
      </c>
      <c r="F3919" s="312" t="s">
        <v>37</v>
      </c>
      <c r="G3919" s="308"/>
      <c r="H3919" s="308" t="s">
        <v>16049</v>
      </c>
      <c r="I3919" s="310">
        <v>42634.0</v>
      </c>
      <c r="J3919" s="319">
        <f>IFERROR(__xludf.DUMMYFUNCTION("SPLIT(I3919,""/"")"),21.0)</f>
        <v>21</v>
      </c>
      <c r="K3919" s="308">
        <f>IFERROR(__xludf.DUMMYFUNCTION("""COMPUTED_VALUE"""),9.0)</f>
        <v>9</v>
      </c>
      <c r="L3919" s="308">
        <f>IFERROR(__xludf.DUMMYFUNCTION("""COMPUTED_VALUE"""),2016.0)</f>
        <v>2016</v>
      </c>
      <c r="M3919" s="308" t="s">
        <v>37308</v>
      </c>
      <c r="N3919" s="308"/>
      <c r="O3919" s="308"/>
      <c r="P3919" s="308" t="s">
        <v>15544</v>
      </c>
      <c r="Q3919" s="308" t="s">
        <v>37309</v>
      </c>
      <c r="R3919" s="308" t="s">
        <v>2743</v>
      </c>
      <c r="S3919" s="308" t="s">
        <v>81</v>
      </c>
      <c r="T3919" s="308" t="s">
        <v>75</v>
      </c>
      <c r="U3919" s="308" t="s">
        <v>2748</v>
      </c>
      <c r="V3919" s="312"/>
    </row>
    <row r="3920">
      <c r="A3920" s="308">
        <v>3919.0</v>
      </c>
      <c r="B3920" s="308"/>
      <c r="C3920" s="308" t="s">
        <v>16051</v>
      </c>
      <c r="D3920" s="308">
        <f>IFERROR(__xludf.DUMMYFUNCTION("SPLIT(C3920,""-"")"),3940.0)</f>
        <v>3940</v>
      </c>
      <c r="E3920" s="308" t="str">
        <f>IFERROR(__xludf.DUMMYFUNCTION("""COMPUTED_VALUE"""),"P")</f>
        <v>P</v>
      </c>
      <c r="F3920" s="312" t="s">
        <v>37</v>
      </c>
      <c r="G3920" s="308"/>
      <c r="H3920" s="308" t="s">
        <v>16052</v>
      </c>
      <c r="I3920" s="310">
        <v>42479.0</v>
      </c>
      <c r="J3920" s="319">
        <f>IFERROR(__xludf.DUMMYFUNCTION("SPLIT(I3920,""/"")"),19.0)</f>
        <v>19</v>
      </c>
      <c r="K3920" s="308">
        <f>IFERROR(__xludf.DUMMYFUNCTION("""COMPUTED_VALUE"""),4.0)</f>
        <v>4</v>
      </c>
      <c r="L3920" s="308">
        <f>IFERROR(__xludf.DUMMYFUNCTION("""COMPUTED_VALUE"""),2016.0)</f>
        <v>2016</v>
      </c>
      <c r="M3920" s="308" t="s">
        <v>16053</v>
      </c>
      <c r="N3920" s="308"/>
      <c r="O3920" s="308"/>
      <c r="P3920" s="308" t="s">
        <v>37310</v>
      </c>
      <c r="Q3920" s="308" t="s">
        <v>37309</v>
      </c>
      <c r="R3920" s="308" t="s">
        <v>2743</v>
      </c>
      <c r="S3920" s="308" t="s">
        <v>81</v>
      </c>
      <c r="T3920" s="308" t="s">
        <v>75</v>
      </c>
      <c r="U3920" s="308" t="s">
        <v>3407</v>
      </c>
      <c r="V3920" s="312"/>
    </row>
    <row r="3921">
      <c r="A3921" s="308">
        <v>3920.0</v>
      </c>
      <c r="B3921" s="308"/>
      <c r="C3921" s="308" t="s">
        <v>16055</v>
      </c>
      <c r="D3921" s="308">
        <f>IFERROR(__xludf.DUMMYFUNCTION("SPLIT(C3921,""-"")"),3941.0)</f>
        <v>3941</v>
      </c>
      <c r="E3921" s="308" t="str">
        <f>IFERROR(__xludf.DUMMYFUNCTION("""COMPUTED_VALUE"""),"K")</f>
        <v>K</v>
      </c>
      <c r="F3921" s="309" t="s">
        <v>34</v>
      </c>
      <c r="G3921" s="308"/>
      <c r="H3921" s="308" t="s">
        <v>16056</v>
      </c>
      <c r="I3921" s="325">
        <v>40634.0</v>
      </c>
      <c r="J3921" s="319"/>
      <c r="K3921" s="311">
        <v>4.0</v>
      </c>
      <c r="L3921" s="311">
        <v>2011.0</v>
      </c>
      <c r="M3921" s="308" t="s">
        <v>16057</v>
      </c>
      <c r="N3921" s="308"/>
      <c r="O3921" s="308"/>
      <c r="P3921" s="308" t="s">
        <v>16058</v>
      </c>
      <c r="Q3921" s="308" t="s">
        <v>37309</v>
      </c>
      <c r="R3921" s="308" t="s">
        <v>2743</v>
      </c>
      <c r="S3921" s="308" t="s">
        <v>81</v>
      </c>
      <c r="T3921" s="308" t="s">
        <v>34264</v>
      </c>
      <c r="U3921" s="308" t="s">
        <v>125</v>
      </c>
      <c r="V3921" s="312"/>
    </row>
    <row r="3922">
      <c r="A3922" s="308">
        <v>3921.0</v>
      </c>
      <c r="B3922" s="308"/>
      <c r="C3922" s="308" t="s">
        <v>16059</v>
      </c>
      <c r="D3922" s="308">
        <f>IFERROR(__xludf.DUMMYFUNCTION("SPLIT(C3922,""-"")"),3942.0)</f>
        <v>3942</v>
      </c>
      <c r="E3922" s="308" t="str">
        <f>IFERROR(__xludf.DUMMYFUNCTION("""COMPUTED_VALUE"""),"K")</f>
        <v>K</v>
      </c>
      <c r="F3922" s="309" t="s">
        <v>34</v>
      </c>
      <c r="G3922" s="308"/>
      <c r="H3922" s="308" t="s">
        <v>16060</v>
      </c>
      <c r="I3922" s="325">
        <v>40634.0</v>
      </c>
      <c r="J3922" s="319"/>
      <c r="K3922" s="311">
        <v>4.0</v>
      </c>
      <c r="L3922" s="311">
        <v>2011.0</v>
      </c>
      <c r="M3922" s="308" t="s">
        <v>16057</v>
      </c>
      <c r="N3922" s="308"/>
      <c r="O3922" s="308"/>
      <c r="P3922" s="308" t="s">
        <v>37311</v>
      </c>
      <c r="Q3922" s="308" t="s">
        <v>37309</v>
      </c>
      <c r="R3922" s="308" t="s">
        <v>2743</v>
      </c>
      <c r="S3922" s="308" t="s">
        <v>81</v>
      </c>
      <c r="T3922" s="308" t="s">
        <v>73</v>
      </c>
      <c r="U3922" s="308" t="s">
        <v>368</v>
      </c>
      <c r="V3922" s="312"/>
    </row>
    <row r="3923">
      <c r="A3923" s="308">
        <v>3922.0</v>
      </c>
      <c r="B3923" s="308"/>
      <c r="C3923" s="308" t="s">
        <v>16062</v>
      </c>
      <c r="D3923" s="308">
        <f>IFERROR(__xludf.DUMMYFUNCTION("SPLIT(C3923,""-"")"),3943.0)</f>
        <v>3943</v>
      </c>
      <c r="E3923" s="308" t="str">
        <f>IFERROR(__xludf.DUMMYFUNCTION("""COMPUTED_VALUE"""),"K")</f>
        <v>K</v>
      </c>
      <c r="F3923" s="309" t="s">
        <v>34</v>
      </c>
      <c r="G3923" s="308"/>
      <c r="H3923" s="308" t="s">
        <v>16063</v>
      </c>
      <c r="I3923" s="310">
        <v>39849.0</v>
      </c>
      <c r="J3923" s="319">
        <f>IFERROR(__xludf.DUMMYFUNCTION("SPLIT(I3923,""/"")"),5.0)</f>
        <v>5</v>
      </c>
      <c r="K3923" s="308">
        <f>IFERROR(__xludf.DUMMYFUNCTION("""COMPUTED_VALUE"""),2.0)</f>
        <v>2</v>
      </c>
      <c r="L3923" s="308">
        <f>IFERROR(__xludf.DUMMYFUNCTION("""COMPUTED_VALUE"""),2009.0)</f>
        <v>2009</v>
      </c>
      <c r="M3923" s="308" t="s">
        <v>16064</v>
      </c>
      <c r="N3923" s="308" t="s">
        <v>439</v>
      </c>
      <c r="O3923" s="308" t="s">
        <v>16065</v>
      </c>
      <c r="P3923" s="308" t="s">
        <v>37128</v>
      </c>
      <c r="Q3923" s="308" t="s">
        <v>37309</v>
      </c>
      <c r="R3923" s="308" t="s">
        <v>2743</v>
      </c>
      <c r="S3923" s="315" t="s">
        <v>100</v>
      </c>
      <c r="T3923" s="311" t="s">
        <v>34208</v>
      </c>
      <c r="U3923" s="308" t="s">
        <v>530</v>
      </c>
      <c r="V3923" s="312"/>
    </row>
    <row r="3924">
      <c r="A3924" s="308">
        <v>3923.0</v>
      </c>
      <c r="B3924" s="308"/>
      <c r="C3924" s="308" t="s">
        <v>16066</v>
      </c>
      <c r="D3924" s="308">
        <f>IFERROR(__xludf.DUMMYFUNCTION("SPLIT(C3924,""-"")"),3944.0)</f>
        <v>3944</v>
      </c>
      <c r="E3924" s="308" t="str">
        <f>IFERROR(__xludf.DUMMYFUNCTION("""COMPUTED_VALUE"""),"P")</f>
        <v>P</v>
      </c>
      <c r="F3924" s="312" t="s">
        <v>37</v>
      </c>
      <c r="G3924" s="308"/>
      <c r="H3924" s="308" t="s">
        <v>16067</v>
      </c>
      <c r="I3924" s="310">
        <v>42799.0</v>
      </c>
      <c r="J3924" s="319">
        <f>IFERROR(__xludf.DUMMYFUNCTION("SPLIT(I3924,""/"")"),5.0)</f>
        <v>5</v>
      </c>
      <c r="K3924" s="308">
        <f>IFERROR(__xludf.DUMMYFUNCTION("""COMPUTED_VALUE"""),3.0)</f>
        <v>3</v>
      </c>
      <c r="L3924" s="308">
        <f>IFERROR(__xludf.DUMMYFUNCTION("""COMPUTED_VALUE"""),2017.0)</f>
        <v>2017</v>
      </c>
      <c r="M3924" s="308" t="s">
        <v>16068</v>
      </c>
      <c r="N3924" s="308"/>
      <c r="O3924" s="308"/>
      <c r="P3924" s="308" t="s">
        <v>16069</v>
      </c>
      <c r="Q3924" s="308" t="s">
        <v>37312</v>
      </c>
      <c r="R3924" s="308" t="s">
        <v>14911</v>
      </c>
      <c r="S3924" s="308" t="s">
        <v>81</v>
      </c>
      <c r="T3924" s="308" t="s">
        <v>73</v>
      </c>
      <c r="U3924" s="308" t="s">
        <v>15586</v>
      </c>
      <c r="V3924" s="312"/>
    </row>
    <row r="3925">
      <c r="A3925" s="308">
        <v>3924.0</v>
      </c>
      <c r="B3925" s="308"/>
      <c r="C3925" s="308" t="s">
        <v>16070</v>
      </c>
      <c r="D3925" s="308">
        <f>IFERROR(__xludf.DUMMYFUNCTION("SPLIT(C3925,""-"")"),3945.0)</f>
        <v>3945</v>
      </c>
      <c r="E3925" s="308" t="str">
        <f>IFERROR(__xludf.DUMMYFUNCTION("""COMPUTED_VALUE"""),"K")</f>
        <v>K</v>
      </c>
      <c r="F3925" s="309" t="s">
        <v>34</v>
      </c>
      <c r="G3925" s="308"/>
      <c r="H3925" s="308" t="s">
        <v>16071</v>
      </c>
      <c r="I3925" s="316">
        <v>2010.0</v>
      </c>
      <c r="J3925" s="319"/>
      <c r="K3925" s="308"/>
      <c r="L3925" s="311">
        <v>2010.0</v>
      </c>
      <c r="M3925" s="308" t="s">
        <v>16072</v>
      </c>
      <c r="N3925" s="308"/>
      <c r="O3925" s="308"/>
      <c r="P3925" s="308" t="s">
        <v>16073</v>
      </c>
      <c r="Q3925" s="308" t="s">
        <v>37312</v>
      </c>
      <c r="R3925" s="308" t="s">
        <v>2743</v>
      </c>
      <c r="S3925" s="308" t="s">
        <v>81</v>
      </c>
      <c r="T3925" s="308" t="s">
        <v>34264</v>
      </c>
      <c r="U3925" s="308" t="s">
        <v>4487</v>
      </c>
      <c r="V3925" s="312"/>
    </row>
    <row r="3926">
      <c r="A3926" s="308">
        <v>3925.0</v>
      </c>
      <c r="B3926" s="308"/>
      <c r="C3926" s="308" t="s">
        <v>16074</v>
      </c>
      <c r="D3926" s="308">
        <f>IFERROR(__xludf.DUMMYFUNCTION("SPLIT(C3926,""-"")"),3946.0)</f>
        <v>3946</v>
      </c>
      <c r="E3926" s="308" t="str">
        <f>IFERROR(__xludf.DUMMYFUNCTION("""COMPUTED_VALUE"""),"P")</f>
        <v>P</v>
      </c>
      <c r="F3926" s="312" t="s">
        <v>37</v>
      </c>
      <c r="G3926" s="308"/>
      <c r="H3926" s="308" t="s">
        <v>16075</v>
      </c>
      <c r="I3926" s="310">
        <v>42799.0</v>
      </c>
      <c r="J3926" s="319">
        <f>IFERROR(__xludf.DUMMYFUNCTION("SPLIT(I3926,""/"")"),5.0)</f>
        <v>5</v>
      </c>
      <c r="K3926" s="308">
        <f>IFERROR(__xludf.DUMMYFUNCTION("""COMPUTED_VALUE"""),3.0)</f>
        <v>3</v>
      </c>
      <c r="L3926" s="308">
        <f>IFERROR(__xludf.DUMMYFUNCTION("""COMPUTED_VALUE"""),2017.0)</f>
        <v>2017</v>
      </c>
      <c r="M3926" s="308" t="s">
        <v>16076</v>
      </c>
      <c r="N3926" s="308"/>
      <c r="O3926" s="308"/>
      <c r="P3926" s="308" t="s">
        <v>16077</v>
      </c>
      <c r="Q3926" s="308" t="s">
        <v>37312</v>
      </c>
      <c r="R3926" s="308" t="s">
        <v>14911</v>
      </c>
      <c r="S3926" s="308" t="s">
        <v>81</v>
      </c>
      <c r="T3926" s="308" t="s">
        <v>73</v>
      </c>
      <c r="U3926" s="308" t="s">
        <v>2748</v>
      </c>
      <c r="V3926" s="312"/>
    </row>
    <row r="3927">
      <c r="A3927" s="308">
        <v>3926.0</v>
      </c>
      <c r="B3927" s="308"/>
      <c r="C3927" s="308" t="s">
        <v>16078</v>
      </c>
      <c r="D3927" s="308">
        <f>IFERROR(__xludf.DUMMYFUNCTION("SPLIT(C3927,""-"")"),3947.0)</f>
        <v>3947</v>
      </c>
      <c r="E3927" s="308" t="str">
        <f>IFERROR(__xludf.DUMMYFUNCTION("""COMPUTED_VALUE"""),"P")</f>
        <v>P</v>
      </c>
      <c r="F3927" s="312" t="s">
        <v>37</v>
      </c>
      <c r="G3927" s="308"/>
      <c r="H3927" s="308" t="s">
        <v>16079</v>
      </c>
      <c r="I3927" s="310">
        <v>42632.0</v>
      </c>
      <c r="J3927" s="319">
        <f>IFERROR(__xludf.DUMMYFUNCTION("SPLIT(I3927,""/"")"),19.0)</f>
        <v>19</v>
      </c>
      <c r="K3927" s="308">
        <f>IFERROR(__xludf.DUMMYFUNCTION("""COMPUTED_VALUE"""),9.0)</f>
        <v>9</v>
      </c>
      <c r="L3927" s="308">
        <f>IFERROR(__xludf.DUMMYFUNCTION("""COMPUTED_VALUE"""),2016.0)</f>
        <v>2016</v>
      </c>
      <c r="M3927" s="308" t="s">
        <v>16080</v>
      </c>
      <c r="N3927" s="308"/>
      <c r="O3927" s="308" t="s">
        <v>16081</v>
      </c>
      <c r="P3927" s="308" t="s">
        <v>37313</v>
      </c>
      <c r="Q3927" s="308" t="s">
        <v>37312</v>
      </c>
      <c r="R3927" s="308" t="s">
        <v>14911</v>
      </c>
      <c r="S3927" s="308" t="s">
        <v>81</v>
      </c>
      <c r="T3927" s="308" t="s">
        <v>75</v>
      </c>
      <c r="U3927" s="308" t="s">
        <v>2291</v>
      </c>
      <c r="V3927" s="312"/>
    </row>
    <row r="3928">
      <c r="A3928" s="308">
        <v>3927.0</v>
      </c>
      <c r="B3928" s="308"/>
      <c r="C3928" s="308" t="s">
        <v>16083</v>
      </c>
      <c r="D3928" s="308">
        <f>IFERROR(__xludf.DUMMYFUNCTION("SPLIT(C3928,""-"")"),3948.0)</f>
        <v>3948</v>
      </c>
      <c r="E3928" s="308" t="str">
        <f>IFERROR(__xludf.DUMMYFUNCTION("""COMPUTED_VALUE"""),"P")</f>
        <v>P</v>
      </c>
      <c r="F3928" s="312" t="s">
        <v>37</v>
      </c>
      <c r="G3928" s="308"/>
      <c r="H3928" s="308" t="s">
        <v>16084</v>
      </c>
      <c r="I3928" s="310">
        <v>42652.0</v>
      </c>
      <c r="J3928" s="319">
        <f>IFERROR(__xludf.DUMMYFUNCTION("SPLIT(I3928,""/"")"),9.0)</f>
        <v>9</v>
      </c>
      <c r="K3928" s="308">
        <f>IFERROR(__xludf.DUMMYFUNCTION("""COMPUTED_VALUE"""),10.0)</f>
        <v>10</v>
      </c>
      <c r="L3928" s="308">
        <f>IFERROR(__xludf.DUMMYFUNCTION("""COMPUTED_VALUE"""),2016.0)</f>
        <v>2016</v>
      </c>
      <c r="M3928" s="308" t="s">
        <v>16085</v>
      </c>
      <c r="N3928" s="308"/>
      <c r="O3928" s="308" t="s">
        <v>16086</v>
      </c>
      <c r="P3928" s="308" t="s">
        <v>37314</v>
      </c>
      <c r="Q3928" s="308" t="s">
        <v>37312</v>
      </c>
      <c r="R3928" s="308" t="s">
        <v>2743</v>
      </c>
      <c r="S3928" s="308" t="s">
        <v>49</v>
      </c>
      <c r="T3928" s="311" t="s">
        <v>51</v>
      </c>
      <c r="U3928" s="308" t="s">
        <v>2291</v>
      </c>
      <c r="V3928" s="308"/>
    </row>
    <row r="3929">
      <c r="A3929" s="308">
        <v>3928.0</v>
      </c>
      <c r="B3929" s="308"/>
      <c r="C3929" s="308" t="s">
        <v>16088</v>
      </c>
      <c r="D3929" s="308">
        <f>IFERROR(__xludf.DUMMYFUNCTION("SPLIT(C3929,""-"")"),3949.0)</f>
        <v>3949</v>
      </c>
      <c r="E3929" s="308" t="str">
        <f>IFERROR(__xludf.DUMMYFUNCTION("""COMPUTED_VALUE"""),"P")</f>
        <v>P</v>
      </c>
      <c r="F3929" s="312" t="s">
        <v>37</v>
      </c>
      <c r="G3929" s="308"/>
      <c r="H3929" s="308" t="s">
        <v>16089</v>
      </c>
      <c r="I3929" s="310">
        <v>42343.0</v>
      </c>
      <c r="J3929" s="319">
        <f>IFERROR(__xludf.DUMMYFUNCTION("SPLIT(I3929,""/"")"),5.0)</f>
        <v>5</v>
      </c>
      <c r="K3929" s="308">
        <f>IFERROR(__xludf.DUMMYFUNCTION("""COMPUTED_VALUE"""),12.0)</f>
        <v>12</v>
      </c>
      <c r="L3929" s="308">
        <f>IFERROR(__xludf.DUMMYFUNCTION("""COMPUTED_VALUE"""),2015.0)</f>
        <v>2015</v>
      </c>
      <c r="M3929" s="308" t="s">
        <v>16090</v>
      </c>
      <c r="N3929" s="308"/>
      <c r="O3929" s="308" t="s">
        <v>16091</v>
      </c>
      <c r="P3929" s="308" t="s">
        <v>9175</v>
      </c>
      <c r="Q3929" s="308" t="s">
        <v>37312</v>
      </c>
      <c r="R3929" s="308" t="s">
        <v>2743</v>
      </c>
      <c r="S3929" s="315" t="s">
        <v>100</v>
      </c>
      <c r="T3929" s="311" t="s">
        <v>34208</v>
      </c>
      <c r="U3929" s="308" t="s">
        <v>143</v>
      </c>
      <c r="V3929" s="312"/>
    </row>
    <row r="3930">
      <c r="A3930" s="308">
        <v>3929.0</v>
      </c>
      <c r="B3930" s="308"/>
      <c r="C3930" s="308" t="s">
        <v>16092</v>
      </c>
      <c r="D3930" s="308">
        <f>IFERROR(__xludf.DUMMYFUNCTION("SPLIT(C3930,""-"")"),3950.0)</f>
        <v>3950</v>
      </c>
      <c r="E3930" s="308" t="str">
        <f>IFERROR(__xludf.DUMMYFUNCTION("""COMPUTED_VALUE"""),"K")</f>
        <v>K</v>
      </c>
      <c r="F3930" s="309" t="s">
        <v>34</v>
      </c>
      <c r="G3930" s="308"/>
      <c r="H3930" s="308" t="s">
        <v>16093</v>
      </c>
      <c r="I3930" s="316">
        <v>2015.0</v>
      </c>
      <c r="J3930" s="319"/>
      <c r="K3930" s="308"/>
      <c r="L3930" s="311">
        <v>2015.0</v>
      </c>
      <c r="M3930" s="308" t="s">
        <v>16094</v>
      </c>
      <c r="N3930" s="308"/>
      <c r="O3930" s="308"/>
      <c r="P3930" s="308" t="s">
        <v>2872</v>
      </c>
      <c r="Q3930" s="308" t="s">
        <v>37315</v>
      </c>
      <c r="R3930" s="308" t="s">
        <v>2743</v>
      </c>
      <c r="S3930" s="315" t="s">
        <v>100</v>
      </c>
      <c r="T3930" s="311" t="s">
        <v>34208</v>
      </c>
      <c r="U3930" s="308" t="s">
        <v>125</v>
      </c>
      <c r="V3930" s="312"/>
    </row>
    <row r="3931">
      <c r="A3931" s="308">
        <v>3930.0</v>
      </c>
      <c r="B3931" s="308"/>
      <c r="C3931" s="308" t="s">
        <v>16095</v>
      </c>
      <c r="D3931" s="308">
        <f>IFERROR(__xludf.DUMMYFUNCTION("SPLIT(C3931,""-"")"),3951.0)</f>
        <v>3951</v>
      </c>
      <c r="E3931" s="308" t="str">
        <f>IFERROR(__xludf.DUMMYFUNCTION("""COMPUTED_VALUE"""),"P")</f>
        <v>P</v>
      </c>
      <c r="F3931" s="312" t="s">
        <v>37</v>
      </c>
      <c r="G3931" s="308"/>
      <c r="H3931" s="308" t="s">
        <v>16096</v>
      </c>
      <c r="I3931" s="314">
        <v>42354.0</v>
      </c>
      <c r="J3931" s="319">
        <f>IFERROR(__xludf.DUMMYFUNCTION("SPLIT(I3931,""/"")"),16.0)</f>
        <v>16</v>
      </c>
      <c r="K3931" s="308">
        <f>IFERROR(__xludf.DUMMYFUNCTION("""COMPUTED_VALUE"""),12.0)</f>
        <v>12</v>
      </c>
      <c r="L3931" s="308">
        <f>IFERROR(__xludf.DUMMYFUNCTION("""COMPUTED_VALUE"""),2015.0)</f>
        <v>2015</v>
      </c>
      <c r="M3931" s="308" t="s">
        <v>16097</v>
      </c>
      <c r="N3931" s="308"/>
      <c r="O3931" s="308" t="s">
        <v>16098</v>
      </c>
      <c r="P3931" s="308" t="s">
        <v>37316</v>
      </c>
      <c r="Q3931" s="308" t="s">
        <v>37315</v>
      </c>
      <c r="R3931" s="308" t="s">
        <v>2743</v>
      </c>
      <c r="S3931" s="308" t="s">
        <v>81</v>
      </c>
      <c r="T3931" s="308" t="s">
        <v>73</v>
      </c>
      <c r="U3931" s="308" t="s">
        <v>2291</v>
      </c>
      <c r="V3931" s="312"/>
    </row>
    <row r="3932">
      <c r="A3932" s="308">
        <v>3931.0</v>
      </c>
      <c r="B3932" s="308"/>
      <c r="C3932" s="308" t="s">
        <v>16100</v>
      </c>
      <c r="D3932" s="308">
        <f>IFERROR(__xludf.DUMMYFUNCTION("SPLIT(C3932,""-"")"),3952.0)</f>
        <v>3952</v>
      </c>
      <c r="E3932" s="308" t="str">
        <f>IFERROR(__xludf.DUMMYFUNCTION("""COMPUTED_VALUE"""),"K")</f>
        <v>K</v>
      </c>
      <c r="F3932" s="309" t="s">
        <v>34</v>
      </c>
      <c r="G3932" s="308"/>
      <c r="H3932" s="308" t="s">
        <v>9943</v>
      </c>
      <c r="I3932" s="314">
        <v>41998.0</v>
      </c>
      <c r="J3932" s="319">
        <f>IFERROR(__xludf.DUMMYFUNCTION("SPLIT(I3932,""/"")"),25.0)</f>
        <v>25</v>
      </c>
      <c r="K3932" s="308">
        <f>IFERROR(__xludf.DUMMYFUNCTION("""COMPUTED_VALUE"""),12.0)</f>
        <v>12</v>
      </c>
      <c r="L3932" s="308">
        <f>IFERROR(__xludf.DUMMYFUNCTION("""COMPUTED_VALUE"""),2014.0)</f>
        <v>2014</v>
      </c>
      <c r="M3932" s="308" t="s">
        <v>16101</v>
      </c>
      <c r="N3932" s="308" t="s">
        <v>16102</v>
      </c>
      <c r="O3932" s="308"/>
      <c r="P3932" s="308" t="s">
        <v>37128</v>
      </c>
      <c r="Q3932" s="308" t="s">
        <v>37317</v>
      </c>
      <c r="R3932" s="308" t="s">
        <v>2743</v>
      </c>
      <c r="S3932" s="315" t="s">
        <v>100</v>
      </c>
      <c r="T3932" s="311" t="s">
        <v>34208</v>
      </c>
      <c r="U3932" s="308" t="s">
        <v>530</v>
      </c>
      <c r="V3932" s="312"/>
    </row>
    <row r="3933">
      <c r="A3933" s="308">
        <v>3932.0</v>
      </c>
      <c r="B3933" s="308"/>
      <c r="C3933" s="308" t="s">
        <v>16103</v>
      </c>
      <c r="D3933" s="308">
        <f>IFERROR(__xludf.DUMMYFUNCTION("SPLIT(C3933,""-"")"),3953.0)</f>
        <v>3953</v>
      </c>
      <c r="E3933" s="308" t="str">
        <f>IFERROR(__xludf.DUMMYFUNCTION("""COMPUTED_VALUE"""),"K")</f>
        <v>K</v>
      </c>
      <c r="F3933" s="309" t="s">
        <v>34</v>
      </c>
      <c r="G3933" s="308"/>
      <c r="H3933" s="308" t="s">
        <v>16104</v>
      </c>
      <c r="I3933" s="314">
        <v>42715.0</v>
      </c>
      <c r="J3933" s="319">
        <f>IFERROR(__xludf.DUMMYFUNCTION("SPLIT(I3933,""/"")"),11.0)</f>
        <v>11</v>
      </c>
      <c r="K3933" s="308">
        <f>IFERROR(__xludf.DUMMYFUNCTION("""COMPUTED_VALUE"""),12.0)</f>
        <v>12</v>
      </c>
      <c r="L3933" s="308">
        <f>IFERROR(__xludf.DUMMYFUNCTION("""COMPUTED_VALUE"""),2016.0)</f>
        <v>2016</v>
      </c>
      <c r="M3933" s="308" t="s">
        <v>16105</v>
      </c>
      <c r="N3933" s="308"/>
      <c r="O3933" s="308"/>
      <c r="P3933" s="308" t="s">
        <v>37318</v>
      </c>
      <c r="Q3933" s="308" t="s">
        <v>37319</v>
      </c>
      <c r="R3933" s="308" t="s">
        <v>14911</v>
      </c>
      <c r="S3933" s="308" t="s">
        <v>49</v>
      </c>
      <c r="T3933" s="311" t="s">
        <v>51</v>
      </c>
      <c r="U3933" s="308" t="s">
        <v>125</v>
      </c>
      <c r="V3933" s="312"/>
    </row>
    <row r="3934">
      <c r="A3934" s="308">
        <v>3933.0</v>
      </c>
      <c r="B3934" s="308"/>
      <c r="C3934" s="308" t="s">
        <v>16107</v>
      </c>
      <c r="D3934" s="308">
        <f>IFERROR(__xludf.DUMMYFUNCTION("SPLIT(C3934,""-"")"),3954.0)</f>
        <v>3954</v>
      </c>
      <c r="E3934" s="308" t="str">
        <f>IFERROR(__xludf.DUMMYFUNCTION("""COMPUTED_VALUE"""),"P")</f>
        <v>P</v>
      </c>
      <c r="F3934" s="312" t="s">
        <v>37</v>
      </c>
      <c r="G3934" s="308"/>
      <c r="H3934" s="308" t="s">
        <v>16108</v>
      </c>
      <c r="I3934" s="310">
        <v>41008.0</v>
      </c>
      <c r="J3934" s="319">
        <f>IFERROR(__xludf.DUMMYFUNCTION("SPLIT(I3934,""/"")"),9.0)</f>
        <v>9</v>
      </c>
      <c r="K3934" s="308">
        <f>IFERROR(__xludf.DUMMYFUNCTION("""COMPUTED_VALUE"""),4.0)</f>
        <v>4</v>
      </c>
      <c r="L3934" s="308">
        <f>IFERROR(__xludf.DUMMYFUNCTION("""COMPUTED_VALUE"""),2012.0)</f>
        <v>2012</v>
      </c>
      <c r="M3934" s="308" t="s">
        <v>16109</v>
      </c>
      <c r="N3934" s="308"/>
      <c r="O3934" s="308" t="s">
        <v>16110</v>
      </c>
      <c r="P3934" s="308" t="s">
        <v>37260</v>
      </c>
      <c r="Q3934" s="308" t="s">
        <v>37319</v>
      </c>
      <c r="R3934" s="308" t="s">
        <v>14911</v>
      </c>
      <c r="S3934" s="315" t="s">
        <v>100</v>
      </c>
      <c r="T3934" s="311" t="s">
        <v>34208</v>
      </c>
      <c r="U3934" s="308" t="s">
        <v>143</v>
      </c>
      <c r="V3934" s="312"/>
    </row>
    <row r="3935">
      <c r="A3935" s="308">
        <v>3934.0</v>
      </c>
      <c r="B3935" s="308"/>
      <c r="C3935" s="308" t="s">
        <v>16111</v>
      </c>
      <c r="D3935" s="308">
        <f>IFERROR(__xludf.DUMMYFUNCTION("SPLIT(C3935,""-"")"),3955.0)</f>
        <v>3955</v>
      </c>
      <c r="E3935" s="308" t="str">
        <f>IFERROR(__xludf.DUMMYFUNCTION("""COMPUTED_VALUE"""),"P")</f>
        <v>P</v>
      </c>
      <c r="F3935" s="312" t="s">
        <v>37</v>
      </c>
      <c r="G3935" s="308"/>
      <c r="H3935" s="308" t="s">
        <v>16112</v>
      </c>
      <c r="I3935" s="310">
        <v>42825.0</v>
      </c>
      <c r="J3935" s="319">
        <f>IFERROR(__xludf.DUMMYFUNCTION("SPLIT(I3935,""/"")"),31.0)</f>
        <v>31</v>
      </c>
      <c r="K3935" s="308">
        <f>IFERROR(__xludf.DUMMYFUNCTION("""COMPUTED_VALUE"""),3.0)</f>
        <v>3</v>
      </c>
      <c r="L3935" s="308">
        <f>IFERROR(__xludf.DUMMYFUNCTION("""COMPUTED_VALUE"""),2017.0)</f>
        <v>2017</v>
      </c>
      <c r="M3935" s="308" t="s">
        <v>16113</v>
      </c>
      <c r="N3935" s="308"/>
      <c r="O3935" s="308"/>
      <c r="P3935" s="308" t="s">
        <v>37267</v>
      </c>
      <c r="Q3935" s="308" t="s">
        <v>37319</v>
      </c>
      <c r="R3935" s="308" t="s">
        <v>14911</v>
      </c>
      <c r="S3935" s="315" t="s">
        <v>100</v>
      </c>
      <c r="T3935" s="311" t="s">
        <v>34208</v>
      </c>
      <c r="U3935" s="308" t="s">
        <v>14984</v>
      </c>
      <c r="V3935" s="312"/>
    </row>
    <row r="3936">
      <c r="A3936" s="308">
        <v>3935.0</v>
      </c>
      <c r="B3936" s="308"/>
      <c r="C3936" s="308" t="s">
        <v>16114</v>
      </c>
      <c r="D3936" s="308">
        <f>IFERROR(__xludf.DUMMYFUNCTION("SPLIT(C3936,""-"")"),3956.0)</f>
        <v>3956</v>
      </c>
      <c r="E3936" s="308" t="str">
        <f>IFERROR(__xludf.DUMMYFUNCTION("""COMPUTED_VALUE"""),"A")</f>
        <v>A</v>
      </c>
      <c r="F3936" s="309" t="s">
        <v>23</v>
      </c>
      <c r="G3936" s="308"/>
      <c r="H3936" s="308" t="s">
        <v>16115</v>
      </c>
      <c r="I3936" s="310">
        <v>42835.0</v>
      </c>
      <c r="J3936" s="319">
        <f>IFERROR(__xludf.DUMMYFUNCTION("SPLIT(I3936,""/"")"),10.0)</f>
        <v>10</v>
      </c>
      <c r="K3936" s="308">
        <f>IFERROR(__xludf.DUMMYFUNCTION("""COMPUTED_VALUE"""),4.0)</f>
        <v>4</v>
      </c>
      <c r="L3936" s="308">
        <f>IFERROR(__xludf.DUMMYFUNCTION("""COMPUTED_VALUE"""),2017.0)</f>
        <v>2017</v>
      </c>
      <c r="M3936" s="308" t="s">
        <v>16116</v>
      </c>
      <c r="N3936" s="308"/>
      <c r="O3936" s="308"/>
      <c r="P3936" s="308" t="s">
        <v>37320</v>
      </c>
      <c r="Q3936" s="308" t="s">
        <v>37319</v>
      </c>
      <c r="R3936" s="308" t="s">
        <v>2743</v>
      </c>
      <c r="S3936" s="308" t="s">
        <v>49</v>
      </c>
      <c r="T3936" s="311" t="s">
        <v>51</v>
      </c>
      <c r="U3936" s="308" t="s">
        <v>403</v>
      </c>
      <c r="V3936" s="312"/>
    </row>
    <row r="3937">
      <c r="A3937" s="308">
        <v>3936.0</v>
      </c>
      <c r="B3937" s="308"/>
      <c r="C3937" s="308" t="s">
        <v>16118</v>
      </c>
      <c r="D3937" s="308">
        <f>IFERROR(__xludf.DUMMYFUNCTION("SPLIT(C3937,""-"")"),3957.0)</f>
        <v>3957</v>
      </c>
      <c r="E3937" s="308" t="str">
        <f>IFERROR(__xludf.DUMMYFUNCTION("""COMPUTED_VALUE"""),"K")</f>
        <v>K</v>
      </c>
      <c r="F3937" s="309" t="s">
        <v>34</v>
      </c>
      <c r="G3937" s="308"/>
      <c r="H3937" s="308" t="s">
        <v>16119</v>
      </c>
      <c r="I3937" s="310">
        <v>42709.0</v>
      </c>
      <c r="J3937" s="319">
        <f>IFERROR(__xludf.DUMMYFUNCTION("SPLIT(I3937,""/"")"),5.0)</f>
        <v>5</v>
      </c>
      <c r="K3937" s="308">
        <f>IFERROR(__xludf.DUMMYFUNCTION("""COMPUTED_VALUE"""),12.0)</f>
        <v>12</v>
      </c>
      <c r="L3937" s="308">
        <f>IFERROR(__xludf.DUMMYFUNCTION("""COMPUTED_VALUE"""),2016.0)</f>
        <v>2016</v>
      </c>
      <c r="M3937" s="308" t="s">
        <v>16120</v>
      </c>
      <c r="N3937" s="308"/>
      <c r="O3937" s="308"/>
      <c r="P3937" s="308" t="s">
        <v>37321</v>
      </c>
      <c r="Q3937" s="308" t="s">
        <v>37319</v>
      </c>
      <c r="R3937" s="308" t="s">
        <v>2743</v>
      </c>
      <c r="S3937" s="315" t="s">
        <v>100</v>
      </c>
      <c r="T3937" s="311" t="s">
        <v>34208</v>
      </c>
      <c r="U3937" s="308" t="s">
        <v>37322</v>
      </c>
      <c r="V3937" s="312"/>
    </row>
    <row r="3938">
      <c r="A3938" s="308">
        <v>3937.0</v>
      </c>
      <c r="B3938" s="308"/>
      <c r="C3938" s="308" t="s">
        <v>16121</v>
      </c>
      <c r="D3938" s="308">
        <f>IFERROR(__xludf.DUMMYFUNCTION("SPLIT(C3938,""-"")"),3958.0)</f>
        <v>3958</v>
      </c>
      <c r="E3938" s="308" t="str">
        <f>IFERROR(__xludf.DUMMYFUNCTION("""COMPUTED_VALUE"""),"K")</f>
        <v>K</v>
      </c>
      <c r="F3938" s="309" t="s">
        <v>34</v>
      </c>
      <c r="G3938" s="308"/>
      <c r="H3938" s="308" t="s">
        <v>16122</v>
      </c>
      <c r="I3938" s="310">
        <v>42709.0</v>
      </c>
      <c r="J3938" s="319">
        <f>IFERROR(__xludf.DUMMYFUNCTION("SPLIT(I3938,""/"")"),5.0)</f>
        <v>5</v>
      </c>
      <c r="K3938" s="308">
        <f>IFERROR(__xludf.DUMMYFUNCTION("""COMPUTED_VALUE"""),12.0)</f>
        <v>12</v>
      </c>
      <c r="L3938" s="308">
        <f>IFERROR(__xludf.DUMMYFUNCTION("""COMPUTED_VALUE"""),2016.0)</f>
        <v>2016</v>
      </c>
      <c r="M3938" s="308" t="s">
        <v>16120</v>
      </c>
      <c r="N3938" s="308"/>
      <c r="O3938" s="308"/>
      <c r="P3938" s="308" t="s">
        <v>16123</v>
      </c>
      <c r="Q3938" s="308" t="s">
        <v>37319</v>
      </c>
      <c r="R3938" s="308" t="s">
        <v>2743</v>
      </c>
      <c r="S3938" s="308" t="s">
        <v>81</v>
      </c>
      <c r="T3938" s="308" t="s">
        <v>75</v>
      </c>
      <c r="U3938" s="308" t="s">
        <v>37322</v>
      </c>
      <c r="V3938" s="312"/>
    </row>
    <row r="3939">
      <c r="A3939" s="308">
        <v>3938.0</v>
      </c>
      <c r="B3939" s="308"/>
      <c r="C3939" s="308" t="s">
        <v>16124</v>
      </c>
      <c r="D3939" s="308">
        <f>IFERROR(__xludf.DUMMYFUNCTION("SPLIT(C3939,""-"")"),3959.0)</f>
        <v>3959</v>
      </c>
      <c r="E3939" s="308" t="str">
        <f>IFERROR(__xludf.DUMMYFUNCTION("""COMPUTED_VALUE"""),"P")</f>
        <v>P</v>
      </c>
      <c r="F3939" s="312" t="s">
        <v>37</v>
      </c>
      <c r="G3939" s="308"/>
      <c r="H3939" s="308" t="s">
        <v>16125</v>
      </c>
      <c r="I3939" s="310">
        <v>42079.0</v>
      </c>
      <c r="J3939" s="319">
        <f>IFERROR(__xludf.DUMMYFUNCTION("SPLIT(I3939,""/"")"),16.0)</f>
        <v>16</v>
      </c>
      <c r="K3939" s="308">
        <f>IFERROR(__xludf.DUMMYFUNCTION("""COMPUTED_VALUE"""),3.0)</f>
        <v>3</v>
      </c>
      <c r="L3939" s="308">
        <f>IFERROR(__xludf.DUMMYFUNCTION("""COMPUTED_VALUE"""),2015.0)</f>
        <v>2015</v>
      </c>
      <c r="M3939" s="308" t="s">
        <v>16126</v>
      </c>
      <c r="N3939" s="308"/>
      <c r="O3939" s="308" t="s">
        <v>16127</v>
      </c>
      <c r="P3939" s="308" t="s">
        <v>37260</v>
      </c>
      <c r="Q3939" s="308" t="s">
        <v>37319</v>
      </c>
      <c r="R3939" s="308" t="s">
        <v>2743</v>
      </c>
      <c r="S3939" s="315" t="s">
        <v>100</v>
      </c>
      <c r="T3939" s="311" t="s">
        <v>34208</v>
      </c>
      <c r="U3939" s="308" t="s">
        <v>143</v>
      </c>
      <c r="V3939" s="312"/>
    </row>
    <row r="3940">
      <c r="A3940" s="308">
        <v>3939.0</v>
      </c>
      <c r="B3940" s="308"/>
      <c r="C3940" s="308" t="s">
        <v>16128</v>
      </c>
      <c r="D3940" s="308">
        <f>IFERROR(__xludf.DUMMYFUNCTION("SPLIT(C3940,""-"")"),3960.0)</f>
        <v>3960</v>
      </c>
      <c r="E3940" s="308" t="str">
        <f>IFERROR(__xludf.DUMMYFUNCTION("""COMPUTED_VALUE"""),"K")</f>
        <v>K</v>
      </c>
      <c r="F3940" s="309" t="s">
        <v>34</v>
      </c>
      <c r="G3940" s="308"/>
      <c r="H3940" s="308" t="s">
        <v>16129</v>
      </c>
      <c r="I3940" s="310">
        <v>42645.0</v>
      </c>
      <c r="J3940" s="319">
        <f>IFERROR(__xludf.DUMMYFUNCTION("SPLIT(I3940,""/"")"),2.0)</f>
        <v>2</v>
      </c>
      <c r="K3940" s="308">
        <f>IFERROR(__xludf.DUMMYFUNCTION("""COMPUTED_VALUE"""),10.0)</f>
        <v>10</v>
      </c>
      <c r="L3940" s="308">
        <f>IFERROR(__xludf.DUMMYFUNCTION("""COMPUTED_VALUE"""),2016.0)</f>
        <v>2016</v>
      </c>
      <c r="M3940" s="308" t="s">
        <v>16130</v>
      </c>
      <c r="N3940" s="308"/>
      <c r="O3940" s="308" t="s">
        <v>16131</v>
      </c>
      <c r="P3940" s="308" t="s">
        <v>16132</v>
      </c>
      <c r="Q3940" s="308" t="s">
        <v>37319</v>
      </c>
      <c r="R3940" s="308" t="s">
        <v>2743</v>
      </c>
      <c r="S3940" s="308" t="s">
        <v>81</v>
      </c>
      <c r="T3940" s="308" t="s">
        <v>75</v>
      </c>
      <c r="U3940" s="308" t="s">
        <v>4749</v>
      </c>
      <c r="V3940" s="312"/>
    </row>
    <row r="3941">
      <c r="A3941" s="308">
        <v>3940.0</v>
      </c>
      <c r="B3941" s="308"/>
      <c r="C3941" s="308" t="s">
        <v>16133</v>
      </c>
      <c r="D3941" s="308">
        <f>IFERROR(__xludf.DUMMYFUNCTION("SPLIT(C3941,""-"")"),3961.0)</f>
        <v>3961</v>
      </c>
      <c r="E3941" s="308" t="str">
        <f>IFERROR(__xludf.DUMMYFUNCTION("""COMPUTED_VALUE"""),"P")</f>
        <v>P</v>
      </c>
      <c r="F3941" s="312" t="s">
        <v>37</v>
      </c>
      <c r="G3941" s="308"/>
      <c r="H3941" s="308" t="s">
        <v>16134</v>
      </c>
      <c r="I3941" s="310">
        <v>42844.0</v>
      </c>
      <c r="J3941" s="319">
        <f>IFERROR(__xludf.DUMMYFUNCTION("SPLIT(I3941,""/"")"),19.0)</f>
        <v>19</v>
      </c>
      <c r="K3941" s="308">
        <f>IFERROR(__xludf.DUMMYFUNCTION("""COMPUTED_VALUE"""),4.0)</f>
        <v>4</v>
      </c>
      <c r="L3941" s="308">
        <f>IFERROR(__xludf.DUMMYFUNCTION("""COMPUTED_VALUE"""),2017.0)</f>
        <v>2017</v>
      </c>
      <c r="M3941" s="308" t="s">
        <v>16135</v>
      </c>
      <c r="N3941" s="308"/>
      <c r="O3941" s="308" t="s">
        <v>635</v>
      </c>
      <c r="P3941" s="308" t="s">
        <v>37323</v>
      </c>
      <c r="Q3941" s="308" t="s">
        <v>37324</v>
      </c>
      <c r="R3941" s="308" t="s">
        <v>2743</v>
      </c>
      <c r="S3941" s="308" t="s">
        <v>81</v>
      </c>
      <c r="T3941" s="308" t="s">
        <v>75</v>
      </c>
      <c r="U3941" s="308" t="s">
        <v>15904</v>
      </c>
      <c r="V3941" s="312"/>
    </row>
    <row r="3942">
      <c r="A3942" s="308">
        <v>3941.0</v>
      </c>
      <c r="B3942" s="308"/>
      <c r="C3942" s="308" t="s">
        <v>16137</v>
      </c>
      <c r="D3942" s="308">
        <f>IFERROR(__xludf.DUMMYFUNCTION("SPLIT(C3942,""-"")"),3962.0)</f>
        <v>3962</v>
      </c>
      <c r="E3942" s="308" t="str">
        <f>IFERROR(__xludf.DUMMYFUNCTION("""COMPUTED_VALUE"""),"K")</f>
        <v>K</v>
      </c>
      <c r="F3942" s="309" t="s">
        <v>34</v>
      </c>
      <c r="G3942" s="308"/>
      <c r="H3942" s="308" t="s">
        <v>16138</v>
      </c>
      <c r="I3942" s="325">
        <v>42767.0</v>
      </c>
      <c r="J3942" s="319"/>
      <c r="K3942" s="311">
        <v>2.0</v>
      </c>
      <c r="L3942" s="308">
        <v>2017.0</v>
      </c>
      <c r="M3942" s="308" t="s">
        <v>16139</v>
      </c>
      <c r="N3942" s="308"/>
      <c r="O3942" s="308"/>
      <c r="P3942" s="308" t="s">
        <v>37325</v>
      </c>
      <c r="Q3942" s="308" t="s">
        <v>37326</v>
      </c>
      <c r="R3942" s="308" t="s">
        <v>2743</v>
      </c>
      <c r="S3942" s="308" t="s">
        <v>81</v>
      </c>
      <c r="T3942" s="308" t="s">
        <v>75</v>
      </c>
      <c r="U3942" s="308" t="s">
        <v>201</v>
      </c>
      <c r="V3942" s="312"/>
    </row>
    <row r="3943">
      <c r="A3943" s="308">
        <v>3942.0</v>
      </c>
      <c r="B3943" s="308"/>
      <c r="C3943" s="308" t="s">
        <v>16141</v>
      </c>
      <c r="D3943" s="308">
        <f>IFERROR(__xludf.DUMMYFUNCTION("SPLIT(C3943,""-"")"),3963.0)</f>
        <v>3963</v>
      </c>
      <c r="E3943" s="308" t="str">
        <f>IFERROR(__xludf.DUMMYFUNCTION("""COMPUTED_VALUE"""),"K")</f>
        <v>K</v>
      </c>
      <c r="F3943" s="309" t="s">
        <v>34</v>
      </c>
      <c r="G3943" s="308"/>
      <c r="H3943" s="308" t="s">
        <v>16142</v>
      </c>
      <c r="I3943" s="310">
        <v>42758.0</v>
      </c>
      <c r="J3943" s="319" t="str">
        <f>IFERROR(__xludf.DUMMYFUNCTION("SPLIT(I3943,""/"")"),"#REF!")</f>
        <v>#REF!</v>
      </c>
      <c r="K3943" s="308"/>
      <c r="L3943" s="308">
        <v>2017.0</v>
      </c>
      <c r="M3943" s="308" t="s">
        <v>37327</v>
      </c>
      <c r="N3943" s="308"/>
      <c r="O3943" s="308"/>
      <c r="P3943" s="308" t="s">
        <v>37328</v>
      </c>
      <c r="Q3943" s="308" t="s">
        <v>37326</v>
      </c>
      <c r="R3943" s="308" t="s">
        <v>2743</v>
      </c>
      <c r="S3943" s="308" t="s">
        <v>81</v>
      </c>
      <c r="T3943" s="308" t="s">
        <v>75</v>
      </c>
      <c r="U3943" s="308" t="s">
        <v>282</v>
      </c>
      <c r="V3943" s="312"/>
    </row>
    <row r="3944">
      <c r="A3944" s="308">
        <v>3943.0</v>
      </c>
      <c r="B3944" s="308"/>
      <c r="C3944" s="308" t="s">
        <v>16145</v>
      </c>
      <c r="D3944" s="308">
        <f>IFERROR(__xludf.DUMMYFUNCTION("SPLIT(C3944,""-"")"),3964.0)</f>
        <v>3964</v>
      </c>
      <c r="E3944" s="308" t="str">
        <f>IFERROR(__xludf.DUMMYFUNCTION("""COMPUTED_VALUE"""),"I")</f>
        <v>I</v>
      </c>
      <c r="F3944" s="309" t="s">
        <v>31</v>
      </c>
      <c r="G3944" s="308"/>
      <c r="H3944" s="308" t="s">
        <v>16146</v>
      </c>
      <c r="I3944" s="310">
        <v>42343.0</v>
      </c>
      <c r="J3944" s="319">
        <f>IFERROR(__xludf.DUMMYFUNCTION("SPLIT(I3944,""/"")"),5.0)</f>
        <v>5</v>
      </c>
      <c r="K3944" s="308">
        <f>IFERROR(__xludf.DUMMYFUNCTION("""COMPUTED_VALUE"""),12.0)</f>
        <v>12</v>
      </c>
      <c r="L3944" s="308">
        <f>IFERROR(__xludf.DUMMYFUNCTION("""COMPUTED_VALUE"""),2015.0)</f>
        <v>2015</v>
      </c>
      <c r="M3944" s="308" t="s">
        <v>16147</v>
      </c>
      <c r="N3944" s="308"/>
      <c r="O3944" s="308"/>
      <c r="P3944" s="308" t="s">
        <v>37329</v>
      </c>
      <c r="Q3944" s="308" t="s">
        <v>37326</v>
      </c>
      <c r="R3944" s="308" t="s">
        <v>2743</v>
      </c>
      <c r="S3944" s="308" t="s">
        <v>81</v>
      </c>
      <c r="T3944" s="308" t="s">
        <v>75</v>
      </c>
      <c r="U3944" s="308" t="s">
        <v>31</v>
      </c>
      <c r="V3944" s="312"/>
    </row>
    <row r="3945">
      <c r="A3945" s="308">
        <v>3944.0</v>
      </c>
      <c r="B3945" s="308"/>
      <c r="C3945" s="308" t="s">
        <v>16149</v>
      </c>
      <c r="D3945" s="308">
        <f>IFERROR(__xludf.DUMMYFUNCTION("SPLIT(C3945,""-"")"),3965.0)</f>
        <v>3965</v>
      </c>
      <c r="E3945" s="308" t="str">
        <f>IFERROR(__xludf.DUMMYFUNCTION("""COMPUTED_VALUE"""),"K")</f>
        <v>K</v>
      </c>
      <c r="F3945" s="309" t="s">
        <v>34</v>
      </c>
      <c r="G3945" s="308"/>
      <c r="H3945" s="308" t="s">
        <v>16150</v>
      </c>
      <c r="I3945" s="310">
        <v>42045.0</v>
      </c>
      <c r="J3945" s="319">
        <f>IFERROR(__xludf.DUMMYFUNCTION("SPLIT(I3945,""/"")"),10.0)</f>
        <v>10</v>
      </c>
      <c r="K3945" s="308">
        <f>IFERROR(__xludf.DUMMYFUNCTION("""COMPUTED_VALUE"""),2.0)</f>
        <v>2</v>
      </c>
      <c r="L3945" s="308">
        <f>IFERROR(__xludf.DUMMYFUNCTION("""COMPUTED_VALUE"""),2015.0)</f>
        <v>2015</v>
      </c>
      <c r="M3945" s="308" t="s">
        <v>16151</v>
      </c>
      <c r="N3945" s="308"/>
      <c r="O3945" s="308"/>
      <c r="P3945" s="308" t="s">
        <v>37330</v>
      </c>
      <c r="Q3945" s="308" t="s">
        <v>37326</v>
      </c>
      <c r="R3945" s="308" t="s">
        <v>14911</v>
      </c>
      <c r="S3945" s="308" t="s">
        <v>81</v>
      </c>
      <c r="T3945" s="308" t="s">
        <v>73</v>
      </c>
      <c r="U3945" s="308" t="s">
        <v>156</v>
      </c>
      <c r="V3945" s="312"/>
    </row>
    <row r="3946">
      <c r="A3946" s="308">
        <v>3945.0</v>
      </c>
      <c r="B3946" s="308"/>
      <c r="C3946" s="308" t="s">
        <v>16153</v>
      </c>
      <c r="D3946" s="308">
        <f>IFERROR(__xludf.DUMMYFUNCTION("SPLIT(C3946,""-"")"),3966.0)</f>
        <v>3966</v>
      </c>
      <c r="E3946" s="308" t="str">
        <f>IFERROR(__xludf.DUMMYFUNCTION("""COMPUTED_VALUE"""),"S")</f>
        <v>S</v>
      </c>
      <c r="F3946" s="312" t="s">
        <v>39</v>
      </c>
      <c r="G3946" s="308"/>
      <c r="H3946" s="308" t="s">
        <v>16154</v>
      </c>
      <c r="I3946" s="310">
        <v>42807.0</v>
      </c>
      <c r="J3946" s="319">
        <f>IFERROR(__xludf.DUMMYFUNCTION("SPLIT(I3946,""/"")"),13.0)</f>
        <v>13</v>
      </c>
      <c r="K3946" s="308">
        <f>IFERROR(__xludf.DUMMYFUNCTION("""COMPUTED_VALUE"""),3.0)</f>
        <v>3</v>
      </c>
      <c r="L3946" s="308">
        <f>IFERROR(__xludf.DUMMYFUNCTION("""COMPUTED_VALUE"""),2017.0)</f>
        <v>2017</v>
      </c>
      <c r="M3946" s="308" t="s">
        <v>16155</v>
      </c>
      <c r="N3946" s="308"/>
      <c r="O3946" s="308"/>
      <c r="P3946" s="308" t="s">
        <v>37331</v>
      </c>
      <c r="Q3946" s="308" t="s">
        <v>37326</v>
      </c>
      <c r="R3946" s="308" t="s">
        <v>16156</v>
      </c>
      <c r="S3946" s="315" t="s">
        <v>100</v>
      </c>
      <c r="T3946" s="311" t="s">
        <v>34208</v>
      </c>
      <c r="U3946" s="308" t="s">
        <v>166</v>
      </c>
      <c r="V3946" s="312"/>
    </row>
    <row r="3947">
      <c r="A3947" s="308">
        <v>3946.0</v>
      </c>
      <c r="B3947" s="308"/>
      <c r="C3947" s="308" t="s">
        <v>16157</v>
      </c>
      <c r="D3947" s="308">
        <f>IFERROR(__xludf.DUMMYFUNCTION("SPLIT(C3947,""-"")"),3967.0)</f>
        <v>3967</v>
      </c>
      <c r="E3947" s="308" t="str">
        <f>IFERROR(__xludf.DUMMYFUNCTION("""COMPUTED_VALUE"""),"I")</f>
        <v>I</v>
      </c>
      <c r="F3947" s="309" t="s">
        <v>31</v>
      </c>
      <c r="G3947" s="308"/>
      <c r="H3947" s="308" t="s">
        <v>16158</v>
      </c>
      <c r="I3947" s="310">
        <v>42838.0</v>
      </c>
      <c r="J3947" s="319">
        <f>IFERROR(__xludf.DUMMYFUNCTION("SPLIT(I3947,""/"")"),13.0)</f>
        <v>13</v>
      </c>
      <c r="K3947" s="308">
        <f>IFERROR(__xludf.DUMMYFUNCTION("""COMPUTED_VALUE"""),4.0)</f>
        <v>4</v>
      </c>
      <c r="L3947" s="308">
        <f>IFERROR(__xludf.DUMMYFUNCTION("""COMPUTED_VALUE"""),2017.0)</f>
        <v>2017</v>
      </c>
      <c r="M3947" s="308" t="s">
        <v>16159</v>
      </c>
      <c r="N3947" s="308"/>
      <c r="O3947" s="308"/>
      <c r="P3947" s="308" t="s">
        <v>16160</v>
      </c>
      <c r="Q3947" s="308" t="s">
        <v>37332</v>
      </c>
      <c r="R3947" s="308" t="s">
        <v>2743</v>
      </c>
      <c r="S3947" s="308" t="s">
        <v>81</v>
      </c>
      <c r="T3947" s="311" t="s">
        <v>77</v>
      </c>
      <c r="U3947" s="308"/>
      <c r="V3947" s="312"/>
    </row>
    <row r="3948">
      <c r="A3948" s="308">
        <v>3947.0</v>
      </c>
      <c r="B3948" s="308"/>
      <c r="C3948" s="308" t="s">
        <v>16161</v>
      </c>
      <c r="D3948" s="308">
        <f>IFERROR(__xludf.DUMMYFUNCTION("SPLIT(C3948,""-"")"),3968.0)</f>
        <v>3968</v>
      </c>
      <c r="E3948" s="308" t="str">
        <f>IFERROR(__xludf.DUMMYFUNCTION("""COMPUTED_VALUE"""),"K")</f>
        <v>K</v>
      </c>
      <c r="F3948" s="309" t="s">
        <v>34</v>
      </c>
      <c r="G3948" s="308"/>
      <c r="H3948" s="308" t="s">
        <v>16162</v>
      </c>
      <c r="I3948" s="310">
        <v>41251.0</v>
      </c>
      <c r="J3948" s="319">
        <f>IFERROR(__xludf.DUMMYFUNCTION("SPLIT(I3948,""/"")"),8.0)</f>
        <v>8</v>
      </c>
      <c r="K3948" s="308">
        <f>IFERROR(__xludf.DUMMYFUNCTION("""COMPUTED_VALUE"""),12.0)</f>
        <v>12</v>
      </c>
      <c r="L3948" s="308">
        <f>IFERROR(__xludf.DUMMYFUNCTION("""COMPUTED_VALUE"""),2012.0)</f>
        <v>2012</v>
      </c>
      <c r="M3948" s="308" t="s">
        <v>16163</v>
      </c>
      <c r="N3948" s="308"/>
      <c r="O3948" s="308"/>
      <c r="P3948" s="308" t="s">
        <v>37333</v>
      </c>
      <c r="Q3948" s="308" t="s">
        <v>37334</v>
      </c>
      <c r="R3948" s="308" t="s">
        <v>2743</v>
      </c>
      <c r="S3948" s="315" t="s">
        <v>100</v>
      </c>
      <c r="T3948" s="311" t="s">
        <v>34208</v>
      </c>
      <c r="U3948" s="308" t="s">
        <v>530</v>
      </c>
      <c r="V3948" s="312"/>
    </row>
    <row r="3949">
      <c r="A3949" s="308">
        <v>3948.0</v>
      </c>
      <c r="B3949" s="308"/>
      <c r="C3949" s="308" t="s">
        <v>16164</v>
      </c>
      <c r="D3949" s="308">
        <f>IFERROR(__xludf.DUMMYFUNCTION("SPLIT(C3949,""-"")"),3969.0)</f>
        <v>3969</v>
      </c>
      <c r="E3949" s="308" t="str">
        <f>IFERROR(__xludf.DUMMYFUNCTION("""COMPUTED_VALUE"""),"K")</f>
        <v>K</v>
      </c>
      <c r="F3949" s="309" t="s">
        <v>34</v>
      </c>
      <c r="G3949" s="308"/>
      <c r="H3949" s="308" t="s">
        <v>16165</v>
      </c>
      <c r="I3949" s="314">
        <v>42653.0</v>
      </c>
      <c r="J3949" s="319">
        <f>IFERROR(__xludf.DUMMYFUNCTION("SPLIT(I3949,""/"")"),10.0)</f>
        <v>10</v>
      </c>
      <c r="K3949" s="308">
        <f>IFERROR(__xludf.DUMMYFUNCTION("""COMPUTED_VALUE"""),10.0)</f>
        <v>10</v>
      </c>
      <c r="L3949" s="308">
        <f>IFERROR(__xludf.DUMMYFUNCTION("""COMPUTED_VALUE"""),2016.0)</f>
        <v>2016</v>
      </c>
      <c r="M3949" s="308" t="s">
        <v>16166</v>
      </c>
      <c r="N3949" s="308"/>
      <c r="O3949" s="308"/>
      <c r="P3949" s="308" t="s">
        <v>16167</v>
      </c>
      <c r="Q3949" s="308" t="s">
        <v>37335</v>
      </c>
      <c r="R3949" s="308" t="s">
        <v>2743</v>
      </c>
      <c r="S3949" s="308" t="s">
        <v>81</v>
      </c>
      <c r="T3949" s="308" t="s">
        <v>75</v>
      </c>
      <c r="U3949" s="308" t="s">
        <v>2152</v>
      </c>
      <c r="V3949" s="312"/>
    </row>
    <row r="3950">
      <c r="A3950" s="308">
        <v>3949.0</v>
      </c>
      <c r="B3950" s="308"/>
      <c r="C3950" s="308" t="s">
        <v>16168</v>
      </c>
      <c r="D3950" s="308">
        <f>IFERROR(__xludf.DUMMYFUNCTION("SPLIT(C3950,""-"")"),3970.0)</f>
        <v>3970</v>
      </c>
      <c r="E3950" s="308" t="str">
        <f>IFERROR(__xludf.DUMMYFUNCTION("""COMPUTED_VALUE"""),"K")</f>
        <v>K</v>
      </c>
      <c r="F3950" s="309" t="s">
        <v>34</v>
      </c>
      <c r="G3950" s="308"/>
      <c r="H3950" s="308" t="s">
        <v>16169</v>
      </c>
      <c r="I3950" s="310">
        <v>41477.0</v>
      </c>
      <c r="J3950" s="319">
        <f>IFERROR(__xludf.DUMMYFUNCTION("SPLIT(I3950,""/"")"),22.0)</f>
        <v>22</v>
      </c>
      <c r="K3950" s="308">
        <f>IFERROR(__xludf.DUMMYFUNCTION("""COMPUTED_VALUE"""),7.0)</f>
        <v>7</v>
      </c>
      <c r="L3950" s="308">
        <f>IFERROR(__xludf.DUMMYFUNCTION("""COMPUTED_VALUE"""),2013.0)</f>
        <v>2013</v>
      </c>
      <c r="M3950" s="308" t="s">
        <v>16170</v>
      </c>
      <c r="N3950" s="308" t="s">
        <v>16171</v>
      </c>
      <c r="O3950" s="308"/>
      <c r="P3950" s="308" t="s">
        <v>37233</v>
      </c>
      <c r="Q3950" s="308" t="s">
        <v>37336</v>
      </c>
      <c r="R3950" s="308" t="s">
        <v>2743</v>
      </c>
      <c r="S3950" s="315" t="s">
        <v>100</v>
      </c>
      <c r="T3950" s="311" t="s">
        <v>34208</v>
      </c>
      <c r="U3950" s="308" t="s">
        <v>125</v>
      </c>
      <c r="V3950" s="312"/>
    </row>
    <row r="3951">
      <c r="A3951" s="308">
        <v>3950.0</v>
      </c>
      <c r="B3951" s="308"/>
      <c r="C3951" s="308" t="s">
        <v>16172</v>
      </c>
      <c r="D3951" s="308">
        <f>IFERROR(__xludf.DUMMYFUNCTION("SPLIT(C3951,""-"")"),3971.0)</f>
        <v>3971</v>
      </c>
      <c r="E3951" s="308" t="str">
        <f>IFERROR(__xludf.DUMMYFUNCTION("""COMPUTED_VALUE"""),"K")</f>
        <v>K</v>
      </c>
      <c r="F3951" s="309" t="s">
        <v>34</v>
      </c>
      <c r="G3951" s="308"/>
      <c r="H3951" s="308" t="s">
        <v>16173</v>
      </c>
      <c r="I3951" s="310">
        <v>41757.0</v>
      </c>
      <c r="J3951" s="319">
        <f>IFERROR(__xludf.DUMMYFUNCTION("SPLIT(I3951,""/"")"),28.0)</f>
        <v>28</v>
      </c>
      <c r="K3951" s="308">
        <f>IFERROR(__xludf.DUMMYFUNCTION("""COMPUTED_VALUE"""),4.0)</f>
        <v>4</v>
      </c>
      <c r="L3951" s="308">
        <f>IFERROR(__xludf.DUMMYFUNCTION("""COMPUTED_VALUE"""),2014.0)</f>
        <v>2014</v>
      </c>
      <c r="M3951" s="308" t="s">
        <v>16174</v>
      </c>
      <c r="N3951" s="308"/>
      <c r="O3951" s="308"/>
      <c r="P3951" s="308" t="s">
        <v>37209</v>
      </c>
      <c r="Q3951" s="308" t="s">
        <v>37336</v>
      </c>
      <c r="R3951" s="308" t="s">
        <v>2743</v>
      </c>
      <c r="S3951" s="315" t="s">
        <v>100</v>
      </c>
      <c r="T3951" s="311" t="s">
        <v>34208</v>
      </c>
      <c r="U3951" s="308" t="s">
        <v>125</v>
      </c>
      <c r="V3951" s="312"/>
    </row>
    <row r="3952">
      <c r="A3952" s="308">
        <v>3951.0</v>
      </c>
      <c r="B3952" s="308"/>
      <c r="C3952" s="308" t="s">
        <v>16175</v>
      </c>
      <c r="D3952" s="308">
        <f>IFERROR(__xludf.DUMMYFUNCTION("SPLIT(C3952,""-"")"),3972.0)</f>
        <v>3972</v>
      </c>
      <c r="E3952" s="308" t="str">
        <f>IFERROR(__xludf.DUMMYFUNCTION("""COMPUTED_VALUE"""),"K")</f>
        <v>K</v>
      </c>
      <c r="F3952" s="309" t="s">
        <v>34</v>
      </c>
      <c r="G3952" s="308"/>
      <c r="H3952" s="308" t="s">
        <v>16176</v>
      </c>
      <c r="I3952" s="310">
        <v>42936.0</v>
      </c>
      <c r="J3952" s="319" t="str">
        <f>IFERROR(__xludf.DUMMYFUNCTION("SPLIT(I3952,""/"")"),"#REF!")</f>
        <v>#REF!</v>
      </c>
      <c r="K3952" s="308"/>
      <c r="L3952" s="308">
        <v>2017.0</v>
      </c>
      <c r="M3952" s="308" t="s">
        <v>16177</v>
      </c>
      <c r="N3952" s="308"/>
      <c r="O3952" s="308"/>
      <c r="P3952" s="308" t="s">
        <v>37209</v>
      </c>
      <c r="Q3952" s="308" t="s">
        <v>37336</v>
      </c>
      <c r="R3952" s="308" t="s">
        <v>2743</v>
      </c>
      <c r="S3952" s="315" t="s">
        <v>100</v>
      </c>
      <c r="T3952" s="311" t="s">
        <v>34208</v>
      </c>
      <c r="U3952" s="308" t="s">
        <v>125</v>
      </c>
      <c r="V3952" s="312"/>
    </row>
    <row r="3953">
      <c r="A3953" s="308">
        <v>3952.0</v>
      </c>
      <c r="B3953" s="308"/>
      <c r="C3953" s="308" t="s">
        <v>16178</v>
      </c>
      <c r="D3953" s="308">
        <f>IFERROR(__xludf.DUMMYFUNCTION("SPLIT(C3953,""-"")"),3973.0)</f>
        <v>3973</v>
      </c>
      <c r="E3953" s="308" t="str">
        <f>IFERROR(__xludf.DUMMYFUNCTION("""COMPUTED_VALUE"""),"I")</f>
        <v>I</v>
      </c>
      <c r="F3953" s="309" t="s">
        <v>31</v>
      </c>
      <c r="G3953" s="308"/>
      <c r="H3953" s="308" t="s">
        <v>16179</v>
      </c>
      <c r="I3953" s="310">
        <v>42867.0</v>
      </c>
      <c r="J3953" s="319">
        <f>IFERROR(__xludf.DUMMYFUNCTION("SPLIT(I3953,""/"")"),12.0)</f>
        <v>12</v>
      </c>
      <c r="K3953" s="308">
        <f>IFERROR(__xludf.DUMMYFUNCTION("""COMPUTED_VALUE"""),5.0)</f>
        <v>5</v>
      </c>
      <c r="L3953" s="308">
        <f>IFERROR(__xludf.DUMMYFUNCTION("""COMPUTED_VALUE"""),2017.0)</f>
        <v>2017</v>
      </c>
      <c r="M3953" s="308" t="s">
        <v>16180</v>
      </c>
      <c r="N3953" s="308"/>
      <c r="O3953" s="308" t="s">
        <v>635</v>
      </c>
      <c r="P3953" s="308" t="s">
        <v>16181</v>
      </c>
      <c r="Q3953" s="308" t="s">
        <v>37337</v>
      </c>
      <c r="R3953" s="308" t="s">
        <v>2743</v>
      </c>
      <c r="S3953" s="308" t="s">
        <v>81</v>
      </c>
      <c r="T3953" s="308" t="s">
        <v>73</v>
      </c>
      <c r="U3953" s="308"/>
      <c r="V3953" s="312"/>
    </row>
    <row r="3954">
      <c r="A3954" s="308">
        <v>3953.0</v>
      </c>
      <c r="B3954" s="308"/>
      <c r="C3954" s="308" t="s">
        <v>16182</v>
      </c>
      <c r="D3954" s="308">
        <f>IFERROR(__xludf.DUMMYFUNCTION("SPLIT(C3954,""-"")"),3974.0)</f>
        <v>3974</v>
      </c>
      <c r="E3954" s="308" t="str">
        <f>IFERROR(__xludf.DUMMYFUNCTION("""COMPUTED_VALUE"""),"K")</f>
        <v>K</v>
      </c>
      <c r="F3954" s="309" t="s">
        <v>34</v>
      </c>
      <c r="G3954" s="308"/>
      <c r="H3954" s="308" t="s">
        <v>16183</v>
      </c>
      <c r="I3954" s="310">
        <v>41823.0</v>
      </c>
      <c r="J3954" s="319">
        <f>IFERROR(__xludf.DUMMYFUNCTION("SPLIT(I3954,""/"")"),3.0)</f>
        <v>3</v>
      </c>
      <c r="K3954" s="308">
        <f>IFERROR(__xludf.DUMMYFUNCTION("""COMPUTED_VALUE"""),7.0)</f>
        <v>7</v>
      </c>
      <c r="L3954" s="308">
        <f>IFERROR(__xludf.DUMMYFUNCTION("""COMPUTED_VALUE"""),2014.0)</f>
        <v>2014</v>
      </c>
      <c r="M3954" s="308" t="s">
        <v>16184</v>
      </c>
      <c r="N3954" s="308"/>
      <c r="O3954" s="308"/>
      <c r="P3954" s="308" t="s">
        <v>37209</v>
      </c>
      <c r="Q3954" s="308" t="s">
        <v>37337</v>
      </c>
      <c r="R3954" s="308" t="s">
        <v>16185</v>
      </c>
      <c r="S3954" s="315" t="s">
        <v>100</v>
      </c>
      <c r="T3954" s="311" t="s">
        <v>34208</v>
      </c>
      <c r="U3954" s="308" t="s">
        <v>125</v>
      </c>
      <c r="V3954" s="312"/>
    </row>
    <row r="3955">
      <c r="A3955" s="308">
        <v>3954.0</v>
      </c>
      <c r="B3955" s="308"/>
      <c r="C3955" s="308" t="s">
        <v>16186</v>
      </c>
      <c r="D3955" s="308">
        <f>IFERROR(__xludf.DUMMYFUNCTION("SPLIT(C3955,""-"")"),3975.0)</f>
        <v>3975</v>
      </c>
      <c r="E3955" s="308" t="str">
        <f>IFERROR(__xludf.DUMMYFUNCTION("""COMPUTED_VALUE"""),"P")</f>
        <v>P</v>
      </c>
      <c r="F3955" s="312" t="s">
        <v>37</v>
      </c>
      <c r="G3955" s="308"/>
      <c r="H3955" s="308" t="s">
        <v>16187</v>
      </c>
      <c r="I3955" s="310">
        <v>42610.0</v>
      </c>
      <c r="J3955" s="319">
        <f>IFERROR(__xludf.DUMMYFUNCTION("SPLIT(I3955,""/"")"),28.0)</f>
        <v>28</v>
      </c>
      <c r="K3955" s="308">
        <f>IFERROR(__xludf.DUMMYFUNCTION("""COMPUTED_VALUE"""),8.0)</f>
        <v>8</v>
      </c>
      <c r="L3955" s="308">
        <f>IFERROR(__xludf.DUMMYFUNCTION("""COMPUTED_VALUE"""),2016.0)</f>
        <v>2016</v>
      </c>
      <c r="M3955" s="308" t="s">
        <v>16188</v>
      </c>
      <c r="N3955" s="308"/>
      <c r="O3955" s="308"/>
      <c r="P3955" s="308" t="s">
        <v>37260</v>
      </c>
      <c r="Q3955" s="308" t="s">
        <v>37337</v>
      </c>
      <c r="R3955" s="308" t="s">
        <v>16185</v>
      </c>
      <c r="S3955" s="315" t="s">
        <v>100</v>
      </c>
      <c r="T3955" s="311" t="s">
        <v>34208</v>
      </c>
      <c r="U3955" s="308" t="s">
        <v>143</v>
      </c>
      <c r="V3955" s="312"/>
    </row>
    <row r="3956">
      <c r="A3956" s="308">
        <v>3955.0</v>
      </c>
      <c r="B3956" s="308"/>
      <c r="C3956" s="308" t="s">
        <v>16189</v>
      </c>
      <c r="D3956" s="308">
        <f>IFERROR(__xludf.DUMMYFUNCTION("SPLIT(C3956,""-"")"),3976.0)</f>
        <v>3976</v>
      </c>
      <c r="E3956" s="308" t="str">
        <f>IFERROR(__xludf.DUMMYFUNCTION("""COMPUTED_VALUE"""),"K")</f>
        <v>K</v>
      </c>
      <c r="F3956" s="309" t="s">
        <v>34</v>
      </c>
      <c r="G3956" s="308"/>
      <c r="H3956" s="308" t="s">
        <v>16190</v>
      </c>
      <c r="I3956" s="310">
        <v>42475.0</v>
      </c>
      <c r="J3956" s="319">
        <f>IFERROR(__xludf.DUMMYFUNCTION("SPLIT(I3956,""/"")"),15.0)</f>
        <v>15</v>
      </c>
      <c r="K3956" s="308">
        <f>IFERROR(__xludf.DUMMYFUNCTION("""COMPUTED_VALUE"""),4.0)</f>
        <v>4</v>
      </c>
      <c r="L3956" s="308">
        <f>IFERROR(__xludf.DUMMYFUNCTION("""COMPUTED_VALUE"""),2016.0)</f>
        <v>2016</v>
      </c>
      <c r="M3956" s="308" t="s">
        <v>16191</v>
      </c>
      <c r="N3956" s="308"/>
      <c r="O3956" s="308"/>
      <c r="P3956" s="308" t="s">
        <v>37338</v>
      </c>
      <c r="Q3956" s="308" t="s">
        <v>37337</v>
      </c>
      <c r="R3956" s="308" t="s">
        <v>2743</v>
      </c>
      <c r="S3956" s="315" t="s">
        <v>100</v>
      </c>
      <c r="T3956" s="311" t="s">
        <v>34208</v>
      </c>
      <c r="U3956" s="308" t="s">
        <v>941</v>
      </c>
      <c r="V3956" s="312"/>
    </row>
    <row r="3957">
      <c r="A3957" s="308">
        <v>3956.0</v>
      </c>
      <c r="B3957" s="308"/>
      <c r="C3957" s="308" t="s">
        <v>16192</v>
      </c>
      <c r="D3957" s="308">
        <f>IFERROR(__xludf.DUMMYFUNCTION("SPLIT(C3957,""-"")"),3977.0)</f>
        <v>3977</v>
      </c>
      <c r="E3957" s="308" t="str">
        <f>IFERROR(__xludf.DUMMYFUNCTION("""COMPUTED_VALUE"""),"K")</f>
        <v>K</v>
      </c>
      <c r="F3957" s="309" t="s">
        <v>34</v>
      </c>
      <c r="G3957" s="308"/>
      <c r="H3957" s="308" t="s">
        <v>16193</v>
      </c>
      <c r="I3957" s="310">
        <v>42046.0</v>
      </c>
      <c r="J3957" s="319">
        <f>IFERROR(__xludf.DUMMYFUNCTION("SPLIT(I3957,""/"")"),11.0)</f>
        <v>11</v>
      </c>
      <c r="K3957" s="308">
        <f>IFERROR(__xludf.DUMMYFUNCTION("""COMPUTED_VALUE"""),2.0)</f>
        <v>2</v>
      </c>
      <c r="L3957" s="308">
        <f>IFERROR(__xludf.DUMMYFUNCTION("""COMPUTED_VALUE"""),2015.0)</f>
        <v>2015</v>
      </c>
      <c r="M3957" s="308" t="s">
        <v>16194</v>
      </c>
      <c r="N3957" s="308"/>
      <c r="O3957" s="308" t="s">
        <v>16195</v>
      </c>
      <c r="P3957" s="308" t="s">
        <v>37339</v>
      </c>
      <c r="Q3957" s="308" t="s">
        <v>37337</v>
      </c>
      <c r="R3957" s="308" t="s">
        <v>2743</v>
      </c>
      <c r="S3957" s="315" t="s">
        <v>100</v>
      </c>
      <c r="T3957" s="311" t="s">
        <v>34208</v>
      </c>
      <c r="U3957" s="308" t="s">
        <v>201</v>
      </c>
      <c r="V3957" s="312"/>
    </row>
    <row r="3958">
      <c r="A3958" s="308">
        <v>3957.0</v>
      </c>
      <c r="B3958" s="308"/>
      <c r="C3958" s="308" t="s">
        <v>16196</v>
      </c>
      <c r="D3958" s="308">
        <f>IFERROR(__xludf.DUMMYFUNCTION("SPLIT(C3958,""-"")"),3978.0)</f>
        <v>3978</v>
      </c>
      <c r="E3958" s="308" t="str">
        <f>IFERROR(__xludf.DUMMYFUNCTION("""COMPUTED_VALUE"""),"K")</f>
        <v>K</v>
      </c>
      <c r="F3958" s="309" t="s">
        <v>34</v>
      </c>
      <c r="G3958" s="308"/>
      <c r="H3958" s="308" t="s">
        <v>16197</v>
      </c>
      <c r="I3958" s="310">
        <v>42823.0</v>
      </c>
      <c r="J3958" s="319" t="str">
        <f>IFERROR(__xludf.DUMMYFUNCTION("SPLIT(I3958,""/"")"),"#REF!")</f>
        <v>#REF!</v>
      </c>
      <c r="K3958" s="308"/>
      <c r="L3958" s="308">
        <v>2017.0</v>
      </c>
      <c r="M3958" s="308" t="s">
        <v>16198</v>
      </c>
      <c r="N3958" s="308"/>
      <c r="O3958" s="308"/>
      <c r="P3958" s="308" t="s">
        <v>37340</v>
      </c>
      <c r="Q3958" s="308" t="s">
        <v>37337</v>
      </c>
      <c r="R3958" s="308" t="s">
        <v>2743</v>
      </c>
      <c r="S3958" s="308" t="s">
        <v>81</v>
      </c>
      <c r="T3958" s="308" t="s">
        <v>75</v>
      </c>
      <c r="U3958" s="308" t="s">
        <v>542</v>
      </c>
      <c r="V3958" s="312"/>
    </row>
    <row r="3959">
      <c r="A3959" s="308">
        <v>3958.0</v>
      </c>
      <c r="B3959" s="308"/>
      <c r="C3959" s="308" t="s">
        <v>16200</v>
      </c>
      <c r="D3959" s="308">
        <f>IFERROR(__xludf.DUMMYFUNCTION("SPLIT(C3959,""-"")"),3979.0)</f>
        <v>3979</v>
      </c>
      <c r="E3959" s="308" t="str">
        <f>IFERROR(__xludf.DUMMYFUNCTION("""COMPUTED_VALUE"""),"P")</f>
        <v>P</v>
      </c>
      <c r="F3959" s="312" t="s">
        <v>37</v>
      </c>
      <c r="G3959" s="308"/>
      <c r="H3959" s="308" t="s">
        <v>16201</v>
      </c>
      <c r="I3959" s="310">
        <v>42857.0</v>
      </c>
      <c r="J3959" s="319">
        <f>IFERROR(__xludf.DUMMYFUNCTION("SPLIT(I3959,""/"")"),2.0)</f>
        <v>2</v>
      </c>
      <c r="K3959" s="308">
        <f>IFERROR(__xludf.DUMMYFUNCTION("""COMPUTED_VALUE"""),5.0)</f>
        <v>5</v>
      </c>
      <c r="L3959" s="308">
        <f>IFERROR(__xludf.DUMMYFUNCTION("""COMPUTED_VALUE"""),2017.0)</f>
        <v>2017</v>
      </c>
      <c r="M3959" s="308" t="s">
        <v>16202</v>
      </c>
      <c r="N3959" s="308"/>
      <c r="O3959" s="308"/>
      <c r="P3959" s="308" t="s">
        <v>16203</v>
      </c>
      <c r="Q3959" s="308" t="s">
        <v>37337</v>
      </c>
      <c r="R3959" s="308" t="s">
        <v>2743</v>
      </c>
      <c r="S3959" s="308" t="s">
        <v>81</v>
      </c>
      <c r="T3959" s="311" t="s">
        <v>51</v>
      </c>
      <c r="U3959" s="308" t="s">
        <v>15904</v>
      </c>
      <c r="V3959" s="312"/>
    </row>
    <row r="3960">
      <c r="A3960" s="308">
        <v>3959.0</v>
      </c>
      <c r="B3960" s="308"/>
      <c r="C3960" s="308" t="s">
        <v>16204</v>
      </c>
      <c r="D3960" s="308">
        <f>IFERROR(__xludf.DUMMYFUNCTION("SPLIT(C3960,""-"")"),3980.0)</f>
        <v>3980</v>
      </c>
      <c r="E3960" s="308" t="str">
        <f>IFERROR(__xludf.DUMMYFUNCTION("""COMPUTED_VALUE"""),"F")</f>
        <v>F</v>
      </c>
      <c r="F3960" s="309" t="s">
        <v>34</v>
      </c>
      <c r="G3960" s="308"/>
      <c r="H3960" s="308" t="s">
        <v>16205</v>
      </c>
      <c r="I3960" s="325">
        <v>42005.0</v>
      </c>
      <c r="J3960" s="319"/>
      <c r="K3960" s="311">
        <v>1.0</v>
      </c>
      <c r="L3960" s="311">
        <v>2015.0</v>
      </c>
      <c r="M3960" s="308" t="s">
        <v>16206</v>
      </c>
      <c r="N3960" s="308"/>
      <c r="O3960" s="308"/>
      <c r="P3960" s="308" t="s">
        <v>37341</v>
      </c>
      <c r="Q3960" s="308" t="s">
        <v>37337</v>
      </c>
      <c r="R3960" s="308" t="s">
        <v>2743</v>
      </c>
      <c r="S3960" s="308" t="s">
        <v>81</v>
      </c>
      <c r="T3960" s="308" t="s">
        <v>75</v>
      </c>
      <c r="U3960" s="308" t="s">
        <v>16208</v>
      </c>
      <c r="V3960" s="312"/>
    </row>
    <row r="3961">
      <c r="A3961" s="308">
        <v>3960.0</v>
      </c>
      <c r="B3961" s="308"/>
      <c r="C3961" s="308" t="s">
        <v>16209</v>
      </c>
      <c r="D3961" s="308">
        <f>IFERROR(__xludf.DUMMYFUNCTION("SPLIT(C3961,""-"")"),3981.0)</f>
        <v>3981</v>
      </c>
      <c r="E3961" s="308" t="str">
        <f>IFERROR(__xludf.DUMMYFUNCTION("""COMPUTED_VALUE"""),"K")</f>
        <v>K</v>
      </c>
      <c r="F3961" s="309" t="s">
        <v>34</v>
      </c>
      <c r="G3961" s="308"/>
      <c r="H3961" s="308" t="s">
        <v>16210</v>
      </c>
      <c r="I3961" s="314">
        <v>42716.0</v>
      </c>
      <c r="J3961" s="319">
        <f>IFERROR(__xludf.DUMMYFUNCTION("SPLIT(I3961,""/"")"),12.0)</f>
        <v>12</v>
      </c>
      <c r="K3961" s="308">
        <f>IFERROR(__xludf.DUMMYFUNCTION("""COMPUTED_VALUE"""),12.0)</f>
        <v>12</v>
      </c>
      <c r="L3961" s="308">
        <f>IFERROR(__xludf.DUMMYFUNCTION("""COMPUTED_VALUE"""),2016.0)</f>
        <v>2016</v>
      </c>
      <c r="M3961" s="308" t="s">
        <v>37342</v>
      </c>
      <c r="N3961" s="308"/>
      <c r="O3961" s="308"/>
      <c r="P3961" s="308" t="s">
        <v>37343</v>
      </c>
      <c r="Q3961" s="308" t="s">
        <v>37337</v>
      </c>
      <c r="R3961" s="308" t="s">
        <v>2743</v>
      </c>
      <c r="S3961" s="308" t="s">
        <v>81</v>
      </c>
      <c r="T3961" s="308" t="s">
        <v>34264</v>
      </c>
      <c r="U3961" s="308" t="s">
        <v>542</v>
      </c>
      <c r="V3961" s="312"/>
    </row>
    <row r="3962">
      <c r="A3962" s="308">
        <v>3961.0</v>
      </c>
      <c r="B3962" s="308"/>
      <c r="C3962" s="308" t="s">
        <v>16213</v>
      </c>
      <c r="D3962" s="308">
        <f>IFERROR(__xludf.DUMMYFUNCTION("SPLIT(C3962,""-"")"),3982.0)</f>
        <v>3982</v>
      </c>
      <c r="E3962" s="308" t="str">
        <f>IFERROR(__xludf.DUMMYFUNCTION("""COMPUTED_VALUE"""),"P")</f>
        <v>P</v>
      </c>
      <c r="F3962" s="312" t="s">
        <v>37</v>
      </c>
      <c r="G3962" s="308"/>
      <c r="H3962" s="308" t="s">
        <v>16214</v>
      </c>
      <c r="I3962" s="310">
        <v>42848.0</v>
      </c>
      <c r="J3962" s="319">
        <f>IFERROR(__xludf.DUMMYFUNCTION("SPLIT(I3962,""/"")"),23.0)</f>
        <v>23</v>
      </c>
      <c r="K3962" s="308">
        <f>IFERROR(__xludf.DUMMYFUNCTION("""COMPUTED_VALUE"""),4.0)</f>
        <v>4</v>
      </c>
      <c r="L3962" s="308">
        <f>IFERROR(__xludf.DUMMYFUNCTION("""COMPUTED_VALUE"""),2017.0)</f>
        <v>2017</v>
      </c>
      <c r="M3962" s="308" t="s">
        <v>16215</v>
      </c>
      <c r="N3962" s="308"/>
      <c r="O3962" s="308"/>
      <c r="P3962" s="308" t="s">
        <v>16216</v>
      </c>
      <c r="Q3962" s="308" t="s">
        <v>37337</v>
      </c>
      <c r="R3962" s="308" t="s">
        <v>2743</v>
      </c>
      <c r="S3962" s="308" t="s">
        <v>81</v>
      </c>
      <c r="T3962" s="308" t="s">
        <v>75</v>
      </c>
      <c r="U3962" s="308"/>
      <c r="V3962" s="312"/>
    </row>
    <row r="3963">
      <c r="A3963" s="308">
        <v>3962.0</v>
      </c>
      <c r="B3963" s="308"/>
      <c r="C3963" s="308" t="s">
        <v>16217</v>
      </c>
      <c r="D3963" s="308">
        <f>IFERROR(__xludf.DUMMYFUNCTION("SPLIT(C3963,""-"")"),3983.0)</f>
        <v>3983</v>
      </c>
      <c r="E3963" s="308" t="str">
        <f>IFERROR(__xludf.DUMMYFUNCTION("""COMPUTED_VALUE"""),"K")</f>
        <v>K</v>
      </c>
      <c r="F3963" s="309" t="s">
        <v>34</v>
      </c>
      <c r="G3963" s="308"/>
      <c r="H3963" s="308" t="s">
        <v>37344</v>
      </c>
      <c r="I3963" s="314">
        <v>41253.0</v>
      </c>
      <c r="J3963" s="319">
        <f>IFERROR(__xludf.DUMMYFUNCTION("SPLIT(I3963,""/"")"),10.0)</f>
        <v>10</v>
      </c>
      <c r="K3963" s="308">
        <f>IFERROR(__xludf.DUMMYFUNCTION("""COMPUTED_VALUE"""),12.0)</f>
        <v>12</v>
      </c>
      <c r="L3963" s="308">
        <f>IFERROR(__xludf.DUMMYFUNCTION("""COMPUTED_VALUE"""),2012.0)</f>
        <v>2012</v>
      </c>
      <c r="M3963" s="308" t="s">
        <v>16219</v>
      </c>
      <c r="N3963" s="308"/>
      <c r="O3963" s="308"/>
      <c r="P3963" s="308" t="s">
        <v>37345</v>
      </c>
      <c r="Q3963" s="308" t="s">
        <v>37337</v>
      </c>
      <c r="R3963" s="308" t="s">
        <v>2743</v>
      </c>
      <c r="S3963" s="308" t="s">
        <v>81</v>
      </c>
      <c r="T3963" s="308" t="s">
        <v>98</v>
      </c>
      <c r="U3963" s="308" t="s">
        <v>282</v>
      </c>
      <c r="V3963" s="312"/>
    </row>
    <row r="3964">
      <c r="A3964" s="308">
        <v>3963.0</v>
      </c>
      <c r="B3964" s="308"/>
      <c r="C3964" s="308" t="s">
        <v>16221</v>
      </c>
      <c r="D3964" s="308">
        <f>IFERROR(__xludf.DUMMYFUNCTION("SPLIT(C3964,""-"")"),3984.0)</f>
        <v>3984</v>
      </c>
      <c r="E3964" s="308" t="str">
        <f>IFERROR(__xludf.DUMMYFUNCTION("""COMPUTED_VALUE"""),"K")</f>
        <v>K</v>
      </c>
      <c r="F3964" s="309" t="s">
        <v>34</v>
      </c>
      <c r="G3964" s="308"/>
      <c r="H3964" s="308" t="s">
        <v>16222</v>
      </c>
      <c r="I3964" s="314">
        <v>41253.0</v>
      </c>
      <c r="J3964" s="319">
        <f>IFERROR(__xludf.DUMMYFUNCTION("SPLIT(I3964,""/"")"),10.0)</f>
        <v>10</v>
      </c>
      <c r="K3964" s="308">
        <f>IFERROR(__xludf.DUMMYFUNCTION("""COMPUTED_VALUE"""),12.0)</f>
        <v>12</v>
      </c>
      <c r="L3964" s="308">
        <f>IFERROR(__xludf.DUMMYFUNCTION("""COMPUTED_VALUE"""),2012.0)</f>
        <v>2012</v>
      </c>
      <c r="M3964" s="308" t="s">
        <v>16219</v>
      </c>
      <c r="N3964" s="308"/>
      <c r="O3964" s="308"/>
      <c r="P3964" s="308" t="s">
        <v>37346</v>
      </c>
      <c r="Q3964" s="308" t="s">
        <v>37337</v>
      </c>
      <c r="R3964" s="308" t="s">
        <v>2743</v>
      </c>
      <c r="S3964" s="308" t="s">
        <v>81</v>
      </c>
      <c r="T3964" s="308" t="s">
        <v>98</v>
      </c>
      <c r="U3964" s="308"/>
      <c r="V3964" s="312"/>
    </row>
    <row r="3965">
      <c r="A3965" s="308">
        <v>3964.0</v>
      </c>
      <c r="B3965" s="308"/>
      <c r="C3965" s="308" t="s">
        <v>16224</v>
      </c>
      <c r="D3965" s="308">
        <f>IFERROR(__xludf.DUMMYFUNCTION("SPLIT(C3965,""-"")"),3985.0)</f>
        <v>3985</v>
      </c>
      <c r="E3965" s="308" t="str">
        <f>IFERROR(__xludf.DUMMYFUNCTION("""COMPUTED_VALUE"""),"K")</f>
        <v>K</v>
      </c>
      <c r="F3965" s="309" t="s">
        <v>34</v>
      </c>
      <c r="G3965" s="308"/>
      <c r="H3965" s="308" t="s">
        <v>9888</v>
      </c>
      <c r="I3965" s="314">
        <v>40522.0</v>
      </c>
      <c r="J3965" s="319">
        <f>IFERROR(__xludf.DUMMYFUNCTION("SPLIT(I3965,""/"")"),10.0)</f>
        <v>10</v>
      </c>
      <c r="K3965" s="308">
        <f>IFERROR(__xludf.DUMMYFUNCTION("""COMPUTED_VALUE"""),12.0)</f>
        <v>12</v>
      </c>
      <c r="L3965" s="308">
        <f>IFERROR(__xludf.DUMMYFUNCTION("""COMPUTED_VALUE"""),2010.0)</f>
        <v>2010</v>
      </c>
      <c r="M3965" s="308" t="s">
        <v>16225</v>
      </c>
      <c r="N3965" s="308"/>
      <c r="O3965" s="308"/>
      <c r="P3965" s="308" t="s">
        <v>9891</v>
      </c>
      <c r="Q3965" s="308" t="s">
        <v>37337</v>
      </c>
      <c r="R3965" s="308" t="s">
        <v>2743</v>
      </c>
      <c r="S3965" s="308" t="s">
        <v>81</v>
      </c>
      <c r="T3965" s="308" t="s">
        <v>98</v>
      </c>
      <c r="U3965" s="308" t="s">
        <v>282</v>
      </c>
      <c r="V3965" s="312"/>
    </row>
    <row r="3966">
      <c r="A3966" s="308">
        <v>3965.0</v>
      </c>
      <c r="B3966" s="308"/>
      <c r="C3966" s="308" t="s">
        <v>16226</v>
      </c>
      <c r="D3966" s="308">
        <f>IFERROR(__xludf.DUMMYFUNCTION("SPLIT(C3966,""-"")"),3986.0)</f>
        <v>3986</v>
      </c>
      <c r="E3966" s="308" t="str">
        <f>IFERROR(__xludf.DUMMYFUNCTION("""COMPUTED_VALUE"""),"P")</f>
        <v>P</v>
      </c>
      <c r="F3966" s="312" t="s">
        <v>37</v>
      </c>
      <c r="G3966" s="308"/>
      <c r="H3966" s="308" t="s">
        <v>16227</v>
      </c>
      <c r="I3966" s="310">
        <v>42397.0</v>
      </c>
      <c r="J3966" s="319">
        <f>IFERROR(__xludf.DUMMYFUNCTION("SPLIT(I3966,""/"")"),28.0)</f>
        <v>28</v>
      </c>
      <c r="K3966" s="308">
        <f>IFERROR(__xludf.DUMMYFUNCTION("""COMPUTED_VALUE"""),1.0)</f>
        <v>1</v>
      </c>
      <c r="L3966" s="308">
        <f>IFERROR(__xludf.DUMMYFUNCTION("""COMPUTED_VALUE"""),2016.0)</f>
        <v>2016</v>
      </c>
      <c r="M3966" s="308" t="s">
        <v>16228</v>
      </c>
      <c r="N3966" s="308"/>
      <c r="O3966" s="308" t="s">
        <v>16229</v>
      </c>
      <c r="P3966" s="308" t="s">
        <v>37347</v>
      </c>
      <c r="Q3966" s="308" t="s">
        <v>37337</v>
      </c>
      <c r="R3966" s="308" t="s">
        <v>14911</v>
      </c>
      <c r="S3966" s="308" t="s">
        <v>81</v>
      </c>
      <c r="T3966" s="308" t="s">
        <v>75</v>
      </c>
      <c r="U3966" s="308" t="s">
        <v>143</v>
      </c>
      <c r="V3966" s="312"/>
    </row>
    <row r="3967">
      <c r="A3967" s="308">
        <v>3966.0</v>
      </c>
      <c r="B3967" s="308"/>
      <c r="C3967" s="308" t="s">
        <v>16231</v>
      </c>
      <c r="D3967" s="308">
        <f>IFERROR(__xludf.DUMMYFUNCTION("SPLIT(C3967,""-"")"),3987.0)</f>
        <v>3987</v>
      </c>
      <c r="E3967" s="308" t="str">
        <f>IFERROR(__xludf.DUMMYFUNCTION("""COMPUTED_VALUE"""),"K")</f>
        <v>K</v>
      </c>
      <c r="F3967" s="309" t="s">
        <v>34</v>
      </c>
      <c r="G3967" s="308"/>
      <c r="H3967" s="308" t="s">
        <v>16232</v>
      </c>
      <c r="I3967" s="325">
        <v>42370.0</v>
      </c>
      <c r="J3967" s="319"/>
      <c r="K3967" s="311">
        <v>1.0</v>
      </c>
      <c r="L3967" s="311">
        <v>2016.0</v>
      </c>
      <c r="M3967" s="308" t="s">
        <v>16233</v>
      </c>
      <c r="N3967" s="308"/>
      <c r="O3967" s="308"/>
      <c r="P3967" s="308" t="s">
        <v>37348</v>
      </c>
      <c r="Q3967" s="308" t="s">
        <v>37349</v>
      </c>
      <c r="R3967" s="308" t="s">
        <v>2743</v>
      </c>
      <c r="S3967" s="308" t="s">
        <v>81</v>
      </c>
      <c r="T3967" s="308" t="s">
        <v>34264</v>
      </c>
      <c r="U3967" s="308" t="s">
        <v>4487</v>
      </c>
      <c r="V3967" s="312"/>
    </row>
    <row r="3968">
      <c r="A3968" s="308">
        <v>3967.0</v>
      </c>
      <c r="B3968" s="308"/>
      <c r="C3968" s="308" t="s">
        <v>16235</v>
      </c>
      <c r="D3968" s="308">
        <f>IFERROR(__xludf.DUMMYFUNCTION("SPLIT(C3968,""-"")"),3988.0)</f>
        <v>3988</v>
      </c>
      <c r="E3968" s="308" t="str">
        <f>IFERROR(__xludf.DUMMYFUNCTION("""COMPUTED_VALUE"""),"K")</f>
        <v>K</v>
      </c>
      <c r="F3968" s="309" t="s">
        <v>34</v>
      </c>
      <c r="G3968" s="308"/>
      <c r="H3968" s="308" t="s">
        <v>16236</v>
      </c>
      <c r="I3968" s="325">
        <v>42370.0</v>
      </c>
      <c r="J3968" s="319"/>
      <c r="K3968" s="311">
        <v>1.0</v>
      </c>
      <c r="L3968" s="311">
        <v>2016.0</v>
      </c>
      <c r="M3968" s="308" t="s">
        <v>16233</v>
      </c>
      <c r="N3968" s="308"/>
      <c r="O3968" s="308"/>
      <c r="P3968" s="308" t="s">
        <v>37350</v>
      </c>
      <c r="Q3968" s="308" t="s">
        <v>37349</v>
      </c>
      <c r="R3968" s="308" t="s">
        <v>2743</v>
      </c>
      <c r="S3968" s="308" t="s">
        <v>81</v>
      </c>
      <c r="T3968" s="308" t="s">
        <v>75</v>
      </c>
      <c r="U3968" s="308" t="s">
        <v>4487</v>
      </c>
      <c r="V3968" s="312"/>
    </row>
    <row r="3969">
      <c r="A3969" s="308">
        <v>3968.0</v>
      </c>
      <c r="B3969" s="308"/>
      <c r="C3969" s="308" t="s">
        <v>16238</v>
      </c>
      <c r="D3969" s="308">
        <f>IFERROR(__xludf.DUMMYFUNCTION("SPLIT(C3969,""-"")"),3989.0)</f>
        <v>3989</v>
      </c>
      <c r="E3969" s="308" t="str">
        <f>IFERROR(__xludf.DUMMYFUNCTION("""COMPUTED_VALUE"""),"K")</f>
        <v>K</v>
      </c>
      <c r="F3969" s="309" t="s">
        <v>34</v>
      </c>
      <c r="G3969" s="308"/>
      <c r="H3969" s="308" t="s">
        <v>16239</v>
      </c>
      <c r="I3969" s="325">
        <v>42736.0</v>
      </c>
      <c r="J3969" s="319"/>
      <c r="K3969" s="311">
        <v>1.0</v>
      </c>
      <c r="L3969" s="308">
        <v>2017.0</v>
      </c>
      <c r="M3969" s="308" t="s">
        <v>16240</v>
      </c>
      <c r="N3969" s="308"/>
      <c r="O3969" s="308"/>
      <c r="P3969" s="308" t="s">
        <v>16241</v>
      </c>
      <c r="Q3969" s="308" t="s">
        <v>37349</v>
      </c>
      <c r="R3969" s="308" t="s">
        <v>13810</v>
      </c>
      <c r="S3969" s="308" t="s">
        <v>81</v>
      </c>
      <c r="T3969" s="308" t="s">
        <v>34264</v>
      </c>
      <c r="U3969" s="308" t="s">
        <v>872</v>
      </c>
      <c r="V3969" s="312"/>
    </row>
    <row r="3970">
      <c r="A3970" s="308">
        <v>3969.0</v>
      </c>
      <c r="B3970" s="308"/>
      <c r="C3970" s="308" t="s">
        <v>16242</v>
      </c>
      <c r="D3970" s="308">
        <f>IFERROR(__xludf.DUMMYFUNCTION("SPLIT(C3970,""-"")"),3990.0)</f>
        <v>3990</v>
      </c>
      <c r="E3970" s="308" t="str">
        <f>IFERROR(__xludf.DUMMYFUNCTION("""COMPUTED_VALUE"""),"K")</f>
        <v>K</v>
      </c>
      <c r="F3970" s="309" t="s">
        <v>34</v>
      </c>
      <c r="G3970" s="308"/>
      <c r="H3970" s="308" t="s">
        <v>16243</v>
      </c>
      <c r="I3970" s="310">
        <v>39984.0</v>
      </c>
      <c r="J3970" s="319">
        <f>IFERROR(__xludf.DUMMYFUNCTION("SPLIT(I3970,""/"")"),20.0)</f>
        <v>20</v>
      </c>
      <c r="K3970" s="308">
        <f>IFERROR(__xludf.DUMMYFUNCTION("""COMPUTED_VALUE"""),6.0)</f>
        <v>6</v>
      </c>
      <c r="L3970" s="308">
        <f>IFERROR(__xludf.DUMMYFUNCTION("""COMPUTED_VALUE"""),2009.0)</f>
        <v>2009</v>
      </c>
      <c r="M3970" s="308" t="s">
        <v>16244</v>
      </c>
      <c r="N3970" s="308"/>
      <c r="O3970" s="308"/>
      <c r="P3970" s="308" t="s">
        <v>2872</v>
      </c>
      <c r="Q3970" s="308" t="s">
        <v>37349</v>
      </c>
      <c r="R3970" s="308" t="s">
        <v>14256</v>
      </c>
      <c r="S3970" s="315" t="s">
        <v>100</v>
      </c>
      <c r="T3970" s="311" t="s">
        <v>34208</v>
      </c>
      <c r="U3970" s="308" t="s">
        <v>125</v>
      </c>
      <c r="V3970" s="312"/>
    </row>
    <row r="3971">
      <c r="A3971" s="308">
        <v>3970.0</v>
      </c>
      <c r="B3971" s="308"/>
      <c r="C3971" s="308" t="s">
        <v>16245</v>
      </c>
      <c r="D3971" s="308">
        <f>IFERROR(__xludf.DUMMYFUNCTION("SPLIT(C3971,""-"")"),3991.0)</f>
        <v>3991</v>
      </c>
      <c r="E3971" s="308" t="str">
        <f>IFERROR(__xludf.DUMMYFUNCTION("""COMPUTED_VALUE"""),"P")</f>
        <v>P</v>
      </c>
      <c r="F3971" s="312" t="s">
        <v>37</v>
      </c>
      <c r="G3971" s="308"/>
      <c r="H3971" s="308" t="s">
        <v>16246</v>
      </c>
      <c r="I3971" s="314">
        <v>41242.0</v>
      </c>
      <c r="J3971" s="319">
        <f>IFERROR(__xludf.DUMMYFUNCTION("SPLIT(I3971,""/"")"),29.0)</f>
        <v>29</v>
      </c>
      <c r="K3971" s="308">
        <f>IFERROR(__xludf.DUMMYFUNCTION("""COMPUTED_VALUE"""),11.0)</f>
        <v>11</v>
      </c>
      <c r="L3971" s="308">
        <f>IFERROR(__xludf.DUMMYFUNCTION("""COMPUTED_VALUE"""),2012.0)</f>
        <v>2012</v>
      </c>
      <c r="M3971" s="308" t="s">
        <v>16247</v>
      </c>
      <c r="N3971" s="308"/>
      <c r="O3971" s="308"/>
      <c r="P3971" s="308" t="s">
        <v>16248</v>
      </c>
      <c r="Q3971" s="308" t="s">
        <v>37349</v>
      </c>
      <c r="R3971" s="308" t="s">
        <v>14256</v>
      </c>
      <c r="S3971" s="308" t="s">
        <v>81</v>
      </c>
      <c r="T3971" s="308" t="s">
        <v>75</v>
      </c>
      <c r="U3971" s="308" t="s">
        <v>149</v>
      </c>
      <c r="V3971" s="312"/>
    </row>
    <row r="3972">
      <c r="A3972" s="308">
        <v>3971.0</v>
      </c>
      <c r="B3972" s="308"/>
      <c r="C3972" s="308" t="s">
        <v>16249</v>
      </c>
      <c r="D3972" s="308">
        <f>IFERROR(__xludf.DUMMYFUNCTION("SPLIT(C3972,""-"")"),3992.0)</f>
        <v>3992</v>
      </c>
      <c r="E3972" s="308" t="str">
        <f>IFERROR(__xludf.DUMMYFUNCTION("""COMPUTED_VALUE"""),"P")</f>
        <v>P</v>
      </c>
      <c r="F3972" s="312" t="s">
        <v>37</v>
      </c>
      <c r="G3972" s="308"/>
      <c r="H3972" s="308" t="s">
        <v>16250</v>
      </c>
      <c r="I3972" s="314">
        <v>41242.0</v>
      </c>
      <c r="J3972" s="319">
        <f>IFERROR(__xludf.DUMMYFUNCTION("SPLIT(I3972,""/"")"),29.0)</f>
        <v>29</v>
      </c>
      <c r="K3972" s="308">
        <f>IFERROR(__xludf.DUMMYFUNCTION("""COMPUTED_VALUE"""),11.0)</f>
        <v>11</v>
      </c>
      <c r="L3972" s="308">
        <f>IFERROR(__xludf.DUMMYFUNCTION("""COMPUTED_VALUE"""),2012.0)</f>
        <v>2012</v>
      </c>
      <c r="M3972" s="308" t="s">
        <v>37351</v>
      </c>
      <c r="N3972" s="308"/>
      <c r="O3972" s="308"/>
      <c r="P3972" s="308" t="s">
        <v>37352</v>
      </c>
      <c r="Q3972" s="308" t="s">
        <v>37349</v>
      </c>
      <c r="R3972" s="308" t="s">
        <v>14256</v>
      </c>
      <c r="S3972" s="308" t="s">
        <v>49</v>
      </c>
      <c r="T3972" s="308" t="s">
        <v>51</v>
      </c>
      <c r="U3972" s="308" t="s">
        <v>10808</v>
      </c>
      <c r="V3972" s="312"/>
    </row>
    <row r="3973">
      <c r="A3973" s="308">
        <v>3972.0</v>
      </c>
      <c r="B3973" s="308"/>
      <c r="C3973" s="308" t="s">
        <v>16252</v>
      </c>
      <c r="D3973" s="308">
        <f>IFERROR(__xludf.DUMMYFUNCTION("SPLIT(C3973,""-"")"),3993.0)</f>
        <v>3993</v>
      </c>
      <c r="E3973" s="308" t="str">
        <f>IFERROR(__xludf.DUMMYFUNCTION("""COMPUTED_VALUE"""),"K")</f>
        <v>K</v>
      </c>
      <c r="F3973" s="309" t="s">
        <v>34</v>
      </c>
      <c r="G3973" s="308"/>
      <c r="H3973" s="308" t="s">
        <v>16253</v>
      </c>
      <c r="I3973" s="310">
        <v>40003.0</v>
      </c>
      <c r="J3973" s="319">
        <f>IFERROR(__xludf.DUMMYFUNCTION("SPLIT(I3973,""/"")"),9.0)</f>
        <v>9</v>
      </c>
      <c r="K3973" s="308">
        <f>IFERROR(__xludf.DUMMYFUNCTION("""COMPUTED_VALUE"""),7.0)</f>
        <v>7</v>
      </c>
      <c r="L3973" s="308">
        <f>IFERROR(__xludf.DUMMYFUNCTION("""COMPUTED_VALUE"""),2009.0)</f>
        <v>2009</v>
      </c>
      <c r="M3973" s="308" t="s">
        <v>16254</v>
      </c>
      <c r="N3973" s="308"/>
      <c r="O3973" s="308"/>
      <c r="P3973" s="308" t="s">
        <v>2872</v>
      </c>
      <c r="Q3973" s="308" t="s">
        <v>37349</v>
      </c>
      <c r="R3973" s="308" t="s">
        <v>14256</v>
      </c>
      <c r="S3973" s="315" t="s">
        <v>100</v>
      </c>
      <c r="T3973" s="311" t="s">
        <v>34208</v>
      </c>
      <c r="U3973" s="308" t="s">
        <v>125</v>
      </c>
      <c r="V3973" s="312"/>
    </row>
    <row r="3974">
      <c r="A3974" s="308">
        <v>3973.0</v>
      </c>
      <c r="B3974" s="308"/>
      <c r="C3974" s="308" t="s">
        <v>16255</v>
      </c>
      <c r="D3974" s="308">
        <f>IFERROR(__xludf.DUMMYFUNCTION("SPLIT(C3974,""-"")"),3994.0)</f>
        <v>3994</v>
      </c>
      <c r="E3974" s="308" t="str">
        <f>IFERROR(__xludf.DUMMYFUNCTION("""COMPUTED_VALUE"""),"P")</f>
        <v>P</v>
      </c>
      <c r="F3974" s="312" t="s">
        <v>37</v>
      </c>
      <c r="G3974" s="308"/>
      <c r="H3974" s="308" t="s">
        <v>16256</v>
      </c>
      <c r="I3974" s="310">
        <v>41150.0</v>
      </c>
      <c r="J3974" s="319">
        <f>IFERROR(__xludf.DUMMYFUNCTION("SPLIT(I3974,""/"")"),29.0)</f>
        <v>29</v>
      </c>
      <c r="K3974" s="308">
        <f>IFERROR(__xludf.DUMMYFUNCTION("""COMPUTED_VALUE"""),8.0)</f>
        <v>8</v>
      </c>
      <c r="L3974" s="308">
        <f>IFERROR(__xludf.DUMMYFUNCTION("""COMPUTED_VALUE"""),2012.0)</f>
        <v>2012</v>
      </c>
      <c r="M3974" s="308"/>
      <c r="N3974" s="308"/>
      <c r="O3974" s="308"/>
      <c r="P3974" s="308" t="s">
        <v>16257</v>
      </c>
      <c r="Q3974" s="308" t="s">
        <v>37349</v>
      </c>
      <c r="R3974" s="308" t="s">
        <v>14256</v>
      </c>
      <c r="S3974" s="308" t="s">
        <v>81</v>
      </c>
      <c r="T3974" s="308" t="s">
        <v>75</v>
      </c>
      <c r="U3974" s="308" t="s">
        <v>149</v>
      </c>
      <c r="V3974" s="312"/>
    </row>
    <row r="3975">
      <c r="A3975" s="308">
        <v>3974.0</v>
      </c>
      <c r="B3975" s="308"/>
      <c r="C3975" s="308" t="s">
        <v>16258</v>
      </c>
      <c r="D3975" s="308">
        <f>IFERROR(__xludf.DUMMYFUNCTION("SPLIT(C3975,""-"")"),3995.0)</f>
        <v>3995</v>
      </c>
      <c r="E3975" s="308" t="str">
        <f>IFERROR(__xludf.DUMMYFUNCTION("""COMPUTED_VALUE"""),"K")</f>
        <v>K</v>
      </c>
      <c r="F3975" s="309" t="s">
        <v>34</v>
      </c>
      <c r="G3975" s="308"/>
      <c r="H3975" s="308" t="s">
        <v>16259</v>
      </c>
      <c r="I3975" s="310">
        <v>40003.0</v>
      </c>
      <c r="J3975" s="319">
        <f>IFERROR(__xludf.DUMMYFUNCTION("SPLIT(I3975,""/"")"),9.0)</f>
        <v>9</v>
      </c>
      <c r="K3975" s="308">
        <f>IFERROR(__xludf.DUMMYFUNCTION("""COMPUTED_VALUE"""),7.0)</f>
        <v>7</v>
      </c>
      <c r="L3975" s="308">
        <f>IFERROR(__xludf.DUMMYFUNCTION("""COMPUTED_VALUE"""),2009.0)</f>
        <v>2009</v>
      </c>
      <c r="M3975" s="308" t="s">
        <v>16260</v>
      </c>
      <c r="N3975" s="308"/>
      <c r="O3975" s="308"/>
      <c r="P3975" s="308" t="s">
        <v>37353</v>
      </c>
      <c r="Q3975" s="308" t="s">
        <v>37349</v>
      </c>
      <c r="R3975" s="308" t="s">
        <v>14256</v>
      </c>
      <c r="S3975" s="308" t="s">
        <v>81</v>
      </c>
      <c r="T3975" s="308" t="s">
        <v>34264</v>
      </c>
      <c r="U3975" s="308" t="s">
        <v>125</v>
      </c>
      <c r="V3975" s="312"/>
    </row>
    <row r="3976">
      <c r="A3976" s="308">
        <v>3975.0</v>
      </c>
      <c r="B3976" s="308"/>
      <c r="C3976" s="308" t="s">
        <v>16262</v>
      </c>
      <c r="D3976" s="308">
        <f>IFERROR(__xludf.DUMMYFUNCTION("SPLIT(C3976,""-"")"),3996.0)</f>
        <v>3996</v>
      </c>
      <c r="E3976" s="308" t="str">
        <f>IFERROR(__xludf.DUMMYFUNCTION("""COMPUTED_VALUE"""),"K")</f>
        <v>K</v>
      </c>
      <c r="F3976" s="309" t="s">
        <v>34</v>
      </c>
      <c r="G3976" s="308"/>
      <c r="H3976" s="308" t="s">
        <v>16263</v>
      </c>
      <c r="I3976" s="310">
        <v>40003.0</v>
      </c>
      <c r="J3976" s="319">
        <f>IFERROR(__xludf.DUMMYFUNCTION("SPLIT(I3976,""/"")"),9.0)</f>
        <v>9</v>
      </c>
      <c r="K3976" s="308">
        <f>IFERROR(__xludf.DUMMYFUNCTION("""COMPUTED_VALUE"""),7.0)</f>
        <v>7</v>
      </c>
      <c r="L3976" s="308">
        <f>IFERROR(__xludf.DUMMYFUNCTION("""COMPUTED_VALUE"""),2009.0)</f>
        <v>2009</v>
      </c>
      <c r="M3976" s="308" t="s">
        <v>16264</v>
      </c>
      <c r="N3976" s="308"/>
      <c r="O3976" s="308"/>
      <c r="P3976" s="308" t="s">
        <v>2872</v>
      </c>
      <c r="Q3976" s="308" t="s">
        <v>37349</v>
      </c>
      <c r="R3976" s="308" t="s">
        <v>14256</v>
      </c>
      <c r="S3976" s="315" t="s">
        <v>100</v>
      </c>
      <c r="T3976" s="311" t="s">
        <v>34208</v>
      </c>
      <c r="U3976" s="308" t="s">
        <v>125</v>
      </c>
      <c r="V3976" s="312"/>
    </row>
    <row r="3977">
      <c r="A3977" s="308">
        <v>3976.0</v>
      </c>
      <c r="B3977" s="308"/>
      <c r="C3977" s="308" t="s">
        <v>16265</v>
      </c>
      <c r="D3977" s="308">
        <f>IFERROR(__xludf.DUMMYFUNCTION("SPLIT(C3977,""-"")"),3997.0)</f>
        <v>3997</v>
      </c>
      <c r="E3977" s="308" t="str">
        <f>IFERROR(__xludf.DUMMYFUNCTION("""COMPUTED_VALUE"""),"K")</f>
        <v>K</v>
      </c>
      <c r="F3977" s="309" t="s">
        <v>34</v>
      </c>
      <c r="G3977" s="308"/>
      <c r="H3977" s="308" t="s">
        <v>16266</v>
      </c>
      <c r="I3977" s="316" t="s">
        <v>16267</v>
      </c>
      <c r="J3977" s="323">
        <v>9.0</v>
      </c>
      <c r="K3977" s="311">
        <v>10.0</v>
      </c>
      <c r="L3977" s="311">
        <v>2015.0</v>
      </c>
      <c r="M3977" s="308" t="s">
        <v>16268</v>
      </c>
      <c r="N3977" s="308"/>
      <c r="O3977" s="308" t="s">
        <v>16269</v>
      </c>
      <c r="P3977" s="308" t="s">
        <v>6262</v>
      </c>
      <c r="Q3977" s="308" t="s">
        <v>37349</v>
      </c>
      <c r="R3977" s="308" t="s">
        <v>14256</v>
      </c>
      <c r="S3977" s="315" t="s">
        <v>100</v>
      </c>
      <c r="T3977" s="311" t="s">
        <v>34208</v>
      </c>
      <c r="U3977" s="308" t="s">
        <v>368</v>
      </c>
      <c r="V3977" s="312"/>
    </row>
    <row r="3978">
      <c r="A3978" s="308">
        <v>3977.0</v>
      </c>
      <c r="B3978" s="308"/>
      <c r="C3978" s="308" t="s">
        <v>16270</v>
      </c>
      <c r="D3978" s="308">
        <f>IFERROR(__xludf.DUMMYFUNCTION("SPLIT(C3978,""-"")"),3998.0)</f>
        <v>3998</v>
      </c>
      <c r="E3978" s="308" t="str">
        <f>IFERROR(__xludf.DUMMYFUNCTION("""COMPUTED_VALUE"""),"K")</f>
        <v>K</v>
      </c>
      <c r="F3978" s="309" t="s">
        <v>34</v>
      </c>
      <c r="G3978" s="308"/>
      <c r="H3978" s="308" t="s">
        <v>37354</v>
      </c>
      <c r="I3978" s="310">
        <v>42427.0</v>
      </c>
      <c r="J3978" s="319">
        <f>IFERROR(__xludf.DUMMYFUNCTION("SPLIT(I3978,""/"")"),27.0)</f>
        <v>27</v>
      </c>
      <c r="K3978" s="308">
        <f>IFERROR(__xludf.DUMMYFUNCTION("""COMPUTED_VALUE"""),2.0)</f>
        <v>2</v>
      </c>
      <c r="L3978" s="308">
        <f>IFERROR(__xludf.DUMMYFUNCTION("""COMPUTED_VALUE"""),2016.0)</f>
        <v>2016</v>
      </c>
      <c r="M3978" s="308" t="s">
        <v>16272</v>
      </c>
      <c r="N3978" s="308"/>
      <c r="O3978" s="308"/>
      <c r="P3978" s="308" t="s">
        <v>16273</v>
      </c>
      <c r="Q3978" s="308" t="s">
        <v>37349</v>
      </c>
      <c r="R3978" s="308" t="s">
        <v>14256</v>
      </c>
      <c r="S3978" s="308" t="s">
        <v>81</v>
      </c>
      <c r="T3978" s="308" t="s">
        <v>75</v>
      </c>
      <c r="U3978" s="308" t="s">
        <v>2097</v>
      </c>
      <c r="V3978" s="312"/>
    </row>
    <row r="3979">
      <c r="A3979" s="308">
        <v>3978.0</v>
      </c>
      <c r="B3979" s="308"/>
      <c r="C3979" s="308" t="s">
        <v>16274</v>
      </c>
      <c r="D3979" s="308">
        <f>IFERROR(__xludf.DUMMYFUNCTION("SPLIT(C3979,""-"")"),3999.0)</f>
        <v>3999</v>
      </c>
      <c r="E3979" s="308" t="str">
        <f>IFERROR(__xludf.DUMMYFUNCTION("""COMPUTED_VALUE"""),"K")</f>
        <v>K</v>
      </c>
      <c r="F3979" s="309" t="s">
        <v>34</v>
      </c>
      <c r="G3979" s="308"/>
      <c r="H3979" s="308" t="s">
        <v>16275</v>
      </c>
      <c r="I3979" s="314">
        <v>42335.0</v>
      </c>
      <c r="J3979" s="319">
        <f>IFERROR(__xludf.DUMMYFUNCTION("SPLIT(I3979,""/"")"),27.0)</f>
        <v>27</v>
      </c>
      <c r="K3979" s="308">
        <f>IFERROR(__xludf.DUMMYFUNCTION("""COMPUTED_VALUE"""),11.0)</f>
        <v>11</v>
      </c>
      <c r="L3979" s="308">
        <f>IFERROR(__xludf.DUMMYFUNCTION("""COMPUTED_VALUE"""),2015.0)</f>
        <v>2015</v>
      </c>
      <c r="M3979" s="308" t="s">
        <v>16276</v>
      </c>
      <c r="N3979" s="308"/>
      <c r="O3979" s="308" t="s">
        <v>16277</v>
      </c>
      <c r="P3979" s="308" t="s">
        <v>16278</v>
      </c>
      <c r="Q3979" s="308" t="s">
        <v>37349</v>
      </c>
      <c r="R3979" s="308" t="s">
        <v>14256</v>
      </c>
      <c r="S3979" s="308" t="s">
        <v>81</v>
      </c>
      <c r="T3979" s="308" t="s">
        <v>34264</v>
      </c>
      <c r="U3979" s="308" t="s">
        <v>4749</v>
      </c>
      <c r="V3979" s="312"/>
    </row>
    <row r="3980">
      <c r="A3980" s="308">
        <v>3979.0</v>
      </c>
      <c r="B3980" s="308"/>
      <c r="C3980" s="308" t="s">
        <v>16279</v>
      </c>
      <c r="D3980" s="308">
        <f>IFERROR(__xludf.DUMMYFUNCTION("SPLIT(C3980,""-"")"),4000.0)</f>
        <v>4000</v>
      </c>
      <c r="E3980" s="308" t="str">
        <f>IFERROR(__xludf.DUMMYFUNCTION("""COMPUTED_VALUE"""),"K")</f>
        <v>K</v>
      </c>
      <c r="F3980" s="309" t="s">
        <v>34</v>
      </c>
      <c r="G3980" s="308"/>
      <c r="H3980" s="308" t="s">
        <v>16280</v>
      </c>
      <c r="I3980" s="314">
        <v>42735.0</v>
      </c>
      <c r="J3980" s="319">
        <f>IFERROR(__xludf.DUMMYFUNCTION("SPLIT(I3980,""/"")"),31.0)</f>
        <v>31</v>
      </c>
      <c r="K3980" s="308">
        <f>IFERROR(__xludf.DUMMYFUNCTION("""COMPUTED_VALUE"""),12.0)</f>
        <v>12</v>
      </c>
      <c r="L3980" s="308">
        <f>IFERROR(__xludf.DUMMYFUNCTION("""COMPUTED_VALUE"""),2016.0)</f>
        <v>2016</v>
      </c>
      <c r="M3980" s="308" t="s">
        <v>16281</v>
      </c>
      <c r="N3980" s="308"/>
      <c r="O3980" s="308"/>
      <c r="P3980" s="308" t="s">
        <v>37355</v>
      </c>
      <c r="Q3980" s="308" t="s">
        <v>37349</v>
      </c>
      <c r="R3980" s="308" t="s">
        <v>14256</v>
      </c>
      <c r="S3980" s="308" t="s">
        <v>81</v>
      </c>
      <c r="T3980" s="308" t="s">
        <v>75</v>
      </c>
      <c r="U3980" s="308" t="s">
        <v>40</v>
      </c>
      <c r="V3980" s="312"/>
    </row>
    <row r="3981">
      <c r="A3981" s="308">
        <v>3980.0</v>
      </c>
      <c r="B3981" s="308"/>
      <c r="C3981" s="308" t="s">
        <v>16283</v>
      </c>
      <c r="D3981" s="308">
        <f>IFERROR(__xludf.DUMMYFUNCTION("SPLIT(C3981,""-"")"),4001.0)</f>
        <v>4001</v>
      </c>
      <c r="E3981" s="308" t="str">
        <f>IFERROR(__xludf.DUMMYFUNCTION("""COMPUTED_VALUE"""),"K")</f>
        <v>K</v>
      </c>
      <c r="F3981" s="309" t="s">
        <v>34</v>
      </c>
      <c r="G3981" s="308"/>
      <c r="H3981" s="308" t="s">
        <v>16284</v>
      </c>
      <c r="I3981" s="310">
        <v>42576.0</v>
      </c>
      <c r="J3981" s="319">
        <f>IFERROR(__xludf.DUMMYFUNCTION("SPLIT(I3981,""/"")"),25.0)</f>
        <v>25</v>
      </c>
      <c r="K3981" s="308">
        <f>IFERROR(__xludf.DUMMYFUNCTION("""COMPUTED_VALUE"""),7.0)</f>
        <v>7</v>
      </c>
      <c r="L3981" s="308">
        <f>IFERROR(__xludf.DUMMYFUNCTION("""COMPUTED_VALUE"""),2016.0)</f>
        <v>2016</v>
      </c>
      <c r="M3981" s="308" t="s">
        <v>16285</v>
      </c>
      <c r="N3981" s="308"/>
      <c r="O3981" s="308"/>
      <c r="P3981" s="308" t="s">
        <v>16286</v>
      </c>
      <c r="Q3981" s="308" t="s">
        <v>37349</v>
      </c>
      <c r="R3981" s="308" t="s">
        <v>2743</v>
      </c>
      <c r="S3981" s="308" t="s">
        <v>81</v>
      </c>
      <c r="T3981" s="308" t="s">
        <v>73</v>
      </c>
      <c r="U3981" s="308" t="s">
        <v>282</v>
      </c>
      <c r="V3981" s="312"/>
    </row>
    <row r="3982">
      <c r="A3982" s="308">
        <v>3981.0</v>
      </c>
      <c r="B3982" s="308"/>
      <c r="C3982" s="308" t="s">
        <v>16287</v>
      </c>
      <c r="D3982" s="308">
        <f>IFERROR(__xludf.DUMMYFUNCTION("SPLIT(C3982,""-"")"),4002.0)</f>
        <v>4002</v>
      </c>
      <c r="E3982" s="308" t="str">
        <f>IFERROR(__xludf.DUMMYFUNCTION("""COMPUTED_VALUE"""),"K")</f>
        <v>K</v>
      </c>
      <c r="F3982" s="309" t="s">
        <v>34</v>
      </c>
      <c r="G3982" s="308"/>
      <c r="H3982" s="308" t="s">
        <v>16288</v>
      </c>
      <c r="I3982" s="310">
        <v>42773.0</v>
      </c>
      <c r="J3982" s="319" t="str">
        <f>IFERROR(__xludf.DUMMYFUNCTION("SPLIT(I3982,""/"")"),"#REF!")</f>
        <v>#REF!</v>
      </c>
      <c r="K3982" s="308"/>
      <c r="L3982" s="308">
        <v>2017.0</v>
      </c>
      <c r="M3982" s="308" t="s">
        <v>16289</v>
      </c>
      <c r="N3982" s="308"/>
      <c r="O3982" s="308"/>
      <c r="P3982" s="308" t="s">
        <v>37356</v>
      </c>
      <c r="Q3982" s="308" t="s">
        <v>37357</v>
      </c>
      <c r="R3982" s="308" t="s">
        <v>2743</v>
      </c>
      <c r="S3982" s="308" t="s">
        <v>81</v>
      </c>
      <c r="T3982" s="308" t="s">
        <v>75</v>
      </c>
      <c r="U3982" s="308" t="s">
        <v>282</v>
      </c>
      <c r="V3982" s="312"/>
    </row>
    <row r="3983">
      <c r="A3983" s="308">
        <v>3982.0</v>
      </c>
      <c r="B3983" s="308"/>
      <c r="C3983" s="308" t="s">
        <v>16291</v>
      </c>
      <c r="D3983" s="308">
        <f>IFERROR(__xludf.DUMMYFUNCTION("SPLIT(C3983,""-"")"),4003.0)</f>
        <v>4003</v>
      </c>
      <c r="E3983" s="308" t="str">
        <f>IFERROR(__xludf.DUMMYFUNCTION("""COMPUTED_VALUE"""),"K")</f>
        <v>K</v>
      </c>
      <c r="F3983" s="309" t="s">
        <v>34</v>
      </c>
      <c r="G3983" s="308"/>
      <c r="H3983" s="308" t="s">
        <v>16292</v>
      </c>
      <c r="I3983" s="310">
        <v>42391.0</v>
      </c>
      <c r="J3983" s="319">
        <f>IFERROR(__xludf.DUMMYFUNCTION("SPLIT(I3983,""/"")"),22.0)</f>
        <v>22</v>
      </c>
      <c r="K3983" s="308">
        <f>IFERROR(__xludf.DUMMYFUNCTION("""COMPUTED_VALUE"""),1.0)</f>
        <v>1</v>
      </c>
      <c r="L3983" s="308">
        <f>IFERROR(__xludf.DUMMYFUNCTION("""COMPUTED_VALUE"""),2016.0)</f>
        <v>2016</v>
      </c>
      <c r="M3983" s="308" t="s">
        <v>16293</v>
      </c>
      <c r="N3983" s="308"/>
      <c r="O3983" s="308"/>
      <c r="P3983" s="308" t="s">
        <v>37358</v>
      </c>
      <c r="Q3983" s="308" t="s">
        <v>37357</v>
      </c>
      <c r="R3983" s="308" t="s">
        <v>2743</v>
      </c>
      <c r="S3983" s="308" t="s">
        <v>81</v>
      </c>
      <c r="T3983" s="308" t="s">
        <v>75</v>
      </c>
      <c r="U3983" s="308" t="s">
        <v>125</v>
      </c>
      <c r="V3983" s="312"/>
    </row>
    <row r="3984">
      <c r="A3984" s="308">
        <v>3983.0</v>
      </c>
      <c r="B3984" s="308"/>
      <c r="C3984" s="308" t="s">
        <v>16295</v>
      </c>
      <c r="D3984" s="308">
        <f>IFERROR(__xludf.DUMMYFUNCTION("SPLIT(C3984,""-"")"),4004.0)</f>
        <v>4004</v>
      </c>
      <c r="E3984" s="308" t="str">
        <f>IFERROR(__xludf.DUMMYFUNCTION("""COMPUTED_VALUE"""),"K")</f>
        <v>K</v>
      </c>
      <c r="F3984" s="309" t="s">
        <v>34</v>
      </c>
      <c r="G3984" s="308"/>
      <c r="H3984" s="308" t="s">
        <v>16296</v>
      </c>
      <c r="I3984" s="310">
        <v>41699.0</v>
      </c>
      <c r="J3984" s="319">
        <f>IFERROR(__xludf.DUMMYFUNCTION("SPLIT(I3984,""/"")"),1.0)</f>
        <v>1</v>
      </c>
      <c r="K3984" s="308">
        <f>IFERROR(__xludf.DUMMYFUNCTION("""COMPUTED_VALUE"""),3.0)</f>
        <v>3</v>
      </c>
      <c r="L3984" s="308">
        <f>IFERROR(__xludf.DUMMYFUNCTION("""COMPUTED_VALUE"""),2014.0)</f>
        <v>2014</v>
      </c>
      <c r="M3984" s="308" t="s">
        <v>16297</v>
      </c>
      <c r="N3984" s="308"/>
      <c r="O3984" s="308"/>
      <c r="P3984" s="308" t="s">
        <v>37359</v>
      </c>
      <c r="Q3984" s="308" t="s">
        <v>37360</v>
      </c>
      <c r="R3984" s="308" t="s">
        <v>2743</v>
      </c>
      <c r="S3984" s="308" t="s">
        <v>81</v>
      </c>
      <c r="T3984" s="308" t="s">
        <v>34264</v>
      </c>
      <c r="U3984" s="308" t="s">
        <v>156</v>
      </c>
      <c r="V3984" s="312"/>
    </row>
    <row r="3985">
      <c r="A3985" s="308">
        <v>3984.0</v>
      </c>
      <c r="B3985" s="308"/>
      <c r="C3985" s="308" t="s">
        <v>16299</v>
      </c>
      <c r="D3985" s="308">
        <f>IFERROR(__xludf.DUMMYFUNCTION("SPLIT(C3985,""-"")"),4005.0)</f>
        <v>4005</v>
      </c>
      <c r="E3985" s="308" t="str">
        <f>IFERROR(__xludf.DUMMYFUNCTION("""COMPUTED_VALUE"""),"P")</f>
        <v>P</v>
      </c>
      <c r="F3985" s="312" t="s">
        <v>37</v>
      </c>
      <c r="G3985" s="308"/>
      <c r="H3985" s="308" t="s">
        <v>16300</v>
      </c>
      <c r="I3985" s="310">
        <v>42425.0</v>
      </c>
      <c r="J3985" s="319">
        <f>IFERROR(__xludf.DUMMYFUNCTION("SPLIT(I3985,""/"")"),25.0)</f>
        <v>25</v>
      </c>
      <c r="K3985" s="308">
        <f>IFERROR(__xludf.DUMMYFUNCTION("""COMPUTED_VALUE"""),2.0)</f>
        <v>2</v>
      </c>
      <c r="L3985" s="308">
        <f>IFERROR(__xludf.DUMMYFUNCTION("""COMPUTED_VALUE"""),2016.0)</f>
        <v>2016</v>
      </c>
      <c r="M3985" s="308" t="s">
        <v>16301</v>
      </c>
      <c r="N3985" s="308"/>
      <c r="O3985" s="308"/>
      <c r="P3985" s="308" t="s">
        <v>16302</v>
      </c>
      <c r="Q3985" s="308" t="s">
        <v>37360</v>
      </c>
      <c r="R3985" s="308" t="s">
        <v>2743</v>
      </c>
      <c r="S3985" s="308" t="s">
        <v>81</v>
      </c>
      <c r="T3985" s="311" t="s">
        <v>63</v>
      </c>
      <c r="U3985" s="308" t="s">
        <v>149</v>
      </c>
      <c r="V3985" s="312"/>
    </row>
    <row r="3986">
      <c r="A3986" s="308">
        <v>3985.0</v>
      </c>
      <c r="B3986" s="308"/>
      <c r="C3986" s="308" t="s">
        <v>16303</v>
      </c>
      <c r="D3986" s="308">
        <f>IFERROR(__xludf.DUMMYFUNCTION("SPLIT(C3986,""-"")"),4006.0)</f>
        <v>4006</v>
      </c>
      <c r="E3986" s="308" t="str">
        <f>IFERROR(__xludf.DUMMYFUNCTION("""COMPUTED_VALUE"""),"S")</f>
        <v>S</v>
      </c>
      <c r="F3986" s="312" t="s">
        <v>39</v>
      </c>
      <c r="G3986" s="308"/>
      <c r="H3986" s="308" t="s">
        <v>16304</v>
      </c>
      <c r="I3986" s="310">
        <v>42850.0</v>
      </c>
      <c r="J3986" s="319">
        <f>IFERROR(__xludf.DUMMYFUNCTION("SPLIT(I3986,""/"")"),25.0)</f>
        <v>25</v>
      </c>
      <c r="K3986" s="308">
        <f>IFERROR(__xludf.DUMMYFUNCTION("""COMPUTED_VALUE"""),4.0)</f>
        <v>4</v>
      </c>
      <c r="L3986" s="308">
        <f>IFERROR(__xludf.DUMMYFUNCTION("""COMPUTED_VALUE"""),2017.0)</f>
        <v>2017</v>
      </c>
      <c r="M3986" s="308"/>
      <c r="N3986" s="308"/>
      <c r="O3986" s="308"/>
      <c r="P3986" s="308" t="s">
        <v>16305</v>
      </c>
      <c r="Q3986" s="308" t="s">
        <v>37361</v>
      </c>
      <c r="R3986" s="308" t="s">
        <v>14256</v>
      </c>
      <c r="S3986" s="308" t="s">
        <v>81</v>
      </c>
      <c r="T3986" s="308" t="s">
        <v>75</v>
      </c>
      <c r="U3986" s="308" t="s">
        <v>40</v>
      </c>
      <c r="V3986" s="312"/>
    </row>
    <row r="3987">
      <c r="A3987" s="308">
        <v>3986.0</v>
      </c>
      <c r="B3987" s="308"/>
      <c r="C3987" s="308" t="s">
        <v>16306</v>
      </c>
      <c r="D3987" s="308">
        <f>IFERROR(__xludf.DUMMYFUNCTION("SPLIT(C3987,""-"")"),4007.0)</f>
        <v>4007</v>
      </c>
      <c r="E3987" s="308" t="str">
        <f>IFERROR(__xludf.DUMMYFUNCTION("""COMPUTED_VALUE"""),"I")</f>
        <v>I</v>
      </c>
      <c r="F3987" s="309" t="s">
        <v>31</v>
      </c>
      <c r="G3987" s="308"/>
      <c r="H3987" s="308" t="s">
        <v>16307</v>
      </c>
      <c r="I3987" s="314">
        <v>42660.0</v>
      </c>
      <c r="J3987" s="319">
        <f>IFERROR(__xludf.DUMMYFUNCTION("SPLIT(I3987,""/"")"),17.0)</f>
        <v>17</v>
      </c>
      <c r="K3987" s="308">
        <f>IFERROR(__xludf.DUMMYFUNCTION("""COMPUTED_VALUE"""),10.0)</f>
        <v>10</v>
      </c>
      <c r="L3987" s="308">
        <f>IFERROR(__xludf.DUMMYFUNCTION("""COMPUTED_VALUE"""),2016.0)</f>
        <v>2016</v>
      </c>
      <c r="M3987" s="308" t="s">
        <v>16308</v>
      </c>
      <c r="N3987" s="308"/>
      <c r="O3987" s="308" t="s">
        <v>16309</v>
      </c>
      <c r="P3987" s="308" t="s">
        <v>37362</v>
      </c>
      <c r="Q3987" s="308" t="s">
        <v>37361</v>
      </c>
      <c r="R3987" s="308" t="s">
        <v>2743</v>
      </c>
      <c r="S3987" s="308" t="s">
        <v>49</v>
      </c>
      <c r="T3987" s="311" t="s">
        <v>51</v>
      </c>
      <c r="U3987" s="308" t="s">
        <v>31</v>
      </c>
      <c r="V3987" s="312"/>
    </row>
    <row r="3988">
      <c r="A3988" s="308">
        <v>3987.0</v>
      </c>
      <c r="B3988" s="308"/>
      <c r="C3988" s="308" t="s">
        <v>16311</v>
      </c>
      <c r="D3988" s="308">
        <f>IFERROR(__xludf.DUMMYFUNCTION("SPLIT(C3988,""-"")"),4008.0)</f>
        <v>4008</v>
      </c>
      <c r="E3988" s="308" t="str">
        <f>IFERROR(__xludf.DUMMYFUNCTION("""COMPUTED_VALUE"""),"I")</f>
        <v>I</v>
      </c>
      <c r="F3988" s="309" t="s">
        <v>31</v>
      </c>
      <c r="G3988" s="308"/>
      <c r="H3988" s="308" t="s">
        <v>16312</v>
      </c>
      <c r="I3988" s="314">
        <v>42660.0</v>
      </c>
      <c r="J3988" s="319">
        <f>IFERROR(__xludf.DUMMYFUNCTION("SPLIT(I3988,""/"")"),17.0)</f>
        <v>17</v>
      </c>
      <c r="K3988" s="308">
        <f>IFERROR(__xludf.DUMMYFUNCTION("""COMPUTED_VALUE"""),10.0)</f>
        <v>10</v>
      </c>
      <c r="L3988" s="308">
        <f>IFERROR(__xludf.DUMMYFUNCTION("""COMPUTED_VALUE"""),2016.0)</f>
        <v>2016</v>
      </c>
      <c r="M3988" s="308" t="s">
        <v>16308</v>
      </c>
      <c r="N3988" s="308"/>
      <c r="O3988" s="308" t="s">
        <v>16309</v>
      </c>
      <c r="P3988" s="308" t="s">
        <v>37362</v>
      </c>
      <c r="Q3988" s="308" t="s">
        <v>37363</v>
      </c>
      <c r="R3988" s="308" t="s">
        <v>2743</v>
      </c>
      <c r="S3988" s="308" t="s">
        <v>49</v>
      </c>
      <c r="T3988" s="311" t="s">
        <v>51</v>
      </c>
      <c r="U3988" s="308" t="s">
        <v>31</v>
      </c>
      <c r="V3988" s="312"/>
    </row>
    <row r="3989">
      <c r="A3989" s="308">
        <v>3988.0</v>
      </c>
      <c r="B3989" s="308"/>
      <c r="C3989" s="308" t="s">
        <v>16313</v>
      </c>
      <c r="D3989" s="308">
        <f>IFERROR(__xludf.DUMMYFUNCTION("SPLIT(C3989,""-"")"),4009.0)</f>
        <v>4009</v>
      </c>
      <c r="E3989" s="308" t="str">
        <f>IFERROR(__xludf.DUMMYFUNCTION("""COMPUTED_VALUE"""),"S")</f>
        <v>S</v>
      </c>
      <c r="F3989" s="312" t="s">
        <v>39</v>
      </c>
      <c r="G3989" s="308"/>
      <c r="H3989" s="308" t="s">
        <v>16314</v>
      </c>
      <c r="I3989" s="310">
        <v>42863.0</v>
      </c>
      <c r="J3989" s="319">
        <f>IFERROR(__xludf.DUMMYFUNCTION("SPLIT(I3989,""/"")"),8.0)</f>
        <v>8</v>
      </c>
      <c r="K3989" s="308">
        <f>IFERROR(__xludf.DUMMYFUNCTION("""COMPUTED_VALUE"""),5.0)</f>
        <v>5</v>
      </c>
      <c r="L3989" s="308">
        <f>IFERROR(__xludf.DUMMYFUNCTION("""COMPUTED_VALUE"""),2017.0)</f>
        <v>2017</v>
      </c>
      <c r="M3989" s="308" t="s">
        <v>16315</v>
      </c>
      <c r="N3989" s="308"/>
      <c r="O3989" s="308"/>
      <c r="P3989" s="308" t="s">
        <v>37364</v>
      </c>
      <c r="Q3989" s="308" t="s">
        <v>37363</v>
      </c>
      <c r="R3989" s="308" t="s">
        <v>2743</v>
      </c>
      <c r="S3989" s="308" t="s">
        <v>81</v>
      </c>
      <c r="T3989" s="308" t="s">
        <v>75</v>
      </c>
      <c r="U3989" s="308" t="s">
        <v>166</v>
      </c>
      <c r="V3989" s="312"/>
    </row>
    <row r="3990">
      <c r="A3990" s="308">
        <v>3989.0</v>
      </c>
      <c r="B3990" s="308"/>
      <c r="C3990" s="308" t="s">
        <v>16317</v>
      </c>
      <c r="D3990" s="308">
        <f>IFERROR(__xludf.DUMMYFUNCTION("SPLIT(C3990,""-"")"),4010.0)</f>
        <v>4010</v>
      </c>
      <c r="E3990" s="308" t="str">
        <f>IFERROR(__xludf.DUMMYFUNCTION("""COMPUTED_VALUE"""),"K")</f>
        <v>K</v>
      </c>
      <c r="F3990" s="309" t="s">
        <v>34</v>
      </c>
      <c r="G3990" s="308"/>
      <c r="H3990" s="308" t="s">
        <v>16318</v>
      </c>
      <c r="I3990" s="310">
        <v>42034.0</v>
      </c>
      <c r="J3990" s="319">
        <f>IFERROR(__xludf.DUMMYFUNCTION("SPLIT(I3990,""/"")"),30.0)</f>
        <v>30</v>
      </c>
      <c r="K3990" s="308">
        <f>IFERROR(__xludf.DUMMYFUNCTION("""COMPUTED_VALUE"""),1.0)</f>
        <v>1</v>
      </c>
      <c r="L3990" s="308">
        <f>IFERROR(__xludf.DUMMYFUNCTION("""COMPUTED_VALUE"""),2015.0)</f>
        <v>2015</v>
      </c>
      <c r="M3990" s="308" t="s">
        <v>16319</v>
      </c>
      <c r="N3990" s="308"/>
      <c r="O3990" s="308"/>
      <c r="P3990" s="308" t="s">
        <v>37365</v>
      </c>
      <c r="Q3990" s="308" t="s">
        <v>37366</v>
      </c>
      <c r="R3990" s="308" t="s">
        <v>2743</v>
      </c>
      <c r="S3990" s="308" t="s">
        <v>81</v>
      </c>
      <c r="T3990" s="308" t="s">
        <v>73</v>
      </c>
      <c r="U3990" s="308" t="s">
        <v>282</v>
      </c>
      <c r="V3990" s="312"/>
    </row>
    <row r="3991">
      <c r="A3991" s="308">
        <v>3990.0</v>
      </c>
      <c r="B3991" s="308"/>
      <c r="C3991" s="308" t="s">
        <v>16321</v>
      </c>
      <c r="D3991" s="308">
        <f>IFERROR(__xludf.DUMMYFUNCTION("SPLIT(C3991,""-"")"),4011.0)</f>
        <v>4011</v>
      </c>
      <c r="E3991" s="308" t="str">
        <f>IFERROR(__xludf.DUMMYFUNCTION("""COMPUTED_VALUE"""),"K")</f>
        <v>K</v>
      </c>
      <c r="F3991" s="309" t="s">
        <v>34</v>
      </c>
      <c r="G3991" s="308"/>
      <c r="H3991" s="308" t="s">
        <v>16322</v>
      </c>
      <c r="I3991" s="310">
        <v>42034.0</v>
      </c>
      <c r="J3991" s="319">
        <f>IFERROR(__xludf.DUMMYFUNCTION("SPLIT(I3991,""/"")"),30.0)</f>
        <v>30</v>
      </c>
      <c r="K3991" s="308">
        <f>IFERROR(__xludf.DUMMYFUNCTION("""COMPUTED_VALUE"""),1.0)</f>
        <v>1</v>
      </c>
      <c r="L3991" s="308">
        <f>IFERROR(__xludf.DUMMYFUNCTION("""COMPUTED_VALUE"""),2015.0)</f>
        <v>2015</v>
      </c>
      <c r="M3991" s="308" t="s">
        <v>16319</v>
      </c>
      <c r="N3991" s="308"/>
      <c r="O3991" s="308"/>
      <c r="P3991" s="308" t="s">
        <v>16323</v>
      </c>
      <c r="Q3991" s="308" t="s">
        <v>37366</v>
      </c>
      <c r="R3991" s="308" t="s">
        <v>2743</v>
      </c>
      <c r="S3991" s="308" t="s">
        <v>81</v>
      </c>
      <c r="T3991" s="308" t="s">
        <v>75</v>
      </c>
      <c r="U3991" s="308" t="s">
        <v>282</v>
      </c>
      <c r="V3991" s="312"/>
    </row>
    <row r="3992">
      <c r="A3992" s="308">
        <v>3991.0</v>
      </c>
      <c r="B3992" s="308"/>
      <c r="C3992" s="308" t="s">
        <v>16324</v>
      </c>
      <c r="D3992" s="308">
        <f>IFERROR(__xludf.DUMMYFUNCTION("SPLIT(C3992,""-"")"),4012.0)</f>
        <v>4012</v>
      </c>
      <c r="E3992" s="308" t="str">
        <f>IFERROR(__xludf.DUMMYFUNCTION("""COMPUTED_VALUE"""),"K")</f>
        <v>K</v>
      </c>
      <c r="F3992" s="309" t="s">
        <v>34</v>
      </c>
      <c r="G3992" s="308"/>
      <c r="H3992" s="308" t="s">
        <v>16325</v>
      </c>
      <c r="I3992" s="310">
        <v>42034.0</v>
      </c>
      <c r="J3992" s="319">
        <f>IFERROR(__xludf.DUMMYFUNCTION("SPLIT(I3992,""/"")"),30.0)</f>
        <v>30</v>
      </c>
      <c r="K3992" s="308">
        <f>IFERROR(__xludf.DUMMYFUNCTION("""COMPUTED_VALUE"""),1.0)</f>
        <v>1</v>
      </c>
      <c r="L3992" s="308">
        <f>IFERROR(__xludf.DUMMYFUNCTION("""COMPUTED_VALUE"""),2015.0)</f>
        <v>2015</v>
      </c>
      <c r="M3992" s="308" t="s">
        <v>16319</v>
      </c>
      <c r="N3992" s="308"/>
      <c r="O3992" s="308"/>
      <c r="P3992" s="308" t="s">
        <v>37367</v>
      </c>
      <c r="Q3992" s="308" t="s">
        <v>37366</v>
      </c>
      <c r="R3992" s="308" t="s">
        <v>2743</v>
      </c>
      <c r="S3992" s="308" t="s">
        <v>81</v>
      </c>
      <c r="T3992" s="308" t="s">
        <v>75</v>
      </c>
      <c r="U3992" s="308" t="s">
        <v>282</v>
      </c>
      <c r="V3992" s="312"/>
    </row>
    <row r="3993">
      <c r="A3993" s="308">
        <v>3992.0</v>
      </c>
      <c r="B3993" s="308"/>
      <c r="C3993" s="308" t="s">
        <v>16327</v>
      </c>
      <c r="D3993" s="308">
        <f>IFERROR(__xludf.DUMMYFUNCTION("SPLIT(C3993,""-"")"),4013.0)</f>
        <v>4013</v>
      </c>
      <c r="E3993" s="308" t="str">
        <f>IFERROR(__xludf.DUMMYFUNCTION("""COMPUTED_VALUE"""),"P")</f>
        <v>P</v>
      </c>
      <c r="F3993" s="312" t="s">
        <v>37</v>
      </c>
      <c r="G3993" s="308"/>
      <c r="H3993" s="308" t="s">
        <v>16328</v>
      </c>
      <c r="I3993" s="310">
        <v>42867.0</v>
      </c>
      <c r="J3993" s="319">
        <f>IFERROR(__xludf.DUMMYFUNCTION("SPLIT(I3993,""/"")"),12.0)</f>
        <v>12</v>
      </c>
      <c r="K3993" s="308">
        <f>IFERROR(__xludf.DUMMYFUNCTION("""COMPUTED_VALUE"""),5.0)</f>
        <v>5</v>
      </c>
      <c r="L3993" s="308">
        <f>IFERROR(__xludf.DUMMYFUNCTION("""COMPUTED_VALUE"""),2017.0)</f>
        <v>2017</v>
      </c>
      <c r="M3993" s="308" t="s">
        <v>16329</v>
      </c>
      <c r="N3993" s="308"/>
      <c r="O3993" s="308"/>
      <c r="P3993" s="308" t="s">
        <v>37368</v>
      </c>
      <c r="Q3993" s="308" t="s">
        <v>37369</v>
      </c>
      <c r="R3993" s="308" t="s">
        <v>2743</v>
      </c>
      <c r="S3993" s="308" t="s">
        <v>81</v>
      </c>
      <c r="T3993" s="308" t="s">
        <v>75</v>
      </c>
      <c r="U3993" s="308" t="s">
        <v>149</v>
      </c>
      <c r="V3993" s="312"/>
    </row>
    <row r="3994">
      <c r="A3994" s="308">
        <v>3993.0</v>
      </c>
      <c r="B3994" s="308"/>
      <c r="C3994" s="308" t="s">
        <v>16331</v>
      </c>
      <c r="D3994" s="308">
        <f>IFERROR(__xludf.DUMMYFUNCTION("SPLIT(C3994,""-"")"),4014.0)</f>
        <v>4014</v>
      </c>
      <c r="E3994" s="308" t="str">
        <f>IFERROR(__xludf.DUMMYFUNCTION("""COMPUTED_VALUE"""),"K")</f>
        <v>K</v>
      </c>
      <c r="F3994" s="309" t="s">
        <v>34</v>
      </c>
      <c r="G3994" s="308"/>
      <c r="H3994" s="308" t="s">
        <v>16332</v>
      </c>
      <c r="I3994" s="310">
        <v>42404.0</v>
      </c>
      <c r="J3994" s="319">
        <f>IFERROR(__xludf.DUMMYFUNCTION("SPLIT(I3994,""/"")"),4.0)</f>
        <v>4</v>
      </c>
      <c r="K3994" s="308">
        <f>IFERROR(__xludf.DUMMYFUNCTION("""COMPUTED_VALUE"""),2.0)</f>
        <v>2</v>
      </c>
      <c r="L3994" s="308">
        <f>IFERROR(__xludf.DUMMYFUNCTION("""COMPUTED_VALUE"""),2016.0)</f>
        <v>2016</v>
      </c>
      <c r="M3994" s="308" t="s">
        <v>16333</v>
      </c>
      <c r="N3994" s="308"/>
      <c r="O3994" s="308"/>
      <c r="P3994" s="308" t="s">
        <v>16334</v>
      </c>
      <c r="Q3994" s="308" t="s">
        <v>37369</v>
      </c>
      <c r="R3994" s="308" t="s">
        <v>2743</v>
      </c>
      <c r="S3994" s="308" t="s">
        <v>81</v>
      </c>
      <c r="T3994" s="308" t="s">
        <v>75</v>
      </c>
      <c r="U3994" s="308" t="s">
        <v>4487</v>
      </c>
      <c r="V3994" s="312"/>
    </row>
    <row r="3995">
      <c r="A3995" s="308">
        <v>3994.0</v>
      </c>
      <c r="B3995" s="308"/>
      <c r="C3995" s="308" t="s">
        <v>16335</v>
      </c>
      <c r="D3995" s="308">
        <f>IFERROR(__xludf.DUMMYFUNCTION("SPLIT(C3995,""-"")"),4015.0)</f>
        <v>4015</v>
      </c>
      <c r="E3995" s="308" t="str">
        <f>IFERROR(__xludf.DUMMYFUNCTION("""COMPUTED_VALUE"""),"S")</f>
        <v>S</v>
      </c>
      <c r="F3995" s="312" t="s">
        <v>39</v>
      </c>
      <c r="G3995" s="308"/>
      <c r="H3995" s="308" t="s">
        <v>16336</v>
      </c>
      <c r="I3995" s="310">
        <v>42528.0</v>
      </c>
      <c r="J3995" s="319">
        <f>IFERROR(__xludf.DUMMYFUNCTION("SPLIT(I3995,""/"")"),7.0)</f>
        <v>7</v>
      </c>
      <c r="K3995" s="308">
        <f>IFERROR(__xludf.DUMMYFUNCTION("""COMPUTED_VALUE"""),6.0)</f>
        <v>6</v>
      </c>
      <c r="L3995" s="308">
        <f>IFERROR(__xludf.DUMMYFUNCTION("""COMPUTED_VALUE"""),2016.0)</f>
        <v>2016</v>
      </c>
      <c r="M3995" s="308" t="s">
        <v>16337</v>
      </c>
      <c r="N3995" s="308"/>
      <c r="O3995" s="308"/>
      <c r="P3995" s="308" t="s">
        <v>37370</v>
      </c>
      <c r="Q3995" s="308" t="s">
        <v>37371</v>
      </c>
      <c r="R3995" s="308" t="s">
        <v>2743</v>
      </c>
      <c r="S3995" s="308" t="s">
        <v>81</v>
      </c>
      <c r="T3995" s="311" t="s">
        <v>73</v>
      </c>
      <c r="U3995" s="308" t="s">
        <v>166</v>
      </c>
      <c r="V3995" s="312"/>
    </row>
    <row r="3996">
      <c r="A3996" s="308">
        <v>3995.0</v>
      </c>
      <c r="B3996" s="308"/>
      <c r="C3996" s="308" t="s">
        <v>16339</v>
      </c>
      <c r="D3996" s="308">
        <f>IFERROR(__xludf.DUMMYFUNCTION("SPLIT(C3996,""-"")"),4016.0)</f>
        <v>4016</v>
      </c>
      <c r="E3996" s="308" t="str">
        <f>IFERROR(__xludf.DUMMYFUNCTION("""COMPUTED_VALUE"""),"S")</f>
        <v>S</v>
      </c>
      <c r="F3996" s="312" t="s">
        <v>39</v>
      </c>
      <c r="G3996" s="308"/>
      <c r="H3996" s="308" t="s">
        <v>37372</v>
      </c>
      <c r="I3996" s="310">
        <v>42574.0</v>
      </c>
      <c r="J3996" s="319">
        <f>IFERROR(__xludf.DUMMYFUNCTION("SPLIT(I3996,""/"")"),23.0)</f>
        <v>23</v>
      </c>
      <c r="K3996" s="308">
        <f>IFERROR(__xludf.DUMMYFUNCTION("""COMPUTED_VALUE"""),7.0)</f>
        <v>7</v>
      </c>
      <c r="L3996" s="308">
        <f>IFERROR(__xludf.DUMMYFUNCTION("""COMPUTED_VALUE"""),2016.0)</f>
        <v>2016</v>
      </c>
      <c r="M3996" s="308" t="s">
        <v>16341</v>
      </c>
      <c r="N3996" s="308" t="s">
        <v>16342</v>
      </c>
      <c r="O3996" s="308"/>
      <c r="P3996" s="308" t="s">
        <v>9979</v>
      </c>
      <c r="Q3996" s="308" t="s">
        <v>37371</v>
      </c>
      <c r="R3996" s="308" t="s">
        <v>14256</v>
      </c>
      <c r="S3996" s="315" t="s">
        <v>100</v>
      </c>
      <c r="T3996" s="311" t="s">
        <v>34208</v>
      </c>
      <c r="U3996" s="308" t="s">
        <v>40</v>
      </c>
      <c r="V3996" s="312"/>
    </row>
    <row r="3997">
      <c r="A3997" s="308">
        <v>3996.0</v>
      </c>
      <c r="B3997" s="308"/>
      <c r="C3997" s="308" t="s">
        <v>16343</v>
      </c>
      <c r="D3997" s="308">
        <f>IFERROR(__xludf.DUMMYFUNCTION("SPLIT(C3997,""-"")"),4017.0)</f>
        <v>4017</v>
      </c>
      <c r="E3997" s="308" t="str">
        <f>IFERROR(__xludf.DUMMYFUNCTION("""COMPUTED_VALUE"""),"K")</f>
        <v>K</v>
      </c>
      <c r="F3997" s="309" t="s">
        <v>34</v>
      </c>
      <c r="G3997" s="308"/>
      <c r="H3997" s="308" t="s">
        <v>16344</v>
      </c>
      <c r="I3997" s="310">
        <v>40041.0</v>
      </c>
      <c r="J3997" s="319">
        <f>IFERROR(__xludf.DUMMYFUNCTION("SPLIT(I3997,""/"")"),16.0)</f>
        <v>16</v>
      </c>
      <c r="K3997" s="308">
        <f>IFERROR(__xludf.DUMMYFUNCTION("""COMPUTED_VALUE"""),8.0)</f>
        <v>8</v>
      </c>
      <c r="L3997" s="308">
        <f>IFERROR(__xludf.DUMMYFUNCTION("""COMPUTED_VALUE"""),2009.0)</f>
        <v>2009</v>
      </c>
      <c r="M3997" s="308" t="s">
        <v>16345</v>
      </c>
      <c r="N3997" s="308" t="s">
        <v>16346</v>
      </c>
      <c r="O3997" s="308"/>
      <c r="P3997" s="308" t="s">
        <v>34212</v>
      </c>
      <c r="Q3997" s="308" t="s">
        <v>37371</v>
      </c>
      <c r="R3997" s="308" t="s">
        <v>2743</v>
      </c>
      <c r="S3997" s="315" t="s">
        <v>100</v>
      </c>
      <c r="T3997" s="311" t="s">
        <v>34208</v>
      </c>
      <c r="U3997" s="308" t="s">
        <v>530</v>
      </c>
      <c r="V3997" s="312"/>
    </row>
    <row r="3998">
      <c r="A3998" s="308">
        <v>3997.0</v>
      </c>
      <c r="B3998" s="308"/>
      <c r="C3998" s="308" t="s">
        <v>16347</v>
      </c>
      <c r="D3998" s="308">
        <f>IFERROR(__xludf.DUMMYFUNCTION("SPLIT(C3998,""-"")"),4018.0)</f>
        <v>4018</v>
      </c>
      <c r="E3998" s="308" t="str">
        <f>IFERROR(__xludf.DUMMYFUNCTION("""COMPUTED_VALUE"""),"P")</f>
        <v>P</v>
      </c>
      <c r="F3998" s="312" t="s">
        <v>37</v>
      </c>
      <c r="G3998" s="308"/>
      <c r="H3998" s="308" t="s">
        <v>16348</v>
      </c>
      <c r="I3998" s="314">
        <v>42327.0</v>
      </c>
      <c r="J3998" s="319">
        <f>IFERROR(__xludf.DUMMYFUNCTION("SPLIT(I3998,""/"")"),19.0)</f>
        <v>19</v>
      </c>
      <c r="K3998" s="308">
        <f>IFERROR(__xludf.DUMMYFUNCTION("""COMPUTED_VALUE"""),11.0)</f>
        <v>11</v>
      </c>
      <c r="L3998" s="308">
        <f>IFERROR(__xludf.DUMMYFUNCTION("""COMPUTED_VALUE"""),2015.0)</f>
        <v>2015</v>
      </c>
      <c r="M3998" s="308" t="s">
        <v>16349</v>
      </c>
      <c r="N3998" s="308"/>
      <c r="O3998" s="308"/>
      <c r="P3998" s="308" t="s">
        <v>36923</v>
      </c>
      <c r="Q3998" s="308" t="s">
        <v>37371</v>
      </c>
      <c r="R3998" s="308" t="s">
        <v>2743</v>
      </c>
      <c r="S3998" s="308" t="s">
        <v>49</v>
      </c>
      <c r="T3998" s="308" t="s">
        <v>51</v>
      </c>
      <c r="U3998" s="308" t="s">
        <v>143</v>
      </c>
      <c r="V3998" s="312"/>
    </row>
    <row r="3999">
      <c r="A3999" s="308">
        <v>3998.0</v>
      </c>
      <c r="B3999" s="308"/>
      <c r="C3999" s="308" t="s">
        <v>16350</v>
      </c>
      <c r="D3999" s="308">
        <f>IFERROR(__xludf.DUMMYFUNCTION("SPLIT(C3999,""-"")"),4019.0)</f>
        <v>4019</v>
      </c>
      <c r="E3999" s="308" t="str">
        <f>IFERROR(__xludf.DUMMYFUNCTION("""COMPUTED_VALUE"""),"P")</f>
        <v>P</v>
      </c>
      <c r="F3999" s="312" t="s">
        <v>37</v>
      </c>
      <c r="G3999" s="308"/>
      <c r="H3999" s="308" t="s">
        <v>16351</v>
      </c>
      <c r="I3999" s="310">
        <v>42427.0</v>
      </c>
      <c r="J3999" s="319">
        <f>IFERROR(__xludf.DUMMYFUNCTION("SPLIT(I3999,""/"")"),27.0)</f>
        <v>27</v>
      </c>
      <c r="K3999" s="308">
        <f>IFERROR(__xludf.DUMMYFUNCTION("""COMPUTED_VALUE"""),2.0)</f>
        <v>2</v>
      </c>
      <c r="L3999" s="308">
        <f>IFERROR(__xludf.DUMMYFUNCTION("""COMPUTED_VALUE"""),2016.0)</f>
        <v>2016</v>
      </c>
      <c r="M3999" s="308" t="s">
        <v>16352</v>
      </c>
      <c r="N3999" s="308"/>
      <c r="O3999" s="308"/>
      <c r="P3999" s="308" t="s">
        <v>16353</v>
      </c>
      <c r="Q3999" s="308" t="s">
        <v>37373</v>
      </c>
      <c r="R3999" s="308" t="s">
        <v>2743</v>
      </c>
      <c r="S3999" s="308" t="s">
        <v>81</v>
      </c>
      <c r="T3999" s="308" t="s">
        <v>34264</v>
      </c>
      <c r="U3999" s="308" t="s">
        <v>1435</v>
      </c>
      <c r="V3999" s="312"/>
    </row>
    <row r="4000">
      <c r="A4000" s="308">
        <v>3999.0</v>
      </c>
      <c r="B4000" s="308"/>
      <c r="C4000" s="308" t="s">
        <v>16354</v>
      </c>
      <c r="D4000" s="308">
        <f>IFERROR(__xludf.DUMMYFUNCTION("SPLIT(C4000,""-"")"),4020.0)</f>
        <v>4020</v>
      </c>
      <c r="E4000" s="308" t="str">
        <f>IFERROR(__xludf.DUMMYFUNCTION("""COMPUTED_VALUE"""),"P")</f>
        <v>P</v>
      </c>
      <c r="F4000" s="312" t="s">
        <v>37</v>
      </c>
      <c r="G4000" s="308"/>
      <c r="H4000" s="308" t="s">
        <v>16355</v>
      </c>
      <c r="I4000" s="310">
        <v>42256.0</v>
      </c>
      <c r="J4000" s="319">
        <f>IFERROR(__xludf.DUMMYFUNCTION("SPLIT(I4000,""/"")"),9.0)</f>
        <v>9</v>
      </c>
      <c r="K4000" s="308">
        <f>IFERROR(__xludf.DUMMYFUNCTION("""COMPUTED_VALUE"""),9.0)</f>
        <v>9</v>
      </c>
      <c r="L4000" s="308">
        <f>IFERROR(__xludf.DUMMYFUNCTION("""COMPUTED_VALUE"""),2015.0)</f>
        <v>2015</v>
      </c>
      <c r="M4000" s="308" t="s">
        <v>16356</v>
      </c>
      <c r="N4000" s="308"/>
      <c r="O4000" s="308"/>
      <c r="P4000" s="308" t="s">
        <v>4801</v>
      </c>
      <c r="Q4000" s="308" t="s">
        <v>37374</v>
      </c>
      <c r="R4000" s="308" t="s">
        <v>16185</v>
      </c>
      <c r="S4000" s="315" t="s">
        <v>100</v>
      </c>
      <c r="T4000" s="311" t="s">
        <v>34208</v>
      </c>
      <c r="U4000" s="308" t="s">
        <v>149</v>
      </c>
      <c r="V4000" s="312"/>
    </row>
    <row r="4001">
      <c r="A4001" s="308">
        <v>4000.0</v>
      </c>
      <c r="B4001" s="308"/>
      <c r="C4001" s="308" t="s">
        <v>16357</v>
      </c>
      <c r="D4001" s="308">
        <f>IFERROR(__xludf.DUMMYFUNCTION("SPLIT(C4001,""-"")"),4021.0)</f>
        <v>4021</v>
      </c>
      <c r="E4001" s="308" t="str">
        <f>IFERROR(__xludf.DUMMYFUNCTION("""COMPUTED_VALUE"""),"P")</f>
        <v>P</v>
      </c>
      <c r="F4001" s="312" t="s">
        <v>37</v>
      </c>
      <c r="G4001" s="308"/>
      <c r="H4001" s="308" t="s">
        <v>16358</v>
      </c>
      <c r="I4001" s="310">
        <v>42829.0</v>
      </c>
      <c r="J4001" s="319">
        <f>IFERROR(__xludf.DUMMYFUNCTION("SPLIT(I4001,""/"")"),4.0)</f>
        <v>4</v>
      </c>
      <c r="K4001" s="308">
        <f>IFERROR(__xludf.DUMMYFUNCTION("""COMPUTED_VALUE"""),4.0)</f>
        <v>4</v>
      </c>
      <c r="L4001" s="308">
        <f>IFERROR(__xludf.DUMMYFUNCTION("""COMPUTED_VALUE"""),2017.0)</f>
        <v>2017</v>
      </c>
      <c r="M4001" s="308" t="s">
        <v>16359</v>
      </c>
      <c r="N4001" s="308"/>
      <c r="O4001" s="308"/>
      <c r="P4001" s="308" t="s">
        <v>37375</v>
      </c>
      <c r="Q4001" s="308" t="s">
        <v>37374</v>
      </c>
      <c r="R4001" s="308" t="s">
        <v>16185</v>
      </c>
      <c r="S4001" s="308" t="s">
        <v>81</v>
      </c>
      <c r="T4001" s="308" t="s">
        <v>75</v>
      </c>
      <c r="U4001" s="308" t="s">
        <v>4273</v>
      </c>
      <c r="V4001" s="312"/>
    </row>
    <row r="4002">
      <c r="A4002" s="308">
        <v>4001.0</v>
      </c>
      <c r="B4002" s="308"/>
      <c r="C4002" s="308" t="s">
        <v>16361</v>
      </c>
      <c r="D4002" s="308">
        <f>IFERROR(__xludf.DUMMYFUNCTION("SPLIT(C4002,""-"")"),4022.0)</f>
        <v>4022</v>
      </c>
      <c r="E4002" s="308" t="str">
        <f>IFERROR(__xludf.DUMMYFUNCTION("""COMPUTED_VALUE"""),"B")</f>
        <v>B</v>
      </c>
      <c r="F4002" s="315" t="s">
        <v>26</v>
      </c>
      <c r="G4002" s="308"/>
      <c r="H4002" s="308" t="s">
        <v>16362</v>
      </c>
      <c r="I4002" s="310">
        <v>42745.0</v>
      </c>
      <c r="J4002" s="319">
        <f>IFERROR(__xludf.DUMMYFUNCTION("SPLIT(I4002,""/"")"),10.0)</f>
        <v>10</v>
      </c>
      <c r="K4002" s="308">
        <f>IFERROR(__xludf.DUMMYFUNCTION("""COMPUTED_VALUE"""),1.0)</f>
        <v>1</v>
      </c>
      <c r="L4002" s="308">
        <f>IFERROR(__xludf.DUMMYFUNCTION("""COMPUTED_VALUE"""),2017.0)</f>
        <v>2017</v>
      </c>
      <c r="M4002" s="308" t="s">
        <v>16363</v>
      </c>
      <c r="N4002" s="308"/>
      <c r="O4002" s="308"/>
      <c r="P4002" s="308" t="s">
        <v>37376</v>
      </c>
      <c r="Q4002" s="308" t="s">
        <v>37374</v>
      </c>
      <c r="R4002" s="308" t="s">
        <v>16185</v>
      </c>
      <c r="S4002" s="308" t="s">
        <v>49</v>
      </c>
      <c r="T4002" s="311" t="s">
        <v>53</v>
      </c>
      <c r="U4002" s="308" t="s">
        <v>27</v>
      </c>
      <c r="V4002" s="312"/>
    </row>
    <row r="4003">
      <c r="A4003" s="308">
        <v>4002.0</v>
      </c>
      <c r="B4003" s="308"/>
      <c r="C4003" s="308" t="s">
        <v>16365</v>
      </c>
      <c r="D4003" s="308">
        <f>IFERROR(__xludf.DUMMYFUNCTION("SPLIT(C4003,""-"")"),4023.0)</f>
        <v>4023</v>
      </c>
      <c r="E4003" s="308" t="str">
        <f>IFERROR(__xludf.DUMMYFUNCTION("""COMPUTED_VALUE"""),"S")</f>
        <v>S</v>
      </c>
      <c r="F4003" s="312" t="s">
        <v>39</v>
      </c>
      <c r="G4003" s="308"/>
      <c r="H4003" s="308" t="s">
        <v>16366</v>
      </c>
      <c r="I4003" s="310">
        <v>42054.0</v>
      </c>
      <c r="J4003" s="319">
        <f>IFERROR(__xludf.DUMMYFUNCTION("SPLIT(I4003,""/"")"),19.0)</f>
        <v>19</v>
      </c>
      <c r="K4003" s="308">
        <f>IFERROR(__xludf.DUMMYFUNCTION("""COMPUTED_VALUE"""),2.0)</f>
        <v>2</v>
      </c>
      <c r="L4003" s="308">
        <f>IFERROR(__xludf.DUMMYFUNCTION("""COMPUTED_VALUE"""),2015.0)</f>
        <v>2015</v>
      </c>
      <c r="M4003" s="308" t="s">
        <v>16367</v>
      </c>
      <c r="N4003" s="308"/>
      <c r="O4003" s="308"/>
      <c r="P4003" s="308" t="s">
        <v>36717</v>
      </c>
      <c r="Q4003" s="308" t="s">
        <v>37374</v>
      </c>
      <c r="R4003" s="308" t="s">
        <v>16185</v>
      </c>
      <c r="S4003" s="315" t="s">
        <v>100</v>
      </c>
      <c r="T4003" s="311" t="s">
        <v>34208</v>
      </c>
      <c r="U4003" s="308" t="s">
        <v>166</v>
      </c>
      <c r="V4003" s="312"/>
    </row>
    <row r="4004">
      <c r="A4004" s="308">
        <v>4003.0</v>
      </c>
      <c r="B4004" s="308"/>
      <c r="C4004" s="308" t="s">
        <v>16368</v>
      </c>
      <c r="D4004" s="308">
        <f>IFERROR(__xludf.DUMMYFUNCTION("SPLIT(C4004,""-"")"),4024.0)</f>
        <v>4024</v>
      </c>
      <c r="E4004" s="308" t="str">
        <f>IFERROR(__xludf.DUMMYFUNCTION("""COMPUTED_VALUE"""),"K")</f>
        <v>K</v>
      </c>
      <c r="F4004" s="309" t="s">
        <v>34</v>
      </c>
      <c r="G4004" s="308"/>
      <c r="H4004" s="308" t="s">
        <v>16369</v>
      </c>
      <c r="I4004" s="310">
        <v>42386.0</v>
      </c>
      <c r="J4004" s="319">
        <f>IFERROR(__xludf.DUMMYFUNCTION("SPLIT(I4004,""/"")"),17.0)</f>
        <v>17</v>
      </c>
      <c r="K4004" s="308">
        <f>IFERROR(__xludf.DUMMYFUNCTION("""COMPUTED_VALUE"""),1.0)</f>
        <v>1</v>
      </c>
      <c r="L4004" s="308">
        <f>IFERROR(__xludf.DUMMYFUNCTION("""COMPUTED_VALUE"""),2016.0)</f>
        <v>2016</v>
      </c>
      <c r="M4004" s="308" t="s">
        <v>16370</v>
      </c>
      <c r="N4004" s="308"/>
      <c r="O4004" s="308"/>
      <c r="P4004" s="308" t="s">
        <v>16371</v>
      </c>
      <c r="Q4004" s="308" t="s">
        <v>37374</v>
      </c>
      <c r="R4004" s="308" t="s">
        <v>16185</v>
      </c>
      <c r="S4004" s="308" t="s">
        <v>81</v>
      </c>
      <c r="T4004" s="308" t="s">
        <v>34264</v>
      </c>
      <c r="U4004" s="308" t="s">
        <v>125</v>
      </c>
      <c r="V4004" s="312"/>
    </row>
    <row r="4005">
      <c r="A4005" s="308">
        <v>4004.0</v>
      </c>
      <c r="B4005" s="308"/>
      <c r="C4005" s="308" t="s">
        <v>16372</v>
      </c>
      <c r="D4005" s="308">
        <f>IFERROR(__xludf.DUMMYFUNCTION("SPLIT(C4005,""-"")"),4025.0)</f>
        <v>4025</v>
      </c>
      <c r="E4005" s="308" t="str">
        <f>IFERROR(__xludf.DUMMYFUNCTION("""COMPUTED_VALUE"""),"K")</f>
        <v>K</v>
      </c>
      <c r="F4005" s="309" t="s">
        <v>34</v>
      </c>
      <c r="G4005" s="308"/>
      <c r="H4005" s="308" t="s">
        <v>16373</v>
      </c>
      <c r="I4005" s="310">
        <v>42740.0</v>
      </c>
      <c r="J4005" s="319" t="str">
        <f>IFERROR(__xludf.DUMMYFUNCTION("SPLIT(I4005,""/"")"),"#REF!")</f>
        <v>#REF!</v>
      </c>
      <c r="K4005" s="308"/>
      <c r="L4005" s="308">
        <v>2017.0</v>
      </c>
      <c r="M4005" s="308" t="s">
        <v>16374</v>
      </c>
      <c r="N4005" s="308"/>
      <c r="O4005" s="308"/>
      <c r="P4005" s="308" t="s">
        <v>16375</v>
      </c>
      <c r="Q4005" s="308" t="s">
        <v>37374</v>
      </c>
      <c r="R4005" s="308" t="s">
        <v>16185</v>
      </c>
      <c r="S4005" s="308" t="s">
        <v>81</v>
      </c>
      <c r="T4005" s="308" t="s">
        <v>73</v>
      </c>
      <c r="U4005" s="308" t="s">
        <v>2466</v>
      </c>
      <c r="V4005" s="312"/>
    </row>
    <row r="4006">
      <c r="A4006" s="308">
        <v>4005.0</v>
      </c>
      <c r="B4006" s="308"/>
      <c r="C4006" s="308" t="s">
        <v>16376</v>
      </c>
      <c r="D4006" s="308">
        <f>IFERROR(__xludf.DUMMYFUNCTION("SPLIT(C4006,""-"")"),4026.0)</f>
        <v>4026</v>
      </c>
      <c r="E4006" s="308" t="str">
        <f>IFERROR(__xludf.DUMMYFUNCTION("""COMPUTED_VALUE"""),"S")</f>
        <v>S</v>
      </c>
      <c r="F4006" s="312" t="s">
        <v>39</v>
      </c>
      <c r="G4006" s="308"/>
      <c r="H4006" s="308" t="s">
        <v>16377</v>
      </c>
      <c r="I4006" s="310">
        <v>42869.0</v>
      </c>
      <c r="J4006" s="319">
        <f>IFERROR(__xludf.DUMMYFUNCTION("SPLIT(I4006,""/"")"),14.0)</f>
        <v>14</v>
      </c>
      <c r="K4006" s="308">
        <f>IFERROR(__xludf.DUMMYFUNCTION("""COMPUTED_VALUE"""),5.0)</f>
        <v>5</v>
      </c>
      <c r="L4006" s="308">
        <f>IFERROR(__xludf.DUMMYFUNCTION("""COMPUTED_VALUE"""),2017.0)</f>
        <v>2017</v>
      </c>
      <c r="M4006" s="308" t="s">
        <v>16378</v>
      </c>
      <c r="N4006" s="308"/>
      <c r="O4006" s="308"/>
      <c r="P4006" s="308" t="s">
        <v>37377</v>
      </c>
      <c r="Q4006" s="308" t="s">
        <v>37374</v>
      </c>
      <c r="R4006" s="308" t="s">
        <v>14256</v>
      </c>
      <c r="S4006" s="308" t="s">
        <v>49</v>
      </c>
      <c r="T4006" s="308" t="s">
        <v>67</v>
      </c>
      <c r="U4006" s="308" t="s">
        <v>166</v>
      </c>
      <c r="V4006" s="312"/>
    </row>
    <row r="4007">
      <c r="A4007" s="308">
        <v>4006.0</v>
      </c>
      <c r="B4007" s="308"/>
      <c r="C4007" s="308" t="s">
        <v>16380</v>
      </c>
      <c r="D4007" s="308">
        <f>IFERROR(__xludf.DUMMYFUNCTION("SPLIT(C4007,""-"")"),4027.0)</f>
        <v>4027</v>
      </c>
      <c r="E4007" s="308" t="str">
        <f>IFERROR(__xludf.DUMMYFUNCTION("""COMPUTED_VALUE"""),"S")</f>
        <v>S</v>
      </c>
      <c r="F4007" s="312" t="s">
        <v>39</v>
      </c>
      <c r="G4007" s="308"/>
      <c r="H4007" s="308" t="s">
        <v>16381</v>
      </c>
      <c r="I4007" s="310">
        <v>42864.0</v>
      </c>
      <c r="J4007" s="319">
        <f>IFERROR(__xludf.DUMMYFUNCTION("SPLIT(I4007,""/"")"),9.0)</f>
        <v>9</v>
      </c>
      <c r="K4007" s="308">
        <f>IFERROR(__xludf.DUMMYFUNCTION("""COMPUTED_VALUE"""),5.0)</f>
        <v>5</v>
      </c>
      <c r="L4007" s="308">
        <f>IFERROR(__xludf.DUMMYFUNCTION("""COMPUTED_VALUE"""),2017.0)</f>
        <v>2017</v>
      </c>
      <c r="M4007" s="308" t="s">
        <v>16382</v>
      </c>
      <c r="N4007" s="308"/>
      <c r="O4007" s="308"/>
      <c r="P4007" s="308" t="s">
        <v>16383</v>
      </c>
      <c r="Q4007" s="308" t="s">
        <v>37374</v>
      </c>
      <c r="R4007" s="308" t="s">
        <v>14256</v>
      </c>
      <c r="S4007" s="308" t="s">
        <v>81</v>
      </c>
      <c r="T4007" s="308" t="s">
        <v>75</v>
      </c>
      <c r="U4007" s="308" t="s">
        <v>166</v>
      </c>
      <c r="V4007" s="312"/>
    </row>
    <row r="4008">
      <c r="A4008" s="308">
        <v>4007.0</v>
      </c>
      <c r="B4008" s="308"/>
      <c r="C4008" s="308" t="s">
        <v>16384</v>
      </c>
      <c r="D4008" s="308">
        <f>IFERROR(__xludf.DUMMYFUNCTION("SPLIT(C4008,""-"")"),4028.0)</f>
        <v>4028</v>
      </c>
      <c r="E4008" s="308" t="str">
        <f>IFERROR(__xludf.DUMMYFUNCTION("""COMPUTED_VALUE"""),"S")</f>
        <v>S</v>
      </c>
      <c r="F4008" s="312" t="s">
        <v>39</v>
      </c>
      <c r="G4008" s="308"/>
      <c r="H4008" s="308" t="s">
        <v>16385</v>
      </c>
      <c r="I4008" s="310">
        <v>42768.0</v>
      </c>
      <c r="J4008" s="319">
        <f>IFERROR(__xludf.DUMMYFUNCTION("SPLIT(I4008,""/"")"),2.0)</f>
        <v>2</v>
      </c>
      <c r="K4008" s="308">
        <f>IFERROR(__xludf.DUMMYFUNCTION("""COMPUTED_VALUE"""),2.0)</f>
        <v>2</v>
      </c>
      <c r="L4008" s="308">
        <f>IFERROR(__xludf.DUMMYFUNCTION("""COMPUTED_VALUE"""),2017.0)</f>
        <v>2017</v>
      </c>
      <c r="M4008" s="308" t="s">
        <v>37378</v>
      </c>
      <c r="N4008" s="308"/>
      <c r="O4008" s="308"/>
      <c r="P4008" s="308" t="s">
        <v>16387</v>
      </c>
      <c r="Q4008" s="308" t="s">
        <v>37379</v>
      </c>
      <c r="R4008" s="308" t="s">
        <v>2743</v>
      </c>
      <c r="S4008" s="308" t="s">
        <v>49</v>
      </c>
      <c r="T4008" s="311" t="s">
        <v>51</v>
      </c>
      <c r="U4008" s="308" t="s">
        <v>166</v>
      </c>
      <c r="V4008" s="312"/>
    </row>
    <row r="4009">
      <c r="A4009" s="308">
        <v>4008.0</v>
      </c>
      <c r="B4009" s="308"/>
      <c r="C4009" s="308" t="s">
        <v>16388</v>
      </c>
      <c r="D4009" s="308">
        <f>IFERROR(__xludf.DUMMYFUNCTION("SPLIT(C4009,""-"")"),4029.0)</f>
        <v>4029</v>
      </c>
      <c r="E4009" s="308" t="str">
        <f>IFERROR(__xludf.DUMMYFUNCTION("""COMPUTED_VALUE"""),"K")</f>
        <v>K</v>
      </c>
      <c r="F4009" s="309" t="s">
        <v>34</v>
      </c>
      <c r="G4009" s="308"/>
      <c r="H4009" s="308" t="s">
        <v>16389</v>
      </c>
      <c r="I4009" s="310">
        <v>40973.0</v>
      </c>
      <c r="J4009" s="319">
        <f>IFERROR(__xludf.DUMMYFUNCTION("SPLIT(I4009,""/"")"),5.0)</f>
        <v>5</v>
      </c>
      <c r="K4009" s="308">
        <f>IFERROR(__xludf.DUMMYFUNCTION("""COMPUTED_VALUE"""),3.0)</f>
        <v>3</v>
      </c>
      <c r="L4009" s="308">
        <f>IFERROR(__xludf.DUMMYFUNCTION("""COMPUTED_VALUE"""),2012.0)</f>
        <v>2012</v>
      </c>
      <c r="M4009" s="308" t="s">
        <v>16390</v>
      </c>
      <c r="N4009" s="308"/>
      <c r="O4009" s="308"/>
      <c r="P4009" s="308" t="s">
        <v>1762</v>
      </c>
      <c r="Q4009" s="308" t="s">
        <v>37380</v>
      </c>
      <c r="R4009" s="308" t="s">
        <v>2743</v>
      </c>
      <c r="S4009" s="315" t="s">
        <v>100</v>
      </c>
      <c r="T4009" s="311" t="s">
        <v>34208</v>
      </c>
      <c r="U4009" s="308" t="s">
        <v>542</v>
      </c>
      <c r="V4009" s="312"/>
    </row>
    <row r="4010">
      <c r="A4010" s="308">
        <v>4009.0</v>
      </c>
      <c r="B4010" s="308"/>
      <c r="C4010" s="308" t="s">
        <v>16391</v>
      </c>
      <c r="D4010" s="308">
        <f>IFERROR(__xludf.DUMMYFUNCTION("SPLIT(C4010,""-"")"),4030.0)</f>
        <v>4030</v>
      </c>
      <c r="E4010" s="308" t="str">
        <f>IFERROR(__xludf.DUMMYFUNCTION("""COMPUTED_VALUE"""),"S")</f>
        <v>S</v>
      </c>
      <c r="F4010" s="312" t="s">
        <v>39</v>
      </c>
      <c r="G4010" s="308"/>
      <c r="H4010" s="308" t="s">
        <v>16392</v>
      </c>
      <c r="I4010" s="310">
        <v>42859.0</v>
      </c>
      <c r="J4010" s="319">
        <f>IFERROR(__xludf.DUMMYFUNCTION("SPLIT(I4010,""/"")"),4.0)</f>
        <v>4</v>
      </c>
      <c r="K4010" s="308">
        <f>IFERROR(__xludf.DUMMYFUNCTION("""COMPUTED_VALUE"""),5.0)</f>
        <v>5</v>
      </c>
      <c r="L4010" s="308">
        <f>IFERROR(__xludf.DUMMYFUNCTION("""COMPUTED_VALUE"""),2017.0)</f>
        <v>2017</v>
      </c>
      <c r="M4010" s="308" t="s">
        <v>16393</v>
      </c>
      <c r="N4010" s="308"/>
      <c r="O4010" s="308"/>
      <c r="P4010" s="308" t="s">
        <v>37381</v>
      </c>
      <c r="Q4010" s="308" t="s">
        <v>37380</v>
      </c>
      <c r="R4010" s="308" t="s">
        <v>2743</v>
      </c>
      <c r="S4010" s="308" t="s">
        <v>81</v>
      </c>
      <c r="T4010" s="308" t="s">
        <v>75</v>
      </c>
      <c r="U4010" s="308" t="s">
        <v>16395</v>
      </c>
      <c r="V4010" s="312"/>
    </row>
    <row r="4011">
      <c r="A4011" s="308">
        <v>4010.0</v>
      </c>
      <c r="B4011" s="308"/>
      <c r="C4011" s="308" t="s">
        <v>16396</v>
      </c>
      <c r="D4011" s="308">
        <f>IFERROR(__xludf.DUMMYFUNCTION("SPLIT(C4011,""-"")"),4031.0)</f>
        <v>4031</v>
      </c>
      <c r="E4011" s="308" t="str">
        <f>IFERROR(__xludf.DUMMYFUNCTION("""COMPUTED_VALUE"""),"K")</f>
        <v>K</v>
      </c>
      <c r="F4011" s="309" t="s">
        <v>34</v>
      </c>
      <c r="G4011" s="308"/>
      <c r="H4011" s="308" t="s">
        <v>16397</v>
      </c>
      <c r="I4011" s="310">
        <v>42430.0</v>
      </c>
      <c r="J4011" s="319">
        <f>IFERROR(__xludf.DUMMYFUNCTION("SPLIT(I4011,""/"")"),1.0)</f>
        <v>1</v>
      </c>
      <c r="K4011" s="308">
        <f>IFERROR(__xludf.DUMMYFUNCTION("""COMPUTED_VALUE"""),3.0)</f>
        <v>3</v>
      </c>
      <c r="L4011" s="308">
        <f>IFERROR(__xludf.DUMMYFUNCTION("""COMPUTED_VALUE"""),2016.0)</f>
        <v>2016</v>
      </c>
      <c r="M4011" s="308" t="s">
        <v>16398</v>
      </c>
      <c r="N4011" s="308"/>
      <c r="O4011" s="308"/>
      <c r="P4011" s="308" t="s">
        <v>11838</v>
      </c>
      <c r="Q4011" s="308" t="s">
        <v>37382</v>
      </c>
      <c r="R4011" s="308" t="s">
        <v>13810</v>
      </c>
      <c r="S4011" s="315" t="s">
        <v>100</v>
      </c>
      <c r="T4011" s="311" t="s">
        <v>34208</v>
      </c>
      <c r="U4011" s="308" t="s">
        <v>2989</v>
      </c>
      <c r="V4011" s="312"/>
    </row>
    <row r="4012">
      <c r="A4012" s="308">
        <v>4011.0</v>
      </c>
      <c r="B4012" s="308"/>
      <c r="C4012" s="308" t="s">
        <v>16399</v>
      </c>
      <c r="D4012" s="308">
        <f>IFERROR(__xludf.DUMMYFUNCTION("SPLIT(C4012,""-"")"),4032.0)</f>
        <v>4032</v>
      </c>
      <c r="E4012" s="308" t="str">
        <f>IFERROR(__xludf.DUMMYFUNCTION("""COMPUTED_VALUE"""),"K")</f>
        <v>K</v>
      </c>
      <c r="F4012" s="309" t="s">
        <v>34</v>
      </c>
      <c r="G4012" s="308"/>
      <c r="H4012" s="308" t="s">
        <v>16400</v>
      </c>
      <c r="I4012" s="310">
        <v>41220.0</v>
      </c>
      <c r="J4012" s="319">
        <f>IFERROR(__xludf.DUMMYFUNCTION("SPLIT(I4012,""/"")"),7.0)</f>
        <v>7</v>
      </c>
      <c r="K4012" s="308">
        <f>IFERROR(__xludf.DUMMYFUNCTION("""COMPUTED_VALUE"""),11.0)</f>
        <v>11</v>
      </c>
      <c r="L4012" s="308">
        <f>IFERROR(__xludf.DUMMYFUNCTION("""COMPUTED_VALUE"""),2012.0)</f>
        <v>2012</v>
      </c>
      <c r="M4012" s="308" t="s">
        <v>16401</v>
      </c>
      <c r="N4012" s="308"/>
      <c r="O4012" s="308"/>
      <c r="P4012" s="308" t="s">
        <v>6381</v>
      </c>
      <c r="Q4012" s="308" t="s">
        <v>37382</v>
      </c>
      <c r="R4012" s="308" t="s">
        <v>2743</v>
      </c>
      <c r="S4012" s="315" t="s">
        <v>100</v>
      </c>
      <c r="T4012" s="311" t="s">
        <v>34208</v>
      </c>
      <c r="U4012" s="308" t="s">
        <v>201</v>
      </c>
      <c r="V4012" s="312"/>
    </row>
    <row r="4013">
      <c r="A4013" s="308">
        <v>4012.0</v>
      </c>
      <c r="B4013" s="308"/>
      <c r="C4013" s="308" t="s">
        <v>16402</v>
      </c>
      <c r="D4013" s="308">
        <f>IFERROR(__xludf.DUMMYFUNCTION("SPLIT(C4013,""-"")"),4033.0)</f>
        <v>4033</v>
      </c>
      <c r="E4013" s="308" t="str">
        <f>IFERROR(__xludf.DUMMYFUNCTION("""COMPUTED_VALUE"""),"K")</f>
        <v>K</v>
      </c>
      <c r="F4013" s="309" t="s">
        <v>34</v>
      </c>
      <c r="G4013" s="308"/>
      <c r="H4013" s="308" t="s">
        <v>16403</v>
      </c>
      <c r="I4013" s="310">
        <v>42037.0</v>
      </c>
      <c r="J4013" s="319">
        <f>IFERROR(__xludf.DUMMYFUNCTION("SPLIT(I4013,""/"")"),2.0)</f>
        <v>2</v>
      </c>
      <c r="K4013" s="308">
        <f>IFERROR(__xludf.DUMMYFUNCTION("""COMPUTED_VALUE"""),2.0)</f>
        <v>2</v>
      </c>
      <c r="L4013" s="308">
        <f>IFERROR(__xludf.DUMMYFUNCTION("""COMPUTED_VALUE"""),2015.0)</f>
        <v>2015</v>
      </c>
      <c r="M4013" s="308" t="s">
        <v>16404</v>
      </c>
      <c r="N4013" s="308"/>
      <c r="O4013" s="308"/>
      <c r="P4013" s="308" t="s">
        <v>37383</v>
      </c>
      <c r="Q4013" s="308" t="s">
        <v>37382</v>
      </c>
      <c r="R4013" s="308" t="s">
        <v>2743</v>
      </c>
      <c r="S4013" s="308" t="s">
        <v>81</v>
      </c>
      <c r="T4013" s="308" t="s">
        <v>34264</v>
      </c>
      <c r="U4013" s="308" t="s">
        <v>282</v>
      </c>
      <c r="V4013" s="312"/>
    </row>
    <row r="4014">
      <c r="A4014" s="308">
        <v>4013.0</v>
      </c>
      <c r="B4014" s="308"/>
      <c r="C4014" s="308" t="s">
        <v>16406</v>
      </c>
      <c r="D4014" s="308">
        <f>IFERROR(__xludf.DUMMYFUNCTION("SPLIT(C4014,""-"")"),4034.0)</f>
        <v>4034</v>
      </c>
      <c r="E4014" s="308" t="str">
        <f>IFERROR(__xludf.DUMMYFUNCTION("""COMPUTED_VALUE"""),"I")</f>
        <v>I</v>
      </c>
      <c r="F4014" s="309" t="s">
        <v>31</v>
      </c>
      <c r="G4014" s="308"/>
      <c r="H4014" s="308" t="s">
        <v>16407</v>
      </c>
      <c r="I4014" s="314">
        <v>42690.0</v>
      </c>
      <c r="J4014" s="319">
        <f>IFERROR(__xludf.DUMMYFUNCTION("SPLIT(I4014,""/"")"),16.0)</f>
        <v>16</v>
      </c>
      <c r="K4014" s="308">
        <f>IFERROR(__xludf.DUMMYFUNCTION("""COMPUTED_VALUE"""),11.0)</f>
        <v>11</v>
      </c>
      <c r="L4014" s="308">
        <f>IFERROR(__xludf.DUMMYFUNCTION("""COMPUTED_VALUE"""),2016.0)</f>
        <v>2016</v>
      </c>
      <c r="M4014" s="308" t="s">
        <v>16408</v>
      </c>
      <c r="N4014" s="308"/>
      <c r="O4014" s="308"/>
      <c r="P4014" s="308" t="s">
        <v>37384</v>
      </c>
      <c r="Q4014" s="308" t="s">
        <v>37385</v>
      </c>
      <c r="R4014" s="308" t="s">
        <v>2743</v>
      </c>
      <c r="S4014" s="308" t="s">
        <v>81</v>
      </c>
      <c r="T4014" s="308" t="s">
        <v>75</v>
      </c>
      <c r="U4014" s="308" t="s">
        <v>31</v>
      </c>
      <c r="V4014" s="312"/>
    </row>
    <row r="4015">
      <c r="A4015" s="308">
        <v>4014.0</v>
      </c>
      <c r="B4015" s="308"/>
      <c r="C4015" s="308" t="s">
        <v>16410</v>
      </c>
      <c r="D4015" s="308">
        <f>IFERROR(__xludf.DUMMYFUNCTION("SPLIT(C4015,""-"")"),4035.0)</f>
        <v>4035</v>
      </c>
      <c r="E4015" s="308" t="str">
        <f>IFERROR(__xludf.DUMMYFUNCTION("""COMPUTED_VALUE"""),"K")</f>
        <v>K</v>
      </c>
      <c r="F4015" s="309" t="s">
        <v>34</v>
      </c>
      <c r="G4015" s="308"/>
      <c r="H4015" s="308" t="s">
        <v>16411</v>
      </c>
      <c r="I4015" s="310">
        <v>41656.0</v>
      </c>
      <c r="J4015" s="319">
        <f>IFERROR(__xludf.DUMMYFUNCTION("SPLIT(I4015,""/"")"),17.0)</f>
        <v>17</v>
      </c>
      <c r="K4015" s="308">
        <f>IFERROR(__xludf.DUMMYFUNCTION("""COMPUTED_VALUE"""),1.0)</f>
        <v>1</v>
      </c>
      <c r="L4015" s="308">
        <f>IFERROR(__xludf.DUMMYFUNCTION("""COMPUTED_VALUE"""),2014.0)</f>
        <v>2014</v>
      </c>
      <c r="M4015" s="308" t="s">
        <v>16412</v>
      </c>
      <c r="N4015" s="308" t="s">
        <v>16413</v>
      </c>
      <c r="O4015" s="308" t="s">
        <v>16414</v>
      </c>
      <c r="P4015" s="308" t="s">
        <v>16415</v>
      </c>
      <c r="Q4015" s="308" t="s">
        <v>37385</v>
      </c>
      <c r="R4015" s="308" t="s">
        <v>2743</v>
      </c>
      <c r="S4015" s="308" t="s">
        <v>49</v>
      </c>
      <c r="T4015" s="308" t="s">
        <v>51</v>
      </c>
      <c r="U4015" s="308" t="s">
        <v>872</v>
      </c>
      <c r="V4015" s="312"/>
    </row>
    <row r="4016">
      <c r="A4016" s="308">
        <v>4015.0</v>
      </c>
      <c r="B4016" s="308"/>
      <c r="C4016" s="308" t="s">
        <v>16416</v>
      </c>
      <c r="D4016" s="308">
        <f>IFERROR(__xludf.DUMMYFUNCTION("SPLIT(C4016,""-"")"),4036.0)</f>
        <v>4036</v>
      </c>
      <c r="E4016" s="308" t="str">
        <f>IFERROR(__xludf.DUMMYFUNCTION("""COMPUTED_VALUE"""),"S")</f>
        <v>S</v>
      </c>
      <c r="F4016" s="312" t="s">
        <v>39</v>
      </c>
      <c r="G4016" s="308"/>
      <c r="H4016" s="308" t="s">
        <v>16417</v>
      </c>
      <c r="I4016" s="314">
        <v>41985.0</v>
      </c>
      <c r="J4016" s="319">
        <f>IFERROR(__xludf.DUMMYFUNCTION("SPLIT(I4016,""/"")"),12.0)</f>
        <v>12</v>
      </c>
      <c r="K4016" s="308">
        <f>IFERROR(__xludf.DUMMYFUNCTION("""COMPUTED_VALUE"""),12.0)</f>
        <v>12</v>
      </c>
      <c r="L4016" s="308">
        <f>IFERROR(__xludf.DUMMYFUNCTION("""COMPUTED_VALUE"""),2014.0)</f>
        <v>2014</v>
      </c>
      <c r="M4016" s="308" t="s">
        <v>16418</v>
      </c>
      <c r="N4016" s="308"/>
      <c r="O4016" s="308"/>
      <c r="P4016" s="308" t="s">
        <v>9979</v>
      </c>
      <c r="Q4016" s="308" t="s">
        <v>37385</v>
      </c>
      <c r="R4016" s="308" t="s">
        <v>2743</v>
      </c>
      <c r="S4016" s="315" t="s">
        <v>100</v>
      </c>
      <c r="T4016" s="311" t="s">
        <v>34208</v>
      </c>
      <c r="U4016" s="308" t="s">
        <v>166</v>
      </c>
      <c r="V4016" s="312"/>
    </row>
    <row r="4017">
      <c r="A4017" s="308">
        <v>4016.0</v>
      </c>
      <c r="B4017" s="308"/>
      <c r="C4017" s="308" t="s">
        <v>16419</v>
      </c>
      <c r="D4017" s="308">
        <f>IFERROR(__xludf.DUMMYFUNCTION("SPLIT(C4017,""-"")"),4037.0)</f>
        <v>4037</v>
      </c>
      <c r="E4017" s="308" t="str">
        <f>IFERROR(__xludf.DUMMYFUNCTION("""COMPUTED_VALUE"""),"P")</f>
        <v>P</v>
      </c>
      <c r="F4017" s="312" t="s">
        <v>37</v>
      </c>
      <c r="G4017" s="308"/>
      <c r="H4017" s="308" t="s">
        <v>16420</v>
      </c>
      <c r="I4017" s="314">
        <v>42294.0</v>
      </c>
      <c r="J4017" s="319">
        <f>IFERROR(__xludf.DUMMYFUNCTION("SPLIT(I4017,""/"")"),17.0)</f>
        <v>17</v>
      </c>
      <c r="K4017" s="308">
        <f>IFERROR(__xludf.DUMMYFUNCTION("""COMPUTED_VALUE"""),10.0)</f>
        <v>10</v>
      </c>
      <c r="L4017" s="308">
        <f>IFERROR(__xludf.DUMMYFUNCTION("""COMPUTED_VALUE"""),2015.0)</f>
        <v>2015</v>
      </c>
      <c r="M4017" s="308" t="s">
        <v>16421</v>
      </c>
      <c r="N4017" s="308"/>
      <c r="O4017" s="312"/>
      <c r="P4017" s="308" t="s">
        <v>37386</v>
      </c>
      <c r="Q4017" s="308" t="s">
        <v>37387</v>
      </c>
      <c r="R4017" s="308" t="s">
        <v>2743</v>
      </c>
      <c r="S4017" s="308" t="s">
        <v>49</v>
      </c>
      <c r="T4017" s="308" t="s">
        <v>51</v>
      </c>
      <c r="U4017" s="308" t="s">
        <v>3407</v>
      </c>
      <c r="V4017" s="312"/>
    </row>
    <row r="4018">
      <c r="A4018" s="308">
        <v>4017.0</v>
      </c>
      <c r="B4018" s="308"/>
      <c r="C4018" s="308" t="s">
        <v>16423</v>
      </c>
      <c r="D4018" s="308">
        <f>IFERROR(__xludf.DUMMYFUNCTION("SPLIT(C4018,""-"")"),4038.0)</f>
        <v>4038</v>
      </c>
      <c r="E4018" s="308" t="str">
        <f>IFERROR(__xludf.DUMMYFUNCTION("""COMPUTED_VALUE"""),"S")</f>
        <v>S</v>
      </c>
      <c r="F4018" s="312" t="s">
        <v>39</v>
      </c>
      <c r="G4018" s="308"/>
      <c r="H4018" s="308" t="s">
        <v>16424</v>
      </c>
      <c r="I4018" s="310">
        <v>42877.0</v>
      </c>
      <c r="J4018" s="319">
        <f>IFERROR(__xludf.DUMMYFUNCTION("SPLIT(I4018,""/"")"),22.0)</f>
        <v>22</v>
      </c>
      <c r="K4018" s="308">
        <f>IFERROR(__xludf.DUMMYFUNCTION("""COMPUTED_VALUE"""),5.0)</f>
        <v>5</v>
      </c>
      <c r="L4018" s="308">
        <f>IFERROR(__xludf.DUMMYFUNCTION("""COMPUTED_VALUE"""),2017.0)</f>
        <v>2017</v>
      </c>
      <c r="M4018" s="308"/>
      <c r="N4018" s="308"/>
      <c r="O4018" s="308"/>
      <c r="P4018" s="308" t="s">
        <v>37388</v>
      </c>
      <c r="Q4018" s="308" t="s">
        <v>37389</v>
      </c>
      <c r="R4018" s="308" t="s">
        <v>14256</v>
      </c>
      <c r="S4018" s="308" t="s">
        <v>81</v>
      </c>
      <c r="T4018" s="308" t="s">
        <v>75</v>
      </c>
      <c r="U4018" s="308" t="s">
        <v>166</v>
      </c>
      <c r="V4018" s="312"/>
    </row>
    <row r="4019">
      <c r="A4019" s="308">
        <v>4018.0</v>
      </c>
      <c r="B4019" s="308"/>
      <c r="C4019" s="308" t="s">
        <v>16426</v>
      </c>
      <c r="D4019" s="308">
        <f>IFERROR(__xludf.DUMMYFUNCTION("SPLIT(C4019,""-"")"),4039.0)</f>
        <v>4039</v>
      </c>
      <c r="E4019" s="308" t="str">
        <f>IFERROR(__xludf.DUMMYFUNCTION("""COMPUTED_VALUE"""),"S")</f>
        <v>S</v>
      </c>
      <c r="F4019" s="312" t="s">
        <v>39</v>
      </c>
      <c r="G4019" s="308"/>
      <c r="H4019" s="308" t="s">
        <v>16427</v>
      </c>
      <c r="I4019" s="310">
        <v>42872.0</v>
      </c>
      <c r="J4019" s="319">
        <f>IFERROR(__xludf.DUMMYFUNCTION("SPLIT(I4019,""/"")"),17.0)</f>
        <v>17</v>
      </c>
      <c r="K4019" s="308">
        <f>IFERROR(__xludf.DUMMYFUNCTION("""COMPUTED_VALUE"""),5.0)</f>
        <v>5</v>
      </c>
      <c r="L4019" s="308">
        <f>IFERROR(__xludf.DUMMYFUNCTION("""COMPUTED_VALUE"""),2017.0)</f>
        <v>2017</v>
      </c>
      <c r="M4019" s="308" t="s">
        <v>16428</v>
      </c>
      <c r="N4019" s="308"/>
      <c r="O4019" s="308"/>
      <c r="P4019" s="308" t="s">
        <v>16429</v>
      </c>
      <c r="Q4019" s="308" t="s">
        <v>37389</v>
      </c>
      <c r="R4019" s="308" t="s">
        <v>14256</v>
      </c>
      <c r="S4019" s="308" t="s">
        <v>81</v>
      </c>
      <c r="T4019" s="308" t="s">
        <v>75</v>
      </c>
      <c r="U4019" s="308" t="s">
        <v>166</v>
      </c>
      <c r="V4019" s="312"/>
    </row>
    <row r="4020">
      <c r="A4020" s="308">
        <v>4019.0</v>
      </c>
      <c r="B4020" s="308"/>
      <c r="C4020" s="308" t="s">
        <v>16430</v>
      </c>
      <c r="D4020" s="308">
        <f>IFERROR(__xludf.DUMMYFUNCTION("SPLIT(C4020,""-"")"),4040.0)</f>
        <v>4040</v>
      </c>
      <c r="E4020" s="308" t="str">
        <f>IFERROR(__xludf.DUMMYFUNCTION("""COMPUTED_VALUE"""),"S")</f>
        <v>S</v>
      </c>
      <c r="F4020" s="312" t="s">
        <v>39</v>
      </c>
      <c r="G4020" s="308"/>
      <c r="H4020" s="308" t="s">
        <v>16431</v>
      </c>
      <c r="I4020" s="310">
        <v>42873.0</v>
      </c>
      <c r="J4020" s="319">
        <f>IFERROR(__xludf.DUMMYFUNCTION("SPLIT(I4020,""/"")"),18.0)</f>
        <v>18</v>
      </c>
      <c r="K4020" s="308">
        <f>IFERROR(__xludf.DUMMYFUNCTION("""COMPUTED_VALUE"""),5.0)</f>
        <v>5</v>
      </c>
      <c r="L4020" s="308">
        <f>IFERROR(__xludf.DUMMYFUNCTION("""COMPUTED_VALUE"""),2017.0)</f>
        <v>2017</v>
      </c>
      <c r="M4020" s="308" t="s">
        <v>16432</v>
      </c>
      <c r="N4020" s="308"/>
      <c r="O4020" s="308"/>
      <c r="P4020" s="308" t="s">
        <v>34782</v>
      </c>
      <c r="Q4020" s="308" t="s">
        <v>37389</v>
      </c>
      <c r="R4020" s="308" t="s">
        <v>14256</v>
      </c>
      <c r="S4020" s="308" t="s">
        <v>49</v>
      </c>
      <c r="T4020" s="308" t="s">
        <v>51</v>
      </c>
      <c r="U4020" s="308" t="s">
        <v>166</v>
      </c>
      <c r="V4020" s="312"/>
    </row>
    <row r="4021">
      <c r="A4021" s="308">
        <v>4020.0</v>
      </c>
      <c r="B4021" s="308"/>
      <c r="C4021" s="308" t="s">
        <v>16433</v>
      </c>
      <c r="D4021" s="308" t="str">
        <f>IFERROR(__xludf.DUMMYFUNCTION("SPLIT(C4021,""-"")"),"#REF!")</f>
        <v>#REF!</v>
      </c>
      <c r="E4021" s="311"/>
      <c r="F4021" s="309" t="s">
        <v>34</v>
      </c>
      <c r="G4021" s="308"/>
      <c r="H4021" s="308" t="s">
        <v>16434</v>
      </c>
      <c r="I4021" s="310">
        <v>41030.0</v>
      </c>
      <c r="J4021" s="319">
        <f>IFERROR(__xludf.DUMMYFUNCTION("SPLIT(I4021,""/"")"),1.0)</f>
        <v>1</v>
      </c>
      <c r="K4021" s="308">
        <f>IFERROR(__xludf.DUMMYFUNCTION("""COMPUTED_VALUE"""),5.0)</f>
        <v>5</v>
      </c>
      <c r="L4021" s="308">
        <f>IFERROR(__xludf.DUMMYFUNCTION("""COMPUTED_VALUE"""),2012.0)</f>
        <v>2012</v>
      </c>
      <c r="M4021" s="308" t="s">
        <v>16435</v>
      </c>
      <c r="N4021" s="308"/>
      <c r="O4021" s="308"/>
      <c r="P4021" s="308" t="s">
        <v>5736</v>
      </c>
      <c r="Q4021" s="308" t="s">
        <v>37389</v>
      </c>
      <c r="R4021" s="308" t="s">
        <v>14256</v>
      </c>
      <c r="S4021" s="308" t="s">
        <v>49</v>
      </c>
      <c r="T4021" s="308" t="s">
        <v>51</v>
      </c>
      <c r="U4021" s="308" t="s">
        <v>201</v>
      </c>
      <c r="V4021" s="312"/>
    </row>
    <row r="4022">
      <c r="A4022" s="308">
        <v>4021.0</v>
      </c>
      <c r="B4022" s="308"/>
      <c r="C4022" s="308" t="s">
        <v>16436</v>
      </c>
      <c r="D4022" s="308">
        <f>IFERROR(__xludf.DUMMYFUNCTION("SPLIT(C4022,""-"")"),4042.0)</f>
        <v>4042</v>
      </c>
      <c r="E4022" s="308" t="str">
        <f>IFERROR(__xludf.DUMMYFUNCTION("""COMPUTED_VALUE"""),"P")</f>
        <v>P</v>
      </c>
      <c r="F4022" s="312" t="s">
        <v>37</v>
      </c>
      <c r="G4022" s="308"/>
      <c r="H4022" s="308" t="s">
        <v>16437</v>
      </c>
      <c r="I4022" s="314">
        <v>42663.0</v>
      </c>
      <c r="J4022" s="319">
        <f>IFERROR(__xludf.DUMMYFUNCTION("SPLIT(I4022,""/"")"),20.0)</f>
        <v>20</v>
      </c>
      <c r="K4022" s="308">
        <f>IFERROR(__xludf.DUMMYFUNCTION("""COMPUTED_VALUE"""),10.0)</f>
        <v>10</v>
      </c>
      <c r="L4022" s="308">
        <f>IFERROR(__xludf.DUMMYFUNCTION("""COMPUTED_VALUE"""),2016.0)</f>
        <v>2016</v>
      </c>
      <c r="M4022" s="308" t="s">
        <v>16438</v>
      </c>
      <c r="N4022" s="308"/>
      <c r="O4022" s="308" t="s">
        <v>16439</v>
      </c>
      <c r="P4022" s="308" t="s">
        <v>13616</v>
      </c>
      <c r="Q4022" s="308" t="s">
        <v>37390</v>
      </c>
      <c r="R4022" s="308" t="s">
        <v>2743</v>
      </c>
      <c r="S4022" s="315" t="s">
        <v>100</v>
      </c>
      <c r="T4022" s="311" t="s">
        <v>34208</v>
      </c>
      <c r="U4022" s="308" t="s">
        <v>2291</v>
      </c>
      <c r="V4022" s="312"/>
    </row>
    <row r="4023">
      <c r="A4023" s="308">
        <v>4022.0</v>
      </c>
      <c r="B4023" s="308"/>
      <c r="C4023" s="308" t="s">
        <v>16440</v>
      </c>
      <c r="D4023" s="308">
        <f>IFERROR(__xludf.DUMMYFUNCTION("SPLIT(C4023,""-"")"),4043.0)</f>
        <v>4043</v>
      </c>
      <c r="E4023" s="308" t="str">
        <f>IFERROR(__xludf.DUMMYFUNCTION("""COMPUTED_VALUE"""),"P")</f>
        <v>P</v>
      </c>
      <c r="F4023" s="312" t="s">
        <v>37</v>
      </c>
      <c r="G4023" s="308"/>
      <c r="H4023" s="308" t="s">
        <v>16441</v>
      </c>
      <c r="I4023" s="310">
        <v>42893.0</v>
      </c>
      <c r="J4023" s="319">
        <f>IFERROR(__xludf.DUMMYFUNCTION("SPLIT(I4023,""/"")"),7.0)</f>
        <v>7</v>
      </c>
      <c r="K4023" s="308">
        <f>IFERROR(__xludf.DUMMYFUNCTION("""COMPUTED_VALUE"""),6.0)</f>
        <v>6</v>
      </c>
      <c r="L4023" s="308">
        <f>IFERROR(__xludf.DUMMYFUNCTION("""COMPUTED_VALUE"""),2017.0)</f>
        <v>2017</v>
      </c>
      <c r="M4023" s="308" t="s">
        <v>16442</v>
      </c>
      <c r="N4023" s="308"/>
      <c r="O4023" s="308"/>
      <c r="P4023" s="308" t="s">
        <v>37391</v>
      </c>
      <c r="Q4023" s="308" t="s">
        <v>37390</v>
      </c>
      <c r="R4023" s="308" t="s">
        <v>2743</v>
      </c>
      <c r="S4023" s="308" t="s">
        <v>81</v>
      </c>
      <c r="T4023" s="308" t="s">
        <v>75</v>
      </c>
      <c r="U4023" s="308" t="s">
        <v>149</v>
      </c>
      <c r="V4023" s="312"/>
    </row>
    <row r="4024">
      <c r="A4024" s="308">
        <v>4023.0</v>
      </c>
      <c r="B4024" s="308"/>
      <c r="C4024" s="308" t="s">
        <v>16444</v>
      </c>
      <c r="D4024" s="308">
        <f>IFERROR(__xludf.DUMMYFUNCTION("SPLIT(C4024,""-"")"),4044.0)</f>
        <v>4044</v>
      </c>
      <c r="E4024" s="308" t="str">
        <f>IFERROR(__xludf.DUMMYFUNCTION("""COMPUTED_VALUE"""),"I")</f>
        <v>I</v>
      </c>
      <c r="F4024" s="309" t="s">
        <v>31</v>
      </c>
      <c r="G4024" s="308"/>
      <c r="H4024" s="308" t="s">
        <v>16445</v>
      </c>
      <c r="I4024" s="310">
        <v>42802.0</v>
      </c>
      <c r="J4024" s="319">
        <f>IFERROR(__xludf.DUMMYFUNCTION("SPLIT(I4024,""/"")"),8.0)</f>
        <v>8</v>
      </c>
      <c r="K4024" s="308">
        <f>IFERROR(__xludf.DUMMYFUNCTION("""COMPUTED_VALUE"""),3.0)</f>
        <v>3</v>
      </c>
      <c r="L4024" s="308">
        <f>IFERROR(__xludf.DUMMYFUNCTION("""COMPUTED_VALUE"""),2017.0)</f>
        <v>2017</v>
      </c>
      <c r="M4024" s="308"/>
      <c r="N4024" s="308"/>
      <c r="O4024" s="308" t="s">
        <v>16446</v>
      </c>
      <c r="P4024" s="308" t="s">
        <v>296</v>
      </c>
      <c r="Q4024" s="308" t="s">
        <v>37392</v>
      </c>
      <c r="R4024" s="308" t="s">
        <v>16447</v>
      </c>
      <c r="S4024" s="308" t="s">
        <v>81</v>
      </c>
      <c r="T4024" s="308" t="s">
        <v>75</v>
      </c>
      <c r="U4024" s="308" t="s">
        <v>31</v>
      </c>
      <c r="V4024" s="312"/>
    </row>
    <row r="4025">
      <c r="A4025" s="308">
        <v>4024.0</v>
      </c>
      <c r="B4025" s="308"/>
      <c r="C4025" s="308" t="s">
        <v>16448</v>
      </c>
      <c r="D4025" s="308">
        <f>IFERROR(__xludf.DUMMYFUNCTION("SPLIT(C4025,""-"")"),4045.0)</f>
        <v>4045</v>
      </c>
      <c r="E4025" s="308" t="str">
        <f>IFERROR(__xludf.DUMMYFUNCTION("""COMPUTED_VALUE"""),"I")</f>
        <v>I</v>
      </c>
      <c r="F4025" s="309" t="s">
        <v>31</v>
      </c>
      <c r="G4025" s="308"/>
      <c r="H4025" s="308" t="s">
        <v>16449</v>
      </c>
      <c r="I4025" s="310">
        <v>42808.0</v>
      </c>
      <c r="J4025" s="319">
        <f>IFERROR(__xludf.DUMMYFUNCTION("SPLIT(I4025,""/"")"),14.0)</f>
        <v>14</v>
      </c>
      <c r="K4025" s="308">
        <f>IFERROR(__xludf.DUMMYFUNCTION("""COMPUTED_VALUE"""),3.0)</f>
        <v>3</v>
      </c>
      <c r="L4025" s="308">
        <f>IFERROR(__xludf.DUMMYFUNCTION("""COMPUTED_VALUE"""),2017.0)</f>
        <v>2017</v>
      </c>
      <c r="M4025" s="308"/>
      <c r="N4025" s="308"/>
      <c r="O4025" s="308" t="s">
        <v>16450</v>
      </c>
      <c r="P4025" s="308" t="s">
        <v>37393</v>
      </c>
      <c r="Q4025" s="308" t="s">
        <v>37392</v>
      </c>
      <c r="R4025" s="308" t="s">
        <v>16447</v>
      </c>
      <c r="S4025" s="308" t="s">
        <v>81</v>
      </c>
      <c r="T4025" s="308" t="s">
        <v>73</v>
      </c>
      <c r="U4025" s="308" t="s">
        <v>31</v>
      </c>
      <c r="V4025" s="312"/>
    </row>
    <row r="4026">
      <c r="A4026" s="308">
        <v>4025.0</v>
      </c>
      <c r="B4026" s="308"/>
      <c r="C4026" s="308" t="s">
        <v>16452</v>
      </c>
      <c r="D4026" s="308">
        <f>IFERROR(__xludf.DUMMYFUNCTION("SPLIT(C4026,""-"")"),4046.0)</f>
        <v>4046</v>
      </c>
      <c r="E4026" s="308" t="str">
        <f>IFERROR(__xludf.DUMMYFUNCTION("""COMPUTED_VALUE"""),"B")</f>
        <v>B</v>
      </c>
      <c r="F4026" s="315" t="s">
        <v>26</v>
      </c>
      <c r="G4026" s="308"/>
      <c r="H4026" s="308" t="s">
        <v>16453</v>
      </c>
      <c r="I4026" s="310">
        <v>42879.0</v>
      </c>
      <c r="J4026" s="319">
        <f>IFERROR(__xludf.DUMMYFUNCTION("SPLIT(I4026,""/"")"),24.0)</f>
        <v>24</v>
      </c>
      <c r="K4026" s="308">
        <f>IFERROR(__xludf.DUMMYFUNCTION("""COMPUTED_VALUE"""),5.0)</f>
        <v>5</v>
      </c>
      <c r="L4026" s="308">
        <f>IFERROR(__xludf.DUMMYFUNCTION("""COMPUTED_VALUE"""),2017.0)</f>
        <v>2017</v>
      </c>
      <c r="M4026" s="308" t="s">
        <v>16454</v>
      </c>
      <c r="N4026" s="308"/>
      <c r="O4026" s="308"/>
      <c r="P4026" s="308" t="s">
        <v>37394</v>
      </c>
      <c r="Q4026" s="308" t="s">
        <v>37395</v>
      </c>
      <c r="R4026" s="308" t="s">
        <v>16456</v>
      </c>
      <c r="S4026" s="308" t="s">
        <v>81</v>
      </c>
      <c r="T4026" s="308" t="s">
        <v>75</v>
      </c>
      <c r="U4026" s="308" t="s">
        <v>27</v>
      </c>
      <c r="V4026" s="312"/>
    </row>
    <row r="4027">
      <c r="A4027" s="308">
        <v>4026.0</v>
      </c>
      <c r="B4027" s="308"/>
      <c r="C4027" s="308" t="s">
        <v>16457</v>
      </c>
      <c r="D4027" s="308">
        <f>IFERROR(__xludf.DUMMYFUNCTION("SPLIT(C4027,""-"")"),4047.0)</f>
        <v>4047</v>
      </c>
      <c r="E4027" s="308" t="str">
        <f>IFERROR(__xludf.DUMMYFUNCTION("""COMPUTED_VALUE"""),"P")</f>
        <v>P</v>
      </c>
      <c r="F4027" s="312" t="s">
        <v>37</v>
      </c>
      <c r="G4027" s="308"/>
      <c r="H4027" s="308" t="s">
        <v>16458</v>
      </c>
      <c r="I4027" s="310">
        <v>42875.0</v>
      </c>
      <c r="J4027" s="319">
        <f>IFERROR(__xludf.DUMMYFUNCTION("SPLIT(I4027,""/"")"),20.0)</f>
        <v>20</v>
      </c>
      <c r="K4027" s="308">
        <f>IFERROR(__xludf.DUMMYFUNCTION("""COMPUTED_VALUE"""),5.0)</f>
        <v>5</v>
      </c>
      <c r="L4027" s="308">
        <f>IFERROR(__xludf.DUMMYFUNCTION("""COMPUTED_VALUE"""),2017.0)</f>
        <v>2017</v>
      </c>
      <c r="M4027" s="308" t="s">
        <v>16459</v>
      </c>
      <c r="N4027" s="308"/>
      <c r="O4027" s="308" t="s">
        <v>16460</v>
      </c>
      <c r="P4027" s="308" t="s">
        <v>37396</v>
      </c>
      <c r="Q4027" s="308" t="s">
        <v>37395</v>
      </c>
      <c r="R4027" s="308" t="s">
        <v>2743</v>
      </c>
      <c r="S4027" s="308" t="s">
        <v>81</v>
      </c>
      <c r="T4027" s="311" t="s">
        <v>96</v>
      </c>
      <c r="U4027" s="308" t="s">
        <v>143</v>
      </c>
      <c r="V4027" s="312"/>
    </row>
    <row r="4028">
      <c r="A4028" s="308">
        <v>4027.0</v>
      </c>
      <c r="B4028" s="308"/>
      <c r="C4028" s="308" t="s">
        <v>16462</v>
      </c>
      <c r="D4028" s="308">
        <f>IFERROR(__xludf.DUMMYFUNCTION("SPLIT(C4028,""-"")"),4048.0)</f>
        <v>4048</v>
      </c>
      <c r="E4028" s="308" t="str">
        <f>IFERROR(__xludf.DUMMYFUNCTION("""COMPUTED_VALUE"""),"F")</f>
        <v>F</v>
      </c>
      <c r="F4028" s="309" t="s">
        <v>34</v>
      </c>
      <c r="G4028" s="308"/>
      <c r="H4028" s="308" t="s">
        <v>16463</v>
      </c>
      <c r="I4028" s="314">
        <v>40492.0</v>
      </c>
      <c r="J4028" s="319">
        <f>IFERROR(__xludf.DUMMYFUNCTION("SPLIT(I4028,""/"")"),10.0)</f>
        <v>10</v>
      </c>
      <c r="K4028" s="308">
        <f>IFERROR(__xludf.DUMMYFUNCTION("""COMPUTED_VALUE"""),11.0)</f>
        <v>11</v>
      </c>
      <c r="L4028" s="308">
        <f>IFERROR(__xludf.DUMMYFUNCTION("""COMPUTED_VALUE"""),2010.0)</f>
        <v>2010</v>
      </c>
      <c r="M4028" s="308" t="s">
        <v>16464</v>
      </c>
      <c r="N4028" s="308"/>
      <c r="O4028" s="308"/>
      <c r="P4028" s="308" t="s">
        <v>37397</v>
      </c>
      <c r="Q4028" s="308" t="s">
        <v>37395</v>
      </c>
      <c r="R4028" s="308" t="s">
        <v>2743</v>
      </c>
      <c r="S4028" s="315" t="s">
        <v>100</v>
      </c>
      <c r="T4028" s="311" t="s">
        <v>34208</v>
      </c>
      <c r="U4028" s="308" t="s">
        <v>16466</v>
      </c>
      <c r="V4028" s="312"/>
    </row>
    <row r="4029">
      <c r="A4029" s="308">
        <v>4028.0</v>
      </c>
      <c r="B4029" s="308"/>
      <c r="C4029" s="308" t="s">
        <v>16467</v>
      </c>
      <c r="D4029" s="308">
        <f>IFERROR(__xludf.DUMMYFUNCTION("SPLIT(C4029,""-"")"),4049.0)</f>
        <v>4049</v>
      </c>
      <c r="E4029" s="308" t="str">
        <f>IFERROR(__xludf.DUMMYFUNCTION("""COMPUTED_VALUE"""),"K")</f>
        <v>K</v>
      </c>
      <c r="F4029" s="309" t="s">
        <v>34</v>
      </c>
      <c r="G4029" s="308"/>
      <c r="H4029" s="308" t="s">
        <v>16468</v>
      </c>
      <c r="I4029" s="310">
        <v>40035.0</v>
      </c>
      <c r="J4029" s="319">
        <f>IFERROR(__xludf.DUMMYFUNCTION("SPLIT(I4029,""/"")"),10.0)</f>
        <v>10</v>
      </c>
      <c r="K4029" s="308">
        <f>IFERROR(__xludf.DUMMYFUNCTION("""COMPUTED_VALUE"""),8.0)</f>
        <v>8</v>
      </c>
      <c r="L4029" s="308">
        <f>IFERROR(__xludf.DUMMYFUNCTION("""COMPUTED_VALUE"""),2009.0)</f>
        <v>2009</v>
      </c>
      <c r="M4029" s="308" t="s">
        <v>16464</v>
      </c>
      <c r="N4029" s="308"/>
      <c r="O4029" s="308"/>
      <c r="P4029" s="308" t="s">
        <v>37398</v>
      </c>
      <c r="Q4029" s="308" t="s">
        <v>37395</v>
      </c>
      <c r="R4029" s="308" t="s">
        <v>2743</v>
      </c>
      <c r="S4029" s="308" t="s">
        <v>81</v>
      </c>
      <c r="T4029" s="308" t="s">
        <v>34264</v>
      </c>
      <c r="U4029" s="308" t="s">
        <v>872</v>
      </c>
      <c r="V4029" s="312"/>
    </row>
    <row r="4030">
      <c r="A4030" s="308">
        <v>4029.0</v>
      </c>
      <c r="B4030" s="308"/>
      <c r="C4030" s="308" t="s">
        <v>16470</v>
      </c>
      <c r="D4030" s="308">
        <f>IFERROR(__xludf.DUMMYFUNCTION("SPLIT(C4030,""-"")"),4050.0)</f>
        <v>4050</v>
      </c>
      <c r="E4030" s="308" t="str">
        <f>IFERROR(__xludf.DUMMYFUNCTION("""COMPUTED_VALUE"""),"I")</f>
        <v>I</v>
      </c>
      <c r="F4030" s="309" t="s">
        <v>31</v>
      </c>
      <c r="G4030" s="308"/>
      <c r="H4030" s="308" t="s">
        <v>16471</v>
      </c>
      <c r="I4030" s="310">
        <v>42867.0</v>
      </c>
      <c r="J4030" s="319">
        <f>IFERROR(__xludf.DUMMYFUNCTION("SPLIT(I4030,""/"")"),12.0)</f>
        <v>12</v>
      </c>
      <c r="K4030" s="308">
        <f>IFERROR(__xludf.DUMMYFUNCTION("""COMPUTED_VALUE"""),5.0)</f>
        <v>5</v>
      </c>
      <c r="L4030" s="308">
        <f>IFERROR(__xludf.DUMMYFUNCTION("""COMPUTED_VALUE"""),2017.0)</f>
        <v>2017</v>
      </c>
      <c r="M4030" s="308" t="s">
        <v>37399</v>
      </c>
      <c r="N4030" s="308"/>
      <c r="O4030" s="308"/>
      <c r="P4030" s="308" t="s">
        <v>37400</v>
      </c>
      <c r="Q4030" s="308" t="s">
        <v>37395</v>
      </c>
      <c r="R4030" s="308" t="s">
        <v>2743</v>
      </c>
      <c r="S4030" s="308" t="s">
        <v>81</v>
      </c>
      <c r="T4030" s="308" t="s">
        <v>75</v>
      </c>
      <c r="U4030" s="308" t="s">
        <v>31</v>
      </c>
      <c r="V4030" s="312"/>
    </row>
    <row r="4031">
      <c r="A4031" s="308">
        <v>4030.0</v>
      </c>
      <c r="B4031" s="308"/>
      <c r="C4031" s="308" t="s">
        <v>16474</v>
      </c>
      <c r="D4031" s="308">
        <f>IFERROR(__xludf.DUMMYFUNCTION("SPLIT(C4031,""-"")"),4051.0)</f>
        <v>4051</v>
      </c>
      <c r="E4031" s="308" t="str">
        <f>IFERROR(__xludf.DUMMYFUNCTION("""COMPUTED_VALUE"""),"S")</f>
        <v>S</v>
      </c>
      <c r="F4031" s="312" t="s">
        <v>39</v>
      </c>
      <c r="G4031" s="308"/>
      <c r="H4031" s="308" t="s">
        <v>16475</v>
      </c>
      <c r="I4031" s="310">
        <v>42893.0</v>
      </c>
      <c r="J4031" s="319">
        <f>IFERROR(__xludf.DUMMYFUNCTION("SPLIT(I4031,""/"")"),7.0)</f>
        <v>7</v>
      </c>
      <c r="K4031" s="308">
        <f>IFERROR(__xludf.DUMMYFUNCTION("""COMPUTED_VALUE"""),6.0)</f>
        <v>6</v>
      </c>
      <c r="L4031" s="308">
        <f>IFERROR(__xludf.DUMMYFUNCTION("""COMPUTED_VALUE"""),2017.0)</f>
        <v>2017</v>
      </c>
      <c r="M4031" s="308" t="s">
        <v>16476</v>
      </c>
      <c r="N4031" s="308"/>
      <c r="O4031" s="308"/>
      <c r="P4031" s="308" t="s">
        <v>37401</v>
      </c>
      <c r="Q4031" s="308" t="s">
        <v>37395</v>
      </c>
      <c r="R4031" s="308" t="s">
        <v>2743</v>
      </c>
      <c r="S4031" s="308" t="s">
        <v>81</v>
      </c>
      <c r="T4031" s="308" t="s">
        <v>75</v>
      </c>
      <c r="U4031" s="308" t="s">
        <v>166</v>
      </c>
      <c r="V4031" s="312"/>
    </row>
    <row r="4032">
      <c r="A4032" s="308">
        <v>4031.0</v>
      </c>
      <c r="B4032" s="308"/>
      <c r="C4032" s="308" t="s">
        <v>16478</v>
      </c>
      <c r="D4032" s="308">
        <f>IFERROR(__xludf.DUMMYFUNCTION("SPLIT(C4032,""-"")"),4052.0)</f>
        <v>4052</v>
      </c>
      <c r="E4032" s="308" t="str">
        <f>IFERROR(__xludf.DUMMYFUNCTION("""COMPUTED_VALUE"""),"P")</f>
        <v>P</v>
      </c>
      <c r="F4032" s="312" t="s">
        <v>37</v>
      </c>
      <c r="G4032" s="308"/>
      <c r="H4032" s="308" t="s">
        <v>16479</v>
      </c>
      <c r="I4032" s="310">
        <v>42639.0</v>
      </c>
      <c r="J4032" s="319">
        <f>IFERROR(__xludf.DUMMYFUNCTION("SPLIT(I4032,""/"")"),26.0)</f>
        <v>26</v>
      </c>
      <c r="K4032" s="308">
        <f>IFERROR(__xludf.DUMMYFUNCTION("""COMPUTED_VALUE"""),9.0)</f>
        <v>9</v>
      </c>
      <c r="L4032" s="308">
        <f>IFERROR(__xludf.DUMMYFUNCTION("""COMPUTED_VALUE"""),2016.0)</f>
        <v>2016</v>
      </c>
      <c r="M4032" s="308" t="s">
        <v>16480</v>
      </c>
      <c r="N4032" s="308"/>
      <c r="O4032" s="308"/>
      <c r="P4032" s="308" t="s">
        <v>16481</v>
      </c>
      <c r="Q4032" s="308" t="s">
        <v>37402</v>
      </c>
      <c r="R4032" s="308" t="s">
        <v>2743</v>
      </c>
      <c r="S4032" s="308" t="s">
        <v>81</v>
      </c>
      <c r="T4032" s="309" t="s">
        <v>61</v>
      </c>
      <c r="U4032" s="308" t="s">
        <v>2291</v>
      </c>
      <c r="V4032" s="312"/>
    </row>
    <row r="4033">
      <c r="A4033" s="308">
        <v>4032.0</v>
      </c>
      <c r="B4033" s="308"/>
      <c r="C4033" s="308" t="s">
        <v>16482</v>
      </c>
      <c r="D4033" s="308">
        <f>IFERROR(__xludf.DUMMYFUNCTION("SPLIT(C4033,""-"")"),4053.0)</f>
        <v>4053</v>
      </c>
      <c r="E4033" s="308" t="str">
        <f>IFERROR(__xludf.DUMMYFUNCTION("""COMPUTED_VALUE"""),"K")</f>
        <v>K</v>
      </c>
      <c r="F4033" s="309" t="s">
        <v>34</v>
      </c>
      <c r="G4033" s="308"/>
      <c r="H4033" s="308" t="s">
        <v>16483</v>
      </c>
      <c r="I4033" s="310">
        <v>42440.0</v>
      </c>
      <c r="J4033" s="319">
        <f>IFERROR(__xludf.DUMMYFUNCTION("SPLIT(I4033,""/"")"),11.0)</f>
        <v>11</v>
      </c>
      <c r="K4033" s="308">
        <f>IFERROR(__xludf.DUMMYFUNCTION("""COMPUTED_VALUE"""),3.0)</f>
        <v>3</v>
      </c>
      <c r="L4033" s="308">
        <f>IFERROR(__xludf.DUMMYFUNCTION("""COMPUTED_VALUE"""),2016.0)</f>
        <v>2016</v>
      </c>
      <c r="M4033" s="308" t="s">
        <v>16484</v>
      </c>
      <c r="N4033" s="308"/>
      <c r="O4033" s="308"/>
      <c r="P4033" s="308" t="s">
        <v>16485</v>
      </c>
      <c r="Q4033" s="308" t="s">
        <v>37403</v>
      </c>
      <c r="R4033" s="308" t="s">
        <v>2743</v>
      </c>
      <c r="S4033" s="308" t="s">
        <v>81</v>
      </c>
      <c r="T4033" s="311" t="s">
        <v>57</v>
      </c>
      <c r="U4033" s="308" t="s">
        <v>16486</v>
      </c>
      <c r="V4033" s="312"/>
    </row>
    <row r="4034">
      <c r="A4034" s="308">
        <v>4033.0</v>
      </c>
      <c r="B4034" s="308"/>
      <c r="C4034" s="308" t="s">
        <v>16487</v>
      </c>
      <c r="D4034" s="308">
        <f>IFERROR(__xludf.DUMMYFUNCTION("SPLIT(C4034,""-"")"),4054.0)</f>
        <v>4054</v>
      </c>
      <c r="E4034" s="308" t="str">
        <f>IFERROR(__xludf.DUMMYFUNCTION("""COMPUTED_VALUE"""),"K")</f>
        <v>K</v>
      </c>
      <c r="F4034" s="309" t="s">
        <v>34</v>
      </c>
      <c r="G4034" s="308"/>
      <c r="H4034" s="308" t="s">
        <v>16488</v>
      </c>
      <c r="I4034" s="310">
        <v>41689.0</v>
      </c>
      <c r="J4034" s="319">
        <f>IFERROR(__xludf.DUMMYFUNCTION("SPLIT(I4034,""/"")"),19.0)</f>
        <v>19</v>
      </c>
      <c r="K4034" s="308">
        <f>IFERROR(__xludf.DUMMYFUNCTION("""COMPUTED_VALUE"""),2.0)</f>
        <v>2</v>
      </c>
      <c r="L4034" s="308">
        <f>IFERROR(__xludf.DUMMYFUNCTION("""COMPUTED_VALUE"""),2014.0)</f>
        <v>2014</v>
      </c>
      <c r="M4034" s="308" t="s">
        <v>16489</v>
      </c>
      <c r="N4034" s="308"/>
      <c r="O4034" s="308"/>
      <c r="P4034" s="308" t="s">
        <v>11849</v>
      </c>
      <c r="Q4034" s="308" t="s">
        <v>37404</v>
      </c>
      <c r="R4034" s="308" t="s">
        <v>2743</v>
      </c>
      <c r="S4034" s="315" t="s">
        <v>100</v>
      </c>
      <c r="T4034" s="311" t="s">
        <v>34208</v>
      </c>
      <c r="U4034" s="308" t="s">
        <v>7530</v>
      </c>
      <c r="V4034" s="312"/>
    </row>
    <row r="4035">
      <c r="A4035" s="308">
        <v>4034.0</v>
      </c>
      <c r="B4035" s="308"/>
      <c r="C4035" s="308" t="s">
        <v>16490</v>
      </c>
      <c r="D4035" s="308">
        <f>IFERROR(__xludf.DUMMYFUNCTION("SPLIT(C4035,""-"")"),4055.0)</f>
        <v>4055</v>
      </c>
      <c r="E4035" s="308" t="str">
        <f>IFERROR(__xludf.DUMMYFUNCTION("""COMPUTED_VALUE"""),"K")</f>
        <v>K</v>
      </c>
      <c r="F4035" s="309" t="s">
        <v>34</v>
      </c>
      <c r="G4035" s="308"/>
      <c r="H4035" s="308" t="s">
        <v>16491</v>
      </c>
      <c r="I4035" s="310">
        <v>42893.0</v>
      </c>
      <c r="J4035" s="319" t="str">
        <f>IFERROR(__xludf.DUMMYFUNCTION("SPLIT(I4035,""/"")"),"#REF!")</f>
        <v>#REF!</v>
      </c>
      <c r="K4035" s="308"/>
      <c r="L4035" s="308">
        <v>2017.0</v>
      </c>
      <c r="M4035" s="308" t="s">
        <v>16492</v>
      </c>
      <c r="N4035" s="308"/>
      <c r="O4035" s="308"/>
      <c r="P4035" s="308" t="s">
        <v>37405</v>
      </c>
      <c r="Q4035" s="308" t="s">
        <v>37404</v>
      </c>
      <c r="R4035" s="308" t="s">
        <v>2743</v>
      </c>
      <c r="S4035" s="308" t="s">
        <v>81</v>
      </c>
      <c r="T4035" s="308" t="s">
        <v>75</v>
      </c>
      <c r="U4035" s="308" t="s">
        <v>10279</v>
      </c>
      <c r="V4035" s="312"/>
    </row>
    <row r="4036">
      <c r="A4036" s="308">
        <v>4035.0</v>
      </c>
      <c r="B4036" s="308"/>
      <c r="C4036" s="308" t="s">
        <v>16494</v>
      </c>
      <c r="D4036" s="308">
        <f>IFERROR(__xludf.DUMMYFUNCTION("SPLIT(C4036,""-"")"),4056.0)</f>
        <v>4056</v>
      </c>
      <c r="E4036" s="308" t="str">
        <f>IFERROR(__xludf.DUMMYFUNCTION("""COMPUTED_VALUE"""),"K")</f>
        <v>K</v>
      </c>
      <c r="F4036" s="309" t="s">
        <v>34</v>
      </c>
      <c r="G4036" s="308"/>
      <c r="H4036" s="308" t="s">
        <v>16495</v>
      </c>
      <c r="I4036" s="314">
        <v>41984.0</v>
      </c>
      <c r="J4036" s="319">
        <f>IFERROR(__xludf.DUMMYFUNCTION("SPLIT(I4036,""/"")"),11.0)</f>
        <v>11</v>
      </c>
      <c r="K4036" s="308">
        <f>IFERROR(__xludf.DUMMYFUNCTION("""COMPUTED_VALUE"""),12.0)</f>
        <v>12</v>
      </c>
      <c r="L4036" s="308">
        <f>IFERROR(__xludf.DUMMYFUNCTION("""COMPUTED_VALUE"""),2014.0)</f>
        <v>2014</v>
      </c>
      <c r="M4036" s="308" t="s">
        <v>16496</v>
      </c>
      <c r="N4036" s="308"/>
      <c r="O4036" s="308"/>
      <c r="P4036" s="308" t="s">
        <v>16497</v>
      </c>
      <c r="Q4036" s="308" t="s">
        <v>37403</v>
      </c>
      <c r="R4036" s="308" t="s">
        <v>2743</v>
      </c>
      <c r="S4036" s="308" t="s">
        <v>49</v>
      </c>
      <c r="T4036" s="308" t="s">
        <v>51</v>
      </c>
      <c r="U4036" s="308" t="s">
        <v>4749</v>
      </c>
      <c r="V4036" s="312"/>
    </row>
    <row r="4037">
      <c r="A4037" s="308">
        <v>4036.0</v>
      </c>
      <c r="B4037" s="308"/>
      <c r="C4037" s="308" t="s">
        <v>16498</v>
      </c>
      <c r="D4037" s="308">
        <f>IFERROR(__xludf.DUMMYFUNCTION("SPLIT(C4037,""-"")"),4057.0)</f>
        <v>4057</v>
      </c>
      <c r="E4037" s="308" t="str">
        <f>IFERROR(__xludf.DUMMYFUNCTION("""COMPUTED_VALUE"""),"K")</f>
        <v>K</v>
      </c>
      <c r="F4037" s="309" t="s">
        <v>34</v>
      </c>
      <c r="G4037" s="308"/>
      <c r="H4037" s="308" t="s">
        <v>16499</v>
      </c>
      <c r="I4037" s="322"/>
      <c r="J4037" s="319"/>
      <c r="K4037" s="308"/>
      <c r="L4037" s="311" t="s">
        <v>79</v>
      </c>
      <c r="M4037" s="308" t="s">
        <v>16500</v>
      </c>
      <c r="N4037" s="308"/>
      <c r="O4037" s="308"/>
      <c r="P4037" s="308" t="s">
        <v>37406</v>
      </c>
      <c r="Q4037" s="308" t="s">
        <v>37403</v>
      </c>
      <c r="R4037" s="308" t="s">
        <v>2743</v>
      </c>
      <c r="S4037" s="308" t="s">
        <v>81</v>
      </c>
      <c r="T4037" s="308" t="s">
        <v>75</v>
      </c>
      <c r="U4037" s="308" t="s">
        <v>4487</v>
      </c>
      <c r="V4037" s="312"/>
    </row>
    <row r="4038">
      <c r="A4038" s="308">
        <v>4037.0</v>
      </c>
      <c r="B4038" s="308"/>
      <c r="C4038" s="308" t="s">
        <v>16502</v>
      </c>
      <c r="D4038" s="308">
        <f>IFERROR(__xludf.DUMMYFUNCTION("SPLIT(C4038,""-"")"),4058.0)</f>
        <v>4058</v>
      </c>
      <c r="E4038" s="308" t="str">
        <f>IFERROR(__xludf.DUMMYFUNCTION("""COMPUTED_VALUE"""),"P")</f>
        <v>P</v>
      </c>
      <c r="F4038" s="312" t="s">
        <v>37</v>
      </c>
      <c r="G4038" s="308"/>
      <c r="H4038" s="308" t="s">
        <v>16503</v>
      </c>
      <c r="I4038" s="310">
        <v>40556.0</v>
      </c>
      <c r="J4038" s="319">
        <f>IFERROR(__xludf.DUMMYFUNCTION("SPLIT(I4038,""/"")"),13.0)</f>
        <v>13</v>
      </c>
      <c r="K4038" s="308">
        <f>IFERROR(__xludf.DUMMYFUNCTION("""COMPUTED_VALUE"""),1.0)</f>
        <v>1</v>
      </c>
      <c r="L4038" s="308">
        <f>IFERROR(__xludf.DUMMYFUNCTION("""COMPUTED_VALUE"""),2011.0)</f>
        <v>2011</v>
      </c>
      <c r="M4038" s="308" t="s">
        <v>16504</v>
      </c>
      <c r="N4038" s="308"/>
      <c r="O4038" s="308"/>
      <c r="P4038" s="308" t="s">
        <v>4801</v>
      </c>
      <c r="Q4038" s="308" t="s">
        <v>37407</v>
      </c>
      <c r="R4038" s="308" t="s">
        <v>2743</v>
      </c>
      <c r="S4038" s="315" t="s">
        <v>100</v>
      </c>
      <c r="T4038" s="311" t="s">
        <v>34208</v>
      </c>
      <c r="U4038" s="308" t="s">
        <v>149</v>
      </c>
      <c r="V4038" s="312"/>
    </row>
    <row r="4039">
      <c r="A4039" s="308">
        <v>4038.0</v>
      </c>
      <c r="B4039" s="308"/>
      <c r="C4039" s="308" t="s">
        <v>16505</v>
      </c>
      <c r="D4039" s="308">
        <f>IFERROR(__xludf.DUMMYFUNCTION("SPLIT(C4039,""-"")"),4059.0)</f>
        <v>4059</v>
      </c>
      <c r="E4039" s="308" t="str">
        <f>IFERROR(__xludf.DUMMYFUNCTION("""COMPUTED_VALUE"""),"P")</f>
        <v>P</v>
      </c>
      <c r="F4039" s="312" t="s">
        <v>37</v>
      </c>
      <c r="G4039" s="308"/>
      <c r="H4039" s="308" t="s">
        <v>16506</v>
      </c>
      <c r="I4039" s="310">
        <v>42839.0</v>
      </c>
      <c r="J4039" s="319">
        <f>IFERROR(__xludf.DUMMYFUNCTION("SPLIT(I4039,""/"")"),14.0)</f>
        <v>14</v>
      </c>
      <c r="K4039" s="308">
        <f>IFERROR(__xludf.DUMMYFUNCTION("""COMPUTED_VALUE"""),4.0)</f>
        <v>4</v>
      </c>
      <c r="L4039" s="308">
        <f>IFERROR(__xludf.DUMMYFUNCTION("""COMPUTED_VALUE"""),2017.0)</f>
        <v>2017</v>
      </c>
      <c r="M4039" s="308" t="s">
        <v>16507</v>
      </c>
      <c r="N4039" s="308"/>
      <c r="O4039" s="308"/>
      <c r="P4039" s="308" t="s">
        <v>37408</v>
      </c>
      <c r="Q4039" s="308" t="s">
        <v>37407</v>
      </c>
      <c r="R4039" s="308" t="s">
        <v>2743</v>
      </c>
      <c r="S4039" s="308" t="s">
        <v>49</v>
      </c>
      <c r="T4039" s="308" t="s">
        <v>51</v>
      </c>
      <c r="U4039" s="308" t="s">
        <v>143</v>
      </c>
      <c r="V4039" s="312"/>
    </row>
    <row r="4040">
      <c r="A4040" s="308">
        <v>4039.0</v>
      </c>
      <c r="B4040" s="308"/>
      <c r="C4040" s="308" t="s">
        <v>16509</v>
      </c>
      <c r="D4040" s="308">
        <f>IFERROR(__xludf.DUMMYFUNCTION("SPLIT(C4040,""-"")"),4060.0)</f>
        <v>4060</v>
      </c>
      <c r="E4040" s="308" t="str">
        <f>IFERROR(__xludf.DUMMYFUNCTION("""COMPUTED_VALUE"""),"B")</f>
        <v>B</v>
      </c>
      <c r="F4040" s="315" t="s">
        <v>26</v>
      </c>
      <c r="G4040" s="308"/>
      <c r="H4040" s="308" t="s">
        <v>16510</v>
      </c>
      <c r="I4040" s="314">
        <v>42656.0</v>
      </c>
      <c r="J4040" s="319">
        <f>IFERROR(__xludf.DUMMYFUNCTION("SPLIT(I4040,""/"")"),13.0)</f>
        <v>13</v>
      </c>
      <c r="K4040" s="308">
        <f>IFERROR(__xludf.DUMMYFUNCTION("""COMPUTED_VALUE"""),10.0)</f>
        <v>10</v>
      </c>
      <c r="L4040" s="308">
        <f>IFERROR(__xludf.DUMMYFUNCTION("""COMPUTED_VALUE"""),2016.0)</f>
        <v>2016</v>
      </c>
      <c r="M4040" s="308" t="s">
        <v>16511</v>
      </c>
      <c r="N4040" s="308"/>
      <c r="O4040" s="308"/>
      <c r="P4040" s="308" t="s">
        <v>16512</v>
      </c>
      <c r="Q4040" s="308" t="s">
        <v>16513</v>
      </c>
      <c r="R4040" s="308" t="s">
        <v>13810</v>
      </c>
      <c r="S4040" s="308" t="s">
        <v>49</v>
      </c>
      <c r="T4040" s="311" t="s">
        <v>69</v>
      </c>
      <c r="U4040" s="308" t="s">
        <v>27</v>
      </c>
      <c r="V4040" s="312"/>
    </row>
    <row r="4041">
      <c r="A4041" s="308">
        <v>4040.0</v>
      </c>
      <c r="B4041" s="308"/>
      <c r="C4041" s="308" t="s">
        <v>16514</v>
      </c>
      <c r="D4041" s="308">
        <f>IFERROR(__xludf.DUMMYFUNCTION("SPLIT(C4041,""-"")"),4061.0)</f>
        <v>4061</v>
      </c>
      <c r="E4041" s="308" t="str">
        <f>IFERROR(__xludf.DUMMYFUNCTION("""COMPUTED_VALUE"""),"B")</f>
        <v>B</v>
      </c>
      <c r="F4041" s="315" t="s">
        <v>26</v>
      </c>
      <c r="G4041" s="308"/>
      <c r="H4041" s="308" t="s">
        <v>16515</v>
      </c>
      <c r="I4041" s="310">
        <v>42612.0</v>
      </c>
      <c r="J4041" s="319">
        <f>IFERROR(__xludf.DUMMYFUNCTION("SPLIT(I4041,""/"")"),30.0)</f>
        <v>30</v>
      </c>
      <c r="K4041" s="308">
        <f>IFERROR(__xludf.DUMMYFUNCTION("""COMPUTED_VALUE"""),8.0)</f>
        <v>8</v>
      </c>
      <c r="L4041" s="308">
        <f>IFERROR(__xludf.DUMMYFUNCTION("""COMPUTED_VALUE"""),2016.0)</f>
        <v>2016</v>
      </c>
      <c r="M4041" s="308" t="s">
        <v>16516</v>
      </c>
      <c r="N4041" s="308"/>
      <c r="O4041" s="308"/>
      <c r="P4041" s="308" t="s">
        <v>37409</v>
      </c>
      <c r="Q4041" s="308" t="s">
        <v>37335</v>
      </c>
      <c r="R4041" s="308" t="s">
        <v>13810</v>
      </c>
      <c r="S4041" s="308" t="s">
        <v>81</v>
      </c>
      <c r="T4041" s="309" t="s">
        <v>61</v>
      </c>
      <c r="U4041" s="308" t="s">
        <v>27</v>
      </c>
      <c r="V4041" s="312"/>
    </row>
    <row r="4042">
      <c r="A4042" s="308">
        <v>4041.0</v>
      </c>
      <c r="B4042" s="308"/>
      <c r="C4042" s="308" t="s">
        <v>16518</v>
      </c>
      <c r="D4042" s="308">
        <f>IFERROR(__xludf.DUMMYFUNCTION("SPLIT(C4042,""-"")"),4062.0)</f>
        <v>4062</v>
      </c>
      <c r="E4042" s="308" t="str">
        <f>IFERROR(__xludf.DUMMYFUNCTION("""COMPUTED_VALUE"""),"P")</f>
        <v>P</v>
      </c>
      <c r="F4042" s="312" t="s">
        <v>37</v>
      </c>
      <c r="G4042" s="308"/>
      <c r="H4042" s="308" t="s">
        <v>37410</v>
      </c>
      <c r="I4042" s="314">
        <v>42318.0</v>
      </c>
      <c r="J4042" s="319">
        <f>IFERROR(__xludf.DUMMYFUNCTION("SPLIT(I4042,""/"")"),10.0)</f>
        <v>10</v>
      </c>
      <c r="K4042" s="308">
        <f>IFERROR(__xludf.DUMMYFUNCTION("""COMPUTED_VALUE"""),11.0)</f>
        <v>11</v>
      </c>
      <c r="L4042" s="308">
        <f>IFERROR(__xludf.DUMMYFUNCTION("""COMPUTED_VALUE"""),2015.0)</f>
        <v>2015</v>
      </c>
      <c r="M4042" s="308" t="s">
        <v>16520</v>
      </c>
      <c r="N4042" s="308"/>
      <c r="O4042" s="308"/>
      <c r="P4042" s="308" t="s">
        <v>35979</v>
      </c>
      <c r="Q4042" s="308" t="s">
        <v>37335</v>
      </c>
      <c r="R4042" s="308" t="s">
        <v>16185</v>
      </c>
      <c r="S4042" s="315" t="s">
        <v>100</v>
      </c>
      <c r="T4042" s="311" t="s">
        <v>34208</v>
      </c>
      <c r="U4042" s="308" t="s">
        <v>149</v>
      </c>
      <c r="V4042" s="312"/>
    </row>
    <row r="4043">
      <c r="A4043" s="308">
        <v>4042.0</v>
      </c>
      <c r="B4043" s="308"/>
      <c r="C4043" s="308" t="s">
        <v>16521</v>
      </c>
      <c r="D4043" s="308">
        <f>IFERROR(__xludf.DUMMYFUNCTION("SPLIT(C4043,""-"")"),4063.0)</f>
        <v>4063</v>
      </c>
      <c r="E4043" s="308" t="str">
        <f>IFERROR(__xludf.DUMMYFUNCTION("""COMPUTED_VALUE"""),"B")</f>
        <v>B</v>
      </c>
      <c r="F4043" s="315" t="s">
        <v>26</v>
      </c>
      <c r="G4043" s="308"/>
      <c r="H4043" s="308" t="s">
        <v>16522</v>
      </c>
      <c r="I4043" s="310">
        <v>41843.0</v>
      </c>
      <c r="J4043" s="319">
        <f>IFERROR(__xludf.DUMMYFUNCTION("SPLIT(I4043,""/"")"),23.0)</f>
        <v>23</v>
      </c>
      <c r="K4043" s="308">
        <f>IFERROR(__xludf.DUMMYFUNCTION("""COMPUTED_VALUE"""),7.0)</f>
        <v>7</v>
      </c>
      <c r="L4043" s="308">
        <f>IFERROR(__xludf.DUMMYFUNCTION("""COMPUTED_VALUE"""),2014.0)</f>
        <v>2014</v>
      </c>
      <c r="M4043" s="308" t="s">
        <v>16523</v>
      </c>
      <c r="N4043" s="308"/>
      <c r="O4043" s="308"/>
      <c r="P4043" s="308" t="s">
        <v>37411</v>
      </c>
      <c r="Q4043" s="308" t="s">
        <v>37335</v>
      </c>
      <c r="R4043" s="308" t="s">
        <v>16185</v>
      </c>
      <c r="S4043" s="308" t="s">
        <v>81</v>
      </c>
      <c r="T4043" s="311" t="s">
        <v>75</v>
      </c>
      <c r="U4043" s="308" t="s">
        <v>27</v>
      </c>
      <c r="V4043" s="312"/>
    </row>
    <row r="4044">
      <c r="A4044" s="308">
        <v>4043.0</v>
      </c>
      <c r="B4044" s="308"/>
      <c r="C4044" s="308" t="s">
        <v>16525</v>
      </c>
      <c r="D4044" s="308">
        <f>IFERROR(__xludf.DUMMYFUNCTION("SPLIT(C4044,""-"")"),4064.0)</f>
        <v>4064</v>
      </c>
      <c r="E4044" s="308" t="str">
        <f>IFERROR(__xludf.DUMMYFUNCTION("""COMPUTED_VALUE"""),"K")</f>
        <v>K</v>
      </c>
      <c r="F4044" s="309" t="s">
        <v>34</v>
      </c>
      <c r="G4044" s="308"/>
      <c r="H4044" s="308" t="s">
        <v>16526</v>
      </c>
      <c r="I4044" s="310">
        <v>42804.0</v>
      </c>
      <c r="J4044" s="319" t="str">
        <f>IFERROR(__xludf.DUMMYFUNCTION("SPLIT(I4044,""/"")"),"#REF!")</f>
        <v>#REF!</v>
      </c>
      <c r="K4044" s="308"/>
      <c r="L4044" s="308">
        <v>2017.0</v>
      </c>
      <c r="M4044" s="308" t="s">
        <v>16527</v>
      </c>
      <c r="N4044" s="308"/>
      <c r="O4044" s="308"/>
      <c r="P4044" s="308" t="s">
        <v>37412</v>
      </c>
      <c r="Q4044" s="308" t="s">
        <v>37335</v>
      </c>
      <c r="R4044" s="308" t="s">
        <v>2743</v>
      </c>
      <c r="S4044" s="308" t="s">
        <v>81</v>
      </c>
      <c r="T4044" s="308" t="s">
        <v>75</v>
      </c>
      <c r="U4044" s="308" t="s">
        <v>2989</v>
      </c>
      <c r="V4044" s="312"/>
    </row>
    <row r="4045">
      <c r="A4045" s="308">
        <v>4044.0</v>
      </c>
      <c r="B4045" s="308"/>
      <c r="C4045" s="308" t="s">
        <v>16529</v>
      </c>
      <c r="D4045" s="308">
        <f>IFERROR(__xludf.DUMMYFUNCTION("SPLIT(C4045,""-"")"),4065.0)</f>
        <v>4065</v>
      </c>
      <c r="E4045" s="308" t="str">
        <f>IFERROR(__xludf.DUMMYFUNCTION("""COMPUTED_VALUE"""),"K")</f>
        <v>K</v>
      </c>
      <c r="F4045" s="309" t="s">
        <v>34</v>
      </c>
      <c r="G4045" s="308"/>
      <c r="H4045" s="308" t="s">
        <v>16530</v>
      </c>
      <c r="I4045" s="314">
        <v>42348.0</v>
      </c>
      <c r="J4045" s="319">
        <f>IFERROR(__xludf.DUMMYFUNCTION("SPLIT(I4045,""/"")"),10.0)</f>
        <v>10</v>
      </c>
      <c r="K4045" s="308">
        <f>IFERROR(__xludf.DUMMYFUNCTION("""COMPUTED_VALUE"""),12.0)</f>
        <v>12</v>
      </c>
      <c r="L4045" s="308">
        <f>IFERROR(__xludf.DUMMYFUNCTION("""COMPUTED_VALUE"""),2015.0)</f>
        <v>2015</v>
      </c>
      <c r="M4045" s="308" t="s">
        <v>16531</v>
      </c>
      <c r="N4045" s="308"/>
      <c r="O4045" s="308"/>
      <c r="P4045" s="308" t="s">
        <v>37413</v>
      </c>
      <c r="Q4045" s="308" t="s">
        <v>37335</v>
      </c>
      <c r="R4045" s="308" t="s">
        <v>2743</v>
      </c>
      <c r="S4045" s="315" t="s">
        <v>100</v>
      </c>
      <c r="T4045" s="311" t="s">
        <v>34208</v>
      </c>
      <c r="U4045" s="308" t="s">
        <v>125</v>
      </c>
      <c r="V4045" s="312"/>
    </row>
    <row r="4046">
      <c r="A4046" s="308">
        <v>4045.0</v>
      </c>
      <c r="B4046" s="308"/>
      <c r="C4046" s="308" t="s">
        <v>16532</v>
      </c>
      <c r="D4046" s="308">
        <f>IFERROR(__xludf.DUMMYFUNCTION("SPLIT(C4046,""-"")"),4066.0)</f>
        <v>4066</v>
      </c>
      <c r="E4046" s="308" t="str">
        <f>IFERROR(__xludf.DUMMYFUNCTION("""COMPUTED_VALUE"""),"F")</f>
        <v>F</v>
      </c>
      <c r="F4046" s="309" t="s">
        <v>34</v>
      </c>
      <c r="G4046" s="308"/>
      <c r="H4046" s="308" t="s">
        <v>16533</v>
      </c>
      <c r="I4046" s="310">
        <v>42863.0</v>
      </c>
      <c r="J4046" s="319" t="str">
        <f>IFERROR(__xludf.DUMMYFUNCTION("SPLIT(I4046,""/"")"),"#REF!")</f>
        <v>#REF!</v>
      </c>
      <c r="K4046" s="308"/>
      <c r="L4046" s="308">
        <v>2017.0</v>
      </c>
      <c r="M4046" s="308" t="s">
        <v>16534</v>
      </c>
      <c r="N4046" s="308"/>
      <c r="O4046" s="308"/>
      <c r="P4046" s="308" t="s">
        <v>37414</v>
      </c>
      <c r="Q4046" s="308" t="s">
        <v>37335</v>
      </c>
      <c r="R4046" s="308" t="s">
        <v>2743</v>
      </c>
      <c r="S4046" s="308" t="s">
        <v>81</v>
      </c>
      <c r="T4046" s="311" t="s">
        <v>73</v>
      </c>
      <c r="U4046" s="308" t="s">
        <v>195</v>
      </c>
      <c r="V4046" s="312"/>
    </row>
    <row r="4047">
      <c r="A4047" s="308">
        <v>4046.0</v>
      </c>
      <c r="B4047" s="308"/>
      <c r="C4047" s="308" t="s">
        <v>16536</v>
      </c>
      <c r="D4047" s="308">
        <f>IFERROR(__xludf.DUMMYFUNCTION("SPLIT(C4047,""-"")"),4067.0)</f>
        <v>4067</v>
      </c>
      <c r="E4047" s="308" t="str">
        <f>IFERROR(__xludf.DUMMYFUNCTION("""COMPUTED_VALUE"""),"K")</f>
        <v>K</v>
      </c>
      <c r="F4047" s="309" t="s">
        <v>34</v>
      </c>
      <c r="G4047" s="308"/>
      <c r="H4047" s="308" t="s">
        <v>16537</v>
      </c>
      <c r="I4047" s="314">
        <v>41635.0</v>
      </c>
      <c r="J4047" s="319">
        <f>IFERROR(__xludf.DUMMYFUNCTION("SPLIT(I4047,""/"")"),27.0)</f>
        <v>27</v>
      </c>
      <c r="K4047" s="308">
        <f>IFERROR(__xludf.DUMMYFUNCTION("""COMPUTED_VALUE"""),12.0)</f>
        <v>12</v>
      </c>
      <c r="L4047" s="308">
        <f>IFERROR(__xludf.DUMMYFUNCTION("""COMPUTED_VALUE"""),2013.0)</f>
        <v>2013</v>
      </c>
      <c r="M4047" s="308" t="s">
        <v>16538</v>
      </c>
      <c r="N4047" s="308"/>
      <c r="O4047" s="308"/>
      <c r="P4047" s="308" t="s">
        <v>37415</v>
      </c>
      <c r="Q4047" s="308" t="s">
        <v>37336</v>
      </c>
      <c r="R4047" s="308" t="s">
        <v>2743</v>
      </c>
      <c r="S4047" s="308" t="s">
        <v>81</v>
      </c>
      <c r="T4047" s="308" t="s">
        <v>34264</v>
      </c>
      <c r="U4047" s="308" t="s">
        <v>941</v>
      </c>
      <c r="V4047" s="312"/>
    </row>
    <row r="4048">
      <c r="A4048" s="308">
        <v>4047.0</v>
      </c>
      <c r="B4048" s="308"/>
      <c r="C4048" s="308" t="s">
        <v>16540</v>
      </c>
      <c r="D4048" s="308">
        <f>IFERROR(__xludf.DUMMYFUNCTION("SPLIT(C4048,""-"")"),4068.0)</f>
        <v>4068</v>
      </c>
      <c r="E4048" s="308" t="str">
        <f>IFERROR(__xludf.DUMMYFUNCTION("""COMPUTED_VALUE"""),"I")</f>
        <v>I</v>
      </c>
      <c r="F4048" s="309" t="s">
        <v>31</v>
      </c>
      <c r="G4048" s="308"/>
      <c r="H4048" s="308" t="s">
        <v>15283</v>
      </c>
      <c r="I4048" s="310">
        <v>41696.0</v>
      </c>
      <c r="J4048" s="319">
        <f>IFERROR(__xludf.DUMMYFUNCTION("SPLIT(I4048,""/"")"),26.0)</f>
        <v>26</v>
      </c>
      <c r="K4048" s="308">
        <f>IFERROR(__xludf.DUMMYFUNCTION("""COMPUTED_VALUE"""),2.0)</f>
        <v>2</v>
      </c>
      <c r="L4048" s="308">
        <f>IFERROR(__xludf.DUMMYFUNCTION("""COMPUTED_VALUE"""),2014.0)</f>
        <v>2014</v>
      </c>
      <c r="M4048" s="308" t="s">
        <v>37416</v>
      </c>
      <c r="N4048" s="308"/>
      <c r="O4048" s="308"/>
      <c r="P4048" s="308" t="s">
        <v>37417</v>
      </c>
      <c r="Q4048" s="308" t="s">
        <v>37336</v>
      </c>
      <c r="R4048" s="308" t="s">
        <v>2743</v>
      </c>
      <c r="S4048" s="308" t="s">
        <v>81</v>
      </c>
      <c r="T4048" s="308" t="s">
        <v>75</v>
      </c>
      <c r="U4048" s="308" t="s">
        <v>31</v>
      </c>
      <c r="V4048" s="312"/>
    </row>
    <row r="4049">
      <c r="A4049" s="308">
        <v>4048.0</v>
      </c>
      <c r="B4049" s="308"/>
      <c r="C4049" s="308" t="s">
        <v>16543</v>
      </c>
      <c r="D4049" s="308">
        <f>IFERROR(__xludf.DUMMYFUNCTION("SPLIT(C4049,""-"")"),4069.0)</f>
        <v>4069</v>
      </c>
      <c r="E4049" s="308" t="str">
        <f>IFERROR(__xludf.DUMMYFUNCTION("""COMPUTED_VALUE"""),"K")</f>
        <v>K</v>
      </c>
      <c r="F4049" s="309" t="s">
        <v>34</v>
      </c>
      <c r="G4049" s="308"/>
      <c r="H4049" s="308" t="s">
        <v>16544</v>
      </c>
      <c r="I4049" s="310">
        <v>42643.0</v>
      </c>
      <c r="J4049" s="319">
        <f>IFERROR(__xludf.DUMMYFUNCTION("SPLIT(I4049,""/"")"),30.0)</f>
        <v>30</v>
      </c>
      <c r="K4049" s="308">
        <f>IFERROR(__xludf.DUMMYFUNCTION("""COMPUTED_VALUE"""),9.0)</f>
        <v>9</v>
      </c>
      <c r="L4049" s="308">
        <f>IFERROR(__xludf.DUMMYFUNCTION("""COMPUTED_VALUE"""),2016.0)</f>
        <v>2016</v>
      </c>
      <c r="M4049" s="308" t="s">
        <v>16545</v>
      </c>
      <c r="N4049" s="308"/>
      <c r="O4049" s="308"/>
      <c r="P4049" s="308" t="s">
        <v>37418</v>
      </c>
      <c r="Q4049" s="308" t="s">
        <v>37336</v>
      </c>
      <c r="R4049" s="308" t="s">
        <v>2743</v>
      </c>
      <c r="S4049" s="308" t="s">
        <v>81</v>
      </c>
      <c r="T4049" s="308" t="s">
        <v>75</v>
      </c>
      <c r="U4049" s="308" t="s">
        <v>125</v>
      </c>
      <c r="V4049" s="312"/>
    </row>
    <row r="4050">
      <c r="A4050" s="308">
        <v>4049.0</v>
      </c>
      <c r="B4050" s="308"/>
      <c r="C4050" s="308" t="s">
        <v>16547</v>
      </c>
      <c r="D4050" s="308">
        <f>IFERROR(__xludf.DUMMYFUNCTION("SPLIT(C4050,""-"")"),4070.0)</f>
        <v>4070</v>
      </c>
      <c r="E4050" s="308" t="str">
        <f>IFERROR(__xludf.DUMMYFUNCTION("""COMPUTED_VALUE"""),"K")</f>
        <v>K</v>
      </c>
      <c r="F4050" s="309" t="s">
        <v>34</v>
      </c>
      <c r="G4050" s="308"/>
      <c r="H4050" s="308" t="s">
        <v>16548</v>
      </c>
      <c r="I4050" s="314">
        <v>42673.0</v>
      </c>
      <c r="J4050" s="319">
        <f>IFERROR(__xludf.DUMMYFUNCTION("SPLIT(I4050,""/"")"),30.0)</f>
        <v>30</v>
      </c>
      <c r="K4050" s="308">
        <f>IFERROR(__xludf.DUMMYFUNCTION("""COMPUTED_VALUE"""),10.0)</f>
        <v>10</v>
      </c>
      <c r="L4050" s="308">
        <f>IFERROR(__xludf.DUMMYFUNCTION("""COMPUTED_VALUE"""),2016.0)</f>
        <v>2016</v>
      </c>
      <c r="M4050" s="308" t="s">
        <v>16549</v>
      </c>
      <c r="N4050" s="308"/>
      <c r="O4050" s="308"/>
      <c r="P4050" s="308" t="s">
        <v>37419</v>
      </c>
      <c r="Q4050" s="308" t="s">
        <v>37336</v>
      </c>
      <c r="R4050" s="308" t="s">
        <v>2743</v>
      </c>
      <c r="S4050" s="315" t="s">
        <v>100</v>
      </c>
      <c r="T4050" s="311" t="s">
        <v>34208</v>
      </c>
      <c r="U4050" s="308" t="s">
        <v>125</v>
      </c>
      <c r="V4050" s="312"/>
    </row>
    <row r="4051">
      <c r="A4051" s="308">
        <v>4050.0</v>
      </c>
      <c r="B4051" s="308"/>
      <c r="C4051" s="308" t="s">
        <v>16550</v>
      </c>
      <c r="D4051" s="308">
        <f>IFERROR(__xludf.DUMMYFUNCTION("SPLIT(C4051,""-"")"),4071.0)</f>
        <v>4071</v>
      </c>
      <c r="E4051" s="308" t="str">
        <f>IFERROR(__xludf.DUMMYFUNCTION("""COMPUTED_VALUE"""),"K")</f>
        <v>K</v>
      </c>
      <c r="F4051" s="309" t="s">
        <v>34</v>
      </c>
      <c r="G4051" s="308"/>
      <c r="H4051" s="308" t="s">
        <v>16551</v>
      </c>
      <c r="I4051" s="316">
        <v>2010.0</v>
      </c>
      <c r="J4051" s="319"/>
      <c r="K4051" s="308"/>
      <c r="L4051" s="311">
        <v>2010.0</v>
      </c>
      <c r="M4051" s="308" t="s">
        <v>16552</v>
      </c>
      <c r="N4051" s="308"/>
      <c r="O4051" s="308"/>
      <c r="P4051" s="308" t="s">
        <v>37420</v>
      </c>
      <c r="Q4051" s="308" t="s">
        <v>37336</v>
      </c>
      <c r="R4051" s="308" t="s">
        <v>2743</v>
      </c>
      <c r="S4051" s="315" t="s">
        <v>100</v>
      </c>
      <c r="T4051" s="311" t="s">
        <v>34208</v>
      </c>
      <c r="U4051" s="308" t="s">
        <v>201</v>
      </c>
      <c r="V4051" s="312"/>
    </row>
    <row r="4052">
      <c r="A4052" s="308">
        <v>4051.0</v>
      </c>
      <c r="B4052" s="308"/>
      <c r="C4052" s="308" t="s">
        <v>16553</v>
      </c>
      <c r="D4052" s="308">
        <f>IFERROR(__xludf.DUMMYFUNCTION("SPLIT(C4052,""-"")"),4072.0)</f>
        <v>4072</v>
      </c>
      <c r="E4052" s="308" t="str">
        <f>IFERROR(__xludf.DUMMYFUNCTION("""COMPUTED_VALUE"""),"K")</f>
        <v>K</v>
      </c>
      <c r="F4052" s="309" t="s">
        <v>34</v>
      </c>
      <c r="G4052" s="308"/>
      <c r="H4052" s="308" t="s">
        <v>16554</v>
      </c>
      <c r="I4052" s="316">
        <v>2007.0</v>
      </c>
      <c r="J4052" s="319"/>
      <c r="K4052" s="308"/>
      <c r="L4052" s="311">
        <v>2007.0</v>
      </c>
      <c r="M4052" s="308" t="s">
        <v>16555</v>
      </c>
      <c r="N4052" s="308"/>
      <c r="O4052" s="308"/>
      <c r="P4052" s="308" t="s">
        <v>37421</v>
      </c>
      <c r="Q4052" s="308" t="s">
        <v>37336</v>
      </c>
      <c r="R4052" s="308" t="s">
        <v>2743</v>
      </c>
      <c r="S4052" s="315" t="s">
        <v>100</v>
      </c>
      <c r="T4052" s="311" t="s">
        <v>34208</v>
      </c>
      <c r="U4052" s="308" t="s">
        <v>530</v>
      </c>
      <c r="V4052" s="312"/>
    </row>
    <row r="4053">
      <c r="A4053" s="308">
        <v>4052.0</v>
      </c>
      <c r="B4053" s="308"/>
      <c r="C4053" s="308" t="s">
        <v>16556</v>
      </c>
      <c r="D4053" s="308">
        <f>IFERROR(__xludf.DUMMYFUNCTION("SPLIT(C4053,""-"")"),4073.0)</f>
        <v>4073</v>
      </c>
      <c r="E4053" s="308" t="str">
        <f>IFERROR(__xludf.DUMMYFUNCTION("""COMPUTED_VALUE"""),"I")</f>
        <v>I</v>
      </c>
      <c r="F4053" s="309" t="s">
        <v>31</v>
      </c>
      <c r="G4053" s="308"/>
      <c r="H4053" s="308" t="s">
        <v>16557</v>
      </c>
      <c r="I4053" s="310">
        <v>42759.0</v>
      </c>
      <c r="J4053" s="319">
        <f>IFERROR(__xludf.DUMMYFUNCTION("SPLIT(I4053,""/"")"),24.0)</f>
        <v>24</v>
      </c>
      <c r="K4053" s="308">
        <f>IFERROR(__xludf.DUMMYFUNCTION("""COMPUTED_VALUE"""),1.0)</f>
        <v>1</v>
      </c>
      <c r="L4053" s="308">
        <f>IFERROR(__xludf.DUMMYFUNCTION("""COMPUTED_VALUE"""),2017.0)</f>
        <v>2017</v>
      </c>
      <c r="M4053" s="308" t="s">
        <v>16558</v>
      </c>
      <c r="N4053" s="308" t="s">
        <v>16559</v>
      </c>
      <c r="O4053" s="308" t="s">
        <v>16560</v>
      </c>
      <c r="P4053" s="308" t="s">
        <v>10817</v>
      </c>
      <c r="Q4053" s="308" t="s">
        <v>37422</v>
      </c>
      <c r="R4053" s="308" t="s">
        <v>2743</v>
      </c>
      <c r="S4053" s="315" t="s">
        <v>100</v>
      </c>
      <c r="T4053" s="311" t="s">
        <v>34208</v>
      </c>
      <c r="U4053" s="308" t="s">
        <v>5990</v>
      </c>
      <c r="V4053" s="312"/>
    </row>
    <row r="4054">
      <c r="A4054" s="308">
        <v>4053.0</v>
      </c>
      <c r="B4054" s="308"/>
      <c r="C4054" s="308" t="s">
        <v>16561</v>
      </c>
      <c r="D4054" s="308">
        <f>IFERROR(__xludf.DUMMYFUNCTION("SPLIT(C4054,""-"")"),4074.0)</f>
        <v>4074</v>
      </c>
      <c r="E4054" s="308" t="str">
        <f>IFERROR(__xludf.DUMMYFUNCTION("""COMPUTED_VALUE"""),"K")</f>
        <v>K</v>
      </c>
      <c r="F4054" s="309" t="s">
        <v>34</v>
      </c>
      <c r="G4054" s="308"/>
      <c r="H4054" s="308" t="s">
        <v>16562</v>
      </c>
      <c r="I4054" s="310">
        <v>42011.0</v>
      </c>
      <c r="J4054" s="319">
        <f>IFERROR(__xludf.DUMMYFUNCTION("SPLIT(I4054,""/"")"),7.0)</f>
        <v>7</v>
      </c>
      <c r="K4054" s="308">
        <f>IFERROR(__xludf.DUMMYFUNCTION("""COMPUTED_VALUE"""),1.0)</f>
        <v>1</v>
      </c>
      <c r="L4054" s="308">
        <f>IFERROR(__xludf.DUMMYFUNCTION("""COMPUTED_VALUE"""),2015.0)</f>
        <v>2015</v>
      </c>
      <c r="M4054" s="308" t="s">
        <v>16563</v>
      </c>
      <c r="N4054" s="308"/>
      <c r="O4054" s="308"/>
      <c r="P4054" s="308" t="s">
        <v>8033</v>
      </c>
      <c r="Q4054" s="308" t="s">
        <v>37423</v>
      </c>
      <c r="R4054" s="308" t="s">
        <v>2743</v>
      </c>
      <c r="S4054" s="315" t="s">
        <v>100</v>
      </c>
      <c r="T4054" s="311" t="s">
        <v>34208</v>
      </c>
      <c r="U4054" s="308" t="s">
        <v>3714</v>
      </c>
      <c r="V4054" s="312"/>
    </row>
    <row r="4055">
      <c r="A4055" s="308">
        <v>4054.0</v>
      </c>
      <c r="B4055" s="308"/>
      <c r="C4055" s="308" t="s">
        <v>16564</v>
      </c>
      <c r="D4055" s="308">
        <f>IFERROR(__xludf.DUMMYFUNCTION("SPLIT(C4055,""-"")"),4075.0)</f>
        <v>4075</v>
      </c>
      <c r="E4055" s="308" t="str">
        <f>IFERROR(__xludf.DUMMYFUNCTION("""COMPUTED_VALUE"""),"P")</f>
        <v>P</v>
      </c>
      <c r="F4055" s="312" t="s">
        <v>37</v>
      </c>
      <c r="G4055" s="308"/>
      <c r="H4055" s="308" t="s">
        <v>16565</v>
      </c>
      <c r="I4055" s="310">
        <v>42927.0</v>
      </c>
      <c r="J4055" s="319">
        <f>IFERROR(__xludf.DUMMYFUNCTION("SPLIT(I4055,""/"")"),11.0)</f>
        <v>11</v>
      </c>
      <c r="K4055" s="308">
        <f>IFERROR(__xludf.DUMMYFUNCTION("""COMPUTED_VALUE"""),7.0)</f>
        <v>7</v>
      </c>
      <c r="L4055" s="308">
        <f>IFERROR(__xludf.DUMMYFUNCTION("""COMPUTED_VALUE"""),2017.0)</f>
        <v>2017</v>
      </c>
      <c r="M4055" s="308" t="s">
        <v>16566</v>
      </c>
      <c r="N4055" s="308"/>
      <c r="O4055" s="308"/>
      <c r="P4055" s="308" t="s">
        <v>37424</v>
      </c>
      <c r="Q4055" s="308" t="s">
        <v>37425</v>
      </c>
      <c r="R4055" s="308" t="s">
        <v>2743</v>
      </c>
      <c r="S4055" s="308" t="s">
        <v>81</v>
      </c>
      <c r="T4055" s="308" t="s">
        <v>75</v>
      </c>
      <c r="U4055" s="308" t="s">
        <v>143</v>
      </c>
      <c r="V4055" s="312"/>
    </row>
    <row r="4056">
      <c r="A4056" s="308">
        <v>4055.0</v>
      </c>
      <c r="B4056" s="308"/>
      <c r="C4056" s="308" t="s">
        <v>16568</v>
      </c>
      <c r="D4056" s="308">
        <f>IFERROR(__xludf.DUMMYFUNCTION("SPLIT(C4056,""-"")"),4076.0)</f>
        <v>4076</v>
      </c>
      <c r="E4056" s="308" t="str">
        <f>IFERROR(__xludf.DUMMYFUNCTION("""COMPUTED_VALUE"""),"I")</f>
        <v>I</v>
      </c>
      <c r="F4056" s="309" t="s">
        <v>31</v>
      </c>
      <c r="G4056" s="308"/>
      <c r="H4056" s="308" t="s">
        <v>16569</v>
      </c>
      <c r="I4056" s="310">
        <v>42805.0</v>
      </c>
      <c r="J4056" s="319">
        <f>IFERROR(__xludf.DUMMYFUNCTION("SPLIT(I4056,""/"")"),11.0)</f>
        <v>11</v>
      </c>
      <c r="K4056" s="308">
        <f>IFERROR(__xludf.DUMMYFUNCTION("""COMPUTED_VALUE"""),3.0)</f>
        <v>3</v>
      </c>
      <c r="L4056" s="308">
        <f>IFERROR(__xludf.DUMMYFUNCTION("""COMPUTED_VALUE"""),2017.0)</f>
        <v>2017</v>
      </c>
      <c r="M4056" s="308" t="s">
        <v>16570</v>
      </c>
      <c r="N4056" s="308"/>
      <c r="O4056" s="308" t="s">
        <v>16571</v>
      </c>
      <c r="P4056" s="308" t="s">
        <v>16572</v>
      </c>
      <c r="Q4056" s="308" t="s">
        <v>37426</v>
      </c>
      <c r="R4056" s="308" t="s">
        <v>2743</v>
      </c>
      <c r="S4056" s="308" t="s">
        <v>81</v>
      </c>
      <c r="T4056" s="308" t="s">
        <v>75</v>
      </c>
      <c r="U4056" s="308" t="s">
        <v>31</v>
      </c>
      <c r="V4056" s="312"/>
    </row>
    <row r="4057">
      <c r="A4057" s="308">
        <v>4056.0</v>
      </c>
      <c r="B4057" s="308"/>
      <c r="C4057" s="308" t="s">
        <v>16573</v>
      </c>
      <c r="D4057" s="308">
        <f>IFERROR(__xludf.DUMMYFUNCTION("SPLIT(C4057,""-"")"),4077.0)</f>
        <v>4077</v>
      </c>
      <c r="E4057" s="308" t="str">
        <f>IFERROR(__xludf.DUMMYFUNCTION("""COMPUTED_VALUE"""),"K")</f>
        <v>K</v>
      </c>
      <c r="F4057" s="309" t="s">
        <v>34</v>
      </c>
      <c r="G4057" s="308"/>
      <c r="H4057" s="308" t="s">
        <v>16574</v>
      </c>
      <c r="I4057" s="310">
        <v>41362.0</v>
      </c>
      <c r="J4057" s="319">
        <f>IFERROR(__xludf.DUMMYFUNCTION("SPLIT(I4057,""/"")"),29.0)</f>
        <v>29</v>
      </c>
      <c r="K4057" s="308">
        <f>IFERROR(__xludf.DUMMYFUNCTION("""COMPUTED_VALUE"""),3.0)</f>
        <v>3</v>
      </c>
      <c r="L4057" s="308">
        <f>IFERROR(__xludf.DUMMYFUNCTION("""COMPUTED_VALUE"""),2013.0)</f>
        <v>2013</v>
      </c>
      <c r="M4057" s="308" t="s">
        <v>16575</v>
      </c>
      <c r="N4057" s="308"/>
      <c r="O4057" s="308"/>
      <c r="P4057" s="308" t="s">
        <v>6381</v>
      </c>
      <c r="Q4057" s="308" t="s">
        <v>37426</v>
      </c>
      <c r="R4057" s="308" t="s">
        <v>2743</v>
      </c>
      <c r="S4057" s="315" t="s">
        <v>100</v>
      </c>
      <c r="T4057" s="311" t="s">
        <v>34208</v>
      </c>
      <c r="U4057" s="308" t="s">
        <v>201</v>
      </c>
      <c r="V4057" s="312"/>
    </row>
    <row r="4058">
      <c r="A4058" s="308">
        <v>4057.0</v>
      </c>
      <c r="B4058" s="308"/>
      <c r="C4058" s="308" t="s">
        <v>16576</v>
      </c>
      <c r="D4058" s="308">
        <f>IFERROR(__xludf.DUMMYFUNCTION("SPLIT(C4058,""-"")"),4078.0)</f>
        <v>4078</v>
      </c>
      <c r="E4058" s="308" t="str">
        <f>IFERROR(__xludf.DUMMYFUNCTION("""COMPUTED_VALUE"""),"I")</f>
        <v>I</v>
      </c>
      <c r="F4058" s="309" t="s">
        <v>31</v>
      </c>
      <c r="G4058" s="308"/>
      <c r="H4058" s="308" t="s">
        <v>16577</v>
      </c>
      <c r="I4058" s="314">
        <v>42733.0</v>
      </c>
      <c r="J4058" s="319">
        <f>IFERROR(__xludf.DUMMYFUNCTION("SPLIT(I4058,""/"")"),29.0)</f>
        <v>29</v>
      </c>
      <c r="K4058" s="308">
        <f>IFERROR(__xludf.DUMMYFUNCTION("""COMPUTED_VALUE"""),12.0)</f>
        <v>12</v>
      </c>
      <c r="L4058" s="308">
        <f>IFERROR(__xludf.DUMMYFUNCTION("""COMPUTED_VALUE"""),2016.0)</f>
        <v>2016</v>
      </c>
      <c r="M4058" s="308" t="s">
        <v>16578</v>
      </c>
      <c r="N4058" s="308"/>
      <c r="O4058" s="308" t="s">
        <v>16579</v>
      </c>
      <c r="P4058" s="308" t="s">
        <v>37427</v>
      </c>
      <c r="Q4058" s="308" t="s">
        <v>37426</v>
      </c>
      <c r="R4058" s="308" t="s">
        <v>2743</v>
      </c>
      <c r="S4058" s="308" t="s">
        <v>81</v>
      </c>
      <c r="T4058" s="308" t="s">
        <v>75</v>
      </c>
      <c r="U4058" s="308" t="s">
        <v>31</v>
      </c>
      <c r="V4058" s="312"/>
    </row>
    <row r="4059">
      <c r="A4059" s="308">
        <v>4058.0</v>
      </c>
      <c r="B4059" s="308"/>
      <c r="C4059" s="308" t="s">
        <v>16581</v>
      </c>
      <c r="D4059" s="308">
        <f>IFERROR(__xludf.DUMMYFUNCTION("SPLIT(C4059,""-"")"),4079.0)</f>
        <v>4079</v>
      </c>
      <c r="E4059" s="308" t="str">
        <f>IFERROR(__xludf.DUMMYFUNCTION("""COMPUTED_VALUE"""),"S")</f>
        <v>S</v>
      </c>
      <c r="F4059" s="312" t="s">
        <v>39</v>
      </c>
      <c r="G4059" s="308"/>
      <c r="H4059" s="308" t="s">
        <v>16582</v>
      </c>
      <c r="I4059" s="314">
        <v>42690.0</v>
      </c>
      <c r="J4059" s="319">
        <f>IFERROR(__xludf.DUMMYFUNCTION("SPLIT(I4059,""/"")"),16.0)</f>
        <v>16</v>
      </c>
      <c r="K4059" s="308">
        <f>IFERROR(__xludf.DUMMYFUNCTION("""COMPUTED_VALUE"""),11.0)</f>
        <v>11</v>
      </c>
      <c r="L4059" s="308">
        <f>IFERROR(__xludf.DUMMYFUNCTION("""COMPUTED_VALUE"""),2016.0)</f>
        <v>2016</v>
      </c>
      <c r="M4059" s="308" t="s">
        <v>37428</v>
      </c>
      <c r="N4059" s="308"/>
      <c r="O4059" s="308"/>
      <c r="P4059" s="308" t="s">
        <v>37429</v>
      </c>
      <c r="Q4059" s="308" t="s">
        <v>37426</v>
      </c>
      <c r="R4059" s="308" t="s">
        <v>16585</v>
      </c>
      <c r="S4059" s="308" t="s">
        <v>81</v>
      </c>
      <c r="T4059" s="311" t="s">
        <v>73</v>
      </c>
      <c r="U4059" s="308" t="s">
        <v>166</v>
      </c>
      <c r="V4059" s="312"/>
    </row>
    <row r="4060">
      <c r="A4060" s="308">
        <v>4059.0</v>
      </c>
      <c r="B4060" s="308"/>
      <c r="C4060" s="308" t="s">
        <v>16586</v>
      </c>
      <c r="D4060" s="308">
        <f>IFERROR(__xludf.DUMMYFUNCTION("SPLIT(C4060,""-"")"),4080.0)</f>
        <v>4080</v>
      </c>
      <c r="E4060" s="308" t="str">
        <f>IFERROR(__xludf.DUMMYFUNCTION("""COMPUTED_VALUE"""),"S")</f>
        <v>S</v>
      </c>
      <c r="F4060" s="312" t="s">
        <v>39</v>
      </c>
      <c r="G4060" s="308"/>
      <c r="H4060" s="308" t="s">
        <v>16587</v>
      </c>
      <c r="I4060" s="310">
        <v>42857.0</v>
      </c>
      <c r="J4060" s="319">
        <f>IFERROR(__xludf.DUMMYFUNCTION("SPLIT(I4060,""/"")"),2.0)</f>
        <v>2</v>
      </c>
      <c r="K4060" s="308">
        <f>IFERROR(__xludf.DUMMYFUNCTION("""COMPUTED_VALUE"""),5.0)</f>
        <v>5</v>
      </c>
      <c r="L4060" s="308">
        <f>IFERROR(__xludf.DUMMYFUNCTION("""COMPUTED_VALUE"""),2017.0)</f>
        <v>2017</v>
      </c>
      <c r="M4060" s="308" t="s">
        <v>16588</v>
      </c>
      <c r="N4060" s="308"/>
      <c r="O4060" s="308"/>
      <c r="P4060" s="308" t="s">
        <v>37430</v>
      </c>
      <c r="Q4060" s="308" t="s">
        <v>37426</v>
      </c>
      <c r="R4060" s="308" t="s">
        <v>16585</v>
      </c>
      <c r="S4060" s="308" t="s">
        <v>81</v>
      </c>
      <c r="T4060" s="308" t="s">
        <v>75</v>
      </c>
      <c r="U4060" s="308" t="s">
        <v>166</v>
      </c>
      <c r="V4060" s="312"/>
    </row>
    <row r="4061">
      <c r="A4061" s="308">
        <v>4060.0</v>
      </c>
      <c r="B4061" s="308"/>
      <c r="C4061" s="308" t="s">
        <v>16590</v>
      </c>
      <c r="D4061" s="308">
        <f>IFERROR(__xludf.DUMMYFUNCTION("SPLIT(C4061,""-"")"),4081.0)</f>
        <v>4081</v>
      </c>
      <c r="E4061" s="308" t="str">
        <f>IFERROR(__xludf.DUMMYFUNCTION("""COMPUTED_VALUE"""),"S")</f>
        <v>S</v>
      </c>
      <c r="F4061" s="312" t="s">
        <v>39</v>
      </c>
      <c r="G4061" s="308"/>
      <c r="H4061" s="308" t="s">
        <v>16591</v>
      </c>
      <c r="I4061" s="310">
        <v>42794.0</v>
      </c>
      <c r="J4061" s="319">
        <f>IFERROR(__xludf.DUMMYFUNCTION("SPLIT(I4061,""/"")"),28.0)</f>
        <v>28</v>
      </c>
      <c r="K4061" s="308">
        <f>IFERROR(__xludf.DUMMYFUNCTION("""COMPUTED_VALUE"""),2.0)</f>
        <v>2</v>
      </c>
      <c r="L4061" s="308">
        <f>IFERROR(__xludf.DUMMYFUNCTION("""COMPUTED_VALUE"""),2017.0)</f>
        <v>2017</v>
      </c>
      <c r="M4061" s="308" t="s">
        <v>16592</v>
      </c>
      <c r="N4061" s="308"/>
      <c r="O4061" s="308"/>
      <c r="P4061" s="308" t="s">
        <v>16593</v>
      </c>
      <c r="Q4061" s="308" t="s">
        <v>37426</v>
      </c>
      <c r="R4061" s="308" t="s">
        <v>16585</v>
      </c>
      <c r="S4061" s="308" t="s">
        <v>81</v>
      </c>
      <c r="T4061" s="311" t="s">
        <v>73</v>
      </c>
      <c r="U4061" s="308" t="s">
        <v>166</v>
      </c>
      <c r="V4061" s="312"/>
    </row>
    <row r="4062">
      <c r="A4062" s="308">
        <v>4061.0</v>
      </c>
      <c r="B4062" s="308"/>
      <c r="C4062" s="308" t="s">
        <v>16594</v>
      </c>
      <c r="D4062" s="308">
        <f>IFERROR(__xludf.DUMMYFUNCTION("SPLIT(C4062,""-"")"),4082.0)</f>
        <v>4082</v>
      </c>
      <c r="E4062" s="308" t="str">
        <f>IFERROR(__xludf.DUMMYFUNCTION("""COMPUTED_VALUE"""),"K")</f>
        <v>K</v>
      </c>
      <c r="F4062" s="309" t="s">
        <v>34</v>
      </c>
      <c r="G4062" s="308"/>
      <c r="H4062" s="308" t="s">
        <v>16595</v>
      </c>
      <c r="I4062" s="316">
        <v>2009.0</v>
      </c>
      <c r="J4062" s="319"/>
      <c r="K4062" s="308"/>
      <c r="L4062" s="311">
        <v>2009.0</v>
      </c>
      <c r="M4062" s="308" t="s">
        <v>16596</v>
      </c>
      <c r="N4062" s="308"/>
      <c r="O4062" s="308"/>
      <c r="P4062" s="308" t="s">
        <v>1872</v>
      </c>
      <c r="Q4062" s="308" t="s">
        <v>37426</v>
      </c>
      <c r="R4062" s="308" t="s">
        <v>2743</v>
      </c>
      <c r="S4062" s="315" t="s">
        <v>100</v>
      </c>
      <c r="T4062" s="311" t="s">
        <v>34208</v>
      </c>
      <c r="U4062" s="308" t="s">
        <v>530</v>
      </c>
      <c r="V4062" s="312"/>
    </row>
    <row r="4063">
      <c r="A4063" s="308">
        <v>4062.0</v>
      </c>
      <c r="B4063" s="308"/>
      <c r="C4063" s="308" t="s">
        <v>16597</v>
      </c>
      <c r="D4063" s="308">
        <f>IFERROR(__xludf.DUMMYFUNCTION("SPLIT(C4063,""-"")"),4083.0)</f>
        <v>4083</v>
      </c>
      <c r="E4063" s="308" t="str">
        <f>IFERROR(__xludf.DUMMYFUNCTION("""COMPUTED_VALUE"""),"K")</f>
        <v>K</v>
      </c>
      <c r="F4063" s="309" t="s">
        <v>34</v>
      </c>
      <c r="G4063" s="308"/>
      <c r="H4063" s="308" t="s">
        <v>16598</v>
      </c>
      <c r="I4063" s="316">
        <v>2009.0</v>
      </c>
      <c r="J4063" s="319"/>
      <c r="K4063" s="308"/>
      <c r="L4063" s="311">
        <v>2009.0</v>
      </c>
      <c r="M4063" s="308" t="s">
        <v>16599</v>
      </c>
      <c r="N4063" s="308"/>
      <c r="O4063" s="308"/>
      <c r="P4063" s="308" t="s">
        <v>1872</v>
      </c>
      <c r="Q4063" s="308" t="s">
        <v>37426</v>
      </c>
      <c r="R4063" s="308" t="s">
        <v>2743</v>
      </c>
      <c r="S4063" s="315" t="s">
        <v>100</v>
      </c>
      <c r="T4063" s="311" t="s">
        <v>34208</v>
      </c>
      <c r="U4063" s="308" t="s">
        <v>530</v>
      </c>
      <c r="V4063" s="312"/>
    </row>
    <row r="4064">
      <c r="A4064" s="308">
        <v>4063.0</v>
      </c>
      <c r="B4064" s="308"/>
      <c r="C4064" s="308" t="s">
        <v>16600</v>
      </c>
      <c r="D4064" s="308">
        <f>IFERROR(__xludf.DUMMYFUNCTION("SPLIT(C4064,""-"")"),4084.0)</f>
        <v>4084</v>
      </c>
      <c r="E4064" s="308" t="str">
        <f>IFERROR(__xludf.DUMMYFUNCTION("""COMPUTED_VALUE"""),"K")</f>
        <v>K</v>
      </c>
      <c r="F4064" s="309" t="s">
        <v>34</v>
      </c>
      <c r="G4064" s="308"/>
      <c r="H4064" s="308" t="s">
        <v>16601</v>
      </c>
      <c r="I4064" s="310">
        <v>40440.0</v>
      </c>
      <c r="J4064" s="319">
        <f>IFERROR(__xludf.DUMMYFUNCTION("SPLIT(I4064,""/"")"),19.0)</f>
        <v>19</v>
      </c>
      <c r="K4064" s="308">
        <f>IFERROR(__xludf.DUMMYFUNCTION("""COMPUTED_VALUE"""),9.0)</f>
        <v>9</v>
      </c>
      <c r="L4064" s="308">
        <f>IFERROR(__xludf.DUMMYFUNCTION("""COMPUTED_VALUE"""),2010.0)</f>
        <v>2010</v>
      </c>
      <c r="M4064" s="308" t="s">
        <v>16602</v>
      </c>
      <c r="N4064" s="308"/>
      <c r="O4064" s="308"/>
      <c r="P4064" s="308" t="s">
        <v>2872</v>
      </c>
      <c r="Q4064" s="308" t="s">
        <v>37426</v>
      </c>
      <c r="R4064" s="308" t="s">
        <v>2743</v>
      </c>
      <c r="S4064" s="315" t="s">
        <v>100</v>
      </c>
      <c r="T4064" s="311" t="s">
        <v>34208</v>
      </c>
      <c r="U4064" s="308" t="s">
        <v>125</v>
      </c>
      <c r="V4064" s="312"/>
    </row>
    <row r="4065">
      <c r="A4065" s="308">
        <v>4064.0</v>
      </c>
      <c r="B4065" s="308"/>
      <c r="C4065" s="308" t="s">
        <v>16603</v>
      </c>
      <c r="D4065" s="308">
        <f>IFERROR(__xludf.DUMMYFUNCTION("SPLIT(C4065,""-"")"),4085.0)</f>
        <v>4085</v>
      </c>
      <c r="E4065" s="308" t="str">
        <f>IFERROR(__xludf.DUMMYFUNCTION("""COMPUTED_VALUE"""),"K")</f>
        <v>K</v>
      </c>
      <c r="F4065" s="309" t="s">
        <v>34</v>
      </c>
      <c r="G4065" s="308"/>
      <c r="H4065" s="308" t="s">
        <v>16604</v>
      </c>
      <c r="I4065" s="310">
        <v>40440.0</v>
      </c>
      <c r="J4065" s="319">
        <f>IFERROR(__xludf.DUMMYFUNCTION("SPLIT(I4065,""/"")"),19.0)</f>
        <v>19</v>
      </c>
      <c r="K4065" s="308">
        <f>IFERROR(__xludf.DUMMYFUNCTION("""COMPUTED_VALUE"""),9.0)</f>
        <v>9</v>
      </c>
      <c r="L4065" s="308">
        <f>IFERROR(__xludf.DUMMYFUNCTION("""COMPUTED_VALUE"""),2010.0)</f>
        <v>2010</v>
      </c>
      <c r="M4065" s="308" t="s">
        <v>16602</v>
      </c>
      <c r="N4065" s="308"/>
      <c r="O4065" s="308"/>
      <c r="P4065" s="308" t="s">
        <v>2872</v>
      </c>
      <c r="Q4065" s="308" t="s">
        <v>37426</v>
      </c>
      <c r="R4065" s="308" t="s">
        <v>2743</v>
      </c>
      <c r="S4065" s="315" t="s">
        <v>100</v>
      </c>
      <c r="T4065" s="311" t="s">
        <v>34208</v>
      </c>
      <c r="U4065" s="308" t="s">
        <v>125</v>
      </c>
      <c r="V4065" s="312"/>
    </row>
    <row r="4066">
      <c r="A4066" s="308">
        <v>4065.0</v>
      </c>
      <c r="B4066" s="308"/>
      <c r="C4066" s="308" t="s">
        <v>16605</v>
      </c>
      <c r="D4066" s="308">
        <f>IFERROR(__xludf.DUMMYFUNCTION("SPLIT(C4066,""-"")"),4086.0)</f>
        <v>4086</v>
      </c>
      <c r="E4066" s="308" t="str">
        <f>IFERROR(__xludf.DUMMYFUNCTION("""COMPUTED_VALUE"""),"K")</f>
        <v>K</v>
      </c>
      <c r="F4066" s="309" t="s">
        <v>34</v>
      </c>
      <c r="G4066" s="308"/>
      <c r="H4066" s="308" t="s">
        <v>16606</v>
      </c>
      <c r="I4066" s="310">
        <v>41480.0</v>
      </c>
      <c r="J4066" s="319">
        <f>IFERROR(__xludf.DUMMYFUNCTION("SPLIT(I4066,""/"")"),25.0)</f>
        <v>25</v>
      </c>
      <c r="K4066" s="308">
        <f>IFERROR(__xludf.DUMMYFUNCTION("""COMPUTED_VALUE"""),7.0)</f>
        <v>7</v>
      </c>
      <c r="L4066" s="308">
        <f>IFERROR(__xludf.DUMMYFUNCTION("""COMPUTED_VALUE"""),2013.0)</f>
        <v>2013</v>
      </c>
      <c r="M4066" s="308" t="s">
        <v>16607</v>
      </c>
      <c r="N4066" s="308"/>
      <c r="O4066" s="308"/>
      <c r="P4066" s="308" t="s">
        <v>2872</v>
      </c>
      <c r="Q4066" s="308" t="s">
        <v>37426</v>
      </c>
      <c r="R4066" s="308" t="s">
        <v>2743</v>
      </c>
      <c r="S4066" s="315" t="s">
        <v>100</v>
      </c>
      <c r="T4066" s="311" t="s">
        <v>34208</v>
      </c>
      <c r="U4066" s="308" t="s">
        <v>125</v>
      </c>
      <c r="V4066" s="312"/>
    </row>
    <row r="4067">
      <c r="A4067" s="308">
        <v>4066.0</v>
      </c>
      <c r="B4067" s="308"/>
      <c r="C4067" s="308" t="s">
        <v>16608</v>
      </c>
      <c r="D4067" s="308">
        <f>IFERROR(__xludf.DUMMYFUNCTION("SPLIT(C4067,""-"")"),4087.0)</f>
        <v>4087</v>
      </c>
      <c r="E4067" s="308" t="str">
        <f>IFERROR(__xludf.DUMMYFUNCTION("""COMPUTED_VALUE"""),"K")</f>
        <v>K</v>
      </c>
      <c r="F4067" s="309" t="s">
        <v>34</v>
      </c>
      <c r="G4067" s="308"/>
      <c r="H4067" s="308" t="s">
        <v>16609</v>
      </c>
      <c r="I4067" s="316">
        <v>2010.0</v>
      </c>
      <c r="J4067" s="319"/>
      <c r="K4067" s="308"/>
      <c r="L4067" s="311">
        <v>2010.0</v>
      </c>
      <c r="M4067" s="308" t="s">
        <v>16610</v>
      </c>
      <c r="N4067" s="308" t="s">
        <v>16611</v>
      </c>
      <c r="O4067" s="308"/>
      <c r="P4067" s="308" t="s">
        <v>1872</v>
      </c>
      <c r="Q4067" s="308" t="s">
        <v>37426</v>
      </c>
      <c r="R4067" s="308" t="s">
        <v>2743</v>
      </c>
      <c r="S4067" s="315" t="s">
        <v>100</v>
      </c>
      <c r="T4067" s="311" t="s">
        <v>34208</v>
      </c>
      <c r="U4067" s="308" t="s">
        <v>530</v>
      </c>
      <c r="V4067" s="312"/>
    </row>
    <row r="4068">
      <c r="A4068" s="308">
        <v>4067.0</v>
      </c>
      <c r="B4068" s="308"/>
      <c r="C4068" s="308" t="s">
        <v>16612</v>
      </c>
      <c r="D4068" s="308">
        <f>IFERROR(__xludf.DUMMYFUNCTION("SPLIT(C4068,""-"")"),4088.0)</f>
        <v>4088</v>
      </c>
      <c r="E4068" s="308" t="str">
        <f>IFERROR(__xludf.DUMMYFUNCTION("""COMPUTED_VALUE"""),"K")</f>
        <v>K</v>
      </c>
      <c r="F4068" s="309" t="s">
        <v>34</v>
      </c>
      <c r="G4068" s="308"/>
      <c r="H4068" s="308" t="s">
        <v>16613</v>
      </c>
      <c r="I4068" s="310">
        <v>41695.0</v>
      </c>
      <c r="J4068" s="319">
        <f>IFERROR(__xludf.DUMMYFUNCTION("SPLIT(I4068,""/"")"),25.0)</f>
        <v>25</v>
      </c>
      <c r="K4068" s="308">
        <f>IFERROR(__xludf.DUMMYFUNCTION("""COMPUTED_VALUE"""),2.0)</f>
        <v>2</v>
      </c>
      <c r="L4068" s="308">
        <f>IFERROR(__xludf.DUMMYFUNCTION("""COMPUTED_VALUE"""),2014.0)</f>
        <v>2014</v>
      </c>
      <c r="M4068" s="308" t="s">
        <v>16614</v>
      </c>
      <c r="N4068" s="308"/>
      <c r="O4068" s="308"/>
      <c r="P4068" s="308" t="s">
        <v>6322</v>
      </c>
      <c r="Q4068" s="308" t="s">
        <v>37431</v>
      </c>
      <c r="R4068" s="308" t="s">
        <v>2743</v>
      </c>
      <c r="S4068" s="315" t="s">
        <v>100</v>
      </c>
      <c r="T4068" s="311" t="s">
        <v>34208</v>
      </c>
      <c r="U4068" s="308" t="s">
        <v>4749</v>
      </c>
      <c r="V4068" s="312"/>
    </row>
    <row r="4069">
      <c r="A4069" s="308">
        <v>4068.0</v>
      </c>
      <c r="B4069" s="308"/>
      <c r="C4069" s="308" t="s">
        <v>16615</v>
      </c>
      <c r="D4069" s="308">
        <f>IFERROR(__xludf.DUMMYFUNCTION("SPLIT(C4069,""-"")"),4089.0)</f>
        <v>4089</v>
      </c>
      <c r="E4069" s="308" t="str">
        <f>IFERROR(__xludf.DUMMYFUNCTION("""COMPUTED_VALUE"""),"K")</f>
        <v>K</v>
      </c>
      <c r="F4069" s="309" t="s">
        <v>34</v>
      </c>
      <c r="G4069" s="308"/>
      <c r="H4069" s="308" t="s">
        <v>16616</v>
      </c>
      <c r="I4069" s="310">
        <v>41664.0</v>
      </c>
      <c r="J4069" s="319">
        <f>IFERROR(__xludf.DUMMYFUNCTION("SPLIT(I4069,""/"")"),25.0)</f>
        <v>25</v>
      </c>
      <c r="K4069" s="308">
        <f>IFERROR(__xludf.DUMMYFUNCTION("""COMPUTED_VALUE"""),1.0)</f>
        <v>1</v>
      </c>
      <c r="L4069" s="308">
        <f>IFERROR(__xludf.DUMMYFUNCTION("""COMPUTED_VALUE"""),2014.0)</f>
        <v>2014</v>
      </c>
      <c r="M4069" s="308" t="s">
        <v>16617</v>
      </c>
      <c r="N4069" s="308"/>
      <c r="O4069" s="308"/>
      <c r="P4069" s="308" t="s">
        <v>6322</v>
      </c>
      <c r="Q4069" s="308" t="s">
        <v>37431</v>
      </c>
      <c r="R4069" s="308" t="s">
        <v>2743</v>
      </c>
      <c r="S4069" s="315" t="s">
        <v>100</v>
      </c>
      <c r="T4069" s="311" t="s">
        <v>34208</v>
      </c>
      <c r="U4069" s="308" t="s">
        <v>4749</v>
      </c>
      <c r="V4069" s="312"/>
    </row>
    <row r="4070">
      <c r="A4070" s="308">
        <v>4069.0</v>
      </c>
      <c r="B4070" s="308"/>
      <c r="C4070" s="308" t="s">
        <v>16618</v>
      </c>
      <c r="D4070" s="308">
        <f>IFERROR(__xludf.DUMMYFUNCTION("SPLIT(C4070,""-"")"),4090.0)</f>
        <v>4090</v>
      </c>
      <c r="E4070" s="308" t="str">
        <f>IFERROR(__xludf.DUMMYFUNCTION("""COMPUTED_VALUE"""),"B")</f>
        <v>B</v>
      </c>
      <c r="F4070" s="315" t="s">
        <v>26</v>
      </c>
      <c r="G4070" s="308"/>
      <c r="H4070" s="308" t="s">
        <v>16619</v>
      </c>
      <c r="I4070" s="310">
        <v>41890.0</v>
      </c>
      <c r="J4070" s="319">
        <f>IFERROR(__xludf.DUMMYFUNCTION("SPLIT(I4070,""/"")"),8.0)</f>
        <v>8</v>
      </c>
      <c r="K4070" s="308">
        <f>IFERROR(__xludf.DUMMYFUNCTION("""COMPUTED_VALUE"""),9.0)</f>
        <v>9</v>
      </c>
      <c r="L4070" s="308">
        <f>IFERROR(__xludf.DUMMYFUNCTION("""COMPUTED_VALUE"""),2014.0)</f>
        <v>2014</v>
      </c>
      <c r="M4070" s="308" t="s">
        <v>37432</v>
      </c>
      <c r="N4070" s="308"/>
      <c r="O4070" s="308"/>
      <c r="P4070" s="308" t="s">
        <v>16621</v>
      </c>
      <c r="Q4070" s="308" t="s">
        <v>37431</v>
      </c>
      <c r="R4070" s="308" t="s">
        <v>13810</v>
      </c>
      <c r="S4070" s="308" t="s">
        <v>49</v>
      </c>
      <c r="T4070" s="311" t="s">
        <v>77</v>
      </c>
      <c r="U4070" s="308" t="s">
        <v>27</v>
      </c>
      <c r="V4070" s="312"/>
    </row>
    <row r="4071">
      <c r="A4071" s="308">
        <v>4070.0</v>
      </c>
      <c r="B4071" s="308"/>
      <c r="C4071" s="308" t="s">
        <v>16622</v>
      </c>
      <c r="D4071" s="308">
        <f>IFERROR(__xludf.DUMMYFUNCTION("SPLIT(C4071,""-"")"),4091.0)</f>
        <v>4091</v>
      </c>
      <c r="E4071" s="308" t="str">
        <f>IFERROR(__xludf.DUMMYFUNCTION("""COMPUTED_VALUE"""),"B")</f>
        <v>B</v>
      </c>
      <c r="F4071" s="315" t="s">
        <v>26</v>
      </c>
      <c r="G4071" s="308"/>
      <c r="H4071" s="308" t="s">
        <v>16623</v>
      </c>
      <c r="I4071" s="310">
        <v>42783.0</v>
      </c>
      <c r="J4071" s="319">
        <f>IFERROR(__xludf.DUMMYFUNCTION("SPLIT(I4071,""/"")"),17.0)</f>
        <v>17</v>
      </c>
      <c r="K4071" s="308">
        <f>IFERROR(__xludf.DUMMYFUNCTION("""COMPUTED_VALUE"""),2.0)</f>
        <v>2</v>
      </c>
      <c r="L4071" s="308">
        <f>IFERROR(__xludf.DUMMYFUNCTION("""COMPUTED_VALUE"""),2017.0)</f>
        <v>2017</v>
      </c>
      <c r="M4071" s="308" t="s">
        <v>16624</v>
      </c>
      <c r="N4071" s="308"/>
      <c r="O4071" s="308" t="s">
        <v>37433</v>
      </c>
      <c r="P4071" s="308" t="s">
        <v>16626</v>
      </c>
      <c r="Q4071" s="308" t="s">
        <v>37431</v>
      </c>
      <c r="R4071" s="308" t="s">
        <v>13810</v>
      </c>
      <c r="S4071" s="308" t="s">
        <v>81</v>
      </c>
      <c r="T4071" s="308" t="s">
        <v>75</v>
      </c>
      <c r="U4071" s="308" t="s">
        <v>27</v>
      </c>
      <c r="V4071" s="312"/>
    </row>
    <row r="4072">
      <c r="A4072" s="308">
        <v>4071.0</v>
      </c>
      <c r="B4072" s="308"/>
      <c r="C4072" s="308" t="s">
        <v>16627</v>
      </c>
      <c r="D4072" s="308">
        <f>IFERROR(__xludf.DUMMYFUNCTION("SPLIT(C4072,""-"")"),4092.0)</f>
        <v>4092</v>
      </c>
      <c r="E4072" s="308" t="str">
        <f>IFERROR(__xludf.DUMMYFUNCTION("""COMPUTED_VALUE"""),"F")</f>
        <v>F</v>
      </c>
      <c r="F4072" s="309" t="s">
        <v>34</v>
      </c>
      <c r="G4072" s="308"/>
      <c r="H4072" s="308" t="s">
        <v>16628</v>
      </c>
      <c r="I4072" s="310">
        <v>42711.0</v>
      </c>
      <c r="J4072" s="319">
        <f>IFERROR(__xludf.DUMMYFUNCTION("SPLIT(I4072,""/"")"),7.0)</f>
        <v>7</v>
      </c>
      <c r="K4072" s="308">
        <f>IFERROR(__xludf.DUMMYFUNCTION("""COMPUTED_VALUE"""),12.0)</f>
        <v>12</v>
      </c>
      <c r="L4072" s="308">
        <f>IFERROR(__xludf.DUMMYFUNCTION("""COMPUTED_VALUE"""),2016.0)</f>
        <v>2016</v>
      </c>
      <c r="M4072" s="308" t="s">
        <v>16629</v>
      </c>
      <c r="N4072" s="308" t="s">
        <v>16630</v>
      </c>
      <c r="O4072" s="308"/>
      <c r="P4072" s="308" t="s">
        <v>6393</v>
      </c>
      <c r="Q4072" s="308" t="s">
        <v>37434</v>
      </c>
      <c r="R4072" s="308"/>
      <c r="S4072" s="315" t="s">
        <v>100</v>
      </c>
      <c r="T4072" s="311" t="s">
        <v>34208</v>
      </c>
      <c r="U4072" s="308" t="s">
        <v>6875</v>
      </c>
      <c r="V4072" s="312"/>
    </row>
    <row r="4073">
      <c r="A4073" s="308">
        <v>4072.0</v>
      </c>
      <c r="B4073" s="308"/>
      <c r="C4073" s="308" t="s">
        <v>16631</v>
      </c>
      <c r="D4073" s="308">
        <f>IFERROR(__xludf.DUMMYFUNCTION("SPLIT(C4073,""-"")"),4093.0)</f>
        <v>4093</v>
      </c>
      <c r="E4073" s="308" t="str">
        <f>IFERROR(__xludf.DUMMYFUNCTION("""COMPUTED_VALUE"""),"K")</f>
        <v>K</v>
      </c>
      <c r="F4073" s="309" t="s">
        <v>34</v>
      </c>
      <c r="G4073" s="308"/>
      <c r="H4073" s="308" t="s">
        <v>16632</v>
      </c>
      <c r="I4073" s="316">
        <v>2009.0</v>
      </c>
      <c r="J4073" s="319"/>
      <c r="K4073" s="308"/>
      <c r="L4073" s="311">
        <v>2009.0</v>
      </c>
      <c r="M4073" s="308" t="s">
        <v>16633</v>
      </c>
      <c r="N4073" s="308"/>
      <c r="O4073" s="308"/>
      <c r="P4073" s="308" t="s">
        <v>1872</v>
      </c>
      <c r="Q4073" s="308" t="s">
        <v>37434</v>
      </c>
      <c r="R4073" s="308"/>
      <c r="S4073" s="315" t="s">
        <v>100</v>
      </c>
      <c r="T4073" s="311" t="s">
        <v>34208</v>
      </c>
      <c r="U4073" s="308" t="s">
        <v>530</v>
      </c>
      <c r="V4073" s="312"/>
    </row>
    <row r="4074">
      <c r="A4074" s="308">
        <v>4073.0</v>
      </c>
      <c r="B4074" s="308"/>
      <c r="C4074" s="308" t="s">
        <v>16634</v>
      </c>
      <c r="D4074" s="308">
        <f>IFERROR(__xludf.DUMMYFUNCTION("SPLIT(C4074,""-"")"),4094.0)</f>
        <v>4094</v>
      </c>
      <c r="E4074" s="308" t="str">
        <f>IFERROR(__xludf.DUMMYFUNCTION("""COMPUTED_VALUE"""),"K")</f>
        <v>K</v>
      </c>
      <c r="F4074" s="309" t="s">
        <v>34</v>
      </c>
      <c r="G4074" s="308"/>
      <c r="H4074" s="308" t="s">
        <v>16635</v>
      </c>
      <c r="I4074" s="310">
        <v>40288.0</v>
      </c>
      <c r="J4074" s="319">
        <f>IFERROR(__xludf.DUMMYFUNCTION("SPLIT(I4074,""/"")"),20.0)</f>
        <v>20</v>
      </c>
      <c r="K4074" s="308">
        <f>IFERROR(__xludf.DUMMYFUNCTION("""COMPUTED_VALUE"""),4.0)</f>
        <v>4</v>
      </c>
      <c r="L4074" s="308">
        <f>IFERROR(__xludf.DUMMYFUNCTION("""COMPUTED_VALUE"""),2010.0)</f>
        <v>2010</v>
      </c>
      <c r="M4074" s="308" t="s">
        <v>16636</v>
      </c>
      <c r="N4074" s="308"/>
      <c r="O4074" s="308"/>
      <c r="P4074" s="308" t="s">
        <v>16637</v>
      </c>
      <c r="Q4074" s="308" t="s">
        <v>37435</v>
      </c>
      <c r="R4074" s="308" t="s">
        <v>14256</v>
      </c>
      <c r="S4074" s="308" t="s">
        <v>49</v>
      </c>
      <c r="T4074" s="311" t="s">
        <v>57</v>
      </c>
      <c r="U4074" s="308" t="s">
        <v>941</v>
      </c>
      <c r="V4074" s="312"/>
    </row>
    <row r="4075">
      <c r="A4075" s="308">
        <v>4074.0</v>
      </c>
      <c r="B4075" s="308"/>
      <c r="C4075" s="308" t="s">
        <v>16638</v>
      </c>
      <c r="D4075" s="308">
        <f>IFERROR(__xludf.DUMMYFUNCTION("SPLIT(C4075,""-"")"),4095.0)</f>
        <v>4095</v>
      </c>
      <c r="E4075" s="308" t="str">
        <f>IFERROR(__xludf.DUMMYFUNCTION("""COMPUTED_VALUE"""),"K")</f>
        <v>K</v>
      </c>
      <c r="F4075" s="309" t="s">
        <v>34</v>
      </c>
      <c r="G4075" s="308"/>
      <c r="H4075" s="308" t="s">
        <v>37436</v>
      </c>
      <c r="I4075" s="310">
        <v>42405.0</v>
      </c>
      <c r="J4075" s="319">
        <f>IFERROR(__xludf.DUMMYFUNCTION("SPLIT(I4075,""/"")"),5.0)</f>
        <v>5</v>
      </c>
      <c r="K4075" s="308">
        <f>IFERROR(__xludf.DUMMYFUNCTION("""COMPUTED_VALUE"""),2.0)</f>
        <v>2</v>
      </c>
      <c r="L4075" s="308">
        <f>IFERROR(__xludf.DUMMYFUNCTION("""COMPUTED_VALUE"""),2016.0)</f>
        <v>2016</v>
      </c>
      <c r="M4075" s="308" t="s">
        <v>37437</v>
      </c>
      <c r="N4075" s="308" t="s">
        <v>13620</v>
      </c>
      <c r="O4075" s="308"/>
      <c r="P4075" s="308" t="s">
        <v>3575</v>
      </c>
      <c r="Q4075" s="308" t="s">
        <v>37435</v>
      </c>
      <c r="R4075" s="308" t="s">
        <v>14256</v>
      </c>
      <c r="S4075" s="315" t="s">
        <v>100</v>
      </c>
      <c r="T4075" s="311" t="s">
        <v>34208</v>
      </c>
      <c r="U4075" s="308" t="s">
        <v>2152</v>
      </c>
      <c r="V4075" s="312"/>
    </row>
    <row r="4076">
      <c r="A4076" s="308">
        <v>4075.0</v>
      </c>
      <c r="B4076" s="308"/>
      <c r="C4076" s="308" t="s">
        <v>16641</v>
      </c>
      <c r="D4076" s="308">
        <f>IFERROR(__xludf.DUMMYFUNCTION("SPLIT(C4076,""-"")"),4096.0)</f>
        <v>4096</v>
      </c>
      <c r="E4076" s="308" t="str">
        <f>IFERROR(__xludf.DUMMYFUNCTION("""COMPUTED_VALUE"""),"K")</f>
        <v>K</v>
      </c>
      <c r="F4076" s="309" t="s">
        <v>34</v>
      </c>
      <c r="G4076" s="308"/>
      <c r="H4076" s="308" t="s">
        <v>16642</v>
      </c>
      <c r="I4076" s="310">
        <v>42315.0</v>
      </c>
      <c r="J4076" s="319">
        <f>IFERROR(__xludf.DUMMYFUNCTION("SPLIT(I4076,""/"")"),7.0)</f>
        <v>7</v>
      </c>
      <c r="K4076" s="308">
        <f>IFERROR(__xludf.DUMMYFUNCTION("""COMPUTED_VALUE"""),11.0)</f>
        <v>11</v>
      </c>
      <c r="L4076" s="308">
        <f>IFERROR(__xludf.DUMMYFUNCTION("""COMPUTED_VALUE"""),2015.0)</f>
        <v>2015</v>
      </c>
      <c r="M4076" s="308" t="s">
        <v>16643</v>
      </c>
      <c r="N4076" s="308"/>
      <c r="O4076" s="308"/>
      <c r="P4076" s="308" t="s">
        <v>16644</v>
      </c>
      <c r="Q4076" s="308" t="s">
        <v>37435</v>
      </c>
      <c r="R4076" s="308" t="s">
        <v>14256</v>
      </c>
      <c r="S4076" s="308" t="s">
        <v>81</v>
      </c>
      <c r="T4076" s="308" t="s">
        <v>75</v>
      </c>
      <c r="U4076" s="308" t="s">
        <v>156</v>
      </c>
      <c r="V4076" s="312"/>
    </row>
    <row r="4077">
      <c r="A4077" s="308">
        <v>4076.0</v>
      </c>
      <c r="B4077" s="308"/>
      <c r="C4077" s="308" t="s">
        <v>16645</v>
      </c>
      <c r="D4077" s="308">
        <f>IFERROR(__xludf.DUMMYFUNCTION("SPLIT(C4077,""-"")"),4097.0)</f>
        <v>4097</v>
      </c>
      <c r="E4077" s="308" t="str">
        <f>IFERROR(__xludf.DUMMYFUNCTION("""COMPUTED_VALUE"""),"K")</f>
        <v>K</v>
      </c>
      <c r="F4077" s="309" t="s">
        <v>34</v>
      </c>
      <c r="G4077" s="308"/>
      <c r="H4077" s="308" t="s">
        <v>16646</v>
      </c>
      <c r="I4077" s="314">
        <v>42331.0</v>
      </c>
      <c r="J4077" s="319">
        <f>IFERROR(__xludf.DUMMYFUNCTION("SPLIT(I4077,""/"")"),23.0)</f>
        <v>23</v>
      </c>
      <c r="K4077" s="308">
        <f>IFERROR(__xludf.DUMMYFUNCTION("""COMPUTED_VALUE"""),11.0)</f>
        <v>11</v>
      </c>
      <c r="L4077" s="308">
        <f>IFERROR(__xludf.DUMMYFUNCTION("""COMPUTED_VALUE"""),2015.0)</f>
        <v>2015</v>
      </c>
      <c r="M4077" s="308" t="s">
        <v>16647</v>
      </c>
      <c r="N4077" s="308"/>
      <c r="O4077" s="308"/>
      <c r="P4077" s="308" t="s">
        <v>37438</v>
      </c>
      <c r="Q4077" s="308" t="s">
        <v>37435</v>
      </c>
      <c r="R4077" s="308" t="s">
        <v>14256</v>
      </c>
      <c r="S4077" s="308" t="s">
        <v>81</v>
      </c>
      <c r="T4077" s="308" t="s">
        <v>75</v>
      </c>
      <c r="U4077" s="308" t="s">
        <v>2097</v>
      </c>
      <c r="V4077" s="312"/>
    </row>
    <row r="4078">
      <c r="A4078" s="308">
        <v>4077.0</v>
      </c>
      <c r="B4078" s="308"/>
      <c r="C4078" s="308" t="s">
        <v>16649</v>
      </c>
      <c r="D4078" s="308">
        <f>IFERROR(__xludf.DUMMYFUNCTION("SPLIT(C4078,""-"")"),4098.0)</f>
        <v>4098</v>
      </c>
      <c r="E4078" s="308" t="str">
        <f>IFERROR(__xludf.DUMMYFUNCTION("""COMPUTED_VALUE"""),"K")</f>
        <v>K</v>
      </c>
      <c r="F4078" s="309" t="s">
        <v>34</v>
      </c>
      <c r="G4078" s="308"/>
      <c r="H4078" s="308" t="s">
        <v>16650</v>
      </c>
      <c r="I4078" s="310">
        <v>42053.0</v>
      </c>
      <c r="J4078" s="319">
        <f>IFERROR(__xludf.DUMMYFUNCTION("SPLIT(I4078,""/"")"),18.0)</f>
        <v>18</v>
      </c>
      <c r="K4078" s="308">
        <f>IFERROR(__xludf.DUMMYFUNCTION("""COMPUTED_VALUE"""),2.0)</f>
        <v>2</v>
      </c>
      <c r="L4078" s="308">
        <f>IFERROR(__xludf.DUMMYFUNCTION("""COMPUTED_VALUE"""),2015.0)</f>
        <v>2015</v>
      </c>
      <c r="M4078" s="308" t="s">
        <v>16651</v>
      </c>
      <c r="N4078" s="308"/>
      <c r="O4078" s="308"/>
      <c r="P4078" s="308" t="s">
        <v>16652</v>
      </c>
      <c r="Q4078" s="308" t="s">
        <v>37435</v>
      </c>
      <c r="R4078" s="308" t="s">
        <v>14256</v>
      </c>
      <c r="S4078" s="308" t="s">
        <v>49</v>
      </c>
      <c r="T4078" s="311" t="s">
        <v>67</v>
      </c>
      <c r="U4078" s="308" t="s">
        <v>2097</v>
      </c>
      <c r="V4078" s="312"/>
    </row>
    <row r="4079">
      <c r="A4079" s="308">
        <v>4078.0</v>
      </c>
      <c r="B4079" s="308"/>
      <c r="C4079" s="308" t="s">
        <v>16653</v>
      </c>
      <c r="D4079" s="308">
        <f>IFERROR(__xludf.DUMMYFUNCTION("SPLIT(C4079,""-"")"),4099.0)</f>
        <v>4099</v>
      </c>
      <c r="E4079" s="308" t="str">
        <f>IFERROR(__xludf.DUMMYFUNCTION("""COMPUTED_VALUE"""),"K")</f>
        <v>K</v>
      </c>
      <c r="F4079" s="309" t="s">
        <v>34</v>
      </c>
      <c r="G4079" s="308"/>
      <c r="H4079" s="308" t="s">
        <v>16654</v>
      </c>
      <c r="I4079" s="310">
        <v>42188.0</v>
      </c>
      <c r="J4079" s="319">
        <f>IFERROR(__xludf.DUMMYFUNCTION("SPLIT(I4079,""/"")"),3.0)</f>
        <v>3</v>
      </c>
      <c r="K4079" s="308">
        <f>IFERROR(__xludf.DUMMYFUNCTION("""COMPUTED_VALUE"""),7.0)</f>
        <v>7</v>
      </c>
      <c r="L4079" s="308">
        <f>IFERROR(__xludf.DUMMYFUNCTION("""COMPUTED_VALUE"""),2015.0)</f>
        <v>2015</v>
      </c>
      <c r="M4079" s="308" t="s">
        <v>16655</v>
      </c>
      <c r="N4079" s="308"/>
      <c r="O4079" s="308"/>
      <c r="P4079" s="308" t="s">
        <v>37439</v>
      </c>
      <c r="Q4079" s="308" t="s">
        <v>37435</v>
      </c>
      <c r="R4079" s="308" t="s">
        <v>14256</v>
      </c>
      <c r="S4079" s="308" t="s">
        <v>81</v>
      </c>
      <c r="T4079" s="308" t="s">
        <v>75</v>
      </c>
      <c r="U4079" s="308"/>
      <c r="V4079" s="312"/>
    </row>
    <row r="4080">
      <c r="A4080" s="308">
        <v>4079.0</v>
      </c>
      <c r="B4080" s="308"/>
      <c r="C4080" s="308" t="s">
        <v>16657</v>
      </c>
      <c r="D4080" s="308">
        <f>IFERROR(__xludf.DUMMYFUNCTION("SPLIT(C4080,""-"")"),4100.0)</f>
        <v>4100</v>
      </c>
      <c r="E4080" s="308" t="str">
        <f>IFERROR(__xludf.DUMMYFUNCTION("""COMPUTED_VALUE"""),"K")</f>
        <v>K</v>
      </c>
      <c r="F4080" s="309" t="s">
        <v>34</v>
      </c>
      <c r="G4080" s="308"/>
      <c r="H4080" s="308" t="s">
        <v>16658</v>
      </c>
      <c r="I4080" s="310">
        <v>42632.0</v>
      </c>
      <c r="J4080" s="319">
        <f>IFERROR(__xludf.DUMMYFUNCTION("SPLIT(I4080,""/"")"),19.0)</f>
        <v>19</v>
      </c>
      <c r="K4080" s="308">
        <f>IFERROR(__xludf.DUMMYFUNCTION("""COMPUTED_VALUE"""),9.0)</f>
        <v>9</v>
      </c>
      <c r="L4080" s="308">
        <f>IFERROR(__xludf.DUMMYFUNCTION("""COMPUTED_VALUE"""),2016.0)</f>
        <v>2016</v>
      </c>
      <c r="M4080" s="308" t="s">
        <v>16659</v>
      </c>
      <c r="N4080" s="308"/>
      <c r="O4080" s="308"/>
      <c r="P4080" s="308" t="s">
        <v>2872</v>
      </c>
      <c r="Q4080" s="308" t="s">
        <v>37435</v>
      </c>
      <c r="R4080" s="308" t="s">
        <v>14256</v>
      </c>
      <c r="S4080" s="315" t="s">
        <v>100</v>
      </c>
      <c r="T4080" s="311" t="s">
        <v>34208</v>
      </c>
      <c r="U4080" s="308" t="s">
        <v>125</v>
      </c>
      <c r="V4080" s="312"/>
    </row>
    <row r="4081">
      <c r="A4081" s="308">
        <v>4080.0</v>
      </c>
      <c r="B4081" s="308"/>
      <c r="C4081" s="308" t="s">
        <v>16660</v>
      </c>
      <c r="D4081" s="308">
        <f>IFERROR(__xludf.DUMMYFUNCTION("SPLIT(C4081,""-"")"),4101.0)</f>
        <v>4101</v>
      </c>
      <c r="E4081" s="308" t="str">
        <f>IFERROR(__xludf.DUMMYFUNCTION("""COMPUTED_VALUE"""),"K")</f>
        <v>K</v>
      </c>
      <c r="F4081" s="309" t="s">
        <v>34</v>
      </c>
      <c r="G4081" s="308"/>
      <c r="H4081" s="308" t="s">
        <v>16661</v>
      </c>
      <c r="I4081" s="314">
        <v>42703.0</v>
      </c>
      <c r="J4081" s="319">
        <f>IFERROR(__xludf.DUMMYFUNCTION("SPLIT(I4081,""/"")"),29.0)</f>
        <v>29</v>
      </c>
      <c r="K4081" s="308">
        <f>IFERROR(__xludf.DUMMYFUNCTION("""COMPUTED_VALUE"""),11.0)</f>
        <v>11</v>
      </c>
      <c r="L4081" s="308">
        <f>IFERROR(__xludf.DUMMYFUNCTION("""COMPUTED_VALUE"""),2016.0)</f>
        <v>2016</v>
      </c>
      <c r="M4081" s="308" t="s">
        <v>16662</v>
      </c>
      <c r="N4081" s="308"/>
      <c r="O4081" s="308"/>
      <c r="P4081" s="308" t="s">
        <v>37440</v>
      </c>
      <c r="Q4081" s="308" t="s">
        <v>37435</v>
      </c>
      <c r="R4081" s="308" t="s">
        <v>14256</v>
      </c>
      <c r="S4081" s="308" t="s">
        <v>81</v>
      </c>
      <c r="T4081" s="308" t="s">
        <v>75</v>
      </c>
      <c r="U4081" s="308" t="s">
        <v>125</v>
      </c>
      <c r="V4081" s="312"/>
    </row>
    <row r="4082">
      <c r="A4082" s="308">
        <v>4081.0</v>
      </c>
      <c r="B4082" s="308"/>
      <c r="C4082" s="308" t="s">
        <v>16664</v>
      </c>
      <c r="D4082" s="308">
        <f>IFERROR(__xludf.DUMMYFUNCTION("SPLIT(C4082,""-"")"),4102.0)</f>
        <v>4102</v>
      </c>
      <c r="E4082" s="308" t="str">
        <f>IFERROR(__xludf.DUMMYFUNCTION("""COMPUTED_VALUE"""),"B")</f>
        <v>B</v>
      </c>
      <c r="F4082" s="315" t="s">
        <v>26</v>
      </c>
      <c r="G4082" s="308"/>
      <c r="H4082" s="308" t="s">
        <v>16665</v>
      </c>
      <c r="I4082" s="310">
        <v>42480.0</v>
      </c>
      <c r="J4082" s="319">
        <f>IFERROR(__xludf.DUMMYFUNCTION("SPLIT(I4082,""/"")"),20.0)</f>
        <v>20</v>
      </c>
      <c r="K4082" s="308">
        <f>IFERROR(__xludf.DUMMYFUNCTION("""COMPUTED_VALUE"""),4.0)</f>
        <v>4</v>
      </c>
      <c r="L4082" s="308">
        <f>IFERROR(__xludf.DUMMYFUNCTION("""COMPUTED_VALUE"""),2016.0)</f>
        <v>2016</v>
      </c>
      <c r="M4082" s="308" t="s">
        <v>16666</v>
      </c>
      <c r="N4082" s="308"/>
      <c r="O4082" s="308"/>
      <c r="P4082" s="308" t="s">
        <v>16667</v>
      </c>
      <c r="Q4082" s="308" t="s">
        <v>37435</v>
      </c>
      <c r="R4082" s="308" t="s">
        <v>14256</v>
      </c>
      <c r="S4082" s="308" t="s">
        <v>81</v>
      </c>
      <c r="T4082" s="308" t="s">
        <v>75</v>
      </c>
      <c r="U4082" s="308" t="s">
        <v>27</v>
      </c>
      <c r="V4082" s="312"/>
    </row>
    <row r="4083">
      <c r="A4083" s="308">
        <v>4082.0</v>
      </c>
      <c r="B4083" s="308"/>
      <c r="C4083" s="308" t="s">
        <v>16668</v>
      </c>
      <c r="D4083" s="308">
        <f>IFERROR(__xludf.DUMMYFUNCTION("SPLIT(C4083,""-"")"),4103.0)</f>
        <v>4103</v>
      </c>
      <c r="E4083" s="308" t="str">
        <f>IFERROR(__xludf.DUMMYFUNCTION("""COMPUTED_VALUE"""),"B")</f>
        <v>B</v>
      </c>
      <c r="F4083" s="315" t="s">
        <v>26</v>
      </c>
      <c r="G4083" s="308"/>
      <c r="H4083" s="308" t="s">
        <v>16669</v>
      </c>
      <c r="I4083" s="310">
        <v>41499.0</v>
      </c>
      <c r="J4083" s="319">
        <f>IFERROR(__xludf.DUMMYFUNCTION("SPLIT(I4083,""/"")"),13.0)</f>
        <v>13</v>
      </c>
      <c r="K4083" s="308">
        <f>IFERROR(__xludf.DUMMYFUNCTION("""COMPUTED_VALUE"""),8.0)</f>
        <v>8</v>
      </c>
      <c r="L4083" s="308">
        <f>IFERROR(__xludf.DUMMYFUNCTION("""COMPUTED_VALUE"""),2013.0)</f>
        <v>2013</v>
      </c>
      <c r="M4083" s="308" t="s">
        <v>16670</v>
      </c>
      <c r="N4083" s="308"/>
      <c r="O4083" s="308"/>
      <c r="P4083" s="308" t="s">
        <v>16671</v>
      </c>
      <c r="Q4083" s="308" t="s">
        <v>37435</v>
      </c>
      <c r="R4083" s="308" t="s">
        <v>14256</v>
      </c>
      <c r="S4083" s="308" t="s">
        <v>81</v>
      </c>
      <c r="T4083" s="308" t="s">
        <v>73</v>
      </c>
      <c r="U4083" s="308" t="s">
        <v>27</v>
      </c>
      <c r="V4083" s="312"/>
    </row>
    <row r="4084">
      <c r="A4084" s="308">
        <v>4083.0</v>
      </c>
      <c r="B4084" s="308"/>
      <c r="C4084" s="308" t="s">
        <v>16672</v>
      </c>
      <c r="D4084" s="308">
        <f>IFERROR(__xludf.DUMMYFUNCTION("SPLIT(C4084,""-"")"),4104.0)</f>
        <v>4104</v>
      </c>
      <c r="E4084" s="308" t="str">
        <f>IFERROR(__xludf.DUMMYFUNCTION("""COMPUTED_VALUE"""),"S")</f>
        <v>S</v>
      </c>
      <c r="F4084" s="312" t="s">
        <v>39</v>
      </c>
      <c r="G4084" s="308"/>
      <c r="H4084" s="308" t="s">
        <v>37441</v>
      </c>
      <c r="I4084" s="314">
        <v>42323.0</v>
      </c>
      <c r="J4084" s="319">
        <f>IFERROR(__xludf.DUMMYFUNCTION("SPLIT(I4084,""/"")"),15.0)</f>
        <v>15</v>
      </c>
      <c r="K4084" s="308">
        <f>IFERROR(__xludf.DUMMYFUNCTION("""COMPUTED_VALUE"""),11.0)</f>
        <v>11</v>
      </c>
      <c r="L4084" s="308">
        <f>IFERROR(__xludf.DUMMYFUNCTION("""COMPUTED_VALUE"""),2015.0)</f>
        <v>2015</v>
      </c>
      <c r="M4084" s="308" t="s">
        <v>16674</v>
      </c>
      <c r="N4084" s="308"/>
      <c r="O4084" s="308"/>
      <c r="P4084" s="308" t="s">
        <v>148</v>
      </c>
      <c r="Q4084" s="308" t="s">
        <v>37435</v>
      </c>
      <c r="R4084" s="308" t="s">
        <v>14256</v>
      </c>
      <c r="S4084" s="308" t="s">
        <v>49</v>
      </c>
      <c r="T4084" s="308" t="s">
        <v>51</v>
      </c>
      <c r="U4084" s="308" t="s">
        <v>166</v>
      </c>
      <c r="V4084" s="312"/>
    </row>
    <row r="4085">
      <c r="A4085" s="308">
        <v>4084.0</v>
      </c>
      <c r="B4085" s="308"/>
      <c r="C4085" s="308" t="s">
        <v>16675</v>
      </c>
      <c r="D4085" s="308">
        <f>IFERROR(__xludf.DUMMYFUNCTION("SPLIT(C4085,""-"")"),4105.0)</f>
        <v>4105</v>
      </c>
      <c r="E4085" s="308" t="str">
        <f>IFERROR(__xludf.DUMMYFUNCTION("""COMPUTED_VALUE"""),"S")</f>
        <v>S</v>
      </c>
      <c r="F4085" s="312" t="s">
        <v>39</v>
      </c>
      <c r="G4085" s="308"/>
      <c r="H4085" s="308" t="s">
        <v>7822</v>
      </c>
      <c r="I4085" s="314">
        <v>42325.0</v>
      </c>
      <c r="J4085" s="319">
        <f>IFERROR(__xludf.DUMMYFUNCTION("SPLIT(I4085,""/"")"),17.0)</f>
        <v>17</v>
      </c>
      <c r="K4085" s="308">
        <f>IFERROR(__xludf.DUMMYFUNCTION("""COMPUTED_VALUE"""),11.0)</f>
        <v>11</v>
      </c>
      <c r="L4085" s="308">
        <f>IFERROR(__xludf.DUMMYFUNCTION("""COMPUTED_VALUE"""),2015.0)</f>
        <v>2015</v>
      </c>
      <c r="M4085" s="308" t="s">
        <v>16676</v>
      </c>
      <c r="N4085" s="308"/>
      <c r="O4085" s="308"/>
      <c r="P4085" s="308" t="s">
        <v>16677</v>
      </c>
      <c r="Q4085" s="308" t="s">
        <v>37435</v>
      </c>
      <c r="R4085" s="308" t="s">
        <v>14256</v>
      </c>
      <c r="S4085" s="308" t="s">
        <v>81</v>
      </c>
      <c r="T4085" s="311" t="s">
        <v>73</v>
      </c>
      <c r="U4085" s="308" t="s">
        <v>166</v>
      </c>
      <c r="V4085" s="312"/>
    </row>
    <row r="4086">
      <c r="A4086" s="308">
        <v>4085.0</v>
      </c>
      <c r="B4086" s="308"/>
      <c r="C4086" s="308" t="s">
        <v>16678</v>
      </c>
      <c r="D4086" s="308">
        <f>IFERROR(__xludf.DUMMYFUNCTION("SPLIT(C4086,""-"")"),4106.0)</f>
        <v>4106</v>
      </c>
      <c r="E4086" s="308" t="str">
        <f>IFERROR(__xludf.DUMMYFUNCTION("""COMPUTED_VALUE"""),"F")</f>
        <v>F</v>
      </c>
      <c r="F4086" s="309" t="s">
        <v>34</v>
      </c>
      <c r="G4086" s="308"/>
      <c r="H4086" s="308" t="s">
        <v>16679</v>
      </c>
      <c r="I4086" s="310">
        <v>42370.0</v>
      </c>
      <c r="J4086" s="319">
        <f>IFERROR(__xludf.DUMMYFUNCTION("SPLIT(I4086,""/"")"),1.0)</f>
        <v>1</v>
      </c>
      <c r="K4086" s="308">
        <f>IFERROR(__xludf.DUMMYFUNCTION("""COMPUTED_VALUE"""),1.0)</f>
        <v>1</v>
      </c>
      <c r="L4086" s="308">
        <f>IFERROR(__xludf.DUMMYFUNCTION("""COMPUTED_VALUE"""),2016.0)</f>
        <v>2016</v>
      </c>
      <c r="M4086" s="308" t="s">
        <v>16680</v>
      </c>
      <c r="N4086" s="308"/>
      <c r="O4086" s="308"/>
      <c r="P4086" s="308" t="s">
        <v>37442</v>
      </c>
      <c r="Q4086" s="308" t="s">
        <v>37435</v>
      </c>
      <c r="R4086" s="308" t="s">
        <v>14256</v>
      </c>
      <c r="S4086" s="308" t="s">
        <v>81</v>
      </c>
      <c r="T4086" s="308" t="s">
        <v>34264</v>
      </c>
      <c r="U4086" s="308" t="s">
        <v>195</v>
      </c>
      <c r="V4086" s="312"/>
    </row>
    <row r="4087">
      <c r="A4087" s="308">
        <v>4086.0</v>
      </c>
      <c r="B4087" s="308"/>
      <c r="C4087" s="308" t="s">
        <v>16682</v>
      </c>
      <c r="D4087" s="308">
        <f>IFERROR(__xludf.DUMMYFUNCTION("SPLIT(C4087,""-"")"),4107.0)</f>
        <v>4107</v>
      </c>
      <c r="E4087" s="308" t="str">
        <f>IFERROR(__xludf.DUMMYFUNCTION("""COMPUTED_VALUE"""),"P")</f>
        <v>P</v>
      </c>
      <c r="F4087" s="312" t="s">
        <v>37</v>
      </c>
      <c r="G4087" s="308"/>
      <c r="H4087" s="308" t="s">
        <v>16683</v>
      </c>
      <c r="I4087" s="310">
        <v>42609.0</v>
      </c>
      <c r="J4087" s="319">
        <f>IFERROR(__xludf.DUMMYFUNCTION("SPLIT(I4087,""/"")"),27.0)</f>
        <v>27</v>
      </c>
      <c r="K4087" s="308">
        <f>IFERROR(__xludf.DUMMYFUNCTION("""COMPUTED_VALUE"""),8.0)</f>
        <v>8</v>
      </c>
      <c r="L4087" s="308">
        <f>IFERROR(__xludf.DUMMYFUNCTION("""COMPUTED_VALUE"""),2016.0)</f>
        <v>2016</v>
      </c>
      <c r="M4087" s="308" t="s">
        <v>16684</v>
      </c>
      <c r="N4087" s="308"/>
      <c r="O4087" s="308" t="s">
        <v>37443</v>
      </c>
      <c r="P4087" s="308" t="s">
        <v>37444</v>
      </c>
      <c r="Q4087" s="308" t="s">
        <v>37435</v>
      </c>
      <c r="R4087" s="308" t="s">
        <v>14256</v>
      </c>
      <c r="S4087" s="315" t="s">
        <v>100</v>
      </c>
      <c r="T4087" s="311" t="s">
        <v>34208</v>
      </c>
      <c r="U4087" s="308" t="s">
        <v>143</v>
      </c>
      <c r="V4087" s="312"/>
    </row>
    <row r="4088">
      <c r="A4088" s="308">
        <v>4087.0</v>
      </c>
      <c r="B4088" s="308"/>
      <c r="C4088" s="308" t="s">
        <v>16686</v>
      </c>
      <c r="D4088" s="308">
        <f>IFERROR(__xludf.DUMMYFUNCTION("SPLIT(C4088,""-"")"),4108.0)</f>
        <v>4108</v>
      </c>
      <c r="E4088" s="308" t="str">
        <f>IFERROR(__xludf.DUMMYFUNCTION("""COMPUTED_VALUE"""),"S")</f>
        <v>S</v>
      </c>
      <c r="F4088" s="312" t="s">
        <v>39</v>
      </c>
      <c r="G4088" s="308"/>
      <c r="H4088" s="308" t="s">
        <v>16687</v>
      </c>
      <c r="I4088" s="322"/>
      <c r="J4088" s="319"/>
      <c r="K4088" s="308"/>
      <c r="L4088" s="311" t="s">
        <v>79</v>
      </c>
      <c r="M4088" s="308" t="s">
        <v>16688</v>
      </c>
      <c r="N4088" s="308"/>
      <c r="O4088" s="308"/>
      <c r="P4088" s="308" t="s">
        <v>37445</v>
      </c>
      <c r="Q4088" s="308" t="s">
        <v>37435</v>
      </c>
      <c r="R4088" s="308" t="s">
        <v>2743</v>
      </c>
      <c r="S4088" s="308" t="s">
        <v>81</v>
      </c>
      <c r="T4088" s="308" t="s">
        <v>75</v>
      </c>
      <c r="U4088" s="308" t="s">
        <v>166</v>
      </c>
      <c r="V4088" s="312"/>
    </row>
    <row r="4089">
      <c r="A4089" s="308">
        <v>4088.0</v>
      </c>
      <c r="B4089" s="308"/>
      <c r="C4089" s="308" t="s">
        <v>16690</v>
      </c>
      <c r="D4089" s="308">
        <f>IFERROR(__xludf.DUMMYFUNCTION("SPLIT(C4089,""-"")"),4109.0)</f>
        <v>4109</v>
      </c>
      <c r="E4089" s="308" t="str">
        <f>IFERROR(__xludf.DUMMYFUNCTION("""COMPUTED_VALUE"""),"F")</f>
        <v>F</v>
      </c>
      <c r="F4089" s="309" t="s">
        <v>34</v>
      </c>
      <c r="G4089" s="308"/>
      <c r="H4089" s="308" t="s">
        <v>16691</v>
      </c>
      <c r="I4089" s="316">
        <v>2015.0</v>
      </c>
      <c r="J4089" s="319"/>
      <c r="K4089" s="308"/>
      <c r="L4089" s="311">
        <v>2015.0</v>
      </c>
      <c r="M4089" s="308" t="s">
        <v>16692</v>
      </c>
      <c r="N4089" s="308" t="s">
        <v>16693</v>
      </c>
      <c r="O4089" s="308"/>
      <c r="P4089" s="308" t="s">
        <v>36846</v>
      </c>
      <c r="Q4089" s="308" t="s">
        <v>37435</v>
      </c>
      <c r="R4089" s="308" t="s">
        <v>2743</v>
      </c>
      <c r="S4089" s="315" t="s">
        <v>100</v>
      </c>
      <c r="T4089" s="311" t="s">
        <v>34208</v>
      </c>
      <c r="U4089" s="308" t="s">
        <v>542</v>
      </c>
      <c r="V4089" s="312"/>
    </row>
    <row r="4090">
      <c r="A4090" s="308">
        <v>4089.0</v>
      </c>
      <c r="B4090" s="308"/>
      <c r="C4090" s="308" t="s">
        <v>16694</v>
      </c>
      <c r="D4090" s="308">
        <f>IFERROR(__xludf.DUMMYFUNCTION("SPLIT(C4090,""-"")"),4110.0)</f>
        <v>4110</v>
      </c>
      <c r="E4090" s="308" t="str">
        <f>IFERROR(__xludf.DUMMYFUNCTION("""COMPUTED_VALUE"""),"S")</f>
        <v>S</v>
      </c>
      <c r="F4090" s="312" t="s">
        <v>39</v>
      </c>
      <c r="G4090" s="308"/>
      <c r="H4090" s="308" t="s">
        <v>16695</v>
      </c>
      <c r="I4090" s="310">
        <v>42570.0</v>
      </c>
      <c r="J4090" s="319">
        <f>IFERROR(__xludf.DUMMYFUNCTION("SPLIT(I4090,""/"")"),19.0)</f>
        <v>19</v>
      </c>
      <c r="K4090" s="308">
        <f>IFERROR(__xludf.DUMMYFUNCTION("""COMPUTED_VALUE"""),7.0)</f>
        <v>7</v>
      </c>
      <c r="L4090" s="308">
        <f>IFERROR(__xludf.DUMMYFUNCTION("""COMPUTED_VALUE"""),2016.0)</f>
        <v>2016</v>
      </c>
      <c r="M4090" s="308" t="s">
        <v>16696</v>
      </c>
      <c r="N4090" s="308"/>
      <c r="O4090" s="308"/>
      <c r="P4090" s="308"/>
      <c r="Q4090" s="308" t="s">
        <v>37446</v>
      </c>
      <c r="R4090" s="308" t="s">
        <v>14256</v>
      </c>
      <c r="S4090" s="308" t="s">
        <v>79</v>
      </c>
      <c r="T4090" s="308" t="s">
        <v>79</v>
      </c>
      <c r="U4090" s="308" t="s">
        <v>166</v>
      </c>
      <c r="V4090" s="312"/>
    </row>
    <row r="4091">
      <c r="A4091" s="308">
        <v>4090.0</v>
      </c>
      <c r="B4091" s="308"/>
      <c r="C4091" s="308" t="s">
        <v>16697</v>
      </c>
      <c r="D4091" s="308">
        <f>IFERROR(__xludf.DUMMYFUNCTION("SPLIT(C4091,""-"")"),4111.0)</f>
        <v>4111</v>
      </c>
      <c r="E4091" s="308" t="str">
        <f>IFERROR(__xludf.DUMMYFUNCTION("""COMPUTED_VALUE"""),"S")</f>
        <v>S</v>
      </c>
      <c r="F4091" s="312" t="s">
        <v>39</v>
      </c>
      <c r="G4091" s="308"/>
      <c r="H4091" s="308" t="s">
        <v>16698</v>
      </c>
      <c r="I4091" s="314">
        <v>40510.0</v>
      </c>
      <c r="J4091" s="319">
        <f>IFERROR(__xludf.DUMMYFUNCTION("SPLIT(I4091,""/"")"),28.0)</f>
        <v>28</v>
      </c>
      <c r="K4091" s="308">
        <f>IFERROR(__xludf.DUMMYFUNCTION("""COMPUTED_VALUE"""),11.0)</f>
        <v>11</v>
      </c>
      <c r="L4091" s="308">
        <f>IFERROR(__xludf.DUMMYFUNCTION("""COMPUTED_VALUE"""),2010.0)</f>
        <v>2010</v>
      </c>
      <c r="M4091" s="308" t="s">
        <v>16699</v>
      </c>
      <c r="N4091" s="308"/>
      <c r="O4091" s="308"/>
      <c r="P4091" s="308" t="s">
        <v>36707</v>
      </c>
      <c r="Q4091" s="308" t="s">
        <v>37447</v>
      </c>
      <c r="R4091" s="308" t="s">
        <v>2743</v>
      </c>
      <c r="S4091" s="315" t="s">
        <v>100</v>
      </c>
      <c r="T4091" s="311" t="s">
        <v>34208</v>
      </c>
      <c r="U4091" s="308" t="s">
        <v>166</v>
      </c>
      <c r="V4091" s="312"/>
    </row>
    <row r="4092">
      <c r="A4092" s="308">
        <v>4091.0</v>
      </c>
      <c r="B4092" s="308"/>
      <c r="C4092" s="308" t="s">
        <v>16700</v>
      </c>
      <c r="D4092" s="308">
        <f>IFERROR(__xludf.DUMMYFUNCTION("SPLIT(C4092,""-"")"),4112.0)</f>
        <v>4112</v>
      </c>
      <c r="E4092" s="308" t="str">
        <f>IFERROR(__xludf.DUMMYFUNCTION("""COMPUTED_VALUE"""),"K")</f>
        <v>K</v>
      </c>
      <c r="F4092" s="309" t="s">
        <v>34</v>
      </c>
      <c r="G4092" s="308"/>
      <c r="H4092" s="308" t="s">
        <v>16701</v>
      </c>
      <c r="I4092" s="310">
        <v>42607.0</v>
      </c>
      <c r="J4092" s="319">
        <f>IFERROR(__xludf.DUMMYFUNCTION("SPLIT(I4092,""/"")"),25.0)</f>
        <v>25</v>
      </c>
      <c r="K4092" s="308">
        <f>IFERROR(__xludf.DUMMYFUNCTION("""COMPUTED_VALUE"""),8.0)</f>
        <v>8</v>
      </c>
      <c r="L4092" s="308">
        <f>IFERROR(__xludf.DUMMYFUNCTION("""COMPUTED_VALUE"""),2016.0)</f>
        <v>2016</v>
      </c>
      <c r="M4092" s="308" t="s">
        <v>16702</v>
      </c>
      <c r="N4092" s="308"/>
      <c r="O4092" s="308"/>
      <c r="P4092" s="308" t="s">
        <v>37448</v>
      </c>
      <c r="Q4092" s="308" t="s">
        <v>37447</v>
      </c>
      <c r="R4092" s="308" t="s">
        <v>2743</v>
      </c>
      <c r="S4092" s="308" t="s">
        <v>81</v>
      </c>
      <c r="T4092" s="308" t="s">
        <v>75</v>
      </c>
      <c r="U4092" s="308" t="s">
        <v>2466</v>
      </c>
      <c r="V4092" s="312"/>
    </row>
    <row r="4093">
      <c r="A4093" s="308">
        <v>4092.0</v>
      </c>
      <c r="B4093" s="308"/>
      <c r="C4093" s="308" t="s">
        <v>16704</v>
      </c>
      <c r="D4093" s="308">
        <f>IFERROR(__xludf.DUMMYFUNCTION("SPLIT(C4093,""-"")"),4113.0)</f>
        <v>4113</v>
      </c>
      <c r="E4093" s="308" t="str">
        <f>IFERROR(__xludf.DUMMYFUNCTION("""COMPUTED_VALUE"""),"K")</f>
        <v>K</v>
      </c>
      <c r="F4093" s="309" t="s">
        <v>34</v>
      </c>
      <c r="G4093" s="308"/>
      <c r="H4093" s="308" t="s">
        <v>16705</v>
      </c>
      <c r="I4093" s="325">
        <v>40909.0</v>
      </c>
      <c r="J4093" s="319"/>
      <c r="K4093" s="311">
        <v>1.0</v>
      </c>
      <c r="L4093" s="311">
        <v>2012.0</v>
      </c>
      <c r="M4093" s="308" t="s">
        <v>16706</v>
      </c>
      <c r="N4093" s="308"/>
      <c r="O4093" s="308"/>
      <c r="P4093" s="308" t="s">
        <v>6262</v>
      </c>
      <c r="Q4093" s="308" t="s">
        <v>37449</v>
      </c>
      <c r="R4093" s="308" t="s">
        <v>2743</v>
      </c>
      <c r="S4093" s="315" t="s">
        <v>100</v>
      </c>
      <c r="T4093" s="311" t="s">
        <v>34208</v>
      </c>
      <c r="U4093" s="308" t="s">
        <v>368</v>
      </c>
      <c r="V4093" s="312"/>
    </row>
    <row r="4094">
      <c r="A4094" s="308">
        <v>4093.0</v>
      </c>
      <c r="B4094" s="308"/>
      <c r="C4094" s="308" t="s">
        <v>16707</v>
      </c>
      <c r="D4094" s="308">
        <f>IFERROR(__xludf.DUMMYFUNCTION("SPLIT(C4094,""-"")"),4114.0)</f>
        <v>4114</v>
      </c>
      <c r="E4094" s="308" t="str">
        <f>IFERROR(__xludf.DUMMYFUNCTION("""COMPUTED_VALUE"""),"K")</f>
        <v>K</v>
      </c>
      <c r="F4094" s="309" t="s">
        <v>34</v>
      </c>
      <c r="G4094" s="308"/>
      <c r="H4094" s="308" t="s">
        <v>16708</v>
      </c>
      <c r="I4094" s="310">
        <v>39920.0</v>
      </c>
      <c r="J4094" s="319">
        <f>IFERROR(__xludf.DUMMYFUNCTION("SPLIT(I4094,""/"")"),17.0)</f>
        <v>17</v>
      </c>
      <c r="K4094" s="308">
        <f>IFERROR(__xludf.DUMMYFUNCTION("""COMPUTED_VALUE"""),4.0)</f>
        <v>4</v>
      </c>
      <c r="L4094" s="308">
        <f>IFERROR(__xludf.DUMMYFUNCTION("""COMPUTED_VALUE"""),2009.0)</f>
        <v>2009</v>
      </c>
      <c r="M4094" s="308" t="s">
        <v>37450</v>
      </c>
      <c r="N4094" s="308"/>
      <c r="O4094" s="308"/>
      <c r="P4094" s="308" t="s">
        <v>2872</v>
      </c>
      <c r="Q4094" s="308" t="s">
        <v>37451</v>
      </c>
      <c r="R4094" s="308" t="s">
        <v>2743</v>
      </c>
      <c r="S4094" s="315" t="s">
        <v>100</v>
      </c>
      <c r="T4094" s="311" t="s">
        <v>34208</v>
      </c>
      <c r="U4094" s="308" t="s">
        <v>125</v>
      </c>
      <c r="V4094" s="312"/>
    </row>
    <row r="4095">
      <c r="A4095" s="308">
        <v>4094.0</v>
      </c>
      <c r="B4095" s="308"/>
      <c r="C4095" s="308" t="s">
        <v>16710</v>
      </c>
      <c r="D4095" s="308">
        <f>IFERROR(__xludf.DUMMYFUNCTION("SPLIT(C4095,""-"")"),4115.0)</f>
        <v>4115</v>
      </c>
      <c r="E4095" s="308" t="str">
        <f>IFERROR(__xludf.DUMMYFUNCTION("""COMPUTED_VALUE"""),"S")</f>
        <v>S</v>
      </c>
      <c r="F4095" s="312" t="s">
        <v>39</v>
      </c>
      <c r="G4095" s="308"/>
      <c r="H4095" s="308" t="s">
        <v>16711</v>
      </c>
      <c r="I4095" s="310">
        <v>39969.0</v>
      </c>
      <c r="J4095" s="319">
        <f>IFERROR(__xludf.DUMMYFUNCTION("SPLIT(I4095,""/"")"),5.0)</f>
        <v>5</v>
      </c>
      <c r="K4095" s="308">
        <f>IFERROR(__xludf.DUMMYFUNCTION("""COMPUTED_VALUE"""),6.0)</f>
        <v>6</v>
      </c>
      <c r="L4095" s="308">
        <f>IFERROR(__xludf.DUMMYFUNCTION("""COMPUTED_VALUE"""),2009.0)</f>
        <v>2009</v>
      </c>
      <c r="M4095" s="308" t="s">
        <v>16712</v>
      </c>
      <c r="N4095" s="308"/>
      <c r="O4095" s="308"/>
      <c r="P4095" s="308" t="s">
        <v>37452</v>
      </c>
      <c r="Q4095" s="308" t="s">
        <v>37451</v>
      </c>
      <c r="R4095" s="308" t="s">
        <v>2743</v>
      </c>
      <c r="S4095" s="315" t="s">
        <v>100</v>
      </c>
      <c r="T4095" s="311" t="s">
        <v>34208</v>
      </c>
      <c r="U4095" s="308" t="s">
        <v>166</v>
      </c>
      <c r="V4095" s="312" t="s">
        <v>16713</v>
      </c>
    </row>
    <row r="4096">
      <c r="A4096" s="308">
        <v>4095.0</v>
      </c>
      <c r="B4096" s="308"/>
      <c r="C4096" s="308" t="s">
        <v>16714</v>
      </c>
      <c r="D4096" s="308">
        <f>IFERROR(__xludf.DUMMYFUNCTION("SPLIT(C4096,""-"")"),4116.0)</f>
        <v>4116</v>
      </c>
      <c r="E4096" s="308" t="str">
        <f>IFERROR(__xludf.DUMMYFUNCTION("""COMPUTED_VALUE"""),"S")</f>
        <v>S</v>
      </c>
      <c r="F4096" s="312" t="s">
        <v>39</v>
      </c>
      <c r="G4096" s="308"/>
      <c r="H4096" s="308" t="s">
        <v>16715</v>
      </c>
      <c r="I4096" s="310">
        <v>39969.0</v>
      </c>
      <c r="J4096" s="319">
        <f>IFERROR(__xludf.DUMMYFUNCTION("SPLIT(I4096,""/"")"),5.0)</f>
        <v>5</v>
      </c>
      <c r="K4096" s="308">
        <f>IFERROR(__xludf.DUMMYFUNCTION("""COMPUTED_VALUE"""),6.0)</f>
        <v>6</v>
      </c>
      <c r="L4096" s="308">
        <f>IFERROR(__xludf.DUMMYFUNCTION("""COMPUTED_VALUE"""),2009.0)</f>
        <v>2009</v>
      </c>
      <c r="M4096" s="308" t="s">
        <v>16712</v>
      </c>
      <c r="N4096" s="308"/>
      <c r="O4096" s="308"/>
      <c r="P4096" s="308" t="s">
        <v>37452</v>
      </c>
      <c r="Q4096" s="308" t="s">
        <v>37451</v>
      </c>
      <c r="R4096" s="308" t="s">
        <v>2743</v>
      </c>
      <c r="S4096" s="315" t="s">
        <v>100</v>
      </c>
      <c r="T4096" s="311" t="s">
        <v>34208</v>
      </c>
      <c r="U4096" s="308" t="s">
        <v>166</v>
      </c>
      <c r="V4096" s="312"/>
    </row>
    <row r="4097">
      <c r="A4097" s="308">
        <v>4096.0</v>
      </c>
      <c r="B4097" s="308"/>
      <c r="C4097" s="308" t="s">
        <v>16716</v>
      </c>
      <c r="D4097" s="308">
        <f>IFERROR(__xludf.DUMMYFUNCTION("SPLIT(C4097,""-"")"),4117.0)</f>
        <v>4117</v>
      </c>
      <c r="E4097" s="308" t="str">
        <f>IFERROR(__xludf.DUMMYFUNCTION("""COMPUTED_VALUE"""),"P")</f>
        <v>P</v>
      </c>
      <c r="F4097" s="312" t="s">
        <v>37</v>
      </c>
      <c r="G4097" s="308"/>
      <c r="H4097" s="308" t="s">
        <v>16717</v>
      </c>
      <c r="I4097" s="310">
        <v>42766.0</v>
      </c>
      <c r="J4097" s="319">
        <f>IFERROR(__xludf.DUMMYFUNCTION("SPLIT(I4097,""/"")"),31.0)</f>
        <v>31</v>
      </c>
      <c r="K4097" s="308">
        <f>IFERROR(__xludf.DUMMYFUNCTION("""COMPUTED_VALUE"""),1.0)</f>
        <v>1</v>
      </c>
      <c r="L4097" s="308">
        <f>IFERROR(__xludf.DUMMYFUNCTION("""COMPUTED_VALUE"""),2017.0)</f>
        <v>2017</v>
      </c>
      <c r="M4097" s="308" t="s">
        <v>16718</v>
      </c>
      <c r="N4097" s="308" t="s">
        <v>16719</v>
      </c>
      <c r="O4097" s="308"/>
      <c r="P4097" s="308" t="s">
        <v>37453</v>
      </c>
      <c r="Q4097" s="308" t="s">
        <v>37454</v>
      </c>
      <c r="R4097" s="308" t="s">
        <v>2743</v>
      </c>
      <c r="S4097" s="315" t="s">
        <v>100</v>
      </c>
      <c r="T4097" s="311" t="s">
        <v>34208</v>
      </c>
      <c r="U4097" s="308" t="s">
        <v>2527</v>
      </c>
      <c r="V4097" s="312"/>
    </row>
    <row r="4098">
      <c r="A4098" s="308">
        <v>4097.0</v>
      </c>
      <c r="B4098" s="308"/>
      <c r="C4098" s="308" t="s">
        <v>16720</v>
      </c>
      <c r="D4098" s="308">
        <f>IFERROR(__xludf.DUMMYFUNCTION("SPLIT(C4098,""-"")"),4118.0)</f>
        <v>4118</v>
      </c>
      <c r="E4098" s="308" t="str">
        <f>IFERROR(__xludf.DUMMYFUNCTION("""COMPUTED_VALUE"""),"K")</f>
        <v>K</v>
      </c>
      <c r="F4098" s="309" t="s">
        <v>34</v>
      </c>
      <c r="G4098" s="308"/>
      <c r="H4098" s="308" t="s">
        <v>16721</v>
      </c>
      <c r="I4098" s="310">
        <v>42806.0</v>
      </c>
      <c r="J4098" s="319" t="str">
        <f>IFERROR(__xludf.DUMMYFUNCTION("SPLIT(I4098,""/"")"),"#REF!")</f>
        <v>#REF!</v>
      </c>
      <c r="K4098" s="308"/>
      <c r="L4098" s="308">
        <v>2017.0</v>
      </c>
      <c r="M4098" s="308" t="s">
        <v>16722</v>
      </c>
      <c r="N4098" s="308"/>
      <c r="O4098" s="308"/>
      <c r="P4098" s="308" t="s">
        <v>37455</v>
      </c>
      <c r="Q4098" s="308" t="s">
        <v>37454</v>
      </c>
      <c r="R4098" s="308" t="s">
        <v>2743</v>
      </c>
      <c r="S4098" s="308" t="s">
        <v>81</v>
      </c>
      <c r="T4098" s="308" t="s">
        <v>75</v>
      </c>
      <c r="U4098" s="308" t="s">
        <v>282</v>
      </c>
      <c r="V4098" s="312"/>
    </row>
    <row r="4099">
      <c r="A4099" s="308">
        <v>4098.0</v>
      </c>
      <c r="B4099" s="308"/>
      <c r="C4099" s="308" t="s">
        <v>16724</v>
      </c>
      <c r="D4099" s="308">
        <f>IFERROR(__xludf.DUMMYFUNCTION("SPLIT(C4099,""-"")"),4119.0)</f>
        <v>4119</v>
      </c>
      <c r="E4099" s="308" t="str">
        <f>IFERROR(__xludf.DUMMYFUNCTION("""COMPUTED_VALUE"""),"P")</f>
        <v>P</v>
      </c>
      <c r="F4099" s="312" t="s">
        <v>37</v>
      </c>
      <c r="G4099" s="308"/>
      <c r="H4099" s="308" t="s">
        <v>16725</v>
      </c>
      <c r="I4099" s="314">
        <v>42724.0</v>
      </c>
      <c r="J4099" s="319">
        <f>IFERROR(__xludf.DUMMYFUNCTION("SPLIT(I4099,""/"")"),20.0)</f>
        <v>20</v>
      </c>
      <c r="K4099" s="308">
        <f>IFERROR(__xludf.DUMMYFUNCTION("""COMPUTED_VALUE"""),12.0)</f>
        <v>12</v>
      </c>
      <c r="L4099" s="308">
        <f>IFERROR(__xludf.DUMMYFUNCTION("""COMPUTED_VALUE"""),2016.0)</f>
        <v>2016</v>
      </c>
      <c r="M4099" s="308" t="s">
        <v>16726</v>
      </c>
      <c r="N4099" s="308"/>
      <c r="O4099" s="308"/>
      <c r="P4099" s="308" t="s">
        <v>37009</v>
      </c>
      <c r="Q4099" s="308" t="s">
        <v>37456</v>
      </c>
      <c r="R4099" s="308" t="s">
        <v>2743</v>
      </c>
      <c r="S4099" s="308" t="s">
        <v>81</v>
      </c>
      <c r="T4099" s="308" t="s">
        <v>63</v>
      </c>
      <c r="U4099" s="308" t="s">
        <v>1664</v>
      </c>
      <c r="V4099" s="312"/>
    </row>
    <row r="4100">
      <c r="A4100" s="308">
        <v>4099.0</v>
      </c>
      <c r="B4100" s="308"/>
      <c r="C4100" s="308" t="s">
        <v>16727</v>
      </c>
      <c r="D4100" s="308">
        <f>IFERROR(__xludf.DUMMYFUNCTION("SPLIT(C4100,""-"")"),4120.0)</f>
        <v>4120</v>
      </c>
      <c r="E4100" s="308" t="str">
        <f>IFERROR(__xludf.DUMMYFUNCTION("""COMPUTED_VALUE"""),"S")</f>
        <v>S</v>
      </c>
      <c r="F4100" s="312" t="s">
        <v>39</v>
      </c>
      <c r="G4100" s="308"/>
      <c r="H4100" s="308" t="s">
        <v>16728</v>
      </c>
      <c r="I4100" s="310">
        <v>38894.0</v>
      </c>
      <c r="J4100" s="319">
        <f>IFERROR(__xludf.DUMMYFUNCTION("SPLIT(I4100,""/"")"),26.0)</f>
        <v>26</v>
      </c>
      <c r="K4100" s="308">
        <f>IFERROR(__xludf.DUMMYFUNCTION("""COMPUTED_VALUE"""),6.0)</f>
        <v>6</v>
      </c>
      <c r="L4100" s="308">
        <f>IFERROR(__xludf.DUMMYFUNCTION("""COMPUTED_VALUE"""),2006.0)</f>
        <v>2006</v>
      </c>
      <c r="M4100" s="308" t="s">
        <v>16729</v>
      </c>
      <c r="N4100" s="308"/>
      <c r="O4100" s="308"/>
      <c r="P4100" s="308" t="s">
        <v>37457</v>
      </c>
      <c r="Q4100" s="308" t="s">
        <v>37456</v>
      </c>
      <c r="R4100" s="308" t="s">
        <v>14256</v>
      </c>
      <c r="S4100" s="308" t="s">
        <v>81</v>
      </c>
      <c r="T4100" s="308" t="s">
        <v>75</v>
      </c>
      <c r="U4100" s="308" t="s">
        <v>166</v>
      </c>
      <c r="V4100" s="312"/>
    </row>
    <row r="4101">
      <c r="A4101" s="308">
        <v>4100.0</v>
      </c>
      <c r="B4101" s="308"/>
      <c r="C4101" s="308" t="s">
        <v>16731</v>
      </c>
      <c r="D4101" s="308">
        <f>IFERROR(__xludf.DUMMYFUNCTION("SPLIT(C4101,""-"")"),4121.0)</f>
        <v>4121</v>
      </c>
      <c r="E4101" s="308" t="str">
        <f>IFERROR(__xludf.DUMMYFUNCTION("""COMPUTED_VALUE"""),"P")</f>
        <v>P</v>
      </c>
      <c r="F4101" s="312" t="s">
        <v>37</v>
      </c>
      <c r="G4101" s="308"/>
      <c r="H4101" s="308" t="s">
        <v>16732</v>
      </c>
      <c r="I4101" s="310">
        <v>38516.0</v>
      </c>
      <c r="J4101" s="319">
        <f>IFERROR(__xludf.DUMMYFUNCTION("SPLIT(I4101,""/"")"),13.0)</f>
        <v>13</v>
      </c>
      <c r="K4101" s="308">
        <f>IFERROR(__xludf.DUMMYFUNCTION("""COMPUTED_VALUE"""),6.0)</f>
        <v>6</v>
      </c>
      <c r="L4101" s="308">
        <f>IFERROR(__xludf.DUMMYFUNCTION("""COMPUTED_VALUE"""),2005.0)</f>
        <v>2005</v>
      </c>
      <c r="M4101" s="308" t="s">
        <v>16733</v>
      </c>
      <c r="N4101" s="308"/>
      <c r="O4101" s="308"/>
      <c r="P4101" s="308" t="s">
        <v>16734</v>
      </c>
      <c r="Q4101" s="308" t="s">
        <v>37456</v>
      </c>
      <c r="R4101" s="308" t="s">
        <v>14256</v>
      </c>
      <c r="S4101" s="308" t="s">
        <v>81</v>
      </c>
      <c r="T4101" s="309" t="s">
        <v>61</v>
      </c>
      <c r="U4101" s="308" t="s">
        <v>4273</v>
      </c>
      <c r="V4101" s="312"/>
    </row>
    <row r="4102">
      <c r="A4102" s="308">
        <v>4101.0</v>
      </c>
      <c r="B4102" s="308"/>
      <c r="C4102" s="308" t="s">
        <v>16735</v>
      </c>
      <c r="D4102" s="308">
        <f>IFERROR(__xludf.DUMMYFUNCTION("SPLIT(C4102,""-"")"),4122.0)</f>
        <v>4122</v>
      </c>
      <c r="E4102" s="308" t="str">
        <f>IFERROR(__xludf.DUMMYFUNCTION("""COMPUTED_VALUE"""),"S")</f>
        <v>S</v>
      </c>
      <c r="F4102" s="312" t="s">
        <v>39</v>
      </c>
      <c r="G4102" s="308"/>
      <c r="H4102" s="308" t="s">
        <v>7822</v>
      </c>
      <c r="I4102" s="310">
        <v>39347.0</v>
      </c>
      <c r="J4102" s="319">
        <f>IFERROR(__xludf.DUMMYFUNCTION("SPLIT(I4102,""/"")"),22.0)</f>
        <v>22</v>
      </c>
      <c r="K4102" s="308">
        <f>IFERROR(__xludf.DUMMYFUNCTION("""COMPUTED_VALUE"""),9.0)</f>
        <v>9</v>
      </c>
      <c r="L4102" s="308">
        <f>IFERROR(__xludf.DUMMYFUNCTION("""COMPUTED_VALUE"""),2007.0)</f>
        <v>2007</v>
      </c>
      <c r="M4102" s="308" t="s">
        <v>37458</v>
      </c>
      <c r="N4102" s="308"/>
      <c r="O4102" s="308"/>
      <c r="P4102" s="308" t="s">
        <v>37459</v>
      </c>
      <c r="Q4102" s="308" t="s">
        <v>37456</v>
      </c>
      <c r="R4102" s="308" t="s">
        <v>14256</v>
      </c>
      <c r="S4102" s="308" t="s">
        <v>81</v>
      </c>
      <c r="T4102" s="308" t="s">
        <v>75</v>
      </c>
      <c r="U4102" s="308" t="s">
        <v>166</v>
      </c>
      <c r="V4102" s="312"/>
    </row>
    <row r="4103">
      <c r="A4103" s="308">
        <v>4102.0</v>
      </c>
      <c r="B4103" s="308"/>
      <c r="C4103" s="308" t="s">
        <v>16738</v>
      </c>
      <c r="D4103" s="308">
        <f>IFERROR(__xludf.DUMMYFUNCTION("SPLIT(C4103,""-"")"),4123.0)</f>
        <v>4123</v>
      </c>
      <c r="E4103" s="308" t="str">
        <f>IFERROR(__xludf.DUMMYFUNCTION("""COMPUTED_VALUE"""),"B")</f>
        <v>B</v>
      </c>
      <c r="F4103" s="315" t="s">
        <v>26</v>
      </c>
      <c r="G4103" s="308"/>
      <c r="H4103" s="308" t="s">
        <v>16739</v>
      </c>
      <c r="I4103" s="310">
        <v>40419.0</v>
      </c>
      <c r="J4103" s="319">
        <f>IFERROR(__xludf.DUMMYFUNCTION("SPLIT(I4103,""/"")"),29.0)</f>
        <v>29</v>
      </c>
      <c r="K4103" s="308">
        <f>IFERROR(__xludf.DUMMYFUNCTION("""COMPUTED_VALUE"""),8.0)</f>
        <v>8</v>
      </c>
      <c r="L4103" s="308">
        <f>IFERROR(__xludf.DUMMYFUNCTION("""COMPUTED_VALUE"""),2010.0)</f>
        <v>2010</v>
      </c>
      <c r="M4103" s="308" t="s">
        <v>16740</v>
      </c>
      <c r="N4103" s="308"/>
      <c r="O4103" s="308"/>
      <c r="P4103" s="308" t="s">
        <v>16741</v>
      </c>
      <c r="Q4103" s="308" t="s">
        <v>37456</v>
      </c>
      <c r="R4103" s="308" t="s">
        <v>14256</v>
      </c>
      <c r="S4103" s="308" t="s">
        <v>81</v>
      </c>
      <c r="T4103" s="308" t="s">
        <v>98</v>
      </c>
      <c r="U4103" s="308" t="s">
        <v>27</v>
      </c>
      <c r="V4103" s="312"/>
    </row>
    <row r="4104">
      <c r="A4104" s="308">
        <v>4103.0</v>
      </c>
      <c r="B4104" s="308"/>
      <c r="C4104" s="308" t="s">
        <v>16742</v>
      </c>
      <c r="D4104" s="308">
        <f>IFERROR(__xludf.DUMMYFUNCTION("SPLIT(C4104,""-"")"),4124.0)</f>
        <v>4124</v>
      </c>
      <c r="E4104" s="308" t="str">
        <f>IFERROR(__xludf.DUMMYFUNCTION("""COMPUTED_VALUE"""),"B")</f>
        <v>B</v>
      </c>
      <c r="F4104" s="315" t="s">
        <v>26</v>
      </c>
      <c r="G4104" s="308"/>
      <c r="H4104" s="308" t="s">
        <v>16743</v>
      </c>
      <c r="I4104" s="310">
        <v>40454.0</v>
      </c>
      <c r="J4104" s="319">
        <f>IFERROR(__xludf.DUMMYFUNCTION("SPLIT(I4104,""/"")"),3.0)</f>
        <v>3</v>
      </c>
      <c r="K4104" s="308">
        <f>IFERROR(__xludf.DUMMYFUNCTION("""COMPUTED_VALUE"""),10.0)</f>
        <v>10</v>
      </c>
      <c r="L4104" s="308">
        <f>IFERROR(__xludf.DUMMYFUNCTION("""COMPUTED_VALUE"""),2010.0)</f>
        <v>2010</v>
      </c>
      <c r="M4104" s="308" t="s">
        <v>16744</v>
      </c>
      <c r="N4104" s="308"/>
      <c r="O4104" s="308"/>
      <c r="P4104" s="308" t="s">
        <v>16741</v>
      </c>
      <c r="Q4104" s="308" t="s">
        <v>37456</v>
      </c>
      <c r="R4104" s="308" t="s">
        <v>14256</v>
      </c>
      <c r="S4104" s="308" t="s">
        <v>81</v>
      </c>
      <c r="T4104" s="308" t="s">
        <v>98</v>
      </c>
      <c r="U4104" s="308" t="s">
        <v>27</v>
      </c>
      <c r="V4104" s="312"/>
    </row>
    <row r="4105">
      <c r="A4105" s="308">
        <v>4104.0</v>
      </c>
      <c r="B4105" s="308"/>
      <c r="C4105" s="308" t="s">
        <v>16745</v>
      </c>
      <c r="D4105" s="308">
        <f>IFERROR(__xludf.DUMMYFUNCTION("SPLIT(C4105,""-"")"),4125.0)</f>
        <v>4125</v>
      </c>
      <c r="E4105" s="308" t="str">
        <f>IFERROR(__xludf.DUMMYFUNCTION("""COMPUTED_VALUE"""),"B")</f>
        <v>B</v>
      </c>
      <c r="F4105" s="315" t="s">
        <v>26</v>
      </c>
      <c r="G4105" s="308"/>
      <c r="H4105" s="308" t="s">
        <v>16746</v>
      </c>
      <c r="I4105" s="310">
        <v>39308.0</v>
      </c>
      <c r="J4105" s="319">
        <f>IFERROR(__xludf.DUMMYFUNCTION("SPLIT(I4105,""/"")"),14.0)</f>
        <v>14</v>
      </c>
      <c r="K4105" s="308">
        <f>IFERROR(__xludf.DUMMYFUNCTION("""COMPUTED_VALUE"""),8.0)</f>
        <v>8</v>
      </c>
      <c r="L4105" s="308">
        <f>IFERROR(__xludf.DUMMYFUNCTION("""COMPUTED_VALUE"""),2007.0)</f>
        <v>2007</v>
      </c>
      <c r="M4105" s="308" t="s">
        <v>16747</v>
      </c>
      <c r="N4105" s="308"/>
      <c r="O4105" s="308"/>
      <c r="P4105" s="308" t="s">
        <v>16748</v>
      </c>
      <c r="Q4105" s="308" t="s">
        <v>37456</v>
      </c>
      <c r="R4105" s="308" t="s">
        <v>14256</v>
      </c>
      <c r="S4105" s="308" t="s">
        <v>49</v>
      </c>
      <c r="T4105" s="311" t="s">
        <v>67</v>
      </c>
      <c r="U4105" s="308" t="s">
        <v>27</v>
      </c>
      <c r="V4105" s="312"/>
    </row>
    <row r="4106">
      <c r="A4106" s="308">
        <v>4105.0</v>
      </c>
      <c r="B4106" s="308"/>
      <c r="C4106" s="308" t="s">
        <v>16749</v>
      </c>
      <c r="D4106" s="308">
        <f>IFERROR(__xludf.DUMMYFUNCTION("SPLIT(C4106,""-"")"),4126.0)</f>
        <v>4126</v>
      </c>
      <c r="E4106" s="308" t="str">
        <f>IFERROR(__xludf.DUMMYFUNCTION("""COMPUTED_VALUE"""),"P")</f>
        <v>P</v>
      </c>
      <c r="F4106" s="312" t="s">
        <v>37</v>
      </c>
      <c r="G4106" s="308"/>
      <c r="H4106" s="308" t="s">
        <v>16750</v>
      </c>
      <c r="I4106" s="310">
        <v>40552.0</v>
      </c>
      <c r="J4106" s="319">
        <f>IFERROR(__xludf.DUMMYFUNCTION("SPLIT(I4106,""/"")"),9.0)</f>
        <v>9</v>
      </c>
      <c r="K4106" s="308">
        <f>IFERROR(__xludf.DUMMYFUNCTION("""COMPUTED_VALUE"""),1.0)</f>
        <v>1</v>
      </c>
      <c r="L4106" s="308">
        <f>IFERROR(__xludf.DUMMYFUNCTION("""COMPUTED_VALUE"""),2011.0)</f>
        <v>2011</v>
      </c>
      <c r="M4106" s="308" t="s">
        <v>16751</v>
      </c>
      <c r="N4106" s="308"/>
      <c r="O4106" s="308"/>
      <c r="P4106" s="308" t="s">
        <v>35979</v>
      </c>
      <c r="Q4106" s="308" t="s">
        <v>37456</v>
      </c>
      <c r="R4106" s="308" t="s">
        <v>14256</v>
      </c>
      <c r="S4106" s="315" t="s">
        <v>100</v>
      </c>
      <c r="T4106" s="311" t="s">
        <v>34208</v>
      </c>
      <c r="U4106" s="308" t="s">
        <v>149</v>
      </c>
      <c r="V4106" s="312"/>
    </row>
    <row r="4107">
      <c r="A4107" s="308">
        <v>4106.0</v>
      </c>
      <c r="B4107" s="308"/>
      <c r="C4107" s="308" t="s">
        <v>16752</v>
      </c>
      <c r="D4107" s="308">
        <f>IFERROR(__xludf.DUMMYFUNCTION("SPLIT(C4107,""-"")"),4127.0)</f>
        <v>4127</v>
      </c>
      <c r="E4107" s="308" t="str">
        <f>IFERROR(__xludf.DUMMYFUNCTION("""COMPUTED_VALUE"""),"S")</f>
        <v>S</v>
      </c>
      <c r="F4107" s="312" t="s">
        <v>39</v>
      </c>
      <c r="G4107" s="308"/>
      <c r="H4107" s="308" t="s">
        <v>16753</v>
      </c>
      <c r="I4107" s="310">
        <v>40763.0</v>
      </c>
      <c r="J4107" s="319">
        <f>IFERROR(__xludf.DUMMYFUNCTION("SPLIT(I4107,""/"")"),8.0)</f>
        <v>8</v>
      </c>
      <c r="K4107" s="308">
        <f>IFERROR(__xludf.DUMMYFUNCTION("""COMPUTED_VALUE"""),8.0)</f>
        <v>8</v>
      </c>
      <c r="L4107" s="308">
        <f>IFERROR(__xludf.DUMMYFUNCTION("""COMPUTED_VALUE"""),2011.0)</f>
        <v>2011</v>
      </c>
      <c r="M4107" s="308" t="s">
        <v>16754</v>
      </c>
      <c r="N4107" s="308"/>
      <c r="O4107" s="308"/>
      <c r="P4107" s="308" t="s">
        <v>37460</v>
      </c>
      <c r="Q4107" s="308" t="s">
        <v>37456</v>
      </c>
      <c r="R4107" s="308" t="s">
        <v>14256</v>
      </c>
      <c r="S4107" s="308" t="s">
        <v>81</v>
      </c>
      <c r="T4107" s="308" t="s">
        <v>63</v>
      </c>
      <c r="U4107" s="308" t="s">
        <v>166</v>
      </c>
      <c r="V4107" s="312"/>
    </row>
    <row r="4108">
      <c r="A4108" s="308">
        <v>4107.0</v>
      </c>
      <c r="B4108" s="308"/>
      <c r="C4108" s="308" t="s">
        <v>16756</v>
      </c>
      <c r="D4108" s="308">
        <f>IFERROR(__xludf.DUMMYFUNCTION("SPLIT(C4108,""-"")"),4128.0)</f>
        <v>4128</v>
      </c>
      <c r="E4108" s="308" t="str">
        <f>IFERROR(__xludf.DUMMYFUNCTION("""COMPUTED_VALUE"""),"B")</f>
        <v>B</v>
      </c>
      <c r="F4108" s="315" t="s">
        <v>26</v>
      </c>
      <c r="G4108" s="308"/>
      <c r="H4108" s="308" t="s">
        <v>16757</v>
      </c>
      <c r="I4108" s="310">
        <v>40703.0</v>
      </c>
      <c r="J4108" s="319">
        <f>IFERROR(__xludf.DUMMYFUNCTION("SPLIT(I4108,""/"")"),9.0)</f>
        <v>9</v>
      </c>
      <c r="K4108" s="308">
        <f>IFERROR(__xludf.DUMMYFUNCTION("""COMPUTED_VALUE"""),6.0)</f>
        <v>6</v>
      </c>
      <c r="L4108" s="308">
        <f>IFERROR(__xludf.DUMMYFUNCTION("""COMPUTED_VALUE"""),2011.0)</f>
        <v>2011</v>
      </c>
      <c r="M4108" s="308" t="s">
        <v>16758</v>
      </c>
      <c r="N4108" s="308"/>
      <c r="O4108" s="308"/>
      <c r="P4108" s="308" t="s">
        <v>16759</v>
      </c>
      <c r="Q4108" s="308" t="s">
        <v>37456</v>
      </c>
      <c r="R4108" s="308" t="s">
        <v>14256</v>
      </c>
      <c r="S4108" s="308" t="s">
        <v>49</v>
      </c>
      <c r="T4108" s="311" t="s">
        <v>70</v>
      </c>
      <c r="U4108" s="308" t="s">
        <v>27</v>
      </c>
      <c r="V4108" s="312"/>
    </row>
    <row r="4109">
      <c r="A4109" s="308">
        <v>4108.0</v>
      </c>
      <c r="B4109" s="308"/>
      <c r="C4109" s="308" t="s">
        <v>16760</v>
      </c>
      <c r="D4109" s="308">
        <f>IFERROR(__xludf.DUMMYFUNCTION("SPLIT(C4109,""-"")"),4129.0)</f>
        <v>4129</v>
      </c>
      <c r="E4109" s="308" t="str">
        <f>IFERROR(__xludf.DUMMYFUNCTION("""COMPUTED_VALUE"""),"B")</f>
        <v>B</v>
      </c>
      <c r="F4109" s="315" t="s">
        <v>26</v>
      </c>
      <c r="G4109" s="308"/>
      <c r="H4109" s="308" t="s">
        <v>16761</v>
      </c>
      <c r="I4109" s="310">
        <v>40780.0</v>
      </c>
      <c r="J4109" s="319">
        <f>IFERROR(__xludf.DUMMYFUNCTION("SPLIT(I4109,""/"")"),25.0)</f>
        <v>25</v>
      </c>
      <c r="K4109" s="308">
        <f>IFERROR(__xludf.DUMMYFUNCTION("""COMPUTED_VALUE"""),8.0)</f>
        <v>8</v>
      </c>
      <c r="L4109" s="308">
        <f>IFERROR(__xludf.DUMMYFUNCTION("""COMPUTED_VALUE"""),2011.0)</f>
        <v>2011</v>
      </c>
      <c r="M4109" s="308" t="s">
        <v>16762</v>
      </c>
      <c r="N4109" s="308"/>
      <c r="O4109" s="308"/>
      <c r="P4109" s="308" t="s">
        <v>37461</v>
      </c>
      <c r="Q4109" s="308" t="s">
        <v>37456</v>
      </c>
      <c r="R4109" s="308" t="s">
        <v>14256</v>
      </c>
      <c r="S4109" s="315" t="s">
        <v>100</v>
      </c>
      <c r="T4109" s="311" t="s">
        <v>34208</v>
      </c>
      <c r="U4109" s="308" t="s">
        <v>27</v>
      </c>
      <c r="V4109" s="312"/>
    </row>
    <row r="4110">
      <c r="A4110" s="308">
        <v>4109.0</v>
      </c>
      <c r="B4110" s="308"/>
      <c r="C4110" s="308" t="s">
        <v>16763</v>
      </c>
      <c r="D4110" s="308">
        <f>IFERROR(__xludf.DUMMYFUNCTION("SPLIT(C4110,""-"")"),4130.0)</f>
        <v>4130</v>
      </c>
      <c r="E4110" s="308" t="str">
        <f>IFERROR(__xludf.DUMMYFUNCTION("""COMPUTED_VALUE"""),"B")</f>
        <v>B</v>
      </c>
      <c r="F4110" s="315" t="s">
        <v>26</v>
      </c>
      <c r="G4110" s="308"/>
      <c r="H4110" s="308" t="s">
        <v>16764</v>
      </c>
      <c r="I4110" s="314">
        <v>40904.0</v>
      </c>
      <c r="J4110" s="319">
        <f>IFERROR(__xludf.DUMMYFUNCTION("SPLIT(I4110,""/"")"),27.0)</f>
        <v>27</v>
      </c>
      <c r="K4110" s="308">
        <f>IFERROR(__xludf.DUMMYFUNCTION("""COMPUTED_VALUE"""),12.0)</f>
        <v>12</v>
      </c>
      <c r="L4110" s="308">
        <f>IFERROR(__xludf.DUMMYFUNCTION("""COMPUTED_VALUE"""),2011.0)</f>
        <v>2011</v>
      </c>
      <c r="M4110" s="308" t="s">
        <v>16765</v>
      </c>
      <c r="N4110" s="308"/>
      <c r="O4110" s="308"/>
      <c r="P4110" s="308" t="s">
        <v>37462</v>
      </c>
      <c r="Q4110" s="308" t="s">
        <v>37456</v>
      </c>
      <c r="R4110" s="308" t="s">
        <v>14256</v>
      </c>
      <c r="S4110" s="308" t="s">
        <v>81</v>
      </c>
      <c r="T4110" s="309" t="s">
        <v>61</v>
      </c>
      <c r="U4110" s="308" t="s">
        <v>27</v>
      </c>
      <c r="V4110" s="312"/>
    </row>
    <row r="4111">
      <c r="A4111" s="308">
        <v>4110.0</v>
      </c>
      <c r="B4111" s="308"/>
      <c r="C4111" s="308" t="s">
        <v>16767</v>
      </c>
      <c r="D4111" s="308">
        <f>IFERROR(__xludf.DUMMYFUNCTION("SPLIT(C4111,""-"")"),4131.0)</f>
        <v>4131</v>
      </c>
      <c r="E4111" s="308" t="str">
        <f>IFERROR(__xludf.DUMMYFUNCTION("""COMPUTED_VALUE"""),"S")</f>
        <v>S</v>
      </c>
      <c r="F4111" s="312" t="s">
        <v>39</v>
      </c>
      <c r="G4111" s="308"/>
      <c r="H4111" s="308" t="s">
        <v>16768</v>
      </c>
      <c r="I4111" s="314">
        <v>40833.0</v>
      </c>
      <c r="J4111" s="319">
        <f>IFERROR(__xludf.DUMMYFUNCTION("SPLIT(I4111,""/"")"),17.0)</f>
        <v>17</v>
      </c>
      <c r="K4111" s="308">
        <f>IFERROR(__xludf.DUMMYFUNCTION("""COMPUTED_VALUE"""),10.0)</f>
        <v>10</v>
      </c>
      <c r="L4111" s="308">
        <f>IFERROR(__xludf.DUMMYFUNCTION("""COMPUTED_VALUE"""),2011.0)</f>
        <v>2011</v>
      </c>
      <c r="M4111" s="308" t="s">
        <v>16769</v>
      </c>
      <c r="N4111" s="308"/>
      <c r="O4111" s="308"/>
      <c r="P4111" s="308" t="s">
        <v>37463</v>
      </c>
      <c r="Q4111" s="308" t="s">
        <v>37456</v>
      </c>
      <c r="R4111" s="308" t="s">
        <v>14256</v>
      </c>
      <c r="S4111" s="308" t="s">
        <v>81</v>
      </c>
      <c r="T4111" s="308" t="s">
        <v>75</v>
      </c>
      <c r="U4111" s="308" t="s">
        <v>12947</v>
      </c>
      <c r="V4111" s="312"/>
    </row>
    <row r="4112">
      <c r="A4112" s="308">
        <v>4111.0</v>
      </c>
      <c r="B4112" s="308"/>
      <c r="C4112" s="308" t="s">
        <v>16771</v>
      </c>
      <c r="D4112" s="308">
        <f>IFERROR(__xludf.DUMMYFUNCTION("SPLIT(C4112,""-"")"),4132.0)</f>
        <v>4132</v>
      </c>
      <c r="E4112" s="308" t="str">
        <f>IFERROR(__xludf.DUMMYFUNCTION("""COMPUTED_VALUE"""),"B")</f>
        <v>B</v>
      </c>
      <c r="F4112" s="315" t="s">
        <v>26</v>
      </c>
      <c r="G4112" s="308"/>
      <c r="H4112" s="308" t="s">
        <v>37464</v>
      </c>
      <c r="I4112" s="310">
        <v>40244.0</v>
      </c>
      <c r="J4112" s="319">
        <f>IFERROR(__xludf.DUMMYFUNCTION("SPLIT(I4112,""/"")"),7.0)</f>
        <v>7</v>
      </c>
      <c r="K4112" s="308">
        <f>IFERROR(__xludf.DUMMYFUNCTION("""COMPUTED_VALUE"""),3.0)</f>
        <v>3</v>
      </c>
      <c r="L4112" s="308">
        <f>IFERROR(__xludf.DUMMYFUNCTION("""COMPUTED_VALUE"""),2010.0)</f>
        <v>2010</v>
      </c>
      <c r="M4112" s="308" t="s">
        <v>16773</v>
      </c>
      <c r="N4112" s="308"/>
      <c r="O4112" s="308"/>
      <c r="P4112" s="308" t="s">
        <v>37465</v>
      </c>
      <c r="Q4112" s="308" t="s">
        <v>37456</v>
      </c>
      <c r="R4112" s="308" t="s">
        <v>14256</v>
      </c>
      <c r="S4112" s="308" t="s">
        <v>49</v>
      </c>
      <c r="T4112" s="311" t="s">
        <v>51</v>
      </c>
      <c r="U4112" s="308" t="s">
        <v>27</v>
      </c>
      <c r="V4112" s="312"/>
    </row>
    <row r="4113">
      <c r="A4113" s="308">
        <v>4112.0</v>
      </c>
      <c r="B4113" s="308"/>
      <c r="C4113" s="308" t="s">
        <v>16775</v>
      </c>
      <c r="D4113" s="308">
        <f>IFERROR(__xludf.DUMMYFUNCTION("SPLIT(C4113,""-"")"),4133.0)</f>
        <v>4133</v>
      </c>
      <c r="E4113" s="308" t="str">
        <f>IFERROR(__xludf.DUMMYFUNCTION("""COMPUTED_VALUE"""),"S")</f>
        <v>S</v>
      </c>
      <c r="F4113" s="312" t="s">
        <v>39</v>
      </c>
      <c r="G4113" s="308"/>
      <c r="H4113" s="308" t="s">
        <v>16776</v>
      </c>
      <c r="I4113" s="310">
        <v>42226.0</v>
      </c>
      <c r="J4113" s="319">
        <f>IFERROR(__xludf.DUMMYFUNCTION("SPLIT(I4113,""/"")"),10.0)</f>
        <v>10</v>
      </c>
      <c r="K4113" s="308">
        <f>IFERROR(__xludf.DUMMYFUNCTION("""COMPUTED_VALUE"""),8.0)</f>
        <v>8</v>
      </c>
      <c r="L4113" s="308">
        <f>IFERROR(__xludf.DUMMYFUNCTION("""COMPUTED_VALUE"""),2015.0)</f>
        <v>2015</v>
      </c>
      <c r="M4113" s="308" t="s">
        <v>16777</v>
      </c>
      <c r="N4113" s="308"/>
      <c r="O4113" s="308"/>
      <c r="P4113" s="308" t="s">
        <v>37466</v>
      </c>
      <c r="Q4113" s="308" t="s">
        <v>37456</v>
      </c>
      <c r="R4113" s="308" t="s">
        <v>14256</v>
      </c>
      <c r="S4113" s="308" t="s">
        <v>81</v>
      </c>
      <c r="T4113" s="308" t="s">
        <v>75</v>
      </c>
      <c r="U4113" s="308" t="s">
        <v>166</v>
      </c>
      <c r="V4113" s="312"/>
    </row>
    <row r="4114">
      <c r="A4114" s="308">
        <v>4113.0</v>
      </c>
      <c r="B4114" s="308"/>
      <c r="C4114" s="308" t="s">
        <v>16779</v>
      </c>
      <c r="D4114" s="308">
        <f>IFERROR(__xludf.DUMMYFUNCTION("SPLIT(C4114,""-"")"),4134.0)</f>
        <v>4134</v>
      </c>
      <c r="E4114" s="308" t="str">
        <f>IFERROR(__xludf.DUMMYFUNCTION("""COMPUTED_VALUE"""),"S")</f>
        <v>S</v>
      </c>
      <c r="F4114" s="312" t="s">
        <v>39</v>
      </c>
      <c r="G4114" s="308"/>
      <c r="H4114" s="308" t="s">
        <v>16780</v>
      </c>
      <c r="I4114" s="310">
        <v>42240.0</v>
      </c>
      <c r="J4114" s="319">
        <f>IFERROR(__xludf.DUMMYFUNCTION("SPLIT(I4114,""/"")"),24.0)</f>
        <v>24</v>
      </c>
      <c r="K4114" s="308">
        <f>IFERROR(__xludf.DUMMYFUNCTION("""COMPUTED_VALUE"""),8.0)</f>
        <v>8</v>
      </c>
      <c r="L4114" s="308">
        <f>IFERROR(__xludf.DUMMYFUNCTION("""COMPUTED_VALUE"""),2015.0)</f>
        <v>2015</v>
      </c>
      <c r="M4114" s="308" t="s">
        <v>16781</v>
      </c>
      <c r="N4114" s="308"/>
      <c r="O4114" s="308"/>
      <c r="P4114" s="308" t="s">
        <v>16782</v>
      </c>
      <c r="Q4114" s="308" t="s">
        <v>37456</v>
      </c>
      <c r="R4114" s="308" t="s">
        <v>14256</v>
      </c>
      <c r="S4114" s="308" t="s">
        <v>49</v>
      </c>
      <c r="T4114" s="308" t="s">
        <v>67</v>
      </c>
      <c r="U4114" s="308" t="s">
        <v>166</v>
      </c>
      <c r="V4114" s="312"/>
    </row>
    <row r="4115">
      <c r="A4115" s="308">
        <v>4114.0</v>
      </c>
      <c r="B4115" s="308"/>
      <c r="C4115" s="308" t="s">
        <v>16783</v>
      </c>
      <c r="D4115" s="308">
        <f>IFERROR(__xludf.DUMMYFUNCTION("SPLIT(C4115,""-"")"),4135.0)</f>
        <v>4135</v>
      </c>
      <c r="E4115" s="308" t="str">
        <f>IFERROR(__xludf.DUMMYFUNCTION("""COMPUTED_VALUE"""),"S")</f>
        <v>S</v>
      </c>
      <c r="F4115" s="312" t="s">
        <v>39</v>
      </c>
      <c r="G4115" s="308"/>
      <c r="H4115" s="308" t="s">
        <v>16784</v>
      </c>
      <c r="I4115" s="310">
        <v>42243.0</v>
      </c>
      <c r="J4115" s="319">
        <f>IFERROR(__xludf.DUMMYFUNCTION("SPLIT(I4115,""/"")"),27.0)</f>
        <v>27</v>
      </c>
      <c r="K4115" s="308">
        <f>IFERROR(__xludf.DUMMYFUNCTION("""COMPUTED_VALUE"""),8.0)</f>
        <v>8</v>
      </c>
      <c r="L4115" s="308">
        <f>IFERROR(__xludf.DUMMYFUNCTION("""COMPUTED_VALUE"""),2015.0)</f>
        <v>2015</v>
      </c>
      <c r="M4115" s="308" t="s">
        <v>16785</v>
      </c>
      <c r="N4115" s="308"/>
      <c r="O4115" s="308"/>
      <c r="P4115" s="308" t="s">
        <v>37377</v>
      </c>
      <c r="Q4115" s="308" t="s">
        <v>37456</v>
      </c>
      <c r="R4115" s="308" t="s">
        <v>14256</v>
      </c>
      <c r="S4115" s="308" t="s">
        <v>49</v>
      </c>
      <c r="T4115" s="308" t="s">
        <v>67</v>
      </c>
      <c r="U4115" s="308" t="s">
        <v>166</v>
      </c>
      <c r="V4115" s="312"/>
    </row>
    <row r="4116">
      <c r="A4116" s="308">
        <v>4115.0</v>
      </c>
      <c r="B4116" s="308"/>
      <c r="C4116" s="308" t="s">
        <v>16786</v>
      </c>
      <c r="D4116" s="308">
        <f>IFERROR(__xludf.DUMMYFUNCTION("SPLIT(C4116,""-"")"),4136.0)</f>
        <v>4136</v>
      </c>
      <c r="E4116" s="308" t="str">
        <f>IFERROR(__xludf.DUMMYFUNCTION("""COMPUTED_VALUE"""),"S")</f>
        <v>S</v>
      </c>
      <c r="F4116" s="312" t="s">
        <v>39</v>
      </c>
      <c r="G4116" s="308"/>
      <c r="H4116" s="308" t="s">
        <v>16787</v>
      </c>
      <c r="I4116" s="310">
        <v>42243.0</v>
      </c>
      <c r="J4116" s="319">
        <f>IFERROR(__xludf.DUMMYFUNCTION("SPLIT(I4116,""/"")"),27.0)</f>
        <v>27</v>
      </c>
      <c r="K4116" s="308">
        <f>IFERROR(__xludf.DUMMYFUNCTION("""COMPUTED_VALUE"""),8.0)</f>
        <v>8</v>
      </c>
      <c r="L4116" s="308">
        <f>IFERROR(__xludf.DUMMYFUNCTION("""COMPUTED_VALUE"""),2015.0)</f>
        <v>2015</v>
      </c>
      <c r="M4116" s="308" t="s">
        <v>16788</v>
      </c>
      <c r="N4116" s="308"/>
      <c r="O4116" s="308"/>
      <c r="P4116" s="308" t="s">
        <v>148</v>
      </c>
      <c r="Q4116" s="308" t="s">
        <v>37456</v>
      </c>
      <c r="R4116" s="308" t="s">
        <v>14256</v>
      </c>
      <c r="S4116" s="308" t="s">
        <v>49</v>
      </c>
      <c r="T4116" s="308" t="s">
        <v>51</v>
      </c>
      <c r="U4116" s="308" t="s">
        <v>166</v>
      </c>
      <c r="V4116" s="312"/>
    </row>
    <row r="4117">
      <c r="A4117" s="308">
        <v>4116.0</v>
      </c>
      <c r="B4117" s="308"/>
      <c r="C4117" s="308" t="s">
        <v>16789</v>
      </c>
      <c r="D4117" s="308">
        <f>IFERROR(__xludf.DUMMYFUNCTION("SPLIT(C4117,""-"")"),4137.0)</f>
        <v>4137</v>
      </c>
      <c r="E4117" s="308" t="str">
        <f>IFERROR(__xludf.DUMMYFUNCTION("""COMPUTED_VALUE"""),"S")</f>
        <v>S</v>
      </c>
      <c r="F4117" s="312" t="s">
        <v>39</v>
      </c>
      <c r="G4117" s="308"/>
      <c r="H4117" s="308" t="s">
        <v>16790</v>
      </c>
      <c r="I4117" s="310">
        <v>42246.0</v>
      </c>
      <c r="J4117" s="319">
        <f>IFERROR(__xludf.DUMMYFUNCTION("SPLIT(I4117,""/"")"),30.0)</f>
        <v>30</v>
      </c>
      <c r="K4117" s="308">
        <f>IFERROR(__xludf.DUMMYFUNCTION("""COMPUTED_VALUE"""),8.0)</f>
        <v>8</v>
      </c>
      <c r="L4117" s="308">
        <f>IFERROR(__xludf.DUMMYFUNCTION("""COMPUTED_VALUE"""),2015.0)</f>
        <v>2015</v>
      </c>
      <c r="M4117" s="308" t="s">
        <v>16791</v>
      </c>
      <c r="N4117" s="308"/>
      <c r="O4117" s="308"/>
      <c r="P4117" s="308" t="s">
        <v>37467</v>
      </c>
      <c r="Q4117" s="308" t="s">
        <v>37456</v>
      </c>
      <c r="R4117" s="308" t="s">
        <v>14256</v>
      </c>
      <c r="S4117" s="308" t="s">
        <v>81</v>
      </c>
      <c r="T4117" s="308" t="s">
        <v>75</v>
      </c>
      <c r="U4117" s="308" t="s">
        <v>166</v>
      </c>
      <c r="V4117" s="312"/>
    </row>
    <row r="4118">
      <c r="A4118" s="308">
        <v>4117.0</v>
      </c>
      <c r="B4118" s="308"/>
      <c r="C4118" s="308" t="s">
        <v>16793</v>
      </c>
      <c r="D4118" s="308">
        <f>IFERROR(__xludf.DUMMYFUNCTION("SPLIT(C4118,""-"")"),4138.0)</f>
        <v>4138</v>
      </c>
      <c r="E4118" s="308" t="str">
        <f>IFERROR(__xludf.DUMMYFUNCTION("""COMPUTED_VALUE"""),"S")</f>
        <v>S</v>
      </c>
      <c r="F4118" s="312" t="s">
        <v>39</v>
      </c>
      <c r="G4118" s="308"/>
      <c r="H4118" s="308" t="s">
        <v>16794</v>
      </c>
      <c r="I4118" s="310">
        <v>42260.0</v>
      </c>
      <c r="J4118" s="319">
        <f>IFERROR(__xludf.DUMMYFUNCTION("SPLIT(I4118,""/"")"),13.0)</f>
        <v>13</v>
      </c>
      <c r="K4118" s="308">
        <f>IFERROR(__xludf.DUMMYFUNCTION("""COMPUTED_VALUE"""),9.0)</f>
        <v>9</v>
      </c>
      <c r="L4118" s="308">
        <f>IFERROR(__xludf.DUMMYFUNCTION("""COMPUTED_VALUE"""),2015.0)</f>
        <v>2015</v>
      </c>
      <c r="M4118" s="308" t="s">
        <v>16795</v>
      </c>
      <c r="N4118" s="308"/>
      <c r="O4118" s="308"/>
      <c r="P4118" s="308" t="s">
        <v>37468</v>
      </c>
      <c r="Q4118" s="308" t="s">
        <v>37456</v>
      </c>
      <c r="R4118" s="308" t="s">
        <v>14256</v>
      </c>
      <c r="S4118" s="308" t="s">
        <v>81</v>
      </c>
      <c r="T4118" s="308" t="s">
        <v>75</v>
      </c>
      <c r="U4118" s="308" t="s">
        <v>166</v>
      </c>
      <c r="V4118" s="312"/>
    </row>
    <row r="4119">
      <c r="A4119" s="308">
        <v>4118.0</v>
      </c>
      <c r="B4119" s="308"/>
      <c r="C4119" s="308" t="s">
        <v>16797</v>
      </c>
      <c r="D4119" s="308">
        <f>IFERROR(__xludf.DUMMYFUNCTION("SPLIT(C4119,""-"")"),4139.0)</f>
        <v>4139</v>
      </c>
      <c r="E4119" s="308" t="str">
        <f>IFERROR(__xludf.DUMMYFUNCTION("""COMPUTED_VALUE"""),"P")</f>
        <v>P</v>
      </c>
      <c r="F4119" s="312" t="s">
        <v>37</v>
      </c>
      <c r="G4119" s="308"/>
      <c r="H4119" s="308" t="s">
        <v>16798</v>
      </c>
      <c r="I4119" s="310">
        <v>41356.0</v>
      </c>
      <c r="J4119" s="319">
        <f>IFERROR(__xludf.DUMMYFUNCTION("SPLIT(I4119,""/"")"),23.0)</f>
        <v>23</v>
      </c>
      <c r="K4119" s="308">
        <f>IFERROR(__xludf.DUMMYFUNCTION("""COMPUTED_VALUE"""),3.0)</f>
        <v>3</v>
      </c>
      <c r="L4119" s="308">
        <f>IFERROR(__xludf.DUMMYFUNCTION("""COMPUTED_VALUE"""),2013.0)</f>
        <v>2013</v>
      </c>
      <c r="M4119" s="308" t="s">
        <v>16799</v>
      </c>
      <c r="N4119" s="308"/>
      <c r="O4119" s="308"/>
      <c r="P4119" s="308" t="s">
        <v>37469</v>
      </c>
      <c r="Q4119" s="308" t="s">
        <v>37456</v>
      </c>
      <c r="R4119" s="308" t="s">
        <v>14256</v>
      </c>
      <c r="S4119" s="308" t="s">
        <v>81</v>
      </c>
      <c r="T4119" s="308" t="s">
        <v>75</v>
      </c>
      <c r="U4119" s="308" t="s">
        <v>14456</v>
      </c>
      <c r="V4119" s="312"/>
    </row>
    <row r="4120">
      <c r="A4120" s="308">
        <v>4119.0</v>
      </c>
      <c r="B4120" s="308"/>
      <c r="C4120" s="308" t="s">
        <v>16801</v>
      </c>
      <c r="D4120" s="308">
        <f>IFERROR(__xludf.DUMMYFUNCTION("SPLIT(C4120,""-"")"),4140.0)</f>
        <v>4140</v>
      </c>
      <c r="E4120" s="308" t="str">
        <f>IFERROR(__xludf.DUMMYFUNCTION("""COMPUTED_VALUE"""),"K")</f>
        <v>K</v>
      </c>
      <c r="F4120" s="309" t="s">
        <v>34</v>
      </c>
      <c r="G4120" s="308"/>
      <c r="H4120" s="308" t="s">
        <v>16802</v>
      </c>
      <c r="I4120" s="310">
        <v>41458.0</v>
      </c>
      <c r="J4120" s="319">
        <f>IFERROR(__xludf.DUMMYFUNCTION("SPLIT(I4120,""/"")"),3.0)</f>
        <v>3</v>
      </c>
      <c r="K4120" s="308">
        <f>IFERROR(__xludf.DUMMYFUNCTION("""COMPUTED_VALUE"""),7.0)</f>
        <v>7</v>
      </c>
      <c r="L4120" s="308">
        <f>IFERROR(__xludf.DUMMYFUNCTION("""COMPUTED_VALUE"""),2013.0)</f>
        <v>2013</v>
      </c>
      <c r="M4120" s="308" t="s">
        <v>16803</v>
      </c>
      <c r="N4120" s="308"/>
      <c r="O4120" s="308"/>
      <c r="P4120" s="308" t="s">
        <v>16804</v>
      </c>
      <c r="Q4120" s="308" t="s">
        <v>37456</v>
      </c>
      <c r="R4120" s="308" t="s">
        <v>14256</v>
      </c>
      <c r="S4120" s="308" t="s">
        <v>81</v>
      </c>
      <c r="T4120" s="308" t="s">
        <v>34264</v>
      </c>
      <c r="U4120" s="308" t="s">
        <v>1393</v>
      </c>
      <c r="V4120" s="312"/>
    </row>
    <row r="4121">
      <c r="A4121" s="308">
        <v>4120.0</v>
      </c>
      <c r="B4121" s="308"/>
      <c r="C4121" s="308" t="s">
        <v>16805</v>
      </c>
      <c r="D4121" s="308" t="str">
        <f>IFERROR(__xludf.DUMMYFUNCTION("SPLIT(C4121,""-"")"),"#REF!")</f>
        <v>#REF!</v>
      </c>
      <c r="E4121" s="311"/>
      <c r="F4121" s="309" t="s">
        <v>34</v>
      </c>
      <c r="G4121" s="308"/>
      <c r="H4121" s="308" t="s">
        <v>16806</v>
      </c>
      <c r="I4121" s="310">
        <v>40001.0</v>
      </c>
      <c r="J4121" s="319">
        <f>IFERROR(__xludf.DUMMYFUNCTION("SPLIT(I4121,""/"")"),7.0)</f>
        <v>7</v>
      </c>
      <c r="K4121" s="308">
        <f>IFERROR(__xludf.DUMMYFUNCTION("""COMPUTED_VALUE"""),7.0)</f>
        <v>7</v>
      </c>
      <c r="L4121" s="308">
        <f>IFERROR(__xludf.DUMMYFUNCTION("""COMPUTED_VALUE"""),2009.0)</f>
        <v>2009</v>
      </c>
      <c r="M4121" s="308" t="s">
        <v>16807</v>
      </c>
      <c r="N4121" s="308" t="s">
        <v>16808</v>
      </c>
      <c r="O4121" s="308"/>
      <c r="P4121" s="308" t="s">
        <v>37470</v>
      </c>
      <c r="Q4121" s="308" t="s">
        <v>37456</v>
      </c>
      <c r="R4121" s="308" t="s">
        <v>14256</v>
      </c>
      <c r="S4121" s="315" t="s">
        <v>100</v>
      </c>
      <c r="T4121" s="311" t="s">
        <v>34208</v>
      </c>
      <c r="U4121" s="308" t="s">
        <v>530</v>
      </c>
      <c r="V4121" s="308" t="s">
        <v>16809</v>
      </c>
    </row>
    <row r="4122">
      <c r="A4122" s="308">
        <v>4121.0</v>
      </c>
      <c r="B4122" s="308"/>
      <c r="C4122" s="308" t="s">
        <v>16810</v>
      </c>
      <c r="D4122" s="308">
        <f>IFERROR(__xludf.DUMMYFUNCTION("SPLIT(C4122,""-"")"),4142.0)</f>
        <v>4142</v>
      </c>
      <c r="E4122" s="308" t="str">
        <f>IFERROR(__xludf.DUMMYFUNCTION("""COMPUTED_VALUE"""),"P")</f>
        <v>P</v>
      </c>
      <c r="F4122" s="312" t="s">
        <v>37</v>
      </c>
      <c r="G4122" s="308"/>
      <c r="H4122" s="308" t="s">
        <v>16811</v>
      </c>
      <c r="I4122" s="310">
        <v>34857.0</v>
      </c>
      <c r="J4122" s="319">
        <f>IFERROR(__xludf.DUMMYFUNCTION("SPLIT(I4122,""/"")"),7.0)</f>
        <v>7</v>
      </c>
      <c r="K4122" s="308">
        <f>IFERROR(__xludf.DUMMYFUNCTION("""COMPUTED_VALUE"""),6.0)</f>
        <v>6</v>
      </c>
      <c r="L4122" s="308">
        <f>IFERROR(__xludf.DUMMYFUNCTION("""COMPUTED_VALUE"""),1995.0)</f>
        <v>1995</v>
      </c>
      <c r="M4122" s="308" t="s">
        <v>16812</v>
      </c>
      <c r="N4122" s="308"/>
      <c r="O4122" s="308"/>
      <c r="P4122" s="308" t="s">
        <v>16813</v>
      </c>
      <c r="Q4122" s="308" t="s">
        <v>37456</v>
      </c>
      <c r="R4122" s="308" t="s">
        <v>14256</v>
      </c>
      <c r="S4122" s="308" t="s">
        <v>81</v>
      </c>
      <c r="T4122" s="311" t="s">
        <v>96</v>
      </c>
      <c r="U4122" s="308" t="s">
        <v>3391</v>
      </c>
      <c r="V4122" s="312"/>
    </row>
    <row r="4123">
      <c r="A4123" s="308">
        <v>4122.0</v>
      </c>
      <c r="B4123" s="308"/>
      <c r="C4123" s="308" t="s">
        <v>16814</v>
      </c>
      <c r="D4123" s="308">
        <f>IFERROR(__xludf.DUMMYFUNCTION("SPLIT(C4123,""-"")"),4143.0)</f>
        <v>4143</v>
      </c>
      <c r="E4123" s="308" t="str">
        <f>IFERROR(__xludf.DUMMYFUNCTION("""COMPUTED_VALUE"""),"S")</f>
        <v>S</v>
      </c>
      <c r="F4123" s="312" t="s">
        <v>39</v>
      </c>
      <c r="G4123" s="308"/>
      <c r="H4123" s="308" t="s">
        <v>16815</v>
      </c>
      <c r="I4123" s="310">
        <v>34851.0</v>
      </c>
      <c r="J4123" s="319">
        <f>IFERROR(__xludf.DUMMYFUNCTION("SPLIT(I4123,""/"")"),1.0)</f>
        <v>1</v>
      </c>
      <c r="K4123" s="308">
        <f>IFERROR(__xludf.DUMMYFUNCTION("""COMPUTED_VALUE"""),6.0)</f>
        <v>6</v>
      </c>
      <c r="L4123" s="308">
        <f>IFERROR(__xludf.DUMMYFUNCTION("""COMPUTED_VALUE"""),1995.0)</f>
        <v>1995</v>
      </c>
      <c r="M4123" s="308" t="s">
        <v>16816</v>
      </c>
      <c r="N4123" s="308"/>
      <c r="O4123" s="308"/>
      <c r="P4123" s="308" t="s">
        <v>34782</v>
      </c>
      <c r="Q4123" s="308" t="s">
        <v>37456</v>
      </c>
      <c r="R4123" s="308" t="s">
        <v>14256</v>
      </c>
      <c r="S4123" s="308" t="s">
        <v>49</v>
      </c>
      <c r="T4123" s="308" t="s">
        <v>51</v>
      </c>
      <c r="U4123" s="308" t="s">
        <v>166</v>
      </c>
      <c r="V4123" s="312"/>
    </row>
    <row r="4124">
      <c r="A4124" s="308">
        <v>4123.0</v>
      </c>
      <c r="B4124" s="308"/>
      <c r="C4124" s="308" t="s">
        <v>16817</v>
      </c>
      <c r="D4124" s="308">
        <f>IFERROR(__xludf.DUMMYFUNCTION("SPLIT(C4124,""-"")"),4144.0)</f>
        <v>4144</v>
      </c>
      <c r="E4124" s="308" t="str">
        <f>IFERROR(__xludf.DUMMYFUNCTION("""COMPUTED_VALUE"""),"S")</f>
        <v>S</v>
      </c>
      <c r="F4124" s="312" t="s">
        <v>39</v>
      </c>
      <c r="G4124" s="308"/>
      <c r="H4124" s="308" t="s">
        <v>16818</v>
      </c>
      <c r="I4124" s="310">
        <v>34900.0</v>
      </c>
      <c r="J4124" s="319">
        <f>IFERROR(__xludf.DUMMYFUNCTION("SPLIT(I4124,""/"")"),20.0)</f>
        <v>20</v>
      </c>
      <c r="K4124" s="308">
        <f>IFERROR(__xludf.DUMMYFUNCTION("""COMPUTED_VALUE"""),7.0)</f>
        <v>7</v>
      </c>
      <c r="L4124" s="308">
        <f>IFERROR(__xludf.DUMMYFUNCTION("""COMPUTED_VALUE"""),1995.0)</f>
        <v>1995</v>
      </c>
      <c r="M4124" s="308" t="s">
        <v>16819</v>
      </c>
      <c r="N4124" s="308"/>
      <c r="O4124" s="308"/>
      <c r="P4124" s="308" t="s">
        <v>16820</v>
      </c>
      <c r="Q4124" s="308" t="s">
        <v>37456</v>
      </c>
      <c r="R4124" s="308" t="s">
        <v>14256</v>
      </c>
      <c r="S4124" s="308" t="s">
        <v>49</v>
      </c>
      <c r="T4124" s="311" t="s">
        <v>67</v>
      </c>
      <c r="U4124" s="308" t="s">
        <v>166</v>
      </c>
      <c r="V4124" s="312"/>
    </row>
    <row r="4125">
      <c r="A4125" s="308">
        <v>4124.0</v>
      </c>
      <c r="B4125" s="308"/>
      <c r="C4125" s="308" t="s">
        <v>16821</v>
      </c>
      <c r="D4125" s="308">
        <f>IFERROR(__xludf.DUMMYFUNCTION("SPLIT(C4125,""-"")"),4145.0)</f>
        <v>4145</v>
      </c>
      <c r="E4125" s="308" t="str">
        <f>IFERROR(__xludf.DUMMYFUNCTION("""COMPUTED_VALUE"""),"S")</f>
        <v>S</v>
      </c>
      <c r="F4125" s="312" t="s">
        <v>39</v>
      </c>
      <c r="G4125" s="308"/>
      <c r="H4125" s="308" t="s">
        <v>37471</v>
      </c>
      <c r="I4125" s="310">
        <v>34900.0</v>
      </c>
      <c r="J4125" s="319">
        <f>IFERROR(__xludf.DUMMYFUNCTION("SPLIT(I4125,""/"")"),20.0)</f>
        <v>20</v>
      </c>
      <c r="K4125" s="308">
        <f>IFERROR(__xludf.DUMMYFUNCTION("""COMPUTED_VALUE"""),7.0)</f>
        <v>7</v>
      </c>
      <c r="L4125" s="308">
        <f>IFERROR(__xludf.DUMMYFUNCTION("""COMPUTED_VALUE"""),1995.0)</f>
        <v>1995</v>
      </c>
      <c r="M4125" s="308" t="s">
        <v>16823</v>
      </c>
      <c r="N4125" s="308"/>
      <c r="O4125" s="308"/>
      <c r="P4125" s="308" t="s">
        <v>148</v>
      </c>
      <c r="Q4125" s="308" t="s">
        <v>37456</v>
      </c>
      <c r="R4125" s="308" t="s">
        <v>14256</v>
      </c>
      <c r="S4125" s="308" t="s">
        <v>49</v>
      </c>
      <c r="T4125" s="308" t="s">
        <v>51</v>
      </c>
      <c r="U4125" s="308" t="s">
        <v>166</v>
      </c>
      <c r="V4125" s="312"/>
    </row>
    <row r="4126">
      <c r="A4126" s="308">
        <v>4125.0</v>
      </c>
      <c r="B4126" s="308"/>
      <c r="C4126" s="308" t="s">
        <v>16824</v>
      </c>
      <c r="D4126" s="308">
        <f>IFERROR(__xludf.DUMMYFUNCTION("SPLIT(C4126,""-"")"),4146.0)</f>
        <v>4146</v>
      </c>
      <c r="E4126" s="308" t="str">
        <f>IFERROR(__xludf.DUMMYFUNCTION("""COMPUTED_VALUE"""),"K")</f>
        <v>K</v>
      </c>
      <c r="F4126" s="309" t="s">
        <v>34</v>
      </c>
      <c r="G4126" s="308"/>
      <c r="H4126" s="308" t="s">
        <v>16825</v>
      </c>
      <c r="I4126" s="310">
        <v>33455.0</v>
      </c>
      <c r="J4126" s="319">
        <f>IFERROR(__xludf.DUMMYFUNCTION("SPLIT(I4126,""/"")"),5.0)</f>
        <v>5</v>
      </c>
      <c r="K4126" s="308">
        <f>IFERROR(__xludf.DUMMYFUNCTION("""COMPUTED_VALUE"""),8.0)</f>
        <v>8</v>
      </c>
      <c r="L4126" s="308">
        <f>IFERROR(__xludf.DUMMYFUNCTION("""COMPUTED_VALUE"""),1991.0)</f>
        <v>1991</v>
      </c>
      <c r="M4126" s="308" t="s">
        <v>16826</v>
      </c>
      <c r="N4126" s="308"/>
      <c r="O4126" s="308"/>
      <c r="P4126" s="308"/>
      <c r="Q4126" s="308" t="s">
        <v>37456</v>
      </c>
      <c r="R4126" s="308" t="s">
        <v>14256</v>
      </c>
      <c r="S4126" s="308" t="s">
        <v>79</v>
      </c>
      <c r="T4126" s="308" t="s">
        <v>79</v>
      </c>
      <c r="U4126" s="308"/>
      <c r="V4126" s="312"/>
    </row>
    <row r="4127">
      <c r="A4127" s="308">
        <v>4126.0</v>
      </c>
      <c r="B4127" s="308"/>
      <c r="C4127" s="308" t="s">
        <v>16827</v>
      </c>
      <c r="D4127" s="308">
        <f>IFERROR(__xludf.DUMMYFUNCTION("SPLIT(C4127,""-"")"),4147.0)</f>
        <v>4147</v>
      </c>
      <c r="E4127" s="308" t="str">
        <f>IFERROR(__xludf.DUMMYFUNCTION("""COMPUTED_VALUE"""),"S")</f>
        <v>S</v>
      </c>
      <c r="F4127" s="312" t="s">
        <v>39</v>
      </c>
      <c r="G4127" s="308"/>
      <c r="H4127" s="308" t="s">
        <v>16828</v>
      </c>
      <c r="I4127" s="314">
        <v>34262.0</v>
      </c>
      <c r="J4127" s="319">
        <f>IFERROR(__xludf.DUMMYFUNCTION("SPLIT(I4127,""/"")"),20.0)</f>
        <v>20</v>
      </c>
      <c r="K4127" s="308">
        <f>IFERROR(__xludf.DUMMYFUNCTION("""COMPUTED_VALUE"""),10.0)</f>
        <v>10</v>
      </c>
      <c r="L4127" s="308">
        <f>IFERROR(__xludf.DUMMYFUNCTION("""COMPUTED_VALUE"""),1993.0)</f>
        <v>1993</v>
      </c>
      <c r="M4127" s="308" t="s">
        <v>16829</v>
      </c>
      <c r="N4127" s="308"/>
      <c r="O4127" s="308"/>
      <c r="P4127" s="308" t="s">
        <v>37472</v>
      </c>
      <c r="Q4127" s="308" t="s">
        <v>37456</v>
      </c>
      <c r="R4127" s="308" t="s">
        <v>14256</v>
      </c>
      <c r="S4127" s="308" t="s">
        <v>81</v>
      </c>
      <c r="T4127" s="308" t="s">
        <v>75</v>
      </c>
      <c r="U4127" s="308"/>
      <c r="V4127" s="312"/>
    </row>
    <row r="4128">
      <c r="A4128" s="308">
        <v>4127.0</v>
      </c>
      <c r="B4128" s="308"/>
      <c r="C4128" s="308" t="s">
        <v>16831</v>
      </c>
      <c r="D4128" s="308">
        <f>IFERROR(__xludf.DUMMYFUNCTION("SPLIT(C4128,""-"")"),4148.0)</f>
        <v>4148</v>
      </c>
      <c r="E4128" s="308" t="str">
        <f>IFERROR(__xludf.DUMMYFUNCTION("""COMPUTED_VALUE"""),"K")</f>
        <v>K</v>
      </c>
      <c r="F4128" s="309" t="s">
        <v>34</v>
      </c>
      <c r="G4128" s="308"/>
      <c r="H4128" s="308" t="s">
        <v>16832</v>
      </c>
      <c r="I4128" s="314">
        <v>33585.0</v>
      </c>
      <c r="J4128" s="319">
        <f>IFERROR(__xludf.DUMMYFUNCTION("SPLIT(I4128,""/"")"),13.0)</f>
        <v>13</v>
      </c>
      <c r="K4128" s="308">
        <f>IFERROR(__xludf.DUMMYFUNCTION("""COMPUTED_VALUE"""),12.0)</f>
        <v>12</v>
      </c>
      <c r="L4128" s="308">
        <f>IFERROR(__xludf.DUMMYFUNCTION("""COMPUTED_VALUE"""),1991.0)</f>
        <v>1991</v>
      </c>
      <c r="M4128" s="308" t="s">
        <v>16833</v>
      </c>
      <c r="N4128" s="308"/>
      <c r="O4128" s="308"/>
      <c r="P4128" s="308"/>
      <c r="Q4128" s="308" t="s">
        <v>37456</v>
      </c>
      <c r="R4128" s="308" t="s">
        <v>14256</v>
      </c>
      <c r="S4128" s="308" t="s">
        <v>79</v>
      </c>
      <c r="T4128" s="308" t="s">
        <v>79</v>
      </c>
      <c r="U4128" s="308"/>
      <c r="V4128" s="312"/>
    </row>
    <row r="4129">
      <c r="A4129" s="308">
        <v>4128.0</v>
      </c>
      <c r="B4129" s="308"/>
      <c r="C4129" s="308" t="s">
        <v>16834</v>
      </c>
      <c r="D4129" s="308">
        <f>IFERROR(__xludf.DUMMYFUNCTION("SPLIT(C4129,""-"")"),4149.0)</f>
        <v>4149</v>
      </c>
      <c r="E4129" s="308" t="str">
        <f>IFERROR(__xludf.DUMMYFUNCTION("""COMPUTED_VALUE"""),"K")</f>
        <v>K</v>
      </c>
      <c r="F4129" s="309" t="s">
        <v>34</v>
      </c>
      <c r="G4129" s="308"/>
      <c r="H4129" s="308" t="s">
        <v>16835</v>
      </c>
      <c r="I4129" s="310">
        <v>32532.0</v>
      </c>
      <c r="J4129" s="319">
        <f>IFERROR(__xludf.DUMMYFUNCTION("SPLIT(I4129,""/"")"),24.0)</f>
        <v>24</v>
      </c>
      <c r="K4129" s="308">
        <f>IFERROR(__xludf.DUMMYFUNCTION("""COMPUTED_VALUE"""),1.0)</f>
        <v>1</v>
      </c>
      <c r="L4129" s="308">
        <f>IFERROR(__xludf.DUMMYFUNCTION("""COMPUTED_VALUE"""),1989.0)</f>
        <v>1989</v>
      </c>
      <c r="M4129" s="308" t="s">
        <v>16833</v>
      </c>
      <c r="N4129" s="308"/>
      <c r="O4129" s="308"/>
      <c r="P4129" s="308"/>
      <c r="Q4129" s="308" t="s">
        <v>37456</v>
      </c>
      <c r="R4129" s="308" t="s">
        <v>14256</v>
      </c>
      <c r="S4129" s="308" t="s">
        <v>79</v>
      </c>
      <c r="T4129" s="308" t="s">
        <v>79</v>
      </c>
      <c r="U4129" s="308"/>
      <c r="V4129" s="312"/>
    </row>
    <row r="4130">
      <c r="A4130" s="308">
        <v>4129.0</v>
      </c>
      <c r="B4130" s="308"/>
      <c r="C4130" s="308" t="s">
        <v>16836</v>
      </c>
      <c r="D4130" s="308">
        <f>IFERROR(__xludf.DUMMYFUNCTION("SPLIT(C4130,""-"")"),4150.0)</f>
        <v>4150</v>
      </c>
      <c r="E4130" s="308" t="str">
        <f>IFERROR(__xludf.DUMMYFUNCTION("""COMPUTED_VALUE"""),"K")</f>
        <v>K</v>
      </c>
      <c r="F4130" s="309" t="s">
        <v>34</v>
      </c>
      <c r="G4130" s="308"/>
      <c r="H4130" s="308" t="s">
        <v>16837</v>
      </c>
      <c r="I4130" s="310">
        <v>33041.0</v>
      </c>
      <c r="J4130" s="319">
        <f>IFERROR(__xludf.DUMMYFUNCTION("SPLIT(I4130,""/"")"),17.0)</f>
        <v>17</v>
      </c>
      <c r="K4130" s="308">
        <f>IFERROR(__xludf.DUMMYFUNCTION("""COMPUTED_VALUE"""),6.0)</f>
        <v>6</v>
      </c>
      <c r="L4130" s="308">
        <f>IFERROR(__xludf.DUMMYFUNCTION("""COMPUTED_VALUE"""),1990.0)</f>
        <v>1990</v>
      </c>
      <c r="M4130" s="308" t="s">
        <v>16833</v>
      </c>
      <c r="N4130" s="308"/>
      <c r="O4130" s="308"/>
      <c r="P4130" s="308"/>
      <c r="Q4130" s="308" t="s">
        <v>37456</v>
      </c>
      <c r="R4130" s="308" t="s">
        <v>14256</v>
      </c>
      <c r="S4130" s="308" t="s">
        <v>79</v>
      </c>
      <c r="T4130" s="308" t="s">
        <v>79</v>
      </c>
      <c r="U4130" s="308"/>
      <c r="V4130" s="312"/>
    </row>
    <row r="4131">
      <c r="A4131" s="308">
        <v>4130.0</v>
      </c>
      <c r="B4131" s="308"/>
      <c r="C4131" s="308" t="s">
        <v>16838</v>
      </c>
      <c r="D4131" s="308">
        <f>IFERROR(__xludf.DUMMYFUNCTION("SPLIT(C4131,""-"")"),4151.0)</f>
        <v>4151</v>
      </c>
      <c r="E4131" s="308" t="str">
        <f>IFERROR(__xludf.DUMMYFUNCTION("""COMPUTED_VALUE"""),"K")</f>
        <v>K</v>
      </c>
      <c r="F4131" s="309" t="s">
        <v>34</v>
      </c>
      <c r="G4131" s="308"/>
      <c r="H4131" s="308" t="s">
        <v>16839</v>
      </c>
      <c r="I4131" s="310">
        <v>31718.0</v>
      </c>
      <c r="J4131" s="319" t="str">
        <f>IFERROR(__xludf.DUMMYFUNCTION("SPLIT(I4131,""/"")"),"#REF!")</f>
        <v>#REF!</v>
      </c>
      <c r="K4131" s="308"/>
      <c r="L4131" s="308">
        <v>1986.0</v>
      </c>
      <c r="M4131" s="308" t="s">
        <v>16833</v>
      </c>
      <c r="N4131" s="308"/>
      <c r="O4131" s="308"/>
      <c r="P4131" s="308"/>
      <c r="Q4131" s="308" t="s">
        <v>37456</v>
      </c>
      <c r="R4131" s="308" t="s">
        <v>14256</v>
      </c>
      <c r="S4131" s="308" t="s">
        <v>79</v>
      </c>
      <c r="T4131" s="308" t="s">
        <v>79</v>
      </c>
      <c r="U4131" s="308"/>
      <c r="V4131" s="312"/>
    </row>
    <row r="4132">
      <c r="A4132" s="308">
        <v>4131.0</v>
      </c>
      <c r="B4132" s="308"/>
      <c r="C4132" s="308" t="s">
        <v>16840</v>
      </c>
      <c r="D4132" s="308">
        <f>IFERROR(__xludf.DUMMYFUNCTION("SPLIT(C4132,""-"")"),4152.0)</f>
        <v>4152</v>
      </c>
      <c r="E4132" s="308" t="str">
        <f>IFERROR(__xludf.DUMMYFUNCTION("""COMPUTED_VALUE"""),"K")</f>
        <v>K</v>
      </c>
      <c r="F4132" s="309" t="s">
        <v>34</v>
      </c>
      <c r="G4132" s="308"/>
      <c r="H4132" s="308" t="s">
        <v>16841</v>
      </c>
      <c r="I4132" s="310">
        <v>31718.0</v>
      </c>
      <c r="J4132" s="319" t="str">
        <f>IFERROR(__xludf.DUMMYFUNCTION("SPLIT(I4132,""/"")"),"#REF!")</f>
        <v>#REF!</v>
      </c>
      <c r="K4132" s="308"/>
      <c r="L4132" s="308">
        <v>1986.0</v>
      </c>
      <c r="M4132" s="308" t="s">
        <v>16833</v>
      </c>
      <c r="N4132" s="308"/>
      <c r="O4132" s="308"/>
      <c r="P4132" s="308"/>
      <c r="Q4132" s="308" t="s">
        <v>37456</v>
      </c>
      <c r="R4132" s="308" t="s">
        <v>14256</v>
      </c>
      <c r="S4132" s="308" t="s">
        <v>79</v>
      </c>
      <c r="T4132" s="308" t="s">
        <v>79</v>
      </c>
      <c r="U4132" s="308"/>
      <c r="V4132" s="312"/>
    </row>
    <row r="4133">
      <c r="A4133" s="308">
        <v>4132.0</v>
      </c>
      <c r="B4133" s="308"/>
      <c r="C4133" s="308" t="s">
        <v>16842</v>
      </c>
      <c r="D4133" s="308">
        <f>IFERROR(__xludf.DUMMYFUNCTION("SPLIT(C4133,""-"")"),4153.0)</f>
        <v>4153</v>
      </c>
      <c r="E4133" s="308" t="str">
        <f>IFERROR(__xludf.DUMMYFUNCTION("""COMPUTED_VALUE"""),"K")</f>
        <v>K</v>
      </c>
      <c r="F4133" s="309" t="s">
        <v>34</v>
      </c>
      <c r="G4133" s="308"/>
      <c r="H4133" s="308" t="s">
        <v>16843</v>
      </c>
      <c r="I4133" s="310">
        <v>31718.0</v>
      </c>
      <c r="J4133" s="319" t="str">
        <f>IFERROR(__xludf.DUMMYFUNCTION("SPLIT(I4133,""/"")"),"#REF!")</f>
        <v>#REF!</v>
      </c>
      <c r="K4133" s="308"/>
      <c r="L4133" s="308">
        <v>1986.0</v>
      </c>
      <c r="M4133" s="308" t="s">
        <v>16833</v>
      </c>
      <c r="N4133" s="308"/>
      <c r="O4133" s="308"/>
      <c r="P4133" s="308"/>
      <c r="Q4133" s="308" t="s">
        <v>37456</v>
      </c>
      <c r="R4133" s="308" t="s">
        <v>14256</v>
      </c>
      <c r="S4133" s="308" t="s">
        <v>79</v>
      </c>
      <c r="T4133" s="308" t="s">
        <v>79</v>
      </c>
      <c r="U4133" s="308"/>
      <c r="V4133" s="312"/>
    </row>
    <row r="4134">
      <c r="A4134" s="308">
        <v>4133.0</v>
      </c>
      <c r="B4134" s="308"/>
      <c r="C4134" s="308" t="s">
        <v>16844</v>
      </c>
      <c r="D4134" s="308">
        <f>IFERROR(__xludf.DUMMYFUNCTION("SPLIT(C4134,""-"")"),4154.0)</f>
        <v>4154</v>
      </c>
      <c r="E4134" s="308" t="str">
        <f>IFERROR(__xludf.DUMMYFUNCTION("""COMPUTED_VALUE"""),"K")</f>
        <v>K</v>
      </c>
      <c r="F4134" s="309" t="s">
        <v>34</v>
      </c>
      <c r="G4134" s="308"/>
      <c r="H4134" s="308" t="s">
        <v>16845</v>
      </c>
      <c r="I4134" s="310">
        <v>31718.0</v>
      </c>
      <c r="J4134" s="319" t="str">
        <f>IFERROR(__xludf.DUMMYFUNCTION("SPLIT(I4134,""/"")"),"#REF!")</f>
        <v>#REF!</v>
      </c>
      <c r="K4134" s="308"/>
      <c r="L4134" s="308">
        <v>1986.0</v>
      </c>
      <c r="M4134" s="308" t="s">
        <v>16833</v>
      </c>
      <c r="N4134" s="308"/>
      <c r="O4134" s="308"/>
      <c r="P4134" s="308"/>
      <c r="Q4134" s="308" t="s">
        <v>37456</v>
      </c>
      <c r="R4134" s="308" t="s">
        <v>14256</v>
      </c>
      <c r="S4134" s="308" t="s">
        <v>79</v>
      </c>
      <c r="T4134" s="308" t="s">
        <v>79</v>
      </c>
      <c r="U4134" s="308"/>
      <c r="V4134" s="312"/>
    </row>
    <row r="4135">
      <c r="A4135" s="308">
        <v>4134.0</v>
      </c>
      <c r="B4135" s="308"/>
      <c r="C4135" s="308" t="s">
        <v>16846</v>
      </c>
      <c r="D4135" s="308">
        <f>IFERROR(__xludf.DUMMYFUNCTION("SPLIT(C4135,""-"")"),4155.0)</f>
        <v>4155</v>
      </c>
      <c r="E4135" s="308" t="str">
        <f>IFERROR(__xludf.DUMMYFUNCTION("""COMPUTED_VALUE"""),"K")</f>
        <v>K</v>
      </c>
      <c r="F4135" s="309" t="s">
        <v>34</v>
      </c>
      <c r="G4135" s="308"/>
      <c r="H4135" s="308" t="s">
        <v>16847</v>
      </c>
      <c r="I4135" s="310">
        <v>33050.0</v>
      </c>
      <c r="J4135" s="319">
        <f>IFERROR(__xludf.DUMMYFUNCTION("SPLIT(I4135,""/"")"),26.0)</f>
        <v>26</v>
      </c>
      <c r="K4135" s="308">
        <f>IFERROR(__xludf.DUMMYFUNCTION("""COMPUTED_VALUE"""),6.0)</f>
        <v>6</v>
      </c>
      <c r="L4135" s="308">
        <f>IFERROR(__xludf.DUMMYFUNCTION("""COMPUTED_VALUE"""),1990.0)</f>
        <v>1990</v>
      </c>
      <c r="M4135" s="308" t="s">
        <v>16833</v>
      </c>
      <c r="N4135" s="308"/>
      <c r="O4135" s="308"/>
      <c r="P4135" s="308"/>
      <c r="Q4135" s="308" t="s">
        <v>37456</v>
      </c>
      <c r="R4135" s="308" t="s">
        <v>14256</v>
      </c>
      <c r="S4135" s="308" t="s">
        <v>79</v>
      </c>
      <c r="T4135" s="308" t="s">
        <v>79</v>
      </c>
      <c r="U4135" s="308"/>
      <c r="V4135" s="312"/>
    </row>
    <row r="4136">
      <c r="A4136" s="308">
        <v>4135.0</v>
      </c>
      <c r="B4136" s="308"/>
      <c r="C4136" s="308" t="s">
        <v>16848</v>
      </c>
      <c r="D4136" s="308">
        <f>IFERROR(__xludf.DUMMYFUNCTION("SPLIT(C4136,""-"")"),4156.0)</f>
        <v>4156</v>
      </c>
      <c r="E4136" s="308" t="str">
        <f>IFERROR(__xludf.DUMMYFUNCTION("""COMPUTED_VALUE"""),"K")</f>
        <v>K</v>
      </c>
      <c r="F4136" s="309" t="s">
        <v>34</v>
      </c>
      <c r="G4136" s="308"/>
      <c r="H4136" s="308" t="s">
        <v>16849</v>
      </c>
      <c r="I4136" s="314">
        <v>33203.0</v>
      </c>
      <c r="J4136" s="319">
        <f>IFERROR(__xludf.DUMMYFUNCTION("SPLIT(I4136,""/"")"),26.0)</f>
        <v>26</v>
      </c>
      <c r="K4136" s="308">
        <f>IFERROR(__xludf.DUMMYFUNCTION("""COMPUTED_VALUE"""),11.0)</f>
        <v>11</v>
      </c>
      <c r="L4136" s="308">
        <f>IFERROR(__xludf.DUMMYFUNCTION("""COMPUTED_VALUE"""),1990.0)</f>
        <v>1990</v>
      </c>
      <c r="M4136" s="308" t="s">
        <v>16833</v>
      </c>
      <c r="N4136" s="308"/>
      <c r="O4136" s="308"/>
      <c r="P4136" s="308"/>
      <c r="Q4136" s="308" t="s">
        <v>37456</v>
      </c>
      <c r="R4136" s="308" t="s">
        <v>14256</v>
      </c>
      <c r="S4136" s="308" t="s">
        <v>79</v>
      </c>
      <c r="T4136" s="308" t="s">
        <v>79</v>
      </c>
      <c r="U4136" s="308"/>
      <c r="V4136" s="312"/>
    </row>
    <row r="4137">
      <c r="A4137" s="308">
        <v>4136.0</v>
      </c>
      <c r="B4137" s="308"/>
      <c r="C4137" s="308" t="s">
        <v>16850</v>
      </c>
      <c r="D4137" s="308">
        <f>IFERROR(__xludf.DUMMYFUNCTION("SPLIT(C4137,""-"")"),4157.0)</f>
        <v>4157</v>
      </c>
      <c r="E4137" s="308" t="str">
        <f>IFERROR(__xludf.DUMMYFUNCTION("""COMPUTED_VALUE"""),"K")</f>
        <v>K</v>
      </c>
      <c r="F4137" s="309" t="s">
        <v>34</v>
      </c>
      <c r="G4137" s="308"/>
      <c r="H4137" s="308" t="s">
        <v>16851</v>
      </c>
      <c r="I4137" s="310">
        <v>31718.0</v>
      </c>
      <c r="J4137" s="319" t="str">
        <f>IFERROR(__xludf.DUMMYFUNCTION("SPLIT(I4137,""/"")"),"#REF!")</f>
        <v>#REF!</v>
      </c>
      <c r="K4137" s="308"/>
      <c r="L4137" s="308">
        <v>1986.0</v>
      </c>
      <c r="M4137" s="308" t="s">
        <v>16833</v>
      </c>
      <c r="N4137" s="308"/>
      <c r="O4137" s="308"/>
      <c r="P4137" s="308"/>
      <c r="Q4137" s="308" t="s">
        <v>37456</v>
      </c>
      <c r="R4137" s="308" t="s">
        <v>14256</v>
      </c>
      <c r="S4137" s="308" t="s">
        <v>79</v>
      </c>
      <c r="T4137" s="308" t="s">
        <v>79</v>
      </c>
      <c r="U4137" s="308"/>
      <c r="V4137" s="312"/>
    </row>
    <row r="4138">
      <c r="A4138" s="308">
        <v>4137.0</v>
      </c>
      <c r="B4138" s="308"/>
      <c r="C4138" s="308" t="s">
        <v>16852</v>
      </c>
      <c r="D4138" s="308">
        <f>IFERROR(__xludf.DUMMYFUNCTION("SPLIT(C4138,""-"")"),4158.0)</f>
        <v>4158</v>
      </c>
      <c r="E4138" s="308" t="str">
        <f>IFERROR(__xludf.DUMMYFUNCTION("""COMPUTED_VALUE"""),"K")</f>
        <v>K</v>
      </c>
      <c r="F4138" s="309" t="s">
        <v>34</v>
      </c>
      <c r="G4138" s="308"/>
      <c r="H4138" s="308" t="s">
        <v>16853</v>
      </c>
      <c r="I4138" s="310">
        <v>31718.0</v>
      </c>
      <c r="J4138" s="319" t="str">
        <f>IFERROR(__xludf.DUMMYFUNCTION("SPLIT(I4138,""/"")"),"#REF!")</f>
        <v>#REF!</v>
      </c>
      <c r="K4138" s="308"/>
      <c r="L4138" s="308">
        <v>1986.0</v>
      </c>
      <c r="M4138" s="308" t="s">
        <v>16833</v>
      </c>
      <c r="N4138" s="308"/>
      <c r="O4138" s="308"/>
      <c r="P4138" s="308"/>
      <c r="Q4138" s="308" t="s">
        <v>37456</v>
      </c>
      <c r="R4138" s="308" t="s">
        <v>14256</v>
      </c>
      <c r="S4138" s="308" t="s">
        <v>79</v>
      </c>
      <c r="T4138" s="308" t="s">
        <v>79</v>
      </c>
      <c r="U4138" s="308"/>
      <c r="V4138" s="312"/>
    </row>
    <row r="4139">
      <c r="A4139" s="308">
        <v>4138.0</v>
      </c>
      <c r="B4139" s="308"/>
      <c r="C4139" s="308" t="s">
        <v>16854</v>
      </c>
      <c r="D4139" s="308">
        <f>IFERROR(__xludf.DUMMYFUNCTION("SPLIT(C4139,""-"")"),4159.0)</f>
        <v>4159</v>
      </c>
      <c r="E4139" s="308" t="str">
        <f>IFERROR(__xludf.DUMMYFUNCTION("""COMPUTED_VALUE"""),"K")</f>
        <v>K</v>
      </c>
      <c r="F4139" s="309" t="s">
        <v>34</v>
      </c>
      <c r="G4139" s="308"/>
      <c r="H4139" s="308" t="s">
        <v>16855</v>
      </c>
      <c r="I4139" s="310">
        <v>31718.0</v>
      </c>
      <c r="J4139" s="319" t="str">
        <f>IFERROR(__xludf.DUMMYFUNCTION("SPLIT(I4139,""/"")"),"#REF!")</f>
        <v>#REF!</v>
      </c>
      <c r="K4139" s="308"/>
      <c r="L4139" s="308">
        <v>1986.0</v>
      </c>
      <c r="M4139" s="308" t="s">
        <v>16833</v>
      </c>
      <c r="N4139" s="308"/>
      <c r="O4139" s="308"/>
      <c r="P4139" s="308"/>
      <c r="Q4139" s="308" t="s">
        <v>37456</v>
      </c>
      <c r="R4139" s="308" t="s">
        <v>14256</v>
      </c>
      <c r="S4139" s="308" t="s">
        <v>79</v>
      </c>
      <c r="T4139" s="308" t="s">
        <v>79</v>
      </c>
      <c r="U4139" s="308"/>
      <c r="V4139" s="312"/>
    </row>
    <row r="4140">
      <c r="A4140" s="308">
        <v>4139.0</v>
      </c>
      <c r="B4140" s="308"/>
      <c r="C4140" s="308" t="s">
        <v>16856</v>
      </c>
      <c r="D4140" s="308">
        <f>IFERROR(__xludf.DUMMYFUNCTION("SPLIT(C4140,""-"")"),4160.0)</f>
        <v>4160</v>
      </c>
      <c r="E4140" s="308" t="str">
        <f>IFERROR(__xludf.DUMMYFUNCTION("""COMPUTED_VALUE"""),"K")</f>
        <v>K</v>
      </c>
      <c r="F4140" s="309" t="s">
        <v>34</v>
      </c>
      <c r="G4140" s="308"/>
      <c r="H4140" s="308" t="s">
        <v>16857</v>
      </c>
      <c r="I4140" s="310">
        <v>33017.0</v>
      </c>
      <c r="J4140" s="319">
        <f>IFERROR(__xludf.DUMMYFUNCTION("SPLIT(I4140,""/"")"),24.0)</f>
        <v>24</v>
      </c>
      <c r="K4140" s="308">
        <f>IFERROR(__xludf.DUMMYFUNCTION("""COMPUTED_VALUE"""),5.0)</f>
        <v>5</v>
      </c>
      <c r="L4140" s="308">
        <f>IFERROR(__xludf.DUMMYFUNCTION("""COMPUTED_VALUE"""),1990.0)</f>
        <v>1990</v>
      </c>
      <c r="M4140" s="308" t="s">
        <v>16833</v>
      </c>
      <c r="N4140" s="308"/>
      <c r="O4140" s="308"/>
      <c r="P4140" s="308"/>
      <c r="Q4140" s="308" t="s">
        <v>37456</v>
      </c>
      <c r="R4140" s="308" t="s">
        <v>14256</v>
      </c>
      <c r="S4140" s="308" t="s">
        <v>79</v>
      </c>
      <c r="T4140" s="308" t="s">
        <v>79</v>
      </c>
      <c r="U4140" s="308"/>
      <c r="V4140" s="312"/>
    </row>
    <row r="4141">
      <c r="A4141" s="308">
        <v>4140.0</v>
      </c>
      <c r="B4141" s="308"/>
      <c r="C4141" s="308" t="s">
        <v>16858</v>
      </c>
      <c r="D4141" s="308">
        <f>IFERROR(__xludf.DUMMYFUNCTION("SPLIT(C4141,""-"")"),4161.0)</f>
        <v>4161</v>
      </c>
      <c r="E4141" s="308" t="str">
        <f>IFERROR(__xludf.DUMMYFUNCTION("""COMPUTED_VALUE"""),"K")</f>
        <v>K</v>
      </c>
      <c r="F4141" s="309" t="s">
        <v>34</v>
      </c>
      <c r="G4141" s="308"/>
      <c r="H4141" s="308" t="s">
        <v>16859</v>
      </c>
      <c r="I4141" s="310">
        <v>34720.0</v>
      </c>
      <c r="J4141" s="319">
        <f>IFERROR(__xludf.DUMMYFUNCTION("SPLIT(I4141,""/"")"),21.0)</f>
        <v>21</v>
      </c>
      <c r="K4141" s="308">
        <f>IFERROR(__xludf.DUMMYFUNCTION("""COMPUTED_VALUE"""),1.0)</f>
        <v>1</v>
      </c>
      <c r="L4141" s="308">
        <f>IFERROR(__xludf.DUMMYFUNCTION("""COMPUTED_VALUE"""),1995.0)</f>
        <v>1995</v>
      </c>
      <c r="M4141" s="308" t="s">
        <v>16860</v>
      </c>
      <c r="N4141" s="308"/>
      <c r="O4141" s="308"/>
      <c r="P4141" s="308"/>
      <c r="Q4141" s="308" t="s">
        <v>37456</v>
      </c>
      <c r="R4141" s="308" t="s">
        <v>14256</v>
      </c>
      <c r="S4141" s="308" t="s">
        <v>79</v>
      </c>
      <c r="T4141" s="308" t="s">
        <v>79</v>
      </c>
      <c r="U4141" s="308"/>
      <c r="V4141" s="312"/>
    </row>
    <row r="4142">
      <c r="A4142" s="308">
        <v>4141.0</v>
      </c>
      <c r="B4142" s="308"/>
      <c r="C4142" s="308" t="s">
        <v>16861</v>
      </c>
      <c r="D4142" s="308">
        <f>IFERROR(__xludf.DUMMYFUNCTION("SPLIT(C4142,""-"")"),4162.0)</f>
        <v>4162</v>
      </c>
      <c r="E4142" s="308" t="str">
        <f>IFERROR(__xludf.DUMMYFUNCTION("""COMPUTED_VALUE"""),"B")</f>
        <v>B</v>
      </c>
      <c r="F4142" s="315" t="s">
        <v>26</v>
      </c>
      <c r="G4142" s="308"/>
      <c r="H4142" s="308" t="s">
        <v>16862</v>
      </c>
      <c r="I4142" s="314">
        <v>31346.0</v>
      </c>
      <c r="J4142" s="319">
        <f>IFERROR(__xludf.DUMMYFUNCTION("SPLIT(I4142,""/"")"),26.0)</f>
        <v>26</v>
      </c>
      <c r="K4142" s="308">
        <f>IFERROR(__xludf.DUMMYFUNCTION("""COMPUTED_VALUE"""),10.0)</f>
        <v>10</v>
      </c>
      <c r="L4142" s="308">
        <f>IFERROR(__xludf.DUMMYFUNCTION("""COMPUTED_VALUE"""),1985.0)</f>
        <v>1985</v>
      </c>
      <c r="M4142" s="308"/>
      <c r="N4142" s="308"/>
      <c r="O4142" s="308"/>
      <c r="P4142" s="308"/>
      <c r="Q4142" s="308" t="s">
        <v>37456</v>
      </c>
      <c r="R4142" s="308" t="s">
        <v>14256</v>
      </c>
      <c r="S4142" s="308" t="s">
        <v>79</v>
      </c>
      <c r="T4142" s="308" t="s">
        <v>79</v>
      </c>
      <c r="U4142" s="308"/>
      <c r="V4142" s="312"/>
    </row>
    <row r="4143">
      <c r="A4143" s="308">
        <v>4142.0</v>
      </c>
      <c r="B4143" s="308"/>
      <c r="C4143" s="308" t="s">
        <v>16863</v>
      </c>
      <c r="D4143" s="308">
        <f>IFERROR(__xludf.DUMMYFUNCTION("SPLIT(C4143,""-"")"),4163.0)</f>
        <v>4163</v>
      </c>
      <c r="E4143" s="308" t="str">
        <f>IFERROR(__xludf.DUMMYFUNCTION("""COMPUTED_VALUE"""),"B")</f>
        <v>B</v>
      </c>
      <c r="F4143" s="315" t="s">
        <v>26</v>
      </c>
      <c r="G4143" s="308"/>
      <c r="H4143" s="308" t="s">
        <v>16864</v>
      </c>
      <c r="I4143" s="314">
        <v>31346.0</v>
      </c>
      <c r="J4143" s="319">
        <f>IFERROR(__xludf.DUMMYFUNCTION("SPLIT(I4143,""/"")"),26.0)</f>
        <v>26</v>
      </c>
      <c r="K4143" s="308">
        <f>IFERROR(__xludf.DUMMYFUNCTION("""COMPUTED_VALUE"""),10.0)</f>
        <v>10</v>
      </c>
      <c r="L4143" s="308">
        <f>IFERROR(__xludf.DUMMYFUNCTION("""COMPUTED_VALUE"""),1985.0)</f>
        <v>1985</v>
      </c>
      <c r="M4143" s="308"/>
      <c r="N4143" s="308"/>
      <c r="O4143" s="308"/>
      <c r="P4143" s="308"/>
      <c r="Q4143" s="308" t="s">
        <v>37456</v>
      </c>
      <c r="R4143" s="308" t="s">
        <v>14256</v>
      </c>
      <c r="S4143" s="308" t="s">
        <v>79</v>
      </c>
      <c r="T4143" s="308" t="s">
        <v>79</v>
      </c>
      <c r="U4143" s="308"/>
      <c r="V4143" s="312"/>
    </row>
    <row r="4144">
      <c r="A4144" s="308">
        <v>4143.0</v>
      </c>
      <c r="B4144" s="308"/>
      <c r="C4144" s="308" t="s">
        <v>16865</v>
      </c>
      <c r="D4144" s="308">
        <f>IFERROR(__xludf.DUMMYFUNCTION("SPLIT(C4144,""-"")"),4164.0)</f>
        <v>4164</v>
      </c>
      <c r="E4144" s="308" t="str">
        <f>IFERROR(__xludf.DUMMYFUNCTION("""COMPUTED_VALUE"""),"B")</f>
        <v>B</v>
      </c>
      <c r="F4144" s="315" t="s">
        <v>26</v>
      </c>
      <c r="G4144" s="308"/>
      <c r="H4144" s="308" t="s">
        <v>16866</v>
      </c>
      <c r="I4144" s="314">
        <v>31407.0</v>
      </c>
      <c r="J4144" s="319">
        <f>IFERROR(__xludf.DUMMYFUNCTION("SPLIT(I4144,""/"")"),26.0)</f>
        <v>26</v>
      </c>
      <c r="K4144" s="308">
        <f>IFERROR(__xludf.DUMMYFUNCTION("""COMPUTED_VALUE"""),12.0)</f>
        <v>12</v>
      </c>
      <c r="L4144" s="308">
        <f>IFERROR(__xludf.DUMMYFUNCTION("""COMPUTED_VALUE"""),1985.0)</f>
        <v>1985</v>
      </c>
      <c r="M4144" s="308"/>
      <c r="N4144" s="308"/>
      <c r="O4144" s="308"/>
      <c r="P4144" s="308"/>
      <c r="Q4144" s="308" t="s">
        <v>37456</v>
      </c>
      <c r="R4144" s="308" t="s">
        <v>14256</v>
      </c>
      <c r="S4144" s="308" t="s">
        <v>79</v>
      </c>
      <c r="T4144" s="308" t="s">
        <v>79</v>
      </c>
      <c r="U4144" s="308"/>
      <c r="V4144" s="312"/>
    </row>
    <row r="4145">
      <c r="A4145" s="308">
        <v>4144.0</v>
      </c>
      <c r="B4145" s="308"/>
      <c r="C4145" s="308" t="s">
        <v>16867</v>
      </c>
      <c r="D4145" s="308">
        <f>IFERROR(__xludf.DUMMYFUNCTION("SPLIT(C4145,""-"")"),4165.0)</f>
        <v>4165</v>
      </c>
      <c r="E4145" s="308" t="str">
        <f>IFERROR(__xludf.DUMMYFUNCTION("""COMPUTED_VALUE"""),"S")</f>
        <v>S</v>
      </c>
      <c r="F4145" s="312" t="s">
        <v>39</v>
      </c>
      <c r="G4145" s="308"/>
      <c r="H4145" s="308" t="s">
        <v>16868</v>
      </c>
      <c r="I4145" s="310">
        <v>34871.0</v>
      </c>
      <c r="J4145" s="319">
        <f>IFERROR(__xludf.DUMMYFUNCTION("SPLIT(I4145,""/"")"),21.0)</f>
        <v>21</v>
      </c>
      <c r="K4145" s="308">
        <f>IFERROR(__xludf.DUMMYFUNCTION("""COMPUTED_VALUE"""),6.0)</f>
        <v>6</v>
      </c>
      <c r="L4145" s="308">
        <f>IFERROR(__xludf.DUMMYFUNCTION("""COMPUTED_VALUE"""),1995.0)</f>
        <v>1995</v>
      </c>
      <c r="M4145" s="308" t="s">
        <v>16869</v>
      </c>
      <c r="N4145" s="308"/>
      <c r="O4145" s="308"/>
      <c r="P4145" s="308" t="s">
        <v>37473</v>
      </c>
      <c r="Q4145" s="308" t="s">
        <v>37456</v>
      </c>
      <c r="R4145" s="308" t="s">
        <v>14256</v>
      </c>
      <c r="S4145" s="308" t="s">
        <v>49</v>
      </c>
      <c r="T4145" s="308" t="s">
        <v>53</v>
      </c>
      <c r="U4145" s="308"/>
      <c r="V4145" s="312"/>
    </row>
    <row r="4146">
      <c r="A4146" s="308">
        <v>4145.0</v>
      </c>
      <c r="B4146" s="308"/>
      <c r="C4146" s="308" t="s">
        <v>16871</v>
      </c>
      <c r="D4146" s="308">
        <f>IFERROR(__xludf.DUMMYFUNCTION("SPLIT(C4146,""-"")"),4166.0)</f>
        <v>4166</v>
      </c>
      <c r="E4146" s="308" t="str">
        <f>IFERROR(__xludf.DUMMYFUNCTION("""COMPUTED_VALUE"""),"S")</f>
        <v>S</v>
      </c>
      <c r="F4146" s="312" t="s">
        <v>39</v>
      </c>
      <c r="G4146" s="308"/>
      <c r="H4146" s="308" t="s">
        <v>16872</v>
      </c>
      <c r="I4146" s="310">
        <v>34870.0</v>
      </c>
      <c r="J4146" s="319">
        <f>IFERROR(__xludf.DUMMYFUNCTION("SPLIT(I4146,""/"")"),20.0)</f>
        <v>20</v>
      </c>
      <c r="K4146" s="308">
        <f>IFERROR(__xludf.DUMMYFUNCTION("""COMPUTED_VALUE"""),6.0)</f>
        <v>6</v>
      </c>
      <c r="L4146" s="308">
        <f>IFERROR(__xludf.DUMMYFUNCTION("""COMPUTED_VALUE"""),1995.0)</f>
        <v>1995</v>
      </c>
      <c r="M4146" s="308" t="s">
        <v>16873</v>
      </c>
      <c r="N4146" s="308"/>
      <c r="O4146" s="308"/>
      <c r="P4146" s="308"/>
      <c r="Q4146" s="308" t="s">
        <v>37456</v>
      </c>
      <c r="R4146" s="308" t="s">
        <v>14256</v>
      </c>
      <c r="S4146" s="308" t="s">
        <v>79</v>
      </c>
      <c r="T4146" s="308" t="s">
        <v>79</v>
      </c>
      <c r="U4146" s="308"/>
      <c r="V4146" s="312"/>
    </row>
    <row r="4147">
      <c r="A4147" s="308">
        <v>4146.0</v>
      </c>
      <c r="B4147" s="308"/>
      <c r="C4147" s="308" t="s">
        <v>16874</v>
      </c>
      <c r="D4147" s="308">
        <f>IFERROR(__xludf.DUMMYFUNCTION("SPLIT(C4147,""-"")"),4167.0)</f>
        <v>4167</v>
      </c>
      <c r="E4147" s="308" t="str">
        <f>IFERROR(__xludf.DUMMYFUNCTION("""COMPUTED_VALUE"""),"S")</f>
        <v>S</v>
      </c>
      <c r="F4147" s="312" t="s">
        <v>39</v>
      </c>
      <c r="G4147" s="308"/>
      <c r="H4147" s="308" t="s">
        <v>16875</v>
      </c>
      <c r="I4147" s="310">
        <v>34870.0</v>
      </c>
      <c r="J4147" s="319">
        <f>IFERROR(__xludf.DUMMYFUNCTION("SPLIT(I4147,""/"")"),20.0)</f>
        <v>20</v>
      </c>
      <c r="K4147" s="308">
        <f>IFERROR(__xludf.DUMMYFUNCTION("""COMPUTED_VALUE"""),6.0)</f>
        <v>6</v>
      </c>
      <c r="L4147" s="308">
        <f>IFERROR(__xludf.DUMMYFUNCTION("""COMPUTED_VALUE"""),1995.0)</f>
        <v>1995</v>
      </c>
      <c r="M4147" s="308" t="s">
        <v>16876</v>
      </c>
      <c r="N4147" s="308"/>
      <c r="O4147" s="308"/>
      <c r="P4147" s="308"/>
      <c r="Q4147" s="308" t="s">
        <v>37456</v>
      </c>
      <c r="R4147" s="308" t="s">
        <v>14256</v>
      </c>
      <c r="S4147" s="308" t="s">
        <v>79</v>
      </c>
      <c r="T4147" s="308" t="s">
        <v>79</v>
      </c>
      <c r="U4147" s="308"/>
      <c r="V4147" s="312"/>
    </row>
    <row r="4148">
      <c r="A4148" s="308">
        <v>4147.0</v>
      </c>
      <c r="B4148" s="308"/>
      <c r="C4148" s="308" t="s">
        <v>16877</v>
      </c>
      <c r="D4148" s="308">
        <f>IFERROR(__xludf.DUMMYFUNCTION("SPLIT(C4148,""-"")"),4168.0)</f>
        <v>4168</v>
      </c>
      <c r="E4148" s="308" t="str">
        <f>IFERROR(__xludf.DUMMYFUNCTION("""COMPUTED_VALUE"""),"S")</f>
        <v>S</v>
      </c>
      <c r="F4148" s="312" t="s">
        <v>39</v>
      </c>
      <c r="G4148" s="308"/>
      <c r="H4148" s="308" t="s">
        <v>16878</v>
      </c>
      <c r="I4148" s="310">
        <v>34871.0</v>
      </c>
      <c r="J4148" s="319">
        <f>IFERROR(__xludf.DUMMYFUNCTION("SPLIT(I4148,""/"")"),21.0)</f>
        <v>21</v>
      </c>
      <c r="K4148" s="308">
        <f>IFERROR(__xludf.DUMMYFUNCTION("""COMPUTED_VALUE"""),6.0)</f>
        <v>6</v>
      </c>
      <c r="L4148" s="308">
        <f>IFERROR(__xludf.DUMMYFUNCTION("""COMPUTED_VALUE"""),1995.0)</f>
        <v>1995</v>
      </c>
      <c r="M4148" s="308" t="s">
        <v>16869</v>
      </c>
      <c r="N4148" s="308"/>
      <c r="O4148" s="308"/>
      <c r="P4148" s="308"/>
      <c r="Q4148" s="308" t="s">
        <v>37456</v>
      </c>
      <c r="R4148" s="308" t="s">
        <v>14256</v>
      </c>
      <c r="S4148" s="308" t="s">
        <v>79</v>
      </c>
      <c r="T4148" s="308" t="s">
        <v>79</v>
      </c>
      <c r="U4148" s="308"/>
      <c r="V4148" s="312"/>
    </row>
    <row r="4149">
      <c r="A4149" s="308">
        <v>4148.0</v>
      </c>
      <c r="B4149" s="308"/>
      <c r="C4149" s="308" t="s">
        <v>16879</v>
      </c>
      <c r="D4149" s="308">
        <f>IFERROR(__xludf.DUMMYFUNCTION("SPLIT(C4149,""-"")"),4169.0)</f>
        <v>4169</v>
      </c>
      <c r="E4149" s="308" t="str">
        <f>IFERROR(__xludf.DUMMYFUNCTION("""COMPUTED_VALUE"""),"S")</f>
        <v>S</v>
      </c>
      <c r="F4149" s="312" t="s">
        <v>39</v>
      </c>
      <c r="G4149" s="308"/>
      <c r="H4149" s="308" t="s">
        <v>16880</v>
      </c>
      <c r="I4149" s="310">
        <v>34871.0</v>
      </c>
      <c r="J4149" s="319">
        <f>IFERROR(__xludf.DUMMYFUNCTION("SPLIT(I4149,""/"")"),21.0)</f>
        <v>21</v>
      </c>
      <c r="K4149" s="308">
        <f>IFERROR(__xludf.DUMMYFUNCTION("""COMPUTED_VALUE"""),6.0)</f>
        <v>6</v>
      </c>
      <c r="L4149" s="308">
        <f>IFERROR(__xludf.DUMMYFUNCTION("""COMPUTED_VALUE"""),1995.0)</f>
        <v>1995</v>
      </c>
      <c r="M4149" s="308" t="s">
        <v>16869</v>
      </c>
      <c r="N4149" s="308"/>
      <c r="O4149" s="308"/>
      <c r="P4149" s="308"/>
      <c r="Q4149" s="308" t="s">
        <v>37456</v>
      </c>
      <c r="R4149" s="308" t="s">
        <v>14256</v>
      </c>
      <c r="S4149" s="308" t="s">
        <v>79</v>
      </c>
      <c r="T4149" s="308" t="s">
        <v>79</v>
      </c>
      <c r="U4149" s="308"/>
      <c r="V4149" s="312"/>
    </row>
    <row r="4150">
      <c r="A4150" s="308">
        <v>4149.0</v>
      </c>
      <c r="B4150" s="308"/>
      <c r="C4150" s="308" t="s">
        <v>16881</v>
      </c>
      <c r="D4150" s="308">
        <f>IFERROR(__xludf.DUMMYFUNCTION("SPLIT(C4150,""-"")"),4170.0)</f>
        <v>4170</v>
      </c>
      <c r="E4150" s="308" t="str">
        <f>IFERROR(__xludf.DUMMYFUNCTION("""COMPUTED_VALUE"""),"S")</f>
        <v>S</v>
      </c>
      <c r="F4150" s="312" t="s">
        <v>39</v>
      </c>
      <c r="G4150" s="308"/>
      <c r="H4150" s="308" t="s">
        <v>16882</v>
      </c>
      <c r="I4150" s="310">
        <v>34863.0</v>
      </c>
      <c r="J4150" s="319">
        <f>IFERROR(__xludf.DUMMYFUNCTION("SPLIT(I4150,""/"")"),13.0)</f>
        <v>13</v>
      </c>
      <c r="K4150" s="308">
        <f>IFERROR(__xludf.DUMMYFUNCTION("""COMPUTED_VALUE"""),6.0)</f>
        <v>6</v>
      </c>
      <c r="L4150" s="308">
        <f>IFERROR(__xludf.DUMMYFUNCTION("""COMPUTED_VALUE"""),1995.0)</f>
        <v>1995</v>
      </c>
      <c r="M4150" s="308" t="s">
        <v>16883</v>
      </c>
      <c r="N4150" s="308"/>
      <c r="O4150" s="308"/>
      <c r="P4150" s="308" t="s">
        <v>37474</v>
      </c>
      <c r="Q4150" s="308" t="s">
        <v>37456</v>
      </c>
      <c r="R4150" s="308" t="s">
        <v>14256</v>
      </c>
      <c r="S4150" s="308" t="s">
        <v>49</v>
      </c>
      <c r="T4150" s="311" t="s">
        <v>67</v>
      </c>
      <c r="U4150" s="308"/>
      <c r="V4150" s="312"/>
    </row>
    <row r="4151">
      <c r="A4151" s="308">
        <v>4150.0</v>
      </c>
      <c r="B4151" s="308"/>
      <c r="C4151" s="308" t="s">
        <v>16885</v>
      </c>
      <c r="D4151" s="308">
        <f>IFERROR(__xludf.DUMMYFUNCTION("SPLIT(C4151,""-"")"),4171.0)</f>
        <v>4171</v>
      </c>
      <c r="E4151" s="308" t="str">
        <f>IFERROR(__xludf.DUMMYFUNCTION("""COMPUTED_VALUE"""),"S")</f>
        <v>S</v>
      </c>
      <c r="F4151" s="312" t="s">
        <v>39</v>
      </c>
      <c r="G4151" s="308"/>
      <c r="H4151" s="308" t="s">
        <v>16886</v>
      </c>
      <c r="I4151" s="310">
        <v>34858.0</v>
      </c>
      <c r="J4151" s="319">
        <f>IFERROR(__xludf.DUMMYFUNCTION("SPLIT(I4151,""/"")"),8.0)</f>
        <v>8</v>
      </c>
      <c r="K4151" s="308">
        <f>IFERROR(__xludf.DUMMYFUNCTION("""COMPUTED_VALUE"""),6.0)</f>
        <v>6</v>
      </c>
      <c r="L4151" s="308">
        <f>IFERROR(__xludf.DUMMYFUNCTION("""COMPUTED_VALUE"""),1995.0)</f>
        <v>1995</v>
      </c>
      <c r="M4151" s="308" t="s">
        <v>16887</v>
      </c>
      <c r="N4151" s="308"/>
      <c r="O4151" s="308"/>
      <c r="P4151" s="308" t="s">
        <v>37475</v>
      </c>
      <c r="Q4151" s="308" t="s">
        <v>37456</v>
      </c>
      <c r="R4151" s="308" t="s">
        <v>14256</v>
      </c>
      <c r="S4151" s="308" t="s">
        <v>49</v>
      </c>
      <c r="T4151" s="311" t="s">
        <v>67</v>
      </c>
      <c r="U4151" s="308" t="s">
        <v>166</v>
      </c>
      <c r="V4151" s="312"/>
    </row>
    <row r="4152">
      <c r="A4152" s="308">
        <v>4151.0</v>
      </c>
      <c r="B4152" s="308"/>
      <c r="C4152" s="308" t="s">
        <v>16889</v>
      </c>
      <c r="D4152" s="308">
        <f>IFERROR(__xludf.DUMMYFUNCTION("SPLIT(C4152,""-"")"),4172.0)</f>
        <v>4172</v>
      </c>
      <c r="E4152" s="308" t="str">
        <f>IFERROR(__xludf.DUMMYFUNCTION("""COMPUTED_VALUE"""),"S")</f>
        <v>S</v>
      </c>
      <c r="F4152" s="312" t="s">
        <v>39</v>
      </c>
      <c r="G4152" s="308"/>
      <c r="H4152" s="308" t="s">
        <v>37476</v>
      </c>
      <c r="I4152" s="322"/>
      <c r="J4152" s="319"/>
      <c r="K4152" s="308"/>
      <c r="L4152" s="311" t="s">
        <v>79</v>
      </c>
      <c r="M4152" s="308" t="s">
        <v>16891</v>
      </c>
      <c r="N4152" s="308"/>
      <c r="O4152" s="308"/>
      <c r="P4152" s="312" t="s">
        <v>16892</v>
      </c>
      <c r="Q4152" s="308" t="s">
        <v>37456</v>
      </c>
      <c r="R4152" s="308" t="s">
        <v>14256</v>
      </c>
      <c r="S4152" s="308" t="s">
        <v>49</v>
      </c>
      <c r="T4152" s="308" t="s">
        <v>67</v>
      </c>
      <c r="U4152" s="308"/>
      <c r="V4152" s="312"/>
    </row>
    <row r="4153">
      <c r="A4153" s="308">
        <v>4152.0</v>
      </c>
      <c r="B4153" s="308"/>
      <c r="C4153" s="308" t="s">
        <v>16893</v>
      </c>
      <c r="D4153" s="308">
        <f>IFERROR(__xludf.DUMMYFUNCTION("SPLIT(C4153,""-"")"),4173.0)</f>
        <v>4173</v>
      </c>
      <c r="E4153" s="308" t="str">
        <f>IFERROR(__xludf.DUMMYFUNCTION("""COMPUTED_VALUE"""),"S")</f>
        <v>S</v>
      </c>
      <c r="F4153" s="312" t="s">
        <v>39</v>
      </c>
      <c r="G4153" s="308"/>
      <c r="H4153" s="308" t="s">
        <v>37477</v>
      </c>
      <c r="I4153" s="310">
        <v>34856.0</v>
      </c>
      <c r="J4153" s="319">
        <f>IFERROR(__xludf.DUMMYFUNCTION("SPLIT(I4153,""/"")"),6.0)</f>
        <v>6</v>
      </c>
      <c r="K4153" s="308">
        <f>IFERROR(__xludf.DUMMYFUNCTION("""COMPUTED_VALUE"""),6.0)</f>
        <v>6</v>
      </c>
      <c r="L4153" s="308">
        <f>IFERROR(__xludf.DUMMYFUNCTION("""COMPUTED_VALUE"""),1995.0)</f>
        <v>1995</v>
      </c>
      <c r="M4153" s="308" t="s">
        <v>16895</v>
      </c>
      <c r="N4153" s="308"/>
      <c r="O4153" s="308"/>
      <c r="P4153" s="308"/>
      <c r="Q4153" s="308" t="s">
        <v>37456</v>
      </c>
      <c r="R4153" s="308" t="s">
        <v>14256</v>
      </c>
      <c r="S4153" s="308" t="s">
        <v>79</v>
      </c>
      <c r="T4153" s="308" t="s">
        <v>79</v>
      </c>
      <c r="U4153" s="308"/>
      <c r="V4153" s="312"/>
    </row>
    <row r="4154">
      <c r="A4154" s="308">
        <v>4153.0</v>
      </c>
      <c r="B4154" s="308"/>
      <c r="C4154" s="308" t="s">
        <v>16896</v>
      </c>
      <c r="D4154" s="308">
        <f>IFERROR(__xludf.DUMMYFUNCTION("SPLIT(C4154,""-"")"),4174.0)</f>
        <v>4174</v>
      </c>
      <c r="E4154" s="308" t="str">
        <f>IFERROR(__xludf.DUMMYFUNCTION("""COMPUTED_VALUE"""),"S")</f>
        <v>S</v>
      </c>
      <c r="F4154" s="312" t="s">
        <v>39</v>
      </c>
      <c r="G4154" s="308"/>
      <c r="H4154" s="308" t="s">
        <v>16897</v>
      </c>
      <c r="I4154" s="310">
        <v>34837.0</v>
      </c>
      <c r="J4154" s="319">
        <f>IFERROR(__xludf.DUMMYFUNCTION("SPLIT(I4154,""/"")"),18.0)</f>
        <v>18</v>
      </c>
      <c r="K4154" s="308">
        <f>IFERROR(__xludf.DUMMYFUNCTION("""COMPUTED_VALUE"""),5.0)</f>
        <v>5</v>
      </c>
      <c r="L4154" s="308">
        <f>IFERROR(__xludf.DUMMYFUNCTION("""COMPUTED_VALUE"""),1995.0)</f>
        <v>1995</v>
      </c>
      <c r="M4154" s="308" t="s">
        <v>16898</v>
      </c>
      <c r="N4154" s="308"/>
      <c r="O4154" s="308"/>
      <c r="P4154" s="308"/>
      <c r="Q4154" s="308" t="s">
        <v>37456</v>
      </c>
      <c r="R4154" s="308" t="s">
        <v>14256</v>
      </c>
      <c r="S4154" s="308" t="s">
        <v>79</v>
      </c>
      <c r="T4154" s="308" t="s">
        <v>79</v>
      </c>
      <c r="U4154" s="308"/>
      <c r="V4154" s="312"/>
    </row>
    <row r="4155">
      <c r="A4155" s="308">
        <v>4154.0</v>
      </c>
      <c r="B4155" s="308"/>
      <c r="C4155" s="308" t="s">
        <v>16899</v>
      </c>
      <c r="D4155" s="308">
        <f>IFERROR(__xludf.DUMMYFUNCTION("SPLIT(C4155,""-"")"),4175.0)</f>
        <v>4175</v>
      </c>
      <c r="E4155" s="308" t="str">
        <f>IFERROR(__xludf.DUMMYFUNCTION("""COMPUTED_VALUE"""),"S")</f>
        <v>S</v>
      </c>
      <c r="F4155" s="312" t="s">
        <v>39</v>
      </c>
      <c r="G4155" s="308"/>
      <c r="H4155" s="308" t="s">
        <v>16900</v>
      </c>
      <c r="I4155" s="310">
        <v>34837.0</v>
      </c>
      <c r="J4155" s="319">
        <f>IFERROR(__xludf.DUMMYFUNCTION("SPLIT(I4155,""/"")"),18.0)</f>
        <v>18</v>
      </c>
      <c r="K4155" s="308">
        <f>IFERROR(__xludf.DUMMYFUNCTION("""COMPUTED_VALUE"""),5.0)</f>
        <v>5</v>
      </c>
      <c r="L4155" s="308">
        <f>IFERROR(__xludf.DUMMYFUNCTION("""COMPUTED_VALUE"""),1995.0)</f>
        <v>1995</v>
      </c>
      <c r="M4155" s="308" t="s">
        <v>16891</v>
      </c>
      <c r="N4155" s="308"/>
      <c r="O4155" s="308"/>
      <c r="P4155" s="308"/>
      <c r="Q4155" s="308" t="s">
        <v>37456</v>
      </c>
      <c r="R4155" s="308" t="s">
        <v>14256</v>
      </c>
      <c r="S4155" s="308" t="s">
        <v>79</v>
      </c>
      <c r="T4155" s="308" t="s">
        <v>79</v>
      </c>
      <c r="U4155" s="308"/>
      <c r="V4155" s="312"/>
    </row>
    <row r="4156">
      <c r="A4156" s="308">
        <v>4155.0</v>
      </c>
      <c r="B4156" s="308"/>
      <c r="C4156" s="308" t="s">
        <v>16901</v>
      </c>
      <c r="D4156" s="308">
        <f>IFERROR(__xludf.DUMMYFUNCTION("SPLIT(C4156,""-"")"),4176.0)</f>
        <v>4176</v>
      </c>
      <c r="E4156" s="308" t="str">
        <f>IFERROR(__xludf.DUMMYFUNCTION("""COMPUTED_VALUE"""),"S")</f>
        <v>S</v>
      </c>
      <c r="F4156" s="312" t="s">
        <v>39</v>
      </c>
      <c r="G4156" s="308"/>
      <c r="H4156" s="308" t="s">
        <v>16902</v>
      </c>
      <c r="I4156" s="310">
        <v>37058.0</v>
      </c>
      <c r="J4156" s="319">
        <f>IFERROR(__xludf.DUMMYFUNCTION("SPLIT(I4156,""/"")"),16.0)</f>
        <v>16</v>
      </c>
      <c r="K4156" s="308">
        <f>IFERROR(__xludf.DUMMYFUNCTION("""COMPUTED_VALUE"""),6.0)</f>
        <v>6</v>
      </c>
      <c r="L4156" s="308">
        <f>IFERROR(__xludf.DUMMYFUNCTION("""COMPUTED_VALUE"""),2001.0)</f>
        <v>2001</v>
      </c>
      <c r="M4156" s="308" t="s">
        <v>16903</v>
      </c>
      <c r="N4156" s="308"/>
      <c r="O4156" s="308"/>
      <c r="P4156" s="308"/>
      <c r="Q4156" s="308" t="s">
        <v>37456</v>
      </c>
      <c r="R4156" s="308" t="s">
        <v>14256</v>
      </c>
      <c r="S4156" s="308" t="s">
        <v>79</v>
      </c>
      <c r="T4156" s="308" t="s">
        <v>79</v>
      </c>
      <c r="U4156" s="308"/>
      <c r="V4156" s="312"/>
    </row>
    <row r="4157">
      <c r="A4157" s="308">
        <v>4156.0</v>
      </c>
      <c r="B4157" s="308"/>
      <c r="C4157" s="308" t="s">
        <v>16904</v>
      </c>
      <c r="D4157" s="308">
        <f>IFERROR(__xludf.DUMMYFUNCTION("SPLIT(C4157,""-"")"),4177.0)</f>
        <v>4177</v>
      </c>
      <c r="E4157" s="308" t="str">
        <f>IFERROR(__xludf.DUMMYFUNCTION("""COMPUTED_VALUE"""),"S")</f>
        <v>S</v>
      </c>
      <c r="F4157" s="312" t="s">
        <v>39</v>
      </c>
      <c r="G4157" s="308"/>
      <c r="H4157" s="308" t="s">
        <v>16905</v>
      </c>
      <c r="I4157" s="310">
        <v>36539.0</v>
      </c>
      <c r="J4157" s="319">
        <f>IFERROR(__xludf.DUMMYFUNCTION("SPLIT(I4157,""/"")"),14.0)</f>
        <v>14</v>
      </c>
      <c r="K4157" s="308">
        <f>IFERROR(__xludf.DUMMYFUNCTION("""COMPUTED_VALUE"""),1.0)</f>
        <v>1</v>
      </c>
      <c r="L4157" s="308">
        <f>IFERROR(__xludf.DUMMYFUNCTION("""COMPUTED_VALUE"""),2000.0)</f>
        <v>2000</v>
      </c>
      <c r="M4157" s="308"/>
      <c r="N4157" s="308"/>
      <c r="O4157" s="308"/>
      <c r="P4157" s="308" t="s">
        <v>16906</v>
      </c>
      <c r="Q4157" s="308" t="s">
        <v>37456</v>
      </c>
      <c r="R4157" s="308" t="s">
        <v>14256</v>
      </c>
      <c r="S4157" s="308" t="s">
        <v>81</v>
      </c>
      <c r="T4157" s="308" t="s">
        <v>75</v>
      </c>
      <c r="U4157" s="308"/>
      <c r="V4157" s="312"/>
    </row>
    <row r="4158">
      <c r="A4158" s="308">
        <v>4157.0</v>
      </c>
      <c r="B4158" s="308"/>
      <c r="C4158" s="308" t="s">
        <v>16907</v>
      </c>
      <c r="D4158" s="308">
        <f>IFERROR(__xludf.DUMMYFUNCTION("SPLIT(C4158,""-"")"),4178.0)</f>
        <v>4178</v>
      </c>
      <c r="E4158" s="308" t="str">
        <f>IFERROR(__xludf.DUMMYFUNCTION("""COMPUTED_VALUE"""),"S")</f>
        <v>S</v>
      </c>
      <c r="F4158" s="312" t="s">
        <v>39</v>
      </c>
      <c r="G4158" s="308"/>
      <c r="H4158" s="308" t="s">
        <v>16908</v>
      </c>
      <c r="I4158" s="316">
        <v>2001.0</v>
      </c>
      <c r="J4158" s="319"/>
      <c r="K4158" s="308"/>
      <c r="L4158" s="311">
        <v>2001.0</v>
      </c>
      <c r="M4158" s="308"/>
      <c r="N4158" s="308"/>
      <c r="O4158" s="308"/>
      <c r="P4158" s="308" t="s">
        <v>16906</v>
      </c>
      <c r="Q4158" s="308" t="s">
        <v>37456</v>
      </c>
      <c r="R4158" s="308" t="s">
        <v>14256</v>
      </c>
      <c r="S4158" s="308" t="s">
        <v>81</v>
      </c>
      <c r="T4158" s="308" t="s">
        <v>75</v>
      </c>
      <c r="U4158" s="308"/>
      <c r="V4158" s="312"/>
    </row>
    <row r="4159">
      <c r="A4159" s="308">
        <v>4158.0</v>
      </c>
      <c r="B4159" s="308"/>
      <c r="C4159" s="308" t="s">
        <v>16909</v>
      </c>
      <c r="D4159" s="308">
        <f>IFERROR(__xludf.DUMMYFUNCTION("SPLIT(C4159,""-"")"),4179.0)</f>
        <v>4179</v>
      </c>
      <c r="E4159" s="308" t="str">
        <f>IFERROR(__xludf.DUMMYFUNCTION("""COMPUTED_VALUE"""),"S")</f>
        <v>S</v>
      </c>
      <c r="F4159" s="312" t="s">
        <v>39</v>
      </c>
      <c r="G4159" s="308"/>
      <c r="H4159" s="308" t="s">
        <v>1349</v>
      </c>
      <c r="I4159" s="310">
        <v>34899.0</v>
      </c>
      <c r="J4159" s="319">
        <f>IFERROR(__xludf.DUMMYFUNCTION("SPLIT(I4159,""/"")"),19.0)</f>
        <v>19</v>
      </c>
      <c r="K4159" s="308">
        <f>IFERROR(__xludf.DUMMYFUNCTION("""COMPUTED_VALUE"""),7.0)</f>
        <v>7</v>
      </c>
      <c r="L4159" s="308">
        <f>IFERROR(__xludf.DUMMYFUNCTION("""COMPUTED_VALUE"""),1995.0)</f>
        <v>1995</v>
      </c>
      <c r="M4159" s="308" t="s">
        <v>16910</v>
      </c>
      <c r="N4159" s="308"/>
      <c r="O4159" s="308"/>
      <c r="P4159" s="308"/>
      <c r="Q4159" s="308" t="s">
        <v>37456</v>
      </c>
      <c r="R4159" s="308" t="s">
        <v>14256</v>
      </c>
      <c r="S4159" s="308" t="s">
        <v>79</v>
      </c>
      <c r="T4159" s="308" t="s">
        <v>79</v>
      </c>
      <c r="U4159" s="308"/>
      <c r="V4159" s="312"/>
    </row>
    <row r="4160">
      <c r="A4160" s="308">
        <v>4159.0</v>
      </c>
      <c r="B4160" s="308"/>
      <c r="C4160" s="308" t="s">
        <v>16911</v>
      </c>
      <c r="D4160" s="308">
        <f>IFERROR(__xludf.DUMMYFUNCTION("SPLIT(C4160,""-"")"),4180.0)</f>
        <v>4180</v>
      </c>
      <c r="E4160" s="308" t="str">
        <f>IFERROR(__xludf.DUMMYFUNCTION("""COMPUTED_VALUE"""),"S")</f>
        <v>S</v>
      </c>
      <c r="F4160" s="312" t="s">
        <v>39</v>
      </c>
      <c r="G4160" s="308"/>
      <c r="H4160" s="308" t="s">
        <v>16912</v>
      </c>
      <c r="I4160" s="314">
        <v>36160.0</v>
      </c>
      <c r="J4160" s="319">
        <f>IFERROR(__xludf.DUMMYFUNCTION("SPLIT(I4160,""/"")"),31.0)</f>
        <v>31</v>
      </c>
      <c r="K4160" s="308">
        <f>IFERROR(__xludf.DUMMYFUNCTION("""COMPUTED_VALUE"""),12.0)</f>
        <v>12</v>
      </c>
      <c r="L4160" s="308">
        <f>IFERROR(__xludf.DUMMYFUNCTION("""COMPUTED_VALUE"""),1998.0)</f>
        <v>1998</v>
      </c>
      <c r="M4160" s="308"/>
      <c r="N4160" s="308"/>
      <c r="O4160" s="308"/>
      <c r="P4160" s="308"/>
      <c r="Q4160" s="308" t="s">
        <v>37456</v>
      </c>
      <c r="R4160" s="308" t="s">
        <v>14256</v>
      </c>
      <c r="S4160" s="308" t="s">
        <v>79</v>
      </c>
      <c r="T4160" s="308" t="s">
        <v>79</v>
      </c>
      <c r="U4160" s="308"/>
      <c r="V4160" s="312"/>
    </row>
    <row r="4161">
      <c r="A4161" s="308">
        <v>4160.0</v>
      </c>
      <c r="B4161" s="308"/>
      <c r="C4161" s="308" t="s">
        <v>16913</v>
      </c>
      <c r="D4161" s="308">
        <f>IFERROR(__xludf.DUMMYFUNCTION("SPLIT(C4161,""-"")"),4181.0)</f>
        <v>4181</v>
      </c>
      <c r="E4161" s="308" t="str">
        <f>IFERROR(__xludf.DUMMYFUNCTION("""COMPUTED_VALUE"""),"S")</f>
        <v>S</v>
      </c>
      <c r="F4161" s="312" t="s">
        <v>39</v>
      </c>
      <c r="G4161" s="308"/>
      <c r="H4161" s="308" t="s">
        <v>16914</v>
      </c>
      <c r="I4161" s="314">
        <v>36160.0</v>
      </c>
      <c r="J4161" s="319">
        <f>IFERROR(__xludf.DUMMYFUNCTION("SPLIT(I4161,""/"")"),31.0)</f>
        <v>31</v>
      </c>
      <c r="K4161" s="308">
        <f>IFERROR(__xludf.DUMMYFUNCTION("""COMPUTED_VALUE"""),12.0)</f>
        <v>12</v>
      </c>
      <c r="L4161" s="308">
        <f>IFERROR(__xludf.DUMMYFUNCTION("""COMPUTED_VALUE"""),1998.0)</f>
        <v>1998</v>
      </c>
      <c r="M4161" s="308"/>
      <c r="N4161" s="308"/>
      <c r="O4161" s="308"/>
      <c r="P4161" s="308"/>
      <c r="Q4161" s="308" t="s">
        <v>37456</v>
      </c>
      <c r="R4161" s="308" t="s">
        <v>14256</v>
      </c>
      <c r="S4161" s="308" t="s">
        <v>79</v>
      </c>
      <c r="T4161" s="308" t="s">
        <v>79</v>
      </c>
      <c r="U4161" s="308"/>
      <c r="V4161" s="312"/>
    </row>
    <row r="4162">
      <c r="A4162" s="308">
        <v>4161.0</v>
      </c>
      <c r="B4162" s="308"/>
      <c r="C4162" s="308" t="s">
        <v>16915</v>
      </c>
      <c r="D4162" s="308">
        <f>IFERROR(__xludf.DUMMYFUNCTION("SPLIT(C4162,""-"")"),4182.0)</f>
        <v>4182</v>
      </c>
      <c r="E4162" s="308" t="str">
        <f>IFERROR(__xludf.DUMMYFUNCTION("""COMPUTED_VALUE"""),"K")</f>
        <v>K</v>
      </c>
      <c r="F4162" s="309" t="s">
        <v>34</v>
      </c>
      <c r="G4162" s="308"/>
      <c r="H4162" s="308" t="s">
        <v>16916</v>
      </c>
      <c r="I4162" s="310">
        <v>37764.0</v>
      </c>
      <c r="J4162" s="319">
        <f>IFERROR(__xludf.DUMMYFUNCTION("SPLIT(I4162,""/"")"),23.0)</f>
        <v>23</v>
      </c>
      <c r="K4162" s="308">
        <f>IFERROR(__xludf.DUMMYFUNCTION("""COMPUTED_VALUE"""),5.0)</f>
        <v>5</v>
      </c>
      <c r="L4162" s="308">
        <f>IFERROR(__xludf.DUMMYFUNCTION("""COMPUTED_VALUE"""),2003.0)</f>
        <v>2003</v>
      </c>
      <c r="M4162" s="308" t="s">
        <v>37478</v>
      </c>
      <c r="N4162" s="308"/>
      <c r="O4162" s="308"/>
      <c r="P4162" s="308" t="s">
        <v>34212</v>
      </c>
      <c r="Q4162" s="308" t="s">
        <v>37456</v>
      </c>
      <c r="R4162" s="308" t="s">
        <v>14256</v>
      </c>
      <c r="S4162" s="315" t="s">
        <v>100</v>
      </c>
      <c r="T4162" s="311" t="s">
        <v>34208</v>
      </c>
      <c r="U4162" s="308" t="s">
        <v>125</v>
      </c>
      <c r="V4162" s="312"/>
    </row>
    <row r="4163">
      <c r="A4163" s="308">
        <v>4162.0</v>
      </c>
      <c r="B4163" s="308"/>
      <c r="C4163" s="308" t="s">
        <v>16918</v>
      </c>
      <c r="D4163" s="308">
        <f>IFERROR(__xludf.DUMMYFUNCTION("SPLIT(C4163,""-"")"),4183.0)</f>
        <v>4183</v>
      </c>
      <c r="E4163" s="308" t="str">
        <f>IFERROR(__xludf.DUMMYFUNCTION("""COMPUTED_VALUE"""),"K")</f>
        <v>K</v>
      </c>
      <c r="F4163" s="309" t="s">
        <v>34</v>
      </c>
      <c r="G4163" s="308"/>
      <c r="H4163" s="308" t="s">
        <v>16919</v>
      </c>
      <c r="I4163" s="310">
        <v>38078.0</v>
      </c>
      <c r="J4163" s="319">
        <f>IFERROR(__xludf.DUMMYFUNCTION("SPLIT(I4163,""/"")"),1.0)</f>
        <v>1</v>
      </c>
      <c r="K4163" s="308">
        <f>IFERROR(__xludf.DUMMYFUNCTION("""COMPUTED_VALUE"""),4.0)</f>
        <v>4</v>
      </c>
      <c r="L4163" s="308">
        <f>IFERROR(__xludf.DUMMYFUNCTION("""COMPUTED_VALUE"""),2004.0)</f>
        <v>2004</v>
      </c>
      <c r="M4163" s="308" t="s">
        <v>16920</v>
      </c>
      <c r="N4163" s="308"/>
      <c r="O4163" s="308"/>
      <c r="P4163" s="308" t="s">
        <v>34212</v>
      </c>
      <c r="Q4163" s="308" t="s">
        <v>37456</v>
      </c>
      <c r="R4163" s="308" t="s">
        <v>14256</v>
      </c>
      <c r="S4163" s="315" t="s">
        <v>100</v>
      </c>
      <c r="T4163" s="311" t="s">
        <v>34208</v>
      </c>
      <c r="U4163" s="308" t="s">
        <v>125</v>
      </c>
      <c r="V4163" s="312"/>
    </row>
    <row r="4164">
      <c r="A4164" s="308">
        <v>4163.0</v>
      </c>
      <c r="B4164" s="308"/>
      <c r="C4164" s="308" t="s">
        <v>16921</v>
      </c>
      <c r="D4164" s="308">
        <f>IFERROR(__xludf.DUMMYFUNCTION("SPLIT(C4164,""-"")"),4184.0)</f>
        <v>4184</v>
      </c>
      <c r="E4164" s="308" t="str">
        <f>IFERROR(__xludf.DUMMYFUNCTION("""COMPUTED_VALUE"""),"K")</f>
        <v>K</v>
      </c>
      <c r="F4164" s="309" t="s">
        <v>34</v>
      </c>
      <c r="G4164" s="308"/>
      <c r="H4164" s="308" t="s">
        <v>37479</v>
      </c>
      <c r="I4164" s="310">
        <v>38078.0</v>
      </c>
      <c r="J4164" s="319">
        <f>IFERROR(__xludf.DUMMYFUNCTION("SPLIT(I4164,""/"")"),1.0)</f>
        <v>1</v>
      </c>
      <c r="K4164" s="308">
        <f>IFERROR(__xludf.DUMMYFUNCTION("""COMPUTED_VALUE"""),4.0)</f>
        <v>4</v>
      </c>
      <c r="L4164" s="308">
        <f>IFERROR(__xludf.DUMMYFUNCTION("""COMPUTED_VALUE"""),2004.0)</f>
        <v>2004</v>
      </c>
      <c r="M4164" s="308" t="s">
        <v>16920</v>
      </c>
      <c r="N4164" s="308"/>
      <c r="O4164" s="308"/>
      <c r="P4164" s="308" t="s">
        <v>34212</v>
      </c>
      <c r="Q4164" s="308" t="s">
        <v>37456</v>
      </c>
      <c r="R4164" s="308" t="s">
        <v>14256</v>
      </c>
      <c r="S4164" s="315" t="s">
        <v>100</v>
      </c>
      <c r="T4164" s="311" t="s">
        <v>34208</v>
      </c>
      <c r="U4164" s="308" t="s">
        <v>125</v>
      </c>
      <c r="V4164" s="312"/>
    </row>
    <row r="4165">
      <c r="A4165" s="308">
        <v>4164.0</v>
      </c>
      <c r="B4165" s="308"/>
      <c r="C4165" s="308" t="s">
        <v>16923</v>
      </c>
      <c r="D4165" s="308">
        <f>IFERROR(__xludf.DUMMYFUNCTION("SPLIT(C4165,""-"")"),4185.0)</f>
        <v>4185</v>
      </c>
      <c r="E4165" s="308" t="str">
        <f>IFERROR(__xludf.DUMMYFUNCTION("""COMPUTED_VALUE"""),"S")</f>
        <v>S</v>
      </c>
      <c r="F4165" s="312" t="s">
        <v>39</v>
      </c>
      <c r="G4165" s="308"/>
      <c r="H4165" s="308" t="s">
        <v>16924</v>
      </c>
      <c r="I4165" s="310">
        <v>38847.0</v>
      </c>
      <c r="J4165" s="319">
        <f>IFERROR(__xludf.DUMMYFUNCTION("SPLIT(I4165,""/"")"),10.0)</f>
        <v>10</v>
      </c>
      <c r="K4165" s="308">
        <f>IFERROR(__xludf.DUMMYFUNCTION("""COMPUTED_VALUE"""),5.0)</f>
        <v>5</v>
      </c>
      <c r="L4165" s="308">
        <f>IFERROR(__xludf.DUMMYFUNCTION("""COMPUTED_VALUE"""),2006.0)</f>
        <v>2006</v>
      </c>
      <c r="M4165" s="308" t="s">
        <v>16925</v>
      </c>
      <c r="N4165" s="308"/>
      <c r="O4165" s="308"/>
      <c r="P4165" s="308" t="s">
        <v>16926</v>
      </c>
      <c r="Q4165" s="308" t="s">
        <v>37456</v>
      </c>
      <c r="R4165" s="308" t="s">
        <v>14256</v>
      </c>
      <c r="S4165" s="308" t="s">
        <v>49</v>
      </c>
      <c r="T4165" s="308" t="s">
        <v>67</v>
      </c>
      <c r="U4165" s="308"/>
      <c r="V4165" s="312"/>
    </row>
    <row r="4166">
      <c r="A4166" s="308">
        <v>4165.0</v>
      </c>
      <c r="B4166" s="308"/>
      <c r="C4166" s="308" t="s">
        <v>16927</v>
      </c>
      <c r="D4166" s="308">
        <f>IFERROR(__xludf.DUMMYFUNCTION("SPLIT(C4166,""-"")"),4186.0)</f>
        <v>4186</v>
      </c>
      <c r="E4166" s="308" t="str">
        <f>IFERROR(__xludf.DUMMYFUNCTION("""COMPUTED_VALUE"""),"S")</f>
        <v>S</v>
      </c>
      <c r="F4166" s="312" t="s">
        <v>39</v>
      </c>
      <c r="G4166" s="308"/>
      <c r="H4166" s="308" t="s">
        <v>16928</v>
      </c>
      <c r="I4166" s="314">
        <v>38704.0</v>
      </c>
      <c r="J4166" s="319">
        <f>IFERROR(__xludf.DUMMYFUNCTION("SPLIT(I4166,""/"")"),18.0)</f>
        <v>18</v>
      </c>
      <c r="K4166" s="308">
        <f>IFERROR(__xludf.DUMMYFUNCTION("""COMPUTED_VALUE"""),12.0)</f>
        <v>12</v>
      </c>
      <c r="L4166" s="308">
        <f>IFERROR(__xludf.DUMMYFUNCTION("""COMPUTED_VALUE"""),2005.0)</f>
        <v>2005</v>
      </c>
      <c r="M4166" s="308" t="s">
        <v>16929</v>
      </c>
      <c r="N4166" s="308"/>
      <c r="O4166" s="308"/>
      <c r="P4166" s="308" t="s">
        <v>37480</v>
      </c>
      <c r="Q4166" s="308" t="s">
        <v>37456</v>
      </c>
      <c r="R4166" s="308" t="s">
        <v>14256</v>
      </c>
      <c r="S4166" s="308" t="s">
        <v>81</v>
      </c>
      <c r="T4166" s="308" t="s">
        <v>75</v>
      </c>
      <c r="U4166" s="308" t="s">
        <v>166</v>
      </c>
      <c r="V4166" s="312"/>
    </row>
    <row r="4167">
      <c r="A4167" s="308">
        <v>4166.0</v>
      </c>
      <c r="B4167" s="308"/>
      <c r="C4167" s="308" t="s">
        <v>16931</v>
      </c>
      <c r="D4167" s="308">
        <f>IFERROR(__xludf.DUMMYFUNCTION("SPLIT(C4167,""-"")"),4187.0)</f>
        <v>4187</v>
      </c>
      <c r="E4167" s="308" t="str">
        <f>IFERROR(__xludf.DUMMYFUNCTION("""COMPUTED_VALUE"""),"S")</f>
        <v>S</v>
      </c>
      <c r="F4167" s="312" t="s">
        <v>39</v>
      </c>
      <c r="G4167" s="308"/>
      <c r="H4167" s="308" t="s">
        <v>16932</v>
      </c>
      <c r="I4167" s="310">
        <v>38855.0</v>
      </c>
      <c r="J4167" s="319">
        <f>IFERROR(__xludf.DUMMYFUNCTION("SPLIT(I4167,""/"")"),18.0)</f>
        <v>18</v>
      </c>
      <c r="K4167" s="308">
        <f>IFERROR(__xludf.DUMMYFUNCTION("""COMPUTED_VALUE"""),5.0)</f>
        <v>5</v>
      </c>
      <c r="L4167" s="308">
        <f>IFERROR(__xludf.DUMMYFUNCTION("""COMPUTED_VALUE"""),2006.0)</f>
        <v>2006</v>
      </c>
      <c r="M4167" s="308" t="s">
        <v>16933</v>
      </c>
      <c r="N4167" s="308"/>
      <c r="O4167" s="308"/>
      <c r="P4167" s="308" t="s">
        <v>37481</v>
      </c>
      <c r="Q4167" s="308" t="s">
        <v>37456</v>
      </c>
      <c r="R4167" s="308" t="s">
        <v>14256</v>
      </c>
      <c r="S4167" s="308" t="s">
        <v>49</v>
      </c>
      <c r="T4167" s="308" t="s">
        <v>67</v>
      </c>
      <c r="U4167" s="308" t="s">
        <v>166</v>
      </c>
      <c r="V4167" s="312"/>
    </row>
    <row r="4168">
      <c r="A4168" s="308">
        <v>4167.0</v>
      </c>
      <c r="B4168" s="308"/>
      <c r="C4168" s="308" t="s">
        <v>16935</v>
      </c>
      <c r="D4168" s="308">
        <f>IFERROR(__xludf.DUMMYFUNCTION("SPLIT(C4168,""-"")"),4188.0)</f>
        <v>4188</v>
      </c>
      <c r="E4168" s="308" t="str">
        <f>IFERROR(__xludf.DUMMYFUNCTION("""COMPUTED_VALUE"""),"S")</f>
        <v>S</v>
      </c>
      <c r="F4168" s="312" t="s">
        <v>39</v>
      </c>
      <c r="G4168" s="308"/>
      <c r="H4168" s="308" t="s">
        <v>16936</v>
      </c>
      <c r="I4168" s="310">
        <v>38833.0</v>
      </c>
      <c r="J4168" s="319">
        <f>IFERROR(__xludf.DUMMYFUNCTION("SPLIT(I4168,""/"")"),26.0)</f>
        <v>26</v>
      </c>
      <c r="K4168" s="308">
        <f>IFERROR(__xludf.DUMMYFUNCTION("""COMPUTED_VALUE"""),4.0)</f>
        <v>4</v>
      </c>
      <c r="L4168" s="308">
        <f>IFERROR(__xludf.DUMMYFUNCTION("""COMPUTED_VALUE"""),2006.0)</f>
        <v>2006</v>
      </c>
      <c r="M4168" s="308" t="s">
        <v>16937</v>
      </c>
      <c r="N4168" s="308"/>
      <c r="O4168" s="308"/>
      <c r="P4168" s="308"/>
      <c r="Q4168" s="308" t="s">
        <v>37456</v>
      </c>
      <c r="R4168" s="308" t="s">
        <v>16938</v>
      </c>
      <c r="S4168" s="308" t="s">
        <v>79</v>
      </c>
      <c r="T4168" s="308" t="s">
        <v>79</v>
      </c>
      <c r="U4168" s="308" t="s">
        <v>166</v>
      </c>
      <c r="V4168" s="312"/>
    </row>
    <row r="4169">
      <c r="A4169" s="308">
        <v>4168.0</v>
      </c>
      <c r="B4169" s="308"/>
      <c r="C4169" s="308" t="s">
        <v>16939</v>
      </c>
      <c r="D4169" s="308">
        <f>IFERROR(__xludf.DUMMYFUNCTION("SPLIT(C4169,""-"")"),4189.0)</f>
        <v>4189</v>
      </c>
      <c r="E4169" s="308" t="str">
        <f>IFERROR(__xludf.DUMMYFUNCTION("""COMPUTED_VALUE"""),"S")</f>
        <v>S</v>
      </c>
      <c r="F4169" s="312" t="s">
        <v>39</v>
      </c>
      <c r="G4169" s="308"/>
      <c r="H4169" s="308" t="s">
        <v>16940</v>
      </c>
      <c r="I4169" s="310">
        <v>38751.0</v>
      </c>
      <c r="J4169" s="319">
        <f>IFERROR(__xludf.DUMMYFUNCTION("SPLIT(I4169,""/"")"),3.0)</f>
        <v>3</v>
      </c>
      <c r="K4169" s="308">
        <f>IFERROR(__xludf.DUMMYFUNCTION("""COMPUTED_VALUE"""),2.0)</f>
        <v>2</v>
      </c>
      <c r="L4169" s="308">
        <f>IFERROR(__xludf.DUMMYFUNCTION("""COMPUTED_VALUE"""),2006.0)</f>
        <v>2006</v>
      </c>
      <c r="M4169" s="308" t="s">
        <v>16941</v>
      </c>
      <c r="N4169" s="308"/>
      <c r="O4169" s="308"/>
      <c r="P4169" s="308" t="s">
        <v>16942</v>
      </c>
      <c r="Q4169" s="308" t="s">
        <v>37456</v>
      </c>
      <c r="R4169" s="308" t="s">
        <v>14256</v>
      </c>
      <c r="S4169" s="308" t="s">
        <v>49</v>
      </c>
      <c r="T4169" s="308" t="s">
        <v>67</v>
      </c>
      <c r="U4169" s="308" t="s">
        <v>166</v>
      </c>
      <c r="V4169" s="312"/>
    </row>
    <row r="4170">
      <c r="A4170" s="308">
        <v>4169.0</v>
      </c>
      <c r="B4170" s="308"/>
      <c r="C4170" s="308" t="s">
        <v>16943</v>
      </c>
      <c r="D4170" s="308">
        <f>IFERROR(__xludf.DUMMYFUNCTION("SPLIT(C4170,""-"")"),4190.0)</f>
        <v>4190</v>
      </c>
      <c r="E4170" s="308" t="str">
        <f>IFERROR(__xludf.DUMMYFUNCTION("""COMPUTED_VALUE"""),"S")</f>
        <v>S</v>
      </c>
      <c r="F4170" s="312" t="s">
        <v>39</v>
      </c>
      <c r="G4170" s="308"/>
      <c r="H4170" s="308" t="s">
        <v>16944</v>
      </c>
      <c r="I4170" s="310">
        <v>38814.0</v>
      </c>
      <c r="J4170" s="319">
        <f>IFERROR(__xludf.DUMMYFUNCTION("SPLIT(I4170,""/"")"),7.0)</f>
        <v>7</v>
      </c>
      <c r="K4170" s="308">
        <f>IFERROR(__xludf.DUMMYFUNCTION("""COMPUTED_VALUE"""),4.0)</f>
        <v>4</v>
      </c>
      <c r="L4170" s="308">
        <f>IFERROR(__xludf.DUMMYFUNCTION("""COMPUTED_VALUE"""),2006.0)</f>
        <v>2006</v>
      </c>
      <c r="M4170" s="308" t="s">
        <v>16941</v>
      </c>
      <c r="N4170" s="308"/>
      <c r="O4170" s="308"/>
      <c r="P4170" s="308" t="s">
        <v>16942</v>
      </c>
      <c r="Q4170" s="308" t="s">
        <v>37456</v>
      </c>
      <c r="R4170" s="308" t="s">
        <v>14256</v>
      </c>
      <c r="S4170" s="308" t="s">
        <v>49</v>
      </c>
      <c r="T4170" s="308" t="s">
        <v>67</v>
      </c>
      <c r="U4170" s="308" t="s">
        <v>166</v>
      </c>
      <c r="V4170" s="312"/>
    </row>
    <row r="4171">
      <c r="A4171" s="308">
        <v>4170.0</v>
      </c>
      <c r="B4171" s="308"/>
      <c r="C4171" s="308" t="s">
        <v>16945</v>
      </c>
      <c r="D4171" s="308">
        <f>IFERROR(__xludf.DUMMYFUNCTION("SPLIT(C4171,""-"")"),4191.0)</f>
        <v>4191</v>
      </c>
      <c r="E4171" s="308" t="str">
        <f>IFERROR(__xludf.DUMMYFUNCTION("""COMPUTED_VALUE"""),"S")</f>
        <v>S</v>
      </c>
      <c r="F4171" s="312" t="s">
        <v>39</v>
      </c>
      <c r="G4171" s="308"/>
      <c r="H4171" s="308" t="s">
        <v>16946</v>
      </c>
      <c r="I4171" s="310">
        <v>38855.0</v>
      </c>
      <c r="J4171" s="319">
        <f>IFERROR(__xludf.DUMMYFUNCTION("SPLIT(I4171,""/"")"),18.0)</f>
        <v>18</v>
      </c>
      <c r="K4171" s="308">
        <f>IFERROR(__xludf.DUMMYFUNCTION("""COMPUTED_VALUE"""),5.0)</f>
        <v>5</v>
      </c>
      <c r="L4171" s="308">
        <f>IFERROR(__xludf.DUMMYFUNCTION("""COMPUTED_VALUE"""),2006.0)</f>
        <v>2006</v>
      </c>
      <c r="M4171" s="308" t="s">
        <v>16947</v>
      </c>
      <c r="N4171" s="308"/>
      <c r="O4171" s="308"/>
      <c r="P4171" s="308" t="s">
        <v>37482</v>
      </c>
      <c r="Q4171" s="308" t="s">
        <v>37456</v>
      </c>
      <c r="R4171" s="308" t="s">
        <v>14256</v>
      </c>
      <c r="S4171" s="308" t="s">
        <v>81</v>
      </c>
      <c r="T4171" s="311" t="s">
        <v>96</v>
      </c>
      <c r="U4171" s="308" t="s">
        <v>166</v>
      </c>
      <c r="V4171" s="312"/>
    </row>
    <row r="4172">
      <c r="A4172" s="308">
        <v>4171.0</v>
      </c>
      <c r="B4172" s="308"/>
      <c r="C4172" s="308" t="s">
        <v>16949</v>
      </c>
      <c r="D4172" s="308">
        <f>IFERROR(__xludf.DUMMYFUNCTION("SPLIT(C4172,""-"")"),4192.0)</f>
        <v>4192</v>
      </c>
      <c r="E4172" s="308" t="str">
        <f>IFERROR(__xludf.DUMMYFUNCTION("""COMPUTED_VALUE"""),"S")</f>
        <v>S</v>
      </c>
      <c r="F4172" s="312" t="s">
        <v>39</v>
      </c>
      <c r="G4172" s="308"/>
      <c r="H4172" s="308" t="s">
        <v>16950</v>
      </c>
      <c r="I4172" s="310">
        <v>38832.0</v>
      </c>
      <c r="J4172" s="319">
        <f>IFERROR(__xludf.DUMMYFUNCTION("SPLIT(I4172,""/"")"),25.0)</f>
        <v>25</v>
      </c>
      <c r="K4172" s="308">
        <f>IFERROR(__xludf.DUMMYFUNCTION("""COMPUTED_VALUE"""),4.0)</f>
        <v>4</v>
      </c>
      <c r="L4172" s="308">
        <f>IFERROR(__xludf.DUMMYFUNCTION("""COMPUTED_VALUE"""),2006.0)</f>
        <v>2006</v>
      </c>
      <c r="M4172" s="308" t="s">
        <v>16951</v>
      </c>
      <c r="N4172" s="308"/>
      <c r="O4172" s="308"/>
      <c r="P4172" s="308" t="s">
        <v>37483</v>
      </c>
      <c r="Q4172" s="308" t="s">
        <v>37456</v>
      </c>
      <c r="R4172" s="308" t="s">
        <v>14256</v>
      </c>
      <c r="S4172" s="308" t="s">
        <v>49</v>
      </c>
      <c r="T4172" s="308" t="s">
        <v>67</v>
      </c>
      <c r="U4172" s="308" t="s">
        <v>166</v>
      </c>
      <c r="V4172" s="312"/>
    </row>
    <row r="4173">
      <c r="A4173" s="308">
        <v>4172.0</v>
      </c>
      <c r="B4173" s="308"/>
      <c r="C4173" s="308" t="s">
        <v>16953</v>
      </c>
      <c r="D4173" s="308">
        <f>IFERROR(__xludf.DUMMYFUNCTION("SPLIT(C4173,""-"")"),4193.0)</f>
        <v>4193</v>
      </c>
      <c r="E4173" s="308" t="str">
        <f>IFERROR(__xludf.DUMMYFUNCTION("""COMPUTED_VALUE"""),"B")</f>
        <v>B</v>
      </c>
      <c r="F4173" s="315" t="s">
        <v>26</v>
      </c>
      <c r="G4173" s="308"/>
      <c r="H4173" s="308" t="s">
        <v>16954</v>
      </c>
      <c r="I4173" s="314">
        <v>38711.0</v>
      </c>
      <c r="J4173" s="319">
        <f>IFERROR(__xludf.DUMMYFUNCTION("SPLIT(I4173,""/"")"),25.0)</f>
        <v>25</v>
      </c>
      <c r="K4173" s="308">
        <f>IFERROR(__xludf.DUMMYFUNCTION("""COMPUTED_VALUE"""),12.0)</f>
        <v>12</v>
      </c>
      <c r="L4173" s="308">
        <f>IFERROR(__xludf.DUMMYFUNCTION("""COMPUTED_VALUE"""),2005.0)</f>
        <v>2005</v>
      </c>
      <c r="M4173" s="308"/>
      <c r="N4173" s="308"/>
      <c r="O4173" s="308"/>
      <c r="P4173" s="308"/>
      <c r="Q4173" s="308" t="s">
        <v>37456</v>
      </c>
      <c r="R4173" s="308" t="s">
        <v>14256</v>
      </c>
      <c r="S4173" s="308" t="s">
        <v>79</v>
      </c>
      <c r="T4173" s="308" t="s">
        <v>79</v>
      </c>
      <c r="U4173" s="308"/>
      <c r="V4173" s="312"/>
    </row>
    <row r="4174">
      <c r="A4174" s="308">
        <v>4173.0</v>
      </c>
      <c r="B4174" s="308"/>
      <c r="C4174" s="308" t="s">
        <v>16955</v>
      </c>
      <c r="D4174" s="308">
        <f>IFERROR(__xludf.DUMMYFUNCTION("SPLIT(C4174,""-"")"),4194.0)</f>
        <v>4194</v>
      </c>
      <c r="E4174" s="308" t="str">
        <f>IFERROR(__xludf.DUMMYFUNCTION("""COMPUTED_VALUE"""),"B")</f>
        <v>B</v>
      </c>
      <c r="F4174" s="315" t="s">
        <v>26</v>
      </c>
      <c r="G4174" s="308"/>
      <c r="H4174" s="308" t="s">
        <v>16956</v>
      </c>
      <c r="I4174" s="310">
        <v>40554.0</v>
      </c>
      <c r="J4174" s="319">
        <f>IFERROR(__xludf.DUMMYFUNCTION("SPLIT(I4174,""/"")"),11.0)</f>
        <v>11</v>
      </c>
      <c r="K4174" s="308">
        <f>IFERROR(__xludf.DUMMYFUNCTION("""COMPUTED_VALUE"""),1.0)</f>
        <v>1</v>
      </c>
      <c r="L4174" s="308">
        <f>IFERROR(__xludf.DUMMYFUNCTION("""COMPUTED_VALUE"""),2011.0)</f>
        <v>2011</v>
      </c>
      <c r="M4174" s="308" t="s">
        <v>16957</v>
      </c>
      <c r="N4174" s="308"/>
      <c r="O4174" s="308"/>
      <c r="P4174" s="308" t="s">
        <v>37484</v>
      </c>
      <c r="Q4174" s="308" t="s">
        <v>37456</v>
      </c>
      <c r="R4174" s="308" t="s">
        <v>14256</v>
      </c>
      <c r="S4174" s="308" t="s">
        <v>49</v>
      </c>
      <c r="T4174" s="308" t="s">
        <v>51</v>
      </c>
      <c r="U4174" s="308"/>
      <c r="V4174" s="312"/>
    </row>
    <row r="4175">
      <c r="A4175" s="308">
        <v>4174.0</v>
      </c>
      <c r="B4175" s="308"/>
      <c r="C4175" s="308" t="s">
        <v>16959</v>
      </c>
      <c r="D4175" s="308">
        <f>IFERROR(__xludf.DUMMYFUNCTION("SPLIT(C4175,""-"")"),4195.0)</f>
        <v>4195</v>
      </c>
      <c r="E4175" s="308" t="str">
        <f>IFERROR(__xludf.DUMMYFUNCTION("""COMPUTED_VALUE"""),"B")</f>
        <v>B</v>
      </c>
      <c r="F4175" s="315" t="s">
        <v>26</v>
      </c>
      <c r="G4175" s="308"/>
      <c r="H4175" s="308" t="s">
        <v>16960</v>
      </c>
      <c r="I4175" s="310">
        <v>40653.0</v>
      </c>
      <c r="J4175" s="319">
        <f>IFERROR(__xludf.DUMMYFUNCTION("SPLIT(I4175,""/"")"),20.0)</f>
        <v>20</v>
      </c>
      <c r="K4175" s="308">
        <f>IFERROR(__xludf.DUMMYFUNCTION("""COMPUTED_VALUE"""),4.0)</f>
        <v>4</v>
      </c>
      <c r="L4175" s="308">
        <f>IFERROR(__xludf.DUMMYFUNCTION("""COMPUTED_VALUE"""),2011.0)</f>
        <v>2011</v>
      </c>
      <c r="M4175" s="308" t="s">
        <v>16961</v>
      </c>
      <c r="N4175" s="308"/>
      <c r="O4175" s="308"/>
      <c r="P4175" s="308" t="s">
        <v>16962</v>
      </c>
      <c r="Q4175" s="308" t="s">
        <v>37456</v>
      </c>
      <c r="R4175" s="308" t="s">
        <v>14256</v>
      </c>
      <c r="S4175" s="308" t="s">
        <v>81</v>
      </c>
      <c r="T4175" s="308" t="s">
        <v>75</v>
      </c>
      <c r="U4175" s="308"/>
      <c r="V4175" s="312"/>
    </row>
    <row r="4176">
      <c r="A4176" s="308">
        <v>4175.0</v>
      </c>
      <c r="B4176" s="308"/>
      <c r="C4176" s="308" t="s">
        <v>16963</v>
      </c>
      <c r="D4176" s="308">
        <f>IFERROR(__xludf.DUMMYFUNCTION("SPLIT(C4176,""-"")"),4196.0)</f>
        <v>4196</v>
      </c>
      <c r="E4176" s="308" t="str">
        <f>IFERROR(__xludf.DUMMYFUNCTION("""COMPUTED_VALUE"""),"S")</f>
        <v>S</v>
      </c>
      <c r="F4176" s="312" t="s">
        <v>39</v>
      </c>
      <c r="G4176" s="308"/>
      <c r="H4176" s="308" t="s">
        <v>16964</v>
      </c>
      <c r="I4176" s="310">
        <v>42378.0</v>
      </c>
      <c r="J4176" s="319">
        <f>IFERROR(__xludf.DUMMYFUNCTION("SPLIT(I4176,""/"")"),9.0)</f>
        <v>9</v>
      </c>
      <c r="K4176" s="308">
        <f>IFERROR(__xludf.DUMMYFUNCTION("""COMPUTED_VALUE"""),1.0)</f>
        <v>1</v>
      </c>
      <c r="L4176" s="308">
        <f>IFERROR(__xludf.DUMMYFUNCTION("""COMPUTED_VALUE"""),2016.0)</f>
        <v>2016</v>
      </c>
      <c r="M4176" s="308" t="s">
        <v>16965</v>
      </c>
      <c r="N4176" s="308"/>
      <c r="O4176" s="308"/>
      <c r="P4176" s="308" t="s">
        <v>37485</v>
      </c>
      <c r="Q4176" s="308" t="s">
        <v>37456</v>
      </c>
      <c r="R4176" s="308" t="s">
        <v>14256</v>
      </c>
      <c r="S4176" s="308" t="s">
        <v>49</v>
      </c>
      <c r="T4176" s="311" t="s">
        <v>67</v>
      </c>
      <c r="U4176" s="308" t="s">
        <v>166</v>
      </c>
      <c r="V4176" s="312"/>
    </row>
    <row r="4177">
      <c r="A4177" s="308">
        <v>4176.0</v>
      </c>
      <c r="B4177" s="308"/>
      <c r="C4177" s="308" t="s">
        <v>16967</v>
      </c>
      <c r="D4177" s="308">
        <f>IFERROR(__xludf.DUMMYFUNCTION("SPLIT(C4177,""-"")"),4197.0)</f>
        <v>4197</v>
      </c>
      <c r="E4177" s="308" t="str">
        <f>IFERROR(__xludf.DUMMYFUNCTION("""COMPUTED_VALUE"""),"S")</f>
        <v>S</v>
      </c>
      <c r="F4177" s="312" t="s">
        <v>39</v>
      </c>
      <c r="G4177" s="308"/>
      <c r="H4177" s="308" t="s">
        <v>16968</v>
      </c>
      <c r="I4177" s="310">
        <v>42236.0</v>
      </c>
      <c r="J4177" s="319">
        <f>IFERROR(__xludf.DUMMYFUNCTION("SPLIT(I4177,""/"")"),20.0)</f>
        <v>20</v>
      </c>
      <c r="K4177" s="308">
        <f>IFERROR(__xludf.DUMMYFUNCTION("""COMPUTED_VALUE"""),8.0)</f>
        <v>8</v>
      </c>
      <c r="L4177" s="308">
        <f>IFERROR(__xludf.DUMMYFUNCTION("""COMPUTED_VALUE"""),2015.0)</f>
        <v>2015</v>
      </c>
      <c r="M4177" s="308"/>
      <c r="N4177" s="308"/>
      <c r="O4177" s="308"/>
      <c r="P4177" s="308"/>
      <c r="Q4177" s="308" t="s">
        <v>37456</v>
      </c>
      <c r="R4177" s="308" t="s">
        <v>14256</v>
      </c>
      <c r="S4177" s="308" t="s">
        <v>79</v>
      </c>
      <c r="T4177" s="308" t="s">
        <v>79</v>
      </c>
      <c r="U4177" s="308"/>
      <c r="V4177" s="312"/>
    </row>
    <row r="4178">
      <c r="A4178" s="308">
        <v>4177.0</v>
      </c>
      <c r="B4178" s="308"/>
      <c r="C4178" s="308" t="s">
        <v>16969</v>
      </c>
      <c r="D4178" s="308">
        <f>IFERROR(__xludf.DUMMYFUNCTION("SPLIT(C4178,""-"")"),4198.0)</f>
        <v>4198</v>
      </c>
      <c r="E4178" s="308" t="str">
        <f>IFERROR(__xludf.DUMMYFUNCTION("""COMPUTED_VALUE"""),"S")</f>
        <v>S</v>
      </c>
      <c r="F4178" s="312" t="s">
        <v>39</v>
      </c>
      <c r="G4178" s="308"/>
      <c r="H4178" s="308" t="s">
        <v>16970</v>
      </c>
      <c r="I4178" s="310">
        <v>42236.0</v>
      </c>
      <c r="J4178" s="319">
        <f>IFERROR(__xludf.DUMMYFUNCTION("SPLIT(I4178,""/"")"),20.0)</f>
        <v>20</v>
      </c>
      <c r="K4178" s="308">
        <f>IFERROR(__xludf.DUMMYFUNCTION("""COMPUTED_VALUE"""),8.0)</f>
        <v>8</v>
      </c>
      <c r="L4178" s="308">
        <f>IFERROR(__xludf.DUMMYFUNCTION("""COMPUTED_VALUE"""),2015.0)</f>
        <v>2015</v>
      </c>
      <c r="M4178" s="308"/>
      <c r="N4178" s="308"/>
      <c r="O4178" s="308"/>
      <c r="P4178" s="308"/>
      <c r="Q4178" s="308" t="s">
        <v>37456</v>
      </c>
      <c r="R4178" s="308" t="s">
        <v>14256</v>
      </c>
      <c r="S4178" s="308" t="s">
        <v>79</v>
      </c>
      <c r="T4178" s="308" t="s">
        <v>79</v>
      </c>
      <c r="U4178" s="308"/>
      <c r="V4178" s="312"/>
    </row>
    <row r="4179">
      <c r="A4179" s="308">
        <v>4178.0</v>
      </c>
      <c r="B4179" s="308"/>
      <c r="C4179" s="308" t="s">
        <v>16971</v>
      </c>
      <c r="D4179" s="308">
        <f>IFERROR(__xludf.DUMMYFUNCTION("SPLIT(C4179,""-"")"),4199.0)</f>
        <v>4199</v>
      </c>
      <c r="E4179" s="308" t="str">
        <f>IFERROR(__xludf.DUMMYFUNCTION("""COMPUTED_VALUE"""),"S")</f>
        <v>S</v>
      </c>
      <c r="F4179" s="312" t="s">
        <v>39</v>
      </c>
      <c r="G4179" s="308"/>
      <c r="H4179" s="308" t="s">
        <v>16972</v>
      </c>
      <c r="I4179" s="310">
        <v>42236.0</v>
      </c>
      <c r="J4179" s="319">
        <f>IFERROR(__xludf.DUMMYFUNCTION("SPLIT(I4179,""/"")"),20.0)</f>
        <v>20</v>
      </c>
      <c r="K4179" s="308">
        <f>IFERROR(__xludf.DUMMYFUNCTION("""COMPUTED_VALUE"""),8.0)</f>
        <v>8</v>
      </c>
      <c r="L4179" s="308">
        <f>IFERROR(__xludf.DUMMYFUNCTION("""COMPUTED_VALUE"""),2015.0)</f>
        <v>2015</v>
      </c>
      <c r="M4179" s="308"/>
      <c r="N4179" s="308"/>
      <c r="O4179" s="308"/>
      <c r="P4179" s="308" t="s">
        <v>37486</v>
      </c>
      <c r="Q4179" s="308" t="s">
        <v>37456</v>
      </c>
      <c r="R4179" s="308" t="s">
        <v>14256</v>
      </c>
      <c r="S4179" s="308" t="s">
        <v>49</v>
      </c>
      <c r="T4179" s="311" t="s">
        <v>67</v>
      </c>
      <c r="U4179" s="308"/>
      <c r="V4179" s="312"/>
    </row>
    <row r="4180">
      <c r="A4180" s="308">
        <v>4179.0</v>
      </c>
      <c r="B4180" s="308"/>
      <c r="C4180" s="308" t="s">
        <v>16974</v>
      </c>
      <c r="D4180" s="308">
        <f>IFERROR(__xludf.DUMMYFUNCTION("SPLIT(C4180,""-"")"),4200.0)</f>
        <v>4200</v>
      </c>
      <c r="E4180" s="308" t="str">
        <f>IFERROR(__xludf.DUMMYFUNCTION("""COMPUTED_VALUE"""),"S")</f>
        <v>S</v>
      </c>
      <c r="F4180" s="312" t="s">
        <v>39</v>
      </c>
      <c r="G4180" s="308"/>
      <c r="H4180" s="308" t="s">
        <v>16975</v>
      </c>
      <c r="I4180" s="310">
        <v>42237.0</v>
      </c>
      <c r="J4180" s="319">
        <f>IFERROR(__xludf.DUMMYFUNCTION("SPLIT(I4180,""/"")"),21.0)</f>
        <v>21</v>
      </c>
      <c r="K4180" s="308">
        <f>IFERROR(__xludf.DUMMYFUNCTION("""COMPUTED_VALUE"""),8.0)</f>
        <v>8</v>
      </c>
      <c r="L4180" s="308">
        <f>IFERROR(__xludf.DUMMYFUNCTION("""COMPUTED_VALUE"""),2015.0)</f>
        <v>2015</v>
      </c>
      <c r="M4180" s="308"/>
      <c r="N4180" s="308"/>
      <c r="O4180" s="308"/>
      <c r="P4180" s="308"/>
      <c r="Q4180" s="308" t="s">
        <v>37456</v>
      </c>
      <c r="R4180" s="308" t="s">
        <v>14256</v>
      </c>
      <c r="S4180" s="308" t="s">
        <v>79</v>
      </c>
      <c r="T4180" s="308" t="s">
        <v>79</v>
      </c>
      <c r="U4180" s="308"/>
      <c r="V4180" s="312"/>
    </row>
    <row r="4181">
      <c r="A4181" s="308">
        <v>4180.0</v>
      </c>
      <c r="B4181" s="308"/>
      <c r="C4181" s="308" t="s">
        <v>16976</v>
      </c>
      <c r="D4181" s="308">
        <f>IFERROR(__xludf.DUMMYFUNCTION("SPLIT(C4181,""-"")"),4201.0)</f>
        <v>4201</v>
      </c>
      <c r="E4181" s="308" t="str">
        <f>IFERROR(__xludf.DUMMYFUNCTION("""COMPUTED_VALUE"""),"S")</f>
        <v>S</v>
      </c>
      <c r="F4181" s="312" t="s">
        <v>39</v>
      </c>
      <c r="G4181" s="308"/>
      <c r="H4181" s="308" t="s">
        <v>16977</v>
      </c>
      <c r="I4181" s="310">
        <v>42237.0</v>
      </c>
      <c r="J4181" s="319">
        <f>IFERROR(__xludf.DUMMYFUNCTION("SPLIT(I4181,""/"")"),21.0)</f>
        <v>21</v>
      </c>
      <c r="K4181" s="308">
        <f>IFERROR(__xludf.DUMMYFUNCTION("""COMPUTED_VALUE"""),8.0)</f>
        <v>8</v>
      </c>
      <c r="L4181" s="308">
        <f>IFERROR(__xludf.DUMMYFUNCTION("""COMPUTED_VALUE"""),2015.0)</f>
        <v>2015</v>
      </c>
      <c r="M4181" s="308"/>
      <c r="N4181" s="308"/>
      <c r="O4181" s="308"/>
      <c r="P4181" s="308"/>
      <c r="Q4181" s="308" t="s">
        <v>37456</v>
      </c>
      <c r="R4181" s="308" t="s">
        <v>14256</v>
      </c>
      <c r="S4181" s="308" t="s">
        <v>79</v>
      </c>
      <c r="T4181" s="308" t="s">
        <v>79</v>
      </c>
      <c r="U4181" s="308"/>
      <c r="V4181" s="312"/>
    </row>
    <row r="4182">
      <c r="A4182" s="308">
        <v>4181.0</v>
      </c>
      <c r="B4182" s="308"/>
      <c r="C4182" s="308" t="s">
        <v>16978</v>
      </c>
      <c r="D4182" s="308">
        <f>IFERROR(__xludf.DUMMYFUNCTION("SPLIT(C4182,""-"")"),4202.0)</f>
        <v>4202</v>
      </c>
      <c r="E4182" s="308" t="str">
        <f>IFERROR(__xludf.DUMMYFUNCTION("""COMPUTED_VALUE"""),"S")</f>
        <v>S</v>
      </c>
      <c r="F4182" s="312" t="s">
        <v>39</v>
      </c>
      <c r="G4182" s="308"/>
      <c r="H4182" s="308" t="s">
        <v>16979</v>
      </c>
      <c r="I4182" s="310">
        <v>42238.0</v>
      </c>
      <c r="J4182" s="319">
        <f>IFERROR(__xludf.DUMMYFUNCTION("SPLIT(I4182,""/"")"),22.0)</f>
        <v>22</v>
      </c>
      <c r="K4182" s="308">
        <f>IFERROR(__xludf.DUMMYFUNCTION("""COMPUTED_VALUE"""),8.0)</f>
        <v>8</v>
      </c>
      <c r="L4182" s="308">
        <f>IFERROR(__xludf.DUMMYFUNCTION("""COMPUTED_VALUE"""),2015.0)</f>
        <v>2015</v>
      </c>
      <c r="M4182" s="308"/>
      <c r="N4182" s="308"/>
      <c r="O4182" s="308"/>
      <c r="P4182" s="308"/>
      <c r="Q4182" s="308" t="s">
        <v>37456</v>
      </c>
      <c r="R4182" s="308" t="s">
        <v>14256</v>
      </c>
      <c r="S4182" s="308" t="s">
        <v>79</v>
      </c>
      <c r="T4182" s="308" t="s">
        <v>79</v>
      </c>
      <c r="U4182" s="308"/>
      <c r="V4182" s="312"/>
    </row>
    <row r="4183">
      <c r="A4183" s="308">
        <v>4182.0</v>
      </c>
      <c r="B4183" s="308"/>
      <c r="C4183" s="308" t="s">
        <v>16980</v>
      </c>
      <c r="D4183" s="308">
        <f>IFERROR(__xludf.DUMMYFUNCTION("SPLIT(C4183,""-"")"),4203.0)</f>
        <v>4203</v>
      </c>
      <c r="E4183" s="308" t="str">
        <f>IFERROR(__xludf.DUMMYFUNCTION("""COMPUTED_VALUE"""),"S")</f>
        <v>S</v>
      </c>
      <c r="F4183" s="312" t="s">
        <v>39</v>
      </c>
      <c r="G4183" s="308"/>
      <c r="H4183" s="308" t="s">
        <v>16981</v>
      </c>
      <c r="I4183" s="310">
        <v>42379.0</v>
      </c>
      <c r="J4183" s="319">
        <f>IFERROR(__xludf.DUMMYFUNCTION("SPLIT(I4183,""/"")"),10.0)</f>
        <v>10</v>
      </c>
      <c r="K4183" s="308">
        <f>IFERROR(__xludf.DUMMYFUNCTION("""COMPUTED_VALUE"""),1.0)</f>
        <v>1</v>
      </c>
      <c r="L4183" s="308">
        <f>IFERROR(__xludf.DUMMYFUNCTION("""COMPUTED_VALUE"""),2016.0)</f>
        <v>2016</v>
      </c>
      <c r="M4183" s="308" t="s">
        <v>16982</v>
      </c>
      <c r="N4183" s="308"/>
      <c r="O4183" s="308"/>
      <c r="P4183" s="308"/>
      <c r="Q4183" s="308" t="s">
        <v>37456</v>
      </c>
      <c r="R4183" s="308" t="s">
        <v>14256</v>
      </c>
      <c r="S4183" s="308" t="s">
        <v>79</v>
      </c>
      <c r="T4183" s="308" t="s">
        <v>79</v>
      </c>
      <c r="U4183" s="308"/>
      <c r="V4183" s="312"/>
    </row>
    <row r="4184">
      <c r="A4184" s="308">
        <v>4183.0</v>
      </c>
      <c r="B4184" s="308"/>
      <c r="C4184" s="308" t="s">
        <v>16983</v>
      </c>
      <c r="D4184" s="308">
        <f>IFERROR(__xludf.DUMMYFUNCTION("SPLIT(C4184,""-"")"),4204.0)</f>
        <v>4204</v>
      </c>
      <c r="E4184" s="308" t="str">
        <f>IFERROR(__xludf.DUMMYFUNCTION("""COMPUTED_VALUE"""),"S")</f>
        <v>S</v>
      </c>
      <c r="F4184" s="312" t="s">
        <v>39</v>
      </c>
      <c r="G4184" s="308"/>
      <c r="H4184" s="308" t="s">
        <v>16984</v>
      </c>
      <c r="I4184" s="310">
        <v>42380.0</v>
      </c>
      <c r="J4184" s="319">
        <f>IFERROR(__xludf.DUMMYFUNCTION("SPLIT(I4184,""/"")"),11.0)</f>
        <v>11</v>
      </c>
      <c r="K4184" s="308">
        <f>IFERROR(__xludf.DUMMYFUNCTION("""COMPUTED_VALUE"""),1.0)</f>
        <v>1</v>
      </c>
      <c r="L4184" s="308">
        <f>IFERROR(__xludf.DUMMYFUNCTION("""COMPUTED_VALUE"""),2016.0)</f>
        <v>2016</v>
      </c>
      <c r="M4184" s="308" t="s">
        <v>16982</v>
      </c>
      <c r="N4184" s="308"/>
      <c r="O4184" s="308"/>
      <c r="P4184" s="308"/>
      <c r="Q4184" s="308" t="s">
        <v>37456</v>
      </c>
      <c r="R4184" s="308" t="s">
        <v>14256</v>
      </c>
      <c r="S4184" s="308" t="s">
        <v>79</v>
      </c>
      <c r="T4184" s="308" t="s">
        <v>79</v>
      </c>
      <c r="U4184" s="308"/>
      <c r="V4184" s="312"/>
    </row>
    <row r="4185">
      <c r="A4185" s="308">
        <v>4184.0</v>
      </c>
      <c r="B4185" s="308"/>
      <c r="C4185" s="308" t="s">
        <v>16985</v>
      </c>
      <c r="D4185" s="308">
        <f>IFERROR(__xludf.DUMMYFUNCTION("SPLIT(C4185,""-"")"),4205.0)</f>
        <v>4205</v>
      </c>
      <c r="E4185" s="308" t="str">
        <f>IFERROR(__xludf.DUMMYFUNCTION("""COMPUTED_VALUE"""),"S")</f>
        <v>S</v>
      </c>
      <c r="F4185" s="312" t="s">
        <v>39</v>
      </c>
      <c r="G4185" s="308"/>
      <c r="H4185" s="308" t="s">
        <v>16986</v>
      </c>
      <c r="I4185" s="310">
        <v>42381.0</v>
      </c>
      <c r="J4185" s="319">
        <f>IFERROR(__xludf.DUMMYFUNCTION("SPLIT(I4185,""/"")"),12.0)</f>
        <v>12</v>
      </c>
      <c r="K4185" s="308">
        <f>IFERROR(__xludf.DUMMYFUNCTION("""COMPUTED_VALUE"""),1.0)</f>
        <v>1</v>
      </c>
      <c r="L4185" s="308">
        <f>IFERROR(__xludf.DUMMYFUNCTION("""COMPUTED_VALUE"""),2016.0)</f>
        <v>2016</v>
      </c>
      <c r="M4185" s="308"/>
      <c r="N4185" s="308"/>
      <c r="O4185" s="308"/>
      <c r="P4185" s="308"/>
      <c r="Q4185" s="308" t="s">
        <v>37456</v>
      </c>
      <c r="R4185" s="308" t="s">
        <v>14256</v>
      </c>
      <c r="S4185" s="308" t="s">
        <v>79</v>
      </c>
      <c r="T4185" s="308" t="s">
        <v>79</v>
      </c>
      <c r="U4185" s="308"/>
      <c r="V4185" s="312"/>
    </row>
    <row r="4186">
      <c r="A4186" s="308">
        <v>4185.0</v>
      </c>
      <c r="B4186" s="308"/>
      <c r="C4186" s="308" t="s">
        <v>16987</v>
      </c>
      <c r="D4186" s="308">
        <f>IFERROR(__xludf.DUMMYFUNCTION("SPLIT(C4186,""-"")"),4206.0)</f>
        <v>4206</v>
      </c>
      <c r="E4186" s="308" t="str">
        <f>IFERROR(__xludf.DUMMYFUNCTION("""COMPUTED_VALUE"""),"S")</f>
        <v>S</v>
      </c>
      <c r="F4186" s="312" t="s">
        <v>39</v>
      </c>
      <c r="G4186" s="308"/>
      <c r="H4186" s="308" t="s">
        <v>16988</v>
      </c>
      <c r="I4186" s="310">
        <v>42381.0</v>
      </c>
      <c r="J4186" s="319">
        <f>IFERROR(__xludf.DUMMYFUNCTION("SPLIT(I4186,""/"")"),12.0)</f>
        <v>12</v>
      </c>
      <c r="K4186" s="308">
        <f>IFERROR(__xludf.DUMMYFUNCTION("""COMPUTED_VALUE"""),1.0)</f>
        <v>1</v>
      </c>
      <c r="L4186" s="308">
        <f>IFERROR(__xludf.DUMMYFUNCTION("""COMPUTED_VALUE"""),2016.0)</f>
        <v>2016</v>
      </c>
      <c r="M4186" s="308" t="s">
        <v>16989</v>
      </c>
      <c r="N4186" s="308"/>
      <c r="O4186" s="308"/>
      <c r="P4186" s="308" t="s">
        <v>37487</v>
      </c>
      <c r="Q4186" s="308" t="s">
        <v>37456</v>
      </c>
      <c r="R4186" s="308" t="s">
        <v>14256</v>
      </c>
      <c r="S4186" s="308" t="s">
        <v>49</v>
      </c>
      <c r="T4186" s="311" t="s">
        <v>67</v>
      </c>
      <c r="U4186" s="308"/>
      <c r="V4186" s="312"/>
    </row>
    <row r="4187">
      <c r="A4187" s="308">
        <v>4186.0</v>
      </c>
      <c r="B4187" s="308"/>
      <c r="C4187" s="308" t="s">
        <v>16991</v>
      </c>
      <c r="D4187" s="308">
        <f>IFERROR(__xludf.DUMMYFUNCTION("SPLIT(C4187,""-"")"),4207.0)</f>
        <v>4207</v>
      </c>
      <c r="E4187" s="308" t="str">
        <f>IFERROR(__xludf.DUMMYFUNCTION("""COMPUTED_VALUE"""),"S")</f>
        <v>S</v>
      </c>
      <c r="F4187" s="312" t="s">
        <v>39</v>
      </c>
      <c r="G4187" s="308"/>
      <c r="H4187" s="308" t="s">
        <v>16992</v>
      </c>
      <c r="I4187" s="310">
        <v>42384.0</v>
      </c>
      <c r="J4187" s="319">
        <f>IFERROR(__xludf.DUMMYFUNCTION("SPLIT(I4187,""/"")"),15.0)</f>
        <v>15</v>
      </c>
      <c r="K4187" s="308">
        <f>IFERROR(__xludf.DUMMYFUNCTION("""COMPUTED_VALUE"""),1.0)</f>
        <v>1</v>
      </c>
      <c r="L4187" s="308">
        <f>IFERROR(__xludf.DUMMYFUNCTION("""COMPUTED_VALUE"""),2016.0)</f>
        <v>2016</v>
      </c>
      <c r="M4187" s="308" t="s">
        <v>16989</v>
      </c>
      <c r="N4187" s="308"/>
      <c r="O4187" s="308"/>
      <c r="P4187" s="308" t="s">
        <v>37487</v>
      </c>
      <c r="Q4187" s="308" t="s">
        <v>37456</v>
      </c>
      <c r="R4187" s="308" t="s">
        <v>14256</v>
      </c>
      <c r="S4187" s="308" t="s">
        <v>49</v>
      </c>
      <c r="T4187" s="311" t="s">
        <v>67</v>
      </c>
      <c r="U4187" s="308"/>
      <c r="V4187" s="312"/>
    </row>
    <row r="4188">
      <c r="A4188" s="308">
        <v>4187.0</v>
      </c>
      <c r="B4188" s="308"/>
      <c r="C4188" s="308" t="s">
        <v>16993</v>
      </c>
      <c r="D4188" s="308">
        <f>IFERROR(__xludf.DUMMYFUNCTION("SPLIT(C4188,""-"")"),4208.0)</f>
        <v>4208</v>
      </c>
      <c r="E4188" s="308" t="str">
        <f>IFERROR(__xludf.DUMMYFUNCTION("""COMPUTED_VALUE"""),"S")</f>
        <v>S</v>
      </c>
      <c r="F4188" s="312" t="s">
        <v>39</v>
      </c>
      <c r="G4188" s="308"/>
      <c r="H4188" s="308" t="s">
        <v>16994</v>
      </c>
      <c r="I4188" s="310">
        <v>42385.0</v>
      </c>
      <c r="J4188" s="319">
        <f>IFERROR(__xludf.DUMMYFUNCTION("SPLIT(I4188,""/"")"),16.0)</f>
        <v>16</v>
      </c>
      <c r="K4188" s="308">
        <f>IFERROR(__xludf.DUMMYFUNCTION("""COMPUTED_VALUE"""),1.0)</f>
        <v>1</v>
      </c>
      <c r="L4188" s="308">
        <f>IFERROR(__xludf.DUMMYFUNCTION("""COMPUTED_VALUE"""),2016.0)</f>
        <v>2016</v>
      </c>
      <c r="M4188" s="308"/>
      <c r="N4188" s="308"/>
      <c r="O4188" s="308"/>
      <c r="P4188" s="308"/>
      <c r="Q4188" s="308" t="s">
        <v>37456</v>
      </c>
      <c r="R4188" s="308" t="s">
        <v>14256</v>
      </c>
      <c r="S4188" s="308" t="s">
        <v>79</v>
      </c>
      <c r="T4188" s="308" t="s">
        <v>79</v>
      </c>
      <c r="U4188" s="308"/>
      <c r="V4188" s="312"/>
    </row>
    <row r="4189">
      <c r="A4189" s="308">
        <v>4188.0</v>
      </c>
      <c r="B4189" s="308"/>
      <c r="C4189" s="308" t="s">
        <v>16995</v>
      </c>
      <c r="D4189" s="308">
        <f>IFERROR(__xludf.DUMMYFUNCTION("SPLIT(C4189,""-"")"),4209.0)</f>
        <v>4209</v>
      </c>
      <c r="E4189" s="308" t="str">
        <f>IFERROR(__xludf.DUMMYFUNCTION("""COMPUTED_VALUE"""),"S")</f>
        <v>S</v>
      </c>
      <c r="F4189" s="312" t="s">
        <v>39</v>
      </c>
      <c r="G4189" s="308"/>
      <c r="H4189" s="308" t="s">
        <v>16996</v>
      </c>
      <c r="I4189" s="310">
        <v>42379.0</v>
      </c>
      <c r="J4189" s="319">
        <f>IFERROR(__xludf.DUMMYFUNCTION("SPLIT(I4189,""/"")"),10.0)</f>
        <v>10</v>
      </c>
      <c r="K4189" s="308">
        <f>IFERROR(__xludf.DUMMYFUNCTION("""COMPUTED_VALUE"""),1.0)</f>
        <v>1</v>
      </c>
      <c r="L4189" s="308">
        <f>IFERROR(__xludf.DUMMYFUNCTION("""COMPUTED_VALUE"""),2016.0)</f>
        <v>2016</v>
      </c>
      <c r="M4189" s="308" t="s">
        <v>16989</v>
      </c>
      <c r="N4189" s="308"/>
      <c r="O4189" s="308"/>
      <c r="P4189" s="308"/>
      <c r="Q4189" s="308" t="s">
        <v>37456</v>
      </c>
      <c r="R4189" s="308" t="s">
        <v>14256</v>
      </c>
      <c r="S4189" s="308" t="s">
        <v>79</v>
      </c>
      <c r="T4189" s="308" t="s">
        <v>79</v>
      </c>
      <c r="U4189" s="308"/>
      <c r="V4189" s="312"/>
    </row>
    <row r="4190">
      <c r="A4190" s="308">
        <v>4189.0</v>
      </c>
      <c r="B4190" s="308"/>
      <c r="C4190" s="308" t="s">
        <v>16997</v>
      </c>
      <c r="D4190" s="308">
        <f>IFERROR(__xludf.DUMMYFUNCTION("SPLIT(C4190,""-"")"),4210.0)</f>
        <v>4210</v>
      </c>
      <c r="E4190" s="308" t="str">
        <f>IFERROR(__xludf.DUMMYFUNCTION("""COMPUTED_VALUE"""),"S")</f>
        <v>S</v>
      </c>
      <c r="F4190" s="312" t="s">
        <v>39</v>
      </c>
      <c r="G4190" s="308"/>
      <c r="H4190" s="308" t="s">
        <v>16998</v>
      </c>
      <c r="I4190" s="310">
        <v>42481.0</v>
      </c>
      <c r="J4190" s="319">
        <f>IFERROR(__xludf.DUMMYFUNCTION("SPLIT(I4190,""/"")"),21.0)</f>
        <v>21</v>
      </c>
      <c r="K4190" s="308">
        <f>IFERROR(__xludf.DUMMYFUNCTION("""COMPUTED_VALUE"""),4.0)</f>
        <v>4</v>
      </c>
      <c r="L4190" s="308">
        <f>IFERROR(__xludf.DUMMYFUNCTION("""COMPUTED_VALUE"""),2016.0)</f>
        <v>2016</v>
      </c>
      <c r="M4190" s="308" t="s">
        <v>16999</v>
      </c>
      <c r="N4190" s="308"/>
      <c r="O4190" s="308"/>
      <c r="P4190" s="308"/>
      <c r="Q4190" s="308" t="s">
        <v>37456</v>
      </c>
      <c r="R4190" s="308" t="s">
        <v>14256</v>
      </c>
      <c r="S4190" s="308" t="s">
        <v>79</v>
      </c>
      <c r="T4190" s="308" t="s">
        <v>79</v>
      </c>
      <c r="U4190" s="308"/>
      <c r="V4190" s="312"/>
    </row>
    <row r="4191">
      <c r="A4191" s="308">
        <v>4190.0</v>
      </c>
      <c r="B4191" s="308"/>
      <c r="C4191" s="308" t="s">
        <v>17000</v>
      </c>
      <c r="D4191" s="308">
        <f>IFERROR(__xludf.DUMMYFUNCTION("SPLIT(C4191,""-"")"),4211.0)</f>
        <v>4211</v>
      </c>
      <c r="E4191" s="308" t="str">
        <f>IFERROR(__xludf.DUMMYFUNCTION("""COMPUTED_VALUE"""),"S")</f>
        <v>S</v>
      </c>
      <c r="F4191" s="312" t="s">
        <v>39</v>
      </c>
      <c r="G4191" s="308"/>
      <c r="H4191" s="308" t="s">
        <v>17001</v>
      </c>
      <c r="I4191" s="310">
        <v>42390.0</v>
      </c>
      <c r="J4191" s="319">
        <f>IFERROR(__xludf.DUMMYFUNCTION("SPLIT(I4191,""/"")"),21.0)</f>
        <v>21</v>
      </c>
      <c r="K4191" s="308">
        <f>IFERROR(__xludf.DUMMYFUNCTION("""COMPUTED_VALUE"""),1.0)</f>
        <v>1</v>
      </c>
      <c r="L4191" s="308">
        <f>IFERROR(__xludf.DUMMYFUNCTION("""COMPUTED_VALUE"""),2016.0)</f>
        <v>2016</v>
      </c>
      <c r="M4191" s="308" t="s">
        <v>16999</v>
      </c>
      <c r="N4191" s="308"/>
      <c r="O4191" s="308"/>
      <c r="P4191" s="308"/>
      <c r="Q4191" s="308" t="s">
        <v>37456</v>
      </c>
      <c r="R4191" s="308" t="s">
        <v>14256</v>
      </c>
      <c r="S4191" s="308" t="s">
        <v>79</v>
      </c>
      <c r="T4191" s="308" t="s">
        <v>79</v>
      </c>
      <c r="U4191" s="308"/>
      <c r="V4191" s="312"/>
    </row>
    <row r="4192">
      <c r="A4192" s="308">
        <v>4191.0</v>
      </c>
      <c r="B4192" s="308"/>
      <c r="C4192" s="308" t="s">
        <v>17002</v>
      </c>
      <c r="D4192" s="308">
        <f>IFERROR(__xludf.DUMMYFUNCTION("SPLIT(C4192,""-"")"),4212.0)</f>
        <v>4212</v>
      </c>
      <c r="E4192" s="308" t="str">
        <f>IFERROR(__xludf.DUMMYFUNCTION("""COMPUTED_VALUE"""),"S")</f>
        <v>S</v>
      </c>
      <c r="F4192" s="312" t="s">
        <v>39</v>
      </c>
      <c r="G4192" s="308"/>
      <c r="H4192" s="308" t="s">
        <v>17003</v>
      </c>
      <c r="I4192" s="310">
        <v>42390.0</v>
      </c>
      <c r="J4192" s="319">
        <f>IFERROR(__xludf.DUMMYFUNCTION("SPLIT(I4192,""/"")"),21.0)</f>
        <v>21</v>
      </c>
      <c r="K4192" s="308">
        <f>IFERROR(__xludf.DUMMYFUNCTION("""COMPUTED_VALUE"""),1.0)</f>
        <v>1</v>
      </c>
      <c r="L4192" s="308">
        <f>IFERROR(__xludf.DUMMYFUNCTION("""COMPUTED_VALUE"""),2016.0)</f>
        <v>2016</v>
      </c>
      <c r="M4192" s="308"/>
      <c r="N4192" s="308"/>
      <c r="O4192" s="308"/>
      <c r="P4192" s="308"/>
      <c r="Q4192" s="308" t="s">
        <v>37456</v>
      </c>
      <c r="R4192" s="308" t="s">
        <v>14256</v>
      </c>
      <c r="S4192" s="308" t="s">
        <v>79</v>
      </c>
      <c r="T4192" s="308" t="s">
        <v>79</v>
      </c>
      <c r="U4192" s="308"/>
      <c r="V4192" s="312"/>
    </row>
    <row r="4193">
      <c r="A4193" s="308">
        <v>4192.0</v>
      </c>
      <c r="B4193" s="308"/>
      <c r="C4193" s="308" t="s">
        <v>17004</v>
      </c>
      <c r="D4193" s="308">
        <f>IFERROR(__xludf.DUMMYFUNCTION("SPLIT(C4193,""-"")"),4213.0)</f>
        <v>4213</v>
      </c>
      <c r="E4193" s="308" t="str">
        <f>IFERROR(__xludf.DUMMYFUNCTION("""COMPUTED_VALUE"""),"S")</f>
        <v>S</v>
      </c>
      <c r="F4193" s="312" t="s">
        <v>39</v>
      </c>
      <c r="G4193" s="308"/>
      <c r="H4193" s="308" t="s">
        <v>17005</v>
      </c>
      <c r="I4193" s="310">
        <v>42392.0</v>
      </c>
      <c r="J4193" s="319">
        <f>IFERROR(__xludf.DUMMYFUNCTION("SPLIT(I4193,""/"")"),23.0)</f>
        <v>23</v>
      </c>
      <c r="K4193" s="308">
        <f>IFERROR(__xludf.DUMMYFUNCTION("""COMPUTED_VALUE"""),1.0)</f>
        <v>1</v>
      </c>
      <c r="L4193" s="308">
        <f>IFERROR(__xludf.DUMMYFUNCTION("""COMPUTED_VALUE"""),2016.0)</f>
        <v>2016</v>
      </c>
      <c r="M4193" s="308" t="s">
        <v>16982</v>
      </c>
      <c r="N4193" s="308"/>
      <c r="O4193" s="308"/>
      <c r="P4193" s="308"/>
      <c r="Q4193" s="308" t="s">
        <v>37456</v>
      </c>
      <c r="R4193" s="308" t="s">
        <v>14256</v>
      </c>
      <c r="S4193" s="308" t="s">
        <v>79</v>
      </c>
      <c r="T4193" s="308" t="s">
        <v>79</v>
      </c>
      <c r="U4193" s="308"/>
      <c r="V4193" s="312"/>
    </row>
    <row r="4194">
      <c r="A4194" s="308">
        <v>4193.0</v>
      </c>
      <c r="B4194" s="308"/>
      <c r="C4194" s="308" t="s">
        <v>17006</v>
      </c>
      <c r="D4194" s="308">
        <f>IFERROR(__xludf.DUMMYFUNCTION("SPLIT(C4194,""-"")"),4214.0)</f>
        <v>4214</v>
      </c>
      <c r="E4194" s="308" t="str">
        <f>IFERROR(__xludf.DUMMYFUNCTION("""COMPUTED_VALUE"""),"S")</f>
        <v>S</v>
      </c>
      <c r="F4194" s="312" t="s">
        <v>39</v>
      </c>
      <c r="G4194" s="308"/>
      <c r="H4194" s="308" t="s">
        <v>17007</v>
      </c>
      <c r="I4194" s="310">
        <v>42392.0</v>
      </c>
      <c r="J4194" s="319">
        <f>IFERROR(__xludf.DUMMYFUNCTION("SPLIT(I4194,""/"")"),23.0)</f>
        <v>23</v>
      </c>
      <c r="K4194" s="308">
        <f>IFERROR(__xludf.DUMMYFUNCTION("""COMPUTED_VALUE"""),1.0)</f>
        <v>1</v>
      </c>
      <c r="L4194" s="308">
        <f>IFERROR(__xludf.DUMMYFUNCTION("""COMPUTED_VALUE"""),2016.0)</f>
        <v>2016</v>
      </c>
      <c r="M4194" s="308" t="s">
        <v>17008</v>
      </c>
      <c r="N4194" s="308"/>
      <c r="O4194" s="308"/>
      <c r="P4194" s="308"/>
      <c r="Q4194" s="308" t="s">
        <v>37456</v>
      </c>
      <c r="R4194" s="308" t="s">
        <v>14256</v>
      </c>
      <c r="S4194" s="308" t="s">
        <v>79</v>
      </c>
      <c r="T4194" s="308" t="s">
        <v>79</v>
      </c>
      <c r="U4194" s="308"/>
      <c r="V4194" s="312"/>
    </row>
    <row r="4195">
      <c r="A4195" s="308">
        <v>4194.0</v>
      </c>
      <c r="B4195" s="308"/>
      <c r="C4195" s="308" t="s">
        <v>17009</v>
      </c>
      <c r="D4195" s="308">
        <f>IFERROR(__xludf.DUMMYFUNCTION("SPLIT(C4195,""-"")"),4215.0)</f>
        <v>4215</v>
      </c>
      <c r="E4195" s="308" t="str">
        <f>IFERROR(__xludf.DUMMYFUNCTION("""COMPUTED_VALUE"""),"B")</f>
        <v>B</v>
      </c>
      <c r="F4195" s="315" t="s">
        <v>26</v>
      </c>
      <c r="G4195" s="308"/>
      <c r="H4195" s="308" t="s">
        <v>37488</v>
      </c>
      <c r="I4195" s="314">
        <v>31346.0</v>
      </c>
      <c r="J4195" s="319">
        <f>IFERROR(__xludf.DUMMYFUNCTION("SPLIT(I4195,""/"")"),26.0)</f>
        <v>26</v>
      </c>
      <c r="K4195" s="308">
        <f>IFERROR(__xludf.DUMMYFUNCTION("""COMPUTED_VALUE"""),10.0)</f>
        <v>10</v>
      </c>
      <c r="L4195" s="308">
        <f>IFERROR(__xludf.DUMMYFUNCTION("""COMPUTED_VALUE"""),1985.0)</f>
        <v>1985</v>
      </c>
      <c r="M4195" s="308"/>
      <c r="N4195" s="308"/>
      <c r="O4195" s="308"/>
      <c r="P4195" s="308"/>
      <c r="Q4195" s="308" t="s">
        <v>37456</v>
      </c>
      <c r="R4195" s="308" t="s">
        <v>14256</v>
      </c>
      <c r="S4195" s="308" t="s">
        <v>79</v>
      </c>
      <c r="T4195" s="308" t="s">
        <v>79</v>
      </c>
      <c r="U4195" s="308"/>
      <c r="V4195" s="312"/>
    </row>
    <row r="4196">
      <c r="A4196" s="308">
        <v>4195.0</v>
      </c>
      <c r="B4196" s="308"/>
      <c r="C4196" s="308" t="s">
        <v>17011</v>
      </c>
      <c r="D4196" s="308">
        <f>IFERROR(__xludf.DUMMYFUNCTION("SPLIT(C4196,""-"")"),4216.0)</f>
        <v>4216</v>
      </c>
      <c r="E4196" s="308" t="str">
        <f>IFERROR(__xludf.DUMMYFUNCTION("""COMPUTED_VALUE"""),"P")</f>
        <v>P</v>
      </c>
      <c r="F4196" s="312" t="s">
        <v>37</v>
      </c>
      <c r="G4196" s="308"/>
      <c r="H4196" s="308" t="s">
        <v>17012</v>
      </c>
      <c r="I4196" s="310">
        <v>42929.0</v>
      </c>
      <c r="J4196" s="319">
        <f>IFERROR(__xludf.DUMMYFUNCTION("SPLIT(I4196,""/"")"),13.0)</f>
        <v>13</v>
      </c>
      <c r="K4196" s="308">
        <f>IFERROR(__xludf.DUMMYFUNCTION("""COMPUTED_VALUE"""),7.0)</f>
        <v>7</v>
      </c>
      <c r="L4196" s="308">
        <f>IFERROR(__xludf.DUMMYFUNCTION("""COMPUTED_VALUE"""),2017.0)</f>
        <v>2017</v>
      </c>
      <c r="M4196" s="308" t="s">
        <v>17013</v>
      </c>
      <c r="N4196" s="308"/>
      <c r="O4196" s="308"/>
      <c r="P4196" s="312" t="s">
        <v>37489</v>
      </c>
      <c r="Q4196" s="308" t="s">
        <v>37490</v>
      </c>
      <c r="R4196" s="308" t="s">
        <v>14911</v>
      </c>
      <c r="S4196" s="308" t="s">
        <v>81</v>
      </c>
      <c r="T4196" s="311" t="s">
        <v>63</v>
      </c>
      <c r="U4196" s="308" t="s">
        <v>14984</v>
      </c>
      <c r="V4196" s="312"/>
    </row>
    <row r="4197">
      <c r="A4197" s="308">
        <v>4196.0</v>
      </c>
      <c r="B4197" s="308"/>
      <c r="C4197" s="308" t="s">
        <v>17015</v>
      </c>
      <c r="D4197" s="308">
        <f>IFERROR(__xludf.DUMMYFUNCTION("SPLIT(C4197,""-"")"),4217.0)</f>
        <v>4217</v>
      </c>
      <c r="E4197" s="308" t="str">
        <f>IFERROR(__xludf.DUMMYFUNCTION("""COMPUTED_VALUE"""),"P")</f>
        <v>P</v>
      </c>
      <c r="F4197" s="312" t="s">
        <v>37</v>
      </c>
      <c r="G4197" s="308"/>
      <c r="H4197" s="308" t="s">
        <v>17016</v>
      </c>
      <c r="I4197" s="310">
        <v>42766.0</v>
      </c>
      <c r="J4197" s="319">
        <f>IFERROR(__xludf.DUMMYFUNCTION("SPLIT(I4197,""/"")"),31.0)</f>
        <v>31</v>
      </c>
      <c r="K4197" s="308">
        <f>IFERROR(__xludf.DUMMYFUNCTION("""COMPUTED_VALUE"""),1.0)</f>
        <v>1</v>
      </c>
      <c r="L4197" s="308">
        <f>IFERROR(__xludf.DUMMYFUNCTION("""COMPUTED_VALUE"""),2017.0)</f>
        <v>2017</v>
      </c>
      <c r="M4197" s="308" t="s">
        <v>17017</v>
      </c>
      <c r="N4197" s="308"/>
      <c r="O4197" s="308" t="s">
        <v>17018</v>
      </c>
      <c r="P4197" s="308" t="s">
        <v>37491</v>
      </c>
      <c r="Q4197" s="308" t="s">
        <v>37490</v>
      </c>
      <c r="R4197" s="308" t="s">
        <v>14911</v>
      </c>
      <c r="S4197" s="315" t="s">
        <v>100</v>
      </c>
      <c r="T4197" s="311" t="s">
        <v>34208</v>
      </c>
      <c r="U4197" s="308" t="s">
        <v>1711</v>
      </c>
      <c r="V4197" s="312"/>
    </row>
    <row r="4198">
      <c r="A4198" s="308">
        <v>4197.0</v>
      </c>
      <c r="B4198" s="308"/>
      <c r="C4198" s="308" t="s">
        <v>17019</v>
      </c>
      <c r="D4198" s="308">
        <f>IFERROR(__xludf.DUMMYFUNCTION("SPLIT(C4198,""-"")"),4218.0)</f>
        <v>4218</v>
      </c>
      <c r="E4198" s="308" t="str">
        <f>IFERROR(__xludf.DUMMYFUNCTION("""COMPUTED_VALUE"""),"P")</f>
        <v>P</v>
      </c>
      <c r="F4198" s="312" t="s">
        <v>37</v>
      </c>
      <c r="G4198" s="308"/>
      <c r="H4198" s="308" t="s">
        <v>12384</v>
      </c>
      <c r="I4198" s="310">
        <v>42941.0</v>
      </c>
      <c r="J4198" s="319">
        <f>IFERROR(__xludf.DUMMYFUNCTION("SPLIT(I4198,""/"")"),25.0)</f>
        <v>25</v>
      </c>
      <c r="K4198" s="308">
        <f>IFERROR(__xludf.DUMMYFUNCTION("""COMPUTED_VALUE"""),7.0)</f>
        <v>7</v>
      </c>
      <c r="L4198" s="308">
        <f>IFERROR(__xludf.DUMMYFUNCTION("""COMPUTED_VALUE"""),2017.0)</f>
        <v>2017</v>
      </c>
      <c r="M4198" s="308" t="s">
        <v>17020</v>
      </c>
      <c r="N4198" s="308"/>
      <c r="O4198" s="308"/>
      <c r="P4198" s="308" t="s">
        <v>37492</v>
      </c>
      <c r="Q4198" s="308" t="s">
        <v>37490</v>
      </c>
      <c r="R4198" s="308" t="s">
        <v>14911</v>
      </c>
      <c r="S4198" s="308" t="s">
        <v>81</v>
      </c>
      <c r="T4198" s="308" t="s">
        <v>63</v>
      </c>
      <c r="U4198" s="308" t="s">
        <v>10808</v>
      </c>
      <c r="V4198" s="312"/>
    </row>
    <row r="4199">
      <c r="A4199" s="308">
        <v>4198.0</v>
      </c>
      <c r="B4199" s="308"/>
      <c r="C4199" s="308" t="s">
        <v>17022</v>
      </c>
      <c r="D4199" s="308">
        <f>IFERROR(__xludf.DUMMYFUNCTION("SPLIT(C4199,""-"")"),4219.0)</f>
        <v>4219</v>
      </c>
      <c r="E4199" s="308" t="str">
        <f>IFERROR(__xludf.DUMMYFUNCTION("""COMPUTED_VALUE"""),"P")</f>
        <v>P</v>
      </c>
      <c r="F4199" s="312" t="s">
        <v>37</v>
      </c>
      <c r="G4199" s="308"/>
      <c r="H4199" s="308" t="s">
        <v>17023</v>
      </c>
      <c r="I4199" s="314">
        <v>42732.0</v>
      </c>
      <c r="J4199" s="319">
        <f>IFERROR(__xludf.DUMMYFUNCTION("SPLIT(I4199,""/"")"),28.0)</f>
        <v>28</v>
      </c>
      <c r="K4199" s="308">
        <f>IFERROR(__xludf.DUMMYFUNCTION("""COMPUTED_VALUE"""),12.0)</f>
        <v>12</v>
      </c>
      <c r="L4199" s="308">
        <f>IFERROR(__xludf.DUMMYFUNCTION("""COMPUTED_VALUE"""),2016.0)</f>
        <v>2016</v>
      </c>
      <c r="M4199" s="308" t="s">
        <v>17024</v>
      </c>
      <c r="N4199" s="308"/>
      <c r="O4199" s="308"/>
      <c r="P4199" s="308" t="s">
        <v>37009</v>
      </c>
      <c r="Q4199" s="308" t="s">
        <v>37490</v>
      </c>
      <c r="R4199" s="308" t="s">
        <v>14911</v>
      </c>
      <c r="S4199" s="308" t="s">
        <v>81</v>
      </c>
      <c r="T4199" s="308" t="s">
        <v>63</v>
      </c>
      <c r="U4199" s="308" t="s">
        <v>14984</v>
      </c>
      <c r="V4199" s="312"/>
    </row>
    <row r="4200">
      <c r="A4200" s="308">
        <v>4199.0</v>
      </c>
      <c r="B4200" s="308"/>
      <c r="C4200" s="308" t="s">
        <v>17025</v>
      </c>
      <c r="D4200" s="308">
        <f>IFERROR(__xludf.DUMMYFUNCTION("SPLIT(C4200,""-"")"),4220.0)</f>
        <v>4220</v>
      </c>
      <c r="E4200" s="308" t="str">
        <f>IFERROR(__xludf.DUMMYFUNCTION("""COMPUTED_VALUE"""),"I")</f>
        <v>I</v>
      </c>
      <c r="F4200" s="309" t="s">
        <v>31</v>
      </c>
      <c r="G4200" s="308"/>
      <c r="H4200" s="308" t="s">
        <v>17026</v>
      </c>
      <c r="I4200" s="314">
        <v>41972.0</v>
      </c>
      <c r="J4200" s="319">
        <f>IFERROR(__xludf.DUMMYFUNCTION("SPLIT(I4200,""/"")"),29.0)</f>
        <v>29</v>
      </c>
      <c r="K4200" s="308">
        <f>IFERROR(__xludf.DUMMYFUNCTION("""COMPUTED_VALUE"""),11.0)</f>
        <v>11</v>
      </c>
      <c r="L4200" s="308">
        <f>IFERROR(__xludf.DUMMYFUNCTION("""COMPUTED_VALUE"""),2014.0)</f>
        <v>2014</v>
      </c>
      <c r="M4200" s="308" t="s">
        <v>17027</v>
      </c>
      <c r="N4200" s="308" t="s">
        <v>17028</v>
      </c>
      <c r="O4200" s="308" t="s">
        <v>17029</v>
      </c>
      <c r="P4200" s="308" t="s">
        <v>37493</v>
      </c>
      <c r="Q4200" s="308" t="s">
        <v>37490</v>
      </c>
      <c r="R4200" s="308" t="s">
        <v>14911</v>
      </c>
      <c r="S4200" s="315" t="s">
        <v>100</v>
      </c>
      <c r="T4200" s="311" t="s">
        <v>34208</v>
      </c>
      <c r="U4200" s="308" t="s">
        <v>31</v>
      </c>
      <c r="V4200" s="312"/>
    </row>
    <row r="4201">
      <c r="A4201" s="308">
        <v>4200.0</v>
      </c>
      <c r="B4201" s="308"/>
      <c r="C4201" s="308" t="s">
        <v>17030</v>
      </c>
      <c r="D4201" s="308">
        <f>IFERROR(__xludf.DUMMYFUNCTION("SPLIT(C4201,""-"")"),4221.0)</f>
        <v>4221</v>
      </c>
      <c r="E4201" s="308" t="str">
        <f>IFERROR(__xludf.DUMMYFUNCTION("""COMPUTED_VALUE"""),"I")</f>
        <v>I</v>
      </c>
      <c r="F4201" s="309" t="s">
        <v>31</v>
      </c>
      <c r="G4201" s="308"/>
      <c r="H4201" s="308" t="s">
        <v>17031</v>
      </c>
      <c r="I4201" s="310">
        <v>42871.0</v>
      </c>
      <c r="J4201" s="319">
        <f>IFERROR(__xludf.DUMMYFUNCTION("SPLIT(I4201,""/"")"),16.0)</f>
        <v>16</v>
      </c>
      <c r="K4201" s="308">
        <f>IFERROR(__xludf.DUMMYFUNCTION("""COMPUTED_VALUE"""),5.0)</f>
        <v>5</v>
      </c>
      <c r="L4201" s="308">
        <f>IFERROR(__xludf.DUMMYFUNCTION("""COMPUTED_VALUE"""),2017.0)</f>
        <v>2017</v>
      </c>
      <c r="M4201" s="308" t="s">
        <v>17032</v>
      </c>
      <c r="N4201" s="308"/>
      <c r="O4201" s="308"/>
      <c r="P4201" s="308" t="s">
        <v>17033</v>
      </c>
      <c r="Q4201" s="308" t="s">
        <v>37490</v>
      </c>
      <c r="R4201" s="308" t="s">
        <v>14911</v>
      </c>
      <c r="S4201" s="308" t="s">
        <v>81</v>
      </c>
      <c r="T4201" s="308" t="s">
        <v>34264</v>
      </c>
      <c r="U4201" s="308" t="s">
        <v>31</v>
      </c>
      <c r="V4201" s="312"/>
    </row>
    <row r="4202">
      <c r="A4202" s="308">
        <v>4201.0</v>
      </c>
      <c r="B4202" s="308"/>
      <c r="C4202" s="308" t="s">
        <v>17034</v>
      </c>
      <c r="D4202" s="308">
        <f>IFERROR(__xludf.DUMMYFUNCTION("SPLIT(C4202,""-"")"),4222.0)</f>
        <v>4222</v>
      </c>
      <c r="E4202" s="308" t="str">
        <f>IFERROR(__xludf.DUMMYFUNCTION("""COMPUTED_VALUE"""),"I")</f>
        <v>I</v>
      </c>
      <c r="F4202" s="309" t="s">
        <v>31</v>
      </c>
      <c r="G4202" s="308"/>
      <c r="H4202" s="308" t="s">
        <v>17035</v>
      </c>
      <c r="I4202" s="310">
        <v>42563.0</v>
      </c>
      <c r="J4202" s="319">
        <f>IFERROR(__xludf.DUMMYFUNCTION("SPLIT(I4202,""/"")"),12.0)</f>
        <v>12</v>
      </c>
      <c r="K4202" s="308">
        <f>IFERROR(__xludf.DUMMYFUNCTION("""COMPUTED_VALUE"""),7.0)</f>
        <v>7</v>
      </c>
      <c r="L4202" s="308">
        <f>IFERROR(__xludf.DUMMYFUNCTION("""COMPUTED_VALUE"""),2016.0)</f>
        <v>2016</v>
      </c>
      <c r="M4202" s="308" t="s">
        <v>17036</v>
      </c>
      <c r="N4202" s="308" t="s">
        <v>17037</v>
      </c>
      <c r="O4202" s="308"/>
      <c r="P4202" s="308" t="s">
        <v>37494</v>
      </c>
      <c r="Q4202" s="308" t="s">
        <v>37490</v>
      </c>
      <c r="R4202" s="308" t="s">
        <v>14911</v>
      </c>
      <c r="S4202" s="308" t="s">
        <v>49</v>
      </c>
      <c r="T4202" s="308" t="s">
        <v>51</v>
      </c>
      <c r="U4202" s="308" t="s">
        <v>31</v>
      </c>
      <c r="V4202" s="312"/>
    </row>
    <row r="4203">
      <c r="A4203" s="308">
        <v>4202.0</v>
      </c>
      <c r="B4203" s="308"/>
      <c r="C4203" s="308" t="s">
        <v>17039</v>
      </c>
      <c r="D4203" s="308">
        <f>IFERROR(__xludf.DUMMYFUNCTION("SPLIT(C4203,""-"")"),4223.0)</f>
        <v>4223</v>
      </c>
      <c r="E4203" s="308" t="str">
        <f>IFERROR(__xludf.DUMMYFUNCTION("""COMPUTED_VALUE"""),"K")</f>
        <v>K</v>
      </c>
      <c r="F4203" s="309" t="s">
        <v>34</v>
      </c>
      <c r="G4203" s="308"/>
      <c r="H4203" s="308" t="s">
        <v>17040</v>
      </c>
      <c r="I4203" s="310">
        <v>42277.0</v>
      </c>
      <c r="J4203" s="319">
        <f>IFERROR(__xludf.DUMMYFUNCTION("SPLIT(I4203,""/"")"),30.0)</f>
        <v>30</v>
      </c>
      <c r="K4203" s="308">
        <f>IFERROR(__xludf.DUMMYFUNCTION("""COMPUTED_VALUE"""),9.0)</f>
        <v>9</v>
      </c>
      <c r="L4203" s="308">
        <f>IFERROR(__xludf.DUMMYFUNCTION("""COMPUTED_VALUE"""),2015.0)</f>
        <v>2015</v>
      </c>
      <c r="M4203" s="308" t="s">
        <v>17041</v>
      </c>
      <c r="N4203" s="308"/>
      <c r="O4203" s="308"/>
      <c r="P4203" s="308" t="s">
        <v>37495</v>
      </c>
      <c r="Q4203" s="308" t="s">
        <v>37490</v>
      </c>
      <c r="R4203" s="308" t="s">
        <v>14911</v>
      </c>
      <c r="S4203" s="315" t="s">
        <v>100</v>
      </c>
      <c r="T4203" s="311" t="s">
        <v>34208</v>
      </c>
      <c r="U4203" s="308" t="s">
        <v>941</v>
      </c>
      <c r="V4203" s="312"/>
    </row>
    <row r="4204">
      <c r="A4204" s="308">
        <v>4203.0</v>
      </c>
      <c r="B4204" s="308"/>
      <c r="C4204" s="308" t="s">
        <v>17042</v>
      </c>
      <c r="D4204" s="308">
        <f>IFERROR(__xludf.DUMMYFUNCTION("SPLIT(C4204,""-"")"),4224.0)</f>
        <v>4224</v>
      </c>
      <c r="E4204" s="308" t="str">
        <f>IFERROR(__xludf.DUMMYFUNCTION("""COMPUTED_VALUE"""),"K")</f>
        <v>K</v>
      </c>
      <c r="F4204" s="309" t="s">
        <v>34</v>
      </c>
      <c r="G4204" s="308"/>
      <c r="H4204" s="308" t="s">
        <v>17043</v>
      </c>
      <c r="I4204" s="310">
        <v>42819.0</v>
      </c>
      <c r="J4204" s="319" t="str">
        <f>IFERROR(__xludf.DUMMYFUNCTION("SPLIT(I4204,""/"")"),"#REF!")</f>
        <v>#REF!</v>
      </c>
      <c r="K4204" s="308"/>
      <c r="L4204" s="308">
        <v>2017.0</v>
      </c>
      <c r="M4204" s="308" t="s">
        <v>17044</v>
      </c>
      <c r="N4204" s="308"/>
      <c r="O4204" s="308" t="s">
        <v>17045</v>
      </c>
      <c r="P4204" s="308" t="s">
        <v>17046</v>
      </c>
      <c r="Q4204" s="308" t="s">
        <v>37490</v>
      </c>
      <c r="R4204" s="308" t="s">
        <v>14911</v>
      </c>
      <c r="S4204" s="308" t="s">
        <v>81</v>
      </c>
      <c r="T4204" s="311" t="s">
        <v>96</v>
      </c>
      <c r="U4204" s="308" t="s">
        <v>125</v>
      </c>
      <c r="V4204" s="312"/>
    </row>
    <row r="4205">
      <c r="A4205" s="308">
        <v>4204.0</v>
      </c>
      <c r="B4205" s="308"/>
      <c r="C4205" s="308" t="s">
        <v>17047</v>
      </c>
      <c r="D4205" s="308">
        <f>IFERROR(__xludf.DUMMYFUNCTION("SPLIT(C4205,""-"")"),4225.0)</f>
        <v>4225</v>
      </c>
      <c r="E4205" s="308" t="str">
        <f>IFERROR(__xludf.DUMMYFUNCTION("""COMPUTED_VALUE"""),"F")</f>
        <v>F</v>
      </c>
      <c r="F4205" s="309" t="s">
        <v>34</v>
      </c>
      <c r="G4205" s="308"/>
      <c r="H4205" s="308" t="s">
        <v>17048</v>
      </c>
      <c r="I4205" s="310">
        <v>41698.0</v>
      </c>
      <c r="J4205" s="319">
        <f>IFERROR(__xludf.DUMMYFUNCTION("SPLIT(I4205,""/"")"),28.0)</f>
        <v>28</v>
      </c>
      <c r="K4205" s="308">
        <f>IFERROR(__xludf.DUMMYFUNCTION("""COMPUTED_VALUE"""),2.0)</f>
        <v>2</v>
      </c>
      <c r="L4205" s="308">
        <f>IFERROR(__xludf.DUMMYFUNCTION("""COMPUTED_VALUE"""),2014.0)</f>
        <v>2014</v>
      </c>
      <c r="M4205" s="308" t="s">
        <v>17049</v>
      </c>
      <c r="N4205" s="308"/>
      <c r="O4205" s="308"/>
      <c r="P4205" s="308" t="s">
        <v>17050</v>
      </c>
      <c r="Q4205" s="308" t="s">
        <v>37490</v>
      </c>
      <c r="R4205" s="308" t="s">
        <v>14911</v>
      </c>
      <c r="S4205" s="308" t="s">
        <v>81</v>
      </c>
      <c r="T4205" s="311" t="s">
        <v>73</v>
      </c>
      <c r="U4205" s="308" t="s">
        <v>195</v>
      </c>
      <c r="V4205" s="312"/>
    </row>
    <row r="4206">
      <c r="A4206" s="308">
        <v>4205.0</v>
      </c>
      <c r="B4206" s="308"/>
      <c r="C4206" s="308" t="s">
        <v>17051</v>
      </c>
      <c r="D4206" s="308">
        <f>IFERROR(__xludf.DUMMYFUNCTION("SPLIT(C4206,""-"")"),4226.0)</f>
        <v>4226</v>
      </c>
      <c r="E4206" s="308" t="str">
        <f>IFERROR(__xludf.DUMMYFUNCTION("""COMPUTED_VALUE"""),"K")</f>
        <v>K</v>
      </c>
      <c r="F4206" s="309" t="s">
        <v>34</v>
      </c>
      <c r="G4206" s="308"/>
      <c r="H4206" s="308" t="s">
        <v>17052</v>
      </c>
      <c r="I4206" s="310">
        <v>41467.0</v>
      </c>
      <c r="J4206" s="319">
        <f>IFERROR(__xludf.DUMMYFUNCTION("SPLIT(I4206,""/"")"),12.0)</f>
        <v>12</v>
      </c>
      <c r="K4206" s="308">
        <f>IFERROR(__xludf.DUMMYFUNCTION("""COMPUTED_VALUE"""),7.0)</f>
        <v>7</v>
      </c>
      <c r="L4206" s="308">
        <f>IFERROR(__xludf.DUMMYFUNCTION("""COMPUTED_VALUE"""),2013.0)</f>
        <v>2013</v>
      </c>
      <c r="M4206" s="308" t="s">
        <v>17053</v>
      </c>
      <c r="N4206" s="308"/>
      <c r="O4206" s="308"/>
      <c r="P4206" s="308" t="s">
        <v>17054</v>
      </c>
      <c r="Q4206" s="308" t="s">
        <v>37490</v>
      </c>
      <c r="R4206" s="308" t="s">
        <v>14911</v>
      </c>
      <c r="S4206" s="308" t="s">
        <v>81</v>
      </c>
      <c r="T4206" s="308" t="s">
        <v>34264</v>
      </c>
      <c r="U4206" s="308" t="s">
        <v>542</v>
      </c>
      <c r="V4206" s="312"/>
    </row>
    <row r="4207">
      <c r="A4207" s="308">
        <v>4206.0</v>
      </c>
      <c r="B4207" s="308"/>
      <c r="C4207" s="308" t="s">
        <v>17055</v>
      </c>
      <c r="D4207" s="308">
        <f>IFERROR(__xludf.DUMMYFUNCTION("SPLIT(C4207,""-"")"),4227.0)</f>
        <v>4227</v>
      </c>
      <c r="E4207" s="308" t="str">
        <f>IFERROR(__xludf.DUMMYFUNCTION("""COMPUTED_VALUE"""),"I")</f>
        <v>I</v>
      </c>
      <c r="F4207" s="309" t="s">
        <v>31</v>
      </c>
      <c r="G4207" s="308"/>
      <c r="H4207" s="308" t="s">
        <v>17056</v>
      </c>
      <c r="I4207" s="310">
        <v>41846.0</v>
      </c>
      <c r="J4207" s="319">
        <f>IFERROR(__xludf.DUMMYFUNCTION("SPLIT(I4207,""/"")"),26.0)</f>
        <v>26</v>
      </c>
      <c r="K4207" s="308">
        <f>IFERROR(__xludf.DUMMYFUNCTION("""COMPUTED_VALUE"""),7.0)</f>
        <v>7</v>
      </c>
      <c r="L4207" s="308">
        <f>IFERROR(__xludf.DUMMYFUNCTION("""COMPUTED_VALUE"""),2014.0)</f>
        <v>2014</v>
      </c>
      <c r="M4207" s="308" t="s">
        <v>17057</v>
      </c>
      <c r="N4207" s="308"/>
      <c r="O4207" s="308"/>
      <c r="P4207" s="308" t="s">
        <v>17058</v>
      </c>
      <c r="Q4207" s="308" t="s">
        <v>37490</v>
      </c>
      <c r="R4207" s="308" t="s">
        <v>2743</v>
      </c>
      <c r="S4207" s="308" t="s">
        <v>81</v>
      </c>
      <c r="T4207" s="308" t="s">
        <v>34264</v>
      </c>
      <c r="U4207" s="308" t="s">
        <v>31</v>
      </c>
      <c r="V4207" s="312"/>
    </row>
    <row r="4208">
      <c r="A4208" s="308">
        <v>4207.0</v>
      </c>
      <c r="B4208" s="308"/>
      <c r="C4208" s="308" t="s">
        <v>17059</v>
      </c>
      <c r="D4208" s="308">
        <f>IFERROR(__xludf.DUMMYFUNCTION("SPLIT(C4208,""-"")"),4228.0)</f>
        <v>4228</v>
      </c>
      <c r="E4208" s="308" t="str">
        <f>IFERROR(__xludf.DUMMYFUNCTION("""COMPUTED_VALUE"""),"K")</f>
        <v>K</v>
      </c>
      <c r="F4208" s="309" t="s">
        <v>34</v>
      </c>
      <c r="G4208" s="308"/>
      <c r="H4208" s="308" t="s">
        <v>17060</v>
      </c>
      <c r="I4208" s="310">
        <v>42607.0</v>
      </c>
      <c r="J4208" s="319">
        <f>IFERROR(__xludf.DUMMYFUNCTION("SPLIT(I4208,""/"")"),25.0)</f>
        <v>25</v>
      </c>
      <c r="K4208" s="308">
        <f>IFERROR(__xludf.DUMMYFUNCTION("""COMPUTED_VALUE"""),8.0)</f>
        <v>8</v>
      </c>
      <c r="L4208" s="308">
        <f>IFERROR(__xludf.DUMMYFUNCTION("""COMPUTED_VALUE"""),2016.0)</f>
        <v>2016</v>
      </c>
      <c r="M4208" s="308" t="s">
        <v>17061</v>
      </c>
      <c r="N4208" s="308"/>
      <c r="O4208" s="308"/>
      <c r="P4208" s="308" t="s">
        <v>17062</v>
      </c>
      <c r="Q4208" s="308" t="s">
        <v>37490</v>
      </c>
      <c r="R4208" s="308" t="s">
        <v>2743</v>
      </c>
      <c r="S4208" s="308" t="s">
        <v>81</v>
      </c>
      <c r="T4208" s="308" t="s">
        <v>98</v>
      </c>
      <c r="U4208" s="308" t="s">
        <v>368</v>
      </c>
      <c r="V4208" s="312"/>
    </row>
    <row r="4209">
      <c r="A4209" s="308">
        <v>4208.0</v>
      </c>
      <c r="B4209" s="308"/>
      <c r="C4209" s="308" t="s">
        <v>17063</v>
      </c>
      <c r="D4209" s="308">
        <f>IFERROR(__xludf.DUMMYFUNCTION("SPLIT(C4209,""-"")"),4229.0)</f>
        <v>4229</v>
      </c>
      <c r="E4209" s="308" t="str">
        <f>IFERROR(__xludf.DUMMYFUNCTION("""COMPUTED_VALUE"""),"K")</f>
        <v>K</v>
      </c>
      <c r="F4209" s="309" t="s">
        <v>34</v>
      </c>
      <c r="G4209" s="308"/>
      <c r="H4209" s="308" t="s">
        <v>17064</v>
      </c>
      <c r="I4209" s="310">
        <v>42607.0</v>
      </c>
      <c r="J4209" s="319">
        <f>IFERROR(__xludf.DUMMYFUNCTION("SPLIT(I4209,""/"")"),25.0)</f>
        <v>25</v>
      </c>
      <c r="K4209" s="308">
        <f>IFERROR(__xludf.DUMMYFUNCTION("""COMPUTED_VALUE"""),8.0)</f>
        <v>8</v>
      </c>
      <c r="L4209" s="308">
        <f>IFERROR(__xludf.DUMMYFUNCTION("""COMPUTED_VALUE"""),2016.0)</f>
        <v>2016</v>
      </c>
      <c r="M4209" s="308" t="s">
        <v>17061</v>
      </c>
      <c r="N4209" s="308"/>
      <c r="O4209" s="308"/>
      <c r="P4209" s="308" t="s">
        <v>17065</v>
      </c>
      <c r="Q4209" s="308" t="s">
        <v>37490</v>
      </c>
      <c r="R4209" s="308" t="s">
        <v>2743</v>
      </c>
      <c r="S4209" s="308" t="s">
        <v>81</v>
      </c>
      <c r="T4209" s="311" t="s">
        <v>34264</v>
      </c>
      <c r="U4209" s="308" t="s">
        <v>368</v>
      </c>
      <c r="V4209" s="312"/>
    </row>
    <row r="4210">
      <c r="A4210" s="308">
        <v>4209.0</v>
      </c>
      <c r="B4210" s="308"/>
      <c r="C4210" s="308" t="s">
        <v>17066</v>
      </c>
      <c r="D4210" s="308">
        <f>IFERROR(__xludf.DUMMYFUNCTION("SPLIT(C4210,""-"")"),4230.0)</f>
        <v>4230</v>
      </c>
      <c r="E4210" s="308" t="str">
        <f>IFERROR(__xludf.DUMMYFUNCTION("""COMPUTED_VALUE"""),"K")</f>
        <v>K</v>
      </c>
      <c r="F4210" s="309" t="s">
        <v>34</v>
      </c>
      <c r="G4210" s="308"/>
      <c r="H4210" s="308" t="s">
        <v>17067</v>
      </c>
      <c r="I4210" s="310">
        <v>41461.0</v>
      </c>
      <c r="J4210" s="319">
        <f>IFERROR(__xludf.DUMMYFUNCTION("SPLIT(I4210,""/"")"),6.0)</f>
        <v>6</v>
      </c>
      <c r="K4210" s="308">
        <f>IFERROR(__xludf.DUMMYFUNCTION("""COMPUTED_VALUE"""),7.0)</f>
        <v>7</v>
      </c>
      <c r="L4210" s="308">
        <f>IFERROR(__xludf.DUMMYFUNCTION("""COMPUTED_VALUE"""),2013.0)</f>
        <v>2013</v>
      </c>
      <c r="M4210" s="308" t="s">
        <v>17068</v>
      </c>
      <c r="N4210" s="308"/>
      <c r="O4210" s="308"/>
      <c r="P4210" s="308" t="s">
        <v>37413</v>
      </c>
      <c r="Q4210" s="308" t="s">
        <v>37490</v>
      </c>
      <c r="R4210" s="308" t="s">
        <v>2743</v>
      </c>
      <c r="S4210" s="315" t="s">
        <v>100</v>
      </c>
      <c r="T4210" s="311" t="s">
        <v>34208</v>
      </c>
      <c r="U4210" s="308" t="s">
        <v>125</v>
      </c>
      <c r="V4210" s="312"/>
    </row>
    <row r="4211">
      <c r="A4211" s="308">
        <v>4210.0</v>
      </c>
      <c r="B4211" s="308"/>
      <c r="C4211" s="308" t="s">
        <v>17069</v>
      </c>
      <c r="D4211" s="308">
        <f>IFERROR(__xludf.DUMMYFUNCTION("SPLIT(C4211,""-"")"),4231.0)</f>
        <v>4231</v>
      </c>
      <c r="E4211" s="308" t="str">
        <f>IFERROR(__xludf.DUMMYFUNCTION("""COMPUTED_VALUE"""),"K")</f>
        <v>K</v>
      </c>
      <c r="F4211" s="309" t="s">
        <v>34</v>
      </c>
      <c r="G4211" s="308"/>
      <c r="H4211" s="308" t="s">
        <v>17070</v>
      </c>
      <c r="I4211" s="310">
        <v>41461.0</v>
      </c>
      <c r="J4211" s="319">
        <f>IFERROR(__xludf.DUMMYFUNCTION("SPLIT(I4211,""/"")"),6.0)</f>
        <v>6</v>
      </c>
      <c r="K4211" s="308">
        <f>IFERROR(__xludf.DUMMYFUNCTION("""COMPUTED_VALUE"""),7.0)</f>
        <v>7</v>
      </c>
      <c r="L4211" s="308">
        <f>IFERROR(__xludf.DUMMYFUNCTION("""COMPUTED_VALUE"""),2013.0)</f>
        <v>2013</v>
      </c>
      <c r="M4211" s="308" t="s">
        <v>37496</v>
      </c>
      <c r="N4211" s="308"/>
      <c r="O4211" s="308"/>
      <c r="P4211" s="308" t="s">
        <v>37413</v>
      </c>
      <c r="Q4211" s="308" t="s">
        <v>37490</v>
      </c>
      <c r="R4211" s="308" t="s">
        <v>2743</v>
      </c>
      <c r="S4211" s="315" t="s">
        <v>100</v>
      </c>
      <c r="T4211" s="311" t="s">
        <v>34208</v>
      </c>
      <c r="U4211" s="308" t="s">
        <v>125</v>
      </c>
      <c r="V4211" s="312"/>
    </row>
    <row r="4212">
      <c r="A4212" s="308">
        <v>4211.0</v>
      </c>
      <c r="B4212" s="308"/>
      <c r="C4212" s="308" t="s">
        <v>17072</v>
      </c>
      <c r="D4212" s="308">
        <f>IFERROR(__xludf.DUMMYFUNCTION("SPLIT(C4212,""-"")"),4232.0)</f>
        <v>4232</v>
      </c>
      <c r="E4212" s="308" t="str">
        <f>IFERROR(__xludf.DUMMYFUNCTION("""COMPUTED_VALUE"""),"P")</f>
        <v>P</v>
      </c>
      <c r="F4212" s="312" t="s">
        <v>37</v>
      </c>
      <c r="G4212" s="308"/>
      <c r="H4212" s="308" t="s">
        <v>17073</v>
      </c>
      <c r="I4212" s="310">
        <v>42934.0</v>
      </c>
      <c r="J4212" s="319">
        <f>IFERROR(__xludf.DUMMYFUNCTION("SPLIT(I4212,""/"")"),18.0)</f>
        <v>18</v>
      </c>
      <c r="K4212" s="308">
        <f>IFERROR(__xludf.DUMMYFUNCTION("""COMPUTED_VALUE"""),7.0)</f>
        <v>7</v>
      </c>
      <c r="L4212" s="308">
        <f>IFERROR(__xludf.DUMMYFUNCTION("""COMPUTED_VALUE"""),2017.0)</f>
        <v>2017</v>
      </c>
      <c r="M4212" s="308" t="s">
        <v>17074</v>
      </c>
      <c r="N4212" s="308"/>
      <c r="O4212" s="308" t="s">
        <v>17075</v>
      </c>
      <c r="P4212" s="308" t="s">
        <v>37497</v>
      </c>
      <c r="Q4212" s="308" t="s">
        <v>37490</v>
      </c>
      <c r="R4212" s="308" t="s">
        <v>2743</v>
      </c>
      <c r="S4212" s="308" t="s">
        <v>81</v>
      </c>
      <c r="T4212" s="308" t="s">
        <v>75</v>
      </c>
      <c r="U4212" s="308" t="s">
        <v>15904</v>
      </c>
      <c r="V4212" s="312"/>
    </row>
    <row r="4213">
      <c r="A4213" s="308">
        <v>4212.0</v>
      </c>
      <c r="B4213" s="308"/>
      <c r="C4213" s="308" t="s">
        <v>17077</v>
      </c>
      <c r="D4213" s="308">
        <f>IFERROR(__xludf.DUMMYFUNCTION("SPLIT(C4213,""-"")"),4233.0)</f>
        <v>4233</v>
      </c>
      <c r="E4213" s="308" t="str">
        <f>IFERROR(__xludf.DUMMYFUNCTION("""COMPUTED_VALUE"""),"S")</f>
        <v>S</v>
      </c>
      <c r="F4213" s="312" t="s">
        <v>39</v>
      </c>
      <c r="G4213" s="308"/>
      <c r="H4213" s="308" t="s">
        <v>17078</v>
      </c>
      <c r="I4213" s="310">
        <v>42935.0</v>
      </c>
      <c r="J4213" s="319">
        <f>IFERROR(__xludf.DUMMYFUNCTION("SPLIT(I4213,""/"")"),19.0)</f>
        <v>19</v>
      </c>
      <c r="K4213" s="308">
        <f>IFERROR(__xludf.DUMMYFUNCTION("""COMPUTED_VALUE"""),7.0)</f>
        <v>7</v>
      </c>
      <c r="L4213" s="308">
        <f>IFERROR(__xludf.DUMMYFUNCTION("""COMPUTED_VALUE"""),2017.0)</f>
        <v>2017</v>
      </c>
      <c r="M4213" s="308" t="s">
        <v>17079</v>
      </c>
      <c r="N4213" s="308"/>
      <c r="O4213" s="308"/>
      <c r="P4213" s="308" t="s">
        <v>37498</v>
      </c>
      <c r="Q4213" s="308" t="s">
        <v>37490</v>
      </c>
      <c r="R4213" s="308" t="s">
        <v>14256</v>
      </c>
      <c r="S4213" s="308" t="s">
        <v>81</v>
      </c>
      <c r="T4213" s="308" t="s">
        <v>75</v>
      </c>
      <c r="U4213" s="308" t="s">
        <v>166</v>
      </c>
      <c r="V4213" s="312"/>
    </row>
    <row r="4214">
      <c r="A4214" s="308">
        <v>4213.0</v>
      </c>
      <c r="B4214" s="308"/>
      <c r="C4214" s="308" t="s">
        <v>17081</v>
      </c>
      <c r="D4214" s="308">
        <f>IFERROR(__xludf.DUMMYFUNCTION("SPLIT(C4214,""-"")"),4234.0)</f>
        <v>4234</v>
      </c>
      <c r="E4214" s="308" t="str">
        <f>IFERROR(__xludf.DUMMYFUNCTION("""COMPUTED_VALUE"""),"S")</f>
        <v>S</v>
      </c>
      <c r="F4214" s="312" t="s">
        <v>39</v>
      </c>
      <c r="G4214" s="308"/>
      <c r="H4214" s="308" t="s">
        <v>17082</v>
      </c>
      <c r="I4214" s="310">
        <v>42941.0</v>
      </c>
      <c r="J4214" s="319">
        <f>IFERROR(__xludf.DUMMYFUNCTION("SPLIT(I4214,""/"")"),25.0)</f>
        <v>25</v>
      </c>
      <c r="K4214" s="308">
        <f>IFERROR(__xludf.DUMMYFUNCTION("""COMPUTED_VALUE"""),7.0)</f>
        <v>7</v>
      </c>
      <c r="L4214" s="308">
        <f>IFERROR(__xludf.DUMMYFUNCTION("""COMPUTED_VALUE"""),2017.0)</f>
        <v>2017</v>
      </c>
      <c r="M4214" s="308" t="s">
        <v>17083</v>
      </c>
      <c r="N4214" s="308"/>
      <c r="O4214" s="308"/>
      <c r="P4214" s="308" t="s">
        <v>17084</v>
      </c>
      <c r="Q4214" s="308" t="s">
        <v>37490</v>
      </c>
      <c r="R4214" s="308" t="s">
        <v>14256</v>
      </c>
      <c r="S4214" s="308" t="s">
        <v>81</v>
      </c>
      <c r="T4214" s="308" t="s">
        <v>75</v>
      </c>
      <c r="U4214" s="308" t="s">
        <v>166</v>
      </c>
      <c r="V4214" s="312"/>
    </row>
    <row r="4215">
      <c r="A4215" s="308">
        <v>4214.0</v>
      </c>
      <c r="B4215" s="308"/>
      <c r="C4215" s="308" t="s">
        <v>17085</v>
      </c>
      <c r="D4215" s="308">
        <f>IFERROR(__xludf.DUMMYFUNCTION("SPLIT(C4215,""-"")"),4235.0)</f>
        <v>4235</v>
      </c>
      <c r="E4215" s="308" t="str">
        <f>IFERROR(__xludf.DUMMYFUNCTION("""COMPUTED_VALUE"""),"K")</f>
        <v>K</v>
      </c>
      <c r="F4215" s="309" t="s">
        <v>34</v>
      </c>
      <c r="G4215" s="308"/>
      <c r="H4215" s="308" t="s">
        <v>17086</v>
      </c>
      <c r="I4215" s="310">
        <v>42891.0</v>
      </c>
      <c r="J4215" s="319" t="str">
        <f>IFERROR(__xludf.DUMMYFUNCTION("SPLIT(I4215,""/"")"),"#REF!")</f>
        <v>#REF!</v>
      </c>
      <c r="K4215" s="308"/>
      <c r="L4215" s="308">
        <v>2017.0</v>
      </c>
      <c r="M4215" s="308" t="s">
        <v>37499</v>
      </c>
      <c r="N4215" s="308" t="s">
        <v>17088</v>
      </c>
      <c r="O4215" s="308"/>
      <c r="P4215" s="308" t="s">
        <v>37500</v>
      </c>
      <c r="Q4215" s="308" t="s">
        <v>37490</v>
      </c>
      <c r="R4215" s="308" t="s">
        <v>14256</v>
      </c>
      <c r="S4215" s="315" t="s">
        <v>100</v>
      </c>
      <c r="T4215" s="311" t="s">
        <v>34208</v>
      </c>
      <c r="U4215" s="308" t="s">
        <v>368</v>
      </c>
      <c r="V4215" s="312"/>
    </row>
    <row r="4216">
      <c r="A4216" s="308">
        <v>4215.0</v>
      </c>
      <c r="B4216" s="308"/>
      <c r="C4216" s="308" t="s">
        <v>17089</v>
      </c>
      <c r="D4216" s="308">
        <f>IFERROR(__xludf.DUMMYFUNCTION("SPLIT(C4216,""-"")"),4236.0)</f>
        <v>4236</v>
      </c>
      <c r="E4216" s="308" t="str">
        <f>IFERROR(__xludf.DUMMYFUNCTION("""COMPUTED_VALUE"""),"K")</f>
        <v>K</v>
      </c>
      <c r="F4216" s="309" t="s">
        <v>34</v>
      </c>
      <c r="G4216" s="308"/>
      <c r="H4216" s="308" t="s">
        <v>17090</v>
      </c>
      <c r="I4216" s="310">
        <v>42312.0</v>
      </c>
      <c r="J4216" s="319">
        <f>IFERROR(__xludf.DUMMYFUNCTION("SPLIT(I4216,""/"")"),4.0)</f>
        <v>4</v>
      </c>
      <c r="K4216" s="308">
        <f>IFERROR(__xludf.DUMMYFUNCTION("""COMPUTED_VALUE"""),11.0)</f>
        <v>11</v>
      </c>
      <c r="L4216" s="308">
        <f>IFERROR(__xludf.DUMMYFUNCTION("""COMPUTED_VALUE"""),2015.0)</f>
        <v>2015</v>
      </c>
      <c r="M4216" s="308" t="s">
        <v>17091</v>
      </c>
      <c r="N4216" s="308"/>
      <c r="O4216" s="308"/>
      <c r="P4216" s="308" t="s">
        <v>37500</v>
      </c>
      <c r="Q4216" s="308" t="s">
        <v>37490</v>
      </c>
      <c r="R4216" s="308" t="s">
        <v>14256</v>
      </c>
      <c r="S4216" s="315" t="s">
        <v>100</v>
      </c>
      <c r="T4216" s="311" t="s">
        <v>34208</v>
      </c>
      <c r="U4216" s="308" t="s">
        <v>368</v>
      </c>
      <c r="V4216" s="312"/>
    </row>
    <row r="4217">
      <c r="A4217" s="308">
        <v>4216.0</v>
      </c>
      <c r="B4217" s="308"/>
      <c r="C4217" s="308" t="s">
        <v>17092</v>
      </c>
      <c r="D4217" s="308">
        <f>IFERROR(__xludf.DUMMYFUNCTION("SPLIT(C4217,""-"")"),4237.0)</f>
        <v>4237</v>
      </c>
      <c r="E4217" s="308" t="str">
        <f>IFERROR(__xludf.DUMMYFUNCTION("""COMPUTED_VALUE"""),"F")</f>
        <v>F</v>
      </c>
      <c r="F4217" s="309" t="s">
        <v>34</v>
      </c>
      <c r="G4217" s="308"/>
      <c r="H4217" s="308" t="s">
        <v>17093</v>
      </c>
      <c r="I4217" s="316">
        <v>2016.0</v>
      </c>
      <c r="J4217" s="319"/>
      <c r="K4217" s="308"/>
      <c r="L4217" s="311">
        <v>2016.0</v>
      </c>
      <c r="M4217" s="308" t="s">
        <v>17094</v>
      </c>
      <c r="N4217" s="308"/>
      <c r="O4217" s="308"/>
      <c r="P4217" s="308" t="s">
        <v>17095</v>
      </c>
      <c r="Q4217" s="308" t="s">
        <v>37490</v>
      </c>
      <c r="R4217" s="308" t="s">
        <v>2743</v>
      </c>
      <c r="S4217" s="308" t="s">
        <v>81</v>
      </c>
      <c r="T4217" s="308" t="s">
        <v>34264</v>
      </c>
      <c r="U4217" s="308" t="s">
        <v>195</v>
      </c>
      <c r="V4217" s="312"/>
    </row>
    <row r="4218">
      <c r="A4218" s="308">
        <v>4217.0</v>
      </c>
      <c r="B4218" s="308"/>
      <c r="C4218" s="308" t="s">
        <v>17096</v>
      </c>
      <c r="D4218" s="308">
        <f>IFERROR(__xludf.DUMMYFUNCTION("SPLIT(C4218,""-"")"),4238.0)</f>
        <v>4238</v>
      </c>
      <c r="E4218" s="308" t="str">
        <f>IFERROR(__xludf.DUMMYFUNCTION("""COMPUTED_VALUE"""),"K")</f>
        <v>K</v>
      </c>
      <c r="F4218" s="309" t="s">
        <v>34</v>
      </c>
      <c r="G4218" s="308"/>
      <c r="H4218" s="308" t="s">
        <v>17097</v>
      </c>
      <c r="I4218" s="310">
        <v>42562.0</v>
      </c>
      <c r="J4218" s="319">
        <f>IFERROR(__xludf.DUMMYFUNCTION("SPLIT(I4218,""/"")"),11.0)</f>
        <v>11</v>
      </c>
      <c r="K4218" s="308">
        <f>IFERROR(__xludf.DUMMYFUNCTION("""COMPUTED_VALUE"""),7.0)</f>
        <v>7</v>
      </c>
      <c r="L4218" s="308">
        <f>IFERROR(__xludf.DUMMYFUNCTION("""COMPUTED_VALUE"""),2016.0)</f>
        <v>2016</v>
      </c>
      <c r="M4218" s="308" t="s">
        <v>17098</v>
      </c>
      <c r="N4218" s="308"/>
      <c r="O4218" s="308"/>
      <c r="P4218" s="308" t="s">
        <v>17099</v>
      </c>
      <c r="Q4218" s="308" t="s">
        <v>37490</v>
      </c>
      <c r="R4218" s="308" t="s">
        <v>14256</v>
      </c>
      <c r="S4218" s="308" t="s">
        <v>81</v>
      </c>
      <c r="T4218" s="308" t="s">
        <v>34264</v>
      </c>
      <c r="U4218" s="308" t="s">
        <v>542</v>
      </c>
      <c r="V4218" s="312"/>
    </row>
    <row r="4219">
      <c r="A4219" s="308">
        <v>4218.0</v>
      </c>
      <c r="B4219" s="308"/>
      <c r="C4219" s="308" t="s">
        <v>17100</v>
      </c>
      <c r="D4219" s="308">
        <f>IFERROR(__xludf.DUMMYFUNCTION("SPLIT(C4219,""-"")"),4239.0)</f>
        <v>4239</v>
      </c>
      <c r="E4219" s="308" t="str">
        <f>IFERROR(__xludf.DUMMYFUNCTION("""COMPUTED_VALUE"""),"K")</f>
        <v>K</v>
      </c>
      <c r="F4219" s="309" t="s">
        <v>34</v>
      </c>
      <c r="G4219" s="308"/>
      <c r="H4219" s="308" t="s">
        <v>17101</v>
      </c>
      <c r="I4219" s="310">
        <v>40824.0</v>
      </c>
      <c r="J4219" s="319">
        <f>IFERROR(__xludf.DUMMYFUNCTION("SPLIT(I4219,""/"")"),8.0)</f>
        <v>8</v>
      </c>
      <c r="K4219" s="308">
        <f>IFERROR(__xludf.DUMMYFUNCTION("""COMPUTED_VALUE"""),10.0)</f>
        <v>10</v>
      </c>
      <c r="L4219" s="308">
        <f>IFERROR(__xludf.DUMMYFUNCTION("""COMPUTED_VALUE"""),2011.0)</f>
        <v>2011</v>
      </c>
      <c r="M4219" s="308" t="s">
        <v>17102</v>
      </c>
      <c r="N4219" s="308"/>
      <c r="O4219" s="308"/>
      <c r="P4219" s="308" t="s">
        <v>37501</v>
      </c>
      <c r="Q4219" s="308" t="s">
        <v>37502</v>
      </c>
      <c r="R4219" s="308" t="s">
        <v>2743</v>
      </c>
      <c r="S4219" s="308" t="s">
        <v>81</v>
      </c>
      <c r="T4219" s="308" t="s">
        <v>34264</v>
      </c>
      <c r="U4219" s="308" t="s">
        <v>9260</v>
      </c>
      <c r="V4219" s="312"/>
    </row>
    <row r="4220">
      <c r="A4220" s="308">
        <v>4219.0</v>
      </c>
      <c r="B4220" s="308"/>
      <c r="C4220" s="308" t="s">
        <v>17104</v>
      </c>
      <c r="D4220" s="308">
        <f>IFERROR(__xludf.DUMMYFUNCTION("SPLIT(C4220,""-"")"),4240.0)</f>
        <v>4240</v>
      </c>
      <c r="E4220" s="308" t="str">
        <f>IFERROR(__xludf.DUMMYFUNCTION("""COMPUTED_VALUE"""),"F")</f>
        <v>F</v>
      </c>
      <c r="F4220" s="309" t="s">
        <v>34</v>
      </c>
      <c r="G4220" s="308"/>
      <c r="H4220" s="308" t="s">
        <v>17105</v>
      </c>
      <c r="I4220" s="325">
        <v>41852.0</v>
      </c>
      <c r="J4220" s="319"/>
      <c r="K4220" s="311">
        <v>8.0</v>
      </c>
      <c r="L4220" s="311">
        <v>2014.0</v>
      </c>
      <c r="M4220" s="308" t="s">
        <v>17106</v>
      </c>
      <c r="N4220" s="308"/>
      <c r="O4220" s="308"/>
      <c r="P4220" s="308" t="s">
        <v>37503</v>
      </c>
      <c r="Q4220" s="308" t="s">
        <v>37504</v>
      </c>
      <c r="R4220" s="308" t="s">
        <v>2743</v>
      </c>
      <c r="S4220" s="308" t="s">
        <v>81</v>
      </c>
      <c r="T4220" s="308" t="s">
        <v>75</v>
      </c>
      <c r="U4220" s="308" t="s">
        <v>195</v>
      </c>
      <c r="V4220" s="312"/>
    </row>
    <row r="4221">
      <c r="A4221" s="308">
        <v>4220.0</v>
      </c>
      <c r="B4221" s="308"/>
      <c r="C4221" s="308" t="s">
        <v>17108</v>
      </c>
      <c r="D4221" s="308">
        <f>IFERROR(__xludf.DUMMYFUNCTION("SPLIT(C4221,""-"")"),4241.0)</f>
        <v>4241</v>
      </c>
      <c r="E4221" s="308" t="str">
        <f>IFERROR(__xludf.DUMMYFUNCTION("""COMPUTED_VALUE"""),"B")</f>
        <v>B</v>
      </c>
      <c r="F4221" s="315" t="s">
        <v>26</v>
      </c>
      <c r="G4221" s="308"/>
      <c r="H4221" s="308" t="s">
        <v>17109</v>
      </c>
      <c r="I4221" s="316">
        <v>2017.0</v>
      </c>
      <c r="J4221" s="319"/>
      <c r="K4221" s="308"/>
      <c r="L4221" s="311">
        <v>2017.0</v>
      </c>
      <c r="M4221" s="308" t="s">
        <v>17110</v>
      </c>
      <c r="N4221" s="308"/>
      <c r="O4221" s="308"/>
      <c r="P4221" s="308" t="s">
        <v>37505</v>
      </c>
      <c r="Q4221" s="308" t="s">
        <v>37504</v>
      </c>
      <c r="R4221" s="308" t="s">
        <v>2743</v>
      </c>
      <c r="S4221" s="308" t="s">
        <v>81</v>
      </c>
      <c r="T4221" s="311" t="s">
        <v>96</v>
      </c>
      <c r="U4221" s="308" t="s">
        <v>27</v>
      </c>
      <c r="V4221" s="312"/>
    </row>
    <row r="4222">
      <c r="A4222" s="308">
        <v>4221.0</v>
      </c>
      <c r="B4222" s="308"/>
      <c r="C4222" s="308" t="s">
        <v>17112</v>
      </c>
      <c r="D4222" s="308">
        <f>IFERROR(__xludf.DUMMYFUNCTION("SPLIT(C4222,""-"")"),4242.0)</f>
        <v>4242</v>
      </c>
      <c r="E4222" s="308" t="str">
        <f>IFERROR(__xludf.DUMMYFUNCTION("""COMPUTED_VALUE"""),"K")</f>
        <v>K</v>
      </c>
      <c r="F4222" s="309" t="s">
        <v>34</v>
      </c>
      <c r="G4222" s="308"/>
      <c r="H4222" s="308" t="s">
        <v>17113</v>
      </c>
      <c r="I4222" s="310">
        <v>41752.0</v>
      </c>
      <c r="J4222" s="319">
        <f>IFERROR(__xludf.DUMMYFUNCTION("SPLIT(I4222,""/"")"),23.0)</f>
        <v>23</v>
      </c>
      <c r="K4222" s="308">
        <f>IFERROR(__xludf.DUMMYFUNCTION("""COMPUTED_VALUE"""),4.0)</f>
        <v>4</v>
      </c>
      <c r="L4222" s="308">
        <f>IFERROR(__xludf.DUMMYFUNCTION("""COMPUTED_VALUE"""),2014.0)</f>
        <v>2014</v>
      </c>
      <c r="M4222" s="308" t="s">
        <v>17114</v>
      </c>
      <c r="N4222" s="308"/>
      <c r="O4222" s="308"/>
      <c r="P4222" s="308" t="s">
        <v>17115</v>
      </c>
      <c r="Q4222" s="308" t="s">
        <v>37504</v>
      </c>
      <c r="R4222" s="308" t="s">
        <v>2743</v>
      </c>
      <c r="S4222" s="308" t="s">
        <v>49</v>
      </c>
      <c r="T4222" s="311" t="s">
        <v>77</v>
      </c>
      <c r="U4222" s="308" t="s">
        <v>368</v>
      </c>
      <c r="V4222" s="312"/>
    </row>
    <row r="4223">
      <c r="A4223" s="308">
        <v>4222.0</v>
      </c>
      <c r="B4223" s="308"/>
      <c r="C4223" s="308" t="s">
        <v>17116</v>
      </c>
      <c r="D4223" s="308">
        <f>IFERROR(__xludf.DUMMYFUNCTION("SPLIT(C4223,""-"")"),4243.0)</f>
        <v>4243</v>
      </c>
      <c r="E4223" s="308" t="str">
        <f>IFERROR(__xludf.DUMMYFUNCTION("""COMPUTED_VALUE"""),"P")</f>
        <v>P</v>
      </c>
      <c r="F4223" s="312" t="s">
        <v>37</v>
      </c>
      <c r="G4223" s="308"/>
      <c r="H4223" s="308" t="s">
        <v>17117</v>
      </c>
      <c r="I4223" s="310">
        <v>42793.0</v>
      </c>
      <c r="J4223" s="319">
        <f>IFERROR(__xludf.DUMMYFUNCTION("SPLIT(I4223,""/"")"),27.0)</f>
        <v>27</v>
      </c>
      <c r="K4223" s="308">
        <f>IFERROR(__xludf.DUMMYFUNCTION("""COMPUTED_VALUE"""),2.0)</f>
        <v>2</v>
      </c>
      <c r="L4223" s="308">
        <f>IFERROR(__xludf.DUMMYFUNCTION("""COMPUTED_VALUE"""),2017.0)</f>
        <v>2017</v>
      </c>
      <c r="M4223" s="308" t="s">
        <v>17118</v>
      </c>
      <c r="N4223" s="308"/>
      <c r="O4223" s="308"/>
      <c r="P4223" s="308" t="s">
        <v>37506</v>
      </c>
      <c r="Q4223" s="308" t="s">
        <v>37507</v>
      </c>
      <c r="R4223" s="308" t="s">
        <v>2743</v>
      </c>
      <c r="S4223" s="308" t="s">
        <v>81</v>
      </c>
      <c r="T4223" s="308" t="s">
        <v>34264</v>
      </c>
      <c r="U4223" s="308" t="s">
        <v>143</v>
      </c>
      <c r="V4223" s="312"/>
    </row>
    <row r="4224">
      <c r="A4224" s="308">
        <v>4223.0</v>
      </c>
      <c r="B4224" s="308"/>
      <c r="C4224" s="308" t="s">
        <v>17120</v>
      </c>
      <c r="D4224" s="308">
        <f>IFERROR(__xludf.DUMMYFUNCTION("SPLIT(C4224,""-"")"),4244.0)</f>
        <v>4244</v>
      </c>
      <c r="E4224" s="308" t="str">
        <f>IFERROR(__xludf.DUMMYFUNCTION("""COMPUTED_VALUE"""),"P")</f>
        <v>P</v>
      </c>
      <c r="F4224" s="312" t="s">
        <v>37</v>
      </c>
      <c r="G4224" s="308"/>
      <c r="H4224" s="308" t="s">
        <v>17121</v>
      </c>
      <c r="I4224" s="322"/>
      <c r="J4224" s="319"/>
      <c r="K4224" s="308"/>
      <c r="L4224" s="311" t="s">
        <v>79</v>
      </c>
      <c r="M4224" s="308"/>
      <c r="N4224" s="308"/>
      <c r="O4224" s="308"/>
      <c r="P4224" s="308" t="s">
        <v>37508</v>
      </c>
      <c r="Q4224" s="308" t="s">
        <v>37507</v>
      </c>
      <c r="R4224" s="308" t="s">
        <v>17123</v>
      </c>
      <c r="S4224" s="308" t="s">
        <v>81</v>
      </c>
      <c r="T4224" s="308" t="s">
        <v>75</v>
      </c>
      <c r="U4224" s="308"/>
      <c r="V4224" s="312"/>
    </row>
    <row r="4225">
      <c r="A4225" s="308">
        <v>4224.0</v>
      </c>
      <c r="B4225" s="308"/>
      <c r="C4225" s="308" t="s">
        <v>17124</v>
      </c>
      <c r="D4225" s="308">
        <f>IFERROR(__xludf.DUMMYFUNCTION("SPLIT(C4225,""-"")"),4245.0)</f>
        <v>4245</v>
      </c>
      <c r="E4225" s="308" t="str">
        <f>IFERROR(__xludf.DUMMYFUNCTION("""COMPUTED_VALUE"""),"P")</f>
        <v>P</v>
      </c>
      <c r="F4225" s="312" t="s">
        <v>37</v>
      </c>
      <c r="G4225" s="308"/>
      <c r="H4225" s="308" t="s">
        <v>17125</v>
      </c>
      <c r="I4225" s="322"/>
      <c r="J4225" s="319"/>
      <c r="K4225" s="308"/>
      <c r="L4225" s="311" t="s">
        <v>79</v>
      </c>
      <c r="M4225" s="308"/>
      <c r="N4225" s="308"/>
      <c r="O4225" s="308"/>
      <c r="P4225" s="308" t="s">
        <v>37509</v>
      </c>
      <c r="Q4225" s="308" t="s">
        <v>37507</v>
      </c>
      <c r="R4225" s="308" t="s">
        <v>17123</v>
      </c>
      <c r="S4225" s="308" t="s">
        <v>81</v>
      </c>
      <c r="T4225" s="308" t="s">
        <v>75</v>
      </c>
      <c r="U4225" s="308" t="s">
        <v>2263</v>
      </c>
      <c r="V4225" s="312"/>
    </row>
    <row r="4226">
      <c r="A4226" s="308">
        <v>4225.0</v>
      </c>
      <c r="B4226" s="308"/>
      <c r="C4226" s="308" t="s">
        <v>17127</v>
      </c>
      <c r="D4226" s="308">
        <f>IFERROR(__xludf.DUMMYFUNCTION("SPLIT(C4226,""-"")"),4246.0)</f>
        <v>4246</v>
      </c>
      <c r="E4226" s="308" t="str">
        <f>IFERROR(__xludf.DUMMYFUNCTION("""COMPUTED_VALUE"""),"K")</f>
        <v>K</v>
      </c>
      <c r="F4226" s="309" t="s">
        <v>34</v>
      </c>
      <c r="G4226" s="308"/>
      <c r="H4226" s="308" t="s">
        <v>17128</v>
      </c>
      <c r="I4226" s="314">
        <v>41965.0</v>
      </c>
      <c r="J4226" s="319">
        <f>IFERROR(__xludf.DUMMYFUNCTION("SPLIT(I4226,""/"")"),22.0)</f>
        <v>22</v>
      </c>
      <c r="K4226" s="308">
        <f>IFERROR(__xludf.DUMMYFUNCTION("""COMPUTED_VALUE"""),11.0)</f>
        <v>11</v>
      </c>
      <c r="L4226" s="308">
        <f>IFERROR(__xludf.DUMMYFUNCTION("""COMPUTED_VALUE"""),2014.0)</f>
        <v>2014</v>
      </c>
      <c r="M4226" s="308" t="s">
        <v>17129</v>
      </c>
      <c r="N4226" s="308"/>
      <c r="O4226" s="308"/>
      <c r="P4226" s="308" t="s">
        <v>37510</v>
      </c>
      <c r="Q4226" s="308" t="s">
        <v>37507</v>
      </c>
      <c r="R4226" s="308" t="s">
        <v>13810</v>
      </c>
      <c r="S4226" s="308" t="s">
        <v>81</v>
      </c>
      <c r="T4226" s="308" t="s">
        <v>34264</v>
      </c>
      <c r="U4226" s="308" t="s">
        <v>4749</v>
      </c>
      <c r="V4226" s="312"/>
    </row>
    <row r="4227">
      <c r="A4227" s="308">
        <v>4226.0</v>
      </c>
      <c r="B4227" s="308"/>
      <c r="C4227" s="308" t="s">
        <v>17131</v>
      </c>
      <c r="D4227" s="308">
        <f>IFERROR(__xludf.DUMMYFUNCTION("SPLIT(C4227,""-"")"),4247.0)</f>
        <v>4247</v>
      </c>
      <c r="E4227" s="308" t="str">
        <f>IFERROR(__xludf.DUMMYFUNCTION("""COMPUTED_VALUE"""),"P")</f>
        <v>P</v>
      </c>
      <c r="F4227" s="312" t="s">
        <v>37</v>
      </c>
      <c r="G4227" s="308"/>
      <c r="H4227" s="308" t="s">
        <v>37511</v>
      </c>
      <c r="I4227" s="314">
        <v>37216.0</v>
      </c>
      <c r="J4227" s="319">
        <f>IFERROR(__xludf.DUMMYFUNCTION("SPLIT(I4227,""/"")"),21.0)</f>
        <v>21</v>
      </c>
      <c r="K4227" s="308">
        <f>IFERROR(__xludf.DUMMYFUNCTION("""COMPUTED_VALUE"""),11.0)</f>
        <v>11</v>
      </c>
      <c r="L4227" s="308">
        <f>IFERROR(__xludf.DUMMYFUNCTION("""COMPUTED_VALUE"""),2001.0)</f>
        <v>2001</v>
      </c>
      <c r="M4227" s="308" t="s">
        <v>17133</v>
      </c>
      <c r="N4227" s="308"/>
      <c r="O4227" s="308"/>
      <c r="P4227" s="308" t="s">
        <v>37512</v>
      </c>
      <c r="Q4227" s="308" t="s">
        <v>37513</v>
      </c>
      <c r="R4227" s="308" t="s">
        <v>2743</v>
      </c>
      <c r="S4227" s="308" t="s">
        <v>49</v>
      </c>
      <c r="T4227" s="311" t="s">
        <v>51</v>
      </c>
      <c r="U4227" s="308" t="s">
        <v>14456</v>
      </c>
      <c r="V4227" s="312"/>
    </row>
    <row r="4228">
      <c r="A4228" s="308">
        <v>4227.0</v>
      </c>
      <c r="B4228" s="308"/>
      <c r="C4228" s="308" t="s">
        <v>17135</v>
      </c>
      <c r="D4228" s="308">
        <f>IFERROR(__xludf.DUMMYFUNCTION("SPLIT(C4228,""-"")"),4248.0)</f>
        <v>4248</v>
      </c>
      <c r="E4228" s="308" t="str">
        <f>IFERROR(__xludf.DUMMYFUNCTION("""COMPUTED_VALUE"""),"K")</f>
        <v>K</v>
      </c>
      <c r="F4228" s="309" t="s">
        <v>34</v>
      </c>
      <c r="G4228" s="308"/>
      <c r="H4228" s="308" t="s">
        <v>17136</v>
      </c>
      <c r="I4228" s="310">
        <v>40009.0</v>
      </c>
      <c r="J4228" s="319">
        <f>IFERROR(__xludf.DUMMYFUNCTION("SPLIT(I4228,""/"")"),15.0)</f>
        <v>15</v>
      </c>
      <c r="K4228" s="308">
        <f>IFERROR(__xludf.DUMMYFUNCTION("""COMPUTED_VALUE"""),7.0)</f>
        <v>7</v>
      </c>
      <c r="L4228" s="308">
        <f>IFERROR(__xludf.DUMMYFUNCTION("""COMPUTED_VALUE"""),2009.0)</f>
        <v>2009</v>
      </c>
      <c r="M4228" s="308" t="s">
        <v>17137</v>
      </c>
      <c r="N4228" s="308"/>
      <c r="O4228" s="308"/>
      <c r="P4228" s="308" t="s">
        <v>37514</v>
      </c>
      <c r="Q4228" s="308" t="s">
        <v>37513</v>
      </c>
      <c r="R4228" s="308" t="s">
        <v>2743</v>
      </c>
      <c r="S4228" s="315" t="s">
        <v>100</v>
      </c>
      <c r="T4228" s="311" t="s">
        <v>34208</v>
      </c>
      <c r="U4228" s="308" t="s">
        <v>2466</v>
      </c>
      <c r="V4228" s="312"/>
    </row>
    <row r="4229">
      <c r="A4229" s="308">
        <v>4228.0</v>
      </c>
      <c r="B4229" s="308"/>
      <c r="C4229" s="308" t="s">
        <v>17138</v>
      </c>
      <c r="D4229" s="308">
        <f>IFERROR(__xludf.DUMMYFUNCTION("SPLIT(C4229,""-"")"),4249.0)</f>
        <v>4249</v>
      </c>
      <c r="E4229" s="308" t="str">
        <f>IFERROR(__xludf.DUMMYFUNCTION("""COMPUTED_VALUE"""),"S")</f>
        <v>S</v>
      </c>
      <c r="F4229" s="312" t="s">
        <v>39</v>
      </c>
      <c r="G4229" s="308"/>
      <c r="H4229" s="308" t="s">
        <v>17139</v>
      </c>
      <c r="I4229" s="314">
        <v>42704.0</v>
      </c>
      <c r="J4229" s="319">
        <f>IFERROR(__xludf.DUMMYFUNCTION("SPLIT(I4229,""/"")"),30.0)</f>
        <v>30</v>
      </c>
      <c r="K4229" s="308">
        <f>IFERROR(__xludf.DUMMYFUNCTION("""COMPUTED_VALUE"""),11.0)</f>
        <v>11</v>
      </c>
      <c r="L4229" s="308">
        <f>IFERROR(__xludf.DUMMYFUNCTION("""COMPUTED_VALUE"""),2016.0)</f>
        <v>2016</v>
      </c>
      <c r="M4229" s="308" t="s">
        <v>17140</v>
      </c>
      <c r="N4229" s="308"/>
      <c r="O4229" s="308"/>
      <c r="P4229" s="308" t="s">
        <v>37515</v>
      </c>
      <c r="Q4229" s="308" t="s">
        <v>37513</v>
      </c>
      <c r="R4229" s="308" t="s">
        <v>2743</v>
      </c>
      <c r="S4229" s="308" t="s">
        <v>81</v>
      </c>
      <c r="T4229" s="308" t="s">
        <v>75</v>
      </c>
      <c r="U4229" s="308" t="s">
        <v>166</v>
      </c>
      <c r="V4229" s="312"/>
    </row>
    <row r="4230">
      <c r="A4230" s="308">
        <v>4229.0</v>
      </c>
      <c r="B4230" s="308"/>
      <c r="C4230" s="308" t="s">
        <v>17142</v>
      </c>
      <c r="D4230" s="308">
        <f>IFERROR(__xludf.DUMMYFUNCTION("SPLIT(C4230,""-"")"),4250.0)</f>
        <v>4250</v>
      </c>
      <c r="E4230" s="308" t="str">
        <f>IFERROR(__xludf.DUMMYFUNCTION("""COMPUTED_VALUE"""),"S")</f>
        <v>S</v>
      </c>
      <c r="F4230" s="312" t="s">
        <v>39</v>
      </c>
      <c r="G4230" s="308"/>
      <c r="H4230" s="308" t="s">
        <v>17143</v>
      </c>
      <c r="I4230" s="310">
        <v>42949.0</v>
      </c>
      <c r="J4230" s="319">
        <f>IFERROR(__xludf.DUMMYFUNCTION("SPLIT(I4230,""/"")"),2.0)</f>
        <v>2</v>
      </c>
      <c r="K4230" s="308">
        <f>IFERROR(__xludf.DUMMYFUNCTION("""COMPUTED_VALUE"""),8.0)</f>
        <v>8</v>
      </c>
      <c r="L4230" s="308">
        <f>IFERROR(__xludf.DUMMYFUNCTION("""COMPUTED_VALUE"""),2017.0)</f>
        <v>2017</v>
      </c>
      <c r="M4230" s="308" t="s">
        <v>17144</v>
      </c>
      <c r="N4230" s="308"/>
      <c r="O4230" s="308"/>
      <c r="P4230" s="308" t="s">
        <v>17145</v>
      </c>
      <c r="Q4230" s="308" t="s">
        <v>37516</v>
      </c>
      <c r="R4230" s="308" t="s">
        <v>14256</v>
      </c>
      <c r="S4230" s="308" t="s">
        <v>81</v>
      </c>
      <c r="T4230" s="311" t="s">
        <v>90</v>
      </c>
      <c r="U4230" s="308" t="s">
        <v>166</v>
      </c>
      <c r="V4230" s="312"/>
    </row>
    <row r="4231">
      <c r="A4231" s="308">
        <v>4230.0</v>
      </c>
      <c r="B4231" s="308"/>
      <c r="C4231" s="308" t="s">
        <v>17146</v>
      </c>
      <c r="D4231" s="308">
        <f>IFERROR(__xludf.DUMMYFUNCTION("SPLIT(C4231,""-"")"),4251.0)</f>
        <v>4251</v>
      </c>
      <c r="E4231" s="308" t="str">
        <f>IFERROR(__xludf.DUMMYFUNCTION("""COMPUTED_VALUE"""),"S")</f>
        <v>S</v>
      </c>
      <c r="F4231" s="312" t="s">
        <v>39</v>
      </c>
      <c r="G4231" s="308"/>
      <c r="H4231" s="308" t="s">
        <v>17147</v>
      </c>
      <c r="I4231" s="310">
        <v>42949.0</v>
      </c>
      <c r="J4231" s="319">
        <f>IFERROR(__xludf.DUMMYFUNCTION("SPLIT(I4231,""/"")"),2.0)</f>
        <v>2</v>
      </c>
      <c r="K4231" s="308">
        <f>IFERROR(__xludf.DUMMYFUNCTION("""COMPUTED_VALUE"""),8.0)</f>
        <v>8</v>
      </c>
      <c r="L4231" s="308">
        <f>IFERROR(__xludf.DUMMYFUNCTION("""COMPUTED_VALUE"""),2017.0)</f>
        <v>2017</v>
      </c>
      <c r="M4231" s="308" t="s">
        <v>17144</v>
      </c>
      <c r="N4231" s="308"/>
      <c r="O4231" s="308"/>
      <c r="P4231" s="308" t="s">
        <v>37517</v>
      </c>
      <c r="Q4231" s="308" t="s">
        <v>37516</v>
      </c>
      <c r="R4231" s="308" t="s">
        <v>14256</v>
      </c>
      <c r="S4231" s="308" t="s">
        <v>81</v>
      </c>
      <c r="T4231" s="308" t="s">
        <v>75</v>
      </c>
      <c r="U4231" s="308" t="s">
        <v>166</v>
      </c>
      <c r="V4231" s="312"/>
    </row>
    <row r="4232">
      <c r="A4232" s="308">
        <v>4231.0</v>
      </c>
      <c r="B4232" s="308"/>
      <c r="C4232" s="308" t="s">
        <v>17149</v>
      </c>
      <c r="D4232" s="308">
        <f>IFERROR(__xludf.DUMMYFUNCTION("SPLIT(C4232,""-"")"),4252.0)</f>
        <v>4252</v>
      </c>
      <c r="E4232" s="308" t="str">
        <f>IFERROR(__xludf.DUMMYFUNCTION("""COMPUTED_VALUE"""),"S")</f>
        <v>S</v>
      </c>
      <c r="F4232" s="312" t="s">
        <v>39</v>
      </c>
      <c r="G4232" s="308"/>
      <c r="H4232" s="308" t="s">
        <v>17150</v>
      </c>
      <c r="I4232" s="310">
        <v>42949.0</v>
      </c>
      <c r="J4232" s="319">
        <f>IFERROR(__xludf.DUMMYFUNCTION("SPLIT(I4232,""/"")"),2.0)</f>
        <v>2</v>
      </c>
      <c r="K4232" s="308">
        <f>IFERROR(__xludf.DUMMYFUNCTION("""COMPUTED_VALUE"""),8.0)</f>
        <v>8</v>
      </c>
      <c r="L4232" s="308">
        <f>IFERROR(__xludf.DUMMYFUNCTION("""COMPUTED_VALUE"""),2017.0)</f>
        <v>2017</v>
      </c>
      <c r="M4232" s="308" t="s">
        <v>17151</v>
      </c>
      <c r="N4232" s="308"/>
      <c r="O4232" s="308"/>
      <c r="P4232" s="308" t="s">
        <v>37518</v>
      </c>
      <c r="Q4232" s="308" t="s">
        <v>37516</v>
      </c>
      <c r="R4232" s="308" t="s">
        <v>14256</v>
      </c>
      <c r="S4232" s="308" t="s">
        <v>81</v>
      </c>
      <c r="T4232" s="308" t="s">
        <v>75</v>
      </c>
      <c r="U4232" s="308" t="s">
        <v>166</v>
      </c>
      <c r="V4232" s="312"/>
    </row>
    <row r="4233">
      <c r="A4233" s="308">
        <v>4232.0</v>
      </c>
      <c r="B4233" s="308"/>
      <c r="C4233" s="308" t="s">
        <v>17153</v>
      </c>
      <c r="D4233" s="308">
        <f>IFERROR(__xludf.DUMMYFUNCTION("SPLIT(C4233,""-"")"),4253.0)</f>
        <v>4253</v>
      </c>
      <c r="E4233" s="308" t="str">
        <f>IFERROR(__xludf.DUMMYFUNCTION("""COMPUTED_VALUE"""),"S")</f>
        <v>S</v>
      </c>
      <c r="F4233" s="312" t="s">
        <v>39</v>
      </c>
      <c r="G4233" s="308"/>
      <c r="H4233" s="308" t="s">
        <v>17154</v>
      </c>
      <c r="I4233" s="310">
        <v>42949.0</v>
      </c>
      <c r="J4233" s="319">
        <f>IFERROR(__xludf.DUMMYFUNCTION("SPLIT(I4233,""/"")"),2.0)</f>
        <v>2</v>
      </c>
      <c r="K4233" s="308">
        <f>IFERROR(__xludf.DUMMYFUNCTION("""COMPUTED_VALUE"""),8.0)</f>
        <v>8</v>
      </c>
      <c r="L4233" s="308">
        <f>IFERROR(__xludf.DUMMYFUNCTION("""COMPUTED_VALUE"""),2017.0)</f>
        <v>2017</v>
      </c>
      <c r="M4233" s="308" t="s">
        <v>17155</v>
      </c>
      <c r="N4233" s="308"/>
      <c r="O4233" s="308"/>
      <c r="P4233" s="308" t="s">
        <v>34782</v>
      </c>
      <c r="Q4233" s="308" t="s">
        <v>37516</v>
      </c>
      <c r="R4233" s="308" t="s">
        <v>14256</v>
      </c>
      <c r="S4233" s="308" t="s">
        <v>49</v>
      </c>
      <c r="T4233" s="308" t="s">
        <v>51</v>
      </c>
      <c r="U4233" s="308" t="s">
        <v>166</v>
      </c>
      <c r="V4233" s="312"/>
    </row>
    <row r="4234">
      <c r="A4234" s="308">
        <v>4233.0</v>
      </c>
      <c r="B4234" s="308"/>
      <c r="C4234" s="308" t="s">
        <v>17156</v>
      </c>
      <c r="D4234" s="308">
        <f>IFERROR(__xludf.DUMMYFUNCTION("SPLIT(C4234,""-"")"),4254.0)</f>
        <v>4254</v>
      </c>
      <c r="E4234" s="308" t="str">
        <f>IFERROR(__xludf.DUMMYFUNCTION("""COMPUTED_VALUE"""),"S")</f>
        <v>S</v>
      </c>
      <c r="F4234" s="312" t="s">
        <v>39</v>
      </c>
      <c r="G4234" s="308"/>
      <c r="H4234" s="308" t="s">
        <v>17157</v>
      </c>
      <c r="I4234" s="310">
        <v>42879.0</v>
      </c>
      <c r="J4234" s="319">
        <f>IFERROR(__xludf.DUMMYFUNCTION("SPLIT(I4234,""/"")"),24.0)</f>
        <v>24</v>
      </c>
      <c r="K4234" s="308">
        <f>IFERROR(__xludf.DUMMYFUNCTION("""COMPUTED_VALUE"""),5.0)</f>
        <v>5</v>
      </c>
      <c r="L4234" s="308">
        <f>IFERROR(__xludf.DUMMYFUNCTION("""COMPUTED_VALUE"""),2017.0)</f>
        <v>2017</v>
      </c>
      <c r="M4234" s="308" t="s">
        <v>17158</v>
      </c>
      <c r="N4234" s="308"/>
      <c r="O4234" s="308"/>
      <c r="P4234" s="308" t="s">
        <v>17159</v>
      </c>
      <c r="Q4234" s="308" t="s">
        <v>37516</v>
      </c>
      <c r="R4234" s="308" t="s">
        <v>14256</v>
      </c>
      <c r="S4234" s="308" t="s">
        <v>49</v>
      </c>
      <c r="T4234" s="308" t="s">
        <v>53</v>
      </c>
      <c r="U4234" s="308" t="s">
        <v>166</v>
      </c>
      <c r="V4234" s="312"/>
    </row>
    <row r="4235">
      <c r="A4235" s="308">
        <v>4234.0</v>
      </c>
      <c r="B4235" s="308"/>
      <c r="C4235" s="308" t="s">
        <v>17160</v>
      </c>
      <c r="D4235" s="308"/>
      <c r="E4235" s="311"/>
      <c r="F4235" s="317" t="s">
        <v>39</v>
      </c>
      <c r="G4235" s="308"/>
      <c r="H4235" s="308" t="s">
        <v>17161</v>
      </c>
      <c r="I4235" s="322"/>
      <c r="J4235" s="319"/>
      <c r="K4235" s="308"/>
      <c r="L4235" s="311" t="s">
        <v>79</v>
      </c>
      <c r="M4235" s="308" t="s">
        <v>17162</v>
      </c>
      <c r="N4235" s="308"/>
      <c r="O4235" s="308"/>
      <c r="P4235" s="308" t="s">
        <v>37519</v>
      </c>
      <c r="Q4235" s="308" t="s">
        <v>37516</v>
      </c>
      <c r="R4235" s="308" t="s">
        <v>14256</v>
      </c>
      <c r="S4235" s="308" t="s">
        <v>49</v>
      </c>
      <c r="T4235" s="308" t="s">
        <v>53</v>
      </c>
      <c r="U4235" s="308" t="s">
        <v>166</v>
      </c>
      <c r="V4235" s="312"/>
    </row>
    <row r="4236">
      <c r="A4236" s="308">
        <v>4235.0</v>
      </c>
      <c r="B4236" s="308"/>
      <c r="C4236" s="308" t="s">
        <v>17164</v>
      </c>
      <c r="D4236" s="308">
        <f>IFERROR(__xludf.DUMMYFUNCTION("SPLIT(C4236,""-"")"),4256.0)</f>
        <v>4256</v>
      </c>
      <c r="E4236" s="308" t="str">
        <f>IFERROR(__xludf.DUMMYFUNCTION("""COMPUTED_VALUE"""),"K")</f>
        <v>K</v>
      </c>
      <c r="F4236" s="309" t="s">
        <v>34</v>
      </c>
      <c r="G4236" s="308"/>
      <c r="H4236" s="308" t="s">
        <v>17165</v>
      </c>
      <c r="I4236" s="310">
        <v>39936.0</v>
      </c>
      <c r="J4236" s="319">
        <f>IFERROR(__xludf.DUMMYFUNCTION("SPLIT(I4236,""/"")"),3.0)</f>
        <v>3</v>
      </c>
      <c r="K4236" s="308">
        <f>IFERROR(__xludf.DUMMYFUNCTION("""COMPUTED_VALUE"""),5.0)</f>
        <v>5</v>
      </c>
      <c r="L4236" s="308">
        <f>IFERROR(__xludf.DUMMYFUNCTION("""COMPUTED_VALUE"""),2009.0)</f>
        <v>2009</v>
      </c>
      <c r="M4236" s="308" t="s">
        <v>17166</v>
      </c>
      <c r="N4236" s="308"/>
      <c r="O4236" s="308"/>
      <c r="P4236" s="308" t="s">
        <v>37520</v>
      </c>
      <c r="Q4236" s="308" t="s">
        <v>37521</v>
      </c>
      <c r="R4236" s="308" t="s">
        <v>2743</v>
      </c>
      <c r="S4236" s="308" t="s">
        <v>81</v>
      </c>
      <c r="T4236" s="308" t="s">
        <v>34264</v>
      </c>
      <c r="U4236" s="308" t="s">
        <v>282</v>
      </c>
      <c r="V4236" s="312"/>
    </row>
    <row r="4237">
      <c r="A4237" s="308">
        <v>4236.0</v>
      </c>
      <c r="B4237" s="308"/>
      <c r="C4237" s="308" t="s">
        <v>17168</v>
      </c>
      <c r="D4237" s="308">
        <f>IFERROR(__xludf.DUMMYFUNCTION("SPLIT(C4237,""-"")"),4257.0)</f>
        <v>4257</v>
      </c>
      <c r="E4237" s="308" t="str">
        <f>IFERROR(__xludf.DUMMYFUNCTION("""COMPUTED_VALUE"""),"I")</f>
        <v>I</v>
      </c>
      <c r="F4237" s="309" t="s">
        <v>31</v>
      </c>
      <c r="G4237" s="308"/>
      <c r="H4237" s="308" t="s">
        <v>17169</v>
      </c>
      <c r="I4237" s="316">
        <v>2017.0</v>
      </c>
      <c r="J4237" s="319"/>
      <c r="K4237" s="308"/>
      <c r="L4237" s="311">
        <v>2017.0</v>
      </c>
      <c r="M4237" s="308" t="s">
        <v>17170</v>
      </c>
      <c r="N4237" s="308" t="s">
        <v>17171</v>
      </c>
      <c r="O4237" s="308" t="s">
        <v>17172</v>
      </c>
      <c r="P4237" s="308" t="s">
        <v>34501</v>
      </c>
      <c r="Q4237" s="308" t="s">
        <v>37522</v>
      </c>
      <c r="R4237" s="308" t="s">
        <v>2743</v>
      </c>
      <c r="S4237" s="315" t="s">
        <v>100</v>
      </c>
      <c r="T4237" s="311" t="s">
        <v>34208</v>
      </c>
      <c r="U4237" s="308" t="s">
        <v>143</v>
      </c>
      <c r="V4237" s="312"/>
    </row>
    <row r="4238">
      <c r="A4238" s="308">
        <v>4237.0</v>
      </c>
      <c r="B4238" s="308"/>
      <c r="C4238" s="308" t="s">
        <v>17173</v>
      </c>
      <c r="D4238" s="308">
        <f>IFERROR(__xludf.DUMMYFUNCTION("SPLIT(C4238,""-"")"),4258.0)</f>
        <v>4258</v>
      </c>
      <c r="E4238" s="308" t="str">
        <f>IFERROR(__xludf.DUMMYFUNCTION("""COMPUTED_VALUE"""),"P")</f>
        <v>P</v>
      </c>
      <c r="F4238" s="312" t="s">
        <v>37</v>
      </c>
      <c r="G4238" s="308"/>
      <c r="H4238" s="308" t="s">
        <v>17174</v>
      </c>
      <c r="I4238" s="310">
        <v>42809.0</v>
      </c>
      <c r="J4238" s="319">
        <f>IFERROR(__xludf.DUMMYFUNCTION("SPLIT(I4238,""/"")"),15.0)</f>
        <v>15</v>
      </c>
      <c r="K4238" s="308">
        <f>IFERROR(__xludf.DUMMYFUNCTION("""COMPUTED_VALUE"""),3.0)</f>
        <v>3</v>
      </c>
      <c r="L4238" s="308">
        <f>IFERROR(__xludf.DUMMYFUNCTION("""COMPUTED_VALUE"""),2017.0)</f>
        <v>2017</v>
      </c>
      <c r="M4238" s="308" t="s">
        <v>17170</v>
      </c>
      <c r="N4238" s="308" t="s">
        <v>17175</v>
      </c>
      <c r="O4238" s="308" t="s">
        <v>17172</v>
      </c>
      <c r="P4238" s="308" t="s">
        <v>34501</v>
      </c>
      <c r="Q4238" s="308" t="s">
        <v>37522</v>
      </c>
      <c r="R4238" s="308" t="s">
        <v>2743</v>
      </c>
      <c r="S4238" s="315" t="s">
        <v>100</v>
      </c>
      <c r="T4238" s="311" t="s">
        <v>34208</v>
      </c>
      <c r="U4238" s="308" t="s">
        <v>143</v>
      </c>
      <c r="V4238" s="312"/>
    </row>
    <row r="4239">
      <c r="A4239" s="308">
        <v>4238.0</v>
      </c>
      <c r="B4239" s="308"/>
      <c r="C4239" s="308" t="s">
        <v>17176</v>
      </c>
      <c r="D4239" s="308">
        <f>IFERROR(__xludf.DUMMYFUNCTION("SPLIT(C4239,""-"")"),4259.0)</f>
        <v>4259</v>
      </c>
      <c r="E4239" s="308" t="str">
        <f>IFERROR(__xludf.DUMMYFUNCTION("""COMPUTED_VALUE"""),"P")</f>
        <v>P</v>
      </c>
      <c r="F4239" s="312" t="s">
        <v>37</v>
      </c>
      <c r="G4239" s="308"/>
      <c r="H4239" s="308" t="s">
        <v>17177</v>
      </c>
      <c r="I4239" s="310">
        <v>42939.0</v>
      </c>
      <c r="J4239" s="319">
        <f>IFERROR(__xludf.DUMMYFUNCTION("SPLIT(I4239,""/"")"),23.0)</f>
        <v>23</v>
      </c>
      <c r="K4239" s="308">
        <f>IFERROR(__xludf.DUMMYFUNCTION("""COMPUTED_VALUE"""),7.0)</f>
        <v>7</v>
      </c>
      <c r="L4239" s="308">
        <f>IFERROR(__xludf.DUMMYFUNCTION("""COMPUTED_VALUE"""),2017.0)</f>
        <v>2017</v>
      </c>
      <c r="M4239" s="308" t="s">
        <v>17178</v>
      </c>
      <c r="N4239" s="308"/>
      <c r="O4239" s="308" t="s">
        <v>37523</v>
      </c>
      <c r="P4239" s="308" t="s">
        <v>37524</v>
      </c>
      <c r="Q4239" s="308" t="s">
        <v>37522</v>
      </c>
      <c r="R4239" s="308" t="s">
        <v>2743</v>
      </c>
      <c r="S4239" s="308" t="s">
        <v>81</v>
      </c>
      <c r="T4239" s="308" t="s">
        <v>75</v>
      </c>
      <c r="U4239" s="308" t="s">
        <v>4273</v>
      </c>
      <c r="V4239" s="312"/>
    </row>
    <row r="4240">
      <c r="A4240" s="308">
        <v>4239.0</v>
      </c>
      <c r="B4240" s="308"/>
      <c r="C4240" s="308" t="s">
        <v>17181</v>
      </c>
      <c r="D4240" s="308">
        <f>IFERROR(__xludf.DUMMYFUNCTION("SPLIT(C4240,""-"")"),4260.0)</f>
        <v>4260</v>
      </c>
      <c r="E4240" s="308" t="str">
        <f>IFERROR(__xludf.DUMMYFUNCTION("""COMPUTED_VALUE"""),"K")</f>
        <v>K</v>
      </c>
      <c r="F4240" s="309" t="s">
        <v>34</v>
      </c>
      <c r="G4240" s="308"/>
      <c r="H4240" s="308" t="s">
        <v>17182</v>
      </c>
      <c r="I4240" s="310">
        <v>42113.0</v>
      </c>
      <c r="J4240" s="319">
        <f>IFERROR(__xludf.DUMMYFUNCTION("SPLIT(I4240,""/"")"),19.0)</f>
        <v>19</v>
      </c>
      <c r="K4240" s="308">
        <f>IFERROR(__xludf.DUMMYFUNCTION("""COMPUTED_VALUE"""),4.0)</f>
        <v>4</v>
      </c>
      <c r="L4240" s="308">
        <f>IFERROR(__xludf.DUMMYFUNCTION("""COMPUTED_VALUE"""),2015.0)</f>
        <v>2015</v>
      </c>
      <c r="M4240" s="308" t="s">
        <v>17183</v>
      </c>
      <c r="N4240" s="308"/>
      <c r="O4240" s="308"/>
      <c r="P4240" s="308" t="s">
        <v>37413</v>
      </c>
      <c r="Q4240" s="308" t="s">
        <v>37522</v>
      </c>
      <c r="R4240" s="308" t="s">
        <v>2743</v>
      </c>
      <c r="S4240" s="315" t="s">
        <v>100</v>
      </c>
      <c r="T4240" s="311" t="s">
        <v>34208</v>
      </c>
      <c r="U4240" s="308" t="s">
        <v>125</v>
      </c>
      <c r="V4240" s="312"/>
    </row>
    <row r="4241">
      <c r="A4241" s="308">
        <v>4240.0</v>
      </c>
      <c r="B4241" s="308"/>
      <c r="C4241" s="308" t="s">
        <v>17184</v>
      </c>
      <c r="D4241" s="308">
        <f>IFERROR(__xludf.DUMMYFUNCTION("SPLIT(C4241,""-"")"),4261.0)</f>
        <v>4261</v>
      </c>
      <c r="E4241" s="308" t="str">
        <f>IFERROR(__xludf.DUMMYFUNCTION("""COMPUTED_VALUE"""),"I")</f>
        <v>I</v>
      </c>
      <c r="F4241" s="309" t="s">
        <v>31</v>
      </c>
      <c r="G4241" s="308"/>
      <c r="H4241" s="308" t="s">
        <v>17185</v>
      </c>
      <c r="I4241" s="310">
        <v>42858.0</v>
      </c>
      <c r="J4241" s="319">
        <f>IFERROR(__xludf.DUMMYFUNCTION("SPLIT(I4241,""/"")"),3.0)</f>
        <v>3</v>
      </c>
      <c r="K4241" s="308">
        <f>IFERROR(__xludf.DUMMYFUNCTION("""COMPUTED_VALUE"""),5.0)</f>
        <v>5</v>
      </c>
      <c r="L4241" s="308">
        <f>IFERROR(__xludf.DUMMYFUNCTION("""COMPUTED_VALUE"""),2017.0)</f>
        <v>2017</v>
      </c>
      <c r="M4241" s="308" t="s">
        <v>17186</v>
      </c>
      <c r="N4241" s="308"/>
      <c r="O4241" s="308" t="s">
        <v>37525</v>
      </c>
      <c r="P4241" s="308" t="s">
        <v>37526</v>
      </c>
      <c r="Q4241" s="308" t="s">
        <v>37527</v>
      </c>
      <c r="R4241" s="308" t="s">
        <v>2743</v>
      </c>
      <c r="S4241" s="308" t="s">
        <v>81</v>
      </c>
      <c r="T4241" s="311" t="s">
        <v>73</v>
      </c>
      <c r="U4241" s="308" t="s">
        <v>31</v>
      </c>
      <c r="V4241" s="312"/>
    </row>
    <row r="4242">
      <c r="A4242" s="308">
        <v>4241.0</v>
      </c>
      <c r="B4242" s="308"/>
      <c r="C4242" s="308" t="s">
        <v>17189</v>
      </c>
      <c r="D4242" s="308">
        <f>IFERROR(__xludf.DUMMYFUNCTION("SPLIT(C4242,""-"")"),4262.0)</f>
        <v>4262</v>
      </c>
      <c r="E4242" s="308" t="str">
        <f>IFERROR(__xludf.DUMMYFUNCTION("""COMPUTED_VALUE"""),"F")</f>
        <v>F</v>
      </c>
      <c r="F4242" s="309" t="s">
        <v>34</v>
      </c>
      <c r="G4242" s="308"/>
      <c r="H4242" s="308" t="s">
        <v>17190</v>
      </c>
      <c r="I4242" s="314">
        <v>42299.0</v>
      </c>
      <c r="J4242" s="319">
        <f>IFERROR(__xludf.DUMMYFUNCTION("SPLIT(I4242,""/"")"),22.0)</f>
        <v>22</v>
      </c>
      <c r="K4242" s="308">
        <f>IFERROR(__xludf.DUMMYFUNCTION("""COMPUTED_VALUE"""),10.0)</f>
        <v>10</v>
      </c>
      <c r="L4242" s="308">
        <f>IFERROR(__xludf.DUMMYFUNCTION("""COMPUTED_VALUE"""),2015.0)</f>
        <v>2015</v>
      </c>
      <c r="M4242" s="308" t="s">
        <v>17191</v>
      </c>
      <c r="N4242" s="308"/>
      <c r="O4242" s="308"/>
      <c r="P4242" s="308" t="s">
        <v>17192</v>
      </c>
      <c r="Q4242" s="308" t="s">
        <v>37528</v>
      </c>
      <c r="R4242" s="308" t="s">
        <v>2743</v>
      </c>
      <c r="S4242" s="308" t="s">
        <v>81</v>
      </c>
      <c r="T4242" s="308" t="s">
        <v>73</v>
      </c>
      <c r="U4242" s="308" t="s">
        <v>195</v>
      </c>
      <c r="V4242" s="312"/>
    </row>
    <row r="4243">
      <c r="A4243" s="308">
        <v>4242.0</v>
      </c>
      <c r="B4243" s="308"/>
      <c r="C4243" s="308" t="s">
        <v>17193</v>
      </c>
      <c r="D4243" s="308">
        <f>IFERROR(__xludf.DUMMYFUNCTION("SPLIT(C4243,""-"")"),4263.0)</f>
        <v>4263</v>
      </c>
      <c r="E4243" s="308" t="str">
        <f>IFERROR(__xludf.DUMMYFUNCTION("""COMPUTED_VALUE"""),"F")</f>
        <v>F</v>
      </c>
      <c r="F4243" s="309" t="s">
        <v>34</v>
      </c>
      <c r="G4243" s="308"/>
      <c r="H4243" s="308" t="s">
        <v>17194</v>
      </c>
      <c r="I4243" s="310">
        <v>42942.0</v>
      </c>
      <c r="J4243" s="319" t="str">
        <f>IFERROR(__xludf.DUMMYFUNCTION("SPLIT(I4243,""/"")"),"#REF!")</f>
        <v>#REF!</v>
      </c>
      <c r="K4243" s="308"/>
      <c r="L4243" s="308">
        <v>2017.0</v>
      </c>
      <c r="M4243" s="308" t="s">
        <v>37529</v>
      </c>
      <c r="N4243" s="308"/>
      <c r="O4243" s="308"/>
      <c r="P4243" s="308" t="s">
        <v>17196</v>
      </c>
      <c r="Q4243" s="308" t="s">
        <v>37528</v>
      </c>
      <c r="R4243" s="308" t="s">
        <v>2743</v>
      </c>
      <c r="S4243" s="308" t="s">
        <v>81</v>
      </c>
      <c r="T4243" s="308" t="s">
        <v>73</v>
      </c>
      <c r="U4243" s="308" t="s">
        <v>195</v>
      </c>
      <c r="V4243" s="312"/>
    </row>
    <row r="4244">
      <c r="A4244" s="308">
        <v>4243.0</v>
      </c>
      <c r="B4244" s="308"/>
      <c r="C4244" s="308" t="s">
        <v>17197</v>
      </c>
      <c r="D4244" s="308">
        <f>IFERROR(__xludf.DUMMYFUNCTION("SPLIT(C4244,""-"")"),4264.0)</f>
        <v>4264</v>
      </c>
      <c r="E4244" s="308" t="str">
        <f>IFERROR(__xludf.DUMMYFUNCTION("""COMPUTED_VALUE"""),"K")</f>
        <v>K</v>
      </c>
      <c r="F4244" s="309" t="s">
        <v>34</v>
      </c>
      <c r="G4244" s="308"/>
      <c r="H4244" s="308" t="s">
        <v>17198</v>
      </c>
      <c r="I4244" s="310">
        <v>42589.0</v>
      </c>
      <c r="J4244" s="319">
        <f>IFERROR(__xludf.DUMMYFUNCTION("SPLIT(I4244,""/"")"),7.0)</f>
        <v>7</v>
      </c>
      <c r="K4244" s="308">
        <f>IFERROR(__xludf.DUMMYFUNCTION("""COMPUTED_VALUE"""),8.0)</f>
        <v>8</v>
      </c>
      <c r="L4244" s="308">
        <f>IFERROR(__xludf.DUMMYFUNCTION("""COMPUTED_VALUE"""),2016.0)</f>
        <v>2016</v>
      </c>
      <c r="M4244" s="308" t="s">
        <v>17199</v>
      </c>
      <c r="N4244" s="308"/>
      <c r="O4244" s="308"/>
      <c r="P4244" s="308" t="s">
        <v>17200</v>
      </c>
      <c r="Q4244" s="308" t="s">
        <v>37530</v>
      </c>
      <c r="R4244" s="308" t="s">
        <v>2743</v>
      </c>
      <c r="S4244" s="308" t="s">
        <v>81</v>
      </c>
      <c r="T4244" s="308" t="s">
        <v>34264</v>
      </c>
      <c r="U4244" s="308" t="s">
        <v>4749</v>
      </c>
      <c r="V4244" s="312"/>
    </row>
    <row r="4245">
      <c r="A4245" s="308">
        <v>4244.0</v>
      </c>
      <c r="B4245" s="308"/>
      <c r="C4245" s="308" t="s">
        <v>17201</v>
      </c>
      <c r="D4245" s="308">
        <f>IFERROR(__xludf.DUMMYFUNCTION("SPLIT(C4245,""-"")"),4265.0)</f>
        <v>4265</v>
      </c>
      <c r="E4245" s="308" t="str">
        <f>IFERROR(__xludf.DUMMYFUNCTION("""COMPUTED_VALUE"""),"P")</f>
        <v>P</v>
      </c>
      <c r="F4245" s="312" t="s">
        <v>37</v>
      </c>
      <c r="G4245" s="308"/>
      <c r="H4245" s="308" t="s">
        <v>17202</v>
      </c>
      <c r="I4245" s="310">
        <v>42872.0</v>
      </c>
      <c r="J4245" s="319">
        <f>IFERROR(__xludf.DUMMYFUNCTION("SPLIT(I4245,""/"")"),17.0)</f>
        <v>17</v>
      </c>
      <c r="K4245" s="308">
        <f>IFERROR(__xludf.DUMMYFUNCTION("""COMPUTED_VALUE"""),5.0)</f>
        <v>5</v>
      </c>
      <c r="L4245" s="308">
        <f>IFERROR(__xludf.DUMMYFUNCTION("""COMPUTED_VALUE"""),2017.0)</f>
        <v>2017</v>
      </c>
      <c r="M4245" s="308" t="s">
        <v>17203</v>
      </c>
      <c r="N4245" s="308"/>
      <c r="O4245" s="308"/>
      <c r="P4245" s="308" t="s">
        <v>37531</v>
      </c>
      <c r="Q4245" s="308" t="s">
        <v>37530</v>
      </c>
      <c r="R4245" s="308" t="s">
        <v>2743</v>
      </c>
      <c r="S4245" s="308" t="s">
        <v>81</v>
      </c>
      <c r="T4245" s="311" t="s">
        <v>96</v>
      </c>
      <c r="U4245" s="308" t="s">
        <v>149</v>
      </c>
      <c r="V4245" s="312"/>
    </row>
    <row r="4246">
      <c r="A4246" s="308">
        <v>4245.0</v>
      </c>
      <c r="B4246" s="308"/>
      <c r="C4246" s="308" t="s">
        <v>17205</v>
      </c>
      <c r="D4246" s="308">
        <f>IFERROR(__xludf.DUMMYFUNCTION("SPLIT(C4246,""-"")"),4266.0)</f>
        <v>4266</v>
      </c>
      <c r="E4246" s="308" t="str">
        <f>IFERROR(__xludf.DUMMYFUNCTION("""COMPUTED_VALUE"""),"K")</f>
        <v>K</v>
      </c>
      <c r="F4246" s="309" t="s">
        <v>34</v>
      </c>
      <c r="G4246" s="308"/>
      <c r="H4246" s="308" t="s">
        <v>17206</v>
      </c>
      <c r="I4246" s="314">
        <v>41597.0</v>
      </c>
      <c r="J4246" s="319">
        <f>IFERROR(__xludf.DUMMYFUNCTION("SPLIT(I4246,""/"")"),19.0)</f>
        <v>19</v>
      </c>
      <c r="K4246" s="308">
        <f>IFERROR(__xludf.DUMMYFUNCTION("""COMPUTED_VALUE"""),11.0)</f>
        <v>11</v>
      </c>
      <c r="L4246" s="308">
        <f>IFERROR(__xludf.DUMMYFUNCTION("""COMPUTED_VALUE"""),2013.0)</f>
        <v>2013</v>
      </c>
      <c r="M4246" s="308" t="s">
        <v>17207</v>
      </c>
      <c r="N4246" s="308"/>
      <c r="O4246" s="308"/>
      <c r="P4246" s="308" t="s">
        <v>37532</v>
      </c>
      <c r="Q4246" s="308" t="s">
        <v>37530</v>
      </c>
      <c r="R4246" s="308" t="s">
        <v>2743</v>
      </c>
      <c r="S4246" s="308" t="s">
        <v>49</v>
      </c>
      <c r="T4246" s="308" t="s">
        <v>51</v>
      </c>
      <c r="U4246" s="308" t="s">
        <v>125</v>
      </c>
      <c r="V4246" s="312"/>
    </row>
    <row r="4247">
      <c r="A4247" s="308">
        <v>4246.0</v>
      </c>
      <c r="B4247" s="308"/>
      <c r="C4247" s="308" t="s">
        <v>17209</v>
      </c>
      <c r="D4247" s="308">
        <f>IFERROR(__xludf.DUMMYFUNCTION("SPLIT(C4247,""-"")"),4267.0)</f>
        <v>4267</v>
      </c>
      <c r="E4247" s="308" t="str">
        <f>IFERROR(__xludf.DUMMYFUNCTION("""COMPUTED_VALUE"""),"K")</f>
        <v>K</v>
      </c>
      <c r="F4247" s="309" t="s">
        <v>34</v>
      </c>
      <c r="G4247" s="308"/>
      <c r="H4247" s="308" t="s">
        <v>17210</v>
      </c>
      <c r="I4247" s="310">
        <v>41341.0</v>
      </c>
      <c r="J4247" s="319">
        <f>IFERROR(__xludf.DUMMYFUNCTION("SPLIT(I4247,""/"")"),8.0)</f>
        <v>8</v>
      </c>
      <c r="K4247" s="308">
        <f>IFERROR(__xludf.DUMMYFUNCTION("""COMPUTED_VALUE"""),3.0)</f>
        <v>3</v>
      </c>
      <c r="L4247" s="308">
        <f>IFERROR(__xludf.DUMMYFUNCTION("""COMPUTED_VALUE"""),2013.0)</f>
        <v>2013</v>
      </c>
      <c r="M4247" s="308" t="s">
        <v>17211</v>
      </c>
      <c r="N4247" s="308"/>
      <c r="O4247" s="308"/>
      <c r="P4247" s="308" t="s">
        <v>37533</v>
      </c>
      <c r="Q4247" s="308" t="s">
        <v>37530</v>
      </c>
      <c r="R4247" s="308" t="s">
        <v>13810</v>
      </c>
      <c r="S4247" s="308" t="s">
        <v>81</v>
      </c>
      <c r="T4247" s="308" t="s">
        <v>34264</v>
      </c>
      <c r="U4247" s="308" t="s">
        <v>2097</v>
      </c>
      <c r="V4247" s="312"/>
    </row>
    <row r="4248">
      <c r="A4248" s="308">
        <v>4247.0</v>
      </c>
      <c r="B4248" s="308"/>
      <c r="C4248" s="308" t="s">
        <v>17213</v>
      </c>
      <c r="D4248" s="308">
        <f>IFERROR(__xludf.DUMMYFUNCTION("SPLIT(C4248,""-"")"),4268.0)</f>
        <v>4268</v>
      </c>
      <c r="E4248" s="308" t="str">
        <f>IFERROR(__xludf.DUMMYFUNCTION("""COMPUTED_VALUE"""),"S")</f>
        <v>S</v>
      </c>
      <c r="F4248" s="312" t="s">
        <v>39</v>
      </c>
      <c r="G4248" s="308"/>
      <c r="H4248" s="308" t="s">
        <v>17214</v>
      </c>
      <c r="I4248" s="310">
        <v>42952.0</v>
      </c>
      <c r="J4248" s="319">
        <f>IFERROR(__xludf.DUMMYFUNCTION("SPLIT(I4248,""/"")"),5.0)</f>
        <v>5</v>
      </c>
      <c r="K4248" s="308">
        <f>IFERROR(__xludf.DUMMYFUNCTION("""COMPUTED_VALUE"""),8.0)</f>
        <v>8</v>
      </c>
      <c r="L4248" s="308">
        <f>IFERROR(__xludf.DUMMYFUNCTION("""COMPUTED_VALUE"""),2017.0)</f>
        <v>2017</v>
      </c>
      <c r="M4248" s="308" t="s">
        <v>17215</v>
      </c>
      <c r="N4248" s="308"/>
      <c r="O4248" s="308"/>
      <c r="P4248" s="308" t="s">
        <v>37534</v>
      </c>
      <c r="Q4248" s="308" t="s">
        <v>37035</v>
      </c>
      <c r="R4248" s="308" t="s">
        <v>14256</v>
      </c>
      <c r="S4248" s="308" t="s">
        <v>81</v>
      </c>
      <c r="T4248" s="308" t="s">
        <v>75</v>
      </c>
      <c r="U4248" s="308" t="s">
        <v>15789</v>
      </c>
      <c r="V4248" s="312"/>
    </row>
    <row r="4249">
      <c r="A4249" s="308">
        <v>4248.0</v>
      </c>
      <c r="B4249" s="308"/>
      <c r="C4249" s="308" t="s">
        <v>17217</v>
      </c>
      <c r="D4249" s="308">
        <f>IFERROR(__xludf.DUMMYFUNCTION("SPLIT(C4249,""-"")"),4269.0)</f>
        <v>4269</v>
      </c>
      <c r="E4249" s="308" t="str">
        <f>IFERROR(__xludf.DUMMYFUNCTION("""COMPUTED_VALUE"""),"S")</f>
        <v>S</v>
      </c>
      <c r="F4249" s="312" t="s">
        <v>39</v>
      </c>
      <c r="G4249" s="308"/>
      <c r="H4249" s="308" t="s">
        <v>17218</v>
      </c>
      <c r="I4249" s="310">
        <v>42952.0</v>
      </c>
      <c r="J4249" s="319">
        <f>IFERROR(__xludf.DUMMYFUNCTION("SPLIT(I4249,""/"")"),5.0)</f>
        <v>5</v>
      </c>
      <c r="K4249" s="308">
        <f>IFERROR(__xludf.DUMMYFUNCTION("""COMPUTED_VALUE"""),8.0)</f>
        <v>8</v>
      </c>
      <c r="L4249" s="308">
        <f>IFERROR(__xludf.DUMMYFUNCTION("""COMPUTED_VALUE"""),2017.0)</f>
        <v>2017</v>
      </c>
      <c r="M4249" s="308" t="s">
        <v>17219</v>
      </c>
      <c r="N4249" s="308"/>
      <c r="O4249" s="308"/>
      <c r="P4249" s="308" t="s">
        <v>37534</v>
      </c>
      <c r="Q4249" s="308" t="s">
        <v>37035</v>
      </c>
      <c r="R4249" s="308" t="s">
        <v>14256</v>
      </c>
      <c r="S4249" s="308" t="s">
        <v>81</v>
      </c>
      <c r="T4249" s="308" t="s">
        <v>75</v>
      </c>
      <c r="U4249" s="308" t="s">
        <v>15789</v>
      </c>
      <c r="V4249" s="312"/>
    </row>
    <row r="4250">
      <c r="A4250" s="308">
        <v>4249.0</v>
      </c>
      <c r="B4250" s="308"/>
      <c r="C4250" s="308" t="s">
        <v>17220</v>
      </c>
      <c r="D4250" s="308">
        <f>IFERROR(__xludf.DUMMYFUNCTION("SPLIT(C4250,""-"")"),4270.0)</f>
        <v>4270</v>
      </c>
      <c r="E4250" s="308" t="str">
        <f>IFERROR(__xludf.DUMMYFUNCTION("""COMPUTED_VALUE"""),"S")</f>
        <v>S</v>
      </c>
      <c r="F4250" s="312" t="s">
        <v>39</v>
      </c>
      <c r="G4250" s="308"/>
      <c r="H4250" s="308" t="s">
        <v>17221</v>
      </c>
      <c r="I4250" s="310">
        <v>42952.0</v>
      </c>
      <c r="J4250" s="319">
        <f>IFERROR(__xludf.DUMMYFUNCTION("SPLIT(I4250,""/"")"),5.0)</f>
        <v>5</v>
      </c>
      <c r="K4250" s="308">
        <f>IFERROR(__xludf.DUMMYFUNCTION("""COMPUTED_VALUE"""),8.0)</f>
        <v>8</v>
      </c>
      <c r="L4250" s="308">
        <f>IFERROR(__xludf.DUMMYFUNCTION("""COMPUTED_VALUE"""),2017.0)</f>
        <v>2017</v>
      </c>
      <c r="M4250" s="308" t="s">
        <v>17222</v>
      </c>
      <c r="N4250" s="308"/>
      <c r="O4250" s="308"/>
      <c r="P4250" s="308" t="s">
        <v>37535</v>
      </c>
      <c r="Q4250" s="308" t="s">
        <v>37035</v>
      </c>
      <c r="R4250" s="308" t="s">
        <v>14256</v>
      </c>
      <c r="S4250" s="308" t="s">
        <v>81</v>
      </c>
      <c r="T4250" s="308" t="s">
        <v>75</v>
      </c>
      <c r="U4250" s="308" t="s">
        <v>15789</v>
      </c>
      <c r="V4250" s="312"/>
    </row>
    <row r="4251">
      <c r="A4251" s="308">
        <v>4250.0</v>
      </c>
      <c r="B4251" s="308"/>
      <c r="C4251" s="308" t="s">
        <v>17224</v>
      </c>
      <c r="D4251" s="308">
        <f>IFERROR(__xludf.DUMMYFUNCTION("SPLIT(C4251,""-"")"),4271.0)</f>
        <v>4271</v>
      </c>
      <c r="E4251" s="308" t="str">
        <f>IFERROR(__xludf.DUMMYFUNCTION("""COMPUTED_VALUE"""),"K")</f>
        <v>K</v>
      </c>
      <c r="F4251" s="309" t="s">
        <v>34</v>
      </c>
      <c r="G4251" s="308"/>
      <c r="H4251" s="308" t="s">
        <v>17225</v>
      </c>
      <c r="I4251" s="310">
        <v>41553.0</v>
      </c>
      <c r="J4251" s="319">
        <f>IFERROR(__xludf.DUMMYFUNCTION("SPLIT(I4251,""/"")"),6.0)</f>
        <v>6</v>
      </c>
      <c r="K4251" s="308">
        <f>IFERROR(__xludf.DUMMYFUNCTION("""COMPUTED_VALUE"""),10.0)</f>
        <v>10</v>
      </c>
      <c r="L4251" s="308">
        <f>IFERROR(__xludf.DUMMYFUNCTION("""COMPUTED_VALUE"""),2013.0)</f>
        <v>2013</v>
      </c>
      <c r="M4251" s="308" t="s">
        <v>17226</v>
      </c>
      <c r="N4251" s="308"/>
      <c r="O4251" s="308"/>
      <c r="P4251" s="308" t="s">
        <v>37536</v>
      </c>
      <c r="Q4251" s="308" t="s">
        <v>37537</v>
      </c>
      <c r="R4251" s="308" t="s">
        <v>2743</v>
      </c>
      <c r="S4251" s="315" t="s">
        <v>100</v>
      </c>
      <c r="T4251" s="311" t="s">
        <v>34208</v>
      </c>
      <c r="U4251" s="308" t="s">
        <v>201</v>
      </c>
      <c r="V4251" s="312"/>
    </row>
    <row r="4252">
      <c r="A4252" s="308">
        <v>4251.0</v>
      </c>
      <c r="B4252" s="308"/>
      <c r="C4252" s="308" t="s">
        <v>17227</v>
      </c>
      <c r="D4252" s="308">
        <f>IFERROR(__xludf.DUMMYFUNCTION("SPLIT(C4252,""-"")"),4272.0)</f>
        <v>4272</v>
      </c>
      <c r="E4252" s="308" t="str">
        <f>IFERROR(__xludf.DUMMYFUNCTION("""COMPUTED_VALUE"""),"S")</f>
        <v>S</v>
      </c>
      <c r="F4252" s="312" t="s">
        <v>39</v>
      </c>
      <c r="G4252" s="308"/>
      <c r="H4252" s="308" t="s">
        <v>17228</v>
      </c>
      <c r="I4252" s="310">
        <v>42935.0</v>
      </c>
      <c r="J4252" s="319">
        <f>IFERROR(__xludf.DUMMYFUNCTION("SPLIT(I4252,""/"")"),19.0)</f>
        <v>19</v>
      </c>
      <c r="K4252" s="308">
        <f>IFERROR(__xludf.DUMMYFUNCTION("""COMPUTED_VALUE"""),7.0)</f>
        <v>7</v>
      </c>
      <c r="L4252" s="308">
        <f>IFERROR(__xludf.DUMMYFUNCTION("""COMPUTED_VALUE"""),2017.0)</f>
        <v>2017</v>
      </c>
      <c r="M4252" s="308" t="s">
        <v>17229</v>
      </c>
      <c r="N4252" s="308"/>
      <c r="O4252" s="308" t="s">
        <v>37538</v>
      </c>
      <c r="P4252" s="308" t="s">
        <v>37539</v>
      </c>
      <c r="Q4252" s="308" t="s">
        <v>37540</v>
      </c>
      <c r="R4252" s="308" t="s">
        <v>2743</v>
      </c>
      <c r="S4252" s="308" t="s">
        <v>81</v>
      </c>
      <c r="T4252" s="308" t="s">
        <v>75</v>
      </c>
      <c r="U4252" s="308" t="s">
        <v>166</v>
      </c>
      <c r="V4252" s="312"/>
    </row>
    <row r="4253">
      <c r="A4253" s="308">
        <v>4252.0</v>
      </c>
      <c r="B4253" s="308"/>
      <c r="C4253" s="308" t="s">
        <v>17232</v>
      </c>
      <c r="D4253" s="308">
        <f>IFERROR(__xludf.DUMMYFUNCTION("SPLIT(C4253,""-"")"),4273.0)</f>
        <v>4273</v>
      </c>
      <c r="E4253" s="308" t="str">
        <f>IFERROR(__xludf.DUMMYFUNCTION("""COMPUTED_VALUE"""),"S")</f>
        <v>S</v>
      </c>
      <c r="F4253" s="312" t="s">
        <v>39</v>
      </c>
      <c r="G4253" s="308"/>
      <c r="H4253" s="308" t="s">
        <v>17233</v>
      </c>
      <c r="I4253" s="310">
        <v>42638.0</v>
      </c>
      <c r="J4253" s="319">
        <f>IFERROR(__xludf.DUMMYFUNCTION("SPLIT(I4253,""/"")"),25.0)</f>
        <v>25</v>
      </c>
      <c r="K4253" s="308">
        <f>IFERROR(__xludf.DUMMYFUNCTION("""COMPUTED_VALUE"""),9.0)</f>
        <v>9</v>
      </c>
      <c r="L4253" s="308">
        <f>IFERROR(__xludf.DUMMYFUNCTION("""COMPUTED_VALUE"""),2016.0)</f>
        <v>2016</v>
      </c>
      <c r="M4253" s="308" t="s">
        <v>17234</v>
      </c>
      <c r="N4253" s="308"/>
      <c r="O4253" s="308" t="s">
        <v>37538</v>
      </c>
      <c r="P4253" s="308" t="s">
        <v>37541</v>
      </c>
      <c r="Q4253" s="308" t="s">
        <v>37540</v>
      </c>
      <c r="R4253" s="308" t="s">
        <v>2743</v>
      </c>
      <c r="S4253" s="308" t="s">
        <v>81</v>
      </c>
      <c r="T4253" s="308" t="s">
        <v>75</v>
      </c>
      <c r="U4253" s="308" t="s">
        <v>166</v>
      </c>
      <c r="V4253" s="312"/>
    </row>
    <row r="4254">
      <c r="A4254" s="308">
        <v>4253.0</v>
      </c>
      <c r="B4254" s="308"/>
      <c r="C4254" s="308" t="s">
        <v>17236</v>
      </c>
      <c r="D4254" s="308">
        <f>IFERROR(__xludf.DUMMYFUNCTION("SPLIT(C4254,""-"")"),4274.0)</f>
        <v>4274</v>
      </c>
      <c r="E4254" s="308" t="str">
        <f>IFERROR(__xludf.DUMMYFUNCTION("""COMPUTED_VALUE"""),"P")</f>
        <v>P</v>
      </c>
      <c r="F4254" s="312" t="s">
        <v>37</v>
      </c>
      <c r="G4254" s="308"/>
      <c r="H4254" s="308" t="s">
        <v>17237</v>
      </c>
      <c r="I4254" s="310">
        <v>42933.0</v>
      </c>
      <c r="J4254" s="319">
        <f>IFERROR(__xludf.DUMMYFUNCTION("SPLIT(I4254,""/"")"),17.0)</f>
        <v>17</v>
      </c>
      <c r="K4254" s="308">
        <f>IFERROR(__xludf.DUMMYFUNCTION("""COMPUTED_VALUE"""),7.0)</f>
        <v>7</v>
      </c>
      <c r="L4254" s="308">
        <f>IFERROR(__xludf.DUMMYFUNCTION("""COMPUTED_VALUE"""),2017.0)</f>
        <v>2017</v>
      </c>
      <c r="M4254" s="308" t="s">
        <v>17238</v>
      </c>
      <c r="N4254" s="308"/>
      <c r="O4254" s="308"/>
      <c r="P4254" s="308" t="s">
        <v>37542</v>
      </c>
      <c r="Q4254" s="308" t="s">
        <v>37540</v>
      </c>
      <c r="R4254" s="308" t="s">
        <v>2743</v>
      </c>
      <c r="S4254" s="308" t="s">
        <v>81</v>
      </c>
      <c r="T4254" s="308" t="s">
        <v>75</v>
      </c>
      <c r="U4254" s="308" t="s">
        <v>3407</v>
      </c>
      <c r="V4254" s="312"/>
    </row>
    <row r="4255">
      <c r="A4255" s="308">
        <v>4254.0</v>
      </c>
      <c r="B4255" s="308"/>
      <c r="C4255" s="308" t="s">
        <v>17240</v>
      </c>
      <c r="D4255" s="308">
        <f>IFERROR(__xludf.DUMMYFUNCTION("SPLIT(C4255,""-"")"),4275.0)</f>
        <v>4275</v>
      </c>
      <c r="E4255" s="308" t="str">
        <f>IFERROR(__xludf.DUMMYFUNCTION("""COMPUTED_VALUE"""),"K")</f>
        <v>K</v>
      </c>
      <c r="F4255" s="309" t="s">
        <v>34</v>
      </c>
      <c r="G4255" s="308"/>
      <c r="H4255" s="308" t="s">
        <v>17241</v>
      </c>
      <c r="I4255" s="310">
        <v>42799.0</v>
      </c>
      <c r="J4255" s="319" t="str">
        <f>IFERROR(__xludf.DUMMYFUNCTION("SPLIT(I4255,""/"")"),"#REF!")</f>
        <v>#REF!</v>
      </c>
      <c r="K4255" s="308"/>
      <c r="L4255" s="308">
        <v>2017.0</v>
      </c>
      <c r="M4255" s="308" t="s">
        <v>17242</v>
      </c>
      <c r="N4255" s="308"/>
      <c r="O4255" s="308"/>
      <c r="P4255" s="308" t="s">
        <v>17243</v>
      </c>
      <c r="Q4255" s="308" t="s">
        <v>37540</v>
      </c>
      <c r="R4255" s="308" t="s">
        <v>2743</v>
      </c>
      <c r="S4255" s="308" t="s">
        <v>81</v>
      </c>
      <c r="T4255" s="308" t="s">
        <v>34264</v>
      </c>
      <c r="U4255" s="308" t="s">
        <v>4749</v>
      </c>
      <c r="V4255" s="312"/>
    </row>
    <row r="4256">
      <c r="A4256" s="308">
        <v>4255.0</v>
      </c>
      <c r="B4256" s="308"/>
      <c r="C4256" s="308" t="s">
        <v>17244</v>
      </c>
      <c r="D4256" s="308">
        <f>IFERROR(__xludf.DUMMYFUNCTION("SPLIT(C4256,""-"")"),4276.0)</f>
        <v>4276</v>
      </c>
      <c r="E4256" s="308" t="str">
        <f>IFERROR(__xludf.DUMMYFUNCTION("""COMPUTED_VALUE"""),"K")</f>
        <v>K</v>
      </c>
      <c r="F4256" s="309" t="s">
        <v>34</v>
      </c>
      <c r="G4256" s="308"/>
      <c r="H4256" s="308" t="s">
        <v>17245</v>
      </c>
      <c r="I4256" s="310">
        <v>42548.0</v>
      </c>
      <c r="J4256" s="319">
        <f>IFERROR(__xludf.DUMMYFUNCTION("SPLIT(I4256,""/"")"),27.0)</f>
        <v>27</v>
      </c>
      <c r="K4256" s="308">
        <f>IFERROR(__xludf.DUMMYFUNCTION("""COMPUTED_VALUE"""),6.0)</f>
        <v>6</v>
      </c>
      <c r="L4256" s="308">
        <f>IFERROR(__xludf.DUMMYFUNCTION("""COMPUTED_VALUE"""),2016.0)</f>
        <v>2016</v>
      </c>
      <c r="M4256" s="308" t="s">
        <v>17246</v>
      </c>
      <c r="N4256" s="308"/>
      <c r="O4256" s="308"/>
      <c r="P4256" s="308" t="s">
        <v>37543</v>
      </c>
      <c r="Q4256" s="308" t="s">
        <v>37540</v>
      </c>
      <c r="R4256" s="308" t="s">
        <v>2743</v>
      </c>
      <c r="S4256" s="315" t="s">
        <v>100</v>
      </c>
      <c r="T4256" s="311" t="s">
        <v>34208</v>
      </c>
      <c r="U4256" s="308" t="s">
        <v>368</v>
      </c>
      <c r="V4256" s="312"/>
    </row>
    <row r="4257">
      <c r="A4257" s="308">
        <v>4256.0</v>
      </c>
      <c r="B4257" s="308"/>
      <c r="C4257" s="308" t="s">
        <v>17247</v>
      </c>
      <c r="D4257" s="308">
        <f>IFERROR(__xludf.DUMMYFUNCTION("SPLIT(C4257,""-"")"),4277.0)</f>
        <v>4277</v>
      </c>
      <c r="E4257" s="308" t="str">
        <f>IFERROR(__xludf.DUMMYFUNCTION("""COMPUTED_VALUE"""),"K")</f>
        <v>K</v>
      </c>
      <c r="F4257" s="309" t="s">
        <v>34</v>
      </c>
      <c r="G4257" s="308"/>
      <c r="H4257" s="308" t="s">
        <v>17248</v>
      </c>
      <c r="I4257" s="310">
        <v>39833.0</v>
      </c>
      <c r="J4257" s="319">
        <f>IFERROR(__xludf.DUMMYFUNCTION("SPLIT(I4257,""/"")"),20.0)</f>
        <v>20</v>
      </c>
      <c r="K4257" s="308">
        <f>IFERROR(__xludf.DUMMYFUNCTION("""COMPUTED_VALUE"""),1.0)</f>
        <v>1</v>
      </c>
      <c r="L4257" s="308">
        <f>IFERROR(__xludf.DUMMYFUNCTION("""COMPUTED_VALUE"""),2009.0)</f>
        <v>2009</v>
      </c>
      <c r="M4257" s="308" t="s">
        <v>17249</v>
      </c>
      <c r="N4257" s="308" t="s">
        <v>17250</v>
      </c>
      <c r="O4257" s="308"/>
      <c r="P4257" s="308" t="s">
        <v>37544</v>
      </c>
      <c r="Q4257" s="308" t="s">
        <v>37540</v>
      </c>
      <c r="R4257" s="308" t="s">
        <v>2743</v>
      </c>
      <c r="S4257" s="315" t="s">
        <v>100</v>
      </c>
      <c r="T4257" s="311" t="s">
        <v>34208</v>
      </c>
      <c r="U4257" s="308" t="s">
        <v>282</v>
      </c>
      <c r="V4257" s="312"/>
    </row>
    <row r="4258">
      <c r="A4258" s="308">
        <v>4257.0</v>
      </c>
      <c r="B4258" s="308"/>
      <c r="C4258" s="308" t="s">
        <v>17251</v>
      </c>
      <c r="D4258" s="308">
        <f>IFERROR(__xludf.DUMMYFUNCTION("SPLIT(C4258,""-"")"),4278.0)</f>
        <v>4278</v>
      </c>
      <c r="E4258" s="308" t="str">
        <f>IFERROR(__xludf.DUMMYFUNCTION("""COMPUTED_VALUE"""),"K")</f>
        <v>K</v>
      </c>
      <c r="F4258" s="309" t="s">
        <v>34</v>
      </c>
      <c r="G4258" s="308"/>
      <c r="H4258" s="308" t="s">
        <v>17252</v>
      </c>
      <c r="I4258" s="316">
        <v>2009.0</v>
      </c>
      <c r="J4258" s="319"/>
      <c r="K4258" s="308"/>
      <c r="L4258" s="311">
        <v>2009.0</v>
      </c>
      <c r="M4258" s="308" t="s">
        <v>17253</v>
      </c>
      <c r="N4258" s="308" t="s">
        <v>17254</v>
      </c>
      <c r="O4258" s="308" t="s">
        <v>17255</v>
      </c>
      <c r="P4258" s="308" t="s">
        <v>17256</v>
      </c>
      <c r="Q4258" s="308" t="s">
        <v>37540</v>
      </c>
      <c r="R4258" s="308" t="s">
        <v>2743</v>
      </c>
      <c r="S4258" s="308" t="s">
        <v>49</v>
      </c>
      <c r="T4258" s="311" t="s">
        <v>51</v>
      </c>
      <c r="U4258" s="308" t="s">
        <v>530</v>
      </c>
      <c r="V4258" s="312"/>
    </row>
    <row r="4259">
      <c r="A4259" s="308">
        <v>4258.0</v>
      </c>
      <c r="B4259" s="308"/>
      <c r="C4259" s="308" t="s">
        <v>17257</v>
      </c>
      <c r="D4259" s="308"/>
      <c r="E4259" s="311"/>
      <c r="F4259" s="309" t="s">
        <v>31</v>
      </c>
      <c r="G4259" s="308"/>
      <c r="H4259" s="308" t="s">
        <v>17258</v>
      </c>
      <c r="I4259" s="310">
        <v>42131.0</v>
      </c>
      <c r="J4259" s="319">
        <f>IFERROR(__xludf.DUMMYFUNCTION("SPLIT(I4259,""/"")"),7.0)</f>
        <v>7</v>
      </c>
      <c r="K4259" s="308">
        <f>IFERROR(__xludf.DUMMYFUNCTION("""COMPUTED_VALUE"""),5.0)</f>
        <v>5</v>
      </c>
      <c r="L4259" s="308">
        <f>IFERROR(__xludf.DUMMYFUNCTION("""COMPUTED_VALUE"""),2015.0)</f>
        <v>2015</v>
      </c>
      <c r="M4259" s="308" t="s">
        <v>17259</v>
      </c>
      <c r="N4259" s="308"/>
      <c r="O4259" s="308" t="s">
        <v>17260</v>
      </c>
      <c r="P4259" s="308" t="s">
        <v>37493</v>
      </c>
      <c r="Q4259" s="308" t="s">
        <v>37540</v>
      </c>
      <c r="R4259" s="308" t="s">
        <v>2743</v>
      </c>
      <c r="S4259" s="315" t="s">
        <v>100</v>
      </c>
      <c r="T4259" s="311" t="s">
        <v>34208</v>
      </c>
      <c r="U4259" s="308" t="s">
        <v>31</v>
      </c>
      <c r="V4259" s="312"/>
    </row>
    <row r="4260">
      <c r="A4260" s="308">
        <v>4259.0</v>
      </c>
      <c r="B4260" s="308"/>
      <c r="C4260" s="308" t="s">
        <v>17261</v>
      </c>
      <c r="D4260" s="308">
        <f>IFERROR(__xludf.DUMMYFUNCTION("SPLIT(C4260,""-"")"),4280.0)</f>
        <v>4280</v>
      </c>
      <c r="E4260" s="308" t="str">
        <f>IFERROR(__xludf.DUMMYFUNCTION("""COMPUTED_VALUE"""),"I")</f>
        <v>I</v>
      </c>
      <c r="F4260" s="309" t="s">
        <v>31</v>
      </c>
      <c r="G4260" s="308"/>
      <c r="H4260" s="308" t="s">
        <v>13831</v>
      </c>
      <c r="I4260" s="310">
        <v>42499.0</v>
      </c>
      <c r="J4260" s="319">
        <f>IFERROR(__xludf.DUMMYFUNCTION("SPLIT(I4260,""/"")"),9.0)</f>
        <v>9</v>
      </c>
      <c r="K4260" s="308">
        <f>IFERROR(__xludf.DUMMYFUNCTION("""COMPUTED_VALUE"""),5.0)</f>
        <v>5</v>
      </c>
      <c r="L4260" s="308">
        <f>IFERROR(__xludf.DUMMYFUNCTION("""COMPUTED_VALUE"""),2016.0)</f>
        <v>2016</v>
      </c>
      <c r="M4260" s="308" t="s">
        <v>36965</v>
      </c>
      <c r="N4260" s="308"/>
      <c r="O4260" s="308"/>
      <c r="P4260" s="308" t="s">
        <v>37545</v>
      </c>
      <c r="Q4260" s="308" t="s">
        <v>37540</v>
      </c>
      <c r="R4260" s="308" t="s">
        <v>2743</v>
      </c>
      <c r="S4260" s="308" t="s">
        <v>81</v>
      </c>
      <c r="T4260" s="308" t="s">
        <v>75</v>
      </c>
      <c r="U4260" s="308" t="s">
        <v>31</v>
      </c>
      <c r="V4260" s="312"/>
    </row>
    <row r="4261">
      <c r="A4261" s="308">
        <v>4260.0</v>
      </c>
      <c r="B4261" s="308"/>
      <c r="C4261" s="308" t="s">
        <v>17263</v>
      </c>
      <c r="D4261" s="308">
        <f>IFERROR(__xludf.DUMMYFUNCTION("SPLIT(C4261,""-"")"),4281.0)</f>
        <v>4281</v>
      </c>
      <c r="E4261" s="308" t="str">
        <f>IFERROR(__xludf.DUMMYFUNCTION("""COMPUTED_VALUE"""),"K")</f>
        <v>K</v>
      </c>
      <c r="F4261" s="309" t="s">
        <v>34</v>
      </c>
      <c r="G4261" s="308"/>
      <c r="H4261" s="308" t="s">
        <v>17264</v>
      </c>
      <c r="I4261" s="310">
        <v>39965.0</v>
      </c>
      <c r="J4261" s="319">
        <f>IFERROR(__xludf.DUMMYFUNCTION("SPLIT(I4261,""/"")"),1.0)</f>
        <v>1</v>
      </c>
      <c r="K4261" s="308">
        <f>IFERROR(__xludf.DUMMYFUNCTION("""COMPUTED_VALUE"""),6.0)</f>
        <v>6</v>
      </c>
      <c r="L4261" s="308">
        <f>IFERROR(__xludf.DUMMYFUNCTION("""COMPUTED_VALUE"""),2009.0)</f>
        <v>2009</v>
      </c>
      <c r="M4261" s="308" t="s">
        <v>17265</v>
      </c>
      <c r="N4261" s="308"/>
      <c r="O4261" s="308"/>
      <c r="P4261" s="308" t="s">
        <v>37546</v>
      </c>
      <c r="Q4261" s="308" t="s">
        <v>37540</v>
      </c>
      <c r="R4261" s="308" t="s">
        <v>2743</v>
      </c>
      <c r="S4261" s="308" t="s">
        <v>81</v>
      </c>
      <c r="T4261" s="308" t="s">
        <v>34264</v>
      </c>
      <c r="U4261" s="308" t="s">
        <v>530</v>
      </c>
      <c r="V4261" s="312"/>
    </row>
    <row r="4262">
      <c r="A4262" s="308">
        <v>4261.0</v>
      </c>
      <c r="B4262" s="308"/>
      <c r="C4262" s="308" t="s">
        <v>17267</v>
      </c>
      <c r="D4262" s="308">
        <f>IFERROR(__xludf.DUMMYFUNCTION("SPLIT(C4262,""-"")"),4282.0)</f>
        <v>4282</v>
      </c>
      <c r="E4262" s="308" t="str">
        <f>IFERROR(__xludf.DUMMYFUNCTION("""COMPUTED_VALUE"""),"K")</f>
        <v>K</v>
      </c>
      <c r="F4262" s="309" t="s">
        <v>34</v>
      </c>
      <c r="G4262" s="308"/>
      <c r="H4262" s="308" t="s">
        <v>17268</v>
      </c>
      <c r="I4262" s="316">
        <v>2009.0</v>
      </c>
      <c r="J4262" s="319"/>
      <c r="K4262" s="308"/>
      <c r="L4262" s="311">
        <v>2009.0</v>
      </c>
      <c r="M4262" s="308" t="s">
        <v>17269</v>
      </c>
      <c r="N4262" s="308"/>
      <c r="O4262" s="308"/>
      <c r="P4262" s="308" t="s">
        <v>37547</v>
      </c>
      <c r="Q4262" s="308" t="s">
        <v>37540</v>
      </c>
      <c r="R4262" s="308" t="s">
        <v>2743</v>
      </c>
      <c r="S4262" s="315" t="s">
        <v>100</v>
      </c>
      <c r="T4262" s="311" t="s">
        <v>34208</v>
      </c>
      <c r="U4262" s="308" t="s">
        <v>530</v>
      </c>
      <c r="V4262" s="312"/>
    </row>
    <row r="4263">
      <c r="A4263" s="308">
        <v>4262.0</v>
      </c>
      <c r="B4263" s="308"/>
      <c r="C4263" s="308" t="s">
        <v>17270</v>
      </c>
      <c r="D4263" s="308">
        <f>IFERROR(__xludf.DUMMYFUNCTION("SPLIT(C4263,""-"")"),4283.0)</f>
        <v>4283</v>
      </c>
      <c r="E4263" s="308" t="str">
        <f>IFERROR(__xludf.DUMMYFUNCTION("""COMPUTED_VALUE"""),"S")</f>
        <v>S</v>
      </c>
      <c r="F4263" s="312" t="s">
        <v>39</v>
      </c>
      <c r="G4263" s="308"/>
      <c r="H4263" s="308" t="s">
        <v>17271</v>
      </c>
      <c r="I4263" s="310">
        <v>42952.0</v>
      </c>
      <c r="J4263" s="319">
        <f>IFERROR(__xludf.DUMMYFUNCTION("SPLIT(I4263,""/"")"),5.0)</f>
        <v>5</v>
      </c>
      <c r="K4263" s="308">
        <f>IFERROR(__xludf.DUMMYFUNCTION("""COMPUTED_VALUE"""),8.0)</f>
        <v>8</v>
      </c>
      <c r="L4263" s="308">
        <f>IFERROR(__xludf.DUMMYFUNCTION("""COMPUTED_VALUE"""),2017.0)</f>
        <v>2017</v>
      </c>
      <c r="M4263" s="308"/>
      <c r="N4263" s="308"/>
      <c r="O4263" s="308"/>
      <c r="P4263" s="308" t="s">
        <v>37548</v>
      </c>
      <c r="Q4263" s="308" t="s">
        <v>37549</v>
      </c>
      <c r="R4263" s="308" t="s">
        <v>2743</v>
      </c>
      <c r="S4263" s="308" t="s">
        <v>81</v>
      </c>
      <c r="T4263" s="308" t="s">
        <v>75</v>
      </c>
      <c r="U4263" s="308" t="s">
        <v>166</v>
      </c>
      <c r="V4263" s="312"/>
    </row>
    <row r="4264">
      <c r="A4264" s="308">
        <v>4263.0</v>
      </c>
      <c r="B4264" s="308"/>
      <c r="C4264" s="308" t="s">
        <v>17273</v>
      </c>
      <c r="D4264" s="308">
        <f>IFERROR(__xludf.DUMMYFUNCTION("SPLIT(C4264,""-"")"),4284.0)</f>
        <v>4284</v>
      </c>
      <c r="E4264" s="308" t="str">
        <f>IFERROR(__xludf.DUMMYFUNCTION("""COMPUTED_VALUE"""),"F")</f>
        <v>F</v>
      </c>
      <c r="F4264" s="309" t="s">
        <v>34</v>
      </c>
      <c r="G4264" s="308"/>
      <c r="H4264" s="308" t="s">
        <v>17274</v>
      </c>
      <c r="I4264" s="310">
        <v>41875.0</v>
      </c>
      <c r="J4264" s="319">
        <f>IFERROR(__xludf.DUMMYFUNCTION("SPLIT(I4264,""/"")"),24.0)</f>
        <v>24</v>
      </c>
      <c r="K4264" s="308">
        <f>IFERROR(__xludf.DUMMYFUNCTION("""COMPUTED_VALUE"""),8.0)</f>
        <v>8</v>
      </c>
      <c r="L4264" s="308">
        <f>IFERROR(__xludf.DUMMYFUNCTION("""COMPUTED_VALUE"""),2014.0)</f>
        <v>2014</v>
      </c>
      <c r="M4264" s="308" t="s">
        <v>17275</v>
      </c>
      <c r="N4264" s="308"/>
      <c r="O4264" s="308"/>
      <c r="P4264" s="308" t="s">
        <v>37550</v>
      </c>
      <c r="Q4264" s="308" t="s">
        <v>37551</v>
      </c>
      <c r="R4264" s="308" t="s">
        <v>14911</v>
      </c>
      <c r="S4264" s="315" t="s">
        <v>100</v>
      </c>
      <c r="T4264" s="311" t="s">
        <v>34208</v>
      </c>
      <c r="U4264" s="308" t="s">
        <v>195</v>
      </c>
      <c r="V4264" s="312"/>
    </row>
    <row r="4265">
      <c r="A4265" s="308">
        <v>4264.0</v>
      </c>
      <c r="B4265" s="308"/>
      <c r="C4265" s="308" t="s">
        <v>17276</v>
      </c>
      <c r="D4265" s="308">
        <f>IFERROR(__xludf.DUMMYFUNCTION("SPLIT(C4265,""-"")"),4285.0)</f>
        <v>4285</v>
      </c>
      <c r="E4265" s="308" t="str">
        <f>IFERROR(__xludf.DUMMYFUNCTION("""COMPUTED_VALUE"""),"F")</f>
        <v>F</v>
      </c>
      <c r="F4265" s="309" t="s">
        <v>34</v>
      </c>
      <c r="G4265" s="308"/>
      <c r="H4265" s="308" t="s">
        <v>17277</v>
      </c>
      <c r="I4265" s="314">
        <v>42653.0</v>
      </c>
      <c r="J4265" s="319">
        <f>IFERROR(__xludf.DUMMYFUNCTION("SPLIT(I4265,""/"")"),10.0)</f>
        <v>10</v>
      </c>
      <c r="K4265" s="308">
        <f>IFERROR(__xludf.DUMMYFUNCTION("""COMPUTED_VALUE"""),10.0)</f>
        <v>10</v>
      </c>
      <c r="L4265" s="308">
        <f>IFERROR(__xludf.DUMMYFUNCTION("""COMPUTED_VALUE"""),2016.0)</f>
        <v>2016</v>
      </c>
      <c r="M4265" s="308" t="s">
        <v>17278</v>
      </c>
      <c r="N4265" s="308"/>
      <c r="O4265" s="308"/>
      <c r="P4265" s="308" t="s">
        <v>17279</v>
      </c>
      <c r="Q4265" s="308" t="s">
        <v>37551</v>
      </c>
      <c r="R4265" s="308" t="s">
        <v>14911</v>
      </c>
      <c r="S4265" s="308" t="s">
        <v>81</v>
      </c>
      <c r="T4265" s="308" t="s">
        <v>34264</v>
      </c>
      <c r="U4265" s="308" t="s">
        <v>195</v>
      </c>
      <c r="V4265" s="312"/>
    </row>
    <row r="4266">
      <c r="A4266" s="308">
        <v>4265.0</v>
      </c>
      <c r="B4266" s="308"/>
      <c r="C4266" s="308" t="s">
        <v>17280</v>
      </c>
      <c r="D4266" s="308">
        <f>IFERROR(__xludf.DUMMYFUNCTION("SPLIT(C4266,""-"")"),4286.0)</f>
        <v>4286</v>
      </c>
      <c r="E4266" s="308" t="str">
        <f>IFERROR(__xludf.DUMMYFUNCTION("""COMPUTED_VALUE"""),"K")</f>
        <v>K</v>
      </c>
      <c r="F4266" s="309" t="s">
        <v>34</v>
      </c>
      <c r="G4266" s="308"/>
      <c r="H4266" s="308" t="s">
        <v>17281</v>
      </c>
      <c r="I4266" s="310">
        <v>42778.0</v>
      </c>
      <c r="J4266" s="319" t="str">
        <f>IFERROR(__xludf.DUMMYFUNCTION("SPLIT(I4266,""/"")"),"#REF!")</f>
        <v>#REF!</v>
      </c>
      <c r="K4266" s="308"/>
      <c r="L4266" s="308">
        <v>2017.0</v>
      </c>
      <c r="M4266" s="308" t="s">
        <v>17282</v>
      </c>
      <c r="N4266" s="308"/>
      <c r="O4266" s="308" t="s">
        <v>17283</v>
      </c>
      <c r="P4266" s="308" t="s">
        <v>37552</v>
      </c>
      <c r="Q4266" s="308" t="s">
        <v>37551</v>
      </c>
      <c r="R4266" s="308" t="s">
        <v>14911</v>
      </c>
      <c r="S4266" s="308" t="s">
        <v>49</v>
      </c>
      <c r="T4266" s="308" t="s">
        <v>51</v>
      </c>
      <c r="U4266" s="308" t="s">
        <v>872</v>
      </c>
      <c r="V4266" s="312"/>
    </row>
    <row r="4267">
      <c r="A4267" s="308">
        <v>4266.0</v>
      </c>
      <c r="B4267" s="308"/>
      <c r="C4267" s="308" t="s">
        <v>17285</v>
      </c>
      <c r="D4267" s="308">
        <f>IFERROR(__xludf.DUMMYFUNCTION("SPLIT(C4267,""-"")"),4287.0)</f>
        <v>4287</v>
      </c>
      <c r="E4267" s="308" t="str">
        <f>IFERROR(__xludf.DUMMYFUNCTION("""COMPUTED_VALUE"""),"K")</f>
        <v>K</v>
      </c>
      <c r="F4267" s="309" t="s">
        <v>34</v>
      </c>
      <c r="G4267" s="308"/>
      <c r="H4267" s="308" t="s">
        <v>17286</v>
      </c>
      <c r="I4267" s="310">
        <v>42772.0</v>
      </c>
      <c r="J4267" s="319" t="str">
        <f>IFERROR(__xludf.DUMMYFUNCTION("SPLIT(I4267,""/"")"),"#REF!")</f>
        <v>#REF!</v>
      </c>
      <c r="K4267" s="308"/>
      <c r="L4267" s="308">
        <v>2017.0</v>
      </c>
      <c r="M4267" s="308" t="s">
        <v>17287</v>
      </c>
      <c r="N4267" s="308"/>
      <c r="O4267" s="308"/>
      <c r="P4267" s="308" t="s">
        <v>17288</v>
      </c>
      <c r="Q4267" s="308" t="s">
        <v>37551</v>
      </c>
      <c r="R4267" s="308" t="s">
        <v>14911</v>
      </c>
      <c r="S4267" s="308" t="s">
        <v>81</v>
      </c>
      <c r="T4267" s="308" t="s">
        <v>34264</v>
      </c>
      <c r="U4267" s="308" t="s">
        <v>1516</v>
      </c>
      <c r="V4267" s="312"/>
    </row>
    <row r="4268">
      <c r="A4268" s="308">
        <v>4267.0</v>
      </c>
      <c r="B4268" s="308"/>
      <c r="C4268" s="308" t="s">
        <v>17289</v>
      </c>
      <c r="D4268" s="308">
        <f>IFERROR(__xludf.DUMMYFUNCTION("SPLIT(C4268,""-"")"),4288.0)</f>
        <v>4288</v>
      </c>
      <c r="E4268" s="308" t="str">
        <f>IFERROR(__xludf.DUMMYFUNCTION("""COMPUTED_VALUE"""),"K")</f>
        <v>K</v>
      </c>
      <c r="F4268" s="309" t="s">
        <v>34</v>
      </c>
      <c r="G4268" s="308"/>
      <c r="H4268" s="308" t="s">
        <v>17290</v>
      </c>
      <c r="I4268" s="310">
        <v>42762.0</v>
      </c>
      <c r="J4268" s="319" t="str">
        <f>IFERROR(__xludf.DUMMYFUNCTION("SPLIT(I4268,""/"")"),"#REF!")</f>
        <v>#REF!</v>
      </c>
      <c r="K4268" s="308"/>
      <c r="L4268" s="308">
        <v>2017.0</v>
      </c>
      <c r="M4268" s="308" t="s">
        <v>17291</v>
      </c>
      <c r="N4268" s="308" t="s">
        <v>17292</v>
      </c>
      <c r="O4268" s="308" t="s">
        <v>17293</v>
      </c>
      <c r="P4268" s="308" t="s">
        <v>37553</v>
      </c>
      <c r="Q4268" s="308" t="s">
        <v>37551</v>
      </c>
      <c r="R4268" s="308" t="s">
        <v>14911</v>
      </c>
      <c r="S4268" s="315" t="s">
        <v>100</v>
      </c>
      <c r="T4268" s="311" t="s">
        <v>34208</v>
      </c>
      <c r="U4268" s="308" t="s">
        <v>2152</v>
      </c>
      <c r="V4268" s="312"/>
    </row>
    <row r="4269">
      <c r="A4269" s="308">
        <v>4268.0</v>
      </c>
      <c r="B4269" s="308"/>
      <c r="C4269" s="308" t="s">
        <v>17294</v>
      </c>
      <c r="D4269" s="308">
        <f>IFERROR(__xludf.DUMMYFUNCTION("SPLIT(C4269,""-"")"),4289.0)</f>
        <v>4289</v>
      </c>
      <c r="E4269" s="308" t="str">
        <f>IFERROR(__xludf.DUMMYFUNCTION("""COMPUTED_VALUE"""),"P")</f>
        <v>P</v>
      </c>
      <c r="F4269" s="312" t="s">
        <v>37</v>
      </c>
      <c r="G4269" s="308"/>
      <c r="H4269" s="308" t="s">
        <v>17295</v>
      </c>
      <c r="I4269" s="310">
        <v>42926.0</v>
      </c>
      <c r="J4269" s="319">
        <f>IFERROR(__xludf.DUMMYFUNCTION("SPLIT(I4269,""/"")"),10.0)</f>
        <v>10</v>
      </c>
      <c r="K4269" s="308">
        <f>IFERROR(__xludf.DUMMYFUNCTION("""COMPUTED_VALUE"""),7.0)</f>
        <v>7</v>
      </c>
      <c r="L4269" s="308">
        <f>IFERROR(__xludf.DUMMYFUNCTION("""COMPUTED_VALUE"""),2017.0)</f>
        <v>2017</v>
      </c>
      <c r="M4269" s="308" t="s">
        <v>37554</v>
      </c>
      <c r="N4269" s="308"/>
      <c r="O4269" s="308"/>
      <c r="P4269" s="308" t="s">
        <v>37555</v>
      </c>
      <c r="Q4269" s="308" t="s">
        <v>37551</v>
      </c>
      <c r="R4269" s="308" t="s">
        <v>14911</v>
      </c>
      <c r="S4269" s="308" t="s">
        <v>81</v>
      </c>
      <c r="T4269" s="308" t="s">
        <v>75</v>
      </c>
      <c r="U4269" s="308" t="s">
        <v>143</v>
      </c>
      <c r="V4269" s="312"/>
    </row>
    <row r="4270">
      <c r="A4270" s="308">
        <v>4269.0</v>
      </c>
      <c r="B4270" s="308"/>
      <c r="C4270" s="308" t="s">
        <v>17298</v>
      </c>
      <c r="D4270" s="308">
        <f>IFERROR(__xludf.DUMMYFUNCTION("SPLIT(C4270,""-"")"),4290.0)</f>
        <v>4290</v>
      </c>
      <c r="E4270" s="308" t="str">
        <f>IFERROR(__xludf.DUMMYFUNCTION("""COMPUTED_VALUE"""),"P")</f>
        <v>P</v>
      </c>
      <c r="F4270" s="312" t="s">
        <v>37</v>
      </c>
      <c r="G4270" s="308"/>
      <c r="H4270" s="308" t="s">
        <v>17299</v>
      </c>
      <c r="I4270" s="310">
        <v>41952.0</v>
      </c>
      <c r="J4270" s="319">
        <f>IFERROR(__xludf.DUMMYFUNCTION("SPLIT(I4270,""/"")"),9.0)</f>
        <v>9</v>
      </c>
      <c r="K4270" s="308">
        <f>IFERROR(__xludf.DUMMYFUNCTION("""COMPUTED_VALUE"""),11.0)</f>
        <v>11</v>
      </c>
      <c r="L4270" s="308">
        <f>IFERROR(__xludf.DUMMYFUNCTION("""COMPUTED_VALUE"""),2014.0)</f>
        <v>2014</v>
      </c>
      <c r="M4270" s="308" t="s">
        <v>17300</v>
      </c>
      <c r="N4270" s="308" t="s">
        <v>17301</v>
      </c>
      <c r="O4270" s="308"/>
      <c r="P4270" s="308" t="s">
        <v>37556</v>
      </c>
      <c r="Q4270" s="308" t="s">
        <v>37551</v>
      </c>
      <c r="R4270" s="308" t="s">
        <v>14911</v>
      </c>
      <c r="S4270" s="308" t="s">
        <v>81</v>
      </c>
      <c r="T4270" s="311" t="s">
        <v>51</v>
      </c>
      <c r="U4270" s="308" t="s">
        <v>17303</v>
      </c>
      <c r="V4270" s="312"/>
    </row>
    <row r="4271">
      <c r="A4271" s="308">
        <v>4270.0</v>
      </c>
      <c r="B4271" s="308"/>
      <c r="C4271" s="308" t="s">
        <v>17304</v>
      </c>
      <c r="D4271" s="308">
        <f>IFERROR(__xludf.DUMMYFUNCTION("SPLIT(C4271,""-"")"),4291.0)</f>
        <v>4291</v>
      </c>
      <c r="E4271" s="308" t="str">
        <f>IFERROR(__xludf.DUMMYFUNCTION("""COMPUTED_VALUE"""),"P")</f>
        <v>P</v>
      </c>
      <c r="F4271" s="312" t="s">
        <v>37</v>
      </c>
      <c r="G4271" s="308"/>
      <c r="H4271" s="308" t="s">
        <v>17305</v>
      </c>
      <c r="I4271" s="314">
        <v>42733.0</v>
      </c>
      <c r="J4271" s="319">
        <f>IFERROR(__xludf.DUMMYFUNCTION("SPLIT(I4271,""/"")"),29.0)</f>
        <v>29</v>
      </c>
      <c r="K4271" s="308">
        <f>IFERROR(__xludf.DUMMYFUNCTION("""COMPUTED_VALUE"""),12.0)</f>
        <v>12</v>
      </c>
      <c r="L4271" s="308">
        <f>IFERROR(__xludf.DUMMYFUNCTION("""COMPUTED_VALUE"""),2016.0)</f>
        <v>2016</v>
      </c>
      <c r="M4271" s="308" t="s">
        <v>17306</v>
      </c>
      <c r="N4271" s="308"/>
      <c r="O4271" s="308" t="s">
        <v>37557</v>
      </c>
      <c r="P4271" s="308" t="s">
        <v>37558</v>
      </c>
      <c r="Q4271" s="308" t="s">
        <v>37551</v>
      </c>
      <c r="R4271" s="308" t="s">
        <v>2743</v>
      </c>
      <c r="S4271" s="308" t="s">
        <v>81</v>
      </c>
      <c r="T4271" s="311" t="s">
        <v>63</v>
      </c>
      <c r="U4271" s="308" t="s">
        <v>15904</v>
      </c>
      <c r="V4271" s="312"/>
    </row>
    <row r="4272">
      <c r="A4272" s="308">
        <v>4271.0</v>
      </c>
      <c r="B4272" s="308"/>
      <c r="C4272" s="308" t="s">
        <v>17309</v>
      </c>
      <c r="D4272" s="308">
        <f>IFERROR(__xludf.DUMMYFUNCTION("SPLIT(C4272,""-"")"),4292.0)</f>
        <v>4292</v>
      </c>
      <c r="E4272" s="308" t="str">
        <f>IFERROR(__xludf.DUMMYFUNCTION("""COMPUTED_VALUE"""),"P")</f>
        <v>P</v>
      </c>
      <c r="F4272" s="312" t="s">
        <v>37</v>
      </c>
      <c r="G4272" s="308"/>
      <c r="H4272" s="308" t="s">
        <v>17310</v>
      </c>
      <c r="I4272" s="310">
        <v>42397.0</v>
      </c>
      <c r="J4272" s="319">
        <f>IFERROR(__xludf.DUMMYFUNCTION("SPLIT(I4272,""/"")"),28.0)</f>
        <v>28</v>
      </c>
      <c r="K4272" s="308">
        <f>IFERROR(__xludf.DUMMYFUNCTION("""COMPUTED_VALUE"""),1.0)</f>
        <v>1</v>
      </c>
      <c r="L4272" s="308">
        <f>IFERROR(__xludf.DUMMYFUNCTION("""COMPUTED_VALUE"""),2016.0)</f>
        <v>2016</v>
      </c>
      <c r="M4272" s="308" t="s">
        <v>17311</v>
      </c>
      <c r="N4272" s="308" t="s">
        <v>17312</v>
      </c>
      <c r="O4272" s="308"/>
      <c r="P4272" s="308" t="s">
        <v>37559</v>
      </c>
      <c r="Q4272" s="308" t="s">
        <v>37551</v>
      </c>
      <c r="R4272" s="308" t="s">
        <v>14911</v>
      </c>
      <c r="S4272" s="315" t="s">
        <v>100</v>
      </c>
      <c r="T4272" s="311" t="s">
        <v>34208</v>
      </c>
      <c r="U4272" s="308" t="s">
        <v>143</v>
      </c>
      <c r="V4272" s="312"/>
    </row>
    <row r="4273">
      <c r="A4273" s="308">
        <v>4272.0</v>
      </c>
      <c r="B4273" s="308"/>
      <c r="C4273" s="308" t="s">
        <v>17313</v>
      </c>
      <c r="D4273" s="308">
        <f>IFERROR(__xludf.DUMMYFUNCTION("SPLIT(C4273,""-"")"),4293.0)</f>
        <v>4293</v>
      </c>
      <c r="E4273" s="308" t="str">
        <f>IFERROR(__xludf.DUMMYFUNCTION("""COMPUTED_VALUE"""),"P")</f>
        <v>P</v>
      </c>
      <c r="F4273" s="312" t="s">
        <v>37</v>
      </c>
      <c r="G4273" s="308"/>
      <c r="H4273" s="308" t="s">
        <v>17314</v>
      </c>
      <c r="I4273" s="310">
        <v>41434.0</v>
      </c>
      <c r="J4273" s="319">
        <f>IFERROR(__xludf.DUMMYFUNCTION("SPLIT(I4273,""/"")"),9.0)</f>
        <v>9</v>
      </c>
      <c r="K4273" s="308">
        <f>IFERROR(__xludf.DUMMYFUNCTION("""COMPUTED_VALUE"""),6.0)</f>
        <v>6</v>
      </c>
      <c r="L4273" s="308">
        <f>IFERROR(__xludf.DUMMYFUNCTION("""COMPUTED_VALUE"""),2013.0)</f>
        <v>2013</v>
      </c>
      <c r="M4273" s="308" t="s">
        <v>37560</v>
      </c>
      <c r="N4273" s="308"/>
      <c r="O4273" s="308"/>
      <c r="P4273" s="308" t="s">
        <v>35979</v>
      </c>
      <c r="Q4273" s="308" t="s">
        <v>37551</v>
      </c>
      <c r="R4273" s="308" t="s">
        <v>14911</v>
      </c>
      <c r="S4273" s="315" t="s">
        <v>100</v>
      </c>
      <c r="T4273" s="311" t="s">
        <v>34208</v>
      </c>
      <c r="U4273" s="308" t="s">
        <v>149</v>
      </c>
      <c r="V4273" s="312"/>
    </row>
    <row r="4274">
      <c r="A4274" s="308">
        <v>4273.0</v>
      </c>
      <c r="B4274" s="308"/>
      <c r="C4274" s="308" t="s">
        <v>17316</v>
      </c>
      <c r="D4274" s="308">
        <f>IFERROR(__xludf.DUMMYFUNCTION("SPLIT(C4274,""-"")"),4294.0)</f>
        <v>4294</v>
      </c>
      <c r="E4274" s="308" t="str">
        <f>IFERROR(__xludf.DUMMYFUNCTION("""COMPUTED_VALUE"""),"B")</f>
        <v>B</v>
      </c>
      <c r="F4274" s="315" t="s">
        <v>26</v>
      </c>
      <c r="G4274" s="308"/>
      <c r="H4274" s="308" t="s">
        <v>17317</v>
      </c>
      <c r="I4274" s="316">
        <v>2010.0</v>
      </c>
      <c r="J4274" s="319"/>
      <c r="K4274" s="308"/>
      <c r="L4274" s="311">
        <v>2010.0</v>
      </c>
      <c r="M4274" s="308" t="s">
        <v>17318</v>
      </c>
      <c r="N4274" s="308"/>
      <c r="O4274" s="308"/>
      <c r="P4274" s="308" t="s">
        <v>17319</v>
      </c>
      <c r="Q4274" s="308" t="s">
        <v>37551</v>
      </c>
      <c r="R4274" s="308" t="s">
        <v>2743</v>
      </c>
      <c r="S4274" s="308" t="s">
        <v>49</v>
      </c>
      <c r="T4274" s="311" t="s">
        <v>51</v>
      </c>
      <c r="U4274" s="308" t="s">
        <v>27</v>
      </c>
      <c r="V4274" s="312"/>
    </row>
    <row r="4275">
      <c r="A4275" s="308">
        <v>4274.0</v>
      </c>
      <c r="B4275" s="308"/>
      <c r="C4275" s="308" t="s">
        <v>17320</v>
      </c>
      <c r="D4275" s="308">
        <f>IFERROR(__xludf.DUMMYFUNCTION("SPLIT(C4275,""-"")"),4295.0)</f>
        <v>4295</v>
      </c>
      <c r="E4275" s="308" t="str">
        <f>IFERROR(__xludf.DUMMYFUNCTION("""COMPUTED_VALUE"""),"B")</f>
        <v>B</v>
      </c>
      <c r="F4275" s="315" t="s">
        <v>26</v>
      </c>
      <c r="G4275" s="308"/>
      <c r="H4275" s="308" t="s">
        <v>17321</v>
      </c>
      <c r="I4275" s="310">
        <v>42564.0</v>
      </c>
      <c r="J4275" s="319">
        <f>IFERROR(__xludf.DUMMYFUNCTION("SPLIT(I4275,""/"")"),13.0)</f>
        <v>13</v>
      </c>
      <c r="K4275" s="308">
        <f>IFERROR(__xludf.DUMMYFUNCTION("""COMPUTED_VALUE"""),7.0)</f>
        <v>7</v>
      </c>
      <c r="L4275" s="308">
        <f>IFERROR(__xludf.DUMMYFUNCTION("""COMPUTED_VALUE"""),2016.0)</f>
        <v>2016</v>
      </c>
      <c r="M4275" s="308" t="s">
        <v>17322</v>
      </c>
      <c r="N4275" s="308"/>
      <c r="O4275" s="308"/>
      <c r="P4275" s="308" t="s">
        <v>37461</v>
      </c>
      <c r="Q4275" s="308" t="s">
        <v>37551</v>
      </c>
      <c r="R4275" s="308" t="s">
        <v>2743</v>
      </c>
      <c r="S4275" s="315" t="s">
        <v>100</v>
      </c>
      <c r="T4275" s="311" t="s">
        <v>34208</v>
      </c>
      <c r="U4275" s="308" t="s">
        <v>27</v>
      </c>
      <c r="V4275" s="312"/>
    </row>
    <row r="4276">
      <c r="A4276" s="308">
        <v>4275.0</v>
      </c>
      <c r="B4276" s="308"/>
      <c r="C4276" s="308" t="s">
        <v>17323</v>
      </c>
      <c r="D4276" s="308">
        <f>IFERROR(__xludf.DUMMYFUNCTION("SPLIT(C4276,""-"")"),4296.0)</f>
        <v>4296</v>
      </c>
      <c r="E4276" s="308" t="str">
        <f>IFERROR(__xludf.DUMMYFUNCTION("""COMPUTED_VALUE"""),"S")</f>
        <v>S</v>
      </c>
      <c r="F4276" s="312" t="s">
        <v>39</v>
      </c>
      <c r="G4276" s="308"/>
      <c r="H4276" s="308" t="s">
        <v>17324</v>
      </c>
      <c r="I4276" s="310">
        <v>42836.0</v>
      </c>
      <c r="J4276" s="319">
        <f>IFERROR(__xludf.DUMMYFUNCTION("SPLIT(I4276,""/"")"),11.0)</f>
        <v>11</v>
      </c>
      <c r="K4276" s="308">
        <f>IFERROR(__xludf.DUMMYFUNCTION("""COMPUTED_VALUE"""),4.0)</f>
        <v>4</v>
      </c>
      <c r="L4276" s="308">
        <f>IFERROR(__xludf.DUMMYFUNCTION("""COMPUTED_VALUE"""),2017.0)</f>
        <v>2017</v>
      </c>
      <c r="M4276" s="308" t="s">
        <v>17325</v>
      </c>
      <c r="N4276" s="308"/>
      <c r="O4276" s="308"/>
      <c r="P4276" s="308" t="s">
        <v>37561</v>
      </c>
      <c r="Q4276" s="308" t="s">
        <v>37551</v>
      </c>
      <c r="R4276" s="308" t="s">
        <v>2743</v>
      </c>
      <c r="S4276" s="308" t="s">
        <v>81</v>
      </c>
      <c r="T4276" s="308" t="s">
        <v>75</v>
      </c>
      <c r="U4276" s="308" t="s">
        <v>166</v>
      </c>
      <c r="V4276" s="312"/>
    </row>
    <row r="4277">
      <c r="A4277" s="308">
        <v>4276.0</v>
      </c>
      <c r="B4277" s="308"/>
      <c r="C4277" s="308" t="s">
        <v>17327</v>
      </c>
      <c r="D4277" s="308">
        <f>IFERROR(__xludf.DUMMYFUNCTION("SPLIT(C4277,""-"")"),4297.0)</f>
        <v>4297</v>
      </c>
      <c r="E4277" s="308" t="str">
        <f>IFERROR(__xludf.DUMMYFUNCTION("""COMPUTED_VALUE"""),"A")</f>
        <v>A</v>
      </c>
      <c r="F4277" s="309" t="s">
        <v>23</v>
      </c>
      <c r="G4277" s="308"/>
      <c r="H4277" s="308" t="s">
        <v>17328</v>
      </c>
      <c r="I4277" s="310">
        <v>42850.0</v>
      </c>
      <c r="J4277" s="319">
        <f>IFERROR(__xludf.DUMMYFUNCTION("SPLIT(I4277,""/"")"),25.0)</f>
        <v>25</v>
      </c>
      <c r="K4277" s="308">
        <f>IFERROR(__xludf.DUMMYFUNCTION("""COMPUTED_VALUE"""),4.0)</f>
        <v>4</v>
      </c>
      <c r="L4277" s="308">
        <f>IFERROR(__xludf.DUMMYFUNCTION("""COMPUTED_VALUE"""),2017.0)</f>
        <v>2017</v>
      </c>
      <c r="M4277" s="308" t="s">
        <v>17329</v>
      </c>
      <c r="N4277" s="308"/>
      <c r="O4277" s="308"/>
      <c r="P4277" s="308" t="s">
        <v>17330</v>
      </c>
      <c r="Q4277" s="308" t="s">
        <v>37551</v>
      </c>
      <c r="R4277" s="308" t="s">
        <v>2743</v>
      </c>
      <c r="S4277" s="308" t="s">
        <v>49</v>
      </c>
      <c r="T4277" s="311" t="s">
        <v>51</v>
      </c>
      <c r="U4277" s="308" t="s">
        <v>403</v>
      </c>
      <c r="V4277" s="312"/>
    </row>
    <row r="4278">
      <c r="A4278" s="308">
        <v>4277.0</v>
      </c>
      <c r="B4278" s="308"/>
      <c r="C4278" s="308" t="s">
        <v>17331</v>
      </c>
      <c r="D4278" s="308">
        <f>IFERROR(__xludf.DUMMYFUNCTION("SPLIT(C4278,""-"")"),4298.0)</f>
        <v>4298</v>
      </c>
      <c r="E4278" s="308" t="str">
        <f>IFERROR(__xludf.DUMMYFUNCTION("""COMPUTED_VALUE"""),"S")</f>
        <v>S</v>
      </c>
      <c r="F4278" s="312" t="s">
        <v>39</v>
      </c>
      <c r="G4278" s="308"/>
      <c r="H4278" s="308" t="s">
        <v>17332</v>
      </c>
      <c r="I4278" s="322"/>
      <c r="J4278" s="319"/>
      <c r="K4278" s="308"/>
      <c r="L4278" s="311" t="s">
        <v>79</v>
      </c>
      <c r="M4278" s="308" t="s">
        <v>17333</v>
      </c>
      <c r="N4278" s="308"/>
      <c r="O4278" s="308"/>
      <c r="P4278" s="308" t="s">
        <v>37562</v>
      </c>
      <c r="Q4278" s="308" t="s">
        <v>37551</v>
      </c>
      <c r="R4278" s="308" t="s">
        <v>2743</v>
      </c>
      <c r="S4278" s="308" t="s">
        <v>49</v>
      </c>
      <c r="T4278" s="308" t="s">
        <v>70</v>
      </c>
      <c r="U4278" s="308" t="s">
        <v>166</v>
      </c>
      <c r="V4278" s="312"/>
    </row>
    <row r="4279">
      <c r="A4279" s="308">
        <v>4278.0</v>
      </c>
      <c r="B4279" s="308"/>
      <c r="C4279" s="308" t="s">
        <v>17335</v>
      </c>
      <c r="D4279" s="308">
        <f>IFERROR(__xludf.DUMMYFUNCTION("SPLIT(C4279,""-"")"),4299.0)</f>
        <v>4299</v>
      </c>
      <c r="E4279" s="308" t="str">
        <f>IFERROR(__xludf.DUMMYFUNCTION("""COMPUTED_VALUE"""),"K")</f>
        <v>K</v>
      </c>
      <c r="F4279" s="309" t="s">
        <v>34</v>
      </c>
      <c r="G4279" s="308"/>
      <c r="H4279" s="308" t="s">
        <v>17336</v>
      </c>
      <c r="I4279" s="325">
        <v>39995.0</v>
      </c>
      <c r="J4279" s="319"/>
      <c r="K4279" s="311">
        <v>7.0</v>
      </c>
      <c r="L4279" s="311">
        <v>2009.0</v>
      </c>
      <c r="M4279" s="308" t="s">
        <v>17337</v>
      </c>
      <c r="N4279" s="308"/>
      <c r="O4279" s="308"/>
      <c r="P4279" s="308" t="s">
        <v>1392</v>
      </c>
      <c r="Q4279" s="308" t="s">
        <v>37551</v>
      </c>
      <c r="R4279" s="308" t="s">
        <v>2743</v>
      </c>
      <c r="S4279" s="308" t="s">
        <v>49</v>
      </c>
      <c r="T4279" s="315" t="s">
        <v>69</v>
      </c>
      <c r="U4279" s="308" t="s">
        <v>530</v>
      </c>
      <c r="V4279" s="312"/>
    </row>
    <row r="4280">
      <c r="A4280" s="308">
        <v>4279.0</v>
      </c>
      <c r="B4280" s="308"/>
      <c r="C4280" s="308" t="s">
        <v>17338</v>
      </c>
      <c r="D4280" s="308">
        <f>IFERROR(__xludf.DUMMYFUNCTION("SPLIT(C4280,""-"")"),4300.0)</f>
        <v>4300</v>
      </c>
      <c r="E4280" s="308" t="str">
        <f>IFERROR(__xludf.DUMMYFUNCTION("""COMPUTED_VALUE"""),"I")</f>
        <v>I</v>
      </c>
      <c r="F4280" s="309" t="s">
        <v>31</v>
      </c>
      <c r="G4280" s="308"/>
      <c r="H4280" s="308" t="s">
        <v>17339</v>
      </c>
      <c r="I4280" s="310">
        <v>42070.0</v>
      </c>
      <c r="J4280" s="319">
        <f>IFERROR(__xludf.DUMMYFUNCTION("SPLIT(I4280,""/"")"),7.0)</f>
        <v>7</v>
      </c>
      <c r="K4280" s="308">
        <f>IFERROR(__xludf.DUMMYFUNCTION("""COMPUTED_VALUE"""),3.0)</f>
        <v>3</v>
      </c>
      <c r="L4280" s="308">
        <f>IFERROR(__xludf.DUMMYFUNCTION("""COMPUTED_VALUE"""),2015.0)</f>
        <v>2015</v>
      </c>
      <c r="M4280" s="308" t="s">
        <v>17340</v>
      </c>
      <c r="N4280" s="308"/>
      <c r="O4280" s="308" t="s">
        <v>17341</v>
      </c>
      <c r="P4280" s="308" t="s">
        <v>37493</v>
      </c>
      <c r="Q4280" s="308" t="s">
        <v>37551</v>
      </c>
      <c r="R4280" s="308" t="s">
        <v>2743</v>
      </c>
      <c r="S4280" s="315" t="s">
        <v>100</v>
      </c>
      <c r="T4280" s="311" t="s">
        <v>34208</v>
      </c>
      <c r="U4280" s="308" t="s">
        <v>31</v>
      </c>
      <c r="V4280" s="312"/>
    </row>
    <row r="4281">
      <c r="A4281" s="308">
        <v>4280.0</v>
      </c>
      <c r="B4281" s="308"/>
      <c r="C4281" s="308" t="s">
        <v>17342</v>
      </c>
      <c r="D4281" s="308">
        <f>IFERROR(__xludf.DUMMYFUNCTION("SPLIT(C4281,""-"")"),4301.0)</f>
        <v>4301</v>
      </c>
      <c r="E4281" s="308" t="str">
        <f>IFERROR(__xludf.DUMMYFUNCTION("""COMPUTED_VALUE"""),"I")</f>
        <v>I</v>
      </c>
      <c r="F4281" s="309" t="s">
        <v>31</v>
      </c>
      <c r="G4281" s="308"/>
      <c r="H4281" s="308" t="s">
        <v>17343</v>
      </c>
      <c r="I4281" s="310">
        <v>42070.0</v>
      </c>
      <c r="J4281" s="319">
        <f>IFERROR(__xludf.DUMMYFUNCTION("SPLIT(I4281,""/"")"),7.0)</f>
        <v>7</v>
      </c>
      <c r="K4281" s="308">
        <f>IFERROR(__xludf.DUMMYFUNCTION("""COMPUTED_VALUE"""),3.0)</f>
        <v>3</v>
      </c>
      <c r="L4281" s="308">
        <f>IFERROR(__xludf.DUMMYFUNCTION("""COMPUTED_VALUE"""),2015.0)</f>
        <v>2015</v>
      </c>
      <c r="M4281" s="308" t="s">
        <v>17344</v>
      </c>
      <c r="N4281" s="308" t="s">
        <v>17345</v>
      </c>
      <c r="O4281" s="308" t="s">
        <v>17346</v>
      </c>
      <c r="P4281" s="308" t="s">
        <v>37493</v>
      </c>
      <c r="Q4281" s="308" t="s">
        <v>37551</v>
      </c>
      <c r="R4281" s="308" t="s">
        <v>2743</v>
      </c>
      <c r="S4281" s="315" t="s">
        <v>100</v>
      </c>
      <c r="T4281" s="311" t="s">
        <v>34208</v>
      </c>
      <c r="U4281" s="308" t="s">
        <v>31</v>
      </c>
      <c r="V4281" s="312"/>
    </row>
    <row r="4282">
      <c r="A4282" s="308">
        <v>4281.0</v>
      </c>
      <c r="B4282" s="308"/>
      <c r="C4282" s="308" t="s">
        <v>17347</v>
      </c>
      <c r="D4282" s="308">
        <f>IFERROR(__xludf.DUMMYFUNCTION("SPLIT(C4282,""-"")"),4302.0)</f>
        <v>4302</v>
      </c>
      <c r="E4282" s="308" t="str">
        <f>IFERROR(__xludf.DUMMYFUNCTION("""COMPUTED_VALUE"""),"I")</f>
        <v>I</v>
      </c>
      <c r="F4282" s="309" t="s">
        <v>31</v>
      </c>
      <c r="G4282" s="308"/>
      <c r="H4282" s="308" t="s">
        <v>17348</v>
      </c>
      <c r="I4282" s="316">
        <v>2009.0</v>
      </c>
      <c r="J4282" s="319"/>
      <c r="K4282" s="308"/>
      <c r="L4282" s="311">
        <v>2009.0</v>
      </c>
      <c r="M4282" s="308" t="s">
        <v>17349</v>
      </c>
      <c r="N4282" s="308"/>
      <c r="O4282" s="308"/>
      <c r="P4282" s="308" t="s">
        <v>37493</v>
      </c>
      <c r="Q4282" s="308" t="s">
        <v>37551</v>
      </c>
      <c r="R4282" s="308" t="s">
        <v>2743</v>
      </c>
      <c r="S4282" s="315" t="s">
        <v>100</v>
      </c>
      <c r="T4282" s="311" t="s">
        <v>34208</v>
      </c>
      <c r="U4282" s="308" t="s">
        <v>31</v>
      </c>
      <c r="V4282" s="312"/>
    </row>
    <row r="4283">
      <c r="A4283" s="308">
        <v>4282.0</v>
      </c>
      <c r="B4283" s="308"/>
      <c r="C4283" s="308" t="s">
        <v>17350</v>
      </c>
      <c r="D4283" s="308">
        <f>IFERROR(__xludf.DUMMYFUNCTION("SPLIT(C4283,""-"")"),4303.0)</f>
        <v>4303</v>
      </c>
      <c r="E4283" s="308" t="str">
        <f>IFERROR(__xludf.DUMMYFUNCTION("""COMPUTED_VALUE"""),"I")</f>
        <v>I</v>
      </c>
      <c r="F4283" s="309" t="s">
        <v>31</v>
      </c>
      <c r="G4283" s="308"/>
      <c r="H4283" s="308" t="s">
        <v>17351</v>
      </c>
      <c r="I4283" s="316">
        <v>2009.0</v>
      </c>
      <c r="J4283" s="319"/>
      <c r="K4283" s="308"/>
      <c r="L4283" s="311">
        <v>2009.0</v>
      </c>
      <c r="M4283" s="308" t="s">
        <v>17349</v>
      </c>
      <c r="N4283" s="308"/>
      <c r="O4283" s="308"/>
      <c r="P4283" s="308" t="s">
        <v>37493</v>
      </c>
      <c r="Q4283" s="308" t="s">
        <v>37551</v>
      </c>
      <c r="R4283" s="308" t="s">
        <v>2743</v>
      </c>
      <c r="S4283" s="315" t="s">
        <v>100</v>
      </c>
      <c r="T4283" s="311" t="s">
        <v>34208</v>
      </c>
      <c r="U4283" s="308" t="s">
        <v>31</v>
      </c>
      <c r="V4283" s="312"/>
    </row>
    <row r="4284">
      <c r="A4284" s="308">
        <v>4283.0</v>
      </c>
      <c r="B4284" s="308"/>
      <c r="C4284" s="308" t="s">
        <v>17352</v>
      </c>
      <c r="D4284" s="308">
        <f>IFERROR(__xludf.DUMMYFUNCTION("SPLIT(C4284,""-"")"),4304.0)</f>
        <v>4304</v>
      </c>
      <c r="E4284" s="308" t="str">
        <f>IFERROR(__xludf.DUMMYFUNCTION("""COMPUTED_VALUE"""),"K")</f>
        <v>K</v>
      </c>
      <c r="F4284" s="309" t="s">
        <v>34</v>
      </c>
      <c r="G4284" s="308"/>
      <c r="H4284" s="308" t="s">
        <v>17353</v>
      </c>
      <c r="I4284" s="316">
        <v>2014.0</v>
      </c>
      <c r="J4284" s="319"/>
      <c r="K4284" s="308"/>
      <c r="L4284" s="311">
        <v>2014.0</v>
      </c>
      <c r="M4284" s="308" t="s">
        <v>17354</v>
      </c>
      <c r="N4284" s="308"/>
      <c r="O4284" s="308"/>
      <c r="P4284" s="308" t="s">
        <v>37563</v>
      </c>
      <c r="Q4284" s="308" t="s">
        <v>37551</v>
      </c>
      <c r="R4284" s="308" t="s">
        <v>2743</v>
      </c>
      <c r="S4284" s="308" t="s">
        <v>81</v>
      </c>
      <c r="T4284" s="308" t="s">
        <v>34264</v>
      </c>
      <c r="U4284" s="308" t="s">
        <v>2466</v>
      </c>
      <c r="V4284" s="312"/>
    </row>
    <row r="4285">
      <c r="A4285" s="308">
        <v>4284.0</v>
      </c>
      <c r="B4285" s="308"/>
      <c r="C4285" s="308" t="s">
        <v>17356</v>
      </c>
      <c r="D4285" s="308">
        <f>IFERROR(__xludf.DUMMYFUNCTION("SPLIT(C4285,""-"")"),4305.0)</f>
        <v>4305</v>
      </c>
      <c r="E4285" s="308" t="str">
        <f>IFERROR(__xludf.DUMMYFUNCTION("""COMPUTED_VALUE"""),"I")</f>
        <v>I</v>
      </c>
      <c r="F4285" s="309" t="s">
        <v>31</v>
      </c>
      <c r="G4285" s="308"/>
      <c r="H4285" s="308" t="s">
        <v>17357</v>
      </c>
      <c r="I4285" s="310">
        <v>42070.0</v>
      </c>
      <c r="J4285" s="319">
        <f>IFERROR(__xludf.DUMMYFUNCTION("SPLIT(I4285,""/"")"),7.0)</f>
        <v>7</v>
      </c>
      <c r="K4285" s="308">
        <f>IFERROR(__xludf.DUMMYFUNCTION("""COMPUTED_VALUE"""),3.0)</f>
        <v>3</v>
      </c>
      <c r="L4285" s="308">
        <f>IFERROR(__xludf.DUMMYFUNCTION("""COMPUTED_VALUE"""),2015.0)</f>
        <v>2015</v>
      </c>
      <c r="M4285" s="308" t="s">
        <v>17358</v>
      </c>
      <c r="N4285" s="308"/>
      <c r="O4285" s="308" t="s">
        <v>17359</v>
      </c>
      <c r="P4285" s="308" t="s">
        <v>37493</v>
      </c>
      <c r="Q4285" s="308" t="s">
        <v>37564</v>
      </c>
      <c r="R4285" s="308" t="s">
        <v>2743</v>
      </c>
      <c r="S4285" s="315" t="s">
        <v>100</v>
      </c>
      <c r="T4285" s="311" t="s">
        <v>34208</v>
      </c>
      <c r="U4285" s="308" t="s">
        <v>31</v>
      </c>
      <c r="V4285" s="312"/>
    </row>
    <row r="4286">
      <c r="A4286" s="308">
        <v>4285.0</v>
      </c>
      <c r="B4286" s="308"/>
      <c r="C4286" s="308" t="s">
        <v>17360</v>
      </c>
      <c r="D4286" s="308">
        <f>IFERROR(__xludf.DUMMYFUNCTION("SPLIT(C4286,""-"")"),4306.0)</f>
        <v>4306</v>
      </c>
      <c r="E4286" s="308" t="str">
        <f>IFERROR(__xludf.DUMMYFUNCTION("""COMPUTED_VALUE"""),"P")</f>
        <v>P</v>
      </c>
      <c r="F4286" s="312" t="s">
        <v>37</v>
      </c>
      <c r="G4286" s="308"/>
      <c r="H4286" s="308" t="s">
        <v>17361</v>
      </c>
      <c r="I4286" s="316">
        <v>2010.0</v>
      </c>
      <c r="J4286" s="319"/>
      <c r="K4286" s="308"/>
      <c r="L4286" s="311">
        <v>2010.0</v>
      </c>
      <c r="M4286" s="308" t="s">
        <v>17362</v>
      </c>
      <c r="N4286" s="308"/>
      <c r="O4286" s="308"/>
      <c r="P4286" s="308" t="s">
        <v>17363</v>
      </c>
      <c r="Q4286" s="308" t="s">
        <v>37564</v>
      </c>
      <c r="R4286" s="308" t="s">
        <v>2743</v>
      </c>
      <c r="S4286" s="308" t="s">
        <v>81</v>
      </c>
      <c r="T4286" s="308" t="s">
        <v>73</v>
      </c>
      <c r="U4286" s="308" t="s">
        <v>2748</v>
      </c>
      <c r="V4286" s="312"/>
    </row>
    <row r="4287">
      <c r="A4287" s="308">
        <v>4286.0</v>
      </c>
      <c r="B4287" s="308"/>
      <c r="C4287" s="308" t="s">
        <v>17364</v>
      </c>
      <c r="D4287" s="308">
        <f>IFERROR(__xludf.DUMMYFUNCTION("SPLIT(C4287,""-"")"),4307.0)</f>
        <v>4307</v>
      </c>
      <c r="E4287" s="308" t="str">
        <f>IFERROR(__xludf.DUMMYFUNCTION("""COMPUTED_VALUE"""),"S")</f>
        <v>S</v>
      </c>
      <c r="F4287" s="312" t="s">
        <v>39</v>
      </c>
      <c r="G4287" s="308"/>
      <c r="H4287" s="308" t="s">
        <v>17365</v>
      </c>
      <c r="I4287" s="314">
        <v>41269.0</v>
      </c>
      <c r="J4287" s="319">
        <f>IFERROR(__xludf.DUMMYFUNCTION("SPLIT(I4287,""/"")"),26.0)</f>
        <v>26</v>
      </c>
      <c r="K4287" s="308">
        <f>IFERROR(__xludf.DUMMYFUNCTION("""COMPUTED_VALUE"""),12.0)</f>
        <v>12</v>
      </c>
      <c r="L4287" s="308">
        <f>IFERROR(__xludf.DUMMYFUNCTION("""COMPUTED_VALUE"""),2012.0)</f>
        <v>2012</v>
      </c>
      <c r="M4287" s="308" t="s">
        <v>17366</v>
      </c>
      <c r="N4287" s="308"/>
      <c r="O4287" s="308"/>
      <c r="P4287" s="308" t="s">
        <v>17367</v>
      </c>
      <c r="Q4287" s="308" t="s">
        <v>37564</v>
      </c>
      <c r="R4287" s="308" t="s">
        <v>2743</v>
      </c>
      <c r="S4287" s="308" t="s">
        <v>81</v>
      </c>
      <c r="T4287" s="308" t="s">
        <v>34264</v>
      </c>
      <c r="U4287" s="308" t="s">
        <v>166</v>
      </c>
      <c r="V4287" s="312"/>
    </row>
    <row r="4288">
      <c r="A4288" s="308">
        <v>4287.0</v>
      </c>
      <c r="B4288" s="308"/>
      <c r="C4288" s="308" t="s">
        <v>17368</v>
      </c>
      <c r="D4288" s="308">
        <f>IFERROR(__xludf.DUMMYFUNCTION("SPLIT(C4288,""-"")"),4308.0)</f>
        <v>4308</v>
      </c>
      <c r="E4288" s="308" t="str">
        <f>IFERROR(__xludf.DUMMYFUNCTION("""COMPUTED_VALUE"""),"P")</f>
        <v>P</v>
      </c>
      <c r="F4288" s="312" t="s">
        <v>37</v>
      </c>
      <c r="G4288" s="308"/>
      <c r="H4288" s="308" t="s">
        <v>17369</v>
      </c>
      <c r="I4288" s="310">
        <v>42929.0</v>
      </c>
      <c r="J4288" s="319">
        <f>IFERROR(__xludf.DUMMYFUNCTION("SPLIT(I4288,""/"")"),13.0)</f>
        <v>13</v>
      </c>
      <c r="K4288" s="308">
        <f>IFERROR(__xludf.DUMMYFUNCTION("""COMPUTED_VALUE"""),7.0)</f>
        <v>7</v>
      </c>
      <c r="L4288" s="308">
        <f>IFERROR(__xludf.DUMMYFUNCTION("""COMPUTED_VALUE"""),2017.0)</f>
        <v>2017</v>
      </c>
      <c r="M4288" s="308" t="s">
        <v>17370</v>
      </c>
      <c r="N4288" s="308"/>
      <c r="O4288" s="308" t="s">
        <v>37565</v>
      </c>
      <c r="P4288" s="308" t="s">
        <v>37566</v>
      </c>
      <c r="Q4288" s="308" t="s">
        <v>37564</v>
      </c>
      <c r="R4288" s="308" t="s">
        <v>14911</v>
      </c>
      <c r="S4288" s="308" t="s">
        <v>81</v>
      </c>
      <c r="T4288" s="308" t="s">
        <v>63</v>
      </c>
      <c r="U4288" s="308" t="s">
        <v>149</v>
      </c>
      <c r="V4288" s="312"/>
    </row>
    <row r="4289">
      <c r="A4289" s="308">
        <v>4288.0</v>
      </c>
      <c r="B4289" s="308"/>
      <c r="C4289" s="308" t="s">
        <v>17373</v>
      </c>
      <c r="D4289" s="308">
        <f>IFERROR(__xludf.DUMMYFUNCTION("SPLIT(C4289,""-"")"),4309.0)</f>
        <v>4309</v>
      </c>
      <c r="E4289" s="308" t="str">
        <f>IFERROR(__xludf.DUMMYFUNCTION("""COMPUTED_VALUE"""),"S")</f>
        <v>S</v>
      </c>
      <c r="F4289" s="312" t="s">
        <v>39</v>
      </c>
      <c r="G4289" s="308"/>
      <c r="H4289" s="308" t="s">
        <v>17374</v>
      </c>
      <c r="I4289" s="310">
        <v>42370.0</v>
      </c>
      <c r="J4289" s="319">
        <f>IFERROR(__xludf.DUMMYFUNCTION("SPLIT(I4289,""/"")"),1.0)</f>
        <v>1</v>
      </c>
      <c r="K4289" s="308">
        <f>IFERROR(__xludf.DUMMYFUNCTION("""COMPUTED_VALUE"""),1.0)</f>
        <v>1</v>
      </c>
      <c r="L4289" s="308">
        <f>IFERROR(__xludf.DUMMYFUNCTION("""COMPUTED_VALUE"""),2016.0)</f>
        <v>2016</v>
      </c>
      <c r="M4289" s="308" t="s">
        <v>37567</v>
      </c>
      <c r="N4289" s="308"/>
      <c r="O4289" s="308"/>
      <c r="P4289" s="308" t="s">
        <v>6973</v>
      </c>
      <c r="Q4289" s="308" t="s">
        <v>37564</v>
      </c>
      <c r="R4289" s="308" t="s">
        <v>2743</v>
      </c>
      <c r="S4289" s="308" t="s">
        <v>49</v>
      </c>
      <c r="T4289" s="308" t="s">
        <v>67</v>
      </c>
      <c r="U4289" s="308" t="s">
        <v>166</v>
      </c>
      <c r="V4289" s="312"/>
    </row>
    <row r="4290">
      <c r="A4290" s="308">
        <v>4289.0</v>
      </c>
      <c r="B4290" s="308"/>
      <c r="C4290" s="308" t="s">
        <v>17376</v>
      </c>
      <c r="D4290" s="308">
        <f>IFERROR(__xludf.DUMMYFUNCTION("SPLIT(C4290,""-"")"),4310.0)</f>
        <v>4310</v>
      </c>
      <c r="E4290" s="308" t="str">
        <f>IFERROR(__xludf.DUMMYFUNCTION("""COMPUTED_VALUE"""),"UAE")</f>
        <v>UAE</v>
      </c>
      <c r="F4290" s="312" t="s">
        <v>41</v>
      </c>
      <c r="G4290" s="308"/>
      <c r="H4290" s="308" t="s">
        <v>17377</v>
      </c>
      <c r="I4290" s="310">
        <v>41700.0</v>
      </c>
      <c r="J4290" s="319">
        <f>IFERROR(__xludf.DUMMYFUNCTION("SPLIT(I4290,""/"")"),2.0)</f>
        <v>2</v>
      </c>
      <c r="K4290" s="308">
        <f>IFERROR(__xludf.DUMMYFUNCTION("""COMPUTED_VALUE"""),3.0)</f>
        <v>3</v>
      </c>
      <c r="L4290" s="308">
        <f>IFERROR(__xludf.DUMMYFUNCTION("""COMPUTED_VALUE"""),2014.0)</f>
        <v>2014</v>
      </c>
      <c r="M4290" s="308" t="s">
        <v>17378</v>
      </c>
      <c r="N4290" s="308"/>
      <c r="O4290" s="308"/>
      <c r="P4290" s="308" t="s">
        <v>34501</v>
      </c>
      <c r="Q4290" s="308" t="s">
        <v>37564</v>
      </c>
      <c r="R4290" s="308" t="s">
        <v>2743</v>
      </c>
      <c r="S4290" s="315" t="s">
        <v>100</v>
      </c>
      <c r="T4290" s="311" t="s">
        <v>34208</v>
      </c>
      <c r="U4290" s="308" t="s">
        <v>41</v>
      </c>
      <c r="V4290" s="312"/>
    </row>
    <row r="4291">
      <c r="A4291" s="308">
        <v>4290.0</v>
      </c>
      <c r="B4291" s="308"/>
      <c r="C4291" s="308" t="s">
        <v>17379</v>
      </c>
      <c r="D4291" s="308">
        <f>IFERROR(__xludf.DUMMYFUNCTION("SPLIT(C4291,""-"")"),4311.0)</f>
        <v>4311</v>
      </c>
      <c r="E4291" s="308" t="str">
        <f>IFERROR(__xludf.DUMMYFUNCTION("""COMPUTED_VALUE"""),"P")</f>
        <v>P</v>
      </c>
      <c r="F4291" s="312" t="s">
        <v>37</v>
      </c>
      <c r="G4291" s="308"/>
      <c r="H4291" s="308" t="s">
        <v>17380</v>
      </c>
      <c r="I4291" s="310">
        <v>42933.0</v>
      </c>
      <c r="J4291" s="319">
        <f>IFERROR(__xludf.DUMMYFUNCTION("SPLIT(I4291,""/"")"),17.0)</f>
        <v>17</v>
      </c>
      <c r="K4291" s="308">
        <f>IFERROR(__xludf.DUMMYFUNCTION("""COMPUTED_VALUE"""),7.0)</f>
        <v>7</v>
      </c>
      <c r="L4291" s="308">
        <f>IFERROR(__xludf.DUMMYFUNCTION("""COMPUTED_VALUE"""),2017.0)</f>
        <v>2017</v>
      </c>
      <c r="M4291" s="308" t="s">
        <v>37568</v>
      </c>
      <c r="N4291" s="308"/>
      <c r="O4291" s="308"/>
      <c r="P4291" s="312" t="s">
        <v>17382</v>
      </c>
      <c r="Q4291" s="308" t="s">
        <v>37569</v>
      </c>
      <c r="R4291" s="308" t="s">
        <v>2743</v>
      </c>
      <c r="S4291" s="308" t="s">
        <v>81</v>
      </c>
      <c r="T4291" s="308" t="s">
        <v>75</v>
      </c>
      <c r="U4291" s="308" t="s">
        <v>1182</v>
      </c>
      <c r="V4291" s="312"/>
    </row>
    <row r="4292">
      <c r="A4292" s="308">
        <v>4291.0</v>
      </c>
      <c r="B4292" s="308"/>
      <c r="C4292" s="308" t="s">
        <v>17383</v>
      </c>
      <c r="D4292" s="308">
        <f>IFERROR(__xludf.DUMMYFUNCTION("SPLIT(C4292,""-"")"),4312.0)</f>
        <v>4312</v>
      </c>
      <c r="E4292" s="308" t="str">
        <f>IFERROR(__xludf.DUMMYFUNCTION("""COMPUTED_VALUE"""),"F")</f>
        <v>F</v>
      </c>
      <c r="F4292" s="309" t="s">
        <v>34</v>
      </c>
      <c r="G4292" s="308"/>
      <c r="H4292" s="308" t="s">
        <v>17384</v>
      </c>
      <c r="I4292" s="310">
        <v>42968.0</v>
      </c>
      <c r="J4292" s="319" t="str">
        <f>IFERROR(__xludf.DUMMYFUNCTION("SPLIT(I4292,""/"")"),"#REF!")</f>
        <v>#REF!</v>
      </c>
      <c r="K4292" s="308"/>
      <c r="L4292" s="308">
        <v>2017.0</v>
      </c>
      <c r="M4292" s="308" t="s">
        <v>17385</v>
      </c>
      <c r="N4292" s="308"/>
      <c r="O4292" s="308"/>
      <c r="P4292" s="308" t="s">
        <v>17386</v>
      </c>
      <c r="Q4292" s="308" t="s">
        <v>37569</v>
      </c>
      <c r="R4292" s="308" t="s">
        <v>2743</v>
      </c>
      <c r="S4292" s="308" t="s">
        <v>81</v>
      </c>
      <c r="T4292" s="311" t="s">
        <v>73</v>
      </c>
      <c r="U4292" s="308" t="s">
        <v>195</v>
      </c>
      <c r="V4292" s="312"/>
    </row>
    <row r="4293">
      <c r="A4293" s="308">
        <v>4292.0</v>
      </c>
      <c r="B4293" s="308"/>
      <c r="C4293" s="308" t="s">
        <v>17387</v>
      </c>
      <c r="D4293" s="308">
        <f>IFERROR(__xludf.DUMMYFUNCTION("SPLIT(C4293,""-"")"),4313.0)</f>
        <v>4313</v>
      </c>
      <c r="E4293" s="308" t="str">
        <f>IFERROR(__xludf.DUMMYFUNCTION("""COMPUTED_VALUE"""),"P")</f>
        <v>P</v>
      </c>
      <c r="F4293" s="312" t="s">
        <v>37</v>
      </c>
      <c r="G4293" s="308"/>
      <c r="H4293" s="308" t="s">
        <v>17388</v>
      </c>
      <c r="I4293" s="325">
        <v>42614.0</v>
      </c>
      <c r="J4293" s="319"/>
      <c r="K4293" s="311">
        <v>9.0</v>
      </c>
      <c r="L4293" s="311">
        <v>2016.0</v>
      </c>
      <c r="M4293" s="308" t="s">
        <v>17389</v>
      </c>
      <c r="N4293" s="308"/>
      <c r="O4293" s="308"/>
      <c r="P4293" s="308" t="s">
        <v>37570</v>
      </c>
      <c r="Q4293" s="308" t="s">
        <v>37571</v>
      </c>
      <c r="R4293" s="308" t="s">
        <v>2743</v>
      </c>
      <c r="S4293" s="308" t="s">
        <v>81</v>
      </c>
      <c r="T4293" s="308" t="s">
        <v>73</v>
      </c>
      <c r="U4293" s="308" t="s">
        <v>149</v>
      </c>
      <c r="V4293" s="312"/>
    </row>
    <row r="4294">
      <c r="A4294" s="308">
        <v>4293.0</v>
      </c>
      <c r="B4294" s="308"/>
      <c r="C4294" s="308" t="s">
        <v>17391</v>
      </c>
      <c r="D4294" s="308">
        <f>IFERROR(__xludf.DUMMYFUNCTION("SPLIT(C4294,""-"")"),4314.0)</f>
        <v>4314</v>
      </c>
      <c r="E4294" s="308" t="str">
        <f>IFERROR(__xludf.DUMMYFUNCTION("""COMPUTED_VALUE"""),"P")</f>
        <v>P</v>
      </c>
      <c r="F4294" s="312" t="s">
        <v>37</v>
      </c>
      <c r="G4294" s="308"/>
      <c r="H4294" s="308" t="s">
        <v>17392</v>
      </c>
      <c r="I4294" s="310">
        <v>42458.0</v>
      </c>
      <c r="J4294" s="319">
        <f>IFERROR(__xludf.DUMMYFUNCTION("SPLIT(I4294,""/"")"),29.0)</f>
        <v>29</v>
      </c>
      <c r="K4294" s="308">
        <f>IFERROR(__xludf.DUMMYFUNCTION("""COMPUTED_VALUE"""),3.0)</f>
        <v>3</v>
      </c>
      <c r="L4294" s="308">
        <f>IFERROR(__xludf.DUMMYFUNCTION("""COMPUTED_VALUE"""),2016.0)</f>
        <v>2016</v>
      </c>
      <c r="M4294" s="308" t="s">
        <v>17393</v>
      </c>
      <c r="N4294" s="308"/>
      <c r="O4294" s="308"/>
      <c r="P4294" s="308" t="s">
        <v>17394</v>
      </c>
      <c r="Q4294" s="308" t="s">
        <v>37571</v>
      </c>
      <c r="R4294" s="308" t="s">
        <v>2743</v>
      </c>
      <c r="S4294" s="308" t="s">
        <v>81</v>
      </c>
      <c r="T4294" s="308" t="s">
        <v>73</v>
      </c>
      <c r="U4294" s="308" t="s">
        <v>1711</v>
      </c>
      <c r="V4294" s="312"/>
    </row>
    <row r="4295">
      <c r="A4295" s="308">
        <v>4294.0</v>
      </c>
      <c r="B4295" s="308"/>
      <c r="C4295" s="308" t="s">
        <v>17395</v>
      </c>
      <c r="D4295" s="308">
        <f>IFERROR(__xludf.DUMMYFUNCTION("SPLIT(C4295,""-"")"),4315.0)</f>
        <v>4315</v>
      </c>
      <c r="E4295" s="308" t="str">
        <f>IFERROR(__xludf.DUMMYFUNCTION("""COMPUTED_VALUE"""),"P")</f>
        <v>P</v>
      </c>
      <c r="F4295" s="312" t="s">
        <v>37</v>
      </c>
      <c r="G4295" s="308"/>
      <c r="H4295" s="308" t="s">
        <v>17396</v>
      </c>
      <c r="I4295" s="310">
        <v>42547.0</v>
      </c>
      <c r="J4295" s="319">
        <f>IFERROR(__xludf.DUMMYFUNCTION("SPLIT(I4295,""/"")"),26.0)</f>
        <v>26</v>
      </c>
      <c r="K4295" s="308">
        <f>IFERROR(__xludf.DUMMYFUNCTION("""COMPUTED_VALUE"""),6.0)</f>
        <v>6</v>
      </c>
      <c r="L4295" s="308">
        <f>IFERROR(__xludf.DUMMYFUNCTION("""COMPUTED_VALUE"""),2016.0)</f>
        <v>2016</v>
      </c>
      <c r="M4295" s="308" t="s">
        <v>17397</v>
      </c>
      <c r="N4295" s="308"/>
      <c r="O4295" s="308" t="s">
        <v>17398</v>
      </c>
      <c r="P4295" s="308" t="s">
        <v>37572</v>
      </c>
      <c r="Q4295" s="308" t="s">
        <v>37571</v>
      </c>
      <c r="R4295" s="308" t="s">
        <v>17400</v>
      </c>
      <c r="S4295" s="311" t="s">
        <v>49</v>
      </c>
      <c r="T4295" s="311" t="s">
        <v>51</v>
      </c>
      <c r="U4295" s="308" t="s">
        <v>17401</v>
      </c>
      <c r="V4295" s="312"/>
    </row>
    <row r="4296">
      <c r="A4296" s="308">
        <v>4295.0</v>
      </c>
      <c r="B4296" s="308"/>
      <c r="C4296" s="308" t="s">
        <v>17402</v>
      </c>
      <c r="D4296" s="308">
        <f>IFERROR(__xludf.DUMMYFUNCTION("SPLIT(C4296,""-"")"),4316.0)</f>
        <v>4316</v>
      </c>
      <c r="E4296" s="308" t="str">
        <f>IFERROR(__xludf.DUMMYFUNCTION("""COMPUTED_VALUE"""),"S")</f>
        <v>S</v>
      </c>
      <c r="F4296" s="312" t="s">
        <v>39</v>
      </c>
      <c r="G4296" s="308"/>
      <c r="H4296" s="308" t="s">
        <v>17403</v>
      </c>
      <c r="I4296" s="310">
        <v>42133.0</v>
      </c>
      <c r="J4296" s="319">
        <f>IFERROR(__xludf.DUMMYFUNCTION("SPLIT(I4296,""/"")"),9.0)</f>
        <v>9</v>
      </c>
      <c r="K4296" s="308">
        <f>IFERROR(__xludf.DUMMYFUNCTION("""COMPUTED_VALUE"""),5.0)</f>
        <v>5</v>
      </c>
      <c r="L4296" s="308">
        <f>IFERROR(__xludf.DUMMYFUNCTION("""COMPUTED_VALUE"""),2015.0)</f>
        <v>2015</v>
      </c>
      <c r="M4296" s="308" t="s">
        <v>17404</v>
      </c>
      <c r="N4296" s="308"/>
      <c r="O4296" s="308"/>
      <c r="P4296" s="308" t="s">
        <v>17405</v>
      </c>
      <c r="Q4296" s="308" t="s">
        <v>37571</v>
      </c>
      <c r="R4296" s="308" t="s">
        <v>2743</v>
      </c>
      <c r="S4296" s="308" t="s">
        <v>81</v>
      </c>
      <c r="T4296" s="308" t="s">
        <v>34264</v>
      </c>
      <c r="U4296" s="308" t="s">
        <v>166</v>
      </c>
      <c r="V4296" s="312"/>
    </row>
    <row r="4297">
      <c r="A4297" s="308">
        <v>4296.0</v>
      </c>
      <c r="B4297" s="308"/>
      <c r="C4297" s="308" t="s">
        <v>17406</v>
      </c>
      <c r="D4297" s="308">
        <f>IFERROR(__xludf.DUMMYFUNCTION("SPLIT(C4297,""-"")"),4317.0)</f>
        <v>4317</v>
      </c>
      <c r="E4297" s="308" t="str">
        <f>IFERROR(__xludf.DUMMYFUNCTION("""COMPUTED_VALUE"""),"F")</f>
        <v>F</v>
      </c>
      <c r="F4297" s="309" t="s">
        <v>34</v>
      </c>
      <c r="G4297" s="308"/>
      <c r="H4297" s="308" t="s">
        <v>37573</v>
      </c>
      <c r="I4297" s="310">
        <v>42253.0</v>
      </c>
      <c r="J4297" s="319">
        <f>IFERROR(__xludf.DUMMYFUNCTION("SPLIT(I4297,""/"")"),6.0)</f>
        <v>6</v>
      </c>
      <c r="K4297" s="308">
        <f>IFERROR(__xludf.DUMMYFUNCTION("""COMPUTED_VALUE"""),9.0)</f>
        <v>9</v>
      </c>
      <c r="L4297" s="308">
        <f>IFERROR(__xludf.DUMMYFUNCTION("""COMPUTED_VALUE"""),2015.0)</f>
        <v>2015</v>
      </c>
      <c r="M4297" s="308" t="s">
        <v>17408</v>
      </c>
      <c r="N4297" s="308"/>
      <c r="O4297" s="308"/>
      <c r="P4297" s="308" t="s">
        <v>37574</v>
      </c>
      <c r="Q4297" s="308" t="s">
        <v>37571</v>
      </c>
      <c r="R4297" s="308" t="s">
        <v>2743</v>
      </c>
      <c r="S4297" s="308" t="s">
        <v>81</v>
      </c>
      <c r="T4297" s="308" t="s">
        <v>34264</v>
      </c>
      <c r="U4297" s="308" t="s">
        <v>195</v>
      </c>
      <c r="V4297" s="312"/>
    </row>
    <row r="4298">
      <c r="A4298" s="308">
        <v>4297.0</v>
      </c>
      <c r="B4298" s="308"/>
      <c r="C4298" s="308" t="s">
        <v>17410</v>
      </c>
      <c r="D4298" s="308">
        <f>IFERROR(__xludf.DUMMYFUNCTION("SPLIT(C4298,""-"")"),4318.0)</f>
        <v>4318</v>
      </c>
      <c r="E4298" s="308" t="str">
        <f>IFERROR(__xludf.DUMMYFUNCTION("""COMPUTED_VALUE"""),"S")</f>
        <v>S</v>
      </c>
      <c r="F4298" s="312" t="s">
        <v>39</v>
      </c>
      <c r="G4298" s="308"/>
      <c r="H4298" s="308" t="s">
        <v>17411</v>
      </c>
      <c r="I4298" s="310">
        <v>42965.0</v>
      </c>
      <c r="J4298" s="319">
        <f>IFERROR(__xludf.DUMMYFUNCTION("SPLIT(I4298,""/"")"),18.0)</f>
        <v>18</v>
      </c>
      <c r="K4298" s="308">
        <f>IFERROR(__xludf.DUMMYFUNCTION("""COMPUTED_VALUE"""),8.0)</f>
        <v>8</v>
      </c>
      <c r="L4298" s="308">
        <f>IFERROR(__xludf.DUMMYFUNCTION("""COMPUTED_VALUE"""),2017.0)</f>
        <v>2017</v>
      </c>
      <c r="M4298" s="308" t="s">
        <v>17412</v>
      </c>
      <c r="N4298" s="308"/>
      <c r="O4298" s="308"/>
      <c r="P4298" s="308" t="s">
        <v>37575</v>
      </c>
      <c r="Q4298" s="308" t="s">
        <v>37571</v>
      </c>
      <c r="R4298" s="308" t="s">
        <v>2743</v>
      </c>
      <c r="S4298" s="308" t="s">
        <v>81</v>
      </c>
      <c r="T4298" s="308" t="s">
        <v>75</v>
      </c>
      <c r="U4298" s="308" t="s">
        <v>40</v>
      </c>
      <c r="V4298" s="312"/>
    </row>
    <row r="4299">
      <c r="A4299" s="308">
        <v>4298.0</v>
      </c>
      <c r="B4299" s="308"/>
      <c r="C4299" s="308" t="s">
        <v>17414</v>
      </c>
      <c r="D4299" s="308">
        <f>IFERROR(__xludf.DUMMYFUNCTION("SPLIT(C4299,""-"")"),4319.0)</f>
        <v>4319</v>
      </c>
      <c r="E4299" s="308" t="str">
        <f>IFERROR(__xludf.DUMMYFUNCTION("""COMPUTED_VALUE"""),"P")</f>
        <v>P</v>
      </c>
      <c r="F4299" s="312" t="s">
        <v>37</v>
      </c>
      <c r="G4299" s="308"/>
      <c r="H4299" s="308" t="s">
        <v>17415</v>
      </c>
      <c r="I4299" s="310">
        <v>42880.0</v>
      </c>
      <c r="J4299" s="319">
        <f>IFERROR(__xludf.DUMMYFUNCTION("SPLIT(I4299,""/"")"),25.0)</f>
        <v>25</v>
      </c>
      <c r="K4299" s="308">
        <f>IFERROR(__xludf.DUMMYFUNCTION("""COMPUTED_VALUE"""),5.0)</f>
        <v>5</v>
      </c>
      <c r="L4299" s="308">
        <f>IFERROR(__xludf.DUMMYFUNCTION("""COMPUTED_VALUE"""),2017.0)</f>
        <v>2017</v>
      </c>
      <c r="M4299" s="308" t="s">
        <v>17416</v>
      </c>
      <c r="N4299" s="308"/>
      <c r="O4299" s="308"/>
      <c r="P4299" s="308" t="s">
        <v>37576</v>
      </c>
      <c r="Q4299" s="308" t="s">
        <v>37571</v>
      </c>
      <c r="R4299" s="308" t="s">
        <v>2743</v>
      </c>
      <c r="S4299" s="308" t="s">
        <v>81</v>
      </c>
      <c r="T4299" s="308" t="s">
        <v>34264</v>
      </c>
      <c r="U4299" s="308" t="s">
        <v>15586</v>
      </c>
      <c r="V4299" s="312"/>
    </row>
    <row r="4300">
      <c r="A4300" s="308">
        <v>4299.0</v>
      </c>
      <c r="B4300" s="308"/>
      <c r="C4300" s="308" t="s">
        <v>17418</v>
      </c>
      <c r="D4300" s="308">
        <f>IFERROR(__xludf.DUMMYFUNCTION("SPLIT(C4300,""-"")"),4320.0)</f>
        <v>4320</v>
      </c>
      <c r="E4300" s="308" t="str">
        <f>IFERROR(__xludf.DUMMYFUNCTION("""COMPUTED_VALUE"""),"S")</f>
        <v>S</v>
      </c>
      <c r="F4300" s="312" t="s">
        <v>39</v>
      </c>
      <c r="G4300" s="308"/>
      <c r="H4300" s="308" t="s">
        <v>17419</v>
      </c>
      <c r="I4300" s="310">
        <v>42937.0</v>
      </c>
      <c r="J4300" s="319">
        <f>IFERROR(__xludf.DUMMYFUNCTION("SPLIT(I4300,""/"")"),21.0)</f>
        <v>21</v>
      </c>
      <c r="K4300" s="308">
        <f>IFERROR(__xludf.DUMMYFUNCTION("""COMPUTED_VALUE"""),7.0)</f>
        <v>7</v>
      </c>
      <c r="L4300" s="308">
        <f>IFERROR(__xludf.DUMMYFUNCTION("""COMPUTED_VALUE"""),2017.0)</f>
        <v>2017</v>
      </c>
      <c r="M4300" s="308" t="s">
        <v>17420</v>
      </c>
      <c r="N4300" s="308"/>
      <c r="O4300" s="308"/>
      <c r="P4300" s="308" t="s">
        <v>37577</v>
      </c>
      <c r="Q4300" s="308" t="s">
        <v>37571</v>
      </c>
      <c r="R4300" s="308" t="s">
        <v>2743</v>
      </c>
      <c r="S4300" s="308" t="s">
        <v>81</v>
      </c>
      <c r="T4300" s="308" t="s">
        <v>75</v>
      </c>
      <c r="U4300" s="308" t="s">
        <v>166</v>
      </c>
      <c r="V4300" s="312"/>
    </row>
    <row r="4301">
      <c r="A4301" s="308">
        <v>4300.0</v>
      </c>
      <c r="B4301" s="308"/>
      <c r="C4301" s="308" t="s">
        <v>17422</v>
      </c>
      <c r="D4301" s="308">
        <f>IFERROR(__xludf.DUMMYFUNCTION("SPLIT(C4301,""-"")"),4321.0)</f>
        <v>4321</v>
      </c>
      <c r="E4301" s="308" t="str">
        <f>IFERROR(__xludf.DUMMYFUNCTION("""COMPUTED_VALUE"""),"K")</f>
        <v>K</v>
      </c>
      <c r="F4301" s="309" t="s">
        <v>34</v>
      </c>
      <c r="G4301" s="308"/>
      <c r="H4301" s="308" t="s">
        <v>17423</v>
      </c>
      <c r="I4301" s="310">
        <v>42964.0</v>
      </c>
      <c r="J4301" s="319" t="str">
        <f>IFERROR(__xludf.DUMMYFUNCTION("SPLIT(I4301,""/"")"),"#REF!")</f>
        <v>#REF!</v>
      </c>
      <c r="K4301" s="308"/>
      <c r="L4301" s="308">
        <v>2017.0</v>
      </c>
      <c r="M4301" s="308" t="s">
        <v>17424</v>
      </c>
      <c r="N4301" s="308"/>
      <c r="O4301" s="308"/>
      <c r="P4301" s="308" t="s">
        <v>37578</v>
      </c>
      <c r="Q4301" s="308" t="s">
        <v>37571</v>
      </c>
      <c r="R4301" s="308" t="s">
        <v>2743</v>
      </c>
      <c r="S4301" s="308" t="s">
        <v>81</v>
      </c>
      <c r="T4301" s="311" t="s">
        <v>90</v>
      </c>
      <c r="U4301" s="308" t="s">
        <v>201</v>
      </c>
      <c r="V4301" s="312"/>
    </row>
    <row r="4302">
      <c r="A4302" s="308">
        <v>4301.0</v>
      </c>
      <c r="B4302" s="308"/>
      <c r="C4302" s="308" t="s">
        <v>17426</v>
      </c>
      <c r="D4302" s="308">
        <f>IFERROR(__xludf.DUMMYFUNCTION("SPLIT(C4302,""-"")"),4322.0)</f>
        <v>4322</v>
      </c>
      <c r="E4302" s="308" t="str">
        <f>IFERROR(__xludf.DUMMYFUNCTION("""COMPUTED_VALUE"""),"K")</f>
        <v>K</v>
      </c>
      <c r="F4302" s="309" t="s">
        <v>34</v>
      </c>
      <c r="G4302" s="308"/>
      <c r="H4302" s="308" t="s">
        <v>17427</v>
      </c>
      <c r="I4302" s="310">
        <v>41809.0</v>
      </c>
      <c r="J4302" s="319">
        <f>IFERROR(__xludf.DUMMYFUNCTION("SPLIT(I4302,""/"")"),19.0)</f>
        <v>19</v>
      </c>
      <c r="K4302" s="308">
        <f>IFERROR(__xludf.DUMMYFUNCTION("""COMPUTED_VALUE"""),6.0)</f>
        <v>6</v>
      </c>
      <c r="L4302" s="308">
        <f>IFERROR(__xludf.DUMMYFUNCTION("""COMPUTED_VALUE"""),2014.0)</f>
        <v>2014</v>
      </c>
      <c r="M4302" s="308" t="s">
        <v>17428</v>
      </c>
      <c r="N4302" s="308"/>
      <c r="O4302" s="308"/>
      <c r="P4302" s="308" t="s">
        <v>37249</v>
      </c>
      <c r="Q4302" s="308" t="s">
        <v>37571</v>
      </c>
      <c r="R4302" s="308" t="s">
        <v>2743</v>
      </c>
      <c r="S4302" s="315" t="s">
        <v>100</v>
      </c>
      <c r="T4302" s="311" t="s">
        <v>34208</v>
      </c>
      <c r="U4302" s="308" t="s">
        <v>4749</v>
      </c>
      <c r="V4302" s="312"/>
    </row>
    <row r="4303">
      <c r="A4303" s="308">
        <v>4302.0</v>
      </c>
      <c r="B4303" s="308"/>
      <c r="C4303" s="308" t="s">
        <v>17429</v>
      </c>
      <c r="D4303" s="308">
        <f>IFERROR(__xludf.DUMMYFUNCTION("SPLIT(C4303,""-"")"),4323.0)</f>
        <v>4323</v>
      </c>
      <c r="E4303" s="308" t="str">
        <f>IFERROR(__xludf.DUMMYFUNCTION("""COMPUTED_VALUE"""),"S")</f>
        <v>S</v>
      </c>
      <c r="F4303" s="312" t="s">
        <v>39</v>
      </c>
      <c r="G4303" s="308"/>
      <c r="H4303" s="308" t="s">
        <v>17430</v>
      </c>
      <c r="I4303" s="310">
        <v>42164.0</v>
      </c>
      <c r="J4303" s="319">
        <f>IFERROR(__xludf.DUMMYFUNCTION("SPLIT(I4303,""/"")"),9.0)</f>
        <v>9</v>
      </c>
      <c r="K4303" s="308">
        <f>IFERROR(__xludf.DUMMYFUNCTION("""COMPUTED_VALUE"""),6.0)</f>
        <v>6</v>
      </c>
      <c r="L4303" s="308">
        <f>IFERROR(__xludf.DUMMYFUNCTION("""COMPUTED_VALUE"""),2015.0)</f>
        <v>2015</v>
      </c>
      <c r="M4303" s="308" t="s">
        <v>17431</v>
      </c>
      <c r="N4303" s="308"/>
      <c r="O4303" s="308"/>
      <c r="P4303" s="308" t="s">
        <v>17432</v>
      </c>
      <c r="Q4303" s="308" t="s">
        <v>37571</v>
      </c>
      <c r="R4303" s="308" t="s">
        <v>2743</v>
      </c>
      <c r="S4303" s="308" t="s">
        <v>81</v>
      </c>
      <c r="T4303" s="308" t="s">
        <v>98</v>
      </c>
      <c r="U4303" s="308" t="s">
        <v>166</v>
      </c>
      <c r="V4303" s="312"/>
    </row>
    <row r="4304">
      <c r="A4304" s="308">
        <v>4303.0</v>
      </c>
      <c r="B4304" s="308"/>
      <c r="C4304" s="308" t="s">
        <v>17433</v>
      </c>
      <c r="D4304" s="308">
        <f>IFERROR(__xludf.DUMMYFUNCTION("SPLIT(C4304,""-"")"),4324.0)</f>
        <v>4324</v>
      </c>
      <c r="E4304" s="308" t="str">
        <f>IFERROR(__xludf.DUMMYFUNCTION("""COMPUTED_VALUE"""),"K")</f>
        <v>K</v>
      </c>
      <c r="F4304" s="309" t="s">
        <v>34</v>
      </c>
      <c r="G4304" s="308"/>
      <c r="H4304" s="308" t="s">
        <v>17434</v>
      </c>
      <c r="I4304" s="316">
        <v>2009.0</v>
      </c>
      <c r="J4304" s="319"/>
      <c r="K4304" s="308"/>
      <c r="L4304" s="311">
        <v>2009.0</v>
      </c>
      <c r="M4304" s="308" t="s">
        <v>37579</v>
      </c>
      <c r="N4304" s="308" t="s">
        <v>37580</v>
      </c>
      <c r="O4304" s="308"/>
      <c r="P4304" s="308" t="s">
        <v>37128</v>
      </c>
      <c r="Q4304" s="308" t="s">
        <v>37571</v>
      </c>
      <c r="R4304" s="308" t="s">
        <v>2743</v>
      </c>
      <c r="S4304" s="315" t="s">
        <v>100</v>
      </c>
      <c r="T4304" s="311" t="s">
        <v>34208</v>
      </c>
      <c r="U4304" s="308" t="s">
        <v>530</v>
      </c>
      <c r="V4304" s="312"/>
    </row>
    <row r="4305">
      <c r="A4305" s="308">
        <v>4304.0</v>
      </c>
      <c r="B4305" s="308"/>
      <c r="C4305" s="308" t="s">
        <v>17437</v>
      </c>
      <c r="D4305" s="308">
        <f>IFERROR(__xludf.DUMMYFUNCTION("SPLIT(C4305,""-"")"),4325.0)</f>
        <v>4325</v>
      </c>
      <c r="E4305" s="308" t="str">
        <f>IFERROR(__xludf.DUMMYFUNCTION("""COMPUTED_VALUE"""),"K")</f>
        <v>K</v>
      </c>
      <c r="F4305" s="309" t="s">
        <v>34</v>
      </c>
      <c r="G4305" s="308"/>
      <c r="H4305" s="308" t="s">
        <v>17438</v>
      </c>
      <c r="I4305" s="316">
        <v>2009.0</v>
      </c>
      <c r="J4305" s="319"/>
      <c r="K4305" s="308"/>
      <c r="L4305" s="311">
        <v>2009.0</v>
      </c>
      <c r="M4305" s="308" t="s">
        <v>17439</v>
      </c>
      <c r="N4305" s="308" t="s">
        <v>439</v>
      </c>
      <c r="O4305" s="308" t="s">
        <v>17440</v>
      </c>
      <c r="P4305" s="308" t="s">
        <v>1392</v>
      </c>
      <c r="Q4305" s="308" t="s">
        <v>37571</v>
      </c>
      <c r="R4305" s="308" t="s">
        <v>2743</v>
      </c>
      <c r="S4305" s="308" t="s">
        <v>49</v>
      </c>
      <c r="T4305" s="315" t="s">
        <v>69</v>
      </c>
      <c r="U4305" s="308" t="s">
        <v>530</v>
      </c>
      <c r="V4305" s="312"/>
    </row>
    <row r="4306">
      <c r="A4306" s="308">
        <v>4305.0</v>
      </c>
      <c r="B4306" s="308"/>
      <c r="C4306" s="308" t="s">
        <v>17441</v>
      </c>
      <c r="D4306" s="308">
        <f>IFERROR(__xludf.DUMMYFUNCTION("SPLIT(C4306,""-"")"),4326.0)</f>
        <v>4326</v>
      </c>
      <c r="E4306" s="308" t="str">
        <f>IFERROR(__xludf.DUMMYFUNCTION("""COMPUTED_VALUE"""),"S")</f>
        <v>S</v>
      </c>
      <c r="F4306" s="312" t="s">
        <v>39</v>
      </c>
      <c r="G4306" s="308"/>
      <c r="H4306" s="308" t="s">
        <v>17442</v>
      </c>
      <c r="I4306" s="316">
        <v>2014.0</v>
      </c>
      <c r="J4306" s="319"/>
      <c r="K4306" s="308"/>
      <c r="L4306" s="311">
        <v>2014.0</v>
      </c>
      <c r="M4306" s="308" t="s">
        <v>17443</v>
      </c>
      <c r="N4306" s="308"/>
      <c r="O4306" s="308"/>
      <c r="P4306" s="308" t="s">
        <v>37581</v>
      </c>
      <c r="Q4306" s="308" t="s">
        <v>37571</v>
      </c>
      <c r="R4306" s="308" t="s">
        <v>2743</v>
      </c>
      <c r="S4306" s="308" t="s">
        <v>81</v>
      </c>
      <c r="T4306" s="308" t="s">
        <v>34264</v>
      </c>
      <c r="U4306" s="308" t="s">
        <v>166</v>
      </c>
      <c r="V4306" s="312"/>
    </row>
    <row r="4307">
      <c r="A4307" s="308">
        <v>4306.0</v>
      </c>
      <c r="B4307" s="308"/>
      <c r="C4307" s="308" t="s">
        <v>17445</v>
      </c>
      <c r="D4307" s="308">
        <f>IFERROR(__xludf.DUMMYFUNCTION("SPLIT(C4307,""-"")"),4327.0)</f>
        <v>4327</v>
      </c>
      <c r="E4307" s="308" t="str">
        <f>IFERROR(__xludf.DUMMYFUNCTION("""COMPUTED_VALUE"""),"S")</f>
        <v>S</v>
      </c>
      <c r="F4307" s="312" t="s">
        <v>39</v>
      </c>
      <c r="G4307" s="308"/>
      <c r="H4307" s="308" t="s">
        <v>17446</v>
      </c>
      <c r="I4307" s="310">
        <v>42807.0</v>
      </c>
      <c r="J4307" s="319">
        <f>IFERROR(__xludf.DUMMYFUNCTION("SPLIT(I4307,""/"")"),13.0)</f>
        <v>13</v>
      </c>
      <c r="K4307" s="308">
        <f>IFERROR(__xludf.DUMMYFUNCTION("""COMPUTED_VALUE"""),3.0)</f>
        <v>3</v>
      </c>
      <c r="L4307" s="308">
        <f>IFERROR(__xludf.DUMMYFUNCTION("""COMPUTED_VALUE"""),2017.0)</f>
        <v>2017</v>
      </c>
      <c r="M4307" s="308" t="s">
        <v>17447</v>
      </c>
      <c r="N4307" s="308"/>
      <c r="O4307" s="308"/>
      <c r="P4307" s="308" t="s">
        <v>37582</v>
      </c>
      <c r="Q4307" s="308" t="s">
        <v>37571</v>
      </c>
      <c r="R4307" s="308" t="s">
        <v>2743</v>
      </c>
      <c r="S4307" s="308" t="s">
        <v>49</v>
      </c>
      <c r="T4307" s="311" t="s">
        <v>70</v>
      </c>
      <c r="U4307" s="308" t="s">
        <v>166</v>
      </c>
      <c r="V4307" s="312"/>
    </row>
    <row r="4308">
      <c r="A4308" s="308">
        <v>4307.0</v>
      </c>
      <c r="B4308" s="308"/>
      <c r="C4308" s="308" t="s">
        <v>17449</v>
      </c>
      <c r="D4308" s="308">
        <f>IFERROR(__xludf.DUMMYFUNCTION("SPLIT(C4308,""-"")"),4328.0)</f>
        <v>4328</v>
      </c>
      <c r="E4308" s="308" t="str">
        <f>IFERROR(__xludf.DUMMYFUNCTION("""COMPUTED_VALUE"""),"K")</f>
        <v>K</v>
      </c>
      <c r="F4308" s="309" t="s">
        <v>34</v>
      </c>
      <c r="G4308" s="308"/>
      <c r="H4308" s="308" t="s">
        <v>17450</v>
      </c>
      <c r="I4308" s="310">
        <v>39930.0</v>
      </c>
      <c r="J4308" s="319">
        <f>IFERROR(__xludf.DUMMYFUNCTION("SPLIT(I4308,""/"")"),27.0)</f>
        <v>27</v>
      </c>
      <c r="K4308" s="308">
        <f>IFERROR(__xludf.DUMMYFUNCTION("""COMPUTED_VALUE"""),4.0)</f>
        <v>4</v>
      </c>
      <c r="L4308" s="308">
        <f>IFERROR(__xludf.DUMMYFUNCTION("""COMPUTED_VALUE"""),2009.0)</f>
        <v>2009</v>
      </c>
      <c r="M4308" s="308" t="s">
        <v>37583</v>
      </c>
      <c r="N4308" s="308"/>
      <c r="O4308" s="308"/>
      <c r="P4308" s="308" t="s">
        <v>37209</v>
      </c>
      <c r="Q4308" s="308" t="s">
        <v>37571</v>
      </c>
      <c r="R4308" s="308" t="s">
        <v>2743</v>
      </c>
      <c r="S4308" s="315" t="s">
        <v>100</v>
      </c>
      <c r="T4308" s="311" t="s">
        <v>34208</v>
      </c>
      <c r="U4308" s="308" t="s">
        <v>125</v>
      </c>
      <c r="V4308" s="312"/>
    </row>
    <row r="4309">
      <c r="A4309" s="308">
        <v>4308.0</v>
      </c>
      <c r="B4309" s="308"/>
      <c r="C4309" s="308" t="s">
        <v>17452</v>
      </c>
      <c r="D4309" s="308">
        <f>IFERROR(__xludf.DUMMYFUNCTION("SPLIT(C4309,""-"")"),4329.0)</f>
        <v>4329</v>
      </c>
      <c r="E4309" s="308" t="str">
        <f>IFERROR(__xludf.DUMMYFUNCTION("""COMPUTED_VALUE"""),"K")</f>
        <v>K</v>
      </c>
      <c r="F4309" s="309" t="s">
        <v>34</v>
      </c>
      <c r="G4309" s="308"/>
      <c r="H4309" s="308" t="s">
        <v>17453</v>
      </c>
      <c r="I4309" s="314">
        <v>41970.0</v>
      </c>
      <c r="J4309" s="319">
        <f>IFERROR(__xludf.DUMMYFUNCTION("SPLIT(I4309,""/"")"),27.0)</f>
        <v>27</v>
      </c>
      <c r="K4309" s="308">
        <f>IFERROR(__xludf.DUMMYFUNCTION("""COMPUTED_VALUE"""),11.0)</f>
        <v>11</v>
      </c>
      <c r="L4309" s="308">
        <f>IFERROR(__xludf.DUMMYFUNCTION("""COMPUTED_VALUE"""),2014.0)</f>
        <v>2014</v>
      </c>
      <c r="M4309" s="308" t="s">
        <v>17454</v>
      </c>
      <c r="N4309" s="308"/>
      <c r="O4309" s="308" t="s">
        <v>17455</v>
      </c>
      <c r="P4309" s="308" t="s">
        <v>17456</v>
      </c>
      <c r="Q4309" s="308" t="s">
        <v>37571</v>
      </c>
      <c r="R4309" s="308" t="s">
        <v>2743</v>
      </c>
      <c r="S4309" s="308" t="s">
        <v>81</v>
      </c>
      <c r="T4309" s="308" t="s">
        <v>34264</v>
      </c>
      <c r="U4309" s="308" t="s">
        <v>530</v>
      </c>
      <c r="V4309" s="312"/>
    </row>
    <row r="4310">
      <c r="A4310" s="308">
        <v>4309.0</v>
      </c>
      <c r="B4310" s="308"/>
      <c r="C4310" s="308" t="s">
        <v>17457</v>
      </c>
      <c r="D4310" s="308">
        <f>IFERROR(__xludf.DUMMYFUNCTION("SPLIT(C4310,""-"")"),4330.0)</f>
        <v>4330</v>
      </c>
      <c r="E4310" s="308" t="str">
        <f>IFERROR(__xludf.DUMMYFUNCTION("""COMPUTED_VALUE"""),"P")</f>
        <v>P</v>
      </c>
      <c r="F4310" s="312" t="s">
        <v>37</v>
      </c>
      <c r="G4310" s="308"/>
      <c r="H4310" s="308" t="s">
        <v>17458</v>
      </c>
      <c r="I4310" s="314">
        <v>42732.0</v>
      </c>
      <c r="J4310" s="319">
        <f>IFERROR(__xludf.DUMMYFUNCTION("SPLIT(I4310,""/"")"),28.0)</f>
        <v>28</v>
      </c>
      <c r="K4310" s="308">
        <f>IFERROR(__xludf.DUMMYFUNCTION("""COMPUTED_VALUE"""),12.0)</f>
        <v>12</v>
      </c>
      <c r="L4310" s="308">
        <f>IFERROR(__xludf.DUMMYFUNCTION("""COMPUTED_VALUE"""),2016.0)</f>
        <v>2016</v>
      </c>
      <c r="M4310" s="308" t="s">
        <v>17459</v>
      </c>
      <c r="N4310" s="308"/>
      <c r="O4310" s="308"/>
      <c r="P4310" s="308" t="s">
        <v>9175</v>
      </c>
      <c r="Q4310" s="308" t="s">
        <v>37584</v>
      </c>
      <c r="R4310" s="308" t="s">
        <v>17460</v>
      </c>
      <c r="S4310" s="315" t="s">
        <v>100</v>
      </c>
      <c r="T4310" s="311" t="s">
        <v>34208</v>
      </c>
      <c r="U4310" s="308" t="s">
        <v>143</v>
      </c>
      <c r="V4310" s="312"/>
    </row>
    <row r="4311">
      <c r="A4311" s="308">
        <v>4310.0</v>
      </c>
      <c r="B4311" s="308"/>
      <c r="C4311" s="308" t="s">
        <v>17461</v>
      </c>
      <c r="D4311" s="308">
        <f>IFERROR(__xludf.DUMMYFUNCTION("SPLIT(C4311,""-"")"),4331.0)</f>
        <v>4331</v>
      </c>
      <c r="E4311" s="308" t="str">
        <f>IFERROR(__xludf.DUMMYFUNCTION("""COMPUTED_VALUE"""),"P")</f>
        <v>P</v>
      </c>
      <c r="F4311" s="312" t="s">
        <v>37</v>
      </c>
      <c r="G4311" s="308"/>
      <c r="H4311" s="308" t="s">
        <v>17462</v>
      </c>
      <c r="I4311" s="310">
        <v>43006.0</v>
      </c>
      <c r="J4311" s="319">
        <f>IFERROR(__xludf.DUMMYFUNCTION("SPLIT(I4311,""/"")"),28.0)</f>
        <v>28</v>
      </c>
      <c r="K4311" s="308">
        <f>IFERROR(__xludf.DUMMYFUNCTION("""COMPUTED_VALUE"""),9.0)</f>
        <v>9</v>
      </c>
      <c r="L4311" s="308">
        <f>IFERROR(__xludf.DUMMYFUNCTION("""COMPUTED_VALUE"""),2017.0)</f>
        <v>2017</v>
      </c>
      <c r="M4311" s="308"/>
      <c r="N4311" s="308"/>
      <c r="O4311" s="308"/>
      <c r="P4311" s="308" t="s">
        <v>17463</v>
      </c>
      <c r="Q4311" s="308" t="s">
        <v>37584</v>
      </c>
      <c r="R4311" s="308" t="s">
        <v>17123</v>
      </c>
      <c r="S4311" s="308" t="s">
        <v>81</v>
      </c>
      <c r="T4311" s="308" t="s">
        <v>75</v>
      </c>
      <c r="U4311" s="308"/>
      <c r="V4311" s="312"/>
    </row>
    <row r="4312">
      <c r="A4312" s="308">
        <v>4311.0</v>
      </c>
      <c r="B4312" s="308"/>
      <c r="C4312" s="308" t="s">
        <v>17464</v>
      </c>
      <c r="D4312" s="308">
        <f>IFERROR(__xludf.DUMMYFUNCTION("SPLIT(C4312,""-"")"),4332.0)</f>
        <v>4332</v>
      </c>
      <c r="E4312" s="308" t="str">
        <f>IFERROR(__xludf.DUMMYFUNCTION("""COMPUTED_VALUE"""),"S")</f>
        <v>S</v>
      </c>
      <c r="F4312" s="312" t="s">
        <v>39</v>
      </c>
      <c r="G4312" s="308"/>
      <c r="H4312" s="308" t="s">
        <v>17465</v>
      </c>
      <c r="I4312" s="314">
        <v>42300.0</v>
      </c>
      <c r="J4312" s="319">
        <f>IFERROR(__xludf.DUMMYFUNCTION("SPLIT(I4312,""/"")"),23.0)</f>
        <v>23</v>
      </c>
      <c r="K4312" s="308">
        <f>IFERROR(__xludf.DUMMYFUNCTION("""COMPUTED_VALUE"""),10.0)</f>
        <v>10</v>
      </c>
      <c r="L4312" s="308">
        <f>IFERROR(__xludf.DUMMYFUNCTION("""COMPUTED_VALUE"""),2015.0)</f>
        <v>2015</v>
      </c>
      <c r="M4312" s="308" t="s">
        <v>17466</v>
      </c>
      <c r="N4312" s="308"/>
      <c r="O4312" s="308"/>
      <c r="P4312" s="308" t="s">
        <v>6973</v>
      </c>
      <c r="Q4312" s="308" t="s">
        <v>37584</v>
      </c>
      <c r="R4312" s="308" t="s">
        <v>14911</v>
      </c>
      <c r="S4312" s="308" t="s">
        <v>49</v>
      </c>
      <c r="T4312" s="308" t="s">
        <v>67</v>
      </c>
      <c r="U4312" s="308" t="s">
        <v>166</v>
      </c>
      <c r="V4312" s="312"/>
    </row>
    <row r="4313">
      <c r="A4313" s="308">
        <v>4312.0</v>
      </c>
      <c r="B4313" s="308"/>
      <c r="C4313" s="308" t="s">
        <v>17467</v>
      </c>
      <c r="D4313" s="308">
        <f>IFERROR(__xludf.DUMMYFUNCTION("SPLIT(C4313,""-"")"),4333.0)</f>
        <v>4333</v>
      </c>
      <c r="E4313" s="308" t="str">
        <f>IFERROR(__xludf.DUMMYFUNCTION("""COMPUTED_VALUE"""),"S")</f>
        <v>S</v>
      </c>
      <c r="F4313" s="312" t="s">
        <v>39</v>
      </c>
      <c r="G4313" s="308"/>
      <c r="H4313" s="308" t="s">
        <v>17468</v>
      </c>
      <c r="I4313" s="310">
        <v>42881.0</v>
      </c>
      <c r="J4313" s="319">
        <f>IFERROR(__xludf.DUMMYFUNCTION("SPLIT(I4313,""/"")"),26.0)</f>
        <v>26</v>
      </c>
      <c r="K4313" s="308">
        <f>IFERROR(__xludf.DUMMYFUNCTION("""COMPUTED_VALUE"""),5.0)</f>
        <v>5</v>
      </c>
      <c r="L4313" s="308">
        <f>IFERROR(__xludf.DUMMYFUNCTION("""COMPUTED_VALUE"""),2017.0)</f>
        <v>2017</v>
      </c>
      <c r="M4313" s="308" t="s">
        <v>17469</v>
      </c>
      <c r="N4313" s="308"/>
      <c r="O4313" s="308"/>
      <c r="P4313" s="308" t="s">
        <v>37585</v>
      </c>
      <c r="Q4313" s="308" t="s">
        <v>37584</v>
      </c>
      <c r="R4313" s="308" t="s">
        <v>14911</v>
      </c>
      <c r="S4313" s="308" t="s">
        <v>81</v>
      </c>
      <c r="T4313" s="308" t="s">
        <v>75</v>
      </c>
      <c r="U4313" s="308" t="s">
        <v>166</v>
      </c>
      <c r="V4313" s="312"/>
    </row>
    <row r="4314">
      <c r="A4314" s="308">
        <v>4313.0</v>
      </c>
      <c r="B4314" s="308"/>
      <c r="C4314" s="308" t="s">
        <v>17471</v>
      </c>
      <c r="D4314" s="308">
        <f>IFERROR(__xludf.DUMMYFUNCTION("SPLIT(C4314,""-"")"),4334.0)</f>
        <v>4334</v>
      </c>
      <c r="E4314" s="308" t="str">
        <f>IFERROR(__xludf.DUMMYFUNCTION("""COMPUTED_VALUE"""),"S")</f>
        <v>S</v>
      </c>
      <c r="F4314" s="312" t="s">
        <v>39</v>
      </c>
      <c r="G4314" s="308"/>
      <c r="H4314" s="308" t="s">
        <v>17472</v>
      </c>
      <c r="I4314" s="310">
        <v>42860.0</v>
      </c>
      <c r="J4314" s="319">
        <f>IFERROR(__xludf.DUMMYFUNCTION("SPLIT(I4314,""/"")"),5.0)</f>
        <v>5</v>
      </c>
      <c r="K4314" s="308">
        <f>IFERROR(__xludf.DUMMYFUNCTION("""COMPUTED_VALUE"""),5.0)</f>
        <v>5</v>
      </c>
      <c r="L4314" s="308">
        <f>IFERROR(__xludf.DUMMYFUNCTION("""COMPUTED_VALUE"""),2017.0)</f>
        <v>2017</v>
      </c>
      <c r="M4314" s="308" t="s">
        <v>17473</v>
      </c>
      <c r="N4314" s="308"/>
      <c r="O4314" s="308"/>
      <c r="P4314" s="308" t="s">
        <v>37586</v>
      </c>
      <c r="Q4314" s="308" t="s">
        <v>37584</v>
      </c>
      <c r="R4314" s="308" t="s">
        <v>14911</v>
      </c>
      <c r="S4314" s="308" t="s">
        <v>81</v>
      </c>
      <c r="T4314" s="308" t="s">
        <v>75</v>
      </c>
      <c r="U4314" s="308" t="s">
        <v>166</v>
      </c>
      <c r="V4314" s="312"/>
    </row>
    <row r="4315">
      <c r="A4315" s="308">
        <v>4314.0</v>
      </c>
      <c r="B4315" s="308"/>
      <c r="C4315" s="308" t="s">
        <v>17475</v>
      </c>
      <c r="D4315" s="308">
        <f>IFERROR(__xludf.DUMMYFUNCTION("SPLIT(C4315,""-"")"),4335.0)</f>
        <v>4335</v>
      </c>
      <c r="E4315" s="308" t="str">
        <f>IFERROR(__xludf.DUMMYFUNCTION("""COMPUTED_VALUE"""),"P")</f>
        <v>P</v>
      </c>
      <c r="F4315" s="312" t="s">
        <v>37</v>
      </c>
      <c r="G4315" s="308"/>
      <c r="H4315" s="308" t="s">
        <v>17476</v>
      </c>
      <c r="I4315" s="310">
        <v>42949.0</v>
      </c>
      <c r="J4315" s="319">
        <f>IFERROR(__xludf.DUMMYFUNCTION("SPLIT(I4315,""/"")"),2.0)</f>
        <v>2</v>
      </c>
      <c r="K4315" s="308">
        <f>IFERROR(__xludf.DUMMYFUNCTION("""COMPUTED_VALUE"""),8.0)</f>
        <v>8</v>
      </c>
      <c r="L4315" s="308">
        <f>IFERROR(__xludf.DUMMYFUNCTION("""COMPUTED_VALUE"""),2017.0)</f>
        <v>2017</v>
      </c>
      <c r="M4315" s="308" t="s">
        <v>37587</v>
      </c>
      <c r="N4315" s="308"/>
      <c r="O4315" s="308"/>
      <c r="P4315" s="308" t="s">
        <v>17478</v>
      </c>
      <c r="Q4315" s="308" t="s">
        <v>37584</v>
      </c>
      <c r="R4315" s="308" t="s">
        <v>14911</v>
      </c>
      <c r="S4315" s="308" t="s">
        <v>81</v>
      </c>
      <c r="T4315" s="308" t="s">
        <v>73</v>
      </c>
      <c r="U4315" s="308" t="s">
        <v>10808</v>
      </c>
      <c r="V4315" s="312"/>
    </row>
    <row r="4316">
      <c r="A4316" s="308">
        <v>4315.0</v>
      </c>
      <c r="B4316" s="308"/>
      <c r="C4316" s="308" t="s">
        <v>17479</v>
      </c>
      <c r="D4316" s="308">
        <f>IFERROR(__xludf.DUMMYFUNCTION("SPLIT(C4316,""-"")"),4336.0)</f>
        <v>4336</v>
      </c>
      <c r="E4316" s="308" t="str">
        <f>IFERROR(__xludf.DUMMYFUNCTION("""COMPUTED_VALUE"""),"P")</f>
        <v>P</v>
      </c>
      <c r="F4316" s="312" t="s">
        <v>37</v>
      </c>
      <c r="G4316" s="308"/>
      <c r="H4316" s="308" t="s">
        <v>17480</v>
      </c>
      <c r="I4316" s="310">
        <v>42881.0</v>
      </c>
      <c r="J4316" s="319">
        <f>IFERROR(__xludf.DUMMYFUNCTION("SPLIT(I4316,""/"")"),26.0)</f>
        <v>26</v>
      </c>
      <c r="K4316" s="308">
        <f>IFERROR(__xludf.DUMMYFUNCTION("""COMPUTED_VALUE"""),5.0)</f>
        <v>5</v>
      </c>
      <c r="L4316" s="308">
        <f>IFERROR(__xludf.DUMMYFUNCTION("""COMPUTED_VALUE"""),2017.0)</f>
        <v>2017</v>
      </c>
      <c r="M4316" s="308" t="s">
        <v>17481</v>
      </c>
      <c r="N4316" s="308"/>
      <c r="O4316" s="308"/>
      <c r="P4316" s="308" t="s">
        <v>17482</v>
      </c>
      <c r="Q4316" s="308" t="s">
        <v>37584</v>
      </c>
      <c r="R4316" s="308" t="s">
        <v>2743</v>
      </c>
      <c r="S4316" s="308" t="s">
        <v>81</v>
      </c>
      <c r="T4316" s="311" t="s">
        <v>75</v>
      </c>
      <c r="U4316" s="308" t="s">
        <v>5537</v>
      </c>
      <c r="V4316" s="312"/>
    </row>
    <row r="4317">
      <c r="A4317" s="308">
        <v>4316.0</v>
      </c>
      <c r="B4317" s="308"/>
      <c r="C4317" s="308" t="s">
        <v>17483</v>
      </c>
      <c r="D4317" s="308">
        <f>IFERROR(__xludf.DUMMYFUNCTION("SPLIT(C4317,""-"")"),4337.0)</f>
        <v>4337</v>
      </c>
      <c r="E4317" s="308" t="str">
        <f>IFERROR(__xludf.DUMMYFUNCTION("""COMPUTED_VALUE"""),"S")</f>
        <v>S</v>
      </c>
      <c r="F4317" s="312" t="s">
        <v>39</v>
      </c>
      <c r="G4317" s="308"/>
      <c r="H4317" s="308" t="s">
        <v>17484</v>
      </c>
      <c r="I4317" s="310">
        <v>42904.0</v>
      </c>
      <c r="J4317" s="319">
        <f>IFERROR(__xludf.DUMMYFUNCTION("SPLIT(I4317,""/"")"),18.0)</f>
        <v>18</v>
      </c>
      <c r="K4317" s="308">
        <f>IFERROR(__xludf.DUMMYFUNCTION("""COMPUTED_VALUE"""),6.0)</f>
        <v>6</v>
      </c>
      <c r="L4317" s="308">
        <f>IFERROR(__xludf.DUMMYFUNCTION("""COMPUTED_VALUE"""),2017.0)</f>
        <v>2017</v>
      </c>
      <c r="M4317" s="308" t="s">
        <v>17485</v>
      </c>
      <c r="N4317" s="308"/>
      <c r="O4317" s="308"/>
      <c r="P4317" s="308" t="s">
        <v>37588</v>
      </c>
      <c r="Q4317" s="308" t="s">
        <v>37584</v>
      </c>
      <c r="R4317" s="308" t="s">
        <v>2743</v>
      </c>
      <c r="S4317" s="308" t="s">
        <v>81</v>
      </c>
      <c r="T4317" s="308" t="s">
        <v>75</v>
      </c>
      <c r="U4317" s="308" t="s">
        <v>166</v>
      </c>
      <c r="V4317" s="312"/>
    </row>
    <row r="4318">
      <c r="A4318" s="308">
        <v>4317.0</v>
      </c>
      <c r="B4318" s="308"/>
      <c r="C4318" s="308" t="s">
        <v>17487</v>
      </c>
      <c r="D4318" s="308">
        <f>IFERROR(__xludf.DUMMYFUNCTION("SPLIT(C4318,""-"")"),4338.0)</f>
        <v>4338</v>
      </c>
      <c r="E4318" s="308" t="str">
        <f>IFERROR(__xludf.DUMMYFUNCTION("""COMPUTED_VALUE"""),"K")</f>
        <v>K</v>
      </c>
      <c r="F4318" s="309" t="s">
        <v>34</v>
      </c>
      <c r="G4318" s="308"/>
      <c r="H4318" s="308" t="s">
        <v>17488</v>
      </c>
      <c r="I4318" s="316">
        <v>2008.0</v>
      </c>
      <c r="J4318" s="319"/>
      <c r="K4318" s="308"/>
      <c r="L4318" s="311">
        <v>2008.0</v>
      </c>
      <c r="M4318" s="308" t="s">
        <v>17489</v>
      </c>
      <c r="N4318" s="308"/>
      <c r="O4318" s="308"/>
      <c r="P4318" s="308" t="s">
        <v>37589</v>
      </c>
      <c r="Q4318" s="308" t="s">
        <v>37584</v>
      </c>
      <c r="R4318" s="308" t="s">
        <v>2743</v>
      </c>
      <c r="S4318" s="308" t="s">
        <v>49</v>
      </c>
      <c r="T4318" s="311" t="s">
        <v>51</v>
      </c>
      <c r="U4318" s="308" t="s">
        <v>530</v>
      </c>
      <c r="V4318" s="312"/>
    </row>
    <row r="4319">
      <c r="A4319" s="308">
        <v>4318.0</v>
      </c>
      <c r="B4319" s="308"/>
      <c r="C4319" s="308" t="s">
        <v>17491</v>
      </c>
      <c r="D4319" s="308">
        <f>IFERROR(__xludf.DUMMYFUNCTION("SPLIT(C4319,""-"")"),4339.0)</f>
        <v>4339</v>
      </c>
      <c r="E4319" s="308" t="str">
        <f>IFERROR(__xludf.DUMMYFUNCTION("""COMPUTED_VALUE"""),"F")</f>
        <v>F</v>
      </c>
      <c r="F4319" s="309" t="s">
        <v>34</v>
      </c>
      <c r="G4319" s="308"/>
      <c r="H4319" s="308" t="s">
        <v>17492</v>
      </c>
      <c r="I4319" s="310">
        <v>42596.0</v>
      </c>
      <c r="J4319" s="319">
        <f>IFERROR(__xludf.DUMMYFUNCTION("SPLIT(I4319,""/"")"),14.0)</f>
        <v>14</v>
      </c>
      <c r="K4319" s="308">
        <f>IFERROR(__xludf.DUMMYFUNCTION("""COMPUTED_VALUE"""),8.0)</f>
        <v>8</v>
      </c>
      <c r="L4319" s="308">
        <f>IFERROR(__xludf.DUMMYFUNCTION("""COMPUTED_VALUE"""),2016.0)</f>
        <v>2016</v>
      </c>
      <c r="M4319" s="308" t="s">
        <v>17493</v>
      </c>
      <c r="N4319" s="308"/>
      <c r="O4319" s="308"/>
      <c r="P4319" s="308" t="s">
        <v>17494</v>
      </c>
      <c r="Q4319" s="308" t="s">
        <v>37590</v>
      </c>
      <c r="R4319" s="308" t="s">
        <v>2743</v>
      </c>
      <c r="S4319" s="308" t="s">
        <v>81</v>
      </c>
      <c r="T4319" s="308" t="s">
        <v>34264</v>
      </c>
      <c r="U4319" s="308" t="s">
        <v>195</v>
      </c>
      <c r="V4319" s="312"/>
    </row>
    <row r="4320">
      <c r="A4320" s="308">
        <v>4319.0</v>
      </c>
      <c r="B4320" s="308"/>
      <c r="C4320" s="308" t="s">
        <v>17495</v>
      </c>
      <c r="D4320" s="308">
        <f>IFERROR(__xludf.DUMMYFUNCTION("SPLIT(C4320,""-"")"),4340.0)</f>
        <v>4340</v>
      </c>
      <c r="E4320" s="308" t="str">
        <f>IFERROR(__xludf.DUMMYFUNCTION("""COMPUTED_VALUE"""),"F")</f>
        <v>F</v>
      </c>
      <c r="F4320" s="309" t="s">
        <v>34</v>
      </c>
      <c r="G4320" s="308"/>
      <c r="H4320" s="308" t="s">
        <v>17496</v>
      </c>
      <c r="I4320" s="310">
        <v>42598.0</v>
      </c>
      <c r="J4320" s="319">
        <f>IFERROR(__xludf.DUMMYFUNCTION("SPLIT(I4320,""/"")"),16.0)</f>
        <v>16</v>
      </c>
      <c r="K4320" s="308">
        <f>IFERROR(__xludf.DUMMYFUNCTION("""COMPUTED_VALUE"""),8.0)</f>
        <v>8</v>
      </c>
      <c r="L4320" s="308">
        <f>IFERROR(__xludf.DUMMYFUNCTION("""COMPUTED_VALUE"""),2016.0)</f>
        <v>2016</v>
      </c>
      <c r="M4320" s="308" t="s">
        <v>37591</v>
      </c>
      <c r="N4320" s="308"/>
      <c r="O4320" s="308"/>
      <c r="P4320" s="308" t="s">
        <v>17498</v>
      </c>
      <c r="Q4320" s="308" t="s">
        <v>37590</v>
      </c>
      <c r="R4320" s="308" t="s">
        <v>2743</v>
      </c>
      <c r="S4320" s="308" t="s">
        <v>81</v>
      </c>
      <c r="T4320" s="308" t="s">
        <v>34264</v>
      </c>
      <c r="U4320" s="308" t="s">
        <v>195</v>
      </c>
      <c r="V4320" s="312"/>
    </row>
    <row r="4321">
      <c r="A4321" s="308">
        <v>4320.0</v>
      </c>
      <c r="B4321" s="308"/>
      <c r="C4321" s="308" t="s">
        <v>17499</v>
      </c>
      <c r="D4321" s="308">
        <f>IFERROR(__xludf.DUMMYFUNCTION("SPLIT(C4321,""-"")"),4341.0)</f>
        <v>4341</v>
      </c>
      <c r="E4321" s="308" t="str">
        <f>IFERROR(__xludf.DUMMYFUNCTION("""COMPUTED_VALUE"""),"B")</f>
        <v>B</v>
      </c>
      <c r="F4321" s="315" t="s">
        <v>26</v>
      </c>
      <c r="G4321" s="308"/>
      <c r="H4321" s="308" t="s">
        <v>17500</v>
      </c>
      <c r="I4321" s="316">
        <v>2016.0</v>
      </c>
      <c r="J4321" s="319"/>
      <c r="K4321" s="308"/>
      <c r="L4321" s="311">
        <v>2016.0</v>
      </c>
      <c r="M4321" s="308" t="s">
        <v>17501</v>
      </c>
      <c r="N4321" s="308"/>
      <c r="O4321" s="308"/>
      <c r="P4321" s="308" t="s">
        <v>17502</v>
      </c>
      <c r="Q4321" s="308" t="s">
        <v>37590</v>
      </c>
      <c r="R4321" s="308" t="s">
        <v>2743</v>
      </c>
      <c r="S4321" s="308" t="s">
        <v>81</v>
      </c>
      <c r="T4321" s="311" t="s">
        <v>96</v>
      </c>
      <c r="U4321" s="308" t="s">
        <v>27</v>
      </c>
      <c r="V4321" s="312"/>
    </row>
    <row r="4322">
      <c r="A4322" s="308">
        <v>4321.0</v>
      </c>
      <c r="B4322" s="308"/>
      <c r="C4322" s="308" t="s">
        <v>17503</v>
      </c>
      <c r="D4322" s="308">
        <f>IFERROR(__xludf.DUMMYFUNCTION("SPLIT(C4322,""-"")"),4342.0)</f>
        <v>4342</v>
      </c>
      <c r="E4322" s="308" t="str">
        <f>IFERROR(__xludf.DUMMYFUNCTION("""COMPUTED_VALUE"""),"K")</f>
        <v>K</v>
      </c>
      <c r="F4322" s="309" t="s">
        <v>34</v>
      </c>
      <c r="G4322" s="308"/>
      <c r="H4322" s="308" t="s">
        <v>17504</v>
      </c>
      <c r="I4322" s="316">
        <v>2012.0</v>
      </c>
      <c r="J4322" s="319"/>
      <c r="K4322" s="308"/>
      <c r="L4322" s="311">
        <v>2012.0</v>
      </c>
      <c r="M4322" s="308" t="s">
        <v>16019</v>
      </c>
      <c r="N4322" s="308"/>
      <c r="O4322" s="308"/>
      <c r="P4322" s="308" t="s">
        <v>37592</v>
      </c>
      <c r="Q4322" s="308" t="s">
        <v>37590</v>
      </c>
      <c r="R4322" s="308" t="s">
        <v>2743</v>
      </c>
      <c r="S4322" s="315" t="s">
        <v>100</v>
      </c>
      <c r="T4322" s="311" t="s">
        <v>34208</v>
      </c>
      <c r="U4322" s="308" t="s">
        <v>2152</v>
      </c>
      <c r="V4322" s="312"/>
    </row>
    <row r="4323">
      <c r="A4323" s="308">
        <v>4322.0</v>
      </c>
      <c r="B4323" s="308"/>
      <c r="C4323" s="308" t="s">
        <v>17505</v>
      </c>
      <c r="D4323" s="308">
        <f>IFERROR(__xludf.DUMMYFUNCTION("SPLIT(C4323,""-"")"),4343.0)</f>
        <v>4343</v>
      </c>
      <c r="E4323" s="308" t="str">
        <f>IFERROR(__xludf.DUMMYFUNCTION("""COMPUTED_VALUE"""),"P")</f>
        <v>P</v>
      </c>
      <c r="F4323" s="312" t="s">
        <v>37</v>
      </c>
      <c r="G4323" s="308"/>
      <c r="H4323" s="308" t="s">
        <v>17506</v>
      </c>
      <c r="I4323" s="310">
        <v>42966.0</v>
      </c>
      <c r="J4323" s="319">
        <f>IFERROR(__xludf.DUMMYFUNCTION("SPLIT(I4323,""/"")"),19.0)</f>
        <v>19</v>
      </c>
      <c r="K4323" s="308">
        <f>IFERROR(__xludf.DUMMYFUNCTION("""COMPUTED_VALUE"""),8.0)</f>
        <v>8</v>
      </c>
      <c r="L4323" s="308">
        <f>IFERROR(__xludf.DUMMYFUNCTION("""COMPUTED_VALUE"""),2017.0)</f>
        <v>2017</v>
      </c>
      <c r="M4323" s="308" t="s">
        <v>17481</v>
      </c>
      <c r="N4323" s="308"/>
      <c r="O4323" s="308"/>
      <c r="P4323" s="308" t="s">
        <v>37593</v>
      </c>
      <c r="Q4323" s="308" t="s">
        <v>37590</v>
      </c>
      <c r="R4323" s="308" t="s">
        <v>2743</v>
      </c>
      <c r="S4323" s="308" t="s">
        <v>81</v>
      </c>
      <c r="T4323" s="308" t="s">
        <v>75</v>
      </c>
      <c r="U4323" s="308" t="s">
        <v>2527</v>
      </c>
      <c r="V4323" s="312"/>
    </row>
    <row r="4324">
      <c r="A4324" s="308">
        <v>4323.0</v>
      </c>
      <c r="B4324" s="308"/>
      <c r="C4324" s="308" t="s">
        <v>17508</v>
      </c>
      <c r="D4324" s="308">
        <f>IFERROR(__xludf.DUMMYFUNCTION("SPLIT(C4324,""-"")"),4344.0)</f>
        <v>4344</v>
      </c>
      <c r="E4324" s="308" t="str">
        <f>IFERROR(__xludf.DUMMYFUNCTION("""COMPUTED_VALUE"""),"P")</f>
        <v>P</v>
      </c>
      <c r="F4324" s="312" t="s">
        <v>37</v>
      </c>
      <c r="G4324" s="308"/>
      <c r="H4324" s="308" t="s">
        <v>17509</v>
      </c>
      <c r="I4324" s="310">
        <v>42103.0</v>
      </c>
      <c r="J4324" s="319">
        <f>IFERROR(__xludf.DUMMYFUNCTION("SPLIT(I4324,""/"")"),9.0)</f>
        <v>9</v>
      </c>
      <c r="K4324" s="308">
        <f>IFERROR(__xludf.DUMMYFUNCTION("""COMPUTED_VALUE"""),4.0)</f>
        <v>4</v>
      </c>
      <c r="L4324" s="308">
        <f>IFERROR(__xludf.DUMMYFUNCTION("""COMPUTED_VALUE"""),2015.0)</f>
        <v>2015</v>
      </c>
      <c r="M4324" s="308" t="s">
        <v>17510</v>
      </c>
      <c r="N4324" s="308"/>
      <c r="O4324" s="308"/>
      <c r="P4324" s="308" t="s">
        <v>37594</v>
      </c>
      <c r="Q4324" s="308" t="s">
        <v>37595</v>
      </c>
      <c r="R4324" s="308" t="s">
        <v>2743</v>
      </c>
      <c r="S4324" s="308" t="s">
        <v>49</v>
      </c>
      <c r="T4324" s="308" t="s">
        <v>51</v>
      </c>
      <c r="U4324" s="308" t="s">
        <v>149</v>
      </c>
      <c r="V4324" s="312"/>
    </row>
    <row r="4325">
      <c r="A4325" s="308">
        <v>4324.0</v>
      </c>
      <c r="B4325" s="308"/>
      <c r="C4325" s="308" t="s">
        <v>17512</v>
      </c>
      <c r="D4325" s="308">
        <f>IFERROR(__xludf.DUMMYFUNCTION("SPLIT(C4325,""-"")"),4345.0)</f>
        <v>4345</v>
      </c>
      <c r="E4325" s="308" t="str">
        <f>IFERROR(__xludf.DUMMYFUNCTION("""COMPUTED_VALUE"""),"S")</f>
        <v>S</v>
      </c>
      <c r="F4325" s="312" t="s">
        <v>39</v>
      </c>
      <c r="G4325" s="308"/>
      <c r="H4325" s="308" t="s">
        <v>17513</v>
      </c>
      <c r="I4325" s="310">
        <v>43004.0</v>
      </c>
      <c r="J4325" s="319">
        <f>IFERROR(__xludf.DUMMYFUNCTION("SPLIT(I4325,""/"")"),26.0)</f>
        <v>26</v>
      </c>
      <c r="K4325" s="308">
        <f>IFERROR(__xludf.DUMMYFUNCTION("""COMPUTED_VALUE"""),9.0)</f>
        <v>9</v>
      </c>
      <c r="L4325" s="308">
        <f>IFERROR(__xludf.DUMMYFUNCTION("""COMPUTED_VALUE"""),2017.0)</f>
        <v>2017</v>
      </c>
      <c r="M4325" s="308" t="s">
        <v>17514</v>
      </c>
      <c r="N4325" s="308"/>
      <c r="O4325" s="308"/>
      <c r="P4325" s="308" t="s">
        <v>37596</v>
      </c>
      <c r="Q4325" s="308" t="s">
        <v>37595</v>
      </c>
      <c r="R4325" s="308" t="s">
        <v>2743</v>
      </c>
      <c r="S4325" s="308" t="s">
        <v>81</v>
      </c>
      <c r="T4325" s="308" t="s">
        <v>75</v>
      </c>
      <c r="U4325" s="308" t="s">
        <v>166</v>
      </c>
      <c r="V4325" s="312"/>
    </row>
    <row r="4326">
      <c r="A4326" s="308">
        <v>4325.0</v>
      </c>
      <c r="B4326" s="308"/>
      <c r="C4326" s="308" t="s">
        <v>17516</v>
      </c>
      <c r="D4326" s="308">
        <f>IFERROR(__xludf.DUMMYFUNCTION("SPLIT(C4326,""-"")"),4346.0)</f>
        <v>4346</v>
      </c>
      <c r="E4326" s="308" t="str">
        <f>IFERROR(__xludf.DUMMYFUNCTION("""COMPUTED_VALUE"""),"P")</f>
        <v>P</v>
      </c>
      <c r="F4326" s="312" t="s">
        <v>37</v>
      </c>
      <c r="G4326" s="308"/>
      <c r="H4326" s="308" t="s">
        <v>17517</v>
      </c>
      <c r="I4326" s="310">
        <v>42809.0</v>
      </c>
      <c r="J4326" s="319">
        <f>IFERROR(__xludf.DUMMYFUNCTION("SPLIT(I4326,""/"")"),15.0)</f>
        <v>15</v>
      </c>
      <c r="K4326" s="308">
        <f>IFERROR(__xludf.DUMMYFUNCTION("""COMPUTED_VALUE"""),3.0)</f>
        <v>3</v>
      </c>
      <c r="L4326" s="308">
        <f>IFERROR(__xludf.DUMMYFUNCTION("""COMPUTED_VALUE"""),2017.0)</f>
        <v>2017</v>
      </c>
      <c r="M4326" s="308" t="s">
        <v>37597</v>
      </c>
      <c r="N4326" s="308"/>
      <c r="O4326" s="308"/>
      <c r="P4326" s="308" t="s">
        <v>37598</v>
      </c>
      <c r="Q4326" s="308" t="s">
        <v>37599</v>
      </c>
      <c r="R4326" s="308" t="s">
        <v>14911</v>
      </c>
      <c r="S4326" s="308" t="s">
        <v>81</v>
      </c>
      <c r="T4326" s="308" t="s">
        <v>63</v>
      </c>
      <c r="U4326" s="308" t="s">
        <v>2527</v>
      </c>
      <c r="V4326" s="312"/>
    </row>
    <row r="4327">
      <c r="A4327" s="308">
        <v>4326.0</v>
      </c>
      <c r="B4327" s="308"/>
      <c r="C4327" s="308" t="s">
        <v>17520</v>
      </c>
      <c r="D4327" s="308">
        <f>IFERROR(__xludf.DUMMYFUNCTION("SPLIT(C4327,""-"")"),4347.0)</f>
        <v>4347</v>
      </c>
      <c r="E4327" s="308" t="str">
        <f>IFERROR(__xludf.DUMMYFUNCTION("""COMPUTED_VALUE"""),"S")</f>
        <v>S</v>
      </c>
      <c r="F4327" s="312" t="s">
        <v>39</v>
      </c>
      <c r="G4327" s="308"/>
      <c r="H4327" s="308" t="s">
        <v>17521</v>
      </c>
      <c r="I4327" s="310">
        <v>42120.0</v>
      </c>
      <c r="J4327" s="319">
        <f>IFERROR(__xludf.DUMMYFUNCTION("SPLIT(I4327,""/"")"),26.0)</f>
        <v>26</v>
      </c>
      <c r="K4327" s="308">
        <f>IFERROR(__xludf.DUMMYFUNCTION("""COMPUTED_VALUE"""),4.0)</f>
        <v>4</v>
      </c>
      <c r="L4327" s="308">
        <f>IFERROR(__xludf.DUMMYFUNCTION("""COMPUTED_VALUE"""),2015.0)</f>
        <v>2015</v>
      </c>
      <c r="M4327" s="308" t="s">
        <v>17522</v>
      </c>
      <c r="N4327" s="308"/>
      <c r="O4327" s="308"/>
      <c r="P4327" s="308" t="s">
        <v>37600</v>
      </c>
      <c r="Q4327" s="308" t="s">
        <v>37599</v>
      </c>
      <c r="R4327" s="308" t="s">
        <v>2743</v>
      </c>
      <c r="S4327" s="308" t="s">
        <v>49</v>
      </c>
      <c r="T4327" s="311" t="s">
        <v>51</v>
      </c>
      <c r="U4327" s="308" t="s">
        <v>166</v>
      </c>
      <c r="V4327" s="312"/>
    </row>
    <row r="4328">
      <c r="A4328" s="308">
        <v>4327.0</v>
      </c>
      <c r="B4328" s="308"/>
      <c r="C4328" s="308" t="s">
        <v>17524</v>
      </c>
      <c r="D4328" s="308">
        <f>IFERROR(__xludf.DUMMYFUNCTION("SPLIT(C4328,""-"")"),4348.0)</f>
        <v>4348</v>
      </c>
      <c r="E4328" s="308" t="str">
        <f>IFERROR(__xludf.DUMMYFUNCTION("""COMPUTED_VALUE"""),"K")</f>
        <v>K</v>
      </c>
      <c r="F4328" s="309" t="s">
        <v>34</v>
      </c>
      <c r="G4328" s="308"/>
      <c r="H4328" s="308" t="s">
        <v>17525</v>
      </c>
      <c r="I4328" s="316">
        <v>2009.0</v>
      </c>
      <c r="J4328" s="319"/>
      <c r="K4328" s="308"/>
      <c r="L4328" s="311">
        <v>2009.0</v>
      </c>
      <c r="M4328" s="308" t="s">
        <v>17526</v>
      </c>
      <c r="N4328" s="308" t="s">
        <v>17527</v>
      </c>
      <c r="O4328" s="308" t="s">
        <v>17528</v>
      </c>
      <c r="P4328" s="308" t="s">
        <v>35028</v>
      </c>
      <c r="Q4328" s="308" t="s">
        <v>37599</v>
      </c>
      <c r="R4328" s="308" t="s">
        <v>2743</v>
      </c>
      <c r="S4328" s="308" t="s">
        <v>49</v>
      </c>
      <c r="T4328" s="308" t="s">
        <v>69</v>
      </c>
      <c r="U4328" s="308" t="s">
        <v>530</v>
      </c>
      <c r="V4328" s="312"/>
    </row>
    <row r="4329">
      <c r="A4329" s="308">
        <v>4328.0</v>
      </c>
      <c r="B4329" s="308"/>
      <c r="C4329" s="308" t="s">
        <v>17529</v>
      </c>
      <c r="D4329" s="308">
        <f>IFERROR(__xludf.DUMMYFUNCTION("SPLIT(C4329,""-"")"),4349.0)</f>
        <v>4349</v>
      </c>
      <c r="E4329" s="308" t="str">
        <f>IFERROR(__xludf.DUMMYFUNCTION("""COMPUTED_VALUE"""),"P")</f>
        <v>P</v>
      </c>
      <c r="F4329" s="312" t="s">
        <v>37</v>
      </c>
      <c r="G4329" s="308"/>
      <c r="H4329" s="308" t="s">
        <v>17530</v>
      </c>
      <c r="I4329" s="310">
        <v>42782.0</v>
      </c>
      <c r="J4329" s="319">
        <f>IFERROR(__xludf.DUMMYFUNCTION("SPLIT(I4329,""/"")"),16.0)</f>
        <v>16</v>
      </c>
      <c r="K4329" s="308">
        <f>IFERROR(__xludf.DUMMYFUNCTION("""COMPUTED_VALUE"""),2.0)</f>
        <v>2</v>
      </c>
      <c r="L4329" s="308">
        <f>IFERROR(__xludf.DUMMYFUNCTION("""COMPUTED_VALUE"""),2017.0)</f>
        <v>2017</v>
      </c>
      <c r="M4329" s="308" t="s">
        <v>17531</v>
      </c>
      <c r="N4329" s="308"/>
      <c r="O4329" s="308"/>
      <c r="P4329" s="308" t="s">
        <v>37601</v>
      </c>
      <c r="Q4329" s="308" t="s">
        <v>37599</v>
      </c>
      <c r="R4329" s="308" t="s">
        <v>2743</v>
      </c>
      <c r="S4329" s="315" t="s">
        <v>100</v>
      </c>
      <c r="T4329" s="311" t="s">
        <v>34208</v>
      </c>
      <c r="U4329" s="308" t="s">
        <v>1711</v>
      </c>
      <c r="V4329" s="312"/>
    </row>
    <row r="4330">
      <c r="A4330" s="308">
        <v>4329.0</v>
      </c>
      <c r="B4330" s="308"/>
      <c r="C4330" s="308" t="s">
        <v>17533</v>
      </c>
      <c r="D4330" s="308">
        <f>IFERROR(__xludf.DUMMYFUNCTION("SPLIT(C4330,""-"")"),4350.0)</f>
        <v>4350</v>
      </c>
      <c r="E4330" s="308" t="str">
        <f>IFERROR(__xludf.DUMMYFUNCTION("""COMPUTED_VALUE"""),"P")</f>
        <v>P</v>
      </c>
      <c r="F4330" s="312" t="s">
        <v>37</v>
      </c>
      <c r="G4330" s="308"/>
      <c r="H4330" s="308" t="s">
        <v>17534</v>
      </c>
      <c r="I4330" s="310">
        <v>42929.0</v>
      </c>
      <c r="J4330" s="319">
        <f>IFERROR(__xludf.DUMMYFUNCTION("SPLIT(I4330,""/"")"),13.0)</f>
        <v>13</v>
      </c>
      <c r="K4330" s="308">
        <f>IFERROR(__xludf.DUMMYFUNCTION("""COMPUTED_VALUE"""),7.0)</f>
        <v>7</v>
      </c>
      <c r="L4330" s="308">
        <f>IFERROR(__xludf.DUMMYFUNCTION("""COMPUTED_VALUE"""),2017.0)</f>
        <v>2017</v>
      </c>
      <c r="M4330" s="308" t="s">
        <v>17535</v>
      </c>
      <c r="N4330" s="308"/>
      <c r="O4330" s="308"/>
      <c r="P4330" s="308" t="s">
        <v>17536</v>
      </c>
      <c r="Q4330" s="308" t="s">
        <v>37599</v>
      </c>
      <c r="R4330" s="308" t="s">
        <v>2743</v>
      </c>
      <c r="S4330" s="308" t="s">
        <v>81</v>
      </c>
      <c r="T4330" s="311" t="s">
        <v>75</v>
      </c>
      <c r="U4330" s="308" t="s">
        <v>143</v>
      </c>
      <c r="V4330" s="312"/>
    </row>
    <row r="4331">
      <c r="A4331" s="308">
        <v>4330.0</v>
      </c>
      <c r="B4331" s="308"/>
      <c r="C4331" s="308" t="s">
        <v>17537</v>
      </c>
      <c r="D4331" s="308">
        <f>IFERROR(__xludf.DUMMYFUNCTION("SPLIT(C4331,""-"")"),4351.0)</f>
        <v>4351</v>
      </c>
      <c r="E4331" s="308" t="str">
        <f>IFERROR(__xludf.DUMMYFUNCTION("""COMPUTED_VALUE"""),"P")</f>
        <v>P</v>
      </c>
      <c r="F4331" s="312" t="s">
        <v>37</v>
      </c>
      <c r="G4331" s="308"/>
      <c r="H4331" s="308" t="s">
        <v>17538</v>
      </c>
      <c r="I4331" s="310">
        <v>42711.0</v>
      </c>
      <c r="J4331" s="319">
        <f>IFERROR(__xludf.DUMMYFUNCTION("SPLIT(I4331,""/"")"),7.0)</f>
        <v>7</v>
      </c>
      <c r="K4331" s="308">
        <f>IFERROR(__xludf.DUMMYFUNCTION("""COMPUTED_VALUE"""),12.0)</f>
        <v>12</v>
      </c>
      <c r="L4331" s="308">
        <f>IFERROR(__xludf.DUMMYFUNCTION("""COMPUTED_VALUE"""),2016.0)</f>
        <v>2016</v>
      </c>
      <c r="M4331" s="308" t="s">
        <v>17539</v>
      </c>
      <c r="N4331" s="308"/>
      <c r="O4331" s="308"/>
      <c r="P4331" s="308" t="s">
        <v>37602</v>
      </c>
      <c r="Q4331" s="308" t="s">
        <v>37599</v>
      </c>
      <c r="R4331" s="308" t="s">
        <v>2743</v>
      </c>
      <c r="S4331" s="308" t="s">
        <v>81</v>
      </c>
      <c r="T4331" s="311" t="s">
        <v>96</v>
      </c>
      <c r="U4331" s="308" t="s">
        <v>14456</v>
      </c>
      <c r="V4331" s="312"/>
    </row>
    <row r="4332">
      <c r="A4332" s="308">
        <v>4331.0</v>
      </c>
      <c r="B4332" s="308"/>
      <c r="C4332" s="308" t="s">
        <v>17541</v>
      </c>
      <c r="D4332" s="308">
        <f>IFERROR(__xludf.DUMMYFUNCTION("SPLIT(C4332,""-"")"),4352.0)</f>
        <v>4352</v>
      </c>
      <c r="E4332" s="308" t="str">
        <f>IFERROR(__xludf.DUMMYFUNCTION("""COMPUTED_VALUE"""),"P")</f>
        <v>P</v>
      </c>
      <c r="F4332" s="312" t="s">
        <v>37</v>
      </c>
      <c r="G4332" s="308"/>
      <c r="H4332" s="308" t="s">
        <v>17542</v>
      </c>
      <c r="I4332" s="310">
        <v>42841.0</v>
      </c>
      <c r="J4332" s="319">
        <f>IFERROR(__xludf.DUMMYFUNCTION("SPLIT(I4332,""/"")"),16.0)</f>
        <v>16</v>
      </c>
      <c r="K4332" s="308">
        <f>IFERROR(__xludf.DUMMYFUNCTION("""COMPUTED_VALUE"""),4.0)</f>
        <v>4</v>
      </c>
      <c r="L4332" s="308">
        <f>IFERROR(__xludf.DUMMYFUNCTION("""COMPUTED_VALUE"""),2017.0)</f>
        <v>2017</v>
      </c>
      <c r="M4332" s="308" t="s">
        <v>17543</v>
      </c>
      <c r="N4332" s="308"/>
      <c r="O4332" s="308"/>
      <c r="P4332" s="308" t="s">
        <v>37603</v>
      </c>
      <c r="Q4332" s="308" t="s">
        <v>37599</v>
      </c>
      <c r="R4332" s="308" t="s">
        <v>2743</v>
      </c>
      <c r="S4332" s="308" t="s">
        <v>81</v>
      </c>
      <c r="T4332" s="308" t="s">
        <v>75</v>
      </c>
      <c r="U4332" s="308" t="s">
        <v>143</v>
      </c>
      <c r="V4332" s="312"/>
    </row>
    <row r="4333">
      <c r="A4333" s="308">
        <v>4332.0</v>
      </c>
      <c r="B4333" s="308"/>
      <c r="C4333" s="308" t="s">
        <v>17545</v>
      </c>
      <c r="D4333" s="308">
        <f>IFERROR(__xludf.DUMMYFUNCTION("SPLIT(C4333,""-"")"),4353.0)</f>
        <v>4353</v>
      </c>
      <c r="E4333" s="308" t="str">
        <f>IFERROR(__xludf.DUMMYFUNCTION("""COMPUTED_VALUE"""),"S")</f>
        <v>S</v>
      </c>
      <c r="F4333" s="312" t="s">
        <v>39</v>
      </c>
      <c r="G4333" s="308"/>
      <c r="H4333" s="308" t="s">
        <v>17546</v>
      </c>
      <c r="I4333" s="310">
        <v>42950.0</v>
      </c>
      <c r="J4333" s="319">
        <f>IFERROR(__xludf.DUMMYFUNCTION("SPLIT(I4333,""/"")"),3.0)</f>
        <v>3</v>
      </c>
      <c r="K4333" s="308">
        <f>IFERROR(__xludf.DUMMYFUNCTION("""COMPUTED_VALUE"""),8.0)</f>
        <v>8</v>
      </c>
      <c r="L4333" s="308">
        <f>IFERROR(__xludf.DUMMYFUNCTION("""COMPUTED_VALUE"""),2017.0)</f>
        <v>2017</v>
      </c>
      <c r="M4333" s="308" t="s">
        <v>17547</v>
      </c>
      <c r="N4333" s="308"/>
      <c r="O4333" s="308"/>
      <c r="P4333" s="308" t="s">
        <v>37604</v>
      </c>
      <c r="Q4333" s="308" t="s">
        <v>37599</v>
      </c>
      <c r="R4333" s="308" t="s">
        <v>2743</v>
      </c>
      <c r="S4333" s="308" t="s">
        <v>81</v>
      </c>
      <c r="T4333" s="308" t="s">
        <v>75</v>
      </c>
      <c r="U4333" s="308" t="s">
        <v>166</v>
      </c>
      <c r="V4333" s="312"/>
    </row>
    <row r="4334">
      <c r="A4334" s="308">
        <v>4333.0</v>
      </c>
      <c r="B4334" s="308"/>
      <c r="C4334" s="308" t="s">
        <v>17549</v>
      </c>
      <c r="D4334" s="308">
        <f>IFERROR(__xludf.DUMMYFUNCTION("SPLIT(C4334,""-"")"),4354.0)</f>
        <v>4354</v>
      </c>
      <c r="E4334" s="308" t="str">
        <f>IFERROR(__xludf.DUMMYFUNCTION("""COMPUTED_VALUE"""),"S")</f>
        <v>S</v>
      </c>
      <c r="F4334" s="312" t="s">
        <v>39</v>
      </c>
      <c r="G4334" s="308"/>
      <c r="H4334" s="308" t="s">
        <v>17550</v>
      </c>
      <c r="I4334" s="310">
        <v>42809.0</v>
      </c>
      <c r="J4334" s="319">
        <f>IFERROR(__xludf.DUMMYFUNCTION("SPLIT(I4334,""/"")"),15.0)</f>
        <v>15</v>
      </c>
      <c r="K4334" s="308">
        <f>IFERROR(__xludf.DUMMYFUNCTION("""COMPUTED_VALUE"""),3.0)</f>
        <v>3</v>
      </c>
      <c r="L4334" s="308">
        <f>IFERROR(__xludf.DUMMYFUNCTION("""COMPUTED_VALUE"""),2017.0)</f>
        <v>2017</v>
      </c>
      <c r="M4334" s="308" t="s">
        <v>17551</v>
      </c>
      <c r="N4334" s="308"/>
      <c r="O4334" s="308"/>
      <c r="P4334" s="308" t="s">
        <v>37605</v>
      </c>
      <c r="Q4334" s="308" t="s">
        <v>37599</v>
      </c>
      <c r="R4334" s="308" t="s">
        <v>2743</v>
      </c>
      <c r="S4334" s="308" t="s">
        <v>81</v>
      </c>
      <c r="T4334" s="308" t="s">
        <v>75</v>
      </c>
      <c r="U4334" s="308" t="s">
        <v>166</v>
      </c>
      <c r="V4334" s="312"/>
    </row>
    <row r="4335">
      <c r="A4335" s="308">
        <v>4334.0</v>
      </c>
      <c r="B4335" s="308"/>
      <c r="C4335" s="308" t="s">
        <v>17553</v>
      </c>
      <c r="D4335" s="308">
        <f>IFERROR(__xludf.DUMMYFUNCTION("SPLIT(C4335,""-"")"),4355.0)</f>
        <v>4355</v>
      </c>
      <c r="E4335" s="308" t="str">
        <f>IFERROR(__xludf.DUMMYFUNCTION("""COMPUTED_VALUE"""),"S")</f>
        <v>S</v>
      </c>
      <c r="F4335" s="312" t="s">
        <v>39</v>
      </c>
      <c r="G4335" s="308"/>
      <c r="H4335" s="308" t="s">
        <v>17554</v>
      </c>
      <c r="I4335" s="310">
        <v>42959.0</v>
      </c>
      <c r="J4335" s="319">
        <f>IFERROR(__xludf.DUMMYFUNCTION("SPLIT(I4335,""/"")"),12.0)</f>
        <v>12</v>
      </c>
      <c r="K4335" s="308">
        <f>IFERROR(__xludf.DUMMYFUNCTION("""COMPUTED_VALUE"""),8.0)</f>
        <v>8</v>
      </c>
      <c r="L4335" s="308">
        <f>IFERROR(__xludf.DUMMYFUNCTION("""COMPUTED_VALUE"""),2017.0)</f>
        <v>2017</v>
      </c>
      <c r="M4335" s="308" t="s">
        <v>17555</v>
      </c>
      <c r="N4335" s="308"/>
      <c r="O4335" s="308"/>
      <c r="P4335" s="308" t="s">
        <v>37606</v>
      </c>
      <c r="Q4335" s="308" t="s">
        <v>37599</v>
      </c>
      <c r="R4335" s="308" t="s">
        <v>2743</v>
      </c>
      <c r="S4335" s="308" t="s">
        <v>81</v>
      </c>
      <c r="T4335" s="308" t="s">
        <v>73</v>
      </c>
      <c r="U4335" s="308" t="s">
        <v>166</v>
      </c>
      <c r="V4335" s="312"/>
    </row>
    <row r="4336">
      <c r="A4336" s="308">
        <v>4335.0</v>
      </c>
      <c r="B4336" s="308"/>
      <c r="C4336" s="308" t="s">
        <v>17557</v>
      </c>
      <c r="D4336" s="308">
        <f>IFERROR(__xludf.DUMMYFUNCTION("SPLIT(C4336,""-"")"),4356.0)</f>
        <v>4356</v>
      </c>
      <c r="E4336" s="308" t="str">
        <f>IFERROR(__xludf.DUMMYFUNCTION("""COMPUTED_VALUE"""),"S")</f>
        <v>S</v>
      </c>
      <c r="F4336" s="312" t="s">
        <v>39</v>
      </c>
      <c r="G4336" s="308"/>
      <c r="H4336" s="308" t="s">
        <v>17558</v>
      </c>
      <c r="I4336" s="316">
        <v>2014.0</v>
      </c>
      <c r="J4336" s="319"/>
      <c r="K4336" s="308"/>
      <c r="L4336" s="311">
        <v>2014.0</v>
      </c>
      <c r="M4336" s="308" t="s">
        <v>17559</v>
      </c>
      <c r="N4336" s="308"/>
      <c r="O4336" s="308"/>
      <c r="P4336" s="308" t="s">
        <v>37607</v>
      </c>
      <c r="Q4336" s="308" t="s">
        <v>37599</v>
      </c>
      <c r="R4336" s="308" t="s">
        <v>2743</v>
      </c>
      <c r="S4336" s="308" t="s">
        <v>81</v>
      </c>
      <c r="T4336" s="308" t="s">
        <v>34264</v>
      </c>
      <c r="U4336" s="308" t="s">
        <v>166</v>
      </c>
      <c r="V4336" s="312"/>
    </row>
    <row r="4337">
      <c r="A4337" s="308">
        <v>4336.0</v>
      </c>
      <c r="B4337" s="308"/>
      <c r="C4337" s="308" t="s">
        <v>17561</v>
      </c>
      <c r="D4337" s="308">
        <f>IFERROR(__xludf.DUMMYFUNCTION("SPLIT(C4337,""-"")"),4357.0)</f>
        <v>4357</v>
      </c>
      <c r="E4337" s="308" t="str">
        <f>IFERROR(__xludf.DUMMYFUNCTION("""COMPUTED_VALUE"""),"F")</f>
        <v>F</v>
      </c>
      <c r="F4337" s="309" t="s">
        <v>34</v>
      </c>
      <c r="G4337" s="308"/>
      <c r="H4337" s="308" t="s">
        <v>17562</v>
      </c>
      <c r="I4337" s="310">
        <v>42612.0</v>
      </c>
      <c r="J4337" s="319">
        <f>IFERROR(__xludf.DUMMYFUNCTION("SPLIT(I4337,""/"")"),30.0)</f>
        <v>30</v>
      </c>
      <c r="K4337" s="308">
        <f>IFERROR(__xludf.DUMMYFUNCTION("""COMPUTED_VALUE"""),8.0)</f>
        <v>8</v>
      </c>
      <c r="L4337" s="308">
        <f>IFERROR(__xludf.DUMMYFUNCTION("""COMPUTED_VALUE"""),2016.0)</f>
        <v>2016</v>
      </c>
      <c r="M4337" s="308" t="s">
        <v>17563</v>
      </c>
      <c r="N4337" s="308" t="s">
        <v>439</v>
      </c>
      <c r="O4337" s="308"/>
      <c r="P4337" s="308" t="s">
        <v>37608</v>
      </c>
      <c r="Q4337" s="308" t="s">
        <v>37599</v>
      </c>
      <c r="R4337" s="308" t="s">
        <v>2743</v>
      </c>
      <c r="S4337" s="308" t="s">
        <v>81</v>
      </c>
      <c r="T4337" s="308" t="s">
        <v>75</v>
      </c>
      <c r="U4337" s="308" t="s">
        <v>195</v>
      </c>
      <c r="V4337" s="312"/>
    </row>
    <row r="4338">
      <c r="A4338" s="308">
        <v>4337.0</v>
      </c>
      <c r="B4338" s="308"/>
      <c r="C4338" s="308" t="s">
        <v>17565</v>
      </c>
      <c r="D4338" s="308">
        <f>IFERROR(__xludf.DUMMYFUNCTION("SPLIT(C4338,""-"")"),4358.0)</f>
        <v>4358</v>
      </c>
      <c r="E4338" s="308" t="str">
        <f>IFERROR(__xludf.DUMMYFUNCTION("""COMPUTED_VALUE"""),"K")</f>
        <v>K</v>
      </c>
      <c r="F4338" s="309" t="s">
        <v>34</v>
      </c>
      <c r="G4338" s="308"/>
      <c r="H4338" s="308" t="s">
        <v>17566</v>
      </c>
      <c r="I4338" s="316">
        <v>2009.0</v>
      </c>
      <c r="J4338" s="319"/>
      <c r="K4338" s="308"/>
      <c r="L4338" s="311">
        <v>2009.0</v>
      </c>
      <c r="M4338" s="308" t="s">
        <v>17567</v>
      </c>
      <c r="N4338" s="308" t="s">
        <v>439</v>
      </c>
      <c r="O4338" s="308" t="s">
        <v>17568</v>
      </c>
      <c r="P4338" s="308" t="s">
        <v>36159</v>
      </c>
      <c r="Q4338" s="308" t="s">
        <v>37599</v>
      </c>
      <c r="R4338" s="308" t="s">
        <v>2743</v>
      </c>
      <c r="S4338" s="315" t="s">
        <v>100</v>
      </c>
      <c r="T4338" s="311" t="s">
        <v>34208</v>
      </c>
      <c r="U4338" s="308" t="s">
        <v>530</v>
      </c>
      <c r="V4338" s="312"/>
    </row>
    <row r="4339">
      <c r="A4339" s="308">
        <v>4338.0</v>
      </c>
      <c r="B4339" s="308"/>
      <c r="C4339" s="308" t="s">
        <v>17569</v>
      </c>
      <c r="D4339" s="308">
        <f>IFERROR(__xludf.DUMMYFUNCTION("SPLIT(C4339,""-"")"),4359.0)</f>
        <v>4359</v>
      </c>
      <c r="E4339" s="308" t="str">
        <f>IFERROR(__xludf.DUMMYFUNCTION("""COMPUTED_VALUE"""),"K")</f>
        <v>K</v>
      </c>
      <c r="F4339" s="309" t="s">
        <v>34</v>
      </c>
      <c r="G4339" s="308"/>
      <c r="H4339" s="308" t="s">
        <v>17570</v>
      </c>
      <c r="I4339" s="310">
        <v>41769.0</v>
      </c>
      <c r="J4339" s="319">
        <f>IFERROR(__xludf.DUMMYFUNCTION("SPLIT(I4339,""/"")"),10.0)</f>
        <v>10</v>
      </c>
      <c r="K4339" s="308">
        <f>IFERROR(__xludf.DUMMYFUNCTION("""COMPUTED_VALUE"""),5.0)</f>
        <v>5</v>
      </c>
      <c r="L4339" s="308">
        <f>IFERROR(__xludf.DUMMYFUNCTION("""COMPUTED_VALUE"""),2014.0)</f>
        <v>2014</v>
      </c>
      <c r="M4339" s="308" t="s">
        <v>17571</v>
      </c>
      <c r="N4339" s="308"/>
      <c r="O4339" s="308"/>
      <c r="P4339" s="308" t="s">
        <v>37592</v>
      </c>
      <c r="Q4339" s="308" t="s">
        <v>37599</v>
      </c>
      <c r="R4339" s="308" t="s">
        <v>2743</v>
      </c>
      <c r="S4339" s="315" t="s">
        <v>100</v>
      </c>
      <c r="T4339" s="311" t="s">
        <v>34208</v>
      </c>
      <c r="U4339" s="308" t="s">
        <v>941</v>
      </c>
      <c r="V4339" s="312"/>
    </row>
    <row r="4340">
      <c r="A4340" s="308">
        <v>4339.0</v>
      </c>
      <c r="B4340" s="308"/>
      <c r="C4340" s="308" t="s">
        <v>17572</v>
      </c>
      <c r="D4340" s="308">
        <f>IFERROR(__xludf.DUMMYFUNCTION("SPLIT(C4340,""-"")"),4360.0)</f>
        <v>4360</v>
      </c>
      <c r="E4340" s="308" t="str">
        <f>IFERROR(__xludf.DUMMYFUNCTION("""COMPUTED_VALUE"""),"K")</f>
        <v>K</v>
      </c>
      <c r="F4340" s="309" t="s">
        <v>34</v>
      </c>
      <c r="G4340" s="308"/>
      <c r="H4340" s="308" t="s">
        <v>17573</v>
      </c>
      <c r="I4340" s="310">
        <v>42969.0</v>
      </c>
      <c r="J4340" s="319" t="str">
        <f>IFERROR(__xludf.DUMMYFUNCTION("SPLIT(I4340,""/"")"),"#REF!")</f>
        <v>#REF!</v>
      </c>
      <c r="K4340" s="308"/>
      <c r="L4340" s="308">
        <v>2017.0</v>
      </c>
      <c r="M4340" s="308" t="s">
        <v>17574</v>
      </c>
      <c r="N4340" s="308"/>
      <c r="O4340" s="308"/>
      <c r="P4340" s="308" t="s">
        <v>37609</v>
      </c>
      <c r="Q4340" s="308" t="s">
        <v>37610</v>
      </c>
      <c r="R4340" s="308" t="s">
        <v>14256</v>
      </c>
      <c r="S4340" s="308" t="s">
        <v>81</v>
      </c>
      <c r="T4340" s="308" t="s">
        <v>75</v>
      </c>
      <c r="U4340" s="308" t="s">
        <v>2989</v>
      </c>
      <c r="V4340" s="312"/>
    </row>
    <row r="4341">
      <c r="A4341" s="308">
        <v>4340.0</v>
      </c>
      <c r="B4341" s="308"/>
      <c r="C4341" s="308" t="s">
        <v>17576</v>
      </c>
      <c r="D4341" s="308">
        <f>IFERROR(__xludf.DUMMYFUNCTION("SPLIT(C4341,""-"")"),4361.0)</f>
        <v>4361</v>
      </c>
      <c r="E4341" s="308" t="str">
        <f>IFERROR(__xludf.DUMMYFUNCTION("""COMPUTED_VALUE"""),"S")</f>
        <v>S</v>
      </c>
      <c r="F4341" s="312" t="s">
        <v>39</v>
      </c>
      <c r="G4341" s="308"/>
      <c r="H4341" s="308" t="s">
        <v>17577</v>
      </c>
      <c r="I4341" s="316">
        <v>2013.0</v>
      </c>
      <c r="J4341" s="319"/>
      <c r="K4341" s="308"/>
      <c r="L4341" s="311">
        <v>2013.0</v>
      </c>
      <c r="M4341" s="308" t="s">
        <v>17578</v>
      </c>
      <c r="N4341" s="308"/>
      <c r="O4341" s="308"/>
      <c r="P4341" s="308" t="s">
        <v>17579</v>
      </c>
      <c r="Q4341" s="308" t="s">
        <v>37610</v>
      </c>
      <c r="R4341" s="308" t="s">
        <v>2743</v>
      </c>
      <c r="S4341" s="308" t="s">
        <v>81</v>
      </c>
      <c r="T4341" s="308" t="s">
        <v>34264</v>
      </c>
      <c r="U4341" s="308" t="s">
        <v>166</v>
      </c>
      <c r="V4341" s="312"/>
    </row>
    <row r="4342">
      <c r="A4342" s="308">
        <v>4341.0</v>
      </c>
      <c r="B4342" s="308"/>
      <c r="C4342" s="308" t="s">
        <v>17580</v>
      </c>
      <c r="D4342" s="308">
        <f>IFERROR(__xludf.DUMMYFUNCTION("SPLIT(C4342,""-"")"),4362.0)</f>
        <v>4362</v>
      </c>
      <c r="E4342" s="308" t="str">
        <f>IFERROR(__xludf.DUMMYFUNCTION("""COMPUTED_VALUE"""),"K")</f>
        <v>K</v>
      </c>
      <c r="F4342" s="309" t="s">
        <v>34</v>
      </c>
      <c r="G4342" s="308"/>
      <c r="H4342" s="308" t="s">
        <v>17581</v>
      </c>
      <c r="I4342" s="316">
        <v>2009.0</v>
      </c>
      <c r="J4342" s="319"/>
      <c r="K4342" s="308"/>
      <c r="L4342" s="311">
        <v>2009.0</v>
      </c>
      <c r="M4342" s="308" t="s">
        <v>17582</v>
      </c>
      <c r="N4342" s="308"/>
      <c r="O4342" s="308"/>
      <c r="P4342" s="308" t="s">
        <v>1872</v>
      </c>
      <c r="Q4342" s="308" t="s">
        <v>37611</v>
      </c>
      <c r="R4342" s="308" t="s">
        <v>2743</v>
      </c>
      <c r="S4342" s="315" t="s">
        <v>100</v>
      </c>
      <c r="T4342" s="311" t="s">
        <v>34208</v>
      </c>
      <c r="U4342" s="308" t="s">
        <v>530</v>
      </c>
      <c r="V4342" s="312"/>
    </row>
    <row r="4343">
      <c r="A4343" s="308">
        <v>4342.0</v>
      </c>
      <c r="B4343" s="308"/>
      <c r="C4343" s="308" t="s">
        <v>17583</v>
      </c>
      <c r="D4343" s="308">
        <f>IFERROR(__xludf.DUMMYFUNCTION("SPLIT(C4343,""-"")"),4363.0)</f>
        <v>4363</v>
      </c>
      <c r="E4343" s="308" t="str">
        <f>IFERROR(__xludf.DUMMYFUNCTION("""COMPUTED_VALUE"""),"K")</f>
        <v>K</v>
      </c>
      <c r="F4343" s="309" t="s">
        <v>34</v>
      </c>
      <c r="G4343" s="308"/>
      <c r="H4343" s="308" t="s">
        <v>17584</v>
      </c>
      <c r="I4343" s="316">
        <v>2009.0</v>
      </c>
      <c r="J4343" s="319"/>
      <c r="K4343" s="308"/>
      <c r="L4343" s="311">
        <v>2009.0</v>
      </c>
      <c r="M4343" s="308" t="s">
        <v>17582</v>
      </c>
      <c r="N4343" s="308"/>
      <c r="O4343" s="308"/>
      <c r="P4343" s="308" t="s">
        <v>1872</v>
      </c>
      <c r="Q4343" s="308" t="s">
        <v>37611</v>
      </c>
      <c r="R4343" s="308" t="s">
        <v>2743</v>
      </c>
      <c r="S4343" s="315" t="s">
        <v>100</v>
      </c>
      <c r="T4343" s="311" t="s">
        <v>34208</v>
      </c>
      <c r="U4343" s="308" t="s">
        <v>530</v>
      </c>
      <c r="V4343" s="312"/>
    </row>
    <row r="4344">
      <c r="A4344" s="308">
        <v>4343.0</v>
      </c>
      <c r="B4344" s="308"/>
      <c r="C4344" s="308" t="s">
        <v>17585</v>
      </c>
      <c r="D4344" s="308">
        <f>IFERROR(__xludf.DUMMYFUNCTION("SPLIT(C4344,""-"")"),4364.0)</f>
        <v>4364</v>
      </c>
      <c r="E4344" s="308" t="str">
        <f>IFERROR(__xludf.DUMMYFUNCTION("""COMPUTED_VALUE"""),"K")</f>
        <v>K</v>
      </c>
      <c r="F4344" s="309" t="s">
        <v>34</v>
      </c>
      <c r="G4344" s="308"/>
      <c r="H4344" s="308" t="s">
        <v>17586</v>
      </c>
      <c r="I4344" s="310">
        <v>40813.0</v>
      </c>
      <c r="J4344" s="319">
        <f>IFERROR(__xludf.DUMMYFUNCTION("SPLIT(I4344,""/"")"),27.0)</f>
        <v>27</v>
      </c>
      <c r="K4344" s="308">
        <f>IFERROR(__xludf.DUMMYFUNCTION("""COMPUTED_VALUE"""),9.0)</f>
        <v>9</v>
      </c>
      <c r="L4344" s="308">
        <f>IFERROR(__xludf.DUMMYFUNCTION("""COMPUTED_VALUE"""),2011.0)</f>
        <v>2011</v>
      </c>
      <c r="M4344" s="308" t="s">
        <v>17587</v>
      </c>
      <c r="N4344" s="308"/>
      <c r="O4344" s="308"/>
      <c r="P4344" s="308" t="s">
        <v>1872</v>
      </c>
      <c r="Q4344" s="308" t="s">
        <v>37611</v>
      </c>
      <c r="R4344" s="308" t="s">
        <v>2743</v>
      </c>
      <c r="S4344" s="315" t="s">
        <v>100</v>
      </c>
      <c r="T4344" s="311" t="s">
        <v>34208</v>
      </c>
      <c r="U4344" s="308" t="s">
        <v>530</v>
      </c>
      <c r="V4344" s="312"/>
    </row>
    <row r="4345">
      <c r="A4345" s="308">
        <v>4344.0</v>
      </c>
      <c r="B4345" s="308"/>
      <c r="C4345" s="308" t="s">
        <v>17588</v>
      </c>
      <c r="D4345" s="308">
        <f>IFERROR(__xludf.DUMMYFUNCTION("SPLIT(C4345,""-"")"),4365.0)</f>
        <v>4365</v>
      </c>
      <c r="E4345" s="308" t="str">
        <f>IFERROR(__xludf.DUMMYFUNCTION("""COMPUTED_VALUE"""),"K")</f>
        <v>K</v>
      </c>
      <c r="F4345" s="309" t="s">
        <v>34</v>
      </c>
      <c r="G4345" s="308"/>
      <c r="H4345" s="308" t="s">
        <v>17589</v>
      </c>
      <c r="I4345" s="316">
        <v>2010.0</v>
      </c>
      <c r="J4345" s="319"/>
      <c r="K4345" s="308"/>
      <c r="L4345" s="311">
        <v>2010.0</v>
      </c>
      <c r="M4345" s="308" t="s">
        <v>17590</v>
      </c>
      <c r="N4345" s="308"/>
      <c r="O4345" s="308"/>
      <c r="P4345" s="308" t="s">
        <v>1872</v>
      </c>
      <c r="Q4345" s="308" t="s">
        <v>37611</v>
      </c>
      <c r="R4345" s="308" t="s">
        <v>2743</v>
      </c>
      <c r="S4345" s="315" t="s">
        <v>100</v>
      </c>
      <c r="T4345" s="311" t="s">
        <v>34208</v>
      </c>
      <c r="U4345" s="308" t="s">
        <v>530</v>
      </c>
      <c r="V4345" s="312"/>
    </row>
    <row r="4346">
      <c r="A4346" s="308">
        <v>4345.0</v>
      </c>
      <c r="B4346" s="308"/>
      <c r="C4346" s="308" t="s">
        <v>17591</v>
      </c>
      <c r="D4346" s="308">
        <f>IFERROR(__xludf.DUMMYFUNCTION("SPLIT(C4346,""-"")"),4366.0)</f>
        <v>4366</v>
      </c>
      <c r="E4346" s="308" t="str">
        <f>IFERROR(__xludf.DUMMYFUNCTION("""COMPUTED_VALUE"""),"S")</f>
        <v>S</v>
      </c>
      <c r="F4346" s="312" t="s">
        <v>39</v>
      </c>
      <c r="G4346" s="308"/>
      <c r="H4346" s="308" t="s">
        <v>17592</v>
      </c>
      <c r="I4346" s="310">
        <v>41974.0</v>
      </c>
      <c r="J4346" s="319">
        <f>IFERROR(__xludf.DUMMYFUNCTION("SPLIT(I4346,""/"")"),1.0)</f>
        <v>1</v>
      </c>
      <c r="K4346" s="308">
        <f>IFERROR(__xludf.DUMMYFUNCTION("""COMPUTED_VALUE"""),12.0)</f>
        <v>12</v>
      </c>
      <c r="L4346" s="308">
        <f>IFERROR(__xludf.DUMMYFUNCTION("""COMPUTED_VALUE"""),2014.0)</f>
        <v>2014</v>
      </c>
      <c r="M4346" s="308" t="s">
        <v>17593</v>
      </c>
      <c r="N4346" s="308" t="s">
        <v>17594</v>
      </c>
      <c r="O4346" s="308"/>
      <c r="P4346" s="308" t="s">
        <v>37612</v>
      </c>
      <c r="Q4346" s="308" t="s">
        <v>37611</v>
      </c>
      <c r="R4346" s="308" t="s">
        <v>2743</v>
      </c>
      <c r="S4346" s="308" t="s">
        <v>49</v>
      </c>
      <c r="T4346" s="311" t="s">
        <v>57</v>
      </c>
      <c r="U4346" s="308" t="s">
        <v>166</v>
      </c>
      <c r="V4346" s="312"/>
    </row>
    <row r="4347">
      <c r="A4347" s="308">
        <v>4346.0</v>
      </c>
      <c r="B4347" s="308"/>
      <c r="C4347" s="308" t="s">
        <v>17596</v>
      </c>
      <c r="D4347" s="308">
        <f>IFERROR(__xludf.DUMMYFUNCTION("SPLIT(C4347,""-"")"),4367.0)</f>
        <v>4367</v>
      </c>
      <c r="E4347" s="308" t="str">
        <f>IFERROR(__xludf.DUMMYFUNCTION("""COMPUTED_VALUE"""),"K")</f>
        <v>K</v>
      </c>
      <c r="F4347" s="309" t="s">
        <v>34</v>
      </c>
      <c r="G4347" s="308"/>
      <c r="H4347" s="308" t="s">
        <v>17597</v>
      </c>
      <c r="I4347" s="325">
        <v>42767.0</v>
      </c>
      <c r="J4347" s="319"/>
      <c r="K4347" s="311">
        <v>2.0</v>
      </c>
      <c r="L4347" s="308">
        <v>2017.0</v>
      </c>
      <c r="M4347" s="308" t="s">
        <v>17598</v>
      </c>
      <c r="N4347" s="308"/>
      <c r="O4347" s="308"/>
      <c r="P4347" s="308" t="s">
        <v>17599</v>
      </c>
      <c r="Q4347" s="308" t="s">
        <v>37611</v>
      </c>
      <c r="R4347" s="308" t="s">
        <v>2743</v>
      </c>
      <c r="S4347" s="308" t="s">
        <v>81</v>
      </c>
      <c r="T4347" s="308" t="s">
        <v>34264</v>
      </c>
      <c r="U4347" s="308" t="s">
        <v>2466</v>
      </c>
      <c r="V4347" s="312"/>
    </row>
    <row r="4348">
      <c r="A4348" s="308">
        <v>4347.0</v>
      </c>
      <c r="B4348" s="308"/>
      <c r="C4348" s="308" t="s">
        <v>17600</v>
      </c>
      <c r="D4348" s="308">
        <f>IFERROR(__xludf.DUMMYFUNCTION("SPLIT(C4348,""-"")"),4368.0)</f>
        <v>4368</v>
      </c>
      <c r="E4348" s="308" t="str">
        <f>IFERROR(__xludf.DUMMYFUNCTION("""COMPUTED_VALUE"""),"K")</f>
        <v>K</v>
      </c>
      <c r="F4348" s="309" t="s">
        <v>34</v>
      </c>
      <c r="G4348" s="308"/>
      <c r="H4348" s="308" t="s">
        <v>17601</v>
      </c>
      <c r="I4348" s="316">
        <v>2010.0</v>
      </c>
      <c r="J4348" s="319"/>
      <c r="K4348" s="308"/>
      <c r="L4348" s="311">
        <v>2010.0</v>
      </c>
      <c r="M4348" s="308" t="s">
        <v>17602</v>
      </c>
      <c r="N4348" s="308"/>
      <c r="O4348" s="308"/>
      <c r="P4348" s="308" t="s">
        <v>1872</v>
      </c>
      <c r="Q4348" s="308" t="s">
        <v>37611</v>
      </c>
      <c r="R4348" s="308" t="s">
        <v>2743</v>
      </c>
      <c r="S4348" s="315" t="s">
        <v>100</v>
      </c>
      <c r="T4348" s="311" t="s">
        <v>34208</v>
      </c>
      <c r="U4348" s="308" t="s">
        <v>530</v>
      </c>
      <c r="V4348" s="312"/>
    </row>
    <row r="4349">
      <c r="A4349" s="308">
        <v>4348.0</v>
      </c>
      <c r="B4349" s="308"/>
      <c r="C4349" s="308" t="s">
        <v>17603</v>
      </c>
      <c r="D4349" s="308">
        <f>IFERROR(__xludf.DUMMYFUNCTION("SPLIT(C4349,""-"")"),4369.0)</f>
        <v>4369</v>
      </c>
      <c r="E4349" s="308" t="str">
        <f>IFERROR(__xludf.DUMMYFUNCTION("""COMPUTED_VALUE"""),"P")</f>
        <v>P</v>
      </c>
      <c r="F4349" s="312" t="s">
        <v>37</v>
      </c>
      <c r="G4349" s="308"/>
      <c r="H4349" s="308" t="s">
        <v>17604</v>
      </c>
      <c r="I4349" s="310">
        <v>42430.0</v>
      </c>
      <c r="J4349" s="319">
        <f>IFERROR(__xludf.DUMMYFUNCTION("SPLIT(I4349,""/"")"),1.0)</f>
        <v>1</v>
      </c>
      <c r="K4349" s="308">
        <f>IFERROR(__xludf.DUMMYFUNCTION("""COMPUTED_VALUE"""),3.0)</f>
        <v>3</v>
      </c>
      <c r="L4349" s="308">
        <f>IFERROR(__xludf.DUMMYFUNCTION("""COMPUTED_VALUE"""),2016.0)</f>
        <v>2016</v>
      </c>
      <c r="M4349" s="308" t="s">
        <v>17605</v>
      </c>
      <c r="N4349" s="308"/>
      <c r="O4349" s="308"/>
      <c r="P4349" s="308" t="s">
        <v>10320</v>
      </c>
      <c r="Q4349" s="308" t="s">
        <v>37613</v>
      </c>
      <c r="R4349" s="308" t="s">
        <v>2743</v>
      </c>
      <c r="S4349" s="315" t="s">
        <v>100</v>
      </c>
      <c r="T4349" s="311" t="s">
        <v>34208</v>
      </c>
      <c r="U4349" s="308" t="s">
        <v>2748</v>
      </c>
      <c r="V4349" s="312"/>
    </row>
    <row r="4350">
      <c r="A4350" s="308">
        <v>4349.0</v>
      </c>
      <c r="B4350" s="308"/>
      <c r="C4350" s="308" t="s">
        <v>17606</v>
      </c>
      <c r="D4350" s="308">
        <f>IFERROR(__xludf.DUMMYFUNCTION("SPLIT(C4350,""-"")"),4370.0)</f>
        <v>4370</v>
      </c>
      <c r="E4350" s="308" t="str">
        <f>IFERROR(__xludf.DUMMYFUNCTION("""COMPUTED_VALUE"""),"K")</f>
        <v>K</v>
      </c>
      <c r="F4350" s="309" t="s">
        <v>34</v>
      </c>
      <c r="G4350" s="308"/>
      <c r="H4350" s="308" t="s">
        <v>17607</v>
      </c>
      <c r="I4350" s="310">
        <v>42457.0</v>
      </c>
      <c r="J4350" s="319">
        <f>IFERROR(__xludf.DUMMYFUNCTION("SPLIT(I4350,""/"")"),28.0)</f>
        <v>28</v>
      </c>
      <c r="K4350" s="308">
        <f>IFERROR(__xludf.DUMMYFUNCTION("""COMPUTED_VALUE"""),3.0)</f>
        <v>3</v>
      </c>
      <c r="L4350" s="308">
        <f>IFERROR(__xludf.DUMMYFUNCTION("""COMPUTED_VALUE"""),2016.0)</f>
        <v>2016</v>
      </c>
      <c r="M4350" s="308" t="s">
        <v>17608</v>
      </c>
      <c r="N4350" s="308"/>
      <c r="O4350" s="308"/>
      <c r="P4350" s="308" t="s">
        <v>2872</v>
      </c>
      <c r="Q4350" s="308" t="s">
        <v>37613</v>
      </c>
      <c r="R4350" s="308" t="s">
        <v>2743</v>
      </c>
      <c r="S4350" s="315" t="s">
        <v>100</v>
      </c>
      <c r="T4350" s="311" t="s">
        <v>34208</v>
      </c>
      <c r="U4350" s="308" t="s">
        <v>125</v>
      </c>
      <c r="V4350" s="312"/>
    </row>
    <row r="4351">
      <c r="A4351" s="308">
        <v>4350.0</v>
      </c>
      <c r="B4351" s="308"/>
      <c r="C4351" s="308" t="s">
        <v>17609</v>
      </c>
      <c r="D4351" s="308">
        <f>IFERROR(__xludf.DUMMYFUNCTION("SPLIT(C4351,""-"")"),4371.0)</f>
        <v>4371</v>
      </c>
      <c r="E4351" s="308" t="str">
        <f>IFERROR(__xludf.DUMMYFUNCTION("""COMPUTED_VALUE"""),"K")</f>
        <v>K</v>
      </c>
      <c r="F4351" s="309" t="s">
        <v>34</v>
      </c>
      <c r="G4351" s="308"/>
      <c r="H4351" s="308" t="s">
        <v>17610</v>
      </c>
      <c r="I4351" s="310">
        <v>40040.0</v>
      </c>
      <c r="J4351" s="319">
        <f>IFERROR(__xludf.DUMMYFUNCTION("SPLIT(I4351,""/"")"),15.0)</f>
        <v>15</v>
      </c>
      <c r="K4351" s="308">
        <f>IFERROR(__xludf.DUMMYFUNCTION("""COMPUTED_VALUE"""),8.0)</f>
        <v>8</v>
      </c>
      <c r="L4351" s="308">
        <f>IFERROR(__xludf.DUMMYFUNCTION("""COMPUTED_VALUE"""),2009.0)</f>
        <v>2009</v>
      </c>
      <c r="M4351" s="308" t="s">
        <v>17611</v>
      </c>
      <c r="N4351" s="308" t="s">
        <v>17612</v>
      </c>
      <c r="O4351" s="308"/>
      <c r="P4351" s="308" t="s">
        <v>2872</v>
      </c>
      <c r="Q4351" s="308" t="s">
        <v>37614</v>
      </c>
      <c r="R4351" s="308" t="s">
        <v>2743</v>
      </c>
      <c r="S4351" s="315" t="s">
        <v>100</v>
      </c>
      <c r="T4351" s="311" t="s">
        <v>34208</v>
      </c>
      <c r="U4351" s="308" t="s">
        <v>125</v>
      </c>
      <c r="V4351" s="312"/>
    </row>
    <row r="4352">
      <c r="A4352" s="308">
        <v>4351.0</v>
      </c>
      <c r="B4352" s="308"/>
      <c r="C4352" s="308" t="s">
        <v>17613</v>
      </c>
      <c r="D4352" s="308">
        <f>IFERROR(__xludf.DUMMYFUNCTION("SPLIT(C4352,""-"")"),4372.0)</f>
        <v>4372</v>
      </c>
      <c r="E4352" s="308" t="str">
        <f>IFERROR(__xludf.DUMMYFUNCTION("""COMPUTED_VALUE"""),"K")</f>
        <v>K</v>
      </c>
      <c r="F4352" s="309" t="s">
        <v>34</v>
      </c>
      <c r="G4352" s="308"/>
      <c r="H4352" s="308" t="s">
        <v>17614</v>
      </c>
      <c r="I4352" s="310">
        <v>40039.0</v>
      </c>
      <c r="J4352" s="319">
        <f>IFERROR(__xludf.DUMMYFUNCTION("SPLIT(I4352,""/"")"),14.0)</f>
        <v>14</v>
      </c>
      <c r="K4352" s="308">
        <f>IFERROR(__xludf.DUMMYFUNCTION("""COMPUTED_VALUE"""),8.0)</f>
        <v>8</v>
      </c>
      <c r="L4352" s="308">
        <f>IFERROR(__xludf.DUMMYFUNCTION("""COMPUTED_VALUE"""),2009.0)</f>
        <v>2009</v>
      </c>
      <c r="M4352" s="308" t="s">
        <v>17615</v>
      </c>
      <c r="N4352" s="308" t="s">
        <v>17616</v>
      </c>
      <c r="O4352" s="308"/>
      <c r="P4352" s="308" t="s">
        <v>1872</v>
      </c>
      <c r="Q4352" s="308" t="s">
        <v>37614</v>
      </c>
      <c r="R4352" s="308" t="s">
        <v>2743</v>
      </c>
      <c r="S4352" s="315" t="s">
        <v>100</v>
      </c>
      <c r="T4352" s="311" t="s">
        <v>34208</v>
      </c>
      <c r="U4352" s="308" t="s">
        <v>530</v>
      </c>
      <c r="V4352" s="312"/>
    </row>
    <row r="4353">
      <c r="A4353" s="308">
        <v>4352.0</v>
      </c>
      <c r="B4353" s="308"/>
      <c r="C4353" s="308" t="s">
        <v>17617</v>
      </c>
      <c r="D4353" s="308">
        <f>IFERROR(__xludf.DUMMYFUNCTION("SPLIT(C4353,""-"")"),4373.0)</f>
        <v>4373</v>
      </c>
      <c r="E4353" s="308" t="str">
        <f>IFERROR(__xludf.DUMMYFUNCTION("""COMPUTED_VALUE"""),"K")</f>
        <v>K</v>
      </c>
      <c r="F4353" s="309" t="s">
        <v>34</v>
      </c>
      <c r="G4353" s="308"/>
      <c r="H4353" s="308" t="s">
        <v>17618</v>
      </c>
      <c r="I4353" s="316">
        <v>2013.0</v>
      </c>
      <c r="J4353" s="319"/>
      <c r="K4353" s="308"/>
      <c r="L4353" s="311">
        <v>2013.0</v>
      </c>
      <c r="M4353" s="308" t="s">
        <v>17619</v>
      </c>
      <c r="N4353" s="308"/>
      <c r="O4353" s="308"/>
      <c r="P4353" s="308" t="s">
        <v>17620</v>
      </c>
      <c r="Q4353" s="308" t="s">
        <v>37614</v>
      </c>
      <c r="R4353" s="308" t="s">
        <v>2743</v>
      </c>
      <c r="S4353" s="308" t="s">
        <v>81</v>
      </c>
      <c r="T4353" s="308" t="s">
        <v>34264</v>
      </c>
      <c r="U4353" s="308" t="s">
        <v>7530</v>
      </c>
      <c r="V4353" s="312"/>
    </row>
    <row r="4354">
      <c r="A4354" s="308">
        <v>4353.0</v>
      </c>
      <c r="B4354" s="308"/>
      <c r="C4354" s="308" t="s">
        <v>17621</v>
      </c>
      <c r="D4354" s="308">
        <f>IFERROR(__xludf.DUMMYFUNCTION("SPLIT(C4354,""-"")"),4374.0)</f>
        <v>4374</v>
      </c>
      <c r="E4354" s="308" t="str">
        <f>IFERROR(__xludf.DUMMYFUNCTION("""COMPUTED_VALUE"""),"GB")</f>
        <v>GB</v>
      </c>
      <c r="F4354" s="315" t="s">
        <v>29</v>
      </c>
      <c r="G4354" s="308"/>
      <c r="H4354" s="308" t="s">
        <v>17622</v>
      </c>
      <c r="I4354" s="310">
        <v>42943.0</v>
      </c>
      <c r="J4354" s="319">
        <f>IFERROR(__xludf.DUMMYFUNCTION("SPLIT(I4354,""/"")"),27.0)</f>
        <v>27</v>
      </c>
      <c r="K4354" s="308">
        <f>IFERROR(__xludf.DUMMYFUNCTION("""COMPUTED_VALUE"""),7.0)</f>
        <v>7</v>
      </c>
      <c r="L4354" s="308">
        <f>IFERROR(__xludf.DUMMYFUNCTION("""COMPUTED_VALUE"""),2017.0)</f>
        <v>2017</v>
      </c>
      <c r="M4354" s="308" t="s">
        <v>17623</v>
      </c>
      <c r="N4354" s="308" t="s">
        <v>17624</v>
      </c>
      <c r="O4354" s="308"/>
      <c r="P4354" s="308" t="s">
        <v>37181</v>
      </c>
      <c r="Q4354" s="308" t="s">
        <v>37614</v>
      </c>
      <c r="R4354" s="308" t="s">
        <v>2743</v>
      </c>
      <c r="S4354" s="315" t="s">
        <v>100</v>
      </c>
      <c r="T4354" s="311" t="s">
        <v>34208</v>
      </c>
      <c r="U4354" s="308" t="s">
        <v>3528</v>
      </c>
      <c r="V4354" s="312"/>
    </row>
    <row r="4355">
      <c r="A4355" s="308">
        <v>4354.0</v>
      </c>
      <c r="B4355" s="308"/>
      <c r="C4355" s="308" t="s">
        <v>17625</v>
      </c>
      <c r="D4355" s="308">
        <f>IFERROR(__xludf.DUMMYFUNCTION("SPLIT(C4355,""-"")"),4375.0)</f>
        <v>4375</v>
      </c>
      <c r="E4355" s="308" t="str">
        <f>IFERROR(__xludf.DUMMYFUNCTION("""COMPUTED_VALUE"""),"F")</f>
        <v>F</v>
      </c>
      <c r="F4355" s="309" t="s">
        <v>34</v>
      </c>
      <c r="G4355" s="308"/>
      <c r="H4355" s="308" t="s">
        <v>17626</v>
      </c>
      <c r="I4355" s="310">
        <v>41022.0</v>
      </c>
      <c r="J4355" s="319">
        <f>IFERROR(__xludf.DUMMYFUNCTION("SPLIT(I4355,""/"")"),23.0)</f>
        <v>23</v>
      </c>
      <c r="K4355" s="308">
        <f>IFERROR(__xludf.DUMMYFUNCTION("""COMPUTED_VALUE"""),4.0)</f>
        <v>4</v>
      </c>
      <c r="L4355" s="308">
        <f>IFERROR(__xludf.DUMMYFUNCTION("""COMPUTED_VALUE"""),2012.0)</f>
        <v>2012</v>
      </c>
      <c r="M4355" s="308" t="s">
        <v>17627</v>
      </c>
      <c r="N4355" s="308"/>
      <c r="O4355" s="308"/>
      <c r="P4355" s="308" t="s">
        <v>36846</v>
      </c>
      <c r="Q4355" s="308" t="s">
        <v>37614</v>
      </c>
      <c r="R4355" s="308" t="s">
        <v>2743</v>
      </c>
      <c r="S4355" s="315" t="s">
        <v>100</v>
      </c>
      <c r="T4355" s="311" t="s">
        <v>34208</v>
      </c>
      <c r="U4355" s="308" t="s">
        <v>195</v>
      </c>
      <c r="V4355" s="312"/>
    </row>
    <row r="4356">
      <c r="A4356" s="308">
        <v>4355.0</v>
      </c>
      <c r="B4356" s="308"/>
      <c r="C4356" s="308" t="s">
        <v>17628</v>
      </c>
      <c r="D4356" s="308">
        <f>IFERROR(__xludf.DUMMYFUNCTION("SPLIT(C4356,""-"")"),4376.0)</f>
        <v>4376</v>
      </c>
      <c r="E4356" s="308" t="str">
        <f>IFERROR(__xludf.DUMMYFUNCTION("""COMPUTED_VALUE"""),"F")</f>
        <v>F</v>
      </c>
      <c r="F4356" s="309" t="s">
        <v>34</v>
      </c>
      <c r="G4356" s="308"/>
      <c r="H4356" s="308" t="s">
        <v>17629</v>
      </c>
      <c r="I4356" s="310">
        <v>42610.0</v>
      </c>
      <c r="J4356" s="319">
        <f>IFERROR(__xludf.DUMMYFUNCTION("SPLIT(I4356,""/"")"),28.0)</f>
        <v>28</v>
      </c>
      <c r="K4356" s="308">
        <f>IFERROR(__xludf.DUMMYFUNCTION("""COMPUTED_VALUE"""),8.0)</f>
        <v>8</v>
      </c>
      <c r="L4356" s="308">
        <f>IFERROR(__xludf.DUMMYFUNCTION("""COMPUTED_VALUE"""),2016.0)</f>
        <v>2016</v>
      </c>
      <c r="M4356" s="308" t="s">
        <v>17630</v>
      </c>
      <c r="N4356" s="308"/>
      <c r="O4356" s="308"/>
      <c r="P4356" s="308" t="s">
        <v>17631</v>
      </c>
      <c r="Q4356" s="308" t="s">
        <v>37614</v>
      </c>
      <c r="R4356" s="308" t="s">
        <v>2743</v>
      </c>
      <c r="S4356" s="308" t="s">
        <v>81</v>
      </c>
      <c r="T4356" s="308" t="s">
        <v>73</v>
      </c>
      <c r="U4356" s="308" t="s">
        <v>195</v>
      </c>
      <c r="V4356" s="312"/>
    </row>
    <row r="4357">
      <c r="A4357" s="308">
        <v>4356.0</v>
      </c>
      <c r="B4357" s="308"/>
      <c r="C4357" s="308" t="s">
        <v>17632</v>
      </c>
      <c r="D4357" s="308">
        <f>IFERROR(__xludf.DUMMYFUNCTION("SPLIT(C4357,""-"")"),4377.0)</f>
        <v>4377</v>
      </c>
      <c r="E4357" s="308" t="str">
        <f>IFERROR(__xludf.DUMMYFUNCTION("""COMPUTED_VALUE"""),"S")</f>
        <v>S</v>
      </c>
      <c r="F4357" s="312" t="s">
        <v>39</v>
      </c>
      <c r="G4357" s="308"/>
      <c r="H4357" s="308" t="s">
        <v>17633</v>
      </c>
      <c r="I4357" s="310">
        <v>42987.0</v>
      </c>
      <c r="J4357" s="319">
        <f>IFERROR(__xludf.DUMMYFUNCTION("SPLIT(I4357,""/"")"),9.0)</f>
        <v>9</v>
      </c>
      <c r="K4357" s="308">
        <f>IFERROR(__xludf.DUMMYFUNCTION("""COMPUTED_VALUE"""),9.0)</f>
        <v>9</v>
      </c>
      <c r="L4357" s="308">
        <f>IFERROR(__xludf.DUMMYFUNCTION("""COMPUTED_VALUE"""),2017.0)</f>
        <v>2017</v>
      </c>
      <c r="M4357" s="308" t="s">
        <v>17634</v>
      </c>
      <c r="N4357" s="308"/>
      <c r="O4357" s="308"/>
      <c r="P4357" s="308" t="s">
        <v>37615</v>
      </c>
      <c r="Q4357" s="308" t="s">
        <v>37614</v>
      </c>
      <c r="R4357" s="308" t="s">
        <v>2743</v>
      </c>
      <c r="S4357" s="308" t="s">
        <v>81</v>
      </c>
      <c r="T4357" s="308" t="s">
        <v>75</v>
      </c>
      <c r="U4357" s="308" t="s">
        <v>166</v>
      </c>
      <c r="V4357" s="312"/>
    </row>
    <row r="4358">
      <c r="A4358" s="308">
        <v>4357.0</v>
      </c>
      <c r="B4358" s="308"/>
      <c r="C4358" s="308" t="s">
        <v>17636</v>
      </c>
      <c r="D4358" s="308">
        <f>IFERROR(__xludf.DUMMYFUNCTION("SPLIT(C4358,""-"")"),4378.0)</f>
        <v>4378</v>
      </c>
      <c r="E4358" s="308" t="str">
        <f>IFERROR(__xludf.DUMMYFUNCTION("""COMPUTED_VALUE"""),"P")</f>
        <v>P</v>
      </c>
      <c r="F4358" s="312" t="s">
        <v>37</v>
      </c>
      <c r="G4358" s="308"/>
      <c r="H4358" s="308" t="s">
        <v>17637</v>
      </c>
      <c r="I4358" s="314">
        <v>43019.0</v>
      </c>
      <c r="J4358" s="319">
        <f>IFERROR(__xludf.DUMMYFUNCTION("SPLIT(I4358,""/"")"),11.0)</f>
        <v>11</v>
      </c>
      <c r="K4358" s="308">
        <f>IFERROR(__xludf.DUMMYFUNCTION("""COMPUTED_VALUE"""),10.0)</f>
        <v>10</v>
      </c>
      <c r="L4358" s="308">
        <f>IFERROR(__xludf.DUMMYFUNCTION("""COMPUTED_VALUE"""),2017.0)</f>
        <v>2017</v>
      </c>
      <c r="M4358" s="308" t="s">
        <v>17638</v>
      </c>
      <c r="N4358" s="308"/>
      <c r="O4358" s="308"/>
      <c r="P4358" s="308" t="s">
        <v>17639</v>
      </c>
      <c r="Q4358" s="308" t="s">
        <v>37614</v>
      </c>
      <c r="R4358" s="308" t="s">
        <v>2743</v>
      </c>
      <c r="S4358" s="308" t="s">
        <v>81</v>
      </c>
      <c r="T4358" s="308" t="s">
        <v>75</v>
      </c>
      <c r="U4358" s="308" t="s">
        <v>149</v>
      </c>
      <c r="V4358" s="312"/>
    </row>
    <row r="4359">
      <c r="A4359" s="308">
        <v>4358.0</v>
      </c>
      <c r="B4359" s="308"/>
      <c r="C4359" s="308" t="s">
        <v>17640</v>
      </c>
      <c r="D4359" s="308">
        <f>IFERROR(__xludf.DUMMYFUNCTION("SPLIT(C4359,""-"")"),4379.0)</f>
        <v>4379</v>
      </c>
      <c r="E4359" s="308" t="str">
        <f>IFERROR(__xludf.DUMMYFUNCTION("""COMPUTED_VALUE"""),"K")</f>
        <v>K</v>
      </c>
      <c r="F4359" s="309" t="s">
        <v>34</v>
      </c>
      <c r="G4359" s="308"/>
      <c r="H4359" s="308" t="s">
        <v>17641</v>
      </c>
      <c r="I4359" s="310">
        <v>42345.0</v>
      </c>
      <c r="J4359" s="319">
        <f>IFERROR(__xludf.DUMMYFUNCTION("SPLIT(I4359,""/"")"),7.0)</f>
        <v>7</v>
      </c>
      <c r="K4359" s="308">
        <f>IFERROR(__xludf.DUMMYFUNCTION("""COMPUTED_VALUE"""),12.0)</f>
        <v>12</v>
      </c>
      <c r="L4359" s="308">
        <f>IFERROR(__xludf.DUMMYFUNCTION("""COMPUTED_VALUE"""),2015.0)</f>
        <v>2015</v>
      </c>
      <c r="M4359" s="308" t="s">
        <v>17642</v>
      </c>
      <c r="N4359" s="308"/>
      <c r="O4359" s="308"/>
      <c r="P4359" s="308" t="s">
        <v>37616</v>
      </c>
      <c r="Q4359" s="308" t="s">
        <v>37617</v>
      </c>
      <c r="R4359" s="308" t="s">
        <v>2743</v>
      </c>
      <c r="S4359" s="308" t="s">
        <v>49</v>
      </c>
      <c r="T4359" s="311" t="s">
        <v>51</v>
      </c>
      <c r="U4359" s="308" t="s">
        <v>125</v>
      </c>
      <c r="V4359" s="312"/>
    </row>
    <row r="4360">
      <c r="A4360" s="308">
        <v>4359.0</v>
      </c>
      <c r="B4360" s="308"/>
      <c r="C4360" s="308" t="s">
        <v>17644</v>
      </c>
      <c r="D4360" s="308">
        <f>IFERROR(__xludf.DUMMYFUNCTION("SPLIT(C4360,""-"")"),4380.0)</f>
        <v>4380</v>
      </c>
      <c r="E4360" s="308" t="str">
        <f>IFERROR(__xludf.DUMMYFUNCTION("""COMPUTED_VALUE"""),"P")</f>
        <v>P</v>
      </c>
      <c r="F4360" s="312" t="s">
        <v>37</v>
      </c>
      <c r="G4360" s="308"/>
      <c r="H4360" s="308" t="s">
        <v>17645</v>
      </c>
      <c r="I4360" s="314">
        <v>41995.0</v>
      </c>
      <c r="J4360" s="319">
        <f>IFERROR(__xludf.DUMMYFUNCTION("SPLIT(I4360,""/"")"),22.0)</f>
        <v>22</v>
      </c>
      <c r="K4360" s="308">
        <f>IFERROR(__xludf.DUMMYFUNCTION("""COMPUTED_VALUE"""),12.0)</f>
        <v>12</v>
      </c>
      <c r="L4360" s="308">
        <f>IFERROR(__xludf.DUMMYFUNCTION("""COMPUTED_VALUE"""),2014.0)</f>
        <v>2014</v>
      </c>
      <c r="M4360" s="308" t="s">
        <v>17646</v>
      </c>
      <c r="N4360" s="308"/>
      <c r="O4360" s="308"/>
      <c r="P4360" s="308" t="s">
        <v>37618</v>
      </c>
      <c r="Q4360" s="308" t="s">
        <v>37619</v>
      </c>
      <c r="R4360" s="308" t="s">
        <v>2743</v>
      </c>
      <c r="S4360" s="308" t="s">
        <v>81</v>
      </c>
      <c r="T4360" s="308" t="s">
        <v>34264</v>
      </c>
      <c r="U4360" s="308" t="s">
        <v>2291</v>
      </c>
      <c r="V4360" s="312"/>
    </row>
    <row r="4361">
      <c r="A4361" s="308">
        <v>4360.0</v>
      </c>
      <c r="B4361" s="308"/>
      <c r="C4361" s="308" t="s">
        <v>17648</v>
      </c>
      <c r="D4361" s="308">
        <f>IFERROR(__xludf.DUMMYFUNCTION("SPLIT(C4361,""-"")"),4381.0)</f>
        <v>4381</v>
      </c>
      <c r="E4361" s="308" t="str">
        <f>IFERROR(__xludf.DUMMYFUNCTION("""COMPUTED_VALUE"""),"K")</f>
        <v>K</v>
      </c>
      <c r="F4361" s="309" t="s">
        <v>34</v>
      </c>
      <c r="G4361" s="308"/>
      <c r="H4361" s="308" t="s">
        <v>17649</v>
      </c>
      <c r="I4361" s="314">
        <v>41941.0</v>
      </c>
      <c r="J4361" s="319">
        <f>IFERROR(__xludf.DUMMYFUNCTION("SPLIT(I4361,""/"")"),29.0)</f>
        <v>29</v>
      </c>
      <c r="K4361" s="308">
        <f>IFERROR(__xludf.DUMMYFUNCTION("""COMPUTED_VALUE"""),10.0)</f>
        <v>10</v>
      </c>
      <c r="L4361" s="308">
        <f>IFERROR(__xludf.DUMMYFUNCTION("""COMPUTED_VALUE"""),2014.0)</f>
        <v>2014</v>
      </c>
      <c r="M4361" s="308" t="s">
        <v>17650</v>
      </c>
      <c r="N4361" s="308"/>
      <c r="O4361" s="308" t="s">
        <v>17651</v>
      </c>
      <c r="P4361" s="308" t="s">
        <v>2872</v>
      </c>
      <c r="Q4361" s="308" t="s">
        <v>37619</v>
      </c>
      <c r="R4361" s="308" t="s">
        <v>2743</v>
      </c>
      <c r="S4361" s="315" t="s">
        <v>100</v>
      </c>
      <c r="T4361" s="311" t="s">
        <v>34208</v>
      </c>
      <c r="U4361" s="308" t="s">
        <v>125</v>
      </c>
      <c r="V4361" s="312"/>
    </row>
    <row r="4362">
      <c r="A4362" s="308">
        <v>4361.0</v>
      </c>
      <c r="B4362" s="308"/>
      <c r="C4362" s="308" t="s">
        <v>17652</v>
      </c>
      <c r="D4362" s="308">
        <f>IFERROR(__xludf.DUMMYFUNCTION("SPLIT(C4362,""-"")"),4382.0)</f>
        <v>4382</v>
      </c>
      <c r="E4362" s="308" t="str">
        <f>IFERROR(__xludf.DUMMYFUNCTION("""COMPUTED_VALUE"""),"S")</f>
        <v>S</v>
      </c>
      <c r="F4362" s="312" t="s">
        <v>39</v>
      </c>
      <c r="G4362" s="308"/>
      <c r="H4362" s="308" t="s">
        <v>17653</v>
      </c>
      <c r="I4362" s="310">
        <v>42681.0</v>
      </c>
      <c r="J4362" s="319">
        <f>IFERROR(__xludf.DUMMYFUNCTION("SPLIT(I4362,""/"")"),7.0)</f>
        <v>7</v>
      </c>
      <c r="K4362" s="308">
        <f>IFERROR(__xludf.DUMMYFUNCTION("""COMPUTED_VALUE"""),11.0)</f>
        <v>11</v>
      </c>
      <c r="L4362" s="308">
        <f>IFERROR(__xludf.DUMMYFUNCTION("""COMPUTED_VALUE"""),2016.0)</f>
        <v>2016</v>
      </c>
      <c r="M4362" s="308" t="s">
        <v>17654</v>
      </c>
      <c r="N4362" s="308"/>
      <c r="O4362" s="308"/>
      <c r="P4362" s="308"/>
      <c r="Q4362" s="308" t="s">
        <v>37619</v>
      </c>
      <c r="R4362" s="308" t="s">
        <v>2743</v>
      </c>
      <c r="S4362" s="308" t="s">
        <v>79</v>
      </c>
      <c r="T4362" s="308" t="s">
        <v>79</v>
      </c>
      <c r="U4362" s="308" t="s">
        <v>40</v>
      </c>
      <c r="V4362" s="312"/>
    </row>
    <row r="4363">
      <c r="A4363" s="308">
        <v>4362.0</v>
      </c>
      <c r="B4363" s="308"/>
      <c r="C4363" s="308" t="s">
        <v>17655</v>
      </c>
      <c r="D4363" s="308">
        <f>IFERROR(__xludf.DUMMYFUNCTION("SPLIT(C4363,""-"")"),4383.0)</f>
        <v>4383</v>
      </c>
      <c r="E4363" s="308" t="str">
        <f>IFERROR(__xludf.DUMMYFUNCTION("""COMPUTED_VALUE"""),"K")</f>
        <v>K</v>
      </c>
      <c r="F4363" s="309" t="s">
        <v>34</v>
      </c>
      <c r="G4363" s="308"/>
      <c r="H4363" s="308" t="s">
        <v>17656</v>
      </c>
      <c r="I4363" s="310">
        <v>39630.0</v>
      </c>
      <c r="J4363" s="319">
        <f>IFERROR(__xludf.DUMMYFUNCTION("SPLIT(I4363,""/"")"),1.0)</f>
        <v>1</v>
      </c>
      <c r="K4363" s="308">
        <f>IFERROR(__xludf.DUMMYFUNCTION("""COMPUTED_VALUE"""),7.0)</f>
        <v>7</v>
      </c>
      <c r="L4363" s="308">
        <f>IFERROR(__xludf.DUMMYFUNCTION("""COMPUTED_VALUE"""),2008.0)</f>
        <v>2008</v>
      </c>
      <c r="M4363" s="308" t="s">
        <v>17657</v>
      </c>
      <c r="N4363" s="308"/>
      <c r="O4363" s="308"/>
      <c r="P4363" s="308" t="s">
        <v>37620</v>
      </c>
      <c r="Q4363" s="308" t="s">
        <v>37619</v>
      </c>
      <c r="R4363" s="308" t="s">
        <v>2743</v>
      </c>
      <c r="S4363" s="308" t="s">
        <v>81</v>
      </c>
      <c r="T4363" s="308" t="s">
        <v>34264</v>
      </c>
      <c r="U4363" s="308" t="s">
        <v>530</v>
      </c>
      <c r="V4363" s="312"/>
    </row>
    <row r="4364">
      <c r="A4364" s="308">
        <v>4363.0</v>
      </c>
      <c r="B4364" s="308"/>
      <c r="C4364" s="308" t="s">
        <v>17659</v>
      </c>
      <c r="D4364" s="308">
        <f>IFERROR(__xludf.DUMMYFUNCTION("SPLIT(C4364,""-"")"),4384.0)</f>
        <v>4384</v>
      </c>
      <c r="E4364" s="308" t="str">
        <f>IFERROR(__xludf.DUMMYFUNCTION("""COMPUTED_VALUE"""),"P")</f>
        <v>P</v>
      </c>
      <c r="F4364" s="312" t="s">
        <v>37</v>
      </c>
      <c r="G4364" s="308"/>
      <c r="H4364" s="308" t="s">
        <v>17660</v>
      </c>
      <c r="I4364" s="314">
        <v>42732.0</v>
      </c>
      <c r="J4364" s="319">
        <f>IFERROR(__xludf.DUMMYFUNCTION("SPLIT(I4364,""/"")"),28.0)</f>
        <v>28</v>
      </c>
      <c r="K4364" s="308">
        <f>IFERROR(__xludf.DUMMYFUNCTION("""COMPUTED_VALUE"""),12.0)</f>
        <v>12</v>
      </c>
      <c r="L4364" s="308">
        <f>IFERROR(__xludf.DUMMYFUNCTION("""COMPUTED_VALUE"""),2016.0)</f>
        <v>2016</v>
      </c>
      <c r="M4364" s="308" t="s">
        <v>17661</v>
      </c>
      <c r="N4364" s="308"/>
      <c r="O4364" s="308"/>
      <c r="P4364" s="308" t="s">
        <v>37621</v>
      </c>
      <c r="Q4364" s="308" t="s">
        <v>37622</v>
      </c>
      <c r="R4364" s="308" t="s">
        <v>2743</v>
      </c>
      <c r="S4364" s="308" t="s">
        <v>81</v>
      </c>
      <c r="T4364" s="311" t="s">
        <v>96</v>
      </c>
      <c r="U4364" s="308" t="s">
        <v>143</v>
      </c>
      <c r="V4364" s="312"/>
    </row>
    <row r="4365">
      <c r="A4365" s="308">
        <v>4364.0</v>
      </c>
      <c r="B4365" s="308"/>
      <c r="C4365" s="308" t="s">
        <v>17663</v>
      </c>
      <c r="D4365" s="308">
        <f>IFERROR(__xludf.DUMMYFUNCTION("SPLIT(C4365,""-"")"),4385.0)</f>
        <v>4385</v>
      </c>
      <c r="E4365" s="308" t="str">
        <f>IFERROR(__xludf.DUMMYFUNCTION("""COMPUTED_VALUE"""),"K")</f>
        <v>K</v>
      </c>
      <c r="F4365" s="309" t="s">
        <v>34</v>
      </c>
      <c r="G4365" s="308"/>
      <c r="H4365" s="308" t="s">
        <v>17664</v>
      </c>
      <c r="I4365" s="310">
        <v>39995.0</v>
      </c>
      <c r="J4365" s="319">
        <f>IFERROR(__xludf.DUMMYFUNCTION("SPLIT(I4365,""/"")"),1.0)</f>
        <v>1</v>
      </c>
      <c r="K4365" s="308">
        <f>IFERROR(__xludf.DUMMYFUNCTION("""COMPUTED_VALUE"""),7.0)</f>
        <v>7</v>
      </c>
      <c r="L4365" s="308">
        <f>IFERROR(__xludf.DUMMYFUNCTION("""COMPUTED_VALUE"""),2009.0)</f>
        <v>2009</v>
      </c>
      <c r="M4365" s="308" t="s">
        <v>17665</v>
      </c>
      <c r="N4365" s="308"/>
      <c r="O4365" s="308"/>
      <c r="P4365" s="308" t="s">
        <v>17666</v>
      </c>
      <c r="Q4365" s="308" t="s">
        <v>37619</v>
      </c>
      <c r="R4365" s="308" t="s">
        <v>2743</v>
      </c>
      <c r="S4365" s="308" t="s">
        <v>81</v>
      </c>
      <c r="T4365" s="308" t="s">
        <v>34264</v>
      </c>
      <c r="U4365" s="308" t="s">
        <v>530</v>
      </c>
      <c r="V4365" s="312"/>
    </row>
    <row r="4366">
      <c r="A4366" s="308">
        <v>4365.0</v>
      </c>
      <c r="B4366" s="308"/>
      <c r="C4366" s="308" t="s">
        <v>17667</v>
      </c>
      <c r="D4366" s="308">
        <f>IFERROR(__xludf.DUMMYFUNCTION("SPLIT(C4366,""-"")"),4386.0)</f>
        <v>4386</v>
      </c>
      <c r="E4366" s="308" t="str">
        <f>IFERROR(__xludf.DUMMYFUNCTION("""COMPUTED_VALUE"""),"K")</f>
        <v>K</v>
      </c>
      <c r="F4366" s="309" t="s">
        <v>34</v>
      </c>
      <c r="G4366" s="308"/>
      <c r="H4366" s="308" t="s">
        <v>17668</v>
      </c>
      <c r="I4366" s="310">
        <v>43010.0</v>
      </c>
      <c r="J4366" s="319" t="str">
        <f>IFERROR(__xludf.DUMMYFUNCTION("SPLIT(I4366,""/"")"),"#REF!")</f>
        <v>#REF!</v>
      </c>
      <c r="K4366" s="308"/>
      <c r="L4366" s="308">
        <v>2017.0</v>
      </c>
      <c r="M4366" s="308" t="s">
        <v>37623</v>
      </c>
      <c r="N4366" s="308"/>
      <c r="O4366" s="308"/>
      <c r="P4366" s="308" t="s">
        <v>37624</v>
      </c>
      <c r="Q4366" s="308" t="s">
        <v>37625</v>
      </c>
      <c r="R4366" s="308" t="s">
        <v>2743</v>
      </c>
      <c r="S4366" s="308" t="s">
        <v>81</v>
      </c>
      <c r="T4366" s="308" t="s">
        <v>75</v>
      </c>
      <c r="U4366" s="308" t="s">
        <v>125</v>
      </c>
      <c r="V4366" s="312"/>
    </row>
    <row r="4367">
      <c r="A4367" s="308">
        <v>4366.0</v>
      </c>
      <c r="B4367" s="308"/>
      <c r="C4367" s="308" t="s">
        <v>17671</v>
      </c>
      <c r="D4367" s="308">
        <f>IFERROR(__xludf.DUMMYFUNCTION("SPLIT(C4367,""-"")"),4387.0)</f>
        <v>4387</v>
      </c>
      <c r="E4367" s="308" t="str">
        <f>IFERROR(__xludf.DUMMYFUNCTION("""COMPUTED_VALUE"""),"K")</f>
        <v>K</v>
      </c>
      <c r="F4367" s="309" t="s">
        <v>34</v>
      </c>
      <c r="G4367" s="308"/>
      <c r="H4367" s="308" t="s">
        <v>17672</v>
      </c>
      <c r="I4367" s="310">
        <v>42928.0</v>
      </c>
      <c r="J4367" s="319" t="str">
        <f>IFERROR(__xludf.DUMMYFUNCTION("SPLIT(I4367,""/"")"),"#REF!")</f>
        <v>#REF!</v>
      </c>
      <c r="K4367" s="308"/>
      <c r="L4367" s="308">
        <v>2017.0</v>
      </c>
      <c r="M4367" s="308" t="s">
        <v>17673</v>
      </c>
      <c r="N4367" s="308"/>
      <c r="O4367" s="308"/>
      <c r="P4367" s="308" t="s">
        <v>37626</v>
      </c>
      <c r="Q4367" s="308" t="s">
        <v>37627</v>
      </c>
      <c r="R4367" s="308" t="s">
        <v>2743</v>
      </c>
      <c r="S4367" s="308" t="s">
        <v>81</v>
      </c>
      <c r="T4367" s="308" t="s">
        <v>75</v>
      </c>
      <c r="U4367" s="308" t="s">
        <v>542</v>
      </c>
      <c r="V4367" s="312"/>
    </row>
    <row r="4368">
      <c r="A4368" s="308">
        <v>4367.0</v>
      </c>
      <c r="B4368" s="308"/>
      <c r="C4368" s="308" t="s">
        <v>17675</v>
      </c>
      <c r="D4368" s="308">
        <f>IFERROR(__xludf.DUMMYFUNCTION("SPLIT(C4368,""-"")"),4388.0)</f>
        <v>4388</v>
      </c>
      <c r="E4368" s="308" t="str">
        <f>IFERROR(__xludf.DUMMYFUNCTION("""COMPUTED_VALUE"""),"K")</f>
        <v>K</v>
      </c>
      <c r="F4368" s="309" t="s">
        <v>34</v>
      </c>
      <c r="G4368" s="308"/>
      <c r="H4368" s="308" t="s">
        <v>17676</v>
      </c>
      <c r="I4368" s="310">
        <v>42928.0</v>
      </c>
      <c r="J4368" s="319" t="str">
        <f>IFERROR(__xludf.DUMMYFUNCTION("SPLIT(I4368,""/"")"),"#REF!")</f>
        <v>#REF!</v>
      </c>
      <c r="K4368" s="308"/>
      <c r="L4368" s="308">
        <v>2017.0</v>
      </c>
      <c r="M4368" s="308" t="s">
        <v>17673</v>
      </c>
      <c r="N4368" s="308"/>
      <c r="O4368" s="308"/>
      <c r="P4368" s="308" t="s">
        <v>37626</v>
      </c>
      <c r="Q4368" s="308" t="s">
        <v>37627</v>
      </c>
      <c r="R4368" s="308" t="s">
        <v>2743</v>
      </c>
      <c r="S4368" s="308" t="s">
        <v>81</v>
      </c>
      <c r="T4368" s="308" t="s">
        <v>75</v>
      </c>
      <c r="U4368" s="308" t="s">
        <v>542</v>
      </c>
      <c r="V4368" s="312"/>
    </row>
    <row r="4369">
      <c r="A4369" s="308">
        <v>4368.0</v>
      </c>
      <c r="B4369" s="308"/>
      <c r="C4369" s="308" t="s">
        <v>17677</v>
      </c>
      <c r="D4369" s="308">
        <f>IFERROR(__xludf.DUMMYFUNCTION("SPLIT(C4369,""-"")"),4389.0)</f>
        <v>4389</v>
      </c>
      <c r="E4369" s="308" t="str">
        <f>IFERROR(__xludf.DUMMYFUNCTION("""COMPUTED_VALUE"""),"I")</f>
        <v>I</v>
      </c>
      <c r="F4369" s="309" t="s">
        <v>31</v>
      </c>
      <c r="G4369" s="308"/>
      <c r="H4369" s="308" t="s">
        <v>17678</v>
      </c>
      <c r="I4369" s="314">
        <v>43018.0</v>
      </c>
      <c r="J4369" s="319">
        <f>IFERROR(__xludf.DUMMYFUNCTION("SPLIT(I4369,""/"")"),10.0)</f>
        <v>10</v>
      </c>
      <c r="K4369" s="308">
        <f>IFERROR(__xludf.DUMMYFUNCTION("""COMPUTED_VALUE"""),10.0)</f>
        <v>10</v>
      </c>
      <c r="L4369" s="308">
        <f>IFERROR(__xludf.DUMMYFUNCTION("""COMPUTED_VALUE"""),2017.0)</f>
        <v>2017</v>
      </c>
      <c r="M4369" s="308" t="s">
        <v>17679</v>
      </c>
      <c r="N4369" s="308"/>
      <c r="O4369" s="308" t="s">
        <v>17680</v>
      </c>
      <c r="P4369" s="308" t="s">
        <v>17681</v>
      </c>
      <c r="Q4369" s="308" t="s">
        <v>37627</v>
      </c>
      <c r="R4369" s="308" t="s">
        <v>2743</v>
      </c>
      <c r="S4369" s="308" t="s">
        <v>81</v>
      </c>
      <c r="T4369" s="308" t="s">
        <v>75</v>
      </c>
      <c r="U4369" s="308" t="s">
        <v>31</v>
      </c>
      <c r="V4369" s="312"/>
    </row>
    <row r="4370">
      <c r="A4370" s="308">
        <v>4369.0</v>
      </c>
      <c r="B4370" s="308"/>
      <c r="C4370" s="308" t="s">
        <v>17682</v>
      </c>
      <c r="D4370" s="308">
        <f>IFERROR(__xludf.DUMMYFUNCTION("SPLIT(C4370,""-"")"),4390.0)</f>
        <v>4390</v>
      </c>
      <c r="E4370" s="308" t="str">
        <f>IFERROR(__xludf.DUMMYFUNCTION("""COMPUTED_VALUE"""),"P")</f>
        <v>P</v>
      </c>
      <c r="F4370" s="312" t="s">
        <v>37</v>
      </c>
      <c r="G4370" s="308"/>
      <c r="H4370" s="308" t="s">
        <v>17683</v>
      </c>
      <c r="I4370" s="310">
        <v>43013.0</v>
      </c>
      <c r="J4370" s="319">
        <f>IFERROR(__xludf.DUMMYFUNCTION("SPLIT(I4370,""/"")"),5.0)</f>
        <v>5</v>
      </c>
      <c r="K4370" s="308">
        <f>IFERROR(__xludf.DUMMYFUNCTION("""COMPUTED_VALUE"""),10.0)</f>
        <v>10</v>
      </c>
      <c r="L4370" s="308">
        <f>IFERROR(__xludf.DUMMYFUNCTION("""COMPUTED_VALUE"""),2017.0)</f>
        <v>2017</v>
      </c>
      <c r="M4370" s="308" t="s">
        <v>17684</v>
      </c>
      <c r="N4370" s="308"/>
      <c r="O4370" s="308" t="s">
        <v>37628</v>
      </c>
      <c r="P4370" s="308" t="s">
        <v>37629</v>
      </c>
      <c r="Q4370" s="308" t="s">
        <v>37627</v>
      </c>
      <c r="R4370" s="308" t="s">
        <v>2743</v>
      </c>
      <c r="S4370" s="308" t="s">
        <v>81</v>
      </c>
      <c r="T4370" s="308" t="s">
        <v>75</v>
      </c>
      <c r="U4370" s="308" t="s">
        <v>5707</v>
      </c>
      <c r="V4370" s="312"/>
    </row>
    <row r="4371">
      <c r="A4371" s="308">
        <v>4370.0</v>
      </c>
      <c r="B4371" s="308"/>
      <c r="C4371" s="308" t="s">
        <v>17687</v>
      </c>
      <c r="D4371" s="308">
        <f>IFERROR(__xludf.DUMMYFUNCTION("SPLIT(C4371,""-"")"),4391.0)</f>
        <v>4391</v>
      </c>
      <c r="E4371" s="308" t="str">
        <f>IFERROR(__xludf.DUMMYFUNCTION("""COMPUTED_VALUE"""),"K")</f>
        <v>K</v>
      </c>
      <c r="F4371" s="309" t="s">
        <v>34</v>
      </c>
      <c r="G4371" s="308"/>
      <c r="H4371" s="308" t="s">
        <v>17688</v>
      </c>
      <c r="I4371" s="310">
        <v>42917.0</v>
      </c>
      <c r="J4371" s="319" t="str">
        <f>IFERROR(__xludf.DUMMYFUNCTION("SPLIT(I4371,""/"")"),"#REF!")</f>
        <v>#REF!</v>
      </c>
      <c r="K4371" s="308"/>
      <c r="L4371" s="308">
        <v>2017.0</v>
      </c>
      <c r="M4371" s="308" t="s">
        <v>17689</v>
      </c>
      <c r="N4371" s="308"/>
      <c r="O4371" s="308"/>
      <c r="P4371" s="308" t="s">
        <v>37630</v>
      </c>
      <c r="Q4371" s="308" t="s">
        <v>37627</v>
      </c>
      <c r="R4371" s="308" t="s">
        <v>2743</v>
      </c>
      <c r="S4371" s="308" t="s">
        <v>81</v>
      </c>
      <c r="T4371" s="308" t="s">
        <v>75</v>
      </c>
      <c r="U4371" s="308" t="s">
        <v>542</v>
      </c>
      <c r="V4371" s="312"/>
    </row>
    <row r="4372">
      <c r="A4372" s="308">
        <v>4371.0</v>
      </c>
      <c r="B4372" s="308"/>
      <c r="C4372" s="308" t="s">
        <v>17691</v>
      </c>
      <c r="D4372" s="308">
        <f>IFERROR(__xludf.DUMMYFUNCTION("SPLIT(C4372,""-"")"),4392.0)</f>
        <v>4392</v>
      </c>
      <c r="E4372" s="308" t="str">
        <f>IFERROR(__xludf.DUMMYFUNCTION("""COMPUTED_VALUE"""),"P")</f>
        <v>P</v>
      </c>
      <c r="F4372" s="312" t="s">
        <v>37</v>
      </c>
      <c r="G4372" s="308"/>
      <c r="H4372" s="308" t="s">
        <v>17692</v>
      </c>
      <c r="I4372" s="310">
        <v>42965.0</v>
      </c>
      <c r="J4372" s="319">
        <f>IFERROR(__xludf.DUMMYFUNCTION("SPLIT(I4372,""/"")"),18.0)</f>
        <v>18</v>
      </c>
      <c r="K4372" s="308">
        <f>IFERROR(__xludf.DUMMYFUNCTION("""COMPUTED_VALUE"""),8.0)</f>
        <v>8</v>
      </c>
      <c r="L4372" s="308">
        <f>IFERROR(__xludf.DUMMYFUNCTION("""COMPUTED_VALUE"""),2017.0)</f>
        <v>2017</v>
      </c>
      <c r="M4372" s="308" t="s">
        <v>17693</v>
      </c>
      <c r="N4372" s="308"/>
      <c r="O4372" s="308"/>
      <c r="P4372" s="308" t="s">
        <v>17694</v>
      </c>
      <c r="Q4372" s="308" t="s">
        <v>37627</v>
      </c>
      <c r="R4372" s="308" t="s">
        <v>2743</v>
      </c>
      <c r="S4372" s="308" t="s">
        <v>81</v>
      </c>
      <c r="T4372" s="308" t="s">
        <v>73</v>
      </c>
      <c r="U4372" s="308" t="s">
        <v>143</v>
      </c>
      <c r="V4372" s="312"/>
    </row>
    <row r="4373">
      <c r="A4373" s="308">
        <v>4372.0</v>
      </c>
      <c r="B4373" s="308"/>
      <c r="C4373" s="308" t="s">
        <v>17695</v>
      </c>
      <c r="D4373" s="308">
        <f>IFERROR(__xludf.DUMMYFUNCTION("SPLIT(C4373,""-"")"),4393.0)</f>
        <v>4393</v>
      </c>
      <c r="E4373" s="308" t="str">
        <f>IFERROR(__xludf.DUMMYFUNCTION("""COMPUTED_VALUE"""),"I")</f>
        <v>I</v>
      </c>
      <c r="F4373" s="309" t="s">
        <v>31</v>
      </c>
      <c r="G4373" s="308"/>
      <c r="H4373" s="308" t="s">
        <v>17696</v>
      </c>
      <c r="I4373" s="310">
        <v>42502.0</v>
      </c>
      <c r="J4373" s="319">
        <f>IFERROR(__xludf.DUMMYFUNCTION("SPLIT(I4373,""/"")"),12.0)</f>
        <v>12</v>
      </c>
      <c r="K4373" s="308">
        <f>IFERROR(__xludf.DUMMYFUNCTION("""COMPUTED_VALUE"""),5.0)</f>
        <v>5</v>
      </c>
      <c r="L4373" s="308">
        <f>IFERROR(__xludf.DUMMYFUNCTION("""COMPUTED_VALUE"""),2016.0)</f>
        <v>2016</v>
      </c>
      <c r="M4373" s="308" t="s">
        <v>17697</v>
      </c>
      <c r="N4373" s="308"/>
      <c r="O4373" s="308"/>
      <c r="P4373" s="308" t="s">
        <v>17698</v>
      </c>
      <c r="Q4373" s="308" t="s">
        <v>37627</v>
      </c>
      <c r="R4373" s="308" t="s">
        <v>2743</v>
      </c>
      <c r="S4373" s="308" t="s">
        <v>81</v>
      </c>
      <c r="T4373" s="308" t="s">
        <v>73</v>
      </c>
      <c r="U4373" s="308" t="s">
        <v>31</v>
      </c>
      <c r="V4373" s="312"/>
    </row>
    <row r="4374">
      <c r="A4374" s="308">
        <v>4373.0</v>
      </c>
      <c r="B4374" s="308"/>
      <c r="C4374" s="308" t="s">
        <v>17699</v>
      </c>
      <c r="D4374" s="308">
        <f>IFERROR(__xludf.DUMMYFUNCTION("SPLIT(C4374,""-"")"),4394.0)</f>
        <v>4394</v>
      </c>
      <c r="E4374" s="308" t="str">
        <f>IFERROR(__xludf.DUMMYFUNCTION("""COMPUTED_VALUE"""),"K")</f>
        <v>K</v>
      </c>
      <c r="F4374" s="309" t="s">
        <v>34</v>
      </c>
      <c r="G4374" s="308"/>
      <c r="H4374" s="308" t="s">
        <v>17700</v>
      </c>
      <c r="I4374" s="310">
        <v>41097.0</v>
      </c>
      <c r="J4374" s="319">
        <f>IFERROR(__xludf.DUMMYFUNCTION("SPLIT(I4374,""/"")"),7.0)</f>
        <v>7</v>
      </c>
      <c r="K4374" s="308">
        <f>IFERROR(__xludf.DUMMYFUNCTION("""COMPUTED_VALUE"""),7.0)</f>
        <v>7</v>
      </c>
      <c r="L4374" s="308">
        <f>IFERROR(__xludf.DUMMYFUNCTION("""COMPUTED_VALUE"""),2012.0)</f>
        <v>2012</v>
      </c>
      <c r="M4374" s="308" t="s">
        <v>17701</v>
      </c>
      <c r="N4374" s="308"/>
      <c r="O4374" s="308"/>
      <c r="P4374" s="308" t="s">
        <v>2872</v>
      </c>
      <c r="Q4374" s="308" t="s">
        <v>37627</v>
      </c>
      <c r="R4374" s="308" t="s">
        <v>2743</v>
      </c>
      <c r="S4374" s="315" t="s">
        <v>100</v>
      </c>
      <c r="T4374" s="311" t="s">
        <v>34208</v>
      </c>
      <c r="U4374" s="308" t="s">
        <v>125</v>
      </c>
      <c r="V4374" s="312"/>
    </row>
    <row r="4375">
      <c r="A4375" s="308">
        <v>4374.0</v>
      </c>
      <c r="B4375" s="308"/>
      <c r="C4375" s="308" t="s">
        <v>17702</v>
      </c>
      <c r="D4375" s="308">
        <f>IFERROR(__xludf.DUMMYFUNCTION("SPLIT(C4375,""-"")"),4395.0)</f>
        <v>4395</v>
      </c>
      <c r="E4375" s="308" t="str">
        <f>IFERROR(__xludf.DUMMYFUNCTION("""COMPUTED_VALUE"""),"K")</f>
        <v>K</v>
      </c>
      <c r="F4375" s="309" t="s">
        <v>34</v>
      </c>
      <c r="G4375" s="308"/>
      <c r="H4375" s="308" t="s">
        <v>17703</v>
      </c>
      <c r="I4375" s="310">
        <v>39995.0</v>
      </c>
      <c r="J4375" s="319">
        <f>IFERROR(__xludf.DUMMYFUNCTION("SPLIT(I4375,""/"")"),1.0)</f>
        <v>1</v>
      </c>
      <c r="K4375" s="308">
        <f>IFERROR(__xludf.DUMMYFUNCTION("""COMPUTED_VALUE"""),7.0)</f>
        <v>7</v>
      </c>
      <c r="L4375" s="308">
        <f>IFERROR(__xludf.DUMMYFUNCTION("""COMPUTED_VALUE"""),2009.0)</f>
        <v>2009</v>
      </c>
      <c r="M4375" s="308" t="s">
        <v>17704</v>
      </c>
      <c r="N4375" s="308"/>
      <c r="O4375" s="308"/>
      <c r="P4375" s="308" t="s">
        <v>1872</v>
      </c>
      <c r="Q4375" s="308" t="s">
        <v>37631</v>
      </c>
      <c r="R4375" s="308" t="s">
        <v>2743</v>
      </c>
      <c r="S4375" s="315" t="s">
        <v>100</v>
      </c>
      <c r="T4375" s="311" t="s">
        <v>34208</v>
      </c>
      <c r="U4375" s="308" t="s">
        <v>530</v>
      </c>
      <c r="V4375" s="312"/>
    </row>
    <row r="4376">
      <c r="A4376" s="308">
        <v>4375.0</v>
      </c>
      <c r="B4376" s="308"/>
      <c r="C4376" s="308" t="s">
        <v>17705</v>
      </c>
      <c r="D4376" s="308">
        <f>IFERROR(__xludf.DUMMYFUNCTION("SPLIT(C4376,""-"")"),4396.0)</f>
        <v>4396</v>
      </c>
      <c r="E4376" s="308" t="str">
        <f>IFERROR(__xludf.DUMMYFUNCTION("""COMPUTED_VALUE"""),"K")</f>
        <v>K</v>
      </c>
      <c r="F4376" s="309" t="s">
        <v>34</v>
      </c>
      <c r="G4376" s="308"/>
      <c r="H4376" s="308" t="s">
        <v>17706</v>
      </c>
      <c r="I4376" s="314">
        <v>41225.0</v>
      </c>
      <c r="J4376" s="319">
        <f>IFERROR(__xludf.DUMMYFUNCTION("SPLIT(I4376,""/"")"),12.0)</f>
        <v>12</v>
      </c>
      <c r="K4376" s="308">
        <f>IFERROR(__xludf.DUMMYFUNCTION("""COMPUTED_VALUE"""),11.0)</f>
        <v>11</v>
      </c>
      <c r="L4376" s="308">
        <f>IFERROR(__xludf.DUMMYFUNCTION("""COMPUTED_VALUE"""),2012.0)</f>
        <v>2012</v>
      </c>
      <c r="M4376" s="308" t="s">
        <v>17707</v>
      </c>
      <c r="N4376" s="308"/>
      <c r="O4376" s="308"/>
      <c r="P4376" s="308" t="s">
        <v>6381</v>
      </c>
      <c r="Q4376" s="308" t="s">
        <v>37631</v>
      </c>
      <c r="R4376" s="308" t="s">
        <v>2743</v>
      </c>
      <c r="S4376" s="315" t="s">
        <v>100</v>
      </c>
      <c r="T4376" s="311" t="s">
        <v>34208</v>
      </c>
      <c r="U4376" s="308" t="s">
        <v>201</v>
      </c>
      <c r="V4376" s="312"/>
    </row>
    <row r="4377">
      <c r="A4377" s="308">
        <v>4376.0</v>
      </c>
      <c r="B4377" s="308"/>
      <c r="C4377" s="308" t="s">
        <v>17708</v>
      </c>
      <c r="D4377" s="308">
        <f>IFERROR(__xludf.DUMMYFUNCTION("SPLIT(C4377,""-"")"),4397.0)</f>
        <v>4397</v>
      </c>
      <c r="E4377" s="308" t="str">
        <f>IFERROR(__xludf.DUMMYFUNCTION("""COMPUTED_VALUE"""),"F")</f>
        <v>F</v>
      </c>
      <c r="F4377" s="309" t="s">
        <v>34</v>
      </c>
      <c r="G4377" s="308"/>
      <c r="H4377" s="308" t="s">
        <v>17709</v>
      </c>
      <c r="I4377" s="310">
        <v>41640.0</v>
      </c>
      <c r="J4377" s="319">
        <f>IFERROR(__xludf.DUMMYFUNCTION("SPLIT(I4377,""/"")"),1.0)</f>
        <v>1</v>
      </c>
      <c r="K4377" s="308">
        <f>IFERROR(__xludf.DUMMYFUNCTION("""COMPUTED_VALUE"""),1.0)</f>
        <v>1</v>
      </c>
      <c r="L4377" s="308">
        <f>IFERROR(__xludf.DUMMYFUNCTION("""COMPUTED_VALUE"""),2014.0)</f>
        <v>2014</v>
      </c>
      <c r="M4377" s="308" t="s">
        <v>17710</v>
      </c>
      <c r="N4377" s="308" t="s">
        <v>439</v>
      </c>
      <c r="O4377" s="308"/>
      <c r="P4377" s="308" t="s">
        <v>6393</v>
      </c>
      <c r="Q4377" s="308" t="s">
        <v>37631</v>
      </c>
      <c r="R4377" s="308" t="s">
        <v>2743</v>
      </c>
      <c r="S4377" s="315" t="s">
        <v>100</v>
      </c>
      <c r="T4377" s="311" t="s">
        <v>34208</v>
      </c>
      <c r="U4377" s="308" t="s">
        <v>13085</v>
      </c>
      <c r="V4377" s="312"/>
    </row>
    <row r="4378">
      <c r="A4378" s="308">
        <v>4377.0</v>
      </c>
      <c r="B4378" s="308"/>
      <c r="C4378" s="308" t="s">
        <v>17711</v>
      </c>
      <c r="D4378" s="308">
        <f>IFERROR(__xludf.DUMMYFUNCTION("SPLIT(C4378,""-"")"),4398.0)</f>
        <v>4398</v>
      </c>
      <c r="E4378" s="308" t="str">
        <f>IFERROR(__xludf.DUMMYFUNCTION("""COMPUTED_VALUE"""),"F")</f>
        <v>F</v>
      </c>
      <c r="F4378" s="309" t="s">
        <v>34</v>
      </c>
      <c r="G4378" s="308"/>
      <c r="H4378" s="308" t="s">
        <v>17712</v>
      </c>
      <c r="I4378" s="310">
        <v>42552.0</v>
      </c>
      <c r="J4378" s="319">
        <f>IFERROR(__xludf.DUMMYFUNCTION("SPLIT(I4378,""/"")"),1.0)</f>
        <v>1</v>
      </c>
      <c r="K4378" s="308">
        <f>IFERROR(__xludf.DUMMYFUNCTION("""COMPUTED_VALUE"""),7.0)</f>
        <v>7</v>
      </c>
      <c r="L4378" s="308">
        <f>IFERROR(__xludf.DUMMYFUNCTION("""COMPUTED_VALUE"""),2016.0)</f>
        <v>2016</v>
      </c>
      <c r="M4378" s="308" t="s">
        <v>37632</v>
      </c>
      <c r="N4378" s="308" t="s">
        <v>439</v>
      </c>
      <c r="O4378" s="308"/>
      <c r="P4378" s="308" t="s">
        <v>17714</v>
      </c>
      <c r="Q4378" s="308" t="s">
        <v>37631</v>
      </c>
      <c r="R4378" s="308" t="s">
        <v>2743</v>
      </c>
      <c r="S4378" s="308" t="s">
        <v>81</v>
      </c>
      <c r="T4378" s="308" t="s">
        <v>34264</v>
      </c>
      <c r="U4378" s="308" t="s">
        <v>195</v>
      </c>
      <c r="V4378" s="312"/>
    </row>
    <row r="4379">
      <c r="A4379" s="308">
        <v>4378.0</v>
      </c>
      <c r="B4379" s="308"/>
      <c r="C4379" s="308" t="s">
        <v>17715</v>
      </c>
      <c r="D4379" s="308">
        <f>IFERROR(__xludf.DUMMYFUNCTION("SPLIT(C4379,""-"")"),4399.0)</f>
        <v>4399</v>
      </c>
      <c r="E4379" s="308" t="str">
        <f>IFERROR(__xludf.DUMMYFUNCTION("""COMPUTED_VALUE"""),"F")</f>
        <v>F</v>
      </c>
      <c r="F4379" s="309" t="s">
        <v>34</v>
      </c>
      <c r="G4379" s="308"/>
      <c r="H4379" s="308" t="s">
        <v>17716</v>
      </c>
      <c r="I4379" s="310">
        <v>42552.0</v>
      </c>
      <c r="J4379" s="319">
        <f>IFERROR(__xludf.DUMMYFUNCTION("SPLIT(I4379,""/"")"),1.0)</f>
        <v>1</v>
      </c>
      <c r="K4379" s="308">
        <f>IFERROR(__xludf.DUMMYFUNCTION("""COMPUTED_VALUE"""),7.0)</f>
        <v>7</v>
      </c>
      <c r="L4379" s="308">
        <f>IFERROR(__xludf.DUMMYFUNCTION("""COMPUTED_VALUE"""),2016.0)</f>
        <v>2016</v>
      </c>
      <c r="M4379" s="308" t="s">
        <v>37633</v>
      </c>
      <c r="N4379" s="308" t="s">
        <v>439</v>
      </c>
      <c r="O4379" s="308"/>
      <c r="P4379" s="308" t="s">
        <v>6393</v>
      </c>
      <c r="Q4379" s="308" t="s">
        <v>37631</v>
      </c>
      <c r="R4379" s="308" t="s">
        <v>2743</v>
      </c>
      <c r="S4379" s="315" t="s">
        <v>100</v>
      </c>
      <c r="T4379" s="311" t="s">
        <v>34208</v>
      </c>
      <c r="U4379" s="308" t="s">
        <v>195</v>
      </c>
      <c r="V4379" s="312"/>
    </row>
    <row r="4380">
      <c r="A4380" s="308">
        <v>4379.0</v>
      </c>
      <c r="B4380" s="308"/>
      <c r="C4380" s="308" t="s">
        <v>17718</v>
      </c>
      <c r="D4380" s="308">
        <f>IFERROR(__xludf.DUMMYFUNCTION("SPLIT(C4380,""-"")"),4400.0)</f>
        <v>4400</v>
      </c>
      <c r="E4380" s="308" t="str">
        <f>IFERROR(__xludf.DUMMYFUNCTION("""COMPUTED_VALUE"""),"K")</f>
        <v>K</v>
      </c>
      <c r="F4380" s="309" t="s">
        <v>34</v>
      </c>
      <c r="G4380" s="308"/>
      <c r="H4380" s="308" t="s">
        <v>17719</v>
      </c>
      <c r="I4380" s="310">
        <v>42863.0</v>
      </c>
      <c r="J4380" s="319" t="str">
        <f>IFERROR(__xludf.DUMMYFUNCTION("SPLIT(I4380,""/"")"),"#REF!")</f>
        <v>#REF!</v>
      </c>
      <c r="K4380" s="308"/>
      <c r="L4380" s="308">
        <v>2017.0</v>
      </c>
      <c r="M4380" s="308" t="s">
        <v>17720</v>
      </c>
      <c r="N4380" s="308"/>
      <c r="O4380" s="308" t="s">
        <v>17721</v>
      </c>
      <c r="P4380" s="308" t="s">
        <v>37634</v>
      </c>
      <c r="Q4380" s="308" t="s">
        <v>37631</v>
      </c>
      <c r="R4380" s="308" t="s">
        <v>2743</v>
      </c>
      <c r="S4380" s="308" t="s">
        <v>81</v>
      </c>
      <c r="T4380" s="311" t="s">
        <v>96</v>
      </c>
      <c r="U4380" s="308" t="s">
        <v>368</v>
      </c>
      <c r="V4380" s="312"/>
    </row>
    <row r="4381">
      <c r="A4381" s="308">
        <v>4380.0</v>
      </c>
      <c r="B4381" s="308"/>
      <c r="C4381" s="308" t="s">
        <v>17723</v>
      </c>
      <c r="D4381" s="308">
        <f>IFERROR(__xludf.DUMMYFUNCTION("SPLIT(C4381,""-"")"),4401.0)</f>
        <v>4401</v>
      </c>
      <c r="E4381" s="308" t="str">
        <f>IFERROR(__xludf.DUMMYFUNCTION("""COMPUTED_VALUE"""),"I")</f>
        <v>I</v>
      </c>
      <c r="F4381" s="309" t="s">
        <v>31</v>
      </c>
      <c r="G4381" s="308"/>
      <c r="H4381" s="308" t="s">
        <v>17724</v>
      </c>
      <c r="I4381" s="310">
        <v>42541.0</v>
      </c>
      <c r="J4381" s="319">
        <f>IFERROR(__xludf.DUMMYFUNCTION("SPLIT(I4381,""/"")"),20.0)</f>
        <v>20</v>
      </c>
      <c r="K4381" s="308">
        <f>IFERROR(__xludf.DUMMYFUNCTION("""COMPUTED_VALUE"""),6.0)</f>
        <v>6</v>
      </c>
      <c r="L4381" s="308">
        <f>IFERROR(__xludf.DUMMYFUNCTION("""COMPUTED_VALUE"""),2016.0)</f>
        <v>2016</v>
      </c>
      <c r="M4381" s="308" t="s">
        <v>17725</v>
      </c>
      <c r="N4381" s="308"/>
      <c r="O4381" s="308" t="s">
        <v>17726</v>
      </c>
      <c r="P4381" s="308" t="s">
        <v>37009</v>
      </c>
      <c r="Q4381" s="308" t="s">
        <v>37631</v>
      </c>
      <c r="R4381" s="308" t="s">
        <v>17727</v>
      </c>
      <c r="S4381" s="308" t="s">
        <v>81</v>
      </c>
      <c r="T4381" s="308" t="s">
        <v>63</v>
      </c>
      <c r="U4381" s="308" t="s">
        <v>31</v>
      </c>
      <c r="V4381" s="312"/>
    </row>
    <row r="4382">
      <c r="A4382" s="308">
        <v>4381.0</v>
      </c>
      <c r="B4382" s="308"/>
      <c r="C4382" s="308" t="s">
        <v>17728</v>
      </c>
      <c r="D4382" s="308" t="str">
        <f>IFERROR(__xludf.DUMMYFUNCTION("SPLIT(C4382,""-"")"),"#REF!")</f>
        <v>#REF!</v>
      </c>
      <c r="E4382" s="311"/>
      <c r="F4382" s="309" t="s">
        <v>31</v>
      </c>
      <c r="G4382" s="308"/>
      <c r="H4382" s="308" t="s">
        <v>17729</v>
      </c>
      <c r="I4382" s="314">
        <v>42352.0</v>
      </c>
      <c r="J4382" s="319">
        <f>IFERROR(__xludf.DUMMYFUNCTION("SPLIT(I4382,""/"")"),14.0)</f>
        <v>14</v>
      </c>
      <c r="K4382" s="308">
        <f>IFERROR(__xludf.DUMMYFUNCTION("""COMPUTED_VALUE"""),12.0)</f>
        <v>12</v>
      </c>
      <c r="L4382" s="308">
        <f>IFERROR(__xludf.DUMMYFUNCTION("""COMPUTED_VALUE"""),2015.0)</f>
        <v>2015</v>
      </c>
      <c r="M4382" s="308" t="s">
        <v>17730</v>
      </c>
      <c r="N4382" s="308" t="s">
        <v>37635</v>
      </c>
      <c r="O4382" s="308" t="s">
        <v>12934</v>
      </c>
      <c r="P4382" s="308" t="s">
        <v>4627</v>
      </c>
      <c r="Q4382" s="308" t="s">
        <v>37631</v>
      </c>
      <c r="R4382" s="308" t="s">
        <v>17727</v>
      </c>
      <c r="S4382" s="311" t="s">
        <v>100</v>
      </c>
      <c r="T4382" s="336" t="s">
        <v>34208</v>
      </c>
      <c r="U4382" s="308" t="s">
        <v>31</v>
      </c>
      <c r="V4382" s="312"/>
    </row>
    <row r="4383">
      <c r="A4383" s="308">
        <v>4382.0</v>
      </c>
      <c r="B4383" s="308"/>
      <c r="C4383" s="308" t="s">
        <v>17732</v>
      </c>
      <c r="D4383" s="308">
        <f>IFERROR(__xludf.DUMMYFUNCTION("SPLIT(C4383,""-"")"),4403.0)</f>
        <v>4403</v>
      </c>
      <c r="E4383" s="308" t="str">
        <f>IFERROR(__xludf.DUMMYFUNCTION("""COMPUTED_VALUE"""),"P")</f>
        <v>P</v>
      </c>
      <c r="F4383" s="312" t="s">
        <v>37</v>
      </c>
      <c r="G4383" s="308"/>
      <c r="H4383" s="308" t="s">
        <v>17733</v>
      </c>
      <c r="I4383" s="310">
        <v>42526.0</v>
      </c>
      <c r="J4383" s="319">
        <f>IFERROR(__xludf.DUMMYFUNCTION("SPLIT(I4383,""/"")"),5.0)</f>
        <v>5</v>
      </c>
      <c r="K4383" s="308">
        <f>IFERROR(__xludf.DUMMYFUNCTION("""COMPUTED_VALUE"""),6.0)</f>
        <v>6</v>
      </c>
      <c r="L4383" s="308">
        <f>IFERROR(__xludf.DUMMYFUNCTION("""COMPUTED_VALUE"""),2016.0)</f>
        <v>2016</v>
      </c>
      <c r="M4383" s="308" t="s">
        <v>17734</v>
      </c>
      <c r="N4383" s="308"/>
      <c r="O4383" s="308"/>
      <c r="P4383" s="308" t="s">
        <v>17735</v>
      </c>
      <c r="Q4383" s="308" t="s">
        <v>37631</v>
      </c>
      <c r="R4383" s="308" t="s">
        <v>17727</v>
      </c>
      <c r="S4383" s="308" t="s">
        <v>81</v>
      </c>
      <c r="T4383" s="311" t="s">
        <v>73</v>
      </c>
      <c r="U4383" s="308" t="s">
        <v>2291</v>
      </c>
      <c r="V4383" s="312"/>
    </row>
    <row r="4384">
      <c r="A4384" s="308">
        <v>4383.0</v>
      </c>
      <c r="B4384" s="308"/>
      <c r="C4384" s="308" t="s">
        <v>17736</v>
      </c>
      <c r="D4384" s="308">
        <f>IFERROR(__xludf.DUMMYFUNCTION("SPLIT(C4384,""-"")"),4404.0)</f>
        <v>4404</v>
      </c>
      <c r="E4384" s="308" t="str">
        <f>IFERROR(__xludf.DUMMYFUNCTION("""COMPUTED_VALUE"""),"K")</f>
        <v>K</v>
      </c>
      <c r="F4384" s="309" t="s">
        <v>34</v>
      </c>
      <c r="G4384" s="308"/>
      <c r="H4384" s="308" t="s">
        <v>17737</v>
      </c>
      <c r="I4384" s="314">
        <v>41942.0</v>
      </c>
      <c r="J4384" s="319">
        <f>IFERROR(__xludf.DUMMYFUNCTION("SPLIT(I4384,""/"")"),30.0)</f>
        <v>30</v>
      </c>
      <c r="K4384" s="308">
        <f>IFERROR(__xludf.DUMMYFUNCTION("""COMPUTED_VALUE"""),10.0)</f>
        <v>10</v>
      </c>
      <c r="L4384" s="308">
        <f>IFERROR(__xludf.DUMMYFUNCTION("""COMPUTED_VALUE"""),2014.0)</f>
        <v>2014</v>
      </c>
      <c r="M4384" s="308" t="s">
        <v>17738</v>
      </c>
      <c r="N4384" s="308"/>
      <c r="O4384" s="308"/>
      <c r="P4384" s="308" t="s">
        <v>37636</v>
      </c>
      <c r="Q4384" s="308" t="s">
        <v>37631</v>
      </c>
      <c r="R4384" s="308" t="s">
        <v>17727</v>
      </c>
      <c r="S4384" s="315" t="s">
        <v>100</v>
      </c>
      <c r="T4384" s="311" t="s">
        <v>34208</v>
      </c>
      <c r="U4384" s="308" t="s">
        <v>10279</v>
      </c>
      <c r="V4384" s="312"/>
    </row>
    <row r="4385">
      <c r="A4385" s="308">
        <v>4384.0</v>
      </c>
      <c r="B4385" s="308"/>
      <c r="C4385" s="308" t="s">
        <v>17739</v>
      </c>
      <c r="D4385" s="308">
        <f>IFERROR(__xludf.DUMMYFUNCTION("SPLIT(C4385,""-"")"),4405.0)</f>
        <v>4405</v>
      </c>
      <c r="E4385" s="308" t="str">
        <f>IFERROR(__xludf.DUMMYFUNCTION("""COMPUTED_VALUE"""),"P")</f>
        <v>P</v>
      </c>
      <c r="F4385" s="312" t="s">
        <v>37</v>
      </c>
      <c r="G4385" s="308"/>
      <c r="H4385" s="308" t="s">
        <v>17740</v>
      </c>
      <c r="I4385" s="310">
        <v>42946.0</v>
      </c>
      <c r="J4385" s="319">
        <f>IFERROR(__xludf.DUMMYFUNCTION("SPLIT(I4385,""/"")"),30.0)</f>
        <v>30</v>
      </c>
      <c r="K4385" s="308">
        <f>IFERROR(__xludf.DUMMYFUNCTION("""COMPUTED_VALUE"""),7.0)</f>
        <v>7</v>
      </c>
      <c r="L4385" s="308">
        <f>IFERROR(__xludf.DUMMYFUNCTION("""COMPUTED_VALUE"""),2017.0)</f>
        <v>2017</v>
      </c>
      <c r="M4385" s="308" t="s">
        <v>17741</v>
      </c>
      <c r="N4385" s="308"/>
      <c r="O4385" s="308"/>
      <c r="P4385" s="308" t="s">
        <v>17742</v>
      </c>
      <c r="Q4385" s="308" t="s">
        <v>37631</v>
      </c>
      <c r="R4385" s="308" t="s">
        <v>17727</v>
      </c>
      <c r="S4385" s="308" t="s">
        <v>81</v>
      </c>
      <c r="T4385" s="311" t="s">
        <v>91</v>
      </c>
      <c r="U4385" s="308" t="s">
        <v>17743</v>
      </c>
      <c r="V4385" s="312"/>
    </row>
    <row r="4386">
      <c r="A4386" s="308">
        <v>4385.0</v>
      </c>
      <c r="B4386" s="308"/>
      <c r="C4386" s="308" t="s">
        <v>17744</v>
      </c>
      <c r="D4386" s="308">
        <f>IFERROR(__xludf.DUMMYFUNCTION("SPLIT(C4386,""-"")"),4406.0)</f>
        <v>4406</v>
      </c>
      <c r="E4386" s="308" t="str">
        <f>IFERROR(__xludf.DUMMYFUNCTION("""COMPUTED_VALUE"""),"P")</f>
        <v>P</v>
      </c>
      <c r="F4386" s="312" t="s">
        <v>37</v>
      </c>
      <c r="G4386" s="308"/>
      <c r="H4386" s="308" t="s">
        <v>17745</v>
      </c>
      <c r="I4386" s="310">
        <v>42946.0</v>
      </c>
      <c r="J4386" s="319">
        <f>IFERROR(__xludf.DUMMYFUNCTION("SPLIT(I4386,""/"")"),30.0)</f>
        <v>30</v>
      </c>
      <c r="K4386" s="308">
        <f>IFERROR(__xludf.DUMMYFUNCTION("""COMPUTED_VALUE"""),7.0)</f>
        <v>7</v>
      </c>
      <c r="L4386" s="308">
        <f>IFERROR(__xludf.DUMMYFUNCTION("""COMPUTED_VALUE"""),2017.0)</f>
        <v>2017</v>
      </c>
      <c r="M4386" s="308" t="s">
        <v>17741</v>
      </c>
      <c r="N4386" s="308"/>
      <c r="O4386" s="308"/>
      <c r="P4386" s="308" t="s">
        <v>37637</v>
      </c>
      <c r="Q4386" s="308" t="s">
        <v>37631</v>
      </c>
      <c r="R4386" s="308" t="s">
        <v>17727</v>
      </c>
      <c r="S4386" s="308" t="s">
        <v>81</v>
      </c>
      <c r="T4386" s="308" t="s">
        <v>75</v>
      </c>
      <c r="U4386" s="308" t="s">
        <v>17743</v>
      </c>
      <c r="V4386" s="312"/>
    </row>
    <row r="4387">
      <c r="A4387" s="308">
        <v>4386.0</v>
      </c>
      <c r="B4387" s="308"/>
      <c r="C4387" s="308" t="s">
        <v>17747</v>
      </c>
      <c r="D4387" s="308">
        <f>IFERROR(__xludf.DUMMYFUNCTION("SPLIT(C4387,""-"")"),4407.0)</f>
        <v>4407</v>
      </c>
      <c r="E4387" s="308" t="str">
        <f>IFERROR(__xludf.DUMMYFUNCTION("""COMPUTED_VALUE"""),"P")</f>
        <v>P</v>
      </c>
      <c r="F4387" s="312" t="s">
        <v>37</v>
      </c>
      <c r="G4387" s="308"/>
      <c r="H4387" s="308" t="s">
        <v>17748</v>
      </c>
      <c r="I4387" s="310">
        <v>42946.0</v>
      </c>
      <c r="J4387" s="319">
        <f>IFERROR(__xludf.DUMMYFUNCTION("SPLIT(I4387,""/"")"),30.0)</f>
        <v>30</v>
      </c>
      <c r="K4387" s="308">
        <f>IFERROR(__xludf.DUMMYFUNCTION("""COMPUTED_VALUE"""),7.0)</f>
        <v>7</v>
      </c>
      <c r="L4387" s="308">
        <f>IFERROR(__xludf.DUMMYFUNCTION("""COMPUTED_VALUE"""),2017.0)</f>
        <v>2017</v>
      </c>
      <c r="M4387" s="308" t="s">
        <v>17749</v>
      </c>
      <c r="N4387" s="308"/>
      <c r="O4387" s="308"/>
      <c r="P4387" s="308" t="s">
        <v>17750</v>
      </c>
      <c r="Q4387" s="308" t="s">
        <v>37631</v>
      </c>
      <c r="R4387" s="308" t="s">
        <v>17727</v>
      </c>
      <c r="S4387" s="308" t="s">
        <v>81</v>
      </c>
      <c r="T4387" s="311" t="s">
        <v>96</v>
      </c>
      <c r="U4387" s="308" t="s">
        <v>17743</v>
      </c>
      <c r="V4387" s="312"/>
    </row>
    <row r="4388">
      <c r="A4388" s="308">
        <v>4387.0</v>
      </c>
      <c r="B4388" s="308"/>
      <c r="C4388" s="308" t="s">
        <v>17751</v>
      </c>
      <c r="D4388" s="308">
        <f>IFERROR(__xludf.DUMMYFUNCTION("SPLIT(C4388,""-"")"),4408.0)</f>
        <v>4408</v>
      </c>
      <c r="E4388" s="308" t="str">
        <f>IFERROR(__xludf.DUMMYFUNCTION("""COMPUTED_VALUE"""),"P")</f>
        <v>P</v>
      </c>
      <c r="F4388" s="312" t="s">
        <v>37</v>
      </c>
      <c r="G4388" s="308"/>
      <c r="H4388" s="308" t="s">
        <v>17752</v>
      </c>
      <c r="I4388" s="310">
        <v>42946.0</v>
      </c>
      <c r="J4388" s="319">
        <f>IFERROR(__xludf.DUMMYFUNCTION("SPLIT(I4388,""/"")"),30.0)</f>
        <v>30</v>
      </c>
      <c r="K4388" s="308">
        <f>IFERROR(__xludf.DUMMYFUNCTION("""COMPUTED_VALUE"""),7.0)</f>
        <v>7</v>
      </c>
      <c r="L4388" s="308">
        <f>IFERROR(__xludf.DUMMYFUNCTION("""COMPUTED_VALUE"""),2017.0)</f>
        <v>2017</v>
      </c>
      <c r="M4388" s="308" t="s">
        <v>17753</v>
      </c>
      <c r="N4388" s="308"/>
      <c r="O4388" s="308"/>
      <c r="P4388" s="308" t="s">
        <v>37638</v>
      </c>
      <c r="Q4388" s="308" t="s">
        <v>37631</v>
      </c>
      <c r="R4388" s="308" t="s">
        <v>17727</v>
      </c>
      <c r="S4388" s="308" t="s">
        <v>81</v>
      </c>
      <c r="T4388" s="308" t="s">
        <v>75</v>
      </c>
      <c r="U4388" s="308" t="s">
        <v>17743</v>
      </c>
      <c r="V4388" s="312"/>
    </row>
    <row r="4389">
      <c r="A4389" s="308">
        <v>4388.0</v>
      </c>
      <c r="B4389" s="308"/>
      <c r="C4389" s="308" t="s">
        <v>17755</v>
      </c>
      <c r="D4389" s="308">
        <f>IFERROR(__xludf.DUMMYFUNCTION("SPLIT(C4389,""-"")"),4409.0)</f>
        <v>4409</v>
      </c>
      <c r="E4389" s="308" t="str">
        <f>IFERROR(__xludf.DUMMYFUNCTION("""COMPUTED_VALUE"""),"P")</f>
        <v>P</v>
      </c>
      <c r="F4389" s="312" t="s">
        <v>37</v>
      </c>
      <c r="G4389" s="308"/>
      <c r="H4389" s="308" t="s">
        <v>17756</v>
      </c>
      <c r="I4389" s="310">
        <v>42946.0</v>
      </c>
      <c r="J4389" s="319">
        <f>IFERROR(__xludf.DUMMYFUNCTION("SPLIT(I4389,""/"")"),30.0)</f>
        <v>30</v>
      </c>
      <c r="K4389" s="308">
        <f>IFERROR(__xludf.DUMMYFUNCTION("""COMPUTED_VALUE"""),7.0)</f>
        <v>7</v>
      </c>
      <c r="L4389" s="308">
        <f>IFERROR(__xludf.DUMMYFUNCTION("""COMPUTED_VALUE"""),2017.0)</f>
        <v>2017</v>
      </c>
      <c r="M4389" s="308" t="s">
        <v>17757</v>
      </c>
      <c r="N4389" s="308"/>
      <c r="O4389" s="308"/>
      <c r="P4389" s="308" t="s">
        <v>37639</v>
      </c>
      <c r="Q4389" s="308" t="s">
        <v>37631</v>
      </c>
      <c r="R4389" s="308" t="s">
        <v>17727</v>
      </c>
      <c r="S4389" s="308" t="s">
        <v>81</v>
      </c>
      <c r="T4389" s="308" t="s">
        <v>75</v>
      </c>
      <c r="U4389" s="308" t="s">
        <v>17743</v>
      </c>
      <c r="V4389" s="312"/>
    </row>
    <row r="4390">
      <c r="A4390" s="308">
        <v>4389.0</v>
      </c>
      <c r="B4390" s="308"/>
      <c r="C4390" s="308" t="s">
        <v>17759</v>
      </c>
      <c r="D4390" s="308">
        <f>IFERROR(__xludf.DUMMYFUNCTION("SPLIT(C4390,""-"")"),4410.0)</f>
        <v>4410</v>
      </c>
      <c r="E4390" s="308" t="str">
        <f>IFERROR(__xludf.DUMMYFUNCTION("""COMPUTED_VALUE"""),"P")</f>
        <v>P</v>
      </c>
      <c r="F4390" s="312" t="s">
        <v>37</v>
      </c>
      <c r="G4390" s="308"/>
      <c r="H4390" s="308" t="s">
        <v>17760</v>
      </c>
      <c r="I4390" s="310">
        <v>42946.0</v>
      </c>
      <c r="J4390" s="319">
        <f>IFERROR(__xludf.DUMMYFUNCTION("SPLIT(I4390,""/"")"),30.0)</f>
        <v>30</v>
      </c>
      <c r="K4390" s="308">
        <f>IFERROR(__xludf.DUMMYFUNCTION("""COMPUTED_VALUE"""),7.0)</f>
        <v>7</v>
      </c>
      <c r="L4390" s="308">
        <f>IFERROR(__xludf.DUMMYFUNCTION("""COMPUTED_VALUE"""),2017.0)</f>
        <v>2017</v>
      </c>
      <c r="M4390" s="308" t="s">
        <v>17761</v>
      </c>
      <c r="N4390" s="308"/>
      <c r="O4390" s="308"/>
      <c r="P4390" s="308" t="s">
        <v>37640</v>
      </c>
      <c r="Q4390" s="308" t="s">
        <v>37631</v>
      </c>
      <c r="R4390" s="308" t="s">
        <v>17727</v>
      </c>
      <c r="S4390" s="308" t="s">
        <v>81</v>
      </c>
      <c r="T4390" s="308" t="s">
        <v>75</v>
      </c>
      <c r="U4390" s="308" t="s">
        <v>17743</v>
      </c>
      <c r="V4390" s="312"/>
    </row>
    <row r="4391">
      <c r="A4391" s="308">
        <v>4390.0</v>
      </c>
      <c r="B4391" s="308"/>
      <c r="C4391" s="308" t="s">
        <v>17763</v>
      </c>
      <c r="D4391" s="308">
        <f>IFERROR(__xludf.DUMMYFUNCTION("SPLIT(C4391,""-"")"),4411.0)</f>
        <v>4411</v>
      </c>
      <c r="E4391" s="308" t="str">
        <f>IFERROR(__xludf.DUMMYFUNCTION("""COMPUTED_VALUE"""),"P")</f>
        <v>P</v>
      </c>
      <c r="F4391" s="312" t="s">
        <v>37</v>
      </c>
      <c r="G4391" s="308"/>
      <c r="H4391" s="308" t="s">
        <v>17764</v>
      </c>
      <c r="I4391" s="310">
        <v>42946.0</v>
      </c>
      <c r="J4391" s="319">
        <f>IFERROR(__xludf.DUMMYFUNCTION("SPLIT(I4391,""/"")"),30.0)</f>
        <v>30</v>
      </c>
      <c r="K4391" s="308">
        <f>IFERROR(__xludf.DUMMYFUNCTION("""COMPUTED_VALUE"""),7.0)</f>
        <v>7</v>
      </c>
      <c r="L4391" s="308">
        <f>IFERROR(__xludf.DUMMYFUNCTION("""COMPUTED_VALUE"""),2017.0)</f>
        <v>2017</v>
      </c>
      <c r="M4391" s="308" t="s">
        <v>17765</v>
      </c>
      <c r="N4391" s="308"/>
      <c r="O4391" s="308"/>
      <c r="P4391" s="308" t="s">
        <v>37641</v>
      </c>
      <c r="Q4391" s="308" t="s">
        <v>37631</v>
      </c>
      <c r="R4391" s="308" t="s">
        <v>34322</v>
      </c>
      <c r="S4391" s="308" t="s">
        <v>81</v>
      </c>
      <c r="T4391" s="308" t="s">
        <v>75</v>
      </c>
      <c r="U4391" s="308" t="s">
        <v>17743</v>
      </c>
      <c r="V4391" s="312"/>
    </row>
    <row r="4392">
      <c r="A4392" s="308">
        <v>4391.0</v>
      </c>
      <c r="B4392" s="308"/>
      <c r="C4392" s="308" t="s">
        <v>17767</v>
      </c>
      <c r="D4392" s="308">
        <f>IFERROR(__xludf.DUMMYFUNCTION("SPLIT(C4392,""-"")"),4412.0)</f>
        <v>4412</v>
      </c>
      <c r="E4392" s="308" t="str">
        <f>IFERROR(__xludf.DUMMYFUNCTION("""COMPUTED_VALUE"""),"S")</f>
        <v>S</v>
      </c>
      <c r="F4392" s="312" t="s">
        <v>39</v>
      </c>
      <c r="G4392" s="308"/>
      <c r="H4392" s="308" t="s">
        <v>17768</v>
      </c>
      <c r="I4392" s="310">
        <v>42879.0</v>
      </c>
      <c r="J4392" s="319">
        <f>IFERROR(__xludf.DUMMYFUNCTION("SPLIT(I4392,""/"")"),24.0)</f>
        <v>24</v>
      </c>
      <c r="K4392" s="308">
        <f>IFERROR(__xludf.DUMMYFUNCTION("""COMPUTED_VALUE"""),5.0)</f>
        <v>5</v>
      </c>
      <c r="L4392" s="308">
        <f>IFERROR(__xludf.DUMMYFUNCTION("""COMPUTED_VALUE"""),2017.0)</f>
        <v>2017</v>
      </c>
      <c r="M4392" s="308" t="s">
        <v>17769</v>
      </c>
      <c r="N4392" s="308"/>
      <c r="O4392" s="308"/>
      <c r="P4392" s="308" t="s">
        <v>9968</v>
      </c>
      <c r="Q4392" s="308" t="s">
        <v>37642</v>
      </c>
      <c r="R4392" s="308" t="s">
        <v>14256</v>
      </c>
      <c r="S4392" s="308" t="s">
        <v>81</v>
      </c>
      <c r="T4392" s="308" t="s">
        <v>75</v>
      </c>
      <c r="U4392" s="308" t="s">
        <v>166</v>
      </c>
      <c r="V4392" s="312"/>
    </row>
    <row r="4393">
      <c r="A4393" s="308">
        <v>4392.0</v>
      </c>
      <c r="B4393" s="308"/>
      <c r="C4393" s="308" t="s">
        <v>17770</v>
      </c>
      <c r="D4393" s="308">
        <f>IFERROR(__xludf.DUMMYFUNCTION("SPLIT(C4393,""-"")"),4413.0)</f>
        <v>4413</v>
      </c>
      <c r="E4393" s="308" t="str">
        <f>IFERROR(__xludf.DUMMYFUNCTION("""COMPUTED_VALUE"""),"K")</f>
        <v>K</v>
      </c>
      <c r="F4393" s="309" t="s">
        <v>34</v>
      </c>
      <c r="G4393" s="308"/>
      <c r="H4393" s="308" t="s">
        <v>17771</v>
      </c>
      <c r="I4393" s="310">
        <v>40009.0</v>
      </c>
      <c r="J4393" s="319">
        <f>IFERROR(__xludf.DUMMYFUNCTION("SPLIT(I4393,""/"")"),15.0)</f>
        <v>15</v>
      </c>
      <c r="K4393" s="308">
        <f>IFERROR(__xludf.DUMMYFUNCTION("""COMPUTED_VALUE"""),7.0)</f>
        <v>7</v>
      </c>
      <c r="L4393" s="308">
        <f>IFERROR(__xludf.DUMMYFUNCTION("""COMPUTED_VALUE"""),2009.0)</f>
        <v>2009</v>
      </c>
      <c r="M4393" s="308" t="s">
        <v>17772</v>
      </c>
      <c r="N4393" s="308"/>
      <c r="O4393" s="308"/>
      <c r="P4393" s="308" t="s">
        <v>37128</v>
      </c>
      <c r="Q4393" s="308" t="s">
        <v>37643</v>
      </c>
      <c r="R4393" s="308" t="s">
        <v>2743</v>
      </c>
      <c r="S4393" s="315" t="s">
        <v>100</v>
      </c>
      <c r="T4393" s="311" t="s">
        <v>34208</v>
      </c>
      <c r="U4393" s="308" t="s">
        <v>530</v>
      </c>
      <c r="V4393" s="312"/>
    </row>
    <row r="4394">
      <c r="A4394" s="308">
        <v>4393.0</v>
      </c>
      <c r="B4394" s="308"/>
      <c r="C4394" s="308" t="s">
        <v>17773</v>
      </c>
      <c r="D4394" s="308">
        <f>IFERROR(__xludf.DUMMYFUNCTION("SPLIT(C4394,""-"")"),4414.0)</f>
        <v>4414</v>
      </c>
      <c r="E4394" s="308" t="str">
        <f>IFERROR(__xludf.DUMMYFUNCTION("""COMPUTED_VALUE"""),"K")</f>
        <v>K</v>
      </c>
      <c r="F4394" s="309" t="s">
        <v>34</v>
      </c>
      <c r="G4394" s="308"/>
      <c r="H4394" s="308" t="s">
        <v>17774</v>
      </c>
      <c r="I4394" s="310">
        <v>42095.0</v>
      </c>
      <c r="J4394" s="319">
        <f>IFERROR(__xludf.DUMMYFUNCTION("SPLIT(I4394,""/"")"),1.0)</f>
        <v>1</v>
      </c>
      <c r="K4394" s="308">
        <f>IFERROR(__xludf.DUMMYFUNCTION("""COMPUTED_VALUE"""),4.0)</f>
        <v>4</v>
      </c>
      <c r="L4394" s="308">
        <f>IFERROR(__xludf.DUMMYFUNCTION("""COMPUTED_VALUE"""),2015.0)</f>
        <v>2015</v>
      </c>
      <c r="M4394" s="308" t="s">
        <v>37644</v>
      </c>
      <c r="N4394" s="308"/>
      <c r="O4394" s="308"/>
      <c r="P4394" s="308" t="s">
        <v>37645</v>
      </c>
      <c r="Q4394" s="308" t="s">
        <v>37643</v>
      </c>
      <c r="R4394" s="308" t="s">
        <v>2743</v>
      </c>
      <c r="S4394" s="308" t="s">
        <v>49</v>
      </c>
      <c r="T4394" s="311" t="s">
        <v>51</v>
      </c>
      <c r="U4394" s="308" t="s">
        <v>4749</v>
      </c>
      <c r="V4394" s="312"/>
    </row>
    <row r="4395">
      <c r="A4395" s="308">
        <v>4394.0</v>
      </c>
      <c r="B4395" s="308"/>
      <c r="C4395" s="308" t="s">
        <v>17777</v>
      </c>
      <c r="D4395" s="308">
        <f>IFERROR(__xludf.DUMMYFUNCTION("SPLIT(C4395,""-"")"),4415.0)</f>
        <v>4415</v>
      </c>
      <c r="E4395" s="308" t="str">
        <f>IFERROR(__xludf.DUMMYFUNCTION("""COMPUTED_VALUE"""),"K")</f>
        <v>K</v>
      </c>
      <c r="F4395" s="309" t="s">
        <v>34</v>
      </c>
      <c r="G4395" s="308"/>
      <c r="H4395" s="308" t="s">
        <v>17778</v>
      </c>
      <c r="I4395" s="310">
        <v>41827.0</v>
      </c>
      <c r="J4395" s="319">
        <f>IFERROR(__xludf.DUMMYFUNCTION("SPLIT(I4395,""/"")"),7.0)</f>
        <v>7</v>
      </c>
      <c r="K4395" s="308">
        <f>IFERROR(__xludf.DUMMYFUNCTION("""COMPUTED_VALUE"""),7.0)</f>
        <v>7</v>
      </c>
      <c r="L4395" s="308">
        <f>IFERROR(__xludf.DUMMYFUNCTION("""COMPUTED_VALUE"""),2014.0)</f>
        <v>2014</v>
      </c>
      <c r="M4395" s="308" t="s">
        <v>17779</v>
      </c>
      <c r="N4395" s="308"/>
      <c r="O4395" s="308"/>
      <c r="P4395" s="308" t="s">
        <v>37209</v>
      </c>
      <c r="Q4395" s="308" t="s">
        <v>37646</v>
      </c>
      <c r="R4395" s="308" t="s">
        <v>2743</v>
      </c>
      <c r="S4395" s="315" t="s">
        <v>100</v>
      </c>
      <c r="T4395" s="311" t="s">
        <v>34208</v>
      </c>
      <c r="U4395" s="308" t="s">
        <v>125</v>
      </c>
      <c r="V4395" s="312"/>
    </row>
    <row r="4396">
      <c r="A4396" s="308">
        <v>4395.0</v>
      </c>
      <c r="B4396" s="308"/>
      <c r="C4396" s="308" t="s">
        <v>17780</v>
      </c>
      <c r="D4396" s="308">
        <f>IFERROR(__xludf.DUMMYFUNCTION("SPLIT(C4396,""-"")"),4416.0)</f>
        <v>4416</v>
      </c>
      <c r="E4396" s="308" t="str">
        <f>IFERROR(__xludf.DUMMYFUNCTION("""COMPUTED_VALUE"""),"K")</f>
        <v>K</v>
      </c>
      <c r="F4396" s="309" t="s">
        <v>34</v>
      </c>
      <c r="G4396" s="308"/>
      <c r="H4396" s="308" t="s">
        <v>17781</v>
      </c>
      <c r="I4396" s="310">
        <v>42973.0</v>
      </c>
      <c r="J4396" s="319" t="str">
        <f>IFERROR(__xludf.DUMMYFUNCTION("SPLIT(I4396,""/"")"),"#REF!")</f>
        <v>#REF!</v>
      </c>
      <c r="K4396" s="308"/>
      <c r="L4396" s="308">
        <v>2017.0</v>
      </c>
      <c r="M4396" s="308" t="s">
        <v>17782</v>
      </c>
      <c r="N4396" s="308"/>
      <c r="O4396" s="308"/>
      <c r="P4396" s="308" t="s">
        <v>37647</v>
      </c>
      <c r="Q4396" s="308" t="s">
        <v>37646</v>
      </c>
      <c r="R4396" s="308" t="s">
        <v>2743</v>
      </c>
      <c r="S4396" s="308" t="s">
        <v>81</v>
      </c>
      <c r="T4396" s="308" t="s">
        <v>75</v>
      </c>
      <c r="U4396" s="308" t="s">
        <v>4749</v>
      </c>
      <c r="V4396" s="312"/>
    </row>
    <row r="4397">
      <c r="A4397" s="308">
        <v>4396.0</v>
      </c>
      <c r="B4397" s="308"/>
      <c r="C4397" s="308" t="s">
        <v>17784</v>
      </c>
      <c r="D4397" s="308">
        <f>IFERROR(__xludf.DUMMYFUNCTION("SPLIT(C4397,""-"")"),4417.0)</f>
        <v>4417</v>
      </c>
      <c r="E4397" s="308" t="str">
        <f>IFERROR(__xludf.DUMMYFUNCTION("""COMPUTED_VALUE"""),"K")</f>
        <v>K</v>
      </c>
      <c r="F4397" s="309" t="s">
        <v>34</v>
      </c>
      <c r="G4397" s="308"/>
      <c r="H4397" s="308" t="s">
        <v>17785</v>
      </c>
      <c r="I4397" s="310">
        <v>41456.0</v>
      </c>
      <c r="J4397" s="319">
        <f>IFERROR(__xludf.DUMMYFUNCTION("SPLIT(I4397,""/"")"),1.0)</f>
        <v>1</v>
      </c>
      <c r="K4397" s="308">
        <f>IFERROR(__xludf.DUMMYFUNCTION("""COMPUTED_VALUE"""),7.0)</f>
        <v>7</v>
      </c>
      <c r="L4397" s="308">
        <f>IFERROR(__xludf.DUMMYFUNCTION("""COMPUTED_VALUE"""),2013.0)</f>
        <v>2013</v>
      </c>
      <c r="M4397" s="308" t="s">
        <v>17786</v>
      </c>
      <c r="N4397" s="308" t="s">
        <v>439</v>
      </c>
      <c r="O4397" s="308" t="s">
        <v>17787</v>
      </c>
      <c r="P4397" s="308" t="s">
        <v>37128</v>
      </c>
      <c r="Q4397" s="308" t="s">
        <v>37646</v>
      </c>
      <c r="R4397" s="308" t="s">
        <v>2743</v>
      </c>
      <c r="S4397" s="315" t="s">
        <v>100</v>
      </c>
      <c r="T4397" s="311" t="s">
        <v>34208</v>
      </c>
      <c r="U4397" s="308" t="s">
        <v>530</v>
      </c>
      <c r="V4397" s="312"/>
    </row>
    <row r="4398">
      <c r="A4398" s="308">
        <v>4397.0</v>
      </c>
      <c r="B4398" s="308"/>
      <c r="C4398" s="308" t="s">
        <v>17788</v>
      </c>
      <c r="D4398" s="308">
        <f>IFERROR(__xludf.DUMMYFUNCTION("SPLIT(C4398,""-"")"),4418.0)</f>
        <v>4418</v>
      </c>
      <c r="E4398" s="308" t="str">
        <f>IFERROR(__xludf.DUMMYFUNCTION("""COMPUTED_VALUE"""),"I")</f>
        <v>I</v>
      </c>
      <c r="F4398" s="309" t="s">
        <v>31</v>
      </c>
      <c r="G4398" s="308"/>
      <c r="H4398" s="308" t="s">
        <v>17789</v>
      </c>
      <c r="I4398" s="310">
        <v>42801.0</v>
      </c>
      <c r="J4398" s="319">
        <f>IFERROR(__xludf.DUMMYFUNCTION("SPLIT(I4398,""/"")"),7.0)</f>
        <v>7</v>
      </c>
      <c r="K4398" s="308">
        <f>IFERROR(__xludf.DUMMYFUNCTION("""COMPUTED_VALUE"""),3.0)</f>
        <v>3</v>
      </c>
      <c r="L4398" s="308">
        <f>IFERROR(__xludf.DUMMYFUNCTION("""COMPUTED_VALUE"""),2017.0)</f>
        <v>2017</v>
      </c>
      <c r="M4398" s="308" t="s">
        <v>17790</v>
      </c>
      <c r="N4398" s="308"/>
      <c r="O4398" s="308" t="s">
        <v>17791</v>
      </c>
      <c r="P4398" s="308" t="s">
        <v>37648</v>
      </c>
      <c r="Q4398" s="308" t="s">
        <v>37646</v>
      </c>
      <c r="R4398" s="308" t="s">
        <v>2743</v>
      </c>
      <c r="S4398" s="308" t="s">
        <v>81</v>
      </c>
      <c r="T4398" s="311" t="s">
        <v>51</v>
      </c>
      <c r="U4398" s="308" t="s">
        <v>31</v>
      </c>
      <c r="V4398" s="312"/>
    </row>
    <row r="4399">
      <c r="A4399" s="308">
        <v>4398.0</v>
      </c>
      <c r="B4399" s="308"/>
      <c r="C4399" s="308" t="s">
        <v>17793</v>
      </c>
      <c r="D4399" s="308">
        <f>IFERROR(__xludf.DUMMYFUNCTION("SPLIT(C4399,""-"")"),4419.0)</f>
        <v>4419</v>
      </c>
      <c r="E4399" s="308" t="str">
        <f>IFERROR(__xludf.DUMMYFUNCTION("""COMPUTED_VALUE"""),"P")</f>
        <v>P</v>
      </c>
      <c r="F4399" s="312" t="s">
        <v>37</v>
      </c>
      <c r="G4399" s="308"/>
      <c r="H4399" s="308" t="s">
        <v>17794</v>
      </c>
      <c r="I4399" s="310">
        <v>42922.0</v>
      </c>
      <c r="J4399" s="319">
        <f>IFERROR(__xludf.DUMMYFUNCTION("SPLIT(I4399,""/"")"),6.0)</f>
        <v>6</v>
      </c>
      <c r="K4399" s="308">
        <f>IFERROR(__xludf.DUMMYFUNCTION("""COMPUTED_VALUE"""),7.0)</f>
        <v>7</v>
      </c>
      <c r="L4399" s="308">
        <f>IFERROR(__xludf.DUMMYFUNCTION("""COMPUTED_VALUE"""),2017.0)</f>
        <v>2017</v>
      </c>
      <c r="M4399" s="308" t="s">
        <v>17795</v>
      </c>
      <c r="N4399" s="308"/>
      <c r="O4399" s="308"/>
      <c r="P4399" s="308" t="s">
        <v>37649</v>
      </c>
      <c r="Q4399" s="308" t="s">
        <v>37646</v>
      </c>
      <c r="R4399" s="308" t="s">
        <v>16185</v>
      </c>
      <c r="S4399" s="308" t="s">
        <v>81</v>
      </c>
      <c r="T4399" s="311" t="s">
        <v>51</v>
      </c>
      <c r="U4399" s="308" t="s">
        <v>14456</v>
      </c>
      <c r="V4399" s="312"/>
    </row>
    <row r="4400">
      <c r="A4400" s="308">
        <v>4399.0</v>
      </c>
      <c r="B4400" s="308"/>
      <c r="C4400" s="308" t="s">
        <v>17797</v>
      </c>
      <c r="D4400" s="308">
        <f>IFERROR(__xludf.DUMMYFUNCTION("SPLIT(C4400,""-"")"),4420.0)</f>
        <v>4420</v>
      </c>
      <c r="E4400" s="308" t="str">
        <f>IFERROR(__xludf.DUMMYFUNCTION("""COMPUTED_VALUE"""),"P")</f>
        <v>P</v>
      </c>
      <c r="F4400" s="312" t="s">
        <v>37</v>
      </c>
      <c r="G4400" s="308"/>
      <c r="H4400" s="308" t="s">
        <v>17798</v>
      </c>
      <c r="I4400" s="310">
        <v>42998.0</v>
      </c>
      <c r="J4400" s="319">
        <f>IFERROR(__xludf.DUMMYFUNCTION("SPLIT(I4400,""/"")"),20.0)</f>
        <v>20</v>
      </c>
      <c r="K4400" s="308">
        <f>IFERROR(__xludf.DUMMYFUNCTION("""COMPUTED_VALUE"""),9.0)</f>
        <v>9</v>
      </c>
      <c r="L4400" s="308">
        <f>IFERROR(__xludf.DUMMYFUNCTION("""COMPUTED_VALUE"""),2017.0)</f>
        <v>2017</v>
      </c>
      <c r="M4400" s="308" t="s">
        <v>17799</v>
      </c>
      <c r="N4400" s="308"/>
      <c r="O4400" s="308"/>
      <c r="P4400" s="308" t="s">
        <v>37650</v>
      </c>
      <c r="Q4400" s="308" t="s">
        <v>37646</v>
      </c>
      <c r="R4400" s="308" t="s">
        <v>16185</v>
      </c>
      <c r="S4400" s="308" t="s">
        <v>81</v>
      </c>
      <c r="T4400" s="311" t="s">
        <v>96</v>
      </c>
      <c r="U4400" s="308" t="s">
        <v>2748</v>
      </c>
      <c r="V4400" s="312"/>
    </row>
    <row r="4401">
      <c r="A4401" s="308">
        <v>4400.0</v>
      </c>
      <c r="B4401" s="308"/>
      <c r="C4401" s="308" t="s">
        <v>17801</v>
      </c>
      <c r="D4401" s="308">
        <f>IFERROR(__xludf.DUMMYFUNCTION("SPLIT(C4401,""-"")"),4421.0)</f>
        <v>4421</v>
      </c>
      <c r="E4401" s="308" t="str">
        <f>IFERROR(__xludf.DUMMYFUNCTION("""COMPUTED_VALUE"""),"P")</f>
        <v>P</v>
      </c>
      <c r="F4401" s="312" t="s">
        <v>37</v>
      </c>
      <c r="G4401" s="308"/>
      <c r="H4401" s="308" t="s">
        <v>17802</v>
      </c>
      <c r="I4401" s="310">
        <v>42781.0</v>
      </c>
      <c r="J4401" s="319">
        <f>IFERROR(__xludf.DUMMYFUNCTION("SPLIT(I4401,""/"")"),15.0)</f>
        <v>15</v>
      </c>
      <c r="K4401" s="308">
        <f>IFERROR(__xludf.DUMMYFUNCTION("""COMPUTED_VALUE"""),2.0)</f>
        <v>2</v>
      </c>
      <c r="L4401" s="308">
        <f>IFERROR(__xludf.DUMMYFUNCTION("""COMPUTED_VALUE"""),2017.0)</f>
        <v>2017</v>
      </c>
      <c r="M4401" s="308" t="s">
        <v>37651</v>
      </c>
      <c r="N4401" s="308"/>
      <c r="O4401" s="308"/>
      <c r="P4401" s="308" t="s">
        <v>37652</v>
      </c>
      <c r="Q4401" s="308" t="s">
        <v>37646</v>
      </c>
      <c r="R4401" s="308" t="s">
        <v>16185</v>
      </c>
      <c r="S4401" s="308" t="s">
        <v>81</v>
      </c>
      <c r="T4401" s="308" t="s">
        <v>75</v>
      </c>
      <c r="U4401" s="308" t="s">
        <v>143</v>
      </c>
      <c r="V4401" s="312"/>
    </row>
    <row r="4402">
      <c r="A4402" s="308">
        <v>4401.0</v>
      </c>
      <c r="B4402" s="308"/>
      <c r="C4402" s="308" t="s">
        <v>17805</v>
      </c>
      <c r="D4402" s="308">
        <f>IFERROR(__xludf.DUMMYFUNCTION("SPLIT(C4402,""-"")"),4422.0)</f>
        <v>4422</v>
      </c>
      <c r="E4402" s="308" t="str">
        <f>IFERROR(__xludf.DUMMYFUNCTION("""COMPUTED_VALUE"""),"P")</f>
        <v>P</v>
      </c>
      <c r="F4402" s="312" t="s">
        <v>37</v>
      </c>
      <c r="G4402" s="308"/>
      <c r="H4402" s="308" t="s">
        <v>17806</v>
      </c>
      <c r="I4402" s="310">
        <v>42977.0</v>
      </c>
      <c r="J4402" s="319">
        <f>IFERROR(__xludf.DUMMYFUNCTION("SPLIT(I4402,""/"")"),30.0)</f>
        <v>30</v>
      </c>
      <c r="K4402" s="308">
        <f>IFERROR(__xludf.DUMMYFUNCTION("""COMPUTED_VALUE"""),8.0)</f>
        <v>8</v>
      </c>
      <c r="L4402" s="308">
        <f>IFERROR(__xludf.DUMMYFUNCTION("""COMPUTED_VALUE"""),2017.0)</f>
        <v>2017</v>
      </c>
      <c r="M4402" s="308" t="s">
        <v>17807</v>
      </c>
      <c r="N4402" s="308"/>
      <c r="O4402" s="308"/>
      <c r="P4402" s="308" t="s">
        <v>37653</v>
      </c>
      <c r="Q4402" s="308" t="s">
        <v>37646</v>
      </c>
      <c r="R4402" s="308" t="s">
        <v>16185</v>
      </c>
      <c r="S4402" s="308" t="s">
        <v>81</v>
      </c>
      <c r="T4402" s="308" t="s">
        <v>75</v>
      </c>
      <c r="U4402" s="308" t="s">
        <v>143</v>
      </c>
      <c r="V4402" s="312"/>
    </row>
    <row r="4403">
      <c r="A4403" s="308">
        <v>4402.0</v>
      </c>
      <c r="B4403" s="308"/>
      <c r="C4403" s="308" t="s">
        <v>17809</v>
      </c>
      <c r="D4403" s="308">
        <f>IFERROR(__xludf.DUMMYFUNCTION("SPLIT(C4403,""-"")"),4423.0)</f>
        <v>4423</v>
      </c>
      <c r="E4403" s="308" t="str">
        <f>IFERROR(__xludf.DUMMYFUNCTION("""COMPUTED_VALUE"""),"P")</f>
        <v>P</v>
      </c>
      <c r="F4403" s="312" t="s">
        <v>37</v>
      </c>
      <c r="G4403" s="308"/>
      <c r="H4403" s="308" t="s">
        <v>17810</v>
      </c>
      <c r="I4403" s="310">
        <v>42013.0</v>
      </c>
      <c r="J4403" s="319">
        <f>IFERROR(__xludf.DUMMYFUNCTION("SPLIT(I4403,""/"")"),9.0)</f>
        <v>9</v>
      </c>
      <c r="K4403" s="308">
        <f>IFERROR(__xludf.DUMMYFUNCTION("""COMPUTED_VALUE"""),1.0)</f>
        <v>1</v>
      </c>
      <c r="L4403" s="308">
        <f>IFERROR(__xludf.DUMMYFUNCTION("""COMPUTED_VALUE"""),2015.0)</f>
        <v>2015</v>
      </c>
      <c r="M4403" s="308" t="s">
        <v>17811</v>
      </c>
      <c r="N4403" s="308"/>
      <c r="O4403" s="308"/>
      <c r="P4403" s="308" t="s">
        <v>37654</v>
      </c>
      <c r="Q4403" s="308" t="s">
        <v>37646</v>
      </c>
      <c r="R4403" s="308" t="s">
        <v>16185</v>
      </c>
      <c r="S4403" s="308" t="s">
        <v>81</v>
      </c>
      <c r="T4403" s="311" t="s">
        <v>51</v>
      </c>
      <c r="U4403" s="308" t="s">
        <v>17743</v>
      </c>
      <c r="V4403" s="312"/>
    </row>
    <row r="4404">
      <c r="A4404" s="308">
        <v>4403.0</v>
      </c>
      <c r="B4404" s="308"/>
      <c r="C4404" s="308" t="s">
        <v>17813</v>
      </c>
      <c r="D4404" s="308">
        <f>IFERROR(__xludf.DUMMYFUNCTION("SPLIT(C4404,""-"")"),4424.0)</f>
        <v>4424</v>
      </c>
      <c r="E4404" s="308" t="str">
        <f>IFERROR(__xludf.DUMMYFUNCTION("""COMPUTED_VALUE"""),"P")</f>
        <v>P</v>
      </c>
      <c r="F4404" s="312" t="s">
        <v>37</v>
      </c>
      <c r="G4404" s="308"/>
      <c r="H4404" s="308" t="s">
        <v>17814</v>
      </c>
      <c r="I4404" s="314">
        <v>43026.0</v>
      </c>
      <c r="J4404" s="319">
        <f>IFERROR(__xludf.DUMMYFUNCTION("SPLIT(I4404,""/"")"),18.0)</f>
        <v>18</v>
      </c>
      <c r="K4404" s="308">
        <f>IFERROR(__xludf.DUMMYFUNCTION("""COMPUTED_VALUE"""),10.0)</f>
        <v>10</v>
      </c>
      <c r="L4404" s="308">
        <f>IFERROR(__xludf.DUMMYFUNCTION("""COMPUTED_VALUE"""),2017.0)</f>
        <v>2017</v>
      </c>
      <c r="M4404" s="308" t="s">
        <v>37655</v>
      </c>
      <c r="N4404" s="308"/>
      <c r="O4404" s="308"/>
      <c r="P4404" s="308" t="s">
        <v>37656</v>
      </c>
      <c r="Q4404" s="308" t="s">
        <v>37646</v>
      </c>
      <c r="R4404" s="308" t="s">
        <v>16185</v>
      </c>
      <c r="S4404" s="308" t="s">
        <v>81</v>
      </c>
      <c r="T4404" s="308" t="s">
        <v>75</v>
      </c>
      <c r="U4404" s="308" t="s">
        <v>2263</v>
      </c>
      <c r="V4404" s="312"/>
    </row>
    <row r="4405">
      <c r="A4405" s="308">
        <v>4404.0</v>
      </c>
      <c r="B4405" s="308"/>
      <c r="C4405" s="308" t="s">
        <v>17817</v>
      </c>
      <c r="D4405" s="308">
        <f>IFERROR(__xludf.DUMMYFUNCTION("SPLIT(C4405,""-"")"),4425.0)</f>
        <v>4425</v>
      </c>
      <c r="E4405" s="308" t="str">
        <f>IFERROR(__xludf.DUMMYFUNCTION("""COMPUTED_VALUE"""),"K")</f>
        <v>K</v>
      </c>
      <c r="F4405" s="309" t="s">
        <v>34</v>
      </c>
      <c r="G4405" s="308"/>
      <c r="H4405" s="308" t="s">
        <v>17818</v>
      </c>
      <c r="I4405" s="310">
        <v>40056.0</v>
      </c>
      <c r="J4405" s="319">
        <f>IFERROR(__xludf.DUMMYFUNCTION("SPLIT(I4405,""/"")"),31.0)</f>
        <v>31</v>
      </c>
      <c r="K4405" s="308">
        <f>IFERROR(__xludf.DUMMYFUNCTION("""COMPUTED_VALUE"""),8.0)</f>
        <v>8</v>
      </c>
      <c r="L4405" s="308">
        <f>IFERROR(__xludf.DUMMYFUNCTION("""COMPUTED_VALUE"""),2009.0)</f>
        <v>2009</v>
      </c>
      <c r="M4405" s="308" t="s">
        <v>17819</v>
      </c>
      <c r="N4405" s="308"/>
      <c r="O4405" s="308"/>
      <c r="P4405" s="308" t="s">
        <v>37128</v>
      </c>
      <c r="Q4405" s="308" t="s">
        <v>37646</v>
      </c>
      <c r="R4405" s="308" t="s">
        <v>16185</v>
      </c>
      <c r="S4405" s="315" t="s">
        <v>100</v>
      </c>
      <c r="T4405" s="311" t="s">
        <v>34208</v>
      </c>
      <c r="U4405" s="308" t="s">
        <v>530</v>
      </c>
      <c r="V4405" s="312"/>
    </row>
    <row r="4406">
      <c r="A4406" s="308">
        <v>4405.0</v>
      </c>
      <c r="B4406" s="308"/>
      <c r="C4406" s="308" t="s">
        <v>17820</v>
      </c>
      <c r="D4406" s="308">
        <f>IFERROR(__xludf.DUMMYFUNCTION("SPLIT(C4406,""-"")"),4426.0)</f>
        <v>4426</v>
      </c>
      <c r="E4406" s="308" t="str">
        <f>IFERROR(__xludf.DUMMYFUNCTION("""COMPUTED_VALUE"""),"K")</f>
        <v>K</v>
      </c>
      <c r="F4406" s="309" t="s">
        <v>34</v>
      </c>
      <c r="G4406" s="308"/>
      <c r="H4406" s="308" t="s">
        <v>17821</v>
      </c>
      <c r="I4406" s="310">
        <v>42153.0</v>
      </c>
      <c r="J4406" s="319">
        <f>IFERROR(__xludf.DUMMYFUNCTION("SPLIT(I4406,""/"")"),29.0)</f>
        <v>29</v>
      </c>
      <c r="K4406" s="308">
        <f>IFERROR(__xludf.DUMMYFUNCTION("""COMPUTED_VALUE"""),5.0)</f>
        <v>5</v>
      </c>
      <c r="L4406" s="308">
        <f>IFERROR(__xludf.DUMMYFUNCTION("""COMPUTED_VALUE"""),2015.0)</f>
        <v>2015</v>
      </c>
      <c r="M4406" s="308" t="s">
        <v>17822</v>
      </c>
      <c r="N4406" s="308"/>
      <c r="O4406" s="308"/>
      <c r="P4406" s="308" t="s">
        <v>37657</v>
      </c>
      <c r="Q4406" s="308" t="s">
        <v>37646</v>
      </c>
      <c r="R4406" s="308" t="s">
        <v>16185</v>
      </c>
      <c r="S4406" s="308" t="s">
        <v>81</v>
      </c>
      <c r="T4406" s="308" t="s">
        <v>75</v>
      </c>
      <c r="U4406" s="308" t="s">
        <v>542</v>
      </c>
      <c r="V4406" s="312"/>
    </row>
    <row r="4407">
      <c r="A4407" s="308">
        <v>4406.0</v>
      </c>
      <c r="B4407" s="308"/>
      <c r="C4407" s="308" t="s">
        <v>17824</v>
      </c>
      <c r="D4407" s="308">
        <f>IFERROR(__xludf.DUMMYFUNCTION("SPLIT(C4407,""-"")"),4427.0)</f>
        <v>4427</v>
      </c>
      <c r="E4407" s="308" t="str">
        <f>IFERROR(__xludf.DUMMYFUNCTION("""COMPUTED_VALUE"""),"S")</f>
        <v>S</v>
      </c>
      <c r="F4407" s="312" t="s">
        <v>39</v>
      </c>
      <c r="G4407" s="308"/>
      <c r="H4407" s="308" t="s">
        <v>17825</v>
      </c>
      <c r="I4407" s="310">
        <v>43002.0</v>
      </c>
      <c r="J4407" s="319">
        <f>IFERROR(__xludf.DUMMYFUNCTION("SPLIT(I4407,""/"")"),24.0)</f>
        <v>24</v>
      </c>
      <c r="K4407" s="308">
        <f>IFERROR(__xludf.DUMMYFUNCTION("""COMPUTED_VALUE"""),9.0)</f>
        <v>9</v>
      </c>
      <c r="L4407" s="308">
        <f>IFERROR(__xludf.DUMMYFUNCTION("""COMPUTED_VALUE"""),2017.0)</f>
        <v>2017</v>
      </c>
      <c r="M4407" s="308" t="s">
        <v>17826</v>
      </c>
      <c r="N4407" s="308"/>
      <c r="O4407" s="308"/>
      <c r="P4407" s="308" t="s">
        <v>37658</v>
      </c>
      <c r="Q4407" s="308" t="s">
        <v>37646</v>
      </c>
      <c r="R4407" s="308" t="s">
        <v>16185</v>
      </c>
      <c r="S4407" s="308" t="s">
        <v>81</v>
      </c>
      <c r="T4407" s="308" t="s">
        <v>75</v>
      </c>
      <c r="U4407" s="308" t="s">
        <v>166</v>
      </c>
      <c r="V4407" s="312"/>
    </row>
    <row r="4408">
      <c r="A4408" s="308">
        <v>4407.0</v>
      </c>
      <c r="B4408" s="308"/>
      <c r="C4408" s="308" t="s">
        <v>17828</v>
      </c>
      <c r="D4408" s="308">
        <f>IFERROR(__xludf.DUMMYFUNCTION("SPLIT(C4408,""-"")"),4428.0)</f>
        <v>4428</v>
      </c>
      <c r="E4408" s="308" t="str">
        <f>IFERROR(__xludf.DUMMYFUNCTION("""COMPUTED_VALUE"""),"S")</f>
        <v>S</v>
      </c>
      <c r="F4408" s="312" t="s">
        <v>39</v>
      </c>
      <c r="G4408" s="308"/>
      <c r="H4408" s="308" t="s">
        <v>17829</v>
      </c>
      <c r="I4408" s="310">
        <v>40065.0</v>
      </c>
      <c r="J4408" s="319">
        <f>IFERROR(__xludf.DUMMYFUNCTION("SPLIT(I4408,""/"")"),9.0)</f>
        <v>9</v>
      </c>
      <c r="K4408" s="308">
        <f>IFERROR(__xludf.DUMMYFUNCTION("""COMPUTED_VALUE"""),9.0)</f>
        <v>9</v>
      </c>
      <c r="L4408" s="308">
        <f>IFERROR(__xludf.DUMMYFUNCTION("""COMPUTED_VALUE"""),2009.0)</f>
        <v>2009</v>
      </c>
      <c r="M4408" s="308" t="s">
        <v>17830</v>
      </c>
      <c r="N4408" s="308"/>
      <c r="O4408" s="308"/>
      <c r="P4408" s="308" t="s">
        <v>37659</v>
      </c>
      <c r="Q4408" s="308" t="s">
        <v>37646</v>
      </c>
      <c r="R4408" s="308" t="s">
        <v>2743</v>
      </c>
      <c r="S4408" s="308" t="s">
        <v>81</v>
      </c>
      <c r="T4408" s="308" t="s">
        <v>75</v>
      </c>
      <c r="U4408" s="308" t="s">
        <v>166</v>
      </c>
      <c r="V4408" s="312"/>
    </row>
    <row r="4409">
      <c r="A4409" s="308">
        <v>4408.0</v>
      </c>
      <c r="B4409" s="308"/>
      <c r="C4409" s="308" t="s">
        <v>17832</v>
      </c>
      <c r="D4409" s="308">
        <f>IFERROR(__xludf.DUMMYFUNCTION("SPLIT(C4409,""-"")"),4429.0)</f>
        <v>4429</v>
      </c>
      <c r="E4409" s="308" t="str">
        <f>IFERROR(__xludf.DUMMYFUNCTION("""COMPUTED_VALUE"""),"A")</f>
        <v>A</v>
      </c>
      <c r="F4409" s="309" t="s">
        <v>23</v>
      </c>
      <c r="G4409" s="308"/>
      <c r="H4409" s="308" t="s">
        <v>17833</v>
      </c>
      <c r="I4409" s="310">
        <v>42122.0</v>
      </c>
      <c r="J4409" s="319">
        <f>IFERROR(__xludf.DUMMYFUNCTION("SPLIT(I4409,""/"")"),28.0)</f>
        <v>28</v>
      </c>
      <c r="K4409" s="308">
        <f>IFERROR(__xludf.DUMMYFUNCTION("""COMPUTED_VALUE"""),4.0)</f>
        <v>4</v>
      </c>
      <c r="L4409" s="308">
        <f>IFERROR(__xludf.DUMMYFUNCTION("""COMPUTED_VALUE"""),2015.0)</f>
        <v>2015</v>
      </c>
      <c r="M4409" s="308" t="s">
        <v>17834</v>
      </c>
      <c r="N4409" s="308"/>
      <c r="O4409" s="308"/>
      <c r="P4409" s="308" t="s">
        <v>17835</v>
      </c>
      <c r="Q4409" s="308" t="s">
        <v>37646</v>
      </c>
      <c r="R4409" s="308" t="s">
        <v>16185</v>
      </c>
      <c r="S4409" s="308" t="s">
        <v>81</v>
      </c>
      <c r="T4409" s="308" t="s">
        <v>98</v>
      </c>
      <c r="U4409" s="308" t="s">
        <v>403</v>
      </c>
      <c r="V4409" s="312"/>
    </row>
    <row r="4410">
      <c r="A4410" s="308">
        <v>4409.0</v>
      </c>
      <c r="B4410" s="308"/>
      <c r="C4410" s="308" t="s">
        <v>17836</v>
      </c>
      <c r="D4410" s="308" t="str">
        <f>IFERROR(__xludf.DUMMYFUNCTION("SPLIT(C4410,""-"")"),"#REF!")</f>
        <v>#REF!</v>
      </c>
      <c r="E4410" s="311"/>
      <c r="F4410" s="309" t="s">
        <v>34</v>
      </c>
      <c r="G4410" s="308"/>
      <c r="H4410" s="308" t="s">
        <v>17837</v>
      </c>
      <c r="I4410" s="310">
        <v>39995.0</v>
      </c>
      <c r="J4410" s="319">
        <f>IFERROR(__xludf.DUMMYFUNCTION("SPLIT(I4410,""/"")"),1.0)</f>
        <v>1</v>
      </c>
      <c r="K4410" s="308">
        <f>IFERROR(__xludf.DUMMYFUNCTION("""COMPUTED_VALUE"""),7.0)</f>
        <v>7</v>
      </c>
      <c r="L4410" s="308">
        <f>IFERROR(__xludf.DUMMYFUNCTION("""COMPUTED_VALUE"""),2009.0)</f>
        <v>2009</v>
      </c>
      <c r="M4410" s="308" t="s">
        <v>17838</v>
      </c>
      <c r="N4410" s="308" t="s">
        <v>4336</v>
      </c>
      <c r="O4410" s="308" t="s">
        <v>17839</v>
      </c>
      <c r="P4410" s="308" t="s">
        <v>37128</v>
      </c>
      <c r="Q4410" s="308" t="s">
        <v>37646</v>
      </c>
      <c r="R4410" s="308" t="s">
        <v>2743</v>
      </c>
      <c r="S4410" s="315" t="s">
        <v>100</v>
      </c>
      <c r="T4410" s="311" t="s">
        <v>34208</v>
      </c>
      <c r="U4410" s="308" t="s">
        <v>530</v>
      </c>
      <c r="V4410" s="312"/>
    </row>
    <row r="4411">
      <c r="A4411" s="308">
        <v>4410.0</v>
      </c>
      <c r="B4411" s="308"/>
      <c r="C4411" s="308" t="s">
        <v>17840</v>
      </c>
      <c r="D4411" s="308">
        <f>IFERROR(__xludf.DUMMYFUNCTION("SPLIT(C4411,""-"")"),4431.0)</f>
        <v>4431</v>
      </c>
      <c r="E4411" s="308" t="str">
        <f>IFERROR(__xludf.DUMMYFUNCTION("""COMPUTED_VALUE"""),"K")</f>
        <v>K</v>
      </c>
      <c r="F4411" s="309" t="s">
        <v>34</v>
      </c>
      <c r="G4411" s="308"/>
      <c r="H4411" s="308" t="s">
        <v>17841</v>
      </c>
      <c r="I4411" s="310">
        <v>42469.0</v>
      </c>
      <c r="J4411" s="319">
        <f>IFERROR(__xludf.DUMMYFUNCTION("SPLIT(I4411,""/"")"),9.0)</f>
        <v>9</v>
      </c>
      <c r="K4411" s="308">
        <f>IFERROR(__xludf.DUMMYFUNCTION("""COMPUTED_VALUE"""),4.0)</f>
        <v>4</v>
      </c>
      <c r="L4411" s="308">
        <f>IFERROR(__xludf.DUMMYFUNCTION("""COMPUTED_VALUE"""),2016.0)</f>
        <v>2016</v>
      </c>
      <c r="M4411" s="308" t="s">
        <v>17842</v>
      </c>
      <c r="N4411" s="308"/>
      <c r="O4411" s="308"/>
      <c r="P4411" s="308" t="s">
        <v>17843</v>
      </c>
      <c r="Q4411" s="308" t="s">
        <v>37646</v>
      </c>
      <c r="R4411" s="308" t="s">
        <v>2743</v>
      </c>
      <c r="S4411" s="308" t="s">
        <v>81</v>
      </c>
      <c r="T4411" s="308" t="s">
        <v>34264</v>
      </c>
      <c r="U4411" s="308" t="s">
        <v>2152</v>
      </c>
      <c r="V4411" s="312"/>
    </row>
    <row r="4412">
      <c r="A4412" s="308">
        <v>4411.0</v>
      </c>
      <c r="B4412" s="308"/>
      <c r="C4412" s="308" t="s">
        <v>17844</v>
      </c>
      <c r="D4412" s="308">
        <f>IFERROR(__xludf.DUMMYFUNCTION("SPLIT(C4412,""-"")"),4432.0)</f>
        <v>4432</v>
      </c>
      <c r="E4412" s="308" t="str">
        <f>IFERROR(__xludf.DUMMYFUNCTION("""COMPUTED_VALUE"""),"K")</f>
        <v>K</v>
      </c>
      <c r="F4412" s="309" t="s">
        <v>34</v>
      </c>
      <c r="G4412" s="308"/>
      <c r="H4412" s="308" t="s">
        <v>17845</v>
      </c>
      <c r="I4412" s="310">
        <v>40047.0</v>
      </c>
      <c r="J4412" s="319">
        <f>IFERROR(__xludf.DUMMYFUNCTION("SPLIT(I4412,""/"")"),22.0)</f>
        <v>22</v>
      </c>
      <c r="K4412" s="308">
        <f>IFERROR(__xludf.DUMMYFUNCTION("""COMPUTED_VALUE"""),8.0)</f>
        <v>8</v>
      </c>
      <c r="L4412" s="308">
        <f>IFERROR(__xludf.DUMMYFUNCTION("""COMPUTED_VALUE"""),2009.0)</f>
        <v>2009</v>
      </c>
      <c r="M4412" s="308" t="s">
        <v>17846</v>
      </c>
      <c r="N4412" s="308"/>
      <c r="O4412" s="308"/>
      <c r="P4412" s="308" t="s">
        <v>1392</v>
      </c>
      <c r="Q4412" s="308" t="s">
        <v>37646</v>
      </c>
      <c r="R4412" s="308" t="s">
        <v>2743</v>
      </c>
      <c r="S4412" s="308" t="s">
        <v>49</v>
      </c>
      <c r="T4412" s="315" t="s">
        <v>69</v>
      </c>
      <c r="U4412" s="308" t="s">
        <v>530</v>
      </c>
      <c r="V4412" s="312"/>
    </row>
    <row r="4413">
      <c r="A4413" s="308">
        <v>4412.0</v>
      </c>
      <c r="B4413" s="308"/>
      <c r="C4413" s="308" t="s">
        <v>17847</v>
      </c>
      <c r="D4413" s="308">
        <f>IFERROR(__xludf.DUMMYFUNCTION("SPLIT(C4413,""-"")"),4433.0)</f>
        <v>4433</v>
      </c>
      <c r="E4413" s="308" t="str">
        <f>IFERROR(__xludf.DUMMYFUNCTION("""COMPUTED_VALUE"""),"K")</f>
        <v>K</v>
      </c>
      <c r="F4413" s="309" t="s">
        <v>34</v>
      </c>
      <c r="G4413" s="308"/>
      <c r="H4413" s="308" t="s">
        <v>17848</v>
      </c>
      <c r="I4413" s="310">
        <v>41109.0</v>
      </c>
      <c r="J4413" s="319">
        <f>IFERROR(__xludf.DUMMYFUNCTION("SPLIT(I4413,""/"")"),19.0)</f>
        <v>19</v>
      </c>
      <c r="K4413" s="308">
        <f>IFERROR(__xludf.DUMMYFUNCTION("""COMPUTED_VALUE"""),7.0)</f>
        <v>7</v>
      </c>
      <c r="L4413" s="308">
        <f>IFERROR(__xludf.DUMMYFUNCTION("""COMPUTED_VALUE"""),2012.0)</f>
        <v>2012</v>
      </c>
      <c r="M4413" s="308" t="s">
        <v>17849</v>
      </c>
      <c r="N4413" s="308"/>
      <c r="O4413" s="308"/>
      <c r="P4413" s="308" t="s">
        <v>37660</v>
      </c>
      <c r="Q4413" s="308" t="s">
        <v>37646</v>
      </c>
      <c r="R4413" s="308" t="s">
        <v>2743</v>
      </c>
      <c r="S4413" s="308" t="s">
        <v>81</v>
      </c>
      <c r="T4413" s="308" t="s">
        <v>34264</v>
      </c>
      <c r="U4413" s="308" t="s">
        <v>530</v>
      </c>
      <c r="V4413" s="312"/>
    </row>
    <row r="4414">
      <c r="A4414" s="308">
        <v>4413.0</v>
      </c>
      <c r="B4414" s="308"/>
      <c r="C4414" s="308" t="s">
        <v>17851</v>
      </c>
      <c r="D4414" s="308">
        <f>IFERROR(__xludf.DUMMYFUNCTION("SPLIT(C4414,""-"")"),4434.0)</f>
        <v>4434</v>
      </c>
      <c r="E4414" s="308" t="str">
        <f>IFERROR(__xludf.DUMMYFUNCTION("""COMPUTED_VALUE"""),"B")</f>
        <v>B</v>
      </c>
      <c r="F4414" s="315" t="s">
        <v>26</v>
      </c>
      <c r="G4414" s="308"/>
      <c r="H4414" s="308" t="s">
        <v>17852</v>
      </c>
      <c r="I4414" s="314">
        <v>41958.0</v>
      </c>
      <c r="J4414" s="319">
        <f>IFERROR(__xludf.DUMMYFUNCTION("SPLIT(I4414,""/"")"),15.0)</f>
        <v>15</v>
      </c>
      <c r="K4414" s="308">
        <f>IFERROR(__xludf.DUMMYFUNCTION("""COMPUTED_VALUE"""),11.0)</f>
        <v>11</v>
      </c>
      <c r="L4414" s="308">
        <f>IFERROR(__xludf.DUMMYFUNCTION("""COMPUTED_VALUE"""),2014.0)</f>
        <v>2014</v>
      </c>
      <c r="M4414" s="308" t="s">
        <v>17853</v>
      </c>
      <c r="N4414" s="308"/>
      <c r="O4414" s="308"/>
      <c r="P4414" s="308" t="s">
        <v>37661</v>
      </c>
      <c r="Q4414" s="308" t="s">
        <v>37646</v>
      </c>
      <c r="R4414" s="308" t="s">
        <v>13542</v>
      </c>
      <c r="S4414" s="308" t="s">
        <v>81</v>
      </c>
      <c r="T4414" s="308" t="s">
        <v>75</v>
      </c>
      <c r="U4414" s="308" t="s">
        <v>27</v>
      </c>
      <c r="V4414" s="312"/>
    </row>
    <row r="4415">
      <c r="A4415" s="308">
        <v>4414.0</v>
      </c>
      <c r="B4415" s="308"/>
      <c r="C4415" s="308" t="s">
        <v>17855</v>
      </c>
      <c r="D4415" s="308">
        <f>IFERROR(__xludf.DUMMYFUNCTION("SPLIT(C4415,""-"")"),4435.0)</f>
        <v>4435</v>
      </c>
      <c r="E4415" s="308" t="str">
        <f>IFERROR(__xludf.DUMMYFUNCTION("""COMPUTED_VALUE"""),"B")</f>
        <v>B</v>
      </c>
      <c r="F4415" s="315" t="s">
        <v>26</v>
      </c>
      <c r="G4415" s="308"/>
      <c r="H4415" s="308" t="s">
        <v>37662</v>
      </c>
      <c r="I4415" s="310">
        <v>42768.0</v>
      </c>
      <c r="J4415" s="319">
        <f>IFERROR(__xludf.DUMMYFUNCTION("SPLIT(I4415,""/"")"),2.0)</f>
        <v>2</v>
      </c>
      <c r="K4415" s="308">
        <f>IFERROR(__xludf.DUMMYFUNCTION("""COMPUTED_VALUE"""),2.0)</f>
        <v>2</v>
      </c>
      <c r="L4415" s="308">
        <f>IFERROR(__xludf.DUMMYFUNCTION("""COMPUTED_VALUE"""),2017.0)</f>
        <v>2017</v>
      </c>
      <c r="M4415" s="308" t="s">
        <v>17857</v>
      </c>
      <c r="N4415" s="308"/>
      <c r="O4415" s="308"/>
      <c r="P4415" s="308" t="s">
        <v>17858</v>
      </c>
      <c r="Q4415" s="308" t="s">
        <v>37646</v>
      </c>
      <c r="R4415" s="308" t="s">
        <v>13542</v>
      </c>
      <c r="S4415" s="308" t="s">
        <v>81</v>
      </c>
      <c r="T4415" s="308" t="s">
        <v>75</v>
      </c>
      <c r="U4415" s="308" t="s">
        <v>27</v>
      </c>
      <c r="V4415" s="312"/>
    </row>
    <row r="4416">
      <c r="A4416" s="308">
        <v>4415.0</v>
      </c>
      <c r="B4416" s="308"/>
      <c r="C4416" s="308" t="s">
        <v>17859</v>
      </c>
      <c r="D4416" s="308">
        <f>IFERROR(__xludf.DUMMYFUNCTION("SPLIT(C4416,""-"")"),4436.0)</f>
        <v>4436</v>
      </c>
      <c r="E4416" s="308" t="str">
        <f>IFERROR(__xludf.DUMMYFUNCTION("""COMPUTED_VALUE"""),"B")</f>
        <v>B</v>
      </c>
      <c r="F4416" s="315" t="s">
        <v>26</v>
      </c>
      <c r="G4416" s="308"/>
      <c r="H4416" s="308" t="s">
        <v>17860</v>
      </c>
      <c r="I4416" s="310">
        <v>42768.0</v>
      </c>
      <c r="J4416" s="319">
        <f>IFERROR(__xludf.DUMMYFUNCTION("SPLIT(I4416,""/"")"),2.0)</f>
        <v>2</v>
      </c>
      <c r="K4416" s="308">
        <f>IFERROR(__xludf.DUMMYFUNCTION("""COMPUTED_VALUE"""),2.0)</f>
        <v>2</v>
      </c>
      <c r="L4416" s="308">
        <f>IFERROR(__xludf.DUMMYFUNCTION("""COMPUTED_VALUE"""),2017.0)</f>
        <v>2017</v>
      </c>
      <c r="M4416" s="308" t="s">
        <v>17857</v>
      </c>
      <c r="N4416" s="308"/>
      <c r="O4416" s="308"/>
      <c r="P4416" s="308" t="s">
        <v>37663</v>
      </c>
      <c r="Q4416" s="308" t="s">
        <v>37646</v>
      </c>
      <c r="R4416" s="308" t="s">
        <v>13542</v>
      </c>
      <c r="S4416" s="308" t="s">
        <v>81</v>
      </c>
      <c r="T4416" s="311" t="s">
        <v>96</v>
      </c>
      <c r="U4416" s="308" t="s">
        <v>27</v>
      </c>
      <c r="V4416" s="312"/>
    </row>
    <row r="4417">
      <c r="A4417" s="308">
        <v>4416.0</v>
      </c>
      <c r="B4417" s="308"/>
      <c r="C4417" s="308" t="s">
        <v>17862</v>
      </c>
      <c r="D4417" s="308">
        <f>IFERROR(__xludf.DUMMYFUNCTION("SPLIT(C4417,""-"")"),4437.0)</f>
        <v>4437</v>
      </c>
      <c r="E4417" s="308" t="str">
        <f>IFERROR(__xludf.DUMMYFUNCTION("""COMPUTED_VALUE"""),"S")</f>
        <v>S</v>
      </c>
      <c r="F4417" s="312" t="s">
        <v>39</v>
      </c>
      <c r="G4417" s="308"/>
      <c r="H4417" s="308" t="s">
        <v>17863</v>
      </c>
      <c r="I4417" s="310">
        <v>42837.0</v>
      </c>
      <c r="J4417" s="319">
        <f>IFERROR(__xludf.DUMMYFUNCTION("SPLIT(I4417,""/"")"),12.0)</f>
        <v>12</v>
      </c>
      <c r="K4417" s="308">
        <f>IFERROR(__xludf.DUMMYFUNCTION("""COMPUTED_VALUE"""),4.0)</f>
        <v>4</v>
      </c>
      <c r="L4417" s="308">
        <f>IFERROR(__xludf.DUMMYFUNCTION("""COMPUTED_VALUE"""),2017.0)</f>
        <v>2017</v>
      </c>
      <c r="M4417" s="308" t="s">
        <v>17864</v>
      </c>
      <c r="N4417" s="308"/>
      <c r="O4417" s="308"/>
      <c r="P4417" s="308" t="s">
        <v>17865</v>
      </c>
      <c r="Q4417" s="308" t="s">
        <v>37646</v>
      </c>
      <c r="R4417" s="308" t="s">
        <v>2743</v>
      </c>
      <c r="S4417" s="308" t="s">
        <v>81</v>
      </c>
      <c r="T4417" s="308" t="s">
        <v>75</v>
      </c>
      <c r="U4417" s="308" t="s">
        <v>166</v>
      </c>
      <c r="V4417" s="312"/>
    </row>
    <row r="4418">
      <c r="A4418" s="308">
        <v>4417.0</v>
      </c>
      <c r="B4418" s="308"/>
      <c r="C4418" s="308" t="s">
        <v>17866</v>
      </c>
      <c r="D4418" s="308">
        <f>IFERROR(__xludf.DUMMYFUNCTION("SPLIT(C4418,""-"")"),4438.0)</f>
        <v>4438</v>
      </c>
      <c r="E4418" s="308" t="str">
        <f>IFERROR(__xludf.DUMMYFUNCTION("""COMPUTED_VALUE"""),"S")</f>
        <v>S</v>
      </c>
      <c r="F4418" s="312" t="s">
        <v>39</v>
      </c>
      <c r="G4418" s="308"/>
      <c r="H4418" s="308" t="s">
        <v>17867</v>
      </c>
      <c r="I4418" s="310">
        <v>40724.0</v>
      </c>
      <c r="J4418" s="319">
        <f>IFERROR(__xludf.DUMMYFUNCTION("SPLIT(I4418,""/"")"),30.0)</f>
        <v>30</v>
      </c>
      <c r="K4418" s="308">
        <f>IFERROR(__xludf.DUMMYFUNCTION("""COMPUTED_VALUE"""),6.0)</f>
        <v>6</v>
      </c>
      <c r="L4418" s="308">
        <f>IFERROR(__xludf.DUMMYFUNCTION("""COMPUTED_VALUE"""),2011.0)</f>
        <v>2011</v>
      </c>
      <c r="M4418" s="308" t="s">
        <v>17868</v>
      </c>
      <c r="N4418" s="308"/>
      <c r="O4418" s="308"/>
      <c r="P4418" s="308" t="s">
        <v>17869</v>
      </c>
      <c r="Q4418" s="308" t="s">
        <v>37646</v>
      </c>
      <c r="R4418" s="308" t="s">
        <v>2743</v>
      </c>
      <c r="S4418" s="308" t="s">
        <v>49</v>
      </c>
      <c r="T4418" s="308" t="s">
        <v>67</v>
      </c>
      <c r="U4418" s="308" t="s">
        <v>166</v>
      </c>
      <c r="V4418" s="312"/>
    </row>
    <row r="4419">
      <c r="A4419" s="308">
        <v>4418.0</v>
      </c>
      <c r="B4419" s="308"/>
      <c r="C4419" s="308" t="s">
        <v>17870</v>
      </c>
      <c r="D4419" s="308">
        <f>IFERROR(__xludf.DUMMYFUNCTION("SPLIT(C4419,""-"")"),4439.0)</f>
        <v>4439</v>
      </c>
      <c r="E4419" s="308" t="str">
        <f>IFERROR(__xludf.DUMMYFUNCTION("""COMPUTED_VALUE"""),"S")</f>
        <v>S</v>
      </c>
      <c r="F4419" s="312" t="s">
        <v>39</v>
      </c>
      <c r="G4419" s="308"/>
      <c r="H4419" s="308" t="s">
        <v>17871</v>
      </c>
      <c r="I4419" s="310">
        <v>40630.0</v>
      </c>
      <c r="J4419" s="319">
        <f>IFERROR(__xludf.DUMMYFUNCTION("SPLIT(I4419,""/"")"),28.0)</f>
        <v>28</v>
      </c>
      <c r="K4419" s="308">
        <f>IFERROR(__xludf.DUMMYFUNCTION("""COMPUTED_VALUE"""),3.0)</f>
        <v>3</v>
      </c>
      <c r="L4419" s="308">
        <f>IFERROR(__xludf.DUMMYFUNCTION("""COMPUTED_VALUE"""),2011.0)</f>
        <v>2011</v>
      </c>
      <c r="M4419" s="308" t="s">
        <v>17872</v>
      </c>
      <c r="N4419" s="308"/>
      <c r="O4419" s="308"/>
      <c r="P4419" s="308" t="s">
        <v>37664</v>
      </c>
      <c r="Q4419" s="308" t="s">
        <v>37665</v>
      </c>
      <c r="R4419" s="308" t="s">
        <v>17727</v>
      </c>
      <c r="S4419" s="308" t="s">
        <v>81</v>
      </c>
      <c r="T4419" s="311" t="s">
        <v>53</v>
      </c>
      <c r="U4419" s="308" t="s">
        <v>166</v>
      </c>
      <c r="V4419" s="312"/>
    </row>
    <row r="4420">
      <c r="A4420" s="308">
        <v>4419.0</v>
      </c>
      <c r="B4420" s="308"/>
      <c r="C4420" s="308" t="s">
        <v>17874</v>
      </c>
      <c r="D4420" s="308">
        <f>IFERROR(__xludf.DUMMYFUNCTION("SPLIT(C4420,""-"")"),4440.0)</f>
        <v>4440</v>
      </c>
      <c r="E4420" s="308" t="str">
        <f>IFERROR(__xludf.DUMMYFUNCTION("""COMPUTED_VALUE"""),"K")</f>
        <v>K</v>
      </c>
      <c r="F4420" s="309" t="s">
        <v>34</v>
      </c>
      <c r="G4420" s="308"/>
      <c r="H4420" s="308" t="s">
        <v>17875</v>
      </c>
      <c r="I4420" s="310">
        <v>41476.0</v>
      </c>
      <c r="J4420" s="319">
        <f>IFERROR(__xludf.DUMMYFUNCTION("SPLIT(I4420,""/"")"),21.0)</f>
        <v>21</v>
      </c>
      <c r="K4420" s="308">
        <f>IFERROR(__xludf.DUMMYFUNCTION("""COMPUTED_VALUE"""),7.0)</f>
        <v>7</v>
      </c>
      <c r="L4420" s="308">
        <f>IFERROR(__xludf.DUMMYFUNCTION("""COMPUTED_VALUE"""),2013.0)</f>
        <v>2013</v>
      </c>
      <c r="M4420" s="308" t="s">
        <v>17876</v>
      </c>
      <c r="N4420" s="308"/>
      <c r="O4420" s="308"/>
      <c r="P4420" s="308" t="s">
        <v>17877</v>
      </c>
      <c r="Q4420" s="308" t="s">
        <v>37666</v>
      </c>
      <c r="R4420" s="308" t="s">
        <v>2743</v>
      </c>
      <c r="S4420" s="308" t="s">
        <v>81</v>
      </c>
      <c r="T4420" s="308" t="s">
        <v>34264</v>
      </c>
      <c r="U4420" s="308" t="s">
        <v>125</v>
      </c>
      <c r="V4420" s="312"/>
    </row>
    <row r="4421">
      <c r="A4421" s="308">
        <v>4420.0</v>
      </c>
      <c r="B4421" s="308"/>
      <c r="C4421" s="308" t="s">
        <v>17878</v>
      </c>
      <c r="D4421" s="308">
        <f>IFERROR(__xludf.DUMMYFUNCTION("SPLIT(C4421,""-"")"),4441.0)</f>
        <v>4441</v>
      </c>
      <c r="E4421" s="308" t="str">
        <f>IFERROR(__xludf.DUMMYFUNCTION("""COMPUTED_VALUE"""),"K")</f>
        <v>K</v>
      </c>
      <c r="F4421" s="309" t="s">
        <v>34</v>
      </c>
      <c r="G4421" s="308"/>
      <c r="H4421" s="308" t="s">
        <v>17879</v>
      </c>
      <c r="I4421" s="310">
        <v>42948.0</v>
      </c>
      <c r="J4421" s="319" t="str">
        <f>IFERROR(__xludf.DUMMYFUNCTION("SPLIT(I4421,""/"")"),"#REF!")</f>
        <v>#REF!</v>
      </c>
      <c r="K4421" s="308"/>
      <c r="L4421" s="308">
        <v>2017.0</v>
      </c>
      <c r="M4421" s="308" t="s">
        <v>17880</v>
      </c>
      <c r="N4421" s="308"/>
      <c r="O4421" s="308"/>
      <c r="P4421" s="308" t="s">
        <v>37667</v>
      </c>
      <c r="Q4421" s="308" t="s">
        <v>37666</v>
      </c>
      <c r="R4421" s="308" t="s">
        <v>2743</v>
      </c>
      <c r="S4421" s="308" t="s">
        <v>81</v>
      </c>
      <c r="T4421" s="311" t="s">
        <v>75</v>
      </c>
      <c r="U4421" s="308" t="s">
        <v>125</v>
      </c>
      <c r="V4421" s="312"/>
    </row>
    <row r="4422">
      <c r="A4422" s="308">
        <v>4421.0</v>
      </c>
      <c r="B4422" s="308"/>
      <c r="C4422" s="308" t="s">
        <v>17882</v>
      </c>
      <c r="D4422" s="308">
        <f>IFERROR(__xludf.DUMMYFUNCTION("SPLIT(C4422,""-"")"),4442.0)</f>
        <v>4442</v>
      </c>
      <c r="E4422" s="308" t="str">
        <f>IFERROR(__xludf.DUMMYFUNCTION("""COMPUTED_VALUE"""),"K")</f>
        <v>K</v>
      </c>
      <c r="F4422" s="309" t="s">
        <v>34</v>
      </c>
      <c r="G4422" s="308"/>
      <c r="H4422" s="308" t="s">
        <v>17883</v>
      </c>
      <c r="I4422" s="310">
        <v>41396.0</v>
      </c>
      <c r="J4422" s="319">
        <f>IFERROR(__xludf.DUMMYFUNCTION("SPLIT(I4422,""/"")"),2.0)</f>
        <v>2</v>
      </c>
      <c r="K4422" s="308">
        <f>IFERROR(__xludf.DUMMYFUNCTION("""COMPUTED_VALUE"""),5.0)</f>
        <v>5</v>
      </c>
      <c r="L4422" s="308">
        <f>IFERROR(__xludf.DUMMYFUNCTION("""COMPUTED_VALUE"""),2013.0)</f>
        <v>2013</v>
      </c>
      <c r="M4422" s="308" t="s">
        <v>17884</v>
      </c>
      <c r="N4422" s="308"/>
      <c r="O4422" s="308" t="s">
        <v>17885</v>
      </c>
      <c r="P4422" s="308" t="s">
        <v>17886</v>
      </c>
      <c r="Q4422" s="308" t="s">
        <v>37666</v>
      </c>
      <c r="R4422" s="308" t="s">
        <v>2743</v>
      </c>
      <c r="S4422" s="308" t="s">
        <v>81</v>
      </c>
      <c r="T4422" s="308" t="s">
        <v>34264</v>
      </c>
      <c r="U4422" s="308" t="s">
        <v>368</v>
      </c>
      <c r="V4422" s="312"/>
    </row>
    <row r="4423">
      <c r="A4423" s="308">
        <v>4422.0</v>
      </c>
      <c r="B4423" s="308"/>
      <c r="C4423" s="308" t="s">
        <v>17887</v>
      </c>
      <c r="D4423" s="308">
        <f>IFERROR(__xludf.DUMMYFUNCTION("SPLIT(C4423,""-"")"),4443.0)</f>
        <v>4443</v>
      </c>
      <c r="E4423" s="308" t="str">
        <f>IFERROR(__xludf.DUMMYFUNCTION("""COMPUTED_VALUE"""),"K")</f>
        <v>K</v>
      </c>
      <c r="F4423" s="309" t="s">
        <v>34</v>
      </c>
      <c r="G4423" s="308"/>
      <c r="H4423" s="308" t="s">
        <v>17888</v>
      </c>
      <c r="I4423" s="310">
        <v>41648.0</v>
      </c>
      <c r="J4423" s="319">
        <f>IFERROR(__xludf.DUMMYFUNCTION("SPLIT(I4423,""/"")"),9.0)</f>
        <v>9</v>
      </c>
      <c r="K4423" s="308">
        <f>IFERROR(__xludf.DUMMYFUNCTION("""COMPUTED_VALUE"""),1.0)</f>
        <v>1</v>
      </c>
      <c r="L4423" s="308">
        <f>IFERROR(__xludf.DUMMYFUNCTION("""COMPUTED_VALUE"""),2014.0)</f>
        <v>2014</v>
      </c>
      <c r="M4423" s="308" t="s">
        <v>17889</v>
      </c>
      <c r="N4423" s="308"/>
      <c r="O4423" s="308"/>
      <c r="P4423" s="308" t="s">
        <v>37209</v>
      </c>
      <c r="Q4423" s="308" t="s">
        <v>37666</v>
      </c>
      <c r="R4423" s="308" t="s">
        <v>2743</v>
      </c>
      <c r="S4423" s="315" t="s">
        <v>100</v>
      </c>
      <c r="T4423" s="311" t="s">
        <v>34208</v>
      </c>
      <c r="U4423" s="308" t="s">
        <v>125</v>
      </c>
      <c r="V4423" s="312"/>
    </row>
    <row r="4424">
      <c r="A4424" s="308">
        <v>4423.0</v>
      </c>
      <c r="B4424" s="308"/>
      <c r="C4424" s="308" t="s">
        <v>17890</v>
      </c>
      <c r="D4424" s="308">
        <f>IFERROR(__xludf.DUMMYFUNCTION("SPLIT(C4424,""-"")"),4444.0)</f>
        <v>4444</v>
      </c>
      <c r="E4424" s="308" t="str">
        <f>IFERROR(__xludf.DUMMYFUNCTION("""COMPUTED_VALUE"""),"K")</f>
        <v>K</v>
      </c>
      <c r="F4424" s="309" t="s">
        <v>34</v>
      </c>
      <c r="G4424" s="308"/>
      <c r="H4424" s="308" t="s">
        <v>17891</v>
      </c>
      <c r="I4424" s="310">
        <v>40615.0</v>
      </c>
      <c r="J4424" s="319">
        <f>IFERROR(__xludf.DUMMYFUNCTION("SPLIT(I4424,""/"")"),13.0)</f>
        <v>13</v>
      </c>
      <c r="K4424" s="308">
        <f>IFERROR(__xludf.DUMMYFUNCTION("""COMPUTED_VALUE"""),3.0)</f>
        <v>3</v>
      </c>
      <c r="L4424" s="308">
        <f>IFERROR(__xludf.DUMMYFUNCTION("""COMPUTED_VALUE"""),2011.0)</f>
        <v>2011</v>
      </c>
      <c r="M4424" s="308" t="s">
        <v>17892</v>
      </c>
      <c r="N4424" s="308"/>
      <c r="O4424" s="308"/>
      <c r="P4424" s="308" t="s">
        <v>17893</v>
      </c>
      <c r="Q4424" s="308" t="s">
        <v>37666</v>
      </c>
      <c r="R4424" s="308" t="s">
        <v>2743</v>
      </c>
      <c r="S4424" s="308" t="s">
        <v>81</v>
      </c>
      <c r="T4424" s="308" t="s">
        <v>34264</v>
      </c>
      <c r="U4424" s="308" t="s">
        <v>282</v>
      </c>
      <c r="V4424" s="312"/>
    </row>
    <row r="4425">
      <c r="A4425" s="308">
        <v>4424.0</v>
      </c>
      <c r="B4425" s="308"/>
      <c r="C4425" s="308" t="s">
        <v>17894</v>
      </c>
      <c r="D4425" s="308">
        <f>IFERROR(__xludf.DUMMYFUNCTION("SPLIT(C4425,""-"")"),4445.0)</f>
        <v>4445</v>
      </c>
      <c r="E4425" s="308" t="str">
        <f>IFERROR(__xludf.DUMMYFUNCTION("""COMPUTED_VALUE"""),"K")</f>
        <v>K</v>
      </c>
      <c r="F4425" s="309" t="s">
        <v>34</v>
      </c>
      <c r="G4425" s="308"/>
      <c r="H4425" s="308" t="s">
        <v>17895</v>
      </c>
      <c r="I4425" s="310">
        <v>42769.0</v>
      </c>
      <c r="J4425" s="319" t="str">
        <f>IFERROR(__xludf.DUMMYFUNCTION("SPLIT(I4425,""/"")"),"#REF!")</f>
        <v>#REF!</v>
      </c>
      <c r="K4425" s="308"/>
      <c r="L4425" s="308">
        <v>2017.0</v>
      </c>
      <c r="M4425" s="308" t="s">
        <v>17896</v>
      </c>
      <c r="N4425" s="308"/>
      <c r="O4425" s="308"/>
      <c r="P4425" s="308" t="s">
        <v>37668</v>
      </c>
      <c r="Q4425" s="308" t="s">
        <v>37666</v>
      </c>
      <c r="R4425" s="308" t="s">
        <v>2743</v>
      </c>
      <c r="S4425" s="308" t="s">
        <v>49</v>
      </c>
      <c r="T4425" s="311" t="s">
        <v>69</v>
      </c>
      <c r="U4425" s="308" t="s">
        <v>125</v>
      </c>
      <c r="V4425" s="312"/>
    </row>
    <row r="4426">
      <c r="A4426" s="308">
        <v>4425.0</v>
      </c>
      <c r="B4426" s="308"/>
      <c r="C4426" s="308" t="s">
        <v>17898</v>
      </c>
      <c r="D4426" s="308">
        <f>IFERROR(__xludf.DUMMYFUNCTION("SPLIT(C4426,""-"")"),4446.0)</f>
        <v>4446</v>
      </c>
      <c r="E4426" s="308" t="str">
        <f>IFERROR(__xludf.DUMMYFUNCTION("""COMPUTED_VALUE"""),"S")</f>
        <v>S</v>
      </c>
      <c r="F4426" s="312" t="s">
        <v>39</v>
      </c>
      <c r="G4426" s="308"/>
      <c r="H4426" s="308" t="s">
        <v>17899</v>
      </c>
      <c r="I4426" s="310">
        <v>42947.0</v>
      </c>
      <c r="J4426" s="319">
        <f>IFERROR(__xludf.DUMMYFUNCTION("SPLIT(I4426,""/"")"),31.0)</f>
        <v>31</v>
      </c>
      <c r="K4426" s="308">
        <f>IFERROR(__xludf.DUMMYFUNCTION("""COMPUTED_VALUE"""),7.0)</f>
        <v>7</v>
      </c>
      <c r="L4426" s="308">
        <f>IFERROR(__xludf.DUMMYFUNCTION("""COMPUTED_VALUE"""),2017.0)</f>
        <v>2017</v>
      </c>
      <c r="M4426" s="308" t="s">
        <v>17900</v>
      </c>
      <c r="N4426" s="308"/>
      <c r="O4426" s="308"/>
      <c r="P4426" s="308" t="s">
        <v>17901</v>
      </c>
      <c r="Q4426" s="308" t="s">
        <v>37666</v>
      </c>
      <c r="R4426" s="308" t="s">
        <v>2743</v>
      </c>
      <c r="S4426" s="308" t="s">
        <v>49</v>
      </c>
      <c r="T4426" s="308" t="s">
        <v>53</v>
      </c>
      <c r="U4426" s="308" t="s">
        <v>166</v>
      </c>
      <c r="V4426" s="312"/>
    </row>
    <row r="4427">
      <c r="A4427" s="308">
        <v>4426.0</v>
      </c>
      <c r="B4427" s="308"/>
      <c r="C4427" s="308" t="s">
        <v>17902</v>
      </c>
      <c r="D4427" s="308">
        <f>IFERROR(__xludf.DUMMYFUNCTION("SPLIT(C4427,""-"")"),4447.0)</f>
        <v>4447</v>
      </c>
      <c r="E4427" s="308" t="str">
        <f>IFERROR(__xludf.DUMMYFUNCTION("""COMPUTED_VALUE"""),"P")</f>
        <v>P</v>
      </c>
      <c r="F4427" s="312" t="s">
        <v>37</v>
      </c>
      <c r="G4427" s="308"/>
      <c r="H4427" s="308" t="s">
        <v>17903</v>
      </c>
      <c r="I4427" s="314">
        <v>41601.0</v>
      </c>
      <c r="J4427" s="319">
        <f>IFERROR(__xludf.DUMMYFUNCTION("SPLIT(I4427,""/"")"),23.0)</f>
        <v>23</v>
      </c>
      <c r="K4427" s="308">
        <f>IFERROR(__xludf.DUMMYFUNCTION("""COMPUTED_VALUE"""),11.0)</f>
        <v>11</v>
      </c>
      <c r="L4427" s="308">
        <f>IFERROR(__xludf.DUMMYFUNCTION("""COMPUTED_VALUE"""),2013.0)</f>
        <v>2013</v>
      </c>
      <c r="M4427" s="308" t="s">
        <v>17904</v>
      </c>
      <c r="N4427" s="308"/>
      <c r="O4427" s="308"/>
      <c r="P4427" s="308" t="s">
        <v>37669</v>
      </c>
      <c r="Q4427" s="308" t="s">
        <v>37666</v>
      </c>
      <c r="R4427" s="308" t="s">
        <v>2743</v>
      </c>
      <c r="S4427" s="308" t="s">
        <v>49</v>
      </c>
      <c r="T4427" s="311" t="s">
        <v>51</v>
      </c>
      <c r="U4427" s="308" t="s">
        <v>143</v>
      </c>
      <c r="V4427" s="312"/>
    </row>
    <row r="4428">
      <c r="A4428" s="308">
        <v>4427.0</v>
      </c>
      <c r="B4428" s="308"/>
      <c r="C4428" s="308" t="s">
        <v>17906</v>
      </c>
      <c r="D4428" s="308">
        <f>IFERROR(__xludf.DUMMYFUNCTION("SPLIT(C4428,""-"")"),4448.0)</f>
        <v>4448</v>
      </c>
      <c r="E4428" s="308" t="str">
        <f>IFERROR(__xludf.DUMMYFUNCTION("""COMPUTED_VALUE"""),"P")</f>
        <v>P</v>
      </c>
      <c r="F4428" s="312" t="s">
        <v>37</v>
      </c>
      <c r="G4428" s="308"/>
      <c r="H4428" s="308" t="s">
        <v>17907</v>
      </c>
      <c r="I4428" s="310">
        <v>43008.0</v>
      </c>
      <c r="J4428" s="319">
        <f>IFERROR(__xludf.DUMMYFUNCTION("SPLIT(I4428,""/"")"),30.0)</f>
        <v>30</v>
      </c>
      <c r="K4428" s="308">
        <f>IFERROR(__xludf.DUMMYFUNCTION("""COMPUTED_VALUE"""),9.0)</f>
        <v>9</v>
      </c>
      <c r="L4428" s="308">
        <f>IFERROR(__xludf.DUMMYFUNCTION("""COMPUTED_VALUE"""),2017.0)</f>
        <v>2017</v>
      </c>
      <c r="M4428" s="308" t="s">
        <v>17908</v>
      </c>
      <c r="N4428" s="308"/>
      <c r="O4428" s="308" t="s">
        <v>17909</v>
      </c>
      <c r="P4428" s="308" t="s">
        <v>35783</v>
      </c>
      <c r="Q4428" s="308" t="s">
        <v>37666</v>
      </c>
      <c r="R4428" s="308" t="s">
        <v>2743</v>
      </c>
      <c r="S4428" s="308" t="s">
        <v>81</v>
      </c>
      <c r="T4428" s="308" t="s">
        <v>63</v>
      </c>
      <c r="U4428" s="308" t="s">
        <v>1711</v>
      </c>
      <c r="V4428" s="312"/>
    </row>
    <row r="4429">
      <c r="A4429" s="308">
        <v>4428.0</v>
      </c>
      <c r="B4429" s="308"/>
      <c r="C4429" s="308" t="s">
        <v>17910</v>
      </c>
      <c r="D4429" s="308">
        <f>IFERROR(__xludf.DUMMYFUNCTION("SPLIT(C4429,""-"")"),4449.0)</f>
        <v>4449</v>
      </c>
      <c r="E4429" s="308" t="str">
        <f>IFERROR(__xludf.DUMMYFUNCTION("""COMPUTED_VALUE"""),"F")</f>
        <v>F</v>
      </c>
      <c r="F4429" s="309" t="s">
        <v>34</v>
      </c>
      <c r="G4429" s="308"/>
      <c r="H4429" s="308" t="s">
        <v>17911</v>
      </c>
      <c r="I4429" s="314">
        <v>42659.0</v>
      </c>
      <c r="J4429" s="319">
        <f>IFERROR(__xludf.DUMMYFUNCTION("SPLIT(I4429,""/"")"),16.0)</f>
        <v>16</v>
      </c>
      <c r="K4429" s="308">
        <f>IFERROR(__xludf.DUMMYFUNCTION("""COMPUTED_VALUE"""),10.0)</f>
        <v>10</v>
      </c>
      <c r="L4429" s="308">
        <f>IFERROR(__xludf.DUMMYFUNCTION("""COMPUTED_VALUE"""),2016.0)</f>
        <v>2016</v>
      </c>
      <c r="M4429" s="308" t="s">
        <v>17912</v>
      </c>
      <c r="N4429" s="308"/>
      <c r="O4429" s="308"/>
      <c r="P4429" s="308" t="s">
        <v>37670</v>
      </c>
      <c r="Q4429" s="308" t="s">
        <v>37666</v>
      </c>
      <c r="R4429" s="308" t="s">
        <v>2743</v>
      </c>
      <c r="S4429" s="308" t="s">
        <v>81</v>
      </c>
      <c r="T4429" s="308" t="s">
        <v>75</v>
      </c>
      <c r="U4429" s="308" t="s">
        <v>195</v>
      </c>
      <c r="V4429" s="312"/>
    </row>
    <row r="4430">
      <c r="A4430" s="308">
        <v>4429.0</v>
      </c>
      <c r="B4430" s="308"/>
      <c r="C4430" s="308" t="s">
        <v>17914</v>
      </c>
      <c r="D4430" s="308">
        <f>IFERROR(__xludf.DUMMYFUNCTION("SPLIT(C4430,""-"")"),4450.0)</f>
        <v>4450</v>
      </c>
      <c r="E4430" s="308" t="str">
        <f>IFERROR(__xludf.DUMMYFUNCTION("""COMPUTED_VALUE"""),"F")</f>
        <v>F</v>
      </c>
      <c r="F4430" s="309" t="s">
        <v>34</v>
      </c>
      <c r="G4430" s="308"/>
      <c r="H4430" s="308" t="s">
        <v>17915</v>
      </c>
      <c r="I4430" s="310">
        <v>41835.0</v>
      </c>
      <c r="J4430" s="319">
        <f>IFERROR(__xludf.DUMMYFUNCTION("SPLIT(I4430,""/"")"),15.0)</f>
        <v>15</v>
      </c>
      <c r="K4430" s="308">
        <f>IFERROR(__xludf.DUMMYFUNCTION("""COMPUTED_VALUE"""),7.0)</f>
        <v>7</v>
      </c>
      <c r="L4430" s="308">
        <f>IFERROR(__xludf.DUMMYFUNCTION("""COMPUTED_VALUE"""),2014.0)</f>
        <v>2014</v>
      </c>
      <c r="M4430" s="308" t="s">
        <v>17916</v>
      </c>
      <c r="N4430" s="308" t="s">
        <v>17917</v>
      </c>
      <c r="O4430" s="308"/>
      <c r="P4430" s="308" t="s">
        <v>6393</v>
      </c>
      <c r="Q4430" s="308" t="s">
        <v>37666</v>
      </c>
      <c r="R4430" s="308" t="s">
        <v>16185</v>
      </c>
      <c r="S4430" s="315" t="s">
        <v>100</v>
      </c>
      <c r="T4430" s="311" t="s">
        <v>34208</v>
      </c>
      <c r="U4430" s="308" t="s">
        <v>195</v>
      </c>
      <c r="V4430" s="312"/>
    </row>
    <row r="4431">
      <c r="A4431" s="308">
        <v>4430.0</v>
      </c>
      <c r="B4431" s="308"/>
      <c r="C4431" s="308" t="s">
        <v>17918</v>
      </c>
      <c r="D4431" s="308">
        <f>IFERROR(__xludf.DUMMYFUNCTION("SPLIT(C4431,""-"")"),4451.0)</f>
        <v>4451</v>
      </c>
      <c r="E4431" s="308" t="str">
        <f>IFERROR(__xludf.DUMMYFUNCTION("""COMPUTED_VALUE"""),"K")</f>
        <v>K</v>
      </c>
      <c r="F4431" s="309" t="s">
        <v>34</v>
      </c>
      <c r="G4431" s="308"/>
      <c r="H4431" s="308" t="s">
        <v>17919</v>
      </c>
      <c r="I4431" s="310">
        <v>42901.0</v>
      </c>
      <c r="J4431" s="319" t="str">
        <f>IFERROR(__xludf.DUMMYFUNCTION("SPLIT(I4431,""/"")"),"#REF!")</f>
        <v>#REF!</v>
      </c>
      <c r="K4431" s="308"/>
      <c r="L4431" s="308">
        <v>2017.0</v>
      </c>
      <c r="M4431" s="308" t="s">
        <v>17920</v>
      </c>
      <c r="N4431" s="308"/>
      <c r="O4431" s="308"/>
      <c r="P4431" s="308" t="s">
        <v>11838</v>
      </c>
      <c r="Q4431" s="308" t="s">
        <v>37666</v>
      </c>
      <c r="R4431" s="308" t="s">
        <v>16185</v>
      </c>
      <c r="S4431" s="315" t="s">
        <v>100</v>
      </c>
      <c r="T4431" s="311" t="s">
        <v>34208</v>
      </c>
      <c r="U4431" s="308" t="s">
        <v>2989</v>
      </c>
      <c r="V4431" s="312"/>
    </row>
    <row r="4432">
      <c r="A4432" s="308">
        <v>4431.0</v>
      </c>
      <c r="B4432" s="308"/>
      <c r="C4432" s="308" t="s">
        <v>17921</v>
      </c>
      <c r="D4432" s="308">
        <f>IFERROR(__xludf.DUMMYFUNCTION("SPLIT(C4432,""-"")"),4452.0)</f>
        <v>4452</v>
      </c>
      <c r="E4432" s="308" t="str">
        <f>IFERROR(__xludf.DUMMYFUNCTION("""COMPUTED_VALUE"""),"K")</f>
        <v>K</v>
      </c>
      <c r="F4432" s="309" t="s">
        <v>34</v>
      </c>
      <c r="G4432" s="308"/>
      <c r="H4432" s="308" t="s">
        <v>17922</v>
      </c>
      <c r="I4432" s="310">
        <v>39995.0</v>
      </c>
      <c r="J4432" s="319">
        <f>IFERROR(__xludf.DUMMYFUNCTION("SPLIT(I4432,""/"")"),1.0)</f>
        <v>1</v>
      </c>
      <c r="K4432" s="308">
        <f>IFERROR(__xludf.DUMMYFUNCTION("""COMPUTED_VALUE"""),7.0)</f>
        <v>7</v>
      </c>
      <c r="L4432" s="308">
        <f>IFERROR(__xludf.DUMMYFUNCTION("""COMPUTED_VALUE"""),2009.0)</f>
        <v>2009</v>
      </c>
      <c r="M4432" s="308" t="s">
        <v>17923</v>
      </c>
      <c r="N4432" s="308"/>
      <c r="O4432" s="308"/>
      <c r="P4432" s="308" t="s">
        <v>17924</v>
      </c>
      <c r="Q4432" s="308" t="s">
        <v>37666</v>
      </c>
      <c r="R4432" s="308" t="s">
        <v>2743</v>
      </c>
      <c r="S4432" s="308" t="s">
        <v>81</v>
      </c>
      <c r="T4432" s="308" t="s">
        <v>34264</v>
      </c>
      <c r="U4432" s="308" t="s">
        <v>530</v>
      </c>
      <c r="V4432" s="312"/>
    </row>
    <row r="4433">
      <c r="A4433" s="308">
        <v>4432.0</v>
      </c>
      <c r="B4433" s="308"/>
      <c r="C4433" s="308" t="s">
        <v>17925</v>
      </c>
      <c r="D4433" s="308">
        <f>IFERROR(__xludf.DUMMYFUNCTION("SPLIT(C4433,""-"")"),4453.0)</f>
        <v>4453</v>
      </c>
      <c r="E4433" s="308" t="str">
        <f>IFERROR(__xludf.DUMMYFUNCTION("""COMPUTED_VALUE"""),"K")</f>
        <v>K</v>
      </c>
      <c r="F4433" s="309" t="s">
        <v>34</v>
      </c>
      <c r="G4433" s="308"/>
      <c r="H4433" s="308" t="s">
        <v>17926</v>
      </c>
      <c r="I4433" s="310">
        <v>40514.0</v>
      </c>
      <c r="J4433" s="319">
        <f>IFERROR(__xludf.DUMMYFUNCTION("SPLIT(I4433,""/"")"),2.0)</f>
        <v>2</v>
      </c>
      <c r="K4433" s="308">
        <f>IFERROR(__xludf.DUMMYFUNCTION("""COMPUTED_VALUE"""),12.0)</f>
        <v>12</v>
      </c>
      <c r="L4433" s="308">
        <f>IFERROR(__xludf.DUMMYFUNCTION("""COMPUTED_VALUE"""),2010.0)</f>
        <v>2010</v>
      </c>
      <c r="M4433" s="308" t="s">
        <v>17927</v>
      </c>
      <c r="N4433" s="308"/>
      <c r="O4433" s="308"/>
      <c r="P4433" s="308" t="s">
        <v>4430</v>
      </c>
      <c r="Q4433" s="308" t="s">
        <v>37666</v>
      </c>
      <c r="R4433" s="308" t="s">
        <v>2743</v>
      </c>
      <c r="S4433" s="308" t="s">
        <v>49</v>
      </c>
      <c r="T4433" s="308" t="s">
        <v>51</v>
      </c>
      <c r="U4433" s="308" t="s">
        <v>125</v>
      </c>
      <c r="V4433" s="312"/>
    </row>
    <row r="4434">
      <c r="A4434" s="308">
        <v>4433.0</v>
      </c>
      <c r="B4434" s="308"/>
      <c r="C4434" s="308" t="s">
        <v>17928</v>
      </c>
      <c r="D4434" s="308">
        <f>IFERROR(__xludf.DUMMYFUNCTION("SPLIT(C4434,""-"")"),4454.0)</f>
        <v>4454</v>
      </c>
      <c r="E4434" s="308" t="str">
        <f>IFERROR(__xludf.DUMMYFUNCTION("""COMPUTED_VALUE"""),"K")</f>
        <v>K</v>
      </c>
      <c r="F4434" s="309" t="s">
        <v>34</v>
      </c>
      <c r="G4434" s="308"/>
      <c r="H4434" s="308" t="s">
        <v>17929</v>
      </c>
      <c r="I4434" s="310">
        <v>41091.0</v>
      </c>
      <c r="J4434" s="319">
        <f>IFERROR(__xludf.DUMMYFUNCTION("SPLIT(I4434,""/"")"),1.0)</f>
        <v>1</v>
      </c>
      <c r="K4434" s="308">
        <f>IFERROR(__xludf.DUMMYFUNCTION("""COMPUTED_VALUE"""),7.0)</f>
        <v>7</v>
      </c>
      <c r="L4434" s="308">
        <f>IFERROR(__xludf.DUMMYFUNCTION("""COMPUTED_VALUE"""),2012.0)</f>
        <v>2012</v>
      </c>
      <c r="M4434" s="308" t="s">
        <v>17930</v>
      </c>
      <c r="N4434" s="308" t="s">
        <v>439</v>
      </c>
      <c r="O4434" s="308"/>
      <c r="P4434" s="308" t="s">
        <v>1872</v>
      </c>
      <c r="Q4434" s="308" t="s">
        <v>37666</v>
      </c>
      <c r="R4434" s="308" t="s">
        <v>2743</v>
      </c>
      <c r="S4434" s="315" t="s">
        <v>100</v>
      </c>
      <c r="T4434" s="311" t="s">
        <v>34208</v>
      </c>
      <c r="U4434" s="308" t="s">
        <v>530</v>
      </c>
      <c r="V4434" s="312"/>
    </row>
    <row r="4435">
      <c r="A4435" s="308">
        <v>4434.0</v>
      </c>
      <c r="B4435" s="308"/>
      <c r="C4435" s="308" t="s">
        <v>17931</v>
      </c>
      <c r="D4435" s="308">
        <f>IFERROR(__xludf.DUMMYFUNCTION("SPLIT(C4435,""-"")"),4455.0)</f>
        <v>4455</v>
      </c>
      <c r="E4435" s="308" t="str">
        <f>IFERROR(__xludf.DUMMYFUNCTION("""COMPUTED_VALUE"""),"S")</f>
        <v>S</v>
      </c>
      <c r="F4435" s="312" t="s">
        <v>39</v>
      </c>
      <c r="G4435" s="308"/>
      <c r="H4435" s="308" t="s">
        <v>17932</v>
      </c>
      <c r="I4435" s="310">
        <v>41821.0</v>
      </c>
      <c r="J4435" s="319">
        <f>IFERROR(__xludf.DUMMYFUNCTION("SPLIT(I4435,""/"")"),1.0)</f>
        <v>1</v>
      </c>
      <c r="K4435" s="308">
        <f>IFERROR(__xludf.DUMMYFUNCTION("""COMPUTED_VALUE"""),7.0)</f>
        <v>7</v>
      </c>
      <c r="L4435" s="308">
        <f>IFERROR(__xludf.DUMMYFUNCTION("""COMPUTED_VALUE"""),2014.0)</f>
        <v>2014</v>
      </c>
      <c r="M4435" s="308" t="s">
        <v>17933</v>
      </c>
      <c r="N4435" s="308"/>
      <c r="O4435" s="308"/>
      <c r="P4435" s="308" t="s">
        <v>9979</v>
      </c>
      <c r="Q4435" s="308" t="s">
        <v>37666</v>
      </c>
      <c r="R4435" s="308" t="s">
        <v>2743</v>
      </c>
      <c r="S4435" s="315" t="s">
        <v>100</v>
      </c>
      <c r="T4435" s="311" t="s">
        <v>34208</v>
      </c>
      <c r="U4435" s="308" t="s">
        <v>166</v>
      </c>
      <c r="V4435" s="312"/>
    </row>
    <row r="4436">
      <c r="A4436" s="308">
        <v>4435.0</v>
      </c>
      <c r="B4436" s="308"/>
      <c r="C4436" s="308" t="s">
        <v>17934</v>
      </c>
      <c r="D4436" s="308">
        <f>IFERROR(__xludf.DUMMYFUNCTION("SPLIT(C4436,""-"")"),4456.0)</f>
        <v>4456</v>
      </c>
      <c r="E4436" s="308" t="str">
        <f>IFERROR(__xludf.DUMMYFUNCTION("""COMPUTED_VALUE"""),"S")</f>
        <v>S</v>
      </c>
      <c r="F4436" s="312" t="s">
        <v>39</v>
      </c>
      <c r="G4436" s="308"/>
      <c r="H4436" s="308" t="s">
        <v>37671</v>
      </c>
      <c r="I4436" s="316">
        <v>41821.0</v>
      </c>
      <c r="J4436" s="319"/>
      <c r="K4436" s="308"/>
      <c r="L4436" s="311" t="s">
        <v>79</v>
      </c>
      <c r="M4436" s="308" t="s">
        <v>17936</v>
      </c>
      <c r="N4436" s="308"/>
      <c r="O4436" s="308"/>
      <c r="P4436" s="308" t="s">
        <v>17937</v>
      </c>
      <c r="Q4436" s="308" t="s">
        <v>37666</v>
      </c>
      <c r="R4436" s="308" t="s">
        <v>2743</v>
      </c>
      <c r="S4436" s="308" t="s">
        <v>81</v>
      </c>
      <c r="T4436" s="308" t="s">
        <v>34264</v>
      </c>
      <c r="U4436" s="308" t="s">
        <v>166</v>
      </c>
      <c r="V4436" s="312"/>
    </row>
    <row r="4437">
      <c r="A4437" s="308">
        <v>4436.0</v>
      </c>
      <c r="B4437" s="308"/>
      <c r="C4437" s="308" t="s">
        <v>17938</v>
      </c>
      <c r="D4437" s="308">
        <f>IFERROR(__xludf.DUMMYFUNCTION("SPLIT(C4437,""-"")"),4457.0)</f>
        <v>4457</v>
      </c>
      <c r="E4437" s="308" t="str">
        <f>IFERROR(__xludf.DUMMYFUNCTION("""COMPUTED_VALUE"""),"P")</f>
        <v>P</v>
      </c>
      <c r="F4437" s="312" t="s">
        <v>37</v>
      </c>
      <c r="G4437" s="308"/>
      <c r="H4437" s="308" t="s">
        <v>17939</v>
      </c>
      <c r="I4437" s="314">
        <v>43031.0</v>
      </c>
      <c r="J4437" s="319">
        <f>IFERROR(__xludf.DUMMYFUNCTION("SPLIT(I4437,""/"")"),23.0)</f>
        <v>23</v>
      </c>
      <c r="K4437" s="308">
        <f>IFERROR(__xludf.DUMMYFUNCTION("""COMPUTED_VALUE"""),10.0)</f>
        <v>10</v>
      </c>
      <c r="L4437" s="308">
        <f>IFERROR(__xludf.DUMMYFUNCTION("""COMPUTED_VALUE"""),2017.0)</f>
        <v>2017</v>
      </c>
      <c r="M4437" s="308" t="s">
        <v>17940</v>
      </c>
      <c r="N4437" s="308"/>
      <c r="O4437" s="308" t="s">
        <v>17941</v>
      </c>
      <c r="P4437" s="308" t="s">
        <v>17942</v>
      </c>
      <c r="Q4437" s="308" t="s">
        <v>37672</v>
      </c>
      <c r="R4437" s="308" t="s">
        <v>2743</v>
      </c>
      <c r="S4437" s="308" t="s">
        <v>81</v>
      </c>
      <c r="T4437" s="308" t="s">
        <v>75</v>
      </c>
      <c r="U4437" s="308" t="s">
        <v>2291</v>
      </c>
      <c r="V4437" s="312"/>
    </row>
    <row r="4438">
      <c r="A4438" s="308">
        <v>4437.0</v>
      </c>
      <c r="B4438" s="308"/>
      <c r="C4438" s="308" t="s">
        <v>17943</v>
      </c>
      <c r="D4438" s="308">
        <f>IFERROR(__xludf.DUMMYFUNCTION("SPLIT(C4438,""-"")"),4458.0)</f>
        <v>4458</v>
      </c>
      <c r="E4438" s="308" t="str">
        <f>IFERROR(__xludf.DUMMYFUNCTION("""COMPUTED_VALUE"""),"K")</f>
        <v>K</v>
      </c>
      <c r="F4438" s="309" t="s">
        <v>34</v>
      </c>
      <c r="G4438" s="308"/>
      <c r="H4438" s="308" t="s">
        <v>17944</v>
      </c>
      <c r="I4438" s="310">
        <v>41913.0</v>
      </c>
      <c r="J4438" s="319">
        <f>IFERROR(__xludf.DUMMYFUNCTION("SPLIT(I4438,""/"")"),1.0)</f>
        <v>1</v>
      </c>
      <c r="K4438" s="308">
        <f>IFERROR(__xludf.DUMMYFUNCTION("""COMPUTED_VALUE"""),10.0)</f>
        <v>10</v>
      </c>
      <c r="L4438" s="308">
        <f>IFERROR(__xludf.DUMMYFUNCTION("""COMPUTED_VALUE"""),2014.0)</f>
        <v>2014</v>
      </c>
      <c r="M4438" s="308" t="s">
        <v>17945</v>
      </c>
      <c r="N4438" s="308"/>
      <c r="O4438" s="308"/>
      <c r="P4438" s="308" t="s">
        <v>2872</v>
      </c>
      <c r="Q4438" s="308" t="s">
        <v>37672</v>
      </c>
      <c r="R4438" s="308" t="s">
        <v>2743</v>
      </c>
      <c r="S4438" s="315" t="s">
        <v>100</v>
      </c>
      <c r="T4438" s="311" t="s">
        <v>34208</v>
      </c>
      <c r="U4438" s="308" t="s">
        <v>125</v>
      </c>
      <c r="V4438" s="312"/>
    </row>
    <row r="4439">
      <c r="A4439" s="308">
        <v>4438.0</v>
      </c>
      <c r="B4439" s="308"/>
      <c r="C4439" s="308" t="s">
        <v>17946</v>
      </c>
      <c r="D4439" s="308">
        <f>IFERROR(__xludf.DUMMYFUNCTION("SPLIT(C4439,""-"")"),4459.0)</f>
        <v>4459</v>
      </c>
      <c r="E4439" s="308" t="str">
        <f>IFERROR(__xludf.DUMMYFUNCTION("""COMPUTED_VALUE"""),"P")</f>
        <v>P</v>
      </c>
      <c r="F4439" s="312" t="s">
        <v>37</v>
      </c>
      <c r="G4439" s="308"/>
      <c r="H4439" s="308" t="s">
        <v>17947</v>
      </c>
      <c r="I4439" s="310">
        <v>41343.0</v>
      </c>
      <c r="J4439" s="319">
        <f>IFERROR(__xludf.DUMMYFUNCTION("SPLIT(I4439,""/"")"),10.0)</f>
        <v>10</v>
      </c>
      <c r="K4439" s="308">
        <f>IFERROR(__xludf.DUMMYFUNCTION("""COMPUTED_VALUE"""),3.0)</f>
        <v>3</v>
      </c>
      <c r="L4439" s="308">
        <f>IFERROR(__xludf.DUMMYFUNCTION("""COMPUTED_VALUE"""),2013.0)</f>
        <v>2013</v>
      </c>
      <c r="M4439" s="308"/>
      <c r="N4439" s="308"/>
      <c r="O4439" s="308"/>
      <c r="P4439" s="308" t="s">
        <v>37673</v>
      </c>
      <c r="Q4439" s="308" t="s">
        <v>37674</v>
      </c>
      <c r="R4439" s="308" t="s">
        <v>17727</v>
      </c>
      <c r="S4439" s="308" t="s">
        <v>81</v>
      </c>
      <c r="T4439" s="311" t="s">
        <v>96</v>
      </c>
      <c r="U4439" s="308" t="s">
        <v>149</v>
      </c>
      <c r="V4439" s="312"/>
    </row>
    <row r="4440">
      <c r="A4440" s="308">
        <v>4439.0</v>
      </c>
      <c r="B4440" s="308"/>
      <c r="C4440" s="308" t="s">
        <v>17949</v>
      </c>
      <c r="D4440" s="308">
        <f>IFERROR(__xludf.DUMMYFUNCTION("SPLIT(C4440,""-"")"),4460.0)</f>
        <v>4460</v>
      </c>
      <c r="E4440" s="308" t="str">
        <f>IFERROR(__xludf.DUMMYFUNCTION("""COMPUTED_VALUE"""),"B")</f>
        <v>B</v>
      </c>
      <c r="F4440" s="315" t="s">
        <v>26</v>
      </c>
      <c r="G4440" s="308"/>
      <c r="H4440" s="308" t="s">
        <v>17950</v>
      </c>
      <c r="I4440" s="310">
        <v>42895.0</v>
      </c>
      <c r="J4440" s="319">
        <f>IFERROR(__xludf.DUMMYFUNCTION("SPLIT(I4440,""/"")"),9.0)</f>
        <v>9</v>
      </c>
      <c r="K4440" s="308">
        <f>IFERROR(__xludf.DUMMYFUNCTION("""COMPUTED_VALUE"""),6.0)</f>
        <v>6</v>
      </c>
      <c r="L4440" s="308">
        <f>IFERROR(__xludf.DUMMYFUNCTION("""COMPUTED_VALUE"""),2017.0)</f>
        <v>2017</v>
      </c>
      <c r="M4440" s="308" t="s">
        <v>17951</v>
      </c>
      <c r="N4440" s="308"/>
      <c r="O4440" s="308"/>
      <c r="P4440" s="308" t="s">
        <v>37675</v>
      </c>
      <c r="Q4440" s="308" t="s">
        <v>37676</v>
      </c>
      <c r="R4440" s="308" t="s">
        <v>14256</v>
      </c>
      <c r="S4440" s="308" t="s">
        <v>49</v>
      </c>
      <c r="T4440" s="311" t="s">
        <v>67</v>
      </c>
      <c r="U4440" s="308" t="s">
        <v>27</v>
      </c>
      <c r="V4440" s="312"/>
    </row>
    <row r="4441">
      <c r="A4441" s="308">
        <v>4440.0</v>
      </c>
      <c r="B4441" s="308"/>
      <c r="C4441" s="308" t="s">
        <v>17953</v>
      </c>
      <c r="D4441" s="308">
        <f>IFERROR(__xludf.DUMMYFUNCTION("SPLIT(C4441,""-"")"),4461.0)</f>
        <v>4461</v>
      </c>
      <c r="E4441" s="308" t="str">
        <f>IFERROR(__xludf.DUMMYFUNCTION("""COMPUTED_VALUE"""),"S")</f>
        <v>S</v>
      </c>
      <c r="F4441" s="312" t="s">
        <v>39</v>
      </c>
      <c r="G4441" s="308"/>
      <c r="H4441" s="308" t="s">
        <v>17954</v>
      </c>
      <c r="I4441" s="310">
        <v>42952.0</v>
      </c>
      <c r="J4441" s="319">
        <f>IFERROR(__xludf.DUMMYFUNCTION("SPLIT(I4441,""/"")"),5.0)</f>
        <v>5</v>
      </c>
      <c r="K4441" s="308">
        <f>IFERROR(__xludf.DUMMYFUNCTION("""COMPUTED_VALUE"""),8.0)</f>
        <v>8</v>
      </c>
      <c r="L4441" s="308">
        <f>IFERROR(__xludf.DUMMYFUNCTION("""COMPUTED_VALUE"""),2017.0)</f>
        <v>2017</v>
      </c>
      <c r="M4441" s="308" t="s">
        <v>17955</v>
      </c>
      <c r="N4441" s="308"/>
      <c r="O4441" s="308"/>
      <c r="P4441" s="308" t="s">
        <v>37677</v>
      </c>
      <c r="Q4441" s="308" t="s">
        <v>37676</v>
      </c>
      <c r="R4441" s="308" t="s">
        <v>14256</v>
      </c>
      <c r="S4441" s="308" t="s">
        <v>81</v>
      </c>
      <c r="T4441" s="308" t="s">
        <v>75</v>
      </c>
      <c r="U4441" s="308" t="s">
        <v>166</v>
      </c>
      <c r="V4441" s="312"/>
    </row>
    <row r="4442">
      <c r="A4442" s="308">
        <v>4441.0</v>
      </c>
      <c r="B4442" s="308"/>
      <c r="C4442" s="308" t="s">
        <v>17957</v>
      </c>
      <c r="D4442" s="308">
        <f>IFERROR(__xludf.DUMMYFUNCTION("SPLIT(C4442,""-"")"),4462.0)</f>
        <v>4462</v>
      </c>
      <c r="E4442" s="308" t="str">
        <f>IFERROR(__xludf.DUMMYFUNCTION("""COMPUTED_VALUE"""),"I")</f>
        <v>I</v>
      </c>
      <c r="F4442" s="309" t="s">
        <v>31</v>
      </c>
      <c r="G4442" s="308"/>
      <c r="H4442" s="308" t="s">
        <v>17958</v>
      </c>
      <c r="I4442" s="310">
        <v>42767.0</v>
      </c>
      <c r="J4442" s="319">
        <f>IFERROR(__xludf.DUMMYFUNCTION("SPLIT(I4442,""/"")"),1.0)</f>
        <v>1</v>
      </c>
      <c r="K4442" s="308">
        <f>IFERROR(__xludf.DUMMYFUNCTION("""COMPUTED_VALUE"""),2.0)</f>
        <v>2</v>
      </c>
      <c r="L4442" s="308">
        <f>IFERROR(__xludf.DUMMYFUNCTION("""COMPUTED_VALUE"""),2017.0)</f>
        <v>2017</v>
      </c>
      <c r="M4442" s="308" t="s">
        <v>17959</v>
      </c>
      <c r="N4442" s="308"/>
      <c r="O4442" s="308"/>
      <c r="P4442" s="308" t="s">
        <v>17960</v>
      </c>
      <c r="Q4442" s="308" t="s">
        <v>37678</v>
      </c>
      <c r="R4442" s="308" t="s">
        <v>2743</v>
      </c>
      <c r="S4442" s="308" t="s">
        <v>81</v>
      </c>
      <c r="T4442" s="308" t="s">
        <v>75</v>
      </c>
      <c r="U4442" s="308" t="s">
        <v>31</v>
      </c>
      <c r="V4442" s="312"/>
    </row>
    <row r="4443">
      <c r="A4443" s="308">
        <v>4442.0</v>
      </c>
      <c r="B4443" s="308"/>
      <c r="C4443" s="308" t="s">
        <v>17961</v>
      </c>
      <c r="D4443" s="308">
        <f>IFERROR(__xludf.DUMMYFUNCTION("SPLIT(C4443,""-"")"),4463.0)</f>
        <v>4463</v>
      </c>
      <c r="E4443" s="308" t="str">
        <f>IFERROR(__xludf.DUMMYFUNCTION("""COMPUTED_VALUE"""),"I")</f>
        <v>I</v>
      </c>
      <c r="F4443" s="309" t="s">
        <v>31</v>
      </c>
      <c r="G4443" s="308"/>
      <c r="H4443" s="308" t="s">
        <v>17962</v>
      </c>
      <c r="I4443" s="310">
        <v>42971.0</v>
      </c>
      <c r="J4443" s="319">
        <f>IFERROR(__xludf.DUMMYFUNCTION("SPLIT(I4443,""/"")"),24.0)</f>
        <v>24</v>
      </c>
      <c r="K4443" s="308">
        <f>IFERROR(__xludf.DUMMYFUNCTION("""COMPUTED_VALUE"""),8.0)</f>
        <v>8</v>
      </c>
      <c r="L4443" s="308">
        <f>IFERROR(__xludf.DUMMYFUNCTION("""COMPUTED_VALUE"""),2017.0)</f>
        <v>2017</v>
      </c>
      <c r="M4443" s="308" t="s">
        <v>17963</v>
      </c>
      <c r="N4443" s="308"/>
      <c r="O4443" s="308"/>
      <c r="P4443" s="308" t="s">
        <v>37679</v>
      </c>
      <c r="Q4443" s="308" t="s">
        <v>37678</v>
      </c>
      <c r="R4443" s="308" t="s">
        <v>2743</v>
      </c>
      <c r="S4443" s="308" t="s">
        <v>81</v>
      </c>
      <c r="T4443" s="308" t="s">
        <v>75</v>
      </c>
      <c r="U4443" s="308" t="s">
        <v>31</v>
      </c>
      <c r="V4443" s="312"/>
    </row>
    <row r="4444">
      <c r="A4444" s="308">
        <v>4443.0</v>
      </c>
      <c r="B4444" s="308"/>
      <c r="C4444" s="308" t="s">
        <v>17965</v>
      </c>
      <c r="D4444" s="308">
        <f>IFERROR(__xludf.DUMMYFUNCTION("SPLIT(C4444,""-"")"),4464.0)</f>
        <v>4464</v>
      </c>
      <c r="E4444" s="308" t="str">
        <f>IFERROR(__xludf.DUMMYFUNCTION("""COMPUTED_VALUE"""),"P")</f>
        <v>P</v>
      </c>
      <c r="F4444" s="312" t="s">
        <v>37</v>
      </c>
      <c r="G4444" s="308"/>
      <c r="H4444" s="308" t="s">
        <v>17966</v>
      </c>
      <c r="I4444" s="310">
        <v>42252.0</v>
      </c>
      <c r="J4444" s="319">
        <f>IFERROR(__xludf.DUMMYFUNCTION("SPLIT(I4444,""/"")"),5.0)</f>
        <v>5</v>
      </c>
      <c r="K4444" s="308">
        <f>IFERROR(__xludf.DUMMYFUNCTION("""COMPUTED_VALUE"""),9.0)</f>
        <v>9</v>
      </c>
      <c r="L4444" s="308">
        <f>IFERROR(__xludf.DUMMYFUNCTION("""COMPUTED_VALUE"""),2015.0)</f>
        <v>2015</v>
      </c>
      <c r="M4444" s="308" t="s">
        <v>17967</v>
      </c>
      <c r="N4444" s="308"/>
      <c r="O4444" s="308" t="s">
        <v>17968</v>
      </c>
      <c r="P4444" s="308" t="s">
        <v>37680</v>
      </c>
      <c r="Q4444" s="308" t="s">
        <v>37681</v>
      </c>
      <c r="R4444" s="308" t="s">
        <v>2743</v>
      </c>
      <c r="S4444" s="308" t="s">
        <v>49</v>
      </c>
      <c r="T4444" s="308" t="s">
        <v>51</v>
      </c>
      <c r="U4444" s="308" t="s">
        <v>13303</v>
      </c>
      <c r="V4444" s="312"/>
    </row>
    <row r="4445">
      <c r="A4445" s="308">
        <v>4444.0</v>
      </c>
      <c r="B4445" s="308"/>
      <c r="C4445" s="308" t="s">
        <v>17970</v>
      </c>
      <c r="D4445" s="308">
        <f>IFERROR(__xludf.DUMMYFUNCTION("SPLIT(C4445,""-"")"),4465.0)</f>
        <v>4465</v>
      </c>
      <c r="E4445" s="308" t="str">
        <f>IFERROR(__xludf.DUMMYFUNCTION("""COMPUTED_VALUE"""),"I")</f>
        <v>I</v>
      </c>
      <c r="F4445" s="309" t="s">
        <v>31</v>
      </c>
      <c r="G4445" s="308"/>
      <c r="H4445" s="308" t="s">
        <v>17971</v>
      </c>
      <c r="I4445" s="310">
        <v>43045.0</v>
      </c>
      <c r="J4445" s="319">
        <f>IFERROR(__xludf.DUMMYFUNCTION("SPLIT(I4445,""/"")"),6.0)</f>
        <v>6</v>
      </c>
      <c r="K4445" s="308">
        <f>IFERROR(__xludf.DUMMYFUNCTION("""COMPUTED_VALUE"""),11.0)</f>
        <v>11</v>
      </c>
      <c r="L4445" s="308">
        <f>IFERROR(__xludf.DUMMYFUNCTION("""COMPUTED_VALUE"""),2017.0)</f>
        <v>2017</v>
      </c>
      <c r="M4445" s="308" t="s">
        <v>37682</v>
      </c>
      <c r="N4445" s="308"/>
      <c r="O4445" s="308"/>
      <c r="P4445" s="308" t="s">
        <v>37683</v>
      </c>
      <c r="Q4445" s="308" t="s">
        <v>37681</v>
      </c>
      <c r="R4445" s="308" t="s">
        <v>2743</v>
      </c>
      <c r="S4445" s="308" t="s">
        <v>81</v>
      </c>
      <c r="T4445" s="308" t="s">
        <v>75</v>
      </c>
      <c r="U4445" s="308" t="s">
        <v>31</v>
      </c>
      <c r="V4445" s="312"/>
    </row>
    <row r="4446">
      <c r="A4446" s="308">
        <v>4445.0</v>
      </c>
      <c r="B4446" s="308"/>
      <c r="C4446" s="308" t="s">
        <v>17974</v>
      </c>
      <c r="D4446" s="308">
        <f>IFERROR(__xludf.DUMMYFUNCTION("SPLIT(C4446,""-"")"),4466.0)</f>
        <v>4466</v>
      </c>
      <c r="E4446" s="308" t="str">
        <f>IFERROR(__xludf.DUMMYFUNCTION("""COMPUTED_VALUE"""),"I")</f>
        <v>I</v>
      </c>
      <c r="F4446" s="309" t="s">
        <v>31</v>
      </c>
      <c r="G4446" s="308"/>
      <c r="H4446" s="308" t="s">
        <v>17975</v>
      </c>
      <c r="I4446" s="310">
        <v>43045.0</v>
      </c>
      <c r="J4446" s="319">
        <f>IFERROR(__xludf.DUMMYFUNCTION("SPLIT(I4446,""/"")"),6.0)</f>
        <v>6</v>
      </c>
      <c r="K4446" s="308">
        <f>IFERROR(__xludf.DUMMYFUNCTION("""COMPUTED_VALUE"""),11.0)</f>
        <v>11</v>
      </c>
      <c r="L4446" s="308">
        <f>IFERROR(__xludf.DUMMYFUNCTION("""COMPUTED_VALUE"""),2017.0)</f>
        <v>2017</v>
      </c>
      <c r="M4446" s="308" t="s">
        <v>37682</v>
      </c>
      <c r="N4446" s="308"/>
      <c r="O4446" s="308"/>
      <c r="P4446" s="308" t="s">
        <v>17976</v>
      </c>
      <c r="Q4446" s="308" t="s">
        <v>37681</v>
      </c>
      <c r="R4446" s="308" t="s">
        <v>2743</v>
      </c>
      <c r="S4446" s="308" t="s">
        <v>81</v>
      </c>
      <c r="T4446" s="311" t="s">
        <v>96</v>
      </c>
      <c r="U4446" s="308" t="s">
        <v>31</v>
      </c>
      <c r="V4446" s="312"/>
    </row>
    <row r="4447">
      <c r="A4447" s="308">
        <v>4446.0</v>
      </c>
      <c r="B4447" s="308"/>
      <c r="C4447" s="308" t="s">
        <v>17977</v>
      </c>
      <c r="D4447" s="308">
        <f>IFERROR(__xludf.DUMMYFUNCTION("SPLIT(C4447,""-"")"),4467.0)</f>
        <v>4467</v>
      </c>
      <c r="E4447" s="308" t="str">
        <f>IFERROR(__xludf.DUMMYFUNCTION("""COMPUTED_VALUE"""),"K")</f>
        <v>K</v>
      </c>
      <c r="F4447" s="309" t="s">
        <v>34</v>
      </c>
      <c r="G4447" s="308"/>
      <c r="H4447" s="308" t="s">
        <v>17978</v>
      </c>
      <c r="I4447" s="310">
        <v>42778.0</v>
      </c>
      <c r="J4447" s="319" t="str">
        <f>IFERROR(__xludf.DUMMYFUNCTION("SPLIT(I4447,""/"")"),"#REF!")</f>
        <v>#REF!</v>
      </c>
      <c r="K4447" s="308"/>
      <c r="L4447" s="308">
        <v>2017.0</v>
      </c>
      <c r="M4447" s="308" t="s">
        <v>17979</v>
      </c>
      <c r="N4447" s="308"/>
      <c r="O4447" s="308"/>
      <c r="P4447" s="308" t="s">
        <v>17980</v>
      </c>
      <c r="Q4447" s="308" t="s">
        <v>37681</v>
      </c>
      <c r="R4447" s="308" t="s">
        <v>2743</v>
      </c>
      <c r="S4447" s="308" t="s">
        <v>81</v>
      </c>
      <c r="T4447" s="311" t="s">
        <v>96</v>
      </c>
      <c r="U4447" s="308" t="s">
        <v>125</v>
      </c>
      <c r="V4447" s="312"/>
    </row>
    <row r="4448">
      <c r="A4448" s="308">
        <v>4447.0</v>
      </c>
      <c r="B4448" s="308"/>
      <c r="C4448" s="308" t="s">
        <v>17981</v>
      </c>
      <c r="D4448" s="308">
        <f>IFERROR(__xludf.DUMMYFUNCTION("SPLIT(C4448,""-"")"),4468.0)</f>
        <v>4468</v>
      </c>
      <c r="E4448" s="308" t="str">
        <f>IFERROR(__xludf.DUMMYFUNCTION("""COMPUTED_VALUE"""),"S")</f>
        <v>S</v>
      </c>
      <c r="F4448" s="312" t="s">
        <v>39</v>
      </c>
      <c r="G4448" s="308"/>
      <c r="H4448" s="308" t="s">
        <v>17982</v>
      </c>
      <c r="I4448" s="314">
        <v>43036.0</v>
      </c>
      <c r="J4448" s="319">
        <f>IFERROR(__xludf.DUMMYFUNCTION("SPLIT(I4448,""/"")"),28.0)</f>
        <v>28</v>
      </c>
      <c r="K4448" s="308">
        <f>IFERROR(__xludf.DUMMYFUNCTION("""COMPUTED_VALUE"""),10.0)</f>
        <v>10</v>
      </c>
      <c r="L4448" s="308">
        <f>IFERROR(__xludf.DUMMYFUNCTION("""COMPUTED_VALUE"""),2017.0)</f>
        <v>2017</v>
      </c>
      <c r="M4448" s="308" t="s">
        <v>37684</v>
      </c>
      <c r="N4448" s="308"/>
      <c r="O4448" s="308"/>
      <c r="P4448" s="308" t="s">
        <v>37685</v>
      </c>
      <c r="Q4448" s="308" t="s">
        <v>37681</v>
      </c>
      <c r="R4448" s="308" t="s">
        <v>14256</v>
      </c>
      <c r="S4448" s="308" t="s">
        <v>49</v>
      </c>
      <c r="T4448" s="311" t="s">
        <v>67</v>
      </c>
      <c r="U4448" s="308" t="s">
        <v>166</v>
      </c>
      <c r="V4448" s="312"/>
    </row>
    <row r="4449">
      <c r="A4449" s="308">
        <v>4448.0</v>
      </c>
      <c r="B4449" s="308"/>
      <c r="C4449" s="308" t="s">
        <v>17985</v>
      </c>
      <c r="D4449" s="308">
        <f>IFERROR(__xludf.DUMMYFUNCTION("SPLIT(C4449,""-"")"),4469.0)</f>
        <v>4469</v>
      </c>
      <c r="E4449" s="308" t="str">
        <f>IFERROR(__xludf.DUMMYFUNCTION("""COMPUTED_VALUE"""),"F")</f>
        <v>F</v>
      </c>
      <c r="F4449" s="309" t="s">
        <v>34</v>
      </c>
      <c r="G4449" s="308"/>
      <c r="H4449" s="308" t="s">
        <v>17986</v>
      </c>
      <c r="I4449" s="310">
        <v>42751.0</v>
      </c>
      <c r="J4449" s="319" t="str">
        <f>IFERROR(__xludf.DUMMYFUNCTION("SPLIT(I4449,""/"")"),"#REF!")</f>
        <v>#REF!</v>
      </c>
      <c r="K4449" s="308"/>
      <c r="L4449" s="308">
        <v>2017.0</v>
      </c>
      <c r="M4449" s="308" t="s">
        <v>17987</v>
      </c>
      <c r="N4449" s="308"/>
      <c r="O4449" s="308"/>
      <c r="P4449" s="308" t="s">
        <v>37686</v>
      </c>
      <c r="Q4449" s="308" t="s">
        <v>37681</v>
      </c>
      <c r="R4449" s="308" t="s">
        <v>2743</v>
      </c>
      <c r="S4449" s="308" t="s">
        <v>81</v>
      </c>
      <c r="T4449" s="308" t="s">
        <v>34264</v>
      </c>
      <c r="U4449" s="308" t="s">
        <v>195</v>
      </c>
      <c r="V4449" s="312"/>
    </row>
    <row r="4450">
      <c r="A4450" s="308">
        <v>4449.0</v>
      </c>
      <c r="B4450" s="308"/>
      <c r="C4450" s="308" t="s">
        <v>17989</v>
      </c>
      <c r="D4450" s="308">
        <f>IFERROR(__xludf.DUMMYFUNCTION("SPLIT(C4450,""-"")"),4470.0)</f>
        <v>4470</v>
      </c>
      <c r="E4450" s="308" t="str">
        <f>IFERROR(__xludf.DUMMYFUNCTION("""COMPUTED_VALUE"""),"K")</f>
        <v>K</v>
      </c>
      <c r="F4450" s="309" t="s">
        <v>34</v>
      </c>
      <c r="G4450" s="308"/>
      <c r="H4450" s="308" t="s">
        <v>17990</v>
      </c>
      <c r="I4450" s="310">
        <v>42860.0</v>
      </c>
      <c r="J4450" s="319" t="str">
        <f>IFERROR(__xludf.DUMMYFUNCTION("SPLIT(I4450,""/"")"),"#REF!")</f>
        <v>#REF!</v>
      </c>
      <c r="K4450" s="308"/>
      <c r="L4450" s="308">
        <v>2017.0</v>
      </c>
      <c r="M4450" s="308" t="s">
        <v>17991</v>
      </c>
      <c r="N4450" s="308" t="s">
        <v>17992</v>
      </c>
      <c r="O4450" s="308"/>
      <c r="P4450" s="308" t="s">
        <v>2872</v>
      </c>
      <c r="Q4450" s="308" t="s">
        <v>37681</v>
      </c>
      <c r="R4450" s="308" t="s">
        <v>2743</v>
      </c>
      <c r="S4450" s="315" t="s">
        <v>100</v>
      </c>
      <c r="T4450" s="311" t="s">
        <v>34208</v>
      </c>
      <c r="U4450" s="308" t="s">
        <v>125</v>
      </c>
      <c r="V4450" s="312"/>
    </row>
    <row r="4451">
      <c r="A4451" s="308">
        <v>4450.0</v>
      </c>
      <c r="B4451" s="308"/>
      <c r="C4451" s="308" t="s">
        <v>17993</v>
      </c>
      <c r="D4451" s="308">
        <f>IFERROR(__xludf.DUMMYFUNCTION("SPLIT(C4451,""-"")"),4471.0)</f>
        <v>4471</v>
      </c>
      <c r="E4451" s="308" t="str">
        <f>IFERROR(__xludf.DUMMYFUNCTION("""COMPUTED_VALUE"""),"P")</f>
        <v>P</v>
      </c>
      <c r="F4451" s="312" t="s">
        <v>37</v>
      </c>
      <c r="G4451" s="308"/>
      <c r="H4451" s="308" t="s">
        <v>17994</v>
      </c>
      <c r="I4451" s="310">
        <v>42952.0</v>
      </c>
      <c r="J4451" s="319">
        <f>IFERROR(__xludf.DUMMYFUNCTION("SPLIT(I4451,""/"")"),5.0)</f>
        <v>5</v>
      </c>
      <c r="K4451" s="308">
        <f>IFERROR(__xludf.DUMMYFUNCTION("""COMPUTED_VALUE"""),8.0)</f>
        <v>8</v>
      </c>
      <c r="L4451" s="308">
        <f>IFERROR(__xludf.DUMMYFUNCTION("""COMPUTED_VALUE"""),2017.0)</f>
        <v>2017</v>
      </c>
      <c r="M4451" s="308" t="s">
        <v>17995</v>
      </c>
      <c r="N4451" s="308"/>
      <c r="O4451" s="308"/>
      <c r="P4451" s="308" t="s">
        <v>37687</v>
      </c>
      <c r="Q4451" s="308" t="s">
        <v>37681</v>
      </c>
      <c r="R4451" s="308" t="s">
        <v>2743</v>
      </c>
      <c r="S4451" s="308" t="s">
        <v>49</v>
      </c>
      <c r="T4451" s="311" t="s">
        <v>51</v>
      </c>
      <c r="U4451" s="308" t="s">
        <v>143</v>
      </c>
      <c r="V4451" s="312"/>
    </row>
    <row r="4452">
      <c r="A4452" s="308">
        <v>4451.0</v>
      </c>
      <c r="B4452" s="308"/>
      <c r="C4452" s="308" t="s">
        <v>17997</v>
      </c>
      <c r="D4452" s="308">
        <f>IFERROR(__xludf.DUMMYFUNCTION("SPLIT(C4452,""-"")"),4472.0)</f>
        <v>4472</v>
      </c>
      <c r="E4452" s="308" t="str">
        <f>IFERROR(__xludf.DUMMYFUNCTION("""COMPUTED_VALUE"""),"F")</f>
        <v>F</v>
      </c>
      <c r="F4452" s="309" t="s">
        <v>34</v>
      </c>
      <c r="G4452" s="308"/>
      <c r="H4452" s="308" t="s">
        <v>17998</v>
      </c>
      <c r="I4452" s="310">
        <v>42149.0</v>
      </c>
      <c r="J4452" s="319">
        <f>IFERROR(__xludf.DUMMYFUNCTION("SPLIT(I4452,""/"")"),25.0)</f>
        <v>25</v>
      </c>
      <c r="K4452" s="308">
        <f>IFERROR(__xludf.DUMMYFUNCTION("""COMPUTED_VALUE"""),5.0)</f>
        <v>5</v>
      </c>
      <c r="L4452" s="308">
        <f>IFERROR(__xludf.DUMMYFUNCTION("""COMPUTED_VALUE"""),2015.0)</f>
        <v>2015</v>
      </c>
      <c r="M4452" s="308" t="s">
        <v>17999</v>
      </c>
      <c r="N4452" s="308" t="s">
        <v>18000</v>
      </c>
      <c r="O4452" s="308"/>
      <c r="P4452" s="308" t="s">
        <v>6393</v>
      </c>
      <c r="Q4452" s="308" t="s">
        <v>37681</v>
      </c>
      <c r="R4452" s="308" t="s">
        <v>2743</v>
      </c>
      <c r="S4452" s="315" t="s">
        <v>100</v>
      </c>
      <c r="T4452" s="311" t="s">
        <v>34208</v>
      </c>
      <c r="U4452" s="308" t="s">
        <v>6875</v>
      </c>
      <c r="V4452" s="312"/>
    </row>
    <row r="4453">
      <c r="A4453" s="308">
        <v>4452.0</v>
      </c>
      <c r="B4453" s="308"/>
      <c r="C4453" s="308" t="s">
        <v>18001</v>
      </c>
      <c r="D4453" s="308">
        <f>IFERROR(__xludf.DUMMYFUNCTION("SPLIT(C4453,""-"")"),4473.0)</f>
        <v>4473</v>
      </c>
      <c r="E4453" s="308" t="str">
        <f>IFERROR(__xludf.DUMMYFUNCTION("""COMPUTED_VALUE"""),"F")</f>
        <v>F</v>
      </c>
      <c r="F4453" s="309" t="s">
        <v>34</v>
      </c>
      <c r="G4453" s="308"/>
      <c r="H4453" s="308" t="s">
        <v>18002</v>
      </c>
      <c r="I4453" s="316" t="s">
        <v>407</v>
      </c>
      <c r="J4453" s="319"/>
      <c r="K4453" s="308"/>
      <c r="L4453" s="311" t="s">
        <v>79</v>
      </c>
      <c r="M4453" s="308" t="s">
        <v>18003</v>
      </c>
      <c r="N4453" s="308"/>
      <c r="O4453" s="308"/>
      <c r="P4453" s="308" t="s">
        <v>37688</v>
      </c>
      <c r="Q4453" s="308" t="s">
        <v>37681</v>
      </c>
      <c r="R4453" s="308" t="s">
        <v>2743</v>
      </c>
      <c r="S4453" s="308" t="s">
        <v>81</v>
      </c>
      <c r="T4453" s="311" t="s">
        <v>73</v>
      </c>
      <c r="U4453" s="308" t="s">
        <v>195</v>
      </c>
      <c r="V4453" s="312"/>
    </row>
    <row r="4454">
      <c r="A4454" s="308">
        <v>4453.0</v>
      </c>
      <c r="B4454" s="308"/>
      <c r="C4454" s="308" t="s">
        <v>18005</v>
      </c>
      <c r="D4454" s="308">
        <f>IFERROR(__xludf.DUMMYFUNCTION("SPLIT(C4454,""-"")"),4474.0)</f>
        <v>4474</v>
      </c>
      <c r="E4454" s="308" t="str">
        <f>IFERROR(__xludf.DUMMYFUNCTION("""COMPUTED_VALUE"""),"K")</f>
        <v>K</v>
      </c>
      <c r="F4454" s="309" t="s">
        <v>34</v>
      </c>
      <c r="G4454" s="308"/>
      <c r="H4454" s="308" t="s">
        <v>18006</v>
      </c>
      <c r="I4454" s="314">
        <v>41253.0</v>
      </c>
      <c r="J4454" s="319">
        <f>IFERROR(__xludf.DUMMYFUNCTION("SPLIT(I4454,""/"")"),10.0)</f>
        <v>10</v>
      </c>
      <c r="K4454" s="308">
        <f>IFERROR(__xludf.DUMMYFUNCTION("""COMPUTED_VALUE"""),12.0)</f>
        <v>12</v>
      </c>
      <c r="L4454" s="308">
        <f>IFERROR(__xludf.DUMMYFUNCTION("""COMPUTED_VALUE"""),2012.0)</f>
        <v>2012</v>
      </c>
      <c r="M4454" s="308" t="s">
        <v>18007</v>
      </c>
      <c r="N4454" s="308"/>
      <c r="O4454" s="308"/>
      <c r="P4454" s="308" t="s">
        <v>37689</v>
      </c>
      <c r="Q4454" s="308" t="s">
        <v>37681</v>
      </c>
      <c r="R4454" s="308" t="s">
        <v>2743</v>
      </c>
      <c r="S4454" s="315" t="s">
        <v>100</v>
      </c>
      <c r="T4454" s="311" t="s">
        <v>34208</v>
      </c>
      <c r="U4454" s="308" t="s">
        <v>2466</v>
      </c>
      <c r="V4454" s="312"/>
    </row>
    <row r="4455">
      <c r="A4455" s="308">
        <v>4454.0</v>
      </c>
      <c r="B4455" s="308"/>
      <c r="C4455" s="308" t="s">
        <v>18008</v>
      </c>
      <c r="D4455" s="308">
        <f>IFERROR(__xludf.DUMMYFUNCTION("SPLIT(C4455,""-"")"),4475.0)</f>
        <v>4475</v>
      </c>
      <c r="E4455" s="308" t="str">
        <f>IFERROR(__xludf.DUMMYFUNCTION("""COMPUTED_VALUE"""),"K")</f>
        <v>K</v>
      </c>
      <c r="F4455" s="309" t="s">
        <v>34</v>
      </c>
      <c r="G4455" s="308"/>
      <c r="H4455" s="308" t="s">
        <v>18009</v>
      </c>
      <c r="I4455" s="314">
        <v>42348.0</v>
      </c>
      <c r="J4455" s="319">
        <f>IFERROR(__xludf.DUMMYFUNCTION("SPLIT(I4455,""/"")"),10.0)</f>
        <v>10</v>
      </c>
      <c r="K4455" s="308">
        <f>IFERROR(__xludf.DUMMYFUNCTION("""COMPUTED_VALUE"""),12.0)</f>
        <v>12</v>
      </c>
      <c r="L4455" s="308">
        <f>IFERROR(__xludf.DUMMYFUNCTION("""COMPUTED_VALUE"""),2015.0)</f>
        <v>2015</v>
      </c>
      <c r="M4455" s="308" t="s">
        <v>18010</v>
      </c>
      <c r="N4455" s="308"/>
      <c r="O4455" s="308"/>
      <c r="P4455" s="308" t="s">
        <v>18011</v>
      </c>
      <c r="Q4455" s="308" t="s">
        <v>37681</v>
      </c>
      <c r="R4455" s="308" t="s">
        <v>2743</v>
      </c>
      <c r="S4455" s="308" t="s">
        <v>81</v>
      </c>
      <c r="T4455" s="308" t="s">
        <v>34264</v>
      </c>
      <c r="U4455" s="308" t="s">
        <v>542</v>
      </c>
      <c r="V4455" s="312"/>
    </row>
    <row r="4456">
      <c r="A4456" s="308">
        <v>4455.0</v>
      </c>
      <c r="B4456" s="308"/>
      <c r="C4456" s="308" t="s">
        <v>18012</v>
      </c>
      <c r="D4456" s="308">
        <f>IFERROR(__xludf.DUMMYFUNCTION("SPLIT(C4456,""-"")"),4476.0)</f>
        <v>4476</v>
      </c>
      <c r="E4456" s="308" t="str">
        <f>IFERROR(__xludf.DUMMYFUNCTION("""COMPUTED_VALUE"""),"K")</f>
        <v>K</v>
      </c>
      <c r="F4456" s="309" t="s">
        <v>34</v>
      </c>
      <c r="G4456" s="308"/>
      <c r="H4456" s="308" t="s">
        <v>18013</v>
      </c>
      <c r="I4456" s="310">
        <v>40338.0</v>
      </c>
      <c r="J4456" s="319">
        <f>IFERROR(__xludf.DUMMYFUNCTION("SPLIT(I4456,""/"")"),9.0)</f>
        <v>9</v>
      </c>
      <c r="K4456" s="308">
        <f>IFERROR(__xludf.DUMMYFUNCTION("""COMPUTED_VALUE"""),6.0)</f>
        <v>6</v>
      </c>
      <c r="L4456" s="308">
        <f>IFERROR(__xludf.DUMMYFUNCTION("""COMPUTED_VALUE"""),2010.0)</f>
        <v>2010</v>
      </c>
      <c r="M4456" s="308" t="s">
        <v>18014</v>
      </c>
      <c r="N4456" s="308"/>
      <c r="O4456" s="308"/>
      <c r="P4456" s="308" t="s">
        <v>37690</v>
      </c>
      <c r="Q4456" s="308" t="s">
        <v>37681</v>
      </c>
      <c r="R4456" s="308" t="s">
        <v>2743</v>
      </c>
      <c r="S4456" s="308" t="s">
        <v>49</v>
      </c>
      <c r="T4456" s="311" t="s">
        <v>51</v>
      </c>
      <c r="U4456" s="308" t="s">
        <v>125</v>
      </c>
      <c r="V4456" s="312"/>
    </row>
    <row r="4457">
      <c r="A4457" s="308">
        <v>4456.0</v>
      </c>
      <c r="B4457" s="308"/>
      <c r="C4457" s="308" t="s">
        <v>18016</v>
      </c>
      <c r="D4457" s="308">
        <f>IFERROR(__xludf.DUMMYFUNCTION("SPLIT(C4457,""-"")"),4477.0)</f>
        <v>4477</v>
      </c>
      <c r="E4457" s="308" t="str">
        <f>IFERROR(__xludf.DUMMYFUNCTION("""COMPUTED_VALUE"""),"K")</f>
        <v>K</v>
      </c>
      <c r="F4457" s="309" t="s">
        <v>34</v>
      </c>
      <c r="G4457" s="308"/>
      <c r="H4457" s="308" t="s">
        <v>18017</v>
      </c>
      <c r="I4457" s="310">
        <v>40360.0</v>
      </c>
      <c r="J4457" s="319">
        <f>IFERROR(__xludf.DUMMYFUNCTION("SPLIT(I4457,""/"")"),1.0)</f>
        <v>1</v>
      </c>
      <c r="K4457" s="308">
        <f>IFERROR(__xludf.DUMMYFUNCTION("""COMPUTED_VALUE"""),7.0)</f>
        <v>7</v>
      </c>
      <c r="L4457" s="308">
        <f>IFERROR(__xludf.DUMMYFUNCTION("""COMPUTED_VALUE"""),2010.0)</f>
        <v>2010</v>
      </c>
      <c r="M4457" s="308" t="s">
        <v>18018</v>
      </c>
      <c r="N4457" s="308" t="s">
        <v>37691</v>
      </c>
      <c r="O4457" s="308"/>
      <c r="P4457" s="308" t="s">
        <v>37689</v>
      </c>
      <c r="Q4457" s="308" t="s">
        <v>37681</v>
      </c>
      <c r="R4457" s="308" t="s">
        <v>2743</v>
      </c>
      <c r="S4457" s="315" t="s">
        <v>100</v>
      </c>
      <c r="T4457" s="311" t="s">
        <v>34208</v>
      </c>
      <c r="U4457" s="308" t="s">
        <v>2466</v>
      </c>
      <c r="V4457" s="312"/>
    </row>
    <row r="4458">
      <c r="A4458" s="308">
        <v>4457.0</v>
      </c>
      <c r="B4458" s="308"/>
      <c r="C4458" s="308" t="s">
        <v>18020</v>
      </c>
      <c r="D4458" s="308">
        <f>IFERROR(__xludf.DUMMYFUNCTION("SPLIT(C4458,""-"")"),4478.0)</f>
        <v>4478</v>
      </c>
      <c r="E4458" s="308" t="str">
        <f>IFERROR(__xludf.DUMMYFUNCTION("""COMPUTED_VALUE"""),"S")</f>
        <v>S</v>
      </c>
      <c r="F4458" s="312" t="s">
        <v>39</v>
      </c>
      <c r="G4458" s="308"/>
      <c r="H4458" s="308" t="s">
        <v>18021</v>
      </c>
      <c r="I4458" s="310">
        <v>42341.0</v>
      </c>
      <c r="J4458" s="319">
        <f>IFERROR(__xludf.DUMMYFUNCTION("SPLIT(I4458,""/"")"),3.0)</f>
        <v>3</v>
      </c>
      <c r="K4458" s="308">
        <f>IFERROR(__xludf.DUMMYFUNCTION("""COMPUTED_VALUE"""),12.0)</f>
        <v>12</v>
      </c>
      <c r="L4458" s="308">
        <f>IFERROR(__xludf.DUMMYFUNCTION("""COMPUTED_VALUE"""),2015.0)</f>
        <v>2015</v>
      </c>
      <c r="M4458" s="308" t="s">
        <v>18022</v>
      </c>
      <c r="N4458" s="308"/>
      <c r="O4458" s="308"/>
      <c r="P4458" s="308" t="s">
        <v>9979</v>
      </c>
      <c r="Q4458" s="308" t="s">
        <v>37681</v>
      </c>
      <c r="R4458" s="308" t="s">
        <v>2743</v>
      </c>
      <c r="S4458" s="315" t="s">
        <v>100</v>
      </c>
      <c r="T4458" s="311" t="s">
        <v>34208</v>
      </c>
      <c r="U4458" s="308" t="s">
        <v>166</v>
      </c>
      <c r="V4458" s="312"/>
    </row>
    <row r="4459">
      <c r="A4459" s="308">
        <v>4458.0</v>
      </c>
      <c r="B4459" s="308"/>
      <c r="C4459" s="308" t="s">
        <v>18023</v>
      </c>
      <c r="D4459" s="308">
        <f>IFERROR(__xludf.DUMMYFUNCTION("SPLIT(C4459,""-"")"),4479.0)</f>
        <v>4479</v>
      </c>
      <c r="E4459" s="308" t="str">
        <f>IFERROR(__xludf.DUMMYFUNCTION("""COMPUTED_VALUE"""),"P")</f>
        <v>P</v>
      </c>
      <c r="F4459" s="312" t="s">
        <v>37</v>
      </c>
      <c r="G4459" s="308"/>
      <c r="H4459" s="308" t="s">
        <v>18024</v>
      </c>
      <c r="I4459" s="316" t="s">
        <v>407</v>
      </c>
      <c r="J4459" s="319"/>
      <c r="K4459" s="308"/>
      <c r="L4459" s="311" t="s">
        <v>79</v>
      </c>
      <c r="M4459" s="308" t="s">
        <v>18025</v>
      </c>
      <c r="N4459" s="308"/>
      <c r="O4459" s="308"/>
      <c r="P4459" s="308" t="s">
        <v>18026</v>
      </c>
      <c r="Q4459" s="308" t="s">
        <v>37692</v>
      </c>
      <c r="R4459" s="308" t="s">
        <v>2743</v>
      </c>
      <c r="S4459" s="308" t="s">
        <v>81</v>
      </c>
      <c r="T4459" s="311" t="s">
        <v>51</v>
      </c>
      <c r="U4459" s="308" t="s">
        <v>2318</v>
      </c>
      <c r="V4459" s="312"/>
    </row>
    <row r="4460">
      <c r="A4460" s="308">
        <v>4459.0</v>
      </c>
      <c r="B4460" s="308"/>
      <c r="C4460" s="308" t="s">
        <v>18027</v>
      </c>
      <c r="D4460" s="308">
        <f>IFERROR(__xludf.DUMMYFUNCTION("SPLIT(C4460,""-"")"),4480.0)</f>
        <v>4480</v>
      </c>
      <c r="E4460" s="308" t="str">
        <f>IFERROR(__xludf.DUMMYFUNCTION("""COMPUTED_VALUE"""),"P")</f>
        <v>P</v>
      </c>
      <c r="F4460" s="312" t="s">
        <v>37</v>
      </c>
      <c r="G4460" s="308"/>
      <c r="H4460" s="308" t="s">
        <v>18028</v>
      </c>
      <c r="I4460" s="314">
        <v>43062.0</v>
      </c>
      <c r="J4460" s="319">
        <f>IFERROR(__xludf.DUMMYFUNCTION("SPLIT(I4460,""/"")"),23.0)</f>
        <v>23</v>
      </c>
      <c r="K4460" s="308">
        <f>IFERROR(__xludf.DUMMYFUNCTION("""COMPUTED_VALUE"""),11.0)</f>
        <v>11</v>
      </c>
      <c r="L4460" s="308">
        <f>IFERROR(__xludf.DUMMYFUNCTION("""COMPUTED_VALUE"""),2017.0)</f>
        <v>2017</v>
      </c>
      <c r="M4460" s="308" t="s">
        <v>18025</v>
      </c>
      <c r="N4460" s="308"/>
      <c r="O4460" s="308"/>
      <c r="P4460" s="308" t="s">
        <v>37693</v>
      </c>
      <c r="Q4460" s="308" t="s">
        <v>37692</v>
      </c>
      <c r="R4460" s="308" t="s">
        <v>2743</v>
      </c>
      <c r="S4460" s="308" t="s">
        <v>81</v>
      </c>
      <c r="T4460" s="311" t="s">
        <v>96</v>
      </c>
      <c r="U4460" s="308" t="s">
        <v>2318</v>
      </c>
      <c r="V4460" s="312"/>
    </row>
    <row r="4461">
      <c r="A4461" s="308">
        <v>4460.0</v>
      </c>
      <c r="B4461" s="308"/>
      <c r="C4461" s="308" t="s">
        <v>18030</v>
      </c>
      <c r="D4461" s="308">
        <f>IFERROR(__xludf.DUMMYFUNCTION("SPLIT(C4461,""-"")"),4481.0)</f>
        <v>4481</v>
      </c>
      <c r="E4461" s="308" t="str">
        <f>IFERROR(__xludf.DUMMYFUNCTION("""COMPUTED_VALUE"""),"S")</f>
        <v>S</v>
      </c>
      <c r="F4461" s="312" t="s">
        <v>39</v>
      </c>
      <c r="G4461" s="308"/>
      <c r="H4461" s="308" t="s">
        <v>18031</v>
      </c>
      <c r="I4461" s="310">
        <v>42594.0</v>
      </c>
      <c r="J4461" s="319">
        <f>IFERROR(__xludf.DUMMYFUNCTION("SPLIT(I4461,""/"")"),12.0)</f>
        <v>12</v>
      </c>
      <c r="K4461" s="308">
        <f>IFERROR(__xludf.DUMMYFUNCTION("""COMPUTED_VALUE"""),8.0)</f>
        <v>8</v>
      </c>
      <c r="L4461" s="308">
        <f>IFERROR(__xludf.DUMMYFUNCTION("""COMPUTED_VALUE"""),2016.0)</f>
        <v>2016</v>
      </c>
      <c r="M4461" s="308" t="s">
        <v>18032</v>
      </c>
      <c r="N4461" s="308"/>
      <c r="O4461" s="308"/>
      <c r="P4461" s="308" t="s">
        <v>37694</v>
      </c>
      <c r="Q4461" s="308" t="s">
        <v>37692</v>
      </c>
      <c r="R4461" s="308" t="s">
        <v>14256</v>
      </c>
      <c r="S4461" s="308" t="s">
        <v>81</v>
      </c>
      <c r="T4461" s="311" t="s">
        <v>77</v>
      </c>
      <c r="U4461" s="308" t="s">
        <v>166</v>
      </c>
      <c r="V4461" s="312"/>
    </row>
    <row r="4462">
      <c r="A4462" s="308">
        <v>4461.0</v>
      </c>
      <c r="B4462" s="308"/>
      <c r="C4462" s="308" t="s">
        <v>18034</v>
      </c>
      <c r="D4462" s="308">
        <f>IFERROR(__xludf.DUMMYFUNCTION("SPLIT(C4462,""-"")"),4482.0)</f>
        <v>4482</v>
      </c>
      <c r="E4462" s="308" t="str">
        <f>IFERROR(__xludf.DUMMYFUNCTION("""COMPUTED_VALUE"""),"S")</f>
        <v>S</v>
      </c>
      <c r="F4462" s="312" t="s">
        <v>39</v>
      </c>
      <c r="G4462" s="308"/>
      <c r="H4462" s="308" t="s">
        <v>18035</v>
      </c>
      <c r="I4462" s="310">
        <v>42710.0</v>
      </c>
      <c r="J4462" s="319">
        <f>IFERROR(__xludf.DUMMYFUNCTION("SPLIT(I4462,""/"")"),6.0)</f>
        <v>6</v>
      </c>
      <c r="K4462" s="308">
        <f>IFERROR(__xludf.DUMMYFUNCTION("""COMPUTED_VALUE"""),12.0)</f>
        <v>12</v>
      </c>
      <c r="L4462" s="308">
        <f>IFERROR(__xludf.DUMMYFUNCTION("""COMPUTED_VALUE"""),2016.0)</f>
        <v>2016</v>
      </c>
      <c r="M4462" s="308" t="s">
        <v>18036</v>
      </c>
      <c r="N4462" s="308"/>
      <c r="O4462" s="308"/>
      <c r="P4462" s="308" t="s">
        <v>37695</v>
      </c>
      <c r="Q4462" s="308" t="s">
        <v>37692</v>
      </c>
      <c r="R4462" s="308" t="s">
        <v>14256</v>
      </c>
      <c r="S4462" s="308" t="s">
        <v>81</v>
      </c>
      <c r="T4462" s="308" t="s">
        <v>75</v>
      </c>
      <c r="U4462" s="308" t="s">
        <v>12947</v>
      </c>
      <c r="V4462" s="312"/>
    </row>
    <row r="4463">
      <c r="A4463" s="308">
        <v>4462.0</v>
      </c>
      <c r="B4463" s="308"/>
      <c r="C4463" s="308" t="s">
        <v>18038</v>
      </c>
      <c r="D4463" s="308">
        <f>IFERROR(__xludf.DUMMYFUNCTION("SPLIT(C4463,""-"")"),4483.0)</f>
        <v>4483</v>
      </c>
      <c r="E4463" s="308" t="str">
        <f>IFERROR(__xludf.DUMMYFUNCTION("""COMPUTED_VALUE"""),"S")</f>
        <v>S</v>
      </c>
      <c r="F4463" s="312" t="s">
        <v>39</v>
      </c>
      <c r="G4463" s="308"/>
      <c r="H4463" s="308" t="s">
        <v>18039</v>
      </c>
      <c r="I4463" s="314">
        <v>42734.0</v>
      </c>
      <c r="J4463" s="319">
        <f>IFERROR(__xludf.DUMMYFUNCTION("SPLIT(I4463,""/"")"),30.0)</f>
        <v>30</v>
      </c>
      <c r="K4463" s="308">
        <f>IFERROR(__xludf.DUMMYFUNCTION("""COMPUTED_VALUE"""),12.0)</f>
        <v>12</v>
      </c>
      <c r="L4463" s="308">
        <f>IFERROR(__xludf.DUMMYFUNCTION("""COMPUTED_VALUE"""),2016.0)</f>
        <v>2016</v>
      </c>
      <c r="M4463" s="308" t="s">
        <v>18040</v>
      </c>
      <c r="N4463" s="308"/>
      <c r="O4463" s="308"/>
      <c r="P4463" s="308" t="s">
        <v>37696</v>
      </c>
      <c r="Q4463" s="308" t="s">
        <v>37692</v>
      </c>
      <c r="R4463" s="308" t="s">
        <v>14256</v>
      </c>
      <c r="S4463" s="308" t="s">
        <v>81</v>
      </c>
      <c r="T4463" s="308" t="s">
        <v>75</v>
      </c>
      <c r="U4463" s="308" t="s">
        <v>166</v>
      </c>
      <c r="V4463" s="312"/>
    </row>
    <row r="4464">
      <c r="A4464" s="308">
        <v>4463.0</v>
      </c>
      <c r="B4464" s="308"/>
      <c r="C4464" s="308" t="s">
        <v>37697</v>
      </c>
      <c r="D4464" s="308" t="str">
        <f>IFERROR(__xludf.DUMMYFUNCTION("SPLIT(C4464,""-"")"),"#REF!")</f>
        <v>#REF!</v>
      </c>
      <c r="E4464" s="311"/>
      <c r="F4464" s="317" t="s">
        <v>39</v>
      </c>
      <c r="G4464" s="308"/>
      <c r="H4464" s="308" t="s">
        <v>37698</v>
      </c>
      <c r="I4464" s="310">
        <v>42026.0</v>
      </c>
      <c r="J4464" s="319">
        <f>IFERROR(__xludf.DUMMYFUNCTION("SPLIT(I4464,""/"")"),22.0)</f>
        <v>22</v>
      </c>
      <c r="K4464" s="308">
        <f>IFERROR(__xludf.DUMMYFUNCTION("""COMPUTED_VALUE"""),1.0)</f>
        <v>1</v>
      </c>
      <c r="L4464" s="308">
        <f>IFERROR(__xludf.DUMMYFUNCTION("""COMPUTED_VALUE"""),2015.0)</f>
        <v>2015</v>
      </c>
      <c r="M4464" s="308" t="s">
        <v>18044</v>
      </c>
      <c r="N4464" s="308"/>
      <c r="O4464" s="308"/>
      <c r="P4464" s="308" t="s">
        <v>37233</v>
      </c>
      <c r="Q4464" s="308" t="s">
        <v>37692</v>
      </c>
      <c r="R4464" s="308" t="s">
        <v>18045</v>
      </c>
      <c r="S4464" s="315" t="s">
        <v>100</v>
      </c>
      <c r="T4464" s="311" t="s">
        <v>34208</v>
      </c>
      <c r="U4464" s="308" t="s">
        <v>166</v>
      </c>
      <c r="V4464" s="312"/>
    </row>
    <row r="4465">
      <c r="A4465" s="308">
        <v>4464.0</v>
      </c>
      <c r="B4465" s="308"/>
      <c r="C4465" s="308" t="s">
        <v>18046</v>
      </c>
      <c r="D4465" s="308">
        <f>IFERROR(__xludf.DUMMYFUNCTION("SPLIT(C4465,""-"")"),4485.0)</f>
        <v>4485</v>
      </c>
      <c r="E4465" s="308" t="str">
        <f>IFERROR(__xludf.DUMMYFUNCTION("""COMPUTED_VALUE"""),"S")</f>
        <v>S</v>
      </c>
      <c r="F4465" s="312" t="s">
        <v>39</v>
      </c>
      <c r="G4465" s="308"/>
      <c r="H4465" s="308" t="s">
        <v>18047</v>
      </c>
      <c r="I4465" s="310">
        <v>42580.0</v>
      </c>
      <c r="J4465" s="319">
        <f>IFERROR(__xludf.DUMMYFUNCTION("SPLIT(I4465,""/"")"),29.0)</f>
        <v>29</v>
      </c>
      <c r="K4465" s="308">
        <f>IFERROR(__xludf.DUMMYFUNCTION("""COMPUTED_VALUE"""),7.0)</f>
        <v>7</v>
      </c>
      <c r="L4465" s="308">
        <f>IFERROR(__xludf.DUMMYFUNCTION("""COMPUTED_VALUE"""),2016.0)</f>
        <v>2016</v>
      </c>
      <c r="M4465" s="308" t="s">
        <v>18048</v>
      </c>
      <c r="N4465" s="308"/>
      <c r="O4465" s="308"/>
      <c r="P4465" s="308" t="s">
        <v>37699</v>
      </c>
      <c r="Q4465" s="308" t="s">
        <v>37692</v>
      </c>
      <c r="R4465" s="308" t="s">
        <v>14256</v>
      </c>
      <c r="S4465" s="308" t="s">
        <v>49</v>
      </c>
      <c r="T4465" s="311" t="s">
        <v>51</v>
      </c>
      <c r="U4465" s="308" t="s">
        <v>40</v>
      </c>
      <c r="V4465" s="312"/>
    </row>
    <row r="4466">
      <c r="A4466" s="308">
        <v>4465.0</v>
      </c>
      <c r="B4466" s="308"/>
      <c r="C4466" s="308" t="s">
        <v>18050</v>
      </c>
      <c r="D4466" s="308">
        <f>IFERROR(__xludf.DUMMYFUNCTION("SPLIT(C4466,""-"")"),4486.0)</f>
        <v>4486</v>
      </c>
      <c r="E4466" s="308" t="str">
        <f>IFERROR(__xludf.DUMMYFUNCTION("""COMPUTED_VALUE"""),"B")</f>
        <v>B</v>
      </c>
      <c r="F4466" s="315" t="s">
        <v>26</v>
      </c>
      <c r="G4466" s="308"/>
      <c r="H4466" s="308" t="s">
        <v>18051</v>
      </c>
      <c r="I4466" s="310">
        <v>42040.0</v>
      </c>
      <c r="J4466" s="319">
        <f>IFERROR(__xludf.DUMMYFUNCTION("SPLIT(I4466,""/"")"),5.0)</f>
        <v>5</v>
      </c>
      <c r="K4466" s="308">
        <f>IFERROR(__xludf.DUMMYFUNCTION("""COMPUTED_VALUE"""),2.0)</f>
        <v>2</v>
      </c>
      <c r="L4466" s="308">
        <f>IFERROR(__xludf.DUMMYFUNCTION("""COMPUTED_VALUE"""),2015.0)</f>
        <v>2015</v>
      </c>
      <c r="M4466" s="308" t="s">
        <v>18052</v>
      </c>
      <c r="N4466" s="308"/>
      <c r="O4466" s="308"/>
      <c r="P4466" s="308" t="s">
        <v>18053</v>
      </c>
      <c r="Q4466" s="308" t="s">
        <v>37692</v>
      </c>
      <c r="R4466" s="308" t="s">
        <v>14256</v>
      </c>
      <c r="S4466" s="308" t="s">
        <v>81</v>
      </c>
      <c r="T4466" s="311" t="s">
        <v>96</v>
      </c>
      <c r="U4466" s="308" t="s">
        <v>27</v>
      </c>
      <c r="V4466" s="312"/>
    </row>
    <row r="4467">
      <c r="A4467" s="308">
        <v>4466.0</v>
      </c>
      <c r="B4467" s="308"/>
      <c r="C4467" s="308" t="s">
        <v>18054</v>
      </c>
      <c r="D4467" s="308">
        <f>IFERROR(__xludf.DUMMYFUNCTION("SPLIT(C4467,""-"")"),4487.0)</f>
        <v>4487</v>
      </c>
      <c r="E4467" s="308" t="str">
        <f>IFERROR(__xludf.DUMMYFUNCTION("""COMPUTED_VALUE"""),"B")</f>
        <v>B</v>
      </c>
      <c r="F4467" s="315" t="s">
        <v>26</v>
      </c>
      <c r="G4467" s="308"/>
      <c r="H4467" s="308" t="s">
        <v>18055</v>
      </c>
      <c r="I4467" s="310">
        <v>42447.0</v>
      </c>
      <c r="J4467" s="319">
        <f>IFERROR(__xludf.DUMMYFUNCTION("SPLIT(I4467,""/"")"),18.0)</f>
        <v>18</v>
      </c>
      <c r="K4467" s="308">
        <f>IFERROR(__xludf.DUMMYFUNCTION("""COMPUTED_VALUE"""),3.0)</f>
        <v>3</v>
      </c>
      <c r="L4467" s="308">
        <f>IFERROR(__xludf.DUMMYFUNCTION("""COMPUTED_VALUE"""),2016.0)</f>
        <v>2016</v>
      </c>
      <c r="M4467" s="308" t="s">
        <v>18056</v>
      </c>
      <c r="N4467" s="308"/>
      <c r="O4467" s="308"/>
      <c r="P4467" s="308" t="s">
        <v>37700</v>
      </c>
      <c r="Q4467" s="308" t="s">
        <v>37692</v>
      </c>
      <c r="R4467" s="308" t="s">
        <v>14256</v>
      </c>
      <c r="S4467" s="308" t="s">
        <v>81</v>
      </c>
      <c r="T4467" s="308" t="s">
        <v>75</v>
      </c>
      <c r="U4467" s="308" t="s">
        <v>27</v>
      </c>
      <c r="V4467" s="312"/>
    </row>
    <row r="4468">
      <c r="A4468" s="308">
        <v>4467.0</v>
      </c>
      <c r="B4468" s="308"/>
      <c r="C4468" s="308" t="s">
        <v>18058</v>
      </c>
      <c r="D4468" s="308">
        <f>IFERROR(__xludf.DUMMYFUNCTION("SPLIT(C4468,""-"")"),4488.0)</f>
        <v>4488</v>
      </c>
      <c r="E4468" s="308" t="str">
        <f>IFERROR(__xludf.DUMMYFUNCTION("""COMPUTED_VALUE"""),"B")</f>
        <v>B</v>
      </c>
      <c r="F4468" s="315" t="s">
        <v>26</v>
      </c>
      <c r="G4468" s="308"/>
      <c r="H4468" s="308" t="s">
        <v>18059</v>
      </c>
      <c r="I4468" s="310">
        <v>42502.0</v>
      </c>
      <c r="J4468" s="319">
        <f>IFERROR(__xludf.DUMMYFUNCTION("SPLIT(I4468,""/"")"),12.0)</f>
        <v>12</v>
      </c>
      <c r="K4468" s="308">
        <f>IFERROR(__xludf.DUMMYFUNCTION("""COMPUTED_VALUE"""),5.0)</f>
        <v>5</v>
      </c>
      <c r="L4468" s="308">
        <f>IFERROR(__xludf.DUMMYFUNCTION("""COMPUTED_VALUE"""),2016.0)</f>
        <v>2016</v>
      </c>
      <c r="M4468" s="308" t="s">
        <v>18060</v>
      </c>
      <c r="N4468" s="308"/>
      <c r="O4468" s="308"/>
      <c r="P4468" s="308" t="s">
        <v>37701</v>
      </c>
      <c r="Q4468" s="308" t="s">
        <v>37692</v>
      </c>
      <c r="R4468" s="308" t="s">
        <v>14256</v>
      </c>
      <c r="S4468" s="308" t="s">
        <v>81</v>
      </c>
      <c r="T4468" s="311" t="s">
        <v>51</v>
      </c>
      <c r="U4468" s="308" t="s">
        <v>27</v>
      </c>
      <c r="V4468" s="312"/>
    </row>
    <row r="4469">
      <c r="A4469" s="308">
        <v>4468.0</v>
      </c>
      <c r="B4469" s="308"/>
      <c r="C4469" s="308" t="s">
        <v>18062</v>
      </c>
      <c r="D4469" s="308">
        <f>IFERROR(__xludf.DUMMYFUNCTION("SPLIT(C4469,""-"")"),4489.0)</f>
        <v>4489</v>
      </c>
      <c r="E4469" s="308" t="str">
        <f>IFERROR(__xludf.DUMMYFUNCTION("""COMPUTED_VALUE"""),"B")</f>
        <v>B</v>
      </c>
      <c r="F4469" s="315" t="s">
        <v>26</v>
      </c>
      <c r="G4469" s="308"/>
      <c r="H4469" s="308" t="s">
        <v>18063</v>
      </c>
      <c r="I4469" s="310">
        <v>42614.0</v>
      </c>
      <c r="J4469" s="319">
        <f>IFERROR(__xludf.DUMMYFUNCTION("SPLIT(I4469,""/"")"),1.0)</f>
        <v>1</v>
      </c>
      <c r="K4469" s="308">
        <f>IFERROR(__xludf.DUMMYFUNCTION("""COMPUTED_VALUE"""),9.0)</f>
        <v>9</v>
      </c>
      <c r="L4469" s="308">
        <f>IFERROR(__xludf.DUMMYFUNCTION("""COMPUTED_VALUE"""),2016.0)</f>
        <v>2016</v>
      </c>
      <c r="M4469" s="308" t="s">
        <v>18064</v>
      </c>
      <c r="N4469" s="308"/>
      <c r="O4469" s="308"/>
      <c r="P4469" s="308" t="s">
        <v>37702</v>
      </c>
      <c r="Q4469" s="308" t="s">
        <v>37692</v>
      </c>
      <c r="R4469" s="308" t="s">
        <v>14256</v>
      </c>
      <c r="S4469" s="308" t="s">
        <v>81</v>
      </c>
      <c r="T4469" s="311" t="s">
        <v>51</v>
      </c>
      <c r="U4469" s="308" t="s">
        <v>27</v>
      </c>
      <c r="V4469" s="312"/>
    </row>
    <row r="4470">
      <c r="A4470" s="308">
        <v>4469.0</v>
      </c>
      <c r="B4470" s="308"/>
      <c r="C4470" s="308" t="s">
        <v>18066</v>
      </c>
      <c r="D4470" s="308">
        <f>IFERROR(__xludf.DUMMYFUNCTION("SPLIT(C4470,""-"")"),4490.0)</f>
        <v>4490</v>
      </c>
      <c r="E4470" s="308" t="str">
        <f>IFERROR(__xludf.DUMMYFUNCTION("""COMPUTED_VALUE"""),"B")</f>
        <v>B</v>
      </c>
      <c r="F4470" s="315" t="s">
        <v>26</v>
      </c>
      <c r="G4470" s="308"/>
      <c r="H4470" s="308" t="s">
        <v>18067</v>
      </c>
      <c r="I4470" s="310">
        <v>42511.0</v>
      </c>
      <c r="J4470" s="319">
        <f>IFERROR(__xludf.DUMMYFUNCTION("SPLIT(I4470,""/"")"),21.0)</f>
        <v>21</v>
      </c>
      <c r="K4470" s="308">
        <f>IFERROR(__xludf.DUMMYFUNCTION("""COMPUTED_VALUE"""),5.0)</f>
        <v>5</v>
      </c>
      <c r="L4470" s="308">
        <f>IFERROR(__xludf.DUMMYFUNCTION("""COMPUTED_VALUE"""),2016.0)</f>
        <v>2016</v>
      </c>
      <c r="M4470" s="308" t="s">
        <v>18068</v>
      </c>
      <c r="N4470" s="308"/>
      <c r="O4470" s="308"/>
      <c r="P4470" s="308" t="s">
        <v>37703</v>
      </c>
      <c r="Q4470" s="308" t="s">
        <v>37692</v>
      </c>
      <c r="R4470" s="308" t="s">
        <v>14256</v>
      </c>
      <c r="S4470" s="308" t="s">
        <v>81</v>
      </c>
      <c r="T4470" s="311" t="s">
        <v>51</v>
      </c>
      <c r="U4470" s="308" t="s">
        <v>27</v>
      </c>
      <c r="V4470" s="312"/>
    </row>
    <row r="4471">
      <c r="A4471" s="308">
        <v>4470.0</v>
      </c>
      <c r="B4471" s="308"/>
      <c r="C4471" s="308" t="s">
        <v>18070</v>
      </c>
      <c r="D4471" s="308">
        <f>IFERROR(__xludf.DUMMYFUNCTION("SPLIT(C4471,""-"")"),4491.0)</f>
        <v>4491</v>
      </c>
      <c r="E4471" s="308" t="str">
        <f>IFERROR(__xludf.DUMMYFUNCTION("""COMPUTED_VALUE"""),"B")</f>
        <v>B</v>
      </c>
      <c r="F4471" s="315" t="s">
        <v>26</v>
      </c>
      <c r="G4471" s="308"/>
      <c r="H4471" s="308" t="s">
        <v>18071</v>
      </c>
      <c r="I4471" s="310">
        <v>42511.0</v>
      </c>
      <c r="J4471" s="319">
        <f>IFERROR(__xludf.DUMMYFUNCTION("SPLIT(I4471,""/"")"),21.0)</f>
        <v>21</v>
      </c>
      <c r="K4471" s="308">
        <f>IFERROR(__xludf.DUMMYFUNCTION("""COMPUTED_VALUE"""),5.0)</f>
        <v>5</v>
      </c>
      <c r="L4471" s="308">
        <f>IFERROR(__xludf.DUMMYFUNCTION("""COMPUTED_VALUE"""),2016.0)</f>
        <v>2016</v>
      </c>
      <c r="M4471" s="308" t="s">
        <v>18072</v>
      </c>
      <c r="N4471" s="308"/>
      <c r="O4471" s="308"/>
      <c r="P4471" s="308" t="s">
        <v>37704</v>
      </c>
      <c r="Q4471" s="308" t="s">
        <v>37692</v>
      </c>
      <c r="R4471" s="308" t="s">
        <v>14256</v>
      </c>
      <c r="S4471" s="308" t="s">
        <v>81</v>
      </c>
      <c r="T4471" s="311" t="s">
        <v>51</v>
      </c>
      <c r="U4471" s="308" t="s">
        <v>27</v>
      </c>
      <c r="V4471" s="312"/>
    </row>
    <row r="4472">
      <c r="A4472" s="308">
        <v>4471.0</v>
      </c>
      <c r="B4472" s="308"/>
      <c r="C4472" s="308" t="s">
        <v>18074</v>
      </c>
      <c r="D4472" s="308">
        <f>IFERROR(__xludf.DUMMYFUNCTION("SPLIT(C4472,""-"")"),4492.0)</f>
        <v>4492</v>
      </c>
      <c r="E4472" s="308" t="str">
        <f>IFERROR(__xludf.DUMMYFUNCTION("""COMPUTED_VALUE"""),"K")</f>
        <v>K</v>
      </c>
      <c r="F4472" s="309" t="s">
        <v>34</v>
      </c>
      <c r="G4472" s="308"/>
      <c r="H4472" s="308" t="s">
        <v>18075</v>
      </c>
      <c r="I4472" s="310">
        <v>42507.0</v>
      </c>
      <c r="J4472" s="319">
        <f>IFERROR(__xludf.DUMMYFUNCTION("SPLIT(I4472,""/"")"),17.0)</f>
        <v>17</v>
      </c>
      <c r="K4472" s="308">
        <f>IFERROR(__xludf.DUMMYFUNCTION("""COMPUTED_VALUE"""),5.0)</f>
        <v>5</v>
      </c>
      <c r="L4472" s="308">
        <f>IFERROR(__xludf.DUMMYFUNCTION("""COMPUTED_VALUE"""),2016.0)</f>
        <v>2016</v>
      </c>
      <c r="M4472" s="308" t="s">
        <v>37705</v>
      </c>
      <c r="N4472" s="308"/>
      <c r="O4472" s="308"/>
      <c r="P4472" s="308" t="s">
        <v>18077</v>
      </c>
      <c r="Q4472" s="308" t="s">
        <v>37692</v>
      </c>
      <c r="R4472" s="308" t="s">
        <v>14256</v>
      </c>
      <c r="S4472" s="308" t="s">
        <v>81</v>
      </c>
      <c r="T4472" s="311" t="s">
        <v>98</v>
      </c>
      <c r="U4472" s="308" t="s">
        <v>2097</v>
      </c>
      <c r="V4472" s="312"/>
    </row>
    <row r="4473">
      <c r="A4473" s="308">
        <v>4472.0</v>
      </c>
      <c r="B4473" s="308"/>
      <c r="C4473" s="308" t="s">
        <v>18078</v>
      </c>
      <c r="D4473" s="308">
        <f>IFERROR(__xludf.DUMMYFUNCTION("SPLIT(C4473,""-"")"),4493.0)</f>
        <v>4493</v>
      </c>
      <c r="E4473" s="308" t="str">
        <f>IFERROR(__xludf.DUMMYFUNCTION("""COMPUTED_VALUE"""),"K")</f>
        <v>K</v>
      </c>
      <c r="F4473" s="309" t="s">
        <v>34</v>
      </c>
      <c r="G4473" s="308"/>
      <c r="H4473" s="308" t="s">
        <v>18079</v>
      </c>
      <c r="I4473" s="310">
        <v>42376.0</v>
      </c>
      <c r="J4473" s="319">
        <f>IFERROR(__xludf.DUMMYFUNCTION("SPLIT(I4473,""/"")"),7.0)</f>
        <v>7</v>
      </c>
      <c r="K4473" s="308">
        <f>IFERROR(__xludf.DUMMYFUNCTION("""COMPUTED_VALUE"""),1.0)</f>
        <v>1</v>
      </c>
      <c r="L4473" s="308">
        <f>IFERROR(__xludf.DUMMYFUNCTION("""COMPUTED_VALUE"""),2016.0)</f>
        <v>2016</v>
      </c>
      <c r="M4473" s="308" t="s">
        <v>18080</v>
      </c>
      <c r="N4473" s="308"/>
      <c r="O4473" s="308"/>
      <c r="P4473" s="308" t="s">
        <v>18081</v>
      </c>
      <c r="Q4473" s="308" t="s">
        <v>37692</v>
      </c>
      <c r="R4473" s="308" t="s">
        <v>14256</v>
      </c>
      <c r="S4473" s="308" t="s">
        <v>81</v>
      </c>
      <c r="T4473" s="308" t="s">
        <v>75</v>
      </c>
      <c r="U4473" s="308" t="s">
        <v>2097</v>
      </c>
      <c r="V4473" s="312"/>
    </row>
    <row r="4474">
      <c r="A4474" s="308">
        <v>4473.0</v>
      </c>
      <c r="B4474" s="308"/>
      <c r="C4474" s="308" t="s">
        <v>18082</v>
      </c>
      <c r="D4474" s="308">
        <f>IFERROR(__xludf.DUMMYFUNCTION("SPLIT(C4474,""-"")"),4494.0)</f>
        <v>4494</v>
      </c>
      <c r="E4474" s="308" t="str">
        <f>IFERROR(__xludf.DUMMYFUNCTION("""COMPUTED_VALUE"""),"K")</f>
        <v>K</v>
      </c>
      <c r="F4474" s="309" t="s">
        <v>34</v>
      </c>
      <c r="G4474" s="308"/>
      <c r="H4474" s="308" t="s">
        <v>18083</v>
      </c>
      <c r="I4474" s="310">
        <v>42220.0</v>
      </c>
      <c r="J4474" s="319">
        <f>IFERROR(__xludf.DUMMYFUNCTION("SPLIT(I4474,""/"")"),4.0)</f>
        <v>4</v>
      </c>
      <c r="K4474" s="308">
        <f>IFERROR(__xludf.DUMMYFUNCTION("""COMPUTED_VALUE"""),8.0)</f>
        <v>8</v>
      </c>
      <c r="L4474" s="308">
        <f>IFERROR(__xludf.DUMMYFUNCTION("""COMPUTED_VALUE"""),2015.0)</f>
        <v>2015</v>
      </c>
      <c r="M4474" s="308" t="s">
        <v>18084</v>
      </c>
      <c r="N4474" s="308"/>
      <c r="O4474" s="308"/>
      <c r="P4474" s="308" t="s">
        <v>18085</v>
      </c>
      <c r="Q4474" s="308" t="s">
        <v>37692</v>
      </c>
      <c r="R4474" s="308" t="s">
        <v>14256</v>
      </c>
      <c r="S4474" s="308" t="s">
        <v>81</v>
      </c>
      <c r="T4474" s="308" t="s">
        <v>75</v>
      </c>
      <c r="U4474" s="308" t="s">
        <v>2097</v>
      </c>
      <c r="V4474" s="312"/>
    </row>
    <row r="4475">
      <c r="A4475" s="308">
        <v>4474.0</v>
      </c>
      <c r="B4475" s="308"/>
      <c r="C4475" s="308" t="s">
        <v>18086</v>
      </c>
      <c r="D4475" s="308">
        <f>IFERROR(__xludf.DUMMYFUNCTION("SPLIT(C4475,""-"")"),4495.0)</f>
        <v>4495</v>
      </c>
      <c r="E4475" s="308" t="str">
        <f>IFERROR(__xludf.DUMMYFUNCTION("""COMPUTED_VALUE"""),"F")</f>
        <v>F</v>
      </c>
      <c r="F4475" s="309" t="s">
        <v>34</v>
      </c>
      <c r="G4475" s="308"/>
      <c r="H4475" s="308" t="s">
        <v>18087</v>
      </c>
      <c r="I4475" s="310">
        <v>42152.0</v>
      </c>
      <c r="J4475" s="319">
        <f>IFERROR(__xludf.DUMMYFUNCTION("SPLIT(I4475,""/"")"),28.0)</f>
        <v>28</v>
      </c>
      <c r="K4475" s="308">
        <f>IFERROR(__xludf.DUMMYFUNCTION("""COMPUTED_VALUE"""),5.0)</f>
        <v>5</v>
      </c>
      <c r="L4475" s="308">
        <f>IFERROR(__xludf.DUMMYFUNCTION("""COMPUTED_VALUE"""),2015.0)</f>
        <v>2015</v>
      </c>
      <c r="M4475" s="308" t="s">
        <v>37706</v>
      </c>
      <c r="N4475" s="308" t="s">
        <v>439</v>
      </c>
      <c r="O4475" s="308"/>
      <c r="P4475" s="308" t="s">
        <v>36492</v>
      </c>
      <c r="Q4475" s="308" t="s">
        <v>37692</v>
      </c>
      <c r="R4475" s="308" t="s">
        <v>14256</v>
      </c>
      <c r="S4475" s="315" t="s">
        <v>100</v>
      </c>
      <c r="T4475" s="311" t="s">
        <v>34208</v>
      </c>
      <c r="U4475" s="308" t="s">
        <v>6875</v>
      </c>
      <c r="V4475" s="312"/>
    </row>
    <row r="4476">
      <c r="A4476" s="308">
        <v>4475.0</v>
      </c>
      <c r="B4476" s="308"/>
      <c r="C4476" s="308" t="s">
        <v>18089</v>
      </c>
      <c r="D4476" s="308">
        <f>IFERROR(__xludf.DUMMYFUNCTION("SPLIT(C4476,""-"")"),4496.0)</f>
        <v>4496</v>
      </c>
      <c r="E4476" s="308" t="str">
        <f>IFERROR(__xludf.DUMMYFUNCTION("""COMPUTED_VALUE"""),"P")</f>
        <v>P</v>
      </c>
      <c r="F4476" s="312" t="s">
        <v>37</v>
      </c>
      <c r="G4476" s="308"/>
      <c r="H4476" s="308" t="s">
        <v>18090</v>
      </c>
      <c r="I4476" s="310">
        <v>42400.0</v>
      </c>
      <c r="J4476" s="319">
        <f>IFERROR(__xludf.DUMMYFUNCTION("SPLIT(I4476,""/"")"),31.0)</f>
        <v>31</v>
      </c>
      <c r="K4476" s="308">
        <f>IFERROR(__xludf.DUMMYFUNCTION("""COMPUTED_VALUE"""),1.0)</f>
        <v>1</v>
      </c>
      <c r="L4476" s="308">
        <f>IFERROR(__xludf.DUMMYFUNCTION("""COMPUTED_VALUE"""),2016.0)</f>
        <v>2016</v>
      </c>
      <c r="M4476" s="308" t="s">
        <v>18091</v>
      </c>
      <c r="N4476" s="308"/>
      <c r="O4476" s="308"/>
      <c r="P4476" s="308" t="s">
        <v>37707</v>
      </c>
      <c r="Q4476" s="308" t="s">
        <v>37692</v>
      </c>
      <c r="R4476" s="308" t="s">
        <v>14256</v>
      </c>
      <c r="S4476" s="315" t="s">
        <v>100</v>
      </c>
      <c r="T4476" s="311" t="s">
        <v>34208</v>
      </c>
      <c r="U4476" s="308" t="s">
        <v>4273</v>
      </c>
      <c r="V4476" s="312"/>
    </row>
    <row r="4477">
      <c r="A4477" s="308">
        <v>4476.0</v>
      </c>
      <c r="B4477" s="308"/>
      <c r="C4477" s="308" t="s">
        <v>18092</v>
      </c>
      <c r="D4477" s="308">
        <f>IFERROR(__xludf.DUMMYFUNCTION("SPLIT(C4477,""-"")"),4497.0)</f>
        <v>4497</v>
      </c>
      <c r="E4477" s="308" t="str">
        <f>IFERROR(__xludf.DUMMYFUNCTION("""COMPUTED_VALUE"""),"K")</f>
        <v>K</v>
      </c>
      <c r="F4477" s="309" t="s">
        <v>34</v>
      </c>
      <c r="G4477" s="308"/>
      <c r="H4477" s="308" t="s">
        <v>18093</v>
      </c>
      <c r="I4477" s="310">
        <v>42779.0</v>
      </c>
      <c r="J4477" s="319" t="str">
        <f>IFERROR(__xludf.DUMMYFUNCTION("SPLIT(I4477,""/"")"),"#REF!")</f>
        <v>#REF!</v>
      </c>
      <c r="K4477" s="308"/>
      <c r="L4477" s="308">
        <v>2017.0</v>
      </c>
      <c r="M4477" s="308" t="s">
        <v>18094</v>
      </c>
      <c r="N4477" s="308"/>
      <c r="O4477" s="308"/>
      <c r="P4477" s="308" t="s">
        <v>37708</v>
      </c>
      <c r="Q4477" s="308" t="s">
        <v>37692</v>
      </c>
      <c r="R4477" s="308" t="s">
        <v>2743</v>
      </c>
      <c r="S4477" s="308" t="s">
        <v>81</v>
      </c>
      <c r="T4477" s="308" t="s">
        <v>75</v>
      </c>
      <c r="U4477" s="308" t="s">
        <v>282</v>
      </c>
      <c r="V4477" s="312"/>
    </row>
    <row r="4478">
      <c r="A4478" s="308">
        <v>4477.0</v>
      </c>
      <c r="B4478" s="308"/>
      <c r="C4478" s="308" t="s">
        <v>18096</v>
      </c>
      <c r="D4478" s="308">
        <f>IFERROR(__xludf.DUMMYFUNCTION("SPLIT(C4478,""-"")"),4498.0)</f>
        <v>4498</v>
      </c>
      <c r="E4478" s="308" t="str">
        <f>IFERROR(__xludf.DUMMYFUNCTION("""COMPUTED_VALUE"""),"P")</f>
        <v>P</v>
      </c>
      <c r="F4478" s="312" t="s">
        <v>37</v>
      </c>
      <c r="G4478" s="308"/>
      <c r="H4478" s="308" t="s">
        <v>18097</v>
      </c>
      <c r="I4478" s="314">
        <v>43032.0</v>
      </c>
      <c r="J4478" s="319">
        <f>IFERROR(__xludf.DUMMYFUNCTION("SPLIT(I4478,""/"")"),24.0)</f>
        <v>24</v>
      </c>
      <c r="K4478" s="308">
        <f>IFERROR(__xludf.DUMMYFUNCTION("""COMPUTED_VALUE"""),10.0)</f>
        <v>10</v>
      </c>
      <c r="L4478" s="308">
        <f>IFERROR(__xludf.DUMMYFUNCTION("""COMPUTED_VALUE"""),2017.0)</f>
        <v>2017</v>
      </c>
      <c r="M4478" s="308" t="s">
        <v>18098</v>
      </c>
      <c r="N4478" s="308"/>
      <c r="O4478" s="308"/>
      <c r="P4478" s="308" t="s">
        <v>37709</v>
      </c>
      <c r="Q4478" s="308" t="s">
        <v>37692</v>
      </c>
      <c r="R4478" s="308" t="s">
        <v>2743</v>
      </c>
      <c r="S4478" s="308" t="s">
        <v>81</v>
      </c>
      <c r="T4478" s="311" t="s">
        <v>51</v>
      </c>
      <c r="U4478" s="308" t="s">
        <v>143</v>
      </c>
      <c r="V4478" s="312"/>
    </row>
    <row r="4479">
      <c r="A4479" s="308">
        <v>4478.0</v>
      </c>
      <c r="B4479" s="308"/>
      <c r="C4479" s="308" t="s">
        <v>18100</v>
      </c>
      <c r="D4479" s="308">
        <f>IFERROR(__xludf.DUMMYFUNCTION("SPLIT(C4479,""-"")"),4499.0)</f>
        <v>4499</v>
      </c>
      <c r="E4479" s="308" t="str">
        <f>IFERROR(__xludf.DUMMYFUNCTION("""COMPUTED_VALUE"""),"P")</f>
        <v>P</v>
      </c>
      <c r="F4479" s="312" t="s">
        <v>37</v>
      </c>
      <c r="G4479" s="308"/>
      <c r="H4479" s="308" t="s">
        <v>18101</v>
      </c>
      <c r="I4479" s="310">
        <v>42943.0</v>
      </c>
      <c r="J4479" s="319">
        <f>IFERROR(__xludf.DUMMYFUNCTION("SPLIT(I4479,""/"")"),27.0)</f>
        <v>27</v>
      </c>
      <c r="K4479" s="308">
        <f>IFERROR(__xludf.DUMMYFUNCTION("""COMPUTED_VALUE"""),7.0)</f>
        <v>7</v>
      </c>
      <c r="L4479" s="308">
        <f>IFERROR(__xludf.DUMMYFUNCTION("""COMPUTED_VALUE"""),2017.0)</f>
        <v>2017</v>
      </c>
      <c r="M4479" s="308" t="s">
        <v>18102</v>
      </c>
      <c r="N4479" s="308"/>
      <c r="O4479" s="308"/>
      <c r="P4479" s="308" t="s">
        <v>37710</v>
      </c>
      <c r="Q4479" s="308" t="s">
        <v>37692</v>
      </c>
      <c r="R4479" s="308" t="s">
        <v>2743</v>
      </c>
      <c r="S4479" s="308" t="s">
        <v>81</v>
      </c>
      <c r="T4479" s="311" t="s">
        <v>96</v>
      </c>
      <c r="U4479" s="308" t="s">
        <v>14456</v>
      </c>
      <c r="V4479" s="312"/>
    </row>
    <row r="4480">
      <c r="A4480" s="308">
        <v>4479.0</v>
      </c>
      <c r="B4480" s="308"/>
      <c r="C4480" s="308" t="s">
        <v>18104</v>
      </c>
      <c r="D4480" s="308">
        <f>IFERROR(__xludf.DUMMYFUNCTION("SPLIT(C4480,""-"")"),4500.0)</f>
        <v>4500</v>
      </c>
      <c r="E4480" s="308" t="str">
        <f>IFERROR(__xludf.DUMMYFUNCTION("""COMPUTED_VALUE"""),"S")</f>
        <v>S</v>
      </c>
      <c r="F4480" s="312" t="s">
        <v>39</v>
      </c>
      <c r="G4480" s="308"/>
      <c r="H4480" s="308" t="s">
        <v>18105</v>
      </c>
      <c r="I4480" s="310">
        <v>43012.0</v>
      </c>
      <c r="J4480" s="319">
        <f>IFERROR(__xludf.DUMMYFUNCTION("SPLIT(I4480,""/"")"),4.0)</f>
        <v>4</v>
      </c>
      <c r="K4480" s="308">
        <f>IFERROR(__xludf.DUMMYFUNCTION("""COMPUTED_VALUE"""),10.0)</f>
        <v>10</v>
      </c>
      <c r="L4480" s="308">
        <f>IFERROR(__xludf.DUMMYFUNCTION("""COMPUTED_VALUE"""),2017.0)</f>
        <v>2017</v>
      </c>
      <c r="M4480" s="308" t="s">
        <v>18106</v>
      </c>
      <c r="N4480" s="308"/>
      <c r="O4480" s="308"/>
      <c r="P4480" s="308" t="s">
        <v>18107</v>
      </c>
      <c r="Q4480" s="308" t="s">
        <v>37692</v>
      </c>
      <c r="R4480" s="308" t="s">
        <v>2743</v>
      </c>
      <c r="S4480" s="308" t="s">
        <v>49</v>
      </c>
      <c r="T4480" s="311" t="s">
        <v>70</v>
      </c>
      <c r="U4480" s="308" t="s">
        <v>166</v>
      </c>
      <c r="V4480" s="312"/>
    </row>
    <row r="4481">
      <c r="A4481" s="308">
        <v>4480.0</v>
      </c>
      <c r="B4481" s="308"/>
      <c r="C4481" s="308" t="s">
        <v>18108</v>
      </c>
      <c r="D4481" s="308">
        <f>IFERROR(__xludf.DUMMYFUNCTION("SPLIT(C4481,""-"")"),4501.0)</f>
        <v>4501</v>
      </c>
      <c r="E4481" s="308" t="str">
        <f>IFERROR(__xludf.DUMMYFUNCTION("""COMPUTED_VALUE"""),"S")</f>
        <v>S</v>
      </c>
      <c r="F4481" s="312" t="s">
        <v>39</v>
      </c>
      <c r="G4481" s="308"/>
      <c r="H4481" s="308" t="s">
        <v>18109</v>
      </c>
      <c r="I4481" s="310">
        <v>40014.0</v>
      </c>
      <c r="J4481" s="319">
        <f>IFERROR(__xludf.DUMMYFUNCTION("SPLIT(I4481,""/"")"),20.0)</f>
        <v>20</v>
      </c>
      <c r="K4481" s="308">
        <f>IFERROR(__xludf.DUMMYFUNCTION("""COMPUTED_VALUE"""),7.0)</f>
        <v>7</v>
      </c>
      <c r="L4481" s="308">
        <f>IFERROR(__xludf.DUMMYFUNCTION("""COMPUTED_VALUE"""),2009.0)</f>
        <v>2009</v>
      </c>
      <c r="M4481" s="308" t="s">
        <v>18110</v>
      </c>
      <c r="N4481" s="308"/>
      <c r="O4481" s="308"/>
      <c r="P4481" s="308" t="s">
        <v>37233</v>
      </c>
      <c r="Q4481" s="308" t="s">
        <v>37692</v>
      </c>
      <c r="R4481" s="308" t="s">
        <v>2743</v>
      </c>
      <c r="S4481" s="315" t="s">
        <v>100</v>
      </c>
      <c r="T4481" s="311" t="s">
        <v>34208</v>
      </c>
      <c r="U4481" s="308" t="s">
        <v>166</v>
      </c>
      <c r="V4481" s="312"/>
    </row>
    <row r="4482">
      <c r="A4482" s="308">
        <v>4481.0</v>
      </c>
      <c r="B4482" s="308"/>
      <c r="C4482" s="308" t="s">
        <v>18111</v>
      </c>
      <c r="D4482" s="308">
        <f>IFERROR(__xludf.DUMMYFUNCTION("SPLIT(C4482,""-"")"),4502.0)</f>
        <v>4502</v>
      </c>
      <c r="E4482" s="308" t="str">
        <f>IFERROR(__xludf.DUMMYFUNCTION("""COMPUTED_VALUE"""),"K")</f>
        <v>K</v>
      </c>
      <c r="F4482" s="309" t="s">
        <v>34</v>
      </c>
      <c r="G4482" s="308"/>
      <c r="H4482" s="308" t="s">
        <v>18112</v>
      </c>
      <c r="I4482" s="310">
        <v>39630.0</v>
      </c>
      <c r="J4482" s="319">
        <f>IFERROR(__xludf.DUMMYFUNCTION("SPLIT(I4482,""/"")"),1.0)</f>
        <v>1</v>
      </c>
      <c r="K4482" s="308">
        <f>IFERROR(__xludf.DUMMYFUNCTION("""COMPUTED_VALUE"""),7.0)</f>
        <v>7</v>
      </c>
      <c r="L4482" s="308">
        <f>IFERROR(__xludf.DUMMYFUNCTION("""COMPUTED_VALUE"""),2008.0)</f>
        <v>2008</v>
      </c>
      <c r="M4482" s="308" t="s">
        <v>18113</v>
      </c>
      <c r="N4482" s="308"/>
      <c r="O4482" s="308"/>
      <c r="P4482" s="308" t="s">
        <v>37711</v>
      </c>
      <c r="Q4482" s="308" t="s">
        <v>37692</v>
      </c>
      <c r="R4482" s="308" t="s">
        <v>2743</v>
      </c>
      <c r="S4482" s="308" t="s">
        <v>81</v>
      </c>
      <c r="T4482" s="308" t="s">
        <v>34264</v>
      </c>
      <c r="U4482" s="308" t="s">
        <v>530</v>
      </c>
      <c r="V4482" s="312"/>
    </row>
    <row r="4483">
      <c r="A4483" s="308">
        <v>4482.0</v>
      </c>
      <c r="B4483" s="308"/>
      <c r="C4483" s="308" t="s">
        <v>18115</v>
      </c>
      <c r="D4483" s="308">
        <f>IFERROR(__xludf.DUMMYFUNCTION("SPLIT(C4483,""-"")"),4503.0)</f>
        <v>4503</v>
      </c>
      <c r="E4483" s="308" t="str">
        <f>IFERROR(__xludf.DUMMYFUNCTION("""COMPUTED_VALUE"""),"F")</f>
        <v>F</v>
      </c>
      <c r="F4483" s="309" t="s">
        <v>34</v>
      </c>
      <c r="G4483" s="308"/>
      <c r="H4483" s="308" t="s">
        <v>18116</v>
      </c>
      <c r="I4483" s="310">
        <v>42270.0</v>
      </c>
      <c r="J4483" s="319">
        <f>IFERROR(__xludf.DUMMYFUNCTION("SPLIT(I4483,""/"")"),23.0)</f>
        <v>23</v>
      </c>
      <c r="K4483" s="308">
        <f>IFERROR(__xludf.DUMMYFUNCTION("""COMPUTED_VALUE"""),9.0)</f>
        <v>9</v>
      </c>
      <c r="L4483" s="308">
        <f>IFERROR(__xludf.DUMMYFUNCTION("""COMPUTED_VALUE"""),2015.0)</f>
        <v>2015</v>
      </c>
      <c r="M4483" s="308" t="s">
        <v>18117</v>
      </c>
      <c r="N4483" s="308"/>
      <c r="O4483" s="308"/>
      <c r="P4483" s="308" t="s">
        <v>18118</v>
      </c>
      <c r="Q4483" s="308" t="s">
        <v>37692</v>
      </c>
      <c r="R4483" s="308" t="s">
        <v>2743</v>
      </c>
      <c r="S4483" s="308" t="s">
        <v>81</v>
      </c>
      <c r="T4483" s="308" t="s">
        <v>73</v>
      </c>
      <c r="U4483" s="308" t="s">
        <v>195</v>
      </c>
      <c r="V4483" s="312"/>
    </row>
    <row r="4484">
      <c r="A4484" s="308">
        <v>4483.0</v>
      </c>
      <c r="B4484" s="308"/>
      <c r="C4484" s="308" t="s">
        <v>18119</v>
      </c>
      <c r="D4484" s="308">
        <f>IFERROR(__xludf.DUMMYFUNCTION("SPLIT(C4484,""-"")"),4504.0)</f>
        <v>4504</v>
      </c>
      <c r="E4484" s="308" t="str">
        <f>IFERROR(__xludf.DUMMYFUNCTION("""COMPUTED_VALUE"""),"K")</f>
        <v>K</v>
      </c>
      <c r="F4484" s="309" t="s">
        <v>34</v>
      </c>
      <c r="G4484" s="308"/>
      <c r="H4484" s="308" t="s">
        <v>18120</v>
      </c>
      <c r="I4484" s="310">
        <v>42811.0</v>
      </c>
      <c r="J4484" s="319" t="str">
        <f>IFERROR(__xludf.DUMMYFUNCTION("SPLIT(I4484,""/"")"),"#REF!")</f>
        <v>#REF!</v>
      </c>
      <c r="K4484" s="308"/>
      <c r="L4484" s="308">
        <v>2017.0</v>
      </c>
      <c r="M4484" s="308" t="s">
        <v>18121</v>
      </c>
      <c r="N4484" s="308"/>
      <c r="O4484" s="308" t="s">
        <v>18122</v>
      </c>
      <c r="P4484" s="308" t="s">
        <v>8888</v>
      </c>
      <c r="Q4484" s="308" t="s">
        <v>37692</v>
      </c>
      <c r="R4484" s="308" t="s">
        <v>2743</v>
      </c>
      <c r="S4484" s="315" t="s">
        <v>100</v>
      </c>
      <c r="T4484" s="311" t="s">
        <v>34208</v>
      </c>
      <c r="U4484" s="308" t="s">
        <v>4749</v>
      </c>
      <c r="V4484" s="312"/>
    </row>
    <row r="4485">
      <c r="A4485" s="308">
        <v>4484.0</v>
      </c>
      <c r="B4485" s="308"/>
      <c r="C4485" s="308" t="s">
        <v>18124</v>
      </c>
      <c r="D4485" s="308">
        <f>IFERROR(__xludf.DUMMYFUNCTION("SPLIT(C4485,""-"")"),4505.0)</f>
        <v>4505</v>
      </c>
      <c r="E4485" s="308" t="str">
        <f>IFERROR(__xludf.DUMMYFUNCTION("""COMPUTED_VALUE"""),"K")</f>
        <v>K</v>
      </c>
      <c r="F4485" s="309" t="s">
        <v>34</v>
      </c>
      <c r="G4485" s="308"/>
      <c r="H4485" s="308" t="s">
        <v>18125</v>
      </c>
      <c r="I4485" s="310">
        <v>39999.0</v>
      </c>
      <c r="J4485" s="319">
        <f>IFERROR(__xludf.DUMMYFUNCTION("SPLIT(I4485,""/"")"),5.0)</f>
        <v>5</v>
      </c>
      <c r="K4485" s="308">
        <f>IFERROR(__xludf.DUMMYFUNCTION("""COMPUTED_VALUE"""),7.0)</f>
        <v>7</v>
      </c>
      <c r="L4485" s="308">
        <f>IFERROR(__xludf.DUMMYFUNCTION("""COMPUTED_VALUE"""),2009.0)</f>
        <v>2009</v>
      </c>
      <c r="M4485" s="308" t="s">
        <v>18126</v>
      </c>
      <c r="N4485" s="308"/>
      <c r="O4485" s="308"/>
      <c r="P4485" s="308" t="s">
        <v>36159</v>
      </c>
      <c r="Q4485" s="308" t="s">
        <v>37692</v>
      </c>
      <c r="R4485" s="308" t="s">
        <v>2743</v>
      </c>
      <c r="S4485" s="315" t="s">
        <v>100</v>
      </c>
      <c r="T4485" s="311" t="s">
        <v>34208</v>
      </c>
      <c r="U4485" s="308" t="s">
        <v>530</v>
      </c>
      <c r="V4485" s="312"/>
    </row>
    <row r="4486">
      <c r="A4486" s="308">
        <v>4485.0</v>
      </c>
      <c r="B4486" s="308"/>
      <c r="C4486" s="308" t="s">
        <v>18127</v>
      </c>
      <c r="D4486" s="308">
        <f>IFERROR(__xludf.DUMMYFUNCTION("SPLIT(C4486,""-"")"),4506.0)</f>
        <v>4506</v>
      </c>
      <c r="E4486" s="308" t="str">
        <f>IFERROR(__xludf.DUMMYFUNCTION("""COMPUTED_VALUE"""),"K")</f>
        <v>K</v>
      </c>
      <c r="F4486" s="309" t="s">
        <v>34</v>
      </c>
      <c r="G4486" s="308"/>
      <c r="H4486" s="308" t="s">
        <v>18128</v>
      </c>
      <c r="I4486" s="310">
        <v>40059.0</v>
      </c>
      <c r="J4486" s="319">
        <f>IFERROR(__xludf.DUMMYFUNCTION("SPLIT(I4486,""/"")"),3.0)</f>
        <v>3</v>
      </c>
      <c r="K4486" s="308">
        <f>IFERROR(__xludf.DUMMYFUNCTION("""COMPUTED_VALUE"""),9.0)</f>
        <v>9</v>
      </c>
      <c r="L4486" s="308">
        <f>IFERROR(__xludf.DUMMYFUNCTION("""COMPUTED_VALUE"""),2009.0)</f>
        <v>2009</v>
      </c>
      <c r="M4486" s="308" t="s">
        <v>18129</v>
      </c>
      <c r="N4486" s="308"/>
      <c r="O4486" s="308" t="s">
        <v>18130</v>
      </c>
      <c r="P4486" s="308" t="s">
        <v>36159</v>
      </c>
      <c r="Q4486" s="308" t="s">
        <v>37692</v>
      </c>
      <c r="R4486" s="308" t="s">
        <v>2743</v>
      </c>
      <c r="S4486" s="315" t="s">
        <v>100</v>
      </c>
      <c r="T4486" s="311" t="s">
        <v>34208</v>
      </c>
      <c r="U4486" s="308" t="s">
        <v>530</v>
      </c>
      <c r="V4486" s="312"/>
    </row>
    <row r="4487">
      <c r="A4487" s="308">
        <v>4486.0</v>
      </c>
      <c r="B4487" s="308"/>
      <c r="C4487" s="308" t="s">
        <v>18131</v>
      </c>
      <c r="D4487" s="308">
        <f>IFERROR(__xludf.DUMMYFUNCTION("SPLIT(C4487,""-"")"),4507.0)</f>
        <v>4507</v>
      </c>
      <c r="E4487" s="308" t="str">
        <f>IFERROR(__xludf.DUMMYFUNCTION("""COMPUTED_VALUE"""),"K")</f>
        <v>K</v>
      </c>
      <c r="F4487" s="309" t="s">
        <v>34</v>
      </c>
      <c r="G4487" s="308"/>
      <c r="H4487" s="308" t="s">
        <v>18132</v>
      </c>
      <c r="I4487" s="310">
        <v>41456.0</v>
      </c>
      <c r="J4487" s="319">
        <f>IFERROR(__xludf.DUMMYFUNCTION("SPLIT(I4487,""/"")"),1.0)</f>
        <v>1</v>
      </c>
      <c r="K4487" s="308">
        <f>IFERROR(__xludf.DUMMYFUNCTION("""COMPUTED_VALUE"""),7.0)</f>
        <v>7</v>
      </c>
      <c r="L4487" s="308">
        <f>IFERROR(__xludf.DUMMYFUNCTION("""COMPUTED_VALUE"""),2013.0)</f>
        <v>2013</v>
      </c>
      <c r="M4487" s="308" t="s">
        <v>18133</v>
      </c>
      <c r="N4487" s="308"/>
      <c r="O4487" s="308"/>
      <c r="P4487" s="308" t="s">
        <v>37712</v>
      </c>
      <c r="Q4487" s="308" t="s">
        <v>37692</v>
      </c>
      <c r="R4487" s="308" t="s">
        <v>2743</v>
      </c>
      <c r="S4487" s="308" t="s">
        <v>81</v>
      </c>
      <c r="T4487" s="308" t="s">
        <v>34264</v>
      </c>
      <c r="U4487" s="308" t="s">
        <v>530</v>
      </c>
      <c r="V4487" s="312"/>
    </row>
    <row r="4488">
      <c r="A4488" s="308">
        <v>4487.0</v>
      </c>
      <c r="B4488" s="308"/>
      <c r="C4488" s="308" t="s">
        <v>18135</v>
      </c>
      <c r="D4488" s="308">
        <f>IFERROR(__xludf.DUMMYFUNCTION("SPLIT(C4488,""-"")"),4508.0)</f>
        <v>4508</v>
      </c>
      <c r="E4488" s="308" t="str">
        <f>IFERROR(__xludf.DUMMYFUNCTION("""COMPUTED_VALUE"""),"K")</f>
        <v>K</v>
      </c>
      <c r="F4488" s="309" t="s">
        <v>34</v>
      </c>
      <c r="G4488" s="308"/>
      <c r="H4488" s="308" t="s">
        <v>18136</v>
      </c>
      <c r="I4488" s="310">
        <v>41757.0</v>
      </c>
      <c r="J4488" s="319">
        <f>IFERROR(__xludf.DUMMYFUNCTION("SPLIT(I4488,""/"")"),28.0)</f>
        <v>28</v>
      </c>
      <c r="K4488" s="308">
        <f>IFERROR(__xludf.DUMMYFUNCTION("""COMPUTED_VALUE"""),4.0)</f>
        <v>4</v>
      </c>
      <c r="L4488" s="308">
        <f>IFERROR(__xludf.DUMMYFUNCTION("""COMPUTED_VALUE"""),2014.0)</f>
        <v>2014</v>
      </c>
      <c r="M4488" s="308" t="s">
        <v>18137</v>
      </c>
      <c r="N4488" s="308"/>
      <c r="O4488" s="308"/>
      <c r="P4488" s="308" t="s">
        <v>36472</v>
      </c>
      <c r="Q4488" s="308" t="s">
        <v>37692</v>
      </c>
      <c r="R4488" s="308" t="s">
        <v>2743</v>
      </c>
      <c r="S4488" s="315" t="s">
        <v>100</v>
      </c>
      <c r="T4488" s="311" t="s">
        <v>34208</v>
      </c>
      <c r="U4488" s="308" t="s">
        <v>125</v>
      </c>
      <c r="V4488" s="312"/>
    </row>
    <row r="4489">
      <c r="A4489" s="308">
        <v>4488.0</v>
      </c>
      <c r="B4489" s="308"/>
      <c r="C4489" s="308" t="s">
        <v>18138</v>
      </c>
      <c r="D4489" s="308">
        <f>IFERROR(__xludf.DUMMYFUNCTION("SPLIT(C4489,""-"")"),4509.0)</f>
        <v>4509</v>
      </c>
      <c r="E4489" s="308" t="str">
        <f>IFERROR(__xludf.DUMMYFUNCTION("""COMPUTED_VALUE"""),"K")</f>
        <v>K</v>
      </c>
      <c r="F4489" s="309" t="s">
        <v>34</v>
      </c>
      <c r="G4489" s="308"/>
      <c r="H4489" s="308" t="s">
        <v>18139</v>
      </c>
      <c r="I4489" s="310">
        <v>41493.0</v>
      </c>
      <c r="J4489" s="319">
        <f>IFERROR(__xludf.DUMMYFUNCTION("SPLIT(I4489,""/"")"),7.0)</f>
        <v>7</v>
      </c>
      <c r="K4489" s="308">
        <f>IFERROR(__xludf.DUMMYFUNCTION("""COMPUTED_VALUE"""),8.0)</f>
        <v>8</v>
      </c>
      <c r="L4489" s="308">
        <f>IFERROR(__xludf.DUMMYFUNCTION("""COMPUTED_VALUE"""),2013.0)</f>
        <v>2013</v>
      </c>
      <c r="M4489" s="308" t="s">
        <v>18140</v>
      </c>
      <c r="N4489" s="308"/>
      <c r="O4489" s="308" t="s">
        <v>18141</v>
      </c>
      <c r="P4489" s="308" t="s">
        <v>36472</v>
      </c>
      <c r="Q4489" s="308" t="s">
        <v>37692</v>
      </c>
      <c r="R4489" s="308" t="s">
        <v>2743</v>
      </c>
      <c r="S4489" s="315" t="s">
        <v>100</v>
      </c>
      <c r="T4489" s="311" t="s">
        <v>34208</v>
      </c>
      <c r="U4489" s="308" t="s">
        <v>125</v>
      </c>
      <c r="V4489" s="312"/>
    </row>
    <row r="4490">
      <c r="A4490" s="308">
        <v>4489.0</v>
      </c>
      <c r="B4490" s="308"/>
      <c r="C4490" s="308" t="s">
        <v>18142</v>
      </c>
      <c r="D4490" s="308">
        <f>IFERROR(__xludf.DUMMYFUNCTION("SPLIT(C4490,""-"")"),4510.0)</f>
        <v>4510</v>
      </c>
      <c r="E4490" s="308" t="str">
        <f>IFERROR(__xludf.DUMMYFUNCTION("""COMPUTED_VALUE"""),"I")</f>
        <v>I</v>
      </c>
      <c r="F4490" s="309" t="s">
        <v>31</v>
      </c>
      <c r="G4490" s="308"/>
      <c r="H4490" s="308" t="s">
        <v>18143</v>
      </c>
      <c r="I4490" s="310">
        <v>40360.0</v>
      </c>
      <c r="J4490" s="319">
        <f>IFERROR(__xludf.DUMMYFUNCTION("SPLIT(I4490,""/"")"),1.0)</f>
        <v>1</v>
      </c>
      <c r="K4490" s="308">
        <f>IFERROR(__xludf.DUMMYFUNCTION("""COMPUTED_VALUE"""),7.0)</f>
        <v>7</v>
      </c>
      <c r="L4490" s="308">
        <f>IFERROR(__xludf.DUMMYFUNCTION("""COMPUTED_VALUE"""),2010.0)</f>
        <v>2010</v>
      </c>
      <c r="M4490" s="308" t="s">
        <v>18144</v>
      </c>
      <c r="N4490" s="308"/>
      <c r="O4490" s="308" t="s">
        <v>18145</v>
      </c>
      <c r="P4490" s="308" t="s">
        <v>10817</v>
      </c>
      <c r="Q4490" s="308" t="s">
        <v>37692</v>
      </c>
      <c r="R4490" s="308" t="s">
        <v>2743</v>
      </c>
      <c r="S4490" s="315" t="s">
        <v>100</v>
      </c>
      <c r="T4490" s="311" t="s">
        <v>34208</v>
      </c>
      <c r="U4490" s="308" t="s">
        <v>31</v>
      </c>
      <c r="V4490" s="312"/>
    </row>
    <row r="4491">
      <c r="A4491" s="308">
        <v>4490.0</v>
      </c>
      <c r="B4491" s="308"/>
      <c r="C4491" s="308" t="s">
        <v>18146</v>
      </c>
      <c r="D4491" s="308">
        <f>IFERROR(__xludf.DUMMYFUNCTION("SPLIT(C4491,""-"")"),4511.0)</f>
        <v>4511</v>
      </c>
      <c r="E4491" s="308" t="str">
        <f>IFERROR(__xludf.DUMMYFUNCTION("""COMPUTED_VALUE"""),"K")</f>
        <v>K</v>
      </c>
      <c r="F4491" s="309" t="s">
        <v>34</v>
      </c>
      <c r="G4491" s="308"/>
      <c r="H4491" s="308" t="s">
        <v>18147</v>
      </c>
      <c r="I4491" s="314">
        <v>42721.0</v>
      </c>
      <c r="J4491" s="319">
        <f>IFERROR(__xludf.DUMMYFUNCTION("SPLIT(I4491,""/"")"),17.0)</f>
        <v>17</v>
      </c>
      <c r="K4491" s="308">
        <f>IFERROR(__xludf.DUMMYFUNCTION("""COMPUTED_VALUE"""),12.0)</f>
        <v>12</v>
      </c>
      <c r="L4491" s="308">
        <f>IFERROR(__xludf.DUMMYFUNCTION("""COMPUTED_VALUE"""),2016.0)</f>
        <v>2016</v>
      </c>
      <c r="M4491" s="308" t="s">
        <v>18148</v>
      </c>
      <c r="N4491" s="308"/>
      <c r="O4491" s="308"/>
      <c r="P4491" s="308" t="s">
        <v>36472</v>
      </c>
      <c r="Q4491" s="308" t="s">
        <v>37692</v>
      </c>
      <c r="R4491" s="308" t="s">
        <v>2743</v>
      </c>
      <c r="S4491" s="315" t="s">
        <v>100</v>
      </c>
      <c r="T4491" s="311" t="s">
        <v>34208</v>
      </c>
      <c r="U4491" s="308" t="s">
        <v>125</v>
      </c>
      <c r="V4491" s="312"/>
    </row>
    <row r="4492">
      <c r="A4492" s="308">
        <v>4491.0</v>
      </c>
      <c r="B4492" s="308"/>
      <c r="C4492" s="308" t="s">
        <v>18149</v>
      </c>
      <c r="D4492" s="308">
        <f>IFERROR(__xludf.DUMMYFUNCTION("SPLIT(C4492,""-"")"),4512.0)</f>
        <v>4512</v>
      </c>
      <c r="E4492" s="308" t="str">
        <f>IFERROR(__xludf.DUMMYFUNCTION("""COMPUTED_VALUE"""),"K")</f>
        <v>K</v>
      </c>
      <c r="F4492" s="309" t="s">
        <v>34</v>
      </c>
      <c r="G4492" s="308"/>
      <c r="H4492" s="308" t="s">
        <v>18150</v>
      </c>
      <c r="I4492" s="310">
        <v>40309.0</v>
      </c>
      <c r="J4492" s="319">
        <f>IFERROR(__xludf.DUMMYFUNCTION("SPLIT(I4492,""/"")"),11.0)</f>
        <v>11</v>
      </c>
      <c r="K4492" s="308">
        <f>IFERROR(__xludf.DUMMYFUNCTION("""COMPUTED_VALUE"""),5.0)</f>
        <v>5</v>
      </c>
      <c r="L4492" s="308">
        <f>IFERROR(__xludf.DUMMYFUNCTION("""COMPUTED_VALUE"""),2010.0)</f>
        <v>2010</v>
      </c>
      <c r="M4492" s="308" t="s">
        <v>18151</v>
      </c>
      <c r="N4492" s="308"/>
      <c r="O4492" s="308"/>
      <c r="P4492" s="308" t="s">
        <v>36159</v>
      </c>
      <c r="Q4492" s="308" t="s">
        <v>37692</v>
      </c>
      <c r="R4492" s="308" t="s">
        <v>2743</v>
      </c>
      <c r="S4492" s="315" t="s">
        <v>100</v>
      </c>
      <c r="T4492" s="311" t="s">
        <v>34208</v>
      </c>
      <c r="U4492" s="308" t="s">
        <v>530</v>
      </c>
      <c r="V4492" s="312"/>
    </row>
    <row r="4493">
      <c r="A4493" s="308">
        <v>4492.0</v>
      </c>
      <c r="B4493" s="308"/>
      <c r="C4493" s="308" t="s">
        <v>18152</v>
      </c>
      <c r="D4493" s="308">
        <f>IFERROR(__xludf.DUMMYFUNCTION("SPLIT(C4493,""-"")"),4513.0)</f>
        <v>4513</v>
      </c>
      <c r="E4493" s="308" t="str">
        <f>IFERROR(__xludf.DUMMYFUNCTION("""COMPUTED_VALUE"""),"K")</f>
        <v>K</v>
      </c>
      <c r="F4493" s="309" t="s">
        <v>34</v>
      </c>
      <c r="G4493" s="308"/>
      <c r="H4493" s="308" t="s">
        <v>18153</v>
      </c>
      <c r="I4493" s="310">
        <v>42055.0</v>
      </c>
      <c r="J4493" s="319">
        <f>IFERROR(__xludf.DUMMYFUNCTION("SPLIT(I4493,""/"")"),20.0)</f>
        <v>20</v>
      </c>
      <c r="K4493" s="308">
        <f>IFERROR(__xludf.DUMMYFUNCTION("""COMPUTED_VALUE"""),2.0)</f>
        <v>2</v>
      </c>
      <c r="L4493" s="308">
        <f>IFERROR(__xludf.DUMMYFUNCTION("""COMPUTED_VALUE"""),2015.0)</f>
        <v>2015</v>
      </c>
      <c r="M4493" s="308" t="s">
        <v>18154</v>
      </c>
      <c r="N4493" s="308"/>
      <c r="O4493" s="308" t="s">
        <v>18155</v>
      </c>
      <c r="P4493" s="308" t="s">
        <v>37713</v>
      </c>
      <c r="Q4493" s="308" t="s">
        <v>37692</v>
      </c>
      <c r="R4493" s="308" t="s">
        <v>2743</v>
      </c>
      <c r="S4493" s="315" t="s">
        <v>100</v>
      </c>
      <c r="T4493" s="311" t="s">
        <v>34208</v>
      </c>
      <c r="U4493" s="308" t="s">
        <v>941</v>
      </c>
      <c r="V4493" s="312"/>
    </row>
    <row r="4494">
      <c r="A4494" s="308">
        <v>4493.0</v>
      </c>
      <c r="B4494" s="308"/>
      <c r="C4494" s="308" t="s">
        <v>18157</v>
      </c>
      <c r="D4494" s="308">
        <f>IFERROR(__xludf.DUMMYFUNCTION("SPLIT(C4494,""-"")"),4514.0)</f>
        <v>4514</v>
      </c>
      <c r="E4494" s="308" t="str">
        <f>IFERROR(__xludf.DUMMYFUNCTION("""COMPUTED_VALUE"""),"K")</f>
        <v>K</v>
      </c>
      <c r="F4494" s="309" t="s">
        <v>34</v>
      </c>
      <c r="G4494" s="308"/>
      <c r="H4494" s="308" t="s">
        <v>18158</v>
      </c>
      <c r="I4494" s="310">
        <v>42503.0</v>
      </c>
      <c r="J4494" s="319">
        <f>IFERROR(__xludf.DUMMYFUNCTION("SPLIT(I4494,""/"")"),13.0)</f>
        <v>13</v>
      </c>
      <c r="K4494" s="308">
        <f>IFERROR(__xludf.DUMMYFUNCTION("""COMPUTED_VALUE"""),5.0)</f>
        <v>5</v>
      </c>
      <c r="L4494" s="308">
        <f>IFERROR(__xludf.DUMMYFUNCTION("""COMPUTED_VALUE"""),2016.0)</f>
        <v>2016</v>
      </c>
      <c r="M4494" s="308" t="s">
        <v>18159</v>
      </c>
      <c r="N4494" s="308" t="s">
        <v>439</v>
      </c>
      <c r="O4494" s="308"/>
      <c r="P4494" s="308" t="s">
        <v>37714</v>
      </c>
      <c r="Q4494" s="308" t="s">
        <v>37692</v>
      </c>
      <c r="R4494" s="308" t="s">
        <v>2743</v>
      </c>
      <c r="S4494" s="315" t="s">
        <v>100</v>
      </c>
      <c r="T4494" s="311" t="s">
        <v>34208</v>
      </c>
      <c r="U4494" s="308" t="s">
        <v>542</v>
      </c>
      <c r="V4494" s="312"/>
    </row>
    <row r="4495">
      <c r="A4495" s="308">
        <v>4494.0</v>
      </c>
      <c r="B4495" s="308"/>
      <c r="C4495" s="308" t="s">
        <v>18160</v>
      </c>
      <c r="D4495" s="308">
        <f>IFERROR(__xludf.DUMMYFUNCTION("SPLIT(C4495,""-"")"),4515.0)</f>
        <v>4515</v>
      </c>
      <c r="E4495" s="308" t="str">
        <f>IFERROR(__xludf.DUMMYFUNCTION("""COMPUTED_VALUE"""),"K")</f>
        <v>K</v>
      </c>
      <c r="F4495" s="309" t="s">
        <v>34</v>
      </c>
      <c r="G4495" s="308"/>
      <c r="H4495" s="308" t="s">
        <v>18161</v>
      </c>
      <c r="I4495" s="310">
        <v>42576.0</v>
      </c>
      <c r="J4495" s="319">
        <f>IFERROR(__xludf.DUMMYFUNCTION("SPLIT(I4495,""/"")"),25.0)</f>
        <v>25</v>
      </c>
      <c r="K4495" s="308">
        <f>IFERROR(__xludf.DUMMYFUNCTION("""COMPUTED_VALUE"""),7.0)</f>
        <v>7</v>
      </c>
      <c r="L4495" s="308">
        <f>IFERROR(__xludf.DUMMYFUNCTION("""COMPUTED_VALUE"""),2016.0)</f>
        <v>2016</v>
      </c>
      <c r="M4495" s="308" t="s">
        <v>37715</v>
      </c>
      <c r="N4495" s="308"/>
      <c r="O4495" s="308"/>
      <c r="P4495" s="308" t="s">
        <v>37716</v>
      </c>
      <c r="Q4495" s="308" t="s">
        <v>37692</v>
      </c>
      <c r="R4495" s="308" t="s">
        <v>2743</v>
      </c>
      <c r="S4495" s="308" t="s">
        <v>81</v>
      </c>
      <c r="T4495" s="308" t="s">
        <v>75</v>
      </c>
      <c r="U4495" s="308" t="s">
        <v>872</v>
      </c>
      <c r="V4495" s="312"/>
    </row>
    <row r="4496">
      <c r="A4496" s="308">
        <v>4495.0</v>
      </c>
      <c r="B4496" s="308"/>
      <c r="C4496" s="308" t="s">
        <v>18164</v>
      </c>
      <c r="D4496" s="308">
        <f>IFERROR(__xludf.DUMMYFUNCTION("SPLIT(C4496,""-"")"),4516.0)</f>
        <v>4516</v>
      </c>
      <c r="E4496" s="308" t="str">
        <f>IFERROR(__xludf.DUMMYFUNCTION("""COMPUTED_VALUE"""),"S")</f>
        <v>S</v>
      </c>
      <c r="F4496" s="312" t="s">
        <v>39</v>
      </c>
      <c r="G4496" s="308"/>
      <c r="H4496" s="308" t="s">
        <v>18165</v>
      </c>
      <c r="I4496" s="310">
        <v>42943.0</v>
      </c>
      <c r="J4496" s="319">
        <f>IFERROR(__xludf.DUMMYFUNCTION("SPLIT(I4496,""/"")"),27.0)</f>
        <v>27</v>
      </c>
      <c r="K4496" s="308">
        <f>IFERROR(__xludf.DUMMYFUNCTION("""COMPUTED_VALUE"""),7.0)</f>
        <v>7</v>
      </c>
      <c r="L4496" s="308">
        <f>IFERROR(__xludf.DUMMYFUNCTION("""COMPUTED_VALUE"""),2017.0)</f>
        <v>2017</v>
      </c>
      <c r="M4496" s="308" t="s">
        <v>18166</v>
      </c>
      <c r="N4496" s="308"/>
      <c r="O4496" s="308"/>
      <c r="P4496" s="308" t="s">
        <v>9979</v>
      </c>
      <c r="Q4496" s="308" t="s">
        <v>37692</v>
      </c>
      <c r="R4496" s="308" t="s">
        <v>2743</v>
      </c>
      <c r="S4496" s="315" t="s">
        <v>100</v>
      </c>
      <c r="T4496" s="311" t="s">
        <v>34208</v>
      </c>
      <c r="U4496" s="308" t="s">
        <v>166</v>
      </c>
      <c r="V4496" s="312"/>
    </row>
    <row r="4497">
      <c r="A4497" s="308">
        <v>4496.0</v>
      </c>
      <c r="B4497" s="308"/>
      <c r="C4497" s="308" t="s">
        <v>18167</v>
      </c>
      <c r="D4497" s="308">
        <f>IFERROR(__xludf.DUMMYFUNCTION("SPLIT(C4497,""-"")"),4517.0)</f>
        <v>4517</v>
      </c>
      <c r="E4497" s="308" t="str">
        <f>IFERROR(__xludf.DUMMYFUNCTION("""COMPUTED_VALUE"""),"P")</f>
        <v>P</v>
      </c>
      <c r="F4497" s="312" t="s">
        <v>37</v>
      </c>
      <c r="G4497" s="308"/>
      <c r="H4497" s="308" t="s">
        <v>18168</v>
      </c>
      <c r="I4497" s="310">
        <v>42994.0</v>
      </c>
      <c r="J4497" s="319">
        <f>IFERROR(__xludf.DUMMYFUNCTION("SPLIT(I4497,""/"")"),16.0)</f>
        <v>16</v>
      </c>
      <c r="K4497" s="308">
        <f>IFERROR(__xludf.DUMMYFUNCTION("""COMPUTED_VALUE"""),9.0)</f>
        <v>9</v>
      </c>
      <c r="L4497" s="308">
        <f>IFERROR(__xludf.DUMMYFUNCTION("""COMPUTED_VALUE"""),2017.0)</f>
        <v>2017</v>
      </c>
      <c r="M4497" s="308" t="s">
        <v>18169</v>
      </c>
      <c r="N4497" s="308"/>
      <c r="O4497" s="308"/>
      <c r="P4497" s="308" t="s">
        <v>37717</v>
      </c>
      <c r="Q4497" s="308" t="s">
        <v>37718</v>
      </c>
      <c r="R4497" s="308" t="s">
        <v>2743</v>
      </c>
      <c r="S4497" s="308" t="s">
        <v>81</v>
      </c>
      <c r="T4497" s="308" t="s">
        <v>75</v>
      </c>
      <c r="U4497" s="308" t="s">
        <v>2748</v>
      </c>
      <c r="V4497" s="312"/>
    </row>
    <row r="4498">
      <c r="A4498" s="308">
        <v>4497.0</v>
      </c>
      <c r="B4498" s="308"/>
      <c r="C4498" s="308" t="s">
        <v>18171</v>
      </c>
      <c r="D4498" s="308">
        <f>IFERROR(__xludf.DUMMYFUNCTION("SPLIT(C4498,""-"")"),4518.0)</f>
        <v>4518</v>
      </c>
      <c r="E4498" s="308" t="str">
        <f>IFERROR(__xludf.DUMMYFUNCTION("""COMPUTED_VALUE"""),"P")</f>
        <v>P</v>
      </c>
      <c r="F4498" s="312" t="s">
        <v>37</v>
      </c>
      <c r="G4498" s="308"/>
      <c r="H4498" s="308" t="s">
        <v>18172</v>
      </c>
      <c r="I4498" s="310">
        <v>42917.0</v>
      </c>
      <c r="J4498" s="319">
        <f>IFERROR(__xludf.DUMMYFUNCTION("SPLIT(I4498,""/"")"),1.0)</f>
        <v>1</v>
      </c>
      <c r="K4498" s="308">
        <f>IFERROR(__xludf.DUMMYFUNCTION("""COMPUTED_VALUE"""),7.0)</f>
        <v>7</v>
      </c>
      <c r="L4498" s="308">
        <f>IFERROR(__xludf.DUMMYFUNCTION("""COMPUTED_VALUE"""),2017.0)</f>
        <v>2017</v>
      </c>
      <c r="M4498" s="308" t="s">
        <v>18173</v>
      </c>
      <c r="N4498" s="308"/>
      <c r="O4498" s="308"/>
      <c r="P4498" s="308" t="s">
        <v>37719</v>
      </c>
      <c r="Q4498" s="308" t="s">
        <v>37718</v>
      </c>
      <c r="R4498" s="308" t="s">
        <v>2743</v>
      </c>
      <c r="S4498" s="308" t="s">
        <v>49</v>
      </c>
      <c r="T4498" s="311" t="s">
        <v>51</v>
      </c>
      <c r="U4498" s="308" t="s">
        <v>149</v>
      </c>
      <c r="V4498" s="312"/>
    </row>
    <row r="4499">
      <c r="A4499" s="308">
        <v>4498.0</v>
      </c>
      <c r="B4499" s="308"/>
      <c r="C4499" s="308" t="s">
        <v>18175</v>
      </c>
      <c r="D4499" s="308">
        <f>IFERROR(__xludf.DUMMYFUNCTION("SPLIT(C4499,""-"")"),4519.0)</f>
        <v>4519</v>
      </c>
      <c r="E4499" s="308" t="str">
        <f>IFERROR(__xludf.DUMMYFUNCTION("""COMPUTED_VALUE"""),"P")</f>
        <v>P</v>
      </c>
      <c r="F4499" s="312" t="s">
        <v>37</v>
      </c>
      <c r="G4499" s="308"/>
      <c r="H4499" s="308" t="s">
        <v>12846</v>
      </c>
      <c r="I4499" s="314">
        <v>43061.0</v>
      </c>
      <c r="J4499" s="319">
        <f>IFERROR(__xludf.DUMMYFUNCTION("SPLIT(I4499,""/"")"),22.0)</f>
        <v>22</v>
      </c>
      <c r="K4499" s="308">
        <f>IFERROR(__xludf.DUMMYFUNCTION("""COMPUTED_VALUE"""),11.0)</f>
        <v>11</v>
      </c>
      <c r="L4499" s="308">
        <f>IFERROR(__xludf.DUMMYFUNCTION("""COMPUTED_VALUE"""),2017.0)</f>
        <v>2017</v>
      </c>
      <c r="M4499" s="308" t="s">
        <v>18176</v>
      </c>
      <c r="N4499" s="308"/>
      <c r="O4499" s="308"/>
      <c r="P4499" s="308" t="s">
        <v>18177</v>
      </c>
      <c r="Q4499" s="308" t="s">
        <v>37718</v>
      </c>
      <c r="R4499" s="308" t="s">
        <v>2743</v>
      </c>
      <c r="S4499" s="308" t="s">
        <v>81</v>
      </c>
      <c r="T4499" s="308" t="s">
        <v>73</v>
      </c>
      <c r="U4499" s="308" t="s">
        <v>143</v>
      </c>
      <c r="V4499" s="312"/>
    </row>
    <row r="4500">
      <c r="A4500" s="308">
        <v>4499.0</v>
      </c>
      <c r="B4500" s="308"/>
      <c r="C4500" s="308" t="s">
        <v>18178</v>
      </c>
      <c r="D4500" s="308">
        <f>IFERROR(__xludf.DUMMYFUNCTION("SPLIT(C4500,""-"")"),4520.0)</f>
        <v>4520</v>
      </c>
      <c r="E4500" s="308" t="str">
        <f>IFERROR(__xludf.DUMMYFUNCTION("""COMPUTED_VALUE"""),"K")</f>
        <v>K</v>
      </c>
      <c r="F4500" s="309" t="s">
        <v>34</v>
      </c>
      <c r="G4500" s="308"/>
      <c r="H4500" s="308" t="s">
        <v>18179</v>
      </c>
      <c r="I4500" s="310">
        <v>42833.0</v>
      </c>
      <c r="J4500" s="319" t="str">
        <f>IFERROR(__xludf.DUMMYFUNCTION("SPLIT(I4500,""/"")"),"#REF!")</f>
        <v>#REF!</v>
      </c>
      <c r="K4500" s="308"/>
      <c r="L4500" s="308">
        <v>2017.0</v>
      </c>
      <c r="M4500" s="308" t="s">
        <v>18180</v>
      </c>
      <c r="N4500" s="308"/>
      <c r="O4500" s="308" t="s">
        <v>37720</v>
      </c>
      <c r="P4500" s="308" t="s">
        <v>18182</v>
      </c>
      <c r="Q4500" s="308" t="s">
        <v>37718</v>
      </c>
      <c r="R4500" s="308" t="s">
        <v>2743</v>
      </c>
      <c r="S4500" s="315" t="s">
        <v>100</v>
      </c>
      <c r="T4500" s="311" t="s">
        <v>34208</v>
      </c>
      <c r="U4500" s="308" t="s">
        <v>10279</v>
      </c>
      <c r="V4500" s="312"/>
    </row>
    <row r="4501">
      <c r="A4501" s="308">
        <v>4500.0</v>
      </c>
      <c r="B4501" s="308"/>
      <c r="C4501" s="308" t="s">
        <v>18183</v>
      </c>
      <c r="D4501" s="308">
        <f>IFERROR(__xludf.DUMMYFUNCTION("SPLIT(C4501,""-"")"),4521.0)</f>
        <v>4521</v>
      </c>
      <c r="E4501" s="308" t="str">
        <f>IFERROR(__xludf.DUMMYFUNCTION("""COMPUTED_VALUE"""),"K")</f>
        <v>K</v>
      </c>
      <c r="F4501" s="309" t="s">
        <v>34</v>
      </c>
      <c r="G4501" s="308"/>
      <c r="H4501" s="308" t="s">
        <v>18184</v>
      </c>
      <c r="I4501" s="310">
        <v>42833.0</v>
      </c>
      <c r="J4501" s="319" t="str">
        <f>IFERROR(__xludf.DUMMYFUNCTION("SPLIT(I4501,""/"")"),"#REF!")</f>
        <v>#REF!</v>
      </c>
      <c r="K4501" s="308"/>
      <c r="L4501" s="308">
        <v>2017.0</v>
      </c>
      <c r="M4501" s="308" t="s">
        <v>18180</v>
      </c>
      <c r="N4501" s="308"/>
      <c r="O4501" s="308" t="s">
        <v>37720</v>
      </c>
      <c r="P4501" s="308" t="s">
        <v>18182</v>
      </c>
      <c r="Q4501" s="308" t="s">
        <v>37718</v>
      </c>
      <c r="R4501" s="308" t="s">
        <v>2743</v>
      </c>
      <c r="S4501" s="315" t="s">
        <v>100</v>
      </c>
      <c r="T4501" s="311" t="s">
        <v>34208</v>
      </c>
      <c r="U4501" s="308" t="s">
        <v>10279</v>
      </c>
      <c r="V4501" s="312"/>
    </row>
    <row r="4502">
      <c r="A4502" s="308">
        <v>4501.0</v>
      </c>
      <c r="B4502" s="308"/>
      <c r="C4502" s="308" t="s">
        <v>18185</v>
      </c>
      <c r="D4502" s="308">
        <f>IFERROR(__xludf.DUMMYFUNCTION("SPLIT(C4502,""-"")"),4522.0)</f>
        <v>4522</v>
      </c>
      <c r="E4502" s="308" t="str">
        <f>IFERROR(__xludf.DUMMYFUNCTION("""COMPUTED_VALUE"""),"K")</f>
        <v>K</v>
      </c>
      <c r="F4502" s="309" t="s">
        <v>34</v>
      </c>
      <c r="G4502" s="308"/>
      <c r="H4502" s="308" t="s">
        <v>18186</v>
      </c>
      <c r="I4502" s="310">
        <v>42916.0</v>
      </c>
      <c r="J4502" s="319" t="str">
        <f>IFERROR(__xludf.DUMMYFUNCTION("SPLIT(I4502,""/"")"),"#REF!")</f>
        <v>#REF!</v>
      </c>
      <c r="K4502" s="308"/>
      <c r="L4502" s="308">
        <v>2017.0</v>
      </c>
      <c r="M4502" s="308" t="s">
        <v>18187</v>
      </c>
      <c r="N4502" s="308"/>
      <c r="O4502" s="308"/>
      <c r="P4502" s="308" t="s">
        <v>37721</v>
      </c>
      <c r="Q4502" s="308" t="s">
        <v>37718</v>
      </c>
      <c r="R4502" s="308" t="s">
        <v>2743</v>
      </c>
      <c r="S4502" s="308" t="s">
        <v>81</v>
      </c>
      <c r="T4502" s="311" t="s">
        <v>96</v>
      </c>
      <c r="U4502" s="308" t="s">
        <v>125</v>
      </c>
      <c r="V4502" s="312"/>
    </row>
    <row r="4503">
      <c r="A4503" s="308">
        <v>4502.0</v>
      </c>
      <c r="B4503" s="308"/>
      <c r="C4503" s="308" t="s">
        <v>18189</v>
      </c>
      <c r="D4503" s="308">
        <f>IFERROR(__xludf.DUMMYFUNCTION("SPLIT(C4503,""-"")"),4523.0)</f>
        <v>4523</v>
      </c>
      <c r="E4503" s="308" t="str">
        <f>IFERROR(__xludf.DUMMYFUNCTION("""COMPUTED_VALUE"""),"K")</f>
        <v>K</v>
      </c>
      <c r="F4503" s="309" t="s">
        <v>34</v>
      </c>
      <c r="G4503" s="308"/>
      <c r="H4503" s="308" t="s">
        <v>18190</v>
      </c>
      <c r="I4503" s="310">
        <v>42833.0</v>
      </c>
      <c r="J4503" s="319" t="str">
        <f>IFERROR(__xludf.DUMMYFUNCTION("SPLIT(I4503,""/"")"),"#REF!")</f>
        <v>#REF!</v>
      </c>
      <c r="K4503" s="308"/>
      <c r="L4503" s="308">
        <v>2017.0</v>
      </c>
      <c r="M4503" s="308" t="s">
        <v>18180</v>
      </c>
      <c r="N4503" s="308"/>
      <c r="O4503" s="308" t="s">
        <v>18181</v>
      </c>
      <c r="P4503" s="308" t="s">
        <v>18182</v>
      </c>
      <c r="Q4503" s="308" t="s">
        <v>37718</v>
      </c>
      <c r="R4503" s="308" t="s">
        <v>2743</v>
      </c>
      <c r="S4503" s="315" t="s">
        <v>100</v>
      </c>
      <c r="T4503" s="311" t="s">
        <v>34208</v>
      </c>
      <c r="U4503" s="308" t="s">
        <v>1509</v>
      </c>
      <c r="V4503" s="312"/>
    </row>
    <row r="4504">
      <c r="A4504" s="308">
        <v>4503.0</v>
      </c>
      <c r="B4504" s="308"/>
      <c r="C4504" s="308" t="s">
        <v>18191</v>
      </c>
      <c r="D4504" s="308">
        <f>IFERROR(__xludf.DUMMYFUNCTION("SPLIT(C4504,""-"")"),4524.0)</f>
        <v>4524</v>
      </c>
      <c r="E4504" s="308" t="str">
        <f>IFERROR(__xludf.DUMMYFUNCTION("""COMPUTED_VALUE"""),"K")</f>
        <v>K</v>
      </c>
      <c r="F4504" s="309" t="s">
        <v>34</v>
      </c>
      <c r="G4504" s="308"/>
      <c r="H4504" s="308" t="s">
        <v>18192</v>
      </c>
      <c r="I4504" s="310">
        <v>41276.0</v>
      </c>
      <c r="J4504" s="319">
        <f>IFERROR(__xludf.DUMMYFUNCTION("SPLIT(I4504,""/"")"),2.0)</f>
        <v>2</v>
      </c>
      <c r="K4504" s="308">
        <f>IFERROR(__xludf.DUMMYFUNCTION("""COMPUTED_VALUE"""),1.0)</f>
        <v>1</v>
      </c>
      <c r="L4504" s="308">
        <f>IFERROR(__xludf.DUMMYFUNCTION("""COMPUTED_VALUE"""),2013.0)</f>
        <v>2013</v>
      </c>
      <c r="M4504" s="308" t="s">
        <v>18193</v>
      </c>
      <c r="N4504" s="308"/>
      <c r="O4504" s="308"/>
      <c r="P4504" s="308" t="s">
        <v>37722</v>
      </c>
      <c r="Q4504" s="308" t="s">
        <v>37718</v>
      </c>
      <c r="R4504" s="308" t="s">
        <v>2743</v>
      </c>
      <c r="S4504" s="308" t="s">
        <v>81</v>
      </c>
      <c r="T4504" s="308" t="s">
        <v>75</v>
      </c>
      <c r="U4504" s="308" t="s">
        <v>125</v>
      </c>
      <c r="V4504" s="312"/>
    </row>
    <row r="4505">
      <c r="A4505" s="308">
        <v>4504.0</v>
      </c>
      <c r="B4505" s="308"/>
      <c r="C4505" s="308" t="s">
        <v>18195</v>
      </c>
      <c r="D4505" s="308">
        <f>IFERROR(__xludf.DUMMYFUNCTION("SPLIT(C4505,""-"")"),4525.0)</f>
        <v>4525</v>
      </c>
      <c r="E4505" s="308" t="str">
        <f>IFERROR(__xludf.DUMMYFUNCTION("""COMPUTED_VALUE"""),"K")</f>
        <v>K</v>
      </c>
      <c r="F4505" s="309" t="s">
        <v>34</v>
      </c>
      <c r="G4505" s="308"/>
      <c r="H4505" s="308" t="s">
        <v>18196</v>
      </c>
      <c r="I4505" s="310">
        <v>42512.0</v>
      </c>
      <c r="J4505" s="319">
        <f>IFERROR(__xludf.DUMMYFUNCTION("SPLIT(I4505,""/"")"),22.0)</f>
        <v>22</v>
      </c>
      <c r="K4505" s="308">
        <f>IFERROR(__xludf.DUMMYFUNCTION("""COMPUTED_VALUE"""),5.0)</f>
        <v>5</v>
      </c>
      <c r="L4505" s="308">
        <f>IFERROR(__xludf.DUMMYFUNCTION("""COMPUTED_VALUE"""),2016.0)</f>
        <v>2016</v>
      </c>
      <c r="M4505" s="308" t="s">
        <v>18197</v>
      </c>
      <c r="N4505" s="308"/>
      <c r="O4505" s="308"/>
      <c r="P4505" s="308" t="s">
        <v>2872</v>
      </c>
      <c r="Q4505" s="308" t="s">
        <v>37718</v>
      </c>
      <c r="R4505" s="308" t="s">
        <v>2743</v>
      </c>
      <c r="S4505" s="315" t="s">
        <v>100</v>
      </c>
      <c r="T4505" s="311" t="s">
        <v>34208</v>
      </c>
      <c r="U4505" s="308" t="s">
        <v>125</v>
      </c>
      <c r="V4505" s="312"/>
    </row>
    <row r="4506">
      <c r="A4506" s="308">
        <v>4505.0</v>
      </c>
      <c r="B4506" s="308"/>
      <c r="C4506" s="308" t="s">
        <v>18198</v>
      </c>
      <c r="D4506" s="308">
        <f>IFERROR(__xludf.DUMMYFUNCTION("SPLIT(C4506,""-"")"),4526.0)</f>
        <v>4526</v>
      </c>
      <c r="E4506" s="308" t="str">
        <f>IFERROR(__xludf.DUMMYFUNCTION("""COMPUTED_VALUE"""),"K")</f>
        <v>K</v>
      </c>
      <c r="F4506" s="309" t="s">
        <v>34</v>
      </c>
      <c r="G4506" s="308" t="s">
        <v>37723</v>
      </c>
      <c r="H4506" s="308" t="s">
        <v>8414</v>
      </c>
      <c r="I4506" s="314">
        <v>40103.0</v>
      </c>
      <c r="J4506" s="319">
        <f>IFERROR(__xludf.DUMMYFUNCTION("SPLIT(I4506,""/"")"),17.0)</f>
        <v>17</v>
      </c>
      <c r="K4506" s="308">
        <f>IFERROR(__xludf.DUMMYFUNCTION("""COMPUTED_VALUE"""),10.0)</f>
        <v>10</v>
      </c>
      <c r="L4506" s="308">
        <f>IFERROR(__xludf.DUMMYFUNCTION("""COMPUTED_VALUE"""),2009.0)</f>
        <v>2009</v>
      </c>
      <c r="M4506" s="308" t="s">
        <v>18200</v>
      </c>
      <c r="N4506" s="308" t="s">
        <v>439</v>
      </c>
      <c r="O4506" s="308" t="s">
        <v>18201</v>
      </c>
      <c r="P4506" s="308" t="s">
        <v>9580</v>
      </c>
      <c r="Q4506" s="308" t="s">
        <v>37718</v>
      </c>
      <c r="R4506" s="308" t="s">
        <v>2743</v>
      </c>
      <c r="S4506" s="315" t="s">
        <v>100</v>
      </c>
      <c r="T4506" s="311" t="s">
        <v>34208</v>
      </c>
      <c r="U4506" s="308" t="s">
        <v>530</v>
      </c>
      <c r="V4506" s="312"/>
    </row>
    <row r="4507">
      <c r="A4507" s="308">
        <v>4506.0</v>
      </c>
      <c r="B4507" s="308"/>
      <c r="C4507" s="308" t="s">
        <v>18202</v>
      </c>
      <c r="D4507" s="308">
        <f>IFERROR(__xludf.DUMMYFUNCTION("SPLIT(C4507,""-"")"),4527.0)</f>
        <v>4527</v>
      </c>
      <c r="E4507" s="308" t="str">
        <f>IFERROR(__xludf.DUMMYFUNCTION("""COMPUTED_VALUE"""),"K")</f>
        <v>K</v>
      </c>
      <c r="F4507" s="309" t="s">
        <v>34</v>
      </c>
      <c r="G4507" s="308"/>
      <c r="H4507" s="308" t="s">
        <v>18203</v>
      </c>
      <c r="I4507" s="310">
        <v>42186.0</v>
      </c>
      <c r="J4507" s="319">
        <f>IFERROR(__xludf.DUMMYFUNCTION("SPLIT(I4507,""/"")"),1.0)</f>
        <v>1</v>
      </c>
      <c r="K4507" s="308">
        <f>IFERROR(__xludf.DUMMYFUNCTION("""COMPUTED_VALUE"""),7.0)</f>
        <v>7</v>
      </c>
      <c r="L4507" s="308">
        <f>IFERROR(__xludf.DUMMYFUNCTION("""COMPUTED_VALUE"""),2015.0)</f>
        <v>2015</v>
      </c>
      <c r="M4507" s="308" t="s">
        <v>18204</v>
      </c>
      <c r="N4507" s="308"/>
      <c r="O4507" s="308"/>
      <c r="P4507" s="308" t="s">
        <v>37724</v>
      </c>
      <c r="Q4507" s="308" t="s">
        <v>37718</v>
      </c>
      <c r="R4507" s="308" t="s">
        <v>2743</v>
      </c>
      <c r="S4507" s="308" t="s">
        <v>81</v>
      </c>
      <c r="T4507" s="308" t="s">
        <v>34264</v>
      </c>
      <c r="U4507" s="308" t="s">
        <v>18206</v>
      </c>
      <c r="V4507" s="312"/>
    </row>
    <row r="4508">
      <c r="A4508" s="308">
        <v>4507.0</v>
      </c>
      <c r="B4508" s="308"/>
      <c r="C4508" s="308" t="s">
        <v>18207</v>
      </c>
      <c r="D4508" s="308">
        <f>IFERROR(__xludf.DUMMYFUNCTION("SPLIT(C4508,""-"")"),4528.0)</f>
        <v>4528</v>
      </c>
      <c r="E4508" s="308" t="str">
        <f>IFERROR(__xludf.DUMMYFUNCTION("""COMPUTED_VALUE"""),"K")</f>
        <v>K</v>
      </c>
      <c r="F4508" s="309" t="s">
        <v>34</v>
      </c>
      <c r="G4508" s="308"/>
      <c r="H4508" s="308" t="s">
        <v>18208</v>
      </c>
      <c r="I4508" s="310">
        <v>40360.0</v>
      </c>
      <c r="J4508" s="319">
        <f>IFERROR(__xludf.DUMMYFUNCTION("SPLIT(I4508,""/"")"),1.0)</f>
        <v>1</v>
      </c>
      <c r="K4508" s="308">
        <f>IFERROR(__xludf.DUMMYFUNCTION("""COMPUTED_VALUE"""),7.0)</f>
        <v>7</v>
      </c>
      <c r="L4508" s="308">
        <f>IFERROR(__xludf.DUMMYFUNCTION("""COMPUTED_VALUE"""),2010.0)</f>
        <v>2010</v>
      </c>
      <c r="M4508" s="308" t="s">
        <v>18209</v>
      </c>
      <c r="N4508" s="308"/>
      <c r="O4508" s="308"/>
      <c r="P4508" s="308" t="s">
        <v>18210</v>
      </c>
      <c r="Q4508" s="308" t="s">
        <v>37718</v>
      </c>
      <c r="R4508" s="308" t="s">
        <v>2743</v>
      </c>
      <c r="S4508" s="308" t="s">
        <v>81</v>
      </c>
      <c r="T4508" s="311" t="s">
        <v>98</v>
      </c>
      <c r="U4508" s="308" t="s">
        <v>4749</v>
      </c>
      <c r="V4508" s="312"/>
    </row>
    <row r="4509">
      <c r="A4509" s="308">
        <v>4508.0</v>
      </c>
      <c r="B4509" s="308"/>
      <c r="C4509" s="308" t="s">
        <v>18211</v>
      </c>
      <c r="D4509" s="308">
        <f>IFERROR(__xludf.DUMMYFUNCTION("SPLIT(C4509,""-"")"),4529.0)</f>
        <v>4529</v>
      </c>
      <c r="E4509" s="308" t="str">
        <f>IFERROR(__xludf.DUMMYFUNCTION("""COMPUTED_VALUE"""),"S")</f>
        <v>S</v>
      </c>
      <c r="F4509" s="312" t="s">
        <v>39</v>
      </c>
      <c r="G4509" s="308"/>
      <c r="H4509" s="308" t="s">
        <v>18212</v>
      </c>
      <c r="I4509" s="310">
        <v>42860.0</v>
      </c>
      <c r="J4509" s="319">
        <f>IFERROR(__xludf.DUMMYFUNCTION("SPLIT(I4509,""/"")"),5.0)</f>
        <v>5</v>
      </c>
      <c r="K4509" s="308">
        <f>IFERROR(__xludf.DUMMYFUNCTION("""COMPUTED_VALUE"""),5.0)</f>
        <v>5</v>
      </c>
      <c r="L4509" s="308">
        <f>IFERROR(__xludf.DUMMYFUNCTION("""COMPUTED_VALUE"""),2017.0)</f>
        <v>2017</v>
      </c>
      <c r="M4509" s="308" t="s">
        <v>18213</v>
      </c>
      <c r="N4509" s="308"/>
      <c r="O4509" s="308"/>
      <c r="P4509" s="308" t="s">
        <v>18214</v>
      </c>
      <c r="Q4509" s="308" t="s">
        <v>37718</v>
      </c>
      <c r="R4509" s="308" t="s">
        <v>2743</v>
      </c>
      <c r="S4509" s="308" t="s">
        <v>81</v>
      </c>
      <c r="T4509" s="308" t="s">
        <v>98</v>
      </c>
      <c r="U4509" s="308" t="s">
        <v>166</v>
      </c>
      <c r="V4509" s="312"/>
    </row>
    <row r="4510">
      <c r="A4510" s="308">
        <v>4509.0</v>
      </c>
      <c r="B4510" s="308"/>
      <c r="C4510" s="308" t="s">
        <v>18215</v>
      </c>
      <c r="D4510" s="308">
        <f>IFERROR(__xludf.DUMMYFUNCTION("SPLIT(C4510,""-"")"),4530.0)</f>
        <v>4530</v>
      </c>
      <c r="E4510" s="308" t="str">
        <f>IFERROR(__xludf.DUMMYFUNCTION("""COMPUTED_VALUE"""),"K")</f>
        <v>K</v>
      </c>
      <c r="F4510" s="309" t="s">
        <v>34</v>
      </c>
      <c r="G4510" s="308"/>
      <c r="H4510" s="308" t="s">
        <v>18216</v>
      </c>
      <c r="I4510" s="310">
        <v>39995.0</v>
      </c>
      <c r="J4510" s="319">
        <f>IFERROR(__xludf.DUMMYFUNCTION("SPLIT(I4510,""/"")"),1.0)</f>
        <v>1</v>
      </c>
      <c r="K4510" s="308">
        <f>IFERROR(__xludf.DUMMYFUNCTION("""COMPUTED_VALUE"""),7.0)</f>
        <v>7</v>
      </c>
      <c r="L4510" s="308">
        <f>IFERROR(__xludf.DUMMYFUNCTION("""COMPUTED_VALUE"""),2009.0)</f>
        <v>2009</v>
      </c>
      <c r="M4510" s="308" t="s">
        <v>18217</v>
      </c>
      <c r="N4510" s="308"/>
      <c r="O4510" s="308"/>
      <c r="P4510" s="308" t="s">
        <v>1872</v>
      </c>
      <c r="Q4510" s="308" t="s">
        <v>37718</v>
      </c>
      <c r="R4510" s="308" t="s">
        <v>2743</v>
      </c>
      <c r="S4510" s="315" t="s">
        <v>100</v>
      </c>
      <c r="T4510" s="311" t="s">
        <v>34208</v>
      </c>
      <c r="U4510" s="308" t="s">
        <v>530</v>
      </c>
      <c r="V4510" s="312"/>
    </row>
    <row r="4511">
      <c r="A4511" s="308">
        <v>4510.0</v>
      </c>
      <c r="B4511" s="308"/>
      <c r="C4511" s="308" t="s">
        <v>18218</v>
      </c>
      <c r="D4511" s="308">
        <f>IFERROR(__xludf.DUMMYFUNCTION("SPLIT(C4511,""-"")"),4531.0)</f>
        <v>4531</v>
      </c>
      <c r="E4511" s="308" t="str">
        <f>IFERROR(__xludf.DUMMYFUNCTION("""COMPUTED_VALUE"""),"K")</f>
        <v>K</v>
      </c>
      <c r="F4511" s="309" t="s">
        <v>34</v>
      </c>
      <c r="G4511" s="308"/>
      <c r="H4511" s="308" t="s">
        <v>18219</v>
      </c>
      <c r="I4511" s="310">
        <v>39995.0</v>
      </c>
      <c r="J4511" s="319">
        <f>IFERROR(__xludf.DUMMYFUNCTION("SPLIT(I4511,""/"")"),1.0)</f>
        <v>1</v>
      </c>
      <c r="K4511" s="308">
        <f>IFERROR(__xludf.DUMMYFUNCTION("""COMPUTED_VALUE"""),7.0)</f>
        <v>7</v>
      </c>
      <c r="L4511" s="308">
        <f>IFERROR(__xludf.DUMMYFUNCTION("""COMPUTED_VALUE"""),2009.0)</f>
        <v>2009</v>
      </c>
      <c r="M4511" s="308" t="s">
        <v>18217</v>
      </c>
      <c r="N4511" s="308"/>
      <c r="O4511" s="308"/>
      <c r="P4511" s="308" t="s">
        <v>1872</v>
      </c>
      <c r="Q4511" s="308" t="s">
        <v>37718</v>
      </c>
      <c r="R4511" s="308" t="s">
        <v>2743</v>
      </c>
      <c r="S4511" s="315" t="s">
        <v>100</v>
      </c>
      <c r="T4511" s="311" t="s">
        <v>34208</v>
      </c>
      <c r="U4511" s="308" t="s">
        <v>530</v>
      </c>
      <c r="V4511" s="312"/>
    </row>
    <row r="4512">
      <c r="A4512" s="308">
        <v>4511.0</v>
      </c>
      <c r="B4512" s="308"/>
      <c r="C4512" s="308" t="s">
        <v>18220</v>
      </c>
      <c r="D4512" s="308">
        <f>IFERROR(__xludf.DUMMYFUNCTION("SPLIT(C4512,""-"")"),4532.0)</f>
        <v>4532</v>
      </c>
      <c r="E4512" s="308" t="str">
        <f>IFERROR(__xludf.DUMMYFUNCTION("""COMPUTED_VALUE"""),"S")</f>
        <v>S</v>
      </c>
      <c r="F4512" s="312" t="s">
        <v>39</v>
      </c>
      <c r="G4512" s="308"/>
      <c r="H4512" s="308" t="s">
        <v>18221</v>
      </c>
      <c r="I4512" s="310">
        <v>43009.0</v>
      </c>
      <c r="J4512" s="319">
        <f>IFERROR(__xludf.DUMMYFUNCTION("SPLIT(I4512,""/"")"),1.0)</f>
        <v>1</v>
      </c>
      <c r="K4512" s="308">
        <f>IFERROR(__xludf.DUMMYFUNCTION("""COMPUTED_VALUE"""),10.0)</f>
        <v>10</v>
      </c>
      <c r="L4512" s="308">
        <f>IFERROR(__xludf.DUMMYFUNCTION("""COMPUTED_VALUE"""),2017.0)</f>
        <v>2017</v>
      </c>
      <c r="M4512" s="308" t="s">
        <v>18222</v>
      </c>
      <c r="N4512" s="308"/>
      <c r="O4512" s="308"/>
      <c r="P4512" s="308" t="s">
        <v>18223</v>
      </c>
      <c r="Q4512" s="308" t="s">
        <v>37718</v>
      </c>
      <c r="R4512" s="308" t="s">
        <v>2743</v>
      </c>
      <c r="S4512" s="308" t="s">
        <v>81</v>
      </c>
      <c r="T4512" s="308" t="s">
        <v>75</v>
      </c>
      <c r="U4512" s="308" t="s">
        <v>166</v>
      </c>
      <c r="V4512" s="312"/>
    </row>
    <row r="4513">
      <c r="A4513" s="308">
        <v>4512.0</v>
      </c>
      <c r="B4513" s="308"/>
      <c r="C4513" s="308" t="s">
        <v>18224</v>
      </c>
      <c r="D4513" s="308">
        <f>IFERROR(__xludf.DUMMYFUNCTION("SPLIT(C4513,""-"")"),4533.0)</f>
        <v>4533</v>
      </c>
      <c r="E4513" s="308" t="str">
        <f>IFERROR(__xludf.DUMMYFUNCTION("""COMPUTED_VALUE"""),"K")</f>
        <v>K</v>
      </c>
      <c r="F4513" s="309" t="s">
        <v>34</v>
      </c>
      <c r="G4513" s="308"/>
      <c r="H4513" s="308" t="s">
        <v>18225</v>
      </c>
      <c r="I4513" s="310">
        <v>41493.0</v>
      </c>
      <c r="J4513" s="319">
        <f>IFERROR(__xludf.DUMMYFUNCTION("SPLIT(I4513,""/"")"),7.0)</f>
        <v>7</v>
      </c>
      <c r="K4513" s="308">
        <f>IFERROR(__xludf.DUMMYFUNCTION("""COMPUTED_VALUE"""),8.0)</f>
        <v>8</v>
      </c>
      <c r="L4513" s="308">
        <f>IFERROR(__xludf.DUMMYFUNCTION("""COMPUTED_VALUE"""),2013.0)</f>
        <v>2013</v>
      </c>
      <c r="M4513" s="308" t="s">
        <v>18226</v>
      </c>
      <c r="N4513" s="308"/>
      <c r="O4513" s="308"/>
      <c r="P4513" s="308" t="s">
        <v>2872</v>
      </c>
      <c r="Q4513" s="308" t="s">
        <v>37718</v>
      </c>
      <c r="R4513" s="308" t="s">
        <v>2743</v>
      </c>
      <c r="S4513" s="315" t="s">
        <v>100</v>
      </c>
      <c r="T4513" s="311" t="s">
        <v>34208</v>
      </c>
      <c r="U4513" s="308" t="s">
        <v>125</v>
      </c>
      <c r="V4513" s="312"/>
    </row>
    <row r="4514">
      <c r="A4514" s="308">
        <v>4513.0</v>
      </c>
      <c r="B4514" s="308"/>
      <c r="C4514" s="308" t="s">
        <v>18227</v>
      </c>
      <c r="D4514" s="308">
        <f>IFERROR(__xludf.DUMMYFUNCTION("SPLIT(C4514,""-"")"),4534.0)</f>
        <v>4534</v>
      </c>
      <c r="E4514" s="308" t="str">
        <f>IFERROR(__xludf.DUMMYFUNCTION("""COMPUTED_VALUE"""),"K")</f>
        <v>K</v>
      </c>
      <c r="F4514" s="309" t="s">
        <v>34</v>
      </c>
      <c r="G4514" s="308"/>
      <c r="H4514" s="308" t="s">
        <v>18228</v>
      </c>
      <c r="I4514" s="310">
        <v>42858.0</v>
      </c>
      <c r="J4514" s="319" t="str">
        <f>IFERROR(__xludf.DUMMYFUNCTION("SPLIT(I4514,""/"")"),"#REF!")</f>
        <v>#REF!</v>
      </c>
      <c r="K4514" s="308"/>
      <c r="L4514" s="308">
        <v>2017.0</v>
      </c>
      <c r="M4514" s="308" t="s">
        <v>18229</v>
      </c>
      <c r="N4514" s="308"/>
      <c r="O4514" s="308" t="s">
        <v>18230</v>
      </c>
      <c r="P4514" s="308" t="s">
        <v>18231</v>
      </c>
      <c r="Q4514" s="308" t="s">
        <v>37725</v>
      </c>
      <c r="R4514" s="308" t="s">
        <v>2743</v>
      </c>
      <c r="S4514" s="308" t="s">
        <v>81</v>
      </c>
      <c r="T4514" s="311" t="s">
        <v>51</v>
      </c>
      <c r="U4514" s="308" t="s">
        <v>4749</v>
      </c>
      <c r="V4514" s="312"/>
    </row>
    <row r="4515">
      <c r="A4515" s="308">
        <v>4514.0</v>
      </c>
      <c r="B4515" s="308"/>
      <c r="C4515" s="308" t="s">
        <v>18232</v>
      </c>
      <c r="D4515" s="308">
        <f>IFERROR(__xludf.DUMMYFUNCTION("SPLIT(C4515,""-"")"),4535.0)</f>
        <v>4535</v>
      </c>
      <c r="E4515" s="308" t="str">
        <f>IFERROR(__xludf.DUMMYFUNCTION("""COMPUTED_VALUE"""),"P")</f>
        <v>P</v>
      </c>
      <c r="F4515" s="312" t="s">
        <v>37</v>
      </c>
      <c r="G4515" s="308"/>
      <c r="H4515" s="308" t="s">
        <v>18233</v>
      </c>
      <c r="I4515" s="310">
        <v>42430.0</v>
      </c>
      <c r="J4515" s="319">
        <f>IFERROR(__xludf.DUMMYFUNCTION("SPLIT(I4515,""/"")"),1.0)</f>
        <v>1</v>
      </c>
      <c r="K4515" s="308">
        <f>IFERROR(__xludf.DUMMYFUNCTION("""COMPUTED_VALUE"""),3.0)</f>
        <v>3</v>
      </c>
      <c r="L4515" s="308">
        <f>IFERROR(__xludf.DUMMYFUNCTION("""COMPUTED_VALUE"""),2016.0)</f>
        <v>2016</v>
      </c>
      <c r="M4515" s="308" t="s">
        <v>18234</v>
      </c>
      <c r="N4515" s="308"/>
      <c r="O4515" s="308" t="s">
        <v>18235</v>
      </c>
      <c r="P4515" s="308" t="s">
        <v>37217</v>
      </c>
      <c r="Q4515" s="308" t="s">
        <v>37725</v>
      </c>
      <c r="R4515" s="308" t="s">
        <v>2743</v>
      </c>
      <c r="S4515" s="315" t="s">
        <v>100</v>
      </c>
      <c r="T4515" s="311" t="s">
        <v>34208</v>
      </c>
      <c r="U4515" s="308" t="s">
        <v>15909</v>
      </c>
      <c r="V4515" s="312"/>
    </row>
    <row r="4516">
      <c r="A4516" s="308">
        <v>4515.0</v>
      </c>
      <c r="B4516" s="308"/>
      <c r="C4516" s="308" t="s">
        <v>18236</v>
      </c>
      <c r="D4516" s="308">
        <f>IFERROR(__xludf.DUMMYFUNCTION("SPLIT(C4516,""-"")"),4536.0)</f>
        <v>4536</v>
      </c>
      <c r="E4516" s="308" t="str">
        <f>IFERROR(__xludf.DUMMYFUNCTION("""COMPUTED_VALUE"""),"S")</f>
        <v>S</v>
      </c>
      <c r="F4516" s="312" t="s">
        <v>39</v>
      </c>
      <c r="G4516" s="308"/>
      <c r="H4516" s="308" t="s">
        <v>18237</v>
      </c>
      <c r="I4516" s="310">
        <v>43074.0</v>
      </c>
      <c r="J4516" s="319">
        <f>IFERROR(__xludf.DUMMYFUNCTION("SPLIT(I4516,""/"")"),5.0)</f>
        <v>5</v>
      </c>
      <c r="K4516" s="308">
        <f>IFERROR(__xludf.DUMMYFUNCTION("""COMPUTED_VALUE"""),12.0)</f>
        <v>12</v>
      </c>
      <c r="L4516" s="308">
        <f>IFERROR(__xludf.DUMMYFUNCTION("""COMPUTED_VALUE"""),2017.0)</f>
        <v>2017</v>
      </c>
      <c r="M4516" s="308" t="s">
        <v>18238</v>
      </c>
      <c r="N4516" s="308"/>
      <c r="O4516" s="308"/>
      <c r="P4516" s="308" t="s">
        <v>37726</v>
      </c>
      <c r="Q4516" s="308" t="s">
        <v>37727</v>
      </c>
      <c r="R4516" s="308" t="s">
        <v>2743</v>
      </c>
      <c r="S4516" s="308" t="s">
        <v>81</v>
      </c>
      <c r="T4516" s="308" t="s">
        <v>75</v>
      </c>
      <c r="U4516" s="308" t="s">
        <v>166</v>
      </c>
      <c r="V4516" s="312"/>
    </row>
    <row r="4517">
      <c r="A4517" s="308">
        <v>4516.0</v>
      </c>
      <c r="B4517" s="308"/>
      <c r="C4517" s="308" t="s">
        <v>18240</v>
      </c>
      <c r="D4517" s="308">
        <f>IFERROR(__xludf.DUMMYFUNCTION("SPLIT(C4517,""-"")"),4537.0)</f>
        <v>4537</v>
      </c>
      <c r="E4517" s="308" t="str">
        <f>IFERROR(__xludf.DUMMYFUNCTION("""COMPUTED_VALUE"""),"S")</f>
        <v>S</v>
      </c>
      <c r="F4517" s="312" t="s">
        <v>39</v>
      </c>
      <c r="G4517" s="308"/>
      <c r="H4517" s="308" t="s">
        <v>18241</v>
      </c>
      <c r="I4517" s="310">
        <v>43044.0</v>
      </c>
      <c r="J4517" s="319">
        <f>IFERROR(__xludf.DUMMYFUNCTION("SPLIT(I4517,""/"")"),5.0)</f>
        <v>5</v>
      </c>
      <c r="K4517" s="308">
        <f>IFERROR(__xludf.DUMMYFUNCTION("""COMPUTED_VALUE"""),11.0)</f>
        <v>11</v>
      </c>
      <c r="L4517" s="308">
        <f>IFERROR(__xludf.DUMMYFUNCTION("""COMPUTED_VALUE"""),2017.0)</f>
        <v>2017</v>
      </c>
      <c r="M4517" s="308" t="s">
        <v>18242</v>
      </c>
      <c r="N4517" s="308"/>
      <c r="O4517" s="308"/>
      <c r="P4517" s="308" t="s">
        <v>18243</v>
      </c>
      <c r="Q4517" s="308" t="s">
        <v>37727</v>
      </c>
      <c r="R4517" s="308" t="s">
        <v>2743</v>
      </c>
      <c r="S4517" s="308" t="s">
        <v>81</v>
      </c>
      <c r="T4517" s="308" t="s">
        <v>75</v>
      </c>
      <c r="U4517" s="308" t="s">
        <v>166</v>
      </c>
      <c r="V4517" s="312"/>
    </row>
    <row r="4518">
      <c r="A4518" s="308">
        <v>4517.0</v>
      </c>
      <c r="B4518" s="308"/>
      <c r="C4518" s="308" t="s">
        <v>18244</v>
      </c>
      <c r="D4518" s="308">
        <f>IFERROR(__xludf.DUMMYFUNCTION("SPLIT(C4518,""-"")"),4538.0)</f>
        <v>4538</v>
      </c>
      <c r="E4518" s="308" t="str">
        <f>IFERROR(__xludf.DUMMYFUNCTION("""COMPUTED_VALUE"""),"B")</f>
        <v>B</v>
      </c>
      <c r="F4518" s="315" t="s">
        <v>26</v>
      </c>
      <c r="G4518" s="308"/>
      <c r="H4518" s="308" t="s">
        <v>18245</v>
      </c>
      <c r="I4518" s="310">
        <v>41760.0</v>
      </c>
      <c r="J4518" s="319">
        <f>IFERROR(__xludf.DUMMYFUNCTION("SPLIT(I4518,""/"")"),1.0)</f>
        <v>1</v>
      </c>
      <c r="K4518" s="308">
        <f>IFERROR(__xludf.DUMMYFUNCTION("""COMPUTED_VALUE"""),5.0)</f>
        <v>5</v>
      </c>
      <c r="L4518" s="308">
        <f>IFERROR(__xludf.DUMMYFUNCTION("""COMPUTED_VALUE"""),2014.0)</f>
        <v>2014</v>
      </c>
      <c r="M4518" s="308" t="s">
        <v>37728</v>
      </c>
      <c r="N4518" s="308"/>
      <c r="O4518" s="308"/>
      <c r="P4518" s="308" t="s">
        <v>37729</v>
      </c>
      <c r="Q4518" s="308" t="s">
        <v>37727</v>
      </c>
      <c r="R4518" s="308" t="s">
        <v>2743</v>
      </c>
      <c r="S4518" s="308" t="s">
        <v>49</v>
      </c>
      <c r="T4518" s="308" t="s">
        <v>70</v>
      </c>
      <c r="U4518" s="308" t="s">
        <v>27</v>
      </c>
      <c r="V4518" s="312"/>
    </row>
    <row r="4519">
      <c r="A4519" s="308">
        <v>4518.0</v>
      </c>
      <c r="B4519" s="308"/>
      <c r="C4519" s="308" t="s">
        <v>18248</v>
      </c>
      <c r="D4519" s="308">
        <f>IFERROR(__xludf.DUMMYFUNCTION("SPLIT(C4519,""-"")"),4539.0)</f>
        <v>4539</v>
      </c>
      <c r="E4519" s="308" t="str">
        <f>IFERROR(__xludf.DUMMYFUNCTION("""COMPUTED_VALUE"""),"K")</f>
        <v>K</v>
      </c>
      <c r="F4519" s="309" t="s">
        <v>34</v>
      </c>
      <c r="G4519" s="308"/>
      <c r="H4519" s="308" t="s">
        <v>18249</v>
      </c>
      <c r="I4519" s="314">
        <v>43028.0</v>
      </c>
      <c r="J4519" s="319" t="str">
        <f>IFERROR(__xludf.DUMMYFUNCTION("SPLIT(I4519,""/"")"),"#REF!")</f>
        <v>#REF!</v>
      </c>
      <c r="K4519" s="308"/>
      <c r="L4519" s="308">
        <v>2017.0</v>
      </c>
      <c r="M4519" s="308" t="s">
        <v>18250</v>
      </c>
      <c r="N4519" s="308"/>
      <c r="O4519" s="308"/>
      <c r="P4519" s="308" t="s">
        <v>37730</v>
      </c>
      <c r="Q4519" s="308" t="s">
        <v>37727</v>
      </c>
      <c r="R4519" s="308" t="s">
        <v>2743</v>
      </c>
      <c r="S4519" s="308" t="s">
        <v>81</v>
      </c>
      <c r="T4519" s="308" t="s">
        <v>73</v>
      </c>
      <c r="U4519" s="308" t="s">
        <v>125</v>
      </c>
      <c r="V4519" s="312"/>
    </row>
    <row r="4520">
      <c r="A4520" s="308">
        <v>4519.0</v>
      </c>
      <c r="B4520" s="308"/>
      <c r="C4520" s="308" t="s">
        <v>18252</v>
      </c>
      <c r="D4520" s="308">
        <f>IFERROR(__xludf.DUMMYFUNCTION("SPLIT(C4520,""-"")"),4540.0)</f>
        <v>4540</v>
      </c>
      <c r="E4520" s="308" t="str">
        <f>IFERROR(__xludf.DUMMYFUNCTION("""COMPUTED_VALUE"""),"K")</f>
        <v>K</v>
      </c>
      <c r="F4520" s="309" t="s">
        <v>34</v>
      </c>
      <c r="G4520" s="308"/>
      <c r="H4520" s="308" t="s">
        <v>18253</v>
      </c>
      <c r="I4520" s="310">
        <v>41556.0</v>
      </c>
      <c r="J4520" s="319">
        <f>IFERROR(__xludf.DUMMYFUNCTION("SPLIT(I4520,""/"")"),9.0)</f>
        <v>9</v>
      </c>
      <c r="K4520" s="308">
        <f>IFERROR(__xludf.DUMMYFUNCTION("""COMPUTED_VALUE"""),10.0)</f>
        <v>10</v>
      </c>
      <c r="L4520" s="308">
        <f>IFERROR(__xludf.DUMMYFUNCTION("""COMPUTED_VALUE"""),2013.0)</f>
        <v>2013</v>
      </c>
      <c r="M4520" s="308" t="s">
        <v>18254</v>
      </c>
      <c r="N4520" s="308"/>
      <c r="O4520" s="308"/>
      <c r="P4520" s="308" t="s">
        <v>37209</v>
      </c>
      <c r="Q4520" s="308" t="s">
        <v>37727</v>
      </c>
      <c r="R4520" s="308" t="s">
        <v>2743</v>
      </c>
      <c r="S4520" s="315" t="s">
        <v>100</v>
      </c>
      <c r="T4520" s="311" t="s">
        <v>34208</v>
      </c>
      <c r="U4520" s="308" t="s">
        <v>125</v>
      </c>
      <c r="V4520" s="312"/>
    </row>
    <row r="4521">
      <c r="A4521" s="308">
        <v>4520.0</v>
      </c>
      <c r="B4521" s="308"/>
      <c r="C4521" s="308" t="s">
        <v>18255</v>
      </c>
      <c r="D4521" s="308">
        <f>IFERROR(__xludf.DUMMYFUNCTION("SPLIT(C4521,""-"")"),4541.0)</f>
        <v>4541</v>
      </c>
      <c r="E4521" s="308" t="str">
        <f>IFERROR(__xludf.DUMMYFUNCTION("""COMPUTED_VALUE"""),"K")</f>
        <v>K</v>
      </c>
      <c r="F4521" s="309" t="s">
        <v>34</v>
      </c>
      <c r="G4521" s="308"/>
      <c r="H4521" s="308" t="s">
        <v>18256</v>
      </c>
      <c r="I4521" s="310">
        <v>42858.0</v>
      </c>
      <c r="J4521" s="319" t="str">
        <f>IFERROR(__xludf.DUMMYFUNCTION("SPLIT(I4521,""/"")"),"#REF!")</f>
        <v>#REF!</v>
      </c>
      <c r="K4521" s="308"/>
      <c r="L4521" s="308">
        <v>2017.0</v>
      </c>
      <c r="M4521" s="308" t="s">
        <v>18257</v>
      </c>
      <c r="N4521" s="308"/>
      <c r="O4521" s="308"/>
      <c r="P4521" s="308" t="s">
        <v>37209</v>
      </c>
      <c r="Q4521" s="308" t="s">
        <v>37727</v>
      </c>
      <c r="R4521" s="308" t="s">
        <v>2743</v>
      </c>
      <c r="S4521" s="315" t="s">
        <v>100</v>
      </c>
      <c r="T4521" s="311" t="s">
        <v>34208</v>
      </c>
      <c r="U4521" s="308" t="s">
        <v>125</v>
      </c>
      <c r="V4521" s="312"/>
    </row>
    <row r="4522">
      <c r="A4522" s="308">
        <v>4521.0</v>
      </c>
      <c r="B4522" s="308"/>
      <c r="C4522" s="308" t="s">
        <v>18258</v>
      </c>
      <c r="D4522" s="308">
        <f>IFERROR(__xludf.DUMMYFUNCTION("SPLIT(C4522,""-"")"),4542.0)</f>
        <v>4542</v>
      </c>
      <c r="E4522" s="308" t="str">
        <f>IFERROR(__xludf.DUMMYFUNCTION("""COMPUTED_VALUE"""),"S")</f>
        <v>S</v>
      </c>
      <c r="F4522" s="312" t="s">
        <v>39</v>
      </c>
      <c r="G4522" s="308"/>
      <c r="H4522" s="308" t="s">
        <v>18259</v>
      </c>
      <c r="I4522" s="310">
        <v>40360.0</v>
      </c>
      <c r="J4522" s="319">
        <f>IFERROR(__xludf.DUMMYFUNCTION("SPLIT(I4522,""/"")"),1.0)</f>
        <v>1</v>
      </c>
      <c r="K4522" s="308">
        <f>IFERROR(__xludf.DUMMYFUNCTION("""COMPUTED_VALUE"""),7.0)</f>
        <v>7</v>
      </c>
      <c r="L4522" s="308">
        <f>IFERROR(__xludf.DUMMYFUNCTION("""COMPUTED_VALUE"""),2010.0)</f>
        <v>2010</v>
      </c>
      <c r="M4522" s="308" t="s">
        <v>37731</v>
      </c>
      <c r="N4522" s="308"/>
      <c r="O4522" s="308"/>
      <c r="P4522" s="308" t="s">
        <v>37732</v>
      </c>
      <c r="Q4522" s="308" t="s">
        <v>37727</v>
      </c>
      <c r="R4522" s="308" t="s">
        <v>16185</v>
      </c>
      <c r="S4522" s="308" t="s">
        <v>81</v>
      </c>
      <c r="T4522" s="308" t="s">
        <v>34264</v>
      </c>
      <c r="U4522" s="308" t="s">
        <v>166</v>
      </c>
      <c r="V4522" s="312"/>
    </row>
    <row r="4523">
      <c r="A4523" s="308">
        <v>4522.0</v>
      </c>
      <c r="B4523" s="308"/>
      <c r="C4523" s="308" t="s">
        <v>18262</v>
      </c>
      <c r="D4523" s="308">
        <f>IFERROR(__xludf.DUMMYFUNCTION("SPLIT(C4523,""-"")"),4543.0)</f>
        <v>4543</v>
      </c>
      <c r="E4523" s="308" t="str">
        <f>IFERROR(__xludf.DUMMYFUNCTION("""COMPUTED_VALUE"""),"S")</f>
        <v>S</v>
      </c>
      <c r="F4523" s="312" t="s">
        <v>39</v>
      </c>
      <c r="G4523" s="308"/>
      <c r="H4523" s="308" t="s">
        <v>18263</v>
      </c>
      <c r="I4523" s="310">
        <v>40725.0</v>
      </c>
      <c r="J4523" s="319">
        <f>IFERROR(__xludf.DUMMYFUNCTION("SPLIT(I4523,""/"")"),1.0)</f>
        <v>1</v>
      </c>
      <c r="K4523" s="308">
        <f>IFERROR(__xludf.DUMMYFUNCTION("""COMPUTED_VALUE"""),7.0)</f>
        <v>7</v>
      </c>
      <c r="L4523" s="308">
        <f>IFERROR(__xludf.DUMMYFUNCTION("""COMPUTED_VALUE"""),2011.0)</f>
        <v>2011</v>
      </c>
      <c r="M4523" s="308" t="s">
        <v>18264</v>
      </c>
      <c r="N4523" s="308"/>
      <c r="O4523" s="308"/>
      <c r="P4523" s="308" t="s">
        <v>37733</v>
      </c>
      <c r="Q4523" s="308" t="s">
        <v>37727</v>
      </c>
      <c r="R4523" s="308" t="s">
        <v>16185</v>
      </c>
      <c r="S4523" s="308" t="s">
        <v>49</v>
      </c>
      <c r="T4523" s="311" t="s">
        <v>51</v>
      </c>
      <c r="U4523" s="308" t="s">
        <v>166</v>
      </c>
      <c r="V4523" s="312"/>
    </row>
    <row r="4524">
      <c r="A4524" s="308">
        <v>4523.0</v>
      </c>
      <c r="B4524" s="308"/>
      <c r="C4524" s="308" t="s">
        <v>18266</v>
      </c>
      <c r="D4524" s="308">
        <f>IFERROR(__xludf.DUMMYFUNCTION("SPLIT(C4524,""-"")"),4544.0)</f>
        <v>4544</v>
      </c>
      <c r="E4524" s="308" t="str">
        <f>IFERROR(__xludf.DUMMYFUNCTION("""COMPUTED_VALUE"""),"P")</f>
        <v>P</v>
      </c>
      <c r="F4524" s="312" t="s">
        <v>37</v>
      </c>
      <c r="G4524" s="308"/>
      <c r="H4524" s="308" t="s">
        <v>18267</v>
      </c>
      <c r="I4524" s="310">
        <v>42926.0</v>
      </c>
      <c r="J4524" s="319">
        <f>IFERROR(__xludf.DUMMYFUNCTION("SPLIT(I4524,""/"")"),10.0)</f>
        <v>10</v>
      </c>
      <c r="K4524" s="308">
        <f>IFERROR(__xludf.DUMMYFUNCTION("""COMPUTED_VALUE"""),7.0)</f>
        <v>7</v>
      </c>
      <c r="L4524" s="308">
        <f>IFERROR(__xludf.DUMMYFUNCTION("""COMPUTED_VALUE"""),2017.0)</f>
        <v>2017</v>
      </c>
      <c r="M4524" s="308" t="s">
        <v>18268</v>
      </c>
      <c r="N4524" s="308"/>
      <c r="O4524" s="308"/>
      <c r="P4524" s="308" t="s">
        <v>18269</v>
      </c>
      <c r="Q4524" s="308" t="s">
        <v>37727</v>
      </c>
      <c r="R4524" s="308" t="s">
        <v>16185</v>
      </c>
      <c r="S4524" s="308" t="s">
        <v>81</v>
      </c>
      <c r="T4524" s="308" t="s">
        <v>73</v>
      </c>
      <c r="U4524" s="308" t="s">
        <v>18270</v>
      </c>
      <c r="V4524" s="312"/>
    </row>
    <row r="4525">
      <c r="A4525" s="308">
        <v>4524.0</v>
      </c>
      <c r="B4525" s="308"/>
      <c r="C4525" s="308" t="s">
        <v>18271</v>
      </c>
      <c r="D4525" s="308">
        <f>IFERROR(__xludf.DUMMYFUNCTION("SPLIT(C4525,""-"")"),4545.0)</f>
        <v>4545</v>
      </c>
      <c r="E4525" s="308" t="str">
        <f>IFERROR(__xludf.DUMMYFUNCTION("""COMPUTED_VALUE"""),"P")</f>
        <v>P</v>
      </c>
      <c r="F4525" s="312" t="s">
        <v>37</v>
      </c>
      <c r="G4525" s="308"/>
      <c r="H4525" s="308" t="s">
        <v>18272</v>
      </c>
      <c r="I4525" s="310">
        <v>42043.0</v>
      </c>
      <c r="J4525" s="319">
        <f>IFERROR(__xludf.DUMMYFUNCTION("SPLIT(I4525,""/"")"),8.0)</f>
        <v>8</v>
      </c>
      <c r="K4525" s="308">
        <f>IFERROR(__xludf.DUMMYFUNCTION("""COMPUTED_VALUE"""),2.0)</f>
        <v>2</v>
      </c>
      <c r="L4525" s="308">
        <f>IFERROR(__xludf.DUMMYFUNCTION("""COMPUTED_VALUE"""),2015.0)</f>
        <v>2015</v>
      </c>
      <c r="M4525" s="308" t="s">
        <v>18273</v>
      </c>
      <c r="N4525" s="308"/>
      <c r="O4525" s="308"/>
      <c r="P4525" s="308" t="s">
        <v>18274</v>
      </c>
      <c r="Q4525" s="308" t="s">
        <v>37727</v>
      </c>
      <c r="R4525" s="308" t="s">
        <v>16185</v>
      </c>
      <c r="S4525" s="308" t="s">
        <v>49</v>
      </c>
      <c r="T4525" s="308" t="s">
        <v>51</v>
      </c>
      <c r="U4525" s="308" t="s">
        <v>143</v>
      </c>
      <c r="V4525" s="312"/>
    </row>
    <row r="4526">
      <c r="A4526" s="308">
        <v>4525.0</v>
      </c>
      <c r="B4526" s="308"/>
      <c r="C4526" s="308" t="s">
        <v>18275</v>
      </c>
      <c r="D4526" s="308">
        <f>IFERROR(__xludf.DUMMYFUNCTION("SPLIT(C4526,""-"")"),4546.0)</f>
        <v>4546</v>
      </c>
      <c r="E4526" s="308" t="str">
        <f>IFERROR(__xludf.DUMMYFUNCTION("""COMPUTED_VALUE"""),"P")</f>
        <v>P</v>
      </c>
      <c r="F4526" s="312" t="s">
        <v>37</v>
      </c>
      <c r="G4526" s="308"/>
      <c r="H4526" s="308" t="s">
        <v>18276</v>
      </c>
      <c r="I4526" s="310">
        <v>43044.0</v>
      </c>
      <c r="J4526" s="319">
        <f>IFERROR(__xludf.DUMMYFUNCTION("SPLIT(I4526,""/"")"),5.0)</f>
        <v>5</v>
      </c>
      <c r="K4526" s="308">
        <f>IFERROR(__xludf.DUMMYFUNCTION("""COMPUTED_VALUE"""),11.0)</f>
        <v>11</v>
      </c>
      <c r="L4526" s="308">
        <f>IFERROR(__xludf.DUMMYFUNCTION("""COMPUTED_VALUE"""),2017.0)</f>
        <v>2017</v>
      </c>
      <c r="M4526" s="308" t="s">
        <v>18277</v>
      </c>
      <c r="N4526" s="308"/>
      <c r="O4526" s="308" t="s">
        <v>18278</v>
      </c>
      <c r="P4526" s="308" t="s">
        <v>18279</v>
      </c>
      <c r="Q4526" s="308" t="s">
        <v>37727</v>
      </c>
      <c r="R4526" s="308" t="s">
        <v>16185</v>
      </c>
      <c r="S4526" s="308" t="s">
        <v>81</v>
      </c>
      <c r="T4526" s="311" t="s">
        <v>51</v>
      </c>
      <c r="U4526" s="308" t="s">
        <v>143</v>
      </c>
      <c r="V4526" s="312"/>
    </row>
    <row r="4527">
      <c r="A4527" s="308">
        <v>4526.0</v>
      </c>
      <c r="B4527" s="308"/>
      <c r="C4527" s="308" t="s">
        <v>18280</v>
      </c>
      <c r="D4527" s="308">
        <f>IFERROR(__xludf.DUMMYFUNCTION("SPLIT(C4527,""-"")"),4547.0)</f>
        <v>4547</v>
      </c>
      <c r="E4527" s="308" t="str">
        <f>IFERROR(__xludf.DUMMYFUNCTION("""COMPUTED_VALUE"""),"P")</f>
        <v>P</v>
      </c>
      <c r="F4527" s="312" t="s">
        <v>37</v>
      </c>
      <c r="G4527" s="308"/>
      <c r="H4527" s="308" t="s">
        <v>18281</v>
      </c>
      <c r="I4527" s="310">
        <v>43001.0</v>
      </c>
      <c r="J4527" s="319">
        <f>IFERROR(__xludf.DUMMYFUNCTION("SPLIT(I4527,""/"")"),23.0)</f>
        <v>23</v>
      </c>
      <c r="K4527" s="308">
        <f>IFERROR(__xludf.DUMMYFUNCTION("""COMPUTED_VALUE"""),9.0)</f>
        <v>9</v>
      </c>
      <c r="L4527" s="308">
        <f>IFERROR(__xludf.DUMMYFUNCTION("""COMPUTED_VALUE"""),2017.0)</f>
        <v>2017</v>
      </c>
      <c r="M4527" s="308" t="s">
        <v>18282</v>
      </c>
      <c r="N4527" s="308"/>
      <c r="O4527" s="308"/>
      <c r="P4527" s="308" t="s">
        <v>37734</v>
      </c>
      <c r="Q4527" s="308" t="s">
        <v>37727</v>
      </c>
      <c r="R4527" s="308" t="s">
        <v>16185</v>
      </c>
      <c r="S4527" s="308" t="s">
        <v>81</v>
      </c>
      <c r="T4527" s="308" t="s">
        <v>75</v>
      </c>
      <c r="U4527" s="308" t="s">
        <v>149</v>
      </c>
      <c r="V4527" s="312"/>
    </row>
    <row r="4528">
      <c r="A4528" s="308">
        <v>4527.0</v>
      </c>
      <c r="B4528" s="308"/>
      <c r="C4528" s="308" t="s">
        <v>18284</v>
      </c>
      <c r="D4528" s="308">
        <f>IFERROR(__xludf.DUMMYFUNCTION("SPLIT(C4528,""-"")"),4548.0)</f>
        <v>4548</v>
      </c>
      <c r="E4528" s="308" t="str">
        <f>IFERROR(__xludf.DUMMYFUNCTION("""COMPUTED_VALUE"""),"P")</f>
        <v>P</v>
      </c>
      <c r="F4528" s="312" t="s">
        <v>37</v>
      </c>
      <c r="G4528" s="308"/>
      <c r="H4528" s="308" t="s">
        <v>18285</v>
      </c>
      <c r="I4528" s="310">
        <v>42926.0</v>
      </c>
      <c r="J4528" s="319">
        <f>IFERROR(__xludf.DUMMYFUNCTION("SPLIT(I4528,""/"")"),10.0)</f>
        <v>10</v>
      </c>
      <c r="K4528" s="308">
        <f>IFERROR(__xludf.DUMMYFUNCTION("""COMPUTED_VALUE"""),7.0)</f>
        <v>7</v>
      </c>
      <c r="L4528" s="308">
        <f>IFERROR(__xludf.DUMMYFUNCTION("""COMPUTED_VALUE"""),2017.0)</f>
        <v>2017</v>
      </c>
      <c r="M4528" s="308" t="s">
        <v>18286</v>
      </c>
      <c r="N4528" s="308"/>
      <c r="O4528" s="308"/>
      <c r="P4528" s="308" t="s">
        <v>18287</v>
      </c>
      <c r="Q4528" s="308" t="s">
        <v>37727</v>
      </c>
      <c r="R4528" s="308" t="s">
        <v>16185</v>
      </c>
      <c r="S4528" s="308" t="s">
        <v>81</v>
      </c>
      <c r="T4528" s="308" t="s">
        <v>73</v>
      </c>
      <c r="U4528" s="308" t="s">
        <v>18270</v>
      </c>
      <c r="V4528" s="312"/>
    </row>
    <row r="4529">
      <c r="A4529" s="308">
        <v>4528.0</v>
      </c>
      <c r="B4529" s="308"/>
      <c r="C4529" s="308" t="s">
        <v>18288</v>
      </c>
      <c r="D4529" s="308">
        <f>IFERROR(__xludf.DUMMYFUNCTION("SPLIT(C4529,""-"")"),4549.0)</f>
        <v>4549</v>
      </c>
      <c r="E4529" s="308" t="str">
        <f>IFERROR(__xludf.DUMMYFUNCTION("""COMPUTED_VALUE"""),"P")</f>
        <v>P</v>
      </c>
      <c r="F4529" s="312" t="s">
        <v>37</v>
      </c>
      <c r="G4529" s="308"/>
      <c r="H4529" s="308" t="s">
        <v>18289</v>
      </c>
      <c r="I4529" s="310">
        <v>42871.0</v>
      </c>
      <c r="J4529" s="319">
        <f>IFERROR(__xludf.DUMMYFUNCTION("SPLIT(I4529,""/"")"),16.0)</f>
        <v>16</v>
      </c>
      <c r="K4529" s="308">
        <f>IFERROR(__xludf.DUMMYFUNCTION("""COMPUTED_VALUE"""),5.0)</f>
        <v>5</v>
      </c>
      <c r="L4529" s="308">
        <f>IFERROR(__xludf.DUMMYFUNCTION("""COMPUTED_VALUE"""),2017.0)</f>
        <v>2017</v>
      </c>
      <c r="M4529" s="308" t="s">
        <v>18290</v>
      </c>
      <c r="N4529" s="308"/>
      <c r="O4529" s="308" t="s">
        <v>18291</v>
      </c>
      <c r="P4529" s="308" t="s">
        <v>37735</v>
      </c>
      <c r="Q4529" s="308" t="s">
        <v>37727</v>
      </c>
      <c r="R4529" s="308" t="s">
        <v>2743</v>
      </c>
      <c r="S4529" s="308" t="s">
        <v>81</v>
      </c>
      <c r="T4529" s="308" t="s">
        <v>75</v>
      </c>
      <c r="U4529" s="308" t="s">
        <v>1664</v>
      </c>
      <c r="V4529" s="312"/>
    </row>
    <row r="4530">
      <c r="A4530" s="308">
        <v>4529.0</v>
      </c>
      <c r="B4530" s="308"/>
      <c r="C4530" s="308" t="s">
        <v>18293</v>
      </c>
      <c r="D4530" s="308">
        <f>IFERROR(__xludf.DUMMYFUNCTION("SPLIT(C4530,""-"")"),4550.0)</f>
        <v>4550</v>
      </c>
      <c r="E4530" s="308" t="str">
        <f>IFERROR(__xludf.DUMMYFUNCTION("""COMPUTED_VALUE"""),"P")</f>
        <v>P</v>
      </c>
      <c r="F4530" s="312" t="s">
        <v>37</v>
      </c>
      <c r="G4530" s="308"/>
      <c r="H4530" s="308" t="s">
        <v>18294</v>
      </c>
      <c r="I4530" s="314">
        <v>43062.0</v>
      </c>
      <c r="J4530" s="319">
        <f>IFERROR(__xludf.DUMMYFUNCTION("SPLIT(I4530,""/"")"),23.0)</f>
        <v>23</v>
      </c>
      <c r="K4530" s="308">
        <f>IFERROR(__xludf.DUMMYFUNCTION("""COMPUTED_VALUE"""),11.0)</f>
        <v>11</v>
      </c>
      <c r="L4530" s="308">
        <f>IFERROR(__xludf.DUMMYFUNCTION("""COMPUTED_VALUE"""),2017.0)</f>
        <v>2017</v>
      </c>
      <c r="M4530" s="308" t="s">
        <v>18295</v>
      </c>
      <c r="N4530" s="308"/>
      <c r="O4530" s="308"/>
      <c r="P4530" s="308" t="s">
        <v>37736</v>
      </c>
      <c r="Q4530" s="308" t="s">
        <v>37727</v>
      </c>
      <c r="R4530" s="308" t="s">
        <v>2743</v>
      </c>
      <c r="S4530" s="308" t="s">
        <v>81</v>
      </c>
      <c r="T4530" s="308" t="s">
        <v>75</v>
      </c>
      <c r="U4530" s="308"/>
      <c r="V4530" s="312"/>
    </row>
    <row r="4531">
      <c r="A4531" s="308">
        <v>4530.0</v>
      </c>
      <c r="B4531" s="308"/>
      <c r="C4531" s="308" t="s">
        <v>18297</v>
      </c>
      <c r="D4531" s="308">
        <f>IFERROR(__xludf.DUMMYFUNCTION("SPLIT(C4531,""-"")"),4551.0)</f>
        <v>4551</v>
      </c>
      <c r="E4531" s="308" t="str">
        <f>IFERROR(__xludf.DUMMYFUNCTION("""COMPUTED_VALUE"""),"P")</f>
        <v>P</v>
      </c>
      <c r="F4531" s="312" t="s">
        <v>37</v>
      </c>
      <c r="G4531" s="308"/>
      <c r="H4531" s="308" t="s">
        <v>18298</v>
      </c>
      <c r="I4531" s="310">
        <v>42864.0</v>
      </c>
      <c r="J4531" s="319">
        <f>IFERROR(__xludf.DUMMYFUNCTION("SPLIT(I4531,""/"")"),9.0)</f>
        <v>9</v>
      </c>
      <c r="K4531" s="308">
        <f>IFERROR(__xludf.DUMMYFUNCTION("""COMPUTED_VALUE"""),5.0)</f>
        <v>5</v>
      </c>
      <c r="L4531" s="308">
        <f>IFERROR(__xludf.DUMMYFUNCTION("""COMPUTED_VALUE"""),2017.0)</f>
        <v>2017</v>
      </c>
      <c r="M4531" s="308" t="s">
        <v>37737</v>
      </c>
      <c r="N4531" s="308"/>
      <c r="O4531" s="308"/>
      <c r="P4531" s="308" t="s">
        <v>18300</v>
      </c>
      <c r="Q4531" s="308" t="s">
        <v>37727</v>
      </c>
      <c r="R4531" s="308" t="s">
        <v>2743</v>
      </c>
      <c r="S4531" s="308" t="s">
        <v>81</v>
      </c>
      <c r="T4531" s="308" t="s">
        <v>75</v>
      </c>
      <c r="U4531" s="308" t="s">
        <v>4273</v>
      </c>
      <c r="V4531" s="312"/>
    </row>
    <row r="4532">
      <c r="A4532" s="308">
        <v>4531.0</v>
      </c>
      <c r="B4532" s="308"/>
      <c r="C4532" s="308" t="s">
        <v>18301</v>
      </c>
      <c r="D4532" s="308">
        <f>IFERROR(__xludf.DUMMYFUNCTION("SPLIT(C4532,""-"")"),4552.0)</f>
        <v>4552</v>
      </c>
      <c r="E4532" s="308" t="str">
        <f>IFERROR(__xludf.DUMMYFUNCTION("""COMPUTED_VALUE"""),"P")</f>
        <v>P</v>
      </c>
      <c r="F4532" s="312" t="s">
        <v>37</v>
      </c>
      <c r="G4532" s="308"/>
      <c r="H4532" s="308" t="s">
        <v>18302</v>
      </c>
      <c r="I4532" s="314">
        <v>43062.0</v>
      </c>
      <c r="J4532" s="319">
        <f>IFERROR(__xludf.DUMMYFUNCTION("SPLIT(I4532,""/"")"),23.0)</f>
        <v>23</v>
      </c>
      <c r="K4532" s="308">
        <f>IFERROR(__xludf.DUMMYFUNCTION("""COMPUTED_VALUE"""),11.0)</f>
        <v>11</v>
      </c>
      <c r="L4532" s="308">
        <f>IFERROR(__xludf.DUMMYFUNCTION("""COMPUTED_VALUE"""),2017.0)</f>
        <v>2017</v>
      </c>
      <c r="M4532" s="308" t="s">
        <v>18303</v>
      </c>
      <c r="N4532" s="308"/>
      <c r="O4532" s="308"/>
      <c r="P4532" s="308" t="s">
        <v>37738</v>
      </c>
      <c r="Q4532" s="308" t="s">
        <v>37727</v>
      </c>
      <c r="R4532" s="308" t="s">
        <v>2743</v>
      </c>
      <c r="S4532" s="308" t="s">
        <v>81</v>
      </c>
      <c r="T4532" s="308" t="s">
        <v>75</v>
      </c>
      <c r="U4532" s="308" t="s">
        <v>3690</v>
      </c>
      <c r="V4532" s="312"/>
    </row>
    <row r="4533">
      <c r="A4533" s="308">
        <v>4532.0</v>
      </c>
      <c r="B4533" s="308"/>
      <c r="C4533" s="308" t="s">
        <v>18305</v>
      </c>
      <c r="D4533" s="308">
        <f>IFERROR(__xludf.DUMMYFUNCTION("SPLIT(C4533,""-"")"),4553.0)</f>
        <v>4553</v>
      </c>
      <c r="E4533" s="308" t="str">
        <f>IFERROR(__xludf.DUMMYFUNCTION("""COMPUTED_VALUE"""),"P")</f>
        <v>P</v>
      </c>
      <c r="F4533" s="312" t="s">
        <v>37</v>
      </c>
      <c r="G4533" s="308"/>
      <c r="H4533" s="308" t="s">
        <v>18306</v>
      </c>
      <c r="I4533" s="314">
        <v>43067.0</v>
      </c>
      <c r="J4533" s="319">
        <f>IFERROR(__xludf.DUMMYFUNCTION("SPLIT(I4533,""/"")"),28.0)</f>
        <v>28</v>
      </c>
      <c r="K4533" s="308">
        <f>IFERROR(__xludf.DUMMYFUNCTION("""COMPUTED_VALUE"""),11.0)</f>
        <v>11</v>
      </c>
      <c r="L4533" s="308">
        <f>IFERROR(__xludf.DUMMYFUNCTION("""COMPUTED_VALUE"""),2017.0)</f>
        <v>2017</v>
      </c>
      <c r="M4533" s="308" t="s">
        <v>37739</v>
      </c>
      <c r="N4533" s="308"/>
      <c r="O4533" s="308" t="s">
        <v>18308</v>
      </c>
      <c r="P4533" s="308" t="s">
        <v>18309</v>
      </c>
      <c r="Q4533" s="308" t="s">
        <v>37727</v>
      </c>
      <c r="R4533" s="308" t="s">
        <v>2743</v>
      </c>
      <c r="S4533" s="308" t="s">
        <v>81</v>
      </c>
      <c r="T4533" s="308" t="s">
        <v>73</v>
      </c>
      <c r="U4533" s="308" t="s">
        <v>143</v>
      </c>
      <c r="V4533" s="312"/>
    </row>
    <row r="4534">
      <c r="A4534" s="308">
        <v>4533.0</v>
      </c>
      <c r="B4534" s="308"/>
      <c r="C4534" s="308" t="s">
        <v>18310</v>
      </c>
      <c r="D4534" s="308">
        <f>IFERROR(__xludf.DUMMYFUNCTION("SPLIT(C4534,""-"")"),4554.0)</f>
        <v>4554</v>
      </c>
      <c r="E4534" s="308" t="str">
        <f>IFERROR(__xludf.DUMMYFUNCTION("""COMPUTED_VALUE"""),"P")</f>
        <v>P</v>
      </c>
      <c r="F4534" s="312" t="s">
        <v>37</v>
      </c>
      <c r="G4534" s="308"/>
      <c r="H4534" s="308" t="s">
        <v>18311</v>
      </c>
      <c r="I4534" s="314">
        <v>43062.0</v>
      </c>
      <c r="J4534" s="319">
        <f>IFERROR(__xludf.DUMMYFUNCTION("SPLIT(I4534,""/"")"),23.0)</f>
        <v>23</v>
      </c>
      <c r="K4534" s="308">
        <f>IFERROR(__xludf.DUMMYFUNCTION("""COMPUTED_VALUE"""),11.0)</f>
        <v>11</v>
      </c>
      <c r="L4534" s="308">
        <f>IFERROR(__xludf.DUMMYFUNCTION("""COMPUTED_VALUE"""),2017.0)</f>
        <v>2017</v>
      </c>
      <c r="M4534" s="308" t="s">
        <v>18312</v>
      </c>
      <c r="N4534" s="308"/>
      <c r="O4534" s="308"/>
      <c r="P4534" s="308" t="s">
        <v>37740</v>
      </c>
      <c r="Q4534" s="308" t="s">
        <v>37727</v>
      </c>
      <c r="R4534" s="308" t="s">
        <v>2743</v>
      </c>
      <c r="S4534" s="308" t="s">
        <v>81</v>
      </c>
      <c r="T4534" s="308" t="s">
        <v>75</v>
      </c>
      <c r="U4534" s="308" t="s">
        <v>3690</v>
      </c>
      <c r="V4534" s="312"/>
    </row>
    <row r="4535">
      <c r="A4535" s="308">
        <v>4534.0</v>
      </c>
      <c r="B4535" s="308"/>
      <c r="C4535" s="308" t="s">
        <v>18314</v>
      </c>
      <c r="D4535" s="308">
        <f>IFERROR(__xludf.DUMMYFUNCTION("SPLIT(C4535,""-"")"),4555.0)</f>
        <v>4555</v>
      </c>
      <c r="E4535" s="308" t="str">
        <f>IFERROR(__xludf.DUMMYFUNCTION("""COMPUTED_VALUE"""),"P")</f>
        <v>P</v>
      </c>
      <c r="F4535" s="312" t="s">
        <v>37</v>
      </c>
      <c r="G4535" s="308"/>
      <c r="H4535" s="308" t="s">
        <v>18315</v>
      </c>
      <c r="I4535" s="310">
        <v>42863.0</v>
      </c>
      <c r="J4535" s="319">
        <f>IFERROR(__xludf.DUMMYFUNCTION("SPLIT(I4535,""/"")"),8.0)</f>
        <v>8</v>
      </c>
      <c r="K4535" s="308">
        <f>IFERROR(__xludf.DUMMYFUNCTION("""COMPUTED_VALUE"""),5.0)</f>
        <v>5</v>
      </c>
      <c r="L4535" s="308">
        <f>IFERROR(__xludf.DUMMYFUNCTION("""COMPUTED_VALUE"""),2017.0)</f>
        <v>2017</v>
      </c>
      <c r="M4535" s="308" t="s">
        <v>18316</v>
      </c>
      <c r="N4535" s="308"/>
      <c r="O4535" s="308" t="s">
        <v>18317</v>
      </c>
      <c r="P4535" s="308" t="s">
        <v>18318</v>
      </c>
      <c r="Q4535" s="308" t="s">
        <v>37727</v>
      </c>
      <c r="R4535" s="308" t="s">
        <v>2743</v>
      </c>
      <c r="S4535" s="308" t="s">
        <v>81</v>
      </c>
      <c r="T4535" s="311" t="s">
        <v>96</v>
      </c>
      <c r="U4535" s="308" t="s">
        <v>1664</v>
      </c>
      <c r="V4535" s="308" t="s">
        <v>18319</v>
      </c>
    </row>
    <row r="4536">
      <c r="A4536" s="308">
        <v>4535.0</v>
      </c>
      <c r="B4536" s="308"/>
      <c r="C4536" s="308" t="s">
        <v>18320</v>
      </c>
      <c r="D4536" s="308">
        <f>IFERROR(__xludf.DUMMYFUNCTION("SPLIT(C4536,""-"")"),4556.0)</f>
        <v>4556</v>
      </c>
      <c r="E4536" s="308" t="str">
        <f>IFERROR(__xludf.DUMMYFUNCTION("""COMPUTED_VALUE"""),"P")</f>
        <v>P</v>
      </c>
      <c r="F4536" s="312" t="s">
        <v>37</v>
      </c>
      <c r="G4536" s="308"/>
      <c r="H4536" s="308" t="s">
        <v>18321</v>
      </c>
      <c r="I4536" s="310">
        <v>42871.0</v>
      </c>
      <c r="J4536" s="319">
        <f>IFERROR(__xludf.DUMMYFUNCTION("SPLIT(I4536,""/"")"),16.0)</f>
        <v>16</v>
      </c>
      <c r="K4536" s="308">
        <f>IFERROR(__xludf.DUMMYFUNCTION("""COMPUTED_VALUE"""),5.0)</f>
        <v>5</v>
      </c>
      <c r="L4536" s="308">
        <f>IFERROR(__xludf.DUMMYFUNCTION("""COMPUTED_VALUE"""),2017.0)</f>
        <v>2017</v>
      </c>
      <c r="M4536" s="308" t="s">
        <v>18322</v>
      </c>
      <c r="N4536" s="308"/>
      <c r="O4536" s="308" t="s">
        <v>18317</v>
      </c>
      <c r="P4536" s="308" t="s">
        <v>37741</v>
      </c>
      <c r="Q4536" s="308" t="s">
        <v>37727</v>
      </c>
      <c r="R4536" s="308" t="s">
        <v>2743</v>
      </c>
      <c r="S4536" s="308" t="s">
        <v>81</v>
      </c>
      <c r="T4536" s="311" t="s">
        <v>75</v>
      </c>
      <c r="U4536" s="308" t="s">
        <v>1664</v>
      </c>
      <c r="V4536" s="312"/>
    </row>
    <row r="4537">
      <c r="A4537" s="308">
        <v>4536.0</v>
      </c>
      <c r="B4537" s="308"/>
      <c r="C4537" s="308" t="s">
        <v>18324</v>
      </c>
      <c r="D4537" s="308">
        <f>IFERROR(__xludf.DUMMYFUNCTION("SPLIT(C4537,""-"")"),4557.0)</f>
        <v>4557</v>
      </c>
      <c r="E4537" s="308" t="str">
        <f>IFERROR(__xludf.DUMMYFUNCTION("""COMPUTED_VALUE"""),"B")</f>
        <v>B</v>
      </c>
      <c r="F4537" s="315" t="s">
        <v>26</v>
      </c>
      <c r="G4537" s="308"/>
      <c r="H4537" s="308" t="s">
        <v>18325</v>
      </c>
      <c r="I4537" s="310">
        <v>42897.0</v>
      </c>
      <c r="J4537" s="319">
        <f>IFERROR(__xludf.DUMMYFUNCTION("SPLIT(I4537,""/"")"),11.0)</f>
        <v>11</v>
      </c>
      <c r="K4537" s="308">
        <f>IFERROR(__xludf.DUMMYFUNCTION("""COMPUTED_VALUE"""),6.0)</f>
        <v>6</v>
      </c>
      <c r="L4537" s="308">
        <f>IFERROR(__xludf.DUMMYFUNCTION("""COMPUTED_VALUE"""),2017.0)</f>
        <v>2017</v>
      </c>
      <c r="M4537" s="308" t="s">
        <v>18326</v>
      </c>
      <c r="N4537" s="308"/>
      <c r="O4537" s="308"/>
      <c r="P4537" s="308" t="s">
        <v>18327</v>
      </c>
      <c r="Q4537" s="308" t="s">
        <v>37727</v>
      </c>
      <c r="R4537" s="308" t="s">
        <v>13542</v>
      </c>
      <c r="S4537" s="308" t="s">
        <v>81</v>
      </c>
      <c r="T4537" s="308" t="s">
        <v>75</v>
      </c>
      <c r="U4537" s="308" t="s">
        <v>27</v>
      </c>
      <c r="V4537" s="312"/>
    </row>
    <row r="4538">
      <c r="A4538" s="308">
        <v>4537.0</v>
      </c>
      <c r="B4538" s="308"/>
      <c r="C4538" s="308" t="s">
        <v>18328</v>
      </c>
      <c r="D4538" s="308">
        <f>IFERROR(__xludf.DUMMYFUNCTION("SPLIT(C4538,""-"")"),4558.0)</f>
        <v>4558</v>
      </c>
      <c r="E4538" s="308" t="str">
        <f>IFERROR(__xludf.DUMMYFUNCTION("""COMPUTED_VALUE"""),"B")</f>
        <v>B</v>
      </c>
      <c r="F4538" s="315" t="s">
        <v>26</v>
      </c>
      <c r="G4538" s="308"/>
      <c r="H4538" s="308" t="s">
        <v>18329</v>
      </c>
      <c r="I4538" s="310">
        <v>42209.0</v>
      </c>
      <c r="J4538" s="319">
        <f>IFERROR(__xludf.DUMMYFUNCTION("SPLIT(I4538,""/"")"),24.0)</f>
        <v>24</v>
      </c>
      <c r="K4538" s="308">
        <f>IFERROR(__xludf.DUMMYFUNCTION("""COMPUTED_VALUE"""),7.0)</f>
        <v>7</v>
      </c>
      <c r="L4538" s="308">
        <f>IFERROR(__xludf.DUMMYFUNCTION("""COMPUTED_VALUE"""),2015.0)</f>
        <v>2015</v>
      </c>
      <c r="M4538" s="308" t="s">
        <v>18330</v>
      </c>
      <c r="N4538" s="308"/>
      <c r="O4538" s="308"/>
      <c r="P4538" s="308" t="s">
        <v>18331</v>
      </c>
      <c r="Q4538" s="308" t="s">
        <v>37727</v>
      </c>
      <c r="R4538" s="308" t="s">
        <v>13542</v>
      </c>
      <c r="S4538" s="308" t="s">
        <v>81</v>
      </c>
      <c r="T4538" s="308" t="s">
        <v>75</v>
      </c>
      <c r="U4538" s="308" t="s">
        <v>27</v>
      </c>
      <c r="V4538" s="312"/>
    </row>
    <row r="4539">
      <c r="A4539" s="308">
        <v>4538.0</v>
      </c>
      <c r="B4539" s="308"/>
      <c r="C4539" s="308" t="s">
        <v>18332</v>
      </c>
      <c r="D4539" s="308">
        <f>IFERROR(__xludf.DUMMYFUNCTION("SPLIT(C4539,""-"")"),4559.0)</f>
        <v>4559</v>
      </c>
      <c r="E4539" s="308" t="str">
        <f>IFERROR(__xludf.DUMMYFUNCTION("""COMPUTED_VALUE"""),"K")</f>
        <v>K</v>
      </c>
      <c r="F4539" s="309" t="s">
        <v>34</v>
      </c>
      <c r="G4539" s="308"/>
      <c r="H4539" s="308" t="s">
        <v>18333</v>
      </c>
      <c r="I4539" s="310">
        <v>41303.0</v>
      </c>
      <c r="J4539" s="319">
        <f>IFERROR(__xludf.DUMMYFUNCTION("SPLIT(I4539,""/"")"),29.0)</f>
        <v>29</v>
      </c>
      <c r="K4539" s="308">
        <f>IFERROR(__xludf.DUMMYFUNCTION("""COMPUTED_VALUE"""),1.0)</f>
        <v>1</v>
      </c>
      <c r="L4539" s="308">
        <f>IFERROR(__xludf.DUMMYFUNCTION("""COMPUTED_VALUE"""),2013.0)</f>
        <v>2013</v>
      </c>
      <c r="M4539" s="308" t="s">
        <v>18334</v>
      </c>
      <c r="N4539" s="308"/>
      <c r="O4539" s="308"/>
      <c r="P4539" s="308" t="s">
        <v>2872</v>
      </c>
      <c r="Q4539" s="308" t="s">
        <v>37742</v>
      </c>
      <c r="R4539" s="308" t="s">
        <v>2743</v>
      </c>
      <c r="S4539" s="315" t="s">
        <v>100</v>
      </c>
      <c r="T4539" s="311" t="s">
        <v>34208</v>
      </c>
      <c r="U4539" s="308" t="s">
        <v>125</v>
      </c>
      <c r="V4539" s="312"/>
    </row>
    <row r="4540">
      <c r="A4540" s="308">
        <v>4539.0</v>
      </c>
      <c r="B4540" s="308"/>
      <c r="C4540" s="308" t="s">
        <v>18335</v>
      </c>
      <c r="D4540" s="308">
        <f>IFERROR(__xludf.DUMMYFUNCTION("SPLIT(C4540,""-"")"),4560.0)</f>
        <v>4560</v>
      </c>
      <c r="E4540" s="308" t="str">
        <f>IFERROR(__xludf.DUMMYFUNCTION("""COMPUTED_VALUE"""),"P")</f>
        <v>P</v>
      </c>
      <c r="F4540" s="312" t="s">
        <v>37</v>
      </c>
      <c r="G4540" s="308"/>
      <c r="H4540" s="308" t="s">
        <v>18336</v>
      </c>
      <c r="I4540" s="314">
        <v>42734.0</v>
      </c>
      <c r="J4540" s="319">
        <f>IFERROR(__xludf.DUMMYFUNCTION("SPLIT(I4540,""/"")"),30.0)</f>
        <v>30</v>
      </c>
      <c r="K4540" s="308">
        <f>IFERROR(__xludf.DUMMYFUNCTION("""COMPUTED_VALUE"""),12.0)</f>
        <v>12</v>
      </c>
      <c r="L4540" s="308">
        <f>IFERROR(__xludf.DUMMYFUNCTION("""COMPUTED_VALUE"""),2016.0)</f>
        <v>2016</v>
      </c>
      <c r="M4540" s="308" t="s">
        <v>18337</v>
      </c>
      <c r="N4540" s="308"/>
      <c r="O4540" s="308" t="s">
        <v>18338</v>
      </c>
      <c r="P4540" s="308" t="s">
        <v>37743</v>
      </c>
      <c r="Q4540" s="308" t="s">
        <v>37742</v>
      </c>
      <c r="R4540" s="308" t="s">
        <v>2743</v>
      </c>
      <c r="S4540" s="308" t="s">
        <v>81</v>
      </c>
      <c r="T4540" s="308" t="s">
        <v>73</v>
      </c>
      <c r="U4540" s="308" t="s">
        <v>143</v>
      </c>
      <c r="V4540" s="312"/>
    </row>
    <row r="4541">
      <c r="A4541" s="308">
        <v>4540.0</v>
      </c>
      <c r="B4541" s="308"/>
      <c r="C4541" s="308" t="s">
        <v>18340</v>
      </c>
      <c r="D4541" s="308">
        <f>IFERROR(__xludf.DUMMYFUNCTION("SPLIT(C4541,""-"")"),4561.0)</f>
        <v>4561</v>
      </c>
      <c r="E4541" s="308" t="str">
        <f>IFERROR(__xludf.DUMMYFUNCTION("""COMPUTED_VALUE"""),"S")</f>
        <v>S</v>
      </c>
      <c r="F4541" s="312" t="s">
        <v>39</v>
      </c>
      <c r="G4541" s="308"/>
      <c r="H4541" s="308" t="s">
        <v>18341</v>
      </c>
      <c r="I4541" s="310">
        <v>41821.0</v>
      </c>
      <c r="J4541" s="319">
        <f>IFERROR(__xludf.DUMMYFUNCTION("SPLIT(I4541,""/"")"),1.0)</f>
        <v>1</v>
      </c>
      <c r="K4541" s="308">
        <f>IFERROR(__xludf.DUMMYFUNCTION("""COMPUTED_VALUE"""),7.0)</f>
        <v>7</v>
      </c>
      <c r="L4541" s="308">
        <f>IFERROR(__xludf.DUMMYFUNCTION("""COMPUTED_VALUE"""),2014.0)</f>
        <v>2014</v>
      </c>
      <c r="M4541" s="308" t="s">
        <v>37744</v>
      </c>
      <c r="N4541" s="308"/>
      <c r="O4541" s="308"/>
      <c r="P4541" s="308" t="s">
        <v>18343</v>
      </c>
      <c r="Q4541" s="308" t="s">
        <v>37742</v>
      </c>
      <c r="R4541" s="308" t="s">
        <v>2743</v>
      </c>
      <c r="S4541" s="308" t="s">
        <v>81</v>
      </c>
      <c r="T4541" s="308" t="s">
        <v>34264</v>
      </c>
      <c r="U4541" s="308" t="s">
        <v>166</v>
      </c>
      <c r="V4541" s="312"/>
    </row>
    <row r="4542">
      <c r="A4542" s="308">
        <v>4541.0</v>
      </c>
      <c r="B4542" s="308"/>
      <c r="C4542" s="308" t="s">
        <v>18344</v>
      </c>
      <c r="D4542" s="308">
        <f>IFERROR(__xludf.DUMMYFUNCTION("SPLIT(C4542,""-"")"),4562.0)</f>
        <v>4562</v>
      </c>
      <c r="E4542" s="308" t="str">
        <f>IFERROR(__xludf.DUMMYFUNCTION("""COMPUTED_VALUE"""),"K")</f>
        <v>K</v>
      </c>
      <c r="F4542" s="309" t="s">
        <v>34</v>
      </c>
      <c r="G4542" s="308"/>
      <c r="H4542" s="308" t="s">
        <v>18345</v>
      </c>
      <c r="I4542" s="310">
        <v>41912.0</v>
      </c>
      <c r="J4542" s="319">
        <f>IFERROR(__xludf.DUMMYFUNCTION("SPLIT(I4542,""/"")"),30.0)</f>
        <v>30</v>
      </c>
      <c r="K4542" s="308">
        <f>IFERROR(__xludf.DUMMYFUNCTION("""COMPUTED_VALUE"""),9.0)</f>
        <v>9</v>
      </c>
      <c r="L4542" s="308">
        <f>IFERROR(__xludf.DUMMYFUNCTION("""COMPUTED_VALUE"""),2014.0)</f>
        <v>2014</v>
      </c>
      <c r="M4542" s="308" t="s">
        <v>18346</v>
      </c>
      <c r="N4542" s="308"/>
      <c r="O4542" s="308"/>
      <c r="P4542" s="308" t="s">
        <v>2872</v>
      </c>
      <c r="Q4542" s="308" t="s">
        <v>37742</v>
      </c>
      <c r="R4542" s="308" t="s">
        <v>17400</v>
      </c>
      <c r="S4542" s="315" t="s">
        <v>100</v>
      </c>
      <c r="T4542" s="311" t="s">
        <v>34208</v>
      </c>
      <c r="U4542" s="308" t="s">
        <v>125</v>
      </c>
      <c r="V4542" s="312"/>
    </row>
    <row r="4543">
      <c r="A4543" s="308">
        <v>4542.0</v>
      </c>
      <c r="B4543" s="308"/>
      <c r="C4543" s="308" t="s">
        <v>18347</v>
      </c>
      <c r="D4543" s="308">
        <f>IFERROR(__xludf.DUMMYFUNCTION("SPLIT(C4543,""-"")"),4563.0)</f>
        <v>4563</v>
      </c>
      <c r="E4543" s="308" t="str">
        <f>IFERROR(__xludf.DUMMYFUNCTION("""COMPUTED_VALUE"""),"F")</f>
        <v>F</v>
      </c>
      <c r="F4543" s="309" t="s">
        <v>34</v>
      </c>
      <c r="G4543" s="308"/>
      <c r="H4543" s="308" t="s">
        <v>18348</v>
      </c>
      <c r="I4543" s="310">
        <v>40725.0</v>
      </c>
      <c r="J4543" s="319">
        <f>IFERROR(__xludf.DUMMYFUNCTION("SPLIT(I4543,""/"")"),1.0)</f>
        <v>1</v>
      </c>
      <c r="K4543" s="308">
        <f>IFERROR(__xludf.DUMMYFUNCTION("""COMPUTED_VALUE"""),7.0)</f>
        <v>7</v>
      </c>
      <c r="L4543" s="308">
        <f>IFERROR(__xludf.DUMMYFUNCTION("""COMPUTED_VALUE"""),2011.0)</f>
        <v>2011</v>
      </c>
      <c r="M4543" s="308" t="s">
        <v>18349</v>
      </c>
      <c r="N4543" s="308"/>
      <c r="O4543" s="308"/>
      <c r="P4543" s="308" t="s">
        <v>37745</v>
      </c>
      <c r="Q4543" s="308" t="s">
        <v>37742</v>
      </c>
      <c r="R4543" s="308" t="s">
        <v>2743</v>
      </c>
      <c r="S4543" s="308" t="s">
        <v>81</v>
      </c>
      <c r="T4543" s="308" t="s">
        <v>34264</v>
      </c>
      <c r="U4543" s="308" t="s">
        <v>195</v>
      </c>
      <c r="V4543" s="312"/>
    </row>
    <row r="4544">
      <c r="A4544" s="308">
        <v>4543.0</v>
      </c>
      <c r="B4544" s="308"/>
      <c r="C4544" s="308" t="s">
        <v>37746</v>
      </c>
      <c r="D4544" s="308" t="str">
        <f>IFERROR(__xludf.DUMMYFUNCTION("SPLIT(C4544,""-"")"),"#REF!")</f>
        <v>#REF!</v>
      </c>
      <c r="E4544" s="311"/>
      <c r="F4544" s="309" t="s">
        <v>34</v>
      </c>
      <c r="G4544" s="308"/>
      <c r="H4544" s="308" t="s">
        <v>18352</v>
      </c>
      <c r="I4544" s="310">
        <v>41821.0</v>
      </c>
      <c r="J4544" s="319">
        <f>IFERROR(__xludf.DUMMYFUNCTION("SPLIT(I4544,""/"")"),1.0)</f>
        <v>1</v>
      </c>
      <c r="K4544" s="308">
        <f>IFERROR(__xludf.DUMMYFUNCTION("""COMPUTED_VALUE"""),7.0)</f>
        <v>7</v>
      </c>
      <c r="L4544" s="308">
        <f>IFERROR(__xludf.DUMMYFUNCTION("""COMPUTED_VALUE"""),2014.0)</f>
        <v>2014</v>
      </c>
      <c r="M4544" s="308" t="s">
        <v>18353</v>
      </c>
      <c r="N4544" s="308"/>
      <c r="O4544" s="308"/>
      <c r="P4544" s="308" t="s">
        <v>37747</v>
      </c>
      <c r="Q4544" s="308" t="s">
        <v>37742</v>
      </c>
      <c r="R4544" s="308" t="s">
        <v>2743</v>
      </c>
      <c r="S4544" s="308" t="s">
        <v>49</v>
      </c>
      <c r="T4544" s="311" t="s">
        <v>51</v>
      </c>
      <c r="U4544" s="308" t="s">
        <v>368</v>
      </c>
      <c r="V4544" s="312"/>
    </row>
    <row r="4545">
      <c r="A4545" s="308">
        <v>4544.0</v>
      </c>
      <c r="B4545" s="308"/>
      <c r="C4545" s="308" t="s">
        <v>18355</v>
      </c>
      <c r="D4545" s="308">
        <f>IFERROR(__xludf.DUMMYFUNCTION("SPLIT(C4545,""-"")"),4565.0)</f>
        <v>4565</v>
      </c>
      <c r="E4545" s="308" t="str">
        <f>IFERROR(__xludf.DUMMYFUNCTION("""COMPUTED_VALUE"""),"P")</f>
        <v>P</v>
      </c>
      <c r="F4545" s="312" t="s">
        <v>37</v>
      </c>
      <c r="G4545" s="308"/>
      <c r="H4545" s="308" t="s">
        <v>18356</v>
      </c>
      <c r="I4545" s="310">
        <v>40725.0</v>
      </c>
      <c r="J4545" s="319">
        <f>IFERROR(__xludf.DUMMYFUNCTION("SPLIT(I4545,""/"")"),1.0)</f>
        <v>1</v>
      </c>
      <c r="K4545" s="308">
        <f>IFERROR(__xludf.DUMMYFUNCTION("""COMPUTED_VALUE"""),7.0)</f>
        <v>7</v>
      </c>
      <c r="L4545" s="308">
        <f>IFERROR(__xludf.DUMMYFUNCTION("""COMPUTED_VALUE"""),2011.0)</f>
        <v>2011</v>
      </c>
      <c r="M4545" s="308" t="s">
        <v>18357</v>
      </c>
      <c r="N4545" s="308"/>
      <c r="O4545" s="308" t="s">
        <v>18358</v>
      </c>
      <c r="P4545" s="308" t="s">
        <v>4801</v>
      </c>
      <c r="Q4545" s="308" t="s">
        <v>37742</v>
      </c>
      <c r="R4545" s="308" t="s">
        <v>2743</v>
      </c>
      <c r="S4545" s="315" t="s">
        <v>100</v>
      </c>
      <c r="T4545" s="311" t="s">
        <v>34208</v>
      </c>
      <c r="U4545" s="308" t="s">
        <v>149</v>
      </c>
      <c r="V4545" s="312"/>
    </row>
    <row r="4546">
      <c r="A4546" s="308">
        <v>4545.0</v>
      </c>
      <c r="B4546" s="308"/>
      <c r="C4546" s="308" t="s">
        <v>18359</v>
      </c>
      <c r="D4546" s="308" t="str">
        <f>IFERROR(__xludf.DUMMYFUNCTION("SPLIT(C4546,""-"")"),"#REF!")</f>
        <v>#REF!</v>
      </c>
      <c r="E4546" s="311"/>
      <c r="F4546" s="317" t="s">
        <v>37</v>
      </c>
      <c r="G4546" s="308"/>
      <c r="H4546" s="308" t="s">
        <v>18360</v>
      </c>
      <c r="I4546" s="310">
        <v>43071.0</v>
      </c>
      <c r="J4546" s="319">
        <f>IFERROR(__xludf.DUMMYFUNCTION("SPLIT(I4546,""/"")"),2.0)</f>
        <v>2</v>
      </c>
      <c r="K4546" s="308">
        <f>IFERROR(__xludf.DUMMYFUNCTION("""COMPUTED_VALUE"""),12.0)</f>
        <v>12</v>
      </c>
      <c r="L4546" s="308">
        <f>IFERROR(__xludf.DUMMYFUNCTION("""COMPUTED_VALUE"""),2017.0)</f>
        <v>2017</v>
      </c>
      <c r="M4546" s="308" t="s">
        <v>37748</v>
      </c>
      <c r="N4546" s="308"/>
      <c r="O4546" s="308"/>
      <c r="P4546" s="308" t="s">
        <v>18362</v>
      </c>
      <c r="Q4546" s="308" t="s">
        <v>37742</v>
      </c>
      <c r="R4546" s="308" t="s">
        <v>2743</v>
      </c>
      <c r="S4546" s="308" t="s">
        <v>81</v>
      </c>
      <c r="T4546" s="308" t="s">
        <v>75</v>
      </c>
      <c r="U4546" s="308" t="s">
        <v>149</v>
      </c>
      <c r="V4546" s="312"/>
    </row>
    <row r="4547">
      <c r="A4547" s="308">
        <v>4546.0</v>
      </c>
      <c r="B4547" s="308"/>
      <c r="C4547" s="308" t="s">
        <v>18363</v>
      </c>
      <c r="D4547" s="308">
        <f>IFERROR(__xludf.DUMMYFUNCTION("SPLIT(C4547,""-"")"),4567.0)</f>
        <v>4567</v>
      </c>
      <c r="E4547" s="308" t="str">
        <f>IFERROR(__xludf.DUMMYFUNCTION("""COMPUTED_VALUE"""),"S")</f>
        <v>S</v>
      </c>
      <c r="F4547" s="312" t="s">
        <v>39</v>
      </c>
      <c r="G4547" s="308"/>
      <c r="H4547" s="308" t="s">
        <v>18364</v>
      </c>
      <c r="I4547" s="314">
        <v>43036.0</v>
      </c>
      <c r="J4547" s="319">
        <f>IFERROR(__xludf.DUMMYFUNCTION("SPLIT(I4547,""/"")"),28.0)</f>
        <v>28</v>
      </c>
      <c r="K4547" s="308">
        <f>IFERROR(__xludf.DUMMYFUNCTION("""COMPUTED_VALUE"""),10.0)</f>
        <v>10</v>
      </c>
      <c r="L4547" s="308">
        <f>IFERROR(__xludf.DUMMYFUNCTION("""COMPUTED_VALUE"""),2017.0)</f>
        <v>2017</v>
      </c>
      <c r="M4547" s="308" t="s">
        <v>18365</v>
      </c>
      <c r="N4547" s="308"/>
      <c r="O4547" s="308"/>
      <c r="P4547" s="308" t="s">
        <v>37749</v>
      </c>
      <c r="Q4547" s="308" t="s">
        <v>37742</v>
      </c>
      <c r="R4547" s="308" t="s">
        <v>14256</v>
      </c>
      <c r="S4547" s="308" t="s">
        <v>49</v>
      </c>
      <c r="T4547" s="308" t="s">
        <v>67</v>
      </c>
      <c r="U4547" s="308" t="s">
        <v>166</v>
      </c>
      <c r="V4547" s="312"/>
    </row>
    <row r="4548">
      <c r="A4548" s="308">
        <v>4547.0</v>
      </c>
      <c r="B4548" s="308"/>
      <c r="C4548" s="308" t="s">
        <v>18367</v>
      </c>
      <c r="D4548" s="308">
        <f>IFERROR(__xludf.DUMMYFUNCTION("SPLIT(C4548,""-"")"),4568.0)</f>
        <v>4568</v>
      </c>
      <c r="E4548" s="308" t="str">
        <f>IFERROR(__xludf.DUMMYFUNCTION("""COMPUTED_VALUE"""),"B")</f>
        <v>B</v>
      </c>
      <c r="F4548" s="315" t="s">
        <v>26</v>
      </c>
      <c r="G4548" s="308"/>
      <c r="H4548" s="308" t="s">
        <v>18368</v>
      </c>
      <c r="I4548" s="314">
        <v>43054.0</v>
      </c>
      <c r="J4548" s="319">
        <f>IFERROR(__xludf.DUMMYFUNCTION("SPLIT(I4548,""/"")"),15.0)</f>
        <v>15</v>
      </c>
      <c r="K4548" s="308">
        <f>IFERROR(__xludf.DUMMYFUNCTION("""COMPUTED_VALUE"""),11.0)</f>
        <v>11</v>
      </c>
      <c r="L4548" s="308">
        <f>IFERROR(__xludf.DUMMYFUNCTION("""COMPUTED_VALUE"""),2017.0)</f>
        <v>2017</v>
      </c>
      <c r="M4548" s="308" t="s">
        <v>18369</v>
      </c>
      <c r="N4548" s="308"/>
      <c r="O4548" s="308"/>
      <c r="P4548" s="308" t="s">
        <v>37750</v>
      </c>
      <c r="Q4548" s="308" t="s">
        <v>37742</v>
      </c>
      <c r="R4548" s="308" t="s">
        <v>14256</v>
      </c>
      <c r="S4548" s="308" t="s">
        <v>81</v>
      </c>
      <c r="T4548" s="308" t="s">
        <v>75</v>
      </c>
      <c r="U4548" s="308" t="s">
        <v>27</v>
      </c>
      <c r="V4548" s="312"/>
    </row>
    <row r="4549">
      <c r="A4549" s="308">
        <v>4548.0</v>
      </c>
      <c r="B4549" s="308"/>
      <c r="C4549" s="308" t="s">
        <v>18371</v>
      </c>
      <c r="D4549" s="308">
        <f>IFERROR(__xludf.DUMMYFUNCTION("SPLIT(C4549,""-"")"),4569.0)</f>
        <v>4569</v>
      </c>
      <c r="E4549" s="308" t="str">
        <f>IFERROR(__xludf.DUMMYFUNCTION("""COMPUTED_VALUE"""),"S")</f>
        <v>S</v>
      </c>
      <c r="F4549" s="312" t="s">
        <v>39</v>
      </c>
      <c r="G4549" s="308"/>
      <c r="H4549" s="308" t="s">
        <v>18372</v>
      </c>
      <c r="I4549" s="314">
        <v>43054.0</v>
      </c>
      <c r="J4549" s="319">
        <f>IFERROR(__xludf.DUMMYFUNCTION("SPLIT(I4549,""/"")"),15.0)</f>
        <v>15</v>
      </c>
      <c r="K4549" s="308">
        <f>IFERROR(__xludf.DUMMYFUNCTION("""COMPUTED_VALUE"""),11.0)</f>
        <v>11</v>
      </c>
      <c r="L4549" s="308">
        <f>IFERROR(__xludf.DUMMYFUNCTION("""COMPUTED_VALUE"""),2017.0)</f>
        <v>2017</v>
      </c>
      <c r="M4549" s="308" t="s">
        <v>18373</v>
      </c>
      <c r="N4549" s="308"/>
      <c r="O4549" s="308"/>
      <c r="P4549" s="308" t="s">
        <v>18374</v>
      </c>
      <c r="Q4549" s="308" t="s">
        <v>37742</v>
      </c>
      <c r="R4549" s="308" t="s">
        <v>14256</v>
      </c>
      <c r="S4549" s="308" t="s">
        <v>81</v>
      </c>
      <c r="T4549" s="311" t="s">
        <v>96</v>
      </c>
      <c r="U4549" s="308" t="s">
        <v>166</v>
      </c>
      <c r="V4549" s="312"/>
    </row>
    <row r="4550">
      <c r="A4550" s="308">
        <v>4549.0</v>
      </c>
      <c r="B4550" s="308"/>
      <c r="C4550" s="308" t="s">
        <v>18375</v>
      </c>
      <c r="D4550" s="308">
        <f>IFERROR(__xludf.DUMMYFUNCTION("SPLIT(C4550,""-"")"),4570.0)</f>
        <v>4570</v>
      </c>
      <c r="E4550" s="308" t="str">
        <f>IFERROR(__xludf.DUMMYFUNCTION("""COMPUTED_VALUE"""),"B")</f>
        <v>B</v>
      </c>
      <c r="F4550" s="315" t="s">
        <v>26</v>
      </c>
      <c r="G4550" s="308"/>
      <c r="H4550" s="308" t="s">
        <v>18376</v>
      </c>
      <c r="I4550" s="314">
        <v>43054.0</v>
      </c>
      <c r="J4550" s="319">
        <f>IFERROR(__xludf.DUMMYFUNCTION("SPLIT(I4550,""/"")"),15.0)</f>
        <v>15</v>
      </c>
      <c r="K4550" s="308">
        <f>IFERROR(__xludf.DUMMYFUNCTION("""COMPUTED_VALUE"""),11.0)</f>
        <v>11</v>
      </c>
      <c r="L4550" s="308">
        <f>IFERROR(__xludf.DUMMYFUNCTION("""COMPUTED_VALUE"""),2017.0)</f>
        <v>2017</v>
      </c>
      <c r="M4550" s="308" t="s">
        <v>18377</v>
      </c>
      <c r="N4550" s="308" t="s">
        <v>18378</v>
      </c>
      <c r="O4550" s="308"/>
      <c r="P4550" s="308" t="s">
        <v>37751</v>
      </c>
      <c r="Q4550" s="308" t="s">
        <v>37742</v>
      </c>
      <c r="R4550" s="308" t="s">
        <v>14256</v>
      </c>
      <c r="S4550" s="308" t="s">
        <v>81</v>
      </c>
      <c r="T4550" s="311" t="s">
        <v>96</v>
      </c>
      <c r="U4550" s="308" t="s">
        <v>27</v>
      </c>
      <c r="V4550" s="312"/>
    </row>
    <row r="4551">
      <c r="A4551" s="308">
        <v>4550.0</v>
      </c>
      <c r="B4551" s="308"/>
      <c r="C4551" s="308" t="s">
        <v>18380</v>
      </c>
      <c r="D4551" s="308">
        <f>IFERROR(__xludf.DUMMYFUNCTION("SPLIT(C4551,""-"")"),4571.0)</f>
        <v>4571</v>
      </c>
      <c r="E4551" s="308" t="str">
        <f>IFERROR(__xludf.DUMMYFUNCTION("""COMPUTED_VALUE"""),"S")</f>
        <v>S</v>
      </c>
      <c r="F4551" s="312" t="s">
        <v>39</v>
      </c>
      <c r="G4551" s="308"/>
      <c r="H4551" s="308" t="s">
        <v>18381</v>
      </c>
      <c r="I4551" s="314">
        <v>43054.0</v>
      </c>
      <c r="J4551" s="319">
        <f>IFERROR(__xludf.DUMMYFUNCTION("SPLIT(I4551,""/"")"),15.0)</f>
        <v>15</v>
      </c>
      <c r="K4551" s="308">
        <f>IFERROR(__xludf.DUMMYFUNCTION("""COMPUTED_VALUE"""),11.0)</f>
        <v>11</v>
      </c>
      <c r="L4551" s="308">
        <f>IFERROR(__xludf.DUMMYFUNCTION("""COMPUTED_VALUE"""),2017.0)</f>
        <v>2017</v>
      </c>
      <c r="M4551" s="308" t="s">
        <v>18377</v>
      </c>
      <c r="N4551" s="308" t="s">
        <v>18382</v>
      </c>
      <c r="O4551" s="308"/>
      <c r="P4551" s="308" t="s">
        <v>37752</v>
      </c>
      <c r="Q4551" s="308" t="s">
        <v>37742</v>
      </c>
      <c r="R4551" s="308" t="s">
        <v>14256</v>
      </c>
      <c r="S4551" s="308" t="s">
        <v>81</v>
      </c>
      <c r="T4551" s="311" t="s">
        <v>96</v>
      </c>
      <c r="U4551" s="308" t="s">
        <v>166</v>
      </c>
      <c r="V4551" s="312"/>
    </row>
    <row r="4552">
      <c r="A4552" s="308">
        <v>4551.0</v>
      </c>
      <c r="B4552" s="308"/>
      <c r="C4552" s="308" t="s">
        <v>18384</v>
      </c>
      <c r="D4552" s="308">
        <f>IFERROR(__xludf.DUMMYFUNCTION("SPLIT(C4552,""-"")"),4572.0)</f>
        <v>4572</v>
      </c>
      <c r="E4552" s="308" t="str">
        <f>IFERROR(__xludf.DUMMYFUNCTION("""COMPUTED_VALUE"""),"S")</f>
        <v>S</v>
      </c>
      <c r="F4552" s="312" t="s">
        <v>39</v>
      </c>
      <c r="G4552" s="308"/>
      <c r="H4552" s="308" t="s">
        <v>18385</v>
      </c>
      <c r="I4552" s="314">
        <v>43059.0</v>
      </c>
      <c r="J4552" s="319">
        <f>IFERROR(__xludf.DUMMYFUNCTION("SPLIT(I4552,""/"")"),20.0)</f>
        <v>20</v>
      </c>
      <c r="K4552" s="308">
        <f>IFERROR(__xludf.DUMMYFUNCTION("""COMPUTED_VALUE"""),11.0)</f>
        <v>11</v>
      </c>
      <c r="L4552" s="308">
        <f>IFERROR(__xludf.DUMMYFUNCTION("""COMPUTED_VALUE"""),2017.0)</f>
        <v>2017</v>
      </c>
      <c r="M4552" s="308" t="s">
        <v>18386</v>
      </c>
      <c r="N4552" s="308"/>
      <c r="O4552" s="308"/>
      <c r="P4552" s="308" t="s">
        <v>18387</v>
      </c>
      <c r="Q4552" s="308" t="s">
        <v>37742</v>
      </c>
      <c r="R4552" s="308" t="s">
        <v>14256</v>
      </c>
      <c r="S4552" s="308" t="s">
        <v>81</v>
      </c>
      <c r="T4552" s="308" t="s">
        <v>75</v>
      </c>
      <c r="U4552" s="308" t="s">
        <v>166</v>
      </c>
      <c r="V4552" s="312"/>
    </row>
    <row r="4553">
      <c r="A4553" s="308">
        <v>4552.0</v>
      </c>
      <c r="B4553" s="308"/>
      <c r="C4553" s="308" t="s">
        <v>18388</v>
      </c>
      <c r="D4553" s="308">
        <f>IFERROR(__xludf.DUMMYFUNCTION("SPLIT(C4553,""-"")"),4573.0)</f>
        <v>4573</v>
      </c>
      <c r="E4553" s="308" t="str">
        <f>IFERROR(__xludf.DUMMYFUNCTION("""COMPUTED_VALUE"""),"K")</f>
        <v>K</v>
      </c>
      <c r="F4553" s="309" t="s">
        <v>34</v>
      </c>
      <c r="G4553" s="308"/>
      <c r="H4553" s="308" t="s">
        <v>18389</v>
      </c>
      <c r="I4553" s="310">
        <v>40386.0</v>
      </c>
      <c r="J4553" s="319">
        <f>IFERROR(__xludf.DUMMYFUNCTION("SPLIT(I4553,""/"")"),27.0)</f>
        <v>27</v>
      </c>
      <c r="K4553" s="308">
        <f>IFERROR(__xludf.DUMMYFUNCTION("""COMPUTED_VALUE"""),7.0)</f>
        <v>7</v>
      </c>
      <c r="L4553" s="308">
        <f>IFERROR(__xludf.DUMMYFUNCTION("""COMPUTED_VALUE"""),2010.0)</f>
        <v>2010</v>
      </c>
      <c r="M4553" s="308" t="s">
        <v>18390</v>
      </c>
      <c r="N4553" s="308"/>
      <c r="O4553" s="308"/>
      <c r="P4553" s="308" t="s">
        <v>18391</v>
      </c>
      <c r="Q4553" s="308" t="s">
        <v>37753</v>
      </c>
      <c r="R4553" s="308" t="s">
        <v>2743</v>
      </c>
      <c r="S4553" s="315" t="s">
        <v>100</v>
      </c>
      <c r="T4553" s="311" t="s">
        <v>34208</v>
      </c>
      <c r="U4553" s="308" t="s">
        <v>125</v>
      </c>
      <c r="V4553" s="312"/>
    </row>
    <row r="4554">
      <c r="A4554" s="308">
        <v>4553.0</v>
      </c>
      <c r="B4554" s="308"/>
      <c r="C4554" s="308" t="s">
        <v>18392</v>
      </c>
      <c r="D4554" s="308">
        <f>IFERROR(__xludf.DUMMYFUNCTION("SPLIT(C4554,""-"")"),4574.0)</f>
        <v>4574</v>
      </c>
      <c r="E4554" s="308" t="str">
        <f>IFERROR(__xludf.DUMMYFUNCTION("""COMPUTED_VALUE"""),"K")</f>
        <v>K</v>
      </c>
      <c r="F4554" s="309" t="s">
        <v>34</v>
      </c>
      <c r="G4554" s="308"/>
      <c r="H4554" s="308" t="s">
        <v>18393</v>
      </c>
      <c r="I4554" s="310">
        <v>41755.0</v>
      </c>
      <c r="J4554" s="319">
        <f>IFERROR(__xludf.DUMMYFUNCTION("SPLIT(I4554,""/"")"),26.0)</f>
        <v>26</v>
      </c>
      <c r="K4554" s="308">
        <f>IFERROR(__xludf.DUMMYFUNCTION("""COMPUTED_VALUE"""),4.0)</f>
        <v>4</v>
      </c>
      <c r="L4554" s="308">
        <f>IFERROR(__xludf.DUMMYFUNCTION("""COMPUTED_VALUE"""),2014.0)</f>
        <v>2014</v>
      </c>
      <c r="M4554" s="308" t="s">
        <v>18394</v>
      </c>
      <c r="N4554" s="308"/>
      <c r="O4554" s="308"/>
      <c r="P4554" s="308" t="s">
        <v>6262</v>
      </c>
      <c r="Q4554" s="308" t="s">
        <v>37754</v>
      </c>
      <c r="R4554" s="308" t="s">
        <v>2743</v>
      </c>
      <c r="S4554" s="315" t="s">
        <v>100</v>
      </c>
      <c r="T4554" s="311" t="s">
        <v>34208</v>
      </c>
      <c r="U4554" s="308" t="s">
        <v>368</v>
      </c>
      <c r="V4554" s="312"/>
    </row>
    <row r="4555">
      <c r="A4555" s="308">
        <v>4554.0</v>
      </c>
      <c r="B4555" s="308"/>
      <c r="C4555" s="308" t="s">
        <v>18395</v>
      </c>
      <c r="D4555" s="308">
        <f>IFERROR(__xludf.DUMMYFUNCTION("SPLIT(C4555,""-"")"),4575.0)</f>
        <v>4575</v>
      </c>
      <c r="E4555" s="308" t="str">
        <f>IFERROR(__xludf.DUMMYFUNCTION("""COMPUTED_VALUE"""),"S")</f>
        <v>S</v>
      </c>
      <c r="F4555" s="312" t="s">
        <v>39</v>
      </c>
      <c r="G4555" s="308"/>
      <c r="H4555" s="308" t="s">
        <v>18396</v>
      </c>
      <c r="I4555" s="310">
        <v>42941.0</v>
      </c>
      <c r="J4555" s="319">
        <f>IFERROR(__xludf.DUMMYFUNCTION("SPLIT(I4555,""/"")"),25.0)</f>
        <v>25</v>
      </c>
      <c r="K4555" s="308">
        <f>IFERROR(__xludf.DUMMYFUNCTION("""COMPUTED_VALUE"""),7.0)</f>
        <v>7</v>
      </c>
      <c r="L4555" s="308">
        <f>IFERROR(__xludf.DUMMYFUNCTION("""COMPUTED_VALUE"""),2017.0)</f>
        <v>2017</v>
      </c>
      <c r="M4555" s="308" t="s">
        <v>18397</v>
      </c>
      <c r="N4555" s="308"/>
      <c r="O4555" s="308" t="s">
        <v>18398</v>
      </c>
      <c r="P4555" s="308" t="s">
        <v>37755</v>
      </c>
      <c r="Q4555" s="308" t="s">
        <v>37754</v>
      </c>
      <c r="R4555" s="308" t="s">
        <v>2743</v>
      </c>
      <c r="S4555" s="308" t="s">
        <v>81</v>
      </c>
      <c r="T4555" s="308" t="s">
        <v>75</v>
      </c>
      <c r="U4555" s="308" t="s">
        <v>166</v>
      </c>
      <c r="V4555" s="312"/>
    </row>
    <row r="4556">
      <c r="A4556" s="308">
        <v>4555.0</v>
      </c>
      <c r="B4556" s="308"/>
      <c r="C4556" s="308" t="s">
        <v>18400</v>
      </c>
      <c r="D4556" s="308">
        <f>IFERROR(__xludf.DUMMYFUNCTION("SPLIT(C4556,""-"")"),4576.0)</f>
        <v>4576</v>
      </c>
      <c r="E4556" s="308" t="str">
        <f>IFERROR(__xludf.DUMMYFUNCTION("""COMPUTED_VALUE"""),"K")</f>
        <v>K</v>
      </c>
      <c r="F4556" s="309" t="s">
        <v>34</v>
      </c>
      <c r="G4556" s="308"/>
      <c r="H4556" s="308" t="s">
        <v>18401</v>
      </c>
      <c r="I4556" s="310">
        <v>40083.0</v>
      </c>
      <c r="J4556" s="319">
        <f>IFERROR(__xludf.DUMMYFUNCTION("SPLIT(I4556,""/"")"),27.0)</f>
        <v>27</v>
      </c>
      <c r="K4556" s="308">
        <f>IFERROR(__xludf.DUMMYFUNCTION("""COMPUTED_VALUE"""),9.0)</f>
        <v>9</v>
      </c>
      <c r="L4556" s="308">
        <f>IFERROR(__xludf.DUMMYFUNCTION("""COMPUTED_VALUE"""),2009.0)</f>
        <v>2009</v>
      </c>
      <c r="M4556" s="308" t="s">
        <v>18402</v>
      </c>
      <c r="N4556" s="308"/>
      <c r="O4556" s="308" t="s">
        <v>18403</v>
      </c>
      <c r="P4556" s="308" t="s">
        <v>1872</v>
      </c>
      <c r="Q4556" s="308" t="s">
        <v>37754</v>
      </c>
      <c r="R4556" s="308" t="s">
        <v>2743</v>
      </c>
      <c r="S4556" s="315" t="s">
        <v>100</v>
      </c>
      <c r="T4556" s="311" t="s">
        <v>34208</v>
      </c>
      <c r="U4556" s="308" t="s">
        <v>530</v>
      </c>
      <c r="V4556" s="312"/>
    </row>
    <row r="4557">
      <c r="A4557" s="308">
        <v>4556.0</v>
      </c>
      <c r="B4557" s="308"/>
      <c r="C4557" s="308" t="s">
        <v>18404</v>
      </c>
      <c r="D4557" s="308">
        <f>IFERROR(__xludf.DUMMYFUNCTION("SPLIT(C4557,""-"")"),4577.0)</f>
        <v>4577</v>
      </c>
      <c r="E4557" s="308" t="str">
        <f>IFERROR(__xludf.DUMMYFUNCTION("""COMPUTED_VALUE"""),"S")</f>
        <v>S</v>
      </c>
      <c r="F4557" s="312" t="s">
        <v>39</v>
      </c>
      <c r="G4557" s="308"/>
      <c r="H4557" s="308" t="s">
        <v>18405</v>
      </c>
      <c r="I4557" s="310">
        <v>42965.0</v>
      </c>
      <c r="J4557" s="319">
        <f>IFERROR(__xludf.DUMMYFUNCTION("SPLIT(I4557,""/"")"),18.0)</f>
        <v>18</v>
      </c>
      <c r="K4557" s="308">
        <f>IFERROR(__xludf.DUMMYFUNCTION("""COMPUTED_VALUE"""),8.0)</f>
        <v>8</v>
      </c>
      <c r="L4557" s="308">
        <f>IFERROR(__xludf.DUMMYFUNCTION("""COMPUTED_VALUE"""),2017.0)</f>
        <v>2017</v>
      </c>
      <c r="M4557" s="308" t="s">
        <v>18406</v>
      </c>
      <c r="N4557" s="308"/>
      <c r="O4557" s="308"/>
      <c r="P4557" s="308" t="s">
        <v>37756</v>
      </c>
      <c r="Q4557" s="308" t="s">
        <v>37754</v>
      </c>
      <c r="R4557" s="308" t="s">
        <v>2743</v>
      </c>
      <c r="S4557" s="308" t="s">
        <v>49</v>
      </c>
      <c r="T4557" s="308" t="s">
        <v>51</v>
      </c>
      <c r="U4557" s="308" t="s">
        <v>166</v>
      </c>
      <c r="V4557" s="312"/>
    </row>
    <row r="4558">
      <c r="A4558" s="308">
        <v>4557.0</v>
      </c>
      <c r="B4558" s="308"/>
      <c r="C4558" s="308" t="s">
        <v>18407</v>
      </c>
      <c r="D4558" s="308">
        <f>IFERROR(__xludf.DUMMYFUNCTION("SPLIT(C4558,""-"")"),4578.0)</f>
        <v>4578</v>
      </c>
      <c r="E4558" s="308" t="str">
        <f>IFERROR(__xludf.DUMMYFUNCTION("""COMPUTED_VALUE"""),"P")</f>
        <v>P</v>
      </c>
      <c r="F4558" s="312" t="s">
        <v>37</v>
      </c>
      <c r="G4558" s="308"/>
      <c r="H4558" s="308" t="s">
        <v>18408</v>
      </c>
      <c r="I4558" s="310">
        <v>41216.0</v>
      </c>
      <c r="J4558" s="319">
        <f>IFERROR(__xludf.DUMMYFUNCTION("SPLIT(I4558,""/"")"),3.0)</f>
        <v>3</v>
      </c>
      <c r="K4558" s="308">
        <f>IFERROR(__xludf.DUMMYFUNCTION("""COMPUTED_VALUE"""),11.0)</f>
        <v>11</v>
      </c>
      <c r="L4558" s="308">
        <f>IFERROR(__xludf.DUMMYFUNCTION("""COMPUTED_VALUE"""),2012.0)</f>
        <v>2012</v>
      </c>
      <c r="M4558" s="308" t="s">
        <v>18409</v>
      </c>
      <c r="N4558" s="308"/>
      <c r="O4558" s="308"/>
      <c r="P4558" s="308" t="s">
        <v>37757</v>
      </c>
      <c r="Q4558" s="308" t="s">
        <v>37754</v>
      </c>
      <c r="R4558" s="308" t="s">
        <v>2743</v>
      </c>
      <c r="S4558" s="311" t="s">
        <v>49</v>
      </c>
      <c r="T4558" s="311" t="s">
        <v>77</v>
      </c>
      <c r="U4558" s="308" t="s">
        <v>3407</v>
      </c>
      <c r="V4558" s="312"/>
    </row>
    <row r="4559">
      <c r="A4559" s="308">
        <v>4558.0</v>
      </c>
      <c r="B4559" s="308"/>
      <c r="C4559" s="308" t="s">
        <v>18411</v>
      </c>
      <c r="D4559" s="308">
        <f>IFERROR(__xludf.DUMMYFUNCTION("SPLIT(C4559,""-"")"),4579.0)</f>
        <v>4579</v>
      </c>
      <c r="E4559" s="308" t="str">
        <f>IFERROR(__xludf.DUMMYFUNCTION("""COMPUTED_VALUE"""),"P")</f>
        <v>P</v>
      </c>
      <c r="F4559" s="312" t="s">
        <v>37</v>
      </c>
      <c r="G4559" s="308"/>
      <c r="H4559" s="308" t="s">
        <v>18412</v>
      </c>
      <c r="I4559" s="310">
        <v>42952.0</v>
      </c>
      <c r="J4559" s="319">
        <f>IFERROR(__xludf.DUMMYFUNCTION("SPLIT(I4559,""/"")"),5.0)</f>
        <v>5</v>
      </c>
      <c r="K4559" s="308">
        <f>IFERROR(__xludf.DUMMYFUNCTION("""COMPUTED_VALUE"""),8.0)</f>
        <v>8</v>
      </c>
      <c r="L4559" s="308">
        <f>IFERROR(__xludf.DUMMYFUNCTION("""COMPUTED_VALUE"""),2017.0)</f>
        <v>2017</v>
      </c>
      <c r="M4559" s="308" t="s">
        <v>18413</v>
      </c>
      <c r="N4559" s="308"/>
      <c r="O4559" s="308" t="s">
        <v>18414</v>
      </c>
      <c r="P4559" s="308" t="s">
        <v>37687</v>
      </c>
      <c r="Q4559" s="308" t="s">
        <v>37758</v>
      </c>
      <c r="R4559" s="308" t="s">
        <v>2743</v>
      </c>
      <c r="S4559" s="308" t="s">
        <v>49</v>
      </c>
      <c r="T4559" s="311" t="s">
        <v>51</v>
      </c>
      <c r="U4559" s="308" t="s">
        <v>143</v>
      </c>
      <c r="V4559" s="312"/>
    </row>
    <row r="4560">
      <c r="A4560" s="308">
        <v>4559.0</v>
      </c>
      <c r="B4560" s="308"/>
      <c r="C4560" s="308" t="s">
        <v>18415</v>
      </c>
      <c r="D4560" s="308">
        <f>IFERROR(__xludf.DUMMYFUNCTION("SPLIT(C4560,""-"")"),4580.0)</f>
        <v>4580</v>
      </c>
      <c r="E4560" s="308" t="str">
        <f>IFERROR(__xludf.DUMMYFUNCTION("""COMPUTED_VALUE"""),"K")</f>
        <v>K</v>
      </c>
      <c r="F4560" s="309" t="s">
        <v>34</v>
      </c>
      <c r="G4560" s="308"/>
      <c r="H4560" s="308" t="s">
        <v>18416</v>
      </c>
      <c r="I4560" s="310">
        <v>41524.0</v>
      </c>
      <c r="J4560" s="319">
        <f>IFERROR(__xludf.DUMMYFUNCTION("SPLIT(I4560,""/"")"),7.0)</f>
        <v>7</v>
      </c>
      <c r="K4560" s="308">
        <f>IFERROR(__xludf.DUMMYFUNCTION("""COMPUTED_VALUE"""),9.0)</f>
        <v>9</v>
      </c>
      <c r="L4560" s="308">
        <f>IFERROR(__xludf.DUMMYFUNCTION("""COMPUTED_VALUE"""),2013.0)</f>
        <v>2013</v>
      </c>
      <c r="M4560" s="308" t="s">
        <v>18417</v>
      </c>
      <c r="N4560" s="308"/>
      <c r="O4560" s="308"/>
      <c r="P4560" s="308" t="s">
        <v>2872</v>
      </c>
      <c r="Q4560" s="308" t="s">
        <v>37758</v>
      </c>
      <c r="R4560" s="308" t="s">
        <v>2743</v>
      </c>
      <c r="S4560" s="315" t="s">
        <v>100</v>
      </c>
      <c r="T4560" s="311" t="s">
        <v>34208</v>
      </c>
      <c r="U4560" s="308" t="s">
        <v>125</v>
      </c>
      <c r="V4560" s="312"/>
    </row>
    <row r="4561">
      <c r="A4561" s="308">
        <v>4560.0</v>
      </c>
      <c r="B4561" s="308"/>
      <c r="C4561" s="308" t="s">
        <v>18418</v>
      </c>
      <c r="D4561" s="308">
        <f>IFERROR(__xludf.DUMMYFUNCTION("SPLIT(C4561,""-"")"),4581.0)</f>
        <v>4581</v>
      </c>
      <c r="E4561" s="308" t="str">
        <f>IFERROR(__xludf.DUMMYFUNCTION("""COMPUTED_VALUE"""),"K")</f>
        <v>K</v>
      </c>
      <c r="F4561" s="309" t="s">
        <v>34</v>
      </c>
      <c r="G4561" s="308"/>
      <c r="H4561" s="308" t="s">
        <v>18419</v>
      </c>
      <c r="I4561" s="310">
        <v>41523.0</v>
      </c>
      <c r="J4561" s="319">
        <f>IFERROR(__xludf.DUMMYFUNCTION("SPLIT(I4561,""/"")"),6.0)</f>
        <v>6</v>
      </c>
      <c r="K4561" s="308">
        <f>IFERROR(__xludf.DUMMYFUNCTION("""COMPUTED_VALUE"""),9.0)</f>
        <v>9</v>
      </c>
      <c r="L4561" s="308">
        <f>IFERROR(__xludf.DUMMYFUNCTION("""COMPUTED_VALUE"""),2013.0)</f>
        <v>2013</v>
      </c>
      <c r="M4561" s="308" t="s">
        <v>18420</v>
      </c>
      <c r="N4561" s="308"/>
      <c r="O4561" s="308"/>
      <c r="P4561" s="308" t="s">
        <v>2872</v>
      </c>
      <c r="Q4561" s="308" t="s">
        <v>37758</v>
      </c>
      <c r="R4561" s="308" t="s">
        <v>2743</v>
      </c>
      <c r="S4561" s="315" t="s">
        <v>100</v>
      </c>
      <c r="T4561" s="311" t="s">
        <v>34208</v>
      </c>
      <c r="U4561" s="308" t="s">
        <v>125</v>
      </c>
      <c r="V4561" s="312"/>
    </row>
    <row r="4562">
      <c r="A4562" s="308">
        <v>4561.0</v>
      </c>
      <c r="B4562" s="308"/>
      <c r="C4562" s="308" t="s">
        <v>18421</v>
      </c>
      <c r="D4562" s="308">
        <f>IFERROR(__xludf.DUMMYFUNCTION("SPLIT(C4562,""-"")"),4582.0)</f>
        <v>4582</v>
      </c>
      <c r="E4562" s="308" t="str">
        <f>IFERROR(__xludf.DUMMYFUNCTION("""COMPUTED_VALUE"""),"P")</f>
        <v>P</v>
      </c>
      <c r="F4562" s="312" t="s">
        <v>37</v>
      </c>
      <c r="G4562" s="308"/>
      <c r="H4562" s="308" t="s">
        <v>18422</v>
      </c>
      <c r="I4562" s="314">
        <v>43063.0</v>
      </c>
      <c r="J4562" s="319">
        <f>IFERROR(__xludf.DUMMYFUNCTION("SPLIT(I4562,""/"")"),24.0)</f>
        <v>24</v>
      </c>
      <c r="K4562" s="308">
        <f>IFERROR(__xludf.DUMMYFUNCTION("""COMPUTED_VALUE"""),11.0)</f>
        <v>11</v>
      </c>
      <c r="L4562" s="308">
        <f>IFERROR(__xludf.DUMMYFUNCTION("""COMPUTED_VALUE"""),2017.0)</f>
        <v>2017</v>
      </c>
      <c r="M4562" s="308" t="s">
        <v>18423</v>
      </c>
      <c r="N4562" s="308"/>
      <c r="O4562" s="308" t="s">
        <v>18424</v>
      </c>
      <c r="P4562" s="308" t="s">
        <v>37759</v>
      </c>
      <c r="Q4562" s="308" t="s">
        <v>37758</v>
      </c>
      <c r="R4562" s="308" t="s">
        <v>2743</v>
      </c>
      <c r="S4562" s="308" t="s">
        <v>49</v>
      </c>
      <c r="T4562" s="311" t="s">
        <v>51</v>
      </c>
      <c r="U4562" s="308" t="s">
        <v>143</v>
      </c>
      <c r="V4562" s="312"/>
    </row>
    <row r="4563">
      <c r="A4563" s="308">
        <v>4562.0</v>
      </c>
      <c r="B4563" s="308"/>
      <c r="C4563" s="308" t="s">
        <v>18426</v>
      </c>
      <c r="D4563" s="308">
        <f>IFERROR(__xludf.DUMMYFUNCTION("SPLIT(C4563,""-"")"),4583.0)</f>
        <v>4583</v>
      </c>
      <c r="E4563" s="308" t="str">
        <f>IFERROR(__xludf.DUMMYFUNCTION("""COMPUTED_VALUE"""),"K")</f>
        <v>K</v>
      </c>
      <c r="F4563" s="309" t="s">
        <v>34</v>
      </c>
      <c r="G4563" s="308"/>
      <c r="H4563" s="308" t="s">
        <v>18427</v>
      </c>
      <c r="I4563" s="314">
        <v>43032.0</v>
      </c>
      <c r="J4563" s="319" t="str">
        <f>IFERROR(__xludf.DUMMYFUNCTION("SPLIT(I4563,""/"")"),"#REF!")</f>
        <v>#REF!</v>
      </c>
      <c r="K4563" s="308"/>
      <c r="L4563" s="308">
        <v>2017.0</v>
      </c>
      <c r="M4563" s="308" t="s">
        <v>18428</v>
      </c>
      <c r="N4563" s="308"/>
      <c r="O4563" s="308"/>
      <c r="P4563" s="308" t="s">
        <v>18429</v>
      </c>
      <c r="Q4563" s="308" t="s">
        <v>37758</v>
      </c>
      <c r="R4563" s="308" t="s">
        <v>2743</v>
      </c>
      <c r="S4563" s="308" t="s">
        <v>81</v>
      </c>
      <c r="T4563" s="308" t="s">
        <v>75</v>
      </c>
      <c r="U4563" s="308" t="s">
        <v>125</v>
      </c>
      <c r="V4563" s="312"/>
    </row>
    <row r="4564">
      <c r="A4564" s="308">
        <v>4563.0</v>
      </c>
      <c r="B4564" s="308"/>
      <c r="C4564" s="308" t="s">
        <v>18430</v>
      </c>
      <c r="D4564" s="308">
        <f>IFERROR(__xludf.DUMMYFUNCTION("SPLIT(C4564,""-"")"),4584.0)</f>
        <v>4584</v>
      </c>
      <c r="E4564" s="308" t="str">
        <f>IFERROR(__xludf.DUMMYFUNCTION("""COMPUTED_VALUE"""),"K")</f>
        <v>K</v>
      </c>
      <c r="F4564" s="309" t="s">
        <v>34</v>
      </c>
      <c r="G4564" s="308"/>
      <c r="H4564" s="308" t="s">
        <v>18431</v>
      </c>
      <c r="I4564" s="310">
        <v>42602.0</v>
      </c>
      <c r="J4564" s="319">
        <f>IFERROR(__xludf.DUMMYFUNCTION("SPLIT(I4564,""/"")"),20.0)</f>
        <v>20</v>
      </c>
      <c r="K4564" s="308">
        <f>IFERROR(__xludf.DUMMYFUNCTION("""COMPUTED_VALUE"""),8.0)</f>
        <v>8</v>
      </c>
      <c r="L4564" s="308">
        <f>IFERROR(__xludf.DUMMYFUNCTION("""COMPUTED_VALUE"""),2016.0)</f>
        <v>2016</v>
      </c>
      <c r="M4564" s="308" t="s">
        <v>18432</v>
      </c>
      <c r="N4564" s="308"/>
      <c r="O4564" s="308"/>
      <c r="P4564" s="308" t="s">
        <v>18433</v>
      </c>
      <c r="Q4564" s="308" t="s">
        <v>37758</v>
      </c>
      <c r="R4564" s="308" t="s">
        <v>14256</v>
      </c>
      <c r="S4564" s="311" t="s">
        <v>49</v>
      </c>
      <c r="T4564" s="311" t="s">
        <v>51</v>
      </c>
      <c r="U4564" s="308" t="s">
        <v>368</v>
      </c>
      <c r="V4564" s="312"/>
    </row>
    <row r="4565">
      <c r="A4565" s="308">
        <v>4564.0</v>
      </c>
      <c r="B4565" s="308"/>
      <c r="C4565" s="308" t="s">
        <v>18434</v>
      </c>
      <c r="D4565" s="308">
        <f>IFERROR(__xludf.DUMMYFUNCTION("SPLIT(C4565,""-"")"),4585.0)</f>
        <v>4585</v>
      </c>
      <c r="E4565" s="308" t="str">
        <f>IFERROR(__xludf.DUMMYFUNCTION("""COMPUTED_VALUE"""),"P")</f>
        <v>P</v>
      </c>
      <c r="F4565" s="312" t="s">
        <v>37</v>
      </c>
      <c r="G4565" s="308"/>
      <c r="H4565" s="308" t="s">
        <v>18435</v>
      </c>
      <c r="I4565" s="314">
        <v>41271.0</v>
      </c>
      <c r="J4565" s="319">
        <f>IFERROR(__xludf.DUMMYFUNCTION("SPLIT(I4565,""/"")"),28.0)</f>
        <v>28</v>
      </c>
      <c r="K4565" s="308">
        <f>IFERROR(__xludf.DUMMYFUNCTION("""COMPUTED_VALUE"""),12.0)</f>
        <v>12</v>
      </c>
      <c r="L4565" s="308">
        <f>IFERROR(__xludf.DUMMYFUNCTION("""COMPUTED_VALUE"""),2012.0)</f>
        <v>2012</v>
      </c>
      <c r="M4565" s="308" t="s">
        <v>18436</v>
      </c>
      <c r="N4565" s="308"/>
      <c r="O4565" s="308" t="s">
        <v>18437</v>
      </c>
      <c r="P4565" s="308" t="s">
        <v>4430</v>
      </c>
      <c r="Q4565" s="308" t="s">
        <v>37758</v>
      </c>
      <c r="R4565" s="308" t="s">
        <v>2743</v>
      </c>
      <c r="S4565" s="308" t="s">
        <v>49</v>
      </c>
      <c r="T4565" s="308" t="s">
        <v>51</v>
      </c>
      <c r="U4565" s="308" t="s">
        <v>143</v>
      </c>
      <c r="V4565" s="312"/>
    </row>
    <row r="4566">
      <c r="A4566" s="308">
        <v>4565.0</v>
      </c>
      <c r="B4566" s="308"/>
      <c r="C4566" s="308" t="s">
        <v>18438</v>
      </c>
      <c r="D4566" s="308">
        <f>IFERROR(__xludf.DUMMYFUNCTION("SPLIT(C4566,""-"")"),4586.0)</f>
        <v>4586</v>
      </c>
      <c r="E4566" s="308" t="str">
        <f>IFERROR(__xludf.DUMMYFUNCTION("""COMPUTED_VALUE"""),"I")</f>
        <v>I</v>
      </c>
      <c r="F4566" s="309" t="s">
        <v>31</v>
      </c>
      <c r="G4566" s="308"/>
      <c r="H4566" s="308" t="s">
        <v>18439</v>
      </c>
      <c r="I4566" s="310">
        <v>40929.0</v>
      </c>
      <c r="J4566" s="319">
        <f>IFERROR(__xludf.DUMMYFUNCTION("SPLIT(I4566,""/"")"),21.0)</f>
        <v>21</v>
      </c>
      <c r="K4566" s="308">
        <f>IFERROR(__xludf.DUMMYFUNCTION("""COMPUTED_VALUE"""),1.0)</f>
        <v>1</v>
      </c>
      <c r="L4566" s="308">
        <f>IFERROR(__xludf.DUMMYFUNCTION("""COMPUTED_VALUE"""),2012.0)</f>
        <v>2012</v>
      </c>
      <c r="M4566" s="308" t="s">
        <v>18440</v>
      </c>
      <c r="N4566" s="308" t="s">
        <v>18441</v>
      </c>
      <c r="O4566" s="308" t="s">
        <v>18442</v>
      </c>
      <c r="P4566" s="308" t="s">
        <v>18443</v>
      </c>
      <c r="Q4566" s="308" t="s">
        <v>37758</v>
      </c>
      <c r="R4566" s="308" t="s">
        <v>2743</v>
      </c>
      <c r="S4566" s="308" t="s">
        <v>49</v>
      </c>
      <c r="T4566" s="311" t="s">
        <v>51</v>
      </c>
      <c r="U4566" s="308" t="s">
        <v>31</v>
      </c>
      <c r="V4566" s="312"/>
    </row>
    <row r="4567">
      <c r="A4567" s="308">
        <v>4566.0</v>
      </c>
      <c r="B4567" s="308"/>
      <c r="C4567" s="308" t="s">
        <v>18444</v>
      </c>
      <c r="D4567" s="308">
        <f>IFERROR(__xludf.DUMMYFUNCTION("SPLIT(C4567,""-"")"),4587.0)</f>
        <v>4587</v>
      </c>
      <c r="E4567" s="308" t="str">
        <f>IFERROR(__xludf.DUMMYFUNCTION("""COMPUTED_VALUE"""),"K")</f>
        <v>K</v>
      </c>
      <c r="F4567" s="309" t="s">
        <v>34</v>
      </c>
      <c r="G4567" s="308"/>
      <c r="H4567" s="308" t="s">
        <v>18445</v>
      </c>
      <c r="I4567" s="310">
        <v>41809.0</v>
      </c>
      <c r="J4567" s="319">
        <f>IFERROR(__xludf.DUMMYFUNCTION("SPLIT(I4567,""/"")"),19.0)</f>
        <v>19</v>
      </c>
      <c r="K4567" s="308">
        <f>IFERROR(__xludf.DUMMYFUNCTION("""COMPUTED_VALUE"""),6.0)</f>
        <v>6</v>
      </c>
      <c r="L4567" s="308">
        <f>IFERROR(__xludf.DUMMYFUNCTION("""COMPUTED_VALUE"""),2014.0)</f>
        <v>2014</v>
      </c>
      <c r="M4567" s="308" t="s">
        <v>18446</v>
      </c>
      <c r="N4567" s="308"/>
      <c r="O4567" s="308"/>
      <c r="P4567" s="308" t="s">
        <v>2872</v>
      </c>
      <c r="Q4567" s="308" t="s">
        <v>37758</v>
      </c>
      <c r="R4567" s="308" t="s">
        <v>2743</v>
      </c>
      <c r="S4567" s="315" t="s">
        <v>100</v>
      </c>
      <c r="T4567" s="311" t="s">
        <v>34208</v>
      </c>
      <c r="U4567" s="308" t="s">
        <v>125</v>
      </c>
      <c r="V4567" s="312"/>
    </row>
    <row r="4568">
      <c r="A4568" s="308">
        <v>4567.0</v>
      </c>
      <c r="B4568" s="308"/>
      <c r="C4568" s="308" t="s">
        <v>18447</v>
      </c>
      <c r="D4568" s="308">
        <f>IFERROR(__xludf.DUMMYFUNCTION("SPLIT(C4568,""-"")"),4588.0)</f>
        <v>4588</v>
      </c>
      <c r="E4568" s="308" t="str">
        <f>IFERROR(__xludf.DUMMYFUNCTION("""COMPUTED_VALUE"""),"P")</f>
        <v>P</v>
      </c>
      <c r="F4568" s="312" t="s">
        <v>37</v>
      </c>
      <c r="G4568" s="308"/>
      <c r="H4568" s="308" t="s">
        <v>18448</v>
      </c>
      <c r="I4568" s="310">
        <v>41171.0</v>
      </c>
      <c r="J4568" s="319">
        <f>IFERROR(__xludf.DUMMYFUNCTION("SPLIT(I4568,""/"")"),19.0)</f>
        <v>19</v>
      </c>
      <c r="K4568" s="308">
        <f>IFERROR(__xludf.DUMMYFUNCTION("""COMPUTED_VALUE"""),9.0)</f>
        <v>9</v>
      </c>
      <c r="L4568" s="308">
        <f>IFERROR(__xludf.DUMMYFUNCTION("""COMPUTED_VALUE"""),2012.0)</f>
        <v>2012</v>
      </c>
      <c r="M4568" s="308" t="s">
        <v>37760</v>
      </c>
      <c r="N4568" s="308"/>
      <c r="O4568" s="308" t="s">
        <v>18450</v>
      </c>
      <c r="P4568" s="308" t="s">
        <v>7523</v>
      </c>
      <c r="Q4568" s="308" t="s">
        <v>37758</v>
      </c>
      <c r="R4568" s="308" t="s">
        <v>2743</v>
      </c>
      <c r="S4568" s="315" t="s">
        <v>100</v>
      </c>
      <c r="T4568" s="311" t="s">
        <v>34208</v>
      </c>
      <c r="U4568" s="308" t="s">
        <v>143</v>
      </c>
      <c r="V4568" s="312"/>
    </row>
    <row r="4569">
      <c r="A4569" s="308">
        <v>4568.0</v>
      </c>
      <c r="B4569" s="308"/>
      <c r="C4569" s="308" t="s">
        <v>18451</v>
      </c>
      <c r="D4569" s="308">
        <f>IFERROR(__xludf.DUMMYFUNCTION("SPLIT(C4569,""-"")"),4589.0)</f>
        <v>4589</v>
      </c>
      <c r="E4569" s="308" t="str">
        <f>IFERROR(__xludf.DUMMYFUNCTION("""COMPUTED_VALUE"""),"F")</f>
        <v>F</v>
      </c>
      <c r="F4569" s="309" t="s">
        <v>34</v>
      </c>
      <c r="G4569" s="308"/>
      <c r="H4569" s="308" t="s">
        <v>18452</v>
      </c>
      <c r="I4569" s="310">
        <v>42021.0</v>
      </c>
      <c r="J4569" s="319">
        <f>IFERROR(__xludf.DUMMYFUNCTION("SPLIT(I4569,""/"")"),17.0)</f>
        <v>17</v>
      </c>
      <c r="K4569" s="308">
        <f>IFERROR(__xludf.DUMMYFUNCTION("""COMPUTED_VALUE"""),1.0)</f>
        <v>1</v>
      </c>
      <c r="L4569" s="308">
        <f>IFERROR(__xludf.DUMMYFUNCTION("""COMPUTED_VALUE"""),2015.0)</f>
        <v>2015</v>
      </c>
      <c r="M4569" s="308" t="s">
        <v>18453</v>
      </c>
      <c r="N4569" s="308" t="s">
        <v>18454</v>
      </c>
      <c r="O4569" s="308"/>
      <c r="P4569" s="308" t="s">
        <v>9175</v>
      </c>
      <c r="Q4569" s="308" t="s">
        <v>37758</v>
      </c>
      <c r="R4569" s="308" t="s">
        <v>2743</v>
      </c>
      <c r="S4569" s="315" t="s">
        <v>100</v>
      </c>
      <c r="T4569" s="311" t="s">
        <v>34208</v>
      </c>
      <c r="U4569" s="308" t="s">
        <v>6875</v>
      </c>
      <c r="V4569" s="312"/>
    </row>
    <row r="4570">
      <c r="A4570" s="308">
        <v>4569.0</v>
      </c>
      <c r="B4570" s="308"/>
      <c r="C4570" s="308" t="s">
        <v>18455</v>
      </c>
      <c r="D4570" s="308">
        <f>IFERROR(__xludf.DUMMYFUNCTION("SPLIT(C4570,""-"")"),4590.0)</f>
        <v>4590</v>
      </c>
      <c r="E4570" s="308" t="str">
        <f>IFERROR(__xludf.DUMMYFUNCTION("""COMPUTED_VALUE"""),"P")</f>
        <v>P</v>
      </c>
      <c r="F4570" s="312" t="s">
        <v>37</v>
      </c>
      <c r="G4570" s="308"/>
      <c r="H4570" s="308" t="s">
        <v>18456</v>
      </c>
      <c r="I4570" s="310">
        <v>43040.0</v>
      </c>
      <c r="J4570" s="319">
        <f>IFERROR(__xludf.DUMMYFUNCTION("SPLIT(I4570,""/"")"),1.0)</f>
        <v>1</v>
      </c>
      <c r="K4570" s="308">
        <f>IFERROR(__xludf.DUMMYFUNCTION("""COMPUTED_VALUE"""),11.0)</f>
        <v>11</v>
      </c>
      <c r="L4570" s="308">
        <f>IFERROR(__xludf.DUMMYFUNCTION("""COMPUTED_VALUE"""),2017.0)</f>
        <v>2017</v>
      </c>
      <c r="M4570" s="308"/>
      <c r="N4570" s="308"/>
      <c r="O4570" s="308" t="s">
        <v>18457</v>
      </c>
      <c r="P4570" s="308" t="s">
        <v>37761</v>
      </c>
      <c r="Q4570" s="308" t="s">
        <v>37758</v>
      </c>
      <c r="R4570" s="308" t="s">
        <v>16447</v>
      </c>
      <c r="S4570" s="308" t="s">
        <v>81</v>
      </c>
      <c r="T4570" s="308" t="s">
        <v>75</v>
      </c>
      <c r="U4570" s="308" t="s">
        <v>149</v>
      </c>
      <c r="V4570" s="312"/>
    </row>
    <row r="4571">
      <c r="A4571" s="308">
        <v>4570.0</v>
      </c>
      <c r="B4571" s="308"/>
      <c r="C4571" s="308" t="s">
        <v>18459</v>
      </c>
      <c r="D4571" s="308">
        <f>IFERROR(__xludf.DUMMYFUNCTION("SPLIT(C4571,""-"")"),4591.0)</f>
        <v>4591</v>
      </c>
      <c r="E4571" s="308" t="str">
        <f>IFERROR(__xludf.DUMMYFUNCTION("""COMPUTED_VALUE"""),"S")</f>
        <v>S</v>
      </c>
      <c r="F4571" s="312" t="s">
        <v>39</v>
      </c>
      <c r="G4571" s="308"/>
      <c r="H4571" s="308" t="s">
        <v>18460</v>
      </c>
      <c r="I4571" s="314">
        <v>43036.0</v>
      </c>
      <c r="J4571" s="319">
        <f>IFERROR(__xludf.DUMMYFUNCTION("SPLIT(I4571,""/"")"),28.0)</f>
        <v>28</v>
      </c>
      <c r="K4571" s="308">
        <f>IFERROR(__xludf.DUMMYFUNCTION("""COMPUTED_VALUE"""),10.0)</f>
        <v>10</v>
      </c>
      <c r="L4571" s="308">
        <f>IFERROR(__xludf.DUMMYFUNCTION("""COMPUTED_VALUE"""),2017.0)</f>
        <v>2017</v>
      </c>
      <c r="M4571" s="308" t="s">
        <v>18461</v>
      </c>
      <c r="N4571" s="308"/>
      <c r="O4571" s="308"/>
      <c r="P4571" s="308" t="s">
        <v>37762</v>
      </c>
      <c r="Q4571" s="308" t="s">
        <v>37758</v>
      </c>
      <c r="R4571" s="308" t="s">
        <v>16456</v>
      </c>
      <c r="S4571" s="308" t="s">
        <v>49</v>
      </c>
      <c r="T4571" s="308" t="s">
        <v>67</v>
      </c>
      <c r="U4571" s="308" t="s">
        <v>166</v>
      </c>
      <c r="V4571" s="312"/>
    </row>
    <row r="4572">
      <c r="A4572" s="308">
        <v>4571.0</v>
      </c>
      <c r="B4572" s="308"/>
      <c r="C4572" s="308" t="s">
        <v>18463</v>
      </c>
      <c r="D4572" s="308">
        <f>IFERROR(__xludf.DUMMYFUNCTION("SPLIT(C4572,""-"")"),4592.0)</f>
        <v>4592</v>
      </c>
      <c r="E4572" s="308" t="str">
        <f>IFERROR(__xludf.DUMMYFUNCTION("""COMPUTED_VALUE"""),"S")</f>
        <v>S</v>
      </c>
      <c r="F4572" s="312" t="s">
        <v>39</v>
      </c>
      <c r="G4572" s="308"/>
      <c r="H4572" s="308" t="s">
        <v>18464</v>
      </c>
      <c r="I4572" s="314">
        <v>43036.0</v>
      </c>
      <c r="J4572" s="319">
        <f>IFERROR(__xludf.DUMMYFUNCTION("SPLIT(I4572,""/"")"),28.0)</f>
        <v>28</v>
      </c>
      <c r="K4572" s="308">
        <f>IFERROR(__xludf.DUMMYFUNCTION("""COMPUTED_VALUE"""),10.0)</f>
        <v>10</v>
      </c>
      <c r="L4572" s="308">
        <f>IFERROR(__xludf.DUMMYFUNCTION("""COMPUTED_VALUE"""),2017.0)</f>
        <v>2017</v>
      </c>
      <c r="M4572" s="308" t="s">
        <v>37763</v>
      </c>
      <c r="N4572" s="308"/>
      <c r="O4572" s="308"/>
      <c r="P4572" s="308" t="s">
        <v>37764</v>
      </c>
      <c r="Q4572" s="308" t="s">
        <v>37758</v>
      </c>
      <c r="R4572" s="308" t="s">
        <v>16456</v>
      </c>
      <c r="S4572" s="308" t="s">
        <v>81</v>
      </c>
      <c r="T4572" s="308" t="s">
        <v>75</v>
      </c>
      <c r="U4572" s="308" t="s">
        <v>166</v>
      </c>
      <c r="V4572" s="312"/>
    </row>
    <row r="4573">
      <c r="A4573" s="308">
        <v>4572.0</v>
      </c>
      <c r="B4573" s="308"/>
      <c r="C4573" s="308" t="s">
        <v>18467</v>
      </c>
      <c r="D4573" s="308">
        <f>IFERROR(__xludf.DUMMYFUNCTION("SPLIT(C4573,""-"")"),4593.0)</f>
        <v>4593</v>
      </c>
      <c r="E4573" s="308" t="str">
        <f>IFERROR(__xludf.DUMMYFUNCTION("""COMPUTED_VALUE"""),"K")</f>
        <v>K</v>
      </c>
      <c r="F4573" s="309" t="s">
        <v>34</v>
      </c>
      <c r="G4573" s="308"/>
      <c r="H4573" s="308" t="s">
        <v>18468</v>
      </c>
      <c r="I4573" s="310">
        <v>39995.0</v>
      </c>
      <c r="J4573" s="319">
        <f>IFERROR(__xludf.DUMMYFUNCTION("SPLIT(I4573,""/"")"),1.0)</f>
        <v>1</v>
      </c>
      <c r="K4573" s="308">
        <f>IFERROR(__xludf.DUMMYFUNCTION("""COMPUTED_VALUE"""),7.0)</f>
        <v>7</v>
      </c>
      <c r="L4573" s="308">
        <f>IFERROR(__xludf.DUMMYFUNCTION("""COMPUTED_VALUE"""),2009.0)</f>
        <v>2009</v>
      </c>
      <c r="M4573" s="308" t="s">
        <v>18469</v>
      </c>
      <c r="N4573" s="308"/>
      <c r="O4573" s="308"/>
      <c r="P4573" s="308" t="s">
        <v>37765</v>
      </c>
      <c r="Q4573" s="308" t="s">
        <v>37758</v>
      </c>
      <c r="R4573" s="308" t="s">
        <v>2743</v>
      </c>
      <c r="S4573" s="308" t="s">
        <v>81</v>
      </c>
      <c r="T4573" s="308" t="s">
        <v>34264</v>
      </c>
      <c r="U4573" s="308" t="s">
        <v>530</v>
      </c>
      <c r="V4573" s="312"/>
    </row>
    <row r="4574">
      <c r="A4574" s="308">
        <v>4573.0</v>
      </c>
      <c r="B4574" s="308"/>
      <c r="C4574" s="308" t="s">
        <v>18471</v>
      </c>
      <c r="D4574" s="308">
        <f>IFERROR(__xludf.DUMMYFUNCTION("SPLIT(C4574,""-"")"),4594.0)</f>
        <v>4594</v>
      </c>
      <c r="E4574" s="308" t="str">
        <f>IFERROR(__xludf.DUMMYFUNCTION("""COMPUTED_VALUE"""),"K")</f>
        <v>K</v>
      </c>
      <c r="F4574" s="309" t="s">
        <v>34</v>
      </c>
      <c r="G4574" s="308"/>
      <c r="H4574" s="308" t="s">
        <v>18472</v>
      </c>
      <c r="I4574" s="310">
        <v>42245.0</v>
      </c>
      <c r="J4574" s="319">
        <f>IFERROR(__xludf.DUMMYFUNCTION("SPLIT(I4574,""/"")"),29.0)</f>
        <v>29</v>
      </c>
      <c r="K4574" s="308">
        <f>IFERROR(__xludf.DUMMYFUNCTION("""COMPUTED_VALUE"""),8.0)</f>
        <v>8</v>
      </c>
      <c r="L4574" s="308">
        <f>IFERROR(__xludf.DUMMYFUNCTION("""COMPUTED_VALUE"""),2015.0)</f>
        <v>2015</v>
      </c>
      <c r="M4574" s="308" t="s">
        <v>37766</v>
      </c>
      <c r="N4574" s="308"/>
      <c r="O4574" s="308"/>
      <c r="P4574" s="308" t="s">
        <v>18474</v>
      </c>
      <c r="Q4574" s="308" t="s">
        <v>37767</v>
      </c>
      <c r="R4574" s="308" t="s">
        <v>2743</v>
      </c>
      <c r="S4574" s="308" t="s">
        <v>49</v>
      </c>
      <c r="T4574" s="311" t="s">
        <v>51</v>
      </c>
      <c r="U4574" s="308" t="s">
        <v>4487</v>
      </c>
      <c r="V4574" s="312"/>
    </row>
    <row r="4575">
      <c r="A4575" s="308">
        <v>4574.0</v>
      </c>
      <c r="B4575" s="308"/>
      <c r="C4575" s="308" t="s">
        <v>18475</v>
      </c>
      <c r="D4575" s="308">
        <f>IFERROR(__xludf.DUMMYFUNCTION("SPLIT(C4575,""-"")"),4595.0)</f>
        <v>4595</v>
      </c>
      <c r="E4575" s="308" t="str">
        <f>IFERROR(__xludf.DUMMYFUNCTION("""COMPUTED_VALUE"""),"K")</f>
        <v>K</v>
      </c>
      <c r="F4575" s="309" t="s">
        <v>34</v>
      </c>
      <c r="G4575" s="308"/>
      <c r="H4575" s="308" t="s">
        <v>18476</v>
      </c>
      <c r="I4575" s="310">
        <v>42680.0</v>
      </c>
      <c r="J4575" s="319">
        <f>IFERROR(__xludf.DUMMYFUNCTION("SPLIT(I4575,""/"")"),6.0)</f>
        <v>6</v>
      </c>
      <c r="K4575" s="308">
        <f>IFERROR(__xludf.DUMMYFUNCTION("""COMPUTED_VALUE"""),11.0)</f>
        <v>11</v>
      </c>
      <c r="L4575" s="308">
        <f>IFERROR(__xludf.DUMMYFUNCTION("""COMPUTED_VALUE"""),2016.0)</f>
        <v>2016</v>
      </c>
      <c r="M4575" s="308" t="s">
        <v>18477</v>
      </c>
      <c r="N4575" s="308"/>
      <c r="O4575" s="308"/>
      <c r="P4575" s="308" t="s">
        <v>37768</v>
      </c>
      <c r="Q4575" s="308" t="s">
        <v>37767</v>
      </c>
      <c r="R4575" s="308" t="s">
        <v>2743</v>
      </c>
      <c r="S4575" s="308" t="s">
        <v>49</v>
      </c>
      <c r="T4575" s="308" t="s">
        <v>51</v>
      </c>
      <c r="U4575" s="308" t="s">
        <v>542</v>
      </c>
      <c r="V4575" s="312"/>
    </row>
    <row r="4576">
      <c r="A4576" s="308">
        <v>4575.0</v>
      </c>
      <c r="B4576" s="308"/>
      <c r="C4576" s="308" t="s">
        <v>18479</v>
      </c>
      <c r="D4576" s="308">
        <f>IFERROR(__xludf.DUMMYFUNCTION("SPLIT(C4576,""-"")"),4596.0)</f>
        <v>4596</v>
      </c>
      <c r="E4576" s="308" t="str">
        <f>IFERROR(__xludf.DUMMYFUNCTION("""COMPUTED_VALUE"""),"K")</f>
        <v>K</v>
      </c>
      <c r="F4576" s="309" t="s">
        <v>34</v>
      </c>
      <c r="G4576" s="308"/>
      <c r="H4576" s="308" t="s">
        <v>18480</v>
      </c>
      <c r="I4576" s="310">
        <v>42445.0</v>
      </c>
      <c r="J4576" s="319">
        <f>IFERROR(__xludf.DUMMYFUNCTION("SPLIT(I4576,""/"")"),16.0)</f>
        <v>16</v>
      </c>
      <c r="K4576" s="308">
        <f>IFERROR(__xludf.DUMMYFUNCTION("""COMPUTED_VALUE"""),3.0)</f>
        <v>3</v>
      </c>
      <c r="L4576" s="308">
        <f>IFERROR(__xludf.DUMMYFUNCTION("""COMPUTED_VALUE"""),2016.0)</f>
        <v>2016</v>
      </c>
      <c r="M4576" s="308" t="s">
        <v>18481</v>
      </c>
      <c r="N4576" s="308"/>
      <c r="O4576" s="308"/>
      <c r="P4576" s="308" t="s">
        <v>5369</v>
      </c>
      <c r="Q4576" s="308" t="s">
        <v>37767</v>
      </c>
      <c r="R4576" s="308" t="s">
        <v>2743</v>
      </c>
      <c r="S4576" s="308" t="s">
        <v>49</v>
      </c>
      <c r="T4576" s="308" t="s">
        <v>51</v>
      </c>
      <c r="U4576" s="308" t="s">
        <v>368</v>
      </c>
      <c r="V4576" s="312"/>
    </row>
    <row r="4577">
      <c r="A4577" s="308">
        <v>4576.0</v>
      </c>
      <c r="B4577" s="308"/>
      <c r="C4577" s="308" t="s">
        <v>18482</v>
      </c>
      <c r="D4577" s="308">
        <f>IFERROR(__xludf.DUMMYFUNCTION("SPLIT(C4577,""-"")"),4597.0)</f>
        <v>4597</v>
      </c>
      <c r="E4577" s="308" t="str">
        <f>IFERROR(__xludf.DUMMYFUNCTION("""COMPUTED_VALUE"""),"K")</f>
        <v>K</v>
      </c>
      <c r="F4577" s="309" t="s">
        <v>34</v>
      </c>
      <c r="G4577" s="308"/>
      <c r="H4577" s="308" t="s">
        <v>37769</v>
      </c>
      <c r="I4577" s="310">
        <v>41813.0</v>
      </c>
      <c r="J4577" s="319">
        <f>IFERROR(__xludf.DUMMYFUNCTION("SPLIT(I4577,""/"")"),23.0)</f>
        <v>23</v>
      </c>
      <c r="K4577" s="308">
        <f>IFERROR(__xludf.DUMMYFUNCTION("""COMPUTED_VALUE"""),6.0)</f>
        <v>6</v>
      </c>
      <c r="L4577" s="308">
        <f>IFERROR(__xludf.DUMMYFUNCTION("""COMPUTED_VALUE"""),2014.0)</f>
        <v>2014</v>
      </c>
      <c r="M4577" s="308" t="s">
        <v>18484</v>
      </c>
      <c r="N4577" s="308" t="s">
        <v>18485</v>
      </c>
      <c r="O4577" s="308"/>
      <c r="P4577" s="308" t="s">
        <v>2872</v>
      </c>
      <c r="Q4577" s="308" t="s">
        <v>37767</v>
      </c>
      <c r="R4577" s="308" t="s">
        <v>2743</v>
      </c>
      <c r="S4577" s="315" t="s">
        <v>100</v>
      </c>
      <c r="T4577" s="311" t="s">
        <v>34208</v>
      </c>
      <c r="U4577" s="308" t="s">
        <v>125</v>
      </c>
      <c r="V4577" s="312"/>
    </row>
    <row r="4578">
      <c r="A4578" s="308">
        <v>4577.0</v>
      </c>
      <c r="B4578" s="308"/>
      <c r="C4578" s="308" t="s">
        <v>18486</v>
      </c>
      <c r="D4578" s="308">
        <f>IFERROR(__xludf.DUMMYFUNCTION("SPLIT(C4578,""-"")"),4598.0)</f>
        <v>4598</v>
      </c>
      <c r="E4578" s="308" t="str">
        <f>IFERROR(__xludf.DUMMYFUNCTION("""COMPUTED_VALUE"""),"F")</f>
        <v>F</v>
      </c>
      <c r="F4578" s="309" t="s">
        <v>34</v>
      </c>
      <c r="G4578" s="308"/>
      <c r="H4578" s="308" t="s">
        <v>18487</v>
      </c>
      <c r="I4578" s="310">
        <v>42968.0</v>
      </c>
      <c r="J4578" s="319" t="str">
        <f>IFERROR(__xludf.DUMMYFUNCTION("SPLIT(I4578,""/"")"),"#REF!")</f>
        <v>#REF!</v>
      </c>
      <c r="K4578" s="308"/>
      <c r="L4578" s="308">
        <v>2017.0</v>
      </c>
      <c r="M4578" s="308" t="s">
        <v>18488</v>
      </c>
      <c r="N4578" s="308"/>
      <c r="O4578" s="308"/>
      <c r="P4578" s="308" t="s">
        <v>18489</v>
      </c>
      <c r="Q4578" s="308" t="s">
        <v>37767</v>
      </c>
      <c r="R4578" s="308" t="s">
        <v>2743</v>
      </c>
      <c r="S4578" s="308" t="s">
        <v>81</v>
      </c>
      <c r="T4578" s="308" t="s">
        <v>75</v>
      </c>
      <c r="U4578" s="308" t="s">
        <v>195</v>
      </c>
      <c r="V4578" s="312"/>
    </row>
    <row r="4579">
      <c r="A4579" s="308">
        <v>4578.0</v>
      </c>
      <c r="B4579" s="308"/>
      <c r="C4579" s="308" t="s">
        <v>18490</v>
      </c>
      <c r="D4579" s="308">
        <f>IFERROR(__xludf.DUMMYFUNCTION("SPLIT(C4579,""-"")"),4599.0)</f>
        <v>4599</v>
      </c>
      <c r="E4579" s="308" t="str">
        <f>IFERROR(__xludf.DUMMYFUNCTION("""COMPUTED_VALUE"""),"S")</f>
        <v>S</v>
      </c>
      <c r="F4579" s="312" t="s">
        <v>39</v>
      </c>
      <c r="G4579" s="308"/>
      <c r="H4579" s="308" t="s">
        <v>18491</v>
      </c>
      <c r="I4579" s="310">
        <v>42983.0</v>
      </c>
      <c r="J4579" s="319">
        <f>IFERROR(__xludf.DUMMYFUNCTION("SPLIT(I4579,""/"")"),5.0)</f>
        <v>5</v>
      </c>
      <c r="K4579" s="308">
        <f>IFERROR(__xludf.DUMMYFUNCTION("""COMPUTED_VALUE"""),9.0)</f>
        <v>9</v>
      </c>
      <c r="L4579" s="308">
        <f>IFERROR(__xludf.DUMMYFUNCTION("""COMPUTED_VALUE"""),2017.0)</f>
        <v>2017</v>
      </c>
      <c r="M4579" s="308" t="s">
        <v>18492</v>
      </c>
      <c r="N4579" s="308" t="s">
        <v>18493</v>
      </c>
      <c r="O4579" s="308"/>
      <c r="P4579" s="308" t="s">
        <v>9979</v>
      </c>
      <c r="Q4579" s="308" t="s">
        <v>37767</v>
      </c>
      <c r="R4579" s="308" t="s">
        <v>18494</v>
      </c>
      <c r="S4579" s="315" t="s">
        <v>100</v>
      </c>
      <c r="T4579" s="311" t="s">
        <v>34208</v>
      </c>
      <c r="U4579" s="308" t="s">
        <v>166</v>
      </c>
      <c r="V4579" s="312"/>
    </row>
    <row r="4580">
      <c r="A4580" s="308">
        <v>4579.0</v>
      </c>
      <c r="B4580" s="308"/>
      <c r="C4580" s="308" t="s">
        <v>18495</v>
      </c>
      <c r="D4580" s="308">
        <f>IFERROR(__xludf.DUMMYFUNCTION("SPLIT(C4580,""-"")"),4600.0)</f>
        <v>4600</v>
      </c>
      <c r="E4580" s="308" t="str">
        <f>IFERROR(__xludf.DUMMYFUNCTION("""COMPUTED_VALUE"""),"S")</f>
        <v>S</v>
      </c>
      <c r="F4580" s="312" t="s">
        <v>39</v>
      </c>
      <c r="G4580" s="308"/>
      <c r="H4580" s="308" t="s">
        <v>18496</v>
      </c>
      <c r="I4580" s="310">
        <v>42997.0</v>
      </c>
      <c r="J4580" s="319">
        <f>IFERROR(__xludf.DUMMYFUNCTION("SPLIT(I4580,""/"")"),19.0)</f>
        <v>19</v>
      </c>
      <c r="K4580" s="308">
        <f>IFERROR(__xludf.DUMMYFUNCTION("""COMPUTED_VALUE"""),9.0)</f>
        <v>9</v>
      </c>
      <c r="L4580" s="308">
        <f>IFERROR(__xludf.DUMMYFUNCTION("""COMPUTED_VALUE"""),2017.0)</f>
        <v>2017</v>
      </c>
      <c r="M4580" s="308" t="s">
        <v>18497</v>
      </c>
      <c r="N4580" s="308" t="s">
        <v>18498</v>
      </c>
      <c r="O4580" s="308"/>
      <c r="P4580" s="308" t="s">
        <v>9979</v>
      </c>
      <c r="Q4580" s="308" t="s">
        <v>37767</v>
      </c>
      <c r="R4580" s="308" t="s">
        <v>18499</v>
      </c>
      <c r="S4580" s="315" t="s">
        <v>100</v>
      </c>
      <c r="T4580" s="311" t="s">
        <v>34208</v>
      </c>
      <c r="U4580" s="308" t="s">
        <v>166</v>
      </c>
      <c r="V4580" s="312"/>
    </row>
    <row r="4581">
      <c r="A4581" s="308">
        <v>4580.0</v>
      </c>
      <c r="B4581" s="308"/>
      <c r="C4581" s="308" t="s">
        <v>18500</v>
      </c>
      <c r="D4581" s="308">
        <f>IFERROR(__xludf.DUMMYFUNCTION("SPLIT(C4581,""-"")"),4601.0)</f>
        <v>4601</v>
      </c>
      <c r="E4581" s="308" t="str">
        <f>IFERROR(__xludf.DUMMYFUNCTION("""COMPUTED_VALUE"""),"K")</f>
        <v>K</v>
      </c>
      <c r="F4581" s="309" t="s">
        <v>34</v>
      </c>
      <c r="G4581" s="308"/>
      <c r="H4581" s="308" t="s">
        <v>18501</v>
      </c>
      <c r="I4581" s="310">
        <v>42491.0</v>
      </c>
      <c r="J4581" s="319">
        <f>IFERROR(__xludf.DUMMYFUNCTION("SPLIT(I4581,""/"")"),1.0)</f>
        <v>1</v>
      </c>
      <c r="K4581" s="308">
        <f>IFERROR(__xludf.DUMMYFUNCTION("""COMPUTED_VALUE"""),5.0)</f>
        <v>5</v>
      </c>
      <c r="L4581" s="308">
        <f>IFERROR(__xludf.DUMMYFUNCTION("""COMPUTED_VALUE"""),2016.0)</f>
        <v>2016</v>
      </c>
      <c r="M4581" s="308" t="s">
        <v>18502</v>
      </c>
      <c r="N4581" s="308"/>
      <c r="O4581" s="308"/>
      <c r="P4581" s="308" t="s">
        <v>37770</v>
      </c>
      <c r="Q4581" s="308" t="s">
        <v>37767</v>
      </c>
      <c r="R4581" s="308" t="s">
        <v>2743</v>
      </c>
      <c r="S4581" s="308" t="s">
        <v>81</v>
      </c>
      <c r="T4581" s="311" t="s">
        <v>35043</v>
      </c>
      <c r="U4581" s="308" t="s">
        <v>125</v>
      </c>
      <c r="V4581" s="312"/>
    </row>
    <row r="4582">
      <c r="A4582" s="308">
        <v>4581.0</v>
      </c>
      <c r="B4582" s="308"/>
      <c r="C4582" s="308" t="s">
        <v>18504</v>
      </c>
      <c r="D4582" s="308">
        <f>IFERROR(__xludf.DUMMYFUNCTION("SPLIT(C4582,""-"")"),4602.0)</f>
        <v>4602</v>
      </c>
      <c r="E4582" s="308" t="str">
        <f>IFERROR(__xludf.DUMMYFUNCTION("""COMPUTED_VALUE"""),"K")</f>
        <v>K</v>
      </c>
      <c r="F4582" s="309" t="s">
        <v>34</v>
      </c>
      <c r="G4582" s="308"/>
      <c r="H4582" s="308" t="s">
        <v>18505</v>
      </c>
      <c r="I4582" s="310">
        <v>41456.0</v>
      </c>
      <c r="J4582" s="319">
        <f>IFERROR(__xludf.DUMMYFUNCTION("SPLIT(I4582,""/"")"),1.0)</f>
        <v>1</v>
      </c>
      <c r="K4582" s="308">
        <f>IFERROR(__xludf.DUMMYFUNCTION("""COMPUTED_VALUE"""),7.0)</f>
        <v>7</v>
      </c>
      <c r="L4582" s="308">
        <f>IFERROR(__xludf.DUMMYFUNCTION("""COMPUTED_VALUE"""),2013.0)</f>
        <v>2013</v>
      </c>
      <c r="M4582" s="308" t="s">
        <v>18506</v>
      </c>
      <c r="N4582" s="308"/>
      <c r="O4582" s="308"/>
      <c r="P4582" s="308" t="s">
        <v>37018</v>
      </c>
      <c r="Q4582" s="308" t="s">
        <v>37767</v>
      </c>
      <c r="R4582" s="308" t="s">
        <v>2743</v>
      </c>
      <c r="S4582" s="308" t="s">
        <v>81</v>
      </c>
      <c r="T4582" s="308" t="s">
        <v>34264</v>
      </c>
      <c r="U4582" s="308" t="s">
        <v>530</v>
      </c>
      <c r="V4582" s="312"/>
    </row>
    <row r="4583">
      <c r="A4583" s="308">
        <v>4582.0</v>
      </c>
      <c r="B4583" s="308"/>
      <c r="C4583" s="308" t="s">
        <v>18507</v>
      </c>
      <c r="D4583" s="308">
        <f>IFERROR(__xludf.DUMMYFUNCTION("SPLIT(C4583,""-"")"),4603.0)</f>
        <v>4603</v>
      </c>
      <c r="E4583" s="308" t="str">
        <f>IFERROR(__xludf.DUMMYFUNCTION("""COMPUTED_VALUE"""),"K")</f>
        <v>K</v>
      </c>
      <c r="F4583" s="309" t="s">
        <v>34</v>
      </c>
      <c r="G4583" s="308"/>
      <c r="H4583" s="308" t="s">
        <v>18508</v>
      </c>
      <c r="I4583" s="310">
        <v>39995.0</v>
      </c>
      <c r="J4583" s="319">
        <f>IFERROR(__xludf.DUMMYFUNCTION("SPLIT(I4583,""/"")"),1.0)</f>
        <v>1</v>
      </c>
      <c r="K4583" s="308">
        <f>IFERROR(__xludf.DUMMYFUNCTION("""COMPUTED_VALUE"""),7.0)</f>
        <v>7</v>
      </c>
      <c r="L4583" s="308">
        <f>IFERROR(__xludf.DUMMYFUNCTION("""COMPUTED_VALUE"""),2009.0)</f>
        <v>2009</v>
      </c>
      <c r="M4583" s="308" t="s">
        <v>18509</v>
      </c>
      <c r="N4583" s="308" t="s">
        <v>18510</v>
      </c>
      <c r="O4583" s="308"/>
      <c r="P4583" s="308" t="s">
        <v>18511</v>
      </c>
      <c r="Q4583" s="308" t="s">
        <v>37767</v>
      </c>
      <c r="R4583" s="308" t="s">
        <v>2743</v>
      </c>
      <c r="S4583" s="308" t="s">
        <v>49</v>
      </c>
      <c r="T4583" s="308" t="s">
        <v>51</v>
      </c>
      <c r="U4583" s="308" t="s">
        <v>530</v>
      </c>
      <c r="V4583" s="312"/>
    </row>
    <row r="4584">
      <c r="A4584" s="308">
        <v>4583.0</v>
      </c>
      <c r="B4584" s="308"/>
      <c r="C4584" s="308" t="s">
        <v>18512</v>
      </c>
      <c r="D4584" s="308">
        <f>IFERROR(__xludf.DUMMYFUNCTION("SPLIT(C4584,""-"")"),4604.0)</f>
        <v>4604</v>
      </c>
      <c r="E4584" s="308" t="str">
        <f>IFERROR(__xludf.DUMMYFUNCTION("""COMPUTED_VALUE"""),"K")</f>
        <v>K</v>
      </c>
      <c r="F4584" s="309" t="s">
        <v>34</v>
      </c>
      <c r="G4584" s="308"/>
      <c r="H4584" s="308" t="s">
        <v>18513</v>
      </c>
      <c r="I4584" s="310">
        <v>39995.0</v>
      </c>
      <c r="J4584" s="319">
        <f>IFERROR(__xludf.DUMMYFUNCTION("SPLIT(I4584,""/"")"),1.0)</f>
        <v>1</v>
      </c>
      <c r="K4584" s="308">
        <f>IFERROR(__xludf.DUMMYFUNCTION("""COMPUTED_VALUE"""),7.0)</f>
        <v>7</v>
      </c>
      <c r="L4584" s="308">
        <f>IFERROR(__xludf.DUMMYFUNCTION("""COMPUTED_VALUE"""),2009.0)</f>
        <v>2009</v>
      </c>
      <c r="M4584" s="308" t="s">
        <v>18514</v>
      </c>
      <c r="N4584" s="308"/>
      <c r="O4584" s="308"/>
      <c r="P4584" s="308" t="s">
        <v>1872</v>
      </c>
      <c r="Q4584" s="308" t="s">
        <v>37767</v>
      </c>
      <c r="R4584" s="308" t="s">
        <v>2743</v>
      </c>
      <c r="S4584" s="315" t="s">
        <v>100</v>
      </c>
      <c r="T4584" s="311" t="s">
        <v>34208</v>
      </c>
      <c r="U4584" s="308" t="s">
        <v>530</v>
      </c>
      <c r="V4584" s="312"/>
    </row>
    <row r="4585">
      <c r="A4585" s="308">
        <v>4584.0</v>
      </c>
      <c r="B4585" s="308"/>
      <c r="C4585" s="308" t="s">
        <v>18515</v>
      </c>
      <c r="D4585" s="308">
        <f>IFERROR(__xludf.DUMMYFUNCTION("SPLIT(C4585,""-"")"),4605.0)</f>
        <v>4605</v>
      </c>
      <c r="E4585" s="308" t="str">
        <f>IFERROR(__xludf.DUMMYFUNCTION("""COMPUTED_VALUE"""),"K")</f>
        <v>K</v>
      </c>
      <c r="F4585" s="309" t="s">
        <v>34</v>
      </c>
      <c r="G4585" s="308"/>
      <c r="H4585" s="308" t="s">
        <v>18516</v>
      </c>
      <c r="I4585" s="310">
        <v>39630.0</v>
      </c>
      <c r="J4585" s="319">
        <f>IFERROR(__xludf.DUMMYFUNCTION("SPLIT(I4585,""/"")"),1.0)</f>
        <v>1</v>
      </c>
      <c r="K4585" s="308">
        <f>IFERROR(__xludf.DUMMYFUNCTION("""COMPUTED_VALUE"""),7.0)</f>
        <v>7</v>
      </c>
      <c r="L4585" s="308">
        <f>IFERROR(__xludf.DUMMYFUNCTION("""COMPUTED_VALUE"""),2008.0)</f>
        <v>2008</v>
      </c>
      <c r="M4585" s="308" t="s">
        <v>18517</v>
      </c>
      <c r="N4585" s="308"/>
      <c r="O4585" s="308" t="s">
        <v>18518</v>
      </c>
      <c r="P4585" s="308" t="s">
        <v>6381</v>
      </c>
      <c r="Q4585" s="308" t="s">
        <v>37767</v>
      </c>
      <c r="R4585" s="308" t="s">
        <v>2743</v>
      </c>
      <c r="S4585" s="315" t="s">
        <v>100</v>
      </c>
      <c r="T4585" s="311" t="s">
        <v>34208</v>
      </c>
      <c r="U4585" s="308" t="s">
        <v>125</v>
      </c>
      <c r="V4585" s="312"/>
    </row>
    <row r="4586">
      <c r="A4586" s="308">
        <v>4585.0</v>
      </c>
      <c r="B4586" s="308"/>
      <c r="C4586" s="308" t="s">
        <v>18519</v>
      </c>
      <c r="D4586" s="308">
        <f>IFERROR(__xludf.DUMMYFUNCTION("SPLIT(C4586,""-"")"),4606.0)</f>
        <v>4606</v>
      </c>
      <c r="E4586" s="308" t="str">
        <f>IFERROR(__xludf.DUMMYFUNCTION("""COMPUTED_VALUE"""),"P")</f>
        <v>P</v>
      </c>
      <c r="F4586" s="312" t="s">
        <v>37</v>
      </c>
      <c r="G4586" s="308"/>
      <c r="H4586" s="308" t="s">
        <v>18520</v>
      </c>
      <c r="I4586" s="310">
        <v>36631.0</v>
      </c>
      <c r="J4586" s="319">
        <f>IFERROR(__xludf.DUMMYFUNCTION("SPLIT(I4586,""/"")"),15.0)</f>
        <v>15</v>
      </c>
      <c r="K4586" s="308">
        <f>IFERROR(__xludf.DUMMYFUNCTION("""COMPUTED_VALUE"""),4.0)</f>
        <v>4</v>
      </c>
      <c r="L4586" s="308">
        <f>IFERROR(__xludf.DUMMYFUNCTION("""COMPUTED_VALUE"""),2000.0)</f>
        <v>2000</v>
      </c>
      <c r="M4586" s="308" t="s">
        <v>18521</v>
      </c>
      <c r="N4586" s="308"/>
      <c r="O4586" s="308" t="s">
        <v>18522</v>
      </c>
      <c r="P4586" s="308" t="s">
        <v>18523</v>
      </c>
      <c r="Q4586" s="308" t="s">
        <v>37767</v>
      </c>
      <c r="R4586" s="308" t="s">
        <v>2743</v>
      </c>
      <c r="S4586" s="308" t="s">
        <v>49</v>
      </c>
      <c r="T4586" s="311" t="s">
        <v>51</v>
      </c>
      <c r="U4586" s="308" t="s">
        <v>1182</v>
      </c>
      <c r="V4586" s="312"/>
    </row>
    <row r="4587">
      <c r="A4587" s="308">
        <v>4586.0</v>
      </c>
      <c r="B4587" s="308"/>
      <c r="C4587" s="308" t="s">
        <v>18524</v>
      </c>
      <c r="D4587" s="308">
        <f>IFERROR(__xludf.DUMMYFUNCTION("SPLIT(C4587,""-"")"),4607.0)</f>
        <v>4607</v>
      </c>
      <c r="E4587" s="308" t="str">
        <f>IFERROR(__xludf.DUMMYFUNCTION("""COMPUTED_VALUE"""),"F")</f>
        <v>F</v>
      </c>
      <c r="F4587" s="309" t="s">
        <v>34</v>
      </c>
      <c r="G4587" s="308"/>
      <c r="H4587" s="308" t="s">
        <v>18525</v>
      </c>
      <c r="I4587" s="310">
        <v>42917.0</v>
      </c>
      <c r="J4587" s="319" t="str">
        <f>IFERROR(__xludf.DUMMYFUNCTION("SPLIT(I4587,""/"")"),"#REF!")</f>
        <v>#REF!</v>
      </c>
      <c r="K4587" s="308"/>
      <c r="L4587" s="308">
        <v>2017.0</v>
      </c>
      <c r="M4587" s="308" t="s">
        <v>18526</v>
      </c>
      <c r="N4587" s="308"/>
      <c r="O4587" s="308"/>
      <c r="P4587" s="308" t="s">
        <v>18527</v>
      </c>
      <c r="Q4587" s="308" t="s">
        <v>37767</v>
      </c>
      <c r="R4587" s="308" t="s">
        <v>2743</v>
      </c>
      <c r="S4587" s="308" t="s">
        <v>81</v>
      </c>
      <c r="T4587" s="308" t="s">
        <v>73</v>
      </c>
      <c r="U4587" s="308" t="s">
        <v>195</v>
      </c>
      <c r="V4587" s="312"/>
    </row>
    <row r="4588">
      <c r="A4588" s="308">
        <v>4587.0</v>
      </c>
      <c r="B4588" s="308"/>
      <c r="C4588" s="308" t="s">
        <v>18528</v>
      </c>
      <c r="D4588" s="308">
        <f>IFERROR(__xludf.DUMMYFUNCTION("SPLIT(C4588,""-"")"),4608.0)</f>
        <v>4608</v>
      </c>
      <c r="E4588" s="308" t="str">
        <f>IFERROR(__xludf.DUMMYFUNCTION("""COMPUTED_VALUE"""),"P")</f>
        <v>P</v>
      </c>
      <c r="F4588" s="312" t="s">
        <v>37</v>
      </c>
      <c r="G4588" s="308"/>
      <c r="H4588" s="308" t="s">
        <v>18529</v>
      </c>
      <c r="I4588" s="310">
        <v>42610.0</v>
      </c>
      <c r="J4588" s="319">
        <f>IFERROR(__xludf.DUMMYFUNCTION("SPLIT(I4588,""/"")"),28.0)</f>
        <v>28</v>
      </c>
      <c r="K4588" s="308">
        <f>IFERROR(__xludf.DUMMYFUNCTION("""COMPUTED_VALUE"""),8.0)</f>
        <v>8</v>
      </c>
      <c r="L4588" s="308">
        <f>IFERROR(__xludf.DUMMYFUNCTION("""COMPUTED_VALUE"""),2016.0)</f>
        <v>2016</v>
      </c>
      <c r="M4588" s="308" t="s">
        <v>18530</v>
      </c>
      <c r="N4588" s="308"/>
      <c r="O4588" s="308"/>
      <c r="P4588" s="308" t="s">
        <v>37443</v>
      </c>
      <c r="Q4588" s="308" t="s">
        <v>37771</v>
      </c>
      <c r="R4588" s="308" t="s">
        <v>2743</v>
      </c>
      <c r="S4588" s="308" t="s">
        <v>81</v>
      </c>
      <c r="T4588" s="308" t="s">
        <v>34264</v>
      </c>
      <c r="U4588" s="308" t="s">
        <v>143</v>
      </c>
      <c r="V4588" s="312"/>
    </row>
    <row r="4589">
      <c r="A4589" s="308">
        <v>4588.0</v>
      </c>
      <c r="B4589" s="308"/>
      <c r="C4589" s="308" t="s">
        <v>18531</v>
      </c>
      <c r="D4589" s="308">
        <f>IFERROR(__xludf.DUMMYFUNCTION("SPLIT(C4589,""-"")"),4609.0)</f>
        <v>4609</v>
      </c>
      <c r="E4589" s="308" t="str">
        <f>IFERROR(__xludf.DUMMYFUNCTION("""COMPUTED_VALUE"""),"K")</f>
        <v>K</v>
      </c>
      <c r="F4589" s="309" t="s">
        <v>34</v>
      </c>
      <c r="G4589" s="308"/>
      <c r="H4589" s="308" t="s">
        <v>37772</v>
      </c>
      <c r="I4589" s="310">
        <v>41757.0</v>
      </c>
      <c r="J4589" s="319">
        <f>IFERROR(__xludf.DUMMYFUNCTION("SPLIT(I4589,""/"")"),28.0)</f>
        <v>28</v>
      </c>
      <c r="K4589" s="308">
        <f>IFERROR(__xludf.DUMMYFUNCTION("""COMPUTED_VALUE"""),4.0)</f>
        <v>4</v>
      </c>
      <c r="L4589" s="308">
        <f>IFERROR(__xludf.DUMMYFUNCTION("""COMPUTED_VALUE"""),2014.0)</f>
        <v>2014</v>
      </c>
      <c r="M4589" s="308" t="s">
        <v>18533</v>
      </c>
      <c r="N4589" s="308"/>
      <c r="O4589" s="308"/>
      <c r="P4589" s="308" t="s">
        <v>18534</v>
      </c>
      <c r="Q4589" s="308" t="s">
        <v>37773</v>
      </c>
      <c r="R4589" s="308" t="s">
        <v>2743</v>
      </c>
      <c r="S4589" s="308" t="s">
        <v>49</v>
      </c>
      <c r="T4589" s="308" t="s">
        <v>51</v>
      </c>
      <c r="U4589" s="308" t="s">
        <v>368</v>
      </c>
      <c r="V4589" s="312"/>
    </row>
    <row r="4590">
      <c r="A4590" s="308">
        <v>4589.0</v>
      </c>
      <c r="B4590" s="308"/>
      <c r="C4590" s="308" t="s">
        <v>18535</v>
      </c>
      <c r="D4590" s="308">
        <f>IFERROR(__xludf.DUMMYFUNCTION("SPLIT(C4590,""-"")"),4610.0)</f>
        <v>4610</v>
      </c>
      <c r="E4590" s="308" t="str">
        <f>IFERROR(__xludf.DUMMYFUNCTION("""COMPUTED_VALUE"""),"B")</f>
        <v>B</v>
      </c>
      <c r="F4590" s="315" t="s">
        <v>26</v>
      </c>
      <c r="G4590" s="308"/>
      <c r="H4590" s="308" t="s">
        <v>18536</v>
      </c>
      <c r="I4590" s="310">
        <v>41538.0</v>
      </c>
      <c r="J4590" s="319">
        <f>IFERROR(__xludf.DUMMYFUNCTION("SPLIT(I4590,""/"")"),21.0)</f>
        <v>21</v>
      </c>
      <c r="K4590" s="308">
        <f>IFERROR(__xludf.DUMMYFUNCTION("""COMPUTED_VALUE"""),9.0)</f>
        <v>9</v>
      </c>
      <c r="L4590" s="308">
        <f>IFERROR(__xludf.DUMMYFUNCTION("""COMPUTED_VALUE"""),2013.0)</f>
        <v>2013</v>
      </c>
      <c r="M4590" s="308" t="s">
        <v>18537</v>
      </c>
      <c r="N4590" s="308"/>
      <c r="O4590" s="308"/>
      <c r="P4590" s="308" t="s">
        <v>37774</v>
      </c>
      <c r="Q4590" s="308" t="s">
        <v>37775</v>
      </c>
      <c r="R4590" s="308" t="s">
        <v>2743</v>
      </c>
      <c r="S4590" s="315" t="s">
        <v>100</v>
      </c>
      <c r="T4590" s="311" t="s">
        <v>34208</v>
      </c>
      <c r="U4590" s="308" t="s">
        <v>27</v>
      </c>
      <c r="V4590" s="312"/>
    </row>
    <row r="4591">
      <c r="A4591" s="308">
        <v>4590.0</v>
      </c>
      <c r="B4591" s="308"/>
      <c r="C4591" s="308" t="s">
        <v>18538</v>
      </c>
      <c r="D4591" s="308">
        <f>IFERROR(__xludf.DUMMYFUNCTION("SPLIT(C4591,""-"")"),4611.0)</f>
        <v>4611</v>
      </c>
      <c r="E4591" s="308" t="str">
        <f>IFERROR(__xludf.DUMMYFUNCTION("""COMPUTED_VALUE"""),"B")</f>
        <v>B</v>
      </c>
      <c r="F4591" s="315" t="s">
        <v>26</v>
      </c>
      <c r="G4591" s="308"/>
      <c r="H4591" s="308" t="s">
        <v>18539</v>
      </c>
      <c r="I4591" s="310">
        <v>42114.0</v>
      </c>
      <c r="J4591" s="319">
        <f>IFERROR(__xludf.DUMMYFUNCTION("SPLIT(I4591,""/"")"),20.0)</f>
        <v>20</v>
      </c>
      <c r="K4591" s="308">
        <f>IFERROR(__xludf.DUMMYFUNCTION("""COMPUTED_VALUE"""),4.0)</f>
        <v>4</v>
      </c>
      <c r="L4591" s="308">
        <f>IFERROR(__xludf.DUMMYFUNCTION("""COMPUTED_VALUE"""),2015.0)</f>
        <v>2015</v>
      </c>
      <c r="M4591" s="308" t="s">
        <v>18540</v>
      </c>
      <c r="N4591" s="308"/>
      <c r="O4591" s="308"/>
      <c r="P4591" s="308" t="s">
        <v>18541</v>
      </c>
      <c r="Q4591" s="308" t="s">
        <v>37775</v>
      </c>
      <c r="R4591" s="308" t="s">
        <v>2743</v>
      </c>
      <c r="S4591" s="308" t="s">
        <v>81</v>
      </c>
      <c r="T4591" s="311" t="s">
        <v>75</v>
      </c>
      <c r="U4591" s="308" t="s">
        <v>27</v>
      </c>
      <c r="V4591" s="312"/>
    </row>
    <row r="4592">
      <c r="A4592" s="308">
        <v>4591.0</v>
      </c>
      <c r="B4592" s="308"/>
      <c r="C4592" s="308" t="s">
        <v>18542</v>
      </c>
      <c r="D4592" s="308">
        <f>IFERROR(__xludf.DUMMYFUNCTION("SPLIT(C4592,""-"")"),4612.0)</f>
        <v>4612</v>
      </c>
      <c r="E4592" s="308" t="str">
        <f>IFERROR(__xludf.DUMMYFUNCTION("""COMPUTED_VALUE"""),"B")</f>
        <v>B</v>
      </c>
      <c r="F4592" s="315" t="s">
        <v>26</v>
      </c>
      <c r="G4592" s="308"/>
      <c r="H4592" s="308" t="s">
        <v>18543</v>
      </c>
      <c r="I4592" s="310">
        <v>41670.0</v>
      </c>
      <c r="J4592" s="319">
        <f>IFERROR(__xludf.DUMMYFUNCTION("SPLIT(I4592,""/"")"),31.0)</f>
        <v>31</v>
      </c>
      <c r="K4592" s="308">
        <f>IFERROR(__xludf.DUMMYFUNCTION("""COMPUTED_VALUE"""),1.0)</f>
        <v>1</v>
      </c>
      <c r="L4592" s="308">
        <f>IFERROR(__xludf.DUMMYFUNCTION("""COMPUTED_VALUE"""),2014.0)</f>
        <v>2014</v>
      </c>
      <c r="M4592" s="308" t="s">
        <v>18544</v>
      </c>
      <c r="N4592" s="308"/>
      <c r="O4592" s="308"/>
      <c r="P4592" s="308" t="s">
        <v>37776</v>
      </c>
      <c r="Q4592" s="308" t="s">
        <v>37775</v>
      </c>
      <c r="R4592" s="308" t="s">
        <v>2743</v>
      </c>
      <c r="S4592" s="308" t="s">
        <v>49</v>
      </c>
      <c r="T4592" s="311" t="s">
        <v>51</v>
      </c>
      <c r="U4592" s="308" t="s">
        <v>27</v>
      </c>
      <c r="V4592" s="312"/>
    </row>
    <row r="4593">
      <c r="A4593" s="308">
        <v>4592.0</v>
      </c>
      <c r="B4593" s="308"/>
      <c r="C4593" s="308" t="s">
        <v>18546</v>
      </c>
      <c r="D4593" s="308">
        <f>IFERROR(__xludf.DUMMYFUNCTION("SPLIT(C4593,""-"")"),4613.0)</f>
        <v>4613</v>
      </c>
      <c r="E4593" s="308" t="str">
        <f>IFERROR(__xludf.DUMMYFUNCTION("""COMPUTED_VALUE"""),"P")</f>
        <v>P</v>
      </c>
      <c r="F4593" s="312" t="s">
        <v>37</v>
      </c>
      <c r="G4593" s="308"/>
      <c r="H4593" s="308" t="s">
        <v>18547</v>
      </c>
      <c r="I4593" s="310">
        <v>42869.0</v>
      </c>
      <c r="J4593" s="319">
        <f>IFERROR(__xludf.DUMMYFUNCTION("SPLIT(I4593,""/"")"),14.0)</f>
        <v>14</v>
      </c>
      <c r="K4593" s="308">
        <f>IFERROR(__xludf.DUMMYFUNCTION("""COMPUTED_VALUE"""),5.0)</f>
        <v>5</v>
      </c>
      <c r="L4593" s="308">
        <f>IFERROR(__xludf.DUMMYFUNCTION("""COMPUTED_VALUE"""),2017.0)</f>
        <v>2017</v>
      </c>
      <c r="M4593" s="308" t="s">
        <v>18548</v>
      </c>
      <c r="N4593" s="308"/>
      <c r="O4593" s="308"/>
      <c r="P4593" s="308" t="s">
        <v>37777</v>
      </c>
      <c r="Q4593" s="308" t="s">
        <v>37778</v>
      </c>
      <c r="R4593" s="308" t="s">
        <v>2743</v>
      </c>
      <c r="S4593" s="308" t="s">
        <v>49</v>
      </c>
      <c r="T4593" s="308" t="s">
        <v>51</v>
      </c>
      <c r="U4593" s="308" t="s">
        <v>2291</v>
      </c>
      <c r="V4593" s="312"/>
    </row>
    <row r="4594">
      <c r="A4594" s="308">
        <v>4593.0</v>
      </c>
      <c r="B4594" s="308"/>
      <c r="C4594" s="308" t="s">
        <v>18550</v>
      </c>
      <c r="D4594" s="308">
        <f>IFERROR(__xludf.DUMMYFUNCTION("SPLIT(C4594,""-"")"),4614.0)</f>
        <v>4614</v>
      </c>
      <c r="E4594" s="308" t="str">
        <f>IFERROR(__xludf.DUMMYFUNCTION("""COMPUTED_VALUE"""),"F")</f>
        <v>F</v>
      </c>
      <c r="F4594" s="309" t="s">
        <v>34</v>
      </c>
      <c r="G4594" s="308"/>
      <c r="H4594" s="308" t="s">
        <v>18551</v>
      </c>
      <c r="I4594" s="314">
        <v>41954.0</v>
      </c>
      <c r="J4594" s="319">
        <f>IFERROR(__xludf.DUMMYFUNCTION("SPLIT(I4594,""/"")"),11.0)</f>
        <v>11</v>
      </c>
      <c r="K4594" s="308">
        <f>IFERROR(__xludf.DUMMYFUNCTION("""COMPUTED_VALUE"""),11.0)</f>
        <v>11</v>
      </c>
      <c r="L4594" s="308">
        <f>IFERROR(__xludf.DUMMYFUNCTION("""COMPUTED_VALUE"""),2014.0)</f>
        <v>2014</v>
      </c>
      <c r="M4594" s="308" t="s">
        <v>18552</v>
      </c>
      <c r="N4594" s="308"/>
      <c r="O4594" s="308"/>
      <c r="P4594" s="308" t="s">
        <v>36492</v>
      </c>
      <c r="Q4594" s="308" t="s">
        <v>37778</v>
      </c>
      <c r="R4594" s="308" t="s">
        <v>2743</v>
      </c>
      <c r="S4594" s="315" t="s">
        <v>100</v>
      </c>
      <c r="T4594" s="311" t="s">
        <v>34208</v>
      </c>
      <c r="U4594" s="308" t="s">
        <v>195</v>
      </c>
      <c r="V4594" s="312"/>
    </row>
    <row r="4595">
      <c r="A4595" s="308">
        <v>4594.0</v>
      </c>
      <c r="B4595" s="308"/>
      <c r="C4595" s="308" t="s">
        <v>18553</v>
      </c>
      <c r="D4595" s="308">
        <f>IFERROR(__xludf.DUMMYFUNCTION("SPLIT(C4595,""-"")"),4615.0)</f>
        <v>4615</v>
      </c>
      <c r="E4595" s="308" t="str">
        <f>IFERROR(__xludf.DUMMYFUNCTION("""COMPUTED_VALUE"""),"P")</f>
        <v>P</v>
      </c>
      <c r="F4595" s="312" t="s">
        <v>37</v>
      </c>
      <c r="G4595" s="308"/>
      <c r="H4595" s="308" t="s">
        <v>18554</v>
      </c>
      <c r="I4595" s="310">
        <v>43104.0</v>
      </c>
      <c r="J4595" s="319">
        <f>IFERROR(__xludf.DUMMYFUNCTION("SPLIT(I4595,""/"")"),4.0)</f>
        <v>4</v>
      </c>
      <c r="K4595" s="308">
        <f>IFERROR(__xludf.DUMMYFUNCTION("""COMPUTED_VALUE"""),1.0)</f>
        <v>1</v>
      </c>
      <c r="L4595" s="308">
        <f>IFERROR(__xludf.DUMMYFUNCTION("""COMPUTED_VALUE"""),2018.0)</f>
        <v>2018</v>
      </c>
      <c r="M4595" s="308" t="s">
        <v>18555</v>
      </c>
      <c r="N4595" s="308"/>
      <c r="O4595" s="308"/>
      <c r="P4595" s="308" t="s">
        <v>37779</v>
      </c>
      <c r="Q4595" s="308" t="s">
        <v>37780</v>
      </c>
      <c r="R4595" s="308" t="s">
        <v>2743</v>
      </c>
      <c r="S4595" s="308" t="s">
        <v>81</v>
      </c>
      <c r="T4595" s="311" t="s">
        <v>73</v>
      </c>
      <c r="U4595" s="308" t="s">
        <v>143</v>
      </c>
      <c r="V4595" s="312"/>
    </row>
    <row r="4596">
      <c r="A4596" s="308">
        <v>4595.0</v>
      </c>
      <c r="B4596" s="308"/>
      <c r="C4596" s="308" t="s">
        <v>18557</v>
      </c>
      <c r="D4596" s="308">
        <f>IFERROR(__xludf.DUMMYFUNCTION("SPLIT(C4596,""-"")"),4616.0)</f>
        <v>4616</v>
      </c>
      <c r="E4596" s="308" t="str">
        <f>IFERROR(__xludf.DUMMYFUNCTION("""COMPUTED_VALUE"""),"K")</f>
        <v>K</v>
      </c>
      <c r="F4596" s="309" t="s">
        <v>34</v>
      </c>
      <c r="G4596" s="308"/>
      <c r="H4596" s="308" t="s">
        <v>18558</v>
      </c>
      <c r="I4596" s="310">
        <v>42879.0</v>
      </c>
      <c r="J4596" s="319" t="str">
        <f>IFERROR(__xludf.DUMMYFUNCTION("SPLIT(I4596,""/"")"),"#REF!")</f>
        <v>#REF!</v>
      </c>
      <c r="K4596" s="308"/>
      <c r="L4596" s="308">
        <v>2017.0</v>
      </c>
      <c r="M4596" s="308" t="s">
        <v>18559</v>
      </c>
      <c r="N4596" s="308"/>
      <c r="O4596" s="308"/>
      <c r="P4596" s="308" t="s">
        <v>18560</v>
      </c>
      <c r="Q4596" s="308" t="s">
        <v>37780</v>
      </c>
      <c r="R4596" s="308" t="s">
        <v>2743</v>
      </c>
      <c r="S4596" s="308" t="s">
        <v>81</v>
      </c>
      <c r="T4596" s="311" t="s">
        <v>37781</v>
      </c>
      <c r="U4596" s="308" t="s">
        <v>368</v>
      </c>
      <c r="V4596" s="312"/>
    </row>
    <row r="4597">
      <c r="A4597" s="308">
        <v>4596.0</v>
      </c>
      <c r="B4597" s="308"/>
      <c r="C4597" s="308" t="s">
        <v>18561</v>
      </c>
      <c r="D4597" s="308">
        <f>IFERROR(__xludf.DUMMYFUNCTION("SPLIT(C4597,""-"")"),4617.0)</f>
        <v>4617</v>
      </c>
      <c r="E4597" s="308" t="str">
        <f>IFERROR(__xludf.DUMMYFUNCTION("""COMPUTED_VALUE"""),"K")</f>
        <v>K</v>
      </c>
      <c r="F4597" s="309" t="s">
        <v>34</v>
      </c>
      <c r="G4597" s="308"/>
      <c r="H4597" s="308" t="s">
        <v>18562</v>
      </c>
      <c r="I4597" s="310">
        <v>42878.0</v>
      </c>
      <c r="J4597" s="319" t="str">
        <f>IFERROR(__xludf.DUMMYFUNCTION("SPLIT(I4597,""/"")"),"#REF!")</f>
        <v>#REF!</v>
      </c>
      <c r="K4597" s="308"/>
      <c r="L4597" s="308">
        <v>2017.0</v>
      </c>
      <c r="M4597" s="308" t="s">
        <v>18563</v>
      </c>
      <c r="N4597" s="308"/>
      <c r="O4597" s="308"/>
      <c r="P4597" s="308" t="s">
        <v>18564</v>
      </c>
      <c r="Q4597" s="308" t="s">
        <v>37780</v>
      </c>
      <c r="R4597" s="308" t="s">
        <v>2743</v>
      </c>
      <c r="S4597" s="308" t="s">
        <v>81</v>
      </c>
      <c r="T4597" s="308" t="s">
        <v>75</v>
      </c>
      <c r="U4597" s="308" t="s">
        <v>368</v>
      </c>
      <c r="V4597" s="312"/>
    </row>
    <row r="4598">
      <c r="A4598" s="308">
        <v>4597.0</v>
      </c>
      <c r="B4598" s="308"/>
      <c r="C4598" s="308" t="s">
        <v>18565</v>
      </c>
      <c r="D4598" s="308">
        <f>IFERROR(__xludf.DUMMYFUNCTION("SPLIT(C4598,""-"")"),4618.0)</f>
        <v>4618</v>
      </c>
      <c r="E4598" s="308" t="str">
        <f>IFERROR(__xludf.DUMMYFUNCTION("""COMPUTED_VALUE"""),"P")</f>
        <v>P</v>
      </c>
      <c r="F4598" s="312" t="s">
        <v>37</v>
      </c>
      <c r="G4598" s="308"/>
      <c r="H4598" s="308" t="s">
        <v>18566</v>
      </c>
      <c r="I4598" s="310">
        <v>42514.0</v>
      </c>
      <c r="J4598" s="319">
        <f>IFERROR(__xludf.DUMMYFUNCTION("SPLIT(I4598,""/"")"),24.0)</f>
        <v>24</v>
      </c>
      <c r="K4598" s="308">
        <f>IFERROR(__xludf.DUMMYFUNCTION("""COMPUTED_VALUE"""),5.0)</f>
        <v>5</v>
      </c>
      <c r="L4598" s="308">
        <f>IFERROR(__xludf.DUMMYFUNCTION("""COMPUTED_VALUE"""),2016.0)</f>
        <v>2016</v>
      </c>
      <c r="M4598" s="308" t="s">
        <v>18567</v>
      </c>
      <c r="N4598" s="308"/>
      <c r="O4598" s="308"/>
      <c r="P4598" s="308" t="s">
        <v>37782</v>
      </c>
      <c r="Q4598" s="308" t="s">
        <v>37780</v>
      </c>
      <c r="R4598" s="308" t="s">
        <v>2743</v>
      </c>
      <c r="S4598" s="315" t="s">
        <v>100</v>
      </c>
      <c r="T4598" s="311" t="s">
        <v>34208</v>
      </c>
      <c r="U4598" s="308" t="s">
        <v>149</v>
      </c>
      <c r="V4598" s="312"/>
    </row>
    <row r="4599">
      <c r="A4599" s="308">
        <v>4598.0</v>
      </c>
      <c r="B4599" s="308"/>
      <c r="C4599" s="308" t="s">
        <v>18568</v>
      </c>
      <c r="D4599" s="308">
        <f>IFERROR(__xludf.DUMMYFUNCTION("SPLIT(C4599,""-"")"),4619.0)</f>
        <v>4619</v>
      </c>
      <c r="E4599" s="308" t="str">
        <f>IFERROR(__xludf.DUMMYFUNCTION("""COMPUTED_VALUE"""),"S")</f>
        <v>S</v>
      </c>
      <c r="F4599" s="312" t="s">
        <v>39</v>
      </c>
      <c r="G4599" s="308"/>
      <c r="H4599" s="308" t="s">
        <v>18569</v>
      </c>
      <c r="I4599" s="314">
        <v>43080.0</v>
      </c>
      <c r="J4599" s="319">
        <f>IFERROR(__xludf.DUMMYFUNCTION("SPLIT(I4599,""/"")"),11.0)</f>
        <v>11</v>
      </c>
      <c r="K4599" s="308">
        <f>IFERROR(__xludf.DUMMYFUNCTION("""COMPUTED_VALUE"""),12.0)</f>
        <v>12</v>
      </c>
      <c r="L4599" s="308">
        <f>IFERROR(__xludf.DUMMYFUNCTION("""COMPUTED_VALUE"""),2017.0)</f>
        <v>2017</v>
      </c>
      <c r="M4599" s="308" t="s">
        <v>18570</v>
      </c>
      <c r="N4599" s="308"/>
      <c r="O4599" s="308"/>
      <c r="P4599" s="308" t="s">
        <v>18571</v>
      </c>
      <c r="Q4599" s="308" t="s">
        <v>37780</v>
      </c>
      <c r="R4599" s="308" t="s">
        <v>2743</v>
      </c>
      <c r="S4599" s="308" t="s">
        <v>81</v>
      </c>
      <c r="T4599" s="308" t="s">
        <v>73</v>
      </c>
      <c r="U4599" s="308" t="s">
        <v>166</v>
      </c>
      <c r="V4599" s="312"/>
    </row>
    <row r="4600">
      <c r="A4600" s="308">
        <v>4599.0</v>
      </c>
      <c r="B4600" s="308"/>
      <c r="C4600" s="308" t="s">
        <v>18572</v>
      </c>
      <c r="D4600" s="308">
        <f>IFERROR(__xludf.DUMMYFUNCTION("SPLIT(C4600,""-"")"),4620.0)</f>
        <v>4620</v>
      </c>
      <c r="E4600" s="308" t="str">
        <f>IFERROR(__xludf.DUMMYFUNCTION("""COMPUTED_VALUE"""),"P")</f>
        <v>P</v>
      </c>
      <c r="F4600" s="312" t="s">
        <v>37</v>
      </c>
      <c r="G4600" s="308"/>
      <c r="H4600" s="308" t="s">
        <v>18573</v>
      </c>
      <c r="I4600" s="314">
        <v>43089.0</v>
      </c>
      <c r="J4600" s="319">
        <f>IFERROR(__xludf.DUMMYFUNCTION("SPLIT(I4600,""/"")"),20.0)</f>
        <v>20</v>
      </c>
      <c r="K4600" s="308">
        <f>IFERROR(__xludf.DUMMYFUNCTION("""COMPUTED_VALUE"""),12.0)</f>
        <v>12</v>
      </c>
      <c r="L4600" s="308">
        <f>IFERROR(__xludf.DUMMYFUNCTION("""COMPUTED_VALUE"""),2017.0)</f>
        <v>2017</v>
      </c>
      <c r="M4600" s="308" t="s">
        <v>18574</v>
      </c>
      <c r="N4600" s="308"/>
      <c r="O4600" s="308"/>
      <c r="P4600" s="308" t="s">
        <v>37783</v>
      </c>
      <c r="Q4600" s="308" t="s">
        <v>37780</v>
      </c>
      <c r="R4600" s="308" t="s">
        <v>2743</v>
      </c>
      <c r="S4600" s="308" t="s">
        <v>81</v>
      </c>
      <c r="T4600" s="308" t="s">
        <v>75</v>
      </c>
      <c r="U4600" s="308" t="s">
        <v>18576</v>
      </c>
      <c r="V4600" s="312"/>
    </row>
    <row r="4601">
      <c r="A4601" s="308">
        <v>4600.0</v>
      </c>
      <c r="B4601" s="308"/>
      <c r="C4601" s="308" t="s">
        <v>18577</v>
      </c>
      <c r="D4601" s="308">
        <f>IFERROR(__xludf.DUMMYFUNCTION("SPLIT(C4601,""-"")"),4621.0)</f>
        <v>4621</v>
      </c>
      <c r="E4601" s="308" t="str">
        <f>IFERROR(__xludf.DUMMYFUNCTION("""COMPUTED_VALUE"""),"S")</f>
        <v>S</v>
      </c>
      <c r="F4601" s="312" t="s">
        <v>39</v>
      </c>
      <c r="G4601" s="308"/>
      <c r="H4601" s="308" t="s">
        <v>18578</v>
      </c>
      <c r="I4601" s="310">
        <v>43104.0</v>
      </c>
      <c r="J4601" s="319">
        <f>IFERROR(__xludf.DUMMYFUNCTION("SPLIT(I4601,""/"")"),4.0)</f>
        <v>4</v>
      </c>
      <c r="K4601" s="308">
        <f>IFERROR(__xludf.DUMMYFUNCTION("""COMPUTED_VALUE"""),1.0)</f>
        <v>1</v>
      </c>
      <c r="L4601" s="308">
        <f>IFERROR(__xludf.DUMMYFUNCTION("""COMPUTED_VALUE"""),2018.0)</f>
        <v>2018</v>
      </c>
      <c r="M4601" s="308" t="s">
        <v>18579</v>
      </c>
      <c r="N4601" s="308"/>
      <c r="O4601" s="308"/>
      <c r="P4601" s="308" t="s">
        <v>18580</v>
      </c>
      <c r="Q4601" s="308" t="s">
        <v>37780</v>
      </c>
      <c r="R4601" s="308" t="s">
        <v>2743</v>
      </c>
      <c r="S4601" s="308" t="s">
        <v>81</v>
      </c>
      <c r="T4601" s="308" t="s">
        <v>75</v>
      </c>
      <c r="U4601" s="308" t="s">
        <v>166</v>
      </c>
      <c r="V4601" s="312"/>
    </row>
    <row r="4602">
      <c r="A4602" s="308">
        <v>4601.0</v>
      </c>
      <c r="B4602" s="308"/>
      <c r="C4602" s="308" t="s">
        <v>18581</v>
      </c>
      <c r="D4602" s="308">
        <f>IFERROR(__xludf.DUMMYFUNCTION("SPLIT(C4602,""-"")"),4622.0)</f>
        <v>4622</v>
      </c>
      <c r="E4602" s="308" t="str">
        <f>IFERROR(__xludf.DUMMYFUNCTION("""COMPUTED_VALUE"""),"K")</f>
        <v>K</v>
      </c>
      <c r="F4602" s="309" t="s">
        <v>34</v>
      </c>
      <c r="G4602" s="308"/>
      <c r="H4602" s="308" t="s">
        <v>18582</v>
      </c>
      <c r="I4602" s="310">
        <v>42969.0</v>
      </c>
      <c r="J4602" s="319" t="str">
        <f>IFERROR(__xludf.DUMMYFUNCTION("SPLIT(I4602,""/"")"),"#REF!")</f>
        <v>#REF!</v>
      </c>
      <c r="K4602" s="308"/>
      <c r="L4602" s="308">
        <v>2017.0</v>
      </c>
      <c r="M4602" s="308" t="s">
        <v>18583</v>
      </c>
      <c r="N4602" s="308"/>
      <c r="O4602" s="308"/>
      <c r="P4602" s="308" t="s">
        <v>37784</v>
      </c>
      <c r="Q4602" s="308" t="s">
        <v>37780</v>
      </c>
      <c r="R4602" s="308" t="s">
        <v>2743</v>
      </c>
      <c r="S4602" s="308" t="s">
        <v>81</v>
      </c>
      <c r="T4602" s="308" t="s">
        <v>75</v>
      </c>
      <c r="U4602" s="308" t="s">
        <v>368</v>
      </c>
      <c r="V4602" s="312"/>
    </row>
    <row r="4603">
      <c r="A4603" s="308">
        <v>4602.0</v>
      </c>
      <c r="B4603" s="308"/>
      <c r="C4603" s="308" t="s">
        <v>18585</v>
      </c>
      <c r="D4603" s="308">
        <f>IFERROR(__xludf.DUMMYFUNCTION("SPLIT(C4603,""-"")"),4623.0)</f>
        <v>4623</v>
      </c>
      <c r="E4603" s="308" t="str">
        <f>IFERROR(__xludf.DUMMYFUNCTION("""COMPUTED_VALUE"""),"P")</f>
        <v>P</v>
      </c>
      <c r="F4603" s="312" t="s">
        <v>37</v>
      </c>
      <c r="G4603" s="308"/>
      <c r="H4603" s="308" t="s">
        <v>18586</v>
      </c>
      <c r="I4603" s="314">
        <v>43083.0</v>
      </c>
      <c r="J4603" s="319">
        <f>IFERROR(__xludf.DUMMYFUNCTION("SPLIT(I4603,""/"")"),14.0)</f>
        <v>14</v>
      </c>
      <c r="K4603" s="308">
        <f>IFERROR(__xludf.DUMMYFUNCTION("""COMPUTED_VALUE"""),12.0)</f>
        <v>12</v>
      </c>
      <c r="L4603" s="308">
        <f>IFERROR(__xludf.DUMMYFUNCTION("""COMPUTED_VALUE"""),2017.0)</f>
        <v>2017</v>
      </c>
      <c r="M4603" s="308" t="s">
        <v>18587</v>
      </c>
      <c r="N4603" s="308"/>
      <c r="O4603" s="308"/>
      <c r="P4603" s="308" t="s">
        <v>18588</v>
      </c>
      <c r="Q4603" s="308" t="s">
        <v>37780</v>
      </c>
      <c r="R4603" s="308" t="s">
        <v>2743</v>
      </c>
      <c r="S4603" s="308" t="s">
        <v>81</v>
      </c>
      <c r="T4603" s="308" t="s">
        <v>73</v>
      </c>
      <c r="U4603" s="308" t="s">
        <v>143</v>
      </c>
      <c r="V4603" s="312"/>
    </row>
    <row r="4604">
      <c r="A4604" s="308">
        <v>4603.0</v>
      </c>
      <c r="B4604" s="308"/>
      <c r="C4604" s="308" t="s">
        <v>18589</v>
      </c>
      <c r="D4604" s="308">
        <f>IFERROR(__xludf.DUMMYFUNCTION("SPLIT(C4604,""-"")"),4624.0)</f>
        <v>4624</v>
      </c>
      <c r="E4604" s="308" t="str">
        <f>IFERROR(__xludf.DUMMYFUNCTION("""COMPUTED_VALUE"""),"I")</f>
        <v>I</v>
      </c>
      <c r="F4604" s="309" t="s">
        <v>31</v>
      </c>
      <c r="G4604" s="308"/>
      <c r="H4604" s="308" t="s">
        <v>18590</v>
      </c>
      <c r="I4604" s="314">
        <v>43067.0</v>
      </c>
      <c r="J4604" s="319">
        <f>IFERROR(__xludf.DUMMYFUNCTION("SPLIT(I4604,""/"")"),28.0)</f>
        <v>28</v>
      </c>
      <c r="K4604" s="308">
        <f>IFERROR(__xludf.DUMMYFUNCTION("""COMPUTED_VALUE"""),11.0)</f>
        <v>11</v>
      </c>
      <c r="L4604" s="308">
        <f>IFERROR(__xludf.DUMMYFUNCTION("""COMPUTED_VALUE"""),2017.0)</f>
        <v>2017</v>
      </c>
      <c r="M4604" s="308" t="s">
        <v>18591</v>
      </c>
      <c r="N4604" s="308" t="s">
        <v>18592</v>
      </c>
      <c r="O4604" s="308" t="s">
        <v>18593</v>
      </c>
      <c r="P4604" s="308" t="s">
        <v>37785</v>
      </c>
      <c r="Q4604" s="308" t="s">
        <v>37780</v>
      </c>
      <c r="R4604" s="308" t="s">
        <v>2743</v>
      </c>
      <c r="S4604" s="308" t="s">
        <v>49</v>
      </c>
      <c r="T4604" s="311" t="s">
        <v>61</v>
      </c>
      <c r="U4604" s="308" t="s">
        <v>31</v>
      </c>
      <c r="V4604" s="312"/>
    </row>
    <row r="4605">
      <c r="A4605" s="308">
        <v>4604.0</v>
      </c>
      <c r="B4605" s="308"/>
      <c r="C4605" s="308" t="s">
        <v>18595</v>
      </c>
      <c r="D4605" s="308">
        <f>IFERROR(__xludf.DUMMYFUNCTION("SPLIT(C4605,""-"")"),4625.0)</f>
        <v>4625</v>
      </c>
      <c r="E4605" s="308" t="str">
        <f>IFERROR(__xludf.DUMMYFUNCTION("""COMPUTED_VALUE"""),"K")</f>
        <v>K</v>
      </c>
      <c r="F4605" s="309" t="s">
        <v>34</v>
      </c>
      <c r="G4605" s="308"/>
      <c r="H4605" s="308" t="s">
        <v>18596</v>
      </c>
      <c r="I4605" s="316" t="s">
        <v>407</v>
      </c>
      <c r="J4605" s="319"/>
      <c r="K4605" s="308"/>
      <c r="L4605" s="311" t="s">
        <v>79</v>
      </c>
      <c r="M4605" s="308" t="s">
        <v>18597</v>
      </c>
      <c r="N4605" s="308"/>
      <c r="O4605" s="308"/>
      <c r="P4605" s="308" t="s">
        <v>37786</v>
      </c>
      <c r="Q4605" s="308" t="s">
        <v>37780</v>
      </c>
      <c r="R4605" s="308" t="s">
        <v>2743</v>
      </c>
      <c r="S4605" s="308" t="s">
        <v>81</v>
      </c>
      <c r="T4605" s="308" t="s">
        <v>75</v>
      </c>
      <c r="U4605" s="308" t="s">
        <v>4749</v>
      </c>
      <c r="V4605" s="312"/>
    </row>
    <row r="4606">
      <c r="A4606" s="308">
        <v>4605.0</v>
      </c>
      <c r="B4606" s="308"/>
      <c r="C4606" s="308" t="s">
        <v>18599</v>
      </c>
      <c r="D4606" s="308">
        <f>IFERROR(__xludf.DUMMYFUNCTION("SPLIT(C4606,""-"")"),4626.0)</f>
        <v>4626</v>
      </c>
      <c r="E4606" s="308" t="str">
        <f>IFERROR(__xludf.DUMMYFUNCTION("""COMPUTED_VALUE"""),"I")</f>
        <v>I</v>
      </c>
      <c r="F4606" s="309" t="s">
        <v>31</v>
      </c>
      <c r="G4606" s="308"/>
      <c r="H4606" s="308" t="s">
        <v>37787</v>
      </c>
      <c r="I4606" s="314">
        <v>43096.0</v>
      </c>
      <c r="J4606" s="319">
        <f>IFERROR(__xludf.DUMMYFUNCTION("SPLIT(I4606,""/"")"),27.0)</f>
        <v>27</v>
      </c>
      <c r="K4606" s="308">
        <f>IFERROR(__xludf.DUMMYFUNCTION("""COMPUTED_VALUE"""),12.0)</f>
        <v>12</v>
      </c>
      <c r="L4606" s="308">
        <f>IFERROR(__xludf.DUMMYFUNCTION("""COMPUTED_VALUE"""),2017.0)</f>
        <v>2017</v>
      </c>
      <c r="M4606" s="308" t="s">
        <v>18601</v>
      </c>
      <c r="N4606" s="308"/>
      <c r="O4606" s="308"/>
      <c r="P4606" s="308" t="s">
        <v>18602</v>
      </c>
      <c r="Q4606" s="308" t="s">
        <v>37780</v>
      </c>
      <c r="R4606" s="308" t="s">
        <v>2743</v>
      </c>
      <c r="S4606" s="308" t="s">
        <v>81</v>
      </c>
      <c r="T4606" s="308" t="s">
        <v>75</v>
      </c>
      <c r="U4606" s="308" t="s">
        <v>31</v>
      </c>
      <c r="V4606" s="312"/>
    </row>
    <row r="4607">
      <c r="A4607" s="308">
        <v>4606.0</v>
      </c>
      <c r="B4607" s="308"/>
      <c r="C4607" s="308" t="s">
        <v>18603</v>
      </c>
      <c r="D4607" s="308">
        <f>IFERROR(__xludf.DUMMYFUNCTION("SPLIT(C4607,""-"")"),4627.0)</f>
        <v>4627</v>
      </c>
      <c r="E4607" s="308" t="str">
        <f>IFERROR(__xludf.DUMMYFUNCTION("""COMPUTED_VALUE"""),"F")</f>
        <v>F</v>
      </c>
      <c r="F4607" s="309" t="s">
        <v>34</v>
      </c>
      <c r="G4607" s="308"/>
      <c r="H4607" s="308" t="s">
        <v>18604</v>
      </c>
      <c r="I4607" s="310">
        <v>41137.0</v>
      </c>
      <c r="J4607" s="319">
        <f>IFERROR(__xludf.DUMMYFUNCTION("SPLIT(I4607,""/"")"),16.0)</f>
        <v>16</v>
      </c>
      <c r="K4607" s="308">
        <f>IFERROR(__xludf.DUMMYFUNCTION("""COMPUTED_VALUE"""),8.0)</f>
        <v>8</v>
      </c>
      <c r="L4607" s="308">
        <f>IFERROR(__xludf.DUMMYFUNCTION("""COMPUTED_VALUE"""),2012.0)</f>
        <v>2012</v>
      </c>
      <c r="M4607" s="308" t="s">
        <v>18605</v>
      </c>
      <c r="N4607" s="308" t="s">
        <v>18606</v>
      </c>
      <c r="O4607" s="308" t="s">
        <v>37788</v>
      </c>
      <c r="P4607" s="308" t="s">
        <v>37055</v>
      </c>
      <c r="Q4607" s="308" t="s">
        <v>37780</v>
      </c>
      <c r="R4607" s="308" t="s">
        <v>17727</v>
      </c>
      <c r="S4607" s="315" t="s">
        <v>100</v>
      </c>
      <c r="T4607" s="311" t="s">
        <v>34208</v>
      </c>
      <c r="U4607" s="308" t="s">
        <v>195</v>
      </c>
      <c r="V4607" s="312"/>
    </row>
    <row r="4608">
      <c r="A4608" s="308">
        <v>4607.0</v>
      </c>
      <c r="B4608" s="308"/>
      <c r="C4608" s="308" t="s">
        <v>18607</v>
      </c>
      <c r="D4608" s="308">
        <f>IFERROR(__xludf.DUMMYFUNCTION("SPLIT(C4608,""-"")"),4628.0)</f>
        <v>4628</v>
      </c>
      <c r="E4608" s="308" t="str">
        <f>IFERROR(__xludf.DUMMYFUNCTION("""COMPUTED_VALUE"""),"S")</f>
        <v>S</v>
      </c>
      <c r="F4608" s="312" t="s">
        <v>39</v>
      </c>
      <c r="G4608" s="308"/>
      <c r="H4608" s="308" t="s">
        <v>18608</v>
      </c>
      <c r="I4608" s="314">
        <v>43085.0</v>
      </c>
      <c r="J4608" s="319">
        <f>IFERROR(__xludf.DUMMYFUNCTION("SPLIT(I4608,""/"")"),16.0)</f>
        <v>16</v>
      </c>
      <c r="K4608" s="308">
        <f>IFERROR(__xludf.DUMMYFUNCTION("""COMPUTED_VALUE"""),12.0)</f>
        <v>12</v>
      </c>
      <c r="L4608" s="308">
        <f>IFERROR(__xludf.DUMMYFUNCTION("""COMPUTED_VALUE"""),2017.0)</f>
        <v>2017</v>
      </c>
      <c r="M4608" s="308" t="s">
        <v>18609</v>
      </c>
      <c r="N4608" s="308"/>
      <c r="O4608" s="308"/>
      <c r="P4608" s="308" t="s">
        <v>37789</v>
      </c>
      <c r="Q4608" s="308" t="s">
        <v>37780</v>
      </c>
      <c r="R4608" s="308" t="s">
        <v>14256</v>
      </c>
      <c r="S4608" s="308" t="s">
        <v>81</v>
      </c>
      <c r="T4608" s="308" t="s">
        <v>75</v>
      </c>
      <c r="U4608" s="308" t="s">
        <v>166</v>
      </c>
      <c r="V4608" s="312"/>
    </row>
    <row r="4609">
      <c r="A4609" s="308">
        <v>4608.0</v>
      </c>
      <c r="B4609" s="308"/>
      <c r="C4609" s="308" t="s">
        <v>18611</v>
      </c>
      <c r="D4609" s="308">
        <f>IFERROR(__xludf.DUMMYFUNCTION("SPLIT(C4609,""-"")"),4629.0)</f>
        <v>4629</v>
      </c>
      <c r="E4609" s="308" t="str">
        <f>IFERROR(__xludf.DUMMYFUNCTION("""COMPUTED_VALUE"""),"F")</f>
        <v>F</v>
      </c>
      <c r="F4609" s="309" t="s">
        <v>34</v>
      </c>
      <c r="G4609" s="308"/>
      <c r="H4609" s="308" t="s">
        <v>18612</v>
      </c>
      <c r="I4609" s="310">
        <v>42877.0</v>
      </c>
      <c r="J4609" s="319" t="str">
        <f>IFERROR(__xludf.DUMMYFUNCTION("SPLIT(I4609,""/"")"),"#REF!")</f>
        <v>#REF!</v>
      </c>
      <c r="K4609" s="308"/>
      <c r="L4609" s="308">
        <v>2017.0</v>
      </c>
      <c r="M4609" s="308" t="s">
        <v>18613</v>
      </c>
      <c r="N4609" s="308" t="s">
        <v>37790</v>
      </c>
      <c r="O4609" s="308"/>
      <c r="P4609" s="308" t="s">
        <v>37791</v>
      </c>
      <c r="Q4609" s="308" t="s">
        <v>37792</v>
      </c>
      <c r="R4609" s="308" t="s">
        <v>2743</v>
      </c>
      <c r="S4609" s="308" t="s">
        <v>81</v>
      </c>
      <c r="T4609" s="311" t="s">
        <v>35043</v>
      </c>
      <c r="U4609" s="308" t="s">
        <v>18616</v>
      </c>
      <c r="V4609" s="312"/>
    </row>
    <row r="4610">
      <c r="A4610" s="308">
        <v>4609.0</v>
      </c>
      <c r="B4610" s="308"/>
      <c r="C4610" s="308" t="s">
        <v>18617</v>
      </c>
      <c r="D4610" s="308">
        <f>IFERROR(__xludf.DUMMYFUNCTION("SPLIT(C4610,""-"")"),4630.0)</f>
        <v>4630</v>
      </c>
      <c r="E4610" s="308" t="str">
        <f>IFERROR(__xludf.DUMMYFUNCTION("""COMPUTED_VALUE"""),"K")</f>
        <v>K</v>
      </c>
      <c r="F4610" s="309" t="s">
        <v>34</v>
      </c>
      <c r="G4610" s="308"/>
      <c r="H4610" s="308" t="s">
        <v>18618</v>
      </c>
      <c r="I4610" s="310">
        <v>42820.0</v>
      </c>
      <c r="J4610" s="319" t="str">
        <f>IFERROR(__xludf.DUMMYFUNCTION("SPLIT(I4610,""/"")"),"#REF!")</f>
        <v>#REF!</v>
      </c>
      <c r="K4610" s="308"/>
      <c r="L4610" s="308">
        <v>2017.0</v>
      </c>
      <c r="M4610" s="308" t="s">
        <v>18619</v>
      </c>
      <c r="N4610" s="308"/>
      <c r="O4610" s="308"/>
      <c r="P4610" s="308" t="s">
        <v>37209</v>
      </c>
      <c r="Q4610" s="308" t="s">
        <v>37792</v>
      </c>
      <c r="R4610" s="308" t="s">
        <v>2743</v>
      </c>
      <c r="S4610" s="315" t="s">
        <v>100</v>
      </c>
      <c r="T4610" s="311" t="s">
        <v>34208</v>
      </c>
      <c r="U4610" s="308" t="s">
        <v>125</v>
      </c>
      <c r="V4610" s="312"/>
    </row>
    <row r="4611">
      <c r="A4611" s="308">
        <v>4610.0</v>
      </c>
      <c r="B4611" s="308"/>
      <c r="C4611" s="308" t="s">
        <v>18620</v>
      </c>
      <c r="D4611" s="308">
        <f>IFERROR(__xludf.DUMMYFUNCTION("SPLIT(C4611,""-"")"),4631.0)</f>
        <v>4631</v>
      </c>
      <c r="E4611" s="308" t="str">
        <f>IFERROR(__xludf.DUMMYFUNCTION("""COMPUTED_VALUE"""),"F")</f>
        <v>F</v>
      </c>
      <c r="F4611" s="309" t="s">
        <v>34</v>
      </c>
      <c r="G4611" s="308"/>
      <c r="H4611" s="308" t="s">
        <v>18621</v>
      </c>
      <c r="I4611" s="310">
        <v>42850.0</v>
      </c>
      <c r="J4611" s="319" t="str">
        <f>IFERROR(__xludf.DUMMYFUNCTION("SPLIT(I4611,""/"")"),"#REF!")</f>
        <v>#REF!</v>
      </c>
      <c r="K4611" s="308"/>
      <c r="L4611" s="308">
        <v>2017.0</v>
      </c>
      <c r="M4611" s="308" t="s">
        <v>18622</v>
      </c>
      <c r="N4611" s="308" t="s">
        <v>18623</v>
      </c>
      <c r="O4611" s="308"/>
      <c r="P4611" s="308" t="s">
        <v>6393</v>
      </c>
      <c r="Q4611" s="308" t="s">
        <v>37793</v>
      </c>
      <c r="R4611" s="308" t="s">
        <v>2743</v>
      </c>
      <c r="S4611" s="315" t="s">
        <v>100</v>
      </c>
      <c r="T4611" s="311" t="s">
        <v>34208</v>
      </c>
      <c r="U4611" s="308" t="s">
        <v>6875</v>
      </c>
      <c r="V4611" s="312"/>
    </row>
    <row r="4612">
      <c r="A4612" s="308">
        <v>4611.0</v>
      </c>
      <c r="B4612" s="308"/>
      <c r="C4612" s="308" t="s">
        <v>18624</v>
      </c>
      <c r="D4612" s="308">
        <f>IFERROR(__xludf.DUMMYFUNCTION("SPLIT(C4612,""-"")"),4632.0)</f>
        <v>4632</v>
      </c>
      <c r="E4612" s="308" t="str">
        <f>IFERROR(__xludf.DUMMYFUNCTION("""COMPUTED_VALUE"""),"K")</f>
        <v>K</v>
      </c>
      <c r="F4612" s="309" t="s">
        <v>34</v>
      </c>
      <c r="G4612" s="308"/>
      <c r="H4612" s="308" t="s">
        <v>18625</v>
      </c>
      <c r="I4612" s="314">
        <v>43089.0</v>
      </c>
      <c r="J4612" s="319" t="str">
        <f>IFERROR(__xludf.DUMMYFUNCTION("SPLIT(I4612,""/"")"),"#REF!")</f>
        <v>#REF!</v>
      </c>
      <c r="K4612" s="308"/>
      <c r="L4612" s="308">
        <v>2017.0</v>
      </c>
      <c r="M4612" s="308" t="s">
        <v>18626</v>
      </c>
      <c r="N4612" s="308"/>
      <c r="O4612" s="308"/>
      <c r="P4612" s="308" t="s">
        <v>37794</v>
      </c>
      <c r="Q4612" s="308" t="s">
        <v>37793</v>
      </c>
      <c r="R4612" s="308" t="s">
        <v>2743</v>
      </c>
      <c r="S4612" s="308" t="s">
        <v>81</v>
      </c>
      <c r="T4612" s="308" t="s">
        <v>75</v>
      </c>
      <c r="U4612" s="308" t="s">
        <v>125</v>
      </c>
      <c r="V4612" s="312"/>
    </row>
    <row r="4613">
      <c r="A4613" s="308">
        <v>4612.0</v>
      </c>
      <c r="B4613" s="308"/>
      <c r="C4613" s="308" t="s">
        <v>18628</v>
      </c>
      <c r="D4613" s="308">
        <f>IFERROR(__xludf.DUMMYFUNCTION("SPLIT(C4613,""-"")"),4633.0)</f>
        <v>4633</v>
      </c>
      <c r="E4613" s="308" t="str">
        <f>IFERROR(__xludf.DUMMYFUNCTION("""COMPUTED_VALUE"""),"F")</f>
        <v>F</v>
      </c>
      <c r="F4613" s="309" t="s">
        <v>34</v>
      </c>
      <c r="G4613" s="308"/>
      <c r="H4613" s="308" t="s">
        <v>37795</v>
      </c>
      <c r="I4613" s="310">
        <v>42706.0</v>
      </c>
      <c r="J4613" s="319">
        <f>IFERROR(__xludf.DUMMYFUNCTION("SPLIT(I4613,""/"")"),2.0)</f>
        <v>2</v>
      </c>
      <c r="K4613" s="308">
        <f>IFERROR(__xludf.DUMMYFUNCTION("""COMPUTED_VALUE"""),12.0)</f>
        <v>12</v>
      </c>
      <c r="L4613" s="308">
        <f>IFERROR(__xludf.DUMMYFUNCTION("""COMPUTED_VALUE"""),2016.0)</f>
        <v>2016</v>
      </c>
      <c r="M4613" s="308" t="s">
        <v>18630</v>
      </c>
      <c r="N4613" s="308"/>
      <c r="O4613" s="308"/>
      <c r="P4613" s="308" t="s">
        <v>37796</v>
      </c>
      <c r="Q4613" s="308" t="s">
        <v>37797</v>
      </c>
      <c r="R4613" s="308" t="s">
        <v>2743</v>
      </c>
      <c r="S4613" s="308" t="s">
        <v>81</v>
      </c>
      <c r="T4613" s="308" t="s">
        <v>34264</v>
      </c>
      <c r="U4613" s="308" t="s">
        <v>195</v>
      </c>
      <c r="V4613" s="312"/>
    </row>
    <row r="4614">
      <c r="A4614" s="308">
        <v>4613.0</v>
      </c>
      <c r="B4614" s="308"/>
      <c r="C4614" s="308" t="s">
        <v>18632</v>
      </c>
      <c r="D4614" s="308">
        <f>IFERROR(__xludf.DUMMYFUNCTION("SPLIT(C4614,""-"")"),4634.0)</f>
        <v>4634</v>
      </c>
      <c r="E4614" s="308" t="str">
        <f>IFERROR(__xludf.DUMMYFUNCTION("""COMPUTED_VALUE"""),"P")</f>
        <v>P</v>
      </c>
      <c r="F4614" s="312" t="s">
        <v>37</v>
      </c>
      <c r="G4614" s="308"/>
      <c r="H4614" s="308" t="s">
        <v>18633</v>
      </c>
      <c r="I4614" s="310">
        <v>41831.0</v>
      </c>
      <c r="J4614" s="319">
        <f>IFERROR(__xludf.DUMMYFUNCTION("SPLIT(I4614,""/"")"),11.0)</f>
        <v>11</v>
      </c>
      <c r="K4614" s="308">
        <f>IFERROR(__xludf.DUMMYFUNCTION("""COMPUTED_VALUE"""),7.0)</f>
        <v>7</v>
      </c>
      <c r="L4614" s="308">
        <f>IFERROR(__xludf.DUMMYFUNCTION("""COMPUTED_VALUE"""),2014.0)</f>
        <v>2014</v>
      </c>
      <c r="M4614" s="308" t="s">
        <v>18634</v>
      </c>
      <c r="N4614" s="308"/>
      <c r="O4614" s="308" t="s">
        <v>18635</v>
      </c>
      <c r="P4614" s="308" t="s">
        <v>37260</v>
      </c>
      <c r="Q4614" s="308" t="s">
        <v>37798</v>
      </c>
      <c r="R4614" s="308" t="s">
        <v>2743</v>
      </c>
      <c r="S4614" s="315" t="s">
        <v>100</v>
      </c>
      <c r="T4614" s="311" t="s">
        <v>34208</v>
      </c>
      <c r="U4614" s="308" t="s">
        <v>143</v>
      </c>
      <c r="V4614" s="312"/>
    </row>
    <row r="4615">
      <c r="A4615" s="308">
        <v>4614.0</v>
      </c>
      <c r="B4615" s="308"/>
      <c r="C4615" s="308" t="s">
        <v>18636</v>
      </c>
      <c r="D4615" s="308">
        <f>IFERROR(__xludf.DUMMYFUNCTION("SPLIT(C4615,""-"")"),4635.0)</f>
        <v>4635</v>
      </c>
      <c r="E4615" s="308" t="str">
        <f>IFERROR(__xludf.DUMMYFUNCTION("""COMPUTED_VALUE"""),"I")</f>
        <v>I</v>
      </c>
      <c r="F4615" s="309" t="s">
        <v>31</v>
      </c>
      <c r="G4615" s="308"/>
      <c r="H4615" s="308" t="s">
        <v>18637</v>
      </c>
      <c r="I4615" s="314">
        <v>43095.0</v>
      </c>
      <c r="J4615" s="319">
        <f>IFERROR(__xludf.DUMMYFUNCTION("SPLIT(I4615,""/"")"),26.0)</f>
        <v>26</v>
      </c>
      <c r="K4615" s="308">
        <f>IFERROR(__xludf.DUMMYFUNCTION("""COMPUTED_VALUE"""),12.0)</f>
        <v>12</v>
      </c>
      <c r="L4615" s="308">
        <f>IFERROR(__xludf.DUMMYFUNCTION("""COMPUTED_VALUE"""),2017.0)</f>
        <v>2017</v>
      </c>
      <c r="M4615" s="308" t="s">
        <v>18638</v>
      </c>
      <c r="N4615" s="308" t="s">
        <v>18639</v>
      </c>
      <c r="O4615" s="308" t="s">
        <v>18640</v>
      </c>
      <c r="P4615" s="308" t="s">
        <v>37799</v>
      </c>
      <c r="Q4615" s="308" t="s">
        <v>37798</v>
      </c>
      <c r="R4615" s="308" t="s">
        <v>17460</v>
      </c>
      <c r="S4615" s="308" t="s">
        <v>81</v>
      </c>
      <c r="T4615" s="311" t="s">
        <v>96</v>
      </c>
      <c r="U4615" s="308" t="s">
        <v>31</v>
      </c>
      <c r="V4615" s="312"/>
    </row>
    <row r="4616">
      <c r="A4616" s="308">
        <v>4615.0</v>
      </c>
      <c r="B4616" s="308"/>
      <c r="C4616" s="308" t="s">
        <v>18642</v>
      </c>
      <c r="D4616" s="308">
        <f>IFERROR(__xludf.DUMMYFUNCTION("SPLIT(C4616,""-"")"),4636.0)</f>
        <v>4636</v>
      </c>
      <c r="E4616" s="308" t="str">
        <f>IFERROR(__xludf.DUMMYFUNCTION("""COMPUTED_VALUE"""),"K")</f>
        <v>K</v>
      </c>
      <c r="F4616" s="309" t="s">
        <v>34</v>
      </c>
      <c r="G4616" s="308"/>
      <c r="H4616" s="308" t="s">
        <v>18643</v>
      </c>
      <c r="I4616" s="310">
        <v>41768.0</v>
      </c>
      <c r="J4616" s="319">
        <f>IFERROR(__xludf.DUMMYFUNCTION("SPLIT(I4616,""/"")"),9.0)</f>
        <v>9</v>
      </c>
      <c r="K4616" s="308">
        <f>IFERROR(__xludf.DUMMYFUNCTION("""COMPUTED_VALUE"""),5.0)</f>
        <v>5</v>
      </c>
      <c r="L4616" s="308">
        <f>IFERROR(__xludf.DUMMYFUNCTION("""COMPUTED_VALUE"""),2014.0)</f>
        <v>2014</v>
      </c>
      <c r="M4616" s="308" t="s">
        <v>18644</v>
      </c>
      <c r="N4616" s="308"/>
      <c r="O4616" s="308"/>
      <c r="P4616" s="308" t="s">
        <v>37273</v>
      </c>
      <c r="Q4616" s="308" t="s">
        <v>37798</v>
      </c>
      <c r="R4616" s="308" t="s">
        <v>2743</v>
      </c>
      <c r="S4616" s="315" t="s">
        <v>100</v>
      </c>
      <c r="T4616" s="311" t="s">
        <v>34208</v>
      </c>
      <c r="U4616" s="308" t="s">
        <v>368</v>
      </c>
      <c r="V4616" s="312"/>
    </row>
    <row r="4617">
      <c r="A4617" s="308">
        <v>4616.0</v>
      </c>
      <c r="B4617" s="308"/>
      <c r="C4617" s="308" t="s">
        <v>18645</v>
      </c>
      <c r="D4617" s="308">
        <f>IFERROR(__xludf.DUMMYFUNCTION("SPLIT(C4617,""-"")"),4637.0)</f>
        <v>4637</v>
      </c>
      <c r="E4617" s="308" t="str">
        <f>IFERROR(__xludf.DUMMYFUNCTION("""COMPUTED_VALUE"""),"P")</f>
        <v>P</v>
      </c>
      <c r="F4617" s="312" t="s">
        <v>37</v>
      </c>
      <c r="G4617" s="308"/>
      <c r="H4617" s="308" t="s">
        <v>18646</v>
      </c>
      <c r="I4617" s="314">
        <v>43039.0</v>
      </c>
      <c r="J4617" s="319">
        <f>IFERROR(__xludf.DUMMYFUNCTION("SPLIT(I4617,""/"")"),31.0)</f>
        <v>31</v>
      </c>
      <c r="K4617" s="308">
        <f>IFERROR(__xludf.DUMMYFUNCTION("""COMPUTED_VALUE"""),10.0)</f>
        <v>10</v>
      </c>
      <c r="L4617" s="308">
        <f>IFERROR(__xludf.DUMMYFUNCTION("""COMPUTED_VALUE"""),2017.0)</f>
        <v>2017</v>
      </c>
      <c r="M4617" s="308" t="s">
        <v>18647</v>
      </c>
      <c r="N4617" s="308"/>
      <c r="O4617" s="308" t="s">
        <v>18648</v>
      </c>
      <c r="P4617" s="308" t="s">
        <v>37800</v>
      </c>
      <c r="Q4617" s="308" t="s">
        <v>37798</v>
      </c>
      <c r="R4617" s="308" t="s">
        <v>16185</v>
      </c>
      <c r="S4617" s="308" t="s">
        <v>81</v>
      </c>
      <c r="T4617" s="311" t="s">
        <v>51</v>
      </c>
      <c r="U4617" s="308" t="s">
        <v>143</v>
      </c>
      <c r="V4617" s="312"/>
    </row>
    <row r="4618">
      <c r="A4618" s="308">
        <v>4617.0</v>
      </c>
      <c r="B4618" s="308"/>
      <c r="C4618" s="308" t="s">
        <v>18650</v>
      </c>
      <c r="D4618" s="308">
        <f>IFERROR(__xludf.DUMMYFUNCTION("SPLIT(C4618,""-"")"),4638.0)</f>
        <v>4638</v>
      </c>
      <c r="E4618" s="308" t="str">
        <f>IFERROR(__xludf.DUMMYFUNCTION("""COMPUTED_VALUE"""),"P")</f>
        <v>P</v>
      </c>
      <c r="F4618" s="312" t="s">
        <v>37</v>
      </c>
      <c r="G4618" s="308"/>
      <c r="H4618" s="308" t="s">
        <v>18651</v>
      </c>
      <c r="I4618" s="310">
        <v>42790.0</v>
      </c>
      <c r="J4618" s="319">
        <f>IFERROR(__xludf.DUMMYFUNCTION("SPLIT(I4618,""/"")"),24.0)</f>
        <v>24</v>
      </c>
      <c r="K4618" s="308">
        <f>IFERROR(__xludf.DUMMYFUNCTION("""COMPUTED_VALUE"""),2.0)</f>
        <v>2</v>
      </c>
      <c r="L4618" s="308">
        <f>IFERROR(__xludf.DUMMYFUNCTION("""COMPUTED_VALUE"""),2017.0)</f>
        <v>2017</v>
      </c>
      <c r="M4618" s="308" t="s">
        <v>18652</v>
      </c>
      <c r="N4618" s="308"/>
      <c r="O4618" s="308"/>
      <c r="P4618" s="308" t="s">
        <v>37801</v>
      </c>
      <c r="Q4618" s="308" t="s">
        <v>37798</v>
      </c>
      <c r="R4618" s="308" t="s">
        <v>16185</v>
      </c>
      <c r="S4618" s="308" t="s">
        <v>81</v>
      </c>
      <c r="T4618" s="308" t="s">
        <v>75</v>
      </c>
      <c r="U4618" s="308" t="s">
        <v>2748</v>
      </c>
      <c r="V4618" s="312"/>
    </row>
    <row r="4619">
      <c r="A4619" s="308">
        <v>4618.0</v>
      </c>
      <c r="B4619" s="308"/>
      <c r="C4619" s="308" t="s">
        <v>18654</v>
      </c>
      <c r="D4619" s="308">
        <f>IFERROR(__xludf.DUMMYFUNCTION("SPLIT(C4619,""-"")"),4639.0)</f>
        <v>4639</v>
      </c>
      <c r="E4619" s="308" t="str">
        <f>IFERROR(__xludf.DUMMYFUNCTION("""COMPUTED_VALUE"""),"P")</f>
        <v>P</v>
      </c>
      <c r="F4619" s="312" t="s">
        <v>37</v>
      </c>
      <c r="G4619" s="308"/>
      <c r="H4619" s="308" t="s">
        <v>18655</v>
      </c>
      <c r="I4619" s="310">
        <v>41456.0</v>
      </c>
      <c r="J4619" s="319">
        <f>IFERROR(__xludf.DUMMYFUNCTION("SPLIT(I4619,""/"")"),1.0)</f>
        <v>1</v>
      </c>
      <c r="K4619" s="308">
        <f>IFERROR(__xludf.DUMMYFUNCTION("""COMPUTED_VALUE"""),7.0)</f>
        <v>7</v>
      </c>
      <c r="L4619" s="308">
        <f>IFERROR(__xludf.DUMMYFUNCTION("""COMPUTED_VALUE"""),2013.0)</f>
        <v>2013</v>
      </c>
      <c r="M4619" s="308" t="s">
        <v>18656</v>
      </c>
      <c r="N4619" s="308"/>
      <c r="O4619" s="308" t="s">
        <v>18657</v>
      </c>
      <c r="P4619" s="308" t="s">
        <v>37802</v>
      </c>
      <c r="Q4619" s="308" t="s">
        <v>37798</v>
      </c>
      <c r="R4619" s="308" t="s">
        <v>16185</v>
      </c>
      <c r="S4619" s="315" t="s">
        <v>100</v>
      </c>
      <c r="T4619" s="311" t="s">
        <v>34208</v>
      </c>
      <c r="U4619" s="308" t="s">
        <v>18659</v>
      </c>
      <c r="V4619" s="312"/>
    </row>
    <row r="4620">
      <c r="A4620" s="308">
        <v>4619.0</v>
      </c>
      <c r="B4620" s="308"/>
      <c r="C4620" s="308" t="s">
        <v>18660</v>
      </c>
      <c r="D4620" s="308">
        <f>IFERROR(__xludf.DUMMYFUNCTION("SPLIT(C4620,""-"")"),4640.0)</f>
        <v>4640</v>
      </c>
      <c r="E4620" s="308" t="str">
        <f>IFERROR(__xludf.DUMMYFUNCTION("""COMPUTED_VALUE"""),"P")</f>
        <v>P</v>
      </c>
      <c r="F4620" s="312" t="s">
        <v>37</v>
      </c>
      <c r="G4620" s="308"/>
      <c r="H4620" s="308" t="s">
        <v>18661</v>
      </c>
      <c r="I4620" s="314">
        <v>43088.0</v>
      </c>
      <c r="J4620" s="319">
        <f>IFERROR(__xludf.DUMMYFUNCTION("SPLIT(I4620,""/"")"),19.0)</f>
        <v>19</v>
      </c>
      <c r="K4620" s="308">
        <f>IFERROR(__xludf.DUMMYFUNCTION("""COMPUTED_VALUE"""),12.0)</f>
        <v>12</v>
      </c>
      <c r="L4620" s="308">
        <f>IFERROR(__xludf.DUMMYFUNCTION("""COMPUTED_VALUE"""),2017.0)</f>
        <v>2017</v>
      </c>
      <c r="M4620" s="308" t="s">
        <v>18662</v>
      </c>
      <c r="N4620" s="308"/>
      <c r="O4620" s="308"/>
      <c r="P4620" s="308" t="s">
        <v>37803</v>
      </c>
      <c r="Q4620" s="308" t="s">
        <v>37798</v>
      </c>
      <c r="R4620" s="308" t="s">
        <v>16185</v>
      </c>
      <c r="S4620" s="308" t="s">
        <v>81</v>
      </c>
      <c r="T4620" s="308" t="s">
        <v>75</v>
      </c>
      <c r="U4620" s="308" t="s">
        <v>143</v>
      </c>
      <c r="V4620" s="312"/>
    </row>
    <row r="4621">
      <c r="A4621" s="308">
        <v>4620.0</v>
      </c>
      <c r="B4621" s="308"/>
      <c r="C4621" s="308" t="s">
        <v>18664</v>
      </c>
      <c r="D4621" s="308">
        <f>IFERROR(__xludf.DUMMYFUNCTION("SPLIT(C4621,""-"")"),4641.0)</f>
        <v>4641</v>
      </c>
      <c r="E4621" s="308" t="str">
        <f>IFERROR(__xludf.DUMMYFUNCTION("""COMPUTED_VALUE"""),"F")</f>
        <v>F</v>
      </c>
      <c r="F4621" s="309" t="s">
        <v>34</v>
      </c>
      <c r="G4621" s="308"/>
      <c r="H4621" s="308" t="s">
        <v>18665</v>
      </c>
      <c r="I4621" s="310">
        <v>42631.0</v>
      </c>
      <c r="J4621" s="319">
        <f>IFERROR(__xludf.DUMMYFUNCTION("SPLIT(I4621,""/"")"),18.0)</f>
        <v>18</v>
      </c>
      <c r="K4621" s="308">
        <f>IFERROR(__xludf.DUMMYFUNCTION("""COMPUTED_VALUE"""),9.0)</f>
        <v>9</v>
      </c>
      <c r="L4621" s="308">
        <f>IFERROR(__xludf.DUMMYFUNCTION("""COMPUTED_VALUE"""),2016.0)</f>
        <v>2016</v>
      </c>
      <c r="M4621" s="308" t="s">
        <v>18666</v>
      </c>
      <c r="N4621" s="308"/>
      <c r="O4621" s="308"/>
      <c r="P4621" s="308" t="s">
        <v>18667</v>
      </c>
      <c r="Q4621" s="308" t="s">
        <v>37798</v>
      </c>
      <c r="R4621" s="308" t="s">
        <v>16185</v>
      </c>
      <c r="S4621" s="308" t="s">
        <v>81</v>
      </c>
      <c r="T4621" s="311" t="s">
        <v>90</v>
      </c>
      <c r="U4621" s="308" t="s">
        <v>195</v>
      </c>
      <c r="V4621" s="312"/>
    </row>
    <row r="4622">
      <c r="A4622" s="308">
        <v>4621.0</v>
      </c>
      <c r="B4622" s="308"/>
      <c r="C4622" s="308" t="s">
        <v>18668</v>
      </c>
      <c r="D4622" s="308">
        <f>IFERROR(__xludf.DUMMYFUNCTION("SPLIT(C4622,""-"")"),4642.0)</f>
        <v>4642</v>
      </c>
      <c r="E4622" s="308" t="str">
        <f>IFERROR(__xludf.DUMMYFUNCTION("""COMPUTED_VALUE"""),"F")</f>
        <v>F</v>
      </c>
      <c r="F4622" s="309" t="s">
        <v>34</v>
      </c>
      <c r="G4622" s="308"/>
      <c r="H4622" s="308" t="s">
        <v>18669</v>
      </c>
      <c r="I4622" s="310">
        <v>42491.0</v>
      </c>
      <c r="J4622" s="319">
        <f>IFERROR(__xludf.DUMMYFUNCTION("SPLIT(I4622,""/"")"),1.0)</f>
        <v>1</v>
      </c>
      <c r="K4622" s="308">
        <f>IFERROR(__xludf.DUMMYFUNCTION("""COMPUTED_VALUE"""),5.0)</f>
        <v>5</v>
      </c>
      <c r="L4622" s="308">
        <f>IFERROR(__xludf.DUMMYFUNCTION("""COMPUTED_VALUE"""),2016.0)</f>
        <v>2016</v>
      </c>
      <c r="M4622" s="308" t="s">
        <v>18670</v>
      </c>
      <c r="N4622" s="308" t="s">
        <v>439</v>
      </c>
      <c r="O4622" s="308"/>
      <c r="P4622" s="308" t="s">
        <v>36492</v>
      </c>
      <c r="Q4622" s="308" t="s">
        <v>37798</v>
      </c>
      <c r="R4622" s="308" t="s">
        <v>16185</v>
      </c>
      <c r="S4622" s="315" t="s">
        <v>100</v>
      </c>
      <c r="T4622" s="311" t="s">
        <v>34208</v>
      </c>
      <c r="U4622" s="308" t="s">
        <v>6875</v>
      </c>
      <c r="V4622" s="312"/>
    </row>
    <row r="4623">
      <c r="A4623" s="308">
        <v>4622.0</v>
      </c>
      <c r="B4623" s="308"/>
      <c r="C4623" s="308" t="s">
        <v>18671</v>
      </c>
      <c r="D4623" s="308">
        <f>IFERROR(__xludf.DUMMYFUNCTION("SPLIT(C4623,""-"")"),4643.0)</f>
        <v>4643</v>
      </c>
      <c r="E4623" s="308" t="str">
        <f>IFERROR(__xludf.DUMMYFUNCTION("""COMPUTED_VALUE"""),"K")</f>
        <v>K</v>
      </c>
      <c r="F4623" s="309" t="s">
        <v>34</v>
      </c>
      <c r="G4623" s="308"/>
      <c r="H4623" s="308" t="s">
        <v>18672</v>
      </c>
      <c r="I4623" s="310">
        <v>42108.0</v>
      </c>
      <c r="J4623" s="319">
        <f>IFERROR(__xludf.DUMMYFUNCTION("SPLIT(I4623,""/"")"),14.0)</f>
        <v>14</v>
      </c>
      <c r="K4623" s="308">
        <f>IFERROR(__xludf.DUMMYFUNCTION("""COMPUTED_VALUE"""),4.0)</f>
        <v>4</v>
      </c>
      <c r="L4623" s="308">
        <f>IFERROR(__xludf.DUMMYFUNCTION("""COMPUTED_VALUE"""),2015.0)</f>
        <v>2015</v>
      </c>
      <c r="M4623" s="308" t="s">
        <v>18673</v>
      </c>
      <c r="N4623" s="308"/>
      <c r="O4623" s="308"/>
      <c r="P4623" s="308" t="s">
        <v>36492</v>
      </c>
      <c r="Q4623" s="308" t="s">
        <v>37798</v>
      </c>
      <c r="R4623" s="308" t="s">
        <v>16185</v>
      </c>
      <c r="S4623" s="315" t="s">
        <v>100</v>
      </c>
      <c r="T4623" s="311" t="s">
        <v>34208</v>
      </c>
      <c r="U4623" s="308" t="s">
        <v>125</v>
      </c>
      <c r="V4623" s="312"/>
    </row>
    <row r="4624">
      <c r="A4624" s="308">
        <v>4623.0</v>
      </c>
      <c r="B4624" s="308"/>
      <c r="C4624" s="308" t="s">
        <v>18674</v>
      </c>
      <c r="D4624" s="308">
        <f>IFERROR(__xludf.DUMMYFUNCTION("SPLIT(C4624,""-"")"),4644.0)</f>
        <v>4644</v>
      </c>
      <c r="E4624" s="308" t="str">
        <f>IFERROR(__xludf.DUMMYFUNCTION("""COMPUTED_VALUE"""),"B")</f>
        <v>B</v>
      </c>
      <c r="F4624" s="315" t="s">
        <v>26</v>
      </c>
      <c r="G4624" s="308"/>
      <c r="H4624" s="308" t="s">
        <v>18675</v>
      </c>
      <c r="I4624" s="310">
        <v>38504.0</v>
      </c>
      <c r="J4624" s="319">
        <f>IFERROR(__xludf.DUMMYFUNCTION("SPLIT(I4624,""/"")"),1.0)</f>
        <v>1</v>
      </c>
      <c r="K4624" s="308">
        <f>IFERROR(__xludf.DUMMYFUNCTION("""COMPUTED_VALUE"""),6.0)</f>
        <v>6</v>
      </c>
      <c r="L4624" s="308">
        <f>IFERROR(__xludf.DUMMYFUNCTION("""COMPUTED_VALUE"""),2005.0)</f>
        <v>2005</v>
      </c>
      <c r="M4624" s="308" t="s">
        <v>18676</v>
      </c>
      <c r="N4624" s="308"/>
      <c r="O4624" s="308"/>
      <c r="P4624" s="308" t="s">
        <v>37804</v>
      </c>
      <c r="Q4624" s="308" t="s">
        <v>37798</v>
      </c>
      <c r="R4624" s="308" t="s">
        <v>16185</v>
      </c>
      <c r="S4624" s="308" t="s">
        <v>81</v>
      </c>
      <c r="T4624" s="311" t="s">
        <v>51</v>
      </c>
      <c r="U4624" s="308" t="s">
        <v>27</v>
      </c>
      <c r="V4624" s="312"/>
    </row>
    <row r="4625">
      <c r="A4625" s="308">
        <v>4624.0</v>
      </c>
      <c r="B4625" s="308"/>
      <c r="C4625" s="308" t="s">
        <v>18678</v>
      </c>
      <c r="D4625" s="308">
        <f>IFERROR(__xludf.DUMMYFUNCTION("SPLIT(C4625,""-"")"),4645.0)</f>
        <v>4645</v>
      </c>
      <c r="E4625" s="308" t="str">
        <f>IFERROR(__xludf.DUMMYFUNCTION("""COMPUTED_VALUE"""),"K")</f>
        <v>K</v>
      </c>
      <c r="F4625" s="309" t="s">
        <v>34</v>
      </c>
      <c r="G4625" s="308"/>
      <c r="H4625" s="308" t="s">
        <v>18679</v>
      </c>
      <c r="I4625" s="310">
        <v>42381.0</v>
      </c>
      <c r="J4625" s="319">
        <f>IFERROR(__xludf.DUMMYFUNCTION("SPLIT(I4625,""/"")"),12.0)</f>
        <v>12</v>
      </c>
      <c r="K4625" s="308">
        <f>IFERROR(__xludf.DUMMYFUNCTION("""COMPUTED_VALUE"""),1.0)</f>
        <v>1</v>
      </c>
      <c r="L4625" s="308">
        <f>IFERROR(__xludf.DUMMYFUNCTION("""COMPUTED_VALUE"""),2016.0)</f>
        <v>2016</v>
      </c>
      <c r="M4625" s="308" t="s">
        <v>18680</v>
      </c>
      <c r="N4625" s="308"/>
      <c r="O4625" s="308"/>
      <c r="P4625" s="308" t="s">
        <v>37209</v>
      </c>
      <c r="Q4625" s="308" t="s">
        <v>37798</v>
      </c>
      <c r="R4625" s="308" t="s">
        <v>2743</v>
      </c>
      <c r="S4625" s="315" t="s">
        <v>100</v>
      </c>
      <c r="T4625" s="311" t="s">
        <v>34208</v>
      </c>
      <c r="U4625" s="308" t="s">
        <v>125</v>
      </c>
      <c r="V4625" s="312"/>
    </row>
    <row r="4626">
      <c r="A4626" s="308">
        <v>4625.0</v>
      </c>
      <c r="B4626" s="308"/>
      <c r="C4626" s="308" t="s">
        <v>18681</v>
      </c>
      <c r="D4626" s="308">
        <f>IFERROR(__xludf.DUMMYFUNCTION("SPLIT(C4626,""-"")"),4646.0)</f>
        <v>4646</v>
      </c>
      <c r="E4626" s="308" t="str">
        <f>IFERROR(__xludf.DUMMYFUNCTION("""COMPUTED_VALUE"""),"K")</f>
        <v>K</v>
      </c>
      <c r="F4626" s="309" t="s">
        <v>34</v>
      </c>
      <c r="G4626" s="308"/>
      <c r="H4626" s="308" t="s">
        <v>18682</v>
      </c>
      <c r="I4626" s="314">
        <v>42699.0</v>
      </c>
      <c r="J4626" s="319">
        <f>IFERROR(__xludf.DUMMYFUNCTION("SPLIT(I4626,""/"")"),25.0)</f>
        <v>25</v>
      </c>
      <c r="K4626" s="308">
        <f>IFERROR(__xludf.DUMMYFUNCTION("""COMPUTED_VALUE"""),11.0)</f>
        <v>11</v>
      </c>
      <c r="L4626" s="308">
        <f>IFERROR(__xludf.DUMMYFUNCTION("""COMPUTED_VALUE"""),2016.0)</f>
        <v>2016</v>
      </c>
      <c r="M4626" s="308" t="s">
        <v>18683</v>
      </c>
      <c r="N4626" s="308"/>
      <c r="O4626" s="308"/>
      <c r="P4626" s="308" t="s">
        <v>37209</v>
      </c>
      <c r="Q4626" s="308" t="s">
        <v>37798</v>
      </c>
      <c r="R4626" s="308" t="s">
        <v>2743</v>
      </c>
      <c r="S4626" s="315" t="s">
        <v>100</v>
      </c>
      <c r="T4626" s="311" t="s">
        <v>34208</v>
      </c>
      <c r="U4626" s="308" t="s">
        <v>125</v>
      </c>
      <c r="V4626" s="312"/>
    </row>
    <row r="4627">
      <c r="A4627" s="308">
        <v>4626.0</v>
      </c>
      <c r="B4627" s="308"/>
      <c r="C4627" s="308" t="s">
        <v>18684</v>
      </c>
      <c r="D4627" s="308">
        <f>IFERROR(__xludf.DUMMYFUNCTION("SPLIT(C4627,""-"")"),4647.0)</f>
        <v>4647</v>
      </c>
      <c r="E4627" s="308" t="str">
        <f>IFERROR(__xludf.DUMMYFUNCTION("""COMPUTED_VALUE"""),"K")</f>
        <v>K</v>
      </c>
      <c r="F4627" s="309" t="s">
        <v>34</v>
      </c>
      <c r="G4627" s="308"/>
      <c r="H4627" s="308" t="s">
        <v>18685</v>
      </c>
      <c r="I4627" s="310">
        <v>42474.0</v>
      </c>
      <c r="J4627" s="319">
        <f>IFERROR(__xludf.DUMMYFUNCTION("SPLIT(I4627,""/"")"),14.0)</f>
        <v>14</v>
      </c>
      <c r="K4627" s="308">
        <f>IFERROR(__xludf.DUMMYFUNCTION("""COMPUTED_VALUE"""),4.0)</f>
        <v>4</v>
      </c>
      <c r="L4627" s="308">
        <f>IFERROR(__xludf.DUMMYFUNCTION("""COMPUTED_VALUE"""),2016.0)</f>
        <v>2016</v>
      </c>
      <c r="M4627" s="308" t="s">
        <v>18686</v>
      </c>
      <c r="N4627" s="308"/>
      <c r="O4627" s="308"/>
      <c r="P4627" s="308" t="s">
        <v>18687</v>
      </c>
      <c r="Q4627" s="308" t="s">
        <v>37798</v>
      </c>
      <c r="R4627" s="308" t="s">
        <v>2743</v>
      </c>
      <c r="S4627" s="308" t="s">
        <v>81</v>
      </c>
      <c r="T4627" s="309" t="s">
        <v>73</v>
      </c>
      <c r="U4627" s="308" t="s">
        <v>282</v>
      </c>
      <c r="V4627" s="312"/>
    </row>
    <row r="4628">
      <c r="A4628" s="308">
        <v>4627.0</v>
      </c>
      <c r="B4628" s="308"/>
      <c r="C4628" s="308" t="s">
        <v>18688</v>
      </c>
      <c r="D4628" s="308">
        <f>IFERROR(__xludf.DUMMYFUNCTION("SPLIT(C4628,""-"")"),4648.0)</f>
        <v>4648</v>
      </c>
      <c r="E4628" s="308" t="str">
        <f>IFERROR(__xludf.DUMMYFUNCTION("""COMPUTED_VALUE"""),"F")</f>
        <v>F</v>
      </c>
      <c r="F4628" s="309" t="s">
        <v>34</v>
      </c>
      <c r="G4628" s="308"/>
      <c r="H4628" s="308" t="s">
        <v>18689</v>
      </c>
      <c r="I4628" s="310">
        <v>42587.0</v>
      </c>
      <c r="J4628" s="319">
        <f>IFERROR(__xludf.DUMMYFUNCTION("SPLIT(I4628,""/"")"),5.0)</f>
        <v>5</v>
      </c>
      <c r="K4628" s="308">
        <f>IFERROR(__xludf.DUMMYFUNCTION("""COMPUTED_VALUE"""),8.0)</f>
        <v>8</v>
      </c>
      <c r="L4628" s="308">
        <f>IFERROR(__xludf.DUMMYFUNCTION("""COMPUTED_VALUE"""),2016.0)</f>
        <v>2016</v>
      </c>
      <c r="M4628" s="308" t="s">
        <v>18690</v>
      </c>
      <c r="N4628" s="308" t="s">
        <v>18691</v>
      </c>
      <c r="O4628" s="308"/>
      <c r="P4628" s="308" t="s">
        <v>36492</v>
      </c>
      <c r="Q4628" s="308" t="s">
        <v>37798</v>
      </c>
      <c r="R4628" s="308" t="s">
        <v>2743</v>
      </c>
      <c r="S4628" s="315" t="s">
        <v>100</v>
      </c>
      <c r="T4628" s="311" t="s">
        <v>34208</v>
      </c>
      <c r="U4628" s="308" t="s">
        <v>6875</v>
      </c>
      <c r="V4628" s="312"/>
    </row>
    <row r="4629">
      <c r="A4629" s="308">
        <v>4628.0</v>
      </c>
      <c r="B4629" s="308"/>
      <c r="C4629" s="308" t="s">
        <v>18692</v>
      </c>
      <c r="D4629" s="308">
        <f>IFERROR(__xludf.DUMMYFUNCTION("SPLIT(C4629,""-"")"),4649.0)</f>
        <v>4649</v>
      </c>
      <c r="E4629" s="308" t="str">
        <f>IFERROR(__xludf.DUMMYFUNCTION("""COMPUTED_VALUE"""),"F")</f>
        <v>F</v>
      </c>
      <c r="F4629" s="309" t="s">
        <v>34</v>
      </c>
      <c r="G4629" s="308"/>
      <c r="H4629" s="308" t="s">
        <v>18693</v>
      </c>
      <c r="I4629" s="310">
        <v>42587.0</v>
      </c>
      <c r="J4629" s="319">
        <f>IFERROR(__xludf.DUMMYFUNCTION("SPLIT(I4629,""/"")"),5.0)</f>
        <v>5</v>
      </c>
      <c r="K4629" s="308">
        <f>IFERROR(__xludf.DUMMYFUNCTION("""COMPUTED_VALUE"""),8.0)</f>
        <v>8</v>
      </c>
      <c r="L4629" s="308">
        <f>IFERROR(__xludf.DUMMYFUNCTION("""COMPUTED_VALUE"""),2016.0)</f>
        <v>2016</v>
      </c>
      <c r="M4629" s="308" t="s">
        <v>18694</v>
      </c>
      <c r="N4629" s="308"/>
      <c r="O4629" s="308"/>
      <c r="P4629" s="308" t="s">
        <v>37805</v>
      </c>
      <c r="Q4629" s="308" t="s">
        <v>37798</v>
      </c>
      <c r="R4629" s="308" t="s">
        <v>2743</v>
      </c>
      <c r="S4629" s="308" t="s">
        <v>81</v>
      </c>
      <c r="T4629" s="308" t="s">
        <v>75</v>
      </c>
      <c r="U4629" s="308" t="s">
        <v>195</v>
      </c>
      <c r="V4629" s="312"/>
    </row>
    <row r="4630">
      <c r="A4630" s="308">
        <v>4629.0</v>
      </c>
      <c r="B4630" s="308"/>
      <c r="C4630" s="308" t="s">
        <v>18696</v>
      </c>
      <c r="D4630" s="308">
        <f>IFERROR(__xludf.DUMMYFUNCTION("SPLIT(C4630,""-"")"),4650.0)</f>
        <v>4650</v>
      </c>
      <c r="E4630" s="308" t="str">
        <f>IFERROR(__xludf.DUMMYFUNCTION("""COMPUTED_VALUE"""),"S")</f>
        <v>S</v>
      </c>
      <c r="F4630" s="312" t="s">
        <v>39</v>
      </c>
      <c r="G4630" s="308"/>
      <c r="H4630" s="308" t="s">
        <v>18697</v>
      </c>
      <c r="I4630" s="310">
        <v>42923.0</v>
      </c>
      <c r="J4630" s="319">
        <f>IFERROR(__xludf.DUMMYFUNCTION("SPLIT(I4630,""/"")"),7.0)</f>
        <v>7</v>
      </c>
      <c r="K4630" s="308">
        <f>IFERROR(__xludf.DUMMYFUNCTION("""COMPUTED_VALUE"""),7.0)</f>
        <v>7</v>
      </c>
      <c r="L4630" s="308">
        <f>IFERROR(__xludf.DUMMYFUNCTION("""COMPUTED_VALUE"""),2017.0)</f>
        <v>2017</v>
      </c>
      <c r="M4630" s="308" t="s">
        <v>18698</v>
      </c>
      <c r="N4630" s="308"/>
      <c r="O4630" s="308"/>
      <c r="P4630" s="308" t="s">
        <v>18699</v>
      </c>
      <c r="Q4630" s="308" t="s">
        <v>37798</v>
      </c>
      <c r="R4630" s="308" t="s">
        <v>2743</v>
      </c>
      <c r="S4630" s="308" t="s">
        <v>81</v>
      </c>
      <c r="T4630" s="308" t="s">
        <v>75</v>
      </c>
      <c r="U4630" s="308" t="s">
        <v>166</v>
      </c>
      <c r="V4630" s="312"/>
    </row>
    <row r="4631">
      <c r="A4631" s="308">
        <v>4630.0</v>
      </c>
      <c r="B4631" s="308"/>
      <c r="C4631" s="308" t="s">
        <v>18700</v>
      </c>
      <c r="D4631" s="308">
        <f>IFERROR(__xludf.DUMMYFUNCTION("SPLIT(C4631,""-"")"),4651.0)</f>
        <v>4651</v>
      </c>
      <c r="E4631" s="308" t="str">
        <f>IFERROR(__xludf.DUMMYFUNCTION("""COMPUTED_VALUE"""),"K")</f>
        <v>K</v>
      </c>
      <c r="F4631" s="309" t="s">
        <v>34</v>
      </c>
      <c r="G4631" s="308"/>
      <c r="H4631" s="308" t="s">
        <v>18701</v>
      </c>
      <c r="I4631" s="316" t="s">
        <v>407</v>
      </c>
      <c r="J4631" s="319"/>
      <c r="K4631" s="308"/>
      <c r="L4631" s="311" t="s">
        <v>79</v>
      </c>
      <c r="M4631" s="308" t="s">
        <v>37806</v>
      </c>
      <c r="N4631" s="308"/>
      <c r="O4631" s="308" t="s">
        <v>18703</v>
      </c>
      <c r="P4631" s="308" t="s">
        <v>18704</v>
      </c>
      <c r="Q4631" s="308" t="s">
        <v>37798</v>
      </c>
      <c r="R4631" s="308" t="s">
        <v>2743</v>
      </c>
      <c r="S4631" s="308" t="s">
        <v>81</v>
      </c>
      <c r="T4631" s="308" t="s">
        <v>73</v>
      </c>
      <c r="U4631" s="308" t="s">
        <v>530</v>
      </c>
      <c r="V4631" s="312"/>
    </row>
    <row r="4632">
      <c r="A4632" s="308">
        <v>4631.0</v>
      </c>
      <c r="B4632" s="308"/>
      <c r="C4632" s="308" t="s">
        <v>18705</v>
      </c>
      <c r="D4632" s="308">
        <f>IFERROR(__xludf.DUMMYFUNCTION("SPLIT(C4632,""-"")"),4652.0)</f>
        <v>4652</v>
      </c>
      <c r="E4632" s="308" t="str">
        <f>IFERROR(__xludf.DUMMYFUNCTION("""COMPUTED_VALUE"""),"P")</f>
        <v>P</v>
      </c>
      <c r="F4632" s="312" t="s">
        <v>37</v>
      </c>
      <c r="G4632" s="308"/>
      <c r="H4632" s="308" t="s">
        <v>18706</v>
      </c>
      <c r="I4632" s="310">
        <v>42878.0</v>
      </c>
      <c r="J4632" s="319">
        <f>IFERROR(__xludf.DUMMYFUNCTION("SPLIT(I4632,""/"")"),23.0)</f>
        <v>23</v>
      </c>
      <c r="K4632" s="308">
        <f>IFERROR(__xludf.DUMMYFUNCTION("""COMPUTED_VALUE"""),5.0)</f>
        <v>5</v>
      </c>
      <c r="L4632" s="308">
        <f>IFERROR(__xludf.DUMMYFUNCTION("""COMPUTED_VALUE"""),2017.0)</f>
        <v>2017</v>
      </c>
      <c r="M4632" s="308" t="s">
        <v>37807</v>
      </c>
      <c r="N4632" s="308"/>
      <c r="O4632" s="308" t="s">
        <v>18708</v>
      </c>
      <c r="P4632" s="308" t="s">
        <v>37808</v>
      </c>
      <c r="Q4632" s="308" t="s">
        <v>37798</v>
      </c>
      <c r="R4632" s="308" t="s">
        <v>2743</v>
      </c>
      <c r="S4632" s="308" t="s">
        <v>81</v>
      </c>
      <c r="T4632" s="308" t="s">
        <v>75</v>
      </c>
      <c r="U4632" s="308" t="s">
        <v>149</v>
      </c>
      <c r="V4632" s="312"/>
    </row>
    <row r="4633">
      <c r="A4633" s="308">
        <v>4632.0</v>
      </c>
      <c r="B4633" s="308"/>
      <c r="C4633" s="308" t="s">
        <v>18710</v>
      </c>
      <c r="D4633" s="308">
        <f>IFERROR(__xludf.DUMMYFUNCTION("SPLIT(C4633,""-"")"),4653.0)</f>
        <v>4653</v>
      </c>
      <c r="E4633" s="308" t="str">
        <f>IFERROR(__xludf.DUMMYFUNCTION("""COMPUTED_VALUE"""),"K")</f>
        <v>K</v>
      </c>
      <c r="F4633" s="309" t="s">
        <v>34</v>
      </c>
      <c r="G4633" s="308"/>
      <c r="H4633" s="308" t="s">
        <v>37809</v>
      </c>
      <c r="I4633" s="314">
        <v>43034.0</v>
      </c>
      <c r="J4633" s="319" t="str">
        <f>IFERROR(__xludf.DUMMYFUNCTION("SPLIT(I4633,""/"")"),"#REF!")</f>
        <v>#REF!</v>
      </c>
      <c r="K4633" s="308"/>
      <c r="L4633" s="308">
        <v>2017.0</v>
      </c>
      <c r="M4633" s="308" t="s">
        <v>18712</v>
      </c>
      <c r="N4633" s="308"/>
      <c r="O4633" s="308" t="s">
        <v>18713</v>
      </c>
      <c r="P4633" s="308" t="s">
        <v>37810</v>
      </c>
      <c r="Q4633" s="308" t="s">
        <v>37798</v>
      </c>
      <c r="R4633" s="308" t="s">
        <v>2743</v>
      </c>
      <c r="S4633" s="308" t="s">
        <v>81</v>
      </c>
      <c r="T4633" s="308" t="s">
        <v>75</v>
      </c>
      <c r="U4633" s="308" t="s">
        <v>201</v>
      </c>
      <c r="V4633" s="312"/>
    </row>
    <row r="4634">
      <c r="A4634" s="308">
        <v>4633.0</v>
      </c>
      <c r="B4634" s="308"/>
      <c r="C4634" s="308" t="s">
        <v>18715</v>
      </c>
      <c r="D4634" s="308">
        <f>IFERROR(__xludf.DUMMYFUNCTION("SPLIT(C4634,""-"")"),4654.0)</f>
        <v>4654</v>
      </c>
      <c r="E4634" s="308" t="str">
        <f>IFERROR(__xludf.DUMMYFUNCTION("""COMPUTED_VALUE"""),"S")</f>
        <v>S</v>
      </c>
      <c r="F4634" s="312" t="s">
        <v>39</v>
      </c>
      <c r="G4634" s="308"/>
      <c r="H4634" s="308" t="s">
        <v>18716</v>
      </c>
      <c r="I4634" s="314">
        <v>43036.0</v>
      </c>
      <c r="J4634" s="319">
        <f>IFERROR(__xludf.DUMMYFUNCTION("SPLIT(I4634,""/"")"),28.0)</f>
        <v>28</v>
      </c>
      <c r="K4634" s="308">
        <f>IFERROR(__xludf.DUMMYFUNCTION("""COMPUTED_VALUE"""),10.0)</f>
        <v>10</v>
      </c>
      <c r="L4634" s="308">
        <f>IFERROR(__xludf.DUMMYFUNCTION("""COMPUTED_VALUE"""),2017.0)</f>
        <v>2017</v>
      </c>
      <c r="M4634" s="308" t="s">
        <v>18717</v>
      </c>
      <c r="N4634" s="308"/>
      <c r="O4634" s="308"/>
      <c r="P4634" s="308" t="s">
        <v>17869</v>
      </c>
      <c r="Q4634" s="308" t="s">
        <v>37798</v>
      </c>
      <c r="R4634" s="308" t="s">
        <v>14256</v>
      </c>
      <c r="S4634" s="308" t="s">
        <v>49</v>
      </c>
      <c r="T4634" s="308" t="s">
        <v>67</v>
      </c>
      <c r="U4634" s="308" t="s">
        <v>166</v>
      </c>
      <c r="V4634" s="312"/>
    </row>
    <row r="4635">
      <c r="A4635" s="308">
        <v>4634.0</v>
      </c>
      <c r="B4635" s="308"/>
      <c r="C4635" s="308" t="s">
        <v>18718</v>
      </c>
      <c r="D4635" s="308">
        <f>IFERROR(__xludf.DUMMYFUNCTION("SPLIT(C4635,""-"")"),4655.0)</f>
        <v>4655</v>
      </c>
      <c r="E4635" s="308" t="str">
        <f>IFERROR(__xludf.DUMMYFUNCTION("""COMPUTED_VALUE"""),"S")</f>
        <v>S</v>
      </c>
      <c r="F4635" s="312" t="s">
        <v>39</v>
      </c>
      <c r="G4635" s="308"/>
      <c r="H4635" s="308" t="s">
        <v>18719</v>
      </c>
      <c r="I4635" s="314">
        <v>43036.0</v>
      </c>
      <c r="J4635" s="319">
        <f>IFERROR(__xludf.DUMMYFUNCTION("SPLIT(I4635,""/"")"),28.0)</f>
        <v>28</v>
      </c>
      <c r="K4635" s="308">
        <f>IFERROR(__xludf.DUMMYFUNCTION("""COMPUTED_VALUE"""),10.0)</f>
        <v>10</v>
      </c>
      <c r="L4635" s="308">
        <f>IFERROR(__xludf.DUMMYFUNCTION("""COMPUTED_VALUE"""),2017.0)</f>
        <v>2017</v>
      </c>
      <c r="M4635" s="308" t="s">
        <v>37811</v>
      </c>
      <c r="N4635" s="308"/>
      <c r="O4635" s="308"/>
      <c r="P4635" s="308" t="s">
        <v>17869</v>
      </c>
      <c r="Q4635" s="308" t="s">
        <v>37798</v>
      </c>
      <c r="R4635" s="308" t="s">
        <v>14256</v>
      </c>
      <c r="S4635" s="308" t="s">
        <v>49</v>
      </c>
      <c r="T4635" s="308" t="s">
        <v>67</v>
      </c>
      <c r="U4635" s="308" t="s">
        <v>166</v>
      </c>
      <c r="V4635" s="312"/>
    </row>
    <row r="4636">
      <c r="A4636" s="308">
        <v>4635.0</v>
      </c>
      <c r="B4636" s="308"/>
      <c r="C4636" s="308" t="s">
        <v>18721</v>
      </c>
      <c r="D4636" s="308">
        <f>IFERROR(__xludf.DUMMYFUNCTION("SPLIT(C4636,""-"")"),4656.0)</f>
        <v>4656</v>
      </c>
      <c r="E4636" s="308" t="str">
        <f>IFERROR(__xludf.DUMMYFUNCTION("""COMPUTED_VALUE"""),"P")</f>
        <v>P</v>
      </c>
      <c r="F4636" s="312" t="s">
        <v>37</v>
      </c>
      <c r="G4636" s="308"/>
      <c r="H4636" s="308" t="s">
        <v>18722</v>
      </c>
      <c r="I4636" s="310">
        <v>43112.0</v>
      </c>
      <c r="J4636" s="319">
        <f>IFERROR(__xludf.DUMMYFUNCTION("SPLIT(I4636,""/"")"),12.0)</f>
        <v>12</v>
      </c>
      <c r="K4636" s="308">
        <f>IFERROR(__xludf.DUMMYFUNCTION("""COMPUTED_VALUE"""),1.0)</f>
        <v>1</v>
      </c>
      <c r="L4636" s="308">
        <f>IFERROR(__xludf.DUMMYFUNCTION("""COMPUTED_VALUE"""),2018.0)</f>
        <v>2018</v>
      </c>
      <c r="M4636" s="308" t="s">
        <v>18723</v>
      </c>
      <c r="N4636" s="308"/>
      <c r="O4636" s="308"/>
      <c r="P4636" s="308" t="s">
        <v>37812</v>
      </c>
      <c r="Q4636" s="308" t="s">
        <v>37813</v>
      </c>
      <c r="R4636" s="308" t="s">
        <v>2743</v>
      </c>
      <c r="S4636" s="308" t="s">
        <v>81</v>
      </c>
      <c r="T4636" s="308" t="s">
        <v>75</v>
      </c>
      <c r="U4636" s="308" t="s">
        <v>149</v>
      </c>
      <c r="V4636" s="312"/>
    </row>
    <row r="4637">
      <c r="A4637" s="308">
        <v>4636.0</v>
      </c>
      <c r="B4637" s="308"/>
      <c r="C4637" s="308" t="s">
        <v>18725</v>
      </c>
      <c r="D4637" s="308">
        <f>IFERROR(__xludf.DUMMYFUNCTION("SPLIT(C4637,""-"")"),4657.0)</f>
        <v>4657</v>
      </c>
      <c r="E4637" s="308" t="str">
        <f>IFERROR(__xludf.DUMMYFUNCTION("""COMPUTED_VALUE"""),"K")</f>
        <v>K</v>
      </c>
      <c r="F4637" s="309" t="s">
        <v>34</v>
      </c>
      <c r="G4637" s="308"/>
      <c r="H4637" s="308" t="s">
        <v>18726</v>
      </c>
      <c r="I4637" s="310">
        <v>41975.0</v>
      </c>
      <c r="J4637" s="319">
        <f>IFERROR(__xludf.DUMMYFUNCTION("SPLIT(I4637,""/"")"),2.0)</f>
        <v>2</v>
      </c>
      <c r="K4637" s="308">
        <f>IFERROR(__xludf.DUMMYFUNCTION("""COMPUTED_VALUE"""),12.0)</f>
        <v>12</v>
      </c>
      <c r="L4637" s="308">
        <f>IFERROR(__xludf.DUMMYFUNCTION("""COMPUTED_VALUE"""),2014.0)</f>
        <v>2014</v>
      </c>
      <c r="M4637" s="308" t="s">
        <v>18727</v>
      </c>
      <c r="N4637" s="308"/>
      <c r="O4637" s="308" t="s">
        <v>18728</v>
      </c>
      <c r="P4637" s="308" t="s">
        <v>11838</v>
      </c>
      <c r="Q4637" s="308" t="s">
        <v>37813</v>
      </c>
      <c r="R4637" s="308" t="s">
        <v>2743</v>
      </c>
      <c r="S4637" s="315" t="s">
        <v>100</v>
      </c>
      <c r="T4637" s="311" t="s">
        <v>34208</v>
      </c>
      <c r="U4637" s="308" t="s">
        <v>2989</v>
      </c>
      <c r="V4637" s="312"/>
    </row>
    <row r="4638">
      <c r="A4638" s="308">
        <v>4637.0</v>
      </c>
      <c r="B4638" s="308"/>
      <c r="C4638" s="308" t="s">
        <v>18729</v>
      </c>
      <c r="D4638" s="308">
        <f>IFERROR(__xludf.DUMMYFUNCTION("SPLIT(C4638,""-"")"),4658.0)</f>
        <v>4658</v>
      </c>
      <c r="E4638" s="308" t="str">
        <f>IFERROR(__xludf.DUMMYFUNCTION("""COMPUTED_VALUE"""),"K")</f>
        <v>K</v>
      </c>
      <c r="F4638" s="309" t="s">
        <v>34</v>
      </c>
      <c r="G4638" s="308"/>
      <c r="H4638" s="308" t="s">
        <v>18730</v>
      </c>
      <c r="I4638" s="310">
        <v>43002.0</v>
      </c>
      <c r="J4638" s="319" t="str">
        <f>IFERROR(__xludf.DUMMYFUNCTION("SPLIT(I4638,""/"")"),"#REF!")</f>
        <v>#REF!</v>
      </c>
      <c r="K4638" s="308"/>
      <c r="L4638" s="308">
        <v>2017.0</v>
      </c>
      <c r="M4638" s="308" t="s">
        <v>18731</v>
      </c>
      <c r="N4638" s="308"/>
      <c r="O4638" s="308"/>
      <c r="P4638" s="308" t="s">
        <v>2872</v>
      </c>
      <c r="Q4638" s="308" t="s">
        <v>37813</v>
      </c>
      <c r="R4638" s="308" t="s">
        <v>2743</v>
      </c>
      <c r="S4638" s="315" t="s">
        <v>100</v>
      </c>
      <c r="T4638" s="311" t="s">
        <v>34208</v>
      </c>
      <c r="U4638" s="308" t="s">
        <v>125</v>
      </c>
      <c r="V4638" s="312"/>
    </row>
    <row r="4639">
      <c r="A4639" s="308">
        <v>4638.0</v>
      </c>
      <c r="B4639" s="308"/>
      <c r="C4639" s="308" t="s">
        <v>18732</v>
      </c>
      <c r="D4639" s="308">
        <f>IFERROR(__xludf.DUMMYFUNCTION("SPLIT(C4639,""-"")"),4659.0)</f>
        <v>4659</v>
      </c>
      <c r="E4639" s="308" t="str">
        <f>IFERROR(__xludf.DUMMYFUNCTION("""COMPUTED_VALUE"""),"S")</f>
        <v>S</v>
      </c>
      <c r="F4639" s="312" t="s">
        <v>39</v>
      </c>
      <c r="G4639" s="308"/>
      <c r="H4639" s="308" t="s">
        <v>18733</v>
      </c>
      <c r="I4639" s="314">
        <v>42323.0</v>
      </c>
      <c r="J4639" s="319">
        <f>IFERROR(__xludf.DUMMYFUNCTION("SPLIT(I4639,""/"")"),15.0)</f>
        <v>15</v>
      </c>
      <c r="K4639" s="308">
        <f>IFERROR(__xludf.DUMMYFUNCTION("""COMPUTED_VALUE"""),11.0)</f>
        <v>11</v>
      </c>
      <c r="L4639" s="308">
        <f>IFERROR(__xludf.DUMMYFUNCTION("""COMPUTED_VALUE"""),2015.0)</f>
        <v>2015</v>
      </c>
      <c r="M4639" s="308" t="s">
        <v>18734</v>
      </c>
      <c r="N4639" s="308"/>
      <c r="O4639" s="308"/>
      <c r="P4639" s="308" t="s">
        <v>37814</v>
      </c>
      <c r="Q4639" s="308" t="s">
        <v>37813</v>
      </c>
      <c r="R4639" s="308" t="s">
        <v>2743</v>
      </c>
      <c r="S4639" s="308" t="s">
        <v>49</v>
      </c>
      <c r="T4639" s="308" t="s">
        <v>51</v>
      </c>
      <c r="U4639" s="308" t="s">
        <v>166</v>
      </c>
      <c r="V4639" s="312"/>
    </row>
    <row r="4640">
      <c r="A4640" s="308">
        <v>4639.0</v>
      </c>
      <c r="B4640" s="308"/>
      <c r="C4640" s="308" t="s">
        <v>37815</v>
      </c>
      <c r="D4640" s="308" t="str">
        <f>IFERROR(__xludf.DUMMYFUNCTION("SPLIT(C4640,""-"")"),"#REF!")</f>
        <v>#REF!</v>
      </c>
      <c r="E4640" s="311"/>
      <c r="F4640" s="309" t="s">
        <v>31</v>
      </c>
      <c r="G4640" s="308"/>
      <c r="H4640" s="308" t="s">
        <v>18737</v>
      </c>
      <c r="I4640" s="310">
        <v>40219.0</v>
      </c>
      <c r="J4640" s="319">
        <f>IFERROR(__xludf.DUMMYFUNCTION("SPLIT(I4640,""/"")"),10.0)</f>
        <v>10</v>
      </c>
      <c r="K4640" s="308">
        <f>IFERROR(__xludf.DUMMYFUNCTION("""COMPUTED_VALUE"""),2.0)</f>
        <v>2</v>
      </c>
      <c r="L4640" s="308">
        <f>IFERROR(__xludf.DUMMYFUNCTION("""COMPUTED_VALUE"""),2010.0)</f>
        <v>2010</v>
      </c>
      <c r="M4640" s="308" t="s">
        <v>18738</v>
      </c>
      <c r="N4640" s="308"/>
      <c r="O4640" s="308"/>
      <c r="P4640" s="308" t="s">
        <v>10817</v>
      </c>
      <c r="Q4640" s="308" t="s">
        <v>37813</v>
      </c>
      <c r="R4640" s="308" t="s">
        <v>2743</v>
      </c>
      <c r="S4640" s="315" t="s">
        <v>100</v>
      </c>
      <c r="T4640" s="311" t="s">
        <v>34208</v>
      </c>
      <c r="U4640" s="308" t="s">
        <v>31</v>
      </c>
      <c r="V4640" s="312"/>
    </row>
    <row r="4641">
      <c r="A4641" s="308">
        <v>4640.0</v>
      </c>
      <c r="B4641" s="308"/>
      <c r="C4641" s="308" t="s">
        <v>18739</v>
      </c>
      <c r="D4641" s="308">
        <f>IFERROR(__xludf.DUMMYFUNCTION("SPLIT(C4641,""-"")"),4661.0)</f>
        <v>4661</v>
      </c>
      <c r="E4641" s="308" t="str">
        <f>IFERROR(__xludf.DUMMYFUNCTION("""COMPUTED_VALUE"""),"B")</f>
        <v>B</v>
      </c>
      <c r="F4641" s="315" t="s">
        <v>26</v>
      </c>
      <c r="G4641" s="308"/>
      <c r="H4641" s="308" t="s">
        <v>18740</v>
      </c>
      <c r="I4641" s="314">
        <v>43039.0</v>
      </c>
      <c r="J4641" s="319">
        <f>IFERROR(__xludf.DUMMYFUNCTION("SPLIT(I4641,""/"")"),31.0)</f>
        <v>31</v>
      </c>
      <c r="K4641" s="308">
        <f>IFERROR(__xludf.DUMMYFUNCTION("""COMPUTED_VALUE"""),10.0)</f>
        <v>10</v>
      </c>
      <c r="L4641" s="308">
        <f>IFERROR(__xludf.DUMMYFUNCTION("""COMPUTED_VALUE"""),2017.0)</f>
        <v>2017</v>
      </c>
      <c r="M4641" s="308" t="s">
        <v>18741</v>
      </c>
      <c r="N4641" s="308"/>
      <c r="O4641" s="308"/>
      <c r="P4641" s="308" t="s">
        <v>37816</v>
      </c>
      <c r="Q4641" s="308" t="s">
        <v>37817</v>
      </c>
      <c r="R4641" s="308" t="s">
        <v>14256</v>
      </c>
      <c r="S4641" s="308" t="s">
        <v>81</v>
      </c>
      <c r="T4641" s="311" t="s">
        <v>96</v>
      </c>
      <c r="U4641" s="308" t="s">
        <v>27</v>
      </c>
      <c r="V4641" s="312"/>
    </row>
    <row r="4642">
      <c r="A4642" s="308">
        <v>4641.0</v>
      </c>
      <c r="B4642" s="308"/>
      <c r="C4642" s="308" t="s">
        <v>18743</v>
      </c>
      <c r="D4642" s="308">
        <f>IFERROR(__xludf.DUMMYFUNCTION("SPLIT(C4642,""-"")"),4662.0)</f>
        <v>4662</v>
      </c>
      <c r="E4642" s="308" t="str">
        <f>IFERROR(__xludf.DUMMYFUNCTION("""COMPUTED_VALUE"""),"S")</f>
        <v>S</v>
      </c>
      <c r="F4642" s="312" t="s">
        <v>39</v>
      </c>
      <c r="G4642" s="308"/>
      <c r="H4642" s="308" t="s">
        <v>18744</v>
      </c>
      <c r="I4642" s="314">
        <v>43059.0</v>
      </c>
      <c r="J4642" s="319">
        <f>IFERROR(__xludf.DUMMYFUNCTION("SPLIT(I4642,""/"")"),20.0)</f>
        <v>20</v>
      </c>
      <c r="K4642" s="308">
        <f>IFERROR(__xludf.DUMMYFUNCTION("""COMPUTED_VALUE"""),11.0)</f>
        <v>11</v>
      </c>
      <c r="L4642" s="308">
        <f>IFERROR(__xludf.DUMMYFUNCTION("""COMPUTED_VALUE"""),2017.0)</f>
        <v>2017</v>
      </c>
      <c r="M4642" s="308" t="s">
        <v>18745</v>
      </c>
      <c r="N4642" s="308"/>
      <c r="O4642" s="308"/>
      <c r="P4642" s="308" t="s">
        <v>37818</v>
      </c>
      <c r="Q4642" s="308" t="s">
        <v>37817</v>
      </c>
      <c r="R4642" s="308" t="s">
        <v>14256</v>
      </c>
      <c r="S4642" s="308" t="s">
        <v>81</v>
      </c>
      <c r="T4642" s="308" t="s">
        <v>75</v>
      </c>
      <c r="U4642" s="308" t="s">
        <v>166</v>
      </c>
      <c r="V4642" s="312"/>
    </row>
    <row r="4643">
      <c r="A4643" s="308">
        <v>4642.0</v>
      </c>
      <c r="B4643" s="308"/>
      <c r="C4643" s="308" t="s">
        <v>18747</v>
      </c>
      <c r="D4643" s="308">
        <f>IFERROR(__xludf.DUMMYFUNCTION("SPLIT(C4643,""-"")"),4663.0)</f>
        <v>4663</v>
      </c>
      <c r="E4643" s="308" t="str">
        <f>IFERROR(__xludf.DUMMYFUNCTION("""COMPUTED_VALUE"""),"S")</f>
        <v>S</v>
      </c>
      <c r="F4643" s="312" t="s">
        <v>39</v>
      </c>
      <c r="G4643" s="308"/>
      <c r="H4643" s="308" t="s">
        <v>18748</v>
      </c>
      <c r="I4643" s="310">
        <v>42491.0</v>
      </c>
      <c r="J4643" s="319">
        <f>IFERROR(__xludf.DUMMYFUNCTION("SPLIT(I4643,""/"")"),1.0)</f>
        <v>1</v>
      </c>
      <c r="K4643" s="308">
        <f>IFERROR(__xludf.DUMMYFUNCTION("""COMPUTED_VALUE"""),5.0)</f>
        <v>5</v>
      </c>
      <c r="L4643" s="308">
        <f>IFERROR(__xludf.DUMMYFUNCTION("""COMPUTED_VALUE"""),2016.0)</f>
        <v>2016</v>
      </c>
      <c r="M4643" s="308" t="s">
        <v>18749</v>
      </c>
      <c r="N4643" s="308"/>
      <c r="O4643" s="308"/>
      <c r="P4643" s="308" t="s">
        <v>37819</v>
      </c>
      <c r="Q4643" s="308" t="s">
        <v>37817</v>
      </c>
      <c r="R4643" s="308" t="s">
        <v>2743</v>
      </c>
      <c r="S4643" s="308" t="s">
        <v>49</v>
      </c>
      <c r="T4643" s="311" t="s">
        <v>67</v>
      </c>
      <c r="U4643" s="308" t="s">
        <v>166</v>
      </c>
      <c r="V4643" s="312"/>
    </row>
    <row r="4644">
      <c r="A4644" s="308">
        <v>4643.0</v>
      </c>
      <c r="B4644" s="308"/>
      <c r="C4644" s="308" t="s">
        <v>18751</v>
      </c>
      <c r="D4644" s="308">
        <f>IFERROR(__xludf.DUMMYFUNCTION("SPLIT(C4644,""-"")"),4664.0)</f>
        <v>4664</v>
      </c>
      <c r="E4644" s="308" t="str">
        <f>IFERROR(__xludf.DUMMYFUNCTION("""COMPUTED_VALUE"""),"K")</f>
        <v>K</v>
      </c>
      <c r="F4644" s="309" t="s">
        <v>34</v>
      </c>
      <c r="G4644" s="308"/>
      <c r="H4644" s="308" t="s">
        <v>18752</v>
      </c>
      <c r="I4644" s="310">
        <v>42887.0</v>
      </c>
      <c r="J4644" s="319" t="str">
        <f>IFERROR(__xludf.DUMMYFUNCTION("SPLIT(I4644,""/"")"),"#REF!")</f>
        <v>#REF!</v>
      </c>
      <c r="K4644" s="308"/>
      <c r="L4644" s="308">
        <v>2017.0</v>
      </c>
      <c r="M4644" s="308" t="s">
        <v>18753</v>
      </c>
      <c r="N4644" s="308" t="s">
        <v>18754</v>
      </c>
      <c r="O4644" s="308" t="s">
        <v>18755</v>
      </c>
      <c r="P4644" s="308" t="s">
        <v>18756</v>
      </c>
      <c r="Q4644" s="308" t="s">
        <v>37817</v>
      </c>
      <c r="R4644" s="308" t="s">
        <v>2743</v>
      </c>
      <c r="S4644" s="308" t="s">
        <v>81</v>
      </c>
      <c r="T4644" s="311" t="s">
        <v>96</v>
      </c>
      <c r="U4644" s="308" t="s">
        <v>18206</v>
      </c>
      <c r="V4644" s="312"/>
    </row>
    <row r="4645">
      <c r="A4645" s="308">
        <v>4644.0</v>
      </c>
      <c r="B4645" s="308"/>
      <c r="C4645" s="308" t="s">
        <v>18757</v>
      </c>
      <c r="D4645" s="308">
        <f>IFERROR(__xludf.DUMMYFUNCTION("SPLIT(C4645,""-"")"),4665.0)</f>
        <v>4665</v>
      </c>
      <c r="E4645" s="308" t="str">
        <f>IFERROR(__xludf.DUMMYFUNCTION("""COMPUTED_VALUE"""),"K")</f>
        <v>K</v>
      </c>
      <c r="F4645" s="309" t="s">
        <v>34</v>
      </c>
      <c r="G4645" s="308"/>
      <c r="H4645" s="308" t="s">
        <v>18758</v>
      </c>
      <c r="I4645" s="310">
        <v>42887.0</v>
      </c>
      <c r="J4645" s="319" t="str">
        <f>IFERROR(__xludf.DUMMYFUNCTION("SPLIT(I4645,""/"")"),"#REF!")</f>
        <v>#REF!</v>
      </c>
      <c r="K4645" s="308"/>
      <c r="L4645" s="308">
        <v>2017.0</v>
      </c>
      <c r="M4645" s="308" t="s">
        <v>18753</v>
      </c>
      <c r="N4645" s="308" t="s">
        <v>18759</v>
      </c>
      <c r="O4645" s="308" t="s">
        <v>18755</v>
      </c>
      <c r="P4645" s="308" t="s">
        <v>37820</v>
      </c>
      <c r="Q4645" s="308" t="s">
        <v>37817</v>
      </c>
      <c r="R4645" s="308" t="s">
        <v>2743</v>
      </c>
      <c r="S4645" s="308" t="s">
        <v>81</v>
      </c>
      <c r="T4645" s="308" t="s">
        <v>75</v>
      </c>
      <c r="U4645" s="308" t="s">
        <v>18206</v>
      </c>
      <c r="V4645" s="312"/>
    </row>
    <row r="4646">
      <c r="A4646" s="308">
        <v>4645.0</v>
      </c>
      <c r="B4646" s="308"/>
      <c r="C4646" s="308" t="s">
        <v>18761</v>
      </c>
      <c r="D4646" s="308">
        <f>IFERROR(__xludf.DUMMYFUNCTION("SPLIT(C4646,""-"")"),4666.0)</f>
        <v>4666</v>
      </c>
      <c r="E4646" s="308" t="str">
        <f>IFERROR(__xludf.DUMMYFUNCTION("""COMPUTED_VALUE"""),"K")</f>
        <v>K</v>
      </c>
      <c r="F4646" s="309" t="s">
        <v>34</v>
      </c>
      <c r="G4646" s="308"/>
      <c r="H4646" s="308" t="s">
        <v>18762</v>
      </c>
      <c r="I4646" s="310">
        <v>42887.0</v>
      </c>
      <c r="J4646" s="319" t="str">
        <f>IFERROR(__xludf.DUMMYFUNCTION("SPLIT(I4646,""/"")"),"#REF!")</f>
        <v>#REF!</v>
      </c>
      <c r="K4646" s="308"/>
      <c r="L4646" s="308">
        <v>2017.0</v>
      </c>
      <c r="M4646" s="308" t="s">
        <v>18753</v>
      </c>
      <c r="N4646" s="308" t="s">
        <v>18763</v>
      </c>
      <c r="O4646" s="308" t="s">
        <v>18755</v>
      </c>
      <c r="P4646" s="308" t="s">
        <v>18764</v>
      </c>
      <c r="Q4646" s="308" t="s">
        <v>37817</v>
      </c>
      <c r="R4646" s="308" t="s">
        <v>2743</v>
      </c>
      <c r="S4646" s="315" t="s">
        <v>100</v>
      </c>
      <c r="T4646" s="311" t="s">
        <v>34208</v>
      </c>
      <c r="U4646" s="308" t="s">
        <v>18206</v>
      </c>
      <c r="V4646" s="312"/>
    </row>
    <row r="4647">
      <c r="A4647" s="308">
        <v>4646.0</v>
      </c>
      <c r="B4647" s="308"/>
      <c r="C4647" s="308" t="s">
        <v>18765</v>
      </c>
      <c r="D4647" s="308">
        <f>IFERROR(__xludf.DUMMYFUNCTION("SPLIT(C4647,""-"")"),4667.0)</f>
        <v>4667</v>
      </c>
      <c r="E4647" s="308" t="str">
        <f>IFERROR(__xludf.DUMMYFUNCTION("""COMPUTED_VALUE"""),"F")</f>
        <v>F</v>
      </c>
      <c r="F4647" s="309" t="s">
        <v>34</v>
      </c>
      <c r="G4647" s="308"/>
      <c r="H4647" s="308" t="s">
        <v>18766</v>
      </c>
      <c r="I4647" s="310">
        <v>40360.0</v>
      </c>
      <c r="J4647" s="319">
        <f>IFERROR(__xludf.DUMMYFUNCTION("SPLIT(I4647,""/"")"),1.0)</f>
        <v>1</v>
      </c>
      <c r="K4647" s="308">
        <f>IFERROR(__xludf.DUMMYFUNCTION("""COMPUTED_VALUE"""),7.0)</f>
        <v>7</v>
      </c>
      <c r="L4647" s="308">
        <f>IFERROR(__xludf.DUMMYFUNCTION("""COMPUTED_VALUE"""),2010.0)</f>
        <v>2010</v>
      </c>
      <c r="M4647" s="308" t="s">
        <v>18767</v>
      </c>
      <c r="N4647" s="308" t="s">
        <v>439</v>
      </c>
      <c r="O4647" s="308"/>
      <c r="P4647" s="308" t="s">
        <v>18768</v>
      </c>
      <c r="Q4647" s="308" t="s">
        <v>37817</v>
      </c>
      <c r="R4647" s="308" t="s">
        <v>2743</v>
      </c>
      <c r="S4647" s="308" t="s">
        <v>49</v>
      </c>
      <c r="T4647" s="308" t="s">
        <v>51</v>
      </c>
      <c r="U4647" s="308" t="s">
        <v>195</v>
      </c>
      <c r="V4647" s="312"/>
    </row>
    <row r="4648">
      <c r="A4648" s="308">
        <v>4647.0</v>
      </c>
      <c r="B4648" s="308"/>
      <c r="C4648" s="308" t="s">
        <v>18769</v>
      </c>
      <c r="D4648" s="308">
        <f>IFERROR(__xludf.DUMMYFUNCTION("SPLIT(C4648,""-"")"),4668.0)</f>
        <v>4668</v>
      </c>
      <c r="E4648" s="308" t="str">
        <f>IFERROR(__xludf.DUMMYFUNCTION("""COMPUTED_VALUE"""),"P")</f>
        <v>P</v>
      </c>
      <c r="F4648" s="312" t="s">
        <v>37</v>
      </c>
      <c r="G4648" s="308"/>
      <c r="H4648" s="308" t="s">
        <v>18770</v>
      </c>
      <c r="I4648" s="314">
        <v>42322.0</v>
      </c>
      <c r="J4648" s="319">
        <f>IFERROR(__xludf.DUMMYFUNCTION("SPLIT(I4648,""/"")"),14.0)</f>
        <v>14</v>
      </c>
      <c r="K4648" s="308">
        <f>IFERROR(__xludf.DUMMYFUNCTION("""COMPUTED_VALUE"""),11.0)</f>
        <v>11</v>
      </c>
      <c r="L4648" s="308">
        <f>IFERROR(__xludf.DUMMYFUNCTION("""COMPUTED_VALUE"""),2015.0)</f>
        <v>2015</v>
      </c>
      <c r="M4648" s="308" t="s">
        <v>18771</v>
      </c>
      <c r="N4648" s="308"/>
      <c r="O4648" s="308"/>
      <c r="P4648" s="308" t="s">
        <v>37821</v>
      </c>
      <c r="Q4648" s="308" t="s">
        <v>37822</v>
      </c>
      <c r="R4648" s="308" t="s">
        <v>2743</v>
      </c>
      <c r="S4648" s="308" t="s">
        <v>81</v>
      </c>
      <c r="T4648" s="311" t="s">
        <v>63</v>
      </c>
      <c r="U4648" s="308" t="s">
        <v>143</v>
      </c>
      <c r="V4648" s="312"/>
    </row>
    <row r="4649">
      <c r="A4649" s="308">
        <v>4648.0</v>
      </c>
      <c r="B4649" s="308"/>
      <c r="C4649" s="308" t="s">
        <v>18773</v>
      </c>
      <c r="D4649" s="308">
        <f>IFERROR(__xludf.DUMMYFUNCTION("SPLIT(C4649,""-"")"),4669.0)</f>
        <v>4669</v>
      </c>
      <c r="E4649" s="308" t="str">
        <f>IFERROR(__xludf.DUMMYFUNCTION("""COMPUTED_VALUE"""),"K")</f>
        <v>K</v>
      </c>
      <c r="F4649" s="309" t="s">
        <v>34</v>
      </c>
      <c r="G4649" s="308"/>
      <c r="H4649" s="308" t="s">
        <v>18774</v>
      </c>
      <c r="I4649" s="314">
        <v>43100.0</v>
      </c>
      <c r="J4649" s="319" t="str">
        <f>IFERROR(__xludf.DUMMYFUNCTION("SPLIT(I4649,""/"")"),"#REF!")</f>
        <v>#REF!</v>
      </c>
      <c r="K4649" s="308"/>
      <c r="L4649" s="308">
        <v>2017.0</v>
      </c>
      <c r="M4649" s="308" t="s">
        <v>18775</v>
      </c>
      <c r="N4649" s="308"/>
      <c r="O4649" s="308"/>
      <c r="P4649" s="308" t="s">
        <v>37823</v>
      </c>
      <c r="Q4649" s="308" t="s">
        <v>37822</v>
      </c>
      <c r="R4649" s="308" t="s">
        <v>2743</v>
      </c>
      <c r="S4649" s="308" t="s">
        <v>81</v>
      </c>
      <c r="T4649" s="311" t="s">
        <v>96</v>
      </c>
      <c r="U4649" s="308" t="s">
        <v>18777</v>
      </c>
      <c r="V4649" s="312"/>
    </row>
    <row r="4650">
      <c r="A4650" s="308">
        <v>4649.0</v>
      </c>
      <c r="B4650" s="308"/>
      <c r="C4650" s="308" t="s">
        <v>18778</v>
      </c>
      <c r="D4650" s="308">
        <f>IFERROR(__xludf.DUMMYFUNCTION("SPLIT(C4650,""-"")"),4670.0)</f>
        <v>4670</v>
      </c>
      <c r="E4650" s="308" t="str">
        <f>IFERROR(__xludf.DUMMYFUNCTION("""COMPUTED_VALUE"""),"F")</f>
        <v>F</v>
      </c>
      <c r="F4650" s="309" t="s">
        <v>34</v>
      </c>
      <c r="G4650" s="308"/>
      <c r="H4650" s="308" t="s">
        <v>18779</v>
      </c>
      <c r="I4650" s="310">
        <v>42031.0</v>
      </c>
      <c r="J4650" s="319">
        <f>IFERROR(__xludf.DUMMYFUNCTION("SPLIT(I4650,""/"")"),27.0)</f>
        <v>27</v>
      </c>
      <c r="K4650" s="308">
        <f>IFERROR(__xludf.DUMMYFUNCTION("""COMPUTED_VALUE"""),1.0)</f>
        <v>1</v>
      </c>
      <c r="L4650" s="308">
        <f>IFERROR(__xludf.DUMMYFUNCTION("""COMPUTED_VALUE"""),2015.0)</f>
        <v>2015</v>
      </c>
      <c r="M4650" s="308" t="s">
        <v>18780</v>
      </c>
      <c r="N4650" s="308" t="s">
        <v>18781</v>
      </c>
      <c r="O4650" s="308"/>
      <c r="P4650" s="308" t="s">
        <v>6393</v>
      </c>
      <c r="Q4650" s="308" t="s">
        <v>37824</v>
      </c>
      <c r="R4650" s="308" t="s">
        <v>2743</v>
      </c>
      <c r="S4650" s="315" t="s">
        <v>100</v>
      </c>
      <c r="T4650" s="311" t="s">
        <v>34208</v>
      </c>
      <c r="U4650" s="308" t="s">
        <v>6875</v>
      </c>
      <c r="V4650" s="312"/>
    </row>
    <row r="4651">
      <c r="A4651" s="308">
        <v>4650.0</v>
      </c>
      <c r="B4651" s="308"/>
      <c r="C4651" s="308" t="s">
        <v>18782</v>
      </c>
      <c r="D4651" s="308">
        <f>IFERROR(__xludf.DUMMYFUNCTION("SPLIT(C4651,""-"")"),4671.0)</f>
        <v>4671</v>
      </c>
      <c r="E4651" s="308" t="str">
        <f>IFERROR(__xludf.DUMMYFUNCTION("""COMPUTED_VALUE"""),"B")</f>
        <v>B</v>
      </c>
      <c r="F4651" s="315" t="s">
        <v>26</v>
      </c>
      <c r="G4651" s="308"/>
      <c r="H4651" s="308" t="s">
        <v>18783</v>
      </c>
      <c r="I4651" s="310">
        <v>42513.0</v>
      </c>
      <c r="J4651" s="319">
        <f>IFERROR(__xludf.DUMMYFUNCTION("SPLIT(I4651,""/"")"),23.0)</f>
        <v>23</v>
      </c>
      <c r="K4651" s="308">
        <f>IFERROR(__xludf.DUMMYFUNCTION("""COMPUTED_VALUE"""),5.0)</f>
        <v>5</v>
      </c>
      <c r="L4651" s="308">
        <f>IFERROR(__xludf.DUMMYFUNCTION("""COMPUTED_VALUE"""),2016.0)</f>
        <v>2016</v>
      </c>
      <c r="M4651" s="308" t="s">
        <v>18784</v>
      </c>
      <c r="N4651" s="308"/>
      <c r="O4651" s="308" t="s">
        <v>18785</v>
      </c>
      <c r="P4651" s="308" t="s">
        <v>11049</v>
      </c>
      <c r="Q4651" s="308" t="s">
        <v>37824</v>
      </c>
      <c r="R4651" s="308" t="s">
        <v>2743</v>
      </c>
      <c r="S4651" s="315" t="s">
        <v>100</v>
      </c>
      <c r="T4651" s="311" t="s">
        <v>34208</v>
      </c>
      <c r="U4651" s="308" t="s">
        <v>27</v>
      </c>
      <c r="V4651" s="312"/>
    </row>
    <row r="4652">
      <c r="A4652" s="308">
        <v>4651.0</v>
      </c>
      <c r="B4652" s="308"/>
      <c r="C4652" s="308" t="s">
        <v>18786</v>
      </c>
      <c r="D4652" s="308">
        <f>IFERROR(__xludf.DUMMYFUNCTION("SPLIT(C4652,""-"")"),4672.0)</f>
        <v>4672</v>
      </c>
      <c r="E4652" s="308" t="str">
        <f>IFERROR(__xludf.DUMMYFUNCTION("""COMPUTED_VALUE"""),"B")</f>
        <v>B</v>
      </c>
      <c r="F4652" s="315" t="s">
        <v>26</v>
      </c>
      <c r="G4652" s="308"/>
      <c r="H4652" s="308" t="s">
        <v>18787</v>
      </c>
      <c r="I4652" s="310">
        <v>42499.0</v>
      </c>
      <c r="J4652" s="319">
        <f>IFERROR(__xludf.DUMMYFUNCTION("SPLIT(I4652,""/"")"),9.0)</f>
        <v>9</v>
      </c>
      <c r="K4652" s="308">
        <f>IFERROR(__xludf.DUMMYFUNCTION("""COMPUTED_VALUE"""),5.0)</f>
        <v>5</v>
      </c>
      <c r="L4652" s="308">
        <f>IFERROR(__xludf.DUMMYFUNCTION("""COMPUTED_VALUE"""),2016.0)</f>
        <v>2016</v>
      </c>
      <c r="M4652" s="308" t="s">
        <v>18788</v>
      </c>
      <c r="N4652" s="308"/>
      <c r="O4652" s="308" t="s">
        <v>18785</v>
      </c>
      <c r="P4652" s="308" t="s">
        <v>11049</v>
      </c>
      <c r="Q4652" s="308" t="s">
        <v>37824</v>
      </c>
      <c r="R4652" s="308" t="s">
        <v>2743</v>
      </c>
      <c r="S4652" s="315" t="s">
        <v>100</v>
      </c>
      <c r="T4652" s="311" t="s">
        <v>34208</v>
      </c>
      <c r="U4652" s="308" t="s">
        <v>27</v>
      </c>
      <c r="V4652" s="312"/>
    </row>
    <row r="4653">
      <c r="A4653" s="308">
        <v>4652.0</v>
      </c>
      <c r="B4653" s="308"/>
      <c r="C4653" s="308" t="s">
        <v>18789</v>
      </c>
      <c r="D4653" s="308">
        <f>IFERROR(__xludf.DUMMYFUNCTION("SPLIT(C4653,""-"")"),4673.0)</f>
        <v>4673</v>
      </c>
      <c r="E4653" s="308" t="str">
        <f>IFERROR(__xludf.DUMMYFUNCTION("""COMPUTED_VALUE"""),"I")</f>
        <v>I</v>
      </c>
      <c r="F4653" s="309" t="s">
        <v>31</v>
      </c>
      <c r="G4653" s="308"/>
      <c r="H4653" s="308" t="s">
        <v>18790</v>
      </c>
      <c r="I4653" s="314">
        <v>43096.0</v>
      </c>
      <c r="J4653" s="319">
        <f>IFERROR(__xludf.DUMMYFUNCTION("SPLIT(I4653,""/"")"),27.0)</f>
        <v>27</v>
      </c>
      <c r="K4653" s="308">
        <f>IFERROR(__xludf.DUMMYFUNCTION("""COMPUTED_VALUE"""),12.0)</f>
        <v>12</v>
      </c>
      <c r="L4653" s="308">
        <f>IFERROR(__xludf.DUMMYFUNCTION("""COMPUTED_VALUE"""),2017.0)</f>
        <v>2017</v>
      </c>
      <c r="M4653" s="308" t="s">
        <v>18791</v>
      </c>
      <c r="N4653" s="308"/>
      <c r="O4653" s="308" t="s">
        <v>18792</v>
      </c>
      <c r="P4653" s="308" t="s">
        <v>37825</v>
      </c>
      <c r="Q4653" s="308" t="s">
        <v>37824</v>
      </c>
      <c r="R4653" s="308" t="s">
        <v>2743</v>
      </c>
      <c r="S4653" s="308" t="s">
        <v>81</v>
      </c>
      <c r="T4653" s="308" t="s">
        <v>73</v>
      </c>
      <c r="U4653" s="308" t="s">
        <v>31</v>
      </c>
      <c r="V4653" s="312"/>
    </row>
    <row r="4654">
      <c r="A4654" s="308">
        <v>4653.0</v>
      </c>
      <c r="B4654" s="308"/>
      <c r="C4654" s="308" t="s">
        <v>18794</v>
      </c>
      <c r="D4654" s="308">
        <f>IFERROR(__xludf.DUMMYFUNCTION("SPLIT(C4654,""-"")"),4674.0)</f>
        <v>4674</v>
      </c>
      <c r="E4654" s="308" t="str">
        <f>IFERROR(__xludf.DUMMYFUNCTION("""COMPUTED_VALUE"""),"K")</f>
        <v>K</v>
      </c>
      <c r="F4654" s="309" t="s">
        <v>34</v>
      </c>
      <c r="G4654" s="308"/>
      <c r="H4654" s="308" t="s">
        <v>18795</v>
      </c>
      <c r="I4654" s="310">
        <v>41160.0</v>
      </c>
      <c r="J4654" s="319">
        <f>IFERROR(__xludf.DUMMYFUNCTION("SPLIT(I4654,""/"")"),8.0)</f>
        <v>8</v>
      </c>
      <c r="K4654" s="308">
        <f>IFERROR(__xludf.DUMMYFUNCTION("""COMPUTED_VALUE"""),9.0)</f>
        <v>9</v>
      </c>
      <c r="L4654" s="308">
        <f>IFERROR(__xludf.DUMMYFUNCTION("""COMPUTED_VALUE"""),2012.0)</f>
        <v>2012</v>
      </c>
      <c r="M4654" s="308" t="s">
        <v>18796</v>
      </c>
      <c r="N4654" s="308"/>
      <c r="O4654" s="308"/>
      <c r="P4654" s="308" t="s">
        <v>6381</v>
      </c>
      <c r="Q4654" s="308" t="s">
        <v>37826</v>
      </c>
      <c r="R4654" s="308" t="s">
        <v>2743</v>
      </c>
      <c r="S4654" s="315" t="s">
        <v>100</v>
      </c>
      <c r="T4654" s="311" t="s">
        <v>34208</v>
      </c>
      <c r="U4654" s="308" t="s">
        <v>201</v>
      </c>
      <c r="V4654" s="312"/>
    </row>
    <row r="4655">
      <c r="A4655" s="308">
        <v>4654.0</v>
      </c>
      <c r="B4655" s="308"/>
      <c r="C4655" s="308" t="s">
        <v>18797</v>
      </c>
      <c r="D4655" s="308">
        <f>IFERROR(__xludf.DUMMYFUNCTION("SPLIT(C4655,""-"")"),4675.0)</f>
        <v>4675</v>
      </c>
      <c r="E4655" s="308" t="str">
        <f>IFERROR(__xludf.DUMMYFUNCTION("""COMPUTED_VALUE"""),"K")</f>
        <v>K</v>
      </c>
      <c r="F4655" s="309" t="s">
        <v>34</v>
      </c>
      <c r="G4655" s="308"/>
      <c r="H4655" s="308" t="s">
        <v>18798</v>
      </c>
      <c r="I4655" s="310">
        <v>42771.0</v>
      </c>
      <c r="J4655" s="319" t="str">
        <f>IFERROR(__xludf.DUMMYFUNCTION("SPLIT(I4655,""/"")"),"#REF!")</f>
        <v>#REF!</v>
      </c>
      <c r="K4655" s="308"/>
      <c r="L4655" s="308">
        <v>2017.0</v>
      </c>
      <c r="M4655" s="308" t="s">
        <v>18799</v>
      </c>
      <c r="N4655" s="308"/>
      <c r="O4655" s="308" t="s">
        <v>37827</v>
      </c>
      <c r="P4655" s="308" t="s">
        <v>37828</v>
      </c>
      <c r="Q4655" s="308" t="s">
        <v>37826</v>
      </c>
      <c r="R4655" s="308" t="s">
        <v>2743</v>
      </c>
      <c r="S4655" s="308" t="s">
        <v>49</v>
      </c>
      <c r="T4655" s="308" t="s">
        <v>51</v>
      </c>
      <c r="U4655" s="308" t="s">
        <v>7530</v>
      </c>
      <c r="V4655" s="312"/>
    </row>
    <row r="4656">
      <c r="A4656" s="308">
        <v>4655.0</v>
      </c>
      <c r="B4656" s="308"/>
      <c r="C4656" s="308" t="s">
        <v>18802</v>
      </c>
      <c r="D4656" s="308">
        <f>IFERROR(__xludf.DUMMYFUNCTION("SPLIT(C4656,""-"")"),4676.0)</f>
        <v>4676</v>
      </c>
      <c r="E4656" s="308" t="str">
        <f>IFERROR(__xludf.DUMMYFUNCTION("""COMPUTED_VALUE"""),"I")</f>
        <v>I</v>
      </c>
      <c r="F4656" s="309" t="s">
        <v>31</v>
      </c>
      <c r="G4656" s="308"/>
      <c r="H4656" s="308" t="s">
        <v>18803</v>
      </c>
      <c r="I4656" s="310">
        <v>43117.0</v>
      </c>
      <c r="J4656" s="319">
        <f>IFERROR(__xludf.DUMMYFUNCTION("SPLIT(I4656,""/"")"),17.0)</f>
        <v>17</v>
      </c>
      <c r="K4656" s="308">
        <f>IFERROR(__xludf.DUMMYFUNCTION("""COMPUTED_VALUE"""),1.0)</f>
        <v>1</v>
      </c>
      <c r="L4656" s="308">
        <f>IFERROR(__xludf.DUMMYFUNCTION("""COMPUTED_VALUE"""),2018.0)</f>
        <v>2018</v>
      </c>
      <c r="M4656" s="308" t="s">
        <v>18804</v>
      </c>
      <c r="N4656" s="308"/>
      <c r="O4656" s="308"/>
      <c r="P4656" s="308" t="s">
        <v>18805</v>
      </c>
      <c r="Q4656" s="308" t="s">
        <v>37826</v>
      </c>
      <c r="R4656" s="308" t="s">
        <v>2743</v>
      </c>
      <c r="S4656" s="308" t="s">
        <v>81</v>
      </c>
      <c r="T4656" s="311" t="s">
        <v>96</v>
      </c>
      <c r="U4656" s="308" t="s">
        <v>31</v>
      </c>
      <c r="V4656" s="312"/>
    </row>
    <row r="4657">
      <c r="A4657" s="308">
        <v>4656.0</v>
      </c>
      <c r="B4657" s="308"/>
      <c r="C4657" s="308" t="s">
        <v>18806</v>
      </c>
      <c r="D4657" s="308">
        <f>IFERROR(__xludf.DUMMYFUNCTION("SPLIT(C4657,""-"")"),4677.0)</f>
        <v>4677</v>
      </c>
      <c r="E4657" s="308" t="str">
        <f>IFERROR(__xludf.DUMMYFUNCTION("""COMPUTED_VALUE"""),"K")</f>
        <v>K</v>
      </c>
      <c r="F4657" s="309" t="s">
        <v>34</v>
      </c>
      <c r="G4657" s="308"/>
      <c r="H4657" s="308" t="s">
        <v>18807</v>
      </c>
      <c r="I4657" s="310">
        <v>40075.0</v>
      </c>
      <c r="J4657" s="319">
        <f>IFERROR(__xludf.DUMMYFUNCTION("SPLIT(I4657,""/"")"),19.0)</f>
        <v>19</v>
      </c>
      <c r="K4657" s="308">
        <f>IFERROR(__xludf.DUMMYFUNCTION("""COMPUTED_VALUE"""),9.0)</f>
        <v>9</v>
      </c>
      <c r="L4657" s="308">
        <f>IFERROR(__xludf.DUMMYFUNCTION("""COMPUTED_VALUE"""),2009.0)</f>
        <v>2009</v>
      </c>
      <c r="M4657" s="308" t="s">
        <v>18808</v>
      </c>
      <c r="N4657" s="308"/>
      <c r="O4657" s="308"/>
      <c r="P4657" s="308" t="s">
        <v>37829</v>
      </c>
      <c r="Q4657" s="308" t="s">
        <v>37826</v>
      </c>
      <c r="R4657" s="308" t="s">
        <v>2743</v>
      </c>
      <c r="S4657" s="308" t="s">
        <v>49</v>
      </c>
      <c r="T4657" s="311" t="s">
        <v>51</v>
      </c>
      <c r="U4657" s="308" t="s">
        <v>125</v>
      </c>
      <c r="V4657" s="312"/>
    </row>
    <row r="4658">
      <c r="A4658" s="308">
        <v>4657.0</v>
      </c>
      <c r="B4658" s="308"/>
      <c r="C4658" s="308" t="s">
        <v>18810</v>
      </c>
      <c r="D4658" s="308">
        <f>IFERROR(__xludf.DUMMYFUNCTION("SPLIT(C4658,""-"")"),4678.0)</f>
        <v>4678</v>
      </c>
      <c r="E4658" s="308" t="str">
        <f>IFERROR(__xludf.DUMMYFUNCTION("""COMPUTED_VALUE"""),"K")</f>
        <v>K</v>
      </c>
      <c r="F4658" s="309" t="s">
        <v>34</v>
      </c>
      <c r="G4658" s="308"/>
      <c r="H4658" s="308" t="s">
        <v>18811</v>
      </c>
      <c r="I4658" s="310">
        <v>40075.0</v>
      </c>
      <c r="J4658" s="319">
        <f>IFERROR(__xludf.DUMMYFUNCTION("SPLIT(I4658,""/"")"),19.0)</f>
        <v>19</v>
      </c>
      <c r="K4658" s="308">
        <f>IFERROR(__xludf.DUMMYFUNCTION("""COMPUTED_VALUE"""),9.0)</f>
        <v>9</v>
      </c>
      <c r="L4658" s="308">
        <f>IFERROR(__xludf.DUMMYFUNCTION("""COMPUTED_VALUE"""),2009.0)</f>
        <v>2009</v>
      </c>
      <c r="M4658" s="308" t="s">
        <v>18812</v>
      </c>
      <c r="N4658" s="308"/>
      <c r="O4658" s="308"/>
      <c r="P4658" s="308" t="s">
        <v>37830</v>
      </c>
      <c r="Q4658" s="308" t="s">
        <v>37826</v>
      </c>
      <c r="R4658" s="308" t="s">
        <v>2743</v>
      </c>
      <c r="S4658" s="308" t="s">
        <v>49</v>
      </c>
      <c r="T4658" s="311" t="s">
        <v>51</v>
      </c>
      <c r="U4658" s="308" t="s">
        <v>125</v>
      </c>
      <c r="V4658" s="312"/>
    </row>
    <row r="4659">
      <c r="A4659" s="308">
        <v>4658.0</v>
      </c>
      <c r="B4659" s="308"/>
      <c r="C4659" s="308" t="s">
        <v>18814</v>
      </c>
      <c r="D4659" s="308">
        <f>IFERROR(__xludf.DUMMYFUNCTION("SPLIT(C4659,""-"")"),4679.0)</f>
        <v>4679</v>
      </c>
      <c r="E4659" s="308" t="str">
        <f>IFERROR(__xludf.DUMMYFUNCTION("""COMPUTED_VALUE"""),"K")</f>
        <v>K</v>
      </c>
      <c r="F4659" s="309" t="s">
        <v>34</v>
      </c>
      <c r="G4659" s="308"/>
      <c r="H4659" s="308" t="s">
        <v>18815</v>
      </c>
      <c r="I4659" s="310">
        <v>39995.0</v>
      </c>
      <c r="J4659" s="319">
        <f>IFERROR(__xludf.DUMMYFUNCTION("SPLIT(I4659,""/"")"),1.0)</f>
        <v>1</v>
      </c>
      <c r="K4659" s="308">
        <f>IFERROR(__xludf.DUMMYFUNCTION("""COMPUTED_VALUE"""),7.0)</f>
        <v>7</v>
      </c>
      <c r="L4659" s="308">
        <f>IFERROR(__xludf.DUMMYFUNCTION("""COMPUTED_VALUE"""),2009.0)</f>
        <v>2009</v>
      </c>
      <c r="M4659" s="308" t="s">
        <v>18816</v>
      </c>
      <c r="N4659" s="308" t="s">
        <v>18817</v>
      </c>
      <c r="O4659" s="308"/>
      <c r="P4659" s="308" t="s">
        <v>8147</v>
      </c>
      <c r="Q4659" s="308" t="s">
        <v>37826</v>
      </c>
      <c r="R4659" s="308" t="s">
        <v>2743</v>
      </c>
      <c r="S4659" s="308" t="s">
        <v>49</v>
      </c>
      <c r="T4659" s="311" t="s">
        <v>51</v>
      </c>
      <c r="U4659" s="308" t="s">
        <v>530</v>
      </c>
      <c r="V4659" s="312"/>
    </row>
    <row r="4660">
      <c r="A4660" s="308">
        <v>4659.0</v>
      </c>
      <c r="B4660" s="308"/>
      <c r="C4660" s="308" t="s">
        <v>18818</v>
      </c>
      <c r="D4660" s="308">
        <f>IFERROR(__xludf.DUMMYFUNCTION("SPLIT(C4660,""-"")"),4680.0)</f>
        <v>4680</v>
      </c>
      <c r="E4660" s="308" t="str">
        <f>IFERROR(__xludf.DUMMYFUNCTION("""COMPUTED_VALUE"""),"S")</f>
        <v>S</v>
      </c>
      <c r="F4660" s="312" t="s">
        <v>39</v>
      </c>
      <c r="G4660" s="308"/>
      <c r="H4660" s="308" t="s">
        <v>18819</v>
      </c>
      <c r="I4660" s="314">
        <v>43034.0</v>
      </c>
      <c r="J4660" s="319">
        <f>IFERROR(__xludf.DUMMYFUNCTION("SPLIT(I4660,""/"")"),26.0)</f>
        <v>26</v>
      </c>
      <c r="K4660" s="308">
        <f>IFERROR(__xludf.DUMMYFUNCTION("""COMPUTED_VALUE"""),10.0)</f>
        <v>10</v>
      </c>
      <c r="L4660" s="308">
        <f>IFERROR(__xludf.DUMMYFUNCTION("""COMPUTED_VALUE"""),2017.0)</f>
        <v>2017</v>
      </c>
      <c r="M4660" s="308" t="s">
        <v>18820</v>
      </c>
      <c r="N4660" s="308"/>
      <c r="O4660" s="308"/>
      <c r="P4660" s="308" t="s">
        <v>37831</v>
      </c>
      <c r="Q4660" s="308" t="s">
        <v>37826</v>
      </c>
      <c r="R4660" s="308" t="s">
        <v>2743</v>
      </c>
      <c r="S4660" s="308" t="s">
        <v>81</v>
      </c>
      <c r="T4660" s="308" t="s">
        <v>75</v>
      </c>
      <c r="U4660" s="308" t="s">
        <v>166</v>
      </c>
      <c r="V4660" s="312"/>
    </row>
    <row r="4661">
      <c r="A4661" s="308">
        <v>4660.0</v>
      </c>
      <c r="B4661" s="308"/>
      <c r="C4661" s="308" t="s">
        <v>18822</v>
      </c>
      <c r="D4661" s="308">
        <f>IFERROR(__xludf.DUMMYFUNCTION("SPLIT(C4661,""-"")"),4681.0)</f>
        <v>4681</v>
      </c>
      <c r="E4661" s="308" t="str">
        <f>IFERROR(__xludf.DUMMYFUNCTION("""COMPUTED_VALUE"""),"K")</f>
        <v>K</v>
      </c>
      <c r="F4661" s="309" t="s">
        <v>34</v>
      </c>
      <c r="G4661" s="308"/>
      <c r="H4661" s="308" t="s">
        <v>18823</v>
      </c>
      <c r="I4661" s="310">
        <v>40725.0</v>
      </c>
      <c r="J4661" s="319">
        <f>IFERROR(__xludf.DUMMYFUNCTION("SPLIT(I4661,""/"")"),1.0)</f>
        <v>1</v>
      </c>
      <c r="K4661" s="308">
        <f>IFERROR(__xludf.DUMMYFUNCTION("""COMPUTED_VALUE"""),7.0)</f>
        <v>7</v>
      </c>
      <c r="L4661" s="308">
        <f>IFERROR(__xludf.DUMMYFUNCTION("""COMPUTED_VALUE"""),2011.0)</f>
        <v>2011</v>
      </c>
      <c r="M4661" s="308" t="s">
        <v>18824</v>
      </c>
      <c r="N4661" s="308" t="s">
        <v>18825</v>
      </c>
      <c r="O4661" s="308"/>
      <c r="P4661" s="308" t="s">
        <v>5946</v>
      </c>
      <c r="Q4661" s="308" t="s">
        <v>37826</v>
      </c>
      <c r="R4661" s="308" t="s">
        <v>2743</v>
      </c>
      <c r="S4661" s="315" t="s">
        <v>100</v>
      </c>
      <c r="T4661" s="311" t="s">
        <v>34208</v>
      </c>
      <c r="U4661" s="308" t="s">
        <v>2466</v>
      </c>
      <c r="V4661" s="312"/>
    </row>
    <row r="4662">
      <c r="A4662" s="308">
        <v>4661.0</v>
      </c>
      <c r="B4662" s="308"/>
      <c r="C4662" s="308" t="s">
        <v>18826</v>
      </c>
      <c r="D4662" s="308">
        <f>IFERROR(__xludf.DUMMYFUNCTION("SPLIT(C4662,""-"")"),4682.0)</f>
        <v>4682</v>
      </c>
      <c r="E4662" s="308" t="str">
        <f>IFERROR(__xludf.DUMMYFUNCTION("""COMPUTED_VALUE"""),"P")</f>
        <v>P</v>
      </c>
      <c r="F4662" s="312" t="s">
        <v>37</v>
      </c>
      <c r="G4662" s="308"/>
      <c r="H4662" s="308" t="s">
        <v>18827</v>
      </c>
      <c r="I4662" s="314">
        <v>43092.0</v>
      </c>
      <c r="J4662" s="319">
        <f>IFERROR(__xludf.DUMMYFUNCTION("SPLIT(I4662,""/"")"),23.0)</f>
        <v>23</v>
      </c>
      <c r="K4662" s="308">
        <f>IFERROR(__xludf.DUMMYFUNCTION("""COMPUTED_VALUE"""),12.0)</f>
        <v>12</v>
      </c>
      <c r="L4662" s="308">
        <f>IFERROR(__xludf.DUMMYFUNCTION("""COMPUTED_VALUE"""),2017.0)</f>
        <v>2017</v>
      </c>
      <c r="M4662" s="308" t="s">
        <v>18828</v>
      </c>
      <c r="N4662" s="308"/>
      <c r="O4662" s="308"/>
      <c r="P4662" s="308" t="s">
        <v>18829</v>
      </c>
      <c r="Q4662" s="308" t="s">
        <v>37832</v>
      </c>
      <c r="R4662" s="308" t="s">
        <v>2743</v>
      </c>
      <c r="S4662" s="308" t="s">
        <v>81</v>
      </c>
      <c r="T4662" s="311" t="s">
        <v>73</v>
      </c>
      <c r="U4662" s="308" t="s">
        <v>143</v>
      </c>
      <c r="V4662" s="312"/>
    </row>
    <row r="4663">
      <c r="A4663" s="308">
        <v>4662.0</v>
      </c>
      <c r="B4663" s="308"/>
      <c r="C4663" s="308" t="s">
        <v>18830</v>
      </c>
      <c r="D4663" s="308">
        <f>IFERROR(__xludf.DUMMYFUNCTION("SPLIT(C4663,""-"")"),4683.0)</f>
        <v>4683</v>
      </c>
      <c r="E4663" s="308" t="str">
        <f>IFERROR(__xludf.DUMMYFUNCTION("""COMPUTED_VALUE"""),"K")</f>
        <v>K</v>
      </c>
      <c r="F4663" s="309" t="s">
        <v>34</v>
      </c>
      <c r="G4663" s="308"/>
      <c r="H4663" s="308" t="s">
        <v>18831</v>
      </c>
      <c r="I4663" s="310">
        <v>41888.0</v>
      </c>
      <c r="J4663" s="319">
        <f>IFERROR(__xludf.DUMMYFUNCTION("SPLIT(I4663,""/"")"),6.0)</f>
        <v>6</v>
      </c>
      <c r="K4663" s="308">
        <f>IFERROR(__xludf.DUMMYFUNCTION("""COMPUTED_VALUE"""),9.0)</f>
        <v>9</v>
      </c>
      <c r="L4663" s="308">
        <f>IFERROR(__xludf.DUMMYFUNCTION("""COMPUTED_VALUE"""),2014.0)</f>
        <v>2014</v>
      </c>
      <c r="M4663" s="308" t="s">
        <v>18832</v>
      </c>
      <c r="N4663" s="308"/>
      <c r="O4663" s="308"/>
      <c r="P4663" s="308" t="s">
        <v>18833</v>
      </c>
      <c r="Q4663" s="308" t="s">
        <v>37833</v>
      </c>
      <c r="R4663" s="308" t="s">
        <v>2743</v>
      </c>
      <c r="S4663" s="308" t="s">
        <v>49</v>
      </c>
      <c r="T4663" s="311" t="s">
        <v>51</v>
      </c>
      <c r="U4663" s="308" t="s">
        <v>125</v>
      </c>
      <c r="V4663" s="312"/>
    </row>
    <row r="4664">
      <c r="A4664" s="308">
        <v>4663.0</v>
      </c>
      <c r="B4664" s="308"/>
      <c r="C4664" s="308" t="s">
        <v>18834</v>
      </c>
      <c r="D4664" s="308">
        <f>IFERROR(__xludf.DUMMYFUNCTION("SPLIT(C4664,""-"")"),4684.0)</f>
        <v>4684</v>
      </c>
      <c r="E4664" s="308" t="str">
        <f>IFERROR(__xludf.DUMMYFUNCTION("""COMPUTED_VALUE"""),"K")</f>
        <v>K</v>
      </c>
      <c r="F4664" s="309" t="s">
        <v>34</v>
      </c>
      <c r="G4664" s="308"/>
      <c r="H4664" s="308" t="s">
        <v>18835</v>
      </c>
      <c r="I4664" s="310">
        <v>42145.0</v>
      </c>
      <c r="J4664" s="319">
        <f>IFERROR(__xludf.DUMMYFUNCTION("SPLIT(I4664,""/"")"),21.0)</f>
        <v>21</v>
      </c>
      <c r="K4664" s="308">
        <f>IFERROR(__xludf.DUMMYFUNCTION("""COMPUTED_VALUE"""),5.0)</f>
        <v>5</v>
      </c>
      <c r="L4664" s="308">
        <f>IFERROR(__xludf.DUMMYFUNCTION("""COMPUTED_VALUE"""),2015.0)</f>
        <v>2015</v>
      </c>
      <c r="M4664" s="308" t="s">
        <v>18836</v>
      </c>
      <c r="N4664" s="308"/>
      <c r="O4664" s="308"/>
      <c r="P4664" s="308" t="s">
        <v>37834</v>
      </c>
      <c r="Q4664" s="308" t="s">
        <v>37833</v>
      </c>
      <c r="R4664" s="308" t="s">
        <v>2743</v>
      </c>
      <c r="S4664" s="308" t="s">
        <v>81</v>
      </c>
      <c r="T4664" s="308" t="s">
        <v>34264</v>
      </c>
      <c r="U4664" s="308" t="s">
        <v>2097</v>
      </c>
      <c r="V4664" s="312"/>
    </row>
    <row r="4665">
      <c r="A4665" s="308">
        <v>4664.0</v>
      </c>
      <c r="B4665" s="308"/>
      <c r="C4665" s="308" t="s">
        <v>18838</v>
      </c>
      <c r="D4665" s="308">
        <f>IFERROR(__xludf.DUMMYFUNCTION("SPLIT(C4665,""-"")"),4685.0)</f>
        <v>4685</v>
      </c>
      <c r="E4665" s="308" t="str">
        <f>IFERROR(__xludf.DUMMYFUNCTION("""COMPUTED_VALUE"""),"K")</f>
        <v>K</v>
      </c>
      <c r="F4665" s="309" t="s">
        <v>34</v>
      </c>
      <c r="G4665" s="308"/>
      <c r="H4665" s="308" t="s">
        <v>18839</v>
      </c>
      <c r="I4665" s="310">
        <v>39982.0</v>
      </c>
      <c r="J4665" s="319">
        <f>IFERROR(__xludf.DUMMYFUNCTION("SPLIT(I4665,""/"")"),18.0)</f>
        <v>18</v>
      </c>
      <c r="K4665" s="308">
        <f>IFERROR(__xludf.DUMMYFUNCTION("""COMPUTED_VALUE"""),6.0)</f>
        <v>6</v>
      </c>
      <c r="L4665" s="308">
        <f>IFERROR(__xludf.DUMMYFUNCTION("""COMPUTED_VALUE"""),2009.0)</f>
        <v>2009</v>
      </c>
      <c r="M4665" s="308" t="s">
        <v>18840</v>
      </c>
      <c r="N4665" s="308"/>
      <c r="O4665" s="308"/>
      <c r="P4665" s="308" t="s">
        <v>37128</v>
      </c>
      <c r="Q4665" s="308" t="s">
        <v>37833</v>
      </c>
      <c r="R4665" s="308" t="s">
        <v>2743</v>
      </c>
      <c r="S4665" s="315" t="s">
        <v>100</v>
      </c>
      <c r="T4665" s="311" t="s">
        <v>34208</v>
      </c>
      <c r="U4665" s="308" t="s">
        <v>530</v>
      </c>
      <c r="V4665" s="312"/>
    </row>
    <row r="4666">
      <c r="A4666" s="308">
        <v>4665.0</v>
      </c>
      <c r="B4666" s="308"/>
      <c r="C4666" s="308" t="s">
        <v>18841</v>
      </c>
      <c r="D4666" s="308">
        <f>IFERROR(__xludf.DUMMYFUNCTION("SPLIT(C4666,""-"")"),4686.0)</f>
        <v>4686</v>
      </c>
      <c r="E4666" s="308" t="str">
        <f>IFERROR(__xludf.DUMMYFUNCTION("""COMPUTED_VALUE"""),"B")</f>
        <v>B</v>
      </c>
      <c r="F4666" s="315" t="s">
        <v>26</v>
      </c>
      <c r="G4666" s="308"/>
      <c r="H4666" s="308" t="s">
        <v>18842</v>
      </c>
      <c r="I4666" s="314">
        <v>43084.0</v>
      </c>
      <c r="J4666" s="319">
        <f>IFERROR(__xludf.DUMMYFUNCTION("SPLIT(I4666,""/"")"),15.0)</f>
        <v>15</v>
      </c>
      <c r="K4666" s="308">
        <f>IFERROR(__xludf.DUMMYFUNCTION("""COMPUTED_VALUE"""),12.0)</f>
        <v>12</v>
      </c>
      <c r="L4666" s="308">
        <f>IFERROR(__xludf.DUMMYFUNCTION("""COMPUTED_VALUE"""),2017.0)</f>
        <v>2017</v>
      </c>
      <c r="M4666" s="308" t="s">
        <v>18843</v>
      </c>
      <c r="N4666" s="308"/>
      <c r="O4666" s="308"/>
      <c r="P4666" s="308" t="s">
        <v>37835</v>
      </c>
      <c r="Q4666" s="308" t="s">
        <v>37836</v>
      </c>
      <c r="R4666" s="308" t="s">
        <v>2743</v>
      </c>
      <c r="S4666" s="308" t="s">
        <v>81</v>
      </c>
      <c r="T4666" s="308" t="s">
        <v>75</v>
      </c>
      <c r="U4666" s="308" t="s">
        <v>27</v>
      </c>
      <c r="V4666" s="312"/>
    </row>
    <row r="4667">
      <c r="A4667" s="308">
        <v>4666.0</v>
      </c>
      <c r="B4667" s="308"/>
      <c r="C4667" s="308" t="s">
        <v>18845</v>
      </c>
      <c r="D4667" s="308">
        <f>IFERROR(__xludf.DUMMYFUNCTION("SPLIT(C4667,""-"")"),4687.0)</f>
        <v>4687</v>
      </c>
      <c r="E4667" s="308" t="str">
        <f>IFERROR(__xludf.DUMMYFUNCTION("""COMPUTED_VALUE"""),"P")</f>
        <v>P</v>
      </c>
      <c r="F4667" s="312" t="s">
        <v>37</v>
      </c>
      <c r="G4667" s="308"/>
      <c r="H4667" s="308" t="s">
        <v>18846</v>
      </c>
      <c r="I4667" s="310">
        <v>42913.0</v>
      </c>
      <c r="J4667" s="319">
        <f>IFERROR(__xludf.DUMMYFUNCTION("SPLIT(I4667,""/"")"),27.0)</f>
        <v>27</v>
      </c>
      <c r="K4667" s="308">
        <f>IFERROR(__xludf.DUMMYFUNCTION("""COMPUTED_VALUE"""),6.0)</f>
        <v>6</v>
      </c>
      <c r="L4667" s="308">
        <f>IFERROR(__xludf.DUMMYFUNCTION("""COMPUTED_VALUE"""),2017.0)</f>
        <v>2017</v>
      </c>
      <c r="M4667" s="308" t="s">
        <v>18847</v>
      </c>
      <c r="N4667" s="308"/>
      <c r="O4667" s="308"/>
      <c r="P4667" s="308" t="s">
        <v>37837</v>
      </c>
      <c r="Q4667" s="308" t="s">
        <v>37838</v>
      </c>
      <c r="R4667" s="308" t="s">
        <v>2743</v>
      </c>
      <c r="S4667" s="308" t="s">
        <v>81</v>
      </c>
      <c r="T4667" s="308" t="s">
        <v>75</v>
      </c>
      <c r="U4667" s="308" t="s">
        <v>4273</v>
      </c>
      <c r="V4667" s="312"/>
    </row>
    <row r="4668">
      <c r="A4668" s="308">
        <v>4667.0</v>
      </c>
      <c r="B4668" s="308"/>
      <c r="C4668" s="308" t="s">
        <v>18849</v>
      </c>
      <c r="D4668" s="308">
        <f>IFERROR(__xludf.DUMMYFUNCTION("SPLIT(C4668,""-"")"),4688.0)</f>
        <v>4688</v>
      </c>
      <c r="E4668" s="308" t="str">
        <f>IFERROR(__xludf.DUMMYFUNCTION("""COMPUTED_VALUE"""),"P")</f>
        <v>P</v>
      </c>
      <c r="F4668" s="312" t="s">
        <v>37</v>
      </c>
      <c r="G4668" s="308"/>
      <c r="H4668" s="308" t="s">
        <v>37839</v>
      </c>
      <c r="I4668" s="310">
        <v>42913.0</v>
      </c>
      <c r="J4668" s="319">
        <f>IFERROR(__xludf.DUMMYFUNCTION("SPLIT(I4668,""/"")"),27.0)</f>
        <v>27</v>
      </c>
      <c r="K4668" s="308">
        <f>IFERROR(__xludf.DUMMYFUNCTION("""COMPUTED_VALUE"""),6.0)</f>
        <v>6</v>
      </c>
      <c r="L4668" s="308">
        <f>IFERROR(__xludf.DUMMYFUNCTION("""COMPUTED_VALUE"""),2017.0)</f>
        <v>2017</v>
      </c>
      <c r="M4668" s="308" t="s">
        <v>18847</v>
      </c>
      <c r="N4668" s="308"/>
      <c r="O4668" s="308"/>
      <c r="P4668" s="308" t="s">
        <v>37837</v>
      </c>
      <c r="Q4668" s="308" t="s">
        <v>37838</v>
      </c>
      <c r="R4668" s="308" t="s">
        <v>2743</v>
      </c>
      <c r="S4668" s="308" t="s">
        <v>81</v>
      </c>
      <c r="T4668" s="308" t="s">
        <v>75</v>
      </c>
      <c r="U4668" s="308" t="s">
        <v>4273</v>
      </c>
      <c r="V4668" s="308" t="s">
        <v>18851</v>
      </c>
    </row>
    <row r="4669">
      <c r="A4669" s="308">
        <v>4668.0</v>
      </c>
      <c r="B4669" s="308"/>
      <c r="C4669" s="308" t="s">
        <v>18852</v>
      </c>
      <c r="D4669" s="308">
        <f>IFERROR(__xludf.DUMMYFUNCTION("SPLIT(C4669,""-"")"),4689.0)</f>
        <v>4689</v>
      </c>
      <c r="E4669" s="308" t="str">
        <f>IFERROR(__xludf.DUMMYFUNCTION("""COMPUTED_VALUE"""),"I")</f>
        <v>I</v>
      </c>
      <c r="F4669" s="309" t="s">
        <v>31</v>
      </c>
      <c r="G4669" s="308"/>
      <c r="H4669" s="308" t="s">
        <v>18853</v>
      </c>
      <c r="I4669" s="310">
        <v>42175.0</v>
      </c>
      <c r="J4669" s="319">
        <f>IFERROR(__xludf.DUMMYFUNCTION("SPLIT(I4669,""/"")"),20.0)</f>
        <v>20</v>
      </c>
      <c r="K4669" s="308">
        <f>IFERROR(__xludf.DUMMYFUNCTION("""COMPUTED_VALUE"""),6.0)</f>
        <v>6</v>
      </c>
      <c r="L4669" s="308">
        <f>IFERROR(__xludf.DUMMYFUNCTION("""COMPUTED_VALUE"""),2015.0)</f>
        <v>2015</v>
      </c>
      <c r="M4669" s="308" t="s">
        <v>18854</v>
      </c>
      <c r="N4669" s="308"/>
      <c r="O4669" s="308" t="s">
        <v>18855</v>
      </c>
      <c r="P4669" s="308" t="s">
        <v>10817</v>
      </c>
      <c r="Q4669" s="308" t="s">
        <v>37840</v>
      </c>
      <c r="R4669" s="308" t="s">
        <v>2743</v>
      </c>
      <c r="S4669" s="315" t="s">
        <v>100</v>
      </c>
      <c r="T4669" s="311" t="s">
        <v>34208</v>
      </c>
      <c r="U4669" s="308" t="s">
        <v>31</v>
      </c>
      <c r="V4669" s="308" t="s">
        <v>18856</v>
      </c>
    </row>
    <row r="4670">
      <c r="A4670" s="308">
        <v>4669.0</v>
      </c>
      <c r="B4670" s="308"/>
      <c r="C4670" s="308" t="s">
        <v>18857</v>
      </c>
      <c r="D4670" s="308">
        <f>IFERROR(__xludf.DUMMYFUNCTION("SPLIT(C4670,""-"")"),4690.0)</f>
        <v>4690</v>
      </c>
      <c r="E4670" s="308" t="str">
        <f>IFERROR(__xludf.DUMMYFUNCTION("""COMPUTED_VALUE"""),"I")</f>
        <v>I</v>
      </c>
      <c r="F4670" s="309" t="s">
        <v>31</v>
      </c>
      <c r="G4670" s="308"/>
      <c r="H4670" s="308" t="s">
        <v>18858</v>
      </c>
      <c r="I4670" s="310">
        <v>42751.0</v>
      </c>
      <c r="J4670" s="319">
        <f>IFERROR(__xludf.DUMMYFUNCTION("SPLIT(I4670,""/"")"),16.0)</f>
        <v>16</v>
      </c>
      <c r="K4670" s="308">
        <f>IFERROR(__xludf.DUMMYFUNCTION("""COMPUTED_VALUE"""),1.0)</f>
        <v>1</v>
      </c>
      <c r="L4670" s="308">
        <f>IFERROR(__xludf.DUMMYFUNCTION("""COMPUTED_VALUE"""),2017.0)</f>
        <v>2017</v>
      </c>
      <c r="M4670" s="308" t="s">
        <v>18859</v>
      </c>
      <c r="N4670" s="308"/>
      <c r="O4670" s="308"/>
      <c r="P4670" s="308" t="s">
        <v>18860</v>
      </c>
      <c r="Q4670" s="308" t="s">
        <v>37841</v>
      </c>
      <c r="R4670" s="308" t="s">
        <v>2743</v>
      </c>
      <c r="S4670" s="308" t="s">
        <v>81</v>
      </c>
      <c r="T4670" s="308" t="s">
        <v>75</v>
      </c>
      <c r="U4670" s="308" t="s">
        <v>31</v>
      </c>
      <c r="V4670" s="312"/>
    </row>
    <row r="4671">
      <c r="A4671" s="308">
        <v>4670.0</v>
      </c>
      <c r="B4671" s="308"/>
      <c r="C4671" s="308" t="s">
        <v>18861</v>
      </c>
      <c r="D4671" s="308">
        <f>IFERROR(__xludf.DUMMYFUNCTION("SPLIT(C4671,""-"")"),4691.0)</f>
        <v>4691</v>
      </c>
      <c r="E4671" s="308" t="str">
        <f>IFERROR(__xludf.DUMMYFUNCTION("""COMPUTED_VALUE"""),"I")</f>
        <v>I</v>
      </c>
      <c r="F4671" s="309" t="s">
        <v>31</v>
      </c>
      <c r="G4671" s="308"/>
      <c r="H4671" s="308" t="s">
        <v>18862</v>
      </c>
      <c r="I4671" s="310">
        <v>42751.0</v>
      </c>
      <c r="J4671" s="319">
        <f>IFERROR(__xludf.DUMMYFUNCTION("SPLIT(I4671,""/"")"),16.0)</f>
        <v>16</v>
      </c>
      <c r="K4671" s="308">
        <f>IFERROR(__xludf.DUMMYFUNCTION("""COMPUTED_VALUE"""),1.0)</f>
        <v>1</v>
      </c>
      <c r="L4671" s="308">
        <f>IFERROR(__xludf.DUMMYFUNCTION("""COMPUTED_VALUE"""),2017.0)</f>
        <v>2017</v>
      </c>
      <c r="M4671" s="308" t="s">
        <v>37842</v>
      </c>
      <c r="N4671" s="308"/>
      <c r="O4671" s="308" t="s">
        <v>18864</v>
      </c>
      <c r="P4671" s="308" t="s">
        <v>37843</v>
      </c>
      <c r="Q4671" s="308" t="s">
        <v>37841</v>
      </c>
      <c r="R4671" s="308" t="s">
        <v>2743</v>
      </c>
      <c r="S4671" s="308" t="s">
        <v>81</v>
      </c>
      <c r="T4671" s="308" t="s">
        <v>75</v>
      </c>
      <c r="U4671" s="308" t="s">
        <v>31</v>
      </c>
      <c r="V4671" s="312"/>
    </row>
    <row r="4672">
      <c r="A4672" s="308">
        <v>4671.0</v>
      </c>
      <c r="B4672" s="308"/>
      <c r="C4672" s="308" t="s">
        <v>18866</v>
      </c>
      <c r="D4672" s="308">
        <f>IFERROR(__xludf.DUMMYFUNCTION("SPLIT(C4672,""-"")"),4692.0)</f>
        <v>4692</v>
      </c>
      <c r="E4672" s="308" t="str">
        <f>IFERROR(__xludf.DUMMYFUNCTION("""COMPUTED_VALUE"""),"I")</f>
        <v>I</v>
      </c>
      <c r="F4672" s="309" t="s">
        <v>31</v>
      </c>
      <c r="G4672" s="308"/>
      <c r="H4672" s="308" t="s">
        <v>18867</v>
      </c>
      <c r="I4672" s="310">
        <v>43113.0</v>
      </c>
      <c r="J4672" s="319">
        <f>IFERROR(__xludf.DUMMYFUNCTION("SPLIT(I4672,""/"")"),13.0)</f>
        <v>13</v>
      </c>
      <c r="K4672" s="308">
        <f>IFERROR(__xludf.DUMMYFUNCTION("""COMPUTED_VALUE"""),1.0)</f>
        <v>1</v>
      </c>
      <c r="L4672" s="308">
        <f>IFERROR(__xludf.DUMMYFUNCTION("""COMPUTED_VALUE"""),2018.0)</f>
        <v>2018</v>
      </c>
      <c r="M4672" s="308" t="s">
        <v>37844</v>
      </c>
      <c r="N4672" s="308"/>
      <c r="O4672" s="308" t="s">
        <v>18869</v>
      </c>
      <c r="P4672" s="308" t="s">
        <v>18870</v>
      </c>
      <c r="Q4672" s="308" t="s">
        <v>37841</v>
      </c>
      <c r="R4672" s="308" t="s">
        <v>2743</v>
      </c>
      <c r="S4672" s="308" t="s">
        <v>81</v>
      </c>
      <c r="T4672" s="308" t="s">
        <v>75</v>
      </c>
      <c r="U4672" s="308" t="s">
        <v>31</v>
      </c>
      <c r="V4672" s="312"/>
    </row>
    <row r="4673">
      <c r="A4673" s="308">
        <v>4672.0</v>
      </c>
      <c r="B4673" s="308"/>
      <c r="C4673" s="308" t="s">
        <v>18871</v>
      </c>
      <c r="D4673" s="308">
        <f>IFERROR(__xludf.DUMMYFUNCTION("SPLIT(C4673,""-"")"),4693.0)</f>
        <v>4693</v>
      </c>
      <c r="E4673" s="308" t="str">
        <f>IFERROR(__xludf.DUMMYFUNCTION("""COMPUTED_VALUE"""),"I")</f>
        <v>I</v>
      </c>
      <c r="F4673" s="309" t="s">
        <v>31</v>
      </c>
      <c r="G4673" s="308"/>
      <c r="H4673" s="308" t="s">
        <v>18872</v>
      </c>
      <c r="I4673" s="310">
        <v>43113.0</v>
      </c>
      <c r="J4673" s="319">
        <f>IFERROR(__xludf.DUMMYFUNCTION("SPLIT(I4673,""/"")"),13.0)</f>
        <v>13</v>
      </c>
      <c r="K4673" s="308">
        <f>IFERROR(__xludf.DUMMYFUNCTION("""COMPUTED_VALUE"""),1.0)</f>
        <v>1</v>
      </c>
      <c r="L4673" s="308">
        <f>IFERROR(__xludf.DUMMYFUNCTION("""COMPUTED_VALUE"""),2018.0)</f>
        <v>2018</v>
      </c>
      <c r="M4673" s="308" t="s">
        <v>37845</v>
      </c>
      <c r="N4673" s="308"/>
      <c r="O4673" s="308" t="s">
        <v>18869</v>
      </c>
      <c r="P4673" s="308" t="s">
        <v>37846</v>
      </c>
      <c r="Q4673" s="308" t="s">
        <v>37841</v>
      </c>
      <c r="R4673" s="308" t="s">
        <v>2743</v>
      </c>
      <c r="S4673" s="308" t="s">
        <v>81</v>
      </c>
      <c r="T4673" s="308" t="s">
        <v>75</v>
      </c>
      <c r="U4673" s="308" t="s">
        <v>31</v>
      </c>
      <c r="V4673" s="312"/>
    </row>
    <row r="4674">
      <c r="A4674" s="308">
        <v>4673.0</v>
      </c>
      <c r="B4674" s="308"/>
      <c r="C4674" s="308" t="s">
        <v>18875</v>
      </c>
      <c r="D4674" s="308">
        <f>IFERROR(__xludf.DUMMYFUNCTION("SPLIT(C4674,""-"")"),4694.0)</f>
        <v>4694</v>
      </c>
      <c r="E4674" s="308" t="str">
        <f>IFERROR(__xludf.DUMMYFUNCTION("""COMPUTED_VALUE"""),"I")</f>
        <v>I</v>
      </c>
      <c r="F4674" s="309" t="s">
        <v>31</v>
      </c>
      <c r="G4674" s="308"/>
      <c r="H4674" s="308" t="s">
        <v>18876</v>
      </c>
      <c r="I4674" s="310">
        <v>43129.0</v>
      </c>
      <c r="J4674" s="319">
        <f>IFERROR(__xludf.DUMMYFUNCTION("SPLIT(I4674,""/"")"),29.0)</f>
        <v>29</v>
      </c>
      <c r="K4674" s="308">
        <f>IFERROR(__xludf.DUMMYFUNCTION("""COMPUTED_VALUE"""),1.0)</f>
        <v>1</v>
      </c>
      <c r="L4674" s="308">
        <f>IFERROR(__xludf.DUMMYFUNCTION("""COMPUTED_VALUE"""),2018.0)</f>
        <v>2018</v>
      </c>
      <c r="M4674" s="308" t="s">
        <v>37847</v>
      </c>
      <c r="N4674" s="308"/>
      <c r="O4674" s="308"/>
      <c r="P4674" s="308" t="s">
        <v>18878</v>
      </c>
      <c r="Q4674" s="308" t="s">
        <v>37841</v>
      </c>
      <c r="R4674" s="308" t="s">
        <v>2743</v>
      </c>
      <c r="S4674" s="308" t="s">
        <v>81</v>
      </c>
      <c r="T4674" s="311" t="s">
        <v>75</v>
      </c>
      <c r="U4674" s="308" t="s">
        <v>31</v>
      </c>
      <c r="V4674" s="312"/>
    </row>
    <row r="4675">
      <c r="A4675" s="308">
        <v>4674.0</v>
      </c>
      <c r="B4675" s="308"/>
      <c r="C4675" s="308" t="s">
        <v>18879</v>
      </c>
      <c r="D4675" s="308">
        <f>IFERROR(__xludf.DUMMYFUNCTION("SPLIT(C4675,""-"")"),4695.0)</f>
        <v>4695</v>
      </c>
      <c r="E4675" s="308" t="str">
        <f>IFERROR(__xludf.DUMMYFUNCTION("""COMPUTED_VALUE"""),"B")</f>
        <v>B</v>
      </c>
      <c r="F4675" s="315" t="s">
        <v>26</v>
      </c>
      <c r="G4675" s="308"/>
      <c r="H4675" s="308" t="s">
        <v>18880</v>
      </c>
      <c r="I4675" s="310">
        <v>41780.0</v>
      </c>
      <c r="J4675" s="319">
        <f>IFERROR(__xludf.DUMMYFUNCTION("SPLIT(I4675,""/"")"),21.0)</f>
        <v>21</v>
      </c>
      <c r="K4675" s="308">
        <f>IFERROR(__xludf.DUMMYFUNCTION("""COMPUTED_VALUE"""),5.0)</f>
        <v>5</v>
      </c>
      <c r="L4675" s="308">
        <f>IFERROR(__xludf.DUMMYFUNCTION("""COMPUTED_VALUE"""),2014.0)</f>
        <v>2014</v>
      </c>
      <c r="M4675" s="308" t="s">
        <v>37848</v>
      </c>
      <c r="N4675" s="308"/>
      <c r="O4675" s="308"/>
      <c r="P4675" s="308" t="s">
        <v>11049</v>
      </c>
      <c r="Q4675" s="308" t="s">
        <v>37841</v>
      </c>
      <c r="R4675" s="308" t="s">
        <v>2743</v>
      </c>
      <c r="S4675" s="315" t="s">
        <v>100</v>
      </c>
      <c r="T4675" s="311" t="s">
        <v>34208</v>
      </c>
      <c r="U4675" s="308" t="s">
        <v>27</v>
      </c>
      <c r="V4675" s="312"/>
    </row>
    <row r="4676">
      <c r="A4676" s="308">
        <v>4675.0</v>
      </c>
      <c r="B4676" s="308"/>
      <c r="C4676" s="308" t="s">
        <v>18882</v>
      </c>
      <c r="D4676" s="308">
        <f>IFERROR(__xludf.DUMMYFUNCTION("SPLIT(C4676,""-"")"),4696.0)</f>
        <v>4696</v>
      </c>
      <c r="E4676" s="308" t="str">
        <f>IFERROR(__xludf.DUMMYFUNCTION("""COMPUTED_VALUE"""),"K")</f>
        <v>K</v>
      </c>
      <c r="F4676" s="309" t="s">
        <v>34</v>
      </c>
      <c r="G4676" s="308"/>
      <c r="H4676" s="308" t="s">
        <v>18883</v>
      </c>
      <c r="I4676" s="314">
        <v>41935.0</v>
      </c>
      <c r="J4676" s="319">
        <f>IFERROR(__xludf.DUMMYFUNCTION("SPLIT(I4676,""/"")"),23.0)</f>
        <v>23</v>
      </c>
      <c r="K4676" s="308">
        <f>IFERROR(__xludf.DUMMYFUNCTION("""COMPUTED_VALUE"""),10.0)</f>
        <v>10</v>
      </c>
      <c r="L4676" s="308">
        <f>IFERROR(__xludf.DUMMYFUNCTION("""COMPUTED_VALUE"""),2014.0)</f>
        <v>2014</v>
      </c>
      <c r="M4676" s="308" t="s">
        <v>37849</v>
      </c>
      <c r="N4676" s="308"/>
      <c r="O4676" s="308"/>
      <c r="P4676" s="308" t="s">
        <v>18885</v>
      </c>
      <c r="Q4676" s="308" t="s">
        <v>37841</v>
      </c>
      <c r="R4676" s="308" t="s">
        <v>2743</v>
      </c>
      <c r="S4676" s="315" t="s">
        <v>100</v>
      </c>
      <c r="T4676" s="311" t="s">
        <v>34208</v>
      </c>
      <c r="U4676" s="308" t="s">
        <v>125</v>
      </c>
      <c r="V4676" s="312"/>
    </row>
    <row r="4677">
      <c r="A4677" s="308">
        <v>4676.0</v>
      </c>
      <c r="B4677" s="308"/>
      <c r="C4677" s="308" t="s">
        <v>18886</v>
      </c>
      <c r="D4677" s="308">
        <f>IFERROR(__xludf.DUMMYFUNCTION("SPLIT(C4677,""-"")"),4697.0)</f>
        <v>4697</v>
      </c>
      <c r="E4677" s="308" t="str">
        <f>IFERROR(__xludf.DUMMYFUNCTION("""COMPUTED_VALUE"""),"K")</f>
        <v>K</v>
      </c>
      <c r="F4677" s="309" t="s">
        <v>34</v>
      </c>
      <c r="G4677" s="308"/>
      <c r="H4677" s="308" t="s">
        <v>18887</v>
      </c>
      <c r="I4677" s="310">
        <v>43077.0</v>
      </c>
      <c r="J4677" s="319" t="str">
        <f>IFERROR(__xludf.DUMMYFUNCTION("SPLIT(I4677,""/"")"),"#REF!")</f>
        <v>#REF!</v>
      </c>
      <c r="K4677" s="308"/>
      <c r="L4677" s="308">
        <v>2017.0</v>
      </c>
      <c r="M4677" s="308" t="s">
        <v>18888</v>
      </c>
      <c r="N4677" s="308"/>
      <c r="O4677" s="308" t="s">
        <v>18889</v>
      </c>
      <c r="P4677" s="308" t="s">
        <v>37850</v>
      </c>
      <c r="Q4677" s="308" t="s">
        <v>37851</v>
      </c>
      <c r="R4677" s="308" t="s">
        <v>2743</v>
      </c>
      <c r="S4677" s="308" t="s">
        <v>81</v>
      </c>
      <c r="T4677" s="308" t="s">
        <v>34264</v>
      </c>
      <c r="U4677" s="308" t="s">
        <v>10279</v>
      </c>
      <c r="V4677" s="312"/>
    </row>
    <row r="4678">
      <c r="A4678" s="308">
        <v>4677.0</v>
      </c>
      <c r="B4678" s="308"/>
      <c r="C4678" s="308" t="s">
        <v>18891</v>
      </c>
      <c r="D4678" s="308">
        <f>IFERROR(__xludf.DUMMYFUNCTION("SPLIT(C4678,""-"")"),4698.0)</f>
        <v>4698</v>
      </c>
      <c r="E4678" s="308" t="str">
        <f>IFERROR(__xludf.DUMMYFUNCTION("""COMPUTED_VALUE"""),"P")</f>
        <v>P</v>
      </c>
      <c r="F4678" s="312" t="s">
        <v>37</v>
      </c>
      <c r="G4678" s="308"/>
      <c r="H4678" s="308" t="s">
        <v>18892</v>
      </c>
      <c r="I4678" s="310">
        <v>42944.0</v>
      </c>
      <c r="J4678" s="319">
        <f>IFERROR(__xludf.DUMMYFUNCTION("SPLIT(I4678,""/"")"),28.0)</f>
        <v>28</v>
      </c>
      <c r="K4678" s="308">
        <f>IFERROR(__xludf.DUMMYFUNCTION("""COMPUTED_VALUE"""),7.0)</f>
        <v>7</v>
      </c>
      <c r="L4678" s="308">
        <f>IFERROR(__xludf.DUMMYFUNCTION("""COMPUTED_VALUE"""),2017.0)</f>
        <v>2017</v>
      </c>
      <c r="M4678" s="308" t="s">
        <v>18893</v>
      </c>
      <c r="N4678" s="308"/>
      <c r="O4678" s="308" t="s">
        <v>18894</v>
      </c>
      <c r="P4678" s="308" t="s">
        <v>37852</v>
      </c>
      <c r="Q4678" s="308" t="s">
        <v>37853</v>
      </c>
      <c r="R4678" s="308" t="s">
        <v>2743</v>
      </c>
      <c r="S4678" s="308" t="s">
        <v>81</v>
      </c>
      <c r="T4678" s="308" t="s">
        <v>75</v>
      </c>
      <c r="U4678" s="308" t="s">
        <v>17303</v>
      </c>
      <c r="V4678" s="312"/>
    </row>
    <row r="4679">
      <c r="A4679" s="308">
        <v>4678.0</v>
      </c>
      <c r="B4679" s="308"/>
      <c r="C4679" s="308" t="s">
        <v>18896</v>
      </c>
      <c r="D4679" s="308">
        <f>IFERROR(__xludf.DUMMYFUNCTION("SPLIT(C4679,""-"")"),4699.0)</f>
        <v>4699</v>
      </c>
      <c r="E4679" s="308" t="str">
        <f>IFERROR(__xludf.DUMMYFUNCTION("""COMPUTED_VALUE"""),"I")</f>
        <v>I</v>
      </c>
      <c r="F4679" s="309" t="s">
        <v>31</v>
      </c>
      <c r="G4679" s="308"/>
      <c r="H4679" s="308" t="s">
        <v>18897</v>
      </c>
      <c r="I4679" s="310">
        <v>42506.0</v>
      </c>
      <c r="J4679" s="319">
        <f>IFERROR(__xludf.DUMMYFUNCTION("SPLIT(I4679,""/"")"),16.0)</f>
        <v>16</v>
      </c>
      <c r="K4679" s="308">
        <f>IFERROR(__xludf.DUMMYFUNCTION("""COMPUTED_VALUE"""),5.0)</f>
        <v>5</v>
      </c>
      <c r="L4679" s="308">
        <f>IFERROR(__xludf.DUMMYFUNCTION("""COMPUTED_VALUE"""),2016.0)</f>
        <v>2016</v>
      </c>
      <c r="M4679" s="308" t="s">
        <v>18898</v>
      </c>
      <c r="N4679" s="308" t="s">
        <v>18899</v>
      </c>
      <c r="O4679" s="308" t="s">
        <v>18900</v>
      </c>
      <c r="P4679" s="308" t="s">
        <v>18901</v>
      </c>
      <c r="Q4679" s="308" t="s">
        <v>37853</v>
      </c>
      <c r="R4679" s="308" t="s">
        <v>2743</v>
      </c>
      <c r="S4679" s="315" t="s">
        <v>100</v>
      </c>
      <c r="T4679" s="311" t="s">
        <v>34208</v>
      </c>
      <c r="U4679" s="308" t="s">
        <v>31</v>
      </c>
      <c r="V4679" s="312"/>
    </row>
    <row r="4680">
      <c r="A4680" s="308">
        <v>4679.0</v>
      </c>
      <c r="B4680" s="308"/>
      <c r="C4680" s="308" t="s">
        <v>18902</v>
      </c>
      <c r="D4680" s="308">
        <f>IFERROR(__xludf.DUMMYFUNCTION("SPLIT(C4680,""-"")"),4700.0)</f>
        <v>4700</v>
      </c>
      <c r="E4680" s="308" t="str">
        <f>IFERROR(__xludf.DUMMYFUNCTION("""COMPUTED_VALUE"""),"P")</f>
        <v>P</v>
      </c>
      <c r="F4680" s="312" t="s">
        <v>37</v>
      </c>
      <c r="G4680" s="308"/>
      <c r="H4680" s="308" t="s">
        <v>18903</v>
      </c>
      <c r="I4680" s="314">
        <v>43088.0</v>
      </c>
      <c r="J4680" s="319">
        <f>IFERROR(__xludf.DUMMYFUNCTION("SPLIT(I4680,""/"")"),19.0)</f>
        <v>19</v>
      </c>
      <c r="K4680" s="308">
        <f>IFERROR(__xludf.DUMMYFUNCTION("""COMPUTED_VALUE"""),12.0)</f>
        <v>12</v>
      </c>
      <c r="L4680" s="308">
        <f>IFERROR(__xludf.DUMMYFUNCTION("""COMPUTED_VALUE"""),2017.0)</f>
        <v>2017</v>
      </c>
      <c r="M4680" s="308" t="s">
        <v>18904</v>
      </c>
      <c r="N4680" s="308"/>
      <c r="O4680" s="308"/>
      <c r="P4680" s="308" t="s">
        <v>37803</v>
      </c>
      <c r="Q4680" s="308" t="s">
        <v>37854</v>
      </c>
      <c r="R4680" s="308" t="s">
        <v>2743</v>
      </c>
      <c r="S4680" s="308" t="s">
        <v>81</v>
      </c>
      <c r="T4680" s="308" t="s">
        <v>75</v>
      </c>
      <c r="U4680" s="308" t="s">
        <v>143</v>
      </c>
      <c r="V4680" s="312"/>
    </row>
    <row r="4681">
      <c r="A4681" s="308">
        <v>4680.0</v>
      </c>
      <c r="B4681" s="308"/>
      <c r="C4681" s="308" t="s">
        <v>18905</v>
      </c>
      <c r="D4681" s="308">
        <f>IFERROR(__xludf.DUMMYFUNCTION("SPLIT(C4681,""-"")"),4701.0)</f>
        <v>4701</v>
      </c>
      <c r="E4681" s="308" t="str">
        <f>IFERROR(__xludf.DUMMYFUNCTION("""COMPUTED_VALUE"""),"K")</f>
        <v>K</v>
      </c>
      <c r="F4681" s="309" t="s">
        <v>34</v>
      </c>
      <c r="G4681" s="308"/>
      <c r="H4681" s="308" t="s">
        <v>18906</v>
      </c>
      <c r="I4681" s="314">
        <v>41994.0</v>
      </c>
      <c r="J4681" s="319">
        <f>IFERROR(__xludf.DUMMYFUNCTION("SPLIT(I4681,""/"")"),21.0)</f>
        <v>21</v>
      </c>
      <c r="K4681" s="308">
        <f>IFERROR(__xludf.DUMMYFUNCTION("""COMPUTED_VALUE"""),12.0)</f>
        <v>12</v>
      </c>
      <c r="L4681" s="308">
        <f>IFERROR(__xludf.DUMMYFUNCTION("""COMPUTED_VALUE"""),2014.0)</f>
        <v>2014</v>
      </c>
      <c r="M4681" s="308" t="s">
        <v>18907</v>
      </c>
      <c r="N4681" s="308"/>
      <c r="O4681" s="308" t="s">
        <v>18908</v>
      </c>
      <c r="P4681" s="308" t="s">
        <v>37855</v>
      </c>
      <c r="Q4681" s="308" t="s">
        <v>37854</v>
      </c>
      <c r="R4681" s="308" t="s">
        <v>2743</v>
      </c>
      <c r="S4681" s="308" t="s">
        <v>81</v>
      </c>
      <c r="T4681" s="308" t="s">
        <v>34264</v>
      </c>
      <c r="U4681" s="308" t="s">
        <v>530</v>
      </c>
      <c r="V4681" s="312"/>
    </row>
    <row r="4682">
      <c r="A4682" s="308">
        <v>4681.0</v>
      </c>
      <c r="B4682" s="308"/>
      <c r="C4682" s="308" t="s">
        <v>18910</v>
      </c>
      <c r="D4682" s="308">
        <f>IFERROR(__xludf.DUMMYFUNCTION("SPLIT(C4682,""-"")"),4702.0)</f>
        <v>4702</v>
      </c>
      <c r="E4682" s="308" t="str">
        <f>IFERROR(__xludf.DUMMYFUNCTION("""COMPUTED_VALUE"""),"P")</f>
        <v>P</v>
      </c>
      <c r="F4682" s="312" t="s">
        <v>37</v>
      </c>
      <c r="G4682" s="308"/>
      <c r="H4682" s="308" t="s">
        <v>18911</v>
      </c>
      <c r="I4682" s="310">
        <v>43126.0</v>
      </c>
      <c r="J4682" s="319">
        <f>IFERROR(__xludf.DUMMYFUNCTION("SPLIT(I4682,""/"")"),26.0)</f>
        <v>26</v>
      </c>
      <c r="K4682" s="308">
        <f>IFERROR(__xludf.DUMMYFUNCTION("""COMPUTED_VALUE"""),1.0)</f>
        <v>1</v>
      </c>
      <c r="L4682" s="308">
        <f>IFERROR(__xludf.DUMMYFUNCTION("""COMPUTED_VALUE"""),2018.0)</f>
        <v>2018</v>
      </c>
      <c r="M4682" s="308" t="s">
        <v>18912</v>
      </c>
      <c r="N4682" s="308"/>
      <c r="O4682" s="308" t="s">
        <v>18913</v>
      </c>
      <c r="P4682" s="308" t="s">
        <v>18914</v>
      </c>
      <c r="Q4682" s="308" t="s">
        <v>37854</v>
      </c>
      <c r="R4682" s="308" t="s">
        <v>2743</v>
      </c>
      <c r="S4682" s="308" t="s">
        <v>81</v>
      </c>
      <c r="T4682" s="308" t="s">
        <v>75</v>
      </c>
      <c r="U4682" s="308" t="s">
        <v>149</v>
      </c>
      <c r="V4682" s="312"/>
    </row>
    <row r="4683">
      <c r="A4683" s="308">
        <v>4682.0</v>
      </c>
      <c r="B4683" s="308"/>
      <c r="C4683" s="308" t="s">
        <v>18915</v>
      </c>
      <c r="D4683" s="308">
        <f>IFERROR(__xludf.DUMMYFUNCTION("SPLIT(C4683,""-"")"),4703.0)</f>
        <v>4703</v>
      </c>
      <c r="E4683" s="308" t="str">
        <f>IFERROR(__xludf.DUMMYFUNCTION("""COMPUTED_VALUE"""),"P")</f>
        <v>P</v>
      </c>
      <c r="F4683" s="312" t="s">
        <v>37</v>
      </c>
      <c r="G4683" s="308"/>
      <c r="H4683" s="308" t="s">
        <v>18916</v>
      </c>
      <c r="I4683" s="310">
        <v>42963.0</v>
      </c>
      <c r="J4683" s="319">
        <f>IFERROR(__xludf.DUMMYFUNCTION("SPLIT(I4683,""/"")"),16.0)</f>
        <v>16</v>
      </c>
      <c r="K4683" s="308">
        <f>IFERROR(__xludf.DUMMYFUNCTION("""COMPUTED_VALUE"""),8.0)</f>
        <v>8</v>
      </c>
      <c r="L4683" s="308">
        <f>IFERROR(__xludf.DUMMYFUNCTION("""COMPUTED_VALUE"""),2017.0)</f>
        <v>2017</v>
      </c>
      <c r="M4683" s="308" t="s">
        <v>18917</v>
      </c>
      <c r="N4683" s="308"/>
      <c r="O4683" s="308" t="s">
        <v>18918</v>
      </c>
      <c r="P4683" s="308" t="s">
        <v>18919</v>
      </c>
      <c r="Q4683" s="308" t="s">
        <v>37854</v>
      </c>
      <c r="R4683" s="308" t="s">
        <v>2743</v>
      </c>
      <c r="S4683" s="308" t="s">
        <v>81</v>
      </c>
      <c r="T4683" s="308" t="s">
        <v>75</v>
      </c>
      <c r="U4683" s="308" t="s">
        <v>149</v>
      </c>
      <c r="V4683" s="312"/>
    </row>
    <row r="4684">
      <c r="A4684" s="308">
        <v>4683.0</v>
      </c>
      <c r="B4684" s="308"/>
      <c r="C4684" s="308" t="s">
        <v>18920</v>
      </c>
      <c r="D4684" s="308">
        <f>IFERROR(__xludf.DUMMYFUNCTION("SPLIT(C4684,""-"")"),4704.0)</f>
        <v>4704</v>
      </c>
      <c r="E4684" s="308" t="str">
        <f>IFERROR(__xludf.DUMMYFUNCTION("""COMPUTED_VALUE"""),"K")</f>
        <v>K</v>
      </c>
      <c r="F4684" s="309" t="s">
        <v>34</v>
      </c>
      <c r="G4684" s="308"/>
      <c r="H4684" s="308" t="s">
        <v>18921</v>
      </c>
      <c r="I4684" s="310">
        <v>40451.0</v>
      </c>
      <c r="J4684" s="319">
        <f>IFERROR(__xludf.DUMMYFUNCTION("SPLIT(I4684,""/"")"),30.0)</f>
        <v>30</v>
      </c>
      <c r="K4684" s="308">
        <f>IFERROR(__xludf.DUMMYFUNCTION("""COMPUTED_VALUE"""),9.0)</f>
        <v>9</v>
      </c>
      <c r="L4684" s="308">
        <f>IFERROR(__xludf.DUMMYFUNCTION("""COMPUTED_VALUE"""),2010.0)</f>
        <v>2010</v>
      </c>
      <c r="M4684" s="308" t="s">
        <v>18922</v>
      </c>
      <c r="N4684" s="308"/>
      <c r="O4684" s="308"/>
      <c r="P4684" s="308" t="s">
        <v>5679</v>
      </c>
      <c r="Q4684" s="308" t="s">
        <v>37854</v>
      </c>
      <c r="R4684" s="308" t="s">
        <v>2743</v>
      </c>
      <c r="S4684" s="315" t="s">
        <v>100</v>
      </c>
      <c r="T4684" s="311" t="s">
        <v>34208</v>
      </c>
      <c r="U4684" s="308" t="s">
        <v>125</v>
      </c>
      <c r="V4684" s="312"/>
    </row>
    <row r="4685">
      <c r="A4685" s="308">
        <v>4684.0</v>
      </c>
      <c r="B4685" s="308"/>
      <c r="C4685" s="308" t="s">
        <v>18923</v>
      </c>
      <c r="D4685" s="308">
        <f>IFERROR(__xludf.DUMMYFUNCTION("SPLIT(C4685,""-"")"),4705.0)</f>
        <v>4705</v>
      </c>
      <c r="E4685" s="308" t="str">
        <f>IFERROR(__xludf.DUMMYFUNCTION("""COMPUTED_VALUE"""),"K")</f>
        <v>K</v>
      </c>
      <c r="F4685" s="309" t="s">
        <v>34</v>
      </c>
      <c r="G4685" s="308"/>
      <c r="H4685" s="308" t="s">
        <v>18924</v>
      </c>
      <c r="I4685" s="310">
        <v>42546.0</v>
      </c>
      <c r="J4685" s="319">
        <f>IFERROR(__xludf.DUMMYFUNCTION("SPLIT(I4685,""/"")"),25.0)</f>
        <v>25</v>
      </c>
      <c r="K4685" s="308">
        <f>IFERROR(__xludf.DUMMYFUNCTION("""COMPUTED_VALUE"""),6.0)</f>
        <v>6</v>
      </c>
      <c r="L4685" s="308">
        <f>IFERROR(__xludf.DUMMYFUNCTION("""COMPUTED_VALUE"""),2016.0)</f>
        <v>2016</v>
      </c>
      <c r="M4685" s="308" t="s">
        <v>18925</v>
      </c>
      <c r="N4685" s="308" t="s">
        <v>18926</v>
      </c>
      <c r="O4685" s="308"/>
      <c r="P4685" s="308" t="s">
        <v>5679</v>
      </c>
      <c r="Q4685" s="308" t="s">
        <v>37854</v>
      </c>
      <c r="R4685" s="308" t="s">
        <v>2743</v>
      </c>
      <c r="S4685" s="315" t="s">
        <v>100</v>
      </c>
      <c r="T4685" s="311" t="s">
        <v>34208</v>
      </c>
      <c r="U4685" s="308" t="s">
        <v>125</v>
      </c>
      <c r="V4685" s="312"/>
    </row>
    <row r="4686">
      <c r="A4686" s="308">
        <v>4685.0</v>
      </c>
      <c r="B4686" s="308"/>
      <c r="C4686" s="308" t="s">
        <v>18927</v>
      </c>
      <c r="D4686" s="308">
        <f>IFERROR(__xludf.DUMMYFUNCTION("SPLIT(C4686,""-"")"),4706.0)</f>
        <v>4706</v>
      </c>
      <c r="E4686" s="308" t="str">
        <f>IFERROR(__xludf.DUMMYFUNCTION("""COMPUTED_VALUE"""),"S")</f>
        <v>S</v>
      </c>
      <c r="F4686" s="312" t="s">
        <v>39</v>
      </c>
      <c r="G4686" s="308"/>
      <c r="H4686" s="308" t="s">
        <v>18928</v>
      </c>
      <c r="I4686" s="314">
        <v>42734.0</v>
      </c>
      <c r="J4686" s="319">
        <f>IFERROR(__xludf.DUMMYFUNCTION("SPLIT(I4686,""/"")"),30.0)</f>
        <v>30</v>
      </c>
      <c r="K4686" s="308">
        <f>IFERROR(__xludf.DUMMYFUNCTION("""COMPUTED_VALUE"""),12.0)</f>
        <v>12</v>
      </c>
      <c r="L4686" s="308">
        <f>IFERROR(__xludf.DUMMYFUNCTION("""COMPUTED_VALUE"""),2016.0)</f>
        <v>2016</v>
      </c>
      <c r="M4686" s="308" t="s">
        <v>18929</v>
      </c>
      <c r="N4686" s="308"/>
      <c r="O4686" s="308"/>
      <c r="P4686" s="308" t="s">
        <v>37856</v>
      </c>
      <c r="Q4686" s="308" t="s">
        <v>37854</v>
      </c>
      <c r="R4686" s="308" t="s">
        <v>2743</v>
      </c>
      <c r="S4686" s="308" t="s">
        <v>49</v>
      </c>
      <c r="T4686" s="308" t="s">
        <v>53</v>
      </c>
      <c r="U4686" s="308" t="s">
        <v>166</v>
      </c>
      <c r="V4686" s="312"/>
    </row>
    <row r="4687">
      <c r="A4687" s="308">
        <v>4686.0</v>
      </c>
      <c r="B4687" s="308"/>
      <c r="C4687" s="308" t="s">
        <v>18931</v>
      </c>
      <c r="D4687" s="308">
        <f>IFERROR(__xludf.DUMMYFUNCTION("SPLIT(C4687,""-"")"),4707.0)</f>
        <v>4707</v>
      </c>
      <c r="E4687" s="308" t="str">
        <f>IFERROR(__xludf.DUMMYFUNCTION("""COMPUTED_VALUE"""),"F")</f>
        <v>F</v>
      </c>
      <c r="F4687" s="309" t="s">
        <v>34</v>
      </c>
      <c r="G4687" s="308"/>
      <c r="H4687" s="308" t="s">
        <v>18932</v>
      </c>
      <c r="I4687" s="310">
        <v>42767.0</v>
      </c>
      <c r="J4687" s="319" t="str">
        <f>IFERROR(__xludf.DUMMYFUNCTION("SPLIT(I4687,""/"")"),"#REF!")</f>
        <v>#REF!</v>
      </c>
      <c r="K4687" s="308"/>
      <c r="L4687" s="308">
        <v>2017.0</v>
      </c>
      <c r="M4687" s="308" t="s">
        <v>18933</v>
      </c>
      <c r="N4687" s="308"/>
      <c r="O4687" s="308"/>
      <c r="P4687" s="308" t="s">
        <v>18934</v>
      </c>
      <c r="Q4687" s="308" t="s">
        <v>37854</v>
      </c>
      <c r="R4687" s="308" t="s">
        <v>2743</v>
      </c>
      <c r="S4687" s="308" t="s">
        <v>81</v>
      </c>
      <c r="T4687" s="308" t="s">
        <v>75</v>
      </c>
      <c r="U4687" s="308" t="s">
        <v>195</v>
      </c>
      <c r="V4687" s="312"/>
    </row>
    <row r="4688">
      <c r="A4688" s="308">
        <v>4687.0</v>
      </c>
      <c r="B4688" s="308"/>
      <c r="C4688" s="308" t="s">
        <v>18935</v>
      </c>
      <c r="D4688" s="308">
        <f>IFERROR(__xludf.DUMMYFUNCTION("SPLIT(C4688,""-"")"),4708.0)</f>
        <v>4708</v>
      </c>
      <c r="E4688" s="308" t="str">
        <f>IFERROR(__xludf.DUMMYFUNCTION("""COMPUTED_VALUE"""),"S")</f>
        <v>S</v>
      </c>
      <c r="F4688" s="312" t="s">
        <v>39</v>
      </c>
      <c r="G4688" s="308"/>
      <c r="H4688" s="308" t="s">
        <v>18936</v>
      </c>
      <c r="I4688" s="310">
        <v>43114.0</v>
      </c>
      <c r="J4688" s="319">
        <f>IFERROR(__xludf.DUMMYFUNCTION("SPLIT(I4688,""/"")"),14.0)</f>
        <v>14</v>
      </c>
      <c r="K4688" s="308">
        <f>IFERROR(__xludf.DUMMYFUNCTION("""COMPUTED_VALUE"""),1.0)</f>
        <v>1</v>
      </c>
      <c r="L4688" s="308">
        <f>IFERROR(__xludf.DUMMYFUNCTION("""COMPUTED_VALUE"""),2018.0)</f>
        <v>2018</v>
      </c>
      <c r="M4688" s="308" t="s">
        <v>18937</v>
      </c>
      <c r="N4688" s="308"/>
      <c r="O4688" s="308"/>
      <c r="P4688" s="308" t="s">
        <v>18938</v>
      </c>
      <c r="Q4688" s="308" t="s">
        <v>37854</v>
      </c>
      <c r="R4688" s="308" t="s">
        <v>2743</v>
      </c>
      <c r="S4688" s="308" t="s">
        <v>49</v>
      </c>
      <c r="T4688" s="311" t="s">
        <v>69</v>
      </c>
      <c r="U4688" s="308" t="s">
        <v>166</v>
      </c>
      <c r="V4688" s="312"/>
    </row>
    <row r="4689">
      <c r="A4689" s="308">
        <v>4688.0</v>
      </c>
      <c r="B4689" s="308"/>
      <c r="C4689" s="308" t="s">
        <v>18939</v>
      </c>
      <c r="D4689" s="308">
        <f>IFERROR(__xludf.DUMMYFUNCTION("SPLIT(C4689,""-"")"),4709.0)</f>
        <v>4709</v>
      </c>
      <c r="E4689" s="308" t="str">
        <f>IFERROR(__xludf.DUMMYFUNCTION("""COMPUTED_VALUE"""),"K")</f>
        <v>K</v>
      </c>
      <c r="F4689" s="309" t="s">
        <v>34</v>
      </c>
      <c r="G4689" s="308"/>
      <c r="H4689" s="308" t="s">
        <v>18940</v>
      </c>
      <c r="I4689" s="310">
        <v>41080.0</v>
      </c>
      <c r="J4689" s="319">
        <f>IFERROR(__xludf.DUMMYFUNCTION("SPLIT(I4689,""/"")"),20.0)</f>
        <v>20</v>
      </c>
      <c r="K4689" s="308">
        <f>IFERROR(__xludf.DUMMYFUNCTION("""COMPUTED_VALUE"""),6.0)</f>
        <v>6</v>
      </c>
      <c r="L4689" s="308">
        <f>IFERROR(__xludf.DUMMYFUNCTION("""COMPUTED_VALUE"""),2012.0)</f>
        <v>2012</v>
      </c>
      <c r="M4689" s="308" t="s">
        <v>18941</v>
      </c>
      <c r="N4689" s="308"/>
      <c r="O4689" s="308"/>
      <c r="P4689" s="308" t="s">
        <v>5679</v>
      </c>
      <c r="Q4689" s="308" t="s">
        <v>37854</v>
      </c>
      <c r="R4689" s="308" t="s">
        <v>2743</v>
      </c>
      <c r="S4689" s="315" t="s">
        <v>100</v>
      </c>
      <c r="T4689" s="311" t="s">
        <v>34208</v>
      </c>
      <c r="U4689" s="308" t="s">
        <v>2097</v>
      </c>
      <c r="V4689" s="312"/>
    </row>
    <row r="4690">
      <c r="A4690" s="308">
        <v>4689.0</v>
      </c>
      <c r="B4690" s="308"/>
      <c r="C4690" s="308" t="s">
        <v>18942</v>
      </c>
      <c r="D4690" s="308">
        <f>IFERROR(__xludf.DUMMYFUNCTION("SPLIT(C4690,""-"")"),4710.0)</f>
        <v>4710</v>
      </c>
      <c r="E4690" s="308" t="str">
        <f>IFERROR(__xludf.DUMMYFUNCTION("""COMPUTED_VALUE"""),"P")</f>
        <v>P</v>
      </c>
      <c r="F4690" s="312" t="s">
        <v>37</v>
      </c>
      <c r="G4690" s="308"/>
      <c r="H4690" s="308" t="s">
        <v>18943</v>
      </c>
      <c r="I4690" s="310">
        <v>42856.0</v>
      </c>
      <c r="J4690" s="319">
        <f>IFERROR(__xludf.DUMMYFUNCTION("SPLIT(I4690,""/"")"),1.0)</f>
        <v>1</v>
      </c>
      <c r="K4690" s="308">
        <f>IFERROR(__xludf.DUMMYFUNCTION("""COMPUTED_VALUE"""),5.0)</f>
        <v>5</v>
      </c>
      <c r="L4690" s="308">
        <f>IFERROR(__xludf.DUMMYFUNCTION("""COMPUTED_VALUE"""),2017.0)</f>
        <v>2017</v>
      </c>
      <c r="M4690" s="308" t="s">
        <v>18944</v>
      </c>
      <c r="N4690" s="308"/>
      <c r="O4690" s="308"/>
      <c r="P4690" s="308" t="s">
        <v>7523</v>
      </c>
      <c r="Q4690" s="308" t="s">
        <v>37854</v>
      </c>
      <c r="R4690" s="308" t="s">
        <v>2743</v>
      </c>
      <c r="S4690" s="315" t="s">
        <v>100</v>
      </c>
      <c r="T4690" s="311" t="s">
        <v>34208</v>
      </c>
      <c r="U4690" s="308" t="s">
        <v>18945</v>
      </c>
      <c r="V4690" s="312"/>
    </row>
    <row r="4691">
      <c r="A4691" s="308">
        <v>4690.0</v>
      </c>
      <c r="B4691" s="308"/>
      <c r="C4691" s="308" t="s">
        <v>18946</v>
      </c>
      <c r="D4691" s="308">
        <f>IFERROR(__xludf.DUMMYFUNCTION("SPLIT(C4691,""-"")"),4711.0)</f>
        <v>4711</v>
      </c>
      <c r="E4691" s="308" t="str">
        <f>IFERROR(__xludf.DUMMYFUNCTION("""COMPUTED_VALUE"""),"K")</f>
        <v>K</v>
      </c>
      <c r="F4691" s="309" t="s">
        <v>34</v>
      </c>
      <c r="G4691" s="308"/>
      <c r="H4691" s="308" t="s">
        <v>18947</v>
      </c>
      <c r="I4691" s="310">
        <v>39630.0</v>
      </c>
      <c r="J4691" s="319">
        <f>IFERROR(__xludf.DUMMYFUNCTION("SPLIT(I4691,""/"")"),1.0)</f>
        <v>1</v>
      </c>
      <c r="K4691" s="308">
        <f>IFERROR(__xludf.DUMMYFUNCTION("""COMPUTED_VALUE"""),7.0)</f>
        <v>7</v>
      </c>
      <c r="L4691" s="308">
        <f>IFERROR(__xludf.DUMMYFUNCTION("""COMPUTED_VALUE"""),2008.0)</f>
        <v>2008</v>
      </c>
      <c r="M4691" s="308" t="s">
        <v>18948</v>
      </c>
      <c r="N4691" s="308"/>
      <c r="O4691" s="308"/>
      <c r="P4691" s="308" t="s">
        <v>5679</v>
      </c>
      <c r="Q4691" s="308" t="s">
        <v>37854</v>
      </c>
      <c r="R4691" s="308" t="s">
        <v>2743</v>
      </c>
      <c r="S4691" s="315" t="s">
        <v>100</v>
      </c>
      <c r="T4691" s="311" t="s">
        <v>34208</v>
      </c>
      <c r="U4691" s="308" t="s">
        <v>530</v>
      </c>
      <c r="V4691" s="312"/>
    </row>
    <row r="4692">
      <c r="A4692" s="308">
        <v>4691.0</v>
      </c>
      <c r="B4692" s="308"/>
      <c r="C4692" s="308" t="s">
        <v>18949</v>
      </c>
      <c r="D4692" s="308">
        <f>IFERROR(__xludf.DUMMYFUNCTION("SPLIT(C4692,""-"")"),4712.0)</f>
        <v>4712</v>
      </c>
      <c r="E4692" s="308" t="str">
        <f>IFERROR(__xludf.DUMMYFUNCTION("""COMPUTED_VALUE"""),"P")</f>
        <v>P</v>
      </c>
      <c r="F4692" s="312" t="s">
        <v>37</v>
      </c>
      <c r="G4692" s="308"/>
      <c r="H4692" s="308" t="s">
        <v>18950</v>
      </c>
      <c r="I4692" s="314">
        <v>43068.0</v>
      </c>
      <c r="J4692" s="319">
        <f>IFERROR(__xludf.DUMMYFUNCTION("SPLIT(I4692,""/"")"),29.0)</f>
        <v>29</v>
      </c>
      <c r="K4692" s="308">
        <f>IFERROR(__xludf.DUMMYFUNCTION("""COMPUTED_VALUE"""),11.0)</f>
        <v>11</v>
      </c>
      <c r="L4692" s="308">
        <f>IFERROR(__xludf.DUMMYFUNCTION("""COMPUTED_VALUE"""),2017.0)</f>
        <v>2017</v>
      </c>
      <c r="M4692" s="308" t="s">
        <v>18951</v>
      </c>
      <c r="N4692" s="308"/>
      <c r="O4692" s="308" t="s">
        <v>37857</v>
      </c>
      <c r="P4692" s="308" t="s">
        <v>37858</v>
      </c>
      <c r="Q4692" s="308" t="s">
        <v>37854</v>
      </c>
      <c r="R4692" s="308" t="s">
        <v>2743</v>
      </c>
      <c r="S4692" s="308" t="s">
        <v>81</v>
      </c>
      <c r="T4692" s="311" t="s">
        <v>90</v>
      </c>
      <c r="U4692" s="308" t="s">
        <v>149</v>
      </c>
      <c r="V4692" s="312"/>
    </row>
    <row r="4693">
      <c r="A4693" s="308">
        <v>4692.0</v>
      </c>
      <c r="B4693" s="308"/>
      <c r="C4693" s="308" t="s">
        <v>18954</v>
      </c>
      <c r="D4693" s="308">
        <f>IFERROR(__xludf.DUMMYFUNCTION("SPLIT(C4693,""-"")"),4713.0)</f>
        <v>4713</v>
      </c>
      <c r="E4693" s="308" t="str">
        <f>IFERROR(__xludf.DUMMYFUNCTION("""COMPUTED_VALUE"""),"P")</f>
        <v>P</v>
      </c>
      <c r="F4693" s="312" t="s">
        <v>37</v>
      </c>
      <c r="G4693" s="308"/>
      <c r="H4693" s="308" t="s">
        <v>18955</v>
      </c>
      <c r="I4693" s="310">
        <v>42705.0</v>
      </c>
      <c r="J4693" s="319">
        <f>IFERROR(__xludf.DUMMYFUNCTION("SPLIT(I4693,""/"")"),1.0)</f>
        <v>1</v>
      </c>
      <c r="K4693" s="308">
        <f>IFERROR(__xludf.DUMMYFUNCTION("""COMPUTED_VALUE"""),12.0)</f>
        <v>12</v>
      </c>
      <c r="L4693" s="308">
        <f>IFERROR(__xludf.DUMMYFUNCTION("""COMPUTED_VALUE"""),2016.0)</f>
        <v>2016</v>
      </c>
      <c r="M4693" s="308" t="s">
        <v>18956</v>
      </c>
      <c r="N4693" s="308"/>
      <c r="O4693" s="308"/>
      <c r="P4693" s="308" t="s">
        <v>18957</v>
      </c>
      <c r="Q4693" s="308" t="s">
        <v>37854</v>
      </c>
      <c r="R4693" s="308" t="s">
        <v>2743</v>
      </c>
      <c r="S4693" s="308" t="s">
        <v>81</v>
      </c>
      <c r="T4693" s="311" t="s">
        <v>57</v>
      </c>
      <c r="U4693" s="308" t="s">
        <v>2291</v>
      </c>
      <c r="V4693" s="312"/>
    </row>
    <row r="4694">
      <c r="A4694" s="308">
        <v>4693.0</v>
      </c>
      <c r="B4694" s="308"/>
      <c r="C4694" s="308" t="s">
        <v>18958</v>
      </c>
      <c r="D4694" s="308">
        <f>IFERROR(__xludf.DUMMYFUNCTION("SPLIT(C4694,""-"")"),4714.0)</f>
        <v>4714</v>
      </c>
      <c r="E4694" s="308" t="str">
        <f>IFERROR(__xludf.DUMMYFUNCTION("""COMPUTED_VALUE"""),"S")</f>
        <v>S</v>
      </c>
      <c r="F4694" s="312" t="s">
        <v>39</v>
      </c>
      <c r="G4694" s="308"/>
      <c r="H4694" s="308" t="s">
        <v>18959</v>
      </c>
      <c r="I4694" s="310">
        <v>42484.0</v>
      </c>
      <c r="J4694" s="319">
        <f>IFERROR(__xludf.DUMMYFUNCTION("SPLIT(I4694,""/"")"),24.0)</f>
        <v>24</v>
      </c>
      <c r="K4694" s="308">
        <f>IFERROR(__xludf.DUMMYFUNCTION("""COMPUTED_VALUE"""),4.0)</f>
        <v>4</v>
      </c>
      <c r="L4694" s="308">
        <f>IFERROR(__xludf.DUMMYFUNCTION("""COMPUTED_VALUE"""),2016.0)</f>
        <v>2016</v>
      </c>
      <c r="M4694" s="308" t="s">
        <v>18960</v>
      </c>
      <c r="N4694" s="308"/>
      <c r="O4694" s="308"/>
      <c r="P4694" s="308" t="s">
        <v>18961</v>
      </c>
      <c r="Q4694" s="308" t="s">
        <v>37854</v>
      </c>
      <c r="R4694" s="308" t="s">
        <v>37859</v>
      </c>
      <c r="S4694" s="308" t="s">
        <v>81</v>
      </c>
      <c r="T4694" s="311" t="s">
        <v>90</v>
      </c>
      <c r="U4694" s="308" t="s">
        <v>166</v>
      </c>
      <c r="V4694" s="312"/>
    </row>
    <row r="4695">
      <c r="A4695" s="308">
        <v>4694.0</v>
      </c>
      <c r="B4695" s="308"/>
      <c r="C4695" s="308" t="s">
        <v>18963</v>
      </c>
      <c r="D4695" s="308">
        <f>IFERROR(__xludf.DUMMYFUNCTION("SPLIT(C4695,""-"")"),4715.0)</f>
        <v>4715</v>
      </c>
      <c r="E4695" s="308" t="str">
        <f>IFERROR(__xludf.DUMMYFUNCTION("""COMPUTED_VALUE"""),"K")</f>
        <v>K</v>
      </c>
      <c r="F4695" s="309" t="s">
        <v>34</v>
      </c>
      <c r="G4695" s="308"/>
      <c r="H4695" s="308" t="s">
        <v>18964</v>
      </c>
      <c r="I4695" s="310">
        <v>43006.0</v>
      </c>
      <c r="J4695" s="319" t="str">
        <f>IFERROR(__xludf.DUMMYFUNCTION("SPLIT(I4695,""/"")"),"#REF!")</f>
        <v>#REF!</v>
      </c>
      <c r="K4695" s="308"/>
      <c r="L4695" s="308">
        <v>2017.0</v>
      </c>
      <c r="M4695" s="308" t="s">
        <v>18965</v>
      </c>
      <c r="N4695" s="308"/>
      <c r="O4695" s="308" t="s">
        <v>18966</v>
      </c>
      <c r="P4695" s="308" t="s">
        <v>37860</v>
      </c>
      <c r="Q4695" s="308" t="s">
        <v>37854</v>
      </c>
      <c r="R4695" s="308" t="s">
        <v>2743</v>
      </c>
      <c r="S4695" s="308" t="s">
        <v>81</v>
      </c>
      <c r="T4695" s="311" t="s">
        <v>96</v>
      </c>
      <c r="U4695" s="308" t="s">
        <v>4487</v>
      </c>
      <c r="V4695" s="312"/>
    </row>
    <row r="4696">
      <c r="A4696" s="308">
        <v>4695.0</v>
      </c>
      <c r="B4696" s="308"/>
      <c r="C4696" s="308" t="s">
        <v>18968</v>
      </c>
      <c r="D4696" s="308">
        <f>IFERROR(__xludf.DUMMYFUNCTION("SPLIT(C4696,""-"")"),4716.0)</f>
        <v>4716</v>
      </c>
      <c r="E4696" s="308" t="str">
        <f>IFERROR(__xludf.DUMMYFUNCTION("""COMPUTED_VALUE"""),"S")</f>
        <v>S</v>
      </c>
      <c r="F4696" s="312" t="s">
        <v>39</v>
      </c>
      <c r="G4696" s="308"/>
      <c r="H4696" s="308" t="s">
        <v>18969</v>
      </c>
      <c r="I4696" s="310">
        <v>42867.0</v>
      </c>
      <c r="J4696" s="319">
        <f>IFERROR(__xludf.DUMMYFUNCTION("SPLIT(I4696,""/"")"),12.0)</f>
        <v>12</v>
      </c>
      <c r="K4696" s="308">
        <f>IFERROR(__xludf.DUMMYFUNCTION("""COMPUTED_VALUE"""),5.0)</f>
        <v>5</v>
      </c>
      <c r="L4696" s="308">
        <f>IFERROR(__xludf.DUMMYFUNCTION("""COMPUTED_VALUE"""),2017.0)</f>
        <v>2017</v>
      </c>
      <c r="M4696" s="308" t="s">
        <v>18970</v>
      </c>
      <c r="N4696" s="308"/>
      <c r="O4696" s="308"/>
      <c r="P4696" s="308" t="s">
        <v>18971</v>
      </c>
      <c r="Q4696" s="308" t="s">
        <v>37854</v>
      </c>
      <c r="R4696" s="308" t="s">
        <v>2743</v>
      </c>
      <c r="S4696" s="308" t="s">
        <v>81</v>
      </c>
      <c r="T4696" s="308" t="s">
        <v>75</v>
      </c>
      <c r="U4696" s="308" t="s">
        <v>166</v>
      </c>
      <c r="V4696" s="312"/>
    </row>
    <row r="4697">
      <c r="A4697" s="308">
        <v>4696.0</v>
      </c>
      <c r="B4697" s="308"/>
      <c r="C4697" s="308" t="s">
        <v>18972</v>
      </c>
      <c r="D4697" s="308">
        <f>IFERROR(__xludf.DUMMYFUNCTION("SPLIT(C4697,""-"")"),4717.0)</f>
        <v>4717</v>
      </c>
      <c r="E4697" s="308" t="str">
        <f>IFERROR(__xludf.DUMMYFUNCTION("""COMPUTED_VALUE"""),"K")</f>
        <v>K</v>
      </c>
      <c r="F4697" s="309" t="s">
        <v>34</v>
      </c>
      <c r="G4697" s="308"/>
      <c r="H4697" s="308" t="s">
        <v>18973</v>
      </c>
      <c r="I4697" s="310">
        <v>40770.0</v>
      </c>
      <c r="J4697" s="319">
        <f>IFERROR(__xludf.DUMMYFUNCTION("SPLIT(I4697,""/"")"),15.0)</f>
        <v>15</v>
      </c>
      <c r="K4697" s="308">
        <f>IFERROR(__xludf.DUMMYFUNCTION("""COMPUTED_VALUE"""),8.0)</f>
        <v>8</v>
      </c>
      <c r="L4697" s="308">
        <f>IFERROR(__xludf.DUMMYFUNCTION("""COMPUTED_VALUE"""),2011.0)</f>
        <v>2011</v>
      </c>
      <c r="M4697" s="308" t="s">
        <v>18974</v>
      </c>
      <c r="N4697" s="308"/>
      <c r="O4697" s="308"/>
      <c r="P4697" s="308" t="s">
        <v>5679</v>
      </c>
      <c r="Q4697" s="308" t="s">
        <v>37854</v>
      </c>
      <c r="R4697" s="308" t="s">
        <v>2743</v>
      </c>
      <c r="S4697" s="315" t="s">
        <v>100</v>
      </c>
      <c r="T4697" s="311" t="s">
        <v>34208</v>
      </c>
      <c r="U4697" s="308" t="s">
        <v>125</v>
      </c>
      <c r="V4697" s="312"/>
    </row>
    <row r="4698">
      <c r="A4698" s="308">
        <v>4697.0</v>
      </c>
      <c r="B4698" s="308"/>
      <c r="C4698" s="308" t="s">
        <v>18975</v>
      </c>
      <c r="D4698" s="308">
        <f>IFERROR(__xludf.DUMMYFUNCTION("SPLIT(C4698,""-"")"),4718.0)</f>
        <v>4718</v>
      </c>
      <c r="E4698" s="308" t="str">
        <f>IFERROR(__xludf.DUMMYFUNCTION("""COMPUTED_VALUE"""),"K")</f>
        <v>K</v>
      </c>
      <c r="F4698" s="309" t="s">
        <v>34</v>
      </c>
      <c r="G4698" s="308"/>
      <c r="H4698" s="308" t="s">
        <v>18976</v>
      </c>
      <c r="I4698" s="310">
        <v>39995.0</v>
      </c>
      <c r="J4698" s="319">
        <f>IFERROR(__xludf.DUMMYFUNCTION("SPLIT(I4698,""/"")"),1.0)</f>
        <v>1</v>
      </c>
      <c r="K4698" s="308">
        <f>IFERROR(__xludf.DUMMYFUNCTION("""COMPUTED_VALUE"""),7.0)</f>
        <v>7</v>
      </c>
      <c r="L4698" s="308">
        <f>IFERROR(__xludf.DUMMYFUNCTION("""COMPUTED_VALUE"""),2009.0)</f>
        <v>2009</v>
      </c>
      <c r="M4698" s="308" t="s">
        <v>18974</v>
      </c>
      <c r="N4698" s="308"/>
      <c r="O4698" s="308" t="s">
        <v>18977</v>
      </c>
      <c r="P4698" s="308" t="s">
        <v>5679</v>
      </c>
      <c r="Q4698" s="308" t="s">
        <v>37854</v>
      </c>
      <c r="R4698" s="308" t="s">
        <v>2743</v>
      </c>
      <c r="S4698" s="315" t="s">
        <v>100</v>
      </c>
      <c r="T4698" s="311" t="s">
        <v>34208</v>
      </c>
      <c r="U4698" s="308" t="s">
        <v>2152</v>
      </c>
      <c r="V4698" s="312"/>
    </row>
    <row r="4699">
      <c r="A4699" s="308">
        <v>4698.0</v>
      </c>
      <c r="B4699" s="308"/>
      <c r="C4699" s="308" t="s">
        <v>18978</v>
      </c>
      <c r="D4699" s="308">
        <f>IFERROR(__xludf.DUMMYFUNCTION("SPLIT(C4699,""-"")"),4719.0)</f>
        <v>4719</v>
      </c>
      <c r="E4699" s="308" t="str">
        <f>IFERROR(__xludf.DUMMYFUNCTION("""COMPUTED_VALUE"""),"K")</f>
        <v>K</v>
      </c>
      <c r="F4699" s="309" t="s">
        <v>34</v>
      </c>
      <c r="G4699" s="308"/>
      <c r="H4699" s="308" t="s">
        <v>18979</v>
      </c>
      <c r="I4699" s="314">
        <v>43067.0</v>
      </c>
      <c r="J4699" s="319" t="str">
        <f>IFERROR(__xludf.DUMMYFUNCTION("SPLIT(I4699,""/"")"),"#REF!")</f>
        <v>#REF!</v>
      </c>
      <c r="K4699" s="308"/>
      <c r="L4699" s="308">
        <v>2017.0</v>
      </c>
      <c r="M4699" s="308" t="s">
        <v>37861</v>
      </c>
      <c r="N4699" s="308"/>
      <c r="O4699" s="308"/>
      <c r="P4699" s="308" t="s">
        <v>37862</v>
      </c>
      <c r="Q4699" s="308" t="s">
        <v>37854</v>
      </c>
      <c r="R4699" s="308" t="s">
        <v>2743</v>
      </c>
      <c r="S4699" s="308" t="s">
        <v>49</v>
      </c>
      <c r="T4699" s="308" t="s">
        <v>51</v>
      </c>
      <c r="U4699" s="308" t="s">
        <v>368</v>
      </c>
      <c r="V4699" s="312"/>
    </row>
    <row r="4700">
      <c r="A4700" s="308">
        <v>4699.0</v>
      </c>
      <c r="B4700" s="308"/>
      <c r="C4700" s="308" t="s">
        <v>18982</v>
      </c>
      <c r="D4700" s="308">
        <f>IFERROR(__xludf.DUMMYFUNCTION("SPLIT(C4700,""-"")"),4720.0)</f>
        <v>4720</v>
      </c>
      <c r="E4700" s="308" t="str">
        <f>IFERROR(__xludf.DUMMYFUNCTION("""COMPUTED_VALUE"""),"K")</f>
        <v>K</v>
      </c>
      <c r="F4700" s="309" t="s">
        <v>34</v>
      </c>
      <c r="G4700" s="308"/>
      <c r="H4700" s="308" t="s">
        <v>18983</v>
      </c>
      <c r="I4700" s="310">
        <v>41542.0</v>
      </c>
      <c r="J4700" s="319">
        <f>IFERROR(__xludf.DUMMYFUNCTION("SPLIT(I4700,""/"")"),25.0)</f>
        <v>25</v>
      </c>
      <c r="K4700" s="308">
        <f>IFERROR(__xludf.DUMMYFUNCTION("""COMPUTED_VALUE"""),9.0)</f>
        <v>9</v>
      </c>
      <c r="L4700" s="308">
        <f>IFERROR(__xludf.DUMMYFUNCTION("""COMPUTED_VALUE"""),2013.0)</f>
        <v>2013</v>
      </c>
      <c r="M4700" s="308" t="s">
        <v>18984</v>
      </c>
      <c r="N4700" s="308"/>
      <c r="O4700" s="308" t="s">
        <v>18985</v>
      </c>
      <c r="P4700" s="308" t="s">
        <v>5679</v>
      </c>
      <c r="Q4700" s="308" t="s">
        <v>37854</v>
      </c>
      <c r="R4700" s="308" t="s">
        <v>2743</v>
      </c>
      <c r="S4700" s="315" t="s">
        <v>100</v>
      </c>
      <c r="T4700" s="311" t="s">
        <v>34208</v>
      </c>
      <c r="U4700" s="308" t="s">
        <v>2466</v>
      </c>
      <c r="V4700" s="312"/>
    </row>
    <row r="4701">
      <c r="A4701" s="308">
        <v>4700.0</v>
      </c>
      <c r="B4701" s="308"/>
      <c r="C4701" s="308" t="s">
        <v>18986</v>
      </c>
      <c r="D4701" s="308">
        <f>IFERROR(__xludf.DUMMYFUNCTION("SPLIT(C4701,""-"")"),4721.0)</f>
        <v>4721</v>
      </c>
      <c r="E4701" s="308" t="str">
        <f>IFERROR(__xludf.DUMMYFUNCTION("""COMPUTED_VALUE"""),"S")</f>
        <v>S</v>
      </c>
      <c r="F4701" s="312" t="s">
        <v>39</v>
      </c>
      <c r="G4701" s="308"/>
      <c r="H4701" s="308" t="s">
        <v>18987</v>
      </c>
      <c r="I4701" s="310">
        <v>43071.0</v>
      </c>
      <c r="J4701" s="319">
        <f>IFERROR(__xludf.DUMMYFUNCTION("SPLIT(I4701,""/"")"),2.0)</f>
        <v>2</v>
      </c>
      <c r="K4701" s="308">
        <f>IFERROR(__xludf.DUMMYFUNCTION("""COMPUTED_VALUE"""),12.0)</f>
        <v>12</v>
      </c>
      <c r="L4701" s="308">
        <f>IFERROR(__xludf.DUMMYFUNCTION("""COMPUTED_VALUE"""),2017.0)</f>
        <v>2017</v>
      </c>
      <c r="M4701" s="308" t="s">
        <v>18988</v>
      </c>
      <c r="N4701" s="308"/>
      <c r="O4701" s="308"/>
      <c r="P4701" s="308" t="s">
        <v>18989</v>
      </c>
      <c r="Q4701" s="308" t="s">
        <v>37854</v>
      </c>
      <c r="R4701" s="308" t="s">
        <v>2743</v>
      </c>
      <c r="S4701" s="308" t="s">
        <v>81</v>
      </c>
      <c r="T4701" s="308" t="s">
        <v>75</v>
      </c>
      <c r="U4701" s="308" t="s">
        <v>166</v>
      </c>
      <c r="V4701" s="312"/>
    </row>
    <row r="4702">
      <c r="A4702" s="308">
        <v>4701.0</v>
      </c>
      <c r="B4702" s="308"/>
      <c r="C4702" s="308" t="s">
        <v>18990</v>
      </c>
      <c r="D4702" s="308">
        <f>IFERROR(__xludf.DUMMYFUNCTION("SPLIT(C4702,""-"")"),4722.0)</f>
        <v>4722</v>
      </c>
      <c r="E4702" s="308" t="str">
        <f>IFERROR(__xludf.DUMMYFUNCTION("""COMPUTED_VALUE"""),"P")</f>
        <v>P</v>
      </c>
      <c r="F4702" s="312" t="s">
        <v>37</v>
      </c>
      <c r="G4702" s="308"/>
      <c r="H4702" s="308" t="s">
        <v>18991</v>
      </c>
      <c r="I4702" s="310">
        <v>42019.0</v>
      </c>
      <c r="J4702" s="319">
        <f>IFERROR(__xludf.DUMMYFUNCTION("SPLIT(I4702,""/"")"),15.0)</f>
        <v>15</v>
      </c>
      <c r="K4702" s="308">
        <f>IFERROR(__xludf.DUMMYFUNCTION("""COMPUTED_VALUE"""),1.0)</f>
        <v>1</v>
      </c>
      <c r="L4702" s="308">
        <f>IFERROR(__xludf.DUMMYFUNCTION("""COMPUTED_VALUE"""),2015.0)</f>
        <v>2015</v>
      </c>
      <c r="M4702" s="308" t="s">
        <v>18992</v>
      </c>
      <c r="N4702" s="308"/>
      <c r="O4702" s="308"/>
      <c r="P4702" s="308" t="s">
        <v>37863</v>
      </c>
      <c r="Q4702" s="308" t="s">
        <v>37854</v>
      </c>
      <c r="R4702" s="308" t="s">
        <v>2743</v>
      </c>
      <c r="S4702" s="308" t="s">
        <v>81</v>
      </c>
      <c r="T4702" s="308" t="s">
        <v>98</v>
      </c>
      <c r="U4702" s="308" t="s">
        <v>17303</v>
      </c>
      <c r="V4702" s="312"/>
    </row>
    <row r="4703">
      <c r="A4703" s="308">
        <v>4702.0</v>
      </c>
      <c r="B4703" s="308"/>
      <c r="C4703" s="308" t="s">
        <v>18994</v>
      </c>
      <c r="D4703" s="308">
        <f>IFERROR(__xludf.DUMMYFUNCTION("SPLIT(C4703,""-"")"),4723.0)</f>
        <v>4723</v>
      </c>
      <c r="E4703" s="308" t="str">
        <f>IFERROR(__xludf.DUMMYFUNCTION("""COMPUTED_VALUE"""),"B")</f>
        <v>B</v>
      </c>
      <c r="F4703" s="315" t="s">
        <v>26</v>
      </c>
      <c r="G4703" s="308"/>
      <c r="H4703" s="308" t="s">
        <v>37864</v>
      </c>
      <c r="I4703" s="310">
        <v>42217.0</v>
      </c>
      <c r="J4703" s="319">
        <f>IFERROR(__xludf.DUMMYFUNCTION("SPLIT(I4703,""/"")"),1.0)</f>
        <v>1</v>
      </c>
      <c r="K4703" s="308">
        <f>IFERROR(__xludf.DUMMYFUNCTION("""COMPUTED_VALUE"""),8.0)</f>
        <v>8</v>
      </c>
      <c r="L4703" s="308">
        <f>IFERROR(__xludf.DUMMYFUNCTION("""COMPUTED_VALUE"""),2015.0)</f>
        <v>2015</v>
      </c>
      <c r="M4703" s="308" t="s">
        <v>18996</v>
      </c>
      <c r="N4703" s="308"/>
      <c r="O4703" s="308"/>
      <c r="P4703" s="308" t="s">
        <v>18997</v>
      </c>
      <c r="Q4703" s="308" t="s">
        <v>37854</v>
      </c>
      <c r="R4703" s="308" t="s">
        <v>13542</v>
      </c>
      <c r="S4703" s="308" t="s">
        <v>81</v>
      </c>
      <c r="T4703" s="308" t="s">
        <v>75</v>
      </c>
      <c r="U4703" s="308" t="s">
        <v>27</v>
      </c>
      <c r="V4703" s="312"/>
    </row>
    <row r="4704">
      <c r="A4704" s="308">
        <v>4703.0</v>
      </c>
      <c r="B4704" s="308"/>
      <c r="C4704" s="308" t="s">
        <v>18998</v>
      </c>
      <c r="D4704" s="308">
        <f>IFERROR(__xludf.DUMMYFUNCTION("SPLIT(C4704,""-"")"),4724.0)</f>
        <v>4724</v>
      </c>
      <c r="E4704" s="308" t="str">
        <f>IFERROR(__xludf.DUMMYFUNCTION("""COMPUTED_VALUE"""),"B")</f>
        <v>B</v>
      </c>
      <c r="F4704" s="315" t="s">
        <v>26</v>
      </c>
      <c r="G4704" s="308"/>
      <c r="H4704" s="308" t="s">
        <v>18999</v>
      </c>
      <c r="I4704" s="310">
        <v>42217.0</v>
      </c>
      <c r="J4704" s="319">
        <f>IFERROR(__xludf.DUMMYFUNCTION("SPLIT(I4704,""/"")"),1.0)</f>
        <v>1</v>
      </c>
      <c r="K4704" s="308">
        <f>IFERROR(__xludf.DUMMYFUNCTION("""COMPUTED_VALUE"""),8.0)</f>
        <v>8</v>
      </c>
      <c r="L4704" s="308">
        <f>IFERROR(__xludf.DUMMYFUNCTION("""COMPUTED_VALUE"""),2015.0)</f>
        <v>2015</v>
      </c>
      <c r="M4704" s="308" t="s">
        <v>19000</v>
      </c>
      <c r="N4704" s="308"/>
      <c r="O4704" s="308"/>
      <c r="P4704" s="308" t="s">
        <v>19001</v>
      </c>
      <c r="Q4704" s="308" t="s">
        <v>37854</v>
      </c>
      <c r="R4704" s="308" t="s">
        <v>13542</v>
      </c>
      <c r="S4704" s="308" t="s">
        <v>81</v>
      </c>
      <c r="T4704" s="308" t="s">
        <v>75</v>
      </c>
      <c r="U4704" s="308" t="s">
        <v>27</v>
      </c>
      <c r="V4704" s="312"/>
    </row>
    <row r="4705">
      <c r="A4705" s="308">
        <v>4704.0</v>
      </c>
      <c r="B4705" s="308"/>
      <c r="C4705" s="308" t="s">
        <v>19002</v>
      </c>
      <c r="D4705" s="308">
        <f>IFERROR(__xludf.DUMMYFUNCTION("SPLIT(C4705,""-"")"),4725.0)</f>
        <v>4725</v>
      </c>
      <c r="E4705" s="308" t="str">
        <f>IFERROR(__xludf.DUMMYFUNCTION("""COMPUTED_VALUE"""),"B")</f>
        <v>B</v>
      </c>
      <c r="F4705" s="315" t="s">
        <v>26</v>
      </c>
      <c r="G4705" s="308"/>
      <c r="H4705" s="308" t="s">
        <v>19003</v>
      </c>
      <c r="I4705" s="310">
        <v>42634.0</v>
      </c>
      <c r="J4705" s="319">
        <f>IFERROR(__xludf.DUMMYFUNCTION("SPLIT(I4705,""/"")"),21.0)</f>
        <v>21</v>
      </c>
      <c r="K4705" s="308">
        <f>IFERROR(__xludf.DUMMYFUNCTION("""COMPUTED_VALUE"""),9.0)</f>
        <v>9</v>
      </c>
      <c r="L4705" s="308">
        <f>IFERROR(__xludf.DUMMYFUNCTION("""COMPUTED_VALUE"""),2016.0)</f>
        <v>2016</v>
      </c>
      <c r="M4705" s="308" t="s">
        <v>19004</v>
      </c>
      <c r="N4705" s="308"/>
      <c r="O4705" s="308" t="s">
        <v>19005</v>
      </c>
      <c r="P4705" s="308" t="s">
        <v>37865</v>
      </c>
      <c r="Q4705" s="308" t="s">
        <v>37854</v>
      </c>
      <c r="R4705" s="308" t="s">
        <v>19007</v>
      </c>
      <c r="S4705" s="308" t="s">
        <v>49</v>
      </c>
      <c r="T4705" s="308" t="s">
        <v>51</v>
      </c>
      <c r="U4705" s="308" t="s">
        <v>27</v>
      </c>
      <c r="V4705" s="312"/>
    </row>
    <row r="4706">
      <c r="A4706" s="308">
        <v>4705.0</v>
      </c>
      <c r="B4706" s="308"/>
      <c r="C4706" s="308" t="s">
        <v>19008</v>
      </c>
      <c r="D4706" s="308">
        <f>IFERROR(__xludf.DUMMYFUNCTION("SPLIT(C4706,""-"")"),4726.0)</f>
        <v>4726</v>
      </c>
      <c r="E4706" s="308" t="str">
        <f>IFERROR(__xludf.DUMMYFUNCTION("""COMPUTED_VALUE"""),"P")</f>
        <v>P</v>
      </c>
      <c r="F4706" s="312" t="s">
        <v>37</v>
      </c>
      <c r="G4706" s="308"/>
      <c r="H4706" s="308" t="s">
        <v>13700</v>
      </c>
      <c r="I4706" s="310">
        <v>43047.0</v>
      </c>
      <c r="J4706" s="319">
        <f>IFERROR(__xludf.DUMMYFUNCTION("SPLIT(I4706,""/"")"),8.0)</f>
        <v>8</v>
      </c>
      <c r="K4706" s="308">
        <f>IFERROR(__xludf.DUMMYFUNCTION("""COMPUTED_VALUE"""),11.0)</f>
        <v>11</v>
      </c>
      <c r="L4706" s="308">
        <f>IFERROR(__xludf.DUMMYFUNCTION("""COMPUTED_VALUE"""),2017.0)</f>
        <v>2017</v>
      </c>
      <c r="M4706" s="308" t="s">
        <v>19009</v>
      </c>
      <c r="N4706" s="308"/>
      <c r="O4706" s="308"/>
      <c r="P4706" s="308" t="s">
        <v>37866</v>
      </c>
      <c r="Q4706" s="308" t="s">
        <v>37854</v>
      </c>
      <c r="R4706" s="308" t="s">
        <v>2743</v>
      </c>
      <c r="S4706" s="308" t="s">
        <v>81</v>
      </c>
      <c r="T4706" s="308" t="s">
        <v>75</v>
      </c>
      <c r="U4706" s="308" t="s">
        <v>3407</v>
      </c>
      <c r="V4706" s="312"/>
    </row>
    <row r="4707">
      <c r="A4707" s="308">
        <v>4706.0</v>
      </c>
      <c r="B4707" s="308"/>
      <c r="C4707" s="308" t="s">
        <v>19011</v>
      </c>
      <c r="D4707" s="308">
        <f>IFERROR(__xludf.DUMMYFUNCTION("SPLIT(C4707,""-"")"),4727.0)</f>
        <v>4727</v>
      </c>
      <c r="E4707" s="308" t="str">
        <f>IFERROR(__xludf.DUMMYFUNCTION("""COMPUTED_VALUE"""),"S")</f>
        <v>S</v>
      </c>
      <c r="F4707" s="312" t="s">
        <v>39</v>
      </c>
      <c r="G4707" s="308"/>
      <c r="H4707" s="308" t="s">
        <v>19012</v>
      </c>
      <c r="I4707" s="310">
        <v>43005.0</v>
      </c>
      <c r="J4707" s="319">
        <f>IFERROR(__xludf.DUMMYFUNCTION("SPLIT(I4707,""/"")"),27.0)</f>
        <v>27</v>
      </c>
      <c r="K4707" s="308">
        <f>IFERROR(__xludf.DUMMYFUNCTION("""COMPUTED_VALUE"""),9.0)</f>
        <v>9</v>
      </c>
      <c r="L4707" s="308">
        <f>IFERROR(__xludf.DUMMYFUNCTION("""COMPUTED_VALUE"""),2017.0)</f>
        <v>2017</v>
      </c>
      <c r="M4707" s="308" t="s">
        <v>19013</v>
      </c>
      <c r="N4707" s="308"/>
      <c r="O4707" s="308"/>
      <c r="P4707" s="308" t="s">
        <v>37867</v>
      </c>
      <c r="Q4707" s="308" t="s">
        <v>37854</v>
      </c>
      <c r="R4707" s="308" t="s">
        <v>2743</v>
      </c>
      <c r="S4707" s="308" t="s">
        <v>81</v>
      </c>
      <c r="T4707" s="308" t="s">
        <v>75</v>
      </c>
      <c r="U4707" s="308" t="s">
        <v>166</v>
      </c>
      <c r="V4707" s="312"/>
    </row>
    <row r="4708">
      <c r="A4708" s="308">
        <v>4707.0</v>
      </c>
      <c r="B4708" s="308"/>
      <c r="C4708" s="308" t="s">
        <v>19015</v>
      </c>
      <c r="D4708" s="308">
        <f>IFERROR(__xludf.DUMMYFUNCTION("SPLIT(C4708,""-"")"),4728.0)</f>
        <v>4728</v>
      </c>
      <c r="E4708" s="308" t="str">
        <f>IFERROR(__xludf.DUMMYFUNCTION("""COMPUTED_VALUE"""),"S")</f>
        <v>S</v>
      </c>
      <c r="F4708" s="312" t="s">
        <v>39</v>
      </c>
      <c r="G4708" s="308"/>
      <c r="H4708" s="308" t="s">
        <v>19016</v>
      </c>
      <c r="I4708" s="314">
        <v>43059.0</v>
      </c>
      <c r="J4708" s="319">
        <f>IFERROR(__xludf.DUMMYFUNCTION("SPLIT(I4708,""/"")"),20.0)</f>
        <v>20</v>
      </c>
      <c r="K4708" s="308">
        <f>IFERROR(__xludf.DUMMYFUNCTION("""COMPUTED_VALUE"""),11.0)</f>
        <v>11</v>
      </c>
      <c r="L4708" s="308">
        <f>IFERROR(__xludf.DUMMYFUNCTION("""COMPUTED_VALUE"""),2017.0)</f>
        <v>2017</v>
      </c>
      <c r="M4708" s="308" t="s">
        <v>19017</v>
      </c>
      <c r="N4708" s="308"/>
      <c r="O4708" s="308"/>
      <c r="P4708" s="308" t="s">
        <v>37868</v>
      </c>
      <c r="Q4708" s="308" t="s">
        <v>37854</v>
      </c>
      <c r="R4708" s="308" t="s">
        <v>2743</v>
      </c>
      <c r="S4708" s="308" t="s">
        <v>81</v>
      </c>
      <c r="T4708" s="308" t="s">
        <v>75</v>
      </c>
      <c r="U4708" s="308" t="s">
        <v>166</v>
      </c>
      <c r="V4708" s="312"/>
    </row>
    <row r="4709">
      <c r="A4709" s="308">
        <v>4708.0</v>
      </c>
      <c r="B4709" s="308"/>
      <c r="C4709" s="308" t="s">
        <v>19019</v>
      </c>
      <c r="D4709" s="308">
        <f>IFERROR(__xludf.DUMMYFUNCTION("SPLIT(C4709,""-"")"),4729.0)</f>
        <v>4729</v>
      </c>
      <c r="E4709" s="308" t="str">
        <f>IFERROR(__xludf.DUMMYFUNCTION("""COMPUTED_VALUE"""),"K")</f>
        <v>K</v>
      </c>
      <c r="F4709" s="309" t="s">
        <v>34</v>
      </c>
      <c r="G4709" s="308"/>
      <c r="H4709" s="308" t="s">
        <v>19020</v>
      </c>
      <c r="I4709" s="310">
        <v>39873.0</v>
      </c>
      <c r="J4709" s="319">
        <f>IFERROR(__xludf.DUMMYFUNCTION("SPLIT(I4709,""/"")"),1.0)</f>
        <v>1</v>
      </c>
      <c r="K4709" s="308">
        <f>IFERROR(__xludf.DUMMYFUNCTION("""COMPUTED_VALUE"""),3.0)</f>
        <v>3</v>
      </c>
      <c r="L4709" s="308">
        <f>IFERROR(__xludf.DUMMYFUNCTION("""COMPUTED_VALUE"""),2009.0)</f>
        <v>2009</v>
      </c>
      <c r="M4709" s="308" t="s">
        <v>19021</v>
      </c>
      <c r="N4709" s="308"/>
      <c r="O4709" s="308"/>
      <c r="P4709" s="308" t="s">
        <v>19022</v>
      </c>
      <c r="Q4709" s="308" t="s">
        <v>37854</v>
      </c>
      <c r="R4709" s="308" t="s">
        <v>2743</v>
      </c>
      <c r="S4709" s="308" t="s">
        <v>81</v>
      </c>
      <c r="T4709" s="308" t="s">
        <v>34264</v>
      </c>
      <c r="U4709" s="308" t="s">
        <v>201</v>
      </c>
      <c r="V4709" s="312"/>
    </row>
    <row r="4710">
      <c r="A4710" s="308">
        <v>4709.0</v>
      </c>
      <c r="B4710" s="308"/>
      <c r="C4710" s="308" t="s">
        <v>19023</v>
      </c>
      <c r="D4710" s="308">
        <f>IFERROR(__xludf.DUMMYFUNCTION("SPLIT(C4710,""-"")"),4730.0)</f>
        <v>4730</v>
      </c>
      <c r="E4710" s="308" t="str">
        <f>IFERROR(__xludf.DUMMYFUNCTION("""COMPUTED_VALUE"""),"K")</f>
        <v>K</v>
      </c>
      <c r="F4710" s="309" t="s">
        <v>34</v>
      </c>
      <c r="G4710" s="308"/>
      <c r="H4710" s="308" t="s">
        <v>19024</v>
      </c>
      <c r="I4710" s="310">
        <v>42856.0</v>
      </c>
      <c r="J4710" s="319" t="str">
        <f>IFERROR(__xludf.DUMMYFUNCTION("SPLIT(I4710,""/"")"),"#REF!")</f>
        <v>#REF!</v>
      </c>
      <c r="K4710" s="308"/>
      <c r="L4710" s="308">
        <v>2017.0</v>
      </c>
      <c r="M4710" s="308" t="s">
        <v>19025</v>
      </c>
      <c r="N4710" s="308"/>
      <c r="O4710" s="308"/>
      <c r="P4710" s="308" t="s">
        <v>19026</v>
      </c>
      <c r="Q4710" s="308" t="s">
        <v>37854</v>
      </c>
      <c r="R4710" s="308" t="s">
        <v>2743</v>
      </c>
      <c r="S4710" s="308" t="s">
        <v>81</v>
      </c>
      <c r="T4710" s="311" t="s">
        <v>51</v>
      </c>
      <c r="U4710" s="308" t="s">
        <v>530</v>
      </c>
      <c r="V4710" s="312"/>
    </row>
    <row r="4711">
      <c r="A4711" s="308">
        <v>4710.0</v>
      </c>
      <c r="B4711" s="308"/>
      <c r="C4711" s="308" t="s">
        <v>19027</v>
      </c>
      <c r="D4711" s="308">
        <f>IFERROR(__xludf.DUMMYFUNCTION("SPLIT(C4711,""-"")"),4731.0)</f>
        <v>4731</v>
      </c>
      <c r="E4711" s="308" t="str">
        <f>IFERROR(__xludf.DUMMYFUNCTION("""COMPUTED_VALUE"""),"F")</f>
        <v>F</v>
      </c>
      <c r="F4711" s="309" t="s">
        <v>34</v>
      </c>
      <c r="G4711" s="308"/>
      <c r="H4711" s="308" t="s">
        <v>19028</v>
      </c>
      <c r="I4711" s="310">
        <v>42742.0</v>
      </c>
      <c r="J4711" s="319" t="str">
        <f>IFERROR(__xludf.DUMMYFUNCTION("SPLIT(I4711,""/"")"),"#REF!")</f>
        <v>#REF!</v>
      </c>
      <c r="K4711" s="308"/>
      <c r="L4711" s="308">
        <v>2017.0</v>
      </c>
      <c r="M4711" s="308" t="s">
        <v>19029</v>
      </c>
      <c r="N4711" s="308"/>
      <c r="O4711" s="308"/>
      <c r="P4711" s="308" t="s">
        <v>37869</v>
      </c>
      <c r="Q4711" s="308" t="s">
        <v>37854</v>
      </c>
      <c r="R4711" s="308" t="s">
        <v>2743</v>
      </c>
      <c r="S4711" s="315" t="s">
        <v>100</v>
      </c>
      <c r="T4711" s="311" t="s">
        <v>34208</v>
      </c>
      <c r="U4711" s="308" t="s">
        <v>195</v>
      </c>
      <c r="V4711" s="312"/>
    </row>
    <row r="4712">
      <c r="A4712" s="308">
        <v>4711.0</v>
      </c>
      <c r="B4712" s="308"/>
      <c r="C4712" s="308" t="s">
        <v>19030</v>
      </c>
      <c r="D4712" s="308">
        <f>IFERROR(__xludf.DUMMYFUNCTION("SPLIT(C4712,""-"")"),4732.0)</f>
        <v>4732</v>
      </c>
      <c r="E4712" s="308" t="str">
        <f>IFERROR(__xludf.DUMMYFUNCTION("""COMPUTED_VALUE"""),"K")</f>
        <v>K</v>
      </c>
      <c r="F4712" s="309" t="s">
        <v>34</v>
      </c>
      <c r="G4712" s="308"/>
      <c r="H4712" s="308" t="s">
        <v>19031</v>
      </c>
      <c r="I4712" s="314">
        <v>43064.0</v>
      </c>
      <c r="J4712" s="319" t="str">
        <f>IFERROR(__xludf.DUMMYFUNCTION("SPLIT(I4712,""/"")"),"#REF!")</f>
        <v>#REF!</v>
      </c>
      <c r="K4712" s="308"/>
      <c r="L4712" s="308">
        <v>2017.0</v>
      </c>
      <c r="M4712" s="308" t="s">
        <v>19032</v>
      </c>
      <c r="N4712" s="308"/>
      <c r="O4712" s="308" t="s">
        <v>37870</v>
      </c>
      <c r="P4712" s="308" t="s">
        <v>19034</v>
      </c>
      <c r="Q4712" s="308" t="s">
        <v>37854</v>
      </c>
      <c r="R4712" s="308" t="s">
        <v>2743</v>
      </c>
      <c r="S4712" s="308" t="s">
        <v>81</v>
      </c>
      <c r="T4712" s="311" t="s">
        <v>88</v>
      </c>
      <c r="U4712" s="308" t="s">
        <v>2466</v>
      </c>
      <c r="V4712" s="312"/>
    </row>
    <row r="4713">
      <c r="A4713" s="308">
        <v>4712.0</v>
      </c>
      <c r="B4713" s="308"/>
      <c r="C4713" s="308" t="s">
        <v>19035</v>
      </c>
      <c r="D4713" s="308">
        <f>IFERROR(__xludf.DUMMYFUNCTION("SPLIT(C4713,""-"")"),4733.0)</f>
        <v>4733</v>
      </c>
      <c r="E4713" s="308" t="str">
        <f>IFERROR(__xludf.DUMMYFUNCTION("""COMPUTED_VALUE"""),"P")</f>
        <v>P</v>
      </c>
      <c r="F4713" s="312" t="s">
        <v>37</v>
      </c>
      <c r="G4713" s="308"/>
      <c r="H4713" s="308" t="s">
        <v>19036</v>
      </c>
      <c r="I4713" s="314">
        <v>43093.0</v>
      </c>
      <c r="J4713" s="319">
        <f>IFERROR(__xludf.DUMMYFUNCTION("SPLIT(I4713,""/"")"),24.0)</f>
        <v>24</v>
      </c>
      <c r="K4713" s="308">
        <f>IFERROR(__xludf.DUMMYFUNCTION("""COMPUTED_VALUE"""),12.0)</f>
        <v>12</v>
      </c>
      <c r="L4713" s="308">
        <f>IFERROR(__xludf.DUMMYFUNCTION("""COMPUTED_VALUE"""),2017.0)</f>
        <v>2017</v>
      </c>
      <c r="M4713" s="308" t="s">
        <v>19037</v>
      </c>
      <c r="N4713" s="308"/>
      <c r="O4713" s="308" t="s">
        <v>19038</v>
      </c>
      <c r="P4713" s="308" t="s">
        <v>37871</v>
      </c>
      <c r="Q4713" s="308" t="s">
        <v>37854</v>
      </c>
      <c r="R4713" s="308" t="s">
        <v>2743</v>
      </c>
      <c r="S4713" s="308" t="s">
        <v>81</v>
      </c>
      <c r="T4713" s="308" t="s">
        <v>75</v>
      </c>
      <c r="U4713" s="308" t="s">
        <v>149</v>
      </c>
      <c r="V4713" s="312"/>
    </row>
    <row r="4714">
      <c r="A4714" s="308">
        <v>4713.0</v>
      </c>
      <c r="B4714" s="308"/>
      <c r="C4714" s="308" t="s">
        <v>19040</v>
      </c>
      <c r="D4714" s="308">
        <f>IFERROR(__xludf.DUMMYFUNCTION("SPLIT(C4714,""-"")"),4734.0)</f>
        <v>4734</v>
      </c>
      <c r="E4714" s="308" t="str">
        <f>IFERROR(__xludf.DUMMYFUNCTION("""COMPUTED_VALUE"""),"P")</f>
        <v>P</v>
      </c>
      <c r="F4714" s="312" t="s">
        <v>37</v>
      </c>
      <c r="G4714" s="308"/>
      <c r="H4714" s="308" t="s">
        <v>19041</v>
      </c>
      <c r="I4714" s="314">
        <v>43092.0</v>
      </c>
      <c r="J4714" s="319">
        <f>IFERROR(__xludf.DUMMYFUNCTION("SPLIT(I4714,""/"")"),23.0)</f>
        <v>23</v>
      </c>
      <c r="K4714" s="308">
        <f>IFERROR(__xludf.DUMMYFUNCTION("""COMPUTED_VALUE"""),12.0)</f>
        <v>12</v>
      </c>
      <c r="L4714" s="308">
        <f>IFERROR(__xludf.DUMMYFUNCTION("""COMPUTED_VALUE"""),2017.0)</f>
        <v>2017</v>
      </c>
      <c r="M4714" s="308" t="s">
        <v>19037</v>
      </c>
      <c r="N4714" s="308"/>
      <c r="O4714" s="308"/>
      <c r="P4714" s="312" t="s">
        <v>19042</v>
      </c>
      <c r="Q4714" s="308" t="s">
        <v>37854</v>
      </c>
      <c r="R4714" s="308" t="s">
        <v>2743</v>
      </c>
      <c r="S4714" s="308" t="s">
        <v>81</v>
      </c>
      <c r="T4714" s="311" t="s">
        <v>96</v>
      </c>
      <c r="U4714" s="308" t="s">
        <v>15586</v>
      </c>
      <c r="V4714" s="312"/>
    </row>
    <row r="4715">
      <c r="A4715" s="308">
        <v>4714.0</v>
      </c>
      <c r="B4715" s="308"/>
      <c r="C4715" s="308" t="s">
        <v>19043</v>
      </c>
      <c r="D4715" s="308">
        <f>IFERROR(__xludf.DUMMYFUNCTION("SPLIT(C4715,""-"")"),4735.0)</f>
        <v>4735</v>
      </c>
      <c r="E4715" s="308" t="str">
        <f>IFERROR(__xludf.DUMMYFUNCTION("""COMPUTED_VALUE"""),"I")</f>
        <v>I</v>
      </c>
      <c r="F4715" s="309" t="s">
        <v>31</v>
      </c>
      <c r="G4715" s="308"/>
      <c r="H4715" s="308" t="s">
        <v>19044</v>
      </c>
      <c r="I4715" s="310">
        <v>43000.0</v>
      </c>
      <c r="J4715" s="319">
        <f>IFERROR(__xludf.DUMMYFUNCTION("SPLIT(I4715,""/"")"),22.0)</f>
        <v>22</v>
      </c>
      <c r="K4715" s="308">
        <f>IFERROR(__xludf.DUMMYFUNCTION("""COMPUTED_VALUE"""),9.0)</f>
        <v>9</v>
      </c>
      <c r="L4715" s="308">
        <f>IFERROR(__xludf.DUMMYFUNCTION("""COMPUTED_VALUE"""),2017.0)</f>
        <v>2017</v>
      </c>
      <c r="M4715" s="308" t="s">
        <v>19045</v>
      </c>
      <c r="N4715" s="308"/>
      <c r="O4715" s="308" t="s">
        <v>19046</v>
      </c>
      <c r="P4715" s="308" t="s">
        <v>37872</v>
      </c>
      <c r="Q4715" s="308" t="s">
        <v>37854</v>
      </c>
      <c r="R4715" s="308" t="s">
        <v>2743</v>
      </c>
      <c r="S4715" s="308" t="s">
        <v>81</v>
      </c>
      <c r="T4715" s="311" t="s">
        <v>75</v>
      </c>
      <c r="U4715" s="308" t="s">
        <v>31</v>
      </c>
      <c r="V4715" s="312"/>
    </row>
    <row r="4716">
      <c r="A4716" s="308">
        <v>4715.0</v>
      </c>
      <c r="B4716" s="308"/>
      <c r="C4716" s="308" t="s">
        <v>19048</v>
      </c>
      <c r="D4716" s="308">
        <f>IFERROR(__xludf.DUMMYFUNCTION("SPLIT(C4716,""-"")"),4736.0)</f>
        <v>4736</v>
      </c>
      <c r="E4716" s="308" t="str">
        <f>IFERROR(__xludf.DUMMYFUNCTION("""COMPUTED_VALUE"""),"I")</f>
        <v>I</v>
      </c>
      <c r="F4716" s="309" t="s">
        <v>31</v>
      </c>
      <c r="G4716" s="308"/>
      <c r="H4716" s="308" t="s">
        <v>19049</v>
      </c>
      <c r="I4716" s="310">
        <v>43000.0</v>
      </c>
      <c r="J4716" s="319">
        <f>IFERROR(__xludf.DUMMYFUNCTION("SPLIT(I4716,""/"")"),22.0)</f>
        <v>22</v>
      </c>
      <c r="K4716" s="308">
        <f>IFERROR(__xludf.DUMMYFUNCTION("""COMPUTED_VALUE"""),9.0)</f>
        <v>9</v>
      </c>
      <c r="L4716" s="308">
        <f>IFERROR(__xludf.DUMMYFUNCTION("""COMPUTED_VALUE"""),2017.0)</f>
        <v>2017</v>
      </c>
      <c r="M4716" s="308" t="s">
        <v>19045</v>
      </c>
      <c r="N4716" s="308"/>
      <c r="O4716" s="308"/>
      <c r="P4716" s="308" t="s">
        <v>37872</v>
      </c>
      <c r="Q4716" s="308" t="s">
        <v>37854</v>
      </c>
      <c r="R4716" s="308" t="s">
        <v>2743</v>
      </c>
      <c r="S4716" s="308" t="s">
        <v>81</v>
      </c>
      <c r="T4716" s="311" t="s">
        <v>75</v>
      </c>
      <c r="U4716" s="308" t="s">
        <v>31</v>
      </c>
      <c r="V4716" s="312"/>
    </row>
    <row r="4717">
      <c r="A4717" s="308">
        <v>4716.0</v>
      </c>
      <c r="B4717" s="308"/>
      <c r="C4717" s="308" t="s">
        <v>19050</v>
      </c>
      <c r="D4717" s="308">
        <f>IFERROR(__xludf.DUMMYFUNCTION("SPLIT(C4717,""-"")"),4737.0)</f>
        <v>4737</v>
      </c>
      <c r="E4717" s="308" t="str">
        <f>IFERROR(__xludf.DUMMYFUNCTION("""COMPUTED_VALUE"""),"S")</f>
        <v>S</v>
      </c>
      <c r="F4717" s="312" t="s">
        <v>39</v>
      </c>
      <c r="G4717" s="308"/>
      <c r="H4717" s="308" t="s">
        <v>19051</v>
      </c>
      <c r="I4717" s="314">
        <v>43036.0</v>
      </c>
      <c r="J4717" s="319">
        <f>IFERROR(__xludf.DUMMYFUNCTION("SPLIT(I4717,""/"")"),28.0)</f>
        <v>28</v>
      </c>
      <c r="K4717" s="308">
        <f>IFERROR(__xludf.DUMMYFUNCTION("""COMPUTED_VALUE"""),10.0)</f>
        <v>10</v>
      </c>
      <c r="L4717" s="308">
        <f>IFERROR(__xludf.DUMMYFUNCTION("""COMPUTED_VALUE"""),2017.0)</f>
        <v>2017</v>
      </c>
      <c r="M4717" s="308" t="s">
        <v>19052</v>
      </c>
      <c r="N4717" s="308"/>
      <c r="O4717" s="308"/>
      <c r="P4717" s="308" t="s">
        <v>37685</v>
      </c>
      <c r="Q4717" s="308" t="s">
        <v>37854</v>
      </c>
      <c r="R4717" s="308" t="s">
        <v>14256</v>
      </c>
      <c r="S4717" s="308" t="s">
        <v>49</v>
      </c>
      <c r="T4717" s="311" t="s">
        <v>67</v>
      </c>
      <c r="U4717" s="308" t="s">
        <v>166</v>
      </c>
      <c r="V4717" s="312"/>
    </row>
    <row r="4718">
      <c r="A4718" s="308">
        <v>4717.0</v>
      </c>
      <c r="B4718" s="308"/>
      <c r="C4718" s="308" t="s">
        <v>19053</v>
      </c>
      <c r="D4718" s="308">
        <f>IFERROR(__xludf.DUMMYFUNCTION("SPLIT(C4718,""-"")"),4738.0)</f>
        <v>4738</v>
      </c>
      <c r="E4718" s="308" t="str">
        <f>IFERROR(__xludf.DUMMYFUNCTION("""COMPUTED_VALUE"""),"S")</f>
        <v>S</v>
      </c>
      <c r="F4718" s="312" t="s">
        <v>39</v>
      </c>
      <c r="G4718" s="308"/>
      <c r="H4718" s="308" t="s">
        <v>19054</v>
      </c>
      <c r="I4718" s="314">
        <v>43036.0</v>
      </c>
      <c r="J4718" s="319">
        <f>IFERROR(__xludf.DUMMYFUNCTION("SPLIT(I4718,""/"")"),28.0)</f>
        <v>28</v>
      </c>
      <c r="K4718" s="308">
        <f>IFERROR(__xludf.DUMMYFUNCTION("""COMPUTED_VALUE"""),10.0)</f>
        <v>10</v>
      </c>
      <c r="L4718" s="308">
        <f>IFERROR(__xludf.DUMMYFUNCTION("""COMPUTED_VALUE"""),2017.0)</f>
        <v>2017</v>
      </c>
      <c r="M4718" s="308" t="s">
        <v>19055</v>
      </c>
      <c r="N4718" s="308"/>
      <c r="O4718" s="308"/>
      <c r="P4718" s="308" t="s">
        <v>17869</v>
      </c>
      <c r="Q4718" s="308" t="s">
        <v>37854</v>
      </c>
      <c r="R4718" s="308" t="s">
        <v>14256</v>
      </c>
      <c r="S4718" s="308" t="s">
        <v>49</v>
      </c>
      <c r="T4718" s="308" t="s">
        <v>67</v>
      </c>
      <c r="U4718" s="308" t="s">
        <v>166</v>
      </c>
      <c r="V4718" s="312"/>
    </row>
    <row r="4719">
      <c r="A4719" s="308">
        <v>4718.0</v>
      </c>
      <c r="B4719" s="308"/>
      <c r="C4719" s="308" t="s">
        <v>19056</v>
      </c>
      <c r="D4719" s="308">
        <f>IFERROR(__xludf.DUMMYFUNCTION("SPLIT(C4719,""-"")"),4739.0)</f>
        <v>4739</v>
      </c>
      <c r="E4719" s="308" t="str">
        <f>IFERROR(__xludf.DUMMYFUNCTION("""COMPUTED_VALUE"""),"K")</f>
        <v>K</v>
      </c>
      <c r="F4719" s="309" t="s">
        <v>34</v>
      </c>
      <c r="G4719" s="308"/>
      <c r="H4719" s="308" t="s">
        <v>19057</v>
      </c>
      <c r="I4719" s="310">
        <v>41910.0</v>
      </c>
      <c r="J4719" s="319">
        <f>IFERROR(__xludf.DUMMYFUNCTION("SPLIT(I4719,""/"")"),28.0)</f>
        <v>28</v>
      </c>
      <c r="K4719" s="308">
        <f>IFERROR(__xludf.DUMMYFUNCTION("""COMPUTED_VALUE"""),9.0)</f>
        <v>9</v>
      </c>
      <c r="L4719" s="308">
        <f>IFERROR(__xludf.DUMMYFUNCTION("""COMPUTED_VALUE"""),2014.0)</f>
        <v>2014</v>
      </c>
      <c r="M4719" s="308" t="s">
        <v>19058</v>
      </c>
      <c r="N4719" s="308"/>
      <c r="O4719" s="308" t="s">
        <v>19059</v>
      </c>
      <c r="P4719" s="308" t="s">
        <v>19060</v>
      </c>
      <c r="Q4719" s="308" t="s">
        <v>37873</v>
      </c>
      <c r="R4719" s="308" t="s">
        <v>2743</v>
      </c>
      <c r="S4719" s="308" t="s">
        <v>81</v>
      </c>
      <c r="T4719" s="308" t="s">
        <v>34264</v>
      </c>
      <c r="U4719" s="308" t="s">
        <v>530</v>
      </c>
      <c r="V4719" s="312"/>
    </row>
    <row r="4720">
      <c r="A4720" s="308">
        <v>4719.0</v>
      </c>
      <c r="B4720" s="308"/>
      <c r="C4720" s="308" t="s">
        <v>19061</v>
      </c>
      <c r="D4720" s="308">
        <f>IFERROR(__xludf.DUMMYFUNCTION("SPLIT(C4720,""-"")"),4740.0)</f>
        <v>4740</v>
      </c>
      <c r="E4720" s="308" t="str">
        <f>IFERROR(__xludf.DUMMYFUNCTION("""COMPUTED_VALUE"""),"K")</f>
        <v>K</v>
      </c>
      <c r="F4720" s="309" t="s">
        <v>34</v>
      </c>
      <c r="G4720" s="308"/>
      <c r="H4720" s="308" t="s">
        <v>19062</v>
      </c>
      <c r="I4720" s="310">
        <v>43114.0</v>
      </c>
      <c r="J4720" s="319">
        <f>IFERROR(__xludf.DUMMYFUNCTION("SPLIT(I4720,""/"")"),14.0)</f>
        <v>14</v>
      </c>
      <c r="K4720" s="308">
        <f>IFERROR(__xludf.DUMMYFUNCTION("""COMPUTED_VALUE"""),1.0)</f>
        <v>1</v>
      </c>
      <c r="L4720" s="308">
        <f>IFERROR(__xludf.DUMMYFUNCTION("""COMPUTED_VALUE"""),2018.0)</f>
        <v>2018</v>
      </c>
      <c r="M4720" s="308" t="s">
        <v>19063</v>
      </c>
      <c r="N4720" s="308"/>
      <c r="O4720" s="308"/>
      <c r="P4720" s="308" t="s">
        <v>37874</v>
      </c>
      <c r="Q4720" s="308" t="s">
        <v>37873</v>
      </c>
      <c r="R4720" s="308" t="s">
        <v>2743</v>
      </c>
      <c r="S4720" s="308" t="s">
        <v>81</v>
      </c>
      <c r="T4720" s="311" t="s">
        <v>57</v>
      </c>
      <c r="U4720" s="308" t="s">
        <v>125</v>
      </c>
      <c r="V4720" s="312"/>
    </row>
    <row r="4721">
      <c r="A4721" s="308">
        <v>4720.0</v>
      </c>
      <c r="B4721" s="308"/>
      <c r="C4721" s="308" t="s">
        <v>19065</v>
      </c>
      <c r="D4721" s="308">
        <f>IFERROR(__xludf.DUMMYFUNCTION("SPLIT(C4721,""-"")"),4741.0)</f>
        <v>4741</v>
      </c>
      <c r="E4721" s="308" t="str">
        <f>IFERROR(__xludf.DUMMYFUNCTION("""COMPUTED_VALUE"""),"F")</f>
        <v>F</v>
      </c>
      <c r="F4721" s="309" t="s">
        <v>34</v>
      </c>
      <c r="G4721" s="308"/>
      <c r="H4721" s="308" t="s">
        <v>19066</v>
      </c>
      <c r="I4721" s="314">
        <v>42692.0</v>
      </c>
      <c r="J4721" s="319">
        <f>IFERROR(__xludf.DUMMYFUNCTION("SPLIT(I4721,""/"")"),18.0)</f>
        <v>18</v>
      </c>
      <c r="K4721" s="308">
        <f>IFERROR(__xludf.DUMMYFUNCTION("""COMPUTED_VALUE"""),11.0)</f>
        <v>11</v>
      </c>
      <c r="L4721" s="308">
        <f>IFERROR(__xludf.DUMMYFUNCTION("""COMPUTED_VALUE"""),2016.0)</f>
        <v>2016</v>
      </c>
      <c r="M4721" s="308" t="s">
        <v>37875</v>
      </c>
      <c r="N4721" s="308"/>
      <c r="O4721" s="308"/>
      <c r="P4721" s="308" t="s">
        <v>37876</v>
      </c>
      <c r="Q4721" s="308" t="s">
        <v>37873</v>
      </c>
      <c r="R4721" s="308" t="s">
        <v>2743</v>
      </c>
      <c r="S4721" s="308" t="s">
        <v>81</v>
      </c>
      <c r="T4721" s="311" t="s">
        <v>34264</v>
      </c>
      <c r="U4721" s="308" t="s">
        <v>195</v>
      </c>
      <c r="V4721" s="312"/>
    </row>
    <row r="4722">
      <c r="A4722" s="308">
        <v>4721.0</v>
      </c>
      <c r="B4722" s="308"/>
      <c r="C4722" s="308" t="s">
        <v>19069</v>
      </c>
      <c r="D4722" s="308">
        <f>IFERROR(__xludf.DUMMYFUNCTION("SPLIT(C4722,""-"")"),4742.0)</f>
        <v>4742</v>
      </c>
      <c r="E4722" s="308" t="str">
        <f>IFERROR(__xludf.DUMMYFUNCTION("""COMPUTED_VALUE"""),"K")</f>
        <v>K</v>
      </c>
      <c r="F4722" s="309" t="s">
        <v>34</v>
      </c>
      <c r="G4722" s="308"/>
      <c r="H4722" s="308" t="s">
        <v>19070</v>
      </c>
      <c r="I4722" s="310">
        <v>43075.0</v>
      </c>
      <c r="J4722" s="319" t="str">
        <f>IFERROR(__xludf.DUMMYFUNCTION("SPLIT(I4722,""/"")"),"#REF!")</f>
        <v>#REF!</v>
      </c>
      <c r="K4722" s="308"/>
      <c r="L4722" s="308">
        <v>2017.0</v>
      </c>
      <c r="M4722" s="308" t="s">
        <v>19071</v>
      </c>
      <c r="N4722" s="308"/>
      <c r="O4722" s="308"/>
      <c r="P4722" s="308" t="s">
        <v>37877</v>
      </c>
      <c r="Q4722" s="308" t="s">
        <v>37873</v>
      </c>
      <c r="R4722" s="308" t="s">
        <v>2743</v>
      </c>
      <c r="S4722" s="308" t="s">
        <v>81</v>
      </c>
      <c r="T4722" s="308" t="s">
        <v>34264</v>
      </c>
      <c r="U4722" s="308" t="s">
        <v>125</v>
      </c>
      <c r="V4722" s="312"/>
    </row>
    <row r="4723">
      <c r="A4723" s="308">
        <v>4722.0</v>
      </c>
      <c r="B4723" s="308"/>
      <c r="C4723" s="308" t="s">
        <v>19073</v>
      </c>
      <c r="D4723" s="308">
        <f>IFERROR(__xludf.DUMMYFUNCTION("SPLIT(C4723,""-"")"),4743.0)</f>
        <v>4743</v>
      </c>
      <c r="E4723" s="308" t="str">
        <f>IFERROR(__xludf.DUMMYFUNCTION("""COMPUTED_VALUE"""),"P")</f>
        <v>P</v>
      </c>
      <c r="F4723" s="312" t="s">
        <v>37</v>
      </c>
      <c r="G4723" s="308"/>
      <c r="H4723" s="308" t="s">
        <v>19074</v>
      </c>
      <c r="I4723" s="310">
        <v>42949.0</v>
      </c>
      <c r="J4723" s="319">
        <f>IFERROR(__xludf.DUMMYFUNCTION("SPLIT(I4723,""/"")"),2.0)</f>
        <v>2</v>
      </c>
      <c r="K4723" s="308">
        <f>IFERROR(__xludf.DUMMYFUNCTION("""COMPUTED_VALUE"""),8.0)</f>
        <v>8</v>
      </c>
      <c r="L4723" s="308">
        <f>IFERROR(__xludf.DUMMYFUNCTION("""COMPUTED_VALUE"""),2017.0)</f>
        <v>2017</v>
      </c>
      <c r="M4723" s="308" t="s">
        <v>19075</v>
      </c>
      <c r="N4723" s="308"/>
      <c r="O4723" s="308" t="s">
        <v>19076</v>
      </c>
      <c r="P4723" s="308" t="s">
        <v>19077</v>
      </c>
      <c r="Q4723" s="308" t="s">
        <v>37873</v>
      </c>
      <c r="R4723" s="308" t="s">
        <v>2743</v>
      </c>
      <c r="S4723" s="308" t="s">
        <v>81</v>
      </c>
      <c r="T4723" s="311" t="s">
        <v>63</v>
      </c>
      <c r="U4723" s="308" t="s">
        <v>149</v>
      </c>
      <c r="V4723" s="312"/>
    </row>
    <row r="4724">
      <c r="A4724" s="308">
        <v>4723.0</v>
      </c>
      <c r="B4724" s="308"/>
      <c r="C4724" s="308" t="s">
        <v>19078</v>
      </c>
      <c r="D4724" s="308">
        <f>IFERROR(__xludf.DUMMYFUNCTION("SPLIT(C4724,""-"")"),4744.0)</f>
        <v>4744</v>
      </c>
      <c r="E4724" s="308" t="str">
        <f>IFERROR(__xludf.DUMMYFUNCTION("""COMPUTED_VALUE"""),"P")</f>
        <v>P</v>
      </c>
      <c r="F4724" s="312" t="s">
        <v>37</v>
      </c>
      <c r="G4724" s="308"/>
      <c r="H4724" s="308" t="s">
        <v>19079</v>
      </c>
      <c r="I4724" s="310">
        <v>42923.0</v>
      </c>
      <c r="J4724" s="319">
        <f>IFERROR(__xludf.DUMMYFUNCTION("SPLIT(I4724,""/"")"),7.0)</f>
        <v>7</v>
      </c>
      <c r="K4724" s="308">
        <f>IFERROR(__xludf.DUMMYFUNCTION("""COMPUTED_VALUE"""),7.0)</f>
        <v>7</v>
      </c>
      <c r="L4724" s="308">
        <f>IFERROR(__xludf.DUMMYFUNCTION("""COMPUTED_VALUE"""),2017.0)</f>
        <v>2017</v>
      </c>
      <c r="M4724" s="308" t="s">
        <v>19080</v>
      </c>
      <c r="N4724" s="308"/>
      <c r="O4724" s="308"/>
      <c r="P4724" s="308" t="s">
        <v>37878</v>
      </c>
      <c r="Q4724" s="308" t="s">
        <v>37873</v>
      </c>
      <c r="R4724" s="308" t="s">
        <v>2743</v>
      </c>
      <c r="S4724" s="315" t="s">
        <v>100</v>
      </c>
      <c r="T4724" s="311" t="s">
        <v>34208</v>
      </c>
      <c r="U4724" s="308" t="s">
        <v>149</v>
      </c>
      <c r="V4724" s="312"/>
    </row>
    <row r="4725">
      <c r="A4725" s="308">
        <v>4724.0</v>
      </c>
      <c r="B4725" s="308"/>
      <c r="C4725" s="308" t="s">
        <v>19081</v>
      </c>
      <c r="D4725" s="308">
        <f>IFERROR(__xludf.DUMMYFUNCTION("SPLIT(C4725,""-"")"),4745.0)</f>
        <v>4745</v>
      </c>
      <c r="E4725" s="308" t="str">
        <f>IFERROR(__xludf.DUMMYFUNCTION("""COMPUTED_VALUE"""),"K")</f>
        <v>K</v>
      </c>
      <c r="F4725" s="309" t="s">
        <v>34</v>
      </c>
      <c r="G4725" s="308"/>
      <c r="H4725" s="308" t="s">
        <v>19082</v>
      </c>
      <c r="I4725" s="310">
        <v>42453.0</v>
      </c>
      <c r="J4725" s="319">
        <f>IFERROR(__xludf.DUMMYFUNCTION("SPLIT(I4725,""/"")"),24.0)</f>
        <v>24</v>
      </c>
      <c r="K4725" s="308">
        <f>IFERROR(__xludf.DUMMYFUNCTION("""COMPUTED_VALUE"""),3.0)</f>
        <v>3</v>
      </c>
      <c r="L4725" s="308">
        <f>IFERROR(__xludf.DUMMYFUNCTION("""COMPUTED_VALUE"""),2016.0)</f>
        <v>2016</v>
      </c>
      <c r="M4725" s="308" t="s">
        <v>19083</v>
      </c>
      <c r="N4725" s="308"/>
      <c r="O4725" s="308"/>
      <c r="P4725" s="308" t="s">
        <v>37879</v>
      </c>
      <c r="Q4725" s="308" t="s">
        <v>37873</v>
      </c>
      <c r="R4725" s="308" t="s">
        <v>2743</v>
      </c>
      <c r="S4725" s="315" t="s">
        <v>100</v>
      </c>
      <c r="T4725" s="311" t="s">
        <v>34208</v>
      </c>
      <c r="U4725" s="308" t="s">
        <v>368</v>
      </c>
      <c r="V4725" s="312"/>
    </row>
    <row r="4726">
      <c r="A4726" s="308">
        <v>4725.0</v>
      </c>
      <c r="B4726" s="308"/>
      <c r="C4726" s="308" t="s">
        <v>19084</v>
      </c>
      <c r="D4726" s="308">
        <f>IFERROR(__xludf.DUMMYFUNCTION("SPLIT(C4726,""-"")"),4746.0)</f>
        <v>4746</v>
      </c>
      <c r="E4726" s="308" t="str">
        <f>IFERROR(__xludf.DUMMYFUNCTION("""COMPUTED_VALUE"""),"K")</f>
        <v>K</v>
      </c>
      <c r="F4726" s="309" t="s">
        <v>34</v>
      </c>
      <c r="G4726" s="308"/>
      <c r="H4726" s="308" t="s">
        <v>19085</v>
      </c>
      <c r="I4726" s="310">
        <v>42453.0</v>
      </c>
      <c r="J4726" s="319">
        <f>IFERROR(__xludf.DUMMYFUNCTION("SPLIT(I4726,""/"")"),24.0)</f>
        <v>24</v>
      </c>
      <c r="K4726" s="308">
        <f>IFERROR(__xludf.DUMMYFUNCTION("""COMPUTED_VALUE"""),3.0)</f>
        <v>3</v>
      </c>
      <c r="L4726" s="308">
        <f>IFERROR(__xludf.DUMMYFUNCTION("""COMPUTED_VALUE"""),2016.0)</f>
        <v>2016</v>
      </c>
      <c r="M4726" s="308" t="s">
        <v>19083</v>
      </c>
      <c r="N4726" s="308"/>
      <c r="O4726" s="308"/>
      <c r="P4726" s="308" t="s">
        <v>37879</v>
      </c>
      <c r="Q4726" s="308" t="s">
        <v>37873</v>
      </c>
      <c r="R4726" s="308" t="s">
        <v>2743</v>
      </c>
      <c r="S4726" s="315" t="s">
        <v>100</v>
      </c>
      <c r="T4726" s="311" t="s">
        <v>34208</v>
      </c>
      <c r="U4726" s="308" t="s">
        <v>368</v>
      </c>
      <c r="V4726" s="312"/>
    </row>
    <row r="4727">
      <c r="A4727" s="308">
        <v>4726.0</v>
      </c>
      <c r="B4727" s="308"/>
      <c r="C4727" s="308" t="s">
        <v>19086</v>
      </c>
      <c r="D4727" s="308">
        <f>IFERROR(__xludf.DUMMYFUNCTION("SPLIT(C4727,""-"")"),4747.0)</f>
        <v>4747</v>
      </c>
      <c r="E4727" s="308" t="str">
        <f>IFERROR(__xludf.DUMMYFUNCTION("""COMPUTED_VALUE"""),"P")</f>
        <v>P</v>
      </c>
      <c r="F4727" s="312" t="s">
        <v>37</v>
      </c>
      <c r="G4727" s="308"/>
      <c r="H4727" s="308" t="s">
        <v>19087</v>
      </c>
      <c r="I4727" s="310">
        <v>43070.0</v>
      </c>
      <c r="J4727" s="319">
        <f>IFERROR(__xludf.DUMMYFUNCTION("SPLIT(I4727,""/"")"),1.0)</f>
        <v>1</v>
      </c>
      <c r="K4727" s="308">
        <f>IFERROR(__xludf.DUMMYFUNCTION("""COMPUTED_VALUE"""),12.0)</f>
        <v>12</v>
      </c>
      <c r="L4727" s="308">
        <f>IFERROR(__xludf.DUMMYFUNCTION("""COMPUTED_VALUE"""),2017.0)</f>
        <v>2017</v>
      </c>
      <c r="M4727" s="308" t="s">
        <v>19088</v>
      </c>
      <c r="N4727" s="308"/>
      <c r="O4727" s="308"/>
      <c r="P4727" s="308" t="s">
        <v>37880</v>
      </c>
      <c r="Q4727" s="308" t="s">
        <v>37873</v>
      </c>
      <c r="R4727" s="308" t="s">
        <v>2743</v>
      </c>
      <c r="S4727" s="308" t="s">
        <v>81</v>
      </c>
      <c r="T4727" s="308" t="s">
        <v>75</v>
      </c>
      <c r="U4727" s="308" t="s">
        <v>149</v>
      </c>
      <c r="V4727" s="312"/>
    </row>
    <row r="4728">
      <c r="A4728" s="308">
        <v>4727.0</v>
      </c>
      <c r="B4728" s="308"/>
      <c r="C4728" s="308" t="s">
        <v>19090</v>
      </c>
      <c r="D4728" s="308">
        <f>IFERROR(__xludf.DUMMYFUNCTION("SPLIT(C4728,""-"")"),4748.0)</f>
        <v>4748</v>
      </c>
      <c r="E4728" s="308" t="str">
        <f>IFERROR(__xludf.DUMMYFUNCTION("""COMPUTED_VALUE"""),"K")</f>
        <v>K</v>
      </c>
      <c r="F4728" s="309" t="s">
        <v>34</v>
      </c>
      <c r="G4728" s="308"/>
      <c r="H4728" s="308" t="s">
        <v>19091</v>
      </c>
      <c r="I4728" s="310">
        <v>42070.0</v>
      </c>
      <c r="J4728" s="319">
        <f>IFERROR(__xludf.DUMMYFUNCTION("SPLIT(I4728,""/"")"),7.0)</f>
        <v>7</v>
      </c>
      <c r="K4728" s="308">
        <f>IFERROR(__xludf.DUMMYFUNCTION("""COMPUTED_VALUE"""),3.0)</f>
        <v>3</v>
      </c>
      <c r="L4728" s="308">
        <f>IFERROR(__xludf.DUMMYFUNCTION("""COMPUTED_VALUE"""),2015.0)</f>
        <v>2015</v>
      </c>
      <c r="M4728" s="308" t="s">
        <v>19092</v>
      </c>
      <c r="N4728" s="308"/>
      <c r="O4728" s="308" t="s">
        <v>19093</v>
      </c>
      <c r="P4728" s="308" t="s">
        <v>19094</v>
      </c>
      <c r="Q4728" s="308" t="s">
        <v>37881</v>
      </c>
      <c r="R4728" s="308" t="s">
        <v>2743</v>
      </c>
      <c r="S4728" s="308" t="s">
        <v>81</v>
      </c>
      <c r="T4728" s="308" t="s">
        <v>34264</v>
      </c>
      <c r="U4728" s="308" t="s">
        <v>7530</v>
      </c>
      <c r="V4728" s="312"/>
    </row>
    <row r="4729">
      <c r="A4729" s="308">
        <v>4728.0</v>
      </c>
      <c r="B4729" s="308"/>
      <c r="C4729" s="308" t="s">
        <v>19095</v>
      </c>
      <c r="D4729" s="308">
        <f>IFERROR(__xludf.DUMMYFUNCTION("SPLIT(C4729,""-"")"),4749.0)</f>
        <v>4749</v>
      </c>
      <c r="E4729" s="308" t="str">
        <f>IFERROR(__xludf.DUMMYFUNCTION("""COMPUTED_VALUE"""),"K")</f>
        <v>K</v>
      </c>
      <c r="F4729" s="309" t="s">
        <v>34</v>
      </c>
      <c r="G4729" s="308"/>
      <c r="H4729" s="308" t="s">
        <v>19096</v>
      </c>
      <c r="I4729" s="310">
        <v>42070.0</v>
      </c>
      <c r="J4729" s="319">
        <f>IFERROR(__xludf.DUMMYFUNCTION("SPLIT(I4729,""/"")"),7.0)</f>
        <v>7</v>
      </c>
      <c r="K4729" s="308">
        <f>IFERROR(__xludf.DUMMYFUNCTION("""COMPUTED_VALUE"""),3.0)</f>
        <v>3</v>
      </c>
      <c r="L4729" s="308">
        <f>IFERROR(__xludf.DUMMYFUNCTION("""COMPUTED_VALUE"""),2015.0)</f>
        <v>2015</v>
      </c>
      <c r="M4729" s="308" t="s">
        <v>19092</v>
      </c>
      <c r="N4729" s="308"/>
      <c r="O4729" s="308"/>
      <c r="P4729" s="308" t="s">
        <v>19094</v>
      </c>
      <c r="Q4729" s="308" t="s">
        <v>37881</v>
      </c>
      <c r="R4729" s="308" t="s">
        <v>2743</v>
      </c>
      <c r="S4729" s="308" t="s">
        <v>81</v>
      </c>
      <c r="T4729" s="308" t="s">
        <v>34264</v>
      </c>
      <c r="U4729" s="308" t="s">
        <v>7530</v>
      </c>
      <c r="V4729" s="312"/>
    </row>
    <row r="4730">
      <c r="A4730" s="308">
        <v>4729.0</v>
      </c>
      <c r="B4730" s="308"/>
      <c r="C4730" s="308" t="s">
        <v>19097</v>
      </c>
      <c r="D4730" s="308">
        <f>IFERROR(__xludf.DUMMYFUNCTION("SPLIT(C4730,""-"")"),4750.0)</f>
        <v>4750</v>
      </c>
      <c r="E4730" s="308" t="str">
        <f>IFERROR(__xludf.DUMMYFUNCTION("""COMPUTED_VALUE"""),"K")</f>
        <v>K</v>
      </c>
      <c r="F4730" s="309" t="s">
        <v>34</v>
      </c>
      <c r="G4730" s="308"/>
      <c r="H4730" s="308" t="s">
        <v>19098</v>
      </c>
      <c r="I4730" s="314">
        <v>43029.0</v>
      </c>
      <c r="J4730" s="319" t="str">
        <f>IFERROR(__xludf.DUMMYFUNCTION("SPLIT(I4730,""/"")"),"#REF!")</f>
        <v>#REF!</v>
      </c>
      <c r="K4730" s="308"/>
      <c r="L4730" s="308">
        <v>2017.0</v>
      </c>
      <c r="M4730" s="308" t="s">
        <v>19099</v>
      </c>
      <c r="N4730" s="308"/>
      <c r="O4730" s="308"/>
      <c r="P4730" s="308" t="s">
        <v>37882</v>
      </c>
      <c r="Q4730" s="308" t="s">
        <v>37883</v>
      </c>
      <c r="R4730" s="308" t="s">
        <v>2743</v>
      </c>
      <c r="S4730" s="308" t="s">
        <v>81</v>
      </c>
      <c r="T4730" s="311" t="s">
        <v>75</v>
      </c>
      <c r="U4730" s="308" t="s">
        <v>201</v>
      </c>
      <c r="V4730" s="312"/>
    </row>
    <row r="4731">
      <c r="A4731" s="308">
        <v>4730.0</v>
      </c>
      <c r="B4731" s="308"/>
      <c r="C4731" s="308" t="s">
        <v>19101</v>
      </c>
      <c r="D4731" s="308">
        <f>IFERROR(__xludf.DUMMYFUNCTION("SPLIT(C4731,""-"")"),4751.0)</f>
        <v>4751</v>
      </c>
      <c r="E4731" s="308" t="str">
        <f>IFERROR(__xludf.DUMMYFUNCTION("""COMPUTED_VALUE"""),"S")</f>
        <v>S</v>
      </c>
      <c r="F4731" s="312" t="s">
        <v>39</v>
      </c>
      <c r="G4731" s="308"/>
      <c r="H4731" s="308" t="s">
        <v>19102</v>
      </c>
      <c r="I4731" s="310">
        <v>43113.0</v>
      </c>
      <c r="J4731" s="319">
        <f>IFERROR(__xludf.DUMMYFUNCTION("SPLIT(I4731,""/"")"),13.0)</f>
        <v>13</v>
      </c>
      <c r="K4731" s="308">
        <f>IFERROR(__xludf.DUMMYFUNCTION("""COMPUTED_VALUE"""),1.0)</f>
        <v>1</v>
      </c>
      <c r="L4731" s="308">
        <f>IFERROR(__xludf.DUMMYFUNCTION("""COMPUTED_VALUE"""),2018.0)</f>
        <v>2018</v>
      </c>
      <c r="M4731" s="308" t="s">
        <v>19103</v>
      </c>
      <c r="N4731" s="308"/>
      <c r="O4731" s="308"/>
      <c r="P4731" s="308" t="s">
        <v>37884</v>
      </c>
      <c r="Q4731" s="308" t="s">
        <v>37883</v>
      </c>
      <c r="R4731" s="308" t="s">
        <v>14256</v>
      </c>
      <c r="S4731" s="308" t="s">
        <v>49</v>
      </c>
      <c r="T4731" s="311" t="s">
        <v>67</v>
      </c>
      <c r="U4731" s="308" t="s">
        <v>166</v>
      </c>
      <c r="V4731" s="312"/>
    </row>
    <row r="4732">
      <c r="A4732" s="308">
        <v>4731.0</v>
      </c>
      <c r="B4732" s="308"/>
      <c r="C4732" s="308" t="s">
        <v>19105</v>
      </c>
      <c r="D4732" s="308">
        <f>IFERROR(__xludf.DUMMYFUNCTION("SPLIT(C4732,""-"")"),4752.0)</f>
        <v>4752</v>
      </c>
      <c r="E4732" s="308" t="str">
        <f>IFERROR(__xludf.DUMMYFUNCTION("""COMPUTED_VALUE"""),"S")</f>
        <v>S</v>
      </c>
      <c r="F4732" s="312" t="s">
        <v>39</v>
      </c>
      <c r="G4732" s="308"/>
      <c r="H4732" s="308" t="s">
        <v>19106</v>
      </c>
      <c r="I4732" s="310">
        <v>43114.0</v>
      </c>
      <c r="J4732" s="319">
        <f>IFERROR(__xludf.DUMMYFUNCTION("SPLIT(I4732,""/"")"),14.0)</f>
        <v>14</v>
      </c>
      <c r="K4732" s="308">
        <f>IFERROR(__xludf.DUMMYFUNCTION("""COMPUTED_VALUE"""),1.0)</f>
        <v>1</v>
      </c>
      <c r="L4732" s="308">
        <f>IFERROR(__xludf.DUMMYFUNCTION("""COMPUTED_VALUE"""),2018.0)</f>
        <v>2018</v>
      </c>
      <c r="M4732" s="308" t="s">
        <v>37885</v>
      </c>
      <c r="N4732" s="308"/>
      <c r="O4732" s="308"/>
      <c r="P4732" s="308" t="s">
        <v>18938</v>
      </c>
      <c r="Q4732" s="308" t="s">
        <v>37883</v>
      </c>
      <c r="R4732" s="308" t="s">
        <v>14256</v>
      </c>
      <c r="S4732" s="308" t="s">
        <v>49</v>
      </c>
      <c r="T4732" s="311" t="s">
        <v>69</v>
      </c>
      <c r="U4732" s="308" t="s">
        <v>166</v>
      </c>
      <c r="V4732" s="312"/>
    </row>
    <row r="4733">
      <c r="A4733" s="308">
        <v>4732.0</v>
      </c>
      <c r="B4733" s="308"/>
      <c r="C4733" s="308" t="s">
        <v>19108</v>
      </c>
      <c r="D4733" s="308">
        <f>IFERROR(__xludf.DUMMYFUNCTION("SPLIT(C4733,""-"")"),4753.0)</f>
        <v>4753</v>
      </c>
      <c r="E4733" s="308" t="str">
        <f>IFERROR(__xludf.DUMMYFUNCTION("""COMPUTED_VALUE"""),"P")</f>
        <v>P</v>
      </c>
      <c r="F4733" s="312" t="s">
        <v>37</v>
      </c>
      <c r="G4733" s="308"/>
      <c r="H4733" s="308" t="s">
        <v>19109</v>
      </c>
      <c r="I4733" s="310">
        <v>42989.0</v>
      </c>
      <c r="J4733" s="319">
        <f>IFERROR(__xludf.DUMMYFUNCTION("SPLIT(I4733,""/"")"),11.0)</f>
        <v>11</v>
      </c>
      <c r="K4733" s="308">
        <f>IFERROR(__xludf.DUMMYFUNCTION("""COMPUTED_VALUE"""),9.0)</f>
        <v>9</v>
      </c>
      <c r="L4733" s="308">
        <f>IFERROR(__xludf.DUMMYFUNCTION("""COMPUTED_VALUE"""),2017.0)</f>
        <v>2017</v>
      </c>
      <c r="M4733" s="308" t="s">
        <v>19110</v>
      </c>
      <c r="N4733" s="308"/>
      <c r="O4733" s="308" t="s">
        <v>19111</v>
      </c>
      <c r="P4733" s="308" t="s">
        <v>19112</v>
      </c>
      <c r="Q4733" s="308" t="s">
        <v>37883</v>
      </c>
      <c r="R4733" s="308" t="s">
        <v>2743</v>
      </c>
      <c r="S4733" s="308" t="s">
        <v>49</v>
      </c>
      <c r="T4733" s="311" t="s">
        <v>51</v>
      </c>
      <c r="U4733" s="308" t="s">
        <v>1910</v>
      </c>
      <c r="V4733" s="312"/>
    </row>
    <row r="4734">
      <c r="A4734" s="308">
        <v>4733.0</v>
      </c>
      <c r="B4734" s="308"/>
      <c r="C4734" s="308" t="s">
        <v>19113</v>
      </c>
      <c r="D4734" s="308">
        <f>IFERROR(__xludf.DUMMYFUNCTION("SPLIT(C4734,""-"")"),4754.0)</f>
        <v>4754</v>
      </c>
      <c r="E4734" s="308" t="str">
        <f>IFERROR(__xludf.DUMMYFUNCTION("""COMPUTED_VALUE"""),"P")</f>
        <v>P</v>
      </c>
      <c r="F4734" s="312" t="s">
        <v>37</v>
      </c>
      <c r="G4734" s="308"/>
      <c r="H4734" s="308" t="s">
        <v>19114</v>
      </c>
      <c r="I4734" s="310">
        <v>43114.0</v>
      </c>
      <c r="J4734" s="319">
        <f>IFERROR(__xludf.DUMMYFUNCTION("SPLIT(I4734,""/"")"),14.0)</f>
        <v>14</v>
      </c>
      <c r="K4734" s="308">
        <f>IFERROR(__xludf.DUMMYFUNCTION("""COMPUTED_VALUE"""),1.0)</f>
        <v>1</v>
      </c>
      <c r="L4734" s="308">
        <f>IFERROR(__xludf.DUMMYFUNCTION("""COMPUTED_VALUE"""),2018.0)</f>
        <v>2018</v>
      </c>
      <c r="M4734" s="308" t="s">
        <v>19115</v>
      </c>
      <c r="N4734" s="308"/>
      <c r="O4734" s="308" t="s">
        <v>19116</v>
      </c>
      <c r="P4734" s="308" t="s">
        <v>19117</v>
      </c>
      <c r="Q4734" s="308" t="s">
        <v>37886</v>
      </c>
      <c r="R4734" s="308" t="s">
        <v>2743</v>
      </c>
      <c r="S4734" s="308" t="s">
        <v>81</v>
      </c>
      <c r="T4734" s="308" t="s">
        <v>75</v>
      </c>
      <c r="U4734" s="308" t="s">
        <v>2291</v>
      </c>
      <c r="V4734" s="312"/>
    </row>
    <row r="4735">
      <c r="A4735" s="308">
        <v>4734.0</v>
      </c>
      <c r="B4735" s="308"/>
      <c r="C4735" s="308" t="s">
        <v>19118</v>
      </c>
      <c r="D4735" s="308">
        <f>IFERROR(__xludf.DUMMYFUNCTION("SPLIT(C4735,""-"")"),4755.0)</f>
        <v>4755</v>
      </c>
      <c r="E4735" s="308" t="str">
        <f>IFERROR(__xludf.DUMMYFUNCTION("""COMPUTED_VALUE"""),"K")</f>
        <v>K</v>
      </c>
      <c r="F4735" s="309" t="s">
        <v>34</v>
      </c>
      <c r="G4735" s="308"/>
      <c r="H4735" s="308" t="s">
        <v>19119</v>
      </c>
      <c r="I4735" s="310">
        <v>41361.0</v>
      </c>
      <c r="J4735" s="319">
        <f>IFERROR(__xludf.DUMMYFUNCTION("SPLIT(I4735,""/"")"),28.0)</f>
        <v>28</v>
      </c>
      <c r="K4735" s="308">
        <f>IFERROR(__xludf.DUMMYFUNCTION("""COMPUTED_VALUE"""),3.0)</f>
        <v>3</v>
      </c>
      <c r="L4735" s="308">
        <f>IFERROR(__xludf.DUMMYFUNCTION("""COMPUTED_VALUE"""),2013.0)</f>
        <v>2013</v>
      </c>
      <c r="M4735" s="308" t="s">
        <v>19120</v>
      </c>
      <c r="N4735" s="308"/>
      <c r="O4735" s="308"/>
      <c r="P4735" s="308" t="s">
        <v>37887</v>
      </c>
      <c r="Q4735" s="308" t="s">
        <v>37886</v>
      </c>
      <c r="R4735" s="308" t="s">
        <v>2743</v>
      </c>
      <c r="S4735" s="308" t="s">
        <v>49</v>
      </c>
      <c r="T4735" s="311" t="s">
        <v>51</v>
      </c>
      <c r="U4735" s="308" t="s">
        <v>125</v>
      </c>
      <c r="V4735" s="312"/>
    </row>
    <row r="4736">
      <c r="A4736" s="308">
        <v>4735.0</v>
      </c>
      <c r="B4736" s="308"/>
      <c r="C4736" s="308" t="s">
        <v>19122</v>
      </c>
      <c r="D4736" s="308">
        <f>IFERROR(__xludf.DUMMYFUNCTION("SPLIT(C4736,""-"")"),4756.0)</f>
        <v>4756</v>
      </c>
      <c r="E4736" s="308" t="str">
        <f>IFERROR(__xludf.DUMMYFUNCTION("""COMPUTED_VALUE"""),"K")</f>
        <v>K</v>
      </c>
      <c r="F4736" s="309" t="s">
        <v>34</v>
      </c>
      <c r="G4736" s="308"/>
      <c r="H4736" s="308" t="s">
        <v>19123</v>
      </c>
      <c r="I4736" s="310">
        <v>39816.0</v>
      </c>
      <c r="J4736" s="319">
        <f>IFERROR(__xludf.DUMMYFUNCTION("SPLIT(I4736,""/"")"),3.0)</f>
        <v>3</v>
      </c>
      <c r="K4736" s="308">
        <f>IFERROR(__xludf.DUMMYFUNCTION("""COMPUTED_VALUE"""),1.0)</f>
        <v>1</v>
      </c>
      <c r="L4736" s="308">
        <f>IFERROR(__xludf.DUMMYFUNCTION("""COMPUTED_VALUE"""),2009.0)</f>
        <v>2009</v>
      </c>
      <c r="M4736" s="308" t="s">
        <v>19124</v>
      </c>
      <c r="N4736" s="308"/>
      <c r="O4736" s="308"/>
      <c r="P4736" s="308" t="s">
        <v>37879</v>
      </c>
      <c r="Q4736" s="308" t="s">
        <v>37888</v>
      </c>
      <c r="R4736" s="308" t="s">
        <v>2743</v>
      </c>
      <c r="S4736" s="315" t="s">
        <v>100</v>
      </c>
      <c r="T4736" s="311" t="s">
        <v>34208</v>
      </c>
      <c r="U4736" s="308" t="s">
        <v>530</v>
      </c>
      <c r="V4736" s="312"/>
    </row>
    <row r="4737">
      <c r="A4737" s="308">
        <v>4736.0</v>
      </c>
      <c r="B4737" s="308"/>
      <c r="C4737" s="308" t="s">
        <v>19125</v>
      </c>
      <c r="D4737" s="308">
        <f>IFERROR(__xludf.DUMMYFUNCTION("SPLIT(C4737,""-"")"),4757.0)</f>
        <v>4757</v>
      </c>
      <c r="E4737" s="308" t="str">
        <f>IFERROR(__xludf.DUMMYFUNCTION("""COMPUTED_VALUE"""),"F")</f>
        <v>F</v>
      </c>
      <c r="F4737" s="309" t="s">
        <v>34</v>
      </c>
      <c r="G4737" s="308"/>
      <c r="H4737" s="308" t="s">
        <v>19126</v>
      </c>
      <c r="I4737" s="310">
        <v>40852.0</v>
      </c>
      <c r="J4737" s="319">
        <f>IFERROR(__xludf.DUMMYFUNCTION("SPLIT(I4737,""/"")"),5.0)</f>
        <v>5</v>
      </c>
      <c r="K4737" s="308">
        <f>IFERROR(__xludf.DUMMYFUNCTION("""COMPUTED_VALUE"""),11.0)</f>
        <v>11</v>
      </c>
      <c r="L4737" s="308">
        <f>IFERROR(__xludf.DUMMYFUNCTION("""COMPUTED_VALUE"""),2011.0)</f>
        <v>2011</v>
      </c>
      <c r="M4737" s="308" t="s">
        <v>19127</v>
      </c>
      <c r="N4737" s="308"/>
      <c r="O4737" s="308"/>
      <c r="P4737" s="308" t="s">
        <v>19128</v>
      </c>
      <c r="Q4737" s="308" t="s">
        <v>37888</v>
      </c>
      <c r="R4737" s="308" t="s">
        <v>2743</v>
      </c>
      <c r="S4737" s="308" t="s">
        <v>81</v>
      </c>
      <c r="T4737" s="311" t="s">
        <v>34264</v>
      </c>
      <c r="U4737" s="308" t="s">
        <v>195</v>
      </c>
      <c r="V4737" s="312"/>
    </row>
    <row r="4738">
      <c r="A4738" s="308">
        <v>4737.0</v>
      </c>
      <c r="B4738" s="308"/>
      <c r="C4738" s="308" t="s">
        <v>19129</v>
      </c>
      <c r="D4738" s="308">
        <f>IFERROR(__xludf.DUMMYFUNCTION("SPLIT(C4738,""-"")"),4758.0)</f>
        <v>4758</v>
      </c>
      <c r="E4738" s="308" t="str">
        <f>IFERROR(__xludf.DUMMYFUNCTION("""COMPUTED_VALUE"""),"I")</f>
        <v>I</v>
      </c>
      <c r="F4738" s="309" t="s">
        <v>31</v>
      </c>
      <c r="G4738" s="308"/>
      <c r="H4738" s="308" t="s">
        <v>19130</v>
      </c>
      <c r="I4738" s="310">
        <v>43132.0</v>
      </c>
      <c r="J4738" s="319">
        <f>IFERROR(__xludf.DUMMYFUNCTION("SPLIT(I4738,""/"")"),1.0)</f>
        <v>1</v>
      </c>
      <c r="K4738" s="308">
        <f>IFERROR(__xludf.DUMMYFUNCTION("""COMPUTED_VALUE"""),2.0)</f>
        <v>2</v>
      </c>
      <c r="L4738" s="308">
        <f>IFERROR(__xludf.DUMMYFUNCTION("""COMPUTED_VALUE"""),2018.0)</f>
        <v>2018</v>
      </c>
      <c r="M4738" s="308" t="s">
        <v>37889</v>
      </c>
      <c r="N4738" s="308"/>
      <c r="O4738" s="308" t="s">
        <v>37890</v>
      </c>
      <c r="P4738" s="308" t="s">
        <v>37891</v>
      </c>
      <c r="Q4738" s="308" t="s">
        <v>37888</v>
      </c>
      <c r="R4738" s="308" t="s">
        <v>2743</v>
      </c>
      <c r="S4738" s="308" t="s">
        <v>81</v>
      </c>
      <c r="T4738" s="311" t="s">
        <v>75</v>
      </c>
      <c r="U4738" s="308" t="s">
        <v>31</v>
      </c>
      <c r="V4738" s="312"/>
    </row>
    <row r="4739">
      <c r="A4739" s="308">
        <v>4738.0</v>
      </c>
      <c r="B4739" s="308"/>
      <c r="C4739" s="308" t="s">
        <v>19134</v>
      </c>
      <c r="D4739" s="308">
        <f>IFERROR(__xludf.DUMMYFUNCTION("SPLIT(C4739,""-"")"),4759.0)</f>
        <v>4759</v>
      </c>
      <c r="E4739" s="308" t="str">
        <f>IFERROR(__xludf.DUMMYFUNCTION("""COMPUTED_VALUE"""),"P")</f>
        <v>P</v>
      </c>
      <c r="F4739" s="312" t="s">
        <v>37</v>
      </c>
      <c r="G4739" s="308"/>
      <c r="H4739" s="308" t="s">
        <v>19135</v>
      </c>
      <c r="I4739" s="310">
        <v>43149.0</v>
      </c>
      <c r="J4739" s="319">
        <f>IFERROR(__xludf.DUMMYFUNCTION("SPLIT(I4739,""/"")"),18.0)</f>
        <v>18</v>
      </c>
      <c r="K4739" s="308">
        <f>IFERROR(__xludf.DUMMYFUNCTION("""COMPUTED_VALUE"""),2.0)</f>
        <v>2</v>
      </c>
      <c r="L4739" s="308">
        <f>IFERROR(__xludf.DUMMYFUNCTION("""COMPUTED_VALUE"""),2018.0)</f>
        <v>2018</v>
      </c>
      <c r="M4739" s="308" t="s">
        <v>19136</v>
      </c>
      <c r="N4739" s="308"/>
      <c r="O4739" s="308"/>
      <c r="P4739" s="308" t="s">
        <v>19137</v>
      </c>
      <c r="Q4739" s="308" t="s">
        <v>37888</v>
      </c>
      <c r="R4739" s="308" t="s">
        <v>2743</v>
      </c>
      <c r="S4739" s="308" t="s">
        <v>81</v>
      </c>
      <c r="T4739" s="308" t="s">
        <v>75</v>
      </c>
      <c r="U4739" s="308" t="s">
        <v>143</v>
      </c>
      <c r="V4739" s="312"/>
    </row>
    <row r="4740">
      <c r="A4740" s="308">
        <v>4739.0</v>
      </c>
      <c r="B4740" s="308"/>
      <c r="C4740" s="308" t="s">
        <v>19138</v>
      </c>
      <c r="D4740" s="308">
        <f>IFERROR(__xludf.DUMMYFUNCTION("SPLIT(C4740,""-"")"),4760.0)</f>
        <v>4760</v>
      </c>
      <c r="E4740" s="308" t="str">
        <f>IFERROR(__xludf.DUMMYFUNCTION("""COMPUTED_VALUE"""),"P")</f>
        <v>P</v>
      </c>
      <c r="F4740" s="312" t="s">
        <v>37</v>
      </c>
      <c r="G4740" s="308"/>
      <c r="H4740" s="308" t="s">
        <v>19139</v>
      </c>
      <c r="I4740" s="310">
        <v>43149.0</v>
      </c>
      <c r="J4740" s="319">
        <f>IFERROR(__xludf.DUMMYFUNCTION("SPLIT(I4740,""/"")"),18.0)</f>
        <v>18</v>
      </c>
      <c r="K4740" s="308">
        <f>IFERROR(__xludf.DUMMYFUNCTION("""COMPUTED_VALUE"""),2.0)</f>
        <v>2</v>
      </c>
      <c r="L4740" s="308">
        <f>IFERROR(__xludf.DUMMYFUNCTION("""COMPUTED_VALUE"""),2018.0)</f>
        <v>2018</v>
      </c>
      <c r="M4740" s="308" t="s">
        <v>19136</v>
      </c>
      <c r="N4740" s="308"/>
      <c r="O4740" s="308"/>
      <c r="P4740" s="308" t="s">
        <v>19140</v>
      </c>
      <c r="Q4740" s="308" t="s">
        <v>37888</v>
      </c>
      <c r="R4740" s="308" t="s">
        <v>2743</v>
      </c>
      <c r="S4740" s="308" t="s">
        <v>81</v>
      </c>
      <c r="T4740" s="308" t="s">
        <v>75</v>
      </c>
      <c r="U4740" s="308" t="s">
        <v>143</v>
      </c>
      <c r="V4740" s="312"/>
    </row>
    <row r="4741">
      <c r="A4741" s="308">
        <v>4740.0</v>
      </c>
      <c r="B4741" s="308"/>
      <c r="C4741" s="308" t="s">
        <v>19141</v>
      </c>
      <c r="D4741" s="308">
        <f>IFERROR(__xludf.DUMMYFUNCTION("SPLIT(C4741,""-"")"),4761.0)</f>
        <v>4761</v>
      </c>
      <c r="E4741" s="308" t="str">
        <f>IFERROR(__xludf.DUMMYFUNCTION("""COMPUTED_VALUE"""),"F")</f>
        <v>F</v>
      </c>
      <c r="F4741" s="309" t="s">
        <v>34</v>
      </c>
      <c r="G4741" s="308"/>
      <c r="H4741" s="308" t="s">
        <v>19142</v>
      </c>
      <c r="I4741" s="314">
        <v>42692.0</v>
      </c>
      <c r="J4741" s="319">
        <f>IFERROR(__xludf.DUMMYFUNCTION("SPLIT(I4741,""/"")"),18.0)</f>
        <v>18</v>
      </c>
      <c r="K4741" s="308">
        <f>IFERROR(__xludf.DUMMYFUNCTION("""COMPUTED_VALUE"""),11.0)</f>
        <v>11</v>
      </c>
      <c r="L4741" s="308">
        <f>IFERROR(__xludf.DUMMYFUNCTION("""COMPUTED_VALUE"""),2016.0)</f>
        <v>2016</v>
      </c>
      <c r="M4741" s="308" t="s">
        <v>19143</v>
      </c>
      <c r="N4741" s="308"/>
      <c r="O4741" s="308" t="s">
        <v>19144</v>
      </c>
      <c r="P4741" s="308" t="s">
        <v>37892</v>
      </c>
      <c r="Q4741" s="308" t="s">
        <v>37888</v>
      </c>
      <c r="R4741" s="308" t="s">
        <v>2743</v>
      </c>
      <c r="S4741" s="308" t="s">
        <v>81</v>
      </c>
      <c r="T4741" s="311" t="s">
        <v>35043</v>
      </c>
      <c r="U4741" s="308" t="s">
        <v>195</v>
      </c>
      <c r="V4741" s="312"/>
    </row>
    <row r="4742">
      <c r="A4742" s="308">
        <v>4741.0</v>
      </c>
      <c r="B4742" s="308"/>
      <c r="C4742" s="308" t="s">
        <v>19146</v>
      </c>
      <c r="D4742" s="308">
        <f>IFERROR(__xludf.DUMMYFUNCTION("SPLIT(C4742,""-"")"),4762.0)</f>
        <v>4762</v>
      </c>
      <c r="E4742" s="308" t="str">
        <f>IFERROR(__xludf.DUMMYFUNCTION("""COMPUTED_VALUE"""),"S")</f>
        <v>S</v>
      </c>
      <c r="F4742" s="312" t="s">
        <v>39</v>
      </c>
      <c r="G4742" s="308"/>
      <c r="H4742" s="308" t="s">
        <v>19147</v>
      </c>
      <c r="I4742" s="310">
        <v>42928.0</v>
      </c>
      <c r="J4742" s="319">
        <f>IFERROR(__xludf.DUMMYFUNCTION("SPLIT(I4742,""/"")"),12.0)</f>
        <v>12</v>
      </c>
      <c r="K4742" s="308">
        <f>IFERROR(__xludf.DUMMYFUNCTION("""COMPUTED_VALUE"""),7.0)</f>
        <v>7</v>
      </c>
      <c r="L4742" s="308">
        <f>IFERROR(__xludf.DUMMYFUNCTION("""COMPUTED_VALUE"""),2017.0)</f>
        <v>2017</v>
      </c>
      <c r="M4742" s="308" t="s">
        <v>19148</v>
      </c>
      <c r="N4742" s="308"/>
      <c r="O4742" s="308"/>
      <c r="P4742" s="308" t="s">
        <v>37893</v>
      </c>
      <c r="Q4742" s="308" t="s">
        <v>37888</v>
      </c>
      <c r="R4742" s="308" t="s">
        <v>2743</v>
      </c>
      <c r="S4742" s="308" t="s">
        <v>49</v>
      </c>
      <c r="T4742" s="311" t="s">
        <v>51</v>
      </c>
      <c r="U4742" s="308" t="s">
        <v>40</v>
      </c>
      <c r="V4742" s="312"/>
    </row>
    <row r="4743">
      <c r="A4743" s="308">
        <v>4742.0</v>
      </c>
      <c r="B4743" s="308"/>
      <c r="C4743" s="308" t="s">
        <v>19150</v>
      </c>
      <c r="D4743" s="308">
        <f>IFERROR(__xludf.DUMMYFUNCTION("SPLIT(C4743,""-"")"),4763.0)</f>
        <v>4763</v>
      </c>
      <c r="E4743" s="308" t="str">
        <f>IFERROR(__xludf.DUMMYFUNCTION("""COMPUTED_VALUE"""),"P")</f>
        <v>P</v>
      </c>
      <c r="F4743" s="312" t="s">
        <v>37</v>
      </c>
      <c r="G4743" s="308"/>
      <c r="H4743" s="308" t="s">
        <v>19151</v>
      </c>
      <c r="I4743" s="310">
        <v>42382.0</v>
      </c>
      <c r="J4743" s="319">
        <f>IFERROR(__xludf.DUMMYFUNCTION("SPLIT(I4743,""/"")"),13.0)</f>
        <v>13</v>
      </c>
      <c r="K4743" s="308">
        <f>IFERROR(__xludf.DUMMYFUNCTION("""COMPUTED_VALUE"""),1.0)</f>
        <v>1</v>
      </c>
      <c r="L4743" s="308">
        <f>IFERROR(__xludf.DUMMYFUNCTION("""COMPUTED_VALUE"""),2016.0)</f>
        <v>2016</v>
      </c>
      <c r="M4743" s="308" t="s">
        <v>37894</v>
      </c>
      <c r="N4743" s="308"/>
      <c r="O4743" s="308" t="s">
        <v>19153</v>
      </c>
      <c r="P4743" s="308" t="s">
        <v>37878</v>
      </c>
      <c r="Q4743" s="308" t="s">
        <v>37888</v>
      </c>
      <c r="R4743" s="308" t="s">
        <v>2743</v>
      </c>
      <c r="S4743" s="315" t="s">
        <v>100</v>
      </c>
      <c r="T4743" s="311" t="s">
        <v>34208</v>
      </c>
      <c r="U4743" s="308" t="s">
        <v>143</v>
      </c>
      <c r="V4743" s="312"/>
    </row>
    <row r="4744">
      <c r="A4744" s="308">
        <v>4743.0</v>
      </c>
      <c r="B4744" s="308"/>
      <c r="C4744" s="308" t="s">
        <v>19154</v>
      </c>
      <c r="D4744" s="308">
        <f>IFERROR(__xludf.DUMMYFUNCTION("SPLIT(C4744,""-"")"),4764.0)</f>
        <v>4764</v>
      </c>
      <c r="E4744" s="308" t="str">
        <f>IFERROR(__xludf.DUMMYFUNCTION("""COMPUTED_VALUE"""),"I")</f>
        <v>I</v>
      </c>
      <c r="F4744" s="309" t="s">
        <v>31</v>
      </c>
      <c r="G4744" s="308"/>
      <c r="H4744" s="308" t="s">
        <v>19155</v>
      </c>
      <c r="I4744" s="310">
        <v>43144.0</v>
      </c>
      <c r="J4744" s="319">
        <f>IFERROR(__xludf.DUMMYFUNCTION("SPLIT(I4744,""/"")"),13.0)</f>
        <v>13</v>
      </c>
      <c r="K4744" s="308">
        <f>IFERROR(__xludf.DUMMYFUNCTION("""COMPUTED_VALUE"""),2.0)</f>
        <v>2</v>
      </c>
      <c r="L4744" s="308">
        <f>IFERROR(__xludf.DUMMYFUNCTION("""COMPUTED_VALUE"""),2018.0)</f>
        <v>2018</v>
      </c>
      <c r="M4744" s="308" t="s">
        <v>19156</v>
      </c>
      <c r="N4744" s="308"/>
      <c r="O4744" s="308" t="s">
        <v>19157</v>
      </c>
      <c r="P4744" s="308" t="s">
        <v>37895</v>
      </c>
      <c r="Q4744" s="308" t="s">
        <v>37888</v>
      </c>
      <c r="R4744" s="308" t="s">
        <v>2743</v>
      </c>
      <c r="S4744" s="308" t="s">
        <v>81</v>
      </c>
      <c r="T4744" s="308" t="s">
        <v>75</v>
      </c>
      <c r="U4744" s="308" t="s">
        <v>31</v>
      </c>
      <c r="V4744" s="312"/>
    </row>
    <row r="4745">
      <c r="A4745" s="308">
        <v>4744.0</v>
      </c>
      <c r="B4745" s="308"/>
      <c r="C4745" s="308" t="s">
        <v>19159</v>
      </c>
      <c r="D4745" s="308">
        <f>IFERROR(__xludf.DUMMYFUNCTION("SPLIT(C4745,""-"")"),4765.0)</f>
        <v>4765</v>
      </c>
      <c r="E4745" s="308" t="str">
        <f>IFERROR(__xludf.DUMMYFUNCTION("""COMPUTED_VALUE"""),"F")</f>
        <v>F</v>
      </c>
      <c r="F4745" s="309" t="s">
        <v>34</v>
      </c>
      <c r="G4745" s="308"/>
      <c r="H4745" s="308" t="s">
        <v>19160</v>
      </c>
      <c r="I4745" s="310">
        <v>41821.0</v>
      </c>
      <c r="J4745" s="319">
        <f>IFERROR(__xludf.DUMMYFUNCTION("SPLIT(I4745,""/"")"),1.0)</f>
        <v>1</v>
      </c>
      <c r="K4745" s="308">
        <f>IFERROR(__xludf.DUMMYFUNCTION("""COMPUTED_VALUE"""),7.0)</f>
        <v>7</v>
      </c>
      <c r="L4745" s="308">
        <f>IFERROR(__xludf.DUMMYFUNCTION("""COMPUTED_VALUE"""),2014.0)</f>
        <v>2014</v>
      </c>
      <c r="M4745" s="308" t="s">
        <v>19161</v>
      </c>
      <c r="N4745" s="308" t="s">
        <v>439</v>
      </c>
      <c r="O4745" s="308"/>
      <c r="P4745" s="308" t="s">
        <v>37869</v>
      </c>
      <c r="Q4745" s="308" t="s">
        <v>37888</v>
      </c>
      <c r="R4745" s="308" t="s">
        <v>2743</v>
      </c>
      <c r="S4745" s="315" t="s">
        <v>100</v>
      </c>
      <c r="T4745" s="311" t="s">
        <v>34208</v>
      </c>
      <c r="U4745" s="308" t="s">
        <v>195</v>
      </c>
      <c r="V4745" s="312"/>
    </row>
    <row r="4746">
      <c r="A4746" s="308">
        <v>4745.0</v>
      </c>
      <c r="B4746" s="308"/>
      <c r="C4746" s="308" t="s">
        <v>19162</v>
      </c>
      <c r="D4746" s="308">
        <f>IFERROR(__xludf.DUMMYFUNCTION("SPLIT(C4746,""-"")"),4766.0)</f>
        <v>4766</v>
      </c>
      <c r="E4746" s="308" t="str">
        <f>IFERROR(__xludf.DUMMYFUNCTION("""COMPUTED_VALUE"""),"S")</f>
        <v>S</v>
      </c>
      <c r="F4746" s="312" t="s">
        <v>39</v>
      </c>
      <c r="G4746" s="308"/>
      <c r="H4746" s="308" t="s">
        <v>19163</v>
      </c>
      <c r="I4746" s="310">
        <v>41091.0</v>
      </c>
      <c r="J4746" s="319">
        <f>IFERROR(__xludf.DUMMYFUNCTION("SPLIT(I4746,""/"")"),1.0)</f>
        <v>1</v>
      </c>
      <c r="K4746" s="308">
        <f>IFERROR(__xludf.DUMMYFUNCTION("""COMPUTED_VALUE"""),7.0)</f>
        <v>7</v>
      </c>
      <c r="L4746" s="308">
        <f>IFERROR(__xludf.DUMMYFUNCTION("""COMPUTED_VALUE"""),2012.0)</f>
        <v>2012</v>
      </c>
      <c r="M4746" s="308" t="s">
        <v>19164</v>
      </c>
      <c r="N4746" s="308"/>
      <c r="O4746" s="308"/>
      <c r="P4746" s="308" t="s">
        <v>19165</v>
      </c>
      <c r="Q4746" s="308" t="s">
        <v>37888</v>
      </c>
      <c r="R4746" s="308" t="s">
        <v>2743</v>
      </c>
      <c r="S4746" s="308" t="s">
        <v>49</v>
      </c>
      <c r="T4746" s="308" t="s">
        <v>70</v>
      </c>
      <c r="U4746" s="308" t="s">
        <v>166</v>
      </c>
      <c r="V4746" s="312"/>
    </row>
    <row r="4747">
      <c r="A4747" s="308">
        <v>4746.0</v>
      </c>
      <c r="B4747" s="308"/>
      <c r="C4747" s="308" t="s">
        <v>19166</v>
      </c>
      <c r="D4747" s="308">
        <f>IFERROR(__xludf.DUMMYFUNCTION("SPLIT(C4747,""-"")"),4767.0)</f>
        <v>4767</v>
      </c>
      <c r="E4747" s="308" t="str">
        <f>IFERROR(__xludf.DUMMYFUNCTION("""COMPUTED_VALUE"""),"I")</f>
        <v>I</v>
      </c>
      <c r="F4747" s="309" t="s">
        <v>31</v>
      </c>
      <c r="G4747" s="308"/>
      <c r="H4747" s="308" t="s">
        <v>19167</v>
      </c>
      <c r="I4747" s="314">
        <v>43059.0</v>
      </c>
      <c r="J4747" s="319">
        <f>IFERROR(__xludf.DUMMYFUNCTION("SPLIT(I4747,""/"")"),20.0)</f>
        <v>20</v>
      </c>
      <c r="K4747" s="308">
        <f>IFERROR(__xludf.DUMMYFUNCTION("""COMPUTED_VALUE"""),11.0)</f>
        <v>11</v>
      </c>
      <c r="L4747" s="308">
        <f>IFERROR(__xludf.DUMMYFUNCTION("""COMPUTED_VALUE"""),2017.0)</f>
        <v>2017</v>
      </c>
      <c r="M4747" s="308" t="s">
        <v>19168</v>
      </c>
      <c r="N4747" s="308" t="s">
        <v>19169</v>
      </c>
      <c r="O4747" s="308" t="s">
        <v>19170</v>
      </c>
      <c r="P4747" s="308" t="s">
        <v>19171</v>
      </c>
      <c r="Q4747" s="308" t="s">
        <v>37888</v>
      </c>
      <c r="R4747" s="308" t="s">
        <v>2743</v>
      </c>
      <c r="S4747" s="308" t="s">
        <v>49</v>
      </c>
      <c r="T4747" s="308" t="s">
        <v>51</v>
      </c>
      <c r="U4747" s="308" t="s">
        <v>31</v>
      </c>
      <c r="V4747" s="312"/>
    </row>
    <row r="4748">
      <c r="A4748" s="308">
        <v>4747.0</v>
      </c>
      <c r="B4748" s="308"/>
      <c r="C4748" s="308" t="s">
        <v>19172</v>
      </c>
      <c r="D4748" s="308">
        <f>IFERROR(__xludf.DUMMYFUNCTION("SPLIT(C4748,""-"")"),4768.0)</f>
        <v>4768</v>
      </c>
      <c r="E4748" s="308" t="str">
        <f>IFERROR(__xludf.DUMMYFUNCTION("""COMPUTED_VALUE"""),"K")</f>
        <v>K</v>
      </c>
      <c r="F4748" s="309" t="s">
        <v>34</v>
      </c>
      <c r="G4748" s="308"/>
      <c r="H4748" s="308" t="s">
        <v>19173</v>
      </c>
      <c r="I4748" s="310">
        <v>42530.0</v>
      </c>
      <c r="J4748" s="319">
        <f>IFERROR(__xludf.DUMMYFUNCTION("SPLIT(I4748,""/"")"),9.0)</f>
        <v>9</v>
      </c>
      <c r="K4748" s="308">
        <f>IFERROR(__xludf.DUMMYFUNCTION("""COMPUTED_VALUE"""),6.0)</f>
        <v>6</v>
      </c>
      <c r="L4748" s="308">
        <f>IFERROR(__xludf.DUMMYFUNCTION("""COMPUTED_VALUE"""),2016.0)</f>
        <v>2016</v>
      </c>
      <c r="M4748" s="308" t="s">
        <v>19174</v>
      </c>
      <c r="N4748" s="308"/>
      <c r="O4748" s="308"/>
      <c r="P4748" s="308" t="s">
        <v>37879</v>
      </c>
      <c r="Q4748" s="308" t="s">
        <v>37888</v>
      </c>
      <c r="R4748" s="308" t="s">
        <v>2743</v>
      </c>
      <c r="S4748" s="315" t="s">
        <v>100</v>
      </c>
      <c r="T4748" s="311" t="s">
        <v>34208</v>
      </c>
      <c r="U4748" s="308" t="s">
        <v>368</v>
      </c>
      <c r="V4748" s="312"/>
    </row>
    <row r="4749">
      <c r="A4749" s="308">
        <v>4748.0</v>
      </c>
      <c r="B4749" s="308"/>
      <c r="C4749" s="308" t="s">
        <v>19175</v>
      </c>
      <c r="D4749" s="308">
        <f>IFERROR(__xludf.DUMMYFUNCTION("SPLIT(C4749,""-"")"),4769.0)</f>
        <v>4769</v>
      </c>
      <c r="E4749" s="308" t="str">
        <f>IFERROR(__xludf.DUMMYFUNCTION("""COMPUTED_VALUE"""),"P")</f>
        <v>P</v>
      </c>
      <c r="F4749" s="312" t="s">
        <v>37</v>
      </c>
      <c r="G4749" s="308"/>
      <c r="H4749" s="308" t="s">
        <v>19176</v>
      </c>
      <c r="I4749" s="310">
        <v>42676.0</v>
      </c>
      <c r="J4749" s="319">
        <f>IFERROR(__xludf.DUMMYFUNCTION("SPLIT(I4749,""/"")"),2.0)</f>
        <v>2</v>
      </c>
      <c r="K4749" s="308">
        <f>IFERROR(__xludf.DUMMYFUNCTION("""COMPUTED_VALUE"""),11.0)</f>
        <v>11</v>
      </c>
      <c r="L4749" s="308">
        <f>IFERROR(__xludf.DUMMYFUNCTION("""COMPUTED_VALUE"""),2016.0)</f>
        <v>2016</v>
      </c>
      <c r="M4749" s="308" t="s">
        <v>19177</v>
      </c>
      <c r="N4749" s="308"/>
      <c r="O4749" s="308" t="s">
        <v>19178</v>
      </c>
      <c r="P4749" s="308" t="s">
        <v>37896</v>
      </c>
      <c r="Q4749" s="308" t="s">
        <v>37888</v>
      </c>
      <c r="R4749" s="308" t="s">
        <v>2743</v>
      </c>
      <c r="S4749" s="308" t="s">
        <v>81</v>
      </c>
      <c r="T4749" s="308" t="s">
        <v>34264</v>
      </c>
      <c r="U4749" s="308" t="s">
        <v>149</v>
      </c>
      <c r="V4749" s="312"/>
    </row>
    <row r="4750">
      <c r="A4750" s="308">
        <v>4749.0</v>
      </c>
      <c r="B4750" s="308"/>
      <c r="C4750" s="308" t="s">
        <v>19180</v>
      </c>
      <c r="D4750" s="308">
        <f>IFERROR(__xludf.DUMMYFUNCTION("SPLIT(C4750,""-"")"),4770.0)</f>
        <v>4770</v>
      </c>
      <c r="E4750" s="308" t="str">
        <f>IFERROR(__xludf.DUMMYFUNCTION("""COMPUTED_VALUE"""),"P")</f>
        <v>P</v>
      </c>
      <c r="F4750" s="312" t="s">
        <v>37</v>
      </c>
      <c r="G4750" s="308"/>
      <c r="H4750" s="308" t="s">
        <v>19181</v>
      </c>
      <c r="I4750" s="310">
        <v>42797.0</v>
      </c>
      <c r="J4750" s="319">
        <f>IFERROR(__xludf.DUMMYFUNCTION("SPLIT(I4750,""/"")"),3.0)</f>
        <v>3</v>
      </c>
      <c r="K4750" s="308">
        <f>IFERROR(__xludf.DUMMYFUNCTION("""COMPUTED_VALUE"""),3.0)</f>
        <v>3</v>
      </c>
      <c r="L4750" s="308">
        <f>IFERROR(__xludf.DUMMYFUNCTION("""COMPUTED_VALUE"""),2017.0)</f>
        <v>2017</v>
      </c>
      <c r="M4750" s="308" t="s">
        <v>19182</v>
      </c>
      <c r="N4750" s="308"/>
      <c r="O4750" s="308"/>
      <c r="P4750" s="308" t="s">
        <v>19183</v>
      </c>
      <c r="Q4750" s="308" t="s">
        <v>37888</v>
      </c>
      <c r="R4750" s="308" t="s">
        <v>2743</v>
      </c>
      <c r="S4750" s="308" t="s">
        <v>81</v>
      </c>
      <c r="T4750" s="308" t="s">
        <v>75</v>
      </c>
      <c r="U4750" s="308" t="s">
        <v>5702</v>
      </c>
      <c r="V4750" s="312"/>
    </row>
    <row r="4751">
      <c r="A4751" s="308">
        <v>4750.0</v>
      </c>
      <c r="B4751" s="308"/>
      <c r="C4751" s="308" t="s">
        <v>19184</v>
      </c>
      <c r="D4751" s="308">
        <f>IFERROR(__xludf.DUMMYFUNCTION("SPLIT(C4751,""-"")"),4771.0)</f>
        <v>4771</v>
      </c>
      <c r="E4751" s="308" t="str">
        <f>IFERROR(__xludf.DUMMYFUNCTION("""COMPUTED_VALUE"""),"P")</f>
        <v>P</v>
      </c>
      <c r="F4751" s="312" t="s">
        <v>37</v>
      </c>
      <c r="G4751" s="308"/>
      <c r="H4751" s="308" t="s">
        <v>19185</v>
      </c>
      <c r="I4751" s="314">
        <v>42704.0</v>
      </c>
      <c r="J4751" s="319">
        <f>IFERROR(__xludf.DUMMYFUNCTION("SPLIT(I4751,""/"")"),30.0)</f>
        <v>30</v>
      </c>
      <c r="K4751" s="308">
        <f>IFERROR(__xludf.DUMMYFUNCTION("""COMPUTED_VALUE"""),11.0)</f>
        <v>11</v>
      </c>
      <c r="L4751" s="308">
        <f>IFERROR(__xludf.DUMMYFUNCTION("""COMPUTED_VALUE"""),2016.0)</f>
        <v>2016</v>
      </c>
      <c r="M4751" s="308" t="s">
        <v>19186</v>
      </c>
      <c r="N4751" s="308"/>
      <c r="O4751" s="308"/>
      <c r="P4751" s="308" t="s">
        <v>37897</v>
      </c>
      <c r="Q4751" s="308" t="s">
        <v>37888</v>
      </c>
      <c r="R4751" s="308" t="s">
        <v>2743</v>
      </c>
      <c r="S4751" s="308" t="s">
        <v>81</v>
      </c>
      <c r="T4751" s="308" t="s">
        <v>75</v>
      </c>
      <c r="U4751" s="308" t="s">
        <v>2527</v>
      </c>
      <c r="V4751" s="312"/>
    </row>
    <row r="4752">
      <c r="A4752" s="308">
        <v>4751.0</v>
      </c>
      <c r="B4752" s="308"/>
      <c r="C4752" s="308" t="s">
        <v>19188</v>
      </c>
      <c r="D4752" s="308">
        <f>IFERROR(__xludf.DUMMYFUNCTION("SPLIT(C4752,""-"")"),4772.0)</f>
        <v>4772</v>
      </c>
      <c r="E4752" s="308" t="str">
        <f>IFERROR(__xludf.DUMMYFUNCTION("""COMPUTED_VALUE"""),"B")</f>
        <v>B</v>
      </c>
      <c r="F4752" s="315" t="s">
        <v>26</v>
      </c>
      <c r="G4752" s="308"/>
      <c r="H4752" s="308" t="s">
        <v>19189</v>
      </c>
      <c r="I4752" s="310">
        <v>42986.0</v>
      </c>
      <c r="J4752" s="319">
        <f>IFERROR(__xludf.DUMMYFUNCTION("SPLIT(I4752,""/"")"),8.0)</f>
        <v>8</v>
      </c>
      <c r="K4752" s="308">
        <f>IFERROR(__xludf.DUMMYFUNCTION("""COMPUTED_VALUE"""),9.0)</f>
        <v>9</v>
      </c>
      <c r="L4752" s="308">
        <f>IFERROR(__xludf.DUMMYFUNCTION("""COMPUTED_VALUE"""),2017.0)</f>
        <v>2017</v>
      </c>
      <c r="M4752" s="308" t="s">
        <v>19190</v>
      </c>
      <c r="N4752" s="308"/>
      <c r="O4752" s="308"/>
      <c r="P4752" s="308" t="s">
        <v>37898</v>
      </c>
      <c r="Q4752" s="308" t="s">
        <v>37888</v>
      </c>
      <c r="R4752" s="308" t="s">
        <v>2743</v>
      </c>
      <c r="S4752" s="308" t="s">
        <v>49</v>
      </c>
      <c r="T4752" s="311" t="s">
        <v>51</v>
      </c>
      <c r="U4752" s="308" t="s">
        <v>27</v>
      </c>
      <c r="V4752" s="312"/>
    </row>
    <row r="4753">
      <c r="A4753" s="308">
        <v>4752.0</v>
      </c>
      <c r="B4753" s="308"/>
      <c r="C4753" s="308" t="s">
        <v>19192</v>
      </c>
      <c r="D4753" s="308">
        <f>IFERROR(__xludf.DUMMYFUNCTION("SPLIT(C4753,""-"")"),4773.0)</f>
        <v>4773</v>
      </c>
      <c r="E4753" s="308" t="str">
        <f>IFERROR(__xludf.DUMMYFUNCTION("""COMPUTED_VALUE"""),"B")</f>
        <v>B</v>
      </c>
      <c r="F4753" s="315" t="s">
        <v>26</v>
      </c>
      <c r="G4753" s="308"/>
      <c r="H4753" s="308" t="s">
        <v>19193</v>
      </c>
      <c r="I4753" s="310">
        <v>42986.0</v>
      </c>
      <c r="J4753" s="319">
        <f>IFERROR(__xludf.DUMMYFUNCTION("SPLIT(I4753,""/"")"),8.0)</f>
        <v>8</v>
      </c>
      <c r="K4753" s="308">
        <f>IFERROR(__xludf.DUMMYFUNCTION("""COMPUTED_VALUE"""),9.0)</f>
        <v>9</v>
      </c>
      <c r="L4753" s="308">
        <f>IFERROR(__xludf.DUMMYFUNCTION("""COMPUTED_VALUE"""),2017.0)</f>
        <v>2017</v>
      </c>
      <c r="M4753" s="308" t="s">
        <v>19190</v>
      </c>
      <c r="N4753" s="308"/>
      <c r="O4753" s="308"/>
      <c r="P4753" s="308" t="s">
        <v>37899</v>
      </c>
      <c r="Q4753" s="308" t="s">
        <v>37888</v>
      </c>
      <c r="R4753" s="308" t="s">
        <v>2743</v>
      </c>
      <c r="S4753" s="308" t="s">
        <v>49</v>
      </c>
      <c r="T4753" s="311" t="s">
        <v>51</v>
      </c>
      <c r="U4753" s="308" t="s">
        <v>27</v>
      </c>
      <c r="V4753" s="312"/>
    </row>
    <row r="4754">
      <c r="A4754" s="308">
        <v>4753.0</v>
      </c>
      <c r="B4754" s="308"/>
      <c r="C4754" s="308" t="s">
        <v>19195</v>
      </c>
      <c r="D4754" s="308">
        <f>IFERROR(__xludf.DUMMYFUNCTION("SPLIT(C4754,""-"")"),4774.0)</f>
        <v>4774</v>
      </c>
      <c r="E4754" s="308" t="str">
        <f>IFERROR(__xludf.DUMMYFUNCTION("""COMPUTED_VALUE"""),"B")</f>
        <v>B</v>
      </c>
      <c r="F4754" s="315" t="s">
        <v>26</v>
      </c>
      <c r="G4754" s="308"/>
      <c r="H4754" s="308" t="s">
        <v>19196</v>
      </c>
      <c r="I4754" s="310">
        <v>42986.0</v>
      </c>
      <c r="J4754" s="319">
        <f>IFERROR(__xludf.DUMMYFUNCTION("SPLIT(I4754,""/"")"),8.0)</f>
        <v>8</v>
      </c>
      <c r="K4754" s="308">
        <f>IFERROR(__xludf.DUMMYFUNCTION("""COMPUTED_VALUE"""),9.0)</f>
        <v>9</v>
      </c>
      <c r="L4754" s="308">
        <f>IFERROR(__xludf.DUMMYFUNCTION("""COMPUTED_VALUE"""),2017.0)</f>
        <v>2017</v>
      </c>
      <c r="M4754" s="308" t="s">
        <v>19190</v>
      </c>
      <c r="N4754" s="308"/>
      <c r="O4754" s="308"/>
      <c r="P4754" s="308" t="s">
        <v>37899</v>
      </c>
      <c r="Q4754" s="308" t="s">
        <v>37888</v>
      </c>
      <c r="R4754" s="308" t="s">
        <v>2743</v>
      </c>
      <c r="S4754" s="308" t="s">
        <v>49</v>
      </c>
      <c r="T4754" s="311" t="s">
        <v>51</v>
      </c>
      <c r="U4754" s="308" t="s">
        <v>27</v>
      </c>
      <c r="V4754" s="312"/>
    </row>
    <row r="4755">
      <c r="A4755" s="308">
        <v>4754.0</v>
      </c>
      <c r="B4755" s="308"/>
      <c r="C4755" s="308" t="s">
        <v>19197</v>
      </c>
      <c r="D4755" s="308">
        <f>IFERROR(__xludf.DUMMYFUNCTION("SPLIT(C4755,""-"")"),4775.0)</f>
        <v>4775</v>
      </c>
      <c r="E4755" s="308" t="str">
        <f>IFERROR(__xludf.DUMMYFUNCTION("""COMPUTED_VALUE"""),"K")</f>
        <v>K</v>
      </c>
      <c r="F4755" s="309" t="s">
        <v>34</v>
      </c>
      <c r="G4755" s="308"/>
      <c r="H4755" s="308" t="s">
        <v>19198</v>
      </c>
      <c r="I4755" s="310">
        <v>40360.0</v>
      </c>
      <c r="J4755" s="319">
        <f>IFERROR(__xludf.DUMMYFUNCTION("SPLIT(I4755,""/"")"),1.0)</f>
        <v>1</v>
      </c>
      <c r="K4755" s="308">
        <f>IFERROR(__xludf.DUMMYFUNCTION("""COMPUTED_VALUE"""),7.0)</f>
        <v>7</v>
      </c>
      <c r="L4755" s="308">
        <f>IFERROR(__xludf.DUMMYFUNCTION("""COMPUTED_VALUE"""),2010.0)</f>
        <v>2010</v>
      </c>
      <c r="M4755" s="308" t="s">
        <v>19199</v>
      </c>
      <c r="N4755" s="308"/>
      <c r="O4755" s="308"/>
      <c r="P4755" s="308" t="s">
        <v>19200</v>
      </c>
      <c r="Q4755" s="308" t="s">
        <v>37888</v>
      </c>
      <c r="R4755" s="308" t="s">
        <v>2743</v>
      </c>
      <c r="S4755" s="308" t="s">
        <v>49</v>
      </c>
      <c r="T4755" s="308" t="s">
        <v>51</v>
      </c>
      <c r="U4755" s="308" t="s">
        <v>4749</v>
      </c>
      <c r="V4755" s="312"/>
    </row>
    <row r="4756">
      <c r="A4756" s="308">
        <v>4755.0</v>
      </c>
      <c r="B4756" s="308"/>
      <c r="C4756" s="308" t="s">
        <v>19201</v>
      </c>
      <c r="D4756" s="308">
        <f>IFERROR(__xludf.DUMMYFUNCTION("SPLIT(C4756,""-"")"),4776.0)</f>
        <v>4776</v>
      </c>
      <c r="E4756" s="308" t="str">
        <f>IFERROR(__xludf.DUMMYFUNCTION("""COMPUTED_VALUE"""),"F")</f>
        <v>F</v>
      </c>
      <c r="F4756" s="309" t="s">
        <v>34</v>
      </c>
      <c r="G4756" s="308"/>
      <c r="H4756" s="308" t="s">
        <v>19202</v>
      </c>
      <c r="I4756" s="310">
        <v>40544.0</v>
      </c>
      <c r="J4756" s="319">
        <f>IFERROR(__xludf.DUMMYFUNCTION("SPLIT(I4756,""/"")"),1.0)</f>
        <v>1</v>
      </c>
      <c r="K4756" s="308">
        <f>IFERROR(__xludf.DUMMYFUNCTION("""COMPUTED_VALUE"""),1.0)</f>
        <v>1</v>
      </c>
      <c r="L4756" s="308">
        <f>IFERROR(__xludf.DUMMYFUNCTION("""COMPUTED_VALUE"""),2011.0)</f>
        <v>2011</v>
      </c>
      <c r="M4756" s="308" t="s">
        <v>19203</v>
      </c>
      <c r="N4756" s="308"/>
      <c r="O4756" s="308"/>
      <c r="P4756" s="308" t="s">
        <v>37869</v>
      </c>
      <c r="Q4756" s="308" t="s">
        <v>37888</v>
      </c>
      <c r="R4756" s="308" t="s">
        <v>2743</v>
      </c>
      <c r="S4756" s="315" t="s">
        <v>100</v>
      </c>
      <c r="T4756" s="311" t="s">
        <v>34208</v>
      </c>
      <c r="U4756" s="308" t="s">
        <v>19204</v>
      </c>
      <c r="V4756" s="312"/>
    </row>
    <row r="4757">
      <c r="A4757" s="308">
        <v>4756.0</v>
      </c>
      <c r="B4757" s="308"/>
      <c r="C4757" s="308" t="s">
        <v>19205</v>
      </c>
      <c r="D4757" s="308">
        <f>IFERROR(__xludf.DUMMYFUNCTION("SPLIT(C4757,""-"")"),4777.0)</f>
        <v>4777</v>
      </c>
      <c r="E4757" s="308" t="str">
        <f>IFERROR(__xludf.DUMMYFUNCTION("""COMPUTED_VALUE"""),"K")</f>
        <v>K</v>
      </c>
      <c r="F4757" s="309" t="s">
        <v>34</v>
      </c>
      <c r="G4757" s="308"/>
      <c r="H4757" s="308" t="s">
        <v>19206</v>
      </c>
      <c r="I4757" s="310">
        <v>42466.0</v>
      </c>
      <c r="J4757" s="319">
        <f>IFERROR(__xludf.DUMMYFUNCTION("SPLIT(I4757,""/"")"),6.0)</f>
        <v>6</v>
      </c>
      <c r="K4757" s="308">
        <f>IFERROR(__xludf.DUMMYFUNCTION("""COMPUTED_VALUE"""),4.0)</f>
        <v>4</v>
      </c>
      <c r="L4757" s="308">
        <f>IFERROR(__xludf.DUMMYFUNCTION("""COMPUTED_VALUE"""),2016.0)</f>
        <v>2016</v>
      </c>
      <c r="M4757" s="308" t="s">
        <v>19207</v>
      </c>
      <c r="N4757" s="308" t="s">
        <v>19208</v>
      </c>
      <c r="O4757" s="308" t="s">
        <v>19209</v>
      </c>
      <c r="P4757" s="308" t="s">
        <v>37879</v>
      </c>
      <c r="Q4757" s="308" t="s">
        <v>37888</v>
      </c>
      <c r="R4757" s="308" t="s">
        <v>2743</v>
      </c>
      <c r="S4757" s="315" t="s">
        <v>100</v>
      </c>
      <c r="T4757" s="311" t="s">
        <v>34208</v>
      </c>
      <c r="U4757" s="308" t="s">
        <v>2989</v>
      </c>
      <c r="V4757" s="312"/>
    </row>
    <row r="4758">
      <c r="A4758" s="308">
        <v>4757.0</v>
      </c>
      <c r="B4758" s="308"/>
      <c r="C4758" s="308" t="s">
        <v>19210</v>
      </c>
      <c r="D4758" s="308">
        <f>IFERROR(__xludf.DUMMYFUNCTION("SPLIT(C4758,""-"")"),4778.0)</f>
        <v>4778</v>
      </c>
      <c r="E4758" s="308" t="str">
        <f>IFERROR(__xludf.DUMMYFUNCTION("""COMPUTED_VALUE"""),"P")</f>
        <v>P</v>
      </c>
      <c r="F4758" s="312" t="s">
        <v>37</v>
      </c>
      <c r="G4758" s="308"/>
      <c r="H4758" s="308" t="s">
        <v>19211</v>
      </c>
      <c r="I4758" s="310">
        <v>40740.0</v>
      </c>
      <c r="J4758" s="319">
        <f>IFERROR(__xludf.DUMMYFUNCTION("SPLIT(I4758,""/"")"),16.0)</f>
        <v>16</v>
      </c>
      <c r="K4758" s="308">
        <f>IFERROR(__xludf.DUMMYFUNCTION("""COMPUTED_VALUE"""),7.0)</f>
        <v>7</v>
      </c>
      <c r="L4758" s="308">
        <f>IFERROR(__xludf.DUMMYFUNCTION("""COMPUTED_VALUE"""),2011.0)</f>
        <v>2011</v>
      </c>
      <c r="M4758" s="308" t="s">
        <v>37900</v>
      </c>
      <c r="N4758" s="308"/>
      <c r="O4758" s="308"/>
      <c r="P4758" s="308" t="s">
        <v>19213</v>
      </c>
      <c r="Q4758" s="308" t="s">
        <v>37888</v>
      </c>
      <c r="R4758" s="308" t="s">
        <v>2743</v>
      </c>
      <c r="S4758" s="308" t="s">
        <v>49</v>
      </c>
      <c r="T4758" s="308" t="s">
        <v>51</v>
      </c>
      <c r="U4758" s="308" t="s">
        <v>4001</v>
      </c>
      <c r="V4758" s="312"/>
    </row>
    <row r="4759">
      <c r="A4759" s="308">
        <v>4758.0</v>
      </c>
      <c r="B4759" s="308"/>
      <c r="C4759" s="308" t="s">
        <v>19214</v>
      </c>
      <c r="D4759" s="308">
        <f>IFERROR(__xludf.DUMMYFUNCTION("SPLIT(C4759,""-"")"),4779.0)</f>
        <v>4779</v>
      </c>
      <c r="E4759" s="308" t="str">
        <f>IFERROR(__xludf.DUMMYFUNCTION("""COMPUTED_VALUE"""),"K")</f>
        <v>K</v>
      </c>
      <c r="F4759" s="309" t="s">
        <v>34</v>
      </c>
      <c r="G4759" s="308"/>
      <c r="H4759" s="308" t="s">
        <v>19215</v>
      </c>
      <c r="I4759" s="310">
        <v>41499.0</v>
      </c>
      <c r="J4759" s="319">
        <f>IFERROR(__xludf.DUMMYFUNCTION("SPLIT(I4759,""/"")"),13.0)</f>
        <v>13</v>
      </c>
      <c r="K4759" s="308">
        <f>IFERROR(__xludf.DUMMYFUNCTION("""COMPUTED_VALUE"""),8.0)</f>
        <v>8</v>
      </c>
      <c r="L4759" s="308">
        <f>IFERROR(__xludf.DUMMYFUNCTION("""COMPUTED_VALUE"""),2013.0)</f>
        <v>2013</v>
      </c>
      <c r="M4759" s="308" t="s">
        <v>19216</v>
      </c>
      <c r="N4759" s="308"/>
      <c r="O4759" s="308"/>
      <c r="P4759" s="308" t="s">
        <v>37901</v>
      </c>
      <c r="Q4759" s="308" t="s">
        <v>37888</v>
      </c>
      <c r="R4759" s="308" t="s">
        <v>2743</v>
      </c>
      <c r="S4759" s="308" t="s">
        <v>81</v>
      </c>
      <c r="T4759" s="308" t="s">
        <v>34264</v>
      </c>
      <c r="U4759" s="308" t="s">
        <v>941</v>
      </c>
      <c r="V4759" s="312"/>
    </row>
    <row r="4760">
      <c r="A4760" s="308">
        <v>4759.0</v>
      </c>
      <c r="B4760" s="308"/>
      <c r="C4760" s="308" t="s">
        <v>19218</v>
      </c>
      <c r="D4760" s="308">
        <f>IFERROR(__xludf.DUMMYFUNCTION("SPLIT(C4760,""-"")"),4780.0)</f>
        <v>4780</v>
      </c>
      <c r="E4760" s="308" t="str">
        <f>IFERROR(__xludf.DUMMYFUNCTION("""COMPUTED_VALUE"""),"K")</f>
        <v>K</v>
      </c>
      <c r="F4760" s="309" t="s">
        <v>34</v>
      </c>
      <c r="G4760" s="308"/>
      <c r="H4760" s="308" t="s">
        <v>19219</v>
      </c>
      <c r="I4760" s="314">
        <v>40539.0</v>
      </c>
      <c r="J4760" s="319">
        <f>IFERROR(__xludf.DUMMYFUNCTION("SPLIT(I4760,""/"")"),27.0)</f>
        <v>27</v>
      </c>
      <c r="K4760" s="308">
        <f>IFERROR(__xludf.DUMMYFUNCTION("""COMPUTED_VALUE"""),12.0)</f>
        <v>12</v>
      </c>
      <c r="L4760" s="308">
        <f>IFERROR(__xludf.DUMMYFUNCTION("""COMPUTED_VALUE"""),2010.0)</f>
        <v>2010</v>
      </c>
      <c r="M4760" s="308" t="s">
        <v>37902</v>
      </c>
      <c r="N4760" s="308"/>
      <c r="O4760" s="308"/>
      <c r="P4760" s="308" t="s">
        <v>37879</v>
      </c>
      <c r="Q4760" s="308" t="s">
        <v>37888</v>
      </c>
      <c r="R4760" s="308" t="s">
        <v>2743</v>
      </c>
      <c r="S4760" s="315" t="s">
        <v>100</v>
      </c>
      <c r="T4760" s="311" t="s">
        <v>34208</v>
      </c>
      <c r="U4760" s="308" t="s">
        <v>125</v>
      </c>
      <c r="V4760" s="312"/>
    </row>
    <row r="4761">
      <c r="A4761" s="308">
        <v>4760.0</v>
      </c>
      <c r="B4761" s="308"/>
      <c r="C4761" s="308" t="s">
        <v>19221</v>
      </c>
      <c r="D4761" s="308">
        <f>IFERROR(__xludf.DUMMYFUNCTION("SPLIT(C4761,""-"")"),4781.0)</f>
        <v>4781</v>
      </c>
      <c r="E4761" s="308" t="str">
        <f>IFERROR(__xludf.DUMMYFUNCTION("""COMPUTED_VALUE"""),"P")</f>
        <v>P</v>
      </c>
      <c r="F4761" s="312" t="s">
        <v>37</v>
      </c>
      <c r="G4761" s="308"/>
      <c r="H4761" s="308" t="s">
        <v>19222</v>
      </c>
      <c r="I4761" s="310">
        <v>43142.0</v>
      </c>
      <c r="J4761" s="319">
        <f>IFERROR(__xludf.DUMMYFUNCTION("SPLIT(I4761,""/"")"),11.0)</f>
        <v>11</v>
      </c>
      <c r="K4761" s="308">
        <f>IFERROR(__xludf.DUMMYFUNCTION("""COMPUTED_VALUE"""),2.0)</f>
        <v>2</v>
      </c>
      <c r="L4761" s="308">
        <f>IFERROR(__xludf.DUMMYFUNCTION("""COMPUTED_VALUE"""),2018.0)</f>
        <v>2018</v>
      </c>
      <c r="M4761" s="308" t="s">
        <v>19223</v>
      </c>
      <c r="N4761" s="308"/>
      <c r="O4761" s="308"/>
      <c r="P4761" s="308" t="s">
        <v>19224</v>
      </c>
      <c r="Q4761" s="308" t="s">
        <v>37903</v>
      </c>
      <c r="R4761" s="308" t="s">
        <v>2743</v>
      </c>
      <c r="S4761" s="308" t="s">
        <v>81</v>
      </c>
      <c r="T4761" s="308" t="s">
        <v>75</v>
      </c>
      <c r="U4761" s="308" t="s">
        <v>149</v>
      </c>
      <c r="V4761" s="312"/>
    </row>
    <row r="4762">
      <c r="A4762" s="308">
        <v>4761.0</v>
      </c>
      <c r="B4762" s="308"/>
      <c r="C4762" s="308" t="s">
        <v>19225</v>
      </c>
      <c r="D4762" s="308">
        <f>IFERROR(__xludf.DUMMYFUNCTION("SPLIT(C4762,""-"")"),4782.0)</f>
        <v>4782</v>
      </c>
      <c r="E4762" s="308" t="str">
        <f>IFERROR(__xludf.DUMMYFUNCTION("""COMPUTED_VALUE"""),"K")</f>
        <v>K</v>
      </c>
      <c r="F4762" s="309" t="s">
        <v>34</v>
      </c>
      <c r="G4762" s="308"/>
      <c r="H4762" s="308" t="s">
        <v>19226</v>
      </c>
      <c r="I4762" s="310">
        <v>42887.0</v>
      </c>
      <c r="J4762" s="319" t="str">
        <f>IFERROR(__xludf.DUMMYFUNCTION("SPLIT(I4762,""/"")"),"#REF!")</f>
        <v>#REF!</v>
      </c>
      <c r="K4762" s="308"/>
      <c r="L4762" s="308">
        <v>2017.0</v>
      </c>
      <c r="M4762" s="308" t="s">
        <v>37904</v>
      </c>
      <c r="N4762" s="308"/>
      <c r="O4762" s="308"/>
      <c r="P4762" s="308" t="s">
        <v>37905</v>
      </c>
      <c r="Q4762" s="308" t="s">
        <v>37906</v>
      </c>
      <c r="R4762" s="308" t="s">
        <v>2743</v>
      </c>
      <c r="S4762" s="308" t="s">
        <v>81</v>
      </c>
      <c r="T4762" s="308" t="s">
        <v>75</v>
      </c>
      <c r="U4762" s="308" t="s">
        <v>201</v>
      </c>
      <c r="V4762" s="312"/>
    </row>
    <row r="4763">
      <c r="A4763" s="308">
        <v>4762.0</v>
      </c>
      <c r="B4763" s="308"/>
      <c r="C4763" s="308" t="s">
        <v>19229</v>
      </c>
      <c r="D4763" s="308">
        <f>IFERROR(__xludf.DUMMYFUNCTION("SPLIT(C4763,""-"")"),4783.0)</f>
        <v>4783</v>
      </c>
      <c r="E4763" s="308" t="str">
        <f>IFERROR(__xludf.DUMMYFUNCTION("""COMPUTED_VALUE"""),"K")</f>
        <v>K</v>
      </c>
      <c r="F4763" s="309" t="s">
        <v>34</v>
      </c>
      <c r="G4763" s="308"/>
      <c r="H4763" s="308" t="s">
        <v>19230</v>
      </c>
      <c r="I4763" s="310">
        <v>42887.0</v>
      </c>
      <c r="J4763" s="319" t="str">
        <f>IFERROR(__xludf.DUMMYFUNCTION("SPLIT(I4763,""/"")"),"#REF!")</f>
        <v>#REF!</v>
      </c>
      <c r="K4763" s="308"/>
      <c r="L4763" s="308">
        <v>2017.0</v>
      </c>
      <c r="M4763" s="308" t="s">
        <v>37904</v>
      </c>
      <c r="N4763" s="308"/>
      <c r="O4763" s="308"/>
      <c r="P4763" s="308" t="s">
        <v>37907</v>
      </c>
      <c r="Q4763" s="308" t="s">
        <v>37906</v>
      </c>
      <c r="R4763" s="308" t="s">
        <v>2743</v>
      </c>
      <c r="S4763" s="308" t="s">
        <v>81</v>
      </c>
      <c r="T4763" s="308" t="s">
        <v>75</v>
      </c>
      <c r="U4763" s="308" t="s">
        <v>201</v>
      </c>
      <c r="V4763" s="312"/>
    </row>
    <row r="4764">
      <c r="A4764" s="308">
        <v>4763.0</v>
      </c>
      <c r="B4764" s="308"/>
      <c r="C4764" s="308" t="s">
        <v>19232</v>
      </c>
      <c r="D4764" s="308">
        <f>IFERROR(__xludf.DUMMYFUNCTION("SPLIT(C4764,""-"")"),4784.0)</f>
        <v>4784</v>
      </c>
      <c r="E4764" s="308" t="str">
        <f>IFERROR(__xludf.DUMMYFUNCTION("""COMPUTED_VALUE"""),"K")</f>
        <v>K</v>
      </c>
      <c r="F4764" s="309" t="s">
        <v>34</v>
      </c>
      <c r="G4764" s="308"/>
      <c r="H4764" s="308" t="s">
        <v>19233</v>
      </c>
      <c r="I4764" s="310">
        <v>42887.0</v>
      </c>
      <c r="J4764" s="319" t="str">
        <f>IFERROR(__xludf.DUMMYFUNCTION("SPLIT(I4764,""/"")"),"#REF!")</f>
        <v>#REF!</v>
      </c>
      <c r="K4764" s="308"/>
      <c r="L4764" s="308">
        <v>2017.0</v>
      </c>
      <c r="M4764" s="308" t="s">
        <v>19234</v>
      </c>
      <c r="N4764" s="308"/>
      <c r="O4764" s="308"/>
      <c r="P4764" s="308" t="s">
        <v>37908</v>
      </c>
      <c r="Q4764" s="308" t="s">
        <v>37906</v>
      </c>
      <c r="R4764" s="308" t="s">
        <v>2743</v>
      </c>
      <c r="S4764" s="315" t="s">
        <v>100</v>
      </c>
      <c r="T4764" s="311" t="s">
        <v>34208</v>
      </c>
      <c r="U4764" s="308" t="s">
        <v>125</v>
      </c>
      <c r="V4764" s="312"/>
    </row>
    <row r="4765">
      <c r="A4765" s="308">
        <v>4764.0</v>
      </c>
      <c r="B4765" s="308"/>
      <c r="C4765" s="308" t="s">
        <v>19235</v>
      </c>
      <c r="D4765" s="308">
        <f>IFERROR(__xludf.DUMMYFUNCTION("SPLIT(C4765,""-"")"),4785.0)</f>
        <v>4785</v>
      </c>
      <c r="E4765" s="308" t="str">
        <f>IFERROR(__xludf.DUMMYFUNCTION("""COMPUTED_VALUE"""),"K")</f>
        <v>K</v>
      </c>
      <c r="F4765" s="309" t="s">
        <v>34</v>
      </c>
      <c r="G4765" s="308"/>
      <c r="H4765" s="308" t="s">
        <v>37909</v>
      </c>
      <c r="I4765" s="310">
        <v>42887.0</v>
      </c>
      <c r="J4765" s="319" t="str">
        <f>IFERROR(__xludf.DUMMYFUNCTION("SPLIT(I4765,""/"")"),"#REF!")</f>
        <v>#REF!</v>
      </c>
      <c r="K4765" s="308"/>
      <c r="L4765" s="308">
        <v>2017.0</v>
      </c>
      <c r="M4765" s="308" t="s">
        <v>37910</v>
      </c>
      <c r="N4765" s="308"/>
      <c r="O4765" s="308"/>
      <c r="P4765" s="308" t="s">
        <v>37908</v>
      </c>
      <c r="Q4765" s="308" t="s">
        <v>37906</v>
      </c>
      <c r="R4765" s="308" t="s">
        <v>2743</v>
      </c>
      <c r="S4765" s="315" t="s">
        <v>100</v>
      </c>
      <c r="T4765" s="311" t="s">
        <v>34208</v>
      </c>
      <c r="U4765" s="308" t="s">
        <v>201</v>
      </c>
      <c r="V4765" s="312"/>
    </row>
    <row r="4766">
      <c r="A4766" s="308">
        <v>4765.0</v>
      </c>
      <c r="B4766" s="308"/>
      <c r="C4766" s="308" t="s">
        <v>19238</v>
      </c>
      <c r="D4766" s="308">
        <f>IFERROR(__xludf.DUMMYFUNCTION("SPLIT(C4766,""-"")"),4786.0)</f>
        <v>4786</v>
      </c>
      <c r="E4766" s="308" t="str">
        <f>IFERROR(__xludf.DUMMYFUNCTION("""COMPUTED_VALUE"""),"P")</f>
        <v>P</v>
      </c>
      <c r="F4766" s="312" t="s">
        <v>37</v>
      </c>
      <c r="G4766" s="308"/>
      <c r="H4766" s="308" t="s">
        <v>19239</v>
      </c>
      <c r="I4766" s="310">
        <v>43147.0</v>
      </c>
      <c r="J4766" s="319">
        <f>IFERROR(__xludf.DUMMYFUNCTION("SPLIT(I4766,""/"")"),16.0)</f>
        <v>16</v>
      </c>
      <c r="K4766" s="308">
        <f>IFERROR(__xludf.DUMMYFUNCTION("""COMPUTED_VALUE"""),2.0)</f>
        <v>2</v>
      </c>
      <c r="L4766" s="308">
        <f>IFERROR(__xludf.DUMMYFUNCTION("""COMPUTED_VALUE"""),2018.0)</f>
        <v>2018</v>
      </c>
      <c r="M4766" s="308" t="s">
        <v>19240</v>
      </c>
      <c r="N4766" s="308"/>
      <c r="O4766" s="308"/>
      <c r="P4766" s="308" t="s">
        <v>19241</v>
      </c>
      <c r="Q4766" s="308" t="s">
        <v>37906</v>
      </c>
      <c r="R4766" s="308" t="s">
        <v>2743</v>
      </c>
      <c r="S4766" s="308" t="s">
        <v>81</v>
      </c>
      <c r="T4766" s="311" t="s">
        <v>51</v>
      </c>
      <c r="U4766" s="308" t="s">
        <v>143</v>
      </c>
      <c r="V4766" s="312"/>
    </row>
    <row r="4767">
      <c r="A4767" s="308">
        <v>4766.0</v>
      </c>
      <c r="B4767" s="308"/>
      <c r="C4767" s="308" t="s">
        <v>19242</v>
      </c>
      <c r="D4767" s="308">
        <f>IFERROR(__xludf.DUMMYFUNCTION("SPLIT(C4767,""-"")"),4787.0)</f>
        <v>4787</v>
      </c>
      <c r="E4767" s="308" t="str">
        <f>IFERROR(__xludf.DUMMYFUNCTION("""COMPUTED_VALUE"""),"P")</f>
        <v>P</v>
      </c>
      <c r="F4767" s="312" t="s">
        <v>37</v>
      </c>
      <c r="G4767" s="308"/>
      <c r="H4767" s="308" t="s">
        <v>19243</v>
      </c>
      <c r="I4767" s="314">
        <v>43069.0</v>
      </c>
      <c r="J4767" s="319">
        <f>IFERROR(__xludf.DUMMYFUNCTION("SPLIT(I4767,""/"")"),30.0)</f>
        <v>30</v>
      </c>
      <c r="K4767" s="308">
        <f>IFERROR(__xludf.DUMMYFUNCTION("""COMPUTED_VALUE"""),11.0)</f>
        <v>11</v>
      </c>
      <c r="L4767" s="308">
        <f>IFERROR(__xludf.DUMMYFUNCTION("""COMPUTED_VALUE"""),2017.0)</f>
        <v>2017</v>
      </c>
      <c r="M4767" s="308" t="s">
        <v>19244</v>
      </c>
      <c r="N4767" s="308"/>
      <c r="O4767" s="308" t="s">
        <v>19245</v>
      </c>
      <c r="P4767" s="308" t="s">
        <v>37911</v>
      </c>
      <c r="Q4767" s="308" t="s">
        <v>37906</v>
      </c>
      <c r="R4767" s="308" t="s">
        <v>2743</v>
      </c>
      <c r="S4767" s="308" t="s">
        <v>81</v>
      </c>
      <c r="T4767" s="308" t="s">
        <v>75</v>
      </c>
      <c r="U4767" s="308" t="s">
        <v>143</v>
      </c>
      <c r="V4767" s="312"/>
    </row>
    <row r="4768">
      <c r="A4768" s="308">
        <v>4767.0</v>
      </c>
      <c r="B4768" s="308"/>
      <c r="C4768" s="308" t="s">
        <v>19247</v>
      </c>
      <c r="D4768" s="308">
        <f>IFERROR(__xludf.DUMMYFUNCTION("SPLIT(C4768,""-"")"),4788.0)</f>
        <v>4788</v>
      </c>
      <c r="E4768" s="308" t="str">
        <f>IFERROR(__xludf.DUMMYFUNCTION("""COMPUTED_VALUE"""),"S")</f>
        <v>S</v>
      </c>
      <c r="F4768" s="312" t="s">
        <v>39</v>
      </c>
      <c r="G4768" s="308"/>
      <c r="H4768" s="308" t="s">
        <v>19248</v>
      </c>
      <c r="I4768" s="310">
        <v>43118.0</v>
      </c>
      <c r="J4768" s="319">
        <f>IFERROR(__xludf.DUMMYFUNCTION("SPLIT(I4768,""/"")"),18.0)</f>
        <v>18</v>
      </c>
      <c r="K4768" s="308">
        <f>IFERROR(__xludf.DUMMYFUNCTION("""COMPUTED_VALUE"""),1.0)</f>
        <v>1</v>
      </c>
      <c r="L4768" s="308">
        <f>IFERROR(__xludf.DUMMYFUNCTION("""COMPUTED_VALUE"""),2018.0)</f>
        <v>2018</v>
      </c>
      <c r="M4768" s="308" t="s">
        <v>19249</v>
      </c>
      <c r="N4768" s="308"/>
      <c r="O4768" s="308"/>
      <c r="P4768" s="308" t="s">
        <v>37912</v>
      </c>
      <c r="Q4768" s="308" t="s">
        <v>37913</v>
      </c>
      <c r="R4768" s="308" t="s">
        <v>2743</v>
      </c>
      <c r="S4768" s="308" t="s">
        <v>81</v>
      </c>
      <c r="T4768" s="308" t="s">
        <v>75</v>
      </c>
      <c r="U4768" s="308" t="s">
        <v>40</v>
      </c>
      <c r="V4768" s="312"/>
    </row>
    <row r="4769">
      <c r="A4769" s="308">
        <v>4768.0</v>
      </c>
      <c r="B4769" s="308"/>
      <c r="C4769" s="308" t="s">
        <v>19251</v>
      </c>
      <c r="D4769" s="308">
        <f>IFERROR(__xludf.DUMMYFUNCTION("SPLIT(C4769,""-"")"),4789.0)</f>
        <v>4789</v>
      </c>
      <c r="E4769" s="308" t="str">
        <f>IFERROR(__xludf.DUMMYFUNCTION("""COMPUTED_VALUE"""),"P")</f>
        <v>P</v>
      </c>
      <c r="F4769" s="312" t="s">
        <v>37</v>
      </c>
      <c r="G4769" s="308"/>
      <c r="H4769" s="308" t="s">
        <v>19252</v>
      </c>
      <c r="I4769" s="310">
        <v>43154.0</v>
      </c>
      <c r="J4769" s="319">
        <f>IFERROR(__xludf.DUMMYFUNCTION("SPLIT(I4769,""/"")"),23.0)</f>
        <v>23</v>
      </c>
      <c r="K4769" s="308">
        <f>IFERROR(__xludf.DUMMYFUNCTION("""COMPUTED_VALUE"""),2.0)</f>
        <v>2</v>
      </c>
      <c r="L4769" s="308">
        <f>IFERROR(__xludf.DUMMYFUNCTION("""COMPUTED_VALUE"""),2018.0)</f>
        <v>2018</v>
      </c>
      <c r="M4769" s="308" t="s">
        <v>19253</v>
      </c>
      <c r="N4769" s="308"/>
      <c r="O4769" s="308" t="s">
        <v>19254</v>
      </c>
      <c r="P4769" s="308" t="s">
        <v>19255</v>
      </c>
      <c r="Q4769" s="308" t="s">
        <v>37914</v>
      </c>
      <c r="R4769" s="308" t="s">
        <v>2743</v>
      </c>
      <c r="S4769" s="308" t="s">
        <v>81</v>
      </c>
      <c r="T4769" s="308" t="s">
        <v>98</v>
      </c>
      <c r="U4769" s="308" t="s">
        <v>3690</v>
      </c>
      <c r="V4769" s="312"/>
    </row>
    <row r="4770">
      <c r="A4770" s="308">
        <v>4769.0</v>
      </c>
      <c r="B4770" s="308"/>
      <c r="C4770" s="308" t="s">
        <v>19256</v>
      </c>
      <c r="D4770" s="308">
        <f>IFERROR(__xludf.DUMMYFUNCTION("SPLIT(C4770,""-"")"),4790.0)</f>
        <v>4790</v>
      </c>
      <c r="E4770" s="308" t="str">
        <f>IFERROR(__xludf.DUMMYFUNCTION("""COMPUTED_VALUE"""),"P")</f>
        <v>P</v>
      </c>
      <c r="F4770" s="312" t="s">
        <v>37</v>
      </c>
      <c r="G4770" s="308"/>
      <c r="H4770" s="308" t="s">
        <v>19257</v>
      </c>
      <c r="I4770" s="310">
        <v>43136.0</v>
      </c>
      <c r="J4770" s="319">
        <f>IFERROR(__xludf.DUMMYFUNCTION("SPLIT(I4770,""/"")"),5.0)</f>
        <v>5</v>
      </c>
      <c r="K4770" s="308">
        <f>IFERROR(__xludf.DUMMYFUNCTION("""COMPUTED_VALUE"""),2.0)</f>
        <v>2</v>
      </c>
      <c r="L4770" s="308">
        <f>IFERROR(__xludf.DUMMYFUNCTION("""COMPUTED_VALUE"""),2018.0)</f>
        <v>2018</v>
      </c>
      <c r="M4770" s="308" t="s">
        <v>19258</v>
      </c>
      <c r="N4770" s="308"/>
      <c r="O4770" s="308" t="s">
        <v>19259</v>
      </c>
      <c r="P4770" s="308" t="s">
        <v>37915</v>
      </c>
      <c r="Q4770" s="308" t="s">
        <v>37914</v>
      </c>
      <c r="R4770" s="308" t="s">
        <v>2743</v>
      </c>
      <c r="S4770" s="308" t="s">
        <v>81</v>
      </c>
      <c r="T4770" s="311" t="s">
        <v>51</v>
      </c>
      <c r="U4770" s="308" t="s">
        <v>143</v>
      </c>
      <c r="V4770" s="312"/>
    </row>
    <row r="4771">
      <c r="A4771" s="308">
        <v>4770.0</v>
      </c>
      <c r="B4771" s="308"/>
      <c r="C4771" s="308" t="s">
        <v>19261</v>
      </c>
      <c r="D4771" s="308">
        <f>IFERROR(__xludf.DUMMYFUNCTION("SPLIT(C4771,""-"")"),4791.0)</f>
        <v>4791</v>
      </c>
      <c r="E4771" s="308" t="str">
        <f>IFERROR(__xludf.DUMMYFUNCTION("""COMPUTED_VALUE"""),"S")</f>
        <v>S</v>
      </c>
      <c r="F4771" s="312" t="s">
        <v>39</v>
      </c>
      <c r="G4771" s="308"/>
      <c r="H4771" s="308" t="s">
        <v>19262</v>
      </c>
      <c r="I4771" s="310">
        <v>40969.0</v>
      </c>
      <c r="J4771" s="319">
        <f>IFERROR(__xludf.DUMMYFUNCTION("SPLIT(I4771,""/"")"),1.0)</f>
        <v>1</v>
      </c>
      <c r="K4771" s="308">
        <f>IFERROR(__xludf.DUMMYFUNCTION("""COMPUTED_VALUE"""),3.0)</f>
        <v>3</v>
      </c>
      <c r="L4771" s="308">
        <f>IFERROR(__xludf.DUMMYFUNCTION("""COMPUTED_VALUE"""),2012.0)</f>
        <v>2012</v>
      </c>
      <c r="M4771" s="308" t="s">
        <v>19263</v>
      </c>
      <c r="N4771" s="308"/>
      <c r="O4771" s="308" t="s">
        <v>19264</v>
      </c>
      <c r="P4771" s="308" t="s">
        <v>37916</v>
      </c>
      <c r="Q4771" s="308" t="s">
        <v>37917</v>
      </c>
      <c r="R4771" s="308" t="s">
        <v>2743</v>
      </c>
      <c r="S4771" s="308" t="s">
        <v>49</v>
      </c>
      <c r="T4771" s="311" t="s">
        <v>70</v>
      </c>
      <c r="U4771" s="308" t="s">
        <v>40</v>
      </c>
      <c r="V4771" s="312"/>
    </row>
    <row r="4772">
      <c r="A4772" s="308">
        <v>4771.0</v>
      </c>
      <c r="B4772" s="308"/>
      <c r="C4772" s="308" t="s">
        <v>19266</v>
      </c>
      <c r="D4772" s="308">
        <f>IFERROR(__xludf.DUMMYFUNCTION("SPLIT(C4772,""-"")"),4792.0)</f>
        <v>4792</v>
      </c>
      <c r="E4772" s="308" t="str">
        <f>IFERROR(__xludf.DUMMYFUNCTION("""COMPUTED_VALUE"""),"K")</f>
        <v>K</v>
      </c>
      <c r="F4772" s="309" t="s">
        <v>34</v>
      </c>
      <c r="G4772" s="308"/>
      <c r="H4772" s="308" t="s">
        <v>19267</v>
      </c>
      <c r="I4772" s="310">
        <v>39995.0</v>
      </c>
      <c r="J4772" s="319">
        <f>IFERROR(__xludf.DUMMYFUNCTION("SPLIT(I4772,""/"")"),1.0)</f>
        <v>1</v>
      </c>
      <c r="K4772" s="308">
        <f>IFERROR(__xludf.DUMMYFUNCTION("""COMPUTED_VALUE"""),7.0)</f>
        <v>7</v>
      </c>
      <c r="L4772" s="308">
        <f>IFERROR(__xludf.DUMMYFUNCTION("""COMPUTED_VALUE"""),2009.0)</f>
        <v>2009</v>
      </c>
      <c r="M4772" s="308" t="s">
        <v>19268</v>
      </c>
      <c r="N4772" s="308" t="s">
        <v>19269</v>
      </c>
      <c r="O4772" s="308" t="s">
        <v>19270</v>
      </c>
      <c r="P4772" s="308" t="s">
        <v>8033</v>
      </c>
      <c r="Q4772" s="308" t="s">
        <v>37917</v>
      </c>
      <c r="R4772" s="308" t="s">
        <v>2743</v>
      </c>
      <c r="S4772" s="315" t="s">
        <v>100</v>
      </c>
      <c r="T4772" s="311" t="s">
        <v>34208</v>
      </c>
      <c r="U4772" s="308" t="s">
        <v>530</v>
      </c>
      <c r="V4772" s="312"/>
    </row>
    <row r="4773">
      <c r="A4773" s="308">
        <v>4772.0</v>
      </c>
      <c r="B4773" s="308"/>
      <c r="C4773" s="308" t="s">
        <v>19271</v>
      </c>
      <c r="D4773" s="308">
        <f>IFERROR(__xludf.DUMMYFUNCTION("SPLIT(C4773,""-"")"),4793.0)</f>
        <v>4793</v>
      </c>
      <c r="E4773" s="308" t="str">
        <f>IFERROR(__xludf.DUMMYFUNCTION("""COMPUTED_VALUE"""),"K")</f>
        <v>K</v>
      </c>
      <c r="F4773" s="309" t="s">
        <v>34</v>
      </c>
      <c r="G4773" s="308"/>
      <c r="H4773" s="308" t="s">
        <v>19272</v>
      </c>
      <c r="I4773" s="314">
        <v>39747.0</v>
      </c>
      <c r="J4773" s="319">
        <f>IFERROR(__xludf.DUMMYFUNCTION("SPLIT(I4773,""/"")"),26.0)</f>
        <v>26</v>
      </c>
      <c r="K4773" s="308">
        <f>IFERROR(__xludf.DUMMYFUNCTION("""COMPUTED_VALUE"""),10.0)</f>
        <v>10</v>
      </c>
      <c r="L4773" s="308">
        <f>IFERROR(__xludf.DUMMYFUNCTION("""COMPUTED_VALUE"""),2008.0)</f>
        <v>2008</v>
      </c>
      <c r="M4773" s="308" t="s">
        <v>19273</v>
      </c>
      <c r="N4773" s="308" t="s">
        <v>19274</v>
      </c>
      <c r="O4773" s="308"/>
      <c r="P4773" s="308" t="s">
        <v>8033</v>
      </c>
      <c r="Q4773" s="308" t="s">
        <v>37917</v>
      </c>
      <c r="R4773" s="308" t="s">
        <v>2743</v>
      </c>
      <c r="S4773" s="315" t="s">
        <v>100</v>
      </c>
      <c r="T4773" s="311" t="s">
        <v>34208</v>
      </c>
      <c r="U4773" s="308" t="s">
        <v>530</v>
      </c>
      <c r="V4773" s="312"/>
    </row>
    <row r="4774">
      <c r="A4774" s="308">
        <v>4773.0</v>
      </c>
      <c r="B4774" s="308"/>
      <c r="C4774" s="308" t="s">
        <v>19275</v>
      </c>
      <c r="D4774" s="308">
        <f>IFERROR(__xludf.DUMMYFUNCTION("SPLIT(C4774,""-"")"),4794.0)</f>
        <v>4794</v>
      </c>
      <c r="E4774" s="308" t="str">
        <f>IFERROR(__xludf.DUMMYFUNCTION("""COMPUTED_VALUE"""),"I")</f>
        <v>I</v>
      </c>
      <c r="F4774" s="309" t="s">
        <v>31</v>
      </c>
      <c r="G4774" s="308"/>
      <c r="H4774" s="308" t="s">
        <v>19276</v>
      </c>
      <c r="I4774" s="316" t="s">
        <v>407</v>
      </c>
      <c r="J4774" s="319"/>
      <c r="K4774" s="308"/>
      <c r="L4774" s="311" t="s">
        <v>79</v>
      </c>
      <c r="M4774" s="308" t="s">
        <v>19277</v>
      </c>
      <c r="N4774" s="308"/>
      <c r="O4774" s="308"/>
      <c r="P4774" s="308" t="s">
        <v>19278</v>
      </c>
      <c r="Q4774" s="308" t="s">
        <v>37917</v>
      </c>
      <c r="R4774" s="308" t="s">
        <v>2743</v>
      </c>
      <c r="S4774" s="308" t="s">
        <v>81</v>
      </c>
      <c r="T4774" s="308" t="s">
        <v>34264</v>
      </c>
      <c r="U4774" s="308" t="s">
        <v>5990</v>
      </c>
      <c r="V4774" s="312"/>
    </row>
    <row r="4775">
      <c r="A4775" s="308">
        <v>4774.0</v>
      </c>
      <c r="B4775" s="308"/>
      <c r="C4775" s="308" t="s">
        <v>19279</v>
      </c>
      <c r="D4775" s="308">
        <f>IFERROR(__xludf.DUMMYFUNCTION("SPLIT(C4775,""-"")"),4795.0)</f>
        <v>4795</v>
      </c>
      <c r="E4775" s="308" t="str">
        <f>IFERROR(__xludf.DUMMYFUNCTION("""COMPUTED_VALUE"""),"P")</f>
        <v>P</v>
      </c>
      <c r="F4775" s="312" t="s">
        <v>37</v>
      </c>
      <c r="G4775" s="308"/>
      <c r="H4775" s="308" t="s">
        <v>19280</v>
      </c>
      <c r="I4775" s="310">
        <v>43148.0</v>
      </c>
      <c r="J4775" s="319">
        <f>IFERROR(__xludf.DUMMYFUNCTION("SPLIT(I4775,""/"")"),17.0)</f>
        <v>17</v>
      </c>
      <c r="K4775" s="308">
        <f>IFERROR(__xludf.DUMMYFUNCTION("""COMPUTED_VALUE"""),2.0)</f>
        <v>2</v>
      </c>
      <c r="L4775" s="308">
        <f>IFERROR(__xludf.DUMMYFUNCTION("""COMPUTED_VALUE"""),2018.0)</f>
        <v>2018</v>
      </c>
      <c r="M4775" s="308" t="s">
        <v>19281</v>
      </c>
      <c r="N4775" s="308"/>
      <c r="O4775" s="308" t="s">
        <v>19282</v>
      </c>
      <c r="P4775" s="308" t="s">
        <v>37918</v>
      </c>
      <c r="Q4775" s="308" t="s">
        <v>37917</v>
      </c>
      <c r="R4775" s="308" t="s">
        <v>2743</v>
      </c>
      <c r="S4775" s="308" t="s">
        <v>81</v>
      </c>
      <c r="T4775" s="311" t="s">
        <v>51</v>
      </c>
      <c r="U4775" s="308" t="s">
        <v>1435</v>
      </c>
      <c r="V4775" s="312"/>
    </row>
    <row r="4776">
      <c r="A4776" s="308">
        <v>4775.0</v>
      </c>
      <c r="B4776" s="308"/>
      <c r="C4776" s="308" t="s">
        <v>19284</v>
      </c>
      <c r="D4776" s="308">
        <f>IFERROR(__xludf.DUMMYFUNCTION("SPLIT(C4776,""-"")"),4796.0)</f>
        <v>4796</v>
      </c>
      <c r="E4776" s="308" t="str">
        <f>IFERROR(__xludf.DUMMYFUNCTION("""COMPUTED_VALUE"""),"S")</f>
        <v>S</v>
      </c>
      <c r="F4776" s="312" t="s">
        <v>39</v>
      </c>
      <c r="G4776" s="308"/>
      <c r="H4776" s="308" t="s">
        <v>19285</v>
      </c>
      <c r="I4776" s="310">
        <v>43114.0</v>
      </c>
      <c r="J4776" s="319">
        <f>IFERROR(__xludf.DUMMYFUNCTION("SPLIT(I4776,""/"")"),14.0)</f>
        <v>14</v>
      </c>
      <c r="K4776" s="308">
        <f>IFERROR(__xludf.DUMMYFUNCTION("""COMPUTED_VALUE"""),1.0)</f>
        <v>1</v>
      </c>
      <c r="L4776" s="308">
        <f>IFERROR(__xludf.DUMMYFUNCTION("""COMPUTED_VALUE"""),2018.0)</f>
        <v>2018</v>
      </c>
      <c r="M4776" s="308" t="s">
        <v>37919</v>
      </c>
      <c r="N4776" s="308"/>
      <c r="O4776" s="308"/>
      <c r="P4776" s="308" t="s">
        <v>18938</v>
      </c>
      <c r="Q4776" s="308" t="s">
        <v>37920</v>
      </c>
      <c r="R4776" s="308" t="s">
        <v>2743</v>
      </c>
      <c r="S4776" s="308" t="s">
        <v>49</v>
      </c>
      <c r="T4776" s="311" t="s">
        <v>69</v>
      </c>
      <c r="U4776" s="308" t="s">
        <v>40</v>
      </c>
      <c r="V4776" s="312"/>
    </row>
    <row r="4777">
      <c r="A4777" s="308">
        <v>4776.0</v>
      </c>
      <c r="B4777" s="308"/>
      <c r="C4777" s="308" t="s">
        <v>19287</v>
      </c>
      <c r="D4777" s="308">
        <f>IFERROR(__xludf.DUMMYFUNCTION("SPLIT(C4777,""-"")"),4797.0)</f>
        <v>4797</v>
      </c>
      <c r="E4777" s="308" t="str">
        <f>IFERROR(__xludf.DUMMYFUNCTION("""COMPUTED_VALUE"""),"K")</f>
        <v>K</v>
      </c>
      <c r="F4777" s="309" t="s">
        <v>34</v>
      </c>
      <c r="G4777" s="308"/>
      <c r="H4777" s="308" t="s">
        <v>19288</v>
      </c>
      <c r="I4777" s="310">
        <v>43014.0</v>
      </c>
      <c r="J4777" s="319" t="str">
        <f>IFERROR(__xludf.DUMMYFUNCTION("SPLIT(I4777,""/"")"),"#REF!")</f>
        <v>#REF!</v>
      </c>
      <c r="K4777" s="308"/>
      <c r="L4777" s="308">
        <v>2017.0</v>
      </c>
      <c r="M4777" s="308" t="s">
        <v>19289</v>
      </c>
      <c r="N4777" s="308"/>
      <c r="O4777" s="308" t="s">
        <v>19290</v>
      </c>
      <c r="P4777" s="308" t="s">
        <v>37921</v>
      </c>
      <c r="Q4777" s="308" t="s">
        <v>37920</v>
      </c>
      <c r="R4777" s="308" t="s">
        <v>2743</v>
      </c>
      <c r="S4777" s="308" t="s">
        <v>81</v>
      </c>
      <c r="T4777" s="308" t="s">
        <v>75</v>
      </c>
      <c r="U4777" s="308" t="s">
        <v>2989</v>
      </c>
      <c r="V4777" s="312"/>
    </row>
    <row r="4778">
      <c r="A4778" s="308">
        <v>4777.0</v>
      </c>
      <c r="B4778" s="308"/>
      <c r="C4778" s="308" t="s">
        <v>19292</v>
      </c>
      <c r="D4778" s="308">
        <f>IFERROR(__xludf.DUMMYFUNCTION("SPLIT(C4778,""-"")"),4798.0)</f>
        <v>4798</v>
      </c>
      <c r="E4778" s="308" t="str">
        <f>IFERROR(__xludf.DUMMYFUNCTION("""COMPUTED_VALUE"""),"K")</f>
        <v>K</v>
      </c>
      <c r="F4778" s="309" t="s">
        <v>34</v>
      </c>
      <c r="G4778" s="308"/>
      <c r="H4778" s="308" t="s">
        <v>19293</v>
      </c>
      <c r="I4778" s="310">
        <v>42825.0</v>
      </c>
      <c r="J4778" s="319" t="str">
        <f>IFERROR(__xludf.DUMMYFUNCTION("SPLIT(I4778,""/"")"),"#REF!")</f>
        <v>#REF!</v>
      </c>
      <c r="K4778" s="308"/>
      <c r="L4778" s="308">
        <v>2017.0</v>
      </c>
      <c r="M4778" s="308" t="s">
        <v>19294</v>
      </c>
      <c r="N4778" s="308"/>
      <c r="O4778" s="308" t="s">
        <v>37922</v>
      </c>
      <c r="P4778" s="308" t="s">
        <v>6393</v>
      </c>
      <c r="Q4778" s="308" t="s">
        <v>37920</v>
      </c>
      <c r="R4778" s="308" t="s">
        <v>2743</v>
      </c>
      <c r="S4778" s="315" t="s">
        <v>100</v>
      </c>
      <c r="T4778" s="311" t="s">
        <v>34208</v>
      </c>
      <c r="U4778" s="308" t="s">
        <v>195</v>
      </c>
      <c r="V4778" s="312"/>
    </row>
    <row r="4779">
      <c r="A4779" s="308">
        <v>4778.0</v>
      </c>
      <c r="B4779" s="308"/>
      <c r="C4779" s="308" t="s">
        <v>19296</v>
      </c>
      <c r="D4779" s="308">
        <f>IFERROR(__xludf.DUMMYFUNCTION("SPLIT(C4779,""-"")"),4799.0)</f>
        <v>4799</v>
      </c>
      <c r="E4779" s="308" t="str">
        <f>IFERROR(__xludf.DUMMYFUNCTION("""COMPUTED_VALUE"""),"K")</f>
        <v>K</v>
      </c>
      <c r="F4779" s="309" t="s">
        <v>34</v>
      </c>
      <c r="G4779" s="308"/>
      <c r="H4779" s="308" t="s">
        <v>19297</v>
      </c>
      <c r="I4779" s="310">
        <v>41333.0</v>
      </c>
      <c r="J4779" s="319">
        <f>IFERROR(__xludf.DUMMYFUNCTION("SPLIT(I4779,""/"")"),28.0)</f>
        <v>28</v>
      </c>
      <c r="K4779" s="308">
        <f>IFERROR(__xludf.DUMMYFUNCTION("""COMPUTED_VALUE"""),2.0)</f>
        <v>2</v>
      </c>
      <c r="L4779" s="308">
        <f>IFERROR(__xludf.DUMMYFUNCTION("""COMPUTED_VALUE"""),2013.0)</f>
        <v>2013</v>
      </c>
      <c r="M4779" s="308" t="s">
        <v>19298</v>
      </c>
      <c r="N4779" s="308"/>
      <c r="O4779" s="308"/>
      <c r="P4779" s="308" t="s">
        <v>19299</v>
      </c>
      <c r="Q4779" s="308" t="s">
        <v>37920</v>
      </c>
      <c r="R4779" s="308" t="s">
        <v>2743</v>
      </c>
      <c r="S4779" s="308" t="s">
        <v>81</v>
      </c>
      <c r="T4779" s="308" t="s">
        <v>34264</v>
      </c>
      <c r="U4779" s="308" t="s">
        <v>941</v>
      </c>
      <c r="V4779" s="312"/>
    </row>
    <row r="4780">
      <c r="A4780" s="308">
        <v>4779.0</v>
      </c>
      <c r="B4780" s="308"/>
      <c r="C4780" s="308" t="s">
        <v>19300</v>
      </c>
      <c r="D4780" s="308">
        <f>IFERROR(__xludf.DUMMYFUNCTION("SPLIT(C4780,""-"")"),4800.0)</f>
        <v>4800</v>
      </c>
      <c r="E4780" s="308" t="str">
        <f>IFERROR(__xludf.DUMMYFUNCTION("""COMPUTED_VALUE"""),"K")</f>
        <v>K</v>
      </c>
      <c r="F4780" s="309" t="s">
        <v>34</v>
      </c>
      <c r="G4780" s="308"/>
      <c r="H4780" s="308" t="s">
        <v>19301</v>
      </c>
      <c r="I4780" s="310">
        <v>42851.0</v>
      </c>
      <c r="J4780" s="319" t="str">
        <f>IFERROR(__xludf.DUMMYFUNCTION("SPLIT(I4780,""/"")"),"#REF!")</f>
        <v>#REF!</v>
      </c>
      <c r="K4780" s="308"/>
      <c r="L4780" s="308">
        <v>2017.0</v>
      </c>
      <c r="M4780" s="308" t="s">
        <v>19302</v>
      </c>
      <c r="N4780" s="308"/>
      <c r="O4780" s="308"/>
      <c r="P4780" s="308" t="s">
        <v>19303</v>
      </c>
      <c r="Q4780" s="308" t="s">
        <v>37920</v>
      </c>
      <c r="R4780" s="308" t="s">
        <v>2743</v>
      </c>
      <c r="S4780" s="308" t="s">
        <v>81</v>
      </c>
      <c r="T4780" s="311" t="s">
        <v>96</v>
      </c>
      <c r="U4780" s="308" t="s">
        <v>125</v>
      </c>
      <c r="V4780" s="312"/>
    </row>
    <row r="4781">
      <c r="A4781" s="308">
        <v>4780.0</v>
      </c>
      <c r="B4781" s="308"/>
      <c r="C4781" s="308" t="s">
        <v>19304</v>
      </c>
      <c r="D4781" s="308">
        <f>IFERROR(__xludf.DUMMYFUNCTION("SPLIT(C4781,""-"")"),4801.0)</f>
        <v>4801</v>
      </c>
      <c r="E4781" s="308" t="str">
        <f>IFERROR(__xludf.DUMMYFUNCTION("""COMPUTED_VALUE"""),"P")</f>
        <v>P</v>
      </c>
      <c r="F4781" s="312" t="s">
        <v>37</v>
      </c>
      <c r="G4781" s="308"/>
      <c r="H4781" s="308" t="s">
        <v>37923</v>
      </c>
      <c r="I4781" s="310">
        <v>42219.0</v>
      </c>
      <c r="J4781" s="319">
        <f>IFERROR(__xludf.DUMMYFUNCTION("SPLIT(I4781,""/"")"),3.0)</f>
        <v>3</v>
      </c>
      <c r="K4781" s="308">
        <f>IFERROR(__xludf.DUMMYFUNCTION("""COMPUTED_VALUE"""),8.0)</f>
        <v>8</v>
      </c>
      <c r="L4781" s="308">
        <f>IFERROR(__xludf.DUMMYFUNCTION("""COMPUTED_VALUE"""),2015.0)</f>
        <v>2015</v>
      </c>
      <c r="M4781" s="308" t="s">
        <v>19306</v>
      </c>
      <c r="N4781" s="308"/>
      <c r="O4781" s="308" t="s">
        <v>19307</v>
      </c>
      <c r="P4781" s="308" t="s">
        <v>7523</v>
      </c>
      <c r="Q4781" s="308" t="s">
        <v>37920</v>
      </c>
      <c r="R4781" s="308" t="s">
        <v>2743</v>
      </c>
      <c r="S4781" s="315" t="s">
        <v>100</v>
      </c>
      <c r="T4781" s="311" t="s">
        <v>34208</v>
      </c>
      <c r="U4781" s="308" t="s">
        <v>1910</v>
      </c>
      <c r="V4781" s="312"/>
    </row>
    <row r="4782">
      <c r="A4782" s="308">
        <v>4781.0</v>
      </c>
      <c r="B4782" s="308"/>
      <c r="C4782" s="308" t="s">
        <v>19308</v>
      </c>
      <c r="D4782" s="308">
        <f>IFERROR(__xludf.DUMMYFUNCTION("SPLIT(C4782,""-"")"),4802.0)</f>
        <v>4802</v>
      </c>
      <c r="E4782" s="308" t="str">
        <f>IFERROR(__xludf.DUMMYFUNCTION("""COMPUTED_VALUE"""),"A")</f>
        <v>A</v>
      </c>
      <c r="F4782" s="309" t="s">
        <v>23</v>
      </c>
      <c r="G4782" s="308"/>
      <c r="H4782" s="308" t="s">
        <v>19309</v>
      </c>
      <c r="I4782" s="314">
        <v>41996.0</v>
      </c>
      <c r="J4782" s="319">
        <f>IFERROR(__xludf.DUMMYFUNCTION("SPLIT(I4782,""/"")"),23.0)</f>
        <v>23</v>
      </c>
      <c r="K4782" s="308">
        <f>IFERROR(__xludf.DUMMYFUNCTION("""COMPUTED_VALUE"""),12.0)</f>
        <v>12</v>
      </c>
      <c r="L4782" s="308">
        <f>IFERROR(__xludf.DUMMYFUNCTION("""COMPUTED_VALUE"""),2014.0)</f>
        <v>2014</v>
      </c>
      <c r="M4782" s="308" t="s">
        <v>19310</v>
      </c>
      <c r="N4782" s="308"/>
      <c r="O4782" s="308" t="s">
        <v>19311</v>
      </c>
      <c r="P4782" s="308" t="s">
        <v>11313</v>
      </c>
      <c r="Q4782" s="308" t="s">
        <v>37920</v>
      </c>
      <c r="R4782" s="308" t="s">
        <v>2743</v>
      </c>
      <c r="S4782" s="315" t="s">
        <v>100</v>
      </c>
      <c r="T4782" s="311" t="s">
        <v>34208</v>
      </c>
      <c r="U4782" s="308" t="s">
        <v>19312</v>
      </c>
      <c r="V4782" s="312"/>
    </row>
    <row r="4783">
      <c r="A4783" s="308">
        <v>4782.0</v>
      </c>
      <c r="B4783" s="308"/>
      <c r="C4783" s="308" t="s">
        <v>19313</v>
      </c>
      <c r="D4783" s="308">
        <f>IFERROR(__xludf.DUMMYFUNCTION("SPLIT(C4783,""-"")"),4803.0)</f>
        <v>4803</v>
      </c>
      <c r="E4783" s="308" t="str">
        <f>IFERROR(__xludf.DUMMYFUNCTION("""COMPUTED_VALUE"""),"I")</f>
        <v>I</v>
      </c>
      <c r="F4783" s="309" t="s">
        <v>31</v>
      </c>
      <c r="G4783" s="308"/>
      <c r="H4783" s="308" t="s">
        <v>19314</v>
      </c>
      <c r="I4783" s="314">
        <v>41996.0</v>
      </c>
      <c r="J4783" s="319">
        <f>IFERROR(__xludf.DUMMYFUNCTION("SPLIT(I4783,""/"")"),23.0)</f>
        <v>23</v>
      </c>
      <c r="K4783" s="308">
        <f>IFERROR(__xludf.DUMMYFUNCTION("""COMPUTED_VALUE"""),12.0)</f>
        <v>12</v>
      </c>
      <c r="L4783" s="308">
        <f>IFERROR(__xludf.DUMMYFUNCTION("""COMPUTED_VALUE"""),2014.0)</f>
        <v>2014</v>
      </c>
      <c r="M4783" s="308" t="s">
        <v>19315</v>
      </c>
      <c r="N4783" s="308" t="s">
        <v>439</v>
      </c>
      <c r="O4783" s="308" t="s">
        <v>19316</v>
      </c>
      <c r="P4783" s="308" t="s">
        <v>37924</v>
      </c>
      <c r="Q4783" s="308" t="s">
        <v>37920</v>
      </c>
      <c r="R4783" s="308" t="s">
        <v>2743</v>
      </c>
      <c r="S4783" s="308" t="s">
        <v>81</v>
      </c>
      <c r="T4783" s="311" t="s">
        <v>75</v>
      </c>
      <c r="U4783" s="308" t="s">
        <v>31</v>
      </c>
      <c r="V4783" s="312"/>
    </row>
    <row r="4784">
      <c r="A4784" s="308">
        <v>4783.0</v>
      </c>
      <c r="B4784" s="308"/>
      <c r="C4784" s="308" t="s">
        <v>19318</v>
      </c>
      <c r="D4784" s="308">
        <f>IFERROR(__xludf.DUMMYFUNCTION("SPLIT(C4784,""-"")"),4804.0)</f>
        <v>4804</v>
      </c>
      <c r="E4784" s="308" t="str">
        <f>IFERROR(__xludf.DUMMYFUNCTION("""COMPUTED_VALUE"""),"P")</f>
        <v>P</v>
      </c>
      <c r="F4784" s="312" t="s">
        <v>37</v>
      </c>
      <c r="G4784" s="308"/>
      <c r="H4784" s="308" t="s">
        <v>19319</v>
      </c>
      <c r="I4784" s="314">
        <v>43032.0</v>
      </c>
      <c r="J4784" s="319">
        <f>IFERROR(__xludf.DUMMYFUNCTION("SPLIT(I4784,""/"")"),24.0)</f>
        <v>24</v>
      </c>
      <c r="K4784" s="308">
        <f>IFERROR(__xludf.DUMMYFUNCTION("""COMPUTED_VALUE"""),10.0)</f>
        <v>10</v>
      </c>
      <c r="L4784" s="308">
        <f>IFERROR(__xludf.DUMMYFUNCTION("""COMPUTED_VALUE"""),2017.0)</f>
        <v>2017</v>
      </c>
      <c r="M4784" s="308" t="s">
        <v>19320</v>
      </c>
      <c r="N4784" s="308"/>
      <c r="O4784" s="308" t="s">
        <v>19321</v>
      </c>
      <c r="P4784" s="308" t="s">
        <v>19322</v>
      </c>
      <c r="Q4784" s="308" t="s">
        <v>37920</v>
      </c>
      <c r="R4784" s="308" t="s">
        <v>2743</v>
      </c>
      <c r="S4784" s="308" t="s">
        <v>81</v>
      </c>
      <c r="T4784" s="311" t="s">
        <v>51</v>
      </c>
      <c r="U4784" s="308" t="s">
        <v>143</v>
      </c>
      <c r="V4784" s="312"/>
    </row>
    <row r="4785">
      <c r="A4785" s="308">
        <v>4784.0</v>
      </c>
      <c r="B4785" s="308"/>
      <c r="C4785" s="308" t="s">
        <v>19323</v>
      </c>
      <c r="D4785" s="308">
        <f>IFERROR(__xludf.DUMMYFUNCTION("SPLIT(C4785,""-"")"),4805.0)</f>
        <v>4805</v>
      </c>
      <c r="E4785" s="308" t="str">
        <f>IFERROR(__xludf.DUMMYFUNCTION("""COMPUTED_VALUE"""),"K")</f>
        <v>K</v>
      </c>
      <c r="F4785" s="309" t="s">
        <v>34</v>
      </c>
      <c r="G4785" s="308"/>
      <c r="H4785" s="308" t="s">
        <v>19324</v>
      </c>
      <c r="I4785" s="310">
        <v>42543.0</v>
      </c>
      <c r="J4785" s="319">
        <f>IFERROR(__xludf.DUMMYFUNCTION("SPLIT(I4785,""/"")"),22.0)</f>
        <v>22</v>
      </c>
      <c r="K4785" s="308">
        <f>IFERROR(__xludf.DUMMYFUNCTION("""COMPUTED_VALUE"""),6.0)</f>
        <v>6</v>
      </c>
      <c r="L4785" s="308">
        <f>IFERROR(__xludf.DUMMYFUNCTION("""COMPUTED_VALUE"""),2016.0)</f>
        <v>2016</v>
      </c>
      <c r="M4785" s="308" t="s">
        <v>37925</v>
      </c>
      <c r="N4785" s="308"/>
      <c r="O4785" s="308"/>
      <c r="P4785" s="308" t="s">
        <v>19326</v>
      </c>
      <c r="Q4785" s="308" t="s">
        <v>37920</v>
      </c>
      <c r="R4785" s="308" t="s">
        <v>2743</v>
      </c>
      <c r="S4785" s="308" t="s">
        <v>81</v>
      </c>
      <c r="T4785" s="308" t="s">
        <v>34264</v>
      </c>
      <c r="U4785" s="308" t="s">
        <v>125</v>
      </c>
      <c r="V4785" s="308" t="s">
        <v>19327</v>
      </c>
    </row>
    <row r="4786">
      <c r="A4786" s="308">
        <v>4785.0</v>
      </c>
      <c r="B4786" s="308"/>
      <c r="C4786" s="308" t="s">
        <v>19328</v>
      </c>
      <c r="D4786" s="308">
        <f>IFERROR(__xludf.DUMMYFUNCTION("SPLIT(C4786,""-"")"),4806.0)</f>
        <v>4806</v>
      </c>
      <c r="E4786" s="308" t="str">
        <f>IFERROR(__xludf.DUMMYFUNCTION("""COMPUTED_VALUE"""),"S")</f>
        <v>S</v>
      </c>
      <c r="F4786" s="312" t="s">
        <v>39</v>
      </c>
      <c r="G4786" s="308"/>
      <c r="H4786" s="308" t="s">
        <v>37926</v>
      </c>
      <c r="I4786" s="310">
        <v>43135.0</v>
      </c>
      <c r="J4786" s="319">
        <f>IFERROR(__xludf.DUMMYFUNCTION("SPLIT(I4786,""/"")"),4.0)</f>
        <v>4</v>
      </c>
      <c r="K4786" s="308">
        <f>IFERROR(__xludf.DUMMYFUNCTION("""COMPUTED_VALUE"""),2.0)</f>
        <v>2</v>
      </c>
      <c r="L4786" s="308">
        <f>IFERROR(__xludf.DUMMYFUNCTION("""COMPUTED_VALUE"""),2018.0)</f>
        <v>2018</v>
      </c>
      <c r="M4786" s="308" t="s">
        <v>19330</v>
      </c>
      <c r="N4786" s="308"/>
      <c r="O4786" s="308" t="s">
        <v>19331</v>
      </c>
      <c r="P4786" s="308" t="s">
        <v>37927</v>
      </c>
      <c r="Q4786" s="308" t="s">
        <v>37928</v>
      </c>
      <c r="R4786" s="308" t="s">
        <v>2743</v>
      </c>
      <c r="S4786" s="308" t="s">
        <v>81</v>
      </c>
      <c r="T4786" s="308" t="s">
        <v>75</v>
      </c>
      <c r="U4786" s="308" t="s">
        <v>40</v>
      </c>
      <c r="V4786" s="312"/>
    </row>
    <row r="4787">
      <c r="A4787" s="308">
        <v>4786.0</v>
      </c>
      <c r="B4787" s="308"/>
      <c r="C4787" s="308" t="s">
        <v>19333</v>
      </c>
      <c r="D4787" s="308">
        <f>IFERROR(__xludf.DUMMYFUNCTION("SPLIT(C4787,""-"")"),4807.0)</f>
        <v>4807</v>
      </c>
      <c r="E4787" s="308" t="str">
        <f>IFERROR(__xludf.DUMMYFUNCTION("""COMPUTED_VALUE"""),"S")</f>
        <v>S</v>
      </c>
      <c r="F4787" s="312" t="s">
        <v>39</v>
      </c>
      <c r="G4787" s="308"/>
      <c r="H4787" s="308" t="s">
        <v>19334</v>
      </c>
      <c r="I4787" s="310">
        <v>43142.0</v>
      </c>
      <c r="J4787" s="319">
        <f>IFERROR(__xludf.DUMMYFUNCTION("SPLIT(I4787,""/"")"),11.0)</f>
        <v>11</v>
      </c>
      <c r="K4787" s="308">
        <f>IFERROR(__xludf.DUMMYFUNCTION("""COMPUTED_VALUE"""),2.0)</f>
        <v>2</v>
      </c>
      <c r="L4787" s="308">
        <f>IFERROR(__xludf.DUMMYFUNCTION("""COMPUTED_VALUE"""),2018.0)</f>
        <v>2018</v>
      </c>
      <c r="M4787" s="308" t="s">
        <v>19335</v>
      </c>
      <c r="N4787" s="308"/>
      <c r="O4787" s="308"/>
      <c r="P4787" s="308" t="s">
        <v>37929</v>
      </c>
      <c r="Q4787" s="308" t="s">
        <v>37930</v>
      </c>
      <c r="R4787" s="308" t="s">
        <v>2743</v>
      </c>
      <c r="S4787" s="308" t="s">
        <v>49</v>
      </c>
      <c r="T4787" s="308" t="s">
        <v>53</v>
      </c>
      <c r="U4787" s="308" t="s">
        <v>40</v>
      </c>
      <c r="V4787" s="312"/>
    </row>
    <row r="4788">
      <c r="A4788" s="308">
        <v>4787.0</v>
      </c>
      <c r="B4788" s="308"/>
      <c r="C4788" s="308" t="s">
        <v>19337</v>
      </c>
      <c r="D4788" s="308">
        <f>IFERROR(__xludf.DUMMYFUNCTION("SPLIT(C4788,""-"")"),4808.0)</f>
        <v>4808</v>
      </c>
      <c r="E4788" s="308" t="str">
        <f>IFERROR(__xludf.DUMMYFUNCTION("""COMPUTED_VALUE"""),"P")</f>
        <v>P</v>
      </c>
      <c r="F4788" s="312" t="s">
        <v>37</v>
      </c>
      <c r="G4788" s="308"/>
      <c r="H4788" s="308" t="s">
        <v>19338</v>
      </c>
      <c r="I4788" s="310">
        <v>42583.0</v>
      </c>
      <c r="J4788" s="319">
        <f>IFERROR(__xludf.DUMMYFUNCTION("SPLIT(I4788,""/"")"),1.0)</f>
        <v>1</v>
      </c>
      <c r="K4788" s="308">
        <f>IFERROR(__xludf.DUMMYFUNCTION("""COMPUTED_VALUE"""),8.0)</f>
        <v>8</v>
      </c>
      <c r="L4788" s="308">
        <f>IFERROR(__xludf.DUMMYFUNCTION("""COMPUTED_VALUE"""),2016.0)</f>
        <v>2016</v>
      </c>
      <c r="M4788" s="308" t="s">
        <v>19339</v>
      </c>
      <c r="N4788" s="308"/>
      <c r="O4788" s="308" t="s">
        <v>19340</v>
      </c>
      <c r="P4788" s="308" t="s">
        <v>19341</v>
      </c>
      <c r="Q4788" s="308" t="s">
        <v>37930</v>
      </c>
      <c r="R4788" s="308" t="s">
        <v>2743</v>
      </c>
      <c r="S4788" s="308" t="s">
        <v>81</v>
      </c>
      <c r="T4788" s="308" t="s">
        <v>34264</v>
      </c>
      <c r="U4788" s="308" t="s">
        <v>143</v>
      </c>
      <c r="V4788" s="312"/>
    </row>
    <row r="4789">
      <c r="A4789" s="308">
        <v>4788.0</v>
      </c>
      <c r="B4789" s="308"/>
      <c r="C4789" s="308" t="s">
        <v>19342</v>
      </c>
      <c r="D4789" s="308">
        <f>IFERROR(__xludf.DUMMYFUNCTION("SPLIT(C4789,""-"")"),4809.0)</f>
        <v>4809</v>
      </c>
      <c r="E4789" s="308" t="str">
        <f>IFERROR(__xludf.DUMMYFUNCTION("""COMPUTED_VALUE"""),"F")</f>
        <v>F</v>
      </c>
      <c r="F4789" s="309" t="s">
        <v>34</v>
      </c>
      <c r="G4789" s="308"/>
      <c r="H4789" s="308" t="s">
        <v>19343</v>
      </c>
      <c r="I4789" s="314">
        <v>42328.0</v>
      </c>
      <c r="J4789" s="319">
        <f>IFERROR(__xludf.DUMMYFUNCTION("SPLIT(I4789,""/"")"),20.0)</f>
        <v>20</v>
      </c>
      <c r="K4789" s="308">
        <f>IFERROR(__xludf.DUMMYFUNCTION("""COMPUTED_VALUE"""),11.0)</f>
        <v>11</v>
      </c>
      <c r="L4789" s="308">
        <f>IFERROR(__xludf.DUMMYFUNCTION("""COMPUTED_VALUE"""),2015.0)</f>
        <v>2015</v>
      </c>
      <c r="M4789" s="308" t="s">
        <v>19344</v>
      </c>
      <c r="N4789" s="308" t="s">
        <v>439</v>
      </c>
      <c r="O4789" s="308"/>
      <c r="P4789" s="308" t="s">
        <v>37869</v>
      </c>
      <c r="Q4789" s="308" t="s">
        <v>37930</v>
      </c>
      <c r="R4789" s="308" t="s">
        <v>2743</v>
      </c>
      <c r="S4789" s="315" t="s">
        <v>100</v>
      </c>
      <c r="T4789" s="311" t="s">
        <v>34208</v>
      </c>
      <c r="U4789" s="308" t="s">
        <v>6875</v>
      </c>
      <c r="V4789" s="312"/>
    </row>
    <row r="4790">
      <c r="A4790" s="308">
        <v>4789.0</v>
      </c>
      <c r="B4790" s="308"/>
      <c r="C4790" s="308" t="s">
        <v>19345</v>
      </c>
      <c r="D4790" s="308" t="str">
        <f>IFERROR(__xludf.DUMMYFUNCTION("SPLIT(C4790,""-"")"),"#REF!")</f>
        <v>#REF!</v>
      </c>
      <c r="E4790" s="311"/>
      <c r="F4790" s="317" t="s">
        <v>37</v>
      </c>
      <c r="G4790" s="308"/>
      <c r="H4790" s="308" t="s">
        <v>19346</v>
      </c>
      <c r="I4790" s="310">
        <v>43071.0</v>
      </c>
      <c r="J4790" s="319">
        <f>IFERROR(__xludf.DUMMYFUNCTION("SPLIT(I4790,""/"")"),2.0)</f>
        <v>2</v>
      </c>
      <c r="K4790" s="308">
        <f>IFERROR(__xludf.DUMMYFUNCTION("""COMPUTED_VALUE"""),12.0)</f>
        <v>12</v>
      </c>
      <c r="L4790" s="308">
        <f>IFERROR(__xludf.DUMMYFUNCTION("""COMPUTED_VALUE"""),2017.0)</f>
        <v>2017</v>
      </c>
      <c r="M4790" s="308" t="s">
        <v>19347</v>
      </c>
      <c r="N4790" s="308"/>
      <c r="O4790" s="308"/>
      <c r="P4790" s="308" t="s">
        <v>18362</v>
      </c>
      <c r="Q4790" s="308" t="s">
        <v>37930</v>
      </c>
      <c r="R4790" s="308" t="s">
        <v>2743</v>
      </c>
      <c r="S4790" s="308" t="s">
        <v>81</v>
      </c>
      <c r="T4790" s="308" t="s">
        <v>75</v>
      </c>
      <c r="U4790" s="308" t="s">
        <v>149</v>
      </c>
      <c r="V4790" s="312"/>
    </row>
    <row r="4791">
      <c r="A4791" s="308">
        <v>4790.0</v>
      </c>
      <c r="B4791" s="308"/>
      <c r="C4791" s="308" t="s">
        <v>19348</v>
      </c>
      <c r="D4791" s="308">
        <f>IFERROR(__xludf.DUMMYFUNCTION("SPLIT(C4791,""-"")"),4811.0)</f>
        <v>4811</v>
      </c>
      <c r="E4791" s="308" t="str">
        <f>IFERROR(__xludf.DUMMYFUNCTION("""COMPUTED_VALUE"""),"S")</f>
        <v>S</v>
      </c>
      <c r="F4791" s="312" t="s">
        <v>39</v>
      </c>
      <c r="G4791" s="308"/>
      <c r="H4791" s="308" t="s">
        <v>37931</v>
      </c>
      <c r="I4791" s="310">
        <v>43101.0</v>
      </c>
      <c r="J4791" s="319">
        <f>IFERROR(__xludf.DUMMYFUNCTION("SPLIT(I4791,""/"")"),1.0)</f>
        <v>1</v>
      </c>
      <c r="K4791" s="308">
        <f>IFERROR(__xludf.DUMMYFUNCTION("""COMPUTED_VALUE"""),1.0)</f>
        <v>1</v>
      </c>
      <c r="L4791" s="308">
        <f>IFERROR(__xludf.DUMMYFUNCTION("""COMPUTED_VALUE"""),2018.0)</f>
        <v>2018</v>
      </c>
      <c r="M4791" s="308" t="s">
        <v>19350</v>
      </c>
      <c r="N4791" s="308"/>
      <c r="O4791" s="308"/>
      <c r="P4791" s="308" t="s">
        <v>37932</v>
      </c>
      <c r="Q4791" s="308" t="s">
        <v>37930</v>
      </c>
      <c r="R4791" s="308" t="s">
        <v>2743</v>
      </c>
      <c r="S4791" s="308" t="s">
        <v>81</v>
      </c>
      <c r="T4791" s="308" t="s">
        <v>75</v>
      </c>
      <c r="U4791" s="308" t="s">
        <v>166</v>
      </c>
      <c r="V4791" s="312"/>
    </row>
    <row r="4792">
      <c r="A4792" s="308">
        <v>4791.0</v>
      </c>
      <c r="B4792" s="308"/>
      <c r="C4792" s="308" t="s">
        <v>19352</v>
      </c>
      <c r="D4792" s="308">
        <f>IFERROR(__xludf.DUMMYFUNCTION("SPLIT(C4792,""-"")"),4812.0)</f>
        <v>4812</v>
      </c>
      <c r="E4792" s="308" t="str">
        <f>IFERROR(__xludf.DUMMYFUNCTION("""COMPUTED_VALUE"""),"K")</f>
        <v>K</v>
      </c>
      <c r="F4792" s="309" t="s">
        <v>34</v>
      </c>
      <c r="G4792" s="308"/>
      <c r="H4792" s="308" t="s">
        <v>19353</v>
      </c>
      <c r="I4792" s="310">
        <v>42997.0</v>
      </c>
      <c r="J4792" s="319" t="str">
        <f>IFERROR(__xludf.DUMMYFUNCTION("SPLIT(I4792,""/"")"),"#REF!")</f>
        <v>#REF!</v>
      </c>
      <c r="K4792" s="308"/>
      <c r="L4792" s="308">
        <v>2017.0</v>
      </c>
      <c r="M4792" s="308" t="s">
        <v>19354</v>
      </c>
      <c r="N4792" s="308"/>
      <c r="O4792" s="308" t="s">
        <v>19355</v>
      </c>
      <c r="P4792" s="308" t="s">
        <v>37933</v>
      </c>
      <c r="Q4792" s="308" t="s">
        <v>37930</v>
      </c>
      <c r="R4792" s="308" t="s">
        <v>2743</v>
      </c>
      <c r="S4792" s="308" t="s">
        <v>81</v>
      </c>
      <c r="T4792" s="308" t="s">
        <v>73</v>
      </c>
      <c r="U4792" s="308" t="s">
        <v>3714</v>
      </c>
      <c r="V4792" s="312"/>
    </row>
    <row r="4793">
      <c r="A4793" s="308">
        <v>4792.0</v>
      </c>
      <c r="B4793" s="308"/>
      <c r="C4793" s="308" t="s">
        <v>19357</v>
      </c>
      <c r="D4793" s="308">
        <f>IFERROR(__xludf.DUMMYFUNCTION("SPLIT(C4793,""-"")"),4813.0)</f>
        <v>4813</v>
      </c>
      <c r="E4793" s="308" t="str">
        <f>IFERROR(__xludf.DUMMYFUNCTION("""COMPUTED_VALUE"""),"F")</f>
        <v>F</v>
      </c>
      <c r="F4793" s="309" t="s">
        <v>34</v>
      </c>
      <c r="G4793" s="308"/>
      <c r="H4793" s="308" t="s">
        <v>19358</v>
      </c>
      <c r="I4793" s="310">
        <v>41306.0</v>
      </c>
      <c r="J4793" s="319">
        <f>IFERROR(__xludf.DUMMYFUNCTION("SPLIT(I4793,""/"")"),1.0)</f>
        <v>1</v>
      </c>
      <c r="K4793" s="308">
        <f>IFERROR(__xludf.DUMMYFUNCTION("""COMPUTED_VALUE"""),2.0)</f>
        <v>2</v>
      </c>
      <c r="L4793" s="308">
        <f>IFERROR(__xludf.DUMMYFUNCTION("""COMPUTED_VALUE"""),2013.0)</f>
        <v>2013</v>
      </c>
      <c r="M4793" s="308" t="s">
        <v>19359</v>
      </c>
      <c r="N4793" s="308" t="s">
        <v>19360</v>
      </c>
      <c r="O4793" s="308"/>
      <c r="P4793" s="308" t="s">
        <v>37869</v>
      </c>
      <c r="Q4793" s="308" t="s">
        <v>37930</v>
      </c>
      <c r="R4793" s="308" t="s">
        <v>2743</v>
      </c>
      <c r="S4793" s="315" t="s">
        <v>100</v>
      </c>
      <c r="T4793" s="311" t="s">
        <v>34208</v>
      </c>
      <c r="U4793" s="308" t="s">
        <v>195</v>
      </c>
      <c r="V4793" s="312"/>
    </row>
    <row r="4794">
      <c r="A4794" s="308">
        <v>4793.0</v>
      </c>
      <c r="B4794" s="308"/>
      <c r="C4794" s="308" t="s">
        <v>19361</v>
      </c>
      <c r="D4794" s="308">
        <f>IFERROR(__xludf.DUMMYFUNCTION("SPLIT(C4794,""-"")"),4814.0)</f>
        <v>4814</v>
      </c>
      <c r="E4794" s="308" t="str">
        <f>IFERROR(__xludf.DUMMYFUNCTION("""COMPUTED_VALUE"""),"P")</f>
        <v>P</v>
      </c>
      <c r="F4794" s="312" t="s">
        <v>37</v>
      </c>
      <c r="G4794" s="308"/>
      <c r="H4794" s="308" t="s">
        <v>19362</v>
      </c>
      <c r="I4794" s="310">
        <v>42803.0</v>
      </c>
      <c r="J4794" s="319">
        <f>IFERROR(__xludf.DUMMYFUNCTION("SPLIT(I4794,""/"")"),9.0)</f>
        <v>9</v>
      </c>
      <c r="K4794" s="308">
        <f>IFERROR(__xludf.DUMMYFUNCTION("""COMPUTED_VALUE"""),3.0)</f>
        <v>3</v>
      </c>
      <c r="L4794" s="308">
        <f>IFERROR(__xludf.DUMMYFUNCTION("""COMPUTED_VALUE"""),2017.0)</f>
        <v>2017</v>
      </c>
      <c r="M4794" s="308" t="s">
        <v>19363</v>
      </c>
      <c r="N4794" s="308"/>
      <c r="O4794" s="308" t="s">
        <v>19364</v>
      </c>
      <c r="P4794" s="308" t="s">
        <v>37934</v>
      </c>
      <c r="Q4794" s="308" t="s">
        <v>37930</v>
      </c>
      <c r="R4794" s="308" t="s">
        <v>2743</v>
      </c>
      <c r="S4794" s="308" t="s">
        <v>81</v>
      </c>
      <c r="T4794" s="311" t="s">
        <v>96</v>
      </c>
      <c r="U4794" s="308" t="s">
        <v>143</v>
      </c>
      <c r="V4794" s="312"/>
    </row>
    <row r="4795">
      <c r="A4795" s="308">
        <v>4794.0</v>
      </c>
      <c r="B4795" s="308"/>
      <c r="C4795" s="308" t="s">
        <v>19366</v>
      </c>
      <c r="D4795" s="308">
        <f>IFERROR(__xludf.DUMMYFUNCTION("SPLIT(C4795,""-"")"),4815.0)</f>
        <v>4815</v>
      </c>
      <c r="E4795" s="308" t="str">
        <f>IFERROR(__xludf.DUMMYFUNCTION("""COMPUTED_VALUE"""),"K")</f>
        <v>K</v>
      </c>
      <c r="F4795" s="309" t="s">
        <v>34</v>
      </c>
      <c r="G4795" s="308"/>
      <c r="H4795" s="308" t="s">
        <v>19367</v>
      </c>
      <c r="I4795" s="314">
        <v>43067.0</v>
      </c>
      <c r="J4795" s="319" t="str">
        <f>IFERROR(__xludf.DUMMYFUNCTION("SPLIT(I4795,""/"")"),"#REF!")</f>
        <v>#REF!</v>
      </c>
      <c r="K4795" s="308"/>
      <c r="L4795" s="308">
        <v>2017.0</v>
      </c>
      <c r="M4795" s="308" t="s">
        <v>19368</v>
      </c>
      <c r="N4795" s="308"/>
      <c r="O4795" s="308"/>
      <c r="P4795" s="308" t="s">
        <v>37935</v>
      </c>
      <c r="Q4795" s="308" t="s">
        <v>37930</v>
      </c>
      <c r="R4795" s="308" t="s">
        <v>2743</v>
      </c>
      <c r="S4795" s="308" t="s">
        <v>81</v>
      </c>
      <c r="T4795" s="311" t="s">
        <v>51</v>
      </c>
      <c r="U4795" s="308" t="s">
        <v>125</v>
      </c>
      <c r="V4795" s="312"/>
    </row>
    <row r="4796">
      <c r="A4796" s="308">
        <v>4795.0</v>
      </c>
      <c r="B4796" s="308"/>
      <c r="C4796" s="308" t="s">
        <v>19370</v>
      </c>
      <c r="D4796" s="308">
        <f>IFERROR(__xludf.DUMMYFUNCTION("SPLIT(C4796,""-"")"),4816.0)</f>
        <v>4816</v>
      </c>
      <c r="E4796" s="308" t="str">
        <f>IFERROR(__xludf.DUMMYFUNCTION("""COMPUTED_VALUE"""),"K")</f>
        <v>K</v>
      </c>
      <c r="F4796" s="309" t="s">
        <v>34</v>
      </c>
      <c r="G4796" s="308"/>
      <c r="H4796" s="308" t="s">
        <v>19371</v>
      </c>
      <c r="I4796" s="322"/>
      <c r="J4796" s="319"/>
      <c r="K4796" s="308"/>
      <c r="L4796" s="311" t="s">
        <v>79</v>
      </c>
      <c r="M4796" s="308" t="s">
        <v>19372</v>
      </c>
      <c r="N4796" s="308"/>
      <c r="O4796" s="308"/>
      <c r="P4796" s="308" t="s">
        <v>37935</v>
      </c>
      <c r="Q4796" s="308" t="s">
        <v>37936</v>
      </c>
      <c r="R4796" s="308" t="s">
        <v>2743</v>
      </c>
      <c r="S4796" s="308" t="s">
        <v>81</v>
      </c>
      <c r="T4796" s="311" t="s">
        <v>51</v>
      </c>
      <c r="U4796" s="308" t="s">
        <v>2097</v>
      </c>
      <c r="V4796" s="312"/>
    </row>
    <row r="4797">
      <c r="A4797" s="308">
        <v>4796.0</v>
      </c>
      <c r="B4797" s="308"/>
      <c r="C4797" s="308" t="s">
        <v>19373</v>
      </c>
      <c r="D4797" s="308" t="str">
        <f>IFERROR(__xludf.DUMMYFUNCTION("SPLIT(C4797,""-"")"),"#REF!")</f>
        <v>#REF!</v>
      </c>
      <c r="E4797" s="311"/>
      <c r="F4797" s="317" t="s">
        <v>39</v>
      </c>
      <c r="G4797" s="308"/>
      <c r="H4797" s="308" t="s">
        <v>19374</v>
      </c>
      <c r="I4797" s="314">
        <v>42691.0</v>
      </c>
      <c r="J4797" s="319">
        <f>IFERROR(__xludf.DUMMYFUNCTION("SPLIT(I4797,""/"")"),17.0)</f>
        <v>17</v>
      </c>
      <c r="K4797" s="308">
        <f>IFERROR(__xludf.DUMMYFUNCTION("""COMPUTED_VALUE"""),11.0)</f>
        <v>11</v>
      </c>
      <c r="L4797" s="308">
        <f>IFERROR(__xludf.DUMMYFUNCTION("""COMPUTED_VALUE"""),2016.0)</f>
        <v>2016</v>
      </c>
      <c r="M4797" s="308" t="s">
        <v>19375</v>
      </c>
      <c r="N4797" s="308"/>
      <c r="O4797" s="308"/>
      <c r="P4797" s="308" t="s">
        <v>37937</v>
      </c>
      <c r="Q4797" s="308" t="s">
        <v>37936</v>
      </c>
      <c r="R4797" s="308" t="s">
        <v>2743</v>
      </c>
      <c r="S4797" s="315" t="s">
        <v>100</v>
      </c>
      <c r="T4797" s="311" t="s">
        <v>34208</v>
      </c>
      <c r="U4797" s="308" t="s">
        <v>166</v>
      </c>
      <c r="V4797" s="312"/>
    </row>
    <row r="4798">
      <c r="A4798" s="308">
        <v>4797.0</v>
      </c>
      <c r="B4798" s="308"/>
      <c r="C4798" s="308" t="s">
        <v>19376</v>
      </c>
      <c r="D4798" s="308">
        <f>IFERROR(__xludf.DUMMYFUNCTION("SPLIT(C4798,""-"")"),4818.0)</f>
        <v>4818</v>
      </c>
      <c r="E4798" s="308" t="str">
        <f>IFERROR(__xludf.DUMMYFUNCTION("""COMPUTED_VALUE"""),"P")</f>
        <v>P</v>
      </c>
      <c r="F4798" s="312" t="s">
        <v>37</v>
      </c>
      <c r="G4798" s="308"/>
      <c r="H4798" s="308" t="s">
        <v>19377</v>
      </c>
      <c r="I4798" s="310">
        <v>42786.0</v>
      </c>
      <c r="J4798" s="319">
        <f>IFERROR(__xludf.DUMMYFUNCTION("SPLIT(I4798,""/"")"),20.0)</f>
        <v>20</v>
      </c>
      <c r="K4798" s="308">
        <f>IFERROR(__xludf.DUMMYFUNCTION("""COMPUTED_VALUE"""),2.0)</f>
        <v>2</v>
      </c>
      <c r="L4798" s="308">
        <f>IFERROR(__xludf.DUMMYFUNCTION("""COMPUTED_VALUE"""),2017.0)</f>
        <v>2017</v>
      </c>
      <c r="M4798" s="308" t="s">
        <v>19378</v>
      </c>
      <c r="N4798" s="308"/>
      <c r="O4798" s="308"/>
      <c r="P4798" s="308" t="s">
        <v>19379</v>
      </c>
      <c r="Q4798" s="308" t="s">
        <v>37936</v>
      </c>
      <c r="R4798" s="308" t="s">
        <v>2743</v>
      </c>
      <c r="S4798" s="308" t="s">
        <v>81</v>
      </c>
      <c r="T4798" s="311" t="s">
        <v>35043</v>
      </c>
      <c r="U4798" s="308" t="s">
        <v>143</v>
      </c>
      <c r="V4798" s="312"/>
    </row>
    <row r="4799">
      <c r="A4799" s="308">
        <v>4798.0</v>
      </c>
      <c r="B4799" s="308"/>
      <c r="C4799" s="308" t="s">
        <v>19380</v>
      </c>
      <c r="D4799" s="308">
        <f>IFERROR(__xludf.DUMMYFUNCTION("SPLIT(C4799,""-"")"),4819.0)</f>
        <v>4819</v>
      </c>
      <c r="E4799" s="308" t="str">
        <f>IFERROR(__xludf.DUMMYFUNCTION("""COMPUTED_VALUE"""),"K")</f>
        <v>K</v>
      </c>
      <c r="F4799" s="309" t="s">
        <v>34</v>
      </c>
      <c r="G4799" s="308"/>
      <c r="H4799" s="308" t="s">
        <v>19381</v>
      </c>
      <c r="I4799" s="310">
        <v>41400.0</v>
      </c>
      <c r="J4799" s="319">
        <f>IFERROR(__xludf.DUMMYFUNCTION("SPLIT(I4799,""/"")"),6.0)</f>
        <v>6</v>
      </c>
      <c r="K4799" s="308">
        <f>IFERROR(__xludf.DUMMYFUNCTION("""COMPUTED_VALUE"""),5.0)</f>
        <v>5</v>
      </c>
      <c r="L4799" s="308">
        <f>IFERROR(__xludf.DUMMYFUNCTION("""COMPUTED_VALUE"""),2013.0)</f>
        <v>2013</v>
      </c>
      <c r="M4799" s="308" t="s">
        <v>19382</v>
      </c>
      <c r="N4799" s="308" t="s">
        <v>19383</v>
      </c>
      <c r="O4799" s="308"/>
      <c r="P4799" s="308" t="s">
        <v>4430</v>
      </c>
      <c r="Q4799" s="308" t="s">
        <v>37936</v>
      </c>
      <c r="R4799" s="308" t="s">
        <v>2743</v>
      </c>
      <c r="S4799" s="308" t="s">
        <v>49</v>
      </c>
      <c r="T4799" s="308" t="s">
        <v>51</v>
      </c>
      <c r="U4799" s="308" t="s">
        <v>125</v>
      </c>
      <c r="V4799" s="312"/>
    </row>
    <row r="4800">
      <c r="A4800" s="308">
        <v>4799.0</v>
      </c>
      <c r="B4800" s="308"/>
      <c r="C4800" s="308" t="s">
        <v>19384</v>
      </c>
      <c r="D4800" s="308">
        <f>IFERROR(__xludf.DUMMYFUNCTION("SPLIT(C4800,""-"")"),4820.0)</f>
        <v>4820</v>
      </c>
      <c r="E4800" s="308" t="str">
        <f>IFERROR(__xludf.DUMMYFUNCTION("""COMPUTED_VALUE"""),"K")</f>
        <v>K</v>
      </c>
      <c r="F4800" s="309" t="s">
        <v>34</v>
      </c>
      <c r="G4800" s="308"/>
      <c r="H4800" s="308" t="s">
        <v>19385</v>
      </c>
      <c r="I4800" s="310">
        <v>39995.0</v>
      </c>
      <c r="J4800" s="319">
        <f>IFERROR(__xludf.DUMMYFUNCTION("SPLIT(I4800,""/"")"),1.0)</f>
        <v>1</v>
      </c>
      <c r="K4800" s="308">
        <f>IFERROR(__xludf.DUMMYFUNCTION("""COMPUTED_VALUE"""),7.0)</f>
        <v>7</v>
      </c>
      <c r="L4800" s="308">
        <f>IFERROR(__xludf.DUMMYFUNCTION("""COMPUTED_VALUE"""),2009.0)</f>
        <v>2009</v>
      </c>
      <c r="M4800" s="308" t="s">
        <v>19386</v>
      </c>
      <c r="N4800" s="308"/>
      <c r="O4800" s="308"/>
      <c r="P4800" s="308" t="s">
        <v>37938</v>
      </c>
      <c r="Q4800" s="308" t="s">
        <v>37936</v>
      </c>
      <c r="R4800" s="308" t="s">
        <v>2743</v>
      </c>
      <c r="S4800" s="308" t="s">
        <v>81</v>
      </c>
      <c r="T4800" s="308" t="s">
        <v>34264</v>
      </c>
      <c r="U4800" s="308" t="s">
        <v>530</v>
      </c>
      <c r="V4800" s="312"/>
    </row>
    <row r="4801">
      <c r="A4801" s="308">
        <v>4800.0</v>
      </c>
      <c r="B4801" s="308"/>
      <c r="C4801" s="308" t="s">
        <v>19388</v>
      </c>
      <c r="D4801" s="308">
        <f>IFERROR(__xludf.DUMMYFUNCTION("SPLIT(C4801,""-"")"),4821.0)</f>
        <v>4821</v>
      </c>
      <c r="E4801" s="308" t="str">
        <f>IFERROR(__xludf.DUMMYFUNCTION("""COMPUTED_VALUE"""),"F")</f>
        <v>F</v>
      </c>
      <c r="F4801" s="309" t="s">
        <v>34</v>
      </c>
      <c r="G4801" s="308"/>
      <c r="H4801" s="308" t="s">
        <v>19389</v>
      </c>
      <c r="I4801" s="310">
        <v>42964.0</v>
      </c>
      <c r="J4801" s="319" t="str">
        <f>IFERROR(__xludf.DUMMYFUNCTION("SPLIT(I4801,""/"")"),"#REF!")</f>
        <v>#REF!</v>
      </c>
      <c r="K4801" s="308"/>
      <c r="L4801" s="308">
        <v>2017.0</v>
      </c>
      <c r="M4801" s="308" t="s">
        <v>19390</v>
      </c>
      <c r="N4801" s="308"/>
      <c r="O4801" s="308"/>
      <c r="P4801" s="308" t="s">
        <v>37869</v>
      </c>
      <c r="Q4801" s="308" t="s">
        <v>37936</v>
      </c>
      <c r="R4801" s="308" t="s">
        <v>2743</v>
      </c>
      <c r="S4801" s="315" t="s">
        <v>100</v>
      </c>
      <c r="T4801" s="311" t="s">
        <v>34208</v>
      </c>
      <c r="U4801" s="308" t="s">
        <v>195</v>
      </c>
      <c r="V4801" s="312"/>
    </row>
    <row r="4802">
      <c r="A4802" s="308">
        <v>4801.0</v>
      </c>
      <c r="B4802" s="308"/>
      <c r="C4802" s="308" t="s">
        <v>19391</v>
      </c>
      <c r="D4802" s="308">
        <f>IFERROR(__xludf.DUMMYFUNCTION("SPLIT(C4802,""-"")"),4822.0)</f>
        <v>4822</v>
      </c>
      <c r="E4802" s="308" t="str">
        <f>IFERROR(__xludf.DUMMYFUNCTION("""COMPUTED_VALUE"""),"A")</f>
        <v>A</v>
      </c>
      <c r="F4802" s="309" t="s">
        <v>23</v>
      </c>
      <c r="G4802" s="308"/>
      <c r="H4802" s="308" t="s">
        <v>19392</v>
      </c>
      <c r="I4802" s="314">
        <v>41996.0</v>
      </c>
      <c r="J4802" s="319">
        <f>IFERROR(__xludf.DUMMYFUNCTION("SPLIT(I4802,""/"")"),23.0)</f>
        <v>23</v>
      </c>
      <c r="K4802" s="308">
        <f>IFERROR(__xludf.DUMMYFUNCTION("""COMPUTED_VALUE"""),12.0)</f>
        <v>12</v>
      </c>
      <c r="L4802" s="308">
        <f>IFERROR(__xludf.DUMMYFUNCTION("""COMPUTED_VALUE"""),2014.0)</f>
        <v>2014</v>
      </c>
      <c r="M4802" s="308" t="s">
        <v>19393</v>
      </c>
      <c r="N4802" s="308"/>
      <c r="O4802" s="308"/>
      <c r="P4802" s="308" t="s">
        <v>37939</v>
      </c>
      <c r="Q4802" s="308" t="s">
        <v>37936</v>
      </c>
      <c r="R4802" s="308" t="s">
        <v>2743</v>
      </c>
      <c r="S4802" s="315" t="s">
        <v>100</v>
      </c>
      <c r="T4802" s="311" t="s">
        <v>34208</v>
      </c>
      <c r="U4802" s="308" t="s">
        <v>403</v>
      </c>
      <c r="V4802" s="312"/>
    </row>
    <row r="4803">
      <c r="A4803" s="308">
        <v>4802.0</v>
      </c>
      <c r="B4803" s="308"/>
      <c r="C4803" s="308" t="s">
        <v>19394</v>
      </c>
      <c r="D4803" s="308">
        <f>IFERROR(__xludf.DUMMYFUNCTION("SPLIT(C4803,""-"")"),4823.0)</f>
        <v>4823</v>
      </c>
      <c r="E4803" s="308" t="str">
        <f>IFERROR(__xludf.DUMMYFUNCTION("""COMPUTED_VALUE"""),"A")</f>
        <v>A</v>
      </c>
      <c r="F4803" s="309" t="s">
        <v>23</v>
      </c>
      <c r="G4803" s="308"/>
      <c r="H4803" s="308" t="s">
        <v>19395</v>
      </c>
      <c r="I4803" s="314">
        <v>41996.0</v>
      </c>
      <c r="J4803" s="319">
        <f>IFERROR(__xludf.DUMMYFUNCTION("SPLIT(I4803,""/"")"),23.0)</f>
        <v>23</v>
      </c>
      <c r="K4803" s="308">
        <f>IFERROR(__xludf.DUMMYFUNCTION("""COMPUTED_VALUE"""),12.0)</f>
        <v>12</v>
      </c>
      <c r="L4803" s="308">
        <f>IFERROR(__xludf.DUMMYFUNCTION("""COMPUTED_VALUE"""),2014.0)</f>
        <v>2014</v>
      </c>
      <c r="M4803" s="308" t="s">
        <v>19396</v>
      </c>
      <c r="N4803" s="308"/>
      <c r="O4803" s="308"/>
      <c r="P4803" s="308" t="s">
        <v>37939</v>
      </c>
      <c r="Q4803" s="308" t="s">
        <v>37936</v>
      </c>
      <c r="R4803" s="308" t="s">
        <v>2743</v>
      </c>
      <c r="S4803" s="315" t="s">
        <v>100</v>
      </c>
      <c r="T4803" s="311" t="s">
        <v>34208</v>
      </c>
      <c r="U4803" s="308" t="s">
        <v>403</v>
      </c>
      <c r="V4803" s="312"/>
    </row>
    <row r="4804">
      <c r="A4804" s="308">
        <v>4803.0</v>
      </c>
      <c r="B4804" s="308"/>
      <c r="C4804" s="308" t="s">
        <v>19397</v>
      </c>
      <c r="D4804" s="308">
        <f>IFERROR(__xludf.DUMMYFUNCTION("SPLIT(C4804,""-"")"),4824.0)</f>
        <v>4824</v>
      </c>
      <c r="E4804" s="308" t="str">
        <f>IFERROR(__xludf.DUMMYFUNCTION("""COMPUTED_VALUE"""),"F")</f>
        <v>F</v>
      </c>
      <c r="F4804" s="309" t="s">
        <v>34</v>
      </c>
      <c r="G4804" s="308" t="s">
        <v>36594</v>
      </c>
      <c r="H4804" s="308" t="s">
        <v>19398</v>
      </c>
      <c r="I4804" s="310">
        <v>42628.0</v>
      </c>
      <c r="J4804" s="319">
        <f>IFERROR(__xludf.DUMMYFUNCTION("SPLIT(I4804,""/"")"),15.0)</f>
        <v>15</v>
      </c>
      <c r="K4804" s="308">
        <f>IFERROR(__xludf.DUMMYFUNCTION("""COMPUTED_VALUE"""),9.0)</f>
        <v>9</v>
      </c>
      <c r="L4804" s="308">
        <f>IFERROR(__xludf.DUMMYFUNCTION("""COMPUTED_VALUE"""),2016.0)</f>
        <v>2016</v>
      </c>
      <c r="M4804" s="308" t="s">
        <v>19399</v>
      </c>
      <c r="N4804" s="308"/>
      <c r="O4804" s="308"/>
      <c r="P4804" s="308" t="s">
        <v>19400</v>
      </c>
      <c r="Q4804" s="308" t="s">
        <v>37936</v>
      </c>
      <c r="R4804" s="308" t="s">
        <v>2743</v>
      </c>
      <c r="S4804" s="308" t="s">
        <v>81</v>
      </c>
      <c r="T4804" s="308" t="s">
        <v>34264</v>
      </c>
      <c r="U4804" s="308" t="s">
        <v>195</v>
      </c>
      <c r="V4804" s="312"/>
    </row>
    <row r="4805">
      <c r="A4805" s="308">
        <v>4804.0</v>
      </c>
      <c r="B4805" s="308"/>
      <c r="C4805" s="308" t="s">
        <v>19401</v>
      </c>
      <c r="D4805" s="308">
        <f>IFERROR(__xludf.DUMMYFUNCTION("SPLIT(C4805,""-"")"),4825.0)</f>
        <v>4825</v>
      </c>
      <c r="E4805" s="308" t="str">
        <f>IFERROR(__xludf.DUMMYFUNCTION("""COMPUTED_VALUE"""),"A")</f>
        <v>A</v>
      </c>
      <c r="F4805" s="309" t="s">
        <v>23</v>
      </c>
      <c r="G4805" s="308"/>
      <c r="H4805" s="308" t="s">
        <v>19402</v>
      </c>
      <c r="I4805" s="310">
        <v>42753.0</v>
      </c>
      <c r="J4805" s="319">
        <f>IFERROR(__xludf.DUMMYFUNCTION("SPLIT(I4805,""/"")"),18.0)</f>
        <v>18</v>
      </c>
      <c r="K4805" s="308">
        <f>IFERROR(__xludf.DUMMYFUNCTION("""COMPUTED_VALUE"""),1.0)</f>
        <v>1</v>
      </c>
      <c r="L4805" s="308">
        <f>IFERROR(__xludf.DUMMYFUNCTION("""COMPUTED_VALUE"""),2017.0)</f>
        <v>2017</v>
      </c>
      <c r="M4805" s="308" t="s">
        <v>19403</v>
      </c>
      <c r="N4805" s="308"/>
      <c r="O4805" s="312"/>
      <c r="P4805" s="308" t="s">
        <v>37940</v>
      </c>
      <c r="Q4805" s="308" t="s">
        <v>37936</v>
      </c>
      <c r="R4805" s="308" t="s">
        <v>2743</v>
      </c>
      <c r="S4805" s="308" t="s">
        <v>81</v>
      </c>
      <c r="T4805" s="311" t="s">
        <v>35043</v>
      </c>
      <c r="U4805" s="308" t="s">
        <v>403</v>
      </c>
      <c r="V4805" s="312"/>
    </row>
    <row r="4806">
      <c r="A4806" s="308">
        <v>4805.0</v>
      </c>
      <c r="B4806" s="308"/>
      <c r="C4806" s="308" t="s">
        <v>19405</v>
      </c>
      <c r="D4806" s="308">
        <f>IFERROR(__xludf.DUMMYFUNCTION("SPLIT(C4806,""-"")"),4826.0)</f>
        <v>4826</v>
      </c>
      <c r="E4806" s="308" t="str">
        <f>IFERROR(__xludf.DUMMYFUNCTION("""COMPUTED_VALUE"""),"B")</f>
        <v>B</v>
      </c>
      <c r="F4806" s="315" t="s">
        <v>26</v>
      </c>
      <c r="G4806" s="308"/>
      <c r="H4806" s="308" t="s">
        <v>19406</v>
      </c>
      <c r="I4806" s="310">
        <v>43134.0</v>
      </c>
      <c r="J4806" s="319">
        <f>IFERROR(__xludf.DUMMYFUNCTION("SPLIT(I4806,""/"")"),3.0)</f>
        <v>3</v>
      </c>
      <c r="K4806" s="308">
        <f>IFERROR(__xludf.DUMMYFUNCTION("""COMPUTED_VALUE"""),2.0)</f>
        <v>2</v>
      </c>
      <c r="L4806" s="308">
        <f>IFERROR(__xludf.DUMMYFUNCTION("""COMPUTED_VALUE"""),2018.0)</f>
        <v>2018</v>
      </c>
      <c r="M4806" s="308" t="s">
        <v>19407</v>
      </c>
      <c r="N4806" s="308"/>
      <c r="O4806" s="308"/>
      <c r="P4806" s="308" t="s">
        <v>19408</v>
      </c>
      <c r="Q4806" s="308" t="s">
        <v>37941</v>
      </c>
      <c r="R4806" s="308" t="s">
        <v>2743</v>
      </c>
      <c r="S4806" s="308" t="s">
        <v>81</v>
      </c>
      <c r="T4806" s="308" t="s">
        <v>75</v>
      </c>
      <c r="U4806" s="308" t="s">
        <v>27</v>
      </c>
      <c r="V4806" s="312"/>
    </row>
    <row r="4807">
      <c r="A4807" s="308">
        <v>4806.0</v>
      </c>
      <c r="B4807" s="308"/>
      <c r="C4807" s="308" t="s">
        <v>19409</v>
      </c>
      <c r="D4807" s="308">
        <f>IFERROR(__xludf.DUMMYFUNCTION("SPLIT(C4807,""-"")"),4827.0)</f>
        <v>4827</v>
      </c>
      <c r="E4807" s="308" t="str">
        <f>IFERROR(__xludf.DUMMYFUNCTION("""COMPUTED_VALUE"""),"B")</f>
        <v>B</v>
      </c>
      <c r="F4807" s="315" t="s">
        <v>26</v>
      </c>
      <c r="G4807" s="308"/>
      <c r="H4807" s="308" t="s">
        <v>19410</v>
      </c>
      <c r="I4807" s="310">
        <v>43134.0</v>
      </c>
      <c r="J4807" s="319">
        <f>IFERROR(__xludf.DUMMYFUNCTION("SPLIT(I4807,""/"")"),3.0)</f>
        <v>3</v>
      </c>
      <c r="K4807" s="308">
        <f>IFERROR(__xludf.DUMMYFUNCTION("""COMPUTED_VALUE"""),2.0)</f>
        <v>2</v>
      </c>
      <c r="L4807" s="308">
        <f>IFERROR(__xludf.DUMMYFUNCTION("""COMPUTED_VALUE"""),2018.0)</f>
        <v>2018</v>
      </c>
      <c r="M4807" s="308" t="s">
        <v>19407</v>
      </c>
      <c r="N4807" s="308"/>
      <c r="O4807" s="308"/>
      <c r="P4807" s="308" t="s">
        <v>37942</v>
      </c>
      <c r="Q4807" s="308" t="s">
        <v>37941</v>
      </c>
      <c r="R4807" s="308" t="s">
        <v>2743</v>
      </c>
      <c r="S4807" s="308" t="s">
        <v>81</v>
      </c>
      <c r="T4807" s="311" t="s">
        <v>96</v>
      </c>
      <c r="U4807" s="308" t="s">
        <v>27</v>
      </c>
      <c r="V4807" s="312"/>
    </row>
    <row r="4808">
      <c r="A4808" s="308">
        <v>4807.0</v>
      </c>
      <c r="B4808" s="308"/>
      <c r="C4808" s="308" t="s">
        <v>19412</v>
      </c>
      <c r="D4808" s="308">
        <f>IFERROR(__xludf.DUMMYFUNCTION("SPLIT(C4808,""-"")"),4828.0)</f>
        <v>4828</v>
      </c>
      <c r="E4808" s="308" t="str">
        <f>IFERROR(__xludf.DUMMYFUNCTION("""COMPUTED_VALUE"""),"B")</f>
        <v>B</v>
      </c>
      <c r="F4808" s="315" t="s">
        <v>26</v>
      </c>
      <c r="G4808" s="308"/>
      <c r="H4808" s="308" t="s">
        <v>19413</v>
      </c>
      <c r="I4808" s="310">
        <v>43134.0</v>
      </c>
      <c r="J4808" s="319">
        <f>IFERROR(__xludf.DUMMYFUNCTION("SPLIT(I4808,""/"")"),3.0)</f>
        <v>3</v>
      </c>
      <c r="K4808" s="308">
        <f>IFERROR(__xludf.DUMMYFUNCTION("""COMPUTED_VALUE"""),2.0)</f>
        <v>2</v>
      </c>
      <c r="L4808" s="308">
        <f>IFERROR(__xludf.DUMMYFUNCTION("""COMPUTED_VALUE"""),2018.0)</f>
        <v>2018</v>
      </c>
      <c r="M4808" s="308" t="s">
        <v>19407</v>
      </c>
      <c r="N4808" s="308"/>
      <c r="O4808" s="308"/>
      <c r="P4808" s="308" t="s">
        <v>19408</v>
      </c>
      <c r="Q4808" s="308" t="s">
        <v>37941</v>
      </c>
      <c r="R4808" s="308" t="s">
        <v>2743</v>
      </c>
      <c r="S4808" s="308" t="s">
        <v>81</v>
      </c>
      <c r="T4808" s="308" t="s">
        <v>75</v>
      </c>
      <c r="U4808" s="308" t="s">
        <v>27</v>
      </c>
      <c r="V4808" s="312"/>
    </row>
    <row r="4809">
      <c r="A4809" s="308">
        <v>4808.0</v>
      </c>
      <c r="B4809" s="308"/>
      <c r="C4809" s="308" t="s">
        <v>19414</v>
      </c>
      <c r="D4809" s="308">
        <f>IFERROR(__xludf.DUMMYFUNCTION("SPLIT(C4809,""-"")"),4829.0)</f>
        <v>4829</v>
      </c>
      <c r="E4809" s="308" t="str">
        <f>IFERROR(__xludf.DUMMYFUNCTION("""COMPUTED_VALUE"""),"B")</f>
        <v>B</v>
      </c>
      <c r="F4809" s="315" t="s">
        <v>26</v>
      </c>
      <c r="G4809" s="308"/>
      <c r="H4809" s="308" t="s">
        <v>19415</v>
      </c>
      <c r="I4809" s="310">
        <v>43134.0</v>
      </c>
      <c r="J4809" s="319">
        <f>IFERROR(__xludf.DUMMYFUNCTION("SPLIT(I4809,""/"")"),3.0)</f>
        <v>3</v>
      </c>
      <c r="K4809" s="308">
        <f>IFERROR(__xludf.DUMMYFUNCTION("""COMPUTED_VALUE"""),2.0)</f>
        <v>2</v>
      </c>
      <c r="L4809" s="308">
        <f>IFERROR(__xludf.DUMMYFUNCTION("""COMPUTED_VALUE"""),2018.0)</f>
        <v>2018</v>
      </c>
      <c r="M4809" s="308" t="s">
        <v>19407</v>
      </c>
      <c r="N4809" s="308"/>
      <c r="O4809" s="308"/>
      <c r="P4809" s="308" t="s">
        <v>19416</v>
      </c>
      <c r="Q4809" s="308" t="s">
        <v>37941</v>
      </c>
      <c r="R4809" s="308" t="s">
        <v>2743</v>
      </c>
      <c r="S4809" s="308" t="s">
        <v>81</v>
      </c>
      <c r="T4809" s="308" t="s">
        <v>75</v>
      </c>
      <c r="U4809" s="308" t="s">
        <v>27</v>
      </c>
      <c r="V4809" s="312"/>
    </row>
    <row r="4810">
      <c r="A4810" s="308">
        <v>4809.0</v>
      </c>
      <c r="B4810" s="308"/>
      <c r="C4810" s="308" t="s">
        <v>19417</v>
      </c>
      <c r="D4810" s="308">
        <f>IFERROR(__xludf.DUMMYFUNCTION("SPLIT(C4810,""-"")"),4830.0)</f>
        <v>4830</v>
      </c>
      <c r="E4810" s="308" t="str">
        <f>IFERROR(__xludf.DUMMYFUNCTION("""COMPUTED_VALUE"""),"I")</f>
        <v>I</v>
      </c>
      <c r="F4810" s="309" t="s">
        <v>31</v>
      </c>
      <c r="G4810" s="308"/>
      <c r="H4810" s="308" t="s">
        <v>19418</v>
      </c>
      <c r="I4810" s="310">
        <v>43162.0</v>
      </c>
      <c r="J4810" s="319">
        <f>IFERROR(__xludf.DUMMYFUNCTION("SPLIT(I4810,""/"")"),3.0)</f>
        <v>3</v>
      </c>
      <c r="K4810" s="308">
        <f>IFERROR(__xludf.DUMMYFUNCTION("""COMPUTED_VALUE"""),3.0)</f>
        <v>3</v>
      </c>
      <c r="L4810" s="308">
        <f>IFERROR(__xludf.DUMMYFUNCTION("""COMPUTED_VALUE"""),2018.0)</f>
        <v>2018</v>
      </c>
      <c r="M4810" s="308" t="s">
        <v>19419</v>
      </c>
      <c r="N4810" s="308" t="s">
        <v>19420</v>
      </c>
      <c r="O4810" s="308" t="s">
        <v>19421</v>
      </c>
      <c r="P4810" s="308" t="s">
        <v>37943</v>
      </c>
      <c r="Q4810" s="308" t="s">
        <v>37941</v>
      </c>
      <c r="R4810" s="308" t="s">
        <v>2743</v>
      </c>
      <c r="S4810" s="308" t="s">
        <v>81</v>
      </c>
      <c r="T4810" s="311" t="s">
        <v>75</v>
      </c>
      <c r="U4810" s="308" t="s">
        <v>31</v>
      </c>
      <c r="V4810" s="312"/>
    </row>
    <row r="4811">
      <c r="A4811" s="308">
        <v>4810.0</v>
      </c>
      <c r="B4811" s="308"/>
      <c r="C4811" s="308" t="s">
        <v>19423</v>
      </c>
      <c r="D4811" s="308">
        <f>IFERROR(__xludf.DUMMYFUNCTION("SPLIT(C4811,""-"")"),4831.0)</f>
        <v>4831</v>
      </c>
      <c r="E4811" s="308" t="str">
        <f>IFERROR(__xludf.DUMMYFUNCTION("""COMPUTED_VALUE"""),"I")</f>
        <v>I</v>
      </c>
      <c r="F4811" s="309" t="s">
        <v>31</v>
      </c>
      <c r="G4811" s="308"/>
      <c r="H4811" s="308" t="s">
        <v>19424</v>
      </c>
      <c r="I4811" s="310">
        <v>43162.0</v>
      </c>
      <c r="J4811" s="319">
        <f>IFERROR(__xludf.DUMMYFUNCTION("SPLIT(I4811,""/"")"),3.0)</f>
        <v>3</v>
      </c>
      <c r="K4811" s="308">
        <f>IFERROR(__xludf.DUMMYFUNCTION("""COMPUTED_VALUE"""),3.0)</f>
        <v>3</v>
      </c>
      <c r="L4811" s="308">
        <f>IFERROR(__xludf.DUMMYFUNCTION("""COMPUTED_VALUE"""),2018.0)</f>
        <v>2018</v>
      </c>
      <c r="M4811" s="308" t="s">
        <v>19419</v>
      </c>
      <c r="N4811" s="308"/>
      <c r="O4811" s="308" t="s">
        <v>19421</v>
      </c>
      <c r="P4811" s="308" t="s">
        <v>37943</v>
      </c>
      <c r="Q4811" s="308" t="s">
        <v>37941</v>
      </c>
      <c r="R4811" s="308" t="s">
        <v>2743</v>
      </c>
      <c r="S4811" s="308" t="s">
        <v>81</v>
      </c>
      <c r="T4811" s="311" t="s">
        <v>75</v>
      </c>
      <c r="U4811" s="308" t="s">
        <v>31</v>
      </c>
      <c r="V4811" s="312"/>
    </row>
    <row r="4812">
      <c r="A4812" s="308">
        <v>4811.0</v>
      </c>
      <c r="B4812" s="308"/>
      <c r="C4812" s="308" t="s">
        <v>19425</v>
      </c>
      <c r="D4812" s="308">
        <f>IFERROR(__xludf.DUMMYFUNCTION("SPLIT(C4812,""-"")"),4832.0)</f>
        <v>4832</v>
      </c>
      <c r="E4812" s="308" t="str">
        <f>IFERROR(__xludf.DUMMYFUNCTION("""COMPUTED_VALUE"""),"F")</f>
        <v>F</v>
      </c>
      <c r="F4812" s="309" t="s">
        <v>34</v>
      </c>
      <c r="G4812" s="308"/>
      <c r="H4812" s="308" t="s">
        <v>19426</v>
      </c>
      <c r="I4812" s="310">
        <v>42917.0</v>
      </c>
      <c r="J4812" s="319" t="str">
        <f>IFERROR(__xludf.DUMMYFUNCTION("SPLIT(I4812,""/"")"),"#REF!")</f>
        <v>#REF!</v>
      </c>
      <c r="K4812" s="308"/>
      <c r="L4812" s="308">
        <v>2017.0</v>
      </c>
      <c r="M4812" s="308" t="s">
        <v>19427</v>
      </c>
      <c r="N4812" s="308" t="s">
        <v>439</v>
      </c>
      <c r="O4812" s="308"/>
      <c r="P4812" s="308" t="s">
        <v>37869</v>
      </c>
      <c r="Q4812" s="308" t="s">
        <v>37941</v>
      </c>
      <c r="R4812" s="308" t="s">
        <v>2743</v>
      </c>
      <c r="S4812" s="315" t="s">
        <v>100</v>
      </c>
      <c r="T4812" s="311" t="s">
        <v>34208</v>
      </c>
      <c r="U4812" s="308" t="s">
        <v>6875</v>
      </c>
      <c r="V4812" s="312"/>
    </row>
    <row r="4813">
      <c r="A4813" s="308">
        <v>4812.0</v>
      </c>
      <c r="B4813" s="308"/>
      <c r="C4813" s="308" t="s">
        <v>19428</v>
      </c>
      <c r="D4813" s="308">
        <f>IFERROR(__xludf.DUMMYFUNCTION("SPLIT(C4813,""-"")"),4833.0)</f>
        <v>4833</v>
      </c>
      <c r="E4813" s="308" t="str">
        <f>IFERROR(__xludf.DUMMYFUNCTION("""COMPUTED_VALUE"""),"K")</f>
        <v>K</v>
      </c>
      <c r="F4813" s="309" t="s">
        <v>34</v>
      </c>
      <c r="G4813" s="308"/>
      <c r="H4813" s="308" t="s">
        <v>19429</v>
      </c>
      <c r="I4813" s="310">
        <v>42515.0</v>
      </c>
      <c r="J4813" s="319">
        <f>IFERROR(__xludf.DUMMYFUNCTION("SPLIT(I4813,""/"")"),25.0)</f>
        <v>25</v>
      </c>
      <c r="K4813" s="308">
        <f>IFERROR(__xludf.DUMMYFUNCTION("""COMPUTED_VALUE"""),5.0)</f>
        <v>5</v>
      </c>
      <c r="L4813" s="308">
        <f>IFERROR(__xludf.DUMMYFUNCTION("""COMPUTED_VALUE"""),2016.0)</f>
        <v>2016</v>
      </c>
      <c r="M4813" s="308" t="s">
        <v>19430</v>
      </c>
      <c r="N4813" s="308"/>
      <c r="O4813" s="308" t="s">
        <v>37944</v>
      </c>
      <c r="P4813" s="308" t="s">
        <v>37945</v>
      </c>
      <c r="Q4813" s="308" t="s">
        <v>37941</v>
      </c>
      <c r="R4813" s="308" t="s">
        <v>2743</v>
      </c>
      <c r="S4813" s="308" t="s">
        <v>81</v>
      </c>
      <c r="T4813" s="308" t="s">
        <v>34264</v>
      </c>
      <c r="U4813" s="308" t="s">
        <v>4749</v>
      </c>
      <c r="V4813" s="312"/>
    </row>
    <row r="4814">
      <c r="A4814" s="308">
        <v>4813.0</v>
      </c>
      <c r="B4814" s="308"/>
      <c r="C4814" s="308" t="s">
        <v>19433</v>
      </c>
      <c r="D4814" s="308">
        <f>IFERROR(__xludf.DUMMYFUNCTION("SPLIT(C4814,""-"")"),4834.0)</f>
        <v>4834</v>
      </c>
      <c r="E4814" s="308" t="str">
        <f>IFERROR(__xludf.DUMMYFUNCTION("""COMPUTED_VALUE"""),"F")</f>
        <v>F</v>
      </c>
      <c r="F4814" s="309" t="s">
        <v>34</v>
      </c>
      <c r="G4814" s="308"/>
      <c r="H4814" s="308" t="s">
        <v>19434</v>
      </c>
      <c r="I4814" s="310">
        <v>42047.0</v>
      </c>
      <c r="J4814" s="319">
        <f>IFERROR(__xludf.DUMMYFUNCTION("SPLIT(I4814,""/"")"),12.0)</f>
        <v>12</v>
      </c>
      <c r="K4814" s="308">
        <f>IFERROR(__xludf.DUMMYFUNCTION("""COMPUTED_VALUE"""),2.0)</f>
        <v>2</v>
      </c>
      <c r="L4814" s="308">
        <f>IFERROR(__xludf.DUMMYFUNCTION("""COMPUTED_VALUE"""),2015.0)</f>
        <v>2015</v>
      </c>
      <c r="M4814" s="308" t="s">
        <v>19435</v>
      </c>
      <c r="N4814" s="308"/>
      <c r="O4814" s="308"/>
      <c r="P4814" s="308" t="s">
        <v>19436</v>
      </c>
      <c r="Q4814" s="308" t="s">
        <v>37941</v>
      </c>
      <c r="R4814" s="308" t="s">
        <v>2743</v>
      </c>
      <c r="S4814" s="308" t="s">
        <v>81</v>
      </c>
      <c r="T4814" s="308" t="s">
        <v>34264</v>
      </c>
      <c r="U4814" s="308" t="s">
        <v>195</v>
      </c>
      <c r="V4814" s="312"/>
    </row>
    <row r="4815">
      <c r="A4815" s="308">
        <v>4814.0</v>
      </c>
      <c r="B4815" s="308"/>
      <c r="C4815" s="308" t="s">
        <v>19437</v>
      </c>
      <c r="D4815" s="308">
        <f>IFERROR(__xludf.DUMMYFUNCTION("SPLIT(C4815,""-"")"),4835.0)</f>
        <v>4835</v>
      </c>
      <c r="E4815" s="308" t="str">
        <f>IFERROR(__xludf.DUMMYFUNCTION("""COMPUTED_VALUE"""),"K")</f>
        <v>K</v>
      </c>
      <c r="F4815" s="309" t="s">
        <v>34</v>
      </c>
      <c r="G4815" s="308"/>
      <c r="H4815" s="308" t="s">
        <v>19438</v>
      </c>
      <c r="I4815" s="314">
        <v>43067.0</v>
      </c>
      <c r="J4815" s="319" t="str">
        <f>IFERROR(__xludf.DUMMYFUNCTION("SPLIT(I4815,""/"")"),"#REF!")</f>
        <v>#REF!</v>
      </c>
      <c r="K4815" s="308"/>
      <c r="L4815" s="308">
        <v>2017.0</v>
      </c>
      <c r="M4815" s="308" t="s">
        <v>19439</v>
      </c>
      <c r="N4815" s="308"/>
      <c r="O4815" s="308" t="s">
        <v>37946</v>
      </c>
      <c r="P4815" s="308" t="s">
        <v>37947</v>
      </c>
      <c r="Q4815" s="308" t="s">
        <v>37948</v>
      </c>
      <c r="R4815" s="308" t="s">
        <v>2743</v>
      </c>
      <c r="S4815" s="308" t="s">
        <v>49</v>
      </c>
      <c r="T4815" s="308" t="s">
        <v>51</v>
      </c>
      <c r="U4815" s="308" t="s">
        <v>368</v>
      </c>
      <c r="V4815" s="312"/>
    </row>
    <row r="4816">
      <c r="A4816" s="308">
        <v>4815.0</v>
      </c>
      <c r="B4816" s="308"/>
      <c r="C4816" s="308" t="s">
        <v>19442</v>
      </c>
      <c r="D4816" s="308">
        <f>IFERROR(__xludf.DUMMYFUNCTION("SPLIT(C4816,""-"")"),4836.0)</f>
        <v>4836</v>
      </c>
      <c r="E4816" s="308" t="str">
        <f>IFERROR(__xludf.DUMMYFUNCTION("""COMPUTED_VALUE"""),"S")</f>
        <v>S</v>
      </c>
      <c r="F4816" s="312" t="s">
        <v>39</v>
      </c>
      <c r="G4816" s="308"/>
      <c r="H4816" s="308" t="s">
        <v>19443</v>
      </c>
      <c r="I4816" s="310">
        <v>41674.0</v>
      </c>
      <c r="J4816" s="319">
        <f>IFERROR(__xludf.DUMMYFUNCTION("SPLIT(I4816,""/"")"),4.0)</f>
        <v>4</v>
      </c>
      <c r="K4816" s="308">
        <f>IFERROR(__xludf.DUMMYFUNCTION("""COMPUTED_VALUE"""),2.0)</f>
        <v>2</v>
      </c>
      <c r="L4816" s="308">
        <f>IFERROR(__xludf.DUMMYFUNCTION("""COMPUTED_VALUE"""),2014.0)</f>
        <v>2014</v>
      </c>
      <c r="M4816" s="308" t="s">
        <v>19444</v>
      </c>
      <c r="N4816" s="308"/>
      <c r="O4816" s="308"/>
      <c r="P4816" s="308" t="s">
        <v>37937</v>
      </c>
      <c r="Q4816" s="308" t="s">
        <v>37949</v>
      </c>
      <c r="R4816" s="308" t="s">
        <v>2743</v>
      </c>
      <c r="S4816" s="315" t="s">
        <v>100</v>
      </c>
      <c r="T4816" s="311" t="s">
        <v>34208</v>
      </c>
      <c r="U4816" s="308" t="s">
        <v>19445</v>
      </c>
      <c r="V4816" s="312"/>
    </row>
    <row r="4817">
      <c r="A4817" s="308">
        <v>4816.0</v>
      </c>
      <c r="B4817" s="308"/>
      <c r="C4817" s="308" t="s">
        <v>19446</v>
      </c>
      <c r="D4817" s="308">
        <f>IFERROR(__xludf.DUMMYFUNCTION("SPLIT(C4817,""-"")"),4837.0)</f>
        <v>4837</v>
      </c>
      <c r="E4817" s="308" t="str">
        <f>IFERROR(__xludf.DUMMYFUNCTION("""COMPUTED_VALUE"""),"S")</f>
        <v>S</v>
      </c>
      <c r="F4817" s="312" t="s">
        <v>39</v>
      </c>
      <c r="G4817" s="308"/>
      <c r="H4817" s="308" t="s">
        <v>19447</v>
      </c>
      <c r="I4817" s="310">
        <v>40179.0</v>
      </c>
      <c r="J4817" s="319">
        <f>IFERROR(__xludf.DUMMYFUNCTION("SPLIT(I4817,""/"")"),1.0)</f>
        <v>1</v>
      </c>
      <c r="K4817" s="308">
        <f>IFERROR(__xludf.DUMMYFUNCTION("""COMPUTED_VALUE"""),1.0)</f>
        <v>1</v>
      </c>
      <c r="L4817" s="308">
        <f>IFERROR(__xludf.DUMMYFUNCTION("""COMPUTED_VALUE"""),2010.0)</f>
        <v>2010</v>
      </c>
      <c r="M4817" s="308" t="s">
        <v>19448</v>
      </c>
      <c r="N4817" s="308" t="s">
        <v>19449</v>
      </c>
      <c r="O4817" s="308"/>
      <c r="P4817" s="308" t="s">
        <v>37950</v>
      </c>
      <c r="Q4817" s="308" t="s">
        <v>37949</v>
      </c>
      <c r="R4817" s="308" t="s">
        <v>2743</v>
      </c>
      <c r="S4817" s="308" t="s">
        <v>49</v>
      </c>
      <c r="T4817" s="311" t="s">
        <v>70</v>
      </c>
      <c r="U4817" s="308" t="s">
        <v>40</v>
      </c>
      <c r="V4817" s="312"/>
    </row>
    <row r="4818">
      <c r="A4818" s="308">
        <v>4817.0</v>
      </c>
      <c r="B4818" s="308"/>
      <c r="C4818" s="308" t="s">
        <v>19451</v>
      </c>
      <c r="D4818" s="308">
        <f>IFERROR(__xludf.DUMMYFUNCTION("SPLIT(C4818,""-"")"),4838.0)</f>
        <v>4838</v>
      </c>
      <c r="E4818" s="308" t="str">
        <f>IFERROR(__xludf.DUMMYFUNCTION("""COMPUTED_VALUE"""),"P")</f>
        <v>P</v>
      </c>
      <c r="F4818" s="312" t="s">
        <v>37</v>
      </c>
      <c r="G4818" s="308"/>
      <c r="H4818" s="308" t="s">
        <v>19452</v>
      </c>
      <c r="I4818" s="314">
        <v>42356.0</v>
      </c>
      <c r="J4818" s="319">
        <f>IFERROR(__xludf.DUMMYFUNCTION("SPLIT(I4818,""/"")"),18.0)</f>
        <v>18</v>
      </c>
      <c r="K4818" s="308">
        <f>IFERROR(__xludf.DUMMYFUNCTION("""COMPUTED_VALUE"""),12.0)</f>
        <v>12</v>
      </c>
      <c r="L4818" s="308">
        <f>IFERROR(__xludf.DUMMYFUNCTION("""COMPUTED_VALUE"""),2015.0)</f>
        <v>2015</v>
      </c>
      <c r="M4818" s="308" t="s">
        <v>19453</v>
      </c>
      <c r="N4818" s="308"/>
      <c r="O4818" s="308" t="s">
        <v>19454</v>
      </c>
      <c r="P4818" s="308" t="s">
        <v>37951</v>
      </c>
      <c r="Q4818" s="308" t="s">
        <v>37949</v>
      </c>
      <c r="R4818" s="308" t="s">
        <v>2743</v>
      </c>
      <c r="S4818" s="308" t="s">
        <v>81</v>
      </c>
      <c r="T4818" s="311" t="s">
        <v>96</v>
      </c>
      <c r="U4818" s="308" t="s">
        <v>1182</v>
      </c>
      <c r="V4818" s="312"/>
    </row>
    <row r="4819">
      <c r="A4819" s="308">
        <v>4818.0</v>
      </c>
      <c r="B4819" s="308"/>
      <c r="C4819" s="308" t="s">
        <v>19456</v>
      </c>
      <c r="D4819" s="308">
        <f>IFERROR(__xludf.DUMMYFUNCTION("SPLIT(C4819,""-"")"),4839.0)</f>
        <v>4839</v>
      </c>
      <c r="E4819" s="308" t="str">
        <f>IFERROR(__xludf.DUMMYFUNCTION("""COMPUTED_VALUE"""),"F")</f>
        <v>F</v>
      </c>
      <c r="F4819" s="309" t="s">
        <v>34</v>
      </c>
      <c r="G4819" s="308"/>
      <c r="H4819" s="308" t="s">
        <v>19457</v>
      </c>
      <c r="I4819" s="310">
        <v>42403.0</v>
      </c>
      <c r="J4819" s="319">
        <f>IFERROR(__xludf.DUMMYFUNCTION("SPLIT(I4819,""/"")"),3.0)</f>
        <v>3</v>
      </c>
      <c r="K4819" s="308">
        <f>IFERROR(__xludf.DUMMYFUNCTION("""COMPUTED_VALUE"""),2.0)</f>
        <v>2</v>
      </c>
      <c r="L4819" s="308">
        <f>IFERROR(__xludf.DUMMYFUNCTION("""COMPUTED_VALUE"""),2016.0)</f>
        <v>2016</v>
      </c>
      <c r="M4819" s="308" t="s">
        <v>19458</v>
      </c>
      <c r="N4819" s="308"/>
      <c r="O4819" s="308"/>
      <c r="P4819" s="308" t="s">
        <v>37869</v>
      </c>
      <c r="Q4819" s="308" t="s">
        <v>37949</v>
      </c>
      <c r="R4819" s="308" t="s">
        <v>2743</v>
      </c>
      <c r="S4819" s="315" t="s">
        <v>100</v>
      </c>
      <c r="T4819" s="311" t="s">
        <v>34208</v>
      </c>
      <c r="U4819" s="308" t="s">
        <v>19459</v>
      </c>
      <c r="V4819" s="312"/>
    </row>
    <row r="4820">
      <c r="A4820" s="308">
        <v>4819.0</v>
      </c>
      <c r="B4820" s="308"/>
      <c r="C4820" s="308" t="s">
        <v>19460</v>
      </c>
      <c r="D4820" s="308">
        <f>IFERROR(__xludf.DUMMYFUNCTION("SPLIT(C4820,""-"")"),4840.0)</f>
        <v>4840</v>
      </c>
      <c r="E4820" s="308" t="str">
        <f>IFERROR(__xludf.DUMMYFUNCTION("""COMPUTED_VALUE"""),"S")</f>
        <v>S</v>
      </c>
      <c r="F4820" s="312" t="s">
        <v>39</v>
      </c>
      <c r="G4820" s="308"/>
      <c r="H4820" s="308" t="s">
        <v>19461</v>
      </c>
      <c r="I4820" s="310">
        <v>42229.0</v>
      </c>
      <c r="J4820" s="319">
        <f>IFERROR(__xludf.DUMMYFUNCTION("SPLIT(I4820,""/"")"),13.0)</f>
        <v>13</v>
      </c>
      <c r="K4820" s="308">
        <f>IFERROR(__xludf.DUMMYFUNCTION("""COMPUTED_VALUE"""),8.0)</f>
        <v>8</v>
      </c>
      <c r="L4820" s="308">
        <f>IFERROR(__xludf.DUMMYFUNCTION("""COMPUTED_VALUE"""),2015.0)</f>
        <v>2015</v>
      </c>
      <c r="M4820" s="308" t="s">
        <v>19462</v>
      </c>
      <c r="N4820" s="308"/>
      <c r="O4820" s="308" t="s">
        <v>19463</v>
      </c>
      <c r="P4820" s="308" t="s">
        <v>37937</v>
      </c>
      <c r="Q4820" s="308" t="s">
        <v>37949</v>
      </c>
      <c r="R4820" s="308" t="s">
        <v>2743</v>
      </c>
      <c r="S4820" s="315" t="s">
        <v>100</v>
      </c>
      <c r="T4820" s="311" t="s">
        <v>34208</v>
      </c>
      <c r="U4820" s="308" t="s">
        <v>166</v>
      </c>
      <c r="V4820" s="312"/>
    </row>
    <row r="4821">
      <c r="A4821" s="308">
        <v>4820.0</v>
      </c>
      <c r="B4821" s="308"/>
      <c r="C4821" s="308" t="s">
        <v>19464</v>
      </c>
      <c r="D4821" s="308">
        <f>IFERROR(__xludf.DUMMYFUNCTION("SPLIT(C4821,""-"")"),4841.0)</f>
        <v>4841</v>
      </c>
      <c r="E4821" s="308" t="str">
        <f>IFERROR(__xludf.DUMMYFUNCTION("""COMPUTED_VALUE"""),"P")</f>
        <v>P</v>
      </c>
      <c r="F4821" s="312" t="s">
        <v>37</v>
      </c>
      <c r="G4821" s="308"/>
      <c r="H4821" s="308" t="s">
        <v>19465</v>
      </c>
      <c r="I4821" s="314">
        <v>42686.0</v>
      </c>
      <c r="J4821" s="319">
        <f>IFERROR(__xludf.DUMMYFUNCTION("SPLIT(I4821,""/"")"),12.0)</f>
        <v>12</v>
      </c>
      <c r="K4821" s="308">
        <f>IFERROR(__xludf.DUMMYFUNCTION("""COMPUTED_VALUE"""),11.0)</f>
        <v>11</v>
      </c>
      <c r="L4821" s="308">
        <f>IFERROR(__xludf.DUMMYFUNCTION("""COMPUTED_VALUE"""),2016.0)</f>
        <v>2016</v>
      </c>
      <c r="M4821" s="308" t="s">
        <v>19466</v>
      </c>
      <c r="N4821" s="308"/>
      <c r="O4821" s="308"/>
      <c r="P4821" s="308" t="s">
        <v>37952</v>
      </c>
      <c r="Q4821" s="308" t="s">
        <v>37949</v>
      </c>
      <c r="R4821" s="308" t="s">
        <v>2743</v>
      </c>
      <c r="S4821" s="308" t="s">
        <v>81</v>
      </c>
      <c r="T4821" s="308" t="s">
        <v>34264</v>
      </c>
      <c r="U4821" s="308" t="s">
        <v>2527</v>
      </c>
      <c r="V4821" s="312"/>
    </row>
    <row r="4822">
      <c r="A4822" s="308">
        <v>4821.0</v>
      </c>
      <c r="B4822" s="308"/>
      <c r="C4822" s="308" t="s">
        <v>19468</v>
      </c>
      <c r="D4822" s="308">
        <f>IFERROR(__xludf.DUMMYFUNCTION("SPLIT(C4822,""-"")"),4842.0)</f>
        <v>4842</v>
      </c>
      <c r="E4822" s="308" t="str">
        <f>IFERROR(__xludf.DUMMYFUNCTION("""COMPUTED_VALUE"""),"S")</f>
        <v>S</v>
      </c>
      <c r="F4822" s="312" t="s">
        <v>39</v>
      </c>
      <c r="G4822" s="308"/>
      <c r="H4822" s="308" t="s">
        <v>19469</v>
      </c>
      <c r="I4822" s="310">
        <v>40623.0</v>
      </c>
      <c r="J4822" s="319">
        <f>IFERROR(__xludf.DUMMYFUNCTION("SPLIT(I4822,""/"")"),21.0)</f>
        <v>21</v>
      </c>
      <c r="K4822" s="308">
        <f>IFERROR(__xludf.DUMMYFUNCTION("""COMPUTED_VALUE"""),3.0)</f>
        <v>3</v>
      </c>
      <c r="L4822" s="308">
        <f>IFERROR(__xludf.DUMMYFUNCTION("""COMPUTED_VALUE"""),2011.0)</f>
        <v>2011</v>
      </c>
      <c r="M4822" s="308" t="s">
        <v>19470</v>
      </c>
      <c r="N4822" s="308"/>
      <c r="O4822" s="308"/>
      <c r="P4822" s="308"/>
      <c r="Q4822" s="308" t="s">
        <v>37949</v>
      </c>
      <c r="R4822" s="308" t="s">
        <v>2743</v>
      </c>
      <c r="S4822" s="308" t="s">
        <v>79</v>
      </c>
      <c r="T4822" s="308" t="s">
        <v>79</v>
      </c>
      <c r="U4822" s="308" t="s">
        <v>166</v>
      </c>
      <c r="V4822" s="312"/>
    </row>
    <row r="4823">
      <c r="A4823" s="308">
        <v>4822.0</v>
      </c>
      <c r="B4823" s="308"/>
      <c r="C4823" s="308" t="s">
        <v>19471</v>
      </c>
      <c r="D4823" s="308">
        <f>IFERROR(__xludf.DUMMYFUNCTION("SPLIT(C4823,""-"")"),4843.0)</f>
        <v>4843</v>
      </c>
      <c r="E4823" s="308" t="str">
        <f>IFERROR(__xludf.DUMMYFUNCTION("""COMPUTED_VALUE"""),"K")</f>
        <v>K</v>
      </c>
      <c r="F4823" s="309" t="s">
        <v>34</v>
      </c>
      <c r="G4823" s="308"/>
      <c r="H4823" s="308" t="s">
        <v>19472</v>
      </c>
      <c r="I4823" s="310">
        <v>41682.0</v>
      </c>
      <c r="J4823" s="319">
        <f>IFERROR(__xludf.DUMMYFUNCTION("SPLIT(I4823,""/"")"),12.0)</f>
        <v>12</v>
      </c>
      <c r="K4823" s="308">
        <f>IFERROR(__xludf.DUMMYFUNCTION("""COMPUTED_VALUE"""),2.0)</f>
        <v>2</v>
      </c>
      <c r="L4823" s="308">
        <f>IFERROR(__xludf.DUMMYFUNCTION("""COMPUTED_VALUE"""),2014.0)</f>
        <v>2014</v>
      </c>
      <c r="M4823" s="308" t="s">
        <v>19473</v>
      </c>
      <c r="N4823" s="308"/>
      <c r="O4823" s="308"/>
      <c r="P4823" s="308" t="s">
        <v>37953</v>
      </c>
      <c r="Q4823" s="308" t="s">
        <v>37949</v>
      </c>
      <c r="R4823" s="308" t="s">
        <v>2743</v>
      </c>
      <c r="S4823" s="308" t="s">
        <v>49</v>
      </c>
      <c r="T4823" s="311" t="s">
        <v>51</v>
      </c>
      <c r="U4823" s="308" t="s">
        <v>125</v>
      </c>
      <c r="V4823" s="312"/>
    </row>
    <row r="4824">
      <c r="A4824" s="308">
        <v>4823.0</v>
      </c>
      <c r="B4824" s="308"/>
      <c r="C4824" s="308" t="s">
        <v>19475</v>
      </c>
      <c r="D4824" s="308">
        <f>IFERROR(__xludf.DUMMYFUNCTION("SPLIT(C4824,""-"")"),4844.0)</f>
        <v>4844</v>
      </c>
      <c r="E4824" s="308" t="str">
        <f>IFERROR(__xludf.DUMMYFUNCTION("""COMPUTED_VALUE"""),"K")</f>
        <v>K</v>
      </c>
      <c r="F4824" s="309" t="s">
        <v>34</v>
      </c>
      <c r="G4824" s="308"/>
      <c r="H4824" s="308" t="s">
        <v>19476</v>
      </c>
      <c r="I4824" s="310">
        <v>42836.0</v>
      </c>
      <c r="J4824" s="319" t="str">
        <f>IFERROR(__xludf.DUMMYFUNCTION("SPLIT(I4824,""/"")"),"#REF!")</f>
        <v>#REF!</v>
      </c>
      <c r="K4824" s="308"/>
      <c r="L4824" s="308">
        <v>2017.0</v>
      </c>
      <c r="M4824" s="308" t="s">
        <v>19477</v>
      </c>
      <c r="N4824" s="308"/>
      <c r="O4824" s="308" t="s">
        <v>19478</v>
      </c>
      <c r="P4824" s="308" t="s">
        <v>37954</v>
      </c>
      <c r="Q4824" s="308" t="s">
        <v>37949</v>
      </c>
      <c r="R4824" s="308" t="s">
        <v>2743</v>
      </c>
      <c r="S4824" s="308" t="s">
        <v>81</v>
      </c>
      <c r="T4824" s="311" t="s">
        <v>88</v>
      </c>
      <c r="U4824" s="308" t="s">
        <v>1509</v>
      </c>
      <c r="V4824" s="312"/>
    </row>
    <row r="4825">
      <c r="A4825" s="308">
        <v>4824.0</v>
      </c>
      <c r="B4825" s="308"/>
      <c r="C4825" s="308" t="s">
        <v>19480</v>
      </c>
      <c r="D4825" s="308">
        <f>IFERROR(__xludf.DUMMYFUNCTION("SPLIT(C4825,""-"")"),4845.0)</f>
        <v>4845</v>
      </c>
      <c r="E4825" s="308" t="str">
        <f>IFERROR(__xludf.DUMMYFUNCTION("""COMPUTED_VALUE"""),"K")</f>
        <v>K</v>
      </c>
      <c r="F4825" s="309" t="s">
        <v>34</v>
      </c>
      <c r="G4825" s="308"/>
      <c r="H4825" s="308" t="s">
        <v>19481</v>
      </c>
      <c r="I4825" s="316" t="s">
        <v>407</v>
      </c>
      <c r="J4825" s="319"/>
      <c r="K4825" s="308"/>
      <c r="L4825" s="311" t="s">
        <v>79</v>
      </c>
      <c r="M4825" s="308"/>
      <c r="N4825" s="308"/>
      <c r="O4825" s="308"/>
      <c r="P4825" s="308" t="s">
        <v>37955</v>
      </c>
      <c r="Q4825" s="308" t="s">
        <v>37949</v>
      </c>
      <c r="R4825" s="308" t="s">
        <v>19483</v>
      </c>
      <c r="S4825" s="308" t="s">
        <v>81</v>
      </c>
      <c r="T4825" s="311" t="s">
        <v>51</v>
      </c>
      <c r="U4825" s="308" t="s">
        <v>125</v>
      </c>
      <c r="V4825" s="312"/>
    </row>
    <row r="4826">
      <c r="A4826" s="308">
        <v>4825.0</v>
      </c>
      <c r="B4826" s="308"/>
      <c r="C4826" s="308" t="s">
        <v>19484</v>
      </c>
      <c r="D4826" s="308">
        <f>IFERROR(__xludf.DUMMYFUNCTION("SPLIT(C4826,""-"")"),4846.0)</f>
        <v>4846</v>
      </c>
      <c r="E4826" s="308" t="str">
        <f>IFERROR(__xludf.DUMMYFUNCTION("""COMPUTED_VALUE"""),"I")</f>
        <v>I</v>
      </c>
      <c r="F4826" s="309" t="s">
        <v>31</v>
      </c>
      <c r="G4826" s="308"/>
      <c r="H4826" s="308" t="s">
        <v>19485</v>
      </c>
      <c r="I4826" s="310">
        <v>43165.0</v>
      </c>
      <c r="J4826" s="319">
        <f>IFERROR(__xludf.DUMMYFUNCTION("SPLIT(I4826,""/"")"),6.0)</f>
        <v>6</v>
      </c>
      <c r="K4826" s="308">
        <f>IFERROR(__xludf.DUMMYFUNCTION("""COMPUTED_VALUE"""),3.0)</f>
        <v>3</v>
      </c>
      <c r="L4826" s="308">
        <f>IFERROR(__xludf.DUMMYFUNCTION("""COMPUTED_VALUE"""),2018.0)</f>
        <v>2018</v>
      </c>
      <c r="M4826" s="308" t="s">
        <v>19486</v>
      </c>
      <c r="N4826" s="308"/>
      <c r="O4826" s="308"/>
      <c r="P4826" s="308" t="s">
        <v>19487</v>
      </c>
      <c r="Q4826" s="308" t="s">
        <v>37949</v>
      </c>
      <c r="R4826" s="308" t="s">
        <v>2743</v>
      </c>
      <c r="S4826" s="308" t="s">
        <v>81</v>
      </c>
      <c r="T4826" s="308" t="s">
        <v>75</v>
      </c>
      <c r="U4826" s="308" t="s">
        <v>31</v>
      </c>
      <c r="V4826" s="312"/>
    </row>
    <row r="4827">
      <c r="A4827" s="308">
        <v>4826.0</v>
      </c>
      <c r="B4827" s="308"/>
      <c r="C4827" s="308" t="s">
        <v>19488</v>
      </c>
      <c r="D4827" s="308">
        <f>IFERROR(__xludf.DUMMYFUNCTION("SPLIT(C4827,""-"")"),4847.0)</f>
        <v>4847</v>
      </c>
      <c r="E4827" s="308" t="str">
        <f>IFERROR(__xludf.DUMMYFUNCTION("""COMPUTED_VALUE"""),"A")</f>
        <v>A</v>
      </c>
      <c r="F4827" s="309" t="s">
        <v>23</v>
      </c>
      <c r="G4827" s="308"/>
      <c r="H4827" s="308" t="s">
        <v>19489</v>
      </c>
      <c r="I4827" s="314">
        <v>43079.0</v>
      </c>
      <c r="J4827" s="319">
        <f>IFERROR(__xludf.DUMMYFUNCTION("SPLIT(I4827,""/"")"),10.0)</f>
        <v>10</v>
      </c>
      <c r="K4827" s="308">
        <f>IFERROR(__xludf.DUMMYFUNCTION("""COMPUTED_VALUE"""),12.0)</f>
        <v>12</v>
      </c>
      <c r="L4827" s="308">
        <f>IFERROR(__xludf.DUMMYFUNCTION("""COMPUTED_VALUE"""),2017.0)</f>
        <v>2017</v>
      </c>
      <c r="M4827" s="308" t="s">
        <v>19490</v>
      </c>
      <c r="N4827" s="308"/>
      <c r="O4827" s="308"/>
      <c r="P4827" s="308" t="s">
        <v>37956</v>
      </c>
      <c r="Q4827" s="308" t="s">
        <v>37949</v>
      </c>
      <c r="R4827" s="308" t="s">
        <v>2743</v>
      </c>
      <c r="S4827" s="308" t="s">
        <v>49</v>
      </c>
      <c r="T4827" s="311" t="s">
        <v>61</v>
      </c>
      <c r="U4827" s="308" t="s">
        <v>403</v>
      </c>
      <c r="V4827" s="312"/>
    </row>
    <row r="4828">
      <c r="A4828" s="308">
        <v>4827.0</v>
      </c>
      <c r="B4828" s="308"/>
      <c r="C4828" s="308" t="s">
        <v>19492</v>
      </c>
      <c r="D4828" s="308">
        <f>IFERROR(__xludf.DUMMYFUNCTION("SPLIT(C4828,""-"")"),4848.0)</f>
        <v>4848</v>
      </c>
      <c r="E4828" s="308" t="str">
        <f>IFERROR(__xludf.DUMMYFUNCTION("""COMPUTED_VALUE"""),"P")</f>
        <v>P</v>
      </c>
      <c r="F4828" s="312" t="s">
        <v>37</v>
      </c>
      <c r="G4828" s="308"/>
      <c r="H4828" s="308" t="s">
        <v>19493</v>
      </c>
      <c r="I4828" s="310">
        <v>43166.0</v>
      </c>
      <c r="J4828" s="319">
        <f>IFERROR(__xludf.DUMMYFUNCTION("SPLIT(I4828,""/"")"),7.0)</f>
        <v>7</v>
      </c>
      <c r="K4828" s="308">
        <f>IFERROR(__xludf.DUMMYFUNCTION("""COMPUTED_VALUE"""),3.0)</f>
        <v>3</v>
      </c>
      <c r="L4828" s="308">
        <f>IFERROR(__xludf.DUMMYFUNCTION("""COMPUTED_VALUE"""),2018.0)</f>
        <v>2018</v>
      </c>
      <c r="M4828" s="308" t="s">
        <v>19494</v>
      </c>
      <c r="N4828" s="308"/>
      <c r="O4828" s="308" t="s">
        <v>19495</v>
      </c>
      <c r="P4828" s="308" t="s">
        <v>37957</v>
      </c>
      <c r="Q4828" s="308" t="s">
        <v>37949</v>
      </c>
      <c r="R4828" s="308" t="s">
        <v>2743</v>
      </c>
      <c r="S4828" s="308" t="s">
        <v>81</v>
      </c>
      <c r="T4828" s="311" t="s">
        <v>51</v>
      </c>
      <c r="U4828" s="308" t="s">
        <v>143</v>
      </c>
      <c r="V4828" s="312"/>
    </row>
    <row r="4829">
      <c r="A4829" s="308">
        <v>4828.0</v>
      </c>
      <c r="B4829" s="308"/>
      <c r="C4829" s="308" t="s">
        <v>19497</v>
      </c>
      <c r="D4829" s="308">
        <f>IFERROR(__xludf.DUMMYFUNCTION("SPLIT(C4829,""-"")"),4849.0)</f>
        <v>4849</v>
      </c>
      <c r="E4829" s="308" t="str">
        <f>IFERROR(__xludf.DUMMYFUNCTION("""COMPUTED_VALUE"""),"K")</f>
        <v>K</v>
      </c>
      <c r="F4829" s="309" t="s">
        <v>34</v>
      </c>
      <c r="G4829" s="308"/>
      <c r="H4829" s="308" t="s">
        <v>19498</v>
      </c>
      <c r="I4829" s="310">
        <v>42543.0</v>
      </c>
      <c r="J4829" s="319">
        <f>IFERROR(__xludf.DUMMYFUNCTION("SPLIT(I4829,""/"")"),22.0)</f>
        <v>22</v>
      </c>
      <c r="K4829" s="308">
        <f>IFERROR(__xludf.DUMMYFUNCTION("""COMPUTED_VALUE"""),6.0)</f>
        <v>6</v>
      </c>
      <c r="L4829" s="308">
        <f>IFERROR(__xludf.DUMMYFUNCTION("""COMPUTED_VALUE"""),2016.0)</f>
        <v>2016</v>
      </c>
      <c r="M4829" s="308" t="s">
        <v>19499</v>
      </c>
      <c r="N4829" s="308"/>
      <c r="O4829" s="308" t="s">
        <v>19500</v>
      </c>
      <c r="P4829" s="308" t="s">
        <v>19501</v>
      </c>
      <c r="Q4829" s="308" t="s">
        <v>37949</v>
      </c>
      <c r="R4829" s="308" t="s">
        <v>2743</v>
      </c>
      <c r="S4829" s="308" t="s">
        <v>49</v>
      </c>
      <c r="T4829" s="308" t="s">
        <v>51</v>
      </c>
      <c r="U4829" s="308" t="s">
        <v>368</v>
      </c>
      <c r="V4829" s="312"/>
    </row>
    <row r="4830">
      <c r="A4830" s="308">
        <v>4829.0</v>
      </c>
      <c r="B4830" s="308"/>
      <c r="C4830" s="308" t="s">
        <v>19502</v>
      </c>
      <c r="D4830" s="308">
        <f>IFERROR(__xludf.DUMMYFUNCTION("SPLIT(C4830,""-"")"),4850.0)</f>
        <v>4850</v>
      </c>
      <c r="E4830" s="308" t="str">
        <f>IFERROR(__xludf.DUMMYFUNCTION("""COMPUTED_VALUE"""),"K")</f>
        <v>K</v>
      </c>
      <c r="F4830" s="309" t="s">
        <v>34</v>
      </c>
      <c r="G4830" s="308"/>
      <c r="H4830" s="308" t="s">
        <v>19503</v>
      </c>
      <c r="I4830" s="310">
        <v>42896.0</v>
      </c>
      <c r="J4830" s="319" t="str">
        <f>IFERROR(__xludf.DUMMYFUNCTION("SPLIT(I4830,""/"")"),"#REF!")</f>
        <v>#REF!</v>
      </c>
      <c r="K4830" s="308"/>
      <c r="L4830" s="308">
        <v>2017.0</v>
      </c>
      <c r="M4830" s="308" t="s">
        <v>19504</v>
      </c>
      <c r="N4830" s="308"/>
      <c r="O4830" s="308"/>
      <c r="P4830" s="308" t="s">
        <v>19505</v>
      </c>
      <c r="Q4830" s="308" t="s">
        <v>37949</v>
      </c>
      <c r="R4830" s="308" t="s">
        <v>2743</v>
      </c>
      <c r="S4830" s="308" t="s">
        <v>81</v>
      </c>
      <c r="T4830" s="308" t="s">
        <v>75</v>
      </c>
      <c r="U4830" s="308" t="s">
        <v>125</v>
      </c>
      <c r="V4830" s="312"/>
    </row>
    <row r="4831">
      <c r="A4831" s="308">
        <v>4830.0</v>
      </c>
      <c r="B4831" s="308"/>
      <c r="C4831" s="308" t="s">
        <v>19506</v>
      </c>
      <c r="D4831" s="308">
        <f>IFERROR(__xludf.DUMMYFUNCTION("SPLIT(C4831,""-"")"),4851.0)</f>
        <v>4851</v>
      </c>
      <c r="E4831" s="308" t="str">
        <f>IFERROR(__xludf.DUMMYFUNCTION("""COMPUTED_VALUE"""),"K")</f>
        <v>K</v>
      </c>
      <c r="F4831" s="309" t="s">
        <v>34</v>
      </c>
      <c r="G4831" s="308"/>
      <c r="H4831" s="308" t="s">
        <v>19507</v>
      </c>
      <c r="I4831" s="310">
        <v>43129.0</v>
      </c>
      <c r="J4831" s="319">
        <f>IFERROR(__xludf.DUMMYFUNCTION("SPLIT(I4831,""/"")"),29.0)</f>
        <v>29</v>
      </c>
      <c r="K4831" s="308">
        <f>IFERROR(__xludf.DUMMYFUNCTION("""COMPUTED_VALUE"""),1.0)</f>
        <v>1</v>
      </c>
      <c r="L4831" s="308">
        <f>IFERROR(__xludf.DUMMYFUNCTION("""COMPUTED_VALUE"""),2018.0)</f>
        <v>2018</v>
      </c>
      <c r="M4831" s="308" t="s">
        <v>19508</v>
      </c>
      <c r="N4831" s="308"/>
      <c r="O4831" s="308"/>
      <c r="P4831" s="308" t="s">
        <v>19509</v>
      </c>
      <c r="Q4831" s="308" t="s">
        <v>37949</v>
      </c>
      <c r="R4831" s="308" t="s">
        <v>2743</v>
      </c>
      <c r="S4831" s="308" t="s">
        <v>81</v>
      </c>
      <c r="T4831" s="308" t="s">
        <v>75</v>
      </c>
      <c r="U4831" s="308" t="s">
        <v>1509</v>
      </c>
      <c r="V4831" s="312"/>
    </row>
    <row r="4832">
      <c r="A4832" s="308">
        <v>4831.0</v>
      </c>
      <c r="B4832" s="308"/>
      <c r="C4832" s="308" t="s">
        <v>19510</v>
      </c>
      <c r="D4832" s="308">
        <f>IFERROR(__xludf.DUMMYFUNCTION("SPLIT(C4832,""-"")"),4852.0)</f>
        <v>4852</v>
      </c>
      <c r="E4832" s="308" t="str">
        <f>IFERROR(__xludf.DUMMYFUNCTION("""COMPUTED_VALUE"""),"I")</f>
        <v>I</v>
      </c>
      <c r="F4832" s="309" t="s">
        <v>31</v>
      </c>
      <c r="G4832" s="308"/>
      <c r="H4832" s="308" t="s">
        <v>19511</v>
      </c>
      <c r="I4832" s="310">
        <v>42782.0</v>
      </c>
      <c r="J4832" s="319">
        <f>IFERROR(__xludf.DUMMYFUNCTION("SPLIT(I4832,""/"")"),16.0)</f>
        <v>16</v>
      </c>
      <c r="K4832" s="308">
        <f>IFERROR(__xludf.DUMMYFUNCTION("""COMPUTED_VALUE"""),2.0)</f>
        <v>2</v>
      </c>
      <c r="L4832" s="308">
        <f>IFERROR(__xludf.DUMMYFUNCTION("""COMPUTED_VALUE"""),2017.0)</f>
        <v>2017</v>
      </c>
      <c r="M4832" s="308" t="s">
        <v>19512</v>
      </c>
      <c r="N4832" s="308" t="s">
        <v>19513</v>
      </c>
      <c r="O4832" s="308" t="s">
        <v>19514</v>
      </c>
      <c r="P4832" s="308" t="s">
        <v>10817</v>
      </c>
      <c r="Q4832" s="308" t="s">
        <v>37958</v>
      </c>
      <c r="R4832" s="308" t="s">
        <v>2743</v>
      </c>
      <c r="S4832" s="315" t="s">
        <v>100</v>
      </c>
      <c r="T4832" s="311" t="s">
        <v>34208</v>
      </c>
      <c r="U4832" s="308" t="s">
        <v>5990</v>
      </c>
      <c r="V4832" s="312"/>
    </row>
    <row r="4833">
      <c r="A4833" s="308">
        <v>4832.0</v>
      </c>
      <c r="B4833" s="308"/>
      <c r="C4833" s="308" t="s">
        <v>19515</v>
      </c>
      <c r="D4833" s="308">
        <f>IFERROR(__xludf.DUMMYFUNCTION("SPLIT(C4833,""-"")"),4853.0)</f>
        <v>4853</v>
      </c>
      <c r="E4833" s="308" t="str">
        <f>IFERROR(__xludf.DUMMYFUNCTION("""COMPUTED_VALUE"""),"K")</f>
        <v>K</v>
      </c>
      <c r="F4833" s="309" t="s">
        <v>34</v>
      </c>
      <c r="G4833" s="308"/>
      <c r="H4833" s="308" t="s">
        <v>19516</v>
      </c>
      <c r="I4833" s="310">
        <v>39924.0</v>
      </c>
      <c r="J4833" s="319">
        <f>IFERROR(__xludf.DUMMYFUNCTION("SPLIT(I4833,""/"")"),21.0)</f>
        <v>21</v>
      </c>
      <c r="K4833" s="308">
        <f>IFERROR(__xludf.DUMMYFUNCTION("""COMPUTED_VALUE"""),4.0)</f>
        <v>4</v>
      </c>
      <c r="L4833" s="308">
        <f>IFERROR(__xludf.DUMMYFUNCTION("""COMPUTED_VALUE"""),2009.0)</f>
        <v>2009</v>
      </c>
      <c r="M4833" s="308" t="s">
        <v>19517</v>
      </c>
      <c r="N4833" s="308"/>
      <c r="O4833" s="308"/>
      <c r="P4833" s="308" t="s">
        <v>5679</v>
      </c>
      <c r="Q4833" s="308" t="s">
        <v>37958</v>
      </c>
      <c r="R4833" s="308" t="s">
        <v>2743</v>
      </c>
      <c r="S4833" s="315" t="s">
        <v>100</v>
      </c>
      <c r="T4833" s="311" t="s">
        <v>34208</v>
      </c>
      <c r="U4833" s="308" t="s">
        <v>125</v>
      </c>
      <c r="V4833" s="312"/>
    </row>
    <row r="4834">
      <c r="A4834" s="308">
        <v>4833.0</v>
      </c>
      <c r="B4834" s="308"/>
      <c r="C4834" s="308" t="s">
        <v>19518</v>
      </c>
      <c r="D4834" s="308">
        <f>IFERROR(__xludf.DUMMYFUNCTION("SPLIT(C4834,""-"")"),4854.0)</f>
        <v>4854</v>
      </c>
      <c r="E4834" s="308" t="str">
        <f>IFERROR(__xludf.DUMMYFUNCTION("""COMPUTED_VALUE"""),"P")</f>
        <v>P</v>
      </c>
      <c r="F4834" s="312" t="s">
        <v>37</v>
      </c>
      <c r="G4834" s="308"/>
      <c r="H4834" s="308" t="s">
        <v>19519</v>
      </c>
      <c r="I4834" s="310">
        <v>42781.0</v>
      </c>
      <c r="J4834" s="319">
        <f>IFERROR(__xludf.DUMMYFUNCTION("SPLIT(I4834,""/"")"),15.0)</f>
        <v>15</v>
      </c>
      <c r="K4834" s="308">
        <f>IFERROR(__xludf.DUMMYFUNCTION("""COMPUTED_VALUE"""),2.0)</f>
        <v>2</v>
      </c>
      <c r="L4834" s="308">
        <f>IFERROR(__xludf.DUMMYFUNCTION("""COMPUTED_VALUE"""),2017.0)</f>
        <v>2017</v>
      </c>
      <c r="M4834" s="308" t="s">
        <v>19520</v>
      </c>
      <c r="N4834" s="308"/>
      <c r="O4834" s="308" t="s">
        <v>19521</v>
      </c>
      <c r="P4834" s="308" t="s">
        <v>19522</v>
      </c>
      <c r="Q4834" s="308" t="s">
        <v>37959</v>
      </c>
      <c r="R4834" s="308" t="s">
        <v>19523</v>
      </c>
      <c r="S4834" s="308" t="s">
        <v>81</v>
      </c>
      <c r="T4834" s="308" t="s">
        <v>73</v>
      </c>
      <c r="U4834" s="308" t="s">
        <v>5707</v>
      </c>
      <c r="V4834" s="312"/>
    </row>
    <row r="4835">
      <c r="A4835" s="308">
        <v>4834.0</v>
      </c>
      <c r="B4835" s="308"/>
      <c r="C4835" s="308" t="s">
        <v>19524</v>
      </c>
      <c r="D4835" s="308">
        <f>IFERROR(__xludf.DUMMYFUNCTION("SPLIT(C4835,""-"")"),4855.0)</f>
        <v>4855</v>
      </c>
      <c r="E4835" s="308" t="str">
        <f>IFERROR(__xludf.DUMMYFUNCTION("""COMPUTED_VALUE"""),"K")</f>
        <v>K</v>
      </c>
      <c r="F4835" s="309" t="s">
        <v>34</v>
      </c>
      <c r="G4835" s="308"/>
      <c r="H4835" s="308" t="s">
        <v>19525</v>
      </c>
      <c r="I4835" s="310">
        <v>41091.0</v>
      </c>
      <c r="J4835" s="319">
        <f>IFERROR(__xludf.DUMMYFUNCTION("SPLIT(I4835,""/"")"),1.0)</f>
        <v>1</v>
      </c>
      <c r="K4835" s="308">
        <f>IFERROR(__xludf.DUMMYFUNCTION("""COMPUTED_VALUE"""),7.0)</f>
        <v>7</v>
      </c>
      <c r="L4835" s="308">
        <f>IFERROR(__xludf.DUMMYFUNCTION("""COMPUTED_VALUE"""),2012.0)</f>
        <v>2012</v>
      </c>
      <c r="M4835" s="308" t="s">
        <v>19526</v>
      </c>
      <c r="N4835" s="308"/>
      <c r="O4835" s="308"/>
      <c r="P4835" s="308" t="s">
        <v>37960</v>
      </c>
      <c r="Q4835" s="308" t="s">
        <v>37959</v>
      </c>
      <c r="R4835" s="308" t="s">
        <v>2743</v>
      </c>
      <c r="S4835" s="308" t="s">
        <v>81</v>
      </c>
      <c r="T4835" s="308" t="s">
        <v>34264</v>
      </c>
      <c r="U4835" s="308" t="s">
        <v>2097</v>
      </c>
      <c r="V4835" s="312"/>
    </row>
    <row r="4836">
      <c r="A4836" s="308">
        <v>4835.0</v>
      </c>
      <c r="B4836" s="308"/>
      <c r="C4836" s="308" t="s">
        <v>19528</v>
      </c>
      <c r="D4836" s="308">
        <f>IFERROR(__xludf.DUMMYFUNCTION("SPLIT(C4836,""-"")"),4856.0)</f>
        <v>4856</v>
      </c>
      <c r="E4836" s="308" t="str">
        <f>IFERROR(__xludf.DUMMYFUNCTION("""COMPUTED_VALUE"""),"K")</f>
        <v>K</v>
      </c>
      <c r="F4836" s="309" t="s">
        <v>34</v>
      </c>
      <c r="G4836" s="308"/>
      <c r="H4836" s="308" t="s">
        <v>19529</v>
      </c>
      <c r="I4836" s="310">
        <v>41091.0</v>
      </c>
      <c r="J4836" s="319">
        <f>IFERROR(__xludf.DUMMYFUNCTION("SPLIT(I4836,""/"")"),1.0)</f>
        <v>1</v>
      </c>
      <c r="K4836" s="308">
        <f>IFERROR(__xludf.DUMMYFUNCTION("""COMPUTED_VALUE"""),7.0)</f>
        <v>7</v>
      </c>
      <c r="L4836" s="308">
        <f>IFERROR(__xludf.DUMMYFUNCTION("""COMPUTED_VALUE"""),2012.0)</f>
        <v>2012</v>
      </c>
      <c r="M4836" s="308" t="s">
        <v>19530</v>
      </c>
      <c r="N4836" s="308"/>
      <c r="O4836" s="308" t="s">
        <v>19531</v>
      </c>
      <c r="P4836" s="308" t="s">
        <v>37961</v>
      </c>
      <c r="Q4836" s="308" t="s">
        <v>37959</v>
      </c>
      <c r="R4836" s="308" t="s">
        <v>2743</v>
      </c>
      <c r="S4836" s="308" t="s">
        <v>81</v>
      </c>
      <c r="T4836" s="308" t="s">
        <v>34264</v>
      </c>
      <c r="U4836" s="308" t="s">
        <v>530</v>
      </c>
      <c r="V4836" s="312"/>
    </row>
    <row r="4837">
      <c r="A4837" s="308">
        <v>4836.0</v>
      </c>
      <c r="B4837" s="308"/>
      <c r="C4837" s="308" t="s">
        <v>19533</v>
      </c>
      <c r="D4837" s="308">
        <f>IFERROR(__xludf.DUMMYFUNCTION("SPLIT(C4837,""-"")"),4857.0)</f>
        <v>4857</v>
      </c>
      <c r="E4837" s="308" t="str">
        <f>IFERROR(__xludf.DUMMYFUNCTION("""COMPUTED_VALUE"""),"S")</f>
        <v>S</v>
      </c>
      <c r="F4837" s="312" t="s">
        <v>39</v>
      </c>
      <c r="G4837" s="308"/>
      <c r="H4837" s="308" t="s">
        <v>19534</v>
      </c>
      <c r="I4837" s="310">
        <v>41806.0</v>
      </c>
      <c r="J4837" s="319">
        <f>IFERROR(__xludf.DUMMYFUNCTION("SPLIT(I4837,""/"")"),16.0)</f>
        <v>16</v>
      </c>
      <c r="K4837" s="308">
        <f>IFERROR(__xludf.DUMMYFUNCTION("""COMPUTED_VALUE"""),6.0)</f>
        <v>6</v>
      </c>
      <c r="L4837" s="308">
        <f>IFERROR(__xludf.DUMMYFUNCTION("""COMPUTED_VALUE"""),2014.0)</f>
        <v>2014</v>
      </c>
      <c r="M4837" s="308" t="s">
        <v>19535</v>
      </c>
      <c r="N4837" s="308" t="s">
        <v>19536</v>
      </c>
      <c r="O4837" s="308"/>
      <c r="P4837" s="308" t="s">
        <v>37962</v>
      </c>
      <c r="Q4837" s="308" t="s">
        <v>37959</v>
      </c>
      <c r="R4837" s="308" t="s">
        <v>2743</v>
      </c>
      <c r="S4837" s="308" t="s">
        <v>49</v>
      </c>
      <c r="T4837" s="308" t="s">
        <v>53</v>
      </c>
      <c r="U4837" s="308" t="s">
        <v>19538</v>
      </c>
      <c r="V4837" s="312"/>
    </row>
    <row r="4838">
      <c r="A4838" s="308">
        <v>4837.0</v>
      </c>
      <c r="B4838" s="308"/>
      <c r="C4838" s="308" t="s">
        <v>19539</v>
      </c>
      <c r="D4838" s="308">
        <f>IFERROR(__xludf.DUMMYFUNCTION("SPLIT(C4838,""-"")"),4858.0)</f>
        <v>4858</v>
      </c>
      <c r="E4838" s="308" t="str">
        <f>IFERROR(__xludf.DUMMYFUNCTION("""COMPUTED_VALUE"""),"F")</f>
        <v>F</v>
      </c>
      <c r="F4838" s="309" t="s">
        <v>34</v>
      </c>
      <c r="G4838" s="308"/>
      <c r="H4838" s="308" t="s">
        <v>19540</v>
      </c>
      <c r="I4838" s="310">
        <v>41836.0</v>
      </c>
      <c r="J4838" s="319">
        <f>IFERROR(__xludf.DUMMYFUNCTION("SPLIT(I4838,""/"")"),16.0)</f>
        <v>16</v>
      </c>
      <c r="K4838" s="308">
        <f>IFERROR(__xludf.DUMMYFUNCTION("""COMPUTED_VALUE"""),7.0)</f>
        <v>7</v>
      </c>
      <c r="L4838" s="308">
        <f>IFERROR(__xludf.DUMMYFUNCTION("""COMPUTED_VALUE"""),2014.0)</f>
        <v>2014</v>
      </c>
      <c r="M4838" s="308" t="s">
        <v>19541</v>
      </c>
      <c r="N4838" s="308"/>
      <c r="O4838" s="308" t="s">
        <v>19542</v>
      </c>
      <c r="P4838" s="308" t="s">
        <v>37963</v>
      </c>
      <c r="Q4838" s="308" t="s">
        <v>37959</v>
      </c>
      <c r="R4838" s="308" t="s">
        <v>2743</v>
      </c>
      <c r="S4838" s="308" t="s">
        <v>81</v>
      </c>
      <c r="T4838" s="308" t="s">
        <v>34264</v>
      </c>
      <c r="U4838" s="308" t="s">
        <v>195</v>
      </c>
      <c r="V4838" s="312"/>
    </row>
    <row r="4839">
      <c r="A4839" s="308">
        <v>4838.0</v>
      </c>
      <c r="B4839" s="308"/>
      <c r="C4839" s="308" t="s">
        <v>19544</v>
      </c>
      <c r="D4839" s="308">
        <f>IFERROR(__xludf.DUMMYFUNCTION("SPLIT(C4839,""-"")"),4859.0)</f>
        <v>4859</v>
      </c>
      <c r="E4839" s="308" t="str">
        <f>IFERROR(__xludf.DUMMYFUNCTION("""COMPUTED_VALUE"""),"K")</f>
        <v>K</v>
      </c>
      <c r="F4839" s="309" t="s">
        <v>34</v>
      </c>
      <c r="G4839" s="308"/>
      <c r="H4839" s="308" t="s">
        <v>19545</v>
      </c>
      <c r="I4839" s="310">
        <v>42545.0</v>
      </c>
      <c r="J4839" s="319">
        <f>IFERROR(__xludf.DUMMYFUNCTION("SPLIT(I4839,""/"")"),24.0)</f>
        <v>24</v>
      </c>
      <c r="K4839" s="308">
        <f>IFERROR(__xludf.DUMMYFUNCTION("""COMPUTED_VALUE"""),6.0)</f>
        <v>6</v>
      </c>
      <c r="L4839" s="308">
        <f>IFERROR(__xludf.DUMMYFUNCTION("""COMPUTED_VALUE"""),2016.0)</f>
        <v>2016</v>
      </c>
      <c r="M4839" s="308" t="s">
        <v>19546</v>
      </c>
      <c r="N4839" s="308"/>
      <c r="O4839" s="308" t="s">
        <v>19547</v>
      </c>
      <c r="P4839" s="308" t="s">
        <v>37964</v>
      </c>
      <c r="Q4839" s="308" t="s">
        <v>37959</v>
      </c>
      <c r="R4839" s="308" t="s">
        <v>2743</v>
      </c>
      <c r="S4839" s="308" t="s">
        <v>81</v>
      </c>
      <c r="T4839" s="308" t="s">
        <v>34264</v>
      </c>
      <c r="U4839" s="308" t="s">
        <v>941</v>
      </c>
      <c r="V4839" s="312"/>
    </row>
    <row r="4840">
      <c r="A4840" s="308">
        <v>4839.0</v>
      </c>
      <c r="B4840" s="308"/>
      <c r="C4840" s="308" t="s">
        <v>37965</v>
      </c>
      <c r="D4840" s="308" t="str">
        <f>IFERROR(__xludf.DUMMYFUNCTION("SPLIT(C4840,""-"")"),"#REF!")</f>
        <v>#REF!</v>
      </c>
      <c r="E4840" s="311"/>
      <c r="F4840" s="309" t="s">
        <v>31</v>
      </c>
      <c r="G4840" s="308"/>
      <c r="H4840" s="308" t="s">
        <v>19550</v>
      </c>
      <c r="I4840" s="310">
        <v>42188.0</v>
      </c>
      <c r="J4840" s="319">
        <f>IFERROR(__xludf.DUMMYFUNCTION("SPLIT(I4840,""/"")"),3.0)</f>
        <v>3</v>
      </c>
      <c r="K4840" s="308">
        <f>IFERROR(__xludf.DUMMYFUNCTION("""COMPUTED_VALUE"""),7.0)</f>
        <v>7</v>
      </c>
      <c r="L4840" s="308">
        <f>IFERROR(__xludf.DUMMYFUNCTION("""COMPUTED_VALUE"""),2015.0)</f>
        <v>2015</v>
      </c>
      <c r="M4840" s="308" t="s">
        <v>19551</v>
      </c>
      <c r="N4840" s="308" t="s">
        <v>19552</v>
      </c>
      <c r="O4840" s="308" t="s">
        <v>19553</v>
      </c>
      <c r="P4840" s="308" t="s">
        <v>10817</v>
      </c>
      <c r="Q4840" s="308" t="s">
        <v>37959</v>
      </c>
      <c r="R4840" s="308" t="s">
        <v>2743</v>
      </c>
      <c r="S4840" s="315" t="s">
        <v>100</v>
      </c>
      <c r="T4840" s="311" t="s">
        <v>34208</v>
      </c>
      <c r="U4840" s="308" t="s">
        <v>31</v>
      </c>
      <c r="V4840" s="312"/>
    </row>
    <row r="4841">
      <c r="A4841" s="308">
        <v>4840.0</v>
      </c>
      <c r="B4841" s="308"/>
      <c r="C4841" s="308" t="s">
        <v>19554</v>
      </c>
      <c r="D4841" s="308">
        <f>IFERROR(__xludf.DUMMYFUNCTION("SPLIT(C4841,""-"")"),4861.0)</f>
        <v>4861</v>
      </c>
      <c r="E4841" s="308" t="str">
        <f>IFERROR(__xludf.DUMMYFUNCTION("""COMPUTED_VALUE"""),"K")</f>
        <v>K</v>
      </c>
      <c r="F4841" s="309" t="s">
        <v>34</v>
      </c>
      <c r="G4841" s="308"/>
      <c r="H4841" s="308" t="s">
        <v>19555</v>
      </c>
      <c r="I4841" s="310">
        <v>42476.0</v>
      </c>
      <c r="J4841" s="319">
        <f>IFERROR(__xludf.DUMMYFUNCTION("SPLIT(I4841,""/"")"),16.0)</f>
        <v>16</v>
      </c>
      <c r="K4841" s="308">
        <f>IFERROR(__xludf.DUMMYFUNCTION("""COMPUTED_VALUE"""),4.0)</f>
        <v>4</v>
      </c>
      <c r="L4841" s="308">
        <f>IFERROR(__xludf.DUMMYFUNCTION("""COMPUTED_VALUE"""),2016.0)</f>
        <v>2016</v>
      </c>
      <c r="M4841" s="308" t="s">
        <v>19556</v>
      </c>
      <c r="N4841" s="308"/>
      <c r="O4841" s="308" t="s">
        <v>19557</v>
      </c>
      <c r="P4841" s="308" t="s">
        <v>37966</v>
      </c>
      <c r="Q4841" s="308" t="s">
        <v>37959</v>
      </c>
      <c r="R4841" s="308" t="s">
        <v>2743</v>
      </c>
      <c r="S4841" s="308" t="s">
        <v>81</v>
      </c>
      <c r="T4841" s="311" t="s">
        <v>57</v>
      </c>
      <c r="U4841" s="308" t="s">
        <v>542</v>
      </c>
      <c r="V4841" s="312"/>
    </row>
    <row r="4842">
      <c r="A4842" s="308">
        <v>4841.0</v>
      </c>
      <c r="B4842" s="308"/>
      <c r="C4842" s="308" t="s">
        <v>19559</v>
      </c>
      <c r="D4842" s="308">
        <f>IFERROR(__xludf.DUMMYFUNCTION("SPLIT(C4842,""-"")"),4862.0)</f>
        <v>4862</v>
      </c>
      <c r="E4842" s="308" t="str">
        <f>IFERROR(__xludf.DUMMYFUNCTION("""COMPUTED_VALUE"""),"P")</f>
        <v>P</v>
      </c>
      <c r="F4842" s="312" t="s">
        <v>37</v>
      </c>
      <c r="G4842" s="308"/>
      <c r="H4842" s="308" t="s">
        <v>19560</v>
      </c>
      <c r="I4842" s="310">
        <v>42525.0</v>
      </c>
      <c r="J4842" s="319">
        <f>IFERROR(__xludf.DUMMYFUNCTION("SPLIT(I4842,""/"")"),4.0)</f>
        <v>4</v>
      </c>
      <c r="K4842" s="308">
        <f>IFERROR(__xludf.DUMMYFUNCTION("""COMPUTED_VALUE"""),6.0)</f>
        <v>6</v>
      </c>
      <c r="L4842" s="308">
        <f>IFERROR(__xludf.DUMMYFUNCTION("""COMPUTED_VALUE"""),2016.0)</f>
        <v>2016</v>
      </c>
      <c r="M4842" s="308" t="s">
        <v>19561</v>
      </c>
      <c r="N4842" s="308"/>
      <c r="O4842" s="308"/>
      <c r="P4842" s="308" t="s">
        <v>19562</v>
      </c>
      <c r="Q4842" s="308" t="s">
        <v>37967</v>
      </c>
      <c r="R4842" s="308" t="s">
        <v>2743</v>
      </c>
      <c r="S4842" s="308" t="s">
        <v>81</v>
      </c>
      <c r="T4842" s="311" t="s">
        <v>51</v>
      </c>
      <c r="U4842" s="308" t="s">
        <v>149</v>
      </c>
      <c r="V4842" s="312"/>
    </row>
    <row r="4843">
      <c r="A4843" s="308">
        <v>4842.0</v>
      </c>
      <c r="B4843" s="308"/>
      <c r="C4843" s="308" t="s">
        <v>19563</v>
      </c>
      <c r="D4843" s="308">
        <f>IFERROR(__xludf.DUMMYFUNCTION("SPLIT(C4843,""-"")"),4863.0)</f>
        <v>4863</v>
      </c>
      <c r="E4843" s="308" t="str">
        <f>IFERROR(__xludf.DUMMYFUNCTION("""COMPUTED_VALUE"""),"P")</f>
        <v>P</v>
      </c>
      <c r="F4843" s="312" t="s">
        <v>37</v>
      </c>
      <c r="G4843" s="308"/>
      <c r="H4843" s="308" t="s">
        <v>19564</v>
      </c>
      <c r="I4843" s="310">
        <v>42934.0</v>
      </c>
      <c r="J4843" s="319">
        <f>IFERROR(__xludf.DUMMYFUNCTION("SPLIT(I4843,""/"")"),18.0)</f>
        <v>18</v>
      </c>
      <c r="K4843" s="308">
        <f>IFERROR(__xludf.DUMMYFUNCTION("""COMPUTED_VALUE"""),7.0)</f>
        <v>7</v>
      </c>
      <c r="L4843" s="308">
        <f>IFERROR(__xludf.DUMMYFUNCTION("""COMPUTED_VALUE"""),2017.0)</f>
        <v>2017</v>
      </c>
      <c r="M4843" s="308" t="s">
        <v>19565</v>
      </c>
      <c r="N4843" s="308"/>
      <c r="O4843" s="308"/>
      <c r="P4843" s="308" t="s">
        <v>19566</v>
      </c>
      <c r="Q4843" s="308" t="s">
        <v>37967</v>
      </c>
      <c r="R4843" s="308" t="s">
        <v>2743</v>
      </c>
      <c r="S4843" s="308" t="s">
        <v>81</v>
      </c>
      <c r="T4843" s="308" t="s">
        <v>75</v>
      </c>
      <c r="U4843" s="308" t="s">
        <v>149</v>
      </c>
      <c r="V4843" s="312"/>
    </row>
    <row r="4844">
      <c r="A4844" s="308">
        <v>4843.0</v>
      </c>
      <c r="B4844" s="308"/>
      <c r="C4844" s="308" t="s">
        <v>19567</v>
      </c>
      <c r="D4844" s="308">
        <f>IFERROR(__xludf.DUMMYFUNCTION("SPLIT(C4844,""-"")"),4864.0)</f>
        <v>4864</v>
      </c>
      <c r="E4844" s="308" t="str">
        <f>IFERROR(__xludf.DUMMYFUNCTION("""COMPUTED_VALUE"""),"I")</f>
        <v>I</v>
      </c>
      <c r="F4844" s="309" t="s">
        <v>31</v>
      </c>
      <c r="G4844" s="308"/>
      <c r="H4844" s="308" t="s">
        <v>19568</v>
      </c>
      <c r="I4844" s="310">
        <v>43156.0</v>
      </c>
      <c r="J4844" s="319">
        <f>IFERROR(__xludf.DUMMYFUNCTION("SPLIT(I4844,""/"")"),25.0)</f>
        <v>25</v>
      </c>
      <c r="K4844" s="308">
        <f>IFERROR(__xludf.DUMMYFUNCTION("""COMPUTED_VALUE"""),2.0)</f>
        <v>2</v>
      </c>
      <c r="L4844" s="308">
        <f>IFERROR(__xludf.DUMMYFUNCTION("""COMPUTED_VALUE"""),2018.0)</f>
        <v>2018</v>
      </c>
      <c r="M4844" s="308" t="s">
        <v>37968</v>
      </c>
      <c r="N4844" s="308"/>
      <c r="O4844" s="308" t="s">
        <v>19570</v>
      </c>
      <c r="P4844" s="308" t="s">
        <v>37969</v>
      </c>
      <c r="Q4844" s="308" t="s">
        <v>37967</v>
      </c>
      <c r="R4844" s="308" t="s">
        <v>2743</v>
      </c>
      <c r="S4844" s="308" t="s">
        <v>81</v>
      </c>
      <c r="T4844" s="311" t="s">
        <v>73</v>
      </c>
      <c r="U4844" s="308" t="s">
        <v>31</v>
      </c>
      <c r="V4844" s="312"/>
    </row>
    <row r="4845">
      <c r="A4845" s="308">
        <v>4844.0</v>
      </c>
      <c r="B4845" s="308"/>
      <c r="C4845" s="308" t="s">
        <v>19572</v>
      </c>
      <c r="D4845" s="308">
        <f>IFERROR(__xludf.DUMMYFUNCTION("SPLIT(C4845,""-"")"),4865.0)</f>
        <v>4865</v>
      </c>
      <c r="E4845" s="308" t="str">
        <f>IFERROR(__xludf.DUMMYFUNCTION("""COMPUTED_VALUE"""),"K")</f>
        <v>K</v>
      </c>
      <c r="F4845" s="309" t="s">
        <v>34</v>
      </c>
      <c r="G4845" s="308"/>
      <c r="H4845" s="308" t="s">
        <v>19573</v>
      </c>
      <c r="I4845" s="310">
        <v>42706.0</v>
      </c>
      <c r="J4845" s="319">
        <f>IFERROR(__xludf.DUMMYFUNCTION("SPLIT(I4845,""/"")"),2.0)</f>
        <v>2</v>
      </c>
      <c r="K4845" s="308">
        <f>IFERROR(__xludf.DUMMYFUNCTION("""COMPUTED_VALUE"""),12.0)</f>
        <v>12</v>
      </c>
      <c r="L4845" s="308">
        <f>IFERROR(__xludf.DUMMYFUNCTION("""COMPUTED_VALUE"""),2016.0)</f>
        <v>2016</v>
      </c>
      <c r="M4845" s="308" t="s">
        <v>19574</v>
      </c>
      <c r="N4845" s="308" t="s">
        <v>19575</v>
      </c>
      <c r="O4845" s="308"/>
      <c r="P4845" s="308" t="s">
        <v>5679</v>
      </c>
      <c r="Q4845" s="308" t="s">
        <v>37967</v>
      </c>
      <c r="R4845" s="308" t="s">
        <v>2743</v>
      </c>
      <c r="S4845" s="315" t="s">
        <v>100</v>
      </c>
      <c r="T4845" s="311" t="s">
        <v>34208</v>
      </c>
      <c r="U4845" s="308" t="s">
        <v>125</v>
      </c>
      <c r="V4845" s="312"/>
    </row>
    <row r="4846">
      <c r="A4846" s="308">
        <v>4845.0</v>
      </c>
      <c r="B4846" s="308"/>
      <c r="C4846" s="308" t="s">
        <v>19576</v>
      </c>
      <c r="D4846" s="308">
        <f>IFERROR(__xludf.DUMMYFUNCTION("SPLIT(C4846,""-"")"),4866.0)</f>
        <v>4866</v>
      </c>
      <c r="E4846" s="308" t="str">
        <f>IFERROR(__xludf.DUMMYFUNCTION("""COMPUTED_VALUE"""),"P")</f>
        <v>P</v>
      </c>
      <c r="F4846" s="312" t="s">
        <v>37</v>
      </c>
      <c r="G4846" s="308"/>
      <c r="H4846" s="308" t="s">
        <v>19577</v>
      </c>
      <c r="I4846" s="310">
        <v>42226.0</v>
      </c>
      <c r="J4846" s="319">
        <f>IFERROR(__xludf.DUMMYFUNCTION("SPLIT(I4846,""/"")"),10.0)</f>
        <v>10</v>
      </c>
      <c r="K4846" s="308">
        <f>IFERROR(__xludf.DUMMYFUNCTION("""COMPUTED_VALUE"""),8.0)</f>
        <v>8</v>
      </c>
      <c r="L4846" s="308">
        <f>IFERROR(__xludf.DUMMYFUNCTION("""COMPUTED_VALUE"""),2015.0)</f>
        <v>2015</v>
      </c>
      <c r="M4846" s="308" t="s">
        <v>19578</v>
      </c>
      <c r="N4846" s="308"/>
      <c r="O4846" s="308" t="s">
        <v>19579</v>
      </c>
      <c r="P4846" s="308" t="s">
        <v>19580</v>
      </c>
      <c r="Q4846" s="308" t="s">
        <v>37967</v>
      </c>
      <c r="R4846" s="308" t="s">
        <v>2743</v>
      </c>
      <c r="S4846" s="308" t="s">
        <v>49</v>
      </c>
      <c r="T4846" s="308" t="s">
        <v>51</v>
      </c>
      <c r="U4846" s="308" t="s">
        <v>143</v>
      </c>
      <c r="V4846" s="312"/>
    </row>
    <row r="4847">
      <c r="A4847" s="308">
        <v>4846.0</v>
      </c>
      <c r="B4847" s="308"/>
      <c r="C4847" s="308" t="s">
        <v>19581</v>
      </c>
      <c r="D4847" s="308">
        <f>IFERROR(__xludf.DUMMYFUNCTION("SPLIT(C4847,""-"")"),4867.0)</f>
        <v>4867</v>
      </c>
      <c r="E4847" s="308" t="str">
        <f>IFERROR(__xludf.DUMMYFUNCTION("""COMPUTED_VALUE"""),"K")</f>
        <v>K</v>
      </c>
      <c r="F4847" s="309" t="s">
        <v>34</v>
      </c>
      <c r="G4847" s="308"/>
      <c r="H4847" s="308" t="s">
        <v>19582</v>
      </c>
      <c r="I4847" s="314">
        <v>42363.0</v>
      </c>
      <c r="J4847" s="319">
        <f>IFERROR(__xludf.DUMMYFUNCTION("SPLIT(I4847,""/"")"),25.0)</f>
        <v>25</v>
      </c>
      <c r="K4847" s="308">
        <f>IFERROR(__xludf.DUMMYFUNCTION("""COMPUTED_VALUE"""),12.0)</f>
        <v>12</v>
      </c>
      <c r="L4847" s="308">
        <f>IFERROR(__xludf.DUMMYFUNCTION("""COMPUTED_VALUE"""),2015.0)</f>
        <v>2015</v>
      </c>
      <c r="M4847" s="308" t="s">
        <v>19583</v>
      </c>
      <c r="N4847" s="308"/>
      <c r="O4847" s="308"/>
      <c r="P4847" s="308" t="s">
        <v>19584</v>
      </c>
      <c r="Q4847" s="308" t="s">
        <v>37967</v>
      </c>
      <c r="R4847" s="308" t="s">
        <v>2743</v>
      </c>
      <c r="S4847" s="308" t="s">
        <v>49</v>
      </c>
      <c r="T4847" s="311" t="s">
        <v>51</v>
      </c>
      <c r="U4847" s="308" t="s">
        <v>7530</v>
      </c>
      <c r="V4847" s="312"/>
    </row>
    <row r="4848">
      <c r="A4848" s="308">
        <v>4847.0</v>
      </c>
      <c r="B4848" s="308"/>
      <c r="C4848" s="308" t="s">
        <v>19585</v>
      </c>
      <c r="D4848" s="308">
        <f>IFERROR(__xludf.DUMMYFUNCTION("SPLIT(C4848,""-"")"),4868.0)</f>
        <v>4868</v>
      </c>
      <c r="E4848" s="308" t="str">
        <f>IFERROR(__xludf.DUMMYFUNCTION("""COMPUTED_VALUE"""),"K")</f>
        <v>K</v>
      </c>
      <c r="F4848" s="309" t="s">
        <v>34</v>
      </c>
      <c r="G4848" s="308"/>
      <c r="H4848" s="308" t="s">
        <v>19586</v>
      </c>
      <c r="I4848" s="310">
        <v>43004.0</v>
      </c>
      <c r="J4848" s="319" t="str">
        <f>IFERROR(__xludf.DUMMYFUNCTION("SPLIT(I4848,""/"")"),"#REF!")</f>
        <v>#REF!</v>
      </c>
      <c r="K4848" s="308"/>
      <c r="L4848" s="308">
        <v>2017.0</v>
      </c>
      <c r="M4848" s="308" t="s">
        <v>19587</v>
      </c>
      <c r="N4848" s="308"/>
      <c r="O4848" s="308"/>
      <c r="P4848" s="308" t="s">
        <v>19588</v>
      </c>
      <c r="Q4848" s="308" t="s">
        <v>37967</v>
      </c>
      <c r="R4848" s="308" t="s">
        <v>2743</v>
      </c>
      <c r="S4848" s="308" t="s">
        <v>81</v>
      </c>
      <c r="T4848" s="308" t="s">
        <v>75</v>
      </c>
      <c r="U4848" s="308" t="s">
        <v>125</v>
      </c>
      <c r="V4848" s="312"/>
    </row>
    <row r="4849">
      <c r="A4849" s="308">
        <v>4848.0</v>
      </c>
      <c r="B4849" s="308"/>
      <c r="C4849" s="308" t="s">
        <v>19589</v>
      </c>
      <c r="D4849" s="308">
        <f>IFERROR(__xludf.DUMMYFUNCTION("SPLIT(C4849,""-"")"),4869.0)</f>
        <v>4869</v>
      </c>
      <c r="E4849" s="308" t="str">
        <f>IFERROR(__xludf.DUMMYFUNCTION("""COMPUTED_VALUE"""),"K")</f>
        <v>K</v>
      </c>
      <c r="F4849" s="309" t="s">
        <v>34</v>
      </c>
      <c r="G4849" s="308"/>
      <c r="H4849" s="308" t="s">
        <v>19590</v>
      </c>
      <c r="I4849" s="310">
        <v>41478.0</v>
      </c>
      <c r="J4849" s="319">
        <f>IFERROR(__xludf.DUMMYFUNCTION("SPLIT(I4849,""/"")"),23.0)</f>
        <v>23</v>
      </c>
      <c r="K4849" s="308">
        <f>IFERROR(__xludf.DUMMYFUNCTION("""COMPUTED_VALUE"""),7.0)</f>
        <v>7</v>
      </c>
      <c r="L4849" s="308">
        <f>IFERROR(__xludf.DUMMYFUNCTION("""COMPUTED_VALUE"""),2013.0)</f>
        <v>2013</v>
      </c>
      <c r="M4849" s="308" t="s">
        <v>37970</v>
      </c>
      <c r="N4849" s="308"/>
      <c r="O4849" s="308"/>
      <c r="P4849" s="308" t="s">
        <v>37971</v>
      </c>
      <c r="Q4849" s="308" t="s">
        <v>37972</v>
      </c>
      <c r="R4849" s="308" t="s">
        <v>2743</v>
      </c>
      <c r="S4849" s="308" t="s">
        <v>49</v>
      </c>
      <c r="T4849" s="308" t="s">
        <v>51</v>
      </c>
      <c r="U4849" s="308" t="s">
        <v>201</v>
      </c>
      <c r="V4849" s="312"/>
    </row>
    <row r="4850">
      <c r="A4850" s="308">
        <v>4849.0</v>
      </c>
      <c r="B4850" s="308"/>
      <c r="C4850" s="308" t="s">
        <v>19593</v>
      </c>
      <c r="D4850" s="308">
        <f>IFERROR(__xludf.DUMMYFUNCTION("SPLIT(C4850,""-"")"),4870.0)</f>
        <v>4870</v>
      </c>
      <c r="E4850" s="308" t="str">
        <f>IFERROR(__xludf.DUMMYFUNCTION("""COMPUTED_VALUE"""),"S")</f>
        <v>S</v>
      </c>
      <c r="F4850" s="312" t="s">
        <v>39</v>
      </c>
      <c r="G4850" s="308"/>
      <c r="H4850" s="308" t="s">
        <v>19594</v>
      </c>
      <c r="I4850" s="310">
        <v>41806.0</v>
      </c>
      <c r="J4850" s="319">
        <f>IFERROR(__xludf.DUMMYFUNCTION("SPLIT(I4850,""/"")"),16.0)</f>
        <v>16</v>
      </c>
      <c r="K4850" s="308">
        <f>IFERROR(__xludf.DUMMYFUNCTION("""COMPUTED_VALUE"""),6.0)</f>
        <v>6</v>
      </c>
      <c r="L4850" s="308">
        <f>IFERROR(__xludf.DUMMYFUNCTION("""COMPUTED_VALUE"""),2014.0)</f>
        <v>2014</v>
      </c>
      <c r="M4850" s="308" t="s">
        <v>19595</v>
      </c>
      <c r="N4850" s="308"/>
      <c r="O4850" s="308"/>
      <c r="P4850" s="308"/>
      <c r="Q4850" s="308" t="s">
        <v>37972</v>
      </c>
      <c r="R4850" s="308" t="s">
        <v>2743</v>
      </c>
      <c r="S4850" s="308" t="s">
        <v>79</v>
      </c>
      <c r="T4850" s="308" t="s">
        <v>79</v>
      </c>
      <c r="U4850" s="308" t="s">
        <v>166</v>
      </c>
      <c r="V4850" s="312"/>
    </row>
    <row r="4851">
      <c r="A4851" s="308">
        <v>4850.0</v>
      </c>
      <c r="B4851" s="308"/>
      <c r="C4851" s="308" t="s">
        <v>19596</v>
      </c>
      <c r="D4851" s="308">
        <f>IFERROR(__xludf.DUMMYFUNCTION("SPLIT(C4851,""-"")"),4871.0)</f>
        <v>4871</v>
      </c>
      <c r="E4851" s="308" t="str">
        <f>IFERROR(__xludf.DUMMYFUNCTION("""COMPUTED_VALUE"""),"K")</f>
        <v>K</v>
      </c>
      <c r="F4851" s="309" t="s">
        <v>34</v>
      </c>
      <c r="G4851" s="308"/>
      <c r="H4851" s="308" t="s">
        <v>19597</v>
      </c>
      <c r="I4851" s="310">
        <v>40051.0</v>
      </c>
      <c r="J4851" s="319">
        <f>IFERROR(__xludf.DUMMYFUNCTION("SPLIT(I4851,""/"")"),26.0)</f>
        <v>26</v>
      </c>
      <c r="K4851" s="308">
        <f>IFERROR(__xludf.DUMMYFUNCTION("""COMPUTED_VALUE"""),8.0)</f>
        <v>8</v>
      </c>
      <c r="L4851" s="308">
        <f>IFERROR(__xludf.DUMMYFUNCTION("""COMPUTED_VALUE"""),2009.0)</f>
        <v>2009</v>
      </c>
      <c r="M4851" s="308" t="s">
        <v>19598</v>
      </c>
      <c r="N4851" s="308"/>
      <c r="O4851" s="308"/>
      <c r="P4851" s="308" t="s">
        <v>36111</v>
      </c>
      <c r="Q4851" s="308" t="s">
        <v>37973</v>
      </c>
      <c r="R4851" s="308" t="s">
        <v>2743</v>
      </c>
      <c r="S4851" s="315" t="s">
        <v>100</v>
      </c>
      <c r="T4851" s="311" t="s">
        <v>34208</v>
      </c>
      <c r="U4851" s="308" t="s">
        <v>2097</v>
      </c>
      <c r="V4851" s="312"/>
    </row>
    <row r="4852">
      <c r="A4852" s="308">
        <v>4851.0</v>
      </c>
      <c r="B4852" s="308"/>
      <c r="C4852" s="308" t="s">
        <v>19599</v>
      </c>
      <c r="D4852" s="308">
        <f>IFERROR(__xludf.DUMMYFUNCTION("SPLIT(C4852,""-"")"),4872.0)</f>
        <v>4872</v>
      </c>
      <c r="E4852" s="308" t="str">
        <f>IFERROR(__xludf.DUMMYFUNCTION("""COMPUTED_VALUE"""),"F")</f>
        <v>F</v>
      </c>
      <c r="F4852" s="309" t="s">
        <v>34</v>
      </c>
      <c r="G4852" s="308"/>
      <c r="H4852" s="308" t="s">
        <v>19600</v>
      </c>
      <c r="I4852" s="310">
        <v>42633.0</v>
      </c>
      <c r="J4852" s="319">
        <f>IFERROR(__xludf.DUMMYFUNCTION("SPLIT(I4852,""/"")"),20.0)</f>
        <v>20</v>
      </c>
      <c r="K4852" s="308">
        <f>IFERROR(__xludf.DUMMYFUNCTION("""COMPUTED_VALUE"""),9.0)</f>
        <v>9</v>
      </c>
      <c r="L4852" s="308">
        <f>IFERROR(__xludf.DUMMYFUNCTION("""COMPUTED_VALUE"""),2016.0)</f>
        <v>2016</v>
      </c>
      <c r="M4852" s="308" t="s">
        <v>19601</v>
      </c>
      <c r="N4852" s="308" t="s">
        <v>19602</v>
      </c>
      <c r="O4852" s="308"/>
      <c r="P4852" s="308" t="s">
        <v>6393</v>
      </c>
      <c r="Q4852" s="308" t="s">
        <v>37973</v>
      </c>
      <c r="R4852" s="308" t="s">
        <v>2743</v>
      </c>
      <c r="S4852" s="315" t="s">
        <v>100</v>
      </c>
      <c r="T4852" s="311" t="s">
        <v>34208</v>
      </c>
      <c r="U4852" s="308" t="s">
        <v>37974</v>
      </c>
      <c r="V4852" s="312"/>
    </row>
    <row r="4853">
      <c r="A4853" s="308">
        <v>4852.0</v>
      </c>
      <c r="B4853" s="308"/>
      <c r="C4853" s="308" t="s">
        <v>19604</v>
      </c>
      <c r="D4853" s="308">
        <f>IFERROR(__xludf.DUMMYFUNCTION("SPLIT(C4853,""-"")"),4873.0)</f>
        <v>4873</v>
      </c>
      <c r="E4853" s="308" t="str">
        <f>IFERROR(__xludf.DUMMYFUNCTION("""COMPUTED_VALUE"""),"P")</f>
        <v>P</v>
      </c>
      <c r="F4853" s="312" t="s">
        <v>37</v>
      </c>
      <c r="G4853" s="308"/>
      <c r="H4853" s="308" t="s">
        <v>19605</v>
      </c>
      <c r="I4853" s="310">
        <v>41725.0</v>
      </c>
      <c r="J4853" s="319">
        <f>IFERROR(__xludf.DUMMYFUNCTION("SPLIT(I4853,""/"")"),27.0)</f>
        <v>27</v>
      </c>
      <c r="K4853" s="308">
        <f>IFERROR(__xludf.DUMMYFUNCTION("""COMPUTED_VALUE"""),3.0)</f>
        <v>3</v>
      </c>
      <c r="L4853" s="308">
        <f>IFERROR(__xludf.DUMMYFUNCTION("""COMPUTED_VALUE"""),2014.0)</f>
        <v>2014</v>
      </c>
      <c r="M4853" s="308" t="s">
        <v>37975</v>
      </c>
      <c r="N4853" s="308"/>
      <c r="O4853" s="308"/>
      <c r="P4853" s="308" t="s">
        <v>37976</v>
      </c>
      <c r="Q4853" s="308" t="s">
        <v>37977</v>
      </c>
      <c r="R4853" s="308" t="s">
        <v>2743</v>
      </c>
      <c r="S4853" s="308" t="s">
        <v>81</v>
      </c>
      <c r="T4853" s="308" t="s">
        <v>34264</v>
      </c>
      <c r="U4853" s="308" t="s">
        <v>2291</v>
      </c>
      <c r="V4853" s="312"/>
    </row>
    <row r="4854">
      <c r="A4854" s="308">
        <v>4853.0</v>
      </c>
      <c r="B4854" s="308"/>
      <c r="C4854" s="308" t="s">
        <v>19608</v>
      </c>
      <c r="D4854" s="308">
        <f>IFERROR(__xludf.DUMMYFUNCTION("SPLIT(C4854,""-"")"),4874.0)</f>
        <v>4874</v>
      </c>
      <c r="E4854" s="308" t="str">
        <f>IFERROR(__xludf.DUMMYFUNCTION("""COMPUTED_VALUE"""),"K")</f>
        <v>K</v>
      </c>
      <c r="F4854" s="309" t="s">
        <v>34</v>
      </c>
      <c r="G4854" s="308"/>
      <c r="H4854" s="308" t="s">
        <v>19609</v>
      </c>
      <c r="I4854" s="310">
        <v>42196.0</v>
      </c>
      <c r="J4854" s="319">
        <f>IFERROR(__xludf.DUMMYFUNCTION("SPLIT(I4854,""/"")"),11.0)</f>
        <v>11</v>
      </c>
      <c r="K4854" s="308">
        <f>IFERROR(__xludf.DUMMYFUNCTION("""COMPUTED_VALUE"""),7.0)</f>
        <v>7</v>
      </c>
      <c r="L4854" s="308">
        <f>IFERROR(__xludf.DUMMYFUNCTION("""COMPUTED_VALUE"""),2015.0)</f>
        <v>2015</v>
      </c>
      <c r="M4854" s="308" t="s">
        <v>19610</v>
      </c>
      <c r="N4854" s="308"/>
      <c r="O4854" s="308"/>
      <c r="P4854" s="308" t="s">
        <v>37978</v>
      </c>
      <c r="Q4854" s="308" t="s">
        <v>37977</v>
      </c>
      <c r="R4854" s="308" t="s">
        <v>2743</v>
      </c>
      <c r="S4854" s="308" t="s">
        <v>49</v>
      </c>
      <c r="T4854" s="311" t="s">
        <v>51</v>
      </c>
      <c r="U4854" s="308" t="s">
        <v>125</v>
      </c>
      <c r="V4854" s="312"/>
    </row>
    <row r="4855">
      <c r="A4855" s="308">
        <v>4854.0</v>
      </c>
      <c r="B4855" s="308"/>
      <c r="C4855" s="308" t="s">
        <v>19612</v>
      </c>
      <c r="D4855" s="308">
        <f>IFERROR(__xludf.DUMMYFUNCTION("SPLIT(C4855,""-"")"),4875.0)</f>
        <v>4875</v>
      </c>
      <c r="E4855" s="308" t="str">
        <f>IFERROR(__xludf.DUMMYFUNCTION("""COMPUTED_VALUE"""),"S")</f>
        <v>S</v>
      </c>
      <c r="F4855" s="312" t="s">
        <v>39</v>
      </c>
      <c r="G4855" s="308"/>
      <c r="H4855" s="308" t="s">
        <v>19613</v>
      </c>
      <c r="I4855" s="310">
        <v>43165.0</v>
      </c>
      <c r="J4855" s="319">
        <f>IFERROR(__xludf.DUMMYFUNCTION("SPLIT(I4855,""/"")"),6.0)</f>
        <v>6</v>
      </c>
      <c r="K4855" s="308">
        <f>IFERROR(__xludf.DUMMYFUNCTION("""COMPUTED_VALUE"""),3.0)</f>
        <v>3</v>
      </c>
      <c r="L4855" s="308">
        <f>IFERROR(__xludf.DUMMYFUNCTION("""COMPUTED_VALUE"""),2018.0)</f>
        <v>2018</v>
      </c>
      <c r="M4855" s="308" t="s">
        <v>19614</v>
      </c>
      <c r="N4855" s="308"/>
      <c r="O4855" s="308"/>
      <c r="P4855" s="308" t="s">
        <v>37979</v>
      </c>
      <c r="Q4855" s="308" t="s">
        <v>37977</v>
      </c>
      <c r="R4855" s="308" t="s">
        <v>2743</v>
      </c>
      <c r="S4855" s="308" t="s">
        <v>81</v>
      </c>
      <c r="T4855" s="308" t="s">
        <v>75</v>
      </c>
      <c r="U4855" s="308" t="s">
        <v>40</v>
      </c>
      <c r="V4855" s="312"/>
    </row>
    <row r="4856">
      <c r="A4856" s="308">
        <v>4855.0</v>
      </c>
      <c r="B4856" s="308"/>
      <c r="C4856" s="308" t="s">
        <v>19616</v>
      </c>
      <c r="D4856" s="308">
        <f>IFERROR(__xludf.DUMMYFUNCTION("SPLIT(C4856,""-"")"),4876.0)</f>
        <v>4876</v>
      </c>
      <c r="E4856" s="308" t="str">
        <f>IFERROR(__xludf.DUMMYFUNCTION("""COMPUTED_VALUE"""),"P")</f>
        <v>P</v>
      </c>
      <c r="F4856" s="312" t="s">
        <v>37</v>
      </c>
      <c r="G4856" s="308"/>
      <c r="H4856" s="308" t="s">
        <v>19617</v>
      </c>
      <c r="I4856" s="310">
        <v>43119.0</v>
      </c>
      <c r="J4856" s="319">
        <f>IFERROR(__xludf.DUMMYFUNCTION("SPLIT(I4856,""/"")"),19.0)</f>
        <v>19</v>
      </c>
      <c r="K4856" s="308">
        <f>IFERROR(__xludf.DUMMYFUNCTION("""COMPUTED_VALUE"""),1.0)</f>
        <v>1</v>
      </c>
      <c r="L4856" s="308">
        <f>IFERROR(__xludf.DUMMYFUNCTION("""COMPUTED_VALUE"""),2018.0)</f>
        <v>2018</v>
      </c>
      <c r="M4856" s="308" t="s">
        <v>19618</v>
      </c>
      <c r="N4856" s="308"/>
      <c r="O4856" s="308"/>
      <c r="P4856" s="308" t="s">
        <v>19619</v>
      </c>
      <c r="Q4856" s="308" t="s">
        <v>37977</v>
      </c>
      <c r="R4856" s="308" t="s">
        <v>2743</v>
      </c>
      <c r="S4856" s="308" t="s">
        <v>81</v>
      </c>
      <c r="T4856" s="311" t="s">
        <v>51</v>
      </c>
      <c r="U4856" s="308" t="s">
        <v>149</v>
      </c>
      <c r="V4856" s="312"/>
    </row>
    <row r="4857">
      <c r="A4857" s="308">
        <v>4856.0</v>
      </c>
      <c r="B4857" s="308"/>
      <c r="C4857" s="308" t="s">
        <v>19620</v>
      </c>
      <c r="D4857" s="308">
        <f>IFERROR(__xludf.DUMMYFUNCTION("SPLIT(C4857,""-"")"),4877.0)</f>
        <v>4877</v>
      </c>
      <c r="E4857" s="308" t="str">
        <f>IFERROR(__xludf.DUMMYFUNCTION("""COMPUTED_VALUE"""),"P")</f>
        <v>P</v>
      </c>
      <c r="F4857" s="312" t="s">
        <v>37</v>
      </c>
      <c r="G4857" s="308"/>
      <c r="H4857" s="308" t="s">
        <v>37980</v>
      </c>
      <c r="I4857" s="310">
        <v>43168.0</v>
      </c>
      <c r="J4857" s="319">
        <f>IFERROR(__xludf.DUMMYFUNCTION("SPLIT(I4857,""/"")"),9.0)</f>
        <v>9</v>
      </c>
      <c r="K4857" s="308">
        <f>IFERROR(__xludf.DUMMYFUNCTION("""COMPUTED_VALUE"""),3.0)</f>
        <v>3</v>
      </c>
      <c r="L4857" s="308">
        <f>IFERROR(__xludf.DUMMYFUNCTION("""COMPUTED_VALUE"""),2018.0)</f>
        <v>2018</v>
      </c>
      <c r="M4857" s="308" t="s">
        <v>19622</v>
      </c>
      <c r="N4857" s="308"/>
      <c r="O4857" s="308" t="s">
        <v>19623</v>
      </c>
      <c r="P4857" s="308" t="s">
        <v>19624</v>
      </c>
      <c r="Q4857" s="308" t="s">
        <v>37977</v>
      </c>
      <c r="R4857" s="308" t="s">
        <v>2743</v>
      </c>
      <c r="S4857" s="308" t="s">
        <v>81</v>
      </c>
      <c r="T4857" s="311" t="s">
        <v>96</v>
      </c>
      <c r="U4857" s="308" t="s">
        <v>143</v>
      </c>
      <c r="V4857" s="312"/>
    </row>
    <row r="4858">
      <c r="A4858" s="308">
        <v>4857.0</v>
      </c>
      <c r="B4858" s="308"/>
      <c r="C4858" s="308" t="s">
        <v>19625</v>
      </c>
      <c r="D4858" s="308">
        <f>IFERROR(__xludf.DUMMYFUNCTION("SPLIT(C4858,""-"")"),4878.0)</f>
        <v>4878</v>
      </c>
      <c r="E4858" s="308" t="str">
        <f>IFERROR(__xludf.DUMMYFUNCTION("""COMPUTED_VALUE"""),"K")</f>
        <v>K</v>
      </c>
      <c r="F4858" s="309" t="s">
        <v>34</v>
      </c>
      <c r="G4858" s="308"/>
      <c r="H4858" s="308" t="s">
        <v>19626</v>
      </c>
      <c r="I4858" s="310">
        <v>42513.0</v>
      </c>
      <c r="J4858" s="319">
        <f>IFERROR(__xludf.DUMMYFUNCTION("SPLIT(I4858,""/"")"),23.0)</f>
        <v>23</v>
      </c>
      <c r="K4858" s="308">
        <f>IFERROR(__xludf.DUMMYFUNCTION("""COMPUTED_VALUE"""),5.0)</f>
        <v>5</v>
      </c>
      <c r="L4858" s="308">
        <f>IFERROR(__xludf.DUMMYFUNCTION("""COMPUTED_VALUE"""),2016.0)</f>
        <v>2016</v>
      </c>
      <c r="M4858" s="308" t="s">
        <v>37981</v>
      </c>
      <c r="N4858" s="308"/>
      <c r="O4858" s="308"/>
      <c r="P4858" s="308" t="s">
        <v>8033</v>
      </c>
      <c r="Q4858" s="308" t="s">
        <v>37977</v>
      </c>
      <c r="R4858" s="308" t="s">
        <v>2743</v>
      </c>
      <c r="S4858" s="315" t="s">
        <v>100</v>
      </c>
      <c r="T4858" s="311" t="s">
        <v>34208</v>
      </c>
      <c r="U4858" s="308" t="s">
        <v>125</v>
      </c>
      <c r="V4858" s="312"/>
    </row>
    <row r="4859">
      <c r="A4859" s="308">
        <v>4858.0</v>
      </c>
      <c r="B4859" s="308"/>
      <c r="C4859" s="308" t="s">
        <v>19628</v>
      </c>
      <c r="D4859" s="308">
        <f>IFERROR(__xludf.DUMMYFUNCTION("SPLIT(C4859,""-"")"),4879.0)</f>
        <v>4879</v>
      </c>
      <c r="E4859" s="308" t="str">
        <f>IFERROR(__xludf.DUMMYFUNCTION("""COMPUTED_VALUE"""),"K")</f>
        <v>K</v>
      </c>
      <c r="F4859" s="309" t="s">
        <v>34</v>
      </c>
      <c r="G4859" s="308"/>
      <c r="H4859" s="308" t="s">
        <v>19629</v>
      </c>
      <c r="I4859" s="310">
        <v>39995.0</v>
      </c>
      <c r="J4859" s="319">
        <f>IFERROR(__xludf.DUMMYFUNCTION("SPLIT(I4859,""/"")"),1.0)</f>
        <v>1</v>
      </c>
      <c r="K4859" s="308">
        <f>IFERROR(__xludf.DUMMYFUNCTION("""COMPUTED_VALUE"""),7.0)</f>
        <v>7</v>
      </c>
      <c r="L4859" s="308">
        <f>IFERROR(__xludf.DUMMYFUNCTION("""COMPUTED_VALUE"""),2009.0)</f>
        <v>2009</v>
      </c>
      <c r="M4859" s="308" t="s">
        <v>19630</v>
      </c>
      <c r="N4859" s="308"/>
      <c r="O4859" s="308"/>
      <c r="P4859" s="308" t="s">
        <v>8033</v>
      </c>
      <c r="Q4859" s="308" t="s">
        <v>37977</v>
      </c>
      <c r="R4859" s="308" t="s">
        <v>2743</v>
      </c>
      <c r="S4859" s="315" t="s">
        <v>100</v>
      </c>
      <c r="T4859" s="311" t="s">
        <v>34208</v>
      </c>
      <c r="U4859" s="308" t="s">
        <v>2466</v>
      </c>
      <c r="V4859" s="312" t="s">
        <v>19631</v>
      </c>
    </row>
    <row r="4860">
      <c r="A4860" s="308">
        <v>4859.0</v>
      </c>
      <c r="B4860" s="308"/>
      <c r="C4860" s="308" t="s">
        <v>19632</v>
      </c>
      <c r="D4860" s="308">
        <f>IFERROR(__xludf.DUMMYFUNCTION("SPLIT(C4860,""-"")"),4880.0)</f>
        <v>4880</v>
      </c>
      <c r="E4860" s="308" t="str">
        <f>IFERROR(__xludf.DUMMYFUNCTION("""COMPUTED_VALUE"""),"K")</f>
        <v>K</v>
      </c>
      <c r="F4860" s="309" t="s">
        <v>34</v>
      </c>
      <c r="G4860" s="308"/>
      <c r="H4860" s="308" t="s">
        <v>19633</v>
      </c>
      <c r="I4860" s="310">
        <v>42500.0</v>
      </c>
      <c r="J4860" s="319">
        <f>IFERROR(__xludf.DUMMYFUNCTION("SPLIT(I4860,""/"")"),10.0)</f>
        <v>10</v>
      </c>
      <c r="K4860" s="308">
        <f>IFERROR(__xludf.DUMMYFUNCTION("""COMPUTED_VALUE"""),5.0)</f>
        <v>5</v>
      </c>
      <c r="L4860" s="308">
        <f>IFERROR(__xludf.DUMMYFUNCTION("""COMPUTED_VALUE"""),2016.0)</f>
        <v>2016</v>
      </c>
      <c r="M4860" s="308" t="s">
        <v>19634</v>
      </c>
      <c r="N4860" s="308"/>
      <c r="O4860" s="308"/>
      <c r="P4860" s="308" t="s">
        <v>37982</v>
      </c>
      <c r="Q4860" s="308" t="s">
        <v>37983</v>
      </c>
      <c r="R4860" s="308" t="s">
        <v>2743</v>
      </c>
      <c r="S4860" s="308" t="s">
        <v>49</v>
      </c>
      <c r="T4860" s="311" t="s">
        <v>51</v>
      </c>
      <c r="U4860" s="308" t="s">
        <v>368</v>
      </c>
      <c r="V4860" s="312"/>
    </row>
    <row r="4861">
      <c r="A4861" s="308">
        <v>4860.0</v>
      </c>
      <c r="B4861" s="308"/>
      <c r="C4861" s="308" t="s">
        <v>19636</v>
      </c>
      <c r="D4861" s="308">
        <f>IFERROR(__xludf.DUMMYFUNCTION("SPLIT(C4861,""-"")"),4881.0)</f>
        <v>4881</v>
      </c>
      <c r="E4861" s="308" t="str">
        <f>IFERROR(__xludf.DUMMYFUNCTION("""COMPUTED_VALUE"""),"K")</f>
        <v>K</v>
      </c>
      <c r="F4861" s="309" t="s">
        <v>34</v>
      </c>
      <c r="G4861" s="308"/>
      <c r="H4861" s="308" t="s">
        <v>19637</v>
      </c>
      <c r="I4861" s="310">
        <v>42585.0</v>
      </c>
      <c r="J4861" s="319">
        <f>IFERROR(__xludf.DUMMYFUNCTION("SPLIT(I4861,""/"")"),3.0)</f>
        <v>3</v>
      </c>
      <c r="K4861" s="308">
        <f>IFERROR(__xludf.DUMMYFUNCTION("""COMPUTED_VALUE"""),8.0)</f>
        <v>8</v>
      </c>
      <c r="L4861" s="308">
        <f>IFERROR(__xludf.DUMMYFUNCTION("""COMPUTED_VALUE"""),2016.0)</f>
        <v>2016</v>
      </c>
      <c r="M4861" s="308" t="s">
        <v>19638</v>
      </c>
      <c r="N4861" s="308"/>
      <c r="O4861" s="308"/>
      <c r="P4861" s="308" t="s">
        <v>8033</v>
      </c>
      <c r="Q4861" s="308" t="s">
        <v>37983</v>
      </c>
      <c r="R4861" s="308" t="s">
        <v>2743</v>
      </c>
      <c r="S4861" s="315" t="s">
        <v>100</v>
      </c>
      <c r="T4861" s="311" t="s">
        <v>34208</v>
      </c>
      <c r="U4861" s="308" t="s">
        <v>2466</v>
      </c>
      <c r="V4861" s="312" t="s">
        <v>37984</v>
      </c>
    </row>
    <row r="4862">
      <c r="A4862" s="308">
        <v>4861.0</v>
      </c>
      <c r="B4862" s="308"/>
      <c r="C4862" s="308" t="s">
        <v>19640</v>
      </c>
      <c r="D4862" s="308">
        <f>IFERROR(__xludf.DUMMYFUNCTION("SPLIT(C4862,""-"")"),4882.0)</f>
        <v>4882</v>
      </c>
      <c r="E4862" s="308" t="str">
        <f>IFERROR(__xludf.DUMMYFUNCTION("""COMPUTED_VALUE"""),"K")</f>
        <v>K</v>
      </c>
      <c r="F4862" s="309" t="s">
        <v>34</v>
      </c>
      <c r="G4862" s="308"/>
      <c r="H4862" s="308" t="s">
        <v>19641</v>
      </c>
      <c r="I4862" s="310">
        <v>42642.0</v>
      </c>
      <c r="J4862" s="319">
        <f>IFERROR(__xludf.DUMMYFUNCTION("SPLIT(I4862,""/"")"),29.0)</f>
        <v>29</v>
      </c>
      <c r="K4862" s="308">
        <f>IFERROR(__xludf.DUMMYFUNCTION("""COMPUTED_VALUE"""),9.0)</f>
        <v>9</v>
      </c>
      <c r="L4862" s="308">
        <f>IFERROR(__xludf.DUMMYFUNCTION("""COMPUTED_VALUE"""),2016.0)</f>
        <v>2016</v>
      </c>
      <c r="M4862" s="308" t="s">
        <v>19642</v>
      </c>
      <c r="N4862" s="308"/>
      <c r="O4862" s="308" t="s">
        <v>37985</v>
      </c>
      <c r="P4862" s="308" t="s">
        <v>37986</v>
      </c>
      <c r="Q4862" s="308" t="s">
        <v>37983</v>
      </c>
      <c r="R4862" s="308" t="s">
        <v>2743</v>
      </c>
      <c r="S4862" s="308" t="s">
        <v>49</v>
      </c>
      <c r="T4862" s="311" t="s">
        <v>51</v>
      </c>
      <c r="U4862" s="308" t="s">
        <v>4749</v>
      </c>
      <c r="V4862" s="312"/>
    </row>
    <row r="4863">
      <c r="A4863" s="308">
        <v>4862.0</v>
      </c>
      <c r="B4863" s="308"/>
      <c r="C4863" s="308" t="s">
        <v>19645</v>
      </c>
      <c r="D4863" s="308">
        <f>IFERROR(__xludf.DUMMYFUNCTION("SPLIT(C4863,""-"")"),4883.0)</f>
        <v>4883</v>
      </c>
      <c r="E4863" s="308" t="str">
        <f>IFERROR(__xludf.DUMMYFUNCTION("""COMPUTED_VALUE"""),"K")</f>
        <v>K</v>
      </c>
      <c r="F4863" s="309" t="s">
        <v>34</v>
      </c>
      <c r="G4863" s="308"/>
      <c r="H4863" s="308" t="s">
        <v>19646</v>
      </c>
      <c r="I4863" s="310">
        <v>43176.0</v>
      </c>
      <c r="J4863" s="319">
        <f>IFERROR(__xludf.DUMMYFUNCTION("SPLIT(I4863,""/"")"),17.0)</f>
        <v>17</v>
      </c>
      <c r="K4863" s="308">
        <f>IFERROR(__xludf.DUMMYFUNCTION("""COMPUTED_VALUE"""),3.0)</f>
        <v>3</v>
      </c>
      <c r="L4863" s="308">
        <f>IFERROR(__xludf.DUMMYFUNCTION("""COMPUTED_VALUE"""),2018.0)</f>
        <v>2018</v>
      </c>
      <c r="M4863" s="308" t="s">
        <v>19647</v>
      </c>
      <c r="N4863" s="308"/>
      <c r="O4863" s="308"/>
      <c r="P4863" s="308" t="s">
        <v>19648</v>
      </c>
      <c r="Q4863" s="308" t="s">
        <v>37983</v>
      </c>
      <c r="R4863" s="308" t="s">
        <v>2743</v>
      </c>
      <c r="S4863" s="308" t="s">
        <v>81</v>
      </c>
      <c r="T4863" s="308" t="s">
        <v>75</v>
      </c>
      <c r="U4863" s="308" t="s">
        <v>1509</v>
      </c>
      <c r="V4863" s="312"/>
    </row>
    <row r="4864">
      <c r="A4864" s="308">
        <v>4863.0</v>
      </c>
      <c r="B4864" s="308"/>
      <c r="C4864" s="308" t="s">
        <v>19649</v>
      </c>
      <c r="D4864" s="308">
        <f>IFERROR(__xludf.DUMMYFUNCTION("SPLIT(C4864,""-"")"),4884.0)</f>
        <v>4884</v>
      </c>
      <c r="E4864" s="308" t="str">
        <f>IFERROR(__xludf.DUMMYFUNCTION("""COMPUTED_VALUE"""),"K")</f>
        <v>K</v>
      </c>
      <c r="F4864" s="309" t="s">
        <v>34</v>
      </c>
      <c r="G4864" s="308"/>
      <c r="H4864" s="308" t="s">
        <v>19650</v>
      </c>
      <c r="I4864" s="310">
        <v>43176.0</v>
      </c>
      <c r="J4864" s="319">
        <f>IFERROR(__xludf.DUMMYFUNCTION("SPLIT(I4864,""/"")"),17.0)</f>
        <v>17</v>
      </c>
      <c r="K4864" s="308">
        <f>IFERROR(__xludf.DUMMYFUNCTION("""COMPUTED_VALUE"""),3.0)</f>
        <v>3</v>
      </c>
      <c r="L4864" s="308">
        <f>IFERROR(__xludf.DUMMYFUNCTION("""COMPUTED_VALUE"""),2018.0)</f>
        <v>2018</v>
      </c>
      <c r="M4864" s="308" t="s">
        <v>19647</v>
      </c>
      <c r="N4864" s="308"/>
      <c r="O4864" s="308"/>
      <c r="P4864" s="308" t="s">
        <v>19651</v>
      </c>
      <c r="Q4864" s="308" t="s">
        <v>37983</v>
      </c>
      <c r="R4864" s="308" t="s">
        <v>2743</v>
      </c>
      <c r="S4864" s="308" t="s">
        <v>81</v>
      </c>
      <c r="T4864" s="308" t="s">
        <v>75</v>
      </c>
      <c r="U4864" s="308" t="s">
        <v>1509</v>
      </c>
      <c r="V4864" s="312"/>
    </row>
    <row r="4865">
      <c r="A4865" s="308">
        <v>4864.0</v>
      </c>
      <c r="B4865" s="308"/>
      <c r="C4865" s="308" t="s">
        <v>19652</v>
      </c>
      <c r="D4865" s="308">
        <f>IFERROR(__xludf.DUMMYFUNCTION("SPLIT(C4865,""-"")"),4885.0)</f>
        <v>4885</v>
      </c>
      <c r="E4865" s="308" t="str">
        <f>IFERROR(__xludf.DUMMYFUNCTION("""COMPUTED_VALUE"""),"F")</f>
        <v>F</v>
      </c>
      <c r="F4865" s="309" t="s">
        <v>34</v>
      </c>
      <c r="G4865" s="308"/>
      <c r="H4865" s="308" t="s">
        <v>19653</v>
      </c>
      <c r="I4865" s="310">
        <v>40183.0</v>
      </c>
      <c r="J4865" s="319">
        <f>IFERROR(__xludf.DUMMYFUNCTION("SPLIT(I4865,""/"")"),5.0)</f>
        <v>5</v>
      </c>
      <c r="K4865" s="308">
        <f>IFERROR(__xludf.DUMMYFUNCTION("""COMPUTED_VALUE"""),1.0)</f>
        <v>1</v>
      </c>
      <c r="L4865" s="308">
        <f>IFERROR(__xludf.DUMMYFUNCTION("""COMPUTED_VALUE"""),2010.0)</f>
        <v>2010</v>
      </c>
      <c r="M4865" s="308" t="s">
        <v>19654</v>
      </c>
      <c r="N4865" s="308"/>
      <c r="O4865" s="308"/>
      <c r="P4865" s="308" t="s">
        <v>6393</v>
      </c>
      <c r="Q4865" s="308" t="s">
        <v>37987</v>
      </c>
      <c r="R4865" s="308" t="s">
        <v>2743</v>
      </c>
      <c r="S4865" s="315" t="s">
        <v>100</v>
      </c>
      <c r="T4865" s="311" t="s">
        <v>34208</v>
      </c>
      <c r="U4865" s="308" t="s">
        <v>195</v>
      </c>
      <c r="V4865" s="312"/>
    </row>
    <row r="4866">
      <c r="A4866" s="308">
        <v>4865.0</v>
      </c>
      <c r="B4866" s="308"/>
      <c r="C4866" s="308" t="s">
        <v>19655</v>
      </c>
      <c r="D4866" s="308">
        <f>IFERROR(__xludf.DUMMYFUNCTION("SPLIT(C4866,""-"")"),4886.0)</f>
        <v>4886</v>
      </c>
      <c r="E4866" s="308" t="str">
        <f>IFERROR(__xludf.DUMMYFUNCTION("""COMPUTED_VALUE"""),"F")</f>
        <v>F</v>
      </c>
      <c r="F4866" s="309" t="s">
        <v>34</v>
      </c>
      <c r="G4866" s="308"/>
      <c r="H4866" s="308" t="s">
        <v>19656</v>
      </c>
      <c r="I4866" s="310">
        <v>40183.0</v>
      </c>
      <c r="J4866" s="319">
        <f>IFERROR(__xludf.DUMMYFUNCTION("SPLIT(I4866,""/"")"),5.0)</f>
        <v>5</v>
      </c>
      <c r="K4866" s="308">
        <f>IFERROR(__xludf.DUMMYFUNCTION("""COMPUTED_VALUE"""),1.0)</f>
        <v>1</v>
      </c>
      <c r="L4866" s="308">
        <f>IFERROR(__xludf.DUMMYFUNCTION("""COMPUTED_VALUE"""),2010.0)</f>
        <v>2010</v>
      </c>
      <c r="M4866" s="308" t="s">
        <v>19654</v>
      </c>
      <c r="N4866" s="308"/>
      <c r="O4866" s="308"/>
      <c r="P4866" s="308" t="s">
        <v>6393</v>
      </c>
      <c r="Q4866" s="308" t="s">
        <v>37987</v>
      </c>
      <c r="R4866" s="308" t="s">
        <v>2743</v>
      </c>
      <c r="S4866" s="315" t="s">
        <v>100</v>
      </c>
      <c r="T4866" s="311" t="s">
        <v>34208</v>
      </c>
      <c r="U4866" s="308" t="s">
        <v>195</v>
      </c>
      <c r="V4866" s="312"/>
    </row>
    <row r="4867">
      <c r="A4867" s="308">
        <v>4866.0</v>
      </c>
      <c r="B4867" s="308"/>
      <c r="C4867" s="308" t="s">
        <v>19657</v>
      </c>
      <c r="D4867" s="308">
        <f>IFERROR(__xludf.DUMMYFUNCTION("SPLIT(C4867,""-"")"),4887.0)</f>
        <v>4887</v>
      </c>
      <c r="E4867" s="308" t="str">
        <f>IFERROR(__xludf.DUMMYFUNCTION("""COMPUTED_VALUE"""),"F")</f>
        <v>F</v>
      </c>
      <c r="F4867" s="309" t="s">
        <v>34</v>
      </c>
      <c r="G4867" s="308"/>
      <c r="H4867" s="308" t="s">
        <v>19658</v>
      </c>
      <c r="I4867" s="310">
        <v>40183.0</v>
      </c>
      <c r="J4867" s="319">
        <f>IFERROR(__xludf.DUMMYFUNCTION("SPLIT(I4867,""/"")"),5.0)</f>
        <v>5</v>
      </c>
      <c r="K4867" s="308">
        <f>IFERROR(__xludf.DUMMYFUNCTION("""COMPUTED_VALUE"""),1.0)</f>
        <v>1</v>
      </c>
      <c r="L4867" s="308">
        <f>IFERROR(__xludf.DUMMYFUNCTION("""COMPUTED_VALUE"""),2010.0)</f>
        <v>2010</v>
      </c>
      <c r="M4867" s="308" t="s">
        <v>19654</v>
      </c>
      <c r="N4867" s="308"/>
      <c r="O4867" s="308"/>
      <c r="P4867" s="308" t="s">
        <v>6393</v>
      </c>
      <c r="Q4867" s="308" t="s">
        <v>37987</v>
      </c>
      <c r="R4867" s="308" t="s">
        <v>2743</v>
      </c>
      <c r="S4867" s="315" t="s">
        <v>100</v>
      </c>
      <c r="T4867" s="311" t="s">
        <v>34208</v>
      </c>
      <c r="U4867" s="308" t="s">
        <v>195</v>
      </c>
      <c r="V4867" s="312"/>
    </row>
    <row r="4868">
      <c r="A4868" s="308">
        <v>4867.0</v>
      </c>
      <c r="B4868" s="308"/>
      <c r="C4868" s="308" t="s">
        <v>19659</v>
      </c>
      <c r="D4868" s="308">
        <f>IFERROR(__xludf.DUMMYFUNCTION("SPLIT(C4868,""-"")"),4888.0)</f>
        <v>4888</v>
      </c>
      <c r="E4868" s="308" t="str">
        <f>IFERROR(__xludf.DUMMYFUNCTION("""COMPUTED_VALUE"""),"K")</f>
        <v>K</v>
      </c>
      <c r="F4868" s="309" t="s">
        <v>34</v>
      </c>
      <c r="G4868" s="308"/>
      <c r="H4868" s="308" t="s">
        <v>19660</v>
      </c>
      <c r="I4868" s="314">
        <v>42334.0</v>
      </c>
      <c r="J4868" s="319">
        <f>IFERROR(__xludf.DUMMYFUNCTION("SPLIT(I4868,""/"")"),26.0)</f>
        <v>26</v>
      </c>
      <c r="K4868" s="308">
        <f>IFERROR(__xludf.DUMMYFUNCTION("""COMPUTED_VALUE"""),11.0)</f>
        <v>11</v>
      </c>
      <c r="L4868" s="308">
        <f>IFERROR(__xludf.DUMMYFUNCTION("""COMPUTED_VALUE"""),2015.0)</f>
        <v>2015</v>
      </c>
      <c r="M4868" s="308" t="s">
        <v>19661</v>
      </c>
      <c r="N4868" s="308"/>
      <c r="O4868" s="308"/>
      <c r="P4868" s="308" t="s">
        <v>37988</v>
      </c>
      <c r="Q4868" s="308" t="s">
        <v>37987</v>
      </c>
      <c r="R4868" s="308" t="s">
        <v>2743</v>
      </c>
      <c r="S4868" s="308" t="s">
        <v>49</v>
      </c>
      <c r="T4868" s="308" t="s">
        <v>51</v>
      </c>
      <c r="U4868" s="308" t="s">
        <v>125</v>
      </c>
      <c r="V4868" s="312"/>
    </row>
    <row r="4869">
      <c r="A4869" s="308">
        <v>4868.0</v>
      </c>
      <c r="B4869" s="308"/>
      <c r="C4869" s="308" t="s">
        <v>19663</v>
      </c>
      <c r="D4869" s="308">
        <f>IFERROR(__xludf.DUMMYFUNCTION("SPLIT(C4869,""-"")"),4889.0)</f>
        <v>4889</v>
      </c>
      <c r="E4869" s="308" t="str">
        <f>IFERROR(__xludf.DUMMYFUNCTION("""COMPUTED_VALUE"""),"I")</f>
        <v>I</v>
      </c>
      <c r="F4869" s="309" t="s">
        <v>31</v>
      </c>
      <c r="G4869" s="308"/>
      <c r="H4869" s="308" t="s">
        <v>19664</v>
      </c>
      <c r="I4869" s="310">
        <v>43161.0</v>
      </c>
      <c r="J4869" s="319">
        <f>IFERROR(__xludf.DUMMYFUNCTION("SPLIT(I4869,""/"")"),2.0)</f>
        <v>2</v>
      </c>
      <c r="K4869" s="308">
        <f>IFERROR(__xludf.DUMMYFUNCTION("""COMPUTED_VALUE"""),3.0)</f>
        <v>3</v>
      </c>
      <c r="L4869" s="308">
        <f>IFERROR(__xludf.DUMMYFUNCTION("""COMPUTED_VALUE"""),2018.0)</f>
        <v>2018</v>
      </c>
      <c r="M4869" s="308" t="s">
        <v>19665</v>
      </c>
      <c r="N4869" s="308"/>
      <c r="O4869" s="308"/>
      <c r="P4869" s="308" t="s">
        <v>19666</v>
      </c>
      <c r="Q4869" s="308" t="s">
        <v>37987</v>
      </c>
      <c r="R4869" s="308" t="s">
        <v>2743</v>
      </c>
      <c r="S4869" s="308" t="s">
        <v>81</v>
      </c>
      <c r="T4869" s="311" t="s">
        <v>96</v>
      </c>
      <c r="U4869" s="308" t="s">
        <v>31</v>
      </c>
      <c r="V4869" s="312"/>
    </row>
    <row r="4870">
      <c r="A4870" s="308">
        <v>4869.0</v>
      </c>
      <c r="B4870" s="308"/>
      <c r="C4870" s="308" t="s">
        <v>19667</v>
      </c>
      <c r="D4870" s="308">
        <f>IFERROR(__xludf.DUMMYFUNCTION("SPLIT(C4870,""-"")"),4890.0)</f>
        <v>4890</v>
      </c>
      <c r="E4870" s="308" t="str">
        <f>IFERROR(__xludf.DUMMYFUNCTION("""COMPUTED_VALUE"""),"K")</f>
        <v>K</v>
      </c>
      <c r="F4870" s="309" t="s">
        <v>34</v>
      </c>
      <c r="G4870" s="308"/>
      <c r="H4870" s="308" t="s">
        <v>19668</v>
      </c>
      <c r="I4870" s="310">
        <v>41768.0</v>
      </c>
      <c r="J4870" s="319">
        <f>IFERROR(__xludf.DUMMYFUNCTION("SPLIT(I4870,""/"")"),9.0)</f>
        <v>9</v>
      </c>
      <c r="K4870" s="308">
        <f>IFERROR(__xludf.DUMMYFUNCTION("""COMPUTED_VALUE"""),5.0)</f>
        <v>5</v>
      </c>
      <c r="L4870" s="308">
        <f>IFERROR(__xludf.DUMMYFUNCTION("""COMPUTED_VALUE"""),2014.0)</f>
        <v>2014</v>
      </c>
      <c r="M4870" s="308" t="s">
        <v>19669</v>
      </c>
      <c r="N4870" s="308"/>
      <c r="O4870" s="308"/>
      <c r="P4870" s="308" t="s">
        <v>5679</v>
      </c>
      <c r="Q4870" s="308" t="s">
        <v>37989</v>
      </c>
      <c r="R4870" s="308" t="s">
        <v>2743</v>
      </c>
      <c r="S4870" s="315" t="s">
        <v>100</v>
      </c>
      <c r="T4870" s="311" t="s">
        <v>34208</v>
      </c>
      <c r="U4870" s="308" t="s">
        <v>368</v>
      </c>
      <c r="V4870" s="312"/>
    </row>
    <row r="4871">
      <c r="A4871" s="308">
        <v>4870.0</v>
      </c>
      <c r="B4871" s="308"/>
      <c r="C4871" s="308" t="s">
        <v>19670</v>
      </c>
      <c r="D4871" s="308">
        <f>IFERROR(__xludf.DUMMYFUNCTION("SPLIT(C4871,""-"")"),4891.0)</f>
        <v>4891</v>
      </c>
      <c r="E4871" s="308" t="str">
        <f>IFERROR(__xludf.DUMMYFUNCTION("""COMPUTED_VALUE"""),"P")</f>
        <v>P</v>
      </c>
      <c r="F4871" s="312" t="s">
        <v>37</v>
      </c>
      <c r="G4871" s="308"/>
      <c r="H4871" s="308" t="s">
        <v>19671</v>
      </c>
      <c r="I4871" s="310">
        <v>43174.0</v>
      </c>
      <c r="J4871" s="319">
        <f>IFERROR(__xludf.DUMMYFUNCTION("SPLIT(I4871,""/"")"),15.0)</f>
        <v>15</v>
      </c>
      <c r="K4871" s="308">
        <f>IFERROR(__xludf.DUMMYFUNCTION("""COMPUTED_VALUE"""),3.0)</f>
        <v>3</v>
      </c>
      <c r="L4871" s="308">
        <f>IFERROR(__xludf.DUMMYFUNCTION("""COMPUTED_VALUE"""),2018.0)</f>
        <v>2018</v>
      </c>
      <c r="M4871" s="308" t="s">
        <v>19672</v>
      </c>
      <c r="N4871" s="308"/>
      <c r="O4871" s="308" t="s">
        <v>37990</v>
      </c>
      <c r="P4871" s="308" t="s">
        <v>37991</v>
      </c>
      <c r="Q4871" s="308" t="s">
        <v>37989</v>
      </c>
      <c r="R4871" s="308" t="s">
        <v>2743</v>
      </c>
      <c r="S4871" s="308" t="s">
        <v>81</v>
      </c>
      <c r="T4871" s="308" t="s">
        <v>75</v>
      </c>
      <c r="U4871" s="308" t="s">
        <v>18270</v>
      </c>
      <c r="V4871" s="312"/>
    </row>
    <row r="4872">
      <c r="A4872" s="308">
        <v>4871.0</v>
      </c>
      <c r="B4872" s="308"/>
      <c r="C4872" s="308" t="s">
        <v>19675</v>
      </c>
      <c r="D4872" s="308">
        <f>IFERROR(__xludf.DUMMYFUNCTION("SPLIT(C4872,""-"")"),4892.0)</f>
        <v>4892</v>
      </c>
      <c r="E4872" s="308" t="str">
        <f>IFERROR(__xludf.DUMMYFUNCTION("""COMPUTED_VALUE"""),"S")</f>
        <v>S</v>
      </c>
      <c r="F4872" s="312" t="s">
        <v>39</v>
      </c>
      <c r="G4872" s="308"/>
      <c r="H4872" s="308" t="s">
        <v>19676</v>
      </c>
      <c r="I4872" s="310">
        <v>43160.0</v>
      </c>
      <c r="J4872" s="319">
        <f>IFERROR(__xludf.DUMMYFUNCTION("SPLIT(I4872,""/"")"),1.0)</f>
        <v>1</v>
      </c>
      <c r="K4872" s="308">
        <f>IFERROR(__xludf.DUMMYFUNCTION("""COMPUTED_VALUE"""),3.0)</f>
        <v>3</v>
      </c>
      <c r="L4872" s="308">
        <f>IFERROR(__xludf.DUMMYFUNCTION("""COMPUTED_VALUE"""),2018.0)</f>
        <v>2018</v>
      </c>
      <c r="M4872" s="308" t="s">
        <v>37992</v>
      </c>
      <c r="N4872" s="308"/>
      <c r="O4872" s="308"/>
      <c r="P4872" s="308" t="s">
        <v>37993</v>
      </c>
      <c r="Q4872" s="308" t="s">
        <v>37989</v>
      </c>
      <c r="R4872" s="308" t="s">
        <v>2743</v>
      </c>
      <c r="S4872" s="308" t="s">
        <v>81</v>
      </c>
      <c r="T4872" s="308" t="s">
        <v>34264</v>
      </c>
      <c r="U4872" s="308" t="s">
        <v>166</v>
      </c>
      <c r="V4872" s="312"/>
    </row>
    <row r="4873">
      <c r="A4873" s="308">
        <v>4872.0</v>
      </c>
      <c r="B4873" s="308"/>
      <c r="C4873" s="308" t="s">
        <v>19679</v>
      </c>
      <c r="D4873" s="308">
        <f>IFERROR(__xludf.DUMMYFUNCTION("SPLIT(C4873,""-"")"),4893.0)</f>
        <v>4893</v>
      </c>
      <c r="E4873" s="308" t="str">
        <f>IFERROR(__xludf.DUMMYFUNCTION("""COMPUTED_VALUE"""),"B")</f>
        <v>B</v>
      </c>
      <c r="F4873" s="315" t="s">
        <v>26</v>
      </c>
      <c r="G4873" s="308"/>
      <c r="H4873" s="308" t="s">
        <v>19680</v>
      </c>
      <c r="I4873" s="310">
        <v>42569.0</v>
      </c>
      <c r="J4873" s="319">
        <f>IFERROR(__xludf.DUMMYFUNCTION("SPLIT(I4873,""/"")"),18.0)</f>
        <v>18</v>
      </c>
      <c r="K4873" s="308">
        <f>IFERROR(__xludf.DUMMYFUNCTION("""COMPUTED_VALUE"""),7.0)</f>
        <v>7</v>
      </c>
      <c r="L4873" s="308">
        <f>IFERROR(__xludf.DUMMYFUNCTION("""COMPUTED_VALUE"""),2016.0)</f>
        <v>2016</v>
      </c>
      <c r="M4873" s="308" t="s">
        <v>19681</v>
      </c>
      <c r="N4873" s="308"/>
      <c r="O4873" s="308"/>
      <c r="P4873" s="308" t="s">
        <v>37994</v>
      </c>
      <c r="Q4873" s="308" t="s">
        <v>37989</v>
      </c>
      <c r="R4873" s="308" t="s">
        <v>2743</v>
      </c>
      <c r="S4873" s="308" t="s">
        <v>81</v>
      </c>
      <c r="T4873" s="311" t="s">
        <v>96</v>
      </c>
      <c r="U4873" s="308" t="s">
        <v>27</v>
      </c>
      <c r="V4873" s="312"/>
    </row>
    <row r="4874">
      <c r="A4874" s="308">
        <v>4873.0</v>
      </c>
      <c r="B4874" s="308"/>
      <c r="C4874" s="308" t="s">
        <v>19683</v>
      </c>
      <c r="D4874" s="308">
        <f>IFERROR(__xludf.DUMMYFUNCTION("SPLIT(C4874,""-"")"),4894.0)</f>
        <v>4894</v>
      </c>
      <c r="E4874" s="308" t="str">
        <f>IFERROR(__xludf.DUMMYFUNCTION("""COMPUTED_VALUE"""),"S")</f>
        <v>S</v>
      </c>
      <c r="F4874" s="312" t="s">
        <v>39</v>
      </c>
      <c r="G4874" s="308"/>
      <c r="H4874" s="308" t="s">
        <v>19684</v>
      </c>
      <c r="I4874" s="310">
        <v>43174.0</v>
      </c>
      <c r="J4874" s="319">
        <f>IFERROR(__xludf.DUMMYFUNCTION("SPLIT(I4874,""/"")"),15.0)</f>
        <v>15</v>
      </c>
      <c r="K4874" s="308">
        <f>IFERROR(__xludf.DUMMYFUNCTION("""COMPUTED_VALUE"""),3.0)</f>
        <v>3</v>
      </c>
      <c r="L4874" s="308">
        <f>IFERROR(__xludf.DUMMYFUNCTION("""COMPUTED_VALUE"""),2018.0)</f>
        <v>2018</v>
      </c>
      <c r="M4874" s="308" t="s">
        <v>19685</v>
      </c>
      <c r="N4874" s="308"/>
      <c r="O4874" s="308"/>
      <c r="P4874" s="308" t="s">
        <v>37995</v>
      </c>
      <c r="Q4874" s="308" t="s">
        <v>37996</v>
      </c>
      <c r="R4874" s="308" t="s">
        <v>2743</v>
      </c>
      <c r="S4874" s="308" t="s">
        <v>81</v>
      </c>
      <c r="T4874" s="308" t="s">
        <v>75</v>
      </c>
      <c r="U4874" s="308" t="s">
        <v>166</v>
      </c>
      <c r="V4874" s="312"/>
    </row>
    <row r="4875">
      <c r="A4875" s="308">
        <v>4874.0</v>
      </c>
      <c r="B4875" s="308"/>
      <c r="C4875" s="308" t="s">
        <v>19687</v>
      </c>
      <c r="D4875" s="308">
        <f>IFERROR(__xludf.DUMMYFUNCTION("SPLIT(C4875,""-"")"),4895.0)</f>
        <v>4895</v>
      </c>
      <c r="E4875" s="308" t="str">
        <f>IFERROR(__xludf.DUMMYFUNCTION("""COMPUTED_VALUE"""),"K")</f>
        <v>K</v>
      </c>
      <c r="F4875" s="309" t="s">
        <v>34</v>
      </c>
      <c r="G4875" s="308"/>
      <c r="H4875" s="308" t="s">
        <v>19688</v>
      </c>
      <c r="I4875" s="310">
        <v>39630.0</v>
      </c>
      <c r="J4875" s="319">
        <f>IFERROR(__xludf.DUMMYFUNCTION("SPLIT(I4875,""/"")"),1.0)</f>
        <v>1</v>
      </c>
      <c r="K4875" s="308">
        <f>IFERROR(__xludf.DUMMYFUNCTION("""COMPUTED_VALUE"""),7.0)</f>
        <v>7</v>
      </c>
      <c r="L4875" s="308">
        <f>IFERROR(__xludf.DUMMYFUNCTION("""COMPUTED_VALUE"""),2008.0)</f>
        <v>2008</v>
      </c>
      <c r="M4875" s="308" t="s">
        <v>19689</v>
      </c>
      <c r="N4875" s="308"/>
      <c r="O4875" s="308"/>
      <c r="P4875" s="308" t="s">
        <v>37997</v>
      </c>
      <c r="Q4875" s="308" t="s">
        <v>37996</v>
      </c>
      <c r="R4875" s="308" t="s">
        <v>2743</v>
      </c>
      <c r="S4875" s="308" t="s">
        <v>81</v>
      </c>
      <c r="T4875" s="311" t="s">
        <v>34565</v>
      </c>
      <c r="U4875" s="308" t="s">
        <v>530</v>
      </c>
      <c r="V4875" s="312"/>
    </row>
    <row r="4876">
      <c r="A4876" s="308">
        <v>4875.0</v>
      </c>
      <c r="B4876" s="308"/>
      <c r="C4876" s="308" t="s">
        <v>19691</v>
      </c>
      <c r="D4876" s="308">
        <f>IFERROR(__xludf.DUMMYFUNCTION("SPLIT(C4876,""-"")"),4896.0)</f>
        <v>4896</v>
      </c>
      <c r="E4876" s="308" t="str">
        <f>IFERROR(__xludf.DUMMYFUNCTION("""COMPUTED_VALUE"""),"K")</f>
        <v>K</v>
      </c>
      <c r="F4876" s="309" t="s">
        <v>34</v>
      </c>
      <c r="G4876" s="308"/>
      <c r="H4876" s="308" t="s">
        <v>19692</v>
      </c>
      <c r="I4876" s="310">
        <v>40014.0</v>
      </c>
      <c r="J4876" s="319">
        <f>IFERROR(__xludf.DUMMYFUNCTION("SPLIT(I4876,""/"")"),20.0)</f>
        <v>20</v>
      </c>
      <c r="K4876" s="308">
        <f>IFERROR(__xludf.DUMMYFUNCTION("""COMPUTED_VALUE"""),7.0)</f>
        <v>7</v>
      </c>
      <c r="L4876" s="308">
        <f>IFERROR(__xludf.DUMMYFUNCTION("""COMPUTED_VALUE"""),2009.0)</f>
        <v>2009</v>
      </c>
      <c r="M4876" s="308" t="s">
        <v>19693</v>
      </c>
      <c r="N4876" s="308"/>
      <c r="O4876" s="308"/>
      <c r="P4876" s="308" t="s">
        <v>5679</v>
      </c>
      <c r="Q4876" s="308" t="s">
        <v>37996</v>
      </c>
      <c r="R4876" s="308" t="s">
        <v>2743</v>
      </c>
      <c r="S4876" s="315" t="s">
        <v>100</v>
      </c>
      <c r="T4876" s="311" t="s">
        <v>34208</v>
      </c>
      <c r="U4876" s="308" t="s">
        <v>530</v>
      </c>
      <c r="V4876" s="312"/>
    </row>
    <row r="4877">
      <c r="A4877" s="308">
        <v>4876.0</v>
      </c>
      <c r="B4877" s="308"/>
      <c r="C4877" s="308" t="s">
        <v>19694</v>
      </c>
      <c r="D4877" s="308">
        <f>IFERROR(__xludf.DUMMYFUNCTION("SPLIT(C4877,""-"")"),4897.0)</f>
        <v>4897</v>
      </c>
      <c r="E4877" s="308" t="str">
        <f>IFERROR(__xludf.DUMMYFUNCTION("""COMPUTED_VALUE"""),"K")</f>
        <v>K</v>
      </c>
      <c r="F4877" s="309" t="s">
        <v>34</v>
      </c>
      <c r="G4877" s="308"/>
      <c r="H4877" s="308" t="s">
        <v>19695</v>
      </c>
      <c r="I4877" s="310">
        <v>40073.0</v>
      </c>
      <c r="J4877" s="319">
        <f>IFERROR(__xludf.DUMMYFUNCTION("SPLIT(I4877,""/"")"),17.0)</f>
        <v>17</v>
      </c>
      <c r="K4877" s="308">
        <f>IFERROR(__xludf.DUMMYFUNCTION("""COMPUTED_VALUE"""),9.0)</f>
        <v>9</v>
      </c>
      <c r="L4877" s="308">
        <f>IFERROR(__xludf.DUMMYFUNCTION("""COMPUTED_VALUE"""),2009.0)</f>
        <v>2009</v>
      </c>
      <c r="M4877" s="308" t="s">
        <v>19696</v>
      </c>
      <c r="N4877" s="308" t="s">
        <v>439</v>
      </c>
      <c r="O4877" s="308"/>
      <c r="P4877" s="308" t="s">
        <v>5679</v>
      </c>
      <c r="Q4877" s="308" t="s">
        <v>37996</v>
      </c>
      <c r="R4877" s="308" t="s">
        <v>16185</v>
      </c>
      <c r="S4877" s="315" t="s">
        <v>100</v>
      </c>
      <c r="T4877" s="311" t="s">
        <v>34208</v>
      </c>
      <c r="U4877" s="308" t="s">
        <v>530</v>
      </c>
      <c r="V4877" s="312"/>
    </row>
    <row r="4878">
      <c r="A4878" s="308">
        <v>4877.0</v>
      </c>
      <c r="B4878" s="308"/>
      <c r="C4878" s="308" t="s">
        <v>19697</v>
      </c>
      <c r="D4878" s="308">
        <f>IFERROR(__xludf.DUMMYFUNCTION("SPLIT(C4878,""-"")"),4898.0)</f>
        <v>4898</v>
      </c>
      <c r="E4878" s="308" t="str">
        <f>IFERROR(__xludf.DUMMYFUNCTION("""COMPUTED_VALUE"""),"K")</f>
        <v>K</v>
      </c>
      <c r="F4878" s="309" t="s">
        <v>34</v>
      </c>
      <c r="G4878" s="308"/>
      <c r="H4878" s="308" t="s">
        <v>19698</v>
      </c>
      <c r="I4878" s="310">
        <v>40073.0</v>
      </c>
      <c r="J4878" s="319">
        <f>IFERROR(__xludf.DUMMYFUNCTION("SPLIT(I4878,""/"")"),17.0)</f>
        <v>17</v>
      </c>
      <c r="K4878" s="308">
        <f>IFERROR(__xludf.DUMMYFUNCTION("""COMPUTED_VALUE"""),9.0)</f>
        <v>9</v>
      </c>
      <c r="L4878" s="308">
        <f>IFERROR(__xludf.DUMMYFUNCTION("""COMPUTED_VALUE"""),2009.0)</f>
        <v>2009</v>
      </c>
      <c r="M4878" s="308" t="s">
        <v>19696</v>
      </c>
      <c r="N4878" s="308" t="s">
        <v>19699</v>
      </c>
      <c r="O4878" s="308"/>
      <c r="P4878" s="308" t="s">
        <v>5679</v>
      </c>
      <c r="Q4878" s="308" t="s">
        <v>37996</v>
      </c>
      <c r="R4878" s="308" t="s">
        <v>16185</v>
      </c>
      <c r="S4878" s="315" t="s">
        <v>100</v>
      </c>
      <c r="T4878" s="311" t="s">
        <v>34208</v>
      </c>
      <c r="U4878" s="308" t="s">
        <v>530</v>
      </c>
      <c r="V4878" s="312"/>
    </row>
    <row r="4879">
      <c r="A4879" s="308">
        <v>4878.0</v>
      </c>
      <c r="B4879" s="308"/>
      <c r="C4879" s="308" t="s">
        <v>19700</v>
      </c>
      <c r="D4879" s="308">
        <f>IFERROR(__xludf.DUMMYFUNCTION("SPLIT(C4879,""-"")"),4899.0)</f>
        <v>4899</v>
      </c>
      <c r="E4879" s="308" t="str">
        <f>IFERROR(__xludf.DUMMYFUNCTION("""COMPUTED_VALUE"""),"K")</f>
        <v>K</v>
      </c>
      <c r="F4879" s="309" t="s">
        <v>34</v>
      </c>
      <c r="G4879" s="308"/>
      <c r="H4879" s="308" t="s">
        <v>19701</v>
      </c>
      <c r="I4879" s="310">
        <v>40074.0</v>
      </c>
      <c r="J4879" s="319">
        <f>IFERROR(__xludf.DUMMYFUNCTION("SPLIT(I4879,""/"")"),18.0)</f>
        <v>18</v>
      </c>
      <c r="K4879" s="308">
        <f>IFERROR(__xludf.DUMMYFUNCTION("""COMPUTED_VALUE"""),9.0)</f>
        <v>9</v>
      </c>
      <c r="L4879" s="308">
        <f>IFERROR(__xludf.DUMMYFUNCTION("""COMPUTED_VALUE"""),2009.0)</f>
        <v>2009</v>
      </c>
      <c r="M4879" s="308" t="s">
        <v>19702</v>
      </c>
      <c r="N4879" s="308"/>
      <c r="O4879" s="308"/>
      <c r="P4879" s="308" t="s">
        <v>5679</v>
      </c>
      <c r="Q4879" s="308" t="s">
        <v>37996</v>
      </c>
      <c r="R4879" s="308" t="s">
        <v>16185</v>
      </c>
      <c r="S4879" s="315" t="s">
        <v>100</v>
      </c>
      <c r="T4879" s="311" t="s">
        <v>34208</v>
      </c>
      <c r="U4879" s="308" t="s">
        <v>530</v>
      </c>
      <c r="V4879" s="312"/>
    </row>
    <row r="4880">
      <c r="A4880" s="308">
        <v>4879.0</v>
      </c>
      <c r="B4880" s="308"/>
      <c r="C4880" s="308" t="s">
        <v>19703</v>
      </c>
      <c r="D4880" s="308">
        <f>IFERROR(__xludf.DUMMYFUNCTION("SPLIT(C4880,""-"")"),4900.0)</f>
        <v>4900</v>
      </c>
      <c r="E4880" s="308" t="str">
        <f>IFERROR(__xludf.DUMMYFUNCTION("""COMPUTED_VALUE"""),"K")</f>
        <v>K</v>
      </c>
      <c r="F4880" s="309" t="s">
        <v>34</v>
      </c>
      <c r="G4880" s="308"/>
      <c r="H4880" s="308" t="s">
        <v>19704</v>
      </c>
      <c r="I4880" s="310">
        <v>42549.0</v>
      </c>
      <c r="J4880" s="319">
        <f>IFERROR(__xludf.DUMMYFUNCTION("SPLIT(I4880,""/"")"),28.0)</f>
        <v>28</v>
      </c>
      <c r="K4880" s="308">
        <f>IFERROR(__xludf.DUMMYFUNCTION("""COMPUTED_VALUE"""),6.0)</f>
        <v>6</v>
      </c>
      <c r="L4880" s="308">
        <f>IFERROR(__xludf.DUMMYFUNCTION("""COMPUTED_VALUE"""),2016.0)</f>
        <v>2016</v>
      </c>
      <c r="M4880" s="308" t="s">
        <v>19705</v>
      </c>
      <c r="N4880" s="308"/>
      <c r="O4880" s="308"/>
      <c r="P4880" s="308" t="s">
        <v>5679</v>
      </c>
      <c r="Q4880" s="308" t="s">
        <v>37996</v>
      </c>
      <c r="R4880" s="308" t="s">
        <v>16185</v>
      </c>
      <c r="S4880" s="315" t="s">
        <v>100</v>
      </c>
      <c r="T4880" s="311" t="s">
        <v>34208</v>
      </c>
      <c r="U4880" s="308" t="s">
        <v>368</v>
      </c>
      <c r="V4880" s="312"/>
    </row>
    <row r="4881">
      <c r="A4881" s="308">
        <v>4880.0</v>
      </c>
      <c r="B4881" s="308"/>
      <c r="C4881" s="308" t="s">
        <v>19706</v>
      </c>
      <c r="D4881" s="308">
        <f>IFERROR(__xludf.DUMMYFUNCTION("SPLIT(C4881,""-"")"),4901.0)</f>
        <v>4901</v>
      </c>
      <c r="E4881" s="308" t="str">
        <f>IFERROR(__xludf.DUMMYFUNCTION("""COMPUTED_VALUE"""),"K")</f>
        <v>K</v>
      </c>
      <c r="F4881" s="309" t="s">
        <v>34</v>
      </c>
      <c r="G4881" s="308"/>
      <c r="H4881" s="308" t="s">
        <v>19707</v>
      </c>
      <c r="I4881" s="310">
        <v>43013.0</v>
      </c>
      <c r="J4881" s="319" t="str">
        <f>IFERROR(__xludf.DUMMYFUNCTION("SPLIT(I4881,""/"")"),"#REF!")</f>
        <v>#REF!</v>
      </c>
      <c r="K4881" s="308"/>
      <c r="L4881" s="308">
        <v>2017.0</v>
      </c>
      <c r="M4881" s="308" t="s">
        <v>19708</v>
      </c>
      <c r="N4881" s="308"/>
      <c r="O4881" s="308"/>
      <c r="P4881" s="308" t="s">
        <v>19709</v>
      </c>
      <c r="Q4881" s="308" t="s">
        <v>37996</v>
      </c>
      <c r="R4881" s="308" t="s">
        <v>16185</v>
      </c>
      <c r="S4881" s="308" t="s">
        <v>81</v>
      </c>
      <c r="T4881" s="308" t="s">
        <v>75</v>
      </c>
      <c r="U4881" s="308" t="s">
        <v>2989</v>
      </c>
      <c r="V4881" s="312"/>
    </row>
    <row r="4882">
      <c r="A4882" s="308">
        <v>4881.0</v>
      </c>
      <c r="B4882" s="308"/>
      <c r="C4882" s="308" t="s">
        <v>19710</v>
      </c>
      <c r="D4882" s="308">
        <f>IFERROR(__xludf.DUMMYFUNCTION("SPLIT(C4882,""-"")"),4902.0)</f>
        <v>4902</v>
      </c>
      <c r="E4882" s="308" t="str">
        <f>IFERROR(__xludf.DUMMYFUNCTION("""COMPUTED_VALUE"""),"K")</f>
        <v>K</v>
      </c>
      <c r="F4882" s="309" t="s">
        <v>34</v>
      </c>
      <c r="G4882" s="308"/>
      <c r="H4882" s="308" t="s">
        <v>19711</v>
      </c>
      <c r="I4882" s="310">
        <v>42797.0</v>
      </c>
      <c r="J4882" s="319" t="str">
        <f>IFERROR(__xludf.DUMMYFUNCTION("SPLIT(I4882,""/"")"),"#REF!")</f>
        <v>#REF!</v>
      </c>
      <c r="K4882" s="308"/>
      <c r="L4882" s="308">
        <v>2017.0</v>
      </c>
      <c r="M4882" s="308" t="s">
        <v>19712</v>
      </c>
      <c r="N4882" s="308"/>
      <c r="O4882" s="308"/>
      <c r="P4882" s="308" t="s">
        <v>5679</v>
      </c>
      <c r="Q4882" s="308" t="s">
        <v>37996</v>
      </c>
      <c r="R4882" s="308" t="s">
        <v>16185</v>
      </c>
      <c r="S4882" s="315" t="s">
        <v>100</v>
      </c>
      <c r="T4882" s="311" t="s">
        <v>34208</v>
      </c>
      <c r="U4882" s="308" t="s">
        <v>125</v>
      </c>
      <c r="V4882" s="312"/>
    </row>
    <row r="4883">
      <c r="A4883" s="308">
        <v>4882.0</v>
      </c>
      <c r="B4883" s="308"/>
      <c r="C4883" s="308" t="s">
        <v>19713</v>
      </c>
      <c r="D4883" s="308">
        <f>IFERROR(__xludf.DUMMYFUNCTION("SPLIT(C4883,""-"")"),4903.0)</f>
        <v>4903</v>
      </c>
      <c r="E4883" s="308" t="str">
        <f>IFERROR(__xludf.DUMMYFUNCTION("""COMPUTED_VALUE"""),"K")</f>
        <v>K</v>
      </c>
      <c r="F4883" s="309" t="s">
        <v>34</v>
      </c>
      <c r="G4883" s="308"/>
      <c r="H4883" s="308" t="s">
        <v>19714</v>
      </c>
      <c r="I4883" s="314">
        <v>41265.0</v>
      </c>
      <c r="J4883" s="319">
        <f>IFERROR(__xludf.DUMMYFUNCTION("SPLIT(I4883,""/"")"),22.0)</f>
        <v>22</v>
      </c>
      <c r="K4883" s="308">
        <f>IFERROR(__xludf.DUMMYFUNCTION("""COMPUTED_VALUE"""),12.0)</f>
        <v>12</v>
      </c>
      <c r="L4883" s="308">
        <f>IFERROR(__xludf.DUMMYFUNCTION("""COMPUTED_VALUE"""),2012.0)</f>
        <v>2012</v>
      </c>
      <c r="M4883" s="308" t="s">
        <v>19715</v>
      </c>
      <c r="N4883" s="308"/>
      <c r="O4883" s="308"/>
      <c r="P4883" s="308" t="s">
        <v>37998</v>
      </c>
      <c r="Q4883" s="308" t="s">
        <v>37996</v>
      </c>
      <c r="R4883" s="308" t="s">
        <v>16185</v>
      </c>
      <c r="S4883" s="308" t="s">
        <v>49</v>
      </c>
      <c r="T4883" s="311" t="s">
        <v>51</v>
      </c>
      <c r="U4883" s="308" t="s">
        <v>2097</v>
      </c>
      <c r="V4883" s="312"/>
    </row>
    <row r="4884">
      <c r="A4884" s="308">
        <v>4883.0</v>
      </c>
      <c r="B4884" s="308"/>
      <c r="C4884" s="308" t="s">
        <v>19717</v>
      </c>
      <c r="D4884" s="308">
        <f>IFERROR(__xludf.DUMMYFUNCTION("SPLIT(C4884,""-"")"),4904.0)</f>
        <v>4904</v>
      </c>
      <c r="E4884" s="308" t="str">
        <f>IFERROR(__xludf.DUMMYFUNCTION("""COMPUTED_VALUE"""),"K")</f>
        <v>K</v>
      </c>
      <c r="F4884" s="309" t="s">
        <v>34</v>
      </c>
      <c r="G4884" s="308"/>
      <c r="H4884" s="308" t="s">
        <v>19718</v>
      </c>
      <c r="I4884" s="314">
        <v>42731.0</v>
      </c>
      <c r="J4884" s="319">
        <f>IFERROR(__xludf.DUMMYFUNCTION("SPLIT(I4884,""/"")"),27.0)</f>
        <v>27</v>
      </c>
      <c r="K4884" s="308">
        <f>IFERROR(__xludf.DUMMYFUNCTION("""COMPUTED_VALUE"""),12.0)</f>
        <v>12</v>
      </c>
      <c r="L4884" s="308">
        <f>IFERROR(__xludf.DUMMYFUNCTION("""COMPUTED_VALUE"""),2016.0)</f>
        <v>2016</v>
      </c>
      <c r="M4884" s="308" t="s">
        <v>19719</v>
      </c>
      <c r="N4884" s="308"/>
      <c r="O4884" s="308" t="s">
        <v>37999</v>
      </c>
      <c r="P4884" s="308" t="s">
        <v>38000</v>
      </c>
      <c r="Q4884" s="308" t="s">
        <v>37996</v>
      </c>
      <c r="R4884" s="308" t="s">
        <v>16185</v>
      </c>
      <c r="S4884" s="308" t="s">
        <v>81</v>
      </c>
      <c r="T4884" s="308" t="s">
        <v>73</v>
      </c>
      <c r="U4884" s="308" t="s">
        <v>4749</v>
      </c>
      <c r="V4884" s="312"/>
    </row>
    <row r="4885">
      <c r="A4885" s="308">
        <v>4884.0</v>
      </c>
      <c r="B4885" s="308"/>
      <c r="C4885" s="308" t="s">
        <v>19722</v>
      </c>
      <c r="D4885" s="308">
        <f>IFERROR(__xludf.DUMMYFUNCTION("SPLIT(C4885,""-"")"),4905.0)</f>
        <v>4905</v>
      </c>
      <c r="E4885" s="308" t="str">
        <f>IFERROR(__xludf.DUMMYFUNCTION("""COMPUTED_VALUE"""),"P")</f>
        <v>P</v>
      </c>
      <c r="F4885" s="312" t="s">
        <v>37</v>
      </c>
      <c r="G4885" s="308"/>
      <c r="H4885" s="308" t="s">
        <v>19723</v>
      </c>
      <c r="I4885" s="310">
        <v>42104.0</v>
      </c>
      <c r="J4885" s="319">
        <f>IFERROR(__xludf.DUMMYFUNCTION("SPLIT(I4885,""/"")"),10.0)</f>
        <v>10</v>
      </c>
      <c r="K4885" s="308">
        <f>IFERROR(__xludf.DUMMYFUNCTION("""COMPUTED_VALUE"""),4.0)</f>
        <v>4</v>
      </c>
      <c r="L4885" s="308">
        <f>IFERROR(__xludf.DUMMYFUNCTION("""COMPUTED_VALUE"""),2015.0)</f>
        <v>2015</v>
      </c>
      <c r="M4885" s="308" t="s">
        <v>19724</v>
      </c>
      <c r="N4885" s="308"/>
      <c r="O4885" s="308"/>
      <c r="P4885" s="308" t="s">
        <v>7523</v>
      </c>
      <c r="Q4885" s="308" t="s">
        <v>38001</v>
      </c>
      <c r="R4885" s="308" t="s">
        <v>16185</v>
      </c>
      <c r="S4885" s="315" t="s">
        <v>100</v>
      </c>
      <c r="T4885" s="311" t="s">
        <v>34208</v>
      </c>
      <c r="U4885" s="308" t="s">
        <v>1711</v>
      </c>
      <c r="V4885" s="312"/>
    </row>
    <row r="4886">
      <c r="A4886" s="308">
        <v>4885.0</v>
      </c>
      <c r="B4886" s="308"/>
      <c r="C4886" s="308" t="s">
        <v>19725</v>
      </c>
      <c r="D4886" s="308">
        <f>IFERROR(__xludf.DUMMYFUNCTION("SPLIT(C4886,""-"")"),4906.0)</f>
        <v>4906</v>
      </c>
      <c r="E4886" s="308" t="str">
        <f>IFERROR(__xludf.DUMMYFUNCTION("""COMPUTED_VALUE"""),"P")</f>
        <v>P</v>
      </c>
      <c r="F4886" s="312" t="s">
        <v>37</v>
      </c>
      <c r="G4886" s="308"/>
      <c r="H4886" s="308" t="s">
        <v>19726</v>
      </c>
      <c r="I4886" s="310">
        <v>42462.0</v>
      </c>
      <c r="J4886" s="319">
        <f>IFERROR(__xludf.DUMMYFUNCTION("SPLIT(I4886,""/"")"),2.0)</f>
        <v>2</v>
      </c>
      <c r="K4886" s="308">
        <f>IFERROR(__xludf.DUMMYFUNCTION("""COMPUTED_VALUE"""),4.0)</f>
        <v>4</v>
      </c>
      <c r="L4886" s="308">
        <f>IFERROR(__xludf.DUMMYFUNCTION("""COMPUTED_VALUE"""),2016.0)</f>
        <v>2016</v>
      </c>
      <c r="M4886" s="308" t="s">
        <v>19727</v>
      </c>
      <c r="N4886" s="308"/>
      <c r="O4886" s="308"/>
      <c r="P4886" s="312" t="s">
        <v>19728</v>
      </c>
      <c r="Q4886" s="308" t="s">
        <v>38001</v>
      </c>
      <c r="R4886" s="308" t="s">
        <v>16185</v>
      </c>
      <c r="S4886" s="308" t="s">
        <v>81</v>
      </c>
      <c r="T4886" s="308" t="s">
        <v>73</v>
      </c>
      <c r="U4886" s="308" t="s">
        <v>4273</v>
      </c>
      <c r="V4886" s="312"/>
    </row>
    <row r="4887">
      <c r="A4887" s="308">
        <v>4886.0</v>
      </c>
      <c r="B4887" s="308"/>
      <c r="C4887" s="308" t="s">
        <v>19729</v>
      </c>
      <c r="D4887" s="308">
        <f>IFERROR(__xludf.DUMMYFUNCTION("SPLIT(C4887,""-"")"),4907.0)</f>
        <v>4907</v>
      </c>
      <c r="E4887" s="308" t="str">
        <f>IFERROR(__xludf.DUMMYFUNCTION("""COMPUTED_VALUE"""),"F")</f>
        <v>F</v>
      </c>
      <c r="F4887" s="309" t="s">
        <v>34</v>
      </c>
      <c r="G4887" s="308"/>
      <c r="H4887" s="308" t="s">
        <v>19730</v>
      </c>
      <c r="I4887" s="310">
        <v>42552.0</v>
      </c>
      <c r="J4887" s="319">
        <f>IFERROR(__xludf.DUMMYFUNCTION("SPLIT(I4887,""/"")"),1.0)</f>
        <v>1</v>
      </c>
      <c r="K4887" s="308">
        <f>IFERROR(__xludf.DUMMYFUNCTION("""COMPUTED_VALUE"""),7.0)</f>
        <v>7</v>
      </c>
      <c r="L4887" s="308">
        <f>IFERROR(__xludf.DUMMYFUNCTION("""COMPUTED_VALUE"""),2016.0)</f>
        <v>2016</v>
      </c>
      <c r="M4887" s="308" t="s">
        <v>19731</v>
      </c>
      <c r="N4887" s="308"/>
      <c r="O4887" s="308"/>
      <c r="P4887" s="308" t="s">
        <v>38002</v>
      </c>
      <c r="Q4887" s="308" t="s">
        <v>38001</v>
      </c>
      <c r="R4887" s="308" t="s">
        <v>16185</v>
      </c>
      <c r="S4887" s="308" t="s">
        <v>81</v>
      </c>
      <c r="T4887" s="308" t="s">
        <v>34264</v>
      </c>
      <c r="U4887" s="308" t="s">
        <v>195</v>
      </c>
      <c r="V4887" s="312"/>
    </row>
    <row r="4888">
      <c r="A4888" s="308">
        <v>4887.0</v>
      </c>
      <c r="B4888" s="308"/>
      <c r="C4888" s="308" t="s">
        <v>19733</v>
      </c>
      <c r="D4888" s="308">
        <f>IFERROR(__xludf.DUMMYFUNCTION("SPLIT(C4888,""-"")"),4908.0)</f>
        <v>4908</v>
      </c>
      <c r="E4888" s="308" t="str">
        <f>IFERROR(__xludf.DUMMYFUNCTION("""COMPUTED_VALUE"""),"S")</f>
        <v>S</v>
      </c>
      <c r="F4888" s="312" t="s">
        <v>39</v>
      </c>
      <c r="G4888" s="308"/>
      <c r="H4888" s="308" t="s">
        <v>19734</v>
      </c>
      <c r="I4888" s="310">
        <v>42872.0</v>
      </c>
      <c r="J4888" s="319">
        <f>IFERROR(__xludf.DUMMYFUNCTION("SPLIT(I4888,""/"")"),17.0)</f>
        <v>17</v>
      </c>
      <c r="K4888" s="308">
        <f>IFERROR(__xludf.DUMMYFUNCTION("""COMPUTED_VALUE"""),5.0)</f>
        <v>5</v>
      </c>
      <c r="L4888" s="308">
        <f>IFERROR(__xludf.DUMMYFUNCTION("""COMPUTED_VALUE"""),2017.0)</f>
        <v>2017</v>
      </c>
      <c r="M4888" s="308" t="s">
        <v>19735</v>
      </c>
      <c r="N4888" s="308"/>
      <c r="O4888" s="308"/>
      <c r="P4888" s="308" t="s">
        <v>19736</v>
      </c>
      <c r="Q4888" s="308" t="s">
        <v>38001</v>
      </c>
      <c r="R4888" s="308" t="s">
        <v>16185</v>
      </c>
      <c r="S4888" s="311" t="s">
        <v>49</v>
      </c>
      <c r="T4888" s="308" t="s">
        <v>51</v>
      </c>
      <c r="U4888" s="308" t="s">
        <v>166</v>
      </c>
      <c r="V4888" s="312"/>
    </row>
    <row r="4889">
      <c r="A4889" s="308">
        <v>4888.0</v>
      </c>
      <c r="B4889" s="308"/>
      <c r="C4889" s="308" t="s">
        <v>19737</v>
      </c>
      <c r="D4889" s="308">
        <f>IFERROR(__xludf.DUMMYFUNCTION("SPLIT(C4889,""-"")"),4909.0)</f>
        <v>4909</v>
      </c>
      <c r="E4889" s="308" t="str">
        <f>IFERROR(__xludf.DUMMYFUNCTION("""COMPUTED_VALUE"""),"S")</f>
        <v>S</v>
      </c>
      <c r="F4889" s="312" t="s">
        <v>39</v>
      </c>
      <c r="G4889" s="308"/>
      <c r="H4889" s="308" t="s">
        <v>19738</v>
      </c>
      <c r="I4889" s="314">
        <v>43064.0</v>
      </c>
      <c r="J4889" s="319">
        <f>IFERROR(__xludf.DUMMYFUNCTION("SPLIT(I4889,""/"")"),25.0)</f>
        <v>25</v>
      </c>
      <c r="K4889" s="308">
        <f>IFERROR(__xludf.DUMMYFUNCTION("""COMPUTED_VALUE"""),11.0)</f>
        <v>11</v>
      </c>
      <c r="L4889" s="308">
        <f>IFERROR(__xludf.DUMMYFUNCTION("""COMPUTED_VALUE"""),2017.0)</f>
        <v>2017</v>
      </c>
      <c r="M4889" s="308" t="s">
        <v>19735</v>
      </c>
      <c r="N4889" s="308"/>
      <c r="O4889" s="308"/>
      <c r="P4889" s="308" t="s">
        <v>38003</v>
      </c>
      <c r="Q4889" s="308" t="s">
        <v>38001</v>
      </c>
      <c r="R4889" s="308" t="s">
        <v>16185</v>
      </c>
      <c r="S4889" s="308" t="s">
        <v>81</v>
      </c>
      <c r="T4889" s="308" t="s">
        <v>75</v>
      </c>
      <c r="U4889" s="308" t="s">
        <v>166</v>
      </c>
      <c r="V4889" s="312"/>
    </row>
    <row r="4890">
      <c r="A4890" s="308">
        <v>4889.0</v>
      </c>
      <c r="B4890" s="308"/>
      <c r="C4890" s="308" t="s">
        <v>19740</v>
      </c>
      <c r="D4890" s="308">
        <f>IFERROR(__xludf.DUMMYFUNCTION("SPLIT(C4890,""-"")"),4910.0)</f>
        <v>4910</v>
      </c>
      <c r="E4890" s="308" t="str">
        <f>IFERROR(__xludf.DUMMYFUNCTION("""COMPUTED_VALUE"""),"I")</f>
        <v>I</v>
      </c>
      <c r="F4890" s="309" t="s">
        <v>31</v>
      </c>
      <c r="G4890" s="308"/>
      <c r="H4890" s="308" t="s">
        <v>19741</v>
      </c>
      <c r="I4890" s="316" t="s">
        <v>407</v>
      </c>
      <c r="J4890" s="319"/>
      <c r="K4890" s="308"/>
      <c r="L4890" s="311" t="s">
        <v>79</v>
      </c>
      <c r="M4890" s="308" t="s">
        <v>38004</v>
      </c>
      <c r="N4890" s="308"/>
      <c r="O4890" s="308"/>
      <c r="P4890" s="308" t="s">
        <v>38005</v>
      </c>
      <c r="Q4890" s="308" t="s">
        <v>38001</v>
      </c>
      <c r="R4890" s="308" t="s">
        <v>16185</v>
      </c>
      <c r="S4890" s="308" t="s">
        <v>81</v>
      </c>
      <c r="T4890" s="311" t="s">
        <v>91</v>
      </c>
      <c r="U4890" s="308" t="s">
        <v>31</v>
      </c>
      <c r="V4890" s="312"/>
    </row>
    <row r="4891">
      <c r="A4891" s="308">
        <v>4890.0</v>
      </c>
      <c r="B4891" s="308"/>
      <c r="C4891" s="308" t="s">
        <v>19744</v>
      </c>
      <c r="D4891" s="308">
        <f>IFERROR(__xludf.DUMMYFUNCTION("SPLIT(C4891,""-"")"),4911.0)</f>
        <v>4911</v>
      </c>
      <c r="E4891" s="308" t="str">
        <f>IFERROR(__xludf.DUMMYFUNCTION("""COMPUTED_VALUE"""),"P")</f>
        <v>P</v>
      </c>
      <c r="F4891" s="312" t="s">
        <v>37</v>
      </c>
      <c r="G4891" s="308"/>
      <c r="H4891" s="308" t="s">
        <v>19745</v>
      </c>
      <c r="I4891" s="310">
        <v>43105.0</v>
      </c>
      <c r="J4891" s="319">
        <f>IFERROR(__xludf.DUMMYFUNCTION("SPLIT(I4891,""/"")"),5.0)</f>
        <v>5</v>
      </c>
      <c r="K4891" s="308">
        <f>IFERROR(__xludf.DUMMYFUNCTION("""COMPUTED_VALUE"""),1.0)</f>
        <v>1</v>
      </c>
      <c r="L4891" s="308">
        <f>IFERROR(__xludf.DUMMYFUNCTION("""COMPUTED_VALUE"""),2018.0)</f>
        <v>2018</v>
      </c>
      <c r="M4891" s="308" t="s">
        <v>19746</v>
      </c>
      <c r="N4891" s="308"/>
      <c r="O4891" s="308"/>
      <c r="P4891" s="308" t="s">
        <v>38006</v>
      </c>
      <c r="Q4891" s="308" t="s">
        <v>38001</v>
      </c>
      <c r="R4891" s="308" t="s">
        <v>16185</v>
      </c>
      <c r="S4891" s="308" t="s">
        <v>81</v>
      </c>
      <c r="T4891" s="311" t="s">
        <v>51</v>
      </c>
      <c r="U4891" s="308" t="s">
        <v>143</v>
      </c>
      <c r="V4891" s="312"/>
    </row>
    <row r="4892">
      <c r="A4892" s="308">
        <v>4891.0</v>
      </c>
      <c r="B4892" s="308"/>
      <c r="C4892" s="308" t="s">
        <v>19748</v>
      </c>
      <c r="D4892" s="308">
        <f>IFERROR(__xludf.DUMMYFUNCTION("SPLIT(C4892,""-"")"),4912.0)</f>
        <v>4912</v>
      </c>
      <c r="E4892" s="308" t="str">
        <f>IFERROR(__xludf.DUMMYFUNCTION("""COMPUTED_VALUE"""),"P")</f>
        <v>P</v>
      </c>
      <c r="F4892" s="312" t="s">
        <v>37</v>
      </c>
      <c r="G4892" s="308"/>
      <c r="H4892" s="308" t="s">
        <v>19749</v>
      </c>
      <c r="I4892" s="310">
        <v>43173.0</v>
      </c>
      <c r="J4892" s="319">
        <f>IFERROR(__xludf.DUMMYFUNCTION("SPLIT(I4892,""/"")"),14.0)</f>
        <v>14</v>
      </c>
      <c r="K4892" s="308">
        <f>IFERROR(__xludf.DUMMYFUNCTION("""COMPUTED_VALUE"""),3.0)</f>
        <v>3</v>
      </c>
      <c r="L4892" s="308">
        <f>IFERROR(__xludf.DUMMYFUNCTION("""COMPUTED_VALUE"""),2018.0)</f>
        <v>2018</v>
      </c>
      <c r="M4892" s="308" t="s">
        <v>19750</v>
      </c>
      <c r="N4892" s="308"/>
      <c r="O4892" s="308" t="s">
        <v>19751</v>
      </c>
      <c r="P4892" s="308" t="s">
        <v>19752</v>
      </c>
      <c r="Q4892" s="308" t="s">
        <v>38001</v>
      </c>
      <c r="R4892" s="308" t="s">
        <v>16185</v>
      </c>
      <c r="S4892" s="308" t="s">
        <v>81</v>
      </c>
      <c r="T4892" s="308" t="s">
        <v>75</v>
      </c>
      <c r="U4892" s="308" t="s">
        <v>18576</v>
      </c>
      <c r="V4892" s="312"/>
    </row>
    <row r="4893">
      <c r="A4893" s="308">
        <v>4892.0</v>
      </c>
      <c r="B4893" s="308"/>
      <c r="C4893" s="308" t="s">
        <v>19753</v>
      </c>
      <c r="D4893" s="308">
        <f>IFERROR(__xludf.DUMMYFUNCTION("SPLIT(C4893,""-"")"),4913.0)</f>
        <v>4913</v>
      </c>
      <c r="E4893" s="308" t="str">
        <f>IFERROR(__xludf.DUMMYFUNCTION("""COMPUTED_VALUE"""),"P")</f>
        <v>P</v>
      </c>
      <c r="F4893" s="312" t="s">
        <v>37</v>
      </c>
      <c r="G4893" s="308"/>
      <c r="H4893" s="308" t="s">
        <v>19754</v>
      </c>
      <c r="I4893" s="310">
        <v>42078.0</v>
      </c>
      <c r="J4893" s="319">
        <f>IFERROR(__xludf.DUMMYFUNCTION("SPLIT(I4893,""/"")"),15.0)</f>
        <v>15</v>
      </c>
      <c r="K4893" s="308">
        <f>IFERROR(__xludf.DUMMYFUNCTION("""COMPUTED_VALUE"""),3.0)</f>
        <v>3</v>
      </c>
      <c r="L4893" s="308">
        <f>IFERROR(__xludf.DUMMYFUNCTION("""COMPUTED_VALUE"""),2015.0)</f>
        <v>2015</v>
      </c>
      <c r="M4893" s="308" t="s">
        <v>19755</v>
      </c>
      <c r="N4893" s="308"/>
      <c r="O4893" s="308"/>
      <c r="P4893" s="308"/>
      <c r="Q4893" s="308" t="s">
        <v>38001</v>
      </c>
      <c r="R4893" s="308" t="s">
        <v>16185</v>
      </c>
      <c r="S4893" s="308" t="s">
        <v>79</v>
      </c>
      <c r="T4893" s="308" t="s">
        <v>79</v>
      </c>
      <c r="U4893" s="308" t="s">
        <v>2291</v>
      </c>
      <c r="V4893" s="312"/>
    </row>
    <row r="4894">
      <c r="A4894" s="308">
        <v>4893.0</v>
      </c>
      <c r="B4894" s="308"/>
      <c r="C4894" s="308" t="s">
        <v>19756</v>
      </c>
      <c r="D4894" s="308">
        <f>IFERROR(__xludf.DUMMYFUNCTION("SPLIT(C4894,""-"")"),4914.0)</f>
        <v>4914</v>
      </c>
      <c r="E4894" s="308" t="str">
        <f>IFERROR(__xludf.DUMMYFUNCTION("""COMPUTED_VALUE"""),"P")</f>
        <v>P</v>
      </c>
      <c r="F4894" s="312" t="s">
        <v>37</v>
      </c>
      <c r="G4894" s="308"/>
      <c r="H4894" s="308" t="s">
        <v>19757</v>
      </c>
      <c r="I4894" s="310">
        <v>43135.0</v>
      </c>
      <c r="J4894" s="319">
        <f>IFERROR(__xludf.DUMMYFUNCTION("SPLIT(I4894,""/"")"),4.0)</f>
        <v>4</v>
      </c>
      <c r="K4894" s="308">
        <f>IFERROR(__xludf.DUMMYFUNCTION("""COMPUTED_VALUE"""),2.0)</f>
        <v>2</v>
      </c>
      <c r="L4894" s="308">
        <f>IFERROR(__xludf.DUMMYFUNCTION("""COMPUTED_VALUE"""),2018.0)</f>
        <v>2018</v>
      </c>
      <c r="M4894" s="308" t="s">
        <v>19758</v>
      </c>
      <c r="N4894" s="308"/>
      <c r="O4894" s="308" t="s">
        <v>19759</v>
      </c>
      <c r="P4894" s="308" t="s">
        <v>19760</v>
      </c>
      <c r="Q4894" s="308" t="s">
        <v>38001</v>
      </c>
      <c r="R4894" s="308" t="s">
        <v>16185</v>
      </c>
      <c r="S4894" s="308" t="s">
        <v>81</v>
      </c>
      <c r="T4894" s="308" t="s">
        <v>34264</v>
      </c>
      <c r="U4894" s="308" t="s">
        <v>149</v>
      </c>
      <c r="V4894" s="312"/>
    </row>
    <row r="4895">
      <c r="A4895" s="308">
        <v>4894.0</v>
      </c>
      <c r="B4895" s="308"/>
      <c r="C4895" s="308" t="s">
        <v>19761</v>
      </c>
      <c r="D4895" s="308">
        <f>IFERROR(__xludf.DUMMYFUNCTION("SPLIT(C4895,""-"")"),4915.0)</f>
        <v>4915</v>
      </c>
      <c r="E4895" s="308" t="str">
        <f>IFERROR(__xludf.DUMMYFUNCTION("""COMPUTED_VALUE"""),"P")</f>
        <v>P</v>
      </c>
      <c r="F4895" s="312" t="s">
        <v>37</v>
      </c>
      <c r="G4895" s="308"/>
      <c r="H4895" s="308" t="s">
        <v>19762</v>
      </c>
      <c r="I4895" s="310">
        <v>42812.0</v>
      </c>
      <c r="J4895" s="319">
        <f>IFERROR(__xludf.DUMMYFUNCTION("SPLIT(I4895,""/"")"),18.0)</f>
        <v>18</v>
      </c>
      <c r="K4895" s="308">
        <f>IFERROR(__xludf.DUMMYFUNCTION("""COMPUTED_VALUE"""),3.0)</f>
        <v>3</v>
      </c>
      <c r="L4895" s="308">
        <f>IFERROR(__xludf.DUMMYFUNCTION("""COMPUTED_VALUE"""),2017.0)</f>
        <v>2017</v>
      </c>
      <c r="M4895" s="308" t="s">
        <v>19763</v>
      </c>
      <c r="N4895" s="308"/>
      <c r="O4895" s="308"/>
      <c r="P4895" s="308" t="s">
        <v>7523</v>
      </c>
      <c r="Q4895" s="308" t="s">
        <v>38001</v>
      </c>
      <c r="R4895" s="308" t="s">
        <v>16185</v>
      </c>
      <c r="S4895" s="315" t="s">
        <v>100</v>
      </c>
      <c r="T4895" s="311" t="s">
        <v>34208</v>
      </c>
      <c r="U4895" s="308" t="s">
        <v>143</v>
      </c>
      <c r="V4895" s="312"/>
    </row>
    <row r="4896">
      <c r="A4896" s="308">
        <v>4895.0</v>
      </c>
      <c r="B4896" s="308"/>
      <c r="C4896" s="308" t="s">
        <v>19764</v>
      </c>
      <c r="D4896" s="308" t="str">
        <f>IFERROR(__xludf.DUMMYFUNCTION("SPLIT(C4896,""-"")"),"#REF!")</f>
        <v>#REF!</v>
      </c>
      <c r="E4896" s="311"/>
      <c r="F4896" s="317" t="s">
        <v>39</v>
      </c>
      <c r="G4896" s="308"/>
      <c r="H4896" s="308" t="s">
        <v>19765</v>
      </c>
      <c r="I4896" s="310">
        <v>42807.0</v>
      </c>
      <c r="J4896" s="319">
        <f>IFERROR(__xludf.DUMMYFUNCTION("SPLIT(I4896,""/"")"),13.0)</f>
        <v>13</v>
      </c>
      <c r="K4896" s="308">
        <f>IFERROR(__xludf.DUMMYFUNCTION("""COMPUTED_VALUE"""),3.0)</f>
        <v>3</v>
      </c>
      <c r="L4896" s="308">
        <f>IFERROR(__xludf.DUMMYFUNCTION("""COMPUTED_VALUE"""),2017.0)</f>
        <v>2017</v>
      </c>
      <c r="M4896" s="308" t="s">
        <v>19766</v>
      </c>
      <c r="N4896" s="308"/>
      <c r="O4896" s="308"/>
      <c r="P4896" s="308" t="s">
        <v>19767</v>
      </c>
      <c r="Q4896" s="308" t="s">
        <v>38001</v>
      </c>
      <c r="R4896" s="308" t="s">
        <v>16185</v>
      </c>
      <c r="S4896" s="308" t="s">
        <v>81</v>
      </c>
      <c r="T4896" s="308" t="s">
        <v>75</v>
      </c>
      <c r="U4896" s="308" t="s">
        <v>166</v>
      </c>
      <c r="V4896" s="312"/>
    </row>
    <row r="4897">
      <c r="A4897" s="308">
        <v>4896.0</v>
      </c>
      <c r="B4897" s="308"/>
      <c r="C4897" s="308" t="s">
        <v>19768</v>
      </c>
      <c r="D4897" s="308">
        <f>IFERROR(__xludf.DUMMYFUNCTION("SPLIT(C4897,""-"")"),4917.0)</f>
        <v>4917</v>
      </c>
      <c r="E4897" s="308" t="str">
        <f>IFERROR(__xludf.DUMMYFUNCTION("""COMPUTED_VALUE"""),"F")</f>
        <v>F</v>
      </c>
      <c r="F4897" s="309" t="s">
        <v>34</v>
      </c>
      <c r="G4897" s="308"/>
      <c r="H4897" s="308" t="s">
        <v>19769</v>
      </c>
      <c r="I4897" s="310">
        <v>42931.0</v>
      </c>
      <c r="J4897" s="319" t="str">
        <f>IFERROR(__xludf.DUMMYFUNCTION("SPLIT(I4897,""/"")"),"#REF!")</f>
        <v>#REF!</v>
      </c>
      <c r="K4897" s="308"/>
      <c r="L4897" s="308">
        <v>2017.0</v>
      </c>
      <c r="M4897" s="308" t="s">
        <v>19770</v>
      </c>
      <c r="N4897" s="308"/>
      <c r="O4897" s="308"/>
      <c r="P4897" s="308" t="s">
        <v>19771</v>
      </c>
      <c r="Q4897" s="308" t="s">
        <v>38001</v>
      </c>
      <c r="R4897" s="308" t="s">
        <v>2743</v>
      </c>
      <c r="S4897" s="308" t="s">
        <v>81</v>
      </c>
      <c r="T4897" s="311" t="s">
        <v>73</v>
      </c>
      <c r="U4897" s="308" t="s">
        <v>195</v>
      </c>
      <c r="V4897" s="312"/>
    </row>
    <row r="4898">
      <c r="A4898" s="308">
        <v>4897.0</v>
      </c>
      <c r="B4898" s="308"/>
      <c r="C4898" s="308" t="s">
        <v>19772</v>
      </c>
      <c r="D4898" s="308">
        <f>IFERROR(__xludf.DUMMYFUNCTION("SPLIT(C4898,""-"")"),4918.0)</f>
        <v>4918</v>
      </c>
      <c r="E4898" s="308" t="str">
        <f>IFERROR(__xludf.DUMMYFUNCTION("""COMPUTED_VALUE"""),"I")</f>
        <v>I</v>
      </c>
      <c r="F4898" s="309" t="s">
        <v>31</v>
      </c>
      <c r="G4898" s="308"/>
      <c r="H4898" s="308" t="s">
        <v>19773</v>
      </c>
      <c r="I4898" s="310">
        <v>42759.0</v>
      </c>
      <c r="J4898" s="319">
        <f>IFERROR(__xludf.DUMMYFUNCTION("SPLIT(I4898,""/"")"),24.0)</f>
        <v>24</v>
      </c>
      <c r="K4898" s="308">
        <f>IFERROR(__xludf.DUMMYFUNCTION("""COMPUTED_VALUE"""),1.0)</f>
        <v>1</v>
      </c>
      <c r="L4898" s="308">
        <f>IFERROR(__xludf.DUMMYFUNCTION("""COMPUTED_VALUE"""),2017.0)</f>
        <v>2017</v>
      </c>
      <c r="M4898" s="308" t="s">
        <v>38007</v>
      </c>
      <c r="N4898" s="308"/>
      <c r="O4898" s="308" t="s">
        <v>19775</v>
      </c>
      <c r="P4898" s="308" t="s">
        <v>38008</v>
      </c>
      <c r="Q4898" s="308" t="s">
        <v>38001</v>
      </c>
      <c r="R4898" s="308" t="s">
        <v>2743</v>
      </c>
      <c r="S4898" s="308" t="s">
        <v>81</v>
      </c>
      <c r="T4898" s="308" t="s">
        <v>75</v>
      </c>
      <c r="U4898" s="308" t="s">
        <v>31</v>
      </c>
      <c r="V4898" s="312"/>
    </row>
    <row r="4899">
      <c r="A4899" s="308">
        <v>4898.0</v>
      </c>
      <c r="B4899" s="308"/>
      <c r="C4899" s="308" t="s">
        <v>19777</v>
      </c>
      <c r="D4899" s="308">
        <f>IFERROR(__xludf.DUMMYFUNCTION("SPLIT(C4899,""-"")"),4919.0)</f>
        <v>4919</v>
      </c>
      <c r="E4899" s="308" t="str">
        <f>IFERROR(__xludf.DUMMYFUNCTION("""COMPUTED_VALUE"""),"P")</f>
        <v>P</v>
      </c>
      <c r="F4899" s="312" t="s">
        <v>37</v>
      </c>
      <c r="G4899" s="308"/>
      <c r="H4899" s="308" t="s">
        <v>19778</v>
      </c>
      <c r="I4899" s="310">
        <v>43181.0</v>
      </c>
      <c r="J4899" s="319">
        <f>IFERROR(__xludf.DUMMYFUNCTION("SPLIT(I4899,""/"")"),22.0)</f>
        <v>22</v>
      </c>
      <c r="K4899" s="308">
        <f>IFERROR(__xludf.DUMMYFUNCTION("""COMPUTED_VALUE"""),3.0)</f>
        <v>3</v>
      </c>
      <c r="L4899" s="308">
        <f>IFERROR(__xludf.DUMMYFUNCTION("""COMPUTED_VALUE"""),2018.0)</f>
        <v>2018</v>
      </c>
      <c r="M4899" s="308" t="s">
        <v>19779</v>
      </c>
      <c r="N4899" s="308"/>
      <c r="O4899" s="308"/>
      <c r="P4899" s="308" t="s">
        <v>19780</v>
      </c>
      <c r="Q4899" s="308" t="s">
        <v>38001</v>
      </c>
      <c r="R4899" s="308" t="s">
        <v>2743</v>
      </c>
      <c r="S4899" s="308" t="s">
        <v>81</v>
      </c>
      <c r="T4899" s="311" t="s">
        <v>73</v>
      </c>
      <c r="U4899" s="308" t="s">
        <v>19781</v>
      </c>
      <c r="V4899" s="312"/>
    </row>
    <row r="4900">
      <c r="A4900" s="308">
        <v>4899.0</v>
      </c>
      <c r="B4900" s="308"/>
      <c r="C4900" s="308" t="s">
        <v>19782</v>
      </c>
      <c r="D4900" s="308">
        <f>IFERROR(__xludf.DUMMYFUNCTION("SPLIT(C4900,""-"")"),4920.0)</f>
        <v>4920</v>
      </c>
      <c r="E4900" s="308" t="str">
        <f>IFERROR(__xludf.DUMMYFUNCTION("""COMPUTED_VALUE"""),"F")</f>
        <v>F</v>
      </c>
      <c r="F4900" s="309" t="s">
        <v>34</v>
      </c>
      <c r="G4900" s="308"/>
      <c r="H4900" s="308" t="s">
        <v>19783</v>
      </c>
      <c r="I4900" s="310">
        <v>42407.0</v>
      </c>
      <c r="J4900" s="319">
        <f>IFERROR(__xludf.DUMMYFUNCTION("SPLIT(I4900,""/"")"),7.0)</f>
        <v>7</v>
      </c>
      <c r="K4900" s="308">
        <f>IFERROR(__xludf.DUMMYFUNCTION("""COMPUTED_VALUE"""),2.0)</f>
        <v>2</v>
      </c>
      <c r="L4900" s="308">
        <f>IFERROR(__xludf.DUMMYFUNCTION("""COMPUTED_VALUE"""),2016.0)</f>
        <v>2016</v>
      </c>
      <c r="M4900" s="308" t="s">
        <v>19784</v>
      </c>
      <c r="N4900" s="308"/>
      <c r="O4900" s="308"/>
      <c r="P4900" s="308" t="s">
        <v>38009</v>
      </c>
      <c r="Q4900" s="308" t="s">
        <v>38001</v>
      </c>
      <c r="R4900" s="308" t="s">
        <v>2743</v>
      </c>
      <c r="S4900" s="308" t="s">
        <v>81</v>
      </c>
      <c r="T4900" s="311" t="s">
        <v>75</v>
      </c>
      <c r="U4900" s="308" t="s">
        <v>195</v>
      </c>
      <c r="V4900" s="312"/>
    </row>
    <row r="4901">
      <c r="A4901" s="308">
        <v>4900.0</v>
      </c>
      <c r="B4901" s="308"/>
      <c r="C4901" s="308" t="s">
        <v>19786</v>
      </c>
      <c r="D4901" s="308">
        <f>IFERROR(__xludf.DUMMYFUNCTION("SPLIT(C4901,""-"")"),4921.0)</f>
        <v>4921</v>
      </c>
      <c r="E4901" s="308" t="str">
        <f>IFERROR(__xludf.DUMMYFUNCTION("""COMPUTED_VALUE"""),"F")</f>
        <v>F</v>
      </c>
      <c r="F4901" s="309" t="s">
        <v>34</v>
      </c>
      <c r="G4901" s="308"/>
      <c r="H4901" s="308" t="s">
        <v>19787</v>
      </c>
      <c r="I4901" s="310">
        <v>41456.0</v>
      </c>
      <c r="J4901" s="319">
        <f>IFERROR(__xludf.DUMMYFUNCTION("SPLIT(I4901,""/"")"),1.0)</f>
        <v>1</v>
      </c>
      <c r="K4901" s="308">
        <f>IFERROR(__xludf.DUMMYFUNCTION("""COMPUTED_VALUE"""),7.0)</f>
        <v>7</v>
      </c>
      <c r="L4901" s="308">
        <f>IFERROR(__xludf.DUMMYFUNCTION("""COMPUTED_VALUE"""),2013.0)</f>
        <v>2013</v>
      </c>
      <c r="M4901" s="308" t="s">
        <v>19788</v>
      </c>
      <c r="N4901" s="308"/>
      <c r="O4901" s="308"/>
      <c r="P4901" s="308" t="s">
        <v>19789</v>
      </c>
      <c r="Q4901" s="308" t="s">
        <v>38001</v>
      </c>
      <c r="R4901" s="308" t="s">
        <v>2743</v>
      </c>
      <c r="S4901" s="308" t="s">
        <v>81</v>
      </c>
      <c r="T4901" s="308" t="s">
        <v>34264</v>
      </c>
      <c r="U4901" s="308" t="s">
        <v>195</v>
      </c>
      <c r="V4901" s="312"/>
    </row>
    <row r="4902">
      <c r="A4902" s="308">
        <v>4901.0</v>
      </c>
      <c r="B4902" s="308"/>
      <c r="C4902" s="308" t="s">
        <v>19790</v>
      </c>
      <c r="D4902" s="308">
        <f>IFERROR(__xludf.DUMMYFUNCTION("SPLIT(C4902,""-"")"),4922.0)</f>
        <v>4922</v>
      </c>
      <c r="E4902" s="308" t="str">
        <f>IFERROR(__xludf.DUMMYFUNCTION("""COMPUTED_VALUE"""),"K")</f>
        <v>K</v>
      </c>
      <c r="F4902" s="309" t="s">
        <v>34</v>
      </c>
      <c r="G4902" s="308"/>
      <c r="H4902" s="308" t="s">
        <v>19791</v>
      </c>
      <c r="I4902" s="314">
        <v>42691.0</v>
      </c>
      <c r="J4902" s="319">
        <f>IFERROR(__xludf.DUMMYFUNCTION("SPLIT(I4902,""/"")"),17.0)</f>
        <v>17</v>
      </c>
      <c r="K4902" s="308">
        <f>IFERROR(__xludf.DUMMYFUNCTION("""COMPUTED_VALUE"""),11.0)</f>
        <v>11</v>
      </c>
      <c r="L4902" s="308">
        <f>IFERROR(__xludf.DUMMYFUNCTION("""COMPUTED_VALUE"""),2016.0)</f>
        <v>2016</v>
      </c>
      <c r="M4902" s="308" t="s">
        <v>19792</v>
      </c>
      <c r="N4902" s="308"/>
      <c r="O4902" s="308"/>
      <c r="P4902" s="308" t="s">
        <v>5679</v>
      </c>
      <c r="Q4902" s="308" t="s">
        <v>38001</v>
      </c>
      <c r="R4902" s="308" t="s">
        <v>2743</v>
      </c>
      <c r="S4902" s="315" t="s">
        <v>100</v>
      </c>
      <c r="T4902" s="311" t="s">
        <v>34208</v>
      </c>
      <c r="U4902" s="308" t="s">
        <v>125</v>
      </c>
      <c r="V4902" s="312"/>
    </row>
    <row r="4903">
      <c r="A4903" s="308">
        <v>4902.0</v>
      </c>
      <c r="B4903" s="308"/>
      <c r="C4903" s="308" t="s">
        <v>19793</v>
      </c>
      <c r="D4903" s="308">
        <f>IFERROR(__xludf.DUMMYFUNCTION("SPLIT(C4903,""-"")"),4923.0)</f>
        <v>4923</v>
      </c>
      <c r="E4903" s="308" t="str">
        <f>IFERROR(__xludf.DUMMYFUNCTION("""COMPUTED_VALUE"""),"K")</f>
        <v>K</v>
      </c>
      <c r="F4903" s="309" t="s">
        <v>34</v>
      </c>
      <c r="G4903" s="308"/>
      <c r="H4903" s="308" t="s">
        <v>19794</v>
      </c>
      <c r="I4903" s="314">
        <v>42691.0</v>
      </c>
      <c r="J4903" s="319">
        <f>IFERROR(__xludf.DUMMYFUNCTION("SPLIT(I4903,""/"")"),17.0)</f>
        <v>17</v>
      </c>
      <c r="K4903" s="308">
        <f>IFERROR(__xludf.DUMMYFUNCTION("""COMPUTED_VALUE"""),11.0)</f>
        <v>11</v>
      </c>
      <c r="L4903" s="308">
        <f>IFERROR(__xludf.DUMMYFUNCTION("""COMPUTED_VALUE"""),2016.0)</f>
        <v>2016</v>
      </c>
      <c r="M4903" s="308" t="s">
        <v>19792</v>
      </c>
      <c r="N4903" s="308"/>
      <c r="O4903" s="308"/>
      <c r="P4903" s="308" t="s">
        <v>38010</v>
      </c>
      <c r="Q4903" s="308" t="s">
        <v>38001</v>
      </c>
      <c r="R4903" s="308" t="s">
        <v>2743</v>
      </c>
      <c r="S4903" s="308" t="s">
        <v>81</v>
      </c>
      <c r="T4903" s="308" t="s">
        <v>75</v>
      </c>
      <c r="U4903" s="308" t="s">
        <v>125</v>
      </c>
      <c r="V4903" s="312"/>
    </row>
    <row r="4904">
      <c r="A4904" s="308">
        <v>4903.0</v>
      </c>
      <c r="B4904" s="308"/>
      <c r="C4904" s="308" t="s">
        <v>19796</v>
      </c>
      <c r="D4904" s="308">
        <f>IFERROR(__xludf.DUMMYFUNCTION("SPLIT(C4904,""-"")"),4924.0)</f>
        <v>4924</v>
      </c>
      <c r="E4904" s="308" t="str">
        <f>IFERROR(__xludf.DUMMYFUNCTION("""COMPUTED_VALUE"""),"I")</f>
        <v>I</v>
      </c>
      <c r="F4904" s="309" t="s">
        <v>31</v>
      </c>
      <c r="G4904" s="308"/>
      <c r="H4904" s="308" t="s">
        <v>19797</v>
      </c>
      <c r="I4904" s="314">
        <v>43090.0</v>
      </c>
      <c r="J4904" s="319">
        <f>IFERROR(__xludf.DUMMYFUNCTION("SPLIT(I4904,""/"")"),21.0)</f>
        <v>21</v>
      </c>
      <c r="K4904" s="308">
        <f>IFERROR(__xludf.DUMMYFUNCTION("""COMPUTED_VALUE"""),12.0)</f>
        <v>12</v>
      </c>
      <c r="L4904" s="308">
        <f>IFERROR(__xludf.DUMMYFUNCTION("""COMPUTED_VALUE"""),2017.0)</f>
        <v>2017</v>
      </c>
      <c r="M4904" s="308" t="s">
        <v>19798</v>
      </c>
      <c r="N4904" s="308"/>
      <c r="O4904" s="308"/>
      <c r="P4904" s="308" t="s">
        <v>38011</v>
      </c>
      <c r="Q4904" s="308" t="s">
        <v>38001</v>
      </c>
      <c r="R4904" s="308" t="s">
        <v>2743</v>
      </c>
      <c r="S4904" s="308" t="s">
        <v>81</v>
      </c>
      <c r="T4904" s="311" t="s">
        <v>51</v>
      </c>
      <c r="U4904" s="308" t="s">
        <v>31</v>
      </c>
      <c r="V4904" s="312"/>
    </row>
    <row r="4905">
      <c r="A4905" s="308">
        <v>4904.0</v>
      </c>
      <c r="B4905" s="308"/>
      <c r="C4905" s="308" t="s">
        <v>19800</v>
      </c>
      <c r="D4905" s="308">
        <f>IFERROR(__xludf.DUMMYFUNCTION("SPLIT(C4905,""-"")"),4925.0)</f>
        <v>4925</v>
      </c>
      <c r="E4905" s="308" t="str">
        <f>IFERROR(__xludf.DUMMYFUNCTION("""COMPUTED_VALUE"""),"K")</f>
        <v>K</v>
      </c>
      <c r="F4905" s="309" t="s">
        <v>34</v>
      </c>
      <c r="G4905" s="308"/>
      <c r="H4905" s="308" t="s">
        <v>19801</v>
      </c>
      <c r="I4905" s="314">
        <v>43018.0</v>
      </c>
      <c r="J4905" s="319" t="str">
        <f>IFERROR(__xludf.DUMMYFUNCTION("SPLIT(I4905,""/"")"),"#REF!")</f>
        <v>#REF!</v>
      </c>
      <c r="K4905" s="308"/>
      <c r="L4905" s="308">
        <v>2017.0</v>
      </c>
      <c r="M4905" s="308" t="s">
        <v>19802</v>
      </c>
      <c r="N4905" s="308"/>
      <c r="O4905" s="308"/>
      <c r="P4905" s="308" t="s">
        <v>38012</v>
      </c>
      <c r="Q4905" s="308" t="s">
        <v>38001</v>
      </c>
      <c r="R4905" s="308" t="s">
        <v>2743</v>
      </c>
      <c r="S4905" s="308" t="s">
        <v>81</v>
      </c>
      <c r="T4905" s="308" t="s">
        <v>75</v>
      </c>
      <c r="U4905" s="308" t="s">
        <v>125</v>
      </c>
      <c r="V4905" s="312"/>
    </row>
    <row r="4906">
      <c r="A4906" s="308">
        <v>4905.0</v>
      </c>
      <c r="B4906" s="308"/>
      <c r="C4906" s="308" t="s">
        <v>19804</v>
      </c>
      <c r="D4906" s="308">
        <f>IFERROR(__xludf.DUMMYFUNCTION("SPLIT(C4906,""-"")"),4926.0)</f>
        <v>4926</v>
      </c>
      <c r="E4906" s="308" t="str">
        <f>IFERROR(__xludf.DUMMYFUNCTION("""COMPUTED_VALUE"""),"S")</f>
        <v>S</v>
      </c>
      <c r="F4906" s="312" t="s">
        <v>39</v>
      </c>
      <c r="G4906" s="308"/>
      <c r="H4906" s="308" t="s">
        <v>19805</v>
      </c>
      <c r="I4906" s="314">
        <v>42656.0</v>
      </c>
      <c r="J4906" s="319">
        <f>IFERROR(__xludf.DUMMYFUNCTION("SPLIT(I4906,""/"")"),13.0)</f>
        <v>13</v>
      </c>
      <c r="K4906" s="308">
        <f>IFERROR(__xludf.DUMMYFUNCTION("""COMPUTED_VALUE"""),10.0)</f>
        <v>10</v>
      </c>
      <c r="L4906" s="308">
        <f>IFERROR(__xludf.DUMMYFUNCTION("""COMPUTED_VALUE"""),2016.0)</f>
        <v>2016</v>
      </c>
      <c r="M4906" s="308" t="s">
        <v>19806</v>
      </c>
      <c r="N4906" s="308"/>
      <c r="O4906" s="308"/>
      <c r="P4906" s="308" t="s">
        <v>19807</v>
      </c>
      <c r="Q4906" s="308" t="s">
        <v>38001</v>
      </c>
      <c r="R4906" s="308" t="s">
        <v>2743</v>
      </c>
      <c r="S4906" s="308" t="s">
        <v>81</v>
      </c>
      <c r="T4906" s="308" t="s">
        <v>75</v>
      </c>
      <c r="U4906" s="308" t="s">
        <v>166</v>
      </c>
      <c r="V4906" s="312"/>
    </row>
    <row r="4907">
      <c r="A4907" s="308">
        <v>4906.0</v>
      </c>
      <c r="B4907" s="308"/>
      <c r="C4907" s="308" t="s">
        <v>19808</v>
      </c>
      <c r="D4907" s="308">
        <f>IFERROR(__xludf.DUMMYFUNCTION("SPLIT(C4907,""-"")"),4927.0)</f>
        <v>4927</v>
      </c>
      <c r="E4907" s="308" t="str">
        <f>IFERROR(__xludf.DUMMYFUNCTION("""COMPUTED_VALUE"""),"F")</f>
        <v>F</v>
      </c>
      <c r="F4907" s="309" t="s">
        <v>34</v>
      </c>
      <c r="G4907" s="308"/>
      <c r="H4907" s="308" t="s">
        <v>19809</v>
      </c>
      <c r="I4907" s="316" t="s">
        <v>407</v>
      </c>
      <c r="J4907" s="319"/>
      <c r="K4907" s="308"/>
      <c r="L4907" s="311" t="s">
        <v>79</v>
      </c>
      <c r="M4907" s="308" t="s">
        <v>19810</v>
      </c>
      <c r="N4907" s="308"/>
      <c r="O4907" s="308"/>
      <c r="P4907" s="308" t="s">
        <v>38013</v>
      </c>
      <c r="Q4907" s="308" t="s">
        <v>38001</v>
      </c>
      <c r="R4907" s="308" t="s">
        <v>2743</v>
      </c>
      <c r="S4907" s="308" t="s">
        <v>81</v>
      </c>
      <c r="T4907" s="308" t="s">
        <v>34264</v>
      </c>
      <c r="U4907" s="308" t="s">
        <v>195</v>
      </c>
      <c r="V4907" s="312"/>
    </row>
    <row r="4908">
      <c r="A4908" s="308">
        <v>4907.0</v>
      </c>
      <c r="B4908" s="308"/>
      <c r="C4908" s="308" t="s">
        <v>19812</v>
      </c>
      <c r="D4908" s="308">
        <f>IFERROR(__xludf.DUMMYFUNCTION("SPLIT(C4908,""-"")"),4928.0)</f>
        <v>4928</v>
      </c>
      <c r="E4908" s="308" t="str">
        <f>IFERROR(__xludf.DUMMYFUNCTION("""COMPUTED_VALUE"""),"S")</f>
        <v>S</v>
      </c>
      <c r="F4908" s="312" t="s">
        <v>39</v>
      </c>
      <c r="G4908" s="308"/>
      <c r="H4908" s="308" t="s">
        <v>19813</v>
      </c>
      <c r="I4908" s="310">
        <v>43105.0</v>
      </c>
      <c r="J4908" s="319">
        <f>IFERROR(__xludf.DUMMYFUNCTION("SPLIT(I4908,""/"")"),5.0)</f>
        <v>5</v>
      </c>
      <c r="K4908" s="308">
        <f>IFERROR(__xludf.DUMMYFUNCTION("""COMPUTED_VALUE"""),1.0)</f>
        <v>1</v>
      </c>
      <c r="L4908" s="308">
        <f>IFERROR(__xludf.DUMMYFUNCTION("""COMPUTED_VALUE"""),2018.0)</f>
        <v>2018</v>
      </c>
      <c r="M4908" s="308" t="s">
        <v>19814</v>
      </c>
      <c r="N4908" s="308"/>
      <c r="O4908" s="308"/>
      <c r="P4908" s="308" t="s">
        <v>19815</v>
      </c>
      <c r="Q4908" s="308" t="s">
        <v>38001</v>
      </c>
      <c r="R4908" s="308" t="s">
        <v>2743</v>
      </c>
      <c r="S4908" s="308" t="s">
        <v>81</v>
      </c>
      <c r="T4908" s="308" t="s">
        <v>75</v>
      </c>
      <c r="U4908" s="308" t="s">
        <v>166</v>
      </c>
      <c r="V4908" s="312"/>
    </row>
    <row r="4909">
      <c r="A4909" s="308">
        <v>4908.0</v>
      </c>
      <c r="B4909" s="308"/>
      <c r="C4909" s="308" t="s">
        <v>19816</v>
      </c>
      <c r="D4909" s="308">
        <f>IFERROR(__xludf.DUMMYFUNCTION("SPLIT(C4909,""-"")"),4929.0)</f>
        <v>4929</v>
      </c>
      <c r="E4909" s="308" t="str">
        <f>IFERROR(__xludf.DUMMYFUNCTION("""COMPUTED_VALUE"""),"F")</f>
        <v>F</v>
      </c>
      <c r="F4909" s="309" t="s">
        <v>34</v>
      </c>
      <c r="G4909" s="308"/>
      <c r="H4909" s="308" t="s">
        <v>19817</v>
      </c>
      <c r="I4909" s="310">
        <v>42917.0</v>
      </c>
      <c r="J4909" s="319" t="str">
        <f>IFERROR(__xludf.DUMMYFUNCTION("SPLIT(I4909,""/"")"),"#REF!")</f>
        <v>#REF!</v>
      </c>
      <c r="K4909" s="308"/>
      <c r="L4909" s="308">
        <v>2017.0</v>
      </c>
      <c r="M4909" s="308" t="s">
        <v>19818</v>
      </c>
      <c r="N4909" s="308"/>
      <c r="O4909" s="308"/>
      <c r="P4909" s="308" t="s">
        <v>19819</v>
      </c>
      <c r="Q4909" s="308" t="s">
        <v>38001</v>
      </c>
      <c r="R4909" s="308" t="s">
        <v>2743</v>
      </c>
      <c r="S4909" s="308" t="s">
        <v>81</v>
      </c>
      <c r="T4909" s="308" t="s">
        <v>34264</v>
      </c>
      <c r="U4909" s="308" t="s">
        <v>195</v>
      </c>
      <c r="V4909" s="308" t="s">
        <v>19820</v>
      </c>
    </row>
    <row r="4910">
      <c r="A4910" s="308">
        <v>4909.0</v>
      </c>
      <c r="B4910" s="308"/>
      <c r="C4910" s="308" t="s">
        <v>19821</v>
      </c>
      <c r="D4910" s="308">
        <f>IFERROR(__xludf.DUMMYFUNCTION("SPLIT(C4910,""-"")"),4930.0)</f>
        <v>4930</v>
      </c>
      <c r="E4910" s="308" t="str">
        <f>IFERROR(__xludf.DUMMYFUNCTION("""COMPUTED_VALUE"""),"S")</f>
        <v>S</v>
      </c>
      <c r="F4910" s="312" t="s">
        <v>39</v>
      </c>
      <c r="G4910" s="308"/>
      <c r="H4910" s="308" t="s">
        <v>19822</v>
      </c>
      <c r="I4910" s="310">
        <v>43167.0</v>
      </c>
      <c r="J4910" s="319">
        <f>IFERROR(__xludf.DUMMYFUNCTION("SPLIT(I4910,""/"")"),8.0)</f>
        <v>8</v>
      </c>
      <c r="K4910" s="308">
        <f>IFERROR(__xludf.DUMMYFUNCTION("""COMPUTED_VALUE"""),3.0)</f>
        <v>3</v>
      </c>
      <c r="L4910" s="308">
        <f>IFERROR(__xludf.DUMMYFUNCTION("""COMPUTED_VALUE"""),2018.0)</f>
        <v>2018</v>
      </c>
      <c r="M4910" s="308" t="s">
        <v>19823</v>
      </c>
      <c r="N4910" s="308"/>
      <c r="O4910" s="308"/>
      <c r="P4910" s="308" t="s">
        <v>38014</v>
      </c>
      <c r="Q4910" s="308" t="s">
        <v>38015</v>
      </c>
      <c r="R4910" s="308" t="s">
        <v>19825</v>
      </c>
      <c r="S4910" s="308" t="s">
        <v>81</v>
      </c>
      <c r="T4910" s="311" t="s">
        <v>91</v>
      </c>
      <c r="U4910" s="308" t="s">
        <v>166</v>
      </c>
      <c r="V4910" s="308" t="s">
        <v>19826</v>
      </c>
    </row>
    <row r="4911">
      <c r="A4911" s="308">
        <v>4910.0</v>
      </c>
      <c r="B4911" s="308"/>
      <c r="C4911" s="308" t="s">
        <v>19827</v>
      </c>
      <c r="D4911" s="308">
        <f>IFERROR(__xludf.DUMMYFUNCTION("SPLIT(C4911,""-"")"),4931.0)</f>
        <v>4931</v>
      </c>
      <c r="E4911" s="308" t="str">
        <f>IFERROR(__xludf.DUMMYFUNCTION("""COMPUTED_VALUE"""),"S")</f>
        <v>S</v>
      </c>
      <c r="F4911" s="312" t="s">
        <v>39</v>
      </c>
      <c r="G4911" s="308"/>
      <c r="H4911" s="308" t="s">
        <v>38016</v>
      </c>
      <c r="I4911" s="310">
        <v>42789.0</v>
      </c>
      <c r="J4911" s="319">
        <f>IFERROR(__xludf.DUMMYFUNCTION("SPLIT(I4911,""/"")"),23.0)</f>
        <v>23</v>
      </c>
      <c r="K4911" s="308">
        <f>IFERROR(__xludf.DUMMYFUNCTION("""COMPUTED_VALUE"""),2.0)</f>
        <v>2</v>
      </c>
      <c r="L4911" s="308">
        <f>IFERROR(__xludf.DUMMYFUNCTION("""COMPUTED_VALUE"""),2017.0)</f>
        <v>2017</v>
      </c>
      <c r="M4911" s="308" t="s">
        <v>19829</v>
      </c>
      <c r="N4911" s="308"/>
      <c r="O4911" s="308"/>
      <c r="P4911" s="308" t="s">
        <v>19830</v>
      </c>
      <c r="Q4911" s="308" t="s">
        <v>38015</v>
      </c>
      <c r="R4911" s="308" t="s">
        <v>19825</v>
      </c>
      <c r="S4911" s="308" t="s">
        <v>81</v>
      </c>
      <c r="T4911" s="311" t="s">
        <v>73</v>
      </c>
      <c r="U4911" s="308" t="s">
        <v>166</v>
      </c>
      <c r="V4911" s="308"/>
    </row>
    <row r="4912">
      <c r="A4912" s="308">
        <v>4911.0</v>
      </c>
      <c r="B4912" s="308"/>
      <c r="C4912" s="308" t="s">
        <v>19831</v>
      </c>
      <c r="D4912" s="308">
        <f>IFERROR(__xludf.DUMMYFUNCTION("SPLIT(C4912,""-"")"),4932.0)</f>
        <v>4932</v>
      </c>
      <c r="E4912" s="308" t="str">
        <f>IFERROR(__xludf.DUMMYFUNCTION("""COMPUTED_VALUE"""),"S")</f>
        <v>S</v>
      </c>
      <c r="F4912" s="312" t="s">
        <v>39</v>
      </c>
      <c r="G4912" s="308"/>
      <c r="H4912" s="308" t="s">
        <v>19832</v>
      </c>
      <c r="I4912" s="310">
        <v>42789.0</v>
      </c>
      <c r="J4912" s="319">
        <f>IFERROR(__xludf.DUMMYFUNCTION("SPLIT(I4912,""/"")"),23.0)</f>
        <v>23</v>
      </c>
      <c r="K4912" s="308">
        <f>IFERROR(__xludf.DUMMYFUNCTION("""COMPUTED_VALUE"""),2.0)</f>
        <v>2</v>
      </c>
      <c r="L4912" s="308">
        <f>IFERROR(__xludf.DUMMYFUNCTION("""COMPUTED_VALUE"""),2017.0)</f>
        <v>2017</v>
      </c>
      <c r="M4912" s="308" t="s">
        <v>19829</v>
      </c>
      <c r="N4912" s="308"/>
      <c r="O4912" s="308"/>
      <c r="P4912" s="308" t="s">
        <v>19833</v>
      </c>
      <c r="Q4912" s="308" t="s">
        <v>38015</v>
      </c>
      <c r="R4912" s="308" t="s">
        <v>19825</v>
      </c>
      <c r="S4912" s="308" t="s">
        <v>81</v>
      </c>
      <c r="T4912" s="311" t="s">
        <v>73</v>
      </c>
      <c r="U4912" s="308" t="s">
        <v>166</v>
      </c>
      <c r="V4912" s="308"/>
    </row>
    <row r="4913">
      <c r="A4913" s="308">
        <v>4912.0</v>
      </c>
      <c r="B4913" s="308"/>
      <c r="C4913" s="308" t="s">
        <v>19834</v>
      </c>
      <c r="D4913" s="308">
        <f>IFERROR(__xludf.DUMMYFUNCTION("SPLIT(C4913,""-"")"),4933.0)</f>
        <v>4933</v>
      </c>
      <c r="E4913" s="308" t="str">
        <f>IFERROR(__xludf.DUMMYFUNCTION("""COMPUTED_VALUE"""),"S")</f>
        <v>S</v>
      </c>
      <c r="F4913" s="312" t="s">
        <v>39</v>
      </c>
      <c r="G4913" s="308"/>
      <c r="H4913" s="308" t="s">
        <v>19835</v>
      </c>
      <c r="I4913" s="310">
        <v>42789.0</v>
      </c>
      <c r="J4913" s="319">
        <f>IFERROR(__xludf.DUMMYFUNCTION("SPLIT(I4913,""/"")"),23.0)</f>
        <v>23</v>
      </c>
      <c r="K4913" s="308">
        <f>IFERROR(__xludf.DUMMYFUNCTION("""COMPUTED_VALUE"""),2.0)</f>
        <v>2</v>
      </c>
      <c r="L4913" s="308">
        <f>IFERROR(__xludf.DUMMYFUNCTION("""COMPUTED_VALUE"""),2017.0)</f>
        <v>2017</v>
      </c>
      <c r="M4913" s="308" t="s">
        <v>19829</v>
      </c>
      <c r="N4913" s="308"/>
      <c r="O4913" s="308"/>
      <c r="P4913" s="308"/>
      <c r="Q4913" s="308" t="s">
        <v>38015</v>
      </c>
      <c r="R4913" s="308" t="s">
        <v>19825</v>
      </c>
      <c r="S4913" s="308" t="s">
        <v>79</v>
      </c>
      <c r="T4913" s="308" t="s">
        <v>79</v>
      </c>
      <c r="U4913" s="308" t="s">
        <v>166</v>
      </c>
      <c r="V4913" s="308"/>
    </row>
    <row r="4914">
      <c r="A4914" s="308">
        <v>4913.0</v>
      </c>
      <c r="B4914" s="308"/>
      <c r="C4914" s="308" t="s">
        <v>19836</v>
      </c>
      <c r="D4914" s="308">
        <f>IFERROR(__xludf.DUMMYFUNCTION("SPLIT(C4914,""-"")"),4934.0)</f>
        <v>4934</v>
      </c>
      <c r="E4914" s="308" t="str">
        <f>IFERROR(__xludf.DUMMYFUNCTION("""COMPUTED_VALUE"""),"S")</f>
        <v>S</v>
      </c>
      <c r="F4914" s="312" t="s">
        <v>39</v>
      </c>
      <c r="G4914" s="308"/>
      <c r="H4914" s="308" t="s">
        <v>38017</v>
      </c>
      <c r="I4914" s="310">
        <v>42789.0</v>
      </c>
      <c r="J4914" s="319">
        <f>IFERROR(__xludf.DUMMYFUNCTION("SPLIT(I4914,""/"")"),23.0)</f>
        <v>23</v>
      </c>
      <c r="K4914" s="308">
        <f>IFERROR(__xludf.DUMMYFUNCTION("""COMPUTED_VALUE"""),2.0)</f>
        <v>2</v>
      </c>
      <c r="L4914" s="308">
        <f>IFERROR(__xludf.DUMMYFUNCTION("""COMPUTED_VALUE"""),2017.0)</f>
        <v>2017</v>
      </c>
      <c r="M4914" s="308" t="s">
        <v>19829</v>
      </c>
      <c r="N4914" s="308"/>
      <c r="O4914" s="308"/>
      <c r="P4914" s="308" t="s">
        <v>38018</v>
      </c>
      <c r="Q4914" s="308" t="s">
        <v>38015</v>
      </c>
      <c r="R4914" s="308" t="s">
        <v>19825</v>
      </c>
      <c r="S4914" s="308" t="s">
        <v>81</v>
      </c>
      <c r="T4914" s="308" t="s">
        <v>73</v>
      </c>
      <c r="U4914" s="308" t="s">
        <v>166</v>
      </c>
      <c r="V4914" s="308"/>
    </row>
    <row r="4915">
      <c r="A4915" s="308">
        <v>4914.0</v>
      </c>
      <c r="B4915" s="308"/>
      <c r="C4915" s="308" t="s">
        <v>19838</v>
      </c>
      <c r="D4915" s="308">
        <f>IFERROR(__xludf.DUMMYFUNCTION("SPLIT(C4915,""-"")"),4935.0)</f>
        <v>4935</v>
      </c>
      <c r="E4915" s="308" t="str">
        <f>IFERROR(__xludf.DUMMYFUNCTION("""COMPUTED_VALUE"""),"S")</f>
        <v>S</v>
      </c>
      <c r="F4915" s="312" t="s">
        <v>39</v>
      </c>
      <c r="G4915" s="308"/>
      <c r="H4915" s="308" t="s">
        <v>19839</v>
      </c>
      <c r="I4915" s="310">
        <v>42789.0</v>
      </c>
      <c r="J4915" s="319">
        <f>IFERROR(__xludf.DUMMYFUNCTION("SPLIT(I4915,""/"")"),23.0)</f>
        <v>23</v>
      </c>
      <c r="K4915" s="308">
        <f>IFERROR(__xludf.DUMMYFUNCTION("""COMPUTED_VALUE"""),2.0)</f>
        <v>2</v>
      </c>
      <c r="L4915" s="308">
        <f>IFERROR(__xludf.DUMMYFUNCTION("""COMPUTED_VALUE"""),2017.0)</f>
        <v>2017</v>
      </c>
      <c r="M4915" s="308" t="s">
        <v>19829</v>
      </c>
      <c r="N4915" s="308"/>
      <c r="O4915" s="308"/>
      <c r="P4915" s="308" t="s">
        <v>5653</v>
      </c>
      <c r="Q4915" s="308" t="s">
        <v>38015</v>
      </c>
      <c r="R4915" s="308" t="s">
        <v>19840</v>
      </c>
      <c r="S4915" s="315" t="s">
        <v>100</v>
      </c>
      <c r="T4915" s="311" t="s">
        <v>34208</v>
      </c>
      <c r="U4915" s="308" t="s">
        <v>166</v>
      </c>
      <c r="V4915" s="308"/>
    </row>
    <row r="4916">
      <c r="A4916" s="308">
        <v>4915.0</v>
      </c>
      <c r="B4916" s="308"/>
      <c r="C4916" s="308" t="s">
        <v>19841</v>
      </c>
      <c r="D4916" s="308">
        <f>IFERROR(__xludf.DUMMYFUNCTION("SPLIT(C4916,""-"")"),4936.0)</f>
        <v>4936</v>
      </c>
      <c r="E4916" s="308" t="str">
        <f>IFERROR(__xludf.DUMMYFUNCTION("""COMPUTED_VALUE"""),"S")</f>
        <v>S</v>
      </c>
      <c r="F4916" s="312" t="s">
        <v>39</v>
      </c>
      <c r="G4916" s="308"/>
      <c r="H4916" s="308" t="s">
        <v>38019</v>
      </c>
      <c r="I4916" s="310">
        <v>42825.0</v>
      </c>
      <c r="J4916" s="319">
        <f>IFERROR(__xludf.DUMMYFUNCTION("SPLIT(I4916,""/"")"),31.0)</f>
        <v>31</v>
      </c>
      <c r="K4916" s="308">
        <f>IFERROR(__xludf.DUMMYFUNCTION("""COMPUTED_VALUE"""),3.0)</f>
        <v>3</v>
      </c>
      <c r="L4916" s="308">
        <f>IFERROR(__xludf.DUMMYFUNCTION("""COMPUTED_VALUE"""),2017.0)</f>
        <v>2017</v>
      </c>
      <c r="M4916" s="308" t="s">
        <v>19843</v>
      </c>
      <c r="N4916" s="308"/>
      <c r="O4916" s="308"/>
      <c r="P4916" s="308" t="s">
        <v>19844</v>
      </c>
      <c r="Q4916" s="308" t="s">
        <v>38015</v>
      </c>
      <c r="R4916" s="308" t="s">
        <v>19825</v>
      </c>
      <c r="S4916" s="308" t="s">
        <v>81</v>
      </c>
      <c r="T4916" s="308" t="s">
        <v>75</v>
      </c>
      <c r="U4916" s="308" t="s">
        <v>166</v>
      </c>
      <c r="V4916" s="308"/>
    </row>
    <row r="4917">
      <c r="A4917" s="308">
        <v>4916.0</v>
      </c>
      <c r="B4917" s="308"/>
      <c r="C4917" s="308" t="s">
        <v>19845</v>
      </c>
      <c r="D4917" s="308">
        <f>IFERROR(__xludf.DUMMYFUNCTION("SPLIT(C4917,""-"")"),4937.0)</f>
        <v>4937</v>
      </c>
      <c r="E4917" s="308" t="str">
        <f>IFERROR(__xludf.DUMMYFUNCTION("""COMPUTED_VALUE"""),"K")</f>
        <v>K</v>
      </c>
      <c r="F4917" s="309" t="s">
        <v>34</v>
      </c>
      <c r="G4917" s="308"/>
      <c r="H4917" s="308" t="s">
        <v>19846</v>
      </c>
      <c r="I4917" s="310">
        <v>43109.0</v>
      </c>
      <c r="J4917" s="319">
        <f>IFERROR(__xludf.DUMMYFUNCTION("SPLIT(I4917,""/"")"),9.0)</f>
        <v>9</v>
      </c>
      <c r="K4917" s="308">
        <f>IFERROR(__xludf.DUMMYFUNCTION("""COMPUTED_VALUE"""),1.0)</f>
        <v>1</v>
      </c>
      <c r="L4917" s="308">
        <f>IFERROR(__xludf.DUMMYFUNCTION("""COMPUTED_VALUE"""),2018.0)</f>
        <v>2018</v>
      </c>
      <c r="M4917" s="308" t="s">
        <v>19847</v>
      </c>
      <c r="N4917" s="308"/>
      <c r="O4917" s="308"/>
      <c r="P4917" s="308" t="s">
        <v>38020</v>
      </c>
      <c r="Q4917" s="308" t="s">
        <v>38021</v>
      </c>
      <c r="R4917" s="308" t="s">
        <v>2743</v>
      </c>
      <c r="S4917" s="308" t="s">
        <v>81</v>
      </c>
      <c r="T4917" s="311" t="s">
        <v>90</v>
      </c>
      <c r="U4917" s="308" t="s">
        <v>542</v>
      </c>
      <c r="V4917" s="308"/>
    </row>
    <row r="4918">
      <c r="A4918" s="308">
        <v>4917.0</v>
      </c>
      <c r="B4918" s="308"/>
      <c r="C4918" s="308" t="s">
        <v>19849</v>
      </c>
      <c r="D4918" s="308">
        <f>IFERROR(__xludf.DUMMYFUNCTION("SPLIT(C4918,""-"")"),4938.0)</f>
        <v>4938</v>
      </c>
      <c r="E4918" s="308" t="str">
        <f>IFERROR(__xludf.DUMMYFUNCTION("""COMPUTED_VALUE"""),"K")</f>
        <v>K</v>
      </c>
      <c r="F4918" s="309" t="s">
        <v>34</v>
      </c>
      <c r="G4918" s="308"/>
      <c r="H4918" s="308" t="s">
        <v>19850</v>
      </c>
      <c r="I4918" s="310">
        <v>43118.0</v>
      </c>
      <c r="J4918" s="319">
        <f>IFERROR(__xludf.DUMMYFUNCTION("SPLIT(I4918,""/"")"),18.0)</f>
        <v>18</v>
      </c>
      <c r="K4918" s="308">
        <f>IFERROR(__xludf.DUMMYFUNCTION("""COMPUTED_VALUE"""),1.0)</f>
        <v>1</v>
      </c>
      <c r="L4918" s="308">
        <f>IFERROR(__xludf.DUMMYFUNCTION("""COMPUTED_VALUE"""),2018.0)</f>
        <v>2018</v>
      </c>
      <c r="M4918" s="308" t="s">
        <v>38022</v>
      </c>
      <c r="N4918" s="308"/>
      <c r="O4918" s="308" t="s">
        <v>38023</v>
      </c>
      <c r="P4918" s="308" t="s">
        <v>19853</v>
      </c>
      <c r="Q4918" s="308" t="s">
        <v>38021</v>
      </c>
      <c r="R4918" s="308" t="s">
        <v>2743</v>
      </c>
      <c r="S4918" s="308" t="s">
        <v>81</v>
      </c>
      <c r="T4918" s="311" t="s">
        <v>75</v>
      </c>
      <c r="U4918" s="308" t="s">
        <v>3714</v>
      </c>
      <c r="V4918" s="308"/>
    </row>
    <row r="4919">
      <c r="A4919" s="308">
        <v>4918.0</v>
      </c>
      <c r="B4919" s="308"/>
      <c r="C4919" s="308" t="s">
        <v>19854</v>
      </c>
      <c r="D4919" s="308">
        <f>IFERROR(__xludf.DUMMYFUNCTION("SPLIT(C4919,""-"")"),4939.0)</f>
        <v>4939</v>
      </c>
      <c r="E4919" s="308" t="str">
        <f>IFERROR(__xludf.DUMMYFUNCTION("""COMPUTED_VALUE"""),"K")</f>
        <v>K</v>
      </c>
      <c r="F4919" s="309" t="s">
        <v>34</v>
      </c>
      <c r="G4919" s="308"/>
      <c r="H4919" s="308" t="s">
        <v>19855</v>
      </c>
      <c r="I4919" s="310">
        <v>42110.0</v>
      </c>
      <c r="J4919" s="319">
        <f>IFERROR(__xludf.DUMMYFUNCTION("SPLIT(I4919,""/"")"),16.0)</f>
        <v>16</v>
      </c>
      <c r="K4919" s="308">
        <f>IFERROR(__xludf.DUMMYFUNCTION("""COMPUTED_VALUE"""),4.0)</f>
        <v>4</v>
      </c>
      <c r="L4919" s="308">
        <f>IFERROR(__xludf.DUMMYFUNCTION("""COMPUTED_VALUE"""),2015.0)</f>
        <v>2015</v>
      </c>
      <c r="M4919" s="308" t="s">
        <v>19856</v>
      </c>
      <c r="N4919" s="308" t="s">
        <v>19857</v>
      </c>
      <c r="O4919" s="308" t="s">
        <v>38024</v>
      </c>
      <c r="P4919" s="308" t="s">
        <v>5679</v>
      </c>
      <c r="Q4919" s="308" t="s">
        <v>38025</v>
      </c>
      <c r="R4919" s="308" t="s">
        <v>2743</v>
      </c>
      <c r="S4919" s="315" t="s">
        <v>100</v>
      </c>
      <c r="T4919" s="311" t="s">
        <v>34208</v>
      </c>
      <c r="U4919" s="308" t="s">
        <v>368</v>
      </c>
      <c r="V4919" s="308"/>
    </row>
    <row r="4920">
      <c r="A4920" s="308">
        <v>4919.0</v>
      </c>
      <c r="B4920" s="308"/>
      <c r="C4920" s="308" t="s">
        <v>19859</v>
      </c>
      <c r="D4920" s="308">
        <f>IFERROR(__xludf.DUMMYFUNCTION("SPLIT(C4920,""-"")"),4940.0)</f>
        <v>4940</v>
      </c>
      <c r="E4920" s="308" t="str">
        <f>IFERROR(__xludf.DUMMYFUNCTION("""COMPUTED_VALUE"""),"P")</f>
        <v>P</v>
      </c>
      <c r="F4920" s="312" t="s">
        <v>37</v>
      </c>
      <c r="G4920" s="308"/>
      <c r="H4920" s="308" t="s">
        <v>19860</v>
      </c>
      <c r="I4920" s="310">
        <v>42777.0</v>
      </c>
      <c r="J4920" s="319">
        <f>IFERROR(__xludf.DUMMYFUNCTION("SPLIT(I4920,""/"")"),11.0)</f>
        <v>11</v>
      </c>
      <c r="K4920" s="308">
        <f>IFERROR(__xludf.DUMMYFUNCTION("""COMPUTED_VALUE"""),2.0)</f>
        <v>2</v>
      </c>
      <c r="L4920" s="308">
        <f>IFERROR(__xludf.DUMMYFUNCTION("""COMPUTED_VALUE"""),2017.0)</f>
        <v>2017</v>
      </c>
      <c r="M4920" s="308" t="s">
        <v>19861</v>
      </c>
      <c r="N4920" s="308"/>
      <c r="O4920" s="308"/>
      <c r="P4920" s="308" t="s">
        <v>38026</v>
      </c>
      <c r="Q4920" s="308" t="s">
        <v>38025</v>
      </c>
      <c r="R4920" s="308" t="s">
        <v>2743</v>
      </c>
      <c r="S4920" s="308" t="s">
        <v>49</v>
      </c>
      <c r="T4920" s="308" t="s">
        <v>51</v>
      </c>
      <c r="U4920" s="308" t="s">
        <v>143</v>
      </c>
      <c r="V4920" s="308"/>
    </row>
    <row r="4921">
      <c r="A4921" s="308">
        <v>4920.0</v>
      </c>
      <c r="B4921" s="308"/>
      <c r="C4921" s="308" t="s">
        <v>19863</v>
      </c>
      <c r="D4921" s="308">
        <f>IFERROR(__xludf.DUMMYFUNCTION("SPLIT(C4921,""-"")"),4941.0)</f>
        <v>4941</v>
      </c>
      <c r="E4921" s="308" t="str">
        <f>IFERROR(__xludf.DUMMYFUNCTION("""COMPUTED_VALUE"""),"K")</f>
        <v>K</v>
      </c>
      <c r="F4921" s="309" t="s">
        <v>34</v>
      </c>
      <c r="G4921" s="308"/>
      <c r="H4921" s="308" t="s">
        <v>19864</v>
      </c>
      <c r="I4921" s="310">
        <v>41978.0</v>
      </c>
      <c r="J4921" s="319">
        <f>IFERROR(__xludf.DUMMYFUNCTION("SPLIT(I4921,""/"")"),5.0)</f>
        <v>5</v>
      </c>
      <c r="K4921" s="308">
        <f>IFERROR(__xludf.DUMMYFUNCTION("""COMPUTED_VALUE"""),12.0)</f>
        <v>12</v>
      </c>
      <c r="L4921" s="308">
        <f>IFERROR(__xludf.DUMMYFUNCTION("""COMPUTED_VALUE"""),2014.0)</f>
        <v>2014</v>
      </c>
      <c r="M4921" s="308" t="s">
        <v>19865</v>
      </c>
      <c r="N4921" s="308"/>
      <c r="O4921" s="308"/>
      <c r="P4921" s="308" t="s">
        <v>5679</v>
      </c>
      <c r="Q4921" s="308" t="s">
        <v>38025</v>
      </c>
      <c r="R4921" s="308" t="s">
        <v>2743</v>
      </c>
      <c r="S4921" s="315" t="s">
        <v>100</v>
      </c>
      <c r="T4921" s="311" t="s">
        <v>34208</v>
      </c>
      <c r="U4921" s="308" t="s">
        <v>125</v>
      </c>
      <c r="V4921" s="308"/>
    </row>
    <row r="4922">
      <c r="A4922" s="308">
        <v>4921.0</v>
      </c>
      <c r="B4922" s="308"/>
      <c r="C4922" s="308" t="s">
        <v>19866</v>
      </c>
      <c r="D4922" s="308">
        <f>IFERROR(__xludf.DUMMYFUNCTION("SPLIT(C4922,""-"")"),4942.0)</f>
        <v>4942</v>
      </c>
      <c r="E4922" s="308" t="str">
        <f>IFERROR(__xludf.DUMMYFUNCTION("""COMPUTED_VALUE"""),"F")</f>
        <v>F</v>
      </c>
      <c r="F4922" s="309" t="s">
        <v>34</v>
      </c>
      <c r="G4922" s="308"/>
      <c r="H4922" s="308" t="s">
        <v>19867</v>
      </c>
      <c r="I4922" s="310">
        <v>43006.0</v>
      </c>
      <c r="J4922" s="319" t="str">
        <f>IFERROR(__xludf.DUMMYFUNCTION("SPLIT(I4922,""/"")"),"#REF!")</f>
        <v>#REF!</v>
      </c>
      <c r="K4922" s="308"/>
      <c r="L4922" s="308">
        <v>2017.0</v>
      </c>
      <c r="M4922" s="308" t="s">
        <v>38027</v>
      </c>
      <c r="N4922" s="308"/>
      <c r="O4922" s="308"/>
      <c r="P4922" s="308" t="s">
        <v>38028</v>
      </c>
      <c r="Q4922" s="308" t="s">
        <v>38025</v>
      </c>
      <c r="R4922" s="308" t="s">
        <v>2743</v>
      </c>
      <c r="S4922" s="308" t="s">
        <v>81</v>
      </c>
      <c r="T4922" s="308" t="s">
        <v>34264</v>
      </c>
      <c r="U4922" s="308" t="s">
        <v>195</v>
      </c>
      <c r="V4922" s="308"/>
    </row>
    <row r="4923">
      <c r="A4923" s="308">
        <v>4922.0</v>
      </c>
      <c r="B4923" s="308"/>
      <c r="C4923" s="308" t="s">
        <v>19870</v>
      </c>
      <c r="D4923" s="308">
        <f>IFERROR(__xludf.DUMMYFUNCTION("SPLIT(C4923,""-"")"),4943.0)</f>
        <v>4943</v>
      </c>
      <c r="E4923" s="308" t="str">
        <f>IFERROR(__xludf.DUMMYFUNCTION("""COMPUTED_VALUE"""),"I")</f>
        <v>I</v>
      </c>
      <c r="F4923" s="309" t="s">
        <v>31</v>
      </c>
      <c r="G4923" s="308"/>
      <c r="H4923" s="308" t="s">
        <v>19871</v>
      </c>
      <c r="I4923" s="310">
        <v>43181.0</v>
      </c>
      <c r="J4923" s="319">
        <f>IFERROR(__xludf.DUMMYFUNCTION("SPLIT(I4923,""/"")"),22.0)</f>
        <v>22</v>
      </c>
      <c r="K4923" s="308">
        <f>IFERROR(__xludf.DUMMYFUNCTION("""COMPUTED_VALUE"""),3.0)</f>
        <v>3</v>
      </c>
      <c r="L4923" s="308">
        <f>IFERROR(__xludf.DUMMYFUNCTION("""COMPUTED_VALUE"""),2018.0)</f>
        <v>2018</v>
      </c>
      <c r="M4923" s="308" t="s">
        <v>19872</v>
      </c>
      <c r="N4923" s="308"/>
      <c r="O4923" s="308"/>
      <c r="P4923" s="308" t="s">
        <v>38029</v>
      </c>
      <c r="Q4923" s="308" t="s">
        <v>38025</v>
      </c>
      <c r="R4923" s="308" t="s">
        <v>2743</v>
      </c>
      <c r="S4923" s="308" t="s">
        <v>81</v>
      </c>
      <c r="T4923" s="311" t="s">
        <v>75</v>
      </c>
      <c r="U4923" s="308" t="s">
        <v>31</v>
      </c>
      <c r="V4923" s="308"/>
    </row>
    <row r="4924">
      <c r="A4924" s="308">
        <v>4923.0</v>
      </c>
      <c r="B4924" s="308"/>
      <c r="C4924" s="308" t="s">
        <v>19874</v>
      </c>
      <c r="D4924" s="308">
        <f>IFERROR(__xludf.DUMMYFUNCTION("SPLIT(C4924,""-"")"),4944.0)</f>
        <v>4944</v>
      </c>
      <c r="E4924" s="308" t="str">
        <f>IFERROR(__xludf.DUMMYFUNCTION("""COMPUTED_VALUE"""),"K")</f>
        <v>K</v>
      </c>
      <c r="F4924" s="309" t="s">
        <v>34</v>
      </c>
      <c r="G4924" s="308"/>
      <c r="H4924" s="308" t="s">
        <v>19875</v>
      </c>
      <c r="I4924" s="310">
        <v>42260.0</v>
      </c>
      <c r="J4924" s="319">
        <f>IFERROR(__xludf.DUMMYFUNCTION("SPLIT(I4924,""/"")"),13.0)</f>
        <v>13</v>
      </c>
      <c r="K4924" s="308">
        <f>IFERROR(__xludf.DUMMYFUNCTION("""COMPUTED_VALUE"""),9.0)</f>
        <v>9</v>
      </c>
      <c r="L4924" s="308">
        <f>IFERROR(__xludf.DUMMYFUNCTION("""COMPUTED_VALUE"""),2015.0)</f>
        <v>2015</v>
      </c>
      <c r="M4924" s="308" t="s">
        <v>19876</v>
      </c>
      <c r="N4924" s="308"/>
      <c r="O4924" s="308" t="s">
        <v>38030</v>
      </c>
      <c r="P4924" s="308" t="s">
        <v>6393</v>
      </c>
      <c r="Q4924" s="308" t="s">
        <v>38025</v>
      </c>
      <c r="R4924" s="308" t="s">
        <v>2743</v>
      </c>
      <c r="S4924" s="315" t="s">
        <v>100</v>
      </c>
      <c r="T4924" s="311" t="s">
        <v>34208</v>
      </c>
      <c r="U4924" s="308" t="s">
        <v>125</v>
      </c>
      <c r="V4924" s="308"/>
    </row>
    <row r="4925">
      <c r="A4925" s="308">
        <v>4924.0</v>
      </c>
      <c r="B4925" s="308"/>
      <c r="C4925" s="308" t="s">
        <v>19878</v>
      </c>
      <c r="D4925" s="308">
        <f>IFERROR(__xludf.DUMMYFUNCTION("SPLIT(C4925,""-"")"),4945.0)</f>
        <v>4945</v>
      </c>
      <c r="E4925" s="308" t="str">
        <f>IFERROR(__xludf.DUMMYFUNCTION("""COMPUTED_VALUE"""),"K")</f>
        <v>K</v>
      </c>
      <c r="F4925" s="309" t="s">
        <v>34</v>
      </c>
      <c r="G4925" s="308"/>
      <c r="H4925" s="308" t="s">
        <v>19879</v>
      </c>
      <c r="I4925" s="310">
        <v>42552.0</v>
      </c>
      <c r="J4925" s="319">
        <f>IFERROR(__xludf.DUMMYFUNCTION("SPLIT(I4925,""/"")"),1.0)</f>
        <v>1</v>
      </c>
      <c r="K4925" s="308">
        <f>IFERROR(__xludf.DUMMYFUNCTION("""COMPUTED_VALUE"""),7.0)</f>
        <v>7</v>
      </c>
      <c r="L4925" s="308">
        <f>IFERROR(__xludf.DUMMYFUNCTION("""COMPUTED_VALUE"""),2016.0)</f>
        <v>2016</v>
      </c>
      <c r="M4925" s="308" t="s">
        <v>19880</v>
      </c>
      <c r="N4925" s="308"/>
      <c r="O4925" s="308"/>
      <c r="P4925" s="308" t="s">
        <v>5679</v>
      </c>
      <c r="Q4925" s="308" t="s">
        <v>38025</v>
      </c>
      <c r="R4925" s="308" t="s">
        <v>2743</v>
      </c>
      <c r="S4925" s="315" t="s">
        <v>100</v>
      </c>
      <c r="T4925" s="311" t="s">
        <v>34208</v>
      </c>
      <c r="U4925" s="308" t="s">
        <v>125</v>
      </c>
      <c r="V4925" s="308"/>
    </row>
    <row r="4926">
      <c r="A4926" s="308">
        <v>4925.0</v>
      </c>
      <c r="B4926" s="308"/>
      <c r="C4926" s="308" t="s">
        <v>19881</v>
      </c>
      <c r="D4926" s="308">
        <f>IFERROR(__xludf.DUMMYFUNCTION("SPLIT(C4926,""-"")"),4946.0)</f>
        <v>4946</v>
      </c>
      <c r="E4926" s="308" t="str">
        <f>IFERROR(__xludf.DUMMYFUNCTION("""COMPUTED_VALUE"""),"K")</f>
        <v>K</v>
      </c>
      <c r="F4926" s="309" t="s">
        <v>34</v>
      </c>
      <c r="G4926" s="308"/>
      <c r="H4926" s="308" t="s">
        <v>19882</v>
      </c>
      <c r="I4926" s="310">
        <v>40338.0</v>
      </c>
      <c r="J4926" s="319">
        <f>IFERROR(__xludf.DUMMYFUNCTION("SPLIT(I4926,""/"")"),9.0)</f>
        <v>9</v>
      </c>
      <c r="K4926" s="308">
        <f>IFERROR(__xludf.DUMMYFUNCTION("""COMPUTED_VALUE"""),6.0)</f>
        <v>6</v>
      </c>
      <c r="L4926" s="308">
        <f>IFERROR(__xludf.DUMMYFUNCTION("""COMPUTED_VALUE"""),2010.0)</f>
        <v>2010</v>
      </c>
      <c r="M4926" s="308" t="s">
        <v>38031</v>
      </c>
      <c r="N4926" s="308"/>
      <c r="O4926" s="308"/>
      <c r="P4926" s="308" t="s">
        <v>5679</v>
      </c>
      <c r="Q4926" s="308" t="s">
        <v>38025</v>
      </c>
      <c r="R4926" s="308" t="s">
        <v>2743</v>
      </c>
      <c r="S4926" s="315" t="s">
        <v>100</v>
      </c>
      <c r="T4926" s="311" t="s">
        <v>34208</v>
      </c>
      <c r="U4926" s="308" t="s">
        <v>368</v>
      </c>
      <c r="V4926" s="308"/>
    </row>
    <row r="4927">
      <c r="A4927" s="308">
        <v>4926.0</v>
      </c>
      <c r="B4927" s="308"/>
      <c r="C4927" s="308" t="s">
        <v>19884</v>
      </c>
      <c r="D4927" s="308">
        <f>IFERROR(__xludf.DUMMYFUNCTION("SPLIT(C4927,""-"")"),4947.0)</f>
        <v>4947</v>
      </c>
      <c r="E4927" s="308" t="str">
        <f>IFERROR(__xludf.DUMMYFUNCTION("""COMPUTED_VALUE"""),"K")</f>
        <v>K</v>
      </c>
      <c r="F4927" s="309" t="s">
        <v>34</v>
      </c>
      <c r="G4927" s="308"/>
      <c r="H4927" s="308" t="s">
        <v>19885</v>
      </c>
      <c r="I4927" s="310">
        <v>43153.0</v>
      </c>
      <c r="J4927" s="319">
        <f>IFERROR(__xludf.DUMMYFUNCTION("SPLIT(I4927,""/"")"),22.0)</f>
        <v>22</v>
      </c>
      <c r="K4927" s="308">
        <f>IFERROR(__xludf.DUMMYFUNCTION("""COMPUTED_VALUE"""),2.0)</f>
        <v>2</v>
      </c>
      <c r="L4927" s="308">
        <f>IFERROR(__xludf.DUMMYFUNCTION("""COMPUTED_VALUE"""),2018.0)</f>
        <v>2018</v>
      </c>
      <c r="M4927" s="308" t="s">
        <v>19886</v>
      </c>
      <c r="N4927" s="308"/>
      <c r="O4927" s="308" t="s">
        <v>38032</v>
      </c>
      <c r="P4927" s="308" t="s">
        <v>38033</v>
      </c>
      <c r="Q4927" s="308" t="s">
        <v>38034</v>
      </c>
      <c r="R4927" s="308" t="s">
        <v>2743</v>
      </c>
      <c r="S4927" s="308" t="s">
        <v>81</v>
      </c>
      <c r="T4927" s="308" t="s">
        <v>75</v>
      </c>
      <c r="U4927" s="308" t="s">
        <v>2152</v>
      </c>
      <c r="V4927" s="308"/>
    </row>
    <row r="4928">
      <c r="A4928" s="308">
        <v>4927.0</v>
      </c>
      <c r="B4928" s="308"/>
      <c r="C4928" s="308" t="s">
        <v>19889</v>
      </c>
      <c r="D4928" s="308">
        <f>IFERROR(__xludf.DUMMYFUNCTION("SPLIT(C4928,""-"")"),4948.0)</f>
        <v>4948</v>
      </c>
      <c r="E4928" s="308" t="str">
        <f>IFERROR(__xludf.DUMMYFUNCTION("""COMPUTED_VALUE"""),"K")</f>
        <v>K</v>
      </c>
      <c r="F4928" s="309" t="s">
        <v>34</v>
      </c>
      <c r="G4928" s="308"/>
      <c r="H4928" s="308" t="s">
        <v>19890</v>
      </c>
      <c r="I4928" s="310">
        <v>43153.0</v>
      </c>
      <c r="J4928" s="319">
        <f>IFERROR(__xludf.DUMMYFUNCTION("SPLIT(I4928,""/"")"),22.0)</f>
        <v>22</v>
      </c>
      <c r="K4928" s="308">
        <f>IFERROR(__xludf.DUMMYFUNCTION("""COMPUTED_VALUE"""),2.0)</f>
        <v>2</v>
      </c>
      <c r="L4928" s="308">
        <f>IFERROR(__xludf.DUMMYFUNCTION("""COMPUTED_VALUE"""),2018.0)</f>
        <v>2018</v>
      </c>
      <c r="M4928" s="308" t="s">
        <v>19886</v>
      </c>
      <c r="N4928" s="308"/>
      <c r="O4928" s="308"/>
      <c r="P4928" s="308" t="s">
        <v>38035</v>
      </c>
      <c r="Q4928" s="308" t="s">
        <v>38034</v>
      </c>
      <c r="R4928" s="308" t="s">
        <v>2743</v>
      </c>
      <c r="S4928" s="308" t="s">
        <v>81</v>
      </c>
      <c r="T4928" s="308" t="s">
        <v>75</v>
      </c>
      <c r="U4928" s="308" t="s">
        <v>2152</v>
      </c>
      <c r="V4928" s="308"/>
    </row>
    <row r="4929">
      <c r="A4929" s="308">
        <v>4928.0</v>
      </c>
      <c r="B4929" s="308"/>
      <c r="C4929" s="308" t="s">
        <v>19892</v>
      </c>
      <c r="D4929" s="308">
        <f>IFERROR(__xludf.DUMMYFUNCTION("SPLIT(C4929,""-"")"),4949.0)</f>
        <v>4949</v>
      </c>
      <c r="E4929" s="308" t="str">
        <f>IFERROR(__xludf.DUMMYFUNCTION("""COMPUTED_VALUE"""),"K")</f>
        <v>K</v>
      </c>
      <c r="F4929" s="309" t="s">
        <v>34</v>
      </c>
      <c r="G4929" s="308"/>
      <c r="H4929" s="308" t="s">
        <v>19893</v>
      </c>
      <c r="I4929" s="310">
        <v>42781.0</v>
      </c>
      <c r="J4929" s="319" t="str">
        <f>IFERROR(__xludf.DUMMYFUNCTION("SPLIT(I4929,""/"")"),"#REF!")</f>
        <v>#REF!</v>
      </c>
      <c r="K4929" s="308"/>
      <c r="L4929" s="308">
        <v>2017.0</v>
      </c>
      <c r="M4929" s="308" t="s">
        <v>19894</v>
      </c>
      <c r="N4929" s="308"/>
      <c r="O4929" s="308"/>
      <c r="P4929" s="308" t="s">
        <v>19895</v>
      </c>
      <c r="Q4929" s="308" t="s">
        <v>38034</v>
      </c>
      <c r="R4929" s="308" t="s">
        <v>2743</v>
      </c>
      <c r="S4929" s="308" t="s">
        <v>81</v>
      </c>
      <c r="T4929" s="311" t="s">
        <v>96</v>
      </c>
      <c r="U4929" s="308" t="s">
        <v>149</v>
      </c>
      <c r="V4929" s="308"/>
    </row>
    <row r="4930">
      <c r="A4930" s="308">
        <v>4929.0</v>
      </c>
      <c r="B4930" s="308"/>
      <c r="C4930" s="308" t="s">
        <v>19896</v>
      </c>
      <c r="D4930" s="308">
        <f>IFERROR(__xludf.DUMMYFUNCTION("SPLIT(C4930,""-"")"),4950.0)</f>
        <v>4950</v>
      </c>
      <c r="E4930" s="308" t="str">
        <f>IFERROR(__xludf.DUMMYFUNCTION("""COMPUTED_VALUE"""),"P")</f>
        <v>P</v>
      </c>
      <c r="F4930" s="312" t="s">
        <v>37</v>
      </c>
      <c r="G4930" s="308"/>
      <c r="H4930" s="308" t="s">
        <v>19897</v>
      </c>
      <c r="I4930" s="310">
        <v>43186.0</v>
      </c>
      <c r="J4930" s="319">
        <f>IFERROR(__xludf.DUMMYFUNCTION("SPLIT(I4930,""/"")"),27.0)</f>
        <v>27</v>
      </c>
      <c r="K4930" s="308">
        <f>IFERROR(__xludf.DUMMYFUNCTION("""COMPUTED_VALUE"""),3.0)</f>
        <v>3</v>
      </c>
      <c r="L4930" s="308">
        <f>IFERROR(__xludf.DUMMYFUNCTION("""COMPUTED_VALUE"""),2018.0)</f>
        <v>2018</v>
      </c>
      <c r="M4930" s="308" t="s">
        <v>19898</v>
      </c>
      <c r="N4930" s="308"/>
      <c r="O4930" s="308"/>
      <c r="P4930" s="308" t="s">
        <v>38036</v>
      </c>
      <c r="Q4930" s="308" t="s">
        <v>38034</v>
      </c>
      <c r="R4930" s="308" t="s">
        <v>2743</v>
      </c>
      <c r="S4930" s="308" t="s">
        <v>81</v>
      </c>
      <c r="T4930" s="308" t="s">
        <v>75</v>
      </c>
      <c r="U4930" s="308" t="s">
        <v>2527</v>
      </c>
      <c r="V4930" s="308"/>
    </row>
    <row r="4931">
      <c r="A4931" s="308">
        <v>4930.0</v>
      </c>
      <c r="B4931" s="308"/>
      <c r="C4931" s="308" t="s">
        <v>19900</v>
      </c>
      <c r="D4931" s="308">
        <f>IFERROR(__xludf.DUMMYFUNCTION("SPLIT(C4931,""-"")"),4951.0)</f>
        <v>4951</v>
      </c>
      <c r="E4931" s="308" t="str">
        <f>IFERROR(__xludf.DUMMYFUNCTION("""COMPUTED_VALUE"""),"P")</f>
        <v>P</v>
      </c>
      <c r="F4931" s="312" t="s">
        <v>37</v>
      </c>
      <c r="G4931" s="308"/>
      <c r="H4931" s="308" t="s">
        <v>19901</v>
      </c>
      <c r="I4931" s="310">
        <v>43167.0</v>
      </c>
      <c r="J4931" s="319">
        <f>IFERROR(__xludf.DUMMYFUNCTION("SPLIT(I4931,""/"")"),8.0)</f>
        <v>8</v>
      </c>
      <c r="K4931" s="308">
        <f>IFERROR(__xludf.DUMMYFUNCTION("""COMPUTED_VALUE"""),3.0)</f>
        <v>3</v>
      </c>
      <c r="L4931" s="308">
        <f>IFERROR(__xludf.DUMMYFUNCTION("""COMPUTED_VALUE"""),2018.0)</f>
        <v>2018</v>
      </c>
      <c r="M4931" s="308" t="s">
        <v>19902</v>
      </c>
      <c r="N4931" s="308"/>
      <c r="O4931" s="308"/>
      <c r="P4931" s="308" t="s">
        <v>38037</v>
      </c>
      <c r="Q4931" s="308" t="s">
        <v>38034</v>
      </c>
      <c r="R4931" s="308" t="s">
        <v>2743</v>
      </c>
      <c r="S4931" s="308" t="s">
        <v>81</v>
      </c>
      <c r="T4931" s="311" t="s">
        <v>51</v>
      </c>
      <c r="U4931" s="308" t="s">
        <v>2527</v>
      </c>
      <c r="V4931" s="308"/>
    </row>
    <row r="4932">
      <c r="A4932" s="308">
        <v>4931.0</v>
      </c>
      <c r="B4932" s="308"/>
      <c r="C4932" s="308" t="s">
        <v>19904</v>
      </c>
      <c r="D4932" s="308">
        <f>IFERROR(__xludf.DUMMYFUNCTION("SPLIT(C4932,""-"")"),4952.0)</f>
        <v>4952</v>
      </c>
      <c r="E4932" s="308" t="str">
        <f>IFERROR(__xludf.DUMMYFUNCTION("""COMPUTED_VALUE"""),"P")</f>
        <v>P</v>
      </c>
      <c r="F4932" s="312" t="s">
        <v>37</v>
      </c>
      <c r="G4932" s="308"/>
      <c r="H4932" s="308" t="s">
        <v>19905</v>
      </c>
      <c r="I4932" s="310">
        <v>43167.0</v>
      </c>
      <c r="J4932" s="319">
        <f>IFERROR(__xludf.DUMMYFUNCTION("SPLIT(I4932,""/"")"),8.0)</f>
        <v>8</v>
      </c>
      <c r="K4932" s="308">
        <f>IFERROR(__xludf.DUMMYFUNCTION("""COMPUTED_VALUE"""),3.0)</f>
        <v>3</v>
      </c>
      <c r="L4932" s="308">
        <f>IFERROR(__xludf.DUMMYFUNCTION("""COMPUTED_VALUE"""),2018.0)</f>
        <v>2018</v>
      </c>
      <c r="M4932" s="308" t="s">
        <v>19906</v>
      </c>
      <c r="N4932" s="308"/>
      <c r="O4932" s="308"/>
      <c r="P4932" s="308" t="s">
        <v>38038</v>
      </c>
      <c r="Q4932" s="308" t="s">
        <v>38034</v>
      </c>
      <c r="R4932" s="308" t="s">
        <v>2743</v>
      </c>
      <c r="S4932" s="308" t="s">
        <v>81</v>
      </c>
      <c r="T4932" s="311" t="s">
        <v>51</v>
      </c>
      <c r="U4932" s="308" t="s">
        <v>2527</v>
      </c>
      <c r="V4932" s="308"/>
    </row>
    <row r="4933">
      <c r="A4933" s="308">
        <v>4932.0</v>
      </c>
      <c r="B4933" s="308"/>
      <c r="C4933" s="308" t="s">
        <v>19908</v>
      </c>
      <c r="D4933" s="308">
        <f>IFERROR(__xludf.DUMMYFUNCTION("SPLIT(C4933,""-"")"),4953.0)</f>
        <v>4953</v>
      </c>
      <c r="E4933" s="308" t="str">
        <f>IFERROR(__xludf.DUMMYFUNCTION("""COMPUTED_VALUE"""),"K")</f>
        <v>K</v>
      </c>
      <c r="F4933" s="309" t="s">
        <v>34</v>
      </c>
      <c r="G4933" s="308"/>
      <c r="H4933" s="308" t="s">
        <v>19909</v>
      </c>
      <c r="I4933" s="314">
        <v>43024.0</v>
      </c>
      <c r="J4933" s="319" t="str">
        <f>IFERROR(__xludf.DUMMYFUNCTION("SPLIT(I4933,""/"")"),"#REF!")</f>
        <v>#REF!</v>
      </c>
      <c r="K4933" s="308"/>
      <c r="L4933" s="308">
        <v>2017.0</v>
      </c>
      <c r="M4933" s="308" t="s">
        <v>19910</v>
      </c>
      <c r="N4933" s="308"/>
      <c r="O4933" s="308"/>
      <c r="P4933" s="308" t="s">
        <v>19911</v>
      </c>
      <c r="Q4933" s="308" t="s">
        <v>38034</v>
      </c>
      <c r="R4933" s="308" t="s">
        <v>2743</v>
      </c>
      <c r="S4933" s="308" t="s">
        <v>81</v>
      </c>
      <c r="T4933" s="308" t="s">
        <v>34264</v>
      </c>
      <c r="U4933" s="308" t="s">
        <v>125</v>
      </c>
      <c r="V4933" s="308"/>
    </row>
    <row r="4934">
      <c r="A4934" s="308">
        <v>4933.0</v>
      </c>
      <c r="B4934" s="308"/>
      <c r="C4934" s="308" t="s">
        <v>19912</v>
      </c>
      <c r="D4934" s="308">
        <f>IFERROR(__xludf.DUMMYFUNCTION("SPLIT(C4934,""-"")"),4954.0)</f>
        <v>4954</v>
      </c>
      <c r="E4934" s="308" t="str">
        <f>IFERROR(__xludf.DUMMYFUNCTION("""COMPUTED_VALUE"""),"F")</f>
        <v>F</v>
      </c>
      <c r="F4934" s="309" t="s">
        <v>34</v>
      </c>
      <c r="G4934" s="308"/>
      <c r="H4934" s="308" t="s">
        <v>19913</v>
      </c>
      <c r="I4934" s="310">
        <v>42276.0</v>
      </c>
      <c r="J4934" s="319">
        <f>IFERROR(__xludf.DUMMYFUNCTION("SPLIT(I4934,""/"")"),29.0)</f>
        <v>29</v>
      </c>
      <c r="K4934" s="308">
        <f>IFERROR(__xludf.DUMMYFUNCTION("""COMPUTED_VALUE"""),9.0)</f>
        <v>9</v>
      </c>
      <c r="L4934" s="308">
        <f>IFERROR(__xludf.DUMMYFUNCTION("""COMPUTED_VALUE"""),2015.0)</f>
        <v>2015</v>
      </c>
      <c r="M4934" s="308" t="s">
        <v>19914</v>
      </c>
      <c r="N4934" s="308"/>
      <c r="O4934" s="308"/>
      <c r="P4934" s="308" t="s">
        <v>19915</v>
      </c>
      <c r="Q4934" s="308" t="s">
        <v>38034</v>
      </c>
      <c r="R4934" s="308" t="s">
        <v>2743</v>
      </c>
      <c r="S4934" s="308" t="s">
        <v>81</v>
      </c>
      <c r="T4934" s="308" t="s">
        <v>34264</v>
      </c>
      <c r="U4934" s="308" t="s">
        <v>195</v>
      </c>
      <c r="V4934" s="308"/>
    </row>
    <row r="4935">
      <c r="A4935" s="308">
        <v>4934.0</v>
      </c>
      <c r="B4935" s="308"/>
      <c r="C4935" s="308" t="s">
        <v>19916</v>
      </c>
      <c r="D4935" s="308">
        <f>IFERROR(__xludf.DUMMYFUNCTION("SPLIT(C4935,""-"")"),4955.0)</f>
        <v>4955</v>
      </c>
      <c r="E4935" s="308" t="str">
        <f>IFERROR(__xludf.DUMMYFUNCTION("""COMPUTED_VALUE"""),"K")</f>
        <v>K</v>
      </c>
      <c r="F4935" s="309" t="s">
        <v>34</v>
      </c>
      <c r="G4935" s="308"/>
      <c r="H4935" s="308" t="s">
        <v>19917</v>
      </c>
      <c r="I4935" s="310">
        <v>40452.0</v>
      </c>
      <c r="J4935" s="319">
        <f>IFERROR(__xludf.DUMMYFUNCTION("SPLIT(I4935,""/"")"),1.0)</f>
        <v>1</v>
      </c>
      <c r="K4935" s="308">
        <f>IFERROR(__xludf.DUMMYFUNCTION("""COMPUTED_VALUE"""),10.0)</f>
        <v>10</v>
      </c>
      <c r="L4935" s="308">
        <f>IFERROR(__xludf.DUMMYFUNCTION("""COMPUTED_VALUE"""),2010.0)</f>
        <v>2010</v>
      </c>
      <c r="M4935" s="308" t="s">
        <v>19918</v>
      </c>
      <c r="N4935" s="308"/>
      <c r="O4935" s="308"/>
      <c r="P4935" s="308" t="s">
        <v>38039</v>
      </c>
      <c r="Q4935" s="308" t="s">
        <v>38034</v>
      </c>
      <c r="R4935" s="308" t="s">
        <v>2743</v>
      </c>
      <c r="S4935" s="308" t="s">
        <v>81</v>
      </c>
      <c r="T4935" s="308" t="s">
        <v>34264</v>
      </c>
      <c r="U4935" s="308" t="s">
        <v>530</v>
      </c>
      <c r="V4935" s="308"/>
    </row>
    <row r="4936">
      <c r="A4936" s="308">
        <v>4935.0</v>
      </c>
      <c r="B4936" s="308"/>
      <c r="C4936" s="308" t="s">
        <v>19920</v>
      </c>
      <c r="D4936" s="308">
        <f>IFERROR(__xludf.DUMMYFUNCTION("SPLIT(C4936,""-"")"),4956.0)</f>
        <v>4956</v>
      </c>
      <c r="E4936" s="308" t="str">
        <f>IFERROR(__xludf.DUMMYFUNCTION("""COMPUTED_VALUE"""),"F")</f>
        <v>F</v>
      </c>
      <c r="F4936" s="309" t="s">
        <v>34</v>
      </c>
      <c r="G4936" s="308"/>
      <c r="H4936" s="308" t="s">
        <v>19921</v>
      </c>
      <c r="I4936" s="310">
        <v>42917.0</v>
      </c>
      <c r="J4936" s="319" t="str">
        <f>IFERROR(__xludf.DUMMYFUNCTION("SPLIT(I4936,""/"")"),"#REF!")</f>
        <v>#REF!</v>
      </c>
      <c r="K4936" s="308"/>
      <c r="L4936" s="308">
        <v>2017.0</v>
      </c>
      <c r="M4936" s="308" t="s">
        <v>19922</v>
      </c>
      <c r="N4936" s="308"/>
      <c r="O4936" s="308" t="s">
        <v>38040</v>
      </c>
      <c r="P4936" s="308" t="s">
        <v>38041</v>
      </c>
      <c r="Q4936" s="308" t="s">
        <v>38034</v>
      </c>
      <c r="R4936" s="308" t="s">
        <v>2743</v>
      </c>
      <c r="S4936" s="308" t="s">
        <v>81</v>
      </c>
      <c r="T4936" s="308" t="s">
        <v>73</v>
      </c>
      <c r="U4936" s="308" t="s">
        <v>195</v>
      </c>
      <c r="V4936" s="308"/>
    </row>
    <row r="4937">
      <c r="A4937" s="308">
        <v>4936.0</v>
      </c>
      <c r="B4937" s="308"/>
      <c r="C4937" s="308" t="s">
        <v>19924</v>
      </c>
      <c r="D4937" s="308">
        <f>IFERROR(__xludf.DUMMYFUNCTION("SPLIT(C4937,""-"")"),4957.0)</f>
        <v>4957</v>
      </c>
      <c r="E4937" s="308" t="str">
        <f>IFERROR(__xludf.DUMMYFUNCTION("""COMPUTED_VALUE"""),"P")</f>
        <v>P</v>
      </c>
      <c r="F4937" s="312" t="s">
        <v>37</v>
      </c>
      <c r="G4937" s="308"/>
      <c r="H4937" s="308" t="s">
        <v>19925</v>
      </c>
      <c r="I4937" s="310">
        <v>42863.0</v>
      </c>
      <c r="J4937" s="319">
        <f>IFERROR(__xludf.DUMMYFUNCTION("SPLIT(I4937,""/"")"),8.0)</f>
        <v>8</v>
      </c>
      <c r="K4937" s="308">
        <f>IFERROR(__xludf.DUMMYFUNCTION("""COMPUTED_VALUE"""),5.0)</f>
        <v>5</v>
      </c>
      <c r="L4937" s="308">
        <f>IFERROR(__xludf.DUMMYFUNCTION("""COMPUTED_VALUE"""),2017.0)</f>
        <v>2017</v>
      </c>
      <c r="M4937" s="308" t="s">
        <v>19926</v>
      </c>
      <c r="N4937" s="308"/>
      <c r="O4937" s="308"/>
      <c r="P4937" s="308" t="s">
        <v>7523</v>
      </c>
      <c r="Q4937" s="308" t="s">
        <v>38034</v>
      </c>
      <c r="R4937" s="308" t="s">
        <v>2743</v>
      </c>
      <c r="S4937" s="315" t="s">
        <v>100</v>
      </c>
      <c r="T4937" s="311" t="s">
        <v>34208</v>
      </c>
      <c r="U4937" s="308" t="s">
        <v>1664</v>
      </c>
      <c r="V4937" s="308" t="s">
        <v>18319</v>
      </c>
    </row>
    <row r="4938">
      <c r="A4938" s="308">
        <v>4937.0</v>
      </c>
      <c r="B4938" s="308"/>
      <c r="C4938" s="308" t="s">
        <v>19927</v>
      </c>
      <c r="D4938" s="308">
        <f>IFERROR(__xludf.DUMMYFUNCTION("SPLIT(C4938,""-"")"),4958.0)</f>
        <v>4958</v>
      </c>
      <c r="E4938" s="308" t="str">
        <f>IFERROR(__xludf.DUMMYFUNCTION("""COMPUTED_VALUE"""),"K")</f>
        <v>K</v>
      </c>
      <c r="F4938" s="309" t="s">
        <v>34</v>
      </c>
      <c r="G4938" s="308"/>
      <c r="H4938" s="308" t="s">
        <v>19928</v>
      </c>
      <c r="I4938" s="314">
        <v>41927.0</v>
      </c>
      <c r="J4938" s="319">
        <f>IFERROR(__xludf.DUMMYFUNCTION("SPLIT(I4938,""/"")"),15.0)</f>
        <v>15</v>
      </c>
      <c r="K4938" s="308">
        <f>IFERROR(__xludf.DUMMYFUNCTION("""COMPUTED_VALUE"""),10.0)</f>
        <v>10</v>
      </c>
      <c r="L4938" s="308">
        <f>IFERROR(__xludf.DUMMYFUNCTION("""COMPUTED_VALUE"""),2014.0)</f>
        <v>2014</v>
      </c>
      <c r="M4938" s="308" t="s">
        <v>38042</v>
      </c>
      <c r="N4938" s="308" t="s">
        <v>19930</v>
      </c>
      <c r="O4938" s="308"/>
      <c r="P4938" s="308" t="s">
        <v>5679</v>
      </c>
      <c r="Q4938" s="308" t="s">
        <v>38034</v>
      </c>
      <c r="R4938" s="308" t="s">
        <v>2743</v>
      </c>
      <c r="S4938" s="315" t="s">
        <v>100</v>
      </c>
      <c r="T4938" s="311" t="s">
        <v>34208</v>
      </c>
      <c r="U4938" s="308" t="s">
        <v>125</v>
      </c>
      <c r="V4938" s="308" t="s">
        <v>19931</v>
      </c>
    </row>
    <row r="4939">
      <c r="A4939" s="308">
        <v>4938.0</v>
      </c>
      <c r="B4939" s="308"/>
      <c r="C4939" s="308" t="s">
        <v>19932</v>
      </c>
      <c r="D4939" s="308">
        <f>IFERROR(__xludf.DUMMYFUNCTION("SPLIT(C4939,""-"")"),4959.0)</f>
        <v>4959</v>
      </c>
      <c r="E4939" s="308" t="str">
        <f>IFERROR(__xludf.DUMMYFUNCTION("""COMPUTED_VALUE"""),"F")</f>
        <v>F</v>
      </c>
      <c r="F4939" s="309" t="s">
        <v>34</v>
      </c>
      <c r="G4939" s="308"/>
      <c r="H4939" s="308" t="s">
        <v>19933</v>
      </c>
      <c r="I4939" s="310">
        <v>42836.0</v>
      </c>
      <c r="J4939" s="319" t="str">
        <f>IFERROR(__xludf.DUMMYFUNCTION("SPLIT(I4939,""/"")"),"#REF!")</f>
        <v>#REF!</v>
      </c>
      <c r="K4939" s="308"/>
      <c r="L4939" s="308">
        <v>2017.0</v>
      </c>
      <c r="M4939" s="308" t="s">
        <v>19934</v>
      </c>
      <c r="N4939" s="308"/>
      <c r="O4939" s="308"/>
      <c r="P4939" s="308" t="s">
        <v>38043</v>
      </c>
      <c r="Q4939" s="308" t="s">
        <v>38034</v>
      </c>
      <c r="R4939" s="308" t="s">
        <v>2743</v>
      </c>
      <c r="S4939" s="308" t="s">
        <v>81</v>
      </c>
      <c r="T4939" s="308" t="s">
        <v>34264</v>
      </c>
      <c r="U4939" s="308" t="s">
        <v>195</v>
      </c>
      <c r="V4939" s="308"/>
    </row>
    <row r="4940">
      <c r="A4940" s="308">
        <v>4939.0</v>
      </c>
      <c r="B4940" s="308"/>
      <c r="C4940" s="308" t="s">
        <v>19936</v>
      </c>
      <c r="D4940" s="308">
        <f>IFERROR(__xludf.DUMMYFUNCTION("SPLIT(C4940,""-"")"),4960.0)</f>
        <v>4960</v>
      </c>
      <c r="E4940" s="308" t="str">
        <f>IFERROR(__xludf.DUMMYFUNCTION("""COMPUTED_VALUE"""),"K")</f>
        <v>K</v>
      </c>
      <c r="F4940" s="309" t="s">
        <v>34</v>
      </c>
      <c r="G4940" s="308"/>
      <c r="H4940" s="308" t="s">
        <v>19937</v>
      </c>
      <c r="I4940" s="310">
        <v>41285.0</v>
      </c>
      <c r="J4940" s="319">
        <f>IFERROR(__xludf.DUMMYFUNCTION("SPLIT(I4940,""/"")"),11.0)</f>
        <v>11</v>
      </c>
      <c r="K4940" s="308">
        <f>IFERROR(__xludf.DUMMYFUNCTION("""COMPUTED_VALUE"""),1.0)</f>
        <v>1</v>
      </c>
      <c r="L4940" s="308">
        <f>IFERROR(__xludf.DUMMYFUNCTION("""COMPUTED_VALUE"""),2013.0)</f>
        <v>2013</v>
      </c>
      <c r="M4940" s="308" t="s">
        <v>19938</v>
      </c>
      <c r="N4940" s="308"/>
      <c r="O4940" s="308"/>
      <c r="P4940" s="308" t="s">
        <v>38044</v>
      </c>
      <c r="Q4940" s="308" t="s">
        <v>38034</v>
      </c>
      <c r="R4940" s="308" t="s">
        <v>2743</v>
      </c>
      <c r="S4940" s="308" t="s">
        <v>49</v>
      </c>
      <c r="T4940" s="308" t="s">
        <v>51</v>
      </c>
      <c r="U4940" s="308" t="s">
        <v>2466</v>
      </c>
      <c r="V4940" s="308"/>
    </row>
    <row r="4941">
      <c r="A4941" s="308">
        <v>4940.0</v>
      </c>
      <c r="B4941" s="308"/>
      <c r="C4941" s="308" t="s">
        <v>19940</v>
      </c>
      <c r="D4941" s="308">
        <f>IFERROR(__xludf.DUMMYFUNCTION("SPLIT(C4941,""-"")"),4961.0)</f>
        <v>4961</v>
      </c>
      <c r="E4941" s="308" t="str">
        <f>IFERROR(__xludf.DUMMYFUNCTION("""COMPUTED_VALUE"""),"K")</f>
        <v>K</v>
      </c>
      <c r="F4941" s="309" t="s">
        <v>34</v>
      </c>
      <c r="G4941" s="308"/>
      <c r="H4941" s="308" t="s">
        <v>19941</v>
      </c>
      <c r="I4941" s="310">
        <v>41981.0</v>
      </c>
      <c r="J4941" s="319">
        <f>IFERROR(__xludf.DUMMYFUNCTION("SPLIT(I4941,""/"")"),8.0)</f>
        <v>8</v>
      </c>
      <c r="K4941" s="308">
        <f>IFERROR(__xludf.DUMMYFUNCTION("""COMPUTED_VALUE"""),12.0)</f>
        <v>12</v>
      </c>
      <c r="L4941" s="308">
        <f>IFERROR(__xludf.DUMMYFUNCTION("""COMPUTED_VALUE"""),2014.0)</f>
        <v>2014</v>
      </c>
      <c r="M4941" s="308" t="s">
        <v>19942</v>
      </c>
      <c r="N4941" s="308" t="s">
        <v>19943</v>
      </c>
      <c r="O4941" s="308" t="s">
        <v>38045</v>
      </c>
      <c r="P4941" s="308" t="s">
        <v>5679</v>
      </c>
      <c r="Q4941" s="308" t="s">
        <v>38034</v>
      </c>
      <c r="R4941" s="308" t="s">
        <v>2743</v>
      </c>
      <c r="S4941" s="315" t="s">
        <v>100</v>
      </c>
      <c r="T4941" s="311" t="s">
        <v>34208</v>
      </c>
      <c r="U4941" s="308" t="s">
        <v>872</v>
      </c>
      <c r="V4941" s="308"/>
    </row>
    <row r="4942">
      <c r="A4942" s="308">
        <v>4941.0</v>
      </c>
      <c r="B4942" s="308"/>
      <c r="C4942" s="308" t="s">
        <v>19945</v>
      </c>
      <c r="D4942" s="308">
        <f>IFERROR(__xludf.DUMMYFUNCTION("SPLIT(C4942,""-"")"),4962.0)</f>
        <v>4962</v>
      </c>
      <c r="E4942" s="308" t="str">
        <f>IFERROR(__xludf.DUMMYFUNCTION("""COMPUTED_VALUE"""),"I")</f>
        <v>I</v>
      </c>
      <c r="F4942" s="309" t="s">
        <v>31</v>
      </c>
      <c r="G4942" s="308"/>
      <c r="H4942" s="308" t="s">
        <v>19946</v>
      </c>
      <c r="I4942" s="310">
        <v>42802.0</v>
      </c>
      <c r="J4942" s="319">
        <f>IFERROR(__xludf.DUMMYFUNCTION("SPLIT(I4942,""/"")"),8.0)</f>
        <v>8</v>
      </c>
      <c r="K4942" s="308">
        <f>IFERROR(__xludf.DUMMYFUNCTION("""COMPUTED_VALUE"""),3.0)</f>
        <v>3</v>
      </c>
      <c r="L4942" s="308">
        <f>IFERROR(__xludf.DUMMYFUNCTION("""COMPUTED_VALUE"""),2017.0)</f>
        <v>2017</v>
      </c>
      <c r="M4942" s="308" t="s">
        <v>19947</v>
      </c>
      <c r="N4942" s="308"/>
      <c r="O4942" s="308"/>
      <c r="P4942" s="308" t="s">
        <v>19948</v>
      </c>
      <c r="Q4942" s="308" t="s">
        <v>38034</v>
      </c>
      <c r="R4942" s="308" t="s">
        <v>2743</v>
      </c>
      <c r="S4942" s="308" t="s">
        <v>81</v>
      </c>
      <c r="T4942" s="311" t="s">
        <v>75</v>
      </c>
      <c r="U4942" s="308" t="s">
        <v>31</v>
      </c>
      <c r="V4942" s="308"/>
    </row>
    <row r="4943">
      <c r="A4943" s="308">
        <v>4942.0</v>
      </c>
      <c r="B4943" s="308"/>
      <c r="C4943" s="308" t="s">
        <v>19949</v>
      </c>
      <c r="D4943" s="308">
        <f>IFERROR(__xludf.DUMMYFUNCTION("SPLIT(C4943,""-"")"),4963.0)</f>
        <v>4963</v>
      </c>
      <c r="E4943" s="308" t="str">
        <f>IFERROR(__xludf.DUMMYFUNCTION("""COMPUTED_VALUE"""),"K")</f>
        <v>K</v>
      </c>
      <c r="F4943" s="309" t="s">
        <v>34</v>
      </c>
      <c r="G4943" s="308"/>
      <c r="H4943" s="308" t="s">
        <v>19950</v>
      </c>
      <c r="I4943" s="310">
        <v>42552.0</v>
      </c>
      <c r="J4943" s="319">
        <f>IFERROR(__xludf.DUMMYFUNCTION("SPLIT(I4943,""/"")"),1.0)</f>
        <v>1</v>
      </c>
      <c r="K4943" s="308">
        <f>IFERROR(__xludf.DUMMYFUNCTION("""COMPUTED_VALUE"""),7.0)</f>
        <v>7</v>
      </c>
      <c r="L4943" s="308">
        <f>IFERROR(__xludf.DUMMYFUNCTION("""COMPUTED_VALUE"""),2016.0)</f>
        <v>2016</v>
      </c>
      <c r="M4943" s="308" t="s">
        <v>19951</v>
      </c>
      <c r="N4943" s="308"/>
      <c r="O4943" s="308"/>
      <c r="P4943" s="308" t="s">
        <v>38046</v>
      </c>
      <c r="Q4943" s="308" t="s">
        <v>38034</v>
      </c>
      <c r="R4943" s="308" t="s">
        <v>2743</v>
      </c>
      <c r="S4943" s="308" t="s">
        <v>81</v>
      </c>
      <c r="T4943" s="308" t="s">
        <v>34264</v>
      </c>
      <c r="U4943" s="308" t="s">
        <v>125</v>
      </c>
      <c r="V4943" s="308"/>
    </row>
    <row r="4944">
      <c r="A4944" s="308">
        <v>4943.0</v>
      </c>
      <c r="B4944" s="308"/>
      <c r="C4944" s="308" t="s">
        <v>19953</v>
      </c>
      <c r="D4944" s="308">
        <f>IFERROR(__xludf.DUMMYFUNCTION("SPLIT(C4944,""-"")"),4964.0)</f>
        <v>4964</v>
      </c>
      <c r="E4944" s="308" t="str">
        <f>IFERROR(__xludf.DUMMYFUNCTION("""COMPUTED_VALUE"""),"K")</f>
        <v>K</v>
      </c>
      <c r="F4944" s="309" t="s">
        <v>34</v>
      </c>
      <c r="G4944" s="308"/>
      <c r="H4944" s="308" t="s">
        <v>19954</v>
      </c>
      <c r="I4944" s="310">
        <v>41787.0</v>
      </c>
      <c r="J4944" s="319">
        <f>IFERROR(__xludf.DUMMYFUNCTION("SPLIT(I4944,""/"")"),28.0)</f>
        <v>28</v>
      </c>
      <c r="K4944" s="308">
        <f>IFERROR(__xludf.DUMMYFUNCTION("""COMPUTED_VALUE"""),5.0)</f>
        <v>5</v>
      </c>
      <c r="L4944" s="308">
        <f>IFERROR(__xludf.DUMMYFUNCTION("""COMPUTED_VALUE"""),2014.0)</f>
        <v>2014</v>
      </c>
      <c r="M4944" s="308" t="s">
        <v>38047</v>
      </c>
      <c r="N4944" s="308"/>
      <c r="O4944" s="308"/>
      <c r="P4944" s="308" t="s">
        <v>38048</v>
      </c>
      <c r="Q4944" s="308" t="s">
        <v>38034</v>
      </c>
      <c r="R4944" s="308" t="s">
        <v>2743</v>
      </c>
      <c r="S4944" s="308" t="s">
        <v>49</v>
      </c>
      <c r="T4944" s="308" t="s">
        <v>51</v>
      </c>
      <c r="U4944" s="308" t="s">
        <v>125</v>
      </c>
      <c r="V4944" s="308"/>
    </row>
    <row r="4945">
      <c r="A4945" s="308">
        <v>4944.0</v>
      </c>
      <c r="B4945" s="308"/>
      <c r="C4945" s="308" t="s">
        <v>19957</v>
      </c>
      <c r="D4945" s="308">
        <f>IFERROR(__xludf.DUMMYFUNCTION("SPLIT(C4945,""-"")"),4965.0)</f>
        <v>4965</v>
      </c>
      <c r="E4945" s="308" t="str">
        <f>IFERROR(__xludf.DUMMYFUNCTION("""COMPUTED_VALUE"""),"F")</f>
        <v>F</v>
      </c>
      <c r="F4945" s="309" t="s">
        <v>34</v>
      </c>
      <c r="G4945" s="308"/>
      <c r="H4945" s="308" t="s">
        <v>19958</v>
      </c>
      <c r="I4945" s="310">
        <v>42522.0</v>
      </c>
      <c r="J4945" s="319">
        <f>IFERROR(__xludf.DUMMYFUNCTION("SPLIT(I4945,""/"")"),1.0)</f>
        <v>1</v>
      </c>
      <c r="K4945" s="308">
        <f>IFERROR(__xludf.DUMMYFUNCTION("""COMPUTED_VALUE"""),6.0)</f>
        <v>6</v>
      </c>
      <c r="L4945" s="308">
        <f>IFERROR(__xludf.DUMMYFUNCTION("""COMPUTED_VALUE"""),2016.0)</f>
        <v>2016</v>
      </c>
      <c r="M4945" s="308" t="s">
        <v>19959</v>
      </c>
      <c r="N4945" s="308"/>
      <c r="O4945" s="308"/>
      <c r="P4945" s="308" t="s">
        <v>19960</v>
      </c>
      <c r="Q4945" s="308" t="s">
        <v>38034</v>
      </c>
      <c r="R4945" s="308" t="s">
        <v>2743</v>
      </c>
      <c r="S4945" s="308" t="s">
        <v>81</v>
      </c>
      <c r="T4945" s="311" t="s">
        <v>73</v>
      </c>
      <c r="U4945" s="308" t="s">
        <v>195</v>
      </c>
      <c r="V4945" s="308"/>
    </row>
    <row r="4946">
      <c r="A4946" s="308">
        <v>4945.0</v>
      </c>
      <c r="B4946" s="308"/>
      <c r="C4946" s="308" t="s">
        <v>19961</v>
      </c>
      <c r="D4946" s="308">
        <f>IFERROR(__xludf.DUMMYFUNCTION("SPLIT(C4946,""-"")"),4966.0)</f>
        <v>4966</v>
      </c>
      <c r="E4946" s="308" t="str">
        <f>IFERROR(__xludf.DUMMYFUNCTION("""COMPUTED_VALUE"""),"S")</f>
        <v>S</v>
      </c>
      <c r="F4946" s="312" t="s">
        <v>39</v>
      </c>
      <c r="G4946" s="308"/>
      <c r="H4946" s="308" t="s">
        <v>19962</v>
      </c>
      <c r="I4946" s="310">
        <v>41842.0</v>
      </c>
      <c r="J4946" s="319">
        <f>IFERROR(__xludf.DUMMYFUNCTION("SPLIT(I4946,""/"")"),22.0)</f>
        <v>22</v>
      </c>
      <c r="K4946" s="308">
        <f>IFERROR(__xludf.DUMMYFUNCTION("""COMPUTED_VALUE"""),7.0)</f>
        <v>7</v>
      </c>
      <c r="L4946" s="308">
        <f>IFERROR(__xludf.DUMMYFUNCTION("""COMPUTED_VALUE"""),2014.0)</f>
        <v>2014</v>
      </c>
      <c r="M4946" s="308" t="s">
        <v>19963</v>
      </c>
      <c r="N4946" s="308"/>
      <c r="O4946" s="308"/>
      <c r="P4946" s="308" t="s">
        <v>38049</v>
      </c>
      <c r="Q4946" s="308" t="s">
        <v>38034</v>
      </c>
      <c r="R4946" s="308" t="s">
        <v>2743</v>
      </c>
      <c r="S4946" s="308" t="s">
        <v>49</v>
      </c>
      <c r="T4946" s="308" t="s">
        <v>51</v>
      </c>
      <c r="U4946" s="308" t="s">
        <v>15789</v>
      </c>
      <c r="V4946" s="308"/>
    </row>
    <row r="4947">
      <c r="A4947" s="308">
        <v>4946.0</v>
      </c>
      <c r="B4947" s="308"/>
      <c r="C4947" s="308" t="s">
        <v>19965</v>
      </c>
      <c r="D4947" s="308">
        <f>IFERROR(__xludf.DUMMYFUNCTION("SPLIT(C4947,""-"")"),4967.0)</f>
        <v>4967</v>
      </c>
      <c r="E4947" s="308" t="str">
        <f>IFERROR(__xludf.DUMMYFUNCTION("""COMPUTED_VALUE"""),"K")</f>
        <v>K</v>
      </c>
      <c r="F4947" s="309" t="s">
        <v>34</v>
      </c>
      <c r="G4947" s="308"/>
      <c r="H4947" s="308" t="s">
        <v>19966</v>
      </c>
      <c r="I4947" s="310">
        <v>40076.0</v>
      </c>
      <c r="J4947" s="319">
        <f>IFERROR(__xludf.DUMMYFUNCTION("SPLIT(I4947,""/"")"),20.0)</f>
        <v>20</v>
      </c>
      <c r="K4947" s="308">
        <f>IFERROR(__xludf.DUMMYFUNCTION("""COMPUTED_VALUE"""),9.0)</f>
        <v>9</v>
      </c>
      <c r="L4947" s="308">
        <f>IFERROR(__xludf.DUMMYFUNCTION("""COMPUTED_VALUE"""),2009.0)</f>
        <v>2009</v>
      </c>
      <c r="M4947" s="308" t="s">
        <v>38050</v>
      </c>
      <c r="N4947" s="308"/>
      <c r="O4947" s="308"/>
      <c r="P4947" s="308" t="s">
        <v>5679</v>
      </c>
      <c r="Q4947" s="308" t="s">
        <v>38034</v>
      </c>
      <c r="R4947" s="308" t="s">
        <v>2743</v>
      </c>
      <c r="S4947" s="315" t="s">
        <v>100</v>
      </c>
      <c r="T4947" s="311" t="s">
        <v>34208</v>
      </c>
      <c r="U4947" s="308" t="s">
        <v>530</v>
      </c>
      <c r="V4947" s="308"/>
    </row>
    <row r="4948">
      <c r="A4948" s="308">
        <v>4947.0</v>
      </c>
      <c r="B4948" s="308"/>
      <c r="C4948" s="308" t="s">
        <v>19968</v>
      </c>
      <c r="D4948" s="308">
        <f>IFERROR(__xludf.DUMMYFUNCTION("SPLIT(C4948,""-"")"),4968.0)</f>
        <v>4968</v>
      </c>
      <c r="E4948" s="308" t="str">
        <f>IFERROR(__xludf.DUMMYFUNCTION("""COMPUTED_VALUE"""),"K")</f>
        <v>K</v>
      </c>
      <c r="F4948" s="309" t="s">
        <v>34</v>
      </c>
      <c r="G4948" s="308"/>
      <c r="H4948" s="308" t="s">
        <v>38051</v>
      </c>
      <c r="I4948" s="310">
        <v>43184.0</v>
      </c>
      <c r="J4948" s="319">
        <f>IFERROR(__xludf.DUMMYFUNCTION("SPLIT(I4948,""/"")"),25.0)</f>
        <v>25</v>
      </c>
      <c r="K4948" s="308">
        <f>IFERROR(__xludf.DUMMYFUNCTION("""COMPUTED_VALUE"""),3.0)</f>
        <v>3</v>
      </c>
      <c r="L4948" s="308">
        <f>IFERROR(__xludf.DUMMYFUNCTION("""COMPUTED_VALUE"""),2018.0)</f>
        <v>2018</v>
      </c>
      <c r="M4948" s="308" t="s">
        <v>19970</v>
      </c>
      <c r="N4948" s="308"/>
      <c r="O4948" s="308"/>
      <c r="P4948" s="308" t="s">
        <v>38052</v>
      </c>
      <c r="Q4948" s="308" t="s">
        <v>38034</v>
      </c>
      <c r="R4948" s="308" t="s">
        <v>2743</v>
      </c>
      <c r="S4948" s="308" t="s">
        <v>81</v>
      </c>
      <c r="T4948" s="311" t="s">
        <v>75</v>
      </c>
      <c r="U4948" s="308" t="s">
        <v>2989</v>
      </c>
      <c r="V4948" s="308"/>
    </row>
    <row r="4949">
      <c r="A4949" s="308">
        <v>4948.0</v>
      </c>
      <c r="B4949" s="308"/>
      <c r="C4949" s="308" t="s">
        <v>19972</v>
      </c>
      <c r="D4949" s="308">
        <f>IFERROR(__xludf.DUMMYFUNCTION("SPLIT(C4949,""-"")"),4969.0)</f>
        <v>4969</v>
      </c>
      <c r="E4949" s="308" t="str">
        <f>IFERROR(__xludf.DUMMYFUNCTION("""COMPUTED_VALUE"""),"K")</f>
        <v>K</v>
      </c>
      <c r="F4949" s="309" t="s">
        <v>34</v>
      </c>
      <c r="G4949" s="308"/>
      <c r="H4949" s="308" t="s">
        <v>19973</v>
      </c>
      <c r="I4949" s="310">
        <v>42919.0</v>
      </c>
      <c r="J4949" s="319" t="str">
        <f>IFERROR(__xludf.DUMMYFUNCTION("SPLIT(I4949,""/"")"),"#REF!")</f>
        <v>#REF!</v>
      </c>
      <c r="K4949" s="308"/>
      <c r="L4949" s="308">
        <v>2017.0</v>
      </c>
      <c r="M4949" s="308" t="s">
        <v>19974</v>
      </c>
      <c r="N4949" s="308"/>
      <c r="O4949" s="308"/>
      <c r="P4949" s="308" t="s">
        <v>19975</v>
      </c>
      <c r="Q4949" s="308" t="s">
        <v>38053</v>
      </c>
      <c r="R4949" s="308" t="s">
        <v>13810</v>
      </c>
      <c r="S4949" s="308" t="s">
        <v>81</v>
      </c>
      <c r="T4949" s="308" t="s">
        <v>75</v>
      </c>
      <c r="U4949" s="308" t="s">
        <v>201</v>
      </c>
      <c r="V4949" s="308"/>
    </row>
    <row r="4950">
      <c r="A4950" s="308">
        <v>4949.0</v>
      </c>
      <c r="B4950" s="308"/>
      <c r="C4950" s="308" t="s">
        <v>19976</v>
      </c>
      <c r="D4950" s="308">
        <f>IFERROR(__xludf.DUMMYFUNCTION("SPLIT(C4950,""-"")"),4970.0)</f>
        <v>4970</v>
      </c>
      <c r="E4950" s="308" t="str">
        <f>IFERROR(__xludf.DUMMYFUNCTION("""COMPUTED_VALUE"""),"S")</f>
        <v>S</v>
      </c>
      <c r="F4950" s="312" t="s">
        <v>39</v>
      </c>
      <c r="G4950" s="308"/>
      <c r="H4950" s="308" t="s">
        <v>19977</v>
      </c>
      <c r="I4950" s="310">
        <v>40639.0</v>
      </c>
      <c r="J4950" s="319">
        <f>IFERROR(__xludf.DUMMYFUNCTION("SPLIT(I4950,""/"")"),6.0)</f>
        <v>6</v>
      </c>
      <c r="K4950" s="308">
        <f>IFERROR(__xludf.DUMMYFUNCTION("""COMPUTED_VALUE"""),4.0)</f>
        <v>4</v>
      </c>
      <c r="L4950" s="308">
        <f>IFERROR(__xludf.DUMMYFUNCTION("""COMPUTED_VALUE"""),2011.0)</f>
        <v>2011</v>
      </c>
      <c r="M4950" s="308" t="s">
        <v>19978</v>
      </c>
      <c r="N4950" s="308"/>
      <c r="O4950" s="308"/>
      <c r="P4950" s="308" t="s">
        <v>38054</v>
      </c>
      <c r="Q4950" s="308" t="s">
        <v>38053</v>
      </c>
      <c r="R4950" s="308" t="s">
        <v>2743</v>
      </c>
      <c r="S4950" s="308" t="s">
        <v>49</v>
      </c>
      <c r="T4950" s="308" t="s">
        <v>51</v>
      </c>
      <c r="U4950" s="308" t="s">
        <v>166</v>
      </c>
      <c r="V4950" s="308"/>
    </row>
    <row r="4951">
      <c r="A4951" s="308">
        <v>4950.0</v>
      </c>
      <c r="B4951" s="308"/>
      <c r="C4951" s="308" t="s">
        <v>19980</v>
      </c>
      <c r="D4951" s="308">
        <f>IFERROR(__xludf.DUMMYFUNCTION("SPLIT(C4951,""-"")"),4971.0)</f>
        <v>4971</v>
      </c>
      <c r="E4951" s="308" t="str">
        <f>IFERROR(__xludf.DUMMYFUNCTION("""COMPUTED_VALUE"""),"P")</f>
        <v>P</v>
      </c>
      <c r="F4951" s="312" t="s">
        <v>37</v>
      </c>
      <c r="G4951" s="308"/>
      <c r="H4951" s="308" t="s">
        <v>19981</v>
      </c>
      <c r="I4951" s="310">
        <v>43138.0</v>
      </c>
      <c r="J4951" s="319">
        <f>IFERROR(__xludf.DUMMYFUNCTION("SPLIT(I4951,""/"")"),7.0)</f>
        <v>7</v>
      </c>
      <c r="K4951" s="308">
        <f>IFERROR(__xludf.DUMMYFUNCTION("""COMPUTED_VALUE"""),2.0)</f>
        <v>2</v>
      </c>
      <c r="L4951" s="308">
        <f>IFERROR(__xludf.DUMMYFUNCTION("""COMPUTED_VALUE"""),2018.0)</f>
        <v>2018</v>
      </c>
      <c r="M4951" s="308" t="s">
        <v>19982</v>
      </c>
      <c r="N4951" s="308"/>
      <c r="O4951" s="308"/>
      <c r="P4951" s="308" t="s">
        <v>19983</v>
      </c>
      <c r="Q4951" s="308" t="s">
        <v>38053</v>
      </c>
      <c r="R4951" s="308" t="s">
        <v>2743</v>
      </c>
      <c r="S4951" s="308" t="s">
        <v>81</v>
      </c>
      <c r="T4951" s="308" t="s">
        <v>75</v>
      </c>
      <c r="U4951" s="308" t="s">
        <v>149</v>
      </c>
      <c r="V4951" s="308"/>
    </row>
    <row r="4952">
      <c r="A4952" s="308">
        <v>4951.0</v>
      </c>
      <c r="B4952" s="308"/>
      <c r="C4952" s="308" t="s">
        <v>19984</v>
      </c>
      <c r="D4952" s="308">
        <f>IFERROR(__xludf.DUMMYFUNCTION("SPLIT(C4952,""-"")"),4972.0)</f>
        <v>4972</v>
      </c>
      <c r="E4952" s="308" t="str">
        <f>IFERROR(__xludf.DUMMYFUNCTION("""COMPUTED_VALUE"""),"S")</f>
        <v>S</v>
      </c>
      <c r="F4952" s="312" t="s">
        <v>39</v>
      </c>
      <c r="G4952" s="308"/>
      <c r="H4952" s="308" t="s">
        <v>19985</v>
      </c>
      <c r="I4952" s="310">
        <v>43010.0</v>
      </c>
      <c r="J4952" s="319">
        <f>IFERROR(__xludf.DUMMYFUNCTION("SPLIT(I4952,""/"")"),2.0)</f>
        <v>2</v>
      </c>
      <c r="K4952" s="308">
        <f>IFERROR(__xludf.DUMMYFUNCTION("""COMPUTED_VALUE"""),10.0)</f>
        <v>10</v>
      </c>
      <c r="L4952" s="308">
        <f>IFERROR(__xludf.DUMMYFUNCTION("""COMPUTED_VALUE"""),2017.0)</f>
        <v>2017</v>
      </c>
      <c r="M4952" s="308" t="s">
        <v>19986</v>
      </c>
      <c r="N4952" s="308"/>
      <c r="O4952" s="308"/>
      <c r="P4952" s="308" t="s">
        <v>38055</v>
      </c>
      <c r="Q4952" s="308" t="s">
        <v>38056</v>
      </c>
      <c r="R4952" s="308" t="s">
        <v>2743</v>
      </c>
      <c r="S4952" s="308" t="s">
        <v>81</v>
      </c>
      <c r="T4952" s="308" t="s">
        <v>75</v>
      </c>
      <c r="U4952" s="308" t="s">
        <v>166</v>
      </c>
      <c r="V4952" s="308"/>
    </row>
    <row r="4953">
      <c r="A4953" s="308">
        <v>4952.0</v>
      </c>
      <c r="B4953" s="308"/>
      <c r="C4953" s="308" t="s">
        <v>19988</v>
      </c>
      <c r="D4953" s="308">
        <f>IFERROR(__xludf.DUMMYFUNCTION("SPLIT(C4953,""-"")"),4973.0)</f>
        <v>4973</v>
      </c>
      <c r="E4953" s="308" t="str">
        <f>IFERROR(__xludf.DUMMYFUNCTION("""COMPUTED_VALUE"""),"F")</f>
        <v>F</v>
      </c>
      <c r="F4953" s="309" t="s">
        <v>34</v>
      </c>
      <c r="G4953" s="308"/>
      <c r="H4953" s="308" t="s">
        <v>19989</v>
      </c>
      <c r="I4953" s="310">
        <v>41135.0</v>
      </c>
      <c r="J4953" s="319">
        <f>IFERROR(__xludf.DUMMYFUNCTION("SPLIT(I4953,""/"")"),14.0)</f>
        <v>14</v>
      </c>
      <c r="K4953" s="308">
        <f>IFERROR(__xludf.DUMMYFUNCTION("""COMPUTED_VALUE"""),8.0)</f>
        <v>8</v>
      </c>
      <c r="L4953" s="308">
        <f>IFERROR(__xludf.DUMMYFUNCTION("""COMPUTED_VALUE"""),2012.0)</f>
        <v>2012</v>
      </c>
      <c r="M4953" s="308" t="s">
        <v>19990</v>
      </c>
      <c r="N4953" s="308"/>
      <c r="O4953" s="308"/>
      <c r="P4953" s="308" t="s">
        <v>6393</v>
      </c>
      <c r="Q4953" s="308" t="s">
        <v>38056</v>
      </c>
      <c r="R4953" s="308" t="s">
        <v>2743</v>
      </c>
      <c r="S4953" s="315" t="s">
        <v>100</v>
      </c>
      <c r="T4953" s="311" t="s">
        <v>34208</v>
      </c>
      <c r="U4953" s="308" t="s">
        <v>195</v>
      </c>
      <c r="V4953" s="308"/>
    </row>
    <row r="4954">
      <c r="A4954" s="308">
        <v>4953.0</v>
      </c>
      <c r="B4954" s="308"/>
      <c r="C4954" s="308" t="s">
        <v>19991</v>
      </c>
      <c r="D4954" s="308">
        <f>IFERROR(__xludf.DUMMYFUNCTION("SPLIT(C4954,""-"")"),4974.0)</f>
        <v>4974</v>
      </c>
      <c r="E4954" s="308" t="str">
        <f>IFERROR(__xludf.DUMMYFUNCTION("""COMPUTED_VALUE"""),"P")</f>
        <v>P</v>
      </c>
      <c r="F4954" s="312" t="s">
        <v>37</v>
      </c>
      <c r="G4954" s="308"/>
      <c r="H4954" s="308" t="s">
        <v>19992</v>
      </c>
      <c r="I4954" s="310">
        <v>43148.0</v>
      </c>
      <c r="J4954" s="319">
        <f>IFERROR(__xludf.DUMMYFUNCTION("SPLIT(I4954,""/"")"),17.0)</f>
        <v>17</v>
      </c>
      <c r="K4954" s="308">
        <f>IFERROR(__xludf.DUMMYFUNCTION("""COMPUTED_VALUE"""),2.0)</f>
        <v>2</v>
      </c>
      <c r="L4954" s="308">
        <f>IFERROR(__xludf.DUMMYFUNCTION("""COMPUTED_VALUE"""),2018.0)</f>
        <v>2018</v>
      </c>
      <c r="M4954" s="308" t="s">
        <v>19993</v>
      </c>
      <c r="N4954" s="308"/>
      <c r="O4954" s="308" t="s">
        <v>19994</v>
      </c>
      <c r="P4954" s="308" t="s">
        <v>38057</v>
      </c>
      <c r="Q4954" s="308" t="s">
        <v>38056</v>
      </c>
      <c r="R4954" s="308" t="s">
        <v>2743</v>
      </c>
      <c r="S4954" s="308" t="s">
        <v>81</v>
      </c>
      <c r="T4954" s="308" t="s">
        <v>75</v>
      </c>
      <c r="U4954" s="308" t="s">
        <v>1664</v>
      </c>
      <c r="V4954" s="308"/>
    </row>
    <row r="4955">
      <c r="A4955" s="308">
        <v>4954.0</v>
      </c>
      <c r="B4955" s="308"/>
      <c r="C4955" s="308" t="s">
        <v>19996</v>
      </c>
      <c r="D4955" s="308">
        <f>IFERROR(__xludf.DUMMYFUNCTION("SPLIT(C4955,""-"")"),4975.0)</f>
        <v>4975</v>
      </c>
      <c r="E4955" s="308" t="str">
        <f>IFERROR(__xludf.DUMMYFUNCTION("""COMPUTED_VALUE"""),"K")</f>
        <v>K</v>
      </c>
      <c r="F4955" s="309" t="s">
        <v>34</v>
      </c>
      <c r="G4955" s="308"/>
      <c r="H4955" s="308" t="s">
        <v>19997</v>
      </c>
      <c r="I4955" s="310">
        <v>41539.0</v>
      </c>
      <c r="J4955" s="319">
        <f>IFERROR(__xludf.DUMMYFUNCTION("SPLIT(I4955,""/"")"),22.0)</f>
        <v>22</v>
      </c>
      <c r="K4955" s="308">
        <f>IFERROR(__xludf.DUMMYFUNCTION("""COMPUTED_VALUE"""),9.0)</f>
        <v>9</v>
      </c>
      <c r="L4955" s="308">
        <f>IFERROR(__xludf.DUMMYFUNCTION("""COMPUTED_VALUE"""),2013.0)</f>
        <v>2013</v>
      </c>
      <c r="M4955" s="308" t="s">
        <v>19998</v>
      </c>
      <c r="N4955" s="308"/>
      <c r="O4955" s="308" t="s">
        <v>19999</v>
      </c>
      <c r="P4955" s="308" t="s">
        <v>38058</v>
      </c>
      <c r="Q4955" s="308" t="s">
        <v>38056</v>
      </c>
      <c r="R4955" s="308" t="s">
        <v>2743</v>
      </c>
      <c r="S4955" s="308" t="s">
        <v>81</v>
      </c>
      <c r="T4955" s="308" t="s">
        <v>34264</v>
      </c>
      <c r="U4955" s="308" t="s">
        <v>530</v>
      </c>
      <c r="V4955" s="308"/>
    </row>
    <row r="4956">
      <c r="A4956" s="308">
        <v>4955.0</v>
      </c>
      <c r="B4956" s="308"/>
      <c r="C4956" s="308" t="s">
        <v>20001</v>
      </c>
      <c r="D4956" s="308">
        <f>IFERROR(__xludf.DUMMYFUNCTION("SPLIT(C4956,""-"")"),4976.0)</f>
        <v>4976</v>
      </c>
      <c r="E4956" s="308" t="str">
        <f>IFERROR(__xludf.DUMMYFUNCTION("""COMPUTED_VALUE"""),"S")</f>
        <v>S</v>
      </c>
      <c r="F4956" s="312" t="s">
        <v>39</v>
      </c>
      <c r="G4956" s="308"/>
      <c r="H4956" s="308" t="s">
        <v>20002</v>
      </c>
      <c r="I4956" s="310">
        <v>43199.0</v>
      </c>
      <c r="J4956" s="319">
        <f>IFERROR(__xludf.DUMMYFUNCTION("SPLIT(I4956,""/"")"),9.0)</f>
        <v>9</v>
      </c>
      <c r="K4956" s="308">
        <f>IFERROR(__xludf.DUMMYFUNCTION("""COMPUTED_VALUE"""),4.0)</f>
        <v>4</v>
      </c>
      <c r="L4956" s="308">
        <f>IFERROR(__xludf.DUMMYFUNCTION("""COMPUTED_VALUE"""),2018.0)</f>
        <v>2018</v>
      </c>
      <c r="M4956" s="308" t="s">
        <v>20003</v>
      </c>
      <c r="N4956" s="308"/>
      <c r="O4956" s="308"/>
      <c r="P4956" s="308" t="s">
        <v>20004</v>
      </c>
      <c r="Q4956" s="308" t="s">
        <v>38056</v>
      </c>
      <c r="R4956" s="308" t="s">
        <v>2743</v>
      </c>
      <c r="S4956" s="308" t="s">
        <v>81</v>
      </c>
      <c r="T4956" s="308" t="s">
        <v>75</v>
      </c>
      <c r="U4956" s="308" t="s">
        <v>166</v>
      </c>
      <c r="V4956" s="308"/>
    </row>
    <row r="4957">
      <c r="A4957" s="308">
        <v>4956.0</v>
      </c>
      <c r="B4957" s="308"/>
      <c r="C4957" s="308" t="s">
        <v>20005</v>
      </c>
      <c r="D4957" s="308">
        <f>IFERROR(__xludf.DUMMYFUNCTION("SPLIT(C4957,""-"")"),4977.0)</f>
        <v>4977</v>
      </c>
      <c r="E4957" s="308" t="str">
        <f>IFERROR(__xludf.DUMMYFUNCTION("""COMPUTED_VALUE"""),"P")</f>
        <v>P</v>
      </c>
      <c r="F4957" s="312" t="s">
        <v>37</v>
      </c>
      <c r="G4957" s="308"/>
      <c r="H4957" s="308" t="s">
        <v>20006</v>
      </c>
      <c r="I4957" s="310">
        <v>42461.0</v>
      </c>
      <c r="J4957" s="319">
        <f>IFERROR(__xludf.DUMMYFUNCTION("SPLIT(I4957,""/"")"),1.0)</f>
        <v>1</v>
      </c>
      <c r="K4957" s="308">
        <f>IFERROR(__xludf.DUMMYFUNCTION("""COMPUTED_VALUE"""),4.0)</f>
        <v>4</v>
      </c>
      <c r="L4957" s="308">
        <f>IFERROR(__xludf.DUMMYFUNCTION("""COMPUTED_VALUE"""),2016.0)</f>
        <v>2016</v>
      </c>
      <c r="M4957" s="308" t="s">
        <v>20007</v>
      </c>
      <c r="N4957" s="308"/>
      <c r="O4957" s="308" t="s">
        <v>38059</v>
      </c>
      <c r="P4957" s="308" t="s">
        <v>38060</v>
      </c>
      <c r="Q4957" s="308" t="s">
        <v>38056</v>
      </c>
      <c r="R4957" s="308" t="s">
        <v>2743</v>
      </c>
      <c r="S4957" s="308" t="s">
        <v>81</v>
      </c>
      <c r="T4957" s="311" t="s">
        <v>63</v>
      </c>
      <c r="U4957" s="308" t="s">
        <v>5537</v>
      </c>
      <c r="V4957" s="308"/>
    </row>
    <row r="4958">
      <c r="A4958" s="308">
        <v>4957.0</v>
      </c>
      <c r="B4958" s="308"/>
      <c r="C4958" s="308" t="s">
        <v>20010</v>
      </c>
      <c r="D4958" s="308">
        <f>IFERROR(__xludf.DUMMYFUNCTION("SPLIT(C4958,""-"")"),4978.0)</f>
        <v>4978</v>
      </c>
      <c r="E4958" s="308" t="str">
        <f>IFERROR(__xludf.DUMMYFUNCTION("""COMPUTED_VALUE"""),"P")</f>
        <v>P</v>
      </c>
      <c r="F4958" s="312" t="s">
        <v>37</v>
      </c>
      <c r="G4958" s="308"/>
      <c r="H4958" s="308" t="s">
        <v>20011</v>
      </c>
      <c r="I4958" s="310">
        <v>42461.0</v>
      </c>
      <c r="J4958" s="319">
        <f>IFERROR(__xludf.DUMMYFUNCTION("SPLIT(I4958,""/"")"),1.0)</f>
        <v>1</v>
      </c>
      <c r="K4958" s="308">
        <f>IFERROR(__xludf.DUMMYFUNCTION("""COMPUTED_VALUE"""),4.0)</f>
        <v>4</v>
      </c>
      <c r="L4958" s="308">
        <f>IFERROR(__xludf.DUMMYFUNCTION("""COMPUTED_VALUE"""),2016.0)</f>
        <v>2016</v>
      </c>
      <c r="M4958" s="308" t="s">
        <v>20007</v>
      </c>
      <c r="N4958" s="308"/>
      <c r="O4958" s="308"/>
      <c r="P4958" s="308" t="s">
        <v>38061</v>
      </c>
      <c r="Q4958" s="308" t="s">
        <v>38056</v>
      </c>
      <c r="R4958" s="308" t="s">
        <v>2743</v>
      </c>
      <c r="S4958" s="308" t="s">
        <v>81</v>
      </c>
      <c r="T4958" s="308" t="s">
        <v>75</v>
      </c>
      <c r="U4958" s="308" t="s">
        <v>5537</v>
      </c>
      <c r="V4958" s="308"/>
    </row>
    <row r="4959">
      <c r="A4959" s="308">
        <v>4958.0</v>
      </c>
      <c r="B4959" s="308"/>
      <c r="C4959" s="308" t="s">
        <v>20013</v>
      </c>
      <c r="D4959" s="308">
        <f>IFERROR(__xludf.DUMMYFUNCTION("SPLIT(C4959,""-"")"),4979.0)</f>
        <v>4979</v>
      </c>
      <c r="E4959" s="308" t="str">
        <f>IFERROR(__xludf.DUMMYFUNCTION("""COMPUTED_VALUE"""),"K")</f>
        <v>K</v>
      </c>
      <c r="F4959" s="309" t="s">
        <v>34</v>
      </c>
      <c r="G4959" s="308"/>
      <c r="H4959" s="308" t="s">
        <v>20014</v>
      </c>
      <c r="I4959" s="310">
        <v>43125.0</v>
      </c>
      <c r="J4959" s="319">
        <f>IFERROR(__xludf.DUMMYFUNCTION("SPLIT(I4959,""/"")"),25.0)</f>
        <v>25</v>
      </c>
      <c r="K4959" s="308">
        <f>IFERROR(__xludf.DUMMYFUNCTION("""COMPUTED_VALUE"""),1.0)</f>
        <v>1</v>
      </c>
      <c r="L4959" s="308">
        <f>IFERROR(__xludf.DUMMYFUNCTION("""COMPUTED_VALUE"""),2018.0)</f>
        <v>2018</v>
      </c>
      <c r="M4959" s="308" t="s">
        <v>20015</v>
      </c>
      <c r="N4959" s="308"/>
      <c r="O4959" s="308" t="s">
        <v>20016</v>
      </c>
      <c r="P4959" s="308" t="s">
        <v>38062</v>
      </c>
      <c r="Q4959" s="308" t="s">
        <v>38056</v>
      </c>
      <c r="R4959" s="308" t="s">
        <v>2743</v>
      </c>
      <c r="S4959" s="308" t="s">
        <v>81</v>
      </c>
      <c r="T4959" s="311" t="s">
        <v>51</v>
      </c>
      <c r="U4959" s="308" t="s">
        <v>3714</v>
      </c>
      <c r="V4959" s="308"/>
    </row>
    <row r="4960">
      <c r="A4960" s="308">
        <v>4959.0</v>
      </c>
      <c r="B4960" s="308"/>
      <c r="C4960" s="308" t="s">
        <v>20018</v>
      </c>
      <c r="D4960" s="308">
        <f>IFERROR(__xludf.DUMMYFUNCTION("SPLIT(C4960,""-"")"),4980.0)</f>
        <v>4980</v>
      </c>
      <c r="E4960" s="308" t="str">
        <f>IFERROR(__xludf.DUMMYFUNCTION("""COMPUTED_VALUE"""),"P")</f>
        <v>P</v>
      </c>
      <c r="F4960" s="312" t="s">
        <v>37</v>
      </c>
      <c r="G4960" s="308"/>
      <c r="H4960" s="308" t="s">
        <v>20019</v>
      </c>
      <c r="I4960" s="310">
        <v>43136.0</v>
      </c>
      <c r="J4960" s="319">
        <f>IFERROR(__xludf.DUMMYFUNCTION("SPLIT(I4960,""/"")"),5.0)</f>
        <v>5</v>
      </c>
      <c r="K4960" s="308">
        <f>IFERROR(__xludf.DUMMYFUNCTION("""COMPUTED_VALUE"""),2.0)</f>
        <v>2</v>
      </c>
      <c r="L4960" s="308">
        <f>IFERROR(__xludf.DUMMYFUNCTION("""COMPUTED_VALUE"""),2018.0)</f>
        <v>2018</v>
      </c>
      <c r="M4960" s="308" t="s">
        <v>20020</v>
      </c>
      <c r="N4960" s="308"/>
      <c r="O4960" s="308"/>
      <c r="P4960" s="308" t="s">
        <v>38063</v>
      </c>
      <c r="Q4960" s="308" t="s">
        <v>38064</v>
      </c>
      <c r="R4960" s="308" t="s">
        <v>2743</v>
      </c>
      <c r="S4960" s="308" t="s">
        <v>81</v>
      </c>
      <c r="T4960" s="311" t="s">
        <v>51</v>
      </c>
      <c r="U4960" s="308" t="s">
        <v>2527</v>
      </c>
      <c r="V4960" s="308"/>
    </row>
    <row r="4961">
      <c r="A4961" s="308">
        <v>4960.0</v>
      </c>
      <c r="B4961" s="308"/>
      <c r="C4961" s="308" t="s">
        <v>20022</v>
      </c>
      <c r="D4961" s="308">
        <f>IFERROR(__xludf.DUMMYFUNCTION("SPLIT(C4961,""-"")"),4981.0)</f>
        <v>4981</v>
      </c>
      <c r="E4961" s="308" t="str">
        <f>IFERROR(__xludf.DUMMYFUNCTION("""COMPUTED_VALUE"""),"S")</f>
        <v>S</v>
      </c>
      <c r="F4961" s="312" t="s">
        <v>39</v>
      </c>
      <c r="G4961" s="308"/>
      <c r="H4961" s="308" t="s">
        <v>20023</v>
      </c>
      <c r="I4961" s="310">
        <v>42153.0</v>
      </c>
      <c r="J4961" s="319">
        <f>IFERROR(__xludf.DUMMYFUNCTION("SPLIT(I4961,""/"")"),29.0)</f>
        <v>29</v>
      </c>
      <c r="K4961" s="308">
        <f>IFERROR(__xludf.DUMMYFUNCTION("""COMPUTED_VALUE"""),5.0)</f>
        <v>5</v>
      </c>
      <c r="L4961" s="308">
        <f>IFERROR(__xludf.DUMMYFUNCTION("""COMPUTED_VALUE"""),2015.0)</f>
        <v>2015</v>
      </c>
      <c r="M4961" s="308" t="s">
        <v>20024</v>
      </c>
      <c r="N4961" s="308"/>
      <c r="O4961" s="308"/>
      <c r="P4961" s="308" t="s">
        <v>38065</v>
      </c>
      <c r="Q4961" s="308" t="s">
        <v>38064</v>
      </c>
      <c r="R4961" s="308" t="s">
        <v>2743</v>
      </c>
      <c r="S4961" s="308" t="s">
        <v>81</v>
      </c>
      <c r="T4961" s="308" t="s">
        <v>34264</v>
      </c>
      <c r="U4961" s="308" t="s">
        <v>12947</v>
      </c>
      <c r="V4961" s="308"/>
    </row>
    <row r="4962">
      <c r="A4962" s="308">
        <v>4961.0</v>
      </c>
      <c r="B4962" s="308"/>
      <c r="C4962" s="308" t="s">
        <v>20026</v>
      </c>
      <c r="D4962" s="308">
        <f>IFERROR(__xludf.DUMMYFUNCTION("SPLIT(C4962,""-"")"),4982.0)</f>
        <v>4982</v>
      </c>
      <c r="E4962" s="308" t="str">
        <f>IFERROR(__xludf.DUMMYFUNCTION("""COMPUTED_VALUE"""),"K")</f>
        <v>K</v>
      </c>
      <c r="F4962" s="309" t="s">
        <v>34</v>
      </c>
      <c r="G4962" s="308"/>
      <c r="H4962" s="308" t="s">
        <v>20027</v>
      </c>
      <c r="I4962" s="310">
        <v>39995.0</v>
      </c>
      <c r="J4962" s="319">
        <f>IFERROR(__xludf.DUMMYFUNCTION("SPLIT(I4962,""/"")"),1.0)</f>
        <v>1</v>
      </c>
      <c r="K4962" s="308">
        <f>IFERROR(__xludf.DUMMYFUNCTION("""COMPUTED_VALUE"""),7.0)</f>
        <v>7</v>
      </c>
      <c r="L4962" s="308">
        <f>IFERROR(__xludf.DUMMYFUNCTION("""COMPUTED_VALUE"""),2009.0)</f>
        <v>2009</v>
      </c>
      <c r="M4962" s="308" t="s">
        <v>20028</v>
      </c>
      <c r="N4962" s="308"/>
      <c r="O4962" s="308" t="s">
        <v>20029</v>
      </c>
      <c r="P4962" s="308" t="s">
        <v>5679</v>
      </c>
      <c r="Q4962" s="308" t="s">
        <v>38064</v>
      </c>
      <c r="R4962" s="308" t="s">
        <v>2743</v>
      </c>
      <c r="S4962" s="315" t="s">
        <v>100</v>
      </c>
      <c r="T4962" s="311" t="s">
        <v>34208</v>
      </c>
      <c r="U4962" s="308" t="s">
        <v>530</v>
      </c>
      <c r="V4962" s="308"/>
    </row>
    <row r="4963">
      <c r="A4963" s="308">
        <v>4962.0</v>
      </c>
      <c r="B4963" s="308"/>
      <c r="C4963" s="308" t="s">
        <v>20030</v>
      </c>
      <c r="D4963" s="308">
        <f>IFERROR(__xludf.DUMMYFUNCTION("SPLIT(C4963,""-"")"),4983.0)</f>
        <v>4983</v>
      </c>
      <c r="E4963" s="308" t="str">
        <f>IFERROR(__xludf.DUMMYFUNCTION("""COMPUTED_VALUE"""),"K")</f>
        <v>K</v>
      </c>
      <c r="F4963" s="309" t="s">
        <v>34</v>
      </c>
      <c r="G4963" s="308"/>
      <c r="H4963" s="308" t="s">
        <v>20031</v>
      </c>
      <c r="I4963" s="310">
        <v>41456.0</v>
      </c>
      <c r="J4963" s="319">
        <f>IFERROR(__xludf.DUMMYFUNCTION("SPLIT(I4963,""/"")"),1.0)</f>
        <v>1</v>
      </c>
      <c r="K4963" s="308">
        <f>IFERROR(__xludf.DUMMYFUNCTION("""COMPUTED_VALUE"""),7.0)</f>
        <v>7</v>
      </c>
      <c r="L4963" s="308">
        <f>IFERROR(__xludf.DUMMYFUNCTION("""COMPUTED_VALUE"""),2013.0)</f>
        <v>2013</v>
      </c>
      <c r="M4963" s="308" t="s">
        <v>20032</v>
      </c>
      <c r="N4963" s="308"/>
      <c r="O4963" s="308"/>
      <c r="P4963" s="308" t="s">
        <v>20033</v>
      </c>
      <c r="Q4963" s="308" t="s">
        <v>38064</v>
      </c>
      <c r="R4963" s="308" t="s">
        <v>2743</v>
      </c>
      <c r="S4963" s="308" t="s">
        <v>81</v>
      </c>
      <c r="T4963" s="308" t="s">
        <v>73</v>
      </c>
      <c r="U4963" s="308" t="s">
        <v>941</v>
      </c>
      <c r="V4963" s="308"/>
    </row>
    <row r="4964">
      <c r="A4964" s="308">
        <v>4963.0</v>
      </c>
      <c r="B4964" s="308"/>
      <c r="C4964" s="308" t="s">
        <v>20034</v>
      </c>
      <c r="D4964" s="308">
        <f>IFERROR(__xludf.DUMMYFUNCTION("SPLIT(C4964,""-"")"),4984.0)</f>
        <v>4984</v>
      </c>
      <c r="E4964" s="308" t="str">
        <f>IFERROR(__xludf.DUMMYFUNCTION("""COMPUTED_VALUE"""),"B")</f>
        <v>B</v>
      </c>
      <c r="F4964" s="315" t="s">
        <v>26</v>
      </c>
      <c r="G4964" s="308"/>
      <c r="H4964" s="308" t="s">
        <v>20035</v>
      </c>
      <c r="I4964" s="310">
        <v>43172.0</v>
      </c>
      <c r="J4964" s="319">
        <f>IFERROR(__xludf.DUMMYFUNCTION("SPLIT(I4964,""/"")"),13.0)</f>
        <v>13</v>
      </c>
      <c r="K4964" s="308">
        <f>IFERROR(__xludf.DUMMYFUNCTION("""COMPUTED_VALUE"""),3.0)</f>
        <v>3</v>
      </c>
      <c r="L4964" s="308">
        <f>IFERROR(__xludf.DUMMYFUNCTION("""COMPUTED_VALUE"""),2018.0)</f>
        <v>2018</v>
      </c>
      <c r="M4964" s="308" t="s">
        <v>20036</v>
      </c>
      <c r="N4964" s="308"/>
      <c r="O4964" s="308"/>
      <c r="P4964" s="308" t="s">
        <v>38066</v>
      </c>
      <c r="Q4964" s="308" t="s">
        <v>38064</v>
      </c>
      <c r="R4964" s="308" t="s">
        <v>14256</v>
      </c>
      <c r="S4964" s="308" t="s">
        <v>49</v>
      </c>
      <c r="T4964" s="308" t="s">
        <v>51</v>
      </c>
      <c r="U4964" s="308" t="s">
        <v>27</v>
      </c>
      <c r="V4964" s="308"/>
    </row>
    <row r="4965">
      <c r="A4965" s="308">
        <v>4964.0</v>
      </c>
      <c r="B4965" s="308"/>
      <c r="C4965" s="308" t="s">
        <v>20038</v>
      </c>
      <c r="D4965" s="308">
        <f>IFERROR(__xludf.DUMMYFUNCTION("SPLIT(C4965,""-"")"),4985.0)</f>
        <v>4985</v>
      </c>
      <c r="E4965" s="308" t="str">
        <f>IFERROR(__xludf.DUMMYFUNCTION("""COMPUTED_VALUE"""),"P")</f>
        <v>P</v>
      </c>
      <c r="F4965" s="312" t="s">
        <v>37</v>
      </c>
      <c r="G4965" s="308"/>
      <c r="H4965" s="308" t="s">
        <v>20039</v>
      </c>
      <c r="I4965" s="310">
        <v>42781.0</v>
      </c>
      <c r="J4965" s="319">
        <f>IFERROR(__xludf.DUMMYFUNCTION("SPLIT(I4965,""/"")"),15.0)</f>
        <v>15</v>
      </c>
      <c r="K4965" s="308">
        <f>IFERROR(__xludf.DUMMYFUNCTION("""COMPUTED_VALUE"""),2.0)</f>
        <v>2</v>
      </c>
      <c r="L4965" s="308">
        <f>IFERROR(__xludf.DUMMYFUNCTION("""COMPUTED_VALUE"""),2017.0)</f>
        <v>2017</v>
      </c>
      <c r="M4965" s="308" t="s">
        <v>20040</v>
      </c>
      <c r="N4965" s="308"/>
      <c r="O4965" s="308"/>
      <c r="P4965" s="308" t="s">
        <v>7523</v>
      </c>
      <c r="Q4965" s="308" t="s">
        <v>38064</v>
      </c>
      <c r="R4965" s="308" t="s">
        <v>2743</v>
      </c>
      <c r="S4965" s="315" t="s">
        <v>100</v>
      </c>
      <c r="T4965" s="311" t="s">
        <v>34208</v>
      </c>
      <c r="U4965" s="308" t="s">
        <v>18777</v>
      </c>
      <c r="V4965" s="308"/>
    </row>
    <row r="4966">
      <c r="A4966" s="308">
        <v>4965.0</v>
      </c>
      <c r="B4966" s="308"/>
      <c r="C4966" s="308" t="s">
        <v>20041</v>
      </c>
      <c r="D4966" s="308">
        <f>IFERROR(__xludf.DUMMYFUNCTION("SPLIT(C4966,""-"")"),4986.0)</f>
        <v>4986</v>
      </c>
      <c r="E4966" s="308" t="str">
        <f>IFERROR(__xludf.DUMMYFUNCTION("""COMPUTED_VALUE"""),"S")</f>
        <v>S</v>
      </c>
      <c r="F4966" s="312" t="s">
        <v>39</v>
      </c>
      <c r="G4966" s="308"/>
      <c r="H4966" s="308" t="s">
        <v>20042</v>
      </c>
      <c r="I4966" s="310">
        <v>42983.0</v>
      </c>
      <c r="J4966" s="319">
        <f>IFERROR(__xludf.DUMMYFUNCTION("SPLIT(I4966,""/"")"),5.0)</f>
        <v>5</v>
      </c>
      <c r="K4966" s="308">
        <f>IFERROR(__xludf.DUMMYFUNCTION("""COMPUTED_VALUE"""),9.0)</f>
        <v>9</v>
      </c>
      <c r="L4966" s="308">
        <f>IFERROR(__xludf.DUMMYFUNCTION("""COMPUTED_VALUE"""),2017.0)</f>
        <v>2017</v>
      </c>
      <c r="M4966" s="308" t="s">
        <v>20043</v>
      </c>
      <c r="N4966" s="308"/>
      <c r="O4966" s="308"/>
      <c r="P4966" s="308" t="s">
        <v>38067</v>
      </c>
      <c r="Q4966" s="308" t="s">
        <v>38064</v>
      </c>
      <c r="R4966" s="308" t="s">
        <v>2743</v>
      </c>
      <c r="S4966" s="308" t="s">
        <v>81</v>
      </c>
      <c r="T4966" s="308" t="s">
        <v>75</v>
      </c>
      <c r="U4966" s="308" t="s">
        <v>166</v>
      </c>
      <c r="V4966" s="308"/>
    </row>
    <row r="4967">
      <c r="A4967" s="308">
        <v>4966.0</v>
      </c>
      <c r="B4967" s="308"/>
      <c r="C4967" s="308" t="s">
        <v>20045</v>
      </c>
      <c r="D4967" s="308">
        <f>IFERROR(__xludf.DUMMYFUNCTION("SPLIT(C4967,""-"")"),4987.0)</f>
        <v>4987</v>
      </c>
      <c r="E4967" s="308" t="str">
        <f>IFERROR(__xludf.DUMMYFUNCTION("""COMPUTED_VALUE"""),"S")</f>
        <v>S</v>
      </c>
      <c r="F4967" s="312" t="s">
        <v>39</v>
      </c>
      <c r="G4967" s="308"/>
      <c r="H4967" s="308" t="s">
        <v>20046</v>
      </c>
      <c r="I4967" s="310">
        <v>42949.0</v>
      </c>
      <c r="J4967" s="319">
        <f>IFERROR(__xludf.DUMMYFUNCTION("SPLIT(I4967,""/"")"),2.0)</f>
        <v>2</v>
      </c>
      <c r="K4967" s="308">
        <f>IFERROR(__xludf.DUMMYFUNCTION("""COMPUTED_VALUE"""),8.0)</f>
        <v>8</v>
      </c>
      <c r="L4967" s="308">
        <f>IFERROR(__xludf.DUMMYFUNCTION("""COMPUTED_VALUE"""),2017.0)</f>
        <v>2017</v>
      </c>
      <c r="M4967" s="308" t="s">
        <v>20047</v>
      </c>
      <c r="N4967" s="308"/>
      <c r="O4967" s="308"/>
      <c r="P4967" s="308" t="s">
        <v>38068</v>
      </c>
      <c r="Q4967" s="308" t="s">
        <v>38069</v>
      </c>
      <c r="R4967" s="308" t="s">
        <v>2743</v>
      </c>
      <c r="S4967" s="308" t="s">
        <v>81</v>
      </c>
      <c r="T4967" s="308" t="s">
        <v>75</v>
      </c>
      <c r="U4967" s="308" t="s">
        <v>166</v>
      </c>
      <c r="V4967" s="308"/>
    </row>
    <row r="4968">
      <c r="A4968" s="308">
        <v>4967.0</v>
      </c>
      <c r="B4968" s="308"/>
      <c r="C4968" s="308" t="s">
        <v>20049</v>
      </c>
      <c r="D4968" s="308" t="str">
        <f>IFERROR(__xludf.DUMMYFUNCTION("SPLIT(C4968,""-"")"),"#REF!")</f>
        <v>#REF!</v>
      </c>
      <c r="E4968" s="311"/>
      <c r="F4968" s="317" t="s">
        <v>39</v>
      </c>
      <c r="G4968" s="308"/>
      <c r="H4968" s="308" t="s">
        <v>20050</v>
      </c>
      <c r="I4968" s="310">
        <v>41275.0</v>
      </c>
      <c r="J4968" s="319">
        <f>IFERROR(__xludf.DUMMYFUNCTION("SPLIT(I4968,""/"")"),1.0)</f>
        <v>1</v>
      </c>
      <c r="K4968" s="308">
        <f>IFERROR(__xludf.DUMMYFUNCTION("""COMPUTED_VALUE"""),1.0)</f>
        <v>1</v>
      </c>
      <c r="L4968" s="308">
        <f>IFERROR(__xludf.DUMMYFUNCTION("""COMPUTED_VALUE"""),2013.0)</f>
        <v>2013</v>
      </c>
      <c r="M4968" s="308" t="s">
        <v>20051</v>
      </c>
      <c r="N4968" s="308"/>
      <c r="O4968" s="308"/>
      <c r="P4968" s="308" t="s">
        <v>5653</v>
      </c>
      <c r="Q4968" s="308" t="s">
        <v>38069</v>
      </c>
      <c r="R4968" s="308" t="s">
        <v>20052</v>
      </c>
      <c r="S4968" s="315" t="s">
        <v>100</v>
      </c>
      <c r="T4968" s="311" t="s">
        <v>34208</v>
      </c>
      <c r="U4968" s="308" t="s">
        <v>166</v>
      </c>
      <c r="V4968" s="308"/>
    </row>
    <row r="4969">
      <c r="A4969" s="308">
        <v>4968.0</v>
      </c>
      <c r="B4969" s="308"/>
      <c r="C4969" s="308" t="s">
        <v>20053</v>
      </c>
      <c r="D4969" s="308" t="str">
        <f>IFERROR(__xludf.DUMMYFUNCTION("SPLIT(C4969,""-"")"),"#REF!")</f>
        <v>#REF!</v>
      </c>
      <c r="E4969" s="311"/>
      <c r="F4969" s="317" t="s">
        <v>39</v>
      </c>
      <c r="G4969" s="308"/>
      <c r="H4969" s="308" t="s">
        <v>20054</v>
      </c>
      <c r="I4969" s="310">
        <v>41465.0</v>
      </c>
      <c r="J4969" s="319">
        <f>IFERROR(__xludf.DUMMYFUNCTION("SPLIT(I4969,""/"")"),10.0)</f>
        <v>10</v>
      </c>
      <c r="K4969" s="308">
        <f>IFERROR(__xludf.DUMMYFUNCTION("""COMPUTED_VALUE"""),7.0)</f>
        <v>7</v>
      </c>
      <c r="L4969" s="308">
        <f>IFERROR(__xludf.DUMMYFUNCTION("""COMPUTED_VALUE"""),2013.0)</f>
        <v>2013</v>
      </c>
      <c r="M4969" s="308" t="s">
        <v>20055</v>
      </c>
      <c r="N4969" s="308"/>
      <c r="O4969" s="308"/>
      <c r="P4969" s="308" t="s">
        <v>5653</v>
      </c>
      <c r="Q4969" s="308" t="s">
        <v>38069</v>
      </c>
      <c r="R4969" s="308" t="s">
        <v>20052</v>
      </c>
      <c r="S4969" s="315" t="s">
        <v>100</v>
      </c>
      <c r="T4969" s="311" t="s">
        <v>34208</v>
      </c>
      <c r="U4969" s="308" t="s">
        <v>166</v>
      </c>
      <c r="V4969" s="308"/>
    </row>
    <row r="4970">
      <c r="A4970" s="308">
        <v>4969.0</v>
      </c>
      <c r="B4970" s="308"/>
      <c r="C4970" s="308" t="s">
        <v>20056</v>
      </c>
      <c r="D4970" s="308" t="str">
        <f>IFERROR(__xludf.DUMMYFUNCTION("SPLIT(C4970,""-"")"),"#REF!")</f>
        <v>#REF!</v>
      </c>
      <c r="E4970" s="311"/>
      <c r="F4970" s="317" t="s">
        <v>39</v>
      </c>
      <c r="G4970" s="308"/>
      <c r="H4970" s="308" t="s">
        <v>20057</v>
      </c>
      <c r="I4970" s="310">
        <v>41465.0</v>
      </c>
      <c r="J4970" s="319">
        <f>IFERROR(__xludf.DUMMYFUNCTION("SPLIT(I4970,""/"")"),10.0)</f>
        <v>10</v>
      </c>
      <c r="K4970" s="308">
        <f>IFERROR(__xludf.DUMMYFUNCTION("""COMPUTED_VALUE"""),7.0)</f>
        <v>7</v>
      </c>
      <c r="L4970" s="308">
        <f>IFERROR(__xludf.DUMMYFUNCTION("""COMPUTED_VALUE"""),2013.0)</f>
        <v>2013</v>
      </c>
      <c r="M4970" s="308" t="s">
        <v>20058</v>
      </c>
      <c r="N4970" s="308"/>
      <c r="O4970" s="308"/>
      <c r="P4970" s="308" t="s">
        <v>5653</v>
      </c>
      <c r="Q4970" s="308" t="s">
        <v>38069</v>
      </c>
      <c r="R4970" s="308" t="s">
        <v>20052</v>
      </c>
      <c r="S4970" s="315" t="s">
        <v>100</v>
      </c>
      <c r="T4970" s="311" t="s">
        <v>34208</v>
      </c>
      <c r="U4970" s="308" t="s">
        <v>166</v>
      </c>
      <c r="V4970" s="308"/>
    </row>
    <row r="4971">
      <c r="A4971" s="308">
        <v>4970.0</v>
      </c>
      <c r="B4971" s="308"/>
      <c r="C4971" s="308" t="s">
        <v>20059</v>
      </c>
      <c r="D4971" s="308" t="str">
        <f>IFERROR(__xludf.DUMMYFUNCTION("SPLIT(C4971,""-"")"),"#REF!")</f>
        <v>#REF!</v>
      </c>
      <c r="E4971" s="311"/>
      <c r="F4971" s="317" t="s">
        <v>39</v>
      </c>
      <c r="G4971" s="308"/>
      <c r="H4971" s="308" t="s">
        <v>5399</v>
      </c>
      <c r="I4971" s="310">
        <v>41465.0</v>
      </c>
      <c r="J4971" s="319">
        <f>IFERROR(__xludf.DUMMYFUNCTION("SPLIT(I4971,""/"")"),10.0)</f>
        <v>10</v>
      </c>
      <c r="K4971" s="308">
        <f>IFERROR(__xludf.DUMMYFUNCTION("""COMPUTED_VALUE"""),7.0)</f>
        <v>7</v>
      </c>
      <c r="L4971" s="308">
        <f>IFERROR(__xludf.DUMMYFUNCTION("""COMPUTED_VALUE"""),2013.0)</f>
        <v>2013</v>
      </c>
      <c r="M4971" s="308" t="s">
        <v>20060</v>
      </c>
      <c r="N4971" s="308"/>
      <c r="O4971" s="308"/>
      <c r="P4971" s="308" t="s">
        <v>5653</v>
      </c>
      <c r="Q4971" s="308" t="s">
        <v>38069</v>
      </c>
      <c r="R4971" s="308" t="s">
        <v>20052</v>
      </c>
      <c r="S4971" s="315" t="s">
        <v>100</v>
      </c>
      <c r="T4971" s="311" t="s">
        <v>34208</v>
      </c>
      <c r="U4971" s="308" t="s">
        <v>166</v>
      </c>
      <c r="V4971" s="308"/>
    </row>
    <row r="4972">
      <c r="A4972" s="308">
        <v>4971.0</v>
      </c>
      <c r="B4972" s="308"/>
      <c r="C4972" s="308" t="s">
        <v>20061</v>
      </c>
      <c r="D4972" s="308" t="str">
        <f>IFERROR(__xludf.DUMMYFUNCTION("SPLIT(C4972,""-"")"),"#REF!")</f>
        <v>#REF!</v>
      </c>
      <c r="E4972" s="311"/>
      <c r="F4972" s="317" t="s">
        <v>39</v>
      </c>
      <c r="G4972" s="308"/>
      <c r="H4972" s="308" t="s">
        <v>20062</v>
      </c>
      <c r="I4972" s="314">
        <v>41604.0</v>
      </c>
      <c r="J4972" s="319">
        <f>IFERROR(__xludf.DUMMYFUNCTION("SPLIT(I4972,""/"")"),26.0)</f>
        <v>26</v>
      </c>
      <c r="K4972" s="308">
        <f>IFERROR(__xludf.DUMMYFUNCTION("""COMPUTED_VALUE"""),11.0)</f>
        <v>11</v>
      </c>
      <c r="L4972" s="308">
        <f>IFERROR(__xludf.DUMMYFUNCTION("""COMPUTED_VALUE"""),2013.0)</f>
        <v>2013</v>
      </c>
      <c r="M4972" s="308" t="s">
        <v>20063</v>
      </c>
      <c r="N4972" s="308"/>
      <c r="O4972" s="308"/>
      <c r="P4972" s="308" t="s">
        <v>5653</v>
      </c>
      <c r="Q4972" s="308" t="s">
        <v>38069</v>
      </c>
      <c r="R4972" s="308" t="s">
        <v>20052</v>
      </c>
      <c r="S4972" s="315" t="s">
        <v>100</v>
      </c>
      <c r="T4972" s="311" t="s">
        <v>34208</v>
      </c>
      <c r="U4972" s="308" t="s">
        <v>166</v>
      </c>
      <c r="V4972" s="308"/>
    </row>
    <row r="4973">
      <c r="A4973" s="308">
        <v>4972.0</v>
      </c>
      <c r="B4973" s="308"/>
      <c r="C4973" s="308" t="s">
        <v>20064</v>
      </c>
      <c r="D4973" s="308" t="str">
        <f>IFERROR(__xludf.DUMMYFUNCTION("SPLIT(C4973,""-"")"),"#REF!")</f>
        <v>#REF!</v>
      </c>
      <c r="E4973" s="311"/>
      <c r="F4973" s="317" t="s">
        <v>39</v>
      </c>
      <c r="G4973" s="308"/>
      <c r="H4973" s="308" t="s">
        <v>20065</v>
      </c>
      <c r="I4973" s="314">
        <v>41605.0</v>
      </c>
      <c r="J4973" s="319">
        <f>IFERROR(__xludf.DUMMYFUNCTION("SPLIT(I4973,""/"")"),27.0)</f>
        <v>27</v>
      </c>
      <c r="K4973" s="308">
        <f>IFERROR(__xludf.DUMMYFUNCTION("""COMPUTED_VALUE"""),11.0)</f>
        <v>11</v>
      </c>
      <c r="L4973" s="308">
        <f>IFERROR(__xludf.DUMMYFUNCTION("""COMPUTED_VALUE"""),2013.0)</f>
        <v>2013</v>
      </c>
      <c r="M4973" s="308" t="s">
        <v>20066</v>
      </c>
      <c r="N4973" s="308"/>
      <c r="O4973" s="308"/>
      <c r="P4973" s="308" t="s">
        <v>20067</v>
      </c>
      <c r="Q4973" s="308" t="s">
        <v>38069</v>
      </c>
      <c r="R4973" s="308" t="s">
        <v>20052</v>
      </c>
      <c r="S4973" s="308" t="s">
        <v>81</v>
      </c>
      <c r="T4973" s="311" t="s">
        <v>98</v>
      </c>
      <c r="U4973" s="308" t="s">
        <v>166</v>
      </c>
      <c r="V4973" s="308"/>
    </row>
    <row r="4974">
      <c r="A4974" s="308">
        <v>4973.0</v>
      </c>
      <c r="B4974" s="308"/>
      <c r="C4974" s="308" t="s">
        <v>38070</v>
      </c>
      <c r="D4974" s="308">
        <f>IFERROR(__xludf.DUMMYFUNCTION("SPLIT(C4974,""-"")"),4994.0)</f>
        <v>4994</v>
      </c>
      <c r="E4974" s="308" t="str">
        <f>IFERROR(__xludf.DUMMYFUNCTION("""COMPUTED_VALUE"""),"S ")</f>
        <v>S </v>
      </c>
      <c r="F4974" s="312" t="s">
        <v>39</v>
      </c>
      <c r="G4974" s="308"/>
      <c r="H4974" s="308" t="s">
        <v>20069</v>
      </c>
      <c r="I4974" s="310">
        <v>41613.0</v>
      </c>
      <c r="J4974" s="319">
        <f>IFERROR(__xludf.DUMMYFUNCTION("SPLIT(I4974,""/"")"),5.0)</f>
        <v>5</v>
      </c>
      <c r="K4974" s="308">
        <f>IFERROR(__xludf.DUMMYFUNCTION("""COMPUTED_VALUE"""),12.0)</f>
        <v>12</v>
      </c>
      <c r="L4974" s="308">
        <f>IFERROR(__xludf.DUMMYFUNCTION("""COMPUTED_VALUE"""),2013.0)</f>
        <v>2013</v>
      </c>
      <c r="M4974" s="308" t="s">
        <v>20070</v>
      </c>
      <c r="N4974" s="308"/>
      <c r="O4974" s="308"/>
      <c r="P4974" s="308" t="s">
        <v>5653</v>
      </c>
      <c r="Q4974" s="308" t="s">
        <v>38069</v>
      </c>
      <c r="R4974" s="308" t="s">
        <v>20052</v>
      </c>
      <c r="S4974" s="315" t="s">
        <v>100</v>
      </c>
      <c r="T4974" s="311" t="s">
        <v>34208</v>
      </c>
      <c r="U4974" s="308" t="s">
        <v>166</v>
      </c>
      <c r="V4974" s="308"/>
    </row>
    <row r="4975">
      <c r="A4975" s="308">
        <v>4974.0</v>
      </c>
      <c r="B4975" s="308"/>
      <c r="C4975" s="308" t="s">
        <v>38071</v>
      </c>
      <c r="D4975" s="308"/>
      <c r="E4975" s="311"/>
      <c r="F4975" s="317" t="s">
        <v>39</v>
      </c>
      <c r="G4975" s="308"/>
      <c r="H4975" s="308" t="s">
        <v>20072</v>
      </c>
      <c r="I4975" s="310">
        <v>41742.0</v>
      </c>
      <c r="J4975" s="319">
        <f>IFERROR(__xludf.DUMMYFUNCTION("SPLIT(I4975,""/"")"),13.0)</f>
        <v>13</v>
      </c>
      <c r="K4975" s="308">
        <f>IFERROR(__xludf.DUMMYFUNCTION("""COMPUTED_VALUE"""),4.0)</f>
        <v>4</v>
      </c>
      <c r="L4975" s="308">
        <f>IFERROR(__xludf.DUMMYFUNCTION("""COMPUTED_VALUE"""),2014.0)</f>
        <v>2014</v>
      </c>
      <c r="M4975" s="308" t="s">
        <v>20073</v>
      </c>
      <c r="N4975" s="308"/>
      <c r="O4975" s="308"/>
      <c r="P4975" s="308" t="s">
        <v>5653</v>
      </c>
      <c r="Q4975" s="308" t="s">
        <v>38069</v>
      </c>
      <c r="R4975" s="308" t="s">
        <v>20052</v>
      </c>
      <c r="S4975" s="315" t="s">
        <v>100</v>
      </c>
      <c r="T4975" s="311" t="s">
        <v>34208</v>
      </c>
      <c r="U4975" s="308" t="s">
        <v>166</v>
      </c>
      <c r="V4975" s="308"/>
    </row>
    <row r="4976">
      <c r="A4976" s="308">
        <v>4975.0</v>
      </c>
      <c r="B4976" s="308"/>
      <c r="C4976" s="308" t="s">
        <v>20074</v>
      </c>
      <c r="D4976" s="308">
        <f>IFERROR(__xludf.DUMMYFUNCTION("SPLIT(C4976,""-"")"),4996.0)</f>
        <v>4996</v>
      </c>
      <c r="E4976" s="308" t="str">
        <f>IFERROR(__xludf.DUMMYFUNCTION("""COMPUTED_VALUE"""),"S")</f>
        <v>S</v>
      </c>
      <c r="F4976" s="312" t="s">
        <v>39</v>
      </c>
      <c r="G4976" s="308"/>
      <c r="H4976" s="308" t="s">
        <v>20075</v>
      </c>
      <c r="I4976" s="310">
        <v>41742.0</v>
      </c>
      <c r="J4976" s="319">
        <f>IFERROR(__xludf.DUMMYFUNCTION("SPLIT(I4976,""/"")"),13.0)</f>
        <v>13</v>
      </c>
      <c r="K4976" s="308">
        <f>IFERROR(__xludf.DUMMYFUNCTION("""COMPUTED_VALUE"""),4.0)</f>
        <v>4</v>
      </c>
      <c r="L4976" s="308">
        <f>IFERROR(__xludf.DUMMYFUNCTION("""COMPUTED_VALUE"""),2014.0)</f>
        <v>2014</v>
      </c>
      <c r="M4976" s="308" t="s">
        <v>20076</v>
      </c>
      <c r="N4976" s="308"/>
      <c r="O4976" s="308"/>
      <c r="P4976" s="308" t="s">
        <v>38072</v>
      </c>
      <c r="Q4976" s="308" t="s">
        <v>38069</v>
      </c>
      <c r="R4976" s="308" t="s">
        <v>20052</v>
      </c>
      <c r="S4976" s="308" t="s">
        <v>49</v>
      </c>
      <c r="T4976" s="311" t="s">
        <v>70</v>
      </c>
      <c r="U4976" s="308" t="s">
        <v>166</v>
      </c>
      <c r="V4976" s="308"/>
    </row>
    <row r="4977">
      <c r="A4977" s="308">
        <v>4976.0</v>
      </c>
      <c r="B4977" s="308"/>
      <c r="C4977" s="308" t="s">
        <v>20078</v>
      </c>
      <c r="D4977" s="308" t="str">
        <f>IFERROR(__xludf.DUMMYFUNCTION("SPLIT(C4977,""-"")"),"#REF!")</f>
        <v>#REF!</v>
      </c>
      <c r="E4977" s="311"/>
      <c r="F4977" s="317" t="s">
        <v>39</v>
      </c>
      <c r="G4977" s="308"/>
      <c r="H4977" s="308" t="s">
        <v>20079</v>
      </c>
      <c r="I4977" s="310">
        <v>42144.0</v>
      </c>
      <c r="J4977" s="319">
        <f>IFERROR(__xludf.DUMMYFUNCTION("SPLIT(I4977,""/"")"),20.0)</f>
        <v>20</v>
      </c>
      <c r="K4977" s="308">
        <f>IFERROR(__xludf.DUMMYFUNCTION("""COMPUTED_VALUE"""),5.0)</f>
        <v>5</v>
      </c>
      <c r="L4977" s="308">
        <f>IFERROR(__xludf.DUMMYFUNCTION("""COMPUTED_VALUE"""),2015.0)</f>
        <v>2015</v>
      </c>
      <c r="M4977" s="308" t="s">
        <v>20080</v>
      </c>
      <c r="N4977" s="308"/>
      <c r="O4977" s="308"/>
      <c r="P4977" s="308" t="s">
        <v>5653</v>
      </c>
      <c r="Q4977" s="308" t="s">
        <v>38069</v>
      </c>
      <c r="R4977" s="308" t="s">
        <v>20052</v>
      </c>
      <c r="S4977" s="315" t="s">
        <v>100</v>
      </c>
      <c r="T4977" s="311" t="s">
        <v>34208</v>
      </c>
      <c r="U4977" s="308" t="s">
        <v>166</v>
      </c>
      <c r="V4977" s="308"/>
    </row>
    <row r="4978">
      <c r="A4978" s="308">
        <v>4977.0</v>
      </c>
      <c r="B4978" s="308"/>
      <c r="C4978" s="308" t="s">
        <v>20081</v>
      </c>
      <c r="D4978" s="308">
        <f>IFERROR(__xludf.DUMMYFUNCTION("SPLIT(C4978,""-"")"),4998.0)</f>
        <v>4998</v>
      </c>
      <c r="E4978" s="308" t="str">
        <f>IFERROR(__xludf.DUMMYFUNCTION("""COMPUTED_VALUE"""),"S")</f>
        <v>S</v>
      </c>
      <c r="F4978" s="312" t="s">
        <v>39</v>
      </c>
      <c r="G4978" s="308"/>
      <c r="H4978" s="308" t="s">
        <v>20082</v>
      </c>
      <c r="I4978" s="310">
        <v>42140.0</v>
      </c>
      <c r="J4978" s="319">
        <f>IFERROR(__xludf.DUMMYFUNCTION("SPLIT(I4978,""/"")"),16.0)</f>
        <v>16</v>
      </c>
      <c r="K4978" s="308">
        <f>IFERROR(__xludf.DUMMYFUNCTION("""COMPUTED_VALUE"""),5.0)</f>
        <v>5</v>
      </c>
      <c r="L4978" s="308">
        <f>IFERROR(__xludf.DUMMYFUNCTION("""COMPUTED_VALUE"""),2015.0)</f>
        <v>2015</v>
      </c>
      <c r="M4978" s="308" t="s">
        <v>20083</v>
      </c>
      <c r="N4978" s="308"/>
      <c r="O4978" s="308"/>
      <c r="P4978" s="308" t="s">
        <v>5653</v>
      </c>
      <c r="Q4978" s="308" t="s">
        <v>38069</v>
      </c>
      <c r="R4978" s="308" t="s">
        <v>20052</v>
      </c>
      <c r="S4978" s="315" t="s">
        <v>100</v>
      </c>
      <c r="T4978" s="311" t="s">
        <v>34208</v>
      </c>
      <c r="U4978" s="308" t="s">
        <v>166</v>
      </c>
      <c r="V4978" s="308"/>
    </row>
    <row r="4979">
      <c r="A4979" s="308">
        <v>4978.0</v>
      </c>
      <c r="B4979" s="308"/>
      <c r="C4979" s="308" t="s">
        <v>20084</v>
      </c>
      <c r="D4979" s="308">
        <f>IFERROR(__xludf.DUMMYFUNCTION("SPLIT(C4979,""-"")"),4999.0)</f>
        <v>4999</v>
      </c>
      <c r="E4979" s="308" t="str">
        <f>IFERROR(__xludf.DUMMYFUNCTION("""COMPUTED_VALUE"""),"S")</f>
        <v>S</v>
      </c>
      <c r="F4979" s="312" t="s">
        <v>39</v>
      </c>
      <c r="G4979" s="308"/>
      <c r="H4979" s="308" t="s">
        <v>20085</v>
      </c>
      <c r="I4979" s="310">
        <v>42150.0</v>
      </c>
      <c r="J4979" s="319">
        <f>IFERROR(__xludf.DUMMYFUNCTION("SPLIT(I4979,""/"")"),26.0)</f>
        <v>26</v>
      </c>
      <c r="K4979" s="308">
        <f>IFERROR(__xludf.DUMMYFUNCTION("""COMPUTED_VALUE"""),5.0)</f>
        <v>5</v>
      </c>
      <c r="L4979" s="308">
        <f>IFERROR(__xludf.DUMMYFUNCTION("""COMPUTED_VALUE"""),2015.0)</f>
        <v>2015</v>
      </c>
      <c r="M4979" s="308" t="s">
        <v>20086</v>
      </c>
      <c r="N4979" s="308"/>
      <c r="O4979" s="308"/>
      <c r="P4979" s="308"/>
      <c r="Q4979" s="308" t="s">
        <v>38069</v>
      </c>
      <c r="R4979" s="308" t="s">
        <v>20052</v>
      </c>
      <c r="S4979" s="308" t="s">
        <v>79</v>
      </c>
      <c r="T4979" s="308" t="s">
        <v>79</v>
      </c>
      <c r="U4979" s="308" t="s">
        <v>166</v>
      </c>
      <c r="V4979" s="308"/>
    </row>
    <row r="4980">
      <c r="A4980" s="308">
        <v>4979.0</v>
      </c>
      <c r="B4980" s="308"/>
      <c r="C4980" s="308" t="s">
        <v>20087</v>
      </c>
      <c r="D4980" s="308">
        <f>IFERROR(__xludf.DUMMYFUNCTION("SPLIT(C4980,""-"")"),5000.0)</f>
        <v>5000</v>
      </c>
      <c r="E4980" s="308" t="str">
        <f>IFERROR(__xludf.DUMMYFUNCTION("""COMPUTED_VALUE"""),"S")</f>
        <v>S</v>
      </c>
      <c r="F4980" s="312" t="s">
        <v>39</v>
      </c>
      <c r="G4980" s="308"/>
      <c r="H4980" s="308" t="s">
        <v>20088</v>
      </c>
      <c r="I4980" s="310">
        <v>42169.0</v>
      </c>
      <c r="J4980" s="319">
        <f>IFERROR(__xludf.DUMMYFUNCTION("SPLIT(I4980,""/"")"),14.0)</f>
        <v>14</v>
      </c>
      <c r="K4980" s="308">
        <f>IFERROR(__xludf.DUMMYFUNCTION("""COMPUTED_VALUE"""),6.0)</f>
        <v>6</v>
      </c>
      <c r="L4980" s="308">
        <f>IFERROR(__xludf.DUMMYFUNCTION("""COMPUTED_VALUE"""),2015.0)</f>
        <v>2015</v>
      </c>
      <c r="M4980" s="308" t="s">
        <v>20089</v>
      </c>
      <c r="N4980" s="308"/>
      <c r="O4980" s="308"/>
      <c r="P4980" s="308" t="s">
        <v>20090</v>
      </c>
      <c r="Q4980" s="308" t="s">
        <v>38069</v>
      </c>
      <c r="R4980" s="308" t="s">
        <v>20052</v>
      </c>
      <c r="S4980" s="308" t="s">
        <v>49</v>
      </c>
      <c r="T4980" s="308" t="s">
        <v>53</v>
      </c>
      <c r="U4980" s="308" t="s">
        <v>166</v>
      </c>
      <c r="V4980" s="308"/>
    </row>
    <row r="4981">
      <c r="A4981" s="308">
        <v>4980.0</v>
      </c>
      <c r="B4981" s="308"/>
      <c r="C4981" s="308" t="s">
        <v>20091</v>
      </c>
      <c r="D4981" s="308">
        <f>IFERROR(__xludf.DUMMYFUNCTION("SPLIT(C4981,""-"")"),5001.0)</f>
        <v>5001</v>
      </c>
      <c r="E4981" s="308" t="str">
        <f>IFERROR(__xludf.DUMMYFUNCTION("""COMPUTED_VALUE"""),"S")</f>
        <v>S</v>
      </c>
      <c r="F4981" s="312" t="s">
        <v>39</v>
      </c>
      <c r="G4981" s="308"/>
      <c r="H4981" s="308" t="s">
        <v>20092</v>
      </c>
      <c r="I4981" s="310">
        <v>42215.0</v>
      </c>
      <c r="J4981" s="319">
        <f>IFERROR(__xludf.DUMMYFUNCTION("SPLIT(I4981,""/"")"),30.0)</f>
        <v>30</v>
      </c>
      <c r="K4981" s="308">
        <f>IFERROR(__xludf.DUMMYFUNCTION("""COMPUTED_VALUE"""),7.0)</f>
        <v>7</v>
      </c>
      <c r="L4981" s="308">
        <f>IFERROR(__xludf.DUMMYFUNCTION("""COMPUTED_VALUE"""),2015.0)</f>
        <v>2015</v>
      </c>
      <c r="M4981" s="308"/>
      <c r="N4981" s="308"/>
      <c r="O4981" s="308"/>
      <c r="P4981" s="308" t="s">
        <v>20093</v>
      </c>
      <c r="Q4981" s="308" t="s">
        <v>38069</v>
      </c>
      <c r="R4981" s="308" t="s">
        <v>20052</v>
      </c>
      <c r="S4981" s="308" t="s">
        <v>49</v>
      </c>
      <c r="T4981" s="308" t="s">
        <v>67</v>
      </c>
      <c r="U4981" s="308" t="s">
        <v>166</v>
      </c>
      <c r="V4981" s="308"/>
    </row>
    <row r="4982">
      <c r="A4982" s="308">
        <v>4981.0</v>
      </c>
      <c r="B4982" s="308"/>
      <c r="C4982" s="308" t="s">
        <v>20094</v>
      </c>
      <c r="D4982" s="308">
        <f>IFERROR(__xludf.DUMMYFUNCTION("SPLIT(C4982,""-"")"),5002.0)</f>
        <v>5002</v>
      </c>
      <c r="E4982" s="308" t="str">
        <f>IFERROR(__xludf.DUMMYFUNCTION("""COMPUTED_VALUE"""),"S")</f>
        <v>S</v>
      </c>
      <c r="F4982" s="312" t="s">
        <v>39</v>
      </c>
      <c r="G4982" s="308"/>
      <c r="H4982" s="308" t="s">
        <v>20095</v>
      </c>
      <c r="I4982" s="314">
        <v>42326.0</v>
      </c>
      <c r="J4982" s="319">
        <f>IFERROR(__xludf.DUMMYFUNCTION("SPLIT(I4982,""/"")"),18.0)</f>
        <v>18</v>
      </c>
      <c r="K4982" s="308">
        <f>IFERROR(__xludf.DUMMYFUNCTION("""COMPUTED_VALUE"""),11.0)</f>
        <v>11</v>
      </c>
      <c r="L4982" s="308">
        <f>IFERROR(__xludf.DUMMYFUNCTION("""COMPUTED_VALUE"""),2015.0)</f>
        <v>2015</v>
      </c>
      <c r="M4982" s="308" t="s">
        <v>20096</v>
      </c>
      <c r="N4982" s="308"/>
      <c r="O4982" s="308"/>
      <c r="P4982" s="308"/>
      <c r="Q4982" s="308" t="s">
        <v>38069</v>
      </c>
      <c r="R4982" s="308" t="s">
        <v>20052</v>
      </c>
      <c r="S4982" s="308" t="s">
        <v>79</v>
      </c>
      <c r="T4982" s="308" t="s">
        <v>79</v>
      </c>
      <c r="U4982" s="308" t="s">
        <v>166</v>
      </c>
      <c r="V4982" s="308"/>
    </row>
    <row r="4983">
      <c r="A4983" s="308">
        <v>4982.0</v>
      </c>
      <c r="B4983" s="308"/>
      <c r="C4983" s="308" t="s">
        <v>20097</v>
      </c>
      <c r="D4983" s="308">
        <f>IFERROR(__xludf.DUMMYFUNCTION("SPLIT(C4983,""-"")"),5003.0)</f>
        <v>5003</v>
      </c>
      <c r="E4983" s="308" t="str">
        <f>IFERROR(__xludf.DUMMYFUNCTION("""COMPUTED_VALUE"""),"S")</f>
        <v>S</v>
      </c>
      <c r="F4983" s="312" t="s">
        <v>39</v>
      </c>
      <c r="G4983" s="308"/>
      <c r="H4983" s="308" t="s">
        <v>20098</v>
      </c>
      <c r="I4983" s="314">
        <v>42354.0</v>
      </c>
      <c r="J4983" s="319">
        <f>IFERROR(__xludf.DUMMYFUNCTION("SPLIT(I4983,""/"")"),16.0)</f>
        <v>16</v>
      </c>
      <c r="K4983" s="308">
        <f>IFERROR(__xludf.DUMMYFUNCTION("""COMPUTED_VALUE"""),12.0)</f>
        <v>12</v>
      </c>
      <c r="L4983" s="308">
        <f>IFERROR(__xludf.DUMMYFUNCTION("""COMPUTED_VALUE"""),2015.0)</f>
        <v>2015</v>
      </c>
      <c r="M4983" s="308" t="s">
        <v>20099</v>
      </c>
      <c r="N4983" s="308"/>
      <c r="O4983" s="308"/>
      <c r="P4983" s="308" t="s">
        <v>38073</v>
      </c>
      <c r="Q4983" s="308" t="s">
        <v>38069</v>
      </c>
      <c r="R4983" s="308" t="s">
        <v>20052</v>
      </c>
      <c r="S4983" s="308" t="s">
        <v>49</v>
      </c>
      <c r="T4983" s="308" t="s">
        <v>70</v>
      </c>
      <c r="U4983" s="308" t="s">
        <v>166</v>
      </c>
      <c r="V4983" s="308"/>
    </row>
    <row r="4984">
      <c r="A4984" s="308">
        <v>4983.0</v>
      </c>
      <c r="B4984" s="308"/>
      <c r="C4984" s="308" t="s">
        <v>20101</v>
      </c>
      <c r="D4984" s="308">
        <f>IFERROR(__xludf.DUMMYFUNCTION("SPLIT(C4984,""-"")"),5004.0)</f>
        <v>5004</v>
      </c>
      <c r="E4984" s="308" t="str">
        <f>IFERROR(__xludf.DUMMYFUNCTION("""COMPUTED_VALUE"""),"S")</f>
        <v>S</v>
      </c>
      <c r="F4984" s="312" t="s">
        <v>39</v>
      </c>
      <c r="G4984" s="308"/>
      <c r="H4984" s="308" t="s">
        <v>20102</v>
      </c>
      <c r="I4984" s="314">
        <v>42367.0</v>
      </c>
      <c r="J4984" s="319">
        <f>IFERROR(__xludf.DUMMYFUNCTION("SPLIT(I4984,""/"")"),29.0)</f>
        <v>29</v>
      </c>
      <c r="K4984" s="308">
        <f>IFERROR(__xludf.DUMMYFUNCTION("""COMPUTED_VALUE"""),12.0)</f>
        <v>12</v>
      </c>
      <c r="L4984" s="308">
        <f>IFERROR(__xludf.DUMMYFUNCTION("""COMPUTED_VALUE"""),2015.0)</f>
        <v>2015</v>
      </c>
      <c r="M4984" s="308" t="s">
        <v>20103</v>
      </c>
      <c r="N4984" s="308"/>
      <c r="O4984" s="308"/>
      <c r="P4984" s="308" t="s">
        <v>5653</v>
      </c>
      <c r="Q4984" s="308" t="s">
        <v>38069</v>
      </c>
      <c r="R4984" s="308" t="s">
        <v>20052</v>
      </c>
      <c r="S4984" s="315" t="s">
        <v>100</v>
      </c>
      <c r="T4984" s="311" t="s">
        <v>34208</v>
      </c>
      <c r="U4984" s="308" t="s">
        <v>166</v>
      </c>
      <c r="V4984" s="308"/>
    </row>
    <row r="4985">
      <c r="A4985" s="308">
        <v>4984.0</v>
      </c>
      <c r="B4985" s="308"/>
      <c r="C4985" s="308" t="s">
        <v>20104</v>
      </c>
      <c r="D4985" s="308">
        <f>IFERROR(__xludf.DUMMYFUNCTION("SPLIT(C4985,""-"")"),5005.0)</f>
        <v>5005</v>
      </c>
      <c r="E4985" s="308" t="str">
        <f>IFERROR(__xludf.DUMMYFUNCTION("""COMPUTED_VALUE"""),"S")</f>
        <v>S</v>
      </c>
      <c r="F4985" s="312" t="s">
        <v>39</v>
      </c>
      <c r="G4985" s="308"/>
      <c r="H4985" s="308" t="s">
        <v>20105</v>
      </c>
      <c r="I4985" s="310">
        <v>42385.0</v>
      </c>
      <c r="J4985" s="319">
        <f>IFERROR(__xludf.DUMMYFUNCTION("SPLIT(I4985,""/"")"),16.0)</f>
        <v>16</v>
      </c>
      <c r="K4985" s="308">
        <f>IFERROR(__xludf.DUMMYFUNCTION("""COMPUTED_VALUE"""),1.0)</f>
        <v>1</v>
      </c>
      <c r="L4985" s="308">
        <f>IFERROR(__xludf.DUMMYFUNCTION("""COMPUTED_VALUE"""),2016.0)</f>
        <v>2016</v>
      </c>
      <c r="M4985" s="308" t="s">
        <v>20106</v>
      </c>
      <c r="N4985" s="308"/>
      <c r="O4985" s="308"/>
      <c r="P4985" s="308" t="s">
        <v>36870</v>
      </c>
      <c r="Q4985" s="308" t="s">
        <v>38069</v>
      </c>
      <c r="R4985" s="308" t="s">
        <v>20052</v>
      </c>
      <c r="S4985" s="308" t="s">
        <v>49</v>
      </c>
      <c r="T4985" s="308" t="s">
        <v>70</v>
      </c>
      <c r="U4985" s="308" t="s">
        <v>166</v>
      </c>
      <c r="V4985" s="308"/>
    </row>
    <row r="4986">
      <c r="A4986" s="308">
        <v>4985.0</v>
      </c>
      <c r="B4986" s="308"/>
      <c r="C4986" s="308" t="s">
        <v>20107</v>
      </c>
      <c r="D4986" s="308">
        <f>IFERROR(__xludf.DUMMYFUNCTION("SPLIT(C4986,""-"")"),5006.0)</f>
        <v>5006</v>
      </c>
      <c r="E4986" s="308" t="str">
        <f>IFERROR(__xludf.DUMMYFUNCTION("""COMPUTED_VALUE"""),"S")</f>
        <v>S</v>
      </c>
      <c r="F4986" s="312" t="s">
        <v>39</v>
      </c>
      <c r="G4986" s="308"/>
      <c r="H4986" s="308" t="s">
        <v>20108</v>
      </c>
      <c r="I4986" s="310">
        <v>42029.0</v>
      </c>
      <c r="J4986" s="319">
        <f>IFERROR(__xludf.DUMMYFUNCTION("SPLIT(I4986,""/"")"),25.0)</f>
        <v>25</v>
      </c>
      <c r="K4986" s="308">
        <f>IFERROR(__xludf.DUMMYFUNCTION("""COMPUTED_VALUE"""),1.0)</f>
        <v>1</v>
      </c>
      <c r="L4986" s="308">
        <f>IFERROR(__xludf.DUMMYFUNCTION("""COMPUTED_VALUE"""),2015.0)</f>
        <v>2015</v>
      </c>
      <c r="M4986" s="308" t="s">
        <v>20109</v>
      </c>
      <c r="N4986" s="308"/>
      <c r="O4986" s="308"/>
      <c r="P4986" s="308" t="s">
        <v>13727</v>
      </c>
      <c r="Q4986" s="308" t="s">
        <v>38069</v>
      </c>
      <c r="R4986" s="308" t="s">
        <v>20052</v>
      </c>
      <c r="S4986" s="308" t="s">
        <v>81</v>
      </c>
      <c r="T4986" s="308" t="s">
        <v>75</v>
      </c>
      <c r="U4986" s="308" t="s">
        <v>166</v>
      </c>
      <c r="V4986" s="308"/>
    </row>
    <row r="4987">
      <c r="A4987" s="308">
        <v>4986.0</v>
      </c>
      <c r="B4987" s="308"/>
      <c r="C4987" s="308" t="s">
        <v>20110</v>
      </c>
      <c r="D4987" s="308">
        <f>IFERROR(__xludf.DUMMYFUNCTION("SPLIT(C4987,""-"")"),5007.0)</f>
        <v>5007</v>
      </c>
      <c r="E4987" s="308" t="str">
        <f>IFERROR(__xludf.DUMMYFUNCTION("""COMPUTED_VALUE"""),"S")</f>
        <v>S</v>
      </c>
      <c r="F4987" s="312" t="s">
        <v>39</v>
      </c>
      <c r="G4987" s="308"/>
      <c r="H4987" s="308" t="s">
        <v>20111</v>
      </c>
      <c r="I4987" s="310">
        <v>42405.0</v>
      </c>
      <c r="J4987" s="319">
        <f>IFERROR(__xludf.DUMMYFUNCTION("SPLIT(I4987,""/"")"),5.0)</f>
        <v>5</v>
      </c>
      <c r="K4987" s="308">
        <f>IFERROR(__xludf.DUMMYFUNCTION("""COMPUTED_VALUE"""),2.0)</f>
        <v>2</v>
      </c>
      <c r="L4987" s="308">
        <f>IFERROR(__xludf.DUMMYFUNCTION("""COMPUTED_VALUE"""),2016.0)</f>
        <v>2016</v>
      </c>
      <c r="M4987" s="308" t="s">
        <v>20112</v>
      </c>
      <c r="N4987" s="308"/>
      <c r="O4987" s="308"/>
      <c r="P4987" s="308" t="s">
        <v>38074</v>
      </c>
      <c r="Q4987" s="308" t="s">
        <v>38069</v>
      </c>
      <c r="R4987" s="308" t="s">
        <v>20052</v>
      </c>
      <c r="S4987" s="308" t="s">
        <v>81</v>
      </c>
      <c r="T4987" s="308" t="s">
        <v>75</v>
      </c>
      <c r="U4987" s="308" t="s">
        <v>166</v>
      </c>
      <c r="V4987" s="308"/>
    </row>
    <row r="4988">
      <c r="A4988" s="308">
        <v>4987.0</v>
      </c>
      <c r="B4988" s="308"/>
      <c r="C4988" s="308" t="s">
        <v>20114</v>
      </c>
      <c r="D4988" s="308">
        <f>IFERROR(__xludf.DUMMYFUNCTION("SPLIT(C4988,""-"")"),5008.0)</f>
        <v>5008</v>
      </c>
      <c r="E4988" s="308" t="str">
        <f>IFERROR(__xludf.DUMMYFUNCTION("""COMPUTED_VALUE"""),"S")</f>
        <v>S</v>
      </c>
      <c r="F4988" s="312" t="s">
        <v>39</v>
      </c>
      <c r="G4988" s="308"/>
      <c r="H4988" s="308" t="s">
        <v>20115</v>
      </c>
      <c r="I4988" s="310">
        <v>42430.0</v>
      </c>
      <c r="J4988" s="319">
        <f>IFERROR(__xludf.DUMMYFUNCTION("SPLIT(I4988,""/"")"),1.0)</f>
        <v>1</v>
      </c>
      <c r="K4988" s="308">
        <f>IFERROR(__xludf.DUMMYFUNCTION("""COMPUTED_VALUE"""),3.0)</f>
        <v>3</v>
      </c>
      <c r="L4988" s="308">
        <f>IFERROR(__xludf.DUMMYFUNCTION("""COMPUTED_VALUE"""),2016.0)</f>
        <v>2016</v>
      </c>
      <c r="M4988" s="308" t="s">
        <v>38075</v>
      </c>
      <c r="N4988" s="308"/>
      <c r="O4988" s="308"/>
      <c r="P4988" s="308" t="s">
        <v>38076</v>
      </c>
      <c r="Q4988" s="308" t="s">
        <v>38069</v>
      </c>
      <c r="R4988" s="308" t="s">
        <v>20052</v>
      </c>
      <c r="S4988" s="308" t="s">
        <v>81</v>
      </c>
      <c r="T4988" s="308" t="s">
        <v>75</v>
      </c>
      <c r="U4988" s="308" t="s">
        <v>166</v>
      </c>
      <c r="V4988" s="308"/>
    </row>
    <row r="4989">
      <c r="A4989" s="308">
        <v>4988.0</v>
      </c>
      <c r="B4989" s="308"/>
      <c r="C4989" s="308" t="s">
        <v>20118</v>
      </c>
      <c r="D4989" s="308">
        <f>IFERROR(__xludf.DUMMYFUNCTION("SPLIT(C4989,""-"")"),5009.0)</f>
        <v>5009</v>
      </c>
      <c r="E4989" s="308" t="str">
        <f>IFERROR(__xludf.DUMMYFUNCTION("""COMPUTED_VALUE"""),"S")</f>
        <v>S</v>
      </c>
      <c r="F4989" s="312" t="s">
        <v>39</v>
      </c>
      <c r="G4989" s="308"/>
      <c r="H4989" s="308" t="s">
        <v>20119</v>
      </c>
      <c r="I4989" s="310">
        <v>42461.0</v>
      </c>
      <c r="J4989" s="319">
        <f>IFERROR(__xludf.DUMMYFUNCTION("SPLIT(I4989,""/"")"),1.0)</f>
        <v>1</v>
      </c>
      <c r="K4989" s="308">
        <f>IFERROR(__xludf.DUMMYFUNCTION("""COMPUTED_VALUE"""),4.0)</f>
        <v>4</v>
      </c>
      <c r="L4989" s="308">
        <f>IFERROR(__xludf.DUMMYFUNCTION("""COMPUTED_VALUE"""),2016.0)</f>
        <v>2016</v>
      </c>
      <c r="M4989" s="308" t="s">
        <v>20120</v>
      </c>
      <c r="N4989" s="308"/>
      <c r="O4989" s="308"/>
      <c r="P4989" s="308" t="s">
        <v>20121</v>
      </c>
      <c r="Q4989" s="308" t="s">
        <v>38069</v>
      </c>
      <c r="R4989" s="308" t="s">
        <v>20052</v>
      </c>
      <c r="S4989" s="308" t="s">
        <v>81</v>
      </c>
      <c r="T4989" s="308" t="s">
        <v>75</v>
      </c>
      <c r="U4989" s="308" t="s">
        <v>166</v>
      </c>
      <c r="V4989" s="308"/>
    </row>
    <row r="4990">
      <c r="A4990" s="308">
        <v>4989.0</v>
      </c>
      <c r="B4990" s="308"/>
      <c r="C4990" s="308" t="s">
        <v>20122</v>
      </c>
      <c r="D4990" s="308">
        <f>IFERROR(__xludf.DUMMYFUNCTION("SPLIT(C4990,""-"")"),5010.0)</f>
        <v>5010</v>
      </c>
      <c r="E4990" s="308" t="str">
        <f>IFERROR(__xludf.DUMMYFUNCTION("""COMPUTED_VALUE"""),"S")</f>
        <v>S</v>
      </c>
      <c r="F4990" s="312" t="s">
        <v>39</v>
      </c>
      <c r="G4990" s="308"/>
      <c r="H4990" s="308" t="s">
        <v>20123</v>
      </c>
      <c r="I4990" s="310">
        <v>42488.0</v>
      </c>
      <c r="J4990" s="319">
        <f>IFERROR(__xludf.DUMMYFUNCTION("SPLIT(I4990,""/"")"),28.0)</f>
        <v>28</v>
      </c>
      <c r="K4990" s="308">
        <f>IFERROR(__xludf.DUMMYFUNCTION("""COMPUTED_VALUE"""),4.0)</f>
        <v>4</v>
      </c>
      <c r="L4990" s="308">
        <f>IFERROR(__xludf.DUMMYFUNCTION("""COMPUTED_VALUE"""),2016.0)</f>
        <v>2016</v>
      </c>
      <c r="M4990" s="308" t="s">
        <v>20124</v>
      </c>
      <c r="N4990" s="308"/>
      <c r="O4990" s="308"/>
      <c r="P4990" s="308" t="s">
        <v>38077</v>
      </c>
      <c r="Q4990" s="308" t="s">
        <v>38069</v>
      </c>
      <c r="R4990" s="308" t="s">
        <v>20052</v>
      </c>
      <c r="S4990" s="308" t="s">
        <v>49</v>
      </c>
      <c r="T4990" s="311" t="s">
        <v>53</v>
      </c>
      <c r="U4990" s="308" t="s">
        <v>166</v>
      </c>
      <c r="V4990" s="308"/>
    </row>
    <row r="4991">
      <c r="A4991" s="308">
        <v>4990.0</v>
      </c>
      <c r="B4991" s="308"/>
      <c r="C4991" s="308" t="s">
        <v>20126</v>
      </c>
      <c r="D4991" s="308">
        <f>IFERROR(__xludf.DUMMYFUNCTION("SPLIT(C4991,""-"")"),5011.0)</f>
        <v>5011</v>
      </c>
      <c r="E4991" s="308" t="str">
        <f>IFERROR(__xludf.DUMMYFUNCTION("""COMPUTED_VALUE"""),"S")</f>
        <v>S</v>
      </c>
      <c r="F4991" s="312" t="s">
        <v>39</v>
      </c>
      <c r="G4991" s="308"/>
      <c r="H4991" s="308" t="s">
        <v>20127</v>
      </c>
      <c r="I4991" s="310">
        <v>42488.0</v>
      </c>
      <c r="J4991" s="319">
        <f>IFERROR(__xludf.DUMMYFUNCTION("SPLIT(I4991,""/"")"),28.0)</f>
        <v>28</v>
      </c>
      <c r="K4991" s="308">
        <f>IFERROR(__xludf.DUMMYFUNCTION("""COMPUTED_VALUE"""),4.0)</f>
        <v>4</v>
      </c>
      <c r="L4991" s="308">
        <f>IFERROR(__xludf.DUMMYFUNCTION("""COMPUTED_VALUE"""),2016.0)</f>
        <v>2016</v>
      </c>
      <c r="M4991" s="308" t="s">
        <v>20128</v>
      </c>
      <c r="N4991" s="308"/>
      <c r="O4991" s="308"/>
      <c r="P4991" s="308" t="s">
        <v>5653</v>
      </c>
      <c r="Q4991" s="308" t="s">
        <v>38069</v>
      </c>
      <c r="R4991" s="308" t="s">
        <v>20052</v>
      </c>
      <c r="S4991" s="315" t="s">
        <v>100</v>
      </c>
      <c r="T4991" s="311" t="s">
        <v>34208</v>
      </c>
      <c r="U4991" s="308" t="s">
        <v>166</v>
      </c>
      <c r="V4991" s="308"/>
    </row>
    <row r="4992">
      <c r="A4992" s="308">
        <v>4991.0</v>
      </c>
      <c r="B4992" s="308"/>
      <c r="C4992" s="308" t="s">
        <v>20129</v>
      </c>
      <c r="D4992" s="308">
        <f>IFERROR(__xludf.DUMMYFUNCTION("SPLIT(C4992,""-"")"),5012.0)</f>
        <v>5012</v>
      </c>
      <c r="E4992" s="308" t="str">
        <f>IFERROR(__xludf.DUMMYFUNCTION("""COMPUTED_VALUE"""),"S")</f>
        <v>S</v>
      </c>
      <c r="F4992" s="312" t="s">
        <v>39</v>
      </c>
      <c r="G4992" s="308"/>
      <c r="H4992" s="308" t="s">
        <v>20130</v>
      </c>
      <c r="I4992" s="310">
        <v>42538.0</v>
      </c>
      <c r="J4992" s="319">
        <f>IFERROR(__xludf.DUMMYFUNCTION("SPLIT(I4992,""/"")"),17.0)</f>
        <v>17</v>
      </c>
      <c r="K4992" s="308">
        <f>IFERROR(__xludf.DUMMYFUNCTION("""COMPUTED_VALUE"""),6.0)</f>
        <v>6</v>
      </c>
      <c r="L4992" s="308">
        <f>IFERROR(__xludf.DUMMYFUNCTION("""COMPUTED_VALUE"""),2016.0)</f>
        <v>2016</v>
      </c>
      <c r="M4992" s="308" t="s">
        <v>20131</v>
      </c>
      <c r="N4992" s="308"/>
      <c r="O4992" s="308"/>
      <c r="P4992" s="308"/>
      <c r="Q4992" s="308" t="s">
        <v>38069</v>
      </c>
      <c r="R4992" s="308" t="s">
        <v>20052</v>
      </c>
      <c r="S4992" s="308" t="s">
        <v>79</v>
      </c>
      <c r="T4992" s="308" t="s">
        <v>79</v>
      </c>
      <c r="U4992" s="308" t="s">
        <v>166</v>
      </c>
      <c r="V4992" s="308"/>
    </row>
    <row r="4993">
      <c r="A4993" s="308">
        <v>4992.0</v>
      </c>
      <c r="B4993" s="308"/>
      <c r="C4993" s="308" t="s">
        <v>20132</v>
      </c>
      <c r="D4993" s="308">
        <f>IFERROR(__xludf.DUMMYFUNCTION("SPLIT(C4993,""-"")"),5013.0)</f>
        <v>5013</v>
      </c>
      <c r="E4993" s="308" t="str">
        <f>IFERROR(__xludf.DUMMYFUNCTION("""COMPUTED_VALUE"""),"S")</f>
        <v>S</v>
      </c>
      <c r="F4993" s="312" t="s">
        <v>39</v>
      </c>
      <c r="G4993" s="308"/>
      <c r="H4993" s="308" t="s">
        <v>20133</v>
      </c>
      <c r="I4993" s="310">
        <v>42572.0</v>
      </c>
      <c r="J4993" s="319">
        <f>IFERROR(__xludf.DUMMYFUNCTION("SPLIT(I4993,""/"")"),21.0)</f>
        <v>21</v>
      </c>
      <c r="K4993" s="308">
        <f>IFERROR(__xludf.DUMMYFUNCTION("""COMPUTED_VALUE"""),7.0)</f>
        <v>7</v>
      </c>
      <c r="L4993" s="308">
        <f>IFERROR(__xludf.DUMMYFUNCTION("""COMPUTED_VALUE"""),2016.0)</f>
        <v>2016</v>
      </c>
      <c r="M4993" s="308" t="s">
        <v>20134</v>
      </c>
      <c r="N4993" s="308"/>
      <c r="O4993" s="308"/>
      <c r="P4993" s="308" t="s">
        <v>38078</v>
      </c>
      <c r="Q4993" s="308" t="s">
        <v>38069</v>
      </c>
      <c r="R4993" s="308" t="s">
        <v>20052</v>
      </c>
      <c r="S4993" s="308" t="s">
        <v>49</v>
      </c>
      <c r="T4993" s="308" t="s">
        <v>53</v>
      </c>
      <c r="U4993" s="308" t="s">
        <v>166</v>
      </c>
      <c r="V4993" s="308"/>
    </row>
    <row r="4994">
      <c r="A4994" s="308">
        <v>4993.0</v>
      </c>
      <c r="B4994" s="308"/>
      <c r="C4994" s="308" t="s">
        <v>20136</v>
      </c>
      <c r="D4994" s="308">
        <f>IFERROR(__xludf.DUMMYFUNCTION("SPLIT(C4994,""-"")"),5014.0)</f>
        <v>5014</v>
      </c>
      <c r="E4994" s="308" t="str">
        <f>IFERROR(__xludf.DUMMYFUNCTION("""COMPUTED_VALUE"""),"S")</f>
        <v>S</v>
      </c>
      <c r="F4994" s="312" t="s">
        <v>39</v>
      </c>
      <c r="G4994" s="308"/>
      <c r="H4994" s="308" t="s">
        <v>20137</v>
      </c>
      <c r="I4994" s="310">
        <v>42598.0</v>
      </c>
      <c r="J4994" s="319">
        <f>IFERROR(__xludf.DUMMYFUNCTION("SPLIT(I4994,""/"")"),16.0)</f>
        <v>16</v>
      </c>
      <c r="K4994" s="308">
        <f>IFERROR(__xludf.DUMMYFUNCTION("""COMPUTED_VALUE"""),8.0)</f>
        <v>8</v>
      </c>
      <c r="L4994" s="308">
        <f>IFERROR(__xludf.DUMMYFUNCTION("""COMPUTED_VALUE"""),2016.0)</f>
        <v>2016</v>
      </c>
      <c r="M4994" s="308" t="s">
        <v>38079</v>
      </c>
      <c r="N4994" s="308"/>
      <c r="O4994" s="308"/>
      <c r="P4994" s="308" t="s">
        <v>38080</v>
      </c>
      <c r="Q4994" s="308" t="s">
        <v>38069</v>
      </c>
      <c r="R4994" s="308" t="s">
        <v>20052</v>
      </c>
      <c r="S4994" s="308" t="s">
        <v>81</v>
      </c>
      <c r="T4994" s="308" t="s">
        <v>75</v>
      </c>
      <c r="U4994" s="308" t="s">
        <v>166</v>
      </c>
      <c r="V4994" s="308"/>
    </row>
    <row r="4995">
      <c r="A4995" s="308">
        <v>4994.0</v>
      </c>
      <c r="B4995" s="308"/>
      <c r="C4995" s="308" t="s">
        <v>20140</v>
      </c>
      <c r="D4995" s="308">
        <f>IFERROR(__xludf.DUMMYFUNCTION("SPLIT(C4995,""-"")"),5015.0)</f>
        <v>5015</v>
      </c>
      <c r="E4995" s="308" t="str">
        <f>IFERROR(__xludf.DUMMYFUNCTION("""COMPUTED_VALUE"""),"S")</f>
        <v>S</v>
      </c>
      <c r="F4995" s="312" t="s">
        <v>39</v>
      </c>
      <c r="G4995" s="308"/>
      <c r="H4995" s="308" t="s">
        <v>20141</v>
      </c>
      <c r="I4995" s="310">
        <v>42602.0</v>
      </c>
      <c r="J4995" s="319">
        <f>IFERROR(__xludf.DUMMYFUNCTION("SPLIT(I4995,""/"")"),20.0)</f>
        <v>20</v>
      </c>
      <c r="K4995" s="308">
        <f>IFERROR(__xludf.DUMMYFUNCTION("""COMPUTED_VALUE"""),8.0)</f>
        <v>8</v>
      </c>
      <c r="L4995" s="308">
        <f>IFERROR(__xludf.DUMMYFUNCTION("""COMPUTED_VALUE"""),2016.0)</f>
        <v>2016</v>
      </c>
      <c r="M4995" s="308" t="s">
        <v>20142</v>
      </c>
      <c r="N4995" s="308"/>
      <c r="O4995" s="308"/>
      <c r="P4995" s="308" t="s">
        <v>38081</v>
      </c>
      <c r="Q4995" s="308" t="s">
        <v>38069</v>
      </c>
      <c r="R4995" s="308" t="s">
        <v>20052</v>
      </c>
      <c r="S4995" s="308" t="s">
        <v>81</v>
      </c>
      <c r="T4995" s="308" t="s">
        <v>75</v>
      </c>
      <c r="U4995" s="308" t="s">
        <v>166</v>
      </c>
      <c r="V4995" s="308"/>
    </row>
    <row r="4996">
      <c r="A4996" s="308">
        <v>4995.0</v>
      </c>
      <c r="B4996" s="308"/>
      <c r="C4996" s="308" t="s">
        <v>20144</v>
      </c>
      <c r="D4996" s="308">
        <f>IFERROR(__xludf.DUMMYFUNCTION("SPLIT(C4996,""-"")"),5016.0)</f>
        <v>5016</v>
      </c>
      <c r="E4996" s="308" t="str">
        <f>IFERROR(__xludf.DUMMYFUNCTION("""COMPUTED_VALUE"""),"S")</f>
        <v>S</v>
      </c>
      <c r="F4996" s="312" t="s">
        <v>39</v>
      </c>
      <c r="G4996" s="308"/>
      <c r="H4996" s="308" t="s">
        <v>20145</v>
      </c>
      <c r="I4996" s="310">
        <v>42621.0</v>
      </c>
      <c r="J4996" s="319">
        <f>IFERROR(__xludf.DUMMYFUNCTION("SPLIT(I4996,""/"")"),8.0)</f>
        <v>8</v>
      </c>
      <c r="K4996" s="308">
        <f>IFERROR(__xludf.DUMMYFUNCTION("""COMPUTED_VALUE"""),9.0)</f>
        <v>9</v>
      </c>
      <c r="L4996" s="308">
        <f>IFERROR(__xludf.DUMMYFUNCTION("""COMPUTED_VALUE"""),2016.0)</f>
        <v>2016</v>
      </c>
      <c r="M4996" s="308"/>
      <c r="N4996" s="308"/>
      <c r="O4996" s="308"/>
      <c r="P4996" s="308" t="s">
        <v>38082</v>
      </c>
      <c r="Q4996" s="308" t="s">
        <v>38069</v>
      </c>
      <c r="R4996" s="308" t="s">
        <v>20052</v>
      </c>
      <c r="S4996" s="308" t="s">
        <v>49</v>
      </c>
      <c r="T4996" s="311" t="s">
        <v>67</v>
      </c>
      <c r="U4996" s="308" t="s">
        <v>166</v>
      </c>
      <c r="V4996" s="308"/>
    </row>
    <row r="4997">
      <c r="A4997" s="308">
        <v>4996.0</v>
      </c>
      <c r="B4997" s="308"/>
      <c r="C4997" s="308" t="s">
        <v>20147</v>
      </c>
      <c r="D4997" s="308">
        <f>IFERROR(__xludf.DUMMYFUNCTION("SPLIT(C4997,""-"")"),5017.0)</f>
        <v>5017</v>
      </c>
      <c r="E4997" s="308" t="str">
        <f>IFERROR(__xludf.DUMMYFUNCTION("""COMPUTED_VALUE"""),"S")</f>
        <v>S</v>
      </c>
      <c r="F4997" s="312" t="s">
        <v>39</v>
      </c>
      <c r="G4997" s="308"/>
      <c r="H4997" s="308" t="s">
        <v>20148</v>
      </c>
      <c r="I4997" s="310">
        <v>42644.0</v>
      </c>
      <c r="J4997" s="319">
        <f>IFERROR(__xludf.DUMMYFUNCTION("SPLIT(I4997,""/"")"),1.0)</f>
        <v>1</v>
      </c>
      <c r="K4997" s="308">
        <f>IFERROR(__xludf.DUMMYFUNCTION("""COMPUTED_VALUE"""),10.0)</f>
        <v>10</v>
      </c>
      <c r="L4997" s="308">
        <f>IFERROR(__xludf.DUMMYFUNCTION("""COMPUTED_VALUE"""),2016.0)</f>
        <v>2016</v>
      </c>
      <c r="M4997" s="308" t="s">
        <v>38083</v>
      </c>
      <c r="N4997" s="308"/>
      <c r="O4997" s="308"/>
      <c r="P4997" s="308" t="s">
        <v>38084</v>
      </c>
      <c r="Q4997" s="308" t="s">
        <v>38069</v>
      </c>
      <c r="R4997" s="308" t="s">
        <v>20052</v>
      </c>
      <c r="S4997" s="308" t="s">
        <v>49</v>
      </c>
      <c r="T4997" s="311" t="s">
        <v>67</v>
      </c>
      <c r="U4997" s="308" t="s">
        <v>166</v>
      </c>
      <c r="V4997" s="308"/>
    </row>
    <row r="4998">
      <c r="A4998" s="308">
        <v>4997.0</v>
      </c>
      <c r="B4998" s="308"/>
      <c r="C4998" s="308" t="s">
        <v>20151</v>
      </c>
      <c r="D4998" s="308">
        <f>IFERROR(__xludf.DUMMYFUNCTION("SPLIT(C4998,""-"")"),5018.0)</f>
        <v>5018</v>
      </c>
      <c r="E4998" s="308" t="str">
        <f>IFERROR(__xludf.DUMMYFUNCTION("""COMPUTED_VALUE"""),"S")</f>
        <v>S</v>
      </c>
      <c r="F4998" s="312" t="s">
        <v>39</v>
      </c>
      <c r="G4998" s="308"/>
      <c r="H4998" s="308" t="s">
        <v>20152</v>
      </c>
      <c r="I4998" s="310">
        <v>42649.0</v>
      </c>
      <c r="J4998" s="319">
        <f>IFERROR(__xludf.DUMMYFUNCTION("SPLIT(I4998,""/"")"),6.0)</f>
        <v>6</v>
      </c>
      <c r="K4998" s="308">
        <f>IFERROR(__xludf.DUMMYFUNCTION("""COMPUTED_VALUE"""),10.0)</f>
        <v>10</v>
      </c>
      <c r="L4998" s="308">
        <f>IFERROR(__xludf.DUMMYFUNCTION("""COMPUTED_VALUE"""),2016.0)</f>
        <v>2016</v>
      </c>
      <c r="M4998" s="308" t="s">
        <v>20153</v>
      </c>
      <c r="N4998" s="308"/>
      <c r="O4998" s="308"/>
      <c r="P4998" s="308" t="s">
        <v>38085</v>
      </c>
      <c r="Q4998" s="308" t="s">
        <v>38069</v>
      </c>
      <c r="R4998" s="308" t="s">
        <v>20052</v>
      </c>
      <c r="S4998" s="308" t="s">
        <v>49</v>
      </c>
      <c r="T4998" s="311" t="s">
        <v>67</v>
      </c>
      <c r="U4998" s="308" t="s">
        <v>166</v>
      </c>
      <c r="V4998" s="308"/>
    </row>
    <row r="4999">
      <c r="A4999" s="308">
        <v>4998.0</v>
      </c>
      <c r="B4999" s="308"/>
      <c r="C4999" s="308" t="s">
        <v>20155</v>
      </c>
      <c r="D4999" s="308">
        <f>IFERROR(__xludf.DUMMYFUNCTION("SPLIT(C4999,""-"")"),5019.0)</f>
        <v>5019</v>
      </c>
      <c r="E4999" s="308" t="str">
        <f>IFERROR(__xludf.DUMMYFUNCTION("""COMPUTED_VALUE"""),"S")</f>
        <v>S</v>
      </c>
      <c r="F4999" s="312" t="s">
        <v>39</v>
      </c>
      <c r="G4999" s="308"/>
      <c r="H4999" s="308" t="s">
        <v>20156</v>
      </c>
      <c r="I4999" s="314">
        <v>42667.0</v>
      </c>
      <c r="J4999" s="319">
        <f>IFERROR(__xludf.DUMMYFUNCTION("SPLIT(I4999,""/"")"),24.0)</f>
        <v>24</v>
      </c>
      <c r="K4999" s="308">
        <f>IFERROR(__xludf.DUMMYFUNCTION("""COMPUTED_VALUE"""),10.0)</f>
        <v>10</v>
      </c>
      <c r="L4999" s="308">
        <f>IFERROR(__xludf.DUMMYFUNCTION("""COMPUTED_VALUE"""),2016.0)</f>
        <v>2016</v>
      </c>
      <c r="M4999" s="308" t="s">
        <v>20157</v>
      </c>
      <c r="N4999" s="308"/>
      <c r="O4999" s="308"/>
      <c r="P4999" s="308" t="s">
        <v>20158</v>
      </c>
      <c r="Q4999" s="308" t="s">
        <v>38069</v>
      </c>
      <c r="R4999" s="308" t="s">
        <v>20052</v>
      </c>
      <c r="S4999" s="308" t="s">
        <v>81</v>
      </c>
      <c r="T4999" s="308" t="s">
        <v>73</v>
      </c>
      <c r="U4999" s="308" t="s">
        <v>166</v>
      </c>
      <c r="V4999" s="308"/>
    </row>
    <row r="5000">
      <c r="A5000" s="308">
        <v>4999.0</v>
      </c>
      <c r="B5000" s="308"/>
      <c r="C5000" s="308" t="s">
        <v>20159</v>
      </c>
      <c r="D5000" s="308">
        <f>IFERROR(__xludf.DUMMYFUNCTION("SPLIT(C5000,""-"")"),5020.0)</f>
        <v>5020</v>
      </c>
      <c r="E5000" s="308" t="str">
        <f>IFERROR(__xludf.DUMMYFUNCTION("""COMPUTED_VALUE"""),"S")</f>
        <v>S</v>
      </c>
      <c r="F5000" s="312" t="s">
        <v>39</v>
      </c>
      <c r="G5000" s="308"/>
      <c r="H5000" s="308" t="s">
        <v>38086</v>
      </c>
      <c r="I5000" s="314">
        <v>42667.0</v>
      </c>
      <c r="J5000" s="319">
        <f>IFERROR(__xludf.DUMMYFUNCTION("SPLIT(I5000,""/"")"),24.0)</f>
        <v>24</v>
      </c>
      <c r="K5000" s="308">
        <f>IFERROR(__xludf.DUMMYFUNCTION("""COMPUTED_VALUE"""),10.0)</f>
        <v>10</v>
      </c>
      <c r="L5000" s="308">
        <f>IFERROR(__xludf.DUMMYFUNCTION("""COMPUTED_VALUE"""),2016.0)</f>
        <v>2016</v>
      </c>
      <c r="M5000" s="308"/>
      <c r="N5000" s="308"/>
      <c r="O5000" s="308"/>
      <c r="P5000" s="308" t="s">
        <v>5653</v>
      </c>
      <c r="Q5000" s="308" t="s">
        <v>38069</v>
      </c>
      <c r="R5000" s="308" t="s">
        <v>20052</v>
      </c>
      <c r="S5000" s="315" t="s">
        <v>100</v>
      </c>
      <c r="T5000" s="311" t="s">
        <v>34208</v>
      </c>
      <c r="U5000" s="308" t="s">
        <v>166</v>
      </c>
      <c r="V5000" s="308"/>
    </row>
    <row r="5001">
      <c r="A5001" s="308">
        <v>5000.0</v>
      </c>
      <c r="B5001" s="308"/>
      <c r="C5001" s="308" t="s">
        <v>20161</v>
      </c>
      <c r="D5001" s="308">
        <f>IFERROR(__xludf.DUMMYFUNCTION("SPLIT(C5001,""-"")"),5021.0)</f>
        <v>5021</v>
      </c>
      <c r="E5001" s="308" t="str">
        <f>IFERROR(__xludf.DUMMYFUNCTION("""COMPUTED_VALUE"""),"S")</f>
        <v>S</v>
      </c>
      <c r="F5001" s="312" t="s">
        <v>39</v>
      </c>
      <c r="G5001" s="308"/>
      <c r="H5001" s="308" t="s">
        <v>20162</v>
      </c>
      <c r="I5001" s="314">
        <v>42669.0</v>
      </c>
      <c r="J5001" s="319">
        <f>IFERROR(__xludf.DUMMYFUNCTION("SPLIT(I5001,""/"")"),26.0)</f>
        <v>26</v>
      </c>
      <c r="K5001" s="308">
        <f>IFERROR(__xludf.DUMMYFUNCTION("""COMPUTED_VALUE"""),10.0)</f>
        <v>10</v>
      </c>
      <c r="L5001" s="308">
        <f>IFERROR(__xludf.DUMMYFUNCTION("""COMPUTED_VALUE"""),2016.0)</f>
        <v>2016</v>
      </c>
      <c r="M5001" s="308"/>
      <c r="N5001" s="308"/>
      <c r="O5001" s="308"/>
      <c r="P5001" s="308" t="s">
        <v>20163</v>
      </c>
      <c r="Q5001" s="308" t="s">
        <v>38069</v>
      </c>
      <c r="R5001" s="308" t="s">
        <v>20052</v>
      </c>
      <c r="S5001" s="308" t="s">
        <v>81</v>
      </c>
      <c r="T5001" s="308" t="s">
        <v>75</v>
      </c>
      <c r="U5001" s="308" t="s">
        <v>166</v>
      </c>
      <c r="V5001" s="308"/>
    </row>
    <row r="5002">
      <c r="A5002" s="308">
        <v>5001.0</v>
      </c>
      <c r="B5002" s="308"/>
      <c r="C5002" s="308" t="s">
        <v>20164</v>
      </c>
      <c r="D5002" s="308" t="str">
        <f>IFERROR(__xludf.DUMMYFUNCTION("SPLIT(C5002,""-"")"),"#REF!")</f>
        <v>#REF!</v>
      </c>
      <c r="E5002" s="311"/>
      <c r="F5002" s="317" t="s">
        <v>39</v>
      </c>
      <c r="G5002" s="308"/>
      <c r="H5002" s="308" t="s">
        <v>20165</v>
      </c>
      <c r="I5002" s="314">
        <v>42691.0</v>
      </c>
      <c r="J5002" s="319">
        <f>IFERROR(__xludf.DUMMYFUNCTION("SPLIT(I5002,""/"")"),17.0)</f>
        <v>17</v>
      </c>
      <c r="K5002" s="308">
        <f>IFERROR(__xludf.DUMMYFUNCTION("""COMPUTED_VALUE"""),11.0)</f>
        <v>11</v>
      </c>
      <c r="L5002" s="308">
        <f>IFERROR(__xludf.DUMMYFUNCTION("""COMPUTED_VALUE"""),2016.0)</f>
        <v>2016</v>
      </c>
      <c r="M5002" s="308" t="s">
        <v>20166</v>
      </c>
      <c r="N5002" s="308"/>
      <c r="O5002" s="308"/>
      <c r="P5002" s="308" t="s">
        <v>5653</v>
      </c>
      <c r="Q5002" s="308" t="s">
        <v>38069</v>
      </c>
      <c r="R5002" s="308" t="s">
        <v>20052</v>
      </c>
      <c r="S5002" s="315" t="s">
        <v>100</v>
      </c>
      <c r="T5002" s="311" t="s">
        <v>34208</v>
      </c>
      <c r="U5002" s="308" t="s">
        <v>166</v>
      </c>
      <c r="V5002" s="308"/>
    </row>
    <row r="5003">
      <c r="A5003" s="308">
        <v>5002.0</v>
      </c>
      <c r="B5003" s="308"/>
      <c r="C5003" s="308" t="s">
        <v>20167</v>
      </c>
      <c r="D5003" s="308">
        <f>IFERROR(__xludf.DUMMYFUNCTION("SPLIT(C5003,""-"")"),5023.0)</f>
        <v>5023</v>
      </c>
      <c r="E5003" s="308" t="str">
        <f>IFERROR(__xludf.DUMMYFUNCTION("""COMPUTED_VALUE"""),"S")</f>
        <v>S</v>
      </c>
      <c r="F5003" s="312" t="s">
        <v>39</v>
      </c>
      <c r="G5003" s="308"/>
      <c r="H5003" s="308" t="s">
        <v>20168</v>
      </c>
      <c r="I5003" s="314">
        <v>42732.0</v>
      </c>
      <c r="J5003" s="319">
        <f>IFERROR(__xludf.DUMMYFUNCTION("SPLIT(I5003,""/"")"),28.0)</f>
        <v>28</v>
      </c>
      <c r="K5003" s="308">
        <f>IFERROR(__xludf.DUMMYFUNCTION("""COMPUTED_VALUE"""),12.0)</f>
        <v>12</v>
      </c>
      <c r="L5003" s="308">
        <f>IFERROR(__xludf.DUMMYFUNCTION("""COMPUTED_VALUE"""),2016.0)</f>
        <v>2016</v>
      </c>
      <c r="M5003" s="308" t="s">
        <v>20169</v>
      </c>
      <c r="N5003" s="308"/>
      <c r="O5003" s="308"/>
      <c r="P5003" s="308" t="s">
        <v>5653</v>
      </c>
      <c r="Q5003" s="308" t="s">
        <v>38069</v>
      </c>
      <c r="R5003" s="308" t="s">
        <v>20052</v>
      </c>
      <c r="S5003" s="315" t="s">
        <v>100</v>
      </c>
      <c r="T5003" s="311" t="s">
        <v>34208</v>
      </c>
      <c r="U5003" s="308" t="s">
        <v>166</v>
      </c>
      <c r="V5003" s="308"/>
    </row>
    <row r="5004">
      <c r="A5004" s="308">
        <v>5003.0</v>
      </c>
      <c r="B5004" s="308"/>
      <c r="C5004" s="308" t="s">
        <v>20170</v>
      </c>
      <c r="D5004" s="308">
        <f>IFERROR(__xludf.DUMMYFUNCTION("SPLIT(C5004,""-"")"),5024.0)</f>
        <v>5024</v>
      </c>
      <c r="E5004" s="308" t="str">
        <f>IFERROR(__xludf.DUMMYFUNCTION("""COMPUTED_VALUE"""),"S")</f>
        <v>S</v>
      </c>
      <c r="F5004" s="312" t="s">
        <v>39</v>
      </c>
      <c r="G5004" s="308"/>
      <c r="H5004" s="308" t="s">
        <v>20171</v>
      </c>
      <c r="I5004" s="314">
        <v>42735.0</v>
      </c>
      <c r="J5004" s="319">
        <f>IFERROR(__xludf.DUMMYFUNCTION("SPLIT(I5004,""/"")"),31.0)</f>
        <v>31</v>
      </c>
      <c r="K5004" s="308">
        <f>IFERROR(__xludf.DUMMYFUNCTION("""COMPUTED_VALUE"""),12.0)</f>
        <v>12</v>
      </c>
      <c r="L5004" s="308">
        <f>IFERROR(__xludf.DUMMYFUNCTION("""COMPUTED_VALUE"""),2016.0)</f>
        <v>2016</v>
      </c>
      <c r="M5004" s="308" t="s">
        <v>20172</v>
      </c>
      <c r="N5004" s="308"/>
      <c r="O5004" s="308"/>
      <c r="P5004" s="308" t="s">
        <v>20173</v>
      </c>
      <c r="Q5004" s="308" t="s">
        <v>38069</v>
      </c>
      <c r="R5004" s="308" t="s">
        <v>20052</v>
      </c>
      <c r="S5004" s="308" t="s">
        <v>81</v>
      </c>
      <c r="T5004" s="308" t="s">
        <v>75</v>
      </c>
      <c r="U5004" s="308" t="s">
        <v>166</v>
      </c>
      <c r="V5004" s="308"/>
    </row>
    <row r="5005">
      <c r="A5005" s="308">
        <v>5004.0</v>
      </c>
      <c r="B5005" s="308"/>
      <c r="C5005" s="308" t="s">
        <v>20174</v>
      </c>
      <c r="D5005" s="308">
        <f>IFERROR(__xludf.DUMMYFUNCTION("SPLIT(C5005,""-"")"),5025.0)</f>
        <v>5025</v>
      </c>
      <c r="E5005" s="308" t="str">
        <f>IFERROR(__xludf.DUMMYFUNCTION("""COMPUTED_VALUE"""),"S")</f>
        <v>S</v>
      </c>
      <c r="F5005" s="312" t="s">
        <v>39</v>
      </c>
      <c r="G5005" s="308"/>
      <c r="H5005" s="308" t="s">
        <v>20175</v>
      </c>
      <c r="I5005" s="314">
        <v>42735.0</v>
      </c>
      <c r="J5005" s="319">
        <f>IFERROR(__xludf.DUMMYFUNCTION("SPLIT(I5005,""/"")"),31.0)</f>
        <v>31</v>
      </c>
      <c r="K5005" s="308">
        <f>IFERROR(__xludf.DUMMYFUNCTION("""COMPUTED_VALUE"""),12.0)</f>
        <v>12</v>
      </c>
      <c r="L5005" s="308">
        <f>IFERROR(__xludf.DUMMYFUNCTION("""COMPUTED_VALUE"""),2016.0)</f>
        <v>2016</v>
      </c>
      <c r="M5005" s="308" t="s">
        <v>38087</v>
      </c>
      <c r="N5005" s="308"/>
      <c r="O5005" s="308"/>
      <c r="P5005" s="308" t="s">
        <v>38088</v>
      </c>
      <c r="Q5005" s="308" t="s">
        <v>38069</v>
      </c>
      <c r="R5005" s="308" t="s">
        <v>20052</v>
      </c>
      <c r="S5005" s="308" t="s">
        <v>49</v>
      </c>
      <c r="T5005" s="311" t="s">
        <v>67</v>
      </c>
      <c r="U5005" s="308" t="s">
        <v>166</v>
      </c>
      <c r="V5005" s="308"/>
    </row>
    <row r="5006">
      <c r="A5006" s="308">
        <v>5005.0</v>
      </c>
      <c r="B5006" s="308"/>
      <c r="C5006" s="308" t="s">
        <v>20178</v>
      </c>
      <c r="D5006" s="308">
        <f>IFERROR(__xludf.DUMMYFUNCTION("SPLIT(C5006,""-"")"),5026.0)</f>
        <v>5026</v>
      </c>
      <c r="E5006" s="308" t="str">
        <f>IFERROR(__xludf.DUMMYFUNCTION("""COMPUTED_VALUE"""),"S")</f>
        <v>S</v>
      </c>
      <c r="F5006" s="312" t="s">
        <v>39</v>
      </c>
      <c r="G5006" s="308"/>
      <c r="H5006" s="308" t="s">
        <v>20179</v>
      </c>
      <c r="I5006" s="310">
        <v>42783.0</v>
      </c>
      <c r="J5006" s="319">
        <f>IFERROR(__xludf.DUMMYFUNCTION("SPLIT(I5006,""/"")"),17.0)</f>
        <v>17</v>
      </c>
      <c r="K5006" s="308">
        <f>IFERROR(__xludf.DUMMYFUNCTION("""COMPUTED_VALUE"""),2.0)</f>
        <v>2</v>
      </c>
      <c r="L5006" s="308">
        <f>IFERROR(__xludf.DUMMYFUNCTION("""COMPUTED_VALUE"""),2017.0)</f>
        <v>2017</v>
      </c>
      <c r="M5006" s="308"/>
      <c r="N5006" s="308"/>
      <c r="O5006" s="308"/>
      <c r="P5006" s="308" t="s">
        <v>38089</v>
      </c>
      <c r="Q5006" s="308" t="s">
        <v>38069</v>
      </c>
      <c r="R5006" s="308" t="s">
        <v>20052</v>
      </c>
      <c r="S5006" s="308" t="s">
        <v>49</v>
      </c>
      <c r="T5006" s="311" t="s">
        <v>67</v>
      </c>
      <c r="U5006" s="308" t="s">
        <v>166</v>
      </c>
      <c r="V5006" s="308"/>
    </row>
    <row r="5007">
      <c r="A5007" s="308">
        <v>5006.0</v>
      </c>
      <c r="B5007" s="308"/>
      <c r="C5007" s="308" t="s">
        <v>20181</v>
      </c>
      <c r="D5007" s="308">
        <f>IFERROR(__xludf.DUMMYFUNCTION("SPLIT(C5007,""-"")"),5027.0)</f>
        <v>5027</v>
      </c>
      <c r="E5007" s="308" t="str">
        <f>IFERROR(__xludf.DUMMYFUNCTION("""COMPUTED_VALUE"""),"S")</f>
        <v>S</v>
      </c>
      <c r="F5007" s="312" t="s">
        <v>39</v>
      </c>
      <c r="G5007" s="308"/>
      <c r="H5007" s="308" t="s">
        <v>20182</v>
      </c>
      <c r="I5007" s="310">
        <v>42783.0</v>
      </c>
      <c r="J5007" s="319">
        <f>IFERROR(__xludf.DUMMYFUNCTION("SPLIT(I5007,""/"")"),17.0)</f>
        <v>17</v>
      </c>
      <c r="K5007" s="308">
        <f>IFERROR(__xludf.DUMMYFUNCTION("""COMPUTED_VALUE"""),2.0)</f>
        <v>2</v>
      </c>
      <c r="L5007" s="308">
        <f>IFERROR(__xludf.DUMMYFUNCTION("""COMPUTED_VALUE"""),2017.0)</f>
        <v>2017</v>
      </c>
      <c r="M5007" s="308" t="s">
        <v>20183</v>
      </c>
      <c r="N5007" s="308"/>
      <c r="O5007" s="308"/>
      <c r="P5007" s="308" t="s">
        <v>38090</v>
      </c>
      <c r="Q5007" s="308" t="s">
        <v>38069</v>
      </c>
      <c r="R5007" s="308" t="s">
        <v>20052</v>
      </c>
      <c r="S5007" s="308" t="s">
        <v>49</v>
      </c>
      <c r="T5007" s="311" t="s">
        <v>67</v>
      </c>
      <c r="U5007" s="308" t="s">
        <v>166</v>
      </c>
      <c r="V5007" s="308"/>
    </row>
    <row r="5008">
      <c r="A5008" s="308">
        <v>5007.0</v>
      </c>
      <c r="B5008" s="308"/>
      <c r="C5008" s="308" t="s">
        <v>20185</v>
      </c>
      <c r="D5008" s="308">
        <f>IFERROR(__xludf.DUMMYFUNCTION("SPLIT(C5008,""-"")"),5028.0)</f>
        <v>5028</v>
      </c>
      <c r="E5008" s="308" t="str">
        <f>IFERROR(__xludf.DUMMYFUNCTION("""COMPUTED_VALUE"""),"S")</f>
        <v>S</v>
      </c>
      <c r="F5008" s="312" t="s">
        <v>39</v>
      </c>
      <c r="G5008" s="308"/>
      <c r="H5008" s="308" t="s">
        <v>20186</v>
      </c>
      <c r="I5008" s="310">
        <v>42785.0</v>
      </c>
      <c r="J5008" s="319">
        <f>IFERROR(__xludf.DUMMYFUNCTION("SPLIT(I5008,""/"")"),19.0)</f>
        <v>19</v>
      </c>
      <c r="K5008" s="308">
        <f>IFERROR(__xludf.DUMMYFUNCTION("""COMPUTED_VALUE"""),2.0)</f>
        <v>2</v>
      </c>
      <c r="L5008" s="308">
        <f>IFERROR(__xludf.DUMMYFUNCTION("""COMPUTED_VALUE"""),2017.0)</f>
        <v>2017</v>
      </c>
      <c r="M5008" s="308" t="s">
        <v>20187</v>
      </c>
      <c r="N5008" s="308"/>
      <c r="O5008" s="308"/>
      <c r="P5008" s="308" t="s">
        <v>38091</v>
      </c>
      <c r="Q5008" s="308" t="s">
        <v>38092</v>
      </c>
      <c r="R5008" s="308" t="s">
        <v>20052</v>
      </c>
      <c r="S5008" s="308" t="s">
        <v>81</v>
      </c>
      <c r="T5008" s="308" t="s">
        <v>73</v>
      </c>
      <c r="U5008" s="308" t="s">
        <v>166</v>
      </c>
      <c r="V5008" s="308"/>
    </row>
    <row r="5009">
      <c r="A5009" s="308">
        <v>5008.0</v>
      </c>
      <c r="B5009" s="308"/>
      <c r="C5009" s="308" t="s">
        <v>20189</v>
      </c>
      <c r="D5009" s="308" t="str">
        <f>IFERROR(__xludf.DUMMYFUNCTION("SPLIT(C5009,""-"")"),"#REF!")</f>
        <v>#REF!</v>
      </c>
      <c r="E5009" s="311"/>
      <c r="F5009" s="317" t="s">
        <v>39</v>
      </c>
      <c r="G5009" s="308"/>
      <c r="H5009" s="308" t="s">
        <v>20190</v>
      </c>
      <c r="I5009" s="310">
        <v>42807.0</v>
      </c>
      <c r="J5009" s="319">
        <f>IFERROR(__xludf.DUMMYFUNCTION("SPLIT(I5009,""/"")"),13.0)</f>
        <v>13</v>
      </c>
      <c r="K5009" s="308">
        <f>IFERROR(__xludf.DUMMYFUNCTION("""COMPUTED_VALUE"""),3.0)</f>
        <v>3</v>
      </c>
      <c r="L5009" s="308">
        <f>IFERROR(__xludf.DUMMYFUNCTION("""COMPUTED_VALUE"""),2017.0)</f>
        <v>2017</v>
      </c>
      <c r="M5009" s="308" t="s">
        <v>38093</v>
      </c>
      <c r="N5009" s="308"/>
      <c r="O5009" s="308"/>
      <c r="P5009" s="308" t="s">
        <v>19767</v>
      </c>
      <c r="Q5009" s="308" t="s">
        <v>38092</v>
      </c>
      <c r="R5009" s="308" t="s">
        <v>20052</v>
      </c>
      <c r="S5009" s="308" t="s">
        <v>81</v>
      </c>
      <c r="T5009" s="308" t="s">
        <v>75</v>
      </c>
      <c r="U5009" s="308" t="s">
        <v>166</v>
      </c>
      <c r="V5009" s="308"/>
    </row>
    <row r="5010">
      <c r="A5010" s="308">
        <v>5009.0</v>
      </c>
      <c r="B5010" s="308"/>
      <c r="C5010" s="308" t="s">
        <v>20192</v>
      </c>
      <c r="D5010" s="308">
        <f>IFERROR(__xludf.DUMMYFUNCTION("SPLIT(C5010,""-"")"),5030.0)</f>
        <v>5030</v>
      </c>
      <c r="E5010" s="308" t="str">
        <f>IFERROR(__xludf.DUMMYFUNCTION("""COMPUTED_VALUE"""),"S")</f>
        <v>S</v>
      </c>
      <c r="F5010" s="312" t="s">
        <v>39</v>
      </c>
      <c r="G5010" s="308"/>
      <c r="H5010" s="308" t="s">
        <v>20193</v>
      </c>
      <c r="I5010" s="310">
        <v>42811.0</v>
      </c>
      <c r="J5010" s="319">
        <f>IFERROR(__xludf.DUMMYFUNCTION("SPLIT(I5010,""/"")"),17.0)</f>
        <v>17</v>
      </c>
      <c r="K5010" s="308">
        <f>IFERROR(__xludf.DUMMYFUNCTION("""COMPUTED_VALUE"""),3.0)</f>
        <v>3</v>
      </c>
      <c r="L5010" s="308">
        <f>IFERROR(__xludf.DUMMYFUNCTION("""COMPUTED_VALUE"""),2017.0)</f>
        <v>2017</v>
      </c>
      <c r="M5010" s="308" t="s">
        <v>20194</v>
      </c>
      <c r="N5010" s="308"/>
      <c r="O5010" s="308"/>
      <c r="P5010" s="308" t="s">
        <v>38094</v>
      </c>
      <c r="Q5010" s="308" t="s">
        <v>38092</v>
      </c>
      <c r="R5010" s="308" t="s">
        <v>20052</v>
      </c>
      <c r="S5010" s="308" t="s">
        <v>49</v>
      </c>
      <c r="T5010" s="311" t="s">
        <v>67</v>
      </c>
      <c r="U5010" s="308" t="s">
        <v>166</v>
      </c>
      <c r="V5010" s="308"/>
    </row>
    <row r="5011">
      <c r="A5011" s="308">
        <v>5010.0</v>
      </c>
      <c r="B5011" s="308"/>
      <c r="C5011" s="308" t="s">
        <v>20196</v>
      </c>
      <c r="D5011" s="308">
        <f>IFERROR(__xludf.DUMMYFUNCTION("SPLIT(C5011,""-"")"),5031.0)</f>
        <v>5031</v>
      </c>
      <c r="E5011" s="308" t="str">
        <f>IFERROR(__xludf.DUMMYFUNCTION("""COMPUTED_VALUE"""),"S")</f>
        <v>S</v>
      </c>
      <c r="F5011" s="312" t="s">
        <v>39</v>
      </c>
      <c r="G5011" s="308"/>
      <c r="H5011" s="308" t="s">
        <v>20197</v>
      </c>
      <c r="I5011" s="310">
        <v>42811.0</v>
      </c>
      <c r="J5011" s="319">
        <f>IFERROR(__xludf.DUMMYFUNCTION("SPLIT(I5011,""/"")"),17.0)</f>
        <v>17</v>
      </c>
      <c r="K5011" s="308">
        <f>IFERROR(__xludf.DUMMYFUNCTION("""COMPUTED_VALUE"""),3.0)</f>
        <v>3</v>
      </c>
      <c r="L5011" s="308">
        <f>IFERROR(__xludf.DUMMYFUNCTION("""COMPUTED_VALUE"""),2017.0)</f>
        <v>2017</v>
      </c>
      <c r="M5011" s="308" t="s">
        <v>20198</v>
      </c>
      <c r="N5011" s="308"/>
      <c r="O5011" s="308"/>
      <c r="P5011" s="308" t="s">
        <v>5653</v>
      </c>
      <c r="Q5011" s="308" t="s">
        <v>38092</v>
      </c>
      <c r="R5011" s="308" t="s">
        <v>20052</v>
      </c>
      <c r="S5011" s="315" t="s">
        <v>100</v>
      </c>
      <c r="T5011" s="311" t="s">
        <v>34208</v>
      </c>
      <c r="U5011" s="308" t="s">
        <v>166</v>
      </c>
      <c r="V5011" s="308"/>
    </row>
    <row r="5012">
      <c r="A5012" s="308">
        <v>5011.0</v>
      </c>
      <c r="B5012" s="308"/>
      <c r="C5012" s="308" t="s">
        <v>20199</v>
      </c>
      <c r="D5012" s="308">
        <f>IFERROR(__xludf.DUMMYFUNCTION("SPLIT(C5012,""-"")"),5032.0)</f>
        <v>5032</v>
      </c>
      <c r="E5012" s="308" t="str">
        <f>IFERROR(__xludf.DUMMYFUNCTION("""COMPUTED_VALUE"""),"S")</f>
        <v>S</v>
      </c>
      <c r="F5012" s="312" t="s">
        <v>39</v>
      </c>
      <c r="G5012" s="308"/>
      <c r="H5012" s="308" t="s">
        <v>20200</v>
      </c>
      <c r="I5012" s="310">
        <v>42814.0</v>
      </c>
      <c r="J5012" s="319">
        <f>IFERROR(__xludf.DUMMYFUNCTION("SPLIT(I5012,""/"")"),20.0)</f>
        <v>20</v>
      </c>
      <c r="K5012" s="308">
        <f>IFERROR(__xludf.DUMMYFUNCTION("""COMPUTED_VALUE"""),3.0)</f>
        <v>3</v>
      </c>
      <c r="L5012" s="308">
        <f>IFERROR(__xludf.DUMMYFUNCTION("""COMPUTED_VALUE"""),2017.0)</f>
        <v>2017</v>
      </c>
      <c r="M5012" s="308" t="s">
        <v>20201</v>
      </c>
      <c r="N5012" s="308"/>
      <c r="O5012" s="308"/>
      <c r="P5012" s="308" t="s">
        <v>38095</v>
      </c>
      <c r="Q5012" s="308" t="s">
        <v>38092</v>
      </c>
      <c r="R5012" s="308" t="s">
        <v>20052</v>
      </c>
      <c r="S5012" s="308" t="s">
        <v>49</v>
      </c>
      <c r="T5012" s="315" t="s">
        <v>69</v>
      </c>
      <c r="U5012" s="308" t="s">
        <v>166</v>
      </c>
      <c r="V5012" s="308"/>
    </row>
    <row r="5013">
      <c r="A5013" s="308">
        <v>5012.0</v>
      </c>
      <c r="B5013" s="308"/>
      <c r="C5013" s="308" t="s">
        <v>20203</v>
      </c>
      <c r="D5013" s="308">
        <f>IFERROR(__xludf.DUMMYFUNCTION("SPLIT(C5013,""-"")"),5033.0)</f>
        <v>5033</v>
      </c>
      <c r="E5013" s="308" t="str">
        <f>IFERROR(__xludf.DUMMYFUNCTION("""COMPUTED_VALUE"""),"S")</f>
        <v>S</v>
      </c>
      <c r="F5013" s="312" t="s">
        <v>39</v>
      </c>
      <c r="G5013" s="308"/>
      <c r="H5013" s="308" t="s">
        <v>20204</v>
      </c>
      <c r="I5013" s="310">
        <v>42816.0</v>
      </c>
      <c r="J5013" s="319">
        <f>IFERROR(__xludf.DUMMYFUNCTION("SPLIT(I5013,""/"")"),22.0)</f>
        <v>22</v>
      </c>
      <c r="K5013" s="308">
        <f>IFERROR(__xludf.DUMMYFUNCTION("""COMPUTED_VALUE"""),3.0)</f>
        <v>3</v>
      </c>
      <c r="L5013" s="308">
        <f>IFERROR(__xludf.DUMMYFUNCTION("""COMPUTED_VALUE"""),2017.0)</f>
        <v>2017</v>
      </c>
      <c r="M5013" s="308" t="s">
        <v>20205</v>
      </c>
      <c r="N5013" s="308"/>
      <c r="O5013" s="308"/>
      <c r="P5013" s="308" t="s">
        <v>38096</v>
      </c>
      <c r="Q5013" s="308" t="s">
        <v>38092</v>
      </c>
      <c r="R5013" s="308" t="s">
        <v>20052</v>
      </c>
      <c r="S5013" s="308" t="s">
        <v>49</v>
      </c>
      <c r="T5013" s="311" t="s">
        <v>70</v>
      </c>
      <c r="U5013" s="308" t="s">
        <v>166</v>
      </c>
      <c r="V5013" s="308"/>
    </row>
    <row r="5014">
      <c r="A5014" s="308">
        <v>5013.0</v>
      </c>
      <c r="B5014" s="308"/>
      <c r="C5014" s="308" t="s">
        <v>20207</v>
      </c>
      <c r="D5014" s="308">
        <f>IFERROR(__xludf.DUMMYFUNCTION("SPLIT(C5014,""-"")"),5034.0)</f>
        <v>5034</v>
      </c>
      <c r="E5014" s="308" t="str">
        <f>IFERROR(__xludf.DUMMYFUNCTION("""COMPUTED_VALUE"""),"S")</f>
        <v>S</v>
      </c>
      <c r="F5014" s="312" t="s">
        <v>39</v>
      </c>
      <c r="G5014" s="308"/>
      <c r="H5014" s="308" t="s">
        <v>20208</v>
      </c>
      <c r="I5014" s="310">
        <v>42824.0</v>
      </c>
      <c r="J5014" s="319">
        <f>IFERROR(__xludf.DUMMYFUNCTION("SPLIT(I5014,""/"")"),30.0)</f>
        <v>30</v>
      </c>
      <c r="K5014" s="308">
        <f>IFERROR(__xludf.DUMMYFUNCTION("""COMPUTED_VALUE"""),3.0)</f>
        <v>3</v>
      </c>
      <c r="L5014" s="308">
        <f>IFERROR(__xludf.DUMMYFUNCTION("""COMPUTED_VALUE"""),2017.0)</f>
        <v>2017</v>
      </c>
      <c r="M5014" s="308" t="s">
        <v>20209</v>
      </c>
      <c r="N5014" s="308"/>
      <c r="O5014" s="308"/>
      <c r="P5014" s="308" t="s">
        <v>38097</v>
      </c>
      <c r="Q5014" s="308" t="s">
        <v>38092</v>
      </c>
      <c r="R5014" s="308" t="s">
        <v>20052</v>
      </c>
      <c r="S5014" s="308" t="s">
        <v>81</v>
      </c>
      <c r="T5014" s="308" t="s">
        <v>73</v>
      </c>
      <c r="U5014" s="308" t="s">
        <v>166</v>
      </c>
      <c r="V5014" s="308"/>
    </row>
    <row r="5015">
      <c r="A5015" s="308">
        <v>5014.0</v>
      </c>
      <c r="B5015" s="308"/>
      <c r="C5015" s="308" t="s">
        <v>20211</v>
      </c>
      <c r="D5015" s="308">
        <f>IFERROR(__xludf.DUMMYFUNCTION("SPLIT(C5015,""-"")"),5035.0)</f>
        <v>5035</v>
      </c>
      <c r="E5015" s="308" t="str">
        <f>IFERROR(__xludf.DUMMYFUNCTION("""COMPUTED_VALUE"""),"S")</f>
        <v>S</v>
      </c>
      <c r="F5015" s="312" t="s">
        <v>39</v>
      </c>
      <c r="G5015" s="308"/>
      <c r="H5015" s="308" t="s">
        <v>38098</v>
      </c>
      <c r="I5015" s="310">
        <v>42825.0</v>
      </c>
      <c r="J5015" s="319">
        <f>IFERROR(__xludf.DUMMYFUNCTION("SPLIT(I5015,""/"")"),31.0)</f>
        <v>31</v>
      </c>
      <c r="K5015" s="308">
        <f>IFERROR(__xludf.DUMMYFUNCTION("""COMPUTED_VALUE"""),3.0)</f>
        <v>3</v>
      </c>
      <c r="L5015" s="308">
        <f>IFERROR(__xludf.DUMMYFUNCTION("""COMPUTED_VALUE"""),2017.0)</f>
        <v>2017</v>
      </c>
      <c r="M5015" s="308"/>
      <c r="N5015" s="308"/>
      <c r="O5015" s="308"/>
      <c r="P5015" s="308" t="s">
        <v>38099</v>
      </c>
      <c r="Q5015" s="308" t="s">
        <v>38092</v>
      </c>
      <c r="R5015" s="308" t="s">
        <v>20052</v>
      </c>
      <c r="S5015" s="308" t="s">
        <v>81</v>
      </c>
      <c r="T5015" s="308" t="s">
        <v>75</v>
      </c>
      <c r="U5015" s="308" t="s">
        <v>166</v>
      </c>
      <c r="V5015" s="308"/>
    </row>
    <row r="5016">
      <c r="A5016" s="308">
        <v>5015.0</v>
      </c>
      <c r="B5016" s="308"/>
      <c r="C5016" s="308" t="s">
        <v>20214</v>
      </c>
      <c r="D5016" s="308">
        <f>IFERROR(__xludf.DUMMYFUNCTION("SPLIT(C5016,""-"")"),5036.0)</f>
        <v>5036</v>
      </c>
      <c r="E5016" s="308" t="str">
        <f>IFERROR(__xludf.DUMMYFUNCTION("""COMPUTED_VALUE"""),"S")</f>
        <v>S</v>
      </c>
      <c r="F5016" s="312" t="s">
        <v>39</v>
      </c>
      <c r="G5016" s="308"/>
      <c r="H5016" s="308" t="s">
        <v>20215</v>
      </c>
      <c r="I5016" s="310">
        <v>42826.0</v>
      </c>
      <c r="J5016" s="319">
        <f>IFERROR(__xludf.DUMMYFUNCTION("SPLIT(I5016,""/"")"),1.0)</f>
        <v>1</v>
      </c>
      <c r="K5016" s="308">
        <f>IFERROR(__xludf.DUMMYFUNCTION("""COMPUTED_VALUE"""),4.0)</f>
        <v>4</v>
      </c>
      <c r="L5016" s="308">
        <f>IFERROR(__xludf.DUMMYFUNCTION("""COMPUTED_VALUE"""),2017.0)</f>
        <v>2017</v>
      </c>
      <c r="M5016" s="308"/>
      <c r="N5016" s="308"/>
      <c r="O5016" s="308"/>
      <c r="P5016" s="308" t="s">
        <v>38100</v>
      </c>
      <c r="Q5016" s="308" t="s">
        <v>38092</v>
      </c>
      <c r="R5016" s="308" t="s">
        <v>20052</v>
      </c>
      <c r="S5016" s="308" t="s">
        <v>49</v>
      </c>
      <c r="T5016" s="311" t="s">
        <v>67</v>
      </c>
      <c r="U5016" s="308" t="s">
        <v>166</v>
      </c>
      <c r="V5016" s="308"/>
    </row>
    <row r="5017">
      <c r="A5017" s="308">
        <v>5016.0</v>
      </c>
      <c r="B5017" s="308"/>
      <c r="C5017" s="308" t="s">
        <v>20217</v>
      </c>
      <c r="D5017" s="308">
        <f>IFERROR(__xludf.DUMMYFUNCTION("SPLIT(C5017,""-"")"),5037.0)</f>
        <v>5037</v>
      </c>
      <c r="E5017" s="308" t="str">
        <f>IFERROR(__xludf.DUMMYFUNCTION("""COMPUTED_VALUE"""),"S")</f>
        <v>S</v>
      </c>
      <c r="F5017" s="312" t="s">
        <v>39</v>
      </c>
      <c r="G5017" s="308"/>
      <c r="H5017" s="308" t="s">
        <v>20218</v>
      </c>
      <c r="I5017" s="310">
        <v>42833.0</v>
      </c>
      <c r="J5017" s="319">
        <f>IFERROR(__xludf.DUMMYFUNCTION("SPLIT(I5017,""/"")"),8.0)</f>
        <v>8</v>
      </c>
      <c r="K5017" s="308">
        <f>IFERROR(__xludf.DUMMYFUNCTION("""COMPUTED_VALUE"""),4.0)</f>
        <v>4</v>
      </c>
      <c r="L5017" s="308">
        <f>IFERROR(__xludf.DUMMYFUNCTION("""COMPUTED_VALUE"""),2017.0)</f>
        <v>2017</v>
      </c>
      <c r="M5017" s="308" t="s">
        <v>20219</v>
      </c>
      <c r="N5017" s="308"/>
      <c r="O5017" s="308"/>
      <c r="P5017" s="308" t="s">
        <v>38101</v>
      </c>
      <c r="Q5017" s="308" t="s">
        <v>38092</v>
      </c>
      <c r="R5017" s="308" t="s">
        <v>20052</v>
      </c>
      <c r="S5017" s="308" t="s">
        <v>49</v>
      </c>
      <c r="T5017" s="311" t="s">
        <v>70</v>
      </c>
      <c r="U5017" s="308" t="s">
        <v>166</v>
      </c>
      <c r="V5017" s="308"/>
    </row>
    <row r="5018">
      <c r="A5018" s="308">
        <v>5017.0</v>
      </c>
      <c r="B5018" s="308"/>
      <c r="C5018" s="308" t="s">
        <v>20221</v>
      </c>
      <c r="D5018" s="308">
        <f>IFERROR(__xludf.DUMMYFUNCTION("SPLIT(C5018,""-"")"),5038.0)</f>
        <v>5038</v>
      </c>
      <c r="E5018" s="308" t="str">
        <f>IFERROR(__xludf.DUMMYFUNCTION("""COMPUTED_VALUE"""),"S")</f>
        <v>S</v>
      </c>
      <c r="F5018" s="312" t="s">
        <v>39</v>
      </c>
      <c r="G5018" s="308"/>
      <c r="H5018" s="308" t="s">
        <v>20222</v>
      </c>
      <c r="I5018" s="310">
        <v>42832.0</v>
      </c>
      <c r="J5018" s="319">
        <f>IFERROR(__xludf.DUMMYFUNCTION("SPLIT(I5018,""/"")"),7.0)</f>
        <v>7</v>
      </c>
      <c r="K5018" s="308">
        <f>IFERROR(__xludf.DUMMYFUNCTION("""COMPUTED_VALUE"""),4.0)</f>
        <v>4</v>
      </c>
      <c r="L5018" s="308">
        <f>IFERROR(__xludf.DUMMYFUNCTION("""COMPUTED_VALUE"""),2017.0)</f>
        <v>2017</v>
      </c>
      <c r="M5018" s="308" t="s">
        <v>20223</v>
      </c>
      <c r="N5018" s="308"/>
      <c r="O5018" s="308"/>
      <c r="P5018" s="312" t="s">
        <v>20224</v>
      </c>
      <c r="Q5018" s="308" t="s">
        <v>38092</v>
      </c>
      <c r="R5018" s="308" t="s">
        <v>20052</v>
      </c>
      <c r="S5018" s="308" t="s">
        <v>81</v>
      </c>
      <c r="T5018" s="308" t="s">
        <v>73</v>
      </c>
      <c r="U5018" s="308" t="s">
        <v>166</v>
      </c>
      <c r="V5018" s="308"/>
    </row>
    <row r="5019">
      <c r="A5019" s="308">
        <v>5018.0</v>
      </c>
      <c r="B5019" s="308"/>
      <c r="C5019" s="308" t="s">
        <v>20225</v>
      </c>
      <c r="D5019" s="308">
        <f>IFERROR(__xludf.DUMMYFUNCTION("SPLIT(C5019,""-"")"),5039.0)</f>
        <v>5039</v>
      </c>
      <c r="E5019" s="308" t="str">
        <f>IFERROR(__xludf.DUMMYFUNCTION("""COMPUTED_VALUE"""),"S")</f>
        <v>S</v>
      </c>
      <c r="F5019" s="312" t="s">
        <v>39</v>
      </c>
      <c r="G5019" s="308"/>
      <c r="H5019" s="308" t="s">
        <v>20226</v>
      </c>
      <c r="I5019" s="310">
        <v>42842.0</v>
      </c>
      <c r="J5019" s="319">
        <f>IFERROR(__xludf.DUMMYFUNCTION("SPLIT(I5019,""/"")"),17.0)</f>
        <v>17</v>
      </c>
      <c r="K5019" s="308">
        <f>IFERROR(__xludf.DUMMYFUNCTION("""COMPUTED_VALUE"""),4.0)</f>
        <v>4</v>
      </c>
      <c r="L5019" s="308">
        <f>IFERROR(__xludf.DUMMYFUNCTION("""COMPUTED_VALUE"""),2017.0)</f>
        <v>2017</v>
      </c>
      <c r="M5019" s="308" t="s">
        <v>20227</v>
      </c>
      <c r="N5019" s="308"/>
      <c r="O5019" s="308"/>
      <c r="P5019" s="308" t="s">
        <v>38102</v>
      </c>
      <c r="Q5019" s="308" t="s">
        <v>38092</v>
      </c>
      <c r="R5019" s="308" t="s">
        <v>20052</v>
      </c>
      <c r="S5019" s="308" t="s">
        <v>81</v>
      </c>
      <c r="T5019" s="308" t="s">
        <v>73</v>
      </c>
      <c r="U5019" s="308" t="s">
        <v>166</v>
      </c>
      <c r="V5019" s="308"/>
    </row>
    <row r="5020">
      <c r="A5020" s="308">
        <v>5019.0</v>
      </c>
      <c r="B5020" s="308"/>
      <c r="C5020" s="308" t="s">
        <v>20229</v>
      </c>
      <c r="D5020" s="308">
        <f>IFERROR(__xludf.DUMMYFUNCTION("SPLIT(C5020,""-"")"),5040.0)</f>
        <v>5040</v>
      </c>
      <c r="E5020" s="308" t="str">
        <f>IFERROR(__xludf.DUMMYFUNCTION("""COMPUTED_VALUE"""),"S")</f>
        <v>S</v>
      </c>
      <c r="F5020" s="312" t="s">
        <v>39</v>
      </c>
      <c r="G5020" s="308"/>
      <c r="H5020" s="308" t="s">
        <v>20230</v>
      </c>
      <c r="I5020" s="310">
        <v>42874.0</v>
      </c>
      <c r="J5020" s="319">
        <f>IFERROR(__xludf.DUMMYFUNCTION("SPLIT(I5020,""/"")"),19.0)</f>
        <v>19</v>
      </c>
      <c r="K5020" s="308">
        <f>IFERROR(__xludf.DUMMYFUNCTION("""COMPUTED_VALUE"""),5.0)</f>
        <v>5</v>
      </c>
      <c r="L5020" s="308">
        <f>IFERROR(__xludf.DUMMYFUNCTION("""COMPUTED_VALUE"""),2017.0)</f>
        <v>2017</v>
      </c>
      <c r="M5020" s="308" t="s">
        <v>38103</v>
      </c>
      <c r="N5020" s="308"/>
      <c r="O5020" s="308"/>
      <c r="P5020" s="308" t="s">
        <v>20232</v>
      </c>
      <c r="Q5020" s="308" t="s">
        <v>38092</v>
      </c>
      <c r="R5020" s="308" t="s">
        <v>20052</v>
      </c>
      <c r="S5020" s="308" t="s">
        <v>49</v>
      </c>
      <c r="T5020" s="311" t="s">
        <v>67</v>
      </c>
      <c r="U5020" s="308" t="s">
        <v>166</v>
      </c>
      <c r="V5020" s="308"/>
    </row>
    <row r="5021">
      <c r="A5021" s="308">
        <v>5020.0</v>
      </c>
      <c r="B5021" s="308"/>
      <c r="C5021" s="308" t="s">
        <v>20233</v>
      </c>
      <c r="D5021" s="308">
        <f>IFERROR(__xludf.DUMMYFUNCTION("SPLIT(C5021,""-"")"),5041.0)</f>
        <v>5041</v>
      </c>
      <c r="E5021" s="308" t="str">
        <f>IFERROR(__xludf.DUMMYFUNCTION("""COMPUTED_VALUE"""),"S")</f>
        <v>S</v>
      </c>
      <c r="F5021" s="312" t="s">
        <v>39</v>
      </c>
      <c r="G5021" s="308"/>
      <c r="H5021" s="308" t="s">
        <v>20234</v>
      </c>
      <c r="I5021" s="310">
        <v>42936.0</v>
      </c>
      <c r="J5021" s="319">
        <f>IFERROR(__xludf.DUMMYFUNCTION("SPLIT(I5021,""/"")"),20.0)</f>
        <v>20</v>
      </c>
      <c r="K5021" s="308">
        <f>IFERROR(__xludf.DUMMYFUNCTION("""COMPUTED_VALUE"""),7.0)</f>
        <v>7</v>
      </c>
      <c r="L5021" s="308">
        <f>IFERROR(__xludf.DUMMYFUNCTION("""COMPUTED_VALUE"""),2017.0)</f>
        <v>2017</v>
      </c>
      <c r="M5021" s="308" t="s">
        <v>20235</v>
      </c>
      <c r="N5021" s="308"/>
      <c r="O5021" s="308"/>
      <c r="P5021" s="308" t="s">
        <v>38104</v>
      </c>
      <c r="Q5021" s="308" t="s">
        <v>38092</v>
      </c>
      <c r="R5021" s="308" t="s">
        <v>20052</v>
      </c>
      <c r="S5021" s="308" t="s">
        <v>81</v>
      </c>
      <c r="T5021" s="308" t="s">
        <v>73</v>
      </c>
      <c r="U5021" s="308" t="s">
        <v>166</v>
      </c>
      <c r="V5021" s="308"/>
    </row>
    <row r="5022">
      <c r="A5022" s="308">
        <v>5021.0</v>
      </c>
      <c r="B5022" s="308"/>
      <c r="C5022" s="308" t="s">
        <v>20237</v>
      </c>
      <c r="D5022" s="308">
        <f>IFERROR(__xludf.DUMMYFUNCTION("SPLIT(C5022,""-"")"),5042.0)</f>
        <v>5042</v>
      </c>
      <c r="E5022" s="308" t="str">
        <f>IFERROR(__xludf.DUMMYFUNCTION("""COMPUTED_VALUE"""),"S")</f>
        <v>S</v>
      </c>
      <c r="F5022" s="312" t="s">
        <v>39</v>
      </c>
      <c r="G5022" s="308"/>
      <c r="H5022" s="308" t="s">
        <v>20238</v>
      </c>
      <c r="I5022" s="310">
        <v>42933.0</v>
      </c>
      <c r="J5022" s="319">
        <f>IFERROR(__xludf.DUMMYFUNCTION("SPLIT(I5022,""/"")"),17.0)</f>
        <v>17</v>
      </c>
      <c r="K5022" s="308">
        <f>IFERROR(__xludf.DUMMYFUNCTION("""COMPUTED_VALUE"""),7.0)</f>
        <v>7</v>
      </c>
      <c r="L5022" s="308">
        <f>IFERROR(__xludf.DUMMYFUNCTION("""COMPUTED_VALUE"""),2017.0)</f>
        <v>2017</v>
      </c>
      <c r="M5022" s="308" t="s">
        <v>20239</v>
      </c>
      <c r="N5022" s="308"/>
      <c r="O5022" s="308"/>
      <c r="P5022" s="308" t="s">
        <v>38105</v>
      </c>
      <c r="Q5022" s="308" t="s">
        <v>38092</v>
      </c>
      <c r="R5022" s="308" t="s">
        <v>20052</v>
      </c>
      <c r="S5022" s="308" t="s">
        <v>81</v>
      </c>
      <c r="T5022" s="308" t="s">
        <v>73</v>
      </c>
      <c r="U5022" s="308" t="s">
        <v>166</v>
      </c>
      <c r="V5022" s="308"/>
    </row>
    <row r="5023">
      <c r="A5023" s="308">
        <v>5022.0</v>
      </c>
      <c r="B5023" s="308"/>
      <c r="C5023" s="308" t="s">
        <v>20241</v>
      </c>
      <c r="D5023" s="308">
        <f>IFERROR(__xludf.DUMMYFUNCTION("SPLIT(C5023,""-"")"),5043.0)</f>
        <v>5043</v>
      </c>
      <c r="E5023" s="308" t="str">
        <f>IFERROR(__xludf.DUMMYFUNCTION("""COMPUTED_VALUE"""),"S")</f>
        <v>S</v>
      </c>
      <c r="F5023" s="312" t="s">
        <v>39</v>
      </c>
      <c r="G5023" s="308"/>
      <c r="H5023" s="308" t="s">
        <v>20242</v>
      </c>
      <c r="I5023" s="310">
        <v>42936.0</v>
      </c>
      <c r="J5023" s="319">
        <f>IFERROR(__xludf.DUMMYFUNCTION("SPLIT(I5023,""/"")"),20.0)</f>
        <v>20</v>
      </c>
      <c r="K5023" s="308">
        <f>IFERROR(__xludf.DUMMYFUNCTION("""COMPUTED_VALUE"""),7.0)</f>
        <v>7</v>
      </c>
      <c r="L5023" s="308">
        <f>IFERROR(__xludf.DUMMYFUNCTION("""COMPUTED_VALUE"""),2017.0)</f>
        <v>2017</v>
      </c>
      <c r="M5023" s="308" t="s">
        <v>20243</v>
      </c>
      <c r="N5023" s="308"/>
      <c r="O5023" s="308"/>
      <c r="P5023" s="308" t="s">
        <v>5653</v>
      </c>
      <c r="Q5023" s="308" t="s">
        <v>38092</v>
      </c>
      <c r="R5023" s="308" t="s">
        <v>20052</v>
      </c>
      <c r="S5023" s="315" t="s">
        <v>100</v>
      </c>
      <c r="T5023" s="311" t="s">
        <v>34208</v>
      </c>
      <c r="U5023" s="308" t="s">
        <v>166</v>
      </c>
      <c r="V5023" s="308"/>
    </row>
    <row r="5024">
      <c r="A5024" s="308">
        <v>5023.0</v>
      </c>
      <c r="B5024" s="308"/>
      <c r="C5024" s="308" t="s">
        <v>20244</v>
      </c>
      <c r="D5024" s="308">
        <f>IFERROR(__xludf.DUMMYFUNCTION("SPLIT(C5024,""-"")"),5044.0)</f>
        <v>5044</v>
      </c>
      <c r="E5024" s="308" t="str">
        <f>IFERROR(__xludf.DUMMYFUNCTION("""COMPUTED_VALUE"""),"S")</f>
        <v>S</v>
      </c>
      <c r="F5024" s="312" t="s">
        <v>39</v>
      </c>
      <c r="G5024" s="308"/>
      <c r="H5024" s="308" t="s">
        <v>20245</v>
      </c>
      <c r="I5024" s="310">
        <v>42941.0</v>
      </c>
      <c r="J5024" s="319">
        <f>IFERROR(__xludf.DUMMYFUNCTION("SPLIT(I5024,""/"")"),25.0)</f>
        <v>25</v>
      </c>
      <c r="K5024" s="308">
        <f>IFERROR(__xludf.DUMMYFUNCTION("""COMPUTED_VALUE"""),7.0)</f>
        <v>7</v>
      </c>
      <c r="L5024" s="308">
        <f>IFERROR(__xludf.DUMMYFUNCTION("""COMPUTED_VALUE"""),2017.0)</f>
        <v>2017</v>
      </c>
      <c r="M5024" s="308" t="s">
        <v>38106</v>
      </c>
      <c r="N5024" s="308"/>
      <c r="O5024" s="308"/>
      <c r="P5024" s="308" t="s">
        <v>20247</v>
      </c>
      <c r="Q5024" s="308" t="s">
        <v>38092</v>
      </c>
      <c r="R5024" s="308" t="s">
        <v>20052</v>
      </c>
      <c r="S5024" s="308" t="s">
        <v>49</v>
      </c>
      <c r="T5024" s="311" t="s">
        <v>67</v>
      </c>
      <c r="U5024" s="308" t="s">
        <v>166</v>
      </c>
      <c r="V5024" s="308"/>
    </row>
    <row r="5025">
      <c r="A5025" s="308">
        <v>5024.0</v>
      </c>
      <c r="B5025" s="308"/>
      <c r="C5025" s="308" t="s">
        <v>20248</v>
      </c>
      <c r="D5025" s="308">
        <f>IFERROR(__xludf.DUMMYFUNCTION("SPLIT(C5025,""-"")"),5045.0)</f>
        <v>5045</v>
      </c>
      <c r="E5025" s="308" t="str">
        <f>IFERROR(__xludf.DUMMYFUNCTION("""COMPUTED_VALUE"""),"S")</f>
        <v>S</v>
      </c>
      <c r="F5025" s="312" t="s">
        <v>39</v>
      </c>
      <c r="G5025" s="308"/>
      <c r="H5025" s="308" t="s">
        <v>20249</v>
      </c>
      <c r="I5025" s="310">
        <v>42942.0</v>
      </c>
      <c r="J5025" s="319">
        <f>IFERROR(__xludf.DUMMYFUNCTION("SPLIT(I5025,""/"")"),26.0)</f>
        <v>26</v>
      </c>
      <c r="K5025" s="308">
        <f>IFERROR(__xludf.DUMMYFUNCTION("""COMPUTED_VALUE"""),7.0)</f>
        <v>7</v>
      </c>
      <c r="L5025" s="308">
        <f>IFERROR(__xludf.DUMMYFUNCTION("""COMPUTED_VALUE"""),2017.0)</f>
        <v>2017</v>
      </c>
      <c r="M5025" s="308"/>
      <c r="N5025" s="308"/>
      <c r="O5025" s="308"/>
      <c r="P5025" s="308" t="s">
        <v>38107</v>
      </c>
      <c r="Q5025" s="308" t="s">
        <v>38092</v>
      </c>
      <c r="R5025" s="308" t="s">
        <v>20052</v>
      </c>
      <c r="S5025" s="308" t="s">
        <v>49</v>
      </c>
      <c r="T5025" s="311" t="s">
        <v>51</v>
      </c>
      <c r="U5025" s="308" t="s">
        <v>166</v>
      </c>
      <c r="V5025" s="308"/>
    </row>
    <row r="5026">
      <c r="A5026" s="308">
        <v>5025.0</v>
      </c>
      <c r="B5026" s="308"/>
      <c r="C5026" s="308" t="s">
        <v>20251</v>
      </c>
      <c r="D5026" s="308">
        <f>IFERROR(__xludf.DUMMYFUNCTION("SPLIT(C5026,""-"")"),5046.0)</f>
        <v>5046</v>
      </c>
      <c r="E5026" s="308" t="str">
        <f>IFERROR(__xludf.DUMMYFUNCTION("""COMPUTED_VALUE"""),"S")</f>
        <v>S</v>
      </c>
      <c r="F5026" s="312" t="s">
        <v>39</v>
      </c>
      <c r="G5026" s="308"/>
      <c r="H5026" s="308" t="s">
        <v>20252</v>
      </c>
      <c r="I5026" s="310">
        <v>42948.0</v>
      </c>
      <c r="J5026" s="319">
        <f>IFERROR(__xludf.DUMMYFUNCTION("SPLIT(I5026,""/"")"),1.0)</f>
        <v>1</v>
      </c>
      <c r="K5026" s="308">
        <f>IFERROR(__xludf.DUMMYFUNCTION("""COMPUTED_VALUE"""),8.0)</f>
        <v>8</v>
      </c>
      <c r="L5026" s="308">
        <f>IFERROR(__xludf.DUMMYFUNCTION("""COMPUTED_VALUE"""),2017.0)</f>
        <v>2017</v>
      </c>
      <c r="M5026" s="308" t="s">
        <v>38108</v>
      </c>
      <c r="N5026" s="308"/>
      <c r="O5026" s="308"/>
      <c r="P5026" s="308" t="s">
        <v>38109</v>
      </c>
      <c r="Q5026" s="308" t="s">
        <v>38092</v>
      </c>
      <c r="R5026" s="308" t="s">
        <v>20052</v>
      </c>
      <c r="S5026" s="308" t="s">
        <v>49</v>
      </c>
      <c r="T5026" s="311" t="s">
        <v>67</v>
      </c>
      <c r="U5026" s="308" t="s">
        <v>166</v>
      </c>
      <c r="V5026" s="308"/>
    </row>
    <row r="5027">
      <c r="A5027" s="308">
        <v>5026.0</v>
      </c>
      <c r="B5027" s="308"/>
      <c r="C5027" s="308" t="s">
        <v>20255</v>
      </c>
      <c r="D5027" s="308">
        <f>IFERROR(__xludf.DUMMYFUNCTION("SPLIT(C5027,""-"")"),5047.0)</f>
        <v>5047</v>
      </c>
      <c r="E5027" s="308" t="str">
        <f>IFERROR(__xludf.DUMMYFUNCTION("""COMPUTED_VALUE"""),"S")</f>
        <v>S</v>
      </c>
      <c r="F5027" s="312" t="s">
        <v>39</v>
      </c>
      <c r="G5027" s="308"/>
      <c r="H5027" s="308" t="s">
        <v>20256</v>
      </c>
      <c r="I5027" s="310">
        <v>42972.0</v>
      </c>
      <c r="J5027" s="319">
        <f>IFERROR(__xludf.DUMMYFUNCTION("SPLIT(I5027,""/"")"),25.0)</f>
        <v>25</v>
      </c>
      <c r="K5027" s="308">
        <f>IFERROR(__xludf.DUMMYFUNCTION("""COMPUTED_VALUE"""),8.0)</f>
        <v>8</v>
      </c>
      <c r="L5027" s="308">
        <f>IFERROR(__xludf.DUMMYFUNCTION("""COMPUTED_VALUE"""),2017.0)</f>
        <v>2017</v>
      </c>
      <c r="M5027" s="308" t="s">
        <v>20257</v>
      </c>
      <c r="N5027" s="308"/>
      <c r="O5027" s="308"/>
      <c r="P5027" s="308" t="s">
        <v>38110</v>
      </c>
      <c r="Q5027" s="308" t="s">
        <v>38092</v>
      </c>
      <c r="R5027" s="308" t="s">
        <v>20052</v>
      </c>
      <c r="S5027" s="308" t="s">
        <v>49</v>
      </c>
      <c r="T5027" s="311" t="s">
        <v>67</v>
      </c>
      <c r="U5027" s="308" t="s">
        <v>166</v>
      </c>
      <c r="V5027" s="308"/>
    </row>
    <row r="5028">
      <c r="A5028" s="308">
        <v>5027.0</v>
      </c>
      <c r="B5028" s="308"/>
      <c r="C5028" s="308" t="s">
        <v>20259</v>
      </c>
      <c r="D5028" s="308">
        <f>IFERROR(__xludf.DUMMYFUNCTION("SPLIT(C5028,""-"")"),5048.0)</f>
        <v>5048</v>
      </c>
      <c r="E5028" s="308" t="str">
        <f>IFERROR(__xludf.DUMMYFUNCTION("""COMPUTED_VALUE"""),"S")</f>
        <v>S</v>
      </c>
      <c r="F5028" s="312" t="s">
        <v>39</v>
      </c>
      <c r="G5028" s="308"/>
      <c r="H5028" s="308" t="s">
        <v>20260</v>
      </c>
      <c r="I5028" s="310">
        <v>42986.0</v>
      </c>
      <c r="J5028" s="319">
        <f>IFERROR(__xludf.DUMMYFUNCTION("SPLIT(I5028,""/"")"),8.0)</f>
        <v>8</v>
      </c>
      <c r="K5028" s="308">
        <f>IFERROR(__xludf.DUMMYFUNCTION("""COMPUTED_VALUE"""),9.0)</f>
        <v>9</v>
      </c>
      <c r="L5028" s="308">
        <f>IFERROR(__xludf.DUMMYFUNCTION("""COMPUTED_VALUE"""),2017.0)</f>
        <v>2017</v>
      </c>
      <c r="M5028" s="308"/>
      <c r="N5028" s="308"/>
      <c r="O5028" s="308"/>
      <c r="P5028" s="308" t="s">
        <v>38111</v>
      </c>
      <c r="Q5028" s="308" t="s">
        <v>38092</v>
      </c>
      <c r="R5028" s="308" t="s">
        <v>20052</v>
      </c>
      <c r="S5028" s="308" t="s">
        <v>81</v>
      </c>
      <c r="T5028" s="308" t="s">
        <v>75</v>
      </c>
      <c r="U5028" s="308" t="s">
        <v>166</v>
      </c>
      <c r="V5028" s="308"/>
    </row>
    <row r="5029">
      <c r="A5029" s="308">
        <v>5028.0</v>
      </c>
      <c r="B5029" s="308"/>
      <c r="C5029" s="308" t="s">
        <v>20262</v>
      </c>
      <c r="D5029" s="308">
        <f>IFERROR(__xludf.DUMMYFUNCTION("SPLIT(C5029,""-"")"),5049.0)</f>
        <v>5049</v>
      </c>
      <c r="E5029" s="308" t="str">
        <f>IFERROR(__xludf.DUMMYFUNCTION("""COMPUTED_VALUE"""),"S")</f>
        <v>S</v>
      </c>
      <c r="F5029" s="312" t="s">
        <v>39</v>
      </c>
      <c r="G5029" s="308"/>
      <c r="H5029" s="308" t="s">
        <v>20263</v>
      </c>
      <c r="I5029" s="314">
        <v>43054.0</v>
      </c>
      <c r="J5029" s="319">
        <f>IFERROR(__xludf.DUMMYFUNCTION("SPLIT(I5029,""/"")"),15.0)</f>
        <v>15</v>
      </c>
      <c r="K5029" s="308">
        <f>IFERROR(__xludf.DUMMYFUNCTION("""COMPUTED_VALUE"""),11.0)</f>
        <v>11</v>
      </c>
      <c r="L5029" s="308">
        <f>IFERROR(__xludf.DUMMYFUNCTION("""COMPUTED_VALUE"""),2017.0)</f>
        <v>2017</v>
      </c>
      <c r="M5029" s="308" t="s">
        <v>20264</v>
      </c>
      <c r="N5029" s="308"/>
      <c r="O5029" s="308"/>
      <c r="P5029" s="308" t="s">
        <v>38112</v>
      </c>
      <c r="Q5029" s="308" t="s">
        <v>38092</v>
      </c>
      <c r="R5029" s="308" t="s">
        <v>20052</v>
      </c>
      <c r="S5029" s="308" t="s">
        <v>81</v>
      </c>
      <c r="T5029" s="311" t="s">
        <v>91</v>
      </c>
      <c r="U5029" s="308" t="s">
        <v>166</v>
      </c>
      <c r="V5029" s="308"/>
    </row>
    <row r="5030">
      <c r="A5030" s="308">
        <v>5029.0</v>
      </c>
      <c r="B5030" s="308"/>
      <c r="C5030" s="308" t="s">
        <v>20266</v>
      </c>
      <c r="D5030" s="308">
        <f>IFERROR(__xludf.DUMMYFUNCTION("SPLIT(C5030,""-"")"),5050.0)</f>
        <v>5050</v>
      </c>
      <c r="E5030" s="308" t="str">
        <f>IFERROR(__xludf.DUMMYFUNCTION("""COMPUTED_VALUE"""),"S")</f>
        <v>S</v>
      </c>
      <c r="F5030" s="312" t="s">
        <v>39</v>
      </c>
      <c r="G5030" s="308"/>
      <c r="H5030" s="308" t="s">
        <v>20267</v>
      </c>
      <c r="I5030" s="314">
        <v>43056.0</v>
      </c>
      <c r="J5030" s="319">
        <f>IFERROR(__xludf.DUMMYFUNCTION("SPLIT(I5030,""/"")"),17.0)</f>
        <v>17</v>
      </c>
      <c r="K5030" s="308">
        <f>IFERROR(__xludf.DUMMYFUNCTION("""COMPUTED_VALUE"""),11.0)</f>
        <v>11</v>
      </c>
      <c r="L5030" s="308">
        <f>IFERROR(__xludf.DUMMYFUNCTION("""COMPUTED_VALUE"""),2017.0)</f>
        <v>2017</v>
      </c>
      <c r="M5030" s="308" t="s">
        <v>20268</v>
      </c>
      <c r="N5030" s="308"/>
      <c r="O5030" s="308"/>
      <c r="P5030" s="308" t="s">
        <v>38113</v>
      </c>
      <c r="Q5030" s="308" t="s">
        <v>38092</v>
      </c>
      <c r="R5030" s="308" t="s">
        <v>20052</v>
      </c>
      <c r="S5030" s="308" t="s">
        <v>81</v>
      </c>
      <c r="T5030" s="311" t="s">
        <v>91</v>
      </c>
      <c r="U5030" s="308" t="s">
        <v>166</v>
      </c>
      <c r="V5030" s="308"/>
    </row>
    <row r="5031">
      <c r="A5031" s="308">
        <v>5030.0</v>
      </c>
      <c r="B5031" s="308"/>
      <c r="C5031" s="308" t="s">
        <v>20270</v>
      </c>
      <c r="D5031" s="308">
        <f>IFERROR(__xludf.DUMMYFUNCTION("SPLIT(C5031,""-"")"),5051.0)</f>
        <v>5051</v>
      </c>
      <c r="E5031" s="308" t="str">
        <f>IFERROR(__xludf.DUMMYFUNCTION("""COMPUTED_VALUE"""),"S")</f>
        <v>S</v>
      </c>
      <c r="F5031" s="312" t="s">
        <v>39</v>
      </c>
      <c r="G5031" s="308"/>
      <c r="H5031" s="308" t="s">
        <v>20271</v>
      </c>
      <c r="I5031" s="310">
        <v>42958.0</v>
      </c>
      <c r="J5031" s="319">
        <f>IFERROR(__xludf.DUMMYFUNCTION("SPLIT(I5031,""/"")"),11.0)</f>
        <v>11</v>
      </c>
      <c r="K5031" s="308">
        <f>IFERROR(__xludf.DUMMYFUNCTION("""COMPUTED_VALUE"""),8.0)</f>
        <v>8</v>
      </c>
      <c r="L5031" s="308">
        <f>IFERROR(__xludf.DUMMYFUNCTION("""COMPUTED_VALUE"""),2017.0)</f>
        <v>2017</v>
      </c>
      <c r="M5031" s="308" t="s">
        <v>20272</v>
      </c>
      <c r="N5031" s="308"/>
      <c r="O5031" s="308"/>
      <c r="P5031" s="308" t="s">
        <v>38114</v>
      </c>
      <c r="Q5031" s="308" t="s">
        <v>38092</v>
      </c>
      <c r="R5031" s="308" t="s">
        <v>20052</v>
      </c>
      <c r="S5031" s="308" t="s">
        <v>81</v>
      </c>
      <c r="T5031" s="308" t="s">
        <v>75</v>
      </c>
      <c r="U5031" s="308" t="s">
        <v>166</v>
      </c>
      <c r="V5031" s="308"/>
    </row>
    <row r="5032">
      <c r="A5032" s="308">
        <v>5031.0</v>
      </c>
      <c r="B5032" s="308"/>
      <c r="C5032" s="308" t="s">
        <v>20274</v>
      </c>
      <c r="D5032" s="308">
        <f>IFERROR(__xludf.DUMMYFUNCTION("SPLIT(C5032,""-"")"),5052.0)</f>
        <v>5052</v>
      </c>
      <c r="E5032" s="308" t="str">
        <f>IFERROR(__xludf.DUMMYFUNCTION("""COMPUTED_VALUE"""),"S")</f>
        <v>S</v>
      </c>
      <c r="F5032" s="312" t="s">
        <v>39</v>
      </c>
      <c r="G5032" s="308"/>
      <c r="H5032" s="308" t="s">
        <v>20275</v>
      </c>
      <c r="I5032" s="314">
        <v>43051.0</v>
      </c>
      <c r="J5032" s="319">
        <f>IFERROR(__xludf.DUMMYFUNCTION("SPLIT(I5032,""/"")"),12.0)</f>
        <v>12</v>
      </c>
      <c r="K5032" s="308">
        <f>IFERROR(__xludf.DUMMYFUNCTION("""COMPUTED_VALUE"""),11.0)</f>
        <v>11</v>
      </c>
      <c r="L5032" s="308">
        <f>IFERROR(__xludf.DUMMYFUNCTION("""COMPUTED_VALUE"""),2017.0)</f>
        <v>2017</v>
      </c>
      <c r="M5032" s="308"/>
      <c r="N5032" s="308"/>
      <c r="O5032" s="308"/>
      <c r="P5032" s="308" t="s">
        <v>38115</v>
      </c>
      <c r="Q5032" s="308" t="s">
        <v>38092</v>
      </c>
      <c r="R5032" s="308" t="s">
        <v>20052</v>
      </c>
      <c r="S5032" s="308" t="s">
        <v>81</v>
      </c>
      <c r="T5032" s="311" t="s">
        <v>91</v>
      </c>
      <c r="U5032" s="308" t="s">
        <v>166</v>
      </c>
      <c r="V5032" s="308"/>
    </row>
    <row r="5033">
      <c r="A5033" s="308">
        <v>5032.0</v>
      </c>
      <c r="B5033" s="308"/>
      <c r="C5033" s="308" t="s">
        <v>20277</v>
      </c>
      <c r="D5033" s="308">
        <f>IFERROR(__xludf.DUMMYFUNCTION("SPLIT(C5033,""-"")"),5053.0)</f>
        <v>5053</v>
      </c>
      <c r="E5033" s="308" t="str">
        <f>IFERROR(__xludf.DUMMYFUNCTION("""COMPUTED_VALUE"""),"S")</f>
        <v>S</v>
      </c>
      <c r="F5033" s="312" t="s">
        <v>39</v>
      </c>
      <c r="G5033" s="308"/>
      <c r="H5033" s="308" t="s">
        <v>20278</v>
      </c>
      <c r="I5033" s="314">
        <v>43085.0</v>
      </c>
      <c r="J5033" s="319">
        <f>IFERROR(__xludf.DUMMYFUNCTION("SPLIT(I5033,""/"")"),16.0)</f>
        <v>16</v>
      </c>
      <c r="K5033" s="308">
        <f>IFERROR(__xludf.DUMMYFUNCTION("""COMPUTED_VALUE"""),12.0)</f>
        <v>12</v>
      </c>
      <c r="L5033" s="308">
        <f>IFERROR(__xludf.DUMMYFUNCTION("""COMPUTED_VALUE"""),2017.0)</f>
        <v>2017</v>
      </c>
      <c r="M5033" s="308"/>
      <c r="N5033" s="308"/>
      <c r="O5033" s="308"/>
      <c r="P5033" s="308" t="s">
        <v>38089</v>
      </c>
      <c r="Q5033" s="308" t="s">
        <v>38092</v>
      </c>
      <c r="R5033" s="308" t="s">
        <v>20052</v>
      </c>
      <c r="S5033" s="308" t="s">
        <v>49</v>
      </c>
      <c r="T5033" s="311" t="s">
        <v>67</v>
      </c>
      <c r="U5033" s="308" t="s">
        <v>166</v>
      </c>
      <c r="V5033" s="308"/>
    </row>
    <row r="5034">
      <c r="A5034" s="308">
        <v>5033.0</v>
      </c>
      <c r="B5034" s="308"/>
      <c r="C5034" s="308" t="s">
        <v>20279</v>
      </c>
      <c r="D5034" s="308">
        <f>IFERROR(__xludf.DUMMYFUNCTION("SPLIT(C5034,""-"")"),5054.0)</f>
        <v>5054</v>
      </c>
      <c r="E5034" s="308" t="str">
        <f>IFERROR(__xludf.DUMMYFUNCTION("""COMPUTED_VALUE"""),"S")</f>
        <v>S</v>
      </c>
      <c r="F5034" s="312" t="s">
        <v>39</v>
      </c>
      <c r="G5034" s="308"/>
      <c r="H5034" s="308" t="s">
        <v>20280</v>
      </c>
      <c r="I5034" s="310">
        <v>43074.0</v>
      </c>
      <c r="J5034" s="319">
        <f>IFERROR(__xludf.DUMMYFUNCTION("SPLIT(I5034,""/"")"),5.0)</f>
        <v>5</v>
      </c>
      <c r="K5034" s="308">
        <f>IFERROR(__xludf.DUMMYFUNCTION("""COMPUTED_VALUE"""),12.0)</f>
        <v>12</v>
      </c>
      <c r="L5034" s="308">
        <f>IFERROR(__xludf.DUMMYFUNCTION("""COMPUTED_VALUE"""),2017.0)</f>
        <v>2017</v>
      </c>
      <c r="M5034" s="308"/>
      <c r="N5034" s="308"/>
      <c r="O5034" s="308"/>
      <c r="P5034" s="308" t="s">
        <v>38116</v>
      </c>
      <c r="Q5034" s="308" t="s">
        <v>38092</v>
      </c>
      <c r="R5034" s="308" t="s">
        <v>20052</v>
      </c>
      <c r="S5034" s="308" t="s">
        <v>81</v>
      </c>
      <c r="T5034" s="311" t="s">
        <v>91</v>
      </c>
      <c r="U5034" s="308" t="s">
        <v>166</v>
      </c>
      <c r="V5034" s="308"/>
    </row>
    <row r="5035">
      <c r="A5035" s="308">
        <v>5034.0</v>
      </c>
      <c r="B5035" s="308"/>
      <c r="C5035" s="308" t="s">
        <v>20282</v>
      </c>
      <c r="D5035" s="308">
        <f>IFERROR(__xludf.DUMMYFUNCTION("SPLIT(C5035,""-"")"),5055.0)</f>
        <v>5055</v>
      </c>
      <c r="E5035" s="308" t="str">
        <f>IFERROR(__xludf.DUMMYFUNCTION("""COMPUTED_VALUE"""),"S")</f>
        <v>S</v>
      </c>
      <c r="F5035" s="312" t="s">
        <v>39</v>
      </c>
      <c r="G5035" s="308"/>
      <c r="H5035" s="308" t="s">
        <v>20283</v>
      </c>
      <c r="I5035" s="314">
        <v>43088.0</v>
      </c>
      <c r="J5035" s="319">
        <f>IFERROR(__xludf.DUMMYFUNCTION("SPLIT(I5035,""/"")"),19.0)</f>
        <v>19</v>
      </c>
      <c r="K5035" s="308">
        <f>IFERROR(__xludf.DUMMYFUNCTION("""COMPUTED_VALUE"""),12.0)</f>
        <v>12</v>
      </c>
      <c r="L5035" s="308">
        <f>IFERROR(__xludf.DUMMYFUNCTION("""COMPUTED_VALUE"""),2017.0)</f>
        <v>2017</v>
      </c>
      <c r="M5035" s="308"/>
      <c r="N5035" s="308"/>
      <c r="O5035" s="308"/>
      <c r="P5035" s="308" t="s">
        <v>38117</v>
      </c>
      <c r="Q5035" s="308" t="s">
        <v>38092</v>
      </c>
      <c r="R5035" s="308" t="s">
        <v>20052</v>
      </c>
      <c r="S5035" s="308" t="s">
        <v>49</v>
      </c>
      <c r="T5035" s="311" t="s">
        <v>67</v>
      </c>
      <c r="U5035" s="308" t="s">
        <v>166</v>
      </c>
      <c r="V5035" s="308"/>
    </row>
    <row r="5036">
      <c r="A5036" s="308">
        <v>5035.0</v>
      </c>
      <c r="B5036" s="308"/>
      <c r="C5036" s="308" t="s">
        <v>20285</v>
      </c>
      <c r="D5036" s="308">
        <f>IFERROR(__xludf.DUMMYFUNCTION("SPLIT(C5036,""-"")"),5056.0)</f>
        <v>5056</v>
      </c>
      <c r="E5036" s="308" t="str">
        <f>IFERROR(__xludf.DUMMYFUNCTION("""COMPUTED_VALUE"""),"S")</f>
        <v>S</v>
      </c>
      <c r="F5036" s="312" t="s">
        <v>39</v>
      </c>
      <c r="G5036" s="308"/>
      <c r="H5036" s="308" t="s">
        <v>20286</v>
      </c>
      <c r="I5036" s="314">
        <v>43089.0</v>
      </c>
      <c r="J5036" s="319">
        <f>IFERROR(__xludf.DUMMYFUNCTION("SPLIT(I5036,""/"")"),20.0)</f>
        <v>20</v>
      </c>
      <c r="K5036" s="308">
        <f>IFERROR(__xludf.DUMMYFUNCTION("""COMPUTED_VALUE"""),12.0)</f>
        <v>12</v>
      </c>
      <c r="L5036" s="308">
        <f>IFERROR(__xludf.DUMMYFUNCTION("""COMPUTED_VALUE"""),2017.0)</f>
        <v>2017</v>
      </c>
      <c r="M5036" s="308"/>
      <c r="N5036" s="308"/>
      <c r="O5036" s="308"/>
      <c r="P5036" s="308" t="s">
        <v>38118</v>
      </c>
      <c r="Q5036" s="308" t="s">
        <v>38092</v>
      </c>
      <c r="R5036" s="308" t="s">
        <v>20052</v>
      </c>
      <c r="S5036" s="308" t="s">
        <v>49</v>
      </c>
      <c r="T5036" s="311" t="s">
        <v>67</v>
      </c>
      <c r="U5036" s="308" t="s">
        <v>166</v>
      </c>
      <c r="V5036" s="308"/>
    </row>
    <row r="5037">
      <c r="A5037" s="308">
        <v>5036.0</v>
      </c>
      <c r="B5037" s="308"/>
      <c r="C5037" s="308" t="s">
        <v>20288</v>
      </c>
      <c r="D5037" s="308">
        <f>IFERROR(__xludf.DUMMYFUNCTION("SPLIT(C5037,""-"")"),5057.0)</f>
        <v>5057</v>
      </c>
      <c r="E5037" s="308" t="str">
        <f>IFERROR(__xludf.DUMMYFUNCTION("""COMPUTED_VALUE"""),"S")</f>
        <v>S</v>
      </c>
      <c r="F5037" s="312" t="s">
        <v>39</v>
      </c>
      <c r="G5037" s="308"/>
      <c r="H5037" s="308" t="s">
        <v>20289</v>
      </c>
      <c r="I5037" s="314">
        <v>43098.0</v>
      </c>
      <c r="J5037" s="319">
        <f>IFERROR(__xludf.DUMMYFUNCTION("SPLIT(I5037,""/"")"),29.0)</f>
        <v>29</v>
      </c>
      <c r="K5037" s="308">
        <f>IFERROR(__xludf.DUMMYFUNCTION("""COMPUTED_VALUE"""),12.0)</f>
        <v>12</v>
      </c>
      <c r="L5037" s="308">
        <f>IFERROR(__xludf.DUMMYFUNCTION("""COMPUTED_VALUE"""),2017.0)</f>
        <v>2017</v>
      </c>
      <c r="M5037" s="308" t="s">
        <v>20290</v>
      </c>
      <c r="N5037" s="308"/>
      <c r="O5037" s="308"/>
      <c r="P5037" s="308" t="s">
        <v>38119</v>
      </c>
      <c r="Q5037" s="308" t="s">
        <v>38092</v>
      </c>
      <c r="R5037" s="308" t="s">
        <v>20052</v>
      </c>
      <c r="S5037" s="308" t="s">
        <v>81</v>
      </c>
      <c r="T5037" s="311" t="s">
        <v>91</v>
      </c>
      <c r="U5037" s="308" t="s">
        <v>166</v>
      </c>
      <c r="V5037" s="308"/>
    </row>
    <row r="5038">
      <c r="A5038" s="308">
        <v>5037.0</v>
      </c>
      <c r="B5038" s="308"/>
      <c r="C5038" s="308" t="s">
        <v>20292</v>
      </c>
      <c r="D5038" s="308">
        <f>IFERROR(__xludf.DUMMYFUNCTION("SPLIT(C5038,""-"")"),5058.0)</f>
        <v>5058</v>
      </c>
      <c r="E5038" s="308" t="str">
        <f>IFERROR(__xludf.DUMMYFUNCTION("""COMPUTED_VALUE"""),"S")</f>
        <v>S</v>
      </c>
      <c r="F5038" s="312" t="s">
        <v>39</v>
      </c>
      <c r="G5038" s="308"/>
      <c r="H5038" s="308" t="s">
        <v>20293</v>
      </c>
      <c r="I5038" s="310">
        <v>43116.0</v>
      </c>
      <c r="J5038" s="319">
        <f>IFERROR(__xludf.DUMMYFUNCTION("SPLIT(I5038,""/"")"),16.0)</f>
        <v>16</v>
      </c>
      <c r="K5038" s="308">
        <f>IFERROR(__xludf.DUMMYFUNCTION("""COMPUTED_VALUE"""),1.0)</f>
        <v>1</v>
      </c>
      <c r="L5038" s="308">
        <f>IFERROR(__xludf.DUMMYFUNCTION("""COMPUTED_VALUE"""),2018.0)</f>
        <v>2018</v>
      </c>
      <c r="M5038" s="308" t="s">
        <v>38120</v>
      </c>
      <c r="N5038" s="308"/>
      <c r="O5038" s="308"/>
      <c r="P5038" s="312" t="s">
        <v>20295</v>
      </c>
      <c r="Q5038" s="308" t="s">
        <v>38092</v>
      </c>
      <c r="R5038" s="308" t="s">
        <v>20052</v>
      </c>
      <c r="S5038" s="308" t="s">
        <v>81</v>
      </c>
      <c r="T5038" s="311" t="s">
        <v>91</v>
      </c>
      <c r="U5038" s="308" t="s">
        <v>166</v>
      </c>
      <c r="V5038" s="308"/>
    </row>
    <row r="5039">
      <c r="A5039" s="308">
        <v>5038.0</v>
      </c>
      <c r="B5039" s="308"/>
      <c r="C5039" s="308" t="s">
        <v>20296</v>
      </c>
      <c r="D5039" s="308">
        <f>IFERROR(__xludf.DUMMYFUNCTION("SPLIT(C5039,""-"")"),5059.0)</f>
        <v>5059</v>
      </c>
      <c r="E5039" s="308" t="str">
        <f>IFERROR(__xludf.DUMMYFUNCTION("""COMPUTED_VALUE"""),"S")</f>
        <v>S</v>
      </c>
      <c r="F5039" s="312" t="s">
        <v>39</v>
      </c>
      <c r="G5039" s="308"/>
      <c r="H5039" s="308" t="s">
        <v>20297</v>
      </c>
      <c r="I5039" s="310">
        <v>43119.0</v>
      </c>
      <c r="J5039" s="319">
        <f>IFERROR(__xludf.DUMMYFUNCTION("SPLIT(I5039,""/"")"),19.0)</f>
        <v>19</v>
      </c>
      <c r="K5039" s="308">
        <f>IFERROR(__xludf.DUMMYFUNCTION("""COMPUTED_VALUE"""),1.0)</f>
        <v>1</v>
      </c>
      <c r="L5039" s="308">
        <f>IFERROR(__xludf.DUMMYFUNCTION("""COMPUTED_VALUE"""),2018.0)</f>
        <v>2018</v>
      </c>
      <c r="M5039" s="308" t="s">
        <v>38121</v>
      </c>
      <c r="N5039" s="308"/>
      <c r="O5039" s="308"/>
      <c r="P5039" s="308" t="s">
        <v>5653</v>
      </c>
      <c r="Q5039" s="308" t="s">
        <v>38092</v>
      </c>
      <c r="R5039" s="308" t="s">
        <v>20052</v>
      </c>
      <c r="S5039" s="315" t="s">
        <v>100</v>
      </c>
      <c r="T5039" s="311" t="s">
        <v>34208</v>
      </c>
      <c r="U5039" s="308" t="s">
        <v>166</v>
      </c>
      <c r="V5039" s="308"/>
    </row>
    <row r="5040">
      <c r="A5040" s="308">
        <v>5039.0</v>
      </c>
      <c r="B5040" s="308"/>
      <c r="C5040" s="308" t="s">
        <v>20299</v>
      </c>
      <c r="D5040" s="308">
        <f>IFERROR(__xludf.DUMMYFUNCTION("SPLIT(C5040,""-"")"),5060.0)</f>
        <v>5060</v>
      </c>
      <c r="E5040" s="308" t="str">
        <f>IFERROR(__xludf.DUMMYFUNCTION("""COMPUTED_VALUE"""),"S")</f>
        <v>S</v>
      </c>
      <c r="F5040" s="312" t="s">
        <v>39</v>
      </c>
      <c r="G5040" s="308"/>
      <c r="H5040" s="308" t="s">
        <v>20300</v>
      </c>
      <c r="I5040" s="310">
        <v>43120.0</v>
      </c>
      <c r="J5040" s="319">
        <f>IFERROR(__xludf.DUMMYFUNCTION("SPLIT(I5040,""/"")"),20.0)</f>
        <v>20</v>
      </c>
      <c r="K5040" s="308">
        <f>IFERROR(__xludf.DUMMYFUNCTION("""COMPUTED_VALUE"""),1.0)</f>
        <v>1</v>
      </c>
      <c r="L5040" s="308">
        <f>IFERROR(__xludf.DUMMYFUNCTION("""COMPUTED_VALUE"""),2018.0)</f>
        <v>2018</v>
      </c>
      <c r="M5040" s="308" t="s">
        <v>20301</v>
      </c>
      <c r="N5040" s="308"/>
      <c r="O5040" s="308"/>
      <c r="P5040" s="308" t="s">
        <v>38122</v>
      </c>
      <c r="Q5040" s="308" t="s">
        <v>38092</v>
      </c>
      <c r="R5040" s="308" t="s">
        <v>20052</v>
      </c>
      <c r="S5040" s="308" t="s">
        <v>81</v>
      </c>
      <c r="T5040" s="308" t="s">
        <v>75</v>
      </c>
      <c r="U5040" s="308" t="s">
        <v>166</v>
      </c>
      <c r="V5040" s="308"/>
    </row>
    <row r="5041">
      <c r="A5041" s="308">
        <v>5040.0</v>
      </c>
      <c r="B5041" s="308"/>
      <c r="C5041" s="308" t="s">
        <v>20303</v>
      </c>
      <c r="D5041" s="308">
        <f>IFERROR(__xludf.DUMMYFUNCTION("SPLIT(C5041,""-"")"),5061.0)</f>
        <v>5061</v>
      </c>
      <c r="E5041" s="308" t="str">
        <f>IFERROR(__xludf.DUMMYFUNCTION("""COMPUTED_VALUE"""),"S")</f>
        <v>S</v>
      </c>
      <c r="F5041" s="312" t="s">
        <v>39</v>
      </c>
      <c r="G5041" s="308"/>
      <c r="H5041" s="308" t="s">
        <v>20304</v>
      </c>
      <c r="I5041" s="310">
        <v>43126.0</v>
      </c>
      <c r="J5041" s="319">
        <f>IFERROR(__xludf.DUMMYFUNCTION("SPLIT(I5041,""/"")"),26.0)</f>
        <v>26</v>
      </c>
      <c r="K5041" s="308">
        <f>IFERROR(__xludf.DUMMYFUNCTION("""COMPUTED_VALUE"""),1.0)</f>
        <v>1</v>
      </c>
      <c r="L5041" s="308">
        <f>IFERROR(__xludf.DUMMYFUNCTION("""COMPUTED_VALUE"""),2018.0)</f>
        <v>2018</v>
      </c>
      <c r="M5041" s="308"/>
      <c r="N5041" s="308"/>
      <c r="O5041" s="308"/>
      <c r="P5041" s="308" t="s">
        <v>20305</v>
      </c>
      <c r="Q5041" s="308" t="s">
        <v>38092</v>
      </c>
      <c r="R5041" s="308" t="s">
        <v>20052</v>
      </c>
      <c r="S5041" s="308" t="s">
        <v>81</v>
      </c>
      <c r="T5041" s="311" t="s">
        <v>77</v>
      </c>
      <c r="U5041" s="308" t="s">
        <v>166</v>
      </c>
      <c r="V5041" s="308"/>
    </row>
    <row r="5042">
      <c r="A5042" s="308">
        <v>5041.0</v>
      </c>
      <c r="B5042" s="308"/>
      <c r="C5042" s="308" t="s">
        <v>20306</v>
      </c>
      <c r="D5042" s="308">
        <f>IFERROR(__xludf.DUMMYFUNCTION("SPLIT(C5042,""-"")"),5062.0)</f>
        <v>5062</v>
      </c>
      <c r="E5042" s="308" t="str">
        <f>IFERROR(__xludf.DUMMYFUNCTION("""COMPUTED_VALUE"""),"S")</f>
        <v>S</v>
      </c>
      <c r="F5042" s="312" t="s">
        <v>39</v>
      </c>
      <c r="G5042" s="308"/>
      <c r="H5042" s="308" t="s">
        <v>20307</v>
      </c>
      <c r="I5042" s="310">
        <v>43148.0</v>
      </c>
      <c r="J5042" s="319">
        <f>IFERROR(__xludf.DUMMYFUNCTION("SPLIT(I5042,""/"")"),17.0)</f>
        <v>17</v>
      </c>
      <c r="K5042" s="308">
        <f>IFERROR(__xludf.DUMMYFUNCTION("""COMPUTED_VALUE"""),2.0)</f>
        <v>2</v>
      </c>
      <c r="L5042" s="308">
        <f>IFERROR(__xludf.DUMMYFUNCTION("""COMPUTED_VALUE"""),2018.0)</f>
        <v>2018</v>
      </c>
      <c r="M5042" s="308" t="s">
        <v>20308</v>
      </c>
      <c r="N5042" s="308"/>
      <c r="O5042" s="308"/>
      <c r="P5042" s="312" t="s">
        <v>38123</v>
      </c>
      <c r="Q5042" s="308" t="s">
        <v>38092</v>
      </c>
      <c r="R5042" s="308" t="s">
        <v>20052</v>
      </c>
      <c r="S5042" s="308" t="s">
        <v>81</v>
      </c>
      <c r="T5042" s="308" t="s">
        <v>75</v>
      </c>
      <c r="U5042" s="308" t="s">
        <v>166</v>
      </c>
      <c r="V5042" s="308"/>
    </row>
    <row r="5043">
      <c r="A5043" s="308">
        <v>5042.0</v>
      </c>
      <c r="B5043" s="308"/>
      <c r="C5043" s="308" t="s">
        <v>20310</v>
      </c>
      <c r="D5043" s="308">
        <f>IFERROR(__xludf.DUMMYFUNCTION("SPLIT(C5043,""-"")"),5063.0)</f>
        <v>5063</v>
      </c>
      <c r="E5043" s="308" t="str">
        <f>IFERROR(__xludf.DUMMYFUNCTION("""COMPUTED_VALUE"""),"S")</f>
        <v>S</v>
      </c>
      <c r="F5043" s="312" t="s">
        <v>39</v>
      </c>
      <c r="G5043" s="308"/>
      <c r="H5043" s="308" t="s">
        <v>20311</v>
      </c>
      <c r="I5043" s="310">
        <v>43197.0</v>
      </c>
      <c r="J5043" s="319">
        <f>IFERROR(__xludf.DUMMYFUNCTION("SPLIT(I5043,""/"")"),7.0)</f>
        <v>7</v>
      </c>
      <c r="K5043" s="308">
        <f>IFERROR(__xludf.DUMMYFUNCTION("""COMPUTED_VALUE"""),4.0)</f>
        <v>4</v>
      </c>
      <c r="L5043" s="308">
        <f>IFERROR(__xludf.DUMMYFUNCTION("""COMPUTED_VALUE"""),2018.0)</f>
        <v>2018</v>
      </c>
      <c r="M5043" s="308" t="s">
        <v>38124</v>
      </c>
      <c r="N5043" s="308"/>
      <c r="O5043" s="308"/>
      <c r="P5043" s="308" t="s">
        <v>38125</v>
      </c>
      <c r="Q5043" s="308" t="s">
        <v>38092</v>
      </c>
      <c r="R5043" s="308" t="s">
        <v>20052</v>
      </c>
      <c r="S5043" s="308" t="s">
        <v>49</v>
      </c>
      <c r="T5043" s="311" t="s">
        <v>67</v>
      </c>
      <c r="U5043" s="308" t="s">
        <v>166</v>
      </c>
      <c r="V5043" s="308"/>
    </row>
    <row r="5044">
      <c r="A5044" s="308">
        <v>5043.0</v>
      </c>
      <c r="B5044" s="308"/>
      <c r="C5044" s="308" t="s">
        <v>20314</v>
      </c>
      <c r="D5044" s="308">
        <f>IFERROR(__xludf.DUMMYFUNCTION("SPLIT(C5044,""-"")"),5064.0)</f>
        <v>5064</v>
      </c>
      <c r="E5044" s="308" t="str">
        <f>IFERROR(__xludf.DUMMYFUNCTION("""COMPUTED_VALUE"""),"S")</f>
        <v>S</v>
      </c>
      <c r="F5044" s="312" t="s">
        <v>39</v>
      </c>
      <c r="G5044" s="308"/>
      <c r="H5044" s="308" t="s">
        <v>20315</v>
      </c>
      <c r="I5044" s="310">
        <v>43102.0</v>
      </c>
      <c r="J5044" s="319">
        <f>IFERROR(__xludf.DUMMYFUNCTION("SPLIT(I5044,""/"")"),2.0)</f>
        <v>2</v>
      </c>
      <c r="K5044" s="308">
        <f>IFERROR(__xludf.DUMMYFUNCTION("""COMPUTED_VALUE"""),1.0)</f>
        <v>1</v>
      </c>
      <c r="L5044" s="308">
        <f>IFERROR(__xludf.DUMMYFUNCTION("""COMPUTED_VALUE"""),2018.0)</f>
        <v>2018</v>
      </c>
      <c r="M5044" s="308" t="s">
        <v>38126</v>
      </c>
      <c r="N5044" s="308"/>
      <c r="O5044" s="308"/>
      <c r="P5044" s="308" t="s">
        <v>38127</v>
      </c>
      <c r="Q5044" s="308" t="s">
        <v>38092</v>
      </c>
      <c r="R5044" s="308" t="s">
        <v>20052</v>
      </c>
      <c r="S5044" s="308" t="s">
        <v>49</v>
      </c>
      <c r="T5044" s="308" t="s">
        <v>53</v>
      </c>
      <c r="U5044" s="308" t="s">
        <v>166</v>
      </c>
      <c r="V5044" s="308"/>
    </row>
    <row r="5045">
      <c r="A5045" s="308">
        <v>5044.0</v>
      </c>
      <c r="B5045" s="308"/>
      <c r="C5045" s="308" t="s">
        <v>20318</v>
      </c>
      <c r="D5045" s="308">
        <f>IFERROR(__xludf.DUMMYFUNCTION("SPLIT(C5045,""-"")"),5065.0)</f>
        <v>5065</v>
      </c>
      <c r="E5045" s="308" t="str">
        <f>IFERROR(__xludf.DUMMYFUNCTION("""COMPUTED_VALUE"""),"S")</f>
        <v>S</v>
      </c>
      <c r="F5045" s="312" t="s">
        <v>39</v>
      </c>
      <c r="G5045" s="308"/>
      <c r="H5045" s="308" t="s">
        <v>20319</v>
      </c>
      <c r="I5045" s="310">
        <v>43200.0</v>
      </c>
      <c r="J5045" s="319">
        <f>IFERROR(__xludf.DUMMYFUNCTION("SPLIT(I5045,""/"")"),10.0)</f>
        <v>10</v>
      </c>
      <c r="K5045" s="308">
        <f>IFERROR(__xludf.DUMMYFUNCTION("""COMPUTED_VALUE"""),4.0)</f>
        <v>4</v>
      </c>
      <c r="L5045" s="308">
        <f>IFERROR(__xludf.DUMMYFUNCTION("""COMPUTED_VALUE"""),2018.0)</f>
        <v>2018</v>
      </c>
      <c r="M5045" s="308" t="s">
        <v>38128</v>
      </c>
      <c r="N5045" s="308"/>
      <c r="O5045" s="308"/>
      <c r="P5045" s="308" t="s">
        <v>20321</v>
      </c>
      <c r="Q5045" s="308" t="s">
        <v>38092</v>
      </c>
      <c r="R5045" s="308" t="s">
        <v>20052</v>
      </c>
      <c r="S5045" s="308" t="s">
        <v>81</v>
      </c>
      <c r="T5045" s="308" t="s">
        <v>75</v>
      </c>
      <c r="U5045" s="308" t="s">
        <v>166</v>
      </c>
      <c r="V5045" s="308"/>
    </row>
    <row r="5046">
      <c r="A5046" s="308">
        <v>5045.0</v>
      </c>
      <c r="B5046" s="308"/>
      <c r="C5046" s="308" t="s">
        <v>20322</v>
      </c>
      <c r="D5046" s="308">
        <f>IFERROR(__xludf.DUMMYFUNCTION("SPLIT(C5046,""-"")"),5066.0)</f>
        <v>5066</v>
      </c>
      <c r="E5046" s="308" t="str">
        <f>IFERROR(__xludf.DUMMYFUNCTION("""COMPUTED_VALUE"""),"S")</f>
        <v>S</v>
      </c>
      <c r="F5046" s="312" t="s">
        <v>39</v>
      </c>
      <c r="G5046" s="308"/>
      <c r="H5046" s="308" t="s">
        <v>20323</v>
      </c>
      <c r="I5046" s="310">
        <v>43196.0</v>
      </c>
      <c r="J5046" s="319">
        <f>IFERROR(__xludf.DUMMYFUNCTION("SPLIT(I5046,""/"")"),6.0)</f>
        <v>6</v>
      </c>
      <c r="K5046" s="308">
        <f>IFERROR(__xludf.DUMMYFUNCTION("""COMPUTED_VALUE"""),4.0)</f>
        <v>4</v>
      </c>
      <c r="L5046" s="308">
        <f>IFERROR(__xludf.DUMMYFUNCTION("""COMPUTED_VALUE"""),2018.0)</f>
        <v>2018</v>
      </c>
      <c r="M5046" s="308" t="s">
        <v>38129</v>
      </c>
      <c r="N5046" s="308"/>
      <c r="O5046" s="308"/>
      <c r="P5046" s="308" t="s">
        <v>20325</v>
      </c>
      <c r="Q5046" s="308" t="s">
        <v>38092</v>
      </c>
      <c r="R5046" s="308" t="s">
        <v>20052</v>
      </c>
      <c r="S5046" s="308" t="s">
        <v>81</v>
      </c>
      <c r="T5046" s="311" t="s">
        <v>91</v>
      </c>
      <c r="U5046" s="308" t="s">
        <v>166</v>
      </c>
      <c r="V5046" s="308"/>
    </row>
    <row r="5047">
      <c r="A5047" s="308">
        <v>5046.0</v>
      </c>
      <c r="B5047" s="308"/>
      <c r="C5047" s="308" t="s">
        <v>20326</v>
      </c>
      <c r="D5047" s="308">
        <f>IFERROR(__xludf.DUMMYFUNCTION("SPLIT(C5047,""-"")"),5067.0)</f>
        <v>5067</v>
      </c>
      <c r="E5047" s="308" t="str">
        <f>IFERROR(__xludf.DUMMYFUNCTION("""COMPUTED_VALUE"""),"K")</f>
        <v>K</v>
      </c>
      <c r="F5047" s="309" t="s">
        <v>34</v>
      </c>
      <c r="G5047" s="308"/>
      <c r="H5047" s="308" t="s">
        <v>20327</v>
      </c>
      <c r="I5047" s="314">
        <v>42714.0</v>
      </c>
      <c r="J5047" s="319">
        <f>IFERROR(__xludf.DUMMYFUNCTION("SPLIT(I5047,""/"")"),10.0)</f>
        <v>10</v>
      </c>
      <c r="K5047" s="308">
        <f>IFERROR(__xludf.DUMMYFUNCTION("""COMPUTED_VALUE"""),12.0)</f>
        <v>12</v>
      </c>
      <c r="L5047" s="308">
        <f>IFERROR(__xludf.DUMMYFUNCTION("""COMPUTED_VALUE"""),2016.0)</f>
        <v>2016</v>
      </c>
      <c r="M5047" s="308" t="s">
        <v>38130</v>
      </c>
      <c r="N5047" s="308"/>
      <c r="O5047" s="308"/>
      <c r="P5047" s="308" t="s">
        <v>5679</v>
      </c>
      <c r="Q5047" s="308" t="s">
        <v>38092</v>
      </c>
      <c r="R5047" s="308" t="s">
        <v>20329</v>
      </c>
      <c r="S5047" s="315" t="s">
        <v>100</v>
      </c>
      <c r="T5047" s="311" t="s">
        <v>34208</v>
      </c>
      <c r="U5047" s="308" t="s">
        <v>1509</v>
      </c>
      <c r="V5047" s="308"/>
    </row>
    <row r="5048">
      <c r="A5048" s="308">
        <v>5047.0</v>
      </c>
      <c r="B5048" s="308"/>
      <c r="C5048" s="308" t="s">
        <v>20330</v>
      </c>
      <c r="D5048" s="308">
        <f>IFERROR(__xludf.DUMMYFUNCTION("SPLIT(C5048,""-"")"),5068.0)</f>
        <v>5068</v>
      </c>
      <c r="E5048" s="308" t="str">
        <f>IFERROR(__xludf.DUMMYFUNCTION("""COMPUTED_VALUE"""),"I")</f>
        <v>I</v>
      </c>
      <c r="F5048" s="309" t="s">
        <v>31</v>
      </c>
      <c r="G5048" s="308"/>
      <c r="H5048" s="308" t="s">
        <v>20331</v>
      </c>
      <c r="I5048" s="310">
        <v>43204.0</v>
      </c>
      <c r="J5048" s="319">
        <f>IFERROR(__xludf.DUMMYFUNCTION("SPLIT(I5048,""/"")"),14.0)</f>
        <v>14</v>
      </c>
      <c r="K5048" s="308">
        <f>IFERROR(__xludf.DUMMYFUNCTION("""COMPUTED_VALUE"""),4.0)</f>
        <v>4</v>
      </c>
      <c r="L5048" s="308">
        <f>IFERROR(__xludf.DUMMYFUNCTION("""COMPUTED_VALUE"""),2018.0)</f>
        <v>2018</v>
      </c>
      <c r="M5048" s="308" t="s">
        <v>20332</v>
      </c>
      <c r="N5048" s="308"/>
      <c r="O5048" s="308"/>
      <c r="P5048" s="308" t="s">
        <v>38131</v>
      </c>
      <c r="Q5048" s="308" t="s">
        <v>38132</v>
      </c>
      <c r="R5048" s="308" t="s">
        <v>2743</v>
      </c>
      <c r="S5048" s="308" t="s">
        <v>81</v>
      </c>
      <c r="T5048" s="308" t="s">
        <v>75</v>
      </c>
      <c r="U5048" s="308" t="s">
        <v>31</v>
      </c>
      <c r="V5048" s="308"/>
    </row>
    <row r="5049">
      <c r="A5049" s="308">
        <v>5048.0</v>
      </c>
      <c r="B5049" s="308"/>
      <c r="C5049" s="308" t="s">
        <v>20334</v>
      </c>
      <c r="D5049" s="308">
        <f>IFERROR(__xludf.DUMMYFUNCTION("SPLIT(C5049,""-"")"),5069.0)</f>
        <v>5069</v>
      </c>
      <c r="E5049" s="308" t="str">
        <f>IFERROR(__xludf.DUMMYFUNCTION("""COMPUTED_VALUE"""),"K")</f>
        <v>K</v>
      </c>
      <c r="F5049" s="309" t="s">
        <v>34</v>
      </c>
      <c r="G5049" s="308"/>
      <c r="H5049" s="308" t="s">
        <v>20335</v>
      </c>
      <c r="I5049" s="310">
        <v>41454.0</v>
      </c>
      <c r="J5049" s="319">
        <f>IFERROR(__xludf.DUMMYFUNCTION("SPLIT(I5049,""/"")"),29.0)</f>
        <v>29</v>
      </c>
      <c r="K5049" s="308">
        <f>IFERROR(__xludf.DUMMYFUNCTION("""COMPUTED_VALUE"""),6.0)</f>
        <v>6</v>
      </c>
      <c r="L5049" s="308">
        <f>IFERROR(__xludf.DUMMYFUNCTION("""COMPUTED_VALUE"""),2013.0)</f>
        <v>2013</v>
      </c>
      <c r="M5049" s="308" t="s">
        <v>20336</v>
      </c>
      <c r="N5049" s="308"/>
      <c r="O5049" s="308"/>
      <c r="P5049" s="308" t="s">
        <v>38133</v>
      </c>
      <c r="Q5049" s="308" t="s">
        <v>38132</v>
      </c>
      <c r="R5049" s="308" t="s">
        <v>2743</v>
      </c>
      <c r="S5049" s="308" t="s">
        <v>49</v>
      </c>
      <c r="T5049" s="311" t="s">
        <v>51</v>
      </c>
      <c r="U5049" s="308" t="s">
        <v>4749</v>
      </c>
      <c r="V5049" s="308"/>
    </row>
    <row r="5050">
      <c r="A5050" s="308">
        <v>5049.0</v>
      </c>
      <c r="B5050" s="308"/>
      <c r="C5050" s="308" t="s">
        <v>20338</v>
      </c>
      <c r="D5050" s="308">
        <f>IFERROR(__xludf.DUMMYFUNCTION("SPLIT(C5050,""-"")"),5070.0)</f>
        <v>5070</v>
      </c>
      <c r="E5050" s="308" t="str">
        <f>IFERROR(__xludf.DUMMYFUNCTION("""COMPUTED_VALUE"""),"B")</f>
        <v>B</v>
      </c>
      <c r="F5050" s="315" t="s">
        <v>26</v>
      </c>
      <c r="G5050" s="308"/>
      <c r="H5050" s="308" t="s">
        <v>20339</v>
      </c>
      <c r="I5050" s="310">
        <v>43163.0</v>
      </c>
      <c r="J5050" s="319">
        <f>IFERROR(__xludf.DUMMYFUNCTION("SPLIT(I5050,""/"")"),4.0)</f>
        <v>4</v>
      </c>
      <c r="K5050" s="308">
        <f>IFERROR(__xludf.DUMMYFUNCTION("""COMPUTED_VALUE"""),3.0)</f>
        <v>3</v>
      </c>
      <c r="L5050" s="308">
        <f>IFERROR(__xludf.DUMMYFUNCTION("""COMPUTED_VALUE"""),2018.0)</f>
        <v>2018</v>
      </c>
      <c r="M5050" s="308" t="s">
        <v>20340</v>
      </c>
      <c r="N5050" s="308"/>
      <c r="O5050" s="308"/>
      <c r="P5050" s="308" t="s">
        <v>38134</v>
      </c>
      <c r="Q5050" s="308" t="s">
        <v>38135</v>
      </c>
      <c r="R5050" s="308" t="s">
        <v>14256</v>
      </c>
      <c r="S5050" s="308" t="s">
        <v>81</v>
      </c>
      <c r="T5050" s="311" t="s">
        <v>96</v>
      </c>
      <c r="U5050" s="308" t="s">
        <v>27</v>
      </c>
      <c r="V5050" s="308"/>
    </row>
    <row r="5051">
      <c r="A5051" s="308">
        <v>5050.0</v>
      </c>
      <c r="B5051" s="308"/>
      <c r="C5051" s="308" t="s">
        <v>20342</v>
      </c>
      <c r="D5051" s="308">
        <f>IFERROR(__xludf.DUMMYFUNCTION("SPLIT(C5051,""-"")"),5071.0)</f>
        <v>5071</v>
      </c>
      <c r="E5051" s="308" t="str">
        <f>IFERROR(__xludf.DUMMYFUNCTION("""COMPUTED_VALUE"""),"S")</f>
        <v>S</v>
      </c>
      <c r="F5051" s="312" t="s">
        <v>39</v>
      </c>
      <c r="G5051" s="308"/>
      <c r="H5051" s="308" t="s">
        <v>20343</v>
      </c>
      <c r="I5051" s="310">
        <v>43171.0</v>
      </c>
      <c r="J5051" s="319">
        <f>IFERROR(__xludf.DUMMYFUNCTION("SPLIT(I5051,""/"")"),12.0)</f>
        <v>12</v>
      </c>
      <c r="K5051" s="308">
        <f>IFERROR(__xludf.DUMMYFUNCTION("""COMPUTED_VALUE"""),3.0)</f>
        <v>3</v>
      </c>
      <c r="L5051" s="308">
        <f>IFERROR(__xludf.DUMMYFUNCTION("""COMPUTED_VALUE"""),2018.0)</f>
        <v>2018</v>
      </c>
      <c r="M5051" s="308" t="s">
        <v>20344</v>
      </c>
      <c r="N5051" s="308"/>
      <c r="O5051" s="308"/>
      <c r="P5051" s="308" t="s">
        <v>38136</v>
      </c>
      <c r="Q5051" s="308" t="s">
        <v>38135</v>
      </c>
      <c r="R5051" s="308" t="s">
        <v>14256</v>
      </c>
      <c r="S5051" s="308" t="s">
        <v>49</v>
      </c>
      <c r="T5051" s="308" t="s">
        <v>67</v>
      </c>
      <c r="U5051" s="308" t="s">
        <v>166</v>
      </c>
      <c r="V5051" s="308"/>
    </row>
    <row r="5052">
      <c r="A5052" s="308">
        <v>5051.0</v>
      </c>
      <c r="B5052" s="308"/>
      <c r="C5052" s="308" t="s">
        <v>20346</v>
      </c>
      <c r="D5052" s="308">
        <f>IFERROR(__xludf.DUMMYFUNCTION("SPLIT(C5052,""-"")"),5072.0)</f>
        <v>5072</v>
      </c>
      <c r="E5052" s="308" t="str">
        <f>IFERROR(__xludf.DUMMYFUNCTION("""COMPUTED_VALUE"""),"K")</f>
        <v>K</v>
      </c>
      <c r="F5052" s="309" t="s">
        <v>34</v>
      </c>
      <c r="G5052" s="308"/>
      <c r="H5052" s="308" t="s">
        <v>20347</v>
      </c>
      <c r="I5052" s="310">
        <v>42221.0</v>
      </c>
      <c r="J5052" s="319">
        <f>IFERROR(__xludf.DUMMYFUNCTION("SPLIT(I5052,""/"")"),5.0)</f>
        <v>5</v>
      </c>
      <c r="K5052" s="308">
        <f>IFERROR(__xludf.DUMMYFUNCTION("""COMPUTED_VALUE"""),8.0)</f>
        <v>8</v>
      </c>
      <c r="L5052" s="308">
        <f>IFERROR(__xludf.DUMMYFUNCTION("""COMPUTED_VALUE"""),2015.0)</f>
        <v>2015</v>
      </c>
      <c r="M5052" s="308" t="s">
        <v>20348</v>
      </c>
      <c r="N5052" s="308"/>
      <c r="O5052" s="308" t="s">
        <v>20349</v>
      </c>
      <c r="P5052" s="308" t="s">
        <v>20350</v>
      </c>
      <c r="Q5052" s="308" t="s">
        <v>38135</v>
      </c>
      <c r="R5052" s="308" t="s">
        <v>2743</v>
      </c>
      <c r="S5052" s="311" t="s">
        <v>81</v>
      </c>
      <c r="T5052" s="311" t="s">
        <v>34264</v>
      </c>
      <c r="U5052" s="308" t="s">
        <v>10279</v>
      </c>
      <c r="V5052" s="308"/>
    </row>
    <row r="5053">
      <c r="A5053" s="308">
        <v>5052.0</v>
      </c>
      <c r="B5053" s="308"/>
      <c r="C5053" s="308" t="s">
        <v>20351</v>
      </c>
      <c r="D5053" s="308">
        <f>IFERROR(__xludf.DUMMYFUNCTION("SPLIT(C5053,""-"")"),5073.0)</f>
        <v>5073</v>
      </c>
      <c r="E5053" s="308" t="str">
        <f>IFERROR(__xludf.DUMMYFUNCTION("""COMPUTED_VALUE"""),"K")</f>
        <v>K</v>
      </c>
      <c r="F5053" s="309" t="s">
        <v>34</v>
      </c>
      <c r="G5053" s="308"/>
      <c r="H5053" s="308" t="s">
        <v>20352</v>
      </c>
      <c r="I5053" s="310">
        <v>40282.0</v>
      </c>
      <c r="J5053" s="319">
        <f>IFERROR(__xludf.DUMMYFUNCTION("SPLIT(I5053,""/"")"),14.0)</f>
        <v>14</v>
      </c>
      <c r="K5053" s="308">
        <f>IFERROR(__xludf.DUMMYFUNCTION("""COMPUTED_VALUE"""),4.0)</f>
        <v>4</v>
      </c>
      <c r="L5053" s="308">
        <f>IFERROR(__xludf.DUMMYFUNCTION("""COMPUTED_VALUE"""),2010.0)</f>
        <v>2010</v>
      </c>
      <c r="M5053" s="308" t="s">
        <v>20353</v>
      </c>
      <c r="N5053" s="308"/>
      <c r="O5053" s="308"/>
      <c r="P5053" s="308" t="s">
        <v>5679</v>
      </c>
      <c r="Q5053" s="308" t="s">
        <v>38135</v>
      </c>
      <c r="R5053" s="308" t="s">
        <v>2743</v>
      </c>
      <c r="S5053" s="315" t="s">
        <v>100</v>
      </c>
      <c r="T5053" s="311" t="s">
        <v>34208</v>
      </c>
      <c r="U5053" s="308" t="s">
        <v>1516</v>
      </c>
      <c r="V5053" s="308"/>
    </row>
    <row r="5054">
      <c r="A5054" s="308">
        <v>5053.0</v>
      </c>
      <c r="B5054" s="308"/>
      <c r="C5054" s="308" t="s">
        <v>20354</v>
      </c>
      <c r="D5054" s="308">
        <f>IFERROR(__xludf.DUMMYFUNCTION("SPLIT(C5054,""-"")"),5074.0)</f>
        <v>5074</v>
      </c>
      <c r="E5054" s="308" t="str">
        <f>IFERROR(__xludf.DUMMYFUNCTION("""COMPUTED_VALUE"""),"K")</f>
        <v>K</v>
      </c>
      <c r="F5054" s="309" t="s">
        <v>34</v>
      </c>
      <c r="G5054" s="308"/>
      <c r="H5054" s="308" t="s">
        <v>20355</v>
      </c>
      <c r="I5054" s="310">
        <v>41821.0</v>
      </c>
      <c r="J5054" s="319">
        <f>IFERROR(__xludf.DUMMYFUNCTION("SPLIT(I5054,""/"")"),1.0)</f>
        <v>1</v>
      </c>
      <c r="K5054" s="308">
        <f>IFERROR(__xludf.DUMMYFUNCTION("""COMPUTED_VALUE"""),7.0)</f>
        <v>7</v>
      </c>
      <c r="L5054" s="308">
        <f>IFERROR(__xludf.DUMMYFUNCTION("""COMPUTED_VALUE"""),2014.0)</f>
        <v>2014</v>
      </c>
      <c r="M5054" s="308" t="s">
        <v>20356</v>
      </c>
      <c r="N5054" s="308"/>
      <c r="O5054" s="308"/>
      <c r="P5054" s="308" t="s">
        <v>38137</v>
      </c>
      <c r="Q5054" s="308" t="s">
        <v>38135</v>
      </c>
      <c r="R5054" s="308" t="s">
        <v>2743</v>
      </c>
      <c r="S5054" s="308" t="s">
        <v>49</v>
      </c>
      <c r="T5054" s="308" t="s">
        <v>51</v>
      </c>
      <c r="U5054" s="308" t="s">
        <v>125</v>
      </c>
      <c r="V5054" s="308"/>
    </row>
    <row r="5055">
      <c r="A5055" s="308">
        <v>5054.0</v>
      </c>
      <c r="B5055" s="308"/>
      <c r="C5055" s="308" t="s">
        <v>20358</v>
      </c>
      <c r="D5055" s="308">
        <f>IFERROR(__xludf.DUMMYFUNCTION("SPLIT(C5055,""-"")"),5075.0)</f>
        <v>5075</v>
      </c>
      <c r="E5055" s="308" t="str">
        <f>IFERROR(__xludf.DUMMYFUNCTION("""COMPUTED_VALUE"""),"K")</f>
        <v>K</v>
      </c>
      <c r="F5055" s="309" t="s">
        <v>34</v>
      </c>
      <c r="G5055" s="308"/>
      <c r="H5055" s="308" t="s">
        <v>20359</v>
      </c>
      <c r="I5055" s="310">
        <v>40282.0</v>
      </c>
      <c r="J5055" s="319">
        <f>IFERROR(__xludf.DUMMYFUNCTION("SPLIT(I5055,""/"")"),14.0)</f>
        <v>14</v>
      </c>
      <c r="K5055" s="308">
        <f>IFERROR(__xludf.DUMMYFUNCTION("""COMPUTED_VALUE"""),4.0)</f>
        <v>4</v>
      </c>
      <c r="L5055" s="308">
        <f>IFERROR(__xludf.DUMMYFUNCTION("""COMPUTED_VALUE"""),2010.0)</f>
        <v>2010</v>
      </c>
      <c r="M5055" s="308" t="s">
        <v>20360</v>
      </c>
      <c r="N5055" s="308"/>
      <c r="O5055" s="308"/>
      <c r="P5055" s="308" t="s">
        <v>5679</v>
      </c>
      <c r="Q5055" s="308" t="s">
        <v>38135</v>
      </c>
      <c r="R5055" s="308" t="s">
        <v>2743</v>
      </c>
      <c r="S5055" s="315" t="s">
        <v>100</v>
      </c>
      <c r="T5055" s="311" t="s">
        <v>34208</v>
      </c>
      <c r="U5055" s="308" t="s">
        <v>2466</v>
      </c>
      <c r="V5055" s="308"/>
    </row>
    <row r="5056">
      <c r="A5056" s="308">
        <v>5055.0</v>
      </c>
      <c r="B5056" s="308"/>
      <c r="C5056" s="308" t="s">
        <v>20361</v>
      </c>
      <c r="D5056" s="308">
        <f>IFERROR(__xludf.DUMMYFUNCTION("SPLIT(C5056,""-"")"),5076.0)</f>
        <v>5076</v>
      </c>
      <c r="E5056" s="308" t="str">
        <f>IFERROR(__xludf.DUMMYFUNCTION("""COMPUTED_VALUE"""),"K")</f>
        <v>K</v>
      </c>
      <c r="F5056" s="309" t="s">
        <v>34</v>
      </c>
      <c r="G5056" s="308"/>
      <c r="H5056" s="308" t="s">
        <v>20362</v>
      </c>
      <c r="I5056" s="310">
        <v>40282.0</v>
      </c>
      <c r="J5056" s="319">
        <f>IFERROR(__xludf.DUMMYFUNCTION("SPLIT(I5056,""/"")"),14.0)</f>
        <v>14</v>
      </c>
      <c r="K5056" s="308">
        <f>IFERROR(__xludf.DUMMYFUNCTION("""COMPUTED_VALUE"""),4.0)</f>
        <v>4</v>
      </c>
      <c r="L5056" s="308">
        <f>IFERROR(__xludf.DUMMYFUNCTION("""COMPUTED_VALUE"""),2010.0)</f>
        <v>2010</v>
      </c>
      <c r="M5056" s="308" t="s">
        <v>20363</v>
      </c>
      <c r="N5056" s="308"/>
      <c r="O5056" s="308"/>
      <c r="P5056" s="308" t="s">
        <v>5679</v>
      </c>
      <c r="Q5056" s="308" t="s">
        <v>38135</v>
      </c>
      <c r="R5056" s="308" t="s">
        <v>2743</v>
      </c>
      <c r="S5056" s="315" t="s">
        <v>100</v>
      </c>
      <c r="T5056" s="311" t="s">
        <v>34208</v>
      </c>
      <c r="U5056" s="308" t="s">
        <v>2466</v>
      </c>
      <c r="V5056" s="308"/>
    </row>
    <row r="5057">
      <c r="A5057" s="308">
        <v>5056.0</v>
      </c>
      <c r="B5057" s="308"/>
      <c r="C5057" s="308" t="s">
        <v>20364</v>
      </c>
      <c r="D5057" s="308">
        <f>IFERROR(__xludf.DUMMYFUNCTION("SPLIT(C5057,""-"")"),5077.0)</f>
        <v>5077</v>
      </c>
      <c r="E5057" s="308" t="str">
        <f>IFERROR(__xludf.DUMMYFUNCTION("""COMPUTED_VALUE"""),"F")</f>
        <v>F</v>
      </c>
      <c r="F5057" s="309" t="s">
        <v>34</v>
      </c>
      <c r="G5057" s="308"/>
      <c r="H5057" s="308" t="s">
        <v>20365</v>
      </c>
      <c r="I5057" s="314">
        <v>41998.0</v>
      </c>
      <c r="J5057" s="319">
        <f>IFERROR(__xludf.DUMMYFUNCTION("SPLIT(I5057,""/"")"),25.0)</f>
        <v>25</v>
      </c>
      <c r="K5057" s="308">
        <f>IFERROR(__xludf.DUMMYFUNCTION("""COMPUTED_VALUE"""),12.0)</f>
        <v>12</v>
      </c>
      <c r="L5057" s="308">
        <f>IFERROR(__xludf.DUMMYFUNCTION("""COMPUTED_VALUE"""),2014.0)</f>
        <v>2014</v>
      </c>
      <c r="M5057" s="308" t="s">
        <v>20366</v>
      </c>
      <c r="N5057" s="308"/>
      <c r="O5057" s="308"/>
      <c r="P5057" s="308" t="s">
        <v>6393</v>
      </c>
      <c r="Q5057" s="308" t="s">
        <v>38135</v>
      </c>
      <c r="R5057" s="308" t="s">
        <v>2743</v>
      </c>
      <c r="S5057" s="315" t="s">
        <v>100</v>
      </c>
      <c r="T5057" s="311" t="s">
        <v>34208</v>
      </c>
      <c r="U5057" s="308" t="s">
        <v>195</v>
      </c>
      <c r="V5057" s="308"/>
    </row>
    <row r="5058">
      <c r="A5058" s="308">
        <v>5057.0</v>
      </c>
      <c r="B5058" s="308"/>
      <c r="C5058" s="308" t="s">
        <v>20367</v>
      </c>
      <c r="D5058" s="308">
        <f>IFERROR(__xludf.DUMMYFUNCTION("SPLIT(C5058,""-"")"),5078.0)</f>
        <v>5078</v>
      </c>
      <c r="E5058" s="308" t="str">
        <f>IFERROR(__xludf.DUMMYFUNCTION("""COMPUTED_VALUE"""),"K")</f>
        <v>K</v>
      </c>
      <c r="F5058" s="309" t="s">
        <v>34</v>
      </c>
      <c r="G5058" s="308"/>
      <c r="H5058" s="308" t="s">
        <v>20368</v>
      </c>
      <c r="I5058" s="316" t="s">
        <v>20369</v>
      </c>
      <c r="J5058" s="323">
        <v>15.0</v>
      </c>
      <c r="K5058" s="311">
        <v>12.0</v>
      </c>
      <c r="L5058" s="311">
        <v>2015.0</v>
      </c>
      <c r="M5058" s="308" t="s">
        <v>20370</v>
      </c>
      <c r="N5058" s="308"/>
      <c r="O5058" s="308"/>
      <c r="P5058" s="308" t="s">
        <v>34212</v>
      </c>
      <c r="Q5058" s="308" t="s">
        <v>38135</v>
      </c>
      <c r="R5058" s="308" t="s">
        <v>2743</v>
      </c>
      <c r="S5058" s="315" t="s">
        <v>100</v>
      </c>
      <c r="T5058" s="311" t="s">
        <v>34208</v>
      </c>
      <c r="U5058" s="308" t="s">
        <v>125</v>
      </c>
      <c r="V5058" s="308"/>
    </row>
    <row r="5059">
      <c r="A5059" s="308">
        <v>5058.0</v>
      </c>
      <c r="B5059" s="308"/>
      <c r="C5059" s="308" t="s">
        <v>20371</v>
      </c>
      <c r="D5059" s="308">
        <f>IFERROR(__xludf.DUMMYFUNCTION("SPLIT(C5059,""-"")"),5079.0)</f>
        <v>5079</v>
      </c>
      <c r="E5059" s="308" t="str">
        <f>IFERROR(__xludf.DUMMYFUNCTION("""COMPUTED_VALUE"""),"F")</f>
        <v>F</v>
      </c>
      <c r="F5059" s="309" t="s">
        <v>34</v>
      </c>
      <c r="G5059" s="308"/>
      <c r="H5059" s="308" t="s">
        <v>20372</v>
      </c>
      <c r="I5059" s="316" t="s">
        <v>407</v>
      </c>
      <c r="J5059" s="319"/>
      <c r="K5059" s="308"/>
      <c r="L5059" s="311" t="s">
        <v>79</v>
      </c>
      <c r="M5059" s="308" t="s">
        <v>20373</v>
      </c>
      <c r="N5059" s="312"/>
      <c r="O5059" s="308"/>
      <c r="P5059" s="308" t="s">
        <v>6393</v>
      </c>
      <c r="Q5059" s="308" t="s">
        <v>38135</v>
      </c>
      <c r="R5059" s="308" t="s">
        <v>2743</v>
      </c>
      <c r="S5059" s="315" t="s">
        <v>100</v>
      </c>
      <c r="T5059" s="311" t="s">
        <v>34208</v>
      </c>
      <c r="U5059" s="308" t="s">
        <v>195</v>
      </c>
      <c r="V5059" s="308"/>
    </row>
    <row r="5060">
      <c r="A5060" s="308">
        <v>5059.0</v>
      </c>
      <c r="B5060" s="308"/>
      <c r="C5060" s="308" t="s">
        <v>20374</v>
      </c>
      <c r="D5060" s="308">
        <f>IFERROR(__xludf.DUMMYFUNCTION("SPLIT(C5060,""-"")"),5080.0)</f>
        <v>5080</v>
      </c>
      <c r="E5060" s="308" t="str">
        <f>IFERROR(__xludf.DUMMYFUNCTION("""COMPUTED_VALUE"""),"K")</f>
        <v>K</v>
      </c>
      <c r="F5060" s="309" t="s">
        <v>34</v>
      </c>
      <c r="G5060" s="308"/>
      <c r="H5060" s="308" t="s">
        <v>20375</v>
      </c>
      <c r="I5060" s="314">
        <v>42653.0</v>
      </c>
      <c r="J5060" s="319">
        <f>IFERROR(__xludf.DUMMYFUNCTION("SPLIT(I5060,""/"")"),10.0)</f>
        <v>10</v>
      </c>
      <c r="K5060" s="308">
        <f>IFERROR(__xludf.DUMMYFUNCTION("""COMPUTED_VALUE"""),10.0)</f>
        <v>10</v>
      </c>
      <c r="L5060" s="308">
        <f>IFERROR(__xludf.DUMMYFUNCTION("""COMPUTED_VALUE"""),2016.0)</f>
        <v>2016</v>
      </c>
      <c r="M5060" s="308" t="s">
        <v>20376</v>
      </c>
      <c r="N5060" s="308"/>
      <c r="O5060" s="308"/>
      <c r="P5060" s="308" t="s">
        <v>8147</v>
      </c>
      <c r="Q5060" s="308" t="s">
        <v>38135</v>
      </c>
      <c r="R5060" s="308" t="s">
        <v>2743</v>
      </c>
      <c r="S5060" s="308" t="s">
        <v>49</v>
      </c>
      <c r="T5060" s="311" t="s">
        <v>51</v>
      </c>
      <c r="U5060" s="308" t="s">
        <v>542</v>
      </c>
      <c r="V5060" s="308"/>
    </row>
    <row r="5061">
      <c r="A5061" s="308">
        <v>5060.0</v>
      </c>
      <c r="B5061" s="308"/>
      <c r="C5061" s="308" t="s">
        <v>20377</v>
      </c>
      <c r="D5061" s="308">
        <f>IFERROR(__xludf.DUMMYFUNCTION("SPLIT(C5061,""-"")"),5081.0)</f>
        <v>5081</v>
      </c>
      <c r="E5061" s="308" t="str">
        <f>IFERROR(__xludf.DUMMYFUNCTION("""COMPUTED_VALUE"""),"S")</f>
        <v>S</v>
      </c>
      <c r="F5061" s="312" t="s">
        <v>39</v>
      </c>
      <c r="G5061" s="308"/>
      <c r="H5061" s="308" t="s">
        <v>20378</v>
      </c>
      <c r="I5061" s="310">
        <v>41714.0</v>
      </c>
      <c r="J5061" s="319">
        <f>IFERROR(__xludf.DUMMYFUNCTION("SPLIT(I5061,""/"")"),16.0)</f>
        <v>16</v>
      </c>
      <c r="K5061" s="308">
        <f>IFERROR(__xludf.DUMMYFUNCTION("""COMPUTED_VALUE"""),3.0)</f>
        <v>3</v>
      </c>
      <c r="L5061" s="308">
        <f>IFERROR(__xludf.DUMMYFUNCTION("""COMPUTED_VALUE"""),2014.0)</f>
        <v>2014</v>
      </c>
      <c r="M5061" s="308" t="s">
        <v>20379</v>
      </c>
      <c r="N5061" s="308"/>
      <c r="O5061" s="308"/>
      <c r="P5061" s="308" t="s">
        <v>38138</v>
      </c>
      <c r="Q5061" s="308" t="s">
        <v>38135</v>
      </c>
      <c r="R5061" s="308" t="s">
        <v>2743</v>
      </c>
      <c r="S5061" s="308" t="s">
        <v>81</v>
      </c>
      <c r="T5061" s="308" t="s">
        <v>75</v>
      </c>
      <c r="U5061" s="308" t="s">
        <v>166</v>
      </c>
      <c r="V5061" s="308"/>
    </row>
    <row r="5062">
      <c r="A5062" s="308">
        <v>5061.0</v>
      </c>
      <c r="B5062" s="308"/>
      <c r="C5062" s="308" t="s">
        <v>20381</v>
      </c>
      <c r="D5062" s="308">
        <f>IFERROR(__xludf.DUMMYFUNCTION("SPLIT(C5062,""-"")"),5082.0)</f>
        <v>5082</v>
      </c>
      <c r="E5062" s="308" t="str">
        <f>IFERROR(__xludf.DUMMYFUNCTION("""COMPUTED_VALUE"""),"I")</f>
        <v>I</v>
      </c>
      <c r="F5062" s="309" t="s">
        <v>31</v>
      </c>
      <c r="G5062" s="308"/>
      <c r="H5062" s="308" t="s">
        <v>20382</v>
      </c>
      <c r="I5062" s="310">
        <v>42340.0</v>
      </c>
      <c r="J5062" s="319">
        <f>IFERROR(__xludf.DUMMYFUNCTION("SPLIT(I5062,""/"")"),2.0)</f>
        <v>2</v>
      </c>
      <c r="K5062" s="308">
        <f>IFERROR(__xludf.DUMMYFUNCTION("""COMPUTED_VALUE"""),12.0)</f>
        <v>12</v>
      </c>
      <c r="L5062" s="308">
        <f>IFERROR(__xludf.DUMMYFUNCTION("""COMPUTED_VALUE"""),2015.0)</f>
        <v>2015</v>
      </c>
      <c r="M5062" s="308" t="s">
        <v>20383</v>
      </c>
      <c r="N5062" s="308" t="s">
        <v>20384</v>
      </c>
      <c r="O5062" s="308" t="s">
        <v>20385</v>
      </c>
      <c r="P5062" s="308" t="s">
        <v>10817</v>
      </c>
      <c r="Q5062" s="308" t="s">
        <v>38135</v>
      </c>
      <c r="R5062" s="308" t="s">
        <v>2743</v>
      </c>
      <c r="S5062" s="315" t="s">
        <v>100</v>
      </c>
      <c r="T5062" s="311" t="s">
        <v>34208</v>
      </c>
      <c r="U5062" s="308" t="s">
        <v>31</v>
      </c>
      <c r="V5062" s="308"/>
    </row>
    <row r="5063">
      <c r="A5063" s="308">
        <v>5062.0</v>
      </c>
      <c r="B5063" s="308"/>
      <c r="C5063" s="308" t="s">
        <v>20386</v>
      </c>
      <c r="D5063" s="308">
        <f>IFERROR(__xludf.DUMMYFUNCTION("SPLIT(C5063,""-"")"),5083.0)</f>
        <v>5083</v>
      </c>
      <c r="E5063" s="308" t="str">
        <f>IFERROR(__xludf.DUMMYFUNCTION("""COMPUTED_VALUE"""),"P")</f>
        <v>P</v>
      </c>
      <c r="F5063" s="312" t="s">
        <v>37</v>
      </c>
      <c r="G5063" s="308"/>
      <c r="H5063" s="308" t="s">
        <v>20387</v>
      </c>
      <c r="I5063" s="314">
        <v>43056.0</v>
      </c>
      <c r="J5063" s="319">
        <f>IFERROR(__xludf.DUMMYFUNCTION("SPLIT(I5063,""/"")"),17.0)</f>
        <v>17</v>
      </c>
      <c r="K5063" s="308">
        <f>IFERROR(__xludf.DUMMYFUNCTION("""COMPUTED_VALUE"""),11.0)</f>
        <v>11</v>
      </c>
      <c r="L5063" s="308">
        <f>IFERROR(__xludf.DUMMYFUNCTION("""COMPUTED_VALUE"""),2017.0)</f>
        <v>2017</v>
      </c>
      <c r="M5063" s="308" t="s">
        <v>20388</v>
      </c>
      <c r="N5063" s="308"/>
      <c r="O5063" s="308"/>
      <c r="P5063" s="308" t="s">
        <v>38139</v>
      </c>
      <c r="Q5063" s="308" t="s">
        <v>38135</v>
      </c>
      <c r="R5063" s="308" t="s">
        <v>2743</v>
      </c>
      <c r="S5063" s="308" t="s">
        <v>49</v>
      </c>
      <c r="T5063" s="308" t="s">
        <v>51</v>
      </c>
      <c r="U5063" s="308" t="s">
        <v>143</v>
      </c>
      <c r="V5063" s="308"/>
    </row>
    <row r="5064">
      <c r="A5064" s="308">
        <v>5063.0</v>
      </c>
      <c r="B5064" s="308"/>
      <c r="C5064" s="308" t="s">
        <v>20390</v>
      </c>
      <c r="D5064" s="308">
        <f>IFERROR(__xludf.DUMMYFUNCTION("SPLIT(C5064,""-"")"),5084.0)</f>
        <v>5084</v>
      </c>
      <c r="E5064" s="308" t="str">
        <f>IFERROR(__xludf.DUMMYFUNCTION("""COMPUTED_VALUE"""),"K")</f>
        <v>K</v>
      </c>
      <c r="F5064" s="309" t="s">
        <v>34</v>
      </c>
      <c r="G5064" s="308"/>
      <c r="H5064" s="308" t="s">
        <v>20391</v>
      </c>
      <c r="I5064" s="310">
        <v>42782.0</v>
      </c>
      <c r="J5064" s="319" t="str">
        <f>IFERROR(__xludf.DUMMYFUNCTION("SPLIT(I5064,""/"")"),"#REF!")</f>
        <v>#REF!</v>
      </c>
      <c r="K5064" s="308"/>
      <c r="L5064" s="308">
        <v>2017.0</v>
      </c>
      <c r="M5064" s="308" t="s">
        <v>20392</v>
      </c>
      <c r="N5064" s="308"/>
      <c r="O5064" s="308" t="s">
        <v>38140</v>
      </c>
      <c r="P5064" s="308" t="s">
        <v>38141</v>
      </c>
      <c r="Q5064" s="308" t="s">
        <v>38142</v>
      </c>
      <c r="R5064" s="308" t="s">
        <v>2743</v>
      </c>
      <c r="S5064" s="308" t="s">
        <v>81</v>
      </c>
      <c r="T5064" s="308" t="s">
        <v>75</v>
      </c>
      <c r="U5064" s="308" t="s">
        <v>368</v>
      </c>
      <c r="V5064" s="308"/>
    </row>
    <row r="5065">
      <c r="A5065" s="308">
        <v>5064.0</v>
      </c>
      <c r="B5065" s="308"/>
      <c r="C5065" s="308" t="s">
        <v>20395</v>
      </c>
      <c r="D5065" s="308">
        <f>IFERROR(__xludf.DUMMYFUNCTION("SPLIT(C5065,""-"")"),5085.0)</f>
        <v>5085</v>
      </c>
      <c r="E5065" s="308" t="str">
        <f>IFERROR(__xludf.DUMMYFUNCTION("""COMPUTED_VALUE"""),"P")</f>
        <v>P</v>
      </c>
      <c r="F5065" s="312" t="s">
        <v>37</v>
      </c>
      <c r="G5065" s="308"/>
      <c r="H5065" s="308" t="s">
        <v>38143</v>
      </c>
      <c r="I5065" s="310">
        <v>42782.0</v>
      </c>
      <c r="J5065" s="319">
        <f>IFERROR(__xludf.DUMMYFUNCTION("SPLIT(I5065,""/"")"),16.0)</f>
        <v>16</v>
      </c>
      <c r="K5065" s="308">
        <f>IFERROR(__xludf.DUMMYFUNCTION("""COMPUTED_VALUE"""),2.0)</f>
        <v>2</v>
      </c>
      <c r="L5065" s="308">
        <f>IFERROR(__xludf.DUMMYFUNCTION("""COMPUTED_VALUE"""),2017.0)</f>
        <v>2017</v>
      </c>
      <c r="M5065" s="308" t="s">
        <v>20397</v>
      </c>
      <c r="N5065" s="308"/>
      <c r="O5065" s="308"/>
      <c r="P5065" s="308" t="s">
        <v>38144</v>
      </c>
      <c r="Q5065" s="308" t="s">
        <v>38135</v>
      </c>
      <c r="R5065" s="308" t="s">
        <v>2743</v>
      </c>
      <c r="S5065" s="308" t="s">
        <v>81</v>
      </c>
      <c r="T5065" s="308" t="s">
        <v>73</v>
      </c>
      <c r="U5065" s="308" t="s">
        <v>143</v>
      </c>
      <c r="V5065" s="308"/>
    </row>
    <row r="5066">
      <c r="A5066" s="308">
        <v>5065.0</v>
      </c>
      <c r="B5066" s="308"/>
      <c r="C5066" s="308" t="s">
        <v>20399</v>
      </c>
      <c r="D5066" s="308">
        <f>IFERROR(__xludf.DUMMYFUNCTION("SPLIT(C5066,""-"")"),5086.0)</f>
        <v>5086</v>
      </c>
      <c r="E5066" s="308" t="str">
        <f>IFERROR(__xludf.DUMMYFUNCTION("""COMPUTED_VALUE"""),"K")</f>
        <v>K</v>
      </c>
      <c r="F5066" s="309" t="s">
        <v>34</v>
      </c>
      <c r="G5066" s="308"/>
      <c r="H5066" s="308" t="s">
        <v>20400</v>
      </c>
      <c r="I5066" s="310">
        <v>42917.0</v>
      </c>
      <c r="J5066" s="319" t="str">
        <f>IFERROR(__xludf.DUMMYFUNCTION("SPLIT(I5066,""/"")"),"#REF!")</f>
        <v>#REF!</v>
      </c>
      <c r="K5066" s="308"/>
      <c r="L5066" s="308">
        <v>2017.0</v>
      </c>
      <c r="M5066" s="308" t="s">
        <v>20401</v>
      </c>
      <c r="N5066" s="308"/>
      <c r="O5066" s="308"/>
      <c r="P5066" s="308" t="s">
        <v>20402</v>
      </c>
      <c r="Q5066" s="308" t="s">
        <v>38135</v>
      </c>
      <c r="R5066" s="308" t="s">
        <v>2743</v>
      </c>
      <c r="S5066" s="308" t="s">
        <v>81</v>
      </c>
      <c r="T5066" s="308" t="s">
        <v>34264</v>
      </c>
      <c r="U5066" s="308" t="s">
        <v>4749</v>
      </c>
      <c r="V5066" s="308"/>
    </row>
    <row r="5067">
      <c r="A5067" s="308">
        <v>5066.0</v>
      </c>
      <c r="B5067" s="308"/>
      <c r="C5067" s="308" t="s">
        <v>20403</v>
      </c>
      <c r="D5067" s="308">
        <f>IFERROR(__xludf.DUMMYFUNCTION("SPLIT(C5067,""-"")"),5087.0)</f>
        <v>5087</v>
      </c>
      <c r="E5067" s="308" t="str">
        <f>IFERROR(__xludf.DUMMYFUNCTION("""COMPUTED_VALUE"""),"K")</f>
        <v>K</v>
      </c>
      <c r="F5067" s="309" t="s">
        <v>34</v>
      </c>
      <c r="G5067" s="308"/>
      <c r="H5067" s="308" t="s">
        <v>20404</v>
      </c>
      <c r="I5067" s="310">
        <v>42109.0</v>
      </c>
      <c r="J5067" s="319">
        <f>IFERROR(__xludf.DUMMYFUNCTION("SPLIT(I5067,""/"")"),15.0)</f>
        <v>15</v>
      </c>
      <c r="K5067" s="308">
        <f>IFERROR(__xludf.DUMMYFUNCTION("""COMPUTED_VALUE"""),4.0)</f>
        <v>4</v>
      </c>
      <c r="L5067" s="308">
        <f>IFERROR(__xludf.DUMMYFUNCTION("""COMPUTED_VALUE"""),2015.0)</f>
        <v>2015</v>
      </c>
      <c r="M5067" s="308" t="s">
        <v>20405</v>
      </c>
      <c r="N5067" s="308"/>
      <c r="O5067" s="308" t="s">
        <v>20406</v>
      </c>
      <c r="P5067" s="308" t="s">
        <v>5679</v>
      </c>
      <c r="Q5067" s="308" t="s">
        <v>38135</v>
      </c>
      <c r="R5067" s="308" t="s">
        <v>2743</v>
      </c>
      <c r="S5067" s="315" t="s">
        <v>100</v>
      </c>
      <c r="T5067" s="311" t="s">
        <v>34208</v>
      </c>
      <c r="U5067" s="308" t="s">
        <v>368</v>
      </c>
      <c r="V5067" s="308"/>
    </row>
    <row r="5068">
      <c r="A5068" s="308">
        <v>5067.0</v>
      </c>
      <c r="B5068" s="308"/>
      <c r="C5068" s="308" t="s">
        <v>20407</v>
      </c>
      <c r="D5068" s="308">
        <f>IFERROR(__xludf.DUMMYFUNCTION("SPLIT(C5068,""-"")"),5088.0)</f>
        <v>5088</v>
      </c>
      <c r="E5068" s="308" t="str">
        <f>IFERROR(__xludf.DUMMYFUNCTION("""COMPUTED_VALUE"""),"F")</f>
        <v>F</v>
      </c>
      <c r="F5068" s="309" t="s">
        <v>34</v>
      </c>
      <c r="G5068" s="308"/>
      <c r="H5068" s="308" t="s">
        <v>20408</v>
      </c>
      <c r="I5068" s="316" t="s">
        <v>407</v>
      </c>
      <c r="J5068" s="319"/>
      <c r="K5068" s="308"/>
      <c r="L5068" s="311" t="s">
        <v>79</v>
      </c>
      <c r="M5068" s="308" t="s">
        <v>20409</v>
      </c>
      <c r="N5068" s="308" t="s">
        <v>439</v>
      </c>
      <c r="O5068" s="308"/>
      <c r="P5068" s="308" t="s">
        <v>6393</v>
      </c>
      <c r="Q5068" s="308" t="s">
        <v>38135</v>
      </c>
      <c r="R5068" s="308" t="s">
        <v>2743</v>
      </c>
      <c r="S5068" s="315" t="s">
        <v>100</v>
      </c>
      <c r="T5068" s="311" t="s">
        <v>34208</v>
      </c>
      <c r="U5068" s="308" t="s">
        <v>19603</v>
      </c>
      <c r="V5068" s="308"/>
    </row>
    <row r="5069">
      <c r="A5069" s="308">
        <v>5068.0</v>
      </c>
      <c r="B5069" s="308"/>
      <c r="C5069" s="308" t="s">
        <v>20410</v>
      </c>
      <c r="D5069" s="308">
        <f>IFERROR(__xludf.DUMMYFUNCTION("SPLIT(C5069,""-"")"),5089.0)</f>
        <v>5089</v>
      </c>
      <c r="E5069" s="308" t="str">
        <f>IFERROR(__xludf.DUMMYFUNCTION("""COMPUTED_VALUE"""),"F")</f>
        <v>F</v>
      </c>
      <c r="F5069" s="309" t="s">
        <v>34</v>
      </c>
      <c r="G5069" s="308"/>
      <c r="H5069" s="308" t="s">
        <v>20411</v>
      </c>
      <c r="I5069" s="310">
        <v>42937.0</v>
      </c>
      <c r="J5069" s="319" t="str">
        <f>IFERROR(__xludf.DUMMYFUNCTION("SPLIT(I5069,""/"")"),"#REF!")</f>
        <v>#REF!</v>
      </c>
      <c r="K5069" s="308"/>
      <c r="L5069" s="308">
        <v>2017.0</v>
      </c>
      <c r="M5069" s="308" t="s">
        <v>38145</v>
      </c>
      <c r="N5069" s="308"/>
      <c r="O5069" s="308"/>
      <c r="P5069" s="308" t="s">
        <v>20413</v>
      </c>
      <c r="Q5069" s="308" t="s">
        <v>38135</v>
      </c>
      <c r="R5069" s="308" t="s">
        <v>2743</v>
      </c>
      <c r="S5069" s="308" t="s">
        <v>81</v>
      </c>
      <c r="T5069" s="308" t="s">
        <v>75</v>
      </c>
      <c r="U5069" s="308" t="s">
        <v>195</v>
      </c>
      <c r="V5069" s="308"/>
    </row>
    <row r="5070">
      <c r="A5070" s="308">
        <v>5069.0</v>
      </c>
      <c r="B5070" s="308"/>
      <c r="C5070" s="308" t="s">
        <v>20414</v>
      </c>
      <c r="D5070" s="308">
        <f>IFERROR(__xludf.DUMMYFUNCTION("SPLIT(C5070,""-"")"),5090.0)</f>
        <v>5090</v>
      </c>
      <c r="E5070" s="308" t="str">
        <f>IFERROR(__xludf.DUMMYFUNCTION("""COMPUTED_VALUE"""),"S")</f>
        <v>S</v>
      </c>
      <c r="F5070" s="312" t="s">
        <v>39</v>
      </c>
      <c r="G5070" s="308"/>
      <c r="H5070" s="308" t="s">
        <v>20415</v>
      </c>
      <c r="I5070" s="310">
        <v>42783.0</v>
      </c>
      <c r="J5070" s="319">
        <f>IFERROR(__xludf.DUMMYFUNCTION("SPLIT(I5070,""/"")"),17.0)</f>
        <v>17</v>
      </c>
      <c r="K5070" s="308">
        <f>IFERROR(__xludf.DUMMYFUNCTION("""COMPUTED_VALUE"""),2.0)</f>
        <v>2</v>
      </c>
      <c r="L5070" s="308">
        <f>IFERROR(__xludf.DUMMYFUNCTION("""COMPUTED_VALUE"""),2017.0)</f>
        <v>2017</v>
      </c>
      <c r="M5070" s="308" t="s">
        <v>20416</v>
      </c>
      <c r="N5070" s="308"/>
      <c r="O5070" s="308"/>
      <c r="P5070" s="308" t="s">
        <v>38146</v>
      </c>
      <c r="Q5070" s="308" t="s">
        <v>38135</v>
      </c>
      <c r="R5070" s="308" t="s">
        <v>2743</v>
      </c>
      <c r="S5070" s="308" t="s">
        <v>81</v>
      </c>
      <c r="T5070" s="308" t="s">
        <v>75</v>
      </c>
      <c r="U5070" s="308" t="s">
        <v>166</v>
      </c>
      <c r="V5070" s="308"/>
    </row>
    <row r="5071">
      <c r="A5071" s="308">
        <v>5070.0</v>
      </c>
      <c r="B5071" s="308"/>
      <c r="C5071" s="308" t="s">
        <v>20418</v>
      </c>
      <c r="D5071" s="308">
        <f>IFERROR(__xludf.DUMMYFUNCTION("SPLIT(C5071,""-"")"),5091.0)</f>
        <v>5091</v>
      </c>
      <c r="E5071" s="308" t="str">
        <f>IFERROR(__xludf.DUMMYFUNCTION("""COMPUTED_VALUE"""),"I")</f>
        <v>I</v>
      </c>
      <c r="F5071" s="309" t="s">
        <v>31</v>
      </c>
      <c r="G5071" s="308"/>
      <c r="H5071" s="308" t="s">
        <v>20419</v>
      </c>
      <c r="I5071" s="310">
        <v>42552.0</v>
      </c>
      <c r="J5071" s="319">
        <f>IFERROR(__xludf.DUMMYFUNCTION("SPLIT(I5071,""/"")"),1.0)</f>
        <v>1</v>
      </c>
      <c r="K5071" s="308">
        <f>IFERROR(__xludf.DUMMYFUNCTION("""COMPUTED_VALUE"""),7.0)</f>
        <v>7</v>
      </c>
      <c r="L5071" s="308">
        <f>IFERROR(__xludf.DUMMYFUNCTION("""COMPUTED_VALUE"""),2016.0)</f>
        <v>2016</v>
      </c>
      <c r="M5071" s="308" t="s">
        <v>20420</v>
      </c>
      <c r="N5071" s="308"/>
      <c r="O5071" s="308"/>
      <c r="P5071" s="308" t="s">
        <v>10817</v>
      </c>
      <c r="Q5071" s="308" t="s">
        <v>38147</v>
      </c>
      <c r="R5071" s="308" t="s">
        <v>2743</v>
      </c>
      <c r="S5071" s="315" t="s">
        <v>100</v>
      </c>
      <c r="T5071" s="311" t="s">
        <v>34208</v>
      </c>
      <c r="U5071" s="308" t="s">
        <v>31</v>
      </c>
      <c r="V5071" s="308" t="s">
        <v>20421</v>
      </c>
    </row>
    <row r="5072">
      <c r="A5072" s="308">
        <v>5071.0</v>
      </c>
      <c r="B5072" s="308"/>
      <c r="C5072" s="308" t="s">
        <v>20422</v>
      </c>
      <c r="D5072" s="308">
        <f>IFERROR(__xludf.DUMMYFUNCTION("SPLIT(C5072,""-"")"),5092.0)</f>
        <v>5092</v>
      </c>
      <c r="E5072" s="308" t="str">
        <f>IFERROR(__xludf.DUMMYFUNCTION("""COMPUTED_VALUE"""),"S")</f>
        <v>S</v>
      </c>
      <c r="F5072" s="312" t="s">
        <v>39</v>
      </c>
      <c r="G5072" s="308"/>
      <c r="H5072" s="308" t="s">
        <v>20423</v>
      </c>
      <c r="I5072" s="310">
        <v>43192.0</v>
      </c>
      <c r="J5072" s="319">
        <f>IFERROR(__xludf.DUMMYFUNCTION("SPLIT(I5072,""/"")"),2.0)</f>
        <v>2</v>
      </c>
      <c r="K5072" s="308">
        <f>IFERROR(__xludf.DUMMYFUNCTION("""COMPUTED_VALUE"""),4.0)</f>
        <v>4</v>
      </c>
      <c r="L5072" s="308">
        <f>IFERROR(__xludf.DUMMYFUNCTION("""COMPUTED_VALUE"""),2018.0)</f>
        <v>2018</v>
      </c>
      <c r="M5072" s="308" t="s">
        <v>20424</v>
      </c>
      <c r="N5072" s="308"/>
      <c r="O5072" s="308"/>
      <c r="P5072" s="308" t="s">
        <v>20425</v>
      </c>
      <c r="Q5072" s="308" t="s">
        <v>38148</v>
      </c>
      <c r="R5072" s="308" t="s">
        <v>2743</v>
      </c>
      <c r="S5072" s="308" t="s">
        <v>81</v>
      </c>
      <c r="T5072" s="308" t="s">
        <v>75</v>
      </c>
      <c r="U5072" s="308" t="s">
        <v>166</v>
      </c>
      <c r="V5072" s="308" t="s">
        <v>20426</v>
      </c>
    </row>
    <row r="5073">
      <c r="A5073" s="308">
        <v>5072.0</v>
      </c>
      <c r="B5073" s="308"/>
      <c r="C5073" s="308" t="s">
        <v>20427</v>
      </c>
      <c r="D5073" s="308">
        <f>IFERROR(__xludf.DUMMYFUNCTION("SPLIT(C5073,""-"")"),5093.0)</f>
        <v>5093</v>
      </c>
      <c r="E5073" s="308" t="str">
        <f>IFERROR(__xludf.DUMMYFUNCTION("""COMPUTED_VALUE"""),"F")</f>
        <v>F</v>
      </c>
      <c r="F5073" s="309" t="s">
        <v>34</v>
      </c>
      <c r="G5073" s="308"/>
      <c r="H5073" s="308" t="s">
        <v>20428</v>
      </c>
      <c r="I5073" s="310">
        <v>41862.0</v>
      </c>
      <c r="J5073" s="319">
        <f>IFERROR(__xludf.DUMMYFUNCTION("SPLIT(I5073,""/"")"),11.0)</f>
        <v>11</v>
      </c>
      <c r="K5073" s="308">
        <f>IFERROR(__xludf.DUMMYFUNCTION("""COMPUTED_VALUE"""),8.0)</f>
        <v>8</v>
      </c>
      <c r="L5073" s="308">
        <f>IFERROR(__xludf.DUMMYFUNCTION("""COMPUTED_VALUE"""),2014.0)</f>
        <v>2014</v>
      </c>
      <c r="M5073" s="308" t="s">
        <v>20429</v>
      </c>
      <c r="N5073" s="308" t="s">
        <v>20430</v>
      </c>
      <c r="O5073" s="308"/>
      <c r="P5073" s="308" t="s">
        <v>6393</v>
      </c>
      <c r="Q5073" s="308" t="s">
        <v>38148</v>
      </c>
      <c r="R5073" s="308" t="s">
        <v>2743</v>
      </c>
      <c r="S5073" s="315" t="s">
        <v>100</v>
      </c>
      <c r="T5073" s="311" t="s">
        <v>34208</v>
      </c>
      <c r="U5073" s="308" t="s">
        <v>195</v>
      </c>
      <c r="V5073" s="308"/>
    </row>
    <row r="5074">
      <c r="A5074" s="308">
        <v>5073.0</v>
      </c>
      <c r="B5074" s="308"/>
      <c r="C5074" s="308" t="s">
        <v>20431</v>
      </c>
      <c r="D5074" s="308">
        <f>IFERROR(__xludf.DUMMYFUNCTION("SPLIT(C5074,""-"")"),5094.0)</f>
        <v>5094</v>
      </c>
      <c r="E5074" s="308" t="str">
        <f>IFERROR(__xludf.DUMMYFUNCTION("""COMPUTED_VALUE"""),"I")</f>
        <v>I</v>
      </c>
      <c r="F5074" s="309" t="s">
        <v>31</v>
      </c>
      <c r="G5074" s="308"/>
      <c r="H5074" s="308" t="s">
        <v>20432</v>
      </c>
      <c r="I5074" s="314">
        <v>43067.0</v>
      </c>
      <c r="J5074" s="319">
        <f>IFERROR(__xludf.DUMMYFUNCTION("SPLIT(I5074,""/"")"),28.0)</f>
        <v>28</v>
      </c>
      <c r="K5074" s="308">
        <f>IFERROR(__xludf.DUMMYFUNCTION("""COMPUTED_VALUE"""),11.0)</f>
        <v>11</v>
      </c>
      <c r="L5074" s="308">
        <f>IFERROR(__xludf.DUMMYFUNCTION("""COMPUTED_VALUE"""),2017.0)</f>
        <v>2017</v>
      </c>
      <c r="M5074" s="308" t="s">
        <v>20433</v>
      </c>
      <c r="N5074" s="308"/>
      <c r="O5074" s="308"/>
      <c r="P5074" s="308" t="s">
        <v>20434</v>
      </c>
      <c r="Q5074" s="308" t="s">
        <v>38148</v>
      </c>
      <c r="R5074" s="308" t="s">
        <v>2743</v>
      </c>
      <c r="S5074" s="308" t="s">
        <v>81</v>
      </c>
      <c r="T5074" s="311" t="s">
        <v>73</v>
      </c>
      <c r="U5074" s="308" t="s">
        <v>31</v>
      </c>
      <c r="V5074" s="308"/>
    </row>
    <row r="5075">
      <c r="A5075" s="308">
        <v>5074.0</v>
      </c>
      <c r="B5075" s="308"/>
      <c r="C5075" s="308" t="s">
        <v>20435</v>
      </c>
      <c r="D5075" s="308">
        <f>IFERROR(__xludf.DUMMYFUNCTION("SPLIT(C5075,""-"")"),5095.0)</f>
        <v>5095</v>
      </c>
      <c r="E5075" s="308" t="str">
        <f>IFERROR(__xludf.DUMMYFUNCTION("""COMPUTED_VALUE"""),"K")</f>
        <v>K</v>
      </c>
      <c r="F5075" s="309" t="s">
        <v>34</v>
      </c>
      <c r="G5075" s="308"/>
      <c r="H5075" s="308" t="s">
        <v>20436</v>
      </c>
      <c r="I5075" s="310">
        <v>39951.0</v>
      </c>
      <c r="J5075" s="319">
        <f>IFERROR(__xludf.DUMMYFUNCTION("SPLIT(I5075,""/"")"),18.0)</f>
        <v>18</v>
      </c>
      <c r="K5075" s="308">
        <f>IFERROR(__xludf.DUMMYFUNCTION("""COMPUTED_VALUE"""),5.0)</f>
        <v>5</v>
      </c>
      <c r="L5075" s="308">
        <f>IFERROR(__xludf.DUMMYFUNCTION("""COMPUTED_VALUE"""),2009.0)</f>
        <v>2009</v>
      </c>
      <c r="M5075" s="308" t="s">
        <v>20437</v>
      </c>
      <c r="N5075" s="308"/>
      <c r="O5075" s="308"/>
      <c r="P5075" s="308" t="s">
        <v>38149</v>
      </c>
      <c r="Q5075" s="308" t="s">
        <v>38148</v>
      </c>
      <c r="R5075" s="308" t="s">
        <v>2743</v>
      </c>
      <c r="S5075" s="308" t="s">
        <v>81</v>
      </c>
      <c r="T5075" s="308" t="s">
        <v>73</v>
      </c>
      <c r="U5075" s="308" t="s">
        <v>530</v>
      </c>
      <c r="V5075" s="308"/>
    </row>
    <row r="5076">
      <c r="A5076" s="308">
        <v>5075.0</v>
      </c>
      <c r="B5076" s="308"/>
      <c r="C5076" s="308" t="s">
        <v>20439</v>
      </c>
      <c r="D5076" s="308">
        <f>IFERROR(__xludf.DUMMYFUNCTION("SPLIT(C5076,""-"")"),5096.0)</f>
        <v>5096</v>
      </c>
      <c r="E5076" s="308" t="str">
        <f>IFERROR(__xludf.DUMMYFUNCTION("""COMPUTED_VALUE"""),"S")</f>
        <v>S</v>
      </c>
      <c r="F5076" s="312" t="s">
        <v>39</v>
      </c>
      <c r="G5076" s="308"/>
      <c r="H5076" s="308" t="s">
        <v>20440</v>
      </c>
      <c r="I5076" s="310">
        <v>43152.0</v>
      </c>
      <c r="J5076" s="319">
        <f>IFERROR(__xludf.DUMMYFUNCTION("SPLIT(I5076,""/"")"),21.0)</f>
        <v>21</v>
      </c>
      <c r="K5076" s="308">
        <f>IFERROR(__xludf.DUMMYFUNCTION("""COMPUTED_VALUE"""),2.0)</f>
        <v>2</v>
      </c>
      <c r="L5076" s="308">
        <f>IFERROR(__xludf.DUMMYFUNCTION("""COMPUTED_VALUE"""),2018.0)</f>
        <v>2018</v>
      </c>
      <c r="M5076" s="308" t="s">
        <v>20441</v>
      </c>
      <c r="N5076" s="308"/>
      <c r="O5076" s="308"/>
      <c r="P5076" s="308" t="s">
        <v>38150</v>
      </c>
      <c r="Q5076" s="308" t="s">
        <v>38148</v>
      </c>
      <c r="R5076" s="308" t="s">
        <v>2743</v>
      </c>
      <c r="S5076" s="308" t="s">
        <v>81</v>
      </c>
      <c r="T5076" s="308" t="s">
        <v>75</v>
      </c>
      <c r="U5076" s="308" t="s">
        <v>166</v>
      </c>
      <c r="V5076" s="308"/>
    </row>
    <row r="5077">
      <c r="A5077" s="308">
        <v>5076.0</v>
      </c>
      <c r="B5077" s="308"/>
      <c r="C5077" s="308" t="s">
        <v>20443</v>
      </c>
      <c r="D5077" s="308">
        <f>IFERROR(__xludf.DUMMYFUNCTION("SPLIT(C5077,""-"")"),5097.0)</f>
        <v>5097</v>
      </c>
      <c r="E5077" s="308" t="str">
        <f>IFERROR(__xludf.DUMMYFUNCTION("""COMPUTED_VALUE"""),"K")</f>
        <v>K</v>
      </c>
      <c r="F5077" s="309" t="s">
        <v>34</v>
      </c>
      <c r="G5077" s="308"/>
      <c r="H5077" s="308" t="s">
        <v>20444</v>
      </c>
      <c r="I5077" s="310">
        <v>42910.0</v>
      </c>
      <c r="J5077" s="319" t="str">
        <f>IFERROR(__xludf.DUMMYFUNCTION("SPLIT(I5077,""/"")"),"#REF!")</f>
        <v>#REF!</v>
      </c>
      <c r="K5077" s="308"/>
      <c r="L5077" s="308">
        <v>2017.0</v>
      </c>
      <c r="M5077" s="308" t="s">
        <v>20445</v>
      </c>
      <c r="N5077" s="308"/>
      <c r="O5077" s="308"/>
      <c r="P5077" s="308" t="s">
        <v>20446</v>
      </c>
      <c r="Q5077" s="308" t="s">
        <v>38148</v>
      </c>
      <c r="R5077" s="308" t="s">
        <v>2743</v>
      </c>
      <c r="S5077" s="308" t="s">
        <v>81</v>
      </c>
      <c r="T5077" s="308" t="s">
        <v>34264</v>
      </c>
      <c r="U5077" s="308" t="s">
        <v>2466</v>
      </c>
      <c r="V5077" s="308"/>
    </row>
    <row r="5078">
      <c r="A5078" s="308">
        <v>5077.0</v>
      </c>
      <c r="B5078" s="308"/>
      <c r="C5078" s="308" t="s">
        <v>20447</v>
      </c>
      <c r="D5078" s="308">
        <f>IFERROR(__xludf.DUMMYFUNCTION("SPLIT(C5078,""-"")"),5098.0)</f>
        <v>5098</v>
      </c>
      <c r="E5078" s="308" t="str">
        <f>IFERROR(__xludf.DUMMYFUNCTION("""COMPUTED_VALUE"""),"K")</f>
        <v>K</v>
      </c>
      <c r="F5078" s="309" t="s">
        <v>34</v>
      </c>
      <c r="G5078" s="308"/>
      <c r="H5078" s="308" t="s">
        <v>20448</v>
      </c>
      <c r="I5078" s="310">
        <v>40013.0</v>
      </c>
      <c r="J5078" s="319">
        <f>IFERROR(__xludf.DUMMYFUNCTION("SPLIT(I5078,""/"")"),19.0)</f>
        <v>19</v>
      </c>
      <c r="K5078" s="308">
        <f>IFERROR(__xludf.DUMMYFUNCTION("""COMPUTED_VALUE"""),7.0)</f>
        <v>7</v>
      </c>
      <c r="L5078" s="308">
        <f>IFERROR(__xludf.DUMMYFUNCTION("""COMPUTED_VALUE"""),2009.0)</f>
        <v>2009</v>
      </c>
      <c r="M5078" s="308" t="s">
        <v>20449</v>
      </c>
      <c r="N5078" s="308"/>
      <c r="O5078" s="308" t="s">
        <v>20450</v>
      </c>
      <c r="P5078" s="308" t="s">
        <v>5679</v>
      </c>
      <c r="Q5078" s="308" t="s">
        <v>38148</v>
      </c>
      <c r="R5078" s="308" t="s">
        <v>2743</v>
      </c>
      <c r="S5078" s="315" t="s">
        <v>100</v>
      </c>
      <c r="T5078" s="311" t="s">
        <v>34208</v>
      </c>
      <c r="U5078" s="308" t="s">
        <v>2466</v>
      </c>
      <c r="V5078" s="308" t="s">
        <v>19631</v>
      </c>
    </row>
    <row r="5079">
      <c r="A5079" s="308">
        <v>5078.0</v>
      </c>
      <c r="B5079" s="308"/>
      <c r="C5079" s="308" t="s">
        <v>20451</v>
      </c>
      <c r="D5079" s="308">
        <f>IFERROR(__xludf.DUMMYFUNCTION("SPLIT(C5079,""-"")"),5099.0)</f>
        <v>5099</v>
      </c>
      <c r="E5079" s="308" t="str">
        <f>IFERROR(__xludf.DUMMYFUNCTION("""COMPUTED_VALUE"""),"K")</f>
        <v>K</v>
      </c>
      <c r="F5079" s="309" t="s">
        <v>34</v>
      </c>
      <c r="G5079" s="308"/>
      <c r="H5079" s="308" t="s">
        <v>20452</v>
      </c>
      <c r="I5079" s="310">
        <v>41353.0</v>
      </c>
      <c r="J5079" s="319">
        <f>IFERROR(__xludf.DUMMYFUNCTION("SPLIT(I5079,""/"")"),20.0)</f>
        <v>20</v>
      </c>
      <c r="K5079" s="308">
        <f>IFERROR(__xludf.DUMMYFUNCTION("""COMPUTED_VALUE"""),3.0)</f>
        <v>3</v>
      </c>
      <c r="L5079" s="308">
        <f>IFERROR(__xludf.DUMMYFUNCTION("""COMPUTED_VALUE"""),2013.0)</f>
        <v>2013</v>
      </c>
      <c r="M5079" s="308" t="s">
        <v>20453</v>
      </c>
      <c r="N5079" s="308"/>
      <c r="O5079" s="308" t="s">
        <v>20454</v>
      </c>
      <c r="P5079" s="308" t="s">
        <v>38151</v>
      </c>
      <c r="Q5079" s="308" t="s">
        <v>38148</v>
      </c>
      <c r="R5079" s="308" t="s">
        <v>2743</v>
      </c>
      <c r="S5079" s="308" t="s">
        <v>81</v>
      </c>
      <c r="T5079" s="311" t="s">
        <v>96</v>
      </c>
      <c r="U5079" s="308" t="s">
        <v>2152</v>
      </c>
      <c r="V5079" s="308"/>
    </row>
    <row r="5080">
      <c r="A5080" s="308">
        <v>5079.0</v>
      </c>
      <c r="B5080" s="308"/>
      <c r="C5080" s="308" t="s">
        <v>20456</v>
      </c>
      <c r="D5080" s="308">
        <f>IFERROR(__xludf.DUMMYFUNCTION("SPLIT(C5080,""-"")"),5100.0)</f>
        <v>5100</v>
      </c>
      <c r="E5080" s="308" t="str">
        <f>IFERROR(__xludf.DUMMYFUNCTION("""COMPUTED_VALUE"""),"K")</f>
        <v>K</v>
      </c>
      <c r="F5080" s="309" t="s">
        <v>34</v>
      </c>
      <c r="G5080" s="308"/>
      <c r="H5080" s="308" t="s">
        <v>20457</v>
      </c>
      <c r="I5080" s="310">
        <v>42405.0</v>
      </c>
      <c r="J5080" s="319">
        <f>IFERROR(__xludf.DUMMYFUNCTION("SPLIT(I5080,""/"")"),5.0)</f>
        <v>5</v>
      </c>
      <c r="K5080" s="308">
        <f>IFERROR(__xludf.DUMMYFUNCTION("""COMPUTED_VALUE"""),2.0)</f>
        <v>2</v>
      </c>
      <c r="L5080" s="308">
        <f>IFERROR(__xludf.DUMMYFUNCTION("""COMPUTED_VALUE"""),2016.0)</f>
        <v>2016</v>
      </c>
      <c r="M5080" s="308" t="s">
        <v>20458</v>
      </c>
      <c r="N5080" s="308"/>
      <c r="O5080" s="308"/>
      <c r="P5080" s="308" t="s">
        <v>5679</v>
      </c>
      <c r="Q5080" s="308" t="s">
        <v>38148</v>
      </c>
      <c r="R5080" s="308" t="s">
        <v>2743</v>
      </c>
      <c r="S5080" s="315" t="s">
        <v>100</v>
      </c>
      <c r="T5080" s="311" t="s">
        <v>34208</v>
      </c>
      <c r="U5080" s="308" t="s">
        <v>368</v>
      </c>
      <c r="V5080" s="308"/>
    </row>
    <row r="5081">
      <c r="A5081" s="308">
        <v>5080.0</v>
      </c>
      <c r="B5081" s="308"/>
      <c r="C5081" s="308" t="s">
        <v>20459</v>
      </c>
      <c r="D5081" s="308">
        <f>IFERROR(__xludf.DUMMYFUNCTION("SPLIT(C5081,""-"")"),5101.0)</f>
        <v>5101</v>
      </c>
      <c r="E5081" s="308" t="str">
        <f>IFERROR(__xludf.DUMMYFUNCTION("""COMPUTED_VALUE"""),"F")</f>
        <v>F</v>
      </c>
      <c r="F5081" s="309" t="s">
        <v>34</v>
      </c>
      <c r="G5081" s="308"/>
      <c r="H5081" s="308" t="s">
        <v>20460</v>
      </c>
      <c r="I5081" s="310">
        <v>42552.0</v>
      </c>
      <c r="J5081" s="319">
        <f>IFERROR(__xludf.DUMMYFUNCTION("SPLIT(I5081,""/"")"),1.0)</f>
        <v>1</v>
      </c>
      <c r="K5081" s="308">
        <f>IFERROR(__xludf.DUMMYFUNCTION("""COMPUTED_VALUE"""),7.0)</f>
        <v>7</v>
      </c>
      <c r="L5081" s="308">
        <f>IFERROR(__xludf.DUMMYFUNCTION("""COMPUTED_VALUE"""),2016.0)</f>
        <v>2016</v>
      </c>
      <c r="M5081" s="308" t="s">
        <v>20461</v>
      </c>
      <c r="N5081" s="308" t="s">
        <v>439</v>
      </c>
      <c r="O5081" s="308"/>
      <c r="P5081" s="308" t="s">
        <v>6393</v>
      </c>
      <c r="Q5081" s="308" t="s">
        <v>38148</v>
      </c>
      <c r="R5081" s="308" t="s">
        <v>2743</v>
      </c>
      <c r="S5081" s="315" t="s">
        <v>100</v>
      </c>
      <c r="T5081" s="311" t="s">
        <v>34208</v>
      </c>
      <c r="U5081" s="308" t="s">
        <v>6875</v>
      </c>
      <c r="V5081" s="308"/>
    </row>
    <row r="5082">
      <c r="A5082" s="308">
        <v>5081.0</v>
      </c>
      <c r="B5082" s="308"/>
      <c r="C5082" s="308" t="s">
        <v>20462</v>
      </c>
      <c r="D5082" s="308">
        <f>IFERROR(__xludf.DUMMYFUNCTION("SPLIT(C5082,""-"")"),5102.0)</f>
        <v>5102</v>
      </c>
      <c r="E5082" s="308" t="str">
        <f>IFERROR(__xludf.DUMMYFUNCTION("""COMPUTED_VALUE"""),"P")</f>
        <v>P</v>
      </c>
      <c r="F5082" s="312" t="s">
        <v>37</v>
      </c>
      <c r="G5082" s="308"/>
      <c r="H5082" s="308" t="s">
        <v>20463</v>
      </c>
      <c r="I5082" s="310">
        <v>39642.0</v>
      </c>
      <c r="J5082" s="319">
        <f>IFERROR(__xludf.DUMMYFUNCTION("SPLIT(I5082,""/"")"),13.0)</f>
        <v>13</v>
      </c>
      <c r="K5082" s="308">
        <f>IFERROR(__xludf.DUMMYFUNCTION("""COMPUTED_VALUE"""),7.0)</f>
        <v>7</v>
      </c>
      <c r="L5082" s="308">
        <f>IFERROR(__xludf.DUMMYFUNCTION("""COMPUTED_VALUE"""),2008.0)</f>
        <v>2008</v>
      </c>
      <c r="M5082" s="308" t="s">
        <v>20464</v>
      </c>
      <c r="N5082" s="308"/>
      <c r="O5082" s="308" t="s">
        <v>20465</v>
      </c>
      <c r="P5082" s="308" t="s">
        <v>38152</v>
      </c>
      <c r="Q5082" s="308" t="s">
        <v>38148</v>
      </c>
      <c r="R5082" s="308" t="s">
        <v>2743</v>
      </c>
      <c r="S5082" s="308" t="s">
        <v>49</v>
      </c>
      <c r="T5082" s="308" t="s">
        <v>51</v>
      </c>
      <c r="U5082" s="308" t="s">
        <v>1182</v>
      </c>
      <c r="V5082" s="308"/>
    </row>
    <row r="5083">
      <c r="A5083" s="308">
        <v>5082.0</v>
      </c>
      <c r="B5083" s="308"/>
      <c r="C5083" s="308" t="s">
        <v>20467</v>
      </c>
      <c r="D5083" s="308">
        <f>IFERROR(__xludf.DUMMYFUNCTION("SPLIT(C5083,""-"")"),5103.0)</f>
        <v>5103</v>
      </c>
      <c r="E5083" s="308" t="str">
        <f>IFERROR(__xludf.DUMMYFUNCTION("""COMPUTED_VALUE"""),"P")</f>
        <v>P</v>
      </c>
      <c r="F5083" s="312" t="s">
        <v>37</v>
      </c>
      <c r="G5083" s="308"/>
      <c r="H5083" s="308" t="s">
        <v>20468</v>
      </c>
      <c r="I5083" s="314">
        <v>43063.0</v>
      </c>
      <c r="J5083" s="319">
        <f>IFERROR(__xludf.DUMMYFUNCTION("SPLIT(I5083,""/"")"),24.0)</f>
        <v>24</v>
      </c>
      <c r="K5083" s="308">
        <f>IFERROR(__xludf.DUMMYFUNCTION("""COMPUTED_VALUE"""),11.0)</f>
        <v>11</v>
      </c>
      <c r="L5083" s="308">
        <f>IFERROR(__xludf.DUMMYFUNCTION("""COMPUTED_VALUE"""),2017.0)</f>
        <v>2017</v>
      </c>
      <c r="M5083" s="308" t="s">
        <v>20469</v>
      </c>
      <c r="N5083" s="308"/>
      <c r="O5083" s="308"/>
      <c r="P5083" s="308" t="s">
        <v>7523</v>
      </c>
      <c r="Q5083" s="308" t="s">
        <v>38148</v>
      </c>
      <c r="R5083" s="308" t="s">
        <v>2743</v>
      </c>
      <c r="S5083" s="315" t="s">
        <v>100</v>
      </c>
      <c r="T5083" s="311" t="s">
        <v>34208</v>
      </c>
      <c r="U5083" s="308" t="s">
        <v>149</v>
      </c>
      <c r="V5083" s="308"/>
    </row>
    <row r="5084">
      <c r="A5084" s="308">
        <v>5083.0</v>
      </c>
      <c r="B5084" s="308"/>
      <c r="C5084" s="308" t="s">
        <v>20470</v>
      </c>
      <c r="D5084" s="308">
        <f>IFERROR(__xludf.DUMMYFUNCTION("SPLIT(C5084,""-"")"),5104.0)</f>
        <v>5104</v>
      </c>
      <c r="E5084" s="308" t="str">
        <f>IFERROR(__xludf.DUMMYFUNCTION("""COMPUTED_VALUE"""),"K")</f>
        <v>K</v>
      </c>
      <c r="F5084" s="309" t="s">
        <v>34</v>
      </c>
      <c r="G5084" s="308"/>
      <c r="H5084" s="308" t="s">
        <v>20471</v>
      </c>
      <c r="I5084" s="310">
        <v>42593.0</v>
      </c>
      <c r="J5084" s="319">
        <f>IFERROR(__xludf.DUMMYFUNCTION("SPLIT(I5084,""/"")"),11.0)</f>
        <v>11</v>
      </c>
      <c r="K5084" s="308">
        <f>IFERROR(__xludf.DUMMYFUNCTION("""COMPUTED_VALUE"""),8.0)</f>
        <v>8</v>
      </c>
      <c r="L5084" s="308">
        <f>IFERROR(__xludf.DUMMYFUNCTION("""COMPUTED_VALUE"""),2016.0)</f>
        <v>2016</v>
      </c>
      <c r="M5084" s="308" t="s">
        <v>20472</v>
      </c>
      <c r="N5084" s="308"/>
      <c r="O5084" s="308"/>
      <c r="P5084" s="308" t="s">
        <v>5679</v>
      </c>
      <c r="Q5084" s="308" t="s">
        <v>38148</v>
      </c>
      <c r="R5084" s="308" t="s">
        <v>2743</v>
      </c>
      <c r="S5084" s="315" t="s">
        <v>100</v>
      </c>
      <c r="T5084" s="311" t="s">
        <v>34208</v>
      </c>
      <c r="U5084" s="308" t="s">
        <v>125</v>
      </c>
      <c r="V5084" s="308"/>
    </row>
    <row r="5085">
      <c r="A5085" s="308">
        <v>5084.0</v>
      </c>
      <c r="B5085" s="308"/>
      <c r="C5085" s="308" t="s">
        <v>20473</v>
      </c>
      <c r="D5085" s="308">
        <f>IFERROR(__xludf.DUMMYFUNCTION("SPLIT(C5085,""-"")"),5105.0)</f>
        <v>5105</v>
      </c>
      <c r="E5085" s="308" t="str">
        <f>IFERROR(__xludf.DUMMYFUNCTION("""COMPUTED_VALUE"""),"K")</f>
        <v>K</v>
      </c>
      <c r="F5085" s="309" t="s">
        <v>34</v>
      </c>
      <c r="G5085" s="308"/>
      <c r="H5085" s="308" t="s">
        <v>20474</v>
      </c>
      <c r="I5085" s="310">
        <v>40155.0</v>
      </c>
      <c r="J5085" s="319">
        <f>IFERROR(__xludf.DUMMYFUNCTION("SPLIT(I5085,""/"")"),8.0)</f>
        <v>8</v>
      </c>
      <c r="K5085" s="308">
        <f>IFERROR(__xludf.DUMMYFUNCTION("""COMPUTED_VALUE"""),12.0)</f>
        <v>12</v>
      </c>
      <c r="L5085" s="308">
        <f>IFERROR(__xludf.DUMMYFUNCTION("""COMPUTED_VALUE"""),2009.0)</f>
        <v>2009</v>
      </c>
      <c r="M5085" s="308" t="s">
        <v>20475</v>
      </c>
      <c r="N5085" s="308" t="s">
        <v>20476</v>
      </c>
      <c r="O5085" s="308"/>
      <c r="P5085" s="308" t="s">
        <v>5679</v>
      </c>
      <c r="Q5085" s="308" t="s">
        <v>38148</v>
      </c>
      <c r="R5085" s="308" t="s">
        <v>2743</v>
      </c>
      <c r="S5085" s="315" t="s">
        <v>100</v>
      </c>
      <c r="T5085" s="311" t="s">
        <v>34208</v>
      </c>
      <c r="U5085" s="308" t="s">
        <v>530</v>
      </c>
      <c r="V5085" s="308"/>
    </row>
    <row r="5086">
      <c r="A5086" s="308">
        <v>5085.0</v>
      </c>
      <c r="B5086" s="308"/>
      <c r="C5086" s="308" t="s">
        <v>20477</v>
      </c>
      <c r="D5086" s="308">
        <f>IFERROR(__xludf.DUMMYFUNCTION("SPLIT(C5086,""-"")"),5106.0)</f>
        <v>5106</v>
      </c>
      <c r="E5086" s="308" t="str">
        <f>IFERROR(__xludf.DUMMYFUNCTION("""COMPUTED_VALUE"""),"A")</f>
        <v>A</v>
      </c>
      <c r="F5086" s="309" t="s">
        <v>23</v>
      </c>
      <c r="G5086" s="308"/>
      <c r="H5086" s="308" t="s">
        <v>20478</v>
      </c>
      <c r="I5086" s="310">
        <v>43127.0</v>
      </c>
      <c r="J5086" s="319">
        <f>IFERROR(__xludf.DUMMYFUNCTION("SPLIT(I5086,""/"")"),27.0)</f>
        <v>27</v>
      </c>
      <c r="K5086" s="308">
        <f>IFERROR(__xludf.DUMMYFUNCTION("""COMPUTED_VALUE"""),1.0)</f>
        <v>1</v>
      </c>
      <c r="L5086" s="308">
        <f>IFERROR(__xludf.DUMMYFUNCTION("""COMPUTED_VALUE"""),2018.0)</f>
        <v>2018</v>
      </c>
      <c r="M5086" s="308" t="s">
        <v>20479</v>
      </c>
      <c r="N5086" s="308"/>
      <c r="O5086" s="308"/>
      <c r="P5086" s="311" t="s">
        <v>38153</v>
      </c>
      <c r="Q5086" s="308" t="s">
        <v>38148</v>
      </c>
      <c r="R5086" s="308" t="s">
        <v>2743</v>
      </c>
      <c r="S5086" s="308" t="s">
        <v>81</v>
      </c>
      <c r="T5086" s="311" t="s">
        <v>57</v>
      </c>
      <c r="U5086" s="308" t="s">
        <v>403</v>
      </c>
      <c r="V5086" s="308"/>
    </row>
    <row r="5087">
      <c r="A5087" s="308">
        <v>5086.0</v>
      </c>
      <c r="B5087" s="308"/>
      <c r="C5087" s="308" t="s">
        <v>20481</v>
      </c>
      <c r="D5087" s="308">
        <f>IFERROR(__xludf.DUMMYFUNCTION("SPLIT(C5087,""-"")"),5107.0)</f>
        <v>5107</v>
      </c>
      <c r="E5087" s="308" t="str">
        <f>IFERROR(__xludf.DUMMYFUNCTION("""COMPUTED_VALUE"""),"S")</f>
        <v>S</v>
      </c>
      <c r="F5087" s="312" t="s">
        <v>39</v>
      </c>
      <c r="G5087" s="308"/>
      <c r="H5087" s="308" t="s">
        <v>20482</v>
      </c>
      <c r="I5087" s="310">
        <v>42993.0</v>
      </c>
      <c r="J5087" s="319">
        <f>IFERROR(__xludf.DUMMYFUNCTION("SPLIT(I5087,""/"")"),15.0)</f>
        <v>15</v>
      </c>
      <c r="K5087" s="308">
        <f>IFERROR(__xludf.DUMMYFUNCTION("""COMPUTED_VALUE"""),9.0)</f>
        <v>9</v>
      </c>
      <c r="L5087" s="308">
        <f>IFERROR(__xludf.DUMMYFUNCTION("""COMPUTED_VALUE"""),2017.0)</f>
        <v>2017</v>
      </c>
      <c r="M5087" s="308" t="s">
        <v>20483</v>
      </c>
      <c r="N5087" s="308"/>
      <c r="O5087" s="308"/>
      <c r="P5087" s="308" t="s">
        <v>38154</v>
      </c>
      <c r="Q5087" s="308" t="s">
        <v>38148</v>
      </c>
      <c r="R5087" s="308" t="s">
        <v>2743</v>
      </c>
      <c r="S5087" s="308" t="s">
        <v>81</v>
      </c>
      <c r="T5087" s="311" t="s">
        <v>75</v>
      </c>
      <c r="U5087" s="308" t="s">
        <v>166</v>
      </c>
      <c r="V5087" s="308"/>
    </row>
    <row r="5088">
      <c r="A5088" s="308">
        <v>5087.0</v>
      </c>
      <c r="B5088" s="308"/>
      <c r="C5088" s="308" t="s">
        <v>20485</v>
      </c>
      <c r="D5088" s="308">
        <f>IFERROR(__xludf.DUMMYFUNCTION("SPLIT(C5088,""-"")"),5108.0)</f>
        <v>5108</v>
      </c>
      <c r="E5088" s="308" t="str">
        <f>IFERROR(__xludf.DUMMYFUNCTION("""COMPUTED_VALUE"""),"S")</f>
        <v>S</v>
      </c>
      <c r="F5088" s="312" t="s">
        <v>39</v>
      </c>
      <c r="G5088" s="308"/>
      <c r="H5088" s="308" t="s">
        <v>20486</v>
      </c>
      <c r="I5088" s="310">
        <v>43208.0</v>
      </c>
      <c r="J5088" s="319">
        <f>IFERROR(__xludf.DUMMYFUNCTION("SPLIT(I5088,""/"")"),18.0)</f>
        <v>18</v>
      </c>
      <c r="K5088" s="308">
        <f>IFERROR(__xludf.DUMMYFUNCTION("""COMPUTED_VALUE"""),4.0)</f>
        <v>4</v>
      </c>
      <c r="L5088" s="308">
        <f>IFERROR(__xludf.DUMMYFUNCTION("""COMPUTED_VALUE"""),2018.0)</f>
        <v>2018</v>
      </c>
      <c r="M5088" s="308" t="s">
        <v>20487</v>
      </c>
      <c r="N5088" s="308"/>
      <c r="O5088" s="308"/>
      <c r="P5088" s="308" t="s">
        <v>38155</v>
      </c>
      <c r="Q5088" s="308" t="s">
        <v>38148</v>
      </c>
      <c r="R5088" s="308" t="s">
        <v>2743</v>
      </c>
      <c r="S5088" s="308" t="s">
        <v>81</v>
      </c>
      <c r="T5088" s="308" t="s">
        <v>75</v>
      </c>
      <c r="U5088" s="308" t="s">
        <v>166</v>
      </c>
      <c r="V5088" s="308"/>
    </row>
    <row r="5089">
      <c r="A5089" s="308">
        <v>5088.0</v>
      </c>
      <c r="B5089" s="308"/>
      <c r="C5089" s="308" t="s">
        <v>20489</v>
      </c>
      <c r="D5089" s="308">
        <f>IFERROR(__xludf.DUMMYFUNCTION("SPLIT(C5089,""-"")"),5109.0)</f>
        <v>5109</v>
      </c>
      <c r="E5089" s="308" t="str">
        <f>IFERROR(__xludf.DUMMYFUNCTION("""COMPUTED_VALUE"""),"F")</f>
        <v>F</v>
      </c>
      <c r="F5089" s="309" t="s">
        <v>34</v>
      </c>
      <c r="G5089" s="308"/>
      <c r="H5089" s="308" t="s">
        <v>20490</v>
      </c>
      <c r="I5089" s="310">
        <v>42917.0</v>
      </c>
      <c r="J5089" s="319" t="str">
        <f>IFERROR(__xludf.DUMMYFUNCTION("SPLIT(I5089,""/"")"),"#REF!")</f>
        <v>#REF!</v>
      </c>
      <c r="K5089" s="308"/>
      <c r="L5089" s="308">
        <v>2017.0</v>
      </c>
      <c r="M5089" s="308" t="s">
        <v>20491</v>
      </c>
      <c r="N5089" s="308"/>
      <c r="O5089" s="308"/>
      <c r="P5089" s="308" t="s">
        <v>38156</v>
      </c>
      <c r="Q5089" s="308" t="s">
        <v>38148</v>
      </c>
      <c r="R5089" s="308" t="s">
        <v>2743</v>
      </c>
      <c r="S5089" s="308" t="s">
        <v>81</v>
      </c>
      <c r="T5089" s="308" t="s">
        <v>73</v>
      </c>
      <c r="U5089" s="308" t="s">
        <v>195</v>
      </c>
      <c r="V5089" s="308"/>
    </row>
    <row r="5090">
      <c r="A5090" s="308">
        <v>5089.0</v>
      </c>
      <c r="B5090" s="308"/>
      <c r="C5090" s="308" t="s">
        <v>20493</v>
      </c>
      <c r="D5090" s="308">
        <f>IFERROR(__xludf.DUMMYFUNCTION("SPLIT(C5090,""-"")"),5110.0)</f>
        <v>5110</v>
      </c>
      <c r="E5090" s="308" t="str">
        <f>IFERROR(__xludf.DUMMYFUNCTION("""COMPUTED_VALUE"""),"K")</f>
        <v>K</v>
      </c>
      <c r="F5090" s="309" t="s">
        <v>34</v>
      </c>
      <c r="G5090" s="308"/>
      <c r="H5090" s="308" t="s">
        <v>20494</v>
      </c>
      <c r="I5090" s="310">
        <v>42128.0</v>
      </c>
      <c r="J5090" s="319">
        <f>IFERROR(__xludf.DUMMYFUNCTION("SPLIT(I5090,""/"")"),4.0)</f>
        <v>4</v>
      </c>
      <c r="K5090" s="308">
        <f>IFERROR(__xludf.DUMMYFUNCTION("""COMPUTED_VALUE"""),5.0)</f>
        <v>5</v>
      </c>
      <c r="L5090" s="308">
        <f>IFERROR(__xludf.DUMMYFUNCTION("""COMPUTED_VALUE"""),2015.0)</f>
        <v>2015</v>
      </c>
      <c r="M5090" s="308" t="s">
        <v>20495</v>
      </c>
      <c r="N5090" s="308"/>
      <c r="O5090" s="308"/>
      <c r="P5090" s="308" t="s">
        <v>38157</v>
      </c>
      <c r="Q5090" s="308" t="s">
        <v>38148</v>
      </c>
      <c r="R5090" s="308" t="s">
        <v>2743</v>
      </c>
      <c r="S5090" s="308" t="s">
        <v>81</v>
      </c>
      <c r="T5090" s="308" t="s">
        <v>73</v>
      </c>
      <c r="U5090" s="308" t="s">
        <v>530</v>
      </c>
      <c r="V5090" s="308"/>
    </row>
    <row r="5091">
      <c r="A5091" s="308">
        <v>5090.0</v>
      </c>
      <c r="B5091" s="308"/>
      <c r="C5091" s="308" t="s">
        <v>20497</v>
      </c>
      <c r="D5091" s="308">
        <f>IFERROR(__xludf.DUMMYFUNCTION("SPLIT(C5091,""-"")"),5111.0)</f>
        <v>5111</v>
      </c>
      <c r="E5091" s="308" t="str">
        <f>IFERROR(__xludf.DUMMYFUNCTION("""COMPUTED_VALUE"""),"B")</f>
        <v>B</v>
      </c>
      <c r="F5091" s="315" t="s">
        <v>26</v>
      </c>
      <c r="G5091" s="308"/>
      <c r="H5091" s="308" t="s">
        <v>20498</v>
      </c>
      <c r="I5091" s="310">
        <v>43180.0</v>
      </c>
      <c r="J5091" s="319">
        <f>IFERROR(__xludf.DUMMYFUNCTION("SPLIT(I5091,""/"")"),21.0)</f>
        <v>21</v>
      </c>
      <c r="K5091" s="308">
        <f>IFERROR(__xludf.DUMMYFUNCTION("""COMPUTED_VALUE"""),3.0)</f>
        <v>3</v>
      </c>
      <c r="L5091" s="308">
        <f>IFERROR(__xludf.DUMMYFUNCTION("""COMPUTED_VALUE"""),2018.0)</f>
        <v>2018</v>
      </c>
      <c r="M5091" s="308" t="s">
        <v>20499</v>
      </c>
      <c r="N5091" s="308"/>
      <c r="O5091" s="308"/>
      <c r="P5091" s="308" t="s">
        <v>20500</v>
      </c>
      <c r="Q5091" s="308" t="s">
        <v>38158</v>
      </c>
      <c r="R5091" s="308" t="s">
        <v>2743</v>
      </c>
      <c r="S5091" s="308" t="s">
        <v>81</v>
      </c>
      <c r="T5091" s="308" t="s">
        <v>75</v>
      </c>
      <c r="U5091" s="308" t="s">
        <v>27</v>
      </c>
      <c r="V5091" s="308"/>
    </row>
    <row r="5092">
      <c r="A5092" s="308">
        <v>5091.0</v>
      </c>
      <c r="B5092" s="308"/>
      <c r="C5092" s="308" t="s">
        <v>20501</v>
      </c>
      <c r="D5092" s="308">
        <f>IFERROR(__xludf.DUMMYFUNCTION("SPLIT(C5092,""-"")"),5112.0)</f>
        <v>5112</v>
      </c>
      <c r="E5092" s="308" t="str">
        <f>IFERROR(__xludf.DUMMYFUNCTION("""COMPUTED_VALUE"""),"F")</f>
        <v>F</v>
      </c>
      <c r="F5092" s="309" t="s">
        <v>34</v>
      </c>
      <c r="G5092" s="308"/>
      <c r="H5092" s="308" t="s">
        <v>20502</v>
      </c>
      <c r="I5092" s="310">
        <v>41802.0</v>
      </c>
      <c r="J5092" s="319">
        <f>IFERROR(__xludf.DUMMYFUNCTION("SPLIT(I5092,""/"")"),12.0)</f>
        <v>12</v>
      </c>
      <c r="K5092" s="308">
        <f>IFERROR(__xludf.DUMMYFUNCTION("""COMPUTED_VALUE"""),6.0)</f>
        <v>6</v>
      </c>
      <c r="L5092" s="308">
        <f>IFERROR(__xludf.DUMMYFUNCTION("""COMPUTED_VALUE"""),2014.0)</f>
        <v>2014</v>
      </c>
      <c r="M5092" s="308" t="s">
        <v>20503</v>
      </c>
      <c r="N5092" s="308"/>
      <c r="O5092" s="308"/>
      <c r="P5092" s="308" t="s">
        <v>6393</v>
      </c>
      <c r="Q5092" s="308" t="s">
        <v>38158</v>
      </c>
      <c r="R5092" s="308" t="s">
        <v>2743</v>
      </c>
      <c r="S5092" s="315" t="s">
        <v>100</v>
      </c>
      <c r="T5092" s="311" t="s">
        <v>34208</v>
      </c>
      <c r="U5092" s="308" t="s">
        <v>195</v>
      </c>
      <c r="V5092" s="308"/>
    </row>
    <row r="5093">
      <c r="A5093" s="308">
        <v>5092.0</v>
      </c>
      <c r="B5093" s="308"/>
      <c r="C5093" s="308" t="s">
        <v>20504</v>
      </c>
      <c r="D5093" s="308">
        <f>IFERROR(__xludf.DUMMYFUNCTION("SPLIT(C5093,""-"")"),5113.0)</f>
        <v>5113</v>
      </c>
      <c r="E5093" s="308" t="str">
        <f>IFERROR(__xludf.DUMMYFUNCTION("""COMPUTED_VALUE"""),"P")</f>
        <v>P</v>
      </c>
      <c r="F5093" s="312" t="s">
        <v>37</v>
      </c>
      <c r="G5093" s="308"/>
      <c r="H5093" s="308" t="s">
        <v>20505</v>
      </c>
      <c r="I5093" s="310">
        <v>43123.0</v>
      </c>
      <c r="J5093" s="319">
        <f>IFERROR(__xludf.DUMMYFUNCTION("SPLIT(I5093,""/"")"),23.0)</f>
        <v>23</v>
      </c>
      <c r="K5093" s="308">
        <f>IFERROR(__xludf.DUMMYFUNCTION("""COMPUTED_VALUE"""),1.0)</f>
        <v>1</v>
      </c>
      <c r="L5093" s="308">
        <f>IFERROR(__xludf.DUMMYFUNCTION("""COMPUTED_VALUE"""),2018.0)</f>
        <v>2018</v>
      </c>
      <c r="M5093" s="308" t="s">
        <v>20506</v>
      </c>
      <c r="N5093" s="308"/>
      <c r="O5093" s="308"/>
      <c r="P5093" s="308" t="s">
        <v>20507</v>
      </c>
      <c r="Q5093" s="308" t="s">
        <v>38158</v>
      </c>
      <c r="R5093" s="308" t="s">
        <v>2743</v>
      </c>
      <c r="S5093" s="308" t="s">
        <v>81</v>
      </c>
      <c r="T5093" s="308" t="s">
        <v>75</v>
      </c>
      <c r="U5093" s="308" t="s">
        <v>143</v>
      </c>
      <c r="V5093" s="308"/>
    </row>
    <row r="5094">
      <c r="A5094" s="308">
        <v>5093.0</v>
      </c>
      <c r="B5094" s="308"/>
      <c r="C5094" s="308" t="s">
        <v>20508</v>
      </c>
      <c r="D5094" s="308">
        <f>IFERROR(__xludf.DUMMYFUNCTION("SPLIT(C5094,""-"")"),5114.0)</f>
        <v>5114</v>
      </c>
      <c r="E5094" s="308" t="str">
        <f>IFERROR(__xludf.DUMMYFUNCTION("""COMPUTED_VALUE"""),"K")</f>
        <v>K</v>
      </c>
      <c r="F5094" s="309" t="s">
        <v>34</v>
      </c>
      <c r="G5094" s="308"/>
      <c r="H5094" s="308" t="s">
        <v>20509</v>
      </c>
      <c r="I5094" s="310">
        <v>42374.0</v>
      </c>
      <c r="J5094" s="319">
        <f>IFERROR(__xludf.DUMMYFUNCTION("SPLIT(I5094,""/"")"),5.0)</f>
        <v>5</v>
      </c>
      <c r="K5094" s="308">
        <f>IFERROR(__xludf.DUMMYFUNCTION("""COMPUTED_VALUE"""),1.0)</f>
        <v>1</v>
      </c>
      <c r="L5094" s="308">
        <f>IFERROR(__xludf.DUMMYFUNCTION("""COMPUTED_VALUE"""),2016.0)</f>
        <v>2016</v>
      </c>
      <c r="M5094" s="308" t="s">
        <v>20510</v>
      </c>
      <c r="N5094" s="308"/>
      <c r="O5094" s="308"/>
      <c r="P5094" s="308" t="s">
        <v>5679</v>
      </c>
      <c r="Q5094" s="308" t="s">
        <v>38158</v>
      </c>
      <c r="R5094" s="308" t="s">
        <v>2743</v>
      </c>
      <c r="S5094" s="315" t="s">
        <v>100</v>
      </c>
      <c r="T5094" s="311" t="s">
        <v>34208</v>
      </c>
      <c r="U5094" s="308" t="s">
        <v>125</v>
      </c>
      <c r="V5094" s="308"/>
    </row>
    <row r="5095">
      <c r="A5095" s="308">
        <v>5094.0</v>
      </c>
      <c r="B5095" s="308"/>
      <c r="C5095" s="308" t="s">
        <v>20511</v>
      </c>
      <c r="D5095" s="308">
        <f>IFERROR(__xludf.DUMMYFUNCTION("SPLIT(C5095,""-"")"),5115.0)</f>
        <v>5115</v>
      </c>
      <c r="E5095" s="308" t="str">
        <f>IFERROR(__xludf.DUMMYFUNCTION("""COMPUTED_VALUE"""),"P")</f>
        <v>P</v>
      </c>
      <c r="F5095" s="312" t="s">
        <v>37</v>
      </c>
      <c r="G5095" s="308"/>
      <c r="H5095" s="308" t="s">
        <v>20512</v>
      </c>
      <c r="I5095" s="310">
        <v>42186.0</v>
      </c>
      <c r="J5095" s="319">
        <f>IFERROR(__xludf.DUMMYFUNCTION("SPLIT(I5095,""/"")"),1.0)</f>
        <v>1</v>
      </c>
      <c r="K5095" s="308">
        <f>IFERROR(__xludf.DUMMYFUNCTION("""COMPUTED_VALUE"""),7.0)</f>
        <v>7</v>
      </c>
      <c r="L5095" s="308">
        <f>IFERROR(__xludf.DUMMYFUNCTION("""COMPUTED_VALUE"""),2015.0)</f>
        <v>2015</v>
      </c>
      <c r="M5095" s="308" t="s">
        <v>20513</v>
      </c>
      <c r="N5095" s="308"/>
      <c r="O5095" s="308" t="s">
        <v>38159</v>
      </c>
      <c r="P5095" s="308" t="s">
        <v>38160</v>
      </c>
      <c r="Q5095" s="308" t="s">
        <v>38158</v>
      </c>
      <c r="R5095" s="308" t="s">
        <v>2743</v>
      </c>
      <c r="S5095" s="308" t="s">
        <v>49</v>
      </c>
      <c r="T5095" s="311" t="s">
        <v>51</v>
      </c>
      <c r="U5095" s="308" t="s">
        <v>149</v>
      </c>
      <c r="V5095" s="308"/>
    </row>
    <row r="5096">
      <c r="A5096" s="308">
        <v>5095.0</v>
      </c>
      <c r="B5096" s="308"/>
      <c r="C5096" s="308" t="s">
        <v>20516</v>
      </c>
      <c r="D5096" s="308">
        <f>IFERROR(__xludf.DUMMYFUNCTION("SPLIT(C5096,""-"")"),5116.0)</f>
        <v>5116</v>
      </c>
      <c r="E5096" s="308" t="str">
        <f>IFERROR(__xludf.DUMMYFUNCTION("""COMPUTED_VALUE"""),"I")</f>
        <v>I</v>
      </c>
      <c r="F5096" s="309" t="s">
        <v>31</v>
      </c>
      <c r="G5096" s="308"/>
      <c r="H5096" s="308" t="s">
        <v>20517</v>
      </c>
      <c r="I5096" s="310">
        <v>43128.0</v>
      </c>
      <c r="J5096" s="319">
        <f>IFERROR(__xludf.DUMMYFUNCTION("SPLIT(I5096,""/"")"),28.0)</f>
        <v>28</v>
      </c>
      <c r="K5096" s="308">
        <f>IFERROR(__xludf.DUMMYFUNCTION("""COMPUTED_VALUE"""),1.0)</f>
        <v>1</v>
      </c>
      <c r="L5096" s="308">
        <f>IFERROR(__xludf.DUMMYFUNCTION("""COMPUTED_VALUE"""),2018.0)</f>
        <v>2018</v>
      </c>
      <c r="M5096" s="308" t="s">
        <v>20518</v>
      </c>
      <c r="N5096" s="308"/>
      <c r="O5096" s="308"/>
      <c r="P5096" s="308" t="s">
        <v>20519</v>
      </c>
      <c r="Q5096" s="308" t="s">
        <v>38161</v>
      </c>
      <c r="R5096" s="308" t="s">
        <v>2743</v>
      </c>
      <c r="S5096" s="308" t="s">
        <v>81</v>
      </c>
      <c r="T5096" s="308" t="s">
        <v>75</v>
      </c>
      <c r="U5096" s="308" t="s">
        <v>31</v>
      </c>
      <c r="V5096" s="308"/>
    </row>
    <row r="5097">
      <c r="A5097" s="308">
        <v>5096.0</v>
      </c>
      <c r="B5097" s="308"/>
      <c r="C5097" s="308" t="s">
        <v>20520</v>
      </c>
      <c r="D5097" s="308">
        <f>IFERROR(__xludf.DUMMYFUNCTION("SPLIT(C5097,""-"")"),5117.0)</f>
        <v>5117</v>
      </c>
      <c r="E5097" s="308" t="str">
        <f>IFERROR(__xludf.DUMMYFUNCTION("""COMPUTED_VALUE"""),"K")</f>
        <v>K</v>
      </c>
      <c r="F5097" s="309" t="s">
        <v>34</v>
      </c>
      <c r="G5097" s="308"/>
      <c r="H5097" s="308" t="s">
        <v>20521</v>
      </c>
      <c r="I5097" s="314">
        <v>43088.0</v>
      </c>
      <c r="J5097" s="319" t="str">
        <f>IFERROR(__xludf.DUMMYFUNCTION("SPLIT(I5097,""/"")"),"#REF!")</f>
        <v>#REF!</v>
      </c>
      <c r="K5097" s="308"/>
      <c r="L5097" s="308">
        <v>2017.0</v>
      </c>
      <c r="M5097" s="308" t="s">
        <v>20522</v>
      </c>
      <c r="N5097" s="308"/>
      <c r="O5097" s="308"/>
      <c r="P5097" s="308" t="s">
        <v>20523</v>
      </c>
      <c r="Q5097" s="308" t="s">
        <v>38161</v>
      </c>
      <c r="R5097" s="308" t="s">
        <v>2743</v>
      </c>
      <c r="S5097" s="308" t="s">
        <v>81</v>
      </c>
      <c r="T5097" s="311" t="s">
        <v>57</v>
      </c>
      <c r="U5097" s="308" t="s">
        <v>368</v>
      </c>
      <c r="V5097" s="308"/>
    </row>
    <row r="5098">
      <c r="A5098" s="308">
        <v>5097.0</v>
      </c>
      <c r="B5098" s="308"/>
      <c r="C5098" s="308" t="s">
        <v>20524</v>
      </c>
      <c r="D5098" s="308">
        <f>IFERROR(__xludf.DUMMYFUNCTION("SPLIT(C5098,""-"")"),5118.0)</f>
        <v>5118</v>
      </c>
      <c r="E5098" s="308" t="str">
        <f>IFERROR(__xludf.DUMMYFUNCTION("""COMPUTED_VALUE"""),"K")</f>
        <v>K</v>
      </c>
      <c r="F5098" s="309" t="s">
        <v>34</v>
      </c>
      <c r="G5098" s="308"/>
      <c r="H5098" s="308" t="s">
        <v>20525</v>
      </c>
      <c r="I5098" s="310">
        <v>40045.0</v>
      </c>
      <c r="J5098" s="319">
        <f>IFERROR(__xludf.DUMMYFUNCTION("SPLIT(I5098,""/"")"),20.0)</f>
        <v>20</v>
      </c>
      <c r="K5098" s="308">
        <f>IFERROR(__xludf.DUMMYFUNCTION("""COMPUTED_VALUE"""),8.0)</f>
        <v>8</v>
      </c>
      <c r="L5098" s="308">
        <f>IFERROR(__xludf.DUMMYFUNCTION("""COMPUTED_VALUE"""),2009.0)</f>
        <v>2009</v>
      </c>
      <c r="M5098" s="308" t="s">
        <v>20526</v>
      </c>
      <c r="N5098" s="308"/>
      <c r="O5098" s="308"/>
      <c r="P5098" s="308" t="s">
        <v>38162</v>
      </c>
      <c r="Q5098" s="308" t="s">
        <v>38161</v>
      </c>
      <c r="R5098" s="308" t="s">
        <v>2743</v>
      </c>
      <c r="S5098" s="308" t="s">
        <v>49</v>
      </c>
      <c r="T5098" s="308" t="s">
        <v>51</v>
      </c>
      <c r="U5098" s="308" t="s">
        <v>125</v>
      </c>
      <c r="V5098" s="308"/>
    </row>
    <row r="5099">
      <c r="A5099" s="308">
        <v>5098.0</v>
      </c>
      <c r="B5099" s="308"/>
      <c r="C5099" s="308" t="s">
        <v>20528</v>
      </c>
      <c r="D5099" s="308">
        <f>IFERROR(__xludf.DUMMYFUNCTION("SPLIT(C5099,""-"")"),5119.0)</f>
        <v>5119</v>
      </c>
      <c r="E5099" s="308" t="str">
        <f>IFERROR(__xludf.DUMMYFUNCTION("""COMPUTED_VALUE"""),"I")</f>
        <v>I</v>
      </c>
      <c r="F5099" s="309" t="s">
        <v>31</v>
      </c>
      <c r="G5099" s="308"/>
      <c r="H5099" s="308" t="s">
        <v>20529</v>
      </c>
      <c r="I5099" s="310">
        <v>42390.0</v>
      </c>
      <c r="J5099" s="319">
        <f>IFERROR(__xludf.DUMMYFUNCTION("SPLIT(I5099,""/"")"),21.0)</f>
        <v>21</v>
      </c>
      <c r="K5099" s="308">
        <f>IFERROR(__xludf.DUMMYFUNCTION("""COMPUTED_VALUE"""),1.0)</f>
        <v>1</v>
      </c>
      <c r="L5099" s="308">
        <f>IFERROR(__xludf.DUMMYFUNCTION("""COMPUTED_VALUE"""),2016.0)</f>
        <v>2016</v>
      </c>
      <c r="M5099" s="308" t="s">
        <v>20530</v>
      </c>
      <c r="N5099" s="308" t="s">
        <v>20531</v>
      </c>
      <c r="O5099" s="308"/>
      <c r="P5099" s="308" t="s">
        <v>34212</v>
      </c>
      <c r="Q5099" s="308" t="s">
        <v>38161</v>
      </c>
      <c r="R5099" s="308" t="s">
        <v>16185</v>
      </c>
      <c r="S5099" s="315" t="s">
        <v>100</v>
      </c>
      <c r="T5099" s="311" t="s">
        <v>34208</v>
      </c>
      <c r="U5099" s="308" t="s">
        <v>31</v>
      </c>
      <c r="V5099" s="308"/>
    </row>
    <row r="5100">
      <c r="A5100" s="308">
        <v>5099.0</v>
      </c>
      <c r="B5100" s="308"/>
      <c r="C5100" s="308" t="s">
        <v>20532</v>
      </c>
      <c r="D5100" s="308">
        <f>IFERROR(__xludf.DUMMYFUNCTION("SPLIT(C5100,""-"")"),5120.0)</f>
        <v>5120</v>
      </c>
      <c r="E5100" s="308" t="str">
        <f>IFERROR(__xludf.DUMMYFUNCTION("""COMPUTED_VALUE"""),"S")</f>
        <v>S</v>
      </c>
      <c r="F5100" s="312" t="s">
        <v>39</v>
      </c>
      <c r="G5100" s="308"/>
      <c r="H5100" s="308" t="s">
        <v>20533</v>
      </c>
      <c r="I5100" s="310">
        <v>43004.0</v>
      </c>
      <c r="J5100" s="319">
        <f>IFERROR(__xludf.DUMMYFUNCTION("SPLIT(I5100,""/"")"),26.0)</f>
        <v>26</v>
      </c>
      <c r="K5100" s="308">
        <f>IFERROR(__xludf.DUMMYFUNCTION("""COMPUTED_VALUE"""),9.0)</f>
        <v>9</v>
      </c>
      <c r="L5100" s="308">
        <f>IFERROR(__xludf.DUMMYFUNCTION("""COMPUTED_VALUE"""),2017.0)</f>
        <v>2017</v>
      </c>
      <c r="M5100" s="308" t="s">
        <v>20534</v>
      </c>
      <c r="N5100" s="308"/>
      <c r="O5100" s="308"/>
      <c r="P5100" s="308" t="s">
        <v>38163</v>
      </c>
      <c r="Q5100" s="308" t="s">
        <v>38161</v>
      </c>
      <c r="R5100" s="308" t="s">
        <v>16185</v>
      </c>
      <c r="S5100" s="308" t="s">
        <v>81</v>
      </c>
      <c r="T5100" s="308" t="s">
        <v>75</v>
      </c>
      <c r="U5100" s="308" t="s">
        <v>166</v>
      </c>
      <c r="V5100" s="308"/>
    </row>
    <row r="5101">
      <c r="A5101" s="308">
        <v>5100.0</v>
      </c>
      <c r="B5101" s="308"/>
      <c r="C5101" s="308" t="s">
        <v>20536</v>
      </c>
      <c r="D5101" s="308">
        <f>IFERROR(__xludf.DUMMYFUNCTION("SPLIT(C5101,""-"")"),5121.0)</f>
        <v>5121</v>
      </c>
      <c r="E5101" s="308" t="str">
        <f>IFERROR(__xludf.DUMMYFUNCTION("""COMPUTED_VALUE"""),"P")</f>
        <v>P</v>
      </c>
      <c r="F5101" s="312" t="s">
        <v>37</v>
      </c>
      <c r="G5101" s="308"/>
      <c r="H5101" s="308" t="s">
        <v>20537</v>
      </c>
      <c r="I5101" s="310">
        <v>42832.0</v>
      </c>
      <c r="J5101" s="319">
        <f>IFERROR(__xludf.DUMMYFUNCTION("SPLIT(I5101,""/"")"),7.0)</f>
        <v>7</v>
      </c>
      <c r="K5101" s="308">
        <f>IFERROR(__xludf.DUMMYFUNCTION("""COMPUTED_VALUE"""),4.0)</f>
        <v>4</v>
      </c>
      <c r="L5101" s="308">
        <f>IFERROR(__xludf.DUMMYFUNCTION("""COMPUTED_VALUE"""),2017.0)</f>
        <v>2017</v>
      </c>
      <c r="M5101" s="308" t="s">
        <v>20538</v>
      </c>
      <c r="N5101" s="308"/>
      <c r="O5101" s="308" t="s">
        <v>38164</v>
      </c>
      <c r="P5101" s="308" t="s">
        <v>20540</v>
      </c>
      <c r="Q5101" s="308" t="s">
        <v>38161</v>
      </c>
      <c r="R5101" s="308" t="s">
        <v>16185</v>
      </c>
      <c r="S5101" s="308" t="s">
        <v>81</v>
      </c>
      <c r="T5101" s="308" t="s">
        <v>75</v>
      </c>
      <c r="U5101" s="308" t="s">
        <v>143</v>
      </c>
      <c r="V5101" s="308"/>
    </row>
    <row r="5102">
      <c r="A5102" s="308">
        <v>5101.0</v>
      </c>
      <c r="B5102" s="308"/>
      <c r="C5102" s="308" t="s">
        <v>20541</v>
      </c>
      <c r="D5102" s="308">
        <f>IFERROR(__xludf.DUMMYFUNCTION("SPLIT(C5102,""-"")"),5122.0)</f>
        <v>5122</v>
      </c>
      <c r="E5102" s="308" t="str">
        <f>IFERROR(__xludf.DUMMYFUNCTION("""COMPUTED_VALUE"""),"P")</f>
        <v>P</v>
      </c>
      <c r="F5102" s="312" t="s">
        <v>37</v>
      </c>
      <c r="G5102" s="308"/>
      <c r="H5102" s="308" t="s">
        <v>20542</v>
      </c>
      <c r="I5102" s="310">
        <v>42586.0</v>
      </c>
      <c r="J5102" s="319">
        <f>IFERROR(__xludf.DUMMYFUNCTION("SPLIT(I5102,""/"")"),4.0)</f>
        <v>4</v>
      </c>
      <c r="K5102" s="308">
        <f>IFERROR(__xludf.DUMMYFUNCTION("""COMPUTED_VALUE"""),8.0)</f>
        <v>8</v>
      </c>
      <c r="L5102" s="308">
        <f>IFERROR(__xludf.DUMMYFUNCTION("""COMPUTED_VALUE"""),2016.0)</f>
        <v>2016</v>
      </c>
      <c r="M5102" s="308" t="s">
        <v>20543</v>
      </c>
      <c r="N5102" s="308"/>
      <c r="O5102" s="308"/>
      <c r="P5102" s="308" t="s">
        <v>7523</v>
      </c>
      <c r="Q5102" s="308" t="s">
        <v>38161</v>
      </c>
      <c r="R5102" s="308" t="s">
        <v>16185</v>
      </c>
      <c r="S5102" s="315" t="s">
        <v>100</v>
      </c>
      <c r="T5102" s="311" t="s">
        <v>34208</v>
      </c>
      <c r="U5102" s="308" t="s">
        <v>143</v>
      </c>
      <c r="V5102" s="308"/>
    </row>
    <row r="5103">
      <c r="A5103" s="308">
        <v>5102.0</v>
      </c>
      <c r="B5103" s="308"/>
      <c r="C5103" s="308" t="s">
        <v>20544</v>
      </c>
      <c r="D5103" s="308">
        <f>IFERROR(__xludf.DUMMYFUNCTION("SPLIT(C5103,""-"")"),5123.0)</f>
        <v>5123</v>
      </c>
      <c r="E5103" s="308" t="str">
        <f>IFERROR(__xludf.DUMMYFUNCTION("""COMPUTED_VALUE"""),"P")</f>
        <v>P</v>
      </c>
      <c r="F5103" s="312" t="s">
        <v>37</v>
      </c>
      <c r="G5103" s="308"/>
      <c r="H5103" s="308" t="s">
        <v>20545</v>
      </c>
      <c r="I5103" s="310">
        <v>42104.0</v>
      </c>
      <c r="J5103" s="319">
        <f>IFERROR(__xludf.DUMMYFUNCTION("SPLIT(I5103,""/"")"),10.0)</f>
        <v>10</v>
      </c>
      <c r="K5103" s="308">
        <f>IFERROR(__xludf.DUMMYFUNCTION("""COMPUTED_VALUE"""),4.0)</f>
        <v>4</v>
      </c>
      <c r="L5103" s="308">
        <f>IFERROR(__xludf.DUMMYFUNCTION("""COMPUTED_VALUE"""),2015.0)</f>
        <v>2015</v>
      </c>
      <c r="M5103" s="308" t="s">
        <v>20546</v>
      </c>
      <c r="N5103" s="308"/>
      <c r="O5103" s="308" t="s">
        <v>20547</v>
      </c>
      <c r="P5103" s="308" t="s">
        <v>7523</v>
      </c>
      <c r="Q5103" s="308" t="s">
        <v>38161</v>
      </c>
      <c r="R5103" s="308" t="s">
        <v>16185</v>
      </c>
      <c r="S5103" s="315" t="s">
        <v>100</v>
      </c>
      <c r="T5103" s="311" t="s">
        <v>34208</v>
      </c>
      <c r="U5103" s="308" t="s">
        <v>1711</v>
      </c>
      <c r="V5103" s="308"/>
    </row>
    <row r="5104">
      <c r="A5104" s="308">
        <v>5103.0</v>
      </c>
      <c r="B5104" s="308"/>
      <c r="C5104" s="308" t="s">
        <v>20548</v>
      </c>
      <c r="D5104" s="308">
        <f>IFERROR(__xludf.DUMMYFUNCTION("SPLIT(C5104,""-"")"),5124.0)</f>
        <v>5124</v>
      </c>
      <c r="E5104" s="308" t="str">
        <f>IFERROR(__xludf.DUMMYFUNCTION("""COMPUTED_VALUE"""),"P")</f>
        <v>P</v>
      </c>
      <c r="F5104" s="312" t="s">
        <v>37</v>
      </c>
      <c r="G5104" s="308"/>
      <c r="H5104" s="308" t="s">
        <v>20549</v>
      </c>
      <c r="I5104" s="310">
        <v>42810.0</v>
      </c>
      <c r="J5104" s="319">
        <f>IFERROR(__xludf.DUMMYFUNCTION("SPLIT(I5104,""/"")"),16.0)</f>
        <v>16</v>
      </c>
      <c r="K5104" s="308">
        <f>IFERROR(__xludf.DUMMYFUNCTION("""COMPUTED_VALUE"""),3.0)</f>
        <v>3</v>
      </c>
      <c r="L5104" s="308">
        <f>IFERROR(__xludf.DUMMYFUNCTION("""COMPUTED_VALUE"""),2017.0)</f>
        <v>2017</v>
      </c>
      <c r="M5104" s="308" t="s">
        <v>20550</v>
      </c>
      <c r="N5104" s="308"/>
      <c r="O5104" s="308"/>
      <c r="P5104" s="308" t="s">
        <v>7523</v>
      </c>
      <c r="Q5104" s="308" t="s">
        <v>38165</v>
      </c>
      <c r="R5104" s="308" t="s">
        <v>16185</v>
      </c>
      <c r="S5104" s="315" t="s">
        <v>100</v>
      </c>
      <c r="T5104" s="311" t="s">
        <v>34208</v>
      </c>
      <c r="U5104" s="308" t="s">
        <v>143</v>
      </c>
      <c r="V5104" s="308"/>
    </row>
    <row r="5105">
      <c r="A5105" s="308">
        <v>5104.0</v>
      </c>
      <c r="B5105" s="308"/>
      <c r="C5105" s="308" t="s">
        <v>20551</v>
      </c>
      <c r="D5105" s="308">
        <f>IFERROR(__xludf.DUMMYFUNCTION("SPLIT(C5105,""-"")"),5125.0)</f>
        <v>5125</v>
      </c>
      <c r="E5105" s="308" t="str">
        <f>IFERROR(__xludf.DUMMYFUNCTION("""COMPUTED_VALUE"""),"K")</f>
        <v>K</v>
      </c>
      <c r="F5105" s="309" t="s">
        <v>34</v>
      </c>
      <c r="G5105" s="308"/>
      <c r="H5105" s="308" t="s">
        <v>20552</v>
      </c>
      <c r="I5105" s="314">
        <v>43092.0</v>
      </c>
      <c r="J5105" s="319" t="str">
        <f>IFERROR(__xludf.DUMMYFUNCTION("SPLIT(I5105,""/"")"),"#REF!")</f>
        <v>#REF!</v>
      </c>
      <c r="K5105" s="308"/>
      <c r="L5105" s="308">
        <v>2017.0</v>
      </c>
      <c r="M5105" s="308" t="s">
        <v>20553</v>
      </c>
      <c r="N5105" s="308"/>
      <c r="O5105" s="308"/>
      <c r="P5105" s="308" t="s">
        <v>20554</v>
      </c>
      <c r="Q5105" s="308" t="s">
        <v>38165</v>
      </c>
      <c r="R5105" s="308" t="s">
        <v>16185</v>
      </c>
      <c r="S5105" s="308" t="s">
        <v>81</v>
      </c>
      <c r="T5105" s="308" t="s">
        <v>34264</v>
      </c>
      <c r="U5105" s="308" t="s">
        <v>1516</v>
      </c>
      <c r="V5105" s="308"/>
    </row>
    <row r="5106">
      <c r="A5106" s="308">
        <v>5105.0</v>
      </c>
      <c r="B5106" s="308"/>
      <c r="C5106" s="308" t="s">
        <v>20555</v>
      </c>
      <c r="D5106" s="308">
        <f>IFERROR(__xludf.DUMMYFUNCTION("SPLIT(C5106,""-"")"),5126.0)</f>
        <v>5126</v>
      </c>
      <c r="E5106" s="308" t="str">
        <f>IFERROR(__xludf.DUMMYFUNCTION("""COMPUTED_VALUE"""),"K")</f>
        <v>K</v>
      </c>
      <c r="F5106" s="309" t="s">
        <v>34</v>
      </c>
      <c r="G5106" s="308"/>
      <c r="H5106" s="308" t="s">
        <v>20556</v>
      </c>
      <c r="I5106" s="314">
        <v>40523.0</v>
      </c>
      <c r="J5106" s="319">
        <f>IFERROR(__xludf.DUMMYFUNCTION("SPLIT(I5106,""/"")"),11.0)</f>
        <v>11</v>
      </c>
      <c r="K5106" s="308">
        <f>IFERROR(__xludf.DUMMYFUNCTION("""COMPUTED_VALUE"""),12.0)</f>
        <v>12</v>
      </c>
      <c r="L5106" s="308">
        <f>IFERROR(__xludf.DUMMYFUNCTION("""COMPUTED_VALUE"""),2010.0)</f>
        <v>2010</v>
      </c>
      <c r="M5106" s="308" t="s">
        <v>20557</v>
      </c>
      <c r="N5106" s="308"/>
      <c r="O5106" s="308" t="s">
        <v>20558</v>
      </c>
      <c r="P5106" s="308" t="s">
        <v>38166</v>
      </c>
      <c r="Q5106" s="308" t="s">
        <v>38165</v>
      </c>
      <c r="R5106" s="308" t="s">
        <v>16185</v>
      </c>
      <c r="S5106" s="308" t="s">
        <v>49</v>
      </c>
      <c r="T5106" s="311" t="s">
        <v>53</v>
      </c>
      <c r="U5106" s="308" t="s">
        <v>137</v>
      </c>
      <c r="V5106" s="308"/>
    </row>
    <row r="5107">
      <c r="A5107" s="308">
        <v>5106.0</v>
      </c>
      <c r="B5107" s="308"/>
      <c r="C5107" s="308" t="s">
        <v>20560</v>
      </c>
      <c r="D5107" s="308">
        <f>IFERROR(__xludf.DUMMYFUNCTION("SPLIT(C5107,""-"")"),5127.0)</f>
        <v>5127</v>
      </c>
      <c r="E5107" s="308" t="str">
        <f>IFERROR(__xludf.DUMMYFUNCTION("""COMPUTED_VALUE"""),"S")</f>
        <v>S</v>
      </c>
      <c r="F5107" s="312" t="s">
        <v>39</v>
      </c>
      <c r="G5107" s="308"/>
      <c r="H5107" s="308" t="s">
        <v>20561</v>
      </c>
      <c r="I5107" s="310">
        <v>41647.0</v>
      </c>
      <c r="J5107" s="319">
        <f>IFERROR(__xludf.DUMMYFUNCTION("SPLIT(I5107,""/"")"),8.0)</f>
        <v>8</v>
      </c>
      <c r="K5107" s="308">
        <f>IFERROR(__xludf.DUMMYFUNCTION("""COMPUTED_VALUE"""),1.0)</f>
        <v>1</v>
      </c>
      <c r="L5107" s="308">
        <f>IFERROR(__xludf.DUMMYFUNCTION("""COMPUTED_VALUE"""),2014.0)</f>
        <v>2014</v>
      </c>
      <c r="M5107" s="308" t="s">
        <v>20562</v>
      </c>
      <c r="N5107" s="308"/>
      <c r="O5107" s="308"/>
      <c r="P5107" s="308" t="s">
        <v>38167</v>
      </c>
      <c r="Q5107" s="308" t="s">
        <v>38165</v>
      </c>
      <c r="R5107" s="308" t="s">
        <v>16185</v>
      </c>
      <c r="S5107" s="308" t="s">
        <v>81</v>
      </c>
      <c r="T5107" s="308" t="s">
        <v>73</v>
      </c>
      <c r="U5107" s="308" t="s">
        <v>166</v>
      </c>
      <c r="V5107" s="308"/>
    </row>
    <row r="5108">
      <c r="A5108" s="308">
        <v>5107.0</v>
      </c>
      <c r="B5108" s="308"/>
      <c r="C5108" s="308" t="s">
        <v>20564</v>
      </c>
      <c r="D5108" s="308">
        <f>IFERROR(__xludf.DUMMYFUNCTION("SPLIT(C5108,""-"")"),5128.0)</f>
        <v>5128</v>
      </c>
      <c r="E5108" s="308" t="str">
        <f>IFERROR(__xludf.DUMMYFUNCTION("""COMPUTED_VALUE"""),"K")</f>
        <v>K</v>
      </c>
      <c r="F5108" s="309" t="s">
        <v>34</v>
      </c>
      <c r="G5108" s="308"/>
      <c r="H5108" s="308" t="s">
        <v>20565</v>
      </c>
      <c r="I5108" s="310">
        <v>43155.0</v>
      </c>
      <c r="J5108" s="319">
        <f>IFERROR(__xludf.DUMMYFUNCTION("SPLIT(I5108,""/"")"),24.0)</f>
        <v>24</v>
      </c>
      <c r="K5108" s="308">
        <f>IFERROR(__xludf.DUMMYFUNCTION("""COMPUTED_VALUE"""),2.0)</f>
        <v>2</v>
      </c>
      <c r="L5108" s="308">
        <f>IFERROR(__xludf.DUMMYFUNCTION("""COMPUTED_VALUE"""),2018.0)</f>
        <v>2018</v>
      </c>
      <c r="M5108" s="308" t="s">
        <v>20562</v>
      </c>
      <c r="N5108" s="308"/>
      <c r="O5108" s="308"/>
      <c r="P5108" s="308" t="s">
        <v>38168</v>
      </c>
      <c r="Q5108" s="308" t="s">
        <v>38165</v>
      </c>
      <c r="R5108" s="308" t="s">
        <v>16185</v>
      </c>
      <c r="S5108" s="308" t="s">
        <v>81</v>
      </c>
      <c r="T5108" s="308" t="s">
        <v>75</v>
      </c>
      <c r="U5108" s="308" t="s">
        <v>4487</v>
      </c>
      <c r="V5108" s="308"/>
    </row>
    <row r="5109">
      <c r="A5109" s="308">
        <v>5108.0</v>
      </c>
      <c r="B5109" s="308"/>
      <c r="C5109" s="308" t="s">
        <v>20567</v>
      </c>
      <c r="D5109" s="308">
        <f>IFERROR(__xludf.DUMMYFUNCTION("SPLIT(C5109,""-"")"),5129.0)</f>
        <v>5129</v>
      </c>
      <c r="E5109" s="308" t="str">
        <f>IFERROR(__xludf.DUMMYFUNCTION("""COMPUTED_VALUE"""),"K")</f>
        <v>K</v>
      </c>
      <c r="F5109" s="309" t="s">
        <v>34</v>
      </c>
      <c r="G5109" s="308"/>
      <c r="H5109" s="308" t="s">
        <v>20568</v>
      </c>
      <c r="I5109" s="310">
        <v>42006.0</v>
      </c>
      <c r="J5109" s="319">
        <f>IFERROR(__xludf.DUMMYFUNCTION("SPLIT(I5109,""/"")"),2.0)</f>
        <v>2</v>
      </c>
      <c r="K5109" s="308">
        <f>IFERROR(__xludf.DUMMYFUNCTION("""COMPUTED_VALUE"""),1.0)</f>
        <v>1</v>
      </c>
      <c r="L5109" s="308">
        <f>IFERROR(__xludf.DUMMYFUNCTION("""COMPUTED_VALUE"""),2015.0)</f>
        <v>2015</v>
      </c>
      <c r="M5109" s="308" t="s">
        <v>20562</v>
      </c>
      <c r="N5109" s="308"/>
      <c r="O5109" s="308"/>
      <c r="P5109" s="308" t="s">
        <v>20569</v>
      </c>
      <c r="Q5109" s="308" t="s">
        <v>38165</v>
      </c>
      <c r="R5109" s="308" t="s">
        <v>16185</v>
      </c>
      <c r="S5109" s="308" t="s">
        <v>81</v>
      </c>
      <c r="T5109" s="308" t="s">
        <v>34264</v>
      </c>
      <c r="U5109" s="308" t="s">
        <v>872</v>
      </c>
      <c r="V5109" s="308"/>
    </row>
    <row r="5110">
      <c r="A5110" s="308">
        <v>5109.0</v>
      </c>
      <c r="B5110" s="308"/>
      <c r="C5110" s="308" t="s">
        <v>20570</v>
      </c>
      <c r="D5110" s="308">
        <f>IFERROR(__xludf.DUMMYFUNCTION("SPLIT(C5110,""-"")"),5130.0)</f>
        <v>5130</v>
      </c>
      <c r="E5110" s="308" t="str">
        <f>IFERROR(__xludf.DUMMYFUNCTION("""COMPUTED_VALUE"""),"K")</f>
        <v>K</v>
      </c>
      <c r="F5110" s="309" t="s">
        <v>34</v>
      </c>
      <c r="G5110" s="308"/>
      <c r="H5110" s="308" t="s">
        <v>20571</v>
      </c>
      <c r="I5110" s="310">
        <v>42506.0</v>
      </c>
      <c r="J5110" s="319">
        <f>IFERROR(__xludf.DUMMYFUNCTION("SPLIT(I5110,""/"")"),16.0)</f>
        <v>16</v>
      </c>
      <c r="K5110" s="308">
        <f>IFERROR(__xludf.DUMMYFUNCTION("""COMPUTED_VALUE"""),5.0)</f>
        <v>5</v>
      </c>
      <c r="L5110" s="308">
        <f>IFERROR(__xludf.DUMMYFUNCTION("""COMPUTED_VALUE"""),2016.0)</f>
        <v>2016</v>
      </c>
      <c r="M5110" s="308" t="s">
        <v>20572</v>
      </c>
      <c r="N5110" s="308"/>
      <c r="O5110" s="308"/>
      <c r="P5110" s="308" t="s">
        <v>20573</v>
      </c>
      <c r="Q5110" s="308" t="s">
        <v>38165</v>
      </c>
      <c r="R5110" s="308" t="s">
        <v>16185</v>
      </c>
      <c r="S5110" s="308" t="s">
        <v>81</v>
      </c>
      <c r="T5110" s="308" t="s">
        <v>34264</v>
      </c>
      <c r="U5110" s="308" t="s">
        <v>530</v>
      </c>
      <c r="V5110" s="308"/>
    </row>
    <row r="5111">
      <c r="A5111" s="308">
        <v>5110.0</v>
      </c>
      <c r="B5111" s="308"/>
      <c r="C5111" s="308" t="s">
        <v>20574</v>
      </c>
      <c r="D5111" s="308">
        <f>IFERROR(__xludf.DUMMYFUNCTION("SPLIT(C5111,""-"")"),5131.0)</f>
        <v>5131</v>
      </c>
      <c r="E5111" s="308" t="str">
        <f>IFERROR(__xludf.DUMMYFUNCTION("""COMPUTED_VALUE"""),"K")</f>
        <v>K</v>
      </c>
      <c r="F5111" s="309" t="s">
        <v>34</v>
      </c>
      <c r="G5111" s="308"/>
      <c r="H5111" s="308" t="s">
        <v>20575</v>
      </c>
      <c r="I5111" s="310">
        <v>42888.0</v>
      </c>
      <c r="J5111" s="319" t="str">
        <f>IFERROR(__xludf.DUMMYFUNCTION("SPLIT(I5111,""/"")"),"#REF!")</f>
        <v>#REF!</v>
      </c>
      <c r="K5111" s="308"/>
      <c r="L5111" s="308">
        <v>2017.0</v>
      </c>
      <c r="M5111" s="308" t="s">
        <v>20576</v>
      </c>
      <c r="N5111" s="308"/>
      <c r="O5111" s="308" t="s">
        <v>20577</v>
      </c>
      <c r="P5111" s="308" t="s">
        <v>5679</v>
      </c>
      <c r="Q5111" s="308" t="s">
        <v>38165</v>
      </c>
      <c r="R5111" s="308" t="s">
        <v>16185</v>
      </c>
      <c r="S5111" s="315" t="s">
        <v>100</v>
      </c>
      <c r="T5111" s="311" t="s">
        <v>34208</v>
      </c>
      <c r="U5111" s="308" t="s">
        <v>4749</v>
      </c>
      <c r="V5111" s="308"/>
    </row>
    <row r="5112">
      <c r="A5112" s="308">
        <v>5111.0</v>
      </c>
      <c r="B5112" s="308"/>
      <c r="C5112" s="308" t="s">
        <v>20578</v>
      </c>
      <c r="D5112" s="308">
        <f>IFERROR(__xludf.DUMMYFUNCTION("SPLIT(C5112,""-"")"),5132.0)</f>
        <v>5132</v>
      </c>
      <c r="E5112" s="308" t="str">
        <f>IFERROR(__xludf.DUMMYFUNCTION("""COMPUTED_VALUE"""),"K")</f>
        <v>K</v>
      </c>
      <c r="F5112" s="309" t="s">
        <v>34</v>
      </c>
      <c r="G5112" s="308"/>
      <c r="H5112" s="308" t="s">
        <v>38169</v>
      </c>
      <c r="I5112" s="314">
        <v>42716.0</v>
      </c>
      <c r="J5112" s="319">
        <f>IFERROR(__xludf.DUMMYFUNCTION("SPLIT(I5112,""/"")"),12.0)</f>
        <v>12</v>
      </c>
      <c r="K5112" s="308">
        <f>IFERROR(__xludf.DUMMYFUNCTION("""COMPUTED_VALUE"""),12.0)</f>
        <v>12</v>
      </c>
      <c r="L5112" s="308">
        <f>IFERROR(__xludf.DUMMYFUNCTION("""COMPUTED_VALUE"""),2016.0)</f>
        <v>2016</v>
      </c>
      <c r="M5112" s="308" t="s">
        <v>20580</v>
      </c>
      <c r="N5112" s="308"/>
      <c r="O5112" s="308"/>
      <c r="P5112" s="308" t="s">
        <v>5679</v>
      </c>
      <c r="Q5112" s="308" t="s">
        <v>38165</v>
      </c>
      <c r="R5112" s="308" t="s">
        <v>16185</v>
      </c>
      <c r="S5112" s="315" t="s">
        <v>100</v>
      </c>
      <c r="T5112" s="311" t="s">
        <v>34208</v>
      </c>
      <c r="U5112" s="308" t="s">
        <v>125</v>
      </c>
      <c r="V5112" s="308"/>
    </row>
    <row r="5113">
      <c r="A5113" s="308">
        <v>5112.0</v>
      </c>
      <c r="B5113" s="308"/>
      <c r="C5113" s="308" t="s">
        <v>20581</v>
      </c>
      <c r="D5113" s="308">
        <f>IFERROR(__xludf.DUMMYFUNCTION("SPLIT(C5113,""-"")"),5133.0)</f>
        <v>5133</v>
      </c>
      <c r="E5113" s="308" t="str">
        <f>IFERROR(__xludf.DUMMYFUNCTION("""COMPUTED_VALUE"""),"K")</f>
        <v>K</v>
      </c>
      <c r="F5113" s="309" t="s">
        <v>34</v>
      </c>
      <c r="G5113" s="308"/>
      <c r="H5113" s="308" t="s">
        <v>20582</v>
      </c>
      <c r="I5113" s="314">
        <v>42696.0</v>
      </c>
      <c r="J5113" s="319">
        <f>IFERROR(__xludf.DUMMYFUNCTION("SPLIT(I5113,""/"")"),22.0)</f>
        <v>22</v>
      </c>
      <c r="K5113" s="308">
        <f>IFERROR(__xludf.DUMMYFUNCTION("""COMPUTED_VALUE"""),11.0)</f>
        <v>11</v>
      </c>
      <c r="L5113" s="308">
        <f>IFERROR(__xludf.DUMMYFUNCTION("""COMPUTED_VALUE"""),2016.0)</f>
        <v>2016</v>
      </c>
      <c r="M5113" s="308" t="s">
        <v>20580</v>
      </c>
      <c r="N5113" s="308"/>
      <c r="O5113" s="308"/>
      <c r="P5113" s="308" t="s">
        <v>5679</v>
      </c>
      <c r="Q5113" s="308" t="s">
        <v>38165</v>
      </c>
      <c r="R5113" s="308" t="s">
        <v>16185</v>
      </c>
      <c r="S5113" s="315" t="s">
        <v>100</v>
      </c>
      <c r="T5113" s="311" t="s">
        <v>34208</v>
      </c>
      <c r="U5113" s="308" t="s">
        <v>368</v>
      </c>
      <c r="V5113" s="308"/>
    </row>
    <row r="5114">
      <c r="A5114" s="308">
        <v>5113.0</v>
      </c>
      <c r="B5114" s="308"/>
      <c r="C5114" s="308" t="s">
        <v>20583</v>
      </c>
      <c r="D5114" s="308">
        <f>IFERROR(__xludf.DUMMYFUNCTION("SPLIT(C5114,""-"")"),5134.0)</f>
        <v>5134</v>
      </c>
      <c r="E5114" s="308" t="str">
        <f>IFERROR(__xludf.DUMMYFUNCTION("""COMPUTED_VALUE"""),"K")</f>
        <v>K</v>
      </c>
      <c r="F5114" s="309" t="s">
        <v>34</v>
      </c>
      <c r="G5114" s="308"/>
      <c r="H5114" s="308" t="s">
        <v>20584</v>
      </c>
      <c r="I5114" s="310">
        <v>41842.0</v>
      </c>
      <c r="J5114" s="319">
        <f>IFERROR(__xludf.DUMMYFUNCTION("SPLIT(I5114,""/"")"),22.0)</f>
        <v>22</v>
      </c>
      <c r="K5114" s="308">
        <f>IFERROR(__xludf.DUMMYFUNCTION("""COMPUTED_VALUE"""),7.0)</f>
        <v>7</v>
      </c>
      <c r="L5114" s="308">
        <f>IFERROR(__xludf.DUMMYFUNCTION("""COMPUTED_VALUE"""),2014.0)</f>
        <v>2014</v>
      </c>
      <c r="M5114" s="308" t="s">
        <v>20585</v>
      </c>
      <c r="N5114" s="308"/>
      <c r="O5114" s="308"/>
      <c r="P5114" s="308" t="s">
        <v>5679</v>
      </c>
      <c r="Q5114" s="308" t="s">
        <v>38165</v>
      </c>
      <c r="R5114" s="308" t="s">
        <v>16185</v>
      </c>
      <c r="S5114" s="315" t="s">
        <v>100</v>
      </c>
      <c r="T5114" s="311" t="s">
        <v>34208</v>
      </c>
      <c r="U5114" s="308" t="s">
        <v>125</v>
      </c>
      <c r="V5114" s="308" t="s">
        <v>20586</v>
      </c>
    </row>
    <row r="5115">
      <c r="A5115" s="308">
        <v>5114.0</v>
      </c>
      <c r="B5115" s="308"/>
      <c r="C5115" s="308" t="s">
        <v>20587</v>
      </c>
      <c r="D5115" s="308">
        <f>IFERROR(__xludf.DUMMYFUNCTION("SPLIT(C5115,""-"")"),5135.0)</f>
        <v>5135</v>
      </c>
      <c r="E5115" s="308" t="str">
        <f>IFERROR(__xludf.DUMMYFUNCTION("""COMPUTED_VALUE"""),"K")</f>
        <v>K</v>
      </c>
      <c r="F5115" s="309" t="s">
        <v>34</v>
      </c>
      <c r="G5115" s="308"/>
      <c r="H5115" s="308" t="s">
        <v>20588</v>
      </c>
      <c r="I5115" s="310">
        <v>41909.0</v>
      </c>
      <c r="J5115" s="319">
        <f>IFERROR(__xludf.DUMMYFUNCTION("SPLIT(I5115,""/"")"),27.0)</f>
        <v>27</v>
      </c>
      <c r="K5115" s="308">
        <f>IFERROR(__xludf.DUMMYFUNCTION("""COMPUTED_VALUE"""),9.0)</f>
        <v>9</v>
      </c>
      <c r="L5115" s="308">
        <f>IFERROR(__xludf.DUMMYFUNCTION("""COMPUTED_VALUE"""),2014.0)</f>
        <v>2014</v>
      </c>
      <c r="M5115" s="308" t="s">
        <v>20585</v>
      </c>
      <c r="N5115" s="308"/>
      <c r="O5115" s="308"/>
      <c r="P5115" s="308" t="s">
        <v>5679</v>
      </c>
      <c r="Q5115" s="308" t="s">
        <v>34322</v>
      </c>
      <c r="R5115" s="308" t="s">
        <v>16185</v>
      </c>
      <c r="S5115" s="315" t="s">
        <v>100</v>
      </c>
      <c r="T5115" s="311" t="s">
        <v>34208</v>
      </c>
      <c r="U5115" s="308" t="s">
        <v>125</v>
      </c>
      <c r="V5115" s="308" t="s">
        <v>20586</v>
      </c>
    </row>
    <row r="5116">
      <c r="A5116" s="308">
        <v>5115.0</v>
      </c>
      <c r="B5116" s="308"/>
      <c r="C5116" s="308" t="s">
        <v>20589</v>
      </c>
      <c r="D5116" s="308">
        <f>IFERROR(__xludf.DUMMYFUNCTION("SPLIT(C5116,""-"")"),5136.0)</f>
        <v>5136</v>
      </c>
      <c r="E5116" s="308" t="str">
        <f>IFERROR(__xludf.DUMMYFUNCTION("""COMPUTED_VALUE"""),"K")</f>
        <v>K</v>
      </c>
      <c r="F5116" s="309" t="s">
        <v>34</v>
      </c>
      <c r="G5116" s="308"/>
      <c r="H5116" s="308" t="s">
        <v>20590</v>
      </c>
      <c r="I5116" s="310">
        <v>42590.0</v>
      </c>
      <c r="J5116" s="319">
        <f>IFERROR(__xludf.DUMMYFUNCTION("SPLIT(I5116,""/"")"),8.0)</f>
        <v>8</v>
      </c>
      <c r="K5116" s="308">
        <f>IFERROR(__xludf.DUMMYFUNCTION("""COMPUTED_VALUE"""),8.0)</f>
        <v>8</v>
      </c>
      <c r="L5116" s="308">
        <f>IFERROR(__xludf.DUMMYFUNCTION("""COMPUTED_VALUE"""),2016.0)</f>
        <v>2016</v>
      </c>
      <c r="M5116" s="308" t="s">
        <v>20591</v>
      </c>
      <c r="N5116" s="308"/>
      <c r="O5116" s="308"/>
      <c r="P5116" s="308" t="s">
        <v>5679</v>
      </c>
      <c r="Q5116" s="308" t="s">
        <v>38165</v>
      </c>
      <c r="R5116" s="308" t="s">
        <v>16185</v>
      </c>
      <c r="S5116" s="315" t="s">
        <v>100</v>
      </c>
      <c r="T5116" s="311" t="s">
        <v>34208</v>
      </c>
      <c r="U5116" s="308" t="s">
        <v>368</v>
      </c>
      <c r="V5116" s="308"/>
    </row>
    <row r="5117">
      <c r="A5117" s="308">
        <v>5116.0</v>
      </c>
      <c r="B5117" s="308"/>
      <c r="C5117" s="308" t="s">
        <v>20592</v>
      </c>
      <c r="D5117" s="308">
        <f>IFERROR(__xludf.DUMMYFUNCTION("SPLIT(C5117,""-"")"),5137.0)</f>
        <v>5137</v>
      </c>
      <c r="E5117" s="308" t="str">
        <f>IFERROR(__xludf.DUMMYFUNCTION("""COMPUTED_VALUE"""),"P")</f>
        <v>P</v>
      </c>
      <c r="F5117" s="312" t="s">
        <v>37</v>
      </c>
      <c r="G5117" s="308"/>
      <c r="H5117" s="308" t="s">
        <v>20593</v>
      </c>
      <c r="I5117" s="310">
        <v>42810.0</v>
      </c>
      <c r="J5117" s="319">
        <f>IFERROR(__xludf.DUMMYFUNCTION("SPLIT(I5117,""/"")"),16.0)</f>
        <v>16</v>
      </c>
      <c r="K5117" s="308">
        <f>IFERROR(__xludf.DUMMYFUNCTION("""COMPUTED_VALUE"""),3.0)</f>
        <v>3</v>
      </c>
      <c r="L5117" s="308">
        <f>IFERROR(__xludf.DUMMYFUNCTION("""COMPUTED_VALUE"""),2017.0)</f>
        <v>2017</v>
      </c>
      <c r="M5117" s="308" t="s">
        <v>20594</v>
      </c>
      <c r="N5117" s="308"/>
      <c r="O5117" s="308"/>
      <c r="P5117" s="308" t="s">
        <v>7523</v>
      </c>
      <c r="Q5117" s="308" t="s">
        <v>38165</v>
      </c>
      <c r="R5117" s="308" t="s">
        <v>2743</v>
      </c>
      <c r="S5117" s="315" t="s">
        <v>100</v>
      </c>
      <c r="T5117" s="311" t="s">
        <v>34208</v>
      </c>
      <c r="U5117" s="308" t="s">
        <v>143</v>
      </c>
      <c r="V5117" s="308"/>
    </row>
    <row r="5118">
      <c r="A5118" s="308">
        <v>5117.0</v>
      </c>
      <c r="B5118" s="308"/>
      <c r="C5118" s="308" t="s">
        <v>20595</v>
      </c>
      <c r="D5118" s="308">
        <f>IFERROR(__xludf.DUMMYFUNCTION("SPLIT(C5118,""-"")"),5138.0)</f>
        <v>5138</v>
      </c>
      <c r="E5118" s="308" t="str">
        <f>IFERROR(__xludf.DUMMYFUNCTION("""COMPUTED_VALUE"""),"P")</f>
        <v>P</v>
      </c>
      <c r="F5118" s="312" t="s">
        <v>37</v>
      </c>
      <c r="G5118" s="308"/>
      <c r="H5118" s="308" t="s">
        <v>20596</v>
      </c>
      <c r="I5118" s="310">
        <v>42813.0</v>
      </c>
      <c r="J5118" s="319">
        <f>IFERROR(__xludf.DUMMYFUNCTION("SPLIT(I5118,""/"")"),19.0)</f>
        <v>19</v>
      </c>
      <c r="K5118" s="308">
        <f>IFERROR(__xludf.DUMMYFUNCTION("""COMPUTED_VALUE"""),3.0)</f>
        <v>3</v>
      </c>
      <c r="L5118" s="308">
        <f>IFERROR(__xludf.DUMMYFUNCTION("""COMPUTED_VALUE"""),2017.0)</f>
        <v>2017</v>
      </c>
      <c r="M5118" s="308" t="s">
        <v>20597</v>
      </c>
      <c r="N5118" s="308"/>
      <c r="O5118" s="308"/>
      <c r="P5118" s="308" t="s">
        <v>7523</v>
      </c>
      <c r="Q5118" s="308" t="s">
        <v>38165</v>
      </c>
      <c r="R5118" s="308" t="s">
        <v>2743</v>
      </c>
      <c r="S5118" s="315" t="s">
        <v>100</v>
      </c>
      <c r="T5118" s="311" t="s">
        <v>34208</v>
      </c>
      <c r="U5118" s="308" t="s">
        <v>143</v>
      </c>
      <c r="V5118" s="308"/>
    </row>
    <row r="5119">
      <c r="A5119" s="308">
        <v>5118.0</v>
      </c>
      <c r="B5119" s="308"/>
      <c r="C5119" s="308" t="s">
        <v>20598</v>
      </c>
      <c r="D5119" s="308">
        <f>IFERROR(__xludf.DUMMYFUNCTION("SPLIT(C5119,""-"")"),5139.0)</f>
        <v>5139</v>
      </c>
      <c r="E5119" s="308" t="str">
        <f>IFERROR(__xludf.DUMMYFUNCTION("""COMPUTED_VALUE"""),"P")</f>
        <v>P</v>
      </c>
      <c r="F5119" s="312" t="s">
        <v>37</v>
      </c>
      <c r="G5119" s="308"/>
      <c r="H5119" s="308" t="s">
        <v>20599</v>
      </c>
      <c r="I5119" s="310">
        <v>43224.0</v>
      </c>
      <c r="J5119" s="319">
        <f>IFERROR(__xludf.DUMMYFUNCTION("SPLIT(I5119,""/"")"),4.0)</f>
        <v>4</v>
      </c>
      <c r="K5119" s="308">
        <f>IFERROR(__xludf.DUMMYFUNCTION("""COMPUTED_VALUE"""),5.0)</f>
        <v>5</v>
      </c>
      <c r="L5119" s="308">
        <f>IFERROR(__xludf.DUMMYFUNCTION("""COMPUTED_VALUE"""),2018.0)</f>
        <v>2018</v>
      </c>
      <c r="M5119" s="308" t="s">
        <v>20600</v>
      </c>
      <c r="N5119" s="308" t="s">
        <v>20601</v>
      </c>
      <c r="O5119" s="308"/>
      <c r="P5119" s="308" t="s">
        <v>20602</v>
      </c>
      <c r="Q5119" s="308" t="s">
        <v>38165</v>
      </c>
      <c r="R5119" s="308" t="s">
        <v>2743</v>
      </c>
      <c r="S5119" s="308" t="s">
        <v>81</v>
      </c>
      <c r="T5119" s="311" t="s">
        <v>75</v>
      </c>
      <c r="U5119" s="308" t="s">
        <v>149</v>
      </c>
      <c r="V5119" s="308"/>
    </row>
    <row r="5120">
      <c r="A5120" s="308">
        <v>5119.0</v>
      </c>
      <c r="B5120" s="308"/>
      <c r="C5120" s="308" t="s">
        <v>20603</v>
      </c>
      <c r="D5120" s="308">
        <f>IFERROR(__xludf.DUMMYFUNCTION("SPLIT(C5120,""-"")"),5140.0)</f>
        <v>5140</v>
      </c>
      <c r="E5120" s="308" t="str">
        <f>IFERROR(__xludf.DUMMYFUNCTION("""COMPUTED_VALUE"""),"K")</f>
        <v>K</v>
      </c>
      <c r="F5120" s="309" t="s">
        <v>34</v>
      </c>
      <c r="G5120" s="308"/>
      <c r="H5120" s="308" t="s">
        <v>20604</v>
      </c>
      <c r="I5120" s="314">
        <v>41936.0</v>
      </c>
      <c r="J5120" s="319">
        <f>IFERROR(__xludf.DUMMYFUNCTION("SPLIT(I5120,""/"")"),24.0)</f>
        <v>24</v>
      </c>
      <c r="K5120" s="308">
        <f>IFERROR(__xludf.DUMMYFUNCTION("""COMPUTED_VALUE"""),10.0)</f>
        <v>10</v>
      </c>
      <c r="L5120" s="308">
        <f>IFERROR(__xludf.DUMMYFUNCTION("""COMPUTED_VALUE"""),2014.0)</f>
        <v>2014</v>
      </c>
      <c r="M5120" s="308" t="s">
        <v>20605</v>
      </c>
      <c r="N5120" s="308"/>
      <c r="O5120" s="308"/>
      <c r="P5120" s="308" t="s">
        <v>20606</v>
      </c>
      <c r="Q5120" s="308" t="s">
        <v>38165</v>
      </c>
      <c r="R5120" s="308" t="s">
        <v>2743</v>
      </c>
      <c r="S5120" s="308" t="s">
        <v>81</v>
      </c>
      <c r="T5120" s="308" t="s">
        <v>34264</v>
      </c>
      <c r="U5120" s="308" t="s">
        <v>872</v>
      </c>
      <c r="V5120" s="308"/>
    </row>
    <row r="5121">
      <c r="A5121" s="308">
        <v>5120.0</v>
      </c>
      <c r="B5121" s="308"/>
      <c r="C5121" s="308" t="s">
        <v>20607</v>
      </c>
      <c r="D5121" s="308">
        <f>IFERROR(__xludf.DUMMYFUNCTION("SPLIT(C5121,""-"")"),5141.0)</f>
        <v>5141</v>
      </c>
      <c r="E5121" s="308" t="str">
        <f>IFERROR(__xludf.DUMMYFUNCTION("""COMPUTED_VALUE"""),"K")</f>
        <v>K</v>
      </c>
      <c r="F5121" s="309" t="s">
        <v>34</v>
      </c>
      <c r="G5121" s="308"/>
      <c r="H5121" s="308" t="s">
        <v>38170</v>
      </c>
      <c r="I5121" s="310">
        <v>39634.0</v>
      </c>
      <c r="J5121" s="319">
        <f>IFERROR(__xludf.DUMMYFUNCTION("SPLIT(I5121,""/"")"),5.0)</f>
        <v>5</v>
      </c>
      <c r="K5121" s="308">
        <f>IFERROR(__xludf.DUMMYFUNCTION("""COMPUTED_VALUE"""),7.0)</f>
        <v>7</v>
      </c>
      <c r="L5121" s="308">
        <f>IFERROR(__xludf.DUMMYFUNCTION("""COMPUTED_VALUE"""),2008.0)</f>
        <v>2008</v>
      </c>
      <c r="M5121" s="308" t="s">
        <v>38171</v>
      </c>
      <c r="N5121" s="308"/>
      <c r="O5121" s="308"/>
      <c r="P5121" s="308" t="s">
        <v>38172</v>
      </c>
      <c r="Q5121" s="308" t="s">
        <v>38165</v>
      </c>
      <c r="R5121" s="308" t="s">
        <v>2743</v>
      </c>
      <c r="S5121" s="308" t="s">
        <v>49</v>
      </c>
      <c r="T5121" s="311" t="s">
        <v>59</v>
      </c>
      <c r="U5121" s="308" t="s">
        <v>2097</v>
      </c>
      <c r="V5121" s="308"/>
    </row>
    <row r="5122">
      <c r="A5122" s="308">
        <v>5121.0</v>
      </c>
      <c r="B5122" s="308"/>
      <c r="C5122" s="308" t="s">
        <v>20611</v>
      </c>
      <c r="D5122" s="308">
        <f>IFERROR(__xludf.DUMMYFUNCTION("SPLIT(C5122,""-"")"),5142.0)</f>
        <v>5142</v>
      </c>
      <c r="E5122" s="308" t="str">
        <f>IFERROR(__xludf.DUMMYFUNCTION("""COMPUTED_VALUE"""),"P")</f>
        <v>P</v>
      </c>
      <c r="F5122" s="312" t="s">
        <v>37</v>
      </c>
      <c r="G5122" s="308"/>
      <c r="H5122" s="308" t="s">
        <v>20612</v>
      </c>
      <c r="I5122" s="310">
        <v>43157.0</v>
      </c>
      <c r="J5122" s="319">
        <f>IFERROR(__xludf.DUMMYFUNCTION("SPLIT(I5122,""/"")"),26.0)</f>
        <v>26</v>
      </c>
      <c r="K5122" s="308">
        <f>IFERROR(__xludf.DUMMYFUNCTION("""COMPUTED_VALUE"""),2.0)</f>
        <v>2</v>
      </c>
      <c r="L5122" s="308">
        <f>IFERROR(__xludf.DUMMYFUNCTION("""COMPUTED_VALUE"""),2018.0)</f>
        <v>2018</v>
      </c>
      <c r="M5122" s="308" t="s">
        <v>20613</v>
      </c>
      <c r="N5122" s="308"/>
      <c r="O5122" s="308" t="s">
        <v>20614</v>
      </c>
      <c r="P5122" s="308" t="s">
        <v>20615</v>
      </c>
      <c r="Q5122" s="308" t="s">
        <v>38165</v>
      </c>
      <c r="R5122" s="308" t="s">
        <v>34322</v>
      </c>
      <c r="S5122" s="308" t="s">
        <v>81</v>
      </c>
      <c r="T5122" s="311" t="s">
        <v>96</v>
      </c>
      <c r="U5122" s="308" t="s">
        <v>149</v>
      </c>
      <c r="V5122" s="308"/>
    </row>
    <row r="5123">
      <c r="A5123" s="308">
        <v>5122.0</v>
      </c>
      <c r="B5123" s="308"/>
      <c r="C5123" s="308" t="s">
        <v>20616</v>
      </c>
      <c r="D5123" s="308">
        <f>IFERROR(__xludf.DUMMYFUNCTION("SPLIT(C5123,""-"")"),5143.0)</f>
        <v>5143</v>
      </c>
      <c r="E5123" s="308" t="str">
        <f>IFERROR(__xludf.DUMMYFUNCTION("""COMPUTED_VALUE"""),"P")</f>
        <v>P</v>
      </c>
      <c r="F5123" s="312" t="s">
        <v>37</v>
      </c>
      <c r="G5123" s="308"/>
      <c r="H5123" s="308" t="s">
        <v>20617</v>
      </c>
      <c r="I5123" s="310">
        <v>43132.0</v>
      </c>
      <c r="J5123" s="319">
        <f>IFERROR(__xludf.DUMMYFUNCTION("SPLIT(I5123,""/"")"),1.0)</f>
        <v>1</v>
      </c>
      <c r="K5123" s="308">
        <f>IFERROR(__xludf.DUMMYFUNCTION("""COMPUTED_VALUE"""),2.0)</f>
        <v>2</v>
      </c>
      <c r="L5123" s="308">
        <f>IFERROR(__xludf.DUMMYFUNCTION("""COMPUTED_VALUE"""),2018.0)</f>
        <v>2018</v>
      </c>
      <c r="M5123" s="308" t="s">
        <v>20618</v>
      </c>
      <c r="N5123" s="308"/>
      <c r="O5123" s="308"/>
      <c r="P5123" s="308" t="s">
        <v>20619</v>
      </c>
      <c r="Q5123" s="308" t="s">
        <v>38165</v>
      </c>
      <c r="R5123" s="308" t="s">
        <v>2743</v>
      </c>
      <c r="S5123" s="308" t="s">
        <v>81</v>
      </c>
      <c r="T5123" s="308" t="s">
        <v>98</v>
      </c>
      <c r="U5123" s="308" t="s">
        <v>4273</v>
      </c>
      <c r="V5123" s="308"/>
    </row>
    <row r="5124">
      <c r="A5124" s="308">
        <v>5123.0</v>
      </c>
      <c r="B5124" s="308"/>
      <c r="C5124" s="308" t="s">
        <v>20620</v>
      </c>
      <c r="D5124" s="308">
        <f>IFERROR(__xludf.DUMMYFUNCTION("SPLIT(C5124,""-"")"),5144.0)</f>
        <v>5144</v>
      </c>
      <c r="E5124" s="308" t="str">
        <f>IFERROR(__xludf.DUMMYFUNCTION("""COMPUTED_VALUE"""),"F")</f>
        <v>F</v>
      </c>
      <c r="F5124" s="309" t="s">
        <v>34</v>
      </c>
      <c r="G5124" s="308"/>
      <c r="H5124" s="308" t="s">
        <v>20621</v>
      </c>
      <c r="I5124" s="314">
        <v>42663.0</v>
      </c>
      <c r="J5124" s="319">
        <f>IFERROR(__xludf.DUMMYFUNCTION("SPLIT(I5124,""/"")"),20.0)</f>
        <v>20</v>
      </c>
      <c r="K5124" s="308">
        <f>IFERROR(__xludf.DUMMYFUNCTION("""COMPUTED_VALUE"""),10.0)</f>
        <v>10</v>
      </c>
      <c r="L5124" s="308">
        <f>IFERROR(__xludf.DUMMYFUNCTION("""COMPUTED_VALUE"""),2016.0)</f>
        <v>2016</v>
      </c>
      <c r="M5124" s="308" t="s">
        <v>20622</v>
      </c>
      <c r="N5124" s="308"/>
      <c r="O5124" s="308"/>
      <c r="P5124" s="308" t="s">
        <v>38173</v>
      </c>
      <c r="Q5124" s="308" t="s">
        <v>38165</v>
      </c>
      <c r="R5124" s="308" t="s">
        <v>2743</v>
      </c>
      <c r="S5124" s="308" t="s">
        <v>81</v>
      </c>
      <c r="T5124" s="308" t="s">
        <v>73</v>
      </c>
      <c r="U5124" s="308" t="s">
        <v>195</v>
      </c>
      <c r="V5124" s="308"/>
    </row>
    <row r="5125">
      <c r="A5125" s="308">
        <v>5124.0</v>
      </c>
      <c r="B5125" s="308"/>
      <c r="C5125" s="308" t="s">
        <v>20624</v>
      </c>
      <c r="D5125" s="308">
        <f>IFERROR(__xludf.DUMMYFUNCTION("SPLIT(C5125,""-"")"),5145.0)</f>
        <v>5145</v>
      </c>
      <c r="E5125" s="308" t="str">
        <f>IFERROR(__xludf.DUMMYFUNCTION("""COMPUTED_VALUE"""),"K")</f>
        <v>K</v>
      </c>
      <c r="F5125" s="309" t="s">
        <v>34</v>
      </c>
      <c r="G5125" s="308"/>
      <c r="H5125" s="308" t="s">
        <v>20625</v>
      </c>
      <c r="I5125" s="310">
        <v>40975.0</v>
      </c>
      <c r="J5125" s="319">
        <f>IFERROR(__xludf.DUMMYFUNCTION("SPLIT(I5125,""/"")"),7.0)</f>
        <v>7</v>
      </c>
      <c r="K5125" s="308">
        <f>IFERROR(__xludf.DUMMYFUNCTION("""COMPUTED_VALUE"""),3.0)</f>
        <v>3</v>
      </c>
      <c r="L5125" s="308">
        <f>IFERROR(__xludf.DUMMYFUNCTION("""COMPUTED_VALUE"""),2012.0)</f>
        <v>2012</v>
      </c>
      <c r="M5125" s="308" t="s">
        <v>20626</v>
      </c>
      <c r="N5125" s="308"/>
      <c r="O5125" s="308"/>
      <c r="P5125" s="308" t="s">
        <v>20627</v>
      </c>
      <c r="Q5125" s="308" t="s">
        <v>38165</v>
      </c>
      <c r="R5125" s="308" t="s">
        <v>2743</v>
      </c>
      <c r="S5125" s="308" t="s">
        <v>81</v>
      </c>
      <c r="T5125" s="308" t="s">
        <v>34264</v>
      </c>
      <c r="U5125" s="308" t="s">
        <v>2989</v>
      </c>
      <c r="V5125" s="308"/>
    </row>
    <row r="5126">
      <c r="A5126" s="308">
        <v>5125.0</v>
      </c>
      <c r="B5126" s="308"/>
      <c r="C5126" s="308" t="s">
        <v>20628</v>
      </c>
      <c r="D5126" s="308">
        <f>IFERROR(__xludf.DUMMYFUNCTION("SPLIT(C5126,""-"")"),5146.0)</f>
        <v>5146</v>
      </c>
      <c r="E5126" s="308" t="str">
        <f>IFERROR(__xludf.DUMMYFUNCTION("""COMPUTED_VALUE"""),"K")</f>
        <v>K</v>
      </c>
      <c r="F5126" s="309" t="s">
        <v>34</v>
      </c>
      <c r="G5126" s="308"/>
      <c r="H5126" s="308" t="s">
        <v>20629</v>
      </c>
      <c r="I5126" s="310">
        <v>42780.0</v>
      </c>
      <c r="J5126" s="319" t="str">
        <f>IFERROR(__xludf.DUMMYFUNCTION("SPLIT(I5126,""/"")"),"#REF!")</f>
        <v>#REF!</v>
      </c>
      <c r="K5126" s="308"/>
      <c r="L5126" s="308">
        <v>2017.0</v>
      </c>
      <c r="M5126" s="308" t="s">
        <v>20630</v>
      </c>
      <c r="N5126" s="308"/>
      <c r="O5126" s="308"/>
      <c r="P5126" s="308" t="s">
        <v>38174</v>
      </c>
      <c r="Q5126" s="308" t="s">
        <v>38165</v>
      </c>
      <c r="R5126" s="308" t="s">
        <v>2743</v>
      </c>
      <c r="S5126" s="308" t="s">
        <v>81</v>
      </c>
      <c r="T5126" s="308" t="s">
        <v>34264</v>
      </c>
      <c r="U5126" s="308" t="s">
        <v>125</v>
      </c>
      <c r="V5126" s="308"/>
    </row>
    <row r="5127">
      <c r="A5127" s="308">
        <v>5126.0</v>
      </c>
      <c r="B5127" s="308"/>
      <c r="C5127" s="308" t="s">
        <v>20632</v>
      </c>
      <c r="D5127" s="308">
        <f>IFERROR(__xludf.DUMMYFUNCTION("SPLIT(C5127,""-"")"),5147.0)</f>
        <v>5147</v>
      </c>
      <c r="E5127" s="308" t="str">
        <f>IFERROR(__xludf.DUMMYFUNCTION("""COMPUTED_VALUE"""),"I")</f>
        <v>I</v>
      </c>
      <c r="F5127" s="309" t="s">
        <v>31</v>
      </c>
      <c r="G5127" s="308"/>
      <c r="H5127" s="308" t="s">
        <v>20633</v>
      </c>
      <c r="I5127" s="310">
        <v>41823.0</v>
      </c>
      <c r="J5127" s="319">
        <f>IFERROR(__xludf.DUMMYFUNCTION("SPLIT(I5127,""/"")"),3.0)</f>
        <v>3</v>
      </c>
      <c r="K5127" s="308">
        <f>IFERROR(__xludf.DUMMYFUNCTION("""COMPUTED_VALUE"""),7.0)</f>
        <v>7</v>
      </c>
      <c r="L5127" s="308">
        <f>IFERROR(__xludf.DUMMYFUNCTION("""COMPUTED_VALUE"""),2014.0)</f>
        <v>2014</v>
      </c>
      <c r="M5127" s="308" t="s">
        <v>20634</v>
      </c>
      <c r="N5127" s="308" t="s">
        <v>20635</v>
      </c>
      <c r="O5127" s="308"/>
      <c r="P5127" s="308" t="s">
        <v>34212</v>
      </c>
      <c r="Q5127" s="308" t="s">
        <v>38165</v>
      </c>
      <c r="R5127" s="308" t="s">
        <v>2743</v>
      </c>
      <c r="S5127" s="315" t="s">
        <v>100</v>
      </c>
      <c r="T5127" s="311" t="s">
        <v>34208</v>
      </c>
      <c r="U5127" s="308" t="s">
        <v>31</v>
      </c>
      <c r="V5127" s="308"/>
    </row>
    <row r="5128">
      <c r="A5128" s="308">
        <v>5127.0</v>
      </c>
      <c r="B5128" s="308"/>
      <c r="C5128" s="308" t="s">
        <v>20636</v>
      </c>
      <c r="D5128" s="308">
        <f>IFERROR(__xludf.DUMMYFUNCTION("SPLIT(C5128,""-"")"),5148.0)</f>
        <v>5148</v>
      </c>
      <c r="E5128" s="308" t="str">
        <f>IFERROR(__xludf.DUMMYFUNCTION("""COMPUTED_VALUE"""),"K")</f>
        <v>K</v>
      </c>
      <c r="F5128" s="309" t="s">
        <v>34</v>
      </c>
      <c r="G5128" s="308"/>
      <c r="H5128" s="308" t="s">
        <v>38175</v>
      </c>
      <c r="I5128" s="310">
        <v>42168.0</v>
      </c>
      <c r="J5128" s="319">
        <f>IFERROR(__xludf.DUMMYFUNCTION("SPLIT(I5128,""/"")"),13.0)</f>
        <v>13</v>
      </c>
      <c r="K5128" s="308">
        <f>IFERROR(__xludf.DUMMYFUNCTION("""COMPUTED_VALUE"""),6.0)</f>
        <v>6</v>
      </c>
      <c r="L5128" s="308">
        <f>IFERROR(__xludf.DUMMYFUNCTION("""COMPUTED_VALUE"""),2015.0)</f>
        <v>2015</v>
      </c>
      <c r="M5128" s="308" t="s">
        <v>20638</v>
      </c>
      <c r="N5128" s="308"/>
      <c r="O5128" s="308"/>
      <c r="P5128" s="308" t="s">
        <v>5679</v>
      </c>
      <c r="Q5128" s="308" t="s">
        <v>38165</v>
      </c>
      <c r="R5128" s="308" t="s">
        <v>2743</v>
      </c>
      <c r="S5128" s="315" t="s">
        <v>100</v>
      </c>
      <c r="T5128" s="311" t="s">
        <v>34208</v>
      </c>
      <c r="U5128" s="308" t="s">
        <v>542</v>
      </c>
      <c r="V5128" s="308"/>
    </row>
    <row r="5129">
      <c r="A5129" s="308">
        <v>5128.0</v>
      </c>
      <c r="B5129" s="308"/>
      <c r="C5129" s="308" t="s">
        <v>20639</v>
      </c>
      <c r="D5129" s="308">
        <f>IFERROR(__xludf.DUMMYFUNCTION("SPLIT(C5129,""-"")"),5149.0)</f>
        <v>5149</v>
      </c>
      <c r="E5129" s="308" t="str">
        <f>IFERROR(__xludf.DUMMYFUNCTION("""COMPUTED_VALUE"""),"I")</f>
        <v>I</v>
      </c>
      <c r="F5129" s="309" t="s">
        <v>31</v>
      </c>
      <c r="G5129" s="308"/>
      <c r="H5129" s="308" t="s">
        <v>20640</v>
      </c>
      <c r="I5129" s="310">
        <v>43202.0</v>
      </c>
      <c r="J5129" s="319">
        <f>IFERROR(__xludf.DUMMYFUNCTION("SPLIT(I5129,""/"")"),12.0)</f>
        <v>12</v>
      </c>
      <c r="K5129" s="308">
        <f>IFERROR(__xludf.DUMMYFUNCTION("""COMPUTED_VALUE"""),4.0)</f>
        <v>4</v>
      </c>
      <c r="L5129" s="308">
        <f>IFERROR(__xludf.DUMMYFUNCTION("""COMPUTED_VALUE"""),2018.0)</f>
        <v>2018</v>
      </c>
      <c r="M5129" s="308" t="s">
        <v>20641</v>
      </c>
      <c r="N5129" s="308"/>
      <c r="O5129" s="308" t="s">
        <v>20642</v>
      </c>
      <c r="P5129" s="308" t="s">
        <v>38176</v>
      </c>
      <c r="Q5129" s="308" t="s">
        <v>38165</v>
      </c>
      <c r="R5129" s="308" t="s">
        <v>2743</v>
      </c>
      <c r="S5129" s="308" t="s">
        <v>81</v>
      </c>
      <c r="T5129" s="308" t="s">
        <v>73</v>
      </c>
      <c r="U5129" s="308" t="s">
        <v>31</v>
      </c>
      <c r="V5129" s="308"/>
    </row>
    <row r="5130">
      <c r="A5130" s="308">
        <v>5129.0</v>
      </c>
      <c r="B5130" s="308"/>
      <c r="C5130" s="308" t="s">
        <v>20644</v>
      </c>
      <c r="D5130" s="308">
        <f>IFERROR(__xludf.DUMMYFUNCTION("SPLIT(C5130,""-"")"),5150.0)</f>
        <v>5150</v>
      </c>
      <c r="E5130" s="308" t="str">
        <f>IFERROR(__xludf.DUMMYFUNCTION("""COMPUTED_VALUE"""),"S")</f>
        <v>S</v>
      </c>
      <c r="F5130" s="312" t="s">
        <v>39</v>
      </c>
      <c r="G5130" s="308"/>
      <c r="H5130" s="308" t="s">
        <v>20645</v>
      </c>
      <c r="I5130" s="314">
        <v>40162.0</v>
      </c>
      <c r="J5130" s="319">
        <f>IFERROR(__xludf.DUMMYFUNCTION("SPLIT(I5130,""/"")"),15.0)</f>
        <v>15</v>
      </c>
      <c r="K5130" s="308">
        <f>IFERROR(__xludf.DUMMYFUNCTION("""COMPUTED_VALUE"""),12.0)</f>
        <v>12</v>
      </c>
      <c r="L5130" s="308">
        <f>IFERROR(__xludf.DUMMYFUNCTION("""COMPUTED_VALUE"""),2009.0)</f>
        <v>2009</v>
      </c>
      <c r="M5130" s="308" t="s">
        <v>20646</v>
      </c>
      <c r="N5130" s="308"/>
      <c r="O5130" s="308"/>
      <c r="P5130" s="308" t="s">
        <v>20647</v>
      </c>
      <c r="Q5130" s="308" t="s">
        <v>38177</v>
      </c>
      <c r="R5130" s="308" t="s">
        <v>2743</v>
      </c>
      <c r="S5130" s="308" t="s">
        <v>49</v>
      </c>
      <c r="T5130" s="311" t="s">
        <v>70</v>
      </c>
      <c r="U5130" s="308" t="s">
        <v>166</v>
      </c>
      <c r="V5130" s="308"/>
    </row>
    <row r="5131">
      <c r="A5131" s="308">
        <v>5130.0</v>
      </c>
      <c r="B5131" s="308"/>
      <c r="C5131" s="308" t="s">
        <v>20648</v>
      </c>
      <c r="D5131" s="308">
        <f>IFERROR(__xludf.DUMMYFUNCTION("SPLIT(C5131,""-"")"),5151.0)</f>
        <v>5151</v>
      </c>
      <c r="E5131" s="308" t="str">
        <f>IFERROR(__xludf.DUMMYFUNCTION("""COMPUTED_VALUE"""),"F")</f>
        <v>F</v>
      </c>
      <c r="F5131" s="309" t="s">
        <v>34</v>
      </c>
      <c r="G5131" s="308"/>
      <c r="H5131" s="308" t="s">
        <v>20649</v>
      </c>
      <c r="I5131" s="310">
        <v>43135.0</v>
      </c>
      <c r="J5131" s="319">
        <f>IFERROR(__xludf.DUMMYFUNCTION("SPLIT(I5131,""/"")"),4.0)</f>
        <v>4</v>
      </c>
      <c r="K5131" s="308">
        <f>IFERROR(__xludf.DUMMYFUNCTION("""COMPUTED_VALUE"""),2.0)</f>
        <v>2</v>
      </c>
      <c r="L5131" s="308">
        <f>IFERROR(__xludf.DUMMYFUNCTION("""COMPUTED_VALUE"""),2018.0)</f>
        <v>2018</v>
      </c>
      <c r="M5131" s="308" t="s">
        <v>20650</v>
      </c>
      <c r="N5131" s="308"/>
      <c r="O5131" s="308"/>
      <c r="P5131" s="308" t="s">
        <v>38178</v>
      </c>
      <c r="Q5131" s="308" t="s">
        <v>38177</v>
      </c>
      <c r="R5131" s="308" t="s">
        <v>2743</v>
      </c>
      <c r="S5131" s="308" t="s">
        <v>81</v>
      </c>
      <c r="T5131" s="308" t="s">
        <v>73</v>
      </c>
      <c r="U5131" s="308" t="s">
        <v>195</v>
      </c>
      <c r="V5131" s="308"/>
    </row>
    <row r="5132">
      <c r="A5132" s="308">
        <v>5131.0</v>
      </c>
      <c r="B5132" s="308"/>
      <c r="C5132" s="308" t="s">
        <v>20652</v>
      </c>
      <c r="D5132" s="308">
        <f>IFERROR(__xludf.DUMMYFUNCTION("SPLIT(C5132,""-"")"),5152.0)</f>
        <v>5152</v>
      </c>
      <c r="E5132" s="308" t="str">
        <f>IFERROR(__xludf.DUMMYFUNCTION("""COMPUTED_VALUE"""),"F")</f>
        <v>F</v>
      </c>
      <c r="F5132" s="309" t="s">
        <v>34</v>
      </c>
      <c r="G5132" s="308"/>
      <c r="H5132" s="308" t="s">
        <v>20653</v>
      </c>
      <c r="I5132" s="310">
        <v>42267.0</v>
      </c>
      <c r="J5132" s="319">
        <f>IFERROR(__xludf.DUMMYFUNCTION("SPLIT(I5132,""/"")"),20.0)</f>
        <v>20</v>
      </c>
      <c r="K5132" s="308">
        <f>IFERROR(__xludf.DUMMYFUNCTION("""COMPUTED_VALUE"""),9.0)</f>
        <v>9</v>
      </c>
      <c r="L5132" s="308">
        <f>IFERROR(__xludf.DUMMYFUNCTION("""COMPUTED_VALUE"""),2015.0)</f>
        <v>2015</v>
      </c>
      <c r="M5132" s="308" t="s">
        <v>20654</v>
      </c>
      <c r="N5132" s="308"/>
      <c r="O5132" s="308"/>
      <c r="P5132" s="308" t="s">
        <v>6393</v>
      </c>
      <c r="Q5132" s="308" t="s">
        <v>38177</v>
      </c>
      <c r="R5132" s="308" t="s">
        <v>2743</v>
      </c>
      <c r="S5132" s="315" t="s">
        <v>100</v>
      </c>
      <c r="T5132" s="311" t="s">
        <v>34208</v>
      </c>
      <c r="U5132" s="308" t="s">
        <v>195</v>
      </c>
      <c r="V5132" s="308"/>
    </row>
    <row r="5133">
      <c r="A5133" s="308">
        <v>5132.0</v>
      </c>
      <c r="B5133" s="308"/>
      <c r="C5133" s="308" t="s">
        <v>20655</v>
      </c>
      <c r="D5133" s="308">
        <f>IFERROR(__xludf.DUMMYFUNCTION("SPLIT(C5133,""-"")"),5153.0)</f>
        <v>5153</v>
      </c>
      <c r="E5133" s="308" t="str">
        <f>IFERROR(__xludf.DUMMYFUNCTION("""COMPUTED_VALUE"""),"F")</f>
        <v>F</v>
      </c>
      <c r="F5133" s="309" t="s">
        <v>34</v>
      </c>
      <c r="G5133" s="308"/>
      <c r="H5133" s="308" t="s">
        <v>20656</v>
      </c>
      <c r="I5133" s="314">
        <v>42321.0</v>
      </c>
      <c r="J5133" s="319">
        <f>IFERROR(__xludf.DUMMYFUNCTION("SPLIT(I5133,""/"")"),13.0)</f>
        <v>13</v>
      </c>
      <c r="K5133" s="308">
        <f>IFERROR(__xludf.DUMMYFUNCTION("""COMPUTED_VALUE"""),11.0)</f>
        <v>11</v>
      </c>
      <c r="L5133" s="308">
        <f>IFERROR(__xludf.DUMMYFUNCTION("""COMPUTED_VALUE"""),2015.0)</f>
        <v>2015</v>
      </c>
      <c r="M5133" s="308" t="s">
        <v>20657</v>
      </c>
      <c r="N5133" s="308"/>
      <c r="O5133" s="308"/>
      <c r="P5133" s="308" t="s">
        <v>6393</v>
      </c>
      <c r="Q5133" s="308" t="s">
        <v>38177</v>
      </c>
      <c r="R5133" s="308" t="s">
        <v>2743</v>
      </c>
      <c r="S5133" s="315" t="s">
        <v>100</v>
      </c>
      <c r="T5133" s="311" t="s">
        <v>34208</v>
      </c>
      <c r="U5133" s="308" t="s">
        <v>195</v>
      </c>
      <c r="V5133" s="308"/>
    </row>
    <row r="5134">
      <c r="A5134" s="308">
        <v>5133.0</v>
      </c>
      <c r="B5134" s="308"/>
      <c r="C5134" s="308" t="s">
        <v>20658</v>
      </c>
      <c r="D5134" s="308">
        <f>IFERROR(__xludf.DUMMYFUNCTION("SPLIT(C5134,""-"")"),5154.0)</f>
        <v>5154</v>
      </c>
      <c r="E5134" s="308" t="str">
        <f>IFERROR(__xludf.DUMMYFUNCTION("""COMPUTED_VALUE"""),"K")</f>
        <v>K</v>
      </c>
      <c r="F5134" s="309" t="s">
        <v>34</v>
      </c>
      <c r="G5134" s="308"/>
      <c r="H5134" s="308" t="s">
        <v>20659</v>
      </c>
      <c r="I5134" s="314">
        <v>41999.0</v>
      </c>
      <c r="J5134" s="319">
        <f>IFERROR(__xludf.DUMMYFUNCTION("SPLIT(I5134,""/"")"),26.0)</f>
        <v>26</v>
      </c>
      <c r="K5134" s="308">
        <f>IFERROR(__xludf.DUMMYFUNCTION("""COMPUTED_VALUE"""),12.0)</f>
        <v>12</v>
      </c>
      <c r="L5134" s="308">
        <f>IFERROR(__xludf.DUMMYFUNCTION("""COMPUTED_VALUE"""),2014.0)</f>
        <v>2014</v>
      </c>
      <c r="M5134" s="308" t="s">
        <v>20660</v>
      </c>
      <c r="N5134" s="308"/>
      <c r="O5134" s="308"/>
      <c r="P5134" s="308" t="s">
        <v>38179</v>
      </c>
      <c r="Q5134" s="308" t="s">
        <v>38177</v>
      </c>
      <c r="R5134" s="308" t="s">
        <v>2743</v>
      </c>
      <c r="S5134" s="308" t="s">
        <v>49</v>
      </c>
      <c r="T5134" s="311" t="s">
        <v>51</v>
      </c>
      <c r="U5134" s="308" t="s">
        <v>2152</v>
      </c>
      <c r="V5134" s="308"/>
    </row>
    <row r="5135">
      <c r="A5135" s="308">
        <v>5134.0</v>
      </c>
      <c r="B5135" s="308"/>
      <c r="C5135" s="308" t="s">
        <v>20662</v>
      </c>
      <c r="D5135" s="308">
        <f>IFERROR(__xludf.DUMMYFUNCTION("SPLIT(C5135,""-"")"),5155.0)</f>
        <v>5155</v>
      </c>
      <c r="E5135" s="308" t="str">
        <f>IFERROR(__xludf.DUMMYFUNCTION("""COMPUTED_VALUE"""),"K")</f>
        <v>K</v>
      </c>
      <c r="F5135" s="309" t="s">
        <v>34</v>
      </c>
      <c r="G5135" s="308"/>
      <c r="H5135" s="308" t="s">
        <v>20663</v>
      </c>
      <c r="I5135" s="310">
        <v>42552.0</v>
      </c>
      <c r="J5135" s="319">
        <f>IFERROR(__xludf.DUMMYFUNCTION("SPLIT(I5135,""/"")"),1.0)</f>
        <v>1</v>
      </c>
      <c r="K5135" s="308">
        <f>IFERROR(__xludf.DUMMYFUNCTION("""COMPUTED_VALUE"""),7.0)</f>
        <v>7</v>
      </c>
      <c r="L5135" s="308">
        <f>IFERROR(__xludf.DUMMYFUNCTION("""COMPUTED_VALUE"""),2016.0)</f>
        <v>2016</v>
      </c>
      <c r="M5135" s="308" t="s">
        <v>20664</v>
      </c>
      <c r="N5135" s="308"/>
      <c r="O5135" s="308"/>
      <c r="P5135" s="308" t="s">
        <v>38180</v>
      </c>
      <c r="Q5135" s="308" t="s">
        <v>38177</v>
      </c>
      <c r="R5135" s="308" t="s">
        <v>2743</v>
      </c>
      <c r="S5135" s="308" t="s">
        <v>81</v>
      </c>
      <c r="T5135" s="308" t="s">
        <v>34264</v>
      </c>
      <c r="U5135" s="308" t="s">
        <v>125</v>
      </c>
      <c r="V5135" s="308"/>
    </row>
    <row r="5136">
      <c r="A5136" s="308">
        <v>5135.0</v>
      </c>
      <c r="B5136" s="308"/>
      <c r="C5136" s="308" t="s">
        <v>20666</v>
      </c>
      <c r="D5136" s="308">
        <f>IFERROR(__xludf.DUMMYFUNCTION("SPLIT(C5136,""-"")"),5156.0)</f>
        <v>5156</v>
      </c>
      <c r="E5136" s="308" t="str">
        <f>IFERROR(__xludf.DUMMYFUNCTION("""COMPUTED_VALUE"""),"K")</f>
        <v>K</v>
      </c>
      <c r="F5136" s="309" t="s">
        <v>34</v>
      </c>
      <c r="G5136" s="308"/>
      <c r="H5136" s="308" t="s">
        <v>20667</v>
      </c>
      <c r="I5136" s="310">
        <v>41091.0</v>
      </c>
      <c r="J5136" s="319">
        <f>IFERROR(__xludf.DUMMYFUNCTION("SPLIT(I5136,""/"")"),1.0)</f>
        <v>1</v>
      </c>
      <c r="K5136" s="308">
        <f>IFERROR(__xludf.DUMMYFUNCTION("""COMPUTED_VALUE"""),7.0)</f>
        <v>7</v>
      </c>
      <c r="L5136" s="308">
        <f>IFERROR(__xludf.DUMMYFUNCTION("""COMPUTED_VALUE"""),2012.0)</f>
        <v>2012</v>
      </c>
      <c r="M5136" s="308" t="s">
        <v>20668</v>
      </c>
      <c r="N5136" s="308"/>
      <c r="O5136" s="308" t="s">
        <v>20669</v>
      </c>
      <c r="P5136" s="308" t="s">
        <v>38181</v>
      </c>
      <c r="Q5136" s="308" t="s">
        <v>38177</v>
      </c>
      <c r="R5136" s="308" t="s">
        <v>2743</v>
      </c>
      <c r="S5136" s="308" t="s">
        <v>81</v>
      </c>
      <c r="T5136" s="308" t="s">
        <v>34264</v>
      </c>
      <c r="U5136" s="308" t="s">
        <v>530</v>
      </c>
      <c r="V5136" s="308"/>
    </row>
    <row r="5137">
      <c r="A5137" s="308">
        <v>5136.0</v>
      </c>
      <c r="B5137" s="308"/>
      <c r="C5137" s="308" t="s">
        <v>20671</v>
      </c>
      <c r="D5137" s="308">
        <f>IFERROR(__xludf.DUMMYFUNCTION("SPLIT(C5137,""-"")"),5157.0)</f>
        <v>5157</v>
      </c>
      <c r="E5137" s="308" t="str">
        <f>IFERROR(__xludf.DUMMYFUNCTION("""COMPUTED_VALUE"""),"K")</f>
        <v>K</v>
      </c>
      <c r="F5137" s="309" t="s">
        <v>34</v>
      </c>
      <c r="G5137" s="308"/>
      <c r="H5137" s="308" t="s">
        <v>20672</v>
      </c>
      <c r="I5137" s="310">
        <v>40402.0</v>
      </c>
      <c r="J5137" s="319">
        <f>IFERROR(__xludf.DUMMYFUNCTION("SPLIT(I5137,""/"")"),12.0)</f>
        <v>12</v>
      </c>
      <c r="K5137" s="308">
        <f>IFERROR(__xludf.DUMMYFUNCTION("""COMPUTED_VALUE"""),8.0)</f>
        <v>8</v>
      </c>
      <c r="L5137" s="308">
        <f>IFERROR(__xludf.DUMMYFUNCTION("""COMPUTED_VALUE"""),2010.0)</f>
        <v>2010</v>
      </c>
      <c r="M5137" s="308" t="s">
        <v>20673</v>
      </c>
      <c r="N5137" s="308"/>
      <c r="O5137" s="308" t="s">
        <v>38182</v>
      </c>
      <c r="P5137" s="308" t="s">
        <v>38183</v>
      </c>
      <c r="Q5137" s="308" t="s">
        <v>38184</v>
      </c>
      <c r="R5137" s="308" t="s">
        <v>2743</v>
      </c>
      <c r="S5137" s="308" t="s">
        <v>81</v>
      </c>
      <c r="T5137" s="308" t="s">
        <v>73</v>
      </c>
      <c r="U5137" s="308" t="s">
        <v>530</v>
      </c>
      <c r="V5137" s="308"/>
    </row>
    <row r="5138">
      <c r="A5138" s="308">
        <v>5137.0</v>
      </c>
      <c r="B5138" s="308"/>
      <c r="C5138" s="308" t="s">
        <v>20676</v>
      </c>
      <c r="D5138" s="308">
        <f>IFERROR(__xludf.DUMMYFUNCTION("SPLIT(C5138,""-"")"),5158.0)</f>
        <v>5158</v>
      </c>
      <c r="E5138" s="308" t="str">
        <f>IFERROR(__xludf.DUMMYFUNCTION("""COMPUTED_VALUE"""),"I")</f>
        <v>I</v>
      </c>
      <c r="F5138" s="309" t="s">
        <v>31</v>
      </c>
      <c r="G5138" s="308"/>
      <c r="H5138" s="308" t="s">
        <v>20677</v>
      </c>
      <c r="I5138" s="314">
        <v>35022.0</v>
      </c>
      <c r="J5138" s="319">
        <f>IFERROR(__xludf.DUMMYFUNCTION("SPLIT(I5138,""/"")"),19.0)</f>
        <v>19</v>
      </c>
      <c r="K5138" s="308">
        <f>IFERROR(__xludf.DUMMYFUNCTION("""COMPUTED_VALUE"""),11.0)</f>
        <v>11</v>
      </c>
      <c r="L5138" s="308">
        <f>IFERROR(__xludf.DUMMYFUNCTION("""COMPUTED_VALUE"""),1995.0)</f>
        <v>1995</v>
      </c>
      <c r="M5138" s="308" t="s">
        <v>20678</v>
      </c>
      <c r="N5138" s="308" t="s">
        <v>20679</v>
      </c>
      <c r="O5138" s="308"/>
      <c r="P5138" s="308" t="s">
        <v>38185</v>
      </c>
      <c r="Q5138" s="308" t="s">
        <v>38184</v>
      </c>
      <c r="R5138" s="308" t="s">
        <v>2743</v>
      </c>
      <c r="S5138" s="308" t="s">
        <v>81</v>
      </c>
      <c r="T5138" s="311" t="s">
        <v>98</v>
      </c>
      <c r="U5138" s="308" t="s">
        <v>31</v>
      </c>
      <c r="V5138" s="308"/>
    </row>
    <row r="5139">
      <c r="A5139" s="308">
        <v>5138.0</v>
      </c>
      <c r="B5139" s="308"/>
      <c r="C5139" s="308" t="s">
        <v>20681</v>
      </c>
      <c r="D5139" s="308">
        <f>IFERROR(__xludf.DUMMYFUNCTION("SPLIT(C5139,""-"")"),5159.0)</f>
        <v>5159</v>
      </c>
      <c r="E5139" s="308" t="str">
        <f>IFERROR(__xludf.DUMMYFUNCTION("""COMPUTED_VALUE"""),"K")</f>
        <v>K</v>
      </c>
      <c r="F5139" s="309" t="s">
        <v>34</v>
      </c>
      <c r="G5139" s="308"/>
      <c r="H5139" s="308" t="s">
        <v>20682</v>
      </c>
      <c r="I5139" s="310">
        <v>43160.0</v>
      </c>
      <c r="J5139" s="319">
        <f>IFERROR(__xludf.DUMMYFUNCTION("SPLIT(I5139,""/"")"),1.0)</f>
        <v>1</v>
      </c>
      <c r="K5139" s="308">
        <f>IFERROR(__xludf.DUMMYFUNCTION("""COMPUTED_VALUE"""),3.0)</f>
        <v>3</v>
      </c>
      <c r="L5139" s="308">
        <f>IFERROR(__xludf.DUMMYFUNCTION("""COMPUTED_VALUE"""),2018.0)</f>
        <v>2018</v>
      </c>
      <c r="M5139" s="308" t="s">
        <v>20683</v>
      </c>
      <c r="N5139" s="308"/>
      <c r="O5139" s="308"/>
      <c r="P5139" s="308" t="s">
        <v>38186</v>
      </c>
      <c r="Q5139" s="308" t="s">
        <v>38184</v>
      </c>
      <c r="R5139" s="308" t="s">
        <v>2743</v>
      </c>
      <c r="S5139" s="308" t="s">
        <v>81</v>
      </c>
      <c r="T5139" s="311" t="s">
        <v>35043</v>
      </c>
      <c r="U5139" s="308" t="s">
        <v>368</v>
      </c>
      <c r="V5139" s="308"/>
    </row>
    <row r="5140">
      <c r="A5140" s="308">
        <v>5139.0</v>
      </c>
      <c r="B5140" s="308"/>
      <c r="C5140" s="308" t="s">
        <v>20685</v>
      </c>
      <c r="D5140" s="308">
        <f>IFERROR(__xludf.DUMMYFUNCTION("SPLIT(C5140,""-"")"),5160.0)</f>
        <v>5160</v>
      </c>
      <c r="E5140" s="308" t="str">
        <f>IFERROR(__xludf.DUMMYFUNCTION("""COMPUTED_VALUE"""),"S")</f>
        <v>S</v>
      </c>
      <c r="F5140" s="312" t="s">
        <v>39</v>
      </c>
      <c r="G5140" s="308"/>
      <c r="H5140" s="308" t="s">
        <v>20686</v>
      </c>
      <c r="I5140" s="310">
        <v>43194.0</v>
      </c>
      <c r="J5140" s="319">
        <f>IFERROR(__xludf.DUMMYFUNCTION("SPLIT(I5140,""/"")"),4.0)</f>
        <v>4</v>
      </c>
      <c r="K5140" s="308">
        <f>IFERROR(__xludf.DUMMYFUNCTION("""COMPUTED_VALUE"""),4.0)</f>
        <v>4</v>
      </c>
      <c r="L5140" s="308">
        <f>IFERROR(__xludf.DUMMYFUNCTION("""COMPUTED_VALUE"""),2018.0)</f>
        <v>2018</v>
      </c>
      <c r="M5140" s="308" t="s">
        <v>20687</v>
      </c>
      <c r="N5140" s="308"/>
      <c r="O5140" s="308"/>
      <c r="P5140" s="308" t="s">
        <v>38187</v>
      </c>
      <c r="Q5140" s="308" t="s">
        <v>38184</v>
      </c>
      <c r="R5140" s="308" t="s">
        <v>14256</v>
      </c>
      <c r="S5140" s="308" t="s">
        <v>49</v>
      </c>
      <c r="T5140" s="311" t="s">
        <v>70</v>
      </c>
      <c r="U5140" s="308" t="s">
        <v>166</v>
      </c>
      <c r="V5140" s="308"/>
    </row>
    <row r="5141">
      <c r="A5141" s="308">
        <v>5140.0</v>
      </c>
      <c r="B5141" s="308"/>
      <c r="C5141" s="308" t="s">
        <v>20689</v>
      </c>
      <c r="D5141" s="308">
        <f>IFERROR(__xludf.DUMMYFUNCTION("SPLIT(C5141,""-"")"),5161.0)</f>
        <v>5161</v>
      </c>
      <c r="E5141" s="308" t="str">
        <f>IFERROR(__xludf.DUMMYFUNCTION("""COMPUTED_VALUE"""),"S")</f>
        <v>S</v>
      </c>
      <c r="F5141" s="312" t="s">
        <v>39</v>
      </c>
      <c r="G5141" s="308"/>
      <c r="H5141" s="308" t="s">
        <v>20690</v>
      </c>
      <c r="I5141" s="310">
        <v>43200.0</v>
      </c>
      <c r="J5141" s="319">
        <f>IFERROR(__xludf.DUMMYFUNCTION("SPLIT(I5141,""/"")"),10.0)</f>
        <v>10</v>
      </c>
      <c r="K5141" s="308">
        <f>IFERROR(__xludf.DUMMYFUNCTION("""COMPUTED_VALUE"""),4.0)</f>
        <v>4</v>
      </c>
      <c r="L5141" s="308">
        <f>IFERROR(__xludf.DUMMYFUNCTION("""COMPUTED_VALUE"""),2018.0)</f>
        <v>2018</v>
      </c>
      <c r="M5141" s="308" t="s">
        <v>20691</v>
      </c>
      <c r="N5141" s="308"/>
      <c r="O5141" s="308"/>
      <c r="P5141" s="308" t="s">
        <v>38188</v>
      </c>
      <c r="Q5141" s="308" t="s">
        <v>38184</v>
      </c>
      <c r="R5141" s="308" t="s">
        <v>14256</v>
      </c>
      <c r="S5141" s="308" t="s">
        <v>49</v>
      </c>
      <c r="T5141" s="308" t="s">
        <v>70</v>
      </c>
      <c r="U5141" s="308" t="s">
        <v>166</v>
      </c>
      <c r="V5141" s="308"/>
    </row>
    <row r="5142">
      <c r="A5142" s="308">
        <v>5141.0</v>
      </c>
      <c r="B5142" s="308"/>
      <c r="C5142" s="308" t="s">
        <v>20693</v>
      </c>
      <c r="D5142" s="308">
        <f>IFERROR(__xludf.DUMMYFUNCTION("SPLIT(C5142,""-"")"),5162.0)</f>
        <v>5162</v>
      </c>
      <c r="E5142" s="308" t="str">
        <f>IFERROR(__xludf.DUMMYFUNCTION("""COMPUTED_VALUE"""),"S")</f>
        <v>S</v>
      </c>
      <c r="F5142" s="312" t="s">
        <v>39</v>
      </c>
      <c r="G5142" s="308"/>
      <c r="H5142" s="308" t="s">
        <v>20694</v>
      </c>
      <c r="I5142" s="310">
        <v>42973.0</v>
      </c>
      <c r="J5142" s="319">
        <f>IFERROR(__xludf.DUMMYFUNCTION("SPLIT(I5142,""/"")"),26.0)</f>
        <v>26</v>
      </c>
      <c r="K5142" s="308">
        <f>IFERROR(__xludf.DUMMYFUNCTION("""COMPUTED_VALUE"""),8.0)</f>
        <v>8</v>
      </c>
      <c r="L5142" s="308">
        <f>IFERROR(__xludf.DUMMYFUNCTION("""COMPUTED_VALUE"""),2017.0)</f>
        <v>2017</v>
      </c>
      <c r="M5142" s="308" t="s">
        <v>20695</v>
      </c>
      <c r="N5142" s="308"/>
      <c r="O5142" s="308"/>
      <c r="P5142" s="308" t="s">
        <v>5653</v>
      </c>
      <c r="Q5142" s="308" t="s">
        <v>38189</v>
      </c>
      <c r="R5142" s="308" t="s">
        <v>16585</v>
      </c>
      <c r="S5142" s="315" t="s">
        <v>100</v>
      </c>
      <c r="T5142" s="311" t="s">
        <v>34208</v>
      </c>
      <c r="U5142" s="308" t="s">
        <v>166</v>
      </c>
      <c r="V5142" s="308"/>
    </row>
    <row r="5143">
      <c r="A5143" s="308">
        <v>5142.0</v>
      </c>
      <c r="B5143" s="308"/>
      <c r="C5143" s="308" t="s">
        <v>20696</v>
      </c>
      <c r="D5143" s="308">
        <f>IFERROR(__xludf.DUMMYFUNCTION("SPLIT(C5143,""-"")"),5163.0)</f>
        <v>5163</v>
      </c>
      <c r="E5143" s="308" t="str">
        <f>IFERROR(__xludf.DUMMYFUNCTION("""COMPUTED_VALUE"""),"S")</f>
        <v>S</v>
      </c>
      <c r="F5143" s="312" t="s">
        <v>39</v>
      </c>
      <c r="G5143" s="308"/>
      <c r="H5143" s="308" t="s">
        <v>20697</v>
      </c>
      <c r="I5143" s="314">
        <v>43085.0</v>
      </c>
      <c r="J5143" s="319">
        <f>IFERROR(__xludf.DUMMYFUNCTION("SPLIT(I5143,""/"")"),16.0)</f>
        <v>16</v>
      </c>
      <c r="K5143" s="308">
        <f>IFERROR(__xludf.DUMMYFUNCTION("""COMPUTED_VALUE"""),12.0)</f>
        <v>12</v>
      </c>
      <c r="L5143" s="308">
        <f>IFERROR(__xludf.DUMMYFUNCTION("""COMPUTED_VALUE"""),2017.0)</f>
        <v>2017</v>
      </c>
      <c r="M5143" s="308" t="s">
        <v>20698</v>
      </c>
      <c r="N5143" s="308"/>
      <c r="O5143" s="308"/>
      <c r="P5143" s="308" t="s">
        <v>38190</v>
      </c>
      <c r="Q5143" s="308" t="s">
        <v>38189</v>
      </c>
      <c r="R5143" s="308" t="s">
        <v>16585</v>
      </c>
      <c r="S5143" s="308" t="s">
        <v>49</v>
      </c>
      <c r="T5143" s="311" t="s">
        <v>70</v>
      </c>
      <c r="U5143" s="308" t="s">
        <v>166</v>
      </c>
      <c r="V5143" s="308"/>
    </row>
    <row r="5144">
      <c r="A5144" s="308">
        <v>5143.0</v>
      </c>
      <c r="B5144" s="308"/>
      <c r="C5144" s="308" t="s">
        <v>20700</v>
      </c>
      <c r="D5144" s="308">
        <f>IFERROR(__xludf.DUMMYFUNCTION("SPLIT(C5144,""-"")"),5164.0)</f>
        <v>5164</v>
      </c>
      <c r="E5144" s="308" t="str">
        <f>IFERROR(__xludf.DUMMYFUNCTION("""COMPUTED_VALUE"""),"K")</f>
        <v>K</v>
      </c>
      <c r="F5144" s="309" t="s">
        <v>34</v>
      </c>
      <c r="G5144" s="308"/>
      <c r="H5144" s="308" t="s">
        <v>20701</v>
      </c>
      <c r="I5144" s="310">
        <v>40004.0</v>
      </c>
      <c r="J5144" s="319">
        <f>IFERROR(__xludf.DUMMYFUNCTION("SPLIT(I5144,""/"")"),10.0)</f>
        <v>10</v>
      </c>
      <c r="K5144" s="308">
        <f>IFERROR(__xludf.DUMMYFUNCTION("""COMPUTED_VALUE"""),7.0)</f>
        <v>7</v>
      </c>
      <c r="L5144" s="308">
        <f>IFERROR(__xludf.DUMMYFUNCTION("""COMPUTED_VALUE"""),2009.0)</f>
        <v>2009</v>
      </c>
      <c r="M5144" s="308" t="s">
        <v>20702</v>
      </c>
      <c r="N5144" s="308" t="s">
        <v>439</v>
      </c>
      <c r="O5144" s="308" t="s">
        <v>20703</v>
      </c>
      <c r="P5144" s="308" t="s">
        <v>5679</v>
      </c>
      <c r="Q5144" s="308" t="s">
        <v>38189</v>
      </c>
      <c r="R5144" s="308" t="s">
        <v>2743</v>
      </c>
      <c r="S5144" s="315" t="s">
        <v>100</v>
      </c>
      <c r="T5144" s="311" t="s">
        <v>34208</v>
      </c>
      <c r="U5144" s="308" t="s">
        <v>530</v>
      </c>
      <c r="V5144" s="308"/>
    </row>
    <row r="5145">
      <c r="A5145" s="308">
        <v>5144.0</v>
      </c>
      <c r="B5145" s="308"/>
      <c r="C5145" s="308" t="s">
        <v>20704</v>
      </c>
      <c r="D5145" s="308">
        <f>IFERROR(__xludf.DUMMYFUNCTION("SPLIT(C5145,""-"")"),5165.0)</f>
        <v>5165</v>
      </c>
      <c r="E5145" s="308" t="str">
        <f>IFERROR(__xludf.DUMMYFUNCTION("""COMPUTED_VALUE"""),"K")</f>
        <v>K</v>
      </c>
      <c r="F5145" s="309" t="s">
        <v>34</v>
      </c>
      <c r="G5145" s="308"/>
      <c r="H5145" s="308" t="s">
        <v>20705</v>
      </c>
      <c r="I5145" s="310">
        <v>40630.0</v>
      </c>
      <c r="J5145" s="319">
        <f>IFERROR(__xludf.DUMMYFUNCTION("SPLIT(I5145,""/"")"),28.0)</f>
        <v>28</v>
      </c>
      <c r="K5145" s="308">
        <f>IFERROR(__xludf.DUMMYFUNCTION("""COMPUTED_VALUE"""),3.0)</f>
        <v>3</v>
      </c>
      <c r="L5145" s="308">
        <f>IFERROR(__xludf.DUMMYFUNCTION("""COMPUTED_VALUE"""),2011.0)</f>
        <v>2011</v>
      </c>
      <c r="M5145" s="308" t="s">
        <v>20706</v>
      </c>
      <c r="N5145" s="308"/>
      <c r="O5145" s="308" t="s">
        <v>20707</v>
      </c>
      <c r="P5145" s="308" t="s">
        <v>5679</v>
      </c>
      <c r="Q5145" s="308" t="s">
        <v>38189</v>
      </c>
      <c r="R5145" s="308" t="s">
        <v>2743</v>
      </c>
      <c r="S5145" s="315" t="s">
        <v>100</v>
      </c>
      <c r="T5145" s="311" t="s">
        <v>34208</v>
      </c>
      <c r="U5145" s="308" t="s">
        <v>530</v>
      </c>
      <c r="V5145" s="308"/>
    </row>
    <row r="5146">
      <c r="A5146" s="308">
        <v>5145.0</v>
      </c>
      <c r="B5146" s="308"/>
      <c r="C5146" s="308" t="s">
        <v>20708</v>
      </c>
      <c r="D5146" s="308">
        <f>IFERROR(__xludf.DUMMYFUNCTION("SPLIT(C5146,""-"")"),5166.0)</f>
        <v>5166</v>
      </c>
      <c r="E5146" s="308" t="str">
        <f>IFERROR(__xludf.DUMMYFUNCTION("""COMPUTED_VALUE"""),"I")</f>
        <v>I</v>
      </c>
      <c r="F5146" s="309" t="s">
        <v>31</v>
      </c>
      <c r="G5146" s="308"/>
      <c r="H5146" s="308" t="s">
        <v>20709</v>
      </c>
      <c r="I5146" s="310">
        <v>42370.0</v>
      </c>
      <c r="J5146" s="319">
        <f>IFERROR(__xludf.DUMMYFUNCTION("SPLIT(I5146,""/"")"),1.0)</f>
        <v>1</v>
      </c>
      <c r="K5146" s="308">
        <f>IFERROR(__xludf.DUMMYFUNCTION("""COMPUTED_VALUE"""),1.0)</f>
        <v>1</v>
      </c>
      <c r="L5146" s="308">
        <f>IFERROR(__xludf.DUMMYFUNCTION("""COMPUTED_VALUE"""),2016.0)</f>
        <v>2016</v>
      </c>
      <c r="M5146" s="308" t="s">
        <v>20710</v>
      </c>
      <c r="N5146" s="308"/>
      <c r="O5146" s="308"/>
      <c r="P5146" s="308" t="s">
        <v>38191</v>
      </c>
      <c r="Q5146" s="308" t="s">
        <v>38192</v>
      </c>
      <c r="R5146" s="308" t="s">
        <v>2743</v>
      </c>
      <c r="S5146" s="308" t="s">
        <v>81</v>
      </c>
      <c r="T5146" s="308" t="s">
        <v>34264</v>
      </c>
      <c r="U5146" s="308" t="s">
        <v>31</v>
      </c>
      <c r="V5146" s="308"/>
    </row>
    <row r="5147">
      <c r="A5147" s="308">
        <v>5146.0</v>
      </c>
      <c r="B5147" s="308"/>
      <c r="C5147" s="308" t="s">
        <v>20712</v>
      </c>
      <c r="D5147" s="308">
        <f>IFERROR(__xludf.DUMMYFUNCTION("SPLIT(C5147,""-"")"),5167.0)</f>
        <v>5167</v>
      </c>
      <c r="E5147" s="308" t="str">
        <f>IFERROR(__xludf.DUMMYFUNCTION("""COMPUTED_VALUE"""),"P")</f>
        <v>P</v>
      </c>
      <c r="F5147" s="312" t="s">
        <v>37</v>
      </c>
      <c r="G5147" s="308"/>
      <c r="H5147" s="308" t="s">
        <v>20713</v>
      </c>
      <c r="I5147" s="310">
        <v>43164.0</v>
      </c>
      <c r="J5147" s="319">
        <f>IFERROR(__xludf.DUMMYFUNCTION("SPLIT(I5147,""/"")"),5.0)</f>
        <v>5</v>
      </c>
      <c r="K5147" s="308">
        <f>IFERROR(__xludf.DUMMYFUNCTION("""COMPUTED_VALUE"""),3.0)</f>
        <v>3</v>
      </c>
      <c r="L5147" s="308">
        <f>IFERROR(__xludf.DUMMYFUNCTION("""COMPUTED_VALUE"""),2018.0)</f>
        <v>2018</v>
      </c>
      <c r="M5147" s="308" t="s">
        <v>20714</v>
      </c>
      <c r="N5147" s="308"/>
      <c r="O5147" s="308" t="s">
        <v>20715</v>
      </c>
      <c r="P5147" s="308" t="s">
        <v>20716</v>
      </c>
      <c r="Q5147" s="308" t="s">
        <v>38193</v>
      </c>
      <c r="R5147" s="308" t="s">
        <v>2743</v>
      </c>
      <c r="S5147" s="308" t="s">
        <v>81</v>
      </c>
      <c r="T5147" s="311" t="s">
        <v>75</v>
      </c>
      <c r="U5147" s="308" t="s">
        <v>149</v>
      </c>
      <c r="V5147" s="308"/>
    </row>
    <row r="5148">
      <c r="A5148" s="308">
        <v>5147.0</v>
      </c>
      <c r="B5148" s="308"/>
      <c r="C5148" s="308" t="s">
        <v>20717</v>
      </c>
      <c r="D5148" s="308">
        <f>IFERROR(__xludf.DUMMYFUNCTION("SPLIT(C5148,""-"")"),5168.0)</f>
        <v>5168</v>
      </c>
      <c r="E5148" s="308" t="str">
        <f>IFERROR(__xludf.DUMMYFUNCTION("""COMPUTED_VALUE"""),"S")</f>
        <v>S</v>
      </c>
      <c r="F5148" s="312" t="s">
        <v>39</v>
      </c>
      <c r="G5148" s="308"/>
      <c r="H5148" s="308" t="s">
        <v>20718</v>
      </c>
      <c r="I5148" s="310">
        <v>41675.0</v>
      </c>
      <c r="J5148" s="319">
        <f>IFERROR(__xludf.DUMMYFUNCTION("SPLIT(I5148,""/"")"),5.0)</f>
        <v>5</v>
      </c>
      <c r="K5148" s="308">
        <f>IFERROR(__xludf.DUMMYFUNCTION("""COMPUTED_VALUE"""),2.0)</f>
        <v>2</v>
      </c>
      <c r="L5148" s="308">
        <f>IFERROR(__xludf.DUMMYFUNCTION("""COMPUTED_VALUE"""),2014.0)</f>
        <v>2014</v>
      </c>
      <c r="M5148" s="308" t="s">
        <v>20719</v>
      </c>
      <c r="N5148" s="308"/>
      <c r="O5148" s="308"/>
      <c r="P5148" s="308" t="s">
        <v>38194</v>
      </c>
      <c r="Q5148" s="308" t="s">
        <v>38193</v>
      </c>
      <c r="R5148" s="308" t="s">
        <v>2743</v>
      </c>
      <c r="S5148" s="308" t="s">
        <v>49</v>
      </c>
      <c r="T5148" s="315" t="s">
        <v>69</v>
      </c>
      <c r="U5148" s="308" t="s">
        <v>166</v>
      </c>
      <c r="V5148" s="308"/>
    </row>
    <row r="5149">
      <c r="A5149" s="308">
        <v>5148.0</v>
      </c>
      <c r="B5149" s="308"/>
      <c r="C5149" s="308" t="s">
        <v>20721</v>
      </c>
      <c r="D5149" s="308">
        <f>IFERROR(__xludf.DUMMYFUNCTION("SPLIT(C5149,""-"")"),5169.0)</f>
        <v>5169</v>
      </c>
      <c r="E5149" s="308" t="str">
        <f>IFERROR(__xludf.DUMMYFUNCTION("""COMPUTED_VALUE"""),"S")</f>
        <v>S</v>
      </c>
      <c r="F5149" s="312" t="s">
        <v>39</v>
      </c>
      <c r="G5149" s="308"/>
      <c r="H5149" s="308" t="s">
        <v>20722</v>
      </c>
      <c r="I5149" s="310">
        <v>42988.0</v>
      </c>
      <c r="J5149" s="319">
        <f>IFERROR(__xludf.DUMMYFUNCTION("SPLIT(I5149,""/"")"),10.0)</f>
        <v>10</v>
      </c>
      <c r="K5149" s="308">
        <f>IFERROR(__xludf.DUMMYFUNCTION("""COMPUTED_VALUE"""),9.0)</f>
        <v>9</v>
      </c>
      <c r="L5149" s="308">
        <f>IFERROR(__xludf.DUMMYFUNCTION("""COMPUTED_VALUE"""),2017.0)</f>
        <v>2017</v>
      </c>
      <c r="M5149" s="308" t="s">
        <v>38195</v>
      </c>
      <c r="N5149" s="308"/>
      <c r="O5149" s="308"/>
      <c r="P5149" s="308" t="s">
        <v>38196</v>
      </c>
      <c r="Q5149" s="308" t="s">
        <v>38193</v>
      </c>
      <c r="R5149" s="308" t="s">
        <v>20725</v>
      </c>
      <c r="S5149" s="308" t="s">
        <v>81</v>
      </c>
      <c r="T5149" s="311" t="s">
        <v>91</v>
      </c>
      <c r="U5149" s="308" t="s">
        <v>166</v>
      </c>
      <c r="V5149" s="308"/>
    </row>
    <row r="5150">
      <c r="A5150" s="308">
        <v>5149.0</v>
      </c>
      <c r="B5150" s="308"/>
      <c r="C5150" s="308" t="s">
        <v>20726</v>
      </c>
      <c r="D5150" s="308">
        <f>IFERROR(__xludf.DUMMYFUNCTION("SPLIT(C5150,""-"")"),5170.0)</f>
        <v>5170</v>
      </c>
      <c r="E5150" s="308" t="str">
        <f>IFERROR(__xludf.DUMMYFUNCTION("""COMPUTED_VALUE"""),"K")</f>
        <v>K</v>
      </c>
      <c r="F5150" s="309" t="s">
        <v>34</v>
      </c>
      <c r="G5150" s="308"/>
      <c r="H5150" s="308" t="s">
        <v>20727</v>
      </c>
      <c r="I5150" s="314">
        <v>40098.0</v>
      </c>
      <c r="J5150" s="319">
        <f>IFERROR(__xludf.DUMMYFUNCTION("SPLIT(I5150,""/"")"),12.0)</f>
        <v>12</v>
      </c>
      <c r="K5150" s="308">
        <f>IFERROR(__xludf.DUMMYFUNCTION("""COMPUTED_VALUE"""),10.0)</f>
        <v>10</v>
      </c>
      <c r="L5150" s="308">
        <f>IFERROR(__xludf.DUMMYFUNCTION("""COMPUTED_VALUE"""),2009.0)</f>
        <v>2009</v>
      </c>
      <c r="M5150" s="308" t="s">
        <v>20728</v>
      </c>
      <c r="N5150" s="308"/>
      <c r="O5150" s="308"/>
      <c r="P5150" s="308" t="s">
        <v>5679</v>
      </c>
      <c r="Q5150" s="308" t="s">
        <v>38193</v>
      </c>
      <c r="R5150" s="308" t="s">
        <v>2743</v>
      </c>
      <c r="S5150" s="315" t="s">
        <v>100</v>
      </c>
      <c r="T5150" s="311" t="s">
        <v>34208</v>
      </c>
      <c r="U5150" s="308" t="s">
        <v>530</v>
      </c>
      <c r="V5150" s="308"/>
    </row>
    <row r="5151">
      <c r="A5151" s="308">
        <v>5150.0</v>
      </c>
      <c r="B5151" s="308"/>
      <c r="C5151" s="308" t="s">
        <v>20729</v>
      </c>
      <c r="D5151" s="308">
        <f>IFERROR(__xludf.DUMMYFUNCTION("SPLIT(C5151,""-"")"),5171.0)</f>
        <v>5171</v>
      </c>
      <c r="E5151" s="308" t="str">
        <f>IFERROR(__xludf.DUMMYFUNCTION("""COMPUTED_VALUE"""),"P")</f>
        <v>P</v>
      </c>
      <c r="F5151" s="312" t="s">
        <v>37</v>
      </c>
      <c r="G5151" s="308"/>
      <c r="H5151" s="308" t="s">
        <v>20730</v>
      </c>
      <c r="I5151" s="310">
        <v>42525.0</v>
      </c>
      <c r="J5151" s="319">
        <f>IFERROR(__xludf.DUMMYFUNCTION("SPLIT(I5151,""/"")"),4.0)</f>
        <v>4</v>
      </c>
      <c r="K5151" s="308">
        <f>IFERROR(__xludf.DUMMYFUNCTION("""COMPUTED_VALUE"""),6.0)</f>
        <v>6</v>
      </c>
      <c r="L5151" s="308">
        <f>IFERROR(__xludf.DUMMYFUNCTION("""COMPUTED_VALUE"""),2016.0)</f>
        <v>2016</v>
      </c>
      <c r="M5151" s="308" t="s">
        <v>20731</v>
      </c>
      <c r="N5151" s="308"/>
      <c r="O5151" s="308"/>
      <c r="P5151" s="308" t="s">
        <v>7523</v>
      </c>
      <c r="Q5151" s="308" t="s">
        <v>38193</v>
      </c>
      <c r="R5151" s="308" t="s">
        <v>2743</v>
      </c>
      <c r="S5151" s="315" t="s">
        <v>100</v>
      </c>
      <c r="T5151" s="311" t="s">
        <v>34208</v>
      </c>
      <c r="U5151" s="308" t="s">
        <v>143</v>
      </c>
      <c r="V5151" s="308"/>
    </row>
    <row r="5152">
      <c r="A5152" s="308">
        <v>5151.0</v>
      </c>
      <c r="B5152" s="308"/>
      <c r="C5152" s="308" t="s">
        <v>20732</v>
      </c>
      <c r="D5152" s="308">
        <f>IFERROR(__xludf.DUMMYFUNCTION("SPLIT(C5152,""-"")"),5172.0)</f>
        <v>5172</v>
      </c>
      <c r="E5152" s="308" t="str">
        <f>IFERROR(__xludf.DUMMYFUNCTION("""COMPUTED_VALUE"""),"P")</f>
        <v>P</v>
      </c>
      <c r="F5152" s="312" t="s">
        <v>37</v>
      </c>
      <c r="G5152" s="308"/>
      <c r="H5152" s="308" t="s">
        <v>20733</v>
      </c>
      <c r="I5152" s="310">
        <v>42850.0</v>
      </c>
      <c r="J5152" s="319">
        <f>IFERROR(__xludf.DUMMYFUNCTION("SPLIT(I5152,""/"")"),25.0)</f>
        <v>25</v>
      </c>
      <c r="K5152" s="308">
        <f>IFERROR(__xludf.DUMMYFUNCTION("""COMPUTED_VALUE"""),4.0)</f>
        <v>4</v>
      </c>
      <c r="L5152" s="308">
        <f>IFERROR(__xludf.DUMMYFUNCTION("""COMPUTED_VALUE"""),2017.0)</f>
        <v>2017</v>
      </c>
      <c r="M5152" s="308" t="s">
        <v>20734</v>
      </c>
      <c r="N5152" s="308"/>
      <c r="O5152" s="308" t="s">
        <v>20735</v>
      </c>
      <c r="P5152" s="308" t="s">
        <v>38197</v>
      </c>
      <c r="Q5152" s="308" t="s">
        <v>38198</v>
      </c>
      <c r="R5152" s="308" t="s">
        <v>2743</v>
      </c>
      <c r="S5152" s="308" t="s">
        <v>81</v>
      </c>
      <c r="T5152" s="311" t="s">
        <v>96</v>
      </c>
      <c r="U5152" s="308" t="s">
        <v>18576</v>
      </c>
      <c r="V5152" s="308"/>
    </row>
    <row r="5153">
      <c r="A5153" s="308">
        <v>5152.0</v>
      </c>
      <c r="B5153" s="308"/>
      <c r="C5153" s="308" t="s">
        <v>20737</v>
      </c>
      <c r="D5153" s="308">
        <f>IFERROR(__xludf.DUMMYFUNCTION("SPLIT(C5153,""-"")"),5173.0)</f>
        <v>5173</v>
      </c>
      <c r="E5153" s="308" t="str">
        <f>IFERROR(__xludf.DUMMYFUNCTION("""COMPUTED_VALUE"""),"K")</f>
        <v>K</v>
      </c>
      <c r="F5153" s="309" t="s">
        <v>34</v>
      </c>
      <c r="G5153" s="308"/>
      <c r="H5153" s="308" t="s">
        <v>20738</v>
      </c>
      <c r="I5153" s="310">
        <v>40360.0</v>
      </c>
      <c r="J5153" s="319">
        <f>IFERROR(__xludf.DUMMYFUNCTION("SPLIT(I5153,""/"")"),1.0)</f>
        <v>1</v>
      </c>
      <c r="K5153" s="308">
        <f>IFERROR(__xludf.DUMMYFUNCTION("""COMPUTED_VALUE"""),7.0)</f>
        <v>7</v>
      </c>
      <c r="L5153" s="308">
        <f>IFERROR(__xludf.DUMMYFUNCTION("""COMPUTED_VALUE"""),2010.0)</f>
        <v>2010</v>
      </c>
      <c r="M5153" s="308" t="s">
        <v>20739</v>
      </c>
      <c r="N5153" s="308"/>
      <c r="O5153" s="308"/>
      <c r="P5153" s="308" t="s">
        <v>38199</v>
      </c>
      <c r="Q5153" s="308" t="s">
        <v>38198</v>
      </c>
      <c r="R5153" s="308" t="s">
        <v>2743</v>
      </c>
      <c r="S5153" s="308" t="s">
        <v>81</v>
      </c>
      <c r="T5153" s="308" t="s">
        <v>34264</v>
      </c>
      <c r="U5153" s="308" t="s">
        <v>4749</v>
      </c>
      <c r="V5153" s="308"/>
    </row>
    <row r="5154">
      <c r="A5154" s="308">
        <v>5153.0</v>
      </c>
      <c r="B5154" s="308"/>
      <c r="C5154" s="308" t="s">
        <v>20741</v>
      </c>
      <c r="D5154" s="308">
        <f>IFERROR(__xludf.DUMMYFUNCTION("SPLIT(C5154,""-"")"),5174.0)</f>
        <v>5174</v>
      </c>
      <c r="E5154" s="308" t="str">
        <f>IFERROR(__xludf.DUMMYFUNCTION("""COMPUTED_VALUE"""),"K")</f>
        <v>K</v>
      </c>
      <c r="F5154" s="309" t="s">
        <v>34</v>
      </c>
      <c r="G5154" s="308"/>
      <c r="H5154" s="308" t="s">
        <v>20742</v>
      </c>
      <c r="I5154" s="310">
        <v>40360.0</v>
      </c>
      <c r="J5154" s="319">
        <f>IFERROR(__xludf.DUMMYFUNCTION("SPLIT(I5154,""/"")"),1.0)</f>
        <v>1</v>
      </c>
      <c r="K5154" s="308">
        <f>IFERROR(__xludf.DUMMYFUNCTION("""COMPUTED_VALUE"""),7.0)</f>
        <v>7</v>
      </c>
      <c r="L5154" s="308">
        <f>IFERROR(__xludf.DUMMYFUNCTION("""COMPUTED_VALUE"""),2010.0)</f>
        <v>2010</v>
      </c>
      <c r="M5154" s="308" t="s">
        <v>20743</v>
      </c>
      <c r="N5154" s="308"/>
      <c r="O5154" s="308" t="s">
        <v>20744</v>
      </c>
      <c r="P5154" s="308" t="s">
        <v>20745</v>
      </c>
      <c r="Q5154" s="308" t="s">
        <v>38198</v>
      </c>
      <c r="R5154" s="308" t="s">
        <v>2743</v>
      </c>
      <c r="S5154" s="308" t="s">
        <v>81</v>
      </c>
      <c r="T5154" s="308" t="s">
        <v>34264</v>
      </c>
      <c r="U5154" s="308" t="s">
        <v>4749</v>
      </c>
      <c r="V5154" s="308"/>
    </row>
    <row r="5155">
      <c r="A5155" s="308">
        <v>5154.0</v>
      </c>
      <c r="B5155" s="308"/>
      <c r="C5155" s="308" t="s">
        <v>20746</v>
      </c>
      <c r="D5155" s="308">
        <f>IFERROR(__xludf.DUMMYFUNCTION("SPLIT(C5155,""-"")"),5175.0)</f>
        <v>5175</v>
      </c>
      <c r="E5155" s="308" t="str">
        <f>IFERROR(__xludf.DUMMYFUNCTION("""COMPUTED_VALUE"""),"B")</f>
        <v>B</v>
      </c>
      <c r="F5155" s="315" t="s">
        <v>26</v>
      </c>
      <c r="G5155" s="308"/>
      <c r="H5155" s="308" t="s">
        <v>20747</v>
      </c>
      <c r="I5155" s="310">
        <v>42261.0</v>
      </c>
      <c r="J5155" s="319">
        <f>IFERROR(__xludf.DUMMYFUNCTION("SPLIT(I5155,""/"")"),14.0)</f>
        <v>14</v>
      </c>
      <c r="K5155" s="308">
        <f>IFERROR(__xludf.DUMMYFUNCTION("""COMPUTED_VALUE"""),9.0)</f>
        <v>9</v>
      </c>
      <c r="L5155" s="308">
        <f>IFERROR(__xludf.DUMMYFUNCTION("""COMPUTED_VALUE"""),2015.0)</f>
        <v>2015</v>
      </c>
      <c r="M5155" s="308" t="s">
        <v>20748</v>
      </c>
      <c r="N5155" s="308"/>
      <c r="O5155" s="308"/>
      <c r="P5155" s="308" t="s">
        <v>11049</v>
      </c>
      <c r="Q5155" s="308" t="s">
        <v>38198</v>
      </c>
      <c r="R5155" s="308" t="s">
        <v>1496</v>
      </c>
      <c r="S5155" s="315" t="s">
        <v>100</v>
      </c>
      <c r="T5155" s="311" t="s">
        <v>34208</v>
      </c>
      <c r="U5155" s="308" t="s">
        <v>27</v>
      </c>
      <c r="V5155" s="308"/>
    </row>
    <row r="5156">
      <c r="A5156" s="308">
        <v>5155.0</v>
      </c>
      <c r="B5156" s="308"/>
      <c r="C5156" s="308" t="s">
        <v>20749</v>
      </c>
      <c r="D5156" s="308">
        <f>IFERROR(__xludf.DUMMYFUNCTION("SPLIT(C5156,""-"")"),5176.0)</f>
        <v>5176</v>
      </c>
      <c r="E5156" s="308" t="str">
        <f>IFERROR(__xludf.DUMMYFUNCTION("""COMPUTED_VALUE"""),"K")</f>
        <v>K</v>
      </c>
      <c r="F5156" s="309" t="s">
        <v>34</v>
      </c>
      <c r="G5156" s="308"/>
      <c r="H5156" s="308" t="s">
        <v>20750</v>
      </c>
      <c r="I5156" s="310">
        <v>39938.0</v>
      </c>
      <c r="J5156" s="319">
        <f>IFERROR(__xludf.DUMMYFUNCTION("SPLIT(I5156,""/"")"),5.0)</f>
        <v>5</v>
      </c>
      <c r="K5156" s="308">
        <f>IFERROR(__xludf.DUMMYFUNCTION("""COMPUTED_VALUE"""),5.0)</f>
        <v>5</v>
      </c>
      <c r="L5156" s="308">
        <f>IFERROR(__xludf.DUMMYFUNCTION("""COMPUTED_VALUE"""),2009.0)</f>
        <v>2009</v>
      </c>
      <c r="M5156" s="308" t="s">
        <v>20751</v>
      </c>
      <c r="N5156" s="308"/>
      <c r="O5156" s="308"/>
      <c r="P5156" s="308" t="s">
        <v>5679</v>
      </c>
      <c r="Q5156" s="308" t="s">
        <v>38198</v>
      </c>
      <c r="R5156" s="308" t="s">
        <v>2743</v>
      </c>
      <c r="S5156" s="315" t="s">
        <v>100</v>
      </c>
      <c r="T5156" s="311" t="s">
        <v>34208</v>
      </c>
      <c r="U5156" s="308" t="s">
        <v>125</v>
      </c>
      <c r="V5156" s="308"/>
    </row>
    <row r="5157">
      <c r="A5157" s="308">
        <v>5156.0</v>
      </c>
      <c r="B5157" s="308"/>
      <c r="C5157" s="308" t="s">
        <v>20752</v>
      </c>
      <c r="D5157" s="308">
        <f>IFERROR(__xludf.DUMMYFUNCTION("SPLIT(C5157,""-"")"),5177.0)</f>
        <v>5177</v>
      </c>
      <c r="E5157" s="308" t="str">
        <f>IFERROR(__xludf.DUMMYFUNCTION("""COMPUTED_VALUE"""),"F")</f>
        <v>F</v>
      </c>
      <c r="F5157" s="309" t="s">
        <v>34</v>
      </c>
      <c r="G5157" s="308"/>
      <c r="H5157" s="308" t="s">
        <v>38200</v>
      </c>
      <c r="I5157" s="310">
        <v>42186.0</v>
      </c>
      <c r="J5157" s="319">
        <f>IFERROR(__xludf.DUMMYFUNCTION("SPLIT(I5157,""/"")"),1.0)</f>
        <v>1</v>
      </c>
      <c r="K5157" s="308">
        <f>IFERROR(__xludf.DUMMYFUNCTION("""COMPUTED_VALUE"""),7.0)</f>
        <v>7</v>
      </c>
      <c r="L5157" s="308">
        <f>IFERROR(__xludf.DUMMYFUNCTION("""COMPUTED_VALUE"""),2015.0)</f>
        <v>2015</v>
      </c>
      <c r="M5157" s="308" t="s">
        <v>20754</v>
      </c>
      <c r="N5157" s="308"/>
      <c r="O5157" s="308"/>
      <c r="P5157" s="308" t="s">
        <v>38201</v>
      </c>
      <c r="Q5157" s="308" t="s">
        <v>38198</v>
      </c>
      <c r="R5157" s="308" t="s">
        <v>2743</v>
      </c>
      <c r="S5157" s="308" t="s">
        <v>81</v>
      </c>
      <c r="T5157" s="311" t="s">
        <v>34264</v>
      </c>
      <c r="U5157" s="308" t="s">
        <v>195</v>
      </c>
      <c r="V5157" s="308" t="s">
        <v>20756</v>
      </c>
    </row>
    <row r="5158">
      <c r="A5158" s="308">
        <v>5157.0</v>
      </c>
      <c r="B5158" s="308"/>
      <c r="C5158" s="308" t="s">
        <v>20757</v>
      </c>
      <c r="D5158" s="308">
        <f>IFERROR(__xludf.DUMMYFUNCTION("SPLIT(C5158,""-"")"),5178.0)</f>
        <v>5178</v>
      </c>
      <c r="E5158" s="308" t="str">
        <f>IFERROR(__xludf.DUMMYFUNCTION("""COMPUTED_VALUE"""),"K")</f>
        <v>K</v>
      </c>
      <c r="F5158" s="309" t="s">
        <v>34</v>
      </c>
      <c r="G5158" s="308"/>
      <c r="H5158" s="308" t="s">
        <v>20758</v>
      </c>
      <c r="I5158" s="310">
        <v>39995.0</v>
      </c>
      <c r="J5158" s="319">
        <f>IFERROR(__xludf.DUMMYFUNCTION("SPLIT(I5158,""/"")"),1.0)</f>
        <v>1</v>
      </c>
      <c r="K5158" s="308">
        <f>IFERROR(__xludf.DUMMYFUNCTION("""COMPUTED_VALUE"""),7.0)</f>
        <v>7</v>
      </c>
      <c r="L5158" s="308">
        <f>IFERROR(__xludf.DUMMYFUNCTION("""COMPUTED_VALUE"""),2009.0)</f>
        <v>2009</v>
      </c>
      <c r="M5158" s="308" t="s">
        <v>20759</v>
      </c>
      <c r="N5158" s="308"/>
      <c r="O5158" s="308" t="s">
        <v>20760</v>
      </c>
      <c r="P5158" s="308" t="s">
        <v>5679</v>
      </c>
      <c r="Q5158" s="308" t="s">
        <v>38202</v>
      </c>
      <c r="R5158" s="308" t="s">
        <v>2743</v>
      </c>
      <c r="S5158" s="315" t="s">
        <v>100</v>
      </c>
      <c r="T5158" s="311" t="s">
        <v>34208</v>
      </c>
      <c r="U5158" s="308" t="s">
        <v>530</v>
      </c>
      <c r="V5158" s="308" t="s">
        <v>20761</v>
      </c>
    </row>
    <row r="5159">
      <c r="A5159" s="308">
        <v>5158.0</v>
      </c>
      <c r="B5159" s="308"/>
      <c r="C5159" s="308" t="s">
        <v>20762</v>
      </c>
      <c r="D5159" s="308">
        <f>IFERROR(__xludf.DUMMYFUNCTION("SPLIT(C5159,""-"")"),5179.0)</f>
        <v>5179</v>
      </c>
      <c r="E5159" s="308" t="str">
        <f>IFERROR(__xludf.DUMMYFUNCTION("""COMPUTED_VALUE"""),"K")</f>
        <v>K</v>
      </c>
      <c r="F5159" s="309" t="s">
        <v>34</v>
      </c>
      <c r="G5159" s="308"/>
      <c r="H5159" s="308" t="s">
        <v>20763</v>
      </c>
      <c r="I5159" s="310">
        <v>40390.0</v>
      </c>
      <c r="J5159" s="319">
        <f>IFERROR(__xludf.DUMMYFUNCTION("SPLIT(I5159,""/"")"),31.0)</f>
        <v>31</v>
      </c>
      <c r="K5159" s="308">
        <f>IFERROR(__xludf.DUMMYFUNCTION("""COMPUTED_VALUE"""),7.0)</f>
        <v>7</v>
      </c>
      <c r="L5159" s="308">
        <f>IFERROR(__xludf.DUMMYFUNCTION("""COMPUTED_VALUE"""),2010.0)</f>
        <v>2010</v>
      </c>
      <c r="M5159" s="308" t="s">
        <v>20764</v>
      </c>
      <c r="N5159" s="308"/>
      <c r="O5159" s="308" t="s">
        <v>20765</v>
      </c>
      <c r="P5159" s="308" t="s">
        <v>38203</v>
      </c>
      <c r="Q5159" s="308" t="s">
        <v>38202</v>
      </c>
      <c r="R5159" s="308" t="s">
        <v>2743</v>
      </c>
      <c r="S5159" s="308" t="s">
        <v>49</v>
      </c>
      <c r="T5159" s="311" t="s">
        <v>51</v>
      </c>
      <c r="U5159" s="308" t="s">
        <v>3714</v>
      </c>
      <c r="V5159" s="308"/>
    </row>
    <row r="5160">
      <c r="A5160" s="308">
        <v>5159.0</v>
      </c>
      <c r="B5160" s="308"/>
      <c r="C5160" s="308" t="s">
        <v>20767</v>
      </c>
      <c r="D5160" s="308">
        <f>IFERROR(__xludf.DUMMYFUNCTION("SPLIT(C5160,""-"")"),5180.0)</f>
        <v>5180</v>
      </c>
      <c r="E5160" s="308" t="str">
        <f>IFERROR(__xludf.DUMMYFUNCTION("""COMPUTED_VALUE"""),"P")</f>
        <v>P</v>
      </c>
      <c r="F5160" s="312" t="s">
        <v>37</v>
      </c>
      <c r="G5160" s="308"/>
      <c r="H5160" s="308" t="s">
        <v>20768</v>
      </c>
      <c r="I5160" s="310">
        <v>43142.0</v>
      </c>
      <c r="J5160" s="319">
        <f>IFERROR(__xludf.DUMMYFUNCTION("SPLIT(I5160,""/"")"),11.0)</f>
        <v>11</v>
      </c>
      <c r="K5160" s="308">
        <f>IFERROR(__xludf.DUMMYFUNCTION("""COMPUTED_VALUE"""),2.0)</f>
        <v>2</v>
      </c>
      <c r="L5160" s="308">
        <f>IFERROR(__xludf.DUMMYFUNCTION("""COMPUTED_VALUE"""),2018.0)</f>
        <v>2018</v>
      </c>
      <c r="M5160" s="308" t="s">
        <v>20769</v>
      </c>
      <c r="N5160" s="308"/>
      <c r="O5160" s="308" t="s">
        <v>20770</v>
      </c>
      <c r="P5160" s="308" t="s">
        <v>7523</v>
      </c>
      <c r="Q5160" s="308" t="s">
        <v>38202</v>
      </c>
      <c r="R5160" s="308" t="s">
        <v>2743</v>
      </c>
      <c r="S5160" s="315" t="s">
        <v>100</v>
      </c>
      <c r="T5160" s="311" t="s">
        <v>34208</v>
      </c>
      <c r="U5160" s="308" t="s">
        <v>18270</v>
      </c>
      <c r="V5160" s="308"/>
    </row>
    <row r="5161">
      <c r="A5161" s="308">
        <v>5160.0</v>
      </c>
      <c r="B5161" s="308"/>
      <c r="C5161" s="308" t="s">
        <v>20771</v>
      </c>
      <c r="D5161" s="308">
        <f>IFERROR(__xludf.DUMMYFUNCTION("SPLIT(C5161,""-"")"),5181.0)</f>
        <v>5181</v>
      </c>
      <c r="E5161" s="308" t="str">
        <f>IFERROR(__xludf.DUMMYFUNCTION("""COMPUTED_VALUE"""),"P")</f>
        <v>P</v>
      </c>
      <c r="F5161" s="312" t="s">
        <v>37</v>
      </c>
      <c r="G5161" s="308"/>
      <c r="H5161" s="308" t="s">
        <v>20772</v>
      </c>
      <c r="I5161" s="310">
        <v>42863.0</v>
      </c>
      <c r="J5161" s="319">
        <f>IFERROR(__xludf.DUMMYFUNCTION("SPLIT(I5161,""/"")"),8.0)</f>
        <v>8</v>
      </c>
      <c r="K5161" s="308">
        <f>IFERROR(__xludf.DUMMYFUNCTION("""COMPUTED_VALUE"""),5.0)</f>
        <v>5</v>
      </c>
      <c r="L5161" s="308">
        <f>IFERROR(__xludf.DUMMYFUNCTION("""COMPUTED_VALUE"""),2017.0)</f>
        <v>2017</v>
      </c>
      <c r="M5161" s="308" t="s">
        <v>20773</v>
      </c>
      <c r="N5161" s="308"/>
      <c r="O5161" s="308"/>
      <c r="P5161" s="308" t="s">
        <v>7523</v>
      </c>
      <c r="Q5161" s="308" t="s">
        <v>38202</v>
      </c>
      <c r="R5161" s="308" t="s">
        <v>2743</v>
      </c>
      <c r="S5161" s="315" t="s">
        <v>100</v>
      </c>
      <c r="T5161" s="311" t="s">
        <v>34208</v>
      </c>
      <c r="U5161" s="308" t="s">
        <v>1664</v>
      </c>
      <c r="V5161" s="308"/>
    </row>
    <row r="5162">
      <c r="A5162" s="308">
        <v>5161.0</v>
      </c>
      <c r="B5162" s="308"/>
      <c r="C5162" s="308" t="s">
        <v>20774</v>
      </c>
      <c r="D5162" s="308">
        <f>IFERROR(__xludf.DUMMYFUNCTION("SPLIT(C5162,""-"")"),5182.0)</f>
        <v>5182</v>
      </c>
      <c r="E5162" s="308" t="str">
        <f>IFERROR(__xludf.DUMMYFUNCTION("""COMPUTED_VALUE"""),"P")</f>
        <v>P</v>
      </c>
      <c r="F5162" s="312" t="s">
        <v>37</v>
      </c>
      <c r="G5162" s="308"/>
      <c r="H5162" s="308" t="s">
        <v>20775</v>
      </c>
      <c r="I5162" s="310">
        <v>43257.0</v>
      </c>
      <c r="J5162" s="319">
        <f>IFERROR(__xludf.DUMMYFUNCTION("SPLIT(I5162,""/"")"),6.0)</f>
        <v>6</v>
      </c>
      <c r="K5162" s="308">
        <f>IFERROR(__xludf.DUMMYFUNCTION("""COMPUTED_VALUE"""),6.0)</f>
        <v>6</v>
      </c>
      <c r="L5162" s="308">
        <f>IFERROR(__xludf.DUMMYFUNCTION("""COMPUTED_VALUE"""),2018.0)</f>
        <v>2018</v>
      </c>
      <c r="M5162" s="308" t="s">
        <v>20776</v>
      </c>
      <c r="N5162" s="308" t="s">
        <v>20777</v>
      </c>
      <c r="O5162" s="308"/>
      <c r="P5162" s="308" t="s">
        <v>38204</v>
      </c>
      <c r="Q5162" s="308" t="s">
        <v>38205</v>
      </c>
      <c r="R5162" s="308" t="s">
        <v>16185</v>
      </c>
      <c r="S5162" s="308" t="s">
        <v>81</v>
      </c>
      <c r="T5162" s="311" t="s">
        <v>75</v>
      </c>
      <c r="U5162" s="308" t="s">
        <v>143</v>
      </c>
      <c r="V5162" s="308"/>
    </row>
    <row r="5163">
      <c r="A5163" s="308">
        <v>5162.0</v>
      </c>
      <c r="B5163" s="308"/>
      <c r="C5163" s="308" t="s">
        <v>20779</v>
      </c>
      <c r="D5163" s="308">
        <f>IFERROR(__xludf.DUMMYFUNCTION("SPLIT(C5163,""-"")"),5183.0)</f>
        <v>5183</v>
      </c>
      <c r="E5163" s="308" t="str">
        <f>IFERROR(__xludf.DUMMYFUNCTION("""COMPUTED_VALUE"""),"K")</f>
        <v>K</v>
      </c>
      <c r="F5163" s="309" t="s">
        <v>34</v>
      </c>
      <c r="G5163" s="308"/>
      <c r="H5163" s="308" t="s">
        <v>20780</v>
      </c>
      <c r="I5163" s="310">
        <v>42253.0</v>
      </c>
      <c r="J5163" s="319">
        <f>IFERROR(__xludf.DUMMYFUNCTION("SPLIT(I5163,""/"")"),6.0)</f>
        <v>6</v>
      </c>
      <c r="K5163" s="308">
        <f>IFERROR(__xludf.DUMMYFUNCTION("""COMPUTED_VALUE"""),9.0)</f>
        <v>9</v>
      </c>
      <c r="L5163" s="308">
        <f>IFERROR(__xludf.DUMMYFUNCTION("""COMPUTED_VALUE"""),2015.0)</f>
        <v>2015</v>
      </c>
      <c r="M5163" s="308" t="s">
        <v>20781</v>
      </c>
      <c r="N5163" s="308"/>
      <c r="O5163" s="308"/>
      <c r="P5163" s="308" t="s">
        <v>38206</v>
      </c>
      <c r="Q5163" s="308" t="s">
        <v>38205</v>
      </c>
      <c r="R5163" s="308" t="s">
        <v>16185</v>
      </c>
      <c r="S5163" s="308" t="s">
        <v>81</v>
      </c>
      <c r="T5163" s="308" t="s">
        <v>34264</v>
      </c>
      <c r="U5163" s="308" t="s">
        <v>530</v>
      </c>
      <c r="V5163" s="308"/>
    </row>
    <row r="5164">
      <c r="A5164" s="308">
        <v>5163.0</v>
      </c>
      <c r="B5164" s="308"/>
      <c r="C5164" s="308" t="s">
        <v>20783</v>
      </c>
      <c r="D5164" s="308">
        <f>IFERROR(__xludf.DUMMYFUNCTION("SPLIT(C5164,""-"")"),5184.0)</f>
        <v>5184</v>
      </c>
      <c r="E5164" s="308" t="str">
        <f>IFERROR(__xludf.DUMMYFUNCTION("""COMPUTED_VALUE"""),"K")</f>
        <v>K</v>
      </c>
      <c r="F5164" s="309" t="s">
        <v>34</v>
      </c>
      <c r="G5164" s="308"/>
      <c r="H5164" s="308" t="s">
        <v>20784</v>
      </c>
      <c r="I5164" s="310">
        <v>42817.0</v>
      </c>
      <c r="J5164" s="319" t="str">
        <f>IFERROR(__xludf.DUMMYFUNCTION("SPLIT(I5164,""/"")"),"#REF!")</f>
        <v>#REF!</v>
      </c>
      <c r="K5164" s="308"/>
      <c r="L5164" s="308">
        <v>2017.0</v>
      </c>
      <c r="M5164" s="308" t="s">
        <v>38207</v>
      </c>
      <c r="N5164" s="308" t="s">
        <v>439</v>
      </c>
      <c r="O5164" s="308" t="s">
        <v>20786</v>
      </c>
      <c r="P5164" s="308" t="s">
        <v>5679</v>
      </c>
      <c r="Q5164" s="308" t="s">
        <v>38205</v>
      </c>
      <c r="R5164" s="308" t="s">
        <v>16185</v>
      </c>
      <c r="S5164" s="315" t="s">
        <v>100</v>
      </c>
      <c r="T5164" s="311" t="s">
        <v>34208</v>
      </c>
      <c r="U5164" s="308" t="s">
        <v>2152</v>
      </c>
      <c r="V5164" s="308"/>
    </row>
    <row r="5165">
      <c r="A5165" s="308">
        <v>5164.0</v>
      </c>
      <c r="B5165" s="308"/>
      <c r="C5165" s="308" t="s">
        <v>20787</v>
      </c>
      <c r="D5165" s="308">
        <f>IFERROR(__xludf.DUMMYFUNCTION("SPLIT(C5165,""-"")"),5185.0)</f>
        <v>5185</v>
      </c>
      <c r="E5165" s="308" t="str">
        <f>IFERROR(__xludf.DUMMYFUNCTION("""COMPUTED_VALUE"""),"K")</f>
        <v>K</v>
      </c>
      <c r="F5165" s="309" t="s">
        <v>34</v>
      </c>
      <c r="G5165" s="308"/>
      <c r="H5165" s="308" t="s">
        <v>20788</v>
      </c>
      <c r="I5165" s="310">
        <v>43182.0</v>
      </c>
      <c r="J5165" s="319">
        <f>IFERROR(__xludf.DUMMYFUNCTION("SPLIT(I5165,""/"")"),23.0)</f>
        <v>23</v>
      </c>
      <c r="K5165" s="308">
        <f>IFERROR(__xludf.DUMMYFUNCTION("""COMPUTED_VALUE"""),3.0)</f>
        <v>3</v>
      </c>
      <c r="L5165" s="308">
        <f>IFERROR(__xludf.DUMMYFUNCTION("""COMPUTED_VALUE"""),2018.0)</f>
        <v>2018</v>
      </c>
      <c r="M5165" s="308" t="s">
        <v>38207</v>
      </c>
      <c r="N5165" s="308" t="s">
        <v>20789</v>
      </c>
      <c r="O5165" s="308" t="s">
        <v>20786</v>
      </c>
      <c r="P5165" s="308" t="s">
        <v>5679</v>
      </c>
      <c r="Q5165" s="308" t="s">
        <v>38205</v>
      </c>
      <c r="R5165" s="308" t="s">
        <v>16185</v>
      </c>
      <c r="S5165" s="315" t="s">
        <v>100</v>
      </c>
      <c r="T5165" s="311" t="s">
        <v>34208</v>
      </c>
      <c r="U5165" s="308" t="s">
        <v>2152</v>
      </c>
      <c r="V5165" s="308"/>
    </row>
    <row r="5166">
      <c r="A5166" s="308">
        <v>5165.0</v>
      </c>
      <c r="B5166" s="308"/>
      <c r="C5166" s="308" t="s">
        <v>20790</v>
      </c>
      <c r="D5166" s="308">
        <f>IFERROR(__xludf.DUMMYFUNCTION("SPLIT(C5166,""-"")"),5186.0)</f>
        <v>5186</v>
      </c>
      <c r="E5166" s="308" t="str">
        <f>IFERROR(__xludf.DUMMYFUNCTION("""COMPUTED_VALUE"""),"K")</f>
        <v>K</v>
      </c>
      <c r="F5166" s="309" t="s">
        <v>34</v>
      </c>
      <c r="G5166" s="308"/>
      <c r="H5166" s="308" t="s">
        <v>20791</v>
      </c>
      <c r="I5166" s="310">
        <v>41803.0</v>
      </c>
      <c r="J5166" s="319">
        <f>IFERROR(__xludf.DUMMYFUNCTION("SPLIT(I5166,""/"")"),13.0)</f>
        <v>13</v>
      </c>
      <c r="K5166" s="308">
        <f>IFERROR(__xludf.DUMMYFUNCTION("""COMPUTED_VALUE"""),6.0)</f>
        <v>6</v>
      </c>
      <c r="L5166" s="308">
        <f>IFERROR(__xludf.DUMMYFUNCTION("""COMPUTED_VALUE"""),2014.0)</f>
        <v>2014</v>
      </c>
      <c r="M5166" s="308" t="s">
        <v>20792</v>
      </c>
      <c r="N5166" s="308"/>
      <c r="O5166" s="308" t="s">
        <v>38208</v>
      </c>
      <c r="P5166" s="308" t="s">
        <v>20794</v>
      </c>
      <c r="Q5166" s="308" t="s">
        <v>38205</v>
      </c>
      <c r="R5166" s="308" t="s">
        <v>16185</v>
      </c>
      <c r="S5166" s="308" t="s">
        <v>81</v>
      </c>
      <c r="T5166" s="308" t="s">
        <v>75</v>
      </c>
      <c r="U5166" s="308" t="s">
        <v>201</v>
      </c>
      <c r="V5166" s="308"/>
    </row>
    <row r="5167">
      <c r="A5167" s="308">
        <v>5166.0</v>
      </c>
      <c r="B5167" s="308"/>
      <c r="C5167" s="308" t="s">
        <v>20795</v>
      </c>
      <c r="D5167" s="308">
        <f>IFERROR(__xludf.DUMMYFUNCTION("SPLIT(C5167,""-"")"),5187.0)</f>
        <v>5187</v>
      </c>
      <c r="E5167" s="308" t="str">
        <f>IFERROR(__xludf.DUMMYFUNCTION("""COMPUTED_VALUE"""),"P")</f>
        <v>P</v>
      </c>
      <c r="F5167" s="312" t="s">
        <v>37</v>
      </c>
      <c r="G5167" s="308"/>
      <c r="H5167" s="308" t="s">
        <v>20796</v>
      </c>
      <c r="I5167" s="310">
        <v>42901.0</v>
      </c>
      <c r="J5167" s="319">
        <f>IFERROR(__xludf.DUMMYFUNCTION("SPLIT(I5167,""/"")"),15.0)</f>
        <v>15</v>
      </c>
      <c r="K5167" s="308">
        <f>IFERROR(__xludf.DUMMYFUNCTION("""COMPUTED_VALUE"""),6.0)</f>
        <v>6</v>
      </c>
      <c r="L5167" s="308">
        <f>IFERROR(__xludf.DUMMYFUNCTION("""COMPUTED_VALUE"""),2017.0)</f>
        <v>2017</v>
      </c>
      <c r="M5167" s="308" t="s">
        <v>20797</v>
      </c>
      <c r="N5167" s="308"/>
      <c r="O5167" s="308"/>
      <c r="P5167" s="308" t="s">
        <v>38209</v>
      </c>
      <c r="Q5167" s="308" t="s">
        <v>38205</v>
      </c>
      <c r="R5167" s="308" t="s">
        <v>16185</v>
      </c>
      <c r="S5167" s="311" t="s">
        <v>49</v>
      </c>
      <c r="T5167" s="311" t="s">
        <v>51</v>
      </c>
      <c r="U5167" s="308" t="s">
        <v>143</v>
      </c>
      <c r="V5167" s="308"/>
    </row>
    <row r="5168">
      <c r="A5168" s="308">
        <v>5167.0</v>
      </c>
      <c r="B5168" s="308"/>
      <c r="C5168" s="308" t="s">
        <v>20799</v>
      </c>
      <c r="D5168" s="308">
        <f>IFERROR(__xludf.DUMMYFUNCTION("SPLIT(C5168,""-"")"),5188.0)</f>
        <v>5188</v>
      </c>
      <c r="E5168" s="308" t="str">
        <f>IFERROR(__xludf.DUMMYFUNCTION("""COMPUTED_VALUE"""),"K")</f>
        <v>K</v>
      </c>
      <c r="F5168" s="309" t="s">
        <v>34</v>
      </c>
      <c r="G5168" s="308"/>
      <c r="H5168" s="308" t="s">
        <v>20800</v>
      </c>
      <c r="I5168" s="310">
        <v>42253.0</v>
      </c>
      <c r="J5168" s="319">
        <f>IFERROR(__xludf.DUMMYFUNCTION("SPLIT(I5168,""/"")"),6.0)</f>
        <v>6</v>
      </c>
      <c r="K5168" s="308">
        <f>IFERROR(__xludf.DUMMYFUNCTION("""COMPUTED_VALUE"""),9.0)</f>
        <v>9</v>
      </c>
      <c r="L5168" s="308">
        <f>IFERROR(__xludf.DUMMYFUNCTION("""COMPUTED_VALUE"""),2015.0)</f>
        <v>2015</v>
      </c>
      <c r="M5168" s="308" t="s">
        <v>20801</v>
      </c>
      <c r="N5168" s="308"/>
      <c r="O5168" s="308"/>
      <c r="P5168" s="308" t="s">
        <v>20802</v>
      </c>
      <c r="Q5168" s="308" t="s">
        <v>38205</v>
      </c>
      <c r="R5168" s="308" t="s">
        <v>16185</v>
      </c>
      <c r="S5168" s="308" t="s">
        <v>81</v>
      </c>
      <c r="T5168" s="308" t="s">
        <v>34264</v>
      </c>
      <c r="U5168" s="308" t="s">
        <v>530</v>
      </c>
      <c r="V5168" s="308"/>
    </row>
    <row r="5169">
      <c r="A5169" s="308">
        <v>5168.0</v>
      </c>
      <c r="B5169" s="308"/>
      <c r="C5169" s="308" t="s">
        <v>20803</v>
      </c>
      <c r="D5169" s="308">
        <f>IFERROR(__xludf.DUMMYFUNCTION("SPLIT(C5169,""-"")"),5189.0)</f>
        <v>5189</v>
      </c>
      <c r="E5169" s="308" t="str">
        <f>IFERROR(__xludf.DUMMYFUNCTION("""COMPUTED_VALUE"""),"P")</f>
        <v>P</v>
      </c>
      <c r="F5169" s="312" t="s">
        <v>37</v>
      </c>
      <c r="G5169" s="308"/>
      <c r="H5169" s="308" t="s">
        <v>20804</v>
      </c>
      <c r="I5169" s="310">
        <v>42596.0</v>
      </c>
      <c r="J5169" s="319">
        <f>IFERROR(__xludf.DUMMYFUNCTION("SPLIT(I5169,""/"")"),14.0)</f>
        <v>14</v>
      </c>
      <c r="K5169" s="308">
        <f>IFERROR(__xludf.DUMMYFUNCTION("""COMPUTED_VALUE"""),8.0)</f>
        <v>8</v>
      </c>
      <c r="L5169" s="308">
        <f>IFERROR(__xludf.DUMMYFUNCTION("""COMPUTED_VALUE"""),2016.0)</f>
        <v>2016</v>
      </c>
      <c r="M5169" s="308" t="s">
        <v>20805</v>
      </c>
      <c r="N5169" s="308"/>
      <c r="O5169" s="308"/>
      <c r="P5169" s="308" t="s">
        <v>38210</v>
      </c>
      <c r="Q5169" s="308" t="s">
        <v>38205</v>
      </c>
      <c r="R5169" s="308" t="s">
        <v>2743</v>
      </c>
      <c r="S5169" s="308" t="s">
        <v>81</v>
      </c>
      <c r="T5169" s="308" t="s">
        <v>34264</v>
      </c>
      <c r="U5169" s="308" t="s">
        <v>149</v>
      </c>
      <c r="V5169" s="308"/>
    </row>
    <row r="5170">
      <c r="A5170" s="308">
        <v>5169.0</v>
      </c>
      <c r="B5170" s="308"/>
      <c r="C5170" s="308" t="s">
        <v>20807</v>
      </c>
      <c r="D5170" s="308">
        <f>IFERROR(__xludf.DUMMYFUNCTION("SPLIT(C5170,""-"")"),5190.0)</f>
        <v>5190</v>
      </c>
      <c r="E5170" s="308" t="str">
        <f>IFERROR(__xludf.DUMMYFUNCTION("""COMPUTED_VALUE"""),"P")</f>
        <v>P</v>
      </c>
      <c r="F5170" s="312" t="s">
        <v>37</v>
      </c>
      <c r="G5170" s="308"/>
      <c r="H5170" s="308" t="s">
        <v>20808</v>
      </c>
      <c r="I5170" s="310">
        <v>42873.0</v>
      </c>
      <c r="J5170" s="319">
        <f>IFERROR(__xludf.DUMMYFUNCTION("SPLIT(I5170,""/"")"),18.0)</f>
        <v>18</v>
      </c>
      <c r="K5170" s="308">
        <f>IFERROR(__xludf.DUMMYFUNCTION("""COMPUTED_VALUE"""),5.0)</f>
        <v>5</v>
      </c>
      <c r="L5170" s="308">
        <f>IFERROR(__xludf.DUMMYFUNCTION("""COMPUTED_VALUE"""),2017.0)</f>
        <v>2017</v>
      </c>
      <c r="M5170" s="308" t="s">
        <v>20809</v>
      </c>
      <c r="N5170" s="308"/>
      <c r="O5170" s="308" t="s">
        <v>20810</v>
      </c>
      <c r="P5170" s="308" t="s">
        <v>20811</v>
      </c>
      <c r="Q5170" s="308" t="s">
        <v>38205</v>
      </c>
      <c r="R5170" s="308" t="s">
        <v>2743</v>
      </c>
      <c r="S5170" s="308" t="s">
        <v>81</v>
      </c>
      <c r="T5170" s="311" t="s">
        <v>96</v>
      </c>
      <c r="U5170" s="308" t="s">
        <v>1435</v>
      </c>
      <c r="V5170" s="308"/>
    </row>
    <row r="5171">
      <c r="A5171" s="308">
        <v>5170.0</v>
      </c>
      <c r="B5171" s="308"/>
      <c r="C5171" s="308" t="s">
        <v>20812</v>
      </c>
      <c r="D5171" s="308">
        <f>IFERROR(__xludf.DUMMYFUNCTION("SPLIT(C5171,""-"")"),5191.0)</f>
        <v>5191</v>
      </c>
      <c r="E5171" s="308" t="str">
        <f>IFERROR(__xludf.DUMMYFUNCTION("""COMPUTED_VALUE"""),"S")</f>
        <v>S</v>
      </c>
      <c r="F5171" s="312" t="s">
        <v>39</v>
      </c>
      <c r="G5171" s="308"/>
      <c r="H5171" s="308" t="s">
        <v>20813</v>
      </c>
      <c r="I5171" s="310">
        <v>40671.0</v>
      </c>
      <c r="J5171" s="319">
        <f>IFERROR(__xludf.DUMMYFUNCTION("SPLIT(I5171,""/"")"),8.0)</f>
        <v>8</v>
      </c>
      <c r="K5171" s="308">
        <f>IFERROR(__xludf.DUMMYFUNCTION("""COMPUTED_VALUE"""),5.0)</f>
        <v>5</v>
      </c>
      <c r="L5171" s="308">
        <f>IFERROR(__xludf.DUMMYFUNCTION("""COMPUTED_VALUE"""),2011.0)</f>
        <v>2011</v>
      </c>
      <c r="M5171" s="308" t="s">
        <v>20814</v>
      </c>
      <c r="N5171" s="308"/>
      <c r="O5171" s="308"/>
      <c r="P5171" s="308" t="s">
        <v>34805</v>
      </c>
      <c r="Q5171" s="308" t="s">
        <v>38205</v>
      </c>
      <c r="R5171" s="308" t="s">
        <v>2743</v>
      </c>
      <c r="S5171" s="308" t="s">
        <v>49</v>
      </c>
      <c r="T5171" s="308" t="s">
        <v>51</v>
      </c>
      <c r="U5171" s="308" t="s">
        <v>166</v>
      </c>
      <c r="V5171" s="308"/>
    </row>
    <row r="5172">
      <c r="A5172" s="308">
        <v>5171.0</v>
      </c>
      <c r="B5172" s="308"/>
      <c r="C5172" s="308" t="s">
        <v>20815</v>
      </c>
      <c r="D5172" s="308">
        <f>IFERROR(__xludf.DUMMYFUNCTION("SPLIT(C5172,""-"")"),5192.0)</f>
        <v>5192</v>
      </c>
      <c r="E5172" s="308" t="str">
        <f>IFERROR(__xludf.DUMMYFUNCTION("""COMPUTED_VALUE"""),"A")</f>
        <v>A</v>
      </c>
      <c r="F5172" s="309" t="s">
        <v>23</v>
      </c>
      <c r="G5172" s="308"/>
      <c r="H5172" s="308" t="s">
        <v>20816</v>
      </c>
      <c r="I5172" s="310">
        <v>42929.0</v>
      </c>
      <c r="J5172" s="319">
        <f>IFERROR(__xludf.DUMMYFUNCTION("SPLIT(I5172,""/"")"),13.0)</f>
        <v>13</v>
      </c>
      <c r="K5172" s="308">
        <f>IFERROR(__xludf.DUMMYFUNCTION("""COMPUTED_VALUE"""),7.0)</f>
        <v>7</v>
      </c>
      <c r="L5172" s="308">
        <f>IFERROR(__xludf.DUMMYFUNCTION("""COMPUTED_VALUE"""),2017.0)</f>
        <v>2017</v>
      </c>
      <c r="M5172" s="308" t="s">
        <v>20817</v>
      </c>
      <c r="N5172" s="308"/>
      <c r="O5172" s="308"/>
      <c r="P5172" s="308" t="s">
        <v>11313</v>
      </c>
      <c r="Q5172" s="308" t="s">
        <v>38205</v>
      </c>
      <c r="R5172" s="308" t="s">
        <v>17460</v>
      </c>
      <c r="S5172" s="315" t="s">
        <v>100</v>
      </c>
      <c r="T5172" s="311" t="s">
        <v>34208</v>
      </c>
      <c r="U5172" s="308" t="s">
        <v>403</v>
      </c>
      <c r="V5172" s="308"/>
    </row>
    <row r="5173">
      <c r="A5173" s="308">
        <v>5172.0</v>
      </c>
      <c r="B5173" s="308"/>
      <c r="C5173" s="308" t="s">
        <v>20818</v>
      </c>
      <c r="D5173" s="308">
        <f>IFERROR(__xludf.DUMMYFUNCTION("SPLIT(C5173,""-"")"),5193.0)</f>
        <v>5193</v>
      </c>
      <c r="E5173" s="308" t="str">
        <f>IFERROR(__xludf.DUMMYFUNCTION("""COMPUTED_VALUE"""),"K")</f>
        <v>K</v>
      </c>
      <c r="F5173" s="309" t="s">
        <v>34</v>
      </c>
      <c r="G5173" s="308"/>
      <c r="H5173" s="308" t="s">
        <v>20819</v>
      </c>
      <c r="I5173" s="310">
        <v>39995.0</v>
      </c>
      <c r="J5173" s="319">
        <f>IFERROR(__xludf.DUMMYFUNCTION("SPLIT(I5173,""/"")"),1.0)</f>
        <v>1</v>
      </c>
      <c r="K5173" s="308">
        <f>IFERROR(__xludf.DUMMYFUNCTION("""COMPUTED_VALUE"""),7.0)</f>
        <v>7</v>
      </c>
      <c r="L5173" s="308">
        <f>IFERROR(__xludf.DUMMYFUNCTION("""COMPUTED_VALUE"""),2009.0)</f>
        <v>2009</v>
      </c>
      <c r="M5173" s="308" t="s">
        <v>20820</v>
      </c>
      <c r="N5173" s="308"/>
      <c r="O5173" s="308"/>
      <c r="P5173" s="308" t="s">
        <v>5679</v>
      </c>
      <c r="Q5173" s="308" t="s">
        <v>38205</v>
      </c>
      <c r="R5173" s="308" t="s">
        <v>2743</v>
      </c>
      <c r="S5173" s="315" t="s">
        <v>100</v>
      </c>
      <c r="T5173" s="311" t="s">
        <v>34208</v>
      </c>
      <c r="U5173" s="308" t="s">
        <v>4749</v>
      </c>
      <c r="V5173" s="308"/>
    </row>
    <row r="5174">
      <c r="A5174" s="308">
        <v>5173.0</v>
      </c>
      <c r="B5174" s="308"/>
      <c r="C5174" s="308" t="s">
        <v>20821</v>
      </c>
      <c r="D5174" s="308">
        <f>IFERROR(__xludf.DUMMYFUNCTION("SPLIT(C5174,""-"")"),5194.0)</f>
        <v>5194</v>
      </c>
      <c r="E5174" s="308" t="str">
        <f>IFERROR(__xludf.DUMMYFUNCTION("""COMPUTED_VALUE"""),"P")</f>
        <v>P</v>
      </c>
      <c r="F5174" s="312" t="s">
        <v>37</v>
      </c>
      <c r="G5174" s="308"/>
      <c r="H5174" s="308" t="s">
        <v>20822</v>
      </c>
      <c r="I5174" s="310">
        <v>43174.0</v>
      </c>
      <c r="J5174" s="319">
        <f>IFERROR(__xludf.DUMMYFUNCTION("SPLIT(I5174,""/"")"),15.0)</f>
        <v>15</v>
      </c>
      <c r="K5174" s="308">
        <f>IFERROR(__xludf.DUMMYFUNCTION("""COMPUTED_VALUE"""),3.0)</f>
        <v>3</v>
      </c>
      <c r="L5174" s="308">
        <f>IFERROR(__xludf.DUMMYFUNCTION("""COMPUTED_VALUE"""),2018.0)</f>
        <v>2018</v>
      </c>
      <c r="M5174" s="308" t="s">
        <v>20823</v>
      </c>
      <c r="N5174" s="308"/>
      <c r="O5174" s="308"/>
      <c r="P5174" s="308" t="s">
        <v>38211</v>
      </c>
      <c r="Q5174" s="308" t="s">
        <v>38205</v>
      </c>
      <c r="R5174" s="308" t="s">
        <v>2743</v>
      </c>
      <c r="S5174" s="308" t="s">
        <v>81</v>
      </c>
      <c r="T5174" s="311" t="s">
        <v>75</v>
      </c>
      <c r="U5174" s="308" t="s">
        <v>149</v>
      </c>
      <c r="V5174" s="308"/>
    </row>
    <row r="5175">
      <c r="A5175" s="308">
        <v>5174.0</v>
      </c>
      <c r="B5175" s="308"/>
      <c r="C5175" s="308" t="s">
        <v>20825</v>
      </c>
      <c r="D5175" s="308">
        <f>IFERROR(__xludf.DUMMYFUNCTION("SPLIT(C5175,""-"")"),5195.0)</f>
        <v>5195</v>
      </c>
      <c r="E5175" s="308" t="str">
        <f>IFERROR(__xludf.DUMMYFUNCTION("""COMPUTED_VALUE"""),"K")</f>
        <v>K</v>
      </c>
      <c r="F5175" s="309" t="s">
        <v>34</v>
      </c>
      <c r="G5175" s="308"/>
      <c r="H5175" s="308" t="s">
        <v>20826</v>
      </c>
      <c r="I5175" s="310">
        <v>41769.0</v>
      </c>
      <c r="J5175" s="319">
        <f>IFERROR(__xludf.DUMMYFUNCTION("SPLIT(I5175,""/"")"),10.0)</f>
        <v>10</v>
      </c>
      <c r="K5175" s="308">
        <f>IFERROR(__xludf.DUMMYFUNCTION("""COMPUTED_VALUE"""),5.0)</f>
        <v>5</v>
      </c>
      <c r="L5175" s="308">
        <f>IFERROR(__xludf.DUMMYFUNCTION("""COMPUTED_VALUE"""),2014.0)</f>
        <v>2014</v>
      </c>
      <c r="M5175" s="308" t="s">
        <v>20827</v>
      </c>
      <c r="N5175" s="308" t="s">
        <v>20828</v>
      </c>
      <c r="O5175" s="308" t="s">
        <v>20829</v>
      </c>
      <c r="P5175" s="308" t="s">
        <v>20830</v>
      </c>
      <c r="Q5175" s="308" t="s">
        <v>38205</v>
      </c>
      <c r="R5175" s="308" t="s">
        <v>2743</v>
      </c>
      <c r="S5175" s="308" t="s">
        <v>49</v>
      </c>
      <c r="T5175" s="308" t="s">
        <v>51</v>
      </c>
      <c r="U5175" s="308" t="s">
        <v>2152</v>
      </c>
      <c r="V5175" s="308"/>
    </row>
    <row r="5176">
      <c r="A5176" s="308">
        <v>5175.0</v>
      </c>
      <c r="B5176" s="308"/>
      <c r="C5176" s="308" t="s">
        <v>20831</v>
      </c>
      <c r="D5176" s="308">
        <f>IFERROR(__xludf.DUMMYFUNCTION("SPLIT(C5176,""-"")"),5196.0)</f>
        <v>5196</v>
      </c>
      <c r="E5176" s="308" t="str">
        <f>IFERROR(__xludf.DUMMYFUNCTION("""COMPUTED_VALUE"""),"B")</f>
        <v>B</v>
      </c>
      <c r="F5176" s="315" t="s">
        <v>26</v>
      </c>
      <c r="G5176" s="308"/>
      <c r="H5176" s="308" t="s">
        <v>12409</v>
      </c>
      <c r="I5176" s="310">
        <v>41903.0</v>
      </c>
      <c r="J5176" s="319">
        <f>IFERROR(__xludf.DUMMYFUNCTION("SPLIT(I5176,""/"")"),21.0)</f>
        <v>21</v>
      </c>
      <c r="K5176" s="308">
        <f>IFERROR(__xludf.DUMMYFUNCTION("""COMPUTED_VALUE"""),9.0)</f>
        <v>9</v>
      </c>
      <c r="L5176" s="308">
        <f>IFERROR(__xludf.DUMMYFUNCTION("""COMPUTED_VALUE"""),2014.0)</f>
        <v>2014</v>
      </c>
      <c r="M5176" s="308" t="s">
        <v>20832</v>
      </c>
      <c r="N5176" s="308"/>
      <c r="O5176" s="308"/>
      <c r="P5176" s="308" t="s">
        <v>20833</v>
      </c>
      <c r="Q5176" s="308" t="s">
        <v>38205</v>
      </c>
      <c r="R5176" s="308" t="s">
        <v>2743</v>
      </c>
      <c r="S5176" s="308" t="s">
        <v>49</v>
      </c>
      <c r="T5176" s="311" t="s">
        <v>51</v>
      </c>
      <c r="U5176" s="308" t="s">
        <v>27</v>
      </c>
      <c r="V5176" s="308"/>
    </row>
    <row r="5177">
      <c r="A5177" s="308">
        <v>5176.0</v>
      </c>
      <c r="B5177" s="308"/>
      <c r="C5177" s="308" t="s">
        <v>20834</v>
      </c>
      <c r="D5177" s="308">
        <f>IFERROR(__xludf.DUMMYFUNCTION("SPLIT(C5177,""-"")"),5197.0)</f>
        <v>5197</v>
      </c>
      <c r="E5177" s="308" t="str">
        <f>IFERROR(__xludf.DUMMYFUNCTION("""COMPUTED_VALUE"""),"P")</f>
        <v>P</v>
      </c>
      <c r="F5177" s="312" t="s">
        <v>37</v>
      </c>
      <c r="G5177" s="308"/>
      <c r="H5177" s="308" t="s">
        <v>20835</v>
      </c>
      <c r="I5177" s="310">
        <v>43225.0</v>
      </c>
      <c r="J5177" s="319">
        <f>IFERROR(__xludf.DUMMYFUNCTION("SPLIT(I5177,""/"")"),5.0)</f>
        <v>5</v>
      </c>
      <c r="K5177" s="308">
        <f>IFERROR(__xludf.DUMMYFUNCTION("""COMPUTED_VALUE"""),5.0)</f>
        <v>5</v>
      </c>
      <c r="L5177" s="308">
        <f>IFERROR(__xludf.DUMMYFUNCTION("""COMPUTED_VALUE"""),2018.0)</f>
        <v>2018</v>
      </c>
      <c r="M5177" s="308" t="s">
        <v>20836</v>
      </c>
      <c r="N5177" s="308"/>
      <c r="O5177" s="308"/>
      <c r="P5177" s="308" t="s">
        <v>38212</v>
      </c>
      <c r="Q5177" s="308" t="s">
        <v>38213</v>
      </c>
      <c r="R5177" s="308" t="s">
        <v>2743</v>
      </c>
      <c r="S5177" s="308" t="s">
        <v>81</v>
      </c>
      <c r="T5177" s="308" t="s">
        <v>75</v>
      </c>
      <c r="U5177" s="308" t="s">
        <v>149</v>
      </c>
      <c r="V5177" s="308"/>
    </row>
    <row r="5178">
      <c r="A5178" s="308">
        <v>5177.0</v>
      </c>
      <c r="B5178" s="308"/>
      <c r="C5178" s="308" t="s">
        <v>20838</v>
      </c>
      <c r="D5178" s="308">
        <f>IFERROR(__xludf.DUMMYFUNCTION("SPLIT(C5178,""-"")"),5198.0)</f>
        <v>5198</v>
      </c>
      <c r="E5178" s="308" t="str">
        <f>IFERROR(__xludf.DUMMYFUNCTION("""COMPUTED_VALUE"""),"F")</f>
        <v>F</v>
      </c>
      <c r="F5178" s="309" t="s">
        <v>34</v>
      </c>
      <c r="G5178" s="308"/>
      <c r="H5178" s="308" t="s">
        <v>20428</v>
      </c>
      <c r="I5178" s="316" t="s">
        <v>407</v>
      </c>
      <c r="J5178" s="319"/>
      <c r="K5178" s="308"/>
      <c r="L5178" s="311" t="s">
        <v>79</v>
      </c>
      <c r="M5178" s="308"/>
      <c r="N5178" s="308"/>
      <c r="O5178" s="308"/>
      <c r="P5178" s="308" t="s">
        <v>6393</v>
      </c>
      <c r="Q5178" s="308" t="s">
        <v>38213</v>
      </c>
      <c r="R5178" s="308" t="s">
        <v>2743</v>
      </c>
      <c r="S5178" s="315" t="s">
        <v>100</v>
      </c>
      <c r="T5178" s="311" t="s">
        <v>34208</v>
      </c>
      <c r="U5178" s="308" t="s">
        <v>195</v>
      </c>
      <c r="V5178" s="308"/>
    </row>
    <row r="5179">
      <c r="A5179" s="308">
        <v>5178.0</v>
      </c>
      <c r="B5179" s="308"/>
      <c r="C5179" s="308" t="s">
        <v>20839</v>
      </c>
      <c r="D5179" s="308">
        <f>IFERROR(__xludf.DUMMYFUNCTION("SPLIT(C5179,""-"")"),5199.0)</f>
        <v>5199</v>
      </c>
      <c r="E5179" s="308" t="str">
        <f>IFERROR(__xludf.DUMMYFUNCTION("""COMPUTED_VALUE"""),"P")</f>
        <v>P</v>
      </c>
      <c r="F5179" s="312" t="s">
        <v>37</v>
      </c>
      <c r="G5179" s="308"/>
      <c r="H5179" s="308" t="s">
        <v>20840</v>
      </c>
      <c r="I5179" s="310">
        <v>43013.0</v>
      </c>
      <c r="J5179" s="319">
        <f>IFERROR(__xludf.DUMMYFUNCTION("SPLIT(I5179,""/"")"),5.0)</f>
        <v>5</v>
      </c>
      <c r="K5179" s="308">
        <f>IFERROR(__xludf.DUMMYFUNCTION("""COMPUTED_VALUE"""),10.0)</f>
        <v>10</v>
      </c>
      <c r="L5179" s="308">
        <f>IFERROR(__xludf.DUMMYFUNCTION("""COMPUTED_VALUE"""),2017.0)</f>
        <v>2017</v>
      </c>
      <c r="M5179" s="308" t="s">
        <v>20841</v>
      </c>
      <c r="N5179" s="308"/>
      <c r="O5179" s="308"/>
      <c r="P5179" s="308" t="s">
        <v>20842</v>
      </c>
      <c r="Q5179" s="308" t="s">
        <v>38214</v>
      </c>
      <c r="R5179" s="308" t="s">
        <v>2743</v>
      </c>
      <c r="S5179" s="308" t="s">
        <v>81</v>
      </c>
      <c r="T5179" s="308" t="s">
        <v>75</v>
      </c>
      <c r="U5179" s="308" t="s">
        <v>2527</v>
      </c>
      <c r="V5179" s="308"/>
    </row>
    <row r="5180">
      <c r="A5180" s="308">
        <v>5179.0</v>
      </c>
      <c r="B5180" s="308"/>
      <c r="C5180" s="308" t="s">
        <v>20843</v>
      </c>
      <c r="D5180" s="308">
        <f>IFERROR(__xludf.DUMMYFUNCTION("SPLIT(C5180,""-"")"),5200.0)</f>
        <v>5200</v>
      </c>
      <c r="E5180" s="308" t="str">
        <f>IFERROR(__xludf.DUMMYFUNCTION("""COMPUTED_VALUE"""),"S")</f>
        <v>S</v>
      </c>
      <c r="F5180" s="312" t="s">
        <v>39</v>
      </c>
      <c r="G5180" s="308"/>
      <c r="H5180" s="308" t="s">
        <v>20844</v>
      </c>
      <c r="I5180" s="310">
        <v>43250.0</v>
      </c>
      <c r="J5180" s="319">
        <f>IFERROR(__xludf.DUMMYFUNCTION("SPLIT(I5180,""/"")"),30.0)</f>
        <v>30</v>
      </c>
      <c r="K5180" s="308">
        <f>IFERROR(__xludf.DUMMYFUNCTION("""COMPUTED_VALUE"""),5.0)</f>
        <v>5</v>
      </c>
      <c r="L5180" s="308">
        <f>IFERROR(__xludf.DUMMYFUNCTION("""COMPUTED_VALUE"""),2018.0)</f>
        <v>2018</v>
      </c>
      <c r="M5180" s="308" t="s">
        <v>20845</v>
      </c>
      <c r="N5180" s="308"/>
      <c r="O5180" s="308"/>
      <c r="P5180" s="308" t="s">
        <v>38215</v>
      </c>
      <c r="Q5180" s="308" t="s">
        <v>38216</v>
      </c>
      <c r="R5180" s="308" t="s">
        <v>2743</v>
      </c>
      <c r="S5180" s="308" t="s">
        <v>81</v>
      </c>
      <c r="T5180" s="308" t="s">
        <v>75</v>
      </c>
      <c r="U5180" s="308" t="s">
        <v>166</v>
      </c>
      <c r="V5180" s="308"/>
    </row>
    <row r="5181">
      <c r="A5181" s="308">
        <v>5180.0</v>
      </c>
      <c r="B5181" s="308"/>
      <c r="C5181" s="308" t="s">
        <v>20847</v>
      </c>
      <c r="D5181" s="308">
        <f>IFERROR(__xludf.DUMMYFUNCTION("SPLIT(C5181,""-"")"),5201.0)</f>
        <v>5201</v>
      </c>
      <c r="E5181" s="308" t="str">
        <f>IFERROR(__xludf.DUMMYFUNCTION("""COMPUTED_VALUE"""),"S")</f>
        <v>S</v>
      </c>
      <c r="F5181" s="312" t="s">
        <v>39</v>
      </c>
      <c r="G5181" s="308"/>
      <c r="H5181" s="308" t="s">
        <v>20848</v>
      </c>
      <c r="I5181" s="310">
        <v>40360.0</v>
      </c>
      <c r="J5181" s="319">
        <f>IFERROR(__xludf.DUMMYFUNCTION("SPLIT(I5181,""/"")"),1.0)</f>
        <v>1</v>
      </c>
      <c r="K5181" s="308">
        <f>IFERROR(__xludf.DUMMYFUNCTION("""COMPUTED_VALUE"""),7.0)</f>
        <v>7</v>
      </c>
      <c r="L5181" s="308">
        <f>IFERROR(__xludf.DUMMYFUNCTION("""COMPUTED_VALUE"""),2010.0)</f>
        <v>2010</v>
      </c>
      <c r="M5181" s="308" t="s">
        <v>20849</v>
      </c>
      <c r="N5181" s="308"/>
      <c r="O5181" s="308"/>
      <c r="P5181" s="308" t="s">
        <v>38217</v>
      </c>
      <c r="Q5181" s="308" t="s">
        <v>38216</v>
      </c>
      <c r="R5181" s="308" t="s">
        <v>2743</v>
      </c>
      <c r="S5181" s="308" t="s">
        <v>81</v>
      </c>
      <c r="T5181" s="308" t="s">
        <v>34264</v>
      </c>
      <c r="U5181" s="308" t="s">
        <v>166</v>
      </c>
      <c r="V5181" s="308"/>
    </row>
    <row r="5182">
      <c r="A5182" s="308">
        <v>5181.0</v>
      </c>
      <c r="B5182" s="308"/>
      <c r="C5182" s="308" t="s">
        <v>20851</v>
      </c>
      <c r="D5182" s="308">
        <f>IFERROR(__xludf.DUMMYFUNCTION("SPLIT(C5182,""-"")"),5202.0)</f>
        <v>5202</v>
      </c>
      <c r="E5182" s="308" t="str">
        <f>IFERROR(__xludf.DUMMYFUNCTION("""COMPUTED_VALUE"""),"S")</f>
        <v>S</v>
      </c>
      <c r="F5182" s="312" t="s">
        <v>39</v>
      </c>
      <c r="G5182" s="308"/>
      <c r="H5182" s="308" t="s">
        <v>20852</v>
      </c>
      <c r="I5182" s="310">
        <v>40360.0</v>
      </c>
      <c r="J5182" s="319">
        <f>IFERROR(__xludf.DUMMYFUNCTION("SPLIT(I5182,""/"")"),1.0)</f>
        <v>1</v>
      </c>
      <c r="K5182" s="308">
        <f>IFERROR(__xludf.DUMMYFUNCTION("""COMPUTED_VALUE"""),7.0)</f>
        <v>7</v>
      </c>
      <c r="L5182" s="308">
        <f>IFERROR(__xludf.DUMMYFUNCTION("""COMPUTED_VALUE"""),2010.0)</f>
        <v>2010</v>
      </c>
      <c r="M5182" s="308" t="s">
        <v>38218</v>
      </c>
      <c r="N5182" s="308"/>
      <c r="O5182" s="308"/>
      <c r="P5182" s="308" t="s">
        <v>38219</v>
      </c>
      <c r="Q5182" s="308" t="s">
        <v>38216</v>
      </c>
      <c r="R5182" s="308" t="s">
        <v>2743</v>
      </c>
      <c r="S5182" s="308" t="s">
        <v>81</v>
      </c>
      <c r="T5182" s="308" t="s">
        <v>34264</v>
      </c>
      <c r="U5182" s="308" t="s">
        <v>166</v>
      </c>
      <c r="V5182" s="308"/>
    </row>
    <row r="5183">
      <c r="A5183" s="308">
        <v>5182.0</v>
      </c>
      <c r="B5183" s="308"/>
      <c r="C5183" s="308" t="s">
        <v>20854</v>
      </c>
      <c r="D5183" s="308">
        <f>IFERROR(__xludf.DUMMYFUNCTION("SPLIT(C5183,""-"")"),5203.0)</f>
        <v>5203</v>
      </c>
      <c r="E5183" s="308" t="str">
        <f>IFERROR(__xludf.DUMMYFUNCTION("""COMPUTED_VALUE"""),"S")</f>
        <v>S</v>
      </c>
      <c r="F5183" s="312" t="s">
        <v>39</v>
      </c>
      <c r="G5183" s="308"/>
      <c r="H5183" s="308" t="s">
        <v>20855</v>
      </c>
      <c r="I5183" s="310">
        <v>43260.0</v>
      </c>
      <c r="J5183" s="319">
        <f>IFERROR(__xludf.DUMMYFUNCTION("SPLIT(I5183,""/"")"),9.0)</f>
        <v>9</v>
      </c>
      <c r="K5183" s="308">
        <f>IFERROR(__xludf.DUMMYFUNCTION("""COMPUTED_VALUE"""),6.0)</f>
        <v>6</v>
      </c>
      <c r="L5183" s="308">
        <f>IFERROR(__xludf.DUMMYFUNCTION("""COMPUTED_VALUE"""),2018.0)</f>
        <v>2018</v>
      </c>
      <c r="M5183" s="308" t="s">
        <v>20856</v>
      </c>
      <c r="N5183" s="308"/>
      <c r="O5183" s="308"/>
      <c r="P5183" s="308" t="s">
        <v>38220</v>
      </c>
      <c r="Q5183" s="308" t="s">
        <v>38221</v>
      </c>
      <c r="R5183" s="308" t="s">
        <v>2743</v>
      </c>
      <c r="S5183" s="308" t="s">
        <v>81</v>
      </c>
      <c r="T5183" s="311" t="s">
        <v>91</v>
      </c>
      <c r="U5183" s="308" t="s">
        <v>166</v>
      </c>
      <c r="V5183" s="308"/>
    </row>
    <row r="5184">
      <c r="A5184" s="308">
        <v>5183.0</v>
      </c>
      <c r="B5184" s="308"/>
      <c r="C5184" s="308" t="s">
        <v>20858</v>
      </c>
      <c r="D5184" s="308">
        <f>IFERROR(__xludf.DUMMYFUNCTION("SPLIT(C5184,""-"")"),5204.0)</f>
        <v>5204</v>
      </c>
      <c r="E5184" s="308" t="str">
        <f>IFERROR(__xludf.DUMMYFUNCTION("""COMPUTED_VALUE"""),"P")</f>
        <v>P</v>
      </c>
      <c r="F5184" s="312" t="s">
        <v>37</v>
      </c>
      <c r="G5184" s="308"/>
      <c r="H5184" s="308" t="s">
        <v>20859</v>
      </c>
      <c r="I5184" s="310">
        <v>43142.0</v>
      </c>
      <c r="J5184" s="319">
        <f>IFERROR(__xludf.DUMMYFUNCTION("SPLIT(I5184,""/"")"),11.0)</f>
        <v>11</v>
      </c>
      <c r="K5184" s="308">
        <f>IFERROR(__xludf.DUMMYFUNCTION("""COMPUTED_VALUE"""),2.0)</f>
        <v>2</v>
      </c>
      <c r="L5184" s="308">
        <f>IFERROR(__xludf.DUMMYFUNCTION("""COMPUTED_VALUE"""),2018.0)</f>
        <v>2018</v>
      </c>
      <c r="M5184" s="308" t="s">
        <v>20860</v>
      </c>
      <c r="N5184" s="308"/>
      <c r="O5184" s="308"/>
      <c r="P5184" s="308" t="s">
        <v>20861</v>
      </c>
      <c r="Q5184" s="308" t="s">
        <v>38221</v>
      </c>
      <c r="R5184" s="308" t="s">
        <v>37859</v>
      </c>
      <c r="S5184" s="308" t="s">
        <v>81</v>
      </c>
      <c r="T5184" s="308" t="s">
        <v>75</v>
      </c>
      <c r="U5184" s="308" t="s">
        <v>18270</v>
      </c>
      <c r="V5184" s="308"/>
    </row>
    <row r="5185">
      <c r="A5185" s="308">
        <v>5184.0</v>
      </c>
      <c r="B5185" s="308"/>
      <c r="C5185" s="308" t="s">
        <v>20862</v>
      </c>
      <c r="D5185" s="308">
        <f>IFERROR(__xludf.DUMMYFUNCTION("SPLIT(C5185,""-"")"),5205.0)</f>
        <v>5205</v>
      </c>
      <c r="E5185" s="308" t="str">
        <f>IFERROR(__xludf.DUMMYFUNCTION("""COMPUTED_VALUE"""),"B")</f>
        <v>B</v>
      </c>
      <c r="F5185" s="315" t="s">
        <v>26</v>
      </c>
      <c r="G5185" s="308"/>
      <c r="H5185" s="308" t="s">
        <v>20863</v>
      </c>
      <c r="I5185" s="310">
        <v>42186.0</v>
      </c>
      <c r="J5185" s="319">
        <f>IFERROR(__xludf.DUMMYFUNCTION("SPLIT(I5185,""/"")"),1.0)</f>
        <v>1</v>
      </c>
      <c r="K5185" s="308">
        <f>IFERROR(__xludf.DUMMYFUNCTION("""COMPUTED_VALUE"""),7.0)</f>
        <v>7</v>
      </c>
      <c r="L5185" s="308">
        <f>IFERROR(__xludf.DUMMYFUNCTION("""COMPUTED_VALUE"""),2015.0)</f>
        <v>2015</v>
      </c>
      <c r="M5185" s="308" t="s">
        <v>20864</v>
      </c>
      <c r="N5185" s="308"/>
      <c r="O5185" s="308"/>
      <c r="P5185" s="308" t="s">
        <v>38222</v>
      </c>
      <c r="Q5185" s="308" t="s">
        <v>38221</v>
      </c>
      <c r="R5185" s="308" t="s">
        <v>14968</v>
      </c>
      <c r="S5185" s="308" t="s">
        <v>81</v>
      </c>
      <c r="T5185" s="311" t="s">
        <v>96</v>
      </c>
      <c r="U5185" s="308" t="s">
        <v>27</v>
      </c>
      <c r="V5185" s="308"/>
    </row>
    <row r="5186">
      <c r="A5186" s="308">
        <v>5185.0</v>
      </c>
      <c r="B5186" s="308"/>
      <c r="C5186" s="308" t="s">
        <v>20866</v>
      </c>
      <c r="D5186" s="308">
        <f>IFERROR(__xludf.DUMMYFUNCTION("SPLIT(C5186,""-"")"),5206.0)</f>
        <v>5206</v>
      </c>
      <c r="E5186" s="308" t="str">
        <f>IFERROR(__xludf.DUMMYFUNCTION("""COMPUTED_VALUE"""),"F")</f>
        <v>F</v>
      </c>
      <c r="F5186" s="309" t="s">
        <v>34</v>
      </c>
      <c r="G5186" s="308"/>
      <c r="H5186" s="308" t="s">
        <v>20867</v>
      </c>
      <c r="I5186" s="310">
        <v>43150.0</v>
      </c>
      <c r="J5186" s="319">
        <f>IFERROR(__xludf.DUMMYFUNCTION("SPLIT(I5186,""/"")"),19.0)</f>
        <v>19</v>
      </c>
      <c r="K5186" s="308">
        <f>IFERROR(__xludf.DUMMYFUNCTION("""COMPUTED_VALUE"""),2.0)</f>
        <v>2</v>
      </c>
      <c r="L5186" s="308">
        <f>IFERROR(__xludf.DUMMYFUNCTION("""COMPUTED_VALUE"""),2018.0)</f>
        <v>2018</v>
      </c>
      <c r="M5186" s="308" t="s">
        <v>38223</v>
      </c>
      <c r="N5186" s="308" t="s">
        <v>20869</v>
      </c>
      <c r="O5186" s="308"/>
      <c r="P5186" s="308" t="s">
        <v>6393</v>
      </c>
      <c r="Q5186" s="308" t="s">
        <v>38221</v>
      </c>
      <c r="R5186" s="308" t="s">
        <v>2743</v>
      </c>
      <c r="S5186" s="315" t="s">
        <v>100</v>
      </c>
      <c r="T5186" s="311" t="s">
        <v>34208</v>
      </c>
      <c r="U5186" s="308" t="s">
        <v>195</v>
      </c>
      <c r="V5186" s="308"/>
    </row>
    <row r="5187">
      <c r="A5187" s="308">
        <v>5186.0</v>
      </c>
      <c r="B5187" s="308"/>
      <c r="C5187" s="308" t="s">
        <v>20870</v>
      </c>
      <c r="D5187" s="308">
        <f>IFERROR(__xludf.DUMMYFUNCTION("SPLIT(C5187,""-"")"),5207.0)</f>
        <v>5207</v>
      </c>
      <c r="E5187" s="308" t="str">
        <f>IFERROR(__xludf.DUMMYFUNCTION("""COMPUTED_VALUE"""),"K")</f>
        <v>K</v>
      </c>
      <c r="F5187" s="309" t="s">
        <v>34</v>
      </c>
      <c r="G5187" s="308"/>
      <c r="H5187" s="308" t="s">
        <v>38224</v>
      </c>
      <c r="I5187" s="310">
        <v>43077.0</v>
      </c>
      <c r="J5187" s="319" t="str">
        <f>IFERROR(__xludf.DUMMYFUNCTION("SPLIT(I5187,""/"")"),"#REF!")</f>
        <v>#REF!</v>
      </c>
      <c r="K5187" s="308"/>
      <c r="L5187" s="308">
        <v>2017.0</v>
      </c>
      <c r="M5187" s="308" t="s">
        <v>20872</v>
      </c>
      <c r="N5187" s="308"/>
      <c r="O5187" s="308" t="s">
        <v>20873</v>
      </c>
      <c r="P5187" s="308" t="s">
        <v>38225</v>
      </c>
      <c r="Q5187" s="308" t="s">
        <v>38221</v>
      </c>
      <c r="R5187" s="308" t="s">
        <v>2743</v>
      </c>
      <c r="S5187" s="308" t="s">
        <v>81</v>
      </c>
      <c r="T5187" s="308" t="s">
        <v>75</v>
      </c>
      <c r="U5187" s="308" t="s">
        <v>368</v>
      </c>
      <c r="V5187" s="308"/>
    </row>
    <row r="5188">
      <c r="A5188" s="308">
        <v>5187.0</v>
      </c>
      <c r="B5188" s="308"/>
      <c r="C5188" s="308" t="s">
        <v>20875</v>
      </c>
      <c r="D5188" s="308">
        <f>IFERROR(__xludf.DUMMYFUNCTION("SPLIT(C5188,""-"")"),5208.0)</f>
        <v>5208</v>
      </c>
      <c r="E5188" s="308" t="str">
        <f>IFERROR(__xludf.DUMMYFUNCTION("""COMPUTED_VALUE"""),"I")</f>
        <v>I</v>
      </c>
      <c r="F5188" s="309" t="s">
        <v>31</v>
      </c>
      <c r="G5188" s="308"/>
      <c r="H5188" s="308" t="s">
        <v>20876</v>
      </c>
      <c r="I5188" s="310">
        <v>43240.0</v>
      </c>
      <c r="J5188" s="319">
        <f>IFERROR(__xludf.DUMMYFUNCTION("SPLIT(I5188,""/"")"),20.0)</f>
        <v>20</v>
      </c>
      <c r="K5188" s="308">
        <f>IFERROR(__xludf.DUMMYFUNCTION("""COMPUTED_VALUE"""),5.0)</f>
        <v>5</v>
      </c>
      <c r="L5188" s="308">
        <f>IFERROR(__xludf.DUMMYFUNCTION("""COMPUTED_VALUE"""),2018.0)</f>
        <v>2018</v>
      </c>
      <c r="M5188" s="308" t="s">
        <v>20877</v>
      </c>
      <c r="N5188" s="308"/>
      <c r="O5188" s="308"/>
      <c r="P5188" s="308" t="s">
        <v>38226</v>
      </c>
      <c r="Q5188" s="308"/>
      <c r="R5188" s="308" t="s">
        <v>2743</v>
      </c>
      <c r="S5188" s="308" t="s">
        <v>81</v>
      </c>
      <c r="T5188" s="308" t="s">
        <v>75</v>
      </c>
      <c r="U5188" s="308" t="s">
        <v>31</v>
      </c>
      <c r="V5188" s="308"/>
    </row>
    <row r="5189">
      <c r="A5189" s="308">
        <v>5188.0</v>
      </c>
      <c r="B5189" s="308"/>
      <c r="C5189" s="308" t="s">
        <v>20879</v>
      </c>
      <c r="D5189" s="308">
        <f>IFERROR(__xludf.DUMMYFUNCTION("SPLIT(C5189,""-"")"),5209.0)</f>
        <v>5209</v>
      </c>
      <c r="E5189" s="308" t="str">
        <f>IFERROR(__xludf.DUMMYFUNCTION("""COMPUTED_VALUE"""),"P")</f>
        <v>P</v>
      </c>
      <c r="F5189" s="312" t="s">
        <v>37</v>
      </c>
      <c r="G5189" s="308"/>
      <c r="H5189" s="308" t="s">
        <v>20880</v>
      </c>
      <c r="I5189" s="310">
        <v>43190.0</v>
      </c>
      <c r="J5189" s="319">
        <f>IFERROR(__xludf.DUMMYFUNCTION("SPLIT(I5189,""/"")"),31.0)</f>
        <v>31</v>
      </c>
      <c r="K5189" s="308">
        <f>IFERROR(__xludf.DUMMYFUNCTION("""COMPUTED_VALUE"""),3.0)</f>
        <v>3</v>
      </c>
      <c r="L5189" s="308">
        <f>IFERROR(__xludf.DUMMYFUNCTION("""COMPUTED_VALUE"""),2018.0)</f>
        <v>2018</v>
      </c>
      <c r="M5189" s="308" t="s">
        <v>20881</v>
      </c>
      <c r="N5189" s="308"/>
      <c r="O5189" s="308" t="s">
        <v>38227</v>
      </c>
      <c r="P5189" s="308" t="s">
        <v>38228</v>
      </c>
      <c r="Q5189" s="308" t="s">
        <v>38229</v>
      </c>
      <c r="R5189" s="308" t="s">
        <v>2743</v>
      </c>
      <c r="S5189" s="308" t="s">
        <v>81</v>
      </c>
      <c r="T5189" s="311" t="s">
        <v>51</v>
      </c>
      <c r="U5189" s="308" t="s">
        <v>15909</v>
      </c>
      <c r="V5189" s="308"/>
    </row>
    <row r="5190">
      <c r="A5190" s="308">
        <v>5189.0</v>
      </c>
      <c r="B5190" s="308"/>
      <c r="C5190" s="308" t="s">
        <v>20884</v>
      </c>
      <c r="D5190" s="308">
        <f>IFERROR(__xludf.DUMMYFUNCTION("SPLIT(C5190,""-"")"),5210.0)</f>
        <v>5210</v>
      </c>
      <c r="E5190" s="308" t="str">
        <f>IFERROR(__xludf.DUMMYFUNCTION("""COMPUTED_VALUE"""),"K")</f>
        <v>K</v>
      </c>
      <c r="F5190" s="309" t="s">
        <v>34</v>
      </c>
      <c r="G5190" s="308"/>
      <c r="H5190" s="308" t="s">
        <v>20885</v>
      </c>
      <c r="I5190" s="314">
        <v>43094.0</v>
      </c>
      <c r="J5190" s="319" t="str">
        <f>IFERROR(__xludf.DUMMYFUNCTION("SPLIT(I5190,""/"")"),"#REF!")</f>
        <v>#REF!</v>
      </c>
      <c r="K5190" s="308"/>
      <c r="L5190" s="308">
        <v>2017.0</v>
      </c>
      <c r="M5190" s="308" t="s">
        <v>38230</v>
      </c>
      <c r="N5190" s="308"/>
      <c r="O5190" s="308"/>
      <c r="P5190" s="308" t="s">
        <v>5679</v>
      </c>
      <c r="Q5190" s="308" t="s">
        <v>38214</v>
      </c>
      <c r="R5190" s="308" t="s">
        <v>2743</v>
      </c>
      <c r="S5190" s="315" t="s">
        <v>100</v>
      </c>
      <c r="T5190" s="311" t="s">
        <v>34208</v>
      </c>
      <c r="U5190" s="308" t="s">
        <v>2152</v>
      </c>
      <c r="V5190" s="308"/>
    </row>
    <row r="5191">
      <c r="A5191" s="308">
        <v>5190.0</v>
      </c>
      <c r="B5191" s="308"/>
      <c r="C5191" s="308" t="s">
        <v>20887</v>
      </c>
      <c r="D5191" s="308">
        <f>IFERROR(__xludf.DUMMYFUNCTION("SPLIT(C5191,""-"")"),5211.0)</f>
        <v>5211</v>
      </c>
      <c r="E5191" s="308" t="str">
        <f>IFERROR(__xludf.DUMMYFUNCTION("""COMPUTED_VALUE"""),"K")</f>
        <v>K</v>
      </c>
      <c r="F5191" s="309" t="s">
        <v>34</v>
      </c>
      <c r="G5191" s="308"/>
      <c r="H5191" s="308" t="s">
        <v>20888</v>
      </c>
      <c r="I5191" s="314">
        <v>43094.0</v>
      </c>
      <c r="J5191" s="319" t="str">
        <f>IFERROR(__xludf.DUMMYFUNCTION("SPLIT(I5191,""/"")"),"#REF!")</f>
        <v>#REF!</v>
      </c>
      <c r="K5191" s="308"/>
      <c r="L5191" s="308">
        <v>2017.0</v>
      </c>
      <c r="M5191" s="308" t="s">
        <v>38230</v>
      </c>
      <c r="N5191" s="308"/>
      <c r="O5191" s="308"/>
      <c r="P5191" s="308" t="s">
        <v>5679</v>
      </c>
      <c r="Q5191" s="308" t="s">
        <v>38214</v>
      </c>
      <c r="R5191" s="308" t="s">
        <v>2743</v>
      </c>
      <c r="S5191" s="315" t="s">
        <v>100</v>
      </c>
      <c r="T5191" s="311" t="s">
        <v>34208</v>
      </c>
      <c r="U5191" s="308" t="s">
        <v>2152</v>
      </c>
      <c r="V5191" s="308"/>
    </row>
    <row r="5192">
      <c r="A5192" s="308">
        <v>5191.0</v>
      </c>
      <c r="B5192" s="308"/>
      <c r="C5192" s="308" t="s">
        <v>20889</v>
      </c>
      <c r="D5192" s="308">
        <f>IFERROR(__xludf.DUMMYFUNCTION("SPLIT(C5192,""-"")"),5212.0)</f>
        <v>5212</v>
      </c>
      <c r="E5192" s="308" t="str">
        <f>IFERROR(__xludf.DUMMYFUNCTION("""COMPUTED_VALUE"""),"K")</f>
        <v>K</v>
      </c>
      <c r="F5192" s="309" t="s">
        <v>34</v>
      </c>
      <c r="G5192" s="308"/>
      <c r="H5192" s="308" t="s">
        <v>20890</v>
      </c>
      <c r="I5192" s="314">
        <v>41973.0</v>
      </c>
      <c r="J5192" s="319">
        <f>IFERROR(__xludf.DUMMYFUNCTION("SPLIT(I5192,""/"")"),30.0)</f>
        <v>30</v>
      </c>
      <c r="K5192" s="308">
        <f>IFERROR(__xludf.DUMMYFUNCTION("""COMPUTED_VALUE"""),11.0)</f>
        <v>11</v>
      </c>
      <c r="L5192" s="308">
        <f>IFERROR(__xludf.DUMMYFUNCTION("""COMPUTED_VALUE"""),2014.0)</f>
        <v>2014</v>
      </c>
      <c r="M5192" s="308" t="s">
        <v>20891</v>
      </c>
      <c r="N5192" s="308"/>
      <c r="O5192" s="308"/>
      <c r="P5192" s="308" t="s">
        <v>38231</v>
      </c>
      <c r="Q5192" s="308" t="s">
        <v>38232</v>
      </c>
      <c r="R5192" s="308" t="s">
        <v>2743</v>
      </c>
      <c r="S5192" s="308" t="s">
        <v>49</v>
      </c>
      <c r="T5192" s="311" t="s">
        <v>51</v>
      </c>
      <c r="U5192" s="308" t="s">
        <v>125</v>
      </c>
      <c r="V5192" s="308"/>
    </row>
    <row r="5193">
      <c r="A5193" s="308">
        <v>5192.0</v>
      </c>
      <c r="B5193" s="308"/>
      <c r="C5193" s="308" t="s">
        <v>20893</v>
      </c>
      <c r="D5193" s="308">
        <f>IFERROR(__xludf.DUMMYFUNCTION("SPLIT(C5193,""-"")"),5213.0)</f>
        <v>5213</v>
      </c>
      <c r="E5193" s="308" t="str">
        <f>IFERROR(__xludf.DUMMYFUNCTION("""COMPUTED_VALUE"""),"K")</f>
        <v>K</v>
      </c>
      <c r="F5193" s="309" t="s">
        <v>34</v>
      </c>
      <c r="G5193" s="308"/>
      <c r="H5193" s="308" t="s">
        <v>38233</v>
      </c>
      <c r="I5193" s="310">
        <v>40985.0</v>
      </c>
      <c r="J5193" s="319">
        <f>IFERROR(__xludf.DUMMYFUNCTION("SPLIT(I5193,""/"")"),17.0)</f>
        <v>17</v>
      </c>
      <c r="K5193" s="308">
        <f>IFERROR(__xludf.DUMMYFUNCTION("""COMPUTED_VALUE"""),3.0)</f>
        <v>3</v>
      </c>
      <c r="L5193" s="308">
        <f>IFERROR(__xludf.DUMMYFUNCTION("""COMPUTED_VALUE"""),2012.0)</f>
        <v>2012</v>
      </c>
      <c r="M5193" s="308" t="s">
        <v>20895</v>
      </c>
      <c r="N5193" s="308"/>
      <c r="O5193" s="308" t="s">
        <v>38234</v>
      </c>
      <c r="P5193" s="308" t="s">
        <v>38235</v>
      </c>
      <c r="Q5193" s="308" t="s">
        <v>38232</v>
      </c>
      <c r="R5193" s="308" t="s">
        <v>2743</v>
      </c>
      <c r="S5193" s="308" t="s">
        <v>81</v>
      </c>
      <c r="T5193" s="308" t="s">
        <v>34264</v>
      </c>
      <c r="U5193" s="308" t="s">
        <v>2989</v>
      </c>
      <c r="V5193" s="308" t="s">
        <v>20898</v>
      </c>
    </row>
    <row r="5194">
      <c r="A5194" s="308">
        <v>5193.0</v>
      </c>
      <c r="B5194" s="308"/>
      <c r="C5194" s="308" t="s">
        <v>20899</v>
      </c>
      <c r="D5194" s="308">
        <f>IFERROR(__xludf.DUMMYFUNCTION("SPLIT(C5194,""-"")"),5214.0)</f>
        <v>5214</v>
      </c>
      <c r="E5194" s="308" t="str">
        <f>IFERROR(__xludf.DUMMYFUNCTION("""COMPUTED_VALUE"""),"P")</f>
        <v>P</v>
      </c>
      <c r="F5194" s="312" t="s">
        <v>37</v>
      </c>
      <c r="G5194" s="308"/>
      <c r="H5194" s="308" t="s">
        <v>20900</v>
      </c>
      <c r="I5194" s="310">
        <v>42897.0</v>
      </c>
      <c r="J5194" s="319">
        <f>IFERROR(__xludf.DUMMYFUNCTION("SPLIT(I5194,""/"")"),11.0)</f>
        <v>11</v>
      </c>
      <c r="K5194" s="308">
        <f>IFERROR(__xludf.DUMMYFUNCTION("""COMPUTED_VALUE"""),6.0)</f>
        <v>6</v>
      </c>
      <c r="L5194" s="308">
        <f>IFERROR(__xludf.DUMMYFUNCTION("""COMPUTED_VALUE"""),2017.0)</f>
        <v>2017</v>
      </c>
      <c r="M5194" s="308" t="s">
        <v>20901</v>
      </c>
      <c r="N5194" s="308"/>
      <c r="O5194" s="308"/>
      <c r="P5194" s="308" t="s">
        <v>7523</v>
      </c>
      <c r="Q5194" s="308" t="s">
        <v>38236</v>
      </c>
      <c r="R5194" s="308" t="s">
        <v>2743</v>
      </c>
      <c r="S5194" s="315" t="s">
        <v>100</v>
      </c>
      <c r="T5194" s="311" t="s">
        <v>34208</v>
      </c>
      <c r="U5194" s="308" t="s">
        <v>149</v>
      </c>
      <c r="V5194" s="308" t="s">
        <v>20902</v>
      </c>
    </row>
    <row r="5195">
      <c r="A5195" s="308">
        <v>5194.0</v>
      </c>
      <c r="B5195" s="308"/>
      <c r="C5195" s="308" t="s">
        <v>20903</v>
      </c>
      <c r="D5195" s="308">
        <f>IFERROR(__xludf.DUMMYFUNCTION("SPLIT(C5195,""-"")"),5215.0)</f>
        <v>5215</v>
      </c>
      <c r="E5195" s="308" t="str">
        <f>IFERROR(__xludf.DUMMYFUNCTION("""COMPUTED_VALUE"""),"S")</f>
        <v>S</v>
      </c>
      <c r="F5195" s="312" t="s">
        <v>39</v>
      </c>
      <c r="G5195" s="308"/>
      <c r="H5195" s="308" t="s">
        <v>20904</v>
      </c>
      <c r="I5195" s="310">
        <v>38412.0</v>
      </c>
      <c r="J5195" s="319">
        <f>IFERROR(__xludf.DUMMYFUNCTION("SPLIT(I5195,""/"")"),1.0)</f>
        <v>1</v>
      </c>
      <c r="K5195" s="308">
        <f>IFERROR(__xludf.DUMMYFUNCTION("""COMPUTED_VALUE"""),3.0)</f>
        <v>3</v>
      </c>
      <c r="L5195" s="308">
        <f>IFERROR(__xludf.DUMMYFUNCTION("""COMPUTED_VALUE"""),2005.0)</f>
        <v>2005</v>
      </c>
      <c r="M5195" s="308" t="s">
        <v>20905</v>
      </c>
      <c r="N5195" s="308"/>
      <c r="O5195" s="308"/>
      <c r="P5195" s="308" t="s">
        <v>37814</v>
      </c>
      <c r="Q5195" s="308" t="s">
        <v>38236</v>
      </c>
      <c r="R5195" s="308" t="s">
        <v>2743</v>
      </c>
      <c r="S5195" s="308" t="s">
        <v>49</v>
      </c>
      <c r="T5195" s="308" t="s">
        <v>51</v>
      </c>
      <c r="U5195" s="308" t="s">
        <v>166</v>
      </c>
      <c r="V5195" s="308"/>
    </row>
    <row r="5196">
      <c r="A5196" s="308">
        <v>5195.0</v>
      </c>
      <c r="B5196" s="308"/>
      <c r="C5196" s="308" t="s">
        <v>20906</v>
      </c>
      <c r="D5196" s="308">
        <f>IFERROR(__xludf.DUMMYFUNCTION("SPLIT(C5196,""-"")"),5216.0)</f>
        <v>5216</v>
      </c>
      <c r="E5196" s="308" t="str">
        <f>IFERROR(__xludf.DUMMYFUNCTION("""COMPUTED_VALUE"""),"F")</f>
        <v>F</v>
      </c>
      <c r="F5196" s="309" t="s">
        <v>34</v>
      </c>
      <c r="G5196" s="308"/>
      <c r="H5196" s="308" t="s">
        <v>20907</v>
      </c>
      <c r="I5196" s="310">
        <v>41805.0</v>
      </c>
      <c r="J5196" s="319">
        <f>IFERROR(__xludf.DUMMYFUNCTION("SPLIT(I5196,""/"")"),15.0)</f>
        <v>15</v>
      </c>
      <c r="K5196" s="308">
        <f>IFERROR(__xludf.DUMMYFUNCTION("""COMPUTED_VALUE"""),6.0)</f>
        <v>6</v>
      </c>
      <c r="L5196" s="308">
        <f>IFERROR(__xludf.DUMMYFUNCTION("""COMPUTED_VALUE"""),2014.0)</f>
        <v>2014</v>
      </c>
      <c r="M5196" s="308" t="s">
        <v>20908</v>
      </c>
      <c r="N5196" s="308" t="s">
        <v>20909</v>
      </c>
      <c r="O5196" s="308" t="s">
        <v>20910</v>
      </c>
      <c r="P5196" s="308" t="s">
        <v>6393</v>
      </c>
      <c r="Q5196" s="308" t="s">
        <v>38236</v>
      </c>
      <c r="R5196" s="308" t="s">
        <v>2743</v>
      </c>
      <c r="S5196" s="315" t="s">
        <v>100</v>
      </c>
      <c r="T5196" s="311" t="s">
        <v>34208</v>
      </c>
      <c r="U5196" s="308" t="s">
        <v>6395</v>
      </c>
      <c r="V5196" s="308"/>
    </row>
    <row r="5197">
      <c r="A5197" s="308">
        <v>5196.0</v>
      </c>
      <c r="B5197" s="308"/>
      <c r="C5197" s="308" t="s">
        <v>20911</v>
      </c>
      <c r="D5197" s="308">
        <f>IFERROR(__xludf.DUMMYFUNCTION("SPLIT(C5197,""-"")"),5217.0)</f>
        <v>5217</v>
      </c>
      <c r="E5197" s="308" t="str">
        <f>IFERROR(__xludf.DUMMYFUNCTION("""COMPUTED_VALUE"""),"P")</f>
        <v>P</v>
      </c>
      <c r="F5197" s="312" t="s">
        <v>37</v>
      </c>
      <c r="G5197" s="308"/>
      <c r="H5197" s="308" t="s">
        <v>20912</v>
      </c>
      <c r="I5197" s="310">
        <v>43251.0</v>
      </c>
      <c r="J5197" s="319">
        <f>IFERROR(__xludf.DUMMYFUNCTION("SPLIT(I5197,""/"")"),31.0)</f>
        <v>31</v>
      </c>
      <c r="K5197" s="308">
        <f>IFERROR(__xludf.DUMMYFUNCTION("""COMPUTED_VALUE"""),5.0)</f>
        <v>5</v>
      </c>
      <c r="L5197" s="308">
        <f>IFERROR(__xludf.DUMMYFUNCTION("""COMPUTED_VALUE"""),2018.0)</f>
        <v>2018</v>
      </c>
      <c r="M5197" s="308" t="s">
        <v>20913</v>
      </c>
      <c r="N5197" s="308"/>
      <c r="O5197" s="308"/>
      <c r="P5197" s="308" t="s">
        <v>38237</v>
      </c>
      <c r="Q5197" s="308" t="s">
        <v>38236</v>
      </c>
      <c r="R5197" s="308" t="s">
        <v>2743</v>
      </c>
      <c r="S5197" s="308" t="s">
        <v>81</v>
      </c>
      <c r="T5197" s="311" t="s">
        <v>51</v>
      </c>
      <c r="U5197" s="308" t="s">
        <v>143</v>
      </c>
      <c r="V5197" s="308"/>
    </row>
    <row r="5198">
      <c r="A5198" s="308">
        <v>5197.0</v>
      </c>
      <c r="B5198" s="308"/>
      <c r="C5198" s="308" t="s">
        <v>20915</v>
      </c>
      <c r="D5198" s="308">
        <f>IFERROR(__xludf.DUMMYFUNCTION("SPLIT(C5198,""-"")"),5218.0)</f>
        <v>5218</v>
      </c>
      <c r="E5198" s="308" t="str">
        <f>IFERROR(__xludf.DUMMYFUNCTION("""COMPUTED_VALUE"""),"P")</f>
        <v>P</v>
      </c>
      <c r="F5198" s="312" t="s">
        <v>37</v>
      </c>
      <c r="G5198" s="308"/>
      <c r="H5198" s="308" t="s">
        <v>20916</v>
      </c>
      <c r="I5198" s="310">
        <v>43278.0</v>
      </c>
      <c r="J5198" s="319">
        <f>IFERROR(__xludf.DUMMYFUNCTION("SPLIT(I5198,""/"")"),27.0)</f>
        <v>27</v>
      </c>
      <c r="K5198" s="308">
        <f>IFERROR(__xludf.DUMMYFUNCTION("""COMPUTED_VALUE"""),6.0)</f>
        <v>6</v>
      </c>
      <c r="L5198" s="308">
        <f>IFERROR(__xludf.DUMMYFUNCTION("""COMPUTED_VALUE"""),2018.0)</f>
        <v>2018</v>
      </c>
      <c r="M5198" s="308" t="s">
        <v>20917</v>
      </c>
      <c r="N5198" s="308"/>
      <c r="O5198" s="308" t="s">
        <v>20918</v>
      </c>
      <c r="P5198" s="308" t="s">
        <v>38238</v>
      </c>
      <c r="Q5198" s="308" t="s">
        <v>38236</v>
      </c>
      <c r="R5198" s="308" t="s">
        <v>2743</v>
      </c>
      <c r="S5198" s="308" t="s">
        <v>81</v>
      </c>
      <c r="T5198" s="308" t="s">
        <v>73</v>
      </c>
      <c r="U5198" s="308" t="s">
        <v>143</v>
      </c>
      <c r="V5198" s="308"/>
    </row>
    <row r="5199">
      <c r="A5199" s="308">
        <v>5198.0</v>
      </c>
      <c r="B5199" s="308"/>
      <c r="C5199" s="308" t="s">
        <v>20920</v>
      </c>
      <c r="D5199" s="308">
        <f>IFERROR(__xludf.DUMMYFUNCTION("SPLIT(C5199,""-"")"),5219.0)</f>
        <v>5219</v>
      </c>
      <c r="E5199" s="308" t="str">
        <f>IFERROR(__xludf.DUMMYFUNCTION("""COMPUTED_VALUE"""),"K")</f>
        <v>K</v>
      </c>
      <c r="F5199" s="309" t="s">
        <v>34</v>
      </c>
      <c r="G5199" s="308"/>
      <c r="H5199" s="308" t="s">
        <v>20921</v>
      </c>
      <c r="I5199" s="310">
        <v>39995.0</v>
      </c>
      <c r="J5199" s="319">
        <f>IFERROR(__xludf.DUMMYFUNCTION("SPLIT(I5199,""/"")"),1.0)</f>
        <v>1</v>
      </c>
      <c r="K5199" s="308">
        <f>IFERROR(__xludf.DUMMYFUNCTION("""COMPUTED_VALUE"""),7.0)</f>
        <v>7</v>
      </c>
      <c r="L5199" s="308">
        <f>IFERROR(__xludf.DUMMYFUNCTION("""COMPUTED_VALUE"""),2009.0)</f>
        <v>2009</v>
      </c>
      <c r="M5199" s="308" t="s">
        <v>20922</v>
      </c>
      <c r="N5199" s="308" t="s">
        <v>20923</v>
      </c>
      <c r="O5199" s="308"/>
      <c r="P5199" s="308" t="s">
        <v>5679</v>
      </c>
      <c r="Q5199" s="308" t="s">
        <v>38236</v>
      </c>
      <c r="R5199" s="308" t="s">
        <v>2743</v>
      </c>
      <c r="S5199" s="315" t="s">
        <v>100</v>
      </c>
      <c r="T5199" s="311" t="s">
        <v>34208</v>
      </c>
      <c r="U5199" s="308" t="s">
        <v>530</v>
      </c>
      <c r="V5199" s="308"/>
    </row>
    <row r="5200">
      <c r="A5200" s="308">
        <v>5199.0</v>
      </c>
      <c r="B5200" s="308"/>
      <c r="C5200" s="308" t="s">
        <v>20924</v>
      </c>
      <c r="D5200" s="308">
        <f>IFERROR(__xludf.DUMMYFUNCTION("SPLIT(C5200,""-"")"),5220.0)</f>
        <v>5220</v>
      </c>
      <c r="E5200" s="308" t="str">
        <f>IFERROR(__xludf.DUMMYFUNCTION("""COMPUTED_VALUE"""),"S")</f>
        <v>S</v>
      </c>
      <c r="F5200" s="312" t="s">
        <v>39</v>
      </c>
      <c r="G5200" s="308"/>
      <c r="H5200" s="308" t="s">
        <v>20925</v>
      </c>
      <c r="I5200" s="314">
        <v>43088.0</v>
      </c>
      <c r="J5200" s="319">
        <f>IFERROR(__xludf.DUMMYFUNCTION("SPLIT(I5200,""/"")"),19.0)</f>
        <v>19</v>
      </c>
      <c r="K5200" s="308">
        <f>IFERROR(__xludf.DUMMYFUNCTION("""COMPUTED_VALUE"""),12.0)</f>
        <v>12</v>
      </c>
      <c r="L5200" s="308">
        <f>IFERROR(__xludf.DUMMYFUNCTION("""COMPUTED_VALUE"""),2017.0)</f>
        <v>2017</v>
      </c>
      <c r="M5200" s="308" t="s">
        <v>20926</v>
      </c>
      <c r="N5200" s="308"/>
      <c r="O5200" s="308"/>
      <c r="P5200" s="308" t="s">
        <v>38239</v>
      </c>
      <c r="Q5200" s="308" t="s">
        <v>38236</v>
      </c>
      <c r="R5200" s="308" t="s">
        <v>2743</v>
      </c>
      <c r="S5200" s="308" t="s">
        <v>81</v>
      </c>
      <c r="T5200" s="308" t="s">
        <v>75</v>
      </c>
      <c r="U5200" s="308" t="s">
        <v>166</v>
      </c>
      <c r="V5200" s="308"/>
    </row>
    <row r="5201">
      <c r="A5201" s="308">
        <v>5200.0</v>
      </c>
      <c r="B5201" s="308"/>
      <c r="C5201" s="308" t="s">
        <v>20928</v>
      </c>
      <c r="D5201" s="308">
        <f>IFERROR(__xludf.DUMMYFUNCTION("SPLIT(C5201,""-"")"),5221.0)</f>
        <v>5221</v>
      </c>
      <c r="E5201" s="308" t="str">
        <f>IFERROR(__xludf.DUMMYFUNCTION("""COMPUTED_VALUE"""),"K")</f>
        <v>K</v>
      </c>
      <c r="F5201" s="309" t="s">
        <v>34</v>
      </c>
      <c r="G5201" s="308"/>
      <c r="H5201" s="308" t="s">
        <v>20929</v>
      </c>
      <c r="I5201" s="310">
        <v>41323.0</v>
      </c>
      <c r="J5201" s="319">
        <f>IFERROR(__xludf.DUMMYFUNCTION("SPLIT(I5201,""/"")"),18.0)</f>
        <v>18</v>
      </c>
      <c r="K5201" s="308">
        <f>IFERROR(__xludf.DUMMYFUNCTION("""COMPUTED_VALUE"""),2.0)</f>
        <v>2</v>
      </c>
      <c r="L5201" s="308">
        <f>IFERROR(__xludf.DUMMYFUNCTION("""COMPUTED_VALUE"""),2013.0)</f>
        <v>2013</v>
      </c>
      <c r="M5201" s="308" t="s">
        <v>20930</v>
      </c>
      <c r="N5201" s="308" t="s">
        <v>20931</v>
      </c>
      <c r="O5201" s="308"/>
      <c r="P5201" s="308" t="s">
        <v>34212</v>
      </c>
      <c r="Q5201" s="308" t="s">
        <v>38236</v>
      </c>
      <c r="R5201" s="308" t="s">
        <v>2743</v>
      </c>
      <c r="S5201" s="315" t="s">
        <v>100</v>
      </c>
      <c r="T5201" s="311" t="s">
        <v>34208</v>
      </c>
      <c r="U5201" s="308" t="s">
        <v>125</v>
      </c>
      <c r="V5201" s="308"/>
    </row>
    <row r="5202">
      <c r="A5202" s="308">
        <v>5201.0</v>
      </c>
      <c r="B5202" s="308"/>
      <c r="C5202" s="308" t="s">
        <v>20932</v>
      </c>
      <c r="D5202" s="308">
        <f>IFERROR(__xludf.DUMMYFUNCTION("SPLIT(C5202,""-"")"),5222.0)</f>
        <v>5222</v>
      </c>
      <c r="E5202" s="308" t="str">
        <f>IFERROR(__xludf.DUMMYFUNCTION("""COMPUTED_VALUE"""),"S")</f>
        <v>S</v>
      </c>
      <c r="F5202" s="312" t="s">
        <v>39</v>
      </c>
      <c r="G5202" s="308"/>
      <c r="H5202" s="308" t="s">
        <v>20933</v>
      </c>
      <c r="I5202" s="310">
        <v>40269.0</v>
      </c>
      <c r="J5202" s="319">
        <f>IFERROR(__xludf.DUMMYFUNCTION("SPLIT(I5202,""/"")"),1.0)</f>
        <v>1</v>
      </c>
      <c r="K5202" s="308">
        <f>IFERROR(__xludf.DUMMYFUNCTION("""COMPUTED_VALUE"""),4.0)</f>
        <v>4</v>
      </c>
      <c r="L5202" s="308">
        <f>IFERROR(__xludf.DUMMYFUNCTION("""COMPUTED_VALUE"""),2010.0)</f>
        <v>2010</v>
      </c>
      <c r="M5202" s="308" t="s">
        <v>20934</v>
      </c>
      <c r="N5202" s="308"/>
      <c r="O5202" s="308"/>
      <c r="P5202" s="308"/>
      <c r="Q5202" s="308" t="s">
        <v>38236</v>
      </c>
      <c r="R5202" s="308" t="s">
        <v>2743</v>
      </c>
      <c r="S5202" s="308" t="s">
        <v>79</v>
      </c>
      <c r="T5202" s="308" t="s">
        <v>79</v>
      </c>
      <c r="U5202" s="308" t="s">
        <v>166</v>
      </c>
      <c r="V5202" s="308"/>
    </row>
    <row r="5203">
      <c r="A5203" s="308">
        <v>5202.0</v>
      </c>
      <c r="B5203" s="308"/>
      <c r="C5203" s="308" t="s">
        <v>20935</v>
      </c>
      <c r="D5203" s="308">
        <f>IFERROR(__xludf.DUMMYFUNCTION("SPLIT(C5203,""-"")"),5223.0)</f>
        <v>5223</v>
      </c>
      <c r="E5203" s="308" t="str">
        <f>IFERROR(__xludf.DUMMYFUNCTION("""COMPUTED_VALUE"""),"K")</f>
        <v>K</v>
      </c>
      <c r="F5203" s="309" t="s">
        <v>34</v>
      </c>
      <c r="G5203" s="308"/>
      <c r="H5203" s="308" t="s">
        <v>20936</v>
      </c>
      <c r="I5203" s="310">
        <v>39995.0</v>
      </c>
      <c r="J5203" s="319">
        <f>IFERROR(__xludf.DUMMYFUNCTION("SPLIT(I5203,""/"")"),1.0)</f>
        <v>1</v>
      </c>
      <c r="K5203" s="308">
        <f>IFERROR(__xludf.DUMMYFUNCTION("""COMPUTED_VALUE"""),7.0)</f>
        <v>7</v>
      </c>
      <c r="L5203" s="308">
        <f>IFERROR(__xludf.DUMMYFUNCTION("""COMPUTED_VALUE"""),2009.0)</f>
        <v>2009</v>
      </c>
      <c r="M5203" s="308" t="s">
        <v>20937</v>
      </c>
      <c r="N5203" s="308"/>
      <c r="O5203" s="308"/>
      <c r="P5203" s="308" t="s">
        <v>38240</v>
      </c>
      <c r="Q5203" s="308" t="s">
        <v>38236</v>
      </c>
      <c r="R5203" s="308" t="s">
        <v>2743</v>
      </c>
      <c r="S5203" s="308" t="s">
        <v>81</v>
      </c>
      <c r="T5203" s="308" t="s">
        <v>75</v>
      </c>
      <c r="U5203" s="308" t="s">
        <v>530</v>
      </c>
      <c r="V5203" s="308"/>
    </row>
    <row r="5204">
      <c r="A5204" s="308">
        <v>5203.0</v>
      </c>
      <c r="B5204" s="308"/>
      <c r="C5204" s="308" t="s">
        <v>20939</v>
      </c>
      <c r="D5204" s="308">
        <f>IFERROR(__xludf.DUMMYFUNCTION("SPLIT(C5204,""-"")"),5224.0)</f>
        <v>5224</v>
      </c>
      <c r="E5204" s="308" t="str">
        <f>IFERROR(__xludf.DUMMYFUNCTION("""COMPUTED_VALUE"""),"K")</f>
        <v>K</v>
      </c>
      <c r="F5204" s="309" t="s">
        <v>34</v>
      </c>
      <c r="G5204" s="308"/>
      <c r="H5204" s="308" t="s">
        <v>20940</v>
      </c>
      <c r="I5204" s="310">
        <v>39995.0</v>
      </c>
      <c r="J5204" s="319">
        <f>IFERROR(__xludf.DUMMYFUNCTION("SPLIT(I5204,""/"")"),1.0)</f>
        <v>1</v>
      </c>
      <c r="K5204" s="308">
        <f>IFERROR(__xludf.DUMMYFUNCTION("""COMPUTED_VALUE"""),7.0)</f>
        <v>7</v>
      </c>
      <c r="L5204" s="308">
        <f>IFERROR(__xludf.DUMMYFUNCTION("""COMPUTED_VALUE"""),2009.0)</f>
        <v>2009</v>
      </c>
      <c r="M5204" s="308" t="s">
        <v>20937</v>
      </c>
      <c r="N5204" s="308"/>
      <c r="O5204" s="308" t="s">
        <v>20941</v>
      </c>
      <c r="P5204" s="308" t="s">
        <v>38241</v>
      </c>
      <c r="Q5204" s="308" t="s">
        <v>38236</v>
      </c>
      <c r="R5204" s="308" t="s">
        <v>2743</v>
      </c>
      <c r="S5204" s="308" t="s">
        <v>81</v>
      </c>
      <c r="T5204" s="308" t="s">
        <v>34264</v>
      </c>
      <c r="U5204" s="308" t="s">
        <v>530</v>
      </c>
      <c r="V5204" s="308"/>
    </row>
    <row r="5205">
      <c r="A5205" s="308">
        <v>5204.0</v>
      </c>
      <c r="B5205" s="308"/>
      <c r="C5205" s="308" t="s">
        <v>20943</v>
      </c>
      <c r="D5205" s="308">
        <f>IFERROR(__xludf.DUMMYFUNCTION("SPLIT(C5205,""-"")"),5225.0)</f>
        <v>5225</v>
      </c>
      <c r="E5205" s="308" t="str">
        <f>IFERROR(__xludf.DUMMYFUNCTION("""COMPUTED_VALUE"""),"K")</f>
        <v>K</v>
      </c>
      <c r="F5205" s="309" t="s">
        <v>34</v>
      </c>
      <c r="G5205" s="308"/>
      <c r="H5205" s="308" t="s">
        <v>20944</v>
      </c>
      <c r="I5205" s="310">
        <v>39995.0</v>
      </c>
      <c r="J5205" s="319">
        <f>IFERROR(__xludf.DUMMYFUNCTION("SPLIT(I5205,""/"")"),1.0)</f>
        <v>1</v>
      </c>
      <c r="K5205" s="308">
        <f>IFERROR(__xludf.DUMMYFUNCTION("""COMPUTED_VALUE"""),7.0)</f>
        <v>7</v>
      </c>
      <c r="L5205" s="308">
        <f>IFERROR(__xludf.DUMMYFUNCTION("""COMPUTED_VALUE"""),2009.0)</f>
        <v>2009</v>
      </c>
      <c r="M5205" s="308" t="s">
        <v>20937</v>
      </c>
      <c r="N5205" s="308"/>
      <c r="O5205" s="308"/>
      <c r="P5205" s="308" t="s">
        <v>38242</v>
      </c>
      <c r="Q5205" s="308" t="s">
        <v>38236</v>
      </c>
      <c r="R5205" s="308" t="s">
        <v>2743</v>
      </c>
      <c r="S5205" s="308" t="s">
        <v>81</v>
      </c>
      <c r="T5205" s="308" t="s">
        <v>34264</v>
      </c>
      <c r="U5205" s="308" t="s">
        <v>530</v>
      </c>
      <c r="V5205" s="308"/>
    </row>
    <row r="5206">
      <c r="A5206" s="308">
        <v>5205.0</v>
      </c>
      <c r="B5206" s="308"/>
      <c r="C5206" s="308" t="s">
        <v>20946</v>
      </c>
      <c r="D5206" s="308">
        <f>IFERROR(__xludf.DUMMYFUNCTION("SPLIT(C5206,""-"")"),5226.0)</f>
        <v>5226</v>
      </c>
      <c r="E5206" s="308" t="str">
        <f>IFERROR(__xludf.DUMMYFUNCTION("""COMPUTED_VALUE"""),"P")</f>
        <v>P</v>
      </c>
      <c r="F5206" s="312" t="s">
        <v>37</v>
      </c>
      <c r="G5206" s="308"/>
      <c r="H5206" s="308" t="s">
        <v>20947</v>
      </c>
      <c r="I5206" s="310">
        <v>43270.0</v>
      </c>
      <c r="J5206" s="319">
        <f>IFERROR(__xludf.DUMMYFUNCTION("SPLIT(I5206,""/"")"),19.0)</f>
        <v>19</v>
      </c>
      <c r="K5206" s="308">
        <f>IFERROR(__xludf.DUMMYFUNCTION("""COMPUTED_VALUE"""),6.0)</f>
        <v>6</v>
      </c>
      <c r="L5206" s="308">
        <f>IFERROR(__xludf.DUMMYFUNCTION("""COMPUTED_VALUE"""),2018.0)</f>
        <v>2018</v>
      </c>
      <c r="M5206" s="308" t="s">
        <v>20948</v>
      </c>
      <c r="N5206" s="308"/>
      <c r="O5206" s="308"/>
      <c r="P5206" s="308" t="s">
        <v>38243</v>
      </c>
      <c r="Q5206" s="308" t="s">
        <v>38236</v>
      </c>
      <c r="R5206" s="308" t="s">
        <v>2743</v>
      </c>
      <c r="S5206" s="308" t="s">
        <v>81</v>
      </c>
      <c r="T5206" s="311" t="s">
        <v>75</v>
      </c>
      <c r="U5206" s="308" t="s">
        <v>10808</v>
      </c>
      <c r="V5206" s="308"/>
    </row>
    <row r="5207">
      <c r="A5207" s="308">
        <v>5206.0</v>
      </c>
      <c r="B5207" s="308"/>
      <c r="C5207" s="308" t="s">
        <v>20950</v>
      </c>
      <c r="D5207" s="308">
        <f>IFERROR(__xludf.DUMMYFUNCTION("SPLIT(C5207,""-"")"),5227.0)</f>
        <v>5227</v>
      </c>
      <c r="E5207" s="308" t="str">
        <f>IFERROR(__xludf.DUMMYFUNCTION("""COMPUTED_VALUE"""),"P")</f>
        <v>P</v>
      </c>
      <c r="F5207" s="312" t="s">
        <v>37</v>
      </c>
      <c r="G5207" s="308"/>
      <c r="H5207" s="308" t="s">
        <v>20951</v>
      </c>
      <c r="I5207" s="310">
        <v>43269.0</v>
      </c>
      <c r="J5207" s="319">
        <f>IFERROR(__xludf.DUMMYFUNCTION("SPLIT(I5207,""/"")"),18.0)</f>
        <v>18</v>
      </c>
      <c r="K5207" s="308">
        <f>IFERROR(__xludf.DUMMYFUNCTION("""COMPUTED_VALUE"""),6.0)</f>
        <v>6</v>
      </c>
      <c r="L5207" s="308">
        <f>IFERROR(__xludf.DUMMYFUNCTION("""COMPUTED_VALUE"""),2018.0)</f>
        <v>2018</v>
      </c>
      <c r="M5207" s="308" t="s">
        <v>20952</v>
      </c>
      <c r="N5207" s="308"/>
      <c r="O5207" s="308"/>
      <c r="P5207" s="308" t="s">
        <v>38244</v>
      </c>
      <c r="Q5207" s="308" t="s">
        <v>38236</v>
      </c>
      <c r="R5207" s="308" t="s">
        <v>2743</v>
      </c>
      <c r="S5207" s="308" t="s">
        <v>81</v>
      </c>
      <c r="T5207" s="311" t="s">
        <v>75</v>
      </c>
      <c r="U5207" s="308" t="s">
        <v>10808</v>
      </c>
      <c r="V5207" s="308"/>
    </row>
    <row r="5208">
      <c r="A5208" s="308">
        <v>5207.0</v>
      </c>
      <c r="B5208" s="308"/>
      <c r="C5208" s="308" t="s">
        <v>20954</v>
      </c>
      <c r="D5208" s="308">
        <f>IFERROR(__xludf.DUMMYFUNCTION("SPLIT(C5208,""-"")"),5228.0)</f>
        <v>5228</v>
      </c>
      <c r="E5208" s="308" t="str">
        <f>IFERROR(__xludf.DUMMYFUNCTION("""COMPUTED_VALUE"""),"B")</f>
        <v>B</v>
      </c>
      <c r="F5208" s="315" t="s">
        <v>26</v>
      </c>
      <c r="G5208" s="308"/>
      <c r="H5208" s="308" t="s">
        <v>20955</v>
      </c>
      <c r="I5208" s="314">
        <v>43038.0</v>
      </c>
      <c r="J5208" s="319">
        <f>IFERROR(__xludf.DUMMYFUNCTION("SPLIT(I5208,""/"")"),30.0)</f>
        <v>30</v>
      </c>
      <c r="K5208" s="308">
        <f>IFERROR(__xludf.DUMMYFUNCTION("""COMPUTED_VALUE"""),10.0)</f>
        <v>10</v>
      </c>
      <c r="L5208" s="308">
        <f>IFERROR(__xludf.DUMMYFUNCTION("""COMPUTED_VALUE"""),2017.0)</f>
        <v>2017</v>
      </c>
      <c r="M5208" s="308" t="s">
        <v>20956</v>
      </c>
      <c r="N5208" s="308"/>
      <c r="O5208" s="308"/>
      <c r="P5208" s="308" t="s">
        <v>20957</v>
      </c>
      <c r="Q5208" s="308" t="s">
        <v>38236</v>
      </c>
      <c r="R5208" s="308" t="s">
        <v>20958</v>
      </c>
      <c r="S5208" s="308" t="s">
        <v>81</v>
      </c>
      <c r="T5208" s="308" t="s">
        <v>75</v>
      </c>
      <c r="U5208" s="308" t="s">
        <v>27</v>
      </c>
      <c r="V5208" s="308"/>
    </row>
    <row r="5209">
      <c r="A5209" s="308">
        <v>5208.0</v>
      </c>
      <c r="B5209" s="308"/>
      <c r="C5209" s="308" t="s">
        <v>20959</v>
      </c>
      <c r="D5209" s="308">
        <f>IFERROR(__xludf.DUMMYFUNCTION("SPLIT(C5209,""-"")"),5229.0)</f>
        <v>5229</v>
      </c>
      <c r="E5209" s="308" t="str">
        <f>IFERROR(__xludf.DUMMYFUNCTION("""COMPUTED_VALUE"""),"B")</f>
        <v>B</v>
      </c>
      <c r="F5209" s="315" t="s">
        <v>26</v>
      </c>
      <c r="G5209" s="308"/>
      <c r="H5209" s="308" t="s">
        <v>20960</v>
      </c>
      <c r="I5209" s="314">
        <v>43038.0</v>
      </c>
      <c r="J5209" s="319">
        <f>IFERROR(__xludf.DUMMYFUNCTION("SPLIT(I5209,""/"")"),30.0)</f>
        <v>30</v>
      </c>
      <c r="K5209" s="308">
        <f>IFERROR(__xludf.DUMMYFUNCTION("""COMPUTED_VALUE"""),10.0)</f>
        <v>10</v>
      </c>
      <c r="L5209" s="308">
        <f>IFERROR(__xludf.DUMMYFUNCTION("""COMPUTED_VALUE"""),2017.0)</f>
        <v>2017</v>
      </c>
      <c r="M5209" s="308" t="s">
        <v>20961</v>
      </c>
      <c r="N5209" s="308"/>
      <c r="O5209" s="308"/>
      <c r="P5209" s="308" t="s">
        <v>20962</v>
      </c>
      <c r="Q5209" s="308" t="s">
        <v>38236</v>
      </c>
      <c r="R5209" s="308" t="s">
        <v>20958</v>
      </c>
      <c r="S5209" s="308" t="s">
        <v>81</v>
      </c>
      <c r="T5209" s="308" t="s">
        <v>75</v>
      </c>
      <c r="U5209" s="308" t="s">
        <v>27</v>
      </c>
      <c r="V5209" s="308"/>
    </row>
    <row r="5210">
      <c r="A5210" s="308">
        <v>5209.0</v>
      </c>
      <c r="B5210" s="308"/>
      <c r="C5210" s="308" t="s">
        <v>20963</v>
      </c>
      <c r="D5210" s="308">
        <f>IFERROR(__xludf.DUMMYFUNCTION("SPLIT(C5210,""-"")"),5230.0)</f>
        <v>5230</v>
      </c>
      <c r="E5210" s="308" t="str">
        <f>IFERROR(__xludf.DUMMYFUNCTION("""COMPUTED_VALUE"""),"B")</f>
        <v>B</v>
      </c>
      <c r="F5210" s="315" t="s">
        <v>26</v>
      </c>
      <c r="G5210" s="308"/>
      <c r="H5210" s="308" t="s">
        <v>20964</v>
      </c>
      <c r="I5210" s="314">
        <v>43038.0</v>
      </c>
      <c r="J5210" s="319">
        <f>IFERROR(__xludf.DUMMYFUNCTION("SPLIT(I5210,""/"")"),30.0)</f>
        <v>30</v>
      </c>
      <c r="K5210" s="308">
        <f>IFERROR(__xludf.DUMMYFUNCTION("""COMPUTED_VALUE"""),10.0)</f>
        <v>10</v>
      </c>
      <c r="L5210" s="308">
        <f>IFERROR(__xludf.DUMMYFUNCTION("""COMPUTED_VALUE"""),2017.0)</f>
        <v>2017</v>
      </c>
      <c r="M5210" s="308" t="s">
        <v>20965</v>
      </c>
      <c r="N5210" s="308"/>
      <c r="O5210" s="308"/>
      <c r="P5210" s="308" t="s">
        <v>38245</v>
      </c>
      <c r="Q5210" s="308" t="s">
        <v>38236</v>
      </c>
      <c r="R5210" s="308" t="s">
        <v>20958</v>
      </c>
      <c r="S5210" s="308" t="s">
        <v>81</v>
      </c>
      <c r="T5210" s="311" t="s">
        <v>51</v>
      </c>
      <c r="U5210" s="308" t="s">
        <v>27</v>
      </c>
      <c r="V5210" s="308"/>
    </row>
    <row r="5211">
      <c r="A5211" s="308">
        <v>5210.0</v>
      </c>
      <c r="B5211" s="308"/>
      <c r="C5211" s="308" t="s">
        <v>20967</v>
      </c>
      <c r="D5211" s="308">
        <f>IFERROR(__xludf.DUMMYFUNCTION("SPLIT(C5211,""-"")"),5231.0)</f>
        <v>5231</v>
      </c>
      <c r="E5211" s="308" t="str">
        <f>IFERROR(__xludf.DUMMYFUNCTION("""COMPUTED_VALUE"""),"B")</f>
        <v>B</v>
      </c>
      <c r="F5211" s="315" t="s">
        <v>26</v>
      </c>
      <c r="G5211" s="308"/>
      <c r="H5211" s="308" t="s">
        <v>20968</v>
      </c>
      <c r="I5211" s="310">
        <v>42818.0</v>
      </c>
      <c r="J5211" s="319">
        <f>IFERROR(__xludf.DUMMYFUNCTION("SPLIT(I5211,""/"")"),24.0)</f>
        <v>24</v>
      </c>
      <c r="K5211" s="308">
        <f>IFERROR(__xludf.DUMMYFUNCTION("""COMPUTED_VALUE"""),3.0)</f>
        <v>3</v>
      </c>
      <c r="L5211" s="308">
        <f>IFERROR(__xludf.DUMMYFUNCTION("""COMPUTED_VALUE"""),2017.0)</f>
        <v>2017</v>
      </c>
      <c r="M5211" s="308"/>
      <c r="N5211" s="308"/>
      <c r="O5211" s="308"/>
      <c r="P5211" s="308" t="s">
        <v>20969</v>
      </c>
      <c r="Q5211" s="308" t="s">
        <v>38236</v>
      </c>
      <c r="R5211" s="308" t="s">
        <v>20958</v>
      </c>
      <c r="S5211" s="308" t="s">
        <v>81</v>
      </c>
      <c r="T5211" s="311" t="s">
        <v>96</v>
      </c>
      <c r="U5211" s="308" t="s">
        <v>27</v>
      </c>
      <c r="V5211" s="308"/>
    </row>
    <row r="5212">
      <c r="A5212" s="308">
        <v>5211.0</v>
      </c>
      <c r="B5212" s="308"/>
      <c r="C5212" s="308" t="s">
        <v>20970</v>
      </c>
      <c r="D5212" s="308">
        <f>IFERROR(__xludf.DUMMYFUNCTION("SPLIT(C5212,""-"")"),5232.0)</f>
        <v>5232</v>
      </c>
      <c r="E5212" s="308" t="str">
        <f>IFERROR(__xludf.DUMMYFUNCTION("""COMPUTED_VALUE"""),"B")</f>
        <v>B</v>
      </c>
      <c r="F5212" s="315" t="s">
        <v>26</v>
      </c>
      <c r="G5212" s="308"/>
      <c r="H5212" s="308" t="s">
        <v>20971</v>
      </c>
      <c r="I5212" s="310">
        <v>42243.0</v>
      </c>
      <c r="J5212" s="319">
        <f>IFERROR(__xludf.DUMMYFUNCTION("SPLIT(I5212,""/"")"),27.0)</f>
        <v>27</v>
      </c>
      <c r="K5212" s="308">
        <f>IFERROR(__xludf.DUMMYFUNCTION("""COMPUTED_VALUE"""),8.0)</f>
        <v>8</v>
      </c>
      <c r="L5212" s="308">
        <f>IFERROR(__xludf.DUMMYFUNCTION("""COMPUTED_VALUE"""),2015.0)</f>
        <v>2015</v>
      </c>
      <c r="M5212" s="308" t="s">
        <v>20972</v>
      </c>
      <c r="N5212" s="308"/>
      <c r="O5212" s="308"/>
      <c r="P5212" s="308" t="s">
        <v>20973</v>
      </c>
      <c r="Q5212" s="308" t="s">
        <v>38236</v>
      </c>
      <c r="R5212" s="308" t="s">
        <v>20958</v>
      </c>
      <c r="S5212" s="308" t="s">
        <v>81</v>
      </c>
      <c r="T5212" s="308" t="s">
        <v>75</v>
      </c>
      <c r="U5212" s="308" t="s">
        <v>27</v>
      </c>
      <c r="V5212" s="308"/>
    </row>
    <row r="5213">
      <c r="A5213" s="308">
        <v>5212.0</v>
      </c>
      <c r="B5213" s="308"/>
      <c r="C5213" s="308" t="s">
        <v>20974</v>
      </c>
      <c r="D5213" s="308">
        <f>IFERROR(__xludf.DUMMYFUNCTION("SPLIT(C5213,""-"")"),5233.0)</f>
        <v>5233</v>
      </c>
      <c r="E5213" s="308" t="str">
        <f>IFERROR(__xludf.DUMMYFUNCTION("""COMPUTED_VALUE"""),"K")</f>
        <v>K</v>
      </c>
      <c r="F5213" s="309" t="s">
        <v>34</v>
      </c>
      <c r="G5213" s="308"/>
      <c r="H5213" s="308" t="s">
        <v>20975</v>
      </c>
      <c r="I5213" s="314">
        <v>42360.0</v>
      </c>
      <c r="J5213" s="319">
        <f>IFERROR(__xludf.DUMMYFUNCTION("SPLIT(I5213,""/"")"),22.0)</f>
        <v>22</v>
      </c>
      <c r="K5213" s="308">
        <f>IFERROR(__xludf.DUMMYFUNCTION("""COMPUTED_VALUE"""),12.0)</f>
        <v>12</v>
      </c>
      <c r="L5213" s="308">
        <f>IFERROR(__xludf.DUMMYFUNCTION("""COMPUTED_VALUE"""),2015.0)</f>
        <v>2015</v>
      </c>
      <c r="M5213" s="308" t="s">
        <v>20976</v>
      </c>
      <c r="N5213" s="308"/>
      <c r="O5213" s="308" t="s">
        <v>38246</v>
      </c>
      <c r="P5213" s="308" t="s">
        <v>38247</v>
      </c>
      <c r="Q5213" s="308" t="s">
        <v>38236</v>
      </c>
      <c r="R5213" s="308" t="s">
        <v>2743</v>
      </c>
      <c r="S5213" s="308" t="s">
        <v>49</v>
      </c>
      <c r="T5213" s="311" t="s">
        <v>51</v>
      </c>
      <c r="U5213" s="308" t="s">
        <v>2989</v>
      </c>
      <c r="V5213" s="308"/>
    </row>
    <row r="5214">
      <c r="A5214" s="308">
        <v>5213.0</v>
      </c>
      <c r="B5214" s="308"/>
      <c r="C5214" s="308" t="s">
        <v>20979</v>
      </c>
      <c r="D5214" s="308">
        <f>IFERROR(__xludf.DUMMYFUNCTION("SPLIT(C5214,""-"")"),5234.0)</f>
        <v>5234</v>
      </c>
      <c r="E5214" s="308" t="str">
        <f>IFERROR(__xludf.DUMMYFUNCTION("""COMPUTED_VALUE"""),"S")</f>
        <v>S</v>
      </c>
      <c r="F5214" s="312" t="s">
        <v>39</v>
      </c>
      <c r="G5214" s="308"/>
      <c r="H5214" s="308" t="s">
        <v>20980</v>
      </c>
      <c r="I5214" s="310">
        <v>42859.0</v>
      </c>
      <c r="J5214" s="319">
        <f>IFERROR(__xludf.DUMMYFUNCTION("SPLIT(I5214,""/"")"),4.0)</f>
        <v>4</v>
      </c>
      <c r="K5214" s="308">
        <f>IFERROR(__xludf.DUMMYFUNCTION("""COMPUTED_VALUE"""),5.0)</f>
        <v>5</v>
      </c>
      <c r="L5214" s="308">
        <f>IFERROR(__xludf.DUMMYFUNCTION("""COMPUTED_VALUE"""),2017.0)</f>
        <v>2017</v>
      </c>
      <c r="M5214" s="308" t="s">
        <v>20981</v>
      </c>
      <c r="N5214" s="308"/>
      <c r="O5214" s="308"/>
      <c r="P5214" s="308" t="s">
        <v>38248</v>
      </c>
      <c r="Q5214" s="308" t="s">
        <v>38236</v>
      </c>
      <c r="R5214" s="308" t="s">
        <v>2743</v>
      </c>
      <c r="S5214" s="308" t="s">
        <v>49</v>
      </c>
      <c r="T5214" s="308" t="s">
        <v>70</v>
      </c>
      <c r="U5214" s="308" t="s">
        <v>166</v>
      </c>
      <c r="V5214" s="308"/>
    </row>
    <row r="5215">
      <c r="A5215" s="308">
        <v>5214.0</v>
      </c>
      <c r="B5215" s="308"/>
      <c r="C5215" s="308" t="s">
        <v>20983</v>
      </c>
      <c r="D5215" s="308">
        <f>IFERROR(__xludf.DUMMYFUNCTION("SPLIT(C5215,""-"")"),5235.0)</f>
        <v>5235</v>
      </c>
      <c r="E5215" s="308" t="str">
        <f>IFERROR(__xludf.DUMMYFUNCTION("""COMPUTED_VALUE"""),"P")</f>
        <v>P</v>
      </c>
      <c r="F5215" s="312" t="s">
        <v>37</v>
      </c>
      <c r="G5215" s="308"/>
      <c r="H5215" s="308" t="s">
        <v>20984</v>
      </c>
      <c r="I5215" s="310">
        <v>43013.0</v>
      </c>
      <c r="J5215" s="319">
        <f>IFERROR(__xludf.DUMMYFUNCTION("SPLIT(I5215,""/"")"),5.0)</f>
        <v>5</v>
      </c>
      <c r="K5215" s="308">
        <f>IFERROR(__xludf.DUMMYFUNCTION("""COMPUTED_VALUE"""),10.0)</f>
        <v>10</v>
      </c>
      <c r="L5215" s="308">
        <f>IFERROR(__xludf.DUMMYFUNCTION("""COMPUTED_VALUE"""),2017.0)</f>
        <v>2017</v>
      </c>
      <c r="M5215" s="308" t="s">
        <v>20985</v>
      </c>
      <c r="N5215" s="308"/>
      <c r="O5215" s="308" t="s">
        <v>20986</v>
      </c>
      <c r="P5215" s="308" t="s">
        <v>7523</v>
      </c>
      <c r="Q5215" s="308" t="s">
        <v>38236</v>
      </c>
      <c r="R5215" s="308" t="s">
        <v>2743</v>
      </c>
      <c r="S5215" s="315" t="s">
        <v>100</v>
      </c>
      <c r="T5215" s="311" t="s">
        <v>34208</v>
      </c>
      <c r="U5215" s="308" t="s">
        <v>2527</v>
      </c>
      <c r="V5215" s="308"/>
    </row>
    <row r="5216">
      <c r="A5216" s="308">
        <v>5215.0</v>
      </c>
      <c r="B5216" s="308"/>
      <c r="C5216" s="308" t="s">
        <v>20987</v>
      </c>
      <c r="D5216" s="308">
        <f>IFERROR(__xludf.DUMMYFUNCTION("SPLIT(C5216,""-"")"),5236.0)</f>
        <v>5236</v>
      </c>
      <c r="E5216" s="308" t="str">
        <f>IFERROR(__xludf.DUMMYFUNCTION("""COMPUTED_VALUE"""),"I")</f>
        <v>I</v>
      </c>
      <c r="F5216" s="309" t="s">
        <v>31</v>
      </c>
      <c r="G5216" s="308"/>
      <c r="H5216" s="308" t="s">
        <v>20988</v>
      </c>
      <c r="I5216" s="310">
        <v>42186.0</v>
      </c>
      <c r="J5216" s="319">
        <f>IFERROR(__xludf.DUMMYFUNCTION("SPLIT(I5216,""/"")"),1.0)</f>
        <v>1</v>
      </c>
      <c r="K5216" s="308">
        <f>IFERROR(__xludf.DUMMYFUNCTION("""COMPUTED_VALUE"""),7.0)</f>
        <v>7</v>
      </c>
      <c r="L5216" s="308">
        <f>IFERROR(__xludf.DUMMYFUNCTION("""COMPUTED_VALUE"""),2015.0)</f>
        <v>2015</v>
      </c>
      <c r="M5216" s="308" t="s">
        <v>20989</v>
      </c>
      <c r="N5216" s="308" t="s">
        <v>439</v>
      </c>
      <c r="O5216" s="308"/>
      <c r="P5216" s="308" t="s">
        <v>10817</v>
      </c>
      <c r="Q5216" s="308" t="s">
        <v>38236</v>
      </c>
      <c r="R5216" s="308" t="s">
        <v>2743</v>
      </c>
      <c r="S5216" s="315" t="s">
        <v>100</v>
      </c>
      <c r="T5216" s="311" t="s">
        <v>34208</v>
      </c>
      <c r="U5216" s="308" t="s">
        <v>31</v>
      </c>
      <c r="V5216" s="308"/>
    </row>
    <row r="5217">
      <c r="A5217" s="308">
        <v>5216.0</v>
      </c>
      <c r="B5217" s="308"/>
      <c r="C5217" s="308" t="s">
        <v>20990</v>
      </c>
      <c r="D5217" s="308">
        <f>IFERROR(__xludf.DUMMYFUNCTION("SPLIT(C5217,""-"")"),5237.0)</f>
        <v>5237</v>
      </c>
      <c r="E5217" s="308" t="str">
        <f>IFERROR(__xludf.DUMMYFUNCTION("""COMPUTED_VALUE"""),"P")</f>
        <v>P</v>
      </c>
      <c r="F5217" s="312" t="s">
        <v>37</v>
      </c>
      <c r="G5217" s="308"/>
      <c r="H5217" s="308" t="s">
        <v>20991</v>
      </c>
      <c r="I5217" s="310">
        <v>43170.0</v>
      </c>
      <c r="J5217" s="319">
        <f>IFERROR(__xludf.DUMMYFUNCTION("SPLIT(I5217,""/"")"),11.0)</f>
        <v>11</v>
      </c>
      <c r="K5217" s="308">
        <f>IFERROR(__xludf.DUMMYFUNCTION("""COMPUTED_VALUE"""),3.0)</f>
        <v>3</v>
      </c>
      <c r="L5217" s="308">
        <f>IFERROR(__xludf.DUMMYFUNCTION("""COMPUTED_VALUE"""),2018.0)</f>
        <v>2018</v>
      </c>
      <c r="M5217" s="308" t="s">
        <v>20992</v>
      </c>
      <c r="N5217" s="308"/>
      <c r="O5217" s="308" t="s">
        <v>20993</v>
      </c>
      <c r="P5217" s="308" t="s">
        <v>38249</v>
      </c>
      <c r="Q5217" s="308" t="s">
        <v>38236</v>
      </c>
      <c r="R5217" s="308" t="s">
        <v>2743</v>
      </c>
      <c r="S5217" s="308" t="s">
        <v>81</v>
      </c>
      <c r="T5217" s="308" t="s">
        <v>34264</v>
      </c>
      <c r="U5217" s="308" t="s">
        <v>20995</v>
      </c>
      <c r="V5217" s="308"/>
    </row>
    <row r="5218">
      <c r="A5218" s="308">
        <v>5217.0</v>
      </c>
      <c r="B5218" s="308"/>
      <c r="C5218" s="308" t="s">
        <v>20996</v>
      </c>
      <c r="D5218" s="308">
        <f>IFERROR(__xludf.DUMMYFUNCTION("SPLIT(C5218,""-"")"),5238.0)</f>
        <v>5238</v>
      </c>
      <c r="E5218" s="308" t="str">
        <f>IFERROR(__xludf.DUMMYFUNCTION("""COMPUTED_VALUE"""),"F")</f>
        <v>F</v>
      </c>
      <c r="F5218" s="309" t="s">
        <v>34</v>
      </c>
      <c r="G5218" s="308"/>
      <c r="H5218" s="308" t="s">
        <v>20997</v>
      </c>
      <c r="I5218" s="314">
        <v>42721.0</v>
      </c>
      <c r="J5218" s="319">
        <f>IFERROR(__xludf.DUMMYFUNCTION("SPLIT(I5218,""/"")"),17.0)</f>
        <v>17</v>
      </c>
      <c r="K5218" s="308">
        <f>IFERROR(__xludf.DUMMYFUNCTION("""COMPUTED_VALUE"""),12.0)</f>
        <v>12</v>
      </c>
      <c r="L5218" s="308">
        <f>IFERROR(__xludf.DUMMYFUNCTION("""COMPUTED_VALUE"""),2016.0)</f>
        <v>2016</v>
      </c>
      <c r="M5218" s="308" t="s">
        <v>20998</v>
      </c>
      <c r="N5218" s="308"/>
      <c r="O5218" s="308"/>
      <c r="P5218" s="308" t="s">
        <v>20999</v>
      </c>
      <c r="Q5218" s="308" t="s">
        <v>38236</v>
      </c>
      <c r="R5218" s="308" t="s">
        <v>2743</v>
      </c>
      <c r="S5218" s="308" t="s">
        <v>81</v>
      </c>
      <c r="T5218" s="308" t="s">
        <v>34264</v>
      </c>
      <c r="U5218" s="308" t="s">
        <v>195</v>
      </c>
      <c r="V5218" s="308"/>
    </row>
    <row r="5219">
      <c r="A5219" s="308">
        <v>5218.0</v>
      </c>
      <c r="B5219" s="308"/>
      <c r="C5219" s="308" t="s">
        <v>21000</v>
      </c>
      <c r="D5219" s="308">
        <f>IFERROR(__xludf.DUMMYFUNCTION("SPLIT(C5219,""-"")"),5239.0)</f>
        <v>5239</v>
      </c>
      <c r="E5219" s="308" t="str">
        <f>IFERROR(__xludf.DUMMYFUNCTION("""COMPUTED_VALUE"""),"K")</f>
        <v>K</v>
      </c>
      <c r="F5219" s="309" t="s">
        <v>34</v>
      </c>
      <c r="G5219" s="308"/>
      <c r="H5219" s="308" t="s">
        <v>21001</v>
      </c>
      <c r="I5219" s="310">
        <v>42756.0</v>
      </c>
      <c r="J5219" s="319" t="str">
        <f>IFERROR(__xludf.DUMMYFUNCTION("SPLIT(I5219,""/"")"),"#REF!")</f>
        <v>#REF!</v>
      </c>
      <c r="K5219" s="308"/>
      <c r="L5219" s="308">
        <v>2017.0</v>
      </c>
      <c r="M5219" s="308" t="s">
        <v>21002</v>
      </c>
      <c r="N5219" s="308"/>
      <c r="O5219" s="308" t="s">
        <v>21003</v>
      </c>
      <c r="P5219" s="308" t="s">
        <v>5679</v>
      </c>
      <c r="Q5219" s="308" t="s">
        <v>38250</v>
      </c>
      <c r="R5219" s="308" t="s">
        <v>2743</v>
      </c>
      <c r="S5219" s="315" t="s">
        <v>100</v>
      </c>
      <c r="T5219" s="311" t="s">
        <v>34208</v>
      </c>
      <c r="U5219" s="308" t="s">
        <v>125</v>
      </c>
      <c r="V5219" s="308"/>
    </row>
    <row r="5220">
      <c r="A5220" s="308">
        <v>5219.0</v>
      </c>
      <c r="B5220" s="308"/>
      <c r="C5220" s="308" t="s">
        <v>21004</v>
      </c>
      <c r="D5220" s="308">
        <f>IFERROR(__xludf.DUMMYFUNCTION("SPLIT(C5220,""-"")"),5240.0)</f>
        <v>5240</v>
      </c>
      <c r="E5220" s="308" t="str">
        <f>IFERROR(__xludf.DUMMYFUNCTION("""COMPUTED_VALUE"""),"F")</f>
        <v>F</v>
      </c>
      <c r="F5220" s="309" t="s">
        <v>34</v>
      </c>
      <c r="G5220" s="308"/>
      <c r="H5220" s="308" t="s">
        <v>21005</v>
      </c>
      <c r="I5220" s="310">
        <v>41028.0</v>
      </c>
      <c r="J5220" s="319">
        <f>IFERROR(__xludf.DUMMYFUNCTION("SPLIT(I5220,""/"")"),29.0)</f>
        <v>29</v>
      </c>
      <c r="K5220" s="308">
        <f>IFERROR(__xludf.DUMMYFUNCTION("""COMPUTED_VALUE"""),4.0)</f>
        <v>4</v>
      </c>
      <c r="L5220" s="308">
        <f>IFERROR(__xludf.DUMMYFUNCTION("""COMPUTED_VALUE"""),2012.0)</f>
        <v>2012</v>
      </c>
      <c r="M5220" s="308" t="s">
        <v>21006</v>
      </c>
      <c r="N5220" s="308"/>
      <c r="O5220" s="308"/>
      <c r="P5220" s="308" t="s">
        <v>38251</v>
      </c>
      <c r="Q5220" s="308" t="s">
        <v>38250</v>
      </c>
      <c r="R5220" s="308" t="s">
        <v>2743</v>
      </c>
      <c r="S5220" s="308" t="s">
        <v>81</v>
      </c>
      <c r="T5220" s="308" t="s">
        <v>73</v>
      </c>
      <c r="U5220" s="308" t="s">
        <v>195</v>
      </c>
      <c r="V5220" s="308"/>
    </row>
    <row r="5221">
      <c r="A5221" s="308">
        <v>5220.0</v>
      </c>
      <c r="B5221" s="308"/>
      <c r="C5221" s="308" t="s">
        <v>21008</v>
      </c>
      <c r="D5221" s="308">
        <f>IFERROR(__xludf.DUMMYFUNCTION("SPLIT(C5221,""-"")"),5241.0)</f>
        <v>5241</v>
      </c>
      <c r="E5221" s="308" t="str">
        <f>IFERROR(__xludf.DUMMYFUNCTION("""COMPUTED_VALUE"""),"S")</f>
        <v>S</v>
      </c>
      <c r="F5221" s="312" t="s">
        <v>39</v>
      </c>
      <c r="G5221" s="308"/>
      <c r="H5221" s="308" t="s">
        <v>21009</v>
      </c>
      <c r="I5221" s="310">
        <v>43169.0</v>
      </c>
      <c r="J5221" s="319">
        <f>IFERROR(__xludf.DUMMYFUNCTION("SPLIT(I5221,""/"")"),10.0)</f>
        <v>10</v>
      </c>
      <c r="K5221" s="308">
        <f>IFERROR(__xludf.DUMMYFUNCTION("""COMPUTED_VALUE"""),3.0)</f>
        <v>3</v>
      </c>
      <c r="L5221" s="308">
        <f>IFERROR(__xludf.DUMMYFUNCTION("""COMPUTED_VALUE"""),2018.0)</f>
        <v>2018</v>
      </c>
      <c r="M5221" s="308" t="s">
        <v>21010</v>
      </c>
      <c r="N5221" s="308" t="s">
        <v>21011</v>
      </c>
      <c r="O5221" s="308" t="s">
        <v>21012</v>
      </c>
      <c r="P5221" s="308" t="s">
        <v>38252</v>
      </c>
      <c r="Q5221" s="308" t="s">
        <v>38250</v>
      </c>
      <c r="R5221" s="308" t="s">
        <v>2743</v>
      </c>
      <c r="S5221" s="308" t="s">
        <v>49</v>
      </c>
      <c r="T5221" s="308" t="s">
        <v>51</v>
      </c>
      <c r="U5221" s="308" t="s">
        <v>166</v>
      </c>
      <c r="V5221" s="308"/>
    </row>
    <row r="5222">
      <c r="A5222" s="308">
        <v>5221.0</v>
      </c>
      <c r="B5222" s="308"/>
      <c r="C5222" s="308" t="s">
        <v>21014</v>
      </c>
      <c r="D5222" s="308">
        <f>IFERROR(__xludf.DUMMYFUNCTION("SPLIT(C5222,""-"")"),5242.0)</f>
        <v>5242</v>
      </c>
      <c r="E5222" s="308" t="str">
        <f>IFERROR(__xludf.DUMMYFUNCTION("""COMPUTED_VALUE"""),"S")</f>
        <v>S</v>
      </c>
      <c r="F5222" s="312" t="s">
        <v>39</v>
      </c>
      <c r="G5222" s="308"/>
      <c r="H5222" s="308" t="s">
        <v>21015</v>
      </c>
      <c r="I5222" s="310">
        <v>42223.0</v>
      </c>
      <c r="J5222" s="319">
        <f>IFERROR(__xludf.DUMMYFUNCTION("SPLIT(I5222,""/"")"),7.0)</f>
        <v>7</v>
      </c>
      <c r="K5222" s="308">
        <f>IFERROR(__xludf.DUMMYFUNCTION("""COMPUTED_VALUE"""),8.0)</f>
        <v>8</v>
      </c>
      <c r="L5222" s="308">
        <f>IFERROR(__xludf.DUMMYFUNCTION("""COMPUTED_VALUE"""),2015.0)</f>
        <v>2015</v>
      </c>
      <c r="M5222" s="308" t="s">
        <v>38253</v>
      </c>
      <c r="N5222" s="308"/>
      <c r="O5222" s="308"/>
      <c r="P5222" s="308" t="s">
        <v>21017</v>
      </c>
      <c r="Q5222" s="308" t="s">
        <v>38250</v>
      </c>
      <c r="R5222" s="308" t="s">
        <v>2743</v>
      </c>
      <c r="S5222" s="308" t="s">
        <v>49</v>
      </c>
      <c r="T5222" s="311" t="s">
        <v>51</v>
      </c>
      <c r="U5222" s="308" t="s">
        <v>12947</v>
      </c>
      <c r="V5222" s="308"/>
    </row>
    <row r="5223">
      <c r="A5223" s="308">
        <v>5222.0</v>
      </c>
      <c r="B5223" s="308"/>
      <c r="C5223" s="308" t="s">
        <v>21018</v>
      </c>
      <c r="D5223" s="308">
        <f>IFERROR(__xludf.DUMMYFUNCTION("SPLIT(C5223,""-"")"),5243.0)</f>
        <v>5243</v>
      </c>
      <c r="E5223" s="308" t="str">
        <f>IFERROR(__xludf.DUMMYFUNCTION("""COMPUTED_VALUE"""),"F")</f>
        <v>F</v>
      </c>
      <c r="F5223" s="309" t="s">
        <v>34</v>
      </c>
      <c r="G5223" s="308"/>
      <c r="H5223" s="308" t="s">
        <v>21019</v>
      </c>
      <c r="I5223" s="310">
        <v>42502.0</v>
      </c>
      <c r="J5223" s="319">
        <f>IFERROR(__xludf.DUMMYFUNCTION("SPLIT(I5223,""/"")"),12.0)</f>
        <v>12</v>
      </c>
      <c r="K5223" s="308">
        <f>IFERROR(__xludf.DUMMYFUNCTION("""COMPUTED_VALUE"""),5.0)</f>
        <v>5</v>
      </c>
      <c r="L5223" s="308">
        <f>IFERROR(__xludf.DUMMYFUNCTION("""COMPUTED_VALUE"""),2016.0)</f>
        <v>2016</v>
      </c>
      <c r="M5223" s="308" t="s">
        <v>21020</v>
      </c>
      <c r="N5223" s="308" t="s">
        <v>439</v>
      </c>
      <c r="O5223" s="308"/>
      <c r="P5223" s="308" t="s">
        <v>6393</v>
      </c>
      <c r="Q5223" s="308" t="s">
        <v>38250</v>
      </c>
      <c r="R5223" s="308" t="s">
        <v>2743</v>
      </c>
      <c r="S5223" s="315" t="s">
        <v>100</v>
      </c>
      <c r="T5223" s="311" t="s">
        <v>34208</v>
      </c>
      <c r="U5223" s="308" t="s">
        <v>13085</v>
      </c>
      <c r="V5223" s="308"/>
    </row>
    <row r="5224">
      <c r="A5224" s="308">
        <v>5223.0</v>
      </c>
      <c r="B5224" s="308"/>
      <c r="C5224" s="308" t="s">
        <v>21021</v>
      </c>
      <c r="D5224" s="308">
        <f>IFERROR(__xludf.DUMMYFUNCTION("SPLIT(C5224,""-"")"),5244.0)</f>
        <v>5244</v>
      </c>
      <c r="E5224" s="308" t="str">
        <f>IFERROR(__xludf.DUMMYFUNCTION("""COMPUTED_VALUE"""),"S")</f>
        <v>S</v>
      </c>
      <c r="F5224" s="312" t="s">
        <v>39</v>
      </c>
      <c r="G5224" s="308"/>
      <c r="H5224" s="308" t="s">
        <v>21022</v>
      </c>
      <c r="I5224" s="310">
        <v>43127.0</v>
      </c>
      <c r="J5224" s="319">
        <f>IFERROR(__xludf.DUMMYFUNCTION("SPLIT(I5224,""/"")"),27.0)</f>
        <v>27</v>
      </c>
      <c r="K5224" s="308">
        <f>IFERROR(__xludf.DUMMYFUNCTION("""COMPUTED_VALUE"""),1.0)</f>
        <v>1</v>
      </c>
      <c r="L5224" s="308">
        <f>IFERROR(__xludf.DUMMYFUNCTION("""COMPUTED_VALUE"""),2018.0)</f>
        <v>2018</v>
      </c>
      <c r="M5224" s="308" t="s">
        <v>21023</v>
      </c>
      <c r="N5224" s="308"/>
      <c r="O5224" s="308"/>
      <c r="P5224" s="308" t="s">
        <v>38254</v>
      </c>
      <c r="Q5224" s="308" t="s">
        <v>38255</v>
      </c>
      <c r="R5224" s="308" t="s">
        <v>2743</v>
      </c>
      <c r="S5224" s="308" t="s">
        <v>81</v>
      </c>
      <c r="T5224" s="308" t="s">
        <v>75</v>
      </c>
      <c r="U5224" s="308" t="s">
        <v>166</v>
      </c>
      <c r="V5224" s="308"/>
    </row>
    <row r="5225">
      <c r="A5225" s="308">
        <v>5224.0</v>
      </c>
      <c r="B5225" s="308"/>
      <c r="C5225" s="308" t="s">
        <v>21025</v>
      </c>
      <c r="D5225" s="308">
        <f>IFERROR(__xludf.DUMMYFUNCTION("SPLIT(C5225,""-"")"),5245.0)</f>
        <v>5245</v>
      </c>
      <c r="E5225" s="308" t="str">
        <f>IFERROR(__xludf.DUMMYFUNCTION("""COMPUTED_VALUE"""),"I")</f>
        <v>I</v>
      </c>
      <c r="F5225" s="309" t="s">
        <v>31</v>
      </c>
      <c r="G5225" s="308"/>
      <c r="H5225" s="308" t="s">
        <v>19664</v>
      </c>
      <c r="I5225" s="310">
        <v>43161.0</v>
      </c>
      <c r="J5225" s="319">
        <f>IFERROR(__xludf.DUMMYFUNCTION("SPLIT(I5225,""/"")"),2.0)</f>
        <v>2</v>
      </c>
      <c r="K5225" s="308">
        <f>IFERROR(__xludf.DUMMYFUNCTION("""COMPUTED_VALUE"""),3.0)</f>
        <v>3</v>
      </c>
      <c r="L5225" s="308">
        <f>IFERROR(__xludf.DUMMYFUNCTION("""COMPUTED_VALUE"""),2018.0)</f>
        <v>2018</v>
      </c>
      <c r="M5225" s="308" t="s">
        <v>19665</v>
      </c>
      <c r="N5225" s="308"/>
      <c r="O5225" s="308"/>
      <c r="P5225" s="308" t="s">
        <v>38256</v>
      </c>
      <c r="Q5225" s="308" t="s">
        <v>38255</v>
      </c>
      <c r="R5225" s="308" t="s">
        <v>2743</v>
      </c>
      <c r="S5225" s="308" t="s">
        <v>81</v>
      </c>
      <c r="T5225" s="308" t="s">
        <v>75</v>
      </c>
      <c r="U5225" s="308" t="s">
        <v>31</v>
      </c>
      <c r="V5225" s="308"/>
    </row>
    <row r="5226">
      <c r="A5226" s="308">
        <v>5225.0</v>
      </c>
      <c r="B5226" s="308"/>
      <c r="C5226" s="308" t="s">
        <v>21027</v>
      </c>
      <c r="D5226" s="308" t="str">
        <f>IFERROR(__xludf.DUMMYFUNCTION("SPLIT(C5226,""-"")"),"#REF!")</f>
        <v>#REF!</v>
      </c>
      <c r="E5226" s="311"/>
      <c r="F5226" s="317" t="s">
        <v>39</v>
      </c>
      <c r="G5226" s="308"/>
      <c r="H5226" s="308" t="s">
        <v>21028</v>
      </c>
      <c r="I5226" s="310">
        <v>43158.0</v>
      </c>
      <c r="J5226" s="319">
        <f>IFERROR(__xludf.DUMMYFUNCTION("SPLIT(I5226,""/"")"),27.0)</f>
        <v>27</v>
      </c>
      <c r="K5226" s="308">
        <f>IFERROR(__xludf.DUMMYFUNCTION("""COMPUTED_VALUE"""),2.0)</f>
        <v>2</v>
      </c>
      <c r="L5226" s="308">
        <f>IFERROR(__xludf.DUMMYFUNCTION("""COMPUTED_VALUE"""),2018.0)</f>
        <v>2018</v>
      </c>
      <c r="M5226" s="308" t="s">
        <v>21029</v>
      </c>
      <c r="N5226" s="308"/>
      <c r="O5226" s="308"/>
      <c r="P5226" s="308" t="s">
        <v>5653</v>
      </c>
      <c r="Q5226" s="308" t="s">
        <v>38257</v>
      </c>
      <c r="R5226" s="308" t="s">
        <v>2743</v>
      </c>
      <c r="S5226" s="315" t="s">
        <v>100</v>
      </c>
      <c r="T5226" s="311" t="s">
        <v>34208</v>
      </c>
      <c r="U5226" s="308" t="s">
        <v>166</v>
      </c>
      <c r="V5226" s="308"/>
    </row>
    <row r="5227">
      <c r="A5227" s="308">
        <v>5226.0</v>
      </c>
      <c r="B5227" s="308"/>
      <c r="C5227" s="308" t="s">
        <v>21030</v>
      </c>
      <c r="D5227" s="308">
        <f>IFERROR(__xludf.DUMMYFUNCTION("SPLIT(C5227,""-"")"),5247.0)</f>
        <v>5247</v>
      </c>
      <c r="E5227" s="308" t="str">
        <f>IFERROR(__xludf.DUMMYFUNCTION("""COMPUTED_VALUE"""),"F")</f>
        <v>F</v>
      </c>
      <c r="F5227" s="309" t="s">
        <v>34</v>
      </c>
      <c r="G5227" s="308"/>
      <c r="H5227" s="308" t="s">
        <v>21031</v>
      </c>
      <c r="I5227" s="310">
        <v>39630.0</v>
      </c>
      <c r="J5227" s="319">
        <f>IFERROR(__xludf.DUMMYFUNCTION("SPLIT(I5227,""/"")"),1.0)</f>
        <v>1</v>
      </c>
      <c r="K5227" s="308">
        <f>IFERROR(__xludf.DUMMYFUNCTION("""COMPUTED_VALUE"""),7.0)</f>
        <v>7</v>
      </c>
      <c r="L5227" s="308">
        <f>IFERROR(__xludf.DUMMYFUNCTION("""COMPUTED_VALUE"""),2008.0)</f>
        <v>2008</v>
      </c>
      <c r="M5227" s="308" t="s">
        <v>21032</v>
      </c>
      <c r="N5227" s="308" t="s">
        <v>21033</v>
      </c>
      <c r="O5227" s="308"/>
      <c r="P5227" s="308" t="s">
        <v>6393</v>
      </c>
      <c r="Q5227" s="308" t="s">
        <v>38257</v>
      </c>
      <c r="R5227" s="308" t="s">
        <v>2743</v>
      </c>
      <c r="S5227" s="315" t="s">
        <v>100</v>
      </c>
      <c r="T5227" s="311" t="s">
        <v>34208</v>
      </c>
      <c r="U5227" s="308" t="s">
        <v>195</v>
      </c>
      <c r="V5227" s="308"/>
    </row>
    <row r="5228">
      <c r="A5228" s="308">
        <v>5227.0</v>
      </c>
      <c r="B5228" s="308"/>
      <c r="C5228" s="308" t="s">
        <v>21034</v>
      </c>
      <c r="D5228" s="308">
        <f>IFERROR(__xludf.DUMMYFUNCTION("SPLIT(C5228,""-"")"),5248.0)</f>
        <v>5248</v>
      </c>
      <c r="E5228" s="308" t="str">
        <f>IFERROR(__xludf.DUMMYFUNCTION("""COMPUTED_VALUE"""),"K")</f>
        <v>K</v>
      </c>
      <c r="F5228" s="309" t="s">
        <v>34</v>
      </c>
      <c r="G5228" s="308"/>
      <c r="H5228" s="308" t="s">
        <v>21035</v>
      </c>
      <c r="I5228" s="310">
        <v>39995.0</v>
      </c>
      <c r="J5228" s="319">
        <f>IFERROR(__xludf.DUMMYFUNCTION("SPLIT(I5228,""/"")"),1.0)</f>
        <v>1</v>
      </c>
      <c r="K5228" s="308">
        <f>IFERROR(__xludf.DUMMYFUNCTION("""COMPUTED_VALUE"""),7.0)</f>
        <v>7</v>
      </c>
      <c r="L5228" s="308">
        <f>IFERROR(__xludf.DUMMYFUNCTION("""COMPUTED_VALUE"""),2009.0)</f>
        <v>2009</v>
      </c>
      <c r="M5228" s="308" t="s">
        <v>21036</v>
      </c>
      <c r="N5228" s="308"/>
      <c r="O5228" s="308"/>
      <c r="P5228" s="308" t="s">
        <v>38258</v>
      </c>
      <c r="Q5228" s="308" t="s">
        <v>38257</v>
      </c>
      <c r="R5228" s="308" t="s">
        <v>2743</v>
      </c>
      <c r="S5228" s="308" t="s">
        <v>81</v>
      </c>
      <c r="T5228" s="308" t="s">
        <v>34264</v>
      </c>
      <c r="U5228" s="308" t="s">
        <v>2152</v>
      </c>
      <c r="V5228" s="308"/>
    </row>
    <row r="5229">
      <c r="A5229" s="308">
        <v>5228.0</v>
      </c>
      <c r="B5229" s="308"/>
      <c r="C5229" s="308" t="s">
        <v>21038</v>
      </c>
      <c r="D5229" s="308">
        <f>IFERROR(__xludf.DUMMYFUNCTION("SPLIT(C5229,""-"")"),5249.0)</f>
        <v>5249</v>
      </c>
      <c r="E5229" s="308" t="str">
        <f>IFERROR(__xludf.DUMMYFUNCTION("""COMPUTED_VALUE"""),"K")</f>
        <v>K</v>
      </c>
      <c r="F5229" s="309" t="s">
        <v>34</v>
      </c>
      <c r="G5229" s="308"/>
      <c r="H5229" s="308" t="s">
        <v>21039</v>
      </c>
      <c r="I5229" s="310">
        <v>41507.0</v>
      </c>
      <c r="J5229" s="319">
        <f>IFERROR(__xludf.DUMMYFUNCTION("SPLIT(I5229,""/"")"),21.0)</f>
        <v>21</v>
      </c>
      <c r="K5229" s="308">
        <f>IFERROR(__xludf.DUMMYFUNCTION("""COMPUTED_VALUE"""),8.0)</f>
        <v>8</v>
      </c>
      <c r="L5229" s="308">
        <f>IFERROR(__xludf.DUMMYFUNCTION("""COMPUTED_VALUE"""),2013.0)</f>
        <v>2013</v>
      </c>
      <c r="M5229" s="308" t="s">
        <v>21040</v>
      </c>
      <c r="N5229" s="308" t="s">
        <v>21041</v>
      </c>
      <c r="O5229" s="308" t="s">
        <v>21042</v>
      </c>
      <c r="P5229" s="308" t="s">
        <v>5679</v>
      </c>
      <c r="Q5229" s="308" t="s">
        <v>38257</v>
      </c>
      <c r="R5229" s="308" t="s">
        <v>2743</v>
      </c>
      <c r="S5229" s="315" t="s">
        <v>100</v>
      </c>
      <c r="T5229" s="311" t="s">
        <v>34208</v>
      </c>
      <c r="U5229" s="308" t="s">
        <v>2152</v>
      </c>
      <c r="V5229" s="308"/>
    </row>
    <row r="5230">
      <c r="A5230" s="308">
        <v>5229.0</v>
      </c>
      <c r="B5230" s="308"/>
      <c r="C5230" s="308" t="s">
        <v>21043</v>
      </c>
      <c r="D5230" s="308">
        <f>IFERROR(__xludf.DUMMYFUNCTION("SPLIT(C5230,""-"")"),5250.0)</f>
        <v>5250</v>
      </c>
      <c r="E5230" s="308" t="str">
        <f>IFERROR(__xludf.DUMMYFUNCTION("""COMPUTED_VALUE"""),"K")</f>
        <v>K</v>
      </c>
      <c r="F5230" s="309" t="s">
        <v>34</v>
      </c>
      <c r="G5230" s="308"/>
      <c r="H5230" s="308" t="s">
        <v>21044</v>
      </c>
      <c r="I5230" s="310">
        <v>39854.0</v>
      </c>
      <c r="J5230" s="319">
        <f>IFERROR(__xludf.DUMMYFUNCTION("SPLIT(I5230,""/"")"),10.0)</f>
        <v>10</v>
      </c>
      <c r="K5230" s="308">
        <f>IFERROR(__xludf.DUMMYFUNCTION("""COMPUTED_VALUE"""),2.0)</f>
        <v>2</v>
      </c>
      <c r="L5230" s="308">
        <f>IFERROR(__xludf.DUMMYFUNCTION("""COMPUTED_VALUE"""),2009.0)</f>
        <v>2009</v>
      </c>
      <c r="M5230" s="308" t="s">
        <v>21045</v>
      </c>
      <c r="N5230" s="308"/>
      <c r="O5230" s="308"/>
      <c r="P5230" s="308" t="s">
        <v>5679</v>
      </c>
      <c r="Q5230" s="308" t="s">
        <v>38259</v>
      </c>
      <c r="R5230" s="308" t="s">
        <v>2743</v>
      </c>
      <c r="S5230" s="315" t="s">
        <v>100</v>
      </c>
      <c r="T5230" s="311" t="s">
        <v>34208</v>
      </c>
      <c r="U5230" s="308" t="s">
        <v>125</v>
      </c>
      <c r="V5230" s="308"/>
    </row>
    <row r="5231">
      <c r="A5231" s="308">
        <v>5230.0</v>
      </c>
      <c r="B5231" s="308"/>
      <c r="C5231" s="308" t="s">
        <v>21046</v>
      </c>
      <c r="D5231" s="308">
        <f>IFERROR(__xludf.DUMMYFUNCTION("SPLIT(C5231,""-"")"),5251.0)</f>
        <v>5251</v>
      </c>
      <c r="E5231" s="308" t="str">
        <f>IFERROR(__xludf.DUMMYFUNCTION("""COMPUTED_VALUE"""),"K")</f>
        <v>K</v>
      </c>
      <c r="F5231" s="309" t="s">
        <v>34</v>
      </c>
      <c r="G5231" s="308"/>
      <c r="H5231" s="308" t="s">
        <v>21047</v>
      </c>
      <c r="I5231" s="310">
        <v>42029.0</v>
      </c>
      <c r="J5231" s="319">
        <f>IFERROR(__xludf.DUMMYFUNCTION("SPLIT(I5231,""/"")"),25.0)</f>
        <v>25</v>
      </c>
      <c r="K5231" s="308">
        <f>IFERROR(__xludf.DUMMYFUNCTION("""COMPUTED_VALUE"""),1.0)</f>
        <v>1</v>
      </c>
      <c r="L5231" s="308">
        <f>IFERROR(__xludf.DUMMYFUNCTION("""COMPUTED_VALUE"""),2015.0)</f>
        <v>2015</v>
      </c>
      <c r="M5231" s="308" t="s">
        <v>21045</v>
      </c>
      <c r="N5231" s="308"/>
      <c r="O5231" s="308"/>
      <c r="P5231" s="308" t="s">
        <v>5679</v>
      </c>
      <c r="Q5231" s="308" t="s">
        <v>38259</v>
      </c>
      <c r="R5231" s="308" t="s">
        <v>2743</v>
      </c>
      <c r="S5231" s="315" t="s">
        <v>100</v>
      </c>
      <c r="T5231" s="311" t="s">
        <v>34208</v>
      </c>
      <c r="U5231" s="308" t="s">
        <v>125</v>
      </c>
      <c r="V5231" s="308"/>
    </row>
    <row r="5232">
      <c r="A5232" s="308">
        <v>5231.0</v>
      </c>
      <c r="B5232" s="308"/>
      <c r="C5232" s="308" t="s">
        <v>21048</v>
      </c>
      <c r="D5232" s="308">
        <f>IFERROR(__xludf.DUMMYFUNCTION("SPLIT(C5232,""-"")"),5252.0)</f>
        <v>5252</v>
      </c>
      <c r="E5232" s="308" t="str">
        <f>IFERROR(__xludf.DUMMYFUNCTION("""COMPUTED_VALUE"""),"P")</f>
        <v>P</v>
      </c>
      <c r="F5232" s="312" t="s">
        <v>37</v>
      </c>
      <c r="G5232" s="308"/>
      <c r="H5232" s="308" t="s">
        <v>21049</v>
      </c>
      <c r="I5232" s="310">
        <v>41284.0</v>
      </c>
      <c r="J5232" s="319">
        <f>IFERROR(__xludf.DUMMYFUNCTION("SPLIT(I5232,""/"")"),10.0)</f>
        <v>10</v>
      </c>
      <c r="K5232" s="308">
        <f>IFERROR(__xludf.DUMMYFUNCTION("""COMPUTED_VALUE"""),1.0)</f>
        <v>1</v>
      </c>
      <c r="L5232" s="308">
        <f>IFERROR(__xludf.DUMMYFUNCTION("""COMPUTED_VALUE"""),2013.0)</f>
        <v>2013</v>
      </c>
      <c r="M5232" s="308" t="s">
        <v>38260</v>
      </c>
      <c r="N5232" s="308" t="s">
        <v>38261</v>
      </c>
      <c r="O5232" s="308"/>
      <c r="P5232" s="308" t="s">
        <v>7523</v>
      </c>
      <c r="Q5232" s="308" t="s">
        <v>38259</v>
      </c>
      <c r="R5232" s="308" t="s">
        <v>2743</v>
      </c>
      <c r="S5232" s="315" t="s">
        <v>100</v>
      </c>
      <c r="T5232" s="311" t="s">
        <v>34208</v>
      </c>
      <c r="U5232" s="308" t="s">
        <v>21052</v>
      </c>
      <c r="V5232" s="308"/>
    </row>
    <row r="5233">
      <c r="A5233" s="308">
        <v>5232.0</v>
      </c>
      <c r="B5233" s="308"/>
      <c r="C5233" s="308" t="s">
        <v>21053</v>
      </c>
      <c r="D5233" s="308">
        <f>IFERROR(__xludf.DUMMYFUNCTION("SPLIT(C5233,""-"")"),5253.0)</f>
        <v>5253</v>
      </c>
      <c r="E5233" s="308" t="str">
        <f>IFERROR(__xludf.DUMMYFUNCTION("""COMPUTED_VALUE"""),"F")</f>
        <v>F</v>
      </c>
      <c r="F5233" s="309" t="s">
        <v>34</v>
      </c>
      <c r="G5233" s="308"/>
      <c r="H5233" s="308" t="s">
        <v>21054</v>
      </c>
      <c r="I5233" s="310">
        <v>41480.0</v>
      </c>
      <c r="J5233" s="319">
        <f>IFERROR(__xludf.DUMMYFUNCTION("SPLIT(I5233,""/"")"),25.0)</f>
        <v>25</v>
      </c>
      <c r="K5233" s="308">
        <f>IFERROR(__xludf.DUMMYFUNCTION("""COMPUTED_VALUE"""),7.0)</f>
        <v>7</v>
      </c>
      <c r="L5233" s="308">
        <f>IFERROR(__xludf.DUMMYFUNCTION("""COMPUTED_VALUE"""),2013.0)</f>
        <v>2013</v>
      </c>
      <c r="M5233" s="308" t="s">
        <v>21055</v>
      </c>
      <c r="N5233" s="308"/>
      <c r="O5233" s="308"/>
      <c r="P5233" s="308" t="s">
        <v>6393</v>
      </c>
      <c r="Q5233" s="308" t="s">
        <v>38259</v>
      </c>
      <c r="R5233" s="308" t="s">
        <v>2743</v>
      </c>
      <c r="S5233" s="315" t="s">
        <v>100</v>
      </c>
      <c r="T5233" s="311" t="s">
        <v>34208</v>
      </c>
      <c r="U5233" s="308" t="s">
        <v>195</v>
      </c>
      <c r="V5233" s="308"/>
    </row>
    <row r="5234">
      <c r="A5234" s="308">
        <v>5233.0</v>
      </c>
      <c r="B5234" s="308"/>
      <c r="C5234" s="308" t="s">
        <v>21056</v>
      </c>
      <c r="D5234" s="308">
        <f>IFERROR(__xludf.DUMMYFUNCTION("SPLIT(C5234,""-"")"),5254.0)</f>
        <v>5254</v>
      </c>
      <c r="E5234" s="308" t="str">
        <f>IFERROR(__xludf.DUMMYFUNCTION("""COMPUTED_VALUE"""),"F")</f>
        <v>F</v>
      </c>
      <c r="F5234" s="309" t="s">
        <v>34</v>
      </c>
      <c r="G5234" s="308"/>
      <c r="H5234" s="308" t="s">
        <v>21057</v>
      </c>
      <c r="I5234" s="310">
        <v>40708.0</v>
      </c>
      <c r="J5234" s="319">
        <f>IFERROR(__xludf.DUMMYFUNCTION("SPLIT(I5234,""/"")"),14.0)</f>
        <v>14</v>
      </c>
      <c r="K5234" s="308">
        <f>IFERROR(__xludf.DUMMYFUNCTION("""COMPUTED_VALUE"""),6.0)</f>
        <v>6</v>
      </c>
      <c r="L5234" s="308">
        <f>IFERROR(__xludf.DUMMYFUNCTION("""COMPUTED_VALUE"""),2011.0)</f>
        <v>2011</v>
      </c>
      <c r="M5234" s="308" t="s">
        <v>21058</v>
      </c>
      <c r="N5234" s="308" t="s">
        <v>21059</v>
      </c>
      <c r="O5234" s="308"/>
      <c r="P5234" s="308" t="s">
        <v>6393</v>
      </c>
      <c r="Q5234" s="308" t="s">
        <v>38262</v>
      </c>
      <c r="R5234" s="308" t="s">
        <v>2743</v>
      </c>
      <c r="S5234" s="315" t="s">
        <v>100</v>
      </c>
      <c r="T5234" s="311" t="s">
        <v>34208</v>
      </c>
      <c r="U5234" s="308" t="s">
        <v>195</v>
      </c>
      <c r="V5234" s="308"/>
    </row>
    <row r="5235">
      <c r="A5235" s="308">
        <v>5234.0</v>
      </c>
      <c r="B5235" s="308"/>
      <c r="C5235" s="308" t="s">
        <v>21060</v>
      </c>
      <c r="D5235" s="308">
        <f>IFERROR(__xludf.DUMMYFUNCTION("SPLIT(C5235,""-"")"),5255.0)</f>
        <v>5255</v>
      </c>
      <c r="E5235" s="308" t="str">
        <f>IFERROR(__xludf.DUMMYFUNCTION("""COMPUTED_VALUE"""),"P")</f>
        <v>P</v>
      </c>
      <c r="F5235" s="312" t="s">
        <v>37</v>
      </c>
      <c r="G5235" s="308"/>
      <c r="H5235" s="308" t="s">
        <v>21061</v>
      </c>
      <c r="I5235" s="310">
        <v>43178.0</v>
      </c>
      <c r="J5235" s="319">
        <f>IFERROR(__xludf.DUMMYFUNCTION("SPLIT(I5235,""/"")"),19.0)</f>
        <v>19</v>
      </c>
      <c r="K5235" s="308">
        <f>IFERROR(__xludf.DUMMYFUNCTION("""COMPUTED_VALUE"""),3.0)</f>
        <v>3</v>
      </c>
      <c r="L5235" s="308">
        <f>IFERROR(__xludf.DUMMYFUNCTION("""COMPUTED_VALUE"""),2018.0)</f>
        <v>2018</v>
      </c>
      <c r="M5235" s="308" t="s">
        <v>21062</v>
      </c>
      <c r="N5235" s="308"/>
      <c r="O5235" s="308"/>
      <c r="P5235" s="308" t="s">
        <v>38263</v>
      </c>
      <c r="Q5235" s="308" t="s">
        <v>38262</v>
      </c>
      <c r="R5235" s="308" t="s">
        <v>2743</v>
      </c>
      <c r="S5235" s="308" t="s">
        <v>81</v>
      </c>
      <c r="T5235" s="308" t="s">
        <v>75</v>
      </c>
      <c r="U5235" s="308" t="s">
        <v>143</v>
      </c>
      <c r="V5235" s="308"/>
    </row>
    <row r="5236">
      <c r="A5236" s="308">
        <v>5235.0</v>
      </c>
      <c r="B5236" s="308"/>
      <c r="C5236" s="308" t="s">
        <v>21064</v>
      </c>
      <c r="D5236" s="308">
        <f>IFERROR(__xludf.DUMMYFUNCTION("SPLIT(C5236,""-"")"),5256.0)</f>
        <v>5256</v>
      </c>
      <c r="E5236" s="308" t="str">
        <f>IFERROR(__xludf.DUMMYFUNCTION("""COMPUTED_VALUE"""),"F")</f>
        <v>F</v>
      </c>
      <c r="F5236" s="309" t="s">
        <v>34</v>
      </c>
      <c r="G5236" s="308"/>
      <c r="H5236" s="308" t="s">
        <v>21065</v>
      </c>
      <c r="I5236" s="310">
        <v>43191.0</v>
      </c>
      <c r="J5236" s="319">
        <f>IFERROR(__xludf.DUMMYFUNCTION("SPLIT(I5236,""/"")"),1.0)</f>
        <v>1</v>
      </c>
      <c r="K5236" s="308">
        <f>IFERROR(__xludf.DUMMYFUNCTION("""COMPUTED_VALUE"""),4.0)</f>
        <v>4</v>
      </c>
      <c r="L5236" s="308">
        <f>IFERROR(__xludf.DUMMYFUNCTION("""COMPUTED_VALUE"""),2018.0)</f>
        <v>2018</v>
      </c>
      <c r="M5236" s="308" t="s">
        <v>21066</v>
      </c>
      <c r="N5236" s="308"/>
      <c r="O5236" s="308"/>
      <c r="P5236" s="308" t="s">
        <v>38264</v>
      </c>
      <c r="Q5236" s="308" t="s">
        <v>38262</v>
      </c>
      <c r="R5236" s="308" t="s">
        <v>2743</v>
      </c>
      <c r="S5236" s="308" t="s">
        <v>81</v>
      </c>
      <c r="T5236" s="308" t="s">
        <v>73</v>
      </c>
      <c r="U5236" s="308" t="s">
        <v>195</v>
      </c>
      <c r="V5236" s="308"/>
    </row>
    <row r="5237">
      <c r="A5237" s="308">
        <v>5236.0</v>
      </c>
      <c r="B5237" s="308"/>
      <c r="C5237" s="308" t="s">
        <v>21068</v>
      </c>
      <c r="D5237" s="308">
        <f>IFERROR(__xludf.DUMMYFUNCTION("SPLIT(C5237,""-"")"),5257.0)</f>
        <v>5257</v>
      </c>
      <c r="E5237" s="308" t="str">
        <f>IFERROR(__xludf.DUMMYFUNCTION("""COMPUTED_VALUE"""),"A")</f>
        <v>A</v>
      </c>
      <c r="F5237" s="309" t="s">
        <v>23</v>
      </c>
      <c r="G5237" s="308"/>
      <c r="H5237" s="308" t="s">
        <v>21069</v>
      </c>
      <c r="I5237" s="310">
        <v>43131.0</v>
      </c>
      <c r="J5237" s="319">
        <f>IFERROR(__xludf.DUMMYFUNCTION("SPLIT(I5237,""/"")"),31.0)</f>
        <v>31</v>
      </c>
      <c r="K5237" s="308">
        <f>IFERROR(__xludf.DUMMYFUNCTION("""COMPUTED_VALUE"""),1.0)</f>
        <v>1</v>
      </c>
      <c r="L5237" s="308">
        <f>IFERROR(__xludf.DUMMYFUNCTION("""COMPUTED_VALUE"""),2018.0)</f>
        <v>2018</v>
      </c>
      <c r="M5237" s="308" t="s">
        <v>21070</v>
      </c>
      <c r="N5237" s="308"/>
      <c r="O5237" s="308"/>
      <c r="P5237" s="308" t="s">
        <v>21071</v>
      </c>
      <c r="Q5237" s="308" t="s">
        <v>38265</v>
      </c>
      <c r="R5237" s="308" t="s">
        <v>2743</v>
      </c>
      <c r="S5237" s="308" t="s">
        <v>81</v>
      </c>
      <c r="T5237" s="311" t="s">
        <v>77</v>
      </c>
      <c r="U5237" s="308" t="s">
        <v>403</v>
      </c>
      <c r="V5237" s="308"/>
    </row>
    <row r="5238">
      <c r="A5238" s="308">
        <v>5237.0</v>
      </c>
      <c r="B5238" s="308"/>
      <c r="C5238" s="308" t="s">
        <v>21072</v>
      </c>
      <c r="D5238" s="308">
        <f>IFERROR(__xludf.DUMMYFUNCTION("SPLIT(C5238,""-"")"),5258.0)</f>
        <v>5258</v>
      </c>
      <c r="E5238" s="308" t="str">
        <f>IFERROR(__xludf.DUMMYFUNCTION("""COMPUTED_VALUE"""),"A")</f>
        <v>A</v>
      </c>
      <c r="F5238" s="309" t="s">
        <v>23</v>
      </c>
      <c r="G5238" s="308"/>
      <c r="H5238" s="308" t="s">
        <v>21073</v>
      </c>
      <c r="I5238" s="310">
        <v>43131.0</v>
      </c>
      <c r="J5238" s="319">
        <f>IFERROR(__xludf.DUMMYFUNCTION("SPLIT(I5238,""/"")"),31.0)</f>
        <v>31</v>
      </c>
      <c r="K5238" s="308">
        <f>IFERROR(__xludf.DUMMYFUNCTION("""COMPUTED_VALUE"""),1.0)</f>
        <v>1</v>
      </c>
      <c r="L5238" s="308">
        <f>IFERROR(__xludf.DUMMYFUNCTION("""COMPUTED_VALUE"""),2018.0)</f>
        <v>2018</v>
      </c>
      <c r="M5238" s="308" t="s">
        <v>21070</v>
      </c>
      <c r="N5238" s="308"/>
      <c r="O5238" s="308"/>
      <c r="P5238" s="308" t="s">
        <v>21071</v>
      </c>
      <c r="Q5238" s="308" t="s">
        <v>38265</v>
      </c>
      <c r="R5238" s="308" t="s">
        <v>2743</v>
      </c>
      <c r="S5238" s="308" t="s">
        <v>81</v>
      </c>
      <c r="T5238" s="311" t="s">
        <v>77</v>
      </c>
      <c r="U5238" s="308" t="s">
        <v>403</v>
      </c>
      <c r="V5238" s="308"/>
    </row>
    <row r="5239">
      <c r="A5239" s="308">
        <v>5238.0</v>
      </c>
      <c r="B5239" s="308"/>
      <c r="C5239" s="308" t="s">
        <v>21074</v>
      </c>
      <c r="D5239" s="308">
        <f>IFERROR(__xludf.DUMMYFUNCTION("SPLIT(C5239,""-"")"),5259.0)</f>
        <v>5259</v>
      </c>
      <c r="E5239" s="308" t="str">
        <f>IFERROR(__xludf.DUMMYFUNCTION("""COMPUTED_VALUE"""),"A")</f>
        <v>A</v>
      </c>
      <c r="F5239" s="309" t="s">
        <v>23</v>
      </c>
      <c r="G5239" s="308"/>
      <c r="H5239" s="308" t="s">
        <v>21075</v>
      </c>
      <c r="I5239" s="310">
        <v>43131.0</v>
      </c>
      <c r="J5239" s="319">
        <f>IFERROR(__xludf.DUMMYFUNCTION("SPLIT(I5239,""/"")"),31.0)</f>
        <v>31</v>
      </c>
      <c r="K5239" s="308">
        <f>IFERROR(__xludf.DUMMYFUNCTION("""COMPUTED_VALUE"""),1.0)</f>
        <v>1</v>
      </c>
      <c r="L5239" s="308">
        <f>IFERROR(__xludf.DUMMYFUNCTION("""COMPUTED_VALUE"""),2018.0)</f>
        <v>2018</v>
      </c>
      <c r="M5239" s="308" t="s">
        <v>21070</v>
      </c>
      <c r="N5239" s="308"/>
      <c r="O5239" s="308"/>
      <c r="P5239" s="308" t="s">
        <v>21071</v>
      </c>
      <c r="Q5239" s="308" t="s">
        <v>38265</v>
      </c>
      <c r="R5239" s="308" t="s">
        <v>2743</v>
      </c>
      <c r="S5239" s="308" t="s">
        <v>81</v>
      </c>
      <c r="T5239" s="311" t="s">
        <v>77</v>
      </c>
      <c r="U5239" s="308" t="s">
        <v>403</v>
      </c>
      <c r="V5239" s="308"/>
    </row>
    <row r="5240">
      <c r="A5240" s="308">
        <v>5239.0</v>
      </c>
      <c r="B5240" s="308"/>
      <c r="C5240" s="308" t="s">
        <v>21076</v>
      </c>
      <c r="D5240" s="308">
        <f>IFERROR(__xludf.DUMMYFUNCTION("SPLIT(C5240,""-"")"),5260.0)</f>
        <v>5260</v>
      </c>
      <c r="E5240" s="308" t="str">
        <f>IFERROR(__xludf.DUMMYFUNCTION("""COMPUTED_VALUE"""),"A")</f>
        <v>A</v>
      </c>
      <c r="F5240" s="309" t="s">
        <v>23</v>
      </c>
      <c r="G5240" s="308"/>
      <c r="H5240" s="308" t="s">
        <v>21077</v>
      </c>
      <c r="I5240" s="310">
        <v>43131.0</v>
      </c>
      <c r="J5240" s="319">
        <f>IFERROR(__xludf.DUMMYFUNCTION("SPLIT(I5240,""/"")"),31.0)</f>
        <v>31</v>
      </c>
      <c r="K5240" s="308">
        <f>IFERROR(__xludf.DUMMYFUNCTION("""COMPUTED_VALUE"""),1.0)</f>
        <v>1</v>
      </c>
      <c r="L5240" s="308">
        <f>IFERROR(__xludf.DUMMYFUNCTION("""COMPUTED_VALUE"""),2018.0)</f>
        <v>2018</v>
      </c>
      <c r="M5240" s="308" t="s">
        <v>21070</v>
      </c>
      <c r="N5240" s="308"/>
      <c r="O5240" s="308"/>
      <c r="P5240" s="308" t="s">
        <v>21071</v>
      </c>
      <c r="Q5240" s="308" t="s">
        <v>38265</v>
      </c>
      <c r="R5240" s="308" t="s">
        <v>2743</v>
      </c>
      <c r="S5240" s="308" t="s">
        <v>81</v>
      </c>
      <c r="T5240" s="311" t="s">
        <v>77</v>
      </c>
      <c r="U5240" s="308" t="s">
        <v>403</v>
      </c>
      <c r="V5240" s="308"/>
    </row>
    <row r="5241">
      <c r="A5241" s="308">
        <v>5240.0</v>
      </c>
      <c r="B5241" s="308"/>
      <c r="C5241" s="308" t="s">
        <v>21078</v>
      </c>
      <c r="D5241" s="308">
        <f>IFERROR(__xludf.DUMMYFUNCTION("SPLIT(C5241,""-"")"),5261.0)</f>
        <v>5261</v>
      </c>
      <c r="E5241" s="308" t="str">
        <f>IFERROR(__xludf.DUMMYFUNCTION("""COMPUTED_VALUE"""),"K")</f>
        <v>K</v>
      </c>
      <c r="F5241" s="309" t="s">
        <v>34</v>
      </c>
      <c r="G5241" s="308"/>
      <c r="H5241" s="308" t="s">
        <v>21079</v>
      </c>
      <c r="I5241" s="310">
        <v>42445.0</v>
      </c>
      <c r="J5241" s="319">
        <f>IFERROR(__xludf.DUMMYFUNCTION("SPLIT(I5241,""/"")"),16.0)</f>
        <v>16</v>
      </c>
      <c r="K5241" s="308">
        <f>IFERROR(__xludf.DUMMYFUNCTION("""COMPUTED_VALUE"""),3.0)</f>
        <v>3</v>
      </c>
      <c r="L5241" s="308">
        <f>IFERROR(__xludf.DUMMYFUNCTION("""COMPUTED_VALUE"""),2016.0)</f>
        <v>2016</v>
      </c>
      <c r="M5241" s="308" t="s">
        <v>21080</v>
      </c>
      <c r="N5241" s="308"/>
      <c r="O5241" s="308"/>
      <c r="P5241" s="308" t="s">
        <v>5679</v>
      </c>
      <c r="Q5241" s="308" t="s">
        <v>38265</v>
      </c>
      <c r="R5241" s="308" t="s">
        <v>2743</v>
      </c>
      <c r="S5241" s="315" t="s">
        <v>100</v>
      </c>
      <c r="T5241" s="311" t="s">
        <v>34208</v>
      </c>
      <c r="U5241" s="308" t="s">
        <v>125</v>
      </c>
      <c r="V5241" s="308"/>
    </row>
    <row r="5242">
      <c r="A5242" s="308">
        <v>5241.0</v>
      </c>
      <c r="B5242" s="308"/>
      <c r="C5242" s="308" t="s">
        <v>21081</v>
      </c>
      <c r="D5242" s="308">
        <f>IFERROR(__xludf.DUMMYFUNCTION("SPLIT(C5242,""-"")"),5262.0)</f>
        <v>5262</v>
      </c>
      <c r="E5242" s="308" t="str">
        <f>IFERROR(__xludf.DUMMYFUNCTION("""COMPUTED_VALUE"""),"K")</f>
        <v>K</v>
      </c>
      <c r="F5242" s="309" t="s">
        <v>34</v>
      </c>
      <c r="G5242" s="308"/>
      <c r="H5242" s="308" t="s">
        <v>21082</v>
      </c>
      <c r="I5242" s="310">
        <v>40381.0</v>
      </c>
      <c r="J5242" s="319">
        <f>IFERROR(__xludf.DUMMYFUNCTION("SPLIT(I5242,""/"")"),22.0)</f>
        <v>22</v>
      </c>
      <c r="K5242" s="308">
        <f>IFERROR(__xludf.DUMMYFUNCTION("""COMPUTED_VALUE"""),7.0)</f>
        <v>7</v>
      </c>
      <c r="L5242" s="308">
        <f>IFERROR(__xludf.DUMMYFUNCTION("""COMPUTED_VALUE"""),2010.0)</f>
        <v>2010</v>
      </c>
      <c r="M5242" s="308" t="s">
        <v>21083</v>
      </c>
      <c r="N5242" s="308"/>
      <c r="O5242" s="308"/>
      <c r="P5242" s="308" t="s">
        <v>5679</v>
      </c>
      <c r="Q5242" s="308" t="s">
        <v>38265</v>
      </c>
      <c r="R5242" s="308" t="s">
        <v>2743</v>
      </c>
      <c r="S5242" s="315" t="s">
        <v>100</v>
      </c>
      <c r="T5242" s="311" t="s">
        <v>34208</v>
      </c>
      <c r="U5242" s="308" t="s">
        <v>125</v>
      </c>
      <c r="V5242" s="308"/>
    </row>
    <row r="5243">
      <c r="A5243" s="308">
        <v>5242.0</v>
      </c>
      <c r="B5243" s="308"/>
      <c r="C5243" s="308" t="s">
        <v>21084</v>
      </c>
      <c r="D5243" s="308">
        <f>IFERROR(__xludf.DUMMYFUNCTION("SPLIT(C5243,""-"")"),5263.0)</f>
        <v>5263</v>
      </c>
      <c r="E5243" s="308" t="str">
        <f>IFERROR(__xludf.DUMMYFUNCTION("""COMPUTED_VALUE"""),"K")</f>
        <v>K</v>
      </c>
      <c r="F5243" s="309" t="s">
        <v>34</v>
      </c>
      <c r="G5243" s="308"/>
      <c r="H5243" s="308" t="s">
        <v>21085</v>
      </c>
      <c r="I5243" s="310">
        <v>40435.0</v>
      </c>
      <c r="J5243" s="319">
        <f>IFERROR(__xludf.DUMMYFUNCTION("SPLIT(I5243,""/"")"),14.0)</f>
        <v>14</v>
      </c>
      <c r="K5243" s="308">
        <f>IFERROR(__xludf.DUMMYFUNCTION("""COMPUTED_VALUE"""),9.0)</f>
        <v>9</v>
      </c>
      <c r="L5243" s="308">
        <f>IFERROR(__xludf.DUMMYFUNCTION("""COMPUTED_VALUE"""),2010.0)</f>
        <v>2010</v>
      </c>
      <c r="M5243" s="308" t="s">
        <v>21086</v>
      </c>
      <c r="N5243" s="308"/>
      <c r="O5243" s="308" t="s">
        <v>21087</v>
      </c>
      <c r="P5243" s="308" t="s">
        <v>21088</v>
      </c>
      <c r="Q5243" s="308" t="s">
        <v>38265</v>
      </c>
      <c r="R5243" s="308" t="s">
        <v>2743</v>
      </c>
      <c r="S5243" s="308" t="s">
        <v>81</v>
      </c>
      <c r="T5243" s="308" t="s">
        <v>34264</v>
      </c>
      <c r="U5243" s="308" t="s">
        <v>530</v>
      </c>
      <c r="V5243" s="308"/>
    </row>
    <row r="5244">
      <c r="A5244" s="308">
        <v>5243.0</v>
      </c>
      <c r="B5244" s="308"/>
      <c r="C5244" s="308" t="s">
        <v>21089</v>
      </c>
      <c r="D5244" s="308">
        <f>IFERROR(__xludf.DUMMYFUNCTION("SPLIT(C5244,""-"")"),5264.0)</f>
        <v>5264</v>
      </c>
      <c r="E5244" s="308" t="str">
        <f>IFERROR(__xludf.DUMMYFUNCTION("""COMPUTED_VALUE"""),"P")</f>
        <v>P</v>
      </c>
      <c r="F5244" s="312" t="s">
        <v>37</v>
      </c>
      <c r="G5244" s="308"/>
      <c r="H5244" s="308" t="s">
        <v>21090</v>
      </c>
      <c r="I5244" s="310">
        <v>40953.0</v>
      </c>
      <c r="J5244" s="319">
        <f>IFERROR(__xludf.DUMMYFUNCTION("SPLIT(I5244,""/"")"),14.0)</f>
        <v>14</v>
      </c>
      <c r="K5244" s="308">
        <f>IFERROR(__xludf.DUMMYFUNCTION("""COMPUTED_VALUE"""),2.0)</f>
        <v>2</v>
      </c>
      <c r="L5244" s="308">
        <f>IFERROR(__xludf.DUMMYFUNCTION("""COMPUTED_VALUE"""),2012.0)</f>
        <v>2012</v>
      </c>
      <c r="M5244" s="308" t="s">
        <v>21091</v>
      </c>
      <c r="N5244" s="308"/>
      <c r="O5244" s="308"/>
      <c r="P5244" s="308" t="s">
        <v>7523</v>
      </c>
      <c r="Q5244" s="308" t="s">
        <v>38265</v>
      </c>
      <c r="R5244" s="308" t="s">
        <v>2743</v>
      </c>
      <c r="S5244" s="315" t="s">
        <v>100</v>
      </c>
      <c r="T5244" s="311" t="s">
        <v>34208</v>
      </c>
      <c r="U5244" s="308" t="s">
        <v>21052</v>
      </c>
      <c r="V5244" s="308"/>
    </row>
    <row r="5245">
      <c r="A5245" s="308">
        <v>5244.0</v>
      </c>
      <c r="B5245" s="308"/>
      <c r="C5245" s="308" t="s">
        <v>21092</v>
      </c>
      <c r="D5245" s="308">
        <f>IFERROR(__xludf.DUMMYFUNCTION("SPLIT(C5245,""-"")"),5265.0)</f>
        <v>5265</v>
      </c>
      <c r="E5245" s="308" t="str">
        <f>IFERROR(__xludf.DUMMYFUNCTION("""COMPUTED_VALUE"""),"I")</f>
        <v>I</v>
      </c>
      <c r="F5245" s="309" t="s">
        <v>31</v>
      </c>
      <c r="G5245" s="308"/>
      <c r="H5245" s="308" t="s">
        <v>21093</v>
      </c>
      <c r="I5245" s="310">
        <v>42863.0</v>
      </c>
      <c r="J5245" s="319">
        <f>IFERROR(__xludf.DUMMYFUNCTION("SPLIT(I5245,""/"")"),8.0)</f>
        <v>8</v>
      </c>
      <c r="K5245" s="308">
        <f>IFERROR(__xludf.DUMMYFUNCTION("""COMPUTED_VALUE"""),5.0)</f>
        <v>5</v>
      </c>
      <c r="L5245" s="308">
        <f>IFERROR(__xludf.DUMMYFUNCTION("""COMPUTED_VALUE"""),2017.0)</f>
        <v>2017</v>
      </c>
      <c r="M5245" s="308" t="s">
        <v>21094</v>
      </c>
      <c r="N5245" s="308"/>
      <c r="O5245" s="308" t="s">
        <v>21095</v>
      </c>
      <c r="P5245" s="308" t="s">
        <v>38266</v>
      </c>
      <c r="Q5245" s="308" t="s">
        <v>38265</v>
      </c>
      <c r="R5245" s="308" t="s">
        <v>2743</v>
      </c>
      <c r="S5245" s="308" t="s">
        <v>49</v>
      </c>
      <c r="T5245" s="311" t="s">
        <v>51</v>
      </c>
      <c r="U5245" s="308" t="s">
        <v>31</v>
      </c>
      <c r="V5245" s="308"/>
    </row>
    <row r="5246">
      <c r="A5246" s="308">
        <v>5245.0</v>
      </c>
      <c r="B5246" s="308"/>
      <c r="C5246" s="308" t="s">
        <v>21097</v>
      </c>
      <c r="D5246" s="308">
        <f>IFERROR(__xludf.DUMMYFUNCTION("SPLIT(C5246,""-"")"),5266.0)</f>
        <v>5266</v>
      </c>
      <c r="E5246" s="308" t="str">
        <f>IFERROR(__xludf.DUMMYFUNCTION("""COMPUTED_VALUE"""),"K")</f>
        <v>K</v>
      </c>
      <c r="F5246" s="309" t="s">
        <v>34</v>
      </c>
      <c r="G5246" s="308"/>
      <c r="H5246" s="308" t="s">
        <v>38267</v>
      </c>
      <c r="I5246" s="310">
        <v>40969.0</v>
      </c>
      <c r="J5246" s="319">
        <f>IFERROR(__xludf.DUMMYFUNCTION("SPLIT(I5246,""/"")"),1.0)</f>
        <v>1</v>
      </c>
      <c r="K5246" s="308">
        <f>IFERROR(__xludf.DUMMYFUNCTION("""COMPUTED_VALUE"""),3.0)</f>
        <v>3</v>
      </c>
      <c r="L5246" s="308">
        <f>IFERROR(__xludf.DUMMYFUNCTION("""COMPUTED_VALUE"""),2012.0)</f>
        <v>2012</v>
      </c>
      <c r="M5246" s="308" t="s">
        <v>21099</v>
      </c>
      <c r="N5246" s="308"/>
      <c r="O5246" s="308" t="s">
        <v>21100</v>
      </c>
      <c r="P5246" s="308" t="s">
        <v>5679</v>
      </c>
      <c r="Q5246" s="308" t="s">
        <v>38268</v>
      </c>
      <c r="R5246" s="308" t="s">
        <v>2743</v>
      </c>
      <c r="S5246" s="315" t="s">
        <v>100</v>
      </c>
      <c r="T5246" s="311" t="s">
        <v>34208</v>
      </c>
      <c r="U5246" s="308" t="s">
        <v>2466</v>
      </c>
      <c r="V5246" s="308"/>
    </row>
    <row r="5247">
      <c r="A5247" s="308">
        <v>5246.0</v>
      </c>
      <c r="B5247" s="308"/>
      <c r="C5247" s="308" t="s">
        <v>21101</v>
      </c>
      <c r="D5247" s="308">
        <f>IFERROR(__xludf.DUMMYFUNCTION("SPLIT(C5247,""-"")"),5267.0)</f>
        <v>5267</v>
      </c>
      <c r="E5247" s="308" t="str">
        <f>IFERROR(__xludf.DUMMYFUNCTION("""COMPUTED_VALUE"""),"K")</f>
        <v>K</v>
      </c>
      <c r="F5247" s="309" t="s">
        <v>34</v>
      </c>
      <c r="G5247" s="308"/>
      <c r="H5247" s="308" t="s">
        <v>21102</v>
      </c>
      <c r="I5247" s="310">
        <v>41091.0</v>
      </c>
      <c r="J5247" s="319">
        <f>IFERROR(__xludf.DUMMYFUNCTION("SPLIT(I5247,""/"")"),1.0)</f>
        <v>1</v>
      </c>
      <c r="K5247" s="308">
        <f>IFERROR(__xludf.DUMMYFUNCTION("""COMPUTED_VALUE"""),7.0)</f>
        <v>7</v>
      </c>
      <c r="L5247" s="308">
        <f>IFERROR(__xludf.DUMMYFUNCTION("""COMPUTED_VALUE"""),2012.0)</f>
        <v>2012</v>
      </c>
      <c r="M5247" s="308" t="s">
        <v>21103</v>
      </c>
      <c r="N5247" s="308"/>
      <c r="O5247" s="308"/>
      <c r="P5247" s="308" t="s">
        <v>38269</v>
      </c>
      <c r="Q5247" s="308" t="s">
        <v>38270</v>
      </c>
      <c r="R5247" s="308" t="s">
        <v>2743</v>
      </c>
      <c r="S5247" s="308" t="s">
        <v>81</v>
      </c>
      <c r="T5247" s="308" t="s">
        <v>34264</v>
      </c>
      <c r="U5247" s="308" t="s">
        <v>872</v>
      </c>
      <c r="V5247" s="308"/>
    </row>
    <row r="5248">
      <c r="A5248" s="308">
        <v>5247.0</v>
      </c>
      <c r="B5248" s="308"/>
      <c r="C5248" s="308" t="s">
        <v>21105</v>
      </c>
      <c r="D5248" s="308">
        <f>IFERROR(__xludf.DUMMYFUNCTION("SPLIT(C5248,""-"")"),5268.0)</f>
        <v>5268</v>
      </c>
      <c r="E5248" s="308" t="str">
        <f>IFERROR(__xludf.DUMMYFUNCTION("""COMPUTED_VALUE"""),"K")</f>
        <v>K</v>
      </c>
      <c r="F5248" s="309" t="s">
        <v>34</v>
      </c>
      <c r="G5248" s="308"/>
      <c r="H5248" s="308" t="s">
        <v>21106</v>
      </c>
      <c r="I5248" s="310">
        <v>40360.0</v>
      </c>
      <c r="J5248" s="319">
        <f>IFERROR(__xludf.DUMMYFUNCTION("SPLIT(I5248,""/"")"),1.0)</f>
        <v>1</v>
      </c>
      <c r="K5248" s="308">
        <f>IFERROR(__xludf.DUMMYFUNCTION("""COMPUTED_VALUE"""),7.0)</f>
        <v>7</v>
      </c>
      <c r="L5248" s="308">
        <f>IFERROR(__xludf.DUMMYFUNCTION("""COMPUTED_VALUE"""),2010.0)</f>
        <v>2010</v>
      </c>
      <c r="M5248" s="308" t="s">
        <v>21107</v>
      </c>
      <c r="N5248" s="308"/>
      <c r="O5248" s="308" t="s">
        <v>21108</v>
      </c>
      <c r="P5248" s="308" t="s">
        <v>21109</v>
      </c>
      <c r="Q5248" s="308" t="s">
        <v>38270</v>
      </c>
      <c r="R5248" s="308" t="s">
        <v>2743</v>
      </c>
      <c r="S5248" s="308" t="s">
        <v>81</v>
      </c>
      <c r="T5248" s="308" t="s">
        <v>73</v>
      </c>
      <c r="U5248" s="308" t="s">
        <v>530</v>
      </c>
      <c r="V5248" s="308"/>
    </row>
    <row r="5249">
      <c r="A5249" s="308">
        <v>5248.0</v>
      </c>
      <c r="B5249" s="308"/>
      <c r="C5249" s="308" t="s">
        <v>21110</v>
      </c>
      <c r="D5249" s="308">
        <f>IFERROR(__xludf.DUMMYFUNCTION("SPLIT(C5249,""-"")"),5269.0)</f>
        <v>5269</v>
      </c>
      <c r="E5249" s="308" t="str">
        <f>IFERROR(__xludf.DUMMYFUNCTION("""COMPUTED_VALUE"""),"K")</f>
        <v>K</v>
      </c>
      <c r="F5249" s="309" t="s">
        <v>34</v>
      </c>
      <c r="G5249" s="308"/>
      <c r="H5249" s="308" t="s">
        <v>21111</v>
      </c>
      <c r="I5249" s="310">
        <v>41821.0</v>
      </c>
      <c r="J5249" s="319">
        <f>IFERROR(__xludf.DUMMYFUNCTION("SPLIT(I5249,""/"")"),1.0)</f>
        <v>1</v>
      </c>
      <c r="K5249" s="308">
        <f>IFERROR(__xludf.DUMMYFUNCTION("""COMPUTED_VALUE"""),7.0)</f>
        <v>7</v>
      </c>
      <c r="L5249" s="308">
        <f>IFERROR(__xludf.DUMMYFUNCTION("""COMPUTED_VALUE"""),2014.0)</f>
        <v>2014</v>
      </c>
      <c r="M5249" s="308" t="s">
        <v>21112</v>
      </c>
      <c r="N5249" s="308" t="s">
        <v>21113</v>
      </c>
      <c r="O5249" s="308" t="s">
        <v>21114</v>
      </c>
      <c r="P5249" s="308" t="s">
        <v>5679</v>
      </c>
      <c r="Q5249" s="308" t="s">
        <v>38270</v>
      </c>
      <c r="R5249" s="308" t="s">
        <v>2743</v>
      </c>
      <c r="S5249" s="315" t="s">
        <v>100</v>
      </c>
      <c r="T5249" s="311" t="s">
        <v>34208</v>
      </c>
      <c r="U5249" s="308" t="s">
        <v>530</v>
      </c>
      <c r="V5249" s="308"/>
    </row>
    <row r="5250">
      <c r="A5250" s="308">
        <v>5249.0</v>
      </c>
      <c r="B5250" s="308"/>
      <c r="C5250" s="308" t="s">
        <v>21115</v>
      </c>
      <c r="D5250" s="308">
        <f>IFERROR(__xludf.DUMMYFUNCTION("SPLIT(C5250,""-"")"),5270.0)</f>
        <v>5270</v>
      </c>
      <c r="E5250" s="308" t="str">
        <f>IFERROR(__xludf.DUMMYFUNCTION("""COMPUTED_VALUE"""),"I")</f>
        <v>I</v>
      </c>
      <c r="F5250" s="309" t="s">
        <v>31</v>
      </c>
      <c r="G5250" s="308"/>
      <c r="H5250" s="308" t="s">
        <v>21116</v>
      </c>
      <c r="I5250" s="310">
        <v>43168.0</v>
      </c>
      <c r="J5250" s="319">
        <f>IFERROR(__xludf.DUMMYFUNCTION("SPLIT(I5250,""/"")"),9.0)</f>
        <v>9</v>
      </c>
      <c r="K5250" s="308">
        <f>IFERROR(__xludf.DUMMYFUNCTION("""COMPUTED_VALUE"""),3.0)</f>
        <v>3</v>
      </c>
      <c r="L5250" s="308">
        <f>IFERROR(__xludf.DUMMYFUNCTION("""COMPUTED_VALUE"""),2018.0)</f>
        <v>2018</v>
      </c>
      <c r="M5250" s="308" t="s">
        <v>21117</v>
      </c>
      <c r="N5250" s="308" t="s">
        <v>21118</v>
      </c>
      <c r="O5250" s="308"/>
      <c r="P5250" s="308" t="s">
        <v>38271</v>
      </c>
      <c r="Q5250" s="308" t="s">
        <v>38270</v>
      </c>
      <c r="R5250" s="308" t="s">
        <v>2743</v>
      </c>
      <c r="S5250" s="308" t="s">
        <v>81</v>
      </c>
      <c r="T5250" s="308" t="s">
        <v>73</v>
      </c>
      <c r="U5250" s="308" t="s">
        <v>31</v>
      </c>
      <c r="V5250" s="308"/>
    </row>
    <row r="5251">
      <c r="A5251" s="308">
        <v>5250.0</v>
      </c>
      <c r="B5251" s="308"/>
      <c r="C5251" s="308" t="s">
        <v>21120</v>
      </c>
      <c r="D5251" s="308">
        <f>IFERROR(__xludf.DUMMYFUNCTION("SPLIT(C5251,""-"")"),5271.0)</f>
        <v>5271</v>
      </c>
      <c r="E5251" s="308" t="str">
        <f>IFERROR(__xludf.DUMMYFUNCTION("""COMPUTED_VALUE"""),"I")</f>
        <v>I</v>
      </c>
      <c r="F5251" s="309" t="s">
        <v>31</v>
      </c>
      <c r="G5251" s="308"/>
      <c r="H5251" s="308" t="s">
        <v>21121</v>
      </c>
      <c r="I5251" s="310">
        <v>43168.0</v>
      </c>
      <c r="J5251" s="319">
        <f>IFERROR(__xludf.DUMMYFUNCTION("SPLIT(I5251,""/"")"),9.0)</f>
        <v>9</v>
      </c>
      <c r="K5251" s="308">
        <f>IFERROR(__xludf.DUMMYFUNCTION("""COMPUTED_VALUE"""),3.0)</f>
        <v>3</v>
      </c>
      <c r="L5251" s="308">
        <f>IFERROR(__xludf.DUMMYFUNCTION("""COMPUTED_VALUE"""),2018.0)</f>
        <v>2018</v>
      </c>
      <c r="M5251" s="308" t="s">
        <v>21117</v>
      </c>
      <c r="N5251" s="308"/>
      <c r="O5251" s="308" t="s">
        <v>21122</v>
      </c>
      <c r="P5251" s="308" t="s">
        <v>38272</v>
      </c>
      <c r="Q5251" s="308" t="s">
        <v>38270</v>
      </c>
      <c r="R5251" s="308" t="s">
        <v>2743</v>
      </c>
      <c r="S5251" s="308" t="s">
        <v>81</v>
      </c>
      <c r="T5251" s="308" t="s">
        <v>75</v>
      </c>
      <c r="U5251" s="308" t="s">
        <v>31</v>
      </c>
      <c r="V5251" s="308"/>
    </row>
    <row r="5252">
      <c r="A5252" s="308">
        <v>5251.0</v>
      </c>
      <c r="B5252" s="308"/>
      <c r="C5252" s="308" t="s">
        <v>21124</v>
      </c>
      <c r="D5252" s="308">
        <f>IFERROR(__xludf.DUMMYFUNCTION("SPLIT(C5252,""-"")"),5272.0)</f>
        <v>5272</v>
      </c>
      <c r="E5252" s="308" t="str">
        <f>IFERROR(__xludf.DUMMYFUNCTION("""COMPUTED_VALUE"""),"K")</f>
        <v>K</v>
      </c>
      <c r="F5252" s="309" t="s">
        <v>34</v>
      </c>
      <c r="G5252" s="308"/>
      <c r="H5252" s="308" t="s">
        <v>21125</v>
      </c>
      <c r="I5252" s="310">
        <v>43284.0</v>
      </c>
      <c r="J5252" s="319">
        <f>IFERROR(__xludf.DUMMYFUNCTION("SPLIT(I5252,""/"")"),3.0)</f>
        <v>3</v>
      </c>
      <c r="K5252" s="308">
        <f>IFERROR(__xludf.DUMMYFUNCTION("""COMPUTED_VALUE"""),7.0)</f>
        <v>7</v>
      </c>
      <c r="L5252" s="308">
        <f>IFERROR(__xludf.DUMMYFUNCTION("""COMPUTED_VALUE"""),2018.0)</f>
        <v>2018</v>
      </c>
      <c r="M5252" s="308" t="s">
        <v>21126</v>
      </c>
      <c r="N5252" s="308"/>
      <c r="O5252" s="308"/>
      <c r="P5252" s="308" t="s">
        <v>21127</v>
      </c>
      <c r="Q5252" s="308" t="s">
        <v>38273</v>
      </c>
      <c r="R5252" s="308" t="s">
        <v>2743</v>
      </c>
      <c r="S5252" s="308" t="s">
        <v>81</v>
      </c>
      <c r="T5252" s="308" t="s">
        <v>75</v>
      </c>
      <c r="U5252" s="308" t="s">
        <v>125</v>
      </c>
      <c r="V5252" s="308"/>
    </row>
    <row r="5253">
      <c r="A5253" s="308">
        <v>5252.0</v>
      </c>
      <c r="B5253" s="308"/>
      <c r="C5253" s="308" t="s">
        <v>21128</v>
      </c>
      <c r="D5253" s="308">
        <f>IFERROR(__xludf.DUMMYFUNCTION("SPLIT(C5253,""-"")"),5273.0)</f>
        <v>5273</v>
      </c>
      <c r="E5253" s="308" t="str">
        <f>IFERROR(__xludf.DUMMYFUNCTION("""COMPUTED_VALUE"""),"K")</f>
        <v>K</v>
      </c>
      <c r="F5253" s="309" t="s">
        <v>34</v>
      </c>
      <c r="G5253" s="308"/>
      <c r="H5253" s="308" t="s">
        <v>21129</v>
      </c>
      <c r="I5253" s="310">
        <v>43284.0</v>
      </c>
      <c r="J5253" s="319">
        <f>IFERROR(__xludf.DUMMYFUNCTION("SPLIT(I5253,""/"")"),3.0)</f>
        <v>3</v>
      </c>
      <c r="K5253" s="308">
        <f>IFERROR(__xludf.DUMMYFUNCTION("""COMPUTED_VALUE"""),7.0)</f>
        <v>7</v>
      </c>
      <c r="L5253" s="308">
        <f>IFERROR(__xludf.DUMMYFUNCTION("""COMPUTED_VALUE"""),2018.0)</f>
        <v>2018</v>
      </c>
      <c r="M5253" s="308" t="s">
        <v>21126</v>
      </c>
      <c r="N5253" s="308"/>
      <c r="O5253" s="308"/>
      <c r="P5253" s="308" t="s">
        <v>21127</v>
      </c>
      <c r="Q5253" s="308" t="s">
        <v>38273</v>
      </c>
      <c r="R5253" s="308" t="s">
        <v>2743</v>
      </c>
      <c r="S5253" s="308" t="s">
        <v>81</v>
      </c>
      <c r="T5253" s="308" t="s">
        <v>75</v>
      </c>
      <c r="U5253" s="308" t="s">
        <v>125</v>
      </c>
      <c r="V5253" s="308"/>
    </row>
    <row r="5254">
      <c r="A5254" s="308">
        <v>5253.0</v>
      </c>
      <c r="B5254" s="308"/>
      <c r="C5254" s="308" t="s">
        <v>21130</v>
      </c>
      <c r="D5254" s="308">
        <f>IFERROR(__xludf.DUMMYFUNCTION("SPLIT(C5254,""-"")"),5274.0)</f>
        <v>5274</v>
      </c>
      <c r="E5254" s="308" t="str">
        <f>IFERROR(__xludf.DUMMYFUNCTION("""COMPUTED_VALUE"""),"K")</f>
        <v>K</v>
      </c>
      <c r="F5254" s="309" t="s">
        <v>34</v>
      </c>
      <c r="G5254" s="308"/>
      <c r="H5254" s="308" t="s">
        <v>21131</v>
      </c>
      <c r="I5254" s="310">
        <v>40725.0</v>
      </c>
      <c r="J5254" s="319">
        <f>IFERROR(__xludf.DUMMYFUNCTION("SPLIT(I5254,""/"")"),1.0)</f>
        <v>1</v>
      </c>
      <c r="K5254" s="308">
        <f>IFERROR(__xludf.DUMMYFUNCTION("""COMPUTED_VALUE"""),7.0)</f>
        <v>7</v>
      </c>
      <c r="L5254" s="308">
        <f>IFERROR(__xludf.DUMMYFUNCTION("""COMPUTED_VALUE"""),2011.0)</f>
        <v>2011</v>
      </c>
      <c r="M5254" s="308" t="s">
        <v>21132</v>
      </c>
      <c r="N5254" s="308"/>
      <c r="O5254" s="308" t="s">
        <v>21133</v>
      </c>
      <c r="P5254" s="308" t="s">
        <v>5679</v>
      </c>
      <c r="Q5254" s="308" t="s">
        <v>38273</v>
      </c>
      <c r="R5254" s="308" t="s">
        <v>2743</v>
      </c>
      <c r="S5254" s="315" t="s">
        <v>100</v>
      </c>
      <c r="T5254" s="311" t="s">
        <v>34208</v>
      </c>
      <c r="U5254" s="308" t="s">
        <v>2466</v>
      </c>
      <c r="V5254" s="308"/>
    </row>
    <row r="5255">
      <c r="A5255" s="308">
        <v>5254.0</v>
      </c>
      <c r="B5255" s="308"/>
      <c r="C5255" s="308" t="s">
        <v>21134</v>
      </c>
      <c r="D5255" s="308">
        <f>IFERROR(__xludf.DUMMYFUNCTION("SPLIT(C5255,""-"")"),5275.0)</f>
        <v>5275</v>
      </c>
      <c r="E5255" s="308" t="str">
        <f>IFERROR(__xludf.DUMMYFUNCTION("""COMPUTED_VALUE"""),"P")</f>
        <v>P</v>
      </c>
      <c r="F5255" s="312" t="s">
        <v>37</v>
      </c>
      <c r="G5255" s="308"/>
      <c r="H5255" s="308" t="s">
        <v>21135</v>
      </c>
      <c r="I5255" s="310">
        <v>42877.0</v>
      </c>
      <c r="J5255" s="319">
        <f>IFERROR(__xludf.DUMMYFUNCTION("SPLIT(I5255,""/"")"),22.0)</f>
        <v>22</v>
      </c>
      <c r="K5255" s="308">
        <f>IFERROR(__xludf.DUMMYFUNCTION("""COMPUTED_VALUE"""),5.0)</f>
        <v>5</v>
      </c>
      <c r="L5255" s="308">
        <f>IFERROR(__xludf.DUMMYFUNCTION("""COMPUTED_VALUE"""),2017.0)</f>
        <v>2017</v>
      </c>
      <c r="M5255" s="308" t="s">
        <v>21136</v>
      </c>
      <c r="N5255" s="308"/>
      <c r="O5255" s="308"/>
      <c r="P5255" s="308" t="s">
        <v>38274</v>
      </c>
      <c r="Q5255" s="308" t="s">
        <v>38273</v>
      </c>
      <c r="R5255" s="308" t="s">
        <v>2743</v>
      </c>
      <c r="S5255" s="308" t="s">
        <v>81</v>
      </c>
      <c r="T5255" s="308" t="s">
        <v>75</v>
      </c>
      <c r="U5255" s="308" t="s">
        <v>149</v>
      </c>
      <c r="V5255" s="308"/>
    </row>
    <row r="5256">
      <c r="A5256" s="308">
        <v>5255.0</v>
      </c>
      <c r="B5256" s="308"/>
      <c r="C5256" s="308" t="s">
        <v>21138</v>
      </c>
      <c r="D5256" s="308">
        <f>IFERROR(__xludf.DUMMYFUNCTION("SPLIT(C5256,""-"")"),5276.0)</f>
        <v>5276</v>
      </c>
      <c r="E5256" s="308" t="str">
        <f>IFERROR(__xludf.DUMMYFUNCTION("""COMPUTED_VALUE"""),"K")</f>
        <v>K</v>
      </c>
      <c r="F5256" s="309" t="s">
        <v>34</v>
      </c>
      <c r="G5256" s="308"/>
      <c r="H5256" s="308" t="s">
        <v>21139</v>
      </c>
      <c r="I5256" s="310">
        <v>41300.0</v>
      </c>
      <c r="J5256" s="319">
        <f>IFERROR(__xludf.DUMMYFUNCTION("SPLIT(I5256,""/"")"),26.0)</f>
        <v>26</v>
      </c>
      <c r="K5256" s="308">
        <f>IFERROR(__xludf.DUMMYFUNCTION("""COMPUTED_VALUE"""),1.0)</f>
        <v>1</v>
      </c>
      <c r="L5256" s="308">
        <f>IFERROR(__xludf.DUMMYFUNCTION("""COMPUTED_VALUE"""),2013.0)</f>
        <v>2013</v>
      </c>
      <c r="M5256" s="308" t="s">
        <v>21140</v>
      </c>
      <c r="N5256" s="308"/>
      <c r="O5256" s="308"/>
      <c r="P5256" s="308" t="s">
        <v>5679</v>
      </c>
      <c r="Q5256" s="308" t="s">
        <v>38275</v>
      </c>
      <c r="R5256" s="308" t="s">
        <v>2743</v>
      </c>
      <c r="S5256" s="315" t="s">
        <v>100</v>
      </c>
      <c r="T5256" s="311" t="s">
        <v>34208</v>
      </c>
      <c r="U5256" s="308" t="s">
        <v>125</v>
      </c>
      <c r="V5256" s="308"/>
    </row>
    <row r="5257">
      <c r="A5257" s="308">
        <v>5256.0</v>
      </c>
      <c r="B5257" s="308"/>
      <c r="C5257" s="308" t="s">
        <v>21141</v>
      </c>
      <c r="D5257" s="308">
        <f>IFERROR(__xludf.DUMMYFUNCTION("SPLIT(C5257,""-"")"),5277.0)</f>
        <v>5277</v>
      </c>
      <c r="E5257" s="308" t="str">
        <f>IFERROR(__xludf.DUMMYFUNCTION("""COMPUTED_VALUE"""),"F")</f>
        <v>F</v>
      </c>
      <c r="F5257" s="309" t="s">
        <v>34</v>
      </c>
      <c r="G5257" s="308"/>
      <c r="H5257" s="308" t="s">
        <v>21142</v>
      </c>
      <c r="I5257" s="314">
        <v>43025.0</v>
      </c>
      <c r="J5257" s="319" t="str">
        <f>IFERROR(__xludf.DUMMYFUNCTION("SPLIT(I5257,""/"")"),"#REF!")</f>
        <v>#REF!</v>
      </c>
      <c r="K5257" s="308"/>
      <c r="L5257" s="308">
        <v>2017.0</v>
      </c>
      <c r="M5257" s="308" t="s">
        <v>21143</v>
      </c>
      <c r="N5257" s="308"/>
      <c r="O5257" s="308"/>
      <c r="P5257" s="308" t="s">
        <v>38276</v>
      </c>
      <c r="Q5257" s="308" t="s">
        <v>38275</v>
      </c>
      <c r="R5257" s="308" t="s">
        <v>2743</v>
      </c>
      <c r="S5257" s="308" t="s">
        <v>81</v>
      </c>
      <c r="T5257" s="308" t="s">
        <v>73</v>
      </c>
      <c r="U5257" s="308" t="s">
        <v>195</v>
      </c>
      <c r="V5257" s="308"/>
    </row>
    <row r="5258">
      <c r="A5258" s="308">
        <v>5257.0</v>
      </c>
      <c r="B5258" s="308"/>
      <c r="C5258" s="308" t="s">
        <v>21145</v>
      </c>
      <c r="D5258" s="308">
        <f>IFERROR(__xludf.DUMMYFUNCTION("SPLIT(C5258,""-"")"),5278.0)</f>
        <v>5278</v>
      </c>
      <c r="E5258" s="308" t="str">
        <f>IFERROR(__xludf.DUMMYFUNCTION("""COMPUTED_VALUE"""),"K")</f>
        <v>K</v>
      </c>
      <c r="F5258" s="309" t="s">
        <v>34</v>
      </c>
      <c r="G5258" s="308"/>
      <c r="H5258" s="308" t="s">
        <v>21146</v>
      </c>
      <c r="I5258" s="310">
        <v>39949.0</v>
      </c>
      <c r="J5258" s="319">
        <f>IFERROR(__xludf.DUMMYFUNCTION("SPLIT(I5258,""/"")"),16.0)</f>
        <v>16</v>
      </c>
      <c r="K5258" s="308">
        <f>IFERROR(__xludf.DUMMYFUNCTION("""COMPUTED_VALUE"""),5.0)</f>
        <v>5</v>
      </c>
      <c r="L5258" s="308">
        <f>IFERROR(__xludf.DUMMYFUNCTION("""COMPUTED_VALUE"""),2009.0)</f>
        <v>2009</v>
      </c>
      <c r="M5258" s="308" t="s">
        <v>21147</v>
      </c>
      <c r="N5258" s="308" t="s">
        <v>21148</v>
      </c>
      <c r="O5258" s="308" t="s">
        <v>21149</v>
      </c>
      <c r="P5258" s="308" t="s">
        <v>5679</v>
      </c>
      <c r="Q5258" s="308" t="s">
        <v>38277</v>
      </c>
      <c r="R5258" s="308" t="s">
        <v>2743</v>
      </c>
      <c r="S5258" s="315" t="s">
        <v>100</v>
      </c>
      <c r="T5258" s="311" t="s">
        <v>34208</v>
      </c>
      <c r="U5258" s="308" t="s">
        <v>2152</v>
      </c>
      <c r="V5258" s="308"/>
    </row>
    <row r="5259">
      <c r="A5259" s="308">
        <v>5258.0</v>
      </c>
      <c r="B5259" s="308"/>
      <c r="C5259" s="308" t="s">
        <v>21150</v>
      </c>
      <c r="D5259" s="308">
        <f>IFERROR(__xludf.DUMMYFUNCTION("SPLIT(C5259,""-"")"),5279.0)</f>
        <v>5279</v>
      </c>
      <c r="E5259" s="308" t="str">
        <f>IFERROR(__xludf.DUMMYFUNCTION("""COMPUTED_VALUE"""),"S")</f>
        <v>S</v>
      </c>
      <c r="F5259" s="312" t="s">
        <v>39</v>
      </c>
      <c r="G5259" s="308"/>
      <c r="H5259" s="308" t="s">
        <v>21151</v>
      </c>
      <c r="I5259" s="310">
        <v>42046.0</v>
      </c>
      <c r="J5259" s="319">
        <f>IFERROR(__xludf.DUMMYFUNCTION("SPLIT(I5259,""/"")"),11.0)</f>
        <v>11</v>
      </c>
      <c r="K5259" s="308">
        <f>IFERROR(__xludf.DUMMYFUNCTION("""COMPUTED_VALUE"""),2.0)</f>
        <v>2</v>
      </c>
      <c r="L5259" s="308">
        <f>IFERROR(__xludf.DUMMYFUNCTION("""COMPUTED_VALUE"""),2015.0)</f>
        <v>2015</v>
      </c>
      <c r="M5259" s="308" t="s">
        <v>21152</v>
      </c>
      <c r="N5259" s="308"/>
      <c r="O5259" s="308"/>
      <c r="P5259" s="308" t="s">
        <v>5653</v>
      </c>
      <c r="Q5259" s="308" t="s">
        <v>38277</v>
      </c>
      <c r="R5259" s="308" t="s">
        <v>2743</v>
      </c>
      <c r="S5259" s="315" t="s">
        <v>100</v>
      </c>
      <c r="T5259" s="311" t="s">
        <v>34208</v>
      </c>
      <c r="U5259" s="308" t="s">
        <v>166</v>
      </c>
      <c r="V5259" s="308"/>
    </row>
    <row r="5260">
      <c r="A5260" s="308">
        <v>5259.0</v>
      </c>
      <c r="B5260" s="308"/>
      <c r="C5260" s="308" t="s">
        <v>21153</v>
      </c>
      <c r="D5260" s="308">
        <f>IFERROR(__xludf.DUMMYFUNCTION("SPLIT(C5260,""-"")"),5280.0)</f>
        <v>5280</v>
      </c>
      <c r="E5260" s="308" t="str">
        <f>IFERROR(__xludf.DUMMYFUNCTION("""COMPUTED_VALUE"""),"K")</f>
        <v>K</v>
      </c>
      <c r="F5260" s="309" t="s">
        <v>34</v>
      </c>
      <c r="G5260" s="308"/>
      <c r="H5260" s="308" t="s">
        <v>21154</v>
      </c>
      <c r="I5260" s="310">
        <v>41276.0</v>
      </c>
      <c r="J5260" s="319">
        <f>IFERROR(__xludf.DUMMYFUNCTION("SPLIT(I5260,""/"")"),2.0)</f>
        <v>2</v>
      </c>
      <c r="K5260" s="308">
        <f>IFERROR(__xludf.DUMMYFUNCTION("""COMPUTED_VALUE"""),1.0)</f>
        <v>1</v>
      </c>
      <c r="L5260" s="308">
        <f>IFERROR(__xludf.DUMMYFUNCTION("""COMPUTED_VALUE"""),2013.0)</f>
        <v>2013</v>
      </c>
      <c r="M5260" s="308" t="s">
        <v>21155</v>
      </c>
      <c r="N5260" s="308" t="s">
        <v>21156</v>
      </c>
      <c r="O5260" s="308"/>
      <c r="P5260" s="308" t="s">
        <v>38278</v>
      </c>
      <c r="Q5260" s="308" t="s">
        <v>38277</v>
      </c>
      <c r="R5260" s="308" t="s">
        <v>2743</v>
      </c>
      <c r="S5260" s="308" t="s">
        <v>49</v>
      </c>
      <c r="T5260" s="308" t="s">
        <v>51</v>
      </c>
      <c r="U5260" s="308" t="s">
        <v>125</v>
      </c>
      <c r="V5260" s="308"/>
    </row>
    <row r="5261">
      <c r="A5261" s="308">
        <v>5260.0</v>
      </c>
      <c r="B5261" s="308"/>
      <c r="C5261" s="308" t="s">
        <v>21158</v>
      </c>
      <c r="D5261" s="308" t="str">
        <f>IFERROR(__xludf.DUMMYFUNCTION("SPLIT(C5261,""-"")"),"#REF!")</f>
        <v>#REF!</v>
      </c>
      <c r="E5261" s="311"/>
      <c r="F5261" s="317" t="s">
        <v>39</v>
      </c>
      <c r="G5261" s="308"/>
      <c r="H5261" s="308" t="s">
        <v>21159</v>
      </c>
      <c r="I5261" s="310">
        <v>40360.0</v>
      </c>
      <c r="J5261" s="319">
        <f>IFERROR(__xludf.DUMMYFUNCTION("SPLIT(I5261,""/"")"),1.0)</f>
        <v>1</v>
      </c>
      <c r="K5261" s="308">
        <f>IFERROR(__xludf.DUMMYFUNCTION("""COMPUTED_VALUE"""),7.0)</f>
        <v>7</v>
      </c>
      <c r="L5261" s="308">
        <f>IFERROR(__xludf.DUMMYFUNCTION("""COMPUTED_VALUE"""),2010.0)</f>
        <v>2010</v>
      </c>
      <c r="M5261" s="308" t="s">
        <v>21160</v>
      </c>
      <c r="N5261" s="308"/>
      <c r="O5261" s="308"/>
      <c r="P5261" s="308" t="s">
        <v>5653</v>
      </c>
      <c r="Q5261" s="308" t="s">
        <v>38279</v>
      </c>
      <c r="R5261" s="308" t="s">
        <v>2743</v>
      </c>
      <c r="S5261" s="315" t="s">
        <v>100</v>
      </c>
      <c r="T5261" s="311" t="s">
        <v>34208</v>
      </c>
      <c r="U5261" s="308" t="s">
        <v>166</v>
      </c>
      <c r="V5261" s="308"/>
    </row>
    <row r="5262">
      <c r="A5262" s="308">
        <v>5261.0</v>
      </c>
      <c r="B5262" s="308"/>
      <c r="C5262" s="308" t="s">
        <v>21161</v>
      </c>
      <c r="D5262" s="308">
        <f>IFERROR(__xludf.DUMMYFUNCTION("SPLIT(C5262,""-"")"),5282.0)</f>
        <v>5282</v>
      </c>
      <c r="E5262" s="308" t="str">
        <f>IFERROR(__xludf.DUMMYFUNCTION("""COMPUTED_VALUE"""),"K")</f>
        <v>K</v>
      </c>
      <c r="F5262" s="309" t="s">
        <v>34</v>
      </c>
      <c r="G5262" s="308"/>
      <c r="H5262" s="308" t="s">
        <v>21162</v>
      </c>
      <c r="I5262" s="310">
        <v>42276.0</v>
      </c>
      <c r="J5262" s="319">
        <f>IFERROR(__xludf.DUMMYFUNCTION("SPLIT(I5262,""/"")"),29.0)</f>
        <v>29</v>
      </c>
      <c r="K5262" s="308">
        <f>IFERROR(__xludf.DUMMYFUNCTION("""COMPUTED_VALUE"""),9.0)</f>
        <v>9</v>
      </c>
      <c r="L5262" s="308">
        <f>IFERROR(__xludf.DUMMYFUNCTION("""COMPUTED_VALUE"""),2015.0)</f>
        <v>2015</v>
      </c>
      <c r="M5262" s="308" t="s">
        <v>21163</v>
      </c>
      <c r="N5262" s="308"/>
      <c r="O5262" s="308"/>
      <c r="P5262" s="308" t="s">
        <v>5679</v>
      </c>
      <c r="Q5262" s="308" t="s">
        <v>38279</v>
      </c>
      <c r="R5262" s="308" t="s">
        <v>2743</v>
      </c>
      <c r="S5262" s="315" t="s">
        <v>100</v>
      </c>
      <c r="T5262" s="311" t="s">
        <v>34208</v>
      </c>
      <c r="U5262" s="308" t="s">
        <v>542</v>
      </c>
      <c r="V5262" s="308"/>
    </row>
    <row r="5263">
      <c r="A5263" s="308">
        <v>5262.0</v>
      </c>
      <c r="B5263" s="308"/>
      <c r="C5263" s="308" t="s">
        <v>21164</v>
      </c>
      <c r="D5263" s="308">
        <f>IFERROR(__xludf.DUMMYFUNCTION("SPLIT(C5263,""-"")"),5283.0)</f>
        <v>5283</v>
      </c>
      <c r="E5263" s="308" t="str">
        <f>IFERROR(__xludf.DUMMYFUNCTION("""COMPUTED_VALUE"""),"P")</f>
        <v>P</v>
      </c>
      <c r="F5263" s="312" t="s">
        <v>37</v>
      </c>
      <c r="G5263" s="308"/>
      <c r="H5263" s="308" t="s">
        <v>21165</v>
      </c>
      <c r="I5263" s="310">
        <v>42810.0</v>
      </c>
      <c r="J5263" s="319">
        <f>IFERROR(__xludf.DUMMYFUNCTION("SPLIT(I5263,""/"")"),16.0)</f>
        <v>16</v>
      </c>
      <c r="K5263" s="308">
        <f>IFERROR(__xludf.DUMMYFUNCTION("""COMPUTED_VALUE"""),3.0)</f>
        <v>3</v>
      </c>
      <c r="L5263" s="308">
        <f>IFERROR(__xludf.DUMMYFUNCTION("""COMPUTED_VALUE"""),2017.0)</f>
        <v>2017</v>
      </c>
      <c r="M5263" s="308" t="s">
        <v>21166</v>
      </c>
      <c r="N5263" s="308" t="s">
        <v>21167</v>
      </c>
      <c r="O5263" s="308"/>
      <c r="P5263" s="308" t="s">
        <v>7523</v>
      </c>
      <c r="Q5263" s="308" t="s">
        <v>38279</v>
      </c>
      <c r="R5263" s="308" t="s">
        <v>16185</v>
      </c>
      <c r="S5263" s="315" t="s">
        <v>100</v>
      </c>
      <c r="T5263" s="311" t="s">
        <v>34208</v>
      </c>
      <c r="U5263" s="308" t="s">
        <v>143</v>
      </c>
      <c r="V5263" s="308"/>
    </row>
    <row r="5264">
      <c r="A5264" s="308">
        <v>5263.0</v>
      </c>
      <c r="B5264" s="308"/>
      <c r="C5264" s="308" t="s">
        <v>21168</v>
      </c>
      <c r="D5264" s="308">
        <f>IFERROR(__xludf.DUMMYFUNCTION("SPLIT(C5264,""-"")"),5284.0)</f>
        <v>5284</v>
      </c>
      <c r="E5264" s="308" t="str">
        <f>IFERROR(__xludf.DUMMYFUNCTION("""COMPUTED_VALUE"""),"K")</f>
        <v>K</v>
      </c>
      <c r="F5264" s="309" t="s">
        <v>34</v>
      </c>
      <c r="G5264" s="308"/>
      <c r="H5264" s="308" t="s">
        <v>21169</v>
      </c>
      <c r="I5264" s="310">
        <v>41827.0</v>
      </c>
      <c r="J5264" s="319">
        <f>IFERROR(__xludf.DUMMYFUNCTION("SPLIT(I5264,""/"")"),7.0)</f>
        <v>7</v>
      </c>
      <c r="K5264" s="308">
        <f>IFERROR(__xludf.DUMMYFUNCTION("""COMPUTED_VALUE"""),7.0)</f>
        <v>7</v>
      </c>
      <c r="L5264" s="308">
        <f>IFERROR(__xludf.DUMMYFUNCTION("""COMPUTED_VALUE"""),2014.0)</f>
        <v>2014</v>
      </c>
      <c r="M5264" s="308" t="s">
        <v>21170</v>
      </c>
      <c r="N5264" s="308"/>
      <c r="O5264" s="308"/>
      <c r="P5264" s="308" t="s">
        <v>5679</v>
      </c>
      <c r="Q5264" s="308" t="s">
        <v>38279</v>
      </c>
      <c r="R5264" s="308" t="s">
        <v>16185</v>
      </c>
      <c r="S5264" s="315" t="s">
        <v>100</v>
      </c>
      <c r="T5264" s="311" t="s">
        <v>34208</v>
      </c>
      <c r="U5264" s="308" t="s">
        <v>125</v>
      </c>
      <c r="V5264" s="308"/>
    </row>
    <row r="5265">
      <c r="A5265" s="308">
        <v>5264.0</v>
      </c>
      <c r="B5265" s="308"/>
      <c r="C5265" s="308" t="s">
        <v>21171</v>
      </c>
      <c r="D5265" s="308">
        <f>IFERROR(__xludf.DUMMYFUNCTION("SPLIT(C5265,""-"")"),5285.0)</f>
        <v>5285</v>
      </c>
      <c r="E5265" s="308" t="str">
        <f>IFERROR(__xludf.DUMMYFUNCTION("""COMPUTED_VALUE"""),"P")</f>
        <v>P</v>
      </c>
      <c r="F5265" s="312" t="s">
        <v>37</v>
      </c>
      <c r="G5265" s="308"/>
      <c r="H5265" s="308" t="s">
        <v>21172</v>
      </c>
      <c r="I5265" s="310">
        <v>41494.0</v>
      </c>
      <c r="J5265" s="319">
        <f>IFERROR(__xludf.DUMMYFUNCTION("SPLIT(I5265,""/"")"),8.0)</f>
        <v>8</v>
      </c>
      <c r="K5265" s="308">
        <f>IFERROR(__xludf.DUMMYFUNCTION("""COMPUTED_VALUE"""),8.0)</f>
        <v>8</v>
      </c>
      <c r="L5265" s="308">
        <f>IFERROR(__xludf.DUMMYFUNCTION("""COMPUTED_VALUE"""),2013.0)</f>
        <v>2013</v>
      </c>
      <c r="M5265" s="308" t="s">
        <v>21173</v>
      </c>
      <c r="N5265" s="308"/>
      <c r="O5265" s="308"/>
      <c r="P5265" s="308" t="s">
        <v>21174</v>
      </c>
      <c r="Q5265" s="308" t="s">
        <v>38279</v>
      </c>
      <c r="R5265" s="308" t="s">
        <v>16185</v>
      </c>
      <c r="S5265" s="308" t="s">
        <v>49</v>
      </c>
      <c r="T5265" s="311" t="s">
        <v>51</v>
      </c>
      <c r="U5265" s="308" t="s">
        <v>143</v>
      </c>
      <c r="V5265" s="308"/>
    </row>
    <row r="5266">
      <c r="A5266" s="308">
        <v>5265.0</v>
      </c>
      <c r="B5266" s="308"/>
      <c r="C5266" s="308" t="s">
        <v>21175</v>
      </c>
      <c r="D5266" s="308">
        <f>IFERROR(__xludf.DUMMYFUNCTION("SPLIT(C5266,""-"")"),5286.0)</f>
        <v>5286</v>
      </c>
      <c r="E5266" s="308" t="str">
        <f>IFERROR(__xludf.DUMMYFUNCTION("""COMPUTED_VALUE"""),"P")</f>
        <v>P</v>
      </c>
      <c r="F5266" s="312" t="s">
        <v>37</v>
      </c>
      <c r="G5266" s="308"/>
      <c r="H5266" s="308" t="s">
        <v>21176</v>
      </c>
      <c r="I5266" s="310">
        <v>43265.0</v>
      </c>
      <c r="J5266" s="319">
        <f>IFERROR(__xludf.DUMMYFUNCTION("SPLIT(I5266,""/"")"),14.0)</f>
        <v>14</v>
      </c>
      <c r="K5266" s="308">
        <f>IFERROR(__xludf.DUMMYFUNCTION("""COMPUTED_VALUE"""),6.0)</f>
        <v>6</v>
      </c>
      <c r="L5266" s="308">
        <f>IFERROR(__xludf.DUMMYFUNCTION("""COMPUTED_VALUE"""),2018.0)</f>
        <v>2018</v>
      </c>
      <c r="M5266" s="308" t="s">
        <v>21177</v>
      </c>
      <c r="N5266" s="308"/>
      <c r="O5266" s="308"/>
      <c r="P5266" s="308" t="s">
        <v>21178</v>
      </c>
      <c r="Q5266" s="308" t="s">
        <v>38279</v>
      </c>
      <c r="R5266" s="308" t="s">
        <v>2743</v>
      </c>
      <c r="S5266" s="308" t="s">
        <v>49</v>
      </c>
      <c r="T5266" s="308" t="s">
        <v>53</v>
      </c>
      <c r="U5266" s="308" t="s">
        <v>143</v>
      </c>
      <c r="V5266" s="308"/>
    </row>
    <row r="5267">
      <c r="A5267" s="308">
        <v>5266.0</v>
      </c>
      <c r="B5267" s="308"/>
      <c r="C5267" s="308" t="s">
        <v>21179</v>
      </c>
      <c r="D5267" s="308">
        <f>IFERROR(__xludf.DUMMYFUNCTION("SPLIT(C5267,""-"")"),5287.0)</f>
        <v>5287</v>
      </c>
      <c r="E5267" s="308" t="str">
        <f>IFERROR(__xludf.DUMMYFUNCTION("""COMPUTED_VALUE"""),"K")</f>
        <v>K</v>
      </c>
      <c r="F5267" s="309" t="s">
        <v>34</v>
      </c>
      <c r="G5267" s="308"/>
      <c r="H5267" s="308" t="s">
        <v>38280</v>
      </c>
      <c r="I5267" s="310">
        <v>40080.0</v>
      </c>
      <c r="J5267" s="319">
        <f>IFERROR(__xludf.DUMMYFUNCTION("SPLIT(I5267,""/"")"),24.0)</f>
        <v>24</v>
      </c>
      <c r="K5267" s="308">
        <f>IFERROR(__xludf.DUMMYFUNCTION("""COMPUTED_VALUE"""),9.0)</f>
        <v>9</v>
      </c>
      <c r="L5267" s="308">
        <f>IFERROR(__xludf.DUMMYFUNCTION("""COMPUTED_VALUE"""),2009.0)</f>
        <v>2009</v>
      </c>
      <c r="M5267" s="308" t="s">
        <v>21181</v>
      </c>
      <c r="N5267" s="308"/>
      <c r="O5267" s="308"/>
      <c r="P5267" s="308" t="s">
        <v>5679</v>
      </c>
      <c r="Q5267" s="308" t="s">
        <v>38279</v>
      </c>
      <c r="R5267" s="308" t="s">
        <v>2743</v>
      </c>
      <c r="S5267" s="315" t="s">
        <v>100</v>
      </c>
      <c r="T5267" s="311" t="s">
        <v>34208</v>
      </c>
      <c r="U5267" s="308" t="s">
        <v>872</v>
      </c>
      <c r="V5267" s="308"/>
    </row>
    <row r="5268">
      <c r="A5268" s="308">
        <v>5267.0</v>
      </c>
      <c r="B5268" s="308"/>
      <c r="C5268" s="308" t="s">
        <v>21182</v>
      </c>
      <c r="D5268" s="308">
        <f>IFERROR(__xludf.DUMMYFUNCTION("SPLIT(C5268,""-"")"),5288.0)</f>
        <v>5288</v>
      </c>
      <c r="E5268" s="308" t="str">
        <f>IFERROR(__xludf.DUMMYFUNCTION("""COMPUTED_VALUE"""),"I")</f>
        <v>I</v>
      </c>
      <c r="F5268" s="309" t="s">
        <v>31</v>
      </c>
      <c r="G5268" s="308"/>
      <c r="H5268" s="308" t="s">
        <v>38281</v>
      </c>
      <c r="I5268" s="310">
        <v>43304.0</v>
      </c>
      <c r="J5268" s="319">
        <f>IFERROR(__xludf.DUMMYFUNCTION("SPLIT(I5268,""/"")"),23.0)</f>
        <v>23</v>
      </c>
      <c r="K5268" s="308">
        <f>IFERROR(__xludf.DUMMYFUNCTION("""COMPUTED_VALUE"""),7.0)</f>
        <v>7</v>
      </c>
      <c r="L5268" s="308">
        <f>IFERROR(__xludf.DUMMYFUNCTION("""COMPUTED_VALUE"""),2018.0)</f>
        <v>2018</v>
      </c>
      <c r="M5268" s="308" t="s">
        <v>21184</v>
      </c>
      <c r="N5268" s="308"/>
      <c r="O5268" s="308"/>
      <c r="P5268" s="308" t="s">
        <v>38282</v>
      </c>
      <c r="Q5268" s="308" t="s">
        <v>38283</v>
      </c>
      <c r="R5268" s="308" t="s">
        <v>2743</v>
      </c>
      <c r="S5268" s="308" t="s">
        <v>81</v>
      </c>
      <c r="T5268" s="311" t="s">
        <v>73</v>
      </c>
      <c r="U5268" s="308" t="s">
        <v>31</v>
      </c>
      <c r="V5268" s="308"/>
    </row>
    <row r="5269">
      <c r="A5269" s="308">
        <v>5268.0</v>
      </c>
      <c r="B5269" s="308"/>
      <c r="C5269" s="308" t="s">
        <v>21186</v>
      </c>
      <c r="D5269" s="308">
        <f>IFERROR(__xludf.DUMMYFUNCTION("SPLIT(C5269,""-"")"),5289.0)</f>
        <v>5289</v>
      </c>
      <c r="E5269" s="308" t="str">
        <f>IFERROR(__xludf.DUMMYFUNCTION("""COMPUTED_VALUE"""),"K")</f>
        <v>K</v>
      </c>
      <c r="F5269" s="309" t="s">
        <v>34</v>
      </c>
      <c r="G5269" s="308"/>
      <c r="H5269" s="308" t="s">
        <v>21187</v>
      </c>
      <c r="I5269" s="310">
        <v>42523.0</v>
      </c>
      <c r="J5269" s="319">
        <f>IFERROR(__xludf.DUMMYFUNCTION("SPLIT(I5269,""/"")"),2.0)</f>
        <v>2</v>
      </c>
      <c r="K5269" s="308">
        <f>IFERROR(__xludf.DUMMYFUNCTION("""COMPUTED_VALUE"""),6.0)</f>
        <v>6</v>
      </c>
      <c r="L5269" s="308">
        <f>IFERROR(__xludf.DUMMYFUNCTION("""COMPUTED_VALUE"""),2016.0)</f>
        <v>2016</v>
      </c>
      <c r="M5269" s="308" t="s">
        <v>21188</v>
      </c>
      <c r="N5269" s="308"/>
      <c r="O5269" s="308"/>
      <c r="P5269" s="308" t="s">
        <v>5679</v>
      </c>
      <c r="Q5269" s="308" t="s">
        <v>38283</v>
      </c>
      <c r="R5269" s="308" t="s">
        <v>2743</v>
      </c>
      <c r="S5269" s="315" t="s">
        <v>100</v>
      </c>
      <c r="T5269" s="311" t="s">
        <v>34208</v>
      </c>
      <c r="U5269" s="308" t="s">
        <v>125</v>
      </c>
      <c r="V5269" s="308"/>
    </row>
    <row r="5270">
      <c r="A5270" s="308">
        <v>5269.0</v>
      </c>
      <c r="B5270" s="308"/>
      <c r="C5270" s="308" t="s">
        <v>21189</v>
      </c>
      <c r="D5270" s="308">
        <f>IFERROR(__xludf.DUMMYFUNCTION("SPLIT(C5270,""-"")"),5290.0)</f>
        <v>5290</v>
      </c>
      <c r="E5270" s="308" t="str">
        <f>IFERROR(__xludf.DUMMYFUNCTION("""COMPUTED_VALUE"""),"K")</f>
        <v>K</v>
      </c>
      <c r="F5270" s="309" t="s">
        <v>34</v>
      </c>
      <c r="G5270" s="308"/>
      <c r="H5270" s="308" t="s">
        <v>21190</v>
      </c>
      <c r="I5270" s="310">
        <v>42376.0</v>
      </c>
      <c r="J5270" s="319">
        <f>IFERROR(__xludf.DUMMYFUNCTION("SPLIT(I5270,""/"")"),7.0)</f>
        <v>7</v>
      </c>
      <c r="K5270" s="308">
        <f>IFERROR(__xludf.DUMMYFUNCTION("""COMPUTED_VALUE"""),1.0)</f>
        <v>1</v>
      </c>
      <c r="L5270" s="308">
        <f>IFERROR(__xludf.DUMMYFUNCTION("""COMPUTED_VALUE"""),2016.0)</f>
        <v>2016</v>
      </c>
      <c r="M5270" s="308" t="s">
        <v>21191</v>
      </c>
      <c r="N5270" s="308"/>
      <c r="O5270" s="308"/>
      <c r="P5270" s="308" t="s">
        <v>136</v>
      </c>
      <c r="Q5270" s="308" t="s">
        <v>38283</v>
      </c>
      <c r="R5270" s="308" t="s">
        <v>2743</v>
      </c>
      <c r="S5270" s="315" t="s">
        <v>100</v>
      </c>
      <c r="T5270" s="308" t="s">
        <v>34208</v>
      </c>
      <c r="U5270" s="308" t="s">
        <v>125</v>
      </c>
      <c r="V5270" s="308" t="s">
        <v>21192</v>
      </c>
    </row>
    <row r="5271">
      <c r="A5271" s="308">
        <v>5270.0</v>
      </c>
      <c r="B5271" s="308"/>
      <c r="C5271" s="308" t="s">
        <v>21193</v>
      </c>
      <c r="D5271" s="308">
        <f>IFERROR(__xludf.DUMMYFUNCTION("SPLIT(C5271,""-"")"),5291.0)</f>
        <v>5291</v>
      </c>
      <c r="E5271" s="308" t="str">
        <f>IFERROR(__xludf.DUMMYFUNCTION("""COMPUTED_VALUE"""),"P")</f>
        <v>P</v>
      </c>
      <c r="F5271" s="312" t="s">
        <v>37</v>
      </c>
      <c r="G5271" s="308"/>
      <c r="H5271" s="308" t="s">
        <v>21194</v>
      </c>
      <c r="I5271" s="310">
        <v>43283.0</v>
      </c>
      <c r="J5271" s="319">
        <f>IFERROR(__xludf.DUMMYFUNCTION("SPLIT(I5271,""/"")"),2.0)</f>
        <v>2</v>
      </c>
      <c r="K5271" s="308">
        <f>IFERROR(__xludf.DUMMYFUNCTION("""COMPUTED_VALUE"""),7.0)</f>
        <v>7</v>
      </c>
      <c r="L5271" s="308">
        <f>IFERROR(__xludf.DUMMYFUNCTION("""COMPUTED_VALUE"""),2018.0)</f>
        <v>2018</v>
      </c>
      <c r="M5271" s="308" t="s">
        <v>21195</v>
      </c>
      <c r="N5271" s="308"/>
      <c r="O5271" s="308" t="s">
        <v>21196</v>
      </c>
      <c r="P5271" s="308" t="s">
        <v>38284</v>
      </c>
      <c r="Q5271" s="308" t="s">
        <v>38285</v>
      </c>
      <c r="R5271" s="308" t="s">
        <v>2743</v>
      </c>
      <c r="S5271" s="308" t="s">
        <v>49</v>
      </c>
      <c r="T5271" s="308" t="s">
        <v>51</v>
      </c>
      <c r="U5271" s="308" t="s">
        <v>149</v>
      </c>
      <c r="V5271" s="308" t="s">
        <v>21198</v>
      </c>
    </row>
    <row r="5272">
      <c r="A5272" s="308">
        <v>5271.0</v>
      </c>
      <c r="B5272" s="308"/>
      <c r="C5272" s="308" t="s">
        <v>21199</v>
      </c>
      <c r="D5272" s="308">
        <f>IFERROR(__xludf.DUMMYFUNCTION("SPLIT(C5272,""-"")"),5292.0)</f>
        <v>5292</v>
      </c>
      <c r="E5272" s="308" t="str">
        <f>IFERROR(__xludf.DUMMYFUNCTION("""COMPUTED_VALUE"""),"K")</f>
        <v>K</v>
      </c>
      <c r="F5272" s="309" t="s">
        <v>34</v>
      </c>
      <c r="G5272" s="308"/>
      <c r="H5272" s="308" t="s">
        <v>21200</v>
      </c>
      <c r="I5272" s="310">
        <v>42635.0</v>
      </c>
      <c r="J5272" s="319">
        <f>IFERROR(__xludf.DUMMYFUNCTION("SPLIT(I5272,""/"")"),22.0)</f>
        <v>22</v>
      </c>
      <c r="K5272" s="308">
        <f>IFERROR(__xludf.DUMMYFUNCTION("""COMPUTED_VALUE"""),9.0)</f>
        <v>9</v>
      </c>
      <c r="L5272" s="308">
        <f>IFERROR(__xludf.DUMMYFUNCTION("""COMPUTED_VALUE"""),2016.0)</f>
        <v>2016</v>
      </c>
      <c r="M5272" s="308" t="s">
        <v>21201</v>
      </c>
      <c r="N5272" s="308"/>
      <c r="O5272" s="308"/>
      <c r="P5272" s="308" t="s">
        <v>21202</v>
      </c>
      <c r="Q5272" s="308" t="s">
        <v>38286</v>
      </c>
      <c r="R5272" s="308" t="s">
        <v>2743</v>
      </c>
      <c r="S5272" s="315" t="s">
        <v>100</v>
      </c>
      <c r="T5272" s="311" t="s">
        <v>34208</v>
      </c>
      <c r="U5272" s="308" t="s">
        <v>125</v>
      </c>
      <c r="V5272" s="308"/>
    </row>
    <row r="5273">
      <c r="A5273" s="308">
        <v>5272.0</v>
      </c>
      <c r="B5273" s="308"/>
      <c r="C5273" s="308" t="s">
        <v>21203</v>
      </c>
      <c r="D5273" s="308">
        <f>IFERROR(__xludf.DUMMYFUNCTION("SPLIT(C5273,""-"")"),5293.0)</f>
        <v>5293</v>
      </c>
      <c r="E5273" s="308" t="str">
        <f>IFERROR(__xludf.DUMMYFUNCTION("""COMPUTED_VALUE"""),"K")</f>
        <v>K</v>
      </c>
      <c r="F5273" s="309" t="s">
        <v>34</v>
      </c>
      <c r="G5273" s="308"/>
      <c r="H5273" s="308" t="s">
        <v>21204</v>
      </c>
      <c r="I5273" s="310">
        <v>42526.0</v>
      </c>
      <c r="J5273" s="319">
        <f>IFERROR(__xludf.DUMMYFUNCTION("SPLIT(I5273,""/"")"),5.0)</f>
        <v>5</v>
      </c>
      <c r="K5273" s="308">
        <f>IFERROR(__xludf.DUMMYFUNCTION("""COMPUTED_VALUE"""),6.0)</f>
        <v>6</v>
      </c>
      <c r="L5273" s="308">
        <f>IFERROR(__xludf.DUMMYFUNCTION("""COMPUTED_VALUE"""),2016.0)</f>
        <v>2016</v>
      </c>
      <c r="M5273" s="308" t="s">
        <v>21205</v>
      </c>
      <c r="N5273" s="308"/>
      <c r="O5273" s="308"/>
      <c r="P5273" s="308" t="s">
        <v>38287</v>
      </c>
      <c r="Q5273" s="308" t="s">
        <v>38288</v>
      </c>
      <c r="R5273" s="308" t="s">
        <v>2743</v>
      </c>
      <c r="S5273" s="308" t="s">
        <v>49</v>
      </c>
      <c r="T5273" s="308" t="s">
        <v>51</v>
      </c>
      <c r="U5273" s="308" t="s">
        <v>542</v>
      </c>
      <c r="V5273" s="308"/>
    </row>
    <row r="5274">
      <c r="A5274" s="308">
        <v>5273.0</v>
      </c>
      <c r="B5274" s="308"/>
      <c r="C5274" s="308" t="s">
        <v>21207</v>
      </c>
      <c r="D5274" s="308">
        <f>IFERROR(__xludf.DUMMYFUNCTION("SPLIT(C5274,""-"")"),5294.0)</f>
        <v>5294</v>
      </c>
      <c r="E5274" s="308" t="str">
        <f>IFERROR(__xludf.DUMMYFUNCTION("""COMPUTED_VALUE"""),"K")</f>
        <v>K</v>
      </c>
      <c r="F5274" s="309" t="s">
        <v>34</v>
      </c>
      <c r="G5274" s="308"/>
      <c r="H5274" s="308" t="s">
        <v>21208</v>
      </c>
      <c r="I5274" s="310">
        <v>39989.0</v>
      </c>
      <c r="J5274" s="319">
        <f>IFERROR(__xludf.DUMMYFUNCTION("SPLIT(I5274,""/"")"),25.0)</f>
        <v>25</v>
      </c>
      <c r="K5274" s="308">
        <f>IFERROR(__xludf.DUMMYFUNCTION("""COMPUTED_VALUE"""),6.0)</f>
        <v>6</v>
      </c>
      <c r="L5274" s="308">
        <f>IFERROR(__xludf.DUMMYFUNCTION("""COMPUTED_VALUE"""),2009.0)</f>
        <v>2009</v>
      </c>
      <c r="M5274" s="308" t="s">
        <v>21209</v>
      </c>
      <c r="N5274" s="308"/>
      <c r="O5274" s="308" t="s">
        <v>38289</v>
      </c>
      <c r="P5274" s="308" t="s">
        <v>5679</v>
      </c>
      <c r="Q5274" s="308" t="s">
        <v>38288</v>
      </c>
      <c r="R5274" s="308" t="s">
        <v>2743</v>
      </c>
      <c r="S5274" s="315" t="s">
        <v>100</v>
      </c>
      <c r="T5274" s="311" t="s">
        <v>34208</v>
      </c>
      <c r="U5274" s="308" t="s">
        <v>201</v>
      </c>
      <c r="V5274" s="308"/>
    </row>
    <row r="5275">
      <c r="A5275" s="308">
        <v>5274.0</v>
      </c>
      <c r="B5275" s="308"/>
      <c r="C5275" s="308" t="s">
        <v>21211</v>
      </c>
      <c r="D5275" s="308">
        <f>IFERROR(__xludf.DUMMYFUNCTION("SPLIT(C5275,""-"")"),5295.0)</f>
        <v>5295</v>
      </c>
      <c r="E5275" s="308" t="str">
        <f>IFERROR(__xludf.DUMMYFUNCTION("""COMPUTED_VALUE"""),"S")</f>
        <v>S</v>
      </c>
      <c r="F5275" s="312" t="s">
        <v>39</v>
      </c>
      <c r="G5275" s="308"/>
      <c r="H5275" s="308" t="s">
        <v>21212</v>
      </c>
      <c r="I5275" s="310">
        <v>43311.0</v>
      </c>
      <c r="J5275" s="319">
        <f>IFERROR(__xludf.DUMMYFUNCTION("SPLIT(I5275,""/"")"),30.0)</f>
        <v>30</v>
      </c>
      <c r="K5275" s="308">
        <f>IFERROR(__xludf.DUMMYFUNCTION("""COMPUTED_VALUE"""),7.0)</f>
        <v>7</v>
      </c>
      <c r="L5275" s="308">
        <f>IFERROR(__xludf.DUMMYFUNCTION("""COMPUTED_VALUE"""),2018.0)</f>
        <v>2018</v>
      </c>
      <c r="M5275" s="308" t="s">
        <v>21213</v>
      </c>
      <c r="N5275" s="308"/>
      <c r="O5275" s="308"/>
      <c r="P5275" s="308" t="s">
        <v>21214</v>
      </c>
      <c r="Q5275" s="308" t="s">
        <v>38288</v>
      </c>
      <c r="R5275" s="308" t="s">
        <v>2743</v>
      </c>
      <c r="S5275" s="308" t="s">
        <v>81</v>
      </c>
      <c r="T5275" s="308" t="s">
        <v>75</v>
      </c>
      <c r="U5275" s="308" t="s">
        <v>166</v>
      </c>
      <c r="V5275" s="308"/>
    </row>
    <row r="5276">
      <c r="A5276" s="308">
        <v>5275.0</v>
      </c>
      <c r="B5276" s="308"/>
      <c r="C5276" s="308" t="s">
        <v>21215</v>
      </c>
      <c r="D5276" s="308">
        <f>IFERROR(__xludf.DUMMYFUNCTION("SPLIT(C5276,""-"")"),5296.0)</f>
        <v>5296</v>
      </c>
      <c r="E5276" s="308" t="str">
        <f>IFERROR(__xludf.DUMMYFUNCTION("""COMPUTED_VALUE"""),"S")</f>
        <v>S</v>
      </c>
      <c r="F5276" s="312" t="s">
        <v>39</v>
      </c>
      <c r="G5276" s="308"/>
      <c r="H5276" s="308" t="s">
        <v>21216</v>
      </c>
      <c r="I5276" s="310">
        <v>43311.0</v>
      </c>
      <c r="J5276" s="319">
        <f>IFERROR(__xludf.DUMMYFUNCTION("SPLIT(I5276,""/"")"),30.0)</f>
        <v>30</v>
      </c>
      <c r="K5276" s="308">
        <f>IFERROR(__xludf.DUMMYFUNCTION("""COMPUTED_VALUE"""),7.0)</f>
        <v>7</v>
      </c>
      <c r="L5276" s="308">
        <f>IFERROR(__xludf.DUMMYFUNCTION("""COMPUTED_VALUE"""),2018.0)</f>
        <v>2018</v>
      </c>
      <c r="M5276" s="308" t="s">
        <v>21213</v>
      </c>
      <c r="N5276" s="308"/>
      <c r="O5276" s="308"/>
      <c r="P5276" s="308" t="s">
        <v>38290</v>
      </c>
      <c r="Q5276" s="308" t="s">
        <v>38288</v>
      </c>
      <c r="R5276" s="308" t="s">
        <v>2743</v>
      </c>
      <c r="S5276" s="308" t="s">
        <v>81</v>
      </c>
      <c r="T5276" s="308" t="s">
        <v>75</v>
      </c>
      <c r="U5276" s="308" t="s">
        <v>166</v>
      </c>
      <c r="V5276" s="308"/>
    </row>
    <row r="5277">
      <c r="A5277" s="308">
        <v>5276.0</v>
      </c>
      <c r="B5277" s="308"/>
      <c r="C5277" s="308" t="s">
        <v>21218</v>
      </c>
      <c r="D5277" s="308">
        <f>IFERROR(__xludf.DUMMYFUNCTION("SPLIT(C5277,""-"")"),5297.0)</f>
        <v>5297</v>
      </c>
      <c r="E5277" s="308" t="str">
        <f>IFERROR(__xludf.DUMMYFUNCTION("""COMPUTED_VALUE"""),"S")</f>
        <v>S</v>
      </c>
      <c r="F5277" s="312" t="s">
        <v>39</v>
      </c>
      <c r="G5277" s="308"/>
      <c r="H5277" s="308" t="s">
        <v>21219</v>
      </c>
      <c r="I5277" s="310">
        <v>43311.0</v>
      </c>
      <c r="J5277" s="319">
        <f>IFERROR(__xludf.DUMMYFUNCTION("SPLIT(I5277,""/"")"),30.0)</f>
        <v>30</v>
      </c>
      <c r="K5277" s="308">
        <f>IFERROR(__xludf.DUMMYFUNCTION("""COMPUTED_VALUE"""),7.0)</f>
        <v>7</v>
      </c>
      <c r="L5277" s="308">
        <f>IFERROR(__xludf.DUMMYFUNCTION("""COMPUTED_VALUE"""),2018.0)</f>
        <v>2018</v>
      </c>
      <c r="M5277" s="308" t="s">
        <v>21213</v>
      </c>
      <c r="N5277" s="308"/>
      <c r="O5277" s="308"/>
      <c r="P5277" s="308" t="s">
        <v>38291</v>
      </c>
      <c r="Q5277" s="308" t="s">
        <v>38288</v>
      </c>
      <c r="R5277" s="308" t="s">
        <v>2743</v>
      </c>
      <c r="S5277" s="308" t="s">
        <v>81</v>
      </c>
      <c r="T5277" s="308" t="s">
        <v>75</v>
      </c>
      <c r="U5277" s="308" t="s">
        <v>166</v>
      </c>
      <c r="V5277" s="308"/>
    </row>
    <row r="5278">
      <c r="A5278" s="308">
        <v>5277.0</v>
      </c>
      <c r="B5278" s="308"/>
      <c r="C5278" s="308" t="s">
        <v>21221</v>
      </c>
      <c r="D5278" s="308">
        <f>IFERROR(__xludf.DUMMYFUNCTION("SPLIT(C5278,""-"")"),5298.0)</f>
        <v>5298</v>
      </c>
      <c r="E5278" s="308" t="str">
        <f>IFERROR(__xludf.DUMMYFUNCTION("""COMPUTED_VALUE"""),"P")</f>
        <v>P</v>
      </c>
      <c r="F5278" s="312" t="s">
        <v>37</v>
      </c>
      <c r="G5278" s="308"/>
      <c r="H5278" s="308" t="s">
        <v>21222</v>
      </c>
      <c r="I5278" s="310">
        <v>42797.0</v>
      </c>
      <c r="J5278" s="319">
        <f>IFERROR(__xludf.DUMMYFUNCTION("SPLIT(I5278,""/"")"),3.0)</f>
        <v>3</v>
      </c>
      <c r="K5278" s="308">
        <f>IFERROR(__xludf.DUMMYFUNCTION("""COMPUTED_VALUE"""),3.0)</f>
        <v>3</v>
      </c>
      <c r="L5278" s="308">
        <f>IFERROR(__xludf.DUMMYFUNCTION("""COMPUTED_VALUE"""),2017.0)</f>
        <v>2017</v>
      </c>
      <c r="M5278" s="308" t="s">
        <v>21223</v>
      </c>
      <c r="N5278" s="308"/>
      <c r="O5278" s="308"/>
      <c r="P5278" s="308" t="s">
        <v>38292</v>
      </c>
      <c r="Q5278" s="308" t="s">
        <v>38288</v>
      </c>
      <c r="R5278" s="308" t="s">
        <v>2743</v>
      </c>
      <c r="S5278" s="308" t="s">
        <v>81</v>
      </c>
      <c r="T5278" s="311" t="s">
        <v>51</v>
      </c>
      <c r="U5278" s="308" t="s">
        <v>149</v>
      </c>
      <c r="V5278" s="308"/>
    </row>
    <row r="5279">
      <c r="A5279" s="308">
        <v>5278.0</v>
      </c>
      <c r="B5279" s="308"/>
      <c r="C5279" s="308" t="s">
        <v>21225</v>
      </c>
      <c r="D5279" s="308">
        <f>IFERROR(__xludf.DUMMYFUNCTION("SPLIT(C5279,""-"")"),5299.0)</f>
        <v>5299</v>
      </c>
      <c r="E5279" s="308" t="str">
        <f>IFERROR(__xludf.DUMMYFUNCTION("""COMPUTED_VALUE"""),"K")</f>
        <v>K</v>
      </c>
      <c r="F5279" s="309" t="s">
        <v>34</v>
      </c>
      <c r="G5279" s="308"/>
      <c r="H5279" s="308" t="s">
        <v>21226</v>
      </c>
      <c r="I5279" s="310">
        <v>42146.0</v>
      </c>
      <c r="J5279" s="319">
        <f>IFERROR(__xludf.DUMMYFUNCTION("SPLIT(I5279,""/"")"),22.0)</f>
        <v>22</v>
      </c>
      <c r="K5279" s="308">
        <f>IFERROR(__xludf.DUMMYFUNCTION("""COMPUTED_VALUE"""),5.0)</f>
        <v>5</v>
      </c>
      <c r="L5279" s="308">
        <f>IFERROR(__xludf.DUMMYFUNCTION("""COMPUTED_VALUE"""),2015.0)</f>
        <v>2015</v>
      </c>
      <c r="M5279" s="308" t="s">
        <v>21227</v>
      </c>
      <c r="N5279" s="308" t="s">
        <v>21228</v>
      </c>
      <c r="O5279" s="308" t="s">
        <v>21229</v>
      </c>
      <c r="P5279" s="308" t="s">
        <v>5679</v>
      </c>
      <c r="Q5279" s="308" t="s">
        <v>38293</v>
      </c>
      <c r="R5279" s="308" t="s">
        <v>20329</v>
      </c>
      <c r="S5279" s="315" t="s">
        <v>100</v>
      </c>
      <c r="T5279" s="311" t="s">
        <v>34208</v>
      </c>
      <c r="U5279" s="308" t="s">
        <v>125</v>
      </c>
      <c r="V5279" s="308"/>
    </row>
    <row r="5280">
      <c r="A5280" s="308">
        <v>5279.0</v>
      </c>
      <c r="B5280" s="308"/>
      <c r="C5280" s="308" t="s">
        <v>21230</v>
      </c>
      <c r="D5280" s="308">
        <f>IFERROR(__xludf.DUMMYFUNCTION("SPLIT(C5280,""-"")"),5300.0)</f>
        <v>5300</v>
      </c>
      <c r="E5280" s="308" t="str">
        <f>IFERROR(__xludf.DUMMYFUNCTION("""COMPUTED_VALUE"""),"K")</f>
        <v>K</v>
      </c>
      <c r="F5280" s="309" t="s">
        <v>34</v>
      </c>
      <c r="G5280" s="308"/>
      <c r="H5280" s="308" t="s">
        <v>21231</v>
      </c>
      <c r="I5280" s="310">
        <v>42139.0</v>
      </c>
      <c r="J5280" s="319">
        <f>IFERROR(__xludf.DUMMYFUNCTION("SPLIT(I5280,""/"")"),15.0)</f>
        <v>15</v>
      </c>
      <c r="K5280" s="308">
        <f>IFERROR(__xludf.DUMMYFUNCTION("""COMPUTED_VALUE"""),5.0)</f>
        <v>5</v>
      </c>
      <c r="L5280" s="308">
        <f>IFERROR(__xludf.DUMMYFUNCTION("""COMPUTED_VALUE"""),2015.0)</f>
        <v>2015</v>
      </c>
      <c r="M5280" s="308" t="s">
        <v>21232</v>
      </c>
      <c r="N5280" s="308" t="s">
        <v>439</v>
      </c>
      <c r="O5280" s="308" t="s">
        <v>21233</v>
      </c>
      <c r="P5280" s="308" t="s">
        <v>5679</v>
      </c>
      <c r="Q5280" s="308" t="s">
        <v>38293</v>
      </c>
      <c r="R5280" s="308" t="s">
        <v>2743</v>
      </c>
      <c r="S5280" s="315" t="s">
        <v>100</v>
      </c>
      <c r="T5280" s="311" t="s">
        <v>34208</v>
      </c>
      <c r="U5280" s="308" t="s">
        <v>2152</v>
      </c>
      <c r="V5280" s="308"/>
    </row>
    <row r="5281">
      <c r="A5281" s="308">
        <v>5280.0</v>
      </c>
      <c r="B5281" s="308"/>
      <c r="C5281" s="308" t="s">
        <v>21234</v>
      </c>
      <c r="D5281" s="308">
        <f>IFERROR(__xludf.DUMMYFUNCTION("SPLIT(C5281,""-"")"),5301.0)</f>
        <v>5301</v>
      </c>
      <c r="E5281" s="308" t="str">
        <f>IFERROR(__xludf.DUMMYFUNCTION("""COMPUTED_VALUE"""),"K")</f>
        <v>K</v>
      </c>
      <c r="F5281" s="309" t="s">
        <v>34</v>
      </c>
      <c r="G5281" s="308"/>
      <c r="H5281" s="308" t="s">
        <v>21235</v>
      </c>
      <c r="I5281" s="310">
        <v>42577.0</v>
      </c>
      <c r="J5281" s="319">
        <f>IFERROR(__xludf.DUMMYFUNCTION("SPLIT(I5281,""/"")"),26.0)</f>
        <v>26</v>
      </c>
      <c r="K5281" s="308">
        <f>IFERROR(__xludf.DUMMYFUNCTION("""COMPUTED_VALUE"""),7.0)</f>
        <v>7</v>
      </c>
      <c r="L5281" s="308">
        <f>IFERROR(__xludf.DUMMYFUNCTION("""COMPUTED_VALUE"""),2016.0)</f>
        <v>2016</v>
      </c>
      <c r="M5281" s="308" t="s">
        <v>21236</v>
      </c>
      <c r="N5281" s="308"/>
      <c r="O5281" s="308" t="s">
        <v>38294</v>
      </c>
      <c r="P5281" s="308" t="s">
        <v>5679</v>
      </c>
      <c r="Q5281" s="308" t="s">
        <v>38293</v>
      </c>
      <c r="R5281" s="308" t="s">
        <v>2743</v>
      </c>
      <c r="S5281" s="315" t="s">
        <v>100</v>
      </c>
      <c r="T5281" s="311" t="s">
        <v>34208</v>
      </c>
      <c r="U5281" s="308" t="s">
        <v>530</v>
      </c>
      <c r="V5281" s="308"/>
    </row>
    <row r="5282">
      <c r="A5282" s="308">
        <v>5281.0</v>
      </c>
      <c r="B5282" s="308"/>
      <c r="C5282" s="308" t="s">
        <v>21238</v>
      </c>
      <c r="D5282" s="308">
        <f>IFERROR(__xludf.DUMMYFUNCTION("SPLIT(C5282,""-"")"),5302.0)</f>
        <v>5302</v>
      </c>
      <c r="E5282" s="308" t="str">
        <f>IFERROR(__xludf.DUMMYFUNCTION("""COMPUTED_VALUE"""),"P")</f>
        <v>P</v>
      </c>
      <c r="F5282" s="312" t="s">
        <v>37</v>
      </c>
      <c r="G5282" s="308"/>
      <c r="H5282" s="308" t="s">
        <v>21239</v>
      </c>
      <c r="I5282" s="310">
        <v>43296.0</v>
      </c>
      <c r="J5282" s="319">
        <f>IFERROR(__xludf.DUMMYFUNCTION("SPLIT(I5282,""/"")"),15.0)</f>
        <v>15</v>
      </c>
      <c r="K5282" s="308">
        <f>IFERROR(__xludf.DUMMYFUNCTION("""COMPUTED_VALUE"""),7.0)</f>
        <v>7</v>
      </c>
      <c r="L5282" s="308">
        <f>IFERROR(__xludf.DUMMYFUNCTION("""COMPUTED_VALUE"""),2018.0)</f>
        <v>2018</v>
      </c>
      <c r="M5282" s="308" t="s">
        <v>21240</v>
      </c>
      <c r="N5282" s="308"/>
      <c r="O5282" s="308"/>
      <c r="P5282" s="308" t="s">
        <v>21241</v>
      </c>
      <c r="Q5282" s="308" t="s">
        <v>38295</v>
      </c>
      <c r="R5282" s="308" t="s">
        <v>2743</v>
      </c>
      <c r="S5282" s="308" t="s">
        <v>81</v>
      </c>
      <c r="T5282" s="308" t="s">
        <v>98</v>
      </c>
      <c r="U5282" s="308" t="s">
        <v>149</v>
      </c>
      <c r="V5282" s="308"/>
    </row>
    <row r="5283">
      <c r="A5283" s="308">
        <v>5282.0</v>
      </c>
      <c r="B5283" s="308"/>
      <c r="C5283" s="308" t="s">
        <v>21242</v>
      </c>
      <c r="D5283" s="308">
        <f>IFERROR(__xludf.DUMMYFUNCTION("SPLIT(C5283,""-"")"),5303.0)</f>
        <v>5303</v>
      </c>
      <c r="E5283" s="308" t="str">
        <f>IFERROR(__xludf.DUMMYFUNCTION("""COMPUTED_VALUE"""),"I")</f>
        <v>I</v>
      </c>
      <c r="F5283" s="309" t="s">
        <v>31</v>
      </c>
      <c r="G5283" s="308"/>
      <c r="H5283" s="308" t="s">
        <v>21243</v>
      </c>
      <c r="I5283" s="314">
        <v>41985.0</v>
      </c>
      <c r="J5283" s="319">
        <f>IFERROR(__xludf.DUMMYFUNCTION("SPLIT(I5283,""/"")"),12.0)</f>
        <v>12</v>
      </c>
      <c r="K5283" s="308">
        <f>IFERROR(__xludf.DUMMYFUNCTION("""COMPUTED_VALUE"""),12.0)</f>
        <v>12</v>
      </c>
      <c r="L5283" s="308">
        <f>IFERROR(__xludf.DUMMYFUNCTION("""COMPUTED_VALUE"""),2014.0)</f>
        <v>2014</v>
      </c>
      <c r="M5283" s="308" t="s">
        <v>21244</v>
      </c>
      <c r="N5283" s="308"/>
      <c r="O5283" s="308" t="s">
        <v>21245</v>
      </c>
      <c r="P5283" s="308" t="s">
        <v>21246</v>
      </c>
      <c r="Q5283" s="308" t="s">
        <v>38296</v>
      </c>
      <c r="R5283" s="308" t="s">
        <v>2743</v>
      </c>
      <c r="S5283" s="308" t="s">
        <v>81</v>
      </c>
      <c r="T5283" s="308" t="s">
        <v>34264</v>
      </c>
      <c r="U5283" s="308" t="s">
        <v>31</v>
      </c>
      <c r="V5283" s="308"/>
    </row>
    <row r="5284">
      <c r="A5284" s="308">
        <v>5283.0</v>
      </c>
      <c r="B5284" s="308"/>
      <c r="C5284" s="308" t="s">
        <v>21247</v>
      </c>
      <c r="D5284" s="308">
        <f>IFERROR(__xludf.DUMMYFUNCTION("SPLIT(C5284,""-"")"),5304.0)</f>
        <v>5304</v>
      </c>
      <c r="E5284" s="308" t="str">
        <f>IFERROR(__xludf.DUMMYFUNCTION("""COMPUTED_VALUE"""),"K")</f>
        <v>K</v>
      </c>
      <c r="F5284" s="309" t="s">
        <v>34</v>
      </c>
      <c r="G5284" s="308"/>
      <c r="H5284" s="308" t="s">
        <v>13579</v>
      </c>
      <c r="I5284" s="310">
        <v>41843.0</v>
      </c>
      <c r="J5284" s="319">
        <f>IFERROR(__xludf.DUMMYFUNCTION("SPLIT(I5284,""/"")"),23.0)</f>
        <v>23</v>
      </c>
      <c r="K5284" s="308">
        <f>IFERROR(__xludf.DUMMYFUNCTION("""COMPUTED_VALUE"""),7.0)</f>
        <v>7</v>
      </c>
      <c r="L5284" s="308">
        <f>IFERROR(__xludf.DUMMYFUNCTION("""COMPUTED_VALUE"""),2014.0)</f>
        <v>2014</v>
      </c>
      <c r="M5284" s="308" t="s">
        <v>21248</v>
      </c>
      <c r="N5284" s="308"/>
      <c r="O5284" s="308"/>
      <c r="P5284" s="308" t="s">
        <v>38297</v>
      </c>
      <c r="Q5284" s="308" t="s">
        <v>38298</v>
      </c>
      <c r="R5284" s="308" t="s">
        <v>2743</v>
      </c>
      <c r="S5284" s="308" t="s">
        <v>81</v>
      </c>
      <c r="T5284" s="308" t="s">
        <v>34264</v>
      </c>
      <c r="U5284" s="308" t="s">
        <v>125</v>
      </c>
      <c r="V5284" s="308"/>
    </row>
    <row r="5285">
      <c r="A5285" s="308">
        <v>5284.0</v>
      </c>
      <c r="B5285" s="308"/>
      <c r="C5285" s="308" t="s">
        <v>21250</v>
      </c>
      <c r="D5285" s="308">
        <f>IFERROR(__xludf.DUMMYFUNCTION("SPLIT(C5285,""-"")"),5305.0)</f>
        <v>5305</v>
      </c>
      <c r="E5285" s="308" t="str">
        <f>IFERROR(__xludf.DUMMYFUNCTION("""COMPUTED_VALUE"""),"F")</f>
        <v>F</v>
      </c>
      <c r="F5285" s="309" t="s">
        <v>34</v>
      </c>
      <c r="G5285" s="308"/>
      <c r="H5285" s="308" t="s">
        <v>21251</v>
      </c>
      <c r="I5285" s="310">
        <v>43129.0</v>
      </c>
      <c r="J5285" s="319">
        <f>IFERROR(__xludf.DUMMYFUNCTION("SPLIT(I5285,""/"")"),29.0)</f>
        <v>29</v>
      </c>
      <c r="K5285" s="308">
        <f>IFERROR(__xludf.DUMMYFUNCTION("""COMPUTED_VALUE"""),1.0)</f>
        <v>1</v>
      </c>
      <c r="L5285" s="308">
        <f>IFERROR(__xludf.DUMMYFUNCTION("""COMPUTED_VALUE"""),2018.0)</f>
        <v>2018</v>
      </c>
      <c r="M5285" s="308" t="s">
        <v>21252</v>
      </c>
      <c r="N5285" s="308"/>
      <c r="O5285" s="308"/>
      <c r="P5285" s="308" t="s">
        <v>21253</v>
      </c>
      <c r="Q5285" s="308" t="s">
        <v>38298</v>
      </c>
      <c r="R5285" s="308" t="s">
        <v>2743</v>
      </c>
      <c r="S5285" s="308" t="s">
        <v>81</v>
      </c>
      <c r="T5285" s="311" t="s">
        <v>73</v>
      </c>
      <c r="U5285" s="308" t="s">
        <v>195</v>
      </c>
      <c r="V5285" s="308"/>
    </row>
    <row r="5286">
      <c r="A5286" s="308">
        <v>5285.0</v>
      </c>
      <c r="B5286" s="308"/>
      <c r="C5286" s="308" t="s">
        <v>21254</v>
      </c>
      <c r="D5286" s="308">
        <f>IFERROR(__xludf.DUMMYFUNCTION("SPLIT(C5286,""-"")"),5306.0)</f>
        <v>5306</v>
      </c>
      <c r="E5286" s="308" t="str">
        <f>IFERROR(__xludf.DUMMYFUNCTION("""COMPUTED_VALUE"""),"F")</f>
        <v>F</v>
      </c>
      <c r="F5286" s="309" t="s">
        <v>34</v>
      </c>
      <c r="G5286" s="308"/>
      <c r="H5286" s="308" t="s">
        <v>21255</v>
      </c>
      <c r="I5286" s="310">
        <v>43129.0</v>
      </c>
      <c r="J5286" s="319">
        <f>IFERROR(__xludf.DUMMYFUNCTION("SPLIT(I5286,""/"")"),29.0)</f>
        <v>29</v>
      </c>
      <c r="K5286" s="308">
        <f>IFERROR(__xludf.DUMMYFUNCTION("""COMPUTED_VALUE"""),1.0)</f>
        <v>1</v>
      </c>
      <c r="L5286" s="308">
        <f>IFERROR(__xludf.DUMMYFUNCTION("""COMPUTED_VALUE"""),2018.0)</f>
        <v>2018</v>
      </c>
      <c r="M5286" s="308" t="s">
        <v>21252</v>
      </c>
      <c r="N5286" s="308"/>
      <c r="O5286" s="308"/>
      <c r="P5286" s="308" t="s">
        <v>21253</v>
      </c>
      <c r="Q5286" s="308" t="s">
        <v>38298</v>
      </c>
      <c r="R5286" s="308" t="s">
        <v>2743</v>
      </c>
      <c r="S5286" s="308" t="s">
        <v>81</v>
      </c>
      <c r="T5286" s="311" t="s">
        <v>73</v>
      </c>
      <c r="U5286" s="308" t="s">
        <v>195</v>
      </c>
      <c r="V5286" s="308"/>
    </row>
    <row r="5287">
      <c r="A5287" s="308">
        <v>5286.0</v>
      </c>
      <c r="B5287" s="308"/>
      <c r="C5287" s="308" t="s">
        <v>21256</v>
      </c>
      <c r="D5287" s="308">
        <f>IFERROR(__xludf.DUMMYFUNCTION("SPLIT(C5287,""-"")"),5307.0)</f>
        <v>5307</v>
      </c>
      <c r="E5287" s="308" t="str">
        <f>IFERROR(__xludf.DUMMYFUNCTION("""COMPUTED_VALUE"""),"I")</f>
        <v>I</v>
      </c>
      <c r="F5287" s="309" t="s">
        <v>31</v>
      </c>
      <c r="G5287" s="308"/>
      <c r="H5287" s="308" t="s">
        <v>21257</v>
      </c>
      <c r="I5287" s="310">
        <v>42414.0</v>
      </c>
      <c r="J5287" s="319">
        <f>IFERROR(__xludf.DUMMYFUNCTION("SPLIT(I5287,""/"")"),14.0)</f>
        <v>14</v>
      </c>
      <c r="K5287" s="308">
        <f>IFERROR(__xludf.DUMMYFUNCTION("""COMPUTED_VALUE"""),2.0)</f>
        <v>2</v>
      </c>
      <c r="L5287" s="308">
        <f>IFERROR(__xludf.DUMMYFUNCTION("""COMPUTED_VALUE"""),2016.0)</f>
        <v>2016</v>
      </c>
      <c r="M5287" s="308" t="s">
        <v>21258</v>
      </c>
      <c r="N5287" s="308"/>
      <c r="O5287" s="308"/>
      <c r="P5287" s="308" t="s">
        <v>10817</v>
      </c>
      <c r="Q5287" s="308" t="s">
        <v>38298</v>
      </c>
      <c r="R5287" s="308" t="s">
        <v>2743</v>
      </c>
      <c r="S5287" s="315" t="s">
        <v>100</v>
      </c>
      <c r="T5287" s="311" t="s">
        <v>34208</v>
      </c>
      <c r="U5287" s="308" t="s">
        <v>31</v>
      </c>
      <c r="V5287" s="308"/>
    </row>
    <row r="5288">
      <c r="A5288" s="308">
        <v>5287.0</v>
      </c>
      <c r="B5288" s="308"/>
      <c r="C5288" s="308" t="s">
        <v>21259</v>
      </c>
      <c r="D5288" s="308">
        <f>IFERROR(__xludf.DUMMYFUNCTION("SPLIT(C5288,""-"")"),5308.0)</f>
        <v>5308</v>
      </c>
      <c r="E5288" s="308" t="str">
        <f>IFERROR(__xludf.DUMMYFUNCTION("""COMPUTED_VALUE"""),"K")</f>
        <v>K</v>
      </c>
      <c r="F5288" s="309" t="s">
        <v>34</v>
      </c>
      <c r="G5288" s="308"/>
      <c r="H5288" s="308" t="s">
        <v>21260</v>
      </c>
      <c r="I5288" s="310">
        <v>41835.0</v>
      </c>
      <c r="J5288" s="319">
        <f>IFERROR(__xludf.DUMMYFUNCTION("SPLIT(I5288,""/"")"),15.0)</f>
        <v>15</v>
      </c>
      <c r="K5288" s="308">
        <f>IFERROR(__xludf.DUMMYFUNCTION("""COMPUTED_VALUE"""),7.0)</f>
        <v>7</v>
      </c>
      <c r="L5288" s="308">
        <f>IFERROR(__xludf.DUMMYFUNCTION("""COMPUTED_VALUE"""),2014.0)</f>
        <v>2014</v>
      </c>
      <c r="M5288" s="308" t="s">
        <v>21261</v>
      </c>
      <c r="N5288" s="308"/>
      <c r="O5288" s="308"/>
      <c r="P5288" s="308" t="s">
        <v>38299</v>
      </c>
      <c r="Q5288" s="308" t="s">
        <v>38298</v>
      </c>
      <c r="R5288" s="308" t="s">
        <v>2743</v>
      </c>
      <c r="S5288" s="308" t="s">
        <v>49</v>
      </c>
      <c r="T5288" s="308" t="s">
        <v>51</v>
      </c>
      <c r="U5288" s="308" t="s">
        <v>125</v>
      </c>
      <c r="V5288" s="308"/>
    </row>
    <row r="5289">
      <c r="A5289" s="308">
        <v>5288.0</v>
      </c>
      <c r="B5289" s="308"/>
      <c r="C5289" s="308" t="s">
        <v>21263</v>
      </c>
      <c r="D5289" s="308">
        <f>IFERROR(__xludf.DUMMYFUNCTION("SPLIT(C5289,""-"")"),5309.0)</f>
        <v>5309</v>
      </c>
      <c r="E5289" s="308" t="str">
        <f>IFERROR(__xludf.DUMMYFUNCTION("""COMPUTED_VALUE"""),"B")</f>
        <v>B</v>
      </c>
      <c r="F5289" s="315" t="s">
        <v>26</v>
      </c>
      <c r="G5289" s="308"/>
      <c r="H5289" s="308" t="s">
        <v>21264</v>
      </c>
      <c r="I5289" s="310">
        <v>42917.0</v>
      </c>
      <c r="J5289" s="319">
        <f>IFERROR(__xludf.DUMMYFUNCTION("SPLIT(I5289,""/"")"),1.0)</f>
        <v>1</v>
      </c>
      <c r="K5289" s="308">
        <f>IFERROR(__xludf.DUMMYFUNCTION("""COMPUTED_VALUE"""),7.0)</f>
        <v>7</v>
      </c>
      <c r="L5289" s="308">
        <f>IFERROR(__xludf.DUMMYFUNCTION("""COMPUTED_VALUE"""),2017.0)</f>
        <v>2017</v>
      </c>
      <c r="M5289" s="308" t="s">
        <v>21265</v>
      </c>
      <c r="N5289" s="308"/>
      <c r="O5289" s="308"/>
      <c r="P5289" s="308" t="s">
        <v>38300</v>
      </c>
      <c r="Q5289" s="308" t="s">
        <v>38298</v>
      </c>
      <c r="R5289" s="308" t="s">
        <v>2743</v>
      </c>
      <c r="S5289" s="308" t="s">
        <v>81</v>
      </c>
      <c r="T5289" s="308" t="s">
        <v>75</v>
      </c>
      <c r="U5289" s="308" t="s">
        <v>27</v>
      </c>
      <c r="V5289" s="308"/>
    </row>
    <row r="5290">
      <c r="A5290" s="308">
        <v>5289.0</v>
      </c>
      <c r="B5290" s="308"/>
      <c r="C5290" s="308" t="s">
        <v>21267</v>
      </c>
      <c r="D5290" s="308">
        <f>IFERROR(__xludf.DUMMYFUNCTION("SPLIT(C5290,""-"")"),5310.0)</f>
        <v>5310</v>
      </c>
      <c r="E5290" s="308" t="str">
        <f>IFERROR(__xludf.DUMMYFUNCTION("""COMPUTED_VALUE"""),"K")</f>
        <v>K</v>
      </c>
      <c r="F5290" s="309" t="s">
        <v>34</v>
      </c>
      <c r="G5290" s="308"/>
      <c r="H5290" s="308" t="s">
        <v>21268</v>
      </c>
      <c r="I5290" s="310">
        <v>43227.0</v>
      </c>
      <c r="J5290" s="319">
        <f>IFERROR(__xludf.DUMMYFUNCTION("SPLIT(I5290,""/"")"),7.0)</f>
        <v>7</v>
      </c>
      <c r="K5290" s="308">
        <f>IFERROR(__xludf.DUMMYFUNCTION("""COMPUTED_VALUE"""),5.0)</f>
        <v>5</v>
      </c>
      <c r="L5290" s="308">
        <f>IFERROR(__xludf.DUMMYFUNCTION("""COMPUTED_VALUE"""),2018.0)</f>
        <v>2018</v>
      </c>
      <c r="M5290" s="308" t="s">
        <v>21269</v>
      </c>
      <c r="N5290" s="308"/>
      <c r="O5290" s="308"/>
      <c r="P5290" s="308" t="s">
        <v>38301</v>
      </c>
      <c r="Q5290" s="308" t="s">
        <v>38298</v>
      </c>
      <c r="R5290" s="308" t="s">
        <v>2743</v>
      </c>
      <c r="S5290" s="308" t="s">
        <v>81</v>
      </c>
      <c r="T5290" s="311" t="s">
        <v>57</v>
      </c>
      <c r="U5290" s="308" t="s">
        <v>282</v>
      </c>
      <c r="V5290" s="308"/>
    </row>
    <row r="5291">
      <c r="A5291" s="308">
        <v>5290.0</v>
      </c>
      <c r="B5291" s="308"/>
      <c r="C5291" s="308" t="s">
        <v>21271</v>
      </c>
      <c r="D5291" s="308">
        <f>IFERROR(__xludf.DUMMYFUNCTION("SPLIT(C5291,""-"")"),5311.0)</f>
        <v>5311</v>
      </c>
      <c r="E5291" s="308" t="str">
        <f>IFERROR(__xludf.DUMMYFUNCTION("""COMPUTED_VALUE"""),"K")</f>
        <v>K</v>
      </c>
      <c r="F5291" s="309" t="s">
        <v>34</v>
      </c>
      <c r="G5291" s="308"/>
      <c r="H5291" s="308" t="s">
        <v>21272</v>
      </c>
      <c r="I5291" s="314">
        <v>43049.0</v>
      </c>
      <c r="J5291" s="319" t="str">
        <f>IFERROR(__xludf.DUMMYFUNCTION("SPLIT(I5291,""/"")"),"#REF!")</f>
        <v>#REF!</v>
      </c>
      <c r="K5291" s="308"/>
      <c r="L5291" s="308">
        <v>2017.0</v>
      </c>
      <c r="M5291" s="308" t="s">
        <v>21273</v>
      </c>
      <c r="N5291" s="308"/>
      <c r="O5291" s="308"/>
      <c r="P5291" s="308" t="s">
        <v>38302</v>
      </c>
      <c r="Q5291" s="308" t="s">
        <v>38298</v>
      </c>
      <c r="R5291" s="308" t="s">
        <v>2743</v>
      </c>
      <c r="S5291" s="308" t="s">
        <v>81</v>
      </c>
      <c r="T5291" s="311" t="s">
        <v>96</v>
      </c>
      <c r="U5291" s="308" t="s">
        <v>125</v>
      </c>
      <c r="V5291" s="308"/>
    </row>
    <row r="5292">
      <c r="A5292" s="308">
        <v>5291.0</v>
      </c>
      <c r="B5292" s="308"/>
      <c r="C5292" s="308" t="s">
        <v>21275</v>
      </c>
      <c r="D5292" s="308">
        <f>IFERROR(__xludf.DUMMYFUNCTION("SPLIT(C5292,""-"")"),5312.0)</f>
        <v>5312</v>
      </c>
      <c r="E5292" s="308" t="str">
        <f>IFERROR(__xludf.DUMMYFUNCTION("""COMPUTED_VALUE"""),"S")</f>
        <v>S</v>
      </c>
      <c r="F5292" s="312" t="s">
        <v>39</v>
      </c>
      <c r="G5292" s="308"/>
      <c r="H5292" s="308" t="s">
        <v>21276</v>
      </c>
      <c r="I5292" s="310">
        <v>42008.0</v>
      </c>
      <c r="J5292" s="319">
        <f>IFERROR(__xludf.DUMMYFUNCTION("SPLIT(I5292,""/"")"),4.0)</f>
        <v>4</v>
      </c>
      <c r="K5292" s="308">
        <f>IFERROR(__xludf.DUMMYFUNCTION("""COMPUTED_VALUE"""),1.0)</f>
        <v>1</v>
      </c>
      <c r="L5292" s="308">
        <f>IFERROR(__xludf.DUMMYFUNCTION("""COMPUTED_VALUE"""),2015.0)</f>
        <v>2015</v>
      </c>
      <c r="M5292" s="308" t="s">
        <v>21277</v>
      </c>
      <c r="N5292" s="308"/>
      <c r="O5292" s="308"/>
      <c r="P5292" s="308"/>
      <c r="Q5292" s="308" t="s">
        <v>38303</v>
      </c>
      <c r="R5292" s="308" t="s">
        <v>2743</v>
      </c>
      <c r="S5292" s="308" t="s">
        <v>79</v>
      </c>
      <c r="T5292" s="308" t="s">
        <v>79</v>
      </c>
      <c r="U5292" s="308" t="s">
        <v>166</v>
      </c>
      <c r="V5292" s="308"/>
    </row>
    <row r="5293">
      <c r="A5293" s="308">
        <v>5292.0</v>
      </c>
      <c r="B5293" s="308"/>
      <c r="C5293" s="308" t="s">
        <v>21278</v>
      </c>
      <c r="D5293" s="308">
        <f>IFERROR(__xludf.DUMMYFUNCTION("SPLIT(C5293,""-"")"),5313.0)</f>
        <v>5313</v>
      </c>
      <c r="E5293" s="308" t="str">
        <f>IFERROR(__xludf.DUMMYFUNCTION("""COMPUTED_VALUE"""),"P")</f>
        <v>P</v>
      </c>
      <c r="F5293" s="312" t="s">
        <v>37</v>
      </c>
      <c r="G5293" s="308"/>
      <c r="H5293" s="308" t="s">
        <v>21279</v>
      </c>
      <c r="I5293" s="310">
        <v>43172.0</v>
      </c>
      <c r="J5293" s="319">
        <f>IFERROR(__xludf.DUMMYFUNCTION("SPLIT(I5293,""/"")"),13.0)</f>
        <v>13</v>
      </c>
      <c r="K5293" s="308">
        <f>IFERROR(__xludf.DUMMYFUNCTION("""COMPUTED_VALUE"""),3.0)</f>
        <v>3</v>
      </c>
      <c r="L5293" s="308">
        <f>IFERROR(__xludf.DUMMYFUNCTION("""COMPUTED_VALUE"""),2018.0)</f>
        <v>2018</v>
      </c>
      <c r="M5293" s="308" t="s">
        <v>21280</v>
      </c>
      <c r="N5293" s="308"/>
      <c r="O5293" s="308" t="s">
        <v>21281</v>
      </c>
      <c r="P5293" s="308" t="s">
        <v>38304</v>
      </c>
      <c r="Q5293" s="308" t="s">
        <v>38303</v>
      </c>
      <c r="R5293" s="308" t="s">
        <v>2743</v>
      </c>
      <c r="S5293" s="308" t="s">
        <v>81</v>
      </c>
      <c r="T5293" s="308" t="s">
        <v>75</v>
      </c>
      <c r="U5293" s="308" t="s">
        <v>18270</v>
      </c>
      <c r="V5293" s="308"/>
    </row>
    <row r="5294">
      <c r="A5294" s="308">
        <v>5293.0</v>
      </c>
      <c r="B5294" s="308"/>
      <c r="C5294" s="308" t="s">
        <v>21283</v>
      </c>
      <c r="D5294" s="308">
        <f>IFERROR(__xludf.DUMMYFUNCTION("SPLIT(C5294,""-"")"),5314.0)</f>
        <v>5314</v>
      </c>
      <c r="E5294" s="308" t="str">
        <f>IFERROR(__xludf.DUMMYFUNCTION("""COMPUTED_VALUE"""),"P")</f>
        <v>P</v>
      </c>
      <c r="F5294" s="312" t="s">
        <v>37</v>
      </c>
      <c r="G5294" s="308"/>
      <c r="H5294" s="308" t="s">
        <v>21284</v>
      </c>
      <c r="I5294" s="310">
        <v>43278.0</v>
      </c>
      <c r="J5294" s="319">
        <f>IFERROR(__xludf.DUMMYFUNCTION("SPLIT(I5294,""/"")"),27.0)</f>
        <v>27</v>
      </c>
      <c r="K5294" s="308">
        <f>IFERROR(__xludf.DUMMYFUNCTION("""COMPUTED_VALUE"""),6.0)</f>
        <v>6</v>
      </c>
      <c r="L5294" s="308">
        <f>IFERROR(__xludf.DUMMYFUNCTION("""COMPUTED_VALUE"""),2018.0)</f>
        <v>2018</v>
      </c>
      <c r="M5294" s="308" t="s">
        <v>21285</v>
      </c>
      <c r="N5294" s="308"/>
      <c r="O5294" s="308" t="s">
        <v>21286</v>
      </c>
      <c r="P5294" s="308" t="s">
        <v>38305</v>
      </c>
      <c r="Q5294" s="308" t="s">
        <v>38303</v>
      </c>
      <c r="R5294" s="308" t="s">
        <v>2743</v>
      </c>
      <c r="S5294" s="308" t="s">
        <v>81</v>
      </c>
      <c r="T5294" s="308" t="s">
        <v>73</v>
      </c>
      <c r="U5294" s="308" t="s">
        <v>21052</v>
      </c>
      <c r="V5294" s="308"/>
    </row>
    <row r="5295">
      <c r="A5295" s="308">
        <v>5294.0</v>
      </c>
      <c r="B5295" s="308"/>
      <c r="C5295" s="308" t="s">
        <v>21288</v>
      </c>
      <c r="D5295" s="308">
        <f>IFERROR(__xludf.DUMMYFUNCTION("SPLIT(C5295,""-"")"),5315.0)</f>
        <v>5315</v>
      </c>
      <c r="E5295" s="308" t="str">
        <f>IFERROR(__xludf.DUMMYFUNCTION("""COMPUTED_VALUE"""),"K")</f>
        <v>K</v>
      </c>
      <c r="F5295" s="309" t="s">
        <v>34</v>
      </c>
      <c r="G5295" s="308"/>
      <c r="H5295" s="308" t="s">
        <v>21289</v>
      </c>
      <c r="I5295" s="314">
        <v>40100.0</v>
      </c>
      <c r="J5295" s="319">
        <f>IFERROR(__xludf.DUMMYFUNCTION("SPLIT(I5295,""/"")"),14.0)</f>
        <v>14</v>
      </c>
      <c r="K5295" s="308">
        <f>IFERROR(__xludf.DUMMYFUNCTION("""COMPUTED_VALUE"""),10.0)</f>
        <v>10</v>
      </c>
      <c r="L5295" s="308">
        <f>IFERROR(__xludf.DUMMYFUNCTION("""COMPUTED_VALUE"""),2009.0)</f>
        <v>2009</v>
      </c>
      <c r="M5295" s="308" t="s">
        <v>21290</v>
      </c>
      <c r="N5295" s="308"/>
      <c r="O5295" s="308" t="s">
        <v>21291</v>
      </c>
      <c r="P5295" s="308" t="s">
        <v>5679</v>
      </c>
      <c r="Q5295" s="308" t="s">
        <v>38303</v>
      </c>
      <c r="R5295" s="308" t="s">
        <v>2743</v>
      </c>
      <c r="S5295" s="315" t="s">
        <v>100</v>
      </c>
      <c r="T5295" s="311" t="s">
        <v>34208</v>
      </c>
      <c r="U5295" s="308" t="s">
        <v>2466</v>
      </c>
      <c r="V5295" s="308"/>
    </row>
    <row r="5296">
      <c r="A5296" s="308">
        <v>5295.0</v>
      </c>
      <c r="B5296" s="308"/>
      <c r="C5296" s="308" t="s">
        <v>21292</v>
      </c>
      <c r="D5296" s="308">
        <f>IFERROR(__xludf.DUMMYFUNCTION("SPLIT(C5296,""-"")"),5316.0)</f>
        <v>5316</v>
      </c>
      <c r="E5296" s="308" t="str">
        <f>IFERROR(__xludf.DUMMYFUNCTION("""COMPUTED_VALUE"""),"K")</f>
        <v>K</v>
      </c>
      <c r="F5296" s="309" t="s">
        <v>34</v>
      </c>
      <c r="G5296" s="308"/>
      <c r="H5296" s="308" t="s">
        <v>21293</v>
      </c>
      <c r="I5296" s="310">
        <v>41362.0</v>
      </c>
      <c r="J5296" s="319">
        <f>IFERROR(__xludf.DUMMYFUNCTION("SPLIT(I5296,""/"")"),29.0)</f>
        <v>29</v>
      </c>
      <c r="K5296" s="308">
        <f>IFERROR(__xludf.DUMMYFUNCTION("""COMPUTED_VALUE"""),3.0)</f>
        <v>3</v>
      </c>
      <c r="L5296" s="308">
        <f>IFERROR(__xludf.DUMMYFUNCTION("""COMPUTED_VALUE"""),2013.0)</f>
        <v>2013</v>
      </c>
      <c r="M5296" s="308" t="s">
        <v>38306</v>
      </c>
      <c r="N5296" s="308"/>
      <c r="O5296" s="308" t="s">
        <v>21295</v>
      </c>
      <c r="P5296" s="308" t="s">
        <v>38307</v>
      </c>
      <c r="Q5296" s="308" t="s">
        <v>38303</v>
      </c>
      <c r="R5296" s="308" t="s">
        <v>2743</v>
      </c>
      <c r="S5296" s="308" t="s">
        <v>49</v>
      </c>
      <c r="T5296" s="308" t="s">
        <v>51</v>
      </c>
      <c r="U5296" s="308" t="s">
        <v>2989</v>
      </c>
      <c r="V5296" s="308"/>
    </row>
    <row r="5297">
      <c r="A5297" s="308">
        <v>5296.0</v>
      </c>
      <c r="B5297" s="308"/>
      <c r="C5297" s="308" t="s">
        <v>21297</v>
      </c>
      <c r="D5297" s="308">
        <f>IFERROR(__xludf.DUMMYFUNCTION("SPLIT(C5297,""-"")"),5317.0)</f>
        <v>5317</v>
      </c>
      <c r="E5297" s="308" t="str">
        <f>IFERROR(__xludf.DUMMYFUNCTION("""COMPUTED_VALUE"""),"K")</f>
        <v>K</v>
      </c>
      <c r="F5297" s="309" t="s">
        <v>34</v>
      </c>
      <c r="G5297" s="308"/>
      <c r="H5297" s="308" t="s">
        <v>21298</v>
      </c>
      <c r="I5297" s="310">
        <v>42145.0</v>
      </c>
      <c r="J5297" s="319">
        <f>IFERROR(__xludf.DUMMYFUNCTION("SPLIT(I5297,""/"")"),21.0)</f>
        <v>21</v>
      </c>
      <c r="K5297" s="308">
        <f>IFERROR(__xludf.DUMMYFUNCTION("""COMPUTED_VALUE"""),5.0)</f>
        <v>5</v>
      </c>
      <c r="L5297" s="308">
        <f>IFERROR(__xludf.DUMMYFUNCTION("""COMPUTED_VALUE"""),2015.0)</f>
        <v>2015</v>
      </c>
      <c r="M5297" s="308" t="s">
        <v>21299</v>
      </c>
      <c r="N5297" s="308"/>
      <c r="O5297" s="308"/>
      <c r="P5297" s="308" t="s">
        <v>5679</v>
      </c>
      <c r="Q5297" s="308" t="s">
        <v>38303</v>
      </c>
      <c r="R5297" s="308" t="s">
        <v>2743</v>
      </c>
      <c r="S5297" s="315" t="s">
        <v>100</v>
      </c>
      <c r="T5297" s="311" t="s">
        <v>34208</v>
      </c>
      <c r="U5297" s="308" t="s">
        <v>125</v>
      </c>
      <c r="V5297" s="308"/>
    </row>
    <row r="5298">
      <c r="A5298" s="308">
        <v>5297.0</v>
      </c>
      <c r="B5298" s="308"/>
      <c r="C5298" s="308" t="s">
        <v>21300</v>
      </c>
      <c r="D5298" s="308">
        <f>IFERROR(__xludf.DUMMYFUNCTION("SPLIT(C5298,""-"")"),5318.0)</f>
        <v>5318</v>
      </c>
      <c r="E5298" s="308" t="str">
        <f>IFERROR(__xludf.DUMMYFUNCTION("""COMPUTED_VALUE"""),"F")</f>
        <v>F</v>
      </c>
      <c r="F5298" s="309" t="s">
        <v>34</v>
      </c>
      <c r="G5298" s="308"/>
      <c r="H5298" s="308" t="s">
        <v>21301</v>
      </c>
      <c r="I5298" s="314">
        <v>43028.0</v>
      </c>
      <c r="J5298" s="319" t="str">
        <f>IFERROR(__xludf.DUMMYFUNCTION("SPLIT(I5298,""/"")"),"#REF!")</f>
        <v>#REF!</v>
      </c>
      <c r="K5298" s="308"/>
      <c r="L5298" s="308">
        <v>2017.0</v>
      </c>
      <c r="M5298" s="308" t="s">
        <v>21302</v>
      </c>
      <c r="N5298" s="308"/>
      <c r="O5298" s="308"/>
      <c r="P5298" s="308" t="s">
        <v>21303</v>
      </c>
      <c r="Q5298" s="308" t="s">
        <v>38303</v>
      </c>
      <c r="R5298" s="308" t="s">
        <v>2743</v>
      </c>
      <c r="S5298" s="308" t="s">
        <v>81</v>
      </c>
      <c r="T5298" s="308" t="s">
        <v>75</v>
      </c>
      <c r="U5298" s="308" t="s">
        <v>195</v>
      </c>
      <c r="V5298" s="308"/>
    </row>
    <row r="5299">
      <c r="A5299" s="308">
        <v>5298.0</v>
      </c>
      <c r="B5299" s="308"/>
      <c r="C5299" s="308" t="s">
        <v>21304</v>
      </c>
      <c r="D5299" s="308">
        <f>IFERROR(__xludf.DUMMYFUNCTION("SPLIT(C5299,""-"")"),5319.0)</f>
        <v>5319</v>
      </c>
      <c r="E5299" s="308" t="str">
        <f>IFERROR(__xludf.DUMMYFUNCTION("""COMPUTED_VALUE"""),"S")</f>
        <v>S</v>
      </c>
      <c r="F5299" s="312" t="s">
        <v>39</v>
      </c>
      <c r="G5299" s="308"/>
      <c r="H5299" s="308" t="s">
        <v>21305</v>
      </c>
      <c r="I5299" s="310">
        <v>43311.0</v>
      </c>
      <c r="J5299" s="319">
        <f>IFERROR(__xludf.DUMMYFUNCTION("SPLIT(I5299,""/"")"),30.0)</f>
        <v>30</v>
      </c>
      <c r="K5299" s="308">
        <f>IFERROR(__xludf.DUMMYFUNCTION("""COMPUTED_VALUE"""),7.0)</f>
        <v>7</v>
      </c>
      <c r="L5299" s="308">
        <f>IFERROR(__xludf.DUMMYFUNCTION("""COMPUTED_VALUE"""),2018.0)</f>
        <v>2018</v>
      </c>
      <c r="M5299" s="308" t="s">
        <v>21306</v>
      </c>
      <c r="N5299" s="308"/>
      <c r="O5299" s="308"/>
      <c r="P5299" s="308" t="s">
        <v>38308</v>
      </c>
      <c r="Q5299" s="308" t="s">
        <v>38309</v>
      </c>
      <c r="R5299" s="308" t="s">
        <v>2743</v>
      </c>
      <c r="S5299" s="308" t="s">
        <v>81</v>
      </c>
      <c r="T5299" s="308" t="s">
        <v>75</v>
      </c>
      <c r="U5299" s="308" t="s">
        <v>166</v>
      </c>
      <c r="V5299" s="308"/>
    </row>
    <row r="5300">
      <c r="A5300" s="308">
        <v>5299.0</v>
      </c>
      <c r="B5300" s="308"/>
      <c r="C5300" s="308" t="s">
        <v>21308</v>
      </c>
      <c r="D5300" s="308">
        <f>IFERROR(__xludf.DUMMYFUNCTION("SPLIT(C5300,""-"")"),5320.0)</f>
        <v>5320</v>
      </c>
      <c r="E5300" s="308" t="str">
        <f>IFERROR(__xludf.DUMMYFUNCTION("""COMPUTED_VALUE"""),"S")</f>
        <v>S</v>
      </c>
      <c r="F5300" s="312" t="s">
        <v>39</v>
      </c>
      <c r="G5300" s="308"/>
      <c r="H5300" s="308" t="s">
        <v>21309</v>
      </c>
      <c r="I5300" s="310">
        <v>43287.0</v>
      </c>
      <c r="J5300" s="319">
        <f>IFERROR(__xludf.DUMMYFUNCTION("SPLIT(I5300,""/"")"),6.0)</f>
        <v>6</v>
      </c>
      <c r="K5300" s="308">
        <f>IFERROR(__xludf.DUMMYFUNCTION("""COMPUTED_VALUE"""),7.0)</f>
        <v>7</v>
      </c>
      <c r="L5300" s="308">
        <f>IFERROR(__xludf.DUMMYFUNCTION("""COMPUTED_VALUE"""),2018.0)</f>
        <v>2018</v>
      </c>
      <c r="M5300" s="308" t="s">
        <v>21310</v>
      </c>
      <c r="N5300" s="308"/>
      <c r="O5300" s="308"/>
      <c r="P5300" s="308" t="s">
        <v>38310</v>
      </c>
      <c r="Q5300" s="308" t="s">
        <v>38309</v>
      </c>
      <c r="R5300" s="308" t="s">
        <v>2743</v>
      </c>
      <c r="S5300" s="308" t="s">
        <v>81</v>
      </c>
      <c r="T5300" s="308" t="s">
        <v>75</v>
      </c>
      <c r="U5300" s="308" t="s">
        <v>166</v>
      </c>
      <c r="V5300" s="308"/>
    </row>
    <row r="5301">
      <c r="A5301" s="308">
        <v>5300.0</v>
      </c>
      <c r="B5301" s="308"/>
      <c r="C5301" s="308" t="s">
        <v>21312</v>
      </c>
      <c r="D5301" s="308">
        <f>IFERROR(__xludf.DUMMYFUNCTION("SPLIT(C5301,""-"")"),5321.0)</f>
        <v>5321</v>
      </c>
      <c r="E5301" s="308" t="str">
        <f>IFERROR(__xludf.DUMMYFUNCTION("""COMPUTED_VALUE"""),"K")</f>
        <v>K</v>
      </c>
      <c r="F5301" s="309" t="s">
        <v>34</v>
      </c>
      <c r="G5301" s="308"/>
      <c r="H5301" s="308" t="s">
        <v>21313</v>
      </c>
      <c r="I5301" s="314">
        <v>43019.0</v>
      </c>
      <c r="J5301" s="319" t="str">
        <f>IFERROR(__xludf.DUMMYFUNCTION("SPLIT(I5301,""/"")"),"#REF!")</f>
        <v>#REF!</v>
      </c>
      <c r="K5301" s="308"/>
      <c r="L5301" s="308">
        <v>2017.0</v>
      </c>
      <c r="M5301" s="308" t="s">
        <v>21314</v>
      </c>
      <c r="N5301" s="308"/>
      <c r="O5301" s="308"/>
      <c r="P5301" s="308" t="s">
        <v>38311</v>
      </c>
      <c r="Q5301" s="308" t="s">
        <v>38309</v>
      </c>
      <c r="R5301" s="308" t="s">
        <v>2743</v>
      </c>
      <c r="S5301" s="308" t="s">
        <v>81</v>
      </c>
      <c r="T5301" s="308" t="s">
        <v>73</v>
      </c>
      <c r="U5301" s="308" t="s">
        <v>125</v>
      </c>
      <c r="V5301" s="308"/>
    </row>
    <row r="5302">
      <c r="A5302" s="308">
        <v>5301.0</v>
      </c>
      <c r="B5302" s="308"/>
      <c r="C5302" s="308" t="s">
        <v>21316</v>
      </c>
      <c r="D5302" s="308">
        <f>IFERROR(__xludf.DUMMYFUNCTION("SPLIT(C5302,""-"")"),5322.0)</f>
        <v>5322</v>
      </c>
      <c r="E5302" s="308" t="str">
        <f>IFERROR(__xludf.DUMMYFUNCTION("""COMPUTED_VALUE"""),"K")</f>
        <v>K</v>
      </c>
      <c r="F5302" s="309" t="s">
        <v>34</v>
      </c>
      <c r="G5302" s="308"/>
      <c r="H5302" s="308" t="s">
        <v>21317</v>
      </c>
      <c r="I5302" s="310">
        <v>42942.0</v>
      </c>
      <c r="J5302" s="319" t="str">
        <f>IFERROR(__xludf.DUMMYFUNCTION("SPLIT(I5302,""/"")"),"#REF!")</f>
        <v>#REF!</v>
      </c>
      <c r="K5302" s="308"/>
      <c r="L5302" s="308">
        <v>2017.0</v>
      </c>
      <c r="M5302" s="308" t="s">
        <v>21318</v>
      </c>
      <c r="N5302" s="308"/>
      <c r="O5302" s="308" t="s">
        <v>21319</v>
      </c>
      <c r="P5302" s="308" t="s">
        <v>21320</v>
      </c>
      <c r="Q5302" s="308" t="s">
        <v>38309</v>
      </c>
      <c r="R5302" s="308" t="s">
        <v>2743</v>
      </c>
      <c r="S5302" s="308" t="s">
        <v>81</v>
      </c>
      <c r="T5302" s="308" t="s">
        <v>75</v>
      </c>
      <c r="U5302" s="308" t="s">
        <v>2097</v>
      </c>
      <c r="V5302" s="308"/>
    </row>
    <row r="5303">
      <c r="A5303" s="308">
        <v>5302.0</v>
      </c>
      <c r="B5303" s="308"/>
      <c r="C5303" s="308" t="s">
        <v>21321</v>
      </c>
      <c r="D5303" s="308">
        <f>IFERROR(__xludf.DUMMYFUNCTION("SPLIT(C5303,""-"")"),5323.0)</f>
        <v>5323</v>
      </c>
      <c r="E5303" s="308" t="str">
        <f>IFERROR(__xludf.DUMMYFUNCTION("""COMPUTED_VALUE"""),"K")</f>
        <v>K</v>
      </c>
      <c r="F5303" s="309" t="s">
        <v>34</v>
      </c>
      <c r="G5303" s="308"/>
      <c r="H5303" s="308" t="s">
        <v>21322</v>
      </c>
      <c r="I5303" s="310">
        <v>42152.0</v>
      </c>
      <c r="J5303" s="319">
        <f>IFERROR(__xludf.DUMMYFUNCTION("SPLIT(I5303,""/"")"),28.0)</f>
        <v>28</v>
      </c>
      <c r="K5303" s="308">
        <f>IFERROR(__xludf.DUMMYFUNCTION("""COMPUTED_VALUE"""),5.0)</f>
        <v>5</v>
      </c>
      <c r="L5303" s="308">
        <f>IFERROR(__xludf.DUMMYFUNCTION("""COMPUTED_VALUE"""),2015.0)</f>
        <v>2015</v>
      </c>
      <c r="M5303" s="308" t="s">
        <v>21323</v>
      </c>
      <c r="N5303" s="308"/>
      <c r="O5303" s="308"/>
      <c r="P5303" s="308" t="s">
        <v>21324</v>
      </c>
      <c r="Q5303" s="308" t="s">
        <v>38309</v>
      </c>
      <c r="R5303" s="308" t="s">
        <v>2743</v>
      </c>
      <c r="S5303" s="308" t="s">
        <v>81</v>
      </c>
      <c r="T5303" s="308" t="s">
        <v>34264</v>
      </c>
      <c r="U5303" s="308" t="s">
        <v>872</v>
      </c>
      <c r="V5303" s="308"/>
    </row>
    <row r="5304">
      <c r="A5304" s="308">
        <v>5303.0</v>
      </c>
      <c r="B5304" s="308"/>
      <c r="C5304" s="308" t="s">
        <v>21325</v>
      </c>
      <c r="D5304" s="308">
        <f>IFERROR(__xludf.DUMMYFUNCTION("SPLIT(C5304,""-"")"),5324.0)</f>
        <v>5324</v>
      </c>
      <c r="E5304" s="308" t="str">
        <f>IFERROR(__xludf.DUMMYFUNCTION("""COMPUTED_VALUE"""),"S")</f>
        <v>S</v>
      </c>
      <c r="F5304" s="312" t="s">
        <v>39</v>
      </c>
      <c r="G5304" s="308"/>
      <c r="H5304" s="308" t="s">
        <v>21326</v>
      </c>
      <c r="I5304" s="310">
        <v>42139.0</v>
      </c>
      <c r="J5304" s="319">
        <f>IFERROR(__xludf.DUMMYFUNCTION("SPLIT(I5304,""/"")"),15.0)</f>
        <v>15</v>
      </c>
      <c r="K5304" s="308">
        <f>IFERROR(__xludf.DUMMYFUNCTION("""COMPUTED_VALUE"""),5.0)</f>
        <v>5</v>
      </c>
      <c r="L5304" s="308">
        <f>IFERROR(__xludf.DUMMYFUNCTION("""COMPUTED_VALUE"""),2015.0)</f>
        <v>2015</v>
      </c>
      <c r="M5304" s="308" t="s">
        <v>21327</v>
      </c>
      <c r="N5304" s="308"/>
      <c r="O5304" s="308"/>
      <c r="P5304" s="308" t="s">
        <v>38312</v>
      </c>
      <c r="Q5304" s="308" t="s">
        <v>38309</v>
      </c>
      <c r="R5304" s="308" t="s">
        <v>2743</v>
      </c>
      <c r="S5304" s="308" t="s">
        <v>81</v>
      </c>
      <c r="T5304" s="308" t="s">
        <v>34264</v>
      </c>
      <c r="U5304" s="308" t="s">
        <v>166</v>
      </c>
      <c r="V5304" s="308"/>
    </row>
    <row r="5305">
      <c r="A5305" s="308">
        <v>5304.0</v>
      </c>
      <c r="B5305" s="308"/>
      <c r="C5305" s="308" t="s">
        <v>21329</v>
      </c>
      <c r="D5305" s="308">
        <f>IFERROR(__xludf.DUMMYFUNCTION("SPLIT(C5305,""-"")"),5325.0)</f>
        <v>5325</v>
      </c>
      <c r="E5305" s="308" t="str">
        <f>IFERROR(__xludf.DUMMYFUNCTION("""COMPUTED_VALUE"""),"F")</f>
        <v>F</v>
      </c>
      <c r="F5305" s="309" t="s">
        <v>34</v>
      </c>
      <c r="G5305" s="308"/>
      <c r="H5305" s="308" t="s">
        <v>21330</v>
      </c>
      <c r="I5305" s="310">
        <v>42856.0</v>
      </c>
      <c r="J5305" s="319" t="str">
        <f>IFERROR(__xludf.DUMMYFUNCTION("SPLIT(I5305,""/"")"),"#REF!")</f>
        <v>#REF!</v>
      </c>
      <c r="K5305" s="308"/>
      <c r="L5305" s="308">
        <v>2017.0</v>
      </c>
      <c r="M5305" s="308" t="s">
        <v>38313</v>
      </c>
      <c r="N5305" s="308"/>
      <c r="O5305" s="308"/>
      <c r="P5305" s="308" t="s">
        <v>21332</v>
      </c>
      <c r="Q5305" s="308" t="s">
        <v>38309</v>
      </c>
      <c r="R5305" s="308" t="s">
        <v>2743</v>
      </c>
      <c r="S5305" s="308" t="s">
        <v>81</v>
      </c>
      <c r="T5305" s="308" t="s">
        <v>34264</v>
      </c>
      <c r="U5305" s="308" t="s">
        <v>195</v>
      </c>
      <c r="V5305" s="308"/>
    </row>
    <row r="5306">
      <c r="A5306" s="308">
        <v>5305.0</v>
      </c>
      <c r="B5306" s="308"/>
      <c r="C5306" s="308" t="s">
        <v>21333</v>
      </c>
      <c r="D5306" s="308">
        <f>IFERROR(__xludf.DUMMYFUNCTION("SPLIT(C5306,""-"")"),5326.0)</f>
        <v>5326</v>
      </c>
      <c r="E5306" s="308" t="str">
        <f>IFERROR(__xludf.DUMMYFUNCTION("""COMPUTED_VALUE"""),"F")</f>
        <v>F</v>
      </c>
      <c r="F5306" s="309" t="s">
        <v>34</v>
      </c>
      <c r="G5306" s="308"/>
      <c r="H5306" s="308" t="s">
        <v>21334</v>
      </c>
      <c r="I5306" s="310">
        <v>43076.0</v>
      </c>
      <c r="J5306" s="319" t="str">
        <f>IFERROR(__xludf.DUMMYFUNCTION("SPLIT(I5306,""/"")"),"#REF!")</f>
        <v>#REF!</v>
      </c>
      <c r="K5306" s="308"/>
      <c r="L5306" s="308">
        <v>2017.0</v>
      </c>
      <c r="M5306" s="308" t="s">
        <v>21335</v>
      </c>
      <c r="N5306" s="308"/>
      <c r="O5306" s="308" t="s">
        <v>21336</v>
      </c>
      <c r="P5306" s="308" t="s">
        <v>6393</v>
      </c>
      <c r="Q5306" s="308" t="s">
        <v>38309</v>
      </c>
      <c r="R5306" s="308" t="s">
        <v>2743</v>
      </c>
      <c r="S5306" s="315" t="s">
        <v>100</v>
      </c>
      <c r="T5306" s="311" t="s">
        <v>34208</v>
      </c>
      <c r="U5306" s="308" t="s">
        <v>19459</v>
      </c>
      <c r="V5306" s="308"/>
    </row>
    <row r="5307">
      <c r="A5307" s="308">
        <v>5306.0</v>
      </c>
      <c r="B5307" s="308"/>
      <c r="C5307" s="308" t="s">
        <v>21337</v>
      </c>
      <c r="D5307" s="308">
        <f>IFERROR(__xludf.DUMMYFUNCTION("SPLIT(C5307,""-"")"),5327.0)</f>
        <v>5327</v>
      </c>
      <c r="E5307" s="308" t="str">
        <f>IFERROR(__xludf.DUMMYFUNCTION("""COMPUTED_VALUE"""),"P")</f>
        <v>P</v>
      </c>
      <c r="F5307" s="312" t="s">
        <v>37</v>
      </c>
      <c r="G5307" s="308"/>
      <c r="H5307" s="308" t="s">
        <v>21338</v>
      </c>
      <c r="I5307" s="314">
        <v>41992.0</v>
      </c>
      <c r="J5307" s="319">
        <f>IFERROR(__xludf.DUMMYFUNCTION("SPLIT(I5307,""/"")"),19.0)</f>
        <v>19</v>
      </c>
      <c r="K5307" s="308">
        <f>IFERROR(__xludf.DUMMYFUNCTION("""COMPUTED_VALUE"""),12.0)</f>
        <v>12</v>
      </c>
      <c r="L5307" s="308">
        <f>IFERROR(__xludf.DUMMYFUNCTION("""COMPUTED_VALUE"""),2014.0)</f>
        <v>2014</v>
      </c>
      <c r="M5307" s="308" t="s">
        <v>21339</v>
      </c>
      <c r="N5307" s="308" t="s">
        <v>21340</v>
      </c>
      <c r="O5307" s="308"/>
      <c r="P5307" s="308" t="s">
        <v>38314</v>
      </c>
      <c r="Q5307" s="308" t="s">
        <v>38309</v>
      </c>
      <c r="R5307" s="308" t="s">
        <v>2743</v>
      </c>
      <c r="S5307" s="308" t="s">
        <v>81</v>
      </c>
      <c r="T5307" s="311" t="s">
        <v>96</v>
      </c>
      <c r="U5307" s="308" t="s">
        <v>2748</v>
      </c>
      <c r="V5307" s="308"/>
    </row>
    <row r="5308">
      <c r="A5308" s="308">
        <v>5307.0</v>
      </c>
      <c r="B5308" s="308"/>
      <c r="C5308" s="308" t="s">
        <v>21342</v>
      </c>
      <c r="D5308" s="308">
        <f>IFERROR(__xludf.DUMMYFUNCTION("SPLIT(C5308,""-"")"),5328.0)</f>
        <v>5328</v>
      </c>
      <c r="E5308" s="308" t="str">
        <f>IFERROR(__xludf.DUMMYFUNCTION("""COMPUTED_VALUE"""),"P")</f>
        <v>P</v>
      </c>
      <c r="F5308" s="312" t="s">
        <v>37</v>
      </c>
      <c r="G5308" s="308"/>
      <c r="H5308" s="308" t="s">
        <v>21343</v>
      </c>
      <c r="I5308" s="310">
        <v>43307.0</v>
      </c>
      <c r="J5308" s="319">
        <f>IFERROR(__xludf.DUMMYFUNCTION("SPLIT(I5308,""/"")"),26.0)</f>
        <v>26</v>
      </c>
      <c r="K5308" s="308">
        <f>IFERROR(__xludf.DUMMYFUNCTION("""COMPUTED_VALUE"""),7.0)</f>
        <v>7</v>
      </c>
      <c r="L5308" s="308">
        <f>IFERROR(__xludf.DUMMYFUNCTION("""COMPUTED_VALUE"""),2018.0)</f>
        <v>2018</v>
      </c>
      <c r="M5308" s="308" t="s">
        <v>21344</v>
      </c>
      <c r="N5308" s="308"/>
      <c r="O5308" s="308"/>
      <c r="P5308" s="308" t="s">
        <v>21345</v>
      </c>
      <c r="Q5308" s="308" t="s">
        <v>38309</v>
      </c>
      <c r="R5308" s="308" t="s">
        <v>2743</v>
      </c>
      <c r="S5308" s="308" t="s">
        <v>81</v>
      </c>
      <c r="T5308" s="308" t="s">
        <v>73</v>
      </c>
      <c r="U5308" s="308" t="s">
        <v>18777</v>
      </c>
      <c r="V5308" s="308"/>
    </row>
    <row r="5309">
      <c r="A5309" s="308">
        <v>5308.0</v>
      </c>
      <c r="B5309" s="308"/>
      <c r="C5309" s="308" t="s">
        <v>21346</v>
      </c>
      <c r="D5309" s="308">
        <f>IFERROR(__xludf.DUMMYFUNCTION("SPLIT(C5309,""-"")"),5329.0)</f>
        <v>5329</v>
      </c>
      <c r="E5309" s="308" t="str">
        <f>IFERROR(__xludf.DUMMYFUNCTION("""COMPUTED_VALUE"""),"P")</f>
        <v>P</v>
      </c>
      <c r="F5309" s="312" t="s">
        <v>37</v>
      </c>
      <c r="G5309" s="308"/>
      <c r="H5309" s="308" t="s">
        <v>21347</v>
      </c>
      <c r="I5309" s="310">
        <v>43342.0</v>
      </c>
      <c r="J5309" s="319">
        <f>IFERROR(__xludf.DUMMYFUNCTION("SPLIT(I5309,""/"")"),30.0)</f>
        <v>30</v>
      </c>
      <c r="K5309" s="308">
        <f>IFERROR(__xludf.DUMMYFUNCTION("""COMPUTED_VALUE"""),8.0)</f>
        <v>8</v>
      </c>
      <c r="L5309" s="308">
        <f>IFERROR(__xludf.DUMMYFUNCTION("""COMPUTED_VALUE"""),2018.0)</f>
        <v>2018</v>
      </c>
      <c r="M5309" s="308" t="s">
        <v>21348</v>
      </c>
      <c r="N5309" s="308"/>
      <c r="O5309" s="308"/>
      <c r="P5309" s="308" t="s">
        <v>38315</v>
      </c>
      <c r="Q5309" s="308" t="s">
        <v>38309</v>
      </c>
      <c r="R5309" s="308" t="s">
        <v>2743</v>
      </c>
      <c r="S5309" s="308" t="s">
        <v>81</v>
      </c>
      <c r="T5309" s="308" t="s">
        <v>75</v>
      </c>
      <c r="U5309" s="308" t="s">
        <v>143</v>
      </c>
      <c r="V5309" s="308"/>
    </row>
    <row r="5310">
      <c r="A5310" s="308">
        <v>5309.0</v>
      </c>
      <c r="B5310" s="308"/>
      <c r="C5310" s="308" t="s">
        <v>21350</v>
      </c>
      <c r="D5310" s="308">
        <f>IFERROR(__xludf.DUMMYFUNCTION("SPLIT(C5310,""-"")"),5330.0)</f>
        <v>5330</v>
      </c>
      <c r="E5310" s="308" t="str">
        <f>IFERROR(__xludf.DUMMYFUNCTION("""COMPUTED_VALUE"""),"P")</f>
        <v>P</v>
      </c>
      <c r="F5310" s="312" t="s">
        <v>37</v>
      </c>
      <c r="G5310" s="308"/>
      <c r="H5310" s="308" t="s">
        <v>21351</v>
      </c>
      <c r="I5310" s="310">
        <v>43243.0</v>
      </c>
      <c r="J5310" s="319">
        <f>IFERROR(__xludf.DUMMYFUNCTION("SPLIT(I5310,""/"")"),23.0)</f>
        <v>23</v>
      </c>
      <c r="K5310" s="308">
        <f>IFERROR(__xludf.DUMMYFUNCTION("""COMPUTED_VALUE"""),5.0)</f>
        <v>5</v>
      </c>
      <c r="L5310" s="308">
        <f>IFERROR(__xludf.DUMMYFUNCTION("""COMPUTED_VALUE"""),2018.0)</f>
        <v>2018</v>
      </c>
      <c r="M5310" s="308" t="s">
        <v>21352</v>
      </c>
      <c r="N5310" s="308"/>
      <c r="O5310" s="308" t="s">
        <v>21353</v>
      </c>
      <c r="P5310" s="308" t="s">
        <v>21354</v>
      </c>
      <c r="Q5310" s="308" t="s">
        <v>38309</v>
      </c>
      <c r="R5310" s="308" t="s">
        <v>2743</v>
      </c>
      <c r="S5310" s="308" t="s">
        <v>81</v>
      </c>
      <c r="T5310" s="311" t="s">
        <v>96</v>
      </c>
      <c r="U5310" s="308" t="s">
        <v>2291</v>
      </c>
      <c r="V5310" s="308"/>
    </row>
    <row r="5311">
      <c r="A5311" s="308">
        <v>5310.0</v>
      </c>
      <c r="B5311" s="308"/>
      <c r="C5311" s="308" t="s">
        <v>21355</v>
      </c>
      <c r="D5311" s="308">
        <f>IFERROR(__xludf.DUMMYFUNCTION("SPLIT(C5311,""-"")"),5331.0)</f>
        <v>5331</v>
      </c>
      <c r="E5311" s="308" t="str">
        <f>IFERROR(__xludf.DUMMYFUNCTION("""COMPUTED_VALUE"""),"S")</f>
        <v>S</v>
      </c>
      <c r="F5311" s="312" t="s">
        <v>39</v>
      </c>
      <c r="G5311" s="308"/>
      <c r="H5311" s="308" t="s">
        <v>21356</v>
      </c>
      <c r="I5311" s="310">
        <v>40725.0</v>
      </c>
      <c r="J5311" s="319">
        <f>IFERROR(__xludf.DUMMYFUNCTION("SPLIT(I5311,""/"")"),1.0)</f>
        <v>1</v>
      </c>
      <c r="K5311" s="308">
        <f>IFERROR(__xludf.DUMMYFUNCTION("""COMPUTED_VALUE"""),7.0)</f>
        <v>7</v>
      </c>
      <c r="L5311" s="308">
        <f>IFERROR(__xludf.DUMMYFUNCTION("""COMPUTED_VALUE"""),2011.0)</f>
        <v>2011</v>
      </c>
      <c r="M5311" s="308" t="s">
        <v>21357</v>
      </c>
      <c r="N5311" s="308"/>
      <c r="O5311" s="308"/>
      <c r="P5311" s="308" t="s">
        <v>34212</v>
      </c>
      <c r="Q5311" s="308" t="s">
        <v>38309</v>
      </c>
      <c r="R5311" s="308" t="s">
        <v>2743</v>
      </c>
      <c r="S5311" s="315" t="s">
        <v>100</v>
      </c>
      <c r="T5311" s="311" t="s">
        <v>34208</v>
      </c>
      <c r="U5311" s="308" t="s">
        <v>166</v>
      </c>
      <c r="V5311" s="308"/>
    </row>
    <row r="5312">
      <c r="A5312" s="308">
        <v>5311.0</v>
      </c>
      <c r="B5312" s="308"/>
      <c r="C5312" s="308" t="s">
        <v>21358</v>
      </c>
      <c r="D5312" s="308">
        <f>IFERROR(__xludf.DUMMYFUNCTION("SPLIT(C5312,""-"")"),5332.0)</f>
        <v>5332</v>
      </c>
      <c r="E5312" s="308" t="str">
        <f>IFERROR(__xludf.DUMMYFUNCTION("""COMPUTED_VALUE"""),"F")</f>
        <v>F</v>
      </c>
      <c r="F5312" s="309" t="s">
        <v>34</v>
      </c>
      <c r="G5312" s="308"/>
      <c r="H5312" s="308" t="s">
        <v>21359</v>
      </c>
      <c r="I5312" s="310">
        <v>41108.0</v>
      </c>
      <c r="J5312" s="319">
        <f>IFERROR(__xludf.DUMMYFUNCTION("SPLIT(I5312,""/"")"),18.0)</f>
        <v>18</v>
      </c>
      <c r="K5312" s="308">
        <f>IFERROR(__xludf.DUMMYFUNCTION("""COMPUTED_VALUE"""),7.0)</f>
        <v>7</v>
      </c>
      <c r="L5312" s="308">
        <f>IFERROR(__xludf.DUMMYFUNCTION("""COMPUTED_VALUE"""),2012.0)</f>
        <v>2012</v>
      </c>
      <c r="M5312" s="308" t="s">
        <v>21360</v>
      </c>
      <c r="N5312" s="308">
        <v>5422.0</v>
      </c>
      <c r="O5312" s="308"/>
      <c r="P5312" s="308" t="s">
        <v>34212</v>
      </c>
      <c r="Q5312" s="308" t="s">
        <v>38316</v>
      </c>
      <c r="R5312" s="308" t="s">
        <v>20329</v>
      </c>
      <c r="S5312" s="315" t="s">
        <v>100</v>
      </c>
      <c r="T5312" s="311" t="s">
        <v>34208</v>
      </c>
      <c r="U5312" s="308" t="s">
        <v>195</v>
      </c>
      <c r="V5312" s="308"/>
    </row>
    <row r="5313">
      <c r="A5313" s="308">
        <v>5312.0</v>
      </c>
      <c r="B5313" s="308"/>
      <c r="C5313" s="308" t="s">
        <v>21361</v>
      </c>
      <c r="D5313" s="308" t="str">
        <f>IFERROR(__xludf.DUMMYFUNCTION("SPLIT(C5313,""-"")"),"#REF!")</f>
        <v>#REF!</v>
      </c>
      <c r="E5313" s="311"/>
      <c r="F5313" s="317" t="s">
        <v>39</v>
      </c>
      <c r="G5313" s="308"/>
      <c r="H5313" s="308" t="s">
        <v>21362</v>
      </c>
      <c r="I5313" s="310">
        <v>43159.0</v>
      </c>
      <c r="J5313" s="319">
        <f>IFERROR(__xludf.DUMMYFUNCTION("SPLIT(I5313,""/"")"),28.0)</f>
        <v>28</v>
      </c>
      <c r="K5313" s="308">
        <f>IFERROR(__xludf.DUMMYFUNCTION("""COMPUTED_VALUE"""),2.0)</f>
        <v>2</v>
      </c>
      <c r="L5313" s="308">
        <f>IFERROR(__xludf.DUMMYFUNCTION("""COMPUTED_VALUE"""),2018.0)</f>
        <v>2018</v>
      </c>
      <c r="M5313" s="308" t="s">
        <v>21363</v>
      </c>
      <c r="N5313" s="308"/>
      <c r="O5313" s="308"/>
      <c r="P5313" s="308" t="s">
        <v>38317</v>
      </c>
      <c r="Q5313" s="308" t="s">
        <v>38316</v>
      </c>
      <c r="R5313" s="308" t="s">
        <v>2743</v>
      </c>
      <c r="S5313" s="308" t="s">
        <v>81</v>
      </c>
      <c r="T5313" s="311" t="s">
        <v>91</v>
      </c>
      <c r="U5313" s="308" t="s">
        <v>166</v>
      </c>
      <c r="V5313" s="308"/>
    </row>
    <row r="5314">
      <c r="A5314" s="308">
        <v>5313.0</v>
      </c>
      <c r="B5314" s="308"/>
      <c r="C5314" s="308" t="s">
        <v>21365</v>
      </c>
      <c r="D5314" s="308">
        <f>IFERROR(__xludf.DUMMYFUNCTION("SPLIT(C5314,""-"")"),5334.0)</f>
        <v>5334</v>
      </c>
      <c r="E5314" s="308" t="str">
        <f>IFERROR(__xludf.DUMMYFUNCTION("""COMPUTED_VALUE"""),"I")</f>
        <v>I</v>
      </c>
      <c r="F5314" s="309" t="s">
        <v>31</v>
      </c>
      <c r="G5314" s="308"/>
      <c r="H5314" s="308" t="s">
        <v>21366</v>
      </c>
      <c r="I5314" s="310">
        <v>43072.0</v>
      </c>
      <c r="J5314" s="319">
        <f>IFERROR(__xludf.DUMMYFUNCTION("SPLIT(I5314,""/"")"),3.0)</f>
        <v>3</v>
      </c>
      <c r="K5314" s="308">
        <f>IFERROR(__xludf.DUMMYFUNCTION("""COMPUTED_VALUE"""),12.0)</f>
        <v>12</v>
      </c>
      <c r="L5314" s="308">
        <f>IFERROR(__xludf.DUMMYFUNCTION("""COMPUTED_VALUE"""),2017.0)</f>
        <v>2017</v>
      </c>
      <c r="M5314" s="308" t="s">
        <v>21367</v>
      </c>
      <c r="N5314" s="308"/>
      <c r="O5314" s="308"/>
      <c r="P5314" s="308" t="s">
        <v>21368</v>
      </c>
      <c r="Q5314" s="308" t="s">
        <v>38316</v>
      </c>
      <c r="R5314" s="308" t="s">
        <v>2743</v>
      </c>
      <c r="S5314" s="308" t="s">
        <v>81</v>
      </c>
      <c r="T5314" s="311" t="s">
        <v>96</v>
      </c>
      <c r="U5314" s="308" t="s">
        <v>31</v>
      </c>
      <c r="V5314" s="308"/>
    </row>
    <row r="5315">
      <c r="A5315" s="308">
        <v>5314.0</v>
      </c>
      <c r="B5315" s="308"/>
      <c r="C5315" s="308" t="s">
        <v>21369</v>
      </c>
      <c r="D5315" s="308">
        <f>IFERROR(__xludf.DUMMYFUNCTION("SPLIT(C5315,""-"")"),5335.0)</f>
        <v>5335</v>
      </c>
      <c r="E5315" s="308" t="str">
        <f>IFERROR(__xludf.DUMMYFUNCTION("""COMPUTED_VALUE"""),"P")</f>
        <v>P</v>
      </c>
      <c r="F5315" s="312" t="s">
        <v>37</v>
      </c>
      <c r="G5315" s="308"/>
      <c r="H5315" s="308" t="s">
        <v>21370</v>
      </c>
      <c r="I5315" s="310">
        <v>42859.0</v>
      </c>
      <c r="J5315" s="319">
        <f>IFERROR(__xludf.DUMMYFUNCTION("SPLIT(I5315,""/"")"),4.0)</f>
        <v>4</v>
      </c>
      <c r="K5315" s="308">
        <f>IFERROR(__xludf.DUMMYFUNCTION("""COMPUTED_VALUE"""),5.0)</f>
        <v>5</v>
      </c>
      <c r="L5315" s="308">
        <f>IFERROR(__xludf.DUMMYFUNCTION("""COMPUTED_VALUE"""),2017.0)</f>
        <v>2017</v>
      </c>
      <c r="M5315" s="308" t="s">
        <v>21371</v>
      </c>
      <c r="N5315" s="308"/>
      <c r="O5315" s="308" t="s">
        <v>21372</v>
      </c>
      <c r="P5315" s="308" t="s">
        <v>21373</v>
      </c>
      <c r="Q5315" s="308" t="s">
        <v>38316</v>
      </c>
      <c r="R5315" s="308" t="s">
        <v>2743</v>
      </c>
      <c r="S5315" s="308" t="s">
        <v>81</v>
      </c>
      <c r="T5315" s="311" t="s">
        <v>77</v>
      </c>
      <c r="U5315" s="308" t="s">
        <v>18576</v>
      </c>
      <c r="V5315" s="308"/>
    </row>
    <row r="5316">
      <c r="A5316" s="308">
        <v>5315.0</v>
      </c>
      <c r="B5316" s="308"/>
      <c r="C5316" s="308" t="s">
        <v>21374</v>
      </c>
      <c r="D5316" s="308">
        <f>IFERROR(__xludf.DUMMYFUNCTION("SPLIT(C5316,""-"")"),5336.0)</f>
        <v>5336</v>
      </c>
      <c r="E5316" s="308" t="str">
        <f>IFERROR(__xludf.DUMMYFUNCTION("""COMPUTED_VALUE"""),"K")</f>
        <v>K</v>
      </c>
      <c r="F5316" s="309" t="s">
        <v>34</v>
      </c>
      <c r="G5316" s="308"/>
      <c r="H5316" s="308" t="s">
        <v>21375</v>
      </c>
      <c r="I5316" s="310">
        <v>42853.0</v>
      </c>
      <c r="J5316" s="319" t="str">
        <f>IFERROR(__xludf.DUMMYFUNCTION("SPLIT(I5316,""/"")"),"#REF!")</f>
        <v>#REF!</v>
      </c>
      <c r="K5316" s="308"/>
      <c r="L5316" s="308">
        <v>2017.0</v>
      </c>
      <c r="M5316" s="308" t="s">
        <v>21376</v>
      </c>
      <c r="N5316" s="308" t="s">
        <v>21377</v>
      </c>
      <c r="O5316" s="308"/>
      <c r="P5316" s="308" t="s">
        <v>36944</v>
      </c>
      <c r="Q5316" s="308" t="s">
        <v>38316</v>
      </c>
      <c r="R5316" s="308" t="s">
        <v>2743</v>
      </c>
      <c r="S5316" s="308" t="s">
        <v>49</v>
      </c>
      <c r="T5316" s="308" t="s">
        <v>51</v>
      </c>
      <c r="U5316" s="308" t="s">
        <v>125</v>
      </c>
      <c r="V5316" s="308"/>
    </row>
    <row r="5317">
      <c r="A5317" s="308">
        <v>5316.0</v>
      </c>
      <c r="B5317" s="308"/>
      <c r="C5317" s="308" t="s">
        <v>21378</v>
      </c>
      <c r="D5317" s="308">
        <f>IFERROR(__xludf.DUMMYFUNCTION("SPLIT(C5317,""-"")"),5337.0)</f>
        <v>5337</v>
      </c>
      <c r="E5317" s="308" t="str">
        <f>IFERROR(__xludf.DUMMYFUNCTION("""COMPUTED_VALUE"""),"K")</f>
        <v>K</v>
      </c>
      <c r="F5317" s="309" t="s">
        <v>34</v>
      </c>
      <c r="G5317" s="308"/>
      <c r="H5317" s="308" t="s">
        <v>21379</v>
      </c>
      <c r="I5317" s="310">
        <v>42768.0</v>
      </c>
      <c r="J5317" s="319" t="str">
        <f>IFERROR(__xludf.DUMMYFUNCTION("SPLIT(I5317,""/"")"),"#REF!")</f>
        <v>#REF!</v>
      </c>
      <c r="K5317" s="308"/>
      <c r="L5317" s="308">
        <v>2017.0</v>
      </c>
      <c r="M5317" s="308" t="s">
        <v>38318</v>
      </c>
      <c r="N5317" s="308"/>
      <c r="O5317" s="308"/>
      <c r="P5317" s="308" t="s">
        <v>38319</v>
      </c>
      <c r="Q5317" s="308" t="s">
        <v>38316</v>
      </c>
      <c r="R5317" s="308" t="s">
        <v>2743</v>
      </c>
      <c r="S5317" s="308" t="s">
        <v>81</v>
      </c>
      <c r="T5317" s="308" t="s">
        <v>75</v>
      </c>
      <c r="U5317" s="308" t="s">
        <v>4749</v>
      </c>
      <c r="V5317" s="308"/>
    </row>
    <row r="5318">
      <c r="A5318" s="308">
        <v>5317.0</v>
      </c>
      <c r="B5318" s="308"/>
      <c r="C5318" s="308" t="s">
        <v>21382</v>
      </c>
      <c r="D5318" s="308">
        <f>IFERROR(__xludf.DUMMYFUNCTION("SPLIT(C5318,""-"")"),5338.0)</f>
        <v>5338</v>
      </c>
      <c r="E5318" s="308" t="str">
        <f>IFERROR(__xludf.DUMMYFUNCTION("""COMPUTED_VALUE"""),"K")</f>
        <v>K</v>
      </c>
      <c r="F5318" s="309" t="s">
        <v>34</v>
      </c>
      <c r="G5318" s="308"/>
      <c r="H5318" s="308" t="s">
        <v>21383</v>
      </c>
      <c r="I5318" s="310">
        <v>42768.0</v>
      </c>
      <c r="J5318" s="319" t="str">
        <f>IFERROR(__xludf.DUMMYFUNCTION("SPLIT(I5318,""/"")"),"#REF!")</f>
        <v>#REF!</v>
      </c>
      <c r="K5318" s="308"/>
      <c r="L5318" s="308">
        <v>2017.0</v>
      </c>
      <c r="M5318" s="308" t="s">
        <v>38318</v>
      </c>
      <c r="N5318" s="308"/>
      <c r="O5318" s="308"/>
      <c r="P5318" s="308" t="s">
        <v>38320</v>
      </c>
      <c r="Q5318" s="308" t="s">
        <v>38316</v>
      </c>
      <c r="R5318" s="308" t="s">
        <v>2743</v>
      </c>
      <c r="S5318" s="308" t="s">
        <v>81</v>
      </c>
      <c r="T5318" s="311" t="s">
        <v>35043</v>
      </c>
      <c r="U5318" s="308" t="s">
        <v>4749</v>
      </c>
      <c r="V5318" s="308"/>
    </row>
    <row r="5319">
      <c r="A5319" s="308">
        <v>5318.0</v>
      </c>
      <c r="B5319" s="308"/>
      <c r="C5319" s="308" t="s">
        <v>21385</v>
      </c>
      <c r="D5319" s="308">
        <f>IFERROR(__xludf.DUMMYFUNCTION("SPLIT(C5319,""-"")"),5339.0)</f>
        <v>5339</v>
      </c>
      <c r="E5319" s="308" t="str">
        <f>IFERROR(__xludf.DUMMYFUNCTION("""COMPUTED_VALUE"""),"K")</f>
        <v>K</v>
      </c>
      <c r="F5319" s="309" t="s">
        <v>34</v>
      </c>
      <c r="G5319" s="308"/>
      <c r="H5319" s="308" t="s">
        <v>21386</v>
      </c>
      <c r="I5319" s="310">
        <v>40360.0</v>
      </c>
      <c r="J5319" s="319">
        <f>IFERROR(__xludf.DUMMYFUNCTION("SPLIT(I5319,""/"")"),1.0)</f>
        <v>1</v>
      </c>
      <c r="K5319" s="308">
        <f>IFERROR(__xludf.DUMMYFUNCTION("""COMPUTED_VALUE"""),7.0)</f>
        <v>7</v>
      </c>
      <c r="L5319" s="308">
        <f>IFERROR(__xludf.DUMMYFUNCTION("""COMPUTED_VALUE"""),2010.0)</f>
        <v>2010</v>
      </c>
      <c r="M5319" s="308" t="s">
        <v>21387</v>
      </c>
      <c r="N5319" s="308"/>
      <c r="O5319" s="308"/>
      <c r="P5319" s="308" t="s">
        <v>38321</v>
      </c>
      <c r="Q5319" s="308" t="s">
        <v>37036</v>
      </c>
      <c r="R5319" s="308" t="s">
        <v>2743</v>
      </c>
      <c r="S5319" s="308" t="s">
        <v>49</v>
      </c>
      <c r="T5319" s="311" t="s">
        <v>51</v>
      </c>
      <c r="U5319" s="308" t="s">
        <v>2466</v>
      </c>
      <c r="V5319" s="308"/>
    </row>
    <row r="5320">
      <c r="A5320" s="308">
        <v>5319.0</v>
      </c>
      <c r="B5320" s="308"/>
      <c r="C5320" s="308" t="s">
        <v>21389</v>
      </c>
      <c r="D5320" s="308">
        <f>IFERROR(__xludf.DUMMYFUNCTION("SPLIT(C5320,""-"")"),5340.0)</f>
        <v>5340</v>
      </c>
      <c r="E5320" s="308" t="str">
        <f>IFERROR(__xludf.DUMMYFUNCTION("""COMPUTED_VALUE"""),"K")</f>
        <v>K</v>
      </c>
      <c r="F5320" s="309" t="s">
        <v>34</v>
      </c>
      <c r="G5320" s="308"/>
      <c r="H5320" s="308" t="s">
        <v>21390</v>
      </c>
      <c r="I5320" s="310">
        <v>40360.0</v>
      </c>
      <c r="J5320" s="319">
        <f>IFERROR(__xludf.DUMMYFUNCTION("SPLIT(I5320,""/"")"),1.0)</f>
        <v>1</v>
      </c>
      <c r="K5320" s="308">
        <f>IFERROR(__xludf.DUMMYFUNCTION("""COMPUTED_VALUE"""),7.0)</f>
        <v>7</v>
      </c>
      <c r="L5320" s="308">
        <f>IFERROR(__xludf.DUMMYFUNCTION("""COMPUTED_VALUE"""),2010.0)</f>
        <v>2010</v>
      </c>
      <c r="M5320" s="308" t="s">
        <v>21387</v>
      </c>
      <c r="N5320" s="308"/>
      <c r="O5320" s="308"/>
      <c r="P5320" s="308" t="s">
        <v>38322</v>
      </c>
      <c r="Q5320" s="308" t="s">
        <v>37036</v>
      </c>
      <c r="R5320" s="308" t="s">
        <v>2743</v>
      </c>
      <c r="S5320" s="308" t="s">
        <v>49</v>
      </c>
      <c r="T5320" s="311" t="s">
        <v>51</v>
      </c>
      <c r="U5320" s="308" t="s">
        <v>941</v>
      </c>
      <c r="V5320" s="308"/>
    </row>
    <row r="5321">
      <c r="A5321" s="308">
        <v>5320.0</v>
      </c>
      <c r="B5321" s="308"/>
      <c r="C5321" s="308" t="s">
        <v>21392</v>
      </c>
      <c r="D5321" s="308">
        <f>IFERROR(__xludf.DUMMYFUNCTION("SPLIT(C5321,""-"")"),5341.0)</f>
        <v>5341</v>
      </c>
      <c r="E5321" s="308" t="str">
        <f>IFERROR(__xludf.DUMMYFUNCTION("""COMPUTED_VALUE"""),"S")</f>
        <v>S</v>
      </c>
      <c r="F5321" s="312" t="s">
        <v>39</v>
      </c>
      <c r="G5321" s="308"/>
      <c r="H5321" s="308" t="s">
        <v>21393</v>
      </c>
      <c r="I5321" s="310">
        <v>42275.0</v>
      </c>
      <c r="J5321" s="319">
        <f>IFERROR(__xludf.DUMMYFUNCTION("SPLIT(I5321,""/"")"),28.0)</f>
        <v>28</v>
      </c>
      <c r="K5321" s="308">
        <f>IFERROR(__xludf.DUMMYFUNCTION("""COMPUTED_VALUE"""),9.0)</f>
        <v>9</v>
      </c>
      <c r="L5321" s="308">
        <f>IFERROR(__xludf.DUMMYFUNCTION("""COMPUTED_VALUE"""),2015.0)</f>
        <v>2015</v>
      </c>
      <c r="M5321" s="308" t="s">
        <v>21394</v>
      </c>
      <c r="N5321" s="308"/>
      <c r="O5321" s="308"/>
      <c r="P5321" s="308" t="s">
        <v>38323</v>
      </c>
      <c r="Q5321" s="308" t="s">
        <v>37036</v>
      </c>
      <c r="R5321" s="308" t="s">
        <v>2743</v>
      </c>
      <c r="S5321" s="308" t="s">
        <v>81</v>
      </c>
      <c r="T5321" s="308" t="s">
        <v>75</v>
      </c>
      <c r="U5321" s="308" t="s">
        <v>166</v>
      </c>
      <c r="V5321" s="308"/>
    </row>
    <row r="5322">
      <c r="A5322" s="308">
        <v>5321.0</v>
      </c>
      <c r="B5322" s="308"/>
      <c r="C5322" s="308" t="s">
        <v>21396</v>
      </c>
      <c r="D5322" s="308">
        <f>IFERROR(__xludf.DUMMYFUNCTION("SPLIT(C5322,""-"")"),5342.0)</f>
        <v>5342</v>
      </c>
      <c r="E5322" s="308" t="str">
        <f>IFERROR(__xludf.DUMMYFUNCTION("""COMPUTED_VALUE"""),"S")</f>
        <v>S</v>
      </c>
      <c r="F5322" s="312" t="s">
        <v>39</v>
      </c>
      <c r="G5322" s="308"/>
      <c r="H5322" s="308" t="s">
        <v>21397</v>
      </c>
      <c r="I5322" s="310">
        <v>42965.0</v>
      </c>
      <c r="J5322" s="319">
        <f>IFERROR(__xludf.DUMMYFUNCTION("SPLIT(I5322,""/"")"),18.0)</f>
        <v>18</v>
      </c>
      <c r="K5322" s="308">
        <f>IFERROR(__xludf.DUMMYFUNCTION("""COMPUTED_VALUE"""),8.0)</f>
        <v>8</v>
      </c>
      <c r="L5322" s="308">
        <f>IFERROR(__xludf.DUMMYFUNCTION("""COMPUTED_VALUE"""),2017.0)</f>
        <v>2017</v>
      </c>
      <c r="M5322" s="308" t="s">
        <v>21398</v>
      </c>
      <c r="N5322" s="308"/>
      <c r="O5322" s="308"/>
      <c r="P5322" s="308" t="s">
        <v>5653</v>
      </c>
      <c r="Q5322" s="308" t="s">
        <v>37036</v>
      </c>
      <c r="R5322" s="308" t="s">
        <v>2743</v>
      </c>
      <c r="S5322" s="315" t="s">
        <v>100</v>
      </c>
      <c r="T5322" s="311" t="s">
        <v>34208</v>
      </c>
      <c r="U5322" s="308" t="s">
        <v>166</v>
      </c>
      <c r="V5322" s="308"/>
    </row>
    <row r="5323">
      <c r="A5323" s="308">
        <v>5322.0</v>
      </c>
      <c r="B5323" s="308"/>
      <c r="C5323" s="308" t="s">
        <v>21399</v>
      </c>
      <c r="D5323" s="308">
        <f>IFERROR(__xludf.DUMMYFUNCTION("SPLIT(C5323,""-"")"),5343.0)</f>
        <v>5343</v>
      </c>
      <c r="E5323" s="308" t="str">
        <f>IFERROR(__xludf.DUMMYFUNCTION("""COMPUTED_VALUE"""),"K")</f>
        <v>K</v>
      </c>
      <c r="F5323" s="309" t="s">
        <v>34</v>
      </c>
      <c r="G5323" s="308"/>
      <c r="H5323" s="308" t="s">
        <v>21400</v>
      </c>
      <c r="I5323" s="310">
        <v>42469.0</v>
      </c>
      <c r="J5323" s="319">
        <f>IFERROR(__xludf.DUMMYFUNCTION("SPLIT(I5323,""/"")"),9.0)</f>
        <v>9</v>
      </c>
      <c r="K5323" s="308">
        <f>IFERROR(__xludf.DUMMYFUNCTION("""COMPUTED_VALUE"""),4.0)</f>
        <v>4</v>
      </c>
      <c r="L5323" s="308">
        <f>IFERROR(__xludf.DUMMYFUNCTION("""COMPUTED_VALUE"""),2016.0)</f>
        <v>2016</v>
      </c>
      <c r="M5323" s="308" t="s">
        <v>21401</v>
      </c>
      <c r="N5323" s="308"/>
      <c r="O5323" s="308"/>
      <c r="P5323" s="308" t="s">
        <v>38324</v>
      </c>
      <c r="Q5323" s="308" t="s">
        <v>37036</v>
      </c>
      <c r="R5323" s="308" t="s">
        <v>2743</v>
      </c>
      <c r="S5323" s="308" t="s">
        <v>81</v>
      </c>
      <c r="T5323" s="308" t="s">
        <v>34264</v>
      </c>
      <c r="U5323" s="308" t="s">
        <v>2152</v>
      </c>
      <c r="V5323" s="308"/>
    </row>
    <row r="5324">
      <c r="A5324" s="308">
        <v>5323.0</v>
      </c>
      <c r="B5324" s="308"/>
      <c r="C5324" s="308" t="s">
        <v>21403</v>
      </c>
      <c r="D5324" s="308">
        <f>IFERROR(__xludf.DUMMYFUNCTION("SPLIT(C5324,""-"")"),5344.0)</f>
        <v>5344</v>
      </c>
      <c r="E5324" s="308" t="str">
        <f>IFERROR(__xludf.DUMMYFUNCTION("""COMPUTED_VALUE"""),"P")</f>
        <v>P</v>
      </c>
      <c r="F5324" s="312" t="s">
        <v>37</v>
      </c>
      <c r="G5324" s="308"/>
      <c r="H5324" s="308" t="s">
        <v>21404</v>
      </c>
      <c r="I5324" s="310">
        <v>42997.0</v>
      </c>
      <c r="J5324" s="319">
        <f>IFERROR(__xludf.DUMMYFUNCTION("SPLIT(I5324,""/"")"),19.0)</f>
        <v>19</v>
      </c>
      <c r="K5324" s="308">
        <f>IFERROR(__xludf.DUMMYFUNCTION("""COMPUTED_VALUE"""),9.0)</f>
        <v>9</v>
      </c>
      <c r="L5324" s="308">
        <f>IFERROR(__xludf.DUMMYFUNCTION("""COMPUTED_VALUE"""),2017.0)</f>
        <v>2017</v>
      </c>
      <c r="M5324" s="308" t="s">
        <v>21405</v>
      </c>
      <c r="N5324" s="308"/>
      <c r="O5324" s="308"/>
      <c r="P5324" s="308" t="s">
        <v>21406</v>
      </c>
      <c r="Q5324" s="308" t="s">
        <v>38325</v>
      </c>
      <c r="R5324" s="308" t="s">
        <v>2743</v>
      </c>
      <c r="S5324" s="308" t="s">
        <v>81</v>
      </c>
      <c r="T5324" s="311" t="s">
        <v>51</v>
      </c>
      <c r="U5324" s="308" t="s">
        <v>143</v>
      </c>
      <c r="V5324" s="308"/>
    </row>
    <row r="5325">
      <c r="A5325" s="308">
        <v>5324.0</v>
      </c>
      <c r="B5325" s="308"/>
      <c r="C5325" s="308" t="s">
        <v>21407</v>
      </c>
      <c r="D5325" s="308">
        <f>IFERROR(__xludf.DUMMYFUNCTION("SPLIT(C5325,""-"")"),5345.0)</f>
        <v>5345</v>
      </c>
      <c r="E5325" s="308" t="str">
        <f>IFERROR(__xludf.DUMMYFUNCTION("""COMPUTED_VALUE"""),"K")</f>
        <v>K</v>
      </c>
      <c r="F5325" s="309" t="s">
        <v>34</v>
      </c>
      <c r="G5325" s="308"/>
      <c r="H5325" s="308" t="s">
        <v>21408</v>
      </c>
      <c r="I5325" s="310">
        <v>40791.0</v>
      </c>
      <c r="J5325" s="319">
        <f>IFERROR(__xludf.DUMMYFUNCTION("SPLIT(I5325,""/"")"),5.0)</f>
        <v>5</v>
      </c>
      <c r="K5325" s="308">
        <f>IFERROR(__xludf.DUMMYFUNCTION("""COMPUTED_VALUE"""),9.0)</f>
        <v>9</v>
      </c>
      <c r="L5325" s="308">
        <f>IFERROR(__xludf.DUMMYFUNCTION("""COMPUTED_VALUE"""),2011.0)</f>
        <v>2011</v>
      </c>
      <c r="M5325" s="308" t="s">
        <v>38326</v>
      </c>
      <c r="N5325" s="308" t="s">
        <v>21410</v>
      </c>
      <c r="O5325" s="308"/>
      <c r="P5325" s="308" t="s">
        <v>5679</v>
      </c>
      <c r="Q5325" s="308" t="s">
        <v>38325</v>
      </c>
      <c r="R5325" s="308" t="s">
        <v>2743</v>
      </c>
      <c r="S5325" s="315" t="s">
        <v>100</v>
      </c>
      <c r="T5325" s="311" t="s">
        <v>34208</v>
      </c>
      <c r="U5325" s="308" t="s">
        <v>125</v>
      </c>
      <c r="V5325" s="308"/>
    </row>
    <row r="5326">
      <c r="A5326" s="308">
        <v>5325.0</v>
      </c>
      <c r="B5326" s="308"/>
      <c r="C5326" s="308" t="s">
        <v>21411</v>
      </c>
      <c r="D5326" s="308">
        <f>IFERROR(__xludf.DUMMYFUNCTION("SPLIT(C5326,""-"")"),5346.0)</f>
        <v>5346</v>
      </c>
      <c r="E5326" s="308" t="str">
        <f>IFERROR(__xludf.DUMMYFUNCTION("""COMPUTED_VALUE"""),"K")</f>
        <v>K</v>
      </c>
      <c r="F5326" s="309" t="s">
        <v>34</v>
      </c>
      <c r="G5326" s="308"/>
      <c r="H5326" s="308" t="s">
        <v>38327</v>
      </c>
      <c r="I5326" s="310">
        <v>42960.0</v>
      </c>
      <c r="J5326" s="319" t="str">
        <f>IFERROR(__xludf.DUMMYFUNCTION("SPLIT(I5326,""/"")"),"#REF!")</f>
        <v>#REF!</v>
      </c>
      <c r="K5326" s="308"/>
      <c r="L5326" s="308">
        <v>2017.0</v>
      </c>
      <c r="M5326" s="308" t="s">
        <v>21413</v>
      </c>
      <c r="N5326" s="308" t="s">
        <v>21414</v>
      </c>
      <c r="O5326" s="308" t="s">
        <v>21415</v>
      </c>
      <c r="P5326" s="308" t="s">
        <v>38328</v>
      </c>
      <c r="Q5326" s="308" t="s">
        <v>38325</v>
      </c>
      <c r="R5326" s="308" t="s">
        <v>2743</v>
      </c>
      <c r="S5326" s="308" t="s">
        <v>81</v>
      </c>
      <c r="T5326" s="308" t="s">
        <v>34264</v>
      </c>
      <c r="U5326" s="308" t="s">
        <v>2152</v>
      </c>
      <c r="V5326" s="308"/>
    </row>
    <row r="5327">
      <c r="A5327" s="308">
        <v>5326.0</v>
      </c>
      <c r="B5327" s="308"/>
      <c r="C5327" s="308" t="s">
        <v>21417</v>
      </c>
      <c r="D5327" s="308">
        <f>IFERROR(__xludf.DUMMYFUNCTION("SPLIT(C5327,""-"")"),5347.0)</f>
        <v>5347</v>
      </c>
      <c r="E5327" s="308" t="str">
        <f>IFERROR(__xludf.DUMMYFUNCTION("""COMPUTED_VALUE"""),"F")</f>
        <v>F</v>
      </c>
      <c r="F5327" s="309" t="s">
        <v>34</v>
      </c>
      <c r="G5327" s="308"/>
      <c r="H5327" s="308" t="s">
        <v>21418</v>
      </c>
      <c r="I5327" s="310">
        <v>42939.0</v>
      </c>
      <c r="J5327" s="319" t="str">
        <f>IFERROR(__xludf.DUMMYFUNCTION("SPLIT(I5327,""/"")"),"#REF!")</f>
        <v>#REF!</v>
      </c>
      <c r="K5327" s="308"/>
      <c r="L5327" s="308">
        <v>2017.0</v>
      </c>
      <c r="M5327" s="308" t="s">
        <v>21419</v>
      </c>
      <c r="N5327" s="308"/>
      <c r="O5327" s="308"/>
      <c r="P5327" s="308" t="s">
        <v>38329</v>
      </c>
      <c r="Q5327" s="308" t="s">
        <v>38325</v>
      </c>
      <c r="R5327" s="308" t="s">
        <v>2743</v>
      </c>
      <c r="S5327" s="308" t="s">
        <v>81</v>
      </c>
      <c r="T5327" s="311" t="s">
        <v>35043</v>
      </c>
      <c r="U5327" s="308" t="s">
        <v>195</v>
      </c>
      <c r="V5327" s="308"/>
    </row>
    <row r="5328">
      <c r="A5328" s="308">
        <v>5327.0</v>
      </c>
      <c r="B5328" s="308"/>
      <c r="C5328" s="308" t="s">
        <v>21421</v>
      </c>
      <c r="D5328" s="308">
        <f>IFERROR(__xludf.DUMMYFUNCTION("SPLIT(C5328,""-"")"),5348.0)</f>
        <v>5348</v>
      </c>
      <c r="E5328" s="308" t="str">
        <f>IFERROR(__xludf.DUMMYFUNCTION("""COMPUTED_VALUE"""),"F")</f>
        <v>F</v>
      </c>
      <c r="F5328" s="309" t="s">
        <v>34</v>
      </c>
      <c r="G5328" s="308"/>
      <c r="H5328" s="308" t="s">
        <v>21422</v>
      </c>
      <c r="I5328" s="310">
        <v>43077.0</v>
      </c>
      <c r="J5328" s="319" t="str">
        <f>IFERROR(__xludf.DUMMYFUNCTION("SPLIT(I5328,""/"")"),"#REF!")</f>
        <v>#REF!</v>
      </c>
      <c r="K5328" s="308"/>
      <c r="L5328" s="308">
        <v>2017.0</v>
      </c>
      <c r="M5328" s="308" t="s">
        <v>21423</v>
      </c>
      <c r="N5328" s="308"/>
      <c r="O5328" s="308"/>
      <c r="P5328" s="308" t="s">
        <v>38330</v>
      </c>
      <c r="Q5328" s="308" t="s">
        <v>38325</v>
      </c>
      <c r="R5328" s="308" t="s">
        <v>2743</v>
      </c>
      <c r="S5328" s="308" t="s">
        <v>81</v>
      </c>
      <c r="T5328" s="311" t="s">
        <v>35043</v>
      </c>
      <c r="U5328" s="308" t="s">
        <v>195</v>
      </c>
      <c r="V5328" s="308"/>
    </row>
    <row r="5329">
      <c r="A5329" s="308">
        <v>5328.0</v>
      </c>
      <c r="B5329" s="308"/>
      <c r="C5329" s="308" t="s">
        <v>21425</v>
      </c>
      <c r="D5329" s="308">
        <f>IFERROR(__xludf.DUMMYFUNCTION("SPLIT(C5329,""-"")"),5349.0)</f>
        <v>5349</v>
      </c>
      <c r="E5329" s="308" t="str">
        <f>IFERROR(__xludf.DUMMYFUNCTION("""COMPUTED_VALUE"""),"F")</f>
        <v>F</v>
      </c>
      <c r="F5329" s="309" t="s">
        <v>34</v>
      </c>
      <c r="G5329" s="308"/>
      <c r="H5329" s="308" t="s">
        <v>21426</v>
      </c>
      <c r="I5329" s="310">
        <v>43101.0</v>
      </c>
      <c r="J5329" s="319">
        <f>IFERROR(__xludf.DUMMYFUNCTION("SPLIT(I5329,""/"")"),1.0)</f>
        <v>1</v>
      </c>
      <c r="K5329" s="308">
        <f>IFERROR(__xludf.DUMMYFUNCTION("""COMPUTED_VALUE"""),1.0)</f>
        <v>1</v>
      </c>
      <c r="L5329" s="308">
        <f>IFERROR(__xludf.DUMMYFUNCTION("""COMPUTED_VALUE"""),2018.0)</f>
        <v>2018</v>
      </c>
      <c r="M5329" s="308" t="s">
        <v>21427</v>
      </c>
      <c r="N5329" s="308" t="s">
        <v>21428</v>
      </c>
      <c r="O5329" s="308"/>
      <c r="P5329" s="308" t="s">
        <v>38331</v>
      </c>
      <c r="Q5329" s="308" t="s">
        <v>38325</v>
      </c>
      <c r="R5329" s="308" t="s">
        <v>2743</v>
      </c>
      <c r="S5329" s="308" t="s">
        <v>81</v>
      </c>
      <c r="T5329" s="311" t="s">
        <v>35043</v>
      </c>
      <c r="U5329" s="308" t="s">
        <v>195</v>
      </c>
      <c r="V5329" s="308" t="s">
        <v>21430</v>
      </c>
    </row>
    <row r="5330">
      <c r="A5330" s="308">
        <v>5329.0</v>
      </c>
      <c r="B5330" s="308"/>
      <c r="C5330" s="308" t="s">
        <v>21431</v>
      </c>
      <c r="D5330" s="308">
        <f>IFERROR(__xludf.DUMMYFUNCTION("SPLIT(C5330,""-"")"),5350.0)</f>
        <v>5350</v>
      </c>
      <c r="E5330" s="308" t="str">
        <f>IFERROR(__xludf.DUMMYFUNCTION("""COMPUTED_VALUE"""),"K")</f>
        <v>K</v>
      </c>
      <c r="F5330" s="309" t="s">
        <v>34</v>
      </c>
      <c r="G5330" s="308"/>
      <c r="H5330" s="308" t="s">
        <v>21432</v>
      </c>
      <c r="I5330" s="310">
        <v>41821.0</v>
      </c>
      <c r="J5330" s="319">
        <f>IFERROR(__xludf.DUMMYFUNCTION("SPLIT(I5330,""/"")"),1.0)</f>
        <v>1</v>
      </c>
      <c r="K5330" s="308">
        <f>IFERROR(__xludf.DUMMYFUNCTION("""COMPUTED_VALUE"""),7.0)</f>
        <v>7</v>
      </c>
      <c r="L5330" s="308">
        <f>IFERROR(__xludf.DUMMYFUNCTION("""COMPUTED_VALUE"""),2014.0)</f>
        <v>2014</v>
      </c>
      <c r="M5330" s="308" t="s">
        <v>21433</v>
      </c>
      <c r="N5330" s="308"/>
      <c r="O5330" s="308"/>
      <c r="P5330" s="308" t="s">
        <v>5369</v>
      </c>
      <c r="Q5330" s="308" t="s">
        <v>38325</v>
      </c>
      <c r="R5330" s="308" t="s">
        <v>2743</v>
      </c>
      <c r="S5330" s="308" t="s">
        <v>49</v>
      </c>
      <c r="T5330" s="308" t="s">
        <v>51</v>
      </c>
      <c r="U5330" s="308" t="s">
        <v>2152</v>
      </c>
      <c r="V5330" s="308" t="s">
        <v>21434</v>
      </c>
    </row>
    <row r="5331">
      <c r="A5331" s="308">
        <v>5330.0</v>
      </c>
      <c r="B5331" s="308"/>
      <c r="C5331" s="308" t="s">
        <v>21435</v>
      </c>
      <c r="D5331" s="308">
        <f>IFERROR(__xludf.DUMMYFUNCTION("SPLIT(C5331,""-"")"),5351.0)</f>
        <v>5351</v>
      </c>
      <c r="E5331" s="308" t="str">
        <f>IFERROR(__xludf.DUMMYFUNCTION("""COMPUTED_VALUE"""),"K")</f>
        <v>K</v>
      </c>
      <c r="F5331" s="309" t="s">
        <v>34</v>
      </c>
      <c r="G5331" s="308"/>
      <c r="H5331" s="308" t="s">
        <v>21436</v>
      </c>
      <c r="I5331" s="310">
        <v>43009.0</v>
      </c>
      <c r="J5331" s="319" t="str">
        <f>IFERROR(__xludf.DUMMYFUNCTION("SPLIT(I5331,""/"")"),"#REF!")</f>
        <v>#REF!</v>
      </c>
      <c r="K5331" s="308"/>
      <c r="L5331" s="308">
        <v>2017.0</v>
      </c>
      <c r="M5331" s="308" t="s">
        <v>21437</v>
      </c>
      <c r="N5331" s="308"/>
      <c r="O5331" s="308"/>
      <c r="P5331" s="308" t="s">
        <v>5679</v>
      </c>
      <c r="Q5331" s="308" t="s">
        <v>38332</v>
      </c>
      <c r="R5331" s="308" t="s">
        <v>2743</v>
      </c>
      <c r="S5331" s="315" t="s">
        <v>100</v>
      </c>
      <c r="T5331" s="311" t="s">
        <v>34208</v>
      </c>
      <c r="U5331" s="308" t="s">
        <v>4749</v>
      </c>
      <c r="V5331" s="308"/>
    </row>
    <row r="5332">
      <c r="A5332" s="308">
        <v>5331.0</v>
      </c>
      <c r="B5332" s="308"/>
      <c r="C5332" s="308" t="s">
        <v>21438</v>
      </c>
      <c r="D5332" s="308">
        <f>IFERROR(__xludf.DUMMYFUNCTION("SPLIT(C5332,""-"")"),5352.0)</f>
        <v>5352</v>
      </c>
      <c r="E5332" s="308" t="str">
        <f>IFERROR(__xludf.DUMMYFUNCTION("""COMPUTED_VALUE"""),"P")</f>
        <v>P</v>
      </c>
      <c r="F5332" s="312" t="s">
        <v>37</v>
      </c>
      <c r="G5332" s="308"/>
      <c r="H5332" s="308" t="s">
        <v>21439</v>
      </c>
      <c r="I5332" s="310">
        <v>43332.0</v>
      </c>
      <c r="J5332" s="319">
        <f>IFERROR(__xludf.DUMMYFUNCTION("SPLIT(I5332,""/"")"),20.0)</f>
        <v>20</v>
      </c>
      <c r="K5332" s="308">
        <f>IFERROR(__xludf.DUMMYFUNCTION("""COMPUTED_VALUE"""),8.0)</f>
        <v>8</v>
      </c>
      <c r="L5332" s="308">
        <f>IFERROR(__xludf.DUMMYFUNCTION("""COMPUTED_VALUE"""),2018.0)</f>
        <v>2018</v>
      </c>
      <c r="M5332" s="308" t="s">
        <v>21440</v>
      </c>
      <c r="N5332" s="308"/>
      <c r="O5332" s="308"/>
      <c r="P5332" s="308" t="s">
        <v>38333</v>
      </c>
      <c r="Q5332" s="308" t="s">
        <v>38332</v>
      </c>
      <c r="R5332" s="308" t="s">
        <v>2743</v>
      </c>
      <c r="S5332" s="308" t="s">
        <v>81</v>
      </c>
      <c r="T5332" s="311" t="s">
        <v>96</v>
      </c>
      <c r="U5332" s="308" t="s">
        <v>149</v>
      </c>
      <c r="V5332" s="308"/>
    </row>
    <row r="5333">
      <c r="A5333" s="308">
        <v>5332.0</v>
      </c>
      <c r="B5333" s="308"/>
      <c r="C5333" s="308" t="s">
        <v>21442</v>
      </c>
      <c r="D5333" s="308">
        <f>IFERROR(__xludf.DUMMYFUNCTION("SPLIT(C5333,""-"")"),5353.0)</f>
        <v>5353</v>
      </c>
      <c r="E5333" s="308" t="str">
        <f>IFERROR(__xludf.DUMMYFUNCTION("""COMPUTED_VALUE"""),"P")</f>
        <v>P</v>
      </c>
      <c r="F5333" s="312" t="s">
        <v>37</v>
      </c>
      <c r="G5333" s="308"/>
      <c r="H5333" s="308" t="s">
        <v>21443</v>
      </c>
      <c r="I5333" s="310">
        <v>42840.0</v>
      </c>
      <c r="J5333" s="319">
        <f>IFERROR(__xludf.DUMMYFUNCTION("SPLIT(I5333,""/"")"),15.0)</f>
        <v>15</v>
      </c>
      <c r="K5333" s="308">
        <f>IFERROR(__xludf.DUMMYFUNCTION("""COMPUTED_VALUE"""),4.0)</f>
        <v>4</v>
      </c>
      <c r="L5333" s="308">
        <f>IFERROR(__xludf.DUMMYFUNCTION("""COMPUTED_VALUE"""),2017.0)</f>
        <v>2017</v>
      </c>
      <c r="M5333" s="308" t="s">
        <v>21444</v>
      </c>
      <c r="N5333" s="308"/>
      <c r="O5333" s="308" t="s">
        <v>21445</v>
      </c>
      <c r="P5333" s="308" t="s">
        <v>7523</v>
      </c>
      <c r="Q5333" s="308" t="s">
        <v>38332</v>
      </c>
      <c r="R5333" s="308" t="s">
        <v>2743</v>
      </c>
      <c r="S5333" s="315" t="s">
        <v>100</v>
      </c>
      <c r="T5333" s="311" t="s">
        <v>34208</v>
      </c>
      <c r="U5333" s="308" t="s">
        <v>18270</v>
      </c>
      <c r="V5333" s="308"/>
    </row>
    <row r="5334">
      <c r="A5334" s="308">
        <v>5333.0</v>
      </c>
      <c r="B5334" s="308"/>
      <c r="C5334" s="308" t="s">
        <v>21446</v>
      </c>
      <c r="D5334" s="308">
        <f>IFERROR(__xludf.DUMMYFUNCTION("SPLIT(C5334,""-"")"),5354.0)</f>
        <v>5354</v>
      </c>
      <c r="E5334" s="308" t="str">
        <f>IFERROR(__xludf.DUMMYFUNCTION("""COMPUTED_VALUE"""),"P")</f>
        <v>P</v>
      </c>
      <c r="F5334" s="312" t="s">
        <v>37</v>
      </c>
      <c r="G5334" s="308"/>
      <c r="H5334" s="308" t="s">
        <v>21447</v>
      </c>
      <c r="I5334" s="310">
        <v>42794.0</v>
      </c>
      <c r="J5334" s="319">
        <f>IFERROR(__xludf.DUMMYFUNCTION("SPLIT(I5334,""/"")"),28.0)</f>
        <v>28</v>
      </c>
      <c r="K5334" s="308">
        <f>IFERROR(__xludf.DUMMYFUNCTION("""COMPUTED_VALUE"""),2.0)</f>
        <v>2</v>
      </c>
      <c r="L5334" s="308">
        <f>IFERROR(__xludf.DUMMYFUNCTION("""COMPUTED_VALUE"""),2017.0)</f>
        <v>2017</v>
      </c>
      <c r="M5334" s="308" t="s">
        <v>21448</v>
      </c>
      <c r="N5334" s="308"/>
      <c r="O5334" s="308" t="s">
        <v>21449</v>
      </c>
      <c r="P5334" s="308" t="s">
        <v>7523</v>
      </c>
      <c r="Q5334" s="308" t="s">
        <v>38332</v>
      </c>
      <c r="R5334" s="308" t="s">
        <v>2743</v>
      </c>
      <c r="S5334" s="315" t="s">
        <v>100</v>
      </c>
      <c r="T5334" s="311" t="s">
        <v>34208</v>
      </c>
      <c r="U5334" s="308" t="s">
        <v>18270</v>
      </c>
      <c r="V5334" s="308"/>
    </row>
    <row r="5335">
      <c r="A5335" s="308">
        <v>5334.0</v>
      </c>
      <c r="B5335" s="308"/>
      <c r="C5335" s="308" t="s">
        <v>21450</v>
      </c>
      <c r="D5335" s="308">
        <f>IFERROR(__xludf.DUMMYFUNCTION("SPLIT(C5335,""-"")"),5355.0)</f>
        <v>5355</v>
      </c>
      <c r="E5335" s="308" t="str">
        <f>IFERROR(__xludf.DUMMYFUNCTION("""COMPUTED_VALUE"""),"K")</f>
        <v>K</v>
      </c>
      <c r="F5335" s="309" t="s">
        <v>34</v>
      </c>
      <c r="G5335" s="308"/>
      <c r="H5335" s="308" t="s">
        <v>20027</v>
      </c>
      <c r="I5335" s="310">
        <v>40042.0</v>
      </c>
      <c r="J5335" s="319">
        <f>IFERROR(__xludf.DUMMYFUNCTION("SPLIT(I5335,""/"")"),17.0)</f>
        <v>17</v>
      </c>
      <c r="K5335" s="308">
        <f>IFERROR(__xludf.DUMMYFUNCTION("""COMPUTED_VALUE"""),8.0)</f>
        <v>8</v>
      </c>
      <c r="L5335" s="308">
        <f>IFERROR(__xludf.DUMMYFUNCTION("""COMPUTED_VALUE"""),2009.0)</f>
        <v>2009</v>
      </c>
      <c r="M5335" s="308" t="s">
        <v>20028</v>
      </c>
      <c r="N5335" s="308"/>
      <c r="O5335" s="308"/>
      <c r="P5335" s="308" t="s">
        <v>5679</v>
      </c>
      <c r="Q5335" s="308" t="s">
        <v>38332</v>
      </c>
      <c r="R5335" s="308" t="s">
        <v>2743</v>
      </c>
      <c r="S5335" s="315" t="s">
        <v>100</v>
      </c>
      <c r="T5335" s="311" t="s">
        <v>34208</v>
      </c>
      <c r="U5335" s="308" t="s">
        <v>530</v>
      </c>
      <c r="V5335" s="308"/>
    </row>
    <row r="5336">
      <c r="A5336" s="308">
        <v>5335.0</v>
      </c>
      <c r="B5336" s="308"/>
      <c r="C5336" s="308" t="s">
        <v>21451</v>
      </c>
      <c r="D5336" s="308">
        <f>IFERROR(__xludf.DUMMYFUNCTION("SPLIT(C5336,""-"")"),5356.0)</f>
        <v>5356</v>
      </c>
      <c r="E5336" s="308" t="str">
        <f>IFERROR(__xludf.DUMMYFUNCTION("""COMPUTED_VALUE"""),"P")</f>
        <v>P</v>
      </c>
      <c r="F5336" s="312" t="s">
        <v>37</v>
      </c>
      <c r="G5336" s="308"/>
      <c r="H5336" s="308" t="s">
        <v>21452</v>
      </c>
      <c r="I5336" s="310">
        <v>43227.0</v>
      </c>
      <c r="J5336" s="319">
        <f>IFERROR(__xludf.DUMMYFUNCTION("SPLIT(I5336,""/"")"),7.0)</f>
        <v>7</v>
      </c>
      <c r="K5336" s="308">
        <f>IFERROR(__xludf.DUMMYFUNCTION("""COMPUTED_VALUE"""),5.0)</f>
        <v>5</v>
      </c>
      <c r="L5336" s="308">
        <f>IFERROR(__xludf.DUMMYFUNCTION("""COMPUTED_VALUE"""),2018.0)</f>
        <v>2018</v>
      </c>
      <c r="M5336" s="308" t="s">
        <v>21453</v>
      </c>
      <c r="N5336" s="308"/>
      <c r="O5336" s="308"/>
      <c r="P5336" s="308" t="s">
        <v>38334</v>
      </c>
      <c r="Q5336" s="308" t="s">
        <v>38332</v>
      </c>
      <c r="R5336" s="308" t="s">
        <v>2743</v>
      </c>
      <c r="S5336" s="308" t="s">
        <v>49</v>
      </c>
      <c r="T5336" s="308" t="s">
        <v>51</v>
      </c>
      <c r="U5336" s="308" t="s">
        <v>3012</v>
      </c>
      <c r="V5336" s="308"/>
    </row>
    <row r="5337">
      <c r="A5337" s="308">
        <v>5336.0</v>
      </c>
      <c r="B5337" s="308"/>
      <c r="C5337" s="308" t="s">
        <v>21455</v>
      </c>
      <c r="D5337" s="308">
        <f>IFERROR(__xludf.DUMMYFUNCTION("SPLIT(C5337,""-"")"),5357.0)</f>
        <v>5357</v>
      </c>
      <c r="E5337" s="308" t="str">
        <f>IFERROR(__xludf.DUMMYFUNCTION("""COMPUTED_VALUE"""),"F")</f>
        <v>F</v>
      </c>
      <c r="F5337" s="309" t="s">
        <v>34</v>
      </c>
      <c r="G5337" s="308"/>
      <c r="H5337" s="308" t="s">
        <v>21456</v>
      </c>
      <c r="I5337" s="310">
        <v>42583.0</v>
      </c>
      <c r="J5337" s="319">
        <f>IFERROR(__xludf.DUMMYFUNCTION("SPLIT(I5337,""/"")"),1.0)</f>
        <v>1</v>
      </c>
      <c r="K5337" s="308">
        <f>IFERROR(__xludf.DUMMYFUNCTION("""COMPUTED_VALUE"""),8.0)</f>
        <v>8</v>
      </c>
      <c r="L5337" s="308">
        <f>IFERROR(__xludf.DUMMYFUNCTION("""COMPUTED_VALUE"""),2016.0)</f>
        <v>2016</v>
      </c>
      <c r="M5337" s="308" t="s">
        <v>21457</v>
      </c>
      <c r="N5337" s="308"/>
      <c r="O5337" s="308"/>
      <c r="P5337" s="308" t="s">
        <v>38335</v>
      </c>
      <c r="Q5337" s="308" t="s">
        <v>38336</v>
      </c>
      <c r="R5337" s="308" t="s">
        <v>2743</v>
      </c>
      <c r="S5337" s="308" t="s">
        <v>81</v>
      </c>
      <c r="T5337" s="308" t="s">
        <v>73</v>
      </c>
      <c r="U5337" s="308" t="s">
        <v>195</v>
      </c>
      <c r="V5337" s="308"/>
    </row>
    <row r="5338">
      <c r="A5338" s="308">
        <v>5337.0</v>
      </c>
      <c r="B5338" s="308"/>
      <c r="C5338" s="308" t="s">
        <v>21459</v>
      </c>
      <c r="D5338" s="308">
        <f>IFERROR(__xludf.DUMMYFUNCTION("SPLIT(C5338,""-"")"),5358.0)</f>
        <v>5358</v>
      </c>
      <c r="E5338" s="308" t="str">
        <f>IFERROR(__xludf.DUMMYFUNCTION("""COMPUTED_VALUE"""),"P")</f>
        <v>P</v>
      </c>
      <c r="F5338" s="312" t="s">
        <v>37</v>
      </c>
      <c r="G5338" s="308"/>
      <c r="H5338" s="308" t="s">
        <v>21460</v>
      </c>
      <c r="I5338" s="310">
        <v>43314.0</v>
      </c>
      <c r="J5338" s="319">
        <f>IFERROR(__xludf.DUMMYFUNCTION("SPLIT(I5338,""/"")"),2.0)</f>
        <v>2</v>
      </c>
      <c r="K5338" s="308">
        <f>IFERROR(__xludf.DUMMYFUNCTION("""COMPUTED_VALUE"""),8.0)</f>
        <v>8</v>
      </c>
      <c r="L5338" s="308">
        <f>IFERROR(__xludf.DUMMYFUNCTION("""COMPUTED_VALUE"""),2018.0)</f>
        <v>2018</v>
      </c>
      <c r="M5338" s="308" t="s">
        <v>21461</v>
      </c>
      <c r="N5338" s="308"/>
      <c r="O5338" s="308" t="s">
        <v>21462</v>
      </c>
      <c r="P5338" s="308" t="s">
        <v>38337</v>
      </c>
      <c r="Q5338" s="308" t="s">
        <v>38336</v>
      </c>
      <c r="R5338" s="308" t="s">
        <v>19825</v>
      </c>
      <c r="S5338" s="308" t="s">
        <v>81</v>
      </c>
      <c r="T5338" s="311" t="s">
        <v>75</v>
      </c>
      <c r="U5338" s="308" t="s">
        <v>149</v>
      </c>
      <c r="V5338" s="308"/>
    </row>
    <row r="5339">
      <c r="A5339" s="308">
        <v>5338.0</v>
      </c>
      <c r="B5339" s="308"/>
      <c r="C5339" s="308" t="s">
        <v>21464</v>
      </c>
      <c r="D5339" s="308">
        <f>IFERROR(__xludf.DUMMYFUNCTION("SPLIT(C5339,""-"")"),5359.0)</f>
        <v>5359</v>
      </c>
      <c r="E5339" s="308" t="str">
        <f>IFERROR(__xludf.DUMMYFUNCTION("""COMPUTED_VALUE"""),"S")</f>
        <v>S</v>
      </c>
      <c r="F5339" s="312" t="s">
        <v>39</v>
      </c>
      <c r="G5339" s="308"/>
      <c r="H5339" s="308" t="s">
        <v>21465</v>
      </c>
      <c r="I5339" s="310">
        <v>43123.0</v>
      </c>
      <c r="J5339" s="319">
        <f>IFERROR(__xludf.DUMMYFUNCTION("SPLIT(I5339,""/"")"),23.0)</f>
        <v>23</v>
      </c>
      <c r="K5339" s="308">
        <f>IFERROR(__xludf.DUMMYFUNCTION("""COMPUTED_VALUE"""),1.0)</f>
        <v>1</v>
      </c>
      <c r="L5339" s="308">
        <f>IFERROR(__xludf.DUMMYFUNCTION("""COMPUTED_VALUE"""),2018.0)</f>
        <v>2018</v>
      </c>
      <c r="M5339" s="308" t="s">
        <v>21466</v>
      </c>
      <c r="N5339" s="308"/>
      <c r="O5339" s="308"/>
      <c r="P5339" s="308" t="s">
        <v>38338</v>
      </c>
      <c r="Q5339" s="308" t="s">
        <v>38336</v>
      </c>
      <c r="R5339" s="308" t="s">
        <v>2743</v>
      </c>
      <c r="S5339" s="308" t="s">
        <v>49</v>
      </c>
      <c r="T5339" s="308" t="s">
        <v>51</v>
      </c>
      <c r="U5339" s="308" t="s">
        <v>166</v>
      </c>
      <c r="V5339" s="308"/>
    </row>
    <row r="5340">
      <c r="A5340" s="308">
        <v>5339.0</v>
      </c>
      <c r="B5340" s="308"/>
      <c r="C5340" s="308" t="s">
        <v>21468</v>
      </c>
      <c r="D5340" s="308">
        <f>IFERROR(__xludf.DUMMYFUNCTION("SPLIT(C5340,""-"")"),5360.0)</f>
        <v>5360</v>
      </c>
      <c r="E5340" s="308" t="str">
        <f>IFERROR(__xludf.DUMMYFUNCTION("""COMPUTED_VALUE"""),"S")</f>
        <v>S</v>
      </c>
      <c r="F5340" s="312" t="s">
        <v>39</v>
      </c>
      <c r="G5340" s="308"/>
      <c r="H5340" s="308" t="s">
        <v>21469</v>
      </c>
      <c r="I5340" s="310">
        <v>42598.0</v>
      </c>
      <c r="J5340" s="319">
        <f>IFERROR(__xludf.DUMMYFUNCTION("SPLIT(I5340,""/"")"),16.0)</f>
        <v>16</v>
      </c>
      <c r="K5340" s="308">
        <f>IFERROR(__xludf.DUMMYFUNCTION("""COMPUTED_VALUE"""),8.0)</f>
        <v>8</v>
      </c>
      <c r="L5340" s="308">
        <f>IFERROR(__xludf.DUMMYFUNCTION("""COMPUTED_VALUE"""),2016.0)</f>
        <v>2016</v>
      </c>
      <c r="M5340" s="308" t="s">
        <v>21470</v>
      </c>
      <c r="N5340" s="308"/>
      <c r="O5340" s="308"/>
      <c r="P5340" s="308" t="s">
        <v>38339</v>
      </c>
      <c r="Q5340" s="308" t="s">
        <v>38340</v>
      </c>
      <c r="R5340" s="308" t="s">
        <v>16185</v>
      </c>
      <c r="S5340" s="308" t="s">
        <v>49</v>
      </c>
      <c r="T5340" s="308" t="s">
        <v>53</v>
      </c>
      <c r="U5340" s="308" t="s">
        <v>166</v>
      </c>
      <c r="V5340" s="308"/>
    </row>
    <row r="5341">
      <c r="A5341" s="308">
        <v>5340.0</v>
      </c>
      <c r="B5341" s="308"/>
      <c r="C5341" s="308" t="s">
        <v>21472</v>
      </c>
      <c r="D5341" s="308">
        <f>IFERROR(__xludf.DUMMYFUNCTION("SPLIT(C5341,""-"")"),5361.0)</f>
        <v>5361</v>
      </c>
      <c r="E5341" s="308" t="str">
        <f>IFERROR(__xludf.DUMMYFUNCTION("""COMPUTED_VALUE"""),"K")</f>
        <v>K</v>
      </c>
      <c r="F5341" s="309" t="s">
        <v>34</v>
      </c>
      <c r="G5341" s="308"/>
      <c r="H5341" s="308" t="s">
        <v>21473</v>
      </c>
      <c r="I5341" s="310">
        <v>42852.0</v>
      </c>
      <c r="J5341" s="319" t="str">
        <f>IFERROR(__xludf.DUMMYFUNCTION("SPLIT(I5341,""/"")"),"#REF!")</f>
        <v>#REF!</v>
      </c>
      <c r="K5341" s="308"/>
      <c r="L5341" s="308">
        <v>2017.0</v>
      </c>
      <c r="M5341" s="308" t="s">
        <v>21474</v>
      </c>
      <c r="N5341" s="308"/>
      <c r="O5341" s="308"/>
      <c r="P5341" s="308" t="s">
        <v>38341</v>
      </c>
      <c r="Q5341" s="308" t="s">
        <v>38340</v>
      </c>
      <c r="R5341" s="308" t="s">
        <v>16185</v>
      </c>
      <c r="S5341" s="308" t="s">
        <v>81</v>
      </c>
      <c r="T5341" s="311" t="s">
        <v>73</v>
      </c>
      <c r="U5341" s="308" t="s">
        <v>201</v>
      </c>
      <c r="V5341" s="308"/>
    </row>
    <row r="5342">
      <c r="A5342" s="308">
        <v>5341.0</v>
      </c>
      <c r="B5342" s="308"/>
      <c r="C5342" s="308" t="s">
        <v>21476</v>
      </c>
      <c r="D5342" s="308">
        <f>IFERROR(__xludf.DUMMYFUNCTION("SPLIT(C5342,""-"")"),5362.0)</f>
        <v>5362</v>
      </c>
      <c r="E5342" s="308" t="str">
        <f>IFERROR(__xludf.DUMMYFUNCTION("""COMPUTED_VALUE"""),"B")</f>
        <v>B</v>
      </c>
      <c r="F5342" s="315" t="s">
        <v>26</v>
      </c>
      <c r="G5342" s="308"/>
      <c r="H5342" s="308" t="s">
        <v>21477</v>
      </c>
      <c r="I5342" s="314">
        <v>43018.0</v>
      </c>
      <c r="J5342" s="319">
        <f>IFERROR(__xludf.DUMMYFUNCTION("SPLIT(I5342,""/"")"),10.0)</f>
        <v>10</v>
      </c>
      <c r="K5342" s="308">
        <f>IFERROR(__xludf.DUMMYFUNCTION("""COMPUTED_VALUE"""),10.0)</f>
        <v>10</v>
      </c>
      <c r="L5342" s="308">
        <f>IFERROR(__xludf.DUMMYFUNCTION("""COMPUTED_VALUE"""),2017.0)</f>
        <v>2017</v>
      </c>
      <c r="M5342" s="308" t="s">
        <v>21478</v>
      </c>
      <c r="N5342" s="308"/>
      <c r="O5342" s="308"/>
      <c r="P5342" s="308" t="s">
        <v>21479</v>
      </c>
      <c r="Q5342" s="308" t="s">
        <v>38340</v>
      </c>
      <c r="R5342" s="308" t="s">
        <v>16185</v>
      </c>
      <c r="S5342" s="308" t="s">
        <v>81</v>
      </c>
      <c r="T5342" s="308" t="s">
        <v>75</v>
      </c>
      <c r="U5342" s="308" t="s">
        <v>27</v>
      </c>
      <c r="V5342" s="308"/>
    </row>
    <row r="5343">
      <c r="A5343" s="308">
        <v>5342.0</v>
      </c>
      <c r="B5343" s="308"/>
      <c r="C5343" s="308" t="s">
        <v>21480</v>
      </c>
      <c r="D5343" s="308">
        <f>IFERROR(__xludf.DUMMYFUNCTION("SPLIT(C5343,""-"")"),5363.0)</f>
        <v>5363</v>
      </c>
      <c r="E5343" s="308" t="str">
        <f>IFERROR(__xludf.DUMMYFUNCTION("""COMPUTED_VALUE"""),"S")</f>
        <v>S</v>
      </c>
      <c r="F5343" s="312" t="s">
        <v>39</v>
      </c>
      <c r="G5343" s="308"/>
      <c r="H5343" s="308" t="s">
        <v>21481</v>
      </c>
      <c r="I5343" s="310">
        <v>42158.0</v>
      </c>
      <c r="J5343" s="319">
        <f>IFERROR(__xludf.DUMMYFUNCTION("SPLIT(I5343,""/"")"),3.0)</f>
        <v>3</v>
      </c>
      <c r="K5343" s="308">
        <f>IFERROR(__xludf.DUMMYFUNCTION("""COMPUTED_VALUE"""),6.0)</f>
        <v>6</v>
      </c>
      <c r="L5343" s="308">
        <f>IFERROR(__xludf.DUMMYFUNCTION("""COMPUTED_VALUE"""),2015.0)</f>
        <v>2015</v>
      </c>
      <c r="M5343" s="308" t="s">
        <v>21482</v>
      </c>
      <c r="N5343" s="308"/>
      <c r="O5343" s="308"/>
      <c r="P5343" s="308" t="s">
        <v>21483</v>
      </c>
      <c r="Q5343" s="308" t="s">
        <v>38340</v>
      </c>
      <c r="R5343" s="308" t="s">
        <v>2743</v>
      </c>
      <c r="S5343" s="308" t="s">
        <v>81</v>
      </c>
      <c r="T5343" s="308" t="s">
        <v>98</v>
      </c>
      <c r="U5343" s="308" t="s">
        <v>166</v>
      </c>
      <c r="V5343" s="308"/>
    </row>
    <row r="5344">
      <c r="A5344" s="308">
        <v>5343.0</v>
      </c>
      <c r="B5344" s="308"/>
      <c r="C5344" s="308" t="s">
        <v>21484</v>
      </c>
      <c r="D5344" s="308">
        <f>IFERROR(__xludf.DUMMYFUNCTION("SPLIT(C5344,""-"")"),5364.0)</f>
        <v>5364</v>
      </c>
      <c r="E5344" s="308" t="str">
        <f>IFERROR(__xludf.DUMMYFUNCTION("""COMPUTED_VALUE"""),"F")</f>
        <v>F</v>
      </c>
      <c r="F5344" s="309" t="s">
        <v>34</v>
      </c>
      <c r="G5344" s="308"/>
      <c r="H5344" s="308" t="s">
        <v>21485</v>
      </c>
      <c r="I5344" s="310">
        <v>42937.0</v>
      </c>
      <c r="J5344" s="319" t="str">
        <f>IFERROR(__xludf.DUMMYFUNCTION("SPLIT(I5344,""/"")"),"#REF!")</f>
        <v>#REF!</v>
      </c>
      <c r="K5344" s="308"/>
      <c r="L5344" s="308">
        <v>2017.0</v>
      </c>
      <c r="M5344" s="308" t="s">
        <v>21486</v>
      </c>
      <c r="N5344" s="308"/>
      <c r="O5344" s="308"/>
      <c r="P5344" s="308" t="s">
        <v>38342</v>
      </c>
      <c r="Q5344" s="308" t="s">
        <v>38340</v>
      </c>
      <c r="R5344" s="308" t="s">
        <v>2743</v>
      </c>
      <c r="S5344" s="308" t="s">
        <v>81</v>
      </c>
      <c r="T5344" s="308" t="s">
        <v>73</v>
      </c>
      <c r="U5344" s="308" t="s">
        <v>195</v>
      </c>
      <c r="V5344" s="308"/>
    </row>
    <row r="5345">
      <c r="A5345" s="308">
        <v>5344.0</v>
      </c>
      <c r="B5345" s="308"/>
      <c r="C5345" s="308" t="s">
        <v>21488</v>
      </c>
      <c r="D5345" s="308">
        <f>IFERROR(__xludf.DUMMYFUNCTION("SPLIT(C5345,""-"")"),5365.0)</f>
        <v>5365</v>
      </c>
      <c r="E5345" s="308" t="str">
        <f>IFERROR(__xludf.DUMMYFUNCTION("""COMPUTED_VALUE"""),"F")</f>
        <v>F</v>
      </c>
      <c r="F5345" s="309" t="s">
        <v>34</v>
      </c>
      <c r="G5345" s="308"/>
      <c r="H5345" s="308" t="s">
        <v>21489</v>
      </c>
      <c r="I5345" s="310">
        <v>41821.0</v>
      </c>
      <c r="J5345" s="319">
        <f>IFERROR(__xludf.DUMMYFUNCTION("SPLIT(I5345,""/"")"),1.0)</f>
        <v>1</v>
      </c>
      <c r="K5345" s="308">
        <f>IFERROR(__xludf.DUMMYFUNCTION("""COMPUTED_VALUE"""),7.0)</f>
        <v>7</v>
      </c>
      <c r="L5345" s="308">
        <f>IFERROR(__xludf.DUMMYFUNCTION("""COMPUTED_VALUE"""),2014.0)</f>
        <v>2014</v>
      </c>
      <c r="M5345" s="308" t="s">
        <v>21490</v>
      </c>
      <c r="N5345" s="308" t="s">
        <v>439</v>
      </c>
      <c r="O5345" s="308"/>
      <c r="P5345" s="308" t="s">
        <v>6393</v>
      </c>
      <c r="Q5345" s="308" t="s">
        <v>38340</v>
      </c>
      <c r="R5345" s="308" t="s">
        <v>2743</v>
      </c>
      <c r="S5345" s="315" t="s">
        <v>100</v>
      </c>
      <c r="T5345" s="311" t="s">
        <v>34208</v>
      </c>
      <c r="U5345" s="308" t="s">
        <v>6875</v>
      </c>
      <c r="V5345" s="308"/>
    </row>
    <row r="5346">
      <c r="A5346" s="308">
        <v>5345.0</v>
      </c>
      <c r="B5346" s="308"/>
      <c r="C5346" s="308" t="s">
        <v>21491</v>
      </c>
      <c r="D5346" s="308">
        <f>IFERROR(__xludf.DUMMYFUNCTION("SPLIT(C5346,""-"")"),5366.0)</f>
        <v>5366</v>
      </c>
      <c r="E5346" s="308" t="str">
        <f>IFERROR(__xludf.DUMMYFUNCTION("""COMPUTED_VALUE"""),"F")</f>
        <v>F</v>
      </c>
      <c r="F5346" s="309" t="s">
        <v>34</v>
      </c>
      <c r="G5346" s="308"/>
      <c r="H5346" s="308" t="s">
        <v>21492</v>
      </c>
      <c r="I5346" s="314">
        <v>41922.0</v>
      </c>
      <c r="J5346" s="319">
        <f>IFERROR(__xludf.DUMMYFUNCTION("SPLIT(I5346,""/"")"),10.0)</f>
        <v>10</v>
      </c>
      <c r="K5346" s="308">
        <f>IFERROR(__xludf.DUMMYFUNCTION("""COMPUTED_VALUE"""),10.0)</f>
        <v>10</v>
      </c>
      <c r="L5346" s="308">
        <f>IFERROR(__xludf.DUMMYFUNCTION("""COMPUTED_VALUE"""),2014.0)</f>
        <v>2014</v>
      </c>
      <c r="M5346" s="308" t="s">
        <v>21493</v>
      </c>
      <c r="N5346" s="308"/>
      <c r="O5346" s="308"/>
      <c r="P5346" s="308" t="s">
        <v>6393</v>
      </c>
      <c r="Q5346" s="308" t="s">
        <v>38340</v>
      </c>
      <c r="R5346" s="308" t="s">
        <v>2743</v>
      </c>
      <c r="S5346" s="315" t="s">
        <v>100</v>
      </c>
      <c r="T5346" s="311" t="s">
        <v>34208</v>
      </c>
      <c r="U5346" s="308" t="s">
        <v>195</v>
      </c>
      <c r="V5346" s="308"/>
    </row>
    <row r="5347">
      <c r="A5347" s="308">
        <v>5346.0</v>
      </c>
      <c r="B5347" s="308"/>
      <c r="C5347" s="308" t="s">
        <v>21494</v>
      </c>
      <c r="D5347" s="308">
        <f>IFERROR(__xludf.DUMMYFUNCTION("SPLIT(C5347,""-"")"),5367.0)</f>
        <v>5367</v>
      </c>
      <c r="E5347" s="308" t="str">
        <f>IFERROR(__xludf.DUMMYFUNCTION("""COMPUTED_VALUE"""),"K")</f>
        <v>K</v>
      </c>
      <c r="F5347" s="309" t="s">
        <v>34</v>
      </c>
      <c r="G5347" s="308"/>
      <c r="H5347" s="308" t="s">
        <v>21495</v>
      </c>
      <c r="I5347" s="310">
        <v>41893.0</v>
      </c>
      <c r="J5347" s="319">
        <f>IFERROR(__xludf.DUMMYFUNCTION("SPLIT(I5347,""/"")"),11.0)</f>
        <v>11</v>
      </c>
      <c r="K5347" s="308">
        <f>IFERROR(__xludf.DUMMYFUNCTION("""COMPUTED_VALUE"""),9.0)</f>
        <v>9</v>
      </c>
      <c r="L5347" s="308">
        <f>IFERROR(__xludf.DUMMYFUNCTION("""COMPUTED_VALUE"""),2014.0)</f>
        <v>2014</v>
      </c>
      <c r="M5347" s="308" t="s">
        <v>21496</v>
      </c>
      <c r="N5347" s="308"/>
      <c r="O5347" s="308"/>
      <c r="P5347" s="308" t="s">
        <v>38343</v>
      </c>
      <c r="Q5347" s="308" t="s">
        <v>38340</v>
      </c>
      <c r="R5347" s="308" t="s">
        <v>2743</v>
      </c>
      <c r="S5347" s="308" t="s">
        <v>81</v>
      </c>
      <c r="T5347" s="308" t="s">
        <v>73</v>
      </c>
      <c r="U5347" s="308" t="s">
        <v>1516</v>
      </c>
      <c r="V5347" s="308"/>
    </row>
    <row r="5348">
      <c r="A5348" s="308">
        <v>5347.0</v>
      </c>
      <c r="B5348" s="308"/>
      <c r="C5348" s="308" t="s">
        <v>21498</v>
      </c>
      <c r="D5348" s="308">
        <f>IFERROR(__xludf.DUMMYFUNCTION("SPLIT(C5348,""-"")"),5368.0)</f>
        <v>5368</v>
      </c>
      <c r="E5348" s="308" t="str">
        <f>IFERROR(__xludf.DUMMYFUNCTION("""COMPUTED_VALUE"""),"K")</f>
        <v>K</v>
      </c>
      <c r="F5348" s="309" t="s">
        <v>34</v>
      </c>
      <c r="G5348" s="308"/>
      <c r="H5348" s="308" t="s">
        <v>21499</v>
      </c>
      <c r="I5348" s="310">
        <v>42761.0</v>
      </c>
      <c r="J5348" s="319" t="str">
        <f>IFERROR(__xludf.DUMMYFUNCTION("SPLIT(I5348,""/"")"),"#REF!")</f>
        <v>#REF!</v>
      </c>
      <c r="K5348" s="308"/>
      <c r="L5348" s="308">
        <v>2017.0</v>
      </c>
      <c r="M5348" s="308" t="s">
        <v>21500</v>
      </c>
      <c r="N5348" s="308"/>
      <c r="O5348" s="308"/>
      <c r="P5348" s="308" t="s">
        <v>21501</v>
      </c>
      <c r="Q5348" s="308" t="s">
        <v>38340</v>
      </c>
      <c r="R5348" s="308" t="s">
        <v>2743</v>
      </c>
      <c r="S5348" s="308" t="s">
        <v>81</v>
      </c>
      <c r="T5348" s="308" t="s">
        <v>34264</v>
      </c>
      <c r="U5348" s="308" t="s">
        <v>4749</v>
      </c>
      <c r="V5348" s="308"/>
    </row>
    <row r="5349">
      <c r="A5349" s="308">
        <v>5348.0</v>
      </c>
      <c r="B5349" s="308"/>
      <c r="C5349" s="308" t="s">
        <v>21502</v>
      </c>
      <c r="D5349" s="308">
        <f>IFERROR(__xludf.DUMMYFUNCTION("SPLIT(C5349,""-"")"),5369.0)</f>
        <v>5369</v>
      </c>
      <c r="E5349" s="308" t="str">
        <f>IFERROR(__xludf.DUMMYFUNCTION("""COMPUTED_VALUE"""),"K")</f>
        <v>K</v>
      </c>
      <c r="F5349" s="309" t="s">
        <v>34</v>
      </c>
      <c r="G5349" s="308"/>
      <c r="H5349" s="308" t="s">
        <v>21503</v>
      </c>
      <c r="I5349" s="310">
        <v>39995.0</v>
      </c>
      <c r="J5349" s="319">
        <f>IFERROR(__xludf.DUMMYFUNCTION("SPLIT(I5349,""/"")"),1.0)</f>
        <v>1</v>
      </c>
      <c r="K5349" s="308">
        <f>IFERROR(__xludf.DUMMYFUNCTION("""COMPUTED_VALUE"""),7.0)</f>
        <v>7</v>
      </c>
      <c r="L5349" s="308">
        <f>IFERROR(__xludf.DUMMYFUNCTION("""COMPUTED_VALUE"""),2009.0)</f>
        <v>2009</v>
      </c>
      <c r="M5349" s="308" t="s">
        <v>21504</v>
      </c>
      <c r="N5349" s="308"/>
      <c r="O5349" s="308"/>
      <c r="P5349" s="308" t="s">
        <v>1392</v>
      </c>
      <c r="Q5349" s="308" t="s">
        <v>38340</v>
      </c>
      <c r="R5349" s="308" t="s">
        <v>2743</v>
      </c>
      <c r="S5349" s="308" t="s">
        <v>49</v>
      </c>
      <c r="T5349" s="315" t="s">
        <v>69</v>
      </c>
      <c r="U5349" s="308" t="s">
        <v>2466</v>
      </c>
      <c r="V5349" s="308" t="s">
        <v>21505</v>
      </c>
    </row>
    <row r="5350">
      <c r="A5350" s="308">
        <v>5349.0</v>
      </c>
      <c r="B5350" s="308"/>
      <c r="C5350" s="308" t="s">
        <v>21506</v>
      </c>
      <c r="D5350" s="308">
        <f>IFERROR(__xludf.DUMMYFUNCTION("SPLIT(C5350,""-"")"),5370.0)</f>
        <v>5370</v>
      </c>
      <c r="E5350" s="308" t="str">
        <f>IFERROR(__xludf.DUMMYFUNCTION("""COMPUTED_VALUE"""),"K")</f>
        <v>K</v>
      </c>
      <c r="F5350" s="309" t="s">
        <v>34</v>
      </c>
      <c r="G5350" s="308"/>
      <c r="H5350" s="308" t="s">
        <v>21507</v>
      </c>
      <c r="I5350" s="310">
        <v>42487.0</v>
      </c>
      <c r="J5350" s="319">
        <f>IFERROR(__xludf.DUMMYFUNCTION("SPLIT(I5350,""/"")"),27.0)</f>
        <v>27</v>
      </c>
      <c r="K5350" s="308">
        <f>IFERROR(__xludf.DUMMYFUNCTION("""COMPUTED_VALUE"""),4.0)</f>
        <v>4</v>
      </c>
      <c r="L5350" s="308">
        <f>IFERROR(__xludf.DUMMYFUNCTION("""COMPUTED_VALUE"""),2016.0)</f>
        <v>2016</v>
      </c>
      <c r="M5350" s="308" t="s">
        <v>21508</v>
      </c>
      <c r="N5350" s="308"/>
      <c r="O5350" s="308"/>
      <c r="P5350" s="308" t="s">
        <v>5679</v>
      </c>
      <c r="Q5350" s="308" t="s">
        <v>38340</v>
      </c>
      <c r="R5350" s="308" t="s">
        <v>2743</v>
      </c>
      <c r="S5350" s="315" t="s">
        <v>100</v>
      </c>
      <c r="T5350" s="311" t="s">
        <v>34208</v>
      </c>
      <c r="U5350" s="308" t="s">
        <v>368</v>
      </c>
      <c r="V5350" s="308"/>
    </row>
    <row r="5351">
      <c r="A5351" s="308">
        <v>5350.0</v>
      </c>
      <c r="B5351" s="308"/>
      <c r="C5351" s="308" t="s">
        <v>21509</v>
      </c>
      <c r="D5351" s="308">
        <f>IFERROR(__xludf.DUMMYFUNCTION("SPLIT(C5351,""-"")"),5371.0)</f>
        <v>5371</v>
      </c>
      <c r="E5351" s="308" t="str">
        <f>IFERROR(__xludf.DUMMYFUNCTION("""COMPUTED_VALUE"""),"P")</f>
        <v>P</v>
      </c>
      <c r="F5351" s="312" t="s">
        <v>37</v>
      </c>
      <c r="G5351" s="308"/>
      <c r="H5351" s="308" t="s">
        <v>21510</v>
      </c>
      <c r="I5351" s="310">
        <v>41091.0</v>
      </c>
      <c r="J5351" s="319">
        <f>IFERROR(__xludf.DUMMYFUNCTION("SPLIT(I5351,""/"")"),1.0)</f>
        <v>1</v>
      </c>
      <c r="K5351" s="308">
        <f>IFERROR(__xludf.DUMMYFUNCTION("""COMPUTED_VALUE"""),7.0)</f>
        <v>7</v>
      </c>
      <c r="L5351" s="308">
        <f>IFERROR(__xludf.DUMMYFUNCTION("""COMPUTED_VALUE"""),2012.0)</f>
        <v>2012</v>
      </c>
      <c r="M5351" s="308" t="s">
        <v>21511</v>
      </c>
      <c r="N5351" s="308"/>
      <c r="O5351" s="308"/>
      <c r="P5351" s="308" t="s">
        <v>7523</v>
      </c>
      <c r="Q5351" s="308" t="s">
        <v>38344</v>
      </c>
      <c r="R5351" s="308" t="s">
        <v>2743</v>
      </c>
      <c r="S5351" s="315" t="s">
        <v>100</v>
      </c>
      <c r="T5351" s="311" t="s">
        <v>34208</v>
      </c>
      <c r="U5351" s="308" t="s">
        <v>143</v>
      </c>
      <c r="V5351" s="308"/>
    </row>
    <row r="5352">
      <c r="A5352" s="308">
        <v>5351.0</v>
      </c>
      <c r="B5352" s="308"/>
      <c r="C5352" s="308" t="s">
        <v>21512</v>
      </c>
      <c r="D5352" s="308">
        <f>IFERROR(__xludf.DUMMYFUNCTION("SPLIT(C5352,""-"")"),5372.0)</f>
        <v>5372</v>
      </c>
      <c r="E5352" s="308" t="str">
        <f>IFERROR(__xludf.DUMMYFUNCTION("""COMPUTED_VALUE""")," I")</f>
        <v> I</v>
      </c>
      <c r="F5352" s="309" t="s">
        <v>31</v>
      </c>
      <c r="G5352" s="308"/>
      <c r="H5352" s="308" t="s">
        <v>21513</v>
      </c>
      <c r="I5352" s="310">
        <v>43321.0</v>
      </c>
      <c r="J5352" s="319">
        <f>IFERROR(__xludf.DUMMYFUNCTION("SPLIT(I5352,""/"")"),9.0)</f>
        <v>9</v>
      </c>
      <c r="K5352" s="308">
        <f>IFERROR(__xludf.DUMMYFUNCTION("""COMPUTED_VALUE"""),8.0)</f>
        <v>8</v>
      </c>
      <c r="L5352" s="308">
        <f>IFERROR(__xludf.DUMMYFUNCTION("""COMPUTED_VALUE"""),2018.0)</f>
        <v>2018</v>
      </c>
      <c r="M5352" s="308" t="s">
        <v>21514</v>
      </c>
      <c r="N5352" s="308"/>
      <c r="O5352" s="308"/>
      <c r="P5352" s="308" t="s">
        <v>21515</v>
      </c>
      <c r="Q5352" s="308" t="s">
        <v>38344</v>
      </c>
      <c r="R5352" s="308" t="s">
        <v>2743</v>
      </c>
      <c r="S5352" s="308" t="s">
        <v>81</v>
      </c>
      <c r="T5352" s="308" t="s">
        <v>75</v>
      </c>
      <c r="U5352" s="308" t="s">
        <v>31</v>
      </c>
      <c r="V5352" s="308"/>
    </row>
    <row r="5353">
      <c r="A5353" s="308">
        <v>5352.0</v>
      </c>
      <c r="B5353" s="308"/>
      <c r="C5353" s="308" t="s">
        <v>21516</v>
      </c>
      <c r="D5353" s="308">
        <f>IFERROR(__xludf.DUMMYFUNCTION("SPLIT(C5353,""-"")"),5373.0)</f>
        <v>5373</v>
      </c>
      <c r="E5353" s="308" t="str">
        <f>IFERROR(__xludf.DUMMYFUNCTION("""COMPUTED_VALUE""")," I")</f>
        <v> I</v>
      </c>
      <c r="F5353" s="309" t="s">
        <v>31</v>
      </c>
      <c r="G5353" s="308"/>
      <c r="H5353" s="308" t="s">
        <v>21517</v>
      </c>
      <c r="I5353" s="310">
        <v>43340.0</v>
      </c>
      <c r="J5353" s="319">
        <f>IFERROR(__xludf.DUMMYFUNCTION("SPLIT(I5353,""/"")"),28.0)</f>
        <v>28</v>
      </c>
      <c r="K5353" s="308">
        <f>IFERROR(__xludf.DUMMYFUNCTION("""COMPUTED_VALUE"""),8.0)</f>
        <v>8</v>
      </c>
      <c r="L5353" s="308">
        <f>IFERROR(__xludf.DUMMYFUNCTION("""COMPUTED_VALUE"""),2018.0)</f>
        <v>2018</v>
      </c>
      <c r="M5353" s="308" t="s">
        <v>21518</v>
      </c>
      <c r="N5353" s="308"/>
      <c r="O5353" s="308" t="s">
        <v>21519</v>
      </c>
      <c r="P5353" s="308" t="s">
        <v>38345</v>
      </c>
      <c r="Q5353" s="308" t="s">
        <v>38346</v>
      </c>
      <c r="R5353" s="308" t="s">
        <v>2743</v>
      </c>
      <c r="S5353" s="308" t="s">
        <v>81</v>
      </c>
      <c r="T5353" s="308" t="s">
        <v>75</v>
      </c>
      <c r="U5353" s="308" t="s">
        <v>31</v>
      </c>
      <c r="V5353" s="308"/>
    </row>
    <row r="5354">
      <c r="A5354" s="308">
        <v>5353.0</v>
      </c>
      <c r="B5354" s="308"/>
      <c r="C5354" s="308" t="s">
        <v>21521</v>
      </c>
      <c r="D5354" s="308">
        <f>IFERROR(__xludf.DUMMYFUNCTION("SPLIT(C5354,""-"")"),5374.0)</f>
        <v>5374</v>
      </c>
      <c r="E5354" s="308" t="str">
        <f>IFERROR(__xludf.DUMMYFUNCTION("""COMPUTED_VALUE""")," I")</f>
        <v> I</v>
      </c>
      <c r="F5354" s="309" t="s">
        <v>31</v>
      </c>
      <c r="G5354" s="308"/>
      <c r="H5354" s="308" t="s">
        <v>21522</v>
      </c>
      <c r="I5354" s="310">
        <v>43129.0</v>
      </c>
      <c r="J5354" s="319">
        <f>IFERROR(__xludf.DUMMYFUNCTION("SPLIT(I5354,""/"")"),29.0)</f>
        <v>29</v>
      </c>
      <c r="K5354" s="308">
        <f>IFERROR(__xludf.DUMMYFUNCTION("""COMPUTED_VALUE"""),1.0)</f>
        <v>1</v>
      </c>
      <c r="L5354" s="308">
        <f>IFERROR(__xludf.DUMMYFUNCTION("""COMPUTED_VALUE"""),2018.0)</f>
        <v>2018</v>
      </c>
      <c r="M5354" s="308" t="s">
        <v>21523</v>
      </c>
      <c r="N5354" s="308"/>
      <c r="O5354" s="308"/>
      <c r="P5354" s="308" t="s">
        <v>38347</v>
      </c>
      <c r="Q5354" s="308" t="s">
        <v>38346</v>
      </c>
      <c r="R5354" s="308" t="s">
        <v>2743</v>
      </c>
      <c r="S5354" s="308" t="s">
        <v>81</v>
      </c>
      <c r="T5354" s="308" t="s">
        <v>34264</v>
      </c>
      <c r="U5354" s="308" t="s">
        <v>31</v>
      </c>
      <c r="V5354" s="308"/>
    </row>
    <row r="5355">
      <c r="A5355" s="308">
        <v>5354.0</v>
      </c>
      <c r="B5355" s="308"/>
      <c r="C5355" s="308" t="s">
        <v>21525</v>
      </c>
      <c r="D5355" s="308">
        <f>IFERROR(__xludf.DUMMYFUNCTION("SPLIT(C5355,""-"")"),5375.0)</f>
        <v>5375</v>
      </c>
      <c r="E5355" s="308" t="str">
        <f>IFERROR(__xludf.DUMMYFUNCTION("""COMPUTED_VALUE"""),"P")</f>
        <v>P</v>
      </c>
      <c r="F5355" s="312" t="s">
        <v>37</v>
      </c>
      <c r="G5355" s="308"/>
      <c r="H5355" s="308" t="s">
        <v>21526</v>
      </c>
      <c r="I5355" s="316" t="s">
        <v>407</v>
      </c>
      <c r="J5355" s="319"/>
      <c r="K5355" s="308"/>
      <c r="L5355" s="311" t="s">
        <v>79</v>
      </c>
      <c r="M5355" s="308" t="s">
        <v>21527</v>
      </c>
      <c r="N5355" s="308"/>
      <c r="O5355" s="308"/>
      <c r="P5355" s="308" t="s">
        <v>21528</v>
      </c>
      <c r="Q5355" s="308" t="s">
        <v>38346</v>
      </c>
      <c r="R5355" s="308" t="s">
        <v>2743</v>
      </c>
      <c r="S5355" s="308" t="s">
        <v>81</v>
      </c>
      <c r="T5355" s="308" t="s">
        <v>34264</v>
      </c>
      <c r="U5355" s="308" t="s">
        <v>149</v>
      </c>
      <c r="V5355" s="308"/>
    </row>
    <row r="5356">
      <c r="A5356" s="308">
        <v>5355.0</v>
      </c>
      <c r="B5356" s="308"/>
      <c r="C5356" s="308" t="s">
        <v>21529</v>
      </c>
      <c r="D5356" s="308">
        <f>IFERROR(__xludf.DUMMYFUNCTION("SPLIT(C5356,""-"")"),5376.0)</f>
        <v>5376</v>
      </c>
      <c r="E5356" s="308" t="str">
        <f>IFERROR(__xludf.DUMMYFUNCTION("""COMPUTED_VALUE"""),"K")</f>
        <v>K</v>
      </c>
      <c r="F5356" s="309" t="s">
        <v>34</v>
      </c>
      <c r="G5356" s="308"/>
      <c r="H5356" s="308" t="s">
        <v>21530</v>
      </c>
      <c r="I5356" s="310">
        <v>43301.0</v>
      </c>
      <c r="J5356" s="319">
        <f>IFERROR(__xludf.DUMMYFUNCTION("SPLIT(I5356,""/"")"),20.0)</f>
        <v>20</v>
      </c>
      <c r="K5356" s="308">
        <f>IFERROR(__xludf.DUMMYFUNCTION("""COMPUTED_VALUE"""),7.0)</f>
        <v>7</v>
      </c>
      <c r="L5356" s="308">
        <f>IFERROR(__xludf.DUMMYFUNCTION("""COMPUTED_VALUE"""),2018.0)</f>
        <v>2018</v>
      </c>
      <c r="M5356" s="308" t="s">
        <v>21531</v>
      </c>
      <c r="N5356" s="308"/>
      <c r="O5356" s="308"/>
      <c r="P5356" s="308" t="s">
        <v>21532</v>
      </c>
      <c r="Q5356" s="308" t="s">
        <v>38348</v>
      </c>
      <c r="R5356" s="308" t="s">
        <v>2743</v>
      </c>
      <c r="S5356" s="308" t="s">
        <v>81</v>
      </c>
      <c r="T5356" s="308" t="s">
        <v>75</v>
      </c>
      <c r="U5356" s="308" t="s">
        <v>125</v>
      </c>
      <c r="V5356" s="308"/>
    </row>
    <row r="5357">
      <c r="A5357" s="308">
        <v>5356.0</v>
      </c>
      <c r="B5357" s="308"/>
      <c r="C5357" s="308" t="s">
        <v>21533</v>
      </c>
      <c r="D5357" s="308">
        <f>IFERROR(__xludf.DUMMYFUNCTION("SPLIT(C5357,""-"")"),5377.0)</f>
        <v>5377</v>
      </c>
      <c r="E5357" s="308" t="str">
        <f>IFERROR(__xludf.DUMMYFUNCTION("""COMPUTED_VALUE"""),"K")</f>
        <v>K</v>
      </c>
      <c r="F5357" s="309" t="s">
        <v>34</v>
      </c>
      <c r="G5357" s="308"/>
      <c r="H5357" s="308" t="s">
        <v>21534</v>
      </c>
      <c r="I5357" s="314">
        <v>41200.0</v>
      </c>
      <c r="J5357" s="319">
        <f>IFERROR(__xludf.DUMMYFUNCTION("SPLIT(I5357,""/"")"),18.0)</f>
        <v>18</v>
      </c>
      <c r="K5357" s="308">
        <f>IFERROR(__xludf.DUMMYFUNCTION("""COMPUTED_VALUE"""),10.0)</f>
        <v>10</v>
      </c>
      <c r="L5357" s="308">
        <f>IFERROR(__xludf.DUMMYFUNCTION("""COMPUTED_VALUE"""),2012.0)</f>
        <v>2012</v>
      </c>
      <c r="M5357" s="308" t="s">
        <v>21535</v>
      </c>
      <c r="N5357" s="308"/>
      <c r="O5357" s="308" t="s">
        <v>21536</v>
      </c>
      <c r="P5357" s="308" t="s">
        <v>21537</v>
      </c>
      <c r="Q5357" s="308" t="s">
        <v>38348</v>
      </c>
      <c r="R5357" s="308" t="s">
        <v>2743</v>
      </c>
      <c r="S5357" s="315" t="s">
        <v>100</v>
      </c>
      <c r="T5357" s="311" t="s">
        <v>34208</v>
      </c>
      <c r="U5357" s="308" t="s">
        <v>2097</v>
      </c>
      <c r="V5357" s="308"/>
    </row>
    <row r="5358">
      <c r="A5358" s="308">
        <v>5357.0</v>
      </c>
      <c r="B5358" s="308"/>
      <c r="C5358" s="308" t="s">
        <v>21538</v>
      </c>
      <c r="D5358" s="308">
        <f>IFERROR(__xludf.DUMMYFUNCTION("SPLIT(C5358,""-"")"),5378.0)</f>
        <v>5378</v>
      </c>
      <c r="E5358" s="308" t="str">
        <f>IFERROR(__xludf.DUMMYFUNCTION("""COMPUTED_VALUE"""),"P")</f>
        <v>P</v>
      </c>
      <c r="F5358" s="312" t="s">
        <v>37</v>
      </c>
      <c r="G5358" s="308"/>
      <c r="H5358" s="308" t="s">
        <v>21539</v>
      </c>
      <c r="I5358" s="310">
        <v>42171.0</v>
      </c>
      <c r="J5358" s="319">
        <f>IFERROR(__xludf.DUMMYFUNCTION("SPLIT(I5358,""/"")"),16.0)</f>
        <v>16</v>
      </c>
      <c r="K5358" s="308">
        <f>IFERROR(__xludf.DUMMYFUNCTION("""COMPUTED_VALUE"""),6.0)</f>
        <v>6</v>
      </c>
      <c r="L5358" s="308">
        <f>IFERROR(__xludf.DUMMYFUNCTION("""COMPUTED_VALUE"""),2015.0)</f>
        <v>2015</v>
      </c>
      <c r="M5358" s="308" t="s">
        <v>21511</v>
      </c>
      <c r="N5358" s="308"/>
      <c r="O5358" s="308" t="s">
        <v>21540</v>
      </c>
      <c r="P5358" s="308" t="s">
        <v>21541</v>
      </c>
      <c r="Q5358" s="308" t="s">
        <v>38348</v>
      </c>
      <c r="R5358" s="308" t="s">
        <v>2743</v>
      </c>
      <c r="S5358" s="315" t="s">
        <v>100</v>
      </c>
      <c r="T5358" s="311" t="s">
        <v>34208</v>
      </c>
      <c r="U5358" s="308" t="s">
        <v>149</v>
      </c>
      <c r="V5358" s="308"/>
    </row>
    <row r="5359">
      <c r="A5359" s="308">
        <v>5358.0</v>
      </c>
      <c r="B5359" s="308"/>
      <c r="C5359" s="308" t="s">
        <v>21542</v>
      </c>
      <c r="D5359" s="308">
        <f>IFERROR(__xludf.DUMMYFUNCTION("SPLIT(C5359,""-"")"),5379.0)</f>
        <v>5379</v>
      </c>
      <c r="E5359" s="308" t="str">
        <f>IFERROR(__xludf.DUMMYFUNCTION("""COMPUTED_VALUE"""),"K")</f>
        <v>K</v>
      </c>
      <c r="F5359" s="309" t="s">
        <v>34</v>
      </c>
      <c r="G5359" s="308"/>
      <c r="H5359" s="308" t="s">
        <v>21543</v>
      </c>
      <c r="I5359" s="310">
        <v>40881.0</v>
      </c>
      <c r="J5359" s="319">
        <f>IFERROR(__xludf.DUMMYFUNCTION("SPLIT(I5359,""/"")"),4.0)</f>
        <v>4</v>
      </c>
      <c r="K5359" s="308">
        <f>IFERROR(__xludf.DUMMYFUNCTION("""COMPUTED_VALUE"""),12.0)</f>
        <v>12</v>
      </c>
      <c r="L5359" s="308">
        <f>IFERROR(__xludf.DUMMYFUNCTION("""COMPUTED_VALUE"""),2011.0)</f>
        <v>2011</v>
      </c>
      <c r="M5359" s="308" t="s">
        <v>21544</v>
      </c>
      <c r="N5359" s="308"/>
      <c r="O5359" s="308"/>
      <c r="P5359" s="308" t="s">
        <v>21537</v>
      </c>
      <c r="Q5359" s="308" t="s">
        <v>38348</v>
      </c>
      <c r="R5359" s="308" t="s">
        <v>2743</v>
      </c>
      <c r="S5359" s="315" t="s">
        <v>100</v>
      </c>
      <c r="T5359" s="311" t="s">
        <v>34208</v>
      </c>
      <c r="U5359" s="308" t="s">
        <v>21545</v>
      </c>
      <c r="V5359" s="308"/>
    </row>
    <row r="5360">
      <c r="A5360" s="308">
        <v>5359.0</v>
      </c>
      <c r="B5360" s="308"/>
      <c r="C5360" s="308" t="s">
        <v>21546</v>
      </c>
      <c r="D5360" s="308">
        <f>IFERROR(__xludf.DUMMYFUNCTION("SPLIT(C5360,""-"")"),5380.0)</f>
        <v>5380</v>
      </c>
      <c r="E5360" s="308" t="str">
        <f>IFERROR(__xludf.DUMMYFUNCTION("""COMPUTED_VALUE"""),"K")</f>
        <v>K</v>
      </c>
      <c r="F5360" s="309" t="s">
        <v>34</v>
      </c>
      <c r="G5360" s="308"/>
      <c r="H5360" s="308" t="s">
        <v>21547</v>
      </c>
      <c r="I5360" s="310">
        <v>39990.0</v>
      </c>
      <c r="J5360" s="319">
        <f>IFERROR(__xludf.DUMMYFUNCTION("SPLIT(I5360,""/"")"),26.0)</f>
        <v>26</v>
      </c>
      <c r="K5360" s="308">
        <f>IFERROR(__xludf.DUMMYFUNCTION("""COMPUTED_VALUE"""),6.0)</f>
        <v>6</v>
      </c>
      <c r="L5360" s="308">
        <f>IFERROR(__xludf.DUMMYFUNCTION("""COMPUTED_VALUE"""),2009.0)</f>
        <v>2009</v>
      </c>
      <c r="M5360" s="308" t="s">
        <v>21548</v>
      </c>
      <c r="N5360" s="308"/>
      <c r="O5360" s="308"/>
      <c r="P5360" s="308" t="s">
        <v>21537</v>
      </c>
      <c r="Q5360" s="308" t="s">
        <v>38348</v>
      </c>
      <c r="R5360" s="308" t="s">
        <v>2743</v>
      </c>
      <c r="S5360" s="315" t="s">
        <v>100</v>
      </c>
      <c r="T5360" s="311" t="s">
        <v>34208</v>
      </c>
      <c r="U5360" s="308" t="s">
        <v>2466</v>
      </c>
      <c r="V5360" s="308"/>
    </row>
    <row r="5361">
      <c r="A5361" s="308">
        <v>5360.0</v>
      </c>
      <c r="B5361" s="308"/>
      <c r="C5361" s="308" t="s">
        <v>21549</v>
      </c>
      <c r="D5361" s="308">
        <f>IFERROR(__xludf.DUMMYFUNCTION("SPLIT(C5361,""-"")"),5381.0)</f>
        <v>5381</v>
      </c>
      <c r="E5361" s="308" t="str">
        <f>IFERROR(__xludf.DUMMYFUNCTION("""COMPUTED_VALUE"""),"K")</f>
        <v>K</v>
      </c>
      <c r="F5361" s="309" t="s">
        <v>34</v>
      </c>
      <c r="G5361" s="308"/>
      <c r="H5361" s="308" t="s">
        <v>21550</v>
      </c>
      <c r="I5361" s="314">
        <v>42321.0</v>
      </c>
      <c r="J5361" s="319">
        <f>IFERROR(__xludf.DUMMYFUNCTION("SPLIT(I5361,""/"")"),13.0)</f>
        <v>13</v>
      </c>
      <c r="K5361" s="308">
        <f>IFERROR(__xludf.DUMMYFUNCTION("""COMPUTED_VALUE"""),11.0)</f>
        <v>11</v>
      </c>
      <c r="L5361" s="308">
        <f>IFERROR(__xludf.DUMMYFUNCTION("""COMPUTED_VALUE"""),2015.0)</f>
        <v>2015</v>
      </c>
      <c r="M5361" s="308" t="s">
        <v>21551</v>
      </c>
      <c r="N5361" s="308"/>
      <c r="O5361" s="308"/>
      <c r="P5361" s="308" t="s">
        <v>38349</v>
      </c>
      <c r="Q5361" s="308" t="s">
        <v>38348</v>
      </c>
      <c r="R5361" s="308" t="s">
        <v>2743</v>
      </c>
      <c r="S5361" s="308" t="s">
        <v>81</v>
      </c>
      <c r="T5361" s="308" t="s">
        <v>75</v>
      </c>
      <c r="U5361" s="308" t="s">
        <v>2989</v>
      </c>
      <c r="V5361" s="308"/>
    </row>
    <row r="5362">
      <c r="A5362" s="308">
        <v>5361.0</v>
      </c>
      <c r="B5362" s="308"/>
      <c r="C5362" s="308" t="s">
        <v>21553</v>
      </c>
      <c r="D5362" s="308">
        <f>IFERROR(__xludf.DUMMYFUNCTION("SPLIT(C5362,""-"")"),5382.0)</f>
        <v>5382</v>
      </c>
      <c r="E5362" s="308" t="str">
        <f>IFERROR(__xludf.DUMMYFUNCTION("""COMPUTED_VALUE"""),"K")</f>
        <v>K</v>
      </c>
      <c r="F5362" s="309" t="s">
        <v>34</v>
      </c>
      <c r="G5362" s="308"/>
      <c r="H5362" s="308" t="s">
        <v>21554</v>
      </c>
      <c r="I5362" s="310">
        <v>41091.0</v>
      </c>
      <c r="J5362" s="319">
        <f>IFERROR(__xludf.DUMMYFUNCTION("SPLIT(I5362,""/"")"),1.0)</f>
        <v>1</v>
      </c>
      <c r="K5362" s="308">
        <f>IFERROR(__xludf.DUMMYFUNCTION("""COMPUTED_VALUE"""),7.0)</f>
        <v>7</v>
      </c>
      <c r="L5362" s="308">
        <f>IFERROR(__xludf.DUMMYFUNCTION("""COMPUTED_VALUE"""),2012.0)</f>
        <v>2012</v>
      </c>
      <c r="M5362" s="308" t="s">
        <v>21555</v>
      </c>
      <c r="N5362" s="308"/>
      <c r="O5362" s="308" t="s">
        <v>38350</v>
      </c>
      <c r="P5362" s="308" t="s">
        <v>21537</v>
      </c>
      <c r="Q5362" s="308" t="s">
        <v>38348</v>
      </c>
      <c r="R5362" s="308" t="s">
        <v>2743</v>
      </c>
      <c r="S5362" s="315" t="s">
        <v>100</v>
      </c>
      <c r="T5362" s="311" t="s">
        <v>34208</v>
      </c>
      <c r="U5362" s="308" t="s">
        <v>2466</v>
      </c>
      <c r="V5362" s="308"/>
    </row>
    <row r="5363">
      <c r="A5363" s="308">
        <v>5362.0</v>
      </c>
      <c r="B5363" s="308"/>
      <c r="C5363" s="308" t="s">
        <v>21557</v>
      </c>
      <c r="D5363" s="308">
        <f>IFERROR(__xludf.DUMMYFUNCTION("SPLIT(C5363,""-"")"),5383.0)</f>
        <v>5383</v>
      </c>
      <c r="E5363" s="308" t="str">
        <f>IFERROR(__xludf.DUMMYFUNCTION("""COMPUTED_VALUE"""),"I")</f>
        <v>I</v>
      </c>
      <c r="F5363" s="309" t="s">
        <v>31</v>
      </c>
      <c r="G5363" s="308"/>
      <c r="H5363" s="308" t="s">
        <v>21558</v>
      </c>
      <c r="I5363" s="310">
        <v>42245.0</v>
      </c>
      <c r="J5363" s="319">
        <f>IFERROR(__xludf.DUMMYFUNCTION("SPLIT(I5363,""/"")"),29.0)</f>
        <v>29</v>
      </c>
      <c r="K5363" s="308">
        <f>IFERROR(__xludf.DUMMYFUNCTION("""COMPUTED_VALUE"""),8.0)</f>
        <v>8</v>
      </c>
      <c r="L5363" s="308">
        <f>IFERROR(__xludf.DUMMYFUNCTION("""COMPUTED_VALUE"""),2015.0)</f>
        <v>2015</v>
      </c>
      <c r="M5363" s="308" t="s">
        <v>21559</v>
      </c>
      <c r="N5363" s="308"/>
      <c r="O5363" s="308" t="s">
        <v>21560</v>
      </c>
      <c r="P5363" s="308" t="s">
        <v>21561</v>
      </c>
      <c r="Q5363" s="308" t="s">
        <v>38351</v>
      </c>
      <c r="R5363" s="308" t="s">
        <v>2743</v>
      </c>
      <c r="S5363" s="308" t="s">
        <v>49</v>
      </c>
      <c r="T5363" s="311" t="s">
        <v>51</v>
      </c>
      <c r="U5363" s="308" t="s">
        <v>31</v>
      </c>
      <c r="V5363" s="308"/>
    </row>
    <row r="5364">
      <c r="A5364" s="308">
        <v>5363.0</v>
      </c>
      <c r="B5364" s="308"/>
      <c r="C5364" s="308" t="s">
        <v>21562</v>
      </c>
      <c r="D5364" s="308">
        <f>IFERROR(__xludf.DUMMYFUNCTION("SPLIT(C5364,""-"")"),5384.0)</f>
        <v>5384</v>
      </c>
      <c r="E5364" s="308" t="str">
        <f>IFERROR(__xludf.DUMMYFUNCTION("""COMPUTED_VALUE"""),"S")</f>
        <v>S</v>
      </c>
      <c r="F5364" s="312" t="s">
        <v>39</v>
      </c>
      <c r="G5364" s="308"/>
      <c r="H5364" s="308" t="s">
        <v>21563</v>
      </c>
      <c r="I5364" s="310">
        <v>42831.0</v>
      </c>
      <c r="J5364" s="319">
        <f>IFERROR(__xludf.DUMMYFUNCTION("SPLIT(I5364,""/"")"),6.0)</f>
        <v>6</v>
      </c>
      <c r="K5364" s="308">
        <f>IFERROR(__xludf.DUMMYFUNCTION("""COMPUTED_VALUE"""),4.0)</f>
        <v>4</v>
      </c>
      <c r="L5364" s="308">
        <f>IFERROR(__xludf.DUMMYFUNCTION("""COMPUTED_VALUE"""),2017.0)</f>
        <v>2017</v>
      </c>
      <c r="M5364" s="308" t="s">
        <v>21564</v>
      </c>
      <c r="N5364" s="308"/>
      <c r="O5364" s="308"/>
      <c r="P5364" s="308" t="s">
        <v>38352</v>
      </c>
      <c r="Q5364" s="308" t="s">
        <v>38351</v>
      </c>
      <c r="R5364" s="308" t="s">
        <v>2743</v>
      </c>
      <c r="S5364" s="308" t="s">
        <v>81</v>
      </c>
      <c r="T5364" s="308" t="s">
        <v>75</v>
      </c>
      <c r="U5364" s="308" t="s">
        <v>166</v>
      </c>
      <c r="V5364" s="308"/>
    </row>
    <row r="5365">
      <c r="A5365" s="308">
        <v>5364.0</v>
      </c>
      <c r="B5365" s="308"/>
      <c r="C5365" s="308" t="s">
        <v>21566</v>
      </c>
      <c r="D5365" s="308">
        <f>IFERROR(__xludf.DUMMYFUNCTION("SPLIT(C5365,""-"")"),5385.0)</f>
        <v>5385</v>
      </c>
      <c r="E5365" s="308" t="str">
        <f>IFERROR(__xludf.DUMMYFUNCTION("""COMPUTED_VALUE"""),"F")</f>
        <v>F</v>
      </c>
      <c r="F5365" s="309" t="s">
        <v>34</v>
      </c>
      <c r="G5365" s="308"/>
      <c r="H5365" s="308" t="s">
        <v>21567</v>
      </c>
      <c r="I5365" s="310">
        <v>40179.0</v>
      </c>
      <c r="J5365" s="319">
        <f>IFERROR(__xludf.DUMMYFUNCTION("SPLIT(I5365,""/"")"),1.0)</f>
        <v>1</v>
      </c>
      <c r="K5365" s="308">
        <f>IFERROR(__xludf.DUMMYFUNCTION("""COMPUTED_VALUE"""),1.0)</f>
        <v>1</v>
      </c>
      <c r="L5365" s="308">
        <f>IFERROR(__xludf.DUMMYFUNCTION("""COMPUTED_VALUE"""),2010.0)</f>
        <v>2010</v>
      </c>
      <c r="M5365" s="308" t="s">
        <v>21568</v>
      </c>
      <c r="N5365" s="308"/>
      <c r="O5365" s="308"/>
      <c r="P5365" s="308" t="s">
        <v>21569</v>
      </c>
      <c r="Q5365" s="308" t="s">
        <v>38351</v>
      </c>
      <c r="R5365" s="308" t="s">
        <v>2743</v>
      </c>
      <c r="S5365" s="315" t="s">
        <v>100</v>
      </c>
      <c r="T5365" s="311" t="s">
        <v>34208</v>
      </c>
      <c r="U5365" s="308" t="s">
        <v>195</v>
      </c>
      <c r="V5365" s="308"/>
    </row>
    <row r="5366">
      <c r="A5366" s="308">
        <v>5365.0</v>
      </c>
      <c r="B5366" s="308"/>
      <c r="C5366" s="308" t="s">
        <v>21570</v>
      </c>
      <c r="D5366" s="308">
        <f>IFERROR(__xludf.DUMMYFUNCTION("SPLIT(C5366,""-"")"),5386.0)</f>
        <v>5386</v>
      </c>
      <c r="E5366" s="308" t="str">
        <f>IFERROR(__xludf.DUMMYFUNCTION("""COMPUTED_VALUE"""),"P")</f>
        <v>P</v>
      </c>
      <c r="F5366" s="312" t="s">
        <v>37</v>
      </c>
      <c r="G5366" s="308"/>
      <c r="H5366" s="308" t="s">
        <v>21571</v>
      </c>
      <c r="I5366" s="310">
        <v>43266.0</v>
      </c>
      <c r="J5366" s="319">
        <f>IFERROR(__xludf.DUMMYFUNCTION("SPLIT(I5366,""/"")"),15.0)</f>
        <v>15</v>
      </c>
      <c r="K5366" s="308">
        <f>IFERROR(__xludf.DUMMYFUNCTION("""COMPUTED_VALUE"""),6.0)</f>
        <v>6</v>
      </c>
      <c r="L5366" s="308">
        <f>IFERROR(__xludf.DUMMYFUNCTION("""COMPUTED_VALUE"""),2018.0)</f>
        <v>2018</v>
      </c>
      <c r="M5366" s="308" t="s">
        <v>21572</v>
      </c>
      <c r="N5366" s="308"/>
      <c r="O5366" s="308"/>
      <c r="P5366" s="308" t="s">
        <v>38353</v>
      </c>
      <c r="Q5366" s="308" t="s">
        <v>38354</v>
      </c>
      <c r="R5366" s="308" t="s">
        <v>2743</v>
      </c>
      <c r="S5366" s="308" t="s">
        <v>49</v>
      </c>
      <c r="T5366" s="308" t="s">
        <v>51</v>
      </c>
      <c r="U5366" s="308" t="s">
        <v>143</v>
      </c>
      <c r="V5366" s="308"/>
    </row>
    <row r="5367">
      <c r="A5367" s="308">
        <v>5366.0</v>
      </c>
      <c r="B5367" s="308"/>
      <c r="C5367" s="308" t="s">
        <v>21574</v>
      </c>
      <c r="D5367" s="308">
        <f>IFERROR(__xludf.DUMMYFUNCTION("SPLIT(C5367,""-"")"),5387.0)</f>
        <v>5387</v>
      </c>
      <c r="E5367" s="308" t="str">
        <f>IFERROR(__xludf.DUMMYFUNCTION("""COMPUTED_VALUE"""),"P")</f>
        <v>P</v>
      </c>
      <c r="F5367" s="312" t="s">
        <v>37</v>
      </c>
      <c r="G5367" s="308"/>
      <c r="H5367" s="308" t="s">
        <v>21575</v>
      </c>
      <c r="I5367" s="310">
        <v>43266.0</v>
      </c>
      <c r="J5367" s="319">
        <f>IFERROR(__xludf.DUMMYFUNCTION("SPLIT(I5367,""/"")"),15.0)</f>
        <v>15</v>
      </c>
      <c r="K5367" s="308">
        <f>IFERROR(__xludf.DUMMYFUNCTION("""COMPUTED_VALUE"""),6.0)</f>
        <v>6</v>
      </c>
      <c r="L5367" s="308">
        <f>IFERROR(__xludf.DUMMYFUNCTION("""COMPUTED_VALUE"""),2018.0)</f>
        <v>2018</v>
      </c>
      <c r="M5367" s="308" t="s">
        <v>21572</v>
      </c>
      <c r="N5367" s="308"/>
      <c r="O5367" s="308"/>
      <c r="P5367" s="308" t="s">
        <v>38355</v>
      </c>
      <c r="Q5367" s="308" t="s">
        <v>38354</v>
      </c>
      <c r="R5367" s="308" t="s">
        <v>2743</v>
      </c>
      <c r="S5367" s="308" t="s">
        <v>49</v>
      </c>
      <c r="T5367" s="308" t="s">
        <v>51</v>
      </c>
      <c r="U5367" s="308" t="s">
        <v>143</v>
      </c>
      <c r="V5367" s="308"/>
    </row>
    <row r="5368">
      <c r="A5368" s="308">
        <v>5367.0</v>
      </c>
      <c r="B5368" s="308"/>
      <c r="C5368" s="308" t="s">
        <v>21577</v>
      </c>
      <c r="D5368" s="308">
        <f>IFERROR(__xludf.DUMMYFUNCTION("SPLIT(C5368,""-"")"),5388.0)</f>
        <v>5388</v>
      </c>
      <c r="E5368" s="308" t="str">
        <f>IFERROR(__xludf.DUMMYFUNCTION("""COMPUTED_VALUE"""),"P")</f>
        <v>P</v>
      </c>
      <c r="F5368" s="312" t="s">
        <v>37</v>
      </c>
      <c r="G5368" s="308"/>
      <c r="H5368" s="308" t="s">
        <v>21578</v>
      </c>
      <c r="I5368" s="310">
        <v>43266.0</v>
      </c>
      <c r="J5368" s="319">
        <f>IFERROR(__xludf.DUMMYFUNCTION("SPLIT(I5368,""/"")"),15.0)</f>
        <v>15</v>
      </c>
      <c r="K5368" s="308">
        <f>IFERROR(__xludf.DUMMYFUNCTION("""COMPUTED_VALUE"""),6.0)</f>
        <v>6</v>
      </c>
      <c r="L5368" s="308">
        <f>IFERROR(__xludf.DUMMYFUNCTION("""COMPUTED_VALUE"""),2018.0)</f>
        <v>2018</v>
      </c>
      <c r="M5368" s="308" t="s">
        <v>21572</v>
      </c>
      <c r="N5368" s="308"/>
      <c r="O5368" s="308"/>
      <c r="P5368" s="308" t="s">
        <v>38356</v>
      </c>
      <c r="Q5368" s="308" t="s">
        <v>38354</v>
      </c>
      <c r="R5368" s="308" t="s">
        <v>2743</v>
      </c>
      <c r="S5368" s="308" t="s">
        <v>49</v>
      </c>
      <c r="T5368" s="308" t="s">
        <v>51</v>
      </c>
      <c r="U5368" s="308" t="s">
        <v>143</v>
      </c>
      <c r="V5368" s="308"/>
    </row>
    <row r="5369">
      <c r="A5369" s="308">
        <v>5368.0</v>
      </c>
      <c r="B5369" s="308"/>
      <c r="C5369" s="308" t="s">
        <v>21580</v>
      </c>
      <c r="D5369" s="308">
        <f>IFERROR(__xludf.DUMMYFUNCTION("SPLIT(C5369,""-"")"),5389.0)</f>
        <v>5389</v>
      </c>
      <c r="E5369" s="308" t="str">
        <f>IFERROR(__xludf.DUMMYFUNCTION("""COMPUTED_VALUE"""),"K")</f>
        <v>K</v>
      </c>
      <c r="F5369" s="309" t="s">
        <v>34</v>
      </c>
      <c r="G5369" s="308"/>
      <c r="H5369" s="308" t="s">
        <v>21581</v>
      </c>
      <c r="I5369" s="314">
        <v>43084.0</v>
      </c>
      <c r="J5369" s="319" t="str">
        <f>IFERROR(__xludf.DUMMYFUNCTION("SPLIT(I5369,""/"")"),"#REF!")</f>
        <v>#REF!</v>
      </c>
      <c r="K5369" s="308"/>
      <c r="L5369" s="308">
        <v>2017.0</v>
      </c>
      <c r="M5369" s="308" t="s">
        <v>21582</v>
      </c>
      <c r="N5369" s="308"/>
      <c r="O5369" s="308"/>
      <c r="P5369" s="308" t="s">
        <v>38357</v>
      </c>
      <c r="Q5369" s="308" t="s">
        <v>38354</v>
      </c>
      <c r="R5369" s="308" t="s">
        <v>2743</v>
      </c>
      <c r="S5369" s="308" t="s">
        <v>81</v>
      </c>
      <c r="T5369" s="311" t="s">
        <v>75</v>
      </c>
      <c r="U5369" s="308" t="s">
        <v>125</v>
      </c>
      <c r="V5369" s="308"/>
    </row>
    <row r="5370">
      <c r="A5370" s="308">
        <v>5369.0</v>
      </c>
      <c r="B5370" s="308"/>
      <c r="C5370" s="308" t="s">
        <v>21584</v>
      </c>
      <c r="D5370" s="308">
        <f>IFERROR(__xludf.DUMMYFUNCTION("SPLIT(C5370,""-"")"),5390.0)</f>
        <v>5390</v>
      </c>
      <c r="E5370" s="308" t="str">
        <f>IFERROR(__xludf.DUMMYFUNCTION("""COMPUTED_VALUE"""),"K")</f>
        <v>K</v>
      </c>
      <c r="F5370" s="309" t="s">
        <v>34</v>
      </c>
      <c r="G5370" s="308"/>
      <c r="H5370" s="308" t="s">
        <v>21585</v>
      </c>
      <c r="I5370" s="316" t="s">
        <v>407</v>
      </c>
      <c r="J5370" s="319"/>
      <c r="K5370" s="308"/>
      <c r="L5370" s="311" t="s">
        <v>79</v>
      </c>
      <c r="M5370" s="308" t="s">
        <v>21586</v>
      </c>
      <c r="N5370" s="308"/>
      <c r="O5370" s="308" t="s">
        <v>21587</v>
      </c>
      <c r="P5370" s="308" t="s">
        <v>38358</v>
      </c>
      <c r="Q5370" s="308" t="s">
        <v>38354</v>
      </c>
      <c r="R5370" s="308" t="s">
        <v>2743</v>
      </c>
      <c r="S5370" s="308" t="s">
        <v>81</v>
      </c>
      <c r="T5370" s="308" t="s">
        <v>34264</v>
      </c>
      <c r="U5370" s="308" t="s">
        <v>530</v>
      </c>
      <c r="V5370" s="308"/>
    </row>
    <row r="5371">
      <c r="A5371" s="308">
        <v>5370.0</v>
      </c>
      <c r="B5371" s="308"/>
      <c r="C5371" s="308" t="s">
        <v>21589</v>
      </c>
      <c r="D5371" s="308">
        <f>IFERROR(__xludf.DUMMYFUNCTION("SPLIT(C5371,""-"")"),5391.0)</f>
        <v>5391</v>
      </c>
      <c r="E5371" s="308" t="str">
        <f>IFERROR(__xludf.DUMMYFUNCTION("""COMPUTED_VALUE"""),"K")</f>
        <v>K</v>
      </c>
      <c r="F5371" s="309" t="s">
        <v>34</v>
      </c>
      <c r="G5371" s="308"/>
      <c r="H5371" s="308" t="s">
        <v>21590</v>
      </c>
      <c r="I5371" s="310">
        <v>43356.0</v>
      </c>
      <c r="J5371" s="319">
        <f>IFERROR(__xludf.DUMMYFUNCTION("SPLIT(I5371,""/"")"),13.0)</f>
        <v>13</v>
      </c>
      <c r="K5371" s="308">
        <f>IFERROR(__xludf.DUMMYFUNCTION("""COMPUTED_VALUE"""),9.0)</f>
        <v>9</v>
      </c>
      <c r="L5371" s="308">
        <f>IFERROR(__xludf.DUMMYFUNCTION("""COMPUTED_VALUE"""),2018.0)</f>
        <v>2018</v>
      </c>
      <c r="M5371" s="308" t="s">
        <v>21591</v>
      </c>
      <c r="N5371" s="308"/>
      <c r="O5371" s="308" t="s">
        <v>21592</v>
      </c>
      <c r="P5371" s="308" t="s">
        <v>21593</v>
      </c>
      <c r="Q5371" s="308" t="s">
        <v>38354</v>
      </c>
      <c r="R5371" s="308" t="s">
        <v>2743</v>
      </c>
      <c r="S5371" s="308" t="s">
        <v>81</v>
      </c>
      <c r="T5371" s="308" t="s">
        <v>75</v>
      </c>
      <c r="U5371" s="308" t="s">
        <v>4749</v>
      </c>
      <c r="V5371" s="308"/>
    </row>
    <row r="5372">
      <c r="A5372" s="308">
        <v>5371.0</v>
      </c>
      <c r="B5372" s="308"/>
      <c r="C5372" s="308" t="s">
        <v>21594</v>
      </c>
      <c r="D5372" s="308">
        <f>IFERROR(__xludf.DUMMYFUNCTION("SPLIT(C5372,""-"")"),5392.0)</f>
        <v>5392</v>
      </c>
      <c r="E5372" s="308" t="str">
        <f>IFERROR(__xludf.DUMMYFUNCTION("""COMPUTED_VALUE"""),"K")</f>
        <v>K</v>
      </c>
      <c r="F5372" s="309" t="s">
        <v>34</v>
      </c>
      <c r="G5372" s="308"/>
      <c r="H5372" s="308" t="s">
        <v>21595</v>
      </c>
      <c r="I5372" s="316" t="s">
        <v>407</v>
      </c>
      <c r="J5372" s="319"/>
      <c r="K5372" s="308"/>
      <c r="L5372" s="311" t="s">
        <v>79</v>
      </c>
      <c r="M5372" s="308" t="s">
        <v>21596</v>
      </c>
      <c r="N5372" s="308"/>
      <c r="O5372" s="308"/>
      <c r="P5372" s="308" t="s">
        <v>38359</v>
      </c>
      <c r="Q5372" s="308" t="s">
        <v>38354</v>
      </c>
      <c r="R5372" s="308" t="s">
        <v>2743</v>
      </c>
      <c r="S5372" s="308" t="s">
        <v>81</v>
      </c>
      <c r="T5372" s="308" t="s">
        <v>73</v>
      </c>
      <c r="U5372" s="308" t="s">
        <v>9260</v>
      </c>
      <c r="V5372" s="308"/>
    </row>
    <row r="5373">
      <c r="A5373" s="308">
        <v>5372.0</v>
      </c>
      <c r="B5373" s="308"/>
      <c r="C5373" s="308" t="s">
        <v>21598</v>
      </c>
      <c r="D5373" s="308">
        <f>IFERROR(__xludf.DUMMYFUNCTION("SPLIT(C5373,""-"")"),5393.0)</f>
        <v>5393</v>
      </c>
      <c r="E5373" s="308" t="str">
        <f>IFERROR(__xludf.DUMMYFUNCTION("""COMPUTED_VALUE"""),"P")</f>
        <v>P</v>
      </c>
      <c r="F5373" s="312" t="s">
        <v>37</v>
      </c>
      <c r="G5373" s="308"/>
      <c r="H5373" s="308" t="s">
        <v>21599</v>
      </c>
      <c r="I5373" s="310">
        <v>43158.0</v>
      </c>
      <c r="J5373" s="319">
        <f>IFERROR(__xludf.DUMMYFUNCTION("SPLIT(I5373,""/"")"),27.0)</f>
        <v>27</v>
      </c>
      <c r="K5373" s="308">
        <f>IFERROR(__xludf.DUMMYFUNCTION("""COMPUTED_VALUE"""),2.0)</f>
        <v>2</v>
      </c>
      <c r="L5373" s="308">
        <f>IFERROR(__xludf.DUMMYFUNCTION("""COMPUTED_VALUE"""),2018.0)</f>
        <v>2018</v>
      </c>
      <c r="M5373" s="308" t="s">
        <v>21600</v>
      </c>
      <c r="N5373" s="308"/>
      <c r="O5373" s="308" t="s">
        <v>21601</v>
      </c>
      <c r="P5373" s="308" t="s">
        <v>21602</v>
      </c>
      <c r="Q5373" s="308" t="s">
        <v>38360</v>
      </c>
      <c r="R5373" s="308" t="s">
        <v>2743</v>
      </c>
      <c r="S5373" s="308" t="s">
        <v>81</v>
      </c>
      <c r="T5373" s="308" t="s">
        <v>34264</v>
      </c>
      <c r="U5373" s="308" t="s">
        <v>149</v>
      </c>
      <c r="V5373" s="308"/>
    </row>
    <row r="5374">
      <c r="A5374" s="308">
        <v>5373.0</v>
      </c>
      <c r="B5374" s="308"/>
      <c r="C5374" s="308" t="s">
        <v>21603</v>
      </c>
      <c r="D5374" s="308">
        <f>IFERROR(__xludf.DUMMYFUNCTION("SPLIT(C5374,""-"")"),5394.0)</f>
        <v>5394</v>
      </c>
      <c r="E5374" s="308" t="str">
        <f>IFERROR(__xludf.DUMMYFUNCTION("""COMPUTED_VALUE"""),"K")</f>
        <v>K</v>
      </c>
      <c r="F5374" s="309" t="s">
        <v>34</v>
      </c>
      <c r="G5374" s="308"/>
      <c r="H5374" s="308" t="s">
        <v>21604</v>
      </c>
      <c r="I5374" s="310">
        <v>43335.0</v>
      </c>
      <c r="J5374" s="319">
        <f>IFERROR(__xludf.DUMMYFUNCTION("SPLIT(I5374,""/"")"),23.0)</f>
        <v>23</v>
      </c>
      <c r="K5374" s="308">
        <f>IFERROR(__xludf.DUMMYFUNCTION("""COMPUTED_VALUE"""),8.0)</f>
        <v>8</v>
      </c>
      <c r="L5374" s="308">
        <f>IFERROR(__xludf.DUMMYFUNCTION("""COMPUTED_VALUE"""),2018.0)</f>
        <v>2018</v>
      </c>
      <c r="M5374" s="308" t="s">
        <v>38361</v>
      </c>
      <c r="N5374" s="308"/>
      <c r="O5374" s="308"/>
      <c r="P5374" s="308" t="s">
        <v>38362</v>
      </c>
      <c r="Q5374" s="308" t="s">
        <v>38360</v>
      </c>
      <c r="R5374" s="308" t="s">
        <v>2743</v>
      </c>
      <c r="S5374" s="308" t="s">
        <v>81</v>
      </c>
      <c r="T5374" s="308" t="s">
        <v>73</v>
      </c>
      <c r="U5374" s="308" t="s">
        <v>125</v>
      </c>
      <c r="V5374" s="308"/>
    </row>
    <row r="5375">
      <c r="A5375" s="308">
        <v>5374.0</v>
      </c>
      <c r="B5375" s="308"/>
      <c r="C5375" s="308" t="s">
        <v>21607</v>
      </c>
      <c r="D5375" s="308">
        <f>IFERROR(__xludf.DUMMYFUNCTION("SPLIT(C5375,""-"")"),5395.0)</f>
        <v>5395</v>
      </c>
      <c r="E5375" s="308" t="str">
        <f>IFERROR(__xludf.DUMMYFUNCTION("""COMPUTED_VALUE"""),"K")</f>
        <v>K</v>
      </c>
      <c r="F5375" s="309" t="s">
        <v>34</v>
      </c>
      <c r="G5375" s="308"/>
      <c r="H5375" s="308" t="s">
        <v>21608</v>
      </c>
      <c r="I5375" s="310">
        <v>41382.0</v>
      </c>
      <c r="J5375" s="319">
        <f>IFERROR(__xludf.DUMMYFUNCTION("SPLIT(I5375,""/"")"),18.0)</f>
        <v>18</v>
      </c>
      <c r="K5375" s="308">
        <f>IFERROR(__xludf.DUMMYFUNCTION("""COMPUTED_VALUE"""),4.0)</f>
        <v>4</v>
      </c>
      <c r="L5375" s="308">
        <f>IFERROR(__xludf.DUMMYFUNCTION("""COMPUTED_VALUE"""),2013.0)</f>
        <v>2013</v>
      </c>
      <c r="M5375" s="308" t="s">
        <v>21609</v>
      </c>
      <c r="N5375" s="308"/>
      <c r="O5375" s="308"/>
      <c r="P5375" s="308" t="s">
        <v>21537</v>
      </c>
      <c r="Q5375" s="308" t="s">
        <v>38360</v>
      </c>
      <c r="R5375" s="308" t="s">
        <v>2743</v>
      </c>
      <c r="S5375" s="315" t="s">
        <v>100</v>
      </c>
      <c r="T5375" s="311" t="s">
        <v>34208</v>
      </c>
      <c r="U5375" s="308" t="s">
        <v>125</v>
      </c>
      <c r="V5375" s="308"/>
    </row>
    <row r="5376">
      <c r="A5376" s="308">
        <v>5375.0</v>
      </c>
      <c r="B5376" s="308"/>
      <c r="C5376" s="308" t="s">
        <v>21610</v>
      </c>
      <c r="D5376" s="308">
        <f>IFERROR(__xludf.DUMMYFUNCTION("SPLIT(C5376,""-"")"),5396.0)</f>
        <v>5396</v>
      </c>
      <c r="E5376" s="308" t="str">
        <f>IFERROR(__xludf.DUMMYFUNCTION("""COMPUTED_VALUE"""),"F")</f>
        <v>F</v>
      </c>
      <c r="F5376" s="309" t="s">
        <v>34</v>
      </c>
      <c r="G5376" s="308"/>
      <c r="H5376" s="308" t="s">
        <v>21611</v>
      </c>
      <c r="I5376" s="310">
        <v>39873.0</v>
      </c>
      <c r="J5376" s="319">
        <f>IFERROR(__xludf.DUMMYFUNCTION("SPLIT(I5376,""/"")"),1.0)</f>
        <v>1</v>
      </c>
      <c r="K5376" s="308">
        <f>IFERROR(__xludf.DUMMYFUNCTION("""COMPUTED_VALUE"""),3.0)</f>
        <v>3</v>
      </c>
      <c r="L5376" s="308">
        <f>IFERROR(__xludf.DUMMYFUNCTION("""COMPUTED_VALUE"""),2009.0)</f>
        <v>2009</v>
      </c>
      <c r="M5376" s="308" t="s">
        <v>21612</v>
      </c>
      <c r="N5376" s="308"/>
      <c r="O5376" s="308"/>
      <c r="P5376" s="308" t="s">
        <v>34212</v>
      </c>
      <c r="Q5376" s="308" t="s">
        <v>38360</v>
      </c>
      <c r="R5376" s="308" t="s">
        <v>2743</v>
      </c>
      <c r="S5376" s="315" t="s">
        <v>100</v>
      </c>
      <c r="T5376" s="311" t="s">
        <v>34208</v>
      </c>
      <c r="U5376" s="308" t="s">
        <v>195</v>
      </c>
      <c r="V5376" s="308"/>
    </row>
    <row r="5377">
      <c r="A5377" s="308">
        <v>5376.0</v>
      </c>
      <c r="B5377" s="308"/>
      <c r="C5377" s="308" t="s">
        <v>21613</v>
      </c>
      <c r="D5377" s="308">
        <f>IFERROR(__xludf.DUMMYFUNCTION("SPLIT(C5377,""-"")"),5397.0)</f>
        <v>5397</v>
      </c>
      <c r="E5377" s="308" t="str">
        <f>IFERROR(__xludf.DUMMYFUNCTION("""COMPUTED_VALUE"""),"K")</f>
        <v>K</v>
      </c>
      <c r="F5377" s="309" t="s">
        <v>34</v>
      </c>
      <c r="G5377" s="308"/>
      <c r="H5377" s="308" t="s">
        <v>21614</v>
      </c>
      <c r="I5377" s="310">
        <v>39995.0</v>
      </c>
      <c r="J5377" s="319">
        <f>IFERROR(__xludf.DUMMYFUNCTION("SPLIT(I5377,""/"")"),1.0)</f>
        <v>1</v>
      </c>
      <c r="K5377" s="308">
        <f>IFERROR(__xludf.DUMMYFUNCTION("""COMPUTED_VALUE"""),7.0)</f>
        <v>7</v>
      </c>
      <c r="L5377" s="308">
        <f>IFERROR(__xludf.DUMMYFUNCTION("""COMPUTED_VALUE"""),2009.0)</f>
        <v>2009</v>
      </c>
      <c r="M5377" s="308" t="s">
        <v>21615</v>
      </c>
      <c r="N5377" s="308"/>
      <c r="O5377" s="308"/>
      <c r="P5377" s="308" t="s">
        <v>38363</v>
      </c>
      <c r="Q5377" s="308" t="s">
        <v>38360</v>
      </c>
      <c r="R5377" s="308" t="s">
        <v>2743</v>
      </c>
      <c r="S5377" s="308" t="s">
        <v>81</v>
      </c>
      <c r="T5377" s="311" t="s">
        <v>34264</v>
      </c>
      <c r="U5377" s="308" t="s">
        <v>530</v>
      </c>
      <c r="V5377" s="308"/>
    </row>
    <row r="5378">
      <c r="A5378" s="308">
        <v>5377.0</v>
      </c>
      <c r="B5378" s="308"/>
      <c r="C5378" s="308" t="s">
        <v>21617</v>
      </c>
      <c r="D5378" s="308">
        <f>IFERROR(__xludf.DUMMYFUNCTION("SPLIT(C5378,""-"")"),5398.0)</f>
        <v>5398</v>
      </c>
      <c r="E5378" s="308" t="str">
        <f>IFERROR(__xludf.DUMMYFUNCTION("""COMPUTED_VALUE"""),"K")</f>
        <v>K</v>
      </c>
      <c r="F5378" s="309" t="s">
        <v>34</v>
      </c>
      <c r="G5378" s="308"/>
      <c r="H5378" s="308" t="s">
        <v>21618</v>
      </c>
      <c r="I5378" s="310">
        <v>40621.0</v>
      </c>
      <c r="J5378" s="319">
        <f>IFERROR(__xludf.DUMMYFUNCTION("SPLIT(I5378,""/"")"),19.0)</f>
        <v>19</v>
      </c>
      <c r="K5378" s="308">
        <f>IFERROR(__xludf.DUMMYFUNCTION("""COMPUTED_VALUE"""),3.0)</f>
        <v>3</v>
      </c>
      <c r="L5378" s="308">
        <f>IFERROR(__xludf.DUMMYFUNCTION("""COMPUTED_VALUE"""),2011.0)</f>
        <v>2011</v>
      </c>
      <c r="M5378" s="308" t="s">
        <v>21619</v>
      </c>
      <c r="N5378" s="308"/>
      <c r="O5378" s="308"/>
      <c r="P5378" s="308" t="s">
        <v>38364</v>
      </c>
      <c r="Q5378" s="308" t="s">
        <v>38360</v>
      </c>
      <c r="R5378" s="308" t="s">
        <v>2743</v>
      </c>
      <c r="S5378" s="308" t="s">
        <v>49</v>
      </c>
      <c r="T5378" s="308" t="s">
        <v>51</v>
      </c>
      <c r="U5378" s="308" t="s">
        <v>125</v>
      </c>
      <c r="V5378" s="308"/>
    </row>
    <row r="5379">
      <c r="A5379" s="308">
        <v>5378.0</v>
      </c>
      <c r="B5379" s="308"/>
      <c r="C5379" s="308" t="s">
        <v>21621</v>
      </c>
      <c r="D5379" s="308">
        <f>IFERROR(__xludf.DUMMYFUNCTION("SPLIT(C5379,""-"")"),5399.0)</f>
        <v>5399</v>
      </c>
      <c r="E5379" s="308" t="str">
        <f>IFERROR(__xludf.DUMMYFUNCTION("""COMPUTED_VALUE"""),"K")</f>
        <v>K</v>
      </c>
      <c r="F5379" s="309" t="s">
        <v>34</v>
      </c>
      <c r="G5379" s="308"/>
      <c r="H5379" s="308" t="s">
        <v>21622</v>
      </c>
      <c r="I5379" s="314">
        <v>42004.0</v>
      </c>
      <c r="J5379" s="319">
        <f>IFERROR(__xludf.DUMMYFUNCTION("SPLIT(I5379,""/"")"),31.0)</f>
        <v>31</v>
      </c>
      <c r="K5379" s="308">
        <f>IFERROR(__xludf.DUMMYFUNCTION("""COMPUTED_VALUE"""),12.0)</f>
        <v>12</v>
      </c>
      <c r="L5379" s="308">
        <f>IFERROR(__xludf.DUMMYFUNCTION("""COMPUTED_VALUE"""),2014.0)</f>
        <v>2014</v>
      </c>
      <c r="M5379" s="308" t="s">
        <v>21623</v>
      </c>
      <c r="N5379" s="308"/>
      <c r="O5379" s="308"/>
      <c r="P5379" s="308" t="s">
        <v>21537</v>
      </c>
      <c r="Q5379" s="308" t="s">
        <v>38360</v>
      </c>
      <c r="R5379" s="308" t="s">
        <v>2743</v>
      </c>
      <c r="S5379" s="315" t="s">
        <v>100</v>
      </c>
      <c r="T5379" s="311" t="s">
        <v>34208</v>
      </c>
      <c r="U5379" s="308" t="s">
        <v>368</v>
      </c>
      <c r="V5379" s="308"/>
    </row>
    <row r="5380">
      <c r="A5380" s="308">
        <v>5379.0</v>
      </c>
      <c r="B5380" s="308"/>
      <c r="C5380" s="308" t="s">
        <v>21624</v>
      </c>
      <c r="D5380" s="308">
        <f>IFERROR(__xludf.DUMMYFUNCTION("SPLIT(C5380,""-"")"),5400.0)</f>
        <v>5400</v>
      </c>
      <c r="E5380" s="308" t="str">
        <f>IFERROR(__xludf.DUMMYFUNCTION("""COMPUTED_VALUE"""),"K")</f>
        <v>K</v>
      </c>
      <c r="F5380" s="309" t="s">
        <v>34</v>
      </c>
      <c r="G5380" s="308"/>
      <c r="H5380" s="308" t="s">
        <v>21625</v>
      </c>
      <c r="I5380" s="310">
        <v>39995.0</v>
      </c>
      <c r="J5380" s="319">
        <f>IFERROR(__xludf.DUMMYFUNCTION("SPLIT(I5380,""/"")"),1.0)</f>
        <v>1</v>
      </c>
      <c r="K5380" s="308">
        <f>IFERROR(__xludf.DUMMYFUNCTION("""COMPUTED_VALUE"""),7.0)</f>
        <v>7</v>
      </c>
      <c r="L5380" s="308">
        <f>IFERROR(__xludf.DUMMYFUNCTION("""COMPUTED_VALUE"""),2009.0)</f>
        <v>2009</v>
      </c>
      <c r="M5380" s="308" t="s">
        <v>21626</v>
      </c>
      <c r="N5380" s="308"/>
      <c r="O5380" s="308"/>
      <c r="P5380" s="308" t="s">
        <v>38365</v>
      </c>
      <c r="Q5380" s="308" t="s">
        <v>38360</v>
      </c>
      <c r="R5380" s="308" t="s">
        <v>2743</v>
      </c>
      <c r="S5380" s="308" t="s">
        <v>81</v>
      </c>
      <c r="T5380" s="308" t="s">
        <v>34264</v>
      </c>
      <c r="U5380" s="308" t="s">
        <v>530</v>
      </c>
      <c r="V5380" s="308"/>
    </row>
    <row r="5381">
      <c r="A5381" s="308">
        <v>5380.0</v>
      </c>
      <c r="B5381" s="308"/>
      <c r="C5381" s="308" t="s">
        <v>21628</v>
      </c>
      <c r="D5381" s="308">
        <f>IFERROR(__xludf.DUMMYFUNCTION("SPLIT(C5381,""-"")"),5401.0)</f>
        <v>5401</v>
      </c>
      <c r="E5381" s="308" t="str">
        <f>IFERROR(__xludf.DUMMYFUNCTION("""COMPUTED_VALUE"""),"K")</f>
        <v>K</v>
      </c>
      <c r="F5381" s="309" t="s">
        <v>34</v>
      </c>
      <c r="G5381" s="308"/>
      <c r="H5381" s="308" t="s">
        <v>21629</v>
      </c>
      <c r="I5381" s="314">
        <v>41205.0</v>
      </c>
      <c r="J5381" s="319">
        <f>IFERROR(__xludf.DUMMYFUNCTION("SPLIT(I5381,""/"")"),23.0)</f>
        <v>23</v>
      </c>
      <c r="K5381" s="308">
        <f>IFERROR(__xludf.DUMMYFUNCTION("""COMPUTED_VALUE"""),10.0)</f>
        <v>10</v>
      </c>
      <c r="L5381" s="308">
        <f>IFERROR(__xludf.DUMMYFUNCTION("""COMPUTED_VALUE"""),2012.0)</f>
        <v>2012</v>
      </c>
      <c r="M5381" s="308" t="s">
        <v>21630</v>
      </c>
      <c r="N5381" s="308"/>
      <c r="O5381" s="308" t="s">
        <v>21631</v>
      </c>
      <c r="P5381" s="308" t="s">
        <v>38366</v>
      </c>
      <c r="Q5381" s="308" t="s">
        <v>38360</v>
      </c>
      <c r="R5381" s="308" t="s">
        <v>2743</v>
      </c>
      <c r="S5381" s="308" t="s">
        <v>81</v>
      </c>
      <c r="T5381" s="308" t="s">
        <v>34264</v>
      </c>
      <c r="U5381" s="308" t="s">
        <v>530</v>
      </c>
      <c r="V5381" s="308"/>
    </row>
    <row r="5382">
      <c r="A5382" s="308">
        <v>5381.0</v>
      </c>
      <c r="B5382" s="308"/>
      <c r="C5382" s="308" t="s">
        <v>21633</v>
      </c>
      <c r="D5382" s="308">
        <f>IFERROR(__xludf.DUMMYFUNCTION("SPLIT(C5382,""-"")"),5402.0)</f>
        <v>5402</v>
      </c>
      <c r="E5382" s="308" t="str">
        <f>IFERROR(__xludf.DUMMYFUNCTION("""COMPUTED_VALUE"""),"P")</f>
        <v>P</v>
      </c>
      <c r="F5382" s="312" t="s">
        <v>37</v>
      </c>
      <c r="G5382" s="308"/>
      <c r="H5382" s="308" t="s">
        <v>21634</v>
      </c>
      <c r="I5382" s="310">
        <v>43333.0</v>
      </c>
      <c r="J5382" s="319">
        <f>IFERROR(__xludf.DUMMYFUNCTION("SPLIT(I5382,""/"")"),21.0)</f>
        <v>21</v>
      </c>
      <c r="K5382" s="308">
        <f>IFERROR(__xludf.DUMMYFUNCTION("""COMPUTED_VALUE"""),8.0)</f>
        <v>8</v>
      </c>
      <c r="L5382" s="308">
        <f>IFERROR(__xludf.DUMMYFUNCTION("""COMPUTED_VALUE"""),2018.0)</f>
        <v>2018</v>
      </c>
      <c r="M5382" s="308" t="s">
        <v>21635</v>
      </c>
      <c r="N5382" s="308"/>
      <c r="O5382" s="308"/>
      <c r="P5382" s="308" t="s">
        <v>38367</v>
      </c>
      <c r="Q5382" s="308" t="s">
        <v>38360</v>
      </c>
      <c r="R5382" s="308" t="s">
        <v>2743</v>
      </c>
      <c r="S5382" s="308" t="s">
        <v>81</v>
      </c>
      <c r="T5382" s="308" t="s">
        <v>73</v>
      </c>
      <c r="U5382" s="308" t="s">
        <v>13303</v>
      </c>
      <c r="V5382" s="308"/>
    </row>
    <row r="5383">
      <c r="A5383" s="308">
        <v>5382.0</v>
      </c>
      <c r="B5383" s="308"/>
      <c r="C5383" s="308" t="s">
        <v>21637</v>
      </c>
      <c r="D5383" s="308">
        <f>IFERROR(__xludf.DUMMYFUNCTION("SPLIT(C5383,""-"")"),5403.0)</f>
        <v>5403</v>
      </c>
      <c r="E5383" s="308" t="str">
        <f>IFERROR(__xludf.DUMMYFUNCTION("""COMPUTED_VALUE"""),"K")</f>
        <v>K</v>
      </c>
      <c r="F5383" s="309" t="s">
        <v>34</v>
      </c>
      <c r="G5383" s="308"/>
      <c r="H5383" s="308" t="s">
        <v>21638</v>
      </c>
      <c r="I5383" s="310">
        <v>39866.0</v>
      </c>
      <c r="J5383" s="319">
        <f>IFERROR(__xludf.DUMMYFUNCTION("SPLIT(I5383,""/"")"),22.0)</f>
        <v>22</v>
      </c>
      <c r="K5383" s="308">
        <f>IFERROR(__xludf.DUMMYFUNCTION("""COMPUTED_VALUE"""),2.0)</f>
        <v>2</v>
      </c>
      <c r="L5383" s="308">
        <f>IFERROR(__xludf.DUMMYFUNCTION("""COMPUTED_VALUE"""),2009.0)</f>
        <v>2009</v>
      </c>
      <c r="M5383" s="308" t="s">
        <v>21639</v>
      </c>
      <c r="N5383" s="308"/>
      <c r="O5383" s="308"/>
      <c r="P5383" s="308" t="s">
        <v>38368</v>
      </c>
      <c r="Q5383" s="308" t="s">
        <v>38360</v>
      </c>
      <c r="R5383" s="308" t="s">
        <v>16185</v>
      </c>
      <c r="S5383" s="308" t="s">
        <v>81</v>
      </c>
      <c r="T5383" s="308" t="s">
        <v>34264</v>
      </c>
      <c r="U5383" s="308" t="s">
        <v>530</v>
      </c>
      <c r="V5383" s="308"/>
    </row>
    <row r="5384">
      <c r="A5384" s="308">
        <v>5383.0</v>
      </c>
      <c r="B5384" s="308"/>
      <c r="C5384" s="308" t="s">
        <v>21641</v>
      </c>
      <c r="D5384" s="308">
        <f>IFERROR(__xludf.DUMMYFUNCTION("SPLIT(C5384,""-"")"),5404.0)</f>
        <v>5404</v>
      </c>
      <c r="E5384" s="308" t="str">
        <f>IFERROR(__xludf.DUMMYFUNCTION("""COMPUTED_VALUE"""),"K")</f>
        <v>K</v>
      </c>
      <c r="F5384" s="309" t="s">
        <v>34</v>
      </c>
      <c r="G5384" s="308"/>
      <c r="H5384" s="308" t="s">
        <v>21642</v>
      </c>
      <c r="I5384" s="310">
        <v>42994.0</v>
      </c>
      <c r="J5384" s="319" t="str">
        <f>IFERROR(__xludf.DUMMYFUNCTION("SPLIT(I5384,""/"")"),"#REF!")</f>
        <v>#REF!</v>
      </c>
      <c r="K5384" s="308"/>
      <c r="L5384" s="308">
        <v>2017.0</v>
      </c>
      <c r="M5384" s="308" t="s">
        <v>21643</v>
      </c>
      <c r="N5384" s="308"/>
      <c r="O5384" s="308"/>
      <c r="P5384" s="308" t="s">
        <v>21644</v>
      </c>
      <c r="Q5384" s="308" t="s">
        <v>38360</v>
      </c>
      <c r="R5384" s="308" t="s">
        <v>16185</v>
      </c>
      <c r="S5384" s="308" t="s">
        <v>81</v>
      </c>
      <c r="T5384" s="308" t="s">
        <v>75</v>
      </c>
      <c r="U5384" s="308" t="s">
        <v>2466</v>
      </c>
      <c r="V5384" s="308"/>
    </row>
    <row r="5385">
      <c r="A5385" s="308">
        <v>5384.0</v>
      </c>
      <c r="B5385" s="308"/>
      <c r="C5385" s="308" t="s">
        <v>21645</v>
      </c>
      <c r="D5385" s="308">
        <f>IFERROR(__xludf.DUMMYFUNCTION("SPLIT(C5385,""-"")"),5405.0)</f>
        <v>5405</v>
      </c>
      <c r="E5385" s="308" t="str">
        <f>IFERROR(__xludf.DUMMYFUNCTION("""COMPUTED_VALUE"""),"P")</f>
        <v>P</v>
      </c>
      <c r="F5385" s="312" t="s">
        <v>37</v>
      </c>
      <c r="G5385" s="308"/>
      <c r="H5385" s="308" t="s">
        <v>21646</v>
      </c>
      <c r="I5385" s="310">
        <v>42453.0</v>
      </c>
      <c r="J5385" s="319">
        <f>IFERROR(__xludf.DUMMYFUNCTION("SPLIT(I5385,""/"")"),24.0)</f>
        <v>24</v>
      </c>
      <c r="K5385" s="308">
        <f>IFERROR(__xludf.DUMMYFUNCTION("""COMPUTED_VALUE"""),3.0)</f>
        <v>3</v>
      </c>
      <c r="L5385" s="308">
        <f>IFERROR(__xludf.DUMMYFUNCTION("""COMPUTED_VALUE"""),2016.0)</f>
        <v>2016</v>
      </c>
      <c r="M5385" s="308" t="s">
        <v>38369</v>
      </c>
      <c r="N5385" s="308"/>
      <c r="O5385" s="308"/>
      <c r="P5385" s="308" t="s">
        <v>38370</v>
      </c>
      <c r="Q5385" s="308" t="s">
        <v>38360</v>
      </c>
      <c r="R5385" s="308" t="s">
        <v>16185</v>
      </c>
      <c r="S5385" s="308" t="s">
        <v>81</v>
      </c>
      <c r="T5385" s="311" t="s">
        <v>63</v>
      </c>
      <c r="U5385" s="308" t="s">
        <v>1435</v>
      </c>
      <c r="V5385" s="308"/>
    </row>
    <row r="5386">
      <c r="A5386" s="308">
        <v>5385.0</v>
      </c>
      <c r="B5386" s="308"/>
      <c r="C5386" s="308" t="s">
        <v>21649</v>
      </c>
      <c r="D5386" s="308">
        <f>IFERROR(__xludf.DUMMYFUNCTION("SPLIT(C5386,""-"")"),5406.0)</f>
        <v>5406</v>
      </c>
      <c r="E5386" s="308" t="str">
        <f>IFERROR(__xludf.DUMMYFUNCTION("""COMPUTED_VALUE"""),"P")</f>
        <v>P</v>
      </c>
      <c r="F5386" s="312" t="s">
        <v>37</v>
      </c>
      <c r="G5386" s="308"/>
      <c r="H5386" s="308" t="s">
        <v>21650</v>
      </c>
      <c r="I5386" s="310">
        <v>43355.0</v>
      </c>
      <c r="J5386" s="319">
        <f>IFERROR(__xludf.DUMMYFUNCTION("SPLIT(I5386,""/"")"),12.0)</f>
        <v>12</v>
      </c>
      <c r="K5386" s="308">
        <f>IFERROR(__xludf.DUMMYFUNCTION("""COMPUTED_VALUE"""),9.0)</f>
        <v>9</v>
      </c>
      <c r="L5386" s="308">
        <f>IFERROR(__xludf.DUMMYFUNCTION("""COMPUTED_VALUE"""),2018.0)</f>
        <v>2018</v>
      </c>
      <c r="M5386" s="308" t="s">
        <v>21651</v>
      </c>
      <c r="N5386" s="308"/>
      <c r="O5386" s="308"/>
      <c r="P5386" s="308" t="s">
        <v>21652</v>
      </c>
      <c r="Q5386" s="308" t="s">
        <v>38360</v>
      </c>
      <c r="R5386" s="308" t="s">
        <v>16185</v>
      </c>
      <c r="S5386" s="308" t="s">
        <v>81</v>
      </c>
      <c r="T5386" s="308" t="s">
        <v>75</v>
      </c>
      <c r="U5386" s="308" t="s">
        <v>143</v>
      </c>
      <c r="V5386" s="308"/>
    </row>
    <row r="5387">
      <c r="A5387" s="308">
        <v>5386.0</v>
      </c>
      <c r="B5387" s="308"/>
      <c r="C5387" s="308" t="s">
        <v>21653</v>
      </c>
      <c r="D5387" s="308">
        <f>IFERROR(__xludf.DUMMYFUNCTION("SPLIT(C5387,""-"")"),5407.0)</f>
        <v>5407</v>
      </c>
      <c r="E5387" s="308" t="str">
        <f>IFERROR(__xludf.DUMMYFUNCTION("""COMPUTED_VALUE"""),"A")</f>
        <v>A</v>
      </c>
      <c r="F5387" s="309" t="s">
        <v>23</v>
      </c>
      <c r="G5387" s="308"/>
      <c r="H5387" s="308" t="s">
        <v>21654</v>
      </c>
      <c r="I5387" s="310">
        <v>42650.0</v>
      </c>
      <c r="J5387" s="319">
        <f>IFERROR(__xludf.DUMMYFUNCTION("SPLIT(I5387,""/"")"),7.0)</f>
        <v>7</v>
      </c>
      <c r="K5387" s="308">
        <f>IFERROR(__xludf.DUMMYFUNCTION("""COMPUTED_VALUE"""),10.0)</f>
        <v>10</v>
      </c>
      <c r="L5387" s="308">
        <f>IFERROR(__xludf.DUMMYFUNCTION("""COMPUTED_VALUE"""),2016.0)</f>
        <v>2016</v>
      </c>
      <c r="M5387" s="308" t="s">
        <v>38371</v>
      </c>
      <c r="N5387" s="308" t="s">
        <v>21656</v>
      </c>
      <c r="O5387" s="308"/>
      <c r="P5387" s="308" t="s">
        <v>21657</v>
      </c>
      <c r="Q5387" s="308" t="s">
        <v>38360</v>
      </c>
      <c r="R5387" s="308" t="s">
        <v>16185</v>
      </c>
      <c r="S5387" s="315" t="s">
        <v>100</v>
      </c>
      <c r="T5387" s="311" t="s">
        <v>34208</v>
      </c>
      <c r="U5387" s="308" t="s">
        <v>403</v>
      </c>
      <c r="V5387" s="308"/>
    </row>
    <row r="5388">
      <c r="A5388" s="308">
        <v>5387.0</v>
      </c>
      <c r="B5388" s="308"/>
      <c r="C5388" s="308" t="s">
        <v>21658</v>
      </c>
      <c r="D5388" s="308">
        <f>IFERROR(__xludf.DUMMYFUNCTION("SPLIT(C5388,""-"")"),5408.0)</f>
        <v>5408</v>
      </c>
      <c r="E5388" s="308" t="str">
        <f>IFERROR(__xludf.DUMMYFUNCTION("""COMPUTED_VALUE"""),"S")</f>
        <v>S</v>
      </c>
      <c r="F5388" s="312" t="s">
        <v>39</v>
      </c>
      <c r="G5388" s="308"/>
      <c r="H5388" s="308" t="s">
        <v>21659</v>
      </c>
      <c r="I5388" s="310">
        <v>43294.0</v>
      </c>
      <c r="J5388" s="319">
        <f>IFERROR(__xludf.DUMMYFUNCTION("SPLIT(I5388,""/"")"),13.0)</f>
        <v>13</v>
      </c>
      <c r="K5388" s="308">
        <f>IFERROR(__xludf.DUMMYFUNCTION("""COMPUTED_VALUE"""),7.0)</f>
        <v>7</v>
      </c>
      <c r="L5388" s="308">
        <f>IFERROR(__xludf.DUMMYFUNCTION("""COMPUTED_VALUE"""),2018.0)</f>
        <v>2018</v>
      </c>
      <c r="M5388" s="308" t="s">
        <v>21660</v>
      </c>
      <c r="N5388" s="308"/>
      <c r="O5388" s="308"/>
      <c r="P5388" s="308" t="s">
        <v>21661</v>
      </c>
      <c r="Q5388" s="308" t="s">
        <v>38360</v>
      </c>
      <c r="R5388" s="308" t="s">
        <v>16185</v>
      </c>
      <c r="S5388" s="315" t="s">
        <v>100</v>
      </c>
      <c r="T5388" s="311" t="s">
        <v>34208</v>
      </c>
      <c r="U5388" s="308" t="s">
        <v>166</v>
      </c>
      <c r="V5388" s="308"/>
    </row>
    <row r="5389">
      <c r="A5389" s="308">
        <v>5388.0</v>
      </c>
      <c r="B5389" s="308"/>
      <c r="C5389" s="308" t="s">
        <v>21662</v>
      </c>
      <c r="D5389" s="308">
        <f>IFERROR(__xludf.DUMMYFUNCTION("SPLIT(C5389,""-"")"),5409.0)</f>
        <v>5409</v>
      </c>
      <c r="E5389" s="308" t="str">
        <f>IFERROR(__xludf.DUMMYFUNCTION("""COMPUTED_VALUE"""),"K")</f>
        <v>K</v>
      </c>
      <c r="F5389" s="309" t="s">
        <v>34</v>
      </c>
      <c r="G5389" s="308"/>
      <c r="H5389" s="308" t="s">
        <v>21663</v>
      </c>
      <c r="I5389" s="310">
        <v>42392.0</v>
      </c>
      <c r="J5389" s="319">
        <f>IFERROR(__xludf.DUMMYFUNCTION("SPLIT(I5389,""/"")"),23.0)</f>
        <v>23</v>
      </c>
      <c r="K5389" s="308">
        <f>IFERROR(__xludf.DUMMYFUNCTION("""COMPUTED_VALUE"""),1.0)</f>
        <v>1</v>
      </c>
      <c r="L5389" s="308">
        <f>IFERROR(__xludf.DUMMYFUNCTION("""COMPUTED_VALUE"""),2016.0)</f>
        <v>2016</v>
      </c>
      <c r="M5389" s="308" t="s">
        <v>21664</v>
      </c>
      <c r="N5389" s="308"/>
      <c r="O5389" s="308"/>
      <c r="P5389" s="308" t="s">
        <v>38372</v>
      </c>
      <c r="Q5389" s="308" t="s">
        <v>38360</v>
      </c>
      <c r="R5389" s="308" t="s">
        <v>2743</v>
      </c>
      <c r="S5389" s="308" t="s">
        <v>81</v>
      </c>
      <c r="T5389" s="308" t="s">
        <v>34264</v>
      </c>
      <c r="U5389" s="308" t="s">
        <v>2152</v>
      </c>
      <c r="V5389" s="308"/>
    </row>
    <row r="5390">
      <c r="A5390" s="308">
        <v>5389.0</v>
      </c>
      <c r="B5390" s="308"/>
      <c r="C5390" s="308" t="s">
        <v>21666</v>
      </c>
      <c r="D5390" s="308">
        <f>IFERROR(__xludf.DUMMYFUNCTION("SPLIT(C5390,""-"")"),5410.0)</f>
        <v>5410</v>
      </c>
      <c r="E5390" s="308" t="str">
        <f>IFERROR(__xludf.DUMMYFUNCTION("""COMPUTED_VALUE"""),"K")</f>
        <v>K</v>
      </c>
      <c r="F5390" s="309" t="s">
        <v>34</v>
      </c>
      <c r="G5390" s="308"/>
      <c r="H5390" s="308" t="s">
        <v>21667</v>
      </c>
      <c r="I5390" s="314">
        <v>42294.0</v>
      </c>
      <c r="J5390" s="319">
        <f>IFERROR(__xludf.DUMMYFUNCTION("SPLIT(I5390,""/"")"),17.0)</f>
        <v>17</v>
      </c>
      <c r="K5390" s="308">
        <f>IFERROR(__xludf.DUMMYFUNCTION("""COMPUTED_VALUE"""),10.0)</f>
        <v>10</v>
      </c>
      <c r="L5390" s="308">
        <f>IFERROR(__xludf.DUMMYFUNCTION("""COMPUTED_VALUE"""),2015.0)</f>
        <v>2015</v>
      </c>
      <c r="M5390" s="308" t="s">
        <v>21668</v>
      </c>
      <c r="N5390" s="308"/>
      <c r="O5390" s="308"/>
      <c r="P5390" s="308" t="s">
        <v>34212</v>
      </c>
      <c r="Q5390" s="308" t="s">
        <v>38360</v>
      </c>
      <c r="R5390" s="308" t="s">
        <v>2743</v>
      </c>
      <c r="S5390" s="315" t="s">
        <v>100</v>
      </c>
      <c r="T5390" s="311" t="s">
        <v>34208</v>
      </c>
      <c r="U5390" s="308" t="s">
        <v>201</v>
      </c>
      <c r="V5390" s="308"/>
    </row>
    <row r="5391">
      <c r="A5391" s="308">
        <v>5390.0</v>
      </c>
      <c r="B5391" s="308"/>
      <c r="C5391" s="308" t="s">
        <v>21669</v>
      </c>
      <c r="D5391" s="308">
        <f>IFERROR(__xludf.DUMMYFUNCTION("SPLIT(C5391,""-"")"),5411.0)</f>
        <v>5411</v>
      </c>
      <c r="E5391" s="308" t="str">
        <f>IFERROR(__xludf.DUMMYFUNCTION("""COMPUTED_VALUE"""),"S")</f>
        <v>S</v>
      </c>
      <c r="F5391" s="312" t="s">
        <v>39</v>
      </c>
      <c r="G5391" s="308"/>
      <c r="H5391" s="308" t="s">
        <v>21670</v>
      </c>
      <c r="I5391" s="310">
        <v>43316.0</v>
      </c>
      <c r="J5391" s="319">
        <f>IFERROR(__xludf.DUMMYFUNCTION("SPLIT(I5391,""/"")"),4.0)</f>
        <v>4</v>
      </c>
      <c r="K5391" s="308">
        <f>IFERROR(__xludf.DUMMYFUNCTION("""COMPUTED_VALUE"""),8.0)</f>
        <v>8</v>
      </c>
      <c r="L5391" s="308">
        <f>IFERROR(__xludf.DUMMYFUNCTION("""COMPUTED_VALUE"""),2018.0)</f>
        <v>2018</v>
      </c>
      <c r="M5391" s="308" t="s">
        <v>21671</v>
      </c>
      <c r="N5391" s="308"/>
      <c r="O5391" s="308"/>
      <c r="P5391" s="308" t="s">
        <v>21672</v>
      </c>
      <c r="Q5391" s="308" t="s">
        <v>38360</v>
      </c>
      <c r="R5391" s="308" t="s">
        <v>21673</v>
      </c>
      <c r="S5391" s="308" t="s">
        <v>81</v>
      </c>
      <c r="T5391" s="308" t="s">
        <v>75</v>
      </c>
      <c r="U5391" s="308" t="s">
        <v>166</v>
      </c>
      <c r="V5391" s="308"/>
    </row>
    <row r="5392">
      <c r="A5392" s="308">
        <v>5391.0</v>
      </c>
      <c r="B5392" s="308"/>
      <c r="C5392" s="308" t="s">
        <v>21674</v>
      </c>
      <c r="D5392" s="308">
        <f>IFERROR(__xludf.DUMMYFUNCTION("SPLIT(C5392,""-"")"),5412.0)</f>
        <v>5412</v>
      </c>
      <c r="E5392" s="308" t="str">
        <f>IFERROR(__xludf.DUMMYFUNCTION("""COMPUTED_VALUE"""),"K")</f>
        <v>K</v>
      </c>
      <c r="F5392" s="309" t="s">
        <v>34</v>
      </c>
      <c r="G5392" s="308"/>
      <c r="H5392" s="308" t="s">
        <v>21675</v>
      </c>
      <c r="I5392" s="310">
        <v>42552.0</v>
      </c>
      <c r="J5392" s="319">
        <f>IFERROR(__xludf.DUMMYFUNCTION("SPLIT(I5392,""/"")"),1.0)</f>
        <v>1</v>
      </c>
      <c r="K5392" s="308">
        <f>IFERROR(__xludf.DUMMYFUNCTION("""COMPUTED_VALUE"""),7.0)</f>
        <v>7</v>
      </c>
      <c r="L5392" s="308">
        <f>IFERROR(__xludf.DUMMYFUNCTION("""COMPUTED_VALUE"""),2016.0)</f>
        <v>2016</v>
      </c>
      <c r="M5392" s="308" t="s">
        <v>21676</v>
      </c>
      <c r="N5392" s="308" t="s">
        <v>439</v>
      </c>
      <c r="O5392" s="308"/>
      <c r="P5392" s="308" t="s">
        <v>38373</v>
      </c>
      <c r="Q5392" s="308" t="s">
        <v>38360</v>
      </c>
      <c r="R5392" s="308" t="s">
        <v>2743</v>
      </c>
      <c r="S5392" s="308" t="s">
        <v>81</v>
      </c>
      <c r="T5392" s="308" t="s">
        <v>34264</v>
      </c>
      <c r="U5392" s="308" t="s">
        <v>530</v>
      </c>
      <c r="V5392" s="308"/>
    </row>
    <row r="5393">
      <c r="A5393" s="308">
        <v>5392.0</v>
      </c>
      <c r="B5393" s="308"/>
      <c r="C5393" s="308" t="s">
        <v>21678</v>
      </c>
      <c r="D5393" s="308">
        <f>IFERROR(__xludf.DUMMYFUNCTION("SPLIT(C5393,""-"")"),5413.0)</f>
        <v>5413</v>
      </c>
      <c r="E5393" s="308" t="str">
        <f>IFERROR(__xludf.DUMMYFUNCTION("""COMPUTED_VALUE"""),"K")</f>
        <v>K</v>
      </c>
      <c r="F5393" s="309" t="s">
        <v>34</v>
      </c>
      <c r="G5393" s="308"/>
      <c r="H5393" s="308" t="s">
        <v>21679</v>
      </c>
      <c r="I5393" s="310">
        <v>42471.0</v>
      </c>
      <c r="J5393" s="319">
        <f>IFERROR(__xludf.DUMMYFUNCTION("SPLIT(I5393,""/"")"),11.0)</f>
        <v>11</v>
      </c>
      <c r="K5393" s="308">
        <f>IFERROR(__xludf.DUMMYFUNCTION("""COMPUTED_VALUE"""),4.0)</f>
        <v>4</v>
      </c>
      <c r="L5393" s="308">
        <f>IFERROR(__xludf.DUMMYFUNCTION("""COMPUTED_VALUE"""),2016.0)</f>
        <v>2016</v>
      </c>
      <c r="M5393" s="308" t="s">
        <v>21680</v>
      </c>
      <c r="N5393" s="308" t="s">
        <v>21681</v>
      </c>
      <c r="O5393" s="308"/>
      <c r="P5393" s="308" t="s">
        <v>21537</v>
      </c>
      <c r="Q5393" s="308" t="s">
        <v>38360</v>
      </c>
      <c r="R5393" s="308" t="s">
        <v>2743</v>
      </c>
      <c r="S5393" s="315" t="s">
        <v>100</v>
      </c>
      <c r="T5393" s="311" t="s">
        <v>34208</v>
      </c>
      <c r="U5393" s="308" t="s">
        <v>125</v>
      </c>
      <c r="V5393" s="308"/>
    </row>
    <row r="5394">
      <c r="A5394" s="308">
        <v>5393.0</v>
      </c>
      <c r="B5394" s="308"/>
      <c r="C5394" s="308" t="s">
        <v>21682</v>
      </c>
      <c r="D5394" s="308">
        <f>IFERROR(__xludf.DUMMYFUNCTION("SPLIT(C5394,""-"")"),5414.0)</f>
        <v>5414</v>
      </c>
      <c r="E5394" s="308" t="str">
        <f>IFERROR(__xludf.DUMMYFUNCTION("""COMPUTED_VALUE"""),"K")</f>
        <v>K</v>
      </c>
      <c r="F5394" s="309" t="s">
        <v>34</v>
      </c>
      <c r="G5394" s="308"/>
      <c r="H5394" s="308" t="s">
        <v>21683</v>
      </c>
      <c r="I5394" s="310">
        <v>41091.0</v>
      </c>
      <c r="J5394" s="319">
        <f>IFERROR(__xludf.DUMMYFUNCTION("SPLIT(I5394,""/"")"),1.0)</f>
        <v>1</v>
      </c>
      <c r="K5394" s="308">
        <f>IFERROR(__xludf.DUMMYFUNCTION("""COMPUTED_VALUE"""),7.0)</f>
        <v>7</v>
      </c>
      <c r="L5394" s="308">
        <f>IFERROR(__xludf.DUMMYFUNCTION("""COMPUTED_VALUE"""),2012.0)</f>
        <v>2012</v>
      </c>
      <c r="M5394" s="308" t="s">
        <v>21684</v>
      </c>
      <c r="N5394" s="308"/>
      <c r="O5394" s="308"/>
      <c r="P5394" s="308" t="s">
        <v>38374</v>
      </c>
      <c r="Q5394" s="308" t="s">
        <v>38360</v>
      </c>
      <c r="R5394" s="308" t="s">
        <v>2743</v>
      </c>
      <c r="S5394" s="308" t="s">
        <v>81</v>
      </c>
      <c r="T5394" s="308" t="s">
        <v>34264</v>
      </c>
      <c r="U5394" s="308" t="s">
        <v>530</v>
      </c>
      <c r="V5394" s="308"/>
    </row>
    <row r="5395">
      <c r="A5395" s="308">
        <v>5394.0</v>
      </c>
      <c r="B5395" s="308"/>
      <c r="C5395" s="308" t="s">
        <v>21686</v>
      </c>
      <c r="D5395" s="308">
        <f>IFERROR(__xludf.DUMMYFUNCTION("SPLIT(C5395,""-"")"),5415.0)</f>
        <v>5415</v>
      </c>
      <c r="E5395" s="308" t="str">
        <f>IFERROR(__xludf.DUMMYFUNCTION("""COMPUTED_VALUE"""),"K")</f>
        <v>K</v>
      </c>
      <c r="F5395" s="309" t="s">
        <v>34</v>
      </c>
      <c r="G5395" s="308"/>
      <c r="H5395" s="308" t="s">
        <v>21687</v>
      </c>
      <c r="I5395" s="310">
        <v>40696.0</v>
      </c>
      <c r="J5395" s="319">
        <f>IFERROR(__xludf.DUMMYFUNCTION("SPLIT(I5395,""/"")"),2.0)</f>
        <v>2</v>
      </c>
      <c r="K5395" s="308">
        <f>IFERROR(__xludf.DUMMYFUNCTION("""COMPUTED_VALUE"""),6.0)</f>
        <v>6</v>
      </c>
      <c r="L5395" s="308">
        <f>IFERROR(__xludf.DUMMYFUNCTION("""COMPUTED_VALUE"""),2011.0)</f>
        <v>2011</v>
      </c>
      <c r="M5395" s="308" t="s">
        <v>21688</v>
      </c>
      <c r="N5395" s="308" t="s">
        <v>21689</v>
      </c>
      <c r="O5395" s="308" t="s">
        <v>21690</v>
      </c>
      <c r="P5395" s="308" t="s">
        <v>21537</v>
      </c>
      <c r="Q5395" s="308" t="s">
        <v>38375</v>
      </c>
      <c r="R5395" s="308" t="s">
        <v>2743</v>
      </c>
      <c r="S5395" s="315" t="s">
        <v>100</v>
      </c>
      <c r="T5395" s="311" t="s">
        <v>34208</v>
      </c>
      <c r="U5395" s="308" t="s">
        <v>2152</v>
      </c>
      <c r="V5395" s="308"/>
    </row>
    <row r="5396">
      <c r="A5396" s="308">
        <v>5395.0</v>
      </c>
      <c r="B5396" s="308"/>
      <c r="C5396" s="308" t="s">
        <v>21691</v>
      </c>
      <c r="D5396" s="308">
        <f>IFERROR(__xludf.DUMMYFUNCTION("SPLIT(C5396,""-"")"),5416.0)</f>
        <v>5416</v>
      </c>
      <c r="E5396" s="308" t="str">
        <f>IFERROR(__xludf.DUMMYFUNCTION("""COMPUTED_VALUE"""),"S")</f>
        <v>S</v>
      </c>
      <c r="F5396" s="312" t="s">
        <v>39</v>
      </c>
      <c r="G5396" s="308"/>
      <c r="H5396" s="308" t="s">
        <v>21692</v>
      </c>
      <c r="I5396" s="314">
        <v>41986.0</v>
      </c>
      <c r="J5396" s="319">
        <f>IFERROR(__xludf.DUMMYFUNCTION("SPLIT(I5396,""/"")"),13.0)</f>
        <v>13</v>
      </c>
      <c r="K5396" s="308">
        <f>IFERROR(__xludf.DUMMYFUNCTION("""COMPUTED_VALUE"""),12.0)</f>
        <v>12</v>
      </c>
      <c r="L5396" s="308">
        <f>IFERROR(__xludf.DUMMYFUNCTION("""COMPUTED_VALUE"""),2014.0)</f>
        <v>2014</v>
      </c>
      <c r="M5396" s="308" t="s">
        <v>21693</v>
      </c>
      <c r="N5396" s="308"/>
      <c r="O5396" s="308"/>
      <c r="P5396" s="308" t="s">
        <v>38376</v>
      </c>
      <c r="Q5396" s="308" t="s">
        <v>38375</v>
      </c>
      <c r="R5396" s="308" t="s">
        <v>2743</v>
      </c>
      <c r="S5396" s="308" t="s">
        <v>49</v>
      </c>
      <c r="T5396" s="311" t="s">
        <v>51</v>
      </c>
      <c r="U5396" s="308" t="s">
        <v>166</v>
      </c>
      <c r="V5396" s="308"/>
    </row>
    <row r="5397">
      <c r="A5397" s="308">
        <v>5396.0</v>
      </c>
      <c r="B5397" s="308"/>
      <c r="C5397" s="308" t="s">
        <v>21695</v>
      </c>
      <c r="D5397" s="308">
        <f>IFERROR(__xludf.DUMMYFUNCTION("SPLIT(C5397,""-"")"),5417.0)</f>
        <v>5417</v>
      </c>
      <c r="E5397" s="308" t="str">
        <f>IFERROR(__xludf.DUMMYFUNCTION("""COMPUTED_VALUE"""),"S")</f>
        <v>S</v>
      </c>
      <c r="F5397" s="312" t="s">
        <v>39</v>
      </c>
      <c r="G5397" s="308"/>
      <c r="H5397" s="308" t="s">
        <v>21696</v>
      </c>
      <c r="I5397" s="314">
        <v>41986.0</v>
      </c>
      <c r="J5397" s="319">
        <f>IFERROR(__xludf.DUMMYFUNCTION("SPLIT(I5397,""/"")"),13.0)</f>
        <v>13</v>
      </c>
      <c r="K5397" s="308">
        <f>IFERROR(__xludf.DUMMYFUNCTION("""COMPUTED_VALUE"""),12.0)</f>
        <v>12</v>
      </c>
      <c r="L5397" s="308">
        <f>IFERROR(__xludf.DUMMYFUNCTION("""COMPUTED_VALUE"""),2014.0)</f>
        <v>2014</v>
      </c>
      <c r="M5397" s="308" t="s">
        <v>21693</v>
      </c>
      <c r="N5397" s="308"/>
      <c r="O5397" s="308"/>
      <c r="P5397" s="308" t="s">
        <v>38376</v>
      </c>
      <c r="Q5397" s="308" t="s">
        <v>38375</v>
      </c>
      <c r="R5397" s="308" t="s">
        <v>2743</v>
      </c>
      <c r="S5397" s="308" t="s">
        <v>49</v>
      </c>
      <c r="T5397" s="311" t="s">
        <v>51</v>
      </c>
      <c r="U5397" s="308" t="s">
        <v>166</v>
      </c>
      <c r="V5397" s="308"/>
    </row>
    <row r="5398">
      <c r="A5398" s="308">
        <v>5397.0</v>
      </c>
      <c r="B5398" s="308"/>
      <c r="C5398" s="308" t="s">
        <v>21697</v>
      </c>
      <c r="D5398" s="308">
        <f>IFERROR(__xludf.DUMMYFUNCTION("SPLIT(C5398,""-"")"),5418.0)</f>
        <v>5418</v>
      </c>
      <c r="E5398" s="308" t="str">
        <f>IFERROR(__xludf.DUMMYFUNCTION("""COMPUTED_VALUE"""),"S")</f>
        <v>S</v>
      </c>
      <c r="F5398" s="312" t="s">
        <v>39</v>
      </c>
      <c r="G5398" s="308"/>
      <c r="H5398" s="308" t="s">
        <v>21698</v>
      </c>
      <c r="I5398" s="314">
        <v>41986.0</v>
      </c>
      <c r="J5398" s="319">
        <f>IFERROR(__xludf.DUMMYFUNCTION("SPLIT(I5398,""/"")"),13.0)</f>
        <v>13</v>
      </c>
      <c r="K5398" s="308">
        <f>IFERROR(__xludf.DUMMYFUNCTION("""COMPUTED_VALUE"""),12.0)</f>
        <v>12</v>
      </c>
      <c r="L5398" s="308">
        <f>IFERROR(__xludf.DUMMYFUNCTION("""COMPUTED_VALUE"""),2014.0)</f>
        <v>2014</v>
      </c>
      <c r="M5398" s="308" t="s">
        <v>21693</v>
      </c>
      <c r="N5398" s="308"/>
      <c r="O5398" s="308"/>
      <c r="P5398" s="308" t="s">
        <v>38376</v>
      </c>
      <c r="Q5398" s="308" t="s">
        <v>38375</v>
      </c>
      <c r="R5398" s="308" t="s">
        <v>2743</v>
      </c>
      <c r="S5398" s="308" t="s">
        <v>49</v>
      </c>
      <c r="T5398" s="311" t="s">
        <v>51</v>
      </c>
      <c r="U5398" s="308" t="s">
        <v>166</v>
      </c>
      <c r="V5398" s="308"/>
    </row>
    <row r="5399">
      <c r="A5399" s="308">
        <v>5398.0</v>
      </c>
      <c r="B5399" s="308"/>
      <c r="C5399" s="308" t="s">
        <v>21699</v>
      </c>
      <c r="D5399" s="308">
        <f>IFERROR(__xludf.DUMMYFUNCTION("SPLIT(C5399,""-"")"),5419.0)</f>
        <v>5419</v>
      </c>
      <c r="E5399" s="308" t="str">
        <f>IFERROR(__xludf.DUMMYFUNCTION("""COMPUTED_VALUE"""),"S")</f>
        <v>S</v>
      </c>
      <c r="F5399" s="312" t="s">
        <v>39</v>
      </c>
      <c r="G5399" s="308"/>
      <c r="H5399" s="308" t="s">
        <v>21700</v>
      </c>
      <c r="I5399" s="314">
        <v>41986.0</v>
      </c>
      <c r="J5399" s="319">
        <f>IFERROR(__xludf.DUMMYFUNCTION("SPLIT(I5399,""/"")"),13.0)</f>
        <v>13</v>
      </c>
      <c r="K5399" s="308">
        <f>IFERROR(__xludf.DUMMYFUNCTION("""COMPUTED_VALUE"""),12.0)</f>
        <v>12</v>
      </c>
      <c r="L5399" s="308">
        <f>IFERROR(__xludf.DUMMYFUNCTION("""COMPUTED_VALUE"""),2014.0)</f>
        <v>2014</v>
      </c>
      <c r="M5399" s="308" t="s">
        <v>21693</v>
      </c>
      <c r="N5399" s="308"/>
      <c r="O5399" s="308"/>
      <c r="P5399" s="308" t="s">
        <v>38376</v>
      </c>
      <c r="Q5399" s="308" t="s">
        <v>38375</v>
      </c>
      <c r="R5399" s="308" t="s">
        <v>2743</v>
      </c>
      <c r="S5399" s="308" t="s">
        <v>49</v>
      </c>
      <c r="T5399" s="311" t="s">
        <v>51</v>
      </c>
      <c r="U5399" s="308" t="s">
        <v>166</v>
      </c>
      <c r="V5399" s="308"/>
    </row>
    <row r="5400">
      <c r="A5400" s="308">
        <v>5399.0</v>
      </c>
      <c r="B5400" s="308"/>
      <c r="C5400" s="308" t="s">
        <v>21701</v>
      </c>
      <c r="D5400" s="308">
        <f>IFERROR(__xludf.DUMMYFUNCTION("SPLIT(C5400,""-"")"),5420.0)</f>
        <v>5420</v>
      </c>
      <c r="E5400" s="308" t="str">
        <f>IFERROR(__xludf.DUMMYFUNCTION("""COMPUTED_VALUE"""),"K")</f>
        <v>K</v>
      </c>
      <c r="F5400" s="309" t="s">
        <v>34</v>
      </c>
      <c r="G5400" s="308"/>
      <c r="H5400" s="308" t="s">
        <v>21702</v>
      </c>
      <c r="I5400" s="310">
        <v>43362.0</v>
      </c>
      <c r="J5400" s="319">
        <f>IFERROR(__xludf.DUMMYFUNCTION("SPLIT(I5400,""/"")"),19.0)</f>
        <v>19</v>
      </c>
      <c r="K5400" s="308">
        <f>IFERROR(__xludf.DUMMYFUNCTION("""COMPUTED_VALUE"""),9.0)</f>
        <v>9</v>
      </c>
      <c r="L5400" s="308">
        <f>IFERROR(__xludf.DUMMYFUNCTION("""COMPUTED_VALUE"""),2018.0)</f>
        <v>2018</v>
      </c>
      <c r="M5400" s="308" t="s">
        <v>21703</v>
      </c>
      <c r="N5400" s="308"/>
      <c r="O5400" s="308"/>
      <c r="P5400" s="308" t="s">
        <v>21704</v>
      </c>
      <c r="Q5400" s="308" t="s">
        <v>38375</v>
      </c>
      <c r="R5400" s="308" t="s">
        <v>2743</v>
      </c>
      <c r="S5400" s="308" t="s">
        <v>81</v>
      </c>
      <c r="T5400" s="311" t="s">
        <v>91</v>
      </c>
      <c r="U5400" s="308" t="s">
        <v>872</v>
      </c>
      <c r="V5400" s="308"/>
    </row>
    <row r="5401">
      <c r="A5401" s="308">
        <v>5400.0</v>
      </c>
      <c r="B5401" s="308"/>
      <c r="C5401" s="308" t="s">
        <v>21705</v>
      </c>
      <c r="D5401" s="308">
        <f>IFERROR(__xludf.DUMMYFUNCTION("SPLIT(C5401,""-"")"),5421.0)</f>
        <v>5421</v>
      </c>
      <c r="E5401" s="308" t="str">
        <f>IFERROR(__xludf.DUMMYFUNCTION("""COMPUTED_VALUE"""),"S")</f>
        <v>S</v>
      </c>
      <c r="F5401" s="312" t="s">
        <v>39</v>
      </c>
      <c r="G5401" s="308"/>
      <c r="H5401" s="308" t="s">
        <v>21706</v>
      </c>
      <c r="I5401" s="310">
        <v>41007.0</v>
      </c>
      <c r="J5401" s="319">
        <f>IFERROR(__xludf.DUMMYFUNCTION("SPLIT(I5401,""/"")"),8.0)</f>
        <v>8</v>
      </c>
      <c r="K5401" s="308">
        <f>IFERROR(__xludf.DUMMYFUNCTION("""COMPUTED_VALUE"""),4.0)</f>
        <v>4</v>
      </c>
      <c r="L5401" s="308">
        <f>IFERROR(__xludf.DUMMYFUNCTION("""COMPUTED_VALUE"""),2012.0)</f>
        <v>2012</v>
      </c>
      <c r="M5401" s="308" t="s">
        <v>38377</v>
      </c>
      <c r="N5401" s="308"/>
      <c r="O5401" s="308"/>
      <c r="P5401" s="308" t="s">
        <v>38378</v>
      </c>
      <c r="Q5401" s="308" t="s">
        <v>38375</v>
      </c>
      <c r="R5401" s="308" t="s">
        <v>2743</v>
      </c>
      <c r="S5401" s="308" t="s">
        <v>81</v>
      </c>
      <c r="T5401" s="308" t="s">
        <v>34264</v>
      </c>
      <c r="U5401" s="308" t="s">
        <v>166</v>
      </c>
      <c r="V5401" s="308"/>
    </row>
    <row r="5402">
      <c r="A5402" s="308">
        <v>5401.0</v>
      </c>
      <c r="B5402" s="308"/>
      <c r="C5402" s="308" t="s">
        <v>21709</v>
      </c>
      <c r="D5402" s="308">
        <f>IFERROR(__xludf.DUMMYFUNCTION("SPLIT(C5402,""-"")"),5422.0)</f>
        <v>5422</v>
      </c>
      <c r="E5402" s="308" t="str">
        <f>IFERROR(__xludf.DUMMYFUNCTION("""COMPUTED_VALUE"""),"F")</f>
        <v>F</v>
      </c>
      <c r="F5402" s="309" t="s">
        <v>34</v>
      </c>
      <c r="G5402" s="308"/>
      <c r="H5402" s="308" t="s">
        <v>21710</v>
      </c>
      <c r="I5402" s="310">
        <v>42948.0</v>
      </c>
      <c r="J5402" s="319" t="str">
        <f>IFERROR(__xludf.DUMMYFUNCTION("SPLIT(I5402,""/"")"),"#REF!")</f>
        <v>#REF!</v>
      </c>
      <c r="K5402" s="308"/>
      <c r="L5402" s="308">
        <v>2017.0</v>
      </c>
      <c r="M5402" s="308" t="s">
        <v>21711</v>
      </c>
      <c r="N5402" s="308" t="s">
        <v>21712</v>
      </c>
      <c r="O5402" s="308"/>
      <c r="P5402" s="308" t="s">
        <v>21713</v>
      </c>
      <c r="Q5402" s="308" t="s">
        <v>38375</v>
      </c>
      <c r="R5402" s="308" t="s">
        <v>2743</v>
      </c>
      <c r="S5402" s="308" t="s">
        <v>49</v>
      </c>
      <c r="T5402" s="311" t="s">
        <v>51</v>
      </c>
      <c r="U5402" s="308" t="s">
        <v>195</v>
      </c>
      <c r="V5402" s="308"/>
    </row>
    <row r="5403">
      <c r="A5403" s="308">
        <v>5402.0</v>
      </c>
      <c r="B5403" s="308"/>
      <c r="C5403" s="308" t="s">
        <v>21714</v>
      </c>
      <c r="D5403" s="308">
        <f>IFERROR(__xludf.DUMMYFUNCTION("SPLIT(C5403,""-"")"),5423.0)</f>
        <v>5423</v>
      </c>
      <c r="E5403" s="308" t="str">
        <f>IFERROR(__xludf.DUMMYFUNCTION("""COMPUTED_VALUE"""),"P")</f>
        <v>P</v>
      </c>
      <c r="F5403" s="312" t="s">
        <v>37</v>
      </c>
      <c r="G5403" s="308"/>
      <c r="H5403" s="308" t="s">
        <v>21715</v>
      </c>
      <c r="I5403" s="316" t="s">
        <v>407</v>
      </c>
      <c r="J5403" s="319"/>
      <c r="K5403" s="308"/>
      <c r="L5403" s="311" t="s">
        <v>79</v>
      </c>
      <c r="M5403" s="308" t="s">
        <v>21716</v>
      </c>
      <c r="N5403" s="308"/>
      <c r="O5403" s="308" t="s">
        <v>21717</v>
      </c>
      <c r="P5403" s="308" t="s">
        <v>21541</v>
      </c>
      <c r="Q5403" s="308" t="s">
        <v>38375</v>
      </c>
      <c r="R5403" s="308" t="s">
        <v>2743</v>
      </c>
      <c r="S5403" s="315" t="s">
        <v>100</v>
      </c>
      <c r="T5403" s="311" t="s">
        <v>34208</v>
      </c>
      <c r="U5403" s="308" t="s">
        <v>149</v>
      </c>
      <c r="V5403" s="308" t="s">
        <v>21718</v>
      </c>
    </row>
    <row r="5404">
      <c r="A5404" s="308">
        <v>5403.0</v>
      </c>
      <c r="B5404" s="308"/>
      <c r="C5404" s="308" t="s">
        <v>21719</v>
      </c>
      <c r="D5404" s="308">
        <f>IFERROR(__xludf.DUMMYFUNCTION("SPLIT(C5404,""-"")"),5424.0)</f>
        <v>5424</v>
      </c>
      <c r="E5404" s="308" t="str">
        <f>IFERROR(__xludf.DUMMYFUNCTION("""COMPUTED_VALUE"""),"I")</f>
        <v>I</v>
      </c>
      <c r="F5404" s="309" t="s">
        <v>31</v>
      </c>
      <c r="G5404" s="308"/>
      <c r="H5404" s="308" t="s">
        <v>21720</v>
      </c>
      <c r="I5404" s="310">
        <v>43316.0</v>
      </c>
      <c r="J5404" s="319">
        <f>IFERROR(__xludf.DUMMYFUNCTION("SPLIT(I5404,""/"")"),4.0)</f>
        <v>4</v>
      </c>
      <c r="K5404" s="308">
        <f>IFERROR(__xludf.DUMMYFUNCTION("""COMPUTED_VALUE"""),8.0)</f>
        <v>8</v>
      </c>
      <c r="L5404" s="308">
        <f>IFERROR(__xludf.DUMMYFUNCTION("""COMPUTED_VALUE"""),2018.0)</f>
        <v>2018</v>
      </c>
      <c r="M5404" s="308" t="s">
        <v>21721</v>
      </c>
      <c r="N5404" s="308"/>
      <c r="O5404" s="308"/>
      <c r="P5404" s="308" t="s">
        <v>38379</v>
      </c>
      <c r="Q5404" s="308" t="s">
        <v>38380</v>
      </c>
      <c r="R5404" s="308" t="s">
        <v>2743</v>
      </c>
      <c r="S5404" s="308" t="s">
        <v>81</v>
      </c>
      <c r="T5404" s="311" t="s">
        <v>75</v>
      </c>
      <c r="U5404" s="308" t="s">
        <v>31</v>
      </c>
      <c r="V5404" s="308" t="s">
        <v>21723</v>
      </c>
    </row>
    <row r="5405">
      <c r="A5405" s="308">
        <v>5404.0</v>
      </c>
      <c r="B5405" s="308"/>
      <c r="C5405" s="308" t="s">
        <v>21724</v>
      </c>
      <c r="D5405" s="308">
        <f>IFERROR(__xludf.DUMMYFUNCTION("SPLIT(C5405,""-"")"),5425.0)</f>
        <v>5425</v>
      </c>
      <c r="E5405" s="308" t="str">
        <f>IFERROR(__xludf.DUMMYFUNCTION("""COMPUTED_VALUE"""),"K")</f>
        <v>K</v>
      </c>
      <c r="F5405" s="309" t="s">
        <v>34</v>
      </c>
      <c r="G5405" s="308"/>
      <c r="H5405" s="308" t="s">
        <v>21725</v>
      </c>
      <c r="I5405" s="310">
        <v>43227.0</v>
      </c>
      <c r="J5405" s="319">
        <f>IFERROR(__xludf.DUMMYFUNCTION("SPLIT(I5405,""/"")"),7.0)</f>
        <v>7</v>
      </c>
      <c r="K5405" s="308">
        <f>IFERROR(__xludf.DUMMYFUNCTION("""COMPUTED_VALUE"""),5.0)</f>
        <v>5</v>
      </c>
      <c r="L5405" s="308">
        <f>IFERROR(__xludf.DUMMYFUNCTION("""COMPUTED_VALUE"""),2018.0)</f>
        <v>2018</v>
      </c>
      <c r="M5405" s="308" t="s">
        <v>21726</v>
      </c>
      <c r="N5405" s="308"/>
      <c r="O5405" s="308"/>
      <c r="P5405" s="308" t="s">
        <v>21727</v>
      </c>
      <c r="Q5405" s="308" t="s">
        <v>38380</v>
      </c>
      <c r="R5405" s="308" t="s">
        <v>2743</v>
      </c>
      <c r="S5405" s="308" t="s">
        <v>81</v>
      </c>
      <c r="T5405" s="311" t="s">
        <v>96</v>
      </c>
      <c r="U5405" s="308" t="s">
        <v>201</v>
      </c>
      <c r="V5405" s="308"/>
    </row>
    <row r="5406">
      <c r="A5406" s="308">
        <v>5405.0</v>
      </c>
      <c r="B5406" s="308"/>
      <c r="C5406" s="308" t="s">
        <v>21728</v>
      </c>
      <c r="D5406" s="308">
        <f>IFERROR(__xludf.DUMMYFUNCTION("SPLIT(C5406,""-"")"),5426.0)</f>
        <v>5426</v>
      </c>
      <c r="E5406" s="308" t="str">
        <f>IFERROR(__xludf.DUMMYFUNCTION("""COMPUTED_VALUE"""),"K")</f>
        <v>K</v>
      </c>
      <c r="F5406" s="309" t="s">
        <v>34</v>
      </c>
      <c r="G5406" s="308"/>
      <c r="H5406" s="308" t="s">
        <v>21729</v>
      </c>
      <c r="I5406" s="310">
        <v>42806.0</v>
      </c>
      <c r="J5406" s="319" t="str">
        <f>IFERROR(__xludf.DUMMYFUNCTION("SPLIT(I5406,""/"")"),"#REF!")</f>
        <v>#REF!</v>
      </c>
      <c r="K5406" s="308"/>
      <c r="L5406" s="308">
        <v>2017.0</v>
      </c>
      <c r="M5406" s="308" t="s">
        <v>21730</v>
      </c>
      <c r="N5406" s="308" t="s">
        <v>21731</v>
      </c>
      <c r="O5406" s="308" t="s">
        <v>21732</v>
      </c>
      <c r="P5406" s="308" t="s">
        <v>21733</v>
      </c>
      <c r="Q5406" s="308" t="s">
        <v>38381</v>
      </c>
      <c r="R5406" s="308" t="s">
        <v>2743</v>
      </c>
      <c r="S5406" s="315" t="s">
        <v>100</v>
      </c>
      <c r="T5406" s="311" t="s">
        <v>34208</v>
      </c>
      <c r="U5406" s="308" t="s">
        <v>872</v>
      </c>
      <c r="V5406" s="308"/>
    </row>
    <row r="5407">
      <c r="A5407" s="308">
        <v>5406.0</v>
      </c>
      <c r="B5407" s="308"/>
      <c r="C5407" s="308" t="s">
        <v>21734</v>
      </c>
      <c r="D5407" s="308">
        <f>IFERROR(__xludf.DUMMYFUNCTION("SPLIT(C5407,""-"")"),5427.0)</f>
        <v>5427</v>
      </c>
      <c r="E5407" s="308" t="str">
        <f>IFERROR(__xludf.DUMMYFUNCTION("""COMPUTED_VALUE"""),"K")</f>
        <v>K</v>
      </c>
      <c r="F5407" s="309" t="s">
        <v>34</v>
      </c>
      <c r="G5407" s="308"/>
      <c r="H5407" s="308" t="s">
        <v>21735</v>
      </c>
      <c r="I5407" s="310">
        <v>42580.0</v>
      </c>
      <c r="J5407" s="319">
        <f>IFERROR(__xludf.DUMMYFUNCTION("SPLIT(I5407,""/"")"),29.0)</f>
        <v>29</v>
      </c>
      <c r="K5407" s="308">
        <f>IFERROR(__xludf.DUMMYFUNCTION("""COMPUTED_VALUE"""),7.0)</f>
        <v>7</v>
      </c>
      <c r="L5407" s="308">
        <f>IFERROR(__xludf.DUMMYFUNCTION("""COMPUTED_VALUE"""),2016.0)</f>
        <v>2016</v>
      </c>
      <c r="M5407" s="308" t="s">
        <v>21736</v>
      </c>
      <c r="N5407" s="308"/>
      <c r="O5407" s="308"/>
      <c r="P5407" s="308" t="s">
        <v>6393</v>
      </c>
      <c r="Q5407" s="308" t="s">
        <v>38381</v>
      </c>
      <c r="R5407" s="308" t="s">
        <v>2743</v>
      </c>
      <c r="S5407" s="315" t="s">
        <v>100</v>
      </c>
      <c r="T5407" s="311" t="s">
        <v>34208</v>
      </c>
      <c r="U5407" s="308" t="s">
        <v>195</v>
      </c>
      <c r="V5407" s="308"/>
    </row>
    <row r="5408">
      <c r="A5408" s="308">
        <v>5407.0</v>
      </c>
      <c r="B5408" s="308"/>
      <c r="C5408" s="308" t="s">
        <v>21737</v>
      </c>
      <c r="D5408" s="308">
        <f>IFERROR(__xludf.DUMMYFUNCTION("SPLIT(C5408,""-"")"),5428.0)</f>
        <v>5428</v>
      </c>
      <c r="E5408" s="308" t="str">
        <f>IFERROR(__xludf.DUMMYFUNCTION("""COMPUTED_VALUE"""),"P")</f>
        <v>P</v>
      </c>
      <c r="F5408" s="312" t="s">
        <v>37</v>
      </c>
      <c r="G5408" s="308"/>
      <c r="H5408" s="308" t="s">
        <v>21738</v>
      </c>
      <c r="I5408" s="310">
        <v>42867.0</v>
      </c>
      <c r="J5408" s="319">
        <f>IFERROR(__xludf.DUMMYFUNCTION("SPLIT(I5408,""/"")"),12.0)</f>
        <v>12</v>
      </c>
      <c r="K5408" s="308">
        <f>IFERROR(__xludf.DUMMYFUNCTION("""COMPUTED_VALUE"""),5.0)</f>
        <v>5</v>
      </c>
      <c r="L5408" s="308">
        <f>IFERROR(__xludf.DUMMYFUNCTION("""COMPUTED_VALUE"""),2017.0)</f>
        <v>2017</v>
      </c>
      <c r="M5408" s="308" t="s">
        <v>21739</v>
      </c>
      <c r="N5408" s="308"/>
      <c r="O5408" s="308" t="s">
        <v>21740</v>
      </c>
      <c r="P5408" s="308" t="s">
        <v>38382</v>
      </c>
      <c r="Q5408" s="308" t="s">
        <v>38381</v>
      </c>
      <c r="R5408" s="308" t="s">
        <v>2743</v>
      </c>
      <c r="S5408" s="308" t="s">
        <v>81</v>
      </c>
      <c r="T5408" s="311" t="s">
        <v>77</v>
      </c>
      <c r="U5408" s="308" t="s">
        <v>14984</v>
      </c>
      <c r="V5408" s="308"/>
    </row>
    <row r="5409">
      <c r="A5409" s="308">
        <v>5408.0</v>
      </c>
      <c r="B5409" s="308"/>
      <c r="C5409" s="308" t="s">
        <v>21742</v>
      </c>
      <c r="D5409" s="308">
        <f>IFERROR(__xludf.DUMMYFUNCTION("SPLIT(C5409,""-"")"),5429.0)</f>
        <v>5429</v>
      </c>
      <c r="E5409" s="308" t="str">
        <f>IFERROR(__xludf.DUMMYFUNCTION("""COMPUTED_VALUE"""),"S")</f>
        <v>S</v>
      </c>
      <c r="F5409" s="312" t="s">
        <v>39</v>
      </c>
      <c r="G5409" s="308"/>
      <c r="H5409" s="308" t="s">
        <v>21743</v>
      </c>
      <c r="I5409" s="310">
        <v>43349.0</v>
      </c>
      <c r="J5409" s="319">
        <f>IFERROR(__xludf.DUMMYFUNCTION("SPLIT(I5409,""/"")"),6.0)</f>
        <v>6</v>
      </c>
      <c r="K5409" s="308">
        <f>IFERROR(__xludf.DUMMYFUNCTION("""COMPUTED_VALUE"""),9.0)</f>
        <v>9</v>
      </c>
      <c r="L5409" s="308">
        <f>IFERROR(__xludf.DUMMYFUNCTION("""COMPUTED_VALUE"""),2018.0)</f>
        <v>2018</v>
      </c>
      <c r="M5409" s="308" t="s">
        <v>21744</v>
      </c>
      <c r="N5409" s="308"/>
      <c r="O5409" s="308"/>
      <c r="P5409" s="308" t="s">
        <v>38383</v>
      </c>
      <c r="Q5409" s="308" t="s">
        <v>38381</v>
      </c>
      <c r="R5409" s="308" t="s">
        <v>2743</v>
      </c>
      <c r="S5409" s="308" t="s">
        <v>81</v>
      </c>
      <c r="T5409" s="308" t="s">
        <v>75</v>
      </c>
      <c r="U5409" s="308" t="s">
        <v>166</v>
      </c>
      <c r="V5409" s="308"/>
    </row>
    <row r="5410">
      <c r="A5410" s="308">
        <v>5409.0</v>
      </c>
      <c r="B5410" s="308"/>
      <c r="C5410" s="308" t="s">
        <v>21746</v>
      </c>
      <c r="D5410" s="308">
        <f>IFERROR(__xludf.DUMMYFUNCTION("SPLIT(C5410,""-"")"),5430.0)</f>
        <v>5430</v>
      </c>
      <c r="E5410" s="308" t="str">
        <f>IFERROR(__xludf.DUMMYFUNCTION("""COMPUTED_VALUE"""),"K")</f>
        <v>K</v>
      </c>
      <c r="F5410" s="309" t="s">
        <v>34</v>
      </c>
      <c r="G5410" s="308"/>
      <c r="H5410" s="308" t="s">
        <v>38384</v>
      </c>
      <c r="I5410" s="310">
        <v>42971.0</v>
      </c>
      <c r="J5410" s="319" t="str">
        <f>IFERROR(__xludf.DUMMYFUNCTION("SPLIT(I5410,""/"")"),"#REF!")</f>
        <v>#REF!</v>
      </c>
      <c r="K5410" s="308"/>
      <c r="L5410" s="308">
        <v>2017.0</v>
      </c>
      <c r="M5410" s="308" t="s">
        <v>21748</v>
      </c>
      <c r="N5410" s="308"/>
      <c r="O5410" s="308" t="s">
        <v>21749</v>
      </c>
      <c r="P5410" s="308" t="s">
        <v>21750</v>
      </c>
      <c r="Q5410" s="308" t="s">
        <v>38381</v>
      </c>
      <c r="R5410" s="308" t="s">
        <v>2743</v>
      </c>
      <c r="S5410" s="308" t="s">
        <v>81</v>
      </c>
      <c r="T5410" s="308" t="s">
        <v>34264</v>
      </c>
      <c r="U5410" s="308" t="s">
        <v>4749</v>
      </c>
      <c r="V5410" s="308"/>
    </row>
    <row r="5411">
      <c r="A5411" s="308">
        <v>5410.0</v>
      </c>
      <c r="B5411" s="308"/>
      <c r="C5411" s="308" t="s">
        <v>21751</v>
      </c>
      <c r="D5411" s="308">
        <f>IFERROR(__xludf.DUMMYFUNCTION("SPLIT(C5411,""-"")"),5431.0)</f>
        <v>5431</v>
      </c>
      <c r="E5411" s="308" t="str">
        <f>IFERROR(__xludf.DUMMYFUNCTION("""COMPUTED_VALUE"""),"P")</f>
        <v>P</v>
      </c>
      <c r="F5411" s="312" t="s">
        <v>37</v>
      </c>
      <c r="G5411" s="308"/>
      <c r="H5411" s="308" t="s">
        <v>21752</v>
      </c>
      <c r="I5411" s="310">
        <v>43365.0</v>
      </c>
      <c r="J5411" s="319">
        <f>IFERROR(__xludf.DUMMYFUNCTION("SPLIT(I5411,""/"")"),22.0)</f>
        <v>22</v>
      </c>
      <c r="K5411" s="308">
        <f>IFERROR(__xludf.DUMMYFUNCTION("""COMPUTED_VALUE"""),9.0)</f>
        <v>9</v>
      </c>
      <c r="L5411" s="308">
        <f>IFERROR(__xludf.DUMMYFUNCTION("""COMPUTED_VALUE"""),2018.0)</f>
        <v>2018</v>
      </c>
      <c r="M5411" s="308" t="s">
        <v>38385</v>
      </c>
      <c r="N5411" s="308"/>
      <c r="O5411" s="308"/>
      <c r="P5411" s="308" t="s">
        <v>38386</v>
      </c>
      <c r="Q5411" s="308" t="s">
        <v>38381</v>
      </c>
      <c r="R5411" s="308" t="s">
        <v>2743</v>
      </c>
      <c r="S5411" s="308" t="s">
        <v>81</v>
      </c>
      <c r="T5411" s="311" t="s">
        <v>73</v>
      </c>
      <c r="U5411" s="308" t="s">
        <v>17743</v>
      </c>
      <c r="V5411" s="308"/>
    </row>
    <row r="5412">
      <c r="A5412" s="308">
        <v>5411.0</v>
      </c>
      <c r="B5412" s="308"/>
      <c r="C5412" s="308" t="s">
        <v>21755</v>
      </c>
      <c r="D5412" s="308">
        <f>IFERROR(__xludf.DUMMYFUNCTION("SPLIT(C5412,""-"")"),5432.0)</f>
        <v>5432</v>
      </c>
      <c r="E5412" s="308" t="str">
        <f>IFERROR(__xludf.DUMMYFUNCTION("""COMPUTED_VALUE"""),"K")</f>
        <v>K</v>
      </c>
      <c r="F5412" s="309" t="s">
        <v>34</v>
      </c>
      <c r="G5412" s="308"/>
      <c r="H5412" s="308" t="s">
        <v>21756</v>
      </c>
      <c r="I5412" s="314">
        <v>40106.0</v>
      </c>
      <c r="J5412" s="319">
        <f>IFERROR(__xludf.DUMMYFUNCTION("SPLIT(I5412,""/"")"),20.0)</f>
        <v>20</v>
      </c>
      <c r="K5412" s="308">
        <f>IFERROR(__xludf.DUMMYFUNCTION("""COMPUTED_VALUE"""),10.0)</f>
        <v>10</v>
      </c>
      <c r="L5412" s="308">
        <f>IFERROR(__xludf.DUMMYFUNCTION("""COMPUTED_VALUE"""),2009.0)</f>
        <v>2009</v>
      </c>
      <c r="M5412" s="308" t="s">
        <v>21757</v>
      </c>
      <c r="N5412" s="308"/>
      <c r="O5412" s="308"/>
      <c r="P5412" s="308" t="s">
        <v>21758</v>
      </c>
      <c r="Q5412" s="308" t="s">
        <v>38387</v>
      </c>
      <c r="R5412" s="308" t="s">
        <v>2743</v>
      </c>
      <c r="S5412" s="308" t="s">
        <v>81</v>
      </c>
      <c r="T5412" s="308" t="s">
        <v>34264</v>
      </c>
      <c r="U5412" s="308" t="s">
        <v>1509</v>
      </c>
      <c r="V5412" s="308"/>
    </row>
    <row r="5413">
      <c r="A5413" s="308">
        <v>5412.0</v>
      </c>
      <c r="B5413" s="308"/>
      <c r="C5413" s="308" t="s">
        <v>21759</v>
      </c>
      <c r="D5413" s="308">
        <f>IFERROR(__xludf.DUMMYFUNCTION("SPLIT(C5413,""-"")"),5433.0)</f>
        <v>5433</v>
      </c>
      <c r="E5413" s="308" t="str">
        <f>IFERROR(__xludf.DUMMYFUNCTION("""COMPUTED_VALUE"""),"K")</f>
        <v>K</v>
      </c>
      <c r="F5413" s="309" t="s">
        <v>34</v>
      </c>
      <c r="G5413" s="308"/>
      <c r="H5413" s="308" t="s">
        <v>21760</v>
      </c>
      <c r="I5413" s="314">
        <v>42318.0</v>
      </c>
      <c r="J5413" s="319">
        <f>IFERROR(__xludf.DUMMYFUNCTION("SPLIT(I5413,""/"")"),10.0)</f>
        <v>10</v>
      </c>
      <c r="K5413" s="308">
        <f>IFERROR(__xludf.DUMMYFUNCTION("""COMPUTED_VALUE"""),11.0)</f>
        <v>11</v>
      </c>
      <c r="L5413" s="308">
        <f>IFERROR(__xludf.DUMMYFUNCTION("""COMPUTED_VALUE"""),2015.0)</f>
        <v>2015</v>
      </c>
      <c r="M5413" s="308" t="s">
        <v>21761</v>
      </c>
      <c r="N5413" s="308"/>
      <c r="O5413" s="308"/>
      <c r="P5413" s="308" t="s">
        <v>5679</v>
      </c>
      <c r="Q5413" s="308" t="s">
        <v>38387</v>
      </c>
      <c r="R5413" s="308" t="s">
        <v>2743</v>
      </c>
      <c r="S5413" s="315" t="s">
        <v>100</v>
      </c>
      <c r="T5413" s="311" t="s">
        <v>34208</v>
      </c>
      <c r="U5413" s="308" t="s">
        <v>7530</v>
      </c>
      <c r="V5413" s="308"/>
    </row>
    <row r="5414">
      <c r="A5414" s="308">
        <v>5413.0</v>
      </c>
      <c r="B5414" s="308"/>
      <c r="C5414" s="308" t="s">
        <v>38388</v>
      </c>
      <c r="D5414" s="308" t="str">
        <f>IFERROR(__xludf.DUMMYFUNCTION("SPLIT(C5414,""-"")"),"#REF!")</f>
        <v>#REF!</v>
      </c>
      <c r="E5414" s="311"/>
      <c r="F5414" s="309" t="s">
        <v>34</v>
      </c>
      <c r="G5414" s="308"/>
      <c r="H5414" s="308" t="s">
        <v>21763</v>
      </c>
      <c r="I5414" s="310">
        <v>42006.0</v>
      </c>
      <c r="J5414" s="319">
        <f>IFERROR(__xludf.DUMMYFUNCTION("SPLIT(I5414,""/"")"),2.0)</f>
        <v>2</v>
      </c>
      <c r="K5414" s="308">
        <f>IFERROR(__xludf.DUMMYFUNCTION("""COMPUTED_VALUE"""),1.0)</f>
        <v>1</v>
      </c>
      <c r="L5414" s="308">
        <f>IFERROR(__xludf.DUMMYFUNCTION("""COMPUTED_VALUE"""),2015.0)</f>
        <v>2015</v>
      </c>
      <c r="M5414" s="308" t="s">
        <v>21764</v>
      </c>
      <c r="N5414" s="308"/>
      <c r="O5414" s="308"/>
      <c r="P5414" s="308" t="s">
        <v>37747</v>
      </c>
      <c r="Q5414" s="308" t="s">
        <v>38389</v>
      </c>
      <c r="R5414" s="308" t="s">
        <v>2743</v>
      </c>
      <c r="S5414" s="308" t="s">
        <v>49</v>
      </c>
      <c r="T5414" s="311" t="s">
        <v>51</v>
      </c>
      <c r="U5414" s="308" t="s">
        <v>368</v>
      </c>
      <c r="V5414" s="308"/>
    </row>
    <row r="5415">
      <c r="A5415" s="308">
        <v>5414.0</v>
      </c>
      <c r="B5415" s="308"/>
      <c r="C5415" s="308" t="s">
        <v>21765</v>
      </c>
      <c r="D5415" s="308">
        <f>IFERROR(__xludf.DUMMYFUNCTION("SPLIT(C5415,""-"")"),5435.0)</f>
        <v>5435</v>
      </c>
      <c r="E5415" s="308" t="str">
        <f>IFERROR(__xludf.DUMMYFUNCTION("""COMPUTED_VALUE"""),"P")</f>
        <v>P</v>
      </c>
      <c r="F5415" s="312" t="s">
        <v>37</v>
      </c>
      <c r="G5415" s="308"/>
      <c r="H5415" s="308" t="s">
        <v>21766</v>
      </c>
      <c r="I5415" s="310">
        <v>43182.0</v>
      </c>
      <c r="J5415" s="319">
        <f>IFERROR(__xludf.DUMMYFUNCTION("SPLIT(I5415,""/"")"),23.0)</f>
        <v>23</v>
      </c>
      <c r="K5415" s="308">
        <f>IFERROR(__xludf.DUMMYFUNCTION("""COMPUTED_VALUE"""),3.0)</f>
        <v>3</v>
      </c>
      <c r="L5415" s="308">
        <f>IFERROR(__xludf.DUMMYFUNCTION("""COMPUTED_VALUE"""),2018.0)</f>
        <v>2018</v>
      </c>
      <c r="M5415" s="308" t="s">
        <v>21767</v>
      </c>
      <c r="N5415" s="308"/>
      <c r="O5415" s="308"/>
      <c r="P5415" s="308" t="s">
        <v>21768</v>
      </c>
      <c r="Q5415" s="308" t="s">
        <v>38389</v>
      </c>
      <c r="R5415" s="308" t="s">
        <v>2743</v>
      </c>
      <c r="S5415" s="308" t="s">
        <v>81</v>
      </c>
      <c r="T5415" s="308" t="s">
        <v>98</v>
      </c>
      <c r="U5415" s="308" t="s">
        <v>2748</v>
      </c>
      <c r="V5415" s="308"/>
    </row>
    <row r="5416">
      <c r="A5416" s="308">
        <v>5415.0</v>
      </c>
      <c r="B5416" s="308"/>
      <c r="C5416" s="308" t="s">
        <v>21769</v>
      </c>
      <c r="D5416" s="308">
        <f>IFERROR(__xludf.DUMMYFUNCTION("SPLIT(C5416,""-"")"),5436.0)</f>
        <v>5436</v>
      </c>
      <c r="E5416" s="308" t="str">
        <f>IFERROR(__xludf.DUMMYFUNCTION("""COMPUTED_VALUE"""),"P")</f>
        <v>P</v>
      </c>
      <c r="F5416" s="312" t="s">
        <v>37</v>
      </c>
      <c r="G5416" s="308"/>
      <c r="H5416" s="308" t="s">
        <v>21770</v>
      </c>
      <c r="I5416" s="314">
        <v>43054.0</v>
      </c>
      <c r="J5416" s="319">
        <f>IFERROR(__xludf.DUMMYFUNCTION("SPLIT(I5416,""/"")"),15.0)</f>
        <v>15</v>
      </c>
      <c r="K5416" s="308">
        <f>IFERROR(__xludf.DUMMYFUNCTION("""COMPUTED_VALUE"""),11.0)</f>
        <v>11</v>
      </c>
      <c r="L5416" s="308">
        <f>IFERROR(__xludf.DUMMYFUNCTION("""COMPUTED_VALUE"""),2017.0)</f>
        <v>2017</v>
      </c>
      <c r="M5416" s="308" t="s">
        <v>21771</v>
      </c>
      <c r="N5416" s="308"/>
      <c r="O5416" s="308"/>
      <c r="P5416" s="308" t="s">
        <v>38390</v>
      </c>
      <c r="Q5416" s="308" t="s">
        <v>38389</v>
      </c>
      <c r="R5416" s="308" t="s">
        <v>2743</v>
      </c>
      <c r="S5416" s="308" t="s">
        <v>81</v>
      </c>
      <c r="T5416" s="308" t="s">
        <v>75</v>
      </c>
      <c r="U5416" s="308" t="s">
        <v>143</v>
      </c>
      <c r="V5416" s="308"/>
    </row>
    <row r="5417">
      <c r="A5417" s="308">
        <v>5416.0</v>
      </c>
      <c r="B5417" s="308"/>
      <c r="C5417" s="308" t="s">
        <v>21773</v>
      </c>
      <c r="D5417" s="308">
        <f>IFERROR(__xludf.DUMMYFUNCTION("SPLIT(C5417,""-"")"),5437.0)</f>
        <v>5437</v>
      </c>
      <c r="E5417" s="308" t="str">
        <f>IFERROR(__xludf.DUMMYFUNCTION("""COMPUTED_VALUE"""),"P")</f>
        <v>P</v>
      </c>
      <c r="F5417" s="312" t="s">
        <v>37</v>
      </c>
      <c r="G5417" s="308"/>
      <c r="H5417" s="308" t="s">
        <v>21774</v>
      </c>
      <c r="I5417" s="310">
        <v>42936.0</v>
      </c>
      <c r="J5417" s="319">
        <f>IFERROR(__xludf.DUMMYFUNCTION("SPLIT(I5417,""/"")"),20.0)</f>
        <v>20</v>
      </c>
      <c r="K5417" s="308">
        <f>IFERROR(__xludf.DUMMYFUNCTION("""COMPUTED_VALUE"""),7.0)</f>
        <v>7</v>
      </c>
      <c r="L5417" s="308">
        <f>IFERROR(__xludf.DUMMYFUNCTION("""COMPUTED_VALUE"""),2017.0)</f>
        <v>2017</v>
      </c>
      <c r="M5417" s="308" t="s">
        <v>21775</v>
      </c>
      <c r="N5417" s="308"/>
      <c r="O5417" s="308" t="s">
        <v>21776</v>
      </c>
      <c r="P5417" s="308" t="s">
        <v>38391</v>
      </c>
      <c r="Q5417" s="308" t="s">
        <v>38389</v>
      </c>
      <c r="R5417" s="308" t="s">
        <v>2743</v>
      </c>
      <c r="S5417" s="308" t="s">
        <v>81</v>
      </c>
      <c r="T5417" s="311" t="s">
        <v>51</v>
      </c>
      <c r="U5417" s="308" t="s">
        <v>4273</v>
      </c>
      <c r="V5417" s="308"/>
    </row>
    <row r="5418">
      <c r="A5418" s="308">
        <v>5417.0</v>
      </c>
      <c r="B5418" s="308"/>
      <c r="C5418" s="308" t="s">
        <v>21778</v>
      </c>
      <c r="D5418" s="308">
        <f>IFERROR(__xludf.DUMMYFUNCTION("SPLIT(C5418,""-"")"),5438.0)</f>
        <v>5438</v>
      </c>
      <c r="E5418" s="308" t="str">
        <f>IFERROR(__xludf.DUMMYFUNCTION("""COMPUTED_VALUE"""),"K")</f>
        <v>K</v>
      </c>
      <c r="F5418" s="309" t="s">
        <v>34</v>
      </c>
      <c r="G5418" s="308"/>
      <c r="H5418" s="308" t="s">
        <v>21779</v>
      </c>
      <c r="I5418" s="310">
        <v>42570.0</v>
      </c>
      <c r="J5418" s="319">
        <f>IFERROR(__xludf.DUMMYFUNCTION("SPLIT(I5418,""/"")"),19.0)</f>
        <v>19</v>
      </c>
      <c r="K5418" s="308">
        <f>IFERROR(__xludf.DUMMYFUNCTION("""COMPUTED_VALUE"""),7.0)</f>
        <v>7</v>
      </c>
      <c r="L5418" s="308">
        <f>IFERROR(__xludf.DUMMYFUNCTION("""COMPUTED_VALUE"""),2016.0)</f>
        <v>2016</v>
      </c>
      <c r="M5418" s="308" t="s">
        <v>21780</v>
      </c>
      <c r="N5418" s="308"/>
      <c r="O5418" s="308"/>
      <c r="P5418" s="308" t="s">
        <v>5679</v>
      </c>
      <c r="Q5418" s="308" t="s">
        <v>38389</v>
      </c>
      <c r="R5418" s="308" t="s">
        <v>2743</v>
      </c>
      <c r="S5418" s="315" t="s">
        <v>100</v>
      </c>
      <c r="T5418" s="311" t="s">
        <v>34208</v>
      </c>
      <c r="U5418" s="308" t="s">
        <v>125</v>
      </c>
      <c r="V5418" s="308"/>
    </row>
    <row r="5419">
      <c r="A5419" s="308">
        <v>5418.0</v>
      </c>
      <c r="B5419" s="308"/>
      <c r="C5419" s="308" t="s">
        <v>21781</v>
      </c>
      <c r="D5419" s="308">
        <f>IFERROR(__xludf.DUMMYFUNCTION("SPLIT(C5419,""-"")"),5439.0)</f>
        <v>5439</v>
      </c>
      <c r="E5419" s="308" t="str">
        <f>IFERROR(__xludf.DUMMYFUNCTION("""COMPUTED_VALUE"""),"A")</f>
        <v>A</v>
      </c>
      <c r="F5419" s="309" t="s">
        <v>23</v>
      </c>
      <c r="G5419" s="308"/>
      <c r="H5419" s="308" t="s">
        <v>21782</v>
      </c>
      <c r="I5419" s="310">
        <v>43316.0</v>
      </c>
      <c r="J5419" s="319">
        <f>IFERROR(__xludf.DUMMYFUNCTION("SPLIT(I5419,""/"")"),4.0)</f>
        <v>4</v>
      </c>
      <c r="K5419" s="308">
        <f>IFERROR(__xludf.DUMMYFUNCTION("""COMPUTED_VALUE"""),8.0)</f>
        <v>8</v>
      </c>
      <c r="L5419" s="308">
        <f>IFERROR(__xludf.DUMMYFUNCTION("""COMPUTED_VALUE"""),2018.0)</f>
        <v>2018</v>
      </c>
      <c r="M5419" s="308" t="s">
        <v>21783</v>
      </c>
      <c r="N5419" s="308"/>
      <c r="O5419" s="308"/>
      <c r="P5419" s="308" t="s">
        <v>21784</v>
      </c>
      <c r="Q5419" s="308" t="s">
        <v>38389</v>
      </c>
      <c r="R5419" s="308" t="s">
        <v>2743</v>
      </c>
      <c r="S5419" s="308" t="s">
        <v>81</v>
      </c>
      <c r="T5419" s="311" t="s">
        <v>73</v>
      </c>
      <c r="U5419" s="308" t="s">
        <v>403</v>
      </c>
      <c r="V5419" s="308"/>
    </row>
    <row r="5420">
      <c r="A5420" s="308">
        <v>5419.0</v>
      </c>
      <c r="B5420" s="308"/>
      <c r="C5420" s="308" t="s">
        <v>21785</v>
      </c>
      <c r="D5420" s="308">
        <f>IFERROR(__xludf.DUMMYFUNCTION("SPLIT(C5420,""-"")"),5440.0)</f>
        <v>5440</v>
      </c>
      <c r="E5420" s="308" t="str">
        <f>IFERROR(__xludf.DUMMYFUNCTION("""COMPUTED_VALUE"""),"S")</f>
        <v>S</v>
      </c>
      <c r="F5420" s="312" t="s">
        <v>39</v>
      </c>
      <c r="G5420" s="308"/>
      <c r="H5420" s="308" t="s">
        <v>21786</v>
      </c>
      <c r="I5420" s="310">
        <v>43308.0</v>
      </c>
      <c r="J5420" s="319">
        <f>IFERROR(__xludf.DUMMYFUNCTION("SPLIT(I5420,""/"")"),27.0)</f>
        <v>27</v>
      </c>
      <c r="K5420" s="308">
        <f>IFERROR(__xludf.DUMMYFUNCTION("""COMPUTED_VALUE"""),7.0)</f>
        <v>7</v>
      </c>
      <c r="L5420" s="308">
        <f>IFERROR(__xludf.DUMMYFUNCTION("""COMPUTED_VALUE"""),2018.0)</f>
        <v>2018</v>
      </c>
      <c r="M5420" s="308" t="s">
        <v>38392</v>
      </c>
      <c r="N5420" s="308"/>
      <c r="O5420" s="308"/>
      <c r="P5420" s="308" t="s">
        <v>38393</v>
      </c>
      <c r="Q5420" s="308" t="s">
        <v>38389</v>
      </c>
      <c r="R5420" s="308" t="s">
        <v>2743</v>
      </c>
      <c r="S5420" s="308" t="s">
        <v>81</v>
      </c>
      <c r="T5420" s="308" t="s">
        <v>75</v>
      </c>
      <c r="U5420" s="308" t="s">
        <v>166</v>
      </c>
      <c r="V5420" s="308"/>
    </row>
    <row r="5421">
      <c r="A5421" s="308">
        <v>5420.0</v>
      </c>
      <c r="B5421" s="308"/>
      <c r="C5421" s="308" t="s">
        <v>21789</v>
      </c>
      <c r="D5421" s="308">
        <f>IFERROR(__xludf.DUMMYFUNCTION("SPLIT(C5421,""-"")"),5441.0)</f>
        <v>5441</v>
      </c>
      <c r="E5421" s="308" t="str">
        <f>IFERROR(__xludf.DUMMYFUNCTION("""COMPUTED_VALUE"""),"S")</f>
        <v>S</v>
      </c>
      <c r="F5421" s="312" t="s">
        <v>39</v>
      </c>
      <c r="G5421" s="308"/>
      <c r="H5421" s="308" t="s">
        <v>21790</v>
      </c>
      <c r="I5421" s="310">
        <v>42122.0</v>
      </c>
      <c r="J5421" s="319">
        <f>IFERROR(__xludf.DUMMYFUNCTION("SPLIT(I5421,""/"")"),28.0)</f>
        <v>28</v>
      </c>
      <c r="K5421" s="308">
        <f>IFERROR(__xludf.DUMMYFUNCTION("""COMPUTED_VALUE"""),4.0)</f>
        <v>4</v>
      </c>
      <c r="L5421" s="308">
        <f>IFERROR(__xludf.DUMMYFUNCTION("""COMPUTED_VALUE"""),2015.0)</f>
        <v>2015</v>
      </c>
      <c r="M5421" s="308" t="s">
        <v>21791</v>
      </c>
      <c r="N5421" s="308"/>
      <c r="O5421" s="308"/>
      <c r="P5421" s="308" t="s">
        <v>21792</v>
      </c>
      <c r="Q5421" s="308" t="s">
        <v>38389</v>
      </c>
      <c r="R5421" s="308" t="s">
        <v>2743</v>
      </c>
      <c r="S5421" s="315" t="s">
        <v>100</v>
      </c>
      <c r="T5421" s="311" t="s">
        <v>34208</v>
      </c>
      <c r="U5421" s="308" t="s">
        <v>166</v>
      </c>
      <c r="V5421" s="308"/>
    </row>
    <row r="5422">
      <c r="A5422" s="308">
        <v>5421.0</v>
      </c>
      <c r="B5422" s="308"/>
      <c r="C5422" s="308" t="s">
        <v>38394</v>
      </c>
      <c r="D5422" s="308" t="str">
        <f>IFERROR(__xludf.DUMMYFUNCTION("SPLIT(C5422,""-"")"),"#REF!")</f>
        <v>#REF!</v>
      </c>
      <c r="E5422" s="311"/>
      <c r="F5422" s="317" t="s">
        <v>37</v>
      </c>
      <c r="G5422" s="308"/>
      <c r="H5422" s="308" t="s">
        <v>21794</v>
      </c>
      <c r="I5422" s="310">
        <v>43367.0</v>
      </c>
      <c r="J5422" s="319">
        <f>IFERROR(__xludf.DUMMYFUNCTION("SPLIT(I5422,""/"")"),24.0)</f>
        <v>24</v>
      </c>
      <c r="K5422" s="308">
        <f>IFERROR(__xludf.DUMMYFUNCTION("""COMPUTED_VALUE"""),9.0)</f>
        <v>9</v>
      </c>
      <c r="L5422" s="308">
        <f>IFERROR(__xludf.DUMMYFUNCTION("""COMPUTED_VALUE"""),2018.0)</f>
        <v>2018</v>
      </c>
      <c r="M5422" s="308" t="s">
        <v>21795</v>
      </c>
      <c r="N5422" s="308"/>
      <c r="O5422" s="308"/>
      <c r="P5422" s="308" t="s">
        <v>21796</v>
      </c>
      <c r="Q5422" s="308" t="s">
        <v>38389</v>
      </c>
      <c r="R5422" s="308" t="s">
        <v>2743</v>
      </c>
      <c r="S5422" s="308" t="s">
        <v>81</v>
      </c>
      <c r="T5422" s="311" t="s">
        <v>51</v>
      </c>
      <c r="U5422" s="308" t="s">
        <v>2291</v>
      </c>
      <c r="V5422" s="308"/>
    </row>
    <row r="5423">
      <c r="A5423" s="308">
        <v>5422.0</v>
      </c>
      <c r="B5423" s="308"/>
      <c r="C5423" s="308" t="s">
        <v>21797</v>
      </c>
      <c r="D5423" s="308">
        <f>IFERROR(__xludf.DUMMYFUNCTION("SPLIT(C5423,""-"")"),5443.0)</f>
        <v>5443</v>
      </c>
      <c r="E5423" s="308" t="str">
        <f>IFERROR(__xludf.DUMMYFUNCTION("""COMPUTED_VALUE"""),"P")</f>
        <v>P</v>
      </c>
      <c r="F5423" s="312" t="s">
        <v>37</v>
      </c>
      <c r="G5423" s="308"/>
      <c r="H5423" s="308" t="s">
        <v>21798</v>
      </c>
      <c r="I5423" s="310">
        <v>42809.0</v>
      </c>
      <c r="J5423" s="319">
        <f>IFERROR(__xludf.DUMMYFUNCTION("SPLIT(I5423,""/"")"),15.0)</f>
        <v>15</v>
      </c>
      <c r="K5423" s="308">
        <f>IFERROR(__xludf.DUMMYFUNCTION("""COMPUTED_VALUE"""),3.0)</f>
        <v>3</v>
      </c>
      <c r="L5423" s="308">
        <f>IFERROR(__xludf.DUMMYFUNCTION("""COMPUTED_VALUE"""),2017.0)</f>
        <v>2017</v>
      </c>
      <c r="M5423" s="308" t="s">
        <v>21799</v>
      </c>
      <c r="N5423" s="308"/>
      <c r="O5423" s="308"/>
      <c r="P5423" s="308" t="s">
        <v>7523</v>
      </c>
      <c r="Q5423" s="308" t="s">
        <v>38389</v>
      </c>
      <c r="R5423" s="308" t="s">
        <v>2743</v>
      </c>
      <c r="S5423" s="315" t="s">
        <v>100</v>
      </c>
      <c r="T5423" s="311" t="s">
        <v>34208</v>
      </c>
      <c r="U5423" s="308" t="s">
        <v>1664</v>
      </c>
      <c r="V5423" s="308"/>
    </row>
    <row r="5424">
      <c r="A5424" s="308">
        <v>5423.0</v>
      </c>
      <c r="B5424" s="308"/>
      <c r="C5424" s="308" t="s">
        <v>21800</v>
      </c>
      <c r="D5424" s="308">
        <f>IFERROR(__xludf.DUMMYFUNCTION("SPLIT(C5424,""-"")"),5444.0)</f>
        <v>5444</v>
      </c>
      <c r="E5424" s="308" t="str">
        <f>IFERROR(__xludf.DUMMYFUNCTION("""COMPUTED_VALUE"""),"K")</f>
        <v>K</v>
      </c>
      <c r="F5424" s="309" t="s">
        <v>34</v>
      </c>
      <c r="G5424" s="308"/>
      <c r="H5424" s="308" t="s">
        <v>21801</v>
      </c>
      <c r="I5424" s="310">
        <v>42472.0</v>
      </c>
      <c r="J5424" s="319">
        <f>IFERROR(__xludf.DUMMYFUNCTION("SPLIT(I5424,""/"")"),12.0)</f>
        <v>12</v>
      </c>
      <c r="K5424" s="308">
        <f>IFERROR(__xludf.DUMMYFUNCTION("""COMPUTED_VALUE"""),4.0)</f>
        <v>4</v>
      </c>
      <c r="L5424" s="308">
        <f>IFERROR(__xludf.DUMMYFUNCTION("""COMPUTED_VALUE"""),2016.0)</f>
        <v>2016</v>
      </c>
      <c r="M5424" s="308" t="s">
        <v>21802</v>
      </c>
      <c r="N5424" s="308"/>
      <c r="O5424" s="308"/>
      <c r="P5424" s="308" t="s">
        <v>38395</v>
      </c>
      <c r="Q5424" s="308" t="s">
        <v>38389</v>
      </c>
      <c r="R5424" s="308" t="s">
        <v>19483</v>
      </c>
      <c r="S5424" s="308" t="s">
        <v>81</v>
      </c>
      <c r="T5424" s="308" t="s">
        <v>75</v>
      </c>
      <c r="U5424" s="308" t="s">
        <v>16486</v>
      </c>
      <c r="V5424" s="308"/>
    </row>
    <row r="5425">
      <c r="A5425" s="308">
        <v>5424.0</v>
      </c>
      <c r="B5425" s="308"/>
      <c r="C5425" s="308" t="s">
        <v>21804</v>
      </c>
      <c r="D5425" s="308">
        <f>IFERROR(__xludf.DUMMYFUNCTION("SPLIT(C5425,""-"")"),5445.0)</f>
        <v>5445</v>
      </c>
      <c r="E5425" s="308" t="str">
        <f>IFERROR(__xludf.DUMMYFUNCTION("""COMPUTED_VALUE"""),"K")</f>
        <v>K</v>
      </c>
      <c r="F5425" s="309" t="s">
        <v>34</v>
      </c>
      <c r="G5425" s="308"/>
      <c r="H5425" s="308" t="s">
        <v>21805</v>
      </c>
      <c r="I5425" s="310">
        <v>40604.0</v>
      </c>
      <c r="J5425" s="319">
        <f>IFERROR(__xludf.DUMMYFUNCTION("SPLIT(I5425,""/"")"),2.0)</f>
        <v>2</v>
      </c>
      <c r="K5425" s="308">
        <f>IFERROR(__xludf.DUMMYFUNCTION("""COMPUTED_VALUE"""),3.0)</f>
        <v>3</v>
      </c>
      <c r="L5425" s="308">
        <f>IFERROR(__xludf.DUMMYFUNCTION("""COMPUTED_VALUE"""),2011.0)</f>
        <v>2011</v>
      </c>
      <c r="M5425" s="308" t="s">
        <v>21806</v>
      </c>
      <c r="N5425" s="308"/>
      <c r="O5425" s="308"/>
      <c r="P5425" s="308" t="s">
        <v>5369</v>
      </c>
      <c r="Q5425" s="308" t="s">
        <v>38396</v>
      </c>
      <c r="R5425" s="308" t="s">
        <v>2743</v>
      </c>
      <c r="S5425" s="308" t="s">
        <v>49</v>
      </c>
      <c r="T5425" s="308" t="s">
        <v>51</v>
      </c>
      <c r="U5425" s="308" t="s">
        <v>368</v>
      </c>
      <c r="V5425" s="308"/>
    </row>
    <row r="5426">
      <c r="A5426" s="308">
        <v>5425.0</v>
      </c>
      <c r="B5426" s="308"/>
      <c r="C5426" s="308" t="s">
        <v>21807</v>
      </c>
      <c r="D5426" s="308">
        <f>IFERROR(__xludf.DUMMYFUNCTION("SPLIT(C5426,""-"")"),5446.0)</f>
        <v>5446</v>
      </c>
      <c r="E5426" s="308" t="str">
        <f>IFERROR(__xludf.DUMMYFUNCTION("""COMPUTED_VALUE"""),"K")</f>
        <v>K</v>
      </c>
      <c r="F5426" s="309" t="s">
        <v>34</v>
      </c>
      <c r="G5426" s="308"/>
      <c r="H5426" s="308" t="s">
        <v>21808</v>
      </c>
      <c r="I5426" s="310">
        <v>42872.0</v>
      </c>
      <c r="J5426" s="319" t="str">
        <f>IFERROR(__xludf.DUMMYFUNCTION("SPLIT(I5426,""/"")"),"#REF!")</f>
        <v>#REF!</v>
      </c>
      <c r="K5426" s="308"/>
      <c r="L5426" s="308">
        <v>2017.0</v>
      </c>
      <c r="M5426" s="308" t="s">
        <v>21809</v>
      </c>
      <c r="N5426" s="308"/>
      <c r="O5426" s="308"/>
      <c r="P5426" s="308" t="s">
        <v>21810</v>
      </c>
      <c r="Q5426" s="308" t="s">
        <v>38396</v>
      </c>
      <c r="R5426" s="308" t="s">
        <v>2743</v>
      </c>
      <c r="S5426" s="308" t="s">
        <v>81</v>
      </c>
      <c r="T5426" s="311" t="s">
        <v>96</v>
      </c>
      <c r="U5426" s="308" t="s">
        <v>125</v>
      </c>
      <c r="V5426" s="308"/>
    </row>
    <row r="5427">
      <c r="A5427" s="308">
        <v>5426.0</v>
      </c>
      <c r="B5427" s="308"/>
      <c r="C5427" s="308" t="s">
        <v>21811</v>
      </c>
      <c r="D5427" s="308">
        <f>IFERROR(__xludf.DUMMYFUNCTION("SPLIT(C5427,""-"")"),5447.0)</f>
        <v>5447</v>
      </c>
      <c r="E5427" s="308" t="str">
        <f>IFERROR(__xludf.DUMMYFUNCTION("""COMPUTED_VALUE"""),"K")</f>
        <v>K</v>
      </c>
      <c r="F5427" s="309" t="s">
        <v>34</v>
      </c>
      <c r="G5427" s="308"/>
      <c r="H5427" s="308" t="s">
        <v>21812</v>
      </c>
      <c r="I5427" s="310">
        <v>43228.0</v>
      </c>
      <c r="J5427" s="319">
        <f>IFERROR(__xludf.DUMMYFUNCTION("SPLIT(I5427,""/"")"),8.0)</f>
        <v>8</v>
      </c>
      <c r="K5427" s="308">
        <f>IFERROR(__xludf.DUMMYFUNCTION("""COMPUTED_VALUE"""),5.0)</f>
        <v>5</v>
      </c>
      <c r="L5427" s="308">
        <f>IFERROR(__xludf.DUMMYFUNCTION("""COMPUTED_VALUE"""),2018.0)</f>
        <v>2018</v>
      </c>
      <c r="M5427" s="308" t="s">
        <v>21813</v>
      </c>
      <c r="N5427" s="308"/>
      <c r="O5427" s="308"/>
      <c r="P5427" s="308" t="s">
        <v>38397</v>
      </c>
      <c r="Q5427" s="308" t="s">
        <v>38396</v>
      </c>
      <c r="R5427" s="308" t="s">
        <v>2743</v>
      </c>
      <c r="S5427" s="308" t="s">
        <v>81</v>
      </c>
      <c r="T5427" s="308" t="s">
        <v>75</v>
      </c>
      <c r="U5427" s="308" t="s">
        <v>125</v>
      </c>
      <c r="V5427" s="308"/>
    </row>
    <row r="5428">
      <c r="A5428" s="308">
        <v>5427.0</v>
      </c>
      <c r="B5428" s="308"/>
      <c r="C5428" s="308" t="s">
        <v>21815</v>
      </c>
      <c r="D5428" s="308">
        <f>IFERROR(__xludf.DUMMYFUNCTION("SPLIT(C5428,""-"")"),5448.0)</f>
        <v>5448</v>
      </c>
      <c r="E5428" s="308" t="str">
        <f>IFERROR(__xludf.DUMMYFUNCTION("""COMPUTED_VALUE"""),"F")</f>
        <v>F</v>
      </c>
      <c r="F5428" s="309" t="s">
        <v>34</v>
      </c>
      <c r="G5428" s="308"/>
      <c r="H5428" s="308" t="s">
        <v>21816</v>
      </c>
      <c r="I5428" s="310">
        <v>40452.0</v>
      </c>
      <c r="J5428" s="319">
        <f>IFERROR(__xludf.DUMMYFUNCTION("SPLIT(I5428,""/"")"),1.0)</f>
        <v>1</v>
      </c>
      <c r="K5428" s="308">
        <f>IFERROR(__xludf.DUMMYFUNCTION("""COMPUTED_VALUE"""),10.0)</f>
        <v>10</v>
      </c>
      <c r="L5428" s="308">
        <f>IFERROR(__xludf.DUMMYFUNCTION("""COMPUTED_VALUE"""),2010.0)</f>
        <v>2010</v>
      </c>
      <c r="M5428" s="308" t="s">
        <v>38398</v>
      </c>
      <c r="N5428" s="308"/>
      <c r="O5428" s="308"/>
      <c r="P5428" s="308" t="s">
        <v>21818</v>
      </c>
      <c r="Q5428" s="308" t="s">
        <v>38396</v>
      </c>
      <c r="R5428" s="308" t="s">
        <v>16185</v>
      </c>
      <c r="S5428" s="308" t="s">
        <v>81</v>
      </c>
      <c r="T5428" s="308" t="s">
        <v>34264</v>
      </c>
      <c r="U5428" s="308" t="s">
        <v>195</v>
      </c>
      <c r="V5428" s="308"/>
    </row>
    <row r="5429">
      <c r="A5429" s="308">
        <v>5428.0</v>
      </c>
      <c r="B5429" s="308"/>
      <c r="C5429" s="308" t="s">
        <v>21819</v>
      </c>
      <c r="D5429" s="308">
        <f>IFERROR(__xludf.DUMMYFUNCTION("SPLIT(C5429,""-"")"),5449.0)</f>
        <v>5449</v>
      </c>
      <c r="E5429" s="308" t="str">
        <f>IFERROR(__xludf.DUMMYFUNCTION("""COMPUTED_VALUE"""),"P")</f>
        <v>P</v>
      </c>
      <c r="F5429" s="312" t="s">
        <v>37</v>
      </c>
      <c r="G5429" s="308"/>
      <c r="H5429" s="308" t="s">
        <v>21820</v>
      </c>
      <c r="I5429" s="310">
        <v>42127.0</v>
      </c>
      <c r="J5429" s="319">
        <f>IFERROR(__xludf.DUMMYFUNCTION("SPLIT(I5429,""/"")"),3.0)</f>
        <v>3</v>
      </c>
      <c r="K5429" s="308">
        <f>IFERROR(__xludf.DUMMYFUNCTION("""COMPUTED_VALUE"""),5.0)</f>
        <v>5</v>
      </c>
      <c r="L5429" s="308">
        <f>IFERROR(__xludf.DUMMYFUNCTION("""COMPUTED_VALUE"""),2015.0)</f>
        <v>2015</v>
      </c>
      <c r="M5429" s="308" t="s">
        <v>21821</v>
      </c>
      <c r="N5429" s="308"/>
      <c r="O5429" s="308" t="s">
        <v>21822</v>
      </c>
      <c r="P5429" s="308" t="s">
        <v>38399</v>
      </c>
      <c r="Q5429" s="308" t="s">
        <v>38396</v>
      </c>
      <c r="R5429" s="308" t="s">
        <v>16185</v>
      </c>
      <c r="S5429" s="308" t="s">
        <v>81</v>
      </c>
      <c r="T5429" s="308" t="s">
        <v>75</v>
      </c>
      <c r="U5429" s="308" t="s">
        <v>4273</v>
      </c>
      <c r="V5429" s="308"/>
    </row>
    <row r="5430">
      <c r="A5430" s="308">
        <v>5429.0</v>
      </c>
      <c r="B5430" s="308"/>
      <c r="C5430" s="308" t="s">
        <v>21824</v>
      </c>
      <c r="D5430" s="308">
        <f>IFERROR(__xludf.DUMMYFUNCTION("SPLIT(C5430,""-"")"),5450.0)</f>
        <v>5450</v>
      </c>
      <c r="E5430" s="308" t="str">
        <f>IFERROR(__xludf.DUMMYFUNCTION("""COMPUTED_VALUE"""),"K")</f>
        <v>K</v>
      </c>
      <c r="F5430" s="309" t="s">
        <v>34</v>
      </c>
      <c r="G5430" s="308"/>
      <c r="H5430" s="308" t="s">
        <v>21825</v>
      </c>
      <c r="I5430" s="310">
        <v>42101.0</v>
      </c>
      <c r="J5430" s="319">
        <f>IFERROR(__xludf.DUMMYFUNCTION("SPLIT(I5430,""/"")"),7.0)</f>
        <v>7</v>
      </c>
      <c r="K5430" s="308">
        <f>IFERROR(__xludf.DUMMYFUNCTION("""COMPUTED_VALUE"""),4.0)</f>
        <v>4</v>
      </c>
      <c r="L5430" s="308">
        <f>IFERROR(__xludf.DUMMYFUNCTION("""COMPUTED_VALUE"""),2015.0)</f>
        <v>2015</v>
      </c>
      <c r="M5430" s="308" t="s">
        <v>21826</v>
      </c>
      <c r="N5430" s="308" t="s">
        <v>21827</v>
      </c>
      <c r="O5430" s="308" t="s">
        <v>38400</v>
      </c>
      <c r="P5430" s="308" t="s">
        <v>21829</v>
      </c>
      <c r="Q5430" s="308" t="s">
        <v>38396</v>
      </c>
      <c r="R5430" s="308" t="s">
        <v>2743</v>
      </c>
      <c r="S5430" s="308" t="s">
        <v>49</v>
      </c>
      <c r="T5430" s="308" t="s">
        <v>51</v>
      </c>
      <c r="U5430" s="308" t="s">
        <v>872</v>
      </c>
      <c r="V5430" s="308"/>
    </row>
    <row r="5431">
      <c r="A5431" s="308">
        <v>5430.0</v>
      </c>
      <c r="B5431" s="308"/>
      <c r="C5431" s="308" t="s">
        <v>21830</v>
      </c>
      <c r="D5431" s="308">
        <f>IFERROR(__xludf.DUMMYFUNCTION("SPLIT(C5431,""-"")"),5451.0)</f>
        <v>5451</v>
      </c>
      <c r="E5431" s="308" t="str">
        <f>IFERROR(__xludf.DUMMYFUNCTION("""COMPUTED_VALUE"""),"K")</f>
        <v>K</v>
      </c>
      <c r="F5431" s="309" t="s">
        <v>34</v>
      </c>
      <c r="G5431" s="308"/>
      <c r="H5431" s="308" t="s">
        <v>21831</v>
      </c>
      <c r="I5431" s="310">
        <v>42385.0</v>
      </c>
      <c r="J5431" s="319">
        <f>IFERROR(__xludf.DUMMYFUNCTION("SPLIT(I5431,""/"")"),16.0)</f>
        <v>16</v>
      </c>
      <c r="K5431" s="308">
        <f>IFERROR(__xludf.DUMMYFUNCTION("""COMPUTED_VALUE"""),1.0)</f>
        <v>1</v>
      </c>
      <c r="L5431" s="308">
        <f>IFERROR(__xludf.DUMMYFUNCTION("""COMPUTED_VALUE"""),2016.0)</f>
        <v>2016</v>
      </c>
      <c r="M5431" s="308" t="s">
        <v>21832</v>
      </c>
      <c r="N5431" s="308"/>
      <c r="O5431" s="308" t="s">
        <v>21833</v>
      </c>
      <c r="P5431" s="308" t="s">
        <v>38401</v>
      </c>
      <c r="Q5431" s="308" t="s">
        <v>38396</v>
      </c>
      <c r="R5431" s="308" t="s">
        <v>2743</v>
      </c>
      <c r="S5431" s="308" t="s">
        <v>81</v>
      </c>
      <c r="T5431" s="311" t="s">
        <v>34264</v>
      </c>
      <c r="U5431" s="308" t="s">
        <v>872</v>
      </c>
      <c r="V5431" s="308"/>
    </row>
    <row r="5432">
      <c r="A5432" s="308">
        <v>5431.0</v>
      </c>
      <c r="B5432" s="308"/>
      <c r="C5432" s="308" t="s">
        <v>21835</v>
      </c>
      <c r="D5432" s="308">
        <f>IFERROR(__xludf.DUMMYFUNCTION("SPLIT(C5432,""-"")"),5452.0)</f>
        <v>5452</v>
      </c>
      <c r="E5432" s="308" t="str">
        <f>IFERROR(__xludf.DUMMYFUNCTION("""COMPUTED_VALUE"""),"K")</f>
        <v>K</v>
      </c>
      <c r="F5432" s="309" t="s">
        <v>34</v>
      </c>
      <c r="G5432" s="308"/>
      <c r="H5432" s="308" t="s">
        <v>21836</v>
      </c>
      <c r="I5432" s="310">
        <v>43009.0</v>
      </c>
      <c r="J5432" s="319" t="str">
        <f>IFERROR(__xludf.DUMMYFUNCTION("SPLIT(I5432,""/"")"),"#REF!")</f>
        <v>#REF!</v>
      </c>
      <c r="K5432" s="308"/>
      <c r="L5432" s="308">
        <v>2017.0</v>
      </c>
      <c r="M5432" s="308" t="s">
        <v>38402</v>
      </c>
      <c r="N5432" s="308"/>
      <c r="O5432" s="308"/>
      <c r="P5432" s="308" t="s">
        <v>38403</v>
      </c>
      <c r="Q5432" s="308" t="s">
        <v>38404</v>
      </c>
      <c r="R5432" s="308" t="s">
        <v>2743</v>
      </c>
      <c r="S5432" s="308" t="s">
        <v>81</v>
      </c>
      <c r="T5432" s="311" t="s">
        <v>35043</v>
      </c>
      <c r="U5432" s="308" t="s">
        <v>1509</v>
      </c>
      <c r="V5432" s="308"/>
    </row>
    <row r="5433">
      <c r="A5433" s="308">
        <v>5432.0</v>
      </c>
      <c r="B5433" s="308"/>
      <c r="C5433" s="308" t="s">
        <v>21839</v>
      </c>
      <c r="D5433" s="308">
        <f>IFERROR(__xludf.DUMMYFUNCTION("SPLIT(C5433,""-"")"),5453.0)</f>
        <v>5453</v>
      </c>
      <c r="E5433" s="308" t="str">
        <f>IFERROR(__xludf.DUMMYFUNCTION("""COMPUTED_VALUE"""),"K")</f>
        <v>K</v>
      </c>
      <c r="F5433" s="309" t="s">
        <v>34</v>
      </c>
      <c r="G5433" s="308"/>
      <c r="H5433" s="308" t="s">
        <v>21840</v>
      </c>
      <c r="I5433" s="310">
        <v>43040.0</v>
      </c>
      <c r="J5433" s="319" t="str">
        <f>IFERROR(__xludf.DUMMYFUNCTION("SPLIT(I5433,""/"")"),"#REF!")</f>
        <v>#REF!</v>
      </c>
      <c r="K5433" s="308"/>
      <c r="L5433" s="308">
        <v>2017.0</v>
      </c>
      <c r="M5433" s="308" t="s">
        <v>21841</v>
      </c>
      <c r="N5433" s="308"/>
      <c r="O5433" s="308"/>
      <c r="P5433" s="308" t="s">
        <v>38405</v>
      </c>
      <c r="Q5433" s="308" t="s">
        <v>38404</v>
      </c>
      <c r="R5433" s="308" t="s">
        <v>2743</v>
      </c>
      <c r="S5433" s="308" t="s">
        <v>81</v>
      </c>
      <c r="T5433" s="308" t="s">
        <v>75</v>
      </c>
      <c r="U5433" s="308" t="s">
        <v>1509</v>
      </c>
      <c r="V5433" s="308"/>
    </row>
    <row r="5434">
      <c r="A5434" s="308">
        <v>5433.0</v>
      </c>
      <c r="B5434" s="308"/>
      <c r="C5434" s="308" t="s">
        <v>21843</v>
      </c>
      <c r="D5434" s="308">
        <f>IFERROR(__xludf.DUMMYFUNCTION("SPLIT(C5434,""-"")"),5454.0)</f>
        <v>5454</v>
      </c>
      <c r="E5434" s="308" t="str">
        <f>IFERROR(__xludf.DUMMYFUNCTION("""COMPUTED_VALUE"""),"F")</f>
        <v>F</v>
      </c>
      <c r="F5434" s="309" t="s">
        <v>34</v>
      </c>
      <c r="G5434" s="308"/>
      <c r="H5434" s="308" t="s">
        <v>21844</v>
      </c>
      <c r="I5434" s="310">
        <v>40352.0</v>
      </c>
      <c r="J5434" s="319">
        <f>IFERROR(__xludf.DUMMYFUNCTION("SPLIT(I5434,""/"")"),23.0)</f>
        <v>23</v>
      </c>
      <c r="K5434" s="308">
        <f>IFERROR(__xludf.DUMMYFUNCTION("""COMPUTED_VALUE"""),6.0)</f>
        <v>6</v>
      </c>
      <c r="L5434" s="308">
        <f>IFERROR(__xludf.DUMMYFUNCTION("""COMPUTED_VALUE"""),2010.0)</f>
        <v>2010</v>
      </c>
      <c r="M5434" s="308" t="s">
        <v>21845</v>
      </c>
      <c r="N5434" s="308"/>
      <c r="O5434" s="308"/>
      <c r="P5434" s="308" t="s">
        <v>6393</v>
      </c>
      <c r="Q5434" s="308" t="s">
        <v>38404</v>
      </c>
      <c r="R5434" s="308" t="s">
        <v>2743</v>
      </c>
      <c r="S5434" s="315" t="s">
        <v>100</v>
      </c>
      <c r="T5434" s="311" t="s">
        <v>34208</v>
      </c>
      <c r="U5434" s="308" t="s">
        <v>195</v>
      </c>
      <c r="V5434" s="308"/>
    </row>
    <row r="5435">
      <c r="A5435" s="308">
        <v>5434.0</v>
      </c>
      <c r="B5435" s="308"/>
      <c r="C5435" s="308" t="s">
        <v>21846</v>
      </c>
      <c r="D5435" s="308">
        <f>IFERROR(__xludf.DUMMYFUNCTION("SPLIT(C5435,""-"")"),5455.0)</f>
        <v>5455</v>
      </c>
      <c r="E5435" s="308" t="str">
        <f>IFERROR(__xludf.DUMMYFUNCTION("""COMPUTED_VALUE"""),"K")</f>
        <v>K</v>
      </c>
      <c r="F5435" s="309" t="s">
        <v>34</v>
      </c>
      <c r="G5435" s="308"/>
      <c r="H5435" s="308" t="s">
        <v>21847</v>
      </c>
      <c r="I5435" s="310">
        <v>43350.0</v>
      </c>
      <c r="J5435" s="319">
        <f>IFERROR(__xludf.DUMMYFUNCTION("SPLIT(I5435,""/"")"),7.0)</f>
        <v>7</v>
      </c>
      <c r="K5435" s="308">
        <f>IFERROR(__xludf.DUMMYFUNCTION("""COMPUTED_VALUE"""),9.0)</f>
        <v>9</v>
      </c>
      <c r="L5435" s="308">
        <f>IFERROR(__xludf.DUMMYFUNCTION("""COMPUTED_VALUE"""),2018.0)</f>
        <v>2018</v>
      </c>
      <c r="M5435" s="308" t="s">
        <v>21848</v>
      </c>
      <c r="N5435" s="308"/>
      <c r="O5435" s="308"/>
      <c r="P5435" s="308" t="s">
        <v>21849</v>
      </c>
      <c r="Q5435" s="308" t="s">
        <v>38406</v>
      </c>
      <c r="R5435" s="308" t="s">
        <v>2743</v>
      </c>
      <c r="S5435" s="308" t="s">
        <v>81</v>
      </c>
      <c r="T5435" s="308" t="s">
        <v>75</v>
      </c>
      <c r="U5435" s="308" t="s">
        <v>125</v>
      </c>
      <c r="V5435" s="308"/>
    </row>
    <row r="5436">
      <c r="A5436" s="308">
        <v>5435.0</v>
      </c>
      <c r="B5436" s="308"/>
      <c r="C5436" s="308" t="s">
        <v>21850</v>
      </c>
      <c r="D5436" s="308">
        <f>IFERROR(__xludf.DUMMYFUNCTION("SPLIT(C5436,""-"")"),5456.0)</f>
        <v>5456</v>
      </c>
      <c r="E5436" s="308" t="str">
        <f>IFERROR(__xludf.DUMMYFUNCTION("""COMPUTED_VALUE"""),"K")</f>
        <v>K</v>
      </c>
      <c r="F5436" s="309" t="s">
        <v>34</v>
      </c>
      <c r="G5436" s="308"/>
      <c r="H5436" s="308" t="s">
        <v>21851</v>
      </c>
      <c r="I5436" s="310">
        <v>43350.0</v>
      </c>
      <c r="J5436" s="319">
        <f>IFERROR(__xludf.DUMMYFUNCTION("SPLIT(I5436,""/"")"),7.0)</f>
        <v>7</v>
      </c>
      <c r="K5436" s="308">
        <f>IFERROR(__xludf.DUMMYFUNCTION("""COMPUTED_VALUE"""),9.0)</f>
        <v>9</v>
      </c>
      <c r="L5436" s="308">
        <f>IFERROR(__xludf.DUMMYFUNCTION("""COMPUTED_VALUE"""),2018.0)</f>
        <v>2018</v>
      </c>
      <c r="M5436" s="308" t="s">
        <v>21852</v>
      </c>
      <c r="N5436" s="308"/>
      <c r="O5436" s="308"/>
      <c r="P5436" s="308" t="s">
        <v>21853</v>
      </c>
      <c r="Q5436" s="308" t="s">
        <v>38406</v>
      </c>
      <c r="R5436" s="308" t="s">
        <v>2743</v>
      </c>
      <c r="S5436" s="308" t="s">
        <v>81</v>
      </c>
      <c r="T5436" s="308" t="s">
        <v>75</v>
      </c>
      <c r="U5436" s="308" t="s">
        <v>125</v>
      </c>
      <c r="V5436" s="308"/>
    </row>
    <row r="5437">
      <c r="A5437" s="308">
        <v>5436.0</v>
      </c>
      <c r="B5437" s="308"/>
      <c r="C5437" s="308" t="s">
        <v>21854</v>
      </c>
      <c r="D5437" s="308">
        <f>IFERROR(__xludf.DUMMYFUNCTION("SPLIT(C5437,""-"")"),5457.0)</f>
        <v>5457</v>
      </c>
      <c r="E5437" s="308" t="str">
        <f>IFERROR(__xludf.DUMMYFUNCTION("""COMPUTED_VALUE"""),"P")</f>
        <v>P</v>
      </c>
      <c r="F5437" s="312" t="s">
        <v>37</v>
      </c>
      <c r="G5437" s="308"/>
      <c r="H5437" s="308" t="s">
        <v>21855</v>
      </c>
      <c r="I5437" s="310">
        <v>43368.0</v>
      </c>
      <c r="J5437" s="319">
        <f>IFERROR(__xludf.DUMMYFUNCTION("SPLIT(I5437,""/"")"),25.0)</f>
        <v>25</v>
      </c>
      <c r="K5437" s="308">
        <f>IFERROR(__xludf.DUMMYFUNCTION("""COMPUTED_VALUE"""),9.0)</f>
        <v>9</v>
      </c>
      <c r="L5437" s="308">
        <f>IFERROR(__xludf.DUMMYFUNCTION("""COMPUTED_VALUE"""),2018.0)</f>
        <v>2018</v>
      </c>
      <c r="M5437" s="308" t="s">
        <v>21856</v>
      </c>
      <c r="N5437" s="308"/>
      <c r="O5437" s="308"/>
      <c r="P5437" s="308" t="s">
        <v>38407</v>
      </c>
      <c r="Q5437" s="308" t="s">
        <v>38406</v>
      </c>
      <c r="R5437" s="308" t="s">
        <v>2743</v>
      </c>
      <c r="S5437" s="308" t="s">
        <v>81</v>
      </c>
      <c r="T5437" s="308" t="s">
        <v>73</v>
      </c>
      <c r="U5437" s="308" t="s">
        <v>2527</v>
      </c>
      <c r="V5437" s="308"/>
    </row>
    <row r="5438">
      <c r="A5438" s="308">
        <v>5437.0</v>
      </c>
      <c r="B5438" s="308"/>
      <c r="C5438" s="308" t="s">
        <v>21858</v>
      </c>
      <c r="D5438" s="308">
        <f>IFERROR(__xludf.DUMMYFUNCTION("SPLIT(C5438,""-"")"),5458.0)</f>
        <v>5458</v>
      </c>
      <c r="E5438" s="308" t="str">
        <f>IFERROR(__xludf.DUMMYFUNCTION("""COMPUTED_VALUE"""),"K")</f>
        <v>K</v>
      </c>
      <c r="F5438" s="309" t="s">
        <v>34</v>
      </c>
      <c r="G5438" s="308"/>
      <c r="H5438" s="308" t="s">
        <v>21859</v>
      </c>
      <c r="I5438" s="310">
        <v>42905.0</v>
      </c>
      <c r="J5438" s="319" t="str">
        <f>IFERROR(__xludf.DUMMYFUNCTION("SPLIT(I5438,""/"")"),"#REF!")</f>
        <v>#REF!</v>
      </c>
      <c r="K5438" s="308"/>
      <c r="L5438" s="308">
        <v>2017.0</v>
      </c>
      <c r="M5438" s="308" t="s">
        <v>21860</v>
      </c>
      <c r="N5438" s="308"/>
      <c r="O5438" s="308"/>
      <c r="P5438" s="308" t="s">
        <v>5679</v>
      </c>
      <c r="Q5438" s="308" t="s">
        <v>38408</v>
      </c>
      <c r="R5438" s="308" t="s">
        <v>2743</v>
      </c>
      <c r="S5438" s="315" t="s">
        <v>100</v>
      </c>
      <c r="T5438" s="311" t="s">
        <v>34208</v>
      </c>
      <c r="U5438" s="308" t="s">
        <v>368</v>
      </c>
      <c r="V5438" s="308"/>
    </row>
    <row r="5439">
      <c r="A5439" s="308">
        <v>5438.0</v>
      </c>
      <c r="B5439" s="308"/>
      <c r="C5439" s="308" t="s">
        <v>21861</v>
      </c>
      <c r="D5439" s="308">
        <f>IFERROR(__xludf.DUMMYFUNCTION("SPLIT(C5439,""-"")"),5459.0)</f>
        <v>5459</v>
      </c>
      <c r="E5439" s="308" t="str">
        <f>IFERROR(__xludf.DUMMYFUNCTION("""COMPUTED_VALUE"""),"K")</f>
        <v>K</v>
      </c>
      <c r="F5439" s="309" t="s">
        <v>34</v>
      </c>
      <c r="G5439" s="308"/>
      <c r="H5439" s="308" t="s">
        <v>21862</v>
      </c>
      <c r="I5439" s="310">
        <v>43332.0</v>
      </c>
      <c r="J5439" s="319">
        <f>IFERROR(__xludf.DUMMYFUNCTION("SPLIT(I5439,""/"")"),20.0)</f>
        <v>20</v>
      </c>
      <c r="K5439" s="308">
        <f>IFERROR(__xludf.DUMMYFUNCTION("""COMPUTED_VALUE"""),8.0)</f>
        <v>8</v>
      </c>
      <c r="L5439" s="308">
        <f>IFERROR(__xludf.DUMMYFUNCTION("""COMPUTED_VALUE"""),2018.0)</f>
        <v>2018</v>
      </c>
      <c r="M5439" s="308" t="s">
        <v>21863</v>
      </c>
      <c r="N5439" s="308"/>
      <c r="O5439" s="308"/>
      <c r="P5439" s="308" t="s">
        <v>5679</v>
      </c>
      <c r="Q5439" s="308" t="s">
        <v>38408</v>
      </c>
      <c r="R5439" s="308" t="s">
        <v>2743</v>
      </c>
      <c r="S5439" s="315" t="s">
        <v>100</v>
      </c>
      <c r="T5439" s="311" t="s">
        <v>34208</v>
      </c>
      <c r="U5439" s="308" t="s">
        <v>3714</v>
      </c>
      <c r="V5439" s="308"/>
    </row>
    <row r="5440">
      <c r="A5440" s="308">
        <v>5439.0</v>
      </c>
      <c r="B5440" s="308"/>
      <c r="C5440" s="308" t="s">
        <v>21864</v>
      </c>
      <c r="D5440" s="308">
        <f>IFERROR(__xludf.DUMMYFUNCTION("SPLIT(C5440,""-"")"),5460.0)</f>
        <v>5460</v>
      </c>
      <c r="E5440" s="308" t="str">
        <f>IFERROR(__xludf.DUMMYFUNCTION("""COMPUTED_VALUE"""),"P")</f>
        <v>P</v>
      </c>
      <c r="F5440" s="312" t="s">
        <v>37</v>
      </c>
      <c r="G5440" s="308"/>
      <c r="H5440" s="308" t="s">
        <v>21865</v>
      </c>
      <c r="I5440" s="310">
        <v>43371.0</v>
      </c>
      <c r="J5440" s="319">
        <f>IFERROR(__xludf.DUMMYFUNCTION("SPLIT(I5440,""/"")"),28.0)</f>
        <v>28</v>
      </c>
      <c r="K5440" s="308">
        <f>IFERROR(__xludf.DUMMYFUNCTION("""COMPUTED_VALUE"""),9.0)</f>
        <v>9</v>
      </c>
      <c r="L5440" s="308">
        <f>IFERROR(__xludf.DUMMYFUNCTION("""COMPUTED_VALUE"""),2018.0)</f>
        <v>2018</v>
      </c>
      <c r="M5440" s="308" t="s">
        <v>21866</v>
      </c>
      <c r="N5440" s="308"/>
      <c r="O5440" s="308"/>
      <c r="P5440" s="308" t="s">
        <v>21867</v>
      </c>
      <c r="Q5440" s="308" t="s">
        <v>38408</v>
      </c>
      <c r="R5440" s="308" t="s">
        <v>2743</v>
      </c>
      <c r="S5440" s="308" t="s">
        <v>81</v>
      </c>
      <c r="T5440" s="308" t="s">
        <v>75</v>
      </c>
      <c r="U5440" s="308" t="s">
        <v>143</v>
      </c>
      <c r="V5440" s="308"/>
    </row>
    <row r="5441">
      <c r="A5441" s="308">
        <v>5440.0</v>
      </c>
      <c r="B5441" s="308"/>
      <c r="C5441" s="308" t="s">
        <v>21868</v>
      </c>
      <c r="D5441" s="308">
        <f>IFERROR(__xludf.DUMMYFUNCTION("SPLIT(C5441,""-"")"),5461.0)</f>
        <v>5461</v>
      </c>
      <c r="E5441" s="308" t="str">
        <f>IFERROR(__xludf.DUMMYFUNCTION("""COMPUTED_VALUE"""),"P")</f>
        <v>P</v>
      </c>
      <c r="F5441" s="312" t="s">
        <v>37</v>
      </c>
      <c r="G5441" s="308"/>
      <c r="H5441" s="308" t="s">
        <v>21869</v>
      </c>
      <c r="I5441" s="310">
        <v>43371.0</v>
      </c>
      <c r="J5441" s="319">
        <f>IFERROR(__xludf.DUMMYFUNCTION("SPLIT(I5441,""/"")"),28.0)</f>
        <v>28</v>
      </c>
      <c r="K5441" s="308">
        <f>IFERROR(__xludf.DUMMYFUNCTION("""COMPUTED_VALUE"""),9.0)</f>
        <v>9</v>
      </c>
      <c r="L5441" s="308">
        <f>IFERROR(__xludf.DUMMYFUNCTION("""COMPUTED_VALUE"""),2018.0)</f>
        <v>2018</v>
      </c>
      <c r="M5441" s="308" t="s">
        <v>21866</v>
      </c>
      <c r="N5441" s="308"/>
      <c r="O5441" s="308"/>
      <c r="P5441" s="308" t="s">
        <v>21870</v>
      </c>
      <c r="Q5441" s="308" t="s">
        <v>38408</v>
      </c>
      <c r="R5441" s="308" t="s">
        <v>2743</v>
      </c>
      <c r="S5441" s="308" t="s">
        <v>81</v>
      </c>
      <c r="T5441" s="311" t="s">
        <v>75</v>
      </c>
      <c r="U5441" s="308" t="s">
        <v>143</v>
      </c>
      <c r="V5441" s="308"/>
    </row>
    <row r="5442">
      <c r="A5442" s="308">
        <v>5441.0</v>
      </c>
      <c r="B5442" s="308"/>
      <c r="C5442" s="308" t="s">
        <v>21871</v>
      </c>
      <c r="D5442" s="308">
        <f>IFERROR(__xludf.DUMMYFUNCTION("SPLIT(C5442,""-"")"),5462.0)</f>
        <v>5462</v>
      </c>
      <c r="E5442" s="308" t="str">
        <f>IFERROR(__xludf.DUMMYFUNCTION("""COMPUTED_VALUE"""),"I")</f>
        <v>I</v>
      </c>
      <c r="F5442" s="309" t="s">
        <v>31</v>
      </c>
      <c r="G5442" s="308"/>
      <c r="H5442" s="308" t="s">
        <v>21872</v>
      </c>
      <c r="I5442" s="310">
        <v>43370.0</v>
      </c>
      <c r="J5442" s="319">
        <f>IFERROR(__xludf.DUMMYFUNCTION("SPLIT(I5442,""/"")"),27.0)</f>
        <v>27</v>
      </c>
      <c r="K5442" s="308">
        <f>IFERROR(__xludf.DUMMYFUNCTION("""COMPUTED_VALUE"""),9.0)</f>
        <v>9</v>
      </c>
      <c r="L5442" s="308">
        <f>IFERROR(__xludf.DUMMYFUNCTION("""COMPUTED_VALUE"""),2018.0)</f>
        <v>2018</v>
      </c>
      <c r="M5442" s="308" t="s">
        <v>21873</v>
      </c>
      <c r="N5442" s="308"/>
      <c r="O5442" s="308" t="s">
        <v>21874</v>
      </c>
      <c r="P5442" s="308" t="s">
        <v>38409</v>
      </c>
      <c r="Q5442" s="308" t="s">
        <v>38408</v>
      </c>
      <c r="R5442" s="308" t="s">
        <v>2743</v>
      </c>
      <c r="S5442" s="308" t="s">
        <v>49</v>
      </c>
      <c r="T5442" s="308" t="s">
        <v>51</v>
      </c>
      <c r="U5442" s="308" t="s">
        <v>31</v>
      </c>
      <c r="V5442" s="308"/>
    </row>
    <row r="5443">
      <c r="A5443" s="308">
        <v>5442.0</v>
      </c>
      <c r="B5443" s="308"/>
      <c r="C5443" s="308" t="s">
        <v>21876</v>
      </c>
      <c r="D5443" s="308">
        <f>IFERROR(__xludf.DUMMYFUNCTION("SPLIT(C5443,""-"")"),5463.0)</f>
        <v>5463</v>
      </c>
      <c r="E5443" s="308" t="str">
        <f>IFERROR(__xludf.DUMMYFUNCTION("""COMPUTED_VALUE"""),"K")</f>
        <v>K</v>
      </c>
      <c r="F5443" s="309" t="s">
        <v>34</v>
      </c>
      <c r="G5443" s="308"/>
      <c r="H5443" s="308" t="s">
        <v>21877</v>
      </c>
      <c r="I5443" s="310">
        <v>40666.0</v>
      </c>
      <c r="J5443" s="319">
        <f>IFERROR(__xludf.DUMMYFUNCTION("SPLIT(I5443,""/"")"),3.0)</f>
        <v>3</v>
      </c>
      <c r="K5443" s="308">
        <f>IFERROR(__xludf.DUMMYFUNCTION("""COMPUTED_VALUE"""),5.0)</f>
        <v>5</v>
      </c>
      <c r="L5443" s="308">
        <f>IFERROR(__xludf.DUMMYFUNCTION("""COMPUTED_VALUE"""),2011.0)</f>
        <v>2011</v>
      </c>
      <c r="M5443" s="308" t="s">
        <v>21878</v>
      </c>
      <c r="N5443" s="308" t="s">
        <v>21879</v>
      </c>
      <c r="O5443" s="308"/>
      <c r="P5443" s="308" t="s">
        <v>6393</v>
      </c>
      <c r="Q5443" s="308" t="s">
        <v>38408</v>
      </c>
      <c r="R5443" s="308" t="s">
        <v>2743</v>
      </c>
      <c r="S5443" s="315" t="s">
        <v>100</v>
      </c>
      <c r="T5443" s="311" t="s">
        <v>34208</v>
      </c>
      <c r="U5443" s="308" t="s">
        <v>125</v>
      </c>
      <c r="V5443" s="308"/>
    </row>
    <row r="5444">
      <c r="A5444" s="308">
        <v>5443.0</v>
      </c>
      <c r="B5444" s="308"/>
      <c r="C5444" s="308" t="s">
        <v>21880</v>
      </c>
      <c r="D5444" s="308">
        <f>IFERROR(__xludf.DUMMYFUNCTION("SPLIT(C5444,""-"")"),5464.0)</f>
        <v>5464</v>
      </c>
      <c r="E5444" s="308" t="str">
        <f>IFERROR(__xludf.DUMMYFUNCTION("""COMPUTED_VALUE"""),"F")</f>
        <v>F</v>
      </c>
      <c r="F5444" s="309" t="s">
        <v>34</v>
      </c>
      <c r="G5444" s="308"/>
      <c r="H5444" s="308" t="s">
        <v>21881</v>
      </c>
      <c r="I5444" s="310">
        <v>41453.0</v>
      </c>
      <c r="J5444" s="319">
        <f>IFERROR(__xludf.DUMMYFUNCTION("SPLIT(I5444,""/"")"),28.0)</f>
        <v>28</v>
      </c>
      <c r="K5444" s="308">
        <f>IFERROR(__xludf.DUMMYFUNCTION("""COMPUTED_VALUE"""),6.0)</f>
        <v>6</v>
      </c>
      <c r="L5444" s="308">
        <f>IFERROR(__xludf.DUMMYFUNCTION("""COMPUTED_VALUE"""),2013.0)</f>
        <v>2013</v>
      </c>
      <c r="M5444" s="308" t="s">
        <v>21882</v>
      </c>
      <c r="N5444" s="308"/>
      <c r="O5444" s="308" t="s">
        <v>21883</v>
      </c>
      <c r="P5444" s="308" t="s">
        <v>6393</v>
      </c>
      <c r="Q5444" s="308" t="s">
        <v>38408</v>
      </c>
      <c r="R5444" s="308" t="s">
        <v>2743</v>
      </c>
      <c r="S5444" s="315" t="s">
        <v>100</v>
      </c>
      <c r="T5444" s="311" t="s">
        <v>34208</v>
      </c>
      <c r="U5444" s="308" t="s">
        <v>21884</v>
      </c>
      <c r="V5444" s="308"/>
    </row>
    <row r="5445">
      <c r="A5445" s="308">
        <v>5444.0</v>
      </c>
      <c r="B5445" s="308"/>
      <c r="C5445" s="308" t="s">
        <v>21885</v>
      </c>
      <c r="D5445" s="308">
        <f>IFERROR(__xludf.DUMMYFUNCTION("SPLIT(C5445,""-"")"),5465.0)</f>
        <v>5465</v>
      </c>
      <c r="E5445" s="308" t="str">
        <f>IFERROR(__xludf.DUMMYFUNCTION("""COMPUTED_VALUE"""),"F")</f>
        <v>F</v>
      </c>
      <c r="F5445" s="309" t="s">
        <v>34</v>
      </c>
      <c r="G5445" s="308"/>
      <c r="H5445" s="308" t="s">
        <v>21886</v>
      </c>
      <c r="I5445" s="310">
        <v>42736.0</v>
      </c>
      <c r="J5445" s="319" t="str">
        <f>IFERROR(__xludf.DUMMYFUNCTION("SPLIT(I5445,""/"")"),"#REF!")</f>
        <v>#REF!</v>
      </c>
      <c r="K5445" s="308"/>
      <c r="L5445" s="308">
        <v>2017.0</v>
      </c>
      <c r="M5445" s="308" t="s">
        <v>21887</v>
      </c>
      <c r="N5445" s="308"/>
      <c r="O5445" s="308"/>
      <c r="P5445" s="308" t="s">
        <v>38410</v>
      </c>
      <c r="Q5445" s="308" t="s">
        <v>38408</v>
      </c>
      <c r="R5445" s="308" t="s">
        <v>2743</v>
      </c>
      <c r="S5445" s="308" t="s">
        <v>81</v>
      </c>
      <c r="T5445" s="311" t="s">
        <v>73</v>
      </c>
      <c r="U5445" s="308" t="s">
        <v>195</v>
      </c>
      <c r="V5445" s="308"/>
    </row>
    <row r="5446">
      <c r="A5446" s="308">
        <v>5445.0</v>
      </c>
      <c r="B5446" s="308"/>
      <c r="C5446" s="308" t="s">
        <v>21889</v>
      </c>
      <c r="D5446" s="308">
        <f>IFERROR(__xludf.DUMMYFUNCTION("SPLIT(C5446,""-"")"),5466.0)</f>
        <v>5466</v>
      </c>
      <c r="E5446" s="308" t="str">
        <f>IFERROR(__xludf.DUMMYFUNCTION("""COMPUTED_VALUE"""),"P")</f>
        <v>P</v>
      </c>
      <c r="F5446" s="312" t="s">
        <v>37</v>
      </c>
      <c r="G5446" s="308"/>
      <c r="H5446" s="308" t="s">
        <v>21890</v>
      </c>
      <c r="I5446" s="310">
        <v>41164.0</v>
      </c>
      <c r="J5446" s="319">
        <f>IFERROR(__xludf.DUMMYFUNCTION("SPLIT(I5446,""/"")"),12.0)</f>
        <v>12</v>
      </c>
      <c r="K5446" s="308">
        <f>IFERROR(__xludf.DUMMYFUNCTION("""COMPUTED_VALUE"""),9.0)</f>
        <v>9</v>
      </c>
      <c r="L5446" s="308">
        <f>IFERROR(__xludf.DUMMYFUNCTION("""COMPUTED_VALUE"""),2012.0)</f>
        <v>2012</v>
      </c>
      <c r="M5446" s="308" t="s">
        <v>21891</v>
      </c>
      <c r="N5446" s="308"/>
      <c r="O5446" s="308" t="s">
        <v>21892</v>
      </c>
      <c r="P5446" s="308" t="s">
        <v>7523</v>
      </c>
      <c r="Q5446" s="308" t="s">
        <v>38411</v>
      </c>
      <c r="R5446" s="308" t="s">
        <v>2743</v>
      </c>
      <c r="S5446" s="315" t="s">
        <v>100</v>
      </c>
      <c r="T5446" s="311" t="s">
        <v>34208</v>
      </c>
      <c r="U5446" s="308" t="s">
        <v>149</v>
      </c>
      <c r="V5446" s="308"/>
    </row>
    <row r="5447">
      <c r="A5447" s="308">
        <v>5446.0</v>
      </c>
      <c r="B5447" s="308"/>
      <c r="C5447" s="308" t="s">
        <v>21893</v>
      </c>
      <c r="D5447" s="308">
        <f>IFERROR(__xludf.DUMMYFUNCTION("SPLIT(C5447,""-"")"),5467.0)</f>
        <v>5467</v>
      </c>
      <c r="E5447" s="308" t="str">
        <f>IFERROR(__xludf.DUMMYFUNCTION("""COMPUTED_VALUE"""),"K")</f>
        <v>K</v>
      </c>
      <c r="F5447" s="309" t="s">
        <v>34</v>
      </c>
      <c r="G5447" s="308"/>
      <c r="H5447" s="308" t="s">
        <v>21894</v>
      </c>
      <c r="I5447" s="310">
        <v>42855.0</v>
      </c>
      <c r="J5447" s="319" t="str">
        <f>IFERROR(__xludf.DUMMYFUNCTION("SPLIT(I5447,""/"")"),"#REF!")</f>
        <v>#REF!</v>
      </c>
      <c r="K5447" s="308"/>
      <c r="L5447" s="308">
        <v>2017.0</v>
      </c>
      <c r="M5447" s="308" t="s">
        <v>21895</v>
      </c>
      <c r="N5447" s="308"/>
      <c r="O5447" s="308"/>
      <c r="P5447" s="308" t="s">
        <v>5679</v>
      </c>
      <c r="Q5447" s="308" t="s">
        <v>38411</v>
      </c>
      <c r="R5447" s="308" t="s">
        <v>2743</v>
      </c>
      <c r="S5447" s="315" t="s">
        <v>100</v>
      </c>
      <c r="T5447" s="311" t="s">
        <v>34208</v>
      </c>
      <c r="U5447" s="308" t="s">
        <v>542</v>
      </c>
      <c r="V5447" s="308"/>
    </row>
    <row r="5448">
      <c r="A5448" s="308">
        <v>5447.0</v>
      </c>
      <c r="B5448" s="308"/>
      <c r="C5448" s="308" t="s">
        <v>21896</v>
      </c>
      <c r="D5448" s="308">
        <f>IFERROR(__xludf.DUMMYFUNCTION("SPLIT(C5448,""-"")"),5468.0)</f>
        <v>5468</v>
      </c>
      <c r="E5448" s="308" t="str">
        <f>IFERROR(__xludf.DUMMYFUNCTION("""COMPUTED_VALUE"""),"I")</f>
        <v>I</v>
      </c>
      <c r="F5448" s="309" t="s">
        <v>31</v>
      </c>
      <c r="G5448" s="308"/>
      <c r="H5448" s="308" t="s">
        <v>21897</v>
      </c>
      <c r="I5448" s="310">
        <v>39273.0</v>
      </c>
      <c r="J5448" s="319">
        <f>IFERROR(__xludf.DUMMYFUNCTION("SPLIT(I5448,""/"")"),10.0)</f>
        <v>10</v>
      </c>
      <c r="K5448" s="308">
        <f>IFERROR(__xludf.DUMMYFUNCTION("""COMPUTED_VALUE"""),7.0)</f>
        <v>7</v>
      </c>
      <c r="L5448" s="308">
        <f>IFERROR(__xludf.DUMMYFUNCTION("""COMPUTED_VALUE"""),2007.0)</f>
        <v>2007</v>
      </c>
      <c r="M5448" s="308" t="s">
        <v>21898</v>
      </c>
      <c r="N5448" s="308" t="s">
        <v>21899</v>
      </c>
      <c r="O5448" s="308" t="s">
        <v>21900</v>
      </c>
      <c r="P5448" s="308" t="s">
        <v>10817</v>
      </c>
      <c r="Q5448" s="308" t="s">
        <v>38412</v>
      </c>
      <c r="R5448" s="308" t="s">
        <v>2743</v>
      </c>
      <c r="S5448" s="315" t="s">
        <v>100</v>
      </c>
      <c r="T5448" s="311" t="s">
        <v>34208</v>
      </c>
      <c r="U5448" s="308" t="s">
        <v>31</v>
      </c>
      <c r="V5448" s="308"/>
    </row>
    <row r="5449">
      <c r="A5449" s="308">
        <v>5448.0</v>
      </c>
      <c r="B5449" s="308"/>
      <c r="C5449" s="308" t="s">
        <v>21901</v>
      </c>
      <c r="D5449" s="308">
        <f>IFERROR(__xludf.DUMMYFUNCTION("SPLIT(C5449,""-"")"),5469.0)</f>
        <v>5469</v>
      </c>
      <c r="E5449" s="308" t="str">
        <f>IFERROR(__xludf.DUMMYFUNCTION("""COMPUTED_VALUE"""),"P")</f>
        <v>P</v>
      </c>
      <c r="F5449" s="312" t="s">
        <v>37</v>
      </c>
      <c r="G5449" s="308"/>
      <c r="H5449" s="308" t="s">
        <v>21902</v>
      </c>
      <c r="I5449" s="310">
        <v>43353.0</v>
      </c>
      <c r="J5449" s="319">
        <f>IFERROR(__xludf.DUMMYFUNCTION("SPLIT(I5449,""/"")"),10.0)</f>
        <v>10</v>
      </c>
      <c r="K5449" s="308">
        <f>IFERROR(__xludf.DUMMYFUNCTION("""COMPUTED_VALUE"""),9.0)</f>
        <v>9</v>
      </c>
      <c r="L5449" s="308">
        <f>IFERROR(__xludf.DUMMYFUNCTION("""COMPUTED_VALUE"""),2018.0)</f>
        <v>2018</v>
      </c>
      <c r="M5449" s="308" t="s">
        <v>21903</v>
      </c>
      <c r="N5449" s="308"/>
      <c r="O5449" s="308"/>
      <c r="P5449" s="308" t="s">
        <v>21904</v>
      </c>
      <c r="Q5449" s="308" t="s">
        <v>38412</v>
      </c>
      <c r="R5449" s="308" t="s">
        <v>2743</v>
      </c>
      <c r="S5449" s="308" t="s">
        <v>81</v>
      </c>
      <c r="T5449" s="311" t="s">
        <v>75</v>
      </c>
      <c r="U5449" s="308" t="s">
        <v>149</v>
      </c>
      <c r="V5449" s="308"/>
    </row>
    <row r="5450">
      <c r="A5450" s="308">
        <v>5449.0</v>
      </c>
      <c r="B5450" s="308"/>
      <c r="C5450" s="308" t="s">
        <v>21905</v>
      </c>
      <c r="D5450" s="308">
        <f>IFERROR(__xludf.DUMMYFUNCTION("SPLIT(C5450,""-"")"),5470.0)</f>
        <v>5470</v>
      </c>
      <c r="E5450" s="308" t="str">
        <f>IFERROR(__xludf.DUMMYFUNCTION("""COMPUTED_VALUE"""),"K")</f>
        <v>K</v>
      </c>
      <c r="F5450" s="309" t="s">
        <v>34</v>
      </c>
      <c r="G5450" s="308"/>
      <c r="H5450" s="308" t="s">
        <v>21906</v>
      </c>
      <c r="I5450" s="310">
        <v>41846.0</v>
      </c>
      <c r="J5450" s="319">
        <f>IFERROR(__xludf.DUMMYFUNCTION("SPLIT(I5450,""/"")"),26.0)</f>
        <v>26</v>
      </c>
      <c r="K5450" s="308">
        <f>IFERROR(__xludf.DUMMYFUNCTION("""COMPUTED_VALUE"""),7.0)</f>
        <v>7</v>
      </c>
      <c r="L5450" s="308">
        <f>IFERROR(__xludf.DUMMYFUNCTION("""COMPUTED_VALUE"""),2014.0)</f>
        <v>2014</v>
      </c>
      <c r="M5450" s="308" t="s">
        <v>21907</v>
      </c>
      <c r="N5450" s="308"/>
      <c r="O5450" s="308" t="s">
        <v>21908</v>
      </c>
      <c r="P5450" s="308" t="s">
        <v>5679</v>
      </c>
      <c r="Q5450" s="308" t="s">
        <v>38412</v>
      </c>
      <c r="R5450" s="308" t="s">
        <v>2743</v>
      </c>
      <c r="S5450" s="315" t="s">
        <v>100</v>
      </c>
      <c r="T5450" s="311" t="s">
        <v>34208</v>
      </c>
      <c r="U5450" s="308" t="s">
        <v>125</v>
      </c>
      <c r="V5450" s="308"/>
    </row>
    <row r="5451">
      <c r="A5451" s="308">
        <v>5450.0</v>
      </c>
      <c r="B5451" s="308"/>
      <c r="C5451" s="308" t="s">
        <v>21909</v>
      </c>
      <c r="D5451" s="308">
        <f>IFERROR(__xludf.DUMMYFUNCTION("SPLIT(C5451,""-"")"),5471.0)</f>
        <v>5471</v>
      </c>
      <c r="E5451" s="308" t="str">
        <f>IFERROR(__xludf.DUMMYFUNCTION("""COMPUTED_VALUE"""),"K")</f>
        <v>K</v>
      </c>
      <c r="F5451" s="309" t="s">
        <v>34</v>
      </c>
      <c r="G5451" s="308"/>
      <c r="H5451" s="308" t="s">
        <v>21910</v>
      </c>
      <c r="I5451" s="310">
        <v>43364.0</v>
      </c>
      <c r="J5451" s="319">
        <f>IFERROR(__xludf.DUMMYFUNCTION("SPLIT(I5451,""/"")"),21.0)</f>
        <v>21</v>
      </c>
      <c r="K5451" s="308">
        <f>IFERROR(__xludf.DUMMYFUNCTION("""COMPUTED_VALUE"""),9.0)</f>
        <v>9</v>
      </c>
      <c r="L5451" s="308">
        <f>IFERROR(__xludf.DUMMYFUNCTION("""COMPUTED_VALUE"""),2018.0)</f>
        <v>2018</v>
      </c>
      <c r="M5451" s="308" t="s">
        <v>21911</v>
      </c>
      <c r="N5451" s="308"/>
      <c r="O5451" s="308"/>
      <c r="P5451" s="308" t="s">
        <v>21912</v>
      </c>
      <c r="Q5451" s="308" t="s">
        <v>38413</v>
      </c>
      <c r="R5451" s="308" t="s">
        <v>2743</v>
      </c>
      <c r="S5451" s="308" t="s">
        <v>81</v>
      </c>
      <c r="T5451" s="311" t="s">
        <v>75</v>
      </c>
      <c r="U5451" s="308" t="s">
        <v>368</v>
      </c>
      <c r="V5451" s="308"/>
    </row>
    <row r="5452">
      <c r="A5452" s="308">
        <v>5451.0</v>
      </c>
      <c r="B5452" s="308"/>
      <c r="C5452" s="308" t="s">
        <v>21913</v>
      </c>
      <c r="D5452" s="308">
        <f>IFERROR(__xludf.DUMMYFUNCTION("SPLIT(C5452,""-"")"),5472.0)</f>
        <v>5472</v>
      </c>
      <c r="E5452" s="308" t="str">
        <f>IFERROR(__xludf.DUMMYFUNCTION("""COMPUTED_VALUE"""),"P")</f>
        <v>P</v>
      </c>
      <c r="F5452" s="312" t="s">
        <v>37</v>
      </c>
      <c r="G5452" s="308"/>
      <c r="H5452" s="308" t="s">
        <v>21914</v>
      </c>
      <c r="I5452" s="310">
        <v>43350.0</v>
      </c>
      <c r="J5452" s="319">
        <f>IFERROR(__xludf.DUMMYFUNCTION("SPLIT(I5452,""/"")"),7.0)</f>
        <v>7</v>
      </c>
      <c r="K5452" s="308">
        <f>IFERROR(__xludf.DUMMYFUNCTION("""COMPUTED_VALUE"""),9.0)</f>
        <v>9</v>
      </c>
      <c r="L5452" s="308">
        <f>IFERROR(__xludf.DUMMYFUNCTION("""COMPUTED_VALUE"""),2018.0)</f>
        <v>2018</v>
      </c>
      <c r="M5452" s="308" t="s">
        <v>21915</v>
      </c>
      <c r="N5452" s="308"/>
      <c r="O5452" s="308"/>
      <c r="P5452" s="308" t="s">
        <v>7523</v>
      </c>
      <c r="Q5452" s="308" t="s">
        <v>38413</v>
      </c>
      <c r="R5452" s="308" t="s">
        <v>2743</v>
      </c>
      <c r="S5452" s="315" t="s">
        <v>100</v>
      </c>
      <c r="T5452" s="311" t="s">
        <v>34208</v>
      </c>
      <c r="U5452" s="308" t="s">
        <v>2692</v>
      </c>
      <c r="V5452" s="308"/>
    </row>
    <row r="5453">
      <c r="A5453" s="308">
        <v>5452.0</v>
      </c>
      <c r="B5453" s="308"/>
      <c r="C5453" s="308" t="s">
        <v>21916</v>
      </c>
      <c r="D5453" s="308">
        <f>IFERROR(__xludf.DUMMYFUNCTION("SPLIT(C5453,""-"")"),5473.0)</f>
        <v>5473</v>
      </c>
      <c r="E5453" s="308" t="str">
        <f>IFERROR(__xludf.DUMMYFUNCTION("""COMPUTED_VALUE"""),"K")</f>
        <v>K</v>
      </c>
      <c r="F5453" s="309" t="s">
        <v>34</v>
      </c>
      <c r="G5453" s="308"/>
      <c r="H5453" s="308" t="s">
        <v>21917</v>
      </c>
      <c r="I5453" s="314">
        <v>41958.0</v>
      </c>
      <c r="J5453" s="319">
        <f>IFERROR(__xludf.DUMMYFUNCTION("SPLIT(I5453,""/"")"),15.0)</f>
        <v>15</v>
      </c>
      <c r="K5453" s="308">
        <f>IFERROR(__xludf.DUMMYFUNCTION("""COMPUTED_VALUE"""),11.0)</f>
        <v>11</v>
      </c>
      <c r="L5453" s="308">
        <f>IFERROR(__xludf.DUMMYFUNCTION("""COMPUTED_VALUE"""),2014.0)</f>
        <v>2014</v>
      </c>
      <c r="M5453" s="308" t="s">
        <v>21918</v>
      </c>
      <c r="N5453" s="308"/>
      <c r="O5453" s="308"/>
      <c r="P5453" s="308" t="s">
        <v>21919</v>
      </c>
      <c r="Q5453" s="308" t="s">
        <v>38413</v>
      </c>
      <c r="R5453" s="308" t="s">
        <v>2743</v>
      </c>
      <c r="S5453" s="308" t="s">
        <v>81</v>
      </c>
      <c r="T5453" s="308" t="s">
        <v>34264</v>
      </c>
      <c r="U5453" s="308" t="s">
        <v>530</v>
      </c>
      <c r="V5453" s="308"/>
    </row>
    <row r="5454">
      <c r="A5454" s="308">
        <v>5453.0</v>
      </c>
      <c r="B5454" s="308"/>
      <c r="C5454" s="308" t="s">
        <v>21920</v>
      </c>
      <c r="D5454" s="308">
        <f>IFERROR(__xludf.DUMMYFUNCTION("SPLIT(C5454,""-"")"),5474.0)</f>
        <v>5474</v>
      </c>
      <c r="E5454" s="308" t="str">
        <f>IFERROR(__xludf.DUMMYFUNCTION("""COMPUTED_VALUE"""),"K")</f>
        <v>K</v>
      </c>
      <c r="F5454" s="309" t="s">
        <v>34</v>
      </c>
      <c r="G5454" s="308"/>
      <c r="H5454" s="308" t="s">
        <v>21921</v>
      </c>
      <c r="I5454" s="314">
        <v>43049.0</v>
      </c>
      <c r="J5454" s="319" t="str">
        <f>IFERROR(__xludf.DUMMYFUNCTION("SPLIT(I5454,""/"")"),"#REF!")</f>
        <v>#REF!</v>
      </c>
      <c r="K5454" s="308"/>
      <c r="L5454" s="308">
        <v>2017.0</v>
      </c>
      <c r="M5454" s="308" t="s">
        <v>21922</v>
      </c>
      <c r="N5454" s="308"/>
      <c r="O5454" s="308"/>
      <c r="P5454" s="308" t="s">
        <v>38414</v>
      </c>
      <c r="Q5454" s="308" t="s">
        <v>38413</v>
      </c>
      <c r="R5454" s="308" t="s">
        <v>2743</v>
      </c>
      <c r="S5454" s="308" t="s">
        <v>81</v>
      </c>
      <c r="T5454" s="308" t="s">
        <v>75</v>
      </c>
      <c r="U5454" s="308" t="s">
        <v>1509</v>
      </c>
      <c r="V5454" s="308"/>
    </row>
    <row r="5455">
      <c r="A5455" s="308">
        <v>5454.0</v>
      </c>
      <c r="B5455" s="308"/>
      <c r="C5455" s="308" t="s">
        <v>21924</v>
      </c>
      <c r="D5455" s="308">
        <f>IFERROR(__xludf.DUMMYFUNCTION("SPLIT(C5455,""-"")"),5475.0)</f>
        <v>5475</v>
      </c>
      <c r="E5455" s="308" t="str">
        <f>IFERROR(__xludf.DUMMYFUNCTION("""COMPUTED_VALUE"""),"P")</f>
        <v>P</v>
      </c>
      <c r="F5455" s="312" t="s">
        <v>37</v>
      </c>
      <c r="G5455" s="308"/>
      <c r="H5455" s="308" t="s">
        <v>21925</v>
      </c>
      <c r="I5455" s="310">
        <v>43367.0</v>
      </c>
      <c r="J5455" s="319">
        <f>IFERROR(__xludf.DUMMYFUNCTION("SPLIT(I5455,""/"")"),24.0)</f>
        <v>24</v>
      </c>
      <c r="K5455" s="308">
        <f>IFERROR(__xludf.DUMMYFUNCTION("""COMPUTED_VALUE"""),9.0)</f>
        <v>9</v>
      </c>
      <c r="L5455" s="308">
        <f>IFERROR(__xludf.DUMMYFUNCTION("""COMPUTED_VALUE"""),2018.0)</f>
        <v>2018</v>
      </c>
      <c r="M5455" s="308" t="s">
        <v>21926</v>
      </c>
      <c r="N5455" s="308"/>
      <c r="O5455" s="308"/>
      <c r="P5455" s="308" t="s">
        <v>21796</v>
      </c>
      <c r="Q5455" s="308" t="s">
        <v>38413</v>
      </c>
      <c r="R5455" s="308" t="s">
        <v>2743</v>
      </c>
      <c r="S5455" s="308" t="s">
        <v>81</v>
      </c>
      <c r="T5455" s="311" t="s">
        <v>51</v>
      </c>
      <c r="U5455" s="308" t="s">
        <v>143</v>
      </c>
      <c r="V5455" s="308"/>
    </row>
    <row r="5456">
      <c r="A5456" s="308">
        <v>5455.0</v>
      </c>
      <c r="B5456" s="308"/>
      <c r="C5456" s="308" t="s">
        <v>21927</v>
      </c>
      <c r="D5456" s="308">
        <f>IFERROR(__xludf.DUMMYFUNCTION("SPLIT(C5456,""-"")"),5476.0)</f>
        <v>5476</v>
      </c>
      <c r="E5456" s="308" t="str">
        <f>IFERROR(__xludf.DUMMYFUNCTION("""COMPUTED_VALUE"""),"F")</f>
        <v>F</v>
      </c>
      <c r="F5456" s="309" t="s">
        <v>34</v>
      </c>
      <c r="G5456" s="308"/>
      <c r="H5456" s="308" t="s">
        <v>21928</v>
      </c>
      <c r="I5456" s="310">
        <v>42645.0</v>
      </c>
      <c r="J5456" s="319">
        <f>IFERROR(__xludf.DUMMYFUNCTION("SPLIT(I5456,""/"")"),2.0)</f>
        <v>2</v>
      </c>
      <c r="K5456" s="308">
        <f>IFERROR(__xludf.DUMMYFUNCTION("""COMPUTED_VALUE"""),10.0)</f>
        <v>10</v>
      </c>
      <c r="L5456" s="308">
        <f>IFERROR(__xludf.DUMMYFUNCTION("""COMPUTED_VALUE"""),2016.0)</f>
        <v>2016</v>
      </c>
      <c r="M5456" s="308" t="s">
        <v>21929</v>
      </c>
      <c r="N5456" s="308"/>
      <c r="O5456" s="308"/>
      <c r="P5456" s="308" t="s">
        <v>21930</v>
      </c>
      <c r="Q5456" s="308" t="s">
        <v>38413</v>
      </c>
      <c r="R5456" s="308" t="s">
        <v>2743</v>
      </c>
      <c r="S5456" s="308" t="s">
        <v>81</v>
      </c>
      <c r="T5456" s="308" t="s">
        <v>34264</v>
      </c>
      <c r="U5456" s="308" t="s">
        <v>195</v>
      </c>
      <c r="V5456" s="308"/>
    </row>
    <row r="5457">
      <c r="A5457" s="308">
        <v>5456.0</v>
      </c>
      <c r="B5457" s="308"/>
      <c r="C5457" s="308" t="s">
        <v>21931</v>
      </c>
      <c r="D5457" s="308">
        <f>IFERROR(__xludf.DUMMYFUNCTION("SPLIT(C5457,""-"")"),5477.0)</f>
        <v>5477</v>
      </c>
      <c r="E5457" s="308" t="str">
        <f>IFERROR(__xludf.DUMMYFUNCTION("""COMPUTED_VALUE"""),"B")</f>
        <v>B</v>
      </c>
      <c r="F5457" s="315" t="s">
        <v>26</v>
      </c>
      <c r="G5457" s="308"/>
      <c r="H5457" s="308" t="s">
        <v>21932</v>
      </c>
      <c r="I5457" s="310">
        <v>42015.0</v>
      </c>
      <c r="J5457" s="319">
        <f>IFERROR(__xludf.DUMMYFUNCTION("SPLIT(I5457,""/"")"),11.0)</f>
        <v>11</v>
      </c>
      <c r="K5457" s="308">
        <f>IFERROR(__xludf.DUMMYFUNCTION("""COMPUTED_VALUE"""),1.0)</f>
        <v>1</v>
      </c>
      <c r="L5457" s="308">
        <f>IFERROR(__xludf.DUMMYFUNCTION("""COMPUTED_VALUE"""),2015.0)</f>
        <v>2015</v>
      </c>
      <c r="M5457" s="308" t="s">
        <v>21933</v>
      </c>
      <c r="N5457" s="308"/>
      <c r="O5457" s="308"/>
      <c r="P5457" s="308" t="s">
        <v>11049</v>
      </c>
      <c r="Q5457" s="308" t="s">
        <v>38415</v>
      </c>
      <c r="R5457" s="308" t="s">
        <v>2743</v>
      </c>
      <c r="S5457" s="315" t="s">
        <v>100</v>
      </c>
      <c r="T5457" s="311" t="s">
        <v>34208</v>
      </c>
      <c r="U5457" s="308" t="s">
        <v>27</v>
      </c>
      <c r="V5457" s="308"/>
    </row>
    <row r="5458">
      <c r="A5458" s="308">
        <v>5457.0</v>
      </c>
      <c r="B5458" s="308"/>
      <c r="C5458" s="308" t="s">
        <v>21934</v>
      </c>
      <c r="D5458" s="308">
        <f>IFERROR(__xludf.DUMMYFUNCTION("SPLIT(C5458,""-"")"),5478.0)</f>
        <v>5478</v>
      </c>
      <c r="E5458" s="308" t="str">
        <f>IFERROR(__xludf.DUMMYFUNCTION("""COMPUTED_VALUE"""),"S")</f>
        <v>S</v>
      </c>
      <c r="F5458" s="312" t="s">
        <v>39</v>
      </c>
      <c r="G5458" s="308"/>
      <c r="H5458" s="308" t="s">
        <v>21935</v>
      </c>
      <c r="I5458" s="314">
        <v>43384.0</v>
      </c>
      <c r="J5458" s="319">
        <f>IFERROR(__xludf.DUMMYFUNCTION("SPLIT(I5458,""/"")"),11.0)</f>
        <v>11</v>
      </c>
      <c r="K5458" s="308">
        <f>IFERROR(__xludf.DUMMYFUNCTION("""COMPUTED_VALUE"""),10.0)</f>
        <v>10</v>
      </c>
      <c r="L5458" s="308">
        <f>IFERROR(__xludf.DUMMYFUNCTION("""COMPUTED_VALUE"""),2018.0)</f>
        <v>2018</v>
      </c>
      <c r="M5458" s="308" t="s">
        <v>21936</v>
      </c>
      <c r="N5458" s="308"/>
      <c r="O5458" s="308"/>
      <c r="P5458" s="308" t="s">
        <v>38416</v>
      </c>
      <c r="Q5458" s="308" t="s">
        <v>38417</v>
      </c>
      <c r="R5458" s="308" t="s">
        <v>2743</v>
      </c>
      <c r="S5458" s="308" t="s">
        <v>81</v>
      </c>
      <c r="T5458" s="308" t="s">
        <v>75</v>
      </c>
      <c r="U5458" s="308" t="s">
        <v>166</v>
      </c>
      <c r="V5458" s="308"/>
    </row>
    <row r="5459">
      <c r="A5459" s="308">
        <v>5458.0</v>
      </c>
      <c r="B5459" s="308"/>
      <c r="C5459" s="308" t="s">
        <v>21938</v>
      </c>
      <c r="D5459" s="308">
        <f>IFERROR(__xludf.DUMMYFUNCTION("SPLIT(C5459,""-"")"),5479.0)</f>
        <v>5479</v>
      </c>
      <c r="E5459" s="308" t="str">
        <f>IFERROR(__xludf.DUMMYFUNCTION("""COMPUTED_VALUE"""),"K")</f>
        <v>K</v>
      </c>
      <c r="F5459" s="309" t="s">
        <v>34</v>
      </c>
      <c r="G5459" s="308"/>
      <c r="H5459" s="308" t="s">
        <v>21939</v>
      </c>
      <c r="I5459" s="310">
        <v>42443.0</v>
      </c>
      <c r="J5459" s="319">
        <f>IFERROR(__xludf.DUMMYFUNCTION("SPLIT(I5459,""/"")"),14.0)</f>
        <v>14</v>
      </c>
      <c r="K5459" s="308">
        <f>IFERROR(__xludf.DUMMYFUNCTION("""COMPUTED_VALUE"""),3.0)</f>
        <v>3</v>
      </c>
      <c r="L5459" s="308">
        <f>IFERROR(__xludf.DUMMYFUNCTION("""COMPUTED_VALUE"""),2016.0)</f>
        <v>2016</v>
      </c>
      <c r="M5459" s="308" t="s">
        <v>21940</v>
      </c>
      <c r="N5459" s="308"/>
      <c r="O5459" s="308"/>
      <c r="P5459" s="308" t="s">
        <v>5679</v>
      </c>
      <c r="Q5459" s="308" t="s">
        <v>38417</v>
      </c>
      <c r="R5459" s="308" t="s">
        <v>2743</v>
      </c>
      <c r="S5459" s="315" t="s">
        <v>100</v>
      </c>
      <c r="T5459" s="311" t="s">
        <v>34208</v>
      </c>
      <c r="U5459" s="308" t="s">
        <v>542</v>
      </c>
      <c r="V5459" s="308"/>
    </row>
    <row r="5460">
      <c r="A5460" s="308">
        <v>5459.0</v>
      </c>
      <c r="B5460" s="308"/>
      <c r="C5460" s="308" t="s">
        <v>21941</v>
      </c>
      <c r="D5460" s="308">
        <f>IFERROR(__xludf.DUMMYFUNCTION("SPLIT(C5460,""-"")"),5480.0)</f>
        <v>5480</v>
      </c>
      <c r="E5460" s="308" t="str">
        <f>IFERROR(__xludf.DUMMYFUNCTION("""COMPUTED_VALUE"""),"K")</f>
        <v>K</v>
      </c>
      <c r="F5460" s="309" t="s">
        <v>34</v>
      </c>
      <c r="G5460" s="308"/>
      <c r="H5460" s="308" t="s">
        <v>21942</v>
      </c>
      <c r="I5460" s="310">
        <v>39596.0</v>
      </c>
      <c r="J5460" s="319">
        <f>IFERROR(__xludf.DUMMYFUNCTION("SPLIT(I5460,""/"")"),28.0)</f>
        <v>28</v>
      </c>
      <c r="K5460" s="308">
        <f>IFERROR(__xludf.DUMMYFUNCTION("""COMPUTED_VALUE"""),5.0)</f>
        <v>5</v>
      </c>
      <c r="L5460" s="308">
        <f>IFERROR(__xludf.DUMMYFUNCTION("""COMPUTED_VALUE"""),2008.0)</f>
        <v>2008</v>
      </c>
      <c r="M5460" s="308" t="s">
        <v>21943</v>
      </c>
      <c r="N5460" s="308"/>
      <c r="O5460" s="308" t="s">
        <v>38418</v>
      </c>
      <c r="P5460" s="308" t="s">
        <v>5679</v>
      </c>
      <c r="Q5460" s="308" t="s">
        <v>38417</v>
      </c>
      <c r="R5460" s="308" t="s">
        <v>2743</v>
      </c>
      <c r="S5460" s="315" t="s">
        <v>100</v>
      </c>
      <c r="T5460" s="311" t="s">
        <v>34208</v>
      </c>
      <c r="U5460" s="308" t="s">
        <v>530</v>
      </c>
      <c r="V5460" s="308"/>
    </row>
    <row r="5461">
      <c r="A5461" s="308">
        <v>5460.0</v>
      </c>
      <c r="B5461" s="308"/>
      <c r="C5461" s="308" t="s">
        <v>21945</v>
      </c>
      <c r="D5461" s="308">
        <f>IFERROR(__xludf.DUMMYFUNCTION("SPLIT(C5461,""-"")"),5481.0)</f>
        <v>5481</v>
      </c>
      <c r="E5461" s="308" t="str">
        <f>IFERROR(__xludf.DUMMYFUNCTION("""COMPUTED_VALUE"""),"K")</f>
        <v>K</v>
      </c>
      <c r="F5461" s="309" t="s">
        <v>34</v>
      </c>
      <c r="G5461" s="308"/>
      <c r="H5461" s="308" t="s">
        <v>21946</v>
      </c>
      <c r="I5461" s="310">
        <v>40228.0</v>
      </c>
      <c r="J5461" s="319">
        <f>IFERROR(__xludf.DUMMYFUNCTION("SPLIT(I5461,""/"")"),19.0)</f>
        <v>19</v>
      </c>
      <c r="K5461" s="308">
        <f>IFERROR(__xludf.DUMMYFUNCTION("""COMPUTED_VALUE"""),2.0)</f>
        <v>2</v>
      </c>
      <c r="L5461" s="308">
        <f>IFERROR(__xludf.DUMMYFUNCTION("""COMPUTED_VALUE"""),2010.0)</f>
        <v>2010</v>
      </c>
      <c r="M5461" s="308" t="s">
        <v>21947</v>
      </c>
      <c r="N5461" s="308"/>
      <c r="O5461" s="308"/>
      <c r="P5461" s="308" t="s">
        <v>5679</v>
      </c>
      <c r="Q5461" s="308" t="s">
        <v>38417</v>
      </c>
      <c r="R5461" s="308" t="s">
        <v>2743</v>
      </c>
      <c r="S5461" s="315" t="s">
        <v>100</v>
      </c>
      <c r="T5461" s="311" t="s">
        <v>34208</v>
      </c>
      <c r="U5461" s="308" t="s">
        <v>2989</v>
      </c>
      <c r="V5461" s="308"/>
    </row>
    <row r="5462">
      <c r="A5462" s="308">
        <v>5461.0</v>
      </c>
      <c r="B5462" s="308"/>
      <c r="C5462" s="308" t="s">
        <v>21948</v>
      </c>
      <c r="D5462" s="308">
        <f>IFERROR(__xludf.DUMMYFUNCTION("SPLIT(C5462,""-"")"),5482.0)</f>
        <v>5482</v>
      </c>
      <c r="E5462" s="308" t="str">
        <f>IFERROR(__xludf.DUMMYFUNCTION("""COMPUTED_VALUE"""),"F")</f>
        <v>F</v>
      </c>
      <c r="F5462" s="309" t="s">
        <v>34</v>
      </c>
      <c r="G5462" s="308"/>
      <c r="H5462" s="308" t="s">
        <v>21949</v>
      </c>
      <c r="I5462" s="310">
        <v>42566.0</v>
      </c>
      <c r="J5462" s="319">
        <f>IFERROR(__xludf.DUMMYFUNCTION("SPLIT(I5462,""/"")"),15.0)</f>
        <v>15</v>
      </c>
      <c r="K5462" s="308">
        <f>IFERROR(__xludf.DUMMYFUNCTION("""COMPUTED_VALUE"""),7.0)</f>
        <v>7</v>
      </c>
      <c r="L5462" s="308">
        <f>IFERROR(__xludf.DUMMYFUNCTION("""COMPUTED_VALUE"""),2016.0)</f>
        <v>2016</v>
      </c>
      <c r="M5462" s="308" t="s">
        <v>38419</v>
      </c>
      <c r="N5462" s="308"/>
      <c r="O5462" s="308"/>
      <c r="P5462" s="308" t="s">
        <v>6393</v>
      </c>
      <c r="Q5462" s="308" t="s">
        <v>38417</v>
      </c>
      <c r="R5462" s="308" t="s">
        <v>2743</v>
      </c>
      <c r="S5462" s="315" t="s">
        <v>100</v>
      </c>
      <c r="T5462" s="311" t="s">
        <v>34208</v>
      </c>
      <c r="U5462" s="308" t="s">
        <v>195</v>
      </c>
      <c r="V5462" s="308"/>
    </row>
    <row r="5463">
      <c r="A5463" s="308">
        <v>5462.0</v>
      </c>
      <c r="B5463" s="308"/>
      <c r="C5463" s="308" t="s">
        <v>21951</v>
      </c>
      <c r="D5463" s="308">
        <f>IFERROR(__xludf.DUMMYFUNCTION("SPLIT(C5463,""-"")"),5483.0)</f>
        <v>5483</v>
      </c>
      <c r="E5463" s="308" t="str">
        <f>IFERROR(__xludf.DUMMYFUNCTION("""COMPUTED_VALUE"""),"K")</f>
        <v>K</v>
      </c>
      <c r="F5463" s="309" t="s">
        <v>34</v>
      </c>
      <c r="G5463" s="308"/>
      <c r="H5463" s="308" t="s">
        <v>21952</v>
      </c>
      <c r="I5463" s="310">
        <v>39995.0</v>
      </c>
      <c r="J5463" s="319">
        <f>IFERROR(__xludf.DUMMYFUNCTION("SPLIT(I5463,""/"")"),1.0)</f>
        <v>1</v>
      </c>
      <c r="K5463" s="308">
        <f>IFERROR(__xludf.DUMMYFUNCTION("""COMPUTED_VALUE"""),7.0)</f>
        <v>7</v>
      </c>
      <c r="L5463" s="308">
        <f>IFERROR(__xludf.DUMMYFUNCTION("""COMPUTED_VALUE"""),2009.0)</f>
        <v>2009</v>
      </c>
      <c r="M5463" s="308" t="s">
        <v>21953</v>
      </c>
      <c r="N5463" s="308"/>
      <c r="O5463" s="308"/>
      <c r="P5463" s="308" t="s">
        <v>8033</v>
      </c>
      <c r="Q5463" s="308" t="s">
        <v>38420</v>
      </c>
      <c r="R5463" s="308" t="s">
        <v>2743</v>
      </c>
      <c r="S5463" s="315" t="s">
        <v>100</v>
      </c>
      <c r="T5463" s="311" t="s">
        <v>34208</v>
      </c>
      <c r="U5463" s="308" t="s">
        <v>201</v>
      </c>
      <c r="V5463" s="308"/>
    </row>
    <row r="5464">
      <c r="A5464" s="308">
        <v>5463.0</v>
      </c>
      <c r="B5464" s="308"/>
      <c r="C5464" s="308" t="s">
        <v>21954</v>
      </c>
      <c r="D5464" s="308">
        <f>IFERROR(__xludf.DUMMYFUNCTION("SPLIT(C5464,""-"")"),5484.0)</f>
        <v>5484</v>
      </c>
      <c r="E5464" s="308" t="str">
        <f>IFERROR(__xludf.DUMMYFUNCTION("""COMPUTED_VALUE"""),"K")</f>
        <v>K</v>
      </c>
      <c r="F5464" s="309" t="s">
        <v>34</v>
      </c>
      <c r="G5464" s="308"/>
      <c r="H5464" s="308" t="s">
        <v>21955</v>
      </c>
      <c r="I5464" s="316" t="s">
        <v>407</v>
      </c>
      <c r="J5464" s="319"/>
      <c r="K5464" s="308"/>
      <c r="L5464" s="311" t="s">
        <v>79</v>
      </c>
      <c r="M5464" s="308" t="s">
        <v>21953</v>
      </c>
      <c r="N5464" s="308"/>
      <c r="O5464" s="308"/>
      <c r="P5464" s="308" t="s">
        <v>8033</v>
      </c>
      <c r="Q5464" s="308" t="s">
        <v>38420</v>
      </c>
      <c r="R5464" s="308" t="s">
        <v>2743</v>
      </c>
      <c r="S5464" s="315" t="s">
        <v>100</v>
      </c>
      <c r="T5464" s="311" t="s">
        <v>34208</v>
      </c>
      <c r="U5464" s="308" t="s">
        <v>201</v>
      </c>
      <c r="V5464" s="308"/>
    </row>
    <row r="5465">
      <c r="A5465" s="308">
        <v>5464.0</v>
      </c>
      <c r="B5465" s="308"/>
      <c r="C5465" s="308" t="s">
        <v>21956</v>
      </c>
      <c r="D5465" s="308">
        <f>IFERROR(__xludf.DUMMYFUNCTION("SPLIT(C5465,""-"")"),5485.0)</f>
        <v>5485</v>
      </c>
      <c r="E5465" s="308" t="str">
        <f>IFERROR(__xludf.DUMMYFUNCTION("""COMPUTED_VALUE"""),"F")</f>
        <v>F</v>
      </c>
      <c r="F5465" s="309" t="s">
        <v>34</v>
      </c>
      <c r="G5465" s="308"/>
      <c r="H5465" s="308" t="s">
        <v>21957</v>
      </c>
      <c r="I5465" s="310">
        <v>41456.0</v>
      </c>
      <c r="J5465" s="319">
        <f>IFERROR(__xludf.DUMMYFUNCTION("SPLIT(I5465,""/"")"),1.0)</f>
        <v>1</v>
      </c>
      <c r="K5465" s="308">
        <f>IFERROR(__xludf.DUMMYFUNCTION("""COMPUTED_VALUE"""),7.0)</f>
        <v>7</v>
      </c>
      <c r="L5465" s="308">
        <f>IFERROR(__xludf.DUMMYFUNCTION("""COMPUTED_VALUE"""),2013.0)</f>
        <v>2013</v>
      </c>
      <c r="M5465" s="308" t="s">
        <v>21958</v>
      </c>
      <c r="N5465" s="308"/>
      <c r="O5465" s="308"/>
      <c r="P5465" s="308" t="s">
        <v>38421</v>
      </c>
      <c r="Q5465" s="308" t="s">
        <v>38422</v>
      </c>
      <c r="R5465" s="308" t="s">
        <v>2743</v>
      </c>
      <c r="S5465" s="308" t="s">
        <v>81</v>
      </c>
      <c r="T5465" s="308" t="s">
        <v>34264</v>
      </c>
      <c r="U5465" s="308" t="s">
        <v>195</v>
      </c>
      <c r="V5465" s="308"/>
    </row>
    <row r="5466">
      <c r="A5466" s="308">
        <v>5465.0</v>
      </c>
      <c r="B5466" s="308"/>
      <c r="C5466" s="308" t="s">
        <v>21960</v>
      </c>
      <c r="D5466" s="308">
        <f>IFERROR(__xludf.DUMMYFUNCTION("SPLIT(C5466,""-"")"),5486.0)</f>
        <v>5486</v>
      </c>
      <c r="E5466" s="308" t="str">
        <f>IFERROR(__xludf.DUMMYFUNCTION("""COMPUTED_VALUE"""),"K")</f>
        <v>K</v>
      </c>
      <c r="F5466" s="309" t="s">
        <v>34</v>
      </c>
      <c r="G5466" s="308"/>
      <c r="H5466" s="308" t="s">
        <v>21961</v>
      </c>
      <c r="I5466" s="310">
        <v>40046.0</v>
      </c>
      <c r="J5466" s="319">
        <f>IFERROR(__xludf.DUMMYFUNCTION("SPLIT(I5466,""/"")"),21.0)</f>
        <v>21</v>
      </c>
      <c r="K5466" s="308">
        <f>IFERROR(__xludf.DUMMYFUNCTION("""COMPUTED_VALUE"""),8.0)</f>
        <v>8</v>
      </c>
      <c r="L5466" s="308">
        <f>IFERROR(__xludf.DUMMYFUNCTION("""COMPUTED_VALUE"""),2009.0)</f>
        <v>2009</v>
      </c>
      <c r="M5466" s="308" t="s">
        <v>21962</v>
      </c>
      <c r="N5466" s="308" t="s">
        <v>3183</v>
      </c>
      <c r="O5466" s="308" t="s">
        <v>3184</v>
      </c>
      <c r="P5466" s="308" t="s">
        <v>5679</v>
      </c>
      <c r="Q5466" s="308" t="s">
        <v>38422</v>
      </c>
      <c r="R5466" s="308" t="s">
        <v>2743</v>
      </c>
      <c r="S5466" s="315" t="s">
        <v>100</v>
      </c>
      <c r="T5466" s="311" t="s">
        <v>34208</v>
      </c>
      <c r="U5466" s="308" t="s">
        <v>2152</v>
      </c>
      <c r="V5466" s="308"/>
    </row>
    <row r="5467">
      <c r="A5467" s="308">
        <v>5466.0</v>
      </c>
      <c r="B5467" s="308"/>
      <c r="C5467" s="308" t="s">
        <v>21963</v>
      </c>
      <c r="D5467" s="308">
        <f>IFERROR(__xludf.DUMMYFUNCTION("SPLIT(C5467,""-"")"),5487.0)</f>
        <v>5487</v>
      </c>
      <c r="E5467" s="308" t="str">
        <f>IFERROR(__xludf.DUMMYFUNCTION("""COMPUTED_VALUE"""),"K")</f>
        <v>K</v>
      </c>
      <c r="F5467" s="309" t="s">
        <v>34</v>
      </c>
      <c r="G5467" s="308"/>
      <c r="H5467" s="308" t="s">
        <v>21964</v>
      </c>
      <c r="I5467" s="310">
        <v>42503.0</v>
      </c>
      <c r="J5467" s="319">
        <f>IFERROR(__xludf.DUMMYFUNCTION("SPLIT(I5467,""/"")"),13.0)</f>
        <v>13</v>
      </c>
      <c r="K5467" s="308">
        <f>IFERROR(__xludf.DUMMYFUNCTION("""COMPUTED_VALUE"""),5.0)</f>
        <v>5</v>
      </c>
      <c r="L5467" s="308">
        <f>IFERROR(__xludf.DUMMYFUNCTION("""COMPUTED_VALUE"""),2016.0)</f>
        <v>2016</v>
      </c>
      <c r="M5467" s="308" t="s">
        <v>21965</v>
      </c>
      <c r="N5467" s="308"/>
      <c r="O5467" s="308"/>
      <c r="P5467" s="308" t="s">
        <v>5679</v>
      </c>
      <c r="Q5467" s="308" t="s">
        <v>38423</v>
      </c>
      <c r="R5467" s="308" t="s">
        <v>2743</v>
      </c>
      <c r="S5467" s="315" t="s">
        <v>100</v>
      </c>
      <c r="T5467" s="311" t="s">
        <v>34208</v>
      </c>
      <c r="U5467" s="308" t="s">
        <v>125</v>
      </c>
      <c r="V5467" s="308"/>
    </row>
    <row r="5468">
      <c r="A5468" s="308">
        <v>5467.0</v>
      </c>
      <c r="B5468" s="308"/>
      <c r="C5468" s="308" t="s">
        <v>21966</v>
      </c>
      <c r="D5468" s="308" t="str">
        <f>IFERROR(__xludf.DUMMYFUNCTION("SPLIT(C5468,""-"")"),"#REF!")</f>
        <v>#REF!</v>
      </c>
      <c r="E5468" s="311"/>
      <c r="F5468" s="317" t="s">
        <v>39</v>
      </c>
      <c r="G5468" s="308"/>
      <c r="H5468" s="308" t="s">
        <v>21967</v>
      </c>
      <c r="I5468" s="310">
        <v>40360.0</v>
      </c>
      <c r="J5468" s="319">
        <f>IFERROR(__xludf.DUMMYFUNCTION("SPLIT(I5468,""/"")"),1.0)</f>
        <v>1</v>
      </c>
      <c r="K5468" s="308">
        <f>IFERROR(__xludf.DUMMYFUNCTION("""COMPUTED_VALUE"""),7.0)</f>
        <v>7</v>
      </c>
      <c r="L5468" s="308">
        <f>IFERROR(__xludf.DUMMYFUNCTION("""COMPUTED_VALUE"""),2010.0)</f>
        <v>2010</v>
      </c>
      <c r="M5468" s="308" t="s">
        <v>21968</v>
      </c>
      <c r="N5468" s="308"/>
      <c r="O5468" s="308"/>
      <c r="P5468" s="308" t="s">
        <v>5653</v>
      </c>
      <c r="Q5468" s="308" t="s">
        <v>38423</v>
      </c>
      <c r="R5468" s="308" t="s">
        <v>2743</v>
      </c>
      <c r="S5468" s="315" t="s">
        <v>100</v>
      </c>
      <c r="T5468" s="311" t="s">
        <v>34208</v>
      </c>
      <c r="U5468" s="308" t="s">
        <v>166</v>
      </c>
      <c r="V5468" s="308"/>
    </row>
    <row r="5469">
      <c r="A5469" s="308">
        <v>5468.0</v>
      </c>
      <c r="B5469" s="308"/>
      <c r="C5469" s="308" t="s">
        <v>21969</v>
      </c>
      <c r="D5469" s="308">
        <f>IFERROR(__xludf.DUMMYFUNCTION("SPLIT(C5469,""-"")"),5489.0)</f>
        <v>5489</v>
      </c>
      <c r="E5469" s="308" t="str">
        <f>IFERROR(__xludf.DUMMYFUNCTION("""COMPUTED_VALUE"""),"F")</f>
        <v>F</v>
      </c>
      <c r="F5469" s="309" t="s">
        <v>34</v>
      </c>
      <c r="G5469" s="308"/>
      <c r="H5469" s="308" t="s">
        <v>21970</v>
      </c>
      <c r="I5469" s="310">
        <v>41027.0</v>
      </c>
      <c r="J5469" s="319">
        <f>IFERROR(__xludf.DUMMYFUNCTION("SPLIT(I5469,""/"")"),28.0)</f>
        <v>28</v>
      </c>
      <c r="K5469" s="308">
        <f>IFERROR(__xludf.DUMMYFUNCTION("""COMPUTED_VALUE"""),4.0)</f>
        <v>4</v>
      </c>
      <c r="L5469" s="308">
        <f>IFERROR(__xludf.DUMMYFUNCTION("""COMPUTED_VALUE"""),2012.0)</f>
        <v>2012</v>
      </c>
      <c r="M5469" s="308" t="s">
        <v>21971</v>
      </c>
      <c r="N5469" s="308"/>
      <c r="O5469" s="308"/>
      <c r="P5469" s="308" t="s">
        <v>6393</v>
      </c>
      <c r="Q5469" s="308" t="s">
        <v>38423</v>
      </c>
      <c r="R5469" s="308" t="s">
        <v>2743</v>
      </c>
      <c r="S5469" s="315" t="s">
        <v>100</v>
      </c>
      <c r="T5469" s="311" t="s">
        <v>34208</v>
      </c>
      <c r="U5469" s="308" t="s">
        <v>195</v>
      </c>
      <c r="V5469" s="308"/>
    </row>
    <row r="5470">
      <c r="A5470" s="308">
        <v>5469.0</v>
      </c>
      <c r="B5470" s="308"/>
      <c r="C5470" s="308" t="s">
        <v>21972</v>
      </c>
      <c r="D5470" s="308">
        <f>IFERROR(__xludf.DUMMYFUNCTION("SPLIT(C5470,""-"")"),5490.0)</f>
        <v>5490</v>
      </c>
      <c r="E5470" s="308" t="str">
        <f>IFERROR(__xludf.DUMMYFUNCTION("""COMPUTED_VALUE"""),"K")</f>
        <v>K</v>
      </c>
      <c r="F5470" s="309" t="s">
        <v>34</v>
      </c>
      <c r="G5470" s="308"/>
      <c r="H5470" s="308" t="s">
        <v>21973</v>
      </c>
      <c r="I5470" s="314">
        <v>40468.0</v>
      </c>
      <c r="J5470" s="319">
        <f>IFERROR(__xludf.DUMMYFUNCTION("SPLIT(I5470,""/"")"),17.0)</f>
        <v>17</v>
      </c>
      <c r="K5470" s="308">
        <f>IFERROR(__xludf.DUMMYFUNCTION("""COMPUTED_VALUE"""),10.0)</f>
        <v>10</v>
      </c>
      <c r="L5470" s="308">
        <f>IFERROR(__xludf.DUMMYFUNCTION("""COMPUTED_VALUE"""),2010.0)</f>
        <v>2010</v>
      </c>
      <c r="M5470" s="308" t="s">
        <v>21974</v>
      </c>
      <c r="N5470" s="308"/>
      <c r="O5470" s="308"/>
      <c r="P5470" s="308" t="s">
        <v>21975</v>
      </c>
      <c r="Q5470" s="308" t="s">
        <v>38423</v>
      </c>
      <c r="R5470" s="308" t="s">
        <v>2743</v>
      </c>
      <c r="S5470" s="308" t="s">
        <v>49</v>
      </c>
      <c r="T5470" s="308" t="s">
        <v>51</v>
      </c>
      <c r="U5470" s="308" t="s">
        <v>2989</v>
      </c>
      <c r="V5470" s="308"/>
    </row>
    <row r="5471">
      <c r="A5471" s="308">
        <v>5470.0</v>
      </c>
      <c r="B5471" s="308"/>
      <c r="C5471" s="308" t="s">
        <v>21976</v>
      </c>
      <c r="D5471" s="308">
        <f>IFERROR(__xludf.DUMMYFUNCTION("SPLIT(C5471,""-"")"),5491.0)</f>
        <v>5491</v>
      </c>
      <c r="E5471" s="308" t="str">
        <f>IFERROR(__xludf.DUMMYFUNCTION("""COMPUTED_VALUE"""),"F")</f>
        <v>F</v>
      </c>
      <c r="F5471" s="309" t="s">
        <v>34</v>
      </c>
      <c r="G5471" s="308"/>
      <c r="H5471" s="308" t="s">
        <v>21977</v>
      </c>
      <c r="I5471" s="310">
        <v>42023.0</v>
      </c>
      <c r="J5471" s="319">
        <f>IFERROR(__xludf.DUMMYFUNCTION("SPLIT(I5471,""/"")"),19.0)</f>
        <v>19</v>
      </c>
      <c r="K5471" s="308">
        <f>IFERROR(__xludf.DUMMYFUNCTION("""COMPUTED_VALUE"""),1.0)</f>
        <v>1</v>
      </c>
      <c r="L5471" s="308">
        <f>IFERROR(__xludf.DUMMYFUNCTION("""COMPUTED_VALUE"""),2015.0)</f>
        <v>2015</v>
      </c>
      <c r="M5471" s="308" t="s">
        <v>21978</v>
      </c>
      <c r="N5471" s="308" t="s">
        <v>38424</v>
      </c>
      <c r="O5471" s="308"/>
      <c r="P5471" s="308" t="s">
        <v>6393</v>
      </c>
      <c r="Q5471" s="308" t="s">
        <v>38423</v>
      </c>
      <c r="R5471" s="308" t="s">
        <v>2743</v>
      </c>
      <c r="S5471" s="315" t="s">
        <v>100</v>
      </c>
      <c r="T5471" s="311" t="s">
        <v>34208</v>
      </c>
      <c r="U5471" s="308" t="s">
        <v>6875</v>
      </c>
      <c r="V5471" s="308"/>
    </row>
    <row r="5472">
      <c r="A5472" s="308">
        <v>5471.0</v>
      </c>
      <c r="B5472" s="308"/>
      <c r="C5472" s="308" t="s">
        <v>21980</v>
      </c>
      <c r="D5472" s="308">
        <f>IFERROR(__xludf.DUMMYFUNCTION("SPLIT(C5472,""-"")"),5492.0)</f>
        <v>5492</v>
      </c>
      <c r="E5472" s="308" t="str">
        <f>IFERROR(__xludf.DUMMYFUNCTION("""COMPUTED_VALUE"""),"K")</f>
        <v>K</v>
      </c>
      <c r="F5472" s="309" t="s">
        <v>34</v>
      </c>
      <c r="G5472" s="308"/>
      <c r="H5472" s="308" t="s">
        <v>7111</v>
      </c>
      <c r="I5472" s="310">
        <v>43324.0</v>
      </c>
      <c r="J5472" s="319">
        <f>IFERROR(__xludf.DUMMYFUNCTION("SPLIT(I5472,""/"")"),12.0)</f>
        <v>12</v>
      </c>
      <c r="K5472" s="308">
        <f>IFERROR(__xludf.DUMMYFUNCTION("""COMPUTED_VALUE"""),8.0)</f>
        <v>8</v>
      </c>
      <c r="L5472" s="308">
        <f>IFERROR(__xludf.DUMMYFUNCTION("""COMPUTED_VALUE"""),2018.0)</f>
        <v>2018</v>
      </c>
      <c r="M5472" s="308" t="s">
        <v>21981</v>
      </c>
      <c r="N5472" s="308"/>
      <c r="O5472" s="308"/>
      <c r="P5472" s="308" t="s">
        <v>38425</v>
      </c>
      <c r="Q5472" s="308" t="s">
        <v>38423</v>
      </c>
      <c r="R5472" s="308" t="s">
        <v>2743</v>
      </c>
      <c r="S5472" s="308" t="s">
        <v>81</v>
      </c>
      <c r="T5472" s="308" t="s">
        <v>75</v>
      </c>
      <c r="U5472" s="308" t="s">
        <v>542</v>
      </c>
      <c r="V5472" s="308"/>
    </row>
    <row r="5473">
      <c r="A5473" s="308">
        <v>5472.0</v>
      </c>
      <c r="B5473" s="308"/>
      <c r="C5473" s="308" t="s">
        <v>21983</v>
      </c>
      <c r="D5473" s="308">
        <f>IFERROR(__xludf.DUMMYFUNCTION("SPLIT(C5473,""-"")"),5493.0)</f>
        <v>5493</v>
      </c>
      <c r="E5473" s="308" t="str">
        <f>IFERROR(__xludf.DUMMYFUNCTION("""COMPUTED_VALUE"""),"P")</f>
        <v>P</v>
      </c>
      <c r="F5473" s="312" t="s">
        <v>37</v>
      </c>
      <c r="G5473" s="308"/>
      <c r="H5473" s="308" t="s">
        <v>21984</v>
      </c>
      <c r="I5473" s="310">
        <v>43195.0</v>
      </c>
      <c r="J5473" s="319">
        <f>IFERROR(__xludf.DUMMYFUNCTION("SPLIT(I5473,""/"")"),5.0)</f>
        <v>5</v>
      </c>
      <c r="K5473" s="308">
        <f>IFERROR(__xludf.DUMMYFUNCTION("""COMPUTED_VALUE"""),4.0)</f>
        <v>4</v>
      </c>
      <c r="L5473" s="308">
        <f>IFERROR(__xludf.DUMMYFUNCTION("""COMPUTED_VALUE"""),2018.0)</f>
        <v>2018</v>
      </c>
      <c r="M5473" s="308" t="s">
        <v>21985</v>
      </c>
      <c r="N5473" s="308"/>
      <c r="O5473" s="308" t="s">
        <v>21986</v>
      </c>
      <c r="P5473" s="308" t="s">
        <v>21987</v>
      </c>
      <c r="Q5473" s="308" t="s">
        <v>38423</v>
      </c>
      <c r="R5473" s="308" t="s">
        <v>2743</v>
      </c>
      <c r="S5473" s="308" t="s">
        <v>81</v>
      </c>
      <c r="T5473" s="311" t="s">
        <v>51</v>
      </c>
      <c r="U5473" s="308" t="s">
        <v>4001</v>
      </c>
      <c r="V5473" s="308"/>
    </row>
    <row r="5474">
      <c r="A5474" s="308">
        <v>5473.0</v>
      </c>
      <c r="B5474" s="308"/>
      <c r="C5474" s="308" t="s">
        <v>21988</v>
      </c>
      <c r="D5474" s="308">
        <f>IFERROR(__xludf.DUMMYFUNCTION("SPLIT(C5474,""-"")"),5494.0)</f>
        <v>5494</v>
      </c>
      <c r="E5474" s="308" t="str">
        <f>IFERROR(__xludf.DUMMYFUNCTION("""COMPUTED_VALUE"""),"K")</f>
        <v>K</v>
      </c>
      <c r="F5474" s="309" t="s">
        <v>34</v>
      </c>
      <c r="G5474" s="308"/>
      <c r="H5474" s="308" t="s">
        <v>21989</v>
      </c>
      <c r="I5474" s="310">
        <v>39995.0</v>
      </c>
      <c r="J5474" s="319">
        <f>IFERROR(__xludf.DUMMYFUNCTION("SPLIT(I5474,""/"")"),1.0)</f>
        <v>1</v>
      </c>
      <c r="K5474" s="308">
        <f>IFERROR(__xludf.DUMMYFUNCTION("""COMPUTED_VALUE"""),7.0)</f>
        <v>7</v>
      </c>
      <c r="L5474" s="308">
        <f>IFERROR(__xludf.DUMMYFUNCTION("""COMPUTED_VALUE"""),2009.0)</f>
        <v>2009</v>
      </c>
      <c r="M5474" s="308" t="s">
        <v>21990</v>
      </c>
      <c r="N5474" s="308"/>
      <c r="O5474" s="308"/>
      <c r="P5474" s="308" t="s">
        <v>5679</v>
      </c>
      <c r="Q5474" s="308" t="s">
        <v>38426</v>
      </c>
      <c r="R5474" s="308" t="s">
        <v>2743</v>
      </c>
      <c r="S5474" s="315" t="s">
        <v>100</v>
      </c>
      <c r="T5474" s="311" t="s">
        <v>34208</v>
      </c>
      <c r="U5474" s="308" t="s">
        <v>530</v>
      </c>
      <c r="V5474" s="308"/>
    </row>
    <row r="5475">
      <c r="A5475" s="308">
        <v>5474.0</v>
      </c>
      <c r="B5475" s="308"/>
      <c r="C5475" s="308" t="s">
        <v>21991</v>
      </c>
      <c r="D5475" s="308">
        <f>IFERROR(__xludf.DUMMYFUNCTION("SPLIT(C5475,""-"")"),5495.0)</f>
        <v>5495</v>
      </c>
      <c r="E5475" s="308" t="str">
        <f>IFERROR(__xludf.DUMMYFUNCTION("""COMPUTED_VALUE"""),"K")</f>
        <v>K</v>
      </c>
      <c r="F5475" s="309" t="s">
        <v>34</v>
      </c>
      <c r="G5475" s="308"/>
      <c r="H5475" s="308" t="s">
        <v>21992</v>
      </c>
      <c r="I5475" s="310">
        <v>42797.0</v>
      </c>
      <c r="J5475" s="319" t="str">
        <f>IFERROR(__xludf.DUMMYFUNCTION("SPLIT(I5475,""/"")"),"#REF!")</f>
        <v>#REF!</v>
      </c>
      <c r="K5475" s="308"/>
      <c r="L5475" s="308">
        <v>2017.0</v>
      </c>
      <c r="M5475" s="308" t="s">
        <v>21993</v>
      </c>
      <c r="N5475" s="308"/>
      <c r="O5475" s="308"/>
      <c r="P5475" s="308" t="s">
        <v>38427</v>
      </c>
      <c r="Q5475" s="308" t="s">
        <v>38426</v>
      </c>
      <c r="R5475" s="308" t="s">
        <v>37859</v>
      </c>
      <c r="S5475" s="308" t="s">
        <v>81</v>
      </c>
      <c r="T5475" s="308" t="s">
        <v>34264</v>
      </c>
      <c r="U5475" s="308" t="s">
        <v>4749</v>
      </c>
      <c r="V5475" s="308"/>
    </row>
    <row r="5476">
      <c r="A5476" s="308">
        <v>5475.0</v>
      </c>
      <c r="B5476" s="308"/>
      <c r="C5476" s="308" t="s">
        <v>21995</v>
      </c>
      <c r="D5476" s="308">
        <f>IFERROR(__xludf.DUMMYFUNCTION("SPLIT(C5476,""-"")"),5496.0)</f>
        <v>5496</v>
      </c>
      <c r="E5476" s="308" t="str">
        <f>IFERROR(__xludf.DUMMYFUNCTION("""COMPUTED_VALUE"""),"B")</f>
        <v>B</v>
      </c>
      <c r="F5476" s="315" t="s">
        <v>26</v>
      </c>
      <c r="G5476" s="308"/>
      <c r="H5476" s="308" t="s">
        <v>21996</v>
      </c>
      <c r="I5476" s="310">
        <v>43010.0</v>
      </c>
      <c r="J5476" s="319">
        <f>IFERROR(__xludf.DUMMYFUNCTION("SPLIT(I5476,""/"")"),2.0)</f>
        <v>2</v>
      </c>
      <c r="K5476" s="308">
        <f>IFERROR(__xludf.DUMMYFUNCTION("""COMPUTED_VALUE"""),10.0)</f>
        <v>10</v>
      </c>
      <c r="L5476" s="308">
        <f>IFERROR(__xludf.DUMMYFUNCTION("""COMPUTED_VALUE"""),2017.0)</f>
        <v>2017</v>
      </c>
      <c r="M5476" s="308" t="s">
        <v>38428</v>
      </c>
      <c r="N5476" s="308"/>
      <c r="O5476" s="308"/>
      <c r="P5476" s="308" t="s">
        <v>38429</v>
      </c>
      <c r="Q5476" s="308" t="s">
        <v>38426</v>
      </c>
      <c r="R5476" s="308" t="s">
        <v>20958</v>
      </c>
      <c r="S5476" s="308" t="s">
        <v>81</v>
      </c>
      <c r="T5476" s="311" t="s">
        <v>96</v>
      </c>
      <c r="U5476" s="308" t="s">
        <v>27</v>
      </c>
      <c r="V5476" s="308"/>
    </row>
    <row r="5477">
      <c r="A5477" s="308">
        <v>5476.0</v>
      </c>
      <c r="B5477" s="308"/>
      <c r="C5477" s="308" t="s">
        <v>21999</v>
      </c>
      <c r="D5477" s="308">
        <f>IFERROR(__xludf.DUMMYFUNCTION("SPLIT(C5477,""-"")"),5497.0)</f>
        <v>5497</v>
      </c>
      <c r="E5477" s="308" t="str">
        <f>IFERROR(__xludf.DUMMYFUNCTION("""COMPUTED_VALUE"""),"B")</f>
        <v>B</v>
      </c>
      <c r="F5477" s="315" t="s">
        <v>26</v>
      </c>
      <c r="G5477" s="308"/>
      <c r="H5477" s="308" t="s">
        <v>22000</v>
      </c>
      <c r="I5477" s="310">
        <v>40652.0</v>
      </c>
      <c r="J5477" s="319">
        <f>IFERROR(__xludf.DUMMYFUNCTION("SPLIT(I5477,""/"")"),19.0)</f>
        <v>19</v>
      </c>
      <c r="K5477" s="308">
        <f>IFERROR(__xludf.DUMMYFUNCTION("""COMPUTED_VALUE"""),4.0)</f>
        <v>4</v>
      </c>
      <c r="L5477" s="308">
        <f>IFERROR(__xludf.DUMMYFUNCTION("""COMPUTED_VALUE"""),2011.0)</f>
        <v>2011</v>
      </c>
      <c r="M5477" s="308" t="s">
        <v>22001</v>
      </c>
      <c r="N5477" s="308"/>
      <c r="O5477" s="308"/>
      <c r="P5477" s="308" t="s">
        <v>11049</v>
      </c>
      <c r="Q5477" s="308" t="s">
        <v>38426</v>
      </c>
      <c r="R5477" s="308" t="s">
        <v>20958</v>
      </c>
      <c r="S5477" s="315" t="s">
        <v>100</v>
      </c>
      <c r="T5477" s="311" t="s">
        <v>34208</v>
      </c>
      <c r="U5477" s="308" t="s">
        <v>27</v>
      </c>
      <c r="V5477" s="308"/>
    </row>
    <row r="5478">
      <c r="A5478" s="308">
        <v>5477.0</v>
      </c>
      <c r="B5478" s="308"/>
      <c r="C5478" s="308" t="s">
        <v>22002</v>
      </c>
      <c r="D5478" s="308">
        <f>IFERROR(__xludf.DUMMYFUNCTION("SPLIT(C5478,""-"")"),5498.0)</f>
        <v>5498</v>
      </c>
      <c r="E5478" s="308" t="str">
        <f>IFERROR(__xludf.DUMMYFUNCTION("""COMPUTED_VALUE"""),"K")</f>
        <v>K</v>
      </c>
      <c r="F5478" s="309" t="s">
        <v>34</v>
      </c>
      <c r="G5478" s="308"/>
      <c r="H5478" s="308" t="s">
        <v>22003</v>
      </c>
      <c r="I5478" s="314">
        <v>43022.0</v>
      </c>
      <c r="J5478" s="319" t="str">
        <f>IFERROR(__xludf.DUMMYFUNCTION("SPLIT(I5478,""/"")"),"#REF!")</f>
        <v>#REF!</v>
      </c>
      <c r="K5478" s="308"/>
      <c r="L5478" s="308">
        <v>2017.0</v>
      </c>
      <c r="M5478" s="308" t="s">
        <v>22004</v>
      </c>
      <c r="N5478" s="308" t="s">
        <v>22005</v>
      </c>
      <c r="O5478" s="308" t="s">
        <v>22006</v>
      </c>
      <c r="P5478" s="308" t="s">
        <v>4718</v>
      </c>
      <c r="Q5478" s="308" t="s">
        <v>38430</v>
      </c>
      <c r="R5478" s="308" t="s">
        <v>2743</v>
      </c>
      <c r="S5478" s="308" t="s">
        <v>49</v>
      </c>
      <c r="T5478" s="308" t="s">
        <v>51</v>
      </c>
      <c r="U5478" s="308" t="s">
        <v>2152</v>
      </c>
      <c r="V5478" s="308"/>
    </row>
    <row r="5479">
      <c r="A5479" s="308">
        <v>5478.0</v>
      </c>
      <c r="B5479" s="308"/>
      <c r="C5479" s="308" t="s">
        <v>22007</v>
      </c>
      <c r="D5479" s="308">
        <f>IFERROR(__xludf.DUMMYFUNCTION("SPLIT(C5479,""-"")"),5499.0)</f>
        <v>5499</v>
      </c>
      <c r="E5479" s="308" t="str">
        <f>IFERROR(__xludf.DUMMYFUNCTION("""COMPUTED_VALUE"""),"F")</f>
        <v>F</v>
      </c>
      <c r="F5479" s="309" t="s">
        <v>34</v>
      </c>
      <c r="G5479" s="308"/>
      <c r="H5479" s="308" t="s">
        <v>22008</v>
      </c>
      <c r="I5479" s="310">
        <v>42636.0</v>
      </c>
      <c r="J5479" s="319">
        <f>IFERROR(__xludf.DUMMYFUNCTION("SPLIT(I5479,""/"")"),23.0)</f>
        <v>23</v>
      </c>
      <c r="K5479" s="308">
        <f>IFERROR(__xludf.DUMMYFUNCTION("""COMPUTED_VALUE"""),9.0)</f>
        <v>9</v>
      </c>
      <c r="L5479" s="308">
        <f>IFERROR(__xludf.DUMMYFUNCTION("""COMPUTED_VALUE"""),2016.0)</f>
        <v>2016</v>
      </c>
      <c r="M5479" s="308" t="s">
        <v>22009</v>
      </c>
      <c r="N5479" s="308"/>
      <c r="O5479" s="308"/>
      <c r="P5479" s="308" t="s">
        <v>6393</v>
      </c>
      <c r="Q5479" s="308" t="s">
        <v>38430</v>
      </c>
      <c r="R5479" s="308" t="s">
        <v>2743</v>
      </c>
      <c r="S5479" s="315" t="s">
        <v>100</v>
      </c>
      <c r="T5479" s="311" t="s">
        <v>34208</v>
      </c>
      <c r="U5479" s="308" t="s">
        <v>195</v>
      </c>
      <c r="V5479" s="308"/>
    </row>
    <row r="5480">
      <c r="A5480" s="308">
        <v>5479.0</v>
      </c>
      <c r="B5480" s="308"/>
      <c r="C5480" s="308" t="s">
        <v>22010</v>
      </c>
      <c r="D5480" s="308">
        <f>IFERROR(__xludf.DUMMYFUNCTION("SPLIT(C5480,""-"")"),5500.0)</f>
        <v>5500</v>
      </c>
      <c r="E5480" s="308" t="str">
        <f>IFERROR(__xludf.DUMMYFUNCTION("""COMPUTED_VALUE"""),"I")</f>
        <v>I</v>
      </c>
      <c r="F5480" s="309" t="s">
        <v>31</v>
      </c>
      <c r="G5480" s="308"/>
      <c r="H5480" s="308" t="s">
        <v>22011</v>
      </c>
      <c r="I5480" s="310">
        <v>42636.0</v>
      </c>
      <c r="J5480" s="319">
        <f>IFERROR(__xludf.DUMMYFUNCTION("SPLIT(I5480,""/"")"),23.0)</f>
        <v>23</v>
      </c>
      <c r="K5480" s="308">
        <f>IFERROR(__xludf.DUMMYFUNCTION("""COMPUTED_VALUE"""),9.0)</f>
        <v>9</v>
      </c>
      <c r="L5480" s="308">
        <f>IFERROR(__xludf.DUMMYFUNCTION("""COMPUTED_VALUE"""),2016.0)</f>
        <v>2016</v>
      </c>
      <c r="M5480" s="308" t="s">
        <v>22012</v>
      </c>
      <c r="N5480" s="308"/>
      <c r="O5480" s="308"/>
      <c r="P5480" s="308" t="s">
        <v>38431</v>
      </c>
      <c r="Q5480" s="308" t="s">
        <v>38430</v>
      </c>
      <c r="R5480" s="308" t="s">
        <v>2743</v>
      </c>
      <c r="S5480" s="308" t="s">
        <v>81</v>
      </c>
      <c r="T5480" s="311" t="s">
        <v>51</v>
      </c>
      <c r="U5480" s="308" t="s">
        <v>31</v>
      </c>
      <c r="V5480" s="308"/>
    </row>
    <row r="5481">
      <c r="A5481" s="308">
        <v>5480.0</v>
      </c>
      <c r="B5481" s="308"/>
      <c r="C5481" s="308" t="s">
        <v>22014</v>
      </c>
      <c r="D5481" s="308">
        <f>IFERROR(__xludf.DUMMYFUNCTION("SPLIT(C5481,""-"")"),5501.0)</f>
        <v>5501</v>
      </c>
      <c r="E5481" s="308" t="str">
        <f>IFERROR(__xludf.DUMMYFUNCTION("""COMPUTED_VALUE"""),"P")</f>
        <v>P</v>
      </c>
      <c r="F5481" s="312" t="s">
        <v>37</v>
      </c>
      <c r="G5481" s="308"/>
      <c r="H5481" s="308" t="s">
        <v>22015</v>
      </c>
      <c r="I5481" s="310">
        <v>43365.0</v>
      </c>
      <c r="J5481" s="319">
        <f>IFERROR(__xludf.DUMMYFUNCTION("SPLIT(I5481,""/"")"),22.0)</f>
        <v>22</v>
      </c>
      <c r="K5481" s="308">
        <f>IFERROR(__xludf.DUMMYFUNCTION("""COMPUTED_VALUE"""),9.0)</f>
        <v>9</v>
      </c>
      <c r="L5481" s="308">
        <f>IFERROR(__xludf.DUMMYFUNCTION("""COMPUTED_VALUE"""),2018.0)</f>
        <v>2018</v>
      </c>
      <c r="M5481" s="308" t="s">
        <v>22016</v>
      </c>
      <c r="N5481" s="308"/>
      <c r="O5481" s="308"/>
      <c r="P5481" s="308" t="s">
        <v>22017</v>
      </c>
      <c r="Q5481" s="308" t="s">
        <v>38430</v>
      </c>
      <c r="R5481" s="308" t="s">
        <v>2743</v>
      </c>
      <c r="S5481" s="308" t="s">
        <v>81</v>
      </c>
      <c r="T5481" s="308" t="s">
        <v>73</v>
      </c>
      <c r="U5481" s="308" t="s">
        <v>2527</v>
      </c>
      <c r="V5481" s="308"/>
    </row>
    <row r="5482">
      <c r="A5482" s="308">
        <v>5481.0</v>
      </c>
      <c r="B5482" s="308"/>
      <c r="C5482" s="308" t="s">
        <v>22018</v>
      </c>
      <c r="D5482" s="308">
        <f>IFERROR(__xludf.DUMMYFUNCTION("SPLIT(C5482,""-"")"),5502.0)</f>
        <v>5502</v>
      </c>
      <c r="E5482" s="308" t="str">
        <f>IFERROR(__xludf.DUMMYFUNCTION("""COMPUTED_VALUE"""),"K")</f>
        <v>K</v>
      </c>
      <c r="F5482" s="309" t="s">
        <v>34</v>
      </c>
      <c r="G5482" s="308"/>
      <c r="H5482" s="308" t="s">
        <v>22019</v>
      </c>
      <c r="I5482" s="310">
        <v>40017.0</v>
      </c>
      <c r="J5482" s="319">
        <f>IFERROR(__xludf.DUMMYFUNCTION("SPLIT(I5482,""/"")"),23.0)</f>
        <v>23</v>
      </c>
      <c r="K5482" s="308">
        <f>IFERROR(__xludf.DUMMYFUNCTION("""COMPUTED_VALUE"""),7.0)</f>
        <v>7</v>
      </c>
      <c r="L5482" s="308">
        <f>IFERROR(__xludf.DUMMYFUNCTION("""COMPUTED_VALUE"""),2009.0)</f>
        <v>2009</v>
      </c>
      <c r="M5482" s="308" t="s">
        <v>22020</v>
      </c>
      <c r="N5482" s="308"/>
      <c r="O5482" s="308" t="s">
        <v>22021</v>
      </c>
      <c r="P5482" s="308" t="s">
        <v>5679</v>
      </c>
      <c r="Q5482" s="308" t="s">
        <v>38432</v>
      </c>
      <c r="R5482" s="308" t="s">
        <v>2743</v>
      </c>
      <c r="S5482" s="315" t="s">
        <v>100</v>
      </c>
      <c r="T5482" s="311" t="s">
        <v>34208</v>
      </c>
      <c r="U5482" s="308" t="s">
        <v>530</v>
      </c>
      <c r="V5482" s="308"/>
    </row>
    <row r="5483">
      <c r="A5483" s="308">
        <v>5482.0</v>
      </c>
      <c r="B5483" s="308"/>
      <c r="C5483" s="308" t="s">
        <v>22022</v>
      </c>
      <c r="D5483" s="308">
        <f>IFERROR(__xludf.DUMMYFUNCTION("SPLIT(C5483,""-"")"),5503.0)</f>
        <v>5503</v>
      </c>
      <c r="E5483" s="308" t="str">
        <f>IFERROR(__xludf.DUMMYFUNCTION("""COMPUTED_VALUE"""),"K")</f>
        <v>K</v>
      </c>
      <c r="F5483" s="309" t="s">
        <v>34</v>
      </c>
      <c r="G5483" s="308"/>
      <c r="H5483" s="308" t="s">
        <v>22023</v>
      </c>
      <c r="I5483" s="310">
        <v>41821.0</v>
      </c>
      <c r="J5483" s="319">
        <f>IFERROR(__xludf.DUMMYFUNCTION("SPLIT(I5483,""/"")"),1.0)</f>
        <v>1</v>
      </c>
      <c r="K5483" s="308">
        <f>IFERROR(__xludf.DUMMYFUNCTION("""COMPUTED_VALUE"""),7.0)</f>
        <v>7</v>
      </c>
      <c r="L5483" s="308">
        <f>IFERROR(__xludf.DUMMYFUNCTION("""COMPUTED_VALUE"""),2014.0)</f>
        <v>2014</v>
      </c>
      <c r="M5483" s="308" t="s">
        <v>22024</v>
      </c>
      <c r="N5483" s="308"/>
      <c r="O5483" s="308" t="s">
        <v>22025</v>
      </c>
      <c r="P5483" s="308" t="s">
        <v>5679</v>
      </c>
      <c r="Q5483" s="308" t="s">
        <v>38432</v>
      </c>
      <c r="R5483" s="308" t="s">
        <v>2743</v>
      </c>
      <c r="S5483" s="315" t="s">
        <v>100</v>
      </c>
      <c r="T5483" s="311" t="s">
        <v>34208</v>
      </c>
      <c r="U5483" s="308" t="s">
        <v>4749</v>
      </c>
      <c r="V5483" s="308"/>
    </row>
    <row r="5484">
      <c r="A5484" s="308">
        <v>5483.0</v>
      </c>
      <c r="B5484" s="308"/>
      <c r="C5484" s="308" t="s">
        <v>22026</v>
      </c>
      <c r="D5484" s="308">
        <f>IFERROR(__xludf.DUMMYFUNCTION("SPLIT(C5484,""-"")"),5504.0)</f>
        <v>5504</v>
      </c>
      <c r="E5484" s="308" t="str">
        <f>IFERROR(__xludf.DUMMYFUNCTION("""COMPUTED_VALUE"""),"P")</f>
        <v>P</v>
      </c>
      <c r="F5484" s="312" t="s">
        <v>37</v>
      </c>
      <c r="G5484" s="308"/>
      <c r="H5484" s="308" t="s">
        <v>22027</v>
      </c>
      <c r="I5484" s="310">
        <v>43177.0</v>
      </c>
      <c r="J5484" s="319">
        <f>IFERROR(__xludf.DUMMYFUNCTION("SPLIT(I5484,""/"")"),18.0)</f>
        <v>18</v>
      </c>
      <c r="K5484" s="308">
        <f>IFERROR(__xludf.DUMMYFUNCTION("""COMPUTED_VALUE"""),3.0)</f>
        <v>3</v>
      </c>
      <c r="L5484" s="308">
        <f>IFERROR(__xludf.DUMMYFUNCTION("""COMPUTED_VALUE"""),2018.0)</f>
        <v>2018</v>
      </c>
      <c r="M5484" s="308" t="s">
        <v>22028</v>
      </c>
      <c r="N5484" s="308"/>
      <c r="O5484" s="308" t="s">
        <v>22029</v>
      </c>
      <c r="P5484" s="308" t="s">
        <v>7523</v>
      </c>
      <c r="Q5484" s="308" t="s">
        <v>38432</v>
      </c>
      <c r="R5484" s="308" t="s">
        <v>2743</v>
      </c>
      <c r="S5484" s="315" t="s">
        <v>100</v>
      </c>
      <c r="T5484" s="311" t="s">
        <v>34208</v>
      </c>
      <c r="U5484" s="308" t="s">
        <v>149</v>
      </c>
      <c r="V5484" s="308"/>
    </row>
    <row r="5485">
      <c r="A5485" s="308">
        <v>5484.0</v>
      </c>
      <c r="B5485" s="308"/>
      <c r="C5485" s="308" t="s">
        <v>22030</v>
      </c>
      <c r="D5485" s="308">
        <f>IFERROR(__xludf.DUMMYFUNCTION("SPLIT(C5485,""-"")"),5505.0)</f>
        <v>5505</v>
      </c>
      <c r="E5485" s="308" t="str">
        <f>IFERROR(__xludf.DUMMYFUNCTION("""COMPUTED_VALUE"""),"P")</f>
        <v>P</v>
      </c>
      <c r="F5485" s="312" t="s">
        <v>37</v>
      </c>
      <c r="G5485" s="308"/>
      <c r="H5485" s="308" t="s">
        <v>22031</v>
      </c>
      <c r="I5485" s="314">
        <v>41224.0</v>
      </c>
      <c r="J5485" s="319">
        <f>IFERROR(__xludf.DUMMYFUNCTION("SPLIT(I5485,""/"")"),11.0)</f>
        <v>11</v>
      </c>
      <c r="K5485" s="308">
        <f>IFERROR(__xludf.DUMMYFUNCTION("""COMPUTED_VALUE"""),11.0)</f>
        <v>11</v>
      </c>
      <c r="L5485" s="308">
        <f>IFERROR(__xludf.DUMMYFUNCTION("""COMPUTED_VALUE"""),2012.0)</f>
        <v>2012</v>
      </c>
      <c r="M5485" s="308" t="s">
        <v>22032</v>
      </c>
      <c r="N5485" s="308"/>
      <c r="O5485" s="308" t="s">
        <v>22033</v>
      </c>
      <c r="P5485" s="308" t="s">
        <v>7523</v>
      </c>
      <c r="Q5485" s="308" t="s">
        <v>38432</v>
      </c>
      <c r="R5485" s="308" t="s">
        <v>2743</v>
      </c>
      <c r="S5485" s="315" t="s">
        <v>100</v>
      </c>
      <c r="T5485" s="311" t="s">
        <v>34208</v>
      </c>
      <c r="U5485" s="308" t="s">
        <v>149</v>
      </c>
      <c r="V5485" s="308"/>
    </row>
    <row r="5486">
      <c r="A5486" s="308">
        <v>5485.0</v>
      </c>
      <c r="B5486" s="308"/>
      <c r="C5486" s="308" t="s">
        <v>22034</v>
      </c>
      <c r="D5486" s="308">
        <f>IFERROR(__xludf.DUMMYFUNCTION("SPLIT(C5486,""-"")"),5506.0)</f>
        <v>5506</v>
      </c>
      <c r="E5486" s="308" t="str">
        <f>IFERROR(__xludf.DUMMYFUNCTION("""COMPUTED_VALUE"""),"F")</f>
        <v>F</v>
      </c>
      <c r="F5486" s="309" t="s">
        <v>34</v>
      </c>
      <c r="G5486" s="308"/>
      <c r="H5486" s="308" t="s">
        <v>22035</v>
      </c>
      <c r="I5486" s="310">
        <v>43265.0</v>
      </c>
      <c r="J5486" s="319">
        <f>IFERROR(__xludf.DUMMYFUNCTION("SPLIT(I5486,""/"")"),14.0)</f>
        <v>14</v>
      </c>
      <c r="K5486" s="308">
        <f>IFERROR(__xludf.DUMMYFUNCTION("""COMPUTED_VALUE"""),6.0)</f>
        <v>6</v>
      </c>
      <c r="L5486" s="308">
        <f>IFERROR(__xludf.DUMMYFUNCTION("""COMPUTED_VALUE"""),2018.0)</f>
        <v>2018</v>
      </c>
      <c r="M5486" s="308" t="s">
        <v>22036</v>
      </c>
      <c r="N5486" s="308"/>
      <c r="O5486" s="308"/>
      <c r="P5486" s="308" t="s">
        <v>38433</v>
      </c>
      <c r="Q5486" s="308" t="s">
        <v>38432</v>
      </c>
      <c r="R5486" s="308" t="s">
        <v>2743</v>
      </c>
      <c r="S5486" s="308" t="s">
        <v>81</v>
      </c>
      <c r="T5486" s="308" t="s">
        <v>34264</v>
      </c>
      <c r="U5486" s="308" t="s">
        <v>195</v>
      </c>
      <c r="V5486" s="308"/>
    </row>
    <row r="5487">
      <c r="A5487" s="308">
        <v>5486.0</v>
      </c>
      <c r="B5487" s="308"/>
      <c r="C5487" s="308" t="s">
        <v>22038</v>
      </c>
      <c r="D5487" s="308">
        <f>IFERROR(__xludf.DUMMYFUNCTION("SPLIT(C5487,""-"")"),5507.0)</f>
        <v>5507</v>
      </c>
      <c r="E5487" s="308" t="str">
        <f>IFERROR(__xludf.DUMMYFUNCTION("""COMPUTED_VALUE"""),"P")</f>
        <v>P</v>
      </c>
      <c r="F5487" s="312" t="s">
        <v>37</v>
      </c>
      <c r="G5487" s="308"/>
      <c r="H5487" s="308" t="s">
        <v>22039</v>
      </c>
      <c r="I5487" s="314">
        <v>43391.0</v>
      </c>
      <c r="J5487" s="319">
        <f>IFERROR(__xludf.DUMMYFUNCTION("SPLIT(I5487,""/"")"),18.0)</f>
        <v>18</v>
      </c>
      <c r="K5487" s="308">
        <f>IFERROR(__xludf.DUMMYFUNCTION("""COMPUTED_VALUE"""),10.0)</f>
        <v>10</v>
      </c>
      <c r="L5487" s="308">
        <f>IFERROR(__xludf.DUMMYFUNCTION("""COMPUTED_VALUE"""),2018.0)</f>
        <v>2018</v>
      </c>
      <c r="M5487" s="308" t="s">
        <v>22040</v>
      </c>
      <c r="N5487" s="308"/>
      <c r="O5487" s="308"/>
      <c r="P5487" s="308" t="s">
        <v>38434</v>
      </c>
      <c r="Q5487" s="308" t="s">
        <v>38432</v>
      </c>
      <c r="R5487" s="308" t="s">
        <v>2743</v>
      </c>
      <c r="S5487" s="308" t="s">
        <v>81</v>
      </c>
      <c r="T5487" s="311" t="s">
        <v>73</v>
      </c>
      <c r="U5487" s="308" t="s">
        <v>18270</v>
      </c>
      <c r="V5487" s="308" t="s">
        <v>22042</v>
      </c>
    </row>
    <row r="5488">
      <c r="A5488" s="308">
        <v>5487.0</v>
      </c>
      <c r="B5488" s="308"/>
      <c r="C5488" s="308" t="s">
        <v>22043</v>
      </c>
      <c r="D5488" s="308">
        <f>IFERROR(__xludf.DUMMYFUNCTION("SPLIT(C5488,""-"")"),5508.0)</f>
        <v>5508</v>
      </c>
      <c r="E5488" s="308" t="str">
        <f>IFERROR(__xludf.DUMMYFUNCTION("""COMPUTED_VALUE"""),"K")</f>
        <v>K</v>
      </c>
      <c r="F5488" s="309" t="s">
        <v>34</v>
      </c>
      <c r="G5488" s="308"/>
      <c r="H5488" s="308" t="s">
        <v>22044</v>
      </c>
      <c r="I5488" s="310">
        <v>43351.0</v>
      </c>
      <c r="J5488" s="319">
        <f>IFERROR(__xludf.DUMMYFUNCTION("SPLIT(I5488,""/"")"),8.0)</f>
        <v>8</v>
      </c>
      <c r="K5488" s="308">
        <f>IFERROR(__xludf.DUMMYFUNCTION("""COMPUTED_VALUE"""),9.0)</f>
        <v>9</v>
      </c>
      <c r="L5488" s="308">
        <f>IFERROR(__xludf.DUMMYFUNCTION("""COMPUTED_VALUE"""),2018.0)</f>
        <v>2018</v>
      </c>
      <c r="M5488" s="308" t="s">
        <v>22045</v>
      </c>
      <c r="N5488" s="308"/>
      <c r="O5488" s="308"/>
      <c r="P5488" s="308" t="s">
        <v>22046</v>
      </c>
      <c r="Q5488" s="308" t="s">
        <v>38435</v>
      </c>
      <c r="R5488" s="308" t="s">
        <v>2743</v>
      </c>
      <c r="S5488" s="308" t="s">
        <v>81</v>
      </c>
      <c r="T5488" s="308" t="s">
        <v>75</v>
      </c>
      <c r="U5488" s="308" t="s">
        <v>4749</v>
      </c>
      <c r="V5488" s="308" t="s">
        <v>22047</v>
      </c>
    </row>
    <row r="5489">
      <c r="A5489" s="308">
        <v>5488.0</v>
      </c>
      <c r="B5489" s="308"/>
      <c r="C5489" s="308" t="s">
        <v>22048</v>
      </c>
      <c r="D5489" s="308">
        <f>IFERROR(__xludf.DUMMYFUNCTION("SPLIT(C5489,""-"")"),5509.0)</f>
        <v>5509</v>
      </c>
      <c r="E5489" s="308" t="str">
        <f>IFERROR(__xludf.DUMMYFUNCTION("""COMPUTED_VALUE"""),"K")</f>
        <v>K</v>
      </c>
      <c r="F5489" s="309" t="s">
        <v>34</v>
      </c>
      <c r="G5489" s="308"/>
      <c r="H5489" s="308" t="s">
        <v>9659</v>
      </c>
      <c r="I5489" s="310">
        <v>41091.0</v>
      </c>
      <c r="J5489" s="319">
        <f>IFERROR(__xludf.DUMMYFUNCTION("SPLIT(I5489,""/"")"),1.0)</f>
        <v>1</v>
      </c>
      <c r="K5489" s="308">
        <f>IFERROR(__xludf.DUMMYFUNCTION("""COMPUTED_VALUE"""),7.0)</f>
        <v>7</v>
      </c>
      <c r="L5489" s="308">
        <f>IFERROR(__xludf.DUMMYFUNCTION("""COMPUTED_VALUE"""),2012.0)</f>
        <v>2012</v>
      </c>
      <c r="M5489" s="308" t="s">
        <v>22049</v>
      </c>
      <c r="N5489" s="308"/>
      <c r="O5489" s="308"/>
      <c r="P5489" s="308" t="s">
        <v>38436</v>
      </c>
      <c r="Q5489" s="308" t="s">
        <v>38437</v>
      </c>
      <c r="R5489" s="308" t="s">
        <v>2743</v>
      </c>
      <c r="S5489" s="308" t="s">
        <v>81</v>
      </c>
      <c r="T5489" s="311" t="s">
        <v>34565</v>
      </c>
      <c r="U5489" s="308" t="s">
        <v>530</v>
      </c>
      <c r="V5489" s="308"/>
    </row>
    <row r="5490">
      <c r="A5490" s="308">
        <v>5489.0</v>
      </c>
      <c r="B5490" s="308"/>
      <c r="C5490" s="308" t="s">
        <v>22051</v>
      </c>
      <c r="D5490" s="308">
        <f>IFERROR(__xludf.DUMMYFUNCTION("SPLIT(C5490,""-"")"),5510.0)</f>
        <v>5510</v>
      </c>
      <c r="E5490" s="308" t="str">
        <f>IFERROR(__xludf.DUMMYFUNCTION("""COMPUTED_VALUE"""),"P")</f>
        <v>P</v>
      </c>
      <c r="F5490" s="312" t="s">
        <v>37</v>
      </c>
      <c r="G5490" s="308"/>
      <c r="H5490" s="308" t="s">
        <v>22052</v>
      </c>
      <c r="I5490" s="310">
        <v>40618.0</v>
      </c>
      <c r="J5490" s="319">
        <f>IFERROR(__xludf.DUMMYFUNCTION("SPLIT(I5490,""/"")"),16.0)</f>
        <v>16</v>
      </c>
      <c r="K5490" s="308">
        <f>IFERROR(__xludf.DUMMYFUNCTION("""COMPUTED_VALUE"""),3.0)</f>
        <v>3</v>
      </c>
      <c r="L5490" s="308">
        <f>IFERROR(__xludf.DUMMYFUNCTION("""COMPUTED_VALUE"""),2011.0)</f>
        <v>2011</v>
      </c>
      <c r="M5490" s="308" t="s">
        <v>38438</v>
      </c>
      <c r="N5490" s="308"/>
      <c r="O5490" s="308" t="s">
        <v>38439</v>
      </c>
      <c r="P5490" s="308" t="s">
        <v>38440</v>
      </c>
      <c r="Q5490" s="308" t="s">
        <v>38441</v>
      </c>
      <c r="R5490" s="308" t="s">
        <v>2743</v>
      </c>
      <c r="S5490" s="308" t="s">
        <v>49</v>
      </c>
      <c r="T5490" s="311" t="s">
        <v>51</v>
      </c>
      <c r="U5490" s="308" t="s">
        <v>13303</v>
      </c>
      <c r="V5490" s="308"/>
    </row>
    <row r="5491">
      <c r="A5491" s="308">
        <v>5490.0</v>
      </c>
      <c r="B5491" s="308"/>
      <c r="C5491" s="308" t="s">
        <v>22056</v>
      </c>
      <c r="D5491" s="308">
        <f>IFERROR(__xludf.DUMMYFUNCTION("SPLIT(C5491,""-"")"),5511.0)</f>
        <v>5511</v>
      </c>
      <c r="E5491" s="308" t="str">
        <f>IFERROR(__xludf.DUMMYFUNCTION("""COMPUTED_VALUE"""),"K")</f>
        <v>K</v>
      </c>
      <c r="F5491" s="309" t="s">
        <v>34</v>
      </c>
      <c r="G5491" s="308"/>
      <c r="H5491" s="308" t="s">
        <v>22057</v>
      </c>
      <c r="I5491" s="310">
        <v>39264.0</v>
      </c>
      <c r="J5491" s="319">
        <f>IFERROR(__xludf.DUMMYFUNCTION("SPLIT(I5491,""/"")"),1.0)</f>
        <v>1</v>
      </c>
      <c r="K5491" s="308">
        <f>IFERROR(__xludf.DUMMYFUNCTION("""COMPUTED_VALUE"""),7.0)</f>
        <v>7</v>
      </c>
      <c r="L5491" s="308">
        <f>IFERROR(__xludf.DUMMYFUNCTION("""COMPUTED_VALUE"""),2007.0)</f>
        <v>2007</v>
      </c>
      <c r="M5491" s="308" t="s">
        <v>22058</v>
      </c>
      <c r="N5491" s="308" t="s">
        <v>439</v>
      </c>
      <c r="O5491" s="308"/>
      <c r="P5491" s="308" t="s">
        <v>5679</v>
      </c>
      <c r="Q5491" s="308" t="s">
        <v>38442</v>
      </c>
      <c r="R5491" s="308" t="s">
        <v>2743</v>
      </c>
      <c r="S5491" s="315" t="s">
        <v>100</v>
      </c>
      <c r="T5491" s="311" t="s">
        <v>34208</v>
      </c>
      <c r="U5491" s="308" t="s">
        <v>530</v>
      </c>
      <c r="V5491" s="308"/>
    </row>
    <row r="5492">
      <c r="A5492" s="308">
        <v>5491.0</v>
      </c>
      <c r="B5492" s="308"/>
      <c r="C5492" s="308" t="s">
        <v>22059</v>
      </c>
      <c r="D5492" s="308">
        <f>IFERROR(__xludf.DUMMYFUNCTION("SPLIT(C5492,""-"")"),5512.0)</f>
        <v>5512</v>
      </c>
      <c r="E5492" s="308" t="str">
        <f>IFERROR(__xludf.DUMMYFUNCTION("""COMPUTED_VALUE"""),"P")</f>
        <v>P</v>
      </c>
      <c r="F5492" s="312" t="s">
        <v>37</v>
      </c>
      <c r="G5492" s="308"/>
      <c r="H5492" s="308" t="s">
        <v>22060</v>
      </c>
      <c r="I5492" s="310">
        <v>43271.0</v>
      </c>
      <c r="J5492" s="319">
        <f>IFERROR(__xludf.DUMMYFUNCTION("SPLIT(I5492,""/"")"),20.0)</f>
        <v>20</v>
      </c>
      <c r="K5492" s="308">
        <f>IFERROR(__xludf.DUMMYFUNCTION("""COMPUTED_VALUE"""),6.0)</f>
        <v>6</v>
      </c>
      <c r="L5492" s="308">
        <f>IFERROR(__xludf.DUMMYFUNCTION("""COMPUTED_VALUE"""),2018.0)</f>
        <v>2018</v>
      </c>
      <c r="M5492" s="308" t="s">
        <v>22061</v>
      </c>
      <c r="N5492" s="308"/>
      <c r="O5492" s="308"/>
      <c r="P5492" s="308" t="s">
        <v>22062</v>
      </c>
      <c r="Q5492" s="308" t="s">
        <v>38442</v>
      </c>
      <c r="R5492" s="308" t="s">
        <v>2743</v>
      </c>
      <c r="S5492" s="308" t="s">
        <v>81</v>
      </c>
      <c r="T5492" s="311" t="s">
        <v>96</v>
      </c>
      <c r="U5492" s="308" t="s">
        <v>2748</v>
      </c>
      <c r="V5492" s="308"/>
    </row>
    <row r="5493">
      <c r="A5493" s="308">
        <v>5492.0</v>
      </c>
      <c r="B5493" s="308"/>
      <c r="C5493" s="308" t="s">
        <v>22063</v>
      </c>
      <c r="D5493" s="308">
        <f>IFERROR(__xludf.DUMMYFUNCTION("SPLIT(C5493,""-"")"),5513.0)</f>
        <v>5513</v>
      </c>
      <c r="E5493" s="308" t="str">
        <f>IFERROR(__xludf.DUMMYFUNCTION("""COMPUTED_VALUE"""),"F")</f>
        <v>F</v>
      </c>
      <c r="F5493" s="309" t="s">
        <v>34</v>
      </c>
      <c r="G5493" s="308"/>
      <c r="H5493" s="308" t="s">
        <v>22064</v>
      </c>
      <c r="I5493" s="314">
        <v>41961.0</v>
      </c>
      <c r="J5493" s="319">
        <f>IFERROR(__xludf.DUMMYFUNCTION("SPLIT(I5493,""/"")"),18.0)</f>
        <v>18</v>
      </c>
      <c r="K5493" s="308">
        <f>IFERROR(__xludf.DUMMYFUNCTION("""COMPUTED_VALUE"""),11.0)</f>
        <v>11</v>
      </c>
      <c r="L5493" s="308">
        <f>IFERROR(__xludf.DUMMYFUNCTION("""COMPUTED_VALUE"""),2014.0)</f>
        <v>2014</v>
      </c>
      <c r="M5493" s="308" t="s">
        <v>22065</v>
      </c>
      <c r="N5493" s="308" t="s">
        <v>22066</v>
      </c>
      <c r="O5493" s="308"/>
      <c r="P5493" s="308" t="s">
        <v>6393</v>
      </c>
      <c r="Q5493" s="308" t="s">
        <v>38443</v>
      </c>
      <c r="R5493" s="308" t="s">
        <v>2743</v>
      </c>
      <c r="S5493" s="315" t="s">
        <v>100</v>
      </c>
      <c r="T5493" s="311" t="s">
        <v>34208</v>
      </c>
      <c r="U5493" s="308" t="s">
        <v>195</v>
      </c>
      <c r="V5493" s="308"/>
    </row>
    <row r="5494">
      <c r="A5494" s="308">
        <v>5493.0</v>
      </c>
      <c r="B5494" s="308"/>
      <c r="C5494" s="308" t="s">
        <v>22067</v>
      </c>
      <c r="D5494" s="308">
        <f>IFERROR(__xludf.DUMMYFUNCTION("SPLIT(C5494,""-"")"),5514.0)</f>
        <v>5514</v>
      </c>
      <c r="E5494" s="308" t="str">
        <f>IFERROR(__xludf.DUMMYFUNCTION("""COMPUTED_VALUE"""),"S")</f>
        <v>S</v>
      </c>
      <c r="F5494" s="312" t="s">
        <v>39</v>
      </c>
      <c r="G5494" s="308"/>
      <c r="H5494" s="308" t="s">
        <v>22068</v>
      </c>
      <c r="I5494" s="314">
        <v>43394.0</v>
      </c>
      <c r="J5494" s="319">
        <f>IFERROR(__xludf.DUMMYFUNCTION("SPLIT(I5494,""/"")"),21.0)</f>
        <v>21</v>
      </c>
      <c r="K5494" s="308">
        <f>IFERROR(__xludf.DUMMYFUNCTION("""COMPUTED_VALUE"""),10.0)</f>
        <v>10</v>
      </c>
      <c r="L5494" s="308">
        <f>IFERROR(__xludf.DUMMYFUNCTION("""COMPUTED_VALUE"""),2018.0)</f>
        <v>2018</v>
      </c>
      <c r="M5494" s="308" t="s">
        <v>22069</v>
      </c>
      <c r="N5494" s="308"/>
      <c r="O5494" s="308"/>
      <c r="P5494" s="308" t="s">
        <v>38444</v>
      </c>
      <c r="Q5494" s="308" t="s">
        <v>38445</v>
      </c>
      <c r="R5494" s="308" t="s">
        <v>2743</v>
      </c>
      <c r="S5494" s="308" t="s">
        <v>81</v>
      </c>
      <c r="T5494" s="308" t="s">
        <v>75</v>
      </c>
      <c r="U5494" s="308" t="s">
        <v>166</v>
      </c>
      <c r="V5494" s="308"/>
    </row>
    <row r="5495">
      <c r="A5495" s="308">
        <v>5494.0</v>
      </c>
      <c r="B5495" s="308"/>
      <c r="C5495" s="308" t="s">
        <v>22071</v>
      </c>
      <c r="D5495" s="308">
        <f>IFERROR(__xludf.DUMMYFUNCTION("SPLIT(C5495,""-"")"),5515.0)</f>
        <v>5515</v>
      </c>
      <c r="E5495" s="308" t="str">
        <f>IFERROR(__xludf.DUMMYFUNCTION("""COMPUTED_VALUE"""),"S")</f>
        <v>S</v>
      </c>
      <c r="F5495" s="312" t="s">
        <v>39</v>
      </c>
      <c r="G5495" s="308"/>
      <c r="H5495" s="308" t="s">
        <v>22072</v>
      </c>
      <c r="I5495" s="310">
        <v>43158.0</v>
      </c>
      <c r="J5495" s="319">
        <f>IFERROR(__xludf.DUMMYFUNCTION("SPLIT(I5495,""/"")"),27.0)</f>
        <v>27</v>
      </c>
      <c r="K5495" s="308">
        <f>IFERROR(__xludf.DUMMYFUNCTION("""COMPUTED_VALUE"""),2.0)</f>
        <v>2</v>
      </c>
      <c r="L5495" s="308">
        <f>IFERROR(__xludf.DUMMYFUNCTION("""COMPUTED_VALUE"""),2018.0)</f>
        <v>2018</v>
      </c>
      <c r="M5495" s="308" t="s">
        <v>22073</v>
      </c>
      <c r="N5495" s="308"/>
      <c r="O5495" s="308"/>
      <c r="P5495" s="308" t="s">
        <v>22074</v>
      </c>
      <c r="Q5495" s="308" t="s">
        <v>38443</v>
      </c>
      <c r="R5495" s="308" t="s">
        <v>2743</v>
      </c>
      <c r="S5495" s="308" t="s">
        <v>81</v>
      </c>
      <c r="T5495" s="308" t="s">
        <v>75</v>
      </c>
      <c r="U5495" s="308" t="s">
        <v>166</v>
      </c>
      <c r="V5495" s="308"/>
    </row>
    <row r="5496">
      <c r="A5496" s="308">
        <v>5495.0</v>
      </c>
      <c r="B5496" s="308"/>
      <c r="C5496" s="308" t="s">
        <v>22075</v>
      </c>
      <c r="D5496" s="308">
        <f>IFERROR(__xludf.DUMMYFUNCTION("SPLIT(C5496,""-"")"),5516.0)</f>
        <v>5516</v>
      </c>
      <c r="E5496" s="308" t="str">
        <f>IFERROR(__xludf.DUMMYFUNCTION("""COMPUTED_VALUE"""),"K")</f>
        <v>K</v>
      </c>
      <c r="F5496" s="309" t="s">
        <v>34</v>
      </c>
      <c r="G5496" s="308"/>
      <c r="H5496" s="308" t="s">
        <v>22076</v>
      </c>
      <c r="I5496" s="310">
        <v>41299.0</v>
      </c>
      <c r="J5496" s="319">
        <f>IFERROR(__xludf.DUMMYFUNCTION("SPLIT(I5496,""/"")"),25.0)</f>
        <v>25</v>
      </c>
      <c r="K5496" s="308">
        <f>IFERROR(__xludf.DUMMYFUNCTION("""COMPUTED_VALUE"""),1.0)</f>
        <v>1</v>
      </c>
      <c r="L5496" s="308">
        <f>IFERROR(__xludf.DUMMYFUNCTION("""COMPUTED_VALUE"""),2013.0)</f>
        <v>2013</v>
      </c>
      <c r="M5496" s="308" t="s">
        <v>22077</v>
      </c>
      <c r="N5496" s="308"/>
      <c r="O5496" s="308"/>
      <c r="P5496" s="308" t="s">
        <v>34212</v>
      </c>
      <c r="Q5496" s="308" t="s">
        <v>38443</v>
      </c>
      <c r="R5496" s="308" t="s">
        <v>2743</v>
      </c>
      <c r="S5496" s="315" t="s">
        <v>100</v>
      </c>
      <c r="T5496" s="311" t="s">
        <v>34208</v>
      </c>
      <c r="U5496" s="308" t="s">
        <v>125</v>
      </c>
      <c r="V5496" s="308"/>
    </row>
    <row r="5497">
      <c r="A5497" s="308">
        <v>5496.0</v>
      </c>
      <c r="B5497" s="308"/>
      <c r="C5497" s="308" t="s">
        <v>22078</v>
      </c>
      <c r="D5497" s="308">
        <f>IFERROR(__xludf.DUMMYFUNCTION("SPLIT(C5497,""-"")"),5517.0)</f>
        <v>5517</v>
      </c>
      <c r="E5497" s="308" t="str">
        <f>IFERROR(__xludf.DUMMYFUNCTION("""COMPUTED_VALUE"""),"K")</f>
        <v>K</v>
      </c>
      <c r="F5497" s="309" t="s">
        <v>34</v>
      </c>
      <c r="G5497" s="308"/>
      <c r="H5497" s="308" t="s">
        <v>22079</v>
      </c>
      <c r="I5497" s="310">
        <v>43296.0</v>
      </c>
      <c r="J5497" s="319">
        <f>IFERROR(__xludf.DUMMYFUNCTION("SPLIT(I5497,""/"")"),15.0)</f>
        <v>15</v>
      </c>
      <c r="K5497" s="308">
        <f>IFERROR(__xludf.DUMMYFUNCTION("""COMPUTED_VALUE"""),7.0)</f>
        <v>7</v>
      </c>
      <c r="L5497" s="308">
        <f>IFERROR(__xludf.DUMMYFUNCTION("""COMPUTED_VALUE"""),2018.0)</f>
        <v>2018</v>
      </c>
      <c r="M5497" s="308" t="s">
        <v>22080</v>
      </c>
      <c r="N5497" s="308"/>
      <c r="O5497" s="308"/>
      <c r="P5497" s="308" t="s">
        <v>38446</v>
      </c>
      <c r="Q5497" s="308" t="s">
        <v>38443</v>
      </c>
      <c r="R5497" s="308" t="s">
        <v>2743</v>
      </c>
      <c r="S5497" s="308" t="s">
        <v>81</v>
      </c>
      <c r="T5497" s="308" t="s">
        <v>75</v>
      </c>
      <c r="U5497" s="308" t="s">
        <v>4487</v>
      </c>
      <c r="V5497" s="308"/>
    </row>
    <row r="5498">
      <c r="A5498" s="308">
        <v>5497.0</v>
      </c>
      <c r="B5498" s="308"/>
      <c r="C5498" s="308" t="s">
        <v>22082</v>
      </c>
      <c r="D5498" s="308">
        <f>IFERROR(__xludf.DUMMYFUNCTION("SPLIT(C5498,""-"")"),5518.0)</f>
        <v>5518</v>
      </c>
      <c r="E5498" s="308" t="str">
        <f>IFERROR(__xludf.DUMMYFUNCTION("""COMPUTED_VALUE"""),"K")</f>
        <v>K</v>
      </c>
      <c r="F5498" s="309" t="s">
        <v>34</v>
      </c>
      <c r="G5498" s="308"/>
      <c r="H5498" s="308" t="s">
        <v>22083</v>
      </c>
      <c r="I5498" s="310">
        <v>42514.0</v>
      </c>
      <c r="J5498" s="319">
        <f>IFERROR(__xludf.DUMMYFUNCTION("SPLIT(I5498,""/"")"),24.0)</f>
        <v>24</v>
      </c>
      <c r="K5498" s="308">
        <f>IFERROR(__xludf.DUMMYFUNCTION("""COMPUTED_VALUE"""),5.0)</f>
        <v>5</v>
      </c>
      <c r="L5498" s="308">
        <f>IFERROR(__xludf.DUMMYFUNCTION("""COMPUTED_VALUE"""),2016.0)</f>
        <v>2016</v>
      </c>
      <c r="M5498" s="308" t="s">
        <v>22084</v>
      </c>
      <c r="N5498" s="308"/>
      <c r="O5498" s="308" t="s">
        <v>22085</v>
      </c>
      <c r="P5498" s="308" t="s">
        <v>34212</v>
      </c>
      <c r="Q5498" s="308" t="s">
        <v>38443</v>
      </c>
      <c r="R5498" s="308" t="s">
        <v>2743</v>
      </c>
      <c r="S5498" s="315" t="s">
        <v>100</v>
      </c>
      <c r="T5498" s="311" t="s">
        <v>34208</v>
      </c>
      <c r="U5498" s="308" t="s">
        <v>368</v>
      </c>
      <c r="V5498" s="308"/>
    </row>
    <row r="5499">
      <c r="A5499" s="308">
        <v>5498.0</v>
      </c>
      <c r="B5499" s="308"/>
      <c r="C5499" s="308" t="s">
        <v>22086</v>
      </c>
      <c r="D5499" s="308">
        <f>IFERROR(__xludf.DUMMYFUNCTION("SPLIT(C5499,""-"")"),5519.0)</f>
        <v>5519</v>
      </c>
      <c r="E5499" s="308" t="str">
        <f>IFERROR(__xludf.DUMMYFUNCTION("""COMPUTED_VALUE"""),"F")</f>
        <v>F</v>
      </c>
      <c r="F5499" s="309" t="s">
        <v>34</v>
      </c>
      <c r="G5499" s="308"/>
      <c r="H5499" s="308" t="s">
        <v>22087</v>
      </c>
      <c r="I5499" s="310">
        <v>41477.0</v>
      </c>
      <c r="J5499" s="319">
        <f>IFERROR(__xludf.DUMMYFUNCTION("SPLIT(I5499,""/"")"),22.0)</f>
        <v>22</v>
      </c>
      <c r="K5499" s="308">
        <f>IFERROR(__xludf.DUMMYFUNCTION("""COMPUTED_VALUE"""),7.0)</f>
        <v>7</v>
      </c>
      <c r="L5499" s="308">
        <f>IFERROR(__xludf.DUMMYFUNCTION("""COMPUTED_VALUE"""),2013.0)</f>
        <v>2013</v>
      </c>
      <c r="M5499" s="308" t="s">
        <v>22088</v>
      </c>
      <c r="N5499" s="308" t="s">
        <v>22089</v>
      </c>
      <c r="O5499" s="308"/>
      <c r="P5499" s="308" t="s">
        <v>38447</v>
      </c>
      <c r="Q5499" s="308" t="s">
        <v>38443</v>
      </c>
      <c r="R5499" s="308" t="s">
        <v>2743</v>
      </c>
      <c r="S5499" s="308" t="s">
        <v>81</v>
      </c>
      <c r="T5499" s="308" t="s">
        <v>34264</v>
      </c>
      <c r="U5499" s="308" t="s">
        <v>195</v>
      </c>
      <c r="V5499" s="308"/>
    </row>
    <row r="5500">
      <c r="A5500" s="308">
        <v>5499.0</v>
      </c>
      <c r="B5500" s="308"/>
      <c r="C5500" s="308" t="s">
        <v>22091</v>
      </c>
      <c r="D5500" s="308">
        <f>IFERROR(__xludf.DUMMYFUNCTION("SPLIT(C5500,""-"")"),5520.0)</f>
        <v>5520</v>
      </c>
      <c r="E5500" s="308" t="str">
        <f>IFERROR(__xludf.DUMMYFUNCTION("""COMPUTED_VALUE"""),"S")</f>
        <v>S</v>
      </c>
      <c r="F5500" s="312" t="s">
        <v>39</v>
      </c>
      <c r="G5500" s="308"/>
      <c r="H5500" s="308" t="s">
        <v>22092</v>
      </c>
      <c r="I5500" s="310">
        <v>43317.0</v>
      </c>
      <c r="J5500" s="319">
        <f>IFERROR(__xludf.DUMMYFUNCTION("SPLIT(I5500,""/"")"),5.0)</f>
        <v>5</v>
      </c>
      <c r="K5500" s="308">
        <f>IFERROR(__xludf.DUMMYFUNCTION("""COMPUTED_VALUE"""),8.0)</f>
        <v>8</v>
      </c>
      <c r="L5500" s="308">
        <f>IFERROR(__xludf.DUMMYFUNCTION("""COMPUTED_VALUE"""),2018.0)</f>
        <v>2018</v>
      </c>
      <c r="M5500" s="308" t="s">
        <v>22093</v>
      </c>
      <c r="N5500" s="308"/>
      <c r="O5500" s="308"/>
      <c r="P5500" s="308" t="s">
        <v>38448</v>
      </c>
      <c r="Q5500" s="308" t="s">
        <v>38443</v>
      </c>
      <c r="R5500" s="308" t="s">
        <v>2743</v>
      </c>
      <c r="S5500" s="308" t="s">
        <v>81</v>
      </c>
      <c r="T5500" s="311" t="s">
        <v>91</v>
      </c>
      <c r="U5500" s="308" t="s">
        <v>166</v>
      </c>
      <c r="V5500" s="308"/>
    </row>
    <row r="5501">
      <c r="A5501" s="308">
        <v>5500.0</v>
      </c>
      <c r="B5501" s="308"/>
      <c r="C5501" s="308" t="s">
        <v>22095</v>
      </c>
      <c r="D5501" s="308">
        <f>IFERROR(__xludf.DUMMYFUNCTION("SPLIT(C5501,""-"")"),5521.0)</f>
        <v>5521</v>
      </c>
      <c r="E5501" s="308" t="str">
        <f>IFERROR(__xludf.DUMMYFUNCTION("""COMPUTED_VALUE"""),"P")</f>
        <v>P</v>
      </c>
      <c r="F5501" s="312" t="s">
        <v>37</v>
      </c>
      <c r="G5501" s="308"/>
      <c r="H5501" s="308" t="s">
        <v>22096</v>
      </c>
      <c r="I5501" s="314">
        <v>43389.0</v>
      </c>
      <c r="J5501" s="319">
        <f>IFERROR(__xludf.DUMMYFUNCTION("SPLIT(I5501,""/"")"),16.0)</f>
        <v>16</v>
      </c>
      <c r="K5501" s="308">
        <f>IFERROR(__xludf.DUMMYFUNCTION("""COMPUTED_VALUE"""),10.0)</f>
        <v>10</v>
      </c>
      <c r="L5501" s="308">
        <f>IFERROR(__xludf.DUMMYFUNCTION("""COMPUTED_VALUE"""),2018.0)</f>
        <v>2018</v>
      </c>
      <c r="M5501" s="308" t="s">
        <v>22097</v>
      </c>
      <c r="N5501" s="308"/>
      <c r="O5501" s="308"/>
      <c r="P5501" s="308" t="s">
        <v>38449</v>
      </c>
      <c r="Q5501" s="308" t="s">
        <v>38443</v>
      </c>
      <c r="R5501" s="308" t="s">
        <v>2743</v>
      </c>
      <c r="S5501" s="308" t="s">
        <v>81</v>
      </c>
      <c r="T5501" s="311" t="s">
        <v>91</v>
      </c>
      <c r="U5501" s="308" t="s">
        <v>17743</v>
      </c>
      <c r="V5501" s="308"/>
    </row>
    <row r="5502">
      <c r="A5502" s="308">
        <v>5501.0</v>
      </c>
      <c r="B5502" s="308"/>
      <c r="C5502" s="308" t="s">
        <v>22099</v>
      </c>
      <c r="D5502" s="308">
        <f>IFERROR(__xludf.DUMMYFUNCTION("SPLIT(C5502,""-"")"),5522.0)</f>
        <v>5522</v>
      </c>
      <c r="E5502" s="308" t="str">
        <f>IFERROR(__xludf.DUMMYFUNCTION("""COMPUTED_VALUE"""),"P")</f>
        <v>P</v>
      </c>
      <c r="F5502" s="312" t="s">
        <v>37</v>
      </c>
      <c r="G5502" s="308"/>
      <c r="H5502" s="308" t="s">
        <v>22100</v>
      </c>
      <c r="I5502" s="314">
        <v>43403.0</v>
      </c>
      <c r="J5502" s="319">
        <f>IFERROR(__xludf.DUMMYFUNCTION("SPLIT(I5502,""/"")"),30.0)</f>
        <v>30</v>
      </c>
      <c r="K5502" s="308">
        <f>IFERROR(__xludf.DUMMYFUNCTION("""COMPUTED_VALUE"""),10.0)</f>
        <v>10</v>
      </c>
      <c r="L5502" s="308">
        <f>IFERROR(__xludf.DUMMYFUNCTION("""COMPUTED_VALUE"""),2018.0)</f>
        <v>2018</v>
      </c>
      <c r="M5502" s="308" t="s">
        <v>22101</v>
      </c>
      <c r="N5502" s="308"/>
      <c r="O5502" s="308"/>
      <c r="P5502" s="308" t="s">
        <v>22102</v>
      </c>
      <c r="Q5502" s="308" t="s">
        <v>38443</v>
      </c>
      <c r="R5502" s="308" t="s">
        <v>2743</v>
      </c>
      <c r="S5502" s="308" t="s">
        <v>81</v>
      </c>
      <c r="T5502" s="311" t="s">
        <v>73</v>
      </c>
      <c r="U5502" s="308" t="s">
        <v>1182</v>
      </c>
      <c r="V5502" s="308"/>
    </row>
    <row r="5503">
      <c r="A5503" s="308">
        <v>5502.0</v>
      </c>
      <c r="B5503" s="308"/>
      <c r="C5503" s="308" t="s">
        <v>22103</v>
      </c>
      <c r="D5503" s="308">
        <f>IFERROR(__xludf.DUMMYFUNCTION("SPLIT(C5503,""-"")"),5523.0)</f>
        <v>5523</v>
      </c>
      <c r="E5503" s="308" t="str">
        <f>IFERROR(__xludf.DUMMYFUNCTION("""COMPUTED_VALUE"""),"P")</f>
        <v>P</v>
      </c>
      <c r="F5503" s="312" t="s">
        <v>37</v>
      </c>
      <c r="G5503" s="308"/>
      <c r="H5503" s="308" t="s">
        <v>22104</v>
      </c>
      <c r="I5503" s="314">
        <v>43400.0</v>
      </c>
      <c r="J5503" s="319">
        <f>IFERROR(__xludf.DUMMYFUNCTION("SPLIT(I5503,""/"")"),27.0)</f>
        <v>27</v>
      </c>
      <c r="K5503" s="308">
        <f>IFERROR(__xludf.DUMMYFUNCTION("""COMPUTED_VALUE"""),10.0)</f>
        <v>10</v>
      </c>
      <c r="L5503" s="308">
        <f>IFERROR(__xludf.DUMMYFUNCTION("""COMPUTED_VALUE"""),2018.0)</f>
        <v>2018</v>
      </c>
      <c r="M5503" s="308" t="s">
        <v>22105</v>
      </c>
      <c r="N5503" s="308"/>
      <c r="O5503" s="308"/>
      <c r="P5503" s="308" t="s">
        <v>38450</v>
      </c>
      <c r="Q5503" s="308" t="s">
        <v>38443</v>
      </c>
      <c r="R5503" s="308" t="s">
        <v>2743</v>
      </c>
      <c r="S5503" s="308" t="s">
        <v>81</v>
      </c>
      <c r="T5503" s="308" t="s">
        <v>75</v>
      </c>
      <c r="U5503" s="308" t="s">
        <v>149</v>
      </c>
      <c r="V5503" s="308"/>
    </row>
    <row r="5504">
      <c r="A5504" s="308">
        <v>5503.0</v>
      </c>
      <c r="B5504" s="308"/>
      <c r="C5504" s="308" t="s">
        <v>22107</v>
      </c>
      <c r="D5504" s="308">
        <f>IFERROR(__xludf.DUMMYFUNCTION("SPLIT(C5504,""-"")"),5524.0)</f>
        <v>5524</v>
      </c>
      <c r="E5504" s="308" t="str">
        <f>IFERROR(__xludf.DUMMYFUNCTION("""COMPUTED_VALUE"""),"I")</f>
        <v>I</v>
      </c>
      <c r="F5504" s="309" t="s">
        <v>31</v>
      </c>
      <c r="G5504" s="308"/>
      <c r="H5504" s="308" t="s">
        <v>22108</v>
      </c>
      <c r="I5504" s="310">
        <v>39266.0</v>
      </c>
      <c r="J5504" s="319">
        <f>IFERROR(__xludf.DUMMYFUNCTION("SPLIT(I5504,""/"")"),3.0)</f>
        <v>3</v>
      </c>
      <c r="K5504" s="308">
        <f>IFERROR(__xludf.DUMMYFUNCTION("""COMPUTED_VALUE"""),7.0)</f>
        <v>7</v>
      </c>
      <c r="L5504" s="308">
        <f>IFERROR(__xludf.DUMMYFUNCTION("""COMPUTED_VALUE"""),2007.0)</f>
        <v>2007</v>
      </c>
      <c r="M5504" s="308" t="s">
        <v>22109</v>
      </c>
      <c r="N5504" s="308" t="s">
        <v>22110</v>
      </c>
      <c r="O5504" s="308" t="s">
        <v>22111</v>
      </c>
      <c r="P5504" s="308" t="s">
        <v>34212</v>
      </c>
      <c r="Q5504" s="308" t="s">
        <v>38443</v>
      </c>
      <c r="R5504" s="308" t="s">
        <v>1496</v>
      </c>
      <c r="S5504" s="315" t="s">
        <v>100</v>
      </c>
      <c r="T5504" s="311" t="s">
        <v>34208</v>
      </c>
      <c r="U5504" s="308" t="s">
        <v>31</v>
      </c>
      <c r="V5504" s="308"/>
    </row>
    <row r="5505">
      <c r="A5505" s="308">
        <v>5504.0</v>
      </c>
      <c r="B5505" s="308"/>
      <c r="C5505" s="308" t="s">
        <v>22112</v>
      </c>
      <c r="D5505" s="308">
        <f>IFERROR(__xludf.DUMMYFUNCTION("SPLIT(C5505,""-"")"),5525.0)</f>
        <v>5525</v>
      </c>
      <c r="E5505" s="308" t="str">
        <f>IFERROR(__xludf.DUMMYFUNCTION("""COMPUTED_VALUE"""),"F")</f>
        <v>F</v>
      </c>
      <c r="F5505" s="309" t="s">
        <v>34</v>
      </c>
      <c r="G5505" s="308"/>
      <c r="H5505" s="308" t="s">
        <v>22113</v>
      </c>
      <c r="I5505" s="310">
        <v>41477.0</v>
      </c>
      <c r="J5505" s="319">
        <f>IFERROR(__xludf.DUMMYFUNCTION("SPLIT(I5505,""/"")"),22.0)</f>
        <v>22</v>
      </c>
      <c r="K5505" s="308">
        <f>IFERROR(__xludf.DUMMYFUNCTION("""COMPUTED_VALUE"""),7.0)</f>
        <v>7</v>
      </c>
      <c r="L5505" s="308">
        <f>IFERROR(__xludf.DUMMYFUNCTION("""COMPUTED_VALUE"""),2013.0)</f>
        <v>2013</v>
      </c>
      <c r="M5505" s="308" t="s">
        <v>22114</v>
      </c>
      <c r="N5505" s="308" t="s">
        <v>22115</v>
      </c>
      <c r="O5505" s="308"/>
      <c r="P5505" s="308" t="s">
        <v>38451</v>
      </c>
      <c r="Q5505" s="308" t="s">
        <v>38443</v>
      </c>
      <c r="R5505" s="308" t="s">
        <v>2743</v>
      </c>
      <c r="S5505" s="308" t="s">
        <v>81</v>
      </c>
      <c r="T5505" s="308" t="s">
        <v>34264</v>
      </c>
      <c r="U5505" s="308" t="s">
        <v>195</v>
      </c>
      <c r="V5505" s="308"/>
    </row>
    <row r="5506">
      <c r="A5506" s="308">
        <v>5505.0</v>
      </c>
      <c r="B5506" s="308"/>
      <c r="C5506" s="308" t="s">
        <v>22117</v>
      </c>
      <c r="D5506" s="308">
        <f>IFERROR(__xludf.DUMMYFUNCTION("SPLIT(C5506,""-"")"),5526.0)</f>
        <v>5526</v>
      </c>
      <c r="E5506" s="308" t="str">
        <f>IFERROR(__xludf.DUMMYFUNCTION("""COMPUTED_VALUE"""),"K")</f>
        <v>K</v>
      </c>
      <c r="F5506" s="309" t="s">
        <v>34</v>
      </c>
      <c r="G5506" s="308"/>
      <c r="H5506" s="308" t="s">
        <v>22118</v>
      </c>
      <c r="I5506" s="310">
        <v>42918.0</v>
      </c>
      <c r="J5506" s="319" t="str">
        <f>IFERROR(__xludf.DUMMYFUNCTION("SPLIT(I5506,""/"")"),"#REF!")</f>
        <v>#REF!</v>
      </c>
      <c r="K5506" s="308"/>
      <c r="L5506" s="308">
        <v>2017.0</v>
      </c>
      <c r="M5506" s="308" t="s">
        <v>22119</v>
      </c>
      <c r="N5506" s="308"/>
      <c r="O5506" s="308"/>
      <c r="P5506" s="308" t="s">
        <v>22120</v>
      </c>
      <c r="Q5506" s="308" t="s">
        <v>38443</v>
      </c>
      <c r="R5506" s="308" t="s">
        <v>2743</v>
      </c>
      <c r="S5506" s="308" t="s">
        <v>81</v>
      </c>
      <c r="T5506" s="311" t="s">
        <v>98</v>
      </c>
      <c r="U5506" s="308" t="s">
        <v>125</v>
      </c>
      <c r="V5506" s="308"/>
    </row>
    <row r="5507">
      <c r="A5507" s="308">
        <v>5506.0</v>
      </c>
      <c r="B5507" s="308"/>
      <c r="C5507" s="308" t="s">
        <v>22121</v>
      </c>
      <c r="D5507" s="308">
        <f>IFERROR(__xludf.DUMMYFUNCTION("SPLIT(C5507,""-"")"),5527.0)</f>
        <v>5527</v>
      </c>
      <c r="E5507" s="308" t="str">
        <f>IFERROR(__xludf.DUMMYFUNCTION("""COMPUTED_VALUE"""),"P")</f>
        <v>P</v>
      </c>
      <c r="F5507" s="312" t="s">
        <v>37</v>
      </c>
      <c r="G5507" s="308"/>
      <c r="H5507" s="308" t="s">
        <v>22122</v>
      </c>
      <c r="I5507" s="314">
        <v>43393.0</v>
      </c>
      <c r="J5507" s="319">
        <f>IFERROR(__xludf.DUMMYFUNCTION("SPLIT(I5507,""/"")"),20.0)</f>
        <v>20</v>
      </c>
      <c r="K5507" s="308">
        <f>IFERROR(__xludf.DUMMYFUNCTION("""COMPUTED_VALUE"""),10.0)</f>
        <v>10</v>
      </c>
      <c r="L5507" s="308">
        <f>IFERROR(__xludf.DUMMYFUNCTION("""COMPUTED_VALUE"""),2018.0)</f>
        <v>2018</v>
      </c>
      <c r="M5507" s="308" t="s">
        <v>22123</v>
      </c>
      <c r="N5507" s="308"/>
      <c r="O5507" s="308"/>
      <c r="P5507" s="308" t="s">
        <v>38452</v>
      </c>
      <c r="Q5507" s="308" t="s">
        <v>38443</v>
      </c>
      <c r="R5507" s="308" t="s">
        <v>2743</v>
      </c>
      <c r="S5507" s="308" t="s">
        <v>81</v>
      </c>
      <c r="T5507" s="311" t="s">
        <v>91</v>
      </c>
      <c r="U5507" s="308" t="s">
        <v>17743</v>
      </c>
      <c r="V5507" s="308"/>
    </row>
    <row r="5508">
      <c r="A5508" s="308">
        <v>5507.0</v>
      </c>
      <c r="B5508" s="308"/>
      <c r="C5508" s="308" t="s">
        <v>22125</v>
      </c>
      <c r="D5508" s="308">
        <f>IFERROR(__xludf.DUMMYFUNCTION("SPLIT(C5508,""-"")"),5528.0)</f>
        <v>5528</v>
      </c>
      <c r="E5508" s="308" t="str">
        <f>IFERROR(__xludf.DUMMYFUNCTION("""COMPUTED_VALUE"""),"P")</f>
        <v>P</v>
      </c>
      <c r="F5508" s="312" t="s">
        <v>37</v>
      </c>
      <c r="G5508" s="308"/>
      <c r="H5508" s="308" t="s">
        <v>22126</v>
      </c>
      <c r="I5508" s="314">
        <v>43403.0</v>
      </c>
      <c r="J5508" s="319">
        <f>IFERROR(__xludf.DUMMYFUNCTION("SPLIT(I5508,""/"")"),30.0)</f>
        <v>30</v>
      </c>
      <c r="K5508" s="308">
        <f>IFERROR(__xludf.DUMMYFUNCTION("""COMPUTED_VALUE"""),10.0)</f>
        <v>10</v>
      </c>
      <c r="L5508" s="308">
        <f>IFERROR(__xludf.DUMMYFUNCTION("""COMPUTED_VALUE"""),2018.0)</f>
        <v>2018</v>
      </c>
      <c r="M5508" s="308" t="s">
        <v>38453</v>
      </c>
      <c r="N5508" s="308"/>
      <c r="O5508" s="308"/>
      <c r="P5508" s="308" t="s">
        <v>38454</v>
      </c>
      <c r="Q5508" s="308" t="s">
        <v>38443</v>
      </c>
      <c r="R5508" s="308" t="s">
        <v>2743</v>
      </c>
      <c r="S5508" s="308" t="s">
        <v>81</v>
      </c>
      <c r="T5508" s="308" t="s">
        <v>73</v>
      </c>
      <c r="U5508" s="308" t="s">
        <v>3690</v>
      </c>
      <c r="V5508" s="308"/>
    </row>
    <row r="5509">
      <c r="A5509" s="308">
        <v>5508.0</v>
      </c>
      <c r="B5509" s="308"/>
      <c r="C5509" s="308" t="s">
        <v>22129</v>
      </c>
      <c r="D5509" s="308">
        <f>IFERROR(__xludf.DUMMYFUNCTION("SPLIT(C5509,""-"")"),5529.0)</f>
        <v>5529</v>
      </c>
      <c r="E5509" s="308" t="str">
        <f>IFERROR(__xludf.DUMMYFUNCTION("""COMPUTED_VALUE"""),"F")</f>
        <v>F</v>
      </c>
      <c r="F5509" s="309" t="s">
        <v>34</v>
      </c>
      <c r="G5509" s="308"/>
      <c r="H5509" s="308" t="s">
        <v>22130</v>
      </c>
      <c r="I5509" s="310">
        <v>42641.0</v>
      </c>
      <c r="J5509" s="319">
        <f>IFERROR(__xludf.DUMMYFUNCTION("SPLIT(I5509,""/"")"),28.0)</f>
        <v>28</v>
      </c>
      <c r="K5509" s="308">
        <f>IFERROR(__xludf.DUMMYFUNCTION("""COMPUTED_VALUE"""),9.0)</f>
        <v>9</v>
      </c>
      <c r="L5509" s="308">
        <f>IFERROR(__xludf.DUMMYFUNCTION("""COMPUTED_VALUE"""),2016.0)</f>
        <v>2016</v>
      </c>
      <c r="M5509" s="308" t="s">
        <v>22131</v>
      </c>
      <c r="N5509" s="308"/>
      <c r="O5509" s="308"/>
      <c r="P5509" s="308" t="s">
        <v>38455</v>
      </c>
      <c r="Q5509" s="308" t="s">
        <v>38443</v>
      </c>
      <c r="R5509" s="308" t="s">
        <v>2743</v>
      </c>
      <c r="S5509" s="308" t="s">
        <v>81</v>
      </c>
      <c r="T5509" s="308" t="s">
        <v>34264</v>
      </c>
      <c r="U5509" s="308" t="s">
        <v>195</v>
      </c>
      <c r="V5509" s="308"/>
    </row>
    <row r="5510">
      <c r="A5510" s="308">
        <v>5509.0</v>
      </c>
      <c r="B5510" s="308"/>
      <c r="C5510" s="308" t="s">
        <v>22133</v>
      </c>
      <c r="D5510" s="308">
        <f>IFERROR(__xludf.DUMMYFUNCTION("SPLIT(C5510,""-"")"),5530.0)</f>
        <v>5530</v>
      </c>
      <c r="E5510" s="308" t="str">
        <f>IFERROR(__xludf.DUMMYFUNCTION("""COMPUTED_VALUE"""),"K")</f>
        <v>K</v>
      </c>
      <c r="F5510" s="309" t="s">
        <v>34</v>
      </c>
      <c r="G5510" s="308"/>
      <c r="H5510" s="308" t="s">
        <v>22134</v>
      </c>
      <c r="I5510" s="310">
        <v>40821.0</v>
      </c>
      <c r="J5510" s="319">
        <f>IFERROR(__xludf.DUMMYFUNCTION("SPLIT(I5510,""/"")"),5.0)</f>
        <v>5</v>
      </c>
      <c r="K5510" s="308">
        <f>IFERROR(__xludf.DUMMYFUNCTION("""COMPUTED_VALUE"""),10.0)</f>
        <v>10</v>
      </c>
      <c r="L5510" s="308">
        <f>IFERROR(__xludf.DUMMYFUNCTION("""COMPUTED_VALUE"""),2011.0)</f>
        <v>2011</v>
      </c>
      <c r="M5510" s="308" t="s">
        <v>22135</v>
      </c>
      <c r="N5510" s="308" t="s">
        <v>439</v>
      </c>
      <c r="O5510" s="308" t="s">
        <v>22136</v>
      </c>
      <c r="P5510" s="308" t="s">
        <v>34212</v>
      </c>
      <c r="Q5510" s="308" t="s">
        <v>38443</v>
      </c>
      <c r="R5510" s="308" t="s">
        <v>16185</v>
      </c>
      <c r="S5510" s="315" t="s">
        <v>100</v>
      </c>
      <c r="T5510" s="311" t="s">
        <v>34208</v>
      </c>
      <c r="U5510" s="308" t="s">
        <v>2152</v>
      </c>
      <c r="V5510" s="308"/>
    </row>
    <row r="5511">
      <c r="A5511" s="308">
        <v>5510.0</v>
      </c>
      <c r="B5511" s="308"/>
      <c r="C5511" s="308" t="s">
        <v>22137</v>
      </c>
      <c r="D5511" s="308">
        <f>IFERROR(__xludf.DUMMYFUNCTION("SPLIT(C5511,""-"")"),5531.0)</f>
        <v>5531</v>
      </c>
      <c r="E5511" s="308" t="str">
        <f>IFERROR(__xludf.DUMMYFUNCTION("""COMPUTED_VALUE"""),"P")</f>
        <v>P</v>
      </c>
      <c r="F5511" s="312" t="s">
        <v>37</v>
      </c>
      <c r="G5511" s="308"/>
      <c r="H5511" s="308" t="s">
        <v>22138</v>
      </c>
      <c r="I5511" s="310">
        <v>41030.0</v>
      </c>
      <c r="J5511" s="319">
        <f>IFERROR(__xludf.DUMMYFUNCTION("SPLIT(I5511,""/"")"),1.0)</f>
        <v>1</v>
      </c>
      <c r="K5511" s="308">
        <f>IFERROR(__xludf.DUMMYFUNCTION("""COMPUTED_VALUE"""),5.0)</f>
        <v>5</v>
      </c>
      <c r="L5511" s="308">
        <f>IFERROR(__xludf.DUMMYFUNCTION("""COMPUTED_VALUE"""),2012.0)</f>
        <v>2012</v>
      </c>
      <c r="M5511" s="308" t="s">
        <v>22139</v>
      </c>
      <c r="N5511" s="308"/>
      <c r="O5511" s="308" t="s">
        <v>22140</v>
      </c>
      <c r="P5511" s="308" t="s">
        <v>34212</v>
      </c>
      <c r="Q5511" s="308" t="s">
        <v>38443</v>
      </c>
      <c r="R5511" s="308" t="s">
        <v>16185</v>
      </c>
      <c r="S5511" s="315" t="s">
        <v>100</v>
      </c>
      <c r="T5511" s="311" t="s">
        <v>34208</v>
      </c>
      <c r="U5511" s="308" t="s">
        <v>149</v>
      </c>
      <c r="V5511" s="308"/>
    </row>
    <row r="5512">
      <c r="A5512" s="308">
        <v>5511.0</v>
      </c>
      <c r="B5512" s="308"/>
      <c r="C5512" s="308" t="s">
        <v>22141</v>
      </c>
      <c r="D5512" s="308">
        <f>IFERROR(__xludf.DUMMYFUNCTION("SPLIT(C5512,""-"")"),5532.0)</f>
        <v>5532</v>
      </c>
      <c r="E5512" s="308" t="str">
        <f>IFERROR(__xludf.DUMMYFUNCTION("""COMPUTED_VALUE"""),"P")</f>
        <v>P</v>
      </c>
      <c r="F5512" s="312" t="s">
        <v>37</v>
      </c>
      <c r="G5512" s="308"/>
      <c r="H5512" s="308" t="s">
        <v>22142</v>
      </c>
      <c r="I5512" s="314">
        <v>43384.0</v>
      </c>
      <c r="J5512" s="319">
        <f>IFERROR(__xludf.DUMMYFUNCTION("SPLIT(I5512,""/"")"),11.0)</f>
        <v>11</v>
      </c>
      <c r="K5512" s="308">
        <f>IFERROR(__xludf.DUMMYFUNCTION("""COMPUTED_VALUE"""),10.0)</f>
        <v>10</v>
      </c>
      <c r="L5512" s="308">
        <f>IFERROR(__xludf.DUMMYFUNCTION("""COMPUTED_VALUE"""),2018.0)</f>
        <v>2018</v>
      </c>
      <c r="M5512" s="308" t="s">
        <v>21360</v>
      </c>
      <c r="N5512" s="308"/>
      <c r="O5512" s="308" t="s">
        <v>22143</v>
      </c>
      <c r="P5512" s="308" t="s">
        <v>38456</v>
      </c>
      <c r="Q5512" s="308" t="s">
        <v>38443</v>
      </c>
      <c r="R5512" s="308" t="s">
        <v>20329</v>
      </c>
      <c r="S5512" s="308" t="s">
        <v>81</v>
      </c>
      <c r="T5512" s="308" t="s">
        <v>75</v>
      </c>
      <c r="U5512" s="308" t="s">
        <v>149</v>
      </c>
      <c r="V5512" s="308"/>
    </row>
    <row r="5513">
      <c r="A5513" s="308">
        <v>5512.0</v>
      </c>
      <c r="B5513" s="308"/>
      <c r="C5513" s="308" t="s">
        <v>22145</v>
      </c>
      <c r="D5513" s="308">
        <f>IFERROR(__xludf.DUMMYFUNCTION("SPLIT(C5513,""-"")"),5533.0)</f>
        <v>5533</v>
      </c>
      <c r="E5513" s="308" t="str">
        <f>IFERROR(__xludf.DUMMYFUNCTION("""COMPUTED_VALUE"""),"K")</f>
        <v>K</v>
      </c>
      <c r="F5513" s="309" t="s">
        <v>34</v>
      </c>
      <c r="G5513" s="308"/>
      <c r="H5513" s="308" t="s">
        <v>22146</v>
      </c>
      <c r="I5513" s="310">
        <v>41914.0</v>
      </c>
      <c r="J5513" s="319">
        <f>IFERROR(__xludf.DUMMYFUNCTION("SPLIT(I5513,""/"")"),2.0)</f>
        <v>2</v>
      </c>
      <c r="K5513" s="308">
        <f>IFERROR(__xludf.DUMMYFUNCTION("""COMPUTED_VALUE"""),10.0)</f>
        <v>10</v>
      </c>
      <c r="L5513" s="308">
        <f>IFERROR(__xludf.DUMMYFUNCTION("""COMPUTED_VALUE"""),2014.0)</f>
        <v>2014</v>
      </c>
      <c r="M5513" s="308" t="s">
        <v>22147</v>
      </c>
      <c r="N5513" s="308" t="s">
        <v>22148</v>
      </c>
      <c r="O5513" s="308"/>
      <c r="P5513" s="308" t="s">
        <v>34212</v>
      </c>
      <c r="Q5513" s="308" t="s">
        <v>38443</v>
      </c>
      <c r="R5513" s="308" t="s">
        <v>16185</v>
      </c>
      <c r="S5513" s="315" t="s">
        <v>100</v>
      </c>
      <c r="T5513" s="311" t="s">
        <v>34208</v>
      </c>
      <c r="U5513" s="308" t="s">
        <v>125</v>
      </c>
      <c r="V5513" s="308"/>
    </row>
    <row r="5514">
      <c r="A5514" s="308">
        <v>5513.0</v>
      </c>
      <c r="B5514" s="308"/>
      <c r="C5514" s="308" t="s">
        <v>22149</v>
      </c>
      <c r="D5514" s="308">
        <f>IFERROR(__xludf.DUMMYFUNCTION("SPLIT(C5514,""-"")"),5534.0)</f>
        <v>5534</v>
      </c>
      <c r="E5514" s="308" t="str">
        <f>IFERROR(__xludf.DUMMYFUNCTION("""COMPUTED_VALUE"""),"K")</f>
        <v>K</v>
      </c>
      <c r="F5514" s="309" t="s">
        <v>34</v>
      </c>
      <c r="G5514" s="308"/>
      <c r="H5514" s="308" t="s">
        <v>22150</v>
      </c>
      <c r="I5514" s="310">
        <v>41914.0</v>
      </c>
      <c r="J5514" s="319">
        <f>IFERROR(__xludf.DUMMYFUNCTION("SPLIT(I5514,""/"")"),2.0)</f>
        <v>2</v>
      </c>
      <c r="K5514" s="308">
        <f>IFERROR(__xludf.DUMMYFUNCTION("""COMPUTED_VALUE"""),10.0)</f>
        <v>10</v>
      </c>
      <c r="L5514" s="308">
        <f>IFERROR(__xludf.DUMMYFUNCTION("""COMPUTED_VALUE"""),2014.0)</f>
        <v>2014</v>
      </c>
      <c r="M5514" s="308" t="s">
        <v>22147</v>
      </c>
      <c r="N5514" s="308"/>
      <c r="O5514" s="308"/>
      <c r="P5514" s="308" t="s">
        <v>34212</v>
      </c>
      <c r="Q5514" s="308" t="s">
        <v>38443</v>
      </c>
      <c r="R5514" s="308" t="s">
        <v>16185</v>
      </c>
      <c r="S5514" s="315" t="s">
        <v>100</v>
      </c>
      <c r="T5514" s="311" t="s">
        <v>34208</v>
      </c>
      <c r="U5514" s="308" t="s">
        <v>125</v>
      </c>
      <c r="V5514" s="308"/>
    </row>
    <row r="5515">
      <c r="A5515" s="308">
        <v>5514.0</v>
      </c>
      <c r="B5515" s="308"/>
      <c r="C5515" s="308" t="s">
        <v>22151</v>
      </c>
      <c r="D5515" s="308">
        <f>IFERROR(__xludf.DUMMYFUNCTION("SPLIT(C5515,""-"")"),5535.0)</f>
        <v>5535</v>
      </c>
      <c r="E5515" s="308" t="str">
        <f>IFERROR(__xludf.DUMMYFUNCTION("""COMPUTED_VALUE"""),"K")</f>
        <v>K</v>
      </c>
      <c r="F5515" s="309" t="s">
        <v>34</v>
      </c>
      <c r="G5515" s="308"/>
      <c r="H5515" s="308" t="s">
        <v>22152</v>
      </c>
      <c r="I5515" s="310">
        <v>43185.0</v>
      </c>
      <c r="J5515" s="319">
        <f>IFERROR(__xludf.DUMMYFUNCTION("SPLIT(I5515,""/"")"),26.0)</f>
        <v>26</v>
      </c>
      <c r="K5515" s="308">
        <f>IFERROR(__xludf.DUMMYFUNCTION("""COMPUTED_VALUE"""),3.0)</f>
        <v>3</v>
      </c>
      <c r="L5515" s="308">
        <f>IFERROR(__xludf.DUMMYFUNCTION("""COMPUTED_VALUE"""),2018.0)</f>
        <v>2018</v>
      </c>
      <c r="M5515" s="308" t="s">
        <v>22153</v>
      </c>
      <c r="N5515" s="308"/>
      <c r="O5515" s="308"/>
      <c r="P5515" s="308" t="s">
        <v>38457</v>
      </c>
      <c r="Q5515" s="308" t="s">
        <v>38443</v>
      </c>
      <c r="R5515" s="308" t="s">
        <v>16185</v>
      </c>
      <c r="S5515" s="308" t="s">
        <v>81</v>
      </c>
      <c r="T5515" s="311" t="s">
        <v>34264</v>
      </c>
      <c r="U5515" s="308" t="s">
        <v>2466</v>
      </c>
      <c r="V5515" s="308"/>
    </row>
    <row r="5516">
      <c r="A5516" s="308">
        <v>5515.0</v>
      </c>
      <c r="B5516" s="308"/>
      <c r="C5516" s="308" t="s">
        <v>22155</v>
      </c>
      <c r="D5516" s="308">
        <f>IFERROR(__xludf.DUMMYFUNCTION("SPLIT(C5516,""-"")"),5536.0)</f>
        <v>5536</v>
      </c>
      <c r="E5516" s="308" t="str">
        <f>IFERROR(__xludf.DUMMYFUNCTION("""COMPUTED_VALUE"""),"A")</f>
        <v>A</v>
      </c>
      <c r="F5516" s="309" t="s">
        <v>23</v>
      </c>
      <c r="G5516" s="308"/>
      <c r="H5516" s="308" t="s">
        <v>22156</v>
      </c>
      <c r="I5516" s="310">
        <v>43000.0</v>
      </c>
      <c r="J5516" s="319">
        <f>IFERROR(__xludf.DUMMYFUNCTION("SPLIT(I5516,""/"")"),22.0)</f>
        <v>22</v>
      </c>
      <c r="K5516" s="308">
        <f>IFERROR(__xludf.DUMMYFUNCTION("""COMPUTED_VALUE"""),9.0)</f>
        <v>9</v>
      </c>
      <c r="L5516" s="308">
        <f>IFERROR(__xludf.DUMMYFUNCTION("""COMPUTED_VALUE"""),2017.0)</f>
        <v>2017</v>
      </c>
      <c r="M5516" s="308" t="s">
        <v>22157</v>
      </c>
      <c r="N5516" s="308"/>
      <c r="O5516" s="308"/>
      <c r="P5516" s="308" t="s">
        <v>38458</v>
      </c>
      <c r="Q5516" s="308" t="s">
        <v>38443</v>
      </c>
      <c r="R5516" s="308" t="s">
        <v>16185</v>
      </c>
      <c r="S5516" s="308" t="s">
        <v>81</v>
      </c>
      <c r="T5516" s="308" t="s">
        <v>73</v>
      </c>
      <c r="U5516" s="308" t="s">
        <v>403</v>
      </c>
      <c r="V5516" s="308"/>
    </row>
    <row r="5517">
      <c r="A5517" s="308">
        <v>5516.0</v>
      </c>
      <c r="B5517" s="308"/>
      <c r="C5517" s="308" t="s">
        <v>22159</v>
      </c>
      <c r="D5517" s="308">
        <f>IFERROR(__xludf.DUMMYFUNCTION("SPLIT(C5517,""-"")"),5537.0)</f>
        <v>5537</v>
      </c>
      <c r="E5517" s="308" t="str">
        <f>IFERROR(__xludf.DUMMYFUNCTION("""COMPUTED_VALUE"""),"S")</f>
        <v>S</v>
      </c>
      <c r="F5517" s="312" t="s">
        <v>39</v>
      </c>
      <c r="G5517" s="308"/>
      <c r="H5517" s="308" t="s">
        <v>22160</v>
      </c>
      <c r="I5517" s="310">
        <v>42797.0</v>
      </c>
      <c r="J5517" s="319">
        <f>IFERROR(__xludf.DUMMYFUNCTION("SPLIT(I5517,""/"")"),3.0)</f>
        <v>3</v>
      </c>
      <c r="K5517" s="308">
        <f>IFERROR(__xludf.DUMMYFUNCTION("""COMPUTED_VALUE"""),3.0)</f>
        <v>3</v>
      </c>
      <c r="L5517" s="308">
        <f>IFERROR(__xludf.DUMMYFUNCTION("""COMPUTED_VALUE"""),2017.0)</f>
        <v>2017</v>
      </c>
      <c r="M5517" s="308"/>
      <c r="N5517" s="308"/>
      <c r="O5517" s="308"/>
      <c r="P5517" s="308" t="s">
        <v>38459</v>
      </c>
      <c r="Q5517" s="308" t="s">
        <v>38460</v>
      </c>
      <c r="R5517" s="308" t="s">
        <v>19483</v>
      </c>
      <c r="S5517" s="308" t="s">
        <v>81</v>
      </c>
      <c r="T5517" s="308" t="s">
        <v>75</v>
      </c>
      <c r="U5517" s="308" t="s">
        <v>166</v>
      </c>
      <c r="V5517" s="308"/>
    </row>
    <row r="5518">
      <c r="A5518" s="308">
        <v>5517.0</v>
      </c>
      <c r="B5518" s="308"/>
      <c r="C5518" s="308" t="s">
        <v>22162</v>
      </c>
      <c r="D5518" s="308">
        <f>IFERROR(__xludf.DUMMYFUNCTION("SPLIT(C5518,""-"")"),5538.0)</f>
        <v>5538</v>
      </c>
      <c r="E5518" s="308" t="str">
        <f>IFERROR(__xludf.DUMMYFUNCTION("""COMPUTED_VALUE"""),"S")</f>
        <v>S</v>
      </c>
      <c r="F5518" s="312" t="s">
        <v>39</v>
      </c>
      <c r="G5518" s="308"/>
      <c r="H5518" s="308" t="s">
        <v>22163</v>
      </c>
      <c r="I5518" s="310">
        <v>42842.0</v>
      </c>
      <c r="J5518" s="319">
        <f>IFERROR(__xludf.DUMMYFUNCTION("SPLIT(I5518,""/"")"),17.0)</f>
        <v>17</v>
      </c>
      <c r="K5518" s="308">
        <f>IFERROR(__xludf.DUMMYFUNCTION("""COMPUTED_VALUE"""),4.0)</f>
        <v>4</v>
      </c>
      <c r="L5518" s="308">
        <f>IFERROR(__xludf.DUMMYFUNCTION("""COMPUTED_VALUE"""),2017.0)</f>
        <v>2017</v>
      </c>
      <c r="M5518" s="308"/>
      <c r="N5518" s="308"/>
      <c r="O5518" s="308"/>
      <c r="P5518" s="308" t="s">
        <v>38461</v>
      </c>
      <c r="Q5518" s="308" t="s">
        <v>38460</v>
      </c>
      <c r="R5518" s="308" t="s">
        <v>19483</v>
      </c>
      <c r="S5518" s="308" t="s">
        <v>81</v>
      </c>
      <c r="T5518" s="308" t="s">
        <v>75</v>
      </c>
      <c r="U5518" s="308" t="s">
        <v>166</v>
      </c>
      <c r="V5518" s="308"/>
    </row>
    <row r="5519">
      <c r="A5519" s="308">
        <v>5518.0</v>
      </c>
      <c r="B5519" s="308"/>
      <c r="C5519" s="308" t="s">
        <v>22165</v>
      </c>
      <c r="D5519" s="308">
        <f>IFERROR(__xludf.DUMMYFUNCTION("SPLIT(C5519,""-"")"),5539.0)</f>
        <v>5539</v>
      </c>
      <c r="E5519" s="308" t="str">
        <f>IFERROR(__xludf.DUMMYFUNCTION("""COMPUTED_VALUE"""),"S")</f>
        <v>S</v>
      </c>
      <c r="F5519" s="312" t="s">
        <v>39</v>
      </c>
      <c r="G5519" s="308"/>
      <c r="H5519" s="308" t="s">
        <v>22166</v>
      </c>
      <c r="I5519" s="310">
        <v>42842.0</v>
      </c>
      <c r="J5519" s="319">
        <f>IFERROR(__xludf.DUMMYFUNCTION("SPLIT(I5519,""/"")"),17.0)</f>
        <v>17</v>
      </c>
      <c r="K5519" s="308">
        <f>IFERROR(__xludf.DUMMYFUNCTION("""COMPUTED_VALUE"""),4.0)</f>
        <v>4</v>
      </c>
      <c r="L5519" s="308">
        <f>IFERROR(__xludf.DUMMYFUNCTION("""COMPUTED_VALUE"""),2017.0)</f>
        <v>2017</v>
      </c>
      <c r="M5519" s="308"/>
      <c r="N5519" s="308"/>
      <c r="O5519" s="308"/>
      <c r="P5519" s="308" t="s">
        <v>38462</v>
      </c>
      <c r="Q5519" s="308" t="s">
        <v>38460</v>
      </c>
      <c r="R5519" s="308" t="s">
        <v>19483</v>
      </c>
      <c r="S5519" s="308" t="s">
        <v>81</v>
      </c>
      <c r="T5519" s="308" t="s">
        <v>75</v>
      </c>
      <c r="U5519" s="308" t="s">
        <v>166</v>
      </c>
      <c r="V5519" s="308"/>
    </row>
    <row r="5520">
      <c r="A5520" s="308">
        <v>5519.0</v>
      </c>
      <c r="B5520" s="308"/>
      <c r="C5520" s="308" t="s">
        <v>22168</v>
      </c>
      <c r="D5520" s="308">
        <f>IFERROR(__xludf.DUMMYFUNCTION("SPLIT(C5520,""-"")"),5540.0)</f>
        <v>5540</v>
      </c>
      <c r="E5520" s="308" t="str">
        <f>IFERROR(__xludf.DUMMYFUNCTION("""COMPUTED_VALUE"""),"S")</f>
        <v>S</v>
      </c>
      <c r="F5520" s="312" t="s">
        <v>39</v>
      </c>
      <c r="G5520" s="308"/>
      <c r="H5520" s="308" t="s">
        <v>22169</v>
      </c>
      <c r="I5520" s="310">
        <v>42842.0</v>
      </c>
      <c r="J5520" s="319">
        <f>IFERROR(__xludf.DUMMYFUNCTION("SPLIT(I5520,""/"")"),17.0)</f>
        <v>17</v>
      </c>
      <c r="K5520" s="308">
        <f>IFERROR(__xludf.DUMMYFUNCTION("""COMPUTED_VALUE"""),4.0)</f>
        <v>4</v>
      </c>
      <c r="L5520" s="308">
        <f>IFERROR(__xludf.DUMMYFUNCTION("""COMPUTED_VALUE"""),2017.0)</f>
        <v>2017</v>
      </c>
      <c r="M5520" s="308"/>
      <c r="N5520" s="308"/>
      <c r="O5520" s="308"/>
      <c r="P5520" s="308" t="s">
        <v>38463</v>
      </c>
      <c r="Q5520" s="308" t="s">
        <v>38460</v>
      </c>
      <c r="R5520" s="308" t="s">
        <v>19483</v>
      </c>
      <c r="S5520" s="308" t="s">
        <v>81</v>
      </c>
      <c r="T5520" s="308" t="s">
        <v>75</v>
      </c>
      <c r="U5520" s="308" t="s">
        <v>166</v>
      </c>
      <c r="V5520" s="308"/>
    </row>
    <row r="5521">
      <c r="A5521" s="308">
        <v>5520.0</v>
      </c>
      <c r="B5521" s="308"/>
      <c r="C5521" s="308" t="s">
        <v>22171</v>
      </c>
      <c r="D5521" s="308">
        <f>IFERROR(__xludf.DUMMYFUNCTION("SPLIT(C5521,""-"")"),5541.0)</f>
        <v>5541</v>
      </c>
      <c r="E5521" s="308" t="str">
        <f>IFERROR(__xludf.DUMMYFUNCTION("""COMPUTED_VALUE"""),"S")</f>
        <v>S</v>
      </c>
      <c r="F5521" s="312" t="s">
        <v>39</v>
      </c>
      <c r="G5521" s="308"/>
      <c r="H5521" s="308" t="s">
        <v>22172</v>
      </c>
      <c r="I5521" s="310">
        <v>42850.0</v>
      </c>
      <c r="J5521" s="319">
        <f>IFERROR(__xludf.DUMMYFUNCTION("SPLIT(I5521,""/"")"),25.0)</f>
        <v>25</v>
      </c>
      <c r="K5521" s="308">
        <f>IFERROR(__xludf.DUMMYFUNCTION("""COMPUTED_VALUE"""),4.0)</f>
        <v>4</v>
      </c>
      <c r="L5521" s="308">
        <f>IFERROR(__xludf.DUMMYFUNCTION("""COMPUTED_VALUE"""),2017.0)</f>
        <v>2017</v>
      </c>
      <c r="M5521" s="308"/>
      <c r="N5521" s="308"/>
      <c r="O5521" s="308" t="s">
        <v>22173</v>
      </c>
      <c r="P5521" s="308" t="s">
        <v>38464</v>
      </c>
      <c r="Q5521" s="308" t="s">
        <v>38460</v>
      </c>
      <c r="R5521" s="308" t="s">
        <v>19483</v>
      </c>
      <c r="S5521" s="308" t="s">
        <v>81</v>
      </c>
      <c r="T5521" s="308" t="s">
        <v>75</v>
      </c>
      <c r="U5521" s="308" t="s">
        <v>166</v>
      </c>
      <c r="V5521" s="308"/>
    </row>
    <row r="5522">
      <c r="A5522" s="308">
        <v>5521.0</v>
      </c>
      <c r="B5522" s="308"/>
      <c r="C5522" s="308" t="s">
        <v>38465</v>
      </c>
      <c r="D5522" s="308">
        <f>IFERROR(__xludf.DUMMYFUNCTION("SPLIT(C5522,""-"")"),5542.0)</f>
        <v>5542</v>
      </c>
      <c r="E5522" s="308" t="str">
        <f>IFERROR(__xludf.DUMMYFUNCTION("""COMPUTED_VALUE"""),"S
")</f>
        <v>S
</v>
      </c>
      <c r="F5522" s="312" t="s">
        <v>39</v>
      </c>
      <c r="G5522" s="308"/>
      <c r="H5522" s="308" t="s">
        <v>22176</v>
      </c>
      <c r="I5522" s="310">
        <v>42852.0</v>
      </c>
      <c r="J5522" s="319">
        <f>IFERROR(__xludf.DUMMYFUNCTION("SPLIT(I5522,""/"")"),27.0)</f>
        <v>27</v>
      </c>
      <c r="K5522" s="308">
        <f>IFERROR(__xludf.DUMMYFUNCTION("""COMPUTED_VALUE"""),4.0)</f>
        <v>4</v>
      </c>
      <c r="L5522" s="308">
        <f>IFERROR(__xludf.DUMMYFUNCTION("""COMPUTED_VALUE"""),2017.0)</f>
        <v>2017</v>
      </c>
      <c r="M5522" s="308"/>
      <c r="N5522" s="308"/>
      <c r="O5522" s="308"/>
      <c r="P5522" s="308" t="s">
        <v>34212</v>
      </c>
      <c r="Q5522" s="308" t="s">
        <v>38460</v>
      </c>
      <c r="R5522" s="308" t="s">
        <v>22177</v>
      </c>
      <c r="S5522" s="315" t="s">
        <v>100</v>
      </c>
      <c r="T5522" s="311" t="s">
        <v>34208</v>
      </c>
      <c r="U5522" s="308" t="s">
        <v>166</v>
      </c>
      <c r="V5522" s="308"/>
    </row>
    <row r="5523">
      <c r="A5523" s="308">
        <v>5522.0</v>
      </c>
      <c r="B5523" s="308"/>
      <c r="C5523" s="308" t="s">
        <v>22178</v>
      </c>
      <c r="D5523" s="308">
        <f>IFERROR(__xludf.DUMMYFUNCTION("SPLIT(C5523,""-"")"),5543.0)</f>
        <v>5543</v>
      </c>
      <c r="E5523" s="308" t="str">
        <f>IFERROR(__xludf.DUMMYFUNCTION("""COMPUTED_VALUE"""),"S")</f>
        <v>S</v>
      </c>
      <c r="F5523" s="312" t="s">
        <v>39</v>
      </c>
      <c r="G5523" s="308"/>
      <c r="H5523" s="308" t="s">
        <v>22179</v>
      </c>
      <c r="I5523" s="310">
        <v>42862.0</v>
      </c>
      <c r="J5523" s="319">
        <f>IFERROR(__xludf.DUMMYFUNCTION("SPLIT(I5523,""/"")"),7.0)</f>
        <v>7</v>
      </c>
      <c r="K5523" s="308">
        <f>IFERROR(__xludf.DUMMYFUNCTION("""COMPUTED_VALUE"""),5.0)</f>
        <v>5</v>
      </c>
      <c r="L5523" s="308">
        <f>IFERROR(__xludf.DUMMYFUNCTION("""COMPUTED_VALUE"""),2017.0)</f>
        <v>2017</v>
      </c>
      <c r="M5523" s="308"/>
      <c r="N5523" s="308"/>
      <c r="O5523" s="308"/>
      <c r="P5523" s="308" t="s">
        <v>38466</v>
      </c>
      <c r="Q5523" s="308" t="s">
        <v>38460</v>
      </c>
      <c r="R5523" s="308" t="s">
        <v>19483</v>
      </c>
      <c r="S5523" s="308" t="s">
        <v>49</v>
      </c>
      <c r="T5523" s="308" t="s">
        <v>51</v>
      </c>
      <c r="U5523" s="308" t="s">
        <v>166</v>
      </c>
      <c r="V5523" s="308"/>
    </row>
    <row r="5524">
      <c r="A5524" s="308">
        <v>5523.0</v>
      </c>
      <c r="B5524" s="308"/>
      <c r="C5524" s="308" t="s">
        <v>22181</v>
      </c>
      <c r="D5524" s="308">
        <f>IFERROR(__xludf.DUMMYFUNCTION("SPLIT(C5524,""-"")"),5544.0)</f>
        <v>5544</v>
      </c>
      <c r="E5524" s="308" t="str">
        <f>IFERROR(__xludf.DUMMYFUNCTION("""COMPUTED_VALUE"""),"S")</f>
        <v>S</v>
      </c>
      <c r="F5524" s="312" t="s">
        <v>39</v>
      </c>
      <c r="G5524" s="308"/>
      <c r="H5524" s="308" t="s">
        <v>22182</v>
      </c>
      <c r="I5524" s="310">
        <v>42940.0</v>
      </c>
      <c r="J5524" s="319">
        <f>IFERROR(__xludf.DUMMYFUNCTION("SPLIT(I5524,""/"")"),24.0)</f>
        <v>24</v>
      </c>
      <c r="K5524" s="308">
        <f>IFERROR(__xludf.DUMMYFUNCTION("""COMPUTED_VALUE"""),7.0)</f>
        <v>7</v>
      </c>
      <c r="L5524" s="308">
        <f>IFERROR(__xludf.DUMMYFUNCTION("""COMPUTED_VALUE"""),2017.0)</f>
        <v>2017</v>
      </c>
      <c r="M5524" s="308" t="s">
        <v>38467</v>
      </c>
      <c r="N5524" s="308"/>
      <c r="O5524" s="308"/>
      <c r="P5524" s="308" t="s">
        <v>38468</v>
      </c>
      <c r="Q5524" s="308" t="s">
        <v>38460</v>
      </c>
      <c r="R5524" s="308" t="s">
        <v>22185</v>
      </c>
      <c r="S5524" s="308" t="s">
        <v>81</v>
      </c>
      <c r="T5524" s="308" t="s">
        <v>75</v>
      </c>
      <c r="U5524" s="308" t="s">
        <v>166</v>
      </c>
      <c r="V5524" s="308"/>
    </row>
    <row r="5525">
      <c r="A5525" s="308">
        <v>5524.0</v>
      </c>
      <c r="B5525" s="308"/>
      <c r="C5525" s="308" t="s">
        <v>22186</v>
      </c>
      <c r="D5525" s="308"/>
      <c r="E5525" s="311"/>
      <c r="F5525" s="317" t="s">
        <v>39</v>
      </c>
      <c r="G5525" s="308"/>
      <c r="H5525" s="308" t="s">
        <v>22187</v>
      </c>
      <c r="I5525" s="310">
        <v>42879.0</v>
      </c>
      <c r="J5525" s="319">
        <f>IFERROR(__xludf.DUMMYFUNCTION("SPLIT(I5525,""/"")"),24.0)</f>
        <v>24</v>
      </c>
      <c r="K5525" s="308">
        <f>IFERROR(__xludf.DUMMYFUNCTION("""COMPUTED_VALUE"""),5.0)</f>
        <v>5</v>
      </c>
      <c r="L5525" s="308">
        <f>IFERROR(__xludf.DUMMYFUNCTION("""COMPUTED_VALUE"""),2017.0)</f>
        <v>2017</v>
      </c>
      <c r="M5525" s="308"/>
      <c r="N5525" s="308"/>
      <c r="O5525" s="308"/>
      <c r="P5525" s="308" t="s">
        <v>22188</v>
      </c>
      <c r="Q5525" s="308" t="s">
        <v>38460</v>
      </c>
      <c r="R5525" s="308" t="s">
        <v>19483</v>
      </c>
      <c r="S5525" s="308" t="s">
        <v>81</v>
      </c>
      <c r="T5525" s="308" t="s">
        <v>75</v>
      </c>
      <c r="U5525" s="308" t="s">
        <v>166</v>
      </c>
      <c r="V5525" s="308"/>
    </row>
    <row r="5526">
      <c r="A5526" s="308">
        <v>5525.0</v>
      </c>
      <c r="B5526" s="308"/>
      <c r="C5526" s="308" t="s">
        <v>22189</v>
      </c>
      <c r="D5526" s="308">
        <f>IFERROR(__xludf.DUMMYFUNCTION("SPLIT(C5526,""-"")"),5546.0)</f>
        <v>5546</v>
      </c>
      <c r="E5526" s="308" t="str">
        <f>IFERROR(__xludf.DUMMYFUNCTION("""COMPUTED_VALUE"""),"S")</f>
        <v>S</v>
      </c>
      <c r="F5526" s="312" t="s">
        <v>39</v>
      </c>
      <c r="G5526" s="308"/>
      <c r="H5526" s="308" t="s">
        <v>22190</v>
      </c>
      <c r="I5526" s="310">
        <v>42887.0</v>
      </c>
      <c r="J5526" s="319">
        <f>IFERROR(__xludf.DUMMYFUNCTION("SPLIT(I5526,""/"")"),1.0)</f>
        <v>1</v>
      </c>
      <c r="K5526" s="308">
        <f>IFERROR(__xludf.DUMMYFUNCTION("""COMPUTED_VALUE"""),6.0)</f>
        <v>6</v>
      </c>
      <c r="L5526" s="308">
        <f>IFERROR(__xludf.DUMMYFUNCTION("""COMPUTED_VALUE"""),2017.0)</f>
        <v>2017</v>
      </c>
      <c r="M5526" s="308"/>
      <c r="N5526" s="308"/>
      <c r="O5526" s="308"/>
      <c r="P5526" s="308" t="s">
        <v>38469</v>
      </c>
      <c r="Q5526" s="308" t="s">
        <v>38460</v>
      </c>
      <c r="R5526" s="308" t="s">
        <v>19483</v>
      </c>
      <c r="S5526" s="308" t="s">
        <v>81</v>
      </c>
      <c r="T5526" s="308" t="s">
        <v>75</v>
      </c>
      <c r="U5526" s="308" t="s">
        <v>166</v>
      </c>
      <c r="V5526" s="308"/>
    </row>
    <row r="5527">
      <c r="A5527" s="308">
        <v>5526.0</v>
      </c>
      <c r="B5527" s="308"/>
      <c r="C5527" s="308" t="s">
        <v>22192</v>
      </c>
      <c r="D5527" s="308">
        <f>IFERROR(__xludf.DUMMYFUNCTION("SPLIT(C5527,""-"")"),5547.0)</f>
        <v>5547</v>
      </c>
      <c r="E5527" s="308" t="str">
        <f>IFERROR(__xludf.DUMMYFUNCTION("""COMPUTED_VALUE"""),"S")</f>
        <v>S</v>
      </c>
      <c r="F5527" s="312" t="s">
        <v>39</v>
      </c>
      <c r="G5527" s="308"/>
      <c r="H5527" s="308" t="s">
        <v>22193</v>
      </c>
      <c r="I5527" s="310">
        <v>42946.0</v>
      </c>
      <c r="J5527" s="319">
        <f>IFERROR(__xludf.DUMMYFUNCTION("SPLIT(I5527,""/"")"),30.0)</f>
        <v>30</v>
      </c>
      <c r="K5527" s="308">
        <f>IFERROR(__xludf.DUMMYFUNCTION("""COMPUTED_VALUE"""),7.0)</f>
        <v>7</v>
      </c>
      <c r="L5527" s="308">
        <f>IFERROR(__xludf.DUMMYFUNCTION("""COMPUTED_VALUE"""),2017.0)</f>
        <v>2017</v>
      </c>
      <c r="M5527" s="308"/>
      <c r="N5527" s="308"/>
      <c r="O5527" s="308"/>
      <c r="P5527" s="308" t="s">
        <v>38470</v>
      </c>
      <c r="Q5527" s="308" t="s">
        <v>38460</v>
      </c>
      <c r="R5527" s="308" t="s">
        <v>19483</v>
      </c>
      <c r="S5527" s="308" t="s">
        <v>81</v>
      </c>
      <c r="T5527" s="308" t="s">
        <v>75</v>
      </c>
      <c r="U5527" s="308" t="s">
        <v>166</v>
      </c>
      <c r="V5527" s="308"/>
    </row>
    <row r="5528">
      <c r="A5528" s="308">
        <v>5527.0</v>
      </c>
      <c r="B5528" s="308"/>
      <c r="C5528" s="308" t="s">
        <v>22195</v>
      </c>
      <c r="D5528" s="308">
        <f>IFERROR(__xludf.DUMMYFUNCTION("SPLIT(C5528,""-"")"),5548.0)</f>
        <v>5548</v>
      </c>
      <c r="E5528" s="308" t="str">
        <f>IFERROR(__xludf.DUMMYFUNCTION("""COMPUTED_VALUE"""),"S")</f>
        <v>S</v>
      </c>
      <c r="F5528" s="312" t="s">
        <v>39</v>
      </c>
      <c r="G5528" s="308"/>
      <c r="H5528" s="308" t="s">
        <v>22196</v>
      </c>
      <c r="I5528" s="310">
        <v>42946.0</v>
      </c>
      <c r="J5528" s="319">
        <f>IFERROR(__xludf.DUMMYFUNCTION("SPLIT(I5528,""/"")"),30.0)</f>
        <v>30</v>
      </c>
      <c r="K5528" s="308">
        <f>IFERROR(__xludf.DUMMYFUNCTION("""COMPUTED_VALUE"""),7.0)</f>
        <v>7</v>
      </c>
      <c r="L5528" s="308">
        <f>IFERROR(__xludf.DUMMYFUNCTION("""COMPUTED_VALUE"""),2017.0)</f>
        <v>2017</v>
      </c>
      <c r="M5528" s="308"/>
      <c r="N5528" s="308"/>
      <c r="O5528" s="308"/>
      <c r="P5528" s="308"/>
      <c r="Q5528" s="308" t="s">
        <v>38460</v>
      </c>
      <c r="R5528" s="308" t="s">
        <v>19483</v>
      </c>
      <c r="S5528" s="308" t="s">
        <v>79</v>
      </c>
      <c r="T5528" s="308" t="s">
        <v>79</v>
      </c>
      <c r="U5528" s="308" t="s">
        <v>166</v>
      </c>
      <c r="V5528" s="308"/>
    </row>
    <row r="5529">
      <c r="A5529" s="308">
        <v>5528.0</v>
      </c>
      <c r="B5529" s="308"/>
      <c r="C5529" s="308" t="s">
        <v>22197</v>
      </c>
      <c r="D5529" s="308">
        <f>IFERROR(__xludf.DUMMYFUNCTION("SPLIT(C5529,""-"")"),5549.0)</f>
        <v>5549</v>
      </c>
      <c r="E5529" s="308" t="str">
        <f>IFERROR(__xludf.DUMMYFUNCTION("""COMPUTED_VALUE"""),"S")</f>
        <v>S</v>
      </c>
      <c r="F5529" s="312" t="s">
        <v>39</v>
      </c>
      <c r="G5529" s="308"/>
      <c r="H5529" s="308" t="s">
        <v>22198</v>
      </c>
      <c r="I5529" s="310">
        <v>42991.0</v>
      </c>
      <c r="J5529" s="319">
        <f>IFERROR(__xludf.DUMMYFUNCTION("SPLIT(I5529,""/"")"),13.0)</f>
        <v>13</v>
      </c>
      <c r="K5529" s="308">
        <f>IFERROR(__xludf.DUMMYFUNCTION("""COMPUTED_VALUE"""),9.0)</f>
        <v>9</v>
      </c>
      <c r="L5529" s="308">
        <f>IFERROR(__xludf.DUMMYFUNCTION("""COMPUTED_VALUE"""),2017.0)</f>
        <v>2017</v>
      </c>
      <c r="M5529" s="308"/>
      <c r="N5529" s="308"/>
      <c r="O5529" s="308"/>
      <c r="P5529" s="308" t="s">
        <v>38471</v>
      </c>
      <c r="Q5529" s="308" t="s">
        <v>38460</v>
      </c>
      <c r="R5529" s="308" t="s">
        <v>19483</v>
      </c>
      <c r="S5529" s="308" t="s">
        <v>81</v>
      </c>
      <c r="T5529" s="308" t="s">
        <v>75</v>
      </c>
      <c r="U5529" s="308" t="s">
        <v>166</v>
      </c>
      <c r="V5529" s="308"/>
    </row>
    <row r="5530">
      <c r="A5530" s="308">
        <v>5529.0</v>
      </c>
      <c r="B5530" s="308"/>
      <c r="C5530" s="308" t="s">
        <v>22200</v>
      </c>
      <c r="D5530" s="308">
        <f>IFERROR(__xludf.DUMMYFUNCTION("SPLIT(C5530,""-"")"),5550.0)</f>
        <v>5550</v>
      </c>
      <c r="E5530" s="308" t="str">
        <f>IFERROR(__xludf.DUMMYFUNCTION("""COMPUTED_VALUE"""),"S")</f>
        <v>S</v>
      </c>
      <c r="F5530" s="312" t="s">
        <v>39</v>
      </c>
      <c r="G5530" s="308"/>
      <c r="H5530" s="308" t="s">
        <v>22201</v>
      </c>
      <c r="I5530" s="310">
        <v>42799.0</v>
      </c>
      <c r="J5530" s="319">
        <f>IFERROR(__xludf.DUMMYFUNCTION("SPLIT(I5530,""/"")"),5.0)</f>
        <v>5</v>
      </c>
      <c r="K5530" s="308">
        <f>IFERROR(__xludf.DUMMYFUNCTION("""COMPUTED_VALUE"""),3.0)</f>
        <v>3</v>
      </c>
      <c r="L5530" s="308">
        <f>IFERROR(__xludf.DUMMYFUNCTION("""COMPUTED_VALUE"""),2017.0)</f>
        <v>2017</v>
      </c>
      <c r="M5530" s="308"/>
      <c r="N5530" s="308"/>
      <c r="O5530" s="308"/>
      <c r="P5530" s="308" t="s">
        <v>38472</v>
      </c>
      <c r="Q5530" s="308" t="s">
        <v>38460</v>
      </c>
      <c r="R5530" s="308" t="s">
        <v>19483</v>
      </c>
      <c r="S5530" s="308" t="s">
        <v>81</v>
      </c>
      <c r="T5530" s="308" t="s">
        <v>75</v>
      </c>
      <c r="U5530" s="308" t="s">
        <v>166</v>
      </c>
      <c r="V5530" s="308"/>
    </row>
    <row r="5531">
      <c r="A5531" s="308">
        <v>5530.0</v>
      </c>
      <c r="B5531" s="308"/>
      <c r="C5531" s="308" t="s">
        <v>22203</v>
      </c>
      <c r="D5531" s="308">
        <f>IFERROR(__xludf.DUMMYFUNCTION("SPLIT(C5531,""-"")"),5551.0)</f>
        <v>5551</v>
      </c>
      <c r="E5531" s="308" t="str">
        <f>IFERROR(__xludf.DUMMYFUNCTION("""COMPUTED_VALUE"""),"S")</f>
        <v>S</v>
      </c>
      <c r="F5531" s="312" t="s">
        <v>39</v>
      </c>
      <c r="G5531" s="308"/>
      <c r="H5531" s="308" t="s">
        <v>22204</v>
      </c>
      <c r="I5531" s="314">
        <v>43061.0</v>
      </c>
      <c r="J5531" s="319">
        <f>IFERROR(__xludf.DUMMYFUNCTION("SPLIT(I5531,""/"")"),22.0)</f>
        <v>22</v>
      </c>
      <c r="K5531" s="308">
        <f>IFERROR(__xludf.DUMMYFUNCTION("""COMPUTED_VALUE"""),11.0)</f>
        <v>11</v>
      </c>
      <c r="L5531" s="308">
        <f>IFERROR(__xludf.DUMMYFUNCTION("""COMPUTED_VALUE"""),2017.0)</f>
        <v>2017</v>
      </c>
      <c r="M5531" s="308"/>
      <c r="N5531" s="308"/>
      <c r="O5531" s="308"/>
      <c r="P5531" s="308" t="s">
        <v>38473</v>
      </c>
      <c r="Q5531" s="308" t="s">
        <v>38460</v>
      </c>
      <c r="R5531" s="308" t="s">
        <v>19483</v>
      </c>
      <c r="S5531" s="308" t="s">
        <v>49</v>
      </c>
      <c r="T5531" s="311" t="s">
        <v>53</v>
      </c>
      <c r="U5531" s="308" t="s">
        <v>166</v>
      </c>
      <c r="V5531" s="308"/>
    </row>
    <row r="5532">
      <c r="A5532" s="308">
        <v>5531.0</v>
      </c>
      <c r="B5532" s="308"/>
      <c r="C5532" s="308" t="s">
        <v>22206</v>
      </c>
      <c r="D5532" s="308">
        <f>IFERROR(__xludf.DUMMYFUNCTION("SPLIT(C5532,""-"")"),5552.0)</f>
        <v>5552</v>
      </c>
      <c r="E5532" s="308" t="str">
        <f>IFERROR(__xludf.DUMMYFUNCTION("""COMPUTED_VALUE"""),"S")</f>
        <v>S</v>
      </c>
      <c r="F5532" s="312" t="s">
        <v>39</v>
      </c>
      <c r="G5532" s="308"/>
      <c r="H5532" s="308" t="s">
        <v>22207</v>
      </c>
      <c r="I5532" s="310">
        <v>43191.0</v>
      </c>
      <c r="J5532" s="319">
        <f>IFERROR(__xludf.DUMMYFUNCTION("SPLIT(I5532,""/"")"),1.0)</f>
        <v>1</v>
      </c>
      <c r="K5532" s="308">
        <f>IFERROR(__xludf.DUMMYFUNCTION("""COMPUTED_VALUE"""),4.0)</f>
        <v>4</v>
      </c>
      <c r="L5532" s="308">
        <f>IFERROR(__xludf.DUMMYFUNCTION("""COMPUTED_VALUE"""),2018.0)</f>
        <v>2018</v>
      </c>
      <c r="M5532" s="308"/>
      <c r="N5532" s="308"/>
      <c r="O5532" s="308"/>
      <c r="P5532" s="308" t="s">
        <v>38474</v>
      </c>
      <c r="Q5532" s="308" t="s">
        <v>38460</v>
      </c>
      <c r="R5532" s="308" t="s">
        <v>19483</v>
      </c>
      <c r="S5532" s="308" t="s">
        <v>49</v>
      </c>
      <c r="T5532" s="311" t="s">
        <v>77</v>
      </c>
      <c r="U5532" s="308" t="s">
        <v>166</v>
      </c>
      <c r="V5532" s="308"/>
    </row>
    <row r="5533">
      <c r="A5533" s="308">
        <v>5532.0</v>
      </c>
      <c r="B5533" s="308"/>
      <c r="C5533" s="308" t="s">
        <v>22209</v>
      </c>
      <c r="D5533" s="308">
        <f>IFERROR(__xludf.DUMMYFUNCTION("SPLIT(C5533,""-"")"),5553.0)</f>
        <v>5553</v>
      </c>
      <c r="E5533" s="308" t="str">
        <f>IFERROR(__xludf.DUMMYFUNCTION("""COMPUTED_VALUE"""),"S")</f>
        <v>S</v>
      </c>
      <c r="F5533" s="312" t="s">
        <v>39</v>
      </c>
      <c r="G5533" s="308"/>
      <c r="H5533" s="308" t="s">
        <v>22210</v>
      </c>
      <c r="I5533" s="310">
        <v>43191.0</v>
      </c>
      <c r="J5533" s="319">
        <f>IFERROR(__xludf.DUMMYFUNCTION("SPLIT(I5533,""/"")"),1.0)</f>
        <v>1</v>
      </c>
      <c r="K5533" s="308">
        <f>IFERROR(__xludf.DUMMYFUNCTION("""COMPUTED_VALUE"""),4.0)</f>
        <v>4</v>
      </c>
      <c r="L5533" s="308">
        <f>IFERROR(__xludf.DUMMYFUNCTION("""COMPUTED_VALUE"""),2018.0)</f>
        <v>2018</v>
      </c>
      <c r="M5533" s="308"/>
      <c r="N5533" s="308"/>
      <c r="O5533" s="308"/>
      <c r="P5533" s="308" t="s">
        <v>38475</v>
      </c>
      <c r="Q5533" s="308" t="s">
        <v>38460</v>
      </c>
      <c r="R5533" s="308" t="s">
        <v>19483</v>
      </c>
      <c r="S5533" s="308" t="s">
        <v>81</v>
      </c>
      <c r="T5533" s="308" t="s">
        <v>75</v>
      </c>
      <c r="U5533" s="308" t="s">
        <v>166</v>
      </c>
      <c r="V5533" s="308"/>
    </row>
    <row r="5534">
      <c r="A5534" s="308">
        <v>5533.0</v>
      </c>
      <c r="B5534" s="308"/>
      <c r="C5534" s="308" t="s">
        <v>22212</v>
      </c>
      <c r="D5534" s="308">
        <f>IFERROR(__xludf.DUMMYFUNCTION("SPLIT(C5534,""-"")"),5554.0)</f>
        <v>5554</v>
      </c>
      <c r="E5534" s="308" t="str">
        <f>IFERROR(__xludf.DUMMYFUNCTION("""COMPUTED_VALUE"""),"S")</f>
        <v>S</v>
      </c>
      <c r="F5534" s="312" t="s">
        <v>39</v>
      </c>
      <c r="G5534" s="308"/>
      <c r="H5534" s="308" t="s">
        <v>22213</v>
      </c>
      <c r="I5534" s="310">
        <v>42248.0</v>
      </c>
      <c r="J5534" s="319">
        <f>IFERROR(__xludf.DUMMYFUNCTION("SPLIT(I5534,""/"")"),1.0)</f>
        <v>1</v>
      </c>
      <c r="K5534" s="308">
        <f>IFERROR(__xludf.DUMMYFUNCTION("""COMPUTED_VALUE"""),9.0)</f>
        <v>9</v>
      </c>
      <c r="L5534" s="308">
        <f>IFERROR(__xludf.DUMMYFUNCTION("""COMPUTED_VALUE"""),2015.0)</f>
        <v>2015</v>
      </c>
      <c r="M5534" s="308"/>
      <c r="N5534" s="308"/>
      <c r="O5534" s="308"/>
      <c r="P5534" s="308" t="s">
        <v>22214</v>
      </c>
      <c r="Q5534" s="308" t="s">
        <v>38460</v>
      </c>
      <c r="R5534" s="308" t="s">
        <v>19483</v>
      </c>
      <c r="S5534" s="308" t="s">
        <v>49</v>
      </c>
      <c r="T5534" s="311" t="s">
        <v>53</v>
      </c>
      <c r="U5534" s="308" t="s">
        <v>166</v>
      </c>
      <c r="V5534" s="308"/>
    </row>
    <row r="5535">
      <c r="A5535" s="308">
        <v>5534.0</v>
      </c>
      <c r="B5535" s="308"/>
      <c r="C5535" s="308" t="s">
        <v>22215</v>
      </c>
      <c r="D5535" s="308">
        <f>IFERROR(__xludf.DUMMYFUNCTION("SPLIT(C5535,""-"")"),5555.0)</f>
        <v>5555</v>
      </c>
      <c r="E5535" s="308" t="str">
        <f>IFERROR(__xludf.DUMMYFUNCTION("""COMPUTED_VALUE"""),"S")</f>
        <v>S</v>
      </c>
      <c r="F5535" s="312" t="s">
        <v>39</v>
      </c>
      <c r="G5535" s="308"/>
      <c r="H5535" s="308" t="s">
        <v>22216</v>
      </c>
      <c r="I5535" s="314">
        <v>42689.0</v>
      </c>
      <c r="J5535" s="319">
        <f>IFERROR(__xludf.DUMMYFUNCTION("SPLIT(I5535,""/"")"),15.0)</f>
        <v>15</v>
      </c>
      <c r="K5535" s="308">
        <f>IFERROR(__xludf.DUMMYFUNCTION("""COMPUTED_VALUE"""),11.0)</f>
        <v>11</v>
      </c>
      <c r="L5535" s="308">
        <f>IFERROR(__xludf.DUMMYFUNCTION("""COMPUTED_VALUE"""),2016.0)</f>
        <v>2016</v>
      </c>
      <c r="M5535" s="308"/>
      <c r="N5535" s="308"/>
      <c r="O5535" s="308"/>
      <c r="P5535" s="308" t="s">
        <v>38476</v>
      </c>
      <c r="Q5535" s="308" t="s">
        <v>38460</v>
      </c>
      <c r="R5535" s="308" t="s">
        <v>19483</v>
      </c>
      <c r="S5535" s="308" t="s">
        <v>81</v>
      </c>
      <c r="T5535" s="308" t="s">
        <v>73</v>
      </c>
      <c r="U5535" s="308" t="s">
        <v>166</v>
      </c>
      <c r="V5535" s="308"/>
    </row>
    <row r="5536">
      <c r="A5536" s="308">
        <v>5535.0</v>
      </c>
      <c r="B5536" s="308"/>
      <c r="C5536" s="308" t="s">
        <v>22218</v>
      </c>
      <c r="D5536" s="308">
        <f>IFERROR(__xludf.DUMMYFUNCTION("SPLIT(C5536,""-"")"),5556.0)</f>
        <v>5556</v>
      </c>
      <c r="E5536" s="308" t="str">
        <f>IFERROR(__xludf.DUMMYFUNCTION("""COMPUTED_VALUE"""),"S")</f>
        <v>S</v>
      </c>
      <c r="F5536" s="312" t="s">
        <v>39</v>
      </c>
      <c r="G5536" s="308"/>
      <c r="H5536" s="308" t="s">
        <v>22219</v>
      </c>
      <c r="I5536" s="310">
        <v>43238.0</v>
      </c>
      <c r="J5536" s="319">
        <f>IFERROR(__xludf.DUMMYFUNCTION("SPLIT(I5536,""/"")"),18.0)</f>
        <v>18</v>
      </c>
      <c r="K5536" s="308">
        <f>IFERROR(__xludf.DUMMYFUNCTION("""COMPUTED_VALUE"""),5.0)</f>
        <v>5</v>
      </c>
      <c r="L5536" s="308">
        <f>IFERROR(__xludf.DUMMYFUNCTION("""COMPUTED_VALUE"""),2018.0)</f>
        <v>2018</v>
      </c>
      <c r="M5536" s="308"/>
      <c r="N5536" s="308"/>
      <c r="O5536" s="308"/>
      <c r="P5536" s="308" t="s">
        <v>38338</v>
      </c>
      <c r="Q5536" s="308" t="s">
        <v>38460</v>
      </c>
      <c r="R5536" s="308" t="s">
        <v>19483</v>
      </c>
      <c r="S5536" s="308" t="s">
        <v>49</v>
      </c>
      <c r="T5536" s="308" t="s">
        <v>51</v>
      </c>
      <c r="U5536" s="308" t="s">
        <v>166</v>
      </c>
      <c r="V5536" s="308"/>
    </row>
    <row r="5537">
      <c r="A5537" s="308">
        <v>5536.0</v>
      </c>
      <c r="B5537" s="308"/>
      <c r="C5537" s="308" t="s">
        <v>22220</v>
      </c>
      <c r="D5537" s="308">
        <f>IFERROR(__xludf.DUMMYFUNCTION("SPLIT(C5537,""-"")"),5557.0)</f>
        <v>5557</v>
      </c>
      <c r="E5537" s="308" t="str">
        <f>IFERROR(__xludf.DUMMYFUNCTION("""COMPUTED_VALUE"""),"S")</f>
        <v>S</v>
      </c>
      <c r="F5537" s="312" t="s">
        <v>39</v>
      </c>
      <c r="G5537" s="308"/>
      <c r="H5537" s="308" t="s">
        <v>22221</v>
      </c>
      <c r="I5537" s="310">
        <v>42926.0</v>
      </c>
      <c r="J5537" s="319">
        <f>IFERROR(__xludf.DUMMYFUNCTION("SPLIT(I5537,""/"")"),10.0)</f>
        <v>10</v>
      </c>
      <c r="K5537" s="308">
        <f>IFERROR(__xludf.DUMMYFUNCTION("""COMPUTED_VALUE"""),7.0)</f>
        <v>7</v>
      </c>
      <c r="L5537" s="308">
        <f>IFERROR(__xludf.DUMMYFUNCTION("""COMPUTED_VALUE"""),2017.0)</f>
        <v>2017</v>
      </c>
      <c r="M5537" s="308"/>
      <c r="N5537" s="308"/>
      <c r="O5537" s="308"/>
      <c r="P5537" s="308" t="s">
        <v>38477</v>
      </c>
      <c r="Q5537" s="308" t="s">
        <v>38460</v>
      </c>
      <c r="R5537" s="308" t="s">
        <v>19483</v>
      </c>
      <c r="S5537" s="308" t="s">
        <v>49</v>
      </c>
      <c r="T5537" s="308" t="s">
        <v>67</v>
      </c>
      <c r="U5537" s="308" t="s">
        <v>166</v>
      </c>
      <c r="V5537" s="308"/>
    </row>
    <row r="5538">
      <c r="A5538" s="308">
        <v>5537.0</v>
      </c>
      <c r="B5538" s="308"/>
      <c r="C5538" s="308" t="s">
        <v>22223</v>
      </c>
      <c r="D5538" s="308">
        <f>IFERROR(__xludf.DUMMYFUNCTION("SPLIT(C5538,""-"")"),5558.0)</f>
        <v>5558</v>
      </c>
      <c r="E5538" s="308" t="str">
        <f>IFERROR(__xludf.DUMMYFUNCTION("""COMPUTED_VALUE"""),"S")</f>
        <v>S</v>
      </c>
      <c r="F5538" s="312" t="s">
        <v>39</v>
      </c>
      <c r="G5538" s="308"/>
      <c r="H5538" s="308" t="s">
        <v>22224</v>
      </c>
      <c r="I5538" s="310">
        <v>43180.0</v>
      </c>
      <c r="J5538" s="319">
        <f>IFERROR(__xludf.DUMMYFUNCTION("SPLIT(I5538,""/"")"),21.0)</f>
        <v>21</v>
      </c>
      <c r="K5538" s="308">
        <f>IFERROR(__xludf.DUMMYFUNCTION("""COMPUTED_VALUE"""),3.0)</f>
        <v>3</v>
      </c>
      <c r="L5538" s="308">
        <f>IFERROR(__xludf.DUMMYFUNCTION("""COMPUTED_VALUE"""),2018.0)</f>
        <v>2018</v>
      </c>
      <c r="M5538" s="308"/>
      <c r="N5538" s="308"/>
      <c r="O5538" s="308"/>
      <c r="P5538" s="308" t="s">
        <v>22225</v>
      </c>
      <c r="Q5538" s="308" t="s">
        <v>38460</v>
      </c>
      <c r="R5538" s="308" t="s">
        <v>19483</v>
      </c>
      <c r="S5538" s="308" t="s">
        <v>81</v>
      </c>
      <c r="T5538" s="308" t="s">
        <v>75</v>
      </c>
      <c r="U5538" s="308" t="s">
        <v>166</v>
      </c>
      <c r="V5538" s="308"/>
    </row>
    <row r="5539">
      <c r="A5539" s="308">
        <v>5538.0</v>
      </c>
      <c r="B5539" s="308"/>
      <c r="C5539" s="308" t="s">
        <v>22226</v>
      </c>
      <c r="D5539" s="308">
        <f>IFERROR(__xludf.DUMMYFUNCTION("SPLIT(C5539,""-"")"),5559.0)</f>
        <v>5559</v>
      </c>
      <c r="E5539" s="308" t="str">
        <f>IFERROR(__xludf.DUMMYFUNCTION("""COMPUTED_VALUE"""),"S")</f>
        <v>S</v>
      </c>
      <c r="F5539" s="312" t="s">
        <v>39</v>
      </c>
      <c r="G5539" s="308"/>
      <c r="H5539" s="308" t="s">
        <v>22227</v>
      </c>
      <c r="I5539" s="310">
        <v>42983.0</v>
      </c>
      <c r="J5539" s="319">
        <f>IFERROR(__xludf.DUMMYFUNCTION("SPLIT(I5539,""/"")"),5.0)</f>
        <v>5</v>
      </c>
      <c r="K5539" s="308">
        <f>IFERROR(__xludf.DUMMYFUNCTION("""COMPUTED_VALUE"""),9.0)</f>
        <v>9</v>
      </c>
      <c r="L5539" s="308">
        <f>IFERROR(__xludf.DUMMYFUNCTION("""COMPUTED_VALUE"""),2017.0)</f>
        <v>2017</v>
      </c>
      <c r="M5539" s="308"/>
      <c r="N5539" s="308"/>
      <c r="O5539" s="308"/>
      <c r="P5539" s="308" t="s">
        <v>22228</v>
      </c>
      <c r="Q5539" s="308" t="s">
        <v>38460</v>
      </c>
      <c r="R5539" s="308" t="s">
        <v>19483</v>
      </c>
      <c r="S5539" s="308" t="s">
        <v>81</v>
      </c>
      <c r="T5539" s="308" t="s">
        <v>75</v>
      </c>
      <c r="U5539" s="308" t="s">
        <v>166</v>
      </c>
      <c r="V5539" s="308"/>
    </row>
    <row r="5540">
      <c r="A5540" s="308">
        <v>5539.0</v>
      </c>
      <c r="B5540" s="308"/>
      <c r="C5540" s="308" t="s">
        <v>22229</v>
      </c>
      <c r="D5540" s="308" t="str">
        <f>IFERROR(__xludf.DUMMYFUNCTION("SPLIT(C5540,""-"")"),"#REF!")</f>
        <v>#REF!</v>
      </c>
      <c r="E5540" s="311"/>
      <c r="F5540" s="317" t="s">
        <v>39</v>
      </c>
      <c r="G5540" s="308"/>
      <c r="H5540" s="308" t="s">
        <v>38478</v>
      </c>
      <c r="I5540" s="314">
        <v>43085.0</v>
      </c>
      <c r="J5540" s="319">
        <f>IFERROR(__xludf.DUMMYFUNCTION("SPLIT(I5540,""/"")"),16.0)</f>
        <v>16</v>
      </c>
      <c r="K5540" s="308">
        <f>IFERROR(__xludf.DUMMYFUNCTION("""COMPUTED_VALUE"""),12.0)</f>
        <v>12</v>
      </c>
      <c r="L5540" s="308">
        <f>IFERROR(__xludf.DUMMYFUNCTION("""COMPUTED_VALUE"""),2017.0)</f>
        <v>2017</v>
      </c>
      <c r="M5540" s="308"/>
      <c r="N5540" s="308"/>
      <c r="O5540" s="308"/>
      <c r="P5540" s="308" t="s">
        <v>38479</v>
      </c>
      <c r="Q5540" s="308" t="s">
        <v>38460</v>
      </c>
      <c r="R5540" s="308" t="s">
        <v>19483</v>
      </c>
      <c r="S5540" s="308" t="s">
        <v>81</v>
      </c>
      <c r="T5540" s="308" t="s">
        <v>75</v>
      </c>
      <c r="U5540" s="308" t="s">
        <v>166</v>
      </c>
      <c r="V5540" s="308"/>
    </row>
    <row r="5541">
      <c r="A5541" s="308">
        <v>5540.0</v>
      </c>
      <c r="B5541" s="308"/>
      <c r="C5541" s="308" t="s">
        <v>22232</v>
      </c>
      <c r="D5541" s="308">
        <f>IFERROR(__xludf.DUMMYFUNCTION("SPLIT(C5541,""-"")"),5561.0)</f>
        <v>5561</v>
      </c>
      <c r="E5541" s="308" t="str">
        <f>IFERROR(__xludf.DUMMYFUNCTION("""COMPUTED_VALUE"""),"S")</f>
        <v>S</v>
      </c>
      <c r="F5541" s="312" t="s">
        <v>39</v>
      </c>
      <c r="G5541" s="308"/>
      <c r="H5541" s="308" t="s">
        <v>22233</v>
      </c>
      <c r="I5541" s="310">
        <v>42780.0</v>
      </c>
      <c r="J5541" s="319">
        <f>IFERROR(__xludf.DUMMYFUNCTION("SPLIT(I5541,""/"")"),14.0)</f>
        <v>14</v>
      </c>
      <c r="K5541" s="308">
        <f>IFERROR(__xludf.DUMMYFUNCTION("""COMPUTED_VALUE"""),2.0)</f>
        <v>2</v>
      </c>
      <c r="L5541" s="308">
        <f>IFERROR(__xludf.DUMMYFUNCTION("""COMPUTED_VALUE"""),2017.0)</f>
        <v>2017</v>
      </c>
      <c r="M5541" s="308"/>
      <c r="N5541" s="308"/>
      <c r="O5541" s="308"/>
      <c r="P5541" s="308" t="s">
        <v>38480</v>
      </c>
      <c r="Q5541" s="308" t="s">
        <v>38460</v>
      </c>
      <c r="R5541" s="308" t="s">
        <v>19483</v>
      </c>
      <c r="S5541" s="308" t="s">
        <v>49</v>
      </c>
      <c r="T5541" s="311" t="s">
        <v>67</v>
      </c>
      <c r="U5541" s="308" t="s">
        <v>166</v>
      </c>
      <c r="V5541" s="308"/>
    </row>
    <row r="5542">
      <c r="A5542" s="308">
        <v>5541.0</v>
      </c>
      <c r="B5542" s="308"/>
      <c r="C5542" s="308" t="s">
        <v>22235</v>
      </c>
      <c r="D5542" s="308" t="str">
        <f>IFERROR(__xludf.DUMMYFUNCTION("SPLIT(C5542,""-"")"),"#REF!")</f>
        <v>#REF!</v>
      </c>
      <c r="E5542" s="311"/>
      <c r="F5542" s="317" t="s">
        <v>39</v>
      </c>
      <c r="G5542" s="308"/>
      <c r="H5542" s="308" t="s">
        <v>22236</v>
      </c>
      <c r="I5542" s="310">
        <v>42186.0</v>
      </c>
      <c r="J5542" s="319">
        <f>IFERROR(__xludf.DUMMYFUNCTION("SPLIT(I5542,""/"")"),1.0)</f>
        <v>1</v>
      </c>
      <c r="K5542" s="308">
        <f>IFERROR(__xludf.DUMMYFUNCTION("""COMPUTED_VALUE"""),7.0)</f>
        <v>7</v>
      </c>
      <c r="L5542" s="308">
        <f>IFERROR(__xludf.DUMMYFUNCTION("""COMPUTED_VALUE"""),2015.0)</f>
        <v>2015</v>
      </c>
      <c r="M5542" s="308"/>
      <c r="N5542" s="308"/>
      <c r="O5542" s="308"/>
      <c r="P5542" s="308" t="s">
        <v>38481</v>
      </c>
      <c r="Q5542" s="308" t="s">
        <v>38460</v>
      </c>
      <c r="R5542" s="308" t="s">
        <v>19483</v>
      </c>
      <c r="S5542" s="308" t="s">
        <v>49</v>
      </c>
      <c r="T5542" s="311" t="s">
        <v>51</v>
      </c>
      <c r="U5542" s="308" t="s">
        <v>166</v>
      </c>
      <c r="V5542" s="308"/>
    </row>
    <row r="5543">
      <c r="A5543" s="308">
        <v>5542.0</v>
      </c>
      <c r="B5543" s="308"/>
      <c r="C5543" s="308" t="s">
        <v>22238</v>
      </c>
      <c r="D5543" s="308">
        <f>IFERROR(__xludf.DUMMYFUNCTION("SPLIT(C5543,""-"")"),5563.0)</f>
        <v>5563</v>
      </c>
      <c r="E5543" s="308" t="str">
        <f>IFERROR(__xludf.DUMMYFUNCTION("""COMPUTED_VALUE"""),"S")</f>
        <v>S</v>
      </c>
      <c r="F5543" s="312" t="s">
        <v>39</v>
      </c>
      <c r="G5543" s="308"/>
      <c r="H5543" s="308" t="s">
        <v>22239</v>
      </c>
      <c r="I5543" s="316" t="s">
        <v>407</v>
      </c>
      <c r="J5543" s="319"/>
      <c r="K5543" s="308"/>
      <c r="L5543" s="311" t="s">
        <v>79</v>
      </c>
      <c r="M5543" s="308"/>
      <c r="N5543" s="308"/>
      <c r="O5543" s="308"/>
      <c r="P5543" s="308" t="s">
        <v>38482</v>
      </c>
      <c r="Q5543" s="308" t="s">
        <v>38460</v>
      </c>
      <c r="R5543" s="308" t="s">
        <v>19483</v>
      </c>
      <c r="S5543" s="308" t="s">
        <v>49</v>
      </c>
      <c r="T5543" s="308" t="s">
        <v>70</v>
      </c>
      <c r="U5543" s="308" t="s">
        <v>166</v>
      </c>
      <c r="V5543" s="308"/>
    </row>
    <row r="5544">
      <c r="A5544" s="308">
        <v>5543.0</v>
      </c>
      <c r="B5544" s="308"/>
      <c r="C5544" s="308" t="s">
        <v>22241</v>
      </c>
      <c r="D5544" s="308">
        <f>IFERROR(__xludf.DUMMYFUNCTION("SPLIT(C5544,""-"")"),5564.0)</f>
        <v>5564</v>
      </c>
      <c r="E5544" s="308" t="str">
        <f>IFERROR(__xludf.DUMMYFUNCTION("""COMPUTED_VALUE"""),"S")</f>
        <v>S</v>
      </c>
      <c r="F5544" s="312" t="s">
        <v>39</v>
      </c>
      <c r="G5544" s="308"/>
      <c r="H5544" s="308" t="s">
        <v>22242</v>
      </c>
      <c r="I5544" s="316" t="s">
        <v>407</v>
      </c>
      <c r="J5544" s="319"/>
      <c r="K5544" s="308"/>
      <c r="L5544" s="311" t="s">
        <v>79</v>
      </c>
      <c r="M5544" s="308"/>
      <c r="N5544" s="308"/>
      <c r="O5544" s="308"/>
      <c r="P5544" s="308" t="s">
        <v>22243</v>
      </c>
      <c r="Q5544" s="308" t="s">
        <v>38460</v>
      </c>
      <c r="R5544" s="308" t="s">
        <v>19483</v>
      </c>
      <c r="S5544" s="308" t="s">
        <v>81</v>
      </c>
      <c r="T5544" s="308" t="s">
        <v>75</v>
      </c>
      <c r="U5544" s="308" t="s">
        <v>166</v>
      </c>
      <c r="V5544" s="308"/>
    </row>
    <row r="5545">
      <c r="A5545" s="308">
        <v>5544.0</v>
      </c>
      <c r="B5545" s="308"/>
      <c r="C5545" s="308" t="s">
        <v>22244</v>
      </c>
      <c r="D5545" s="308">
        <f>IFERROR(__xludf.DUMMYFUNCTION("SPLIT(C5545,""-"")"),5565.0)</f>
        <v>5565</v>
      </c>
      <c r="E5545" s="308" t="str">
        <f>IFERROR(__xludf.DUMMYFUNCTION("""COMPUTED_VALUE"""),"S")</f>
        <v>S</v>
      </c>
      <c r="F5545" s="312" t="s">
        <v>39</v>
      </c>
      <c r="G5545" s="308"/>
      <c r="H5545" s="308" t="s">
        <v>22245</v>
      </c>
      <c r="I5545" s="316" t="s">
        <v>407</v>
      </c>
      <c r="J5545" s="319"/>
      <c r="K5545" s="308"/>
      <c r="L5545" s="311" t="s">
        <v>79</v>
      </c>
      <c r="M5545" s="308"/>
      <c r="N5545" s="308"/>
      <c r="O5545" s="308"/>
      <c r="P5545" s="308" t="s">
        <v>38483</v>
      </c>
      <c r="Q5545" s="308" t="s">
        <v>38460</v>
      </c>
      <c r="R5545" s="308" t="s">
        <v>19483</v>
      </c>
      <c r="S5545" s="308" t="s">
        <v>81</v>
      </c>
      <c r="T5545" s="308" t="s">
        <v>75</v>
      </c>
      <c r="U5545" s="308" t="s">
        <v>166</v>
      </c>
      <c r="V5545" s="308"/>
    </row>
    <row r="5546">
      <c r="A5546" s="308">
        <v>5545.0</v>
      </c>
      <c r="B5546" s="308"/>
      <c r="C5546" s="308" t="s">
        <v>22247</v>
      </c>
      <c r="D5546" s="308">
        <f>IFERROR(__xludf.DUMMYFUNCTION("SPLIT(C5546,""-"")"),5566.0)</f>
        <v>5566</v>
      </c>
      <c r="E5546" s="308" t="str">
        <f>IFERROR(__xludf.DUMMYFUNCTION("""COMPUTED_VALUE"""),"S")</f>
        <v>S</v>
      </c>
      <c r="F5546" s="312" t="s">
        <v>39</v>
      </c>
      <c r="G5546" s="308"/>
      <c r="H5546" s="308" t="s">
        <v>22248</v>
      </c>
      <c r="I5546" s="310">
        <v>41821.0</v>
      </c>
      <c r="J5546" s="319">
        <f>IFERROR(__xludf.DUMMYFUNCTION("SPLIT(I5546,""/"")"),1.0)</f>
        <v>1</v>
      </c>
      <c r="K5546" s="308">
        <f>IFERROR(__xludf.DUMMYFUNCTION("""COMPUTED_VALUE"""),7.0)</f>
        <v>7</v>
      </c>
      <c r="L5546" s="308">
        <f>IFERROR(__xludf.DUMMYFUNCTION("""COMPUTED_VALUE"""),2014.0)</f>
        <v>2014</v>
      </c>
      <c r="M5546" s="308"/>
      <c r="N5546" s="308"/>
      <c r="O5546" s="308"/>
      <c r="P5546" s="308" t="s">
        <v>22249</v>
      </c>
      <c r="Q5546" s="308" t="s">
        <v>38460</v>
      </c>
      <c r="R5546" s="308" t="s">
        <v>19483</v>
      </c>
      <c r="S5546" s="308" t="s">
        <v>49</v>
      </c>
      <c r="T5546" s="311" t="s">
        <v>67</v>
      </c>
      <c r="U5546" s="308" t="s">
        <v>166</v>
      </c>
      <c r="V5546" s="308"/>
    </row>
    <row r="5547">
      <c r="A5547" s="308">
        <v>5546.0</v>
      </c>
      <c r="B5547" s="308"/>
      <c r="C5547" s="308" t="s">
        <v>22250</v>
      </c>
      <c r="D5547" s="308">
        <f>IFERROR(__xludf.DUMMYFUNCTION("SPLIT(C5547,""-"")"),5567.0)</f>
        <v>5567</v>
      </c>
      <c r="E5547" s="308" t="str">
        <f>IFERROR(__xludf.DUMMYFUNCTION("""COMPUTED_VALUE"""),"S")</f>
        <v>S</v>
      </c>
      <c r="F5547" s="312" t="s">
        <v>39</v>
      </c>
      <c r="G5547" s="308"/>
      <c r="H5547" s="308" t="s">
        <v>22251</v>
      </c>
      <c r="I5547" s="310">
        <v>42763.0</v>
      </c>
      <c r="J5547" s="319">
        <f>IFERROR(__xludf.DUMMYFUNCTION("SPLIT(I5547,""/"")"),28.0)</f>
        <v>28</v>
      </c>
      <c r="K5547" s="308">
        <f>IFERROR(__xludf.DUMMYFUNCTION("""COMPUTED_VALUE"""),1.0)</f>
        <v>1</v>
      </c>
      <c r="L5547" s="308">
        <f>IFERROR(__xludf.DUMMYFUNCTION("""COMPUTED_VALUE"""),2017.0)</f>
        <v>2017</v>
      </c>
      <c r="M5547" s="308" t="s">
        <v>38484</v>
      </c>
      <c r="N5547" s="308"/>
      <c r="O5547" s="308"/>
      <c r="P5547" s="308" t="s">
        <v>22253</v>
      </c>
      <c r="Q5547" s="308" t="s">
        <v>38460</v>
      </c>
      <c r="R5547" s="308" t="s">
        <v>19483</v>
      </c>
      <c r="S5547" s="308" t="s">
        <v>49</v>
      </c>
      <c r="T5547" s="311" t="s">
        <v>67</v>
      </c>
      <c r="U5547" s="308" t="s">
        <v>166</v>
      </c>
      <c r="V5547" s="308"/>
    </row>
    <row r="5548">
      <c r="A5548" s="308">
        <v>5547.0</v>
      </c>
      <c r="B5548" s="308"/>
      <c r="C5548" s="308" t="s">
        <v>22254</v>
      </c>
      <c r="D5548" s="308">
        <f>IFERROR(__xludf.DUMMYFUNCTION("SPLIT(C5548,""-"")"),5568.0)</f>
        <v>5568</v>
      </c>
      <c r="E5548" s="308" t="str">
        <f>IFERROR(__xludf.DUMMYFUNCTION("""COMPUTED_VALUE"""),"S")</f>
        <v>S</v>
      </c>
      <c r="F5548" s="312" t="s">
        <v>39</v>
      </c>
      <c r="G5548" s="308"/>
      <c r="H5548" s="308" t="s">
        <v>22255</v>
      </c>
      <c r="I5548" s="310">
        <v>42941.0</v>
      </c>
      <c r="J5548" s="319">
        <f>IFERROR(__xludf.DUMMYFUNCTION("SPLIT(I5548,""/"")"),25.0)</f>
        <v>25</v>
      </c>
      <c r="K5548" s="308">
        <f>IFERROR(__xludf.DUMMYFUNCTION("""COMPUTED_VALUE"""),7.0)</f>
        <v>7</v>
      </c>
      <c r="L5548" s="308">
        <f>IFERROR(__xludf.DUMMYFUNCTION("""COMPUTED_VALUE"""),2017.0)</f>
        <v>2017</v>
      </c>
      <c r="M5548" s="308"/>
      <c r="N5548" s="308"/>
      <c r="O5548" s="308"/>
      <c r="P5548" s="308" t="s">
        <v>34212</v>
      </c>
      <c r="Q5548" s="308" t="s">
        <v>38460</v>
      </c>
      <c r="R5548" s="308" t="s">
        <v>22256</v>
      </c>
      <c r="S5548" s="315" t="s">
        <v>100</v>
      </c>
      <c r="T5548" s="311" t="s">
        <v>34208</v>
      </c>
      <c r="U5548" s="308" t="s">
        <v>166</v>
      </c>
      <c r="V5548" s="308"/>
    </row>
    <row r="5549">
      <c r="A5549" s="308">
        <v>5548.0</v>
      </c>
      <c r="B5549" s="308"/>
      <c r="C5549" s="308" t="s">
        <v>22257</v>
      </c>
      <c r="D5549" s="308">
        <f>IFERROR(__xludf.DUMMYFUNCTION("SPLIT(C5549,""-"")"),5569.0)</f>
        <v>5569</v>
      </c>
      <c r="E5549" s="308" t="str">
        <f>IFERROR(__xludf.DUMMYFUNCTION("""COMPUTED_VALUE"""),"S")</f>
        <v>S</v>
      </c>
      <c r="F5549" s="312" t="s">
        <v>39</v>
      </c>
      <c r="G5549" s="308"/>
      <c r="H5549" s="308" t="s">
        <v>22258</v>
      </c>
      <c r="I5549" s="310">
        <v>42580.0</v>
      </c>
      <c r="J5549" s="319">
        <f>IFERROR(__xludf.DUMMYFUNCTION("SPLIT(I5549,""/"")"),29.0)</f>
        <v>29</v>
      </c>
      <c r="K5549" s="308">
        <f>IFERROR(__xludf.DUMMYFUNCTION("""COMPUTED_VALUE"""),7.0)</f>
        <v>7</v>
      </c>
      <c r="L5549" s="308">
        <f>IFERROR(__xludf.DUMMYFUNCTION("""COMPUTED_VALUE"""),2016.0)</f>
        <v>2016</v>
      </c>
      <c r="M5549" s="308"/>
      <c r="N5549" s="308"/>
      <c r="O5549" s="308"/>
      <c r="P5549" s="308" t="s">
        <v>38485</v>
      </c>
      <c r="Q5549" s="308" t="s">
        <v>38460</v>
      </c>
      <c r="R5549" s="308" t="s">
        <v>19483</v>
      </c>
      <c r="S5549" s="308" t="s">
        <v>49</v>
      </c>
      <c r="T5549" s="308" t="s">
        <v>70</v>
      </c>
      <c r="U5549" s="308" t="s">
        <v>166</v>
      </c>
      <c r="V5549" s="308"/>
    </row>
    <row r="5550">
      <c r="A5550" s="308">
        <v>5549.0</v>
      </c>
      <c r="B5550" s="308"/>
      <c r="C5550" s="308" t="s">
        <v>22260</v>
      </c>
      <c r="D5550" s="308">
        <f>IFERROR(__xludf.DUMMYFUNCTION("SPLIT(C5550,""-"")"),5570.0)</f>
        <v>5570</v>
      </c>
      <c r="E5550" s="308" t="str">
        <f>IFERROR(__xludf.DUMMYFUNCTION("""COMPUTED_VALUE"""),"S")</f>
        <v>S</v>
      </c>
      <c r="F5550" s="312" t="s">
        <v>39</v>
      </c>
      <c r="G5550" s="308"/>
      <c r="H5550" s="308" t="s">
        <v>22261</v>
      </c>
      <c r="I5550" s="310">
        <v>41890.0</v>
      </c>
      <c r="J5550" s="319">
        <f>IFERROR(__xludf.DUMMYFUNCTION("SPLIT(I5550,""/"")"),8.0)</f>
        <v>8</v>
      </c>
      <c r="K5550" s="308">
        <f>IFERROR(__xludf.DUMMYFUNCTION("""COMPUTED_VALUE"""),9.0)</f>
        <v>9</v>
      </c>
      <c r="L5550" s="308">
        <f>IFERROR(__xludf.DUMMYFUNCTION("""COMPUTED_VALUE"""),2014.0)</f>
        <v>2014</v>
      </c>
      <c r="M5550" s="308"/>
      <c r="N5550" s="308"/>
      <c r="O5550" s="308"/>
      <c r="P5550" s="308" t="s">
        <v>38486</v>
      </c>
      <c r="Q5550" s="308" t="s">
        <v>38460</v>
      </c>
      <c r="R5550" s="308" t="s">
        <v>19483</v>
      </c>
      <c r="S5550" s="308" t="s">
        <v>49</v>
      </c>
      <c r="T5550" s="311" t="s">
        <v>67</v>
      </c>
      <c r="U5550" s="308" t="s">
        <v>166</v>
      </c>
      <c r="V5550" s="308"/>
    </row>
    <row r="5551">
      <c r="A5551" s="308">
        <v>5550.0</v>
      </c>
      <c r="B5551" s="308"/>
      <c r="C5551" s="308" t="s">
        <v>22263</v>
      </c>
      <c r="D5551" s="308">
        <f>IFERROR(__xludf.DUMMYFUNCTION("SPLIT(C5551,""-"")"),5571.0)</f>
        <v>5571</v>
      </c>
      <c r="E5551" s="308" t="str">
        <f>IFERROR(__xludf.DUMMYFUNCTION("""COMPUTED_VALUE"""),"S")</f>
        <v>S</v>
      </c>
      <c r="F5551" s="312" t="s">
        <v>39</v>
      </c>
      <c r="G5551" s="308"/>
      <c r="H5551" s="308" t="s">
        <v>22264</v>
      </c>
      <c r="I5551" s="310">
        <v>41091.0</v>
      </c>
      <c r="J5551" s="319">
        <f>IFERROR(__xludf.DUMMYFUNCTION("SPLIT(I5551,""/"")"),1.0)</f>
        <v>1</v>
      </c>
      <c r="K5551" s="308">
        <f>IFERROR(__xludf.DUMMYFUNCTION("""COMPUTED_VALUE"""),7.0)</f>
        <v>7</v>
      </c>
      <c r="L5551" s="308">
        <f>IFERROR(__xludf.DUMMYFUNCTION("""COMPUTED_VALUE"""),2012.0)</f>
        <v>2012</v>
      </c>
      <c r="M5551" s="308"/>
      <c r="N5551" s="308"/>
      <c r="O5551" s="308"/>
      <c r="P5551" s="308" t="s">
        <v>38487</v>
      </c>
      <c r="Q5551" s="308" t="s">
        <v>38460</v>
      </c>
      <c r="R5551" s="308" t="s">
        <v>19483</v>
      </c>
      <c r="S5551" s="308" t="s">
        <v>49</v>
      </c>
      <c r="T5551" s="311" t="s">
        <v>51</v>
      </c>
      <c r="U5551" s="308" t="s">
        <v>166</v>
      </c>
      <c r="V5551" s="308"/>
    </row>
    <row r="5552">
      <c r="A5552" s="308">
        <v>5551.0</v>
      </c>
      <c r="B5552" s="308"/>
      <c r="C5552" s="308" t="s">
        <v>22266</v>
      </c>
      <c r="D5552" s="308">
        <f>IFERROR(__xludf.DUMMYFUNCTION("SPLIT(C5552,""-"")"),5572.0)</f>
        <v>5572</v>
      </c>
      <c r="E5552" s="308" t="str">
        <f>IFERROR(__xludf.DUMMYFUNCTION("""COMPUTED_VALUE"""),"S")</f>
        <v>S</v>
      </c>
      <c r="F5552" s="312" t="s">
        <v>39</v>
      </c>
      <c r="G5552" s="308"/>
      <c r="H5552" s="308" t="s">
        <v>22267</v>
      </c>
      <c r="I5552" s="310">
        <v>42401.0</v>
      </c>
      <c r="J5552" s="319">
        <f>IFERROR(__xludf.DUMMYFUNCTION("SPLIT(I5552,""/"")"),1.0)</f>
        <v>1</v>
      </c>
      <c r="K5552" s="308">
        <f>IFERROR(__xludf.DUMMYFUNCTION("""COMPUTED_VALUE"""),2.0)</f>
        <v>2</v>
      </c>
      <c r="L5552" s="308">
        <f>IFERROR(__xludf.DUMMYFUNCTION("""COMPUTED_VALUE"""),2016.0)</f>
        <v>2016</v>
      </c>
      <c r="M5552" s="308"/>
      <c r="N5552" s="308"/>
      <c r="O5552" s="308"/>
      <c r="P5552" s="308"/>
      <c r="Q5552" s="308" t="s">
        <v>38460</v>
      </c>
      <c r="R5552" s="308" t="s">
        <v>19483</v>
      </c>
      <c r="S5552" s="308" t="s">
        <v>79</v>
      </c>
      <c r="T5552" s="308" t="s">
        <v>79</v>
      </c>
      <c r="U5552" s="308" t="s">
        <v>166</v>
      </c>
      <c r="V5552" s="308"/>
    </row>
    <row r="5553">
      <c r="A5553" s="308">
        <v>5552.0</v>
      </c>
      <c r="B5553" s="308"/>
      <c r="C5553" s="308" t="s">
        <v>22268</v>
      </c>
      <c r="D5553" s="308">
        <f>IFERROR(__xludf.DUMMYFUNCTION("SPLIT(C5553,""-"")"),5573.0)</f>
        <v>5573</v>
      </c>
      <c r="E5553" s="308" t="str">
        <f>IFERROR(__xludf.DUMMYFUNCTION("""COMPUTED_VALUE"""),"P")</f>
        <v>P</v>
      </c>
      <c r="F5553" s="312" t="s">
        <v>37</v>
      </c>
      <c r="G5553" s="308"/>
      <c r="H5553" s="308" t="s">
        <v>22269</v>
      </c>
      <c r="I5553" s="310">
        <v>43130.0</v>
      </c>
      <c r="J5553" s="319">
        <f>IFERROR(__xludf.DUMMYFUNCTION("SPLIT(I5553,""/"")"),30.0)</f>
        <v>30</v>
      </c>
      <c r="K5553" s="308">
        <f>IFERROR(__xludf.DUMMYFUNCTION("""COMPUTED_VALUE"""),1.0)</f>
        <v>1</v>
      </c>
      <c r="L5553" s="308">
        <f>IFERROR(__xludf.DUMMYFUNCTION("""COMPUTED_VALUE"""),2018.0)</f>
        <v>2018</v>
      </c>
      <c r="M5553" s="308" t="s">
        <v>22270</v>
      </c>
      <c r="N5553" s="308"/>
      <c r="O5553" s="308" t="s">
        <v>22271</v>
      </c>
      <c r="P5553" s="308" t="s">
        <v>38488</v>
      </c>
      <c r="Q5553" s="308" t="s">
        <v>38489</v>
      </c>
      <c r="R5553" s="308" t="s">
        <v>2743</v>
      </c>
      <c r="S5553" s="308" t="s">
        <v>81</v>
      </c>
      <c r="T5553" s="308" t="s">
        <v>34264</v>
      </c>
      <c r="U5553" s="308" t="s">
        <v>18270</v>
      </c>
      <c r="V5553" s="308"/>
    </row>
    <row r="5554">
      <c r="A5554" s="308">
        <v>5553.0</v>
      </c>
      <c r="B5554" s="308"/>
      <c r="C5554" s="308" t="s">
        <v>22273</v>
      </c>
      <c r="D5554" s="308">
        <f>IFERROR(__xludf.DUMMYFUNCTION("SPLIT(C5554,""-"")"),5574.0)</f>
        <v>5574</v>
      </c>
      <c r="E5554" s="308" t="str">
        <f>IFERROR(__xludf.DUMMYFUNCTION("""COMPUTED_VALUE"""),"P")</f>
        <v>P</v>
      </c>
      <c r="F5554" s="312" t="s">
        <v>37</v>
      </c>
      <c r="G5554" s="308"/>
      <c r="H5554" s="308" t="s">
        <v>22274</v>
      </c>
      <c r="I5554" s="314">
        <v>43422.0</v>
      </c>
      <c r="J5554" s="319">
        <f>IFERROR(__xludf.DUMMYFUNCTION("SPLIT(I5554,""/"")"),18.0)</f>
        <v>18</v>
      </c>
      <c r="K5554" s="308">
        <f>IFERROR(__xludf.DUMMYFUNCTION("""COMPUTED_VALUE"""),11.0)</f>
        <v>11</v>
      </c>
      <c r="L5554" s="308">
        <f>IFERROR(__xludf.DUMMYFUNCTION("""COMPUTED_VALUE"""),2018.0)</f>
        <v>2018</v>
      </c>
      <c r="M5554" s="308" t="s">
        <v>22275</v>
      </c>
      <c r="N5554" s="308"/>
      <c r="O5554" s="308" t="s">
        <v>22276</v>
      </c>
      <c r="P5554" s="308" t="s">
        <v>38490</v>
      </c>
      <c r="Q5554" s="308" t="s">
        <v>38489</v>
      </c>
      <c r="R5554" s="308" t="s">
        <v>2743</v>
      </c>
      <c r="S5554" s="308" t="s">
        <v>81</v>
      </c>
      <c r="T5554" s="311" t="s">
        <v>51</v>
      </c>
      <c r="U5554" s="308" t="s">
        <v>149</v>
      </c>
      <c r="V5554" s="308"/>
    </row>
    <row r="5555">
      <c r="A5555" s="308">
        <v>5554.0</v>
      </c>
      <c r="B5555" s="308"/>
      <c r="C5555" s="308" t="s">
        <v>22278</v>
      </c>
      <c r="D5555" s="308">
        <f>IFERROR(__xludf.DUMMYFUNCTION("SPLIT(C5555,""-"")"),5575.0)</f>
        <v>5575</v>
      </c>
      <c r="E5555" s="308" t="str">
        <f>IFERROR(__xludf.DUMMYFUNCTION("""COMPUTED_VALUE"""),"K")</f>
        <v>K</v>
      </c>
      <c r="F5555" s="309" t="s">
        <v>34</v>
      </c>
      <c r="G5555" s="308"/>
      <c r="H5555" s="308" t="s">
        <v>22279</v>
      </c>
      <c r="I5555" s="310">
        <v>40360.0</v>
      </c>
      <c r="J5555" s="319">
        <f>IFERROR(__xludf.DUMMYFUNCTION("SPLIT(I5555,""/"")"),1.0)</f>
        <v>1</v>
      </c>
      <c r="K5555" s="308">
        <f>IFERROR(__xludf.DUMMYFUNCTION("""COMPUTED_VALUE"""),7.0)</f>
        <v>7</v>
      </c>
      <c r="L5555" s="308">
        <f>IFERROR(__xludf.DUMMYFUNCTION("""COMPUTED_VALUE"""),2010.0)</f>
        <v>2010</v>
      </c>
      <c r="M5555" s="308" t="s">
        <v>22280</v>
      </c>
      <c r="N5555" s="308"/>
      <c r="O5555" s="308"/>
      <c r="P5555" s="308" t="s">
        <v>34212</v>
      </c>
      <c r="Q5555" s="308" t="s">
        <v>38489</v>
      </c>
      <c r="R5555" s="308" t="s">
        <v>2743</v>
      </c>
      <c r="S5555" s="315" t="s">
        <v>100</v>
      </c>
      <c r="T5555" s="311" t="s">
        <v>34208</v>
      </c>
      <c r="U5555" s="308" t="s">
        <v>125</v>
      </c>
      <c r="V5555" s="308"/>
    </row>
    <row r="5556">
      <c r="A5556" s="308">
        <v>5555.0</v>
      </c>
      <c r="B5556" s="308"/>
      <c r="C5556" s="308" t="s">
        <v>22281</v>
      </c>
      <c r="D5556" s="308">
        <f>IFERROR(__xludf.DUMMYFUNCTION("SPLIT(C5556,""-"")"),5576.0)</f>
        <v>5576</v>
      </c>
      <c r="E5556" s="308" t="str">
        <f>IFERROR(__xludf.DUMMYFUNCTION("""COMPUTED_VALUE"""),"I")</f>
        <v>I</v>
      </c>
      <c r="F5556" s="309" t="s">
        <v>31</v>
      </c>
      <c r="G5556" s="308"/>
      <c r="H5556" s="308" t="s">
        <v>22282</v>
      </c>
      <c r="I5556" s="314">
        <v>43394.0</v>
      </c>
      <c r="J5556" s="319">
        <f>IFERROR(__xludf.DUMMYFUNCTION("SPLIT(I5556,""/"")"),21.0)</f>
        <v>21</v>
      </c>
      <c r="K5556" s="308">
        <f>IFERROR(__xludf.DUMMYFUNCTION("""COMPUTED_VALUE"""),10.0)</f>
        <v>10</v>
      </c>
      <c r="L5556" s="308">
        <f>IFERROR(__xludf.DUMMYFUNCTION("""COMPUTED_VALUE"""),2018.0)</f>
        <v>2018</v>
      </c>
      <c r="M5556" s="308" t="s">
        <v>22283</v>
      </c>
      <c r="N5556" s="308"/>
      <c r="O5556" s="308" t="s">
        <v>38491</v>
      </c>
      <c r="P5556" s="308" t="s">
        <v>22285</v>
      </c>
      <c r="Q5556" s="308" t="s">
        <v>38489</v>
      </c>
      <c r="R5556" s="308" t="s">
        <v>2743</v>
      </c>
      <c r="S5556" s="308" t="s">
        <v>81</v>
      </c>
      <c r="T5556" s="311" t="s">
        <v>96</v>
      </c>
      <c r="U5556" s="308" t="s">
        <v>31</v>
      </c>
      <c r="V5556" s="308"/>
    </row>
    <row r="5557">
      <c r="A5557" s="308">
        <v>5556.0</v>
      </c>
      <c r="B5557" s="308"/>
      <c r="C5557" s="308" t="s">
        <v>22286</v>
      </c>
      <c r="D5557" s="308">
        <f>IFERROR(__xludf.DUMMYFUNCTION("SPLIT(C5557,""-"")"),5577.0)</f>
        <v>5577</v>
      </c>
      <c r="E5557" s="308" t="str">
        <f>IFERROR(__xludf.DUMMYFUNCTION("""COMPUTED_VALUE"""),"S")</f>
        <v>S</v>
      </c>
      <c r="F5557" s="312" t="s">
        <v>39</v>
      </c>
      <c r="G5557" s="308"/>
      <c r="H5557" s="308" t="s">
        <v>22287</v>
      </c>
      <c r="I5557" s="310">
        <v>42879.0</v>
      </c>
      <c r="J5557" s="319">
        <f>IFERROR(__xludf.DUMMYFUNCTION("SPLIT(I5557,""/"")"),24.0)</f>
        <v>24</v>
      </c>
      <c r="K5557" s="308">
        <f>IFERROR(__xludf.DUMMYFUNCTION("""COMPUTED_VALUE"""),5.0)</f>
        <v>5</v>
      </c>
      <c r="L5557" s="308">
        <f>IFERROR(__xludf.DUMMYFUNCTION("""COMPUTED_VALUE"""),2017.0)</f>
        <v>2017</v>
      </c>
      <c r="M5557" s="308" t="s">
        <v>22288</v>
      </c>
      <c r="N5557" s="308"/>
      <c r="O5557" s="308"/>
      <c r="P5557" s="308" t="s">
        <v>38492</v>
      </c>
      <c r="Q5557" s="308" t="s">
        <v>38489</v>
      </c>
      <c r="R5557" s="308" t="s">
        <v>2743</v>
      </c>
      <c r="S5557" s="308" t="s">
        <v>81</v>
      </c>
      <c r="T5557" s="308" t="s">
        <v>75</v>
      </c>
      <c r="U5557" s="308" t="s">
        <v>166</v>
      </c>
      <c r="V5557" s="308"/>
    </row>
    <row r="5558">
      <c r="A5558" s="308">
        <v>5557.0</v>
      </c>
      <c r="B5558" s="308"/>
      <c r="C5558" s="308" t="s">
        <v>22290</v>
      </c>
      <c r="D5558" s="308"/>
      <c r="E5558" s="311"/>
      <c r="F5558" s="317" t="s">
        <v>39</v>
      </c>
      <c r="G5558" s="308"/>
      <c r="H5558" s="308" t="s">
        <v>22187</v>
      </c>
      <c r="I5558" s="310">
        <v>42879.0</v>
      </c>
      <c r="J5558" s="319">
        <f>IFERROR(__xludf.DUMMYFUNCTION("SPLIT(I5558,""/"")"),24.0)</f>
        <v>24</v>
      </c>
      <c r="K5558" s="308">
        <f>IFERROR(__xludf.DUMMYFUNCTION("""COMPUTED_VALUE"""),5.0)</f>
        <v>5</v>
      </c>
      <c r="L5558" s="308">
        <f>IFERROR(__xludf.DUMMYFUNCTION("""COMPUTED_VALUE"""),2017.0)</f>
        <v>2017</v>
      </c>
      <c r="M5558" s="308" t="s">
        <v>38493</v>
      </c>
      <c r="N5558" s="308"/>
      <c r="O5558" s="308"/>
      <c r="P5558" s="308" t="s">
        <v>22188</v>
      </c>
      <c r="Q5558" s="308" t="s">
        <v>38489</v>
      </c>
      <c r="R5558" s="308" t="s">
        <v>2743</v>
      </c>
      <c r="S5558" s="308" t="s">
        <v>81</v>
      </c>
      <c r="T5558" s="308" t="s">
        <v>75</v>
      </c>
      <c r="U5558" s="308" t="s">
        <v>166</v>
      </c>
      <c r="V5558" s="308"/>
    </row>
    <row r="5559">
      <c r="A5559" s="308">
        <v>5558.0</v>
      </c>
      <c r="B5559" s="308"/>
      <c r="C5559" s="308" t="s">
        <v>22292</v>
      </c>
      <c r="D5559" s="308">
        <f>IFERROR(__xludf.DUMMYFUNCTION("SPLIT(C5559,""-"")"),5579.0)</f>
        <v>5579</v>
      </c>
      <c r="E5559" s="308" t="str">
        <f>IFERROR(__xludf.DUMMYFUNCTION("""COMPUTED_VALUE"""),"F")</f>
        <v>F</v>
      </c>
      <c r="F5559" s="309" t="s">
        <v>34</v>
      </c>
      <c r="G5559" s="308"/>
      <c r="H5559" s="308" t="s">
        <v>22293</v>
      </c>
      <c r="I5559" s="310">
        <v>42144.0</v>
      </c>
      <c r="J5559" s="319">
        <f>IFERROR(__xludf.DUMMYFUNCTION("SPLIT(I5559,""/"")"),20.0)</f>
        <v>20</v>
      </c>
      <c r="K5559" s="308">
        <f>IFERROR(__xludf.DUMMYFUNCTION("""COMPUTED_VALUE"""),5.0)</f>
        <v>5</v>
      </c>
      <c r="L5559" s="308">
        <f>IFERROR(__xludf.DUMMYFUNCTION("""COMPUTED_VALUE"""),2015.0)</f>
        <v>2015</v>
      </c>
      <c r="M5559" s="308" t="s">
        <v>38494</v>
      </c>
      <c r="N5559" s="308" t="s">
        <v>22295</v>
      </c>
      <c r="O5559" s="308" t="s">
        <v>22296</v>
      </c>
      <c r="P5559" s="308" t="s">
        <v>34212</v>
      </c>
      <c r="Q5559" s="308" t="s">
        <v>38489</v>
      </c>
      <c r="R5559" s="308" t="s">
        <v>2743</v>
      </c>
      <c r="S5559" s="315" t="s">
        <v>100</v>
      </c>
      <c r="T5559" s="311" t="s">
        <v>34208</v>
      </c>
      <c r="U5559" s="308" t="s">
        <v>6395</v>
      </c>
      <c r="V5559" s="308"/>
    </row>
    <row r="5560">
      <c r="A5560" s="308">
        <v>5559.0</v>
      </c>
      <c r="B5560" s="308"/>
      <c r="C5560" s="308" t="s">
        <v>22297</v>
      </c>
      <c r="D5560" s="308">
        <f>IFERROR(__xludf.DUMMYFUNCTION("SPLIT(C5560,""-"")"),5580.0)</f>
        <v>5580</v>
      </c>
      <c r="E5560" s="308" t="str">
        <f>IFERROR(__xludf.DUMMYFUNCTION("""COMPUTED_VALUE"""),"I")</f>
        <v>I</v>
      </c>
      <c r="F5560" s="309" t="s">
        <v>31</v>
      </c>
      <c r="G5560" s="308"/>
      <c r="H5560" s="308" t="s">
        <v>22298</v>
      </c>
      <c r="I5560" s="314">
        <v>43399.0</v>
      </c>
      <c r="J5560" s="337">
        <f>IFERROR(__xludf.DUMMYFUNCTION("SPLIT(I5560,""/"")"),26.0)</f>
        <v>26</v>
      </c>
      <c r="K5560" s="308">
        <f>IFERROR(__xludf.DUMMYFUNCTION("""COMPUTED_VALUE"""),10.0)</f>
        <v>10</v>
      </c>
      <c r="L5560" s="308">
        <f>IFERROR(__xludf.DUMMYFUNCTION("""COMPUTED_VALUE"""),2018.0)</f>
        <v>2018</v>
      </c>
      <c r="M5560" s="308" t="s">
        <v>22299</v>
      </c>
      <c r="N5560" s="308"/>
      <c r="O5560" s="308"/>
      <c r="P5560" s="308" t="s">
        <v>38495</v>
      </c>
      <c r="Q5560" s="308" t="s">
        <v>38496</v>
      </c>
      <c r="R5560" s="308" t="s">
        <v>2743</v>
      </c>
      <c r="S5560" s="308" t="s">
        <v>81</v>
      </c>
      <c r="T5560" s="311" t="s">
        <v>98</v>
      </c>
      <c r="U5560" s="308" t="s">
        <v>31</v>
      </c>
      <c r="V5560" s="308"/>
    </row>
    <row r="5561">
      <c r="A5561" s="308">
        <v>5560.0</v>
      </c>
      <c r="B5561" s="308"/>
      <c r="C5561" s="308" t="s">
        <v>22301</v>
      </c>
      <c r="D5561" s="308">
        <f>IFERROR(__xludf.DUMMYFUNCTION("SPLIT(C5561,""-"")"),5581.0)</f>
        <v>5581</v>
      </c>
      <c r="E5561" s="308" t="str">
        <f>IFERROR(__xludf.DUMMYFUNCTION("""COMPUTED_VALUE"""),"I")</f>
        <v>I</v>
      </c>
      <c r="F5561" s="309" t="s">
        <v>31</v>
      </c>
      <c r="G5561" s="308"/>
      <c r="H5561" s="308" t="s">
        <v>22302</v>
      </c>
      <c r="I5561" s="314">
        <v>43422.0</v>
      </c>
      <c r="J5561" s="319">
        <f>IFERROR(__xludf.DUMMYFUNCTION("SPLIT(I5561,""/"")"),18.0)</f>
        <v>18</v>
      </c>
      <c r="K5561" s="308">
        <f>IFERROR(__xludf.DUMMYFUNCTION("""COMPUTED_VALUE"""),11.0)</f>
        <v>11</v>
      </c>
      <c r="L5561" s="308">
        <f>IFERROR(__xludf.DUMMYFUNCTION("""COMPUTED_VALUE"""),2018.0)</f>
        <v>2018</v>
      </c>
      <c r="M5561" s="308" t="s">
        <v>22303</v>
      </c>
      <c r="N5561" s="308"/>
      <c r="O5561" s="308"/>
      <c r="P5561" s="308" t="s">
        <v>22304</v>
      </c>
      <c r="Q5561" s="308" t="s">
        <v>38497</v>
      </c>
      <c r="R5561" s="308" t="s">
        <v>2743</v>
      </c>
      <c r="S5561" s="308" t="s">
        <v>81</v>
      </c>
      <c r="T5561" s="308" t="s">
        <v>75</v>
      </c>
      <c r="U5561" s="308" t="s">
        <v>31</v>
      </c>
      <c r="V5561" s="308"/>
    </row>
    <row r="5562">
      <c r="A5562" s="308">
        <v>5561.0</v>
      </c>
      <c r="B5562" s="308"/>
      <c r="C5562" s="308" t="s">
        <v>22305</v>
      </c>
      <c r="D5562" s="308">
        <f>IFERROR(__xludf.DUMMYFUNCTION("SPLIT(C5562,""-"")"),5582.0)</f>
        <v>5582</v>
      </c>
      <c r="E5562" s="308" t="str">
        <f>IFERROR(__xludf.DUMMYFUNCTION("""COMPUTED_VALUE"""),"S")</f>
        <v>S</v>
      </c>
      <c r="F5562" s="312" t="s">
        <v>39</v>
      </c>
      <c r="G5562" s="308"/>
      <c r="H5562" s="308" t="s">
        <v>22306</v>
      </c>
      <c r="I5562" s="310">
        <v>42884.0</v>
      </c>
      <c r="J5562" s="319">
        <f>IFERROR(__xludf.DUMMYFUNCTION("SPLIT(I5562,""/"")"),29.0)</f>
        <v>29</v>
      </c>
      <c r="K5562" s="308">
        <f>IFERROR(__xludf.DUMMYFUNCTION("""COMPUTED_VALUE"""),5.0)</f>
        <v>5</v>
      </c>
      <c r="L5562" s="308">
        <f>IFERROR(__xludf.DUMMYFUNCTION("""COMPUTED_VALUE"""),2017.0)</f>
        <v>2017</v>
      </c>
      <c r="M5562" s="308" t="s">
        <v>22307</v>
      </c>
      <c r="N5562" s="308" t="s">
        <v>22308</v>
      </c>
      <c r="O5562" s="308"/>
      <c r="P5562" s="308" t="s">
        <v>136</v>
      </c>
      <c r="Q5562" s="308" t="s">
        <v>38498</v>
      </c>
      <c r="R5562" s="308" t="s">
        <v>1496</v>
      </c>
      <c r="S5562" s="315" t="s">
        <v>100</v>
      </c>
      <c r="T5562" s="308" t="s">
        <v>34208</v>
      </c>
      <c r="U5562" s="308" t="s">
        <v>166</v>
      </c>
      <c r="V5562" s="308"/>
    </row>
    <row r="5563">
      <c r="A5563" s="308">
        <v>5562.0</v>
      </c>
      <c r="B5563" s="308"/>
      <c r="C5563" s="308" t="s">
        <v>22309</v>
      </c>
      <c r="D5563" s="308">
        <f>IFERROR(__xludf.DUMMYFUNCTION("SPLIT(C5563,""-"")"),5583.0)</f>
        <v>5583</v>
      </c>
      <c r="E5563" s="308" t="str">
        <f>IFERROR(__xludf.DUMMYFUNCTION("""COMPUTED_VALUE"""),"K")</f>
        <v>K</v>
      </c>
      <c r="F5563" s="309" t="s">
        <v>34</v>
      </c>
      <c r="G5563" s="308"/>
      <c r="H5563" s="308" t="s">
        <v>22310</v>
      </c>
      <c r="I5563" s="310">
        <v>42636.0</v>
      </c>
      <c r="J5563" s="319">
        <f>IFERROR(__xludf.DUMMYFUNCTION("SPLIT(I5563,""/"")"),23.0)</f>
        <v>23</v>
      </c>
      <c r="K5563" s="308">
        <f>IFERROR(__xludf.DUMMYFUNCTION("""COMPUTED_VALUE"""),9.0)</f>
        <v>9</v>
      </c>
      <c r="L5563" s="308">
        <f>IFERROR(__xludf.DUMMYFUNCTION("""COMPUTED_VALUE"""),2016.0)</f>
        <v>2016</v>
      </c>
      <c r="M5563" s="308" t="s">
        <v>22311</v>
      </c>
      <c r="N5563" s="308"/>
      <c r="O5563" s="308"/>
      <c r="P5563" s="308" t="s">
        <v>136</v>
      </c>
      <c r="Q5563" s="308" t="s">
        <v>38498</v>
      </c>
      <c r="R5563" s="308" t="s">
        <v>2743</v>
      </c>
      <c r="S5563" s="315" t="s">
        <v>100</v>
      </c>
      <c r="T5563" s="308" t="s">
        <v>34208</v>
      </c>
      <c r="U5563" s="308" t="s">
        <v>125</v>
      </c>
      <c r="V5563" s="308"/>
    </row>
    <row r="5564">
      <c r="A5564" s="308">
        <v>5563.0</v>
      </c>
      <c r="B5564" s="308"/>
      <c r="C5564" s="308" t="s">
        <v>22312</v>
      </c>
      <c r="D5564" s="308">
        <f>IFERROR(__xludf.DUMMYFUNCTION("SPLIT(C5564,""-"")"),5584.0)</f>
        <v>5584</v>
      </c>
      <c r="E5564" s="308" t="str">
        <f>IFERROR(__xludf.DUMMYFUNCTION("""COMPUTED_VALUE"""),"S")</f>
        <v>S</v>
      </c>
      <c r="F5564" s="312" t="s">
        <v>39</v>
      </c>
      <c r="G5564" s="308"/>
      <c r="H5564" s="308" t="s">
        <v>22313</v>
      </c>
      <c r="I5564" s="314">
        <v>43056.0</v>
      </c>
      <c r="J5564" s="319">
        <f>IFERROR(__xludf.DUMMYFUNCTION("SPLIT(I5564,""/"")"),17.0)</f>
        <v>17</v>
      </c>
      <c r="K5564" s="308">
        <f>IFERROR(__xludf.DUMMYFUNCTION("""COMPUTED_VALUE"""),11.0)</f>
        <v>11</v>
      </c>
      <c r="L5564" s="308">
        <f>IFERROR(__xludf.DUMMYFUNCTION("""COMPUTED_VALUE"""),2017.0)</f>
        <v>2017</v>
      </c>
      <c r="M5564" s="308" t="s">
        <v>22314</v>
      </c>
      <c r="N5564" s="308" t="s">
        <v>22315</v>
      </c>
      <c r="O5564" s="308"/>
      <c r="P5564" s="308" t="s">
        <v>136</v>
      </c>
      <c r="Q5564" s="308" t="s">
        <v>38498</v>
      </c>
      <c r="R5564" s="308" t="s">
        <v>2743</v>
      </c>
      <c r="S5564" s="315" t="s">
        <v>100</v>
      </c>
      <c r="T5564" s="308" t="s">
        <v>34208</v>
      </c>
      <c r="U5564" s="308" t="s">
        <v>166</v>
      </c>
      <c r="V5564" s="308"/>
    </row>
    <row r="5565">
      <c r="A5565" s="308">
        <v>5564.0</v>
      </c>
      <c r="B5565" s="308"/>
      <c r="C5565" s="308" t="s">
        <v>22316</v>
      </c>
      <c r="D5565" s="308">
        <f>IFERROR(__xludf.DUMMYFUNCTION("SPLIT(C5565,""-"")"),5585.0)</f>
        <v>5585</v>
      </c>
      <c r="E5565" s="308" t="str">
        <f>IFERROR(__xludf.DUMMYFUNCTION("""COMPUTED_VALUE"""),"P")</f>
        <v>P</v>
      </c>
      <c r="F5565" s="312" t="s">
        <v>37</v>
      </c>
      <c r="G5565" s="308"/>
      <c r="H5565" s="308" t="s">
        <v>22317</v>
      </c>
      <c r="I5565" s="314">
        <v>43402.0</v>
      </c>
      <c r="J5565" s="319">
        <f>IFERROR(__xludf.DUMMYFUNCTION("SPLIT(I5565,""/"")"),29.0)</f>
        <v>29</v>
      </c>
      <c r="K5565" s="308">
        <f>IFERROR(__xludf.DUMMYFUNCTION("""COMPUTED_VALUE"""),10.0)</f>
        <v>10</v>
      </c>
      <c r="L5565" s="308">
        <f>IFERROR(__xludf.DUMMYFUNCTION("""COMPUTED_VALUE"""),2018.0)</f>
        <v>2018</v>
      </c>
      <c r="M5565" s="308" t="s">
        <v>22318</v>
      </c>
      <c r="N5565" s="308"/>
      <c r="O5565" s="308" t="s">
        <v>38499</v>
      </c>
      <c r="P5565" s="308" t="s">
        <v>38500</v>
      </c>
      <c r="Q5565" s="308" t="s">
        <v>38498</v>
      </c>
      <c r="R5565" s="308" t="s">
        <v>2743</v>
      </c>
      <c r="S5565" s="308" t="s">
        <v>81</v>
      </c>
      <c r="T5565" s="311" t="s">
        <v>51</v>
      </c>
      <c r="U5565" s="308" t="s">
        <v>15904</v>
      </c>
      <c r="V5565" s="308"/>
    </row>
    <row r="5566">
      <c r="A5566" s="308">
        <v>5565.0</v>
      </c>
      <c r="B5566" s="308"/>
      <c r="C5566" s="308" t="s">
        <v>22321</v>
      </c>
      <c r="D5566" s="308">
        <f>IFERROR(__xludf.DUMMYFUNCTION("SPLIT(C5566,""-"")"),5586.0)</f>
        <v>5586</v>
      </c>
      <c r="E5566" s="308" t="str">
        <f>IFERROR(__xludf.DUMMYFUNCTION("""COMPUTED_VALUE"""),"K")</f>
        <v>K</v>
      </c>
      <c r="F5566" s="309" t="s">
        <v>34</v>
      </c>
      <c r="G5566" s="308"/>
      <c r="H5566" s="308" t="s">
        <v>22322</v>
      </c>
      <c r="I5566" s="310">
        <v>39995.0</v>
      </c>
      <c r="J5566" s="319">
        <f>IFERROR(__xludf.DUMMYFUNCTION("SPLIT(I5566,""/"")"),1.0)</f>
        <v>1</v>
      </c>
      <c r="K5566" s="308">
        <f>IFERROR(__xludf.DUMMYFUNCTION("""COMPUTED_VALUE"""),7.0)</f>
        <v>7</v>
      </c>
      <c r="L5566" s="308">
        <f>IFERROR(__xludf.DUMMYFUNCTION("""COMPUTED_VALUE"""),2009.0)</f>
        <v>2009</v>
      </c>
      <c r="M5566" s="308" t="s">
        <v>22323</v>
      </c>
      <c r="N5566" s="308" t="s">
        <v>22324</v>
      </c>
      <c r="O5566" s="308" t="s">
        <v>22325</v>
      </c>
      <c r="P5566" s="308" t="s">
        <v>136</v>
      </c>
      <c r="Q5566" s="308" t="s">
        <v>38501</v>
      </c>
      <c r="R5566" s="308" t="s">
        <v>2743</v>
      </c>
      <c r="S5566" s="315" t="s">
        <v>100</v>
      </c>
      <c r="T5566" s="308" t="s">
        <v>34208</v>
      </c>
      <c r="U5566" s="308" t="s">
        <v>530</v>
      </c>
      <c r="V5566" s="308"/>
    </row>
    <row r="5567">
      <c r="A5567" s="308">
        <v>5566.0</v>
      </c>
      <c r="B5567" s="308"/>
      <c r="C5567" s="308" t="s">
        <v>22326</v>
      </c>
      <c r="D5567" s="308">
        <f>IFERROR(__xludf.DUMMYFUNCTION("SPLIT(C5567,""-"")"),5587.0)</f>
        <v>5587</v>
      </c>
      <c r="E5567" s="308" t="str">
        <f>IFERROR(__xludf.DUMMYFUNCTION("""COMPUTED_VALUE"""),"P")</f>
        <v>P</v>
      </c>
      <c r="F5567" s="312" t="s">
        <v>37</v>
      </c>
      <c r="G5567" s="308"/>
      <c r="H5567" s="308" t="s">
        <v>22327</v>
      </c>
      <c r="I5567" s="310">
        <v>43330.0</v>
      </c>
      <c r="J5567" s="319">
        <f>IFERROR(__xludf.DUMMYFUNCTION("SPLIT(I5567,""/"")"),18.0)</f>
        <v>18</v>
      </c>
      <c r="K5567" s="308">
        <f>IFERROR(__xludf.DUMMYFUNCTION("""COMPUTED_VALUE"""),8.0)</f>
        <v>8</v>
      </c>
      <c r="L5567" s="308">
        <f>IFERROR(__xludf.DUMMYFUNCTION("""COMPUTED_VALUE"""),2018.0)</f>
        <v>2018</v>
      </c>
      <c r="M5567" s="308" t="s">
        <v>22328</v>
      </c>
      <c r="N5567" s="308"/>
      <c r="O5567" s="308"/>
      <c r="P5567" s="308" t="s">
        <v>38502</v>
      </c>
      <c r="Q5567" s="308" t="s">
        <v>38501</v>
      </c>
      <c r="R5567" s="308" t="s">
        <v>2743</v>
      </c>
      <c r="S5567" s="308" t="s">
        <v>81</v>
      </c>
      <c r="T5567" s="308" t="s">
        <v>73</v>
      </c>
      <c r="U5567" s="308" t="s">
        <v>1910</v>
      </c>
      <c r="V5567" s="308"/>
    </row>
    <row r="5568">
      <c r="A5568" s="308">
        <v>5567.0</v>
      </c>
      <c r="B5568" s="308"/>
      <c r="C5568" s="308" t="s">
        <v>22330</v>
      </c>
      <c r="D5568" s="308">
        <f>IFERROR(__xludf.DUMMYFUNCTION("SPLIT(C5568,""-"")"),5588.0)</f>
        <v>5588</v>
      </c>
      <c r="E5568" s="308" t="str">
        <f>IFERROR(__xludf.DUMMYFUNCTION("""COMPUTED_VALUE"""),"K")</f>
        <v>K</v>
      </c>
      <c r="F5568" s="309" t="s">
        <v>34</v>
      </c>
      <c r="G5568" s="308"/>
      <c r="H5568" s="308" t="s">
        <v>22331</v>
      </c>
      <c r="I5568" s="310">
        <v>39995.0</v>
      </c>
      <c r="J5568" s="319">
        <f>IFERROR(__xludf.DUMMYFUNCTION("SPLIT(I5568,""/"")"),1.0)</f>
        <v>1</v>
      </c>
      <c r="K5568" s="308">
        <f>IFERROR(__xludf.DUMMYFUNCTION("""COMPUTED_VALUE"""),7.0)</f>
        <v>7</v>
      </c>
      <c r="L5568" s="308">
        <f>IFERROR(__xludf.DUMMYFUNCTION("""COMPUTED_VALUE"""),2009.0)</f>
        <v>2009</v>
      </c>
      <c r="M5568" s="308" t="s">
        <v>22332</v>
      </c>
      <c r="N5568" s="308" t="s">
        <v>22333</v>
      </c>
      <c r="O5568" s="308" t="s">
        <v>22334</v>
      </c>
      <c r="P5568" s="308" t="s">
        <v>136</v>
      </c>
      <c r="Q5568" s="308" t="s">
        <v>38501</v>
      </c>
      <c r="R5568" s="308" t="s">
        <v>2743</v>
      </c>
      <c r="S5568" s="315" t="s">
        <v>100</v>
      </c>
      <c r="T5568" s="308" t="s">
        <v>34208</v>
      </c>
      <c r="U5568" s="308" t="s">
        <v>530</v>
      </c>
      <c r="V5568" s="308"/>
    </row>
    <row r="5569">
      <c r="A5569" s="308">
        <v>5568.0</v>
      </c>
      <c r="B5569" s="308"/>
      <c r="C5569" s="308" t="s">
        <v>22335</v>
      </c>
      <c r="D5569" s="308">
        <f>IFERROR(__xludf.DUMMYFUNCTION("SPLIT(C5569,""-"")"),5589.0)</f>
        <v>5589</v>
      </c>
      <c r="E5569" s="308" t="str">
        <f>IFERROR(__xludf.DUMMYFUNCTION("""COMPUTED_VALUE"""),"P")</f>
        <v>P</v>
      </c>
      <c r="F5569" s="312" t="s">
        <v>37</v>
      </c>
      <c r="G5569" s="308"/>
      <c r="H5569" s="308" t="s">
        <v>22336</v>
      </c>
      <c r="I5569" s="310">
        <v>43317.0</v>
      </c>
      <c r="J5569" s="319">
        <f>IFERROR(__xludf.DUMMYFUNCTION("SPLIT(I5569,""/"")"),5.0)</f>
        <v>5</v>
      </c>
      <c r="K5569" s="308">
        <f>IFERROR(__xludf.DUMMYFUNCTION("""COMPUTED_VALUE"""),8.0)</f>
        <v>8</v>
      </c>
      <c r="L5569" s="308">
        <f>IFERROR(__xludf.DUMMYFUNCTION("""COMPUTED_VALUE"""),2018.0)</f>
        <v>2018</v>
      </c>
      <c r="M5569" s="308" t="s">
        <v>22337</v>
      </c>
      <c r="N5569" s="308"/>
      <c r="O5569" s="308"/>
      <c r="P5569" s="308" t="s">
        <v>38503</v>
      </c>
      <c r="Q5569" s="308" t="s">
        <v>38489</v>
      </c>
      <c r="R5569" s="308" t="s">
        <v>21673</v>
      </c>
      <c r="S5569" s="308" t="s">
        <v>81</v>
      </c>
      <c r="T5569" s="308" t="s">
        <v>73</v>
      </c>
      <c r="U5569" s="308" t="s">
        <v>2527</v>
      </c>
      <c r="V5569" s="308"/>
    </row>
    <row r="5570">
      <c r="A5570" s="308">
        <v>5569.0</v>
      </c>
      <c r="B5570" s="308"/>
      <c r="C5570" s="308" t="s">
        <v>22339</v>
      </c>
      <c r="D5570" s="308">
        <f>IFERROR(__xludf.DUMMYFUNCTION("SPLIT(C5570,""-"")"),5590.0)</f>
        <v>5590</v>
      </c>
      <c r="E5570" s="308" t="str">
        <f>IFERROR(__xludf.DUMMYFUNCTION("""COMPUTED_VALUE"""),"K")</f>
        <v>K</v>
      </c>
      <c r="F5570" s="309" t="s">
        <v>34</v>
      </c>
      <c r="G5570" s="308"/>
      <c r="H5570" s="308" t="s">
        <v>22340</v>
      </c>
      <c r="I5570" s="310">
        <v>43349.0</v>
      </c>
      <c r="J5570" s="319">
        <f>IFERROR(__xludf.DUMMYFUNCTION("SPLIT(I5570,""/"")"),6.0)</f>
        <v>6</v>
      </c>
      <c r="K5570" s="308">
        <f>IFERROR(__xludf.DUMMYFUNCTION("""COMPUTED_VALUE"""),9.0)</f>
        <v>9</v>
      </c>
      <c r="L5570" s="308">
        <f>IFERROR(__xludf.DUMMYFUNCTION("""COMPUTED_VALUE"""),2018.0)</f>
        <v>2018</v>
      </c>
      <c r="M5570" s="308" t="s">
        <v>22341</v>
      </c>
      <c r="N5570" s="308"/>
      <c r="O5570" s="308"/>
      <c r="P5570" s="308" t="s">
        <v>38504</v>
      </c>
      <c r="Q5570" s="308" t="s">
        <v>38489</v>
      </c>
      <c r="R5570" s="308" t="s">
        <v>2743</v>
      </c>
      <c r="S5570" s="308" t="s">
        <v>81</v>
      </c>
      <c r="T5570" s="308" t="s">
        <v>98</v>
      </c>
      <c r="U5570" s="308" t="s">
        <v>10279</v>
      </c>
      <c r="V5570" s="308"/>
    </row>
    <row r="5571">
      <c r="A5571" s="308">
        <v>5570.0</v>
      </c>
      <c r="B5571" s="308"/>
      <c r="C5571" s="308" t="s">
        <v>22343</v>
      </c>
      <c r="D5571" s="308">
        <f>IFERROR(__xludf.DUMMYFUNCTION("SPLIT(C5571,""-"")"),5591.0)</f>
        <v>5591</v>
      </c>
      <c r="E5571" s="308" t="str">
        <f>IFERROR(__xludf.DUMMYFUNCTION("""COMPUTED_VALUE"""),"K")</f>
        <v>K</v>
      </c>
      <c r="F5571" s="309" t="s">
        <v>34</v>
      </c>
      <c r="G5571" s="308"/>
      <c r="H5571" s="308" t="s">
        <v>22344</v>
      </c>
      <c r="I5571" s="314">
        <v>43420.0</v>
      </c>
      <c r="J5571" s="319">
        <f>IFERROR(__xludf.DUMMYFUNCTION("SPLIT(I5571,""/"")"),16.0)</f>
        <v>16</v>
      </c>
      <c r="K5571" s="308">
        <f>IFERROR(__xludf.DUMMYFUNCTION("""COMPUTED_VALUE"""),11.0)</f>
        <v>11</v>
      </c>
      <c r="L5571" s="308">
        <f>IFERROR(__xludf.DUMMYFUNCTION("""COMPUTED_VALUE"""),2018.0)</f>
        <v>2018</v>
      </c>
      <c r="M5571" s="308" t="s">
        <v>38505</v>
      </c>
      <c r="N5571" s="308"/>
      <c r="O5571" s="308"/>
      <c r="P5571" s="308" t="s">
        <v>22346</v>
      </c>
      <c r="Q5571" s="308" t="s">
        <v>38489</v>
      </c>
      <c r="R5571" s="308" t="s">
        <v>2743</v>
      </c>
      <c r="S5571" s="308" t="s">
        <v>81</v>
      </c>
      <c r="T5571" s="311" t="s">
        <v>91</v>
      </c>
      <c r="U5571" s="308" t="s">
        <v>10279</v>
      </c>
      <c r="V5571" s="308"/>
    </row>
    <row r="5572">
      <c r="A5572" s="308">
        <v>5571.0</v>
      </c>
      <c r="B5572" s="308"/>
      <c r="C5572" s="308" t="s">
        <v>22347</v>
      </c>
      <c r="D5572" s="308">
        <f>IFERROR(__xludf.DUMMYFUNCTION("SPLIT(C5572,""-"")"),5592.0)</f>
        <v>5592</v>
      </c>
      <c r="E5572" s="308" t="str">
        <f>IFERROR(__xludf.DUMMYFUNCTION("""COMPUTED_VALUE"""),"S")</f>
        <v>S</v>
      </c>
      <c r="F5572" s="312" t="s">
        <v>39</v>
      </c>
      <c r="G5572" s="308"/>
      <c r="H5572" s="308" t="s">
        <v>38506</v>
      </c>
      <c r="I5572" s="316" t="s">
        <v>407</v>
      </c>
      <c r="J5572" s="319"/>
      <c r="K5572" s="308"/>
      <c r="L5572" s="311" t="s">
        <v>79</v>
      </c>
      <c r="M5572" s="308" t="s">
        <v>22348</v>
      </c>
      <c r="N5572" s="308"/>
      <c r="O5572" s="308"/>
      <c r="P5572" s="308" t="s">
        <v>22349</v>
      </c>
      <c r="Q5572" s="308" t="s">
        <v>38489</v>
      </c>
      <c r="R5572" s="308" t="s">
        <v>2743</v>
      </c>
      <c r="S5572" s="308" t="s">
        <v>81</v>
      </c>
      <c r="T5572" s="308" t="s">
        <v>73</v>
      </c>
      <c r="U5572" s="308" t="s">
        <v>166</v>
      </c>
      <c r="V5572" s="308"/>
    </row>
    <row r="5573">
      <c r="A5573" s="308">
        <v>5572.0</v>
      </c>
      <c r="B5573" s="308"/>
      <c r="C5573" s="308" t="s">
        <v>22350</v>
      </c>
      <c r="D5573" s="308">
        <f>IFERROR(__xludf.DUMMYFUNCTION("SPLIT(C5573,""-"")"),5593.0)</f>
        <v>5593</v>
      </c>
      <c r="E5573" s="308" t="str">
        <f>IFERROR(__xludf.DUMMYFUNCTION("""COMPUTED_VALUE"""),"K")</f>
        <v>K</v>
      </c>
      <c r="F5573" s="309" t="s">
        <v>34</v>
      </c>
      <c r="G5573" s="308"/>
      <c r="H5573" s="308" t="s">
        <v>22351</v>
      </c>
      <c r="I5573" s="310">
        <v>43302.0</v>
      </c>
      <c r="J5573" s="319">
        <f>IFERROR(__xludf.DUMMYFUNCTION("SPLIT(I5573,""/"")"),21.0)</f>
        <v>21</v>
      </c>
      <c r="K5573" s="308">
        <f>IFERROR(__xludf.DUMMYFUNCTION("""COMPUTED_VALUE"""),7.0)</f>
        <v>7</v>
      </c>
      <c r="L5573" s="308">
        <f>IFERROR(__xludf.DUMMYFUNCTION("""COMPUTED_VALUE"""),2018.0)</f>
        <v>2018</v>
      </c>
      <c r="M5573" s="308" t="s">
        <v>22352</v>
      </c>
      <c r="N5573" s="308"/>
      <c r="O5573" s="308"/>
      <c r="P5573" s="308" t="s">
        <v>38507</v>
      </c>
      <c r="Q5573" s="308" t="s">
        <v>38489</v>
      </c>
      <c r="R5573" s="308" t="s">
        <v>2743</v>
      </c>
      <c r="S5573" s="308" t="s">
        <v>81</v>
      </c>
      <c r="T5573" s="311" t="s">
        <v>96</v>
      </c>
      <c r="U5573" s="308" t="s">
        <v>125</v>
      </c>
      <c r="V5573" s="308"/>
    </row>
    <row r="5574">
      <c r="A5574" s="308">
        <v>5573.0</v>
      </c>
      <c r="B5574" s="308"/>
      <c r="C5574" s="308" t="s">
        <v>22354</v>
      </c>
      <c r="D5574" s="308">
        <f>IFERROR(__xludf.DUMMYFUNCTION("SPLIT(C5574,""-"")"),5594.0)</f>
        <v>5594</v>
      </c>
      <c r="E5574" s="308" t="str">
        <f>IFERROR(__xludf.DUMMYFUNCTION("""COMPUTED_VALUE"""),"K")</f>
        <v>K</v>
      </c>
      <c r="F5574" s="309" t="s">
        <v>34</v>
      </c>
      <c r="G5574" s="308"/>
      <c r="H5574" s="308" t="s">
        <v>22355</v>
      </c>
      <c r="I5574" s="310">
        <v>40021.0</v>
      </c>
      <c r="J5574" s="319">
        <f>IFERROR(__xludf.DUMMYFUNCTION("SPLIT(I5574,""/"")"),27.0)</f>
        <v>27</v>
      </c>
      <c r="K5574" s="308">
        <f>IFERROR(__xludf.DUMMYFUNCTION("""COMPUTED_VALUE"""),7.0)</f>
        <v>7</v>
      </c>
      <c r="L5574" s="308">
        <f>IFERROR(__xludf.DUMMYFUNCTION("""COMPUTED_VALUE"""),2009.0)</f>
        <v>2009</v>
      </c>
      <c r="M5574" s="308" t="s">
        <v>38508</v>
      </c>
      <c r="N5574" s="308"/>
      <c r="O5574" s="308"/>
      <c r="P5574" s="308" t="s">
        <v>136</v>
      </c>
      <c r="Q5574" s="308" t="s">
        <v>38489</v>
      </c>
      <c r="R5574" s="308" t="s">
        <v>2743</v>
      </c>
      <c r="S5574" s="315" t="s">
        <v>100</v>
      </c>
      <c r="T5574" s="308" t="s">
        <v>34208</v>
      </c>
      <c r="U5574" s="308" t="s">
        <v>21545</v>
      </c>
      <c r="V5574" s="308"/>
    </row>
    <row r="5575">
      <c r="A5575" s="308">
        <v>5574.0</v>
      </c>
      <c r="B5575" s="308"/>
      <c r="C5575" s="308" t="s">
        <v>22357</v>
      </c>
      <c r="D5575" s="308">
        <f>IFERROR(__xludf.DUMMYFUNCTION("SPLIT(C5575,""-"")"),5595.0)</f>
        <v>5595</v>
      </c>
      <c r="E5575" s="308" t="str">
        <f>IFERROR(__xludf.DUMMYFUNCTION("""COMPUTED_VALUE"""),"K")</f>
        <v>K</v>
      </c>
      <c r="F5575" s="309" t="s">
        <v>34</v>
      </c>
      <c r="G5575" s="308"/>
      <c r="H5575" s="308" t="s">
        <v>22358</v>
      </c>
      <c r="I5575" s="310">
        <v>42955.0</v>
      </c>
      <c r="J5575" s="319" t="str">
        <f>IFERROR(__xludf.DUMMYFUNCTION("SPLIT(I5575,""/"")"),"#REF!")</f>
        <v>#REF!</v>
      </c>
      <c r="K5575" s="308"/>
      <c r="L5575" s="308">
        <v>2017.0</v>
      </c>
      <c r="M5575" s="308" t="s">
        <v>22359</v>
      </c>
      <c r="N5575" s="308" t="s">
        <v>22360</v>
      </c>
      <c r="O5575" s="308" t="s">
        <v>22361</v>
      </c>
      <c r="P5575" s="308" t="s">
        <v>22362</v>
      </c>
      <c r="Q5575" s="308" t="s">
        <v>38489</v>
      </c>
      <c r="R5575" s="308" t="s">
        <v>2743</v>
      </c>
      <c r="S5575" s="308" t="s">
        <v>81</v>
      </c>
      <c r="T5575" s="311" t="s">
        <v>73</v>
      </c>
      <c r="U5575" s="308" t="s">
        <v>4749</v>
      </c>
      <c r="V5575" s="308"/>
    </row>
    <row r="5576">
      <c r="A5576" s="308">
        <v>5575.0</v>
      </c>
      <c r="B5576" s="308"/>
      <c r="C5576" s="308" t="s">
        <v>22363</v>
      </c>
      <c r="D5576" s="308">
        <f>IFERROR(__xludf.DUMMYFUNCTION("SPLIT(C5576,""-"")"),5596.0)</f>
        <v>5596</v>
      </c>
      <c r="E5576" s="308" t="str">
        <f>IFERROR(__xludf.DUMMYFUNCTION("""COMPUTED_VALUE"""),"K")</f>
        <v>K</v>
      </c>
      <c r="F5576" s="309" t="s">
        <v>34</v>
      </c>
      <c r="G5576" s="308"/>
      <c r="H5576" s="308" t="s">
        <v>22364</v>
      </c>
      <c r="I5576" s="310">
        <v>42005.0</v>
      </c>
      <c r="J5576" s="319">
        <f>IFERROR(__xludf.DUMMYFUNCTION("SPLIT(I5576,""/"")"),1.0)</f>
        <v>1</v>
      </c>
      <c r="K5576" s="308">
        <f>IFERROR(__xludf.DUMMYFUNCTION("""COMPUTED_VALUE"""),1.0)</f>
        <v>1</v>
      </c>
      <c r="L5576" s="308">
        <f>IFERROR(__xludf.DUMMYFUNCTION("""COMPUTED_VALUE"""),2015.0)</f>
        <v>2015</v>
      </c>
      <c r="M5576" s="308" t="s">
        <v>38509</v>
      </c>
      <c r="N5576" s="308"/>
      <c r="O5576" s="308" t="s">
        <v>22366</v>
      </c>
      <c r="P5576" s="308" t="s">
        <v>22367</v>
      </c>
      <c r="Q5576" s="308" t="s">
        <v>38489</v>
      </c>
      <c r="R5576" s="308" t="s">
        <v>2743</v>
      </c>
      <c r="S5576" s="308" t="s">
        <v>81</v>
      </c>
      <c r="T5576" s="308" t="s">
        <v>34264</v>
      </c>
      <c r="U5576" s="308" t="s">
        <v>282</v>
      </c>
      <c r="V5576" s="308"/>
    </row>
    <row r="5577">
      <c r="A5577" s="308">
        <v>5576.0</v>
      </c>
      <c r="B5577" s="308"/>
      <c r="C5577" s="308" t="s">
        <v>22368</v>
      </c>
      <c r="D5577" s="308">
        <f>IFERROR(__xludf.DUMMYFUNCTION("SPLIT(C5577,""-"")"),5597.0)</f>
        <v>5597</v>
      </c>
      <c r="E5577" s="308" t="str">
        <f>IFERROR(__xludf.DUMMYFUNCTION("""COMPUTED_VALUE"""),"K")</f>
        <v>K</v>
      </c>
      <c r="F5577" s="309" t="s">
        <v>34</v>
      </c>
      <c r="G5577" s="308"/>
      <c r="H5577" s="308" t="s">
        <v>38510</v>
      </c>
      <c r="I5577" s="310">
        <v>40725.0</v>
      </c>
      <c r="J5577" s="319">
        <f>IFERROR(__xludf.DUMMYFUNCTION("SPLIT(I5577,""/"")"),1.0)</f>
        <v>1</v>
      </c>
      <c r="K5577" s="308">
        <f>IFERROR(__xludf.DUMMYFUNCTION("""COMPUTED_VALUE"""),7.0)</f>
        <v>7</v>
      </c>
      <c r="L5577" s="308">
        <f>IFERROR(__xludf.DUMMYFUNCTION("""COMPUTED_VALUE"""),2011.0)</f>
        <v>2011</v>
      </c>
      <c r="M5577" s="308" t="s">
        <v>22370</v>
      </c>
      <c r="N5577" s="308"/>
      <c r="O5577" s="308"/>
      <c r="P5577" s="308" t="s">
        <v>136</v>
      </c>
      <c r="Q5577" s="308" t="s">
        <v>38489</v>
      </c>
      <c r="R5577" s="308" t="s">
        <v>2743</v>
      </c>
      <c r="S5577" s="315" t="s">
        <v>100</v>
      </c>
      <c r="T5577" s="308" t="s">
        <v>34208</v>
      </c>
      <c r="U5577" s="308" t="s">
        <v>125</v>
      </c>
      <c r="V5577" s="308"/>
    </row>
    <row r="5578">
      <c r="A5578" s="308">
        <v>5577.0</v>
      </c>
      <c r="B5578" s="308"/>
      <c r="C5578" s="308" t="s">
        <v>22371</v>
      </c>
      <c r="D5578" s="308">
        <f>IFERROR(__xludf.DUMMYFUNCTION("SPLIT(C5578,""-"")"),5598.0)</f>
        <v>5598</v>
      </c>
      <c r="E5578" s="308" t="str">
        <f>IFERROR(__xludf.DUMMYFUNCTION("""COMPUTED_VALUE"""),"K")</f>
        <v>K</v>
      </c>
      <c r="F5578" s="309" t="s">
        <v>34</v>
      </c>
      <c r="G5578" s="308"/>
      <c r="H5578" s="308" t="s">
        <v>22372</v>
      </c>
      <c r="I5578" s="310">
        <v>40725.0</v>
      </c>
      <c r="J5578" s="319">
        <f>IFERROR(__xludf.DUMMYFUNCTION("SPLIT(I5578,""/"")"),1.0)</f>
        <v>1</v>
      </c>
      <c r="K5578" s="308">
        <f>IFERROR(__xludf.DUMMYFUNCTION("""COMPUTED_VALUE"""),7.0)</f>
        <v>7</v>
      </c>
      <c r="L5578" s="308">
        <f>IFERROR(__xludf.DUMMYFUNCTION("""COMPUTED_VALUE"""),2011.0)</f>
        <v>2011</v>
      </c>
      <c r="M5578" s="308" t="s">
        <v>22370</v>
      </c>
      <c r="N5578" s="308"/>
      <c r="O5578" s="308"/>
      <c r="P5578" s="308" t="s">
        <v>136</v>
      </c>
      <c r="Q5578" s="308" t="s">
        <v>38489</v>
      </c>
      <c r="R5578" s="308" t="s">
        <v>2743</v>
      </c>
      <c r="S5578" s="315" t="s">
        <v>100</v>
      </c>
      <c r="T5578" s="308" t="s">
        <v>34208</v>
      </c>
      <c r="U5578" s="308" t="s">
        <v>125</v>
      </c>
      <c r="V5578" s="308"/>
    </row>
    <row r="5579">
      <c r="A5579" s="308">
        <v>5578.0</v>
      </c>
      <c r="B5579" s="308"/>
      <c r="C5579" s="308" t="s">
        <v>22373</v>
      </c>
      <c r="D5579" s="308">
        <f>IFERROR(__xludf.DUMMYFUNCTION("SPLIT(C5579,""-"")"),5599.0)</f>
        <v>5599</v>
      </c>
      <c r="E5579" s="308" t="str">
        <f>IFERROR(__xludf.DUMMYFUNCTION("""COMPUTED_VALUE"""),"A")</f>
        <v>A</v>
      </c>
      <c r="F5579" s="309" t="s">
        <v>23</v>
      </c>
      <c r="G5579" s="308"/>
      <c r="H5579" s="308" t="s">
        <v>22374</v>
      </c>
      <c r="I5579" s="314">
        <v>41205.0</v>
      </c>
      <c r="J5579" s="319">
        <f>IFERROR(__xludf.DUMMYFUNCTION("SPLIT(I5579,""/"")"),23.0)</f>
        <v>23</v>
      </c>
      <c r="K5579" s="308">
        <f>IFERROR(__xludf.DUMMYFUNCTION("""COMPUTED_VALUE"""),10.0)</f>
        <v>10</v>
      </c>
      <c r="L5579" s="308">
        <f>IFERROR(__xludf.DUMMYFUNCTION("""COMPUTED_VALUE"""),2012.0)</f>
        <v>2012</v>
      </c>
      <c r="M5579" s="308" t="s">
        <v>22375</v>
      </c>
      <c r="N5579" s="308"/>
      <c r="O5579" s="308"/>
      <c r="P5579" s="308" t="s">
        <v>38511</v>
      </c>
      <c r="Q5579" s="308" t="s">
        <v>38489</v>
      </c>
      <c r="R5579" s="308" t="s">
        <v>20329</v>
      </c>
      <c r="S5579" s="308" t="s">
        <v>49</v>
      </c>
      <c r="T5579" s="308" t="s">
        <v>51</v>
      </c>
      <c r="U5579" s="308" t="s">
        <v>403</v>
      </c>
      <c r="V5579" s="308"/>
    </row>
    <row r="5580">
      <c r="A5580" s="308">
        <v>5579.0</v>
      </c>
      <c r="B5580" s="308"/>
      <c r="C5580" s="308" t="s">
        <v>22377</v>
      </c>
      <c r="D5580" s="308">
        <f>IFERROR(__xludf.DUMMYFUNCTION("SPLIT(C5580,""-"")"),5600.0)</f>
        <v>5600</v>
      </c>
      <c r="E5580" s="308" t="str">
        <f>IFERROR(__xludf.DUMMYFUNCTION("""COMPUTED_VALUE"""),"S")</f>
        <v>S</v>
      </c>
      <c r="F5580" s="312" t="s">
        <v>39</v>
      </c>
      <c r="G5580" s="308"/>
      <c r="H5580" s="308" t="s">
        <v>22378</v>
      </c>
      <c r="I5580" s="310">
        <v>43369.0</v>
      </c>
      <c r="J5580" s="319">
        <f>IFERROR(__xludf.DUMMYFUNCTION("SPLIT(I5580,""/"")"),26.0)</f>
        <v>26</v>
      </c>
      <c r="K5580" s="308">
        <f>IFERROR(__xludf.DUMMYFUNCTION("""COMPUTED_VALUE"""),9.0)</f>
        <v>9</v>
      </c>
      <c r="L5580" s="308">
        <f>IFERROR(__xludf.DUMMYFUNCTION("""COMPUTED_VALUE"""),2018.0)</f>
        <v>2018</v>
      </c>
      <c r="M5580" s="308" t="s">
        <v>38512</v>
      </c>
      <c r="N5580" s="308"/>
      <c r="O5580" s="308"/>
      <c r="P5580" s="308" t="s">
        <v>22380</v>
      </c>
      <c r="Q5580" s="308" t="s">
        <v>38489</v>
      </c>
      <c r="R5580" s="308" t="s">
        <v>2743</v>
      </c>
      <c r="S5580" s="308" t="s">
        <v>81</v>
      </c>
      <c r="T5580" s="311" t="s">
        <v>75</v>
      </c>
      <c r="U5580" s="308" t="s">
        <v>166</v>
      </c>
      <c r="V5580" s="308"/>
    </row>
    <row r="5581">
      <c r="A5581" s="308">
        <v>5580.0</v>
      </c>
      <c r="B5581" s="308"/>
      <c r="C5581" s="308" t="s">
        <v>22381</v>
      </c>
      <c r="D5581" s="308">
        <f>IFERROR(__xludf.DUMMYFUNCTION("SPLIT(C5581,""-"")"),5601.0)</f>
        <v>5601</v>
      </c>
      <c r="E5581" s="308" t="str">
        <f>IFERROR(__xludf.DUMMYFUNCTION("""COMPUTED_VALUE"""),"P")</f>
        <v>P</v>
      </c>
      <c r="F5581" s="312" t="s">
        <v>37</v>
      </c>
      <c r="G5581" s="308"/>
      <c r="H5581" s="308" t="s">
        <v>22382</v>
      </c>
      <c r="I5581" s="310">
        <v>42954.0</v>
      </c>
      <c r="J5581" s="319">
        <f>IFERROR(__xludf.DUMMYFUNCTION("SPLIT(I5581,""/"")"),7.0)</f>
        <v>7</v>
      </c>
      <c r="K5581" s="308">
        <f>IFERROR(__xludf.DUMMYFUNCTION("""COMPUTED_VALUE"""),8.0)</f>
        <v>8</v>
      </c>
      <c r="L5581" s="308">
        <f>IFERROR(__xludf.DUMMYFUNCTION("""COMPUTED_VALUE"""),2017.0)</f>
        <v>2017</v>
      </c>
      <c r="M5581" s="308" t="s">
        <v>22383</v>
      </c>
      <c r="N5581" s="308"/>
      <c r="O5581" s="308"/>
      <c r="P5581" s="308" t="s">
        <v>38513</v>
      </c>
      <c r="Q5581" s="308" t="s">
        <v>38489</v>
      </c>
      <c r="R5581" s="308" t="s">
        <v>2743</v>
      </c>
      <c r="S5581" s="308" t="s">
        <v>81</v>
      </c>
      <c r="T5581" s="311" t="s">
        <v>35043</v>
      </c>
      <c r="U5581" s="308" t="s">
        <v>149</v>
      </c>
      <c r="V5581" s="308"/>
    </row>
    <row r="5582">
      <c r="A5582" s="308">
        <v>5581.0</v>
      </c>
      <c r="B5582" s="308"/>
      <c r="C5582" s="308" t="s">
        <v>22385</v>
      </c>
      <c r="D5582" s="308">
        <f>IFERROR(__xludf.DUMMYFUNCTION("SPLIT(C5582,""-"")"),5602.0)</f>
        <v>5602</v>
      </c>
      <c r="E5582" s="308" t="str">
        <f>IFERROR(__xludf.DUMMYFUNCTION("""COMPUTED_VALUE"""),"P")</f>
        <v>P</v>
      </c>
      <c r="F5582" s="312" t="s">
        <v>37</v>
      </c>
      <c r="G5582" s="308"/>
      <c r="H5582" s="308" t="s">
        <v>22386</v>
      </c>
      <c r="I5582" s="310">
        <v>42943.0</v>
      </c>
      <c r="J5582" s="319">
        <f>IFERROR(__xludf.DUMMYFUNCTION("SPLIT(I5582,""/"")"),27.0)</f>
        <v>27</v>
      </c>
      <c r="K5582" s="308">
        <f>IFERROR(__xludf.DUMMYFUNCTION("""COMPUTED_VALUE"""),7.0)</f>
        <v>7</v>
      </c>
      <c r="L5582" s="308">
        <f>IFERROR(__xludf.DUMMYFUNCTION("""COMPUTED_VALUE"""),2017.0)</f>
        <v>2017</v>
      </c>
      <c r="M5582" s="308" t="s">
        <v>22387</v>
      </c>
      <c r="N5582" s="308"/>
      <c r="O5582" s="308" t="s">
        <v>22388</v>
      </c>
      <c r="P5582" s="308" t="s">
        <v>22389</v>
      </c>
      <c r="Q5582" s="308" t="s">
        <v>38489</v>
      </c>
      <c r="R5582" s="308" t="s">
        <v>2743</v>
      </c>
      <c r="S5582" s="308" t="s">
        <v>81</v>
      </c>
      <c r="T5582" s="308" t="s">
        <v>34264</v>
      </c>
      <c r="U5582" s="308" t="s">
        <v>149</v>
      </c>
      <c r="V5582" s="308"/>
    </row>
    <row r="5583">
      <c r="A5583" s="308">
        <v>5582.0</v>
      </c>
      <c r="B5583" s="308"/>
      <c r="C5583" s="308" t="s">
        <v>22390</v>
      </c>
      <c r="D5583" s="308">
        <f>IFERROR(__xludf.DUMMYFUNCTION("SPLIT(C5583,""-"")"),5603.0)</f>
        <v>5603</v>
      </c>
      <c r="E5583" s="308" t="str">
        <f>IFERROR(__xludf.DUMMYFUNCTION("""COMPUTED_VALUE"""),"P")</f>
        <v>P</v>
      </c>
      <c r="F5583" s="312" t="s">
        <v>37</v>
      </c>
      <c r="G5583" s="308"/>
      <c r="H5583" s="308" t="s">
        <v>22391</v>
      </c>
      <c r="I5583" s="310">
        <v>42943.0</v>
      </c>
      <c r="J5583" s="319">
        <f>IFERROR(__xludf.DUMMYFUNCTION("SPLIT(I5583,""/"")"),27.0)</f>
        <v>27</v>
      </c>
      <c r="K5583" s="308">
        <f>IFERROR(__xludf.DUMMYFUNCTION("""COMPUTED_VALUE"""),7.0)</f>
        <v>7</v>
      </c>
      <c r="L5583" s="308">
        <f>IFERROR(__xludf.DUMMYFUNCTION("""COMPUTED_VALUE"""),2017.0)</f>
        <v>2017</v>
      </c>
      <c r="M5583" s="308" t="s">
        <v>22392</v>
      </c>
      <c r="N5583" s="308"/>
      <c r="O5583" s="308" t="s">
        <v>22393</v>
      </c>
      <c r="P5583" s="308" t="s">
        <v>38514</v>
      </c>
      <c r="Q5583" s="308" t="s">
        <v>38489</v>
      </c>
      <c r="R5583" s="308" t="s">
        <v>2743</v>
      </c>
      <c r="S5583" s="308" t="s">
        <v>81</v>
      </c>
      <c r="T5583" s="311" t="s">
        <v>35043</v>
      </c>
      <c r="U5583" s="308" t="s">
        <v>149</v>
      </c>
      <c r="V5583" s="308"/>
    </row>
    <row r="5584">
      <c r="A5584" s="308">
        <v>5583.0</v>
      </c>
      <c r="B5584" s="308"/>
      <c r="C5584" s="308" t="s">
        <v>22395</v>
      </c>
      <c r="D5584" s="308">
        <f>IFERROR(__xludf.DUMMYFUNCTION("SPLIT(C5584,""-"")"),5604.0)</f>
        <v>5604</v>
      </c>
      <c r="E5584" s="308" t="str">
        <f>IFERROR(__xludf.DUMMYFUNCTION("""COMPUTED_VALUE"""),"K")</f>
        <v>K</v>
      </c>
      <c r="F5584" s="309" t="s">
        <v>34</v>
      </c>
      <c r="G5584" s="308"/>
      <c r="H5584" s="308" t="s">
        <v>22396</v>
      </c>
      <c r="I5584" s="310">
        <v>41796.0</v>
      </c>
      <c r="J5584" s="319">
        <f>IFERROR(__xludf.DUMMYFUNCTION("SPLIT(I5584,""/"")"),6.0)</f>
        <v>6</v>
      </c>
      <c r="K5584" s="308">
        <f>IFERROR(__xludf.DUMMYFUNCTION("""COMPUTED_VALUE"""),6.0)</f>
        <v>6</v>
      </c>
      <c r="L5584" s="308">
        <f>IFERROR(__xludf.DUMMYFUNCTION("""COMPUTED_VALUE"""),2014.0)</f>
        <v>2014</v>
      </c>
      <c r="M5584" s="308" t="s">
        <v>22397</v>
      </c>
      <c r="N5584" s="308"/>
      <c r="O5584" s="308"/>
      <c r="P5584" s="308" t="s">
        <v>136</v>
      </c>
      <c r="Q5584" s="308" t="s">
        <v>38489</v>
      </c>
      <c r="R5584" s="308" t="s">
        <v>2743</v>
      </c>
      <c r="S5584" s="315" t="s">
        <v>100</v>
      </c>
      <c r="T5584" s="308" t="s">
        <v>34208</v>
      </c>
      <c r="U5584" s="308" t="s">
        <v>125</v>
      </c>
      <c r="V5584" s="308"/>
    </row>
    <row r="5585">
      <c r="A5585" s="308">
        <v>5584.0</v>
      </c>
      <c r="B5585" s="308"/>
      <c r="C5585" s="308" t="s">
        <v>22398</v>
      </c>
      <c r="D5585" s="308">
        <f>IFERROR(__xludf.DUMMYFUNCTION("SPLIT(C5585,""-"")"),5605.0)</f>
        <v>5605</v>
      </c>
      <c r="E5585" s="308" t="str">
        <f>IFERROR(__xludf.DUMMYFUNCTION("""COMPUTED_VALUE"""),"I")</f>
        <v>I</v>
      </c>
      <c r="F5585" s="309" t="s">
        <v>31</v>
      </c>
      <c r="G5585" s="308"/>
      <c r="H5585" s="308" t="s">
        <v>22399</v>
      </c>
      <c r="I5585" s="314">
        <v>43424.0</v>
      </c>
      <c r="J5585" s="319">
        <f>IFERROR(__xludf.DUMMYFUNCTION("SPLIT(I5585,""/"")"),20.0)</f>
        <v>20</v>
      </c>
      <c r="K5585" s="308">
        <f>IFERROR(__xludf.DUMMYFUNCTION("""COMPUTED_VALUE"""),11.0)</f>
        <v>11</v>
      </c>
      <c r="L5585" s="308">
        <f>IFERROR(__xludf.DUMMYFUNCTION("""COMPUTED_VALUE"""),2018.0)</f>
        <v>2018</v>
      </c>
      <c r="M5585" s="308" t="s">
        <v>38515</v>
      </c>
      <c r="N5585" s="308"/>
      <c r="O5585" s="308"/>
      <c r="P5585" s="308" t="s">
        <v>38516</v>
      </c>
      <c r="Q5585" s="308" t="s">
        <v>38489</v>
      </c>
      <c r="R5585" s="308" t="s">
        <v>2743</v>
      </c>
      <c r="S5585" s="308" t="s">
        <v>81</v>
      </c>
      <c r="T5585" s="311" t="s">
        <v>75</v>
      </c>
      <c r="U5585" s="308" t="s">
        <v>31</v>
      </c>
      <c r="V5585" s="308"/>
    </row>
    <row r="5586">
      <c r="A5586" s="308">
        <v>5585.0</v>
      </c>
      <c r="B5586" s="308"/>
      <c r="C5586" s="308" t="s">
        <v>22402</v>
      </c>
      <c r="D5586" s="308">
        <f>IFERROR(__xludf.DUMMYFUNCTION("SPLIT(C5586,""-"")"),5606.0)</f>
        <v>5606</v>
      </c>
      <c r="E5586" s="308" t="str">
        <f>IFERROR(__xludf.DUMMYFUNCTION("""COMPUTED_VALUE"""),"P")</f>
        <v>P</v>
      </c>
      <c r="F5586" s="312" t="s">
        <v>37</v>
      </c>
      <c r="G5586" s="308"/>
      <c r="H5586" s="308" t="s">
        <v>22403</v>
      </c>
      <c r="I5586" s="310">
        <v>43313.0</v>
      </c>
      <c r="J5586" s="319">
        <f>IFERROR(__xludf.DUMMYFUNCTION("SPLIT(I5586,""/"")"),1.0)</f>
        <v>1</v>
      </c>
      <c r="K5586" s="308">
        <f>IFERROR(__xludf.DUMMYFUNCTION("""COMPUTED_VALUE"""),8.0)</f>
        <v>8</v>
      </c>
      <c r="L5586" s="308">
        <f>IFERROR(__xludf.DUMMYFUNCTION("""COMPUTED_VALUE"""),2018.0)</f>
        <v>2018</v>
      </c>
      <c r="M5586" s="308" t="s">
        <v>22404</v>
      </c>
      <c r="N5586" s="308"/>
      <c r="O5586" s="308"/>
      <c r="P5586" s="308" t="s">
        <v>38517</v>
      </c>
      <c r="Q5586" s="308" t="s">
        <v>38518</v>
      </c>
      <c r="R5586" s="308" t="s">
        <v>2743</v>
      </c>
      <c r="S5586" s="308" t="s">
        <v>81</v>
      </c>
      <c r="T5586" s="311" t="s">
        <v>96</v>
      </c>
      <c r="U5586" s="308" t="s">
        <v>15586</v>
      </c>
      <c r="V5586" s="308"/>
    </row>
    <row r="5587">
      <c r="A5587" s="308">
        <v>5586.0</v>
      </c>
      <c r="B5587" s="308"/>
      <c r="C5587" s="308" t="s">
        <v>22406</v>
      </c>
      <c r="D5587" s="308">
        <f>IFERROR(__xludf.DUMMYFUNCTION("SPLIT(C5587,""-"")"),5607.0)</f>
        <v>5607</v>
      </c>
      <c r="E5587" s="308" t="str">
        <f>IFERROR(__xludf.DUMMYFUNCTION("""COMPUTED_VALUE"""),"K")</f>
        <v>K</v>
      </c>
      <c r="F5587" s="309" t="s">
        <v>34</v>
      </c>
      <c r="G5587" s="308"/>
      <c r="H5587" s="308" t="s">
        <v>22407</v>
      </c>
      <c r="I5587" s="314">
        <v>43419.0</v>
      </c>
      <c r="J5587" s="319">
        <f>IFERROR(__xludf.DUMMYFUNCTION("SPLIT(I5587,""/"")"),15.0)</f>
        <v>15</v>
      </c>
      <c r="K5587" s="308">
        <f>IFERROR(__xludf.DUMMYFUNCTION("""COMPUTED_VALUE"""),11.0)</f>
        <v>11</v>
      </c>
      <c r="L5587" s="308">
        <f>IFERROR(__xludf.DUMMYFUNCTION("""COMPUTED_VALUE"""),2018.0)</f>
        <v>2018</v>
      </c>
      <c r="M5587" s="308" t="s">
        <v>38519</v>
      </c>
      <c r="N5587" s="308"/>
      <c r="O5587" s="308"/>
      <c r="P5587" s="308" t="s">
        <v>38520</v>
      </c>
      <c r="Q5587" s="308" t="s">
        <v>38518</v>
      </c>
      <c r="R5587" s="308" t="s">
        <v>2743</v>
      </c>
      <c r="S5587" s="308" t="s">
        <v>81</v>
      </c>
      <c r="T5587" s="308" t="s">
        <v>75</v>
      </c>
      <c r="U5587" s="308" t="s">
        <v>125</v>
      </c>
      <c r="V5587" s="308"/>
    </row>
    <row r="5588">
      <c r="A5588" s="308">
        <v>5587.0</v>
      </c>
      <c r="B5588" s="308"/>
      <c r="C5588" s="308" t="s">
        <v>22410</v>
      </c>
      <c r="D5588" s="308">
        <f>IFERROR(__xludf.DUMMYFUNCTION("SPLIT(C5588,""-"")"),5608.0)</f>
        <v>5608</v>
      </c>
      <c r="E5588" s="308" t="str">
        <f>IFERROR(__xludf.DUMMYFUNCTION("""COMPUTED_VALUE"""),"K")</f>
        <v>K</v>
      </c>
      <c r="F5588" s="309" t="s">
        <v>34</v>
      </c>
      <c r="G5588" s="308"/>
      <c r="H5588" s="308" t="s">
        <v>22411</v>
      </c>
      <c r="I5588" s="310">
        <v>42509.0</v>
      </c>
      <c r="J5588" s="319">
        <f>IFERROR(__xludf.DUMMYFUNCTION("SPLIT(I5588,""/"")"),19.0)</f>
        <v>19</v>
      </c>
      <c r="K5588" s="308">
        <f>IFERROR(__xludf.DUMMYFUNCTION("""COMPUTED_VALUE"""),5.0)</f>
        <v>5</v>
      </c>
      <c r="L5588" s="308">
        <f>IFERROR(__xludf.DUMMYFUNCTION("""COMPUTED_VALUE"""),2016.0)</f>
        <v>2016</v>
      </c>
      <c r="M5588" s="308" t="s">
        <v>22412</v>
      </c>
      <c r="N5588" s="308"/>
      <c r="O5588" s="308"/>
      <c r="P5588" s="308" t="s">
        <v>136</v>
      </c>
      <c r="Q5588" s="308" t="s">
        <v>38518</v>
      </c>
      <c r="R5588" s="308" t="s">
        <v>2743</v>
      </c>
      <c r="S5588" s="315" t="s">
        <v>100</v>
      </c>
      <c r="T5588" s="308" t="s">
        <v>34208</v>
      </c>
      <c r="U5588" s="308" t="s">
        <v>2466</v>
      </c>
      <c r="V5588" s="308" t="s">
        <v>22413</v>
      </c>
    </row>
    <row r="5589">
      <c r="A5589" s="308">
        <v>5588.0</v>
      </c>
      <c r="B5589" s="308"/>
      <c r="C5589" s="308" t="s">
        <v>22414</v>
      </c>
      <c r="D5589" s="308">
        <f>IFERROR(__xludf.DUMMYFUNCTION("SPLIT(C5589,""-"")"),5609.0)</f>
        <v>5609</v>
      </c>
      <c r="E5589" s="308" t="str">
        <f>IFERROR(__xludf.DUMMYFUNCTION("""COMPUTED_VALUE"""),"K")</f>
        <v>K</v>
      </c>
      <c r="F5589" s="309" t="s">
        <v>34</v>
      </c>
      <c r="G5589" s="308"/>
      <c r="H5589" s="308" t="s">
        <v>22415</v>
      </c>
      <c r="I5589" s="310">
        <v>39264.0</v>
      </c>
      <c r="J5589" s="319">
        <f>IFERROR(__xludf.DUMMYFUNCTION("SPLIT(I5589,""/"")"),1.0)</f>
        <v>1</v>
      </c>
      <c r="K5589" s="308">
        <f>IFERROR(__xludf.DUMMYFUNCTION("""COMPUTED_VALUE"""),7.0)</f>
        <v>7</v>
      </c>
      <c r="L5589" s="308">
        <f>IFERROR(__xludf.DUMMYFUNCTION("""COMPUTED_VALUE"""),2007.0)</f>
        <v>2007</v>
      </c>
      <c r="M5589" s="308" t="s">
        <v>22416</v>
      </c>
      <c r="N5589" s="308" t="s">
        <v>439</v>
      </c>
      <c r="O5589" s="308" t="s">
        <v>38521</v>
      </c>
      <c r="P5589" s="308" t="s">
        <v>38522</v>
      </c>
      <c r="Q5589" s="308" t="s">
        <v>38523</v>
      </c>
      <c r="R5589" s="308" t="s">
        <v>2743</v>
      </c>
      <c r="S5589" s="308" t="s">
        <v>49</v>
      </c>
      <c r="T5589" s="311" t="s">
        <v>51</v>
      </c>
      <c r="U5589" s="308" t="s">
        <v>530</v>
      </c>
      <c r="V5589" s="308" t="s">
        <v>22419</v>
      </c>
    </row>
    <row r="5590">
      <c r="A5590" s="308">
        <v>5589.0</v>
      </c>
      <c r="B5590" s="308"/>
      <c r="C5590" s="308" t="s">
        <v>22420</v>
      </c>
      <c r="D5590" s="308">
        <f>IFERROR(__xludf.DUMMYFUNCTION("SPLIT(C5590,""-"")"),5610.0)</f>
        <v>5610</v>
      </c>
      <c r="E5590" s="308" t="str">
        <f>IFERROR(__xludf.DUMMYFUNCTION("""COMPUTED_VALUE"""),"K")</f>
        <v>K</v>
      </c>
      <c r="F5590" s="309" t="s">
        <v>34</v>
      </c>
      <c r="G5590" s="308"/>
      <c r="H5590" s="308" t="s">
        <v>22421</v>
      </c>
      <c r="I5590" s="310">
        <v>39995.0</v>
      </c>
      <c r="J5590" s="319">
        <f>IFERROR(__xludf.DUMMYFUNCTION("SPLIT(I5590,""/"")"),1.0)</f>
        <v>1</v>
      </c>
      <c r="K5590" s="308">
        <f>IFERROR(__xludf.DUMMYFUNCTION("""COMPUTED_VALUE"""),7.0)</f>
        <v>7</v>
      </c>
      <c r="L5590" s="308">
        <f>IFERROR(__xludf.DUMMYFUNCTION("""COMPUTED_VALUE"""),2009.0)</f>
        <v>2009</v>
      </c>
      <c r="M5590" s="308" t="s">
        <v>22422</v>
      </c>
      <c r="N5590" s="308" t="s">
        <v>439</v>
      </c>
      <c r="O5590" s="308" t="s">
        <v>38524</v>
      </c>
      <c r="P5590" s="308" t="s">
        <v>136</v>
      </c>
      <c r="Q5590" s="308" t="s">
        <v>38523</v>
      </c>
      <c r="R5590" s="308" t="s">
        <v>2743</v>
      </c>
      <c r="S5590" s="315" t="s">
        <v>100</v>
      </c>
      <c r="T5590" s="308" t="s">
        <v>34208</v>
      </c>
      <c r="U5590" s="308" t="s">
        <v>2152</v>
      </c>
      <c r="V5590" s="308"/>
    </row>
    <row r="5591">
      <c r="A5591" s="308">
        <v>5590.0</v>
      </c>
      <c r="B5591" s="308"/>
      <c r="C5591" s="308" t="s">
        <v>22424</v>
      </c>
      <c r="D5591" s="308" t="str">
        <f>IFERROR(__xludf.DUMMYFUNCTION("SPLIT(C5591,""-"")"),"#REF!")</f>
        <v>#REF!</v>
      </c>
      <c r="E5591" s="311"/>
      <c r="F5591" s="309" t="s">
        <v>34</v>
      </c>
      <c r="G5591" s="308"/>
      <c r="H5591" s="308" t="s">
        <v>22425</v>
      </c>
      <c r="I5591" s="314">
        <v>41922.0</v>
      </c>
      <c r="J5591" s="319">
        <f>IFERROR(__xludf.DUMMYFUNCTION("SPLIT(I5591,""/"")"),10.0)</f>
        <v>10</v>
      </c>
      <c r="K5591" s="308">
        <f>IFERROR(__xludf.DUMMYFUNCTION("""COMPUTED_VALUE"""),10.0)</f>
        <v>10</v>
      </c>
      <c r="L5591" s="308">
        <f>IFERROR(__xludf.DUMMYFUNCTION("""COMPUTED_VALUE"""),2014.0)</f>
        <v>2014</v>
      </c>
      <c r="M5591" s="308" t="s">
        <v>22426</v>
      </c>
      <c r="N5591" s="308"/>
      <c r="O5591" s="308" t="s">
        <v>38525</v>
      </c>
      <c r="P5591" s="308" t="s">
        <v>136</v>
      </c>
      <c r="Q5591" s="308" t="s">
        <v>38523</v>
      </c>
      <c r="R5591" s="308" t="s">
        <v>2743</v>
      </c>
      <c r="S5591" s="315" t="s">
        <v>100</v>
      </c>
      <c r="T5591" s="308" t="s">
        <v>34208</v>
      </c>
      <c r="U5591" s="308" t="s">
        <v>2989</v>
      </c>
      <c r="V5591" s="308"/>
    </row>
    <row r="5592">
      <c r="A5592" s="308">
        <v>5591.0</v>
      </c>
      <c r="B5592" s="308"/>
      <c r="C5592" s="308" t="s">
        <v>22428</v>
      </c>
      <c r="D5592" s="308">
        <f>IFERROR(__xludf.DUMMYFUNCTION("SPLIT(C5592,""-"")"),5612.0)</f>
        <v>5612</v>
      </c>
      <c r="E5592" s="308" t="str">
        <f>IFERROR(__xludf.DUMMYFUNCTION("""COMPUTED_VALUE"""),"K")</f>
        <v>K</v>
      </c>
      <c r="F5592" s="309" t="s">
        <v>34</v>
      </c>
      <c r="G5592" s="308"/>
      <c r="H5592" s="308" t="s">
        <v>22429</v>
      </c>
      <c r="I5592" s="310">
        <v>43121.0</v>
      </c>
      <c r="J5592" s="319">
        <f>IFERROR(__xludf.DUMMYFUNCTION("SPLIT(I5592,""/"")"),21.0)</f>
        <v>21</v>
      </c>
      <c r="K5592" s="308">
        <f>IFERROR(__xludf.DUMMYFUNCTION("""COMPUTED_VALUE"""),1.0)</f>
        <v>1</v>
      </c>
      <c r="L5592" s="308">
        <f>IFERROR(__xludf.DUMMYFUNCTION("""COMPUTED_VALUE"""),2018.0)</f>
        <v>2018</v>
      </c>
      <c r="M5592" s="308" t="s">
        <v>22430</v>
      </c>
      <c r="N5592" s="308" t="s">
        <v>22431</v>
      </c>
      <c r="O5592" s="308"/>
      <c r="P5592" s="308" t="s">
        <v>5369</v>
      </c>
      <c r="Q5592" s="308" t="s">
        <v>38526</v>
      </c>
      <c r="R5592" s="308" t="s">
        <v>2743</v>
      </c>
      <c r="S5592" s="308" t="s">
        <v>49</v>
      </c>
      <c r="T5592" s="308" t="s">
        <v>51</v>
      </c>
      <c r="U5592" s="308" t="s">
        <v>2152</v>
      </c>
      <c r="V5592" s="308"/>
    </row>
    <row r="5593">
      <c r="A5593" s="308">
        <v>5592.0</v>
      </c>
      <c r="B5593" s="308"/>
      <c r="C5593" s="308" t="s">
        <v>22432</v>
      </c>
      <c r="D5593" s="308">
        <f>IFERROR(__xludf.DUMMYFUNCTION("SPLIT(C5593,""-"")"),5613.0)</f>
        <v>5613</v>
      </c>
      <c r="E5593" s="308" t="str">
        <f>IFERROR(__xludf.DUMMYFUNCTION("""COMPUTED_VALUE"""),"K")</f>
        <v>K</v>
      </c>
      <c r="F5593" s="309" t="s">
        <v>34</v>
      </c>
      <c r="G5593" s="308"/>
      <c r="H5593" s="308" t="s">
        <v>22433</v>
      </c>
      <c r="I5593" s="310">
        <v>43121.0</v>
      </c>
      <c r="J5593" s="319">
        <f>IFERROR(__xludf.DUMMYFUNCTION("SPLIT(I5593,""/"")"),21.0)</f>
        <v>21</v>
      </c>
      <c r="K5593" s="308">
        <f>IFERROR(__xludf.DUMMYFUNCTION("""COMPUTED_VALUE"""),1.0)</f>
        <v>1</v>
      </c>
      <c r="L5593" s="308">
        <f>IFERROR(__xludf.DUMMYFUNCTION("""COMPUTED_VALUE"""),2018.0)</f>
        <v>2018</v>
      </c>
      <c r="M5593" s="308" t="s">
        <v>22434</v>
      </c>
      <c r="N5593" s="308" t="s">
        <v>22435</v>
      </c>
      <c r="O5593" s="308"/>
      <c r="P5593" s="308" t="s">
        <v>5369</v>
      </c>
      <c r="Q5593" s="308" t="s">
        <v>38526</v>
      </c>
      <c r="R5593" s="308" t="s">
        <v>2743</v>
      </c>
      <c r="S5593" s="308" t="s">
        <v>49</v>
      </c>
      <c r="T5593" s="308" t="s">
        <v>51</v>
      </c>
      <c r="U5593" s="308" t="s">
        <v>2152</v>
      </c>
      <c r="V5593" s="308"/>
    </row>
    <row r="5594">
      <c r="A5594" s="308">
        <v>5593.0</v>
      </c>
      <c r="B5594" s="308"/>
      <c r="C5594" s="308" t="s">
        <v>22436</v>
      </c>
      <c r="D5594" s="308">
        <f>IFERROR(__xludf.DUMMYFUNCTION("SPLIT(C5594,""-"")"),5614.0)</f>
        <v>5614</v>
      </c>
      <c r="E5594" s="308" t="str">
        <f>IFERROR(__xludf.DUMMYFUNCTION("""COMPUTED_VALUE"""),"F")</f>
        <v>F</v>
      </c>
      <c r="F5594" s="309" t="s">
        <v>34</v>
      </c>
      <c r="G5594" s="308"/>
      <c r="H5594" s="308" t="s">
        <v>22437</v>
      </c>
      <c r="I5594" s="310">
        <v>43366.0</v>
      </c>
      <c r="J5594" s="319">
        <f>IFERROR(__xludf.DUMMYFUNCTION("SPLIT(I5594,""/"")"),23.0)</f>
        <v>23</v>
      </c>
      <c r="K5594" s="308">
        <f>IFERROR(__xludf.DUMMYFUNCTION("""COMPUTED_VALUE"""),9.0)</f>
        <v>9</v>
      </c>
      <c r="L5594" s="308">
        <f>IFERROR(__xludf.DUMMYFUNCTION("""COMPUTED_VALUE"""),2018.0)</f>
        <v>2018</v>
      </c>
      <c r="M5594" s="308" t="s">
        <v>22438</v>
      </c>
      <c r="N5594" s="308"/>
      <c r="O5594" s="308"/>
      <c r="P5594" s="308" t="s">
        <v>38527</v>
      </c>
      <c r="Q5594" s="308" t="s">
        <v>38526</v>
      </c>
      <c r="R5594" s="308" t="s">
        <v>2743</v>
      </c>
      <c r="S5594" s="308" t="s">
        <v>81</v>
      </c>
      <c r="T5594" s="308" t="s">
        <v>34264</v>
      </c>
      <c r="U5594" s="308" t="s">
        <v>19204</v>
      </c>
      <c r="V5594" s="308"/>
    </row>
    <row r="5595">
      <c r="A5595" s="308">
        <v>5594.0</v>
      </c>
      <c r="B5595" s="308"/>
      <c r="C5595" s="308" t="s">
        <v>22440</v>
      </c>
      <c r="D5595" s="308">
        <f>IFERROR(__xludf.DUMMYFUNCTION("SPLIT(C5595,""-"")"),5615.0)</f>
        <v>5615</v>
      </c>
      <c r="E5595" s="308" t="str">
        <f>IFERROR(__xludf.DUMMYFUNCTION("""COMPUTED_VALUE"""),"P")</f>
        <v>P</v>
      </c>
      <c r="F5595" s="312" t="s">
        <v>37</v>
      </c>
      <c r="G5595" s="308"/>
      <c r="H5595" s="308" t="s">
        <v>22441</v>
      </c>
      <c r="I5595" s="310">
        <v>42576.0</v>
      </c>
      <c r="J5595" s="319">
        <f>IFERROR(__xludf.DUMMYFUNCTION("SPLIT(I5595,""/"")"),25.0)</f>
        <v>25</v>
      </c>
      <c r="K5595" s="308">
        <f>IFERROR(__xludf.DUMMYFUNCTION("""COMPUTED_VALUE"""),7.0)</f>
        <v>7</v>
      </c>
      <c r="L5595" s="308">
        <f>IFERROR(__xludf.DUMMYFUNCTION("""COMPUTED_VALUE"""),2016.0)</f>
        <v>2016</v>
      </c>
      <c r="M5595" s="308" t="s">
        <v>22442</v>
      </c>
      <c r="N5595" s="308"/>
      <c r="O5595" s="308"/>
      <c r="P5595" s="308" t="s">
        <v>38528</v>
      </c>
      <c r="Q5595" s="308" t="s">
        <v>38526</v>
      </c>
      <c r="R5595" s="308" t="s">
        <v>2743</v>
      </c>
      <c r="S5595" s="308" t="s">
        <v>81</v>
      </c>
      <c r="T5595" s="308" t="s">
        <v>75</v>
      </c>
      <c r="U5595" s="308" t="s">
        <v>143</v>
      </c>
      <c r="V5595" s="308"/>
    </row>
    <row r="5596">
      <c r="A5596" s="308">
        <v>5595.0</v>
      </c>
      <c r="B5596" s="308"/>
      <c r="C5596" s="308" t="s">
        <v>22444</v>
      </c>
      <c r="D5596" s="308">
        <f>IFERROR(__xludf.DUMMYFUNCTION("SPLIT(C5596,""-"")"),5616.0)</f>
        <v>5616</v>
      </c>
      <c r="E5596" s="308" t="str">
        <f>IFERROR(__xludf.DUMMYFUNCTION("""COMPUTED_VALUE"""),"K")</f>
        <v>K</v>
      </c>
      <c r="F5596" s="309" t="s">
        <v>34</v>
      </c>
      <c r="G5596" s="308"/>
      <c r="H5596" s="308" t="s">
        <v>22445</v>
      </c>
      <c r="I5596" s="310">
        <v>39995.0</v>
      </c>
      <c r="J5596" s="319">
        <f>IFERROR(__xludf.DUMMYFUNCTION("SPLIT(I5596,""/"")"),1.0)</f>
        <v>1</v>
      </c>
      <c r="K5596" s="308">
        <f>IFERROR(__xludf.DUMMYFUNCTION("""COMPUTED_VALUE"""),7.0)</f>
        <v>7</v>
      </c>
      <c r="L5596" s="308">
        <f>IFERROR(__xludf.DUMMYFUNCTION("""COMPUTED_VALUE"""),2009.0)</f>
        <v>2009</v>
      </c>
      <c r="M5596" s="308" t="s">
        <v>22446</v>
      </c>
      <c r="N5596" s="308"/>
      <c r="O5596" s="308"/>
      <c r="P5596" s="308" t="s">
        <v>136</v>
      </c>
      <c r="Q5596" s="308" t="s">
        <v>38526</v>
      </c>
      <c r="R5596" s="308" t="s">
        <v>2743</v>
      </c>
      <c r="S5596" s="315" t="s">
        <v>100</v>
      </c>
      <c r="T5596" s="308" t="s">
        <v>34208</v>
      </c>
      <c r="U5596" s="308" t="s">
        <v>2466</v>
      </c>
      <c r="V5596" s="308"/>
    </row>
    <row r="5597">
      <c r="A5597" s="308">
        <v>5596.0</v>
      </c>
      <c r="B5597" s="308"/>
      <c r="C5597" s="308" t="s">
        <v>22447</v>
      </c>
      <c r="D5597" s="308">
        <f>IFERROR(__xludf.DUMMYFUNCTION("SPLIT(C5597,""-"")"),5617.0)</f>
        <v>5617</v>
      </c>
      <c r="E5597" s="308" t="str">
        <f>IFERROR(__xludf.DUMMYFUNCTION("""COMPUTED_VALUE"""),"S")</f>
        <v>S</v>
      </c>
      <c r="F5597" s="312" t="s">
        <v>39</v>
      </c>
      <c r="G5597" s="308"/>
      <c r="H5597" s="308" t="s">
        <v>14254</v>
      </c>
      <c r="I5597" s="310">
        <v>42948.0</v>
      </c>
      <c r="J5597" s="319">
        <f>IFERROR(__xludf.DUMMYFUNCTION("SPLIT(I5597,""/"")"),1.0)</f>
        <v>1</v>
      </c>
      <c r="K5597" s="308">
        <f>IFERROR(__xludf.DUMMYFUNCTION("""COMPUTED_VALUE"""),8.0)</f>
        <v>8</v>
      </c>
      <c r="L5597" s="308">
        <f>IFERROR(__xludf.DUMMYFUNCTION("""COMPUTED_VALUE"""),2017.0)</f>
        <v>2017</v>
      </c>
      <c r="M5597" s="308" t="s">
        <v>22448</v>
      </c>
      <c r="N5597" s="308"/>
      <c r="O5597" s="308"/>
      <c r="P5597" s="308" t="s">
        <v>22449</v>
      </c>
      <c r="Q5597" s="308" t="s">
        <v>38526</v>
      </c>
      <c r="R5597" s="308" t="s">
        <v>2743</v>
      </c>
      <c r="S5597" s="308" t="s">
        <v>81</v>
      </c>
      <c r="T5597" s="311" t="s">
        <v>75</v>
      </c>
      <c r="U5597" s="308" t="s">
        <v>166</v>
      </c>
      <c r="V5597" s="308"/>
    </row>
    <row r="5598">
      <c r="A5598" s="308">
        <v>5597.0</v>
      </c>
      <c r="B5598" s="308"/>
      <c r="C5598" s="308" t="s">
        <v>22450</v>
      </c>
      <c r="D5598" s="308">
        <f>IFERROR(__xludf.DUMMYFUNCTION("SPLIT(C5598,""-"")"),5618.0)</f>
        <v>5618</v>
      </c>
      <c r="E5598" s="308" t="str">
        <f>IFERROR(__xludf.DUMMYFUNCTION("""COMPUTED_VALUE"""),"K")</f>
        <v>K</v>
      </c>
      <c r="F5598" s="309" t="s">
        <v>34</v>
      </c>
      <c r="G5598" s="308"/>
      <c r="H5598" s="308" t="s">
        <v>22451</v>
      </c>
      <c r="I5598" s="310">
        <v>42044.0</v>
      </c>
      <c r="J5598" s="319">
        <f>IFERROR(__xludf.DUMMYFUNCTION("SPLIT(I5598,""/"")"),9.0)</f>
        <v>9</v>
      </c>
      <c r="K5598" s="308">
        <f>IFERROR(__xludf.DUMMYFUNCTION("""COMPUTED_VALUE"""),2.0)</f>
        <v>2</v>
      </c>
      <c r="L5598" s="308">
        <f>IFERROR(__xludf.DUMMYFUNCTION("""COMPUTED_VALUE"""),2015.0)</f>
        <v>2015</v>
      </c>
      <c r="M5598" s="308" t="s">
        <v>22452</v>
      </c>
      <c r="N5598" s="308"/>
      <c r="O5598" s="308"/>
      <c r="P5598" s="308" t="s">
        <v>22453</v>
      </c>
      <c r="Q5598" s="308" t="s">
        <v>38529</v>
      </c>
      <c r="R5598" s="308" t="s">
        <v>2743</v>
      </c>
      <c r="S5598" s="308" t="s">
        <v>49</v>
      </c>
      <c r="T5598" s="308" t="s">
        <v>51</v>
      </c>
      <c r="U5598" s="308" t="s">
        <v>368</v>
      </c>
      <c r="V5598" s="308"/>
    </row>
    <row r="5599">
      <c r="A5599" s="308">
        <v>5598.0</v>
      </c>
      <c r="B5599" s="308"/>
      <c r="C5599" s="308" t="s">
        <v>22454</v>
      </c>
      <c r="D5599" s="308">
        <f>IFERROR(__xludf.DUMMYFUNCTION("SPLIT(C5599,""-"")"),5619.0)</f>
        <v>5619</v>
      </c>
      <c r="E5599" s="308" t="str">
        <f>IFERROR(__xludf.DUMMYFUNCTION("""COMPUTED_VALUE"""),"K")</f>
        <v>K</v>
      </c>
      <c r="F5599" s="309" t="s">
        <v>34</v>
      </c>
      <c r="G5599" s="308"/>
      <c r="H5599" s="308" t="s">
        <v>22455</v>
      </c>
      <c r="I5599" s="314">
        <v>41970.0</v>
      </c>
      <c r="J5599" s="319">
        <f>IFERROR(__xludf.DUMMYFUNCTION("SPLIT(I5599,""/"")"),27.0)</f>
        <v>27</v>
      </c>
      <c r="K5599" s="308">
        <f>IFERROR(__xludf.DUMMYFUNCTION("""COMPUTED_VALUE"""),11.0)</f>
        <v>11</v>
      </c>
      <c r="L5599" s="308">
        <f>IFERROR(__xludf.DUMMYFUNCTION("""COMPUTED_VALUE"""),2014.0)</f>
        <v>2014</v>
      </c>
      <c r="M5599" s="308" t="s">
        <v>22456</v>
      </c>
      <c r="N5599" s="308"/>
      <c r="O5599" s="308"/>
      <c r="P5599" s="308" t="s">
        <v>136</v>
      </c>
      <c r="Q5599" s="308" t="s">
        <v>38529</v>
      </c>
      <c r="R5599" s="308" t="s">
        <v>2743</v>
      </c>
      <c r="S5599" s="315" t="s">
        <v>100</v>
      </c>
      <c r="T5599" s="308" t="s">
        <v>34208</v>
      </c>
      <c r="U5599" s="308" t="s">
        <v>125</v>
      </c>
      <c r="V5599" s="308"/>
    </row>
    <row r="5600">
      <c r="A5600" s="308">
        <v>5599.0</v>
      </c>
      <c r="B5600" s="308"/>
      <c r="C5600" s="308" t="s">
        <v>22457</v>
      </c>
      <c r="D5600" s="308">
        <f>IFERROR(__xludf.DUMMYFUNCTION("SPLIT(C5600,""-"")"),5620.0)</f>
        <v>5620</v>
      </c>
      <c r="E5600" s="308" t="str">
        <f>IFERROR(__xludf.DUMMYFUNCTION("""COMPUTED_VALUE"""),"K")</f>
        <v>K</v>
      </c>
      <c r="F5600" s="309" t="s">
        <v>34</v>
      </c>
      <c r="G5600" s="308"/>
      <c r="H5600" s="308" t="s">
        <v>22458</v>
      </c>
      <c r="I5600" s="310">
        <v>41821.0</v>
      </c>
      <c r="J5600" s="319">
        <f>IFERROR(__xludf.DUMMYFUNCTION("SPLIT(I5600,""/"")"),1.0)</f>
        <v>1</v>
      </c>
      <c r="K5600" s="308">
        <f>IFERROR(__xludf.DUMMYFUNCTION("""COMPUTED_VALUE"""),7.0)</f>
        <v>7</v>
      </c>
      <c r="L5600" s="308">
        <f>IFERROR(__xludf.DUMMYFUNCTION("""COMPUTED_VALUE"""),2014.0)</f>
        <v>2014</v>
      </c>
      <c r="M5600" s="308" t="s">
        <v>22459</v>
      </c>
      <c r="N5600" s="308" t="s">
        <v>22460</v>
      </c>
      <c r="O5600" s="308"/>
      <c r="P5600" s="308" t="s">
        <v>38530</v>
      </c>
      <c r="Q5600" s="308" t="s">
        <v>38529</v>
      </c>
      <c r="R5600" s="308" t="s">
        <v>2743</v>
      </c>
      <c r="S5600" s="308" t="s">
        <v>49</v>
      </c>
      <c r="T5600" s="308" t="s">
        <v>51</v>
      </c>
      <c r="U5600" s="308" t="s">
        <v>282</v>
      </c>
      <c r="V5600" s="308"/>
    </row>
    <row r="5601">
      <c r="A5601" s="308">
        <v>5600.0</v>
      </c>
      <c r="B5601" s="308"/>
      <c r="C5601" s="308" t="s">
        <v>22462</v>
      </c>
      <c r="D5601" s="308">
        <f>IFERROR(__xludf.DUMMYFUNCTION("SPLIT(C5601,""-"")"),5621.0)</f>
        <v>5621</v>
      </c>
      <c r="E5601" s="308" t="str">
        <f>IFERROR(__xludf.DUMMYFUNCTION("""COMPUTED_VALUE"""),"K")</f>
        <v>K</v>
      </c>
      <c r="F5601" s="309" t="s">
        <v>34</v>
      </c>
      <c r="G5601" s="308"/>
      <c r="H5601" s="308" t="s">
        <v>22463</v>
      </c>
      <c r="I5601" s="310">
        <v>42053.0</v>
      </c>
      <c r="J5601" s="319">
        <f>IFERROR(__xludf.DUMMYFUNCTION("SPLIT(I5601,""/"")"),18.0)</f>
        <v>18</v>
      </c>
      <c r="K5601" s="308">
        <f>IFERROR(__xludf.DUMMYFUNCTION("""COMPUTED_VALUE"""),2.0)</f>
        <v>2</v>
      </c>
      <c r="L5601" s="308">
        <f>IFERROR(__xludf.DUMMYFUNCTION("""COMPUTED_VALUE"""),2015.0)</f>
        <v>2015</v>
      </c>
      <c r="M5601" s="308" t="s">
        <v>22464</v>
      </c>
      <c r="N5601" s="308"/>
      <c r="O5601" s="308"/>
      <c r="P5601" s="308" t="s">
        <v>38531</v>
      </c>
      <c r="Q5601" s="308" t="s">
        <v>38529</v>
      </c>
      <c r="R5601" s="308" t="s">
        <v>2743</v>
      </c>
      <c r="S5601" s="308" t="s">
        <v>81</v>
      </c>
      <c r="T5601" s="311" t="s">
        <v>96</v>
      </c>
      <c r="U5601" s="308" t="s">
        <v>2152</v>
      </c>
      <c r="V5601" s="308"/>
    </row>
    <row r="5602">
      <c r="A5602" s="308">
        <v>5601.0</v>
      </c>
      <c r="B5602" s="308"/>
      <c r="C5602" s="308" t="s">
        <v>22466</v>
      </c>
      <c r="D5602" s="308">
        <f>IFERROR(__xludf.DUMMYFUNCTION("SPLIT(C5602,""-"")"),5622.0)</f>
        <v>5622</v>
      </c>
      <c r="E5602" s="308" t="str">
        <f>IFERROR(__xludf.DUMMYFUNCTION("""COMPUTED_VALUE"""),"K")</f>
        <v>K</v>
      </c>
      <c r="F5602" s="309" t="s">
        <v>34</v>
      </c>
      <c r="G5602" s="308"/>
      <c r="H5602" s="308" t="s">
        <v>22467</v>
      </c>
      <c r="I5602" s="310">
        <v>42053.0</v>
      </c>
      <c r="J5602" s="319">
        <f>IFERROR(__xludf.DUMMYFUNCTION("SPLIT(I5602,""/"")"),18.0)</f>
        <v>18</v>
      </c>
      <c r="K5602" s="308">
        <f>IFERROR(__xludf.DUMMYFUNCTION("""COMPUTED_VALUE"""),2.0)</f>
        <v>2</v>
      </c>
      <c r="L5602" s="308">
        <f>IFERROR(__xludf.DUMMYFUNCTION("""COMPUTED_VALUE"""),2015.0)</f>
        <v>2015</v>
      </c>
      <c r="M5602" s="308" t="s">
        <v>22464</v>
      </c>
      <c r="N5602" s="308"/>
      <c r="O5602" s="308"/>
      <c r="P5602" s="308" t="s">
        <v>136</v>
      </c>
      <c r="Q5602" s="308" t="s">
        <v>38529</v>
      </c>
      <c r="R5602" s="308" t="s">
        <v>2743</v>
      </c>
      <c r="S5602" s="315" t="s">
        <v>100</v>
      </c>
      <c r="T5602" s="308" t="s">
        <v>34208</v>
      </c>
      <c r="U5602" s="308" t="s">
        <v>2152</v>
      </c>
      <c r="V5602" s="308"/>
    </row>
    <row r="5603">
      <c r="A5603" s="308">
        <v>5602.0</v>
      </c>
      <c r="B5603" s="308"/>
      <c r="C5603" s="308" t="s">
        <v>22468</v>
      </c>
      <c r="D5603" s="308">
        <f>IFERROR(__xludf.DUMMYFUNCTION("SPLIT(C5603,""-"")"),5623.0)</f>
        <v>5623</v>
      </c>
      <c r="E5603" s="308" t="str">
        <f>IFERROR(__xludf.DUMMYFUNCTION("""COMPUTED_VALUE"""),"F")</f>
        <v>F</v>
      </c>
      <c r="F5603" s="309" t="s">
        <v>34</v>
      </c>
      <c r="G5603" s="308"/>
      <c r="H5603" s="308" t="s">
        <v>22469</v>
      </c>
      <c r="I5603" s="310">
        <v>41811.0</v>
      </c>
      <c r="J5603" s="319">
        <f>IFERROR(__xludf.DUMMYFUNCTION("SPLIT(I5603,""/"")"),21.0)</f>
        <v>21</v>
      </c>
      <c r="K5603" s="308">
        <f>IFERROR(__xludf.DUMMYFUNCTION("""COMPUTED_VALUE"""),6.0)</f>
        <v>6</v>
      </c>
      <c r="L5603" s="308">
        <f>IFERROR(__xludf.DUMMYFUNCTION("""COMPUTED_VALUE"""),2014.0)</f>
        <v>2014</v>
      </c>
      <c r="M5603" s="308" t="s">
        <v>22470</v>
      </c>
      <c r="N5603" s="308" t="s">
        <v>22471</v>
      </c>
      <c r="O5603" s="308" t="s">
        <v>22472</v>
      </c>
      <c r="P5603" s="308" t="s">
        <v>136</v>
      </c>
      <c r="Q5603" s="308" t="s">
        <v>38529</v>
      </c>
      <c r="R5603" s="308" t="s">
        <v>2743</v>
      </c>
      <c r="S5603" s="315" t="s">
        <v>100</v>
      </c>
      <c r="T5603" s="308" t="s">
        <v>34208</v>
      </c>
      <c r="U5603" s="308" t="s">
        <v>22473</v>
      </c>
      <c r="V5603" s="308"/>
    </row>
    <row r="5604">
      <c r="A5604" s="308">
        <v>5603.0</v>
      </c>
      <c r="B5604" s="308"/>
      <c r="C5604" s="308" t="s">
        <v>22474</v>
      </c>
      <c r="D5604" s="308">
        <f>IFERROR(__xludf.DUMMYFUNCTION("SPLIT(C5604,""-"")"),5624.0)</f>
        <v>5624</v>
      </c>
      <c r="E5604" s="308" t="str">
        <f>IFERROR(__xludf.DUMMYFUNCTION("""COMPUTED_VALUE"""),"B")</f>
        <v>B</v>
      </c>
      <c r="F5604" s="315" t="s">
        <v>26</v>
      </c>
      <c r="G5604" s="308"/>
      <c r="H5604" s="308" t="s">
        <v>22475</v>
      </c>
      <c r="I5604" s="314">
        <v>41940.0</v>
      </c>
      <c r="J5604" s="319">
        <f>IFERROR(__xludf.DUMMYFUNCTION("SPLIT(I5604,""/"")"),28.0)</f>
        <v>28</v>
      </c>
      <c r="K5604" s="308">
        <f>IFERROR(__xludf.DUMMYFUNCTION("""COMPUTED_VALUE"""),10.0)</f>
        <v>10</v>
      </c>
      <c r="L5604" s="308">
        <f>IFERROR(__xludf.DUMMYFUNCTION("""COMPUTED_VALUE"""),2014.0)</f>
        <v>2014</v>
      </c>
      <c r="M5604" s="308" t="s">
        <v>22476</v>
      </c>
      <c r="N5604" s="308"/>
      <c r="O5604" s="308"/>
      <c r="P5604" s="308" t="s">
        <v>136</v>
      </c>
      <c r="Q5604" s="308" t="s">
        <v>38529</v>
      </c>
      <c r="R5604" s="308" t="s">
        <v>2743</v>
      </c>
      <c r="S5604" s="315" t="s">
        <v>100</v>
      </c>
      <c r="T5604" s="308" t="s">
        <v>34208</v>
      </c>
      <c r="U5604" s="308" t="s">
        <v>27</v>
      </c>
      <c r="V5604" s="308"/>
    </row>
    <row r="5605">
      <c r="A5605" s="308">
        <v>5604.0</v>
      </c>
      <c r="B5605" s="308"/>
      <c r="C5605" s="308" t="s">
        <v>22477</v>
      </c>
      <c r="D5605" s="308">
        <f>IFERROR(__xludf.DUMMYFUNCTION("SPLIT(C5605,""-"")"),5625.0)</f>
        <v>5625</v>
      </c>
      <c r="E5605" s="308" t="str">
        <f>IFERROR(__xludf.DUMMYFUNCTION("""COMPUTED_VALUE"""),"S")</f>
        <v>S</v>
      </c>
      <c r="F5605" s="312" t="s">
        <v>39</v>
      </c>
      <c r="G5605" s="308"/>
      <c r="H5605" s="308" t="s">
        <v>22478</v>
      </c>
      <c r="I5605" s="310">
        <v>42887.0</v>
      </c>
      <c r="J5605" s="319">
        <f>IFERROR(__xludf.DUMMYFUNCTION("SPLIT(I5605,""/"")"),1.0)</f>
        <v>1</v>
      </c>
      <c r="K5605" s="308">
        <f>IFERROR(__xludf.DUMMYFUNCTION("""COMPUTED_VALUE"""),6.0)</f>
        <v>6</v>
      </c>
      <c r="L5605" s="308">
        <f>IFERROR(__xludf.DUMMYFUNCTION("""COMPUTED_VALUE"""),2017.0)</f>
        <v>2017</v>
      </c>
      <c r="M5605" s="308" t="s">
        <v>22479</v>
      </c>
      <c r="N5605" s="308"/>
      <c r="O5605" s="308"/>
      <c r="P5605" s="308" t="s">
        <v>22349</v>
      </c>
      <c r="Q5605" s="308" t="s">
        <v>38529</v>
      </c>
      <c r="R5605" s="308" t="s">
        <v>2743</v>
      </c>
      <c r="S5605" s="308" t="s">
        <v>81</v>
      </c>
      <c r="T5605" s="308" t="s">
        <v>73</v>
      </c>
      <c r="U5605" s="308" t="s">
        <v>166</v>
      </c>
      <c r="V5605" s="308"/>
    </row>
    <row r="5606">
      <c r="A5606" s="308">
        <v>5605.0</v>
      </c>
      <c r="B5606" s="308"/>
      <c r="C5606" s="308" t="s">
        <v>22480</v>
      </c>
      <c r="D5606" s="308">
        <f>IFERROR(__xludf.DUMMYFUNCTION("SPLIT(C5606,""-"")"),5626.0)</f>
        <v>5626</v>
      </c>
      <c r="E5606" s="308" t="str">
        <f>IFERROR(__xludf.DUMMYFUNCTION("""COMPUTED_VALUE"""),"S")</f>
        <v>S</v>
      </c>
      <c r="F5606" s="312" t="s">
        <v>39</v>
      </c>
      <c r="G5606" s="308"/>
      <c r="H5606" s="308" t="s">
        <v>22481</v>
      </c>
      <c r="I5606" s="310">
        <v>42844.0</v>
      </c>
      <c r="J5606" s="319">
        <f>IFERROR(__xludf.DUMMYFUNCTION("SPLIT(I5606,""/"")"),19.0)</f>
        <v>19</v>
      </c>
      <c r="K5606" s="308">
        <f>IFERROR(__xludf.DUMMYFUNCTION("""COMPUTED_VALUE"""),4.0)</f>
        <v>4</v>
      </c>
      <c r="L5606" s="308">
        <f>IFERROR(__xludf.DUMMYFUNCTION("""COMPUTED_VALUE"""),2017.0)</f>
        <v>2017</v>
      </c>
      <c r="M5606" s="308" t="s">
        <v>22482</v>
      </c>
      <c r="N5606" s="308"/>
      <c r="O5606" s="308"/>
      <c r="P5606" s="308" t="s">
        <v>38532</v>
      </c>
      <c r="Q5606" s="308" t="s">
        <v>38529</v>
      </c>
      <c r="R5606" s="308" t="s">
        <v>2743</v>
      </c>
      <c r="S5606" s="308" t="s">
        <v>49</v>
      </c>
      <c r="T5606" s="308" t="s">
        <v>51</v>
      </c>
      <c r="U5606" s="308" t="s">
        <v>166</v>
      </c>
      <c r="V5606" s="308"/>
    </row>
    <row r="5607">
      <c r="A5607" s="308">
        <v>5606.0</v>
      </c>
      <c r="B5607" s="308"/>
      <c r="C5607" s="308" t="s">
        <v>22484</v>
      </c>
      <c r="D5607" s="308">
        <f>IFERROR(__xludf.DUMMYFUNCTION("SPLIT(C5607,""-"")"),5627.0)</f>
        <v>5627</v>
      </c>
      <c r="E5607" s="308" t="str">
        <f>IFERROR(__xludf.DUMMYFUNCTION("""COMPUTED_VALUE"""),"K")</f>
        <v>K</v>
      </c>
      <c r="F5607" s="309" t="s">
        <v>34</v>
      </c>
      <c r="G5607" s="308"/>
      <c r="H5607" s="308" t="s">
        <v>22485</v>
      </c>
      <c r="I5607" s="316" t="s">
        <v>407</v>
      </c>
      <c r="J5607" s="319"/>
      <c r="K5607" s="308"/>
      <c r="L5607" s="311" t="s">
        <v>79</v>
      </c>
      <c r="M5607" s="308" t="s">
        <v>22486</v>
      </c>
      <c r="N5607" s="308"/>
      <c r="O5607" s="308"/>
      <c r="P5607" s="308" t="s">
        <v>38533</v>
      </c>
      <c r="Q5607" s="308" t="s">
        <v>38534</v>
      </c>
      <c r="R5607" s="308" t="s">
        <v>2743</v>
      </c>
      <c r="S5607" s="308" t="s">
        <v>81</v>
      </c>
      <c r="T5607" s="308" t="s">
        <v>34264</v>
      </c>
      <c r="U5607" s="308" t="s">
        <v>941</v>
      </c>
      <c r="V5607" s="308"/>
    </row>
    <row r="5608">
      <c r="A5608" s="308">
        <v>5607.0</v>
      </c>
      <c r="B5608" s="308"/>
      <c r="C5608" s="308" t="s">
        <v>22488</v>
      </c>
      <c r="D5608" s="308">
        <f>IFERROR(__xludf.DUMMYFUNCTION("SPLIT(C5608,""-"")"),5628.0)</f>
        <v>5628</v>
      </c>
      <c r="E5608" s="308" t="str">
        <f>IFERROR(__xludf.DUMMYFUNCTION("""COMPUTED_VALUE"""),"K")</f>
        <v>K</v>
      </c>
      <c r="F5608" s="309" t="s">
        <v>34</v>
      </c>
      <c r="G5608" s="308"/>
      <c r="H5608" s="308" t="s">
        <v>22489</v>
      </c>
      <c r="I5608" s="316" t="s">
        <v>407</v>
      </c>
      <c r="J5608" s="319"/>
      <c r="K5608" s="308"/>
      <c r="L5608" s="311" t="s">
        <v>79</v>
      </c>
      <c r="M5608" s="308" t="s">
        <v>38535</v>
      </c>
      <c r="N5608" s="308"/>
      <c r="O5608" s="308"/>
      <c r="P5608" s="308" t="s">
        <v>38536</v>
      </c>
      <c r="Q5608" s="308" t="s">
        <v>38534</v>
      </c>
      <c r="R5608" s="308" t="s">
        <v>2743</v>
      </c>
      <c r="S5608" s="308" t="s">
        <v>81</v>
      </c>
      <c r="T5608" s="308" t="s">
        <v>34264</v>
      </c>
      <c r="U5608" s="308" t="s">
        <v>872</v>
      </c>
      <c r="V5608" s="308"/>
    </row>
    <row r="5609">
      <c r="A5609" s="308">
        <v>5608.0</v>
      </c>
      <c r="B5609" s="308"/>
      <c r="C5609" s="308" t="s">
        <v>22492</v>
      </c>
      <c r="D5609" s="308">
        <f>IFERROR(__xludf.DUMMYFUNCTION("SPLIT(C5609,""-"")"),5629.0)</f>
        <v>5629</v>
      </c>
      <c r="E5609" s="308" t="str">
        <f>IFERROR(__xludf.DUMMYFUNCTION("""COMPUTED_VALUE"""),"K")</f>
        <v>K</v>
      </c>
      <c r="F5609" s="309" t="s">
        <v>34</v>
      </c>
      <c r="G5609" s="308"/>
      <c r="H5609" s="308" t="s">
        <v>22493</v>
      </c>
      <c r="I5609" s="316" t="s">
        <v>407</v>
      </c>
      <c r="J5609" s="319"/>
      <c r="K5609" s="308"/>
      <c r="L5609" s="311" t="s">
        <v>79</v>
      </c>
      <c r="M5609" s="308" t="s">
        <v>22494</v>
      </c>
      <c r="N5609" s="308"/>
      <c r="O5609" s="308"/>
      <c r="P5609" s="308" t="s">
        <v>22495</v>
      </c>
      <c r="Q5609" s="308" t="s">
        <v>38534</v>
      </c>
      <c r="R5609" s="308" t="s">
        <v>2743</v>
      </c>
      <c r="S5609" s="308" t="s">
        <v>81</v>
      </c>
      <c r="T5609" s="308" t="s">
        <v>34264</v>
      </c>
      <c r="U5609" s="308" t="s">
        <v>530</v>
      </c>
      <c r="V5609" s="308"/>
    </row>
    <row r="5610">
      <c r="A5610" s="308">
        <v>5609.0</v>
      </c>
      <c r="B5610" s="308"/>
      <c r="C5610" s="308" t="s">
        <v>22496</v>
      </c>
      <c r="D5610" s="308">
        <f>IFERROR(__xludf.DUMMYFUNCTION("SPLIT(C5610,""-"")"),5630.0)</f>
        <v>5630</v>
      </c>
      <c r="E5610" s="308" t="str">
        <f>IFERROR(__xludf.DUMMYFUNCTION("""COMPUTED_VALUE"""),"K")</f>
        <v>K</v>
      </c>
      <c r="F5610" s="309" t="s">
        <v>34</v>
      </c>
      <c r="G5610" s="308"/>
      <c r="H5610" s="308" t="s">
        <v>22497</v>
      </c>
      <c r="I5610" s="310">
        <v>37073.0</v>
      </c>
      <c r="J5610" s="319">
        <f>IFERROR(__xludf.DUMMYFUNCTION("SPLIT(I5610,""/"")"),1.0)</f>
        <v>1</v>
      </c>
      <c r="K5610" s="308">
        <f>IFERROR(__xludf.DUMMYFUNCTION("""COMPUTED_VALUE"""),7.0)</f>
        <v>7</v>
      </c>
      <c r="L5610" s="308">
        <f>IFERROR(__xludf.DUMMYFUNCTION("""COMPUTED_VALUE"""),2001.0)</f>
        <v>2001</v>
      </c>
      <c r="M5610" s="308" t="s">
        <v>22498</v>
      </c>
      <c r="N5610" s="308"/>
      <c r="O5610" s="308"/>
      <c r="P5610" s="308" t="s">
        <v>38537</v>
      </c>
      <c r="Q5610" s="308" t="s">
        <v>38534</v>
      </c>
      <c r="R5610" s="308" t="s">
        <v>2743</v>
      </c>
      <c r="S5610" s="308" t="s">
        <v>81</v>
      </c>
      <c r="T5610" s="308" t="s">
        <v>34264</v>
      </c>
      <c r="U5610" s="308" t="s">
        <v>530</v>
      </c>
      <c r="V5610" s="308"/>
    </row>
    <row r="5611">
      <c r="A5611" s="308">
        <v>5610.0</v>
      </c>
      <c r="B5611" s="308"/>
      <c r="C5611" s="308" t="s">
        <v>22500</v>
      </c>
      <c r="D5611" s="308">
        <f>IFERROR(__xludf.DUMMYFUNCTION("SPLIT(C5611,""-"")"),5631.0)</f>
        <v>5631</v>
      </c>
      <c r="E5611" s="308" t="str">
        <f>IFERROR(__xludf.DUMMYFUNCTION("""COMPUTED_VALUE"""),"K")</f>
        <v>K</v>
      </c>
      <c r="F5611" s="309" t="s">
        <v>34</v>
      </c>
      <c r="G5611" s="308"/>
      <c r="H5611" s="308" t="s">
        <v>22501</v>
      </c>
      <c r="I5611" s="316" t="s">
        <v>407</v>
      </c>
      <c r="J5611" s="319"/>
      <c r="K5611" s="308"/>
      <c r="L5611" s="311" t="s">
        <v>79</v>
      </c>
      <c r="M5611" s="308" t="s">
        <v>22502</v>
      </c>
      <c r="N5611" s="308"/>
      <c r="O5611" s="308"/>
      <c r="P5611" s="308" t="s">
        <v>22503</v>
      </c>
      <c r="Q5611" s="308" t="s">
        <v>38534</v>
      </c>
      <c r="R5611" s="308" t="s">
        <v>2743</v>
      </c>
      <c r="S5611" s="308" t="s">
        <v>81</v>
      </c>
      <c r="T5611" s="308" t="s">
        <v>34264</v>
      </c>
      <c r="U5611" s="308" t="s">
        <v>530</v>
      </c>
      <c r="V5611" s="308"/>
    </row>
    <row r="5612">
      <c r="A5612" s="308">
        <v>5611.0</v>
      </c>
      <c r="B5612" s="308"/>
      <c r="C5612" s="308" t="s">
        <v>22504</v>
      </c>
      <c r="D5612" s="308">
        <f>IFERROR(__xludf.DUMMYFUNCTION("SPLIT(C5612,""-"")"),5632.0)</f>
        <v>5632</v>
      </c>
      <c r="E5612" s="308" t="str">
        <f>IFERROR(__xludf.DUMMYFUNCTION("""COMPUTED_VALUE"""),"K")</f>
        <v>K</v>
      </c>
      <c r="F5612" s="309" t="s">
        <v>34</v>
      </c>
      <c r="G5612" s="308"/>
      <c r="H5612" s="308" t="s">
        <v>22505</v>
      </c>
      <c r="I5612" s="316" t="s">
        <v>407</v>
      </c>
      <c r="J5612" s="319"/>
      <c r="K5612" s="308"/>
      <c r="L5612" s="311" t="s">
        <v>79</v>
      </c>
      <c r="M5612" s="308" t="s">
        <v>22506</v>
      </c>
      <c r="N5612" s="308" t="s">
        <v>22507</v>
      </c>
      <c r="O5612" s="308"/>
      <c r="P5612" s="308" t="s">
        <v>136</v>
      </c>
      <c r="Q5612" s="308" t="s">
        <v>38534</v>
      </c>
      <c r="R5612" s="308" t="s">
        <v>2743</v>
      </c>
      <c r="S5612" s="315" t="s">
        <v>100</v>
      </c>
      <c r="T5612" s="308" t="s">
        <v>34208</v>
      </c>
      <c r="U5612" s="308" t="s">
        <v>2152</v>
      </c>
      <c r="V5612" s="308"/>
    </row>
    <row r="5613">
      <c r="A5613" s="308">
        <v>5612.0</v>
      </c>
      <c r="B5613" s="308"/>
      <c r="C5613" s="308" t="s">
        <v>22508</v>
      </c>
      <c r="D5613" s="308">
        <f>IFERROR(__xludf.DUMMYFUNCTION("SPLIT(C5613,""-"")"),5633.0)</f>
        <v>5633</v>
      </c>
      <c r="E5613" s="308" t="str">
        <f>IFERROR(__xludf.DUMMYFUNCTION("""COMPUTED_VALUE"""),"S")</f>
        <v>S</v>
      </c>
      <c r="F5613" s="312" t="s">
        <v>39</v>
      </c>
      <c r="G5613" s="308"/>
      <c r="H5613" s="308" t="s">
        <v>22509</v>
      </c>
      <c r="I5613" s="314">
        <v>41985.0</v>
      </c>
      <c r="J5613" s="319">
        <f>IFERROR(__xludf.DUMMYFUNCTION("SPLIT(I5613,""/"")"),12.0)</f>
        <v>12</v>
      </c>
      <c r="K5613" s="308">
        <f>IFERROR(__xludf.DUMMYFUNCTION("""COMPUTED_VALUE"""),12.0)</f>
        <v>12</v>
      </c>
      <c r="L5613" s="308">
        <f>IFERROR(__xludf.DUMMYFUNCTION("""COMPUTED_VALUE"""),2014.0)</f>
        <v>2014</v>
      </c>
      <c r="M5613" s="308" t="s">
        <v>22510</v>
      </c>
      <c r="N5613" s="308" t="s">
        <v>22511</v>
      </c>
      <c r="O5613" s="308"/>
      <c r="P5613" s="308"/>
      <c r="Q5613" s="308" t="s">
        <v>38534</v>
      </c>
      <c r="R5613" s="308" t="s">
        <v>2743</v>
      </c>
      <c r="S5613" s="308" t="s">
        <v>79</v>
      </c>
      <c r="T5613" s="308" t="s">
        <v>79</v>
      </c>
      <c r="U5613" s="308" t="s">
        <v>166</v>
      </c>
      <c r="V5613" s="308"/>
    </row>
    <row r="5614">
      <c r="A5614" s="308">
        <v>5613.0</v>
      </c>
      <c r="B5614" s="308"/>
      <c r="C5614" s="308" t="s">
        <v>22512</v>
      </c>
      <c r="D5614" s="308">
        <f>IFERROR(__xludf.DUMMYFUNCTION("SPLIT(C5614,""-"")"),5634.0)</f>
        <v>5634</v>
      </c>
      <c r="E5614" s="308" t="str">
        <f>IFERROR(__xludf.DUMMYFUNCTION("""COMPUTED_VALUE"""),"K")</f>
        <v>K</v>
      </c>
      <c r="F5614" s="309" t="s">
        <v>34</v>
      </c>
      <c r="G5614" s="308"/>
      <c r="H5614" s="308" t="s">
        <v>22513</v>
      </c>
      <c r="I5614" s="310">
        <v>40150.0</v>
      </c>
      <c r="J5614" s="319">
        <f>IFERROR(__xludf.DUMMYFUNCTION("SPLIT(I5614,""/"")"),3.0)</f>
        <v>3</v>
      </c>
      <c r="K5614" s="308">
        <f>IFERROR(__xludf.DUMMYFUNCTION("""COMPUTED_VALUE"""),12.0)</f>
        <v>12</v>
      </c>
      <c r="L5614" s="308">
        <f>IFERROR(__xludf.DUMMYFUNCTION("""COMPUTED_VALUE"""),2009.0)</f>
        <v>2009</v>
      </c>
      <c r="M5614" s="308" t="s">
        <v>22514</v>
      </c>
      <c r="N5614" s="308"/>
      <c r="O5614" s="308"/>
      <c r="P5614" s="308" t="s">
        <v>136</v>
      </c>
      <c r="Q5614" s="308" t="s">
        <v>38534</v>
      </c>
      <c r="R5614" s="308" t="s">
        <v>2743</v>
      </c>
      <c r="S5614" s="315" t="s">
        <v>100</v>
      </c>
      <c r="T5614" s="308" t="s">
        <v>34208</v>
      </c>
      <c r="U5614" s="308" t="s">
        <v>941</v>
      </c>
      <c r="V5614" s="308"/>
    </row>
    <row r="5615">
      <c r="A5615" s="308">
        <v>5614.0</v>
      </c>
      <c r="B5615" s="308"/>
      <c r="C5615" s="308" t="s">
        <v>22515</v>
      </c>
      <c r="D5615" s="308">
        <f>IFERROR(__xludf.DUMMYFUNCTION("SPLIT(C5615,""-"")"),5635.0)</f>
        <v>5635</v>
      </c>
      <c r="E5615" s="308" t="str">
        <f>IFERROR(__xludf.DUMMYFUNCTION("""COMPUTED_VALUE"""),"K")</f>
        <v>K</v>
      </c>
      <c r="F5615" s="309" t="s">
        <v>34</v>
      </c>
      <c r="G5615" s="308"/>
      <c r="H5615" s="308" t="s">
        <v>22516</v>
      </c>
      <c r="I5615" s="310">
        <v>39995.0</v>
      </c>
      <c r="J5615" s="319">
        <f>IFERROR(__xludf.DUMMYFUNCTION("SPLIT(I5615,""/"")"),1.0)</f>
        <v>1</v>
      </c>
      <c r="K5615" s="308">
        <f>IFERROR(__xludf.DUMMYFUNCTION("""COMPUTED_VALUE"""),7.0)</f>
        <v>7</v>
      </c>
      <c r="L5615" s="308">
        <f>IFERROR(__xludf.DUMMYFUNCTION("""COMPUTED_VALUE"""),2009.0)</f>
        <v>2009</v>
      </c>
      <c r="M5615" s="308" t="s">
        <v>22517</v>
      </c>
      <c r="N5615" s="308"/>
      <c r="O5615" s="308"/>
      <c r="P5615" s="308" t="s">
        <v>38538</v>
      </c>
      <c r="Q5615" s="308" t="s">
        <v>38534</v>
      </c>
      <c r="R5615" s="308" t="s">
        <v>2743</v>
      </c>
      <c r="S5615" s="308" t="s">
        <v>81</v>
      </c>
      <c r="T5615" s="308" t="s">
        <v>34264</v>
      </c>
      <c r="U5615" s="308" t="s">
        <v>530</v>
      </c>
      <c r="V5615" s="308"/>
    </row>
    <row r="5616">
      <c r="A5616" s="308">
        <v>5615.0</v>
      </c>
      <c r="B5616" s="308"/>
      <c r="C5616" s="308" t="s">
        <v>22519</v>
      </c>
      <c r="D5616" s="308">
        <f>IFERROR(__xludf.DUMMYFUNCTION("SPLIT(C5616,""-"")"),5636.0)</f>
        <v>5636</v>
      </c>
      <c r="E5616" s="308" t="str">
        <f>IFERROR(__xludf.DUMMYFUNCTION("""COMPUTED_VALUE"""),"K")</f>
        <v>K</v>
      </c>
      <c r="F5616" s="309" t="s">
        <v>34</v>
      </c>
      <c r="G5616" s="308"/>
      <c r="H5616" s="308" t="s">
        <v>22520</v>
      </c>
      <c r="I5616" s="316" t="s">
        <v>407</v>
      </c>
      <c r="J5616" s="319"/>
      <c r="K5616" s="308"/>
      <c r="L5616" s="311" t="s">
        <v>79</v>
      </c>
      <c r="M5616" s="308" t="s">
        <v>22521</v>
      </c>
      <c r="N5616" s="308"/>
      <c r="O5616" s="308"/>
      <c r="P5616" s="308" t="s">
        <v>22522</v>
      </c>
      <c r="Q5616" s="308" t="s">
        <v>38534</v>
      </c>
      <c r="R5616" s="308" t="s">
        <v>2743</v>
      </c>
      <c r="S5616" s="308" t="s">
        <v>81</v>
      </c>
      <c r="T5616" s="308" t="s">
        <v>34264</v>
      </c>
      <c r="U5616" s="308" t="s">
        <v>530</v>
      </c>
      <c r="V5616" s="308"/>
    </row>
    <row r="5617">
      <c r="A5617" s="308">
        <v>5616.0</v>
      </c>
      <c r="B5617" s="308"/>
      <c r="C5617" s="308" t="s">
        <v>22523</v>
      </c>
      <c r="D5617" s="308">
        <f>IFERROR(__xludf.DUMMYFUNCTION("SPLIT(C5617,""-"")"),5637.0)</f>
        <v>5637</v>
      </c>
      <c r="E5617" s="308" t="str">
        <f>IFERROR(__xludf.DUMMYFUNCTION("""COMPUTED_VALUE"""),"K")</f>
        <v>K</v>
      </c>
      <c r="F5617" s="309" t="s">
        <v>34</v>
      </c>
      <c r="G5617" s="308"/>
      <c r="H5617" s="308" t="s">
        <v>22524</v>
      </c>
      <c r="I5617" s="310">
        <v>41615.0</v>
      </c>
      <c r="J5617" s="319">
        <f>IFERROR(__xludf.DUMMYFUNCTION("SPLIT(I5617,""/"")"),7.0)</f>
        <v>7</v>
      </c>
      <c r="K5617" s="308">
        <f>IFERROR(__xludf.DUMMYFUNCTION("""COMPUTED_VALUE"""),12.0)</f>
        <v>12</v>
      </c>
      <c r="L5617" s="308">
        <f>IFERROR(__xludf.DUMMYFUNCTION("""COMPUTED_VALUE"""),2013.0)</f>
        <v>2013</v>
      </c>
      <c r="M5617" s="308" t="s">
        <v>22525</v>
      </c>
      <c r="N5617" s="308"/>
      <c r="O5617" s="308"/>
      <c r="P5617" s="308" t="s">
        <v>38539</v>
      </c>
      <c r="Q5617" s="308" t="s">
        <v>38534</v>
      </c>
      <c r="R5617" s="308" t="s">
        <v>2743</v>
      </c>
      <c r="S5617" s="308" t="s">
        <v>81</v>
      </c>
      <c r="T5617" s="308" t="s">
        <v>34264</v>
      </c>
      <c r="U5617" s="308" t="s">
        <v>125</v>
      </c>
      <c r="V5617" s="308"/>
    </row>
    <row r="5618">
      <c r="A5618" s="308">
        <v>5617.0</v>
      </c>
      <c r="B5618" s="308"/>
      <c r="C5618" s="308" t="s">
        <v>22527</v>
      </c>
      <c r="D5618" s="308">
        <f>IFERROR(__xludf.DUMMYFUNCTION("SPLIT(C5618,""-"")"),5638.0)</f>
        <v>5638</v>
      </c>
      <c r="E5618" s="308" t="str">
        <f>IFERROR(__xludf.DUMMYFUNCTION("""COMPUTED_VALUE"""),"P")</f>
        <v>P</v>
      </c>
      <c r="F5618" s="312" t="s">
        <v>37</v>
      </c>
      <c r="G5618" s="308"/>
      <c r="H5618" s="308" t="s">
        <v>22528</v>
      </c>
      <c r="I5618" s="310">
        <v>43325.0</v>
      </c>
      <c r="J5618" s="319">
        <f>IFERROR(__xludf.DUMMYFUNCTION("SPLIT(I5618,""/"")"),13.0)</f>
        <v>13</v>
      </c>
      <c r="K5618" s="308">
        <f>IFERROR(__xludf.DUMMYFUNCTION("""COMPUTED_VALUE"""),8.0)</f>
        <v>8</v>
      </c>
      <c r="L5618" s="308">
        <f>IFERROR(__xludf.DUMMYFUNCTION("""COMPUTED_VALUE"""),2018.0)</f>
        <v>2018</v>
      </c>
      <c r="M5618" s="308" t="s">
        <v>22529</v>
      </c>
      <c r="N5618" s="308"/>
      <c r="O5618" s="308"/>
      <c r="P5618" s="308" t="s">
        <v>38540</v>
      </c>
      <c r="Q5618" s="308" t="s">
        <v>38534</v>
      </c>
      <c r="R5618" s="308" t="s">
        <v>2743</v>
      </c>
      <c r="S5618" s="308" t="s">
        <v>81</v>
      </c>
      <c r="T5618" s="311" t="s">
        <v>51</v>
      </c>
      <c r="U5618" s="308" t="s">
        <v>2748</v>
      </c>
      <c r="V5618" s="308"/>
    </row>
    <row r="5619">
      <c r="A5619" s="308">
        <v>5618.0</v>
      </c>
      <c r="B5619" s="308"/>
      <c r="C5619" s="308" t="s">
        <v>22531</v>
      </c>
      <c r="D5619" s="308">
        <f>IFERROR(__xludf.DUMMYFUNCTION("SPLIT(C5619,""-"")"),5639.0)</f>
        <v>5639</v>
      </c>
      <c r="E5619" s="308" t="str">
        <f>IFERROR(__xludf.DUMMYFUNCTION("""COMPUTED_VALUE"""),"P")</f>
        <v>P</v>
      </c>
      <c r="F5619" s="312" t="s">
        <v>37</v>
      </c>
      <c r="G5619" s="308"/>
      <c r="H5619" s="308" t="s">
        <v>22532</v>
      </c>
      <c r="I5619" s="314">
        <v>43423.0</v>
      </c>
      <c r="J5619" s="319">
        <f>IFERROR(__xludf.DUMMYFUNCTION("SPLIT(I5619,""/"")"),19.0)</f>
        <v>19</v>
      </c>
      <c r="K5619" s="308">
        <f>IFERROR(__xludf.DUMMYFUNCTION("""COMPUTED_VALUE"""),11.0)</f>
        <v>11</v>
      </c>
      <c r="L5619" s="308">
        <f>IFERROR(__xludf.DUMMYFUNCTION("""COMPUTED_VALUE"""),2018.0)</f>
        <v>2018</v>
      </c>
      <c r="M5619" s="308" t="s">
        <v>22533</v>
      </c>
      <c r="N5619" s="308"/>
      <c r="O5619" s="308"/>
      <c r="P5619" s="308" t="s">
        <v>22534</v>
      </c>
      <c r="Q5619" s="308" t="s">
        <v>38534</v>
      </c>
      <c r="R5619" s="308" t="s">
        <v>2743</v>
      </c>
      <c r="S5619" s="308" t="s">
        <v>81</v>
      </c>
      <c r="T5619" s="308" t="s">
        <v>73</v>
      </c>
      <c r="U5619" s="308" t="s">
        <v>143</v>
      </c>
      <c r="V5619" s="308"/>
    </row>
    <row r="5620">
      <c r="A5620" s="308">
        <v>5619.0</v>
      </c>
      <c r="B5620" s="308"/>
      <c r="C5620" s="308" t="s">
        <v>22535</v>
      </c>
      <c r="D5620" s="308">
        <f>IFERROR(__xludf.DUMMYFUNCTION("SPLIT(C5620,""-"")"),5640.0)</f>
        <v>5640</v>
      </c>
      <c r="E5620" s="308" t="str">
        <f>IFERROR(__xludf.DUMMYFUNCTION("""COMPUTED_VALUE"""),"P")</f>
        <v>P</v>
      </c>
      <c r="F5620" s="312" t="s">
        <v>37</v>
      </c>
      <c r="G5620" s="308"/>
      <c r="H5620" s="308" t="s">
        <v>22536</v>
      </c>
      <c r="I5620" s="314">
        <v>42689.0</v>
      </c>
      <c r="J5620" s="319">
        <f>IFERROR(__xludf.DUMMYFUNCTION("SPLIT(I5620,""/"")"),15.0)</f>
        <v>15</v>
      </c>
      <c r="K5620" s="308">
        <f>IFERROR(__xludf.DUMMYFUNCTION("""COMPUTED_VALUE"""),11.0)</f>
        <v>11</v>
      </c>
      <c r="L5620" s="308">
        <f>IFERROR(__xludf.DUMMYFUNCTION("""COMPUTED_VALUE"""),2016.0)</f>
        <v>2016</v>
      </c>
      <c r="M5620" s="308" t="s">
        <v>22537</v>
      </c>
      <c r="N5620" s="308"/>
      <c r="O5620" s="308"/>
      <c r="P5620" s="308" t="s">
        <v>38541</v>
      </c>
      <c r="Q5620" s="308" t="s">
        <v>38534</v>
      </c>
      <c r="R5620" s="308" t="s">
        <v>2743</v>
      </c>
      <c r="S5620" s="308" t="s">
        <v>81</v>
      </c>
      <c r="T5620" s="311" t="s">
        <v>96</v>
      </c>
      <c r="U5620" s="308" t="s">
        <v>143</v>
      </c>
      <c r="V5620" s="308"/>
    </row>
    <row r="5621">
      <c r="A5621" s="308">
        <v>5620.0</v>
      </c>
      <c r="B5621" s="308"/>
      <c r="C5621" s="308" t="s">
        <v>22539</v>
      </c>
      <c r="D5621" s="308">
        <f>IFERROR(__xludf.DUMMYFUNCTION("SPLIT(C5621,""-"")"),5641.0)</f>
        <v>5641</v>
      </c>
      <c r="E5621" s="308" t="str">
        <f>IFERROR(__xludf.DUMMYFUNCTION("""COMPUTED_VALUE"""),"S")</f>
        <v>S</v>
      </c>
      <c r="F5621" s="312" t="s">
        <v>39</v>
      </c>
      <c r="G5621" s="308"/>
      <c r="H5621" s="308" t="s">
        <v>22540</v>
      </c>
      <c r="I5621" s="310">
        <v>42050.0</v>
      </c>
      <c r="J5621" s="319">
        <f>IFERROR(__xludf.DUMMYFUNCTION("SPLIT(I5621,""/"")"),15.0)</f>
        <v>15</v>
      </c>
      <c r="K5621" s="308">
        <f>IFERROR(__xludf.DUMMYFUNCTION("""COMPUTED_VALUE"""),2.0)</f>
        <v>2</v>
      </c>
      <c r="L5621" s="308">
        <f>IFERROR(__xludf.DUMMYFUNCTION("""COMPUTED_VALUE"""),2015.0)</f>
        <v>2015</v>
      </c>
      <c r="M5621" s="308" t="s">
        <v>38542</v>
      </c>
      <c r="N5621" s="308"/>
      <c r="O5621" s="308"/>
      <c r="P5621" s="308" t="s">
        <v>136</v>
      </c>
      <c r="Q5621" s="308" t="s">
        <v>38543</v>
      </c>
      <c r="R5621" s="308" t="s">
        <v>2743</v>
      </c>
      <c r="S5621" s="315" t="s">
        <v>100</v>
      </c>
      <c r="T5621" s="308" t="s">
        <v>34208</v>
      </c>
      <c r="U5621" s="308" t="s">
        <v>166</v>
      </c>
      <c r="V5621" s="308"/>
    </row>
    <row r="5622">
      <c r="A5622" s="308">
        <v>5621.0</v>
      </c>
      <c r="B5622" s="308"/>
      <c r="C5622" s="308" t="s">
        <v>22542</v>
      </c>
      <c r="D5622" s="308">
        <f>IFERROR(__xludf.DUMMYFUNCTION("SPLIT(C5622,""-"")"),5642.0)</f>
        <v>5642</v>
      </c>
      <c r="E5622" s="308" t="str">
        <f>IFERROR(__xludf.DUMMYFUNCTION("""COMPUTED_VALUE"""),"K")</f>
        <v>K</v>
      </c>
      <c r="F5622" s="309" t="s">
        <v>34</v>
      </c>
      <c r="G5622" s="308"/>
      <c r="H5622" s="308" t="s">
        <v>22543</v>
      </c>
      <c r="I5622" s="310">
        <v>39995.0</v>
      </c>
      <c r="J5622" s="319">
        <f>IFERROR(__xludf.DUMMYFUNCTION("SPLIT(I5622,""/"")"),1.0)</f>
        <v>1</v>
      </c>
      <c r="K5622" s="308">
        <f>IFERROR(__xludf.DUMMYFUNCTION("""COMPUTED_VALUE"""),7.0)</f>
        <v>7</v>
      </c>
      <c r="L5622" s="308">
        <f>IFERROR(__xludf.DUMMYFUNCTION("""COMPUTED_VALUE"""),2009.0)</f>
        <v>2009</v>
      </c>
      <c r="M5622" s="308" t="s">
        <v>38544</v>
      </c>
      <c r="N5622" s="308" t="s">
        <v>22545</v>
      </c>
      <c r="O5622" s="308"/>
      <c r="P5622" s="308" t="s">
        <v>136</v>
      </c>
      <c r="Q5622" s="308" t="s">
        <v>38545</v>
      </c>
      <c r="R5622" s="308" t="s">
        <v>2743</v>
      </c>
      <c r="S5622" s="315" t="s">
        <v>100</v>
      </c>
      <c r="T5622" s="308" t="s">
        <v>34208</v>
      </c>
      <c r="U5622" s="308" t="s">
        <v>530</v>
      </c>
      <c r="V5622" s="308"/>
    </row>
    <row r="5623">
      <c r="A5623" s="308">
        <v>5622.0</v>
      </c>
      <c r="B5623" s="308"/>
      <c r="C5623" s="308" t="s">
        <v>22546</v>
      </c>
      <c r="D5623" s="308">
        <f>IFERROR(__xludf.DUMMYFUNCTION("SPLIT(C5623,""-"")"),5643.0)</f>
        <v>5643</v>
      </c>
      <c r="E5623" s="308" t="str">
        <f>IFERROR(__xludf.DUMMYFUNCTION("""COMPUTED_VALUE"""),"K")</f>
        <v>K</v>
      </c>
      <c r="F5623" s="309" t="s">
        <v>34</v>
      </c>
      <c r="G5623" s="308"/>
      <c r="H5623" s="308" t="s">
        <v>22547</v>
      </c>
      <c r="I5623" s="310">
        <v>39995.0</v>
      </c>
      <c r="J5623" s="319">
        <f>IFERROR(__xludf.DUMMYFUNCTION("SPLIT(I5623,""/"")"),1.0)</f>
        <v>1</v>
      </c>
      <c r="K5623" s="308">
        <f>IFERROR(__xludf.DUMMYFUNCTION("""COMPUTED_VALUE"""),7.0)</f>
        <v>7</v>
      </c>
      <c r="L5623" s="308">
        <f>IFERROR(__xludf.DUMMYFUNCTION("""COMPUTED_VALUE"""),2009.0)</f>
        <v>2009</v>
      </c>
      <c r="M5623" s="308" t="s">
        <v>22548</v>
      </c>
      <c r="N5623" s="308"/>
      <c r="O5623" s="308" t="s">
        <v>22549</v>
      </c>
      <c r="P5623" s="308" t="s">
        <v>136</v>
      </c>
      <c r="Q5623" s="308" t="s">
        <v>38545</v>
      </c>
      <c r="R5623" s="308" t="s">
        <v>2743</v>
      </c>
      <c r="S5623" s="315" t="s">
        <v>100</v>
      </c>
      <c r="T5623" s="308" t="s">
        <v>34208</v>
      </c>
      <c r="U5623" s="308" t="s">
        <v>4749</v>
      </c>
      <c r="V5623" s="308"/>
    </row>
    <row r="5624">
      <c r="A5624" s="308">
        <v>5623.0</v>
      </c>
      <c r="B5624" s="308"/>
      <c r="C5624" s="308" t="s">
        <v>22550</v>
      </c>
      <c r="D5624" s="308">
        <f>IFERROR(__xludf.DUMMYFUNCTION("SPLIT(C5624,""-"")"),5644.0)</f>
        <v>5644</v>
      </c>
      <c r="E5624" s="308" t="str">
        <f>IFERROR(__xludf.DUMMYFUNCTION("""COMPUTED_VALUE"""),"K")</f>
        <v>K</v>
      </c>
      <c r="F5624" s="309" t="s">
        <v>34</v>
      </c>
      <c r="G5624" s="308"/>
      <c r="H5624" s="308" t="s">
        <v>22551</v>
      </c>
      <c r="I5624" s="310">
        <v>41821.0</v>
      </c>
      <c r="J5624" s="319">
        <f>IFERROR(__xludf.DUMMYFUNCTION("SPLIT(I5624,""/"")"),1.0)</f>
        <v>1</v>
      </c>
      <c r="K5624" s="308">
        <f>IFERROR(__xludf.DUMMYFUNCTION("""COMPUTED_VALUE"""),7.0)</f>
        <v>7</v>
      </c>
      <c r="L5624" s="308">
        <f>IFERROR(__xludf.DUMMYFUNCTION("""COMPUTED_VALUE"""),2014.0)</f>
        <v>2014</v>
      </c>
      <c r="M5624" s="308" t="s">
        <v>22552</v>
      </c>
      <c r="N5624" s="308" t="s">
        <v>22553</v>
      </c>
      <c r="O5624" s="308" t="s">
        <v>22554</v>
      </c>
      <c r="P5624" s="308" t="s">
        <v>136</v>
      </c>
      <c r="Q5624" s="308" t="s">
        <v>38545</v>
      </c>
      <c r="R5624" s="308" t="s">
        <v>2743</v>
      </c>
      <c r="S5624" s="315" t="s">
        <v>100</v>
      </c>
      <c r="T5624" s="308" t="s">
        <v>34208</v>
      </c>
      <c r="U5624" s="308" t="s">
        <v>2152</v>
      </c>
      <c r="V5624" s="308"/>
    </row>
    <row r="5625">
      <c r="A5625" s="308">
        <v>5624.0</v>
      </c>
      <c r="B5625" s="308"/>
      <c r="C5625" s="308" t="s">
        <v>22555</v>
      </c>
      <c r="D5625" s="308">
        <f>IFERROR(__xludf.DUMMYFUNCTION("SPLIT(C5625,""-"")"),5645.0)</f>
        <v>5645</v>
      </c>
      <c r="E5625" s="308" t="str">
        <f>IFERROR(__xludf.DUMMYFUNCTION("""COMPUTED_VALUE"""),"I")</f>
        <v>I</v>
      </c>
      <c r="F5625" s="309" t="s">
        <v>31</v>
      </c>
      <c r="G5625" s="308"/>
      <c r="H5625" s="308" t="s">
        <v>22556</v>
      </c>
      <c r="I5625" s="310">
        <v>41691.0</v>
      </c>
      <c r="J5625" s="319">
        <f>IFERROR(__xludf.DUMMYFUNCTION("SPLIT(I5625,""/"")"),21.0)</f>
        <v>21</v>
      </c>
      <c r="K5625" s="308">
        <f>IFERROR(__xludf.DUMMYFUNCTION("""COMPUTED_VALUE"""),2.0)</f>
        <v>2</v>
      </c>
      <c r="L5625" s="308">
        <f>IFERROR(__xludf.DUMMYFUNCTION("""COMPUTED_VALUE"""),2014.0)</f>
        <v>2014</v>
      </c>
      <c r="M5625" s="308" t="s">
        <v>22557</v>
      </c>
      <c r="N5625" s="308" t="s">
        <v>22558</v>
      </c>
      <c r="O5625" s="308"/>
      <c r="P5625" s="308" t="s">
        <v>38546</v>
      </c>
      <c r="Q5625" s="308" t="s">
        <v>38545</v>
      </c>
      <c r="R5625" s="308" t="s">
        <v>2743</v>
      </c>
      <c r="S5625" s="308" t="s">
        <v>49</v>
      </c>
      <c r="T5625" s="311" t="s">
        <v>51</v>
      </c>
      <c r="U5625" s="308" t="s">
        <v>31</v>
      </c>
      <c r="V5625" s="308"/>
    </row>
    <row r="5626">
      <c r="A5626" s="308">
        <v>5625.0</v>
      </c>
      <c r="B5626" s="308"/>
      <c r="C5626" s="308" t="s">
        <v>22560</v>
      </c>
      <c r="D5626" s="308">
        <f>IFERROR(__xludf.DUMMYFUNCTION("SPLIT(C5626,""-"")"),5646.0)</f>
        <v>5646</v>
      </c>
      <c r="E5626" s="308" t="str">
        <f>IFERROR(__xludf.DUMMYFUNCTION("""COMPUTED_VALUE"""),"P")</f>
        <v>P</v>
      </c>
      <c r="F5626" s="312" t="s">
        <v>37</v>
      </c>
      <c r="G5626" s="308"/>
      <c r="H5626" s="308" t="s">
        <v>22561</v>
      </c>
      <c r="I5626" s="310">
        <v>42997.0</v>
      </c>
      <c r="J5626" s="319">
        <f>IFERROR(__xludf.DUMMYFUNCTION("SPLIT(I5626,""/"")"),19.0)</f>
        <v>19</v>
      </c>
      <c r="K5626" s="308">
        <f>IFERROR(__xludf.DUMMYFUNCTION("""COMPUTED_VALUE"""),9.0)</f>
        <v>9</v>
      </c>
      <c r="L5626" s="308">
        <f>IFERROR(__xludf.DUMMYFUNCTION("""COMPUTED_VALUE"""),2017.0)</f>
        <v>2017</v>
      </c>
      <c r="M5626" s="308" t="s">
        <v>22562</v>
      </c>
      <c r="N5626" s="308"/>
      <c r="O5626" s="308" t="s">
        <v>38547</v>
      </c>
      <c r="P5626" s="308" t="s">
        <v>38548</v>
      </c>
      <c r="Q5626" s="308" t="s">
        <v>38545</v>
      </c>
      <c r="R5626" s="308" t="s">
        <v>2743</v>
      </c>
      <c r="S5626" s="308" t="s">
        <v>81</v>
      </c>
      <c r="T5626" s="311" t="s">
        <v>63</v>
      </c>
      <c r="U5626" s="308" t="s">
        <v>5537</v>
      </c>
      <c r="V5626" s="308"/>
    </row>
    <row r="5627">
      <c r="A5627" s="308">
        <v>5626.0</v>
      </c>
      <c r="B5627" s="308"/>
      <c r="C5627" s="308" t="s">
        <v>22565</v>
      </c>
      <c r="D5627" s="308">
        <f>IFERROR(__xludf.DUMMYFUNCTION("SPLIT(C5627,""-"")"),5647.0)</f>
        <v>5647</v>
      </c>
      <c r="E5627" s="308" t="str">
        <f>IFERROR(__xludf.DUMMYFUNCTION("""COMPUTED_VALUE"""),"K")</f>
        <v>K</v>
      </c>
      <c r="F5627" s="309" t="s">
        <v>34</v>
      </c>
      <c r="G5627" s="308"/>
      <c r="H5627" s="308" t="s">
        <v>22566</v>
      </c>
      <c r="I5627" s="310">
        <v>43255.0</v>
      </c>
      <c r="J5627" s="319">
        <f>IFERROR(__xludf.DUMMYFUNCTION("SPLIT(I5627,""/"")"),4.0)</f>
        <v>4</v>
      </c>
      <c r="K5627" s="308">
        <f>IFERROR(__xludf.DUMMYFUNCTION("""COMPUTED_VALUE"""),6.0)</f>
        <v>6</v>
      </c>
      <c r="L5627" s="308">
        <f>IFERROR(__xludf.DUMMYFUNCTION("""COMPUTED_VALUE"""),2018.0)</f>
        <v>2018</v>
      </c>
      <c r="M5627" s="308" t="s">
        <v>22567</v>
      </c>
      <c r="N5627" s="308"/>
      <c r="O5627" s="308"/>
      <c r="P5627" s="308" t="s">
        <v>136</v>
      </c>
      <c r="Q5627" s="308" t="s">
        <v>38545</v>
      </c>
      <c r="R5627" s="308" t="s">
        <v>2743</v>
      </c>
      <c r="S5627" s="315" t="s">
        <v>100</v>
      </c>
      <c r="T5627" s="308" t="s">
        <v>34208</v>
      </c>
      <c r="U5627" s="308" t="s">
        <v>125</v>
      </c>
      <c r="V5627" s="308" t="s">
        <v>4716</v>
      </c>
    </row>
    <row r="5628">
      <c r="A5628" s="308">
        <v>5627.0</v>
      </c>
      <c r="B5628" s="308"/>
      <c r="C5628" s="308" t="s">
        <v>22568</v>
      </c>
      <c r="D5628" s="308">
        <f>IFERROR(__xludf.DUMMYFUNCTION("SPLIT(C5628,""-"")"),5648.0)</f>
        <v>5648</v>
      </c>
      <c r="E5628" s="308" t="str">
        <f>IFERROR(__xludf.DUMMYFUNCTION("""COMPUTED_VALUE"""),"F")</f>
        <v>F</v>
      </c>
      <c r="F5628" s="309" t="s">
        <v>34</v>
      </c>
      <c r="G5628" s="308"/>
      <c r="H5628" s="308" t="s">
        <v>22569</v>
      </c>
      <c r="I5628" s="310">
        <v>43356.0</v>
      </c>
      <c r="J5628" s="319">
        <f>IFERROR(__xludf.DUMMYFUNCTION("SPLIT(I5628,""/"")"),13.0)</f>
        <v>13</v>
      </c>
      <c r="K5628" s="308">
        <f>IFERROR(__xludf.DUMMYFUNCTION("""COMPUTED_VALUE"""),9.0)</f>
        <v>9</v>
      </c>
      <c r="L5628" s="308">
        <f>IFERROR(__xludf.DUMMYFUNCTION("""COMPUTED_VALUE"""),2018.0)</f>
        <v>2018</v>
      </c>
      <c r="M5628" s="308" t="s">
        <v>22570</v>
      </c>
      <c r="N5628" s="308"/>
      <c r="O5628" s="308"/>
      <c r="P5628" s="308" t="s">
        <v>22571</v>
      </c>
      <c r="Q5628" s="308" t="s">
        <v>38549</v>
      </c>
      <c r="R5628" s="308" t="s">
        <v>2743</v>
      </c>
      <c r="S5628" s="308" t="s">
        <v>81</v>
      </c>
      <c r="T5628" s="308" t="s">
        <v>73</v>
      </c>
      <c r="U5628" s="308" t="s">
        <v>195</v>
      </c>
      <c r="V5628" s="308"/>
    </row>
    <row r="5629">
      <c r="A5629" s="308">
        <v>5628.0</v>
      </c>
      <c r="B5629" s="308"/>
      <c r="C5629" s="308" t="s">
        <v>22572</v>
      </c>
      <c r="D5629" s="308">
        <f>IFERROR(__xludf.DUMMYFUNCTION("SPLIT(C5629,""-"")"),5649.0)</f>
        <v>5649</v>
      </c>
      <c r="E5629" s="308" t="str">
        <f>IFERROR(__xludf.DUMMYFUNCTION("""COMPUTED_VALUE"""),"F")</f>
        <v>F</v>
      </c>
      <c r="F5629" s="309" t="s">
        <v>34</v>
      </c>
      <c r="G5629" s="308"/>
      <c r="H5629" s="308" t="s">
        <v>22573</v>
      </c>
      <c r="I5629" s="310">
        <v>43292.0</v>
      </c>
      <c r="J5629" s="319">
        <f>IFERROR(__xludf.DUMMYFUNCTION("SPLIT(I5629,""/"")"),11.0)</f>
        <v>11</v>
      </c>
      <c r="K5629" s="308">
        <f>IFERROR(__xludf.DUMMYFUNCTION("""COMPUTED_VALUE"""),7.0)</f>
        <v>7</v>
      </c>
      <c r="L5629" s="308">
        <f>IFERROR(__xludf.DUMMYFUNCTION("""COMPUTED_VALUE"""),2018.0)</f>
        <v>2018</v>
      </c>
      <c r="M5629" s="308" t="s">
        <v>22570</v>
      </c>
      <c r="N5629" s="308"/>
      <c r="O5629" s="308"/>
      <c r="P5629" s="308" t="s">
        <v>22574</v>
      </c>
      <c r="Q5629" s="308" t="s">
        <v>38549</v>
      </c>
      <c r="R5629" s="308" t="s">
        <v>2743</v>
      </c>
      <c r="S5629" s="308" t="s">
        <v>81</v>
      </c>
      <c r="T5629" s="308" t="s">
        <v>73</v>
      </c>
      <c r="U5629" s="308" t="s">
        <v>195</v>
      </c>
      <c r="V5629" s="308"/>
    </row>
    <row r="5630">
      <c r="A5630" s="308">
        <v>5629.0</v>
      </c>
      <c r="B5630" s="308"/>
      <c r="C5630" s="308" t="s">
        <v>22575</v>
      </c>
      <c r="D5630" s="308">
        <f>IFERROR(__xludf.DUMMYFUNCTION("SPLIT(C5630,""-"")"),5650.0)</f>
        <v>5650</v>
      </c>
      <c r="E5630" s="308" t="str">
        <f>IFERROR(__xludf.DUMMYFUNCTION("""COMPUTED_VALUE"""),"F")</f>
        <v>F</v>
      </c>
      <c r="F5630" s="309" t="s">
        <v>34</v>
      </c>
      <c r="G5630" s="308"/>
      <c r="H5630" s="308" t="s">
        <v>22576</v>
      </c>
      <c r="I5630" s="314">
        <v>43084.0</v>
      </c>
      <c r="J5630" s="319" t="str">
        <f>IFERROR(__xludf.DUMMYFUNCTION("SPLIT(I5630,""/"")"),"#REF!")</f>
        <v>#REF!</v>
      </c>
      <c r="K5630" s="308"/>
      <c r="L5630" s="308">
        <v>2017.0</v>
      </c>
      <c r="M5630" s="308" t="s">
        <v>22577</v>
      </c>
      <c r="N5630" s="308"/>
      <c r="O5630" s="308"/>
      <c r="P5630" s="308" t="s">
        <v>136</v>
      </c>
      <c r="Q5630" s="308" t="s">
        <v>38549</v>
      </c>
      <c r="R5630" s="308" t="s">
        <v>2743</v>
      </c>
      <c r="S5630" s="315" t="s">
        <v>100</v>
      </c>
      <c r="T5630" s="308" t="s">
        <v>34208</v>
      </c>
      <c r="U5630" s="308" t="s">
        <v>195</v>
      </c>
      <c r="V5630" s="308"/>
    </row>
    <row r="5631">
      <c r="A5631" s="308">
        <v>5630.0</v>
      </c>
      <c r="B5631" s="308"/>
      <c r="C5631" s="308" t="s">
        <v>22578</v>
      </c>
      <c r="D5631" s="308">
        <f>IFERROR(__xludf.DUMMYFUNCTION("SPLIT(C5631,""-"")"),5651.0)</f>
        <v>5651</v>
      </c>
      <c r="E5631" s="308" t="str">
        <f>IFERROR(__xludf.DUMMYFUNCTION("""COMPUTED_VALUE"""),"K")</f>
        <v>K</v>
      </c>
      <c r="F5631" s="309" t="s">
        <v>34</v>
      </c>
      <c r="G5631" s="308"/>
      <c r="H5631" s="308" t="s">
        <v>22579</v>
      </c>
      <c r="I5631" s="310">
        <v>42538.0</v>
      </c>
      <c r="J5631" s="319">
        <f>IFERROR(__xludf.DUMMYFUNCTION("SPLIT(I5631,""/"")"),17.0)</f>
        <v>17</v>
      </c>
      <c r="K5631" s="308">
        <f>IFERROR(__xludf.DUMMYFUNCTION("""COMPUTED_VALUE"""),6.0)</f>
        <v>6</v>
      </c>
      <c r="L5631" s="308">
        <f>IFERROR(__xludf.DUMMYFUNCTION("""COMPUTED_VALUE"""),2016.0)</f>
        <v>2016</v>
      </c>
      <c r="M5631" s="308" t="s">
        <v>22580</v>
      </c>
      <c r="N5631" s="308" t="s">
        <v>22581</v>
      </c>
      <c r="O5631" s="308" t="s">
        <v>22582</v>
      </c>
      <c r="P5631" s="308" t="s">
        <v>38550</v>
      </c>
      <c r="Q5631" s="308" t="s">
        <v>38549</v>
      </c>
      <c r="R5631" s="308" t="s">
        <v>2743</v>
      </c>
      <c r="S5631" s="308" t="s">
        <v>81</v>
      </c>
      <c r="T5631" s="308" t="s">
        <v>75</v>
      </c>
      <c r="U5631" s="308" t="s">
        <v>872</v>
      </c>
      <c r="V5631" s="308"/>
    </row>
    <row r="5632">
      <c r="A5632" s="308">
        <v>5631.0</v>
      </c>
      <c r="B5632" s="308"/>
      <c r="C5632" s="308" t="s">
        <v>22584</v>
      </c>
      <c r="D5632" s="308">
        <f>IFERROR(__xludf.DUMMYFUNCTION("SPLIT(C5632,""-"")"),5652.0)</f>
        <v>5652</v>
      </c>
      <c r="E5632" s="308" t="str">
        <f>IFERROR(__xludf.DUMMYFUNCTION("""COMPUTED_VALUE"""),"S")</f>
        <v>S</v>
      </c>
      <c r="F5632" s="312" t="s">
        <v>39</v>
      </c>
      <c r="G5632" s="308"/>
      <c r="H5632" s="308" t="s">
        <v>22585</v>
      </c>
      <c r="I5632" s="310">
        <v>42412.0</v>
      </c>
      <c r="J5632" s="319">
        <f>IFERROR(__xludf.DUMMYFUNCTION("SPLIT(I5632,""/"")"),12.0)</f>
        <v>12</v>
      </c>
      <c r="K5632" s="308">
        <f>IFERROR(__xludf.DUMMYFUNCTION("""COMPUTED_VALUE"""),2.0)</f>
        <v>2</v>
      </c>
      <c r="L5632" s="308">
        <f>IFERROR(__xludf.DUMMYFUNCTION("""COMPUTED_VALUE"""),2016.0)</f>
        <v>2016</v>
      </c>
      <c r="M5632" s="308" t="s">
        <v>22586</v>
      </c>
      <c r="N5632" s="308"/>
      <c r="O5632" s="308"/>
      <c r="P5632" s="308" t="s">
        <v>38551</v>
      </c>
      <c r="Q5632" s="308" t="s">
        <v>38552</v>
      </c>
      <c r="R5632" s="308" t="s">
        <v>2743</v>
      </c>
      <c r="S5632" s="308" t="s">
        <v>81</v>
      </c>
      <c r="T5632" s="308" t="s">
        <v>75</v>
      </c>
      <c r="U5632" s="308" t="s">
        <v>166</v>
      </c>
      <c r="V5632" s="308"/>
    </row>
    <row r="5633">
      <c r="A5633" s="308">
        <v>5632.0</v>
      </c>
      <c r="B5633" s="308"/>
      <c r="C5633" s="308" t="s">
        <v>22588</v>
      </c>
      <c r="D5633" s="308">
        <f>IFERROR(__xludf.DUMMYFUNCTION("SPLIT(C5633,""-"")"),5653.0)</f>
        <v>5653</v>
      </c>
      <c r="E5633" s="308" t="str">
        <f>IFERROR(__xludf.DUMMYFUNCTION("""COMPUTED_VALUE"""),"K")</f>
        <v>K</v>
      </c>
      <c r="F5633" s="309" t="s">
        <v>34</v>
      </c>
      <c r="G5633" s="308"/>
      <c r="H5633" s="308" t="s">
        <v>22589</v>
      </c>
      <c r="I5633" s="310">
        <v>39995.0</v>
      </c>
      <c r="J5633" s="319">
        <f>IFERROR(__xludf.DUMMYFUNCTION("SPLIT(I5633,""/"")"),1.0)</f>
        <v>1</v>
      </c>
      <c r="K5633" s="308">
        <f>IFERROR(__xludf.DUMMYFUNCTION("""COMPUTED_VALUE"""),7.0)</f>
        <v>7</v>
      </c>
      <c r="L5633" s="308">
        <f>IFERROR(__xludf.DUMMYFUNCTION("""COMPUTED_VALUE"""),2009.0)</f>
        <v>2009</v>
      </c>
      <c r="M5633" s="308" t="s">
        <v>22590</v>
      </c>
      <c r="N5633" s="308"/>
      <c r="O5633" s="308"/>
      <c r="P5633" s="308" t="s">
        <v>136</v>
      </c>
      <c r="Q5633" s="308" t="s">
        <v>38553</v>
      </c>
      <c r="R5633" s="308" t="s">
        <v>2743</v>
      </c>
      <c r="S5633" s="315" t="s">
        <v>100</v>
      </c>
      <c r="T5633" s="308" t="s">
        <v>34208</v>
      </c>
      <c r="U5633" s="308" t="s">
        <v>530</v>
      </c>
      <c r="V5633" s="308"/>
    </row>
    <row r="5634">
      <c r="A5634" s="308">
        <v>5633.0</v>
      </c>
      <c r="B5634" s="308"/>
      <c r="C5634" s="308" t="s">
        <v>22591</v>
      </c>
      <c r="D5634" s="308">
        <f>IFERROR(__xludf.DUMMYFUNCTION("SPLIT(C5634,""-"")"),5654.0)</f>
        <v>5654</v>
      </c>
      <c r="E5634" s="308" t="str">
        <f>IFERROR(__xludf.DUMMYFUNCTION("""COMPUTED_VALUE"""),"K")</f>
        <v>K</v>
      </c>
      <c r="F5634" s="309" t="s">
        <v>34</v>
      </c>
      <c r="G5634" s="308"/>
      <c r="H5634" s="308" t="s">
        <v>22592</v>
      </c>
      <c r="I5634" s="316" t="s">
        <v>407</v>
      </c>
      <c r="J5634" s="319"/>
      <c r="K5634" s="308"/>
      <c r="L5634" s="311" t="s">
        <v>79</v>
      </c>
      <c r="M5634" s="308" t="s">
        <v>22593</v>
      </c>
      <c r="N5634" s="308"/>
      <c r="O5634" s="308"/>
      <c r="P5634" s="308" t="s">
        <v>22594</v>
      </c>
      <c r="Q5634" s="308" t="s">
        <v>38553</v>
      </c>
      <c r="R5634" s="308" t="s">
        <v>2743</v>
      </c>
      <c r="S5634" s="308" t="s">
        <v>81</v>
      </c>
      <c r="T5634" s="308" t="s">
        <v>73</v>
      </c>
      <c r="U5634" s="308" t="s">
        <v>3714</v>
      </c>
      <c r="V5634" s="308"/>
    </row>
    <row r="5635">
      <c r="A5635" s="308">
        <v>5634.0</v>
      </c>
      <c r="B5635" s="308"/>
      <c r="C5635" s="308" t="s">
        <v>22595</v>
      </c>
      <c r="D5635" s="308">
        <f>IFERROR(__xludf.DUMMYFUNCTION("SPLIT(C5635,""-"")"),5655.0)</f>
        <v>5655</v>
      </c>
      <c r="E5635" s="308" t="str">
        <f>IFERROR(__xludf.DUMMYFUNCTION("""COMPUTED_VALUE"""),"K")</f>
        <v>K</v>
      </c>
      <c r="F5635" s="309" t="s">
        <v>34</v>
      </c>
      <c r="G5635" s="308"/>
      <c r="H5635" s="308" t="s">
        <v>22596</v>
      </c>
      <c r="I5635" s="314">
        <v>43434.0</v>
      </c>
      <c r="J5635" s="319">
        <f>IFERROR(__xludf.DUMMYFUNCTION("SPLIT(I5635,""/"")"),30.0)</f>
        <v>30</v>
      </c>
      <c r="K5635" s="308">
        <f>IFERROR(__xludf.DUMMYFUNCTION("""COMPUTED_VALUE"""),11.0)</f>
        <v>11</v>
      </c>
      <c r="L5635" s="308">
        <f>IFERROR(__xludf.DUMMYFUNCTION("""COMPUTED_VALUE"""),2018.0)</f>
        <v>2018</v>
      </c>
      <c r="M5635" s="308" t="s">
        <v>22597</v>
      </c>
      <c r="N5635" s="308"/>
      <c r="O5635" s="308"/>
      <c r="P5635" s="308" t="s">
        <v>38554</v>
      </c>
      <c r="Q5635" s="308" t="s">
        <v>38553</v>
      </c>
      <c r="R5635" s="308" t="s">
        <v>2743</v>
      </c>
      <c r="S5635" s="308" t="s">
        <v>81</v>
      </c>
      <c r="T5635" s="308" t="s">
        <v>75</v>
      </c>
      <c r="U5635" s="308" t="s">
        <v>3714</v>
      </c>
      <c r="V5635" s="308"/>
    </row>
    <row r="5636">
      <c r="A5636" s="308">
        <v>5635.0</v>
      </c>
      <c r="B5636" s="308"/>
      <c r="C5636" s="308" t="s">
        <v>22599</v>
      </c>
      <c r="D5636" s="308">
        <f>IFERROR(__xludf.DUMMYFUNCTION("SPLIT(C5636,""-"")"),5656.0)</f>
        <v>5656</v>
      </c>
      <c r="E5636" s="308" t="str">
        <f>IFERROR(__xludf.DUMMYFUNCTION("""COMPUTED_VALUE"""),"K")</f>
        <v>K</v>
      </c>
      <c r="F5636" s="309" t="s">
        <v>34</v>
      </c>
      <c r="G5636" s="308"/>
      <c r="H5636" s="308" t="s">
        <v>22600</v>
      </c>
      <c r="I5636" s="314">
        <v>41992.0</v>
      </c>
      <c r="J5636" s="319">
        <f>IFERROR(__xludf.DUMMYFUNCTION("SPLIT(I5636,""/"")"),19.0)</f>
        <v>19</v>
      </c>
      <c r="K5636" s="308">
        <f>IFERROR(__xludf.DUMMYFUNCTION("""COMPUTED_VALUE"""),12.0)</f>
        <v>12</v>
      </c>
      <c r="L5636" s="308">
        <f>IFERROR(__xludf.DUMMYFUNCTION("""COMPUTED_VALUE"""),2014.0)</f>
        <v>2014</v>
      </c>
      <c r="M5636" s="308" t="s">
        <v>22601</v>
      </c>
      <c r="N5636" s="308"/>
      <c r="O5636" s="308" t="s">
        <v>38555</v>
      </c>
      <c r="P5636" s="308" t="s">
        <v>38556</v>
      </c>
      <c r="Q5636" s="308" t="s">
        <v>38553</v>
      </c>
      <c r="R5636" s="308" t="s">
        <v>2743</v>
      </c>
      <c r="S5636" s="308" t="s">
        <v>81</v>
      </c>
      <c r="T5636" s="308" t="s">
        <v>34264</v>
      </c>
      <c r="U5636" s="308" t="s">
        <v>1509</v>
      </c>
      <c r="V5636" s="308"/>
    </row>
    <row r="5637">
      <c r="A5637" s="308">
        <v>5636.0</v>
      </c>
      <c r="B5637" s="308"/>
      <c r="C5637" s="308" t="s">
        <v>22604</v>
      </c>
      <c r="D5637" s="308">
        <f>IFERROR(__xludf.DUMMYFUNCTION("SPLIT(C5637,""-"")"),5657.0)</f>
        <v>5657</v>
      </c>
      <c r="E5637" s="308" t="str">
        <f>IFERROR(__xludf.DUMMYFUNCTION("""COMPUTED_VALUE"""),"S")</f>
        <v>S</v>
      </c>
      <c r="F5637" s="312" t="s">
        <v>39</v>
      </c>
      <c r="G5637" s="308"/>
      <c r="H5637" s="308" t="s">
        <v>22605</v>
      </c>
      <c r="I5637" s="310">
        <v>42222.0</v>
      </c>
      <c r="J5637" s="319">
        <f>IFERROR(__xludf.DUMMYFUNCTION("SPLIT(I5637,""/"")"),6.0)</f>
        <v>6</v>
      </c>
      <c r="K5637" s="308">
        <f>IFERROR(__xludf.DUMMYFUNCTION("""COMPUTED_VALUE"""),8.0)</f>
        <v>8</v>
      </c>
      <c r="L5637" s="308">
        <f>IFERROR(__xludf.DUMMYFUNCTION("""COMPUTED_VALUE"""),2015.0)</f>
        <v>2015</v>
      </c>
      <c r="M5637" s="308" t="s">
        <v>22606</v>
      </c>
      <c r="N5637" s="308"/>
      <c r="O5637" s="308"/>
      <c r="P5637" s="308" t="s">
        <v>136</v>
      </c>
      <c r="Q5637" s="308" t="s">
        <v>38553</v>
      </c>
      <c r="R5637" s="308" t="s">
        <v>2743</v>
      </c>
      <c r="S5637" s="315" t="s">
        <v>100</v>
      </c>
      <c r="T5637" s="308" t="s">
        <v>34208</v>
      </c>
      <c r="U5637" s="308" t="s">
        <v>166</v>
      </c>
      <c r="V5637" s="308"/>
    </row>
    <row r="5638">
      <c r="A5638" s="308">
        <v>5637.0</v>
      </c>
      <c r="B5638" s="308"/>
      <c r="C5638" s="308" t="s">
        <v>22607</v>
      </c>
      <c r="D5638" s="308">
        <f>IFERROR(__xludf.DUMMYFUNCTION("SPLIT(C5638,""-"")"),5658.0)</f>
        <v>5658</v>
      </c>
      <c r="E5638" s="308" t="str">
        <f>IFERROR(__xludf.DUMMYFUNCTION("""COMPUTED_VALUE"""),"S")</f>
        <v>S</v>
      </c>
      <c r="F5638" s="312" t="s">
        <v>39</v>
      </c>
      <c r="G5638" s="308"/>
      <c r="H5638" s="308" t="s">
        <v>22608</v>
      </c>
      <c r="I5638" s="314">
        <v>43427.0</v>
      </c>
      <c r="J5638" s="319">
        <f>IFERROR(__xludf.DUMMYFUNCTION("SPLIT(I5638,""/"")"),23.0)</f>
        <v>23</v>
      </c>
      <c r="K5638" s="308">
        <f>IFERROR(__xludf.DUMMYFUNCTION("""COMPUTED_VALUE"""),11.0)</f>
        <v>11</v>
      </c>
      <c r="L5638" s="308">
        <f>IFERROR(__xludf.DUMMYFUNCTION("""COMPUTED_VALUE"""),2018.0)</f>
        <v>2018</v>
      </c>
      <c r="M5638" s="308" t="s">
        <v>22609</v>
      </c>
      <c r="N5638" s="308" t="s">
        <v>22610</v>
      </c>
      <c r="O5638" s="308"/>
      <c r="P5638" s="308" t="s">
        <v>38557</v>
      </c>
      <c r="Q5638" s="308" t="s">
        <v>38553</v>
      </c>
      <c r="R5638" s="308" t="s">
        <v>2743</v>
      </c>
      <c r="S5638" s="308" t="s">
        <v>49</v>
      </c>
      <c r="T5638" s="308" t="s">
        <v>51</v>
      </c>
      <c r="U5638" s="308" t="s">
        <v>31</v>
      </c>
      <c r="V5638" s="308"/>
    </row>
    <row r="5639">
      <c r="A5639" s="308">
        <v>5638.0</v>
      </c>
      <c r="B5639" s="308"/>
      <c r="C5639" s="308" t="s">
        <v>22612</v>
      </c>
      <c r="D5639" s="308">
        <f>IFERROR(__xludf.DUMMYFUNCTION("SPLIT(C5639,""-"")"),5659.0)</f>
        <v>5659</v>
      </c>
      <c r="E5639" s="308" t="str">
        <f>IFERROR(__xludf.DUMMYFUNCTION("""COMPUTED_VALUE"""),"P")</f>
        <v>P</v>
      </c>
      <c r="F5639" s="312" t="s">
        <v>37</v>
      </c>
      <c r="G5639" s="308"/>
      <c r="H5639" s="308" t="s">
        <v>22613</v>
      </c>
      <c r="I5639" s="314">
        <v>43432.0</v>
      </c>
      <c r="J5639" s="319">
        <f>IFERROR(__xludf.DUMMYFUNCTION("SPLIT(I5639,""/"")"),28.0)</f>
        <v>28</v>
      </c>
      <c r="K5639" s="308">
        <f>IFERROR(__xludf.DUMMYFUNCTION("""COMPUTED_VALUE"""),11.0)</f>
        <v>11</v>
      </c>
      <c r="L5639" s="308">
        <f>IFERROR(__xludf.DUMMYFUNCTION("""COMPUTED_VALUE"""),2018.0)</f>
        <v>2018</v>
      </c>
      <c r="M5639" s="308" t="s">
        <v>22614</v>
      </c>
      <c r="N5639" s="308"/>
      <c r="O5639" s="308"/>
      <c r="P5639" s="308" t="s">
        <v>38558</v>
      </c>
      <c r="Q5639" s="308" t="s">
        <v>38553</v>
      </c>
      <c r="R5639" s="308" t="s">
        <v>2743</v>
      </c>
      <c r="S5639" s="308" t="s">
        <v>81</v>
      </c>
      <c r="T5639" s="311" t="s">
        <v>51</v>
      </c>
      <c r="U5639" s="308" t="s">
        <v>1435</v>
      </c>
      <c r="V5639" s="308"/>
    </row>
    <row r="5640">
      <c r="A5640" s="308">
        <v>5639.0</v>
      </c>
      <c r="B5640" s="308"/>
      <c r="C5640" s="308" t="s">
        <v>22616</v>
      </c>
      <c r="D5640" s="308">
        <f>IFERROR(__xludf.DUMMYFUNCTION("SPLIT(C5640,""-"")"),5660.0)</f>
        <v>5660</v>
      </c>
      <c r="E5640" s="308" t="str">
        <f>IFERROR(__xludf.DUMMYFUNCTION("""COMPUTED_VALUE"""),"P")</f>
        <v>P</v>
      </c>
      <c r="F5640" s="312" t="s">
        <v>37</v>
      </c>
      <c r="G5640" s="308"/>
      <c r="H5640" s="308" t="s">
        <v>22617</v>
      </c>
      <c r="I5640" s="310">
        <v>42942.0</v>
      </c>
      <c r="J5640" s="319">
        <f>IFERROR(__xludf.DUMMYFUNCTION("SPLIT(I5640,""/"")"),26.0)</f>
        <v>26</v>
      </c>
      <c r="K5640" s="308">
        <f>IFERROR(__xludf.DUMMYFUNCTION("""COMPUTED_VALUE"""),7.0)</f>
        <v>7</v>
      </c>
      <c r="L5640" s="308">
        <f>IFERROR(__xludf.DUMMYFUNCTION("""COMPUTED_VALUE"""),2017.0)</f>
        <v>2017</v>
      </c>
      <c r="M5640" s="308" t="s">
        <v>22618</v>
      </c>
      <c r="N5640" s="308"/>
      <c r="O5640" s="308"/>
      <c r="P5640" s="308" t="s">
        <v>38559</v>
      </c>
      <c r="Q5640" s="308" t="s">
        <v>38553</v>
      </c>
      <c r="R5640" s="308" t="s">
        <v>2743</v>
      </c>
      <c r="S5640" s="308" t="s">
        <v>81</v>
      </c>
      <c r="T5640" s="311" t="s">
        <v>35043</v>
      </c>
      <c r="U5640" s="308" t="s">
        <v>149</v>
      </c>
      <c r="V5640" s="308"/>
    </row>
    <row r="5641">
      <c r="A5641" s="308">
        <v>5640.0</v>
      </c>
      <c r="B5641" s="308"/>
      <c r="C5641" s="308" t="s">
        <v>22620</v>
      </c>
      <c r="D5641" s="308">
        <f>IFERROR(__xludf.DUMMYFUNCTION("SPLIT(C5641,""-"")"),5661.0)</f>
        <v>5661</v>
      </c>
      <c r="E5641" s="308" t="str">
        <f>IFERROR(__xludf.DUMMYFUNCTION("""COMPUTED_VALUE"""),"F")</f>
        <v>F</v>
      </c>
      <c r="F5641" s="309" t="s">
        <v>34</v>
      </c>
      <c r="G5641" s="308"/>
      <c r="H5641" s="308" t="s">
        <v>22621</v>
      </c>
      <c r="I5641" s="310">
        <v>41456.0</v>
      </c>
      <c r="J5641" s="319">
        <f>IFERROR(__xludf.DUMMYFUNCTION("SPLIT(I5641,""/"")"),1.0)</f>
        <v>1</v>
      </c>
      <c r="K5641" s="308">
        <f>IFERROR(__xludf.DUMMYFUNCTION("""COMPUTED_VALUE"""),7.0)</f>
        <v>7</v>
      </c>
      <c r="L5641" s="308">
        <f>IFERROR(__xludf.DUMMYFUNCTION("""COMPUTED_VALUE"""),2013.0)</f>
        <v>2013</v>
      </c>
      <c r="M5641" s="308" t="s">
        <v>22622</v>
      </c>
      <c r="N5641" s="308"/>
      <c r="O5641" s="308"/>
      <c r="P5641" s="308" t="s">
        <v>38560</v>
      </c>
      <c r="Q5641" s="308" t="s">
        <v>38553</v>
      </c>
      <c r="R5641" s="308" t="s">
        <v>2743</v>
      </c>
      <c r="S5641" s="308" t="s">
        <v>81</v>
      </c>
      <c r="T5641" s="308" t="s">
        <v>73</v>
      </c>
      <c r="U5641" s="308" t="s">
        <v>195</v>
      </c>
      <c r="V5641" s="308"/>
    </row>
    <row r="5642">
      <c r="A5642" s="308">
        <v>5641.0</v>
      </c>
      <c r="B5642" s="308"/>
      <c r="C5642" s="308" t="s">
        <v>22624</v>
      </c>
      <c r="D5642" s="308">
        <f>IFERROR(__xludf.DUMMYFUNCTION("SPLIT(C5642,""-"")"),5662.0)</f>
        <v>5662</v>
      </c>
      <c r="E5642" s="308" t="str">
        <f>IFERROR(__xludf.DUMMYFUNCTION("""COMPUTED_VALUE"""),"F")</f>
        <v>F</v>
      </c>
      <c r="F5642" s="309" t="s">
        <v>34</v>
      </c>
      <c r="G5642" s="308"/>
      <c r="H5642" s="308" t="s">
        <v>22625</v>
      </c>
      <c r="I5642" s="310">
        <v>41145.0</v>
      </c>
      <c r="J5642" s="319">
        <f>IFERROR(__xludf.DUMMYFUNCTION("SPLIT(I5642,""/"")"),24.0)</f>
        <v>24</v>
      </c>
      <c r="K5642" s="308">
        <f>IFERROR(__xludf.DUMMYFUNCTION("""COMPUTED_VALUE"""),8.0)</f>
        <v>8</v>
      </c>
      <c r="L5642" s="308">
        <f>IFERROR(__xludf.DUMMYFUNCTION("""COMPUTED_VALUE"""),2012.0)</f>
        <v>2012</v>
      </c>
      <c r="M5642" s="308" t="s">
        <v>22626</v>
      </c>
      <c r="N5642" s="308"/>
      <c r="O5642" s="308"/>
      <c r="P5642" s="308" t="s">
        <v>136</v>
      </c>
      <c r="Q5642" s="308" t="s">
        <v>38561</v>
      </c>
      <c r="R5642" s="308" t="s">
        <v>14256</v>
      </c>
      <c r="S5642" s="315" t="s">
        <v>100</v>
      </c>
      <c r="T5642" s="308" t="s">
        <v>34208</v>
      </c>
      <c r="U5642" s="308" t="s">
        <v>872</v>
      </c>
      <c r="V5642" s="308"/>
    </row>
    <row r="5643">
      <c r="A5643" s="308">
        <v>5642.0</v>
      </c>
      <c r="B5643" s="308"/>
      <c r="C5643" s="308" t="s">
        <v>22627</v>
      </c>
      <c r="D5643" s="308">
        <f>IFERROR(__xludf.DUMMYFUNCTION("SPLIT(C5643,""-"")"),5663.0)</f>
        <v>5663</v>
      </c>
      <c r="E5643" s="308" t="str">
        <f>IFERROR(__xludf.DUMMYFUNCTION("""COMPUTED_VALUE"""),"K")</f>
        <v>K</v>
      </c>
      <c r="F5643" s="309" t="s">
        <v>34</v>
      </c>
      <c r="G5643" s="308"/>
      <c r="H5643" s="308" t="s">
        <v>22628</v>
      </c>
      <c r="I5643" s="310">
        <v>40655.0</v>
      </c>
      <c r="J5643" s="319">
        <f>IFERROR(__xludf.DUMMYFUNCTION("SPLIT(I5643,""/"")"),22.0)</f>
        <v>22</v>
      </c>
      <c r="K5643" s="308">
        <f>IFERROR(__xludf.DUMMYFUNCTION("""COMPUTED_VALUE"""),4.0)</f>
        <v>4</v>
      </c>
      <c r="L5643" s="308">
        <f>IFERROR(__xludf.DUMMYFUNCTION("""COMPUTED_VALUE"""),2011.0)</f>
        <v>2011</v>
      </c>
      <c r="M5643" s="308" t="s">
        <v>22629</v>
      </c>
      <c r="N5643" s="308"/>
      <c r="O5643" s="308"/>
      <c r="P5643" s="308" t="s">
        <v>38562</v>
      </c>
      <c r="Q5643" s="308" t="s">
        <v>38561</v>
      </c>
      <c r="R5643" s="308" t="s">
        <v>14256</v>
      </c>
      <c r="S5643" s="308" t="s">
        <v>81</v>
      </c>
      <c r="T5643" s="311" t="s">
        <v>34264</v>
      </c>
      <c r="U5643" s="308" t="s">
        <v>282</v>
      </c>
      <c r="V5643" s="308"/>
    </row>
    <row r="5644">
      <c r="A5644" s="308">
        <v>5643.0</v>
      </c>
      <c r="B5644" s="308"/>
      <c r="C5644" s="308" t="s">
        <v>22631</v>
      </c>
      <c r="D5644" s="308">
        <f>IFERROR(__xludf.DUMMYFUNCTION("SPLIT(C5644,""-"")"),5664.0)</f>
        <v>5664</v>
      </c>
      <c r="E5644" s="308" t="str">
        <f>IFERROR(__xludf.DUMMYFUNCTION("""COMPUTED_VALUE"""),"K")</f>
        <v>K</v>
      </c>
      <c r="F5644" s="309" t="s">
        <v>34</v>
      </c>
      <c r="G5644" s="308"/>
      <c r="H5644" s="308" t="s">
        <v>22632</v>
      </c>
      <c r="I5644" s="310">
        <v>40655.0</v>
      </c>
      <c r="J5644" s="319">
        <f>IFERROR(__xludf.DUMMYFUNCTION("SPLIT(I5644,""/"")"),22.0)</f>
        <v>22</v>
      </c>
      <c r="K5644" s="308">
        <f>IFERROR(__xludf.DUMMYFUNCTION("""COMPUTED_VALUE"""),4.0)</f>
        <v>4</v>
      </c>
      <c r="L5644" s="308">
        <f>IFERROR(__xludf.DUMMYFUNCTION("""COMPUTED_VALUE"""),2011.0)</f>
        <v>2011</v>
      </c>
      <c r="M5644" s="308" t="s">
        <v>22633</v>
      </c>
      <c r="N5644" s="308"/>
      <c r="O5644" s="308"/>
      <c r="P5644" s="308" t="s">
        <v>38563</v>
      </c>
      <c r="Q5644" s="308" t="s">
        <v>38561</v>
      </c>
      <c r="R5644" s="308" t="s">
        <v>14256</v>
      </c>
      <c r="S5644" s="308" t="s">
        <v>81</v>
      </c>
      <c r="T5644" s="311" t="s">
        <v>34264</v>
      </c>
      <c r="U5644" s="308" t="s">
        <v>282</v>
      </c>
      <c r="V5644" s="308"/>
    </row>
    <row r="5645">
      <c r="A5645" s="308">
        <v>5644.0</v>
      </c>
      <c r="B5645" s="308"/>
      <c r="C5645" s="308" t="s">
        <v>22635</v>
      </c>
      <c r="D5645" s="308">
        <f>IFERROR(__xludf.DUMMYFUNCTION("SPLIT(C5645,""-"")"),5665.0)</f>
        <v>5665</v>
      </c>
      <c r="E5645" s="308" t="str">
        <f>IFERROR(__xludf.DUMMYFUNCTION("""COMPUTED_VALUE"""),"B")</f>
        <v>B</v>
      </c>
      <c r="F5645" s="315" t="s">
        <v>26</v>
      </c>
      <c r="G5645" s="308"/>
      <c r="H5645" s="308" t="s">
        <v>38564</v>
      </c>
      <c r="I5645" s="310">
        <v>42607.0</v>
      </c>
      <c r="J5645" s="319">
        <f>IFERROR(__xludf.DUMMYFUNCTION("SPLIT(I5645,""/"")"),25.0)</f>
        <v>25</v>
      </c>
      <c r="K5645" s="308">
        <f>IFERROR(__xludf.DUMMYFUNCTION("""COMPUTED_VALUE"""),8.0)</f>
        <v>8</v>
      </c>
      <c r="L5645" s="308">
        <f>IFERROR(__xludf.DUMMYFUNCTION("""COMPUTED_VALUE"""),2016.0)</f>
        <v>2016</v>
      </c>
      <c r="M5645" s="308" t="s">
        <v>38565</v>
      </c>
      <c r="N5645" s="308"/>
      <c r="O5645" s="308"/>
      <c r="P5645" s="308" t="s">
        <v>22638</v>
      </c>
      <c r="Q5645" s="308" t="s">
        <v>38561</v>
      </c>
      <c r="R5645" s="308" t="s">
        <v>14256</v>
      </c>
      <c r="S5645" s="308" t="s">
        <v>81</v>
      </c>
      <c r="T5645" s="308" t="s">
        <v>75</v>
      </c>
      <c r="U5645" s="308" t="s">
        <v>27</v>
      </c>
      <c r="V5645" s="308"/>
    </row>
    <row r="5646">
      <c r="A5646" s="308">
        <v>5645.0</v>
      </c>
      <c r="B5646" s="308"/>
      <c r="C5646" s="308" t="s">
        <v>22639</v>
      </c>
      <c r="D5646" s="308">
        <f>IFERROR(__xludf.DUMMYFUNCTION("SPLIT(C5646,""-"")"),5666.0)</f>
        <v>5666</v>
      </c>
      <c r="E5646" s="308" t="str">
        <f>IFERROR(__xludf.DUMMYFUNCTION("""COMPUTED_VALUE"""),"S")</f>
        <v>S</v>
      </c>
      <c r="F5646" s="312" t="s">
        <v>39</v>
      </c>
      <c r="G5646" s="308"/>
      <c r="H5646" s="308" t="s">
        <v>22640</v>
      </c>
      <c r="I5646" s="310">
        <v>43351.0</v>
      </c>
      <c r="J5646" s="319">
        <f>IFERROR(__xludf.DUMMYFUNCTION("SPLIT(I5646,""/"")"),8.0)</f>
        <v>8</v>
      </c>
      <c r="K5646" s="308">
        <f>IFERROR(__xludf.DUMMYFUNCTION("""COMPUTED_VALUE"""),9.0)</f>
        <v>9</v>
      </c>
      <c r="L5646" s="308">
        <f>IFERROR(__xludf.DUMMYFUNCTION("""COMPUTED_VALUE"""),2018.0)</f>
        <v>2018</v>
      </c>
      <c r="M5646" s="308" t="s">
        <v>22641</v>
      </c>
      <c r="N5646" s="308"/>
      <c r="O5646" s="308"/>
      <c r="P5646" s="308" t="s">
        <v>136</v>
      </c>
      <c r="Q5646" s="308" t="s">
        <v>38561</v>
      </c>
      <c r="R5646" s="308" t="s">
        <v>22642</v>
      </c>
      <c r="S5646" s="315" t="s">
        <v>100</v>
      </c>
      <c r="T5646" s="308" t="s">
        <v>34208</v>
      </c>
      <c r="U5646" s="308" t="s">
        <v>40</v>
      </c>
      <c r="V5646" s="308"/>
    </row>
    <row r="5647">
      <c r="A5647" s="308">
        <v>5646.0</v>
      </c>
      <c r="B5647" s="308"/>
      <c r="C5647" s="308" t="s">
        <v>22643</v>
      </c>
      <c r="D5647" s="308">
        <f>IFERROR(__xludf.DUMMYFUNCTION("SPLIT(C5647,""-"")"),5667.0)</f>
        <v>5667</v>
      </c>
      <c r="E5647" s="308" t="str">
        <f>IFERROR(__xludf.DUMMYFUNCTION("""COMPUTED_VALUE"""),"K")</f>
        <v>K</v>
      </c>
      <c r="F5647" s="309" t="s">
        <v>34</v>
      </c>
      <c r="G5647" s="308"/>
      <c r="H5647" s="308" t="s">
        <v>22644</v>
      </c>
      <c r="I5647" s="310">
        <v>41331.0</v>
      </c>
      <c r="J5647" s="319">
        <f>IFERROR(__xludf.DUMMYFUNCTION("SPLIT(I5647,""/"")"),26.0)</f>
        <v>26</v>
      </c>
      <c r="K5647" s="308">
        <f>IFERROR(__xludf.DUMMYFUNCTION("""COMPUTED_VALUE"""),2.0)</f>
        <v>2</v>
      </c>
      <c r="L5647" s="308">
        <f>IFERROR(__xludf.DUMMYFUNCTION("""COMPUTED_VALUE"""),2013.0)</f>
        <v>2013</v>
      </c>
      <c r="M5647" s="308" t="s">
        <v>38566</v>
      </c>
      <c r="N5647" s="308" t="s">
        <v>22646</v>
      </c>
      <c r="O5647" s="308"/>
      <c r="P5647" s="308" t="s">
        <v>136</v>
      </c>
      <c r="Q5647" s="308" t="s">
        <v>38561</v>
      </c>
      <c r="R5647" s="308" t="s">
        <v>14256</v>
      </c>
      <c r="S5647" s="315" t="s">
        <v>100</v>
      </c>
      <c r="T5647" s="308" t="s">
        <v>34208</v>
      </c>
      <c r="U5647" s="308" t="s">
        <v>530</v>
      </c>
      <c r="V5647" s="308"/>
    </row>
    <row r="5648">
      <c r="A5648" s="308">
        <v>5647.0</v>
      </c>
      <c r="B5648" s="308"/>
      <c r="C5648" s="308" t="s">
        <v>22647</v>
      </c>
      <c r="D5648" s="308">
        <f>IFERROR(__xludf.DUMMYFUNCTION("SPLIT(C5648,""-"")"),5668.0)</f>
        <v>5668</v>
      </c>
      <c r="E5648" s="308" t="str">
        <f>IFERROR(__xludf.DUMMYFUNCTION("""COMPUTED_VALUE"""),"S")</f>
        <v>S</v>
      </c>
      <c r="F5648" s="312" t="s">
        <v>39</v>
      </c>
      <c r="G5648" s="308"/>
      <c r="H5648" s="308" t="s">
        <v>22648</v>
      </c>
      <c r="I5648" s="310">
        <v>42551.0</v>
      </c>
      <c r="J5648" s="319">
        <f>IFERROR(__xludf.DUMMYFUNCTION("SPLIT(I5648,""/"")"),30.0)</f>
        <v>30</v>
      </c>
      <c r="K5648" s="308">
        <f>IFERROR(__xludf.DUMMYFUNCTION("""COMPUTED_VALUE"""),6.0)</f>
        <v>6</v>
      </c>
      <c r="L5648" s="308">
        <f>IFERROR(__xludf.DUMMYFUNCTION("""COMPUTED_VALUE"""),2016.0)</f>
        <v>2016</v>
      </c>
      <c r="M5648" s="308" t="s">
        <v>22649</v>
      </c>
      <c r="N5648" s="308"/>
      <c r="O5648" s="308"/>
      <c r="P5648" s="308" t="s">
        <v>22650</v>
      </c>
      <c r="Q5648" s="308" t="s">
        <v>38561</v>
      </c>
      <c r="R5648" s="308" t="s">
        <v>14256</v>
      </c>
      <c r="S5648" s="308" t="s">
        <v>81</v>
      </c>
      <c r="T5648" s="308" t="s">
        <v>98</v>
      </c>
      <c r="U5648" s="308" t="s">
        <v>40</v>
      </c>
      <c r="V5648" s="308"/>
    </row>
    <row r="5649">
      <c r="A5649" s="308">
        <v>5648.0</v>
      </c>
      <c r="B5649" s="308"/>
      <c r="C5649" s="308" t="s">
        <v>22651</v>
      </c>
      <c r="D5649" s="308">
        <f>IFERROR(__xludf.DUMMYFUNCTION("SPLIT(C5649,""-"")"),5669.0)</f>
        <v>5669</v>
      </c>
      <c r="E5649" s="308" t="str">
        <f>IFERROR(__xludf.DUMMYFUNCTION("""COMPUTED_VALUE"""),"S")</f>
        <v>S</v>
      </c>
      <c r="F5649" s="312" t="s">
        <v>39</v>
      </c>
      <c r="G5649" s="308"/>
      <c r="H5649" s="308" t="s">
        <v>22652</v>
      </c>
      <c r="I5649" s="310">
        <v>42212.0</v>
      </c>
      <c r="J5649" s="319">
        <f>IFERROR(__xludf.DUMMYFUNCTION("SPLIT(I5649,""/"")"),27.0)</f>
        <v>27</v>
      </c>
      <c r="K5649" s="308">
        <f>IFERROR(__xludf.DUMMYFUNCTION("""COMPUTED_VALUE"""),7.0)</f>
        <v>7</v>
      </c>
      <c r="L5649" s="308">
        <f>IFERROR(__xludf.DUMMYFUNCTION("""COMPUTED_VALUE"""),2015.0)</f>
        <v>2015</v>
      </c>
      <c r="M5649" s="308" t="s">
        <v>22653</v>
      </c>
      <c r="N5649" s="308"/>
      <c r="O5649" s="308"/>
      <c r="P5649" s="308" t="s">
        <v>38567</v>
      </c>
      <c r="Q5649" s="308" t="s">
        <v>38561</v>
      </c>
      <c r="R5649" s="308" t="s">
        <v>14256</v>
      </c>
      <c r="S5649" s="308" t="s">
        <v>49</v>
      </c>
      <c r="T5649" s="311" t="s">
        <v>70</v>
      </c>
      <c r="U5649" s="308" t="s">
        <v>40</v>
      </c>
      <c r="V5649" s="308"/>
    </row>
    <row r="5650">
      <c r="A5650" s="308">
        <v>5649.0</v>
      </c>
      <c r="B5650" s="308"/>
      <c r="C5650" s="308" t="s">
        <v>22655</v>
      </c>
      <c r="D5650" s="308">
        <f>IFERROR(__xludf.DUMMYFUNCTION("SPLIT(C5650,""-"")"),5670.0)</f>
        <v>5670</v>
      </c>
      <c r="E5650" s="308" t="str">
        <f>IFERROR(__xludf.DUMMYFUNCTION("""COMPUTED_VALUE"""),"P")</f>
        <v>P</v>
      </c>
      <c r="F5650" s="312" t="s">
        <v>37</v>
      </c>
      <c r="G5650" s="308"/>
      <c r="H5650" s="308" t="s">
        <v>22656</v>
      </c>
      <c r="I5650" s="310">
        <v>41339.0</v>
      </c>
      <c r="J5650" s="319">
        <f>IFERROR(__xludf.DUMMYFUNCTION("SPLIT(I5650,""/"")"),6.0)</f>
        <v>6</v>
      </c>
      <c r="K5650" s="308">
        <f>IFERROR(__xludf.DUMMYFUNCTION("""COMPUTED_VALUE"""),3.0)</f>
        <v>3</v>
      </c>
      <c r="L5650" s="308">
        <f>IFERROR(__xludf.DUMMYFUNCTION("""COMPUTED_VALUE"""),2013.0)</f>
        <v>2013</v>
      </c>
      <c r="M5650" s="308" t="s">
        <v>22657</v>
      </c>
      <c r="N5650" s="308"/>
      <c r="O5650" s="308"/>
      <c r="P5650" s="308" t="s">
        <v>22658</v>
      </c>
      <c r="Q5650" s="308" t="s">
        <v>38561</v>
      </c>
      <c r="R5650" s="308" t="s">
        <v>14256</v>
      </c>
      <c r="S5650" s="308" t="s">
        <v>81</v>
      </c>
      <c r="T5650" s="311" t="s">
        <v>96</v>
      </c>
      <c r="U5650" s="308" t="s">
        <v>149</v>
      </c>
      <c r="V5650" s="308"/>
    </row>
    <row r="5651">
      <c r="A5651" s="308">
        <v>5650.0</v>
      </c>
      <c r="B5651" s="308"/>
      <c r="C5651" s="308" t="s">
        <v>22659</v>
      </c>
      <c r="D5651" s="308"/>
      <c r="E5651" s="311"/>
      <c r="F5651" s="309" t="s">
        <v>31</v>
      </c>
      <c r="G5651" s="308"/>
      <c r="H5651" s="308" t="s">
        <v>22656</v>
      </c>
      <c r="I5651" s="310">
        <v>41895.0</v>
      </c>
      <c r="J5651" s="319">
        <f>IFERROR(__xludf.DUMMYFUNCTION("SPLIT(I5651,""/"")"),13.0)</f>
        <v>13</v>
      </c>
      <c r="K5651" s="308">
        <f>IFERROR(__xludf.DUMMYFUNCTION("""COMPUTED_VALUE"""),9.0)</f>
        <v>9</v>
      </c>
      <c r="L5651" s="308">
        <f>IFERROR(__xludf.DUMMYFUNCTION("""COMPUTED_VALUE"""),2014.0)</f>
        <v>2014</v>
      </c>
      <c r="M5651" s="308" t="s">
        <v>22660</v>
      </c>
      <c r="N5651" s="308"/>
      <c r="O5651" s="308"/>
      <c r="P5651" s="308" t="s">
        <v>38568</v>
      </c>
      <c r="Q5651" s="308" t="s">
        <v>38561</v>
      </c>
      <c r="R5651" s="308" t="s">
        <v>14256</v>
      </c>
      <c r="S5651" s="308" t="s">
        <v>81</v>
      </c>
      <c r="T5651" s="311" t="s">
        <v>51</v>
      </c>
      <c r="U5651" s="308" t="s">
        <v>31</v>
      </c>
      <c r="V5651" s="308"/>
    </row>
    <row r="5652">
      <c r="A5652" s="308">
        <v>5651.0</v>
      </c>
      <c r="B5652" s="308"/>
      <c r="C5652" s="308" t="s">
        <v>22662</v>
      </c>
      <c r="D5652" s="308">
        <f>IFERROR(__xludf.DUMMYFUNCTION("SPLIT(C5652,""-"")"),5672.0)</f>
        <v>5672</v>
      </c>
      <c r="E5652" s="308" t="str">
        <f>IFERROR(__xludf.DUMMYFUNCTION("""COMPUTED_VALUE"""),"S")</f>
        <v>S</v>
      </c>
      <c r="F5652" s="312" t="s">
        <v>39</v>
      </c>
      <c r="G5652" s="308"/>
      <c r="H5652" s="308" t="s">
        <v>22663</v>
      </c>
      <c r="I5652" s="310">
        <v>41675.0</v>
      </c>
      <c r="J5652" s="319">
        <f>IFERROR(__xludf.DUMMYFUNCTION("SPLIT(I5652,""/"")"),5.0)</f>
        <v>5</v>
      </c>
      <c r="K5652" s="308">
        <f>IFERROR(__xludf.DUMMYFUNCTION("""COMPUTED_VALUE"""),2.0)</f>
        <v>2</v>
      </c>
      <c r="L5652" s="308">
        <f>IFERROR(__xludf.DUMMYFUNCTION("""COMPUTED_VALUE"""),2014.0)</f>
        <v>2014</v>
      </c>
      <c r="M5652" s="308" t="s">
        <v>22664</v>
      </c>
      <c r="N5652" s="308"/>
      <c r="O5652" s="308"/>
      <c r="P5652" s="308" t="s">
        <v>38569</v>
      </c>
      <c r="Q5652" s="308" t="s">
        <v>38561</v>
      </c>
      <c r="R5652" s="308" t="s">
        <v>14256</v>
      </c>
      <c r="S5652" s="308" t="s">
        <v>49</v>
      </c>
      <c r="T5652" s="311" t="s">
        <v>67</v>
      </c>
      <c r="U5652" s="308" t="s">
        <v>40</v>
      </c>
      <c r="V5652" s="308"/>
    </row>
    <row r="5653">
      <c r="A5653" s="308">
        <v>5652.0</v>
      </c>
      <c r="B5653" s="308"/>
      <c r="C5653" s="308" t="s">
        <v>22665</v>
      </c>
      <c r="D5653" s="308">
        <f>IFERROR(__xludf.DUMMYFUNCTION("SPLIT(C5653,""-"")"),5673.0)</f>
        <v>5673</v>
      </c>
      <c r="E5653" s="308" t="str">
        <f>IFERROR(__xludf.DUMMYFUNCTION("""COMPUTED_VALUE"""),"K")</f>
        <v>K</v>
      </c>
      <c r="F5653" s="309" t="s">
        <v>34</v>
      </c>
      <c r="G5653" s="308"/>
      <c r="H5653" s="308" t="s">
        <v>22666</v>
      </c>
      <c r="I5653" s="314">
        <v>43420.0</v>
      </c>
      <c r="J5653" s="319">
        <f>IFERROR(__xludf.DUMMYFUNCTION("SPLIT(I5653,""/"")"),16.0)</f>
        <v>16</v>
      </c>
      <c r="K5653" s="308">
        <f>IFERROR(__xludf.DUMMYFUNCTION("""COMPUTED_VALUE"""),11.0)</f>
        <v>11</v>
      </c>
      <c r="L5653" s="308">
        <f>IFERROR(__xludf.DUMMYFUNCTION("""COMPUTED_VALUE"""),2018.0)</f>
        <v>2018</v>
      </c>
      <c r="M5653" s="308" t="s">
        <v>22667</v>
      </c>
      <c r="N5653" s="308" t="s">
        <v>22668</v>
      </c>
      <c r="O5653" s="308" t="s">
        <v>22669</v>
      </c>
      <c r="P5653" s="308" t="s">
        <v>136</v>
      </c>
      <c r="Q5653" s="308" t="s">
        <v>38570</v>
      </c>
      <c r="R5653" s="308" t="s">
        <v>2743</v>
      </c>
      <c r="S5653" s="315" t="s">
        <v>100</v>
      </c>
      <c r="T5653" s="308" t="s">
        <v>34208</v>
      </c>
      <c r="U5653" s="308" t="s">
        <v>282</v>
      </c>
      <c r="V5653" s="308"/>
    </row>
    <row r="5654">
      <c r="A5654" s="308">
        <v>5653.0</v>
      </c>
      <c r="B5654" s="308"/>
      <c r="C5654" s="308" t="s">
        <v>22670</v>
      </c>
      <c r="D5654" s="308">
        <f>IFERROR(__xludf.DUMMYFUNCTION("SPLIT(C5654,""-"")"),5674.0)</f>
        <v>5674</v>
      </c>
      <c r="E5654" s="308" t="str">
        <f>IFERROR(__xludf.DUMMYFUNCTION("""COMPUTED_VALUE"""),"K")</f>
        <v>K</v>
      </c>
      <c r="F5654" s="309" t="s">
        <v>34</v>
      </c>
      <c r="G5654" s="308"/>
      <c r="H5654" s="308" t="s">
        <v>22671</v>
      </c>
      <c r="I5654" s="310">
        <v>41399.0</v>
      </c>
      <c r="J5654" s="319">
        <f>IFERROR(__xludf.DUMMYFUNCTION("SPLIT(I5654,""/"")"),5.0)</f>
        <v>5</v>
      </c>
      <c r="K5654" s="308">
        <f>IFERROR(__xludf.DUMMYFUNCTION("""COMPUTED_VALUE"""),5.0)</f>
        <v>5</v>
      </c>
      <c r="L5654" s="308">
        <f>IFERROR(__xludf.DUMMYFUNCTION("""COMPUTED_VALUE"""),2013.0)</f>
        <v>2013</v>
      </c>
      <c r="M5654" s="308" t="s">
        <v>22672</v>
      </c>
      <c r="N5654" s="308"/>
      <c r="O5654" s="308"/>
      <c r="P5654" s="308" t="s">
        <v>38571</v>
      </c>
      <c r="Q5654" s="308" t="s">
        <v>38570</v>
      </c>
      <c r="R5654" s="308" t="s">
        <v>2743</v>
      </c>
      <c r="S5654" s="308" t="s">
        <v>81</v>
      </c>
      <c r="T5654" s="308" t="s">
        <v>75</v>
      </c>
      <c r="U5654" s="308" t="s">
        <v>2989</v>
      </c>
      <c r="V5654" s="308"/>
    </row>
    <row r="5655">
      <c r="A5655" s="308">
        <v>5654.0</v>
      </c>
      <c r="B5655" s="308"/>
      <c r="C5655" s="308" t="s">
        <v>22674</v>
      </c>
      <c r="D5655" s="308">
        <f>IFERROR(__xludf.DUMMYFUNCTION("SPLIT(C5655,""-"")"),5675.0)</f>
        <v>5675</v>
      </c>
      <c r="E5655" s="308" t="str">
        <f>IFERROR(__xludf.DUMMYFUNCTION("""COMPUTED_VALUE"""),"K")</f>
        <v>K</v>
      </c>
      <c r="F5655" s="309" t="s">
        <v>34</v>
      </c>
      <c r="G5655" s="308"/>
      <c r="H5655" s="308" t="s">
        <v>22675</v>
      </c>
      <c r="I5655" s="310">
        <v>42140.0</v>
      </c>
      <c r="J5655" s="319">
        <f>IFERROR(__xludf.DUMMYFUNCTION("SPLIT(I5655,""/"")"),16.0)</f>
        <v>16</v>
      </c>
      <c r="K5655" s="308">
        <f>IFERROR(__xludf.DUMMYFUNCTION("""COMPUTED_VALUE"""),5.0)</f>
        <v>5</v>
      </c>
      <c r="L5655" s="308">
        <f>IFERROR(__xludf.DUMMYFUNCTION("""COMPUTED_VALUE"""),2015.0)</f>
        <v>2015</v>
      </c>
      <c r="M5655" s="308" t="s">
        <v>22676</v>
      </c>
      <c r="N5655" s="308"/>
      <c r="O5655" s="308" t="s">
        <v>22677</v>
      </c>
      <c r="P5655" s="308" t="s">
        <v>136</v>
      </c>
      <c r="Q5655" s="308" t="s">
        <v>38570</v>
      </c>
      <c r="R5655" s="308" t="s">
        <v>2743</v>
      </c>
      <c r="S5655" s="315" t="s">
        <v>100</v>
      </c>
      <c r="T5655" s="308" t="s">
        <v>34208</v>
      </c>
      <c r="U5655" s="308" t="s">
        <v>201</v>
      </c>
      <c r="V5655" s="308"/>
    </row>
    <row r="5656">
      <c r="A5656" s="308">
        <v>5655.0</v>
      </c>
      <c r="B5656" s="308"/>
      <c r="C5656" s="308" t="s">
        <v>22678</v>
      </c>
      <c r="D5656" s="308">
        <f>IFERROR(__xludf.DUMMYFUNCTION("SPLIT(C5656,""-"")"),5676.0)</f>
        <v>5676</v>
      </c>
      <c r="E5656" s="308" t="str">
        <f>IFERROR(__xludf.DUMMYFUNCTION("""COMPUTED_VALUE"""),"K")</f>
        <v>K</v>
      </c>
      <c r="F5656" s="309" t="s">
        <v>34</v>
      </c>
      <c r="G5656" s="308"/>
      <c r="H5656" s="308" t="s">
        <v>22679</v>
      </c>
      <c r="I5656" s="310">
        <v>39845.0</v>
      </c>
      <c r="J5656" s="319">
        <f>IFERROR(__xludf.DUMMYFUNCTION("SPLIT(I5656,""/"")"),1.0)</f>
        <v>1</v>
      </c>
      <c r="K5656" s="308">
        <f>IFERROR(__xludf.DUMMYFUNCTION("""COMPUTED_VALUE"""),2.0)</f>
        <v>2</v>
      </c>
      <c r="L5656" s="308">
        <f>IFERROR(__xludf.DUMMYFUNCTION("""COMPUTED_VALUE"""),2009.0)</f>
        <v>2009</v>
      </c>
      <c r="M5656" s="308" t="s">
        <v>22680</v>
      </c>
      <c r="N5656" s="308" t="s">
        <v>22681</v>
      </c>
      <c r="O5656" s="308"/>
      <c r="P5656" s="308" t="s">
        <v>136</v>
      </c>
      <c r="Q5656" s="308" t="s">
        <v>38570</v>
      </c>
      <c r="R5656" s="308" t="s">
        <v>2743</v>
      </c>
      <c r="S5656" s="315" t="s">
        <v>100</v>
      </c>
      <c r="T5656" s="308" t="s">
        <v>34208</v>
      </c>
      <c r="U5656" s="308" t="s">
        <v>530</v>
      </c>
      <c r="V5656" s="308"/>
    </row>
    <row r="5657">
      <c r="A5657" s="308">
        <v>5656.0</v>
      </c>
      <c r="B5657" s="308"/>
      <c r="C5657" s="308" t="s">
        <v>22682</v>
      </c>
      <c r="D5657" s="308">
        <f>IFERROR(__xludf.DUMMYFUNCTION("SPLIT(C5657,""-"")"),5677.0)</f>
        <v>5677</v>
      </c>
      <c r="E5657" s="308" t="str">
        <f>IFERROR(__xludf.DUMMYFUNCTION("""COMPUTED_VALUE"""),"K")</f>
        <v>K</v>
      </c>
      <c r="F5657" s="309" t="s">
        <v>34</v>
      </c>
      <c r="G5657" s="308"/>
      <c r="H5657" s="308" t="s">
        <v>22683</v>
      </c>
      <c r="I5657" s="310">
        <v>42895.0</v>
      </c>
      <c r="J5657" s="319" t="str">
        <f>IFERROR(__xludf.DUMMYFUNCTION("SPLIT(I5657,""/"")"),"#REF!")</f>
        <v>#REF!</v>
      </c>
      <c r="K5657" s="308"/>
      <c r="L5657" s="308">
        <v>2017.0</v>
      </c>
      <c r="M5657" s="308" t="s">
        <v>22684</v>
      </c>
      <c r="N5657" s="308" t="s">
        <v>22685</v>
      </c>
      <c r="O5657" s="308" t="s">
        <v>439</v>
      </c>
      <c r="P5657" s="308" t="s">
        <v>136</v>
      </c>
      <c r="Q5657" s="308" t="s">
        <v>38570</v>
      </c>
      <c r="R5657" s="308" t="s">
        <v>2743</v>
      </c>
      <c r="S5657" s="315" t="s">
        <v>100</v>
      </c>
      <c r="T5657" s="308" t="s">
        <v>34208</v>
      </c>
      <c r="U5657" s="308" t="s">
        <v>2989</v>
      </c>
      <c r="V5657" s="308"/>
    </row>
    <row r="5658">
      <c r="A5658" s="308">
        <v>5657.0</v>
      </c>
      <c r="B5658" s="308"/>
      <c r="C5658" s="308" t="s">
        <v>22686</v>
      </c>
      <c r="D5658" s="308">
        <f>IFERROR(__xludf.DUMMYFUNCTION("SPLIT(C5658,""-"")"),5678.0)</f>
        <v>5678</v>
      </c>
      <c r="E5658" s="308" t="str">
        <f>IFERROR(__xludf.DUMMYFUNCTION("""COMPUTED_VALUE"""),"K")</f>
        <v>K</v>
      </c>
      <c r="F5658" s="309" t="s">
        <v>34</v>
      </c>
      <c r="G5658" s="308"/>
      <c r="H5658" s="308" t="s">
        <v>22687</v>
      </c>
      <c r="I5658" s="314">
        <v>42352.0</v>
      </c>
      <c r="J5658" s="319">
        <f>IFERROR(__xludf.DUMMYFUNCTION("SPLIT(I5658,""/"")"),14.0)</f>
        <v>14</v>
      </c>
      <c r="K5658" s="308">
        <f>IFERROR(__xludf.DUMMYFUNCTION("""COMPUTED_VALUE"""),12.0)</f>
        <v>12</v>
      </c>
      <c r="L5658" s="308">
        <f>IFERROR(__xludf.DUMMYFUNCTION("""COMPUTED_VALUE"""),2015.0)</f>
        <v>2015</v>
      </c>
      <c r="M5658" s="308" t="s">
        <v>22688</v>
      </c>
      <c r="N5658" s="308" t="s">
        <v>22689</v>
      </c>
      <c r="O5658" s="308" t="s">
        <v>22690</v>
      </c>
      <c r="P5658" s="308" t="s">
        <v>22691</v>
      </c>
      <c r="Q5658" s="308" t="s">
        <v>38570</v>
      </c>
      <c r="R5658" s="308" t="s">
        <v>2743</v>
      </c>
      <c r="S5658" s="308" t="s">
        <v>49</v>
      </c>
      <c r="T5658" s="311" t="s">
        <v>51</v>
      </c>
      <c r="U5658" s="308" t="s">
        <v>2152</v>
      </c>
      <c r="V5658" s="308"/>
    </row>
    <row r="5659">
      <c r="A5659" s="308">
        <v>5658.0</v>
      </c>
      <c r="B5659" s="308"/>
      <c r="C5659" s="308" t="s">
        <v>22692</v>
      </c>
      <c r="D5659" s="308">
        <f>IFERROR(__xludf.DUMMYFUNCTION("SPLIT(C5659,""-"")"),5679.0)</f>
        <v>5679</v>
      </c>
      <c r="E5659" s="308" t="str">
        <f>IFERROR(__xludf.DUMMYFUNCTION("""COMPUTED_VALUE"""),"K")</f>
        <v>K</v>
      </c>
      <c r="F5659" s="309" t="s">
        <v>34</v>
      </c>
      <c r="G5659" s="308"/>
      <c r="H5659" s="308" t="s">
        <v>22693</v>
      </c>
      <c r="I5659" s="310">
        <v>39959.0</v>
      </c>
      <c r="J5659" s="319">
        <f>IFERROR(__xludf.DUMMYFUNCTION("SPLIT(I5659,""/"")"),26.0)</f>
        <v>26</v>
      </c>
      <c r="K5659" s="308">
        <f>IFERROR(__xludf.DUMMYFUNCTION("""COMPUTED_VALUE"""),5.0)</f>
        <v>5</v>
      </c>
      <c r="L5659" s="308">
        <f>IFERROR(__xludf.DUMMYFUNCTION("""COMPUTED_VALUE"""),2009.0)</f>
        <v>2009</v>
      </c>
      <c r="M5659" s="308" t="s">
        <v>22694</v>
      </c>
      <c r="N5659" s="308"/>
      <c r="O5659" s="308"/>
      <c r="P5659" s="308" t="s">
        <v>136</v>
      </c>
      <c r="Q5659" s="308" t="s">
        <v>38570</v>
      </c>
      <c r="R5659" s="308" t="s">
        <v>2743</v>
      </c>
      <c r="S5659" s="315" t="s">
        <v>100</v>
      </c>
      <c r="T5659" s="308" t="s">
        <v>34208</v>
      </c>
      <c r="U5659" s="308" t="s">
        <v>4487</v>
      </c>
      <c r="V5659" s="308"/>
    </row>
    <row r="5660">
      <c r="A5660" s="308">
        <v>5659.0</v>
      </c>
      <c r="B5660" s="308"/>
      <c r="C5660" s="308" t="s">
        <v>22695</v>
      </c>
      <c r="D5660" s="308">
        <f>IFERROR(__xludf.DUMMYFUNCTION("SPLIT(C5660,""-"")"),5680.0)</f>
        <v>5680</v>
      </c>
      <c r="E5660" s="308" t="str">
        <f>IFERROR(__xludf.DUMMYFUNCTION("""COMPUTED_VALUE"""),"K")</f>
        <v>K</v>
      </c>
      <c r="F5660" s="309" t="s">
        <v>34</v>
      </c>
      <c r="G5660" s="308"/>
      <c r="H5660" s="308" t="s">
        <v>22696</v>
      </c>
      <c r="I5660" s="310">
        <v>38353.0</v>
      </c>
      <c r="J5660" s="319">
        <f>IFERROR(__xludf.DUMMYFUNCTION("SPLIT(I5660,""/"")"),1.0)</f>
        <v>1</v>
      </c>
      <c r="K5660" s="308">
        <f>IFERROR(__xludf.DUMMYFUNCTION("""COMPUTED_VALUE"""),1.0)</f>
        <v>1</v>
      </c>
      <c r="L5660" s="308">
        <f>IFERROR(__xludf.DUMMYFUNCTION("""COMPUTED_VALUE"""),2005.0)</f>
        <v>2005</v>
      </c>
      <c r="M5660" s="308" t="s">
        <v>22697</v>
      </c>
      <c r="N5660" s="308"/>
      <c r="O5660" s="308" t="s">
        <v>22698</v>
      </c>
      <c r="P5660" s="308" t="s">
        <v>136</v>
      </c>
      <c r="Q5660" s="308" t="s">
        <v>38570</v>
      </c>
      <c r="R5660" s="308" t="s">
        <v>2743</v>
      </c>
      <c r="S5660" s="315" t="s">
        <v>100</v>
      </c>
      <c r="T5660" s="308" t="s">
        <v>34208</v>
      </c>
      <c r="U5660" s="308" t="s">
        <v>4487</v>
      </c>
      <c r="V5660" s="308"/>
    </row>
    <row r="5661">
      <c r="A5661" s="308">
        <v>5660.0</v>
      </c>
      <c r="B5661" s="308"/>
      <c r="C5661" s="308" t="s">
        <v>22699</v>
      </c>
      <c r="D5661" s="308">
        <f>IFERROR(__xludf.DUMMYFUNCTION("SPLIT(C5661,""-"")"),5681.0)</f>
        <v>5681</v>
      </c>
      <c r="E5661" s="308" t="str">
        <f>IFERROR(__xludf.DUMMYFUNCTION("""COMPUTED_VALUE"""),"K")</f>
        <v>K</v>
      </c>
      <c r="F5661" s="309" t="s">
        <v>34</v>
      </c>
      <c r="G5661" s="308"/>
      <c r="H5661" s="308" t="s">
        <v>22700</v>
      </c>
      <c r="I5661" s="310">
        <v>43350.0</v>
      </c>
      <c r="J5661" s="319">
        <f>IFERROR(__xludf.DUMMYFUNCTION("SPLIT(I5661,""/"")"),7.0)</f>
        <v>7</v>
      </c>
      <c r="K5661" s="308">
        <f>IFERROR(__xludf.DUMMYFUNCTION("""COMPUTED_VALUE"""),9.0)</f>
        <v>9</v>
      </c>
      <c r="L5661" s="308">
        <f>IFERROR(__xludf.DUMMYFUNCTION("""COMPUTED_VALUE"""),2018.0)</f>
        <v>2018</v>
      </c>
      <c r="M5661" s="308" t="s">
        <v>22701</v>
      </c>
      <c r="N5661" s="308"/>
      <c r="O5661" s="308"/>
      <c r="P5661" s="308" t="s">
        <v>38572</v>
      </c>
      <c r="Q5661" s="308" t="s">
        <v>38570</v>
      </c>
      <c r="R5661" s="308" t="s">
        <v>2743</v>
      </c>
      <c r="S5661" s="308" t="s">
        <v>81</v>
      </c>
      <c r="T5661" s="308" t="s">
        <v>34264</v>
      </c>
      <c r="U5661" s="308" t="s">
        <v>201</v>
      </c>
      <c r="V5661" s="308"/>
    </row>
    <row r="5662">
      <c r="A5662" s="308">
        <v>5661.0</v>
      </c>
      <c r="B5662" s="308"/>
      <c r="C5662" s="308" t="s">
        <v>22703</v>
      </c>
      <c r="D5662" s="308">
        <f>IFERROR(__xludf.DUMMYFUNCTION("SPLIT(C5662,""-"")"),5682.0)</f>
        <v>5682</v>
      </c>
      <c r="E5662" s="308" t="str">
        <f>IFERROR(__xludf.DUMMYFUNCTION("""COMPUTED_VALUE"""),"S")</f>
        <v>S</v>
      </c>
      <c r="F5662" s="312" t="s">
        <v>39</v>
      </c>
      <c r="G5662" s="308"/>
      <c r="H5662" s="308" t="s">
        <v>22704</v>
      </c>
      <c r="I5662" s="310">
        <v>43441.0</v>
      </c>
      <c r="J5662" s="319">
        <f>IFERROR(__xludf.DUMMYFUNCTION("SPLIT(I5662,""/"")"),7.0)</f>
        <v>7</v>
      </c>
      <c r="K5662" s="308">
        <f>IFERROR(__xludf.DUMMYFUNCTION("""COMPUTED_VALUE"""),12.0)</f>
        <v>12</v>
      </c>
      <c r="L5662" s="308">
        <f>IFERROR(__xludf.DUMMYFUNCTION("""COMPUTED_VALUE"""),2018.0)</f>
        <v>2018</v>
      </c>
      <c r="M5662" s="308" t="s">
        <v>22705</v>
      </c>
      <c r="N5662" s="308"/>
      <c r="O5662" s="308"/>
      <c r="P5662" s="308" t="s">
        <v>16884</v>
      </c>
      <c r="Q5662" s="308" t="s">
        <v>38570</v>
      </c>
      <c r="R5662" s="308" t="s">
        <v>2743</v>
      </c>
      <c r="S5662" s="308" t="s">
        <v>49</v>
      </c>
      <c r="T5662" s="311" t="s">
        <v>67</v>
      </c>
      <c r="U5662" s="308" t="s">
        <v>166</v>
      </c>
      <c r="V5662" s="308"/>
    </row>
    <row r="5663">
      <c r="A5663" s="308">
        <v>5662.0</v>
      </c>
      <c r="B5663" s="308"/>
      <c r="C5663" s="308" t="s">
        <v>22706</v>
      </c>
      <c r="D5663" s="308">
        <f>IFERROR(__xludf.DUMMYFUNCTION("SPLIT(C5663,""-"")"),5683.0)</f>
        <v>5683</v>
      </c>
      <c r="E5663" s="308" t="str">
        <f>IFERROR(__xludf.DUMMYFUNCTION("""COMPUTED_VALUE"""),"S")</f>
        <v>S</v>
      </c>
      <c r="F5663" s="312" t="s">
        <v>39</v>
      </c>
      <c r="G5663" s="308"/>
      <c r="H5663" s="308" t="s">
        <v>22707</v>
      </c>
      <c r="I5663" s="310">
        <v>42758.0</v>
      </c>
      <c r="J5663" s="319">
        <f>IFERROR(__xludf.DUMMYFUNCTION("SPLIT(I5663,""/"")"),23.0)</f>
        <v>23</v>
      </c>
      <c r="K5663" s="308">
        <f>IFERROR(__xludf.DUMMYFUNCTION("""COMPUTED_VALUE"""),1.0)</f>
        <v>1</v>
      </c>
      <c r="L5663" s="308">
        <f>IFERROR(__xludf.DUMMYFUNCTION("""COMPUTED_VALUE"""),2017.0)</f>
        <v>2017</v>
      </c>
      <c r="M5663" s="308" t="s">
        <v>22708</v>
      </c>
      <c r="N5663" s="308"/>
      <c r="O5663" s="308"/>
      <c r="P5663" s="308" t="s">
        <v>136</v>
      </c>
      <c r="Q5663" s="308" t="s">
        <v>38570</v>
      </c>
      <c r="R5663" s="308" t="s">
        <v>2743</v>
      </c>
      <c r="S5663" s="315" t="s">
        <v>100</v>
      </c>
      <c r="T5663" s="308" t="s">
        <v>34208</v>
      </c>
      <c r="U5663" s="308" t="s">
        <v>166</v>
      </c>
      <c r="V5663" s="308"/>
    </row>
    <row r="5664">
      <c r="A5664" s="308">
        <v>5663.0</v>
      </c>
      <c r="B5664" s="308"/>
      <c r="C5664" s="308" t="s">
        <v>22709</v>
      </c>
      <c r="D5664" s="308">
        <f>IFERROR(__xludf.DUMMYFUNCTION("SPLIT(C5664,""-"")"),5684.0)</f>
        <v>5684</v>
      </c>
      <c r="E5664" s="308" t="str">
        <f>IFERROR(__xludf.DUMMYFUNCTION("""COMPUTED_VALUE"""),"S")</f>
        <v>S</v>
      </c>
      <c r="F5664" s="312" t="s">
        <v>39</v>
      </c>
      <c r="G5664" s="308"/>
      <c r="H5664" s="308" t="s">
        <v>22710</v>
      </c>
      <c r="I5664" s="314">
        <v>41970.0</v>
      </c>
      <c r="J5664" s="319">
        <f>IFERROR(__xludf.DUMMYFUNCTION("SPLIT(I5664,""/"")"),27.0)</f>
        <v>27</v>
      </c>
      <c r="K5664" s="308">
        <f>IFERROR(__xludf.DUMMYFUNCTION("""COMPUTED_VALUE"""),11.0)</f>
        <v>11</v>
      </c>
      <c r="L5664" s="308">
        <f>IFERROR(__xludf.DUMMYFUNCTION("""COMPUTED_VALUE"""),2014.0)</f>
        <v>2014</v>
      </c>
      <c r="M5664" s="308" t="s">
        <v>22711</v>
      </c>
      <c r="N5664" s="308"/>
      <c r="O5664" s="308"/>
      <c r="P5664" s="308" t="s">
        <v>136</v>
      </c>
      <c r="Q5664" s="308" t="s">
        <v>38573</v>
      </c>
      <c r="R5664" s="308" t="s">
        <v>2743</v>
      </c>
      <c r="S5664" s="315" t="s">
        <v>100</v>
      </c>
      <c r="T5664" s="308" t="s">
        <v>34208</v>
      </c>
      <c r="U5664" s="308" t="s">
        <v>166</v>
      </c>
      <c r="V5664" s="308"/>
    </row>
    <row r="5665">
      <c r="A5665" s="308">
        <v>5664.0</v>
      </c>
      <c r="B5665" s="308"/>
      <c r="C5665" s="308" t="s">
        <v>22712</v>
      </c>
      <c r="D5665" s="308">
        <f>IFERROR(__xludf.DUMMYFUNCTION("SPLIT(C5665,""-"")"),5685.0)</f>
        <v>5685</v>
      </c>
      <c r="E5665" s="308" t="str">
        <f>IFERROR(__xludf.DUMMYFUNCTION("""COMPUTED_VALUE"""),"S")</f>
        <v>S</v>
      </c>
      <c r="F5665" s="312" t="s">
        <v>39</v>
      </c>
      <c r="G5665" s="308"/>
      <c r="H5665" s="308" t="s">
        <v>22713</v>
      </c>
      <c r="I5665" s="314">
        <v>41243.0</v>
      </c>
      <c r="J5665" s="319">
        <f>IFERROR(__xludf.DUMMYFUNCTION("SPLIT(I5665,""/"")"),30.0)</f>
        <v>30</v>
      </c>
      <c r="K5665" s="308">
        <f>IFERROR(__xludf.DUMMYFUNCTION("""COMPUTED_VALUE"""),11.0)</f>
        <v>11</v>
      </c>
      <c r="L5665" s="308">
        <f>IFERROR(__xludf.DUMMYFUNCTION("""COMPUTED_VALUE"""),2012.0)</f>
        <v>2012</v>
      </c>
      <c r="M5665" s="308" t="s">
        <v>22714</v>
      </c>
      <c r="N5665" s="308"/>
      <c r="O5665" s="308"/>
      <c r="P5665" s="308" t="s">
        <v>136</v>
      </c>
      <c r="Q5665" s="308" t="s">
        <v>22715</v>
      </c>
      <c r="R5665" s="308" t="s">
        <v>2743</v>
      </c>
      <c r="S5665" s="315" t="s">
        <v>100</v>
      </c>
      <c r="T5665" s="308" t="s">
        <v>34208</v>
      </c>
      <c r="U5665" s="308" t="s">
        <v>166</v>
      </c>
      <c r="V5665" s="308"/>
    </row>
    <row r="5666">
      <c r="A5666" s="308">
        <v>5665.0</v>
      </c>
      <c r="B5666" s="308"/>
      <c r="C5666" s="308" t="s">
        <v>22716</v>
      </c>
      <c r="D5666" s="308">
        <f>IFERROR(__xludf.DUMMYFUNCTION("SPLIT(C5666,""-"")"),5686.0)</f>
        <v>5686</v>
      </c>
      <c r="E5666" s="308" t="str">
        <f>IFERROR(__xludf.DUMMYFUNCTION("""COMPUTED_VALUE"""),"K")</f>
        <v>K</v>
      </c>
      <c r="F5666" s="309" t="s">
        <v>34</v>
      </c>
      <c r="G5666" s="308"/>
      <c r="H5666" s="308" t="s">
        <v>22717</v>
      </c>
      <c r="I5666" s="310">
        <v>39995.0</v>
      </c>
      <c r="J5666" s="319">
        <f>IFERROR(__xludf.DUMMYFUNCTION("SPLIT(I5666,""/"")"),1.0)</f>
        <v>1</v>
      </c>
      <c r="K5666" s="308">
        <f>IFERROR(__xludf.DUMMYFUNCTION("""COMPUTED_VALUE"""),7.0)</f>
        <v>7</v>
      </c>
      <c r="L5666" s="308">
        <f>IFERROR(__xludf.DUMMYFUNCTION("""COMPUTED_VALUE"""),2009.0)</f>
        <v>2009</v>
      </c>
      <c r="M5666" s="308" t="s">
        <v>22718</v>
      </c>
      <c r="N5666" s="308" t="s">
        <v>22719</v>
      </c>
      <c r="O5666" s="308" t="s">
        <v>22720</v>
      </c>
      <c r="P5666" s="308" t="s">
        <v>136</v>
      </c>
      <c r="Q5666" s="308" t="s">
        <v>38570</v>
      </c>
      <c r="R5666" s="308" t="s">
        <v>2743</v>
      </c>
      <c r="S5666" s="315" t="s">
        <v>100</v>
      </c>
      <c r="T5666" s="308" t="s">
        <v>34208</v>
      </c>
      <c r="U5666" s="308" t="s">
        <v>530</v>
      </c>
      <c r="V5666" s="308"/>
    </row>
    <row r="5667">
      <c r="A5667" s="308">
        <v>5666.0</v>
      </c>
      <c r="B5667" s="308"/>
      <c r="C5667" s="308" t="s">
        <v>22721</v>
      </c>
      <c r="D5667" s="308" t="str">
        <f>IFERROR(__xludf.DUMMYFUNCTION("SPLIT(C5667,""-"")"),"#REF!")</f>
        <v>#REF!</v>
      </c>
      <c r="E5667" s="311"/>
      <c r="F5667" s="309" t="s">
        <v>34</v>
      </c>
      <c r="G5667" s="308"/>
      <c r="H5667" s="308" t="s">
        <v>22722</v>
      </c>
      <c r="I5667" s="310">
        <v>39995.0</v>
      </c>
      <c r="J5667" s="319">
        <f>IFERROR(__xludf.DUMMYFUNCTION("SPLIT(I5667,""/"")"),1.0)</f>
        <v>1</v>
      </c>
      <c r="K5667" s="308">
        <f>IFERROR(__xludf.DUMMYFUNCTION("""COMPUTED_VALUE"""),7.0)</f>
        <v>7</v>
      </c>
      <c r="L5667" s="308">
        <f>IFERROR(__xludf.DUMMYFUNCTION("""COMPUTED_VALUE"""),2009.0)</f>
        <v>2009</v>
      </c>
      <c r="M5667" s="308" t="s">
        <v>22723</v>
      </c>
      <c r="N5667" s="308"/>
      <c r="O5667" s="308" t="s">
        <v>22724</v>
      </c>
      <c r="P5667" s="308" t="s">
        <v>136</v>
      </c>
      <c r="Q5667" s="308" t="s">
        <v>38570</v>
      </c>
      <c r="R5667" s="308" t="s">
        <v>2743</v>
      </c>
      <c r="S5667" s="315" t="s">
        <v>100</v>
      </c>
      <c r="T5667" s="308" t="s">
        <v>34208</v>
      </c>
      <c r="U5667" s="308" t="s">
        <v>2152</v>
      </c>
      <c r="V5667" s="308"/>
    </row>
    <row r="5668">
      <c r="A5668" s="308">
        <v>5667.0</v>
      </c>
      <c r="B5668" s="308"/>
      <c r="C5668" s="308" t="s">
        <v>22725</v>
      </c>
      <c r="D5668" s="308">
        <f>IFERROR(__xludf.DUMMYFUNCTION("SPLIT(C5668,""-"")"),5688.0)</f>
        <v>5688</v>
      </c>
      <c r="E5668" s="308" t="str">
        <f>IFERROR(__xludf.DUMMYFUNCTION("""COMPUTED_VALUE"""),"F")</f>
        <v>F</v>
      </c>
      <c r="F5668" s="309" t="s">
        <v>34</v>
      </c>
      <c r="G5668" s="308"/>
      <c r="H5668" s="308" t="s">
        <v>22726</v>
      </c>
      <c r="I5668" s="310">
        <v>40151.0</v>
      </c>
      <c r="J5668" s="319">
        <f>IFERROR(__xludf.DUMMYFUNCTION("SPLIT(I5668,""/"")"),4.0)</f>
        <v>4</v>
      </c>
      <c r="K5668" s="308">
        <f>IFERROR(__xludf.DUMMYFUNCTION("""COMPUTED_VALUE"""),12.0)</f>
        <v>12</v>
      </c>
      <c r="L5668" s="308">
        <f>IFERROR(__xludf.DUMMYFUNCTION("""COMPUTED_VALUE"""),2009.0)</f>
        <v>2009</v>
      </c>
      <c r="M5668" s="308" t="s">
        <v>22727</v>
      </c>
      <c r="N5668" s="308" t="s">
        <v>439</v>
      </c>
      <c r="O5668" s="308" t="s">
        <v>22728</v>
      </c>
      <c r="P5668" s="308" t="s">
        <v>136</v>
      </c>
      <c r="Q5668" s="308" t="s">
        <v>38570</v>
      </c>
      <c r="R5668" s="308" t="s">
        <v>2743</v>
      </c>
      <c r="S5668" s="315" t="s">
        <v>100</v>
      </c>
      <c r="T5668" s="308" t="s">
        <v>34208</v>
      </c>
      <c r="U5668" s="308" t="s">
        <v>22473</v>
      </c>
      <c r="V5668" s="308"/>
    </row>
    <row r="5669">
      <c r="A5669" s="308">
        <v>5668.0</v>
      </c>
      <c r="B5669" s="308"/>
      <c r="C5669" s="308" t="s">
        <v>22729</v>
      </c>
      <c r="D5669" s="308">
        <f>IFERROR(__xludf.DUMMYFUNCTION("SPLIT(C5669,""-"")"),5689.0)</f>
        <v>5689</v>
      </c>
      <c r="E5669" s="308" t="str">
        <f>IFERROR(__xludf.DUMMYFUNCTION("""COMPUTED_VALUE"""),"P")</f>
        <v>P</v>
      </c>
      <c r="F5669" s="312" t="s">
        <v>37</v>
      </c>
      <c r="G5669" s="308"/>
      <c r="H5669" s="308" t="s">
        <v>22730</v>
      </c>
      <c r="I5669" s="310">
        <v>43141.0</v>
      </c>
      <c r="J5669" s="319">
        <f>IFERROR(__xludf.DUMMYFUNCTION("SPLIT(I5669,""/"")"),10.0)</f>
        <v>10</v>
      </c>
      <c r="K5669" s="308">
        <f>IFERROR(__xludf.DUMMYFUNCTION("""COMPUTED_VALUE"""),2.0)</f>
        <v>2</v>
      </c>
      <c r="L5669" s="308">
        <f>IFERROR(__xludf.DUMMYFUNCTION("""COMPUTED_VALUE"""),2018.0)</f>
        <v>2018</v>
      </c>
      <c r="M5669" s="308" t="s">
        <v>22731</v>
      </c>
      <c r="N5669" s="308"/>
      <c r="O5669" s="308"/>
      <c r="P5669" s="308" t="s">
        <v>22732</v>
      </c>
      <c r="Q5669" s="308" t="s">
        <v>38570</v>
      </c>
      <c r="R5669" s="308" t="s">
        <v>2743</v>
      </c>
      <c r="S5669" s="308" t="s">
        <v>81</v>
      </c>
      <c r="T5669" s="308" t="s">
        <v>73</v>
      </c>
      <c r="U5669" s="308" t="s">
        <v>3690</v>
      </c>
      <c r="V5669" s="308"/>
    </row>
    <row r="5670">
      <c r="A5670" s="308">
        <v>5669.0</v>
      </c>
      <c r="B5670" s="308"/>
      <c r="C5670" s="308" t="s">
        <v>22733</v>
      </c>
      <c r="D5670" s="308">
        <f>IFERROR(__xludf.DUMMYFUNCTION("SPLIT(C5670,""-"")"),5690.0)</f>
        <v>5690</v>
      </c>
      <c r="E5670" s="308" t="str">
        <f>IFERROR(__xludf.DUMMYFUNCTION("""COMPUTED_VALUE"""),"K")</f>
        <v>K</v>
      </c>
      <c r="F5670" s="309" t="s">
        <v>34</v>
      </c>
      <c r="G5670" s="308"/>
      <c r="H5670" s="308" t="s">
        <v>22734</v>
      </c>
      <c r="I5670" s="310">
        <v>40275.0</v>
      </c>
      <c r="J5670" s="319">
        <f>IFERROR(__xludf.DUMMYFUNCTION("SPLIT(I5670,""/"")"),7.0)</f>
        <v>7</v>
      </c>
      <c r="K5670" s="308">
        <f>IFERROR(__xludf.DUMMYFUNCTION("""COMPUTED_VALUE"""),4.0)</f>
        <v>4</v>
      </c>
      <c r="L5670" s="308">
        <f>IFERROR(__xludf.DUMMYFUNCTION("""COMPUTED_VALUE"""),2010.0)</f>
        <v>2010</v>
      </c>
      <c r="M5670" s="308" t="s">
        <v>22735</v>
      </c>
      <c r="N5670" s="308" t="s">
        <v>22736</v>
      </c>
      <c r="O5670" s="308"/>
      <c r="P5670" s="308" t="s">
        <v>136</v>
      </c>
      <c r="Q5670" s="308" t="s">
        <v>38570</v>
      </c>
      <c r="R5670" s="308" t="s">
        <v>16185</v>
      </c>
      <c r="S5670" s="315" t="s">
        <v>100</v>
      </c>
      <c r="T5670" s="308" t="s">
        <v>34208</v>
      </c>
      <c r="U5670" s="308" t="s">
        <v>530</v>
      </c>
      <c r="V5670" s="308"/>
    </row>
    <row r="5671">
      <c r="A5671" s="308">
        <v>5670.0</v>
      </c>
      <c r="B5671" s="308"/>
      <c r="C5671" s="308" t="s">
        <v>22737</v>
      </c>
      <c r="D5671" s="308">
        <f>IFERROR(__xludf.DUMMYFUNCTION("SPLIT(C5671,""-"")"),5691.0)</f>
        <v>5691</v>
      </c>
      <c r="E5671" s="308" t="str">
        <f>IFERROR(__xludf.DUMMYFUNCTION("""COMPUTED_VALUE"""),"K")</f>
        <v>K</v>
      </c>
      <c r="F5671" s="309" t="s">
        <v>34</v>
      </c>
      <c r="G5671" s="308"/>
      <c r="H5671" s="308" t="s">
        <v>22738</v>
      </c>
      <c r="I5671" s="310">
        <v>39920.0</v>
      </c>
      <c r="J5671" s="319">
        <f>IFERROR(__xludf.DUMMYFUNCTION("SPLIT(I5671,""/"")"),17.0)</f>
        <v>17</v>
      </c>
      <c r="K5671" s="308">
        <f>IFERROR(__xludf.DUMMYFUNCTION("""COMPUTED_VALUE"""),4.0)</f>
        <v>4</v>
      </c>
      <c r="L5671" s="308">
        <f>IFERROR(__xludf.DUMMYFUNCTION("""COMPUTED_VALUE"""),2009.0)</f>
        <v>2009</v>
      </c>
      <c r="M5671" s="308" t="s">
        <v>22739</v>
      </c>
      <c r="N5671" s="308" t="s">
        <v>22740</v>
      </c>
      <c r="O5671" s="308"/>
      <c r="P5671" s="308" t="s">
        <v>136</v>
      </c>
      <c r="Q5671" s="308" t="s">
        <v>38570</v>
      </c>
      <c r="R5671" s="308" t="s">
        <v>16185</v>
      </c>
      <c r="S5671" s="315" t="s">
        <v>100</v>
      </c>
      <c r="T5671" s="308" t="s">
        <v>34208</v>
      </c>
      <c r="U5671" s="308" t="s">
        <v>530</v>
      </c>
      <c r="V5671" s="308"/>
    </row>
    <row r="5672">
      <c r="A5672" s="308">
        <v>5671.0</v>
      </c>
      <c r="B5672" s="308"/>
      <c r="C5672" s="308" t="s">
        <v>22741</v>
      </c>
      <c r="D5672" s="308">
        <f>IFERROR(__xludf.DUMMYFUNCTION("SPLIT(C5672,""-"")"),5692.0)</f>
        <v>5692</v>
      </c>
      <c r="E5672" s="308" t="str">
        <f>IFERROR(__xludf.DUMMYFUNCTION("""COMPUTED_VALUE"""),"I")</f>
        <v>I</v>
      </c>
      <c r="F5672" s="309" t="s">
        <v>31</v>
      </c>
      <c r="G5672" s="308"/>
      <c r="H5672" s="308" t="s">
        <v>22742</v>
      </c>
      <c r="I5672" s="310">
        <v>43301.0</v>
      </c>
      <c r="J5672" s="319">
        <f>IFERROR(__xludf.DUMMYFUNCTION("SPLIT(I5672,""/"")"),20.0)</f>
        <v>20</v>
      </c>
      <c r="K5672" s="308">
        <f>IFERROR(__xludf.DUMMYFUNCTION("""COMPUTED_VALUE"""),7.0)</f>
        <v>7</v>
      </c>
      <c r="L5672" s="308">
        <f>IFERROR(__xludf.DUMMYFUNCTION("""COMPUTED_VALUE"""),2018.0)</f>
        <v>2018</v>
      </c>
      <c r="M5672" s="308" t="s">
        <v>22743</v>
      </c>
      <c r="N5672" s="308" t="s">
        <v>22744</v>
      </c>
      <c r="O5672" s="308" t="s">
        <v>38574</v>
      </c>
      <c r="P5672" s="308" t="s">
        <v>38575</v>
      </c>
      <c r="Q5672" s="308" t="s">
        <v>38570</v>
      </c>
      <c r="R5672" s="308" t="s">
        <v>16185</v>
      </c>
      <c r="S5672" s="308" t="s">
        <v>81</v>
      </c>
      <c r="T5672" s="308" t="s">
        <v>75</v>
      </c>
      <c r="U5672" s="308" t="s">
        <v>31</v>
      </c>
      <c r="V5672" s="308"/>
    </row>
    <row r="5673">
      <c r="A5673" s="308">
        <v>5672.0</v>
      </c>
      <c r="B5673" s="308"/>
      <c r="C5673" s="308" t="s">
        <v>22747</v>
      </c>
      <c r="D5673" s="308">
        <f>IFERROR(__xludf.DUMMYFUNCTION("SPLIT(C5673,""-"")"),5693.0)</f>
        <v>5693</v>
      </c>
      <c r="E5673" s="308" t="str">
        <f>IFERROR(__xludf.DUMMYFUNCTION("""COMPUTED_VALUE"""),"I")</f>
        <v>I</v>
      </c>
      <c r="F5673" s="309" t="s">
        <v>31</v>
      </c>
      <c r="G5673" s="308"/>
      <c r="H5673" s="308" t="s">
        <v>22748</v>
      </c>
      <c r="I5673" s="310">
        <v>43047.0</v>
      </c>
      <c r="J5673" s="319">
        <f>IFERROR(__xludf.DUMMYFUNCTION("SPLIT(I5673,""/"")"),8.0)</f>
        <v>8</v>
      </c>
      <c r="K5673" s="308">
        <f>IFERROR(__xludf.DUMMYFUNCTION("""COMPUTED_VALUE"""),11.0)</f>
        <v>11</v>
      </c>
      <c r="L5673" s="308">
        <f>IFERROR(__xludf.DUMMYFUNCTION("""COMPUTED_VALUE"""),2017.0)</f>
        <v>2017</v>
      </c>
      <c r="M5673" s="308" t="s">
        <v>22749</v>
      </c>
      <c r="N5673" s="308" t="s">
        <v>22750</v>
      </c>
      <c r="O5673" s="308"/>
      <c r="P5673" s="308" t="s">
        <v>38576</v>
      </c>
      <c r="Q5673" s="308" t="s">
        <v>38570</v>
      </c>
      <c r="R5673" s="308" t="s">
        <v>16185</v>
      </c>
      <c r="S5673" s="308" t="s">
        <v>81</v>
      </c>
      <c r="T5673" s="308" t="s">
        <v>75</v>
      </c>
      <c r="U5673" s="308" t="s">
        <v>31</v>
      </c>
      <c r="V5673" s="308"/>
    </row>
    <row r="5674">
      <c r="A5674" s="308">
        <v>5673.0</v>
      </c>
      <c r="B5674" s="308"/>
      <c r="C5674" s="308" t="s">
        <v>22752</v>
      </c>
      <c r="D5674" s="308">
        <f>IFERROR(__xludf.DUMMYFUNCTION("SPLIT(C5674,""-"")"),5694.0)</f>
        <v>5694</v>
      </c>
      <c r="E5674" s="308" t="str">
        <f>IFERROR(__xludf.DUMMYFUNCTION("""COMPUTED_VALUE"""),"K")</f>
        <v>K</v>
      </c>
      <c r="F5674" s="309" t="s">
        <v>34</v>
      </c>
      <c r="G5674" s="308"/>
      <c r="H5674" s="308" t="s">
        <v>22753</v>
      </c>
      <c r="I5674" s="316" t="s">
        <v>407</v>
      </c>
      <c r="J5674" s="319"/>
      <c r="K5674" s="308"/>
      <c r="L5674" s="311" t="s">
        <v>79</v>
      </c>
      <c r="M5674" s="308" t="s">
        <v>22754</v>
      </c>
      <c r="N5674" s="308" t="s">
        <v>439</v>
      </c>
      <c r="O5674" s="308"/>
      <c r="P5674" s="308" t="s">
        <v>136</v>
      </c>
      <c r="Q5674" s="308" t="s">
        <v>38577</v>
      </c>
      <c r="R5674" s="308" t="s">
        <v>2743</v>
      </c>
      <c r="S5674" s="315" t="s">
        <v>100</v>
      </c>
      <c r="T5674" s="308" t="s">
        <v>34208</v>
      </c>
      <c r="U5674" s="308" t="s">
        <v>530</v>
      </c>
      <c r="V5674" s="308"/>
    </row>
    <row r="5675">
      <c r="A5675" s="308">
        <v>5674.0</v>
      </c>
      <c r="B5675" s="308"/>
      <c r="C5675" s="308" t="s">
        <v>22755</v>
      </c>
      <c r="D5675" s="308">
        <f>IFERROR(__xludf.DUMMYFUNCTION("SPLIT(C5675,""-"")"),5695.0)</f>
        <v>5695</v>
      </c>
      <c r="E5675" s="308" t="str">
        <f>IFERROR(__xludf.DUMMYFUNCTION("""COMPUTED_VALUE"""),"F")</f>
        <v>F</v>
      </c>
      <c r="F5675" s="309" t="s">
        <v>34</v>
      </c>
      <c r="G5675" s="308"/>
      <c r="H5675" s="308" t="s">
        <v>22756</v>
      </c>
      <c r="I5675" s="310">
        <v>43282.0</v>
      </c>
      <c r="J5675" s="319">
        <f>IFERROR(__xludf.DUMMYFUNCTION("SPLIT(I5675,""/"")"),1.0)</f>
        <v>1</v>
      </c>
      <c r="K5675" s="308">
        <f>IFERROR(__xludf.DUMMYFUNCTION("""COMPUTED_VALUE"""),7.0)</f>
        <v>7</v>
      </c>
      <c r="L5675" s="308">
        <f>IFERROR(__xludf.DUMMYFUNCTION("""COMPUTED_VALUE"""),2018.0)</f>
        <v>2018</v>
      </c>
      <c r="M5675" s="308" t="s">
        <v>22757</v>
      </c>
      <c r="N5675" s="308"/>
      <c r="O5675" s="308"/>
      <c r="P5675" s="308" t="s">
        <v>22758</v>
      </c>
      <c r="Q5675" s="308" t="s">
        <v>38577</v>
      </c>
      <c r="R5675" s="308" t="s">
        <v>2743</v>
      </c>
      <c r="S5675" s="308" t="s">
        <v>81</v>
      </c>
      <c r="T5675" s="308" t="s">
        <v>34264</v>
      </c>
      <c r="U5675" s="308" t="s">
        <v>195</v>
      </c>
      <c r="V5675" s="308"/>
    </row>
    <row r="5676">
      <c r="A5676" s="308">
        <v>5675.0</v>
      </c>
      <c r="B5676" s="308"/>
      <c r="C5676" s="308" t="s">
        <v>22759</v>
      </c>
      <c r="D5676" s="308">
        <f>IFERROR(__xludf.DUMMYFUNCTION("SPLIT(C5676,""-"")"),5696.0)</f>
        <v>5696</v>
      </c>
      <c r="E5676" s="308" t="str">
        <f>IFERROR(__xludf.DUMMYFUNCTION("""COMPUTED_VALUE"""),"F")</f>
        <v>F</v>
      </c>
      <c r="F5676" s="309" t="s">
        <v>34</v>
      </c>
      <c r="G5676" s="308"/>
      <c r="H5676" s="308" t="s">
        <v>22760</v>
      </c>
      <c r="I5676" s="310">
        <v>43282.0</v>
      </c>
      <c r="J5676" s="319">
        <f>IFERROR(__xludf.DUMMYFUNCTION("SPLIT(I5676,""/"")"),1.0)</f>
        <v>1</v>
      </c>
      <c r="K5676" s="308">
        <f>IFERROR(__xludf.DUMMYFUNCTION("""COMPUTED_VALUE"""),7.0)</f>
        <v>7</v>
      </c>
      <c r="L5676" s="308">
        <f>IFERROR(__xludf.DUMMYFUNCTION("""COMPUTED_VALUE"""),2018.0)</f>
        <v>2018</v>
      </c>
      <c r="M5676" s="308" t="s">
        <v>22757</v>
      </c>
      <c r="N5676" s="308"/>
      <c r="O5676" s="308"/>
      <c r="P5676" s="308" t="s">
        <v>22761</v>
      </c>
      <c r="Q5676" s="308" t="s">
        <v>38577</v>
      </c>
      <c r="R5676" s="308" t="s">
        <v>2743</v>
      </c>
      <c r="S5676" s="308" t="s">
        <v>81</v>
      </c>
      <c r="T5676" s="308" t="s">
        <v>34264</v>
      </c>
      <c r="U5676" s="308" t="s">
        <v>195</v>
      </c>
      <c r="V5676" s="308"/>
    </row>
    <row r="5677">
      <c r="A5677" s="308">
        <v>5676.0</v>
      </c>
      <c r="B5677" s="308"/>
      <c r="C5677" s="308" t="s">
        <v>22762</v>
      </c>
      <c r="D5677" s="308">
        <f>IFERROR(__xludf.DUMMYFUNCTION("SPLIT(C5677,""-"")"),5697.0)</f>
        <v>5697</v>
      </c>
      <c r="E5677" s="308" t="str">
        <f>IFERROR(__xludf.DUMMYFUNCTION("""COMPUTED_VALUE"""),"K")</f>
        <v>K</v>
      </c>
      <c r="F5677" s="309" t="s">
        <v>34</v>
      </c>
      <c r="G5677" s="308"/>
      <c r="H5677" s="308" t="s">
        <v>22763</v>
      </c>
      <c r="I5677" s="310">
        <v>42635.0</v>
      </c>
      <c r="J5677" s="319">
        <f>IFERROR(__xludf.DUMMYFUNCTION("SPLIT(I5677,""/"")"),22.0)</f>
        <v>22</v>
      </c>
      <c r="K5677" s="308">
        <f>IFERROR(__xludf.DUMMYFUNCTION("""COMPUTED_VALUE"""),9.0)</f>
        <v>9</v>
      </c>
      <c r="L5677" s="308">
        <f>IFERROR(__xludf.DUMMYFUNCTION("""COMPUTED_VALUE"""),2016.0)</f>
        <v>2016</v>
      </c>
      <c r="M5677" s="308" t="s">
        <v>22764</v>
      </c>
      <c r="N5677" s="308"/>
      <c r="O5677" s="308"/>
      <c r="P5677" s="308" t="s">
        <v>136</v>
      </c>
      <c r="Q5677" s="308" t="s">
        <v>38577</v>
      </c>
      <c r="R5677" s="308" t="s">
        <v>2743</v>
      </c>
      <c r="S5677" s="315" t="s">
        <v>100</v>
      </c>
      <c r="T5677" s="308" t="s">
        <v>34208</v>
      </c>
      <c r="U5677" s="308" t="s">
        <v>125</v>
      </c>
      <c r="V5677" s="308"/>
    </row>
    <row r="5678">
      <c r="A5678" s="308">
        <v>5677.0</v>
      </c>
      <c r="B5678" s="308"/>
      <c r="C5678" s="308" t="s">
        <v>22765</v>
      </c>
      <c r="D5678" s="308">
        <f>IFERROR(__xludf.DUMMYFUNCTION("SPLIT(C5678,""-"")"),5698.0)</f>
        <v>5698</v>
      </c>
      <c r="E5678" s="308" t="str">
        <f>IFERROR(__xludf.DUMMYFUNCTION("""COMPUTED_VALUE"""),"K")</f>
        <v>K</v>
      </c>
      <c r="F5678" s="309" t="s">
        <v>34</v>
      </c>
      <c r="G5678" s="308"/>
      <c r="H5678" s="308" t="s">
        <v>22766</v>
      </c>
      <c r="I5678" s="316" t="s">
        <v>407</v>
      </c>
      <c r="J5678" s="319"/>
      <c r="K5678" s="308"/>
      <c r="L5678" s="311" t="s">
        <v>79</v>
      </c>
      <c r="M5678" s="308" t="s">
        <v>22767</v>
      </c>
      <c r="N5678" s="308" t="s">
        <v>22768</v>
      </c>
      <c r="O5678" s="308"/>
      <c r="P5678" s="308" t="s">
        <v>136</v>
      </c>
      <c r="Q5678" s="308" t="s">
        <v>38578</v>
      </c>
      <c r="R5678" s="308" t="s">
        <v>2743</v>
      </c>
      <c r="S5678" s="315" t="s">
        <v>100</v>
      </c>
      <c r="T5678" s="308" t="s">
        <v>34208</v>
      </c>
      <c r="U5678" s="308" t="s">
        <v>530</v>
      </c>
      <c r="V5678" s="308"/>
    </row>
    <row r="5679">
      <c r="A5679" s="308">
        <v>5678.0</v>
      </c>
      <c r="B5679" s="308"/>
      <c r="C5679" s="308" t="s">
        <v>22769</v>
      </c>
      <c r="D5679" s="308">
        <f>IFERROR(__xludf.DUMMYFUNCTION("SPLIT(C5679,""-"")"),5699.0)</f>
        <v>5699</v>
      </c>
      <c r="E5679" s="308" t="str">
        <f>IFERROR(__xludf.DUMMYFUNCTION("""COMPUTED_VALUE"""),"K")</f>
        <v>K</v>
      </c>
      <c r="F5679" s="309" t="s">
        <v>34</v>
      </c>
      <c r="G5679" s="308"/>
      <c r="H5679" s="308" t="s">
        <v>22770</v>
      </c>
      <c r="I5679" s="310">
        <v>40360.0</v>
      </c>
      <c r="J5679" s="319">
        <f>IFERROR(__xludf.DUMMYFUNCTION("SPLIT(I5679,""/"")"),1.0)</f>
        <v>1</v>
      </c>
      <c r="K5679" s="308">
        <f>IFERROR(__xludf.DUMMYFUNCTION("""COMPUTED_VALUE"""),7.0)</f>
        <v>7</v>
      </c>
      <c r="L5679" s="308">
        <f>IFERROR(__xludf.DUMMYFUNCTION("""COMPUTED_VALUE"""),2010.0)</f>
        <v>2010</v>
      </c>
      <c r="M5679" s="308" t="s">
        <v>22771</v>
      </c>
      <c r="N5679" s="308"/>
      <c r="O5679" s="308" t="s">
        <v>22772</v>
      </c>
      <c r="P5679" s="308" t="s">
        <v>136</v>
      </c>
      <c r="Q5679" s="308" t="s">
        <v>38578</v>
      </c>
      <c r="R5679" s="308" t="s">
        <v>2743</v>
      </c>
      <c r="S5679" s="315" t="s">
        <v>100</v>
      </c>
      <c r="T5679" s="308" t="s">
        <v>34208</v>
      </c>
      <c r="U5679" s="308" t="s">
        <v>1509</v>
      </c>
      <c r="V5679" s="308"/>
    </row>
    <row r="5680">
      <c r="A5680" s="308">
        <v>5679.0</v>
      </c>
      <c r="B5680" s="308"/>
      <c r="C5680" s="308" t="s">
        <v>22773</v>
      </c>
      <c r="D5680" s="308">
        <f>IFERROR(__xludf.DUMMYFUNCTION("SPLIT(C5680,""-"")"),5700.0)</f>
        <v>5700</v>
      </c>
      <c r="E5680" s="308" t="str">
        <f>IFERROR(__xludf.DUMMYFUNCTION("""COMPUTED_VALUE"""),"P")</f>
        <v>P</v>
      </c>
      <c r="F5680" s="312" t="s">
        <v>37</v>
      </c>
      <c r="G5680" s="308"/>
      <c r="H5680" s="308" t="s">
        <v>22774</v>
      </c>
      <c r="I5680" s="314">
        <v>43088.0</v>
      </c>
      <c r="J5680" s="319">
        <f>IFERROR(__xludf.DUMMYFUNCTION("SPLIT(I5680,""/"")"),19.0)</f>
        <v>19</v>
      </c>
      <c r="K5680" s="308">
        <f>IFERROR(__xludf.DUMMYFUNCTION("""COMPUTED_VALUE"""),12.0)</f>
        <v>12</v>
      </c>
      <c r="L5680" s="308">
        <f>IFERROR(__xludf.DUMMYFUNCTION("""COMPUTED_VALUE"""),2017.0)</f>
        <v>2017</v>
      </c>
      <c r="M5680" s="308" t="s">
        <v>22775</v>
      </c>
      <c r="N5680" s="308" t="s">
        <v>22776</v>
      </c>
      <c r="O5680" s="308"/>
      <c r="P5680" s="308" t="s">
        <v>136</v>
      </c>
      <c r="Q5680" s="308" t="s">
        <v>38579</v>
      </c>
      <c r="R5680" s="308" t="s">
        <v>2743</v>
      </c>
      <c r="S5680" s="315" t="s">
        <v>100</v>
      </c>
      <c r="T5680" s="308" t="s">
        <v>34208</v>
      </c>
      <c r="U5680" s="308" t="s">
        <v>4001</v>
      </c>
      <c r="V5680" s="308"/>
    </row>
    <row r="5681">
      <c r="A5681" s="308">
        <v>5680.0</v>
      </c>
      <c r="B5681" s="308"/>
      <c r="C5681" s="308" t="s">
        <v>22777</v>
      </c>
      <c r="D5681" s="308">
        <f>IFERROR(__xludf.DUMMYFUNCTION("SPLIT(C5681,""-"")"),5701.0)</f>
        <v>5701</v>
      </c>
      <c r="E5681" s="308" t="str">
        <f>IFERROR(__xludf.DUMMYFUNCTION("""COMPUTED_VALUE"""),"P")</f>
        <v>P</v>
      </c>
      <c r="F5681" s="312" t="s">
        <v>37</v>
      </c>
      <c r="G5681" s="308"/>
      <c r="H5681" s="308" t="s">
        <v>22778</v>
      </c>
      <c r="I5681" s="314">
        <v>43088.0</v>
      </c>
      <c r="J5681" s="319">
        <f>IFERROR(__xludf.DUMMYFUNCTION("SPLIT(I5681,""/"")"),19.0)</f>
        <v>19</v>
      </c>
      <c r="K5681" s="308">
        <f>IFERROR(__xludf.DUMMYFUNCTION("""COMPUTED_VALUE"""),12.0)</f>
        <v>12</v>
      </c>
      <c r="L5681" s="308">
        <f>IFERROR(__xludf.DUMMYFUNCTION("""COMPUTED_VALUE"""),2017.0)</f>
        <v>2017</v>
      </c>
      <c r="M5681" s="308" t="s">
        <v>22775</v>
      </c>
      <c r="N5681" s="308"/>
      <c r="O5681" s="308"/>
      <c r="P5681" s="308" t="s">
        <v>136</v>
      </c>
      <c r="Q5681" s="308" t="s">
        <v>38579</v>
      </c>
      <c r="R5681" s="308" t="s">
        <v>2743</v>
      </c>
      <c r="S5681" s="315" t="s">
        <v>100</v>
      </c>
      <c r="T5681" s="308" t="s">
        <v>34208</v>
      </c>
      <c r="U5681" s="308" t="s">
        <v>4001</v>
      </c>
      <c r="V5681" s="308"/>
    </row>
    <row r="5682">
      <c r="A5682" s="308">
        <v>5681.0</v>
      </c>
      <c r="B5682" s="308"/>
      <c r="C5682" s="308" t="s">
        <v>22779</v>
      </c>
      <c r="D5682" s="308">
        <f>IFERROR(__xludf.DUMMYFUNCTION("SPLIT(C5682,""-"")"),5702.0)</f>
        <v>5702</v>
      </c>
      <c r="E5682" s="308" t="str">
        <f>IFERROR(__xludf.DUMMYFUNCTION("""COMPUTED_VALUE"""),"K")</f>
        <v>K</v>
      </c>
      <c r="F5682" s="309" t="s">
        <v>34</v>
      </c>
      <c r="G5682" s="308"/>
      <c r="H5682" s="308" t="s">
        <v>22780</v>
      </c>
      <c r="I5682" s="310">
        <v>41456.0</v>
      </c>
      <c r="J5682" s="319">
        <f>IFERROR(__xludf.DUMMYFUNCTION("SPLIT(I5682,""/"")"),1.0)</f>
        <v>1</v>
      </c>
      <c r="K5682" s="308">
        <f>IFERROR(__xludf.DUMMYFUNCTION("""COMPUTED_VALUE"""),7.0)</f>
        <v>7</v>
      </c>
      <c r="L5682" s="308">
        <f>IFERROR(__xludf.DUMMYFUNCTION("""COMPUTED_VALUE"""),2013.0)</f>
        <v>2013</v>
      </c>
      <c r="M5682" s="308" t="s">
        <v>22781</v>
      </c>
      <c r="N5682" s="308"/>
      <c r="O5682" s="308" t="s">
        <v>22782</v>
      </c>
      <c r="P5682" s="308" t="s">
        <v>136</v>
      </c>
      <c r="Q5682" s="308" t="s">
        <v>38579</v>
      </c>
      <c r="R5682" s="308" t="s">
        <v>2743</v>
      </c>
      <c r="S5682" s="315" t="s">
        <v>100</v>
      </c>
      <c r="T5682" s="308" t="s">
        <v>34208</v>
      </c>
      <c r="U5682" s="308" t="s">
        <v>2152</v>
      </c>
      <c r="V5682" s="308"/>
    </row>
    <row r="5683">
      <c r="A5683" s="308">
        <v>5682.0</v>
      </c>
      <c r="B5683" s="308"/>
      <c r="C5683" s="308" t="s">
        <v>22783</v>
      </c>
      <c r="D5683" s="308">
        <f>IFERROR(__xludf.DUMMYFUNCTION("SPLIT(C5683,""-"")"),5703.0)</f>
        <v>5703</v>
      </c>
      <c r="E5683" s="308" t="str">
        <f>IFERROR(__xludf.DUMMYFUNCTION("""COMPUTED_VALUE"""),"K")</f>
        <v>K</v>
      </c>
      <c r="F5683" s="309" t="s">
        <v>34</v>
      </c>
      <c r="G5683" s="308"/>
      <c r="H5683" s="308" t="s">
        <v>22784</v>
      </c>
      <c r="I5683" s="310">
        <v>40035.0</v>
      </c>
      <c r="J5683" s="319">
        <f>IFERROR(__xludf.DUMMYFUNCTION("SPLIT(I5683,""/"")"),10.0)</f>
        <v>10</v>
      </c>
      <c r="K5683" s="308">
        <f>IFERROR(__xludf.DUMMYFUNCTION("""COMPUTED_VALUE"""),8.0)</f>
        <v>8</v>
      </c>
      <c r="L5683" s="308">
        <f>IFERROR(__xludf.DUMMYFUNCTION("""COMPUTED_VALUE"""),2009.0)</f>
        <v>2009</v>
      </c>
      <c r="M5683" s="308" t="s">
        <v>38580</v>
      </c>
      <c r="N5683" s="308"/>
      <c r="O5683" s="308"/>
      <c r="P5683" s="308" t="s">
        <v>136</v>
      </c>
      <c r="Q5683" s="308" t="s">
        <v>38579</v>
      </c>
      <c r="R5683" s="308" t="s">
        <v>2743</v>
      </c>
      <c r="S5683" s="315" t="s">
        <v>100</v>
      </c>
      <c r="T5683" s="308" t="s">
        <v>34208</v>
      </c>
      <c r="U5683" s="308" t="s">
        <v>530</v>
      </c>
      <c r="V5683" s="308"/>
    </row>
    <row r="5684">
      <c r="A5684" s="308">
        <v>5683.0</v>
      </c>
      <c r="B5684" s="308"/>
      <c r="C5684" s="308" t="s">
        <v>22786</v>
      </c>
      <c r="D5684" s="308">
        <f>IFERROR(__xludf.DUMMYFUNCTION("SPLIT(C5684,""-"")"),5704.0)</f>
        <v>5704</v>
      </c>
      <c r="E5684" s="308" t="str">
        <f>IFERROR(__xludf.DUMMYFUNCTION("""COMPUTED_VALUE"""),"K")</f>
        <v>K</v>
      </c>
      <c r="F5684" s="309" t="s">
        <v>34</v>
      </c>
      <c r="G5684" s="308"/>
      <c r="H5684" s="308" t="s">
        <v>22787</v>
      </c>
      <c r="I5684" s="316" t="s">
        <v>22788</v>
      </c>
      <c r="J5684" s="319"/>
      <c r="K5684" s="308"/>
      <c r="L5684" s="311">
        <v>2011.0</v>
      </c>
      <c r="M5684" s="308" t="s">
        <v>38581</v>
      </c>
      <c r="N5684" s="308" t="s">
        <v>22790</v>
      </c>
      <c r="O5684" s="308" t="s">
        <v>38582</v>
      </c>
      <c r="P5684" s="308" t="s">
        <v>4430</v>
      </c>
      <c r="Q5684" s="308" t="s">
        <v>38579</v>
      </c>
      <c r="R5684" s="308" t="s">
        <v>2743</v>
      </c>
      <c r="S5684" s="308" t="s">
        <v>49</v>
      </c>
      <c r="T5684" s="308" t="s">
        <v>51</v>
      </c>
      <c r="U5684" s="308" t="s">
        <v>282</v>
      </c>
      <c r="V5684" s="308"/>
    </row>
    <row r="5685">
      <c r="A5685" s="308">
        <v>5684.0</v>
      </c>
      <c r="B5685" s="308"/>
      <c r="C5685" s="308" t="s">
        <v>22792</v>
      </c>
      <c r="D5685" s="308">
        <f>IFERROR(__xludf.DUMMYFUNCTION("SPLIT(C5685,""-"")"),5705.0)</f>
        <v>5705</v>
      </c>
      <c r="E5685" s="308" t="str">
        <f>IFERROR(__xludf.DUMMYFUNCTION("""COMPUTED_VALUE"""),"A")</f>
        <v>A</v>
      </c>
      <c r="F5685" s="309" t="s">
        <v>23</v>
      </c>
      <c r="G5685" s="308"/>
      <c r="H5685" s="308" t="s">
        <v>22793</v>
      </c>
      <c r="I5685" s="310">
        <v>43441.0</v>
      </c>
      <c r="J5685" s="319">
        <f>IFERROR(__xludf.DUMMYFUNCTION("SPLIT(I5685,""/"")"),7.0)</f>
        <v>7</v>
      </c>
      <c r="K5685" s="308">
        <f>IFERROR(__xludf.DUMMYFUNCTION("""COMPUTED_VALUE"""),12.0)</f>
        <v>12</v>
      </c>
      <c r="L5685" s="308">
        <f>IFERROR(__xludf.DUMMYFUNCTION("""COMPUTED_VALUE"""),2018.0)</f>
        <v>2018</v>
      </c>
      <c r="M5685" s="308" t="s">
        <v>22794</v>
      </c>
      <c r="N5685" s="308"/>
      <c r="O5685" s="308"/>
      <c r="P5685" s="308" t="s">
        <v>38583</v>
      </c>
      <c r="Q5685" s="308" t="s">
        <v>38579</v>
      </c>
      <c r="R5685" s="308" t="s">
        <v>2743</v>
      </c>
      <c r="S5685" s="308" t="s">
        <v>81</v>
      </c>
      <c r="T5685" s="308" t="s">
        <v>98</v>
      </c>
      <c r="U5685" s="308" t="s">
        <v>403</v>
      </c>
      <c r="V5685" s="308"/>
    </row>
    <row r="5686">
      <c r="A5686" s="308">
        <v>5685.0</v>
      </c>
      <c r="B5686" s="308"/>
      <c r="C5686" s="308" t="s">
        <v>22796</v>
      </c>
      <c r="D5686" s="308">
        <f>IFERROR(__xludf.DUMMYFUNCTION("SPLIT(C5686,""-"")"),5706.0)</f>
        <v>5706</v>
      </c>
      <c r="E5686" s="308" t="str">
        <f>IFERROR(__xludf.DUMMYFUNCTION("""COMPUTED_VALUE"""),"F")</f>
        <v>F</v>
      </c>
      <c r="F5686" s="309" t="s">
        <v>34</v>
      </c>
      <c r="G5686" s="308"/>
      <c r="H5686" s="308" t="s">
        <v>22797</v>
      </c>
      <c r="I5686" s="314">
        <v>41970.0</v>
      </c>
      <c r="J5686" s="319">
        <f>IFERROR(__xludf.DUMMYFUNCTION("SPLIT(I5686,""/"")"),27.0)</f>
        <v>27</v>
      </c>
      <c r="K5686" s="308">
        <f>IFERROR(__xludf.DUMMYFUNCTION("""COMPUTED_VALUE"""),11.0)</f>
        <v>11</v>
      </c>
      <c r="L5686" s="308">
        <f>IFERROR(__xludf.DUMMYFUNCTION("""COMPUTED_VALUE"""),2014.0)</f>
        <v>2014</v>
      </c>
      <c r="M5686" s="308" t="s">
        <v>22798</v>
      </c>
      <c r="N5686" s="308" t="s">
        <v>22799</v>
      </c>
      <c r="O5686" s="308"/>
      <c r="P5686" s="308" t="s">
        <v>136</v>
      </c>
      <c r="Q5686" s="308" t="s">
        <v>38579</v>
      </c>
      <c r="R5686" s="308" t="s">
        <v>2743</v>
      </c>
      <c r="S5686" s="315" t="s">
        <v>100</v>
      </c>
      <c r="T5686" s="308" t="s">
        <v>34208</v>
      </c>
      <c r="U5686" s="308" t="s">
        <v>195</v>
      </c>
      <c r="V5686" s="308" t="s">
        <v>22800</v>
      </c>
    </row>
    <row r="5687">
      <c r="A5687" s="308">
        <v>5686.0</v>
      </c>
      <c r="B5687" s="308"/>
      <c r="C5687" s="308" t="s">
        <v>22801</v>
      </c>
      <c r="D5687" s="308">
        <f>IFERROR(__xludf.DUMMYFUNCTION("SPLIT(C5687,""-"")"),5707.0)</f>
        <v>5707</v>
      </c>
      <c r="E5687" s="308" t="str">
        <f>IFERROR(__xludf.DUMMYFUNCTION("""COMPUTED_VALUE"""),"B")</f>
        <v>B</v>
      </c>
      <c r="F5687" s="315" t="s">
        <v>26</v>
      </c>
      <c r="G5687" s="308"/>
      <c r="H5687" s="308" t="s">
        <v>22802</v>
      </c>
      <c r="I5687" s="310">
        <v>42283.0</v>
      </c>
      <c r="J5687" s="319">
        <f>IFERROR(__xludf.DUMMYFUNCTION("SPLIT(I5687,""/"")"),6.0)</f>
        <v>6</v>
      </c>
      <c r="K5687" s="308">
        <f>IFERROR(__xludf.DUMMYFUNCTION("""COMPUTED_VALUE"""),10.0)</f>
        <v>10</v>
      </c>
      <c r="L5687" s="308">
        <f>IFERROR(__xludf.DUMMYFUNCTION("""COMPUTED_VALUE"""),2015.0)</f>
        <v>2015</v>
      </c>
      <c r="M5687" s="308" t="s">
        <v>22803</v>
      </c>
      <c r="N5687" s="308"/>
      <c r="O5687" s="308"/>
      <c r="P5687" s="308" t="s">
        <v>38584</v>
      </c>
      <c r="Q5687" s="308" t="s">
        <v>38579</v>
      </c>
      <c r="R5687" s="308" t="s">
        <v>20958</v>
      </c>
      <c r="S5687" s="308" t="s">
        <v>49</v>
      </c>
      <c r="T5687" s="308" t="s">
        <v>51</v>
      </c>
      <c r="U5687" s="308" t="s">
        <v>27</v>
      </c>
      <c r="V5687" s="308" t="s">
        <v>22805</v>
      </c>
    </row>
    <row r="5688">
      <c r="A5688" s="308">
        <v>5687.0</v>
      </c>
      <c r="B5688" s="308"/>
      <c r="C5688" s="308" t="s">
        <v>22806</v>
      </c>
      <c r="D5688" s="308">
        <f>IFERROR(__xludf.DUMMYFUNCTION("SPLIT(C5688,""-"")"),5708.0)</f>
        <v>5708</v>
      </c>
      <c r="E5688" s="308" t="str">
        <f>IFERROR(__xludf.DUMMYFUNCTION("""COMPUTED_VALUE"""),"B")</f>
        <v>B</v>
      </c>
      <c r="F5688" s="315" t="s">
        <v>26</v>
      </c>
      <c r="G5688" s="308"/>
      <c r="H5688" s="308" t="s">
        <v>22807</v>
      </c>
      <c r="I5688" s="310">
        <v>40405.0</v>
      </c>
      <c r="J5688" s="319">
        <f>IFERROR(__xludf.DUMMYFUNCTION("SPLIT(I5688,""/"")"),15.0)</f>
        <v>15</v>
      </c>
      <c r="K5688" s="308">
        <f>IFERROR(__xludf.DUMMYFUNCTION("""COMPUTED_VALUE"""),8.0)</f>
        <v>8</v>
      </c>
      <c r="L5688" s="308">
        <f>IFERROR(__xludf.DUMMYFUNCTION("""COMPUTED_VALUE"""),2010.0)</f>
        <v>2010</v>
      </c>
      <c r="M5688" s="308" t="s">
        <v>22808</v>
      </c>
      <c r="N5688" s="308"/>
      <c r="O5688" s="308"/>
      <c r="P5688" s="308" t="s">
        <v>136</v>
      </c>
      <c r="Q5688" s="308" t="s">
        <v>38579</v>
      </c>
      <c r="R5688" s="308" t="s">
        <v>20958</v>
      </c>
      <c r="S5688" s="315" t="s">
        <v>100</v>
      </c>
      <c r="T5688" s="308" t="s">
        <v>34208</v>
      </c>
      <c r="U5688" s="308" t="s">
        <v>27</v>
      </c>
      <c r="V5688" s="308"/>
    </row>
    <row r="5689">
      <c r="A5689" s="308">
        <v>5688.0</v>
      </c>
      <c r="B5689" s="308"/>
      <c r="C5689" s="308" t="s">
        <v>22809</v>
      </c>
      <c r="D5689" s="308">
        <f>IFERROR(__xludf.DUMMYFUNCTION("SPLIT(C5689,""-"")"),5709.0)</f>
        <v>5709</v>
      </c>
      <c r="E5689" s="308" t="str">
        <f>IFERROR(__xludf.DUMMYFUNCTION("""COMPUTED_VALUE"""),"B")</f>
        <v>B</v>
      </c>
      <c r="F5689" s="315" t="s">
        <v>26</v>
      </c>
      <c r="G5689" s="308"/>
      <c r="H5689" s="308" t="s">
        <v>22810</v>
      </c>
      <c r="I5689" s="310">
        <v>40667.0</v>
      </c>
      <c r="J5689" s="319">
        <f>IFERROR(__xludf.DUMMYFUNCTION("SPLIT(I5689,""/"")"),4.0)</f>
        <v>4</v>
      </c>
      <c r="K5689" s="308">
        <f>IFERROR(__xludf.DUMMYFUNCTION("""COMPUTED_VALUE"""),5.0)</f>
        <v>5</v>
      </c>
      <c r="L5689" s="308">
        <f>IFERROR(__xludf.DUMMYFUNCTION("""COMPUTED_VALUE"""),2011.0)</f>
        <v>2011</v>
      </c>
      <c r="M5689" s="308" t="s">
        <v>22811</v>
      </c>
      <c r="N5689" s="308"/>
      <c r="O5689" s="308"/>
      <c r="P5689" s="308" t="s">
        <v>136</v>
      </c>
      <c r="Q5689" s="308" t="s">
        <v>38579</v>
      </c>
      <c r="R5689" s="308" t="s">
        <v>20958</v>
      </c>
      <c r="S5689" s="315" t="s">
        <v>100</v>
      </c>
      <c r="T5689" s="308" t="s">
        <v>34208</v>
      </c>
      <c r="U5689" s="308" t="s">
        <v>27</v>
      </c>
      <c r="V5689" s="308"/>
    </row>
    <row r="5690">
      <c r="A5690" s="308">
        <v>5689.0</v>
      </c>
      <c r="B5690" s="308"/>
      <c r="C5690" s="308" t="s">
        <v>22812</v>
      </c>
      <c r="D5690" s="308">
        <f>IFERROR(__xludf.DUMMYFUNCTION("SPLIT(C5690,""-"")"),5710.0)</f>
        <v>5710</v>
      </c>
      <c r="E5690" s="308" t="str">
        <f>IFERROR(__xludf.DUMMYFUNCTION("""COMPUTED_VALUE"""),"B")</f>
        <v>B</v>
      </c>
      <c r="F5690" s="315" t="s">
        <v>26</v>
      </c>
      <c r="G5690" s="308"/>
      <c r="H5690" s="308" t="s">
        <v>22813</v>
      </c>
      <c r="I5690" s="310">
        <v>42040.0</v>
      </c>
      <c r="J5690" s="319">
        <f>IFERROR(__xludf.DUMMYFUNCTION("SPLIT(I5690,""/"")"),5.0)</f>
        <v>5</v>
      </c>
      <c r="K5690" s="308">
        <f>IFERROR(__xludf.DUMMYFUNCTION("""COMPUTED_VALUE"""),2.0)</f>
        <v>2</v>
      </c>
      <c r="L5690" s="308">
        <f>IFERROR(__xludf.DUMMYFUNCTION("""COMPUTED_VALUE"""),2015.0)</f>
        <v>2015</v>
      </c>
      <c r="M5690" s="308" t="s">
        <v>22814</v>
      </c>
      <c r="N5690" s="308"/>
      <c r="O5690" s="308"/>
      <c r="P5690" s="308" t="s">
        <v>136</v>
      </c>
      <c r="Q5690" s="308" t="s">
        <v>38579</v>
      </c>
      <c r="R5690" s="308" t="s">
        <v>20958</v>
      </c>
      <c r="S5690" s="315" t="s">
        <v>100</v>
      </c>
      <c r="T5690" s="308" t="s">
        <v>34208</v>
      </c>
      <c r="U5690" s="308" t="s">
        <v>27</v>
      </c>
      <c r="V5690" s="308"/>
    </row>
    <row r="5691">
      <c r="A5691" s="308">
        <v>5690.0</v>
      </c>
      <c r="B5691" s="308"/>
      <c r="C5691" s="308" t="s">
        <v>22815</v>
      </c>
      <c r="D5691" s="308">
        <f>IFERROR(__xludf.DUMMYFUNCTION("SPLIT(C5691,""-"")"),5711.0)</f>
        <v>5711</v>
      </c>
      <c r="E5691" s="308" t="str">
        <f>IFERROR(__xludf.DUMMYFUNCTION("""COMPUTED_VALUE"""),"B")</f>
        <v>B</v>
      </c>
      <c r="F5691" s="315" t="s">
        <v>26</v>
      </c>
      <c r="G5691" s="308"/>
      <c r="H5691" s="308" t="s">
        <v>22816</v>
      </c>
      <c r="I5691" s="310">
        <v>42135.0</v>
      </c>
      <c r="J5691" s="319">
        <f>IFERROR(__xludf.DUMMYFUNCTION("SPLIT(I5691,""/"")"),11.0)</f>
        <v>11</v>
      </c>
      <c r="K5691" s="308">
        <f>IFERROR(__xludf.DUMMYFUNCTION("""COMPUTED_VALUE"""),5.0)</f>
        <v>5</v>
      </c>
      <c r="L5691" s="308">
        <f>IFERROR(__xludf.DUMMYFUNCTION("""COMPUTED_VALUE"""),2015.0)</f>
        <v>2015</v>
      </c>
      <c r="M5691" s="308" t="s">
        <v>22817</v>
      </c>
      <c r="N5691" s="308" t="s">
        <v>22818</v>
      </c>
      <c r="O5691" s="308"/>
      <c r="P5691" s="308" t="s">
        <v>136</v>
      </c>
      <c r="Q5691" s="308" t="s">
        <v>38579</v>
      </c>
      <c r="R5691" s="308" t="s">
        <v>20958</v>
      </c>
      <c r="S5691" s="315" t="s">
        <v>100</v>
      </c>
      <c r="T5691" s="308" t="s">
        <v>34208</v>
      </c>
      <c r="U5691" s="308" t="s">
        <v>27</v>
      </c>
      <c r="V5691" s="308"/>
    </row>
    <row r="5692">
      <c r="A5692" s="308">
        <v>5691.0</v>
      </c>
      <c r="B5692" s="308"/>
      <c r="C5692" s="308" t="s">
        <v>22819</v>
      </c>
      <c r="D5692" s="308">
        <f>IFERROR(__xludf.DUMMYFUNCTION("SPLIT(C5692,""-"")"),5712.0)</f>
        <v>5712</v>
      </c>
      <c r="E5692" s="308" t="str">
        <f>IFERROR(__xludf.DUMMYFUNCTION("""COMPUTED_VALUE"""),"B")</f>
        <v>B</v>
      </c>
      <c r="F5692" s="315" t="s">
        <v>26</v>
      </c>
      <c r="G5692" s="308"/>
      <c r="H5692" s="308" t="s">
        <v>22820</v>
      </c>
      <c r="I5692" s="310">
        <v>42040.0</v>
      </c>
      <c r="J5692" s="319">
        <f>IFERROR(__xludf.DUMMYFUNCTION("SPLIT(I5692,""/"")"),5.0)</f>
        <v>5</v>
      </c>
      <c r="K5692" s="308">
        <f>IFERROR(__xludf.DUMMYFUNCTION("""COMPUTED_VALUE"""),2.0)</f>
        <v>2</v>
      </c>
      <c r="L5692" s="308">
        <f>IFERROR(__xludf.DUMMYFUNCTION("""COMPUTED_VALUE"""),2015.0)</f>
        <v>2015</v>
      </c>
      <c r="M5692" s="308" t="s">
        <v>22814</v>
      </c>
      <c r="N5692" s="308"/>
      <c r="O5692" s="308"/>
      <c r="P5692" s="308" t="s">
        <v>136</v>
      </c>
      <c r="Q5692" s="308" t="s">
        <v>38579</v>
      </c>
      <c r="R5692" s="308" t="s">
        <v>20958</v>
      </c>
      <c r="S5692" s="315" t="s">
        <v>100</v>
      </c>
      <c r="T5692" s="308" t="s">
        <v>34208</v>
      </c>
      <c r="U5692" s="308" t="s">
        <v>27</v>
      </c>
      <c r="V5692" s="308"/>
    </row>
    <row r="5693">
      <c r="A5693" s="308">
        <v>5692.0</v>
      </c>
      <c r="B5693" s="308"/>
      <c r="C5693" s="308" t="s">
        <v>22821</v>
      </c>
      <c r="D5693" s="308">
        <f>IFERROR(__xludf.DUMMYFUNCTION("SPLIT(C5693,""-"")"),5713.0)</f>
        <v>5713</v>
      </c>
      <c r="E5693" s="308" t="str">
        <f>IFERROR(__xludf.DUMMYFUNCTION("""COMPUTED_VALUE"""),"B")</f>
        <v>B</v>
      </c>
      <c r="F5693" s="315" t="s">
        <v>26</v>
      </c>
      <c r="G5693" s="308"/>
      <c r="H5693" s="308" t="s">
        <v>22822</v>
      </c>
      <c r="I5693" s="310">
        <v>42253.0</v>
      </c>
      <c r="J5693" s="319">
        <f>IFERROR(__xludf.DUMMYFUNCTION("SPLIT(I5693,""/"")"),6.0)</f>
        <v>6</v>
      </c>
      <c r="K5693" s="308">
        <f>IFERROR(__xludf.DUMMYFUNCTION("""COMPUTED_VALUE"""),9.0)</f>
        <v>9</v>
      </c>
      <c r="L5693" s="308">
        <f>IFERROR(__xludf.DUMMYFUNCTION("""COMPUTED_VALUE"""),2015.0)</f>
        <v>2015</v>
      </c>
      <c r="M5693" s="308" t="s">
        <v>22823</v>
      </c>
      <c r="N5693" s="308"/>
      <c r="O5693" s="308"/>
      <c r="P5693" s="308" t="s">
        <v>22824</v>
      </c>
      <c r="Q5693" s="308" t="s">
        <v>38579</v>
      </c>
      <c r="R5693" s="308" t="s">
        <v>20958</v>
      </c>
      <c r="S5693" s="308" t="s">
        <v>49</v>
      </c>
      <c r="T5693" s="308" t="s">
        <v>53</v>
      </c>
      <c r="U5693" s="308" t="s">
        <v>27</v>
      </c>
      <c r="V5693" s="308"/>
    </row>
    <row r="5694">
      <c r="A5694" s="308">
        <v>5693.0</v>
      </c>
      <c r="B5694" s="308"/>
      <c r="C5694" s="308" t="s">
        <v>22825</v>
      </c>
      <c r="D5694" s="308">
        <f>IFERROR(__xludf.DUMMYFUNCTION("SPLIT(C5694,""-"")"),5714.0)</f>
        <v>5714</v>
      </c>
      <c r="E5694" s="308" t="str">
        <f>IFERROR(__xludf.DUMMYFUNCTION("""COMPUTED_VALUE"""),"B")</f>
        <v>B</v>
      </c>
      <c r="F5694" s="315" t="s">
        <v>26</v>
      </c>
      <c r="G5694" s="308"/>
      <c r="H5694" s="308" t="s">
        <v>22826</v>
      </c>
      <c r="I5694" s="310">
        <v>43371.0</v>
      </c>
      <c r="J5694" s="319">
        <f>IFERROR(__xludf.DUMMYFUNCTION("SPLIT(I5694,""/"")"),28.0)</f>
        <v>28</v>
      </c>
      <c r="K5694" s="308">
        <f>IFERROR(__xludf.DUMMYFUNCTION("""COMPUTED_VALUE"""),9.0)</f>
        <v>9</v>
      </c>
      <c r="L5694" s="308">
        <f>IFERROR(__xludf.DUMMYFUNCTION("""COMPUTED_VALUE"""),2018.0)</f>
        <v>2018</v>
      </c>
      <c r="M5694" s="308" t="s">
        <v>22827</v>
      </c>
      <c r="N5694" s="308"/>
      <c r="O5694" s="308"/>
      <c r="P5694" s="308" t="s">
        <v>38585</v>
      </c>
      <c r="Q5694" s="308" t="s">
        <v>38579</v>
      </c>
      <c r="R5694" s="308" t="s">
        <v>20958</v>
      </c>
      <c r="S5694" s="308" t="s">
        <v>81</v>
      </c>
      <c r="T5694" s="308" t="s">
        <v>75</v>
      </c>
      <c r="U5694" s="308" t="s">
        <v>27</v>
      </c>
      <c r="V5694" s="308"/>
    </row>
    <row r="5695">
      <c r="A5695" s="308">
        <v>5694.0</v>
      </c>
      <c r="B5695" s="308"/>
      <c r="C5695" s="308" t="s">
        <v>22829</v>
      </c>
      <c r="D5695" s="308">
        <f>IFERROR(__xludf.DUMMYFUNCTION("SPLIT(C5695,""-"")"),5715.0)</f>
        <v>5715</v>
      </c>
      <c r="E5695" s="308" t="str">
        <f>IFERROR(__xludf.DUMMYFUNCTION("""COMPUTED_VALUE"""),"B")</f>
        <v>B</v>
      </c>
      <c r="F5695" s="315" t="s">
        <v>26</v>
      </c>
      <c r="G5695" s="308"/>
      <c r="H5695" s="308" t="s">
        <v>22830</v>
      </c>
      <c r="I5695" s="310">
        <v>42135.0</v>
      </c>
      <c r="J5695" s="319">
        <f>IFERROR(__xludf.DUMMYFUNCTION("SPLIT(I5695,""/"")"),11.0)</f>
        <v>11</v>
      </c>
      <c r="K5695" s="308">
        <f>IFERROR(__xludf.DUMMYFUNCTION("""COMPUTED_VALUE"""),5.0)</f>
        <v>5</v>
      </c>
      <c r="L5695" s="308">
        <f>IFERROR(__xludf.DUMMYFUNCTION("""COMPUTED_VALUE"""),2015.0)</f>
        <v>2015</v>
      </c>
      <c r="M5695" s="308" t="s">
        <v>22831</v>
      </c>
      <c r="N5695" s="308"/>
      <c r="O5695" s="308"/>
      <c r="P5695" s="308" t="s">
        <v>136</v>
      </c>
      <c r="Q5695" s="308" t="s">
        <v>38579</v>
      </c>
      <c r="R5695" s="308" t="s">
        <v>20958</v>
      </c>
      <c r="S5695" s="315" t="s">
        <v>100</v>
      </c>
      <c r="T5695" s="308" t="s">
        <v>34208</v>
      </c>
      <c r="U5695" s="308" t="s">
        <v>27</v>
      </c>
      <c r="V5695" s="308"/>
    </row>
    <row r="5696">
      <c r="A5696" s="308">
        <v>5695.0</v>
      </c>
      <c r="B5696" s="308"/>
      <c r="C5696" s="308" t="s">
        <v>22832</v>
      </c>
      <c r="D5696" s="308">
        <f>IFERROR(__xludf.DUMMYFUNCTION("SPLIT(C5696,""-"")"),5716.0)</f>
        <v>5716</v>
      </c>
      <c r="E5696" s="308" t="str">
        <f>IFERROR(__xludf.DUMMYFUNCTION("""COMPUTED_VALUE"""),"B")</f>
        <v>B</v>
      </c>
      <c r="F5696" s="315" t="s">
        <v>26</v>
      </c>
      <c r="G5696" s="308"/>
      <c r="H5696" s="308" t="s">
        <v>22833</v>
      </c>
      <c r="I5696" s="314">
        <v>43019.0</v>
      </c>
      <c r="J5696" s="319">
        <f>IFERROR(__xludf.DUMMYFUNCTION("SPLIT(I5696,""/"")"),11.0)</f>
        <v>11</v>
      </c>
      <c r="K5696" s="308">
        <f>IFERROR(__xludf.DUMMYFUNCTION("""COMPUTED_VALUE"""),10.0)</f>
        <v>10</v>
      </c>
      <c r="L5696" s="308">
        <f>IFERROR(__xludf.DUMMYFUNCTION("""COMPUTED_VALUE"""),2017.0)</f>
        <v>2017</v>
      </c>
      <c r="M5696" s="308" t="s">
        <v>22827</v>
      </c>
      <c r="N5696" s="308"/>
      <c r="O5696" s="308"/>
      <c r="P5696" s="308" t="s">
        <v>136</v>
      </c>
      <c r="Q5696" s="308" t="s">
        <v>38579</v>
      </c>
      <c r="R5696" s="308" t="s">
        <v>20958</v>
      </c>
      <c r="S5696" s="315" t="s">
        <v>100</v>
      </c>
      <c r="T5696" s="308" t="s">
        <v>34208</v>
      </c>
      <c r="U5696" s="308" t="s">
        <v>27</v>
      </c>
      <c r="V5696" s="308"/>
    </row>
    <row r="5697">
      <c r="A5697" s="308">
        <v>5696.0</v>
      </c>
      <c r="B5697" s="308"/>
      <c r="C5697" s="308" t="s">
        <v>22834</v>
      </c>
      <c r="D5697" s="308">
        <f>IFERROR(__xludf.DUMMYFUNCTION("SPLIT(C5697,""-"")"),5717.0)</f>
        <v>5717</v>
      </c>
      <c r="E5697" s="308" t="str">
        <f>IFERROR(__xludf.DUMMYFUNCTION("""COMPUTED_VALUE"""),"K")</f>
        <v>K</v>
      </c>
      <c r="F5697" s="309" t="s">
        <v>34</v>
      </c>
      <c r="G5697" s="308"/>
      <c r="H5697" s="308" t="s">
        <v>22835</v>
      </c>
      <c r="I5697" s="310">
        <v>43411.0</v>
      </c>
      <c r="J5697" s="319">
        <f>IFERROR(__xludf.DUMMYFUNCTION("SPLIT(I5697,""/"")"),7.0)</f>
        <v>7</v>
      </c>
      <c r="K5697" s="308">
        <f>IFERROR(__xludf.DUMMYFUNCTION("""COMPUTED_VALUE"""),11.0)</f>
        <v>11</v>
      </c>
      <c r="L5697" s="308">
        <f>IFERROR(__xludf.DUMMYFUNCTION("""COMPUTED_VALUE"""),2018.0)</f>
        <v>2018</v>
      </c>
      <c r="M5697" s="308" t="s">
        <v>22836</v>
      </c>
      <c r="N5697" s="308"/>
      <c r="O5697" s="308"/>
      <c r="P5697" s="308" t="s">
        <v>38586</v>
      </c>
      <c r="Q5697" s="308" t="s">
        <v>38587</v>
      </c>
      <c r="R5697" s="308" t="s">
        <v>16185</v>
      </c>
      <c r="S5697" s="308" t="s">
        <v>81</v>
      </c>
      <c r="T5697" s="311" t="s">
        <v>91</v>
      </c>
      <c r="U5697" s="308" t="s">
        <v>125</v>
      </c>
      <c r="V5697" s="308"/>
    </row>
    <row r="5698">
      <c r="A5698" s="308">
        <v>5697.0</v>
      </c>
      <c r="B5698" s="308"/>
      <c r="C5698" s="308" t="s">
        <v>22838</v>
      </c>
      <c r="D5698" s="308">
        <f>IFERROR(__xludf.DUMMYFUNCTION("SPLIT(C5698,""-"")"),5718.0)</f>
        <v>5718</v>
      </c>
      <c r="E5698" s="308" t="str">
        <f>IFERROR(__xludf.DUMMYFUNCTION("""COMPUTED_VALUE"""),"P")</f>
        <v>P</v>
      </c>
      <c r="F5698" s="312" t="s">
        <v>37</v>
      </c>
      <c r="G5698" s="308"/>
      <c r="H5698" s="308" t="s">
        <v>22839</v>
      </c>
      <c r="I5698" s="314">
        <v>43402.0</v>
      </c>
      <c r="J5698" s="319">
        <f>IFERROR(__xludf.DUMMYFUNCTION("SPLIT(I5698,""/"")"),29.0)</f>
        <v>29</v>
      </c>
      <c r="K5698" s="308">
        <f>IFERROR(__xludf.DUMMYFUNCTION("""COMPUTED_VALUE"""),10.0)</f>
        <v>10</v>
      </c>
      <c r="L5698" s="308">
        <f>IFERROR(__xludf.DUMMYFUNCTION("""COMPUTED_VALUE"""),2018.0)</f>
        <v>2018</v>
      </c>
      <c r="M5698" s="308" t="s">
        <v>22840</v>
      </c>
      <c r="N5698" s="308"/>
      <c r="O5698" s="308"/>
      <c r="P5698" s="308" t="s">
        <v>22841</v>
      </c>
      <c r="Q5698" s="308" t="s">
        <v>38587</v>
      </c>
      <c r="R5698" s="308" t="s">
        <v>2743</v>
      </c>
      <c r="S5698" s="308" t="s">
        <v>81</v>
      </c>
      <c r="T5698" s="308" t="s">
        <v>75</v>
      </c>
      <c r="U5698" s="308" t="s">
        <v>149</v>
      </c>
      <c r="V5698" s="308"/>
    </row>
    <row r="5699">
      <c r="A5699" s="308">
        <v>5698.0</v>
      </c>
      <c r="B5699" s="308"/>
      <c r="C5699" s="308" t="s">
        <v>22842</v>
      </c>
      <c r="D5699" s="308">
        <f>IFERROR(__xludf.DUMMYFUNCTION("SPLIT(C5699,""-"")"),5719.0)</f>
        <v>5719</v>
      </c>
      <c r="E5699" s="308" t="str">
        <f>IFERROR(__xludf.DUMMYFUNCTION("""COMPUTED_VALUE"""),"K")</f>
        <v>K</v>
      </c>
      <c r="F5699" s="309" t="s">
        <v>34</v>
      </c>
      <c r="G5699" s="308"/>
      <c r="H5699" s="308" t="s">
        <v>22843</v>
      </c>
      <c r="I5699" s="310">
        <v>39987.0</v>
      </c>
      <c r="J5699" s="319">
        <f>IFERROR(__xludf.DUMMYFUNCTION("SPLIT(I5699,""/"")"),23.0)</f>
        <v>23</v>
      </c>
      <c r="K5699" s="308">
        <f>IFERROR(__xludf.DUMMYFUNCTION("""COMPUTED_VALUE"""),6.0)</f>
        <v>6</v>
      </c>
      <c r="L5699" s="308">
        <f>IFERROR(__xludf.DUMMYFUNCTION("""COMPUTED_VALUE"""),2009.0)</f>
        <v>2009</v>
      </c>
      <c r="M5699" s="308" t="s">
        <v>22844</v>
      </c>
      <c r="N5699" s="308" t="s">
        <v>22845</v>
      </c>
      <c r="O5699" s="308"/>
      <c r="P5699" s="308" t="s">
        <v>136</v>
      </c>
      <c r="Q5699" s="308" t="s">
        <v>38587</v>
      </c>
      <c r="R5699" s="308" t="s">
        <v>2743</v>
      </c>
      <c r="S5699" s="315" t="s">
        <v>100</v>
      </c>
      <c r="T5699" s="308" t="s">
        <v>34208</v>
      </c>
      <c r="U5699" s="308" t="s">
        <v>530</v>
      </c>
      <c r="V5699" s="308"/>
    </row>
    <row r="5700">
      <c r="A5700" s="308">
        <v>5699.0</v>
      </c>
      <c r="B5700" s="308"/>
      <c r="C5700" s="308" t="s">
        <v>22846</v>
      </c>
      <c r="D5700" s="308">
        <f>IFERROR(__xludf.DUMMYFUNCTION("SPLIT(C5700,""-"")"),5720.0)</f>
        <v>5720</v>
      </c>
      <c r="E5700" s="308" t="str">
        <f>IFERROR(__xludf.DUMMYFUNCTION("""COMPUTED_VALUE"""),"P")</f>
        <v>P</v>
      </c>
      <c r="F5700" s="312" t="s">
        <v>37</v>
      </c>
      <c r="G5700" s="308"/>
      <c r="H5700" s="308" t="s">
        <v>22847</v>
      </c>
      <c r="I5700" s="314">
        <v>43461.0</v>
      </c>
      <c r="J5700" s="319">
        <f>IFERROR(__xludf.DUMMYFUNCTION("SPLIT(I5700,""/"")"),27.0)</f>
        <v>27</v>
      </c>
      <c r="K5700" s="308">
        <f>IFERROR(__xludf.DUMMYFUNCTION("""COMPUTED_VALUE"""),12.0)</f>
        <v>12</v>
      </c>
      <c r="L5700" s="308">
        <f>IFERROR(__xludf.DUMMYFUNCTION("""COMPUTED_VALUE"""),2018.0)</f>
        <v>2018</v>
      </c>
      <c r="M5700" s="308" t="s">
        <v>22848</v>
      </c>
      <c r="N5700" s="308"/>
      <c r="O5700" s="308"/>
      <c r="P5700" s="308" t="s">
        <v>38588</v>
      </c>
      <c r="Q5700" s="308" t="s">
        <v>38587</v>
      </c>
      <c r="R5700" s="308" t="s">
        <v>2743</v>
      </c>
      <c r="S5700" s="308" t="s">
        <v>81</v>
      </c>
      <c r="T5700" s="308" t="s">
        <v>75</v>
      </c>
      <c r="U5700" s="308" t="s">
        <v>22850</v>
      </c>
      <c r="V5700" s="308"/>
    </row>
    <row r="5701">
      <c r="A5701" s="308">
        <v>5700.0</v>
      </c>
      <c r="B5701" s="308"/>
      <c r="C5701" s="308" t="s">
        <v>22851</v>
      </c>
      <c r="D5701" s="308">
        <f>IFERROR(__xludf.DUMMYFUNCTION("SPLIT(C5701,""-"")"),5721.0)</f>
        <v>5721</v>
      </c>
      <c r="E5701" s="308" t="str">
        <f>IFERROR(__xludf.DUMMYFUNCTION("""COMPUTED_VALUE"""),"K")</f>
        <v>K</v>
      </c>
      <c r="F5701" s="309" t="s">
        <v>34</v>
      </c>
      <c r="G5701" s="308"/>
      <c r="H5701" s="308" t="s">
        <v>22852</v>
      </c>
      <c r="I5701" s="314">
        <v>42660.0</v>
      </c>
      <c r="J5701" s="319">
        <f>IFERROR(__xludf.DUMMYFUNCTION("SPLIT(I5701,""/"")"),17.0)</f>
        <v>17</v>
      </c>
      <c r="K5701" s="308">
        <f>IFERROR(__xludf.DUMMYFUNCTION("""COMPUTED_VALUE"""),10.0)</f>
        <v>10</v>
      </c>
      <c r="L5701" s="308">
        <f>IFERROR(__xludf.DUMMYFUNCTION("""COMPUTED_VALUE"""),2016.0)</f>
        <v>2016</v>
      </c>
      <c r="M5701" s="308" t="s">
        <v>22853</v>
      </c>
      <c r="N5701" s="308"/>
      <c r="O5701" s="308"/>
      <c r="P5701" s="308" t="s">
        <v>136</v>
      </c>
      <c r="Q5701" s="308" t="s">
        <v>38587</v>
      </c>
      <c r="R5701" s="308" t="s">
        <v>2743</v>
      </c>
      <c r="S5701" s="315" t="s">
        <v>100</v>
      </c>
      <c r="T5701" s="308" t="s">
        <v>34208</v>
      </c>
      <c r="U5701" s="308" t="s">
        <v>125</v>
      </c>
      <c r="V5701" s="308"/>
    </row>
    <row r="5702">
      <c r="A5702" s="308">
        <v>5701.0</v>
      </c>
      <c r="B5702" s="308"/>
      <c r="C5702" s="308" t="s">
        <v>22854</v>
      </c>
      <c r="D5702" s="308">
        <f>IFERROR(__xludf.DUMMYFUNCTION("SPLIT(C5702,""-"")"),5722.0)</f>
        <v>5722</v>
      </c>
      <c r="E5702" s="308" t="str">
        <f>IFERROR(__xludf.DUMMYFUNCTION("""COMPUTED_VALUE"""),"K")</f>
        <v>K</v>
      </c>
      <c r="F5702" s="309" t="s">
        <v>34</v>
      </c>
      <c r="G5702" s="308"/>
      <c r="H5702" s="308" t="s">
        <v>22855</v>
      </c>
      <c r="I5702" s="310">
        <v>40045.0</v>
      </c>
      <c r="J5702" s="319">
        <f>IFERROR(__xludf.DUMMYFUNCTION("SPLIT(I5702,""/"")"),20.0)</f>
        <v>20</v>
      </c>
      <c r="K5702" s="308">
        <f>IFERROR(__xludf.DUMMYFUNCTION("""COMPUTED_VALUE"""),8.0)</f>
        <v>8</v>
      </c>
      <c r="L5702" s="308">
        <f>IFERROR(__xludf.DUMMYFUNCTION("""COMPUTED_VALUE"""),2009.0)</f>
        <v>2009</v>
      </c>
      <c r="M5702" s="308" t="s">
        <v>22856</v>
      </c>
      <c r="N5702" s="308" t="s">
        <v>22857</v>
      </c>
      <c r="O5702" s="308"/>
      <c r="P5702" s="308" t="s">
        <v>136</v>
      </c>
      <c r="Q5702" s="308" t="s">
        <v>38587</v>
      </c>
      <c r="R5702" s="308" t="s">
        <v>2743</v>
      </c>
      <c r="S5702" s="315" t="s">
        <v>100</v>
      </c>
      <c r="T5702" s="308" t="s">
        <v>34208</v>
      </c>
      <c r="U5702" s="308" t="s">
        <v>530</v>
      </c>
      <c r="V5702" s="308"/>
    </row>
    <row r="5703">
      <c r="A5703" s="308">
        <v>5702.0</v>
      </c>
      <c r="B5703" s="308"/>
      <c r="C5703" s="308" t="s">
        <v>22858</v>
      </c>
      <c r="D5703" s="308">
        <f>IFERROR(__xludf.DUMMYFUNCTION("SPLIT(C5703,""-"")"),5723.0)</f>
        <v>5723</v>
      </c>
      <c r="E5703" s="308" t="str">
        <f>IFERROR(__xludf.DUMMYFUNCTION("""COMPUTED_VALUE"""),"P")</f>
        <v>P</v>
      </c>
      <c r="F5703" s="312" t="s">
        <v>37</v>
      </c>
      <c r="G5703" s="308"/>
      <c r="H5703" s="308" t="s">
        <v>22859</v>
      </c>
      <c r="I5703" s="310">
        <v>43113.0</v>
      </c>
      <c r="J5703" s="319">
        <f>IFERROR(__xludf.DUMMYFUNCTION("SPLIT(I5703,""/"")"),13.0)</f>
        <v>13</v>
      </c>
      <c r="K5703" s="308">
        <f>IFERROR(__xludf.DUMMYFUNCTION("""COMPUTED_VALUE"""),1.0)</f>
        <v>1</v>
      </c>
      <c r="L5703" s="308">
        <f>IFERROR(__xludf.DUMMYFUNCTION("""COMPUTED_VALUE"""),2018.0)</f>
        <v>2018</v>
      </c>
      <c r="M5703" s="308" t="s">
        <v>22860</v>
      </c>
      <c r="N5703" s="308" t="s">
        <v>22861</v>
      </c>
      <c r="O5703" s="308"/>
      <c r="P5703" s="308" t="s">
        <v>38589</v>
      </c>
      <c r="Q5703" s="308" t="s">
        <v>38587</v>
      </c>
      <c r="R5703" s="308" t="s">
        <v>16185</v>
      </c>
      <c r="S5703" s="308" t="s">
        <v>81</v>
      </c>
      <c r="T5703" s="311" t="s">
        <v>96</v>
      </c>
      <c r="U5703" s="308" t="s">
        <v>14456</v>
      </c>
      <c r="V5703" s="308"/>
    </row>
    <row r="5704">
      <c r="A5704" s="308">
        <v>5703.0</v>
      </c>
      <c r="B5704" s="308"/>
      <c r="C5704" s="308" t="s">
        <v>22863</v>
      </c>
      <c r="D5704" s="308">
        <f>IFERROR(__xludf.DUMMYFUNCTION("SPLIT(C5704,""-"")"),5724.0)</f>
        <v>5724</v>
      </c>
      <c r="E5704" s="308" t="str">
        <f>IFERROR(__xludf.DUMMYFUNCTION("""COMPUTED_VALUE"""),"K")</f>
        <v>K</v>
      </c>
      <c r="F5704" s="309" t="s">
        <v>34</v>
      </c>
      <c r="G5704" s="308"/>
      <c r="H5704" s="308" t="s">
        <v>22864</v>
      </c>
      <c r="I5704" s="310">
        <v>41844.0</v>
      </c>
      <c r="J5704" s="319">
        <f>IFERROR(__xludf.DUMMYFUNCTION("SPLIT(I5704,""/"")"),24.0)</f>
        <v>24</v>
      </c>
      <c r="K5704" s="308">
        <f>IFERROR(__xludf.DUMMYFUNCTION("""COMPUTED_VALUE"""),7.0)</f>
        <v>7</v>
      </c>
      <c r="L5704" s="308">
        <f>IFERROR(__xludf.DUMMYFUNCTION("""COMPUTED_VALUE"""),2014.0)</f>
        <v>2014</v>
      </c>
      <c r="M5704" s="308" t="s">
        <v>22865</v>
      </c>
      <c r="N5704" s="308" t="s">
        <v>439</v>
      </c>
      <c r="O5704" s="308" t="s">
        <v>22866</v>
      </c>
      <c r="P5704" s="308" t="s">
        <v>136</v>
      </c>
      <c r="Q5704" s="308" t="s">
        <v>38587</v>
      </c>
      <c r="R5704" s="308" t="s">
        <v>16185</v>
      </c>
      <c r="S5704" s="315" t="s">
        <v>100</v>
      </c>
      <c r="T5704" s="308" t="s">
        <v>34208</v>
      </c>
      <c r="U5704" s="308" t="s">
        <v>872</v>
      </c>
      <c r="V5704" s="308"/>
    </row>
    <row r="5705">
      <c r="A5705" s="308">
        <v>5704.0</v>
      </c>
      <c r="B5705" s="308"/>
      <c r="C5705" s="308" t="s">
        <v>22867</v>
      </c>
      <c r="D5705" s="308">
        <f>IFERROR(__xludf.DUMMYFUNCTION("SPLIT(C5705,""-"")"),5725.0)</f>
        <v>5725</v>
      </c>
      <c r="E5705" s="308" t="str">
        <f>IFERROR(__xludf.DUMMYFUNCTION("""COMPUTED_VALUE"""),"P")</f>
        <v>P</v>
      </c>
      <c r="F5705" s="312" t="s">
        <v>37</v>
      </c>
      <c r="G5705" s="308"/>
      <c r="H5705" s="308" t="s">
        <v>22868</v>
      </c>
      <c r="I5705" s="310">
        <v>43139.0</v>
      </c>
      <c r="J5705" s="319">
        <f>IFERROR(__xludf.DUMMYFUNCTION("SPLIT(I5705,""/"")"),8.0)</f>
        <v>8</v>
      </c>
      <c r="K5705" s="308">
        <f>IFERROR(__xludf.DUMMYFUNCTION("""COMPUTED_VALUE"""),2.0)</f>
        <v>2</v>
      </c>
      <c r="L5705" s="308">
        <f>IFERROR(__xludf.DUMMYFUNCTION("""COMPUTED_VALUE"""),2018.0)</f>
        <v>2018</v>
      </c>
      <c r="M5705" s="308" t="s">
        <v>22869</v>
      </c>
      <c r="N5705" s="308"/>
      <c r="O5705" s="308"/>
      <c r="P5705" s="308" t="s">
        <v>38590</v>
      </c>
      <c r="Q5705" s="308" t="s">
        <v>38587</v>
      </c>
      <c r="R5705" s="308" t="s">
        <v>2743</v>
      </c>
      <c r="S5705" s="308" t="s">
        <v>81</v>
      </c>
      <c r="T5705" s="311" t="s">
        <v>51</v>
      </c>
      <c r="U5705" s="308" t="s">
        <v>14456</v>
      </c>
      <c r="V5705" s="308"/>
    </row>
    <row r="5706">
      <c r="A5706" s="308">
        <v>5705.0</v>
      </c>
      <c r="B5706" s="308"/>
      <c r="C5706" s="308" t="s">
        <v>22871</v>
      </c>
      <c r="D5706" s="308">
        <f>IFERROR(__xludf.DUMMYFUNCTION("SPLIT(C5706,""-"")"),5726.0)</f>
        <v>5726</v>
      </c>
      <c r="E5706" s="308" t="str">
        <f>IFERROR(__xludf.DUMMYFUNCTION("""COMPUTED_VALUE"""),"K")</f>
        <v>K</v>
      </c>
      <c r="F5706" s="309" t="s">
        <v>34</v>
      </c>
      <c r="G5706" s="308"/>
      <c r="H5706" s="308" t="s">
        <v>22872</v>
      </c>
      <c r="I5706" s="310">
        <v>43073.0</v>
      </c>
      <c r="J5706" s="319" t="str">
        <f>IFERROR(__xludf.DUMMYFUNCTION("SPLIT(I5706,""/"")"),"#REF!")</f>
        <v>#REF!</v>
      </c>
      <c r="K5706" s="308"/>
      <c r="L5706" s="308">
        <v>2017.0</v>
      </c>
      <c r="M5706" s="308" t="s">
        <v>22873</v>
      </c>
      <c r="N5706" s="308" t="s">
        <v>439</v>
      </c>
      <c r="O5706" s="308" t="s">
        <v>22874</v>
      </c>
      <c r="P5706" s="308" t="s">
        <v>22875</v>
      </c>
      <c r="Q5706" s="308" t="s">
        <v>38591</v>
      </c>
      <c r="R5706" s="308" t="s">
        <v>2743</v>
      </c>
      <c r="S5706" s="308" t="s">
        <v>81</v>
      </c>
      <c r="T5706" s="308" t="s">
        <v>98</v>
      </c>
      <c r="U5706" s="308" t="s">
        <v>2989</v>
      </c>
      <c r="V5706" s="308"/>
    </row>
    <row r="5707">
      <c r="A5707" s="308">
        <v>5706.0</v>
      </c>
      <c r="B5707" s="308"/>
      <c r="C5707" s="308" t="s">
        <v>22876</v>
      </c>
      <c r="D5707" s="308">
        <f>IFERROR(__xludf.DUMMYFUNCTION("SPLIT(C5707,""-"")"),5727.0)</f>
        <v>5727</v>
      </c>
      <c r="E5707" s="308" t="str">
        <f>IFERROR(__xludf.DUMMYFUNCTION("""COMPUTED_VALUE"""),"S")</f>
        <v>S</v>
      </c>
      <c r="F5707" s="312" t="s">
        <v>39</v>
      </c>
      <c r="G5707" s="308"/>
      <c r="H5707" s="308" t="s">
        <v>22877</v>
      </c>
      <c r="I5707" s="310">
        <v>43225.0</v>
      </c>
      <c r="J5707" s="319">
        <f>IFERROR(__xludf.DUMMYFUNCTION("SPLIT(I5707,""/"")"),5.0)</f>
        <v>5</v>
      </c>
      <c r="K5707" s="308">
        <f>IFERROR(__xludf.DUMMYFUNCTION("""COMPUTED_VALUE"""),5.0)</f>
        <v>5</v>
      </c>
      <c r="L5707" s="308">
        <f>IFERROR(__xludf.DUMMYFUNCTION("""COMPUTED_VALUE"""),2018.0)</f>
        <v>2018</v>
      </c>
      <c r="M5707" s="308" t="s">
        <v>22878</v>
      </c>
      <c r="N5707" s="308"/>
      <c r="O5707" s="308"/>
      <c r="P5707" s="308" t="s">
        <v>38592</v>
      </c>
      <c r="Q5707" s="308" t="s">
        <v>38591</v>
      </c>
      <c r="R5707" s="308" t="s">
        <v>2743</v>
      </c>
      <c r="S5707" s="308" t="s">
        <v>49</v>
      </c>
      <c r="T5707" s="311" t="s">
        <v>51</v>
      </c>
      <c r="U5707" s="308" t="s">
        <v>38593</v>
      </c>
      <c r="V5707" s="308"/>
    </row>
    <row r="5708">
      <c r="A5708" s="308">
        <v>5707.0</v>
      </c>
      <c r="B5708" s="308"/>
      <c r="C5708" s="308" t="s">
        <v>22880</v>
      </c>
      <c r="D5708" s="308">
        <f>IFERROR(__xludf.DUMMYFUNCTION("SPLIT(C5708,""-"")"),5728.0)</f>
        <v>5728</v>
      </c>
      <c r="E5708" s="308" t="str">
        <f>IFERROR(__xludf.DUMMYFUNCTION("""COMPUTED_VALUE"""),"K")</f>
        <v>K</v>
      </c>
      <c r="F5708" s="309" t="s">
        <v>34</v>
      </c>
      <c r="G5708" s="308"/>
      <c r="H5708" s="308" t="s">
        <v>22881</v>
      </c>
      <c r="I5708" s="310">
        <v>43217.0</v>
      </c>
      <c r="J5708" s="319">
        <f>IFERROR(__xludf.DUMMYFUNCTION("SPLIT(I5708,""/"")"),27.0)</f>
        <v>27</v>
      </c>
      <c r="K5708" s="308">
        <f>IFERROR(__xludf.DUMMYFUNCTION("""COMPUTED_VALUE"""),4.0)</f>
        <v>4</v>
      </c>
      <c r="L5708" s="308">
        <f>IFERROR(__xludf.DUMMYFUNCTION("""COMPUTED_VALUE"""),2018.0)</f>
        <v>2018</v>
      </c>
      <c r="M5708" s="308" t="s">
        <v>22882</v>
      </c>
      <c r="N5708" s="308"/>
      <c r="O5708" s="308"/>
      <c r="P5708" s="308" t="s">
        <v>38594</v>
      </c>
      <c r="Q5708" s="308" t="s">
        <v>38595</v>
      </c>
      <c r="R5708" s="308" t="s">
        <v>2743</v>
      </c>
      <c r="S5708" s="308" t="s">
        <v>81</v>
      </c>
      <c r="T5708" s="308" t="s">
        <v>75</v>
      </c>
      <c r="U5708" s="308" t="s">
        <v>2152</v>
      </c>
      <c r="V5708" s="308"/>
    </row>
    <row r="5709">
      <c r="A5709" s="308">
        <v>5708.0</v>
      </c>
      <c r="B5709" s="308"/>
      <c r="C5709" s="308" t="s">
        <v>22884</v>
      </c>
      <c r="D5709" s="308">
        <f>IFERROR(__xludf.DUMMYFUNCTION("SPLIT(C5709,""-"")"),5729.0)</f>
        <v>5729</v>
      </c>
      <c r="E5709" s="308" t="str">
        <f>IFERROR(__xludf.DUMMYFUNCTION("""COMPUTED_VALUE"""),"K")</f>
        <v>K</v>
      </c>
      <c r="F5709" s="309" t="s">
        <v>34</v>
      </c>
      <c r="G5709" s="308"/>
      <c r="H5709" s="308" t="s">
        <v>22885</v>
      </c>
      <c r="I5709" s="310">
        <v>40577.0</v>
      </c>
      <c r="J5709" s="319">
        <f>IFERROR(__xludf.DUMMYFUNCTION("SPLIT(I5709,""/"")"),3.0)</f>
        <v>3</v>
      </c>
      <c r="K5709" s="308">
        <f>IFERROR(__xludf.DUMMYFUNCTION("""COMPUTED_VALUE"""),2.0)</f>
        <v>2</v>
      </c>
      <c r="L5709" s="308">
        <f>IFERROR(__xludf.DUMMYFUNCTION("""COMPUTED_VALUE"""),2011.0)</f>
        <v>2011</v>
      </c>
      <c r="M5709" s="308" t="s">
        <v>22886</v>
      </c>
      <c r="N5709" s="308"/>
      <c r="O5709" s="308"/>
      <c r="P5709" s="308" t="s">
        <v>136</v>
      </c>
      <c r="Q5709" s="308" t="s">
        <v>38595</v>
      </c>
      <c r="R5709" s="308" t="s">
        <v>2743</v>
      </c>
      <c r="S5709" s="315" t="s">
        <v>100</v>
      </c>
      <c r="T5709" s="308" t="s">
        <v>34208</v>
      </c>
      <c r="U5709" s="308" t="s">
        <v>542</v>
      </c>
      <c r="V5709" s="308"/>
    </row>
    <row r="5710">
      <c r="A5710" s="308">
        <v>5709.0</v>
      </c>
      <c r="B5710" s="308"/>
      <c r="C5710" s="308" t="s">
        <v>22887</v>
      </c>
      <c r="D5710" s="308">
        <f>IFERROR(__xludf.DUMMYFUNCTION("SPLIT(C5710,""-"")"),5730.0)</f>
        <v>5730</v>
      </c>
      <c r="E5710" s="308" t="str">
        <f>IFERROR(__xludf.DUMMYFUNCTION("""COMPUTED_VALUE"""),"P")</f>
        <v>P</v>
      </c>
      <c r="F5710" s="312" t="s">
        <v>37</v>
      </c>
      <c r="G5710" s="308"/>
      <c r="H5710" s="308" t="s">
        <v>22888</v>
      </c>
      <c r="I5710" s="314">
        <v>43448.0</v>
      </c>
      <c r="J5710" s="319">
        <f>IFERROR(__xludf.DUMMYFUNCTION("SPLIT(I5710,""/"")"),14.0)</f>
        <v>14</v>
      </c>
      <c r="K5710" s="308">
        <f>IFERROR(__xludf.DUMMYFUNCTION("""COMPUTED_VALUE"""),12.0)</f>
        <v>12</v>
      </c>
      <c r="L5710" s="308">
        <f>IFERROR(__xludf.DUMMYFUNCTION("""COMPUTED_VALUE"""),2018.0)</f>
        <v>2018</v>
      </c>
      <c r="M5710" s="308" t="s">
        <v>22889</v>
      </c>
      <c r="N5710" s="308"/>
      <c r="O5710" s="308"/>
      <c r="P5710" s="308" t="s">
        <v>22890</v>
      </c>
      <c r="Q5710" s="308" t="s">
        <v>38596</v>
      </c>
      <c r="R5710" s="308" t="s">
        <v>2743</v>
      </c>
      <c r="S5710" s="308" t="s">
        <v>81</v>
      </c>
      <c r="T5710" s="311" t="s">
        <v>73</v>
      </c>
      <c r="U5710" s="308" t="s">
        <v>15586</v>
      </c>
      <c r="V5710" s="308"/>
    </row>
    <row r="5711">
      <c r="A5711" s="308">
        <v>5710.0</v>
      </c>
      <c r="B5711" s="308"/>
      <c r="C5711" s="308" t="s">
        <v>22891</v>
      </c>
      <c r="D5711" s="308">
        <f>IFERROR(__xludf.DUMMYFUNCTION("SPLIT(C5711,""-"")"),5731.0)</f>
        <v>5731</v>
      </c>
      <c r="E5711" s="308" t="str">
        <f>IFERROR(__xludf.DUMMYFUNCTION("""COMPUTED_VALUE"""),"K")</f>
        <v>K</v>
      </c>
      <c r="F5711" s="309" t="s">
        <v>34</v>
      </c>
      <c r="G5711" s="308"/>
      <c r="H5711" s="308" t="s">
        <v>22892</v>
      </c>
      <c r="I5711" s="310">
        <v>43129.0</v>
      </c>
      <c r="J5711" s="319">
        <f>IFERROR(__xludf.DUMMYFUNCTION("SPLIT(I5711,""/"")"),29.0)</f>
        <v>29</v>
      </c>
      <c r="K5711" s="308">
        <f>IFERROR(__xludf.DUMMYFUNCTION("""COMPUTED_VALUE"""),1.0)</f>
        <v>1</v>
      </c>
      <c r="L5711" s="308">
        <f>IFERROR(__xludf.DUMMYFUNCTION("""COMPUTED_VALUE"""),2018.0)</f>
        <v>2018</v>
      </c>
      <c r="M5711" s="308" t="s">
        <v>22893</v>
      </c>
      <c r="N5711" s="308" t="s">
        <v>22894</v>
      </c>
      <c r="O5711" s="308"/>
      <c r="P5711" s="308" t="s">
        <v>136</v>
      </c>
      <c r="Q5711" s="308" t="s">
        <v>38596</v>
      </c>
      <c r="R5711" s="308" t="s">
        <v>2743</v>
      </c>
      <c r="S5711" s="315" t="s">
        <v>100</v>
      </c>
      <c r="T5711" s="308" t="s">
        <v>34208</v>
      </c>
      <c r="U5711" s="308" t="s">
        <v>125</v>
      </c>
      <c r="V5711" s="308"/>
    </row>
    <row r="5712">
      <c r="A5712" s="308">
        <v>5711.0</v>
      </c>
      <c r="B5712" s="308"/>
      <c r="C5712" s="308" t="s">
        <v>22895</v>
      </c>
      <c r="D5712" s="308">
        <f>IFERROR(__xludf.DUMMYFUNCTION("SPLIT(C5712,""-"")"),5732.0)</f>
        <v>5732</v>
      </c>
      <c r="E5712" s="308" t="str">
        <f>IFERROR(__xludf.DUMMYFUNCTION("""COMPUTED_VALUE"""),"K")</f>
        <v>K</v>
      </c>
      <c r="F5712" s="309" t="s">
        <v>34</v>
      </c>
      <c r="G5712" s="308"/>
      <c r="H5712" s="308" t="s">
        <v>22896</v>
      </c>
      <c r="I5712" s="310">
        <v>40725.0</v>
      </c>
      <c r="J5712" s="319">
        <f>IFERROR(__xludf.DUMMYFUNCTION("SPLIT(I5712,""/"")"),1.0)</f>
        <v>1</v>
      </c>
      <c r="K5712" s="308">
        <f>IFERROR(__xludf.DUMMYFUNCTION("""COMPUTED_VALUE"""),7.0)</f>
        <v>7</v>
      </c>
      <c r="L5712" s="308">
        <f>IFERROR(__xludf.DUMMYFUNCTION("""COMPUTED_VALUE"""),2011.0)</f>
        <v>2011</v>
      </c>
      <c r="M5712" s="308" t="s">
        <v>22897</v>
      </c>
      <c r="N5712" s="308" t="s">
        <v>22898</v>
      </c>
      <c r="O5712" s="308" t="s">
        <v>22899</v>
      </c>
      <c r="P5712" s="308" t="s">
        <v>136</v>
      </c>
      <c r="Q5712" s="308" t="s">
        <v>38596</v>
      </c>
      <c r="R5712" s="308" t="s">
        <v>2743</v>
      </c>
      <c r="S5712" s="315" t="s">
        <v>100</v>
      </c>
      <c r="T5712" s="308" t="s">
        <v>34208</v>
      </c>
      <c r="U5712" s="308" t="s">
        <v>530</v>
      </c>
      <c r="V5712" s="308"/>
    </row>
    <row r="5713">
      <c r="A5713" s="308">
        <v>5712.0</v>
      </c>
      <c r="B5713" s="308"/>
      <c r="C5713" s="308" t="s">
        <v>22900</v>
      </c>
      <c r="D5713" s="308">
        <f>IFERROR(__xludf.DUMMYFUNCTION("SPLIT(C5713,""-"")"),5733.0)</f>
        <v>5733</v>
      </c>
      <c r="E5713" s="308" t="str">
        <f>IFERROR(__xludf.DUMMYFUNCTION("""COMPUTED_VALUE"""),"K")</f>
        <v>K</v>
      </c>
      <c r="F5713" s="309" t="s">
        <v>34</v>
      </c>
      <c r="G5713" s="308"/>
      <c r="H5713" s="308" t="s">
        <v>22901</v>
      </c>
      <c r="I5713" s="310">
        <v>40725.0</v>
      </c>
      <c r="J5713" s="319">
        <f>IFERROR(__xludf.DUMMYFUNCTION("SPLIT(I5713,""/"")"),1.0)</f>
        <v>1</v>
      </c>
      <c r="K5713" s="308">
        <f>IFERROR(__xludf.DUMMYFUNCTION("""COMPUTED_VALUE"""),7.0)</f>
        <v>7</v>
      </c>
      <c r="L5713" s="308">
        <f>IFERROR(__xludf.DUMMYFUNCTION("""COMPUTED_VALUE"""),2011.0)</f>
        <v>2011</v>
      </c>
      <c r="M5713" s="308" t="s">
        <v>22902</v>
      </c>
      <c r="N5713" s="308" t="s">
        <v>22903</v>
      </c>
      <c r="O5713" s="308" t="s">
        <v>22899</v>
      </c>
      <c r="P5713" s="308" t="s">
        <v>136</v>
      </c>
      <c r="Q5713" s="308" t="s">
        <v>38596</v>
      </c>
      <c r="R5713" s="308" t="s">
        <v>2743</v>
      </c>
      <c r="S5713" s="315" t="s">
        <v>100</v>
      </c>
      <c r="T5713" s="308" t="s">
        <v>34208</v>
      </c>
      <c r="U5713" s="308" t="s">
        <v>530</v>
      </c>
      <c r="V5713" s="308"/>
    </row>
    <row r="5714">
      <c r="A5714" s="308">
        <v>5713.0</v>
      </c>
      <c r="B5714" s="308"/>
      <c r="C5714" s="308" t="s">
        <v>22904</v>
      </c>
      <c r="D5714" s="308">
        <f>IFERROR(__xludf.DUMMYFUNCTION("SPLIT(C5714,""-"")"),5734.0)</f>
        <v>5734</v>
      </c>
      <c r="E5714" s="308" t="str">
        <f>IFERROR(__xludf.DUMMYFUNCTION("""COMPUTED_VALUE"""),"K")</f>
        <v>K</v>
      </c>
      <c r="F5714" s="309" t="s">
        <v>34</v>
      </c>
      <c r="G5714" s="308"/>
      <c r="H5714" s="308" t="s">
        <v>22905</v>
      </c>
      <c r="I5714" s="310">
        <v>39995.0</v>
      </c>
      <c r="J5714" s="319">
        <f>IFERROR(__xludf.DUMMYFUNCTION("SPLIT(I5714,""/"")"),1.0)</f>
        <v>1</v>
      </c>
      <c r="K5714" s="308">
        <f>IFERROR(__xludf.DUMMYFUNCTION("""COMPUTED_VALUE"""),7.0)</f>
        <v>7</v>
      </c>
      <c r="L5714" s="308">
        <f>IFERROR(__xludf.DUMMYFUNCTION("""COMPUTED_VALUE"""),2009.0)</f>
        <v>2009</v>
      </c>
      <c r="M5714" s="308" t="s">
        <v>22906</v>
      </c>
      <c r="N5714" s="308" t="s">
        <v>22907</v>
      </c>
      <c r="O5714" s="308"/>
      <c r="P5714" s="308" t="s">
        <v>38597</v>
      </c>
      <c r="Q5714" s="308" t="s">
        <v>38596</v>
      </c>
      <c r="R5714" s="308" t="s">
        <v>2743</v>
      </c>
      <c r="S5714" s="308" t="s">
        <v>81</v>
      </c>
      <c r="T5714" s="308" t="s">
        <v>34264</v>
      </c>
      <c r="U5714" s="308" t="s">
        <v>530</v>
      </c>
      <c r="V5714" s="308"/>
    </row>
    <row r="5715">
      <c r="A5715" s="308">
        <v>5714.0</v>
      </c>
      <c r="B5715" s="308"/>
      <c r="C5715" s="308" t="s">
        <v>22909</v>
      </c>
      <c r="D5715" s="308">
        <f>IFERROR(__xludf.DUMMYFUNCTION("SPLIT(C5715,""-"")"),5735.0)</f>
        <v>5735</v>
      </c>
      <c r="E5715" s="308" t="str">
        <f>IFERROR(__xludf.DUMMYFUNCTION("""COMPUTED_VALUE"""),"I")</f>
        <v>I</v>
      </c>
      <c r="F5715" s="309" t="s">
        <v>31</v>
      </c>
      <c r="G5715" s="308"/>
      <c r="H5715" s="308" t="s">
        <v>22910</v>
      </c>
      <c r="I5715" s="310">
        <v>42768.0</v>
      </c>
      <c r="J5715" s="319">
        <f>IFERROR(__xludf.DUMMYFUNCTION("SPLIT(I5715,""/"")"),2.0)</f>
        <v>2</v>
      </c>
      <c r="K5715" s="308">
        <f>IFERROR(__xludf.DUMMYFUNCTION("""COMPUTED_VALUE"""),2.0)</f>
        <v>2</v>
      </c>
      <c r="L5715" s="308">
        <f>IFERROR(__xludf.DUMMYFUNCTION("""COMPUTED_VALUE"""),2017.0)</f>
        <v>2017</v>
      </c>
      <c r="M5715" s="308" t="s">
        <v>38598</v>
      </c>
      <c r="N5715" s="308"/>
      <c r="O5715" s="308" t="s">
        <v>22912</v>
      </c>
      <c r="P5715" s="308" t="s">
        <v>38599</v>
      </c>
      <c r="Q5715" s="308" t="s">
        <v>38600</v>
      </c>
      <c r="R5715" s="308" t="s">
        <v>2743</v>
      </c>
      <c r="S5715" s="308" t="s">
        <v>81</v>
      </c>
      <c r="T5715" s="311" t="s">
        <v>51</v>
      </c>
      <c r="U5715" s="308" t="s">
        <v>5990</v>
      </c>
      <c r="V5715" s="308"/>
    </row>
    <row r="5716">
      <c r="A5716" s="308">
        <v>5715.0</v>
      </c>
      <c r="B5716" s="308"/>
      <c r="C5716" s="308" t="s">
        <v>22914</v>
      </c>
      <c r="D5716" s="308">
        <f>IFERROR(__xludf.DUMMYFUNCTION("SPLIT(C5716,""-"")"),5736.0)</f>
        <v>5736</v>
      </c>
      <c r="E5716" s="308" t="str">
        <f>IFERROR(__xludf.DUMMYFUNCTION("""COMPUTED_VALUE"""),"K")</f>
        <v>K</v>
      </c>
      <c r="F5716" s="309" t="s">
        <v>34</v>
      </c>
      <c r="G5716" s="308"/>
      <c r="H5716" s="308" t="s">
        <v>22915</v>
      </c>
      <c r="I5716" s="310">
        <v>41161.0</v>
      </c>
      <c r="J5716" s="319">
        <f>IFERROR(__xludf.DUMMYFUNCTION("SPLIT(I5716,""/"")"),9.0)</f>
        <v>9</v>
      </c>
      <c r="K5716" s="308">
        <f>IFERROR(__xludf.DUMMYFUNCTION("""COMPUTED_VALUE"""),9.0)</f>
        <v>9</v>
      </c>
      <c r="L5716" s="308">
        <f>IFERROR(__xludf.DUMMYFUNCTION("""COMPUTED_VALUE"""),2012.0)</f>
        <v>2012</v>
      </c>
      <c r="M5716" s="308" t="s">
        <v>22916</v>
      </c>
      <c r="N5716" s="308" t="s">
        <v>22917</v>
      </c>
      <c r="O5716" s="308" t="s">
        <v>22918</v>
      </c>
      <c r="P5716" s="308" t="s">
        <v>136</v>
      </c>
      <c r="Q5716" s="308" t="s">
        <v>38601</v>
      </c>
      <c r="R5716" s="308" t="s">
        <v>2743</v>
      </c>
      <c r="S5716" s="315" t="s">
        <v>100</v>
      </c>
      <c r="T5716" s="308" t="s">
        <v>34208</v>
      </c>
      <c r="U5716" s="308" t="s">
        <v>2152</v>
      </c>
      <c r="V5716" s="308"/>
    </row>
    <row r="5717">
      <c r="A5717" s="308">
        <v>5716.0</v>
      </c>
      <c r="B5717" s="308"/>
      <c r="C5717" s="308" t="s">
        <v>22919</v>
      </c>
      <c r="D5717" s="308">
        <f>IFERROR(__xludf.DUMMYFUNCTION("SPLIT(C5717,""-"")"),5737.0)</f>
        <v>5737</v>
      </c>
      <c r="E5717" s="308" t="str">
        <f>IFERROR(__xludf.DUMMYFUNCTION("""COMPUTED_VALUE"""),"K")</f>
        <v>K</v>
      </c>
      <c r="F5717" s="309" t="s">
        <v>34</v>
      </c>
      <c r="G5717" s="308"/>
      <c r="H5717" s="308" t="s">
        <v>22920</v>
      </c>
      <c r="I5717" s="310">
        <v>41161.0</v>
      </c>
      <c r="J5717" s="319">
        <f>IFERROR(__xludf.DUMMYFUNCTION("SPLIT(I5717,""/"")"),9.0)</f>
        <v>9</v>
      </c>
      <c r="K5717" s="308">
        <f>IFERROR(__xludf.DUMMYFUNCTION("""COMPUTED_VALUE"""),9.0)</f>
        <v>9</v>
      </c>
      <c r="L5717" s="308">
        <f>IFERROR(__xludf.DUMMYFUNCTION("""COMPUTED_VALUE"""),2012.0)</f>
        <v>2012</v>
      </c>
      <c r="M5717" s="308" t="s">
        <v>22916</v>
      </c>
      <c r="N5717" s="308" t="s">
        <v>22921</v>
      </c>
      <c r="O5717" s="308" t="s">
        <v>22918</v>
      </c>
      <c r="P5717" s="308" t="s">
        <v>136</v>
      </c>
      <c r="Q5717" s="308" t="s">
        <v>38601</v>
      </c>
      <c r="R5717" s="308" t="s">
        <v>2743</v>
      </c>
      <c r="S5717" s="315" t="s">
        <v>100</v>
      </c>
      <c r="T5717" s="308" t="s">
        <v>34208</v>
      </c>
      <c r="U5717" s="308" t="s">
        <v>2152</v>
      </c>
      <c r="V5717" s="308"/>
    </row>
    <row r="5718">
      <c r="A5718" s="308">
        <v>5717.0</v>
      </c>
      <c r="B5718" s="308"/>
      <c r="C5718" s="308" t="s">
        <v>22922</v>
      </c>
      <c r="D5718" s="308">
        <f>IFERROR(__xludf.DUMMYFUNCTION("SPLIT(C5718,""-"")"),5738.0)</f>
        <v>5738</v>
      </c>
      <c r="E5718" s="308" t="str">
        <f>IFERROR(__xludf.DUMMYFUNCTION("""COMPUTED_VALUE"""),"K")</f>
        <v>K</v>
      </c>
      <c r="F5718" s="309" t="s">
        <v>34</v>
      </c>
      <c r="G5718" s="308"/>
      <c r="H5718" s="308" t="s">
        <v>22923</v>
      </c>
      <c r="I5718" s="310">
        <v>41161.0</v>
      </c>
      <c r="J5718" s="319">
        <f>IFERROR(__xludf.DUMMYFUNCTION("SPLIT(I5718,""/"")"),9.0)</f>
        <v>9</v>
      </c>
      <c r="K5718" s="308">
        <f>IFERROR(__xludf.DUMMYFUNCTION("""COMPUTED_VALUE"""),9.0)</f>
        <v>9</v>
      </c>
      <c r="L5718" s="308">
        <f>IFERROR(__xludf.DUMMYFUNCTION("""COMPUTED_VALUE"""),2012.0)</f>
        <v>2012</v>
      </c>
      <c r="M5718" s="308" t="s">
        <v>22916</v>
      </c>
      <c r="N5718" s="308"/>
      <c r="O5718" s="308"/>
      <c r="P5718" s="308" t="s">
        <v>136</v>
      </c>
      <c r="Q5718" s="308" t="s">
        <v>38601</v>
      </c>
      <c r="R5718" s="308" t="s">
        <v>2743</v>
      </c>
      <c r="S5718" s="315" t="s">
        <v>100</v>
      </c>
      <c r="T5718" s="308" t="s">
        <v>34208</v>
      </c>
      <c r="U5718" s="308" t="s">
        <v>2152</v>
      </c>
      <c r="V5718" s="308"/>
    </row>
    <row r="5719">
      <c r="A5719" s="308">
        <v>5718.0</v>
      </c>
      <c r="B5719" s="308"/>
      <c r="C5719" s="308" t="s">
        <v>22924</v>
      </c>
      <c r="D5719" s="308">
        <f>IFERROR(__xludf.DUMMYFUNCTION("SPLIT(C5719,""-"")"),5739.0)</f>
        <v>5739</v>
      </c>
      <c r="E5719" s="308" t="str">
        <f>IFERROR(__xludf.DUMMYFUNCTION("""COMPUTED_VALUE"""),"P")</f>
        <v>P</v>
      </c>
      <c r="F5719" s="312" t="s">
        <v>37</v>
      </c>
      <c r="G5719" s="308"/>
      <c r="H5719" s="308" t="s">
        <v>22925</v>
      </c>
      <c r="I5719" s="310">
        <v>39425.0</v>
      </c>
      <c r="J5719" s="319">
        <f>IFERROR(__xludf.DUMMYFUNCTION("SPLIT(I5719,""/"")"),9.0)</f>
        <v>9</v>
      </c>
      <c r="K5719" s="308">
        <f>IFERROR(__xludf.DUMMYFUNCTION("""COMPUTED_VALUE"""),12.0)</f>
        <v>12</v>
      </c>
      <c r="L5719" s="308">
        <f>IFERROR(__xludf.DUMMYFUNCTION("""COMPUTED_VALUE"""),2007.0)</f>
        <v>2007</v>
      </c>
      <c r="M5719" s="308" t="s">
        <v>22926</v>
      </c>
      <c r="N5719" s="308"/>
      <c r="O5719" s="308"/>
      <c r="P5719" s="308" t="s">
        <v>136</v>
      </c>
      <c r="Q5719" s="308" t="s">
        <v>38601</v>
      </c>
      <c r="R5719" s="308" t="s">
        <v>2743</v>
      </c>
      <c r="S5719" s="315" t="s">
        <v>100</v>
      </c>
      <c r="T5719" s="308" t="s">
        <v>34208</v>
      </c>
      <c r="U5719" s="308" t="s">
        <v>149</v>
      </c>
      <c r="V5719" s="308"/>
    </row>
    <row r="5720">
      <c r="A5720" s="308">
        <v>5719.0</v>
      </c>
      <c r="B5720" s="308"/>
      <c r="C5720" s="308" t="s">
        <v>22927</v>
      </c>
      <c r="D5720" s="308">
        <f>IFERROR(__xludf.DUMMYFUNCTION("SPLIT(C5720,""-"")"),5740.0)</f>
        <v>5740</v>
      </c>
      <c r="E5720" s="308" t="str">
        <f>IFERROR(__xludf.DUMMYFUNCTION("""COMPUTED_VALUE"""),"K")</f>
        <v>K</v>
      </c>
      <c r="F5720" s="309" t="s">
        <v>34</v>
      </c>
      <c r="G5720" s="308"/>
      <c r="H5720" s="308" t="s">
        <v>22928</v>
      </c>
      <c r="I5720" s="310">
        <v>39425.0</v>
      </c>
      <c r="J5720" s="319">
        <f>IFERROR(__xludf.DUMMYFUNCTION("SPLIT(I5720,""/"")"),9.0)</f>
        <v>9</v>
      </c>
      <c r="K5720" s="308">
        <f>IFERROR(__xludf.DUMMYFUNCTION("""COMPUTED_VALUE"""),12.0)</f>
        <v>12</v>
      </c>
      <c r="L5720" s="308">
        <f>IFERROR(__xludf.DUMMYFUNCTION("""COMPUTED_VALUE"""),2007.0)</f>
        <v>2007</v>
      </c>
      <c r="M5720" s="308" t="s">
        <v>22926</v>
      </c>
      <c r="N5720" s="308"/>
      <c r="O5720" s="308"/>
      <c r="P5720" s="308" t="s">
        <v>136</v>
      </c>
      <c r="Q5720" s="308" t="s">
        <v>38601</v>
      </c>
      <c r="R5720" s="308" t="s">
        <v>2743</v>
      </c>
      <c r="S5720" s="315" t="s">
        <v>100</v>
      </c>
      <c r="T5720" s="308" t="s">
        <v>34208</v>
      </c>
      <c r="U5720" s="308" t="s">
        <v>125</v>
      </c>
      <c r="V5720" s="308"/>
    </row>
    <row r="5721">
      <c r="A5721" s="308">
        <v>5720.0</v>
      </c>
      <c r="B5721" s="308"/>
      <c r="C5721" s="308" t="s">
        <v>22929</v>
      </c>
      <c r="D5721" s="308">
        <f>IFERROR(__xludf.DUMMYFUNCTION("SPLIT(C5721,""-"")"),5741.0)</f>
        <v>5741</v>
      </c>
      <c r="E5721" s="308" t="str">
        <f>IFERROR(__xludf.DUMMYFUNCTION("""COMPUTED_VALUE"""),"K")</f>
        <v>K</v>
      </c>
      <c r="F5721" s="309" t="s">
        <v>34</v>
      </c>
      <c r="G5721" s="308"/>
      <c r="H5721" s="308" t="s">
        <v>22930</v>
      </c>
      <c r="I5721" s="310">
        <v>39425.0</v>
      </c>
      <c r="J5721" s="319">
        <f>IFERROR(__xludf.DUMMYFUNCTION("SPLIT(I5721,""/"")"),9.0)</f>
        <v>9</v>
      </c>
      <c r="K5721" s="308">
        <f>IFERROR(__xludf.DUMMYFUNCTION("""COMPUTED_VALUE"""),12.0)</f>
        <v>12</v>
      </c>
      <c r="L5721" s="308">
        <f>IFERROR(__xludf.DUMMYFUNCTION("""COMPUTED_VALUE"""),2007.0)</f>
        <v>2007</v>
      </c>
      <c r="M5721" s="308" t="s">
        <v>22926</v>
      </c>
      <c r="N5721" s="308"/>
      <c r="O5721" s="308"/>
      <c r="P5721" s="308" t="s">
        <v>136</v>
      </c>
      <c r="Q5721" s="308" t="s">
        <v>38601</v>
      </c>
      <c r="R5721" s="308" t="s">
        <v>2743</v>
      </c>
      <c r="S5721" s="315" t="s">
        <v>100</v>
      </c>
      <c r="T5721" s="308" t="s">
        <v>34208</v>
      </c>
      <c r="U5721" s="308" t="s">
        <v>125</v>
      </c>
      <c r="V5721" s="308"/>
    </row>
    <row r="5722">
      <c r="A5722" s="308">
        <v>5721.0</v>
      </c>
      <c r="B5722" s="308"/>
      <c r="C5722" s="308" t="s">
        <v>22931</v>
      </c>
      <c r="D5722" s="308">
        <f>IFERROR(__xludf.DUMMYFUNCTION("SPLIT(C5722,""-"")"),5742.0)</f>
        <v>5742</v>
      </c>
      <c r="E5722" s="308" t="str">
        <f>IFERROR(__xludf.DUMMYFUNCTION("""COMPUTED_VALUE"""),"P")</f>
        <v>P</v>
      </c>
      <c r="F5722" s="312" t="s">
        <v>37</v>
      </c>
      <c r="G5722" s="308"/>
      <c r="H5722" s="308" t="s">
        <v>22932</v>
      </c>
      <c r="I5722" s="310">
        <v>37438.0</v>
      </c>
      <c r="J5722" s="319">
        <f>IFERROR(__xludf.DUMMYFUNCTION("SPLIT(I5722,""/"")"),1.0)</f>
        <v>1</v>
      </c>
      <c r="K5722" s="308">
        <f>IFERROR(__xludf.DUMMYFUNCTION("""COMPUTED_VALUE"""),7.0)</f>
        <v>7</v>
      </c>
      <c r="L5722" s="308">
        <f>IFERROR(__xludf.DUMMYFUNCTION("""COMPUTED_VALUE"""),2002.0)</f>
        <v>2002</v>
      </c>
      <c r="M5722" s="308" t="s">
        <v>22933</v>
      </c>
      <c r="N5722" s="308"/>
      <c r="O5722" s="308"/>
      <c r="P5722" s="308" t="s">
        <v>22934</v>
      </c>
      <c r="Q5722" s="308" t="s">
        <v>38602</v>
      </c>
      <c r="R5722" s="308" t="s">
        <v>2743</v>
      </c>
      <c r="S5722" s="308" t="s">
        <v>81</v>
      </c>
      <c r="T5722" s="311" t="s">
        <v>98</v>
      </c>
      <c r="U5722" s="308" t="s">
        <v>18576</v>
      </c>
      <c r="V5722" s="308"/>
    </row>
    <row r="5723">
      <c r="A5723" s="308">
        <v>5722.0</v>
      </c>
      <c r="B5723" s="308"/>
      <c r="C5723" s="308" t="s">
        <v>22935</v>
      </c>
      <c r="D5723" s="308">
        <f>IFERROR(__xludf.DUMMYFUNCTION("SPLIT(C5723,""-"")"),5743.0)</f>
        <v>5743</v>
      </c>
      <c r="E5723" s="308" t="str">
        <f>IFERROR(__xludf.DUMMYFUNCTION("""COMPUTED_VALUE"""),"B")</f>
        <v>B</v>
      </c>
      <c r="F5723" s="315" t="s">
        <v>26</v>
      </c>
      <c r="G5723" s="308"/>
      <c r="H5723" s="308" t="s">
        <v>22936</v>
      </c>
      <c r="I5723" s="310">
        <v>42253.0</v>
      </c>
      <c r="J5723" s="319">
        <f>IFERROR(__xludf.DUMMYFUNCTION("SPLIT(I5723,""/"")"),6.0)</f>
        <v>6</v>
      </c>
      <c r="K5723" s="308">
        <f>IFERROR(__xludf.DUMMYFUNCTION("""COMPUTED_VALUE"""),9.0)</f>
        <v>9</v>
      </c>
      <c r="L5723" s="308">
        <f>IFERROR(__xludf.DUMMYFUNCTION("""COMPUTED_VALUE"""),2015.0)</f>
        <v>2015</v>
      </c>
      <c r="M5723" s="308" t="s">
        <v>22937</v>
      </c>
      <c r="N5723" s="308" t="s">
        <v>22938</v>
      </c>
      <c r="O5723" s="308" t="s">
        <v>22939</v>
      </c>
      <c r="P5723" s="308" t="s">
        <v>22940</v>
      </c>
      <c r="Q5723" s="308" t="s">
        <v>38602</v>
      </c>
      <c r="R5723" s="308" t="s">
        <v>20958</v>
      </c>
      <c r="S5723" s="308" t="s">
        <v>81</v>
      </c>
      <c r="T5723" s="308" t="s">
        <v>73</v>
      </c>
      <c r="U5723" s="308" t="s">
        <v>27</v>
      </c>
      <c r="V5723" s="308"/>
    </row>
    <row r="5724">
      <c r="A5724" s="308">
        <v>5723.0</v>
      </c>
      <c r="B5724" s="308"/>
      <c r="C5724" s="308" t="s">
        <v>22941</v>
      </c>
      <c r="D5724" s="308">
        <f>IFERROR(__xludf.DUMMYFUNCTION("SPLIT(C5724,""-"")"),5744.0)</f>
        <v>5744</v>
      </c>
      <c r="E5724" s="308" t="str">
        <f>IFERROR(__xludf.DUMMYFUNCTION("""COMPUTED_VALUE"""),"S")</f>
        <v>S</v>
      </c>
      <c r="F5724" s="312" t="s">
        <v>39</v>
      </c>
      <c r="G5724" s="308"/>
      <c r="H5724" s="308" t="s">
        <v>22942</v>
      </c>
      <c r="I5724" s="310">
        <v>43257.0</v>
      </c>
      <c r="J5724" s="319">
        <f>IFERROR(__xludf.DUMMYFUNCTION("SPLIT(I5724,""/"")"),6.0)</f>
        <v>6</v>
      </c>
      <c r="K5724" s="308">
        <f>IFERROR(__xludf.DUMMYFUNCTION("""COMPUTED_VALUE"""),6.0)</f>
        <v>6</v>
      </c>
      <c r="L5724" s="308">
        <f>IFERROR(__xludf.DUMMYFUNCTION("""COMPUTED_VALUE"""),2018.0)</f>
        <v>2018</v>
      </c>
      <c r="M5724" s="308" t="s">
        <v>22943</v>
      </c>
      <c r="N5724" s="308"/>
      <c r="O5724" s="308"/>
      <c r="P5724" s="308" t="s">
        <v>22944</v>
      </c>
      <c r="Q5724" s="308" t="s">
        <v>38602</v>
      </c>
      <c r="R5724" s="308" t="s">
        <v>19483</v>
      </c>
      <c r="S5724" s="308" t="s">
        <v>81</v>
      </c>
      <c r="T5724" s="308" t="s">
        <v>75</v>
      </c>
      <c r="U5724" s="308" t="s">
        <v>166</v>
      </c>
      <c r="V5724" s="308"/>
    </row>
    <row r="5725">
      <c r="A5725" s="308">
        <v>5724.0</v>
      </c>
      <c r="B5725" s="308"/>
      <c r="C5725" s="308" t="s">
        <v>22945</v>
      </c>
      <c r="D5725" s="308">
        <f>IFERROR(__xludf.DUMMYFUNCTION("SPLIT(C5725,""-"")"),5745.0)</f>
        <v>5745</v>
      </c>
      <c r="E5725" s="308" t="str">
        <f>IFERROR(__xludf.DUMMYFUNCTION("""COMPUTED_VALUE"""),"F")</f>
        <v>F</v>
      </c>
      <c r="F5725" s="309" t="s">
        <v>34</v>
      </c>
      <c r="G5725" s="308"/>
      <c r="H5725" s="308" t="s">
        <v>22946</v>
      </c>
      <c r="I5725" s="310">
        <v>43251.0</v>
      </c>
      <c r="J5725" s="319">
        <f>IFERROR(__xludf.DUMMYFUNCTION("SPLIT(I5725,""/"")"),31.0)</f>
        <v>31</v>
      </c>
      <c r="K5725" s="308">
        <f>IFERROR(__xludf.DUMMYFUNCTION("""COMPUTED_VALUE"""),5.0)</f>
        <v>5</v>
      </c>
      <c r="L5725" s="308">
        <f>IFERROR(__xludf.DUMMYFUNCTION("""COMPUTED_VALUE"""),2018.0)</f>
        <v>2018</v>
      </c>
      <c r="M5725" s="308" t="s">
        <v>22947</v>
      </c>
      <c r="N5725" s="308"/>
      <c r="O5725" s="308"/>
      <c r="P5725" s="308" t="s">
        <v>136</v>
      </c>
      <c r="Q5725" s="308" t="s">
        <v>38602</v>
      </c>
      <c r="R5725" s="308" t="s">
        <v>2743</v>
      </c>
      <c r="S5725" s="315" t="s">
        <v>100</v>
      </c>
      <c r="T5725" s="308" t="s">
        <v>34208</v>
      </c>
      <c r="U5725" s="308" t="s">
        <v>195</v>
      </c>
      <c r="V5725" s="308"/>
    </row>
    <row r="5726">
      <c r="A5726" s="308">
        <v>5725.0</v>
      </c>
      <c r="B5726" s="308"/>
      <c r="C5726" s="308" t="s">
        <v>22948</v>
      </c>
      <c r="D5726" s="308">
        <f>IFERROR(__xludf.DUMMYFUNCTION("SPLIT(C5726,""-"")"),5746.0)</f>
        <v>5746</v>
      </c>
      <c r="E5726" s="308" t="str">
        <f>IFERROR(__xludf.DUMMYFUNCTION("""COMPUTED_VALUE"""),"K")</f>
        <v>K</v>
      </c>
      <c r="F5726" s="309" t="s">
        <v>34</v>
      </c>
      <c r="G5726" s="308"/>
      <c r="H5726" s="308" t="s">
        <v>22949</v>
      </c>
      <c r="I5726" s="310">
        <v>39868.0</v>
      </c>
      <c r="J5726" s="319">
        <f>IFERROR(__xludf.DUMMYFUNCTION("SPLIT(I5726,""/"")"),24.0)</f>
        <v>24</v>
      </c>
      <c r="K5726" s="308">
        <f>IFERROR(__xludf.DUMMYFUNCTION("""COMPUTED_VALUE"""),2.0)</f>
        <v>2</v>
      </c>
      <c r="L5726" s="308">
        <f>IFERROR(__xludf.DUMMYFUNCTION("""COMPUTED_VALUE"""),2009.0)</f>
        <v>2009</v>
      </c>
      <c r="M5726" s="308" t="s">
        <v>22950</v>
      </c>
      <c r="N5726" s="308" t="s">
        <v>22951</v>
      </c>
      <c r="O5726" s="308"/>
      <c r="P5726" s="308" t="s">
        <v>136</v>
      </c>
      <c r="Q5726" s="308" t="s">
        <v>38602</v>
      </c>
      <c r="R5726" s="308" t="s">
        <v>2743</v>
      </c>
      <c r="S5726" s="315" t="s">
        <v>100</v>
      </c>
      <c r="T5726" s="308" t="s">
        <v>34208</v>
      </c>
      <c r="U5726" s="308" t="s">
        <v>125</v>
      </c>
      <c r="V5726" s="308"/>
    </row>
    <row r="5727">
      <c r="A5727" s="308">
        <v>5726.0</v>
      </c>
      <c r="B5727" s="308"/>
      <c r="C5727" s="308" t="s">
        <v>22952</v>
      </c>
      <c r="D5727" s="308">
        <f>IFERROR(__xludf.DUMMYFUNCTION("SPLIT(C5727,""-"")"),5747.0)</f>
        <v>5747</v>
      </c>
      <c r="E5727" s="308" t="str">
        <f>IFERROR(__xludf.DUMMYFUNCTION("""COMPUTED_VALUE"""),"K")</f>
        <v>K</v>
      </c>
      <c r="F5727" s="309" t="s">
        <v>34</v>
      </c>
      <c r="G5727" s="308"/>
      <c r="H5727" s="308" t="s">
        <v>22953</v>
      </c>
      <c r="I5727" s="310">
        <v>43202.0</v>
      </c>
      <c r="J5727" s="319">
        <f>IFERROR(__xludf.DUMMYFUNCTION("SPLIT(I5727,""/"")"),12.0)</f>
        <v>12</v>
      </c>
      <c r="K5727" s="308">
        <f>IFERROR(__xludf.DUMMYFUNCTION("""COMPUTED_VALUE"""),4.0)</f>
        <v>4</v>
      </c>
      <c r="L5727" s="308">
        <f>IFERROR(__xludf.DUMMYFUNCTION("""COMPUTED_VALUE"""),2018.0)</f>
        <v>2018</v>
      </c>
      <c r="M5727" s="308" t="s">
        <v>22954</v>
      </c>
      <c r="N5727" s="308"/>
      <c r="O5727" s="308"/>
      <c r="P5727" s="308" t="s">
        <v>38603</v>
      </c>
      <c r="Q5727" s="308" t="s">
        <v>38602</v>
      </c>
      <c r="R5727" s="308" t="s">
        <v>2743</v>
      </c>
      <c r="S5727" s="308" t="s">
        <v>49</v>
      </c>
      <c r="T5727" s="308" t="s">
        <v>51</v>
      </c>
      <c r="U5727" s="308" t="s">
        <v>1528</v>
      </c>
      <c r="V5727" s="308"/>
    </row>
    <row r="5728">
      <c r="A5728" s="308">
        <v>5727.0</v>
      </c>
      <c r="B5728" s="308"/>
      <c r="C5728" s="308" t="s">
        <v>22956</v>
      </c>
      <c r="D5728" s="308">
        <f>IFERROR(__xludf.DUMMYFUNCTION("SPLIT(C5728,""-"")"),5748.0)</f>
        <v>5748</v>
      </c>
      <c r="E5728" s="308" t="str">
        <f>IFERROR(__xludf.DUMMYFUNCTION("""COMPUTED_VALUE"""),"K")</f>
        <v>K</v>
      </c>
      <c r="F5728" s="309" t="s">
        <v>34</v>
      </c>
      <c r="G5728" s="308"/>
      <c r="H5728" s="308" t="s">
        <v>22957</v>
      </c>
      <c r="I5728" s="310">
        <v>39995.0</v>
      </c>
      <c r="J5728" s="319">
        <f>IFERROR(__xludf.DUMMYFUNCTION("SPLIT(I5728,""/"")"),1.0)</f>
        <v>1</v>
      </c>
      <c r="K5728" s="308">
        <f>IFERROR(__xludf.DUMMYFUNCTION("""COMPUTED_VALUE"""),7.0)</f>
        <v>7</v>
      </c>
      <c r="L5728" s="308">
        <f>IFERROR(__xludf.DUMMYFUNCTION("""COMPUTED_VALUE"""),2009.0)</f>
        <v>2009</v>
      </c>
      <c r="M5728" s="308" t="s">
        <v>22958</v>
      </c>
      <c r="N5728" s="308" t="s">
        <v>439</v>
      </c>
      <c r="O5728" s="308"/>
      <c r="P5728" s="308" t="s">
        <v>136</v>
      </c>
      <c r="Q5728" s="308" t="s">
        <v>38602</v>
      </c>
      <c r="R5728" s="308" t="s">
        <v>2743</v>
      </c>
      <c r="S5728" s="315" t="s">
        <v>100</v>
      </c>
      <c r="T5728" s="308" t="s">
        <v>34208</v>
      </c>
      <c r="U5728" s="308" t="s">
        <v>530</v>
      </c>
      <c r="V5728" s="308"/>
    </row>
    <row r="5729">
      <c r="A5729" s="308">
        <v>5728.0</v>
      </c>
      <c r="B5729" s="308"/>
      <c r="C5729" s="308" t="s">
        <v>22959</v>
      </c>
      <c r="D5729" s="308">
        <f>IFERROR(__xludf.DUMMYFUNCTION("SPLIT(C5729,""-"")"),5749.0)</f>
        <v>5749</v>
      </c>
      <c r="E5729" s="308" t="str">
        <f>IFERROR(__xludf.DUMMYFUNCTION("""COMPUTED_VALUE"""),"B")</f>
        <v>B</v>
      </c>
      <c r="F5729" s="315" t="s">
        <v>26</v>
      </c>
      <c r="G5729" s="308"/>
      <c r="H5729" s="308" t="s">
        <v>22960</v>
      </c>
      <c r="I5729" s="310">
        <v>43101.0</v>
      </c>
      <c r="J5729" s="319">
        <f>IFERROR(__xludf.DUMMYFUNCTION("SPLIT(I5729,""/"")"),1.0)</f>
        <v>1</v>
      </c>
      <c r="K5729" s="308">
        <f>IFERROR(__xludf.DUMMYFUNCTION("""COMPUTED_VALUE"""),1.0)</f>
        <v>1</v>
      </c>
      <c r="L5729" s="308">
        <f>IFERROR(__xludf.DUMMYFUNCTION("""COMPUTED_VALUE"""),2018.0)</f>
        <v>2018</v>
      </c>
      <c r="M5729" s="308" t="s">
        <v>22961</v>
      </c>
      <c r="N5729" s="308"/>
      <c r="O5729" s="308" t="s">
        <v>22962</v>
      </c>
      <c r="P5729" s="308" t="s">
        <v>136</v>
      </c>
      <c r="Q5729" s="308" t="s">
        <v>38604</v>
      </c>
      <c r="R5729" s="308" t="s">
        <v>20958</v>
      </c>
      <c r="S5729" s="315" t="s">
        <v>100</v>
      </c>
      <c r="T5729" s="308" t="s">
        <v>34208</v>
      </c>
      <c r="U5729" s="308" t="s">
        <v>27</v>
      </c>
      <c r="V5729" s="308"/>
    </row>
    <row r="5730">
      <c r="A5730" s="308">
        <v>5729.0</v>
      </c>
      <c r="B5730" s="308"/>
      <c r="C5730" s="308" t="s">
        <v>22963</v>
      </c>
      <c r="D5730" s="308">
        <f>IFERROR(__xludf.DUMMYFUNCTION("SPLIT(C5730,""-"")"),5750.0)</f>
        <v>5750</v>
      </c>
      <c r="E5730" s="308" t="str">
        <f>IFERROR(__xludf.DUMMYFUNCTION("""COMPUTED_VALUE"""),"B")</f>
        <v>B</v>
      </c>
      <c r="F5730" s="315" t="s">
        <v>26</v>
      </c>
      <c r="G5730" s="308"/>
      <c r="H5730" s="308" t="s">
        <v>22964</v>
      </c>
      <c r="I5730" s="310">
        <v>43151.0</v>
      </c>
      <c r="J5730" s="319">
        <f>IFERROR(__xludf.DUMMYFUNCTION("SPLIT(I5730,""/"")"),20.0)</f>
        <v>20</v>
      </c>
      <c r="K5730" s="308">
        <f>IFERROR(__xludf.DUMMYFUNCTION("""COMPUTED_VALUE"""),2.0)</f>
        <v>2</v>
      </c>
      <c r="L5730" s="308">
        <f>IFERROR(__xludf.DUMMYFUNCTION("""COMPUTED_VALUE"""),2018.0)</f>
        <v>2018</v>
      </c>
      <c r="M5730" s="308" t="s">
        <v>22965</v>
      </c>
      <c r="N5730" s="308"/>
      <c r="O5730" s="308" t="s">
        <v>22966</v>
      </c>
      <c r="P5730" s="308" t="s">
        <v>22967</v>
      </c>
      <c r="Q5730" s="308" t="s">
        <v>38604</v>
      </c>
      <c r="R5730" s="308" t="s">
        <v>20958</v>
      </c>
      <c r="S5730" s="308" t="s">
        <v>81</v>
      </c>
      <c r="T5730" s="308" t="s">
        <v>73</v>
      </c>
      <c r="U5730" s="308" t="s">
        <v>27</v>
      </c>
      <c r="V5730" s="308"/>
    </row>
    <row r="5731">
      <c r="A5731" s="308">
        <v>5730.0</v>
      </c>
      <c r="B5731" s="308"/>
      <c r="C5731" s="308" t="s">
        <v>22968</v>
      </c>
      <c r="D5731" s="308">
        <f>IFERROR(__xludf.DUMMYFUNCTION("SPLIT(C5731,""-"")"),5751.0)</f>
        <v>5751</v>
      </c>
      <c r="E5731" s="308" t="str">
        <f>IFERROR(__xludf.DUMMYFUNCTION("""COMPUTED_VALUE"""),"B")</f>
        <v>B</v>
      </c>
      <c r="F5731" s="315" t="s">
        <v>26</v>
      </c>
      <c r="G5731" s="308"/>
      <c r="H5731" s="308" t="s">
        <v>22969</v>
      </c>
      <c r="I5731" s="310">
        <v>41698.0</v>
      </c>
      <c r="J5731" s="319">
        <f>IFERROR(__xludf.DUMMYFUNCTION("SPLIT(I5731,""/"")"),28.0)</f>
        <v>28</v>
      </c>
      <c r="K5731" s="308">
        <f>IFERROR(__xludf.DUMMYFUNCTION("""COMPUTED_VALUE"""),2.0)</f>
        <v>2</v>
      </c>
      <c r="L5731" s="308">
        <f>IFERROR(__xludf.DUMMYFUNCTION("""COMPUTED_VALUE"""),2014.0)</f>
        <v>2014</v>
      </c>
      <c r="M5731" s="308" t="s">
        <v>22970</v>
      </c>
      <c r="N5731" s="308"/>
      <c r="O5731" s="308" t="s">
        <v>22971</v>
      </c>
      <c r="P5731" s="308" t="s">
        <v>136</v>
      </c>
      <c r="Q5731" s="308" t="s">
        <v>38604</v>
      </c>
      <c r="R5731" s="308" t="s">
        <v>20958</v>
      </c>
      <c r="S5731" s="315" t="s">
        <v>100</v>
      </c>
      <c r="T5731" s="308" t="s">
        <v>34208</v>
      </c>
      <c r="U5731" s="308" t="s">
        <v>27</v>
      </c>
      <c r="V5731" s="308"/>
    </row>
    <row r="5732">
      <c r="A5732" s="308">
        <v>5731.0</v>
      </c>
      <c r="B5732" s="308"/>
      <c r="C5732" s="308" t="s">
        <v>22972</v>
      </c>
      <c r="D5732" s="308">
        <f>IFERROR(__xludf.DUMMYFUNCTION("SPLIT(C5732,""-"")"),5752.0)</f>
        <v>5752</v>
      </c>
      <c r="E5732" s="308" t="str">
        <f>IFERROR(__xludf.DUMMYFUNCTION("""COMPUTED_VALUE"""),"I")</f>
        <v>I</v>
      </c>
      <c r="F5732" s="309" t="s">
        <v>31</v>
      </c>
      <c r="G5732" s="308"/>
      <c r="H5732" s="308" t="s">
        <v>22973</v>
      </c>
      <c r="I5732" s="314">
        <v>43418.0</v>
      </c>
      <c r="J5732" s="319">
        <f>IFERROR(__xludf.DUMMYFUNCTION("SPLIT(I5732,""/"")"),14.0)</f>
        <v>14</v>
      </c>
      <c r="K5732" s="308">
        <f>IFERROR(__xludf.DUMMYFUNCTION("""COMPUTED_VALUE"""),11.0)</f>
        <v>11</v>
      </c>
      <c r="L5732" s="308">
        <f>IFERROR(__xludf.DUMMYFUNCTION("""COMPUTED_VALUE"""),2018.0)</f>
        <v>2018</v>
      </c>
      <c r="M5732" s="308" t="s">
        <v>22974</v>
      </c>
      <c r="N5732" s="308"/>
      <c r="O5732" s="308" t="s">
        <v>22975</v>
      </c>
      <c r="P5732" s="308" t="s">
        <v>22976</v>
      </c>
      <c r="Q5732" s="308" t="s">
        <v>38604</v>
      </c>
      <c r="R5732" s="308" t="s">
        <v>2743</v>
      </c>
      <c r="S5732" s="308" t="s">
        <v>81</v>
      </c>
      <c r="T5732" s="308" t="s">
        <v>98</v>
      </c>
      <c r="U5732" s="308" t="s">
        <v>31</v>
      </c>
      <c r="V5732" s="308"/>
    </row>
    <row r="5733">
      <c r="A5733" s="308">
        <v>5732.0</v>
      </c>
      <c r="B5733" s="308"/>
      <c r="C5733" s="308" t="s">
        <v>22977</v>
      </c>
      <c r="D5733" s="308">
        <f>IFERROR(__xludf.DUMMYFUNCTION("SPLIT(C5733,""-"")"),5753.0)</f>
        <v>5753</v>
      </c>
      <c r="E5733" s="308" t="str">
        <f>IFERROR(__xludf.DUMMYFUNCTION("""COMPUTED_VALUE"""),"S")</f>
        <v>S</v>
      </c>
      <c r="F5733" s="312" t="s">
        <v>39</v>
      </c>
      <c r="G5733" s="308"/>
      <c r="H5733" s="308" t="s">
        <v>22978</v>
      </c>
      <c r="I5733" s="310">
        <v>43478.0</v>
      </c>
      <c r="J5733" s="319">
        <f>IFERROR(__xludf.DUMMYFUNCTION("SPLIT(I5733,""/"")"),13.0)</f>
        <v>13</v>
      </c>
      <c r="K5733" s="308">
        <f>IFERROR(__xludf.DUMMYFUNCTION("""COMPUTED_VALUE"""),1.0)</f>
        <v>1</v>
      </c>
      <c r="L5733" s="308">
        <f>IFERROR(__xludf.DUMMYFUNCTION("""COMPUTED_VALUE"""),2019.0)</f>
        <v>2019</v>
      </c>
      <c r="M5733" s="308" t="s">
        <v>22979</v>
      </c>
      <c r="N5733" s="308" t="s">
        <v>22980</v>
      </c>
      <c r="O5733" s="308"/>
      <c r="P5733" s="308" t="s">
        <v>22981</v>
      </c>
      <c r="Q5733" s="308" t="s">
        <v>38604</v>
      </c>
      <c r="R5733" s="308" t="s">
        <v>2743</v>
      </c>
      <c r="S5733" s="308" t="s">
        <v>81</v>
      </c>
      <c r="T5733" s="308" t="s">
        <v>75</v>
      </c>
      <c r="U5733" s="308" t="s">
        <v>166</v>
      </c>
      <c r="V5733" s="308"/>
    </row>
    <row r="5734">
      <c r="A5734" s="308">
        <v>5733.0</v>
      </c>
      <c r="B5734" s="308"/>
      <c r="C5734" s="308" t="s">
        <v>22982</v>
      </c>
      <c r="D5734" s="308">
        <f>IFERROR(__xludf.DUMMYFUNCTION("SPLIT(C5734,""-"")"),5754.0)</f>
        <v>5754</v>
      </c>
      <c r="E5734" s="308" t="str">
        <f>IFERROR(__xludf.DUMMYFUNCTION("""COMPUTED_VALUE"""),"K")</f>
        <v>K</v>
      </c>
      <c r="F5734" s="309" t="s">
        <v>34</v>
      </c>
      <c r="G5734" s="308"/>
      <c r="H5734" s="308" t="s">
        <v>22983</v>
      </c>
      <c r="I5734" s="310">
        <v>39995.0</v>
      </c>
      <c r="J5734" s="319">
        <f>IFERROR(__xludf.DUMMYFUNCTION("SPLIT(I5734,""/"")"),1.0)</f>
        <v>1</v>
      </c>
      <c r="K5734" s="308">
        <f>IFERROR(__xludf.DUMMYFUNCTION("""COMPUTED_VALUE"""),7.0)</f>
        <v>7</v>
      </c>
      <c r="L5734" s="308">
        <f>IFERROR(__xludf.DUMMYFUNCTION("""COMPUTED_VALUE"""),2009.0)</f>
        <v>2009</v>
      </c>
      <c r="M5734" s="308" t="s">
        <v>22984</v>
      </c>
      <c r="N5734" s="308" t="s">
        <v>439</v>
      </c>
      <c r="O5734" s="308" t="s">
        <v>22985</v>
      </c>
      <c r="P5734" s="308" t="s">
        <v>136</v>
      </c>
      <c r="Q5734" s="308" t="s">
        <v>38604</v>
      </c>
      <c r="R5734" s="308" t="s">
        <v>2743</v>
      </c>
      <c r="S5734" s="315" t="s">
        <v>100</v>
      </c>
      <c r="T5734" s="308" t="s">
        <v>34208</v>
      </c>
      <c r="U5734" s="308" t="s">
        <v>530</v>
      </c>
      <c r="V5734" s="308"/>
    </row>
    <row r="5735">
      <c r="A5735" s="308">
        <v>5734.0</v>
      </c>
      <c r="B5735" s="308"/>
      <c r="C5735" s="308" t="s">
        <v>22986</v>
      </c>
      <c r="D5735" s="308">
        <f>IFERROR(__xludf.DUMMYFUNCTION("SPLIT(C5735,""-"")"),5755.0)</f>
        <v>5755</v>
      </c>
      <c r="E5735" s="308" t="str">
        <f>IFERROR(__xludf.DUMMYFUNCTION("""COMPUTED_VALUE"""),"K")</f>
        <v>K</v>
      </c>
      <c r="F5735" s="309" t="s">
        <v>34</v>
      </c>
      <c r="G5735" s="308"/>
      <c r="H5735" s="308" t="s">
        <v>22987</v>
      </c>
      <c r="I5735" s="310">
        <v>42547.0</v>
      </c>
      <c r="J5735" s="319">
        <f>IFERROR(__xludf.DUMMYFUNCTION("SPLIT(I5735,""/"")"),26.0)</f>
        <v>26</v>
      </c>
      <c r="K5735" s="308">
        <f>IFERROR(__xludf.DUMMYFUNCTION("""COMPUTED_VALUE"""),6.0)</f>
        <v>6</v>
      </c>
      <c r="L5735" s="308">
        <f>IFERROR(__xludf.DUMMYFUNCTION("""COMPUTED_VALUE"""),2016.0)</f>
        <v>2016</v>
      </c>
      <c r="M5735" s="308" t="s">
        <v>22988</v>
      </c>
      <c r="N5735" s="308"/>
      <c r="O5735" s="308"/>
      <c r="P5735" s="308" t="s">
        <v>136</v>
      </c>
      <c r="Q5735" s="308" t="s">
        <v>38604</v>
      </c>
      <c r="R5735" s="308" t="s">
        <v>2743</v>
      </c>
      <c r="S5735" s="315" t="s">
        <v>100</v>
      </c>
      <c r="T5735" s="308" t="s">
        <v>34208</v>
      </c>
      <c r="U5735" s="308" t="s">
        <v>530</v>
      </c>
      <c r="V5735" s="308"/>
    </row>
    <row r="5736">
      <c r="A5736" s="308">
        <v>5735.0</v>
      </c>
      <c r="B5736" s="308"/>
      <c r="C5736" s="308" t="s">
        <v>22989</v>
      </c>
      <c r="D5736" s="308">
        <f>IFERROR(__xludf.DUMMYFUNCTION("SPLIT(C5736,""-"")"),5756.0)</f>
        <v>5756</v>
      </c>
      <c r="E5736" s="308" t="str">
        <f>IFERROR(__xludf.DUMMYFUNCTION("""COMPUTED_VALUE"""),"K")</f>
        <v>K</v>
      </c>
      <c r="F5736" s="309" t="s">
        <v>34</v>
      </c>
      <c r="G5736" s="308"/>
      <c r="H5736" s="308" t="s">
        <v>22990</v>
      </c>
      <c r="I5736" s="310">
        <v>41091.0</v>
      </c>
      <c r="J5736" s="319">
        <f>IFERROR(__xludf.DUMMYFUNCTION("SPLIT(I5736,""/"")"),1.0)</f>
        <v>1</v>
      </c>
      <c r="K5736" s="308">
        <f>IFERROR(__xludf.DUMMYFUNCTION("""COMPUTED_VALUE"""),7.0)</f>
        <v>7</v>
      </c>
      <c r="L5736" s="308">
        <f>IFERROR(__xludf.DUMMYFUNCTION("""COMPUTED_VALUE"""),2012.0)</f>
        <v>2012</v>
      </c>
      <c r="M5736" s="308" t="s">
        <v>22991</v>
      </c>
      <c r="N5736" s="308"/>
      <c r="O5736" s="308"/>
      <c r="P5736" s="308" t="s">
        <v>136</v>
      </c>
      <c r="Q5736" s="308" t="s">
        <v>38604</v>
      </c>
      <c r="R5736" s="308" t="s">
        <v>2743</v>
      </c>
      <c r="S5736" s="315" t="s">
        <v>100</v>
      </c>
      <c r="T5736" s="308" t="s">
        <v>34208</v>
      </c>
      <c r="U5736" s="308" t="s">
        <v>530</v>
      </c>
      <c r="V5736" s="308"/>
    </row>
    <row r="5737">
      <c r="A5737" s="308">
        <v>5736.0</v>
      </c>
      <c r="B5737" s="308"/>
      <c r="C5737" s="308" t="s">
        <v>22992</v>
      </c>
      <c r="D5737" s="308">
        <f>IFERROR(__xludf.DUMMYFUNCTION("SPLIT(C5737,""-"")"),5757.0)</f>
        <v>5757</v>
      </c>
      <c r="E5737" s="308" t="str">
        <f>IFERROR(__xludf.DUMMYFUNCTION("""COMPUTED_VALUE"""),"S")</f>
        <v>S</v>
      </c>
      <c r="F5737" s="312" t="s">
        <v>39</v>
      </c>
      <c r="G5737" s="308"/>
      <c r="H5737" s="308" t="s">
        <v>8287</v>
      </c>
      <c r="I5737" s="310">
        <v>42339.0</v>
      </c>
      <c r="J5737" s="319">
        <f>IFERROR(__xludf.DUMMYFUNCTION("SPLIT(I5737,""/"")"),1.0)</f>
        <v>1</v>
      </c>
      <c r="K5737" s="308">
        <f>IFERROR(__xludf.DUMMYFUNCTION("""COMPUTED_VALUE"""),12.0)</f>
        <v>12</v>
      </c>
      <c r="L5737" s="308">
        <f>IFERROR(__xludf.DUMMYFUNCTION("""COMPUTED_VALUE"""),2015.0)</f>
        <v>2015</v>
      </c>
      <c r="M5737" s="308" t="s">
        <v>22993</v>
      </c>
      <c r="N5737" s="308"/>
      <c r="O5737" s="308"/>
      <c r="P5737" s="308" t="s">
        <v>38605</v>
      </c>
      <c r="Q5737" s="308" t="s">
        <v>38604</v>
      </c>
      <c r="R5737" s="308" t="s">
        <v>2743</v>
      </c>
      <c r="S5737" s="308" t="s">
        <v>81</v>
      </c>
      <c r="T5737" s="308" t="s">
        <v>75</v>
      </c>
      <c r="U5737" s="308" t="s">
        <v>166</v>
      </c>
      <c r="V5737" s="308"/>
    </row>
    <row r="5738">
      <c r="A5738" s="308">
        <v>5737.0</v>
      </c>
      <c r="B5738" s="308"/>
      <c r="C5738" s="308" t="s">
        <v>22995</v>
      </c>
      <c r="D5738" s="308">
        <f>IFERROR(__xludf.DUMMYFUNCTION("SPLIT(C5738,""-"")"),5758.0)</f>
        <v>5758</v>
      </c>
      <c r="E5738" s="308" t="str">
        <f>IFERROR(__xludf.DUMMYFUNCTION("""COMPUTED_VALUE"""),"P")</f>
        <v>P</v>
      </c>
      <c r="F5738" s="312" t="s">
        <v>37</v>
      </c>
      <c r="G5738" s="308"/>
      <c r="H5738" s="308" t="s">
        <v>22996</v>
      </c>
      <c r="I5738" s="310">
        <v>43476.0</v>
      </c>
      <c r="J5738" s="319">
        <f>IFERROR(__xludf.DUMMYFUNCTION("SPLIT(I5738,""/"")"),11.0)</f>
        <v>11</v>
      </c>
      <c r="K5738" s="308">
        <f>IFERROR(__xludf.DUMMYFUNCTION("""COMPUTED_VALUE"""),1.0)</f>
        <v>1</v>
      </c>
      <c r="L5738" s="308">
        <f>IFERROR(__xludf.DUMMYFUNCTION("""COMPUTED_VALUE"""),2019.0)</f>
        <v>2019</v>
      </c>
      <c r="M5738" s="308" t="s">
        <v>22997</v>
      </c>
      <c r="N5738" s="308"/>
      <c r="O5738" s="308"/>
      <c r="P5738" s="308" t="s">
        <v>22998</v>
      </c>
      <c r="Q5738" s="308" t="s">
        <v>38606</v>
      </c>
      <c r="R5738" s="308" t="s">
        <v>2743</v>
      </c>
      <c r="S5738" s="308" t="s">
        <v>81</v>
      </c>
      <c r="T5738" s="311" t="s">
        <v>96</v>
      </c>
      <c r="U5738" s="308" t="s">
        <v>143</v>
      </c>
      <c r="V5738" s="308"/>
    </row>
    <row r="5739">
      <c r="A5739" s="308">
        <v>5738.0</v>
      </c>
      <c r="B5739" s="308"/>
      <c r="C5739" s="308" t="s">
        <v>22999</v>
      </c>
      <c r="D5739" s="308">
        <f>IFERROR(__xludf.DUMMYFUNCTION("SPLIT(C5739,""-"")"),5759.0)</f>
        <v>5759</v>
      </c>
      <c r="E5739" s="308" t="str">
        <f>IFERROR(__xludf.DUMMYFUNCTION("""COMPUTED_VALUE"""),"K")</f>
        <v>K</v>
      </c>
      <c r="F5739" s="309" t="s">
        <v>34</v>
      </c>
      <c r="G5739" s="308"/>
      <c r="H5739" s="308" t="s">
        <v>23000</v>
      </c>
      <c r="I5739" s="310">
        <v>40953.0</v>
      </c>
      <c r="J5739" s="319">
        <f>IFERROR(__xludf.DUMMYFUNCTION("SPLIT(I5739,""/"")"),14.0)</f>
        <v>14</v>
      </c>
      <c r="K5739" s="308">
        <f>IFERROR(__xludf.DUMMYFUNCTION("""COMPUTED_VALUE"""),2.0)</f>
        <v>2</v>
      </c>
      <c r="L5739" s="308">
        <f>IFERROR(__xludf.DUMMYFUNCTION("""COMPUTED_VALUE"""),2012.0)</f>
        <v>2012</v>
      </c>
      <c r="M5739" s="308" t="s">
        <v>23001</v>
      </c>
      <c r="N5739" s="308"/>
      <c r="O5739" s="308"/>
      <c r="P5739" s="308" t="s">
        <v>4430</v>
      </c>
      <c r="Q5739" s="308" t="s">
        <v>38606</v>
      </c>
      <c r="R5739" s="308" t="s">
        <v>2743</v>
      </c>
      <c r="S5739" s="308" t="s">
        <v>49</v>
      </c>
      <c r="T5739" s="308" t="s">
        <v>51</v>
      </c>
      <c r="U5739" s="308" t="s">
        <v>125</v>
      </c>
      <c r="V5739" s="308"/>
    </row>
    <row r="5740">
      <c r="A5740" s="308">
        <v>5739.0</v>
      </c>
      <c r="B5740" s="308"/>
      <c r="C5740" s="308" t="s">
        <v>23002</v>
      </c>
      <c r="D5740" s="308">
        <f>IFERROR(__xludf.DUMMYFUNCTION("SPLIT(C5740,""-"")"),5760.0)</f>
        <v>5760</v>
      </c>
      <c r="E5740" s="308" t="str">
        <f>IFERROR(__xludf.DUMMYFUNCTION("""COMPUTED_VALUE"""),"I")</f>
        <v>I</v>
      </c>
      <c r="F5740" s="309" t="s">
        <v>31</v>
      </c>
      <c r="G5740" s="308"/>
      <c r="H5740" s="308" t="s">
        <v>23003</v>
      </c>
      <c r="I5740" s="314">
        <v>43462.0</v>
      </c>
      <c r="J5740" s="319">
        <f>IFERROR(__xludf.DUMMYFUNCTION("SPLIT(I5740,""/"")"),28.0)</f>
        <v>28</v>
      </c>
      <c r="K5740" s="308">
        <f>IFERROR(__xludf.DUMMYFUNCTION("""COMPUTED_VALUE"""),12.0)</f>
        <v>12</v>
      </c>
      <c r="L5740" s="308">
        <f>IFERROR(__xludf.DUMMYFUNCTION("""COMPUTED_VALUE"""),2018.0)</f>
        <v>2018</v>
      </c>
      <c r="M5740" s="308" t="s">
        <v>23004</v>
      </c>
      <c r="N5740" s="308"/>
      <c r="O5740" s="308"/>
      <c r="P5740" s="308" t="s">
        <v>38607</v>
      </c>
      <c r="Q5740" s="308" t="s">
        <v>38606</v>
      </c>
      <c r="R5740" s="308" t="s">
        <v>16185</v>
      </c>
      <c r="S5740" s="308" t="s">
        <v>81</v>
      </c>
      <c r="T5740" s="308" t="s">
        <v>75</v>
      </c>
      <c r="U5740" s="308" t="s">
        <v>5990</v>
      </c>
      <c r="V5740" s="308"/>
    </row>
    <row r="5741">
      <c r="A5741" s="308">
        <v>5740.0</v>
      </c>
      <c r="B5741" s="308"/>
      <c r="C5741" s="308" t="s">
        <v>23006</v>
      </c>
      <c r="D5741" s="308">
        <f>IFERROR(__xludf.DUMMYFUNCTION("SPLIT(C5741,""-"")"),5761.0)</f>
        <v>5761</v>
      </c>
      <c r="E5741" s="308" t="str">
        <f>IFERROR(__xludf.DUMMYFUNCTION("""COMPUTED_VALUE"""),"S")</f>
        <v>S</v>
      </c>
      <c r="F5741" s="312" t="s">
        <v>39</v>
      </c>
      <c r="G5741" s="308"/>
      <c r="H5741" s="308" t="s">
        <v>23007</v>
      </c>
      <c r="I5741" s="310">
        <v>43318.0</v>
      </c>
      <c r="J5741" s="319">
        <f>IFERROR(__xludf.DUMMYFUNCTION("SPLIT(I5741,""/"")"),6.0)</f>
        <v>6</v>
      </c>
      <c r="K5741" s="308">
        <f>IFERROR(__xludf.DUMMYFUNCTION("""COMPUTED_VALUE"""),8.0)</f>
        <v>8</v>
      </c>
      <c r="L5741" s="308">
        <f>IFERROR(__xludf.DUMMYFUNCTION("""COMPUTED_VALUE"""),2018.0)</f>
        <v>2018</v>
      </c>
      <c r="M5741" s="308" t="s">
        <v>23008</v>
      </c>
      <c r="N5741" s="308"/>
      <c r="O5741" s="308"/>
      <c r="P5741" s="308" t="s">
        <v>136</v>
      </c>
      <c r="Q5741" s="308" t="s">
        <v>38606</v>
      </c>
      <c r="R5741" s="308" t="s">
        <v>16185</v>
      </c>
      <c r="S5741" s="315" t="s">
        <v>100</v>
      </c>
      <c r="T5741" s="308" t="s">
        <v>34208</v>
      </c>
      <c r="U5741" s="308" t="s">
        <v>166</v>
      </c>
      <c r="V5741" s="308"/>
    </row>
    <row r="5742">
      <c r="A5742" s="308">
        <v>5741.0</v>
      </c>
      <c r="B5742" s="308"/>
      <c r="C5742" s="308" t="s">
        <v>23009</v>
      </c>
      <c r="D5742" s="308">
        <f>IFERROR(__xludf.DUMMYFUNCTION("SPLIT(C5742,""-"")"),5762.0)</f>
        <v>5762</v>
      </c>
      <c r="E5742" s="308" t="str">
        <f>IFERROR(__xludf.DUMMYFUNCTION("""COMPUTED_VALUE"""),"K")</f>
        <v>K</v>
      </c>
      <c r="F5742" s="309" t="s">
        <v>34</v>
      </c>
      <c r="G5742" s="308"/>
      <c r="H5742" s="308" t="s">
        <v>23010</v>
      </c>
      <c r="I5742" s="310">
        <v>39965.0</v>
      </c>
      <c r="J5742" s="319">
        <f>IFERROR(__xludf.DUMMYFUNCTION("SPLIT(I5742,""/"")"),1.0)</f>
        <v>1</v>
      </c>
      <c r="K5742" s="308">
        <f>IFERROR(__xludf.DUMMYFUNCTION("""COMPUTED_VALUE"""),6.0)</f>
        <v>6</v>
      </c>
      <c r="L5742" s="308">
        <f>IFERROR(__xludf.DUMMYFUNCTION("""COMPUTED_VALUE"""),2009.0)</f>
        <v>2009</v>
      </c>
      <c r="M5742" s="308" t="s">
        <v>38608</v>
      </c>
      <c r="N5742" s="308" t="s">
        <v>23012</v>
      </c>
      <c r="O5742" s="308"/>
      <c r="P5742" s="308" t="s">
        <v>136</v>
      </c>
      <c r="Q5742" s="308" t="s">
        <v>38609</v>
      </c>
      <c r="R5742" s="308" t="s">
        <v>2743</v>
      </c>
      <c r="S5742" s="315" t="s">
        <v>100</v>
      </c>
      <c r="T5742" s="308" t="s">
        <v>34208</v>
      </c>
      <c r="U5742" s="308" t="s">
        <v>530</v>
      </c>
      <c r="V5742" s="308"/>
    </row>
    <row r="5743">
      <c r="A5743" s="308">
        <v>5742.0</v>
      </c>
      <c r="B5743" s="308"/>
      <c r="C5743" s="308" t="s">
        <v>23013</v>
      </c>
      <c r="D5743" s="308">
        <f>IFERROR(__xludf.DUMMYFUNCTION("SPLIT(C5743,""-"")"),5763.0)</f>
        <v>5763</v>
      </c>
      <c r="E5743" s="308" t="str">
        <f>IFERROR(__xludf.DUMMYFUNCTION("""COMPUTED_VALUE"""),"I")</f>
        <v>I</v>
      </c>
      <c r="F5743" s="309" t="s">
        <v>31</v>
      </c>
      <c r="G5743" s="308"/>
      <c r="H5743" s="308" t="s">
        <v>23014</v>
      </c>
      <c r="I5743" s="314">
        <v>43427.0</v>
      </c>
      <c r="J5743" s="319">
        <f>IFERROR(__xludf.DUMMYFUNCTION("SPLIT(I5743,""/"")"),23.0)</f>
        <v>23</v>
      </c>
      <c r="K5743" s="308">
        <f>IFERROR(__xludf.DUMMYFUNCTION("""COMPUTED_VALUE"""),11.0)</f>
        <v>11</v>
      </c>
      <c r="L5743" s="308">
        <f>IFERROR(__xludf.DUMMYFUNCTION("""COMPUTED_VALUE"""),2018.0)</f>
        <v>2018</v>
      </c>
      <c r="M5743" s="308" t="s">
        <v>23015</v>
      </c>
      <c r="N5743" s="308"/>
      <c r="O5743" s="308"/>
      <c r="P5743" s="308" t="s">
        <v>38610</v>
      </c>
      <c r="Q5743" s="308" t="s">
        <v>38609</v>
      </c>
      <c r="R5743" s="308" t="s">
        <v>2743</v>
      </c>
      <c r="S5743" s="308" t="s">
        <v>81</v>
      </c>
      <c r="T5743" s="308" t="s">
        <v>75</v>
      </c>
      <c r="U5743" s="308" t="s">
        <v>5990</v>
      </c>
      <c r="V5743" s="308"/>
    </row>
    <row r="5744">
      <c r="A5744" s="308">
        <v>5743.0</v>
      </c>
      <c r="B5744" s="308"/>
      <c r="C5744" s="308" t="s">
        <v>23017</v>
      </c>
      <c r="D5744" s="308">
        <f>IFERROR(__xludf.DUMMYFUNCTION("SPLIT(C5744,""-"")"),5764.0)</f>
        <v>5764</v>
      </c>
      <c r="E5744" s="308" t="str">
        <f>IFERROR(__xludf.DUMMYFUNCTION("""COMPUTED_VALUE"""),"K")</f>
        <v>K</v>
      </c>
      <c r="F5744" s="309" t="s">
        <v>34</v>
      </c>
      <c r="G5744" s="308"/>
      <c r="H5744" s="308" t="s">
        <v>23018</v>
      </c>
      <c r="I5744" s="310">
        <v>43481.0</v>
      </c>
      <c r="J5744" s="319">
        <f>IFERROR(__xludf.DUMMYFUNCTION("SPLIT(I5744,""/"")"),16.0)</f>
        <v>16</v>
      </c>
      <c r="K5744" s="308">
        <f>IFERROR(__xludf.DUMMYFUNCTION("""COMPUTED_VALUE"""),1.0)</f>
        <v>1</v>
      </c>
      <c r="L5744" s="308">
        <f>IFERROR(__xludf.DUMMYFUNCTION("""COMPUTED_VALUE"""),2019.0)</f>
        <v>2019</v>
      </c>
      <c r="M5744" s="308" t="s">
        <v>23019</v>
      </c>
      <c r="N5744" s="308"/>
      <c r="O5744" s="308"/>
      <c r="P5744" s="308" t="s">
        <v>38611</v>
      </c>
      <c r="Q5744" s="308" t="s">
        <v>38609</v>
      </c>
      <c r="R5744" s="308" t="s">
        <v>2743</v>
      </c>
      <c r="S5744" s="308" t="s">
        <v>81</v>
      </c>
      <c r="T5744" s="311" t="s">
        <v>96</v>
      </c>
      <c r="U5744" s="308" t="s">
        <v>368</v>
      </c>
      <c r="V5744" s="308"/>
    </row>
    <row r="5745">
      <c r="A5745" s="308">
        <v>5744.0</v>
      </c>
      <c r="B5745" s="308"/>
      <c r="C5745" s="308" t="s">
        <v>23021</v>
      </c>
      <c r="D5745" s="308">
        <f>IFERROR(__xludf.DUMMYFUNCTION("SPLIT(C5745,""-"")"),5765.0)</f>
        <v>5765</v>
      </c>
      <c r="E5745" s="308" t="str">
        <f>IFERROR(__xludf.DUMMYFUNCTION("""COMPUTED_VALUE"""),"P")</f>
        <v>P</v>
      </c>
      <c r="F5745" s="312" t="s">
        <v>37</v>
      </c>
      <c r="G5745" s="308"/>
      <c r="H5745" s="308" t="s">
        <v>23022</v>
      </c>
      <c r="I5745" s="310">
        <v>42966.0</v>
      </c>
      <c r="J5745" s="319">
        <f>IFERROR(__xludf.DUMMYFUNCTION("SPLIT(I5745,""/"")"),19.0)</f>
        <v>19</v>
      </c>
      <c r="K5745" s="308">
        <f>IFERROR(__xludf.DUMMYFUNCTION("""COMPUTED_VALUE"""),8.0)</f>
        <v>8</v>
      </c>
      <c r="L5745" s="308">
        <f>IFERROR(__xludf.DUMMYFUNCTION("""COMPUTED_VALUE"""),2017.0)</f>
        <v>2017</v>
      </c>
      <c r="M5745" s="308" t="s">
        <v>23023</v>
      </c>
      <c r="N5745" s="308"/>
      <c r="O5745" s="308"/>
      <c r="P5745" s="308" t="s">
        <v>38612</v>
      </c>
      <c r="Q5745" s="308" t="s">
        <v>38609</v>
      </c>
      <c r="R5745" s="308" t="s">
        <v>2743</v>
      </c>
      <c r="S5745" s="308" t="s">
        <v>49</v>
      </c>
      <c r="T5745" s="308" t="s">
        <v>51</v>
      </c>
      <c r="U5745" s="308" t="s">
        <v>14456</v>
      </c>
      <c r="V5745" s="308"/>
    </row>
    <row r="5746">
      <c r="A5746" s="308">
        <v>5745.0</v>
      </c>
      <c r="B5746" s="308"/>
      <c r="C5746" s="308" t="s">
        <v>23025</v>
      </c>
      <c r="D5746" s="308">
        <f>IFERROR(__xludf.DUMMYFUNCTION("SPLIT(C5746,""-"")"),5766.0)</f>
        <v>5766</v>
      </c>
      <c r="E5746" s="308" t="str">
        <f>IFERROR(__xludf.DUMMYFUNCTION("""COMPUTED_VALUE"""),"K")</f>
        <v>K</v>
      </c>
      <c r="F5746" s="309" t="s">
        <v>34</v>
      </c>
      <c r="G5746" s="308"/>
      <c r="H5746" s="308" t="s">
        <v>23026</v>
      </c>
      <c r="I5746" s="310">
        <v>42152.0</v>
      </c>
      <c r="J5746" s="319">
        <f>IFERROR(__xludf.DUMMYFUNCTION("SPLIT(I5746,""/"")"),28.0)</f>
        <v>28</v>
      </c>
      <c r="K5746" s="308">
        <f>IFERROR(__xludf.DUMMYFUNCTION("""COMPUTED_VALUE"""),5.0)</f>
        <v>5</v>
      </c>
      <c r="L5746" s="308">
        <f>IFERROR(__xludf.DUMMYFUNCTION("""COMPUTED_VALUE"""),2015.0)</f>
        <v>2015</v>
      </c>
      <c r="M5746" s="308" t="s">
        <v>23027</v>
      </c>
      <c r="N5746" s="308"/>
      <c r="O5746" s="308"/>
      <c r="P5746" s="308" t="s">
        <v>136</v>
      </c>
      <c r="Q5746" s="308" t="s">
        <v>38609</v>
      </c>
      <c r="R5746" s="308" t="s">
        <v>2743</v>
      </c>
      <c r="S5746" s="315" t="s">
        <v>100</v>
      </c>
      <c r="T5746" s="308" t="s">
        <v>34208</v>
      </c>
      <c r="U5746" s="308" t="s">
        <v>368</v>
      </c>
      <c r="V5746" s="308"/>
    </row>
    <row r="5747">
      <c r="A5747" s="308">
        <v>5746.0</v>
      </c>
      <c r="B5747" s="308"/>
      <c r="C5747" s="308" t="s">
        <v>23028</v>
      </c>
      <c r="D5747" s="308">
        <f>IFERROR(__xludf.DUMMYFUNCTION("SPLIT(C5747,""-"")"),5767.0)</f>
        <v>5767</v>
      </c>
      <c r="E5747" s="308" t="str">
        <f>IFERROR(__xludf.DUMMYFUNCTION("""COMPUTED_VALUE"""),"P")</f>
        <v>P</v>
      </c>
      <c r="F5747" s="312" t="s">
        <v>37</v>
      </c>
      <c r="G5747" s="308"/>
      <c r="H5747" s="308" t="s">
        <v>23029</v>
      </c>
      <c r="I5747" s="314">
        <v>43448.0</v>
      </c>
      <c r="J5747" s="319">
        <f>IFERROR(__xludf.DUMMYFUNCTION("SPLIT(I5747,""/"")"),14.0)</f>
        <v>14</v>
      </c>
      <c r="K5747" s="308">
        <f>IFERROR(__xludf.DUMMYFUNCTION("""COMPUTED_VALUE"""),12.0)</f>
        <v>12</v>
      </c>
      <c r="L5747" s="308">
        <f>IFERROR(__xludf.DUMMYFUNCTION("""COMPUTED_VALUE"""),2018.0)</f>
        <v>2018</v>
      </c>
      <c r="M5747" s="308" t="s">
        <v>23030</v>
      </c>
      <c r="N5747" s="308"/>
      <c r="O5747" s="308"/>
      <c r="P5747" s="308" t="s">
        <v>38613</v>
      </c>
      <c r="Q5747" s="308" t="s">
        <v>38614</v>
      </c>
      <c r="R5747" s="308" t="s">
        <v>2743</v>
      </c>
      <c r="S5747" s="308" t="s">
        <v>81</v>
      </c>
      <c r="T5747" s="311" t="s">
        <v>90</v>
      </c>
      <c r="U5747" s="308" t="s">
        <v>149</v>
      </c>
      <c r="V5747" s="308"/>
    </row>
    <row r="5748">
      <c r="A5748" s="308">
        <v>5747.0</v>
      </c>
      <c r="B5748" s="308"/>
      <c r="C5748" s="308" t="s">
        <v>23032</v>
      </c>
      <c r="D5748" s="308">
        <f>IFERROR(__xludf.DUMMYFUNCTION("SPLIT(C5748,""-"")"),5768.0)</f>
        <v>5768</v>
      </c>
      <c r="E5748" s="308" t="str">
        <f>IFERROR(__xludf.DUMMYFUNCTION("""COMPUTED_VALUE"""),"P")</f>
        <v>P</v>
      </c>
      <c r="F5748" s="312" t="s">
        <v>37</v>
      </c>
      <c r="G5748" s="308"/>
      <c r="H5748" s="308" t="s">
        <v>23033</v>
      </c>
      <c r="I5748" s="314">
        <v>43449.0</v>
      </c>
      <c r="J5748" s="319">
        <f>IFERROR(__xludf.DUMMYFUNCTION("SPLIT(I5748,""/"")"),15.0)</f>
        <v>15</v>
      </c>
      <c r="K5748" s="308">
        <f>IFERROR(__xludf.DUMMYFUNCTION("""COMPUTED_VALUE"""),12.0)</f>
        <v>12</v>
      </c>
      <c r="L5748" s="308">
        <f>IFERROR(__xludf.DUMMYFUNCTION("""COMPUTED_VALUE"""),2018.0)</f>
        <v>2018</v>
      </c>
      <c r="M5748" s="308" t="s">
        <v>23034</v>
      </c>
      <c r="N5748" s="308"/>
      <c r="O5748" s="308"/>
      <c r="P5748" s="308" t="s">
        <v>38615</v>
      </c>
      <c r="Q5748" s="308" t="s">
        <v>38616</v>
      </c>
      <c r="R5748" s="308" t="s">
        <v>2743</v>
      </c>
      <c r="S5748" s="308" t="s">
        <v>81</v>
      </c>
      <c r="T5748" s="308" t="s">
        <v>75</v>
      </c>
      <c r="U5748" s="308" t="s">
        <v>149</v>
      </c>
      <c r="V5748" s="308"/>
    </row>
    <row r="5749">
      <c r="A5749" s="308">
        <v>5748.0</v>
      </c>
      <c r="B5749" s="308"/>
      <c r="C5749" s="308" t="s">
        <v>23036</v>
      </c>
      <c r="D5749" s="308">
        <f>IFERROR(__xludf.DUMMYFUNCTION("SPLIT(C5749,""-"")"),5769.0)</f>
        <v>5769</v>
      </c>
      <c r="E5749" s="308" t="str">
        <f>IFERROR(__xludf.DUMMYFUNCTION("""COMPUTED_VALUE"""),"K")</f>
        <v>K</v>
      </c>
      <c r="F5749" s="309" t="s">
        <v>34</v>
      </c>
      <c r="G5749" s="308"/>
      <c r="H5749" s="308" t="s">
        <v>23037</v>
      </c>
      <c r="I5749" s="310">
        <v>43215.0</v>
      </c>
      <c r="J5749" s="319">
        <f>IFERROR(__xludf.DUMMYFUNCTION("SPLIT(I5749,""/"")"),25.0)</f>
        <v>25</v>
      </c>
      <c r="K5749" s="308">
        <f>IFERROR(__xludf.DUMMYFUNCTION("""COMPUTED_VALUE"""),4.0)</f>
        <v>4</v>
      </c>
      <c r="L5749" s="308">
        <f>IFERROR(__xludf.DUMMYFUNCTION("""COMPUTED_VALUE"""),2018.0)</f>
        <v>2018</v>
      </c>
      <c r="M5749" s="308" t="s">
        <v>23038</v>
      </c>
      <c r="N5749" s="308"/>
      <c r="O5749" s="308"/>
      <c r="P5749" s="308" t="s">
        <v>23039</v>
      </c>
      <c r="Q5749" s="308" t="s">
        <v>38616</v>
      </c>
      <c r="R5749" s="308" t="s">
        <v>2743</v>
      </c>
      <c r="S5749" s="308" t="s">
        <v>81</v>
      </c>
      <c r="T5749" s="311" t="s">
        <v>75</v>
      </c>
      <c r="U5749" s="308" t="s">
        <v>201</v>
      </c>
      <c r="V5749" s="308"/>
    </row>
    <row r="5750">
      <c r="A5750" s="308">
        <v>5749.0</v>
      </c>
      <c r="B5750" s="308"/>
      <c r="C5750" s="308" t="s">
        <v>23040</v>
      </c>
      <c r="D5750" s="308">
        <f>IFERROR(__xludf.DUMMYFUNCTION("SPLIT(C5750,""-"")"),5770.0)</f>
        <v>5770</v>
      </c>
      <c r="E5750" s="308" t="str">
        <f>IFERROR(__xludf.DUMMYFUNCTION("""COMPUTED_VALUE"""),"K")</f>
        <v>K</v>
      </c>
      <c r="F5750" s="309" t="s">
        <v>34</v>
      </c>
      <c r="G5750" s="308"/>
      <c r="H5750" s="308" t="s">
        <v>23041</v>
      </c>
      <c r="I5750" s="310">
        <v>39630.0</v>
      </c>
      <c r="J5750" s="319">
        <f>IFERROR(__xludf.DUMMYFUNCTION("SPLIT(I5750,""/"")"),1.0)</f>
        <v>1</v>
      </c>
      <c r="K5750" s="308">
        <f>IFERROR(__xludf.DUMMYFUNCTION("""COMPUTED_VALUE"""),7.0)</f>
        <v>7</v>
      </c>
      <c r="L5750" s="308">
        <f>IFERROR(__xludf.DUMMYFUNCTION("""COMPUTED_VALUE"""),2008.0)</f>
        <v>2008</v>
      </c>
      <c r="M5750" s="308" t="s">
        <v>38617</v>
      </c>
      <c r="N5750" s="308" t="s">
        <v>439</v>
      </c>
      <c r="O5750" s="308" t="s">
        <v>23043</v>
      </c>
      <c r="P5750" s="308" t="s">
        <v>136</v>
      </c>
      <c r="Q5750" s="308" t="s">
        <v>38618</v>
      </c>
      <c r="R5750" s="308" t="s">
        <v>2743</v>
      </c>
      <c r="S5750" s="315" t="s">
        <v>100</v>
      </c>
      <c r="T5750" s="308" t="s">
        <v>34208</v>
      </c>
      <c r="U5750" s="308" t="s">
        <v>530</v>
      </c>
      <c r="V5750" s="308"/>
    </row>
    <row r="5751">
      <c r="A5751" s="308">
        <v>5750.0</v>
      </c>
      <c r="B5751" s="308"/>
      <c r="C5751" s="308" t="s">
        <v>23044</v>
      </c>
      <c r="D5751" s="308">
        <f>IFERROR(__xludf.DUMMYFUNCTION("SPLIT(C5751,""-"")"),5771.0)</f>
        <v>5771</v>
      </c>
      <c r="E5751" s="308" t="str">
        <f>IFERROR(__xludf.DUMMYFUNCTION("""COMPUTED_VALUE"""),"K")</f>
        <v>K</v>
      </c>
      <c r="F5751" s="309" t="s">
        <v>34</v>
      </c>
      <c r="G5751" s="308"/>
      <c r="H5751" s="308" t="s">
        <v>23045</v>
      </c>
      <c r="I5751" s="310">
        <v>39995.0</v>
      </c>
      <c r="J5751" s="319">
        <f>IFERROR(__xludf.DUMMYFUNCTION("SPLIT(I5751,""/"")"),1.0)</f>
        <v>1</v>
      </c>
      <c r="K5751" s="308">
        <f>IFERROR(__xludf.DUMMYFUNCTION("""COMPUTED_VALUE"""),7.0)</f>
        <v>7</v>
      </c>
      <c r="L5751" s="308">
        <f>IFERROR(__xludf.DUMMYFUNCTION("""COMPUTED_VALUE"""),2009.0)</f>
        <v>2009</v>
      </c>
      <c r="M5751" s="308" t="s">
        <v>38619</v>
      </c>
      <c r="N5751" s="308" t="s">
        <v>439</v>
      </c>
      <c r="O5751" s="308"/>
      <c r="P5751" s="308" t="s">
        <v>136</v>
      </c>
      <c r="Q5751" s="308" t="s">
        <v>38618</v>
      </c>
      <c r="R5751" s="308" t="s">
        <v>2743</v>
      </c>
      <c r="S5751" s="315" t="s">
        <v>100</v>
      </c>
      <c r="T5751" s="308" t="s">
        <v>34208</v>
      </c>
      <c r="U5751" s="308" t="s">
        <v>530</v>
      </c>
      <c r="V5751" s="308"/>
    </row>
    <row r="5752">
      <c r="A5752" s="308">
        <v>5751.0</v>
      </c>
      <c r="B5752" s="308"/>
      <c r="C5752" s="308" t="s">
        <v>23047</v>
      </c>
      <c r="D5752" s="308">
        <f>IFERROR(__xludf.DUMMYFUNCTION("SPLIT(C5752,""-"")"),5772.0)</f>
        <v>5772</v>
      </c>
      <c r="E5752" s="308" t="str">
        <f>IFERROR(__xludf.DUMMYFUNCTION("""COMPUTED_VALUE"""),"I")</f>
        <v>I</v>
      </c>
      <c r="F5752" s="309" t="s">
        <v>31</v>
      </c>
      <c r="G5752" s="308"/>
      <c r="H5752" s="308" t="s">
        <v>23048</v>
      </c>
      <c r="I5752" s="310">
        <v>42115.0</v>
      </c>
      <c r="J5752" s="319">
        <f>IFERROR(__xludf.DUMMYFUNCTION("SPLIT(I5752,""/"")"),21.0)</f>
        <v>21</v>
      </c>
      <c r="K5752" s="308">
        <f>IFERROR(__xludf.DUMMYFUNCTION("""COMPUTED_VALUE"""),4.0)</f>
        <v>4</v>
      </c>
      <c r="L5752" s="308">
        <f>IFERROR(__xludf.DUMMYFUNCTION("""COMPUTED_VALUE"""),2015.0)</f>
        <v>2015</v>
      </c>
      <c r="M5752" s="308" t="s">
        <v>38620</v>
      </c>
      <c r="N5752" s="308"/>
      <c r="O5752" s="308"/>
      <c r="P5752" s="308" t="s">
        <v>38621</v>
      </c>
      <c r="Q5752" s="308" t="s">
        <v>38618</v>
      </c>
      <c r="R5752" s="308" t="s">
        <v>2743</v>
      </c>
      <c r="S5752" s="308" t="s">
        <v>81</v>
      </c>
      <c r="T5752" s="308" t="s">
        <v>34264</v>
      </c>
      <c r="U5752" s="308" t="s">
        <v>5990</v>
      </c>
      <c r="V5752" s="308"/>
    </row>
    <row r="5753">
      <c r="A5753" s="308">
        <v>5752.0</v>
      </c>
      <c r="B5753" s="308"/>
      <c r="C5753" s="308" t="s">
        <v>23051</v>
      </c>
      <c r="D5753" s="308">
        <f>IFERROR(__xludf.DUMMYFUNCTION("SPLIT(C5753,""-"")"),5773.0)</f>
        <v>5773</v>
      </c>
      <c r="E5753" s="308" t="str">
        <f>IFERROR(__xludf.DUMMYFUNCTION("""COMPUTED_VALUE"""),"S")</f>
        <v>S</v>
      </c>
      <c r="F5753" s="312" t="s">
        <v>39</v>
      </c>
      <c r="G5753" s="308"/>
      <c r="H5753" s="308" t="s">
        <v>23052</v>
      </c>
      <c r="I5753" s="310">
        <v>42747.0</v>
      </c>
      <c r="J5753" s="319">
        <f>IFERROR(__xludf.DUMMYFUNCTION("SPLIT(I5753,""/"")"),12.0)</f>
        <v>12</v>
      </c>
      <c r="K5753" s="308">
        <f>IFERROR(__xludf.DUMMYFUNCTION("""COMPUTED_VALUE"""),1.0)</f>
        <v>1</v>
      </c>
      <c r="L5753" s="308">
        <f>IFERROR(__xludf.DUMMYFUNCTION("""COMPUTED_VALUE"""),2017.0)</f>
        <v>2017</v>
      </c>
      <c r="M5753" s="308" t="s">
        <v>23053</v>
      </c>
      <c r="N5753" s="308"/>
      <c r="O5753" s="308"/>
      <c r="P5753" s="308" t="s">
        <v>38622</v>
      </c>
      <c r="Q5753" s="308" t="s">
        <v>38618</v>
      </c>
      <c r="R5753" s="308" t="s">
        <v>2743</v>
      </c>
      <c r="S5753" s="308" t="s">
        <v>81</v>
      </c>
      <c r="T5753" s="308" t="s">
        <v>73</v>
      </c>
      <c r="U5753" s="308" t="s">
        <v>166</v>
      </c>
      <c r="V5753" s="308"/>
    </row>
    <row r="5754">
      <c r="A5754" s="308">
        <v>5753.0</v>
      </c>
      <c r="B5754" s="308"/>
      <c r="C5754" s="308" t="s">
        <v>23055</v>
      </c>
      <c r="D5754" s="308">
        <f>IFERROR(__xludf.DUMMYFUNCTION("SPLIT(C5754,""-"")"),5774.0)</f>
        <v>5774</v>
      </c>
      <c r="E5754" s="308" t="str">
        <f>IFERROR(__xludf.DUMMYFUNCTION("""COMPUTED_VALUE"""),"S")</f>
        <v>S</v>
      </c>
      <c r="F5754" s="312" t="s">
        <v>39</v>
      </c>
      <c r="G5754" s="308"/>
      <c r="H5754" s="308" t="s">
        <v>23056</v>
      </c>
      <c r="I5754" s="310">
        <v>42309.0</v>
      </c>
      <c r="J5754" s="319">
        <f>IFERROR(__xludf.DUMMYFUNCTION("SPLIT(I5754,""/"")"),1.0)</f>
        <v>1</v>
      </c>
      <c r="K5754" s="308">
        <f>IFERROR(__xludf.DUMMYFUNCTION("""COMPUTED_VALUE"""),11.0)</f>
        <v>11</v>
      </c>
      <c r="L5754" s="308">
        <f>IFERROR(__xludf.DUMMYFUNCTION("""COMPUTED_VALUE"""),2015.0)</f>
        <v>2015</v>
      </c>
      <c r="M5754" s="308" t="s">
        <v>23057</v>
      </c>
      <c r="N5754" s="308"/>
      <c r="O5754" s="308"/>
      <c r="P5754" s="308" t="s">
        <v>136</v>
      </c>
      <c r="Q5754" s="308" t="s">
        <v>38618</v>
      </c>
      <c r="R5754" s="308" t="s">
        <v>2743</v>
      </c>
      <c r="S5754" s="315" t="s">
        <v>100</v>
      </c>
      <c r="T5754" s="308" t="s">
        <v>34208</v>
      </c>
      <c r="U5754" s="308" t="s">
        <v>166</v>
      </c>
      <c r="V5754" s="308"/>
    </row>
    <row r="5755">
      <c r="A5755" s="308">
        <v>5754.0</v>
      </c>
      <c r="B5755" s="308"/>
      <c r="C5755" s="308" t="s">
        <v>23058</v>
      </c>
      <c r="D5755" s="308">
        <f>IFERROR(__xludf.DUMMYFUNCTION("SPLIT(C5755,""-"")"),5775.0)</f>
        <v>5775</v>
      </c>
      <c r="E5755" s="308" t="str">
        <f>IFERROR(__xludf.DUMMYFUNCTION("""COMPUTED_VALUE"""),"K")</f>
        <v>K</v>
      </c>
      <c r="F5755" s="309" t="s">
        <v>34</v>
      </c>
      <c r="G5755" s="308"/>
      <c r="H5755" s="308" t="s">
        <v>23059</v>
      </c>
      <c r="I5755" s="314">
        <v>43418.0</v>
      </c>
      <c r="J5755" s="319">
        <f>IFERROR(__xludf.DUMMYFUNCTION("SPLIT(I5755,""/"")"),14.0)</f>
        <v>14</v>
      </c>
      <c r="K5755" s="308">
        <f>IFERROR(__xludf.DUMMYFUNCTION("""COMPUTED_VALUE"""),11.0)</f>
        <v>11</v>
      </c>
      <c r="L5755" s="308">
        <f>IFERROR(__xludf.DUMMYFUNCTION("""COMPUTED_VALUE"""),2018.0)</f>
        <v>2018</v>
      </c>
      <c r="M5755" s="308" t="s">
        <v>23060</v>
      </c>
      <c r="N5755" s="308"/>
      <c r="O5755" s="308"/>
      <c r="P5755" s="308" t="s">
        <v>38623</v>
      </c>
      <c r="Q5755" s="308" t="s">
        <v>38618</v>
      </c>
      <c r="R5755" s="308" t="s">
        <v>2743</v>
      </c>
      <c r="S5755" s="308" t="s">
        <v>81</v>
      </c>
      <c r="T5755" s="311" t="s">
        <v>96</v>
      </c>
      <c r="U5755" s="308" t="s">
        <v>125</v>
      </c>
      <c r="V5755" s="308"/>
    </row>
    <row r="5756">
      <c r="A5756" s="308">
        <v>5755.0</v>
      </c>
      <c r="B5756" s="308"/>
      <c r="C5756" s="308" t="s">
        <v>23062</v>
      </c>
      <c r="D5756" s="308">
        <f>IFERROR(__xludf.DUMMYFUNCTION("SPLIT(C5756,""-"")"),5776.0)</f>
        <v>5776</v>
      </c>
      <c r="E5756" s="308" t="str">
        <f>IFERROR(__xludf.DUMMYFUNCTION("""COMPUTED_VALUE"""),"K")</f>
        <v>K</v>
      </c>
      <c r="F5756" s="309" t="s">
        <v>34</v>
      </c>
      <c r="G5756" s="308"/>
      <c r="H5756" s="308" t="s">
        <v>23063</v>
      </c>
      <c r="I5756" s="310">
        <v>42081.0</v>
      </c>
      <c r="J5756" s="319">
        <f>IFERROR(__xludf.DUMMYFUNCTION("SPLIT(I5756,""/"")"),18.0)</f>
        <v>18</v>
      </c>
      <c r="K5756" s="308">
        <f>IFERROR(__xludf.DUMMYFUNCTION("""COMPUTED_VALUE"""),3.0)</f>
        <v>3</v>
      </c>
      <c r="L5756" s="308">
        <f>IFERROR(__xludf.DUMMYFUNCTION("""COMPUTED_VALUE"""),2015.0)</f>
        <v>2015</v>
      </c>
      <c r="M5756" s="308" t="s">
        <v>23064</v>
      </c>
      <c r="N5756" s="308"/>
      <c r="O5756" s="308" t="s">
        <v>23065</v>
      </c>
      <c r="P5756" s="308" t="s">
        <v>38624</v>
      </c>
      <c r="Q5756" s="308" t="s">
        <v>38618</v>
      </c>
      <c r="R5756" s="308" t="s">
        <v>2743</v>
      </c>
      <c r="S5756" s="308" t="s">
        <v>49</v>
      </c>
      <c r="T5756" s="308" t="s">
        <v>51</v>
      </c>
      <c r="U5756" s="308" t="s">
        <v>2989</v>
      </c>
      <c r="V5756" s="308"/>
    </row>
    <row r="5757">
      <c r="A5757" s="308">
        <v>5756.0</v>
      </c>
      <c r="B5757" s="308"/>
      <c r="C5757" s="308" t="s">
        <v>23067</v>
      </c>
      <c r="D5757" s="308">
        <f>IFERROR(__xludf.DUMMYFUNCTION("SPLIT(C5757,""-"")"),5777.0)</f>
        <v>5777</v>
      </c>
      <c r="E5757" s="308" t="str">
        <f>IFERROR(__xludf.DUMMYFUNCTION("""COMPUTED_VALUE"""),"B")</f>
        <v>B</v>
      </c>
      <c r="F5757" s="315" t="s">
        <v>26</v>
      </c>
      <c r="G5757" s="308"/>
      <c r="H5757" s="308" t="s">
        <v>23068</v>
      </c>
      <c r="I5757" s="310">
        <v>43371.0</v>
      </c>
      <c r="J5757" s="319">
        <f>IFERROR(__xludf.DUMMYFUNCTION("SPLIT(I5757,""/"")"),28.0)</f>
        <v>28</v>
      </c>
      <c r="K5757" s="308">
        <f>IFERROR(__xludf.DUMMYFUNCTION("""COMPUTED_VALUE"""),9.0)</f>
        <v>9</v>
      </c>
      <c r="L5757" s="308">
        <f>IFERROR(__xludf.DUMMYFUNCTION("""COMPUTED_VALUE"""),2018.0)</f>
        <v>2018</v>
      </c>
      <c r="M5757" s="308" t="s">
        <v>22827</v>
      </c>
      <c r="N5757" s="308"/>
      <c r="O5757" s="308"/>
      <c r="P5757" s="308" t="s">
        <v>23069</v>
      </c>
      <c r="Q5757" s="308" t="s">
        <v>38618</v>
      </c>
      <c r="R5757" s="308" t="s">
        <v>2743</v>
      </c>
      <c r="S5757" s="308" t="s">
        <v>81</v>
      </c>
      <c r="T5757" s="308" t="s">
        <v>75</v>
      </c>
      <c r="U5757" s="308" t="s">
        <v>27</v>
      </c>
      <c r="V5757" s="308" t="s">
        <v>23070</v>
      </c>
    </row>
    <row r="5758">
      <c r="A5758" s="308">
        <v>5757.0</v>
      </c>
      <c r="B5758" s="308"/>
      <c r="C5758" s="308" t="s">
        <v>23071</v>
      </c>
      <c r="D5758" s="308">
        <f>IFERROR(__xludf.DUMMYFUNCTION("SPLIT(C5758,""-"")"),5778.0)</f>
        <v>5778</v>
      </c>
      <c r="E5758" s="308" t="str">
        <f>IFERROR(__xludf.DUMMYFUNCTION("""COMPUTED_VALUE"""),"P")</f>
        <v>P</v>
      </c>
      <c r="F5758" s="312" t="s">
        <v>37</v>
      </c>
      <c r="G5758" s="308"/>
      <c r="H5758" s="308" t="s">
        <v>23072</v>
      </c>
      <c r="I5758" s="310">
        <v>43182.0</v>
      </c>
      <c r="J5758" s="319">
        <f>IFERROR(__xludf.DUMMYFUNCTION("SPLIT(I5758,""/"")"),23.0)</f>
        <v>23</v>
      </c>
      <c r="K5758" s="308">
        <f>IFERROR(__xludf.DUMMYFUNCTION("""COMPUTED_VALUE"""),3.0)</f>
        <v>3</v>
      </c>
      <c r="L5758" s="308">
        <f>IFERROR(__xludf.DUMMYFUNCTION("""COMPUTED_VALUE"""),2018.0)</f>
        <v>2018</v>
      </c>
      <c r="M5758" s="308" t="s">
        <v>23073</v>
      </c>
      <c r="N5758" s="308"/>
      <c r="O5758" s="308"/>
      <c r="P5758" s="308" t="s">
        <v>23074</v>
      </c>
      <c r="Q5758" s="308" t="s">
        <v>38625</v>
      </c>
      <c r="R5758" s="308" t="s">
        <v>16447</v>
      </c>
      <c r="S5758" s="308" t="s">
        <v>81</v>
      </c>
      <c r="T5758" s="308" t="s">
        <v>75</v>
      </c>
      <c r="U5758" s="308" t="s">
        <v>149</v>
      </c>
      <c r="V5758" s="308" t="s">
        <v>23075</v>
      </c>
    </row>
    <row r="5759">
      <c r="A5759" s="308">
        <v>5758.0</v>
      </c>
      <c r="B5759" s="308"/>
      <c r="C5759" s="308" t="s">
        <v>23076</v>
      </c>
      <c r="D5759" s="308">
        <f>IFERROR(__xludf.DUMMYFUNCTION("SPLIT(C5759,""-"")"),5779.0)</f>
        <v>5779</v>
      </c>
      <c r="E5759" s="308" t="str">
        <f>IFERROR(__xludf.DUMMYFUNCTION("""COMPUTED_VALUE"""),"P")</f>
        <v>P</v>
      </c>
      <c r="F5759" s="312" t="s">
        <v>37</v>
      </c>
      <c r="G5759" s="308"/>
      <c r="H5759" s="308" t="s">
        <v>38626</v>
      </c>
      <c r="I5759" s="314">
        <v>43462.0</v>
      </c>
      <c r="J5759" s="319">
        <f>IFERROR(__xludf.DUMMYFUNCTION("SPLIT(I5759,""/"")"),28.0)</f>
        <v>28</v>
      </c>
      <c r="K5759" s="308">
        <f>IFERROR(__xludf.DUMMYFUNCTION("""COMPUTED_VALUE"""),12.0)</f>
        <v>12</v>
      </c>
      <c r="L5759" s="308">
        <f>IFERROR(__xludf.DUMMYFUNCTION("""COMPUTED_VALUE"""),2018.0)</f>
        <v>2018</v>
      </c>
      <c r="M5759" s="308" t="s">
        <v>23078</v>
      </c>
      <c r="N5759" s="308"/>
      <c r="O5759" s="308"/>
      <c r="P5759" s="308" t="s">
        <v>38607</v>
      </c>
      <c r="Q5759" s="308" t="s">
        <v>38625</v>
      </c>
      <c r="R5759" s="308" t="s">
        <v>16447</v>
      </c>
      <c r="S5759" s="308" t="s">
        <v>81</v>
      </c>
      <c r="T5759" s="308" t="s">
        <v>75</v>
      </c>
      <c r="U5759" s="308" t="s">
        <v>143</v>
      </c>
      <c r="V5759" s="308"/>
    </row>
    <row r="5760">
      <c r="A5760" s="308">
        <v>5759.0</v>
      </c>
      <c r="B5760" s="308"/>
      <c r="C5760" s="308" t="s">
        <v>23079</v>
      </c>
      <c r="D5760" s="308">
        <f>IFERROR(__xludf.DUMMYFUNCTION("SPLIT(C5760,""-"")"),5780.0)</f>
        <v>5780</v>
      </c>
      <c r="E5760" s="308" t="str">
        <f>IFERROR(__xludf.DUMMYFUNCTION("""COMPUTED_VALUE"""),"P")</f>
        <v>P</v>
      </c>
      <c r="F5760" s="312" t="s">
        <v>37</v>
      </c>
      <c r="G5760" s="308"/>
      <c r="H5760" s="308" t="s">
        <v>23080</v>
      </c>
      <c r="I5760" s="314">
        <v>43416.0</v>
      </c>
      <c r="J5760" s="319">
        <f>IFERROR(__xludf.DUMMYFUNCTION("SPLIT(I5760,""/"")"),12.0)</f>
        <v>12</v>
      </c>
      <c r="K5760" s="308">
        <f>IFERROR(__xludf.DUMMYFUNCTION("""COMPUTED_VALUE"""),11.0)</f>
        <v>11</v>
      </c>
      <c r="L5760" s="308">
        <f>IFERROR(__xludf.DUMMYFUNCTION("""COMPUTED_VALUE"""),2018.0)</f>
        <v>2018</v>
      </c>
      <c r="M5760" s="308" t="s">
        <v>23081</v>
      </c>
      <c r="N5760" s="308"/>
      <c r="O5760" s="308"/>
      <c r="P5760" s="308" t="s">
        <v>23082</v>
      </c>
      <c r="Q5760" s="308" t="s">
        <v>38625</v>
      </c>
      <c r="R5760" s="308" t="s">
        <v>16447</v>
      </c>
      <c r="S5760" s="308" t="s">
        <v>81</v>
      </c>
      <c r="T5760" s="308" t="s">
        <v>73</v>
      </c>
      <c r="U5760" s="308" t="s">
        <v>5707</v>
      </c>
      <c r="V5760" s="308"/>
    </row>
    <row r="5761">
      <c r="A5761" s="308">
        <v>5760.0</v>
      </c>
      <c r="B5761" s="308"/>
      <c r="C5761" s="308" t="s">
        <v>23083</v>
      </c>
      <c r="D5761" s="308">
        <f>IFERROR(__xludf.DUMMYFUNCTION("SPLIT(C5761,""-"")"),5781.0)</f>
        <v>5781</v>
      </c>
      <c r="E5761" s="308" t="str">
        <f>IFERROR(__xludf.DUMMYFUNCTION("""COMPUTED_VALUE"""),"P")</f>
        <v>P</v>
      </c>
      <c r="F5761" s="312" t="s">
        <v>37</v>
      </c>
      <c r="G5761" s="308"/>
      <c r="H5761" s="308" t="s">
        <v>38627</v>
      </c>
      <c r="I5761" s="310">
        <v>43372.0</v>
      </c>
      <c r="J5761" s="319">
        <f>IFERROR(__xludf.DUMMYFUNCTION("SPLIT(I5761,""/"")"),29.0)</f>
        <v>29</v>
      </c>
      <c r="K5761" s="308">
        <f>IFERROR(__xludf.DUMMYFUNCTION("""COMPUTED_VALUE"""),9.0)</f>
        <v>9</v>
      </c>
      <c r="L5761" s="308">
        <f>IFERROR(__xludf.DUMMYFUNCTION("""COMPUTED_VALUE"""),2018.0)</f>
        <v>2018</v>
      </c>
      <c r="M5761" s="308" t="s">
        <v>23085</v>
      </c>
      <c r="N5761" s="308"/>
      <c r="O5761" s="308"/>
      <c r="P5761" s="308" t="s">
        <v>23086</v>
      </c>
      <c r="Q5761" s="308" t="s">
        <v>38625</v>
      </c>
      <c r="R5761" s="308" t="s">
        <v>16447</v>
      </c>
      <c r="S5761" s="308" t="s">
        <v>81</v>
      </c>
      <c r="T5761" s="308" t="s">
        <v>73</v>
      </c>
      <c r="U5761" s="308" t="s">
        <v>15904</v>
      </c>
      <c r="V5761" s="308"/>
    </row>
    <row r="5762">
      <c r="A5762" s="308">
        <v>5761.0</v>
      </c>
      <c r="B5762" s="308"/>
      <c r="C5762" s="308" t="s">
        <v>23087</v>
      </c>
      <c r="D5762" s="308">
        <f>IFERROR(__xludf.DUMMYFUNCTION("SPLIT(C5762,""-"")"),5782.0)</f>
        <v>5782</v>
      </c>
      <c r="E5762" s="308" t="str">
        <f>IFERROR(__xludf.DUMMYFUNCTION("""COMPUTED_VALUE"""),"S")</f>
        <v>S</v>
      </c>
      <c r="F5762" s="312" t="s">
        <v>39</v>
      </c>
      <c r="G5762" s="308"/>
      <c r="H5762" s="308" t="s">
        <v>23088</v>
      </c>
      <c r="I5762" s="310">
        <v>43301.0</v>
      </c>
      <c r="J5762" s="319">
        <f>IFERROR(__xludf.DUMMYFUNCTION("SPLIT(I5762,""/"")"),20.0)</f>
        <v>20</v>
      </c>
      <c r="K5762" s="308">
        <f>IFERROR(__xludf.DUMMYFUNCTION("""COMPUTED_VALUE"""),7.0)</f>
        <v>7</v>
      </c>
      <c r="L5762" s="308">
        <f>IFERROR(__xludf.DUMMYFUNCTION("""COMPUTED_VALUE"""),2018.0)</f>
        <v>2018</v>
      </c>
      <c r="M5762" s="308" t="s">
        <v>23089</v>
      </c>
      <c r="N5762" s="308"/>
      <c r="O5762" s="308"/>
      <c r="P5762" s="308" t="s">
        <v>38628</v>
      </c>
      <c r="Q5762" s="308" t="s">
        <v>38625</v>
      </c>
      <c r="R5762" s="308" t="s">
        <v>16447</v>
      </c>
      <c r="S5762" s="308" t="s">
        <v>81</v>
      </c>
      <c r="T5762" s="308" t="s">
        <v>75</v>
      </c>
      <c r="U5762" s="308" t="s">
        <v>166</v>
      </c>
      <c r="V5762" s="308"/>
    </row>
    <row r="5763">
      <c r="A5763" s="308">
        <v>5762.0</v>
      </c>
      <c r="B5763" s="308"/>
      <c r="C5763" s="308" t="s">
        <v>23091</v>
      </c>
      <c r="D5763" s="308">
        <f>IFERROR(__xludf.DUMMYFUNCTION("SPLIT(C5763,""-"")"),5783.0)</f>
        <v>5783</v>
      </c>
      <c r="E5763" s="308" t="str">
        <f>IFERROR(__xludf.DUMMYFUNCTION("""COMPUTED_VALUE"""),"S")</f>
        <v>S</v>
      </c>
      <c r="F5763" s="312" t="s">
        <v>39</v>
      </c>
      <c r="G5763" s="308"/>
      <c r="H5763" s="308" t="s">
        <v>23092</v>
      </c>
      <c r="I5763" s="310">
        <v>42262.0</v>
      </c>
      <c r="J5763" s="319">
        <f>IFERROR(__xludf.DUMMYFUNCTION("SPLIT(I5763,""/"")"),15.0)</f>
        <v>15</v>
      </c>
      <c r="K5763" s="308">
        <f>IFERROR(__xludf.DUMMYFUNCTION("""COMPUTED_VALUE"""),9.0)</f>
        <v>9</v>
      </c>
      <c r="L5763" s="308">
        <f>IFERROR(__xludf.DUMMYFUNCTION("""COMPUTED_VALUE"""),2015.0)</f>
        <v>2015</v>
      </c>
      <c r="M5763" s="308" t="s">
        <v>38629</v>
      </c>
      <c r="N5763" s="308"/>
      <c r="O5763" s="308" t="s">
        <v>23094</v>
      </c>
      <c r="P5763" s="308" t="s">
        <v>38630</v>
      </c>
      <c r="Q5763" s="308" t="s">
        <v>38625</v>
      </c>
      <c r="R5763" s="308" t="s">
        <v>16447</v>
      </c>
      <c r="S5763" s="308" t="s">
        <v>81</v>
      </c>
      <c r="T5763" s="311" t="s">
        <v>35043</v>
      </c>
      <c r="U5763" s="308" t="s">
        <v>12947</v>
      </c>
      <c r="V5763" s="308"/>
    </row>
    <row r="5764">
      <c r="A5764" s="308">
        <v>5763.0</v>
      </c>
      <c r="B5764" s="308"/>
      <c r="C5764" s="308" t="s">
        <v>23096</v>
      </c>
      <c r="D5764" s="308">
        <f>IFERROR(__xludf.DUMMYFUNCTION("SPLIT(C5764,""-"")"),5784.0)</f>
        <v>5784</v>
      </c>
      <c r="E5764" s="308" t="str">
        <f>IFERROR(__xludf.DUMMYFUNCTION("""COMPUTED_VALUE"""),"S")</f>
        <v>S</v>
      </c>
      <c r="F5764" s="312" t="s">
        <v>39</v>
      </c>
      <c r="G5764" s="308"/>
      <c r="H5764" s="308" t="s">
        <v>23097</v>
      </c>
      <c r="I5764" s="314">
        <v>43460.0</v>
      </c>
      <c r="J5764" s="319">
        <f>IFERROR(__xludf.DUMMYFUNCTION("SPLIT(I5764,""/"")"),26.0)</f>
        <v>26</v>
      </c>
      <c r="K5764" s="308">
        <f>IFERROR(__xludf.DUMMYFUNCTION("""COMPUTED_VALUE"""),12.0)</f>
        <v>12</v>
      </c>
      <c r="L5764" s="308">
        <f>IFERROR(__xludf.DUMMYFUNCTION("""COMPUTED_VALUE"""),2018.0)</f>
        <v>2018</v>
      </c>
      <c r="M5764" s="308" t="s">
        <v>23098</v>
      </c>
      <c r="N5764" s="308"/>
      <c r="O5764" s="308"/>
      <c r="P5764" s="308" t="s">
        <v>23099</v>
      </c>
      <c r="Q5764" s="308" t="s">
        <v>38625</v>
      </c>
      <c r="R5764" s="308" t="s">
        <v>16447</v>
      </c>
      <c r="S5764" s="308" t="s">
        <v>81</v>
      </c>
      <c r="T5764" s="308" t="s">
        <v>75</v>
      </c>
      <c r="U5764" s="308" t="s">
        <v>166</v>
      </c>
      <c r="V5764" s="308"/>
    </row>
    <row r="5765">
      <c r="A5765" s="308">
        <v>5764.0</v>
      </c>
      <c r="B5765" s="308"/>
      <c r="C5765" s="308" t="s">
        <v>23100</v>
      </c>
      <c r="D5765" s="308">
        <f>IFERROR(__xludf.DUMMYFUNCTION("SPLIT(C5765,""-"")"),5785.0)</f>
        <v>5785</v>
      </c>
      <c r="E5765" s="308" t="str">
        <f>IFERROR(__xludf.DUMMYFUNCTION("""COMPUTED_VALUE"""),"S")</f>
        <v>S</v>
      </c>
      <c r="F5765" s="312" t="s">
        <v>39</v>
      </c>
      <c r="G5765" s="308"/>
      <c r="H5765" s="308" t="s">
        <v>23101</v>
      </c>
      <c r="I5765" s="310">
        <v>43113.0</v>
      </c>
      <c r="J5765" s="319">
        <f>IFERROR(__xludf.DUMMYFUNCTION("SPLIT(I5765,""/"")"),13.0)</f>
        <v>13</v>
      </c>
      <c r="K5765" s="308">
        <f>IFERROR(__xludf.DUMMYFUNCTION("""COMPUTED_VALUE"""),1.0)</f>
        <v>1</v>
      </c>
      <c r="L5765" s="308">
        <f>IFERROR(__xludf.DUMMYFUNCTION("""COMPUTED_VALUE"""),2018.0)</f>
        <v>2018</v>
      </c>
      <c r="M5765" s="308" t="s">
        <v>23102</v>
      </c>
      <c r="N5765" s="308"/>
      <c r="O5765" s="308"/>
      <c r="P5765" s="308" t="s">
        <v>38631</v>
      </c>
      <c r="Q5765" s="308" t="s">
        <v>38625</v>
      </c>
      <c r="R5765" s="308" t="s">
        <v>16447</v>
      </c>
      <c r="S5765" s="308" t="s">
        <v>81</v>
      </c>
      <c r="T5765" s="308" t="s">
        <v>75</v>
      </c>
      <c r="U5765" s="308" t="s">
        <v>166</v>
      </c>
      <c r="V5765" s="308"/>
    </row>
    <row r="5766">
      <c r="A5766" s="308">
        <v>5765.0</v>
      </c>
      <c r="B5766" s="308"/>
      <c r="C5766" s="308" t="s">
        <v>23104</v>
      </c>
      <c r="D5766" s="308">
        <f>IFERROR(__xludf.DUMMYFUNCTION("SPLIT(C5766,""-"")"),5786.0)</f>
        <v>5786</v>
      </c>
      <c r="E5766" s="308" t="str">
        <f>IFERROR(__xludf.DUMMYFUNCTION("""COMPUTED_VALUE"""),"F")</f>
        <v>F</v>
      </c>
      <c r="F5766" s="309" t="s">
        <v>34</v>
      </c>
      <c r="G5766" s="308"/>
      <c r="H5766" s="308" t="s">
        <v>23105</v>
      </c>
      <c r="I5766" s="310">
        <v>42551.0</v>
      </c>
      <c r="J5766" s="319">
        <f>IFERROR(__xludf.DUMMYFUNCTION("SPLIT(I5766,""/"")"),30.0)</f>
        <v>30</v>
      </c>
      <c r="K5766" s="308">
        <f>IFERROR(__xludf.DUMMYFUNCTION("""COMPUTED_VALUE"""),6.0)</f>
        <v>6</v>
      </c>
      <c r="L5766" s="308">
        <f>IFERROR(__xludf.DUMMYFUNCTION("""COMPUTED_VALUE"""),2016.0)</f>
        <v>2016</v>
      </c>
      <c r="M5766" s="308" t="s">
        <v>23106</v>
      </c>
      <c r="N5766" s="308" t="s">
        <v>439</v>
      </c>
      <c r="O5766" s="308"/>
      <c r="P5766" s="308" t="s">
        <v>136</v>
      </c>
      <c r="Q5766" s="308" t="s">
        <v>38625</v>
      </c>
      <c r="R5766" s="308" t="s">
        <v>16447</v>
      </c>
      <c r="S5766" s="315" t="s">
        <v>100</v>
      </c>
      <c r="T5766" s="308" t="s">
        <v>34208</v>
      </c>
      <c r="U5766" s="308" t="s">
        <v>6875</v>
      </c>
      <c r="V5766" s="308"/>
    </row>
    <row r="5767">
      <c r="A5767" s="308">
        <v>5766.0</v>
      </c>
      <c r="B5767" s="308"/>
      <c r="C5767" s="308" t="s">
        <v>23107</v>
      </c>
      <c r="D5767" s="308">
        <f>IFERROR(__xludf.DUMMYFUNCTION("SPLIT(C5767,""-"")"),5787.0)</f>
        <v>5787</v>
      </c>
      <c r="E5767" s="308" t="str">
        <f>IFERROR(__xludf.DUMMYFUNCTION("""COMPUTED_VALUE"""),"P")</f>
        <v>P</v>
      </c>
      <c r="F5767" s="312" t="s">
        <v>37</v>
      </c>
      <c r="G5767" s="308"/>
      <c r="H5767" s="308" t="s">
        <v>38632</v>
      </c>
      <c r="I5767" s="310">
        <v>42186.0</v>
      </c>
      <c r="J5767" s="319">
        <f>IFERROR(__xludf.DUMMYFUNCTION("SPLIT(I5767,""/"")"),1.0)</f>
        <v>1</v>
      </c>
      <c r="K5767" s="308">
        <f>IFERROR(__xludf.DUMMYFUNCTION("""COMPUTED_VALUE"""),7.0)</f>
        <v>7</v>
      </c>
      <c r="L5767" s="308">
        <f>IFERROR(__xludf.DUMMYFUNCTION("""COMPUTED_VALUE"""),2015.0)</f>
        <v>2015</v>
      </c>
      <c r="M5767" s="308" t="s">
        <v>23109</v>
      </c>
      <c r="N5767" s="308"/>
      <c r="O5767" s="308"/>
      <c r="P5767" s="308" t="s">
        <v>136</v>
      </c>
      <c r="Q5767" s="308" t="s">
        <v>38625</v>
      </c>
      <c r="R5767" s="308" t="s">
        <v>16447</v>
      </c>
      <c r="S5767" s="315" t="s">
        <v>100</v>
      </c>
      <c r="T5767" s="308" t="s">
        <v>34208</v>
      </c>
      <c r="U5767" s="308" t="s">
        <v>2748</v>
      </c>
      <c r="V5767" s="308"/>
    </row>
    <row r="5768">
      <c r="A5768" s="308">
        <v>5767.0</v>
      </c>
      <c r="B5768" s="308"/>
      <c r="C5768" s="308" t="s">
        <v>23110</v>
      </c>
      <c r="D5768" s="308">
        <f>IFERROR(__xludf.DUMMYFUNCTION("SPLIT(C5768,""-"")"),5788.0)</f>
        <v>5788</v>
      </c>
      <c r="E5768" s="308" t="str">
        <f>IFERROR(__xludf.DUMMYFUNCTION("""COMPUTED_VALUE"""),"S")</f>
        <v>S</v>
      </c>
      <c r="F5768" s="312" t="s">
        <v>39</v>
      </c>
      <c r="G5768" s="308"/>
      <c r="H5768" s="308" t="s">
        <v>23111</v>
      </c>
      <c r="I5768" s="310">
        <v>43271.0</v>
      </c>
      <c r="J5768" s="319">
        <f>IFERROR(__xludf.DUMMYFUNCTION("SPLIT(I5768,""/"")"),20.0)</f>
        <v>20</v>
      </c>
      <c r="K5768" s="308">
        <f>IFERROR(__xludf.DUMMYFUNCTION("""COMPUTED_VALUE"""),6.0)</f>
        <v>6</v>
      </c>
      <c r="L5768" s="308">
        <f>IFERROR(__xludf.DUMMYFUNCTION("""COMPUTED_VALUE"""),2018.0)</f>
        <v>2018</v>
      </c>
      <c r="M5768" s="308" t="s">
        <v>23112</v>
      </c>
      <c r="N5768" s="308"/>
      <c r="O5768" s="308" t="s">
        <v>4716</v>
      </c>
      <c r="P5768" s="308" t="s">
        <v>38633</v>
      </c>
      <c r="Q5768" s="308" t="s">
        <v>38634</v>
      </c>
      <c r="R5768" s="308" t="s">
        <v>16447</v>
      </c>
      <c r="S5768" s="308" t="s">
        <v>81</v>
      </c>
      <c r="T5768" s="308" t="s">
        <v>75</v>
      </c>
      <c r="U5768" s="308" t="s">
        <v>166</v>
      </c>
      <c r="V5768" s="308"/>
    </row>
    <row r="5769">
      <c r="A5769" s="308">
        <v>5768.0</v>
      </c>
      <c r="B5769" s="308"/>
      <c r="C5769" s="308" t="s">
        <v>23114</v>
      </c>
      <c r="D5769" s="308">
        <f>IFERROR(__xludf.DUMMYFUNCTION("SPLIT(C5769,""-"")"),5789.0)</f>
        <v>5789</v>
      </c>
      <c r="E5769" s="308" t="str">
        <f>IFERROR(__xludf.DUMMYFUNCTION("""COMPUTED_VALUE"""),"S")</f>
        <v>S</v>
      </c>
      <c r="F5769" s="312" t="s">
        <v>39</v>
      </c>
      <c r="G5769" s="308"/>
      <c r="H5769" s="308" t="s">
        <v>23115</v>
      </c>
      <c r="I5769" s="310">
        <v>43136.0</v>
      </c>
      <c r="J5769" s="319">
        <f>IFERROR(__xludf.DUMMYFUNCTION("SPLIT(I5769,""/"")"),5.0)</f>
        <v>5</v>
      </c>
      <c r="K5769" s="308">
        <f>IFERROR(__xludf.DUMMYFUNCTION("""COMPUTED_VALUE"""),2.0)</f>
        <v>2</v>
      </c>
      <c r="L5769" s="308">
        <f>IFERROR(__xludf.DUMMYFUNCTION("""COMPUTED_VALUE"""),2018.0)</f>
        <v>2018</v>
      </c>
      <c r="M5769" s="308" t="s">
        <v>23116</v>
      </c>
      <c r="N5769" s="308"/>
      <c r="O5769" s="308"/>
      <c r="P5769" s="308" t="s">
        <v>38635</v>
      </c>
      <c r="Q5769" s="308" t="s">
        <v>38634</v>
      </c>
      <c r="R5769" s="308" t="s">
        <v>16447</v>
      </c>
      <c r="S5769" s="308" t="s">
        <v>81</v>
      </c>
      <c r="T5769" s="308" t="s">
        <v>75</v>
      </c>
      <c r="U5769" s="308" t="s">
        <v>166</v>
      </c>
      <c r="V5769" s="308"/>
    </row>
    <row r="5770">
      <c r="A5770" s="308">
        <v>5769.0</v>
      </c>
      <c r="B5770" s="308"/>
      <c r="C5770" s="308" t="s">
        <v>23118</v>
      </c>
      <c r="D5770" s="308">
        <f>IFERROR(__xludf.DUMMYFUNCTION("SPLIT(C5770,""-"")"),5790.0)</f>
        <v>5790</v>
      </c>
      <c r="E5770" s="308" t="str">
        <f>IFERROR(__xludf.DUMMYFUNCTION("""COMPUTED_VALUE"""),"S")</f>
        <v>S</v>
      </c>
      <c r="F5770" s="312" t="s">
        <v>39</v>
      </c>
      <c r="G5770" s="308"/>
      <c r="H5770" s="308" t="s">
        <v>23119</v>
      </c>
      <c r="I5770" s="314">
        <v>43433.0</v>
      </c>
      <c r="J5770" s="319">
        <f>IFERROR(__xludf.DUMMYFUNCTION("SPLIT(I5770,""/"")"),29.0)</f>
        <v>29</v>
      </c>
      <c r="K5770" s="308">
        <f>IFERROR(__xludf.DUMMYFUNCTION("""COMPUTED_VALUE"""),11.0)</f>
        <v>11</v>
      </c>
      <c r="L5770" s="308">
        <f>IFERROR(__xludf.DUMMYFUNCTION("""COMPUTED_VALUE"""),2018.0)</f>
        <v>2018</v>
      </c>
      <c r="M5770" s="308" t="s">
        <v>23120</v>
      </c>
      <c r="N5770" s="308"/>
      <c r="O5770" s="308"/>
      <c r="P5770" s="308" t="s">
        <v>23121</v>
      </c>
      <c r="Q5770" s="308" t="s">
        <v>38634</v>
      </c>
      <c r="R5770" s="308" t="s">
        <v>16447</v>
      </c>
      <c r="S5770" s="308" t="s">
        <v>81</v>
      </c>
      <c r="T5770" s="308" t="s">
        <v>75</v>
      </c>
      <c r="U5770" s="308" t="s">
        <v>166</v>
      </c>
      <c r="V5770" s="308"/>
    </row>
    <row r="5771">
      <c r="A5771" s="308">
        <v>5770.0</v>
      </c>
      <c r="B5771" s="308"/>
      <c r="C5771" s="308" t="s">
        <v>23122</v>
      </c>
      <c r="D5771" s="308">
        <f>IFERROR(__xludf.DUMMYFUNCTION("SPLIT(C5771,""-"")"),5791.0)</f>
        <v>5791</v>
      </c>
      <c r="E5771" s="308" t="str">
        <f>IFERROR(__xludf.DUMMYFUNCTION("""COMPUTED_VALUE"""),"S")</f>
        <v>S</v>
      </c>
      <c r="F5771" s="312" t="s">
        <v>39</v>
      </c>
      <c r="G5771" s="308"/>
      <c r="H5771" s="308" t="s">
        <v>23123</v>
      </c>
      <c r="I5771" s="310">
        <v>43151.0</v>
      </c>
      <c r="J5771" s="319">
        <f>IFERROR(__xludf.DUMMYFUNCTION("SPLIT(I5771,""/"")"),20.0)</f>
        <v>20</v>
      </c>
      <c r="K5771" s="308">
        <f>IFERROR(__xludf.DUMMYFUNCTION("""COMPUTED_VALUE"""),2.0)</f>
        <v>2</v>
      </c>
      <c r="L5771" s="308">
        <f>IFERROR(__xludf.DUMMYFUNCTION("""COMPUTED_VALUE"""),2018.0)</f>
        <v>2018</v>
      </c>
      <c r="M5771" s="308" t="s">
        <v>23124</v>
      </c>
      <c r="N5771" s="308"/>
      <c r="O5771" s="308"/>
      <c r="P5771" s="308" t="s">
        <v>23125</v>
      </c>
      <c r="Q5771" s="308" t="s">
        <v>38634</v>
      </c>
      <c r="R5771" s="308" t="s">
        <v>16447</v>
      </c>
      <c r="S5771" s="308" t="s">
        <v>81</v>
      </c>
      <c r="T5771" s="308" t="s">
        <v>75</v>
      </c>
      <c r="U5771" s="308" t="s">
        <v>166</v>
      </c>
      <c r="V5771" s="308"/>
    </row>
    <row r="5772">
      <c r="A5772" s="308">
        <v>5771.0</v>
      </c>
      <c r="B5772" s="308"/>
      <c r="C5772" s="308" t="s">
        <v>23126</v>
      </c>
      <c r="D5772" s="308">
        <f>IFERROR(__xludf.DUMMYFUNCTION("SPLIT(C5772,""-"")"),5792.0)</f>
        <v>5792</v>
      </c>
      <c r="E5772" s="308" t="str">
        <f>IFERROR(__xludf.DUMMYFUNCTION("""COMPUTED_VALUE"""),"P")</f>
        <v>P</v>
      </c>
      <c r="F5772" s="312" t="s">
        <v>37</v>
      </c>
      <c r="G5772" s="308"/>
      <c r="H5772" s="308" t="s">
        <v>23127</v>
      </c>
      <c r="I5772" s="310">
        <v>43490.0</v>
      </c>
      <c r="J5772" s="319">
        <f>IFERROR(__xludf.DUMMYFUNCTION("SPLIT(I5772,""/"")"),25.0)</f>
        <v>25</v>
      </c>
      <c r="K5772" s="308">
        <f>IFERROR(__xludf.DUMMYFUNCTION("""COMPUTED_VALUE"""),1.0)</f>
        <v>1</v>
      </c>
      <c r="L5772" s="308">
        <f>IFERROR(__xludf.DUMMYFUNCTION("""COMPUTED_VALUE"""),2019.0)</f>
        <v>2019</v>
      </c>
      <c r="M5772" s="308" t="s">
        <v>23128</v>
      </c>
      <c r="N5772" s="308"/>
      <c r="O5772" s="308"/>
      <c r="P5772" s="308" t="s">
        <v>23129</v>
      </c>
      <c r="Q5772" s="308" t="s">
        <v>38636</v>
      </c>
      <c r="R5772" s="308" t="s">
        <v>2743</v>
      </c>
      <c r="S5772" s="308" t="s">
        <v>81</v>
      </c>
      <c r="T5772" s="311" t="s">
        <v>96</v>
      </c>
      <c r="U5772" s="308" t="s">
        <v>2263</v>
      </c>
      <c r="V5772" s="308"/>
    </row>
    <row r="5773">
      <c r="A5773" s="308">
        <v>5772.0</v>
      </c>
      <c r="B5773" s="308"/>
      <c r="C5773" s="308" t="s">
        <v>23130</v>
      </c>
      <c r="D5773" s="308">
        <f>IFERROR(__xludf.DUMMYFUNCTION("SPLIT(C5773,""-"")"),5793.0)</f>
        <v>5793</v>
      </c>
      <c r="E5773" s="308" t="str">
        <f>IFERROR(__xludf.DUMMYFUNCTION("""COMPUTED_VALUE"""),"P")</f>
        <v>P</v>
      </c>
      <c r="F5773" s="312" t="s">
        <v>37</v>
      </c>
      <c r="G5773" s="308"/>
      <c r="H5773" s="308" t="s">
        <v>23131</v>
      </c>
      <c r="I5773" s="310">
        <v>43490.0</v>
      </c>
      <c r="J5773" s="319">
        <f>IFERROR(__xludf.DUMMYFUNCTION("SPLIT(I5773,""/"")"),25.0)</f>
        <v>25</v>
      </c>
      <c r="K5773" s="308">
        <f>IFERROR(__xludf.DUMMYFUNCTION("""COMPUTED_VALUE"""),1.0)</f>
        <v>1</v>
      </c>
      <c r="L5773" s="308">
        <f>IFERROR(__xludf.DUMMYFUNCTION("""COMPUTED_VALUE"""),2019.0)</f>
        <v>2019</v>
      </c>
      <c r="M5773" s="308" t="s">
        <v>23128</v>
      </c>
      <c r="N5773" s="308"/>
      <c r="O5773" s="308"/>
      <c r="P5773" s="308" t="s">
        <v>23129</v>
      </c>
      <c r="Q5773" s="308" t="s">
        <v>38636</v>
      </c>
      <c r="R5773" s="308" t="s">
        <v>2743</v>
      </c>
      <c r="S5773" s="308" t="s">
        <v>81</v>
      </c>
      <c r="T5773" s="311" t="s">
        <v>96</v>
      </c>
      <c r="U5773" s="308" t="s">
        <v>2263</v>
      </c>
      <c r="V5773" s="308"/>
    </row>
    <row r="5774">
      <c r="A5774" s="308">
        <v>5773.0</v>
      </c>
      <c r="B5774" s="308"/>
      <c r="C5774" s="308" t="s">
        <v>23132</v>
      </c>
      <c r="D5774" s="308">
        <f>IFERROR(__xludf.DUMMYFUNCTION("SPLIT(C5774,""-"")"),5794.0)</f>
        <v>5794</v>
      </c>
      <c r="E5774" s="308" t="str">
        <f>IFERROR(__xludf.DUMMYFUNCTION("""COMPUTED_VALUE"""),"P")</f>
        <v>P</v>
      </c>
      <c r="F5774" s="312" t="s">
        <v>37</v>
      </c>
      <c r="G5774" s="308"/>
      <c r="H5774" s="308" t="s">
        <v>23133</v>
      </c>
      <c r="I5774" s="310">
        <v>43490.0</v>
      </c>
      <c r="J5774" s="319">
        <f>IFERROR(__xludf.DUMMYFUNCTION("SPLIT(I5774,""/"")"),25.0)</f>
        <v>25</v>
      </c>
      <c r="K5774" s="308">
        <f>IFERROR(__xludf.DUMMYFUNCTION("""COMPUTED_VALUE"""),1.0)</f>
        <v>1</v>
      </c>
      <c r="L5774" s="308">
        <f>IFERROR(__xludf.DUMMYFUNCTION("""COMPUTED_VALUE"""),2019.0)</f>
        <v>2019</v>
      </c>
      <c r="M5774" s="308" t="s">
        <v>23128</v>
      </c>
      <c r="N5774" s="308"/>
      <c r="O5774" s="308"/>
      <c r="P5774" s="308" t="s">
        <v>23129</v>
      </c>
      <c r="Q5774" s="308" t="s">
        <v>38636</v>
      </c>
      <c r="R5774" s="308" t="s">
        <v>2743</v>
      </c>
      <c r="S5774" s="308" t="s">
        <v>81</v>
      </c>
      <c r="T5774" s="311" t="s">
        <v>96</v>
      </c>
      <c r="U5774" s="308" t="s">
        <v>2263</v>
      </c>
      <c r="V5774" s="308"/>
    </row>
    <row r="5775">
      <c r="A5775" s="308">
        <v>5774.0</v>
      </c>
      <c r="B5775" s="312"/>
      <c r="C5775" s="308" t="s">
        <v>23134</v>
      </c>
      <c r="D5775" s="308">
        <f>IFERROR(__xludf.DUMMYFUNCTION("SPLIT(C5775,""-"")"),5795.0)</f>
        <v>5795</v>
      </c>
      <c r="E5775" s="308" t="str">
        <f>IFERROR(__xludf.DUMMYFUNCTION("""COMPUTED_VALUE"""),"P")</f>
        <v>P</v>
      </c>
      <c r="F5775" s="312" t="s">
        <v>37</v>
      </c>
      <c r="G5775" s="308"/>
      <c r="H5775" s="308" t="s">
        <v>23135</v>
      </c>
      <c r="I5775" s="310">
        <v>43490.0</v>
      </c>
      <c r="J5775" s="319">
        <f>IFERROR(__xludf.DUMMYFUNCTION("SPLIT(I5775,""/"")"),25.0)</f>
        <v>25</v>
      </c>
      <c r="K5775" s="308">
        <f>IFERROR(__xludf.DUMMYFUNCTION("""COMPUTED_VALUE"""),1.0)</f>
        <v>1</v>
      </c>
      <c r="L5775" s="308">
        <f>IFERROR(__xludf.DUMMYFUNCTION("""COMPUTED_VALUE"""),2019.0)</f>
        <v>2019</v>
      </c>
      <c r="M5775" s="308" t="s">
        <v>23136</v>
      </c>
      <c r="N5775" s="308"/>
      <c r="O5775" s="308"/>
      <c r="P5775" s="308" t="s">
        <v>23129</v>
      </c>
      <c r="Q5775" s="308" t="s">
        <v>38636</v>
      </c>
      <c r="R5775" s="308" t="s">
        <v>2743</v>
      </c>
      <c r="S5775" s="308" t="s">
        <v>81</v>
      </c>
      <c r="T5775" s="311" t="s">
        <v>96</v>
      </c>
      <c r="U5775" s="308" t="s">
        <v>2263</v>
      </c>
      <c r="V5775" s="308"/>
    </row>
    <row r="5776">
      <c r="A5776" s="308">
        <v>5775.0</v>
      </c>
      <c r="B5776" s="308"/>
      <c r="C5776" s="308" t="s">
        <v>23137</v>
      </c>
      <c r="D5776" s="308">
        <f>IFERROR(__xludf.DUMMYFUNCTION("SPLIT(C5776,""-"")"),5796.0)</f>
        <v>5796</v>
      </c>
      <c r="E5776" s="308" t="str">
        <f>IFERROR(__xludf.DUMMYFUNCTION("""COMPUTED_VALUE"""),"S")</f>
        <v>S</v>
      </c>
      <c r="F5776" s="312" t="s">
        <v>39</v>
      </c>
      <c r="G5776" s="308"/>
      <c r="H5776" s="308" t="s">
        <v>38637</v>
      </c>
      <c r="I5776" s="310">
        <v>43209.0</v>
      </c>
      <c r="J5776" s="319">
        <f>IFERROR(__xludf.DUMMYFUNCTION("SPLIT(I5776,""/"")"),19.0)</f>
        <v>19</v>
      </c>
      <c r="K5776" s="308">
        <f>IFERROR(__xludf.DUMMYFUNCTION("""COMPUTED_VALUE"""),4.0)</f>
        <v>4</v>
      </c>
      <c r="L5776" s="308">
        <f>IFERROR(__xludf.DUMMYFUNCTION("""COMPUTED_VALUE"""),2018.0)</f>
        <v>2018</v>
      </c>
      <c r="M5776" s="308" t="s">
        <v>23139</v>
      </c>
      <c r="N5776" s="308"/>
      <c r="O5776" s="308"/>
      <c r="P5776" s="308" t="s">
        <v>38638</v>
      </c>
      <c r="Q5776" s="308" t="s">
        <v>38636</v>
      </c>
      <c r="R5776" s="308" t="s">
        <v>16447</v>
      </c>
      <c r="S5776" s="308" t="s">
        <v>49</v>
      </c>
      <c r="T5776" s="311" t="s">
        <v>51</v>
      </c>
      <c r="U5776" s="308" t="s">
        <v>12947</v>
      </c>
      <c r="V5776" s="308"/>
    </row>
    <row r="5777">
      <c r="A5777" s="308">
        <v>5776.0</v>
      </c>
      <c r="B5777" s="308"/>
      <c r="C5777" s="308" t="s">
        <v>23141</v>
      </c>
      <c r="D5777" s="308">
        <f>IFERROR(__xludf.DUMMYFUNCTION("SPLIT(C5777,""-"")"),5797.0)</f>
        <v>5797</v>
      </c>
      <c r="E5777" s="308" t="str">
        <f>IFERROR(__xludf.DUMMYFUNCTION("""COMPUTED_VALUE"""),"S")</f>
        <v>S</v>
      </c>
      <c r="F5777" s="312" t="s">
        <v>39</v>
      </c>
      <c r="G5777" s="308"/>
      <c r="H5777" s="308" t="s">
        <v>23142</v>
      </c>
      <c r="I5777" s="310">
        <v>42917.0</v>
      </c>
      <c r="J5777" s="319">
        <f>IFERROR(__xludf.DUMMYFUNCTION("SPLIT(I5777,""/"")"),1.0)</f>
        <v>1</v>
      </c>
      <c r="K5777" s="308">
        <f>IFERROR(__xludf.DUMMYFUNCTION("""COMPUTED_VALUE"""),7.0)</f>
        <v>7</v>
      </c>
      <c r="L5777" s="308">
        <f>IFERROR(__xludf.DUMMYFUNCTION("""COMPUTED_VALUE"""),2017.0)</f>
        <v>2017</v>
      </c>
      <c r="M5777" s="308" t="s">
        <v>23143</v>
      </c>
      <c r="N5777" s="308"/>
      <c r="O5777" s="308"/>
      <c r="P5777" s="308" t="s">
        <v>38639</v>
      </c>
      <c r="Q5777" s="308" t="s">
        <v>38636</v>
      </c>
      <c r="R5777" s="308" t="s">
        <v>16447</v>
      </c>
      <c r="S5777" s="308" t="s">
        <v>49</v>
      </c>
      <c r="T5777" s="308" t="s">
        <v>70</v>
      </c>
      <c r="U5777" s="308" t="s">
        <v>166</v>
      </c>
      <c r="V5777" s="308"/>
    </row>
    <row r="5778">
      <c r="A5778" s="308">
        <v>5777.0</v>
      </c>
      <c r="B5778" s="308"/>
      <c r="C5778" s="308" t="s">
        <v>23145</v>
      </c>
      <c r="D5778" s="308">
        <f>IFERROR(__xludf.DUMMYFUNCTION("SPLIT(C5778,""-"")"),5798.0)</f>
        <v>5798</v>
      </c>
      <c r="E5778" s="308" t="str">
        <f>IFERROR(__xludf.DUMMYFUNCTION("""COMPUTED_VALUE"""),"K")</f>
        <v>K</v>
      </c>
      <c r="F5778" s="309" t="s">
        <v>34</v>
      </c>
      <c r="G5778" s="308"/>
      <c r="H5778" s="308" t="s">
        <v>23146</v>
      </c>
      <c r="I5778" s="310">
        <v>42865.0</v>
      </c>
      <c r="J5778" s="319" t="str">
        <f>IFERROR(__xludf.DUMMYFUNCTION("SPLIT(I5778,""/"")"),"#REF!")</f>
        <v>#REF!</v>
      </c>
      <c r="K5778" s="308"/>
      <c r="L5778" s="308">
        <v>2017.0</v>
      </c>
      <c r="M5778" s="308" t="s">
        <v>23147</v>
      </c>
      <c r="N5778" s="308"/>
      <c r="O5778" s="308"/>
      <c r="P5778" s="308" t="s">
        <v>136</v>
      </c>
      <c r="Q5778" s="308" t="s">
        <v>38636</v>
      </c>
      <c r="R5778" s="308" t="s">
        <v>2743</v>
      </c>
      <c r="S5778" s="315" t="s">
        <v>100</v>
      </c>
      <c r="T5778" s="308" t="s">
        <v>34208</v>
      </c>
      <c r="U5778" s="308" t="s">
        <v>125</v>
      </c>
      <c r="V5778" s="308"/>
    </row>
    <row r="5779">
      <c r="A5779" s="308">
        <v>5778.0</v>
      </c>
      <c r="B5779" s="308"/>
      <c r="C5779" s="308" t="s">
        <v>23148</v>
      </c>
      <c r="D5779" s="308">
        <f>IFERROR(__xludf.DUMMYFUNCTION("SPLIT(C5779,""-"")"),5799.0)</f>
        <v>5799</v>
      </c>
      <c r="E5779" s="308" t="str">
        <f>IFERROR(__xludf.DUMMYFUNCTION("""COMPUTED_VALUE"""),"K")</f>
        <v>K</v>
      </c>
      <c r="F5779" s="309" t="s">
        <v>34</v>
      </c>
      <c r="G5779" s="308"/>
      <c r="H5779" s="308" t="s">
        <v>23149</v>
      </c>
      <c r="I5779" s="310">
        <v>36708.0</v>
      </c>
      <c r="J5779" s="319">
        <f>IFERROR(__xludf.DUMMYFUNCTION("SPLIT(I5779,""/"")"),1.0)</f>
        <v>1</v>
      </c>
      <c r="K5779" s="308">
        <f>IFERROR(__xludf.DUMMYFUNCTION("""COMPUTED_VALUE"""),7.0)</f>
        <v>7</v>
      </c>
      <c r="L5779" s="308">
        <f>IFERROR(__xludf.DUMMYFUNCTION("""COMPUTED_VALUE"""),2000.0)</f>
        <v>2000</v>
      </c>
      <c r="M5779" s="308" t="s">
        <v>23150</v>
      </c>
      <c r="N5779" s="308"/>
      <c r="O5779" s="308" t="s">
        <v>23151</v>
      </c>
      <c r="P5779" s="308" t="s">
        <v>38640</v>
      </c>
      <c r="Q5779" s="308" t="s">
        <v>38641</v>
      </c>
      <c r="R5779" s="308" t="s">
        <v>2743</v>
      </c>
      <c r="S5779" s="308" t="s">
        <v>49</v>
      </c>
      <c r="T5779" s="311" t="s">
        <v>69</v>
      </c>
      <c r="U5779" s="308" t="s">
        <v>2466</v>
      </c>
      <c r="V5779" s="308"/>
    </row>
    <row r="5780">
      <c r="A5780" s="308">
        <v>5779.0</v>
      </c>
      <c r="B5780" s="308"/>
      <c r="C5780" s="308" t="s">
        <v>23153</v>
      </c>
      <c r="D5780" s="308">
        <f>IFERROR(__xludf.DUMMYFUNCTION("SPLIT(C5780,""-"")"),5800.0)</f>
        <v>5800</v>
      </c>
      <c r="E5780" s="308" t="str">
        <f>IFERROR(__xludf.DUMMYFUNCTION("""COMPUTED_VALUE"""),"F")</f>
        <v>F</v>
      </c>
      <c r="F5780" s="309" t="s">
        <v>34</v>
      </c>
      <c r="G5780" s="308"/>
      <c r="H5780" s="308" t="s">
        <v>23154</v>
      </c>
      <c r="I5780" s="316" t="s">
        <v>407</v>
      </c>
      <c r="J5780" s="319"/>
      <c r="K5780" s="308"/>
      <c r="L5780" s="311" t="s">
        <v>79</v>
      </c>
      <c r="M5780" s="308" t="s">
        <v>23155</v>
      </c>
      <c r="N5780" s="308"/>
      <c r="O5780" s="308"/>
      <c r="P5780" s="308" t="s">
        <v>136</v>
      </c>
      <c r="Q5780" s="308" t="s">
        <v>38641</v>
      </c>
      <c r="R5780" s="308" t="s">
        <v>2743</v>
      </c>
      <c r="S5780" s="315" t="s">
        <v>100</v>
      </c>
      <c r="T5780" s="308" t="s">
        <v>34208</v>
      </c>
      <c r="U5780" s="308" t="s">
        <v>195</v>
      </c>
      <c r="V5780" s="308"/>
    </row>
    <row r="5781">
      <c r="A5781" s="308">
        <v>5780.0</v>
      </c>
      <c r="B5781" s="308"/>
      <c r="C5781" s="308" t="s">
        <v>23156</v>
      </c>
      <c r="D5781" s="308">
        <f>IFERROR(__xludf.DUMMYFUNCTION("SPLIT(C5781,""-"")"),5801.0)</f>
        <v>5801</v>
      </c>
      <c r="E5781" s="308" t="str">
        <f>IFERROR(__xludf.DUMMYFUNCTION("""COMPUTED_VALUE"""),"B")</f>
        <v>B</v>
      </c>
      <c r="F5781" s="315" t="s">
        <v>26</v>
      </c>
      <c r="G5781" s="308"/>
      <c r="H5781" s="308" t="s">
        <v>23157</v>
      </c>
      <c r="I5781" s="314">
        <v>42692.0</v>
      </c>
      <c r="J5781" s="319">
        <f>IFERROR(__xludf.DUMMYFUNCTION("SPLIT(I5781,""/"")"),18.0)</f>
        <v>18</v>
      </c>
      <c r="K5781" s="308">
        <f>IFERROR(__xludf.DUMMYFUNCTION("""COMPUTED_VALUE"""),11.0)</f>
        <v>11</v>
      </c>
      <c r="L5781" s="308">
        <f>IFERROR(__xludf.DUMMYFUNCTION("""COMPUTED_VALUE"""),2016.0)</f>
        <v>2016</v>
      </c>
      <c r="M5781" s="308" t="s">
        <v>23158</v>
      </c>
      <c r="N5781" s="308"/>
      <c r="O5781" s="308"/>
      <c r="P5781" s="308" t="s">
        <v>136</v>
      </c>
      <c r="Q5781" s="308" t="s">
        <v>38641</v>
      </c>
      <c r="R5781" s="308" t="s">
        <v>2743</v>
      </c>
      <c r="S5781" s="315" t="s">
        <v>100</v>
      </c>
      <c r="T5781" s="308" t="s">
        <v>34208</v>
      </c>
      <c r="U5781" s="308" t="s">
        <v>27</v>
      </c>
      <c r="V5781" s="308"/>
    </row>
    <row r="5782">
      <c r="A5782" s="308">
        <v>5781.0</v>
      </c>
      <c r="B5782" s="308"/>
      <c r="C5782" s="308" t="s">
        <v>23159</v>
      </c>
      <c r="D5782" s="308">
        <f>IFERROR(__xludf.DUMMYFUNCTION("SPLIT(C5782,""-"")"),5802.0)</f>
        <v>5802</v>
      </c>
      <c r="E5782" s="308" t="str">
        <f>IFERROR(__xludf.DUMMYFUNCTION("""COMPUTED_VALUE"""),"K")</f>
        <v>K</v>
      </c>
      <c r="F5782" s="309" t="s">
        <v>34</v>
      </c>
      <c r="G5782" s="308"/>
      <c r="H5782" s="308" t="s">
        <v>23160</v>
      </c>
      <c r="I5782" s="310">
        <v>42410.0</v>
      </c>
      <c r="J5782" s="319">
        <f>IFERROR(__xludf.DUMMYFUNCTION("SPLIT(I5782,""/"")"),10.0)</f>
        <v>10</v>
      </c>
      <c r="K5782" s="308">
        <f>IFERROR(__xludf.DUMMYFUNCTION("""COMPUTED_VALUE"""),2.0)</f>
        <v>2</v>
      </c>
      <c r="L5782" s="308">
        <f>IFERROR(__xludf.DUMMYFUNCTION("""COMPUTED_VALUE"""),2016.0)</f>
        <v>2016</v>
      </c>
      <c r="M5782" s="308" t="s">
        <v>23161</v>
      </c>
      <c r="N5782" s="308"/>
      <c r="O5782" s="308"/>
      <c r="P5782" s="308" t="s">
        <v>136</v>
      </c>
      <c r="Q5782" s="308" t="s">
        <v>38641</v>
      </c>
      <c r="R5782" s="308" t="s">
        <v>2743</v>
      </c>
      <c r="S5782" s="315" t="s">
        <v>100</v>
      </c>
      <c r="T5782" s="308" t="s">
        <v>34208</v>
      </c>
      <c r="U5782" s="308" t="s">
        <v>4487</v>
      </c>
      <c r="V5782" s="308"/>
    </row>
    <row r="5783">
      <c r="A5783" s="308">
        <v>5782.0</v>
      </c>
      <c r="B5783" s="308"/>
      <c r="C5783" s="308" t="s">
        <v>23162</v>
      </c>
      <c r="D5783" s="308">
        <f>IFERROR(__xludf.DUMMYFUNCTION("SPLIT(C5783,""-"")"),5803.0)</f>
        <v>5803</v>
      </c>
      <c r="E5783" s="308" t="str">
        <f>IFERROR(__xludf.DUMMYFUNCTION("""COMPUTED_VALUE"""),"P")</f>
        <v>P</v>
      </c>
      <c r="F5783" s="312" t="s">
        <v>37</v>
      </c>
      <c r="G5783" s="308"/>
      <c r="H5783" s="308" t="s">
        <v>23163</v>
      </c>
      <c r="I5783" s="310">
        <v>43490.0</v>
      </c>
      <c r="J5783" s="319">
        <f>IFERROR(__xludf.DUMMYFUNCTION("SPLIT(I5783,""/"")"),25.0)</f>
        <v>25</v>
      </c>
      <c r="K5783" s="308">
        <f>IFERROR(__xludf.DUMMYFUNCTION("""COMPUTED_VALUE"""),1.0)</f>
        <v>1</v>
      </c>
      <c r="L5783" s="308">
        <f>IFERROR(__xludf.DUMMYFUNCTION("""COMPUTED_VALUE"""),2019.0)</f>
        <v>2019</v>
      </c>
      <c r="M5783" s="308" t="s">
        <v>23164</v>
      </c>
      <c r="N5783" s="308"/>
      <c r="O5783" s="308"/>
      <c r="P5783" s="308" t="s">
        <v>23165</v>
      </c>
      <c r="Q5783" s="308" t="s">
        <v>38641</v>
      </c>
      <c r="R5783" s="308" t="s">
        <v>2743</v>
      </c>
      <c r="S5783" s="308" t="s">
        <v>81</v>
      </c>
      <c r="T5783" s="308" t="s">
        <v>75</v>
      </c>
      <c r="U5783" s="308" t="s">
        <v>13303</v>
      </c>
      <c r="V5783" s="308"/>
    </row>
    <row r="5784">
      <c r="A5784" s="308">
        <v>5783.0</v>
      </c>
      <c r="B5784" s="308"/>
      <c r="C5784" s="308" t="s">
        <v>23166</v>
      </c>
      <c r="D5784" s="308">
        <f>IFERROR(__xludf.DUMMYFUNCTION("SPLIT(C5784,""-"")"),5804.0)</f>
        <v>5804</v>
      </c>
      <c r="E5784" s="308" t="str">
        <f>IFERROR(__xludf.DUMMYFUNCTION("""COMPUTED_VALUE"""),"B")</f>
        <v>B</v>
      </c>
      <c r="F5784" s="315" t="s">
        <v>26</v>
      </c>
      <c r="G5784" s="308"/>
      <c r="H5784" s="308" t="s">
        <v>23167</v>
      </c>
      <c r="I5784" s="314">
        <v>41621.0</v>
      </c>
      <c r="J5784" s="319">
        <f>IFERROR(__xludf.DUMMYFUNCTION("SPLIT(I5784,""/"")"),13.0)</f>
        <v>13</v>
      </c>
      <c r="K5784" s="308">
        <f>IFERROR(__xludf.DUMMYFUNCTION("""COMPUTED_VALUE"""),12.0)</f>
        <v>12</v>
      </c>
      <c r="L5784" s="308">
        <f>IFERROR(__xludf.DUMMYFUNCTION("""COMPUTED_VALUE"""),2013.0)</f>
        <v>2013</v>
      </c>
      <c r="M5784" s="308" t="s">
        <v>23168</v>
      </c>
      <c r="N5784" s="308"/>
      <c r="O5784" s="308" t="s">
        <v>23169</v>
      </c>
      <c r="P5784" s="308" t="s">
        <v>136</v>
      </c>
      <c r="Q5784" s="308" t="s">
        <v>38641</v>
      </c>
      <c r="R5784" s="308" t="s">
        <v>2743</v>
      </c>
      <c r="S5784" s="315" t="s">
        <v>100</v>
      </c>
      <c r="T5784" s="308" t="s">
        <v>34208</v>
      </c>
      <c r="U5784" s="308" t="s">
        <v>27</v>
      </c>
      <c r="V5784" s="308"/>
    </row>
    <row r="5785">
      <c r="A5785" s="308">
        <v>5784.0</v>
      </c>
      <c r="B5785" s="308"/>
      <c r="C5785" s="308" t="s">
        <v>23170</v>
      </c>
      <c r="D5785" s="308">
        <f>IFERROR(__xludf.DUMMYFUNCTION("SPLIT(C5785,""-"")"),5805.0)</f>
        <v>5805</v>
      </c>
      <c r="E5785" s="308" t="str">
        <f>IFERROR(__xludf.DUMMYFUNCTION("""COMPUTED_VALUE"""),"B")</f>
        <v>B</v>
      </c>
      <c r="F5785" s="315" t="s">
        <v>26</v>
      </c>
      <c r="G5785" s="308"/>
      <c r="H5785" s="308" t="s">
        <v>23171</v>
      </c>
      <c r="I5785" s="314">
        <v>41986.0</v>
      </c>
      <c r="J5785" s="319">
        <f>IFERROR(__xludf.DUMMYFUNCTION("SPLIT(I5785,""/"")"),13.0)</f>
        <v>13</v>
      </c>
      <c r="K5785" s="308">
        <f>IFERROR(__xludf.DUMMYFUNCTION("""COMPUTED_VALUE"""),12.0)</f>
        <v>12</v>
      </c>
      <c r="L5785" s="308">
        <f>IFERROR(__xludf.DUMMYFUNCTION("""COMPUTED_VALUE"""),2014.0)</f>
        <v>2014</v>
      </c>
      <c r="M5785" s="308" t="s">
        <v>23172</v>
      </c>
      <c r="N5785" s="308"/>
      <c r="O5785" s="308"/>
      <c r="P5785" s="308" t="s">
        <v>23173</v>
      </c>
      <c r="Q5785" s="308" t="s">
        <v>38641</v>
      </c>
      <c r="R5785" s="308" t="s">
        <v>2743</v>
      </c>
      <c r="S5785" s="308" t="s">
        <v>81</v>
      </c>
      <c r="T5785" s="308" t="s">
        <v>75</v>
      </c>
      <c r="U5785" s="308" t="s">
        <v>27</v>
      </c>
      <c r="V5785" s="308"/>
    </row>
    <row r="5786">
      <c r="A5786" s="308">
        <v>5785.0</v>
      </c>
      <c r="B5786" s="308"/>
      <c r="C5786" s="308" t="s">
        <v>23174</v>
      </c>
      <c r="D5786" s="308">
        <f>IFERROR(__xludf.DUMMYFUNCTION("SPLIT(C5786,""-"")"),5806.0)</f>
        <v>5806</v>
      </c>
      <c r="E5786" s="308" t="str">
        <f>IFERROR(__xludf.DUMMYFUNCTION("""COMPUTED_VALUE"""),"B")</f>
        <v>B</v>
      </c>
      <c r="F5786" s="315" t="s">
        <v>26</v>
      </c>
      <c r="G5786" s="308"/>
      <c r="H5786" s="308" t="s">
        <v>23175</v>
      </c>
      <c r="I5786" s="310">
        <v>42186.0</v>
      </c>
      <c r="J5786" s="319">
        <f>IFERROR(__xludf.DUMMYFUNCTION("SPLIT(I5786,""/"")"),1.0)</f>
        <v>1</v>
      </c>
      <c r="K5786" s="308">
        <f>IFERROR(__xludf.DUMMYFUNCTION("""COMPUTED_VALUE"""),7.0)</f>
        <v>7</v>
      </c>
      <c r="L5786" s="308">
        <f>IFERROR(__xludf.DUMMYFUNCTION("""COMPUTED_VALUE"""),2015.0)</f>
        <v>2015</v>
      </c>
      <c r="M5786" s="308" t="s">
        <v>38642</v>
      </c>
      <c r="N5786" s="308"/>
      <c r="O5786" s="308" t="s">
        <v>38643</v>
      </c>
      <c r="P5786" s="308" t="s">
        <v>136</v>
      </c>
      <c r="Q5786" s="308" t="s">
        <v>38641</v>
      </c>
      <c r="R5786" s="308" t="s">
        <v>2743</v>
      </c>
      <c r="S5786" s="315" t="s">
        <v>100</v>
      </c>
      <c r="T5786" s="308" t="s">
        <v>34208</v>
      </c>
      <c r="U5786" s="308" t="s">
        <v>27</v>
      </c>
      <c r="V5786" s="308"/>
    </row>
    <row r="5787">
      <c r="A5787" s="308">
        <v>5786.0</v>
      </c>
      <c r="B5787" s="308"/>
      <c r="C5787" s="308" t="s">
        <v>23178</v>
      </c>
      <c r="D5787" s="308">
        <f>IFERROR(__xludf.DUMMYFUNCTION("SPLIT(C5787,""-"")"),5807.0)</f>
        <v>5807</v>
      </c>
      <c r="E5787" s="308" t="str">
        <f>IFERROR(__xludf.DUMMYFUNCTION("""COMPUTED_VALUE"""),"B")</f>
        <v>B</v>
      </c>
      <c r="F5787" s="315" t="s">
        <v>26</v>
      </c>
      <c r="G5787" s="308"/>
      <c r="H5787" s="308" t="s">
        <v>23179</v>
      </c>
      <c r="I5787" s="310">
        <v>41250.0</v>
      </c>
      <c r="J5787" s="319">
        <f>IFERROR(__xludf.DUMMYFUNCTION("SPLIT(I5787,""/"")"),7.0)</f>
        <v>7</v>
      </c>
      <c r="K5787" s="308">
        <f>IFERROR(__xludf.DUMMYFUNCTION("""COMPUTED_VALUE"""),12.0)</f>
        <v>12</v>
      </c>
      <c r="L5787" s="308">
        <f>IFERROR(__xludf.DUMMYFUNCTION("""COMPUTED_VALUE"""),2012.0)</f>
        <v>2012</v>
      </c>
      <c r="M5787" s="308" t="s">
        <v>38644</v>
      </c>
      <c r="N5787" s="308"/>
      <c r="O5787" s="308"/>
      <c r="P5787" s="308" t="s">
        <v>136</v>
      </c>
      <c r="Q5787" s="308" t="s">
        <v>38641</v>
      </c>
      <c r="R5787" s="308" t="s">
        <v>2743</v>
      </c>
      <c r="S5787" s="315" t="s">
        <v>100</v>
      </c>
      <c r="T5787" s="308" t="s">
        <v>34208</v>
      </c>
      <c r="U5787" s="308" t="s">
        <v>27</v>
      </c>
      <c r="V5787" s="308"/>
    </row>
    <row r="5788">
      <c r="A5788" s="308">
        <v>5787.0</v>
      </c>
      <c r="B5788" s="308"/>
      <c r="C5788" s="308" t="s">
        <v>23181</v>
      </c>
      <c r="D5788" s="308">
        <f>IFERROR(__xludf.DUMMYFUNCTION("SPLIT(C5788,""-"")"),5808.0)</f>
        <v>5808</v>
      </c>
      <c r="E5788" s="308" t="str">
        <f>IFERROR(__xludf.DUMMYFUNCTION("""COMPUTED_VALUE"""),"B")</f>
        <v>B</v>
      </c>
      <c r="F5788" s="315" t="s">
        <v>26</v>
      </c>
      <c r="G5788" s="308"/>
      <c r="H5788" s="308" t="s">
        <v>23182</v>
      </c>
      <c r="I5788" s="310">
        <v>43168.0</v>
      </c>
      <c r="J5788" s="319">
        <f>IFERROR(__xludf.DUMMYFUNCTION("SPLIT(I5788,""/"")"),9.0)</f>
        <v>9</v>
      </c>
      <c r="K5788" s="308">
        <f>IFERROR(__xludf.DUMMYFUNCTION("""COMPUTED_VALUE"""),3.0)</f>
        <v>3</v>
      </c>
      <c r="L5788" s="308">
        <f>IFERROR(__xludf.DUMMYFUNCTION("""COMPUTED_VALUE"""),2018.0)</f>
        <v>2018</v>
      </c>
      <c r="M5788" s="308" t="s">
        <v>23183</v>
      </c>
      <c r="N5788" s="308"/>
      <c r="O5788" s="308"/>
      <c r="P5788" s="308" t="s">
        <v>136</v>
      </c>
      <c r="Q5788" s="308" t="s">
        <v>38641</v>
      </c>
      <c r="R5788" s="308" t="s">
        <v>2743</v>
      </c>
      <c r="S5788" s="315" t="s">
        <v>100</v>
      </c>
      <c r="T5788" s="308" t="s">
        <v>34208</v>
      </c>
      <c r="U5788" s="308" t="s">
        <v>27</v>
      </c>
      <c r="V5788" s="308"/>
    </row>
    <row r="5789">
      <c r="A5789" s="308">
        <v>5788.0</v>
      </c>
      <c r="B5789" s="308"/>
      <c r="C5789" s="308" t="s">
        <v>23184</v>
      </c>
      <c r="D5789" s="308">
        <f>IFERROR(__xludf.DUMMYFUNCTION("SPLIT(C5789,""-"")"),5809.0)</f>
        <v>5809</v>
      </c>
      <c r="E5789" s="308" t="str">
        <f>IFERROR(__xludf.DUMMYFUNCTION("""COMPUTED_VALUE"""),"K")</f>
        <v>K</v>
      </c>
      <c r="F5789" s="309" t="s">
        <v>34</v>
      </c>
      <c r="G5789" s="308"/>
      <c r="H5789" s="308" t="s">
        <v>23185</v>
      </c>
      <c r="I5789" s="310">
        <v>41612.0</v>
      </c>
      <c r="J5789" s="319">
        <f>IFERROR(__xludf.DUMMYFUNCTION("SPLIT(I5789,""/"")"),4.0)</f>
        <v>4</v>
      </c>
      <c r="K5789" s="308">
        <f>IFERROR(__xludf.DUMMYFUNCTION("""COMPUTED_VALUE"""),12.0)</f>
        <v>12</v>
      </c>
      <c r="L5789" s="308">
        <f>IFERROR(__xludf.DUMMYFUNCTION("""COMPUTED_VALUE"""),2013.0)</f>
        <v>2013</v>
      </c>
      <c r="M5789" s="308" t="s">
        <v>23186</v>
      </c>
      <c r="N5789" s="308" t="s">
        <v>38645</v>
      </c>
      <c r="O5789" s="308"/>
      <c r="P5789" s="308" t="s">
        <v>23188</v>
      </c>
      <c r="Q5789" s="308" t="s">
        <v>38641</v>
      </c>
      <c r="R5789" s="308" t="s">
        <v>2743</v>
      </c>
      <c r="S5789" s="308" t="s">
        <v>49</v>
      </c>
      <c r="T5789" s="308" t="s">
        <v>51</v>
      </c>
      <c r="U5789" s="308" t="s">
        <v>7530</v>
      </c>
      <c r="V5789" s="308"/>
    </row>
    <row r="5790">
      <c r="A5790" s="308">
        <v>5789.0</v>
      </c>
      <c r="B5790" s="308"/>
      <c r="C5790" s="308" t="s">
        <v>23189</v>
      </c>
      <c r="D5790" s="308">
        <f>IFERROR(__xludf.DUMMYFUNCTION("SPLIT(C5790,""-"")"),5810.0)</f>
        <v>5810</v>
      </c>
      <c r="E5790" s="308" t="str">
        <f>IFERROR(__xludf.DUMMYFUNCTION("""COMPUTED_VALUE"""),"K")</f>
        <v>K</v>
      </c>
      <c r="F5790" s="309" t="s">
        <v>34</v>
      </c>
      <c r="G5790" s="308"/>
      <c r="H5790" s="308" t="s">
        <v>23190</v>
      </c>
      <c r="I5790" s="310">
        <v>42051.0</v>
      </c>
      <c r="J5790" s="319">
        <f>IFERROR(__xludf.DUMMYFUNCTION("SPLIT(I5790,""/"")"),16.0)</f>
        <v>16</v>
      </c>
      <c r="K5790" s="308">
        <f>IFERROR(__xludf.DUMMYFUNCTION("""COMPUTED_VALUE"""),2.0)</f>
        <v>2</v>
      </c>
      <c r="L5790" s="308">
        <f>IFERROR(__xludf.DUMMYFUNCTION("""COMPUTED_VALUE"""),2015.0)</f>
        <v>2015</v>
      </c>
      <c r="M5790" s="308" t="s">
        <v>23191</v>
      </c>
      <c r="N5790" s="308"/>
      <c r="O5790" s="308"/>
      <c r="P5790" s="308" t="s">
        <v>38646</v>
      </c>
      <c r="Q5790" s="308" t="s">
        <v>38641</v>
      </c>
      <c r="R5790" s="308" t="s">
        <v>2743</v>
      </c>
      <c r="S5790" s="308" t="s">
        <v>81</v>
      </c>
      <c r="T5790" s="308" t="s">
        <v>34264</v>
      </c>
      <c r="U5790" s="308" t="s">
        <v>282</v>
      </c>
      <c r="V5790" s="308"/>
    </row>
    <row r="5791">
      <c r="A5791" s="308">
        <v>5790.0</v>
      </c>
      <c r="B5791" s="308"/>
      <c r="C5791" s="308" t="s">
        <v>23193</v>
      </c>
      <c r="D5791" s="308">
        <f>IFERROR(__xludf.DUMMYFUNCTION("SPLIT(C5791,""-"")"),5811.0)</f>
        <v>5811</v>
      </c>
      <c r="E5791" s="308" t="str">
        <f>IFERROR(__xludf.DUMMYFUNCTION("""COMPUTED_VALUE"""),"K")</f>
        <v>K</v>
      </c>
      <c r="F5791" s="309" t="s">
        <v>34</v>
      </c>
      <c r="G5791" s="308"/>
      <c r="H5791" s="308" t="s">
        <v>23194</v>
      </c>
      <c r="I5791" s="310">
        <v>43484.0</v>
      </c>
      <c r="J5791" s="319">
        <f>IFERROR(__xludf.DUMMYFUNCTION("SPLIT(I5791,""/"")"),19.0)</f>
        <v>19</v>
      </c>
      <c r="K5791" s="308">
        <f>IFERROR(__xludf.DUMMYFUNCTION("""COMPUTED_VALUE"""),1.0)</f>
        <v>1</v>
      </c>
      <c r="L5791" s="308">
        <f>IFERROR(__xludf.DUMMYFUNCTION("""COMPUTED_VALUE"""),2019.0)</f>
        <v>2019</v>
      </c>
      <c r="M5791" s="308" t="s">
        <v>23195</v>
      </c>
      <c r="N5791" s="308"/>
      <c r="O5791" s="308"/>
      <c r="P5791" s="308" t="s">
        <v>23196</v>
      </c>
      <c r="Q5791" s="308" t="s">
        <v>38647</v>
      </c>
      <c r="R5791" s="308" t="s">
        <v>2743</v>
      </c>
      <c r="S5791" s="308" t="s">
        <v>81</v>
      </c>
      <c r="T5791" s="308" t="s">
        <v>73</v>
      </c>
      <c r="U5791" s="308" t="s">
        <v>530</v>
      </c>
      <c r="V5791" s="308"/>
    </row>
    <row r="5792">
      <c r="A5792" s="308">
        <v>5791.0</v>
      </c>
      <c r="B5792" s="308"/>
      <c r="C5792" s="308" t="s">
        <v>23197</v>
      </c>
      <c r="D5792" s="308">
        <f>IFERROR(__xludf.DUMMYFUNCTION("SPLIT(C5792,""-"")"),5812.0)</f>
        <v>5812</v>
      </c>
      <c r="E5792" s="308" t="str">
        <f>IFERROR(__xludf.DUMMYFUNCTION("""COMPUTED_VALUE"""),"S")</f>
        <v>S</v>
      </c>
      <c r="F5792" s="312" t="s">
        <v>39</v>
      </c>
      <c r="G5792" s="308"/>
      <c r="H5792" s="308" t="s">
        <v>23198</v>
      </c>
      <c r="I5792" s="310">
        <v>42408.0</v>
      </c>
      <c r="J5792" s="319">
        <f>IFERROR(__xludf.DUMMYFUNCTION("SPLIT(I5792,""/"")"),8.0)</f>
        <v>8</v>
      </c>
      <c r="K5792" s="308">
        <f>IFERROR(__xludf.DUMMYFUNCTION("""COMPUTED_VALUE"""),2.0)</f>
        <v>2</v>
      </c>
      <c r="L5792" s="308">
        <f>IFERROR(__xludf.DUMMYFUNCTION("""COMPUTED_VALUE"""),2016.0)</f>
        <v>2016</v>
      </c>
      <c r="M5792" s="308" t="s">
        <v>38648</v>
      </c>
      <c r="N5792" s="308"/>
      <c r="O5792" s="308"/>
      <c r="P5792" s="308" t="s">
        <v>23200</v>
      </c>
      <c r="Q5792" s="308" t="s">
        <v>38647</v>
      </c>
      <c r="R5792" s="308" t="s">
        <v>2743</v>
      </c>
      <c r="S5792" s="308" t="s">
        <v>81</v>
      </c>
      <c r="T5792" s="308" t="s">
        <v>75</v>
      </c>
      <c r="U5792" s="308" t="s">
        <v>166</v>
      </c>
      <c r="V5792" s="308"/>
    </row>
    <row r="5793">
      <c r="A5793" s="308">
        <v>5792.0</v>
      </c>
      <c r="B5793" s="308"/>
      <c r="C5793" s="308" t="s">
        <v>23201</v>
      </c>
      <c r="D5793" s="308">
        <f>IFERROR(__xludf.DUMMYFUNCTION("SPLIT(C5793,""-"")"),5813.0)</f>
        <v>5813</v>
      </c>
      <c r="E5793" s="308" t="str">
        <f>IFERROR(__xludf.DUMMYFUNCTION("""COMPUTED_VALUE"""),"K")</f>
        <v>K</v>
      </c>
      <c r="F5793" s="309" t="s">
        <v>34</v>
      </c>
      <c r="G5793" s="308"/>
      <c r="H5793" s="308" t="s">
        <v>23202</v>
      </c>
      <c r="I5793" s="310">
        <v>42552.0</v>
      </c>
      <c r="J5793" s="319">
        <f>IFERROR(__xludf.DUMMYFUNCTION("SPLIT(I5793,""/"")"),1.0)</f>
        <v>1</v>
      </c>
      <c r="K5793" s="308">
        <f>IFERROR(__xludf.DUMMYFUNCTION("""COMPUTED_VALUE"""),7.0)</f>
        <v>7</v>
      </c>
      <c r="L5793" s="308">
        <f>IFERROR(__xludf.DUMMYFUNCTION("""COMPUTED_VALUE"""),2016.0)</f>
        <v>2016</v>
      </c>
      <c r="M5793" s="308" t="s">
        <v>23203</v>
      </c>
      <c r="N5793" s="308"/>
      <c r="O5793" s="308"/>
      <c r="P5793" s="308" t="s">
        <v>23204</v>
      </c>
      <c r="Q5793" s="308" t="s">
        <v>38647</v>
      </c>
      <c r="R5793" s="308" t="s">
        <v>2743</v>
      </c>
      <c r="S5793" s="308" t="s">
        <v>81</v>
      </c>
      <c r="T5793" s="308" t="s">
        <v>34264</v>
      </c>
      <c r="U5793" s="308" t="s">
        <v>125</v>
      </c>
      <c r="V5793" s="308"/>
    </row>
    <row r="5794">
      <c r="A5794" s="308">
        <v>5793.0</v>
      </c>
      <c r="B5794" s="308"/>
      <c r="C5794" s="308" t="s">
        <v>23205</v>
      </c>
      <c r="D5794" s="308">
        <f>IFERROR(__xludf.DUMMYFUNCTION("SPLIT(C5794,""-"")"),5814.0)</f>
        <v>5814</v>
      </c>
      <c r="E5794" s="308" t="str">
        <f>IFERROR(__xludf.DUMMYFUNCTION("""COMPUTED_VALUE"""),"S")</f>
        <v>S</v>
      </c>
      <c r="F5794" s="312" t="s">
        <v>39</v>
      </c>
      <c r="G5794" s="308"/>
      <c r="H5794" s="308" t="s">
        <v>23206</v>
      </c>
      <c r="I5794" s="314">
        <v>41232.0</v>
      </c>
      <c r="J5794" s="319">
        <f>IFERROR(__xludf.DUMMYFUNCTION("SPLIT(I5794,""/"")"),19.0)</f>
        <v>19</v>
      </c>
      <c r="K5794" s="308">
        <f>IFERROR(__xludf.DUMMYFUNCTION("""COMPUTED_VALUE"""),11.0)</f>
        <v>11</v>
      </c>
      <c r="L5794" s="308">
        <f>IFERROR(__xludf.DUMMYFUNCTION("""COMPUTED_VALUE"""),2012.0)</f>
        <v>2012</v>
      </c>
      <c r="M5794" s="308" t="s">
        <v>23207</v>
      </c>
      <c r="N5794" s="308"/>
      <c r="O5794" s="308"/>
      <c r="P5794" s="308" t="s">
        <v>136</v>
      </c>
      <c r="Q5794" s="308" t="s">
        <v>38647</v>
      </c>
      <c r="R5794" s="308" t="s">
        <v>16185</v>
      </c>
      <c r="S5794" s="315" t="s">
        <v>100</v>
      </c>
      <c r="T5794" s="308" t="s">
        <v>34208</v>
      </c>
      <c r="U5794" s="308" t="s">
        <v>166</v>
      </c>
      <c r="V5794" s="308"/>
    </row>
    <row r="5795">
      <c r="A5795" s="308">
        <v>5794.0</v>
      </c>
      <c r="B5795" s="308"/>
      <c r="C5795" s="308" t="s">
        <v>23208</v>
      </c>
      <c r="D5795" s="308">
        <f>IFERROR(__xludf.DUMMYFUNCTION("SPLIT(C5795,""-"")"),5815.0)</f>
        <v>5815</v>
      </c>
      <c r="E5795" s="308" t="str">
        <f>IFERROR(__xludf.DUMMYFUNCTION("""COMPUTED_VALUE"""),"S")</f>
        <v>S</v>
      </c>
      <c r="F5795" s="312" t="s">
        <v>39</v>
      </c>
      <c r="G5795" s="308"/>
      <c r="H5795" s="308" t="s">
        <v>23209</v>
      </c>
      <c r="I5795" s="314">
        <v>41232.0</v>
      </c>
      <c r="J5795" s="319">
        <f>IFERROR(__xludf.DUMMYFUNCTION("SPLIT(I5795,""/"")"),19.0)</f>
        <v>19</v>
      </c>
      <c r="K5795" s="308">
        <f>IFERROR(__xludf.DUMMYFUNCTION("""COMPUTED_VALUE"""),11.0)</f>
        <v>11</v>
      </c>
      <c r="L5795" s="308">
        <f>IFERROR(__xludf.DUMMYFUNCTION("""COMPUTED_VALUE"""),2012.0)</f>
        <v>2012</v>
      </c>
      <c r="M5795" s="308" t="s">
        <v>23207</v>
      </c>
      <c r="N5795" s="308"/>
      <c r="O5795" s="308"/>
      <c r="P5795" s="308" t="s">
        <v>136</v>
      </c>
      <c r="Q5795" s="308" t="s">
        <v>38647</v>
      </c>
      <c r="R5795" s="308" t="s">
        <v>16185</v>
      </c>
      <c r="S5795" s="315" t="s">
        <v>100</v>
      </c>
      <c r="T5795" s="308" t="s">
        <v>34208</v>
      </c>
      <c r="U5795" s="308" t="s">
        <v>166</v>
      </c>
      <c r="V5795" s="308"/>
    </row>
    <row r="5796">
      <c r="A5796" s="308">
        <v>5795.0</v>
      </c>
      <c r="B5796" s="308"/>
      <c r="C5796" s="308" t="s">
        <v>23210</v>
      </c>
      <c r="D5796" s="308">
        <f>IFERROR(__xludf.DUMMYFUNCTION("SPLIT(C5796,""-"")"),5816.0)</f>
        <v>5816</v>
      </c>
      <c r="E5796" s="308" t="str">
        <f>IFERROR(__xludf.DUMMYFUNCTION("""COMPUTED_VALUE"""),"F")</f>
        <v>F</v>
      </c>
      <c r="F5796" s="309" t="s">
        <v>34</v>
      </c>
      <c r="G5796" s="308"/>
      <c r="H5796" s="308" t="s">
        <v>23211</v>
      </c>
      <c r="I5796" s="310">
        <v>41456.0</v>
      </c>
      <c r="J5796" s="319">
        <f>IFERROR(__xludf.DUMMYFUNCTION("SPLIT(I5796,""/"")"),1.0)</f>
        <v>1</v>
      </c>
      <c r="K5796" s="308">
        <f>IFERROR(__xludf.DUMMYFUNCTION("""COMPUTED_VALUE"""),7.0)</f>
        <v>7</v>
      </c>
      <c r="L5796" s="308">
        <f>IFERROR(__xludf.DUMMYFUNCTION("""COMPUTED_VALUE"""),2013.0)</f>
        <v>2013</v>
      </c>
      <c r="M5796" s="308" t="s">
        <v>23212</v>
      </c>
      <c r="N5796" s="308"/>
      <c r="O5796" s="308"/>
      <c r="P5796" s="308" t="s">
        <v>136</v>
      </c>
      <c r="Q5796" s="308" t="s">
        <v>38647</v>
      </c>
      <c r="R5796" s="308" t="s">
        <v>2743</v>
      </c>
      <c r="S5796" s="315" t="s">
        <v>100</v>
      </c>
      <c r="T5796" s="308" t="s">
        <v>34208</v>
      </c>
      <c r="U5796" s="308" t="s">
        <v>195</v>
      </c>
      <c r="V5796" s="308"/>
    </row>
    <row r="5797">
      <c r="A5797" s="308">
        <v>5796.0</v>
      </c>
      <c r="B5797" s="308"/>
      <c r="C5797" s="308" t="s">
        <v>23213</v>
      </c>
      <c r="D5797" s="308">
        <f>IFERROR(__xludf.DUMMYFUNCTION("SPLIT(C5797,""-"")"),5817.0)</f>
        <v>5817</v>
      </c>
      <c r="E5797" s="308" t="str">
        <f>IFERROR(__xludf.DUMMYFUNCTION("""COMPUTED_VALUE"""),"B")</f>
        <v>B</v>
      </c>
      <c r="F5797" s="315" t="s">
        <v>26</v>
      </c>
      <c r="G5797" s="308"/>
      <c r="H5797" s="308" t="s">
        <v>23214</v>
      </c>
      <c r="I5797" s="310">
        <v>42281.0</v>
      </c>
      <c r="J5797" s="319">
        <f>IFERROR(__xludf.DUMMYFUNCTION("SPLIT(I5797,""/"")"),4.0)</f>
        <v>4</v>
      </c>
      <c r="K5797" s="308">
        <f>IFERROR(__xludf.DUMMYFUNCTION("""COMPUTED_VALUE"""),10.0)</f>
        <v>10</v>
      </c>
      <c r="L5797" s="308">
        <f>IFERROR(__xludf.DUMMYFUNCTION("""COMPUTED_VALUE"""),2015.0)</f>
        <v>2015</v>
      </c>
      <c r="M5797" s="308" t="s">
        <v>23215</v>
      </c>
      <c r="N5797" s="308"/>
      <c r="O5797" s="308"/>
      <c r="P5797" s="308" t="s">
        <v>38649</v>
      </c>
      <c r="Q5797" s="308" t="s">
        <v>38647</v>
      </c>
      <c r="R5797" s="308" t="s">
        <v>2743</v>
      </c>
      <c r="S5797" s="308" t="s">
        <v>49</v>
      </c>
      <c r="T5797" s="308" t="s">
        <v>51</v>
      </c>
      <c r="U5797" s="308" t="s">
        <v>27</v>
      </c>
      <c r="V5797" s="308"/>
    </row>
    <row r="5798">
      <c r="A5798" s="308">
        <v>5797.0</v>
      </c>
      <c r="B5798" s="308"/>
      <c r="C5798" s="308" t="s">
        <v>23217</v>
      </c>
      <c r="D5798" s="308">
        <f>IFERROR(__xludf.DUMMYFUNCTION("SPLIT(C5798,""-"")"),5818.0)</f>
        <v>5818</v>
      </c>
      <c r="E5798" s="308" t="str">
        <f>IFERROR(__xludf.DUMMYFUNCTION("""COMPUTED_VALUE"""),"K")</f>
        <v>K</v>
      </c>
      <c r="F5798" s="309" t="s">
        <v>34</v>
      </c>
      <c r="G5798" s="308"/>
      <c r="H5798" s="308" t="s">
        <v>23218</v>
      </c>
      <c r="I5798" s="314">
        <v>41999.0</v>
      </c>
      <c r="J5798" s="319">
        <f>IFERROR(__xludf.DUMMYFUNCTION("SPLIT(I5798,""/"")"),26.0)</f>
        <v>26</v>
      </c>
      <c r="K5798" s="308">
        <f>IFERROR(__xludf.DUMMYFUNCTION("""COMPUTED_VALUE"""),12.0)</f>
        <v>12</v>
      </c>
      <c r="L5798" s="308">
        <f>IFERROR(__xludf.DUMMYFUNCTION("""COMPUTED_VALUE"""),2014.0)</f>
        <v>2014</v>
      </c>
      <c r="M5798" s="308" t="s">
        <v>23219</v>
      </c>
      <c r="N5798" s="308"/>
      <c r="O5798" s="308"/>
      <c r="P5798" s="308" t="s">
        <v>23220</v>
      </c>
      <c r="Q5798" s="308" t="s">
        <v>38647</v>
      </c>
      <c r="R5798" s="308" t="s">
        <v>2743</v>
      </c>
      <c r="S5798" s="308" t="s">
        <v>49</v>
      </c>
      <c r="T5798" s="311" t="s">
        <v>51</v>
      </c>
      <c r="U5798" s="308" t="s">
        <v>125</v>
      </c>
      <c r="V5798" s="308"/>
    </row>
    <row r="5799">
      <c r="A5799" s="308">
        <v>5798.0</v>
      </c>
      <c r="B5799" s="308"/>
      <c r="C5799" s="308" t="s">
        <v>23221</v>
      </c>
      <c r="D5799" s="308">
        <f>IFERROR(__xludf.DUMMYFUNCTION("SPLIT(C5799,""-"")"),5819.0)</f>
        <v>5819</v>
      </c>
      <c r="E5799" s="308" t="str">
        <f>IFERROR(__xludf.DUMMYFUNCTION("""COMPUTED_VALUE"""),"I")</f>
        <v>I</v>
      </c>
      <c r="F5799" s="309" t="s">
        <v>31</v>
      </c>
      <c r="G5799" s="308"/>
      <c r="H5799" s="308" t="s">
        <v>23222</v>
      </c>
      <c r="I5799" s="310">
        <v>43496.0</v>
      </c>
      <c r="J5799" s="319">
        <f>IFERROR(__xludf.DUMMYFUNCTION("SPLIT(I5799,""/"")"),31.0)</f>
        <v>31</v>
      </c>
      <c r="K5799" s="308">
        <f>IFERROR(__xludf.DUMMYFUNCTION("""COMPUTED_VALUE"""),1.0)</f>
        <v>1</v>
      </c>
      <c r="L5799" s="308">
        <f>IFERROR(__xludf.DUMMYFUNCTION("""COMPUTED_VALUE"""),2019.0)</f>
        <v>2019</v>
      </c>
      <c r="M5799" s="308" t="s">
        <v>23223</v>
      </c>
      <c r="N5799" s="308"/>
      <c r="O5799" s="308"/>
      <c r="P5799" s="308" t="s">
        <v>38650</v>
      </c>
      <c r="Q5799" s="308" t="s">
        <v>38647</v>
      </c>
      <c r="R5799" s="308" t="s">
        <v>2743</v>
      </c>
      <c r="S5799" s="308" t="s">
        <v>49</v>
      </c>
      <c r="T5799" s="308" t="s">
        <v>51</v>
      </c>
      <c r="U5799" s="308" t="s">
        <v>31</v>
      </c>
      <c r="V5799" s="308"/>
    </row>
    <row r="5800">
      <c r="A5800" s="308">
        <v>5799.0</v>
      </c>
      <c r="B5800" s="308"/>
      <c r="C5800" s="308" t="s">
        <v>23225</v>
      </c>
      <c r="D5800" s="308">
        <f>IFERROR(__xludf.DUMMYFUNCTION("SPLIT(C5800,""-"")"),5820.0)</f>
        <v>5820</v>
      </c>
      <c r="E5800" s="308" t="str">
        <f>IFERROR(__xludf.DUMMYFUNCTION("""COMPUTED_VALUE"""),"K")</f>
        <v>K</v>
      </c>
      <c r="F5800" s="309" t="s">
        <v>34</v>
      </c>
      <c r="G5800" s="308"/>
      <c r="H5800" s="308" t="s">
        <v>23226</v>
      </c>
      <c r="I5800" s="314">
        <v>43445.0</v>
      </c>
      <c r="J5800" s="319">
        <f>IFERROR(__xludf.DUMMYFUNCTION("SPLIT(I5800,""/"")"),11.0)</f>
        <v>11</v>
      </c>
      <c r="K5800" s="308">
        <f>IFERROR(__xludf.DUMMYFUNCTION("""COMPUTED_VALUE"""),12.0)</f>
        <v>12</v>
      </c>
      <c r="L5800" s="308">
        <f>IFERROR(__xludf.DUMMYFUNCTION("""COMPUTED_VALUE"""),2018.0)</f>
        <v>2018</v>
      </c>
      <c r="M5800" s="308" t="s">
        <v>23227</v>
      </c>
      <c r="N5800" s="308" t="s">
        <v>23228</v>
      </c>
      <c r="O5800" s="308" t="s">
        <v>23229</v>
      </c>
      <c r="P5800" s="308" t="s">
        <v>136</v>
      </c>
      <c r="Q5800" s="308" t="s">
        <v>38647</v>
      </c>
      <c r="R5800" s="308" t="s">
        <v>2743</v>
      </c>
      <c r="S5800" s="315" t="s">
        <v>100</v>
      </c>
      <c r="T5800" s="308" t="s">
        <v>34208</v>
      </c>
      <c r="U5800" s="308" t="s">
        <v>2152</v>
      </c>
      <c r="V5800" s="308"/>
    </row>
    <row r="5801">
      <c r="A5801" s="308">
        <v>5800.0</v>
      </c>
      <c r="B5801" s="308"/>
      <c r="C5801" s="308" t="s">
        <v>23230</v>
      </c>
      <c r="D5801" s="308">
        <f>IFERROR(__xludf.DUMMYFUNCTION("SPLIT(C5801,""-"")"),5821.0)</f>
        <v>5821</v>
      </c>
      <c r="E5801" s="308" t="str">
        <f>IFERROR(__xludf.DUMMYFUNCTION("""COMPUTED_VALUE"""),"K")</f>
        <v>K</v>
      </c>
      <c r="F5801" s="309" t="s">
        <v>34</v>
      </c>
      <c r="G5801" s="308"/>
      <c r="H5801" s="308" t="s">
        <v>23231</v>
      </c>
      <c r="I5801" s="310">
        <v>43188.0</v>
      </c>
      <c r="J5801" s="319">
        <f>IFERROR(__xludf.DUMMYFUNCTION("SPLIT(I5801,""/"")"),29.0)</f>
        <v>29</v>
      </c>
      <c r="K5801" s="308">
        <f>IFERROR(__xludf.DUMMYFUNCTION("""COMPUTED_VALUE"""),3.0)</f>
        <v>3</v>
      </c>
      <c r="L5801" s="308">
        <f>IFERROR(__xludf.DUMMYFUNCTION("""COMPUTED_VALUE"""),2018.0)</f>
        <v>2018</v>
      </c>
      <c r="M5801" s="308" t="s">
        <v>23232</v>
      </c>
      <c r="N5801" s="308"/>
      <c r="O5801" s="308"/>
      <c r="P5801" s="308" t="s">
        <v>38651</v>
      </c>
      <c r="Q5801" s="308" t="s">
        <v>38647</v>
      </c>
      <c r="R5801" s="308" t="s">
        <v>2743</v>
      </c>
      <c r="S5801" s="308" t="s">
        <v>81</v>
      </c>
      <c r="T5801" s="311" t="s">
        <v>96</v>
      </c>
      <c r="U5801" s="308" t="s">
        <v>125</v>
      </c>
      <c r="V5801" s="308"/>
    </row>
    <row r="5802">
      <c r="A5802" s="308">
        <v>5801.0</v>
      </c>
      <c r="B5802" s="308"/>
      <c r="C5802" s="308" t="s">
        <v>23234</v>
      </c>
      <c r="D5802" s="308">
        <f>IFERROR(__xludf.DUMMYFUNCTION("SPLIT(C5802,""-"")"),5822.0)</f>
        <v>5822</v>
      </c>
      <c r="E5802" s="308" t="str">
        <f>IFERROR(__xludf.DUMMYFUNCTION("""COMPUTED_VALUE"""),"K")</f>
        <v>K</v>
      </c>
      <c r="F5802" s="309" t="s">
        <v>34</v>
      </c>
      <c r="G5802" s="308"/>
      <c r="H5802" s="308" t="s">
        <v>23235</v>
      </c>
      <c r="I5802" s="310">
        <v>40408.0</v>
      </c>
      <c r="J5802" s="319">
        <f>IFERROR(__xludf.DUMMYFUNCTION("SPLIT(I5802,""/"")"),18.0)</f>
        <v>18</v>
      </c>
      <c r="K5802" s="308">
        <f>IFERROR(__xludf.DUMMYFUNCTION("""COMPUTED_VALUE"""),8.0)</f>
        <v>8</v>
      </c>
      <c r="L5802" s="308">
        <f>IFERROR(__xludf.DUMMYFUNCTION("""COMPUTED_VALUE"""),2010.0)</f>
        <v>2010</v>
      </c>
      <c r="M5802" s="308" t="s">
        <v>23236</v>
      </c>
      <c r="N5802" s="308"/>
      <c r="O5802" s="308"/>
      <c r="P5802" s="308" t="s">
        <v>136</v>
      </c>
      <c r="Q5802" s="308" t="s">
        <v>38647</v>
      </c>
      <c r="R5802" s="308" t="s">
        <v>2743</v>
      </c>
      <c r="S5802" s="315" t="s">
        <v>100</v>
      </c>
      <c r="T5802" s="308" t="s">
        <v>34208</v>
      </c>
      <c r="U5802" s="308" t="s">
        <v>368</v>
      </c>
      <c r="V5802" s="308"/>
    </row>
    <row r="5803">
      <c r="A5803" s="308">
        <v>5802.0</v>
      </c>
      <c r="B5803" s="308"/>
      <c r="C5803" s="308" t="s">
        <v>23237</v>
      </c>
      <c r="D5803" s="308">
        <f>IFERROR(__xludf.DUMMYFUNCTION("SPLIT(C5803,""-"")"),5823.0)</f>
        <v>5823</v>
      </c>
      <c r="E5803" s="308" t="str">
        <f>IFERROR(__xludf.DUMMYFUNCTION("""COMPUTED_VALUE"""),"K")</f>
        <v>K</v>
      </c>
      <c r="F5803" s="309" t="s">
        <v>34</v>
      </c>
      <c r="G5803" s="308"/>
      <c r="H5803" s="308" t="s">
        <v>23238</v>
      </c>
      <c r="I5803" s="310">
        <v>43365.0</v>
      </c>
      <c r="J5803" s="319">
        <f>IFERROR(__xludf.DUMMYFUNCTION("SPLIT(I5803,""/"")"),22.0)</f>
        <v>22</v>
      </c>
      <c r="K5803" s="308">
        <f>IFERROR(__xludf.DUMMYFUNCTION("""COMPUTED_VALUE"""),9.0)</f>
        <v>9</v>
      </c>
      <c r="L5803" s="308">
        <f>IFERROR(__xludf.DUMMYFUNCTION("""COMPUTED_VALUE"""),2018.0)</f>
        <v>2018</v>
      </c>
      <c r="M5803" s="308" t="s">
        <v>23239</v>
      </c>
      <c r="N5803" s="308"/>
      <c r="O5803" s="308" t="s">
        <v>23240</v>
      </c>
      <c r="P5803" s="308" t="s">
        <v>23241</v>
      </c>
      <c r="Q5803" s="308" t="s">
        <v>38647</v>
      </c>
      <c r="R5803" s="308" t="s">
        <v>2743</v>
      </c>
      <c r="S5803" s="308" t="s">
        <v>81</v>
      </c>
      <c r="T5803" s="311" t="s">
        <v>73</v>
      </c>
      <c r="U5803" s="308" t="s">
        <v>1509</v>
      </c>
      <c r="V5803" s="308"/>
    </row>
    <row r="5804">
      <c r="A5804" s="308">
        <v>5803.0</v>
      </c>
      <c r="B5804" s="308"/>
      <c r="C5804" s="308" t="s">
        <v>23242</v>
      </c>
      <c r="D5804" s="308">
        <f>IFERROR(__xludf.DUMMYFUNCTION("SPLIT(C5804,""-"")"),5824.0)</f>
        <v>5824</v>
      </c>
      <c r="E5804" s="308" t="str">
        <f>IFERROR(__xludf.DUMMYFUNCTION("""COMPUTED_VALUE"""),"P")</f>
        <v>P</v>
      </c>
      <c r="F5804" s="312" t="s">
        <v>37</v>
      </c>
      <c r="G5804" s="308"/>
      <c r="H5804" s="308" t="s">
        <v>23243</v>
      </c>
      <c r="I5804" s="310">
        <v>41818.0</v>
      </c>
      <c r="J5804" s="319">
        <f>IFERROR(__xludf.DUMMYFUNCTION("SPLIT(I5804,""/"")"),28.0)</f>
        <v>28</v>
      </c>
      <c r="K5804" s="308">
        <f>IFERROR(__xludf.DUMMYFUNCTION("""COMPUTED_VALUE"""),6.0)</f>
        <v>6</v>
      </c>
      <c r="L5804" s="308">
        <f>IFERROR(__xludf.DUMMYFUNCTION("""COMPUTED_VALUE"""),2014.0)</f>
        <v>2014</v>
      </c>
      <c r="M5804" s="308" t="s">
        <v>23244</v>
      </c>
      <c r="N5804" s="308"/>
      <c r="O5804" s="308" t="s">
        <v>23245</v>
      </c>
      <c r="P5804" s="308" t="s">
        <v>136</v>
      </c>
      <c r="Q5804" s="308" t="s">
        <v>38647</v>
      </c>
      <c r="R5804" s="308" t="s">
        <v>2743</v>
      </c>
      <c r="S5804" s="315" t="s">
        <v>100</v>
      </c>
      <c r="T5804" s="308" t="s">
        <v>34208</v>
      </c>
      <c r="U5804" s="308" t="s">
        <v>4273</v>
      </c>
      <c r="V5804" s="308"/>
    </row>
    <row r="5805">
      <c r="A5805" s="308">
        <v>5804.0</v>
      </c>
      <c r="B5805" s="308"/>
      <c r="C5805" s="308" t="s">
        <v>23246</v>
      </c>
      <c r="D5805" s="308">
        <f>IFERROR(__xludf.DUMMYFUNCTION("SPLIT(C5805,""-"")"),5825.0)</f>
        <v>5825</v>
      </c>
      <c r="E5805" s="308" t="str">
        <f>IFERROR(__xludf.DUMMYFUNCTION("""COMPUTED_VALUE"""),"K")</f>
        <v>K</v>
      </c>
      <c r="F5805" s="309" t="s">
        <v>34</v>
      </c>
      <c r="G5805" s="308"/>
      <c r="H5805" s="308" t="s">
        <v>23247</v>
      </c>
      <c r="I5805" s="310">
        <v>40214.0</v>
      </c>
      <c r="J5805" s="319">
        <f>IFERROR(__xludf.DUMMYFUNCTION("SPLIT(I5805,""/"")"),5.0)</f>
        <v>5</v>
      </c>
      <c r="K5805" s="308">
        <f>IFERROR(__xludf.DUMMYFUNCTION("""COMPUTED_VALUE"""),2.0)</f>
        <v>2</v>
      </c>
      <c r="L5805" s="308">
        <f>IFERROR(__xludf.DUMMYFUNCTION("""COMPUTED_VALUE"""),2010.0)</f>
        <v>2010</v>
      </c>
      <c r="M5805" s="308" t="s">
        <v>23248</v>
      </c>
      <c r="N5805" s="308"/>
      <c r="O5805" s="308"/>
      <c r="P5805" s="308" t="s">
        <v>23249</v>
      </c>
      <c r="Q5805" s="308" t="s">
        <v>38647</v>
      </c>
      <c r="R5805" s="308" t="s">
        <v>2743</v>
      </c>
      <c r="S5805" s="308" t="s">
        <v>81</v>
      </c>
      <c r="T5805" s="308" t="s">
        <v>34264</v>
      </c>
      <c r="U5805" s="308" t="s">
        <v>941</v>
      </c>
      <c r="V5805" s="308"/>
    </row>
    <row r="5806">
      <c r="A5806" s="308">
        <v>5805.0</v>
      </c>
      <c r="B5806" s="308"/>
      <c r="C5806" s="308" t="s">
        <v>23250</v>
      </c>
      <c r="D5806" s="308">
        <f>IFERROR(__xludf.DUMMYFUNCTION("SPLIT(C5806,""-"")"),5826.0)</f>
        <v>5826</v>
      </c>
      <c r="E5806" s="308" t="str">
        <f>IFERROR(__xludf.DUMMYFUNCTION("""COMPUTED_VALUE"""),"F")</f>
        <v>F</v>
      </c>
      <c r="F5806" s="309" t="s">
        <v>34</v>
      </c>
      <c r="G5806" s="308"/>
      <c r="H5806" s="308" t="s">
        <v>23251</v>
      </c>
      <c r="I5806" s="310">
        <v>40557.0</v>
      </c>
      <c r="J5806" s="319">
        <f>IFERROR(__xludf.DUMMYFUNCTION("SPLIT(I5806,""/"")"),14.0)</f>
        <v>14</v>
      </c>
      <c r="K5806" s="308">
        <f>IFERROR(__xludf.DUMMYFUNCTION("""COMPUTED_VALUE"""),1.0)</f>
        <v>1</v>
      </c>
      <c r="L5806" s="308">
        <f>IFERROR(__xludf.DUMMYFUNCTION("""COMPUTED_VALUE"""),2011.0)</f>
        <v>2011</v>
      </c>
      <c r="M5806" s="308" t="s">
        <v>23252</v>
      </c>
      <c r="N5806" s="308" t="s">
        <v>23253</v>
      </c>
      <c r="O5806" s="308"/>
      <c r="P5806" s="308" t="s">
        <v>136</v>
      </c>
      <c r="Q5806" s="308" t="s">
        <v>38647</v>
      </c>
      <c r="R5806" s="308" t="s">
        <v>2743</v>
      </c>
      <c r="S5806" s="315" t="s">
        <v>100</v>
      </c>
      <c r="T5806" s="308" t="s">
        <v>34208</v>
      </c>
      <c r="U5806" s="308" t="s">
        <v>6875</v>
      </c>
      <c r="V5806" s="308"/>
    </row>
    <row r="5807">
      <c r="A5807" s="308">
        <v>5806.0</v>
      </c>
      <c r="B5807" s="308"/>
      <c r="C5807" s="308" t="s">
        <v>23254</v>
      </c>
      <c r="D5807" s="308">
        <f>IFERROR(__xludf.DUMMYFUNCTION("SPLIT(C5807,""-"")"),5827.0)</f>
        <v>5827</v>
      </c>
      <c r="E5807" s="308" t="str">
        <f>IFERROR(__xludf.DUMMYFUNCTION("""COMPUTED_VALUE"""),"K")</f>
        <v>K</v>
      </c>
      <c r="F5807" s="309" t="s">
        <v>34</v>
      </c>
      <c r="G5807" s="308"/>
      <c r="H5807" s="308" t="s">
        <v>23255</v>
      </c>
      <c r="I5807" s="310">
        <v>41456.0</v>
      </c>
      <c r="J5807" s="319">
        <f>IFERROR(__xludf.DUMMYFUNCTION("SPLIT(I5807,""/"")"),1.0)</f>
        <v>1</v>
      </c>
      <c r="K5807" s="308">
        <f>IFERROR(__xludf.DUMMYFUNCTION("""COMPUTED_VALUE"""),7.0)</f>
        <v>7</v>
      </c>
      <c r="L5807" s="308">
        <f>IFERROR(__xludf.DUMMYFUNCTION("""COMPUTED_VALUE"""),2013.0)</f>
        <v>2013</v>
      </c>
      <c r="M5807" s="308" t="s">
        <v>23256</v>
      </c>
      <c r="N5807" s="308"/>
      <c r="O5807" s="308"/>
      <c r="P5807" s="308" t="s">
        <v>23257</v>
      </c>
      <c r="Q5807" s="308" t="s">
        <v>38647</v>
      </c>
      <c r="R5807" s="308" t="s">
        <v>2743</v>
      </c>
      <c r="S5807" s="308" t="s">
        <v>81</v>
      </c>
      <c r="T5807" s="308" t="s">
        <v>34264</v>
      </c>
      <c r="U5807" s="308" t="s">
        <v>125</v>
      </c>
      <c r="V5807" s="308"/>
    </row>
    <row r="5808">
      <c r="A5808" s="308">
        <v>5807.0</v>
      </c>
      <c r="B5808" s="308"/>
      <c r="C5808" s="308" t="s">
        <v>23258</v>
      </c>
      <c r="D5808" s="308">
        <f>IFERROR(__xludf.DUMMYFUNCTION("SPLIT(C5808,""-"")"),5828.0)</f>
        <v>5828</v>
      </c>
      <c r="E5808" s="308" t="str">
        <f>IFERROR(__xludf.DUMMYFUNCTION("""COMPUTED_VALUE"""),"K")</f>
        <v>K</v>
      </c>
      <c r="F5808" s="309" t="s">
        <v>34</v>
      </c>
      <c r="G5808" s="308"/>
      <c r="H5808" s="308" t="s">
        <v>23259</v>
      </c>
      <c r="I5808" s="310">
        <v>41950.0</v>
      </c>
      <c r="J5808" s="319">
        <f>IFERROR(__xludf.DUMMYFUNCTION("SPLIT(I5808,""/"")"),7.0)</f>
        <v>7</v>
      </c>
      <c r="K5808" s="308">
        <f>IFERROR(__xludf.DUMMYFUNCTION("""COMPUTED_VALUE"""),11.0)</f>
        <v>11</v>
      </c>
      <c r="L5808" s="308">
        <f>IFERROR(__xludf.DUMMYFUNCTION("""COMPUTED_VALUE"""),2014.0)</f>
        <v>2014</v>
      </c>
      <c r="M5808" s="308" t="s">
        <v>23260</v>
      </c>
      <c r="N5808" s="308" t="s">
        <v>23261</v>
      </c>
      <c r="O5808" s="308" t="s">
        <v>23262</v>
      </c>
      <c r="P5808" s="308" t="s">
        <v>136</v>
      </c>
      <c r="Q5808" s="308" t="s">
        <v>38647</v>
      </c>
      <c r="R5808" s="308" t="s">
        <v>2743</v>
      </c>
      <c r="S5808" s="315" t="s">
        <v>100</v>
      </c>
      <c r="T5808" s="308" t="s">
        <v>34208</v>
      </c>
      <c r="U5808" s="308" t="s">
        <v>2152</v>
      </c>
      <c r="V5808" s="308"/>
    </row>
    <row r="5809">
      <c r="A5809" s="308">
        <v>5808.0</v>
      </c>
      <c r="B5809" s="308"/>
      <c r="C5809" s="308" t="s">
        <v>23263</v>
      </c>
      <c r="D5809" s="308">
        <f>IFERROR(__xludf.DUMMYFUNCTION("SPLIT(C5809,""-"")"),5829.0)</f>
        <v>5829</v>
      </c>
      <c r="E5809" s="308" t="str">
        <f>IFERROR(__xludf.DUMMYFUNCTION("""COMPUTED_VALUE"""),"F")</f>
        <v>F</v>
      </c>
      <c r="F5809" s="309" t="s">
        <v>34</v>
      </c>
      <c r="G5809" s="308"/>
      <c r="H5809" s="308" t="s">
        <v>23264</v>
      </c>
      <c r="I5809" s="310">
        <v>40961.0</v>
      </c>
      <c r="J5809" s="319">
        <f>IFERROR(__xludf.DUMMYFUNCTION("SPLIT(I5809,""/"")"),22.0)</f>
        <v>22</v>
      </c>
      <c r="K5809" s="308">
        <f>IFERROR(__xludf.DUMMYFUNCTION("""COMPUTED_VALUE"""),2.0)</f>
        <v>2</v>
      </c>
      <c r="L5809" s="308">
        <f>IFERROR(__xludf.DUMMYFUNCTION("""COMPUTED_VALUE"""),2012.0)</f>
        <v>2012</v>
      </c>
      <c r="M5809" s="308" t="s">
        <v>23265</v>
      </c>
      <c r="N5809" s="308"/>
      <c r="O5809" s="308"/>
      <c r="P5809" s="308" t="s">
        <v>136</v>
      </c>
      <c r="Q5809" s="308" t="s">
        <v>38647</v>
      </c>
      <c r="R5809" s="308" t="s">
        <v>2743</v>
      </c>
      <c r="S5809" s="315" t="s">
        <v>100</v>
      </c>
      <c r="T5809" s="308" t="s">
        <v>34208</v>
      </c>
      <c r="U5809" s="308" t="s">
        <v>195</v>
      </c>
      <c r="V5809" s="308"/>
    </row>
    <row r="5810">
      <c r="A5810" s="308">
        <v>5809.0</v>
      </c>
      <c r="B5810" s="308"/>
      <c r="C5810" s="308" t="s">
        <v>23266</v>
      </c>
      <c r="D5810" s="308">
        <f>IFERROR(__xludf.DUMMYFUNCTION("SPLIT(C5810,""-"")"),5830.0)</f>
        <v>5830</v>
      </c>
      <c r="E5810" s="308" t="str">
        <f>IFERROR(__xludf.DUMMYFUNCTION("""COMPUTED_VALUE"""),"F")</f>
        <v>F</v>
      </c>
      <c r="F5810" s="309" t="s">
        <v>34</v>
      </c>
      <c r="G5810" s="308"/>
      <c r="H5810" s="308" t="s">
        <v>23267</v>
      </c>
      <c r="I5810" s="310">
        <v>41821.0</v>
      </c>
      <c r="J5810" s="319">
        <f>IFERROR(__xludf.DUMMYFUNCTION("SPLIT(I5810,""/"")"),1.0)</f>
        <v>1</v>
      </c>
      <c r="K5810" s="308">
        <f>IFERROR(__xludf.DUMMYFUNCTION("""COMPUTED_VALUE"""),7.0)</f>
        <v>7</v>
      </c>
      <c r="L5810" s="308">
        <f>IFERROR(__xludf.DUMMYFUNCTION("""COMPUTED_VALUE"""),2014.0)</f>
        <v>2014</v>
      </c>
      <c r="M5810" s="308" t="s">
        <v>23268</v>
      </c>
      <c r="N5810" s="308" t="s">
        <v>439</v>
      </c>
      <c r="O5810" s="308"/>
      <c r="P5810" s="308" t="s">
        <v>136</v>
      </c>
      <c r="Q5810" s="308" t="s">
        <v>38647</v>
      </c>
      <c r="R5810" s="308" t="s">
        <v>2743</v>
      </c>
      <c r="S5810" s="315" t="s">
        <v>100</v>
      </c>
      <c r="T5810" s="308" t="s">
        <v>34208</v>
      </c>
      <c r="U5810" s="308" t="s">
        <v>6875</v>
      </c>
      <c r="V5810" s="308"/>
    </row>
    <row r="5811">
      <c r="A5811" s="308">
        <v>5810.0</v>
      </c>
      <c r="B5811" s="308"/>
      <c r="C5811" s="308" t="s">
        <v>23269</v>
      </c>
      <c r="D5811" s="308">
        <f>IFERROR(__xludf.DUMMYFUNCTION("SPLIT(C5811,""-"")"),5831.0)</f>
        <v>5831</v>
      </c>
      <c r="E5811" s="308" t="str">
        <f>IFERROR(__xludf.DUMMYFUNCTION("""COMPUTED_VALUE"""),"F")</f>
        <v>F</v>
      </c>
      <c r="F5811" s="309" t="s">
        <v>34</v>
      </c>
      <c r="G5811" s="308"/>
      <c r="H5811" s="308" t="s">
        <v>23270</v>
      </c>
      <c r="I5811" s="310">
        <v>40725.0</v>
      </c>
      <c r="J5811" s="319">
        <f>IFERROR(__xludf.DUMMYFUNCTION("SPLIT(I5811,""/"")"),1.0)</f>
        <v>1</v>
      </c>
      <c r="K5811" s="308">
        <f>IFERROR(__xludf.DUMMYFUNCTION("""COMPUTED_VALUE"""),7.0)</f>
        <v>7</v>
      </c>
      <c r="L5811" s="308">
        <f>IFERROR(__xludf.DUMMYFUNCTION("""COMPUTED_VALUE"""),2011.0)</f>
        <v>2011</v>
      </c>
      <c r="M5811" s="308" t="s">
        <v>23271</v>
      </c>
      <c r="N5811" s="308"/>
      <c r="O5811" s="308"/>
      <c r="P5811" s="308" t="s">
        <v>136</v>
      </c>
      <c r="Q5811" s="308" t="s">
        <v>38647</v>
      </c>
      <c r="R5811" s="308" t="s">
        <v>2743</v>
      </c>
      <c r="S5811" s="315" t="s">
        <v>100</v>
      </c>
      <c r="T5811" s="308" t="s">
        <v>34208</v>
      </c>
      <c r="U5811" s="308" t="s">
        <v>195</v>
      </c>
      <c r="V5811" s="308"/>
    </row>
    <row r="5812">
      <c r="A5812" s="308">
        <v>5811.0</v>
      </c>
      <c r="B5812" s="308"/>
      <c r="C5812" s="308" t="s">
        <v>23272</v>
      </c>
      <c r="D5812" s="308">
        <f>IFERROR(__xludf.DUMMYFUNCTION("SPLIT(C5812,""-"")"),5832.0)</f>
        <v>5832</v>
      </c>
      <c r="E5812" s="308" t="str">
        <f>IFERROR(__xludf.DUMMYFUNCTION("""COMPUTED_VALUE"""),"A")</f>
        <v>A</v>
      </c>
      <c r="F5812" s="309" t="s">
        <v>23</v>
      </c>
      <c r="G5812" s="308"/>
      <c r="H5812" s="308" t="s">
        <v>23273</v>
      </c>
      <c r="I5812" s="310">
        <v>42578.0</v>
      </c>
      <c r="J5812" s="319">
        <f>IFERROR(__xludf.DUMMYFUNCTION("SPLIT(I5812,""/"")"),27.0)</f>
        <v>27</v>
      </c>
      <c r="K5812" s="308">
        <f>IFERROR(__xludf.DUMMYFUNCTION("""COMPUTED_VALUE"""),7.0)</f>
        <v>7</v>
      </c>
      <c r="L5812" s="308">
        <f>IFERROR(__xludf.DUMMYFUNCTION("""COMPUTED_VALUE"""),2016.0)</f>
        <v>2016</v>
      </c>
      <c r="M5812" s="308" t="s">
        <v>38652</v>
      </c>
      <c r="N5812" s="308"/>
      <c r="O5812" s="308" t="s">
        <v>23275</v>
      </c>
      <c r="P5812" s="308" t="s">
        <v>23276</v>
      </c>
      <c r="Q5812" s="308" t="s">
        <v>38653</v>
      </c>
      <c r="R5812" s="308" t="s">
        <v>2743</v>
      </c>
      <c r="S5812" s="308" t="s">
        <v>81</v>
      </c>
      <c r="T5812" s="311" t="s">
        <v>57</v>
      </c>
      <c r="U5812" s="308" t="s">
        <v>403</v>
      </c>
      <c r="V5812" s="308"/>
    </row>
    <row r="5813">
      <c r="A5813" s="308">
        <v>5812.0</v>
      </c>
      <c r="B5813" s="308"/>
      <c r="C5813" s="308" t="s">
        <v>23277</v>
      </c>
      <c r="D5813" s="308">
        <f>IFERROR(__xludf.DUMMYFUNCTION("SPLIT(C5813,""-"")"),5833.0)</f>
        <v>5833</v>
      </c>
      <c r="E5813" s="308" t="str">
        <f>IFERROR(__xludf.DUMMYFUNCTION("""COMPUTED_VALUE"""),"K")</f>
        <v>K</v>
      </c>
      <c r="F5813" s="309" t="s">
        <v>34</v>
      </c>
      <c r="G5813" s="308"/>
      <c r="H5813" s="308" t="s">
        <v>23278</v>
      </c>
      <c r="I5813" s="316" t="s">
        <v>407</v>
      </c>
      <c r="J5813" s="319"/>
      <c r="K5813" s="308"/>
      <c r="L5813" s="311" t="s">
        <v>79</v>
      </c>
      <c r="M5813" s="308" t="s">
        <v>23279</v>
      </c>
      <c r="N5813" s="308"/>
      <c r="O5813" s="308"/>
      <c r="P5813" s="308" t="s">
        <v>136</v>
      </c>
      <c r="Q5813" s="308" t="s">
        <v>38653</v>
      </c>
      <c r="R5813" s="308" t="s">
        <v>2743</v>
      </c>
      <c r="S5813" s="315" t="s">
        <v>100</v>
      </c>
      <c r="T5813" s="308" t="s">
        <v>34208</v>
      </c>
      <c r="U5813" s="308" t="s">
        <v>530</v>
      </c>
      <c r="V5813" s="308"/>
    </row>
    <row r="5814">
      <c r="A5814" s="308">
        <v>5813.0</v>
      </c>
      <c r="B5814" s="308"/>
      <c r="C5814" s="308" t="s">
        <v>23280</v>
      </c>
      <c r="D5814" s="308">
        <f>IFERROR(__xludf.DUMMYFUNCTION("SPLIT(C5814,""-"")"),5834.0)</f>
        <v>5834</v>
      </c>
      <c r="E5814" s="308" t="str">
        <f>IFERROR(__xludf.DUMMYFUNCTION("""COMPUTED_VALUE"""),"K")</f>
        <v>K</v>
      </c>
      <c r="F5814" s="309" t="s">
        <v>34</v>
      </c>
      <c r="G5814" s="308"/>
      <c r="H5814" s="308" t="s">
        <v>23281</v>
      </c>
      <c r="I5814" s="316" t="s">
        <v>407</v>
      </c>
      <c r="J5814" s="319"/>
      <c r="K5814" s="308"/>
      <c r="L5814" s="311" t="s">
        <v>79</v>
      </c>
      <c r="M5814" s="308" t="s">
        <v>23282</v>
      </c>
      <c r="N5814" s="308"/>
      <c r="O5814" s="308"/>
      <c r="P5814" s="308" t="s">
        <v>23283</v>
      </c>
      <c r="Q5814" s="308" t="s">
        <v>38653</v>
      </c>
      <c r="R5814" s="308" t="s">
        <v>2743</v>
      </c>
      <c r="S5814" s="308" t="s">
        <v>81</v>
      </c>
      <c r="T5814" s="311" t="s">
        <v>73</v>
      </c>
      <c r="U5814" s="308" t="s">
        <v>125</v>
      </c>
      <c r="V5814" s="308"/>
    </row>
    <row r="5815">
      <c r="A5815" s="308">
        <v>5814.0</v>
      </c>
      <c r="B5815" s="308"/>
      <c r="C5815" s="308" t="s">
        <v>23284</v>
      </c>
      <c r="D5815" s="308">
        <f>IFERROR(__xludf.DUMMYFUNCTION("SPLIT(C5815,""-"")"),5835.0)</f>
        <v>5835</v>
      </c>
      <c r="E5815" s="308" t="str">
        <f>IFERROR(__xludf.DUMMYFUNCTION("""COMPUTED_VALUE"""),"S")</f>
        <v>S</v>
      </c>
      <c r="F5815" s="312" t="s">
        <v>39</v>
      </c>
      <c r="G5815" s="308"/>
      <c r="H5815" s="308" t="s">
        <v>23285</v>
      </c>
      <c r="I5815" s="310">
        <v>41399.0</v>
      </c>
      <c r="J5815" s="319">
        <f>IFERROR(__xludf.DUMMYFUNCTION("SPLIT(I5815,""/"")"),5.0)</f>
        <v>5</v>
      </c>
      <c r="K5815" s="308">
        <f>IFERROR(__xludf.DUMMYFUNCTION("""COMPUTED_VALUE"""),5.0)</f>
        <v>5</v>
      </c>
      <c r="L5815" s="308">
        <f>IFERROR(__xludf.DUMMYFUNCTION("""COMPUTED_VALUE"""),2013.0)</f>
        <v>2013</v>
      </c>
      <c r="M5815" s="308" t="s">
        <v>23286</v>
      </c>
      <c r="N5815" s="308"/>
      <c r="O5815" s="308"/>
      <c r="P5815" s="308" t="s">
        <v>38654</v>
      </c>
      <c r="Q5815" s="308" t="s">
        <v>38653</v>
      </c>
      <c r="R5815" s="308" t="s">
        <v>2743</v>
      </c>
      <c r="S5815" s="308" t="s">
        <v>49</v>
      </c>
      <c r="T5815" s="308" t="s">
        <v>51</v>
      </c>
      <c r="U5815" s="308" t="s">
        <v>12947</v>
      </c>
      <c r="V5815" s="308"/>
    </row>
    <row r="5816">
      <c r="A5816" s="308">
        <v>5815.0</v>
      </c>
      <c r="B5816" s="308"/>
      <c r="C5816" s="308" t="s">
        <v>23288</v>
      </c>
      <c r="D5816" s="308">
        <f>IFERROR(__xludf.DUMMYFUNCTION("SPLIT(C5816,""-"")"),5836.0)</f>
        <v>5836</v>
      </c>
      <c r="E5816" s="308" t="str">
        <f>IFERROR(__xludf.DUMMYFUNCTION("""COMPUTED_VALUE"""),"B")</f>
        <v>B</v>
      </c>
      <c r="F5816" s="315" t="s">
        <v>26</v>
      </c>
      <c r="G5816" s="308"/>
      <c r="H5816" s="308" t="s">
        <v>23289</v>
      </c>
      <c r="I5816" s="314">
        <v>43085.0</v>
      </c>
      <c r="J5816" s="319">
        <f>IFERROR(__xludf.DUMMYFUNCTION("SPLIT(I5816,""/"")"),16.0)</f>
        <v>16</v>
      </c>
      <c r="K5816" s="308">
        <f>IFERROR(__xludf.DUMMYFUNCTION("""COMPUTED_VALUE"""),12.0)</f>
        <v>12</v>
      </c>
      <c r="L5816" s="308">
        <f>IFERROR(__xludf.DUMMYFUNCTION("""COMPUTED_VALUE"""),2017.0)</f>
        <v>2017</v>
      </c>
      <c r="M5816" s="308" t="s">
        <v>23290</v>
      </c>
      <c r="N5816" s="308"/>
      <c r="O5816" s="308"/>
      <c r="P5816" s="308" t="s">
        <v>38655</v>
      </c>
      <c r="Q5816" s="308" t="s">
        <v>38653</v>
      </c>
      <c r="R5816" s="308" t="s">
        <v>2743</v>
      </c>
      <c r="S5816" s="308" t="s">
        <v>81</v>
      </c>
      <c r="T5816" s="311" t="s">
        <v>96</v>
      </c>
      <c r="U5816" s="308" t="s">
        <v>27</v>
      </c>
      <c r="V5816" s="308"/>
    </row>
    <row r="5817">
      <c r="A5817" s="308">
        <v>5816.0</v>
      </c>
      <c r="B5817" s="308"/>
      <c r="C5817" s="308" t="s">
        <v>23292</v>
      </c>
      <c r="D5817" s="308">
        <f>IFERROR(__xludf.DUMMYFUNCTION("SPLIT(C5817,""-"")"),5837.0)</f>
        <v>5837</v>
      </c>
      <c r="E5817" s="308" t="str">
        <f>IFERROR(__xludf.DUMMYFUNCTION("""COMPUTED_VALUE"""),"B")</f>
        <v>B</v>
      </c>
      <c r="F5817" s="315" t="s">
        <v>26</v>
      </c>
      <c r="G5817" s="308"/>
      <c r="H5817" s="308" t="s">
        <v>23293</v>
      </c>
      <c r="I5817" s="314">
        <v>43085.0</v>
      </c>
      <c r="J5817" s="319">
        <f>IFERROR(__xludf.DUMMYFUNCTION("SPLIT(I5817,""/"")"),16.0)</f>
        <v>16</v>
      </c>
      <c r="K5817" s="308">
        <f>IFERROR(__xludf.DUMMYFUNCTION("""COMPUTED_VALUE"""),12.0)</f>
        <v>12</v>
      </c>
      <c r="L5817" s="308">
        <f>IFERROR(__xludf.DUMMYFUNCTION("""COMPUTED_VALUE"""),2017.0)</f>
        <v>2017</v>
      </c>
      <c r="M5817" s="308" t="s">
        <v>38656</v>
      </c>
      <c r="N5817" s="308"/>
      <c r="O5817" s="308"/>
      <c r="P5817" s="308" t="s">
        <v>38657</v>
      </c>
      <c r="Q5817" s="308" t="s">
        <v>38653</v>
      </c>
      <c r="R5817" s="308" t="s">
        <v>2743</v>
      </c>
      <c r="S5817" s="308" t="s">
        <v>81</v>
      </c>
      <c r="T5817" s="311" t="s">
        <v>96</v>
      </c>
      <c r="U5817" s="308" t="s">
        <v>27</v>
      </c>
      <c r="V5817" s="308"/>
    </row>
    <row r="5818">
      <c r="A5818" s="308">
        <v>5817.0</v>
      </c>
      <c r="B5818" s="308"/>
      <c r="C5818" s="308" t="s">
        <v>23296</v>
      </c>
      <c r="D5818" s="308">
        <f>IFERROR(__xludf.DUMMYFUNCTION("SPLIT(C5818,""-"")"),5838.0)</f>
        <v>5838</v>
      </c>
      <c r="E5818" s="308" t="str">
        <f>IFERROR(__xludf.DUMMYFUNCTION("""COMPUTED_VALUE"""),"B")</f>
        <v>B</v>
      </c>
      <c r="F5818" s="315" t="s">
        <v>26</v>
      </c>
      <c r="G5818" s="308"/>
      <c r="H5818" s="308" t="s">
        <v>23297</v>
      </c>
      <c r="I5818" s="314">
        <v>43085.0</v>
      </c>
      <c r="J5818" s="319">
        <f>IFERROR(__xludf.DUMMYFUNCTION("SPLIT(I5818,""/"")"),16.0)</f>
        <v>16</v>
      </c>
      <c r="K5818" s="308">
        <f>IFERROR(__xludf.DUMMYFUNCTION("""COMPUTED_VALUE"""),12.0)</f>
        <v>12</v>
      </c>
      <c r="L5818" s="308">
        <f>IFERROR(__xludf.DUMMYFUNCTION("""COMPUTED_VALUE"""),2017.0)</f>
        <v>2017</v>
      </c>
      <c r="M5818" s="308" t="s">
        <v>38656</v>
      </c>
      <c r="N5818" s="308"/>
      <c r="O5818" s="308"/>
      <c r="P5818" s="308" t="s">
        <v>38658</v>
      </c>
      <c r="Q5818" s="308" t="s">
        <v>38653</v>
      </c>
      <c r="R5818" s="308" t="s">
        <v>2743</v>
      </c>
      <c r="S5818" s="308" t="s">
        <v>81</v>
      </c>
      <c r="T5818" s="311" t="s">
        <v>96</v>
      </c>
      <c r="U5818" s="308" t="s">
        <v>27</v>
      </c>
      <c r="V5818" s="308"/>
    </row>
    <row r="5819">
      <c r="A5819" s="308">
        <v>5818.0</v>
      </c>
      <c r="B5819" s="308"/>
      <c r="C5819" s="308" t="s">
        <v>23299</v>
      </c>
      <c r="D5819" s="308">
        <f>IFERROR(__xludf.DUMMYFUNCTION("SPLIT(C5819,""-"")"),5839.0)</f>
        <v>5839</v>
      </c>
      <c r="E5819" s="308" t="str">
        <f>IFERROR(__xludf.DUMMYFUNCTION("""COMPUTED_VALUE"""),"S")</f>
        <v>S</v>
      </c>
      <c r="F5819" s="312" t="s">
        <v>39</v>
      </c>
      <c r="G5819" s="308"/>
      <c r="H5819" s="308" t="s">
        <v>23300</v>
      </c>
      <c r="I5819" s="310">
        <v>40990.0</v>
      </c>
      <c r="J5819" s="319">
        <f>IFERROR(__xludf.DUMMYFUNCTION("SPLIT(I5819,""/"")"),22.0)</f>
        <v>22</v>
      </c>
      <c r="K5819" s="308">
        <f>IFERROR(__xludf.DUMMYFUNCTION("""COMPUTED_VALUE"""),3.0)</f>
        <v>3</v>
      </c>
      <c r="L5819" s="308">
        <f>IFERROR(__xludf.DUMMYFUNCTION("""COMPUTED_VALUE"""),2012.0)</f>
        <v>2012</v>
      </c>
      <c r="M5819" s="308" t="s">
        <v>23301</v>
      </c>
      <c r="N5819" s="308"/>
      <c r="O5819" s="308"/>
      <c r="P5819" s="308" t="s">
        <v>136</v>
      </c>
      <c r="Q5819" s="308" t="s">
        <v>38653</v>
      </c>
      <c r="R5819" s="308" t="s">
        <v>2743</v>
      </c>
      <c r="S5819" s="315" t="s">
        <v>100</v>
      </c>
      <c r="T5819" s="308" t="s">
        <v>34208</v>
      </c>
      <c r="U5819" s="308" t="s">
        <v>166</v>
      </c>
      <c r="V5819" s="308"/>
    </row>
    <row r="5820">
      <c r="A5820" s="308">
        <v>5819.0</v>
      </c>
      <c r="B5820" s="308"/>
      <c r="C5820" s="308" t="s">
        <v>23302</v>
      </c>
      <c r="D5820" s="308">
        <f>IFERROR(__xludf.DUMMYFUNCTION("SPLIT(C5820,""-"")"),5840.0)</f>
        <v>5840</v>
      </c>
      <c r="E5820" s="308" t="str">
        <f>IFERROR(__xludf.DUMMYFUNCTION("""COMPUTED_VALUE"""),"S")</f>
        <v>S</v>
      </c>
      <c r="F5820" s="312" t="s">
        <v>39</v>
      </c>
      <c r="G5820" s="308"/>
      <c r="H5820" s="308" t="s">
        <v>23303</v>
      </c>
      <c r="I5820" s="310">
        <v>40990.0</v>
      </c>
      <c r="J5820" s="319">
        <f>IFERROR(__xludf.DUMMYFUNCTION("SPLIT(I5820,""/"")"),22.0)</f>
        <v>22</v>
      </c>
      <c r="K5820" s="308">
        <f>IFERROR(__xludf.DUMMYFUNCTION("""COMPUTED_VALUE"""),3.0)</f>
        <v>3</v>
      </c>
      <c r="L5820" s="308">
        <f>IFERROR(__xludf.DUMMYFUNCTION("""COMPUTED_VALUE"""),2012.0)</f>
        <v>2012</v>
      </c>
      <c r="M5820" s="308" t="s">
        <v>23301</v>
      </c>
      <c r="N5820" s="308" t="s">
        <v>23304</v>
      </c>
      <c r="O5820" s="308"/>
      <c r="P5820" s="308" t="s">
        <v>136</v>
      </c>
      <c r="Q5820" s="308" t="s">
        <v>38653</v>
      </c>
      <c r="R5820" s="308" t="s">
        <v>2743</v>
      </c>
      <c r="S5820" s="315" t="s">
        <v>100</v>
      </c>
      <c r="T5820" s="308" t="s">
        <v>34208</v>
      </c>
      <c r="U5820" s="308" t="s">
        <v>166</v>
      </c>
      <c r="V5820" s="308"/>
    </row>
    <row r="5821">
      <c r="A5821" s="308">
        <v>5820.0</v>
      </c>
      <c r="B5821" s="308"/>
      <c r="C5821" s="308" t="s">
        <v>23305</v>
      </c>
      <c r="D5821" s="308">
        <f>IFERROR(__xludf.DUMMYFUNCTION("SPLIT(C5821,""-"")"),5841.0)</f>
        <v>5841</v>
      </c>
      <c r="E5821" s="308" t="str">
        <f>IFERROR(__xludf.DUMMYFUNCTION("""COMPUTED_VALUE"""),"K")</f>
        <v>K</v>
      </c>
      <c r="F5821" s="309" t="s">
        <v>34</v>
      </c>
      <c r="G5821" s="308"/>
      <c r="H5821" s="308" t="s">
        <v>23306</v>
      </c>
      <c r="I5821" s="314">
        <v>41985.0</v>
      </c>
      <c r="J5821" s="319">
        <f>IFERROR(__xludf.DUMMYFUNCTION("SPLIT(I5821,""/"")"),12.0)</f>
        <v>12</v>
      </c>
      <c r="K5821" s="308">
        <f>IFERROR(__xludf.DUMMYFUNCTION("""COMPUTED_VALUE"""),12.0)</f>
        <v>12</v>
      </c>
      <c r="L5821" s="308">
        <f>IFERROR(__xludf.DUMMYFUNCTION("""COMPUTED_VALUE"""),2014.0)</f>
        <v>2014</v>
      </c>
      <c r="M5821" s="308" t="s">
        <v>23307</v>
      </c>
      <c r="N5821" s="308"/>
      <c r="O5821" s="308"/>
      <c r="P5821" s="308" t="s">
        <v>136</v>
      </c>
      <c r="Q5821" s="308" t="s">
        <v>38659</v>
      </c>
      <c r="R5821" s="308" t="s">
        <v>2743</v>
      </c>
      <c r="S5821" s="315" t="s">
        <v>100</v>
      </c>
      <c r="T5821" s="308" t="s">
        <v>34208</v>
      </c>
      <c r="U5821" s="308" t="s">
        <v>368</v>
      </c>
      <c r="V5821" s="308"/>
    </row>
    <row r="5822">
      <c r="A5822" s="308">
        <v>5821.0</v>
      </c>
      <c r="B5822" s="308"/>
      <c r="C5822" s="308" t="s">
        <v>23308</v>
      </c>
      <c r="D5822" s="308">
        <f>IFERROR(__xludf.DUMMYFUNCTION("SPLIT(C5822,""-"")"),5842.0)</f>
        <v>5842</v>
      </c>
      <c r="E5822" s="308" t="str">
        <f>IFERROR(__xludf.DUMMYFUNCTION("""COMPUTED_VALUE"""),"P")</f>
        <v>P</v>
      </c>
      <c r="F5822" s="312" t="s">
        <v>37</v>
      </c>
      <c r="G5822" s="308"/>
      <c r="H5822" s="308" t="s">
        <v>23309</v>
      </c>
      <c r="I5822" s="310">
        <v>43494.0</v>
      </c>
      <c r="J5822" s="319">
        <f>IFERROR(__xludf.DUMMYFUNCTION("SPLIT(I5822,""/"")"),29.0)</f>
        <v>29</v>
      </c>
      <c r="K5822" s="308">
        <f>IFERROR(__xludf.DUMMYFUNCTION("""COMPUTED_VALUE"""),1.0)</f>
        <v>1</v>
      </c>
      <c r="L5822" s="308">
        <f>IFERROR(__xludf.DUMMYFUNCTION("""COMPUTED_VALUE"""),2019.0)</f>
        <v>2019</v>
      </c>
      <c r="M5822" s="308" t="s">
        <v>23310</v>
      </c>
      <c r="N5822" s="308"/>
      <c r="O5822" s="308"/>
      <c r="P5822" s="308" t="s">
        <v>38660</v>
      </c>
      <c r="Q5822" s="308" t="s">
        <v>38659</v>
      </c>
      <c r="R5822" s="308" t="s">
        <v>2743</v>
      </c>
      <c r="S5822" s="308" t="s">
        <v>81</v>
      </c>
      <c r="T5822" s="308" t="s">
        <v>73</v>
      </c>
      <c r="U5822" s="308" t="s">
        <v>143</v>
      </c>
      <c r="V5822" s="308"/>
    </row>
    <row r="5823">
      <c r="A5823" s="308">
        <v>5822.0</v>
      </c>
      <c r="B5823" s="308"/>
      <c r="C5823" s="308" t="s">
        <v>23312</v>
      </c>
      <c r="D5823" s="308">
        <f>IFERROR(__xludf.DUMMYFUNCTION("SPLIT(C5823,""-"")"),5843.0)</f>
        <v>5843</v>
      </c>
      <c r="E5823" s="308" t="str">
        <f>IFERROR(__xludf.DUMMYFUNCTION("""COMPUTED_VALUE"""),"P")</f>
        <v>P</v>
      </c>
      <c r="F5823" s="312" t="s">
        <v>37</v>
      </c>
      <c r="G5823" s="308"/>
      <c r="H5823" s="308" t="s">
        <v>38661</v>
      </c>
      <c r="I5823" s="310">
        <v>43472.0</v>
      </c>
      <c r="J5823" s="319">
        <f>IFERROR(__xludf.DUMMYFUNCTION("SPLIT(I5823,""/"")"),7.0)</f>
        <v>7</v>
      </c>
      <c r="K5823" s="308">
        <f>IFERROR(__xludf.DUMMYFUNCTION("""COMPUTED_VALUE"""),1.0)</f>
        <v>1</v>
      </c>
      <c r="L5823" s="308">
        <f>IFERROR(__xludf.DUMMYFUNCTION("""COMPUTED_VALUE"""),2019.0)</f>
        <v>2019</v>
      </c>
      <c r="M5823" s="308" t="s">
        <v>23314</v>
      </c>
      <c r="N5823" s="308"/>
      <c r="O5823" s="308"/>
      <c r="P5823" s="308" t="s">
        <v>38662</v>
      </c>
      <c r="Q5823" s="308" t="s">
        <v>38659</v>
      </c>
      <c r="R5823" s="308" t="s">
        <v>2743</v>
      </c>
      <c r="S5823" s="308" t="s">
        <v>81</v>
      </c>
      <c r="T5823" s="308" t="s">
        <v>75</v>
      </c>
      <c r="U5823" s="308" t="s">
        <v>18270</v>
      </c>
      <c r="V5823" s="308"/>
    </row>
    <row r="5824">
      <c r="A5824" s="308">
        <v>5823.0</v>
      </c>
      <c r="B5824" s="308"/>
      <c r="C5824" s="308" t="s">
        <v>23316</v>
      </c>
      <c r="D5824" s="308">
        <f>IFERROR(__xludf.DUMMYFUNCTION("SPLIT(C5824,""-"")"),5844.0)</f>
        <v>5844</v>
      </c>
      <c r="E5824" s="308" t="str">
        <f>IFERROR(__xludf.DUMMYFUNCTION("""COMPUTED_VALUE"""),"K")</f>
        <v>K</v>
      </c>
      <c r="F5824" s="309" t="s">
        <v>34</v>
      </c>
      <c r="G5824" s="308"/>
      <c r="H5824" s="308" t="s">
        <v>23317</v>
      </c>
      <c r="I5824" s="310">
        <v>39995.0</v>
      </c>
      <c r="J5824" s="319">
        <f>IFERROR(__xludf.DUMMYFUNCTION("SPLIT(I5824,""/"")"),1.0)</f>
        <v>1</v>
      </c>
      <c r="K5824" s="308">
        <f>IFERROR(__xludf.DUMMYFUNCTION("""COMPUTED_VALUE"""),7.0)</f>
        <v>7</v>
      </c>
      <c r="L5824" s="308">
        <f>IFERROR(__xludf.DUMMYFUNCTION("""COMPUTED_VALUE"""),2009.0)</f>
        <v>2009</v>
      </c>
      <c r="M5824" s="308" t="s">
        <v>23318</v>
      </c>
      <c r="N5824" s="308"/>
      <c r="O5824" s="308"/>
      <c r="P5824" s="308" t="s">
        <v>136</v>
      </c>
      <c r="Q5824" s="308" t="s">
        <v>38659</v>
      </c>
      <c r="R5824" s="308" t="s">
        <v>2743</v>
      </c>
      <c r="S5824" s="315" t="s">
        <v>100</v>
      </c>
      <c r="T5824" s="308" t="s">
        <v>34208</v>
      </c>
      <c r="U5824" s="308" t="s">
        <v>368</v>
      </c>
      <c r="V5824" s="308"/>
    </row>
    <row r="5825">
      <c r="A5825" s="308">
        <v>5824.0</v>
      </c>
      <c r="B5825" s="308"/>
      <c r="C5825" s="308" t="s">
        <v>23319</v>
      </c>
      <c r="D5825" s="308">
        <f>IFERROR(__xludf.DUMMYFUNCTION("SPLIT(C5825,""-"")"),5845.0)</f>
        <v>5845</v>
      </c>
      <c r="E5825" s="308" t="str">
        <f>IFERROR(__xludf.DUMMYFUNCTION("""COMPUTED_VALUE"""),"K")</f>
        <v>K</v>
      </c>
      <c r="F5825" s="309" t="s">
        <v>34</v>
      </c>
      <c r="G5825" s="308"/>
      <c r="H5825" s="308" t="s">
        <v>23320</v>
      </c>
      <c r="I5825" s="310">
        <v>39995.0</v>
      </c>
      <c r="J5825" s="319">
        <f>IFERROR(__xludf.DUMMYFUNCTION("SPLIT(I5825,""/"")"),1.0)</f>
        <v>1</v>
      </c>
      <c r="K5825" s="308">
        <f>IFERROR(__xludf.DUMMYFUNCTION("""COMPUTED_VALUE"""),7.0)</f>
        <v>7</v>
      </c>
      <c r="L5825" s="308">
        <f>IFERROR(__xludf.DUMMYFUNCTION("""COMPUTED_VALUE"""),2009.0)</f>
        <v>2009</v>
      </c>
      <c r="M5825" s="308" t="s">
        <v>23321</v>
      </c>
      <c r="N5825" s="308" t="s">
        <v>23322</v>
      </c>
      <c r="O5825" s="308" t="s">
        <v>23323</v>
      </c>
      <c r="P5825" s="308" t="s">
        <v>136</v>
      </c>
      <c r="Q5825" s="308" t="s">
        <v>38659</v>
      </c>
      <c r="R5825" s="308" t="s">
        <v>2743</v>
      </c>
      <c r="S5825" s="315" t="s">
        <v>100</v>
      </c>
      <c r="T5825" s="308" t="s">
        <v>34208</v>
      </c>
      <c r="U5825" s="308" t="s">
        <v>530</v>
      </c>
      <c r="V5825" s="308"/>
    </row>
    <row r="5826">
      <c r="A5826" s="308">
        <v>5825.0</v>
      </c>
      <c r="B5826" s="308"/>
      <c r="C5826" s="308" t="s">
        <v>23324</v>
      </c>
      <c r="D5826" s="308">
        <f>IFERROR(__xludf.DUMMYFUNCTION("SPLIT(C5826,""-"")"),5846.0)</f>
        <v>5846</v>
      </c>
      <c r="E5826" s="308" t="str">
        <f>IFERROR(__xludf.DUMMYFUNCTION("""COMPUTED_VALUE"""),"K")</f>
        <v>K</v>
      </c>
      <c r="F5826" s="309" t="s">
        <v>34</v>
      </c>
      <c r="G5826" s="308"/>
      <c r="H5826" s="308" t="s">
        <v>23325</v>
      </c>
      <c r="I5826" s="310">
        <v>39995.0</v>
      </c>
      <c r="J5826" s="319">
        <f>IFERROR(__xludf.DUMMYFUNCTION("SPLIT(I5826,""/"")"),1.0)</f>
        <v>1</v>
      </c>
      <c r="K5826" s="308">
        <f>IFERROR(__xludf.DUMMYFUNCTION("""COMPUTED_VALUE"""),7.0)</f>
        <v>7</v>
      </c>
      <c r="L5826" s="308">
        <f>IFERROR(__xludf.DUMMYFUNCTION("""COMPUTED_VALUE"""),2009.0)</f>
        <v>2009</v>
      </c>
      <c r="M5826" s="308" t="s">
        <v>23326</v>
      </c>
      <c r="N5826" s="308" t="s">
        <v>23327</v>
      </c>
      <c r="O5826" s="308"/>
      <c r="P5826" s="308" t="s">
        <v>136</v>
      </c>
      <c r="Q5826" s="308" t="s">
        <v>38659</v>
      </c>
      <c r="R5826" s="308" t="s">
        <v>2743</v>
      </c>
      <c r="S5826" s="315" t="s">
        <v>100</v>
      </c>
      <c r="T5826" s="308" t="s">
        <v>34208</v>
      </c>
      <c r="U5826" s="308" t="s">
        <v>530</v>
      </c>
      <c r="V5826" s="308"/>
    </row>
    <row r="5827">
      <c r="A5827" s="308">
        <v>5826.0</v>
      </c>
      <c r="B5827" s="308"/>
      <c r="C5827" s="308" t="s">
        <v>23328</v>
      </c>
      <c r="D5827" s="308">
        <f>IFERROR(__xludf.DUMMYFUNCTION("SPLIT(C5827,""-"")"),5847.0)</f>
        <v>5847</v>
      </c>
      <c r="E5827" s="308" t="str">
        <f>IFERROR(__xludf.DUMMYFUNCTION("""COMPUTED_VALUE"""),"P")</f>
        <v>P</v>
      </c>
      <c r="F5827" s="312" t="s">
        <v>37</v>
      </c>
      <c r="G5827" s="308"/>
      <c r="H5827" s="308" t="s">
        <v>23329</v>
      </c>
      <c r="I5827" s="310">
        <v>43259.0</v>
      </c>
      <c r="J5827" s="319">
        <f>IFERROR(__xludf.DUMMYFUNCTION("SPLIT(I5827,""/"")"),8.0)</f>
        <v>8</v>
      </c>
      <c r="K5827" s="308">
        <f>IFERROR(__xludf.DUMMYFUNCTION("""COMPUTED_VALUE"""),6.0)</f>
        <v>6</v>
      </c>
      <c r="L5827" s="308">
        <f>IFERROR(__xludf.DUMMYFUNCTION("""COMPUTED_VALUE"""),2018.0)</f>
        <v>2018</v>
      </c>
      <c r="M5827" s="308" t="s">
        <v>23330</v>
      </c>
      <c r="N5827" s="308"/>
      <c r="O5827" s="308"/>
      <c r="P5827" s="308" t="s">
        <v>136</v>
      </c>
      <c r="Q5827" s="308" t="s">
        <v>38663</v>
      </c>
      <c r="R5827" s="308" t="s">
        <v>2743</v>
      </c>
      <c r="S5827" s="315" t="s">
        <v>100</v>
      </c>
      <c r="T5827" s="308" t="s">
        <v>34208</v>
      </c>
      <c r="U5827" s="308" t="s">
        <v>149</v>
      </c>
      <c r="V5827" s="308"/>
    </row>
    <row r="5828">
      <c r="A5828" s="308">
        <v>5827.0</v>
      </c>
      <c r="B5828" s="308"/>
      <c r="C5828" s="308" t="s">
        <v>23331</v>
      </c>
      <c r="D5828" s="308">
        <f>IFERROR(__xludf.DUMMYFUNCTION("SPLIT(C5828,""-"")"),5848.0)</f>
        <v>5848</v>
      </c>
      <c r="E5828" s="308" t="str">
        <f>IFERROR(__xludf.DUMMYFUNCTION("""COMPUTED_VALUE"""),"P")</f>
        <v>P</v>
      </c>
      <c r="F5828" s="312" t="s">
        <v>37</v>
      </c>
      <c r="G5828" s="308"/>
      <c r="H5828" s="308" t="s">
        <v>23332</v>
      </c>
      <c r="I5828" s="310">
        <v>43480.0</v>
      </c>
      <c r="J5828" s="319">
        <f>IFERROR(__xludf.DUMMYFUNCTION("SPLIT(I5828,""/"")"),15.0)</f>
        <v>15</v>
      </c>
      <c r="K5828" s="308">
        <f>IFERROR(__xludf.DUMMYFUNCTION("""COMPUTED_VALUE"""),1.0)</f>
        <v>1</v>
      </c>
      <c r="L5828" s="308">
        <f>IFERROR(__xludf.DUMMYFUNCTION("""COMPUTED_VALUE"""),2019.0)</f>
        <v>2019</v>
      </c>
      <c r="M5828" s="308" t="s">
        <v>23333</v>
      </c>
      <c r="N5828" s="308"/>
      <c r="O5828" s="308"/>
      <c r="P5828" s="308" t="s">
        <v>38664</v>
      </c>
      <c r="Q5828" s="308" t="s">
        <v>38663</v>
      </c>
      <c r="R5828" s="308" t="s">
        <v>2743</v>
      </c>
      <c r="S5828" s="308" t="s">
        <v>81</v>
      </c>
      <c r="T5828" s="308" t="s">
        <v>73</v>
      </c>
      <c r="U5828" s="308" t="s">
        <v>149</v>
      </c>
      <c r="V5828" s="308"/>
    </row>
    <row r="5829">
      <c r="A5829" s="308">
        <v>5828.0</v>
      </c>
      <c r="B5829" s="308"/>
      <c r="C5829" s="308" t="s">
        <v>23335</v>
      </c>
      <c r="D5829" s="308">
        <f>IFERROR(__xludf.DUMMYFUNCTION("SPLIT(C5829,""-"")"),5849.0)</f>
        <v>5849</v>
      </c>
      <c r="E5829" s="308" t="str">
        <f>IFERROR(__xludf.DUMMYFUNCTION("""COMPUTED_VALUE"""),"K")</f>
        <v>K</v>
      </c>
      <c r="F5829" s="309" t="s">
        <v>34</v>
      </c>
      <c r="G5829" s="308"/>
      <c r="H5829" s="308" t="s">
        <v>23336</v>
      </c>
      <c r="I5829" s="310">
        <v>43471.0</v>
      </c>
      <c r="J5829" s="319">
        <f>IFERROR(__xludf.DUMMYFUNCTION("SPLIT(I5829,""/"")"),6.0)</f>
        <v>6</v>
      </c>
      <c r="K5829" s="308">
        <f>IFERROR(__xludf.DUMMYFUNCTION("""COMPUTED_VALUE"""),1.0)</f>
        <v>1</v>
      </c>
      <c r="L5829" s="308">
        <f>IFERROR(__xludf.DUMMYFUNCTION("""COMPUTED_VALUE"""),2019.0)</f>
        <v>2019</v>
      </c>
      <c r="M5829" s="308" t="s">
        <v>23337</v>
      </c>
      <c r="N5829" s="308"/>
      <c r="O5829" s="308"/>
      <c r="P5829" s="308" t="s">
        <v>38665</v>
      </c>
      <c r="Q5829" s="308" t="s">
        <v>38663</v>
      </c>
      <c r="R5829" s="308" t="s">
        <v>2743</v>
      </c>
      <c r="S5829" s="308" t="s">
        <v>81</v>
      </c>
      <c r="T5829" s="308" t="s">
        <v>73</v>
      </c>
      <c r="U5829" s="308" t="s">
        <v>125</v>
      </c>
      <c r="V5829" s="308"/>
    </row>
    <row r="5830">
      <c r="A5830" s="308">
        <v>5829.0</v>
      </c>
      <c r="B5830" s="308"/>
      <c r="C5830" s="308" t="s">
        <v>23339</v>
      </c>
      <c r="D5830" s="308">
        <f>IFERROR(__xludf.DUMMYFUNCTION("SPLIT(C5830,""-"")"),5850.0)</f>
        <v>5850</v>
      </c>
      <c r="E5830" s="308" t="str">
        <f>IFERROR(__xludf.DUMMYFUNCTION("""COMPUTED_VALUE"""),"S")</f>
        <v>S</v>
      </c>
      <c r="F5830" s="312" t="s">
        <v>39</v>
      </c>
      <c r="G5830" s="308"/>
      <c r="H5830" s="308" t="s">
        <v>23340</v>
      </c>
      <c r="I5830" s="310">
        <v>42762.0</v>
      </c>
      <c r="J5830" s="319">
        <f>IFERROR(__xludf.DUMMYFUNCTION("SPLIT(I5830,""/"")"),27.0)</f>
        <v>27</v>
      </c>
      <c r="K5830" s="308">
        <f>IFERROR(__xludf.DUMMYFUNCTION("""COMPUTED_VALUE"""),1.0)</f>
        <v>1</v>
      </c>
      <c r="L5830" s="308">
        <f>IFERROR(__xludf.DUMMYFUNCTION("""COMPUTED_VALUE"""),2017.0)</f>
        <v>2017</v>
      </c>
      <c r="M5830" s="308" t="s">
        <v>23341</v>
      </c>
      <c r="N5830" s="308"/>
      <c r="O5830" s="308"/>
      <c r="P5830" s="308" t="s">
        <v>136</v>
      </c>
      <c r="Q5830" s="308" t="s">
        <v>38663</v>
      </c>
      <c r="R5830" s="308" t="s">
        <v>2743</v>
      </c>
      <c r="S5830" s="315" t="s">
        <v>100</v>
      </c>
      <c r="T5830" s="308" t="s">
        <v>34208</v>
      </c>
      <c r="U5830" s="308" t="s">
        <v>166</v>
      </c>
      <c r="V5830" s="308"/>
    </row>
    <row r="5831">
      <c r="A5831" s="308">
        <v>5830.0</v>
      </c>
      <c r="B5831" s="308"/>
      <c r="C5831" s="308" t="s">
        <v>23342</v>
      </c>
      <c r="D5831" s="308">
        <f>IFERROR(__xludf.DUMMYFUNCTION("SPLIT(C5831,""-"")"),5851.0)</f>
        <v>5851</v>
      </c>
      <c r="E5831" s="308" t="str">
        <f>IFERROR(__xludf.DUMMYFUNCTION("""COMPUTED_VALUE"""),"K")</f>
        <v>K</v>
      </c>
      <c r="F5831" s="309" t="s">
        <v>34</v>
      </c>
      <c r="G5831" s="308"/>
      <c r="H5831" s="308" t="s">
        <v>23343</v>
      </c>
      <c r="I5831" s="310">
        <v>40725.0</v>
      </c>
      <c r="J5831" s="319">
        <f>IFERROR(__xludf.DUMMYFUNCTION("SPLIT(I5831,""/"")"),1.0)</f>
        <v>1</v>
      </c>
      <c r="K5831" s="308">
        <f>IFERROR(__xludf.DUMMYFUNCTION("""COMPUTED_VALUE"""),7.0)</f>
        <v>7</v>
      </c>
      <c r="L5831" s="308">
        <f>IFERROR(__xludf.DUMMYFUNCTION("""COMPUTED_VALUE"""),2011.0)</f>
        <v>2011</v>
      </c>
      <c r="M5831" s="308" t="s">
        <v>23344</v>
      </c>
      <c r="N5831" s="308"/>
      <c r="O5831" s="308"/>
      <c r="P5831" s="308" t="s">
        <v>23345</v>
      </c>
      <c r="Q5831" s="308" t="s">
        <v>38663</v>
      </c>
      <c r="R5831" s="308" t="s">
        <v>2743</v>
      </c>
      <c r="S5831" s="308" t="s">
        <v>81</v>
      </c>
      <c r="T5831" s="308" t="s">
        <v>34264</v>
      </c>
      <c r="U5831" s="308"/>
      <c r="V5831" s="308"/>
    </row>
    <row r="5832">
      <c r="A5832" s="308">
        <v>5831.0</v>
      </c>
      <c r="B5832" s="308"/>
      <c r="C5832" s="308" t="s">
        <v>23346</v>
      </c>
      <c r="D5832" s="308">
        <f>IFERROR(__xludf.DUMMYFUNCTION("SPLIT(C5832,""-"")"),5852.0)</f>
        <v>5852</v>
      </c>
      <c r="E5832" s="308" t="str">
        <f>IFERROR(__xludf.DUMMYFUNCTION("""COMPUTED_VALUE"""),"K")</f>
        <v>K</v>
      </c>
      <c r="F5832" s="309" t="s">
        <v>34</v>
      </c>
      <c r="G5832" s="308"/>
      <c r="H5832" s="308" t="s">
        <v>23347</v>
      </c>
      <c r="I5832" s="314">
        <v>37254.0</v>
      </c>
      <c r="J5832" s="319">
        <f>IFERROR(__xludf.DUMMYFUNCTION("SPLIT(I5832,""/"")"),29.0)</f>
        <v>29</v>
      </c>
      <c r="K5832" s="308">
        <f>IFERROR(__xludf.DUMMYFUNCTION("""COMPUTED_VALUE"""),12.0)</f>
        <v>12</v>
      </c>
      <c r="L5832" s="308">
        <f>IFERROR(__xludf.DUMMYFUNCTION("""COMPUTED_VALUE"""),2001.0)</f>
        <v>2001</v>
      </c>
      <c r="M5832" s="308" t="s">
        <v>23348</v>
      </c>
      <c r="N5832" s="308"/>
      <c r="O5832" s="308"/>
      <c r="P5832" s="308" t="s">
        <v>38666</v>
      </c>
      <c r="Q5832" s="308" t="s">
        <v>38663</v>
      </c>
      <c r="R5832" s="308" t="s">
        <v>2743</v>
      </c>
      <c r="S5832" s="308" t="s">
        <v>81</v>
      </c>
      <c r="T5832" s="308" t="s">
        <v>34264</v>
      </c>
      <c r="U5832" s="308" t="s">
        <v>530</v>
      </c>
      <c r="V5832" s="308"/>
    </row>
    <row r="5833">
      <c r="A5833" s="308">
        <v>5832.0</v>
      </c>
      <c r="B5833" s="308"/>
      <c r="C5833" s="308" t="s">
        <v>23350</v>
      </c>
      <c r="D5833" s="308">
        <f>IFERROR(__xludf.DUMMYFUNCTION("SPLIT(C5833,""-"")"),5853.0)</f>
        <v>5853</v>
      </c>
      <c r="E5833" s="308" t="str">
        <f>IFERROR(__xludf.DUMMYFUNCTION("""COMPUTED_VALUE"""),"K")</f>
        <v>K</v>
      </c>
      <c r="F5833" s="309" t="s">
        <v>34</v>
      </c>
      <c r="G5833" s="308"/>
      <c r="H5833" s="308" t="s">
        <v>23351</v>
      </c>
      <c r="I5833" s="310">
        <v>42445.0</v>
      </c>
      <c r="J5833" s="319">
        <f>IFERROR(__xludf.DUMMYFUNCTION("SPLIT(I5833,""/"")"),16.0)</f>
        <v>16</v>
      </c>
      <c r="K5833" s="308">
        <f>IFERROR(__xludf.DUMMYFUNCTION("""COMPUTED_VALUE"""),3.0)</f>
        <v>3</v>
      </c>
      <c r="L5833" s="308">
        <f>IFERROR(__xludf.DUMMYFUNCTION("""COMPUTED_VALUE"""),2016.0)</f>
        <v>2016</v>
      </c>
      <c r="M5833" s="308" t="s">
        <v>23352</v>
      </c>
      <c r="N5833" s="308"/>
      <c r="O5833" s="308"/>
      <c r="P5833" s="308" t="s">
        <v>23353</v>
      </c>
      <c r="Q5833" s="308" t="s">
        <v>38663</v>
      </c>
      <c r="R5833" s="308" t="s">
        <v>2743</v>
      </c>
      <c r="S5833" s="308" t="s">
        <v>81</v>
      </c>
      <c r="T5833" s="308" t="s">
        <v>34264</v>
      </c>
      <c r="U5833" s="308" t="s">
        <v>125</v>
      </c>
      <c r="V5833" s="308" t="s">
        <v>23354</v>
      </c>
    </row>
    <row r="5834">
      <c r="A5834" s="308">
        <v>5833.0</v>
      </c>
      <c r="B5834" s="308"/>
      <c r="C5834" s="308" t="s">
        <v>23355</v>
      </c>
      <c r="D5834" s="308">
        <f>IFERROR(__xludf.DUMMYFUNCTION("SPLIT(C5834,""-"")"),5854.0)</f>
        <v>5854</v>
      </c>
      <c r="E5834" s="308" t="str">
        <f>IFERROR(__xludf.DUMMYFUNCTION("""COMPUTED_VALUE"""),"F")</f>
        <v>F</v>
      </c>
      <c r="F5834" s="309" t="s">
        <v>34</v>
      </c>
      <c r="G5834" s="308"/>
      <c r="H5834" s="308" t="s">
        <v>23356</v>
      </c>
      <c r="I5834" s="314">
        <v>43401.0</v>
      </c>
      <c r="J5834" s="319">
        <f>IFERROR(__xludf.DUMMYFUNCTION("SPLIT(I5834,""/"")"),28.0)</f>
        <v>28</v>
      </c>
      <c r="K5834" s="308">
        <f>IFERROR(__xludf.DUMMYFUNCTION("""COMPUTED_VALUE"""),10.0)</f>
        <v>10</v>
      </c>
      <c r="L5834" s="308">
        <f>IFERROR(__xludf.DUMMYFUNCTION("""COMPUTED_VALUE"""),2018.0)</f>
        <v>2018</v>
      </c>
      <c r="M5834" s="308" t="s">
        <v>23357</v>
      </c>
      <c r="N5834" s="308"/>
      <c r="O5834" s="308"/>
      <c r="P5834" s="308" t="s">
        <v>38667</v>
      </c>
      <c r="Q5834" s="308" t="s">
        <v>38668</v>
      </c>
      <c r="R5834" s="308" t="s">
        <v>2743</v>
      </c>
      <c r="S5834" s="308" t="s">
        <v>81</v>
      </c>
      <c r="T5834" s="308" t="s">
        <v>75</v>
      </c>
      <c r="U5834" s="308" t="s">
        <v>195</v>
      </c>
      <c r="V5834" s="308" t="s">
        <v>23359</v>
      </c>
    </row>
    <row r="5835">
      <c r="A5835" s="308">
        <v>5834.0</v>
      </c>
      <c r="B5835" s="308"/>
      <c r="C5835" s="308" t="s">
        <v>23360</v>
      </c>
      <c r="D5835" s="308">
        <f>IFERROR(__xludf.DUMMYFUNCTION("SPLIT(C5835,""-"")"),5855.0)</f>
        <v>5855</v>
      </c>
      <c r="E5835" s="308" t="str">
        <f>IFERROR(__xludf.DUMMYFUNCTION("""COMPUTED_VALUE"""),"K")</f>
        <v>K</v>
      </c>
      <c r="F5835" s="309" t="s">
        <v>34</v>
      </c>
      <c r="G5835" s="308"/>
      <c r="H5835" s="308" t="s">
        <v>23361</v>
      </c>
      <c r="I5835" s="314">
        <v>40473.0</v>
      </c>
      <c r="J5835" s="319">
        <f>IFERROR(__xludf.DUMMYFUNCTION("SPLIT(I5835,""/"")"),22.0)</f>
        <v>22</v>
      </c>
      <c r="K5835" s="308">
        <f>IFERROR(__xludf.DUMMYFUNCTION("""COMPUTED_VALUE"""),10.0)</f>
        <v>10</v>
      </c>
      <c r="L5835" s="308">
        <f>IFERROR(__xludf.DUMMYFUNCTION("""COMPUTED_VALUE"""),2010.0)</f>
        <v>2010</v>
      </c>
      <c r="M5835" s="308" t="s">
        <v>23362</v>
      </c>
      <c r="N5835" s="308"/>
      <c r="O5835" s="308"/>
      <c r="P5835" s="308" t="s">
        <v>136</v>
      </c>
      <c r="Q5835" s="308" t="s">
        <v>38668</v>
      </c>
      <c r="R5835" s="308" t="s">
        <v>2743</v>
      </c>
      <c r="S5835" s="315" t="s">
        <v>100</v>
      </c>
      <c r="T5835" s="308" t="s">
        <v>34208</v>
      </c>
      <c r="U5835" s="308" t="s">
        <v>2466</v>
      </c>
      <c r="V5835" s="308"/>
    </row>
    <row r="5836">
      <c r="A5836" s="308">
        <v>5835.0</v>
      </c>
      <c r="B5836" s="308"/>
      <c r="C5836" s="308" t="s">
        <v>23363</v>
      </c>
      <c r="D5836" s="308">
        <f>IFERROR(__xludf.DUMMYFUNCTION("SPLIT(C5836,""-"")"),5856.0)</f>
        <v>5856</v>
      </c>
      <c r="E5836" s="308" t="str">
        <f>IFERROR(__xludf.DUMMYFUNCTION("""COMPUTED_VALUE"""),"K")</f>
        <v>K</v>
      </c>
      <c r="F5836" s="309" t="s">
        <v>34</v>
      </c>
      <c r="G5836" s="308"/>
      <c r="H5836" s="308" t="s">
        <v>23364</v>
      </c>
      <c r="I5836" s="310">
        <v>41818.0</v>
      </c>
      <c r="J5836" s="319">
        <f>IFERROR(__xludf.DUMMYFUNCTION("SPLIT(I5836,""/"")"),28.0)</f>
        <v>28</v>
      </c>
      <c r="K5836" s="308">
        <f>IFERROR(__xludf.DUMMYFUNCTION("""COMPUTED_VALUE"""),6.0)</f>
        <v>6</v>
      </c>
      <c r="L5836" s="308">
        <f>IFERROR(__xludf.DUMMYFUNCTION("""COMPUTED_VALUE"""),2014.0)</f>
        <v>2014</v>
      </c>
      <c r="M5836" s="308" t="s">
        <v>23365</v>
      </c>
      <c r="N5836" s="308"/>
      <c r="O5836" s="308"/>
      <c r="P5836" s="308" t="s">
        <v>136</v>
      </c>
      <c r="Q5836" s="308" t="s">
        <v>38668</v>
      </c>
      <c r="R5836" s="308" t="s">
        <v>2743</v>
      </c>
      <c r="S5836" s="315" t="s">
        <v>100</v>
      </c>
      <c r="T5836" s="308" t="s">
        <v>34208</v>
      </c>
      <c r="U5836" s="308" t="s">
        <v>2989</v>
      </c>
      <c r="V5836" s="308"/>
    </row>
    <row r="5837">
      <c r="A5837" s="308">
        <v>5836.0</v>
      </c>
      <c r="B5837" s="308"/>
      <c r="C5837" s="308" t="s">
        <v>23366</v>
      </c>
      <c r="D5837" s="308">
        <f>IFERROR(__xludf.DUMMYFUNCTION("SPLIT(C5837,""-"")"),5857.0)</f>
        <v>5857</v>
      </c>
      <c r="E5837" s="308" t="str">
        <f>IFERROR(__xludf.DUMMYFUNCTION("""COMPUTED_VALUE"""),"F")</f>
        <v>F</v>
      </c>
      <c r="F5837" s="309" t="s">
        <v>34</v>
      </c>
      <c r="G5837" s="308"/>
      <c r="H5837" s="308" t="s">
        <v>23367</v>
      </c>
      <c r="I5837" s="310">
        <v>40006.0</v>
      </c>
      <c r="J5837" s="319">
        <f>IFERROR(__xludf.DUMMYFUNCTION("SPLIT(I5837,""/"")"),12.0)</f>
        <v>12</v>
      </c>
      <c r="K5837" s="308">
        <f>IFERROR(__xludf.DUMMYFUNCTION("""COMPUTED_VALUE"""),7.0)</f>
        <v>7</v>
      </c>
      <c r="L5837" s="308">
        <f>IFERROR(__xludf.DUMMYFUNCTION("""COMPUTED_VALUE"""),2009.0)</f>
        <v>2009</v>
      </c>
      <c r="M5837" s="308" t="s">
        <v>23368</v>
      </c>
      <c r="N5837" s="308"/>
      <c r="O5837" s="308"/>
      <c r="P5837" s="308" t="s">
        <v>136</v>
      </c>
      <c r="Q5837" s="308" t="s">
        <v>38668</v>
      </c>
      <c r="R5837" s="308" t="s">
        <v>2743</v>
      </c>
      <c r="S5837" s="315" t="s">
        <v>100</v>
      </c>
      <c r="T5837" s="308" t="s">
        <v>34208</v>
      </c>
      <c r="U5837" s="308" t="s">
        <v>195</v>
      </c>
      <c r="V5837" s="308"/>
    </row>
    <row r="5838">
      <c r="A5838" s="308">
        <v>5837.0</v>
      </c>
      <c r="B5838" s="308"/>
      <c r="C5838" s="308" t="s">
        <v>23369</v>
      </c>
      <c r="D5838" s="308">
        <f>IFERROR(__xludf.DUMMYFUNCTION("SPLIT(C5838,""-"")"),5858.0)</f>
        <v>5858</v>
      </c>
      <c r="E5838" s="308" t="str">
        <f>IFERROR(__xludf.DUMMYFUNCTION("""COMPUTED_VALUE"""),"B")</f>
        <v>B</v>
      </c>
      <c r="F5838" s="315" t="s">
        <v>26</v>
      </c>
      <c r="G5838" s="308"/>
      <c r="H5838" s="308" t="s">
        <v>23370</v>
      </c>
      <c r="I5838" s="310">
        <v>42945.0</v>
      </c>
      <c r="J5838" s="319">
        <f>IFERROR(__xludf.DUMMYFUNCTION("SPLIT(I5838,""/"")"),29.0)</f>
        <v>29</v>
      </c>
      <c r="K5838" s="308">
        <f>IFERROR(__xludf.DUMMYFUNCTION("""COMPUTED_VALUE"""),7.0)</f>
        <v>7</v>
      </c>
      <c r="L5838" s="308">
        <f>IFERROR(__xludf.DUMMYFUNCTION("""COMPUTED_VALUE"""),2017.0)</f>
        <v>2017</v>
      </c>
      <c r="M5838" s="308" t="s">
        <v>23371</v>
      </c>
      <c r="N5838" s="308"/>
      <c r="O5838" s="308"/>
      <c r="P5838" s="308" t="s">
        <v>38669</v>
      </c>
      <c r="Q5838" s="308" t="s">
        <v>38668</v>
      </c>
      <c r="R5838" s="308" t="s">
        <v>2743</v>
      </c>
      <c r="S5838" s="308" t="s">
        <v>81</v>
      </c>
      <c r="T5838" s="311" t="s">
        <v>96</v>
      </c>
      <c r="U5838" s="308" t="s">
        <v>27</v>
      </c>
      <c r="V5838" s="308"/>
    </row>
    <row r="5839">
      <c r="A5839" s="308">
        <v>5838.0</v>
      </c>
      <c r="B5839" s="308"/>
      <c r="C5839" s="308" t="s">
        <v>23373</v>
      </c>
      <c r="D5839" s="308">
        <f>IFERROR(__xludf.DUMMYFUNCTION("SPLIT(C5839,""-"")"),5859.0)</f>
        <v>5859</v>
      </c>
      <c r="E5839" s="308" t="str">
        <f>IFERROR(__xludf.DUMMYFUNCTION("""COMPUTED_VALUE"""),"B")</f>
        <v>B</v>
      </c>
      <c r="F5839" s="315" t="s">
        <v>26</v>
      </c>
      <c r="G5839" s="308"/>
      <c r="H5839" s="308" t="s">
        <v>23374</v>
      </c>
      <c r="I5839" s="314">
        <v>43027.0</v>
      </c>
      <c r="J5839" s="319">
        <f>IFERROR(__xludf.DUMMYFUNCTION("SPLIT(I5839,""/"")"),19.0)</f>
        <v>19</v>
      </c>
      <c r="K5839" s="308">
        <f>IFERROR(__xludf.DUMMYFUNCTION("""COMPUTED_VALUE"""),10.0)</f>
        <v>10</v>
      </c>
      <c r="L5839" s="308">
        <f>IFERROR(__xludf.DUMMYFUNCTION("""COMPUTED_VALUE"""),2017.0)</f>
        <v>2017</v>
      </c>
      <c r="M5839" s="308" t="s">
        <v>23375</v>
      </c>
      <c r="N5839" s="308"/>
      <c r="O5839" s="308" t="s">
        <v>23376</v>
      </c>
      <c r="P5839" s="308" t="s">
        <v>38670</v>
      </c>
      <c r="Q5839" s="308" t="s">
        <v>38668</v>
      </c>
      <c r="R5839" s="308" t="s">
        <v>2743</v>
      </c>
      <c r="S5839" s="308" t="s">
        <v>81</v>
      </c>
      <c r="T5839" s="311" t="s">
        <v>96</v>
      </c>
      <c r="U5839" s="308" t="s">
        <v>27</v>
      </c>
      <c r="V5839" s="308"/>
    </row>
    <row r="5840">
      <c r="A5840" s="308">
        <v>5839.0</v>
      </c>
      <c r="B5840" s="308"/>
      <c r="C5840" s="308" t="s">
        <v>23378</v>
      </c>
      <c r="D5840" s="308">
        <f>IFERROR(__xludf.DUMMYFUNCTION("SPLIT(C5840,""-"")"),5860.0)</f>
        <v>5860</v>
      </c>
      <c r="E5840" s="308" t="str">
        <f>IFERROR(__xludf.DUMMYFUNCTION("""COMPUTED_VALUE"""),"F")</f>
        <v>F</v>
      </c>
      <c r="F5840" s="309" t="s">
        <v>34</v>
      </c>
      <c r="G5840" s="308"/>
      <c r="H5840" s="308" t="s">
        <v>23379</v>
      </c>
      <c r="I5840" s="316" t="s">
        <v>23380</v>
      </c>
      <c r="J5840" s="323">
        <v>15.0</v>
      </c>
      <c r="K5840" s="311">
        <v>4.0</v>
      </c>
      <c r="L5840" s="308">
        <v>2017.0</v>
      </c>
      <c r="M5840" s="308" t="s">
        <v>23381</v>
      </c>
      <c r="N5840" s="308"/>
      <c r="O5840" s="308"/>
      <c r="P5840" s="308" t="s">
        <v>136</v>
      </c>
      <c r="Q5840" s="308" t="s">
        <v>38668</v>
      </c>
      <c r="R5840" s="308" t="s">
        <v>2743</v>
      </c>
      <c r="S5840" s="315" t="s">
        <v>100</v>
      </c>
      <c r="T5840" s="308" t="s">
        <v>34208</v>
      </c>
      <c r="U5840" s="308" t="s">
        <v>195</v>
      </c>
      <c r="V5840" s="308"/>
    </row>
    <row r="5841">
      <c r="A5841" s="308">
        <v>5840.0</v>
      </c>
      <c r="B5841" s="308"/>
      <c r="C5841" s="308" t="s">
        <v>23382</v>
      </c>
      <c r="D5841" s="308">
        <f>IFERROR(__xludf.DUMMYFUNCTION("SPLIT(C5841,""-"")"),5861.0)</f>
        <v>5861</v>
      </c>
      <c r="E5841" s="308" t="str">
        <f>IFERROR(__xludf.DUMMYFUNCTION("""COMPUTED_VALUE"""),"B")</f>
        <v>B</v>
      </c>
      <c r="F5841" s="315" t="s">
        <v>26</v>
      </c>
      <c r="G5841" s="308"/>
      <c r="H5841" s="308" t="s">
        <v>38671</v>
      </c>
      <c r="I5841" s="310">
        <v>42948.0</v>
      </c>
      <c r="J5841" s="319">
        <f>IFERROR(__xludf.DUMMYFUNCTION("SPLIT(I5841,""/"")"),1.0)</f>
        <v>1</v>
      </c>
      <c r="K5841" s="308">
        <f>IFERROR(__xludf.DUMMYFUNCTION("""COMPUTED_VALUE"""),8.0)</f>
        <v>8</v>
      </c>
      <c r="L5841" s="308">
        <f>IFERROR(__xludf.DUMMYFUNCTION("""COMPUTED_VALUE"""),2017.0)</f>
        <v>2017</v>
      </c>
      <c r="M5841" s="308" t="s">
        <v>23384</v>
      </c>
      <c r="N5841" s="308"/>
      <c r="O5841" s="308" t="s">
        <v>23385</v>
      </c>
      <c r="P5841" s="308" t="s">
        <v>136</v>
      </c>
      <c r="Q5841" s="308" t="s">
        <v>38668</v>
      </c>
      <c r="R5841" s="308" t="s">
        <v>2743</v>
      </c>
      <c r="S5841" s="315" t="s">
        <v>100</v>
      </c>
      <c r="T5841" s="308" t="s">
        <v>34208</v>
      </c>
      <c r="U5841" s="308" t="s">
        <v>27</v>
      </c>
      <c r="V5841" s="308"/>
    </row>
    <row r="5842">
      <c r="A5842" s="308">
        <v>5841.0</v>
      </c>
      <c r="B5842" s="308"/>
      <c r="C5842" s="308" t="s">
        <v>23386</v>
      </c>
      <c r="D5842" s="308">
        <f>IFERROR(__xludf.DUMMYFUNCTION("SPLIT(C5842,""-"")"),5862.0)</f>
        <v>5862</v>
      </c>
      <c r="E5842" s="308" t="str">
        <f>IFERROR(__xludf.DUMMYFUNCTION("""COMPUTED_VALUE"""),"B")</f>
        <v>B</v>
      </c>
      <c r="F5842" s="315" t="s">
        <v>26</v>
      </c>
      <c r="G5842" s="308"/>
      <c r="H5842" s="308" t="s">
        <v>23387</v>
      </c>
      <c r="I5842" s="310">
        <v>41440.0</v>
      </c>
      <c r="J5842" s="319">
        <f>IFERROR(__xludf.DUMMYFUNCTION("SPLIT(I5842,""/"")"),15.0)</f>
        <v>15</v>
      </c>
      <c r="K5842" s="308">
        <f>IFERROR(__xludf.DUMMYFUNCTION("""COMPUTED_VALUE"""),6.0)</f>
        <v>6</v>
      </c>
      <c r="L5842" s="308">
        <f>IFERROR(__xludf.DUMMYFUNCTION("""COMPUTED_VALUE"""),2013.0)</f>
        <v>2013</v>
      </c>
      <c r="M5842" s="308" t="s">
        <v>23388</v>
      </c>
      <c r="N5842" s="308"/>
      <c r="O5842" s="308" t="s">
        <v>23389</v>
      </c>
      <c r="P5842" s="308" t="s">
        <v>136</v>
      </c>
      <c r="Q5842" s="308" t="s">
        <v>38668</v>
      </c>
      <c r="R5842" s="308" t="s">
        <v>2743</v>
      </c>
      <c r="S5842" s="315" t="s">
        <v>100</v>
      </c>
      <c r="T5842" s="308" t="s">
        <v>34208</v>
      </c>
      <c r="U5842" s="308" t="s">
        <v>27</v>
      </c>
      <c r="V5842" s="308"/>
    </row>
    <row r="5843">
      <c r="A5843" s="308">
        <v>5842.0</v>
      </c>
      <c r="B5843" s="308"/>
      <c r="C5843" s="308" t="s">
        <v>23390</v>
      </c>
      <c r="D5843" s="308">
        <f>IFERROR(__xludf.DUMMYFUNCTION("SPLIT(C5843,""-"")"),5863.0)</f>
        <v>5863</v>
      </c>
      <c r="E5843" s="308" t="str">
        <f>IFERROR(__xludf.DUMMYFUNCTION("""COMPUTED_VALUE"""),"B")</f>
        <v>B</v>
      </c>
      <c r="F5843" s="315" t="s">
        <v>26</v>
      </c>
      <c r="G5843" s="308"/>
      <c r="H5843" s="308" t="s">
        <v>23391</v>
      </c>
      <c r="I5843" s="310">
        <v>41899.0</v>
      </c>
      <c r="J5843" s="319">
        <f>IFERROR(__xludf.DUMMYFUNCTION("SPLIT(I5843,""/"")"),17.0)</f>
        <v>17</v>
      </c>
      <c r="K5843" s="308">
        <f>IFERROR(__xludf.DUMMYFUNCTION("""COMPUTED_VALUE"""),9.0)</f>
        <v>9</v>
      </c>
      <c r="L5843" s="308">
        <f>IFERROR(__xludf.DUMMYFUNCTION("""COMPUTED_VALUE"""),2014.0)</f>
        <v>2014</v>
      </c>
      <c r="M5843" s="308" t="s">
        <v>23392</v>
      </c>
      <c r="N5843" s="308"/>
      <c r="O5843" s="308" t="s">
        <v>23393</v>
      </c>
      <c r="P5843" s="308" t="s">
        <v>38672</v>
      </c>
      <c r="Q5843" s="308" t="s">
        <v>38668</v>
      </c>
      <c r="R5843" s="308" t="s">
        <v>2743</v>
      </c>
      <c r="S5843" s="308" t="s">
        <v>49</v>
      </c>
      <c r="T5843" s="308" t="s">
        <v>51</v>
      </c>
      <c r="U5843" s="308" t="s">
        <v>27</v>
      </c>
      <c r="V5843" s="308"/>
    </row>
    <row r="5844">
      <c r="A5844" s="308">
        <v>5843.0</v>
      </c>
      <c r="B5844" s="308"/>
      <c r="C5844" s="308" t="s">
        <v>23395</v>
      </c>
      <c r="D5844" s="308">
        <f>IFERROR(__xludf.DUMMYFUNCTION("SPLIT(C5844,""-"")"),5864.0)</f>
        <v>5864</v>
      </c>
      <c r="E5844" s="308" t="str">
        <f>IFERROR(__xludf.DUMMYFUNCTION("""COMPUTED_VALUE"""),"B")</f>
        <v>B</v>
      </c>
      <c r="F5844" s="315" t="s">
        <v>26</v>
      </c>
      <c r="G5844" s="308"/>
      <c r="H5844" s="308" t="s">
        <v>23396</v>
      </c>
      <c r="I5844" s="310">
        <v>36761.0</v>
      </c>
      <c r="J5844" s="319">
        <f>IFERROR(__xludf.DUMMYFUNCTION("SPLIT(I5844,""/"")"),23.0)</f>
        <v>23</v>
      </c>
      <c r="K5844" s="308">
        <f>IFERROR(__xludf.DUMMYFUNCTION("""COMPUTED_VALUE"""),8.0)</f>
        <v>8</v>
      </c>
      <c r="L5844" s="308">
        <f>IFERROR(__xludf.DUMMYFUNCTION("""COMPUTED_VALUE"""),2000.0)</f>
        <v>2000</v>
      </c>
      <c r="M5844" s="308" t="s">
        <v>23397</v>
      </c>
      <c r="N5844" s="308"/>
      <c r="O5844" s="308"/>
      <c r="P5844" s="308" t="s">
        <v>38673</v>
      </c>
      <c r="Q5844" s="308" t="s">
        <v>38668</v>
      </c>
      <c r="R5844" s="308" t="s">
        <v>2743</v>
      </c>
      <c r="S5844" s="308" t="s">
        <v>81</v>
      </c>
      <c r="T5844" s="311" t="s">
        <v>96</v>
      </c>
      <c r="U5844" s="308" t="s">
        <v>27</v>
      </c>
      <c r="V5844" s="308"/>
    </row>
    <row r="5845">
      <c r="A5845" s="308">
        <v>5844.0</v>
      </c>
      <c r="B5845" s="308"/>
      <c r="C5845" s="308" t="s">
        <v>23399</v>
      </c>
      <c r="D5845" s="308">
        <f>IFERROR(__xludf.DUMMYFUNCTION("SPLIT(C5845,""-"")"),5865.0)</f>
        <v>5865</v>
      </c>
      <c r="E5845" s="308" t="str">
        <f>IFERROR(__xludf.DUMMYFUNCTION("""COMPUTED_VALUE"""),"I")</f>
        <v>I</v>
      </c>
      <c r="F5845" s="309" t="s">
        <v>31</v>
      </c>
      <c r="G5845" s="308"/>
      <c r="H5845" s="308" t="s">
        <v>23400</v>
      </c>
      <c r="I5845" s="310">
        <v>38563.0</v>
      </c>
      <c r="J5845" s="319">
        <f>IFERROR(__xludf.DUMMYFUNCTION("SPLIT(I5845,""/"")"),30.0)</f>
        <v>30</v>
      </c>
      <c r="K5845" s="308">
        <f>IFERROR(__xludf.DUMMYFUNCTION("""COMPUTED_VALUE"""),7.0)</f>
        <v>7</v>
      </c>
      <c r="L5845" s="308">
        <f>IFERROR(__xludf.DUMMYFUNCTION("""COMPUTED_VALUE"""),2005.0)</f>
        <v>2005</v>
      </c>
      <c r="M5845" s="308" t="s">
        <v>23401</v>
      </c>
      <c r="N5845" s="308"/>
      <c r="O5845" s="308" t="s">
        <v>38674</v>
      </c>
      <c r="P5845" s="308" t="s">
        <v>38675</v>
      </c>
      <c r="Q5845" s="308" t="s">
        <v>38676</v>
      </c>
      <c r="R5845" s="308" t="s">
        <v>2743</v>
      </c>
      <c r="S5845" s="308" t="s">
        <v>49</v>
      </c>
      <c r="T5845" s="308" t="s">
        <v>51</v>
      </c>
      <c r="U5845" s="308" t="s">
        <v>31</v>
      </c>
      <c r="V5845" s="308"/>
    </row>
    <row r="5846">
      <c r="A5846" s="308">
        <v>5845.0</v>
      </c>
      <c r="B5846" s="308"/>
      <c r="C5846" s="308" t="s">
        <v>23404</v>
      </c>
      <c r="D5846" s="308">
        <f>IFERROR(__xludf.DUMMYFUNCTION("SPLIT(C5846,""-"")"),5866.0)</f>
        <v>5866</v>
      </c>
      <c r="E5846" s="308" t="str">
        <f>IFERROR(__xludf.DUMMYFUNCTION("""COMPUTED_VALUE"""),"K")</f>
        <v>K</v>
      </c>
      <c r="F5846" s="309" t="s">
        <v>34</v>
      </c>
      <c r="G5846" s="308"/>
      <c r="H5846" s="308" t="s">
        <v>23405</v>
      </c>
      <c r="I5846" s="310">
        <v>37073.0</v>
      </c>
      <c r="J5846" s="319">
        <f>IFERROR(__xludf.DUMMYFUNCTION("SPLIT(I5846,""/"")"),1.0)</f>
        <v>1</v>
      </c>
      <c r="K5846" s="308">
        <f>IFERROR(__xludf.DUMMYFUNCTION("""COMPUTED_VALUE"""),7.0)</f>
        <v>7</v>
      </c>
      <c r="L5846" s="308">
        <f>IFERROR(__xludf.DUMMYFUNCTION("""COMPUTED_VALUE"""),2001.0)</f>
        <v>2001</v>
      </c>
      <c r="M5846" s="308" t="s">
        <v>23406</v>
      </c>
      <c r="N5846" s="308" t="s">
        <v>439</v>
      </c>
      <c r="O5846" s="308"/>
      <c r="P5846" s="308" t="s">
        <v>136</v>
      </c>
      <c r="Q5846" s="308" t="s">
        <v>38676</v>
      </c>
      <c r="R5846" s="308" t="s">
        <v>2743</v>
      </c>
      <c r="S5846" s="315" t="s">
        <v>100</v>
      </c>
      <c r="T5846" s="308" t="s">
        <v>34208</v>
      </c>
      <c r="U5846" s="308" t="s">
        <v>530</v>
      </c>
      <c r="V5846" s="308"/>
    </row>
    <row r="5847">
      <c r="A5847" s="308">
        <v>5846.0</v>
      </c>
      <c r="B5847" s="308"/>
      <c r="C5847" s="308" t="s">
        <v>23407</v>
      </c>
      <c r="D5847" s="308">
        <f>IFERROR(__xludf.DUMMYFUNCTION("SPLIT(C5847,""-"")"),5867.0)</f>
        <v>5867</v>
      </c>
      <c r="E5847" s="308" t="str">
        <f>IFERROR(__xludf.DUMMYFUNCTION("""COMPUTED_VALUE"""),"K")</f>
        <v>K</v>
      </c>
      <c r="F5847" s="309" t="s">
        <v>34</v>
      </c>
      <c r="G5847" s="308"/>
      <c r="H5847" s="308" t="s">
        <v>23408</v>
      </c>
      <c r="I5847" s="310">
        <v>37073.0</v>
      </c>
      <c r="J5847" s="319">
        <f>IFERROR(__xludf.DUMMYFUNCTION("SPLIT(I5847,""/"")"),1.0)</f>
        <v>1</v>
      </c>
      <c r="K5847" s="308">
        <f>IFERROR(__xludf.DUMMYFUNCTION("""COMPUTED_VALUE"""),7.0)</f>
        <v>7</v>
      </c>
      <c r="L5847" s="308">
        <f>IFERROR(__xludf.DUMMYFUNCTION("""COMPUTED_VALUE"""),2001.0)</f>
        <v>2001</v>
      </c>
      <c r="M5847" s="308" t="s">
        <v>23409</v>
      </c>
      <c r="N5847" s="308" t="s">
        <v>23410</v>
      </c>
      <c r="O5847" s="308" t="s">
        <v>38677</v>
      </c>
      <c r="P5847" s="308" t="s">
        <v>38678</v>
      </c>
      <c r="Q5847" s="308" t="s">
        <v>38676</v>
      </c>
      <c r="R5847" s="308" t="s">
        <v>2743</v>
      </c>
      <c r="S5847" s="308" t="s">
        <v>49</v>
      </c>
      <c r="T5847" s="311" t="s">
        <v>51</v>
      </c>
      <c r="U5847" s="308" t="s">
        <v>530</v>
      </c>
      <c r="V5847" s="308"/>
    </row>
    <row r="5848">
      <c r="A5848" s="308">
        <v>5847.0</v>
      </c>
      <c r="B5848" s="308"/>
      <c r="C5848" s="308" t="s">
        <v>23413</v>
      </c>
      <c r="D5848" s="308">
        <f>IFERROR(__xludf.DUMMYFUNCTION("SPLIT(C5848,""-"")"),5868.0)</f>
        <v>5868</v>
      </c>
      <c r="E5848" s="308" t="str">
        <f>IFERROR(__xludf.DUMMYFUNCTION("""COMPUTED_VALUE"""),"K")</f>
        <v>K</v>
      </c>
      <c r="F5848" s="309" t="s">
        <v>34</v>
      </c>
      <c r="G5848" s="308"/>
      <c r="H5848" s="308" t="s">
        <v>23414</v>
      </c>
      <c r="I5848" s="310">
        <v>41091.0</v>
      </c>
      <c r="J5848" s="319">
        <f>IFERROR(__xludf.DUMMYFUNCTION("SPLIT(I5848,""/"")"),1.0)</f>
        <v>1</v>
      </c>
      <c r="K5848" s="308">
        <f>IFERROR(__xludf.DUMMYFUNCTION("""COMPUTED_VALUE"""),7.0)</f>
        <v>7</v>
      </c>
      <c r="L5848" s="308">
        <f>IFERROR(__xludf.DUMMYFUNCTION("""COMPUTED_VALUE"""),2012.0)</f>
        <v>2012</v>
      </c>
      <c r="M5848" s="308" t="s">
        <v>23415</v>
      </c>
      <c r="N5848" s="308"/>
      <c r="O5848" s="308"/>
      <c r="P5848" s="308" t="s">
        <v>38679</v>
      </c>
      <c r="Q5848" s="308" t="s">
        <v>38676</v>
      </c>
      <c r="R5848" s="308" t="s">
        <v>2743</v>
      </c>
      <c r="S5848" s="308" t="s">
        <v>49</v>
      </c>
      <c r="T5848" s="308" t="s">
        <v>51</v>
      </c>
      <c r="U5848" s="308" t="s">
        <v>201</v>
      </c>
      <c r="V5848" s="308"/>
    </row>
    <row r="5849">
      <c r="A5849" s="308">
        <v>5848.0</v>
      </c>
      <c r="B5849" s="308"/>
      <c r="C5849" s="308" t="s">
        <v>23417</v>
      </c>
      <c r="D5849" s="308">
        <f>IFERROR(__xludf.DUMMYFUNCTION("SPLIT(C5849,""-"")"),5869.0)</f>
        <v>5869</v>
      </c>
      <c r="E5849" s="308" t="str">
        <f>IFERROR(__xludf.DUMMYFUNCTION("""COMPUTED_VALUE"""),"GB")</f>
        <v>GB</v>
      </c>
      <c r="F5849" s="315" t="s">
        <v>29</v>
      </c>
      <c r="G5849" s="308"/>
      <c r="H5849" s="308" t="s">
        <v>23418</v>
      </c>
      <c r="I5849" s="310">
        <v>43327.0</v>
      </c>
      <c r="J5849" s="319">
        <f>IFERROR(__xludf.DUMMYFUNCTION("SPLIT(I5849,""/"")"),15.0)</f>
        <v>15</v>
      </c>
      <c r="K5849" s="308">
        <f>IFERROR(__xludf.DUMMYFUNCTION("""COMPUTED_VALUE"""),8.0)</f>
        <v>8</v>
      </c>
      <c r="L5849" s="308">
        <f>IFERROR(__xludf.DUMMYFUNCTION("""COMPUTED_VALUE"""),2018.0)</f>
        <v>2018</v>
      </c>
      <c r="M5849" s="308" t="s">
        <v>38680</v>
      </c>
      <c r="N5849" s="308"/>
      <c r="O5849" s="308"/>
      <c r="P5849" s="308" t="s">
        <v>38681</v>
      </c>
      <c r="Q5849" s="308" t="s">
        <v>38676</v>
      </c>
      <c r="R5849" s="308" t="s">
        <v>2743</v>
      </c>
      <c r="S5849" s="308" t="s">
        <v>49</v>
      </c>
      <c r="T5849" s="308" t="s">
        <v>51</v>
      </c>
      <c r="U5849" s="308" t="s">
        <v>3528</v>
      </c>
      <c r="V5849" s="308"/>
    </row>
    <row r="5850">
      <c r="A5850" s="308">
        <v>5849.0</v>
      </c>
      <c r="B5850" s="308"/>
      <c r="C5850" s="308" t="s">
        <v>23421</v>
      </c>
      <c r="D5850" s="308">
        <f>IFERROR(__xludf.DUMMYFUNCTION("SPLIT(C5850,""-"")"),5870.0)</f>
        <v>5870</v>
      </c>
      <c r="E5850" s="308" t="str">
        <f>IFERROR(__xludf.DUMMYFUNCTION("""COMPUTED_VALUE"""),"P")</f>
        <v>P</v>
      </c>
      <c r="F5850" s="312" t="s">
        <v>37</v>
      </c>
      <c r="G5850" s="308"/>
      <c r="H5850" s="308" t="s">
        <v>23422</v>
      </c>
      <c r="I5850" s="316" t="s">
        <v>407</v>
      </c>
      <c r="J5850" s="319"/>
      <c r="K5850" s="308"/>
      <c r="L5850" s="311" t="s">
        <v>79</v>
      </c>
      <c r="M5850" s="308" t="s">
        <v>23423</v>
      </c>
      <c r="N5850" s="308"/>
      <c r="O5850" s="308" t="s">
        <v>23424</v>
      </c>
      <c r="P5850" s="308" t="s">
        <v>136</v>
      </c>
      <c r="Q5850" s="308" t="s">
        <v>38676</v>
      </c>
      <c r="R5850" s="308" t="s">
        <v>2743</v>
      </c>
      <c r="S5850" s="315" t="s">
        <v>100</v>
      </c>
      <c r="T5850" s="308" t="s">
        <v>34208</v>
      </c>
      <c r="U5850" s="308" t="s">
        <v>18270</v>
      </c>
      <c r="V5850" s="308"/>
    </row>
    <row r="5851">
      <c r="A5851" s="308">
        <v>5850.0</v>
      </c>
      <c r="B5851" s="308"/>
      <c r="C5851" s="308" t="s">
        <v>23425</v>
      </c>
      <c r="D5851" s="308">
        <f>IFERROR(__xludf.DUMMYFUNCTION("SPLIT(C5851,""-"")"),5871.0)</f>
        <v>5871</v>
      </c>
      <c r="E5851" s="308" t="str">
        <f>IFERROR(__xludf.DUMMYFUNCTION("""COMPUTED_VALUE"""),"S")</f>
        <v>S</v>
      </c>
      <c r="F5851" s="312" t="s">
        <v>39</v>
      </c>
      <c r="G5851" s="308"/>
      <c r="H5851" s="308" t="s">
        <v>23426</v>
      </c>
      <c r="I5851" s="310">
        <v>42808.0</v>
      </c>
      <c r="J5851" s="319">
        <f>IFERROR(__xludf.DUMMYFUNCTION("SPLIT(I5851,""/"")"),14.0)</f>
        <v>14</v>
      </c>
      <c r="K5851" s="308">
        <f>IFERROR(__xludf.DUMMYFUNCTION("""COMPUTED_VALUE"""),3.0)</f>
        <v>3</v>
      </c>
      <c r="L5851" s="308">
        <f>IFERROR(__xludf.DUMMYFUNCTION("""COMPUTED_VALUE"""),2017.0)</f>
        <v>2017</v>
      </c>
      <c r="M5851" s="308" t="s">
        <v>23427</v>
      </c>
      <c r="N5851" s="308"/>
      <c r="O5851" s="308"/>
      <c r="P5851" s="308" t="s">
        <v>38682</v>
      </c>
      <c r="Q5851" s="308" t="s">
        <v>38683</v>
      </c>
      <c r="R5851" s="308" t="s">
        <v>2743</v>
      </c>
      <c r="S5851" s="308" t="s">
        <v>49</v>
      </c>
      <c r="T5851" s="311" t="s">
        <v>51</v>
      </c>
      <c r="U5851" s="308" t="s">
        <v>12947</v>
      </c>
      <c r="V5851" s="308"/>
    </row>
    <row r="5852">
      <c r="A5852" s="308">
        <v>5851.0</v>
      </c>
      <c r="B5852" s="308"/>
      <c r="C5852" s="308" t="s">
        <v>23429</v>
      </c>
      <c r="D5852" s="308">
        <f>IFERROR(__xludf.DUMMYFUNCTION("SPLIT(C5852,""-"")"),5872.0)</f>
        <v>5872</v>
      </c>
      <c r="E5852" s="308" t="str">
        <f>IFERROR(__xludf.DUMMYFUNCTION("""COMPUTED_VALUE"""),"B")</f>
        <v>B</v>
      </c>
      <c r="F5852" s="315" t="s">
        <v>26</v>
      </c>
      <c r="G5852" s="308"/>
      <c r="H5852" s="308" t="s">
        <v>23430</v>
      </c>
      <c r="I5852" s="310">
        <v>42181.0</v>
      </c>
      <c r="J5852" s="319">
        <f>IFERROR(__xludf.DUMMYFUNCTION("SPLIT(I5852,""/"")"),26.0)</f>
        <v>26</v>
      </c>
      <c r="K5852" s="308">
        <f>IFERROR(__xludf.DUMMYFUNCTION("""COMPUTED_VALUE"""),6.0)</f>
        <v>6</v>
      </c>
      <c r="L5852" s="308">
        <f>IFERROR(__xludf.DUMMYFUNCTION("""COMPUTED_VALUE"""),2015.0)</f>
        <v>2015</v>
      </c>
      <c r="M5852" s="308" t="s">
        <v>23431</v>
      </c>
      <c r="N5852" s="308"/>
      <c r="O5852" s="308"/>
      <c r="P5852" s="308" t="s">
        <v>38684</v>
      </c>
      <c r="Q5852" s="308" t="s">
        <v>38683</v>
      </c>
      <c r="R5852" s="308" t="s">
        <v>2743</v>
      </c>
      <c r="S5852" s="308" t="s">
        <v>49</v>
      </c>
      <c r="T5852" s="311" t="s">
        <v>51</v>
      </c>
      <c r="U5852" s="308" t="s">
        <v>27</v>
      </c>
      <c r="V5852" s="308"/>
    </row>
    <row r="5853">
      <c r="A5853" s="308">
        <v>5852.0</v>
      </c>
      <c r="B5853" s="308"/>
      <c r="C5853" s="308" t="s">
        <v>23433</v>
      </c>
      <c r="D5853" s="308">
        <f>IFERROR(__xludf.DUMMYFUNCTION("SPLIT(C5853,""-"")"),5873.0)</f>
        <v>5873</v>
      </c>
      <c r="E5853" s="308" t="str">
        <f>IFERROR(__xludf.DUMMYFUNCTION("""COMPUTED_VALUE"""),"K")</f>
        <v>K</v>
      </c>
      <c r="F5853" s="309" t="s">
        <v>34</v>
      </c>
      <c r="G5853" s="308"/>
      <c r="H5853" s="308" t="s">
        <v>23434</v>
      </c>
      <c r="I5853" s="310">
        <v>40327.0</v>
      </c>
      <c r="J5853" s="319">
        <f>IFERROR(__xludf.DUMMYFUNCTION("SPLIT(I5853,""/"")"),29.0)</f>
        <v>29</v>
      </c>
      <c r="K5853" s="308">
        <f>IFERROR(__xludf.DUMMYFUNCTION("""COMPUTED_VALUE"""),5.0)</f>
        <v>5</v>
      </c>
      <c r="L5853" s="308">
        <f>IFERROR(__xludf.DUMMYFUNCTION("""COMPUTED_VALUE"""),2010.0)</f>
        <v>2010</v>
      </c>
      <c r="M5853" s="308" t="s">
        <v>38685</v>
      </c>
      <c r="N5853" s="308" t="s">
        <v>439</v>
      </c>
      <c r="O5853" s="308"/>
      <c r="P5853" s="308" t="s">
        <v>136</v>
      </c>
      <c r="Q5853" s="308" t="s">
        <v>38683</v>
      </c>
      <c r="R5853" s="308" t="s">
        <v>2743</v>
      </c>
      <c r="S5853" s="315" t="s">
        <v>100</v>
      </c>
      <c r="T5853" s="308" t="s">
        <v>34208</v>
      </c>
      <c r="U5853" s="308" t="s">
        <v>530</v>
      </c>
      <c r="V5853" s="308"/>
    </row>
    <row r="5854">
      <c r="A5854" s="308">
        <v>5853.0</v>
      </c>
      <c r="B5854" s="308"/>
      <c r="C5854" s="308" t="s">
        <v>23436</v>
      </c>
      <c r="D5854" s="308">
        <f>IFERROR(__xludf.DUMMYFUNCTION("SPLIT(C5854,""-"")"),5874.0)</f>
        <v>5874</v>
      </c>
      <c r="E5854" s="308" t="str">
        <f>IFERROR(__xludf.DUMMYFUNCTION("""COMPUTED_VALUE"""),"K")</f>
        <v>K</v>
      </c>
      <c r="F5854" s="309" t="s">
        <v>34</v>
      </c>
      <c r="G5854" s="308"/>
      <c r="H5854" s="308" t="s">
        <v>23437</v>
      </c>
      <c r="I5854" s="310">
        <v>39630.0</v>
      </c>
      <c r="J5854" s="319">
        <f>IFERROR(__xludf.DUMMYFUNCTION("SPLIT(I5854,""/"")"),1.0)</f>
        <v>1</v>
      </c>
      <c r="K5854" s="308">
        <f>IFERROR(__xludf.DUMMYFUNCTION("""COMPUTED_VALUE"""),7.0)</f>
        <v>7</v>
      </c>
      <c r="L5854" s="308">
        <f>IFERROR(__xludf.DUMMYFUNCTION("""COMPUTED_VALUE"""),2008.0)</f>
        <v>2008</v>
      </c>
      <c r="M5854" s="308" t="s">
        <v>23438</v>
      </c>
      <c r="N5854" s="308" t="s">
        <v>23439</v>
      </c>
      <c r="O5854" s="308"/>
      <c r="P5854" s="308" t="s">
        <v>136</v>
      </c>
      <c r="Q5854" s="308" t="s">
        <v>38683</v>
      </c>
      <c r="R5854" s="308" t="s">
        <v>2743</v>
      </c>
      <c r="S5854" s="315" t="s">
        <v>100</v>
      </c>
      <c r="T5854" s="308" t="s">
        <v>34208</v>
      </c>
      <c r="U5854" s="308" t="s">
        <v>530</v>
      </c>
      <c r="V5854" s="308"/>
    </row>
    <row r="5855">
      <c r="A5855" s="308">
        <v>5854.0</v>
      </c>
      <c r="B5855" s="308"/>
      <c r="C5855" s="308" t="s">
        <v>23440</v>
      </c>
      <c r="D5855" s="308">
        <f>IFERROR(__xludf.DUMMYFUNCTION("SPLIT(C5855,""-"")"),5875.0)</f>
        <v>5875</v>
      </c>
      <c r="E5855" s="308" t="str">
        <f>IFERROR(__xludf.DUMMYFUNCTION("""COMPUTED_VALUE"""),"K")</f>
        <v>K</v>
      </c>
      <c r="F5855" s="309" t="s">
        <v>34</v>
      </c>
      <c r="G5855" s="308"/>
      <c r="H5855" s="308" t="s">
        <v>23441</v>
      </c>
      <c r="I5855" s="310">
        <v>42186.0</v>
      </c>
      <c r="J5855" s="319">
        <f>IFERROR(__xludf.DUMMYFUNCTION("SPLIT(I5855,""/"")"),1.0)</f>
        <v>1</v>
      </c>
      <c r="K5855" s="308">
        <f>IFERROR(__xludf.DUMMYFUNCTION("""COMPUTED_VALUE"""),7.0)</f>
        <v>7</v>
      </c>
      <c r="L5855" s="308">
        <f>IFERROR(__xludf.DUMMYFUNCTION("""COMPUTED_VALUE"""),2015.0)</f>
        <v>2015</v>
      </c>
      <c r="M5855" s="308" t="s">
        <v>38686</v>
      </c>
      <c r="N5855" s="308"/>
      <c r="O5855" s="308"/>
      <c r="P5855" s="308" t="s">
        <v>136</v>
      </c>
      <c r="Q5855" s="308" t="s">
        <v>38687</v>
      </c>
      <c r="R5855" s="308" t="s">
        <v>2743</v>
      </c>
      <c r="S5855" s="315" t="s">
        <v>100</v>
      </c>
      <c r="T5855" s="308" t="s">
        <v>34208</v>
      </c>
      <c r="U5855" s="308" t="s">
        <v>368</v>
      </c>
      <c r="V5855" s="308"/>
    </row>
    <row r="5856">
      <c r="A5856" s="308">
        <v>5855.0</v>
      </c>
      <c r="B5856" s="308"/>
      <c r="C5856" s="308" t="s">
        <v>23443</v>
      </c>
      <c r="D5856" s="308">
        <f>IFERROR(__xludf.DUMMYFUNCTION("SPLIT(C5856,""-"")"),5876.0)</f>
        <v>5876</v>
      </c>
      <c r="E5856" s="308" t="str">
        <f>IFERROR(__xludf.DUMMYFUNCTION("""COMPUTED_VALUE"""),"S")</f>
        <v>S</v>
      </c>
      <c r="F5856" s="312" t="s">
        <v>39</v>
      </c>
      <c r="G5856" s="308"/>
      <c r="H5856" s="308" t="s">
        <v>23444</v>
      </c>
      <c r="I5856" s="310">
        <v>43119.0</v>
      </c>
      <c r="J5856" s="319">
        <f>IFERROR(__xludf.DUMMYFUNCTION("SPLIT(I5856,""/"")"),19.0)</f>
        <v>19</v>
      </c>
      <c r="K5856" s="308">
        <f>IFERROR(__xludf.DUMMYFUNCTION("""COMPUTED_VALUE"""),1.0)</f>
        <v>1</v>
      </c>
      <c r="L5856" s="308">
        <f>IFERROR(__xludf.DUMMYFUNCTION("""COMPUTED_VALUE"""),2018.0)</f>
        <v>2018</v>
      </c>
      <c r="M5856" s="308" t="s">
        <v>23445</v>
      </c>
      <c r="N5856" s="308"/>
      <c r="O5856" s="308"/>
      <c r="P5856" s="308" t="s">
        <v>38688</v>
      </c>
      <c r="Q5856" s="308" t="s">
        <v>38687</v>
      </c>
      <c r="R5856" s="308" t="s">
        <v>2743</v>
      </c>
      <c r="S5856" s="308" t="s">
        <v>81</v>
      </c>
      <c r="T5856" s="308" t="s">
        <v>34264</v>
      </c>
      <c r="U5856" s="308" t="s">
        <v>166</v>
      </c>
      <c r="V5856" s="308"/>
    </row>
    <row r="5857">
      <c r="A5857" s="308">
        <v>5856.0</v>
      </c>
      <c r="B5857" s="308"/>
      <c r="C5857" s="308" t="s">
        <v>23447</v>
      </c>
      <c r="D5857" s="308">
        <f>IFERROR(__xludf.DUMMYFUNCTION("SPLIT(C5857,""-"")"),5877.0)</f>
        <v>5877</v>
      </c>
      <c r="E5857" s="308" t="str">
        <f>IFERROR(__xludf.DUMMYFUNCTION("""COMPUTED_VALUE"""),"S")</f>
        <v>S</v>
      </c>
      <c r="F5857" s="312" t="s">
        <v>39</v>
      </c>
      <c r="G5857" s="308"/>
      <c r="H5857" s="308" t="s">
        <v>23448</v>
      </c>
      <c r="I5857" s="310">
        <v>43119.0</v>
      </c>
      <c r="J5857" s="319">
        <f>IFERROR(__xludf.DUMMYFUNCTION("SPLIT(I5857,""/"")"),19.0)</f>
        <v>19</v>
      </c>
      <c r="K5857" s="308">
        <f>IFERROR(__xludf.DUMMYFUNCTION("""COMPUTED_VALUE"""),1.0)</f>
        <v>1</v>
      </c>
      <c r="L5857" s="308">
        <f>IFERROR(__xludf.DUMMYFUNCTION("""COMPUTED_VALUE"""),2018.0)</f>
        <v>2018</v>
      </c>
      <c r="M5857" s="308" t="s">
        <v>23445</v>
      </c>
      <c r="N5857" s="308"/>
      <c r="O5857" s="308"/>
      <c r="P5857" s="308" t="s">
        <v>38689</v>
      </c>
      <c r="Q5857" s="308" t="s">
        <v>38687</v>
      </c>
      <c r="R5857" s="308" t="s">
        <v>2743</v>
      </c>
      <c r="S5857" s="308" t="s">
        <v>81</v>
      </c>
      <c r="T5857" s="308" t="s">
        <v>75</v>
      </c>
      <c r="U5857" s="308" t="s">
        <v>166</v>
      </c>
      <c r="V5857" s="308"/>
    </row>
    <row r="5858">
      <c r="A5858" s="308">
        <v>5857.0</v>
      </c>
      <c r="B5858" s="308"/>
      <c r="C5858" s="308" t="s">
        <v>23450</v>
      </c>
      <c r="D5858" s="308">
        <f>IFERROR(__xludf.DUMMYFUNCTION("SPLIT(C5858,""-"")"),5878.0)</f>
        <v>5878</v>
      </c>
      <c r="E5858" s="308" t="str">
        <f>IFERROR(__xludf.DUMMYFUNCTION("""COMPUTED_VALUE"""),"F")</f>
        <v>F</v>
      </c>
      <c r="F5858" s="309" t="s">
        <v>34</v>
      </c>
      <c r="G5858" s="308"/>
      <c r="H5858" s="308" t="s">
        <v>23451</v>
      </c>
      <c r="I5858" s="310">
        <v>41333.0</v>
      </c>
      <c r="J5858" s="319">
        <f>IFERROR(__xludf.DUMMYFUNCTION("SPLIT(I5858,""/"")"),28.0)</f>
        <v>28</v>
      </c>
      <c r="K5858" s="308">
        <f>IFERROR(__xludf.DUMMYFUNCTION("""COMPUTED_VALUE"""),2.0)</f>
        <v>2</v>
      </c>
      <c r="L5858" s="308">
        <f>IFERROR(__xludf.DUMMYFUNCTION("""COMPUTED_VALUE"""),2013.0)</f>
        <v>2013</v>
      </c>
      <c r="M5858" s="308" t="s">
        <v>23452</v>
      </c>
      <c r="N5858" s="308"/>
      <c r="O5858" s="308"/>
      <c r="P5858" s="308" t="s">
        <v>136</v>
      </c>
      <c r="Q5858" s="308" t="s">
        <v>38687</v>
      </c>
      <c r="R5858" s="308" t="s">
        <v>2743</v>
      </c>
      <c r="S5858" s="315" t="s">
        <v>100</v>
      </c>
      <c r="T5858" s="308" t="s">
        <v>34208</v>
      </c>
      <c r="U5858" s="308" t="s">
        <v>195</v>
      </c>
      <c r="V5858" s="308"/>
    </row>
    <row r="5859">
      <c r="A5859" s="308">
        <v>5858.0</v>
      </c>
      <c r="B5859" s="308"/>
      <c r="C5859" s="308" t="s">
        <v>23453</v>
      </c>
      <c r="D5859" s="308">
        <f>IFERROR(__xludf.DUMMYFUNCTION("SPLIT(C5859,""-"")"),5879.0)</f>
        <v>5879</v>
      </c>
      <c r="E5859" s="308" t="str">
        <f>IFERROR(__xludf.DUMMYFUNCTION("""COMPUTED_VALUE"""),"S")</f>
        <v>S</v>
      </c>
      <c r="F5859" s="312" t="s">
        <v>39</v>
      </c>
      <c r="G5859" s="308"/>
      <c r="H5859" s="308" t="s">
        <v>23454</v>
      </c>
      <c r="I5859" s="314">
        <v>43062.0</v>
      </c>
      <c r="J5859" s="319">
        <f>IFERROR(__xludf.DUMMYFUNCTION("SPLIT(I5859,""/"")"),23.0)</f>
        <v>23</v>
      </c>
      <c r="K5859" s="308">
        <f>IFERROR(__xludf.DUMMYFUNCTION("""COMPUTED_VALUE"""),11.0)</f>
        <v>11</v>
      </c>
      <c r="L5859" s="308">
        <f>IFERROR(__xludf.DUMMYFUNCTION("""COMPUTED_VALUE"""),2017.0)</f>
        <v>2017</v>
      </c>
      <c r="M5859" s="308" t="s">
        <v>23455</v>
      </c>
      <c r="N5859" s="308"/>
      <c r="O5859" s="308"/>
      <c r="P5859" s="308" t="s">
        <v>136</v>
      </c>
      <c r="Q5859" s="308" t="s">
        <v>38687</v>
      </c>
      <c r="R5859" s="308" t="s">
        <v>2743</v>
      </c>
      <c r="S5859" s="315" t="s">
        <v>100</v>
      </c>
      <c r="T5859" s="308" t="s">
        <v>34208</v>
      </c>
      <c r="U5859" s="308" t="s">
        <v>166</v>
      </c>
      <c r="V5859" s="308"/>
    </row>
    <row r="5860">
      <c r="A5860" s="308">
        <v>5859.0</v>
      </c>
      <c r="B5860" s="308"/>
      <c r="C5860" s="308" t="s">
        <v>23456</v>
      </c>
      <c r="D5860" s="308">
        <f>IFERROR(__xludf.DUMMYFUNCTION("SPLIT(C5860,""-"")"),5880.0)</f>
        <v>5880</v>
      </c>
      <c r="E5860" s="308" t="str">
        <f>IFERROR(__xludf.DUMMYFUNCTION("""COMPUTED_VALUE"""),"K")</f>
        <v>K</v>
      </c>
      <c r="F5860" s="309" t="s">
        <v>34</v>
      </c>
      <c r="G5860" s="308"/>
      <c r="H5860" s="308" t="s">
        <v>23457</v>
      </c>
      <c r="I5860" s="310">
        <v>43517.0</v>
      </c>
      <c r="J5860" s="319">
        <f>IFERROR(__xludf.DUMMYFUNCTION("SPLIT(I5860,""/"")"),21.0)</f>
        <v>21</v>
      </c>
      <c r="K5860" s="308">
        <f>IFERROR(__xludf.DUMMYFUNCTION("""COMPUTED_VALUE"""),2.0)</f>
        <v>2</v>
      </c>
      <c r="L5860" s="308">
        <f>IFERROR(__xludf.DUMMYFUNCTION("""COMPUTED_VALUE"""),2019.0)</f>
        <v>2019</v>
      </c>
      <c r="M5860" s="308" t="s">
        <v>23458</v>
      </c>
      <c r="N5860" s="308"/>
      <c r="O5860" s="308"/>
      <c r="P5860" s="308" t="s">
        <v>23459</v>
      </c>
      <c r="Q5860" s="308" t="s">
        <v>38687</v>
      </c>
      <c r="R5860" s="308" t="s">
        <v>2743</v>
      </c>
      <c r="S5860" s="308" t="s">
        <v>81</v>
      </c>
      <c r="T5860" s="308" t="s">
        <v>75</v>
      </c>
      <c r="U5860" s="308" t="s">
        <v>201</v>
      </c>
      <c r="V5860" s="308"/>
    </row>
    <row r="5861">
      <c r="A5861" s="308">
        <v>5860.0</v>
      </c>
      <c r="B5861" s="308"/>
      <c r="C5861" s="308" t="s">
        <v>23460</v>
      </c>
      <c r="D5861" s="308">
        <f>IFERROR(__xludf.DUMMYFUNCTION("SPLIT(C5861,""-"")"),5881.0)</f>
        <v>5881</v>
      </c>
      <c r="E5861" s="308" t="str">
        <f>IFERROR(__xludf.DUMMYFUNCTION("""COMPUTED_VALUE"""),"P")</f>
        <v>P</v>
      </c>
      <c r="F5861" s="312" t="s">
        <v>37</v>
      </c>
      <c r="G5861" s="308"/>
      <c r="H5861" s="308" t="s">
        <v>23461</v>
      </c>
      <c r="I5861" s="310">
        <v>43485.0</v>
      </c>
      <c r="J5861" s="319">
        <f>IFERROR(__xludf.DUMMYFUNCTION("SPLIT(I5861,""/"")"),20.0)</f>
        <v>20</v>
      </c>
      <c r="K5861" s="308">
        <f>IFERROR(__xludf.DUMMYFUNCTION("""COMPUTED_VALUE"""),1.0)</f>
        <v>1</v>
      </c>
      <c r="L5861" s="308">
        <f>IFERROR(__xludf.DUMMYFUNCTION("""COMPUTED_VALUE"""),2019.0)</f>
        <v>2019</v>
      </c>
      <c r="M5861" s="308" t="s">
        <v>23462</v>
      </c>
      <c r="N5861" s="308"/>
      <c r="O5861" s="308"/>
      <c r="P5861" s="308" t="s">
        <v>38690</v>
      </c>
      <c r="Q5861" s="308" t="s">
        <v>38691</v>
      </c>
      <c r="R5861" s="308" t="s">
        <v>16185</v>
      </c>
      <c r="S5861" s="308" t="s">
        <v>81</v>
      </c>
      <c r="T5861" s="308" t="s">
        <v>73</v>
      </c>
      <c r="U5861" s="308" t="s">
        <v>143</v>
      </c>
      <c r="V5861" s="308"/>
    </row>
    <row r="5862">
      <c r="A5862" s="308">
        <v>5861.0</v>
      </c>
      <c r="B5862" s="308"/>
      <c r="C5862" s="308" t="s">
        <v>23464</v>
      </c>
      <c r="D5862" s="308">
        <f>IFERROR(__xludf.DUMMYFUNCTION("SPLIT(C5862,""-"")"),5882.0)</f>
        <v>5882</v>
      </c>
      <c r="E5862" s="308" t="str">
        <f>IFERROR(__xludf.DUMMYFUNCTION("""COMPUTED_VALUE"""),"P")</f>
        <v>P</v>
      </c>
      <c r="F5862" s="312" t="s">
        <v>37</v>
      </c>
      <c r="G5862" s="308"/>
      <c r="H5862" s="308" t="s">
        <v>23465</v>
      </c>
      <c r="I5862" s="310">
        <v>43528.0</v>
      </c>
      <c r="J5862" s="319">
        <f>IFERROR(__xludf.DUMMYFUNCTION("SPLIT(I5862,""/"")"),4.0)</f>
        <v>4</v>
      </c>
      <c r="K5862" s="308">
        <f>IFERROR(__xludf.DUMMYFUNCTION("""COMPUTED_VALUE"""),3.0)</f>
        <v>3</v>
      </c>
      <c r="L5862" s="308">
        <f>IFERROR(__xludf.DUMMYFUNCTION("""COMPUTED_VALUE"""),2019.0)</f>
        <v>2019</v>
      </c>
      <c r="M5862" s="308" t="s">
        <v>23466</v>
      </c>
      <c r="N5862" s="308"/>
      <c r="O5862" s="308"/>
      <c r="P5862" s="308" t="s">
        <v>38692</v>
      </c>
      <c r="Q5862" s="308" t="s">
        <v>38693</v>
      </c>
      <c r="R5862" s="308" t="s">
        <v>2743</v>
      </c>
      <c r="S5862" s="308" t="s">
        <v>81</v>
      </c>
      <c r="T5862" s="308" t="s">
        <v>75</v>
      </c>
      <c r="U5862" s="308" t="s">
        <v>143</v>
      </c>
      <c r="V5862" s="308"/>
    </row>
    <row r="5863">
      <c r="A5863" s="308">
        <v>5862.0</v>
      </c>
      <c r="B5863" s="308"/>
      <c r="C5863" s="308" t="s">
        <v>23468</v>
      </c>
      <c r="D5863" s="308">
        <f>IFERROR(__xludf.DUMMYFUNCTION("SPLIT(C5863,""-"")"),5883.0)</f>
        <v>5883</v>
      </c>
      <c r="E5863" s="308" t="str">
        <f>IFERROR(__xludf.DUMMYFUNCTION("""COMPUTED_VALUE"""),"P")</f>
        <v>P</v>
      </c>
      <c r="F5863" s="312" t="s">
        <v>37</v>
      </c>
      <c r="G5863" s="308"/>
      <c r="H5863" s="308" t="s">
        <v>23469</v>
      </c>
      <c r="I5863" s="310">
        <v>37438.0</v>
      </c>
      <c r="J5863" s="319">
        <f>IFERROR(__xludf.DUMMYFUNCTION("SPLIT(I5863,""/"")"),1.0)</f>
        <v>1</v>
      </c>
      <c r="K5863" s="308">
        <f>IFERROR(__xludf.DUMMYFUNCTION("""COMPUTED_VALUE"""),7.0)</f>
        <v>7</v>
      </c>
      <c r="L5863" s="308">
        <f>IFERROR(__xludf.DUMMYFUNCTION("""COMPUTED_VALUE"""),2002.0)</f>
        <v>2002</v>
      </c>
      <c r="M5863" s="308" t="s">
        <v>23470</v>
      </c>
      <c r="N5863" s="308"/>
      <c r="O5863" s="308"/>
      <c r="P5863" s="308" t="s">
        <v>38694</v>
      </c>
      <c r="Q5863" s="308" t="s">
        <v>38693</v>
      </c>
      <c r="R5863" s="308" t="s">
        <v>2743</v>
      </c>
      <c r="S5863" s="308" t="s">
        <v>49</v>
      </c>
      <c r="T5863" s="311" t="s">
        <v>51</v>
      </c>
      <c r="U5863" s="308" t="s">
        <v>1435</v>
      </c>
      <c r="V5863" s="308"/>
    </row>
    <row r="5864">
      <c r="A5864" s="308">
        <v>5863.0</v>
      </c>
      <c r="B5864" s="308"/>
      <c r="C5864" s="308" t="s">
        <v>23472</v>
      </c>
      <c r="D5864" s="308">
        <f>IFERROR(__xludf.DUMMYFUNCTION("SPLIT(C5864,""-"")"),5884.0)</f>
        <v>5884</v>
      </c>
      <c r="E5864" s="308" t="str">
        <f>IFERROR(__xludf.DUMMYFUNCTION("""COMPUTED_VALUE"""),"K")</f>
        <v>K</v>
      </c>
      <c r="F5864" s="309" t="s">
        <v>34</v>
      </c>
      <c r="G5864" s="308"/>
      <c r="H5864" s="308" t="s">
        <v>23473</v>
      </c>
      <c r="I5864" s="310">
        <v>43284.0</v>
      </c>
      <c r="J5864" s="319">
        <f>IFERROR(__xludf.DUMMYFUNCTION("SPLIT(I5864,""/"")"),3.0)</f>
        <v>3</v>
      </c>
      <c r="K5864" s="308">
        <f>IFERROR(__xludf.DUMMYFUNCTION("""COMPUTED_VALUE"""),7.0)</f>
        <v>7</v>
      </c>
      <c r="L5864" s="308">
        <f>IFERROR(__xludf.DUMMYFUNCTION("""COMPUTED_VALUE"""),2018.0)</f>
        <v>2018</v>
      </c>
      <c r="M5864" s="308" t="s">
        <v>23474</v>
      </c>
      <c r="N5864" s="308"/>
      <c r="O5864" s="308"/>
      <c r="P5864" s="308" t="s">
        <v>38695</v>
      </c>
      <c r="Q5864" s="308" t="s">
        <v>38693</v>
      </c>
      <c r="R5864" s="308" t="s">
        <v>2743</v>
      </c>
      <c r="S5864" s="308" t="s">
        <v>81</v>
      </c>
      <c r="T5864" s="308" t="s">
        <v>34264</v>
      </c>
      <c r="U5864" s="308" t="s">
        <v>125</v>
      </c>
      <c r="V5864" s="308"/>
    </row>
    <row r="5865">
      <c r="A5865" s="308">
        <v>5864.0</v>
      </c>
      <c r="B5865" s="308"/>
      <c r="C5865" s="308" t="s">
        <v>23476</v>
      </c>
      <c r="D5865" s="308">
        <f>IFERROR(__xludf.DUMMYFUNCTION("SPLIT(C5865,""-"")"),5885.0)</f>
        <v>5885</v>
      </c>
      <c r="E5865" s="308" t="str">
        <f>IFERROR(__xludf.DUMMYFUNCTION("""COMPUTED_VALUE"""),"P")</f>
        <v>P</v>
      </c>
      <c r="F5865" s="312" t="s">
        <v>37</v>
      </c>
      <c r="G5865" s="308"/>
      <c r="H5865" s="308" t="s">
        <v>23477</v>
      </c>
      <c r="I5865" s="310">
        <v>42755.0</v>
      </c>
      <c r="J5865" s="319">
        <f>IFERROR(__xludf.DUMMYFUNCTION("SPLIT(I5865,""/"")"),20.0)</f>
        <v>20</v>
      </c>
      <c r="K5865" s="308">
        <f>IFERROR(__xludf.DUMMYFUNCTION("""COMPUTED_VALUE"""),1.0)</f>
        <v>1</v>
      </c>
      <c r="L5865" s="308">
        <f>IFERROR(__xludf.DUMMYFUNCTION("""COMPUTED_VALUE"""),2017.0)</f>
        <v>2017</v>
      </c>
      <c r="M5865" s="308" t="s">
        <v>23478</v>
      </c>
      <c r="N5865" s="308"/>
      <c r="O5865" s="308"/>
      <c r="P5865" s="308" t="s">
        <v>38696</v>
      </c>
      <c r="Q5865" s="308" t="s">
        <v>38697</v>
      </c>
      <c r="R5865" s="308" t="s">
        <v>2743</v>
      </c>
      <c r="S5865" s="308" t="s">
        <v>81</v>
      </c>
      <c r="T5865" s="311" t="s">
        <v>35043</v>
      </c>
      <c r="U5865" s="308" t="s">
        <v>15909</v>
      </c>
      <c r="V5865" s="308"/>
    </row>
    <row r="5866">
      <c r="A5866" s="308">
        <v>5865.0</v>
      </c>
      <c r="B5866" s="308"/>
      <c r="C5866" s="308" t="s">
        <v>23480</v>
      </c>
      <c r="D5866" s="308">
        <f>IFERROR(__xludf.DUMMYFUNCTION("SPLIT(C5866,""-"")"),5886.0)</f>
        <v>5886</v>
      </c>
      <c r="E5866" s="308" t="str">
        <f>IFERROR(__xludf.DUMMYFUNCTION("""COMPUTED_VALUE"""),"K")</f>
        <v>K</v>
      </c>
      <c r="F5866" s="309" t="s">
        <v>34</v>
      </c>
      <c r="G5866" s="308"/>
      <c r="H5866" s="308" t="s">
        <v>23481</v>
      </c>
      <c r="I5866" s="310">
        <v>41526.0</v>
      </c>
      <c r="J5866" s="319">
        <f>IFERROR(__xludf.DUMMYFUNCTION("SPLIT(I5866,""/"")"),9.0)</f>
        <v>9</v>
      </c>
      <c r="K5866" s="308">
        <f>IFERROR(__xludf.DUMMYFUNCTION("""COMPUTED_VALUE"""),9.0)</f>
        <v>9</v>
      </c>
      <c r="L5866" s="308">
        <f>IFERROR(__xludf.DUMMYFUNCTION("""COMPUTED_VALUE"""),2013.0)</f>
        <v>2013</v>
      </c>
      <c r="M5866" s="308" t="s">
        <v>23482</v>
      </c>
      <c r="N5866" s="308"/>
      <c r="O5866" s="308"/>
      <c r="P5866" s="308" t="s">
        <v>23483</v>
      </c>
      <c r="Q5866" s="308" t="s">
        <v>38697</v>
      </c>
      <c r="R5866" s="308" t="s">
        <v>2743</v>
      </c>
      <c r="S5866" s="308" t="s">
        <v>81</v>
      </c>
      <c r="T5866" s="308" t="s">
        <v>34264</v>
      </c>
      <c r="U5866" s="308" t="s">
        <v>2466</v>
      </c>
      <c r="V5866" s="308"/>
    </row>
    <row r="5867">
      <c r="A5867" s="308">
        <v>5866.0</v>
      </c>
      <c r="B5867" s="308"/>
      <c r="C5867" s="308" t="s">
        <v>23484</v>
      </c>
      <c r="D5867" s="308">
        <f>IFERROR(__xludf.DUMMYFUNCTION("SPLIT(C5867,""-"")"),5887.0)</f>
        <v>5887</v>
      </c>
      <c r="E5867" s="308" t="str">
        <f>IFERROR(__xludf.DUMMYFUNCTION("""COMPUTED_VALUE"""),"K")</f>
        <v>K</v>
      </c>
      <c r="F5867" s="309" t="s">
        <v>34</v>
      </c>
      <c r="G5867" s="308"/>
      <c r="H5867" s="308" t="s">
        <v>23485</v>
      </c>
      <c r="I5867" s="310">
        <v>41526.0</v>
      </c>
      <c r="J5867" s="319">
        <f>IFERROR(__xludf.DUMMYFUNCTION("SPLIT(I5867,""/"")"),9.0)</f>
        <v>9</v>
      </c>
      <c r="K5867" s="308">
        <f>IFERROR(__xludf.DUMMYFUNCTION("""COMPUTED_VALUE"""),9.0)</f>
        <v>9</v>
      </c>
      <c r="L5867" s="308">
        <f>IFERROR(__xludf.DUMMYFUNCTION("""COMPUTED_VALUE"""),2013.0)</f>
        <v>2013</v>
      </c>
      <c r="M5867" s="308" t="s">
        <v>23486</v>
      </c>
      <c r="N5867" s="308"/>
      <c r="O5867" s="308"/>
      <c r="P5867" s="308" t="s">
        <v>23487</v>
      </c>
      <c r="Q5867" s="308" t="s">
        <v>38697</v>
      </c>
      <c r="R5867" s="308" t="s">
        <v>2743</v>
      </c>
      <c r="S5867" s="308" t="s">
        <v>81</v>
      </c>
      <c r="T5867" s="311" t="s">
        <v>34565</v>
      </c>
      <c r="U5867" s="308" t="s">
        <v>2466</v>
      </c>
      <c r="V5867" s="308"/>
    </row>
    <row r="5868">
      <c r="A5868" s="308">
        <v>5867.0</v>
      </c>
      <c r="B5868" s="308"/>
      <c r="C5868" s="308" t="s">
        <v>23488</v>
      </c>
      <c r="D5868" s="308">
        <f>IFERROR(__xludf.DUMMYFUNCTION("SPLIT(C5868,""-"")"),5888.0)</f>
        <v>5888</v>
      </c>
      <c r="E5868" s="308" t="str">
        <f>IFERROR(__xludf.DUMMYFUNCTION("""COMPUTED_VALUE"""),"S")</f>
        <v>S</v>
      </c>
      <c r="F5868" s="312" t="s">
        <v>39</v>
      </c>
      <c r="G5868" s="308"/>
      <c r="H5868" s="308" t="s">
        <v>23489</v>
      </c>
      <c r="I5868" s="310">
        <v>43466.0</v>
      </c>
      <c r="J5868" s="319">
        <f>IFERROR(__xludf.DUMMYFUNCTION("SPLIT(I5868,""/"")"),1.0)</f>
        <v>1</v>
      </c>
      <c r="K5868" s="308">
        <f>IFERROR(__xludf.DUMMYFUNCTION("""COMPUTED_VALUE"""),1.0)</f>
        <v>1</v>
      </c>
      <c r="L5868" s="308">
        <f>IFERROR(__xludf.DUMMYFUNCTION("""COMPUTED_VALUE"""),2019.0)</f>
        <v>2019</v>
      </c>
      <c r="M5868" s="308" t="s">
        <v>23490</v>
      </c>
      <c r="N5868" s="308"/>
      <c r="O5868" s="308"/>
      <c r="P5868" s="308" t="s">
        <v>38698</v>
      </c>
      <c r="Q5868" s="308" t="s">
        <v>38697</v>
      </c>
      <c r="R5868" s="308" t="s">
        <v>16585</v>
      </c>
      <c r="S5868" s="308" t="s">
        <v>81</v>
      </c>
      <c r="T5868" s="308" t="s">
        <v>75</v>
      </c>
      <c r="U5868" s="308" t="s">
        <v>166</v>
      </c>
      <c r="V5868" s="308"/>
    </row>
    <row r="5869">
      <c r="A5869" s="308">
        <v>5868.0</v>
      </c>
      <c r="B5869" s="308"/>
      <c r="C5869" s="308" t="s">
        <v>23492</v>
      </c>
      <c r="D5869" s="308">
        <f>IFERROR(__xludf.DUMMYFUNCTION("SPLIT(C5869,""-"")"),5889.0)</f>
        <v>5889</v>
      </c>
      <c r="E5869" s="308" t="str">
        <f>IFERROR(__xludf.DUMMYFUNCTION("""COMPUTED_VALUE"""),"B")</f>
        <v>B</v>
      </c>
      <c r="F5869" s="315" t="s">
        <v>26</v>
      </c>
      <c r="G5869" s="308"/>
      <c r="H5869" s="308" t="s">
        <v>23493</v>
      </c>
      <c r="I5869" s="310">
        <v>42209.0</v>
      </c>
      <c r="J5869" s="319">
        <f>IFERROR(__xludf.DUMMYFUNCTION("SPLIT(I5869,""/"")"),24.0)</f>
        <v>24</v>
      </c>
      <c r="K5869" s="308">
        <f>IFERROR(__xludf.DUMMYFUNCTION("""COMPUTED_VALUE"""),7.0)</f>
        <v>7</v>
      </c>
      <c r="L5869" s="308">
        <f>IFERROR(__xludf.DUMMYFUNCTION("""COMPUTED_VALUE"""),2015.0)</f>
        <v>2015</v>
      </c>
      <c r="M5869" s="308" t="s">
        <v>23494</v>
      </c>
      <c r="N5869" s="308"/>
      <c r="O5869" s="308"/>
      <c r="P5869" s="308" t="s">
        <v>23495</v>
      </c>
      <c r="Q5869" s="308" t="s">
        <v>38697</v>
      </c>
      <c r="R5869" s="308" t="s">
        <v>23496</v>
      </c>
      <c r="S5869" s="309" t="s">
        <v>81</v>
      </c>
      <c r="T5869" s="311" t="s">
        <v>96</v>
      </c>
      <c r="U5869" s="308" t="s">
        <v>27</v>
      </c>
      <c r="V5869" s="308"/>
    </row>
    <row r="5870">
      <c r="A5870" s="308">
        <v>5869.0</v>
      </c>
      <c r="B5870" s="308"/>
      <c r="C5870" s="308" t="s">
        <v>23497</v>
      </c>
      <c r="D5870" s="308">
        <f>IFERROR(__xludf.DUMMYFUNCTION("SPLIT(C5870,""-"")"),5890.0)</f>
        <v>5890</v>
      </c>
      <c r="E5870" s="308" t="str">
        <f>IFERROR(__xludf.DUMMYFUNCTION("""COMPUTED_VALUE"""),"B")</f>
        <v>B</v>
      </c>
      <c r="F5870" s="315" t="s">
        <v>26</v>
      </c>
      <c r="G5870" s="308"/>
      <c r="H5870" s="308" t="s">
        <v>23498</v>
      </c>
      <c r="I5870" s="310">
        <v>43443.0</v>
      </c>
      <c r="J5870" s="319">
        <f>IFERROR(__xludf.DUMMYFUNCTION("SPLIT(I5870,""/"")"),9.0)</f>
        <v>9</v>
      </c>
      <c r="K5870" s="308">
        <f>IFERROR(__xludf.DUMMYFUNCTION("""COMPUTED_VALUE"""),12.0)</f>
        <v>12</v>
      </c>
      <c r="L5870" s="308">
        <f>IFERROR(__xludf.DUMMYFUNCTION("""COMPUTED_VALUE"""),2018.0)</f>
        <v>2018</v>
      </c>
      <c r="M5870" s="308" t="s">
        <v>23499</v>
      </c>
      <c r="N5870" s="308"/>
      <c r="O5870" s="308"/>
      <c r="P5870" s="308" t="s">
        <v>23500</v>
      </c>
      <c r="Q5870" s="308" t="s">
        <v>38697</v>
      </c>
      <c r="R5870" s="308" t="s">
        <v>23496</v>
      </c>
      <c r="S5870" s="308" t="s">
        <v>81</v>
      </c>
      <c r="T5870" s="311" t="s">
        <v>96</v>
      </c>
      <c r="U5870" s="308" t="s">
        <v>27</v>
      </c>
      <c r="V5870" s="308"/>
    </row>
    <row r="5871">
      <c r="A5871" s="308">
        <v>5870.0</v>
      </c>
      <c r="B5871" s="308"/>
      <c r="C5871" s="308" t="s">
        <v>23501</v>
      </c>
      <c r="D5871" s="308">
        <f>IFERROR(__xludf.DUMMYFUNCTION("SPLIT(C5871,""-"")"),5891.0)</f>
        <v>5891</v>
      </c>
      <c r="E5871" s="308" t="str">
        <f>IFERROR(__xludf.DUMMYFUNCTION("""COMPUTED_VALUE"""),"B")</f>
        <v>B</v>
      </c>
      <c r="F5871" s="315" t="s">
        <v>26</v>
      </c>
      <c r="G5871" s="308"/>
      <c r="H5871" s="308" t="s">
        <v>23502</v>
      </c>
      <c r="I5871" s="310">
        <v>43443.0</v>
      </c>
      <c r="J5871" s="319">
        <f>IFERROR(__xludf.DUMMYFUNCTION("SPLIT(I5871,""/"")"),9.0)</f>
        <v>9</v>
      </c>
      <c r="K5871" s="308">
        <f>IFERROR(__xludf.DUMMYFUNCTION("""COMPUTED_VALUE"""),12.0)</f>
        <v>12</v>
      </c>
      <c r="L5871" s="308">
        <f>IFERROR(__xludf.DUMMYFUNCTION("""COMPUTED_VALUE"""),2018.0)</f>
        <v>2018</v>
      </c>
      <c r="M5871" s="308" t="s">
        <v>23503</v>
      </c>
      <c r="N5871" s="308"/>
      <c r="O5871" s="308"/>
      <c r="P5871" s="308" t="s">
        <v>38699</v>
      </c>
      <c r="Q5871" s="308" t="s">
        <v>38697</v>
      </c>
      <c r="R5871" s="308" t="s">
        <v>23496</v>
      </c>
      <c r="S5871" s="308" t="s">
        <v>81</v>
      </c>
      <c r="T5871" s="308" t="s">
        <v>73</v>
      </c>
      <c r="U5871" s="308" t="s">
        <v>27</v>
      </c>
      <c r="V5871" s="308"/>
    </row>
    <row r="5872">
      <c r="A5872" s="308">
        <v>5871.0</v>
      </c>
      <c r="B5872" s="308"/>
      <c r="C5872" s="308" t="s">
        <v>23505</v>
      </c>
      <c r="D5872" s="308">
        <f>IFERROR(__xludf.DUMMYFUNCTION("SPLIT(C5872,""-"")"),5892.0)</f>
        <v>5892</v>
      </c>
      <c r="E5872" s="308" t="str">
        <f>IFERROR(__xludf.DUMMYFUNCTION("""COMPUTED_VALUE"""),"B")</f>
        <v>B</v>
      </c>
      <c r="F5872" s="315" t="s">
        <v>26</v>
      </c>
      <c r="G5872" s="308"/>
      <c r="H5872" s="308" t="s">
        <v>23506</v>
      </c>
      <c r="I5872" s="310">
        <v>43238.0</v>
      </c>
      <c r="J5872" s="319">
        <f>IFERROR(__xludf.DUMMYFUNCTION("SPLIT(I5872,""/"")"),18.0)</f>
        <v>18</v>
      </c>
      <c r="K5872" s="308">
        <f>IFERROR(__xludf.DUMMYFUNCTION("""COMPUTED_VALUE"""),5.0)</f>
        <v>5</v>
      </c>
      <c r="L5872" s="308">
        <f>IFERROR(__xludf.DUMMYFUNCTION("""COMPUTED_VALUE"""),2018.0)</f>
        <v>2018</v>
      </c>
      <c r="M5872" s="308" t="s">
        <v>23507</v>
      </c>
      <c r="N5872" s="308"/>
      <c r="O5872" s="308" t="s">
        <v>23508</v>
      </c>
      <c r="P5872" s="308" t="s">
        <v>23509</v>
      </c>
      <c r="Q5872" s="308" t="s">
        <v>38697</v>
      </c>
      <c r="R5872" s="308" t="s">
        <v>23496</v>
      </c>
      <c r="S5872" s="308" t="s">
        <v>81</v>
      </c>
      <c r="T5872" s="311" t="s">
        <v>96</v>
      </c>
      <c r="U5872" s="308" t="s">
        <v>27</v>
      </c>
      <c r="V5872" s="308"/>
    </row>
    <row r="5873">
      <c r="A5873" s="308">
        <v>5872.0</v>
      </c>
      <c r="B5873" s="308"/>
      <c r="C5873" s="308" t="s">
        <v>23510</v>
      </c>
      <c r="D5873" s="308">
        <f>IFERROR(__xludf.DUMMYFUNCTION("SPLIT(C5873,""-"")"),5893.0)</f>
        <v>5893</v>
      </c>
      <c r="E5873" s="308" t="str">
        <f>IFERROR(__xludf.DUMMYFUNCTION("""COMPUTED_VALUE"""),"K")</f>
        <v>K</v>
      </c>
      <c r="F5873" s="309" t="s">
        <v>34</v>
      </c>
      <c r="G5873" s="308"/>
      <c r="H5873" s="308" t="s">
        <v>23511</v>
      </c>
      <c r="I5873" s="310">
        <v>41091.0</v>
      </c>
      <c r="J5873" s="319">
        <f>IFERROR(__xludf.DUMMYFUNCTION("SPLIT(I5873,""/"")"),1.0)</f>
        <v>1</v>
      </c>
      <c r="K5873" s="308">
        <f>IFERROR(__xludf.DUMMYFUNCTION("""COMPUTED_VALUE"""),7.0)</f>
        <v>7</v>
      </c>
      <c r="L5873" s="308">
        <f>IFERROR(__xludf.DUMMYFUNCTION("""COMPUTED_VALUE"""),2012.0)</f>
        <v>2012</v>
      </c>
      <c r="M5873" s="308" t="s">
        <v>38700</v>
      </c>
      <c r="N5873" s="308"/>
      <c r="O5873" s="308"/>
      <c r="P5873" s="308" t="s">
        <v>136</v>
      </c>
      <c r="Q5873" s="308" t="s">
        <v>38701</v>
      </c>
      <c r="R5873" s="308" t="s">
        <v>16185</v>
      </c>
      <c r="S5873" s="315" t="s">
        <v>100</v>
      </c>
      <c r="T5873" s="308" t="s">
        <v>34208</v>
      </c>
      <c r="U5873" s="308" t="s">
        <v>125</v>
      </c>
      <c r="V5873" s="308"/>
    </row>
    <row r="5874">
      <c r="A5874" s="308">
        <v>5873.0</v>
      </c>
      <c r="B5874" s="308"/>
      <c r="C5874" s="308" t="s">
        <v>23513</v>
      </c>
      <c r="D5874" s="308">
        <f>IFERROR(__xludf.DUMMYFUNCTION("SPLIT(C5874,""-"")"),5894.0)</f>
        <v>5894</v>
      </c>
      <c r="E5874" s="308" t="str">
        <f>IFERROR(__xludf.DUMMYFUNCTION("""COMPUTED_VALUE"""),"K")</f>
        <v>K</v>
      </c>
      <c r="F5874" s="309" t="s">
        <v>34</v>
      </c>
      <c r="G5874" s="308"/>
      <c r="H5874" s="308" t="s">
        <v>23514</v>
      </c>
      <c r="I5874" s="310">
        <v>41456.0</v>
      </c>
      <c r="J5874" s="319">
        <f>IFERROR(__xludf.DUMMYFUNCTION("SPLIT(I5874,""/"")"),1.0)</f>
        <v>1</v>
      </c>
      <c r="K5874" s="308">
        <f>IFERROR(__xludf.DUMMYFUNCTION("""COMPUTED_VALUE"""),7.0)</f>
        <v>7</v>
      </c>
      <c r="L5874" s="308">
        <f>IFERROR(__xludf.DUMMYFUNCTION("""COMPUTED_VALUE"""),2013.0)</f>
        <v>2013</v>
      </c>
      <c r="M5874" s="308" t="s">
        <v>23515</v>
      </c>
      <c r="N5874" s="308" t="s">
        <v>439</v>
      </c>
      <c r="O5874" s="308"/>
      <c r="P5874" s="308" t="s">
        <v>136</v>
      </c>
      <c r="Q5874" s="308" t="s">
        <v>38701</v>
      </c>
      <c r="R5874" s="308" t="s">
        <v>16185</v>
      </c>
      <c r="S5874" s="315" t="s">
        <v>100</v>
      </c>
      <c r="T5874" s="308" t="s">
        <v>34208</v>
      </c>
      <c r="U5874" s="308" t="s">
        <v>6875</v>
      </c>
      <c r="V5874" s="308"/>
    </row>
    <row r="5875">
      <c r="A5875" s="308">
        <v>5874.0</v>
      </c>
      <c r="B5875" s="308"/>
      <c r="C5875" s="308" t="s">
        <v>23516</v>
      </c>
      <c r="D5875" s="308">
        <f>IFERROR(__xludf.DUMMYFUNCTION("SPLIT(C5875,""-"")"),5895.0)</f>
        <v>5895</v>
      </c>
      <c r="E5875" s="308" t="str">
        <f>IFERROR(__xludf.DUMMYFUNCTION("""COMPUTED_VALUE"""),"P")</f>
        <v>P</v>
      </c>
      <c r="F5875" s="312" t="s">
        <v>37</v>
      </c>
      <c r="G5875" s="308"/>
      <c r="H5875" s="308" t="s">
        <v>23517</v>
      </c>
      <c r="I5875" s="310">
        <v>43523.0</v>
      </c>
      <c r="J5875" s="319">
        <f>IFERROR(__xludf.DUMMYFUNCTION("SPLIT(I5875,""/"")"),27.0)</f>
        <v>27</v>
      </c>
      <c r="K5875" s="308">
        <f>IFERROR(__xludf.DUMMYFUNCTION("""COMPUTED_VALUE"""),2.0)</f>
        <v>2</v>
      </c>
      <c r="L5875" s="308">
        <f>IFERROR(__xludf.DUMMYFUNCTION("""COMPUTED_VALUE"""),2019.0)</f>
        <v>2019</v>
      </c>
      <c r="M5875" s="308" t="s">
        <v>23518</v>
      </c>
      <c r="N5875" s="308"/>
      <c r="O5875" s="308"/>
      <c r="P5875" s="308" t="s">
        <v>38702</v>
      </c>
      <c r="Q5875" s="308" t="s">
        <v>38701</v>
      </c>
      <c r="R5875" s="308" t="s">
        <v>2743</v>
      </c>
      <c r="S5875" s="308" t="s">
        <v>81</v>
      </c>
      <c r="T5875" s="311" t="s">
        <v>75</v>
      </c>
      <c r="U5875" s="308" t="s">
        <v>143</v>
      </c>
      <c r="V5875" s="308"/>
    </row>
    <row r="5876">
      <c r="A5876" s="308">
        <v>5875.0</v>
      </c>
      <c r="B5876" s="308"/>
      <c r="C5876" s="308" t="s">
        <v>23520</v>
      </c>
      <c r="D5876" s="308">
        <f>IFERROR(__xludf.DUMMYFUNCTION("SPLIT(C5876,""-"")"),5896.0)</f>
        <v>5896</v>
      </c>
      <c r="E5876" s="308" t="str">
        <f>IFERROR(__xludf.DUMMYFUNCTION("""COMPUTED_VALUE"""),"P")</f>
        <v>P</v>
      </c>
      <c r="F5876" s="312" t="s">
        <v>37</v>
      </c>
      <c r="G5876" s="308"/>
      <c r="H5876" s="308" t="s">
        <v>23521</v>
      </c>
      <c r="I5876" s="310">
        <v>43531.0</v>
      </c>
      <c r="J5876" s="319">
        <f>IFERROR(__xludf.DUMMYFUNCTION("SPLIT(I5876,""/"")"),7.0)</f>
        <v>7</v>
      </c>
      <c r="K5876" s="308">
        <f>IFERROR(__xludf.DUMMYFUNCTION("""COMPUTED_VALUE"""),3.0)</f>
        <v>3</v>
      </c>
      <c r="L5876" s="308">
        <f>IFERROR(__xludf.DUMMYFUNCTION("""COMPUTED_VALUE"""),2019.0)</f>
        <v>2019</v>
      </c>
      <c r="M5876" s="308" t="s">
        <v>23522</v>
      </c>
      <c r="N5876" s="308"/>
      <c r="O5876" s="308"/>
      <c r="P5876" s="308" t="s">
        <v>38703</v>
      </c>
      <c r="Q5876" s="308" t="s">
        <v>38704</v>
      </c>
      <c r="R5876" s="308" t="s">
        <v>2743</v>
      </c>
      <c r="S5876" s="308" t="s">
        <v>81</v>
      </c>
      <c r="T5876" s="308" t="s">
        <v>75</v>
      </c>
      <c r="U5876" s="308" t="s">
        <v>5990</v>
      </c>
      <c r="V5876" s="308"/>
    </row>
    <row r="5877">
      <c r="A5877" s="308">
        <v>5876.0</v>
      </c>
      <c r="B5877" s="308"/>
      <c r="C5877" s="308" t="s">
        <v>23524</v>
      </c>
      <c r="D5877" s="308">
        <f>IFERROR(__xludf.DUMMYFUNCTION("SPLIT(C5877,""-"")"),5897.0)</f>
        <v>5897</v>
      </c>
      <c r="E5877" s="308" t="str">
        <f>IFERROR(__xludf.DUMMYFUNCTION("""COMPUTED_VALUE"""),"K")</f>
        <v>K</v>
      </c>
      <c r="F5877" s="309" t="s">
        <v>34</v>
      </c>
      <c r="G5877" s="308"/>
      <c r="H5877" s="308" t="s">
        <v>23525</v>
      </c>
      <c r="I5877" s="314">
        <v>42719.0</v>
      </c>
      <c r="J5877" s="319">
        <f>IFERROR(__xludf.DUMMYFUNCTION("SPLIT(I5877,""/"")"),15.0)</f>
        <v>15</v>
      </c>
      <c r="K5877" s="308">
        <f>IFERROR(__xludf.DUMMYFUNCTION("""COMPUTED_VALUE"""),12.0)</f>
        <v>12</v>
      </c>
      <c r="L5877" s="308">
        <f>IFERROR(__xludf.DUMMYFUNCTION("""COMPUTED_VALUE"""),2016.0)</f>
        <v>2016</v>
      </c>
      <c r="M5877" s="308" t="s">
        <v>23526</v>
      </c>
      <c r="N5877" s="308"/>
      <c r="O5877" s="308"/>
      <c r="P5877" s="308" t="s">
        <v>136</v>
      </c>
      <c r="Q5877" s="308" t="s">
        <v>38705</v>
      </c>
      <c r="R5877" s="308" t="s">
        <v>2743</v>
      </c>
      <c r="S5877" s="315" t="s">
        <v>100</v>
      </c>
      <c r="T5877" s="308" t="s">
        <v>34208</v>
      </c>
      <c r="U5877" s="308" t="s">
        <v>125</v>
      </c>
      <c r="V5877" s="308"/>
    </row>
    <row r="5878">
      <c r="A5878" s="308">
        <v>5877.0</v>
      </c>
      <c r="B5878" s="308"/>
      <c r="C5878" s="308" t="s">
        <v>23527</v>
      </c>
      <c r="D5878" s="308">
        <f>IFERROR(__xludf.DUMMYFUNCTION("SPLIT(C5878,""-"")"),5898.0)</f>
        <v>5898</v>
      </c>
      <c r="E5878" s="308" t="str">
        <f>IFERROR(__xludf.DUMMYFUNCTION("""COMPUTED_VALUE"""),"S")</f>
        <v>S</v>
      </c>
      <c r="F5878" s="312" t="s">
        <v>39</v>
      </c>
      <c r="G5878" s="308"/>
      <c r="H5878" s="308" t="s">
        <v>23528</v>
      </c>
      <c r="I5878" s="310">
        <v>43514.0</v>
      </c>
      <c r="J5878" s="319">
        <f>IFERROR(__xludf.DUMMYFUNCTION("SPLIT(I5878,""/"")"),18.0)</f>
        <v>18</v>
      </c>
      <c r="K5878" s="308">
        <f>IFERROR(__xludf.DUMMYFUNCTION("""COMPUTED_VALUE"""),2.0)</f>
        <v>2</v>
      </c>
      <c r="L5878" s="308">
        <f>IFERROR(__xludf.DUMMYFUNCTION("""COMPUTED_VALUE"""),2019.0)</f>
        <v>2019</v>
      </c>
      <c r="M5878" s="308" t="s">
        <v>38706</v>
      </c>
      <c r="N5878" s="308"/>
      <c r="O5878" s="308"/>
      <c r="P5878" s="308" t="s">
        <v>38707</v>
      </c>
      <c r="Q5878" s="308" t="s">
        <v>38705</v>
      </c>
      <c r="R5878" s="308" t="s">
        <v>21673</v>
      </c>
      <c r="S5878" s="308" t="s">
        <v>81</v>
      </c>
      <c r="T5878" s="308" t="s">
        <v>75</v>
      </c>
      <c r="U5878" s="308" t="s">
        <v>166</v>
      </c>
      <c r="V5878" s="308"/>
    </row>
    <row r="5879">
      <c r="A5879" s="308">
        <v>5878.0</v>
      </c>
      <c r="B5879" s="308"/>
      <c r="C5879" s="308" t="s">
        <v>23531</v>
      </c>
      <c r="D5879" s="308">
        <f>IFERROR(__xludf.DUMMYFUNCTION("SPLIT(C5879,""-"")"),5899.0)</f>
        <v>5899</v>
      </c>
      <c r="E5879" s="308" t="str">
        <f>IFERROR(__xludf.DUMMYFUNCTION("""COMPUTED_VALUE"""),"B")</f>
        <v>B</v>
      </c>
      <c r="F5879" s="315" t="s">
        <v>26</v>
      </c>
      <c r="G5879" s="308"/>
      <c r="H5879" s="308" t="s">
        <v>23532</v>
      </c>
      <c r="I5879" s="310">
        <v>42966.0</v>
      </c>
      <c r="J5879" s="319">
        <f>IFERROR(__xludf.DUMMYFUNCTION("SPLIT(I5879,""/"")"),19.0)</f>
        <v>19</v>
      </c>
      <c r="K5879" s="308">
        <f>IFERROR(__xludf.DUMMYFUNCTION("""COMPUTED_VALUE"""),8.0)</f>
        <v>8</v>
      </c>
      <c r="L5879" s="308">
        <f>IFERROR(__xludf.DUMMYFUNCTION("""COMPUTED_VALUE"""),2017.0)</f>
        <v>2017</v>
      </c>
      <c r="M5879" s="308" t="s">
        <v>23533</v>
      </c>
      <c r="N5879" s="308"/>
      <c r="O5879" s="308"/>
      <c r="P5879" s="308" t="s">
        <v>38708</v>
      </c>
      <c r="Q5879" s="308" t="s">
        <v>38705</v>
      </c>
      <c r="R5879" s="308" t="s">
        <v>23496</v>
      </c>
      <c r="S5879" s="308" t="s">
        <v>49</v>
      </c>
      <c r="T5879" s="308" t="s">
        <v>51</v>
      </c>
      <c r="U5879" s="308" t="s">
        <v>27</v>
      </c>
      <c r="V5879" s="308"/>
    </row>
    <row r="5880">
      <c r="A5880" s="308">
        <v>5879.0</v>
      </c>
      <c r="B5880" s="308"/>
      <c r="C5880" s="308" t="s">
        <v>23535</v>
      </c>
      <c r="D5880" s="308">
        <f>IFERROR(__xludf.DUMMYFUNCTION("SPLIT(C5880,""-"")"),5900.0)</f>
        <v>5900</v>
      </c>
      <c r="E5880" s="308" t="str">
        <f>IFERROR(__xludf.DUMMYFUNCTION("""COMPUTED_VALUE"""),"K")</f>
        <v>K</v>
      </c>
      <c r="F5880" s="309" t="s">
        <v>34</v>
      </c>
      <c r="G5880" s="308"/>
      <c r="H5880" s="308" t="s">
        <v>23536</v>
      </c>
      <c r="I5880" s="310">
        <v>43174.0</v>
      </c>
      <c r="J5880" s="319">
        <f>IFERROR(__xludf.DUMMYFUNCTION("SPLIT(I5880,""/"")"),15.0)</f>
        <v>15</v>
      </c>
      <c r="K5880" s="308">
        <f>IFERROR(__xludf.DUMMYFUNCTION("""COMPUTED_VALUE"""),3.0)</f>
        <v>3</v>
      </c>
      <c r="L5880" s="308">
        <f>IFERROR(__xludf.DUMMYFUNCTION("""COMPUTED_VALUE"""),2018.0)</f>
        <v>2018</v>
      </c>
      <c r="M5880" s="308" t="s">
        <v>23537</v>
      </c>
      <c r="N5880" s="308"/>
      <c r="O5880" s="308"/>
      <c r="P5880" s="308" t="s">
        <v>38709</v>
      </c>
      <c r="Q5880" s="308" t="s">
        <v>38705</v>
      </c>
      <c r="R5880" s="308" t="s">
        <v>2743</v>
      </c>
      <c r="S5880" s="308" t="s">
        <v>81</v>
      </c>
      <c r="T5880" s="311" t="s">
        <v>51</v>
      </c>
      <c r="U5880" s="308" t="s">
        <v>2466</v>
      </c>
      <c r="V5880" s="308"/>
    </row>
    <row r="5881">
      <c r="A5881" s="308">
        <v>5880.0</v>
      </c>
      <c r="B5881" s="308"/>
      <c r="C5881" s="308" t="s">
        <v>23539</v>
      </c>
      <c r="D5881" s="308">
        <f>IFERROR(__xludf.DUMMYFUNCTION("SPLIT(C5881,""-"")"),5901.0)</f>
        <v>5901</v>
      </c>
      <c r="E5881" s="308" t="str">
        <f>IFERROR(__xludf.DUMMYFUNCTION("""COMPUTED_VALUE"""),"K")</f>
        <v>K</v>
      </c>
      <c r="F5881" s="309" t="s">
        <v>34</v>
      </c>
      <c r="G5881" s="308"/>
      <c r="H5881" s="308" t="s">
        <v>23540</v>
      </c>
      <c r="I5881" s="310">
        <v>41758.0</v>
      </c>
      <c r="J5881" s="319">
        <f>IFERROR(__xludf.DUMMYFUNCTION("SPLIT(I5881,""/"")"),29.0)</f>
        <v>29</v>
      </c>
      <c r="K5881" s="308">
        <f>IFERROR(__xludf.DUMMYFUNCTION("""COMPUTED_VALUE"""),4.0)</f>
        <v>4</v>
      </c>
      <c r="L5881" s="308">
        <f>IFERROR(__xludf.DUMMYFUNCTION("""COMPUTED_VALUE"""),2014.0)</f>
        <v>2014</v>
      </c>
      <c r="M5881" s="308" t="s">
        <v>23541</v>
      </c>
      <c r="N5881" s="308"/>
      <c r="O5881" s="308" t="s">
        <v>23542</v>
      </c>
      <c r="P5881" s="308" t="s">
        <v>23543</v>
      </c>
      <c r="Q5881" s="308" t="s">
        <v>38705</v>
      </c>
      <c r="R5881" s="308" t="s">
        <v>2743</v>
      </c>
      <c r="S5881" s="308" t="s">
        <v>81</v>
      </c>
      <c r="T5881" s="308" t="s">
        <v>34264</v>
      </c>
      <c r="U5881" s="308" t="s">
        <v>2989</v>
      </c>
      <c r="V5881" s="308"/>
    </row>
    <row r="5882">
      <c r="A5882" s="308">
        <v>5881.0</v>
      </c>
      <c r="B5882" s="308"/>
      <c r="C5882" s="308" t="s">
        <v>23544</v>
      </c>
      <c r="D5882" s="308">
        <f>IFERROR(__xludf.DUMMYFUNCTION("SPLIT(C5882,""-"")"),5902.0)</f>
        <v>5902</v>
      </c>
      <c r="E5882" s="308" t="str">
        <f>IFERROR(__xludf.DUMMYFUNCTION("""COMPUTED_VALUE"""),"K")</f>
        <v>K</v>
      </c>
      <c r="F5882" s="309" t="s">
        <v>34</v>
      </c>
      <c r="G5882" s="308"/>
      <c r="H5882" s="308" t="s">
        <v>23545</v>
      </c>
      <c r="I5882" s="310">
        <v>40941.0</v>
      </c>
      <c r="J5882" s="319">
        <f>IFERROR(__xludf.DUMMYFUNCTION("SPLIT(I5882,""/"")"),2.0)</f>
        <v>2</v>
      </c>
      <c r="K5882" s="308">
        <f>IFERROR(__xludf.DUMMYFUNCTION("""COMPUTED_VALUE"""),2.0)</f>
        <v>2</v>
      </c>
      <c r="L5882" s="308">
        <f>IFERROR(__xludf.DUMMYFUNCTION("""COMPUTED_VALUE"""),2012.0)</f>
        <v>2012</v>
      </c>
      <c r="M5882" s="308" t="s">
        <v>23546</v>
      </c>
      <c r="N5882" s="308" t="s">
        <v>8836</v>
      </c>
      <c r="O5882" s="308" t="s">
        <v>23547</v>
      </c>
      <c r="P5882" s="308" t="s">
        <v>136</v>
      </c>
      <c r="Q5882" s="308" t="s">
        <v>38705</v>
      </c>
      <c r="R5882" s="308" t="s">
        <v>2743</v>
      </c>
      <c r="S5882" s="315" t="s">
        <v>100</v>
      </c>
      <c r="T5882" s="308" t="s">
        <v>34208</v>
      </c>
      <c r="U5882" s="308" t="s">
        <v>530</v>
      </c>
      <c r="V5882" s="308" t="s">
        <v>23548</v>
      </c>
    </row>
    <row r="5883">
      <c r="A5883" s="308">
        <v>5882.0</v>
      </c>
      <c r="B5883" s="308"/>
      <c r="C5883" s="308" t="s">
        <v>23549</v>
      </c>
      <c r="D5883" s="308">
        <f>IFERROR(__xludf.DUMMYFUNCTION("SPLIT(C5883,""-"")"),5903.0)</f>
        <v>5903</v>
      </c>
      <c r="E5883" s="308" t="str">
        <f>IFERROR(__xludf.DUMMYFUNCTION("""COMPUTED_VALUE"""),"K")</f>
        <v>K</v>
      </c>
      <c r="F5883" s="309" t="s">
        <v>34</v>
      </c>
      <c r="G5883" s="308"/>
      <c r="H5883" s="308" t="s">
        <v>23550</v>
      </c>
      <c r="I5883" s="310">
        <v>43142.0</v>
      </c>
      <c r="J5883" s="319">
        <f>IFERROR(__xludf.DUMMYFUNCTION("SPLIT(I5883,""/"")"),11.0)</f>
        <v>11</v>
      </c>
      <c r="K5883" s="308">
        <f>IFERROR(__xludf.DUMMYFUNCTION("""COMPUTED_VALUE"""),2.0)</f>
        <v>2</v>
      </c>
      <c r="L5883" s="308">
        <f>IFERROR(__xludf.DUMMYFUNCTION("""COMPUTED_VALUE"""),2018.0)</f>
        <v>2018</v>
      </c>
      <c r="M5883" s="308">
        <v>980.0</v>
      </c>
      <c r="N5883" s="308" t="s">
        <v>23551</v>
      </c>
      <c r="O5883" s="308" t="s">
        <v>23552</v>
      </c>
      <c r="P5883" s="308" t="s">
        <v>136</v>
      </c>
      <c r="Q5883" s="308" t="s">
        <v>38705</v>
      </c>
      <c r="R5883" s="308" t="s">
        <v>2743</v>
      </c>
      <c r="S5883" s="315" t="s">
        <v>100</v>
      </c>
      <c r="T5883" s="308" t="s">
        <v>34208</v>
      </c>
      <c r="U5883" s="308" t="s">
        <v>2152</v>
      </c>
      <c r="V5883" s="308"/>
    </row>
    <row r="5884">
      <c r="A5884" s="308">
        <v>5883.0</v>
      </c>
      <c r="B5884" s="308"/>
      <c r="C5884" s="308" t="s">
        <v>23553</v>
      </c>
      <c r="D5884" s="308">
        <f>IFERROR(__xludf.DUMMYFUNCTION("SPLIT(C5884,""-"")"),5904.0)</f>
        <v>5904</v>
      </c>
      <c r="E5884" s="308" t="str">
        <f>IFERROR(__xludf.DUMMYFUNCTION("""COMPUTED_VALUE"""),"P")</f>
        <v>P</v>
      </c>
      <c r="F5884" s="312" t="s">
        <v>37</v>
      </c>
      <c r="G5884" s="308"/>
      <c r="H5884" s="308" t="s">
        <v>23554</v>
      </c>
      <c r="I5884" s="310">
        <v>43510.0</v>
      </c>
      <c r="J5884" s="319">
        <f>IFERROR(__xludf.DUMMYFUNCTION("SPLIT(I5884,""/"")"),14.0)</f>
        <v>14</v>
      </c>
      <c r="K5884" s="308">
        <f>IFERROR(__xludf.DUMMYFUNCTION("""COMPUTED_VALUE"""),2.0)</f>
        <v>2</v>
      </c>
      <c r="L5884" s="308">
        <f>IFERROR(__xludf.DUMMYFUNCTION("""COMPUTED_VALUE"""),2019.0)</f>
        <v>2019</v>
      </c>
      <c r="M5884" s="308" t="s">
        <v>38710</v>
      </c>
      <c r="N5884" s="308"/>
      <c r="O5884" s="308" t="s">
        <v>23556</v>
      </c>
      <c r="P5884" s="308" t="s">
        <v>38711</v>
      </c>
      <c r="Q5884" s="308" t="s">
        <v>38705</v>
      </c>
      <c r="R5884" s="308" t="s">
        <v>20329</v>
      </c>
      <c r="S5884" s="308" t="s">
        <v>81</v>
      </c>
      <c r="T5884" s="308" t="s">
        <v>75</v>
      </c>
      <c r="U5884" s="308" t="s">
        <v>143</v>
      </c>
      <c r="V5884" s="308"/>
    </row>
    <row r="5885">
      <c r="A5885" s="308">
        <v>5884.0</v>
      </c>
      <c r="B5885" s="308"/>
      <c r="C5885" s="308" t="s">
        <v>23558</v>
      </c>
      <c r="D5885" s="308">
        <f>IFERROR(__xludf.DUMMYFUNCTION("SPLIT(C5885,""-"")"),5905.0)</f>
        <v>5905</v>
      </c>
      <c r="E5885" s="308" t="str">
        <f>IFERROR(__xludf.DUMMYFUNCTION("""COMPUTED_VALUE"""),"P")</f>
        <v>P</v>
      </c>
      <c r="F5885" s="312" t="s">
        <v>37</v>
      </c>
      <c r="G5885" s="308"/>
      <c r="H5885" s="308" t="s">
        <v>23559</v>
      </c>
      <c r="I5885" s="310">
        <v>43526.0</v>
      </c>
      <c r="J5885" s="319">
        <f>IFERROR(__xludf.DUMMYFUNCTION("SPLIT(I5885,""/"")"),2.0)</f>
        <v>2</v>
      </c>
      <c r="K5885" s="308">
        <f>IFERROR(__xludf.DUMMYFUNCTION("""COMPUTED_VALUE"""),3.0)</f>
        <v>3</v>
      </c>
      <c r="L5885" s="308">
        <f>IFERROR(__xludf.DUMMYFUNCTION("""COMPUTED_VALUE"""),2019.0)</f>
        <v>2019</v>
      </c>
      <c r="M5885" s="308" t="s">
        <v>38712</v>
      </c>
      <c r="N5885" s="308"/>
      <c r="O5885" s="308"/>
      <c r="P5885" s="308" t="s">
        <v>23561</v>
      </c>
      <c r="Q5885" s="308" t="s">
        <v>38705</v>
      </c>
      <c r="R5885" s="308" t="s">
        <v>2743</v>
      </c>
      <c r="S5885" s="308" t="s">
        <v>81</v>
      </c>
      <c r="T5885" s="311" t="s">
        <v>51</v>
      </c>
      <c r="U5885" s="308" t="s">
        <v>2263</v>
      </c>
      <c r="V5885" s="308"/>
    </row>
    <row r="5886">
      <c r="A5886" s="308">
        <v>5885.0</v>
      </c>
      <c r="B5886" s="308"/>
      <c r="C5886" s="308" t="s">
        <v>23562</v>
      </c>
      <c r="D5886" s="308">
        <f>IFERROR(__xludf.DUMMYFUNCTION("SPLIT(C5886,""-"")"),5906.0)</f>
        <v>5906</v>
      </c>
      <c r="E5886" s="308" t="str">
        <f>IFERROR(__xludf.DUMMYFUNCTION("""COMPUTED_VALUE"""),"K")</f>
        <v>K</v>
      </c>
      <c r="F5886" s="309" t="s">
        <v>34</v>
      </c>
      <c r="G5886" s="308"/>
      <c r="H5886" s="308" t="s">
        <v>23563</v>
      </c>
      <c r="I5886" s="314">
        <v>40876.0</v>
      </c>
      <c r="J5886" s="319">
        <f>IFERROR(__xludf.DUMMYFUNCTION("SPLIT(I5886,""/"")"),29.0)</f>
        <v>29</v>
      </c>
      <c r="K5886" s="308">
        <f>IFERROR(__xludf.DUMMYFUNCTION("""COMPUTED_VALUE"""),11.0)</f>
        <v>11</v>
      </c>
      <c r="L5886" s="308">
        <f>IFERROR(__xludf.DUMMYFUNCTION("""COMPUTED_VALUE"""),2011.0)</f>
        <v>2011</v>
      </c>
      <c r="M5886" s="308" t="s">
        <v>23564</v>
      </c>
      <c r="N5886" s="308"/>
      <c r="O5886" s="308"/>
      <c r="P5886" s="308" t="s">
        <v>136</v>
      </c>
      <c r="Q5886" s="308" t="s">
        <v>38713</v>
      </c>
      <c r="R5886" s="308" t="s">
        <v>2743</v>
      </c>
      <c r="S5886" s="315" t="s">
        <v>100</v>
      </c>
      <c r="T5886" s="308" t="s">
        <v>34208</v>
      </c>
      <c r="U5886" s="308" t="s">
        <v>125</v>
      </c>
      <c r="V5886" s="308"/>
    </row>
    <row r="5887">
      <c r="A5887" s="308">
        <v>5886.0</v>
      </c>
      <c r="B5887" s="308"/>
      <c r="C5887" s="308" t="s">
        <v>23565</v>
      </c>
      <c r="D5887" s="308">
        <f>IFERROR(__xludf.DUMMYFUNCTION("SPLIT(C5887,""-"")"),5907.0)</f>
        <v>5907</v>
      </c>
      <c r="E5887" s="308" t="str">
        <f>IFERROR(__xludf.DUMMYFUNCTION("""COMPUTED_VALUE"""),"B")</f>
        <v>B</v>
      </c>
      <c r="F5887" s="315" t="s">
        <v>26</v>
      </c>
      <c r="G5887" s="308"/>
      <c r="H5887" s="308" t="s">
        <v>23566</v>
      </c>
      <c r="I5887" s="310">
        <v>42762.0</v>
      </c>
      <c r="J5887" s="319">
        <f>IFERROR(__xludf.DUMMYFUNCTION("SPLIT(I5887,""/"")"),27.0)</f>
        <v>27</v>
      </c>
      <c r="K5887" s="308">
        <f>IFERROR(__xludf.DUMMYFUNCTION("""COMPUTED_VALUE"""),1.0)</f>
        <v>1</v>
      </c>
      <c r="L5887" s="308">
        <f>IFERROR(__xludf.DUMMYFUNCTION("""COMPUTED_VALUE"""),2017.0)</f>
        <v>2017</v>
      </c>
      <c r="M5887" s="308" t="s">
        <v>23567</v>
      </c>
      <c r="N5887" s="308"/>
      <c r="O5887" s="308" t="s">
        <v>23568</v>
      </c>
      <c r="P5887" s="308" t="s">
        <v>38714</v>
      </c>
      <c r="Q5887" s="308" t="s">
        <v>38713</v>
      </c>
      <c r="R5887" s="308" t="s">
        <v>20958</v>
      </c>
      <c r="S5887" s="308" t="s">
        <v>81</v>
      </c>
      <c r="T5887" s="308" t="s">
        <v>98</v>
      </c>
      <c r="U5887" s="308" t="s">
        <v>27</v>
      </c>
      <c r="V5887" s="308"/>
    </row>
    <row r="5888">
      <c r="A5888" s="308">
        <v>5887.0</v>
      </c>
      <c r="B5888" s="308"/>
      <c r="C5888" s="308" t="s">
        <v>23570</v>
      </c>
      <c r="D5888" s="308">
        <f>IFERROR(__xludf.DUMMYFUNCTION("SPLIT(C5888,""-"")"),5908.0)</f>
        <v>5908</v>
      </c>
      <c r="E5888" s="308" t="str">
        <f>IFERROR(__xludf.DUMMYFUNCTION("""COMPUTED_VALUE"""),"F")</f>
        <v>F</v>
      </c>
      <c r="F5888" s="309" t="s">
        <v>34</v>
      </c>
      <c r="G5888" s="308"/>
      <c r="H5888" s="308" t="s">
        <v>23571</v>
      </c>
      <c r="I5888" s="310">
        <v>42705.0</v>
      </c>
      <c r="J5888" s="319">
        <f>IFERROR(__xludf.DUMMYFUNCTION("SPLIT(I5888,""/"")"),1.0)</f>
        <v>1</v>
      </c>
      <c r="K5888" s="308">
        <f>IFERROR(__xludf.DUMMYFUNCTION("""COMPUTED_VALUE"""),12.0)</f>
        <v>12</v>
      </c>
      <c r="L5888" s="308">
        <f>IFERROR(__xludf.DUMMYFUNCTION("""COMPUTED_VALUE"""),2016.0)</f>
        <v>2016</v>
      </c>
      <c r="M5888" s="308" t="s">
        <v>23572</v>
      </c>
      <c r="N5888" s="308" t="s">
        <v>23573</v>
      </c>
      <c r="O5888" s="308"/>
      <c r="P5888" s="308" t="s">
        <v>23574</v>
      </c>
      <c r="Q5888" s="308" t="s">
        <v>38713</v>
      </c>
      <c r="R5888" s="308" t="s">
        <v>2743</v>
      </c>
      <c r="S5888" s="308" t="s">
        <v>81</v>
      </c>
      <c r="T5888" s="308" t="s">
        <v>34264</v>
      </c>
      <c r="U5888" s="308" t="s">
        <v>195</v>
      </c>
      <c r="V5888" s="308"/>
    </row>
    <row r="5889">
      <c r="A5889" s="308">
        <v>5888.0</v>
      </c>
      <c r="B5889" s="308"/>
      <c r="C5889" s="308" t="s">
        <v>23575</v>
      </c>
      <c r="D5889" s="308">
        <f>IFERROR(__xludf.DUMMYFUNCTION("SPLIT(C5889,""-"")"),5909.0)</f>
        <v>5909</v>
      </c>
      <c r="E5889" s="308" t="str">
        <f>IFERROR(__xludf.DUMMYFUNCTION("""COMPUTED_VALUE"""),"S")</f>
        <v>S</v>
      </c>
      <c r="F5889" s="312" t="s">
        <v>39</v>
      </c>
      <c r="G5889" s="308"/>
      <c r="H5889" s="308" t="s">
        <v>23576</v>
      </c>
      <c r="I5889" s="310">
        <v>42510.0</v>
      </c>
      <c r="J5889" s="319">
        <f>IFERROR(__xludf.DUMMYFUNCTION("SPLIT(I5889,""/"")"),20.0)</f>
        <v>20</v>
      </c>
      <c r="K5889" s="308">
        <f>IFERROR(__xludf.DUMMYFUNCTION("""COMPUTED_VALUE"""),5.0)</f>
        <v>5</v>
      </c>
      <c r="L5889" s="308">
        <f>IFERROR(__xludf.DUMMYFUNCTION("""COMPUTED_VALUE"""),2016.0)</f>
        <v>2016</v>
      </c>
      <c r="M5889" s="308" t="s">
        <v>23577</v>
      </c>
      <c r="N5889" s="308"/>
      <c r="O5889" s="308"/>
      <c r="P5889" s="308" t="s">
        <v>136</v>
      </c>
      <c r="Q5889" s="308" t="s">
        <v>38713</v>
      </c>
      <c r="R5889" s="308" t="s">
        <v>19483</v>
      </c>
      <c r="S5889" s="315" t="s">
        <v>100</v>
      </c>
      <c r="T5889" s="308" t="s">
        <v>34208</v>
      </c>
      <c r="U5889" s="308" t="s">
        <v>166</v>
      </c>
      <c r="V5889" s="308"/>
    </row>
    <row r="5890">
      <c r="A5890" s="308">
        <v>5889.0</v>
      </c>
      <c r="B5890" s="308"/>
      <c r="C5890" s="308" t="s">
        <v>38715</v>
      </c>
      <c r="D5890" s="308"/>
      <c r="E5890" s="311"/>
      <c r="F5890" s="309" t="s">
        <v>31</v>
      </c>
      <c r="G5890" s="308"/>
      <c r="H5890" s="308" t="s">
        <v>19418</v>
      </c>
      <c r="I5890" s="310">
        <v>43539.0</v>
      </c>
      <c r="J5890" s="319">
        <f>IFERROR(__xludf.DUMMYFUNCTION("SPLIT(I5890,""/"")"),15.0)</f>
        <v>15</v>
      </c>
      <c r="K5890" s="308">
        <f>IFERROR(__xludf.DUMMYFUNCTION("""COMPUTED_VALUE"""),3.0)</f>
        <v>3</v>
      </c>
      <c r="L5890" s="308">
        <f>IFERROR(__xludf.DUMMYFUNCTION("""COMPUTED_VALUE"""),2019.0)</f>
        <v>2019</v>
      </c>
      <c r="M5890" s="308" t="s">
        <v>19419</v>
      </c>
      <c r="N5890" s="308" t="s">
        <v>19420</v>
      </c>
      <c r="O5890" s="308" t="s">
        <v>23579</v>
      </c>
      <c r="P5890" s="308" t="s">
        <v>23580</v>
      </c>
      <c r="Q5890" s="308" t="s">
        <v>38716</v>
      </c>
      <c r="R5890" s="308" t="s">
        <v>2743</v>
      </c>
      <c r="S5890" s="308" t="s">
        <v>81</v>
      </c>
      <c r="T5890" s="308" t="s">
        <v>75</v>
      </c>
      <c r="U5890" s="308" t="s">
        <v>5990</v>
      </c>
      <c r="V5890" s="308"/>
    </row>
    <row r="5891">
      <c r="A5891" s="308">
        <v>5890.0</v>
      </c>
      <c r="B5891" s="308"/>
      <c r="C5891" s="308" t="s">
        <v>23581</v>
      </c>
      <c r="D5891" s="308">
        <f>IFERROR(__xludf.DUMMYFUNCTION("SPLIT(C5891,""-"")"),5911.0)</f>
        <v>5911</v>
      </c>
      <c r="E5891" s="308" t="str">
        <f>IFERROR(__xludf.DUMMYFUNCTION("""COMPUTED_VALUE"""),"K")</f>
        <v>K</v>
      </c>
      <c r="F5891" s="309" t="s">
        <v>34</v>
      </c>
      <c r="G5891" s="308"/>
      <c r="H5891" s="308" t="s">
        <v>23582</v>
      </c>
      <c r="I5891" s="310">
        <v>42593.0</v>
      </c>
      <c r="J5891" s="319">
        <f>IFERROR(__xludf.DUMMYFUNCTION("SPLIT(I5891,""/"")"),11.0)</f>
        <v>11</v>
      </c>
      <c r="K5891" s="308">
        <f>IFERROR(__xludf.DUMMYFUNCTION("""COMPUTED_VALUE"""),8.0)</f>
        <v>8</v>
      </c>
      <c r="L5891" s="308">
        <f>IFERROR(__xludf.DUMMYFUNCTION("""COMPUTED_VALUE"""),2016.0)</f>
        <v>2016</v>
      </c>
      <c r="M5891" s="308" t="s">
        <v>23583</v>
      </c>
      <c r="N5891" s="308"/>
      <c r="O5891" s="308"/>
      <c r="P5891" s="308" t="s">
        <v>136</v>
      </c>
      <c r="Q5891" s="308" t="s">
        <v>38717</v>
      </c>
      <c r="R5891" s="308" t="s">
        <v>2743</v>
      </c>
      <c r="S5891" s="315" t="s">
        <v>100</v>
      </c>
      <c r="T5891" s="308" t="s">
        <v>34208</v>
      </c>
      <c r="U5891" s="308" t="s">
        <v>4749</v>
      </c>
      <c r="V5891" s="308"/>
    </row>
    <row r="5892">
      <c r="A5892" s="308">
        <v>5891.0</v>
      </c>
      <c r="B5892" s="308"/>
      <c r="C5892" s="308" t="s">
        <v>23584</v>
      </c>
      <c r="D5892" s="308">
        <f>IFERROR(__xludf.DUMMYFUNCTION("SPLIT(C5892,""-"")"),5912.0)</f>
        <v>5912</v>
      </c>
      <c r="E5892" s="308" t="str">
        <f>IFERROR(__xludf.DUMMYFUNCTION("""COMPUTED_VALUE"""),"K")</f>
        <v>K</v>
      </c>
      <c r="F5892" s="309" t="s">
        <v>34</v>
      </c>
      <c r="G5892" s="308"/>
      <c r="H5892" s="308" t="s">
        <v>23585</v>
      </c>
      <c r="I5892" s="310">
        <v>43235.0</v>
      </c>
      <c r="J5892" s="319">
        <f>IFERROR(__xludf.DUMMYFUNCTION("SPLIT(I5892,""/"")"),15.0)</f>
        <v>15</v>
      </c>
      <c r="K5892" s="308">
        <f>IFERROR(__xludf.DUMMYFUNCTION("""COMPUTED_VALUE"""),5.0)</f>
        <v>5</v>
      </c>
      <c r="L5892" s="308">
        <f>IFERROR(__xludf.DUMMYFUNCTION("""COMPUTED_VALUE"""),2018.0)</f>
        <v>2018</v>
      </c>
      <c r="M5892" s="308" t="s">
        <v>23586</v>
      </c>
      <c r="N5892" s="308"/>
      <c r="O5892" s="308"/>
      <c r="P5892" s="308" t="s">
        <v>38718</v>
      </c>
      <c r="Q5892" s="308" t="s">
        <v>38717</v>
      </c>
      <c r="R5892" s="308" t="s">
        <v>2743</v>
      </c>
      <c r="S5892" s="308" t="s">
        <v>81</v>
      </c>
      <c r="T5892" s="308" t="s">
        <v>75</v>
      </c>
      <c r="U5892" s="308" t="s">
        <v>201</v>
      </c>
      <c r="V5892" s="308"/>
    </row>
    <row r="5893">
      <c r="A5893" s="308">
        <v>5892.0</v>
      </c>
      <c r="B5893" s="308"/>
      <c r="C5893" s="308" t="s">
        <v>23588</v>
      </c>
      <c r="D5893" s="308">
        <f>IFERROR(__xludf.DUMMYFUNCTION("SPLIT(C5893,""-"")"),5913.0)</f>
        <v>5913</v>
      </c>
      <c r="E5893" s="308" t="str">
        <f>IFERROR(__xludf.DUMMYFUNCTION("""COMPUTED_VALUE"""),"K")</f>
        <v>K</v>
      </c>
      <c r="F5893" s="309" t="s">
        <v>34</v>
      </c>
      <c r="G5893" s="308"/>
      <c r="H5893" s="308" t="s">
        <v>23589</v>
      </c>
      <c r="I5893" s="310">
        <v>42025.0</v>
      </c>
      <c r="J5893" s="319">
        <f>IFERROR(__xludf.DUMMYFUNCTION("SPLIT(I5893,""/"")"),21.0)</f>
        <v>21</v>
      </c>
      <c r="K5893" s="308">
        <f>IFERROR(__xludf.DUMMYFUNCTION("""COMPUTED_VALUE"""),1.0)</f>
        <v>1</v>
      </c>
      <c r="L5893" s="308">
        <f>IFERROR(__xludf.DUMMYFUNCTION("""COMPUTED_VALUE"""),2015.0)</f>
        <v>2015</v>
      </c>
      <c r="M5893" s="308" t="s">
        <v>23590</v>
      </c>
      <c r="N5893" s="308" t="s">
        <v>439</v>
      </c>
      <c r="O5893" s="308" t="s">
        <v>23591</v>
      </c>
      <c r="P5893" s="308" t="s">
        <v>38719</v>
      </c>
      <c r="Q5893" s="308" t="s">
        <v>38717</v>
      </c>
      <c r="R5893" s="308" t="s">
        <v>2743</v>
      </c>
      <c r="S5893" s="308" t="s">
        <v>81</v>
      </c>
      <c r="T5893" s="308" t="s">
        <v>34264</v>
      </c>
      <c r="U5893" s="308" t="s">
        <v>2152</v>
      </c>
      <c r="V5893" s="308"/>
    </row>
    <row r="5894">
      <c r="A5894" s="308">
        <v>5893.0</v>
      </c>
      <c r="B5894" s="308"/>
      <c r="C5894" s="308" t="s">
        <v>23593</v>
      </c>
      <c r="D5894" s="308">
        <f>IFERROR(__xludf.DUMMYFUNCTION("SPLIT(C5894,""-"")"),5914.0)</f>
        <v>5914</v>
      </c>
      <c r="E5894" s="308" t="str">
        <f>IFERROR(__xludf.DUMMYFUNCTION("""COMPUTED_VALUE"""),"I")</f>
        <v>I</v>
      </c>
      <c r="F5894" s="309" t="s">
        <v>31</v>
      </c>
      <c r="G5894" s="308"/>
      <c r="H5894" s="308" t="s">
        <v>23594</v>
      </c>
      <c r="I5894" s="310">
        <v>43547.0</v>
      </c>
      <c r="J5894" s="319">
        <f>IFERROR(__xludf.DUMMYFUNCTION("SPLIT(I5894,""/"")"),23.0)</f>
        <v>23</v>
      </c>
      <c r="K5894" s="308">
        <f>IFERROR(__xludf.DUMMYFUNCTION("""COMPUTED_VALUE"""),3.0)</f>
        <v>3</v>
      </c>
      <c r="L5894" s="308">
        <f>IFERROR(__xludf.DUMMYFUNCTION("""COMPUTED_VALUE"""),2019.0)</f>
        <v>2019</v>
      </c>
      <c r="M5894" s="308" t="s">
        <v>23595</v>
      </c>
      <c r="N5894" s="308"/>
      <c r="O5894" s="308"/>
      <c r="P5894" s="308" t="s">
        <v>38720</v>
      </c>
      <c r="Q5894" s="308" t="s">
        <v>38717</v>
      </c>
      <c r="R5894" s="308" t="s">
        <v>2743</v>
      </c>
      <c r="S5894" s="308" t="s">
        <v>81</v>
      </c>
      <c r="T5894" s="311" t="s">
        <v>96</v>
      </c>
      <c r="U5894" s="308" t="s">
        <v>31</v>
      </c>
      <c r="V5894" s="308"/>
    </row>
    <row r="5895">
      <c r="A5895" s="308">
        <v>5894.0</v>
      </c>
      <c r="B5895" s="308"/>
      <c r="C5895" s="308" t="s">
        <v>23597</v>
      </c>
      <c r="D5895" s="308">
        <f>IFERROR(__xludf.DUMMYFUNCTION("SPLIT(C5895,""-"")"),5915.0)</f>
        <v>5915</v>
      </c>
      <c r="E5895" s="308" t="str">
        <f>IFERROR(__xludf.DUMMYFUNCTION("""COMPUTED_VALUE"""),"K")</f>
        <v>K</v>
      </c>
      <c r="F5895" s="309" t="s">
        <v>34</v>
      </c>
      <c r="G5895" s="308"/>
      <c r="H5895" s="308" t="s">
        <v>23598</v>
      </c>
      <c r="I5895" s="310">
        <v>42070.0</v>
      </c>
      <c r="J5895" s="319">
        <f>IFERROR(__xludf.DUMMYFUNCTION("SPLIT(I5895,""/"")"),7.0)</f>
        <v>7</v>
      </c>
      <c r="K5895" s="308">
        <f>IFERROR(__xludf.DUMMYFUNCTION("""COMPUTED_VALUE"""),3.0)</f>
        <v>3</v>
      </c>
      <c r="L5895" s="308">
        <f>IFERROR(__xludf.DUMMYFUNCTION("""COMPUTED_VALUE"""),2015.0)</f>
        <v>2015</v>
      </c>
      <c r="M5895" s="308" t="s">
        <v>23599</v>
      </c>
      <c r="N5895" s="308"/>
      <c r="O5895" s="308" t="s">
        <v>23600</v>
      </c>
      <c r="P5895" s="308" t="s">
        <v>38721</v>
      </c>
      <c r="Q5895" s="308" t="s">
        <v>38722</v>
      </c>
      <c r="R5895" s="308" t="s">
        <v>2743</v>
      </c>
      <c r="S5895" s="308" t="s">
        <v>49</v>
      </c>
      <c r="T5895" s="308" t="s">
        <v>51</v>
      </c>
      <c r="U5895" s="308" t="s">
        <v>1509</v>
      </c>
      <c r="V5895" s="308" t="s">
        <v>23602</v>
      </c>
    </row>
    <row r="5896">
      <c r="A5896" s="308">
        <v>5895.0</v>
      </c>
      <c r="B5896" s="308"/>
      <c r="C5896" s="308" t="s">
        <v>23603</v>
      </c>
      <c r="D5896" s="308">
        <f>IFERROR(__xludf.DUMMYFUNCTION("SPLIT(C5896,""-"")"),5916.0)</f>
        <v>5916</v>
      </c>
      <c r="E5896" s="308" t="str">
        <f>IFERROR(__xludf.DUMMYFUNCTION("""COMPUTED_VALUE"""),"P")</f>
        <v>P</v>
      </c>
      <c r="F5896" s="312" t="s">
        <v>37</v>
      </c>
      <c r="G5896" s="308"/>
      <c r="H5896" s="308" t="s">
        <v>23604</v>
      </c>
      <c r="I5896" s="310">
        <v>42141.0</v>
      </c>
      <c r="J5896" s="319">
        <f>IFERROR(__xludf.DUMMYFUNCTION("SPLIT(I5896,""/"")"),17.0)</f>
        <v>17</v>
      </c>
      <c r="K5896" s="308">
        <f>IFERROR(__xludf.DUMMYFUNCTION("""COMPUTED_VALUE"""),5.0)</f>
        <v>5</v>
      </c>
      <c r="L5896" s="308">
        <f>IFERROR(__xludf.DUMMYFUNCTION("""COMPUTED_VALUE"""),2015.0)</f>
        <v>2015</v>
      </c>
      <c r="M5896" s="308" t="s">
        <v>23605</v>
      </c>
      <c r="N5896" s="308"/>
      <c r="O5896" s="308"/>
      <c r="P5896" s="308" t="s">
        <v>38723</v>
      </c>
      <c r="Q5896" s="308" t="s">
        <v>38722</v>
      </c>
      <c r="R5896" s="308" t="s">
        <v>2743</v>
      </c>
      <c r="S5896" s="308" t="s">
        <v>49</v>
      </c>
      <c r="T5896" s="308" t="s">
        <v>51</v>
      </c>
      <c r="U5896" s="308" t="s">
        <v>143</v>
      </c>
      <c r="V5896" s="308" t="s">
        <v>23607</v>
      </c>
    </row>
    <row r="5897">
      <c r="A5897" s="308">
        <v>5896.0</v>
      </c>
      <c r="B5897" s="308"/>
      <c r="C5897" s="308" t="s">
        <v>23608</v>
      </c>
      <c r="D5897" s="308">
        <f>IFERROR(__xludf.DUMMYFUNCTION("SPLIT(C5897,""-"")"),5917.0)</f>
        <v>5917</v>
      </c>
      <c r="E5897" s="308" t="str">
        <f>IFERROR(__xludf.DUMMYFUNCTION("""COMPUTED_VALUE"""),"P")</f>
        <v>P</v>
      </c>
      <c r="F5897" s="312" t="s">
        <v>37</v>
      </c>
      <c r="G5897" s="308"/>
      <c r="H5897" s="308" t="s">
        <v>23609</v>
      </c>
      <c r="I5897" s="310">
        <v>43523.0</v>
      </c>
      <c r="J5897" s="319">
        <f>IFERROR(__xludf.DUMMYFUNCTION("SPLIT(I5897,""/"")"),27.0)</f>
        <v>27</v>
      </c>
      <c r="K5897" s="308">
        <f>IFERROR(__xludf.DUMMYFUNCTION("""COMPUTED_VALUE"""),2.0)</f>
        <v>2</v>
      </c>
      <c r="L5897" s="308">
        <f>IFERROR(__xludf.DUMMYFUNCTION("""COMPUTED_VALUE"""),2019.0)</f>
        <v>2019</v>
      </c>
      <c r="M5897" s="308" t="s">
        <v>23610</v>
      </c>
      <c r="N5897" s="308"/>
      <c r="O5897" s="308" t="s">
        <v>23611</v>
      </c>
      <c r="P5897" s="308" t="s">
        <v>23612</v>
      </c>
      <c r="Q5897" s="308" t="s">
        <v>38722</v>
      </c>
      <c r="R5897" s="308" t="s">
        <v>2743</v>
      </c>
      <c r="S5897" s="308" t="s">
        <v>81</v>
      </c>
      <c r="T5897" s="308" t="s">
        <v>75</v>
      </c>
      <c r="U5897" s="308" t="s">
        <v>149</v>
      </c>
      <c r="V5897" s="308"/>
    </row>
    <row r="5898">
      <c r="A5898" s="308">
        <v>5897.0</v>
      </c>
      <c r="B5898" s="308"/>
      <c r="C5898" s="308" t="s">
        <v>23613</v>
      </c>
      <c r="D5898" s="308">
        <f>IFERROR(__xludf.DUMMYFUNCTION("SPLIT(C5898,""-"")"),5918.0)</f>
        <v>5918</v>
      </c>
      <c r="E5898" s="308" t="str">
        <f>IFERROR(__xludf.DUMMYFUNCTION("""COMPUTED_VALUE"""),"K")</f>
        <v>K</v>
      </c>
      <c r="F5898" s="309" t="s">
        <v>34</v>
      </c>
      <c r="G5898" s="308"/>
      <c r="H5898" s="308" t="s">
        <v>23614</v>
      </c>
      <c r="I5898" s="314">
        <v>43422.0</v>
      </c>
      <c r="J5898" s="319">
        <f>IFERROR(__xludf.DUMMYFUNCTION("SPLIT(I5898,""/"")"),18.0)</f>
        <v>18</v>
      </c>
      <c r="K5898" s="308">
        <f>IFERROR(__xludf.DUMMYFUNCTION("""COMPUTED_VALUE"""),11.0)</f>
        <v>11</v>
      </c>
      <c r="L5898" s="308">
        <f>IFERROR(__xludf.DUMMYFUNCTION("""COMPUTED_VALUE"""),2018.0)</f>
        <v>2018</v>
      </c>
      <c r="M5898" s="308" t="s">
        <v>23615</v>
      </c>
      <c r="N5898" s="308"/>
      <c r="O5898" s="308" t="s">
        <v>23616</v>
      </c>
      <c r="P5898" s="308" t="s">
        <v>38724</v>
      </c>
      <c r="Q5898" s="308" t="s">
        <v>38722</v>
      </c>
      <c r="R5898" s="308" t="s">
        <v>2743</v>
      </c>
      <c r="S5898" s="308" t="s">
        <v>49</v>
      </c>
      <c r="T5898" s="308" t="s">
        <v>51</v>
      </c>
      <c r="U5898" s="308" t="s">
        <v>2466</v>
      </c>
      <c r="V5898" s="308"/>
    </row>
    <row r="5899">
      <c r="A5899" s="308">
        <v>5898.0</v>
      </c>
      <c r="B5899" s="308"/>
      <c r="C5899" s="308" t="s">
        <v>23618</v>
      </c>
      <c r="D5899" s="308">
        <f>IFERROR(__xludf.DUMMYFUNCTION("SPLIT(C5899,""-"")"),5919.0)</f>
        <v>5919</v>
      </c>
      <c r="E5899" s="308" t="str">
        <f>IFERROR(__xludf.DUMMYFUNCTION("""COMPUTED_VALUE"""),"P")</f>
        <v>P</v>
      </c>
      <c r="F5899" s="312" t="s">
        <v>37</v>
      </c>
      <c r="G5899" s="308"/>
      <c r="H5899" s="308" t="s">
        <v>23619</v>
      </c>
      <c r="I5899" s="310">
        <v>40225.0</v>
      </c>
      <c r="J5899" s="319">
        <f>IFERROR(__xludf.DUMMYFUNCTION("SPLIT(I5899,""/"")"),16.0)</f>
        <v>16</v>
      </c>
      <c r="K5899" s="308">
        <f>IFERROR(__xludf.DUMMYFUNCTION("""COMPUTED_VALUE"""),2.0)</f>
        <v>2</v>
      </c>
      <c r="L5899" s="308">
        <f>IFERROR(__xludf.DUMMYFUNCTION("""COMPUTED_VALUE"""),2010.0)</f>
        <v>2010</v>
      </c>
      <c r="M5899" s="308" t="s">
        <v>23620</v>
      </c>
      <c r="N5899" s="308" t="s">
        <v>23621</v>
      </c>
      <c r="O5899" s="308"/>
      <c r="P5899" s="308" t="s">
        <v>136</v>
      </c>
      <c r="Q5899" s="308" t="s">
        <v>38725</v>
      </c>
      <c r="R5899" s="308" t="s">
        <v>2743</v>
      </c>
      <c r="S5899" s="315" t="s">
        <v>100</v>
      </c>
      <c r="T5899" s="308" t="s">
        <v>34208</v>
      </c>
      <c r="U5899" s="308" t="s">
        <v>143</v>
      </c>
      <c r="V5899" s="308" t="s">
        <v>23622</v>
      </c>
    </row>
    <row r="5900">
      <c r="A5900" s="308">
        <v>5899.0</v>
      </c>
      <c r="B5900" s="308"/>
      <c r="C5900" s="308" t="s">
        <v>23623</v>
      </c>
      <c r="D5900" s="308">
        <f>IFERROR(__xludf.DUMMYFUNCTION("SPLIT(C5900,""-"")"),5920.0)</f>
        <v>5920</v>
      </c>
      <c r="E5900" s="308" t="str">
        <f>IFERROR(__xludf.DUMMYFUNCTION("""COMPUTED_VALUE"""),"K")</f>
        <v>K</v>
      </c>
      <c r="F5900" s="309" t="s">
        <v>34</v>
      </c>
      <c r="G5900" s="308"/>
      <c r="H5900" s="308" t="s">
        <v>23624</v>
      </c>
      <c r="I5900" s="310">
        <v>39995.0</v>
      </c>
      <c r="J5900" s="319">
        <f>IFERROR(__xludf.DUMMYFUNCTION("SPLIT(I5900,""/"")"),1.0)</f>
        <v>1</v>
      </c>
      <c r="K5900" s="308">
        <f>IFERROR(__xludf.DUMMYFUNCTION("""COMPUTED_VALUE"""),7.0)</f>
        <v>7</v>
      </c>
      <c r="L5900" s="308">
        <f>IFERROR(__xludf.DUMMYFUNCTION("""COMPUTED_VALUE"""),2009.0)</f>
        <v>2009</v>
      </c>
      <c r="M5900" s="308" t="s">
        <v>23625</v>
      </c>
      <c r="N5900" s="308" t="s">
        <v>439</v>
      </c>
      <c r="O5900" s="308"/>
      <c r="P5900" s="308" t="s">
        <v>136</v>
      </c>
      <c r="Q5900" s="308" t="s">
        <v>38725</v>
      </c>
      <c r="R5900" s="308" t="s">
        <v>2743</v>
      </c>
      <c r="S5900" s="315" t="s">
        <v>100</v>
      </c>
      <c r="T5900" s="308" t="s">
        <v>34208</v>
      </c>
      <c r="U5900" s="308" t="s">
        <v>530</v>
      </c>
      <c r="V5900" s="308"/>
    </row>
    <row r="5901">
      <c r="A5901" s="308">
        <v>5900.0</v>
      </c>
      <c r="B5901" s="308"/>
      <c r="C5901" s="308" t="s">
        <v>23626</v>
      </c>
      <c r="D5901" s="308">
        <f>IFERROR(__xludf.DUMMYFUNCTION("SPLIT(C5901,""-"")"),5921.0)</f>
        <v>5921</v>
      </c>
      <c r="E5901" s="308" t="str">
        <f>IFERROR(__xludf.DUMMYFUNCTION("""COMPUTED_VALUE"""),"S")</f>
        <v>S</v>
      </c>
      <c r="F5901" s="312" t="s">
        <v>39</v>
      </c>
      <c r="G5901" s="308"/>
      <c r="H5901" s="308" t="s">
        <v>23627</v>
      </c>
      <c r="I5901" s="310">
        <v>41688.0</v>
      </c>
      <c r="J5901" s="319">
        <f>IFERROR(__xludf.DUMMYFUNCTION("SPLIT(I5901,""/"")"),18.0)</f>
        <v>18</v>
      </c>
      <c r="K5901" s="308">
        <f>IFERROR(__xludf.DUMMYFUNCTION("""COMPUTED_VALUE"""),2.0)</f>
        <v>2</v>
      </c>
      <c r="L5901" s="308">
        <f>IFERROR(__xludf.DUMMYFUNCTION("""COMPUTED_VALUE"""),2014.0)</f>
        <v>2014</v>
      </c>
      <c r="M5901" s="308" t="s">
        <v>23628</v>
      </c>
      <c r="N5901" s="308"/>
      <c r="O5901" s="308"/>
      <c r="P5901" s="308" t="s">
        <v>23629</v>
      </c>
      <c r="Q5901" s="308" t="s">
        <v>38725</v>
      </c>
      <c r="R5901" s="308" t="s">
        <v>2743</v>
      </c>
      <c r="S5901" s="308" t="s">
        <v>49</v>
      </c>
      <c r="T5901" s="311" t="s">
        <v>69</v>
      </c>
      <c r="U5901" s="308" t="s">
        <v>166</v>
      </c>
      <c r="V5901" s="308"/>
    </row>
    <row r="5902">
      <c r="A5902" s="308">
        <v>5901.0</v>
      </c>
      <c r="B5902" s="308"/>
      <c r="C5902" s="308" t="s">
        <v>23630</v>
      </c>
      <c r="D5902" s="308">
        <f>IFERROR(__xludf.DUMMYFUNCTION("SPLIT(C5902,""-"")"),5922.0)</f>
        <v>5922</v>
      </c>
      <c r="E5902" s="308" t="str">
        <f>IFERROR(__xludf.DUMMYFUNCTION("""COMPUTED_VALUE"""),"S")</f>
        <v>S</v>
      </c>
      <c r="F5902" s="312" t="s">
        <v>39</v>
      </c>
      <c r="G5902" s="308"/>
      <c r="H5902" s="308" t="s">
        <v>23631</v>
      </c>
      <c r="I5902" s="314">
        <v>43391.0</v>
      </c>
      <c r="J5902" s="319">
        <f>IFERROR(__xludf.DUMMYFUNCTION("SPLIT(I5902,""/"")"),18.0)</f>
        <v>18</v>
      </c>
      <c r="K5902" s="308">
        <f>IFERROR(__xludf.DUMMYFUNCTION("""COMPUTED_VALUE"""),10.0)</f>
        <v>10</v>
      </c>
      <c r="L5902" s="308">
        <f>IFERROR(__xludf.DUMMYFUNCTION("""COMPUTED_VALUE"""),2018.0)</f>
        <v>2018</v>
      </c>
      <c r="M5902" s="308" t="s">
        <v>23632</v>
      </c>
      <c r="N5902" s="308"/>
      <c r="O5902" s="308"/>
      <c r="P5902" s="308" t="s">
        <v>136</v>
      </c>
      <c r="Q5902" s="308" t="s">
        <v>38725</v>
      </c>
      <c r="R5902" s="308" t="s">
        <v>2743</v>
      </c>
      <c r="S5902" s="315" t="s">
        <v>100</v>
      </c>
      <c r="T5902" s="308" t="s">
        <v>34208</v>
      </c>
      <c r="U5902" s="308" t="s">
        <v>166</v>
      </c>
      <c r="V5902" s="308"/>
    </row>
    <row r="5903">
      <c r="A5903" s="308">
        <v>5902.0</v>
      </c>
      <c r="B5903" s="308"/>
      <c r="C5903" s="308" t="s">
        <v>23633</v>
      </c>
      <c r="D5903" s="308">
        <f>IFERROR(__xludf.DUMMYFUNCTION("SPLIT(C5903,""-"")"),5923.0)</f>
        <v>5923</v>
      </c>
      <c r="E5903" s="308" t="str">
        <f>IFERROR(__xludf.DUMMYFUNCTION("""COMPUTED_VALUE"""),"K")</f>
        <v>K</v>
      </c>
      <c r="F5903" s="309" t="s">
        <v>34</v>
      </c>
      <c r="G5903" s="308"/>
      <c r="H5903" s="308" t="s">
        <v>23634</v>
      </c>
      <c r="I5903" s="310">
        <v>41877.0</v>
      </c>
      <c r="J5903" s="319">
        <f>IFERROR(__xludf.DUMMYFUNCTION("SPLIT(I5903,""/"")"),26.0)</f>
        <v>26</v>
      </c>
      <c r="K5903" s="308">
        <f>IFERROR(__xludf.DUMMYFUNCTION("""COMPUTED_VALUE"""),8.0)</f>
        <v>8</v>
      </c>
      <c r="L5903" s="308">
        <f>IFERROR(__xludf.DUMMYFUNCTION("""COMPUTED_VALUE"""),2014.0)</f>
        <v>2014</v>
      </c>
      <c r="M5903" s="308" t="s">
        <v>23635</v>
      </c>
      <c r="N5903" s="308" t="s">
        <v>23636</v>
      </c>
      <c r="O5903" s="308" t="s">
        <v>23637</v>
      </c>
      <c r="P5903" s="308" t="s">
        <v>23638</v>
      </c>
      <c r="Q5903" s="308" t="s">
        <v>38725</v>
      </c>
      <c r="R5903" s="308" t="s">
        <v>2743</v>
      </c>
      <c r="S5903" s="308" t="s">
        <v>49</v>
      </c>
      <c r="T5903" s="311" t="s">
        <v>51</v>
      </c>
      <c r="U5903" s="308" t="s">
        <v>2152</v>
      </c>
      <c r="V5903" s="308"/>
    </row>
    <row r="5904">
      <c r="A5904" s="308">
        <v>5903.0</v>
      </c>
      <c r="B5904" s="308"/>
      <c r="C5904" s="308" t="s">
        <v>23639</v>
      </c>
      <c r="D5904" s="308">
        <f>IFERROR(__xludf.DUMMYFUNCTION("SPLIT(C5904,""-"")"),5924.0)</f>
        <v>5924</v>
      </c>
      <c r="E5904" s="308" t="str">
        <f>IFERROR(__xludf.DUMMYFUNCTION("""COMPUTED_VALUE"""),"K")</f>
        <v>K</v>
      </c>
      <c r="F5904" s="309" t="s">
        <v>34</v>
      </c>
      <c r="G5904" s="308"/>
      <c r="H5904" s="308" t="s">
        <v>23640</v>
      </c>
      <c r="I5904" s="310">
        <v>41456.0</v>
      </c>
      <c r="J5904" s="319">
        <f>IFERROR(__xludf.DUMMYFUNCTION("SPLIT(I5904,""/"")"),1.0)</f>
        <v>1</v>
      </c>
      <c r="K5904" s="308">
        <f>IFERROR(__xludf.DUMMYFUNCTION("""COMPUTED_VALUE"""),7.0)</f>
        <v>7</v>
      </c>
      <c r="L5904" s="308">
        <f>IFERROR(__xludf.DUMMYFUNCTION("""COMPUTED_VALUE"""),2013.0)</f>
        <v>2013</v>
      </c>
      <c r="M5904" s="308" t="s">
        <v>23641</v>
      </c>
      <c r="N5904" s="308" t="s">
        <v>23642</v>
      </c>
      <c r="O5904" s="308" t="s">
        <v>38726</v>
      </c>
      <c r="P5904" s="308" t="s">
        <v>136</v>
      </c>
      <c r="Q5904" s="308" t="s">
        <v>38725</v>
      </c>
      <c r="R5904" s="308" t="s">
        <v>2743</v>
      </c>
      <c r="S5904" s="315" t="s">
        <v>100</v>
      </c>
      <c r="T5904" s="308" t="s">
        <v>34208</v>
      </c>
      <c r="U5904" s="308" t="s">
        <v>530</v>
      </c>
      <c r="V5904" s="308"/>
    </row>
    <row r="5905">
      <c r="A5905" s="308">
        <v>5904.0</v>
      </c>
      <c r="B5905" s="308"/>
      <c r="C5905" s="308" t="s">
        <v>23644</v>
      </c>
      <c r="D5905" s="308">
        <f>IFERROR(__xludf.DUMMYFUNCTION("SPLIT(C5905,""-"")"),5925.0)</f>
        <v>5925</v>
      </c>
      <c r="E5905" s="308" t="str">
        <f>IFERROR(__xludf.DUMMYFUNCTION("""COMPUTED_VALUE"""),"K")</f>
        <v>K</v>
      </c>
      <c r="F5905" s="309" t="s">
        <v>34</v>
      </c>
      <c r="G5905" s="308"/>
      <c r="H5905" s="308" t="s">
        <v>23645</v>
      </c>
      <c r="I5905" s="310">
        <v>41334.0</v>
      </c>
      <c r="J5905" s="319">
        <f>IFERROR(__xludf.DUMMYFUNCTION("SPLIT(I5905,""/"")"),1.0)</f>
        <v>1</v>
      </c>
      <c r="K5905" s="308">
        <f>IFERROR(__xludf.DUMMYFUNCTION("""COMPUTED_VALUE"""),3.0)</f>
        <v>3</v>
      </c>
      <c r="L5905" s="308">
        <f>IFERROR(__xludf.DUMMYFUNCTION("""COMPUTED_VALUE"""),2013.0)</f>
        <v>2013</v>
      </c>
      <c r="M5905" s="308" t="s">
        <v>23646</v>
      </c>
      <c r="N5905" s="308"/>
      <c r="O5905" s="308" t="s">
        <v>23647</v>
      </c>
      <c r="P5905" s="308" t="s">
        <v>8147</v>
      </c>
      <c r="Q5905" s="308" t="s">
        <v>38725</v>
      </c>
      <c r="R5905" s="308" t="s">
        <v>2743</v>
      </c>
      <c r="S5905" s="308" t="s">
        <v>49</v>
      </c>
      <c r="T5905" s="311" t="s">
        <v>51</v>
      </c>
      <c r="U5905" s="308" t="s">
        <v>542</v>
      </c>
      <c r="V5905" s="308"/>
    </row>
    <row r="5906">
      <c r="A5906" s="308">
        <v>5905.0</v>
      </c>
      <c r="B5906" s="308"/>
      <c r="C5906" s="308" t="s">
        <v>23648</v>
      </c>
      <c r="D5906" s="308">
        <f>IFERROR(__xludf.DUMMYFUNCTION("SPLIT(C5906,""-"")"),5926.0)</f>
        <v>5926</v>
      </c>
      <c r="E5906" s="308" t="str">
        <f>IFERROR(__xludf.DUMMYFUNCTION("""COMPUTED_VALUE"""),"B")</f>
        <v>B</v>
      </c>
      <c r="F5906" s="315" t="s">
        <v>26</v>
      </c>
      <c r="G5906" s="308"/>
      <c r="H5906" s="308" t="s">
        <v>23649</v>
      </c>
      <c r="I5906" s="314">
        <v>43085.0</v>
      </c>
      <c r="J5906" s="319">
        <f>IFERROR(__xludf.DUMMYFUNCTION("SPLIT(I5906,""/"")"),16.0)</f>
        <v>16</v>
      </c>
      <c r="K5906" s="308">
        <f>IFERROR(__xludf.DUMMYFUNCTION("""COMPUTED_VALUE"""),12.0)</f>
        <v>12</v>
      </c>
      <c r="L5906" s="308">
        <f>IFERROR(__xludf.DUMMYFUNCTION("""COMPUTED_VALUE"""),2017.0)</f>
        <v>2017</v>
      </c>
      <c r="M5906" s="308" t="s">
        <v>23650</v>
      </c>
      <c r="N5906" s="308"/>
      <c r="O5906" s="308"/>
      <c r="P5906" s="308" t="s">
        <v>38727</v>
      </c>
      <c r="Q5906" s="308" t="s">
        <v>38653</v>
      </c>
      <c r="R5906" s="308" t="s">
        <v>2743</v>
      </c>
      <c r="S5906" s="308" t="s">
        <v>81</v>
      </c>
      <c r="T5906" s="311" t="s">
        <v>96</v>
      </c>
      <c r="U5906" s="308" t="s">
        <v>27</v>
      </c>
      <c r="V5906" s="308"/>
    </row>
    <row r="5907">
      <c r="A5907" s="308">
        <v>5906.0</v>
      </c>
      <c r="B5907" s="308"/>
      <c r="C5907" s="308" t="s">
        <v>23652</v>
      </c>
      <c r="D5907" s="308">
        <f>IFERROR(__xludf.DUMMYFUNCTION("SPLIT(C5907,""-"")"),5927.0)</f>
        <v>5927</v>
      </c>
      <c r="E5907" s="308" t="str">
        <f>IFERROR(__xludf.DUMMYFUNCTION("""COMPUTED_VALUE"""),"P")</f>
        <v>P</v>
      </c>
      <c r="F5907" s="312" t="s">
        <v>37</v>
      </c>
      <c r="G5907" s="308"/>
      <c r="H5907" s="308" t="s">
        <v>23653</v>
      </c>
      <c r="I5907" s="310">
        <v>42942.0</v>
      </c>
      <c r="J5907" s="319">
        <f>IFERROR(__xludf.DUMMYFUNCTION("SPLIT(I5907,""/"")"),26.0)</f>
        <v>26</v>
      </c>
      <c r="K5907" s="308">
        <f>IFERROR(__xludf.DUMMYFUNCTION("""COMPUTED_VALUE"""),7.0)</f>
        <v>7</v>
      </c>
      <c r="L5907" s="308">
        <f>IFERROR(__xludf.DUMMYFUNCTION("""COMPUTED_VALUE"""),2017.0)</f>
        <v>2017</v>
      </c>
      <c r="M5907" s="308" t="s">
        <v>23654</v>
      </c>
      <c r="N5907" s="308"/>
      <c r="O5907" s="308" t="s">
        <v>23655</v>
      </c>
      <c r="P5907" s="308" t="s">
        <v>136</v>
      </c>
      <c r="Q5907" s="308" t="s">
        <v>38728</v>
      </c>
      <c r="R5907" s="308" t="s">
        <v>2743</v>
      </c>
      <c r="S5907" s="315" t="s">
        <v>100</v>
      </c>
      <c r="T5907" s="308" t="s">
        <v>34208</v>
      </c>
      <c r="U5907" s="308" t="s">
        <v>14456</v>
      </c>
      <c r="V5907" s="308"/>
    </row>
    <row r="5908">
      <c r="A5908" s="308">
        <v>5907.0</v>
      </c>
      <c r="B5908" s="308"/>
      <c r="C5908" s="308" t="s">
        <v>23656</v>
      </c>
      <c r="D5908" s="308">
        <f>IFERROR(__xludf.DUMMYFUNCTION("SPLIT(C5908,""-"")"),5928.0)</f>
        <v>5928</v>
      </c>
      <c r="E5908" s="308" t="str">
        <f>IFERROR(__xludf.DUMMYFUNCTION("""COMPUTED_VALUE"""),"K")</f>
        <v>K</v>
      </c>
      <c r="F5908" s="309" t="s">
        <v>34</v>
      </c>
      <c r="G5908" s="308"/>
      <c r="H5908" s="308" t="s">
        <v>23657</v>
      </c>
      <c r="I5908" s="310">
        <v>43114.0</v>
      </c>
      <c r="J5908" s="319">
        <f>IFERROR(__xludf.DUMMYFUNCTION("SPLIT(I5908,""/"")"),14.0)</f>
        <v>14</v>
      </c>
      <c r="K5908" s="308">
        <f>IFERROR(__xludf.DUMMYFUNCTION("""COMPUTED_VALUE"""),1.0)</f>
        <v>1</v>
      </c>
      <c r="L5908" s="308">
        <f>IFERROR(__xludf.DUMMYFUNCTION("""COMPUTED_VALUE"""),2018.0)</f>
        <v>2018</v>
      </c>
      <c r="M5908" s="308" t="s">
        <v>23658</v>
      </c>
      <c r="N5908" s="308"/>
      <c r="O5908" s="308"/>
      <c r="P5908" s="308" t="s">
        <v>38729</v>
      </c>
      <c r="Q5908" s="308" t="s">
        <v>38728</v>
      </c>
      <c r="R5908" s="308" t="s">
        <v>2743</v>
      </c>
      <c r="S5908" s="308" t="s">
        <v>81</v>
      </c>
      <c r="T5908" s="308" t="s">
        <v>34264</v>
      </c>
      <c r="U5908" s="308" t="s">
        <v>542</v>
      </c>
      <c r="V5908" s="308"/>
    </row>
    <row r="5909">
      <c r="A5909" s="308">
        <v>5908.0</v>
      </c>
      <c r="B5909" s="308"/>
      <c r="C5909" s="308" t="s">
        <v>23660</v>
      </c>
      <c r="D5909" s="308">
        <f>IFERROR(__xludf.DUMMYFUNCTION("SPLIT(C5909,""-"")"),5929.0)</f>
        <v>5929</v>
      </c>
      <c r="E5909" s="308" t="str">
        <f>IFERROR(__xludf.DUMMYFUNCTION("""COMPUTED_VALUE"""),"F")</f>
        <v>F</v>
      </c>
      <c r="F5909" s="309" t="s">
        <v>34</v>
      </c>
      <c r="G5909" s="308"/>
      <c r="H5909" s="308" t="s">
        <v>23661</v>
      </c>
      <c r="I5909" s="314">
        <v>41969.0</v>
      </c>
      <c r="J5909" s="319">
        <f>IFERROR(__xludf.DUMMYFUNCTION("SPLIT(I5909,""/"")"),26.0)</f>
        <v>26</v>
      </c>
      <c r="K5909" s="308">
        <f>IFERROR(__xludf.DUMMYFUNCTION("""COMPUTED_VALUE"""),11.0)</f>
        <v>11</v>
      </c>
      <c r="L5909" s="308">
        <f>IFERROR(__xludf.DUMMYFUNCTION("""COMPUTED_VALUE"""),2014.0)</f>
        <v>2014</v>
      </c>
      <c r="M5909" s="308" t="s">
        <v>23662</v>
      </c>
      <c r="N5909" s="308" t="s">
        <v>23663</v>
      </c>
      <c r="O5909" s="308"/>
      <c r="P5909" s="308" t="s">
        <v>136</v>
      </c>
      <c r="Q5909" s="308" t="s">
        <v>38728</v>
      </c>
      <c r="R5909" s="308" t="s">
        <v>19483</v>
      </c>
      <c r="S5909" s="315" t="s">
        <v>100</v>
      </c>
      <c r="T5909" s="308" t="s">
        <v>34208</v>
      </c>
      <c r="U5909" s="308" t="s">
        <v>6875</v>
      </c>
      <c r="V5909" s="308"/>
    </row>
    <row r="5910">
      <c r="A5910" s="308">
        <v>5909.0</v>
      </c>
      <c r="B5910" s="308"/>
      <c r="C5910" s="308" t="s">
        <v>23664</v>
      </c>
      <c r="D5910" s="308">
        <f>IFERROR(__xludf.DUMMYFUNCTION("SPLIT(C5910,""-"")"),5930.0)</f>
        <v>5930</v>
      </c>
      <c r="E5910" s="308" t="str">
        <f>IFERROR(__xludf.DUMMYFUNCTION("""COMPUTED_VALUE"""),"B")</f>
        <v>B</v>
      </c>
      <c r="F5910" s="315" t="s">
        <v>26</v>
      </c>
      <c r="G5910" s="308"/>
      <c r="H5910" s="308" t="s">
        <v>23665</v>
      </c>
      <c r="I5910" s="310">
        <v>43495.0</v>
      </c>
      <c r="J5910" s="319">
        <f>IFERROR(__xludf.DUMMYFUNCTION("SPLIT(I5910,""/"")"),30.0)</f>
        <v>30</v>
      </c>
      <c r="K5910" s="308">
        <f>IFERROR(__xludf.DUMMYFUNCTION("""COMPUTED_VALUE"""),1.0)</f>
        <v>1</v>
      </c>
      <c r="L5910" s="308">
        <f>IFERROR(__xludf.DUMMYFUNCTION("""COMPUTED_VALUE"""),2019.0)</f>
        <v>2019</v>
      </c>
      <c r="M5910" s="308" t="s">
        <v>23666</v>
      </c>
      <c r="N5910" s="308"/>
      <c r="O5910" s="308"/>
      <c r="P5910" s="308" t="s">
        <v>38730</v>
      </c>
      <c r="Q5910" s="308" t="s">
        <v>38728</v>
      </c>
      <c r="R5910" s="308" t="s">
        <v>19483</v>
      </c>
      <c r="S5910" s="308" t="s">
        <v>81</v>
      </c>
      <c r="T5910" s="308" t="s">
        <v>75</v>
      </c>
      <c r="U5910" s="308" t="s">
        <v>27</v>
      </c>
      <c r="V5910" s="308"/>
    </row>
    <row r="5911">
      <c r="A5911" s="308">
        <v>5910.0</v>
      </c>
      <c r="B5911" s="308"/>
      <c r="C5911" s="308" t="s">
        <v>23668</v>
      </c>
      <c r="D5911" s="308">
        <f>IFERROR(__xludf.DUMMYFUNCTION("SPLIT(C5911,""-"")"),5931.0)</f>
        <v>5931</v>
      </c>
      <c r="E5911" s="308" t="str">
        <f>IFERROR(__xludf.DUMMYFUNCTION("""COMPUTED_VALUE"""),"S")</f>
        <v>S</v>
      </c>
      <c r="F5911" s="312" t="s">
        <v>39</v>
      </c>
      <c r="G5911" s="308"/>
      <c r="H5911" s="308" t="s">
        <v>23669</v>
      </c>
      <c r="I5911" s="310">
        <v>43479.0</v>
      </c>
      <c r="J5911" s="319">
        <f>IFERROR(__xludf.DUMMYFUNCTION("SPLIT(I5911,""/"")"),14.0)</f>
        <v>14</v>
      </c>
      <c r="K5911" s="308">
        <f>IFERROR(__xludf.DUMMYFUNCTION("""COMPUTED_VALUE"""),1.0)</f>
        <v>1</v>
      </c>
      <c r="L5911" s="308">
        <f>IFERROR(__xludf.DUMMYFUNCTION("""COMPUTED_VALUE"""),2019.0)</f>
        <v>2019</v>
      </c>
      <c r="M5911" s="308" t="s">
        <v>23670</v>
      </c>
      <c r="N5911" s="308"/>
      <c r="O5911" s="308"/>
      <c r="P5911" s="308" t="s">
        <v>23671</v>
      </c>
      <c r="Q5911" s="308" t="s">
        <v>38728</v>
      </c>
      <c r="R5911" s="308" t="s">
        <v>19483</v>
      </c>
      <c r="S5911" s="308" t="s">
        <v>81</v>
      </c>
      <c r="T5911" s="308" t="s">
        <v>75</v>
      </c>
      <c r="U5911" s="308" t="s">
        <v>166</v>
      </c>
      <c r="V5911" s="308"/>
    </row>
    <row r="5912">
      <c r="A5912" s="308">
        <v>5911.0</v>
      </c>
      <c r="B5912" s="308"/>
      <c r="C5912" s="308" t="s">
        <v>23672</v>
      </c>
      <c r="D5912" s="308">
        <f>IFERROR(__xludf.DUMMYFUNCTION("SPLIT(C5912,""-"")"),5932.0)</f>
        <v>5932</v>
      </c>
      <c r="E5912" s="308" t="str">
        <f>IFERROR(__xludf.DUMMYFUNCTION("""COMPUTED_VALUE"""),"S")</f>
        <v>S</v>
      </c>
      <c r="F5912" s="312" t="s">
        <v>39</v>
      </c>
      <c r="G5912" s="308"/>
      <c r="H5912" s="308" t="s">
        <v>23673</v>
      </c>
      <c r="I5912" s="310">
        <v>43490.0</v>
      </c>
      <c r="J5912" s="319">
        <f>IFERROR(__xludf.DUMMYFUNCTION("SPLIT(I5912,""/"")"),25.0)</f>
        <v>25</v>
      </c>
      <c r="K5912" s="308">
        <f>IFERROR(__xludf.DUMMYFUNCTION("""COMPUTED_VALUE"""),1.0)</f>
        <v>1</v>
      </c>
      <c r="L5912" s="308">
        <f>IFERROR(__xludf.DUMMYFUNCTION("""COMPUTED_VALUE"""),2019.0)</f>
        <v>2019</v>
      </c>
      <c r="M5912" s="308" t="s">
        <v>23674</v>
      </c>
      <c r="N5912" s="308"/>
      <c r="O5912" s="308"/>
      <c r="P5912" s="308" t="s">
        <v>38731</v>
      </c>
      <c r="Q5912" s="308" t="s">
        <v>38728</v>
      </c>
      <c r="R5912" s="308" t="s">
        <v>19483</v>
      </c>
      <c r="S5912" s="308" t="s">
        <v>81</v>
      </c>
      <c r="T5912" s="311" t="s">
        <v>91</v>
      </c>
      <c r="U5912" s="308" t="s">
        <v>166</v>
      </c>
      <c r="V5912" s="308"/>
    </row>
    <row r="5913">
      <c r="A5913" s="308">
        <v>5912.0</v>
      </c>
      <c r="B5913" s="308"/>
      <c r="C5913" s="308" t="s">
        <v>23676</v>
      </c>
      <c r="D5913" s="308">
        <f>IFERROR(__xludf.DUMMYFUNCTION("SPLIT(C5913,""-"")"),5933.0)</f>
        <v>5933</v>
      </c>
      <c r="E5913" s="308" t="str">
        <f>IFERROR(__xludf.DUMMYFUNCTION("""COMPUTED_VALUE"""),"K")</f>
        <v>K</v>
      </c>
      <c r="F5913" s="309" t="s">
        <v>34</v>
      </c>
      <c r="G5913" s="308"/>
      <c r="H5913" s="308" t="s">
        <v>23677</v>
      </c>
      <c r="I5913" s="310">
        <v>43441.0</v>
      </c>
      <c r="J5913" s="319">
        <f>IFERROR(__xludf.DUMMYFUNCTION("SPLIT(I5913,""/"")"),7.0)</f>
        <v>7</v>
      </c>
      <c r="K5913" s="308">
        <f>IFERROR(__xludf.DUMMYFUNCTION("""COMPUTED_VALUE"""),12.0)</f>
        <v>12</v>
      </c>
      <c r="L5913" s="308">
        <f>IFERROR(__xludf.DUMMYFUNCTION("""COMPUTED_VALUE"""),2018.0)</f>
        <v>2018</v>
      </c>
      <c r="M5913" s="308" t="s">
        <v>23678</v>
      </c>
      <c r="N5913" s="308"/>
      <c r="O5913" s="308"/>
      <c r="P5913" s="308" t="s">
        <v>38732</v>
      </c>
      <c r="Q5913" s="308" t="s">
        <v>38733</v>
      </c>
      <c r="R5913" s="308" t="s">
        <v>2743</v>
      </c>
      <c r="S5913" s="308" t="s">
        <v>81</v>
      </c>
      <c r="T5913" s="308" t="s">
        <v>34264</v>
      </c>
      <c r="U5913" s="308" t="s">
        <v>542</v>
      </c>
      <c r="V5913" s="308"/>
    </row>
    <row r="5914">
      <c r="A5914" s="308">
        <v>5913.0</v>
      </c>
      <c r="B5914" s="308"/>
      <c r="C5914" s="308" t="s">
        <v>23680</v>
      </c>
      <c r="D5914" s="308">
        <f>IFERROR(__xludf.DUMMYFUNCTION("SPLIT(C5914,""-"")"),5934.0)</f>
        <v>5934</v>
      </c>
      <c r="E5914" s="308" t="str">
        <f>IFERROR(__xludf.DUMMYFUNCTION("""COMPUTED_VALUE"""),"K")</f>
        <v>K</v>
      </c>
      <c r="F5914" s="309" t="s">
        <v>34</v>
      </c>
      <c r="G5914" s="308"/>
      <c r="H5914" s="308" t="s">
        <v>23681</v>
      </c>
      <c r="I5914" s="310">
        <v>42977.0</v>
      </c>
      <c r="J5914" s="319" t="str">
        <f>IFERROR(__xludf.DUMMYFUNCTION("SPLIT(I5914,""/"")"),"#REF!")</f>
        <v>#REF!</v>
      </c>
      <c r="K5914" s="308"/>
      <c r="L5914" s="308">
        <v>2017.0</v>
      </c>
      <c r="M5914" s="308" t="s">
        <v>23682</v>
      </c>
      <c r="N5914" s="308"/>
      <c r="O5914" s="308"/>
      <c r="P5914" s="308" t="s">
        <v>136</v>
      </c>
      <c r="Q5914" s="308" t="s">
        <v>38733</v>
      </c>
      <c r="R5914" s="308" t="s">
        <v>2743</v>
      </c>
      <c r="S5914" s="315" t="s">
        <v>100</v>
      </c>
      <c r="T5914" s="308" t="s">
        <v>34208</v>
      </c>
      <c r="U5914" s="308" t="s">
        <v>201</v>
      </c>
      <c r="V5914" s="308"/>
    </row>
    <row r="5915">
      <c r="A5915" s="308">
        <v>5914.0</v>
      </c>
      <c r="B5915" s="308"/>
      <c r="C5915" s="308" t="s">
        <v>23683</v>
      </c>
      <c r="D5915" s="308">
        <f>IFERROR(__xludf.DUMMYFUNCTION("SPLIT(C5915,""-"")"),5935.0)</f>
        <v>5935</v>
      </c>
      <c r="E5915" s="308" t="str">
        <f>IFERROR(__xludf.DUMMYFUNCTION("""COMPUTED_VALUE"""),"F")</f>
        <v>F</v>
      </c>
      <c r="F5915" s="309" t="s">
        <v>34</v>
      </c>
      <c r="G5915" s="308"/>
      <c r="H5915" s="308" t="s">
        <v>23684</v>
      </c>
      <c r="I5915" s="310">
        <v>42087.0</v>
      </c>
      <c r="J5915" s="319">
        <f>IFERROR(__xludf.DUMMYFUNCTION("SPLIT(I5915,""/"")"),24.0)</f>
        <v>24</v>
      </c>
      <c r="K5915" s="308">
        <f>IFERROR(__xludf.DUMMYFUNCTION("""COMPUTED_VALUE"""),3.0)</f>
        <v>3</v>
      </c>
      <c r="L5915" s="308">
        <f>IFERROR(__xludf.DUMMYFUNCTION("""COMPUTED_VALUE"""),2015.0)</f>
        <v>2015</v>
      </c>
      <c r="M5915" s="308" t="s">
        <v>23685</v>
      </c>
      <c r="N5915" s="308" t="s">
        <v>23686</v>
      </c>
      <c r="O5915" s="308"/>
      <c r="P5915" s="308" t="s">
        <v>136</v>
      </c>
      <c r="Q5915" s="308" t="s">
        <v>38733</v>
      </c>
      <c r="R5915" s="308" t="s">
        <v>2743</v>
      </c>
      <c r="S5915" s="315" t="s">
        <v>100</v>
      </c>
      <c r="T5915" s="308" t="s">
        <v>34208</v>
      </c>
      <c r="U5915" s="308" t="s">
        <v>6875</v>
      </c>
      <c r="V5915" s="308"/>
    </row>
    <row r="5916">
      <c r="A5916" s="308">
        <v>5915.0</v>
      </c>
      <c r="B5916" s="308"/>
      <c r="C5916" s="308" t="s">
        <v>23687</v>
      </c>
      <c r="D5916" s="308">
        <f>IFERROR(__xludf.DUMMYFUNCTION("SPLIT(C5916,""-"")"),5936.0)</f>
        <v>5936</v>
      </c>
      <c r="E5916" s="308" t="str">
        <f>IFERROR(__xludf.DUMMYFUNCTION("""COMPUTED_VALUE"""),"S")</f>
        <v>S</v>
      </c>
      <c r="F5916" s="312" t="s">
        <v>39</v>
      </c>
      <c r="G5916" s="308"/>
      <c r="H5916" s="308" t="s">
        <v>23688</v>
      </c>
      <c r="I5916" s="310">
        <v>43340.0</v>
      </c>
      <c r="J5916" s="319">
        <f>IFERROR(__xludf.DUMMYFUNCTION("SPLIT(I5916,""/"")"),28.0)</f>
        <v>28</v>
      </c>
      <c r="K5916" s="308">
        <f>IFERROR(__xludf.DUMMYFUNCTION("""COMPUTED_VALUE"""),8.0)</f>
        <v>8</v>
      </c>
      <c r="L5916" s="308">
        <f>IFERROR(__xludf.DUMMYFUNCTION("""COMPUTED_VALUE"""),2018.0)</f>
        <v>2018</v>
      </c>
      <c r="M5916" s="308" t="s">
        <v>23689</v>
      </c>
      <c r="N5916" s="308"/>
      <c r="O5916" s="308"/>
      <c r="P5916" s="308" t="s">
        <v>23690</v>
      </c>
      <c r="Q5916" s="308" t="s">
        <v>38733</v>
      </c>
      <c r="R5916" s="308" t="s">
        <v>17460</v>
      </c>
      <c r="S5916" s="308" t="s">
        <v>81</v>
      </c>
      <c r="T5916" s="308" t="s">
        <v>75</v>
      </c>
      <c r="U5916" s="308" t="s">
        <v>166</v>
      </c>
      <c r="V5916" s="308"/>
    </row>
    <row r="5917">
      <c r="A5917" s="308">
        <v>5916.0</v>
      </c>
      <c r="B5917" s="308"/>
      <c r="C5917" s="308" t="s">
        <v>23691</v>
      </c>
      <c r="D5917" s="308">
        <f>IFERROR(__xludf.DUMMYFUNCTION("SPLIT(C5917,""-"")"),5937.0)</f>
        <v>5937</v>
      </c>
      <c r="E5917" s="308" t="str">
        <f>IFERROR(__xludf.DUMMYFUNCTION("""COMPUTED_VALUE"""),"K")</f>
        <v>K</v>
      </c>
      <c r="F5917" s="309" t="s">
        <v>34</v>
      </c>
      <c r="G5917" s="308"/>
      <c r="H5917" s="308" t="s">
        <v>23692</v>
      </c>
      <c r="I5917" s="310">
        <v>43374.0</v>
      </c>
      <c r="J5917" s="319">
        <f>IFERROR(__xludf.DUMMYFUNCTION("SPLIT(I5917,""/"")"),1.0)</f>
        <v>1</v>
      </c>
      <c r="K5917" s="308">
        <f>IFERROR(__xludf.DUMMYFUNCTION("""COMPUTED_VALUE"""),10.0)</f>
        <v>10</v>
      </c>
      <c r="L5917" s="308">
        <f>IFERROR(__xludf.DUMMYFUNCTION("""COMPUTED_VALUE"""),2018.0)</f>
        <v>2018</v>
      </c>
      <c r="M5917" s="308" t="s">
        <v>23693</v>
      </c>
      <c r="N5917" s="308"/>
      <c r="O5917" s="308"/>
      <c r="P5917" s="308" t="s">
        <v>23694</v>
      </c>
      <c r="Q5917" s="308" t="s">
        <v>38734</v>
      </c>
      <c r="R5917" s="308" t="s">
        <v>17460</v>
      </c>
      <c r="S5917" s="308" t="s">
        <v>81</v>
      </c>
      <c r="T5917" s="311" t="s">
        <v>83</v>
      </c>
      <c r="U5917" s="308" t="s">
        <v>125</v>
      </c>
      <c r="V5917" s="308"/>
    </row>
    <row r="5918">
      <c r="A5918" s="308">
        <v>5917.0</v>
      </c>
      <c r="B5918" s="308"/>
      <c r="C5918" s="308" t="s">
        <v>23695</v>
      </c>
      <c r="D5918" s="308">
        <f>IFERROR(__xludf.DUMMYFUNCTION("SPLIT(C5918,""-"")"),5938.0)</f>
        <v>5938</v>
      </c>
      <c r="E5918" s="308" t="str">
        <f>IFERROR(__xludf.DUMMYFUNCTION("""COMPUTED_VALUE"""),"A")</f>
        <v>A</v>
      </c>
      <c r="F5918" s="309" t="s">
        <v>23</v>
      </c>
      <c r="G5918" s="308"/>
      <c r="H5918" s="308" t="s">
        <v>23696</v>
      </c>
      <c r="I5918" s="310">
        <v>40340.0</v>
      </c>
      <c r="J5918" s="319">
        <f>IFERROR(__xludf.DUMMYFUNCTION("SPLIT(I5918,""/"")"),11.0)</f>
        <v>11</v>
      </c>
      <c r="K5918" s="308">
        <f>IFERROR(__xludf.DUMMYFUNCTION("""COMPUTED_VALUE"""),6.0)</f>
        <v>6</v>
      </c>
      <c r="L5918" s="308">
        <f>IFERROR(__xludf.DUMMYFUNCTION("""COMPUTED_VALUE"""),2010.0)</f>
        <v>2010</v>
      </c>
      <c r="M5918" s="308" t="s">
        <v>23697</v>
      </c>
      <c r="N5918" s="308"/>
      <c r="O5918" s="308" t="s">
        <v>23698</v>
      </c>
      <c r="P5918" s="308" t="s">
        <v>136</v>
      </c>
      <c r="Q5918" s="308" t="s">
        <v>38734</v>
      </c>
      <c r="R5918" s="308" t="s">
        <v>2743</v>
      </c>
      <c r="S5918" s="315" t="s">
        <v>100</v>
      </c>
      <c r="T5918" s="308" t="s">
        <v>34208</v>
      </c>
      <c r="U5918" s="308" t="s">
        <v>403</v>
      </c>
      <c r="V5918" s="308"/>
    </row>
    <row r="5919">
      <c r="A5919" s="308">
        <v>5918.0</v>
      </c>
      <c r="B5919" s="308"/>
      <c r="C5919" s="308" t="s">
        <v>23699</v>
      </c>
      <c r="D5919" s="308">
        <f>IFERROR(__xludf.DUMMYFUNCTION("SPLIT(C5919,""-"")"),5939.0)</f>
        <v>5939</v>
      </c>
      <c r="E5919" s="308" t="str">
        <f>IFERROR(__xludf.DUMMYFUNCTION("""COMPUTED_VALUE"""),"P")</f>
        <v>P</v>
      </c>
      <c r="F5919" s="312" t="s">
        <v>37</v>
      </c>
      <c r="G5919" s="308"/>
      <c r="H5919" s="308" t="s">
        <v>23700</v>
      </c>
      <c r="I5919" s="310">
        <v>36609.0</v>
      </c>
      <c r="J5919" s="319">
        <f>IFERROR(__xludf.DUMMYFUNCTION("SPLIT(I5919,""/"")"),24.0)</f>
        <v>24</v>
      </c>
      <c r="K5919" s="308">
        <f>IFERROR(__xludf.DUMMYFUNCTION("""COMPUTED_VALUE"""),3.0)</f>
        <v>3</v>
      </c>
      <c r="L5919" s="308">
        <f>IFERROR(__xludf.DUMMYFUNCTION("""COMPUTED_VALUE"""),2000.0)</f>
        <v>2000</v>
      </c>
      <c r="M5919" s="308" t="s">
        <v>23701</v>
      </c>
      <c r="N5919" s="308"/>
      <c r="O5919" s="308"/>
      <c r="P5919" s="308" t="s">
        <v>38735</v>
      </c>
      <c r="Q5919" s="308" t="s">
        <v>38734</v>
      </c>
      <c r="R5919" s="308" t="s">
        <v>2743</v>
      </c>
      <c r="S5919" s="308" t="s">
        <v>81</v>
      </c>
      <c r="T5919" s="311" t="s">
        <v>51</v>
      </c>
      <c r="U5919" s="308" t="s">
        <v>143</v>
      </c>
      <c r="V5919" s="308"/>
    </row>
    <row r="5920">
      <c r="A5920" s="308">
        <v>5919.0</v>
      </c>
      <c r="B5920" s="308"/>
      <c r="C5920" s="308" t="s">
        <v>23703</v>
      </c>
      <c r="D5920" s="308">
        <f>IFERROR(__xludf.DUMMYFUNCTION("SPLIT(C5920,""-"")"),5940.0)</f>
        <v>5940</v>
      </c>
      <c r="E5920" s="308" t="str">
        <f>IFERROR(__xludf.DUMMYFUNCTION("""COMPUTED_VALUE"""),"K")</f>
        <v>K</v>
      </c>
      <c r="F5920" s="309" t="s">
        <v>34</v>
      </c>
      <c r="G5920" s="308"/>
      <c r="H5920" s="308" t="s">
        <v>23704</v>
      </c>
      <c r="I5920" s="310">
        <v>40198.0</v>
      </c>
      <c r="J5920" s="319">
        <f>IFERROR(__xludf.DUMMYFUNCTION("SPLIT(I5920,""/"")"),20.0)</f>
        <v>20</v>
      </c>
      <c r="K5920" s="308">
        <f>IFERROR(__xludf.DUMMYFUNCTION("""COMPUTED_VALUE"""),1.0)</f>
        <v>1</v>
      </c>
      <c r="L5920" s="308">
        <f>IFERROR(__xludf.DUMMYFUNCTION("""COMPUTED_VALUE"""),2010.0)</f>
        <v>2010</v>
      </c>
      <c r="M5920" s="308" t="s">
        <v>23705</v>
      </c>
      <c r="N5920" s="308"/>
      <c r="O5920" s="308"/>
      <c r="P5920" s="308" t="s">
        <v>136</v>
      </c>
      <c r="Q5920" s="308" t="s">
        <v>38734</v>
      </c>
      <c r="R5920" s="308" t="s">
        <v>20329</v>
      </c>
      <c r="S5920" s="315" t="s">
        <v>100</v>
      </c>
      <c r="T5920" s="308" t="s">
        <v>34208</v>
      </c>
      <c r="U5920" s="308" t="s">
        <v>368</v>
      </c>
      <c r="V5920" s="308"/>
    </row>
    <row r="5921">
      <c r="A5921" s="308">
        <v>5920.0</v>
      </c>
      <c r="B5921" s="308"/>
      <c r="C5921" s="308" t="s">
        <v>23706</v>
      </c>
      <c r="D5921" s="308">
        <f>IFERROR(__xludf.DUMMYFUNCTION("SPLIT(C5921,""-"")"),5941.0)</f>
        <v>5941</v>
      </c>
      <c r="E5921" s="308" t="str">
        <f>IFERROR(__xludf.DUMMYFUNCTION("""COMPUTED_VALUE"""),"I")</f>
        <v>I</v>
      </c>
      <c r="F5921" s="309" t="s">
        <v>31</v>
      </c>
      <c r="G5921" s="308"/>
      <c r="H5921" s="308" t="s">
        <v>23707</v>
      </c>
      <c r="I5921" s="310">
        <v>43480.0</v>
      </c>
      <c r="J5921" s="319">
        <f>IFERROR(__xludf.DUMMYFUNCTION("SPLIT(I5921,""/"")"),15.0)</f>
        <v>15</v>
      </c>
      <c r="K5921" s="308">
        <f>IFERROR(__xludf.DUMMYFUNCTION("""COMPUTED_VALUE"""),1.0)</f>
        <v>1</v>
      </c>
      <c r="L5921" s="308">
        <f>IFERROR(__xludf.DUMMYFUNCTION("""COMPUTED_VALUE"""),2019.0)</f>
        <v>2019</v>
      </c>
      <c r="M5921" s="308" t="s">
        <v>23708</v>
      </c>
      <c r="N5921" s="308"/>
      <c r="O5921" s="308"/>
      <c r="P5921" s="308" t="s">
        <v>38736</v>
      </c>
      <c r="Q5921" s="308" t="s">
        <v>38734</v>
      </c>
      <c r="R5921" s="308" t="s">
        <v>2743</v>
      </c>
      <c r="S5921" s="308" t="s">
        <v>81</v>
      </c>
      <c r="T5921" s="308" t="s">
        <v>75</v>
      </c>
      <c r="U5921" s="308" t="s">
        <v>31</v>
      </c>
      <c r="V5921" s="308"/>
    </row>
    <row r="5922">
      <c r="A5922" s="308">
        <v>5921.0</v>
      </c>
      <c r="B5922" s="308"/>
      <c r="C5922" s="308" t="s">
        <v>23710</v>
      </c>
      <c r="D5922" s="308">
        <f>IFERROR(__xludf.DUMMYFUNCTION("SPLIT(C5922,""-"")"),5942.0)</f>
        <v>5942</v>
      </c>
      <c r="E5922" s="308" t="str">
        <f>IFERROR(__xludf.DUMMYFUNCTION("""COMPUTED_VALUE"""),"F")</f>
        <v>F</v>
      </c>
      <c r="F5922" s="309" t="s">
        <v>34</v>
      </c>
      <c r="G5922" s="308"/>
      <c r="H5922" s="308" t="s">
        <v>23711</v>
      </c>
      <c r="I5922" s="310">
        <v>40924.0</v>
      </c>
      <c r="J5922" s="319">
        <f>IFERROR(__xludf.DUMMYFUNCTION("SPLIT(I5922,""/"")"),16.0)</f>
        <v>16</v>
      </c>
      <c r="K5922" s="308">
        <f>IFERROR(__xludf.DUMMYFUNCTION("""COMPUTED_VALUE"""),1.0)</f>
        <v>1</v>
      </c>
      <c r="L5922" s="308">
        <f>IFERROR(__xludf.DUMMYFUNCTION("""COMPUTED_VALUE"""),2012.0)</f>
        <v>2012</v>
      </c>
      <c r="M5922" s="308" t="s">
        <v>23712</v>
      </c>
      <c r="N5922" s="308" t="s">
        <v>23713</v>
      </c>
      <c r="O5922" s="308"/>
      <c r="P5922" s="308" t="s">
        <v>136</v>
      </c>
      <c r="Q5922" s="308" t="s">
        <v>38734</v>
      </c>
      <c r="R5922" s="308" t="s">
        <v>2743</v>
      </c>
      <c r="S5922" s="315" t="s">
        <v>100</v>
      </c>
      <c r="T5922" s="308" t="s">
        <v>34208</v>
      </c>
      <c r="U5922" s="308" t="s">
        <v>195</v>
      </c>
      <c r="V5922" s="308"/>
    </row>
    <row r="5923">
      <c r="A5923" s="308">
        <v>5922.0</v>
      </c>
      <c r="B5923" s="308"/>
      <c r="C5923" s="308" t="s">
        <v>23714</v>
      </c>
      <c r="D5923" s="308">
        <f>IFERROR(__xludf.DUMMYFUNCTION("SPLIT(C5923,""-"")"),5943.0)</f>
        <v>5943</v>
      </c>
      <c r="E5923" s="308" t="str">
        <f>IFERROR(__xludf.DUMMYFUNCTION("""COMPUTED_VALUE"""),"B")</f>
        <v>B</v>
      </c>
      <c r="F5923" s="315" t="s">
        <v>26</v>
      </c>
      <c r="G5923" s="308"/>
      <c r="H5923" s="308" t="s">
        <v>23715</v>
      </c>
      <c r="I5923" s="310">
        <v>43040.0</v>
      </c>
      <c r="J5923" s="319">
        <f>IFERROR(__xludf.DUMMYFUNCTION("SPLIT(I5923,""/"")"),1.0)</f>
        <v>1</v>
      </c>
      <c r="K5923" s="308">
        <f>IFERROR(__xludf.DUMMYFUNCTION("""COMPUTED_VALUE"""),11.0)</f>
        <v>11</v>
      </c>
      <c r="L5923" s="308">
        <f>IFERROR(__xludf.DUMMYFUNCTION("""COMPUTED_VALUE"""),2017.0)</f>
        <v>2017</v>
      </c>
      <c r="M5923" s="308" t="s">
        <v>23716</v>
      </c>
      <c r="N5923" s="308"/>
      <c r="O5923" s="308"/>
      <c r="P5923" s="308" t="s">
        <v>136</v>
      </c>
      <c r="Q5923" s="308" t="s">
        <v>38734</v>
      </c>
      <c r="R5923" s="308" t="s">
        <v>2743</v>
      </c>
      <c r="S5923" s="315" t="s">
        <v>100</v>
      </c>
      <c r="T5923" s="308" t="s">
        <v>34208</v>
      </c>
      <c r="U5923" s="308" t="s">
        <v>27</v>
      </c>
      <c r="V5923" s="308"/>
    </row>
    <row r="5924">
      <c r="A5924" s="308">
        <v>5923.0</v>
      </c>
      <c r="B5924" s="308"/>
      <c r="C5924" s="308" t="s">
        <v>23717</v>
      </c>
      <c r="D5924" s="308">
        <f>IFERROR(__xludf.DUMMYFUNCTION("SPLIT(C5924,""-"")"),5944.0)</f>
        <v>5944</v>
      </c>
      <c r="E5924" s="308" t="str">
        <f>IFERROR(__xludf.DUMMYFUNCTION("""COMPUTED_VALUE"""),"K")</f>
        <v>K</v>
      </c>
      <c r="F5924" s="309" t="s">
        <v>34</v>
      </c>
      <c r="G5924" s="308"/>
      <c r="H5924" s="308" t="s">
        <v>23718</v>
      </c>
      <c r="I5924" s="310">
        <v>43543.0</v>
      </c>
      <c r="J5924" s="319">
        <f>IFERROR(__xludf.DUMMYFUNCTION("SPLIT(I5924,""/"")"),19.0)</f>
        <v>19</v>
      </c>
      <c r="K5924" s="308">
        <f>IFERROR(__xludf.DUMMYFUNCTION("""COMPUTED_VALUE"""),3.0)</f>
        <v>3</v>
      </c>
      <c r="L5924" s="308">
        <f>IFERROR(__xludf.DUMMYFUNCTION("""COMPUTED_VALUE"""),2019.0)</f>
        <v>2019</v>
      </c>
      <c r="M5924" s="308" t="s">
        <v>23719</v>
      </c>
      <c r="N5924" s="308"/>
      <c r="O5924" s="308" t="s">
        <v>23720</v>
      </c>
      <c r="P5924" s="308" t="s">
        <v>38737</v>
      </c>
      <c r="Q5924" s="308" t="s">
        <v>38734</v>
      </c>
      <c r="R5924" s="308" t="s">
        <v>2743</v>
      </c>
      <c r="S5924" s="308" t="s">
        <v>81</v>
      </c>
      <c r="T5924" s="311" t="s">
        <v>96</v>
      </c>
      <c r="U5924" s="308" t="s">
        <v>368</v>
      </c>
      <c r="V5924" s="308"/>
    </row>
    <row r="5925">
      <c r="A5925" s="308">
        <v>5924.0</v>
      </c>
      <c r="B5925" s="308"/>
      <c r="C5925" s="308" t="s">
        <v>23722</v>
      </c>
      <c r="D5925" s="308">
        <f>IFERROR(__xludf.DUMMYFUNCTION("SPLIT(C5925,""-"")"),5945.0)</f>
        <v>5945</v>
      </c>
      <c r="E5925" s="308" t="str">
        <f>IFERROR(__xludf.DUMMYFUNCTION("""COMPUTED_VALUE"""),"B")</f>
        <v>B</v>
      </c>
      <c r="F5925" s="315" t="s">
        <v>26</v>
      </c>
      <c r="G5925" s="308"/>
      <c r="H5925" s="308" t="s">
        <v>23723</v>
      </c>
      <c r="I5925" s="310">
        <v>43478.0</v>
      </c>
      <c r="J5925" s="319">
        <f>IFERROR(__xludf.DUMMYFUNCTION("SPLIT(I5925,""/"")"),13.0)</f>
        <v>13</v>
      </c>
      <c r="K5925" s="308">
        <f>IFERROR(__xludf.DUMMYFUNCTION("""COMPUTED_VALUE"""),1.0)</f>
        <v>1</v>
      </c>
      <c r="L5925" s="308">
        <f>IFERROR(__xludf.DUMMYFUNCTION("""COMPUTED_VALUE"""),2019.0)</f>
        <v>2019</v>
      </c>
      <c r="M5925" s="308" t="s">
        <v>23724</v>
      </c>
      <c r="N5925" s="308"/>
      <c r="O5925" s="308"/>
      <c r="P5925" s="308" t="s">
        <v>38738</v>
      </c>
      <c r="Q5925" s="308" t="s">
        <v>38734</v>
      </c>
      <c r="R5925" s="308" t="s">
        <v>2743</v>
      </c>
      <c r="S5925" s="308" t="s">
        <v>49</v>
      </c>
      <c r="T5925" s="308" t="s">
        <v>51</v>
      </c>
      <c r="U5925" s="308" t="s">
        <v>27</v>
      </c>
      <c r="V5925" s="308"/>
    </row>
    <row r="5926">
      <c r="A5926" s="308">
        <v>5925.0</v>
      </c>
      <c r="B5926" s="308"/>
      <c r="C5926" s="308" t="s">
        <v>23726</v>
      </c>
      <c r="D5926" s="308">
        <f>IFERROR(__xludf.DUMMYFUNCTION("SPLIT(C5926,""-"")"),5946.0)</f>
        <v>5946</v>
      </c>
      <c r="E5926" s="308" t="str">
        <f>IFERROR(__xludf.DUMMYFUNCTION("""COMPUTED_VALUE"""),"P")</f>
        <v>P</v>
      </c>
      <c r="F5926" s="312" t="s">
        <v>37</v>
      </c>
      <c r="G5926" s="308"/>
      <c r="H5926" s="308" t="s">
        <v>23727</v>
      </c>
      <c r="I5926" s="310">
        <v>43478.0</v>
      </c>
      <c r="J5926" s="319">
        <f>IFERROR(__xludf.DUMMYFUNCTION("SPLIT(I5926,""/"")"),13.0)</f>
        <v>13</v>
      </c>
      <c r="K5926" s="308">
        <f>IFERROR(__xludf.DUMMYFUNCTION("""COMPUTED_VALUE"""),1.0)</f>
        <v>1</v>
      </c>
      <c r="L5926" s="308">
        <f>IFERROR(__xludf.DUMMYFUNCTION("""COMPUTED_VALUE"""),2019.0)</f>
        <v>2019</v>
      </c>
      <c r="M5926" s="308" t="s">
        <v>23724</v>
      </c>
      <c r="N5926" s="308"/>
      <c r="O5926" s="308" t="s">
        <v>23728</v>
      </c>
      <c r="P5926" s="308" t="s">
        <v>38739</v>
      </c>
      <c r="Q5926" s="308" t="s">
        <v>38734</v>
      </c>
      <c r="R5926" s="308" t="s">
        <v>2743</v>
      </c>
      <c r="S5926" s="308" t="s">
        <v>81</v>
      </c>
      <c r="T5926" s="311" t="s">
        <v>96</v>
      </c>
      <c r="U5926" s="308" t="s">
        <v>18270</v>
      </c>
      <c r="V5926" s="308"/>
    </row>
    <row r="5927">
      <c r="A5927" s="308">
        <v>5926.0</v>
      </c>
      <c r="B5927" s="308"/>
      <c r="C5927" s="308" t="s">
        <v>23730</v>
      </c>
      <c r="D5927" s="308">
        <f>IFERROR(__xludf.DUMMYFUNCTION("SPLIT(C5927,""-"")"),5947.0)</f>
        <v>5947</v>
      </c>
      <c r="E5927" s="308" t="str">
        <f>IFERROR(__xludf.DUMMYFUNCTION("""COMPUTED_VALUE"""),"K")</f>
        <v>K</v>
      </c>
      <c r="F5927" s="309" t="s">
        <v>34</v>
      </c>
      <c r="G5927" s="308"/>
      <c r="H5927" s="308" t="s">
        <v>38740</v>
      </c>
      <c r="I5927" s="310">
        <v>42259.0</v>
      </c>
      <c r="J5927" s="319">
        <f>IFERROR(__xludf.DUMMYFUNCTION("SPLIT(I5927,""/"")"),12.0)</f>
        <v>12</v>
      </c>
      <c r="K5927" s="308">
        <f>IFERROR(__xludf.DUMMYFUNCTION("""COMPUTED_VALUE"""),9.0)</f>
        <v>9</v>
      </c>
      <c r="L5927" s="308">
        <f>IFERROR(__xludf.DUMMYFUNCTION("""COMPUTED_VALUE"""),2015.0)</f>
        <v>2015</v>
      </c>
      <c r="M5927" s="308" t="s">
        <v>23732</v>
      </c>
      <c r="N5927" s="308"/>
      <c r="O5927" s="308"/>
      <c r="P5927" s="308" t="s">
        <v>136</v>
      </c>
      <c r="Q5927" s="308" t="s">
        <v>38734</v>
      </c>
      <c r="R5927" s="308" t="s">
        <v>2743</v>
      </c>
      <c r="S5927" s="315" t="s">
        <v>100</v>
      </c>
      <c r="T5927" s="308" t="s">
        <v>34208</v>
      </c>
      <c r="U5927" s="308" t="s">
        <v>1516</v>
      </c>
      <c r="V5927" s="308"/>
    </row>
    <row r="5928">
      <c r="A5928" s="308">
        <v>5927.0</v>
      </c>
      <c r="B5928" s="308"/>
      <c r="C5928" s="308" t="s">
        <v>23733</v>
      </c>
      <c r="D5928" s="308">
        <f>IFERROR(__xludf.DUMMYFUNCTION("SPLIT(C5928,""-"")"),5948.0)</f>
        <v>5948</v>
      </c>
      <c r="E5928" s="308" t="str">
        <f>IFERROR(__xludf.DUMMYFUNCTION("""COMPUTED_VALUE"""),"K")</f>
        <v>K</v>
      </c>
      <c r="F5928" s="309" t="s">
        <v>34</v>
      </c>
      <c r="G5928" s="308"/>
      <c r="H5928" s="308" t="s">
        <v>23734</v>
      </c>
      <c r="I5928" s="310">
        <v>40040.0</v>
      </c>
      <c r="J5928" s="319">
        <f>IFERROR(__xludf.DUMMYFUNCTION("SPLIT(I5928,""/"")"),15.0)</f>
        <v>15</v>
      </c>
      <c r="K5928" s="308">
        <f>IFERROR(__xludf.DUMMYFUNCTION("""COMPUTED_VALUE"""),8.0)</f>
        <v>8</v>
      </c>
      <c r="L5928" s="308">
        <f>IFERROR(__xludf.DUMMYFUNCTION("""COMPUTED_VALUE"""),2009.0)</f>
        <v>2009</v>
      </c>
      <c r="M5928" s="308" t="s">
        <v>23735</v>
      </c>
      <c r="N5928" s="308" t="s">
        <v>439</v>
      </c>
      <c r="O5928" s="308"/>
      <c r="P5928" s="308" t="s">
        <v>136</v>
      </c>
      <c r="Q5928" s="308" t="s">
        <v>38734</v>
      </c>
      <c r="R5928" s="308" t="s">
        <v>2743</v>
      </c>
      <c r="S5928" s="315" t="s">
        <v>100</v>
      </c>
      <c r="T5928" s="308" t="s">
        <v>34208</v>
      </c>
      <c r="U5928" s="308" t="s">
        <v>530</v>
      </c>
      <c r="V5928" s="308"/>
    </row>
    <row r="5929">
      <c r="A5929" s="308">
        <v>5928.0</v>
      </c>
      <c r="B5929" s="308"/>
      <c r="C5929" s="308" t="s">
        <v>23736</v>
      </c>
      <c r="D5929" s="308">
        <f>IFERROR(__xludf.DUMMYFUNCTION("SPLIT(C5929,""-"")"),5949.0)</f>
        <v>5949</v>
      </c>
      <c r="E5929" s="308" t="str">
        <f>IFERROR(__xludf.DUMMYFUNCTION("""COMPUTED_VALUE"""),"B")</f>
        <v>B</v>
      </c>
      <c r="F5929" s="315" t="s">
        <v>26</v>
      </c>
      <c r="G5929" s="308"/>
      <c r="H5929" s="308" t="s">
        <v>23737</v>
      </c>
      <c r="I5929" s="314">
        <v>36878.0</v>
      </c>
      <c r="J5929" s="319">
        <f>IFERROR(__xludf.DUMMYFUNCTION("SPLIT(I5929,""/"")"),18.0)</f>
        <v>18</v>
      </c>
      <c r="K5929" s="308">
        <f>IFERROR(__xludf.DUMMYFUNCTION("""COMPUTED_VALUE"""),12.0)</f>
        <v>12</v>
      </c>
      <c r="L5929" s="308">
        <f>IFERROR(__xludf.DUMMYFUNCTION("""COMPUTED_VALUE"""),2000.0)</f>
        <v>2000</v>
      </c>
      <c r="M5929" s="308" t="s">
        <v>23738</v>
      </c>
      <c r="N5929" s="308"/>
      <c r="O5929" s="308" t="s">
        <v>23739</v>
      </c>
      <c r="P5929" s="308" t="s">
        <v>23740</v>
      </c>
      <c r="Q5929" s="308" t="s">
        <v>38741</v>
      </c>
      <c r="R5929" s="308" t="s">
        <v>20958</v>
      </c>
      <c r="S5929" s="308" t="s">
        <v>81</v>
      </c>
      <c r="T5929" s="308" t="s">
        <v>75</v>
      </c>
      <c r="U5929" s="308" t="s">
        <v>27</v>
      </c>
      <c r="V5929" s="308"/>
    </row>
    <row r="5930">
      <c r="A5930" s="308">
        <v>5929.0</v>
      </c>
      <c r="B5930" s="308"/>
      <c r="C5930" s="308" t="s">
        <v>23741</v>
      </c>
      <c r="D5930" s="308">
        <f>IFERROR(__xludf.DUMMYFUNCTION("SPLIT(C5930,""-"")"),5950.0)</f>
        <v>5950</v>
      </c>
      <c r="E5930" s="308" t="str">
        <f>IFERROR(__xludf.DUMMYFUNCTION("""COMPUTED_VALUE"""),"P")</f>
        <v>P</v>
      </c>
      <c r="F5930" s="312" t="s">
        <v>37</v>
      </c>
      <c r="G5930" s="308"/>
      <c r="H5930" s="308" t="s">
        <v>23742</v>
      </c>
      <c r="I5930" s="310">
        <v>40403.0</v>
      </c>
      <c r="J5930" s="319">
        <f>IFERROR(__xludf.DUMMYFUNCTION("SPLIT(I5930,""/"")"),13.0)</f>
        <v>13</v>
      </c>
      <c r="K5930" s="308">
        <f>IFERROR(__xludf.DUMMYFUNCTION("""COMPUTED_VALUE"""),8.0)</f>
        <v>8</v>
      </c>
      <c r="L5930" s="308">
        <f>IFERROR(__xludf.DUMMYFUNCTION("""COMPUTED_VALUE"""),2010.0)</f>
        <v>2010</v>
      </c>
      <c r="M5930" s="308" t="s">
        <v>23743</v>
      </c>
      <c r="N5930" s="308"/>
      <c r="O5930" s="308"/>
      <c r="P5930" s="308" t="s">
        <v>38742</v>
      </c>
      <c r="Q5930" s="308" t="s">
        <v>38741</v>
      </c>
      <c r="R5930" s="308" t="s">
        <v>2743</v>
      </c>
      <c r="S5930" s="308" t="s">
        <v>81</v>
      </c>
      <c r="T5930" s="308" t="s">
        <v>73</v>
      </c>
      <c r="U5930" s="308" t="s">
        <v>143</v>
      </c>
      <c r="V5930" s="308"/>
    </row>
    <row r="5931">
      <c r="A5931" s="308">
        <v>5930.0</v>
      </c>
      <c r="B5931" s="308"/>
      <c r="C5931" s="308" t="s">
        <v>23745</v>
      </c>
      <c r="D5931" s="308">
        <f>IFERROR(__xludf.DUMMYFUNCTION("SPLIT(C5931,""-"")"),5951.0)</f>
        <v>5951</v>
      </c>
      <c r="E5931" s="308" t="str">
        <f>IFERROR(__xludf.DUMMYFUNCTION("""COMPUTED_VALUE"""),"K")</f>
        <v>K</v>
      </c>
      <c r="F5931" s="309" t="s">
        <v>34</v>
      </c>
      <c r="G5931" s="308"/>
      <c r="H5931" s="308" t="s">
        <v>23746</v>
      </c>
      <c r="I5931" s="310">
        <v>42489.0</v>
      </c>
      <c r="J5931" s="319">
        <f>IFERROR(__xludf.DUMMYFUNCTION("SPLIT(I5931,""/"")"),29.0)</f>
        <v>29</v>
      </c>
      <c r="K5931" s="308">
        <f>IFERROR(__xludf.DUMMYFUNCTION("""COMPUTED_VALUE"""),4.0)</f>
        <v>4</v>
      </c>
      <c r="L5931" s="308">
        <f>IFERROR(__xludf.DUMMYFUNCTION("""COMPUTED_VALUE"""),2016.0)</f>
        <v>2016</v>
      </c>
      <c r="M5931" s="308" t="s">
        <v>23747</v>
      </c>
      <c r="N5931" s="308"/>
      <c r="O5931" s="308"/>
      <c r="P5931" s="308" t="s">
        <v>23748</v>
      </c>
      <c r="Q5931" s="308" t="s">
        <v>38741</v>
      </c>
      <c r="R5931" s="308" t="s">
        <v>2743</v>
      </c>
      <c r="S5931" s="308" t="s">
        <v>81</v>
      </c>
      <c r="T5931" s="308" t="s">
        <v>34264</v>
      </c>
      <c r="U5931" s="308" t="s">
        <v>530</v>
      </c>
      <c r="V5931" s="308"/>
    </row>
    <row r="5932">
      <c r="A5932" s="308">
        <v>5931.0</v>
      </c>
      <c r="B5932" s="308"/>
      <c r="C5932" s="308" t="s">
        <v>23749</v>
      </c>
      <c r="D5932" s="308">
        <f>IFERROR(__xludf.DUMMYFUNCTION("SPLIT(C5932,""-"")"),5952.0)</f>
        <v>5952</v>
      </c>
      <c r="E5932" s="308" t="str">
        <f>IFERROR(__xludf.DUMMYFUNCTION("""COMPUTED_VALUE"""),"K")</f>
        <v>K</v>
      </c>
      <c r="F5932" s="309" t="s">
        <v>34</v>
      </c>
      <c r="G5932" s="308"/>
      <c r="H5932" s="308" t="s">
        <v>23750</v>
      </c>
      <c r="I5932" s="310">
        <v>42068.0</v>
      </c>
      <c r="J5932" s="319">
        <f>IFERROR(__xludf.DUMMYFUNCTION("SPLIT(I5932,""/"")"),5.0)</f>
        <v>5</v>
      </c>
      <c r="K5932" s="308">
        <f>IFERROR(__xludf.DUMMYFUNCTION("""COMPUTED_VALUE"""),3.0)</f>
        <v>3</v>
      </c>
      <c r="L5932" s="308">
        <f>IFERROR(__xludf.DUMMYFUNCTION("""COMPUTED_VALUE"""),2015.0)</f>
        <v>2015</v>
      </c>
      <c r="M5932" s="308" t="s">
        <v>23751</v>
      </c>
      <c r="N5932" s="308"/>
      <c r="O5932" s="308" t="s">
        <v>23752</v>
      </c>
      <c r="P5932" s="308" t="s">
        <v>136</v>
      </c>
      <c r="Q5932" s="308" t="s">
        <v>38741</v>
      </c>
      <c r="R5932" s="308" t="s">
        <v>2743</v>
      </c>
      <c r="S5932" s="315" t="s">
        <v>100</v>
      </c>
      <c r="T5932" s="308" t="s">
        <v>34208</v>
      </c>
      <c r="U5932" s="308" t="s">
        <v>7530</v>
      </c>
      <c r="V5932" s="308"/>
    </row>
    <row r="5933">
      <c r="A5933" s="308">
        <v>5932.0</v>
      </c>
      <c r="B5933" s="308"/>
      <c r="C5933" s="308" t="s">
        <v>23753</v>
      </c>
      <c r="D5933" s="308">
        <f>IFERROR(__xludf.DUMMYFUNCTION("SPLIT(C5933,""-"")"),5953.0)</f>
        <v>5953</v>
      </c>
      <c r="E5933" s="308" t="str">
        <f>IFERROR(__xludf.DUMMYFUNCTION("""COMPUTED_VALUE"""),"K")</f>
        <v>K</v>
      </c>
      <c r="F5933" s="309" t="s">
        <v>34</v>
      </c>
      <c r="G5933" s="308"/>
      <c r="H5933" s="308" t="s">
        <v>23754</v>
      </c>
      <c r="I5933" s="310">
        <v>39972.0</v>
      </c>
      <c r="J5933" s="319">
        <f>IFERROR(__xludf.DUMMYFUNCTION("SPLIT(I5933,""/"")"),8.0)</f>
        <v>8</v>
      </c>
      <c r="K5933" s="308">
        <f>IFERROR(__xludf.DUMMYFUNCTION("""COMPUTED_VALUE"""),6.0)</f>
        <v>6</v>
      </c>
      <c r="L5933" s="308">
        <f>IFERROR(__xludf.DUMMYFUNCTION("""COMPUTED_VALUE"""),2009.0)</f>
        <v>2009</v>
      </c>
      <c r="M5933" s="308" t="s">
        <v>23755</v>
      </c>
      <c r="N5933" s="308" t="s">
        <v>23756</v>
      </c>
      <c r="O5933" s="308"/>
      <c r="P5933" s="308" t="s">
        <v>136</v>
      </c>
      <c r="Q5933" s="308" t="s">
        <v>38741</v>
      </c>
      <c r="R5933" s="308" t="s">
        <v>2743</v>
      </c>
      <c r="S5933" s="315" t="s">
        <v>100</v>
      </c>
      <c r="T5933" s="308" t="s">
        <v>34208</v>
      </c>
      <c r="U5933" s="308" t="s">
        <v>530</v>
      </c>
      <c r="V5933" s="308" t="s">
        <v>23757</v>
      </c>
    </row>
    <row r="5934">
      <c r="A5934" s="308">
        <v>5933.0</v>
      </c>
      <c r="B5934" s="308"/>
      <c r="C5934" s="308" t="s">
        <v>23758</v>
      </c>
      <c r="D5934" s="308">
        <f>IFERROR(__xludf.DUMMYFUNCTION("SPLIT(C5934,""-"")"),5954.0)</f>
        <v>5954</v>
      </c>
      <c r="E5934" s="308" t="str">
        <f>IFERROR(__xludf.DUMMYFUNCTION("""COMPUTED_VALUE"""),"K")</f>
        <v>K</v>
      </c>
      <c r="F5934" s="309" t="s">
        <v>34</v>
      </c>
      <c r="G5934" s="308"/>
      <c r="H5934" s="308" t="s">
        <v>23759</v>
      </c>
      <c r="I5934" s="310">
        <v>39972.0</v>
      </c>
      <c r="J5934" s="319">
        <f>IFERROR(__xludf.DUMMYFUNCTION("SPLIT(I5934,""/"")"),8.0)</f>
        <v>8</v>
      </c>
      <c r="K5934" s="308">
        <f>IFERROR(__xludf.DUMMYFUNCTION("""COMPUTED_VALUE"""),6.0)</f>
        <v>6</v>
      </c>
      <c r="L5934" s="308">
        <f>IFERROR(__xludf.DUMMYFUNCTION("""COMPUTED_VALUE"""),2009.0)</f>
        <v>2009</v>
      </c>
      <c r="M5934" s="308" t="s">
        <v>23755</v>
      </c>
      <c r="N5934" s="308" t="s">
        <v>439</v>
      </c>
      <c r="O5934" s="308"/>
      <c r="P5934" s="308" t="s">
        <v>136</v>
      </c>
      <c r="Q5934" s="308" t="s">
        <v>38741</v>
      </c>
      <c r="R5934" s="308" t="s">
        <v>2743</v>
      </c>
      <c r="S5934" s="315" t="s">
        <v>100</v>
      </c>
      <c r="T5934" s="308" t="s">
        <v>34208</v>
      </c>
      <c r="U5934" s="308" t="s">
        <v>530</v>
      </c>
      <c r="V5934" s="308" t="s">
        <v>23757</v>
      </c>
    </row>
    <row r="5935">
      <c r="A5935" s="308">
        <v>5934.0</v>
      </c>
      <c r="B5935" s="308"/>
      <c r="C5935" s="308" t="s">
        <v>23760</v>
      </c>
      <c r="D5935" s="308">
        <f>IFERROR(__xludf.DUMMYFUNCTION("SPLIT(C5935,""-"")"),5955.0)</f>
        <v>5955</v>
      </c>
      <c r="E5935" s="308" t="str">
        <f>IFERROR(__xludf.DUMMYFUNCTION("""COMPUTED_VALUE"""),"P")</f>
        <v>P</v>
      </c>
      <c r="F5935" s="312" t="s">
        <v>37</v>
      </c>
      <c r="G5935" s="308"/>
      <c r="H5935" s="308" t="s">
        <v>23761</v>
      </c>
      <c r="I5935" s="310">
        <v>42643.0</v>
      </c>
      <c r="J5935" s="319">
        <f>IFERROR(__xludf.DUMMYFUNCTION("SPLIT(I5935,""/"")"),30.0)</f>
        <v>30</v>
      </c>
      <c r="K5935" s="308">
        <f>IFERROR(__xludf.DUMMYFUNCTION("""COMPUTED_VALUE"""),9.0)</f>
        <v>9</v>
      </c>
      <c r="L5935" s="308">
        <f>IFERROR(__xludf.DUMMYFUNCTION("""COMPUTED_VALUE"""),2016.0)</f>
        <v>2016</v>
      </c>
      <c r="M5935" s="308" t="s">
        <v>38743</v>
      </c>
      <c r="N5935" s="308"/>
      <c r="O5935" s="308"/>
      <c r="P5935" s="308" t="s">
        <v>38744</v>
      </c>
      <c r="Q5935" s="308" t="s">
        <v>38741</v>
      </c>
      <c r="R5935" s="308" t="s">
        <v>16185</v>
      </c>
      <c r="S5935" s="308" t="s">
        <v>81</v>
      </c>
      <c r="T5935" s="311" t="s">
        <v>63</v>
      </c>
      <c r="U5935" s="308" t="s">
        <v>18270</v>
      </c>
      <c r="V5935" s="308"/>
    </row>
    <row r="5936">
      <c r="A5936" s="308">
        <v>5935.0</v>
      </c>
      <c r="B5936" s="308"/>
      <c r="C5936" s="308" t="s">
        <v>23764</v>
      </c>
      <c r="D5936" s="308">
        <f>IFERROR(__xludf.DUMMYFUNCTION("SPLIT(C5936,""-"")"),5956.0)</f>
        <v>5956</v>
      </c>
      <c r="E5936" s="308" t="str">
        <f>IFERROR(__xludf.DUMMYFUNCTION("""COMPUTED_VALUE"""),"P")</f>
        <v>P</v>
      </c>
      <c r="F5936" s="312" t="s">
        <v>37</v>
      </c>
      <c r="G5936" s="308"/>
      <c r="H5936" s="308" t="s">
        <v>23765</v>
      </c>
      <c r="I5936" s="310">
        <v>42643.0</v>
      </c>
      <c r="J5936" s="319">
        <f>IFERROR(__xludf.DUMMYFUNCTION("SPLIT(I5936,""/"")"),30.0)</f>
        <v>30</v>
      </c>
      <c r="K5936" s="308">
        <f>IFERROR(__xludf.DUMMYFUNCTION("""COMPUTED_VALUE"""),9.0)</f>
        <v>9</v>
      </c>
      <c r="L5936" s="308">
        <f>IFERROR(__xludf.DUMMYFUNCTION("""COMPUTED_VALUE"""),2016.0)</f>
        <v>2016</v>
      </c>
      <c r="M5936" s="308" t="s">
        <v>38743</v>
      </c>
      <c r="N5936" s="308"/>
      <c r="O5936" s="308" t="s">
        <v>38745</v>
      </c>
      <c r="P5936" s="308" t="s">
        <v>136</v>
      </c>
      <c r="Q5936" s="308" t="s">
        <v>38741</v>
      </c>
      <c r="R5936" s="308" t="s">
        <v>16185</v>
      </c>
      <c r="S5936" s="315" t="s">
        <v>100</v>
      </c>
      <c r="T5936" s="308" t="s">
        <v>34208</v>
      </c>
      <c r="U5936" s="308" t="s">
        <v>18270</v>
      </c>
      <c r="V5936" s="308"/>
    </row>
    <row r="5937">
      <c r="A5937" s="308">
        <v>5936.0</v>
      </c>
      <c r="B5937" s="308"/>
      <c r="C5937" s="308" t="s">
        <v>23767</v>
      </c>
      <c r="D5937" s="308">
        <f>IFERROR(__xludf.DUMMYFUNCTION("SPLIT(C5937,""-"")"),5957.0)</f>
        <v>5957</v>
      </c>
      <c r="E5937" s="308" t="str">
        <f>IFERROR(__xludf.DUMMYFUNCTION("""COMPUTED_VALUE"""),"P")</f>
        <v>P</v>
      </c>
      <c r="F5937" s="312" t="s">
        <v>37</v>
      </c>
      <c r="G5937" s="308"/>
      <c r="H5937" s="308" t="s">
        <v>23768</v>
      </c>
      <c r="I5937" s="310">
        <v>42643.0</v>
      </c>
      <c r="J5937" s="319">
        <f>IFERROR(__xludf.DUMMYFUNCTION("SPLIT(I5937,""/"")"),30.0)</f>
        <v>30</v>
      </c>
      <c r="K5937" s="308">
        <f>IFERROR(__xludf.DUMMYFUNCTION("""COMPUTED_VALUE"""),9.0)</f>
        <v>9</v>
      </c>
      <c r="L5937" s="308">
        <f>IFERROR(__xludf.DUMMYFUNCTION("""COMPUTED_VALUE"""),2016.0)</f>
        <v>2016</v>
      </c>
      <c r="M5937" s="308" t="s">
        <v>38743</v>
      </c>
      <c r="N5937" s="308"/>
      <c r="O5937" s="308"/>
      <c r="P5937" s="308" t="s">
        <v>38744</v>
      </c>
      <c r="Q5937" s="308" t="s">
        <v>38741</v>
      </c>
      <c r="R5937" s="308" t="s">
        <v>16185</v>
      </c>
      <c r="S5937" s="308" t="s">
        <v>81</v>
      </c>
      <c r="T5937" s="311" t="s">
        <v>63</v>
      </c>
      <c r="U5937" s="308" t="s">
        <v>18270</v>
      </c>
      <c r="V5937" s="308"/>
    </row>
    <row r="5938">
      <c r="A5938" s="308">
        <v>5937.0</v>
      </c>
      <c r="B5938" s="308"/>
      <c r="C5938" s="308" t="s">
        <v>23769</v>
      </c>
      <c r="D5938" s="308">
        <f>IFERROR(__xludf.DUMMYFUNCTION("SPLIT(C5938,""-"")"),5958.0)</f>
        <v>5958</v>
      </c>
      <c r="E5938" s="308" t="str">
        <f>IFERROR(__xludf.DUMMYFUNCTION("""COMPUTED_VALUE"""),"K")</f>
        <v>K</v>
      </c>
      <c r="F5938" s="309" t="s">
        <v>34</v>
      </c>
      <c r="G5938" s="308"/>
      <c r="H5938" s="308" t="s">
        <v>23770</v>
      </c>
      <c r="I5938" s="310">
        <v>42433.0</v>
      </c>
      <c r="J5938" s="319">
        <f>IFERROR(__xludf.DUMMYFUNCTION("SPLIT(I5938,""/"")"),4.0)</f>
        <v>4</v>
      </c>
      <c r="K5938" s="308">
        <f>IFERROR(__xludf.DUMMYFUNCTION("""COMPUTED_VALUE"""),3.0)</f>
        <v>3</v>
      </c>
      <c r="L5938" s="308">
        <f>IFERROR(__xludf.DUMMYFUNCTION("""COMPUTED_VALUE"""),2016.0)</f>
        <v>2016</v>
      </c>
      <c r="M5938" s="308" t="s">
        <v>23771</v>
      </c>
      <c r="N5938" s="308"/>
      <c r="O5938" s="308"/>
      <c r="P5938" s="308" t="s">
        <v>136</v>
      </c>
      <c r="Q5938" s="308" t="s">
        <v>38741</v>
      </c>
      <c r="R5938" s="308" t="s">
        <v>16185</v>
      </c>
      <c r="S5938" s="315" t="s">
        <v>100</v>
      </c>
      <c r="T5938" s="308" t="s">
        <v>34208</v>
      </c>
      <c r="U5938" s="308" t="s">
        <v>2152</v>
      </c>
      <c r="V5938" s="308"/>
    </row>
    <row r="5939">
      <c r="A5939" s="308">
        <v>5938.0</v>
      </c>
      <c r="B5939" s="308"/>
      <c r="C5939" s="308" t="s">
        <v>23772</v>
      </c>
      <c r="D5939" s="308">
        <f>IFERROR(__xludf.DUMMYFUNCTION("SPLIT(C5939,""-"")"),5959.0)</f>
        <v>5959</v>
      </c>
      <c r="E5939" s="308" t="str">
        <f>IFERROR(__xludf.DUMMYFUNCTION("""COMPUTED_VALUE"""),"S")</f>
        <v>S</v>
      </c>
      <c r="F5939" s="312" t="s">
        <v>39</v>
      </c>
      <c r="G5939" s="308"/>
      <c r="H5939" s="308" t="s">
        <v>23773</v>
      </c>
      <c r="I5939" s="310">
        <v>41822.0</v>
      </c>
      <c r="J5939" s="319">
        <f>IFERROR(__xludf.DUMMYFUNCTION("SPLIT(I5939,""/"")"),2.0)</f>
        <v>2</v>
      </c>
      <c r="K5939" s="308">
        <f>IFERROR(__xludf.DUMMYFUNCTION("""COMPUTED_VALUE"""),7.0)</f>
        <v>7</v>
      </c>
      <c r="L5939" s="308">
        <f>IFERROR(__xludf.DUMMYFUNCTION("""COMPUTED_VALUE"""),2014.0)</f>
        <v>2014</v>
      </c>
      <c r="M5939" s="308" t="s">
        <v>23774</v>
      </c>
      <c r="N5939" s="308"/>
      <c r="O5939" s="308"/>
      <c r="P5939" s="308" t="s">
        <v>38746</v>
      </c>
      <c r="Q5939" s="308" t="s">
        <v>38741</v>
      </c>
      <c r="R5939" s="308" t="s">
        <v>16185</v>
      </c>
      <c r="S5939" s="308" t="s">
        <v>81</v>
      </c>
      <c r="T5939" s="308" t="s">
        <v>75</v>
      </c>
      <c r="U5939" s="308" t="s">
        <v>166</v>
      </c>
      <c r="V5939" s="308"/>
    </row>
    <row r="5940">
      <c r="A5940" s="308">
        <v>5939.0</v>
      </c>
      <c r="B5940" s="308"/>
      <c r="C5940" s="308" t="s">
        <v>23776</v>
      </c>
      <c r="D5940" s="308">
        <f>IFERROR(__xludf.DUMMYFUNCTION("SPLIT(C5940,""-"")"),5960.0)</f>
        <v>5960</v>
      </c>
      <c r="E5940" s="308" t="str">
        <f>IFERROR(__xludf.DUMMYFUNCTION("""COMPUTED_VALUE"""),"K")</f>
        <v>K</v>
      </c>
      <c r="F5940" s="309" t="s">
        <v>34</v>
      </c>
      <c r="G5940" s="308"/>
      <c r="H5940" s="308" t="s">
        <v>23777</v>
      </c>
      <c r="I5940" s="310">
        <v>41426.0</v>
      </c>
      <c r="J5940" s="319">
        <f>IFERROR(__xludf.DUMMYFUNCTION("SPLIT(I5940,""/"")"),1.0)</f>
        <v>1</v>
      </c>
      <c r="K5940" s="308">
        <f>IFERROR(__xludf.DUMMYFUNCTION("""COMPUTED_VALUE"""),6.0)</f>
        <v>6</v>
      </c>
      <c r="L5940" s="308">
        <f>IFERROR(__xludf.DUMMYFUNCTION("""COMPUTED_VALUE"""),2013.0)</f>
        <v>2013</v>
      </c>
      <c r="M5940" s="308" t="s">
        <v>23778</v>
      </c>
      <c r="N5940" s="308" t="s">
        <v>23779</v>
      </c>
      <c r="O5940" s="308"/>
      <c r="P5940" s="308" t="s">
        <v>136</v>
      </c>
      <c r="Q5940" s="308" t="s">
        <v>38741</v>
      </c>
      <c r="R5940" s="308" t="s">
        <v>16185</v>
      </c>
      <c r="S5940" s="315" t="s">
        <v>100</v>
      </c>
      <c r="T5940" s="308" t="s">
        <v>34208</v>
      </c>
      <c r="U5940" s="308" t="s">
        <v>23780</v>
      </c>
      <c r="V5940" s="308"/>
    </row>
    <row r="5941">
      <c r="A5941" s="308">
        <v>5940.0</v>
      </c>
      <c r="B5941" s="308"/>
      <c r="C5941" s="308" t="s">
        <v>23781</v>
      </c>
      <c r="D5941" s="308">
        <f>IFERROR(__xludf.DUMMYFUNCTION("SPLIT(C5941,""-"")"),5961.0)</f>
        <v>5961</v>
      </c>
      <c r="E5941" s="308" t="str">
        <f>IFERROR(__xludf.DUMMYFUNCTION("""COMPUTED_VALUE"""),"P")</f>
        <v>P</v>
      </c>
      <c r="F5941" s="312" t="s">
        <v>37</v>
      </c>
      <c r="G5941" s="308"/>
      <c r="H5941" s="308" t="s">
        <v>23782</v>
      </c>
      <c r="I5941" s="310">
        <v>42681.0</v>
      </c>
      <c r="J5941" s="319">
        <f>IFERROR(__xludf.DUMMYFUNCTION("SPLIT(I5941,""/"")"),7.0)</f>
        <v>7</v>
      </c>
      <c r="K5941" s="308">
        <f>IFERROR(__xludf.DUMMYFUNCTION("""COMPUTED_VALUE"""),11.0)</f>
        <v>11</v>
      </c>
      <c r="L5941" s="308">
        <f>IFERROR(__xludf.DUMMYFUNCTION("""COMPUTED_VALUE"""),2016.0)</f>
        <v>2016</v>
      </c>
      <c r="M5941" s="308" t="s">
        <v>23783</v>
      </c>
      <c r="N5941" s="308"/>
      <c r="O5941" s="308"/>
      <c r="P5941" s="308" t="s">
        <v>38747</v>
      </c>
      <c r="Q5941" s="308" t="s">
        <v>38741</v>
      </c>
      <c r="R5941" s="308" t="s">
        <v>16185</v>
      </c>
      <c r="S5941" s="308" t="s">
        <v>81</v>
      </c>
      <c r="T5941" s="311" t="s">
        <v>35043</v>
      </c>
      <c r="U5941" s="308" t="s">
        <v>2291</v>
      </c>
      <c r="V5941" s="308"/>
    </row>
    <row r="5942">
      <c r="A5942" s="308">
        <v>5941.0</v>
      </c>
      <c r="B5942" s="308"/>
      <c r="C5942" s="308" t="s">
        <v>23785</v>
      </c>
      <c r="D5942" s="308">
        <f>IFERROR(__xludf.DUMMYFUNCTION("SPLIT(C5942,""-"")"),5962.0)</f>
        <v>5962</v>
      </c>
      <c r="E5942" s="308" t="str">
        <f>IFERROR(__xludf.DUMMYFUNCTION("""COMPUTED_VALUE"""),"S")</f>
        <v>S</v>
      </c>
      <c r="F5942" s="312" t="s">
        <v>39</v>
      </c>
      <c r="G5942" s="308"/>
      <c r="H5942" s="308" t="s">
        <v>23786</v>
      </c>
      <c r="I5942" s="310">
        <v>43557.0</v>
      </c>
      <c r="J5942" s="319">
        <f>IFERROR(__xludf.DUMMYFUNCTION("SPLIT(I5942,""/"")"),2.0)</f>
        <v>2</v>
      </c>
      <c r="K5942" s="308">
        <f>IFERROR(__xludf.DUMMYFUNCTION("""COMPUTED_VALUE"""),4.0)</f>
        <v>4</v>
      </c>
      <c r="L5942" s="308">
        <f>IFERROR(__xludf.DUMMYFUNCTION("""COMPUTED_VALUE"""),2019.0)</f>
        <v>2019</v>
      </c>
      <c r="M5942" s="308" t="s">
        <v>23787</v>
      </c>
      <c r="N5942" s="308"/>
      <c r="O5942" s="308"/>
      <c r="P5942" s="308" t="s">
        <v>23788</v>
      </c>
      <c r="Q5942" s="308" t="s">
        <v>38748</v>
      </c>
      <c r="R5942" s="308" t="s">
        <v>2743</v>
      </c>
      <c r="S5942" s="308" t="s">
        <v>81</v>
      </c>
      <c r="T5942" s="308" t="s">
        <v>75</v>
      </c>
      <c r="U5942" s="308" t="s">
        <v>166</v>
      </c>
      <c r="V5942" s="308"/>
    </row>
    <row r="5943">
      <c r="A5943" s="308">
        <v>5942.0</v>
      </c>
      <c r="B5943" s="308"/>
      <c r="C5943" s="308" t="s">
        <v>23789</v>
      </c>
      <c r="D5943" s="308">
        <f>IFERROR(__xludf.DUMMYFUNCTION("SPLIT(C5943,""-"")"),5963.0)</f>
        <v>5963</v>
      </c>
      <c r="E5943" s="308" t="str">
        <f>IFERROR(__xludf.DUMMYFUNCTION("""COMPUTED_VALUE"""),"K")</f>
        <v>K</v>
      </c>
      <c r="F5943" s="309" t="s">
        <v>34</v>
      </c>
      <c r="G5943" s="308"/>
      <c r="H5943" s="308" t="s">
        <v>23790</v>
      </c>
      <c r="I5943" s="310">
        <v>39995.0</v>
      </c>
      <c r="J5943" s="319">
        <f>IFERROR(__xludf.DUMMYFUNCTION("SPLIT(I5943,""/"")"),1.0)</f>
        <v>1</v>
      </c>
      <c r="K5943" s="308">
        <f>IFERROR(__xludf.DUMMYFUNCTION("""COMPUTED_VALUE"""),7.0)</f>
        <v>7</v>
      </c>
      <c r="L5943" s="308">
        <f>IFERROR(__xludf.DUMMYFUNCTION("""COMPUTED_VALUE"""),2009.0)</f>
        <v>2009</v>
      </c>
      <c r="M5943" s="308" t="s">
        <v>23791</v>
      </c>
      <c r="N5943" s="308"/>
      <c r="O5943" s="308" t="s">
        <v>23792</v>
      </c>
      <c r="P5943" s="308" t="s">
        <v>136</v>
      </c>
      <c r="Q5943" s="308" t="s">
        <v>38748</v>
      </c>
      <c r="R5943" s="308" t="s">
        <v>2743</v>
      </c>
      <c r="S5943" s="315" t="s">
        <v>100</v>
      </c>
      <c r="T5943" s="308" t="s">
        <v>34208</v>
      </c>
      <c r="U5943" s="308" t="s">
        <v>530</v>
      </c>
      <c r="V5943" s="308"/>
    </row>
    <row r="5944">
      <c r="A5944" s="308">
        <v>5943.0</v>
      </c>
      <c r="B5944" s="308"/>
      <c r="C5944" s="308" t="s">
        <v>23793</v>
      </c>
      <c r="D5944" s="308">
        <f>IFERROR(__xludf.DUMMYFUNCTION("SPLIT(C5944,""-"")"),5964.0)</f>
        <v>5964</v>
      </c>
      <c r="E5944" s="308" t="str">
        <f>IFERROR(__xludf.DUMMYFUNCTION("""COMPUTED_VALUE"""),"K")</f>
        <v>K</v>
      </c>
      <c r="F5944" s="309" t="s">
        <v>34</v>
      </c>
      <c r="G5944" s="308"/>
      <c r="H5944" s="308" t="s">
        <v>23794</v>
      </c>
      <c r="I5944" s="310">
        <v>42475.0</v>
      </c>
      <c r="J5944" s="319">
        <f>IFERROR(__xludf.DUMMYFUNCTION("SPLIT(I5944,""/"")"),15.0)</f>
        <v>15</v>
      </c>
      <c r="K5944" s="308">
        <f>IFERROR(__xludf.DUMMYFUNCTION("""COMPUTED_VALUE"""),4.0)</f>
        <v>4</v>
      </c>
      <c r="L5944" s="308">
        <f>IFERROR(__xludf.DUMMYFUNCTION("""COMPUTED_VALUE"""),2016.0)</f>
        <v>2016</v>
      </c>
      <c r="M5944" s="308" t="s">
        <v>23795</v>
      </c>
      <c r="N5944" s="308" t="s">
        <v>439</v>
      </c>
      <c r="O5944" s="308" t="s">
        <v>23796</v>
      </c>
      <c r="P5944" s="308" t="s">
        <v>136</v>
      </c>
      <c r="Q5944" s="308" t="s">
        <v>38748</v>
      </c>
      <c r="R5944" s="308" t="s">
        <v>2743</v>
      </c>
      <c r="S5944" s="315" t="s">
        <v>100</v>
      </c>
      <c r="T5944" s="308" t="s">
        <v>34208</v>
      </c>
      <c r="U5944" s="308" t="s">
        <v>23797</v>
      </c>
      <c r="V5944" s="308"/>
    </row>
    <row r="5945">
      <c r="A5945" s="308">
        <v>5944.0</v>
      </c>
      <c r="B5945" s="308"/>
      <c r="C5945" s="308" t="s">
        <v>23798</v>
      </c>
      <c r="D5945" s="308">
        <f>IFERROR(__xludf.DUMMYFUNCTION("SPLIT(C5945,""-"")"),5965.0)</f>
        <v>5965</v>
      </c>
      <c r="E5945" s="308" t="str">
        <f>IFERROR(__xludf.DUMMYFUNCTION("""COMPUTED_VALUE"""),"P")</f>
        <v>P</v>
      </c>
      <c r="F5945" s="312" t="s">
        <v>37</v>
      </c>
      <c r="G5945" s="308"/>
      <c r="H5945" s="308" t="s">
        <v>23799</v>
      </c>
      <c r="I5945" s="310">
        <v>43561.0</v>
      </c>
      <c r="J5945" s="319">
        <f>IFERROR(__xludf.DUMMYFUNCTION("SPLIT(I5945,""/"")"),6.0)</f>
        <v>6</v>
      </c>
      <c r="K5945" s="308">
        <f>IFERROR(__xludf.DUMMYFUNCTION("""COMPUTED_VALUE"""),4.0)</f>
        <v>4</v>
      </c>
      <c r="L5945" s="308">
        <f>IFERROR(__xludf.DUMMYFUNCTION("""COMPUTED_VALUE"""),2019.0)</f>
        <v>2019</v>
      </c>
      <c r="M5945" s="308" t="s">
        <v>23800</v>
      </c>
      <c r="N5945" s="308"/>
      <c r="O5945" s="308"/>
      <c r="P5945" s="308" t="s">
        <v>38749</v>
      </c>
      <c r="Q5945" s="308" t="s">
        <v>38748</v>
      </c>
      <c r="R5945" s="308" t="s">
        <v>16185</v>
      </c>
      <c r="S5945" s="308" t="s">
        <v>81</v>
      </c>
      <c r="T5945" s="311" t="s">
        <v>73</v>
      </c>
      <c r="U5945" s="308" t="s">
        <v>2291</v>
      </c>
      <c r="V5945" s="308"/>
    </row>
    <row r="5946">
      <c r="A5946" s="308">
        <v>5945.0</v>
      </c>
      <c r="B5946" s="308"/>
      <c r="C5946" s="308" t="s">
        <v>23802</v>
      </c>
      <c r="D5946" s="308">
        <f>IFERROR(__xludf.DUMMYFUNCTION("SPLIT(C5946,""-"")"),5966.0)</f>
        <v>5966</v>
      </c>
      <c r="E5946" s="308" t="str">
        <f>IFERROR(__xludf.DUMMYFUNCTION("""COMPUTED_VALUE"""),"S")</f>
        <v>S</v>
      </c>
      <c r="F5946" s="312" t="s">
        <v>39</v>
      </c>
      <c r="G5946" s="308"/>
      <c r="H5946" s="308" t="s">
        <v>23803</v>
      </c>
      <c r="I5946" s="314">
        <v>42723.0</v>
      </c>
      <c r="J5946" s="319">
        <f>IFERROR(__xludf.DUMMYFUNCTION("SPLIT(I5946,""/"")"),19.0)</f>
        <v>19</v>
      </c>
      <c r="K5946" s="308">
        <f>IFERROR(__xludf.DUMMYFUNCTION("""COMPUTED_VALUE"""),12.0)</f>
        <v>12</v>
      </c>
      <c r="L5946" s="308">
        <f>IFERROR(__xludf.DUMMYFUNCTION("""COMPUTED_VALUE"""),2016.0)</f>
        <v>2016</v>
      </c>
      <c r="M5946" s="308" t="s">
        <v>23804</v>
      </c>
      <c r="N5946" s="308"/>
      <c r="O5946" s="308"/>
      <c r="P5946" s="308" t="s">
        <v>136</v>
      </c>
      <c r="Q5946" s="308" t="s">
        <v>38748</v>
      </c>
      <c r="R5946" s="308" t="s">
        <v>2743</v>
      </c>
      <c r="S5946" s="315" t="s">
        <v>100</v>
      </c>
      <c r="T5946" s="308" t="s">
        <v>34208</v>
      </c>
      <c r="U5946" s="308" t="s">
        <v>166</v>
      </c>
      <c r="V5946" s="308"/>
    </row>
    <row r="5947">
      <c r="A5947" s="308">
        <v>5946.0</v>
      </c>
      <c r="B5947" s="308"/>
      <c r="C5947" s="308" t="s">
        <v>23805</v>
      </c>
      <c r="D5947" s="308">
        <f>IFERROR(__xludf.DUMMYFUNCTION("SPLIT(C5947,""-"")"),5967.0)</f>
        <v>5967</v>
      </c>
      <c r="E5947" s="308" t="str">
        <f>IFERROR(__xludf.DUMMYFUNCTION("""COMPUTED_VALUE"""),"F")</f>
        <v>F</v>
      </c>
      <c r="F5947" s="309" t="s">
        <v>34</v>
      </c>
      <c r="G5947" s="308"/>
      <c r="H5947" s="308" t="s">
        <v>23806</v>
      </c>
      <c r="I5947" s="310">
        <v>43344.0</v>
      </c>
      <c r="J5947" s="319">
        <f>IFERROR(__xludf.DUMMYFUNCTION("SPLIT(I5947,""/"")"),1.0)</f>
        <v>1</v>
      </c>
      <c r="K5947" s="308">
        <f>IFERROR(__xludf.DUMMYFUNCTION("""COMPUTED_VALUE"""),9.0)</f>
        <v>9</v>
      </c>
      <c r="L5947" s="308">
        <f>IFERROR(__xludf.DUMMYFUNCTION("""COMPUTED_VALUE"""),2018.0)</f>
        <v>2018</v>
      </c>
      <c r="M5947" s="308" t="s">
        <v>23807</v>
      </c>
      <c r="N5947" s="308"/>
      <c r="O5947" s="308"/>
      <c r="P5947" s="308" t="s">
        <v>38750</v>
      </c>
      <c r="Q5947" s="308" t="s">
        <v>38748</v>
      </c>
      <c r="R5947" s="308" t="s">
        <v>20329</v>
      </c>
      <c r="S5947" s="308" t="s">
        <v>81</v>
      </c>
      <c r="T5947" s="308" t="s">
        <v>75</v>
      </c>
      <c r="U5947" s="308" t="s">
        <v>195</v>
      </c>
      <c r="V5947" s="308"/>
    </row>
    <row r="5948">
      <c r="A5948" s="308">
        <v>5947.0</v>
      </c>
      <c r="B5948" s="308"/>
      <c r="C5948" s="308" t="s">
        <v>23809</v>
      </c>
      <c r="D5948" s="308">
        <f>IFERROR(__xludf.DUMMYFUNCTION("SPLIT(C5948,""-"")"),5968.0)</f>
        <v>5968</v>
      </c>
      <c r="E5948" s="308" t="str">
        <f>IFERROR(__xludf.DUMMYFUNCTION("""COMPUTED_VALUE"""),"S")</f>
        <v>S</v>
      </c>
      <c r="F5948" s="312" t="s">
        <v>39</v>
      </c>
      <c r="G5948" s="308"/>
      <c r="H5948" s="308" t="s">
        <v>23810</v>
      </c>
      <c r="I5948" s="310">
        <v>43190.0</v>
      </c>
      <c r="J5948" s="319">
        <f>IFERROR(__xludf.DUMMYFUNCTION("SPLIT(I5948,""/"")"),31.0)</f>
        <v>31</v>
      </c>
      <c r="K5948" s="308">
        <f>IFERROR(__xludf.DUMMYFUNCTION("""COMPUTED_VALUE"""),3.0)</f>
        <v>3</v>
      </c>
      <c r="L5948" s="308">
        <f>IFERROR(__xludf.DUMMYFUNCTION("""COMPUTED_VALUE"""),2018.0)</f>
        <v>2018</v>
      </c>
      <c r="M5948" s="308" t="s">
        <v>23811</v>
      </c>
      <c r="N5948" s="308"/>
      <c r="O5948" s="308"/>
      <c r="P5948" s="308" t="s">
        <v>38751</v>
      </c>
      <c r="Q5948" s="308" t="s">
        <v>38748</v>
      </c>
      <c r="R5948" s="308" t="s">
        <v>17460</v>
      </c>
      <c r="S5948" s="308" t="s">
        <v>49</v>
      </c>
      <c r="T5948" s="311" t="s">
        <v>51</v>
      </c>
      <c r="U5948" s="308" t="s">
        <v>166</v>
      </c>
      <c r="V5948" s="308"/>
    </row>
    <row r="5949">
      <c r="A5949" s="308">
        <v>5948.0</v>
      </c>
      <c r="B5949" s="308"/>
      <c r="C5949" s="308" t="s">
        <v>23813</v>
      </c>
      <c r="D5949" s="308">
        <f>IFERROR(__xludf.DUMMYFUNCTION("SPLIT(C5949,""-"")"),5969.0)</f>
        <v>5969</v>
      </c>
      <c r="E5949" s="308" t="str">
        <f>IFERROR(__xludf.DUMMYFUNCTION("""COMPUTED_VALUE"""),"S")</f>
        <v>S</v>
      </c>
      <c r="F5949" s="312" t="s">
        <v>39</v>
      </c>
      <c r="G5949" s="308"/>
      <c r="H5949" s="308" t="s">
        <v>23814</v>
      </c>
      <c r="I5949" s="310">
        <v>43272.0</v>
      </c>
      <c r="J5949" s="319">
        <f>IFERROR(__xludf.DUMMYFUNCTION("SPLIT(I5949,""/"")"),21.0)</f>
        <v>21</v>
      </c>
      <c r="K5949" s="308">
        <f>IFERROR(__xludf.DUMMYFUNCTION("""COMPUTED_VALUE"""),6.0)</f>
        <v>6</v>
      </c>
      <c r="L5949" s="308">
        <f>IFERROR(__xludf.DUMMYFUNCTION("""COMPUTED_VALUE"""),2018.0)</f>
        <v>2018</v>
      </c>
      <c r="M5949" s="308" t="s">
        <v>23815</v>
      </c>
      <c r="N5949" s="308"/>
      <c r="O5949" s="308"/>
      <c r="P5949" s="308" t="s">
        <v>38752</v>
      </c>
      <c r="Q5949" s="308" t="s">
        <v>38748</v>
      </c>
      <c r="R5949" s="308" t="s">
        <v>2743</v>
      </c>
      <c r="S5949" s="308" t="s">
        <v>49</v>
      </c>
      <c r="T5949" s="311" t="s">
        <v>51</v>
      </c>
      <c r="U5949" s="308" t="s">
        <v>166</v>
      </c>
      <c r="V5949" s="308"/>
    </row>
    <row r="5950">
      <c r="A5950" s="308">
        <v>5949.0</v>
      </c>
      <c r="B5950" s="308"/>
      <c r="C5950" s="308" t="s">
        <v>23817</v>
      </c>
      <c r="D5950" s="308">
        <f>IFERROR(__xludf.DUMMYFUNCTION("SPLIT(C5950,""-"")"),5970.0)</f>
        <v>5970</v>
      </c>
      <c r="E5950" s="308" t="str">
        <f>IFERROR(__xludf.DUMMYFUNCTION("""COMPUTED_VALUE"""),"K")</f>
        <v>K</v>
      </c>
      <c r="F5950" s="309" t="s">
        <v>34</v>
      </c>
      <c r="G5950" s="308"/>
      <c r="H5950" s="308" t="s">
        <v>23818</v>
      </c>
      <c r="I5950" s="310">
        <v>42058.0</v>
      </c>
      <c r="J5950" s="319">
        <f>IFERROR(__xludf.DUMMYFUNCTION("SPLIT(I5950,""/"")"),23.0)</f>
        <v>23</v>
      </c>
      <c r="K5950" s="308">
        <f>IFERROR(__xludf.DUMMYFUNCTION("""COMPUTED_VALUE"""),2.0)</f>
        <v>2</v>
      </c>
      <c r="L5950" s="308">
        <f>IFERROR(__xludf.DUMMYFUNCTION("""COMPUTED_VALUE"""),2015.0)</f>
        <v>2015</v>
      </c>
      <c r="M5950" s="308" t="s">
        <v>23819</v>
      </c>
      <c r="N5950" s="308"/>
      <c r="O5950" s="308"/>
      <c r="P5950" s="308" t="s">
        <v>136</v>
      </c>
      <c r="Q5950" s="308" t="s">
        <v>38753</v>
      </c>
      <c r="R5950" s="308" t="s">
        <v>2743</v>
      </c>
      <c r="S5950" s="315" t="s">
        <v>100</v>
      </c>
      <c r="T5950" s="308" t="s">
        <v>34208</v>
      </c>
      <c r="U5950" s="308" t="s">
        <v>125</v>
      </c>
      <c r="V5950" s="308"/>
    </row>
    <row r="5951">
      <c r="A5951" s="308">
        <v>5950.0</v>
      </c>
      <c r="B5951" s="308"/>
      <c r="C5951" s="308" t="s">
        <v>23820</v>
      </c>
      <c r="D5951" s="308">
        <f>IFERROR(__xludf.DUMMYFUNCTION("SPLIT(C5951,""-"")"),5971.0)</f>
        <v>5971</v>
      </c>
      <c r="E5951" s="308" t="str">
        <f>IFERROR(__xludf.DUMMYFUNCTION("""COMPUTED_VALUE"""),"P")</f>
        <v>P</v>
      </c>
      <c r="F5951" s="312" t="s">
        <v>37</v>
      </c>
      <c r="G5951" s="308"/>
      <c r="H5951" s="308" t="s">
        <v>23821</v>
      </c>
      <c r="I5951" s="310">
        <v>43550.0</v>
      </c>
      <c r="J5951" s="319">
        <f>IFERROR(__xludf.DUMMYFUNCTION("SPLIT(I5951,""/"")"),26.0)</f>
        <v>26</v>
      </c>
      <c r="K5951" s="308">
        <f>IFERROR(__xludf.DUMMYFUNCTION("""COMPUTED_VALUE"""),3.0)</f>
        <v>3</v>
      </c>
      <c r="L5951" s="308">
        <f>IFERROR(__xludf.DUMMYFUNCTION("""COMPUTED_VALUE"""),2019.0)</f>
        <v>2019</v>
      </c>
      <c r="M5951" s="308" t="s">
        <v>23822</v>
      </c>
      <c r="N5951" s="308"/>
      <c r="O5951" s="308" t="s">
        <v>38754</v>
      </c>
      <c r="P5951" s="308" t="s">
        <v>23824</v>
      </c>
      <c r="Q5951" s="308" t="s">
        <v>38753</v>
      </c>
      <c r="R5951" s="308" t="s">
        <v>2743</v>
      </c>
      <c r="S5951" s="308" t="s">
        <v>81</v>
      </c>
      <c r="T5951" s="311" t="s">
        <v>51</v>
      </c>
      <c r="U5951" s="308" t="s">
        <v>2291</v>
      </c>
      <c r="V5951" s="308"/>
    </row>
    <row r="5952">
      <c r="A5952" s="308">
        <v>5951.0</v>
      </c>
      <c r="B5952" s="308"/>
      <c r="C5952" s="308" t="s">
        <v>23825</v>
      </c>
      <c r="D5952" s="308">
        <f>IFERROR(__xludf.DUMMYFUNCTION("SPLIT(C5952,""-"")"),5972.0)</f>
        <v>5972</v>
      </c>
      <c r="E5952" s="308" t="str">
        <f>IFERROR(__xludf.DUMMYFUNCTION("""COMPUTED_VALUE"""),"K")</f>
        <v>K</v>
      </c>
      <c r="F5952" s="309" t="s">
        <v>34</v>
      </c>
      <c r="G5952" s="308"/>
      <c r="H5952" s="308" t="s">
        <v>23826</v>
      </c>
      <c r="I5952" s="310">
        <v>42138.0</v>
      </c>
      <c r="J5952" s="319">
        <f>IFERROR(__xludf.DUMMYFUNCTION("SPLIT(I5952,""/"")"),14.0)</f>
        <v>14</v>
      </c>
      <c r="K5952" s="308">
        <f>IFERROR(__xludf.DUMMYFUNCTION("""COMPUTED_VALUE"""),5.0)</f>
        <v>5</v>
      </c>
      <c r="L5952" s="308">
        <f>IFERROR(__xludf.DUMMYFUNCTION("""COMPUTED_VALUE"""),2015.0)</f>
        <v>2015</v>
      </c>
      <c r="M5952" s="308" t="s">
        <v>23827</v>
      </c>
      <c r="N5952" s="308"/>
      <c r="O5952" s="308"/>
      <c r="P5952" s="308" t="s">
        <v>136</v>
      </c>
      <c r="Q5952" s="308" t="s">
        <v>38753</v>
      </c>
      <c r="R5952" s="308" t="s">
        <v>2743</v>
      </c>
      <c r="S5952" s="315" t="s">
        <v>100</v>
      </c>
      <c r="T5952" s="308" t="s">
        <v>34208</v>
      </c>
      <c r="U5952" s="308" t="s">
        <v>125</v>
      </c>
      <c r="V5952" s="308"/>
    </row>
    <row r="5953">
      <c r="A5953" s="308">
        <v>5952.0</v>
      </c>
      <c r="B5953" s="308"/>
      <c r="C5953" s="308" t="s">
        <v>23828</v>
      </c>
      <c r="D5953" s="308">
        <f>IFERROR(__xludf.DUMMYFUNCTION("SPLIT(C5953,""-"")"),5973.0)</f>
        <v>5973</v>
      </c>
      <c r="E5953" s="308" t="str">
        <f>IFERROR(__xludf.DUMMYFUNCTION("""COMPUTED_VALUE"""),"K")</f>
        <v>K</v>
      </c>
      <c r="F5953" s="309" t="s">
        <v>34</v>
      </c>
      <c r="G5953" s="308"/>
      <c r="H5953" s="308" t="s">
        <v>23829</v>
      </c>
      <c r="I5953" s="310">
        <v>42138.0</v>
      </c>
      <c r="J5953" s="319">
        <f>IFERROR(__xludf.DUMMYFUNCTION("SPLIT(I5953,""/"")"),14.0)</f>
        <v>14</v>
      </c>
      <c r="K5953" s="308">
        <f>IFERROR(__xludf.DUMMYFUNCTION("""COMPUTED_VALUE"""),5.0)</f>
        <v>5</v>
      </c>
      <c r="L5953" s="308">
        <f>IFERROR(__xludf.DUMMYFUNCTION("""COMPUTED_VALUE"""),2015.0)</f>
        <v>2015</v>
      </c>
      <c r="M5953" s="308" t="s">
        <v>23827</v>
      </c>
      <c r="N5953" s="308"/>
      <c r="O5953" s="308"/>
      <c r="P5953" s="308" t="s">
        <v>136</v>
      </c>
      <c r="Q5953" s="308" t="s">
        <v>38753</v>
      </c>
      <c r="R5953" s="308" t="s">
        <v>2743</v>
      </c>
      <c r="S5953" s="315" t="s">
        <v>100</v>
      </c>
      <c r="T5953" s="308" t="s">
        <v>34208</v>
      </c>
      <c r="U5953" s="308" t="s">
        <v>125</v>
      </c>
      <c r="V5953" s="308"/>
    </row>
    <row r="5954">
      <c r="A5954" s="308">
        <v>5953.0</v>
      </c>
      <c r="B5954" s="308"/>
      <c r="C5954" s="308" t="s">
        <v>23830</v>
      </c>
      <c r="D5954" s="308">
        <f>IFERROR(__xludf.DUMMYFUNCTION("SPLIT(C5954,""-"")"),5974.0)</f>
        <v>5974</v>
      </c>
      <c r="E5954" s="308" t="str">
        <f>IFERROR(__xludf.DUMMYFUNCTION("""COMPUTED_VALUE"""),"K")</f>
        <v>K</v>
      </c>
      <c r="F5954" s="309" t="s">
        <v>34</v>
      </c>
      <c r="G5954" s="308"/>
      <c r="H5954" s="308" t="s">
        <v>23831</v>
      </c>
      <c r="I5954" s="310">
        <v>42138.0</v>
      </c>
      <c r="J5954" s="319">
        <f>IFERROR(__xludf.DUMMYFUNCTION("SPLIT(I5954,""/"")"),14.0)</f>
        <v>14</v>
      </c>
      <c r="K5954" s="308">
        <f>IFERROR(__xludf.DUMMYFUNCTION("""COMPUTED_VALUE"""),5.0)</f>
        <v>5</v>
      </c>
      <c r="L5954" s="308">
        <f>IFERROR(__xludf.DUMMYFUNCTION("""COMPUTED_VALUE"""),2015.0)</f>
        <v>2015</v>
      </c>
      <c r="M5954" s="308" t="s">
        <v>23827</v>
      </c>
      <c r="N5954" s="308"/>
      <c r="O5954" s="308"/>
      <c r="P5954" s="308" t="s">
        <v>136</v>
      </c>
      <c r="Q5954" s="308" t="s">
        <v>38753</v>
      </c>
      <c r="R5954" s="308" t="s">
        <v>2743</v>
      </c>
      <c r="S5954" s="315" t="s">
        <v>100</v>
      </c>
      <c r="T5954" s="308" t="s">
        <v>34208</v>
      </c>
      <c r="U5954" s="308" t="s">
        <v>125</v>
      </c>
      <c r="V5954" s="308"/>
    </row>
    <row r="5955">
      <c r="A5955" s="308">
        <v>5954.0</v>
      </c>
      <c r="B5955" s="308"/>
      <c r="C5955" s="308" t="s">
        <v>23832</v>
      </c>
      <c r="D5955" s="308">
        <f>IFERROR(__xludf.DUMMYFUNCTION("SPLIT(C5955,""-"")"),5975.0)</f>
        <v>5975</v>
      </c>
      <c r="E5955" s="308" t="str">
        <f>IFERROR(__xludf.DUMMYFUNCTION("""COMPUTED_VALUE"""),"K")</f>
        <v>K</v>
      </c>
      <c r="F5955" s="309" t="s">
        <v>34</v>
      </c>
      <c r="G5955" s="308"/>
      <c r="H5955" s="308" t="s">
        <v>23833</v>
      </c>
      <c r="I5955" s="310">
        <v>43560.0</v>
      </c>
      <c r="J5955" s="319">
        <f>IFERROR(__xludf.DUMMYFUNCTION("SPLIT(I5955,""/"")"),5.0)</f>
        <v>5</v>
      </c>
      <c r="K5955" s="308">
        <f>IFERROR(__xludf.DUMMYFUNCTION("""COMPUTED_VALUE"""),4.0)</f>
        <v>4</v>
      </c>
      <c r="L5955" s="308">
        <f>IFERROR(__xludf.DUMMYFUNCTION("""COMPUTED_VALUE"""),2019.0)</f>
        <v>2019</v>
      </c>
      <c r="M5955" s="308" t="s">
        <v>23834</v>
      </c>
      <c r="N5955" s="308"/>
      <c r="O5955" s="308"/>
      <c r="P5955" s="308" t="s">
        <v>38755</v>
      </c>
      <c r="Q5955" s="308" t="s">
        <v>38753</v>
      </c>
      <c r="R5955" s="308" t="s">
        <v>2743</v>
      </c>
      <c r="S5955" s="308" t="s">
        <v>81</v>
      </c>
      <c r="T5955" s="311" t="s">
        <v>96</v>
      </c>
      <c r="U5955" s="308" t="s">
        <v>125</v>
      </c>
      <c r="V5955" s="308"/>
    </row>
    <row r="5956">
      <c r="A5956" s="308">
        <v>5955.0</v>
      </c>
      <c r="B5956" s="308"/>
      <c r="C5956" s="308" t="s">
        <v>23836</v>
      </c>
      <c r="D5956" s="308">
        <f>IFERROR(__xludf.DUMMYFUNCTION("SPLIT(C5956,""-"")"),5976.0)</f>
        <v>5976</v>
      </c>
      <c r="E5956" s="308" t="str">
        <f>IFERROR(__xludf.DUMMYFUNCTION("""COMPUTED_VALUE"""),"F")</f>
        <v>F</v>
      </c>
      <c r="F5956" s="309" t="s">
        <v>34</v>
      </c>
      <c r="G5956" s="308"/>
      <c r="H5956" s="308" t="s">
        <v>23837</v>
      </c>
      <c r="I5956" s="310">
        <v>42419.0</v>
      </c>
      <c r="J5956" s="319">
        <f>IFERROR(__xludf.DUMMYFUNCTION("SPLIT(I5956,""/"")"),19.0)</f>
        <v>19</v>
      </c>
      <c r="K5956" s="308">
        <f>IFERROR(__xludf.DUMMYFUNCTION("""COMPUTED_VALUE"""),2.0)</f>
        <v>2</v>
      </c>
      <c r="L5956" s="308">
        <f>IFERROR(__xludf.DUMMYFUNCTION("""COMPUTED_VALUE"""),2016.0)</f>
        <v>2016</v>
      </c>
      <c r="M5956" s="308" t="s">
        <v>23838</v>
      </c>
      <c r="N5956" s="308"/>
      <c r="O5956" s="308"/>
      <c r="P5956" s="308" t="s">
        <v>136</v>
      </c>
      <c r="Q5956" s="308" t="s">
        <v>38753</v>
      </c>
      <c r="R5956" s="308" t="s">
        <v>2743</v>
      </c>
      <c r="S5956" s="315" t="s">
        <v>100</v>
      </c>
      <c r="T5956" s="308" t="s">
        <v>34208</v>
      </c>
      <c r="U5956" s="308" t="s">
        <v>195</v>
      </c>
      <c r="V5956" s="308"/>
    </row>
    <row r="5957">
      <c r="A5957" s="308">
        <v>5956.0</v>
      </c>
      <c r="B5957" s="308"/>
      <c r="C5957" s="308" t="s">
        <v>23839</v>
      </c>
      <c r="D5957" s="308">
        <f>IFERROR(__xludf.DUMMYFUNCTION("SPLIT(C5957,""-"")"),5977.0)</f>
        <v>5977</v>
      </c>
      <c r="E5957" s="308" t="str">
        <f>IFERROR(__xludf.DUMMYFUNCTION("""COMPUTED_VALUE"""),"S")</f>
        <v>S</v>
      </c>
      <c r="F5957" s="312" t="s">
        <v>39</v>
      </c>
      <c r="G5957" s="308"/>
      <c r="H5957" s="308" t="s">
        <v>23840</v>
      </c>
      <c r="I5957" s="310">
        <v>43158.0</v>
      </c>
      <c r="J5957" s="319">
        <f>IFERROR(__xludf.DUMMYFUNCTION("SPLIT(I5957,""/"")"),27.0)</f>
        <v>27</v>
      </c>
      <c r="K5957" s="308">
        <f>IFERROR(__xludf.DUMMYFUNCTION("""COMPUTED_VALUE"""),2.0)</f>
        <v>2</v>
      </c>
      <c r="L5957" s="308">
        <f>IFERROR(__xludf.DUMMYFUNCTION("""COMPUTED_VALUE"""),2018.0)</f>
        <v>2018</v>
      </c>
      <c r="M5957" s="308" t="s">
        <v>23841</v>
      </c>
      <c r="N5957" s="308"/>
      <c r="O5957" s="308"/>
      <c r="P5957" s="308" t="s">
        <v>136</v>
      </c>
      <c r="Q5957" s="308" t="s">
        <v>38753</v>
      </c>
      <c r="R5957" s="308" t="s">
        <v>2743</v>
      </c>
      <c r="S5957" s="315" t="s">
        <v>100</v>
      </c>
      <c r="T5957" s="308" t="s">
        <v>34208</v>
      </c>
      <c r="U5957" s="308" t="s">
        <v>166</v>
      </c>
      <c r="V5957" s="308"/>
    </row>
    <row r="5958">
      <c r="A5958" s="308">
        <v>5957.0</v>
      </c>
      <c r="B5958" s="308"/>
      <c r="C5958" s="308" t="s">
        <v>23842</v>
      </c>
      <c r="D5958" s="308">
        <f>IFERROR(__xludf.DUMMYFUNCTION("SPLIT(C5958,""-"")"),5978.0)</f>
        <v>5978</v>
      </c>
      <c r="E5958" s="308" t="str">
        <f>IFERROR(__xludf.DUMMYFUNCTION("""COMPUTED_VALUE"""),"A")</f>
        <v>A</v>
      </c>
      <c r="F5958" s="309" t="s">
        <v>23</v>
      </c>
      <c r="G5958" s="308"/>
      <c r="H5958" s="308" t="s">
        <v>23843</v>
      </c>
      <c r="I5958" s="314">
        <v>43038.0</v>
      </c>
      <c r="J5958" s="319">
        <f>IFERROR(__xludf.DUMMYFUNCTION("SPLIT(I5958,""/"")"),30.0)</f>
        <v>30</v>
      </c>
      <c r="K5958" s="308">
        <f>IFERROR(__xludf.DUMMYFUNCTION("""COMPUTED_VALUE"""),10.0)</f>
        <v>10</v>
      </c>
      <c r="L5958" s="308">
        <f>IFERROR(__xludf.DUMMYFUNCTION("""COMPUTED_VALUE"""),2017.0)</f>
        <v>2017</v>
      </c>
      <c r="M5958" s="308" t="s">
        <v>23844</v>
      </c>
      <c r="N5958" s="308"/>
      <c r="O5958" s="308" t="s">
        <v>23845</v>
      </c>
      <c r="P5958" s="308" t="s">
        <v>38756</v>
      </c>
      <c r="Q5958" s="308" t="s">
        <v>38753</v>
      </c>
      <c r="R5958" s="308" t="s">
        <v>2743</v>
      </c>
      <c r="S5958" s="308" t="s">
        <v>81</v>
      </c>
      <c r="T5958" s="308" t="s">
        <v>34264</v>
      </c>
      <c r="U5958" s="308" t="s">
        <v>403</v>
      </c>
      <c r="V5958" s="308"/>
    </row>
    <row r="5959">
      <c r="A5959" s="308">
        <v>5958.0</v>
      </c>
      <c r="B5959" s="308"/>
      <c r="C5959" s="308" t="s">
        <v>23847</v>
      </c>
      <c r="D5959" s="308">
        <f>IFERROR(__xludf.DUMMYFUNCTION("SPLIT(C5959,""-"")"),5979.0)</f>
        <v>5979</v>
      </c>
      <c r="E5959" s="308" t="str">
        <f>IFERROR(__xludf.DUMMYFUNCTION("""COMPUTED_VALUE"""),"B")</f>
        <v>B</v>
      </c>
      <c r="F5959" s="315" t="s">
        <v>26</v>
      </c>
      <c r="G5959" s="308"/>
      <c r="H5959" s="308" t="s">
        <v>23848</v>
      </c>
      <c r="I5959" s="310">
        <v>42738.0</v>
      </c>
      <c r="J5959" s="319">
        <f>IFERROR(__xludf.DUMMYFUNCTION("SPLIT(I5959,""/"")"),3.0)</f>
        <v>3</v>
      </c>
      <c r="K5959" s="308">
        <f>IFERROR(__xludf.DUMMYFUNCTION("""COMPUTED_VALUE"""),1.0)</f>
        <v>1</v>
      </c>
      <c r="L5959" s="308">
        <f>IFERROR(__xludf.DUMMYFUNCTION("""COMPUTED_VALUE"""),2017.0)</f>
        <v>2017</v>
      </c>
      <c r="M5959" s="308" t="s">
        <v>23849</v>
      </c>
      <c r="N5959" s="308"/>
      <c r="O5959" s="308"/>
      <c r="P5959" s="308" t="s">
        <v>136</v>
      </c>
      <c r="Q5959" s="308" t="s">
        <v>38753</v>
      </c>
      <c r="R5959" s="308" t="s">
        <v>2743</v>
      </c>
      <c r="S5959" s="315" t="s">
        <v>100</v>
      </c>
      <c r="T5959" s="308" t="s">
        <v>34208</v>
      </c>
      <c r="U5959" s="308" t="s">
        <v>27</v>
      </c>
      <c r="V5959" s="308"/>
    </row>
    <row r="5960">
      <c r="A5960" s="308">
        <v>5959.0</v>
      </c>
      <c r="B5960" s="308"/>
      <c r="C5960" s="308" t="s">
        <v>23850</v>
      </c>
      <c r="D5960" s="308">
        <f>IFERROR(__xludf.DUMMYFUNCTION("SPLIT(C5960,""-"")"),5980.0)</f>
        <v>5980</v>
      </c>
      <c r="E5960" s="308" t="str">
        <f>IFERROR(__xludf.DUMMYFUNCTION("""COMPUTED_VALUE"""),"B")</f>
        <v>B</v>
      </c>
      <c r="F5960" s="315" t="s">
        <v>26</v>
      </c>
      <c r="G5960" s="308"/>
      <c r="H5960" s="308" t="s">
        <v>23851</v>
      </c>
      <c r="I5960" s="310">
        <v>41396.0</v>
      </c>
      <c r="J5960" s="319">
        <f>IFERROR(__xludf.DUMMYFUNCTION("SPLIT(I5960,""/"")"),2.0)</f>
        <v>2</v>
      </c>
      <c r="K5960" s="308">
        <f>IFERROR(__xludf.DUMMYFUNCTION("""COMPUTED_VALUE"""),5.0)</f>
        <v>5</v>
      </c>
      <c r="L5960" s="308">
        <f>IFERROR(__xludf.DUMMYFUNCTION("""COMPUTED_VALUE"""),2013.0)</f>
        <v>2013</v>
      </c>
      <c r="M5960" s="308" t="s">
        <v>23852</v>
      </c>
      <c r="N5960" s="308"/>
      <c r="O5960" s="308"/>
      <c r="P5960" s="308" t="s">
        <v>136</v>
      </c>
      <c r="Q5960" s="308" t="s">
        <v>38753</v>
      </c>
      <c r="R5960" s="308" t="s">
        <v>2743</v>
      </c>
      <c r="S5960" s="315" t="s">
        <v>100</v>
      </c>
      <c r="T5960" s="308" t="s">
        <v>34208</v>
      </c>
      <c r="U5960" s="308" t="s">
        <v>27</v>
      </c>
      <c r="V5960" s="308"/>
    </row>
    <row r="5961">
      <c r="A5961" s="308">
        <v>5960.0</v>
      </c>
      <c r="B5961" s="308"/>
      <c r="C5961" s="308" t="s">
        <v>23853</v>
      </c>
      <c r="D5961" s="308">
        <f>IFERROR(__xludf.DUMMYFUNCTION("SPLIT(C5961,""-"")"),5981.0)</f>
        <v>5981</v>
      </c>
      <c r="E5961" s="308" t="str">
        <f>IFERROR(__xludf.DUMMYFUNCTION("""COMPUTED_VALUE"""),"B")</f>
        <v>B</v>
      </c>
      <c r="F5961" s="315" t="s">
        <v>26</v>
      </c>
      <c r="G5961" s="308"/>
      <c r="H5961" s="308" t="s">
        <v>23854</v>
      </c>
      <c r="I5961" s="314">
        <v>41923.0</v>
      </c>
      <c r="J5961" s="319">
        <f>IFERROR(__xludf.DUMMYFUNCTION("SPLIT(I5961,""/"")"),11.0)</f>
        <v>11</v>
      </c>
      <c r="K5961" s="308">
        <f>IFERROR(__xludf.DUMMYFUNCTION("""COMPUTED_VALUE"""),10.0)</f>
        <v>10</v>
      </c>
      <c r="L5961" s="308">
        <f>IFERROR(__xludf.DUMMYFUNCTION("""COMPUTED_VALUE"""),2014.0)</f>
        <v>2014</v>
      </c>
      <c r="M5961" s="308" t="s">
        <v>23855</v>
      </c>
      <c r="N5961" s="308"/>
      <c r="O5961" s="308"/>
      <c r="P5961" s="308" t="s">
        <v>136</v>
      </c>
      <c r="Q5961" s="308" t="s">
        <v>38753</v>
      </c>
      <c r="R5961" s="308" t="s">
        <v>2743</v>
      </c>
      <c r="S5961" s="315" t="s">
        <v>100</v>
      </c>
      <c r="T5961" s="308" t="s">
        <v>34208</v>
      </c>
      <c r="U5961" s="308" t="s">
        <v>27</v>
      </c>
      <c r="V5961" s="308"/>
    </row>
    <row r="5962">
      <c r="A5962" s="308">
        <v>5961.0</v>
      </c>
      <c r="B5962" s="308"/>
      <c r="C5962" s="308" t="s">
        <v>23856</v>
      </c>
      <c r="D5962" s="308">
        <f>IFERROR(__xludf.DUMMYFUNCTION("SPLIT(C5962,""-"")"),5982.0)</f>
        <v>5982</v>
      </c>
      <c r="E5962" s="308" t="str">
        <f>IFERROR(__xludf.DUMMYFUNCTION("""COMPUTED_VALUE"""),"B")</f>
        <v>B</v>
      </c>
      <c r="F5962" s="315" t="s">
        <v>26</v>
      </c>
      <c r="G5962" s="308"/>
      <c r="H5962" s="308" t="s">
        <v>23857</v>
      </c>
      <c r="I5962" s="310">
        <v>43534.0</v>
      </c>
      <c r="J5962" s="319">
        <f>IFERROR(__xludf.DUMMYFUNCTION("SPLIT(I5962,""/"")"),10.0)</f>
        <v>10</v>
      </c>
      <c r="K5962" s="308">
        <f>IFERROR(__xludf.DUMMYFUNCTION("""COMPUTED_VALUE"""),3.0)</f>
        <v>3</v>
      </c>
      <c r="L5962" s="308">
        <f>IFERROR(__xludf.DUMMYFUNCTION("""COMPUTED_VALUE"""),2019.0)</f>
        <v>2019</v>
      </c>
      <c r="M5962" s="308" t="s">
        <v>23858</v>
      </c>
      <c r="N5962" s="308"/>
      <c r="O5962" s="308"/>
      <c r="P5962" s="308" t="s">
        <v>23859</v>
      </c>
      <c r="Q5962" s="308" t="s">
        <v>38753</v>
      </c>
      <c r="R5962" s="308" t="s">
        <v>2743</v>
      </c>
      <c r="S5962" s="308" t="s">
        <v>81</v>
      </c>
      <c r="T5962" s="311" t="s">
        <v>96</v>
      </c>
      <c r="U5962" s="308" t="s">
        <v>27</v>
      </c>
      <c r="V5962" s="308"/>
    </row>
    <row r="5963">
      <c r="A5963" s="308">
        <v>5962.0</v>
      </c>
      <c r="B5963" s="308"/>
      <c r="C5963" s="308" t="s">
        <v>23860</v>
      </c>
      <c r="D5963" s="308">
        <f>IFERROR(__xludf.DUMMYFUNCTION("SPLIT(C5963,""-"")"),5983.0)</f>
        <v>5983</v>
      </c>
      <c r="E5963" s="308" t="str">
        <f>IFERROR(__xludf.DUMMYFUNCTION("""COMPUTED_VALUE"""),"B")</f>
        <v>B</v>
      </c>
      <c r="F5963" s="315" t="s">
        <v>26</v>
      </c>
      <c r="G5963" s="308"/>
      <c r="H5963" s="308" t="s">
        <v>23861</v>
      </c>
      <c r="I5963" s="310">
        <v>41002.0</v>
      </c>
      <c r="J5963" s="319">
        <f>IFERROR(__xludf.DUMMYFUNCTION("SPLIT(I5963,""/"")"),3.0)</f>
        <v>3</v>
      </c>
      <c r="K5963" s="308">
        <f>IFERROR(__xludf.DUMMYFUNCTION("""COMPUTED_VALUE"""),4.0)</f>
        <v>4</v>
      </c>
      <c r="L5963" s="308">
        <f>IFERROR(__xludf.DUMMYFUNCTION("""COMPUTED_VALUE"""),2012.0)</f>
        <v>2012</v>
      </c>
      <c r="M5963" s="308" t="s">
        <v>23862</v>
      </c>
      <c r="N5963" s="308" t="s">
        <v>23863</v>
      </c>
      <c r="O5963" s="308"/>
      <c r="P5963" s="308" t="s">
        <v>136</v>
      </c>
      <c r="Q5963" s="308" t="s">
        <v>38753</v>
      </c>
      <c r="R5963" s="308" t="s">
        <v>2743</v>
      </c>
      <c r="S5963" s="315" t="s">
        <v>100</v>
      </c>
      <c r="T5963" s="308" t="s">
        <v>34208</v>
      </c>
      <c r="U5963" s="308" t="s">
        <v>23864</v>
      </c>
      <c r="V5963" s="308"/>
    </row>
    <row r="5964">
      <c r="A5964" s="308">
        <v>5963.0</v>
      </c>
      <c r="B5964" s="308"/>
      <c r="C5964" s="308" t="s">
        <v>23865</v>
      </c>
      <c r="D5964" s="308">
        <f>IFERROR(__xludf.DUMMYFUNCTION("SPLIT(C5964,""-"")"),5984.0)</f>
        <v>5984</v>
      </c>
      <c r="E5964" s="308" t="str">
        <f>IFERROR(__xludf.DUMMYFUNCTION("""COMPUTED_VALUE"""),"B")</f>
        <v>B</v>
      </c>
      <c r="F5964" s="315" t="s">
        <v>26</v>
      </c>
      <c r="G5964" s="308"/>
      <c r="H5964" s="308" t="s">
        <v>23866</v>
      </c>
      <c r="I5964" s="310">
        <v>42560.0</v>
      </c>
      <c r="J5964" s="319">
        <f>IFERROR(__xludf.DUMMYFUNCTION("SPLIT(I5964,""/"")"),9.0)</f>
        <v>9</v>
      </c>
      <c r="K5964" s="308">
        <f>IFERROR(__xludf.DUMMYFUNCTION("""COMPUTED_VALUE"""),7.0)</f>
        <v>7</v>
      </c>
      <c r="L5964" s="308">
        <f>IFERROR(__xludf.DUMMYFUNCTION("""COMPUTED_VALUE"""),2016.0)</f>
        <v>2016</v>
      </c>
      <c r="M5964" s="308" t="s">
        <v>23867</v>
      </c>
      <c r="N5964" s="308"/>
      <c r="O5964" s="308"/>
      <c r="P5964" s="308" t="s">
        <v>136</v>
      </c>
      <c r="Q5964" s="308" t="s">
        <v>38753</v>
      </c>
      <c r="R5964" s="308" t="s">
        <v>2743</v>
      </c>
      <c r="S5964" s="315" t="s">
        <v>100</v>
      </c>
      <c r="T5964" s="308" t="s">
        <v>34208</v>
      </c>
      <c r="U5964" s="308" t="s">
        <v>27</v>
      </c>
      <c r="V5964" s="308"/>
    </row>
    <row r="5965">
      <c r="A5965" s="308">
        <v>5964.0</v>
      </c>
      <c r="B5965" s="308"/>
      <c r="C5965" s="308" t="s">
        <v>23868</v>
      </c>
      <c r="D5965" s="308">
        <f>IFERROR(__xludf.DUMMYFUNCTION("SPLIT(C5965,""-"")"),5985.0)</f>
        <v>5985</v>
      </c>
      <c r="E5965" s="308" t="str">
        <f>IFERROR(__xludf.DUMMYFUNCTION("""COMPUTED_VALUE"""),"B")</f>
        <v>B</v>
      </c>
      <c r="F5965" s="315" t="s">
        <v>26</v>
      </c>
      <c r="G5965" s="308"/>
      <c r="H5965" s="308" t="s">
        <v>23869</v>
      </c>
      <c r="I5965" s="310">
        <v>43474.0</v>
      </c>
      <c r="J5965" s="319">
        <f>IFERROR(__xludf.DUMMYFUNCTION("SPLIT(I5965,""/"")"),9.0)</f>
        <v>9</v>
      </c>
      <c r="K5965" s="308">
        <f>IFERROR(__xludf.DUMMYFUNCTION("""COMPUTED_VALUE"""),1.0)</f>
        <v>1</v>
      </c>
      <c r="L5965" s="308">
        <f>IFERROR(__xludf.DUMMYFUNCTION("""COMPUTED_VALUE"""),2019.0)</f>
        <v>2019</v>
      </c>
      <c r="M5965" s="308" t="s">
        <v>23870</v>
      </c>
      <c r="N5965" s="308"/>
      <c r="O5965" s="308" t="s">
        <v>23871</v>
      </c>
      <c r="P5965" s="308" t="s">
        <v>23872</v>
      </c>
      <c r="Q5965" s="308" t="s">
        <v>38753</v>
      </c>
      <c r="R5965" s="308" t="s">
        <v>2743</v>
      </c>
      <c r="S5965" s="308" t="s">
        <v>81</v>
      </c>
      <c r="T5965" s="311" t="s">
        <v>51</v>
      </c>
      <c r="U5965" s="308" t="s">
        <v>27</v>
      </c>
      <c r="V5965" s="308"/>
    </row>
    <row r="5966">
      <c r="A5966" s="308">
        <v>5965.0</v>
      </c>
      <c r="B5966" s="308"/>
      <c r="C5966" s="308" t="s">
        <v>23873</v>
      </c>
      <c r="D5966" s="308">
        <f>IFERROR(__xludf.DUMMYFUNCTION("SPLIT(C5966,""-"")"),5986.0)</f>
        <v>5986</v>
      </c>
      <c r="E5966" s="308" t="str">
        <f>IFERROR(__xludf.DUMMYFUNCTION("""COMPUTED_VALUE"""),"K")</f>
        <v>K</v>
      </c>
      <c r="F5966" s="309" t="s">
        <v>34</v>
      </c>
      <c r="G5966" s="308"/>
      <c r="H5966" s="308" t="s">
        <v>23874</v>
      </c>
      <c r="I5966" s="310">
        <v>41821.0</v>
      </c>
      <c r="J5966" s="319">
        <f>IFERROR(__xludf.DUMMYFUNCTION("SPLIT(I5966,""/"")"),1.0)</f>
        <v>1</v>
      </c>
      <c r="K5966" s="308">
        <f>IFERROR(__xludf.DUMMYFUNCTION("""COMPUTED_VALUE"""),7.0)</f>
        <v>7</v>
      </c>
      <c r="L5966" s="308">
        <f>IFERROR(__xludf.DUMMYFUNCTION("""COMPUTED_VALUE"""),2014.0)</f>
        <v>2014</v>
      </c>
      <c r="M5966" s="308" t="s">
        <v>23875</v>
      </c>
      <c r="N5966" s="308"/>
      <c r="O5966" s="308"/>
      <c r="P5966" s="308" t="s">
        <v>136</v>
      </c>
      <c r="Q5966" s="308" t="s">
        <v>38753</v>
      </c>
      <c r="R5966" s="308" t="s">
        <v>2743</v>
      </c>
      <c r="S5966" s="315" t="s">
        <v>100</v>
      </c>
      <c r="T5966" s="308" t="s">
        <v>34208</v>
      </c>
      <c r="U5966" s="308" t="s">
        <v>542</v>
      </c>
      <c r="V5966" s="308"/>
    </row>
    <row r="5967">
      <c r="A5967" s="308">
        <v>5966.0</v>
      </c>
      <c r="B5967" s="308"/>
      <c r="C5967" s="308" t="s">
        <v>23876</v>
      </c>
      <c r="D5967" s="308">
        <f>IFERROR(__xludf.DUMMYFUNCTION("SPLIT(C5967,""-"")"),5987.0)</f>
        <v>5987</v>
      </c>
      <c r="E5967" s="308" t="str">
        <f>IFERROR(__xludf.DUMMYFUNCTION("""COMPUTED_VALUE"""),"K")</f>
        <v>K</v>
      </c>
      <c r="F5967" s="309" t="s">
        <v>34</v>
      </c>
      <c r="G5967" s="308"/>
      <c r="H5967" s="308" t="s">
        <v>38757</v>
      </c>
      <c r="I5967" s="310">
        <v>41648.0</v>
      </c>
      <c r="J5967" s="319">
        <f>IFERROR(__xludf.DUMMYFUNCTION("SPLIT(I5967,""/"")"),9.0)</f>
        <v>9</v>
      </c>
      <c r="K5967" s="308">
        <f>IFERROR(__xludf.DUMMYFUNCTION("""COMPUTED_VALUE"""),1.0)</f>
        <v>1</v>
      </c>
      <c r="L5967" s="308">
        <f>IFERROR(__xludf.DUMMYFUNCTION("""COMPUTED_VALUE"""),2014.0)</f>
        <v>2014</v>
      </c>
      <c r="M5967" s="308" t="s">
        <v>23878</v>
      </c>
      <c r="N5967" s="308"/>
      <c r="O5967" s="308"/>
      <c r="P5967" s="308" t="s">
        <v>38758</v>
      </c>
      <c r="Q5967" s="308" t="s">
        <v>38759</v>
      </c>
      <c r="R5967" s="308" t="s">
        <v>2743</v>
      </c>
      <c r="S5967" s="308" t="s">
        <v>49</v>
      </c>
      <c r="T5967" s="311" t="s">
        <v>51</v>
      </c>
      <c r="U5967" s="308" t="s">
        <v>542</v>
      </c>
      <c r="V5967" s="308"/>
    </row>
    <row r="5968">
      <c r="A5968" s="308">
        <v>5967.0</v>
      </c>
      <c r="B5968" s="308"/>
      <c r="C5968" s="308" t="s">
        <v>23880</v>
      </c>
      <c r="D5968" s="308">
        <f>IFERROR(__xludf.DUMMYFUNCTION("SPLIT(C5968,""-"")"),5988.0)</f>
        <v>5988</v>
      </c>
      <c r="E5968" s="308" t="str">
        <f>IFERROR(__xludf.DUMMYFUNCTION("""COMPUTED_VALUE"""),"K")</f>
        <v>K</v>
      </c>
      <c r="F5968" s="309" t="s">
        <v>34</v>
      </c>
      <c r="G5968" s="308"/>
      <c r="H5968" s="308" t="s">
        <v>23881</v>
      </c>
      <c r="I5968" s="310">
        <v>39995.0</v>
      </c>
      <c r="J5968" s="319">
        <f>IFERROR(__xludf.DUMMYFUNCTION("SPLIT(I5968,""/"")"),1.0)</f>
        <v>1</v>
      </c>
      <c r="K5968" s="308">
        <f>IFERROR(__xludf.DUMMYFUNCTION("""COMPUTED_VALUE"""),7.0)</f>
        <v>7</v>
      </c>
      <c r="L5968" s="308">
        <f>IFERROR(__xludf.DUMMYFUNCTION("""COMPUTED_VALUE"""),2009.0)</f>
        <v>2009</v>
      </c>
      <c r="M5968" s="308" t="s">
        <v>23882</v>
      </c>
      <c r="N5968" s="308" t="s">
        <v>23883</v>
      </c>
      <c r="O5968" s="308" t="s">
        <v>23884</v>
      </c>
      <c r="P5968" s="308" t="s">
        <v>136</v>
      </c>
      <c r="Q5968" s="308" t="s">
        <v>38759</v>
      </c>
      <c r="R5968" s="308" t="s">
        <v>2743</v>
      </c>
      <c r="S5968" s="315" t="s">
        <v>100</v>
      </c>
      <c r="T5968" s="308" t="s">
        <v>34208</v>
      </c>
      <c r="U5968" s="308" t="s">
        <v>530</v>
      </c>
      <c r="V5968" s="308"/>
    </row>
    <row r="5969">
      <c r="A5969" s="308">
        <v>5968.0</v>
      </c>
      <c r="B5969" s="308"/>
      <c r="C5969" s="308" t="s">
        <v>23885</v>
      </c>
      <c r="D5969" s="308">
        <f>IFERROR(__xludf.DUMMYFUNCTION("SPLIT(C5969,""-"")"),5989.0)</f>
        <v>5989</v>
      </c>
      <c r="E5969" s="308" t="str">
        <f>IFERROR(__xludf.DUMMYFUNCTION("""COMPUTED_VALUE"""),"K")</f>
        <v>K</v>
      </c>
      <c r="F5969" s="309" t="s">
        <v>34</v>
      </c>
      <c r="G5969" s="308"/>
      <c r="H5969" s="308" t="s">
        <v>23886</v>
      </c>
      <c r="I5969" s="310">
        <v>39995.0</v>
      </c>
      <c r="J5969" s="319">
        <f>IFERROR(__xludf.DUMMYFUNCTION("SPLIT(I5969,""/"")"),1.0)</f>
        <v>1</v>
      </c>
      <c r="K5969" s="308">
        <f>IFERROR(__xludf.DUMMYFUNCTION("""COMPUTED_VALUE"""),7.0)</f>
        <v>7</v>
      </c>
      <c r="L5969" s="308">
        <f>IFERROR(__xludf.DUMMYFUNCTION("""COMPUTED_VALUE"""),2009.0)</f>
        <v>2009</v>
      </c>
      <c r="M5969" s="308" t="s">
        <v>23882</v>
      </c>
      <c r="N5969" s="308" t="s">
        <v>23887</v>
      </c>
      <c r="O5969" s="308" t="s">
        <v>23884</v>
      </c>
      <c r="P5969" s="308" t="s">
        <v>136</v>
      </c>
      <c r="Q5969" s="308" t="s">
        <v>38759</v>
      </c>
      <c r="R5969" s="308" t="s">
        <v>2743</v>
      </c>
      <c r="S5969" s="315" t="s">
        <v>100</v>
      </c>
      <c r="T5969" s="308" t="s">
        <v>34208</v>
      </c>
      <c r="U5969" s="308" t="s">
        <v>530</v>
      </c>
      <c r="V5969" s="308"/>
    </row>
    <row r="5970">
      <c r="A5970" s="308">
        <v>5969.0</v>
      </c>
      <c r="B5970" s="308"/>
      <c r="C5970" s="308" t="s">
        <v>23888</v>
      </c>
      <c r="D5970" s="308">
        <f>IFERROR(__xludf.DUMMYFUNCTION("SPLIT(C5970,""-"")"),5990.0)</f>
        <v>5990</v>
      </c>
      <c r="E5970" s="308" t="str">
        <f>IFERROR(__xludf.DUMMYFUNCTION("""COMPUTED_VALUE"""),"F")</f>
        <v>F</v>
      </c>
      <c r="F5970" s="309" t="s">
        <v>34</v>
      </c>
      <c r="G5970" s="308"/>
      <c r="H5970" s="308" t="s">
        <v>23889</v>
      </c>
      <c r="I5970" s="310">
        <v>42510.0</v>
      </c>
      <c r="J5970" s="319">
        <f>IFERROR(__xludf.DUMMYFUNCTION("SPLIT(I5970,""/"")"),20.0)</f>
        <v>20</v>
      </c>
      <c r="K5970" s="308">
        <f>IFERROR(__xludf.DUMMYFUNCTION("""COMPUTED_VALUE"""),5.0)</f>
        <v>5</v>
      </c>
      <c r="L5970" s="308">
        <f>IFERROR(__xludf.DUMMYFUNCTION("""COMPUTED_VALUE"""),2016.0)</f>
        <v>2016</v>
      </c>
      <c r="M5970" s="308" t="s">
        <v>23890</v>
      </c>
      <c r="N5970" s="308" t="s">
        <v>23891</v>
      </c>
      <c r="O5970" s="308"/>
      <c r="P5970" s="308" t="s">
        <v>136</v>
      </c>
      <c r="Q5970" s="308" t="s">
        <v>38760</v>
      </c>
      <c r="R5970" s="308" t="s">
        <v>2743</v>
      </c>
      <c r="S5970" s="315" t="s">
        <v>100</v>
      </c>
      <c r="T5970" s="308" t="s">
        <v>34208</v>
      </c>
      <c r="U5970" s="308" t="s">
        <v>6875</v>
      </c>
      <c r="V5970" s="308"/>
    </row>
    <row r="5971">
      <c r="A5971" s="308">
        <v>5970.0</v>
      </c>
      <c r="B5971" s="308"/>
      <c r="C5971" s="308" t="s">
        <v>23892</v>
      </c>
      <c r="D5971" s="308">
        <f>IFERROR(__xludf.DUMMYFUNCTION("SPLIT(C5971,""-"")"),5991.0)</f>
        <v>5991</v>
      </c>
      <c r="E5971" s="308" t="str">
        <f>IFERROR(__xludf.DUMMYFUNCTION("""COMPUTED_VALUE"""),"K")</f>
        <v>K</v>
      </c>
      <c r="F5971" s="309" t="s">
        <v>34</v>
      </c>
      <c r="G5971" s="308"/>
      <c r="H5971" s="308" t="s">
        <v>23893</v>
      </c>
      <c r="I5971" s="314">
        <v>41605.0</v>
      </c>
      <c r="J5971" s="319">
        <f>IFERROR(__xludf.DUMMYFUNCTION("SPLIT(I5971,""/"")"),27.0)</f>
        <v>27</v>
      </c>
      <c r="K5971" s="308">
        <f>IFERROR(__xludf.DUMMYFUNCTION("""COMPUTED_VALUE"""),11.0)</f>
        <v>11</v>
      </c>
      <c r="L5971" s="308">
        <f>IFERROR(__xludf.DUMMYFUNCTION("""COMPUTED_VALUE"""),2013.0)</f>
        <v>2013</v>
      </c>
      <c r="M5971" s="308" t="s">
        <v>23894</v>
      </c>
      <c r="N5971" s="308"/>
      <c r="O5971" s="308"/>
      <c r="P5971" s="308" t="s">
        <v>136</v>
      </c>
      <c r="Q5971" s="308" t="s">
        <v>38760</v>
      </c>
      <c r="R5971" s="308" t="s">
        <v>2743</v>
      </c>
      <c r="S5971" s="315" t="s">
        <v>100</v>
      </c>
      <c r="T5971" s="308" t="s">
        <v>34208</v>
      </c>
      <c r="U5971" s="308" t="s">
        <v>125</v>
      </c>
      <c r="V5971" s="308"/>
    </row>
    <row r="5972">
      <c r="A5972" s="308">
        <v>5971.0</v>
      </c>
      <c r="B5972" s="308"/>
      <c r="C5972" s="308" t="s">
        <v>23895</v>
      </c>
      <c r="D5972" s="308">
        <f>IFERROR(__xludf.DUMMYFUNCTION("SPLIT(C5972,""-"")"),5992.0)</f>
        <v>5992</v>
      </c>
      <c r="E5972" s="308" t="str">
        <f>IFERROR(__xludf.DUMMYFUNCTION("""COMPUTED_VALUE"""),"K")</f>
        <v>K</v>
      </c>
      <c r="F5972" s="309" t="s">
        <v>34</v>
      </c>
      <c r="G5972" s="308"/>
      <c r="H5972" s="308" t="s">
        <v>23896</v>
      </c>
      <c r="I5972" s="310">
        <v>40066.0</v>
      </c>
      <c r="J5972" s="319">
        <f>IFERROR(__xludf.DUMMYFUNCTION("SPLIT(I5972,""/"")"),10.0)</f>
        <v>10</v>
      </c>
      <c r="K5972" s="308">
        <f>IFERROR(__xludf.DUMMYFUNCTION("""COMPUTED_VALUE"""),9.0)</f>
        <v>9</v>
      </c>
      <c r="L5972" s="308">
        <f>IFERROR(__xludf.DUMMYFUNCTION("""COMPUTED_VALUE"""),2009.0)</f>
        <v>2009</v>
      </c>
      <c r="M5972" s="308" t="s">
        <v>23897</v>
      </c>
      <c r="N5972" s="308" t="s">
        <v>439</v>
      </c>
      <c r="O5972" s="308"/>
      <c r="P5972" s="308" t="s">
        <v>38761</v>
      </c>
      <c r="Q5972" s="308" t="s">
        <v>38760</v>
      </c>
      <c r="R5972" s="308" t="s">
        <v>2743</v>
      </c>
      <c r="S5972" s="308" t="s">
        <v>81</v>
      </c>
      <c r="T5972" s="311" t="s">
        <v>63</v>
      </c>
      <c r="U5972" s="308" t="s">
        <v>530</v>
      </c>
      <c r="V5972" s="308"/>
    </row>
    <row r="5973">
      <c r="A5973" s="308">
        <v>5972.0</v>
      </c>
      <c r="B5973" s="308"/>
      <c r="C5973" s="308" t="s">
        <v>23899</v>
      </c>
      <c r="D5973" s="308">
        <f>IFERROR(__xludf.DUMMYFUNCTION("SPLIT(C5973,""-"")"),5993.0)</f>
        <v>5993</v>
      </c>
      <c r="E5973" s="308" t="str">
        <f>IFERROR(__xludf.DUMMYFUNCTION("""COMPUTED_VALUE"""),"P")</f>
        <v>P</v>
      </c>
      <c r="F5973" s="312" t="s">
        <v>37</v>
      </c>
      <c r="G5973" s="308"/>
      <c r="H5973" s="308" t="s">
        <v>23900</v>
      </c>
      <c r="I5973" s="310">
        <v>43507.0</v>
      </c>
      <c r="J5973" s="319">
        <f>IFERROR(__xludf.DUMMYFUNCTION("SPLIT(I5973,""/"")"),11.0)</f>
        <v>11</v>
      </c>
      <c r="K5973" s="308">
        <f>IFERROR(__xludf.DUMMYFUNCTION("""COMPUTED_VALUE"""),2.0)</f>
        <v>2</v>
      </c>
      <c r="L5973" s="308">
        <f>IFERROR(__xludf.DUMMYFUNCTION("""COMPUTED_VALUE"""),2019.0)</f>
        <v>2019</v>
      </c>
      <c r="M5973" s="308" t="s">
        <v>23901</v>
      </c>
      <c r="N5973" s="308"/>
      <c r="O5973" s="308" t="s">
        <v>23902</v>
      </c>
      <c r="P5973" s="308" t="s">
        <v>38762</v>
      </c>
      <c r="Q5973" s="308" t="s">
        <v>38760</v>
      </c>
      <c r="R5973" s="308" t="s">
        <v>2743</v>
      </c>
      <c r="S5973" s="308" t="s">
        <v>81</v>
      </c>
      <c r="T5973" s="311" t="s">
        <v>75</v>
      </c>
      <c r="U5973" s="308" t="s">
        <v>14984</v>
      </c>
      <c r="V5973" s="308"/>
    </row>
    <row r="5974">
      <c r="A5974" s="308">
        <v>5973.0</v>
      </c>
      <c r="B5974" s="308"/>
      <c r="C5974" s="308" t="s">
        <v>23904</v>
      </c>
      <c r="D5974" s="308">
        <f>IFERROR(__xludf.DUMMYFUNCTION("SPLIT(C5974,""-"")"),5994.0)</f>
        <v>5994</v>
      </c>
      <c r="E5974" s="308" t="str">
        <f>IFERROR(__xludf.DUMMYFUNCTION("""COMPUTED_VALUE"""),"B")</f>
        <v>B</v>
      </c>
      <c r="F5974" s="315" t="s">
        <v>26</v>
      </c>
      <c r="G5974" s="308"/>
      <c r="H5974" s="308" t="s">
        <v>23905</v>
      </c>
      <c r="I5974" s="310">
        <v>42067.0</v>
      </c>
      <c r="J5974" s="319">
        <f>IFERROR(__xludf.DUMMYFUNCTION("SPLIT(I5974,""/"")"),4.0)</f>
        <v>4</v>
      </c>
      <c r="K5974" s="308">
        <f>IFERROR(__xludf.DUMMYFUNCTION("""COMPUTED_VALUE"""),3.0)</f>
        <v>3</v>
      </c>
      <c r="L5974" s="308">
        <f>IFERROR(__xludf.DUMMYFUNCTION("""COMPUTED_VALUE"""),2015.0)</f>
        <v>2015</v>
      </c>
      <c r="M5974" s="308" t="s">
        <v>23906</v>
      </c>
      <c r="N5974" s="308"/>
      <c r="O5974" s="308"/>
      <c r="P5974" s="308" t="s">
        <v>136</v>
      </c>
      <c r="Q5974" s="308" t="s">
        <v>38760</v>
      </c>
      <c r="R5974" s="308" t="s">
        <v>2743</v>
      </c>
      <c r="S5974" s="315" t="s">
        <v>100</v>
      </c>
      <c r="T5974" s="308" t="s">
        <v>34208</v>
      </c>
      <c r="U5974" s="308" t="s">
        <v>27</v>
      </c>
      <c r="V5974" s="308"/>
    </row>
    <row r="5975">
      <c r="A5975" s="308">
        <v>5974.0</v>
      </c>
      <c r="B5975" s="308"/>
      <c r="C5975" s="308" t="s">
        <v>23907</v>
      </c>
      <c r="D5975" s="308">
        <f>IFERROR(__xludf.DUMMYFUNCTION("SPLIT(C5975,""-"")"),5995.0)</f>
        <v>5995</v>
      </c>
      <c r="E5975" s="308" t="str">
        <f>IFERROR(__xludf.DUMMYFUNCTION("""COMPUTED_VALUE"""),"K")</f>
        <v>K</v>
      </c>
      <c r="F5975" s="309" t="s">
        <v>34</v>
      </c>
      <c r="G5975" s="308"/>
      <c r="H5975" s="308" t="s">
        <v>23908</v>
      </c>
      <c r="I5975" s="310">
        <v>42596.0</v>
      </c>
      <c r="J5975" s="319">
        <f>IFERROR(__xludf.DUMMYFUNCTION("SPLIT(I5975,""/"")"),14.0)</f>
        <v>14</v>
      </c>
      <c r="K5975" s="308">
        <f>IFERROR(__xludf.DUMMYFUNCTION("""COMPUTED_VALUE"""),8.0)</f>
        <v>8</v>
      </c>
      <c r="L5975" s="308">
        <f>IFERROR(__xludf.DUMMYFUNCTION("""COMPUTED_VALUE"""),2016.0)</f>
        <v>2016</v>
      </c>
      <c r="M5975" s="308" t="s">
        <v>23909</v>
      </c>
      <c r="N5975" s="308"/>
      <c r="O5975" s="308"/>
      <c r="P5975" s="308" t="s">
        <v>136</v>
      </c>
      <c r="Q5975" s="308" t="s">
        <v>38760</v>
      </c>
      <c r="R5975" s="308" t="s">
        <v>2743</v>
      </c>
      <c r="S5975" s="315" t="s">
        <v>100</v>
      </c>
      <c r="T5975" s="308" t="s">
        <v>34208</v>
      </c>
      <c r="U5975" s="308" t="s">
        <v>125</v>
      </c>
      <c r="V5975" s="308"/>
    </row>
    <row r="5976">
      <c r="A5976" s="308">
        <v>5975.0</v>
      </c>
      <c r="B5976" s="308"/>
      <c r="C5976" s="308" t="s">
        <v>23910</v>
      </c>
      <c r="D5976" s="308">
        <f>IFERROR(__xludf.DUMMYFUNCTION("SPLIT(C5976,""-"")"),5996.0)</f>
        <v>5996</v>
      </c>
      <c r="E5976" s="308" t="str">
        <f>IFERROR(__xludf.DUMMYFUNCTION("""COMPUTED_VALUE"""),"B")</f>
        <v>B</v>
      </c>
      <c r="F5976" s="315" t="s">
        <v>26</v>
      </c>
      <c r="G5976" s="308"/>
      <c r="H5976" s="308" t="s">
        <v>23911</v>
      </c>
      <c r="I5976" s="310">
        <v>40703.0</v>
      </c>
      <c r="J5976" s="319">
        <f>IFERROR(__xludf.DUMMYFUNCTION("SPLIT(I5976,""/"")"),9.0)</f>
        <v>9</v>
      </c>
      <c r="K5976" s="308">
        <f>IFERROR(__xludf.DUMMYFUNCTION("""COMPUTED_VALUE"""),6.0)</f>
        <v>6</v>
      </c>
      <c r="L5976" s="308">
        <f>IFERROR(__xludf.DUMMYFUNCTION("""COMPUTED_VALUE"""),2011.0)</f>
        <v>2011</v>
      </c>
      <c r="M5976" s="308" t="s">
        <v>23912</v>
      </c>
      <c r="N5976" s="308"/>
      <c r="O5976" s="308" t="s">
        <v>23913</v>
      </c>
      <c r="P5976" s="308" t="s">
        <v>136</v>
      </c>
      <c r="Q5976" s="308" t="s">
        <v>38760</v>
      </c>
      <c r="R5976" s="308" t="s">
        <v>2743</v>
      </c>
      <c r="S5976" s="315" t="s">
        <v>100</v>
      </c>
      <c r="T5976" s="308" t="s">
        <v>34208</v>
      </c>
      <c r="U5976" s="308" t="s">
        <v>27</v>
      </c>
      <c r="V5976" s="308"/>
    </row>
    <row r="5977">
      <c r="A5977" s="308">
        <v>5976.0</v>
      </c>
      <c r="B5977" s="308"/>
      <c r="C5977" s="308" t="s">
        <v>23914</v>
      </c>
      <c r="D5977" s="308">
        <f>IFERROR(__xludf.DUMMYFUNCTION("SPLIT(C5977,""-"")"),5997.0)</f>
        <v>5997</v>
      </c>
      <c r="E5977" s="308" t="str">
        <f>IFERROR(__xludf.DUMMYFUNCTION("""COMPUTED_VALUE"""),"B")</f>
        <v>B</v>
      </c>
      <c r="F5977" s="315" t="s">
        <v>26</v>
      </c>
      <c r="G5977" s="308"/>
      <c r="H5977" s="308" t="s">
        <v>23915</v>
      </c>
      <c r="I5977" s="310">
        <v>32513.0</v>
      </c>
      <c r="J5977" s="319">
        <f>IFERROR(__xludf.DUMMYFUNCTION("SPLIT(I5977,""/"")"),5.0)</f>
        <v>5</v>
      </c>
      <c r="K5977" s="308">
        <f>IFERROR(__xludf.DUMMYFUNCTION("""COMPUTED_VALUE"""),1.0)</f>
        <v>1</v>
      </c>
      <c r="L5977" s="308">
        <f>IFERROR(__xludf.DUMMYFUNCTION("""COMPUTED_VALUE"""),1989.0)</f>
        <v>1989</v>
      </c>
      <c r="M5977" s="308" t="s">
        <v>23916</v>
      </c>
      <c r="N5977" s="308"/>
      <c r="O5977" s="308" t="s">
        <v>38763</v>
      </c>
      <c r="P5977" s="308" t="s">
        <v>136</v>
      </c>
      <c r="Q5977" s="308" t="s">
        <v>38760</v>
      </c>
      <c r="R5977" s="308" t="s">
        <v>2743</v>
      </c>
      <c r="S5977" s="315" t="s">
        <v>100</v>
      </c>
      <c r="T5977" s="308" t="s">
        <v>34208</v>
      </c>
      <c r="U5977" s="308" t="s">
        <v>27</v>
      </c>
      <c r="V5977" s="308"/>
    </row>
    <row r="5978">
      <c r="A5978" s="308">
        <v>5977.0</v>
      </c>
      <c r="B5978" s="308"/>
      <c r="C5978" s="308" t="s">
        <v>23918</v>
      </c>
      <c r="D5978" s="308">
        <f>IFERROR(__xludf.DUMMYFUNCTION("SPLIT(C5978,""-"")"),5998.0)</f>
        <v>5998</v>
      </c>
      <c r="E5978" s="308" t="str">
        <f>IFERROR(__xludf.DUMMYFUNCTION("""COMPUTED_VALUE"""),"P")</f>
        <v>P</v>
      </c>
      <c r="F5978" s="312" t="s">
        <v>37</v>
      </c>
      <c r="G5978" s="308"/>
      <c r="H5978" s="308" t="s">
        <v>23919</v>
      </c>
      <c r="I5978" s="310">
        <v>43510.0</v>
      </c>
      <c r="J5978" s="319">
        <f>IFERROR(__xludf.DUMMYFUNCTION("SPLIT(I5978,""/"")"),14.0)</f>
        <v>14</v>
      </c>
      <c r="K5978" s="308">
        <f>IFERROR(__xludf.DUMMYFUNCTION("""COMPUTED_VALUE"""),2.0)</f>
        <v>2</v>
      </c>
      <c r="L5978" s="308">
        <f>IFERROR(__xludf.DUMMYFUNCTION("""COMPUTED_VALUE"""),2019.0)</f>
        <v>2019</v>
      </c>
      <c r="M5978" s="308" t="s">
        <v>23920</v>
      </c>
      <c r="N5978" s="308"/>
      <c r="O5978" s="308"/>
      <c r="P5978" s="308" t="s">
        <v>38764</v>
      </c>
      <c r="Q5978" s="308" t="s">
        <v>38765</v>
      </c>
      <c r="R5978" s="308" t="s">
        <v>2743</v>
      </c>
      <c r="S5978" s="308" t="s">
        <v>81</v>
      </c>
      <c r="T5978" s="308" t="s">
        <v>75</v>
      </c>
      <c r="U5978" s="308" t="s">
        <v>143</v>
      </c>
      <c r="V5978" s="308"/>
    </row>
    <row r="5979">
      <c r="A5979" s="308">
        <v>5978.0</v>
      </c>
      <c r="B5979" s="308"/>
      <c r="C5979" s="308" t="s">
        <v>23922</v>
      </c>
      <c r="D5979" s="308">
        <f>IFERROR(__xludf.DUMMYFUNCTION("SPLIT(C5979,""-"")"),5999.0)</f>
        <v>5999</v>
      </c>
      <c r="E5979" s="308" t="str">
        <f>IFERROR(__xludf.DUMMYFUNCTION("""COMPUTED_VALUE"""),"S")</f>
        <v>S</v>
      </c>
      <c r="F5979" s="312" t="s">
        <v>39</v>
      </c>
      <c r="G5979" s="308"/>
      <c r="H5979" s="308" t="s">
        <v>23923</v>
      </c>
      <c r="I5979" s="310">
        <v>42999.0</v>
      </c>
      <c r="J5979" s="319">
        <f>IFERROR(__xludf.DUMMYFUNCTION("SPLIT(I5979,""/"")"),21.0)</f>
        <v>21</v>
      </c>
      <c r="K5979" s="308">
        <f>IFERROR(__xludf.DUMMYFUNCTION("""COMPUTED_VALUE"""),9.0)</f>
        <v>9</v>
      </c>
      <c r="L5979" s="308">
        <f>IFERROR(__xludf.DUMMYFUNCTION("""COMPUTED_VALUE"""),2017.0)</f>
        <v>2017</v>
      </c>
      <c r="M5979" s="308" t="s">
        <v>23924</v>
      </c>
      <c r="N5979" s="308" t="s">
        <v>23925</v>
      </c>
      <c r="O5979" s="308"/>
      <c r="P5979" s="308"/>
      <c r="Q5979" s="308" t="s">
        <v>38765</v>
      </c>
      <c r="R5979" s="308" t="s">
        <v>2743</v>
      </c>
      <c r="S5979" s="308" t="s">
        <v>79</v>
      </c>
      <c r="T5979" s="308" t="s">
        <v>79</v>
      </c>
      <c r="U5979" s="308" t="s">
        <v>166</v>
      </c>
      <c r="V5979" s="308"/>
    </row>
    <row r="5980">
      <c r="A5980" s="308">
        <v>5979.0</v>
      </c>
      <c r="B5980" s="308"/>
      <c r="C5980" s="308" t="s">
        <v>23926</v>
      </c>
      <c r="D5980" s="308">
        <f>IFERROR(__xludf.DUMMYFUNCTION("SPLIT(C5980,""-"")"),6000.0)</f>
        <v>6000</v>
      </c>
      <c r="E5980" s="308" t="str">
        <f>IFERROR(__xludf.DUMMYFUNCTION("""COMPUTED_VALUE"""),"B")</f>
        <v>B</v>
      </c>
      <c r="F5980" s="315" t="s">
        <v>26</v>
      </c>
      <c r="G5980" s="308"/>
      <c r="H5980" s="308" t="s">
        <v>23927</v>
      </c>
      <c r="I5980" s="314">
        <v>43419.0</v>
      </c>
      <c r="J5980" s="319">
        <f>IFERROR(__xludf.DUMMYFUNCTION("SPLIT(I5980,""/"")"),15.0)</f>
        <v>15</v>
      </c>
      <c r="K5980" s="308">
        <f>IFERROR(__xludf.DUMMYFUNCTION("""COMPUTED_VALUE"""),11.0)</f>
        <v>11</v>
      </c>
      <c r="L5980" s="308">
        <f>IFERROR(__xludf.DUMMYFUNCTION("""COMPUTED_VALUE"""),2018.0)</f>
        <v>2018</v>
      </c>
      <c r="M5980" s="308" t="s">
        <v>23928</v>
      </c>
      <c r="N5980" s="308"/>
      <c r="O5980" s="308"/>
      <c r="P5980" s="308" t="s">
        <v>38766</v>
      </c>
      <c r="Q5980" s="308" t="s">
        <v>38765</v>
      </c>
      <c r="R5980" s="308" t="s">
        <v>14256</v>
      </c>
      <c r="S5980" s="308" t="s">
        <v>81</v>
      </c>
      <c r="T5980" s="311" t="s">
        <v>96</v>
      </c>
      <c r="U5980" s="308" t="s">
        <v>27</v>
      </c>
      <c r="V5980" s="308"/>
    </row>
    <row r="5981">
      <c r="A5981" s="308">
        <v>5980.0</v>
      </c>
      <c r="B5981" s="308"/>
      <c r="C5981" s="308" t="s">
        <v>23930</v>
      </c>
      <c r="D5981" s="308">
        <f>IFERROR(__xludf.DUMMYFUNCTION("SPLIT(C5981,""-"")"),6001.0)</f>
        <v>6001</v>
      </c>
      <c r="E5981" s="308" t="str">
        <f>IFERROR(__xludf.DUMMYFUNCTION("""COMPUTED_VALUE"""),"B")</f>
        <v>B</v>
      </c>
      <c r="F5981" s="315" t="s">
        <v>26</v>
      </c>
      <c r="G5981" s="308"/>
      <c r="H5981" s="308" t="s">
        <v>23931</v>
      </c>
      <c r="I5981" s="310">
        <v>42865.0</v>
      </c>
      <c r="J5981" s="319">
        <f>IFERROR(__xludf.DUMMYFUNCTION("SPLIT(I5981,""/"")"),10.0)</f>
        <v>10</v>
      </c>
      <c r="K5981" s="308">
        <f>IFERROR(__xludf.DUMMYFUNCTION("""COMPUTED_VALUE"""),5.0)</f>
        <v>5</v>
      </c>
      <c r="L5981" s="308">
        <f>IFERROR(__xludf.DUMMYFUNCTION("""COMPUTED_VALUE"""),2017.0)</f>
        <v>2017</v>
      </c>
      <c r="M5981" s="308" t="s">
        <v>23928</v>
      </c>
      <c r="N5981" s="308"/>
      <c r="O5981" s="308"/>
      <c r="P5981" s="308" t="s">
        <v>38767</v>
      </c>
      <c r="Q5981" s="308" t="s">
        <v>38765</v>
      </c>
      <c r="R5981" s="308" t="s">
        <v>14256</v>
      </c>
      <c r="S5981" s="308" t="s">
        <v>81</v>
      </c>
      <c r="T5981" s="308" t="s">
        <v>75</v>
      </c>
      <c r="U5981" s="308" t="s">
        <v>27</v>
      </c>
      <c r="V5981" s="308"/>
    </row>
    <row r="5982">
      <c r="A5982" s="308">
        <v>5981.0</v>
      </c>
      <c r="B5982" s="308"/>
      <c r="C5982" s="308" t="s">
        <v>23933</v>
      </c>
      <c r="D5982" s="308">
        <f>IFERROR(__xludf.DUMMYFUNCTION("SPLIT(C5982,""-"")"),6002.0)</f>
        <v>6002</v>
      </c>
      <c r="E5982" s="308" t="str">
        <f>IFERROR(__xludf.DUMMYFUNCTION("""COMPUTED_VALUE"""),"B")</f>
        <v>B</v>
      </c>
      <c r="F5982" s="315" t="s">
        <v>26</v>
      </c>
      <c r="G5982" s="308"/>
      <c r="H5982" s="308" t="s">
        <v>23934</v>
      </c>
      <c r="I5982" s="310">
        <v>41855.0</v>
      </c>
      <c r="J5982" s="319">
        <f>IFERROR(__xludf.DUMMYFUNCTION("SPLIT(I5982,""/"")"),4.0)</f>
        <v>4</v>
      </c>
      <c r="K5982" s="308">
        <f>IFERROR(__xludf.DUMMYFUNCTION("""COMPUTED_VALUE"""),8.0)</f>
        <v>8</v>
      </c>
      <c r="L5982" s="308">
        <f>IFERROR(__xludf.DUMMYFUNCTION("""COMPUTED_VALUE"""),2014.0)</f>
        <v>2014</v>
      </c>
      <c r="M5982" s="308"/>
      <c r="N5982" s="308"/>
      <c r="O5982" s="308"/>
      <c r="P5982" s="308" t="s">
        <v>38768</v>
      </c>
      <c r="Q5982" s="308" t="s">
        <v>38765</v>
      </c>
      <c r="R5982" s="308" t="s">
        <v>14256</v>
      </c>
      <c r="S5982" s="308" t="s">
        <v>81</v>
      </c>
      <c r="T5982" s="308" t="s">
        <v>75</v>
      </c>
      <c r="U5982" s="308" t="s">
        <v>27</v>
      </c>
      <c r="V5982" s="308"/>
    </row>
    <row r="5983">
      <c r="A5983" s="308">
        <v>5982.0</v>
      </c>
      <c r="B5983" s="308"/>
      <c r="C5983" s="308" t="s">
        <v>23936</v>
      </c>
      <c r="D5983" s="308">
        <f>IFERROR(__xludf.DUMMYFUNCTION("SPLIT(C5983,""-"")"),6003.0)</f>
        <v>6003</v>
      </c>
      <c r="E5983" s="308" t="str">
        <f>IFERROR(__xludf.DUMMYFUNCTION("""COMPUTED_VALUE"""),"B")</f>
        <v>B</v>
      </c>
      <c r="F5983" s="315" t="s">
        <v>26</v>
      </c>
      <c r="G5983" s="308"/>
      <c r="H5983" s="308" t="s">
        <v>23937</v>
      </c>
      <c r="I5983" s="310">
        <v>41782.0</v>
      </c>
      <c r="J5983" s="319">
        <f>IFERROR(__xludf.DUMMYFUNCTION("SPLIT(I5983,""/"")"),23.0)</f>
        <v>23</v>
      </c>
      <c r="K5983" s="308">
        <f>IFERROR(__xludf.DUMMYFUNCTION("""COMPUTED_VALUE"""),5.0)</f>
        <v>5</v>
      </c>
      <c r="L5983" s="308">
        <f>IFERROR(__xludf.DUMMYFUNCTION("""COMPUTED_VALUE"""),2014.0)</f>
        <v>2014</v>
      </c>
      <c r="M5983" s="308" t="s">
        <v>23938</v>
      </c>
      <c r="N5983" s="308"/>
      <c r="O5983" s="308"/>
      <c r="P5983" s="308" t="s">
        <v>136</v>
      </c>
      <c r="Q5983" s="308" t="s">
        <v>38765</v>
      </c>
      <c r="R5983" s="308" t="s">
        <v>14256</v>
      </c>
      <c r="S5983" s="315" t="s">
        <v>100</v>
      </c>
      <c r="T5983" s="308" t="s">
        <v>34208</v>
      </c>
      <c r="U5983" s="308" t="s">
        <v>27</v>
      </c>
      <c r="V5983" s="308"/>
    </row>
    <row r="5984">
      <c r="A5984" s="308">
        <v>5983.0</v>
      </c>
      <c r="B5984" s="308"/>
      <c r="C5984" s="308" t="s">
        <v>23939</v>
      </c>
      <c r="D5984" s="308">
        <f>IFERROR(__xludf.DUMMYFUNCTION("SPLIT(C5984,""-"")"),6004.0)</f>
        <v>6004</v>
      </c>
      <c r="E5984" s="308" t="str">
        <f>IFERROR(__xludf.DUMMYFUNCTION("""COMPUTED_VALUE"""),"B")</f>
        <v>B</v>
      </c>
      <c r="F5984" s="315" t="s">
        <v>26</v>
      </c>
      <c r="G5984" s="308"/>
      <c r="H5984" s="308" t="s">
        <v>23940</v>
      </c>
      <c r="I5984" s="310">
        <v>42708.0</v>
      </c>
      <c r="J5984" s="319">
        <f>IFERROR(__xludf.DUMMYFUNCTION("SPLIT(I5984,""/"")"),4.0)</f>
        <v>4</v>
      </c>
      <c r="K5984" s="308">
        <f>IFERROR(__xludf.DUMMYFUNCTION("""COMPUTED_VALUE"""),12.0)</f>
        <v>12</v>
      </c>
      <c r="L5984" s="308">
        <f>IFERROR(__xludf.DUMMYFUNCTION("""COMPUTED_VALUE"""),2016.0)</f>
        <v>2016</v>
      </c>
      <c r="M5984" s="308" t="s">
        <v>23941</v>
      </c>
      <c r="N5984" s="308"/>
      <c r="O5984" s="308"/>
      <c r="P5984" s="308" t="s">
        <v>23942</v>
      </c>
      <c r="Q5984" s="308" t="s">
        <v>38765</v>
      </c>
      <c r="R5984" s="308" t="s">
        <v>14256</v>
      </c>
      <c r="S5984" s="308" t="s">
        <v>81</v>
      </c>
      <c r="T5984" s="311" t="s">
        <v>75</v>
      </c>
      <c r="U5984" s="308" t="s">
        <v>27</v>
      </c>
      <c r="V5984" s="308"/>
    </row>
    <row r="5985">
      <c r="A5985" s="308">
        <v>5984.0</v>
      </c>
      <c r="B5985" s="308"/>
      <c r="C5985" s="308" t="s">
        <v>23943</v>
      </c>
      <c r="D5985" s="308" t="str">
        <f>IFERROR(__xludf.DUMMYFUNCTION("SPLIT(C5985,""-"")"),"#REF!")</f>
        <v>#REF!</v>
      </c>
      <c r="E5985" s="311"/>
      <c r="F5985" s="309" t="s">
        <v>34</v>
      </c>
      <c r="G5985" s="308"/>
      <c r="H5985" s="308" t="s">
        <v>23944</v>
      </c>
      <c r="I5985" s="310">
        <v>40087.0</v>
      </c>
      <c r="J5985" s="319">
        <f>IFERROR(__xludf.DUMMYFUNCTION("SPLIT(I5985,""/"")"),1.0)</f>
        <v>1</v>
      </c>
      <c r="K5985" s="308">
        <f>IFERROR(__xludf.DUMMYFUNCTION("""COMPUTED_VALUE"""),10.0)</f>
        <v>10</v>
      </c>
      <c r="L5985" s="308">
        <f>IFERROR(__xludf.DUMMYFUNCTION("""COMPUTED_VALUE"""),2009.0)</f>
        <v>2009</v>
      </c>
      <c r="M5985" s="308" t="s">
        <v>23945</v>
      </c>
      <c r="N5985" s="308"/>
      <c r="O5985" s="308"/>
      <c r="P5985" s="308" t="s">
        <v>6175</v>
      </c>
      <c r="Q5985" s="308" t="s">
        <v>38765</v>
      </c>
      <c r="R5985" s="308" t="s">
        <v>1496</v>
      </c>
      <c r="S5985" s="308" t="s">
        <v>49</v>
      </c>
      <c r="T5985" s="308" t="s">
        <v>70</v>
      </c>
      <c r="U5985" s="308" t="s">
        <v>166</v>
      </c>
      <c r="V5985" s="308"/>
    </row>
    <row r="5986">
      <c r="A5986" s="308">
        <v>5985.0</v>
      </c>
      <c r="B5986" s="308"/>
      <c r="C5986" s="308" t="s">
        <v>23946</v>
      </c>
      <c r="D5986" s="308">
        <f>IFERROR(__xludf.DUMMYFUNCTION("SPLIT(C5986,""-"")"),6006.0)</f>
        <v>6006</v>
      </c>
      <c r="E5986" s="308" t="str">
        <f>IFERROR(__xludf.DUMMYFUNCTION("""COMPUTED_VALUE"""),"S")</f>
        <v>S</v>
      </c>
      <c r="F5986" s="312" t="s">
        <v>39</v>
      </c>
      <c r="G5986" s="308"/>
      <c r="H5986" s="308" t="s">
        <v>23947</v>
      </c>
      <c r="I5986" s="314">
        <v>43023.0</v>
      </c>
      <c r="J5986" s="319">
        <f>IFERROR(__xludf.DUMMYFUNCTION("SPLIT(I5986,""/"")"),15.0)</f>
        <v>15</v>
      </c>
      <c r="K5986" s="308">
        <f>IFERROR(__xludf.DUMMYFUNCTION("""COMPUTED_VALUE"""),10.0)</f>
        <v>10</v>
      </c>
      <c r="L5986" s="308">
        <f>IFERROR(__xludf.DUMMYFUNCTION("""COMPUTED_VALUE"""),2017.0)</f>
        <v>2017</v>
      </c>
      <c r="M5986" s="308" t="s">
        <v>23948</v>
      </c>
      <c r="N5986" s="308" t="s">
        <v>23949</v>
      </c>
      <c r="O5986" s="308"/>
      <c r="P5986" s="308" t="s">
        <v>37751</v>
      </c>
      <c r="Q5986" s="308" t="s">
        <v>38765</v>
      </c>
      <c r="R5986" s="308" t="s">
        <v>14256</v>
      </c>
      <c r="S5986" s="308" t="s">
        <v>81</v>
      </c>
      <c r="T5986" s="311" t="s">
        <v>96</v>
      </c>
      <c r="U5986" s="308" t="s">
        <v>166</v>
      </c>
      <c r="V5986" s="308"/>
    </row>
    <row r="5987">
      <c r="A5987" s="308">
        <v>5986.0</v>
      </c>
      <c r="B5987" s="308"/>
      <c r="C5987" s="308" t="s">
        <v>23950</v>
      </c>
      <c r="D5987" s="308">
        <f>IFERROR(__xludf.DUMMYFUNCTION("SPLIT(C5987,""-"")"),6007.0)</f>
        <v>6007</v>
      </c>
      <c r="E5987" s="308" t="str">
        <f>IFERROR(__xludf.DUMMYFUNCTION("""COMPUTED_VALUE"""),"S")</f>
        <v>S</v>
      </c>
      <c r="F5987" s="312" t="s">
        <v>39</v>
      </c>
      <c r="G5987" s="308"/>
      <c r="H5987" s="308" t="s">
        <v>23951</v>
      </c>
      <c r="I5987" s="314">
        <v>43023.0</v>
      </c>
      <c r="J5987" s="319">
        <f>IFERROR(__xludf.DUMMYFUNCTION("SPLIT(I5987,""/"")"),15.0)</f>
        <v>15</v>
      </c>
      <c r="K5987" s="308">
        <f>IFERROR(__xludf.DUMMYFUNCTION("""COMPUTED_VALUE"""),10.0)</f>
        <v>10</v>
      </c>
      <c r="L5987" s="308">
        <f>IFERROR(__xludf.DUMMYFUNCTION("""COMPUTED_VALUE"""),2017.0)</f>
        <v>2017</v>
      </c>
      <c r="M5987" s="308" t="s">
        <v>23952</v>
      </c>
      <c r="N5987" s="308"/>
      <c r="O5987" s="308"/>
      <c r="P5987" s="308" t="s">
        <v>18374</v>
      </c>
      <c r="Q5987" s="308" t="s">
        <v>38765</v>
      </c>
      <c r="R5987" s="308" t="s">
        <v>14256</v>
      </c>
      <c r="S5987" s="308" t="s">
        <v>81</v>
      </c>
      <c r="T5987" s="311" t="s">
        <v>96</v>
      </c>
      <c r="U5987" s="308" t="s">
        <v>166</v>
      </c>
      <c r="V5987" s="308"/>
    </row>
    <row r="5988">
      <c r="A5988" s="308">
        <v>5987.0</v>
      </c>
      <c r="B5988" s="308"/>
      <c r="C5988" s="308" t="s">
        <v>23953</v>
      </c>
      <c r="D5988" s="308">
        <f>IFERROR(__xludf.DUMMYFUNCTION("SPLIT(C5988,""-"")"),6008.0)</f>
        <v>6008</v>
      </c>
      <c r="E5988" s="308" t="str">
        <f>IFERROR(__xludf.DUMMYFUNCTION("""COMPUTED_VALUE"""),"S")</f>
        <v>S</v>
      </c>
      <c r="F5988" s="312" t="s">
        <v>39</v>
      </c>
      <c r="G5988" s="308"/>
      <c r="H5988" s="308" t="s">
        <v>23954</v>
      </c>
      <c r="I5988" s="314">
        <v>41228.0</v>
      </c>
      <c r="J5988" s="319">
        <f>IFERROR(__xludf.DUMMYFUNCTION("SPLIT(I5988,""/"")"),15.0)</f>
        <v>15</v>
      </c>
      <c r="K5988" s="308">
        <f>IFERROR(__xludf.DUMMYFUNCTION("""COMPUTED_VALUE"""),11.0)</f>
        <v>11</v>
      </c>
      <c r="L5988" s="308">
        <f>IFERROR(__xludf.DUMMYFUNCTION("""COMPUTED_VALUE"""),2012.0)</f>
        <v>2012</v>
      </c>
      <c r="M5988" s="308" t="s">
        <v>23955</v>
      </c>
      <c r="N5988" s="308"/>
      <c r="O5988" s="308"/>
      <c r="P5988" s="308" t="s">
        <v>38769</v>
      </c>
      <c r="Q5988" s="308" t="s">
        <v>38765</v>
      </c>
      <c r="R5988" s="308" t="s">
        <v>14256</v>
      </c>
      <c r="S5988" s="308" t="s">
        <v>81</v>
      </c>
      <c r="T5988" s="308" t="s">
        <v>63</v>
      </c>
      <c r="U5988" s="308" t="s">
        <v>166</v>
      </c>
      <c r="V5988" s="308"/>
    </row>
    <row r="5989">
      <c r="A5989" s="308">
        <v>5988.0</v>
      </c>
      <c r="B5989" s="308"/>
      <c r="C5989" s="308" t="s">
        <v>23957</v>
      </c>
      <c r="D5989" s="308" t="str">
        <f>IFERROR(__xludf.DUMMYFUNCTION("SPLIT(C5989,""-"")"),"#REF!")</f>
        <v>#REF!</v>
      </c>
      <c r="E5989" s="311"/>
      <c r="F5989" s="317" t="s">
        <v>39</v>
      </c>
      <c r="G5989" s="308"/>
      <c r="H5989" s="308" t="s">
        <v>23958</v>
      </c>
      <c r="I5989" s="310">
        <v>40349.0</v>
      </c>
      <c r="J5989" s="319">
        <f>IFERROR(__xludf.DUMMYFUNCTION("SPLIT(I5989,""/"")"),20.0)</f>
        <v>20</v>
      </c>
      <c r="K5989" s="308">
        <f>IFERROR(__xludf.DUMMYFUNCTION("""COMPUTED_VALUE"""),6.0)</f>
        <v>6</v>
      </c>
      <c r="L5989" s="308">
        <f>IFERROR(__xludf.DUMMYFUNCTION("""COMPUTED_VALUE"""),2010.0)</f>
        <v>2010</v>
      </c>
      <c r="M5989" s="308" t="s">
        <v>23959</v>
      </c>
      <c r="N5989" s="308"/>
      <c r="O5989" s="308"/>
      <c r="P5989" s="308" t="s">
        <v>9930</v>
      </c>
      <c r="Q5989" s="308" t="s">
        <v>38765</v>
      </c>
      <c r="R5989" s="308" t="s">
        <v>23960</v>
      </c>
      <c r="S5989" s="308" t="s">
        <v>49</v>
      </c>
      <c r="T5989" s="311" t="s">
        <v>75</v>
      </c>
      <c r="U5989" s="308" t="s">
        <v>166</v>
      </c>
      <c r="V5989" s="308" t="s">
        <v>23961</v>
      </c>
    </row>
    <row r="5990">
      <c r="A5990" s="308">
        <v>5989.0</v>
      </c>
      <c r="B5990" s="308"/>
      <c r="C5990" s="308" t="s">
        <v>23962</v>
      </c>
      <c r="D5990" s="308">
        <f>IFERROR(__xludf.DUMMYFUNCTION("SPLIT(C5990,""-"")"),6010.0)</f>
        <v>6010</v>
      </c>
      <c r="E5990" s="308" t="str">
        <f>IFERROR(__xludf.DUMMYFUNCTION("""COMPUTED_VALUE"""),"S")</f>
        <v>S</v>
      </c>
      <c r="F5990" s="312" t="s">
        <v>39</v>
      </c>
      <c r="G5990" s="308"/>
      <c r="H5990" s="308" t="s">
        <v>23963</v>
      </c>
      <c r="I5990" s="310">
        <v>43496.0</v>
      </c>
      <c r="J5990" s="319">
        <f>IFERROR(__xludf.DUMMYFUNCTION("SPLIT(I5990,""/"")"),31.0)</f>
        <v>31</v>
      </c>
      <c r="K5990" s="308">
        <f>IFERROR(__xludf.DUMMYFUNCTION("""COMPUTED_VALUE"""),1.0)</f>
        <v>1</v>
      </c>
      <c r="L5990" s="308">
        <f>IFERROR(__xludf.DUMMYFUNCTION("""COMPUTED_VALUE"""),2019.0)</f>
        <v>2019</v>
      </c>
      <c r="M5990" s="308" t="s">
        <v>23964</v>
      </c>
      <c r="N5990" s="308"/>
      <c r="O5990" s="308"/>
      <c r="P5990" s="308" t="s">
        <v>23965</v>
      </c>
      <c r="Q5990" s="308" t="s">
        <v>38765</v>
      </c>
      <c r="R5990" s="308" t="s">
        <v>14256</v>
      </c>
      <c r="S5990" s="308" t="s">
        <v>81</v>
      </c>
      <c r="T5990" s="311" t="s">
        <v>75</v>
      </c>
      <c r="U5990" s="308" t="s">
        <v>166</v>
      </c>
      <c r="V5990" s="308"/>
    </row>
    <row r="5991">
      <c r="A5991" s="308">
        <v>5990.0</v>
      </c>
      <c r="B5991" s="308"/>
      <c r="C5991" s="308" t="s">
        <v>23966</v>
      </c>
      <c r="D5991" s="308">
        <f>IFERROR(__xludf.DUMMYFUNCTION("SPLIT(C5991,""-"")"),6011.0)</f>
        <v>6011</v>
      </c>
      <c r="E5991" s="308" t="str">
        <f>IFERROR(__xludf.DUMMYFUNCTION("""COMPUTED_VALUE"""),"S")</f>
        <v>S</v>
      </c>
      <c r="F5991" s="312" t="s">
        <v>39</v>
      </c>
      <c r="G5991" s="308"/>
      <c r="H5991" s="308" t="s">
        <v>23967</v>
      </c>
      <c r="I5991" s="310">
        <v>43496.0</v>
      </c>
      <c r="J5991" s="319">
        <f>IFERROR(__xludf.DUMMYFUNCTION("SPLIT(I5991,""/"")"),31.0)</f>
        <v>31</v>
      </c>
      <c r="K5991" s="308">
        <f>IFERROR(__xludf.DUMMYFUNCTION("""COMPUTED_VALUE"""),1.0)</f>
        <v>1</v>
      </c>
      <c r="L5991" s="308">
        <f>IFERROR(__xludf.DUMMYFUNCTION("""COMPUTED_VALUE"""),2019.0)</f>
        <v>2019</v>
      </c>
      <c r="M5991" s="308" t="s">
        <v>23964</v>
      </c>
      <c r="N5991" s="308"/>
      <c r="O5991" s="308"/>
      <c r="P5991" s="308" t="s">
        <v>38770</v>
      </c>
      <c r="Q5991" s="308" t="s">
        <v>38765</v>
      </c>
      <c r="R5991" s="308" t="s">
        <v>14256</v>
      </c>
      <c r="S5991" s="308" t="s">
        <v>81</v>
      </c>
      <c r="T5991" s="311" t="s">
        <v>75</v>
      </c>
      <c r="U5991" s="308" t="s">
        <v>166</v>
      </c>
      <c r="V5991" s="308"/>
    </row>
    <row r="5992">
      <c r="A5992" s="308">
        <v>5991.0</v>
      </c>
      <c r="B5992" s="308"/>
      <c r="C5992" s="308" t="s">
        <v>23969</v>
      </c>
      <c r="D5992" s="308">
        <f>IFERROR(__xludf.DUMMYFUNCTION("SPLIT(C5992,""-"")"),6012.0)</f>
        <v>6012</v>
      </c>
      <c r="E5992" s="308" t="str">
        <f>IFERROR(__xludf.DUMMYFUNCTION("""COMPUTED_VALUE"""),"S")</f>
        <v>S</v>
      </c>
      <c r="F5992" s="312" t="s">
        <v>39</v>
      </c>
      <c r="G5992" s="308"/>
      <c r="H5992" s="308" t="s">
        <v>23970</v>
      </c>
      <c r="I5992" s="310">
        <v>43496.0</v>
      </c>
      <c r="J5992" s="319">
        <f>IFERROR(__xludf.DUMMYFUNCTION("SPLIT(I5992,""/"")"),31.0)</f>
        <v>31</v>
      </c>
      <c r="K5992" s="308">
        <f>IFERROR(__xludf.DUMMYFUNCTION("""COMPUTED_VALUE"""),1.0)</f>
        <v>1</v>
      </c>
      <c r="L5992" s="308">
        <f>IFERROR(__xludf.DUMMYFUNCTION("""COMPUTED_VALUE"""),2019.0)</f>
        <v>2019</v>
      </c>
      <c r="M5992" s="308" t="s">
        <v>23971</v>
      </c>
      <c r="N5992" s="308"/>
      <c r="O5992" s="308"/>
      <c r="P5992" s="308" t="s">
        <v>38771</v>
      </c>
      <c r="Q5992" s="308" t="s">
        <v>38765</v>
      </c>
      <c r="R5992" s="308" t="s">
        <v>14256</v>
      </c>
      <c r="S5992" s="308" t="s">
        <v>81</v>
      </c>
      <c r="T5992" s="308" t="s">
        <v>75</v>
      </c>
      <c r="U5992" s="308" t="s">
        <v>166</v>
      </c>
      <c r="V5992" s="308"/>
    </row>
    <row r="5993">
      <c r="A5993" s="308">
        <v>5992.0</v>
      </c>
      <c r="B5993" s="308"/>
      <c r="C5993" s="308" t="s">
        <v>23973</v>
      </c>
      <c r="D5993" s="308">
        <f>IFERROR(__xludf.DUMMYFUNCTION("SPLIT(C5993,""-"")"),6013.0)</f>
        <v>6013</v>
      </c>
      <c r="E5993" s="308" t="str">
        <f>IFERROR(__xludf.DUMMYFUNCTION("""COMPUTED_VALUE"""),"B")</f>
        <v>B</v>
      </c>
      <c r="F5993" s="315" t="s">
        <v>26</v>
      </c>
      <c r="G5993" s="308"/>
      <c r="H5993" s="308" t="s">
        <v>23974</v>
      </c>
      <c r="I5993" s="310">
        <v>43520.0</v>
      </c>
      <c r="J5993" s="319">
        <f>IFERROR(__xludf.DUMMYFUNCTION("SPLIT(I5993,""/"")"),24.0)</f>
        <v>24</v>
      </c>
      <c r="K5993" s="308">
        <f>IFERROR(__xludf.DUMMYFUNCTION("""COMPUTED_VALUE"""),2.0)</f>
        <v>2</v>
      </c>
      <c r="L5993" s="308">
        <f>IFERROR(__xludf.DUMMYFUNCTION("""COMPUTED_VALUE"""),2019.0)</f>
        <v>2019</v>
      </c>
      <c r="M5993" s="308" t="s">
        <v>23975</v>
      </c>
      <c r="N5993" s="308"/>
      <c r="O5993" s="308"/>
      <c r="P5993" s="308" t="s">
        <v>23976</v>
      </c>
      <c r="Q5993" s="308" t="s">
        <v>38772</v>
      </c>
      <c r="R5993" s="308" t="s">
        <v>14256</v>
      </c>
      <c r="S5993" s="308" t="s">
        <v>81</v>
      </c>
      <c r="T5993" s="311" t="s">
        <v>96</v>
      </c>
      <c r="U5993" s="308" t="s">
        <v>27</v>
      </c>
      <c r="V5993" s="308"/>
    </row>
    <row r="5994">
      <c r="A5994" s="308">
        <v>5993.0</v>
      </c>
      <c r="B5994" s="308"/>
      <c r="C5994" s="308" t="s">
        <v>23977</v>
      </c>
      <c r="D5994" s="308">
        <f>IFERROR(__xludf.DUMMYFUNCTION("SPLIT(C5994,""-"")"),6014.0)</f>
        <v>6014</v>
      </c>
      <c r="E5994" s="308" t="str">
        <f>IFERROR(__xludf.DUMMYFUNCTION("""COMPUTED_VALUE"""),"B")</f>
        <v>B</v>
      </c>
      <c r="F5994" s="315" t="s">
        <v>26</v>
      </c>
      <c r="G5994" s="308"/>
      <c r="H5994" s="308" t="s">
        <v>23978</v>
      </c>
      <c r="I5994" s="314">
        <v>41966.0</v>
      </c>
      <c r="J5994" s="319">
        <f>IFERROR(__xludf.DUMMYFUNCTION("SPLIT(I5994,""/"")"),23.0)</f>
        <v>23</v>
      </c>
      <c r="K5994" s="308">
        <f>IFERROR(__xludf.DUMMYFUNCTION("""COMPUTED_VALUE"""),11.0)</f>
        <v>11</v>
      </c>
      <c r="L5994" s="308">
        <f>IFERROR(__xludf.DUMMYFUNCTION("""COMPUTED_VALUE"""),2014.0)</f>
        <v>2014</v>
      </c>
      <c r="M5994" s="308" t="s">
        <v>23979</v>
      </c>
      <c r="N5994" s="308"/>
      <c r="O5994" s="308"/>
      <c r="P5994" s="308" t="s">
        <v>23980</v>
      </c>
      <c r="Q5994" s="308" t="s">
        <v>38772</v>
      </c>
      <c r="R5994" s="308" t="s">
        <v>14256</v>
      </c>
      <c r="S5994" s="308" t="s">
        <v>81</v>
      </c>
      <c r="T5994" s="311" t="s">
        <v>96</v>
      </c>
      <c r="U5994" s="308" t="s">
        <v>27</v>
      </c>
      <c r="V5994" s="308"/>
    </row>
    <row r="5995">
      <c r="A5995" s="308">
        <v>5994.0</v>
      </c>
      <c r="B5995" s="308"/>
      <c r="C5995" s="308" t="s">
        <v>23981</v>
      </c>
      <c r="D5995" s="308">
        <f>IFERROR(__xludf.DUMMYFUNCTION("SPLIT(C5995,""-"")"),6015.0)</f>
        <v>6015</v>
      </c>
      <c r="E5995" s="308" t="str">
        <f>IFERROR(__xludf.DUMMYFUNCTION("""COMPUTED_VALUE"""),"B")</f>
        <v>B</v>
      </c>
      <c r="F5995" s="315" t="s">
        <v>26</v>
      </c>
      <c r="G5995" s="308"/>
      <c r="H5995" s="308" t="s">
        <v>23982</v>
      </c>
      <c r="I5995" s="310">
        <v>42210.0</v>
      </c>
      <c r="J5995" s="319">
        <f>IFERROR(__xludf.DUMMYFUNCTION("SPLIT(I5995,""/"")"),25.0)</f>
        <v>25</v>
      </c>
      <c r="K5995" s="308">
        <f>IFERROR(__xludf.DUMMYFUNCTION("""COMPUTED_VALUE"""),7.0)</f>
        <v>7</v>
      </c>
      <c r="L5995" s="308">
        <f>IFERROR(__xludf.DUMMYFUNCTION("""COMPUTED_VALUE"""),2015.0)</f>
        <v>2015</v>
      </c>
      <c r="M5995" s="308" t="s">
        <v>23983</v>
      </c>
      <c r="N5995" s="308"/>
      <c r="O5995" s="308"/>
      <c r="P5995" s="308" t="s">
        <v>23984</v>
      </c>
      <c r="Q5995" s="308" t="s">
        <v>38772</v>
      </c>
      <c r="R5995" s="308" t="s">
        <v>14256</v>
      </c>
      <c r="S5995" s="308" t="s">
        <v>81</v>
      </c>
      <c r="T5995" s="311" t="s">
        <v>96</v>
      </c>
      <c r="U5995" s="308" t="s">
        <v>27</v>
      </c>
      <c r="V5995" s="308"/>
    </row>
    <row r="5996">
      <c r="A5996" s="308">
        <v>5995.0</v>
      </c>
      <c r="B5996" s="308"/>
      <c r="C5996" s="308" t="s">
        <v>23985</v>
      </c>
      <c r="D5996" s="308">
        <f>IFERROR(__xludf.DUMMYFUNCTION("SPLIT(C5996,""-"")"),6016.0)</f>
        <v>6016</v>
      </c>
      <c r="E5996" s="308" t="str">
        <f>IFERROR(__xludf.DUMMYFUNCTION("""COMPUTED_VALUE"""),"B")</f>
        <v>B</v>
      </c>
      <c r="F5996" s="315" t="s">
        <v>26</v>
      </c>
      <c r="G5996" s="308"/>
      <c r="H5996" s="308" t="s">
        <v>23986</v>
      </c>
      <c r="I5996" s="310">
        <v>43010.0</v>
      </c>
      <c r="J5996" s="319">
        <f>IFERROR(__xludf.DUMMYFUNCTION("SPLIT(I5996,""/"")"),2.0)</f>
        <v>2</v>
      </c>
      <c r="K5996" s="308">
        <f>IFERROR(__xludf.DUMMYFUNCTION("""COMPUTED_VALUE"""),10.0)</f>
        <v>10</v>
      </c>
      <c r="L5996" s="308">
        <f>IFERROR(__xludf.DUMMYFUNCTION("""COMPUTED_VALUE"""),2017.0)</f>
        <v>2017</v>
      </c>
      <c r="M5996" s="308" t="s">
        <v>23987</v>
      </c>
      <c r="N5996" s="308"/>
      <c r="O5996" s="308"/>
      <c r="P5996" s="308" t="s">
        <v>38773</v>
      </c>
      <c r="Q5996" s="308" t="s">
        <v>38772</v>
      </c>
      <c r="R5996" s="308" t="s">
        <v>14256</v>
      </c>
      <c r="S5996" s="308" t="s">
        <v>81</v>
      </c>
      <c r="T5996" s="308" t="s">
        <v>75</v>
      </c>
      <c r="U5996" s="308" t="s">
        <v>27</v>
      </c>
      <c r="V5996" s="308"/>
    </row>
    <row r="5997">
      <c r="A5997" s="308">
        <v>5996.0</v>
      </c>
      <c r="B5997" s="308"/>
      <c r="C5997" s="308" t="s">
        <v>23989</v>
      </c>
      <c r="D5997" s="308">
        <f>IFERROR(__xludf.DUMMYFUNCTION("SPLIT(C5997,""-"")"),6017.0)</f>
        <v>6017</v>
      </c>
      <c r="E5997" s="308" t="str">
        <f>IFERROR(__xludf.DUMMYFUNCTION("""COMPUTED_VALUE"""),"S")</f>
        <v>S</v>
      </c>
      <c r="F5997" s="312" t="s">
        <v>39</v>
      </c>
      <c r="G5997" s="308"/>
      <c r="H5997" s="308" t="s">
        <v>23990</v>
      </c>
      <c r="I5997" s="310">
        <v>43496.0</v>
      </c>
      <c r="J5997" s="319">
        <f>IFERROR(__xludf.DUMMYFUNCTION("SPLIT(I5997,""/"")"),31.0)</f>
        <v>31</v>
      </c>
      <c r="K5997" s="308">
        <f>IFERROR(__xludf.DUMMYFUNCTION("""COMPUTED_VALUE"""),1.0)</f>
        <v>1</v>
      </c>
      <c r="L5997" s="308">
        <f>IFERROR(__xludf.DUMMYFUNCTION("""COMPUTED_VALUE"""),2019.0)</f>
        <v>2019</v>
      </c>
      <c r="M5997" s="308" t="s">
        <v>23971</v>
      </c>
      <c r="N5997" s="308"/>
      <c r="O5997" s="308"/>
      <c r="P5997" s="308" t="s">
        <v>23991</v>
      </c>
      <c r="Q5997" s="308" t="s">
        <v>38772</v>
      </c>
      <c r="R5997" s="308" t="s">
        <v>14256</v>
      </c>
      <c r="S5997" s="308" t="s">
        <v>81</v>
      </c>
      <c r="T5997" s="308" t="s">
        <v>75</v>
      </c>
      <c r="U5997" s="308" t="s">
        <v>166</v>
      </c>
      <c r="V5997" s="308"/>
    </row>
    <row r="5998">
      <c r="A5998" s="308">
        <v>5997.0</v>
      </c>
      <c r="B5998" s="308"/>
      <c r="C5998" s="308" t="s">
        <v>23992</v>
      </c>
      <c r="D5998" s="308">
        <f>IFERROR(__xludf.DUMMYFUNCTION("SPLIT(C5998,""-"")"),6018.0)</f>
        <v>6018</v>
      </c>
      <c r="E5998" s="308" t="str">
        <f>IFERROR(__xludf.DUMMYFUNCTION("""COMPUTED_VALUE"""),"S")</f>
        <v>S</v>
      </c>
      <c r="F5998" s="312" t="s">
        <v>39</v>
      </c>
      <c r="G5998" s="308"/>
      <c r="H5998" s="308" t="s">
        <v>2771</v>
      </c>
      <c r="I5998" s="314">
        <v>40523.0</v>
      </c>
      <c r="J5998" s="319">
        <f>IFERROR(__xludf.DUMMYFUNCTION("SPLIT(I5998,""/"")"),11.0)</f>
        <v>11</v>
      </c>
      <c r="K5998" s="308">
        <f>IFERROR(__xludf.DUMMYFUNCTION("""COMPUTED_VALUE"""),12.0)</f>
        <v>12</v>
      </c>
      <c r="L5998" s="308">
        <f>IFERROR(__xludf.DUMMYFUNCTION("""COMPUTED_VALUE"""),2010.0)</f>
        <v>2010</v>
      </c>
      <c r="M5998" s="308" t="s">
        <v>23993</v>
      </c>
      <c r="N5998" s="308"/>
      <c r="O5998" s="312"/>
      <c r="P5998" s="308" t="s">
        <v>38774</v>
      </c>
      <c r="Q5998" s="308" t="s">
        <v>38772</v>
      </c>
      <c r="R5998" s="308" t="s">
        <v>14256</v>
      </c>
      <c r="S5998" s="308" t="s">
        <v>49</v>
      </c>
      <c r="T5998" s="311" t="s">
        <v>51</v>
      </c>
      <c r="U5998" s="308" t="s">
        <v>166</v>
      </c>
      <c r="V5998" s="308"/>
    </row>
    <row r="5999">
      <c r="A5999" s="308">
        <v>5998.0</v>
      </c>
      <c r="B5999" s="308"/>
      <c r="C5999" s="308" t="s">
        <v>23995</v>
      </c>
      <c r="D5999" s="308">
        <f>IFERROR(__xludf.DUMMYFUNCTION("SPLIT(C5999,""-"")"),6019.0)</f>
        <v>6019</v>
      </c>
      <c r="E5999" s="308" t="str">
        <f>IFERROR(__xludf.DUMMYFUNCTION("""COMPUTED_VALUE"""),"S")</f>
        <v>S</v>
      </c>
      <c r="F5999" s="312" t="s">
        <v>39</v>
      </c>
      <c r="G5999" s="308"/>
      <c r="H5999" s="308" t="s">
        <v>11032</v>
      </c>
      <c r="I5999" s="310">
        <v>40806.0</v>
      </c>
      <c r="J5999" s="319">
        <f>IFERROR(__xludf.DUMMYFUNCTION("SPLIT(I5999,""/"")"),20.0)</f>
        <v>20</v>
      </c>
      <c r="K5999" s="308">
        <f>IFERROR(__xludf.DUMMYFUNCTION("""COMPUTED_VALUE"""),9.0)</f>
        <v>9</v>
      </c>
      <c r="L5999" s="308">
        <f>IFERROR(__xludf.DUMMYFUNCTION("""COMPUTED_VALUE"""),2011.0)</f>
        <v>2011</v>
      </c>
      <c r="M5999" s="308" t="s">
        <v>23996</v>
      </c>
      <c r="N5999" s="308"/>
      <c r="O5999" s="308"/>
      <c r="P5999" s="308" t="s">
        <v>38775</v>
      </c>
      <c r="Q5999" s="308" t="s">
        <v>38772</v>
      </c>
      <c r="R5999" s="308" t="s">
        <v>14256</v>
      </c>
      <c r="S5999" s="308" t="s">
        <v>81</v>
      </c>
      <c r="T5999" s="308" t="s">
        <v>34264</v>
      </c>
      <c r="U5999" s="308" t="s">
        <v>166</v>
      </c>
      <c r="V5999" s="308"/>
    </row>
    <row r="6000">
      <c r="A6000" s="308">
        <v>5999.0</v>
      </c>
      <c r="B6000" s="308"/>
      <c r="C6000" s="308" t="s">
        <v>23998</v>
      </c>
      <c r="D6000" s="308">
        <f>IFERROR(__xludf.DUMMYFUNCTION("SPLIT(C6000,""-"")"),6020.0)</f>
        <v>6020</v>
      </c>
      <c r="E6000" s="308" t="str">
        <f>IFERROR(__xludf.DUMMYFUNCTION("""COMPUTED_VALUE"""),"K")</f>
        <v>K</v>
      </c>
      <c r="F6000" s="309" t="s">
        <v>34</v>
      </c>
      <c r="G6000" s="308"/>
      <c r="H6000" s="308" t="s">
        <v>23999</v>
      </c>
      <c r="I6000" s="314">
        <v>40901.0</v>
      </c>
      <c r="J6000" s="319">
        <f>IFERROR(__xludf.DUMMYFUNCTION("SPLIT(I6000,""/"")"),24.0)</f>
        <v>24</v>
      </c>
      <c r="K6000" s="308">
        <f>IFERROR(__xludf.DUMMYFUNCTION("""COMPUTED_VALUE"""),12.0)</f>
        <v>12</v>
      </c>
      <c r="L6000" s="308">
        <f>IFERROR(__xludf.DUMMYFUNCTION("""COMPUTED_VALUE"""),2011.0)</f>
        <v>2011</v>
      </c>
      <c r="M6000" s="308" t="s">
        <v>24000</v>
      </c>
      <c r="N6000" s="308"/>
      <c r="O6000" s="308"/>
      <c r="P6000" s="308" t="s">
        <v>136</v>
      </c>
      <c r="Q6000" s="308" t="s">
        <v>38772</v>
      </c>
      <c r="R6000" s="308" t="s">
        <v>14256</v>
      </c>
      <c r="S6000" s="315" t="s">
        <v>100</v>
      </c>
      <c r="T6000" s="308" t="s">
        <v>34208</v>
      </c>
      <c r="U6000" s="308" t="s">
        <v>125</v>
      </c>
      <c r="V6000" s="308"/>
    </row>
    <row r="6001">
      <c r="A6001" s="308">
        <v>6000.0</v>
      </c>
      <c r="B6001" s="308"/>
      <c r="C6001" s="308" t="s">
        <v>24001</v>
      </c>
      <c r="D6001" s="308">
        <f>IFERROR(__xludf.DUMMYFUNCTION("SPLIT(C6001,""-"")"),6021.0)</f>
        <v>6021</v>
      </c>
      <c r="E6001" s="308" t="str">
        <f>IFERROR(__xludf.DUMMYFUNCTION("""COMPUTED_VALUE"""),"P")</f>
        <v>P</v>
      </c>
      <c r="F6001" s="312" t="s">
        <v>37</v>
      </c>
      <c r="G6001" s="308"/>
      <c r="H6001" s="308" t="s">
        <v>24002</v>
      </c>
      <c r="I6001" s="314">
        <v>43052.0</v>
      </c>
      <c r="J6001" s="319">
        <f>IFERROR(__xludf.DUMMYFUNCTION("SPLIT(I6001,""/"")"),13.0)</f>
        <v>13</v>
      </c>
      <c r="K6001" s="308">
        <f>IFERROR(__xludf.DUMMYFUNCTION("""COMPUTED_VALUE"""),11.0)</f>
        <v>11</v>
      </c>
      <c r="L6001" s="308">
        <f>IFERROR(__xludf.DUMMYFUNCTION("""COMPUTED_VALUE"""),2017.0)</f>
        <v>2017</v>
      </c>
      <c r="M6001" s="308" t="s">
        <v>24003</v>
      </c>
      <c r="N6001" s="308" t="s">
        <v>24004</v>
      </c>
      <c r="O6001" s="308" t="s">
        <v>24005</v>
      </c>
      <c r="P6001" s="308" t="s">
        <v>136</v>
      </c>
      <c r="Q6001" s="308" t="s">
        <v>38776</v>
      </c>
      <c r="R6001" s="308" t="s">
        <v>2743</v>
      </c>
      <c r="S6001" s="315" t="s">
        <v>100</v>
      </c>
      <c r="T6001" s="308" t="s">
        <v>34208</v>
      </c>
      <c r="U6001" s="308" t="s">
        <v>149</v>
      </c>
      <c r="V6001" s="308"/>
    </row>
    <row r="6002">
      <c r="A6002" s="308">
        <v>6001.0</v>
      </c>
      <c r="B6002" s="308"/>
      <c r="C6002" s="308" t="s">
        <v>24006</v>
      </c>
      <c r="D6002" s="308">
        <f>IFERROR(__xludf.DUMMYFUNCTION("SPLIT(C6002,""-"")"),6022.0)</f>
        <v>6022</v>
      </c>
      <c r="E6002" s="308" t="str">
        <f>IFERROR(__xludf.DUMMYFUNCTION("""COMPUTED_VALUE"""),"K")</f>
        <v>K</v>
      </c>
      <c r="F6002" s="309" t="s">
        <v>34</v>
      </c>
      <c r="G6002" s="308"/>
      <c r="H6002" s="308" t="s">
        <v>24007</v>
      </c>
      <c r="I6002" s="310">
        <v>42999.0</v>
      </c>
      <c r="J6002" s="319" t="str">
        <f>IFERROR(__xludf.DUMMYFUNCTION("SPLIT(I6002,""/"")"),"#REF!")</f>
        <v>#REF!</v>
      </c>
      <c r="K6002" s="308"/>
      <c r="L6002" s="308">
        <v>2017.0</v>
      </c>
      <c r="M6002" s="308" t="s">
        <v>24008</v>
      </c>
      <c r="N6002" s="308"/>
      <c r="O6002" s="308"/>
      <c r="P6002" s="308" t="s">
        <v>38777</v>
      </c>
      <c r="Q6002" s="308" t="s">
        <v>38776</v>
      </c>
      <c r="R6002" s="308" t="s">
        <v>2743</v>
      </c>
      <c r="S6002" s="308" t="s">
        <v>81</v>
      </c>
      <c r="T6002" s="308" t="s">
        <v>34264</v>
      </c>
      <c r="U6002" s="308" t="s">
        <v>530</v>
      </c>
      <c r="V6002" s="308"/>
    </row>
    <row r="6003">
      <c r="A6003" s="308">
        <v>6002.0</v>
      </c>
      <c r="B6003" s="308"/>
      <c r="C6003" s="308" t="s">
        <v>24010</v>
      </c>
      <c r="D6003" s="308">
        <f>IFERROR(__xludf.DUMMYFUNCTION("SPLIT(C6003,""-"")"),6023.0)</f>
        <v>6023</v>
      </c>
      <c r="E6003" s="308" t="str">
        <f>IFERROR(__xludf.DUMMYFUNCTION("""COMPUTED_VALUE"""),"K")</f>
        <v>K</v>
      </c>
      <c r="F6003" s="309" t="s">
        <v>34</v>
      </c>
      <c r="G6003" s="308"/>
      <c r="H6003" s="308" t="s">
        <v>24011</v>
      </c>
      <c r="I6003" s="310">
        <v>39995.0</v>
      </c>
      <c r="J6003" s="319">
        <f>IFERROR(__xludf.DUMMYFUNCTION("SPLIT(I6003,""/"")"),1.0)</f>
        <v>1</v>
      </c>
      <c r="K6003" s="308">
        <f>IFERROR(__xludf.DUMMYFUNCTION("""COMPUTED_VALUE"""),7.0)</f>
        <v>7</v>
      </c>
      <c r="L6003" s="308">
        <f>IFERROR(__xludf.DUMMYFUNCTION("""COMPUTED_VALUE"""),2009.0)</f>
        <v>2009</v>
      </c>
      <c r="M6003" s="308" t="s">
        <v>24012</v>
      </c>
      <c r="N6003" s="308" t="s">
        <v>24013</v>
      </c>
      <c r="O6003" s="308" t="s">
        <v>24014</v>
      </c>
      <c r="P6003" s="308" t="s">
        <v>136</v>
      </c>
      <c r="Q6003" s="308" t="s">
        <v>38778</v>
      </c>
      <c r="R6003" s="308" t="s">
        <v>2743</v>
      </c>
      <c r="S6003" s="315" t="s">
        <v>100</v>
      </c>
      <c r="T6003" s="308" t="s">
        <v>34208</v>
      </c>
      <c r="U6003" s="308" t="s">
        <v>530</v>
      </c>
      <c r="V6003" s="308"/>
    </row>
    <row r="6004">
      <c r="A6004" s="308">
        <v>6003.0</v>
      </c>
      <c r="B6004" s="308"/>
      <c r="C6004" s="308" t="s">
        <v>24015</v>
      </c>
      <c r="D6004" s="308">
        <f>IFERROR(__xludf.DUMMYFUNCTION("SPLIT(C6004,""-"")"),6024.0)</f>
        <v>6024</v>
      </c>
      <c r="E6004" s="308" t="str">
        <f>IFERROR(__xludf.DUMMYFUNCTION("""COMPUTED_VALUE"""),"S")</f>
        <v>S</v>
      </c>
      <c r="F6004" s="312" t="s">
        <v>39</v>
      </c>
      <c r="G6004" s="308"/>
      <c r="H6004" s="308" t="s">
        <v>24016</v>
      </c>
      <c r="I6004" s="310">
        <v>39995.0</v>
      </c>
      <c r="J6004" s="319">
        <f>IFERROR(__xludf.DUMMYFUNCTION("SPLIT(I6004,""/"")"),1.0)</f>
        <v>1</v>
      </c>
      <c r="K6004" s="308">
        <f>IFERROR(__xludf.DUMMYFUNCTION("""COMPUTED_VALUE"""),7.0)</f>
        <v>7</v>
      </c>
      <c r="L6004" s="308">
        <f>IFERROR(__xludf.DUMMYFUNCTION("""COMPUTED_VALUE"""),2009.0)</f>
        <v>2009</v>
      </c>
      <c r="M6004" s="308" t="s">
        <v>24017</v>
      </c>
      <c r="N6004" s="308"/>
      <c r="O6004" s="308"/>
      <c r="P6004" s="308" t="s">
        <v>24018</v>
      </c>
      <c r="Q6004" s="308" t="s">
        <v>38778</v>
      </c>
      <c r="R6004" s="308" t="s">
        <v>2743</v>
      </c>
      <c r="S6004" s="308" t="s">
        <v>81</v>
      </c>
      <c r="T6004" s="308" t="s">
        <v>98</v>
      </c>
      <c r="U6004" s="308" t="s">
        <v>166</v>
      </c>
      <c r="V6004" s="308"/>
    </row>
    <row r="6005">
      <c r="A6005" s="308">
        <v>6004.0</v>
      </c>
      <c r="B6005" s="308"/>
      <c r="C6005" s="308" t="s">
        <v>24019</v>
      </c>
      <c r="D6005" s="308">
        <f>IFERROR(__xludf.DUMMYFUNCTION("SPLIT(C6005,""-"")"),6025.0)</f>
        <v>6025</v>
      </c>
      <c r="E6005" s="308" t="str">
        <f>IFERROR(__xludf.DUMMYFUNCTION("""COMPUTED_VALUE"""),"K")</f>
        <v>K</v>
      </c>
      <c r="F6005" s="309" t="s">
        <v>34</v>
      </c>
      <c r="G6005" s="308"/>
      <c r="H6005" s="308" t="s">
        <v>24020</v>
      </c>
      <c r="I6005" s="310">
        <v>40964.0</v>
      </c>
      <c r="J6005" s="319">
        <f>IFERROR(__xludf.DUMMYFUNCTION("SPLIT(I6005,""/"")"),25.0)</f>
        <v>25</v>
      </c>
      <c r="K6005" s="308">
        <f>IFERROR(__xludf.DUMMYFUNCTION("""COMPUTED_VALUE"""),2.0)</f>
        <v>2</v>
      </c>
      <c r="L6005" s="308">
        <f>IFERROR(__xludf.DUMMYFUNCTION("""COMPUTED_VALUE"""),2012.0)</f>
        <v>2012</v>
      </c>
      <c r="M6005" s="308" t="s">
        <v>24021</v>
      </c>
      <c r="N6005" s="308"/>
      <c r="O6005" s="308"/>
      <c r="P6005" s="308" t="s">
        <v>136</v>
      </c>
      <c r="Q6005" s="308" t="s">
        <v>38778</v>
      </c>
      <c r="R6005" s="308" t="s">
        <v>2743</v>
      </c>
      <c r="S6005" s="315" t="s">
        <v>100</v>
      </c>
      <c r="T6005" s="308" t="s">
        <v>34208</v>
      </c>
      <c r="U6005" s="308" t="s">
        <v>21884</v>
      </c>
      <c r="V6005" s="308"/>
    </row>
    <row r="6006">
      <c r="A6006" s="308">
        <v>6005.0</v>
      </c>
      <c r="B6006" s="308"/>
      <c r="C6006" s="308" t="s">
        <v>24022</v>
      </c>
      <c r="D6006" s="308">
        <f>IFERROR(__xludf.DUMMYFUNCTION("SPLIT(C6006,""-"")"),6026.0)</f>
        <v>6026</v>
      </c>
      <c r="E6006" s="308" t="str">
        <f>IFERROR(__xludf.DUMMYFUNCTION("""COMPUTED_VALUE"""),"K")</f>
        <v>K</v>
      </c>
      <c r="F6006" s="309" t="s">
        <v>34</v>
      </c>
      <c r="G6006" s="308"/>
      <c r="H6006" s="308" t="s">
        <v>24023</v>
      </c>
      <c r="I6006" s="310">
        <v>41398.0</v>
      </c>
      <c r="J6006" s="319">
        <f>IFERROR(__xludf.DUMMYFUNCTION("SPLIT(I6006,""/"")"),4.0)</f>
        <v>4</v>
      </c>
      <c r="K6006" s="308">
        <f>IFERROR(__xludf.DUMMYFUNCTION("""COMPUTED_VALUE"""),5.0)</f>
        <v>5</v>
      </c>
      <c r="L6006" s="308">
        <f>IFERROR(__xludf.DUMMYFUNCTION("""COMPUTED_VALUE"""),2013.0)</f>
        <v>2013</v>
      </c>
      <c r="M6006" s="308" t="s">
        <v>24024</v>
      </c>
      <c r="N6006" s="308"/>
      <c r="O6006" s="308" t="s">
        <v>24025</v>
      </c>
      <c r="P6006" s="308" t="s">
        <v>136</v>
      </c>
      <c r="Q6006" s="308" t="s">
        <v>38778</v>
      </c>
      <c r="R6006" s="308" t="s">
        <v>2743</v>
      </c>
      <c r="S6006" s="315" t="s">
        <v>100</v>
      </c>
      <c r="T6006" s="308" t="s">
        <v>34208</v>
      </c>
      <c r="U6006" s="308" t="s">
        <v>6395</v>
      </c>
      <c r="V6006" s="308"/>
    </row>
    <row r="6007">
      <c r="A6007" s="308">
        <v>6006.0</v>
      </c>
      <c r="B6007" s="308"/>
      <c r="C6007" s="308"/>
      <c r="D6007" s="308"/>
      <c r="E6007" s="311"/>
      <c r="F6007" s="317" t="s">
        <v>37</v>
      </c>
      <c r="G6007" s="308"/>
      <c r="H6007" s="308" t="s">
        <v>24026</v>
      </c>
      <c r="I6007" s="310">
        <v>43484.0</v>
      </c>
      <c r="J6007" s="319">
        <f>IFERROR(__xludf.DUMMYFUNCTION("SPLIT(I6007,""/"")"),19.0)</f>
        <v>19</v>
      </c>
      <c r="K6007" s="308">
        <f>IFERROR(__xludf.DUMMYFUNCTION("""COMPUTED_VALUE"""),1.0)</f>
        <v>1</v>
      </c>
      <c r="L6007" s="308">
        <f>IFERROR(__xludf.DUMMYFUNCTION("""COMPUTED_VALUE"""),2019.0)</f>
        <v>2019</v>
      </c>
      <c r="M6007" s="308" t="s">
        <v>24027</v>
      </c>
      <c r="N6007" s="308" t="s">
        <v>24028</v>
      </c>
      <c r="O6007" s="308"/>
      <c r="P6007" s="308" t="s">
        <v>136</v>
      </c>
      <c r="Q6007" s="308" t="s">
        <v>38778</v>
      </c>
      <c r="R6007" s="308" t="s">
        <v>2743</v>
      </c>
      <c r="S6007" s="315" t="s">
        <v>100</v>
      </c>
      <c r="T6007" s="308" t="s">
        <v>34208</v>
      </c>
      <c r="U6007" s="308" t="s">
        <v>149</v>
      </c>
      <c r="V6007" s="308"/>
    </row>
    <row r="6008">
      <c r="A6008" s="308">
        <v>6007.0</v>
      </c>
      <c r="B6008" s="308"/>
      <c r="C6008" s="308" t="s">
        <v>24029</v>
      </c>
      <c r="D6008" s="308">
        <f>IFERROR(__xludf.DUMMYFUNCTION("SPLIT(C6008,""-"")"),6028.0)</f>
        <v>6028</v>
      </c>
      <c r="E6008" s="308" t="str">
        <f>IFERROR(__xludf.DUMMYFUNCTION("""COMPUTED_VALUE"""),"K")</f>
        <v>K</v>
      </c>
      <c r="F6008" s="309" t="s">
        <v>34</v>
      </c>
      <c r="G6008" s="308"/>
      <c r="H6008" s="308" t="s">
        <v>24030</v>
      </c>
      <c r="I6008" s="310">
        <v>43005.0</v>
      </c>
      <c r="J6008" s="319" t="str">
        <f>IFERROR(__xludf.DUMMYFUNCTION("SPLIT(I6008,""/"")"),"#REF!")</f>
        <v>#REF!</v>
      </c>
      <c r="K6008" s="308"/>
      <c r="L6008" s="308">
        <v>2017.0</v>
      </c>
      <c r="M6008" s="308" t="s">
        <v>24031</v>
      </c>
      <c r="N6008" s="308" t="s">
        <v>439</v>
      </c>
      <c r="O6008" s="308"/>
      <c r="P6008" s="308" t="s">
        <v>136</v>
      </c>
      <c r="Q6008" s="308" t="s">
        <v>38778</v>
      </c>
      <c r="R6008" s="308" t="s">
        <v>2743</v>
      </c>
      <c r="S6008" s="315" t="s">
        <v>100</v>
      </c>
      <c r="T6008" s="308" t="s">
        <v>34208</v>
      </c>
      <c r="U6008" s="308" t="s">
        <v>282</v>
      </c>
      <c r="V6008" s="308"/>
    </row>
    <row r="6009">
      <c r="A6009" s="308">
        <v>6008.0</v>
      </c>
      <c r="B6009" s="308"/>
      <c r="C6009" s="308" t="s">
        <v>24032</v>
      </c>
      <c r="D6009" s="308">
        <f>IFERROR(__xludf.DUMMYFUNCTION("SPLIT(C6009,""-"")"),6029.0)</f>
        <v>6029</v>
      </c>
      <c r="E6009" s="308" t="str">
        <f>IFERROR(__xludf.DUMMYFUNCTION("""COMPUTED_VALUE"""),"K")</f>
        <v>K</v>
      </c>
      <c r="F6009" s="309" t="s">
        <v>34</v>
      </c>
      <c r="G6009" s="308"/>
      <c r="H6009" s="308" t="s">
        <v>24033</v>
      </c>
      <c r="I6009" s="310">
        <v>41810.0</v>
      </c>
      <c r="J6009" s="319">
        <f>IFERROR(__xludf.DUMMYFUNCTION("SPLIT(I6009,""/"")"),20.0)</f>
        <v>20</v>
      </c>
      <c r="K6009" s="308">
        <f>IFERROR(__xludf.DUMMYFUNCTION("""COMPUTED_VALUE"""),6.0)</f>
        <v>6</v>
      </c>
      <c r="L6009" s="308">
        <f>IFERROR(__xludf.DUMMYFUNCTION("""COMPUTED_VALUE"""),2014.0)</f>
        <v>2014</v>
      </c>
      <c r="M6009" s="308" t="s">
        <v>24034</v>
      </c>
      <c r="N6009" s="308" t="s">
        <v>24035</v>
      </c>
      <c r="O6009" s="308" t="s">
        <v>24036</v>
      </c>
      <c r="P6009" s="308" t="s">
        <v>4430</v>
      </c>
      <c r="Q6009" s="308" t="s">
        <v>38778</v>
      </c>
      <c r="R6009" s="308" t="s">
        <v>2743</v>
      </c>
      <c r="S6009" s="308" t="s">
        <v>49</v>
      </c>
      <c r="T6009" s="308" t="s">
        <v>51</v>
      </c>
      <c r="U6009" s="308" t="s">
        <v>282</v>
      </c>
      <c r="V6009" s="308"/>
    </row>
    <row r="6010">
      <c r="A6010" s="308">
        <v>6009.0</v>
      </c>
      <c r="B6010" s="308"/>
      <c r="C6010" s="308" t="s">
        <v>24037</v>
      </c>
      <c r="D6010" s="308">
        <f>IFERROR(__xludf.DUMMYFUNCTION("SPLIT(C6010,""-"")"),6030.0)</f>
        <v>6030</v>
      </c>
      <c r="E6010" s="308" t="str">
        <f>IFERROR(__xludf.DUMMYFUNCTION("""COMPUTED_VALUE"""),"S")</f>
        <v>S</v>
      </c>
      <c r="F6010" s="312" t="s">
        <v>39</v>
      </c>
      <c r="G6010" s="308"/>
      <c r="H6010" s="308" t="s">
        <v>24038</v>
      </c>
      <c r="I6010" s="310">
        <v>41669.0</v>
      </c>
      <c r="J6010" s="319">
        <f>IFERROR(__xludf.DUMMYFUNCTION("SPLIT(I6010,""/"")"),30.0)</f>
        <v>30</v>
      </c>
      <c r="K6010" s="308">
        <f>IFERROR(__xludf.DUMMYFUNCTION("""COMPUTED_VALUE"""),1.0)</f>
        <v>1</v>
      </c>
      <c r="L6010" s="308">
        <f>IFERROR(__xludf.DUMMYFUNCTION("""COMPUTED_VALUE"""),2014.0)</f>
        <v>2014</v>
      </c>
      <c r="M6010" s="308" t="s">
        <v>24039</v>
      </c>
      <c r="N6010" s="308"/>
      <c r="O6010" s="308"/>
      <c r="P6010" s="308" t="s">
        <v>136</v>
      </c>
      <c r="Q6010" s="308" t="s">
        <v>38778</v>
      </c>
      <c r="R6010" s="308" t="s">
        <v>2743</v>
      </c>
      <c r="S6010" s="315" t="s">
        <v>100</v>
      </c>
      <c r="T6010" s="308" t="s">
        <v>34208</v>
      </c>
      <c r="U6010" s="308" t="s">
        <v>166</v>
      </c>
      <c r="V6010" s="308"/>
    </row>
    <row r="6011">
      <c r="A6011" s="308">
        <v>6010.0</v>
      </c>
      <c r="B6011" s="308"/>
      <c r="C6011" s="308" t="s">
        <v>24040</v>
      </c>
      <c r="D6011" s="308">
        <f>IFERROR(__xludf.DUMMYFUNCTION("SPLIT(C6011,""-"")"),6031.0)</f>
        <v>6031</v>
      </c>
      <c r="E6011" s="308" t="str">
        <f>IFERROR(__xludf.DUMMYFUNCTION("""COMPUTED_VALUE"""),"S")</f>
        <v>S</v>
      </c>
      <c r="F6011" s="312" t="s">
        <v>39</v>
      </c>
      <c r="G6011" s="308"/>
      <c r="H6011" s="308" t="s">
        <v>24041</v>
      </c>
      <c r="I6011" s="310">
        <v>42262.0</v>
      </c>
      <c r="J6011" s="319">
        <f>IFERROR(__xludf.DUMMYFUNCTION("SPLIT(I6011,""/"")"),15.0)</f>
        <v>15</v>
      </c>
      <c r="K6011" s="308">
        <f>IFERROR(__xludf.DUMMYFUNCTION("""COMPUTED_VALUE"""),9.0)</f>
        <v>9</v>
      </c>
      <c r="L6011" s="308">
        <f>IFERROR(__xludf.DUMMYFUNCTION("""COMPUTED_VALUE"""),2015.0)</f>
        <v>2015</v>
      </c>
      <c r="M6011" s="308" t="s">
        <v>24042</v>
      </c>
      <c r="N6011" s="308"/>
      <c r="O6011" s="308"/>
      <c r="P6011" s="308" t="s">
        <v>136</v>
      </c>
      <c r="Q6011" s="308" t="s">
        <v>38779</v>
      </c>
      <c r="R6011" s="308" t="s">
        <v>2743</v>
      </c>
      <c r="S6011" s="315" t="s">
        <v>100</v>
      </c>
      <c r="T6011" s="308" t="s">
        <v>34208</v>
      </c>
      <c r="U6011" s="308" t="s">
        <v>166</v>
      </c>
      <c r="V6011" s="308"/>
    </row>
    <row r="6012">
      <c r="A6012" s="308">
        <v>6011.0</v>
      </c>
      <c r="B6012" s="308"/>
      <c r="C6012" s="308" t="s">
        <v>24043</v>
      </c>
      <c r="D6012" s="308">
        <f>IFERROR(__xludf.DUMMYFUNCTION("SPLIT(C6012,""-"")"),6032.0)</f>
        <v>6032</v>
      </c>
      <c r="E6012" s="308" t="str">
        <f>IFERROR(__xludf.DUMMYFUNCTION("""COMPUTED_VALUE"""),"I")</f>
        <v>I</v>
      </c>
      <c r="F6012" s="309" t="s">
        <v>31</v>
      </c>
      <c r="G6012" s="308"/>
      <c r="H6012" s="308" t="s">
        <v>24044</v>
      </c>
      <c r="I6012" s="310">
        <v>42024.0</v>
      </c>
      <c r="J6012" s="319">
        <f>IFERROR(__xludf.DUMMYFUNCTION("SPLIT(I6012,""/"")"),20.0)</f>
        <v>20</v>
      </c>
      <c r="K6012" s="308">
        <f>IFERROR(__xludf.DUMMYFUNCTION("""COMPUTED_VALUE"""),1.0)</f>
        <v>1</v>
      </c>
      <c r="L6012" s="308">
        <f>IFERROR(__xludf.DUMMYFUNCTION("""COMPUTED_VALUE"""),2015.0)</f>
        <v>2015</v>
      </c>
      <c r="M6012" s="308" t="s">
        <v>24045</v>
      </c>
      <c r="N6012" s="308" t="s">
        <v>24046</v>
      </c>
      <c r="O6012" s="308" t="s">
        <v>24047</v>
      </c>
      <c r="P6012" s="308" t="s">
        <v>136</v>
      </c>
      <c r="Q6012" s="308" t="s">
        <v>38779</v>
      </c>
      <c r="R6012" s="308" t="s">
        <v>2743</v>
      </c>
      <c r="S6012" s="315" t="s">
        <v>100</v>
      </c>
      <c r="T6012" s="308" t="s">
        <v>34208</v>
      </c>
      <c r="U6012" s="308" t="s">
        <v>31</v>
      </c>
      <c r="V6012" s="308"/>
    </row>
    <row r="6013">
      <c r="A6013" s="308">
        <v>6012.0</v>
      </c>
      <c r="B6013" s="308"/>
      <c r="C6013" s="308" t="s">
        <v>24048</v>
      </c>
      <c r="D6013" s="308">
        <f>IFERROR(__xludf.DUMMYFUNCTION("SPLIT(C6013,""-"")"),6033.0)</f>
        <v>6033</v>
      </c>
      <c r="E6013" s="308" t="str">
        <f>IFERROR(__xludf.DUMMYFUNCTION("""COMPUTED_VALUE"""),"S")</f>
        <v>S</v>
      </c>
      <c r="F6013" s="312" t="s">
        <v>39</v>
      </c>
      <c r="G6013" s="308"/>
      <c r="H6013" s="308" t="s">
        <v>24049</v>
      </c>
      <c r="I6013" s="316" t="s">
        <v>407</v>
      </c>
      <c r="J6013" s="319"/>
      <c r="K6013" s="308"/>
      <c r="L6013" s="311" t="s">
        <v>79</v>
      </c>
      <c r="M6013" s="308" t="s">
        <v>24050</v>
      </c>
      <c r="N6013" s="308"/>
      <c r="O6013" s="308"/>
      <c r="P6013" s="308" t="s">
        <v>38780</v>
      </c>
      <c r="Q6013" s="308" t="s">
        <v>38779</v>
      </c>
      <c r="R6013" s="308" t="s">
        <v>16447</v>
      </c>
      <c r="S6013" s="308" t="s">
        <v>81</v>
      </c>
      <c r="T6013" s="308" t="s">
        <v>75</v>
      </c>
      <c r="U6013" s="308" t="s">
        <v>166</v>
      </c>
      <c r="V6013" s="308"/>
    </row>
    <row r="6014">
      <c r="A6014" s="308">
        <v>6013.0</v>
      </c>
      <c r="B6014" s="308"/>
      <c r="C6014" s="308" t="s">
        <v>24052</v>
      </c>
      <c r="D6014" s="308">
        <f>IFERROR(__xludf.DUMMYFUNCTION("SPLIT(C6014,""-"")"),6034.0)</f>
        <v>6034</v>
      </c>
      <c r="E6014" s="308" t="str">
        <f>IFERROR(__xludf.DUMMYFUNCTION("""COMPUTED_VALUE"""),"S")</f>
        <v>S</v>
      </c>
      <c r="F6014" s="312" t="s">
        <v>39</v>
      </c>
      <c r="G6014" s="308"/>
      <c r="H6014" s="308" t="s">
        <v>24053</v>
      </c>
      <c r="I6014" s="310">
        <v>42530.0</v>
      </c>
      <c r="J6014" s="319">
        <f>IFERROR(__xludf.DUMMYFUNCTION("SPLIT(I6014,""/"")"),9.0)</f>
        <v>9</v>
      </c>
      <c r="K6014" s="308">
        <f>IFERROR(__xludf.DUMMYFUNCTION("""COMPUTED_VALUE"""),6.0)</f>
        <v>6</v>
      </c>
      <c r="L6014" s="308">
        <f>IFERROR(__xludf.DUMMYFUNCTION("""COMPUTED_VALUE"""),2016.0)</f>
        <v>2016</v>
      </c>
      <c r="M6014" s="308" t="s">
        <v>24054</v>
      </c>
      <c r="N6014" s="308"/>
      <c r="O6014" s="308"/>
      <c r="P6014" s="308" t="s">
        <v>38781</v>
      </c>
      <c r="Q6014" s="308" t="s">
        <v>38779</v>
      </c>
      <c r="R6014" s="308" t="s">
        <v>16447</v>
      </c>
      <c r="S6014" s="308" t="s">
        <v>49</v>
      </c>
      <c r="T6014" s="308" t="s">
        <v>51</v>
      </c>
      <c r="U6014" s="308" t="s">
        <v>166</v>
      </c>
      <c r="V6014" s="308"/>
    </row>
    <row r="6015">
      <c r="A6015" s="308">
        <v>6014.0</v>
      </c>
      <c r="B6015" s="308"/>
      <c r="C6015" s="308" t="s">
        <v>24056</v>
      </c>
      <c r="D6015" s="308">
        <f>IFERROR(__xludf.DUMMYFUNCTION("SPLIT(C6015,""-"")"),6035.0)</f>
        <v>6035</v>
      </c>
      <c r="E6015" s="308" t="str">
        <f>IFERROR(__xludf.DUMMYFUNCTION("""COMPUTED_VALUE"""),"S")</f>
        <v>S</v>
      </c>
      <c r="F6015" s="312" t="s">
        <v>39</v>
      </c>
      <c r="G6015" s="308"/>
      <c r="H6015" s="308" t="s">
        <v>24057</v>
      </c>
      <c r="I6015" s="310">
        <v>43411.0</v>
      </c>
      <c r="J6015" s="319">
        <f>IFERROR(__xludf.DUMMYFUNCTION("SPLIT(I6015,""/"")"),7.0)</f>
        <v>7</v>
      </c>
      <c r="K6015" s="308">
        <f>IFERROR(__xludf.DUMMYFUNCTION("""COMPUTED_VALUE"""),11.0)</f>
        <v>11</v>
      </c>
      <c r="L6015" s="308">
        <f>IFERROR(__xludf.DUMMYFUNCTION("""COMPUTED_VALUE"""),2018.0)</f>
        <v>2018</v>
      </c>
      <c r="M6015" s="308" t="s">
        <v>38782</v>
      </c>
      <c r="N6015" s="308"/>
      <c r="O6015" s="308"/>
      <c r="P6015" s="308" t="s">
        <v>38783</v>
      </c>
      <c r="Q6015" s="308" t="s">
        <v>38779</v>
      </c>
      <c r="R6015" s="308" t="s">
        <v>16447</v>
      </c>
      <c r="S6015" s="308" t="s">
        <v>81</v>
      </c>
      <c r="T6015" s="308" t="s">
        <v>75</v>
      </c>
      <c r="U6015" s="308" t="s">
        <v>166</v>
      </c>
      <c r="V6015" s="308"/>
    </row>
    <row r="6016">
      <c r="A6016" s="308">
        <v>6015.0</v>
      </c>
      <c r="B6016" s="308"/>
      <c r="C6016" s="308" t="s">
        <v>24060</v>
      </c>
      <c r="D6016" s="308">
        <f>IFERROR(__xludf.DUMMYFUNCTION("SPLIT(C6016,""-"")"),6036.0)</f>
        <v>6036</v>
      </c>
      <c r="E6016" s="308" t="str">
        <f>IFERROR(__xludf.DUMMYFUNCTION("""COMPUTED_VALUE"""),"P")</f>
        <v>P</v>
      </c>
      <c r="F6016" s="312" t="s">
        <v>37</v>
      </c>
      <c r="G6016" s="308"/>
      <c r="H6016" s="308" t="s">
        <v>24061</v>
      </c>
      <c r="I6016" s="310">
        <v>36731.0</v>
      </c>
      <c r="J6016" s="319">
        <f>IFERROR(__xludf.DUMMYFUNCTION("SPLIT(I6016,""/"")"),24.0)</f>
        <v>24</v>
      </c>
      <c r="K6016" s="308">
        <f>IFERROR(__xludf.DUMMYFUNCTION("""COMPUTED_VALUE"""),7.0)</f>
        <v>7</v>
      </c>
      <c r="L6016" s="308">
        <f>IFERROR(__xludf.DUMMYFUNCTION("""COMPUTED_VALUE"""),2000.0)</f>
        <v>2000</v>
      </c>
      <c r="M6016" s="308" t="s">
        <v>24062</v>
      </c>
      <c r="N6016" s="308"/>
      <c r="O6016" s="308"/>
      <c r="P6016" s="308" t="s">
        <v>24063</v>
      </c>
      <c r="Q6016" s="308" t="s">
        <v>38779</v>
      </c>
      <c r="R6016" s="308" t="s">
        <v>16447</v>
      </c>
      <c r="S6016" s="308" t="s">
        <v>81</v>
      </c>
      <c r="T6016" s="311" t="s">
        <v>51</v>
      </c>
      <c r="U6016" s="308" t="s">
        <v>143</v>
      </c>
      <c r="V6016" s="308"/>
    </row>
    <row r="6017">
      <c r="A6017" s="308">
        <v>6016.0</v>
      </c>
      <c r="B6017" s="308"/>
      <c r="C6017" s="308" t="s">
        <v>24064</v>
      </c>
      <c r="D6017" s="308">
        <f>IFERROR(__xludf.DUMMYFUNCTION("SPLIT(C6017,""-"")"),6037.0)</f>
        <v>6037</v>
      </c>
      <c r="E6017" s="308" t="str">
        <f>IFERROR(__xludf.DUMMYFUNCTION("""COMPUTED_VALUE"""),"S")</f>
        <v>S</v>
      </c>
      <c r="F6017" s="312" t="s">
        <v>39</v>
      </c>
      <c r="G6017" s="308"/>
      <c r="H6017" s="308" t="s">
        <v>24065</v>
      </c>
      <c r="I6017" s="310">
        <v>43119.0</v>
      </c>
      <c r="J6017" s="319">
        <f>IFERROR(__xludf.DUMMYFUNCTION("SPLIT(I6017,""/"")"),19.0)</f>
        <v>19</v>
      </c>
      <c r="K6017" s="308">
        <f>IFERROR(__xludf.DUMMYFUNCTION("""COMPUTED_VALUE"""),1.0)</f>
        <v>1</v>
      </c>
      <c r="L6017" s="308">
        <f>IFERROR(__xludf.DUMMYFUNCTION("""COMPUTED_VALUE"""),2018.0)</f>
        <v>2018</v>
      </c>
      <c r="M6017" s="308" t="s">
        <v>24066</v>
      </c>
      <c r="N6017" s="308"/>
      <c r="O6017" s="308"/>
      <c r="P6017" s="308" t="s">
        <v>38784</v>
      </c>
      <c r="Q6017" s="308" t="s">
        <v>38779</v>
      </c>
      <c r="R6017" s="308" t="s">
        <v>16447</v>
      </c>
      <c r="S6017" s="308" t="s">
        <v>81</v>
      </c>
      <c r="T6017" s="308" t="s">
        <v>75</v>
      </c>
      <c r="U6017" s="308" t="s">
        <v>166</v>
      </c>
      <c r="V6017" s="308"/>
    </row>
    <row r="6018">
      <c r="A6018" s="308">
        <v>6017.0</v>
      </c>
      <c r="B6018" s="308"/>
      <c r="C6018" s="308" t="s">
        <v>24068</v>
      </c>
      <c r="D6018" s="308">
        <f>IFERROR(__xludf.DUMMYFUNCTION("SPLIT(C6018,""-"")"),6038.0)</f>
        <v>6038</v>
      </c>
      <c r="E6018" s="308" t="str">
        <f>IFERROR(__xludf.DUMMYFUNCTION("""COMPUTED_VALUE"""),"P")</f>
        <v>P</v>
      </c>
      <c r="F6018" s="312" t="s">
        <v>37</v>
      </c>
      <c r="G6018" s="308"/>
      <c r="H6018" s="308" t="s">
        <v>24069</v>
      </c>
      <c r="I6018" s="314">
        <v>42735.0</v>
      </c>
      <c r="J6018" s="319">
        <f>IFERROR(__xludf.DUMMYFUNCTION("SPLIT(I6018,""/"")"),31.0)</f>
        <v>31</v>
      </c>
      <c r="K6018" s="308">
        <f>IFERROR(__xludf.DUMMYFUNCTION("""COMPUTED_VALUE"""),12.0)</f>
        <v>12</v>
      </c>
      <c r="L6018" s="308">
        <f>IFERROR(__xludf.DUMMYFUNCTION("""COMPUTED_VALUE"""),2016.0)</f>
        <v>2016</v>
      </c>
      <c r="M6018" s="308" t="s">
        <v>24070</v>
      </c>
      <c r="N6018" s="308"/>
      <c r="O6018" s="308"/>
      <c r="P6018" s="308" t="s">
        <v>24071</v>
      </c>
      <c r="Q6018" s="308" t="s">
        <v>38779</v>
      </c>
      <c r="R6018" s="308" t="s">
        <v>16447</v>
      </c>
      <c r="S6018" s="311" t="s">
        <v>49</v>
      </c>
      <c r="T6018" s="308" t="s">
        <v>51</v>
      </c>
      <c r="U6018" s="308" t="s">
        <v>143</v>
      </c>
      <c r="V6018" s="308"/>
    </row>
    <row r="6019">
      <c r="A6019" s="308">
        <v>6018.0</v>
      </c>
      <c r="B6019" s="308"/>
      <c r="C6019" s="308" t="s">
        <v>24072</v>
      </c>
      <c r="D6019" s="308">
        <f>IFERROR(__xludf.DUMMYFUNCTION("SPLIT(C6019,""-"")"),6039.0)</f>
        <v>6039</v>
      </c>
      <c r="E6019" s="308" t="str">
        <f>IFERROR(__xludf.DUMMYFUNCTION("""COMPUTED_VALUE"""),"P")</f>
        <v>P</v>
      </c>
      <c r="F6019" s="312" t="s">
        <v>37</v>
      </c>
      <c r="G6019" s="308"/>
      <c r="H6019" s="308" t="s">
        <v>24073</v>
      </c>
      <c r="I6019" s="314">
        <v>43385.0</v>
      </c>
      <c r="J6019" s="319">
        <f>IFERROR(__xludf.DUMMYFUNCTION("SPLIT(I6019,""/"")"),12.0)</f>
        <v>12</v>
      </c>
      <c r="K6019" s="308">
        <f>IFERROR(__xludf.DUMMYFUNCTION("""COMPUTED_VALUE"""),10.0)</f>
        <v>10</v>
      </c>
      <c r="L6019" s="308">
        <f>IFERROR(__xludf.DUMMYFUNCTION("""COMPUTED_VALUE"""),2018.0)</f>
        <v>2018</v>
      </c>
      <c r="M6019" s="308" t="s">
        <v>24074</v>
      </c>
      <c r="N6019" s="308" t="s">
        <v>24075</v>
      </c>
      <c r="O6019" s="308" t="s">
        <v>38785</v>
      </c>
      <c r="P6019" s="308" t="s">
        <v>38786</v>
      </c>
      <c r="Q6019" s="308" t="s">
        <v>38779</v>
      </c>
      <c r="R6019" s="308" t="s">
        <v>16447</v>
      </c>
      <c r="S6019" s="308" t="s">
        <v>81</v>
      </c>
      <c r="T6019" s="311" t="s">
        <v>51</v>
      </c>
      <c r="U6019" s="308" t="s">
        <v>149</v>
      </c>
      <c r="V6019" s="308"/>
    </row>
    <row r="6020">
      <c r="A6020" s="308">
        <v>6019.0</v>
      </c>
      <c r="B6020" s="308"/>
      <c r="C6020" s="308" t="s">
        <v>24078</v>
      </c>
      <c r="D6020" s="308">
        <f>IFERROR(__xludf.DUMMYFUNCTION("SPLIT(C6020,""-"")"),6040.0)</f>
        <v>6040</v>
      </c>
      <c r="E6020" s="308" t="str">
        <f>IFERROR(__xludf.DUMMYFUNCTION("""COMPUTED_VALUE"""),"S")</f>
        <v>S</v>
      </c>
      <c r="F6020" s="312" t="s">
        <v>39</v>
      </c>
      <c r="G6020" s="308"/>
      <c r="H6020" s="308" t="s">
        <v>24079</v>
      </c>
      <c r="I6020" s="314">
        <v>43427.0</v>
      </c>
      <c r="J6020" s="319">
        <f>IFERROR(__xludf.DUMMYFUNCTION("SPLIT(I6020,""/"")"),23.0)</f>
        <v>23</v>
      </c>
      <c r="K6020" s="308">
        <f>IFERROR(__xludf.DUMMYFUNCTION("""COMPUTED_VALUE"""),11.0)</f>
        <v>11</v>
      </c>
      <c r="L6020" s="308">
        <f>IFERROR(__xludf.DUMMYFUNCTION("""COMPUTED_VALUE"""),2018.0)</f>
        <v>2018</v>
      </c>
      <c r="M6020" s="308" t="s">
        <v>24080</v>
      </c>
      <c r="N6020" s="308"/>
      <c r="O6020" s="308"/>
      <c r="P6020" s="308" t="s">
        <v>24081</v>
      </c>
      <c r="Q6020" s="308" t="s">
        <v>38779</v>
      </c>
      <c r="R6020" s="308" t="s">
        <v>16447</v>
      </c>
      <c r="S6020" s="308" t="s">
        <v>81</v>
      </c>
      <c r="T6020" s="308" t="s">
        <v>75</v>
      </c>
      <c r="U6020" s="308" t="s">
        <v>166</v>
      </c>
      <c r="V6020" s="308"/>
    </row>
    <row r="6021">
      <c r="A6021" s="308">
        <v>6020.0</v>
      </c>
      <c r="B6021" s="308"/>
      <c r="C6021" s="308" t="s">
        <v>24082</v>
      </c>
      <c r="D6021" s="308">
        <f>IFERROR(__xludf.DUMMYFUNCTION("SPLIT(C6021,""-"")"),6041.0)</f>
        <v>6041</v>
      </c>
      <c r="E6021" s="308" t="str">
        <f>IFERROR(__xludf.DUMMYFUNCTION("""COMPUTED_VALUE"""),"S")</f>
        <v>S</v>
      </c>
      <c r="F6021" s="312" t="s">
        <v>39</v>
      </c>
      <c r="G6021" s="308"/>
      <c r="H6021" s="308" t="s">
        <v>24083</v>
      </c>
      <c r="I6021" s="310">
        <v>43271.0</v>
      </c>
      <c r="J6021" s="319">
        <f>IFERROR(__xludf.DUMMYFUNCTION("SPLIT(I6021,""/"")"),20.0)</f>
        <v>20</v>
      </c>
      <c r="K6021" s="308">
        <f>IFERROR(__xludf.DUMMYFUNCTION("""COMPUTED_VALUE"""),6.0)</f>
        <v>6</v>
      </c>
      <c r="L6021" s="308">
        <f>IFERROR(__xludf.DUMMYFUNCTION("""COMPUTED_VALUE"""),2018.0)</f>
        <v>2018</v>
      </c>
      <c r="M6021" s="308" t="s">
        <v>24084</v>
      </c>
      <c r="N6021" s="308"/>
      <c r="O6021" s="308"/>
      <c r="P6021" s="308" t="s">
        <v>38787</v>
      </c>
      <c r="Q6021" s="308" t="s">
        <v>38779</v>
      </c>
      <c r="R6021" s="308" t="s">
        <v>16447</v>
      </c>
      <c r="S6021" s="308" t="s">
        <v>81</v>
      </c>
      <c r="T6021" s="311" t="s">
        <v>91</v>
      </c>
      <c r="U6021" s="308" t="s">
        <v>166</v>
      </c>
      <c r="V6021" s="308"/>
    </row>
    <row r="6022">
      <c r="A6022" s="308">
        <v>6021.0</v>
      </c>
      <c r="B6022" s="308"/>
      <c r="C6022" s="308" t="s">
        <v>24086</v>
      </c>
      <c r="D6022" s="308">
        <f>IFERROR(__xludf.DUMMYFUNCTION("SPLIT(C6022,""-"")"),6042.0)</f>
        <v>6042</v>
      </c>
      <c r="E6022" s="308" t="str">
        <f>IFERROR(__xludf.DUMMYFUNCTION("""COMPUTED_VALUE"""),"S")</f>
        <v>S</v>
      </c>
      <c r="F6022" s="312" t="s">
        <v>39</v>
      </c>
      <c r="G6022" s="308"/>
      <c r="H6022" s="308" t="s">
        <v>24087</v>
      </c>
      <c r="I6022" s="310">
        <v>43331.0</v>
      </c>
      <c r="J6022" s="319">
        <f>IFERROR(__xludf.DUMMYFUNCTION("SPLIT(I6022,""/"")"),19.0)</f>
        <v>19</v>
      </c>
      <c r="K6022" s="308">
        <f>IFERROR(__xludf.DUMMYFUNCTION("""COMPUTED_VALUE"""),8.0)</f>
        <v>8</v>
      </c>
      <c r="L6022" s="308">
        <f>IFERROR(__xludf.DUMMYFUNCTION("""COMPUTED_VALUE"""),2018.0)</f>
        <v>2018</v>
      </c>
      <c r="M6022" s="308" t="s">
        <v>24088</v>
      </c>
      <c r="N6022" s="308"/>
      <c r="O6022" s="308"/>
      <c r="P6022" s="308" t="s">
        <v>24089</v>
      </c>
      <c r="Q6022" s="308" t="s">
        <v>38779</v>
      </c>
      <c r="R6022" s="308" t="s">
        <v>16447</v>
      </c>
      <c r="S6022" s="308" t="s">
        <v>81</v>
      </c>
      <c r="T6022" s="308" t="s">
        <v>75</v>
      </c>
      <c r="U6022" s="308" t="s">
        <v>166</v>
      </c>
      <c r="V6022" s="308"/>
    </row>
    <row r="6023">
      <c r="A6023" s="308">
        <v>6022.0</v>
      </c>
      <c r="B6023" s="308"/>
      <c r="C6023" s="308" t="s">
        <v>24090</v>
      </c>
      <c r="D6023" s="308">
        <f>IFERROR(__xludf.DUMMYFUNCTION("SPLIT(C6023,""-"")"),6043.0)</f>
        <v>6043</v>
      </c>
      <c r="E6023" s="308" t="str">
        <f>IFERROR(__xludf.DUMMYFUNCTION("""COMPUTED_VALUE"""),"S")</f>
        <v>S</v>
      </c>
      <c r="F6023" s="312" t="s">
        <v>39</v>
      </c>
      <c r="G6023" s="308"/>
      <c r="H6023" s="308" t="s">
        <v>38788</v>
      </c>
      <c r="I6023" s="314">
        <v>43055.0</v>
      </c>
      <c r="J6023" s="319">
        <f>IFERROR(__xludf.DUMMYFUNCTION("SPLIT(I6023,""/"")"),16.0)</f>
        <v>16</v>
      </c>
      <c r="K6023" s="308">
        <f>IFERROR(__xludf.DUMMYFUNCTION("""COMPUTED_VALUE"""),11.0)</f>
        <v>11</v>
      </c>
      <c r="L6023" s="308">
        <f>IFERROR(__xludf.DUMMYFUNCTION("""COMPUTED_VALUE"""),2017.0)</f>
        <v>2017</v>
      </c>
      <c r="M6023" s="308" t="s">
        <v>24092</v>
      </c>
      <c r="N6023" s="308"/>
      <c r="O6023" s="308"/>
      <c r="P6023" s="308" t="s">
        <v>38789</v>
      </c>
      <c r="Q6023" s="308" t="s">
        <v>38779</v>
      </c>
      <c r="R6023" s="308" t="s">
        <v>16447</v>
      </c>
      <c r="S6023" s="308" t="s">
        <v>81</v>
      </c>
      <c r="T6023" s="308" t="s">
        <v>75</v>
      </c>
      <c r="U6023" s="308" t="s">
        <v>166</v>
      </c>
      <c r="V6023" s="308"/>
    </row>
    <row r="6024">
      <c r="A6024" s="308">
        <v>6023.0</v>
      </c>
      <c r="B6024" s="308"/>
      <c r="C6024" s="308" t="s">
        <v>24094</v>
      </c>
      <c r="D6024" s="308">
        <f>IFERROR(__xludf.DUMMYFUNCTION("SPLIT(C6024,""-"")"),6044.0)</f>
        <v>6044</v>
      </c>
      <c r="E6024" s="308" t="str">
        <f>IFERROR(__xludf.DUMMYFUNCTION("""COMPUTED_VALUE"""),"S")</f>
        <v>S</v>
      </c>
      <c r="F6024" s="312" t="s">
        <v>39</v>
      </c>
      <c r="G6024" s="308"/>
      <c r="H6024" s="308" t="s">
        <v>24095</v>
      </c>
      <c r="I6024" s="310">
        <v>43271.0</v>
      </c>
      <c r="J6024" s="319">
        <f>IFERROR(__xludf.DUMMYFUNCTION("SPLIT(I6024,""/"")"),20.0)</f>
        <v>20</v>
      </c>
      <c r="K6024" s="308">
        <f>IFERROR(__xludf.DUMMYFUNCTION("""COMPUTED_VALUE"""),6.0)</f>
        <v>6</v>
      </c>
      <c r="L6024" s="308">
        <f>IFERROR(__xludf.DUMMYFUNCTION("""COMPUTED_VALUE"""),2018.0)</f>
        <v>2018</v>
      </c>
      <c r="M6024" s="308" t="s">
        <v>24096</v>
      </c>
      <c r="N6024" s="308"/>
      <c r="O6024" s="308"/>
      <c r="P6024" s="308" t="s">
        <v>38790</v>
      </c>
      <c r="Q6024" s="308" t="s">
        <v>38779</v>
      </c>
      <c r="R6024" s="308" t="s">
        <v>16447</v>
      </c>
      <c r="S6024" s="308" t="s">
        <v>81</v>
      </c>
      <c r="T6024" s="308" t="s">
        <v>75</v>
      </c>
      <c r="U6024" s="308" t="s">
        <v>166</v>
      </c>
      <c r="V6024" s="308"/>
    </row>
    <row r="6025">
      <c r="A6025" s="308">
        <v>6024.0</v>
      </c>
      <c r="B6025" s="308"/>
      <c r="C6025" s="308" t="s">
        <v>24098</v>
      </c>
      <c r="D6025" s="308">
        <f>IFERROR(__xludf.DUMMYFUNCTION("SPLIT(C6025,""-"")"),6045.0)</f>
        <v>6045</v>
      </c>
      <c r="E6025" s="308" t="str">
        <f>IFERROR(__xludf.DUMMYFUNCTION("""COMPUTED_VALUE"""),"S")</f>
        <v>S</v>
      </c>
      <c r="F6025" s="312" t="s">
        <v>39</v>
      </c>
      <c r="G6025" s="308"/>
      <c r="H6025" s="308" t="s">
        <v>24099</v>
      </c>
      <c r="I6025" s="310">
        <v>41974.0</v>
      </c>
      <c r="J6025" s="319">
        <f>IFERROR(__xludf.DUMMYFUNCTION("SPLIT(I6025,""/"")"),1.0)</f>
        <v>1</v>
      </c>
      <c r="K6025" s="308">
        <f>IFERROR(__xludf.DUMMYFUNCTION("""COMPUTED_VALUE"""),12.0)</f>
        <v>12</v>
      </c>
      <c r="L6025" s="308">
        <f>IFERROR(__xludf.DUMMYFUNCTION("""COMPUTED_VALUE"""),2014.0)</f>
        <v>2014</v>
      </c>
      <c r="M6025" s="308" t="s">
        <v>24100</v>
      </c>
      <c r="N6025" s="308"/>
      <c r="O6025" s="308"/>
      <c r="P6025" s="308" t="s">
        <v>38791</v>
      </c>
      <c r="Q6025" s="308" t="s">
        <v>38779</v>
      </c>
      <c r="R6025" s="308" t="s">
        <v>16447</v>
      </c>
      <c r="S6025" s="308" t="s">
        <v>81</v>
      </c>
      <c r="T6025" s="308" t="s">
        <v>73</v>
      </c>
      <c r="U6025" s="308" t="s">
        <v>166</v>
      </c>
      <c r="V6025" s="308"/>
    </row>
    <row r="6026">
      <c r="A6026" s="308">
        <v>6025.0</v>
      </c>
      <c r="B6026" s="308"/>
      <c r="C6026" s="308" t="s">
        <v>24102</v>
      </c>
      <c r="D6026" s="308">
        <f>IFERROR(__xludf.DUMMYFUNCTION("SPLIT(C6026,""-"")"),6046.0)</f>
        <v>6046</v>
      </c>
      <c r="E6026" s="308" t="str">
        <f>IFERROR(__xludf.DUMMYFUNCTION("""COMPUTED_VALUE"""),"S")</f>
        <v>S</v>
      </c>
      <c r="F6026" s="312" t="s">
        <v>39</v>
      </c>
      <c r="G6026" s="308"/>
      <c r="H6026" s="308" t="s">
        <v>24103</v>
      </c>
      <c r="I6026" s="314">
        <v>43384.0</v>
      </c>
      <c r="J6026" s="319">
        <f>IFERROR(__xludf.DUMMYFUNCTION("SPLIT(I6026,""/"")"),11.0)</f>
        <v>11</v>
      </c>
      <c r="K6026" s="308">
        <f>IFERROR(__xludf.DUMMYFUNCTION("""COMPUTED_VALUE"""),10.0)</f>
        <v>10</v>
      </c>
      <c r="L6026" s="308">
        <f>IFERROR(__xludf.DUMMYFUNCTION("""COMPUTED_VALUE"""),2018.0)</f>
        <v>2018</v>
      </c>
      <c r="M6026" s="308" t="s">
        <v>24104</v>
      </c>
      <c r="N6026" s="308"/>
      <c r="O6026" s="308"/>
      <c r="P6026" s="308" t="s">
        <v>38792</v>
      </c>
      <c r="Q6026" s="308" t="s">
        <v>38779</v>
      </c>
      <c r="R6026" s="308" t="s">
        <v>16447</v>
      </c>
      <c r="S6026" s="308" t="s">
        <v>81</v>
      </c>
      <c r="T6026" s="308" t="s">
        <v>75</v>
      </c>
      <c r="U6026" s="308" t="s">
        <v>166</v>
      </c>
      <c r="V6026" s="308"/>
    </row>
    <row r="6027">
      <c r="A6027" s="308">
        <v>6026.0</v>
      </c>
      <c r="B6027" s="308"/>
      <c r="C6027" s="308" t="s">
        <v>24106</v>
      </c>
      <c r="D6027" s="308">
        <f>IFERROR(__xludf.DUMMYFUNCTION("SPLIT(C6027,""-"")"),6047.0)</f>
        <v>6047</v>
      </c>
      <c r="E6027" s="308" t="str">
        <f>IFERROR(__xludf.DUMMYFUNCTION("""COMPUTED_VALUE"""),"S")</f>
        <v>S</v>
      </c>
      <c r="F6027" s="312" t="s">
        <v>39</v>
      </c>
      <c r="G6027" s="308"/>
      <c r="H6027" s="308" t="s">
        <v>24107</v>
      </c>
      <c r="I6027" s="310">
        <v>43206.0</v>
      </c>
      <c r="J6027" s="319">
        <f>IFERROR(__xludf.DUMMYFUNCTION("SPLIT(I6027,""/"")"),16.0)</f>
        <v>16</v>
      </c>
      <c r="K6027" s="308">
        <f>IFERROR(__xludf.DUMMYFUNCTION("""COMPUTED_VALUE"""),4.0)</f>
        <v>4</v>
      </c>
      <c r="L6027" s="308">
        <f>IFERROR(__xludf.DUMMYFUNCTION("""COMPUTED_VALUE"""),2018.0)</f>
        <v>2018</v>
      </c>
      <c r="M6027" s="308" t="s">
        <v>24108</v>
      </c>
      <c r="N6027" s="308"/>
      <c r="O6027" s="308"/>
      <c r="P6027" s="308" t="s">
        <v>24109</v>
      </c>
      <c r="Q6027" s="308" t="s">
        <v>38779</v>
      </c>
      <c r="R6027" s="308" t="s">
        <v>16447</v>
      </c>
      <c r="S6027" s="308" t="s">
        <v>49</v>
      </c>
      <c r="T6027" s="311" t="s">
        <v>51</v>
      </c>
      <c r="U6027" s="308" t="s">
        <v>166</v>
      </c>
      <c r="V6027" s="308"/>
    </row>
    <row r="6028">
      <c r="A6028" s="308">
        <v>6027.0</v>
      </c>
      <c r="B6028" s="308"/>
      <c r="C6028" s="308" t="s">
        <v>24110</v>
      </c>
      <c r="D6028" s="308">
        <f>IFERROR(__xludf.DUMMYFUNCTION("SPLIT(C6028,""-"")"),6048.0)</f>
        <v>6048</v>
      </c>
      <c r="E6028" s="308" t="str">
        <f>IFERROR(__xludf.DUMMYFUNCTION("""COMPUTED_VALUE"""),"S")</f>
        <v>S</v>
      </c>
      <c r="F6028" s="312" t="s">
        <v>39</v>
      </c>
      <c r="G6028" s="308"/>
      <c r="H6028" s="308" t="s">
        <v>24111</v>
      </c>
      <c r="I6028" s="314">
        <v>43391.0</v>
      </c>
      <c r="J6028" s="319">
        <f>IFERROR(__xludf.DUMMYFUNCTION("SPLIT(I6028,""/"")"),18.0)</f>
        <v>18</v>
      </c>
      <c r="K6028" s="308">
        <f>IFERROR(__xludf.DUMMYFUNCTION("""COMPUTED_VALUE"""),10.0)</f>
        <v>10</v>
      </c>
      <c r="L6028" s="308">
        <f>IFERROR(__xludf.DUMMYFUNCTION("""COMPUTED_VALUE"""),2018.0)</f>
        <v>2018</v>
      </c>
      <c r="M6028" s="308" t="s">
        <v>24112</v>
      </c>
      <c r="N6028" s="308"/>
      <c r="O6028" s="308"/>
      <c r="P6028" s="308" t="s">
        <v>38793</v>
      </c>
      <c r="Q6028" s="308" t="s">
        <v>38779</v>
      </c>
      <c r="R6028" s="308" t="s">
        <v>16447</v>
      </c>
      <c r="S6028" s="308" t="s">
        <v>81</v>
      </c>
      <c r="T6028" s="308" t="s">
        <v>75</v>
      </c>
      <c r="U6028" s="308" t="s">
        <v>166</v>
      </c>
      <c r="V6028" s="308"/>
    </row>
    <row r="6029">
      <c r="A6029" s="308">
        <v>6028.0</v>
      </c>
      <c r="B6029" s="308"/>
      <c r="C6029" s="308" t="s">
        <v>24114</v>
      </c>
      <c r="D6029" s="308">
        <f>IFERROR(__xludf.DUMMYFUNCTION("SPLIT(C6029,""-"")"),6049.0)</f>
        <v>6049</v>
      </c>
      <c r="E6029" s="308" t="str">
        <f>IFERROR(__xludf.DUMMYFUNCTION("""COMPUTED_VALUE"""),"S")</f>
        <v>S</v>
      </c>
      <c r="F6029" s="312" t="s">
        <v>39</v>
      </c>
      <c r="G6029" s="308"/>
      <c r="H6029" s="308" t="s">
        <v>24115</v>
      </c>
      <c r="I6029" s="314">
        <v>43391.0</v>
      </c>
      <c r="J6029" s="319">
        <f>IFERROR(__xludf.DUMMYFUNCTION("SPLIT(I6029,""/"")"),18.0)</f>
        <v>18</v>
      </c>
      <c r="K6029" s="308">
        <f>IFERROR(__xludf.DUMMYFUNCTION("""COMPUTED_VALUE"""),10.0)</f>
        <v>10</v>
      </c>
      <c r="L6029" s="308">
        <f>IFERROR(__xludf.DUMMYFUNCTION("""COMPUTED_VALUE"""),2018.0)</f>
        <v>2018</v>
      </c>
      <c r="M6029" s="308" t="s">
        <v>24112</v>
      </c>
      <c r="N6029" s="308"/>
      <c r="O6029" s="308"/>
      <c r="P6029" s="308" t="s">
        <v>38794</v>
      </c>
      <c r="Q6029" s="308" t="s">
        <v>38779</v>
      </c>
      <c r="R6029" s="308" t="s">
        <v>16447</v>
      </c>
      <c r="S6029" s="308" t="s">
        <v>81</v>
      </c>
      <c r="T6029" s="308" t="s">
        <v>75</v>
      </c>
      <c r="U6029" s="308" t="s">
        <v>166</v>
      </c>
      <c r="V6029" s="308"/>
    </row>
    <row r="6030">
      <c r="A6030" s="308">
        <v>6029.0</v>
      </c>
      <c r="B6030" s="308"/>
      <c r="C6030" s="308" t="s">
        <v>24117</v>
      </c>
      <c r="D6030" s="308">
        <f>IFERROR(__xludf.DUMMYFUNCTION("SPLIT(C6030,""-"")"),6050.0)</f>
        <v>6050</v>
      </c>
      <c r="E6030" s="308" t="str">
        <f>IFERROR(__xludf.DUMMYFUNCTION("""COMPUTED_VALUE"""),"S")</f>
        <v>S</v>
      </c>
      <c r="F6030" s="312" t="s">
        <v>39</v>
      </c>
      <c r="G6030" s="308"/>
      <c r="H6030" s="308" t="s">
        <v>24118</v>
      </c>
      <c r="I6030" s="310">
        <v>43299.0</v>
      </c>
      <c r="J6030" s="319">
        <f>IFERROR(__xludf.DUMMYFUNCTION("SPLIT(I6030,""/"")"),18.0)</f>
        <v>18</v>
      </c>
      <c r="K6030" s="308">
        <f>IFERROR(__xludf.DUMMYFUNCTION("""COMPUTED_VALUE"""),7.0)</f>
        <v>7</v>
      </c>
      <c r="L6030" s="308">
        <f>IFERROR(__xludf.DUMMYFUNCTION("""COMPUTED_VALUE"""),2018.0)</f>
        <v>2018</v>
      </c>
      <c r="M6030" s="308" t="s">
        <v>24119</v>
      </c>
      <c r="N6030" s="308"/>
      <c r="O6030" s="308"/>
      <c r="P6030" s="308" t="s">
        <v>38795</v>
      </c>
      <c r="Q6030" s="308" t="s">
        <v>38779</v>
      </c>
      <c r="R6030" s="308" t="s">
        <v>16447</v>
      </c>
      <c r="S6030" s="308" t="s">
        <v>81</v>
      </c>
      <c r="T6030" s="311" t="s">
        <v>73</v>
      </c>
      <c r="U6030" s="308" t="s">
        <v>166</v>
      </c>
      <c r="V6030" s="308"/>
    </row>
    <row r="6031">
      <c r="A6031" s="308">
        <v>6030.0</v>
      </c>
      <c r="B6031" s="308"/>
      <c r="C6031" s="308" t="s">
        <v>24121</v>
      </c>
      <c r="D6031" s="308">
        <f>IFERROR(__xludf.DUMMYFUNCTION("SPLIT(C6031,""-"")"),6051.0)</f>
        <v>6051</v>
      </c>
      <c r="E6031" s="308" t="str">
        <f>IFERROR(__xludf.DUMMYFUNCTION("""COMPUTED_VALUE"""),"S")</f>
        <v>S</v>
      </c>
      <c r="F6031" s="312" t="s">
        <v>39</v>
      </c>
      <c r="G6031" s="308"/>
      <c r="H6031" s="308" t="s">
        <v>24122</v>
      </c>
      <c r="I6031" s="310">
        <v>43408.0</v>
      </c>
      <c r="J6031" s="319">
        <f>IFERROR(__xludf.DUMMYFUNCTION("SPLIT(I6031,""/"")"),4.0)</f>
        <v>4</v>
      </c>
      <c r="K6031" s="308">
        <f>IFERROR(__xludf.DUMMYFUNCTION("""COMPUTED_VALUE"""),11.0)</f>
        <v>11</v>
      </c>
      <c r="L6031" s="308">
        <f>IFERROR(__xludf.DUMMYFUNCTION("""COMPUTED_VALUE"""),2018.0)</f>
        <v>2018</v>
      </c>
      <c r="M6031" s="308" t="s">
        <v>24123</v>
      </c>
      <c r="N6031" s="308"/>
      <c r="O6031" s="308" t="s">
        <v>38796</v>
      </c>
      <c r="P6031" s="308" t="s">
        <v>24125</v>
      </c>
      <c r="Q6031" s="308" t="s">
        <v>38797</v>
      </c>
      <c r="R6031" s="308" t="s">
        <v>2743</v>
      </c>
      <c r="S6031" s="308" t="s">
        <v>81</v>
      </c>
      <c r="T6031" s="308" t="s">
        <v>75</v>
      </c>
      <c r="U6031" s="308" t="s">
        <v>166</v>
      </c>
      <c r="V6031" s="308" t="s">
        <v>38798</v>
      </c>
    </row>
    <row r="6032">
      <c r="A6032" s="308">
        <v>6031.0</v>
      </c>
      <c r="B6032" s="308"/>
      <c r="C6032" s="308" t="s">
        <v>24126</v>
      </c>
      <c r="D6032" s="308">
        <f>IFERROR(__xludf.DUMMYFUNCTION("SPLIT(C6032,""-"")"),6052.0)</f>
        <v>6052</v>
      </c>
      <c r="E6032" s="308" t="str">
        <f>IFERROR(__xludf.DUMMYFUNCTION("""COMPUTED_VALUE"""),"P")</f>
        <v>P</v>
      </c>
      <c r="F6032" s="312" t="s">
        <v>37</v>
      </c>
      <c r="G6032" s="308"/>
      <c r="H6032" s="308" t="s">
        <v>24127</v>
      </c>
      <c r="I6032" s="310">
        <v>43525.0</v>
      </c>
      <c r="J6032" s="319">
        <f>IFERROR(__xludf.DUMMYFUNCTION("SPLIT(I6032,""/"")"),1.0)</f>
        <v>1</v>
      </c>
      <c r="K6032" s="308">
        <f>IFERROR(__xludf.DUMMYFUNCTION("""COMPUTED_VALUE"""),3.0)</f>
        <v>3</v>
      </c>
      <c r="L6032" s="308">
        <f>IFERROR(__xludf.DUMMYFUNCTION("""COMPUTED_VALUE"""),2019.0)</f>
        <v>2019</v>
      </c>
      <c r="M6032" s="308" t="s">
        <v>24128</v>
      </c>
      <c r="N6032" s="308"/>
      <c r="O6032" s="308"/>
      <c r="P6032" s="308" t="s">
        <v>136</v>
      </c>
      <c r="Q6032" s="308" t="s">
        <v>38799</v>
      </c>
      <c r="R6032" s="308" t="s">
        <v>2743</v>
      </c>
      <c r="S6032" s="315" t="s">
        <v>100</v>
      </c>
      <c r="T6032" s="308" t="s">
        <v>34208</v>
      </c>
      <c r="U6032" s="308" t="s">
        <v>143</v>
      </c>
      <c r="V6032" s="308" t="s">
        <v>24129</v>
      </c>
    </row>
    <row r="6033">
      <c r="A6033" s="308">
        <v>6032.0</v>
      </c>
      <c r="B6033" s="308"/>
      <c r="C6033" s="308" t="s">
        <v>24130</v>
      </c>
      <c r="D6033" s="308">
        <f>IFERROR(__xludf.DUMMYFUNCTION("SPLIT(C6033,""-"")"),6053.0)</f>
        <v>6053</v>
      </c>
      <c r="E6033" s="308" t="str">
        <f>IFERROR(__xludf.DUMMYFUNCTION("""COMPUTED_VALUE"""),"K")</f>
        <v>K</v>
      </c>
      <c r="F6033" s="309" t="s">
        <v>34</v>
      </c>
      <c r="G6033" s="308"/>
      <c r="H6033" s="308" t="s">
        <v>24131</v>
      </c>
      <c r="I6033" s="310">
        <v>42581.0</v>
      </c>
      <c r="J6033" s="319">
        <f>IFERROR(__xludf.DUMMYFUNCTION("SPLIT(I6033,""/"")"),30.0)</f>
        <v>30</v>
      </c>
      <c r="K6033" s="308">
        <f>IFERROR(__xludf.DUMMYFUNCTION("""COMPUTED_VALUE"""),7.0)</f>
        <v>7</v>
      </c>
      <c r="L6033" s="308">
        <f>IFERROR(__xludf.DUMMYFUNCTION("""COMPUTED_VALUE"""),2016.0)</f>
        <v>2016</v>
      </c>
      <c r="M6033" s="308" t="s">
        <v>24132</v>
      </c>
      <c r="N6033" s="308"/>
      <c r="O6033" s="308"/>
      <c r="P6033" s="308" t="s">
        <v>136</v>
      </c>
      <c r="Q6033" s="308" t="s">
        <v>38799</v>
      </c>
      <c r="R6033" s="308" t="s">
        <v>2743</v>
      </c>
      <c r="S6033" s="315" t="s">
        <v>100</v>
      </c>
      <c r="T6033" s="308" t="s">
        <v>34208</v>
      </c>
      <c r="U6033" s="308" t="s">
        <v>125</v>
      </c>
      <c r="V6033" s="308"/>
    </row>
    <row r="6034">
      <c r="A6034" s="308">
        <v>6033.0</v>
      </c>
      <c r="B6034" s="308"/>
      <c r="C6034" s="308" t="s">
        <v>24133</v>
      </c>
      <c r="D6034" s="308">
        <f>IFERROR(__xludf.DUMMYFUNCTION("SPLIT(C6034,""-"")"),6054.0)</f>
        <v>6054</v>
      </c>
      <c r="E6034" s="308" t="str">
        <f>IFERROR(__xludf.DUMMYFUNCTION("""COMPUTED_VALUE"""),"K")</f>
        <v>K</v>
      </c>
      <c r="F6034" s="309" t="s">
        <v>34</v>
      </c>
      <c r="G6034" s="308"/>
      <c r="H6034" s="308" t="s">
        <v>24134</v>
      </c>
      <c r="I6034" s="310">
        <v>43524.0</v>
      </c>
      <c r="J6034" s="319">
        <f>IFERROR(__xludf.DUMMYFUNCTION("SPLIT(I6034,""/"")"),28.0)</f>
        <v>28</v>
      </c>
      <c r="K6034" s="308">
        <f>IFERROR(__xludf.DUMMYFUNCTION("""COMPUTED_VALUE"""),2.0)</f>
        <v>2</v>
      </c>
      <c r="L6034" s="308">
        <f>IFERROR(__xludf.DUMMYFUNCTION("""COMPUTED_VALUE"""),2019.0)</f>
        <v>2019</v>
      </c>
      <c r="M6034" s="308" t="s">
        <v>24135</v>
      </c>
      <c r="N6034" s="308"/>
      <c r="O6034" s="308"/>
      <c r="P6034" s="308" t="s">
        <v>38800</v>
      </c>
      <c r="Q6034" s="308" t="s">
        <v>38799</v>
      </c>
      <c r="R6034" s="308" t="s">
        <v>2743</v>
      </c>
      <c r="S6034" s="308" t="s">
        <v>81</v>
      </c>
      <c r="T6034" s="308" t="s">
        <v>75</v>
      </c>
      <c r="U6034" s="308" t="s">
        <v>125</v>
      </c>
      <c r="V6034" s="308"/>
    </row>
    <row r="6035">
      <c r="A6035" s="308">
        <v>6034.0</v>
      </c>
      <c r="B6035" s="308"/>
      <c r="C6035" s="308" t="s">
        <v>24137</v>
      </c>
      <c r="D6035" s="308">
        <f>IFERROR(__xludf.DUMMYFUNCTION("SPLIT(C6035,""-"")"),6055.0)</f>
        <v>6055</v>
      </c>
      <c r="E6035" s="308" t="str">
        <f>IFERROR(__xludf.DUMMYFUNCTION("""COMPUTED_VALUE"""),"K")</f>
        <v>K</v>
      </c>
      <c r="F6035" s="309" t="s">
        <v>34</v>
      </c>
      <c r="G6035" s="308"/>
      <c r="H6035" s="308" t="s">
        <v>24138</v>
      </c>
      <c r="I6035" s="310">
        <v>43577.0</v>
      </c>
      <c r="J6035" s="319">
        <f>IFERROR(__xludf.DUMMYFUNCTION("SPLIT(I6035,""/"")"),22.0)</f>
        <v>22</v>
      </c>
      <c r="K6035" s="308">
        <f>IFERROR(__xludf.DUMMYFUNCTION("""COMPUTED_VALUE"""),4.0)</f>
        <v>4</v>
      </c>
      <c r="L6035" s="308">
        <f>IFERROR(__xludf.DUMMYFUNCTION("""COMPUTED_VALUE"""),2019.0)</f>
        <v>2019</v>
      </c>
      <c r="M6035" s="308" t="s">
        <v>24139</v>
      </c>
      <c r="N6035" s="308"/>
      <c r="O6035" s="308"/>
      <c r="P6035" s="308" t="s">
        <v>38801</v>
      </c>
      <c r="Q6035" s="308" t="s">
        <v>38802</v>
      </c>
      <c r="R6035" s="308" t="s">
        <v>2743</v>
      </c>
      <c r="S6035" s="308" t="s">
        <v>81</v>
      </c>
      <c r="T6035" s="311" t="s">
        <v>73</v>
      </c>
      <c r="U6035" s="308" t="s">
        <v>125</v>
      </c>
      <c r="V6035" s="308"/>
    </row>
    <row r="6036">
      <c r="A6036" s="308">
        <v>6035.0</v>
      </c>
      <c r="B6036" s="308"/>
      <c r="C6036" s="308" t="s">
        <v>24141</v>
      </c>
      <c r="D6036" s="308">
        <f>IFERROR(__xludf.DUMMYFUNCTION("SPLIT(C6036,""-"")"),6056.0)</f>
        <v>6056</v>
      </c>
      <c r="E6036" s="308" t="str">
        <f>IFERROR(__xludf.DUMMYFUNCTION("""COMPUTED_VALUE"""),"K")</f>
        <v>K</v>
      </c>
      <c r="F6036" s="309" t="s">
        <v>34</v>
      </c>
      <c r="G6036" s="308"/>
      <c r="H6036" s="308" t="s">
        <v>24142</v>
      </c>
      <c r="I6036" s="310">
        <v>41980.0</v>
      </c>
      <c r="J6036" s="319">
        <f>IFERROR(__xludf.DUMMYFUNCTION("SPLIT(I6036,""/"")"),7.0)</f>
        <v>7</v>
      </c>
      <c r="K6036" s="308">
        <f>IFERROR(__xludf.DUMMYFUNCTION("""COMPUTED_VALUE"""),12.0)</f>
        <v>12</v>
      </c>
      <c r="L6036" s="308">
        <f>IFERROR(__xludf.DUMMYFUNCTION("""COMPUTED_VALUE"""),2014.0)</f>
        <v>2014</v>
      </c>
      <c r="M6036" s="308" t="s">
        <v>24143</v>
      </c>
      <c r="N6036" s="308"/>
      <c r="O6036" s="308"/>
      <c r="P6036" s="308" t="s">
        <v>136</v>
      </c>
      <c r="Q6036" s="308" t="s">
        <v>38802</v>
      </c>
      <c r="R6036" s="308" t="s">
        <v>2743</v>
      </c>
      <c r="S6036" s="315" t="s">
        <v>100</v>
      </c>
      <c r="T6036" s="308" t="s">
        <v>34208</v>
      </c>
      <c r="U6036" s="308" t="s">
        <v>941</v>
      </c>
      <c r="V6036" s="308"/>
    </row>
    <row r="6037">
      <c r="A6037" s="308">
        <v>6036.0</v>
      </c>
      <c r="B6037" s="308"/>
      <c r="C6037" s="308" t="s">
        <v>24144</v>
      </c>
      <c r="D6037" s="308">
        <f>IFERROR(__xludf.DUMMYFUNCTION("SPLIT(C6037,""-"")"),6057.0)</f>
        <v>6057</v>
      </c>
      <c r="E6037" s="308" t="str">
        <f>IFERROR(__xludf.DUMMYFUNCTION("""COMPUTED_VALUE"""),"B")</f>
        <v>B</v>
      </c>
      <c r="F6037" s="315" t="s">
        <v>26</v>
      </c>
      <c r="G6037" s="308"/>
      <c r="H6037" s="308" t="s">
        <v>24145</v>
      </c>
      <c r="I6037" s="310">
        <v>43509.0</v>
      </c>
      <c r="J6037" s="319">
        <f>IFERROR(__xludf.DUMMYFUNCTION("SPLIT(I6037,""/"")"),13.0)</f>
        <v>13</v>
      </c>
      <c r="K6037" s="308">
        <f>IFERROR(__xludf.DUMMYFUNCTION("""COMPUTED_VALUE"""),2.0)</f>
        <v>2</v>
      </c>
      <c r="L6037" s="308">
        <f>IFERROR(__xludf.DUMMYFUNCTION("""COMPUTED_VALUE"""),2019.0)</f>
        <v>2019</v>
      </c>
      <c r="M6037" s="308" t="s">
        <v>18386</v>
      </c>
      <c r="N6037" s="308"/>
      <c r="O6037" s="308" t="s">
        <v>24146</v>
      </c>
      <c r="P6037" s="308" t="s">
        <v>38803</v>
      </c>
      <c r="Q6037" s="308" t="s">
        <v>38802</v>
      </c>
      <c r="R6037" s="308" t="s">
        <v>14256</v>
      </c>
      <c r="S6037" s="308" t="s">
        <v>81</v>
      </c>
      <c r="T6037" s="311" t="s">
        <v>96</v>
      </c>
      <c r="U6037" s="308" t="s">
        <v>27</v>
      </c>
      <c r="V6037" s="308"/>
    </row>
    <row r="6038">
      <c r="A6038" s="308">
        <v>6037.0</v>
      </c>
      <c r="B6038" s="308"/>
      <c r="C6038" s="308" t="s">
        <v>24148</v>
      </c>
      <c r="D6038" s="308">
        <f>IFERROR(__xludf.DUMMYFUNCTION("SPLIT(C6038,""-"")"),6058.0)</f>
        <v>6058</v>
      </c>
      <c r="E6038" s="308" t="str">
        <f>IFERROR(__xludf.DUMMYFUNCTION("""COMPUTED_VALUE"""),"B")</f>
        <v>B</v>
      </c>
      <c r="F6038" s="315" t="s">
        <v>26</v>
      </c>
      <c r="G6038" s="308"/>
      <c r="H6038" s="308" t="s">
        <v>24149</v>
      </c>
      <c r="I6038" s="310">
        <v>42869.0</v>
      </c>
      <c r="J6038" s="319">
        <f>IFERROR(__xludf.DUMMYFUNCTION("SPLIT(I6038,""/"")"),14.0)</f>
        <v>14</v>
      </c>
      <c r="K6038" s="308">
        <f>IFERROR(__xludf.DUMMYFUNCTION("""COMPUTED_VALUE"""),5.0)</f>
        <v>5</v>
      </c>
      <c r="L6038" s="308">
        <f>IFERROR(__xludf.DUMMYFUNCTION("""COMPUTED_VALUE"""),2017.0)</f>
        <v>2017</v>
      </c>
      <c r="M6038" s="308" t="s">
        <v>24150</v>
      </c>
      <c r="N6038" s="308"/>
      <c r="O6038" s="308"/>
      <c r="P6038" s="308" t="s">
        <v>38804</v>
      </c>
      <c r="Q6038" s="308" t="s">
        <v>38802</v>
      </c>
      <c r="R6038" s="308" t="s">
        <v>20958</v>
      </c>
      <c r="S6038" s="308" t="s">
        <v>49</v>
      </c>
      <c r="T6038" s="311" t="s">
        <v>51</v>
      </c>
      <c r="U6038" s="308" t="s">
        <v>27</v>
      </c>
      <c r="V6038" s="308"/>
    </row>
    <row r="6039">
      <c r="A6039" s="308">
        <v>6038.0</v>
      </c>
      <c r="B6039" s="308"/>
      <c r="C6039" s="308" t="s">
        <v>24152</v>
      </c>
      <c r="D6039" s="308">
        <f>IFERROR(__xludf.DUMMYFUNCTION("SPLIT(C6039,""-"")"),6059.0)</f>
        <v>6059</v>
      </c>
      <c r="E6039" s="308" t="str">
        <f>IFERROR(__xludf.DUMMYFUNCTION("""COMPUTED_VALUE"""),"S")</f>
        <v>S</v>
      </c>
      <c r="F6039" s="312" t="s">
        <v>39</v>
      </c>
      <c r="G6039" s="308"/>
      <c r="H6039" s="308" t="s">
        <v>24153</v>
      </c>
      <c r="I6039" s="310">
        <v>43043.0</v>
      </c>
      <c r="J6039" s="319">
        <f>IFERROR(__xludf.DUMMYFUNCTION("SPLIT(I6039,""/"")"),4.0)</f>
        <v>4</v>
      </c>
      <c r="K6039" s="308">
        <f>IFERROR(__xludf.DUMMYFUNCTION("""COMPUTED_VALUE"""),11.0)</f>
        <v>11</v>
      </c>
      <c r="L6039" s="308">
        <f>IFERROR(__xludf.DUMMYFUNCTION("""COMPUTED_VALUE"""),2017.0)</f>
        <v>2017</v>
      </c>
      <c r="M6039" s="308" t="s">
        <v>24154</v>
      </c>
      <c r="N6039" s="308"/>
      <c r="O6039" s="308"/>
      <c r="P6039" s="308" t="s">
        <v>24155</v>
      </c>
      <c r="Q6039" s="308" t="s">
        <v>38802</v>
      </c>
      <c r="R6039" s="308" t="s">
        <v>16447</v>
      </c>
      <c r="S6039" s="308" t="s">
        <v>81</v>
      </c>
      <c r="T6039" s="308" t="s">
        <v>73</v>
      </c>
      <c r="U6039" s="308" t="s">
        <v>166</v>
      </c>
      <c r="V6039" s="308"/>
    </row>
    <row r="6040">
      <c r="A6040" s="308">
        <v>6039.0</v>
      </c>
      <c r="B6040" s="308"/>
      <c r="C6040" s="308" t="s">
        <v>24156</v>
      </c>
      <c r="D6040" s="308">
        <f>IFERROR(__xludf.DUMMYFUNCTION("SPLIT(C6040,""-"")"),6060.0)</f>
        <v>6060</v>
      </c>
      <c r="E6040" s="308" t="str">
        <f>IFERROR(__xludf.DUMMYFUNCTION("""COMPUTED_VALUE"""),"B")</f>
        <v>B</v>
      </c>
      <c r="F6040" s="315" t="s">
        <v>26</v>
      </c>
      <c r="G6040" s="308"/>
      <c r="H6040" s="308" t="s">
        <v>24157</v>
      </c>
      <c r="I6040" s="310">
        <v>42483.0</v>
      </c>
      <c r="J6040" s="319">
        <f>IFERROR(__xludf.DUMMYFUNCTION("SPLIT(I6040,""/"")"),23.0)</f>
        <v>23</v>
      </c>
      <c r="K6040" s="308">
        <f>IFERROR(__xludf.DUMMYFUNCTION("""COMPUTED_VALUE"""),4.0)</f>
        <v>4</v>
      </c>
      <c r="L6040" s="308">
        <f>IFERROR(__xludf.DUMMYFUNCTION("""COMPUTED_VALUE"""),2016.0)</f>
        <v>2016</v>
      </c>
      <c r="M6040" s="308" t="s">
        <v>24158</v>
      </c>
      <c r="N6040" s="308"/>
      <c r="O6040" s="308"/>
      <c r="P6040" s="308" t="s">
        <v>24159</v>
      </c>
      <c r="Q6040" s="308" t="s">
        <v>38802</v>
      </c>
      <c r="R6040" s="308" t="s">
        <v>20958</v>
      </c>
      <c r="S6040" s="308" t="s">
        <v>81</v>
      </c>
      <c r="T6040" s="311" t="s">
        <v>96</v>
      </c>
      <c r="U6040" s="308" t="s">
        <v>27</v>
      </c>
      <c r="V6040" s="308"/>
    </row>
    <row r="6041">
      <c r="A6041" s="308">
        <v>6040.0</v>
      </c>
      <c r="B6041" s="308"/>
      <c r="C6041" s="308" t="s">
        <v>24160</v>
      </c>
      <c r="D6041" s="308">
        <f>IFERROR(__xludf.DUMMYFUNCTION("SPLIT(C6041,""-"")"),6061.0)</f>
        <v>6061</v>
      </c>
      <c r="E6041" s="308" t="str">
        <f>IFERROR(__xludf.DUMMYFUNCTION("""COMPUTED_VALUE"""),"B")</f>
        <v>B</v>
      </c>
      <c r="F6041" s="315" t="s">
        <v>26</v>
      </c>
      <c r="G6041" s="308"/>
      <c r="H6041" s="308" t="s">
        <v>24161</v>
      </c>
      <c r="I6041" s="310">
        <v>43234.0</v>
      </c>
      <c r="J6041" s="319">
        <f>IFERROR(__xludf.DUMMYFUNCTION("SPLIT(I6041,""/"")"),14.0)</f>
        <v>14</v>
      </c>
      <c r="K6041" s="308">
        <f>IFERROR(__xludf.DUMMYFUNCTION("""COMPUTED_VALUE"""),5.0)</f>
        <v>5</v>
      </c>
      <c r="L6041" s="308">
        <f>IFERROR(__xludf.DUMMYFUNCTION("""COMPUTED_VALUE"""),2018.0)</f>
        <v>2018</v>
      </c>
      <c r="M6041" s="308" t="s">
        <v>24162</v>
      </c>
      <c r="N6041" s="308"/>
      <c r="O6041" s="308"/>
      <c r="P6041" s="308" t="s">
        <v>38805</v>
      </c>
      <c r="Q6041" s="308" t="s">
        <v>38802</v>
      </c>
      <c r="R6041" s="308" t="s">
        <v>20958</v>
      </c>
      <c r="S6041" s="308" t="s">
        <v>81</v>
      </c>
      <c r="T6041" s="308" t="s">
        <v>73</v>
      </c>
      <c r="U6041" s="308" t="s">
        <v>27</v>
      </c>
      <c r="V6041" s="308"/>
    </row>
    <row r="6042">
      <c r="A6042" s="308">
        <v>6041.0</v>
      </c>
      <c r="B6042" s="308"/>
      <c r="C6042" s="308" t="s">
        <v>24164</v>
      </c>
      <c r="D6042" s="308">
        <f>IFERROR(__xludf.DUMMYFUNCTION("SPLIT(C6042,""-"")"),6062.0)</f>
        <v>6062</v>
      </c>
      <c r="E6042" s="308" t="str">
        <f>IFERROR(__xludf.DUMMYFUNCTION("""COMPUTED_VALUE"""),"B")</f>
        <v>B</v>
      </c>
      <c r="F6042" s="315" t="s">
        <v>26</v>
      </c>
      <c r="G6042" s="308"/>
      <c r="H6042" s="312" t="s">
        <v>24165</v>
      </c>
      <c r="I6042" s="314">
        <v>41985.0</v>
      </c>
      <c r="J6042" s="319">
        <f>IFERROR(__xludf.DUMMYFUNCTION("SPLIT(I6042,""/"")"),12.0)</f>
        <v>12</v>
      </c>
      <c r="K6042" s="312">
        <f>IFERROR(__xludf.DUMMYFUNCTION("""COMPUTED_VALUE"""),12.0)</f>
        <v>12</v>
      </c>
      <c r="L6042" s="312">
        <f>IFERROR(__xludf.DUMMYFUNCTION("""COMPUTED_VALUE"""),2014.0)</f>
        <v>2014</v>
      </c>
      <c r="M6042" s="312" t="s">
        <v>24166</v>
      </c>
      <c r="N6042" s="308"/>
      <c r="O6042" s="308" t="s">
        <v>24167</v>
      </c>
      <c r="P6042" s="308" t="s">
        <v>34322</v>
      </c>
      <c r="Q6042" s="308" t="s">
        <v>38802</v>
      </c>
      <c r="R6042" s="308" t="s">
        <v>20958</v>
      </c>
      <c r="S6042" s="308" t="s">
        <v>79</v>
      </c>
      <c r="T6042" s="308" t="s">
        <v>79</v>
      </c>
      <c r="U6042" s="308" t="s">
        <v>27</v>
      </c>
      <c r="V6042" s="308"/>
    </row>
    <row r="6043">
      <c r="A6043" s="308">
        <v>6042.0</v>
      </c>
      <c r="B6043" s="308"/>
      <c r="C6043" s="312" t="s">
        <v>24168</v>
      </c>
      <c r="D6043" s="308">
        <f>IFERROR(__xludf.DUMMYFUNCTION("SPLIT(C6043,""-"")"),6063.0)</f>
        <v>6063</v>
      </c>
      <c r="E6043" s="312" t="str">
        <f>IFERROR(__xludf.DUMMYFUNCTION("""COMPUTED_VALUE"""),"B")</f>
        <v>B</v>
      </c>
      <c r="F6043" s="315" t="s">
        <v>26</v>
      </c>
      <c r="G6043" s="312"/>
      <c r="H6043" s="312" t="s">
        <v>24169</v>
      </c>
      <c r="I6043" s="314">
        <v>42338.0</v>
      </c>
      <c r="J6043" s="319">
        <f>IFERROR(__xludf.DUMMYFUNCTION("SPLIT(I6043,""/"")"),30.0)</f>
        <v>30</v>
      </c>
      <c r="K6043" s="312">
        <f>IFERROR(__xludf.DUMMYFUNCTION("""COMPUTED_VALUE"""),11.0)</f>
        <v>11</v>
      </c>
      <c r="L6043" s="312">
        <f>IFERROR(__xludf.DUMMYFUNCTION("""COMPUTED_VALUE"""),2015.0)</f>
        <v>2015</v>
      </c>
      <c r="M6043" s="312" t="s">
        <v>24170</v>
      </c>
      <c r="N6043" s="308"/>
      <c r="O6043" s="308"/>
      <c r="P6043" s="308" t="s">
        <v>38806</v>
      </c>
      <c r="Q6043" s="308" t="s">
        <v>38802</v>
      </c>
      <c r="R6043" s="308" t="s">
        <v>20958</v>
      </c>
      <c r="S6043" s="308" t="s">
        <v>49</v>
      </c>
      <c r="T6043" s="308" t="s">
        <v>51</v>
      </c>
      <c r="U6043" s="308" t="s">
        <v>27</v>
      </c>
      <c r="V6043" s="308"/>
    </row>
    <row r="6044">
      <c r="A6044" s="308">
        <v>6043.0</v>
      </c>
      <c r="B6044" s="308"/>
      <c r="C6044" s="308" t="s">
        <v>24172</v>
      </c>
      <c r="D6044" s="308">
        <f>IFERROR(__xludf.DUMMYFUNCTION("SPLIT(C6044,""-"")"),6064.0)</f>
        <v>6064</v>
      </c>
      <c r="E6044" s="308" t="str">
        <f>IFERROR(__xludf.DUMMYFUNCTION("""COMPUTED_VALUE"""),"K")</f>
        <v>K</v>
      </c>
      <c r="F6044" s="309" t="s">
        <v>34</v>
      </c>
      <c r="G6044" s="308"/>
      <c r="H6044" s="308" t="s">
        <v>24173</v>
      </c>
      <c r="I6044" s="310">
        <v>43133.0</v>
      </c>
      <c r="J6044" s="319">
        <f>IFERROR(__xludf.DUMMYFUNCTION("SPLIT(I6044,""/"")"),2.0)</f>
        <v>2</v>
      </c>
      <c r="K6044" s="308">
        <f>IFERROR(__xludf.DUMMYFUNCTION("""COMPUTED_VALUE"""),2.0)</f>
        <v>2</v>
      </c>
      <c r="L6044" s="308">
        <f>IFERROR(__xludf.DUMMYFUNCTION("""COMPUTED_VALUE"""),2018.0)</f>
        <v>2018</v>
      </c>
      <c r="M6044" s="308" t="s">
        <v>24174</v>
      </c>
      <c r="N6044" s="308"/>
      <c r="O6044" s="308"/>
      <c r="P6044" s="308" t="s">
        <v>24175</v>
      </c>
      <c r="Q6044" s="308" t="s">
        <v>38802</v>
      </c>
      <c r="R6044" s="308" t="s">
        <v>2743</v>
      </c>
      <c r="S6044" s="308" t="s">
        <v>81</v>
      </c>
      <c r="T6044" s="308" t="s">
        <v>34264</v>
      </c>
      <c r="U6044" s="308" t="s">
        <v>125</v>
      </c>
      <c r="V6044" s="308"/>
    </row>
    <row r="6045">
      <c r="A6045" s="308">
        <v>6044.0</v>
      </c>
      <c r="B6045" s="308"/>
      <c r="C6045" s="308" t="s">
        <v>24176</v>
      </c>
      <c r="D6045" s="308">
        <f>IFERROR(__xludf.DUMMYFUNCTION("SPLIT(C6045,""-"")"),6065.0)</f>
        <v>6065</v>
      </c>
      <c r="E6045" s="308" t="str">
        <f>IFERROR(__xludf.DUMMYFUNCTION("""COMPUTED_VALUE"""),"K")</f>
        <v>K</v>
      </c>
      <c r="F6045" s="309" t="s">
        <v>34</v>
      </c>
      <c r="G6045" s="308"/>
      <c r="H6045" s="308" t="s">
        <v>24177</v>
      </c>
      <c r="I6045" s="310">
        <v>40057.0</v>
      </c>
      <c r="J6045" s="319">
        <f>IFERROR(__xludf.DUMMYFUNCTION("SPLIT(I6045,""/"")"),1.0)</f>
        <v>1</v>
      </c>
      <c r="K6045" s="308">
        <f>IFERROR(__xludf.DUMMYFUNCTION("""COMPUTED_VALUE"""),9.0)</f>
        <v>9</v>
      </c>
      <c r="L6045" s="308">
        <f>IFERROR(__xludf.DUMMYFUNCTION("""COMPUTED_VALUE"""),2009.0)</f>
        <v>2009</v>
      </c>
      <c r="M6045" s="308" t="s">
        <v>24178</v>
      </c>
      <c r="N6045" s="308"/>
      <c r="O6045" s="308"/>
      <c r="P6045" s="308" t="s">
        <v>136</v>
      </c>
      <c r="Q6045" s="308" t="s">
        <v>38807</v>
      </c>
      <c r="R6045" s="308" t="s">
        <v>2743</v>
      </c>
      <c r="S6045" s="315" t="s">
        <v>100</v>
      </c>
      <c r="T6045" s="308" t="s">
        <v>34208</v>
      </c>
      <c r="U6045" s="308" t="s">
        <v>530</v>
      </c>
      <c r="V6045" s="308"/>
    </row>
    <row r="6046">
      <c r="A6046" s="308">
        <v>6045.0</v>
      </c>
      <c r="B6046" s="308"/>
      <c r="C6046" s="308" t="s">
        <v>24179</v>
      </c>
      <c r="D6046" s="308">
        <f>IFERROR(__xludf.DUMMYFUNCTION("SPLIT(C6046,""-"")"),6066.0)</f>
        <v>6066</v>
      </c>
      <c r="E6046" s="308" t="str">
        <f>IFERROR(__xludf.DUMMYFUNCTION("""COMPUTED_VALUE"""),"S")</f>
        <v>S</v>
      </c>
      <c r="F6046" s="312" t="s">
        <v>39</v>
      </c>
      <c r="G6046" s="308"/>
      <c r="H6046" s="308" t="s">
        <v>24180</v>
      </c>
      <c r="I6046" s="314">
        <v>42520.0</v>
      </c>
      <c r="J6046" s="319">
        <f>IFERROR(__xludf.DUMMYFUNCTION("SPLIT(I6046,""/"")"),30.0)</f>
        <v>30</v>
      </c>
      <c r="K6046" s="308">
        <f>IFERROR(__xludf.DUMMYFUNCTION("""COMPUTED_VALUE"""),5.0)</f>
        <v>5</v>
      </c>
      <c r="L6046" s="308">
        <f>IFERROR(__xludf.DUMMYFUNCTION("""COMPUTED_VALUE"""),2016.0)</f>
        <v>2016</v>
      </c>
      <c r="M6046" s="308" t="s">
        <v>24181</v>
      </c>
      <c r="N6046" s="308"/>
      <c r="O6046" s="308"/>
      <c r="P6046" s="308" t="s">
        <v>38808</v>
      </c>
      <c r="Q6046" s="308" t="s">
        <v>38807</v>
      </c>
      <c r="R6046" s="308" t="s">
        <v>14256</v>
      </c>
      <c r="S6046" s="308" t="s">
        <v>81</v>
      </c>
      <c r="T6046" s="308" t="s">
        <v>63</v>
      </c>
      <c r="U6046" s="308" t="s">
        <v>166</v>
      </c>
      <c r="V6046" s="308"/>
    </row>
    <row r="6047">
      <c r="A6047" s="308">
        <v>6046.0</v>
      </c>
      <c r="B6047" s="308"/>
      <c r="C6047" s="308" t="s">
        <v>24183</v>
      </c>
      <c r="D6047" s="308">
        <f>IFERROR(__xludf.DUMMYFUNCTION("SPLIT(C6047,""-"")"),6067.0)</f>
        <v>6067</v>
      </c>
      <c r="E6047" s="308" t="str">
        <f>IFERROR(__xludf.DUMMYFUNCTION("""COMPUTED_VALUE"""),"S")</f>
        <v>S</v>
      </c>
      <c r="F6047" s="312" t="s">
        <v>39</v>
      </c>
      <c r="G6047" s="308"/>
      <c r="H6047" s="308" t="s">
        <v>24184</v>
      </c>
      <c r="I6047" s="310">
        <v>42713.0</v>
      </c>
      <c r="J6047" s="319">
        <f>IFERROR(__xludf.DUMMYFUNCTION("SPLIT(I6047,""/"")"),9.0)</f>
        <v>9</v>
      </c>
      <c r="K6047" s="308">
        <f>IFERROR(__xludf.DUMMYFUNCTION("""COMPUTED_VALUE"""),12.0)</f>
        <v>12</v>
      </c>
      <c r="L6047" s="308">
        <f>IFERROR(__xludf.DUMMYFUNCTION("""COMPUTED_VALUE"""),2016.0)</f>
        <v>2016</v>
      </c>
      <c r="M6047" s="308" t="s">
        <v>24185</v>
      </c>
      <c r="N6047" s="308"/>
      <c r="O6047" s="308"/>
      <c r="P6047" s="308" t="s">
        <v>38809</v>
      </c>
      <c r="Q6047" s="308" t="s">
        <v>38807</v>
      </c>
      <c r="R6047" s="308" t="s">
        <v>2743</v>
      </c>
      <c r="S6047" s="308" t="s">
        <v>81</v>
      </c>
      <c r="T6047" s="308" t="s">
        <v>98</v>
      </c>
      <c r="U6047" s="308" t="s">
        <v>166</v>
      </c>
      <c r="V6047" s="308"/>
    </row>
    <row r="6048">
      <c r="A6048" s="308">
        <v>6047.0</v>
      </c>
      <c r="B6048" s="308"/>
      <c r="C6048" s="308" t="s">
        <v>24187</v>
      </c>
      <c r="D6048" s="308">
        <f>IFERROR(__xludf.DUMMYFUNCTION("SPLIT(C6048,""-"")"),6068.0)</f>
        <v>6068</v>
      </c>
      <c r="E6048" s="308" t="str">
        <f>IFERROR(__xludf.DUMMYFUNCTION("""COMPUTED_VALUE"""),"S")</f>
        <v>S</v>
      </c>
      <c r="F6048" s="312" t="s">
        <v>39</v>
      </c>
      <c r="G6048" s="308"/>
      <c r="H6048" s="308" t="s">
        <v>24188</v>
      </c>
      <c r="I6048" s="310">
        <v>42767.0</v>
      </c>
      <c r="J6048" s="319">
        <f>IFERROR(__xludf.DUMMYFUNCTION("SPLIT(I6048,""/"")"),1.0)</f>
        <v>1</v>
      </c>
      <c r="K6048" s="308">
        <f>IFERROR(__xludf.DUMMYFUNCTION("""COMPUTED_VALUE"""),2.0)</f>
        <v>2</v>
      </c>
      <c r="L6048" s="308">
        <f>IFERROR(__xludf.DUMMYFUNCTION("""COMPUTED_VALUE"""),2017.0)</f>
        <v>2017</v>
      </c>
      <c r="M6048" s="308" t="s">
        <v>24189</v>
      </c>
      <c r="N6048" s="308"/>
      <c r="O6048" s="308"/>
      <c r="P6048" s="308" t="s">
        <v>136</v>
      </c>
      <c r="Q6048" s="308" t="s">
        <v>38807</v>
      </c>
      <c r="R6048" s="308" t="s">
        <v>2743</v>
      </c>
      <c r="S6048" s="315" t="s">
        <v>100</v>
      </c>
      <c r="T6048" s="308" t="s">
        <v>34208</v>
      </c>
      <c r="U6048" s="308" t="s">
        <v>166</v>
      </c>
      <c r="V6048" s="308"/>
    </row>
    <row r="6049">
      <c r="A6049" s="308">
        <v>6048.0</v>
      </c>
      <c r="B6049" s="308"/>
      <c r="C6049" s="308" t="s">
        <v>24190</v>
      </c>
      <c r="D6049" s="308">
        <f>IFERROR(__xludf.DUMMYFUNCTION("SPLIT(C6049,""-"")"),6069.0)</f>
        <v>6069</v>
      </c>
      <c r="E6049" s="308" t="str">
        <f>IFERROR(__xludf.DUMMYFUNCTION("""COMPUTED_VALUE"""),"K")</f>
        <v>K</v>
      </c>
      <c r="F6049" s="309" t="s">
        <v>34</v>
      </c>
      <c r="G6049" s="308"/>
      <c r="H6049" s="308" t="s">
        <v>18090</v>
      </c>
      <c r="I6049" s="310">
        <v>40258.0</v>
      </c>
      <c r="J6049" s="319">
        <f>IFERROR(__xludf.DUMMYFUNCTION("SPLIT(I6049,""/"")"),21.0)</f>
        <v>21</v>
      </c>
      <c r="K6049" s="308">
        <f>IFERROR(__xludf.DUMMYFUNCTION("""COMPUTED_VALUE"""),3.0)</f>
        <v>3</v>
      </c>
      <c r="L6049" s="308">
        <f>IFERROR(__xludf.DUMMYFUNCTION("""COMPUTED_VALUE"""),2010.0)</f>
        <v>2010</v>
      </c>
      <c r="M6049" s="308" t="s">
        <v>24191</v>
      </c>
      <c r="N6049" s="308" t="s">
        <v>439</v>
      </c>
      <c r="O6049" s="308" t="s">
        <v>439</v>
      </c>
      <c r="P6049" s="308" t="s">
        <v>136</v>
      </c>
      <c r="Q6049" s="308" t="s">
        <v>38807</v>
      </c>
      <c r="R6049" s="308" t="s">
        <v>2743</v>
      </c>
      <c r="S6049" s="315" t="s">
        <v>100</v>
      </c>
      <c r="T6049" s="308" t="s">
        <v>34208</v>
      </c>
      <c r="U6049" s="308" t="s">
        <v>2152</v>
      </c>
      <c r="V6049" s="308"/>
    </row>
    <row r="6050">
      <c r="A6050" s="308">
        <v>6049.0</v>
      </c>
      <c r="B6050" s="308"/>
      <c r="C6050" s="308" t="s">
        <v>24192</v>
      </c>
      <c r="D6050" s="308">
        <f>IFERROR(__xludf.DUMMYFUNCTION("SPLIT(C6050,""-"")"),6070.0)</f>
        <v>6070</v>
      </c>
      <c r="E6050" s="308" t="str">
        <f>IFERROR(__xludf.DUMMYFUNCTION("""COMPUTED_VALUE"""),"K")</f>
        <v>K</v>
      </c>
      <c r="F6050" s="309" t="s">
        <v>34</v>
      </c>
      <c r="G6050" s="308"/>
      <c r="H6050" s="308" t="s">
        <v>24193</v>
      </c>
      <c r="I6050" s="310">
        <v>42941.0</v>
      </c>
      <c r="J6050" s="319" t="str">
        <f>IFERROR(__xludf.DUMMYFUNCTION("SPLIT(I6050,""/"")"),"#REF!")</f>
        <v>#REF!</v>
      </c>
      <c r="K6050" s="308"/>
      <c r="L6050" s="308">
        <v>2017.0</v>
      </c>
      <c r="M6050" s="308" t="s">
        <v>24194</v>
      </c>
      <c r="N6050" s="308"/>
      <c r="O6050" s="308"/>
      <c r="P6050" s="308" t="s">
        <v>136</v>
      </c>
      <c r="Q6050" s="308" t="s">
        <v>38807</v>
      </c>
      <c r="R6050" s="308" t="s">
        <v>2743</v>
      </c>
      <c r="S6050" s="315" t="s">
        <v>100</v>
      </c>
      <c r="T6050" s="308" t="s">
        <v>34208</v>
      </c>
      <c r="U6050" s="308" t="s">
        <v>125</v>
      </c>
      <c r="V6050" s="308"/>
    </row>
    <row r="6051">
      <c r="A6051" s="308">
        <v>6050.0</v>
      </c>
      <c r="B6051" s="308"/>
      <c r="C6051" s="308" t="s">
        <v>24195</v>
      </c>
      <c r="D6051" s="308">
        <f>IFERROR(__xludf.DUMMYFUNCTION("SPLIT(C6051,""-"")"),6071.0)</f>
        <v>6071</v>
      </c>
      <c r="E6051" s="308" t="str">
        <f>IFERROR(__xludf.DUMMYFUNCTION("""COMPUTED_VALUE"""),"K")</f>
        <v>K</v>
      </c>
      <c r="F6051" s="309" t="s">
        <v>34</v>
      </c>
      <c r="G6051" s="308"/>
      <c r="H6051" s="308" t="s">
        <v>24196</v>
      </c>
      <c r="I6051" s="310">
        <v>39995.0</v>
      </c>
      <c r="J6051" s="319">
        <f>IFERROR(__xludf.DUMMYFUNCTION("SPLIT(I6051,""/"")"),1.0)</f>
        <v>1</v>
      </c>
      <c r="K6051" s="308">
        <f>IFERROR(__xludf.DUMMYFUNCTION("""COMPUTED_VALUE"""),7.0)</f>
        <v>7</v>
      </c>
      <c r="L6051" s="308">
        <f>IFERROR(__xludf.DUMMYFUNCTION("""COMPUTED_VALUE"""),2009.0)</f>
        <v>2009</v>
      </c>
      <c r="M6051" s="308" t="s">
        <v>38810</v>
      </c>
      <c r="N6051" s="308"/>
      <c r="O6051" s="308"/>
      <c r="P6051" s="308" t="s">
        <v>136</v>
      </c>
      <c r="Q6051" s="308" t="s">
        <v>38807</v>
      </c>
      <c r="R6051" s="308" t="s">
        <v>2743</v>
      </c>
      <c r="S6051" s="315" t="s">
        <v>100</v>
      </c>
      <c r="T6051" s="308" t="s">
        <v>34208</v>
      </c>
      <c r="U6051" s="308" t="s">
        <v>530</v>
      </c>
      <c r="V6051" s="308"/>
    </row>
    <row r="6052">
      <c r="A6052" s="308">
        <v>6051.0</v>
      </c>
      <c r="B6052" s="308"/>
      <c r="C6052" s="308" t="s">
        <v>24198</v>
      </c>
      <c r="D6052" s="308">
        <f>IFERROR(__xludf.DUMMYFUNCTION("SPLIT(C6052,""-"")"),6072.0)</f>
        <v>6072</v>
      </c>
      <c r="E6052" s="308" t="str">
        <f>IFERROR(__xludf.DUMMYFUNCTION("""COMPUTED_VALUE"""),"S")</f>
        <v>S</v>
      </c>
      <c r="F6052" s="312" t="s">
        <v>39</v>
      </c>
      <c r="G6052" s="308"/>
      <c r="H6052" s="308" t="s">
        <v>38811</v>
      </c>
      <c r="I6052" s="310">
        <v>40554.0</v>
      </c>
      <c r="J6052" s="319">
        <f>IFERROR(__xludf.DUMMYFUNCTION("SPLIT(I6052,""/"")"),11.0)</f>
        <v>11</v>
      </c>
      <c r="K6052" s="308">
        <f>IFERROR(__xludf.DUMMYFUNCTION("""COMPUTED_VALUE"""),1.0)</f>
        <v>1</v>
      </c>
      <c r="L6052" s="308">
        <f>IFERROR(__xludf.DUMMYFUNCTION("""COMPUTED_VALUE"""),2011.0)</f>
        <v>2011</v>
      </c>
      <c r="M6052" s="308" t="s">
        <v>24200</v>
      </c>
      <c r="N6052" s="308"/>
      <c r="O6052" s="308"/>
      <c r="P6052" s="308" t="s">
        <v>136</v>
      </c>
      <c r="Q6052" s="308" t="s">
        <v>38807</v>
      </c>
      <c r="R6052" s="308" t="s">
        <v>24201</v>
      </c>
      <c r="S6052" s="315" t="s">
        <v>100</v>
      </c>
      <c r="T6052" s="308" t="s">
        <v>34208</v>
      </c>
      <c r="U6052" s="308" t="s">
        <v>166</v>
      </c>
      <c r="V6052" s="308"/>
    </row>
    <row r="6053">
      <c r="A6053" s="308">
        <v>6052.0</v>
      </c>
      <c r="B6053" s="308"/>
      <c r="C6053" s="308" t="s">
        <v>38812</v>
      </c>
      <c r="D6053" s="308">
        <f>IFERROR(__xludf.DUMMYFUNCTION("SPLIT(C6053,""-"")"),6073.0)</f>
        <v>6073</v>
      </c>
      <c r="E6053" s="308" t="str">
        <f>IFERROR(__xludf.DUMMYFUNCTION("""COMPUTED_VALUE"""),"K ")</f>
        <v>K </v>
      </c>
      <c r="F6053" s="309" t="s">
        <v>34</v>
      </c>
      <c r="G6053" s="308"/>
      <c r="H6053" s="308" t="s">
        <v>24203</v>
      </c>
      <c r="I6053" s="314">
        <v>41225.0</v>
      </c>
      <c r="J6053" s="319">
        <f>IFERROR(__xludf.DUMMYFUNCTION("SPLIT(I6053,""/"")"),12.0)</f>
        <v>12</v>
      </c>
      <c r="K6053" s="308">
        <f>IFERROR(__xludf.DUMMYFUNCTION("""COMPUTED_VALUE"""),11.0)</f>
        <v>11</v>
      </c>
      <c r="L6053" s="308">
        <f>IFERROR(__xludf.DUMMYFUNCTION("""COMPUTED_VALUE"""),2012.0)</f>
        <v>2012</v>
      </c>
      <c r="M6053" s="308" t="s">
        <v>24204</v>
      </c>
      <c r="N6053" s="308"/>
      <c r="O6053" s="308"/>
      <c r="P6053" s="308" t="s">
        <v>136</v>
      </c>
      <c r="Q6053" s="308" t="s">
        <v>38807</v>
      </c>
      <c r="R6053" s="308" t="s">
        <v>2743</v>
      </c>
      <c r="S6053" s="315" t="s">
        <v>100</v>
      </c>
      <c r="T6053" s="308" t="s">
        <v>34208</v>
      </c>
      <c r="U6053" s="308" t="s">
        <v>125</v>
      </c>
      <c r="V6053" s="308"/>
    </row>
    <row r="6054">
      <c r="A6054" s="308">
        <v>6053.0</v>
      </c>
      <c r="B6054" s="308"/>
      <c r="C6054" s="308" t="s">
        <v>24205</v>
      </c>
      <c r="D6054" s="308">
        <f>IFERROR(__xludf.DUMMYFUNCTION("SPLIT(C6054,""-"")"),6074.0)</f>
        <v>6074</v>
      </c>
      <c r="E6054" s="308" t="str">
        <f>IFERROR(__xludf.DUMMYFUNCTION("""COMPUTED_VALUE"""),"K")</f>
        <v>K</v>
      </c>
      <c r="F6054" s="309" t="s">
        <v>34</v>
      </c>
      <c r="G6054" s="308"/>
      <c r="H6054" s="308" t="s">
        <v>24206</v>
      </c>
      <c r="I6054" s="310">
        <v>43285.0</v>
      </c>
      <c r="J6054" s="319">
        <f>IFERROR(__xludf.DUMMYFUNCTION("SPLIT(I6054,""/"")"),4.0)</f>
        <v>4</v>
      </c>
      <c r="K6054" s="308">
        <f>IFERROR(__xludf.DUMMYFUNCTION("""COMPUTED_VALUE"""),7.0)</f>
        <v>7</v>
      </c>
      <c r="L6054" s="308">
        <f>IFERROR(__xludf.DUMMYFUNCTION("""COMPUTED_VALUE"""),2018.0)</f>
        <v>2018</v>
      </c>
      <c r="M6054" s="308" t="s">
        <v>24207</v>
      </c>
      <c r="N6054" s="308"/>
      <c r="O6054" s="308"/>
      <c r="P6054" s="308" t="s">
        <v>38813</v>
      </c>
      <c r="Q6054" s="308" t="s">
        <v>38807</v>
      </c>
      <c r="R6054" s="308" t="s">
        <v>2743</v>
      </c>
      <c r="S6054" s="308" t="s">
        <v>81</v>
      </c>
      <c r="T6054" s="308" t="s">
        <v>34264</v>
      </c>
      <c r="U6054" s="308" t="s">
        <v>1516</v>
      </c>
      <c r="V6054" s="308"/>
    </row>
    <row r="6055">
      <c r="A6055" s="308">
        <v>6054.0</v>
      </c>
      <c r="B6055" s="308"/>
      <c r="C6055" s="308" t="s">
        <v>24209</v>
      </c>
      <c r="D6055" s="308">
        <f>IFERROR(__xludf.DUMMYFUNCTION("SPLIT(C6055,""-"")"),6075.0)</f>
        <v>6075</v>
      </c>
      <c r="E6055" s="308" t="str">
        <f>IFERROR(__xludf.DUMMYFUNCTION("""COMPUTED_VALUE"""),"K")</f>
        <v>K</v>
      </c>
      <c r="F6055" s="309" t="s">
        <v>34</v>
      </c>
      <c r="G6055" s="308"/>
      <c r="H6055" s="308" t="s">
        <v>24210</v>
      </c>
      <c r="I6055" s="310">
        <v>42898.0</v>
      </c>
      <c r="J6055" s="319" t="str">
        <f>IFERROR(__xludf.DUMMYFUNCTION("SPLIT(I6055,""/"")"),"#REF!")</f>
        <v>#REF!</v>
      </c>
      <c r="K6055" s="308"/>
      <c r="L6055" s="308">
        <v>2017.0</v>
      </c>
      <c r="M6055" s="308" t="s">
        <v>24211</v>
      </c>
      <c r="N6055" s="308"/>
      <c r="O6055" s="308"/>
      <c r="P6055" s="308" t="s">
        <v>136</v>
      </c>
      <c r="Q6055" s="308" t="s">
        <v>38807</v>
      </c>
      <c r="R6055" s="308" t="s">
        <v>2743</v>
      </c>
      <c r="S6055" s="315" t="s">
        <v>100</v>
      </c>
      <c r="T6055" s="308" t="s">
        <v>34208</v>
      </c>
      <c r="U6055" s="308" t="s">
        <v>941</v>
      </c>
      <c r="V6055" s="308"/>
    </row>
    <row r="6056">
      <c r="A6056" s="308">
        <v>6055.0</v>
      </c>
      <c r="B6056" s="308"/>
      <c r="C6056" s="308" t="s">
        <v>24212</v>
      </c>
      <c r="D6056" s="308">
        <f>IFERROR(__xludf.DUMMYFUNCTION("SPLIT(C6056,""-"")"),6076.0)</f>
        <v>6076</v>
      </c>
      <c r="E6056" s="308" t="str">
        <f>IFERROR(__xludf.DUMMYFUNCTION("""COMPUTED_VALUE"""),"P")</f>
        <v>P</v>
      </c>
      <c r="F6056" s="312" t="s">
        <v>37</v>
      </c>
      <c r="G6056" s="308"/>
      <c r="H6056" s="308" t="s">
        <v>24213</v>
      </c>
      <c r="I6056" s="314">
        <v>43828.0</v>
      </c>
      <c r="J6056" s="319">
        <f>IFERROR(__xludf.DUMMYFUNCTION("SPLIT(I6056,""/"")"),29.0)</f>
        <v>29</v>
      </c>
      <c r="K6056" s="308">
        <f>IFERROR(__xludf.DUMMYFUNCTION("""COMPUTED_VALUE"""),12.0)</f>
        <v>12</v>
      </c>
      <c r="L6056" s="308">
        <f>IFERROR(__xludf.DUMMYFUNCTION("""COMPUTED_VALUE"""),2019.0)</f>
        <v>2019</v>
      </c>
      <c r="M6056" s="308" t="s">
        <v>24214</v>
      </c>
      <c r="N6056" s="308" t="s">
        <v>24215</v>
      </c>
      <c r="O6056" s="308"/>
      <c r="P6056" s="308" t="s">
        <v>136</v>
      </c>
      <c r="Q6056" s="308" t="s">
        <v>38807</v>
      </c>
      <c r="R6056" s="308" t="s">
        <v>2743</v>
      </c>
      <c r="S6056" s="315" t="s">
        <v>100</v>
      </c>
      <c r="T6056" s="308" t="s">
        <v>34208</v>
      </c>
      <c r="U6056" s="308" t="s">
        <v>4001</v>
      </c>
      <c r="V6056" s="308"/>
    </row>
    <row r="6057">
      <c r="A6057" s="308">
        <v>6056.0</v>
      </c>
      <c r="B6057" s="308"/>
      <c r="C6057" s="308" t="s">
        <v>24216</v>
      </c>
      <c r="D6057" s="308">
        <f>IFERROR(__xludf.DUMMYFUNCTION("SPLIT(C6057,""-"")"),6077.0)</f>
        <v>6077</v>
      </c>
      <c r="E6057" s="308" t="str">
        <f>IFERROR(__xludf.DUMMYFUNCTION("""COMPUTED_VALUE"""),"F")</f>
        <v>F</v>
      </c>
      <c r="F6057" s="309" t="s">
        <v>34</v>
      </c>
      <c r="G6057" s="308"/>
      <c r="H6057" s="308" t="s">
        <v>24217</v>
      </c>
      <c r="I6057" s="310">
        <v>43771.0</v>
      </c>
      <c r="J6057" s="319">
        <f>IFERROR(__xludf.DUMMYFUNCTION("SPLIT(I6057,""/"")"),2.0)</f>
        <v>2</v>
      </c>
      <c r="K6057" s="308">
        <f>IFERROR(__xludf.DUMMYFUNCTION("""COMPUTED_VALUE"""),11.0)</f>
        <v>11</v>
      </c>
      <c r="L6057" s="308">
        <f>IFERROR(__xludf.DUMMYFUNCTION("""COMPUTED_VALUE"""),2019.0)</f>
        <v>2019</v>
      </c>
      <c r="M6057" s="308" t="s">
        <v>24218</v>
      </c>
      <c r="N6057" s="308"/>
      <c r="O6057" s="308"/>
      <c r="P6057" s="308" t="s">
        <v>38814</v>
      </c>
      <c r="Q6057" s="308" t="s">
        <v>38807</v>
      </c>
      <c r="R6057" s="308" t="s">
        <v>2743</v>
      </c>
      <c r="S6057" s="308" t="s">
        <v>81</v>
      </c>
      <c r="T6057" s="308" t="s">
        <v>75</v>
      </c>
      <c r="U6057" s="308" t="s">
        <v>195</v>
      </c>
      <c r="V6057" s="308"/>
    </row>
    <row r="6058">
      <c r="A6058" s="308">
        <v>6057.0</v>
      </c>
      <c r="B6058" s="308"/>
      <c r="C6058" s="308" t="s">
        <v>24220</v>
      </c>
      <c r="D6058" s="308">
        <f>IFERROR(__xludf.DUMMYFUNCTION("SPLIT(C6058,""-"")"),6078.0)</f>
        <v>6078</v>
      </c>
      <c r="E6058" s="308" t="str">
        <f>IFERROR(__xludf.DUMMYFUNCTION("""COMPUTED_VALUE"""),"K")</f>
        <v>K</v>
      </c>
      <c r="F6058" s="309" t="s">
        <v>34</v>
      </c>
      <c r="G6058" s="308"/>
      <c r="H6058" s="308" t="s">
        <v>24221</v>
      </c>
      <c r="I6058" s="314">
        <v>41599.0</v>
      </c>
      <c r="J6058" s="319">
        <f>IFERROR(__xludf.DUMMYFUNCTION("SPLIT(I6058,""/"")"),21.0)</f>
        <v>21</v>
      </c>
      <c r="K6058" s="308">
        <f>IFERROR(__xludf.DUMMYFUNCTION("""COMPUTED_VALUE"""),11.0)</f>
        <v>11</v>
      </c>
      <c r="L6058" s="308">
        <f>IFERROR(__xludf.DUMMYFUNCTION("""COMPUTED_VALUE"""),2013.0)</f>
        <v>2013</v>
      </c>
      <c r="M6058" s="308" t="s">
        <v>24222</v>
      </c>
      <c r="N6058" s="308"/>
      <c r="O6058" s="308"/>
      <c r="P6058" s="308" t="s">
        <v>38815</v>
      </c>
      <c r="Q6058" s="308" t="s">
        <v>38816</v>
      </c>
      <c r="R6058" s="308" t="s">
        <v>2743</v>
      </c>
      <c r="S6058" s="308" t="s">
        <v>49</v>
      </c>
      <c r="T6058" s="308" t="s">
        <v>51</v>
      </c>
      <c r="U6058" s="308" t="s">
        <v>368</v>
      </c>
      <c r="V6058" s="308"/>
    </row>
    <row r="6059">
      <c r="A6059" s="308">
        <v>6058.0</v>
      </c>
      <c r="B6059" s="308"/>
      <c r="C6059" s="308" t="s">
        <v>24224</v>
      </c>
      <c r="D6059" s="308">
        <f>IFERROR(__xludf.DUMMYFUNCTION("SPLIT(C6059,""-"")"),6079.0)</f>
        <v>6079</v>
      </c>
      <c r="E6059" s="308" t="str">
        <f>IFERROR(__xludf.DUMMYFUNCTION("""COMPUTED_VALUE"""),"K")</f>
        <v>K</v>
      </c>
      <c r="F6059" s="309" t="s">
        <v>34</v>
      </c>
      <c r="G6059" s="308"/>
      <c r="H6059" s="308" t="s">
        <v>24225</v>
      </c>
      <c r="I6059" s="314">
        <v>43058.0</v>
      </c>
      <c r="J6059" s="319" t="str">
        <f>IFERROR(__xludf.DUMMYFUNCTION("SPLIT(I6059,""/"")"),"#REF!")</f>
        <v>#REF!</v>
      </c>
      <c r="K6059" s="308"/>
      <c r="L6059" s="308">
        <v>2017.0</v>
      </c>
      <c r="M6059" s="308" t="s">
        <v>24226</v>
      </c>
      <c r="N6059" s="308"/>
      <c r="O6059" s="308"/>
      <c r="P6059" s="308" t="s">
        <v>24227</v>
      </c>
      <c r="Q6059" s="308" t="s">
        <v>38816</v>
      </c>
      <c r="R6059" s="308" t="s">
        <v>2743</v>
      </c>
      <c r="S6059" s="308" t="s">
        <v>81</v>
      </c>
      <c r="T6059" s="308" t="s">
        <v>34264</v>
      </c>
      <c r="U6059" s="308" t="s">
        <v>4749</v>
      </c>
      <c r="V6059" s="308"/>
    </row>
    <row r="6060">
      <c r="A6060" s="308">
        <v>6059.0</v>
      </c>
      <c r="B6060" s="308"/>
      <c r="C6060" s="308" t="s">
        <v>24228</v>
      </c>
      <c r="D6060" s="308">
        <f>IFERROR(__xludf.DUMMYFUNCTION("SPLIT(C6060,""-"")"),6080.0)</f>
        <v>6080</v>
      </c>
      <c r="E6060" s="308" t="str">
        <f>IFERROR(__xludf.DUMMYFUNCTION("""COMPUTED_VALUE"""),"S")</f>
        <v>S</v>
      </c>
      <c r="F6060" s="312" t="s">
        <v>39</v>
      </c>
      <c r="G6060" s="308"/>
      <c r="H6060" s="308" t="s">
        <v>24229</v>
      </c>
      <c r="I6060" s="310">
        <v>43563.0</v>
      </c>
      <c r="J6060" s="319">
        <f>IFERROR(__xludf.DUMMYFUNCTION("SPLIT(I6060,""/"")"),8.0)</f>
        <v>8</v>
      </c>
      <c r="K6060" s="308">
        <f>IFERROR(__xludf.DUMMYFUNCTION("""COMPUTED_VALUE"""),4.0)</f>
        <v>4</v>
      </c>
      <c r="L6060" s="308">
        <f>IFERROR(__xludf.DUMMYFUNCTION("""COMPUTED_VALUE"""),2019.0)</f>
        <v>2019</v>
      </c>
      <c r="M6060" s="308" t="s">
        <v>24230</v>
      </c>
      <c r="N6060" s="308"/>
      <c r="O6060" s="308"/>
      <c r="P6060" s="308" t="s">
        <v>24231</v>
      </c>
      <c r="Q6060" s="308" t="s">
        <v>38816</v>
      </c>
      <c r="R6060" s="308" t="s">
        <v>2743</v>
      </c>
      <c r="S6060" s="308" t="s">
        <v>81</v>
      </c>
      <c r="T6060" s="308" t="s">
        <v>75</v>
      </c>
      <c r="U6060" s="308" t="s">
        <v>166</v>
      </c>
      <c r="V6060" s="308"/>
    </row>
    <row r="6061">
      <c r="A6061" s="308">
        <v>6060.0</v>
      </c>
      <c r="B6061" s="308"/>
      <c r="C6061" s="308" t="s">
        <v>24232</v>
      </c>
      <c r="D6061" s="308">
        <f>IFERROR(__xludf.DUMMYFUNCTION("SPLIT(C6061,""-"")"),6081.0)</f>
        <v>6081</v>
      </c>
      <c r="E6061" s="308" t="str">
        <f>IFERROR(__xludf.DUMMYFUNCTION("""COMPUTED_VALUE"""),"S")</f>
        <v>S</v>
      </c>
      <c r="F6061" s="312" t="s">
        <v>39</v>
      </c>
      <c r="G6061" s="308"/>
      <c r="H6061" s="308" t="s">
        <v>24233</v>
      </c>
      <c r="I6061" s="310">
        <v>41613.0</v>
      </c>
      <c r="J6061" s="319">
        <f>IFERROR(__xludf.DUMMYFUNCTION("SPLIT(I6061,""/"")"),5.0)</f>
        <v>5</v>
      </c>
      <c r="K6061" s="308">
        <f>IFERROR(__xludf.DUMMYFUNCTION("""COMPUTED_VALUE"""),12.0)</f>
        <v>12</v>
      </c>
      <c r="L6061" s="308">
        <f>IFERROR(__xludf.DUMMYFUNCTION("""COMPUTED_VALUE"""),2013.0)</f>
        <v>2013</v>
      </c>
      <c r="M6061" s="308" t="s">
        <v>38817</v>
      </c>
      <c r="N6061" s="308"/>
      <c r="O6061" s="308"/>
      <c r="P6061" s="308" t="s">
        <v>136</v>
      </c>
      <c r="Q6061" s="308" t="s">
        <v>38816</v>
      </c>
      <c r="R6061" s="308" t="s">
        <v>2743</v>
      </c>
      <c r="S6061" s="315" t="s">
        <v>100</v>
      </c>
      <c r="T6061" s="308" t="s">
        <v>34208</v>
      </c>
      <c r="U6061" s="308" t="s">
        <v>166</v>
      </c>
      <c r="V6061" s="308"/>
    </row>
    <row r="6062">
      <c r="A6062" s="308">
        <v>6061.0</v>
      </c>
      <c r="B6062" s="308"/>
      <c r="C6062" s="308" t="s">
        <v>24235</v>
      </c>
      <c r="D6062" s="308">
        <f>IFERROR(__xludf.DUMMYFUNCTION("SPLIT(C6062,""-"")"),6082.0)</f>
        <v>6082</v>
      </c>
      <c r="E6062" s="308" t="str">
        <f>IFERROR(__xludf.DUMMYFUNCTION("""COMPUTED_VALUE"""),"K")</f>
        <v>K</v>
      </c>
      <c r="F6062" s="309" t="s">
        <v>34</v>
      </c>
      <c r="G6062" s="308"/>
      <c r="H6062" s="308" t="s">
        <v>24236</v>
      </c>
      <c r="I6062" s="310">
        <v>43556.0</v>
      </c>
      <c r="J6062" s="319">
        <f>IFERROR(__xludf.DUMMYFUNCTION("SPLIT(I6062,""/"")"),1.0)</f>
        <v>1</v>
      </c>
      <c r="K6062" s="308">
        <f>IFERROR(__xludf.DUMMYFUNCTION("""COMPUTED_VALUE"""),4.0)</f>
        <v>4</v>
      </c>
      <c r="L6062" s="308">
        <f>IFERROR(__xludf.DUMMYFUNCTION("""COMPUTED_VALUE"""),2019.0)</f>
        <v>2019</v>
      </c>
      <c r="M6062" s="308" t="s">
        <v>24237</v>
      </c>
      <c r="N6062" s="308" t="s">
        <v>24238</v>
      </c>
      <c r="O6062" s="308" t="s">
        <v>439</v>
      </c>
      <c r="P6062" s="308" t="s">
        <v>38818</v>
      </c>
      <c r="Q6062" s="308" t="s">
        <v>38816</v>
      </c>
      <c r="R6062" s="308" t="s">
        <v>2743</v>
      </c>
      <c r="S6062" s="308" t="s">
        <v>81</v>
      </c>
      <c r="T6062" s="308" t="s">
        <v>34264</v>
      </c>
      <c r="U6062" s="308" t="s">
        <v>941</v>
      </c>
      <c r="V6062" s="308"/>
    </row>
    <row r="6063">
      <c r="A6063" s="308">
        <v>6062.0</v>
      </c>
      <c r="B6063" s="308"/>
      <c r="C6063" s="308" t="s">
        <v>24240</v>
      </c>
      <c r="D6063" s="308">
        <f>IFERROR(__xludf.DUMMYFUNCTION("SPLIT(C6063,""-"")"),6083.0)</f>
        <v>6083</v>
      </c>
      <c r="E6063" s="308" t="str">
        <f>IFERROR(__xludf.DUMMYFUNCTION("""COMPUTED_VALUE"""),"K")</f>
        <v>K</v>
      </c>
      <c r="F6063" s="309" t="s">
        <v>34</v>
      </c>
      <c r="G6063" s="308"/>
      <c r="H6063" s="308" t="s">
        <v>24241</v>
      </c>
      <c r="I6063" s="310">
        <v>39995.0</v>
      </c>
      <c r="J6063" s="319">
        <f>IFERROR(__xludf.DUMMYFUNCTION("SPLIT(I6063,""/"")"),1.0)</f>
        <v>1</v>
      </c>
      <c r="K6063" s="308">
        <f>IFERROR(__xludf.DUMMYFUNCTION("""COMPUTED_VALUE"""),7.0)</f>
        <v>7</v>
      </c>
      <c r="L6063" s="308">
        <f>IFERROR(__xludf.DUMMYFUNCTION("""COMPUTED_VALUE"""),2009.0)</f>
        <v>2009</v>
      </c>
      <c r="M6063" s="308" t="s">
        <v>24242</v>
      </c>
      <c r="N6063" s="308"/>
      <c r="O6063" s="308" t="s">
        <v>24243</v>
      </c>
      <c r="P6063" s="308" t="s">
        <v>136</v>
      </c>
      <c r="Q6063" s="308" t="s">
        <v>38816</v>
      </c>
      <c r="R6063" s="308" t="s">
        <v>2743</v>
      </c>
      <c r="S6063" s="315" t="s">
        <v>100</v>
      </c>
      <c r="T6063" s="308" t="s">
        <v>34208</v>
      </c>
      <c r="U6063" s="308" t="s">
        <v>530</v>
      </c>
      <c r="V6063" s="308"/>
    </row>
    <row r="6064">
      <c r="A6064" s="308">
        <v>6063.0</v>
      </c>
      <c r="B6064" s="308"/>
      <c r="C6064" s="308" t="s">
        <v>24244</v>
      </c>
      <c r="D6064" s="308">
        <f>IFERROR(__xludf.DUMMYFUNCTION("SPLIT(C6064,""-"")"),6084.0)</f>
        <v>6084</v>
      </c>
      <c r="E6064" s="308" t="str">
        <f>IFERROR(__xludf.DUMMYFUNCTION("""COMPUTED_VALUE"""),"K")</f>
        <v>K</v>
      </c>
      <c r="F6064" s="309" t="s">
        <v>34</v>
      </c>
      <c r="G6064" s="308"/>
      <c r="H6064" s="308" t="s">
        <v>24245</v>
      </c>
      <c r="I6064" s="310">
        <v>41365.0</v>
      </c>
      <c r="J6064" s="319">
        <f>IFERROR(__xludf.DUMMYFUNCTION("SPLIT(I6064,""/"")"),1.0)</f>
        <v>1</v>
      </c>
      <c r="K6064" s="308">
        <f>IFERROR(__xludf.DUMMYFUNCTION("""COMPUTED_VALUE"""),4.0)</f>
        <v>4</v>
      </c>
      <c r="L6064" s="308">
        <f>IFERROR(__xludf.DUMMYFUNCTION("""COMPUTED_VALUE"""),2013.0)</f>
        <v>2013</v>
      </c>
      <c r="M6064" s="308" t="s">
        <v>24246</v>
      </c>
      <c r="N6064" s="308" t="s">
        <v>24247</v>
      </c>
      <c r="O6064" s="308" t="s">
        <v>24248</v>
      </c>
      <c r="P6064" s="308" t="s">
        <v>136</v>
      </c>
      <c r="Q6064" s="308" t="s">
        <v>38816</v>
      </c>
      <c r="R6064" s="308" t="s">
        <v>2743</v>
      </c>
      <c r="S6064" s="315" t="s">
        <v>100</v>
      </c>
      <c r="T6064" s="308" t="s">
        <v>34208</v>
      </c>
      <c r="U6064" s="308" t="s">
        <v>2152</v>
      </c>
      <c r="V6064" s="308"/>
    </row>
    <row r="6065">
      <c r="A6065" s="308">
        <v>6064.0</v>
      </c>
      <c r="B6065" s="308"/>
      <c r="C6065" s="308" t="s">
        <v>24249</v>
      </c>
      <c r="D6065" s="308">
        <f>IFERROR(__xludf.DUMMYFUNCTION("SPLIT(C6065,""-"")"),6085.0)</f>
        <v>6085</v>
      </c>
      <c r="E6065" s="308" t="str">
        <f>IFERROR(__xludf.DUMMYFUNCTION("""COMPUTED_VALUE"""),"K")</f>
        <v>K</v>
      </c>
      <c r="F6065" s="309" t="s">
        <v>34</v>
      </c>
      <c r="G6065" s="308"/>
      <c r="H6065" s="308" t="s">
        <v>24250</v>
      </c>
      <c r="I6065" s="310">
        <v>43531.0</v>
      </c>
      <c r="J6065" s="319">
        <f>IFERROR(__xludf.DUMMYFUNCTION("SPLIT(I6065,""/"")"),7.0)</f>
        <v>7</v>
      </c>
      <c r="K6065" s="308">
        <f>IFERROR(__xludf.DUMMYFUNCTION("""COMPUTED_VALUE"""),3.0)</f>
        <v>3</v>
      </c>
      <c r="L6065" s="308">
        <f>IFERROR(__xludf.DUMMYFUNCTION("""COMPUTED_VALUE"""),2019.0)</f>
        <v>2019</v>
      </c>
      <c r="M6065" s="308" t="s">
        <v>24251</v>
      </c>
      <c r="N6065" s="308"/>
      <c r="O6065" s="308"/>
      <c r="P6065" s="308" t="s">
        <v>38819</v>
      </c>
      <c r="Q6065" s="308" t="s">
        <v>38816</v>
      </c>
      <c r="R6065" s="308" t="s">
        <v>2743</v>
      </c>
      <c r="S6065" s="308" t="s">
        <v>81</v>
      </c>
      <c r="T6065" s="311" t="s">
        <v>96</v>
      </c>
      <c r="U6065" s="308" t="s">
        <v>125</v>
      </c>
      <c r="V6065" s="308"/>
    </row>
    <row r="6066">
      <c r="A6066" s="308">
        <v>6065.0</v>
      </c>
      <c r="B6066" s="308"/>
      <c r="C6066" s="308" t="s">
        <v>24253</v>
      </c>
      <c r="D6066" s="308">
        <f>IFERROR(__xludf.DUMMYFUNCTION("SPLIT(C6066,""-"")"),6086.0)</f>
        <v>6086</v>
      </c>
      <c r="E6066" s="308" t="str">
        <f>IFERROR(__xludf.DUMMYFUNCTION("""COMPUTED_VALUE"""),"S")</f>
        <v>S</v>
      </c>
      <c r="F6066" s="312" t="s">
        <v>39</v>
      </c>
      <c r="G6066" s="308"/>
      <c r="H6066" s="308" t="s">
        <v>24254</v>
      </c>
      <c r="I6066" s="310">
        <v>41456.0</v>
      </c>
      <c r="J6066" s="319">
        <f>IFERROR(__xludf.DUMMYFUNCTION("SPLIT(I6066,""/"")"),1.0)</f>
        <v>1</v>
      </c>
      <c r="K6066" s="308">
        <f>IFERROR(__xludf.DUMMYFUNCTION("""COMPUTED_VALUE"""),7.0)</f>
        <v>7</v>
      </c>
      <c r="L6066" s="308">
        <f>IFERROR(__xludf.DUMMYFUNCTION("""COMPUTED_VALUE"""),2013.0)</f>
        <v>2013</v>
      </c>
      <c r="M6066" s="308" t="s">
        <v>24255</v>
      </c>
      <c r="N6066" s="308"/>
      <c r="O6066" s="308"/>
      <c r="P6066" s="308" t="s">
        <v>38820</v>
      </c>
      <c r="Q6066" s="308" t="s">
        <v>38816</v>
      </c>
      <c r="R6066" s="308" t="s">
        <v>2743</v>
      </c>
      <c r="S6066" s="308" t="s">
        <v>49</v>
      </c>
      <c r="T6066" s="311" t="s">
        <v>57</v>
      </c>
      <c r="U6066" s="308" t="s">
        <v>166</v>
      </c>
      <c r="V6066" s="308"/>
    </row>
    <row r="6067">
      <c r="A6067" s="308">
        <v>6066.0</v>
      </c>
      <c r="B6067" s="308"/>
      <c r="C6067" s="308" t="s">
        <v>24257</v>
      </c>
      <c r="D6067" s="308">
        <f>IFERROR(__xludf.DUMMYFUNCTION("SPLIT(C6067,""-"")"),6087.0)</f>
        <v>6087</v>
      </c>
      <c r="E6067" s="308" t="str">
        <f>IFERROR(__xludf.DUMMYFUNCTION("""COMPUTED_VALUE"""),"K")</f>
        <v>K</v>
      </c>
      <c r="F6067" s="309" t="s">
        <v>34</v>
      </c>
      <c r="G6067" s="308"/>
      <c r="H6067" s="308" t="s">
        <v>24258</v>
      </c>
      <c r="I6067" s="310">
        <v>40360.0</v>
      </c>
      <c r="J6067" s="319">
        <f>IFERROR(__xludf.DUMMYFUNCTION("SPLIT(I6067,""/"")"),1.0)</f>
        <v>1</v>
      </c>
      <c r="K6067" s="308">
        <f>IFERROR(__xludf.DUMMYFUNCTION("""COMPUTED_VALUE"""),7.0)</f>
        <v>7</v>
      </c>
      <c r="L6067" s="308">
        <f>IFERROR(__xludf.DUMMYFUNCTION("""COMPUTED_VALUE"""),2010.0)</f>
        <v>2010</v>
      </c>
      <c r="M6067" s="308" t="s">
        <v>24259</v>
      </c>
      <c r="N6067" s="308"/>
      <c r="O6067" s="308" t="s">
        <v>38821</v>
      </c>
      <c r="P6067" s="308" t="s">
        <v>24261</v>
      </c>
      <c r="Q6067" s="308" t="s">
        <v>38816</v>
      </c>
      <c r="R6067" s="308" t="s">
        <v>2743</v>
      </c>
      <c r="S6067" s="308" t="s">
        <v>49</v>
      </c>
      <c r="T6067" s="308" t="s">
        <v>51</v>
      </c>
      <c r="U6067" s="308" t="s">
        <v>2152</v>
      </c>
      <c r="V6067" s="308"/>
    </row>
    <row r="6068">
      <c r="A6068" s="308">
        <v>6067.0</v>
      </c>
      <c r="B6068" s="308"/>
      <c r="C6068" s="308" t="s">
        <v>24262</v>
      </c>
      <c r="D6068" s="308">
        <f>IFERROR(__xludf.DUMMYFUNCTION("SPLIT(C6068,""-"")"),6088.0)</f>
        <v>6088</v>
      </c>
      <c r="E6068" s="308" t="str">
        <f>IFERROR(__xludf.DUMMYFUNCTION("""COMPUTED_VALUE"""),"S")</f>
        <v>S</v>
      </c>
      <c r="F6068" s="312" t="s">
        <v>39</v>
      </c>
      <c r="G6068" s="308"/>
      <c r="H6068" s="308" t="s">
        <v>24263</v>
      </c>
      <c r="I6068" s="310">
        <v>43553.0</v>
      </c>
      <c r="J6068" s="319">
        <f>IFERROR(__xludf.DUMMYFUNCTION("SPLIT(I6068,""/"")"),29.0)</f>
        <v>29</v>
      </c>
      <c r="K6068" s="308">
        <f>IFERROR(__xludf.DUMMYFUNCTION("""COMPUTED_VALUE"""),3.0)</f>
        <v>3</v>
      </c>
      <c r="L6068" s="308">
        <f>IFERROR(__xludf.DUMMYFUNCTION("""COMPUTED_VALUE"""),2019.0)</f>
        <v>2019</v>
      </c>
      <c r="M6068" s="308" t="s">
        <v>24264</v>
      </c>
      <c r="N6068" s="308"/>
      <c r="O6068" s="308"/>
      <c r="P6068" s="308" t="s">
        <v>38822</v>
      </c>
      <c r="Q6068" s="308" t="s">
        <v>38816</v>
      </c>
      <c r="R6068" s="308" t="s">
        <v>2743</v>
      </c>
      <c r="S6068" s="308" t="s">
        <v>81</v>
      </c>
      <c r="T6068" s="311" t="s">
        <v>91</v>
      </c>
      <c r="U6068" s="308" t="s">
        <v>166</v>
      </c>
      <c r="V6068" s="308"/>
    </row>
    <row r="6069">
      <c r="A6069" s="308">
        <v>6068.0</v>
      </c>
      <c r="B6069" s="308"/>
      <c r="C6069" s="308" t="s">
        <v>24266</v>
      </c>
      <c r="D6069" s="308">
        <f>IFERROR(__xludf.DUMMYFUNCTION("SPLIT(C6069,""-"")"),6089.0)</f>
        <v>6089</v>
      </c>
      <c r="E6069" s="308" t="str">
        <f>IFERROR(__xludf.DUMMYFUNCTION("""COMPUTED_VALUE"""),"S")</f>
        <v>S</v>
      </c>
      <c r="F6069" s="312" t="s">
        <v>39</v>
      </c>
      <c r="G6069" s="308"/>
      <c r="H6069" s="308" t="s">
        <v>24267</v>
      </c>
      <c r="I6069" s="310">
        <v>43189.0</v>
      </c>
      <c r="J6069" s="319">
        <f>IFERROR(__xludf.DUMMYFUNCTION("SPLIT(I6069,""/"")"),30.0)</f>
        <v>30</v>
      </c>
      <c r="K6069" s="308">
        <f>IFERROR(__xludf.DUMMYFUNCTION("""COMPUTED_VALUE"""),3.0)</f>
        <v>3</v>
      </c>
      <c r="L6069" s="308">
        <f>IFERROR(__xludf.DUMMYFUNCTION("""COMPUTED_VALUE"""),2018.0)</f>
        <v>2018</v>
      </c>
      <c r="M6069" s="308" t="s">
        <v>24268</v>
      </c>
      <c r="N6069" s="308" t="s">
        <v>24269</v>
      </c>
      <c r="O6069" s="308"/>
      <c r="P6069" s="308" t="s">
        <v>24270</v>
      </c>
      <c r="Q6069" s="308" t="s">
        <v>38816</v>
      </c>
      <c r="R6069" s="308" t="s">
        <v>2743</v>
      </c>
      <c r="S6069" s="308" t="s">
        <v>81</v>
      </c>
      <c r="T6069" s="311" t="s">
        <v>35043</v>
      </c>
      <c r="U6069" s="308" t="s">
        <v>166</v>
      </c>
      <c r="V6069" s="308"/>
    </row>
    <row r="6070">
      <c r="A6070" s="308">
        <v>6069.0</v>
      </c>
      <c r="B6070" s="308"/>
      <c r="C6070" s="308" t="s">
        <v>24271</v>
      </c>
      <c r="D6070" s="308">
        <f>IFERROR(__xludf.DUMMYFUNCTION("SPLIT(C6070,""-"")"),6090.0)</f>
        <v>6090</v>
      </c>
      <c r="E6070" s="308" t="str">
        <f>IFERROR(__xludf.DUMMYFUNCTION("""COMPUTED_VALUE"""),"K")</f>
        <v>K</v>
      </c>
      <c r="F6070" s="309" t="s">
        <v>34</v>
      </c>
      <c r="G6070" s="308"/>
      <c r="H6070" s="308" t="s">
        <v>24272</v>
      </c>
      <c r="I6070" s="310">
        <v>42995.0</v>
      </c>
      <c r="J6070" s="319" t="str">
        <f>IFERROR(__xludf.DUMMYFUNCTION("SPLIT(I6070,""/"")"),"#REF!")</f>
        <v>#REF!</v>
      </c>
      <c r="K6070" s="308"/>
      <c r="L6070" s="308">
        <v>2017.0</v>
      </c>
      <c r="M6070" s="308" t="s">
        <v>24273</v>
      </c>
      <c r="N6070" s="308"/>
      <c r="O6070" s="308" t="s">
        <v>24274</v>
      </c>
      <c r="P6070" s="308" t="s">
        <v>24275</v>
      </c>
      <c r="Q6070" s="308" t="s">
        <v>38823</v>
      </c>
      <c r="R6070" s="308" t="s">
        <v>16185</v>
      </c>
      <c r="S6070" s="308" t="s">
        <v>81</v>
      </c>
      <c r="T6070" s="308" t="s">
        <v>73</v>
      </c>
      <c r="U6070" s="308" t="s">
        <v>1509</v>
      </c>
      <c r="V6070" s="308"/>
    </row>
    <row r="6071">
      <c r="A6071" s="308">
        <v>6070.0</v>
      </c>
      <c r="B6071" s="308"/>
      <c r="C6071" s="308" t="s">
        <v>24276</v>
      </c>
      <c r="D6071" s="308">
        <f>IFERROR(__xludf.DUMMYFUNCTION("SPLIT(C6071,""-"")"),6091.0)</f>
        <v>6091</v>
      </c>
      <c r="E6071" s="308" t="str">
        <f>IFERROR(__xludf.DUMMYFUNCTION("""COMPUTED_VALUE"""),"K")</f>
        <v>K</v>
      </c>
      <c r="F6071" s="309" t="s">
        <v>34</v>
      </c>
      <c r="G6071" s="308"/>
      <c r="H6071" s="308" t="s">
        <v>24277</v>
      </c>
      <c r="I6071" s="310">
        <v>42872.0</v>
      </c>
      <c r="J6071" s="319" t="str">
        <f>IFERROR(__xludf.DUMMYFUNCTION("SPLIT(I6071,""/"")"),"#REF!")</f>
        <v>#REF!</v>
      </c>
      <c r="K6071" s="308"/>
      <c r="L6071" s="308">
        <v>2017.0</v>
      </c>
      <c r="M6071" s="308" t="s">
        <v>24278</v>
      </c>
      <c r="N6071" s="308"/>
      <c r="O6071" s="308"/>
      <c r="P6071" s="308" t="s">
        <v>38824</v>
      </c>
      <c r="Q6071" s="308" t="s">
        <v>38823</v>
      </c>
      <c r="R6071" s="308" t="s">
        <v>16185</v>
      </c>
      <c r="S6071" s="308" t="s">
        <v>81</v>
      </c>
      <c r="T6071" s="308" t="s">
        <v>34264</v>
      </c>
      <c r="U6071" s="308" t="s">
        <v>23797</v>
      </c>
      <c r="V6071" s="308"/>
    </row>
    <row r="6072">
      <c r="A6072" s="308">
        <v>6071.0</v>
      </c>
      <c r="B6072" s="308"/>
      <c r="C6072" s="308" t="s">
        <v>24280</v>
      </c>
      <c r="D6072" s="308">
        <f>IFERROR(__xludf.DUMMYFUNCTION("SPLIT(C6072,""-"")"),6092.0)</f>
        <v>6092</v>
      </c>
      <c r="E6072" s="308" t="str">
        <f>IFERROR(__xludf.DUMMYFUNCTION("""COMPUTED_VALUE"""),"P")</f>
        <v>P</v>
      </c>
      <c r="F6072" s="312" t="s">
        <v>37</v>
      </c>
      <c r="G6072" s="308"/>
      <c r="H6072" s="308" t="s">
        <v>24281</v>
      </c>
      <c r="I6072" s="310">
        <v>43238.0</v>
      </c>
      <c r="J6072" s="319">
        <f>IFERROR(__xludf.DUMMYFUNCTION("SPLIT(I6072,""/"")"),18.0)</f>
        <v>18</v>
      </c>
      <c r="K6072" s="308">
        <f>IFERROR(__xludf.DUMMYFUNCTION("""COMPUTED_VALUE"""),5.0)</f>
        <v>5</v>
      </c>
      <c r="L6072" s="308">
        <f>IFERROR(__xludf.DUMMYFUNCTION("""COMPUTED_VALUE"""),2018.0)</f>
        <v>2018</v>
      </c>
      <c r="M6072" s="308" t="s">
        <v>24282</v>
      </c>
      <c r="N6072" s="308"/>
      <c r="O6072" s="308"/>
      <c r="P6072" s="308" t="s">
        <v>38825</v>
      </c>
      <c r="Q6072" s="308" t="s">
        <v>38823</v>
      </c>
      <c r="R6072" s="308" t="s">
        <v>16185</v>
      </c>
      <c r="S6072" s="308" t="s">
        <v>81</v>
      </c>
      <c r="T6072" s="311" t="s">
        <v>73</v>
      </c>
      <c r="U6072" s="308" t="s">
        <v>2291</v>
      </c>
      <c r="V6072" s="308"/>
    </row>
    <row r="6073">
      <c r="A6073" s="308">
        <v>6072.0</v>
      </c>
      <c r="B6073" s="308"/>
      <c r="C6073" s="308" t="s">
        <v>24284</v>
      </c>
      <c r="D6073" s="308">
        <f>IFERROR(__xludf.DUMMYFUNCTION("SPLIT(C6073,""-"")"),6093.0)</f>
        <v>6093</v>
      </c>
      <c r="E6073" s="308" t="str">
        <f>IFERROR(__xludf.DUMMYFUNCTION("""COMPUTED_VALUE"""),"S")</f>
        <v>S</v>
      </c>
      <c r="F6073" s="312" t="s">
        <v>39</v>
      </c>
      <c r="G6073" s="308"/>
      <c r="H6073" s="308" t="s">
        <v>24285</v>
      </c>
      <c r="I6073" s="310">
        <v>42599.0</v>
      </c>
      <c r="J6073" s="319">
        <f>IFERROR(__xludf.DUMMYFUNCTION("SPLIT(I6073,""/"")"),17.0)</f>
        <v>17</v>
      </c>
      <c r="K6073" s="308">
        <f>IFERROR(__xludf.DUMMYFUNCTION("""COMPUTED_VALUE"""),8.0)</f>
        <v>8</v>
      </c>
      <c r="L6073" s="308">
        <f>IFERROR(__xludf.DUMMYFUNCTION("""COMPUTED_VALUE"""),2016.0)</f>
        <v>2016</v>
      </c>
      <c r="M6073" s="308" t="s">
        <v>24286</v>
      </c>
      <c r="N6073" s="308"/>
      <c r="O6073" s="308"/>
      <c r="P6073" s="308" t="s">
        <v>38826</v>
      </c>
      <c r="Q6073" s="308" t="s">
        <v>38823</v>
      </c>
      <c r="R6073" s="308" t="s">
        <v>16185</v>
      </c>
      <c r="S6073" s="308" t="s">
        <v>81</v>
      </c>
      <c r="T6073" s="308" t="s">
        <v>75</v>
      </c>
      <c r="U6073" s="308" t="s">
        <v>166</v>
      </c>
      <c r="V6073" s="308"/>
    </row>
    <row r="6074">
      <c r="A6074" s="308">
        <v>6073.0</v>
      </c>
      <c r="B6074" s="308"/>
      <c r="C6074" s="308" t="s">
        <v>24288</v>
      </c>
      <c r="D6074" s="308">
        <f>IFERROR(__xludf.DUMMYFUNCTION("SPLIT(C6074,""-"")"),6094.0)</f>
        <v>6094</v>
      </c>
      <c r="E6074" s="308" t="str">
        <f>IFERROR(__xludf.DUMMYFUNCTION("""COMPUTED_VALUE"""),"S")</f>
        <v>S</v>
      </c>
      <c r="F6074" s="312" t="s">
        <v>39</v>
      </c>
      <c r="G6074" s="308"/>
      <c r="H6074" s="308" t="s">
        <v>24289</v>
      </c>
      <c r="I6074" s="310">
        <v>43572.0</v>
      </c>
      <c r="J6074" s="319">
        <f>IFERROR(__xludf.DUMMYFUNCTION("SPLIT(I6074,""/"")"),17.0)</f>
        <v>17</v>
      </c>
      <c r="K6074" s="308">
        <f>IFERROR(__xludf.DUMMYFUNCTION("""COMPUTED_VALUE"""),4.0)</f>
        <v>4</v>
      </c>
      <c r="L6074" s="308">
        <f>IFERROR(__xludf.DUMMYFUNCTION("""COMPUTED_VALUE"""),2019.0)</f>
        <v>2019</v>
      </c>
      <c r="M6074" s="308" t="s">
        <v>24290</v>
      </c>
      <c r="N6074" s="308"/>
      <c r="O6074" s="308"/>
      <c r="P6074" s="308" t="s">
        <v>38827</v>
      </c>
      <c r="Q6074" s="308" t="s">
        <v>38823</v>
      </c>
      <c r="R6074" s="308" t="s">
        <v>16185</v>
      </c>
      <c r="S6074" s="308" t="s">
        <v>81</v>
      </c>
      <c r="T6074" s="311" t="s">
        <v>77</v>
      </c>
      <c r="U6074" s="308" t="s">
        <v>166</v>
      </c>
      <c r="V6074" s="308"/>
    </row>
    <row r="6075">
      <c r="A6075" s="308">
        <v>6074.0</v>
      </c>
      <c r="B6075" s="308"/>
      <c r="C6075" s="308" t="s">
        <v>24292</v>
      </c>
      <c r="D6075" s="308">
        <f>IFERROR(__xludf.DUMMYFUNCTION("SPLIT(C6075,""-"")"),6095.0)</f>
        <v>6095</v>
      </c>
      <c r="E6075" s="308" t="str">
        <f>IFERROR(__xludf.DUMMYFUNCTION("""COMPUTED_VALUE"""),"S")</f>
        <v>S</v>
      </c>
      <c r="F6075" s="312" t="s">
        <v>39</v>
      </c>
      <c r="G6075" s="308"/>
      <c r="H6075" s="308" t="s">
        <v>24293</v>
      </c>
      <c r="I6075" s="310">
        <v>41398.0</v>
      </c>
      <c r="J6075" s="319">
        <f>IFERROR(__xludf.DUMMYFUNCTION("SPLIT(I6075,""/"")"),4.0)</f>
        <v>4</v>
      </c>
      <c r="K6075" s="308">
        <f>IFERROR(__xludf.DUMMYFUNCTION("""COMPUTED_VALUE"""),5.0)</f>
        <v>5</v>
      </c>
      <c r="L6075" s="308">
        <f>IFERROR(__xludf.DUMMYFUNCTION("""COMPUTED_VALUE"""),2013.0)</f>
        <v>2013</v>
      </c>
      <c r="M6075" s="308" t="s">
        <v>24294</v>
      </c>
      <c r="N6075" s="308"/>
      <c r="O6075" s="308"/>
      <c r="P6075" s="308" t="s">
        <v>38828</v>
      </c>
      <c r="Q6075" s="308" t="s">
        <v>38823</v>
      </c>
      <c r="R6075" s="308" t="s">
        <v>16185</v>
      </c>
      <c r="S6075" s="308" t="s">
        <v>49</v>
      </c>
      <c r="T6075" s="311" t="s">
        <v>51</v>
      </c>
      <c r="U6075" s="308" t="s">
        <v>166</v>
      </c>
      <c r="V6075" s="308"/>
    </row>
    <row r="6076">
      <c r="A6076" s="308">
        <v>6075.0</v>
      </c>
      <c r="B6076" s="308"/>
      <c r="C6076" s="308" t="s">
        <v>24296</v>
      </c>
      <c r="D6076" s="308">
        <f>IFERROR(__xludf.DUMMYFUNCTION("SPLIT(C6076,""-"")"),6096.0)</f>
        <v>6096</v>
      </c>
      <c r="E6076" s="308" t="str">
        <f>IFERROR(__xludf.DUMMYFUNCTION("""COMPUTED_VALUE"""),"S")</f>
        <v>S</v>
      </c>
      <c r="F6076" s="312" t="s">
        <v>39</v>
      </c>
      <c r="G6076" s="308"/>
      <c r="H6076" s="308" t="s">
        <v>24297</v>
      </c>
      <c r="I6076" s="314">
        <v>43447.0</v>
      </c>
      <c r="J6076" s="319">
        <f>IFERROR(__xludf.DUMMYFUNCTION("SPLIT(I6076,""/"")"),13.0)</f>
        <v>13</v>
      </c>
      <c r="K6076" s="308">
        <f>IFERROR(__xludf.DUMMYFUNCTION("""COMPUTED_VALUE"""),12.0)</f>
        <v>12</v>
      </c>
      <c r="L6076" s="308">
        <f>IFERROR(__xludf.DUMMYFUNCTION("""COMPUTED_VALUE"""),2018.0)</f>
        <v>2018</v>
      </c>
      <c r="M6076" s="308" t="s">
        <v>24298</v>
      </c>
      <c r="N6076" s="308"/>
      <c r="O6076" s="308"/>
      <c r="P6076" s="308" t="s">
        <v>38829</v>
      </c>
      <c r="Q6076" s="308" t="s">
        <v>38823</v>
      </c>
      <c r="R6076" s="308" t="s">
        <v>2743</v>
      </c>
      <c r="S6076" s="308" t="s">
        <v>49</v>
      </c>
      <c r="T6076" s="311" t="s">
        <v>51</v>
      </c>
      <c r="U6076" s="308" t="s">
        <v>166</v>
      </c>
      <c r="V6076" s="308"/>
    </row>
    <row r="6077">
      <c r="A6077" s="308">
        <v>6076.0</v>
      </c>
      <c r="B6077" s="308"/>
      <c r="C6077" s="308" t="s">
        <v>24300</v>
      </c>
      <c r="D6077" s="308">
        <f>IFERROR(__xludf.DUMMYFUNCTION("SPLIT(C6077,""-"")"),6097.0)</f>
        <v>6097</v>
      </c>
      <c r="E6077" s="308" t="str">
        <f>IFERROR(__xludf.DUMMYFUNCTION("""COMPUTED_VALUE"""),"K")</f>
        <v>K</v>
      </c>
      <c r="F6077" s="309" t="s">
        <v>34</v>
      </c>
      <c r="G6077" s="308"/>
      <c r="H6077" s="308" t="s">
        <v>24301</v>
      </c>
      <c r="I6077" s="310">
        <v>41609.0</v>
      </c>
      <c r="J6077" s="319">
        <f>IFERROR(__xludf.DUMMYFUNCTION("SPLIT(I6077,""/"")"),1.0)</f>
        <v>1</v>
      </c>
      <c r="K6077" s="308">
        <f>IFERROR(__xludf.DUMMYFUNCTION("""COMPUTED_VALUE"""),12.0)</f>
        <v>12</v>
      </c>
      <c r="L6077" s="308">
        <f>IFERROR(__xludf.DUMMYFUNCTION("""COMPUTED_VALUE"""),2013.0)</f>
        <v>2013</v>
      </c>
      <c r="M6077" s="308" t="s">
        <v>24302</v>
      </c>
      <c r="N6077" s="308" t="s">
        <v>24303</v>
      </c>
      <c r="O6077" s="308"/>
      <c r="P6077" s="308" t="s">
        <v>136</v>
      </c>
      <c r="Q6077" s="308" t="s">
        <v>38823</v>
      </c>
      <c r="R6077" s="308" t="s">
        <v>2743</v>
      </c>
      <c r="S6077" s="315" t="s">
        <v>100</v>
      </c>
      <c r="T6077" s="308" t="s">
        <v>34208</v>
      </c>
      <c r="U6077" s="308" t="s">
        <v>195</v>
      </c>
      <c r="V6077" s="308"/>
    </row>
    <row r="6078">
      <c r="A6078" s="308">
        <v>6077.0</v>
      </c>
      <c r="B6078" s="308"/>
      <c r="C6078" s="308" t="s">
        <v>24304</v>
      </c>
      <c r="D6078" s="308">
        <f>IFERROR(__xludf.DUMMYFUNCTION("SPLIT(C6078,""-"")"),6098.0)</f>
        <v>6098</v>
      </c>
      <c r="E6078" s="308" t="str">
        <f>IFERROR(__xludf.DUMMYFUNCTION("""COMPUTED_VALUE"""),"S")</f>
        <v>S</v>
      </c>
      <c r="F6078" s="312" t="s">
        <v>39</v>
      </c>
      <c r="G6078" s="308"/>
      <c r="H6078" s="308" t="s">
        <v>11622</v>
      </c>
      <c r="I6078" s="310">
        <v>42214.0</v>
      </c>
      <c r="J6078" s="319">
        <f>IFERROR(__xludf.DUMMYFUNCTION("SPLIT(I6078,""/"")"),29.0)</f>
        <v>29</v>
      </c>
      <c r="K6078" s="308">
        <f>IFERROR(__xludf.DUMMYFUNCTION("""COMPUTED_VALUE"""),7.0)</f>
        <v>7</v>
      </c>
      <c r="L6078" s="308">
        <f>IFERROR(__xludf.DUMMYFUNCTION("""COMPUTED_VALUE"""),2015.0)</f>
        <v>2015</v>
      </c>
      <c r="M6078" s="308" t="s">
        <v>24305</v>
      </c>
      <c r="N6078" s="308"/>
      <c r="O6078" s="308" t="s">
        <v>11624</v>
      </c>
      <c r="P6078" s="308" t="s">
        <v>38830</v>
      </c>
      <c r="Q6078" s="308" t="s">
        <v>38823</v>
      </c>
      <c r="R6078" s="308" t="s">
        <v>2743</v>
      </c>
      <c r="S6078" s="308" t="s">
        <v>49</v>
      </c>
      <c r="T6078" s="311" t="s">
        <v>53</v>
      </c>
      <c r="U6078" s="308" t="s">
        <v>166</v>
      </c>
      <c r="V6078" s="308"/>
    </row>
    <row r="6079">
      <c r="A6079" s="308">
        <v>6078.0</v>
      </c>
      <c r="B6079" s="308"/>
      <c r="C6079" s="308" t="s">
        <v>24307</v>
      </c>
      <c r="D6079" s="308">
        <f>IFERROR(__xludf.DUMMYFUNCTION("SPLIT(C6079,""-"")"),6099.0)</f>
        <v>6099</v>
      </c>
      <c r="E6079" s="308" t="str">
        <f>IFERROR(__xludf.DUMMYFUNCTION("""COMPUTED_VALUE"""),"S")</f>
        <v>S</v>
      </c>
      <c r="F6079" s="312" t="s">
        <v>39</v>
      </c>
      <c r="G6079" s="308"/>
      <c r="H6079" s="308" t="s">
        <v>24308</v>
      </c>
      <c r="I6079" s="310">
        <v>39995.0</v>
      </c>
      <c r="J6079" s="319">
        <f>IFERROR(__xludf.DUMMYFUNCTION("SPLIT(I6079,""/"")"),1.0)</f>
        <v>1</v>
      </c>
      <c r="K6079" s="308">
        <f>IFERROR(__xludf.DUMMYFUNCTION("""COMPUTED_VALUE"""),7.0)</f>
        <v>7</v>
      </c>
      <c r="L6079" s="308">
        <f>IFERROR(__xludf.DUMMYFUNCTION("""COMPUTED_VALUE"""),2009.0)</f>
        <v>2009</v>
      </c>
      <c r="M6079" s="308" t="s">
        <v>38831</v>
      </c>
      <c r="N6079" s="308" t="s">
        <v>24310</v>
      </c>
      <c r="O6079" s="308"/>
      <c r="P6079" s="308" t="s">
        <v>38832</v>
      </c>
      <c r="Q6079" s="308" t="s">
        <v>38833</v>
      </c>
      <c r="R6079" s="308" t="s">
        <v>2743</v>
      </c>
      <c r="S6079" s="308" t="s">
        <v>49</v>
      </c>
      <c r="T6079" s="311" t="s">
        <v>67</v>
      </c>
      <c r="U6079" s="308" t="s">
        <v>166</v>
      </c>
      <c r="V6079" s="308"/>
    </row>
    <row r="6080">
      <c r="A6080" s="308">
        <v>6079.0</v>
      </c>
      <c r="B6080" s="308"/>
      <c r="C6080" s="308" t="s">
        <v>24312</v>
      </c>
      <c r="D6080" s="308">
        <f>IFERROR(__xludf.DUMMYFUNCTION("SPLIT(C6080,""-"")"),6100.0)</f>
        <v>6100</v>
      </c>
      <c r="E6080" s="308" t="str">
        <f>IFERROR(__xludf.DUMMYFUNCTION("""COMPUTED_VALUE"""),"K")</f>
        <v>K</v>
      </c>
      <c r="F6080" s="309" t="s">
        <v>34</v>
      </c>
      <c r="G6080" s="308"/>
      <c r="H6080" s="308" t="s">
        <v>24313</v>
      </c>
      <c r="I6080" s="310">
        <v>42990.0</v>
      </c>
      <c r="J6080" s="319" t="str">
        <f>IFERROR(__xludf.DUMMYFUNCTION("SPLIT(I6080,""/"")"),"#REF!")</f>
        <v>#REF!</v>
      </c>
      <c r="K6080" s="308"/>
      <c r="L6080" s="308">
        <v>2017.0</v>
      </c>
      <c r="M6080" s="308" t="s">
        <v>24314</v>
      </c>
      <c r="N6080" s="308"/>
      <c r="O6080" s="308"/>
      <c r="P6080" s="308" t="s">
        <v>38834</v>
      </c>
      <c r="Q6080" s="308" t="s">
        <v>38833</v>
      </c>
      <c r="R6080" s="308" t="s">
        <v>2743</v>
      </c>
      <c r="S6080" s="308" t="s">
        <v>81</v>
      </c>
      <c r="T6080" s="308" t="s">
        <v>34264</v>
      </c>
      <c r="U6080" s="308" t="s">
        <v>125</v>
      </c>
      <c r="V6080" s="308"/>
    </row>
    <row r="6081">
      <c r="A6081" s="308">
        <v>6080.0</v>
      </c>
      <c r="B6081" s="308"/>
      <c r="C6081" s="308" t="s">
        <v>24316</v>
      </c>
      <c r="D6081" s="308">
        <f>IFERROR(__xludf.DUMMYFUNCTION("SPLIT(C6081,""-"")"),6101.0)</f>
        <v>6101</v>
      </c>
      <c r="E6081" s="308" t="str">
        <f>IFERROR(__xludf.DUMMYFUNCTION("""COMPUTED_VALUE"""),"P")</f>
        <v>P</v>
      </c>
      <c r="F6081" s="312" t="s">
        <v>37</v>
      </c>
      <c r="G6081" s="308"/>
      <c r="H6081" s="308" t="s">
        <v>24317</v>
      </c>
      <c r="I6081" s="310">
        <v>42789.0</v>
      </c>
      <c r="J6081" s="319">
        <f>IFERROR(__xludf.DUMMYFUNCTION("SPLIT(I6081,""/"")"),23.0)</f>
        <v>23</v>
      </c>
      <c r="K6081" s="308">
        <f>IFERROR(__xludf.DUMMYFUNCTION("""COMPUTED_VALUE"""),2.0)</f>
        <v>2</v>
      </c>
      <c r="L6081" s="308">
        <f>IFERROR(__xludf.DUMMYFUNCTION("""COMPUTED_VALUE"""),2017.0)</f>
        <v>2017</v>
      </c>
      <c r="M6081" s="308" t="s">
        <v>24318</v>
      </c>
      <c r="N6081" s="308" t="s">
        <v>24319</v>
      </c>
      <c r="O6081" s="308"/>
      <c r="P6081" s="308" t="s">
        <v>136</v>
      </c>
      <c r="Q6081" s="308" t="s">
        <v>38833</v>
      </c>
      <c r="R6081" s="308" t="s">
        <v>2743</v>
      </c>
      <c r="S6081" s="315" t="s">
        <v>100</v>
      </c>
      <c r="T6081" s="308" t="s">
        <v>34208</v>
      </c>
      <c r="U6081" s="308" t="s">
        <v>149</v>
      </c>
      <c r="V6081" s="308"/>
    </row>
    <row r="6082">
      <c r="A6082" s="308">
        <v>6081.0</v>
      </c>
      <c r="B6082" s="308"/>
      <c r="C6082" s="308" t="s">
        <v>24320</v>
      </c>
      <c r="D6082" s="308">
        <f>IFERROR(__xludf.DUMMYFUNCTION("SPLIT(C6082,""-"")"),6102.0)</f>
        <v>6102</v>
      </c>
      <c r="E6082" s="308" t="str">
        <f>IFERROR(__xludf.DUMMYFUNCTION("""COMPUTED_VALUE"""),"K")</f>
        <v>K</v>
      </c>
      <c r="F6082" s="309" t="s">
        <v>34</v>
      </c>
      <c r="G6082" s="308"/>
      <c r="H6082" s="308" t="s">
        <v>24321</v>
      </c>
      <c r="I6082" s="310">
        <v>42228.0</v>
      </c>
      <c r="J6082" s="319">
        <f>IFERROR(__xludf.DUMMYFUNCTION("SPLIT(I6082,""/"")"),12.0)</f>
        <v>12</v>
      </c>
      <c r="K6082" s="308">
        <f>IFERROR(__xludf.DUMMYFUNCTION("""COMPUTED_VALUE"""),8.0)</f>
        <v>8</v>
      </c>
      <c r="L6082" s="308">
        <f>IFERROR(__xludf.DUMMYFUNCTION("""COMPUTED_VALUE"""),2015.0)</f>
        <v>2015</v>
      </c>
      <c r="M6082" s="308" t="s">
        <v>24322</v>
      </c>
      <c r="N6082" s="308"/>
      <c r="O6082" s="312"/>
      <c r="P6082" s="308" t="s">
        <v>136</v>
      </c>
      <c r="Q6082" s="308" t="s">
        <v>38833</v>
      </c>
      <c r="R6082" s="308" t="s">
        <v>2743</v>
      </c>
      <c r="S6082" s="315" t="s">
        <v>100</v>
      </c>
      <c r="T6082" s="308" t="s">
        <v>34208</v>
      </c>
      <c r="U6082" s="308" t="s">
        <v>125</v>
      </c>
      <c r="V6082" s="308"/>
    </row>
    <row r="6083">
      <c r="A6083" s="308">
        <v>6082.0</v>
      </c>
      <c r="B6083" s="308"/>
      <c r="C6083" s="308" t="s">
        <v>24323</v>
      </c>
      <c r="D6083" s="308">
        <f>IFERROR(__xludf.DUMMYFUNCTION("SPLIT(C6083,""-"")"),6103.0)</f>
        <v>6103</v>
      </c>
      <c r="E6083" s="308" t="str">
        <f>IFERROR(__xludf.DUMMYFUNCTION("""COMPUTED_VALUE"""),"P")</f>
        <v>P</v>
      </c>
      <c r="F6083" s="312" t="s">
        <v>37</v>
      </c>
      <c r="G6083" s="308"/>
      <c r="H6083" s="308" t="s">
        <v>24324</v>
      </c>
      <c r="I6083" s="310">
        <v>42786.0</v>
      </c>
      <c r="J6083" s="319">
        <f>IFERROR(__xludf.DUMMYFUNCTION("SPLIT(I6083,""/"")"),20.0)</f>
        <v>20</v>
      </c>
      <c r="K6083" s="308">
        <f>IFERROR(__xludf.DUMMYFUNCTION("""COMPUTED_VALUE"""),2.0)</f>
        <v>2</v>
      </c>
      <c r="L6083" s="308">
        <f>IFERROR(__xludf.DUMMYFUNCTION("""COMPUTED_VALUE"""),2017.0)</f>
        <v>2017</v>
      </c>
      <c r="M6083" s="308" t="s">
        <v>38835</v>
      </c>
      <c r="N6083" s="308" t="s">
        <v>24326</v>
      </c>
      <c r="O6083" s="308" t="s">
        <v>24327</v>
      </c>
      <c r="P6083" s="308" t="s">
        <v>136</v>
      </c>
      <c r="Q6083" s="308" t="s">
        <v>38833</v>
      </c>
      <c r="R6083" s="308" t="s">
        <v>2743</v>
      </c>
      <c r="S6083" s="315" t="s">
        <v>100</v>
      </c>
      <c r="T6083" s="308" t="s">
        <v>34208</v>
      </c>
      <c r="U6083" s="308" t="s">
        <v>1182</v>
      </c>
      <c r="V6083" s="308"/>
    </row>
    <row r="6084">
      <c r="A6084" s="308">
        <v>6083.0</v>
      </c>
      <c r="B6084" s="308"/>
      <c r="C6084" s="308" t="s">
        <v>24328</v>
      </c>
      <c r="D6084" s="308">
        <f>IFERROR(__xludf.DUMMYFUNCTION("SPLIT(C6084,""-"")"),6104.0)</f>
        <v>6104</v>
      </c>
      <c r="E6084" s="308" t="str">
        <f>IFERROR(__xludf.DUMMYFUNCTION("""COMPUTED_VALUE"""),"K")</f>
        <v>K</v>
      </c>
      <c r="F6084" s="309" t="s">
        <v>34</v>
      </c>
      <c r="G6084" s="308"/>
      <c r="H6084" s="308" t="s">
        <v>24329</v>
      </c>
      <c r="I6084" s="310">
        <v>43042.0</v>
      </c>
      <c r="J6084" s="319" t="str">
        <f>IFERROR(__xludf.DUMMYFUNCTION("SPLIT(I6084,""/"")"),"#REF!")</f>
        <v>#REF!</v>
      </c>
      <c r="K6084" s="308"/>
      <c r="L6084" s="308">
        <v>2017.0</v>
      </c>
      <c r="M6084" s="308" t="s">
        <v>24330</v>
      </c>
      <c r="N6084" s="308"/>
      <c r="O6084" s="308"/>
      <c r="P6084" s="308" t="s">
        <v>38836</v>
      </c>
      <c r="Q6084" s="308" t="s">
        <v>38833</v>
      </c>
      <c r="R6084" s="308" t="s">
        <v>2743</v>
      </c>
      <c r="S6084" s="308" t="s">
        <v>81</v>
      </c>
      <c r="T6084" s="308" t="s">
        <v>34264</v>
      </c>
      <c r="U6084" s="308" t="s">
        <v>201</v>
      </c>
      <c r="V6084" s="308"/>
    </row>
    <row r="6085">
      <c r="A6085" s="308">
        <v>6084.0</v>
      </c>
      <c r="B6085" s="308"/>
      <c r="C6085" s="308" t="s">
        <v>24332</v>
      </c>
      <c r="D6085" s="308">
        <f>IFERROR(__xludf.DUMMYFUNCTION("SPLIT(C6085,""-"")"),6105.0)</f>
        <v>6105</v>
      </c>
      <c r="E6085" s="308" t="str">
        <f>IFERROR(__xludf.DUMMYFUNCTION("""COMPUTED_VALUE"""),"I")</f>
        <v>I</v>
      </c>
      <c r="F6085" s="309" t="s">
        <v>31</v>
      </c>
      <c r="G6085" s="308"/>
      <c r="H6085" s="308" t="s">
        <v>24333</v>
      </c>
      <c r="I6085" s="310">
        <v>42767.0</v>
      </c>
      <c r="J6085" s="319">
        <f>IFERROR(__xludf.DUMMYFUNCTION("SPLIT(I6085,""/"")"),1.0)</f>
        <v>1</v>
      </c>
      <c r="K6085" s="308">
        <f>IFERROR(__xludf.DUMMYFUNCTION("""COMPUTED_VALUE"""),2.0)</f>
        <v>2</v>
      </c>
      <c r="L6085" s="308">
        <f>IFERROR(__xludf.DUMMYFUNCTION("""COMPUTED_VALUE"""),2017.0)</f>
        <v>2017</v>
      </c>
      <c r="M6085" s="308" t="s">
        <v>24334</v>
      </c>
      <c r="N6085" s="308" t="s">
        <v>24335</v>
      </c>
      <c r="O6085" s="308" t="s">
        <v>24336</v>
      </c>
      <c r="P6085" s="308" t="s">
        <v>24337</v>
      </c>
      <c r="Q6085" s="308" t="s">
        <v>38833</v>
      </c>
      <c r="R6085" s="308" t="s">
        <v>2743</v>
      </c>
      <c r="S6085" s="308" t="s">
        <v>81</v>
      </c>
      <c r="T6085" s="311" t="s">
        <v>51</v>
      </c>
      <c r="U6085" s="308" t="s">
        <v>31</v>
      </c>
      <c r="V6085" s="308"/>
    </row>
    <row r="6086">
      <c r="A6086" s="308">
        <v>6085.0</v>
      </c>
      <c r="B6086" s="308"/>
      <c r="C6086" s="308" t="s">
        <v>24338</v>
      </c>
      <c r="D6086" s="308">
        <f>IFERROR(__xludf.DUMMYFUNCTION("SPLIT(C6086,""-"")"),6106.0)</f>
        <v>6106</v>
      </c>
      <c r="E6086" s="308" t="str">
        <f>IFERROR(__xludf.DUMMYFUNCTION("""COMPUTED_VALUE"""),"K")</f>
        <v>K</v>
      </c>
      <c r="F6086" s="309" t="s">
        <v>34</v>
      </c>
      <c r="G6086" s="308"/>
      <c r="H6086" s="308" t="s">
        <v>24339</v>
      </c>
      <c r="I6086" s="310">
        <v>43561.0</v>
      </c>
      <c r="J6086" s="319">
        <f>IFERROR(__xludf.DUMMYFUNCTION("SPLIT(I6086,""/"")"),6.0)</f>
        <v>6</v>
      </c>
      <c r="K6086" s="308">
        <f>IFERROR(__xludf.DUMMYFUNCTION("""COMPUTED_VALUE"""),4.0)</f>
        <v>4</v>
      </c>
      <c r="L6086" s="308">
        <f>IFERROR(__xludf.DUMMYFUNCTION("""COMPUTED_VALUE"""),2019.0)</f>
        <v>2019</v>
      </c>
      <c r="M6086" s="308" t="s">
        <v>24340</v>
      </c>
      <c r="N6086" s="308" t="s">
        <v>439</v>
      </c>
      <c r="O6086" s="308" t="s">
        <v>24341</v>
      </c>
      <c r="P6086" s="308" t="s">
        <v>24342</v>
      </c>
      <c r="Q6086" s="308" t="s">
        <v>38837</v>
      </c>
      <c r="R6086" s="308" t="s">
        <v>2743</v>
      </c>
      <c r="S6086" s="308" t="s">
        <v>81</v>
      </c>
      <c r="T6086" s="308" t="s">
        <v>34264</v>
      </c>
      <c r="U6086" s="308" t="s">
        <v>1509</v>
      </c>
      <c r="V6086" s="308"/>
    </row>
    <row r="6087">
      <c r="A6087" s="308">
        <v>6086.0</v>
      </c>
      <c r="B6087" s="308"/>
      <c r="C6087" s="308" t="s">
        <v>24343</v>
      </c>
      <c r="D6087" s="308">
        <f>IFERROR(__xludf.DUMMYFUNCTION("SPLIT(C6087,""-"")"),6107.0)</f>
        <v>6107</v>
      </c>
      <c r="E6087" s="308" t="str">
        <f>IFERROR(__xludf.DUMMYFUNCTION("""COMPUTED_VALUE"""),"S")</f>
        <v>S</v>
      </c>
      <c r="F6087" s="312" t="s">
        <v>39</v>
      </c>
      <c r="G6087" s="308"/>
      <c r="H6087" s="308" t="s">
        <v>24344</v>
      </c>
      <c r="I6087" s="310">
        <v>43577.0</v>
      </c>
      <c r="J6087" s="319">
        <f>IFERROR(__xludf.DUMMYFUNCTION("SPLIT(I6087,""/"")"),22.0)</f>
        <v>22</v>
      </c>
      <c r="K6087" s="308">
        <f>IFERROR(__xludf.DUMMYFUNCTION("""COMPUTED_VALUE"""),4.0)</f>
        <v>4</v>
      </c>
      <c r="L6087" s="308">
        <f>IFERROR(__xludf.DUMMYFUNCTION("""COMPUTED_VALUE"""),2019.0)</f>
        <v>2019</v>
      </c>
      <c r="M6087" s="308" t="s">
        <v>38838</v>
      </c>
      <c r="N6087" s="308"/>
      <c r="O6087" s="308" t="s">
        <v>38839</v>
      </c>
      <c r="P6087" s="308" t="s">
        <v>38840</v>
      </c>
      <c r="Q6087" s="308" t="s">
        <v>38841</v>
      </c>
      <c r="R6087" s="308" t="s">
        <v>16585</v>
      </c>
      <c r="S6087" s="308" t="s">
        <v>81</v>
      </c>
      <c r="T6087" s="308" t="s">
        <v>73</v>
      </c>
      <c r="U6087" s="308" t="s">
        <v>166</v>
      </c>
      <c r="V6087" s="308"/>
    </row>
    <row r="6088">
      <c r="A6088" s="308">
        <v>6087.0</v>
      </c>
      <c r="B6088" s="308"/>
      <c r="C6088" s="308" t="s">
        <v>24348</v>
      </c>
      <c r="D6088" s="308">
        <f>IFERROR(__xludf.DUMMYFUNCTION("SPLIT(C6088,""-"")"),6108.0)</f>
        <v>6108</v>
      </c>
      <c r="E6088" s="308" t="str">
        <f>IFERROR(__xludf.DUMMYFUNCTION("""COMPUTED_VALUE"""),"P")</f>
        <v>P</v>
      </c>
      <c r="F6088" s="312" t="s">
        <v>37</v>
      </c>
      <c r="G6088" s="308"/>
      <c r="H6088" s="308" t="s">
        <v>24349</v>
      </c>
      <c r="I6088" s="310">
        <v>43600.0</v>
      </c>
      <c r="J6088" s="319">
        <f>IFERROR(__xludf.DUMMYFUNCTION("SPLIT(I6088,""/"")"),15.0)</f>
        <v>15</v>
      </c>
      <c r="K6088" s="308">
        <f>IFERROR(__xludf.DUMMYFUNCTION("""COMPUTED_VALUE"""),5.0)</f>
        <v>5</v>
      </c>
      <c r="L6088" s="308">
        <f>IFERROR(__xludf.DUMMYFUNCTION("""COMPUTED_VALUE"""),2019.0)</f>
        <v>2019</v>
      </c>
      <c r="M6088" s="308" t="s">
        <v>38842</v>
      </c>
      <c r="N6088" s="308"/>
      <c r="O6088" s="308"/>
      <c r="P6088" s="308" t="s">
        <v>24351</v>
      </c>
      <c r="Q6088" s="308" t="s">
        <v>38843</v>
      </c>
      <c r="R6088" s="308" t="s">
        <v>2743</v>
      </c>
      <c r="S6088" s="308" t="s">
        <v>81</v>
      </c>
      <c r="T6088" s="308" t="s">
        <v>75</v>
      </c>
      <c r="U6088" s="308" t="s">
        <v>143</v>
      </c>
      <c r="V6088" s="308"/>
    </row>
    <row r="6089">
      <c r="A6089" s="308">
        <v>6088.0</v>
      </c>
      <c r="B6089" s="308"/>
      <c r="C6089" s="308" t="s">
        <v>24352</v>
      </c>
      <c r="D6089" s="308">
        <f>IFERROR(__xludf.DUMMYFUNCTION("SPLIT(C6089,""-"")"),6109.0)</f>
        <v>6109</v>
      </c>
      <c r="E6089" s="308" t="str">
        <f>IFERROR(__xludf.DUMMYFUNCTION("""COMPUTED_VALUE"""),"S")</f>
        <v>S</v>
      </c>
      <c r="F6089" s="312" t="s">
        <v>39</v>
      </c>
      <c r="G6089" s="308"/>
      <c r="H6089" s="308" t="s">
        <v>24353</v>
      </c>
      <c r="I6089" s="310">
        <v>43578.0</v>
      </c>
      <c r="J6089" s="319">
        <f>IFERROR(__xludf.DUMMYFUNCTION("SPLIT(I6089,""/"")"),23.0)</f>
        <v>23</v>
      </c>
      <c r="K6089" s="308">
        <f>IFERROR(__xludf.DUMMYFUNCTION("""COMPUTED_VALUE"""),4.0)</f>
        <v>4</v>
      </c>
      <c r="L6089" s="308">
        <f>IFERROR(__xludf.DUMMYFUNCTION("""COMPUTED_VALUE"""),2019.0)</f>
        <v>2019</v>
      </c>
      <c r="M6089" s="308" t="s">
        <v>24354</v>
      </c>
      <c r="N6089" s="308"/>
      <c r="O6089" s="308"/>
      <c r="P6089" s="308" t="s">
        <v>38844</v>
      </c>
      <c r="Q6089" s="308" t="s">
        <v>38845</v>
      </c>
      <c r="R6089" s="308" t="s">
        <v>2743</v>
      </c>
      <c r="S6089" s="308" t="s">
        <v>81</v>
      </c>
      <c r="T6089" s="308" t="s">
        <v>75</v>
      </c>
      <c r="U6089" s="308" t="s">
        <v>166</v>
      </c>
      <c r="V6089" s="308"/>
    </row>
    <row r="6090">
      <c r="A6090" s="308">
        <v>6089.0</v>
      </c>
      <c r="B6090" s="308"/>
      <c r="C6090" s="308" t="s">
        <v>24356</v>
      </c>
      <c r="D6090" s="308">
        <f>IFERROR(__xludf.DUMMYFUNCTION("SPLIT(C6090,""-"")"),6110.0)</f>
        <v>6110</v>
      </c>
      <c r="E6090" s="308" t="str">
        <f>IFERROR(__xludf.DUMMYFUNCTION("""COMPUTED_VALUE"""),"P")</f>
        <v>P</v>
      </c>
      <c r="F6090" s="312" t="s">
        <v>37</v>
      </c>
      <c r="G6090" s="308"/>
      <c r="H6090" s="308" t="s">
        <v>24357</v>
      </c>
      <c r="I6090" s="310">
        <v>43601.0</v>
      </c>
      <c r="J6090" s="319">
        <f>IFERROR(__xludf.DUMMYFUNCTION("SPLIT(I6090,""/"")"),16.0)</f>
        <v>16</v>
      </c>
      <c r="K6090" s="308">
        <f>IFERROR(__xludf.DUMMYFUNCTION("""COMPUTED_VALUE"""),5.0)</f>
        <v>5</v>
      </c>
      <c r="L6090" s="308">
        <f>IFERROR(__xludf.DUMMYFUNCTION("""COMPUTED_VALUE"""),2019.0)</f>
        <v>2019</v>
      </c>
      <c r="M6090" s="308" t="s">
        <v>24358</v>
      </c>
      <c r="N6090" s="308" t="s">
        <v>24359</v>
      </c>
      <c r="O6090" s="308"/>
      <c r="P6090" s="308" t="s">
        <v>38846</v>
      </c>
      <c r="Q6090" s="308" t="s">
        <v>38845</v>
      </c>
      <c r="R6090" s="308" t="s">
        <v>2743</v>
      </c>
      <c r="S6090" s="308" t="s">
        <v>81</v>
      </c>
      <c r="T6090" s="311" t="s">
        <v>96</v>
      </c>
      <c r="U6090" s="308" t="s">
        <v>4273</v>
      </c>
      <c r="V6090" s="308"/>
    </row>
    <row r="6091">
      <c r="A6091" s="308">
        <v>6090.0</v>
      </c>
      <c r="B6091" s="308"/>
      <c r="C6091" s="308" t="s">
        <v>24361</v>
      </c>
      <c r="D6091" s="308">
        <f>IFERROR(__xludf.DUMMYFUNCTION("SPLIT(C6091,""-"")"),6111.0)</f>
        <v>6111</v>
      </c>
      <c r="E6091" s="308" t="str">
        <f>IFERROR(__xludf.DUMMYFUNCTION("""COMPUTED_VALUE"""),"P")</f>
        <v>P</v>
      </c>
      <c r="F6091" s="312" t="s">
        <v>37</v>
      </c>
      <c r="G6091" s="308"/>
      <c r="H6091" s="308" t="s">
        <v>24362</v>
      </c>
      <c r="I6091" s="310">
        <v>43598.0</v>
      </c>
      <c r="J6091" s="319">
        <f>IFERROR(__xludf.DUMMYFUNCTION("SPLIT(I6091,""/"")"),13.0)</f>
        <v>13</v>
      </c>
      <c r="K6091" s="308">
        <f>IFERROR(__xludf.DUMMYFUNCTION("""COMPUTED_VALUE"""),5.0)</f>
        <v>5</v>
      </c>
      <c r="L6091" s="308">
        <f>IFERROR(__xludf.DUMMYFUNCTION("""COMPUTED_VALUE"""),2019.0)</f>
        <v>2019</v>
      </c>
      <c r="M6091" s="308" t="s">
        <v>24363</v>
      </c>
      <c r="N6091" s="308"/>
      <c r="O6091" s="308"/>
      <c r="P6091" s="308" t="s">
        <v>24364</v>
      </c>
      <c r="Q6091" s="308" t="s">
        <v>38847</v>
      </c>
      <c r="R6091" s="308" t="s">
        <v>2743</v>
      </c>
      <c r="S6091" s="308" t="s">
        <v>81</v>
      </c>
      <c r="T6091" s="308" t="s">
        <v>75</v>
      </c>
      <c r="U6091" s="308" t="s">
        <v>2527</v>
      </c>
      <c r="V6091" s="308"/>
    </row>
    <row r="6092">
      <c r="A6092" s="308">
        <v>6091.0</v>
      </c>
      <c r="B6092" s="308"/>
      <c r="C6092" s="308" t="s">
        <v>24365</v>
      </c>
      <c r="D6092" s="308">
        <f>IFERROR(__xludf.DUMMYFUNCTION("SPLIT(C6092,""-"")"),6112.0)</f>
        <v>6112</v>
      </c>
      <c r="E6092" s="308" t="str">
        <f>IFERROR(__xludf.DUMMYFUNCTION("""COMPUTED_VALUE"""),"P")</f>
        <v>P</v>
      </c>
      <c r="F6092" s="312" t="s">
        <v>37</v>
      </c>
      <c r="G6092" s="308"/>
      <c r="H6092" s="308" t="s">
        <v>24366</v>
      </c>
      <c r="I6092" s="310">
        <v>43603.0</v>
      </c>
      <c r="J6092" s="319">
        <f>IFERROR(__xludf.DUMMYFUNCTION("SPLIT(I6092,""/"")"),18.0)</f>
        <v>18</v>
      </c>
      <c r="K6092" s="308">
        <f>IFERROR(__xludf.DUMMYFUNCTION("""COMPUTED_VALUE"""),5.0)</f>
        <v>5</v>
      </c>
      <c r="L6092" s="308">
        <f>IFERROR(__xludf.DUMMYFUNCTION("""COMPUTED_VALUE"""),2019.0)</f>
        <v>2019</v>
      </c>
      <c r="M6092" s="308" t="s">
        <v>24367</v>
      </c>
      <c r="N6092" s="308"/>
      <c r="O6092" s="308"/>
      <c r="P6092" s="308" t="s">
        <v>38848</v>
      </c>
      <c r="Q6092" s="308" t="s">
        <v>38847</v>
      </c>
      <c r="R6092" s="308" t="s">
        <v>2743</v>
      </c>
      <c r="S6092" s="308" t="s">
        <v>81</v>
      </c>
      <c r="T6092" s="308" t="s">
        <v>75</v>
      </c>
      <c r="U6092" s="308" t="s">
        <v>2527</v>
      </c>
      <c r="V6092" s="308"/>
    </row>
    <row r="6093">
      <c r="A6093" s="308">
        <v>6092.0</v>
      </c>
      <c r="B6093" s="308"/>
      <c r="C6093" s="308" t="s">
        <v>24369</v>
      </c>
      <c r="D6093" s="308">
        <f>IFERROR(__xludf.DUMMYFUNCTION("SPLIT(C6093,""-"")"),6113.0)</f>
        <v>6113</v>
      </c>
      <c r="E6093" s="308" t="str">
        <f>IFERROR(__xludf.DUMMYFUNCTION("""COMPUTED_VALUE"""),"K")</f>
        <v>K</v>
      </c>
      <c r="F6093" s="309" t="s">
        <v>34</v>
      </c>
      <c r="G6093" s="308"/>
      <c r="H6093" s="308" t="s">
        <v>24370</v>
      </c>
      <c r="I6093" s="310">
        <v>41054.0</v>
      </c>
      <c r="J6093" s="319">
        <f>IFERROR(__xludf.DUMMYFUNCTION("SPLIT(I6093,""/"")"),25.0)</f>
        <v>25</v>
      </c>
      <c r="K6093" s="308">
        <f>IFERROR(__xludf.DUMMYFUNCTION("""COMPUTED_VALUE"""),5.0)</f>
        <v>5</v>
      </c>
      <c r="L6093" s="308">
        <f>IFERROR(__xludf.DUMMYFUNCTION("""COMPUTED_VALUE"""),2012.0)</f>
        <v>2012</v>
      </c>
      <c r="M6093" s="308" t="s">
        <v>24371</v>
      </c>
      <c r="N6093" s="308"/>
      <c r="O6093" s="308" t="s">
        <v>24372</v>
      </c>
      <c r="P6093" s="308" t="s">
        <v>136</v>
      </c>
      <c r="Q6093" s="308" t="s">
        <v>38849</v>
      </c>
      <c r="R6093" s="308" t="s">
        <v>2743</v>
      </c>
      <c r="S6093" s="315" t="s">
        <v>100</v>
      </c>
      <c r="T6093" s="308" t="s">
        <v>34208</v>
      </c>
      <c r="U6093" s="308" t="s">
        <v>4749</v>
      </c>
      <c r="V6093" s="308"/>
    </row>
    <row r="6094">
      <c r="A6094" s="308">
        <v>6093.0</v>
      </c>
      <c r="B6094" s="308"/>
      <c r="C6094" s="308" t="s">
        <v>24373</v>
      </c>
      <c r="D6094" s="308">
        <f>IFERROR(__xludf.DUMMYFUNCTION("SPLIT(C6094,""-"")"),6114.0)</f>
        <v>6114</v>
      </c>
      <c r="E6094" s="308" t="str">
        <f>IFERROR(__xludf.DUMMYFUNCTION("""COMPUTED_VALUE"""),"B")</f>
        <v>B</v>
      </c>
      <c r="F6094" s="315" t="s">
        <v>26</v>
      </c>
      <c r="G6094" s="308"/>
      <c r="H6094" s="308" t="s">
        <v>24374</v>
      </c>
      <c r="I6094" s="310">
        <v>43605.0</v>
      </c>
      <c r="J6094" s="319">
        <f>IFERROR(__xludf.DUMMYFUNCTION("SPLIT(I6094,""/"")"),20.0)</f>
        <v>20</v>
      </c>
      <c r="K6094" s="308">
        <f>IFERROR(__xludf.DUMMYFUNCTION("""COMPUTED_VALUE"""),5.0)</f>
        <v>5</v>
      </c>
      <c r="L6094" s="308">
        <f>IFERROR(__xludf.DUMMYFUNCTION("""COMPUTED_VALUE"""),2019.0)</f>
        <v>2019</v>
      </c>
      <c r="M6094" s="308" t="s">
        <v>24375</v>
      </c>
      <c r="N6094" s="308"/>
      <c r="O6094" s="308"/>
      <c r="P6094" s="308" t="s">
        <v>136</v>
      </c>
      <c r="Q6094" s="308" t="s">
        <v>38849</v>
      </c>
      <c r="R6094" s="308" t="s">
        <v>2743</v>
      </c>
      <c r="S6094" s="315" t="s">
        <v>100</v>
      </c>
      <c r="T6094" s="308" t="s">
        <v>34208</v>
      </c>
      <c r="U6094" s="308" t="s">
        <v>27</v>
      </c>
      <c r="V6094" s="308"/>
    </row>
    <row r="6095">
      <c r="A6095" s="308">
        <v>6094.0</v>
      </c>
      <c r="B6095" s="308"/>
      <c r="C6095" s="308" t="s">
        <v>24376</v>
      </c>
      <c r="D6095" s="308">
        <f>IFERROR(__xludf.DUMMYFUNCTION("SPLIT(C6095,""-"")"),6115.0)</f>
        <v>6115</v>
      </c>
      <c r="E6095" s="308" t="str">
        <f>IFERROR(__xludf.DUMMYFUNCTION("""COMPUTED_VALUE"""),"S")</f>
        <v>S</v>
      </c>
      <c r="F6095" s="312" t="s">
        <v>39</v>
      </c>
      <c r="G6095" s="308"/>
      <c r="H6095" s="308" t="s">
        <v>24377</v>
      </c>
      <c r="I6095" s="310">
        <v>43516.0</v>
      </c>
      <c r="J6095" s="319">
        <f>IFERROR(__xludf.DUMMYFUNCTION("SPLIT(I6095,""/"")"),20.0)</f>
        <v>20</v>
      </c>
      <c r="K6095" s="308">
        <f>IFERROR(__xludf.DUMMYFUNCTION("""COMPUTED_VALUE"""),2.0)</f>
        <v>2</v>
      </c>
      <c r="L6095" s="308">
        <f>IFERROR(__xludf.DUMMYFUNCTION("""COMPUTED_VALUE"""),2019.0)</f>
        <v>2019</v>
      </c>
      <c r="M6095" s="308" t="s">
        <v>24378</v>
      </c>
      <c r="N6095" s="308"/>
      <c r="O6095" s="308"/>
      <c r="P6095" s="308" t="s">
        <v>38850</v>
      </c>
      <c r="Q6095" s="308" t="s">
        <v>38849</v>
      </c>
      <c r="R6095" s="308" t="s">
        <v>2743</v>
      </c>
      <c r="S6095" s="308" t="s">
        <v>81</v>
      </c>
      <c r="T6095" s="308" t="s">
        <v>75</v>
      </c>
      <c r="U6095" s="308" t="s">
        <v>166</v>
      </c>
      <c r="V6095" s="308"/>
    </row>
    <row r="6096">
      <c r="A6096" s="308">
        <v>6095.0</v>
      </c>
      <c r="B6096" s="308"/>
      <c r="C6096" s="308" t="s">
        <v>24380</v>
      </c>
      <c r="D6096" s="308">
        <f>IFERROR(__xludf.DUMMYFUNCTION("SPLIT(C6096,""-"")"),6116.0)</f>
        <v>6116</v>
      </c>
      <c r="E6096" s="308" t="str">
        <f>IFERROR(__xludf.DUMMYFUNCTION("""COMPUTED_VALUE"""),"P")</f>
        <v>P</v>
      </c>
      <c r="F6096" s="312" t="s">
        <v>37</v>
      </c>
      <c r="G6096" s="308"/>
      <c r="H6096" s="308" t="s">
        <v>24381</v>
      </c>
      <c r="I6096" s="310">
        <v>43589.0</v>
      </c>
      <c r="J6096" s="319">
        <f>IFERROR(__xludf.DUMMYFUNCTION("SPLIT(I6096,""/"")"),4.0)</f>
        <v>4</v>
      </c>
      <c r="K6096" s="308">
        <f>IFERROR(__xludf.DUMMYFUNCTION("""COMPUTED_VALUE"""),5.0)</f>
        <v>5</v>
      </c>
      <c r="L6096" s="308">
        <f>IFERROR(__xludf.DUMMYFUNCTION("""COMPUTED_VALUE"""),2019.0)</f>
        <v>2019</v>
      </c>
      <c r="M6096" s="308" t="s">
        <v>24382</v>
      </c>
      <c r="N6096" s="308"/>
      <c r="O6096" s="308"/>
      <c r="P6096" s="308" t="s">
        <v>24383</v>
      </c>
      <c r="Q6096" s="308" t="s">
        <v>38851</v>
      </c>
      <c r="R6096" s="308" t="s">
        <v>2743</v>
      </c>
      <c r="S6096" s="308" t="s">
        <v>81</v>
      </c>
      <c r="T6096" s="308" t="s">
        <v>75</v>
      </c>
      <c r="U6096" s="308" t="s">
        <v>1435</v>
      </c>
      <c r="V6096" s="308"/>
    </row>
    <row r="6097">
      <c r="A6097" s="308">
        <v>6096.0</v>
      </c>
      <c r="B6097" s="308"/>
      <c r="C6097" s="308" t="s">
        <v>24384</v>
      </c>
      <c r="D6097" s="308">
        <f>IFERROR(__xludf.DUMMYFUNCTION("SPLIT(C6097,""-"")"),6117.0)</f>
        <v>6117</v>
      </c>
      <c r="E6097" s="308" t="str">
        <f>IFERROR(__xludf.DUMMYFUNCTION("""COMPUTED_VALUE"""),"P")</f>
        <v>P</v>
      </c>
      <c r="F6097" s="312" t="s">
        <v>37</v>
      </c>
      <c r="G6097" s="308"/>
      <c r="H6097" s="308" t="s">
        <v>24385</v>
      </c>
      <c r="I6097" s="310">
        <v>43586.0</v>
      </c>
      <c r="J6097" s="319">
        <f>IFERROR(__xludf.DUMMYFUNCTION("SPLIT(I6097,""/"")"),1.0)</f>
        <v>1</v>
      </c>
      <c r="K6097" s="308">
        <f>IFERROR(__xludf.DUMMYFUNCTION("""COMPUTED_VALUE"""),5.0)</f>
        <v>5</v>
      </c>
      <c r="L6097" s="308">
        <f>IFERROR(__xludf.DUMMYFUNCTION("""COMPUTED_VALUE"""),2019.0)</f>
        <v>2019</v>
      </c>
      <c r="M6097" s="308" t="s">
        <v>24386</v>
      </c>
      <c r="N6097" s="308"/>
      <c r="O6097" s="308"/>
      <c r="P6097" s="308" t="s">
        <v>38852</v>
      </c>
      <c r="Q6097" s="308" t="s">
        <v>38851</v>
      </c>
      <c r="R6097" s="308" t="s">
        <v>2743</v>
      </c>
      <c r="S6097" s="309" t="s">
        <v>81</v>
      </c>
      <c r="T6097" s="311" t="s">
        <v>96</v>
      </c>
      <c r="U6097" s="308" t="s">
        <v>149</v>
      </c>
      <c r="V6097" s="308"/>
    </row>
    <row r="6098">
      <c r="A6098" s="308">
        <v>6097.0</v>
      </c>
      <c r="B6098" s="308"/>
      <c r="C6098" s="308" t="s">
        <v>24388</v>
      </c>
      <c r="D6098" s="308">
        <f>IFERROR(__xludf.DUMMYFUNCTION("SPLIT(C6098,""-"")"),6118.0)</f>
        <v>6118</v>
      </c>
      <c r="E6098" s="308" t="str">
        <f>IFERROR(__xludf.DUMMYFUNCTION("""COMPUTED_VALUE"""),"P")</f>
        <v>P</v>
      </c>
      <c r="F6098" s="312" t="s">
        <v>37</v>
      </c>
      <c r="G6098" s="308"/>
      <c r="H6098" s="308" t="s">
        <v>24389</v>
      </c>
      <c r="I6098" s="310">
        <v>42920.0</v>
      </c>
      <c r="J6098" s="319">
        <f>IFERROR(__xludf.DUMMYFUNCTION("SPLIT(I6098,""/"")"),4.0)</f>
        <v>4</v>
      </c>
      <c r="K6098" s="308">
        <f>IFERROR(__xludf.DUMMYFUNCTION("""COMPUTED_VALUE"""),7.0)</f>
        <v>7</v>
      </c>
      <c r="L6098" s="308">
        <f>IFERROR(__xludf.DUMMYFUNCTION("""COMPUTED_VALUE"""),2017.0)</f>
        <v>2017</v>
      </c>
      <c r="M6098" s="308" t="s">
        <v>24390</v>
      </c>
      <c r="N6098" s="308" t="s">
        <v>24391</v>
      </c>
      <c r="O6098" s="308"/>
      <c r="P6098" s="308" t="s">
        <v>136</v>
      </c>
      <c r="Q6098" s="308" t="s">
        <v>38851</v>
      </c>
      <c r="R6098" s="308" t="s">
        <v>2743</v>
      </c>
      <c r="S6098" s="315" t="s">
        <v>100</v>
      </c>
      <c r="T6098" s="308" t="s">
        <v>34208</v>
      </c>
      <c r="U6098" s="308" t="s">
        <v>5712</v>
      </c>
      <c r="V6098" s="308"/>
    </row>
    <row r="6099">
      <c r="A6099" s="308">
        <v>6098.0</v>
      </c>
      <c r="B6099" s="308"/>
      <c r="C6099" s="308" t="s">
        <v>24392</v>
      </c>
      <c r="D6099" s="308">
        <f>IFERROR(__xludf.DUMMYFUNCTION("SPLIT(C6099,""-"")"),6119.0)</f>
        <v>6119</v>
      </c>
      <c r="E6099" s="308" t="str">
        <f>IFERROR(__xludf.DUMMYFUNCTION("""COMPUTED_VALUE"""),"K")</f>
        <v>K</v>
      </c>
      <c r="F6099" s="309" t="s">
        <v>34</v>
      </c>
      <c r="G6099" s="308"/>
      <c r="H6099" s="308" t="s">
        <v>24393</v>
      </c>
      <c r="I6099" s="314">
        <v>40465.0</v>
      </c>
      <c r="J6099" s="319">
        <f>IFERROR(__xludf.DUMMYFUNCTION("SPLIT(I6099,""/"")"),14.0)</f>
        <v>14</v>
      </c>
      <c r="K6099" s="308">
        <f>IFERROR(__xludf.DUMMYFUNCTION("""COMPUTED_VALUE"""),10.0)</f>
        <v>10</v>
      </c>
      <c r="L6099" s="308">
        <f>IFERROR(__xludf.DUMMYFUNCTION("""COMPUTED_VALUE"""),2010.0)</f>
        <v>2010</v>
      </c>
      <c r="M6099" s="308" t="s">
        <v>24394</v>
      </c>
      <c r="N6099" s="308"/>
      <c r="O6099" s="308"/>
      <c r="P6099" s="308" t="s">
        <v>136</v>
      </c>
      <c r="Q6099" s="308" t="s">
        <v>38851</v>
      </c>
      <c r="R6099" s="308" t="s">
        <v>24395</v>
      </c>
      <c r="S6099" s="315" t="s">
        <v>100</v>
      </c>
      <c r="T6099" s="308" t="s">
        <v>34208</v>
      </c>
      <c r="U6099" s="308" t="s">
        <v>2989</v>
      </c>
      <c r="V6099" s="308"/>
    </row>
    <row r="6100">
      <c r="A6100" s="308">
        <v>6099.0</v>
      </c>
      <c r="B6100" s="308"/>
      <c r="C6100" s="308" t="s">
        <v>24396</v>
      </c>
      <c r="D6100" s="308">
        <f>IFERROR(__xludf.DUMMYFUNCTION("SPLIT(C6100,""-"")"),6120.0)</f>
        <v>6120</v>
      </c>
      <c r="E6100" s="308" t="str">
        <f>IFERROR(__xludf.DUMMYFUNCTION("""COMPUTED_VALUE"""),"P")</f>
        <v>P</v>
      </c>
      <c r="F6100" s="312" t="s">
        <v>37</v>
      </c>
      <c r="G6100" s="308"/>
      <c r="H6100" s="308" t="s">
        <v>24397</v>
      </c>
      <c r="I6100" s="310">
        <v>41821.0</v>
      </c>
      <c r="J6100" s="319">
        <f>IFERROR(__xludf.DUMMYFUNCTION("SPLIT(I6100,""/"")"),1.0)</f>
        <v>1</v>
      </c>
      <c r="K6100" s="308">
        <f>IFERROR(__xludf.DUMMYFUNCTION("""COMPUTED_VALUE"""),7.0)</f>
        <v>7</v>
      </c>
      <c r="L6100" s="308">
        <f>IFERROR(__xludf.DUMMYFUNCTION("""COMPUTED_VALUE"""),2014.0)</f>
        <v>2014</v>
      </c>
      <c r="M6100" s="308" t="s">
        <v>24398</v>
      </c>
      <c r="N6100" s="308"/>
      <c r="O6100" s="308"/>
      <c r="P6100" s="308" t="s">
        <v>136</v>
      </c>
      <c r="Q6100" s="308" t="s">
        <v>38851</v>
      </c>
      <c r="R6100" s="308" t="s">
        <v>2743</v>
      </c>
      <c r="S6100" s="315" t="s">
        <v>100</v>
      </c>
      <c r="T6100" s="308" t="s">
        <v>34208</v>
      </c>
      <c r="U6100" s="308" t="s">
        <v>2291</v>
      </c>
      <c r="V6100" s="308"/>
    </row>
    <row r="6101">
      <c r="A6101" s="308">
        <v>6100.0</v>
      </c>
      <c r="B6101" s="308"/>
      <c r="C6101" s="308" t="s">
        <v>24399</v>
      </c>
      <c r="D6101" s="308">
        <f>IFERROR(__xludf.DUMMYFUNCTION("SPLIT(C6101,""-"")"),6121.0)</f>
        <v>6121</v>
      </c>
      <c r="E6101" s="308" t="str">
        <f>IFERROR(__xludf.DUMMYFUNCTION("""COMPUTED_VALUE"""),"B")</f>
        <v>B</v>
      </c>
      <c r="F6101" s="315" t="s">
        <v>26</v>
      </c>
      <c r="G6101" s="308"/>
      <c r="H6101" s="308" t="s">
        <v>24400</v>
      </c>
      <c r="I6101" s="310">
        <v>43597.0</v>
      </c>
      <c r="J6101" s="319">
        <f>IFERROR(__xludf.DUMMYFUNCTION("SPLIT(I6101,""/"")"),12.0)</f>
        <v>12</v>
      </c>
      <c r="K6101" s="308">
        <f>IFERROR(__xludf.DUMMYFUNCTION("""COMPUTED_VALUE"""),5.0)</f>
        <v>5</v>
      </c>
      <c r="L6101" s="308">
        <f>IFERROR(__xludf.DUMMYFUNCTION("""COMPUTED_VALUE"""),2019.0)</f>
        <v>2019</v>
      </c>
      <c r="M6101" s="308" t="s">
        <v>24401</v>
      </c>
      <c r="N6101" s="308"/>
      <c r="O6101" s="308"/>
      <c r="P6101" s="308" t="s">
        <v>136</v>
      </c>
      <c r="Q6101" s="308" t="s">
        <v>38853</v>
      </c>
      <c r="R6101" s="308" t="s">
        <v>20958</v>
      </c>
      <c r="S6101" s="315" t="s">
        <v>100</v>
      </c>
      <c r="T6101" s="308" t="s">
        <v>34208</v>
      </c>
      <c r="U6101" s="308" t="s">
        <v>27</v>
      </c>
      <c r="V6101" s="308"/>
    </row>
    <row r="6102">
      <c r="A6102" s="308">
        <v>6101.0</v>
      </c>
      <c r="B6102" s="308"/>
      <c r="C6102" s="308" t="s">
        <v>24402</v>
      </c>
      <c r="D6102" s="308">
        <f>IFERROR(__xludf.DUMMYFUNCTION("SPLIT(C6102,""-"")"),6122.0)</f>
        <v>6122</v>
      </c>
      <c r="E6102" s="308" t="str">
        <f>IFERROR(__xludf.DUMMYFUNCTION("""COMPUTED_VALUE"""),"P")</f>
        <v>P</v>
      </c>
      <c r="F6102" s="312" t="s">
        <v>37</v>
      </c>
      <c r="G6102" s="308"/>
      <c r="H6102" s="308" t="s">
        <v>24403</v>
      </c>
      <c r="I6102" s="310">
        <v>43584.0</v>
      </c>
      <c r="J6102" s="319">
        <f>IFERROR(__xludf.DUMMYFUNCTION("SPLIT(I6102,""/"")"),29.0)</f>
        <v>29</v>
      </c>
      <c r="K6102" s="308">
        <f>IFERROR(__xludf.DUMMYFUNCTION("""COMPUTED_VALUE"""),4.0)</f>
        <v>4</v>
      </c>
      <c r="L6102" s="308">
        <f>IFERROR(__xludf.DUMMYFUNCTION("""COMPUTED_VALUE"""),2019.0)</f>
        <v>2019</v>
      </c>
      <c r="M6102" s="308" t="s">
        <v>24404</v>
      </c>
      <c r="N6102" s="308"/>
      <c r="O6102" s="308"/>
      <c r="P6102" s="308" t="s">
        <v>38854</v>
      </c>
      <c r="Q6102" s="308" t="s">
        <v>38853</v>
      </c>
      <c r="R6102" s="308" t="s">
        <v>2743</v>
      </c>
      <c r="S6102" s="308" t="s">
        <v>81</v>
      </c>
      <c r="T6102" s="311" t="s">
        <v>73</v>
      </c>
      <c r="U6102" s="308" t="s">
        <v>143</v>
      </c>
      <c r="V6102" s="308"/>
    </row>
    <row r="6103">
      <c r="A6103" s="308">
        <v>6102.0</v>
      </c>
      <c r="B6103" s="308"/>
      <c r="C6103" s="308" t="s">
        <v>24406</v>
      </c>
      <c r="D6103" s="308">
        <f>IFERROR(__xludf.DUMMYFUNCTION("SPLIT(C6103,""-"")"),6123.0)</f>
        <v>6123</v>
      </c>
      <c r="E6103" s="308" t="str">
        <f>IFERROR(__xludf.DUMMYFUNCTION("""COMPUTED_VALUE"""),"K")</f>
        <v>K</v>
      </c>
      <c r="F6103" s="309" t="s">
        <v>34</v>
      </c>
      <c r="G6103" s="308"/>
      <c r="H6103" s="308" t="s">
        <v>24407</v>
      </c>
      <c r="I6103" s="310">
        <v>42087.0</v>
      </c>
      <c r="J6103" s="319">
        <f>IFERROR(__xludf.DUMMYFUNCTION("SPLIT(I6103,""/"")"),24.0)</f>
        <v>24</v>
      </c>
      <c r="K6103" s="308">
        <f>IFERROR(__xludf.DUMMYFUNCTION("""COMPUTED_VALUE"""),3.0)</f>
        <v>3</v>
      </c>
      <c r="L6103" s="308">
        <f>IFERROR(__xludf.DUMMYFUNCTION("""COMPUTED_VALUE"""),2015.0)</f>
        <v>2015</v>
      </c>
      <c r="M6103" s="308" t="s">
        <v>24408</v>
      </c>
      <c r="N6103" s="308"/>
      <c r="O6103" s="308"/>
      <c r="P6103" s="308" t="s">
        <v>136</v>
      </c>
      <c r="Q6103" s="308" t="s">
        <v>38855</v>
      </c>
      <c r="R6103" s="308" t="s">
        <v>2743</v>
      </c>
      <c r="S6103" s="315" t="s">
        <v>100</v>
      </c>
      <c r="T6103" s="308" t="s">
        <v>34208</v>
      </c>
      <c r="U6103" s="308" t="s">
        <v>125</v>
      </c>
      <c r="V6103" s="308"/>
    </row>
    <row r="6104">
      <c r="A6104" s="308">
        <v>6103.0</v>
      </c>
      <c r="B6104" s="308"/>
      <c r="C6104" s="308" t="s">
        <v>24409</v>
      </c>
      <c r="D6104" s="308">
        <f>IFERROR(__xludf.DUMMYFUNCTION("SPLIT(C6104,""-"")"),6124.0)</f>
        <v>6124</v>
      </c>
      <c r="E6104" s="308" t="str">
        <f>IFERROR(__xludf.DUMMYFUNCTION("""COMPUTED_VALUE"""),"K")</f>
        <v>K</v>
      </c>
      <c r="F6104" s="309" t="s">
        <v>34</v>
      </c>
      <c r="G6104" s="308"/>
      <c r="H6104" s="308" t="s">
        <v>24410</v>
      </c>
      <c r="I6104" s="310">
        <v>41816.0</v>
      </c>
      <c r="J6104" s="319">
        <f>IFERROR(__xludf.DUMMYFUNCTION("SPLIT(I6104,""/"")"),26.0)</f>
        <v>26</v>
      </c>
      <c r="K6104" s="308">
        <f>IFERROR(__xludf.DUMMYFUNCTION("""COMPUTED_VALUE"""),6.0)</f>
        <v>6</v>
      </c>
      <c r="L6104" s="308">
        <f>IFERROR(__xludf.DUMMYFUNCTION("""COMPUTED_VALUE"""),2014.0)</f>
        <v>2014</v>
      </c>
      <c r="M6104" s="308" t="s">
        <v>24411</v>
      </c>
      <c r="N6104" s="308"/>
      <c r="O6104" s="308"/>
      <c r="P6104" s="308" t="s">
        <v>136</v>
      </c>
      <c r="Q6104" s="308" t="s">
        <v>38855</v>
      </c>
      <c r="R6104" s="308" t="s">
        <v>2743</v>
      </c>
      <c r="S6104" s="315" t="s">
        <v>100</v>
      </c>
      <c r="T6104" s="308" t="s">
        <v>34208</v>
      </c>
      <c r="U6104" s="308" t="s">
        <v>125</v>
      </c>
      <c r="V6104" s="308" t="s">
        <v>38856</v>
      </c>
    </row>
    <row r="6105">
      <c r="A6105" s="308">
        <v>6104.0</v>
      </c>
      <c r="B6105" s="308"/>
      <c r="C6105" s="308" t="s">
        <v>24413</v>
      </c>
      <c r="D6105" s="308">
        <f>IFERROR(__xludf.DUMMYFUNCTION("SPLIT(C6105,""-"")"),6125.0)</f>
        <v>6125</v>
      </c>
      <c r="E6105" s="308" t="str">
        <f>IFERROR(__xludf.DUMMYFUNCTION("""COMPUTED_VALUE"""),"S")</f>
        <v>S</v>
      </c>
      <c r="F6105" s="312" t="s">
        <v>39</v>
      </c>
      <c r="G6105" s="308"/>
      <c r="H6105" s="308" t="s">
        <v>24414</v>
      </c>
      <c r="I6105" s="310">
        <v>43584.0</v>
      </c>
      <c r="J6105" s="319">
        <f>IFERROR(__xludf.DUMMYFUNCTION("SPLIT(I6105,""/"")"),29.0)</f>
        <v>29</v>
      </c>
      <c r="K6105" s="308">
        <f>IFERROR(__xludf.DUMMYFUNCTION("""COMPUTED_VALUE"""),4.0)</f>
        <v>4</v>
      </c>
      <c r="L6105" s="308">
        <f>IFERROR(__xludf.DUMMYFUNCTION("""COMPUTED_VALUE"""),2019.0)</f>
        <v>2019</v>
      </c>
      <c r="M6105" s="308" t="s">
        <v>24415</v>
      </c>
      <c r="N6105" s="308"/>
      <c r="O6105" s="308"/>
      <c r="P6105" s="308" t="s">
        <v>38857</v>
      </c>
      <c r="Q6105" s="308" t="s">
        <v>38858</v>
      </c>
      <c r="R6105" s="308" t="s">
        <v>2743</v>
      </c>
      <c r="S6105" s="308" t="s">
        <v>81</v>
      </c>
      <c r="T6105" s="308" t="s">
        <v>75</v>
      </c>
      <c r="U6105" s="308" t="s">
        <v>166</v>
      </c>
      <c r="V6105" s="308" t="s">
        <v>38859</v>
      </c>
    </row>
    <row r="6106">
      <c r="A6106" s="308">
        <v>6105.0</v>
      </c>
      <c r="B6106" s="308"/>
      <c r="C6106" s="308" t="s">
        <v>24418</v>
      </c>
      <c r="D6106" s="308">
        <f>IFERROR(__xludf.DUMMYFUNCTION("SPLIT(C6106,""-"")"),6126.0)</f>
        <v>6126</v>
      </c>
      <c r="E6106" s="308" t="str">
        <f>IFERROR(__xludf.DUMMYFUNCTION("""COMPUTED_VALUE"""),"K")</f>
        <v>K</v>
      </c>
      <c r="F6106" s="309" t="s">
        <v>34</v>
      </c>
      <c r="G6106" s="308"/>
      <c r="H6106" s="308" t="s">
        <v>24419</v>
      </c>
      <c r="I6106" s="310">
        <v>42261.0</v>
      </c>
      <c r="J6106" s="319">
        <f>IFERROR(__xludf.DUMMYFUNCTION("SPLIT(I6106,""/"")"),14.0)</f>
        <v>14</v>
      </c>
      <c r="K6106" s="308">
        <f>IFERROR(__xludf.DUMMYFUNCTION("""COMPUTED_VALUE"""),9.0)</f>
        <v>9</v>
      </c>
      <c r="L6106" s="308">
        <f>IFERROR(__xludf.DUMMYFUNCTION("""COMPUTED_VALUE"""),2015.0)</f>
        <v>2015</v>
      </c>
      <c r="M6106" s="308" t="s">
        <v>24420</v>
      </c>
      <c r="N6106" s="308"/>
      <c r="O6106" s="308" t="s">
        <v>24421</v>
      </c>
      <c r="P6106" s="308" t="s">
        <v>136</v>
      </c>
      <c r="Q6106" s="308" t="s">
        <v>38858</v>
      </c>
      <c r="R6106" s="308" t="s">
        <v>2743</v>
      </c>
      <c r="S6106" s="315" t="s">
        <v>100</v>
      </c>
      <c r="T6106" s="308" t="s">
        <v>34208</v>
      </c>
      <c r="U6106" s="308" t="s">
        <v>2989</v>
      </c>
      <c r="V6106" s="308"/>
    </row>
    <row r="6107">
      <c r="A6107" s="308">
        <v>6106.0</v>
      </c>
      <c r="B6107" s="308"/>
      <c r="C6107" s="308" t="s">
        <v>24422</v>
      </c>
      <c r="D6107" s="308">
        <f>IFERROR(__xludf.DUMMYFUNCTION("SPLIT(C6107,""-"")"),6127.0)</f>
        <v>6127</v>
      </c>
      <c r="E6107" s="308" t="str">
        <f>IFERROR(__xludf.DUMMYFUNCTION("""COMPUTED_VALUE"""),"K")</f>
        <v>K</v>
      </c>
      <c r="F6107" s="309" t="s">
        <v>34</v>
      </c>
      <c r="G6107" s="308"/>
      <c r="H6107" s="308" t="s">
        <v>24423</v>
      </c>
      <c r="I6107" s="310">
        <v>42231.0</v>
      </c>
      <c r="J6107" s="319">
        <f>IFERROR(__xludf.DUMMYFUNCTION("SPLIT(I6107,""/"")"),15.0)</f>
        <v>15</v>
      </c>
      <c r="K6107" s="308">
        <f>IFERROR(__xludf.DUMMYFUNCTION("""COMPUTED_VALUE"""),8.0)</f>
        <v>8</v>
      </c>
      <c r="L6107" s="308">
        <f>IFERROR(__xludf.DUMMYFUNCTION("""COMPUTED_VALUE"""),2015.0)</f>
        <v>2015</v>
      </c>
      <c r="M6107" s="308" t="s">
        <v>24424</v>
      </c>
      <c r="N6107" s="308"/>
      <c r="O6107" s="308"/>
      <c r="P6107" s="308" t="s">
        <v>136</v>
      </c>
      <c r="Q6107" s="308" t="s">
        <v>38858</v>
      </c>
      <c r="R6107" s="308" t="s">
        <v>2743</v>
      </c>
      <c r="S6107" s="315" t="s">
        <v>100</v>
      </c>
      <c r="T6107" s="308" t="s">
        <v>34208</v>
      </c>
      <c r="U6107" s="308" t="s">
        <v>125</v>
      </c>
      <c r="V6107" s="308" t="s">
        <v>24425</v>
      </c>
    </row>
    <row r="6108">
      <c r="A6108" s="308">
        <v>6107.0</v>
      </c>
      <c r="B6108" s="308"/>
      <c r="C6108" s="308" t="s">
        <v>24426</v>
      </c>
      <c r="D6108" s="308">
        <f>IFERROR(__xludf.DUMMYFUNCTION("SPLIT(C6108,""-"")"),6128.0)</f>
        <v>6128</v>
      </c>
      <c r="E6108" s="308" t="str">
        <f>IFERROR(__xludf.DUMMYFUNCTION("""COMPUTED_VALUE"""),"P")</f>
        <v>P</v>
      </c>
      <c r="F6108" s="312" t="s">
        <v>37</v>
      </c>
      <c r="G6108" s="308"/>
      <c r="H6108" s="308" t="s">
        <v>24427</v>
      </c>
      <c r="I6108" s="310">
        <v>43600.0</v>
      </c>
      <c r="J6108" s="319">
        <f>IFERROR(__xludf.DUMMYFUNCTION("SPLIT(I6108,""/"")"),15.0)</f>
        <v>15</v>
      </c>
      <c r="K6108" s="308">
        <f>IFERROR(__xludf.DUMMYFUNCTION("""COMPUTED_VALUE"""),5.0)</f>
        <v>5</v>
      </c>
      <c r="L6108" s="308">
        <f>IFERROR(__xludf.DUMMYFUNCTION("""COMPUTED_VALUE"""),2019.0)</f>
        <v>2019</v>
      </c>
      <c r="M6108" s="308" t="s">
        <v>24428</v>
      </c>
      <c r="N6108" s="308"/>
      <c r="O6108" s="308"/>
      <c r="P6108" s="308" t="s">
        <v>38860</v>
      </c>
      <c r="Q6108" s="308" t="s">
        <v>38858</v>
      </c>
      <c r="R6108" s="308" t="s">
        <v>2743</v>
      </c>
      <c r="S6108" s="308" t="s">
        <v>81</v>
      </c>
      <c r="T6108" s="311" t="s">
        <v>91</v>
      </c>
      <c r="U6108" s="308" t="s">
        <v>143</v>
      </c>
      <c r="V6108" s="308"/>
    </row>
    <row r="6109">
      <c r="A6109" s="308">
        <v>6108.0</v>
      </c>
      <c r="B6109" s="308"/>
      <c r="C6109" s="308" t="s">
        <v>24430</v>
      </c>
      <c r="D6109" s="308">
        <f>IFERROR(__xludf.DUMMYFUNCTION("SPLIT(C6109,""-"")"),6129.0)</f>
        <v>6129</v>
      </c>
      <c r="E6109" s="308" t="str">
        <f>IFERROR(__xludf.DUMMYFUNCTION("""COMPUTED_VALUE"""),"P")</f>
        <v>P</v>
      </c>
      <c r="F6109" s="312" t="s">
        <v>37</v>
      </c>
      <c r="G6109" s="308"/>
      <c r="H6109" s="308" t="s">
        <v>24431</v>
      </c>
      <c r="I6109" s="310">
        <v>43602.0</v>
      </c>
      <c r="J6109" s="319">
        <f>IFERROR(__xludf.DUMMYFUNCTION("SPLIT(I6109,""/"")"),17.0)</f>
        <v>17</v>
      </c>
      <c r="K6109" s="308">
        <f>IFERROR(__xludf.DUMMYFUNCTION("""COMPUTED_VALUE"""),5.0)</f>
        <v>5</v>
      </c>
      <c r="L6109" s="308">
        <f>IFERROR(__xludf.DUMMYFUNCTION("""COMPUTED_VALUE"""),2019.0)</f>
        <v>2019</v>
      </c>
      <c r="M6109" s="308" t="s">
        <v>17963</v>
      </c>
      <c r="N6109" s="308"/>
      <c r="O6109" s="308"/>
      <c r="P6109" s="308" t="s">
        <v>38861</v>
      </c>
      <c r="Q6109" s="308" t="s">
        <v>38858</v>
      </c>
      <c r="R6109" s="308" t="s">
        <v>2743</v>
      </c>
      <c r="S6109" s="308" t="s">
        <v>81</v>
      </c>
      <c r="T6109" s="308" t="s">
        <v>75</v>
      </c>
      <c r="U6109" s="308" t="s">
        <v>143</v>
      </c>
      <c r="V6109" s="308"/>
    </row>
    <row r="6110">
      <c r="A6110" s="308">
        <v>6109.0</v>
      </c>
      <c r="B6110" s="308"/>
      <c r="C6110" s="308" t="s">
        <v>24433</v>
      </c>
      <c r="D6110" s="308">
        <f>IFERROR(__xludf.DUMMYFUNCTION("SPLIT(C6110,""-"")"),6130.0)</f>
        <v>6130</v>
      </c>
      <c r="E6110" s="308" t="str">
        <f>IFERROR(__xludf.DUMMYFUNCTION("""COMPUTED_VALUE"""),"S")</f>
        <v>S</v>
      </c>
      <c r="F6110" s="312" t="s">
        <v>39</v>
      </c>
      <c r="G6110" s="308"/>
      <c r="H6110" s="308" t="s">
        <v>24434</v>
      </c>
      <c r="I6110" s="310">
        <v>43610.0</v>
      </c>
      <c r="J6110" s="319">
        <f>IFERROR(__xludf.DUMMYFUNCTION("SPLIT(I6110,""/"")"),25.0)</f>
        <v>25</v>
      </c>
      <c r="K6110" s="308">
        <f>IFERROR(__xludf.DUMMYFUNCTION("""COMPUTED_VALUE"""),5.0)</f>
        <v>5</v>
      </c>
      <c r="L6110" s="308">
        <f>IFERROR(__xludf.DUMMYFUNCTION("""COMPUTED_VALUE"""),2019.0)</f>
        <v>2019</v>
      </c>
      <c r="M6110" s="308" t="s">
        <v>24435</v>
      </c>
      <c r="N6110" s="308"/>
      <c r="O6110" s="308"/>
      <c r="P6110" s="308" t="s">
        <v>24436</v>
      </c>
      <c r="Q6110" s="308" t="s">
        <v>38858</v>
      </c>
      <c r="R6110" s="308" t="s">
        <v>2743</v>
      </c>
      <c r="S6110" s="308" t="s">
        <v>49</v>
      </c>
      <c r="T6110" s="308" t="s">
        <v>70</v>
      </c>
      <c r="U6110" s="308" t="s">
        <v>166</v>
      </c>
      <c r="V6110" s="308"/>
    </row>
    <row r="6111">
      <c r="A6111" s="308">
        <v>6110.0</v>
      </c>
      <c r="B6111" s="308"/>
      <c r="C6111" s="308" t="s">
        <v>24437</v>
      </c>
      <c r="D6111" s="308">
        <f>IFERROR(__xludf.DUMMYFUNCTION("SPLIT(C6111,""-"")"),6131.0)</f>
        <v>6131</v>
      </c>
      <c r="E6111" s="308" t="str">
        <f>IFERROR(__xludf.DUMMYFUNCTION("""COMPUTED_VALUE"""),"B")</f>
        <v>B</v>
      </c>
      <c r="F6111" s="315" t="s">
        <v>26</v>
      </c>
      <c r="G6111" s="308"/>
      <c r="H6111" s="308" t="s">
        <v>24438</v>
      </c>
      <c r="I6111" s="310">
        <v>43578.0</v>
      </c>
      <c r="J6111" s="319">
        <f>IFERROR(__xludf.DUMMYFUNCTION("SPLIT(I6111,""/"")"),23.0)</f>
        <v>23</v>
      </c>
      <c r="K6111" s="308">
        <f>IFERROR(__xludf.DUMMYFUNCTION("""COMPUTED_VALUE"""),4.0)</f>
        <v>4</v>
      </c>
      <c r="L6111" s="308">
        <f>IFERROR(__xludf.DUMMYFUNCTION("""COMPUTED_VALUE"""),2019.0)</f>
        <v>2019</v>
      </c>
      <c r="M6111" s="308" t="s">
        <v>24439</v>
      </c>
      <c r="N6111" s="308"/>
      <c r="O6111" s="308"/>
      <c r="P6111" s="308" t="s">
        <v>38862</v>
      </c>
      <c r="Q6111" s="308" t="s">
        <v>38863</v>
      </c>
      <c r="R6111" s="308" t="s">
        <v>14256</v>
      </c>
      <c r="S6111" s="308" t="s">
        <v>81</v>
      </c>
      <c r="T6111" s="308" t="s">
        <v>75</v>
      </c>
      <c r="U6111" s="308" t="s">
        <v>27</v>
      </c>
      <c r="V6111" s="308"/>
    </row>
    <row r="6112">
      <c r="A6112" s="308">
        <v>6111.0</v>
      </c>
      <c r="B6112" s="308"/>
      <c r="C6112" s="308" t="s">
        <v>24441</v>
      </c>
      <c r="D6112" s="308">
        <f>IFERROR(__xludf.DUMMYFUNCTION("SPLIT(C6112,""-"")"),6132.0)</f>
        <v>6132</v>
      </c>
      <c r="E6112" s="308" t="str">
        <f>IFERROR(__xludf.DUMMYFUNCTION("""COMPUTED_VALUE"""),"S")</f>
        <v>S</v>
      </c>
      <c r="F6112" s="312" t="s">
        <v>39</v>
      </c>
      <c r="G6112" s="308"/>
      <c r="H6112" s="308" t="s">
        <v>24442</v>
      </c>
      <c r="I6112" s="310">
        <v>43599.0</v>
      </c>
      <c r="J6112" s="319">
        <f>IFERROR(__xludf.DUMMYFUNCTION("SPLIT(I6112,""/"")"),14.0)</f>
        <v>14</v>
      </c>
      <c r="K6112" s="308">
        <f>IFERROR(__xludf.DUMMYFUNCTION("""COMPUTED_VALUE"""),5.0)</f>
        <v>5</v>
      </c>
      <c r="L6112" s="308">
        <f>IFERROR(__xludf.DUMMYFUNCTION("""COMPUTED_VALUE"""),2019.0)</f>
        <v>2019</v>
      </c>
      <c r="M6112" s="308" t="s">
        <v>24443</v>
      </c>
      <c r="N6112" s="308" t="s">
        <v>24444</v>
      </c>
      <c r="O6112" s="308"/>
      <c r="P6112" s="308" t="s">
        <v>38864</v>
      </c>
      <c r="Q6112" s="308" t="s">
        <v>38863</v>
      </c>
      <c r="R6112" s="308" t="s">
        <v>14256</v>
      </c>
      <c r="S6112" s="308" t="s">
        <v>81</v>
      </c>
      <c r="T6112" s="311" t="s">
        <v>96</v>
      </c>
      <c r="U6112" s="308" t="s">
        <v>166</v>
      </c>
      <c r="V6112" s="308"/>
    </row>
    <row r="6113">
      <c r="A6113" s="308">
        <v>6112.0</v>
      </c>
      <c r="B6113" s="308"/>
      <c r="C6113" s="308" t="s">
        <v>24446</v>
      </c>
      <c r="D6113" s="308">
        <f>IFERROR(__xludf.DUMMYFUNCTION("SPLIT(C6113,""-"")"),6133.0)</f>
        <v>6133</v>
      </c>
      <c r="E6113" s="308" t="str">
        <f>IFERROR(__xludf.DUMMYFUNCTION("""COMPUTED_VALUE"""),"S")</f>
        <v>S</v>
      </c>
      <c r="F6113" s="312" t="s">
        <v>39</v>
      </c>
      <c r="G6113" s="308"/>
      <c r="H6113" s="308" t="s">
        <v>24447</v>
      </c>
      <c r="I6113" s="310">
        <v>43600.0</v>
      </c>
      <c r="J6113" s="319">
        <f>IFERROR(__xludf.DUMMYFUNCTION("SPLIT(I6113,""/"")"),15.0)</f>
        <v>15</v>
      </c>
      <c r="K6113" s="308">
        <f>IFERROR(__xludf.DUMMYFUNCTION("""COMPUTED_VALUE"""),5.0)</f>
        <v>5</v>
      </c>
      <c r="L6113" s="308">
        <f>IFERROR(__xludf.DUMMYFUNCTION("""COMPUTED_VALUE"""),2019.0)</f>
        <v>2019</v>
      </c>
      <c r="M6113" s="308" t="s">
        <v>24448</v>
      </c>
      <c r="N6113" s="308" t="s">
        <v>24449</v>
      </c>
      <c r="O6113" s="308"/>
      <c r="P6113" s="308" t="s">
        <v>38865</v>
      </c>
      <c r="Q6113" s="308" t="s">
        <v>38863</v>
      </c>
      <c r="R6113" s="308" t="s">
        <v>14256</v>
      </c>
      <c r="S6113" s="308" t="s">
        <v>81</v>
      </c>
      <c r="T6113" s="311" t="s">
        <v>96</v>
      </c>
      <c r="U6113" s="308" t="s">
        <v>166</v>
      </c>
      <c r="V6113" s="308"/>
    </row>
    <row r="6114">
      <c r="A6114" s="308">
        <v>6113.0</v>
      </c>
      <c r="B6114" s="308"/>
      <c r="C6114" s="308" t="s">
        <v>24451</v>
      </c>
      <c r="D6114" s="308" t="str">
        <f>IFERROR(__xludf.DUMMYFUNCTION("SPLIT(C6114,""-"")"),"#REF!")</f>
        <v>#REF!</v>
      </c>
      <c r="E6114" s="311"/>
      <c r="F6114" s="309" t="s">
        <v>34</v>
      </c>
      <c r="G6114" s="308"/>
      <c r="H6114" s="308" t="s">
        <v>24452</v>
      </c>
      <c r="I6114" s="310">
        <v>2011.0</v>
      </c>
      <c r="J6114" s="319"/>
      <c r="K6114" s="308"/>
      <c r="L6114" s="311" t="s">
        <v>79</v>
      </c>
      <c r="M6114" s="308" t="s">
        <v>24453</v>
      </c>
      <c r="N6114" s="308"/>
      <c r="O6114" s="308"/>
      <c r="P6114" s="308" t="s">
        <v>136</v>
      </c>
      <c r="Q6114" s="308" t="s">
        <v>38866</v>
      </c>
      <c r="R6114" s="308" t="s">
        <v>2743</v>
      </c>
      <c r="S6114" s="315" t="s">
        <v>100</v>
      </c>
      <c r="T6114" s="308" t="s">
        <v>34208</v>
      </c>
      <c r="U6114" s="308" t="s">
        <v>125</v>
      </c>
      <c r="V6114" s="308"/>
    </row>
    <row r="6115">
      <c r="A6115" s="308">
        <v>6114.0</v>
      </c>
      <c r="B6115" s="308"/>
      <c r="C6115" s="308" t="s">
        <v>24454</v>
      </c>
      <c r="D6115" s="308">
        <f>IFERROR(__xludf.DUMMYFUNCTION("SPLIT(C6115,""-"")"),6135.0)</f>
        <v>6135</v>
      </c>
      <c r="E6115" s="308" t="str">
        <f>IFERROR(__xludf.DUMMYFUNCTION("""COMPUTED_VALUE"""),"P")</f>
        <v>P</v>
      </c>
      <c r="F6115" s="312" t="s">
        <v>37</v>
      </c>
      <c r="G6115" s="308"/>
      <c r="H6115" s="308" t="s">
        <v>24455</v>
      </c>
      <c r="I6115" s="310">
        <v>42797.0</v>
      </c>
      <c r="J6115" s="319">
        <f>IFERROR(__xludf.DUMMYFUNCTION("SPLIT(I6115,""/"")"),3.0)</f>
        <v>3</v>
      </c>
      <c r="K6115" s="308">
        <f>IFERROR(__xludf.DUMMYFUNCTION("""COMPUTED_VALUE"""),3.0)</f>
        <v>3</v>
      </c>
      <c r="L6115" s="308">
        <f>IFERROR(__xludf.DUMMYFUNCTION("""COMPUTED_VALUE"""),2017.0)</f>
        <v>2017</v>
      </c>
      <c r="M6115" s="308" t="s">
        <v>24456</v>
      </c>
      <c r="N6115" s="308"/>
      <c r="O6115" s="308" t="s">
        <v>24457</v>
      </c>
      <c r="P6115" s="308" t="s">
        <v>136</v>
      </c>
      <c r="Q6115" s="308" t="s">
        <v>38866</v>
      </c>
      <c r="R6115" s="308" t="s">
        <v>2743</v>
      </c>
      <c r="S6115" s="315" t="s">
        <v>100</v>
      </c>
      <c r="T6115" s="308" t="s">
        <v>34208</v>
      </c>
      <c r="U6115" s="308" t="s">
        <v>18576</v>
      </c>
      <c r="V6115" s="308"/>
    </row>
    <row r="6116">
      <c r="A6116" s="308">
        <v>6115.0</v>
      </c>
      <c r="B6116" s="308"/>
      <c r="C6116" s="308" t="s">
        <v>24458</v>
      </c>
      <c r="D6116" s="308">
        <f>IFERROR(__xludf.DUMMYFUNCTION("SPLIT(C6116,""-"")"),6136.0)</f>
        <v>6136</v>
      </c>
      <c r="E6116" s="308" t="str">
        <f>IFERROR(__xludf.DUMMYFUNCTION("""COMPUTED_VALUE"""),"K")</f>
        <v>K</v>
      </c>
      <c r="F6116" s="309" t="s">
        <v>34</v>
      </c>
      <c r="G6116" s="308" t="s">
        <v>24459</v>
      </c>
      <c r="H6116" s="308" t="s">
        <v>24460</v>
      </c>
      <c r="I6116" s="310">
        <v>39972.0</v>
      </c>
      <c r="J6116" s="319">
        <f>IFERROR(__xludf.DUMMYFUNCTION("SPLIT(I6116,""/"")"),8.0)</f>
        <v>8</v>
      </c>
      <c r="K6116" s="308">
        <f>IFERROR(__xludf.DUMMYFUNCTION("""COMPUTED_VALUE"""),6.0)</f>
        <v>6</v>
      </c>
      <c r="L6116" s="308">
        <f>IFERROR(__xludf.DUMMYFUNCTION("""COMPUTED_VALUE"""),2009.0)</f>
        <v>2009</v>
      </c>
      <c r="M6116" s="308" t="s">
        <v>38867</v>
      </c>
      <c r="N6116" s="308" t="s">
        <v>5773</v>
      </c>
      <c r="O6116" s="308"/>
      <c r="P6116" s="308" t="s">
        <v>136</v>
      </c>
      <c r="Q6116" s="308" t="s">
        <v>38868</v>
      </c>
      <c r="R6116" s="308" t="s">
        <v>2743</v>
      </c>
      <c r="S6116" s="315" t="s">
        <v>100</v>
      </c>
      <c r="T6116" s="308" t="s">
        <v>34208</v>
      </c>
      <c r="U6116" s="308" t="s">
        <v>530</v>
      </c>
      <c r="V6116" s="308"/>
    </row>
    <row r="6117">
      <c r="A6117" s="308">
        <v>6116.0</v>
      </c>
      <c r="B6117" s="308"/>
      <c r="C6117" s="308" t="s">
        <v>24462</v>
      </c>
      <c r="D6117" s="308">
        <f>IFERROR(__xludf.DUMMYFUNCTION("SPLIT(C6117,""-"")"),6137.0)</f>
        <v>6137</v>
      </c>
      <c r="E6117" s="308" t="str">
        <f>IFERROR(__xludf.DUMMYFUNCTION("""COMPUTED_VALUE"""),"S")</f>
        <v>S</v>
      </c>
      <c r="F6117" s="312" t="s">
        <v>39</v>
      </c>
      <c r="G6117" s="308"/>
      <c r="H6117" s="308" t="s">
        <v>24463</v>
      </c>
      <c r="I6117" s="310">
        <v>41905.0</v>
      </c>
      <c r="J6117" s="319">
        <f>IFERROR(__xludf.DUMMYFUNCTION("SPLIT(I6117,""/"")"),23.0)</f>
        <v>23</v>
      </c>
      <c r="K6117" s="308">
        <f>IFERROR(__xludf.DUMMYFUNCTION("""COMPUTED_VALUE"""),9.0)</f>
        <v>9</v>
      </c>
      <c r="L6117" s="308">
        <f>IFERROR(__xludf.DUMMYFUNCTION("""COMPUTED_VALUE"""),2014.0)</f>
        <v>2014</v>
      </c>
      <c r="M6117" s="308" t="s">
        <v>24464</v>
      </c>
      <c r="N6117" s="308" t="s">
        <v>24465</v>
      </c>
      <c r="O6117" s="308"/>
      <c r="P6117" s="308" t="s">
        <v>136</v>
      </c>
      <c r="Q6117" s="308" t="s">
        <v>38868</v>
      </c>
      <c r="R6117" s="308" t="s">
        <v>2743</v>
      </c>
      <c r="S6117" s="315" t="s">
        <v>100</v>
      </c>
      <c r="T6117" s="308" t="s">
        <v>34208</v>
      </c>
      <c r="U6117" s="308" t="s">
        <v>166</v>
      </c>
      <c r="V6117" s="308"/>
    </row>
    <row r="6118">
      <c r="A6118" s="308">
        <v>6117.0</v>
      </c>
      <c r="B6118" s="308"/>
      <c r="C6118" s="308" t="s">
        <v>24466</v>
      </c>
      <c r="D6118" s="308">
        <f>IFERROR(__xludf.DUMMYFUNCTION("SPLIT(C6118,""-"")"),6138.0)</f>
        <v>6138</v>
      </c>
      <c r="E6118" s="308" t="str">
        <f>IFERROR(__xludf.DUMMYFUNCTION("""COMPUTED_VALUE"""),"K")</f>
        <v>K</v>
      </c>
      <c r="F6118" s="309" t="s">
        <v>34</v>
      </c>
      <c r="G6118" s="308"/>
      <c r="H6118" s="308" t="s">
        <v>24467</v>
      </c>
      <c r="I6118" s="310">
        <v>39630.0</v>
      </c>
      <c r="J6118" s="319">
        <f>IFERROR(__xludf.DUMMYFUNCTION("SPLIT(I6118,""/"")"),1.0)</f>
        <v>1</v>
      </c>
      <c r="K6118" s="308">
        <f>IFERROR(__xludf.DUMMYFUNCTION("""COMPUTED_VALUE"""),7.0)</f>
        <v>7</v>
      </c>
      <c r="L6118" s="308">
        <f>IFERROR(__xludf.DUMMYFUNCTION("""COMPUTED_VALUE"""),2008.0)</f>
        <v>2008</v>
      </c>
      <c r="M6118" s="308" t="s">
        <v>24468</v>
      </c>
      <c r="N6118" s="308"/>
      <c r="O6118" s="308"/>
      <c r="P6118" s="308" t="s">
        <v>136</v>
      </c>
      <c r="Q6118" s="308" t="s">
        <v>38868</v>
      </c>
      <c r="R6118" s="308" t="s">
        <v>2743</v>
      </c>
      <c r="S6118" s="315" t="s">
        <v>100</v>
      </c>
      <c r="T6118" s="308" t="s">
        <v>34208</v>
      </c>
      <c r="U6118" s="308" t="s">
        <v>530</v>
      </c>
      <c r="V6118" s="308"/>
    </row>
    <row r="6119">
      <c r="A6119" s="308">
        <v>6118.0</v>
      </c>
      <c r="B6119" s="308"/>
      <c r="C6119" s="308" t="s">
        <v>24469</v>
      </c>
      <c r="D6119" s="308">
        <f>IFERROR(__xludf.DUMMYFUNCTION("SPLIT(C6119,""-"")"),6139.0)</f>
        <v>6139</v>
      </c>
      <c r="E6119" s="308" t="str">
        <f>IFERROR(__xludf.DUMMYFUNCTION("""COMPUTED_VALUE"""),"B")</f>
        <v>B</v>
      </c>
      <c r="F6119" s="315" t="s">
        <v>26</v>
      </c>
      <c r="G6119" s="308"/>
      <c r="H6119" s="308" t="s">
        <v>24470</v>
      </c>
      <c r="I6119" s="314">
        <v>43383.0</v>
      </c>
      <c r="J6119" s="319">
        <f>IFERROR(__xludf.DUMMYFUNCTION("SPLIT(I6119,""/"")"),10.0)</f>
        <v>10</v>
      </c>
      <c r="K6119" s="308">
        <f>IFERROR(__xludf.DUMMYFUNCTION("""COMPUTED_VALUE"""),10.0)</f>
        <v>10</v>
      </c>
      <c r="L6119" s="308">
        <f>IFERROR(__xludf.DUMMYFUNCTION("""COMPUTED_VALUE"""),2018.0)</f>
        <v>2018</v>
      </c>
      <c r="M6119" s="308" t="s">
        <v>24471</v>
      </c>
      <c r="N6119" s="308"/>
      <c r="O6119" s="308"/>
      <c r="P6119" s="308" t="s">
        <v>38869</v>
      </c>
      <c r="Q6119" s="308" t="s">
        <v>38870</v>
      </c>
      <c r="R6119" s="308" t="s">
        <v>16185</v>
      </c>
      <c r="S6119" s="308" t="s">
        <v>81</v>
      </c>
      <c r="T6119" s="311" t="s">
        <v>96</v>
      </c>
      <c r="U6119" s="308" t="s">
        <v>27</v>
      </c>
      <c r="V6119" s="308"/>
    </row>
    <row r="6120">
      <c r="A6120" s="308">
        <v>6119.0</v>
      </c>
      <c r="B6120" s="308"/>
      <c r="C6120" s="308" t="s">
        <v>24473</v>
      </c>
      <c r="D6120" s="308">
        <f>IFERROR(__xludf.DUMMYFUNCTION("SPLIT(C6120,""-"")"),6140.0)</f>
        <v>6140</v>
      </c>
      <c r="E6120" s="308" t="str">
        <f>IFERROR(__xludf.DUMMYFUNCTION("""COMPUTED_VALUE"""),"K")</f>
        <v>K</v>
      </c>
      <c r="F6120" s="309" t="s">
        <v>34</v>
      </c>
      <c r="G6120" s="308"/>
      <c r="H6120" s="308" t="s">
        <v>24474</v>
      </c>
      <c r="I6120" s="310">
        <v>43195.0</v>
      </c>
      <c r="J6120" s="319">
        <f>IFERROR(__xludf.DUMMYFUNCTION("SPLIT(I6120,""/"")"),5.0)</f>
        <v>5</v>
      </c>
      <c r="K6120" s="308">
        <f>IFERROR(__xludf.DUMMYFUNCTION("""COMPUTED_VALUE"""),4.0)</f>
        <v>4</v>
      </c>
      <c r="L6120" s="308">
        <f>IFERROR(__xludf.DUMMYFUNCTION("""COMPUTED_VALUE"""),2018.0)</f>
        <v>2018</v>
      </c>
      <c r="M6120" s="308" t="s">
        <v>24475</v>
      </c>
      <c r="N6120" s="308"/>
      <c r="O6120" s="308"/>
      <c r="P6120" s="308" t="s">
        <v>24476</v>
      </c>
      <c r="Q6120" s="308" t="s">
        <v>38870</v>
      </c>
      <c r="R6120" s="308" t="s">
        <v>16185</v>
      </c>
      <c r="S6120" s="308" t="s">
        <v>49</v>
      </c>
      <c r="T6120" s="311" t="s">
        <v>51</v>
      </c>
      <c r="U6120" s="308" t="s">
        <v>1509</v>
      </c>
      <c r="V6120" s="308"/>
    </row>
    <row r="6121">
      <c r="A6121" s="308">
        <v>6120.0</v>
      </c>
      <c r="B6121" s="308"/>
      <c r="C6121" s="308" t="s">
        <v>24477</v>
      </c>
      <c r="D6121" s="308">
        <f>IFERROR(__xludf.DUMMYFUNCTION("SPLIT(C6121,""-"")"),6141.0)</f>
        <v>6141</v>
      </c>
      <c r="E6121" s="308" t="str">
        <f>IFERROR(__xludf.DUMMYFUNCTION("""COMPUTED_VALUE"""),"A")</f>
        <v>A</v>
      </c>
      <c r="F6121" s="309" t="s">
        <v>23</v>
      </c>
      <c r="G6121" s="308"/>
      <c r="H6121" s="308" t="s">
        <v>24478</v>
      </c>
      <c r="I6121" s="310">
        <v>43617.0</v>
      </c>
      <c r="J6121" s="319">
        <f>IFERROR(__xludf.DUMMYFUNCTION("SPLIT(I6121,""/"")"),1.0)</f>
        <v>1</v>
      </c>
      <c r="K6121" s="308">
        <f>IFERROR(__xludf.DUMMYFUNCTION("""COMPUTED_VALUE"""),6.0)</f>
        <v>6</v>
      </c>
      <c r="L6121" s="308">
        <f>IFERROR(__xludf.DUMMYFUNCTION("""COMPUTED_VALUE"""),2019.0)</f>
        <v>2019</v>
      </c>
      <c r="M6121" s="308" t="s">
        <v>24479</v>
      </c>
      <c r="N6121" s="308"/>
      <c r="O6121" s="308"/>
      <c r="P6121" s="308" t="s">
        <v>38871</v>
      </c>
      <c r="Q6121" s="308" t="s">
        <v>38870</v>
      </c>
      <c r="R6121" s="308" t="s">
        <v>2743</v>
      </c>
      <c r="S6121" s="308" t="s">
        <v>81</v>
      </c>
      <c r="T6121" s="308" t="s">
        <v>75</v>
      </c>
      <c r="U6121" s="308" t="s">
        <v>403</v>
      </c>
      <c r="V6121" s="308"/>
    </row>
    <row r="6122">
      <c r="A6122" s="308">
        <v>6121.0</v>
      </c>
      <c r="B6122" s="308"/>
      <c r="C6122" s="308" t="s">
        <v>24481</v>
      </c>
      <c r="D6122" s="308">
        <f>IFERROR(__xludf.DUMMYFUNCTION("SPLIT(C6122,""-"")"),6142.0)</f>
        <v>6142</v>
      </c>
      <c r="E6122" s="308" t="str">
        <f>IFERROR(__xludf.DUMMYFUNCTION("""COMPUTED_VALUE"""),"K")</f>
        <v>K</v>
      </c>
      <c r="F6122" s="309" t="s">
        <v>34</v>
      </c>
      <c r="G6122" s="308"/>
      <c r="H6122" s="308" t="s">
        <v>24482</v>
      </c>
      <c r="I6122" s="310">
        <v>39966.0</v>
      </c>
      <c r="J6122" s="319">
        <f>IFERROR(__xludf.DUMMYFUNCTION("SPLIT(I6122,""/"")"),2.0)</f>
        <v>2</v>
      </c>
      <c r="K6122" s="308">
        <f>IFERROR(__xludf.DUMMYFUNCTION("""COMPUTED_VALUE"""),6.0)</f>
        <v>6</v>
      </c>
      <c r="L6122" s="308">
        <f>IFERROR(__xludf.DUMMYFUNCTION("""COMPUTED_VALUE"""),2009.0)</f>
        <v>2009</v>
      </c>
      <c r="M6122" s="308" t="s">
        <v>24483</v>
      </c>
      <c r="N6122" s="308"/>
      <c r="O6122" s="308" t="s">
        <v>24484</v>
      </c>
      <c r="P6122" s="308" t="s">
        <v>24485</v>
      </c>
      <c r="Q6122" s="308" t="s">
        <v>38870</v>
      </c>
      <c r="R6122" s="308" t="s">
        <v>2743</v>
      </c>
      <c r="S6122" s="308" t="s">
        <v>49</v>
      </c>
      <c r="T6122" s="308" t="s">
        <v>51</v>
      </c>
      <c r="U6122" s="308" t="s">
        <v>4749</v>
      </c>
      <c r="V6122" s="308"/>
    </row>
    <row r="6123">
      <c r="A6123" s="308">
        <v>6122.0</v>
      </c>
      <c r="B6123" s="308"/>
      <c r="C6123" s="308" t="s">
        <v>24486</v>
      </c>
      <c r="D6123" s="308">
        <f>IFERROR(__xludf.DUMMYFUNCTION("SPLIT(C6123,""-"")"),6143.0)</f>
        <v>6143</v>
      </c>
      <c r="E6123" s="308" t="str">
        <f>IFERROR(__xludf.DUMMYFUNCTION("""COMPUTED_VALUE"""),"P")</f>
        <v>P</v>
      </c>
      <c r="F6123" s="312" t="s">
        <v>37</v>
      </c>
      <c r="G6123" s="308"/>
      <c r="H6123" s="308" t="s">
        <v>24487</v>
      </c>
      <c r="I6123" s="310">
        <v>43510.0</v>
      </c>
      <c r="J6123" s="319">
        <f>IFERROR(__xludf.DUMMYFUNCTION("SPLIT(I6123,""/"")"),14.0)</f>
        <v>14</v>
      </c>
      <c r="K6123" s="308">
        <f>IFERROR(__xludf.DUMMYFUNCTION("""COMPUTED_VALUE"""),2.0)</f>
        <v>2</v>
      </c>
      <c r="L6123" s="308">
        <f>IFERROR(__xludf.DUMMYFUNCTION("""COMPUTED_VALUE"""),2019.0)</f>
        <v>2019</v>
      </c>
      <c r="M6123" s="308" t="s">
        <v>24488</v>
      </c>
      <c r="N6123" s="308"/>
      <c r="O6123" s="308"/>
      <c r="P6123" s="308" t="s">
        <v>24489</v>
      </c>
      <c r="Q6123" s="308" t="s">
        <v>38870</v>
      </c>
      <c r="R6123" s="308" t="s">
        <v>16447</v>
      </c>
      <c r="S6123" s="308" t="s">
        <v>81</v>
      </c>
      <c r="T6123" s="308" t="s">
        <v>75</v>
      </c>
      <c r="U6123" s="308" t="s">
        <v>2291</v>
      </c>
      <c r="V6123" s="308"/>
    </row>
    <row r="6124">
      <c r="A6124" s="308">
        <v>6123.0</v>
      </c>
      <c r="B6124" s="308"/>
      <c r="C6124" s="308" t="s">
        <v>24490</v>
      </c>
      <c r="D6124" s="308">
        <f>IFERROR(__xludf.DUMMYFUNCTION("SPLIT(C6124,""-"")"),6144.0)</f>
        <v>6144</v>
      </c>
      <c r="E6124" s="308" t="str">
        <f>IFERROR(__xludf.DUMMYFUNCTION("""COMPUTED_VALUE"""),"P")</f>
        <v>P</v>
      </c>
      <c r="F6124" s="312" t="s">
        <v>37</v>
      </c>
      <c r="G6124" s="308"/>
      <c r="H6124" s="308" t="s">
        <v>24491</v>
      </c>
      <c r="I6124" s="310">
        <v>43510.0</v>
      </c>
      <c r="J6124" s="319">
        <f>IFERROR(__xludf.DUMMYFUNCTION("SPLIT(I6124,""/"")"),14.0)</f>
        <v>14</v>
      </c>
      <c r="K6124" s="308">
        <f>IFERROR(__xludf.DUMMYFUNCTION("""COMPUTED_VALUE"""),2.0)</f>
        <v>2</v>
      </c>
      <c r="L6124" s="308">
        <f>IFERROR(__xludf.DUMMYFUNCTION("""COMPUTED_VALUE"""),2019.0)</f>
        <v>2019</v>
      </c>
      <c r="M6124" s="308" t="s">
        <v>24488</v>
      </c>
      <c r="N6124" s="308"/>
      <c r="O6124" s="308"/>
      <c r="P6124" s="308" t="s">
        <v>24492</v>
      </c>
      <c r="Q6124" s="308" t="s">
        <v>38870</v>
      </c>
      <c r="R6124" s="308" t="s">
        <v>16447</v>
      </c>
      <c r="S6124" s="308" t="s">
        <v>81</v>
      </c>
      <c r="T6124" s="308" t="s">
        <v>75</v>
      </c>
      <c r="U6124" s="308" t="s">
        <v>2291</v>
      </c>
      <c r="V6124" s="308"/>
    </row>
    <row r="6125">
      <c r="A6125" s="308">
        <v>6124.0</v>
      </c>
      <c r="B6125" s="308"/>
      <c r="C6125" s="308" t="s">
        <v>24493</v>
      </c>
      <c r="D6125" s="308">
        <f>IFERROR(__xludf.DUMMYFUNCTION("SPLIT(C6125,""-"")"),6145.0)</f>
        <v>6145</v>
      </c>
      <c r="E6125" s="308" t="str">
        <f>IFERROR(__xludf.DUMMYFUNCTION("""COMPUTED_VALUE"""),"P")</f>
        <v>P</v>
      </c>
      <c r="F6125" s="312" t="s">
        <v>37</v>
      </c>
      <c r="G6125" s="308"/>
      <c r="H6125" s="308" t="s">
        <v>24494</v>
      </c>
      <c r="I6125" s="310">
        <v>43510.0</v>
      </c>
      <c r="J6125" s="319">
        <f>IFERROR(__xludf.DUMMYFUNCTION("SPLIT(I6125,""/"")"),14.0)</f>
        <v>14</v>
      </c>
      <c r="K6125" s="308">
        <f>IFERROR(__xludf.DUMMYFUNCTION("""COMPUTED_VALUE"""),2.0)</f>
        <v>2</v>
      </c>
      <c r="L6125" s="308">
        <f>IFERROR(__xludf.DUMMYFUNCTION("""COMPUTED_VALUE"""),2019.0)</f>
        <v>2019</v>
      </c>
      <c r="M6125" s="308" t="s">
        <v>24488</v>
      </c>
      <c r="N6125" s="308"/>
      <c r="O6125" s="308"/>
      <c r="P6125" s="308" t="s">
        <v>24495</v>
      </c>
      <c r="Q6125" s="308" t="s">
        <v>38870</v>
      </c>
      <c r="R6125" s="308" t="s">
        <v>16447</v>
      </c>
      <c r="S6125" s="308" t="s">
        <v>81</v>
      </c>
      <c r="T6125" s="308" t="s">
        <v>75</v>
      </c>
      <c r="U6125" s="308" t="s">
        <v>2291</v>
      </c>
      <c r="V6125" s="308"/>
    </row>
    <row r="6126">
      <c r="A6126" s="308">
        <v>6125.0</v>
      </c>
      <c r="B6126" s="308"/>
      <c r="C6126" s="308" t="s">
        <v>24496</v>
      </c>
      <c r="D6126" s="308">
        <f>IFERROR(__xludf.DUMMYFUNCTION("SPLIT(C6126,""-"")"),6146.0)</f>
        <v>6146</v>
      </c>
      <c r="E6126" s="308" t="str">
        <f>IFERROR(__xludf.DUMMYFUNCTION("""COMPUTED_VALUE"""),"K")</f>
        <v>K</v>
      </c>
      <c r="F6126" s="309" t="s">
        <v>34</v>
      </c>
      <c r="G6126" s="308"/>
      <c r="H6126" s="308" t="s">
        <v>24497</v>
      </c>
      <c r="I6126" s="310">
        <v>42976.0</v>
      </c>
      <c r="J6126" s="319" t="str">
        <f>IFERROR(__xludf.DUMMYFUNCTION("SPLIT(I6126,""/"")"),"#REF!")</f>
        <v>#REF!</v>
      </c>
      <c r="K6126" s="308"/>
      <c r="L6126" s="308">
        <v>2017.0</v>
      </c>
      <c r="M6126" s="308" t="s">
        <v>24498</v>
      </c>
      <c r="N6126" s="308"/>
      <c r="O6126" s="308"/>
      <c r="P6126" s="308" t="s">
        <v>24499</v>
      </c>
      <c r="Q6126" s="308" t="s">
        <v>38870</v>
      </c>
      <c r="R6126" s="308" t="s">
        <v>2743</v>
      </c>
      <c r="S6126" s="308" t="s">
        <v>81</v>
      </c>
      <c r="T6126" s="308" t="s">
        <v>34264</v>
      </c>
      <c r="U6126" s="308" t="s">
        <v>4749</v>
      </c>
      <c r="V6126" s="308"/>
    </row>
    <row r="6127">
      <c r="A6127" s="308">
        <v>6126.0</v>
      </c>
      <c r="B6127" s="308"/>
      <c r="C6127" s="308" t="s">
        <v>24500</v>
      </c>
      <c r="D6127" s="308">
        <f>IFERROR(__xludf.DUMMYFUNCTION("SPLIT(C6127,""-"")"),6147.0)</f>
        <v>6147</v>
      </c>
      <c r="E6127" s="308" t="str">
        <f>IFERROR(__xludf.DUMMYFUNCTION("""COMPUTED_VALUE"""),"P")</f>
        <v>P</v>
      </c>
      <c r="F6127" s="312" t="s">
        <v>37</v>
      </c>
      <c r="G6127" s="308"/>
      <c r="H6127" s="308" t="s">
        <v>24501</v>
      </c>
      <c r="I6127" s="314">
        <v>41955.0</v>
      </c>
      <c r="J6127" s="319">
        <f>IFERROR(__xludf.DUMMYFUNCTION("SPLIT(I6127,""/"")"),12.0)</f>
        <v>12</v>
      </c>
      <c r="K6127" s="308">
        <f>IFERROR(__xludf.DUMMYFUNCTION("""COMPUTED_VALUE"""),11.0)</f>
        <v>11</v>
      </c>
      <c r="L6127" s="308">
        <f>IFERROR(__xludf.DUMMYFUNCTION("""COMPUTED_VALUE"""),2014.0)</f>
        <v>2014</v>
      </c>
      <c r="M6127" s="308" t="s">
        <v>24502</v>
      </c>
      <c r="N6127" s="308"/>
      <c r="O6127" s="308"/>
      <c r="P6127" s="308" t="s">
        <v>136</v>
      </c>
      <c r="Q6127" s="308" t="s">
        <v>38870</v>
      </c>
      <c r="R6127" s="308" t="s">
        <v>2743</v>
      </c>
      <c r="S6127" s="315" t="s">
        <v>100</v>
      </c>
      <c r="T6127" s="308" t="s">
        <v>34208</v>
      </c>
      <c r="U6127" s="308" t="s">
        <v>2291</v>
      </c>
      <c r="V6127" s="308"/>
    </row>
    <row r="6128">
      <c r="A6128" s="308">
        <v>6127.0</v>
      </c>
      <c r="B6128" s="308"/>
      <c r="C6128" s="308" t="s">
        <v>24503</v>
      </c>
      <c r="D6128" s="308">
        <f>IFERROR(__xludf.DUMMYFUNCTION("SPLIT(C6128,""-"")"),6148.0)</f>
        <v>6148</v>
      </c>
      <c r="E6128" s="308" t="str">
        <f>IFERROR(__xludf.DUMMYFUNCTION("""COMPUTED_VALUE"""),"S")</f>
        <v>S</v>
      </c>
      <c r="F6128" s="312" t="s">
        <v>39</v>
      </c>
      <c r="G6128" s="308"/>
      <c r="H6128" s="308" t="s">
        <v>24504</v>
      </c>
      <c r="I6128" s="310">
        <v>42186.0</v>
      </c>
      <c r="J6128" s="319">
        <f>IFERROR(__xludf.DUMMYFUNCTION("SPLIT(I6128,""/"")"),1.0)</f>
        <v>1</v>
      </c>
      <c r="K6128" s="308">
        <f>IFERROR(__xludf.DUMMYFUNCTION("""COMPUTED_VALUE"""),7.0)</f>
        <v>7</v>
      </c>
      <c r="L6128" s="308">
        <f>IFERROR(__xludf.DUMMYFUNCTION("""COMPUTED_VALUE"""),2015.0)</f>
        <v>2015</v>
      </c>
      <c r="M6128" s="308" t="s">
        <v>24505</v>
      </c>
      <c r="N6128" s="308" t="s">
        <v>24506</v>
      </c>
      <c r="O6128" s="308"/>
      <c r="P6128" s="308" t="s">
        <v>136</v>
      </c>
      <c r="Q6128" s="308" t="s">
        <v>38872</v>
      </c>
      <c r="R6128" s="308" t="s">
        <v>2743</v>
      </c>
      <c r="S6128" s="315" t="s">
        <v>100</v>
      </c>
      <c r="T6128" s="308" t="s">
        <v>34208</v>
      </c>
      <c r="U6128" s="308" t="s">
        <v>166</v>
      </c>
      <c r="V6128" s="308"/>
    </row>
    <row r="6129">
      <c r="A6129" s="308">
        <v>6128.0</v>
      </c>
      <c r="B6129" s="308"/>
      <c r="C6129" s="308" t="s">
        <v>24507</v>
      </c>
      <c r="D6129" s="308">
        <f>IFERROR(__xludf.DUMMYFUNCTION("SPLIT(C6129,""-"")"),6149.0)</f>
        <v>6149</v>
      </c>
      <c r="E6129" s="308" t="str">
        <f>IFERROR(__xludf.DUMMYFUNCTION("""COMPUTED_VALUE"""),"P")</f>
        <v>P</v>
      </c>
      <c r="F6129" s="312" t="s">
        <v>37</v>
      </c>
      <c r="G6129" s="308"/>
      <c r="H6129" s="308" t="s">
        <v>24508</v>
      </c>
      <c r="I6129" s="310">
        <v>42186.0</v>
      </c>
      <c r="J6129" s="319">
        <f>IFERROR(__xludf.DUMMYFUNCTION("SPLIT(I6129,""/"")"),1.0)</f>
        <v>1</v>
      </c>
      <c r="K6129" s="308">
        <f>IFERROR(__xludf.DUMMYFUNCTION("""COMPUTED_VALUE"""),7.0)</f>
        <v>7</v>
      </c>
      <c r="L6129" s="308">
        <f>IFERROR(__xludf.DUMMYFUNCTION("""COMPUTED_VALUE"""),2015.0)</f>
        <v>2015</v>
      </c>
      <c r="M6129" s="308" t="s">
        <v>24509</v>
      </c>
      <c r="N6129" s="308" t="s">
        <v>24510</v>
      </c>
      <c r="O6129" s="308"/>
      <c r="P6129" s="308" t="s">
        <v>38873</v>
      </c>
      <c r="Q6129" s="308" t="s">
        <v>38874</v>
      </c>
      <c r="R6129" s="308" t="s">
        <v>2743</v>
      </c>
      <c r="S6129" s="308" t="s">
        <v>81</v>
      </c>
      <c r="T6129" s="311" t="s">
        <v>96</v>
      </c>
      <c r="U6129" s="308" t="s">
        <v>149</v>
      </c>
      <c r="V6129" s="308"/>
    </row>
    <row r="6130">
      <c r="A6130" s="308">
        <v>6129.0</v>
      </c>
      <c r="B6130" s="308"/>
      <c r="C6130" s="308" t="s">
        <v>24512</v>
      </c>
      <c r="D6130" s="308">
        <f>IFERROR(__xludf.DUMMYFUNCTION("SPLIT(C6130,""-"")"),6150.0)</f>
        <v>6150</v>
      </c>
      <c r="E6130" s="308" t="str">
        <f>IFERROR(__xludf.DUMMYFUNCTION("""COMPUTED_VALUE"""),"K")</f>
        <v>K</v>
      </c>
      <c r="F6130" s="309" t="s">
        <v>34</v>
      </c>
      <c r="G6130" s="308"/>
      <c r="H6130" s="308" t="s">
        <v>24513</v>
      </c>
      <c r="I6130" s="310">
        <v>41804.0</v>
      </c>
      <c r="J6130" s="319">
        <f>IFERROR(__xludf.DUMMYFUNCTION("SPLIT(I6130,""/"")"),14.0)</f>
        <v>14</v>
      </c>
      <c r="K6130" s="308">
        <f>IFERROR(__xludf.DUMMYFUNCTION("""COMPUTED_VALUE"""),6.0)</f>
        <v>6</v>
      </c>
      <c r="L6130" s="308">
        <f>IFERROR(__xludf.DUMMYFUNCTION("""COMPUTED_VALUE"""),2014.0)</f>
        <v>2014</v>
      </c>
      <c r="M6130" s="308" t="s">
        <v>24514</v>
      </c>
      <c r="N6130" s="308" t="s">
        <v>24515</v>
      </c>
      <c r="O6130" s="308" t="s">
        <v>24516</v>
      </c>
      <c r="P6130" s="308" t="s">
        <v>136</v>
      </c>
      <c r="Q6130" s="308" t="s">
        <v>38875</v>
      </c>
      <c r="R6130" s="308" t="s">
        <v>2743</v>
      </c>
      <c r="S6130" s="315" t="s">
        <v>100</v>
      </c>
      <c r="T6130" s="308" t="s">
        <v>34208</v>
      </c>
      <c r="U6130" s="308" t="s">
        <v>282</v>
      </c>
      <c r="V6130" s="308"/>
    </row>
    <row r="6131">
      <c r="A6131" s="308">
        <v>6130.0</v>
      </c>
      <c r="B6131" s="308"/>
      <c r="C6131" s="308" t="s">
        <v>24517</v>
      </c>
      <c r="D6131" s="308">
        <f>IFERROR(__xludf.DUMMYFUNCTION("SPLIT(C6131,""-"")"),6151.0)</f>
        <v>6151</v>
      </c>
      <c r="E6131" s="308" t="str">
        <f>IFERROR(__xludf.DUMMYFUNCTION("""COMPUTED_VALUE"""),"K")</f>
        <v>K</v>
      </c>
      <c r="F6131" s="309" t="s">
        <v>34</v>
      </c>
      <c r="G6131" s="308"/>
      <c r="H6131" s="308" t="s">
        <v>24518</v>
      </c>
      <c r="I6131" s="310">
        <v>40817.0</v>
      </c>
      <c r="J6131" s="319">
        <f>IFERROR(__xludf.DUMMYFUNCTION("SPLIT(I6131,""/"")"),1.0)</f>
        <v>1</v>
      </c>
      <c r="K6131" s="308">
        <f>IFERROR(__xludf.DUMMYFUNCTION("""COMPUTED_VALUE"""),10.0)</f>
        <v>10</v>
      </c>
      <c r="L6131" s="308">
        <f>IFERROR(__xludf.DUMMYFUNCTION("""COMPUTED_VALUE"""),2011.0)</f>
        <v>2011</v>
      </c>
      <c r="M6131" s="308" t="s">
        <v>24519</v>
      </c>
      <c r="N6131" s="308" t="s">
        <v>24520</v>
      </c>
      <c r="O6131" s="308"/>
      <c r="P6131" s="308" t="s">
        <v>136</v>
      </c>
      <c r="Q6131" s="308" t="s">
        <v>38875</v>
      </c>
      <c r="R6131" s="308" t="s">
        <v>2743</v>
      </c>
      <c r="S6131" s="315" t="s">
        <v>100</v>
      </c>
      <c r="T6131" s="308" t="s">
        <v>34208</v>
      </c>
      <c r="U6131" s="308" t="s">
        <v>530</v>
      </c>
      <c r="V6131" s="308"/>
    </row>
    <row r="6132">
      <c r="A6132" s="308">
        <v>6131.0</v>
      </c>
      <c r="B6132" s="308"/>
      <c r="C6132" s="308" t="s">
        <v>24521</v>
      </c>
      <c r="D6132" s="308">
        <f>IFERROR(__xludf.DUMMYFUNCTION("SPLIT(C6132,""-"")"),6152.0)</f>
        <v>6152</v>
      </c>
      <c r="E6132" s="308" t="str">
        <f>IFERROR(__xludf.DUMMYFUNCTION("""COMPUTED_VALUE"""),"P")</f>
        <v>P</v>
      </c>
      <c r="F6132" s="312" t="s">
        <v>37</v>
      </c>
      <c r="G6132" s="308"/>
      <c r="H6132" s="308" t="s">
        <v>22100</v>
      </c>
      <c r="I6132" s="310">
        <v>43619.0</v>
      </c>
      <c r="J6132" s="319">
        <f>IFERROR(__xludf.DUMMYFUNCTION("SPLIT(I6132,""/"")"),3.0)</f>
        <v>3</v>
      </c>
      <c r="K6132" s="308">
        <f>IFERROR(__xludf.DUMMYFUNCTION("""COMPUTED_VALUE"""),6.0)</f>
        <v>6</v>
      </c>
      <c r="L6132" s="308">
        <f>IFERROR(__xludf.DUMMYFUNCTION("""COMPUTED_VALUE"""),2019.0)</f>
        <v>2019</v>
      </c>
      <c r="M6132" s="308" t="s">
        <v>24522</v>
      </c>
      <c r="N6132" s="308" t="s">
        <v>24523</v>
      </c>
      <c r="O6132" s="308"/>
      <c r="P6132" s="308" t="s">
        <v>38876</v>
      </c>
      <c r="Q6132" s="308" t="s">
        <v>38877</v>
      </c>
      <c r="R6132" s="308" t="s">
        <v>2743</v>
      </c>
      <c r="S6132" s="308" t="s">
        <v>81</v>
      </c>
      <c r="T6132" s="308" t="s">
        <v>73</v>
      </c>
      <c r="U6132" s="308" t="s">
        <v>4273</v>
      </c>
      <c r="V6132" s="308"/>
    </row>
    <row r="6133">
      <c r="A6133" s="308">
        <v>6132.0</v>
      </c>
      <c r="B6133" s="308"/>
      <c r="C6133" s="308" t="s">
        <v>24525</v>
      </c>
      <c r="D6133" s="308">
        <f>IFERROR(__xludf.DUMMYFUNCTION("SPLIT(C6133,""-"")"),6153.0)</f>
        <v>6153</v>
      </c>
      <c r="E6133" s="308" t="str">
        <f>IFERROR(__xludf.DUMMYFUNCTION("""COMPUTED_VALUE"""),"K")</f>
        <v>K</v>
      </c>
      <c r="F6133" s="309" t="s">
        <v>34</v>
      </c>
      <c r="G6133" s="308"/>
      <c r="H6133" s="308" t="s">
        <v>38878</v>
      </c>
      <c r="I6133" s="310">
        <v>43435.0</v>
      </c>
      <c r="J6133" s="319">
        <f>IFERROR(__xludf.DUMMYFUNCTION("SPLIT(I6133,""/"")"),1.0)</f>
        <v>1</v>
      </c>
      <c r="K6133" s="308">
        <f>IFERROR(__xludf.DUMMYFUNCTION("""COMPUTED_VALUE"""),12.0)</f>
        <v>12</v>
      </c>
      <c r="L6133" s="308">
        <f>IFERROR(__xludf.DUMMYFUNCTION("""COMPUTED_VALUE"""),2018.0)</f>
        <v>2018</v>
      </c>
      <c r="M6133" s="308" t="s">
        <v>24527</v>
      </c>
      <c r="N6133" s="308"/>
      <c r="O6133" s="308"/>
      <c r="P6133" s="308" t="s">
        <v>24528</v>
      </c>
      <c r="Q6133" s="308" t="s">
        <v>38879</v>
      </c>
      <c r="R6133" s="308" t="s">
        <v>2743</v>
      </c>
      <c r="S6133" s="308" t="s">
        <v>81</v>
      </c>
      <c r="T6133" s="308" t="s">
        <v>34264</v>
      </c>
      <c r="U6133" s="308" t="s">
        <v>23797</v>
      </c>
      <c r="V6133" s="308"/>
    </row>
    <row r="6134">
      <c r="A6134" s="308">
        <v>6133.0</v>
      </c>
      <c r="B6134" s="308"/>
      <c r="C6134" s="308" t="s">
        <v>24529</v>
      </c>
      <c r="D6134" s="308">
        <f>IFERROR(__xludf.DUMMYFUNCTION("SPLIT(C6134,""-"")"),6154.0)</f>
        <v>6154</v>
      </c>
      <c r="E6134" s="308" t="str">
        <f>IFERROR(__xludf.DUMMYFUNCTION("""COMPUTED_VALUE"""),"S")</f>
        <v>S</v>
      </c>
      <c r="F6134" s="312" t="s">
        <v>39</v>
      </c>
      <c r="G6134" s="308"/>
      <c r="H6134" s="308" t="s">
        <v>24530</v>
      </c>
      <c r="I6134" s="310">
        <v>39995.0</v>
      </c>
      <c r="J6134" s="319">
        <f>IFERROR(__xludf.DUMMYFUNCTION("SPLIT(I6134,""/"")"),1.0)</f>
        <v>1</v>
      </c>
      <c r="K6134" s="308">
        <f>IFERROR(__xludf.DUMMYFUNCTION("""COMPUTED_VALUE"""),7.0)</f>
        <v>7</v>
      </c>
      <c r="L6134" s="308">
        <f>IFERROR(__xludf.DUMMYFUNCTION("""COMPUTED_VALUE"""),2009.0)</f>
        <v>2009</v>
      </c>
      <c r="M6134" s="308" t="s">
        <v>24531</v>
      </c>
      <c r="N6134" s="308"/>
      <c r="O6134" s="308"/>
      <c r="P6134" s="308" t="s">
        <v>38880</v>
      </c>
      <c r="Q6134" s="308" t="s">
        <v>38879</v>
      </c>
      <c r="R6134" s="308" t="s">
        <v>2743</v>
      </c>
      <c r="S6134" s="308" t="s">
        <v>49</v>
      </c>
      <c r="T6134" s="311" t="s">
        <v>57</v>
      </c>
      <c r="U6134" s="308" t="s">
        <v>166</v>
      </c>
      <c r="V6134" s="308"/>
    </row>
    <row r="6135">
      <c r="A6135" s="308">
        <v>6134.0</v>
      </c>
      <c r="B6135" s="308"/>
      <c r="C6135" s="308" t="s">
        <v>24533</v>
      </c>
      <c r="D6135" s="308">
        <f>IFERROR(__xludf.DUMMYFUNCTION("SPLIT(C6135,""-"")"),6155.0)</f>
        <v>6155</v>
      </c>
      <c r="E6135" s="308" t="str">
        <f>IFERROR(__xludf.DUMMYFUNCTION("""COMPUTED_VALUE"""),"P")</f>
        <v>P</v>
      </c>
      <c r="F6135" s="312" t="s">
        <v>37</v>
      </c>
      <c r="G6135" s="308"/>
      <c r="H6135" s="308" t="s">
        <v>24534</v>
      </c>
      <c r="I6135" s="310">
        <v>40015.0</v>
      </c>
      <c r="J6135" s="319">
        <f>IFERROR(__xludf.DUMMYFUNCTION("SPLIT(I6135,""/"")"),21.0)</f>
        <v>21</v>
      </c>
      <c r="K6135" s="308">
        <f>IFERROR(__xludf.DUMMYFUNCTION("""COMPUTED_VALUE"""),7.0)</f>
        <v>7</v>
      </c>
      <c r="L6135" s="308">
        <f>IFERROR(__xludf.DUMMYFUNCTION("""COMPUTED_VALUE"""),2009.0)</f>
        <v>2009</v>
      </c>
      <c r="M6135" s="308" t="s">
        <v>24535</v>
      </c>
      <c r="N6135" s="308"/>
      <c r="O6135" s="308"/>
      <c r="P6135" s="308" t="s">
        <v>38881</v>
      </c>
      <c r="Q6135" s="308" t="s">
        <v>38882</v>
      </c>
      <c r="R6135" s="308" t="s">
        <v>2743</v>
      </c>
      <c r="S6135" s="308" t="s">
        <v>49</v>
      </c>
      <c r="T6135" s="308" t="s">
        <v>51</v>
      </c>
      <c r="U6135" s="308" t="s">
        <v>143</v>
      </c>
      <c r="V6135" s="308"/>
    </row>
    <row r="6136">
      <c r="A6136" s="308">
        <v>6135.0</v>
      </c>
      <c r="B6136" s="308"/>
      <c r="C6136" s="308" t="s">
        <v>24537</v>
      </c>
      <c r="D6136" s="308">
        <f>IFERROR(__xludf.DUMMYFUNCTION("SPLIT(C6136,""-"")"),6156.0)</f>
        <v>6156</v>
      </c>
      <c r="E6136" s="308" t="str">
        <f>IFERROR(__xludf.DUMMYFUNCTION("""COMPUTED_VALUE"""),"P")</f>
        <v>P</v>
      </c>
      <c r="F6136" s="312" t="s">
        <v>37</v>
      </c>
      <c r="G6136" s="308"/>
      <c r="H6136" s="308" t="s">
        <v>24538</v>
      </c>
      <c r="I6136" s="310">
        <v>43609.0</v>
      </c>
      <c r="J6136" s="319">
        <f>IFERROR(__xludf.DUMMYFUNCTION("SPLIT(I6136,""/"")"),24.0)</f>
        <v>24</v>
      </c>
      <c r="K6136" s="308">
        <f>IFERROR(__xludf.DUMMYFUNCTION("""COMPUTED_VALUE"""),5.0)</f>
        <v>5</v>
      </c>
      <c r="L6136" s="308">
        <f>IFERROR(__xludf.DUMMYFUNCTION("""COMPUTED_VALUE"""),2019.0)</f>
        <v>2019</v>
      </c>
      <c r="M6136" s="308" t="s">
        <v>24539</v>
      </c>
      <c r="N6136" s="308" t="s">
        <v>24540</v>
      </c>
      <c r="O6136" s="308"/>
      <c r="P6136" s="308" t="s">
        <v>38883</v>
      </c>
      <c r="Q6136" s="308" t="s">
        <v>38882</v>
      </c>
      <c r="R6136" s="308" t="s">
        <v>2743</v>
      </c>
      <c r="S6136" s="308" t="s">
        <v>81</v>
      </c>
      <c r="T6136" s="308" t="s">
        <v>34264</v>
      </c>
      <c r="U6136" s="308" t="s">
        <v>1182</v>
      </c>
      <c r="V6136" s="308" t="s">
        <v>38884</v>
      </c>
    </row>
    <row r="6137">
      <c r="A6137" s="308">
        <v>6136.0</v>
      </c>
      <c r="B6137" s="308"/>
      <c r="C6137" s="308" t="s">
        <v>24543</v>
      </c>
      <c r="D6137" s="308">
        <f>IFERROR(__xludf.DUMMYFUNCTION("SPLIT(C6137,""-"")"),6157.0)</f>
        <v>6157</v>
      </c>
      <c r="E6137" s="308" t="str">
        <f>IFERROR(__xludf.DUMMYFUNCTION("""COMPUTED_VALUE"""),"K")</f>
        <v>K</v>
      </c>
      <c r="F6137" s="309" t="s">
        <v>34</v>
      </c>
      <c r="G6137" s="308"/>
      <c r="H6137" s="308" t="s">
        <v>38885</v>
      </c>
      <c r="I6137" s="314">
        <v>41997.0</v>
      </c>
      <c r="J6137" s="319">
        <f>IFERROR(__xludf.DUMMYFUNCTION("SPLIT(I6137,""/"")"),24.0)</f>
        <v>24</v>
      </c>
      <c r="K6137" s="308">
        <f>IFERROR(__xludf.DUMMYFUNCTION("""COMPUTED_VALUE"""),12.0)</f>
        <v>12</v>
      </c>
      <c r="L6137" s="308">
        <f>IFERROR(__xludf.DUMMYFUNCTION("""COMPUTED_VALUE"""),2014.0)</f>
        <v>2014</v>
      </c>
      <c r="M6137" s="308" t="s">
        <v>24545</v>
      </c>
      <c r="N6137" s="308"/>
      <c r="O6137" s="308" t="s">
        <v>38886</v>
      </c>
      <c r="P6137" s="308" t="s">
        <v>136</v>
      </c>
      <c r="Q6137" s="308" t="s">
        <v>38887</v>
      </c>
      <c r="R6137" s="308" t="s">
        <v>2743</v>
      </c>
      <c r="S6137" s="315" t="s">
        <v>100</v>
      </c>
      <c r="T6137" s="308" t="s">
        <v>34208</v>
      </c>
      <c r="U6137" s="308" t="s">
        <v>368</v>
      </c>
      <c r="V6137" s="308" t="s">
        <v>24547</v>
      </c>
    </row>
    <row r="6138">
      <c r="A6138" s="308">
        <v>6137.0</v>
      </c>
      <c r="B6138" s="308"/>
      <c r="C6138" s="308" t="s">
        <v>24548</v>
      </c>
      <c r="D6138" s="308">
        <f>IFERROR(__xludf.DUMMYFUNCTION("SPLIT(C6138,""-"")"),6158.0)</f>
        <v>6158</v>
      </c>
      <c r="E6138" s="308" t="str">
        <f>IFERROR(__xludf.DUMMYFUNCTION("""COMPUTED_VALUE"""),"P")</f>
        <v>P</v>
      </c>
      <c r="F6138" s="312" t="s">
        <v>37</v>
      </c>
      <c r="G6138" s="308"/>
      <c r="H6138" s="308" t="s">
        <v>38888</v>
      </c>
      <c r="I6138" s="310">
        <v>43613.0</v>
      </c>
      <c r="J6138" s="319">
        <f>IFERROR(__xludf.DUMMYFUNCTION("SPLIT(I6138,""/"")"),28.0)</f>
        <v>28</v>
      </c>
      <c r="K6138" s="308">
        <f>IFERROR(__xludf.DUMMYFUNCTION("""COMPUTED_VALUE"""),5.0)</f>
        <v>5</v>
      </c>
      <c r="L6138" s="308">
        <f>IFERROR(__xludf.DUMMYFUNCTION("""COMPUTED_VALUE"""),2019.0)</f>
        <v>2019</v>
      </c>
      <c r="M6138" s="308" t="s">
        <v>24550</v>
      </c>
      <c r="N6138" s="308" t="s">
        <v>24551</v>
      </c>
      <c r="O6138" s="308" t="s">
        <v>24552</v>
      </c>
      <c r="P6138" s="308" t="s">
        <v>136</v>
      </c>
      <c r="Q6138" s="308" t="s">
        <v>38887</v>
      </c>
      <c r="R6138" s="308" t="s">
        <v>2743</v>
      </c>
      <c r="S6138" s="315" t="s">
        <v>100</v>
      </c>
      <c r="T6138" s="308" t="s">
        <v>34208</v>
      </c>
      <c r="U6138" s="308" t="s">
        <v>3407</v>
      </c>
      <c r="V6138" s="308"/>
    </row>
    <row r="6139">
      <c r="A6139" s="308">
        <v>6138.0</v>
      </c>
      <c r="B6139" s="308"/>
      <c r="C6139" s="308" t="s">
        <v>24553</v>
      </c>
      <c r="D6139" s="308">
        <f>IFERROR(__xludf.DUMMYFUNCTION("SPLIT(C6139,""-"")"),6159.0)</f>
        <v>6159</v>
      </c>
      <c r="E6139" s="308" t="str">
        <f>IFERROR(__xludf.DUMMYFUNCTION("""COMPUTED_VALUE"""),"P")</f>
        <v>P</v>
      </c>
      <c r="F6139" s="312" t="s">
        <v>37</v>
      </c>
      <c r="G6139" s="308"/>
      <c r="H6139" s="308" t="s">
        <v>38889</v>
      </c>
      <c r="I6139" s="310">
        <v>42860.0</v>
      </c>
      <c r="J6139" s="319">
        <f>IFERROR(__xludf.DUMMYFUNCTION("SPLIT(I6139,""/"")"),5.0)</f>
        <v>5</v>
      </c>
      <c r="K6139" s="308">
        <f>IFERROR(__xludf.DUMMYFUNCTION("""COMPUTED_VALUE"""),5.0)</f>
        <v>5</v>
      </c>
      <c r="L6139" s="308">
        <f>IFERROR(__xludf.DUMMYFUNCTION("""COMPUTED_VALUE"""),2017.0)</f>
        <v>2017</v>
      </c>
      <c r="M6139" s="308" t="s">
        <v>24555</v>
      </c>
      <c r="N6139" s="308" t="s">
        <v>24556</v>
      </c>
      <c r="O6139" s="308"/>
      <c r="P6139" s="308" t="s">
        <v>38890</v>
      </c>
      <c r="Q6139" s="308" t="s">
        <v>38891</v>
      </c>
      <c r="R6139" s="308" t="s">
        <v>2743</v>
      </c>
      <c r="S6139" s="308" t="s">
        <v>49</v>
      </c>
      <c r="T6139" s="311" t="s">
        <v>51</v>
      </c>
      <c r="U6139" s="308" t="s">
        <v>149</v>
      </c>
      <c r="V6139" s="308"/>
    </row>
    <row r="6140">
      <c r="A6140" s="308">
        <v>6139.0</v>
      </c>
      <c r="B6140" s="308"/>
      <c r="C6140" s="308" t="s">
        <v>24558</v>
      </c>
      <c r="D6140" s="308">
        <f>IFERROR(__xludf.DUMMYFUNCTION("SPLIT(C6140,""-"")"),6160.0)</f>
        <v>6160</v>
      </c>
      <c r="E6140" s="308" t="str">
        <f>IFERROR(__xludf.DUMMYFUNCTION("""COMPUTED_VALUE"""),"P")</f>
        <v>P</v>
      </c>
      <c r="F6140" s="312" t="s">
        <v>37</v>
      </c>
      <c r="G6140" s="308"/>
      <c r="H6140" s="308" t="s">
        <v>38892</v>
      </c>
      <c r="I6140" s="310">
        <v>41797.0</v>
      </c>
      <c r="J6140" s="319">
        <f>IFERROR(__xludf.DUMMYFUNCTION("SPLIT(I6140,""/"")"),7.0)</f>
        <v>7</v>
      </c>
      <c r="K6140" s="308">
        <f>IFERROR(__xludf.DUMMYFUNCTION("""COMPUTED_VALUE"""),6.0)</f>
        <v>6</v>
      </c>
      <c r="L6140" s="308">
        <f>IFERROR(__xludf.DUMMYFUNCTION("""COMPUTED_VALUE"""),2014.0)</f>
        <v>2014</v>
      </c>
      <c r="M6140" s="308" t="s">
        <v>24560</v>
      </c>
      <c r="N6140" s="308" t="s">
        <v>24561</v>
      </c>
      <c r="O6140" s="308" t="s">
        <v>24562</v>
      </c>
      <c r="P6140" s="308" t="s">
        <v>38893</v>
      </c>
      <c r="Q6140" s="308" t="s">
        <v>38891</v>
      </c>
      <c r="R6140" s="308" t="s">
        <v>2743</v>
      </c>
      <c r="S6140" s="308" t="s">
        <v>49</v>
      </c>
      <c r="T6140" s="308" t="s">
        <v>51</v>
      </c>
      <c r="U6140" s="308" t="s">
        <v>2291</v>
      </c>
      <c r="V6140" s="308"/>
    </row>
    <row r="6141">
      <c r="A6141" s="308">
        <v>6140.0</v>
      </c>
      <c r="B6141" s="308"/>
      <c r="C6141" s="308" t="s">
        <v>24564</v>
      </c>
      <c r="D6141" s="308">
        <f>IFERROR(__xludf.DUMMYFUNCTION("SPLIT(C6141,""-"")"),6161.0)</f>
        <v>6161</v>
      </c>
      <c r="E6141" s="308" t="str">
        <f>IFERROR(__xludf.DUMMYFUNCTION("""COMPUTED_VALUE"""),"K")</f>
        <v>K</v>
      </c>
      <c r="F6141" s="309" t="s">
        <v>34</v>
      </c>
      <c r="G6141" s="308"/>
      <c r="H6141" s="308" t="s">
        <v>24565</v>
      </c>
      <c r="I6141" s="310">
        <v>41902.0</v>
      </c>
      <c r="J6141" s="319">
        <f>IFERROR(__xludf.DUMMYFUNCTION("SPLIT(I6141,""/"")"),20.0)</f>
        <v>20</v>
      </c>
      <c r="K6141" s="308">
        <f>IFERROR(__xludf.DUMMYFUNCTION("""COMPUTED_VALUE"""),9.0)</f>
        <v>9</v>
      </c>
      <c r="L6141" s="308">
        <f>IFERROR(__xludf.DUMMYFUNCTION("""COMPUTED_VALUE"""),2014.0)</f>
        <v>2014</v>
      </c>
      <c r="M6141" s="308" t="s">
        <v>24566</v>
      </c>
      <c r="N6141" s="308" t="s">
        <v>24567</v>
      </c>
      <c r="O6141" s="308"/>
      <c r="P6141" s="308" t="s">
        <v>38894</v>
      </c>
      <c r="Q6141" s="308" t="s">
        <v>38895</v>
      </c>
      <c r="R6141" s="308" t="s">
        <v>2743</v>
      </c>
      <c r="S6141" s="308" t="s">
        <v>49</v>
      </c>
      <c r="T6141" s="311" t="s">
        <v>53</v>
      </c>
      <c r="U6141" s="308" t="s">
        <v>23797</v>
      </c>
      <c r="V6141" s="308"/>
    </row>
    <row r="6142">
      <c r="A6142" s="308">
        <v>6141.0</v>
      </c>
      <c r="B6142" s="308"/>
      <c r="C6142" s="308" t="s">
        <v>24569</v>
      </c>
      <c r="D6142" s="308">
        <f>IFERROR(__xludf.DUMMYFUNCTION("SPLIT(C6142,""-"")"),6162.0)</f>
        <v>6162</v>
      </c>
      <c r="E6142" s="308" t="str">
        <f>IFERROR(__xludf.DUMMYFUNCTION("""COMPUTED_VALUE"""),"K")</f>
        <v>K</v>
      </c>
      <c r="F6142" s="309" t="s">
        <v>34</v>
      </c>
      <c r="G6142" s="308"/>
      <c r="H6142" s="308" t="s">
        <v>24570</v>
      </c>
      <c r="I6142" s="310">
        <v>39992.0</v>
      </c>
      <c r="J6142" s="319">
        <f>IFERROR(__xludf.DUMMYFUNCTION("SPLIT(I6142,""/"")"),28.0)</f>
        <v>28</v>
      </c>
      <c r="K6142" s="308">
        <f>IFERROR(__xludf.DUMMYFUNCTION("""COMPUTED_VALUE"""),6.0)</f>
        <v>6</v>
      </c>
      <c r="L6142" s="308">
        <f>IFERROR(__xludf.DUMMYFUNCTION("""COMPUTED_VALUE"""),2009.0)</f>
        <v>2009</v>
      </c>
      <c r="M6142" s="308" t="s">
        <v>24571</v>
      </c>
      <c r="N6142" s="308"/>
      <c r="O6142" s="312" t="s">
        <v>24572</v>
      </c>
      <c r="P6142" s="308" t="s">
        <v>136</v>
      </c>
      <c r="Q6142" s="308" t="s">
        <v>38896</v>
      </c>
      <c r="R6142" s="308" t="s">
        <v>2743</v>
      </c>
      <c r="S6142" s="315" t="s">
        <v>100</v>
      </c>
      <c r="T6142" s="308" t="s">
        <v>34208</v>
      </c>
      <c r="U6142" s="308" t="s">
        <v>530</v>
      </c>
      <c r="V6142" s="308"/>
    </row>
    <row r="6143">
      <c r="A6143" s="308">
        <v>6142.0</v>
      </c>
      <c r="B6143" s="308"/>
      <c r="C6143" s="308" t="s">
        <v>24573</v>
      </c>
      <c r="D6143" s="308">
        <f>IFERROR(__xludf.DUMMYFUNCTION("SPLIT(C6143,""-"")"),6163.0)</f>
        <v>6163</v>
      </c>
      <c r="E6143" s="308" t="str">
        <f>IFERROR(__xludf.DUMMYFUNCTION("""COMPUTED_VALUE"""),"S")</f>
        <v>S</v>
      </c>
      <c r="F6143" s="312" t="s">
        <v>39</v>
      </c>
      <c r="G6143" s="308"/>
      <c r="H6143" s="308" t="s">
        <v>38897</v>
      </c>
      <c r="I6143" s="314">
        <v>43457.0</v>
      </c>
      <c r="J6143" s="319">
        <f>IFERROR(__xludf.DUMMYFUNCTION("SPLIT(I6143,""/"")"),23.0)</f>
        <v>23</v>
      </c>
      <c r="K6143" s="308">
        <f>IFERROR(__xludf.DUMMYFUNCTION("""COMPUTED_VALUE"""),12.0)</f>
        <v>12</v>
      </c>
      <c r="L6143" s="308">
        <f>IFERROR(__xludf.DUMMYFUNCTION("""COMPUTED_VALUE"""),2018.0)</f>
        <v>2018</v>
      </c>
      <c r="M6143" s="308" t="s">
        <v>24575</v>
      </c>
      <c r="N6143" s="308" t="s">
        <v>24576</v>
      </c>
      <c r="O6143" s="308"/>
      <c r="P6143" s="308" t="s">
        <v>38898</v>
      </c>
      <c r="Q6143" s="308" t="s">
        <v>38896</v>
      </c>
      <c r="R6143" s="308" t="s">
        <v>2743</v>
      </c>
      <c r="S6143" s="308" t="s">
        <v>81</v>
      </c>
      <c r="T6143" s="308" t="s">
        <v>75</v>
      </c>
      <c r="U6143" s="308" t="s">
        <v>166</v>
      </c>
      <c r="V6143" s="308"/>
    </row>
    <row r="6144">
      <c r="A6144" s="308">
        <v>6143.0</v>
      </c>
      <c r="B6144" s="308"/>
      <c r="C6144" s="308" t="s">
        <v>24578</v>
      </c>
      <c r="D6144" s="308">
        <f>IFERROR(__xludf.DUMMYFUNCTION("SPLIT(C6144,""-"")"),6164.0)</f>
        <v>6164</v>
      </c>
      <c r="E6144" s="308" t="str">
        <f>IFERROR(__xludf.DUMMYFUNCTION("""COMPUTED_VALUE"""),"P")</f>
        <v>P</v>
      </c>
      <c r="F6144" s="312" t="s">
        <v>37</v>
      </c>
      <c r="G6144" s="308"/>
      <c r="H6144" s="308" t="s">
        <v>24579</v>
      </c>
      <c r="I6144" s="310">
        <v>43633.0</v>
      </c>
      <c r="J6144" s="319">
        <f>IFERROR(__xludf.DUMMYFUNCTION("SPLIT(I6144,""/"")"),17.0)</f>
        <v>17</v>
      </c>
      <c r="K6144" s="308">
        <f>IFERROR(__xludf.DUMMYFUNCTION("""COMPUTED_VALUE"""),6.0)</f>
        <v>6</v>
      </c>
      <c r="L6144" s="308">
        <f>IFERROR(__xludf.DUMMYFUNCTION("""COMPUTED_VALUE"""),2019.0)</f>
        <v>2019</v>
      </c>
      <c r="M6144" s="308" t="s">
        <v>24580</v>
      </c>
      <c r="N6144" s="308" t="s">
        <v>24581</v>
      </c>
      <c r="O6144" s="308"/>
      <c r="P6144" s="308" t="s">
        <v>38899</v>
      </c>
      <c r="Q6144" s="308" t="s">
        <v>38896</v>
      </c>
      <c r="R6144" s="308" t="s">
        <v>2743</v>
      </c>
      <c r="S6144" s="308" t="s">
        <v>81</v>
      </c>
      <c r="T6144" s="311" t="s">
        <v>75</v>
      </c>
      <c r="U6144" s="308" t="s">
        <v>5712</v>
      </c>
      <c r="V6144" s="308"/>
    </row>
    <row r="6145">
      <c r="A6145" s="308">
        <v>6144.0</v>
      </c>
      <c r="B6145" s="308"/>
      <c r="C6145" s="308" t="s">
        <v>24583</v>
      </c>
      <c r="D6145" s="308">
        <f>IFERROR(__xludf.DUMMYFUNCTION("SPLIT(C6145,""-"")"),6165.0)</f>
        <v>6165</v>
      </c>
      <c r="E6145" s="308" t="str">
        <f>IFERROR(__xludf.DUMMYFUNCTION("""COMPUTED_VALUE"""),"P")</f>
        <v>P</v>
      </c>
      <c r="F6145" s="312" t="s">
        <v>37</v>
      </c>
      <c r="G6145" s="308"/>
      <c r="H6145" s="308" t="s">
        <v>24584</v>
      </c>
      <c r="I6145" s="310">
        <v>43633.0</v>
      </c>
      <c r="J6145" s="319">
        <f>IFERROR(__xludf.DUMMYFUNCTION("SPLIT(I6145,""/"")"),17.0)</f>
        <v>17</v>
      </c>
      <c r="K6145" s="308">
        <f>IFERROR(__xludf.DUMMYFUNCTION("""COMPUTED_VALUE"""),6.0)</f>
        <v>6</v>
      </c>
      <c r="L6145" s="308">
        <f>IFERROR(__xludf.DUMMYFUNCTION("""COMPUTED_VALUE"""),2019.0)</f>
        <v>2019</v>
      </c>
      <c r="M6145" s="308" t="s">
        <v>24585</v>
      </c>
      <c r="N6145" s="308" t="s">
        <v>24586</v>
      </c>
      <c r="O6145" s="308"/>
      <c r="P6145" s="308" t="s">
        <v>24587</v>
      </c>
      <c r="Q6145" s="308" t="s">
        <v>38896</v>
      </c>
      <c r="R6145" s="308" t="s">
        <v>2743</v>
      </c>
      <c r="S6145" s="308" t="s">
        <v>81</v>
      </c>
      <c r="T6145" s="308" t="s">
        <v>75</v>
      </c>
      <c r="U6145" s="308" t="s">
        <v>5712</v>
      </c>
      <c r="V6145" s="308"/>
    </row>
    <row r="6146">
      <c r="A6146" s="308">
        <v>6145.0</v>
      </c>
      <c r="B6146" s="308"/>
      <c r="C6146" s="308" t="s">
        <v>24588</v>
      </c>
      <c r="D6146" s="308">
        <f>IFERROR(__xludf.DUMMYFUNCTION("SPLIT(C6146,""-"")"),6166.0)</f>
        <v>6166</v>
      </c>
      <c r="E6146" s="308" t="str">
        <f>IFERROR(__xludf.DUMMYFUNCTION("""COMPUTED_VALUE"""),"P")</f>
        <v>P</v>
      </c>
      <c r="F6146" s="312" t="s">
        <v>37</v>
      </c>
      <c r="G6146" s="308"/>
      <c r="H6146" s="308" t="s">
        <v>24589</v>
      </c>
      <c r="I6146" s="310">
        <v>43647.0</v>
      </c>
      <c r="J6146" s="319">
        <f>IFERROR(__xludf.DUMMYFUNCTION("SPLIT(I6146,""/"")"),1.0)</f>
        <v>1</v>
      </c>
      <c r="K6146" s="308">
        <f>IFERROR(__xludf.DUMMYFUNCTION("""COMPUTED_VALUE"""),7.0)</f>
        <v>7</v>
      </c>
      <c r="L6146" s="308">
        <f>IFERROR(__xludf.DUMMYFUNCTION("""COMPUTED_VALUE"""),2019.0)</f>
        <v>2019</v>
      </c>
      <c r="M6146" s="308" t="s">
        <v>24580</v>
      </c>
      <c r="N6146" s="308"/>
      <c r="O6146" s="308"/>
      <c r="P6146" s="308" t="s">
        <v>38900</v>
      </c>
      <c r="Q6146" s="308" t="s">
        <v>38896</v>
      </c>
      <c r="R6146" s="308" t="s">
        <v>2743</v>
      </c>
      <c r="S6146" s="308" t="s">
        <v>81</v>
      </c>
      <c r="T6146" s="311" t="s">
        <v>75</v>
      </c>
      <c r="U6146" s="308" t="s">
        <v>149</v>
      </c>
      <c r="V6146" s="308"/>
    </row>
    <row r="6147">
      <c r="A6147" s="308">
        <v>6146.0</v>
      </c>
      <c r="B6147" s="308"/>
      <c r="C6147" s="308" t="s">
        <v>24591</v>
      </c>
      <c r="D6147" s="308">
        <f>IFERROR(__xludf.DUMMYFUNCTION("SPLIT(C6147,""-"")"),6167.0)</f>
        <v>6167</v>
      </c>
      <c r="E6147" s="308" t="str">
        <f>IFERROR(__xludf.DUMMYFUNCTION("""COMPUTED_VALUE"""),"S")</f>
        <v>S</v>
      </c>
      <c r="F6147" s="312" t="s">
        <v>39</v>
      </c>
      <c r="G6147" s="308"/>
      <c r="H6147" s="308" t="s">
        <v>24592</v>
      </c>
      <c r="I6147" s="310">
        <v>43574.0</v>
      </c>
      <c r="J6147" s="319">
        <f>IFERROR(__xludf.DUMMYFUNCTION("SPLIT(I6147,""/"")"),19.0)</f>
        <v>19</v>
      </c>
      <c r="K6147" s="308">
        <f>IFERROR(__xludf.DUMMYFUNCTION("""COMPUTED_VALUE"""),4.0)</f>
        <v>4</v>
      </c>
      <c r="L6147" s="308">
        <f>IFERROR(__xludf.DUMMYFUNCTION("""COMPUTED_VALUE"""),2019.0)</f>
        <v>2019</v>
      </c>
      <c r="M6147" s="308" t="s">
        <v>24593</v>
      </c>
      <c r="N6147" s="308"/>
      <c r="O6147" s="308"/>
      <c r="P6147" s="308" t="s">
        <v>24594</v>
      </c>
      <c r="Q6147" s="308" t="s">
        <v>38901</v>
      </c>
      <c r="R6147" s="308" t="s">
        <v>24595</v>
      </c>
      <c r="S6147" s="308" t="s">
        <v>81</v>
      </c>
      <c r="T6147" s="308" t="s">
        <v>75</v>
      </c>
      <c r="U6147" s="308" t="s">
        <v>166</v>
      </c>
      <c r="V6147" s="308"/>
    </row>
    <row r="6148">
      <c r="A6148" s="308">
        <v>6147.0</v>
      </c>
      <c r="B6148" s="308"/>
      <c r="C6148" s="308" t="s">
        <v>24596</v>
      </c>
      <c r="D6148" s="308">
        <f>IFERROR(__xludf.DUMMYFUNCTION("SPLIT(C6148,""-"")"),6168.0)</f>
        <v>6168</v>
      </c>
      <c r="E6148" s="308" t="str">
        <f>IFERROR(__xludf.DUMMYFUNCTION("""COMPUTED_VALUE"""),"B")</f>
        <v>B</v>
      </c>
      <c r="F6148" s="315" t="s">
        <v>26</v>
      </c>
      <c r="G6148" s="308"/>
      <c r="H6148" s="308" t="s">
        <v>24597</v>
      </c>
      <c r="I6148" s="310">
        <v>43574.0</v>
      </c>
      <c r="J6148" s="319">
        <f>IFERROR(__xludf.DUMMYFUNCTION("SPLIT(I6148,""/"")"),19.0)</f>
        <v>19</v>
      </c>
      <c r="K6148" s="308">
        <f>IFERROR(__xludf.DUMMYFUNCTION("""COMPUTED_VALUE"""),4.0)</f>
        <v>4</v>
      </c>
      <c r="L6148" s="308">
        <f>IFERROR(__xludf.DUMMYFUNCTION("""COMPUTED_VALUE"""),2019.0)</f>
        <v>2019</v>
      </c>
      <c r="M6148" s="308" t="s">
        <v>24593</v>
      </c>
      <c r="N6148" s="308"/>
      <c r="O6148" s="308"/>
      <c r="P6148" s="308" t="s">
        <v>24598</v>
      </c>
      <c r="Q6148" s="308" t="s">
        <v>38901</v>
      </c>
      <c r="R6148" s="308" t="s">
        <v>24595</v>
      </c>
      <c r="S6148" s="308" t="s">
        <v>81</v>
      </c>
      <c r="T6148" s="311" t="s">
        <v>96</v>
      </c>
      <c r="U6148" s="308" t="s">
        <v>27</v>
      </c>
      <c r="V6148" s="308"/>
    </row>
    <row r="6149">
      <c r="A6149" s="308">
        <v>6148.0</v>
      </c>
      <c r="B6149" s="308"/>
      <c r="C6149" s="308" t="s">
        <v>24599</v>
      </c>
      <c r="D6149" s="308" t="str">
        <f>IFERROR(__xludf.DUMMYFUNCTION("SPLIT(C6149,""-"")"),"#REF!")</f>
        <v>#REF!</v>
      </c>
      <c r="E6149" s="311"/>
      <c r="F6149" s="317" t="s">
        <v>39</v>
      </c>
      <c r="G6149" s="308"/>
      <c r="H6149" s="308" t="s">
        <v>24600</v>
      </c>
      <c r="I6149" s="310">
        <v>43574.0</v>
      </c>
      <c r="J6149" s="319">
        <f>IFERROR(__xludf.DUMMYFUNCTION("SPLIT(I6149,""/"")"),19.0)</f>
        <v>19</v>
      </c>
      <c r="K6149" s="308">
        <f>IFERROR(__xludf.DUMMYFUNCTION("""COMPUTED_VALUE"""),4.0)</f>
        <v>4</v>
      </c>
      <c r="L6149" s="308">
        <f>IFERROR(__xludf.DUMMYFUNCTION("""COMPUTED_VALUE"""),2019.0)</f>
        <v>2019</v>
      </c>
      <c r="M6149" s="308" t="s">
        <v>24593</v>
      </c>
      <c r="N6149" s="308"/>
      <c r="O6149" s="308"/>
      <c r="P6149" s="308" t="s">
        <v>24594</v>
      </c>
      <c r="Q6149" s="308" t="s">
        <v>38901</v>
      </c>
      <c r="R6149" s="308" t="s">
        <v>24595</v>
      </c>
      <c r="S6149" s="308" t="s">
        <v>81</v>
      </c>
      <c r="T6149" s="308" t="s">
        <v>75</v>
      </c>
      <c r="U6149" s="308" t="s">
        <v>166</v>
      </c>
      <c r="V6149" s="308"/>
    </row>
    <row r="6150">
      <c r="A6150" s="308">
        <v>6149.0</v>
      </c>
      <c r="B6150" s="308"/>
      <c r="C6150" s="308" t="s">
        <v>24601</v>
      </c>
      <c r="D6150" s="308">
        <f>IFERROR(__xludf.DUMMYFUNCTION("SPLIT(C6150,""-"")"),6170.0)</f>
        <v>6170</v>
      </c>
      <c r="E6150" s="308" t="str">
        <f>IFERROR(__xludf.DUMMYFUNCTION("""COMPUTED_VALUE"""),"K")</f>
        <v>K</v>
      </c>
      <c r="F6150" s="309" t="s">
        <v>34</v>
      </c>
      <c r="G6150" s="308"/>
      <c r="H6150" s="308" t="s">
        <v>24602</v>
      </c>
      <c r="I6150" s="310">
        <v>39695.0</v>
      </c>
      <c r="J6150" s="319">
        <f>IFERROR(__xludf.DUMMYFUNCTION("SPLIT(I6150,""/"")"),4.0)</f>
        <v>4</v>
      </c>
      <c r="K6150" s="308">
        <f>IFERROR(__xludf.DUMMYFUNCTION("""COMPUTED_VALUE"""),9.0)</f>
        <v>9</v>
      </c>
      <c r="L6150" s="308">
        <f>IFERROR(__xludf.DUMMYFUNCTION("""COMPUTED_VALUE"""),2008.0)</f>
        <v>2008</v>
      </c>
      <c r="M6150" s="308" t="s">
        <v>24603</v>
      </c>
      <c r="N6150" s="308"/>
      <c r="O6150" s="308" t="s">
        <v>24604</v>
      </c>
      <c r="P6150" s="308" t="s">
        <v>136</v>
      </c>
      <c r="Q6150" s="308" t="s">
        <v>38901</v>
      </c>
      <c r="R6150" s="308" t="s">
        <v>2743</v>
      </c>
      <c r="S6150" s="315" t="s">
        <v>100</v>
      </c>
      <c r="T6150" s="308" t="s">
        <v>34208</v>
      </c>
      <c r="U6150" s="308" t="s">
        <v>542</v>
      </c>
      <c r="V6150" s="308"/>
    </row>
    <row r="6151">
      <c r="A6151" s="308">
        <v>6150.0</v>
      </c>
      <c r="B6151" s="308"/>
      <c r="C6151" s="308" t="s">
        <v>24605</v>
      </c>
      <c r="D6151" s="308">
        <f>IFERROR(__xludf.DUMMYFUNCTION("SPLIT(C6151,""-"")"),6171.0)</f>
        <v>6171</v>
      </c>
      <c r="E6151" s="308" t="str">
        <f>IFERROR(__xludf.DUMMYFUNCTION("""COMPUTED_VALUE"""),"P")</f>
        <v>P</v>
      </c>
      <c r="F6151" s="312" t="s">
        <v>37</v>
      </c>
      <c r="G6151" s="308"/>
      <c r="H6151" s="308" t="s">
        <v>38902</v>
      </c>
      <c r="I6151" s="310">
        <v>43528.0</v>
      </c>
      <c r="J6151" s="319">
        <f>IFERROR(__xludf.DUMMYFUNCTION("SPLIT(I6151,""/"")"),4.0)</f>
        <v>4</v>
      </c>
      <c r="K6151" s="308">
        <f>IFERROR(__xludf.DUMMYFUNCTION("""COMPUTED_VALUE"""),3.0)</f>
        <v>3</v>
      </c>
      <c r="L6151" s="308">
        <f>IFERROR(__xludf.DUMMYFUNCTION("""COMPUTED_VALUE"""),2019.0)</f>
        <v>2019</v>
      </c>
      <c r="M6151" s="308" t="s">
        <v>24607</v>
      </c>
      <c r="N6151" s="308" t="s">
        <v>24608</v>
      </c>
      <c r="O6151" s="308"/>
      <c r="P6151" s="308" t="s">
        <v>38903</v>
      </c>
      <c r="Q6151" s="308" t="s">
        <v>38901</v>
      </c>
      <c r="R6151" s="308" t="s">
        <v>16185</v>
      </c>
      <c r="S6151" s="308" t="s">
        <v>81</v>
      </c>
      <c r="T6151" s="308" t="s">
        <v>75</v>
      </c>
      <c r="U6151" s="308" t="s">
        <v>2318</v>
      </c>
      <c r="V6151" s="308"/>
    </row>
    <row r="6152">
      <c r="A6152" s="308">
        <v>6151.0</v>
      </c>
      <c r="B6152" s="308"/>
      <c r="C6152" s="308" t="s">
        <v>24610</v>
      </c>
      <c r="D6152" s="308">
        <f>IFERROR(__xludf.DUMMYFUNCTION("SPLIT(C6152,""-"")"),6172.0)</f>
        <v>6172</v>
      </c>
      <c r="E6152" s="308" t="str">
        <f>IFERROR(__xludf.DUMMYFUNCTION("""COMPUTED_VALUE"""),"P")</f>
        <v>P</v>
      </c>
      <c r="F6152" s="312" t="s">
        <v>37</v>
      </c>
      <c r="G6152" s="308"/>
      <c r="H6152" s="308" t="s">
        <v>24611</v>
      </c>
      <c r="I6152" s="310">
        <v>43528.0</v>
      </c>
      <c r="J6152" s="319">
        <f>IFERROR(__xludf.DUMMYFUNCTION("SPLIT(I6152,""/"")"),4.0)</f>
        <v>4</v>
      </c>
      <c r="K6152" s="308">
        <f>IFERROR(__xludf.DUMMYFUNCTION("""COMPUTED_VALUE"""),3.0)</f>
        <v>3</v>
      </c>
      <c r="L6152" s="308">
        <f>IFERROR(__xludf.DUMMYFUNCTION("""COMPUTED_VALUE"""),2019.0)</f>
        <v>2019</v>
      </c>
      <c r="M6152" s="308" t="s">
        <v>24612</v>
      </c>
      <c r="N6152" s="308"/>
      <c r="O6152" s="308" t="s">
        <v>24613</v>
      </c>
      <c r="P6152" s="308" t="s">
        <v>38904</v>
      </c>
      <c r="Q6152" s="308" t="s">
        <v>38901</v>
      </c>
      <c r="R6152" s="308" t="s">
        <v>16185</v>
      </c>
      <c r="S6152" s="308" t="s">
        <v>81</v>
      </c>
      <c r="T6152" s="308" t="s">
        <v>75</v>
      </c>
      <c r="U6152" s="308" t="s">
        <v>17303</v>
      </c>
      <c r="V6152" s="308" t="s">
        <v>24615</v>
      </c>
    </row>
    <row r="6153">
      <c r="A6153" s="308">
        <v>6152.0</v>
      </c>
      <c r="B6153" s="308"/>
      <c r="C6153" s="308" t="s">
        <v>24616</v>
      </c>
      <c r="D6153" s="308">
        <f>IFERROR(__xludf.DUMMYFUNCTION("SPLIT(C6153,""-"")"),6173.0)</f>
        <v>6173</v>
      </c>
      <c r="E6153" s="308" t="str">
        <f>IFERROR(__xludf.DUMMYFUNCTION("""COMPUTED_VALUE"""),"P")</f>
        <v>P</v>
      </c>
      <c r="F6153" s="312" t="s">
        <v>37</v>
      </c>
      <c r="G6153" s="308"/>
      <c r="H6153" s="308" t="s">
        <v>24617</v>
      </c>
      <c r="I6153" s="310">
        <v>43502.0</v>
      </c>
      <c r="J6153" s="319">
        <f>IFERROR(__xludf.DUMMYFUNCTION("SPLIT(I6153,""/"")"),6.0)</f>
        <v>6</v>
      </c>
      <c r="K6153" s="308">
        <f>IFERROR(__xludf.DUMMYFUNCTION("""COMPUTED_VALUE"""),2.0)</f>
        <v>2</v>
      </c>
      <c r="L6153" s="308">
        <f>IFERROR(__xludf.DUMMYFUNCTION("""COMPUTED_VALUE"""),2019.0)</f>
        <v>2019</v>
      </c>
      <c r="M6153" s="308" t="s">
        <v>24618</v>
      </c>
      <c r="N6153" s="308"/>
      <c r="O6153" s="308"/>
      <c r="P6153" s="308" t="s">
        <v>38905</v>
      </c>
      <c r="Q6153" s="308" t="s">
        <v>38906</v>
      </c>
      <c r="R6153" s="308" t="s">
        <v>16185</v>
      </c>
      <c r="S6153" s="308" t="s">
        <v>81</v>
      </c>
      <c r="T6153" s="308" t="s">
        <v>73</v>
      </c>
      <c r="U6153" s="308" t="s">
        <v>143</v>
      </c>
      <c r="V6153" s="308"/>
    </row>
    <row r="6154">
      <c r="A6154" s="308">
        <v>6153.0</v>
      </c>
      <c r="B6154" s="308"/>
      <c r="C6154" s="308" t="s">
        <v>24620</v>
      </c>
      <c r="D6154" s="308">
        <f>IFERROR(__xludf.DUMMYFUNCTION("SPLIT(C6154,""-"")"),6174.0)</f>
        <v>6174</v>
      </c>
      <c r="E6154" s="308" t="str">
        <f>IFERROR(__xludf.DUMMYFUNCTION("""COMPUTED_VALUE"""),"P")</f>
        <v>P</v>
      </c>
      <c r="F6154" s="312" t="s">
        <v>37</v>
      </c>
      <c r="G6154" s="308"/>
      <c r="H6154" s="308" t="s">
        <v>1877</v>
      </c>
      <c r="I6154" s="310">
        <v>43502.0</v>
      </c>
      <c r="J6154" s="319">
        <f>IFERROR(__xludf.DUMMYFUNCTION("SPLIT(I6154,""/"")"),6.0)</f>
        <v>6</v>
      </c>
      <c r="K6154" s="308">
        <f>IFERROR(__xludf.DUMMYFUNCTION("""COMPUTED_VALUE"""),2.0)</f>
        <v>2</v>
      </c>
      <c r="L6154" s="308">
        <f>IFERROR(__xludf.DUMMYFUNCTION("""COMPUTED_VALUE"""),2019.0)</f>
        <v>2019</v>
      </c>
      <c r="M6154" s="308" t="s">
        <v>24618</v>
      </c>
      <c r="N6154" s="308"/>
      <c r="O6154" s="308"/>
      <c r="P6154" s="308" t="s">
        <v>38907</v>
      </c>
      <c r="Q6154" s="308" t="s">
        <v>38906</v>
      </c>
      <c r="R6154" s="308" t="s">
        <v>16185</v>
      </c>
      <c r="S6154" s="308" t="s">
        <v>81</v>
      </c>
      <c r="T6154" s="308" t="s">
        <v>73</v>
      </c>
      <c r="U6154" s="308" t="s">
        <v>143</v>
      </c>
      <c r="V6154" s="308"/>
    </row>
    <row r="6155">
      <c r="A6155" s="308">
        <v>6154.0</v>
      </c>
      <c r="B6155" s="308"/>
      <c r="C6155" s="308" t="s">
        <v>24622</v>
      </c>
      <c r="D6155" s="308">
        <f>IFERROR(__xludf.DUMMYFUNCTION("SPLIT(C6155,""-"")"),6175.0)</f>
        <v>6175</v>
      </c>
      <c r="E6155" s="308" t="str">
        <f>IFERROR(__xludf.DUMMYFUNCTION("""COMPUTED_VALUE"""),"F")</f>
        <v>F</v>
      </c>
      <c r="F6155" s="309" t="s">
        <v>34</v>
      </c>
      <c r="G6155" s="308"/>
      <c r="H6155" s="308" t="s">
        <v>24623</v>
      </c>
      <c r="I6155" s="310">
        <v>42402.0</v>
      </c>
      <c r="J6155" s="319">
        <f>IFERROR(__xludf.DUMMYFUNCTION("SPLIT(I6155,""/"")"),2.0)</f>
        <v>2</v>
      </c>
      <c r="K6155" s="308">
        <f>IFERROR(__xludf.DUMMYFUNCTION("""COMPUTED_VALUE"""),2.0)</f>
        <v>2</v>
      </c>
      <c r="L6155" s="308">
        <f>IFERROR(__xludf.DUMMYFUNCTION("""COMPUTED_VALUE"""),2016.0)</f>
        <v>2016</v>
      </c>
      <c r="M6155" s="308" t="s">
        <v>38908</v>
      </c>
      <c r="N6155" s="308" t="s">
        <v>439</v>
      </c>
      <c r="O6155" s="308"/>
      <c r="P6155" s="308" t="s">
        <v>136</v>
      </c>
      <c r="Q6155" s="308" t="s">
        <v>38909</v>
      </c>
      <c r="R6155" s="308" t="s">
        <v>2743</v>
      </c>
      <c r="S6155" s="315" t="s">
        <v>100</v>
      </c>
      <c r="T6155" s="308" t="s">
        <v>34208</v>
      </c>
      <c r="U6155" s="308" t="s">
        <v>6875</v>
      </c>
      <c r="V6155" s="308"/>
    </row>
    <row r="6156">
      <c r="A6156" s="308">
        <v>6155.0</v>
      </c>
      <c r="B6156" s="308"/>
      <c r="C6156" s="308" t="s">
        <v>24625</v>
      </c>
      <c r="D6156" s="308">
        <f>IFERROR(__xludf.DUMMYFUNCTION("SPLIT(C6156,""-"")"),6176.0)</f>
        <v>6176</v>
      </c>
      <c r="E6156" s="308" t="str">
        <f>IFERROR(__xludf.DUMMYFUNCTION("""COMPUTED_VALUE"""),"K")</f>
        <v>K</v>
      </c>
      <c r="F6156" s="309" t="s">
        <v>34</v>
      </c>
      <c r="G6156" s="308"/>
      <c r="H6156" s="308" t="s">
        <v>24626</v>
      </c>
      <c r="I6156" s="310">
        <v>39995.0</v>
      </c>
      <c r="J6156" s="319">
        <f>IFERROR(__xludf.DUMMYFUNCTION("SPLIT(I6156,""/"")"),1.0)</f>
        <v>1</v>
      </c>
      <c r="K6156" s="308">
        <f>IFERROR(__xludf.DUMMYFUNCTION("""COMPUTED_VALUE"""),7.0)</f>
        <v>7</v>
      </c>
      <c r="L6156" s="308">
        <f>IFERROR(__xludf.DUMMYFUNCTION("""COMPUTED_VALUE"""),2009.0)</f>
        <v>2009</v>
      </c>
      <c r="M6156" s="308" t="s">
        <v>24627</v>
      </c>
      <c r="N6156" s="308" t="s">
        <v>24628</v>
      </c>
      <c r="O6156" s="308" t="s">
        <v>24629</v>
      </c>
      <c r="P6156" s="308" t="s">
        <v>136</v>
      </c>
      <c r="Q6156" s="308" t="s">
        <v>38909</v>
      </c>
      <c r="R6156" s="308" t="s">
        <v>2743</v>
      </c>
      <c r="S6156" s="315" t="s">
        <v>100</v>
      </c>
      <c r="T6156" s="308" t="s">
        <v>34208</v>
      </c>
      <c r="U6156" s="308" t="s">
        <v>530</v>
      </c>
      <c r="V6156" s="308"/>
    </row>
    <row r="6157">
      <c r="A6157" s="308">
        <v>6156.0</v>
      </c>
      <c r="B6157" s="308"/>
      <c r="C6157" s="308" t="s">
        <v>24630</v>
      </c>
      <c r="D6157" s="308">
        <f>IFERROR(__xludf.DUMMYFUNCTION("SPLIT(C6157,""-"")"),6177.0)</f>
        <v>6177</v>
      </c>
      <c r="E6157" s="308" t="str">
        <f>IFERROR(__xludf.DUMMYFUNCTION("""COMPUTED_VALUE"""),"B")</f>
        <v>B</v>
      </c>
      <c r="F6157" s="315" t="s">
        <v>26</v>
      </c>
      <c r="G6157" s="308"/>
      <c r="H6157" s="308" t="s">
        <v>24631</v>
      </c>
      <c r="I6157" s="310">
        <v>43581.0</v>
      </c>
      <c r="J6157" s="319">
        <f>IFERROR(__xludf.DUMMYFUNCTION("SPLIT(I6157,""/"")"),26.0)</f>
        <v>26</v>
      </c>
      <c r="K6157" s="308">
        <f>IFERROR(__xludf.DUMMYFUNCTION("""COMPUTED_VALUE"""),4.0)</f>
        <v>4</v>
      </c>
      <c r="L6157" s="308">
        <f>IFERROR(__xludf.DUMMYFUNCTION("""COMPUTED_VALUE"""),2019.0)</f>
        <v>2019</v>
      </c>
      <c r="M6157" s="308" t="s">
        <v>24632</v>
      </c>
      <c r="N6157" s="308" t="s">
        <v>24633</v>
      </c>
      <c r="O6157" s="308"/>
      <c r="P6157" s="308" t="s">
        <v>24634</v>
      </c>
      <c r="Q6157" s="308" t="s">
        <v>38909</v>
      </c>
      <c r="R6157" s="308" t="s">
        <v>2743</v>
      </c>
      <c r="S6157" s="308" t="s">
        <v>81</v>
      </c>
      <c r="T6157" s="311" t="s">
        <v>96</v>
      </c>
      <c r="U6157" s="308" t="s">
        <v>27</v>
      </c>
      <c r="V6157" s="308"/>
    </row>
    <row r="6158">
      <c r="A6158" s="308">
        <v>6157.0</v>
      </c>
      <c r="B6158" s="308"/>
      <c r="C6158" s="308" t="s">
        <v>24635</v>
      </c>
      <c r="D6158" s="308">
        <f>IFERROR(__xludf.DUMMYFUNCTION("SPLIT(C6158,""-"")"),6178.0)</f>
        <v>6178</v>
      </c>
      <c r="E6158" s="308" t="str">
        <f>IFERROR(__xludf.DUMMYFUNCTION("""COMPUTED_VALUE"""),"B")</f>
        <v>B</v>
      </c>
      <c r="F6158" s="315" t="s">
        <v>26</v>
      </c>
      <c r="G6158" s="308"/>
      <c r="H6158" s="308" t="s">
        <v>24636</v>
      </c>
      <c r="I6158" s="310">
        <v>43581.0</v>
      </c>
      <c r="J6158" s="319">
        <f>IFERROR(__xludf.DUMMYFUNCTION("SPLIT(I6158,""/"")"),26.0)</f>
        <v>26</v>
      </c>
      <c r="K6158" s="308">
        <f>IFERROR(__xludf.DUMMYFUNCTION("""COMPUTED_VALUE"""),4.0)</f>
        <v>4</v>
      </c>
      <c r="L6158" s="308">
        <f>IFERROR(__xludf.DUMMYFUNCTION("""COMPUTED_VALUE"""),2019.0)</f>
        <v>2019</v>
      </c>
      <c r="M6158" s="308" t="s">
        <v>24637</v>
      </c>
      <c r="N6158" s="308" t="s">
        <v>24638</v>
      </c>
      <c r="O6158" s="308"/>
      <c r="P6158" s="308" t="s">
        <v>38910</v>
      </c>
      <c r="Q6158" s="308" t="s">
        <v>38909</v>
      </c>
      <c r="R6158" s="308" t="s">
        <v>2743</v>
      </c>
      <c r="S6158" s="308" t="s">
        <v>81</v>
      </c>
      <c r="T6158" s="308" t="s">
        <v>75</v>
      </c>
      <c r="U6158" s="308" t="s">
        <v>27</v>
      </c>
      <c r="V6158" s="308"/>
    </row>
    <row r="6159">
      <c r="A6159" s="308">
        <v>6158.0</v>
      </c>
      <c r="B6159" s="308"/>
      <c r="C6159" s="308" t="s">
        <v>24640</v>
      </c>
      <c r="D6159" s="308">
        <f>IFERROR(__xludf.DUMMYFUNCTION("SPLIT(C6159,""-"")"),6179.0)</f>
        <v>6179</v>
      </c>
      <c r="E6159" s="308" t="str">
        <f>IFERROR(__xludf.DUMMYFUNCTION("""COMPUTED_VALUE"""),"P")</f>
        <v>P</v>
      </c>
      <c r="F6159" s="312" t="s">
        <v>37</v>
      </c>
      <c r="G6159" s="308"/>
      <c r="H6159" s="308" t="s">
        <v>24641</v>
      </c>
      <c r="I6159" s="310">
        <v>42781.0</v>
      </c>
      <c r="J6159" s="319">
        <f>IFERROR(__xludf.DUMMYFUNCTION("SPLIT(I6159,""/"")"),15.0)</f>
        <v>15</v>
      </c>
      <c r="K6159" s="308">
        <f>IFERROR(__xludf.DUMMYFUNCTION("""COMPUTED_VALUE"""),2.0)</f>
        <v>2</v>
      </c>
      <c r="L6159" s="308">
        <f>IFERROR(__xludf.DUMMYFUNCTION("""COMPUTED_VALUE"""),2017.0)</f>
        <v>2017</v>
      </c>
      <c r="M6159" s="308" t="s">
        <v>24642</v>
      </c>
      <c r="N6159" s="308" t="s">
        <v>24643</v>
      </c>
      <c r="O6159" s="308" t="s">
        <v>24644</v>
      </c>
      <c r="P6159" s="308" t="s">
        <v>136</v>
      </c>
      <c r="Q6159" s="308" t="s">
        <v>38909</v>
      </c>
      <c r="R6159" s="308" t="s">
        <v>2743</v>
      </c>
      <c r="S6159" s="315" t="s">
        <v>100</v>
      </c>
      <c r="T6159" s="308" t="s">
        <v>34208</v>
      </c>
      <c r="U6159" s="308" t="s">
        <v>18576</v>
      </c>
      <c r="V6159" s="308"/>
    </row>
    <row r="6160">
      <c r="A6160" s="308">
        <v>6159.0</v>
      </c>
      <c r="B6160" s="308"/>
      <c r="C6160" s="308" t="s">
        <v>24645</v>
      </c>
      <c r="D6160" s="308">
        <f>IFERROR(__xludf.DUMMYFUNCTION("SPLIT(C6160,""-"")"),6180.0)</f>
        <v>6180</v>
      </c>
      <c r="E6160" s="308" t="str">
        <f>IFERROR(__xludf.DUMMYFUNCTION("""COMPUTED_VALUE"""),"F")</f>
        <v>F</v>
      </c>
      <c r="F6160" s="309" t="s">
        <v>34</v>
      </c>
      <c r="G6160" s="308"/>
      <c r="H6160" s="308" t="s">
        <v>24646</v>
      </c>
      <c r="I6160" s="310">
        <v>42241.0</v>
      </c>
      <c r="J6160" s="319">
        <f>IFERROR(__xludf.DUMMYFUNCTION("SPLIT(I6160,""/"")"),25.0)</f>
        <v>25</v>
      </c>
      <c r="K6160" s="308">
        <f>IFERROR(__xludf.DUMMYFUNCTION("""COMPUTED_VALUE"""),8.0)</f>
        <v>8</v>
      </c>
      <c r="L6160" s="308">
        <f>IFERROR(__xludf.DUMMYFUNCTION("""COMPUTED_VALUE"""),2015.0)</f>
        <v>2015</v>
      </c>
      <c r="M6160" s="308" t="s">
        <v>24647</v>
      </c>
      <c r="N6160" s="308" t="s">
        <v>24648</v>
      </c>
      <c r="O6160" s="308"/>
      <c r="P6160" s="308" t="s">
        <v>136</v>
      </c>
      <c r="Q6160" s="308" t="s">
        <v>38909</v>
      </c>
      <c r="R6160" s="308" t="s">
        <v>2743</v>
      </c>
      <c r="S6160" s="315" t="s">
        <v>100</v>
      </c>
      <c r="T6160" s="308" t="s">
        <v>34208</v>
      </c>
      <c r="U6160" s="308" t="s">
        <v>195</v>
      </c>
      <c r="V6160" s="308"/>
    </row>
    <row r="6161">
      <c r="A6161" s="308">
        <v>6160.0</v>
      </c>
      <c r="B6161" s="308"/>
      <c r="C6161" s="308" t="s">
        <v>24649</v>
      </c>
      <c r="D6161" s="308">
        <f>IFERROR(__xludf.DUMMYFUNCTION("SPLIT(C6161,""-"")"),6181.0)</f>
        <v>6181</v>
      </c>
      <c r="E6161" s="308" t="str">
        <f>IFERROR(__xludf.DUMMYFUNCTION("""COMPUTED_VALUE"""),"P")</f>
        <v>P</v>
      </c>
      <c r="F6161" s="312" t="s">
        <v>37</v>
      </c>
      <c r="G6161" s="308"/>
      <c r="H6161" s="308" t="s">
        <v>24650</v>
      </c>
      <c r="I6161" s="310">
        <v>43649.0</v>
      </c>
      <c r="J6161" s="319">
        <f>IFERROR(__xludf.DUMMYFUNCTION("SPLIT(I6161,""/"")"),3.0)</f>
        <v>3</v>
      </c>
      <c r="K6161" s="308">
        <f>IFERROR(__xludf.DUMMYFUNCTION("""COMPUTED_VALUE"""),7.0)</f>
        <v>7</v>
      </c>
      <c r="L6161" s="308">
        <f>IFERROR(__xludf.DUMMYFUNCTION("""COMPUTED_VALUE"""),2019.0)</f>
        <v>2019</v>
      </c>
      <c r="M6161" s="308" t="s">
        <v>24651</v>
      </c>
      <c r="N6161" s="308"/>
      <c r="O6161" s="308"/>
      <c r="P6161" s="308" t="s">
        <v>38911</v>
      </c>
      <c r="Q6161" s="308" t="s">
        <v>38912</v>
      </c>
      <c r="R6161" s="308" t="s">
        <v>2743</v>
      </c>
      <c r="S6161" s="308" t="s">
        <v>81</v>
      </c>
      <c r="T6161" s="311" t="s">
        <v>96</v>
      </c>
      <c r="U6161" s="308" t="s">
        <v>2263</v>
      </c>
      <c r="V6161" s="308"/>
    </row>
    <row r="6162">
      <c r="A6162" s="308">
        <v>6161.0</v>
      </c>
      <c r="B6162" s="308"/>
      <c r="C6162" s="308" t="s">
        <v>24653</v>
      </c>
      <c r="D6162" s="308">
        <f>IFERROR(__xludf.DUMMYFUNCTION("SPLIT(C6162,""-"")"),6182.0)</f>
        <v>6182</v>
      </c>
      <c r="E6162" s="308" t="str">
        <f>IFERROR(__xludf.DUMMYFUNCTION("""COMPUTED_VALUE"""),"P")</f>
        <v>P</v>
      </c>
      <c r="F6162" s="312" t="s">
        <v>37</v>
      </c>
      <c r="G6162" s="308"/>
      <c r="H6162" s="308" t="s">
        <v>17958</v>
      </c>
      <c r="I6162" s="310">
        <v>43599.0</v>
      </c>
      <c r="J6162" s="319">
        <f>IFERROR(__xludf.DUMMYFUNCTION("SPLIT(I6162,""/"")"),14.0)</f>
        <v>14</v>
      </c>
      <c r="K6162" s="308">
        <f>IFERROR(__xludf.DUMMYFUNCTION("""COMPUTED_VALUE"""),5.0)</f>
        <v>5</v>
      </c>
      <c r="L6162" s="308">
        <f>IFERROR(__xludf.DUMMYFUNCTION("""COMPUTED_VALUE"""),2019.0)</f>
        <v>2019</v>
      </c>
      <c r="M6162" s="308" t="s">
        <v>24654</v>
      </c>
      <c r="N6162" s="308" t="s">
        <v>24655</v>
      </c>
      <c r="O6162" s="308"/>
      <c r="P6162" s="308" t="s">
        <v>24656</v>
      </c>
      <c r="Q6162" s="308" t="s">
        <v>38912</v>
      </c>
      <c r="R6162" s="308" t="s">
        <v>2743</v>
      </c>
      <c r="S6162" s="308" t="s">
        <v>81</v>
      </c>
      <c r="T6162" s="308" t="s">
        <v>75</v>
      </c>
      <c r="U6162" s="308" t="s">
        <v>1435</v>
      </c>
      <c r="V6162" s="308"/>
    </row>
    <row r="6163">
      <c r="A6163" s="308">
        <v>6162.0</v>
      </c>
      <c r="B6163" s="308"/>
      <c r="C6163" s="308" t="s">
        <v>24657</v>
      </c>
      <c r="D6163" s="308">
        <f>IFERROR(__xludf.DUMMYFUNCTION("SPLIT(C6163,""-"")"),6183.0)</f>
        <v>6183</v>
      </c>
      <c r="E6163" s="308" t="str">
        <f>IFERROR(__xludf.DUMMYFUNCTION("""COMPUTED_VALUE"""),"K")</f>
        <v>K</v>
      </c>
      <c r="F6163" s="309" t="s">
        <v>34</v>
      </c>
      <c r="G6163" s="308"/>
      <c r="H6163" s="308" t="s">
        <v>24658</v>
      </c>
      <c r="I6163" s="310">
        <v>41456.0</v>
      </c>
      <c r="J6163" s="319">
        <f>IFERROR(__xludf.DUMMYFUNCTION("SPLIT(I6163,""/"")"),1.0)</f>
        <v>1</v>
      </c>
      <c r="K6163" s="308">
        <f>IFERROR(__xludf.DUMMYFUNCTION("""COMPUTED_VALUE"""),7.0)</f>
        <v>7</v>
      </c>
      <c r="L6163" s="308">
        <f>IFERROR(__xludf.DUMMYFUNCTION("""COMPUTED_VALUE"""),2013.0)</f>
        <v>2013</v>
      </c>
      <c r="M6163" s="308" t="s">
        <v>24659</v>
      </c>
      <c r="N6163" s="308"/>
      <c r="O6163" s="308"/>
      <c r="P6163" s="308" t="s">
        <v>136</v>
      </c>
      <c r="Q6163" s="308" t="s">
        <v>38912</v>
      </c>
      <c r="R6163" s="308" t="s">
        <v>2743</v>
      </c>
      <c r="S6163" s="315" t="s">
        <v>100</v>
      </c>
      <c r="T6163" s="308" t="s">
        <v>34208</v>
      </c>
      <c r="U6163" s="308" t="s">
        <v>125</v>
      </c>
      <c r="V6163" s="308"/>
    </row>
    <row r="6164">
      <c r="A6164" s="308">
        <v>6163.0</v>
      </c>
      <c r="B6164" s="308"/>
      <c r="C6164" s="308" t="s">
        <v>24660</v>
      </c>
      <c r="D6164" s="308">
        <f>IFERROR(__xludf.DUMMYFUNCTION("SPLIT(C6164,""-"")"),6184.0)</f>
        <v>6184</v>
      </c>
      <c r="E6164" s="308" t="str">
        <f>IFERROR(__xludf.DUMMYFUNCTION("""COMPUTED_VALUE"""),"S")</f>
        <v>S</v>
      </c>
      <c r="F6164" s="312" t="s">
        <v>39</v>
      </c>
      <c r="G6164" s="308"/>
      <c r="H6164" s="308" t="s">
        <v>24661</v>
      </c>
      <c r="I6164" s="310">
        <v>43483.0</v>
      </c>
      <c r="J6164" s="319">
        <f>IFERROR(__xludf.DUMMYFUNCTION("SPLIT(I6164,""/"")"),18.0)</f>
        <v>18</v>
      </c>
      <c r="K6164" s="308">
        <f>IFERROR(__xludf.DUMMYFUNCTION("""COMPUTED_VALUE"""),1.0)</f>
        <v>1</v>
      </c>
      <c r="L6164" s="308">
        <f>IFERROR(__xludf.DUMMYFUNCTION("""COMPUTED_VALUE"""),2019.0)</f>
        <v>2019</v>
      </c>
      <c r="M6164" s="308" t="s">
        <v>24662</v>
      </c>
      <c r="N6164" s="308" t="s">
        <v>24663</v>
      </c>
      <c r="O6164" s="308" t="s">
        <v>24664</v>
      </c>
      <c r="P6164" s="308" t="s">
        <v>136</v>
      </c>
      <c r="Q6164" s="308" t="s">
        <v>38912</v>
      </c>
      <c r="R6164" s="308" t="s">
        <v>2743</v>
      </c>
      <c r="S6164" s="315" t="s">
        <v>100</v>
      </c>
      <c r="T6164" s="308" t="s">
        <v>34208</v>
      </c>
      <c r="U6164" s="308" t="s">
        <v>166</v>
      </c>
      <c r="V6164" s="308"/>
    </row>
    <row r="6165">
      <c r="A6165" s="308">
        <v>6164.0</v>
      </c>
      <c r="B6165" s="308"/>
      <c r="C6165" s="308" t="s">
        <v>24665</v>
      </c>
      <c r="D6165" s="308">
        <f>IFERROR(__xludf.DUMMYFUNCTION("SPLIT(C6165,""-"")"),6185.0)</f>
        <v>6185</v>
      </c>
      <c r="E6165" s="308" t="str">
        <f>IFERROR(__xludf.DUMMYFUNCTION("""COMPUTED_VALUE"""),"B")</f>
        <v>B</v>
      </c>
      <c r="F6165" s="315" t="s">
        <v>26</v>
      </c>
      <c r="G6165" s="308"/>
      <c r="H6165" s="308" t="s">
        <v>24666</v>
      </c>
      <c r="I6165" s="310">
        <v>41514.0</v>
      </c>
      <c r="J6165" s="319">
        <f>IFERROR(__xludf.DUMMYFUNCTION("SPLIT(I6165,""/"")"),28.0)</f>
        <v>28</v>
      </c>
      <c r="K6165" s="308">
        <f>IFERROR(__xludf.DUMMYFUNCTION("""COMPUTED_VALUE"""),8.0)</f>
        <v>8</v>
      </c>
      <c r="L6165" s="308">
        <f>IFERROR(__xludf.DUMMYFUNCTION("""COMPUTED_VALUE"""),2013.0)</f>
        <v>2013</v>
      </c>
      <c r="M6165" s="308" t="s">
        <v>24667</v>
      </c>
      <c r="N6165" s="308" t="s">
        <v>24668</v>
      </c>
      <c r="O6165" s="308"/>
      <c r="P6165" s="308" t="s">
        <v>38913</v>
      </c>
      <c r="Q6165" s="308" t="s">
        <v>38912</v>
      </c>
      <c r="R6165" s="308" t="s">
        <v>2743</v>
      </c>
      <c r="S6165" s="308" t="s">
        <v>49</v>
      </c>
      <c r="T6165" s="311" t="s">
        <v>51</v>
      </c>
      <c r="U6165" s="308" t="s">
        <v>27</v>
      </c>
      <c r="V6165" s="308"/>
    </row>
    <row r="6166">
      <c r="A6166" s="308">
        <v>6165.0</v>
      </c>
      <c r="B6166" s="308"/>
      <c r="C6166" s="308" t="s">
        <v>24670</v>
      </c>
      <c r="D6166" s="308">
        <f>IFERROR(__xludf.DUMMYFUNCTION("SPLIT(C6166,""-"")"),6186.0)</f>
        <v>6186</v>
      </c>
      <c r="E6166" s="308" t="str">
        <f>IFERROR(__xludf.DUMMYFUNCTION("""COMPUTED_VALUE"""),"K")</f>
        <v>K</v>
      </c>
      <c r="F6166" s="309" t="s">
        <v>34</v>
      </c>
      <c r="G6166" s="308"/>
      <c r="H6166" s="308" t="s">
        <v>24671</v>
      </c>
      <c r="I6166" s="310">
        <v>43231.0</v>
      </c>
      <c r="J6166" s="319">
        <f>IFERROR(__xludf.DUMMYFUNCTION("SPLIT(I6166,""/"")"),11.0)</f>
        <v>11</v>
      </c>
      <c r="K6166" s="308">
        <f>IFERROR(__xludf.DUMMYFUNCTION("""COMPUTED_VALUE"""),5.0)</f>
        <v>5</v>
      </c>
      <c r="L6166" s="308">
        <f>IFERROR(__xludf.DUMMYFUNCTION("""COMPUTED_VALUE"""),2018.0)</f>
        <v>2018</v>
      </c>
      <c r="M6166" s="308" t="s">
        <v>24672</v>
      </c>
      <c r="N6166" s="308"/>
      <c r="O6166" s="308"/>
      <c r="P6166" s="308" t="s">
        <v>38914</v>
      </c>
      <c r="Q6166" s="308" t="s">
        <v>38915</v>
      </c>
      <c r="R6166" s="308" t="s">
        <v>2743</v>
      </c>
      <c r="S6166" s="308" t="s">
        <v>49</v>
      </c>
      <c r="T6166" s="308" t="s">
        <v>51</v>
      </c>
      <c r="U6166" s="308" t="s">
        <v>2989</v>
      </c>
      <c r="V6166" s="308"/>
    </row>
    <row r="6167">
      <c r="A6167" s="308">
        <v>6166.0</v>
      </c>
      <c r="B6167" s="308"/>
      <c r="C6167" s="308" t="s">
        <v>24674</v>
      </c>
      <c r="D6167" s="308">
        <f>IFERROR(__xludf.DUMMYFUNCTION("SPLIT(C6167,""-"")"),6187.0)</f>
        <v>6187</v>
      </c>
      <c r="E6167" s="308" t="str">
        <f>IFERROR(__xludf.DUMMYFUNCTION("""COMPUTED_VALUE"""),"K")</f>
        <v>K</v>
      </c>
      <c r="F6167" s="309" t="s">
        <v>34</v>
      </c>
      <c r="G6167" s="308"/>
      <c r="H6167" s="308" t="s">
        <v>24675</v>
      </c>
      <c r="I6167" s="310">
        <v>43636.0</v>
      </c>
      <c r="J6167" s="319">
        <f>IFERROR(__xludf.DUMMYFUNCTION("SPLIT(I6167,""/"")"),20.0)</f>
        <v>20</v>
      </c>
      <c r="K6167" s="308">
        <f>IFERROR(__xludf.DUMMYFUNCTION("""COMPUTED_VALUE"""),6.0)</f>
        <v>6</v>
      </c>
      <c r="L6167" s="308">
        <f>IFERROR(__xludf.DUMMYFUNCTION("""COMPUTED_VALUE"""),2019.0)</f>
        <v>2019</v>
      </c>
      <c r="M6167" s="308" t="s">
        <v>24676</v>
      </c>
      <c r="N6167" s="308"/>
      <c r="O6167" s="308" t="s">
        <v>24677</v>
      </c>
      <c r="P6167" s="308" t="s">
        <v>38916</v>
      </c>
      <c r="Q6167" s="308" t="s">
        <v>38915</v>
      </c>
      <c r="R6167" s="308" t="s">
        <v>2743</v>
      </c>
      <c r="S6167" s="308" t="s">
        <v>81</v>
      </c>
      <c r="T6167" s="308" t="s">
        <v>75</v>
      </c>
      <c r="U6167" s="308" t="s">
        <v>125</v>
      </c>
      <c r="V6167" s="308"/>
    </row>
    <row r="6168">
      <c r="A6168" s="308">
        <v>6167.0</v>
      </c>
      <c r="B6168" s="308"/>
      <c r="C6168" s="308" t="s">
        <v>24679</v>
      </c>
      <c r="D6168" s="308">
        <f>IFERROR(__xludf.DUMMYFUNCTION("SPLIT(C6168,""-"")"),6188.0)</f>
        <v>6188</v>
      </c>
      <c r="E6168" s="308" t="str">
        <f>IFERROR(__xludf.DUMMYFUNCTION("""COMPUTED_VALUE"""),"K")</f>
        <v>K</v>
      </c>
      <c r="F6168" s="309" t="s">
        <v>34</v>
      </c>
      <c r="G6168" s="308"/>
      <c r="H6168" s="308" t="s">
        <v>24680</v>
      </c>
      <c r="I6168" s="310">
        <v>40211.0</v>
      </c>
      <c r="J6168" s="319">
        <f>IFERROR(__xludf.DUMMYFUNCTION("SPLIT(I6168,""/"")"),2.0)</f>
        <v>2</v>
      </c>
      <c r="K6168" s="308">
        <f>IFERROR(__xludf.DUMMYFUNCTION("""COMPUTED_VALUE"""),2.0)</f>
        <v>2</v>
      </c>
      <c r="L6168" s="308">
        <f>IFERROR(__xludf.DUMMYFUNCTION("""COMPUTED_VALUE"""),2010.0)</f>
        <v>2010</v>
      </c>
      <c r="M6168" s="308" t="s">
        <v>24681</v>
      </c>
      <c r="N6168" s="308"/>
      <c r="O6168" s="308"/>
      <c r="P6168" s="308" t="s">
        <v>136</v>
      </c>
      <c r="Q6168" s="308" t="s">
        <v>38915</v>
      </c>
      <c r="R6168" s="308" t="s">
        <v>2743</v>
      </c>
      <c r="S6168" s="315" t="s">
        <v>100</v>
      </c>
      <c r="T6168" s="308" t="s">
        <v>34208</v>
      </c>
      <c r="U6168" s="308" t="s">
        <v>4749</v>
      </c>
      <c r="V6168" s="308"/>
    </row>
    <row r="6169">
      <c r="A6169" s="308">
        <v>6168.0</v>
      </c>
      <c r="B6169" s="308"/>
      <c r="C6169" s="308" t="s">
        <v>24682</v>
      </c>
      <c r="D6169" s="308">
        <f>IFERROR(__xludf.DUMMYFUNCTION("SPLIT(C6169,""-"")"),6189.0)</f>
        <v>6189</v>
      </c>
      <c r="E6169" s="308" t="str">
        <f>IFERROR(__xludf.DUMMYFUNCTION("""COMPUTED_VALUE"""),"B")</f>
        <v>B</v>
      </c>
      <c r="F6169" s="315" t="s">
        <v>26</v>
      </c>
      <c r="G6169" s="308"/>
      <c r="H6169" s="308" t="s">
        <v>24683</v>
      </c>
      <c r="I6169" s="310">
        <v>43232.0</v>
      </c>
      <c r="J6169" s="319">
        <f>IFERROR(__xludf.DUMMYFUNCTION("SPLIT(I6169,""/"")"),12.0)</f>
        <v>12</v>
      </c>
      <c r="K6169" s="308">
        <f>IFERROR(__xludf.DUMMYFUNCTION("""COMPUTED_VALUE"""),5.0)</f>
        <v>5</v>
      </c>
      <c r="L6169" s="308">
        <f>IFERROR(__xludf.DUMMYFUNCTION("""COMPUTED_VALUE"""),2018.0)</f>
        <v>2018</v>
      </c>
      <c r="M6169" s="308" t="s">
        <v>24684</v>
      </c>
      <c r="N6169" s="308" t="s">
        <v>24685</v>
      </c>
      <c r="O6169" s="308"/>
      <c r="P6169" s="308" t="s">
        <v>38917</v>
      </c>
      <c r="Q6169" s="308" t="s">
        <v>38915</v>
      </c>
      <c r="R6169" s="308" t="s">
        <v>2743</v>
      </c>
      <c r="S6169" s="308" t="s">
        <v>81</v>
      </c>
      <c r="T6169" s="308" t="s">
        <v>73</v>
      </c>
      <c r="U6169" s="308" t="s">
        <v>27</v>
      </c>
      <c r="V6169" s="308"/>
    </row>
    <row r="6170">
      <c r="A6170" s="308">
        <v>6169.0</v>
      </c>
      <c r="B6170" s="308"/>
      <c r="C6170" s="308" t="s">
        <v>24687</v>
      </c>
      <c r="D6170" s="308">
        <f>IFERROR(__xludf.DUMMYFUNCTION("SPLIT(C6170,""-"")"),6190.0)</f>
        <v>6190</v>
      </c>
      <c r="E6170" s="308" t="str">
        <f>IFERROR(__xludf.DUMMYFUNCTION("""COMPUTED_VALUE"""),"F")</f>
        <v>F</v>
      </c>
      <c r="F6170" s="309" t="s">
        <v>34</v>
      </c>
      <c r="G6170" s="308"/>
      <c r="H6170" s="308" t="s">
        <v>24688</v>
      </c>
      <c r="I6170" s="310">
        <v>43581.0</v>
      </c>
      <c r="J6170" s="319">
        <f>IFERROR(__xludf.DUMMYFUNCTION("SPLIT(I6170,""/"")"),26.0)</f>
        <v>26</v>
      </c>
      <c r="K6170" s="308">
        <f>IFERROR(__xludf.DUMMYFUNCTION("""COMPUTED_VALUE"""),4.0)</f>
        <v>4</v>
      </c>
      <c r="L6170" s="308">
        <f>IFERROR(__xludf.DUMMYFUNCTION("""COMPUTED_VALUE"""),2019.0)</f>
        <v>2019</v>
      </c>
      <c r="M6170" s="308" t="s">
        <v>24689</v>
      </c>
      <c r="N6170" s="308"/>
      <c r="O6170" s="308"/>
      <c r="P6170" s="308" t="s">
        <v>24690</v>
      </c>
      <c r="Q6170" s="308" t="s">
        <v>38918</v>
      </c>
      <c r="R6170" s="308" t="s">
        <v>2743</v>
      </c>
      <c r="S6170" s="308" t="s">
        <v>81</v>
      </c>
      <c r="T6170" s="308" t="s">
        <v>75</v>
      </c>
      <c r="U6170" s="308" t="s">
        <v>195</v>
      </c>
      <c r="V6170" s="308"/>
    </row>
    <row r="6171">
      <c r="A6171" s="308">
        <v>6170.0</v>
      </c>
      <c r="B6171" s="308"/>
      <c r="C6171" s="308" t="s">
        <v>24691</v>
      </c>
      <c r="D6171" s="308">
        <f>IFERROR(__xludf.DUMMYFUNCTION("SPLIT(C6171,""-"")"),6191.0)</f>
        <v>6191</v>
      </c>
      <c r="E6171" s="308" t="str">
        <f>IFERROR(__xludf.DUMMYFUNCTION("""COMPUTED_VALUE"""),"I")</f>
        <v>I</v>
      </c>
      <c r="F6171" s="309" t="s">
        <v>31</v>
      </c>
      <c r="G6171" s="308"/>
      <c r="H6171" s="308" t="s">
        <v>24692</v>
      </c>
      <c r="I6171" s="310">
        <v>43644.0</v>
      </c>
      <c r="J6171" s="319">
        <f>IFERROR(__xludf.DUMMYFUNCTION("SPLIT(I6171,""/"")"),28.0)</f>
        <v>28</v>
      </c>
      <c r="K6171" s="308">
        <f>IFERROR(__xludf.DUMMYFUNCTION("""COMPUTED_VALUE"""),6.0)</f>
        <v>6</v>
      </c>
      <c r="L6171" s="308">
        <f>IFERROR(__xludf.DUMMYFUNCTION("""COMPUTED_VALUE"""),2019.0)</f>
        <v>2019</v>
      </c>
      <c r="M6171" s="308" t="s">
        <v>24693</v>
      </c>
      <c r="N6171" s="308" t="s">
        <v>24694</v>
      </c>
      <c r="O6171" s="308"/>
      <c r="P6171" s="308" t="s">
        <v>24695</v>
      </c>
      <c r="Q6171" s="308" t="s">
        <v>38918</v>
      </c>
      <c r="R6171" s="308" t="s">
        <v>2743</v>
      </c>
      <c r="S6171" s="308" t="s">
        <v>81</v>
      </c>
      <c r="T6171" s="308" t="s">
        <v>75</v>
      </c>
      <c r="U6171" s="308" t="s">
        <v>31</v>
      </c>
      <c r="V6171" s="308"/>
    </row>
    <row r="6172">
      <c r="A6172" s="308">
        <v>6171.0</v>
      </c>
      <c r="B6172" s="308"/>
      <c r="C6172" s="308" t="s">
        <v>24696</v>
      </c>
      <c r="D6172" s="308">
        <f>IFERROR(__xludf.DUMMYFUNCTION("SPLIT(C6172,""-"")"),6192.0)</f>
        <v>6192</v>
      </c>
      <c r="E6172" s="308" t="str">
        <f>IFERROR(__xludf.DUMMYFUNCTION("""COMPUTED_VALUE"""),"K")</f>
        <v>K</v>
      </c>
      <c r="F6172" s="309" t="s">
        <v>34</v>
      </c>
      <c r="G6172" s="308"/>
      <c r="H6172" s="308" t="s">
        <v>24697</v>
      </c>
      <c r="I6172" s="310">
        <v>42232.0</v>
      </c>
      <c r="J6172" s="319">
        <f>IFERROR(__xludf.DUMMYFUNCTION("SPLIT(I6172,""/"")"),16.0)</f>
        <v>16</v>
      </c>
      <c r="K6172" s="308">
        <f>IFERROR(__xludf.DUMMYFUNCTION("""COMPUTED_VALUE"""),8.0)</f>
        <v>8</v>
      </c>
      <c r="L6172" s="308">
        <f>IFERROR(__xludf.DUMMYFUNCTION("""COMPUTED_VALUE"""),2015.0)</f>
        <v>2015</v>
      </c>
      <c r="M6172" s="308" t="s">
        <v>38919</v>
      </c>
      <c r="N6172" s="308" t="s">
        <v>24699</v>
      </c>
      <c r="O6172" s="308" t="s">
        <v>24700</v>
      </c>
      <c r="P6172" s="308" t="s">
        <v>38920</v>
      </c>
      <c r="Q6172" s="308" t="s">
        <v>38918</v>
      </c>
      <c r="R6172" s="308" t="s">
        <v>2743</v>
      </c>
      <c r="S6172" s="308" t="s">
        <v>81</v>
      </c>
      <c r="T6172" s="311" t="s">
        <v>51</v>
      </c>
      <c r="U6172" s="308" t="s">
        <v>125</v>
      </c>
      <c r="V6172" s="308"/>
    </row>
    <row r="6173">
      <c r="A6173" s="308">
        <v>6172.0</v>
      </c>
      <c r="B6173" s="308"/>
      <c r="C6173" s="308" t="s">
        <v>24702</v>
      </c>
      <c r="D6173" s="308">
        <f>IFERROR(__xludf.DUMMYFUNCTION("SPLIT(C6173,""-"")"),6193.0)</f>
        <v>6193</v>
      </c>
      <c r="E6173" s="308" t="str">
        <f>IFERROR(__xludf.DUMMYFUNCTION("""COMPUTED_VALUE"""),"K")</f>
        <v>K</v>
      </c>
      <c r="F6173" s="309" t="s">
        <v>34</v>
      </c>
      <c r="G6173" s="308"/>
      <c r="H6173" s="308" t="s">
        <v>24703</v>
      </c>
      <c r="I6173" s="310">
        <v>43441.0</v>
      </c>
      <c r="J6173" s="319">
        <f>IFERROR(__xludf.DUMMYFUNCTION("SPLIT(I6173,""/"")"),7.0)</f>
        <v>7</v>
      </c>
      <c r="K6173" s="308">
        <f>IFERROR(__xludf.DUMMYFUNCTION("""COMPUTED_VALUE"""),12.0)</f>
        <v>12</v>
      </c>
      <c r="L6173" s="308">
        <f>IFERROR(__xludf.DUMMYFUNCTION("""COMPUTED_VALUE"""),2018.0)</f>
        <v>2018</v>
      </c>
      <c r="M6173" s="308" t="s">
        <v>24704</v>
      </c>
      <c r="N6173" s="308" t="s">
        <v>24705</v>
      </c>
      <c r="O6173" s="308" t="s">
        <v>24706</v>
      </c>
      <c r="P6173" s="308" t="s">
        <v>38921</v>
      </c>
      <c r="Q6173" s="308" t="s">
        <v>38918</v>
      </c>
      <c r="R6173" s="308" t="s">
        <v>2743</v>
      </c>
      <c r="S6173" s="308" t="s">
        <v>81</v>
      </c>
      <c r="T6173" s="308" t="s">
        <v>34264</v>
      </c>
      <c r="U6173" s="308" t="s">
        <v>282</v>
      </c>
      <c r="V6173" s="308"/>
    </row>
    <row r="6174">
      <c r="A6174" s="308">
        <v>6173.0</v>
      </c>
      <c r="B6174" s="308"/>
      <c r="C6174" s="308" t="s">
        <v>24708</v>
      </c>
      <c r="D6174" s="308">
        <f>IFERROR(__xludf.DUMMYFUNCTION("SPLIT(C6174,""-"")"),6194.0)</f>
        <v>6194</v>
      </c>
      <c r="E6174" s="308" t="str">
        <f>IFERROR(__xludf.DUMMYFUNCTION("""COMPUTED_VALUE"""),"S")</f>
        <v>S</v>
      </c>
      <c r="F6174" s="312" t="s">
        <v>39</v>
      </c>
      <c r="G6174" s="308"/>
      <c r="H6174" s="308" t="s">
        <v>24709</v>
      </c>
      <c r="I6174" s="310">
        <v>43517.0</v>
      </c>
      <c r="J6174" s="319">
        <f>IFERROR(__xludf.DUMMYFUNCTION("SPLIT(I6174,""/"")"),21.0)</f>
        <v>21</v>
      </c>
      <c r="K6174" s="308">
        <f>IFERROR(__xludf.DUMMYFUNCTION("""COMPUTED_VALUE"""),2.0)</f>
        <v>2</v>
      </c>
      <c r="L6174" s="308">
        <f>IFERROR(__xludf.DUMMYFUNCTION("""COMPUTED_VALUE"""),2019.0)</f>
        <v>2019</v>
      </c>
      <c r="M6174" s="308" t="s">
        <v>24710</v>
      </c>
      <c r="N6174" s="308" t="s">
        <v>24711</v>
      </c>
      <c r="O6174" s="308"/>
      <c r="P6174" s="308" t="s">
        <v>38922</v>
      </c>
      <c r="Q6174" s="308" t="s">
        <v>38923</v>
      </c>
      <c r="R6174" s="308" t="s">
        <v>14256</v>
      </c>
      <c r="S6174" s="308" t="s">
        <v>49</v>
      </c>
      <c r="T6174" s="308" t="s">
        <v>67</v>
      </c>
      <c r="U6174" s="308" t="s">
        <v>166</v>
      </c>
      <c r="V6174" s="308"/>
    </row>
    <row r="6175">
      <c r="A6175" s="308">
        <v>6174.0</v>
      </c>
      <c r="B6175" s="308"/>
      <c r="C6175" s="308" t="s">
        <v>24713</v>
      </c>
      <c r="D6175" s="308">
        <f>IFERROR(__xludf.DUMMYFUNCTION("SPLIT(C6175,""-"")"),6195.0)</f>
        <v>6195</v>
      </c>
      <c r="E6175" s="308" t="str">
        <f>IFERROR(__xludf.DUMMYFUNCTION("""COMPUTED_VALUE"""),"S")</f>
        <v>S</v>
      </c>
      <c r="F6175" s="312" t="s">
        <v>39</v>
      </c>
      <c r="G6175" s="308"/>
      <c r="H6175" s="308" t="s">
        <v>24714</v>
      </c>
      <c r="I6175" s="310">
        <v>43519.0</v>
      </c>
      <c r="J6175" s="319">
        <f>IFERROR(__xludf.DUMMYFUNCTION("SPLIT(I6175,""/"")"),23.0)</f>
        <v>23</v>
      </c>
      <c r="K6175" s="308">
        <f>IFERROR(__xludf.DUMMYFUNCTION("""COMPUTED_VALUE"""),2.0)</f>
        <v>2</v>
      </c>
      <c r="L6175" s="308">
        <f>IFERROR(__xludf.DUMMYFUNCTION("""COMPUTED_VALUE"""),2019.0)</f>
        <v>2019</v>
      </c>
      <c r="M6175" s="308" t="s">
        <v>24715</v>
      </c>
      <c r="N6175" s="308" t="s">
        <v>24716</v>
      </c>
      <c r="O6175" s="308"/>
      <c r="P6175" s="308" t="s">
        <v>38924</v>
      </c>
      <c r="Q6175" s="308" t="s">
        <v>38923</v>
      </c>
      <c r="R6175" s="308" t="s">
        <v>14256</v>
      </c>
      <c r="S6175" s="308" t="s">
        <v>81</v>
      </c>
      <c r="T6175" s="308" t="s">
        <v>73</v>
      </c>
      <c r="U6175" s="308" t="s">
        <v>166</v>
      </c>
      <c r="V6175" s="308"/>
    </row>
    <row r="6176">
      <c r="A6176" s="308">
        <v>6175.0</v>
      </c>
      <c r="B6176" s="308"/>
      <c r="C6176" s="308" t="s">
        <v>24718</v>
      </c>
      <c r="D6176" s="308">
        <f>IFERROR(__xludf.DUMMYFUNCTION("SPLIT(C6176,""-"")"),6196.0)</f>
        <v>6196</v>
      </c>
      <c r="E6176" s="308" t="str">
        <f>IFERROR(__xludf.DUMMYFUNCTION("""COMPUTED_VALUE"""),"S")</f>
        <v>S</v>
      </c>
      <c r="F6176" s="312" t="s">
        <v>39</v>
      </c>
      <c r="G6176" s="308"/>
      <c r="H6176" s="308" t="s">
        <v>24719</v>
      </c>
      <c r="I6176" s="310">
        <v>43512.0</v>
      </c>
      <c r="J6176" s="319">
        <f>IFERROR(__xludf.DUMMYFUNCTION("SPLIT(I6176,""/"")"),16.0)</f>
        <v>16</v>
      </c>
      <c r="K6176" s="308">
        <f>IFERROR(__xludf.DUMMYFUNCTION("""COMPUTED_VALUE"""),2.0)</f>
        <v>2</v>
      </c>
      <c r="L6176" s="308">
        <f>IFERROR(__xludf.DUMMYFUNCTION("""COMPUTED_VALUE"""),2019.0)</f>
        <v>2019</v>
      </c>
      <c r="M6176" s="308" t="s">
        <v>24720</v>
      </c>
      <c r="N6176" s="308" t="s">
        <v>24721</v>
      </c>
      <c r="O6176" s="308"/>
      <c r="P6176" s="308" t="s">
        <v>24722</v>
      </c>
      <c r="Q6176" s="308" t="s">
        <v>38923</v>
      </c>
      <c r="R6176" s="308" t="s">
        <v>14256</v>
      </c>
      <c r="S6176" s="308" t="s">
        <v>81</v>
      </c>
      <c r="T6176" s="308" t="s">
        <v>75</v>
      </c>
      <c r="U6176" s="308" t="s">
        <v>166</v>
      </c>
      <c r="V6176" s="308"/>
    </row>
    <row r="6177">
      <c r="A6177" s="308">
        <v>6176.0</v>
      </c>
      <c r="B6177" s="308"/>
      <c r="C6177" s="308" t="s">
        <v>24723</v>
      </c>
      <c r="D6177" s="308">
        <f>IFERROR(__xludf.DUMMYFUNCTION("SPLIT(C6177,""-"")"),6197.0)</f>
        <v>6197</v>
      </c>
      <c r="E6177" s="308" t="str">
        <f>IFERROR(__xludf.DUMMYFUNCTION("""COMPUTED_VALUE"""),"S")</f>
        <v>S</v>
      </c>
      <c r="F6177" s="312" t="s">
        <v>39</v>
      </c>
      <c r="G6177" s="308"/>
      <c r="H6177" s="308" t="s">
        <v>24724</v>
      </c>
      <c r="I6177" s="314">
        <v>43464.0</v>
      </c>
      <c r="J6177" s="319">
        <f>IFERROR(__xludf.DUMMYFUNCTION("SPLIT(I6177,""/"")"),30.0)</f>
        <v>30</v>
      </c>
      <c r="K6177" s="308">
        <f>IFERROR(__xludf.DUMMYFUNCTION("""COMPUTED_VALUE"""),12.0)</f>
        <v>12</v>
      </c>
      <c r="L6177" s="308">
        <f>IFERROR(__xludf.DUMMYFUNCTION("""COMPUTED_VALUE"""),2018.0)</f>
        <v>2018</v>
      </c>
      <c r="M6177" s="308" t="s">
        <v>24725</v>
      </c>
      <c r="N6177" s="308" t="s">
        <v>24726</v>
      </c>
      <c r="O6177" s="308"/>
      <c r="P6177" s="308" t="s">
        <v>38925</v>
      </c>
      <c r="Q6177" s="308" t="s">
        <v>38923</v>
      </c>
      <c r="R6177" s="308" t="s">
        <v>14256</v>
      </c>
      <c r="S6177" s="308" t="s">
        <v>49</v>
      </c>
      <c r="T6177" s="308" t="s">
        <v>67</v>
      </c>
      <c r="U6177" s="308" t="s">
        <v>166</v>
      </c>
      <c r="V6177" s="308"/>
    </row>
    <row r="6178">
      <c r="A6178" s="308">
        <v>6177.0</v>
      </c>
      <c r="B6178" s="308"/>
      <c r="C6178" s="308" t="s">
        <v>24728</v>
      </c>
      <c r="D6178" s="308">
        <f>IFERROR(__xludf.DUMMYFUNCTION("SPLIT(C6178,""-"")"),6198.0)</f>
        <v>6198</v>
      </c>
      <c r="E6178" s="308" t="str">
        <f>IFERROR(__xludf.DUMMYFUNCTION("""COMPUTED_VALUE"""),"B")</f>
        <v>B</v>
      </c>
      <c r="F6178" s="315" t="s">
        <v>26</v>
      </c>
      <c r="G6178" s="308"/>
      <c r="H6178" s="308" t="s">
        <v>24729</v>
      </c>
      <c r="I6178" s="310">
        <v>43487.0</v>
      </c>
      <c r="J6178" s="319">
        <f>IFERROR(__xludf.DUMMYFUNCTION("SPLIT(I6178,""/"")"),22.0)</f>
        <v>22</v>
      </c>
      <c r="K6178" s="308">
        <f>IFERROR(__xludf.DUMMYFUNCTION("""COMPUTED_VALUE"""),1.0)</f>
        <v>1</v>
      </c>
      <c r="L6178" s="308">
        <f>IFERROR(__xludf.DUMMYFUNCTION("""COMPUTED_VALUE"""),2019.0)</f>
        <v>2019</v>
      </c>
      <c r="M6178" s="308" t="s">
        <v>24730</v>
      </c>
      <c r="N6178" s="308" t="s">
        <v>24731</v>
      </c>
      <c r="O6178" s="308"/>
      <c r="P6178" s="308" t="s">
        <v>38926</v>
      </c>
      <c r="Q6178" s="308" t="s">
        <v>38923</v>
      </c>
      <c r="R6178" s="308" t="s">
        <v>14256</v>
      </c>
      <c r="S6178" s="308" t="s">
        <v>81</v>
      </c>
      <c r="T6178" s="311" t="s">
        <v>35043</v>
      </c>
      <c r="U6178" s="308" t="s">
        <v>27</v>
      </c>
      <c r="V6178" s="308"/>
    </row>
    <row r="6179">
      <c r="A6179" s="308">
        <v>6178.0</v>
      </c>
      <c r="B6179" s="308"/>
      <c r="C6179" s="308" t="s">
        <v>24733</v>
      </c>
      <c r="D6179" s="308">
        <f>IFERROR(__xludf.DUMMYFUNCTION("SPLIT(C6179,""-"")"),6199.0)</f>
        <v>6199</v>
      </c>
      <c r="E6179" s="308" t="str">
        <f>IFERROR(__xludf.DUMMYFUNCTION("""COMPUTED_VALUE"""),"B")</f>
        <v>B</v>
      </c>
      <c r="F6179" s="315" t="s">
        <v>26</v>
      </c>
      <c r="G6179" s="308"/>
      <c r="H6179" s="308" t="s">
        <v>24734</v>
      </c>
      <c r="I6179" s="310">
        <v>43487.0</v>
      </c>
      <c r="J6179" s="319">
        <f>IFERROR(__xludf.DUMMYFUNCTION("SPLIT(I6179,""/"")"),22.0)</f>
        <v>22</v>
      </c>
      <c r="K6179" s="308">
        <f>IFERROR(__xludf.DUMMYFUNCTION("""COMPUTED_VALUE"""),1.0)</f>
        <v>1</v>
      </c>
      <c r="L6179" s="308">
        <f>IFERROR(__xludf.DUMMYFUNCTION("""COMPUTED_VALUE"""),2019.0)</f>
        <v>2019</v>
      </c>
      <c r="M6179" s="308" t="s">
        <v>24730</v>
      </c>
      <c r="N6179" s="308" t="s">
        <v>24735</v>
      </c>
      <c r="O6179" s="308"/>
      <c r="P6179" s="308" t="s">
        <v>24736</v>
      </c>
      <c r="Q6179" s="308" t="s">
        <v>38923</v>
      </c>
      <c r="R6179" s="308" t="s">
        <v>14256</v>
      </c>
      <c r="S6179" s="308" t="s">
        <v>81</v>
      </c>
      <c r="T6179" s="311" t="s">
        <v>35043</v>
      </c>
      <c r="U6179" s="308" t="s">
        <v>27</v>
      </c>
      <c r="V6179" s="308"/>
    </row>
    <row r="6180">
      <c r="A6180" s="308">
        <v>6179.0</v>
      </c>
      <c r="B6180" s="308"/>
      <c r="C6180" s="308" t="s">
        <v>24737</v>
      </c>
      <c r="D6180" s="308">
        <f>IFERROR(__xludf.DUMMYFUNCTION("SPLIT(C6180,""-"")"),6200.0)</f>
        <v>6200</v>
      </c>
      <c r="E6180" s="308" t="str">
        <f>IFERROR(__xludf.DUMMYFUNCTION("""COMPUTED_VALUE"""),"B")</f>
        <v>B</v>
      </c>
      <c r="F6180" s="315" t="s">
        <v>26</v>
      </c>
      <c r="G6180" s="308"/>
      <c r="H6180" s="308" t="s">
        <v>24738</v>
      </c>
      <c r="I6180" s="310">
        <v>43475.0</v>
      </c>
      <c r="J6180" s="319">
        <f>IFERROR(__xludf.DUMMYFUNCTION("SPLIT(I6180,""/"")"),10.0)</f>
        <v>10</v>
      </c>
      <c r="K6180" s="308">
        <f>IFERROR(__xludf.DUMMYFUNCTION("""COMPUTED_VALUE"""),1.0)</f>
        <v>1</v>
      </c>
      <c r="L6180" s="308">
        <f>IFERROR(__xludf.DUMMYFUNCTION("""COMPUTED_VALUE"""),2019.0)</f>
        <v>2019</v>
      </c>
      <c r="M6180" s="308" t="s">
        <v>24739</v>
      </c>
      <c r="N6180" s="308"/>
      <c r="O6180" s="308"/>
      <c r="P6180" s="308" t="s">
        <v>136</v>
      </c>
      <c r="Q6180" s="308" t="s">
        <v>38923</v>
      </c>
      <c r="R6180" s="308" t="s">
        <v>14256</v>
      </c>
      <c r="S6180" s="315" t="s">
        <v>100</v>
      </c>
      <c r="T6180" s="308" t="s">
        <v>34208</v>
      </c>
      <c r="U6180" s="308" t="s">
        <v>27</v>
      </c>
      <c r="V6180" s="308"/>
    </row>
    <row r="6181">
      <c r="A6181" s="308">
        <v>6180.0</v>
      </c>
      <c r="B6181" s="308"/>
      <c r="C6181" s="308" t="s">
        <v>24740</v>
      </c>
      <c r="D6181" s="308">
        <f>IFERROR(__xludf.DUMMYFUNCTION("SPLIT(C6181,""-"")"),6201.0)</f>
        <v>6201</v>
      </c>
      <c r="E6181" s="308" t="str">
        <f>IFERROR(__xludf.DUMMYFUNCTION("""COMPUTED_VALUE"""),"K")</f>
        <v>K</v>
      </c>
      <c r="F6181" s="309" t="s">
        <v>34</v>
      </c>
      <c r="G6181" s="308"/>
      <c r="H6181" s="308" t="s">
        <v>24741</v>
      </c>
      <c r="I6181" s="310">
        <v>41328.0</v>
      </c>
      <c r="J6181" s="319">
        <f>IFERROR(__xludf.DUMMYFUNCTION("SPLIT(I6181,""/"")"),23.0)</f>
        <v>23</v>
      </c>
      <c r="K6181" s="308">
        <f>IFERROR(__xludf.DUMMYFUNCTION("""COMPUTED_VALUE"""),2.0)</f>
        <v>2</v>
      </c>
      <c r="L6181" s="308">
        <f>IFERROR(__xludf.DUMMYFUNCTION("""COMPUTED_VALUE"""),2013.0)</f>
        <v>2013</v>
      </c>
      <c r="M6181" s="308" t="s">
        <v>24742</v>
      </c>
      <c r="N6181" s="308"/>
      <c r="O6181" s="308" t="s">
        <v>38927</v>
      </c>
      <c r="P6181" s="308" t="s">
        <v>38928</v>
      </c>
      <c r="Q6181" s="308" t="s">
        <v>38923</v>
      </c>
      <c r="R6181" s="308" t="s">
        <v>2743</v>
      </c>
      <c r="S6181" s="308" t="s">
        <v>49</v>
      </c>
      <c r="T6181" s="311" t="s">
        <v>51</v>
      </c>
      <c r="U6181" s="308" t="s">
        <v>125</v>
      </c>
      <c r="V6181" s="308"/>
    </row>
    <row r="6182">
      <c r="A6182" s="308">
        <v>6181.0</v>
      </c>
      <c r="B6182" s="308"/>
      <c r="C6182" s="308" t="s">
        <v>24745</v>
      </c>
      <c r="D6182" s="308">
        <f>IFERROR(__xludf.DUMMYFUNCTION("SPLIT(C6182,""-"")"),6202.0)</f>
        <v>6202</v>
      </c>
      <c r="E6182" s="308" t="str">
        <f>IFERROR(__xludf.DUMMYFUNCTION("""COMPUTED_VALUE"""),"S")</f>
        <v>S</v>
      </c>
      <c r="F6182" s="312" t="s">
        <v>39</v>
      </c>
      <c r="G6182" s="308"/>
      <c r="H6182" s="308" t="s">
        <v>24746</v>
      </c>
      <c r="I6182" s="310">
        <v>42852.0</v>
      </c>
      <c r="J6182" s="319">
        <f>IFERROR(__xludf.DUMMYFUNCTION("SPLIT(I6182,""/"")"),27.0)</f>
        <v>27</v>
      </c>
      <c r="K6182" s="308">
        <f>IFERROR(__xludf.DUMMYFUNCTION("""COMPUTED_VALUE"""),4.0)</f>
        <v>4</v>
      </c>
      <c r="L6182" s="308">
        <f>IFERROR(__xludf.DUMMYFUNCTION("""COMPUTED_VALUE"""),2017.0)</f>
        <v>2017</v>
      </c>
      <c r="M6182" s="308" t="s">
        <v>24747</v>
      </c>
      <c r="N6182" s="308" t="s">
        <v>24748</v>
      </c>
      <c r="O6182" s="308"/>
      <c r="P6182" s="308" t="s">
        <v>136</v>
      </c>
      <c r="Q6182" s="308" t="s">
        <v>38923</v>
      </c>
      <c r="R6182" s="308" t="s">
        <v>2743</v>
      </c>
      <c r="S6182" s="315" t="s">
        <v>100</v>
      </c>
      <c r="T6182" s="308" t="s">
        <v>34208</v>
      </c>
      <c r="U6182" s="308" t="s">
        <v>166</v>
      </c>
      <c r="V6182" s="308"/>
    </row>
    <row r="6183">
      <c r="A6183" s="308">
        <v>6182.0</v>
      </c>
      <c r="B6183" s="308"/>
      <c r="C6183" s="308" t="s">
        <v>24749</v>
      </c>
      <c r="D6183" s="308">
        <f>IFERROR(__xludf.DUMMYFUNCTION("SPLIT(C6183,""-"")"),6203.0)</f>
        <v>6203</v>
      </c>
      <c r="E6183" s="308" t="str">
        <f>IFERROR(__xludf.DUMMYFUNCTION("""COMPUTED_VALUE"""),"S")</f>
        <v>S</v>
      </c>
      <c r="F6183" s="312" t="s">
        <v>39</v>
      </c>
      <c r="G6183" s="308"/>
      <c r="H6183" s="308" t="s">
        <v>24750</v>
      </c>
      <c r="I6183" s="310">
        <v>42629.0</v>
      </c>
      <c r="J6183" s="319">
        <f>IFERROR(__xludf.DUMMYFUNCTION("SPLIT(I6183,""/"")"),16.0)</f>
        <v>16</v>
      </c>
      <c r="K6183" s="308">
        <f>IFERROR(__xludf.DUMMYFUNCTION("""COMPUTED_VALUE"""),9.0)</f>
        <v>9</v>
      </c>
      <c r="L6183" s="308">
        <f>IFERROR(__xludf.DUMMYFUNCTION("""COMPUTED_VALUE"""),2016.0)</f>
        <v>2016</v>
      </c>
      <c r="M6183" s="308" t="s">
        <v>24751</v>
      </c>
      <c r="N6183" s="308" t="s">
        <v>24752</v>
      </c>
      <c r="O6183" s="308"/>
      <c r="P6183" s="308" t="s">
        <v>136</v>
      </c>
      <c r="Q6183" s="308" t="s">
        <v>38923</v>
      </c>
      <c r="R6183" s="308" t="s">
        <v>2743</v>
      </c>
      <c r="S6183" s="315" t="s">
        <v>100</v>
      </c>
      <c r="T6183" s="308" t="s">
        <v>34208</v>
      </c>
      <c r="U6183" s="308" t="s">
        <v>166</v>
      </c>
      <c r="V6183" s="308"/>
    </row>
    <row r="6184">
      <c r="A6184" s="308">
        <v>6183.0</v>
      </c>
      <c r="B6184" s="308"/>
      <c r="C6184" s="308" t="s">
        <v>24753</v>
      </c>
      <c r="D6184" s="308">
        <f>IFERROR(__xludf.DUMMYFUNCTION("SPLIT(C6184,""-"")"),6204.0)</f>
        <v>6204</v>
      </c>
      <c r="E6184" s="308" t="str">
        <f>IFERROR(__xludf.DUMMYFUNCTION("""COMPUTED_VALUE"""),"S")</f>
        <v>S</v>
      </c>
      <c r="F6184" s="312" t="s">
        <v>39</v>
      </c>
      <c r="G6184" s="308"/>
      <c r="H6184" s="308" t="s">
        <v>24754</v>
      </c>
      <c r="I6184" s="310">
        <v>42247.0</v>
      </c>
      <c r="J6184" s="319">
        <f>IFERROR(__xludf.DUMMYFUNCTION("SPLIT(I6184,""/"")"),31.0)</f>
        <v>31</v>
      </c>
      <c r="K6184" s="308">
        <f>IFERROR(__xludf.DUMMYFUNCTION("""COMPUTED_VALUE"""),8.0)</f>
        <v>8</v>
      </c>
      <c r="L6184" s="308">
        <f>IFERROR(__xludf.DUMMYFUNCTION("""COMPUTED_VALUE"""),2015.0)</f>
        <v>2015</v>
      </c>
      <c r="M6184" s="308" t="s">
        <v>24755</v>
      </c>
      <c r="N6184" s="308" t="s">
        <v>24756</v>
      </c>
      <c r="O6184" s="308"/>
      <c r="P6184" s="308" t="s">
        <v>38929</v>
      </c>
      <c r="Q6184" s="308" t="s">
        <v>38930</v>
      </c>
      <c r="R6184" s="308" t="s">
        <v>38931</v>
      </c>
      <c r="S6184" s="308" t="s">
        <v>81</v>
      </c>
      <c r="T6184" s="308" t="s">
        <v>75</v>
      </c>
      <c r="U6184" s="308" t="s">
        <v>166</v>
      </c>
      <c r="V6184" s="308"/>
    </row>
    <row r="6185">
      <c r="A6185" s="308">
        <v>6184.0</v>
      </c>
      <c r="B6185" s="308"/>
      <c r="C6185" s="308" t="s">
        <v>24759</v>
      </c>
      <c r="D6185" s="308">
        <f>IFERROR(__xludf.DUMMYFUNCTION("SPLIT(C6185,""-"")"),6205.0)</f>
        <v>6205</v>
      </c>
      <c r="E6185" s="308" t="str">
        <f>IFERROR(__xludf.DUMMYFUNCTION("""COMPUTED_VALUE"""),"S")</f>
        <v>S</v>
      </c>
      <c r="F6185" s="312" t="s">
        <v>39</v>
      </c>
      <c r="G6185" s="308"/>
      <c r="H6185" s="308" t="s">
        <v>24760</v>
      </c>
      <c r="I6185" s="310">
        <v>42247.0</v>
      </c>
      <c r="J6185" s="319">
        <f>IFERROR(__xludf.DUMMYFUNCTION("SPLIT(I6185,""/"")"),31.0)</f>
        <v>31</v>
      </c>
      <c r="K6185" s="308">
        <f>IFERROR(__xludf.DUMMYFUNCTION("""COMPUTED_VALUE"""),8.0)</f>
        <v>8</v>
      </c>
      <c r="L6185" s="308">
        <f>IFERROR(__xludf.DUMMYFUNCTION("""COMPUTED_VALUE"""),2015.0)</f>
        <v>2015</v>
      </c>
      <c r="M6185" s="308" t="s">
        <v>24761</v>
      </c>
      <c r="N6185" s="308" t="s">
        <v>24762</v>
      </c>
      <c r="O6185" s="308"/>
      <c r="P6185" s="308" t="s">
        <v>38932</v>
      </c>
      <c r="Q6185" s="308" t="s">
        <v>38930</v>
      </c>
      <c r="R6185" s="308" t="s">
        <v>38931</v>
      </c>
      <c r="S6185" s="308" t="s">
        <v>49</v>
      </c>
      <c r="T6185" s="311" t="s">
        <v>67</v>
      </c>
      <c r="U6185" s="308" t="s">
        <v>166</v>
      </c>
      <c r="V6185" s="308"/>
    </row>
    <row r="6186">
      <c r="A6186" s="308">
        <v>6185.0</v>
      </c>
      <c r="B6186" s="308"/>
      <c r="C6186" s="308" t="s">
        <v>24764</v>
      </c>
      <c r="D6186" s="308">
        <f>IFERROR(__xludf.DUMMYFUNCTION("SPLIT(C6186,""-"")"),6206.0)</f>
        <v>6206</v>
      </c>
      <c r="E6186" s="308" t="str">
        <f>IFERROR(__xludf.DUMMYFUNCTION("""COMPUTED_VALUE"""),"S")</f>
        <v>S</v>
      </c>
      <c r="F6186" s="312" t="s">
        <v>39</v>
      </c>
      <c r="G6186" s="308"/>
      <c r="H6186" s="308" t="s">
        <v>24765</v>
      </c>
      <c r="I6186" s="310">
        <v>42247.0</v>
      </c>
      <c r="J6186" s="319">
        <f>IFERROR(__xludf.DUMMYFUNCTION("SPLIT(I6186,""/"")"),31.0)</f>
        <v>31</v>
      </c>
      <c r="K6186" s="308">
        <f>IFERROR(__xludf.DUMMYFUNCTION("""COMPUTED_VALUE"""),8.0)</f>
        <v>8</v>
      </c>
      <c r="L6186" s="308">
        <f>IFERROR(__xludf.DUMMYFUNCTION("""COMPUTED_VALUE"""),2015.0)</f>
        <v>2015</v>
      </c>
      <c r="M6186" s="308" t="s">
        <v>24766</v>
      </c>
      <c r="N6186" s="308" t="s">
        <v>24767</v>
      </c>
      <c r="O6186" s="308"/>
      <c r="P6186" s="308" t="s">
        <v>38933</v>
      </c>
      <c r="Q6186" s="308" t="s">
        <v>38930</v>
      </c>
      <c r="R6186" s="308" t="s">
        <v>38931</v>
      </c>
      <c r="S6186" s="308" t="s">
        <v>49</v>
      </c>
      <c r="T6186" s="308" t="s">
        <v>67</v>
      </c>
      <c r="U6186" s="308" t="s">
        <v>166</v>
      </c>
      <c r="V6186" s="308"/>
    </row>
    <row r="6187">
      <c r="A6187" s="308">
        <v>6186.0</v>
      </c>
      <c r="B6187" s="308"/>
      <c r="C6187" s="308" t="s">
        <v>24769</v>
      </c>
      <c r="D6187" s="308">
        <f>IFERROR(__xludf.DUMMYFUNCTION("SPLIT(C6187,""-"")"),6207.0)</f>
        <v>6207</v>
      </c>
      <c r="E6187" s="308" t="str">
        <f>IFERROR(__xludf.DUMMYFUNCTION("""COMPUTED_VALUE"""),"S")</f>
        <v>S</v>
      </c>
      <c r="F6187" s="312" t="s">
        <v>39</v>
      </c>
      <c r="G6187" s="308"/>
      <c r="H6187" s="308" t="s">
        <v>24770</v>
      </c>
      <c r="I6187" s="310">
        <v>42247.0</v>
      </c>
      <c r="J6187" s="319">
        <f>IFERROR(__xludf.DUMMYFUNCTION("SPLIT(I6187,""/"")"),31.0)</f>
        <v>31</v>
      </c>
      <c r="K6187" s="308">
        <f>IFERROR(__xludf.DUMMYFUNCTION("""COMPUTED_VALUE"""),8.0)</f>
        <v>8</v>
      </c>
      <c r="L6187" s="308">
        <f>IFERROR(__xludf.DUMMYFUNCTION("""COMPUTED_VALUE"""),2015.0)</f>
        <v>2015</v>
      </c>
      <c r="M6187" s="308" t="s">
        <v>24771</v>
      </c>
      <c r="N6187" s="308" t="s">
        <v>24772</v>
      </c>
      <c r="O6187" s="308"/>
      <c r="P6187" s="308" t="s">
        <v>38934</v>
      </c>
      <c r="Q6187" s="308" t="s">
        <v>38930</v>
      </c>
      <c r="R6187" s="308" t="s">
        <v>38931</v>
      </c>
      <c r="S6187" s="308" t="s">
        <v>49</v>
      </c>
      <c r="T6187" s="308" t="s">
        <v>67</v>
      </c>
      <c r="U6187" s="308" t="s">
        <v>166</v>
      </c>
      <c r="V6187" s="308"/>
    </row>
    <row r="6188">
      <c r="A6188" s="308">
        <v>6187.0</v>
      </c>
      <c r="B6188" s="308"/>
      <c r="C6188" s="308" t="s">
        <v>24774</v>
      </c>
      <c r="D6188" s="308">
        <f>IFERROR(__xludf.DUMMYFUNCTION("SPLIT(C6188,""-"")"),6208.0)</f>
        <v>6208</v>
      </c>
      <c r="E6188" s="308" t="str">
        <f>IFERROR(__xludf.DUMMYFUNCTION("""COMPUTED_VALUE"""),"S")</f>
        <v>S</v>
      </c>
      <c r="F6188" s="312" t="s">
        <v>39</v>
      </c>
      <c r="G6188" s="308"/>
      <c r="H6188" s="308" t="s">
        <v>24775</v>
      </c>
      <c r="I6188" s="310">
        <v>42247.0</v>
      </c>
      <c r="J6188" s="319">
        <f>IFERROR(__xludf.DUMMYFUNCTION("SPLIT(I6188,""/"")"),31.0)</f>
        <v>31</v>
      </c>
      <c r="K6188" s="308">
        <f>IFERROR(__xludf.DUMMYFUNCTION("""COMPUTED_VALUE"""),8.0)</f>
        <v>8</v>
      </c>
      <c r="L6188" s="308">
        <f>IFERROR(__xludf.DUMMYFUNCTION("""COMPUTED_VALUE"""),2015.0)</f>
        <v>2015</v>
      </c>
      <c r="M6188" s="308" t="s">
        <v>24771</v>
      </c>
      <c r="N6188" s="308" t="s">
        <v>439</v>
      </c>
      <c r="O6188" s="308"/>
      <c r="P6188" s="308" t="s">
        <v>38935</v>
      </c>
      <c r="Q6188" s="308" t="s">
        <v>38930</v>
      </c>
      <c r="R6188" s="308" t="s">
        <v>38931</v>
      </c>
      <c r="S6188" s="308" t="s">
        <v>49</v>
      </c>
      <c r="T6188" s="308" t="s">
        <v>67</v>
      </c>
      <c r="U6188" s="308" t="s">
        <v>166</v>
      </c>
      <c r="V6188" s="308"/>
    </row>
    <row r="6189">
      <c r="A6189" s="308">
        <v>6188.0</v>
      </c>
      <c r="B6189" s="308"/>
      <c r="C6189" s="308" t="s">
        <v>24777</v>
      </c>
      <c r="D6189" s="308">
        <f>IFERROR(__xludf.DUMMYFUNCTION("SPLIT(C6189,""-"")"),6209.0)</f>
        <v>6209</v>
      </c>
      <c r="E6189" s="308" t="str">
        <f>IFERROR(__xludf.DUMMYFUNCTION("""COMPUTED_VALUE"""),"S")</f>
        <v>S</v>
      </c>
      <c r="F6189" s="312" t="s">
        <v>39</v>
      </c>
      <c r="G6189" s="308"/>
      <c r="H6189" s="308" t="s">
        <v>24778</v>
      </c>
      <c r="I6189" s="310">
        <v>42247.0</v>
      </c>
      <c r="J6189" s="319">
        <f>IFERROR(__xludf.DUMMYFUNCTION("SPLIT(I6189,""/"")"),31.0)</f>
        <v>31</v>
      </c>
      <c r="K6189" s="308">
        <f>IFERROR(__xludf.DUMMYFUNCTION("""COMPUTED_VALUE"""),8.0)</f>
        <v>8</v>
      </c>
      <c r="L6189" s="308">
        <f>IFERROR(__xludf.DUMMYFUNCTION("""COMPUTED_VALUE"""),2015.0)</f>
        <v>2015</v>
      </c>
      <c r="M6189" s="308" t="s">
        <v>24779</v>
      </c>
      <c r="N6189" s="308" t="s">
        <v>24780</v>
      </c>
      <c r="O6189" s="308"/>
      <c r="P6189" s="308" t="s">
        <v>38936</v>
      </c>
      <c r="Q6189" s="308" t="s">
        <v>38930</v>
      </c>
      <c r="R6189" s="308" t="s">
        <v>38931</v>
      </c>
      <c r="S6189" s="308" t="s">
        <v>81</v>
      </c>
      <c r="T6189" s="311" t="s">
        <v>91</v>
      </c>
      <c r="U6189" s="308" t="s">
        <v>166</v>
      </c>
      <c r="V6189" s="308"/>
    </row>
    <row r="6190">
      <c r="A6190" s="308">
        <v>6189.0</v>
      </c>
      <c r="B6190" s="308"/>
      <c r="C6190" s="308" t="s">
        <v>24782</v>
      </c>
      <c r="D6190" s="308">
        <f>IFERROR(__xludf.DUMMYFUNCTION("SPLIT(C6190,""-"")"),6210.0)</f>
        <v>6210</v>
      </c>
      <c r="E6190" s="308" t="str">
        <f>IFERROR(__xludf.DUMMYFUNCTION("""COMPUTED_VALUE"""),"S")</f>
        <v>S</v>
      </c>
      <c r="F6190" s="312" t="s">
        <v>39</v>
      </c>
      <c r="G6190" s="308"/>
      <c r="H6190" s="308" t="s">
        <v>24783</v>
      </c>
      <c r="I6190" s="310">
        <v>42254.0</v>
      </c>
      <c r="J6190" s="319">
        <f>IFERROR(__xludf.DUMMYFUNCTION("SPLIT(I6190,""/"")"),7.0)</f>
        <v>7</v>
      </c>
      <c r="K6190" s="308">
        <f>IFERROR(__xludf.DUMMYFUNCTION("""COMPUTED_VALUE"""),9.0)</f>
        <v>9</v>
      </c>
      <c r="L6190" s="308">
        <f>IFERROR(__xludf.DUMMYFUNCTION("""COMPUTED_VALUE"""),2015.0)</f>
        <v>2015</v>
      </c>
      <c r="M6190" s="308" t="s">
        <v>24784</v>
      </c>
      <c r="N6190" s="308"/>
      <c r="O6190" s="308"/>
      <c r="P6190" s="308" t="s">
        <v>38937</v>
      </c>
      <c r="Q6190" s="308" t="s">
        <v>38930</v>
      </c>
      <c r="R6190" s="308" t="s">
        <v>38931</v>
      </c>
      <c r="S6190" s="308" t="s">
        <v>81</v>
      </c>
      <c r="T6190" s="311" t="s">
        <v>91</v>
      </c>
      <c r="U6190" s="308" t="s">
        <v>166</v>
      </c>
      <c r="V6190" s="308"/>
    </row>
    <row r="6191">
      <c r="A6191" s="308">
        <v>6190.0</v>
      </c>
      <c r="B6191" s="308"/>
      <c r="C6191" s="308" t="s">
        <v>24786</v>
      </c>
      <c r="D6191" s="308">
        <f>IFERROR(__xludf.DUMMYFUNCTION("SPLIT(C6191,""-"")"),6211.0)</f>
        <v>6211</v>
      </c>
      <c r="E6191" s="308" t="str">
        <f>IFERROR(__xludf.DUMMYFUNCTION("""COMPUTED_VALUE"""),"S")</f>
        <v>S</v>
      </c>
      <c r="F6191" s="312" t="s">
        <v>39</v>
      </c>
      <c r="G6191" s="308"/>
      <c r="H6191" s="308" t="s">
        <v>24787</v>
      </c>
      <c r="I6191" s="310">
        <v>42255.0</v>
      </c>
      <c r="J6191" s="319">
        <f>IFERROR(__xludf.DUMMYFUNCTION("SPLIT(I6191,""/"")"),8.0)</f>
        <v>8</v>
      </c>
      <c r="K6191" s="308">
        <f>IFERROR(__xludf.DUMMYFUNCTION("""COMPUTED_VALUE"""),9.0)</f>
        <v>9</v>
      </c>
      <c r="L6191" s="308">
        <f>IFERROR(__xludf.DUMMYFUNCTION("""COMPUTED_VALUE"""),2015.0)</f>
        <v>2015</v>
      </c>
      <c r="M6191" s="308" t="s">
        <v>24788</v>
      </c>
      <c r="N6191" s="308"/>
      <c r="O6191" s="308"/>
      <c r="P6191" s="308" t="s">
        <v>38938</v>
      </c>
      <c r="Q6191" s="308" t="s">
        <v>38930</v>
      </c>
      <c r="R6191" s="308" t="s">
        <v>38931</v>
      </c>
      <c r="S6191" s="308" t="s">
        <v>81</v>
      </c>
      <c r="T6191" s="308" t="s">
        <v>75</v>
      </c>
      <c r="U6191" s="308" t="s">
        <v>166</v>
      </c>
      <c r="V6191" s="308"/>
    </row>
    <row r="6192">
      <c r="A6192" s="308">
        <v>6191.0</v>
      </c>
      <c r="B6192" s="308"/>
      <c r="C6192" s="308" t="s">
        <v>24790</v>
      </c>
      <c r="D6192" s="308">
        <f>IFERROR(__xludf.DUMMYFUNCTION("SPLIT(C6192,""-"")"),6212.0)</f>
        <v>6212</v>
      </c>
      <c r="E6192" s="308" t="str">
        <f>IFERROR(__xludf.DUMMYFUNCTION("""COMPUTED_VALUE"""),"S")</f>
        <v>S</v>
      </c>
      <c r="F6192" s="312" t="s">
        <v>39</v>
      </c>
      <c r="G6192" s="308"/>
      <c r="H6192" s="308" t="s">
        <v>24791</v>
      </c>
      <c r="I6192" s="310">
        <v>42257.0</v>
      </c>
      <c r="J6192" s="319">
        <f>IFERROR(__xludf.DUMMYFUNCTION("SPLIT(I6192,""/"")"),10.0)</f>
        <v>10</v>
      </c>
      <c r="K6192" s="308">
        <f>IFERROR(__xludf.DUMMYFUNCTION("""COMPUTED_VALUE"""),9.0)</f>
        <v>9</v>
      </c>
      <c r="L6192" s="308">
        <f>IFERROR(__xludf.DUMMYFUNCTION("""COMPUTED_VALUE"""),2015.0)</f>
        <v>2015</v>
      </c>
      <c r="M6192" s="308" t="s">
        <v>24792</v>
      </c>
      <c r="N6192" s="308"/>
      <c r="O6192" s="308"/>
      <c r="P6192" s="308" t="s">
        <v>38939</v>
      </c>
      <c r="Q6192" s="308" t="s">
        <v>38930</v>
      </c>
      <c r="R6192" s="308" t="s">
        <v>38931</v>
      </c>
      <c r="S6192" s="308" t="s">
        <v>49</v>
      </c>
      <c r="T6192" s="311" t="s">
        <v>67</v>
      </c>
      <c r="U6192" s="308" t="s">
        <v>166</v>
      </c>
      <c r="V6192" s="308"/>
    </row>
    <row r="6193">
      <c r="A6193" s="308">
        <v>6192.0</v>
      </c>
      <c r="B6193" s="308"/>
      <c r="C6193" s="308" t="s">
        <v>24794</v>
      </c>
      <c r="D6193" s="308">
        <f>IFERROR(__xludf.DUMMYFUNCTION("SPLIT(C6193,""-"")"),6213.0)</f>
        <v>6213</v>
      </c>
      <c r="E6193" s="308" t="str">
        <f>IFERROR(__xludf.DUMMYFUNCTION("""COMPUTED_VALUE"""),"S")</f>
        <v>S</v>
      </c>
      <c r="F6193" s="312" t="s">
        <v>39</v>
      </c>
      <c r="G6193" s="308"/>
      <c r="H6193" s="308" t="s">
        <v>24795</v>
      </c>
      <c r="I6193" s="310">
        <v>42257.0</v>
      </c>
      <c r="J6193" s="319">
        <f>IFERROR(__xludf.DUMMYFUNCTION("SPLIT(I6193,""/"")"),10.0)</f>
        <v>10</v>
      </c>
      <c r="K6193" s="308">
        <f>IFERROR(__xludf.DUMMYFUNCTION("""COMPUTED_VALUE"""),9.0)</f>
        <v>9</v>
      </c>
      <c r="L6193" s="308">
        <f>IFERROR(__xludf.DUMMYFUNCTION("""COMPUTED_VALUE"""),2015.0)</f>
        <v>2015</v>
      </c>
      <c r="M6193" s="308" t="s">
        <v>24796</v>
      </c>
      <c r="N6193" s="308"/>
      <c r="O6193" s="308"/>
      <c r="P6193" s="308" t="s">
        <v>38940</v>
      </c>
      <c r="Q6193" s="308" t="s">
        <v>38930</v>
      </c>
      <c r="R6193" s="308" t="s">
        <v>38931</v>
      </c>
      <c r="S6193" s="308" t="s">
        <v>81</v>
      </c>
      <c r="T6193" s="308" t="s">
        <v>75</v>
      </c>
      <c r="U6193" s="308" t="s">
        <v>166</v>
      </c>
      <c r="V6193" s="308"/>
    </row>
    <row r="6194">
      <c r="A6194" s="308">
        <v>6193.0</v>
      </c>
      <c r="B6194" s="308"/>
      <c r="C6194" s="308" t="s">
        <v>24798</v>
      </c>
      <c r="D6194" s="308">
        <f>IFERROR(__xludf.DUMMYFUNCTION("SPLIT(C6194,""-"")"),6214.0)</f>
        <v>6214</v>
      </c>
      <c r="E6194" s="308" t="str">
        <f>IFERROR(__xludf.DUMMYFUNCTION("""COMPUTED_VALUE"""),"S")</f>
        <v>S</v>
      </c>
      <c r="F6194" s="312" t="s">
        <v>39</v>
      </c>
      <c r="G6194" s="308"/>
      <c r="H6194" s="308" t="s">
        <v>24799</v>
      </c>
      <c r="I6194" s="310">
        <v>42257.0</v>
      </c>
      <c r="J6194" s="319">
        <f>IFERROR(__xludf.DUMMYFUNCTION("SPLIT(I6194,""/"")"),10.0)</f>
        <v>10</v>
      </c>
      <c r="K6194" s="308">
        <f>IFERROR(__xludf.DUMMYFUNCTION("""COMPUTED_VALUE"""),9.0)</f>
        <v>9</v>
      </c>
      <c r="L6194" s="308">
        <f>IFERROR(__xludf.DUMMYFUNCTION("""COMPUTED_VALUE"""),2015.0)</f>
        <v>2015</v>
      </c>
      <c r="M6194" s="308" t="s">
        <v>24800</v>
      </c>
      <c r="N6194" s="308"/>
      <c r="O6194" s="308"/>
      <c r="P6194" s="308" t="s">
        <v>38941</v>
      </c>
      <c r="Q6194" s="308" t="s">
        <v>38930</v>
      </c>
      <c r="R6194" s="308" t="s">
        <v>38931</v>
      </c>
      <c r="S6194" s="308" t="s">
        <v>49</v>
      </c>
      <c r="T6194" s="311" t="s">
        <v>67</v>
      </c>
      <c r="U6194" s="308" t="s">
        <v>166</v>
      </c>
      <c r="V6194" s="308"/>
    </row>
    <row r="6195">
      <c r="A6195" s="308">
        <v>6194.0</v>
      </c>
      <c r="B6195" s="308"/>
      <c r="C6195" s="308" t="s">
        <v>24802</v>
      </c>
      <c r="D6195" s="308">
        <f>IFERROR(__xludf.DUMMYFUNCTION("SPLIT(C6195,""-"")"),6215.0)</f>
        <v>6215</v>
      </c>
      <c r="E6195" s="308" t="str">
        <f>IFERROR(__xludf.DUMMYFUNCTION("""COMPUTED_VALUE"""),"S")</f>
        <v>S</v>
      </c>
      <c r="F6195" s="312" t="s">
        <v>39</v>
      </c>
      <c r="G6195" s="308"/>
      <c r="H6195" s="308" t="s">
        <v>24803</v>
      </c>
      <c r="I6195" s="310">
        <v>42257.0</v>
      </c>
      <c r="J6195" s="319">
        <f>IFERROR(__xludf.DUMMYFUNCTION("SPLIT(I6195,""/"")"),10.0)</f>
        <v>10</v>
      </c>
      <c r="K6195" s="308">
        <f>IFERROR(__xludf.DUMMYFUNCTION("""COMPUTED_VALUE"""),9.0)</f>
        <v>9</v>
      </c>
      <c r="L6195" s="308">
        <f>IFERROR(__xludf.DUMMYFUNCTION("""COMPUTED_VALUE"""),2015.0)</f>
        <v>2015</v>
      </c>
      <c r="M6195" s="308" t="s">
        <v>24804</v>
      </c>
      <c r="N6195" s="308"/>
      <c r="O6195" s="308"/>
      <c r="P6195" s="308" t="s">
        <v>38942</v>
      </c>
      <c r="Q6195" s="308" t="s">
        <v>38930</v>
      </c>
      <c r="R6195" s="308" t="s">
        <v>38931</v>
      </c>
      <c r="S6195" s="308" t="s">
        <v>81</v>
      </c>
      <c r="T6195" s="308" t="s">
        <v>75</v>
      </c>
      <c r="U6195" s="308" t="s">
        <v>166</v>
      </c>
      <c r="V6195" s="308"/>
    </row>
    <row r="6196">
      <c r="A6196" s="308">
        <v>6195.0</v>
      </c>
      <c r="B6196" s="308"/>
      <c r="C6196" s="308" t="s">
        <v>24806</v>
      </c>
      <c r="D6196" s="308">
        <f>IFERROR(__xludf.DUMMYFUNCTION("SPLIT(C6196,""-"")"),6216.0)</f>
        <v>6216</v>
      </c>
      <c r="E6196" s="308" t="str">
        <f>IFERROR(__xludf.DUMMYFUNCTION("""COMPUTED_VALUE"""),"S")</f>
        <v>S</v>
      </c>
      <c r="F6196" s="312" t="s">
        <v>39</v>
      </c>
      <c r="G6196" s="308"/>
      <c r="H6196" s="308" t="s">
        <v>24807</v>
      </c>
      <c r="I6196" s="310">
        <v>42259.0</v>
      </c>
      <c r="J6196" s="319">
        <f>IFERROR(__xludf.DUMMYFUNCTION("SPLIT(I6196,""/"")"),12.0)</f>
        <v>12</v>
      </c>
      <c r="K6196" s="308">
        <f>IFERROR(__xludf.DUMMYFUNCTION("""COMPUTED_VALUE"""),9.0)</f>
        <v>9</v>
      </c>
      <c r="L6196" s="308">
        <f>IFERROR(__xludf.DUMMYFUNCTION("""COMPUTED_VALUE"""),2015.0)</f>
        <v>2015</v>
      </c>
      <c r="M6196" s="308" t="s">
        <v>24808</v>
      </c>
      <c r="N6196" s="308"/>
      <c r="O6196" s="308"/>
      <c r="P6196" s="308" t="s">
        <v>24809</v>
      </c>
      <c r="Q6196" s="308" t="s">
        <v>38930</v>
      </c>
      <c r="R6196" s="308" t="s">
        <v>38931</v>
      </c>
      <c r="S6196" s="308" t="s">
        <v>49</v>
      </c>
      <c r="T6196" s="311" t="s">
        <v>67</v>
      </c>
      <c r="U6196" s="308" t="s">
        <v>166</v>
      </c>
      <c r="V6196" s="308"/>
    </row>
    <row r="6197">
      <c r="A6197" s="308">
        <v>6196.0</v>
      </c>
      <c r="B6197" s="308"/>
      <c r="C6197" s="308" t="s">
        <v>24810</v>
      </c>
      <c r="D6197" s="308">
        <f>IFERROR(__xludf.DUMMYFUNCTION("SPLIT(C6197,""-"")"),6217.0)</f>
        <v>6217</v>
      </c>
      <c r="E6197" s="308" t="str">
        <f>IFERROR(__xludf.DUMMYFUNCTION("""COMPUTED_VALUE"""),"S")</f>
        <v>S</v>
      </c>
      <c r="F6197" s="312" t="s">
        <v>39</v>
      </c>
      <c r="G6197" s="308"/>
      <c r="H6197" s="308" t="s">
        <v>24811</v>
      </c>
      <c r="I6197" s="310">
        <v>42259.0</v>
      </c>
      <c r="J6197" s="319">
        <f>IFERROR(__xludf.DUMMYFUNCTION("SPLIT(I6197,""/"")"),12.0)</f>
        <v>12</v>
      </c>
      <c r="K6197" s="308">
        <f>IFERROR(__xludf.DUMMYFUNCTION("""COMPUTED_VALUE"""),9.0)</f>
        <v>9</v>
      </c>
      <c r="L6197" s="308">
        <f>IFERROR(__xludf.DUMMYFUNCTION("""COMPUTED_VALUE"""),2015.0)</f>
        <v>2015</v>
      </c>
      <c r="M6197" s="308" t="s">
        <v>24812</v>
      </c>
      <c r="N6197" s="308"/>
      <c r="O6197" s="308"/>
      <c r="P6197" s="308" t="s">
        <v>38943</v>
      </c>
      <c r="Q6197" s="308" t="s">
        <v>38930</v>
      </c>
      <c r="R6197" s="308" t="s">
        <v>38931</v>
      </c>
      <c r="S6197" s="308" t="s">
        <v>81</v>
      </c>
      <c r="T6197" s="311" t="s">
        <v>90</v>
      </c>
      <c r="U6197" s="308" t="s">
        <v>166</v>
      </c>
      <c r="V6197" s="308"/>
    </row>
    <row r="6198">
      <c r="A6198" s="308">
        <v>6197.0</v>
      </c>
      <c r="B6198" s="308"/>
      <c r="C6198" s="308" t="s">
        <v>24814</v>
      </c>
      <c r="D6198" s="308">
        <f>IFERROR(__xludf.DUMMYFUNCTION("SPLIT(C6198,""-"")"),6218.0)</f>
        <v>6218</v>
      </c>
      <c r="E6198" s="308" t="str">
        <f>IFERROR(__xludf.DUMMYFUNCTION("""COMPUTED_VALUE"""),"S")</f>
        <v>S</v>
      </c>
      <c r="F6198" s="312" t="s">
        <v>39</v>
      </c>
      <c r="G6198" s="308"/>
      <c r="H6198" s="308" t="s">
        <v>24815</v>
      </c>
      <c r="I6198" s="310">
        <v>42259.0</v>
      </c>
      <c r="J6198" s="319">
        <f>IFERROR(__xludf.DUMMYFUNCTION("SPLIT(I6198,""/"")"),12.0)</f>
        <v>12</v>
      </c>
      <c r="K6198" s="308">
        <f>IFERROR(__xludf.DUMMYFUNCTION("""COMPUTED_VALUE"""),9.0)</f>
        <v>9</v>
      </c>
      <c r="L6198" s="308">
        <f>IFERROR(__xludf.DUMMYFUNCTION("""COMPUTED_VALUE"""),2015.0)</f>
        <v>2015</v>
      </c>
      <c r="M6198" s="308" t="s">
        <v>24816</v>
      </c>
      <c r="N6198" s="308"/>
      <c r="O6198" s="308"/>
      <c r="P6198" s="308" t="s">
        <v>38943</v>
      </c>
      <c r="Q6198" s="308" t="s">
        <v>38930</v>
      </c>
      <c r="R6198" s="308" t="s">
        <v>38931</v>
      </c>
      <c r="S6198" s="308" t="s">
        <v>81</v>
      </c>
      <c r="T6198" s="311" t="s">
        <v>90</v>
      </c>
      <c r="U6198" s="308" t="s">
        <v>166</v>
      </c>
      <c r="V6198" s="308"/>
    </row>
    <row r="6199">
      <c r="A6199" s="308">
        <v>6198.0</v>
      </c>
      <c r="B6199" s="308"/>
      <c r="C6199" s="308" t="s">
        <v>24817</v>
      </c>
      <c r="D6199" s="308">
        <f>IFERROR(__xludf.DUMMYFUNCTION("SPLIT(C6199,""-"")"),6219.0)</f>
        <v>6219</v>
      </c>
      <c r="E6199" s="308" t="str">
        <f>IFERROR(__xludf.DUMMYFUNCTION("""COMPUTED_VALUE"""),"S")</f>
        <v>S</v>
      </c>
      <c r="F6199" s="312" t="s">
        <v>39</v>
      </c>
      <c r="G6199" s="308"/>
      <c r="H6199" s="308" t="s">
        <v>24818</v>
      </c>
      <c r="I6199" s="310">
        <v>42259.0</v>
      </c>
      <c r="J6199" s="319">
        <f>IFERROR(__xludf.DUMMYFUNCTION("SPLIT(I6199,""/"")"),12.0)</f>
        <v>12</v>
      </c>
      <c r="K6199" s="308">
        <f>IFERROR(__xludf.DUMMYFUNCTION("""COMPUTED_VALUE"""),9.0)</f>
        <v>9</v>
      </c>
      <c r="L6199" s="308">
        <f>IFERROR(__xludf.DUMMYFUNCTION("""COMPUTED_VALUE"""),2015.0)</f>
        <v>2015</v>
      </c>
      <c r="M6199" s="308" t="s">
        <v>24819</v>
      </c>
      <c r="N6199" s="308"/>
      <c r="O6199" s="308"/>
      <c r="P6199" s="308" t="s">
        <v>38944</v>
      </c>
      <c r="Q6199" s="308" t="s">
        <v>38930</v>
      </c>
      <c r="R6199" s="308" t="s">
        <v>38931</v>
      </c>
      <c r="S6199" s="308" t="s">
        <v>81</v>
      </c>
      <c r="T6199" s="311" t="s">
        <v>90</v>
      </c>
      <c r="U6199" s="308" t="s">
        <v>166</v>
      </c>
      <c r="V6199" s="308"/>
    </row>
    <row r="6200">
      <c r="A6200" s="308">
        <v>6199.0</v>
      </c>
      <c r="B6200" s="308"/>
      <c r="C6200" s="308" t="s">
        <v>24821</v>
      </c>
      <c r="D6200" s="308">
        <f>IFERROR(__xludf.DUMMYFUNCTION("SPLIT(C6200,""-"")"),6220.0)</f>
        <v>6220</v>
      </c>
      <c r="E6200" s="308" t="str">
        <f>IFERROR(__xludf.DUMMYFUNCTION("""COMPUTED_VALUE"""),"S")</f>
        <v>S</v>
      </c>
      <c r="F6200" s="312" t="s">
        <v>39</v>
      </c>
      <c r="G6200" s="308"/>
      <c r="H6200" s="308" t="s">
        <v>24822</v>
      </c>
      <c r="I6200" s="310">
        <v>42259.0</v>
      </c>
      <c r="J6200" s="319">
        <f>IFERROR(__xludf.DUMMYFUNCTION("SPLIT(I6200,""/"")"),12.0)</f>
        <v>12</v>
      </c>
      <c r="K6200" s="308">
        <f>IFERROR(__xludf.DUMMYFUNCTION("""COMPUTED_VALUE"""),9.0)</f>
        <v>9</v>
      </c>
      <c r="L6200" s="308">
        <f>IFERROR(__xludf.DUMMYFUNCTION("""COMPUTED_VALUE"""),2015.0)</f>
        <v>2015</v>
      </c>
      <c r="M6200" s="308" t="s">
        <v>24823</v>
      </c>
      <c r="N6200" s="308"/>
      <c r="O6200" s="308"/>
      <c r="P6200" s="308" t="s">
        <v>38944</v>
      </c>
      <c r="Q6200" s="308" t="s">
        <v>38930</v>
      </c>
      <c r="R6200" s="308" t="s">
        <v>38931</v>
      </c>
      <c r="S6200" s="308" t="s">
        <v>81</v>
      </c>
      <c r="T6200" s="311" t="s">
        <v>90</v>
      </c>
      <c r="U6200" s="308" t="s">
        <v>166</v>
      </c>
      <c r="V6200" s="308"/>
    </row>
    <row r="6201">
      <c r="A6201" s="308">
        <v>6200.0</v>
      </c>
      <c r="B6201" s="308"/>
      <c r="C6201" s="308" t="s">
        <v>24824</v>
      </c>
      <c r="D6201" s="308">
        <f>IFERROR(__xludf.DUMMYFUNCTION("SPLIT(C6201,""-"")"),6221.0)</f>
        <v>6221</v>
      </c>
      <c r="E6201" s="308" t="str">
        <f>IFERROR(__xludf.DUMMYFUNCTION("""COMPUTED_VALUE"""),"S")</f>
        <v>S</v>
      </c>
      <c r="F6201" s="312" t="s">
        <v>39</v>
      </c>
      <c r="G6201" s="308"/>
      <c r="H6201" s="308" t="s">
        <v>24825</v>
      </c>
      <c r="I6201" s="310">
        <v>42259.0</v>
      </c>
      <c r="J6201" s="319">
        <f>IFERROR(__xludf.DUMMYFUNCTION("SPLIT(I6201,""/"")"),12.0)</f>
        <v>12</v>
      </c>
      <c r="K6201" s="308">
        <f>IFERROR(__xludf.DUMMYFUNCTION("""COMPUTED_VALUE"""),9.0)</f>
        <v>9</v>
      </c>
      <c r="L6201" s="308">
        <f>IFERROR(__xludf.DUMMYFUNCTION("""COMPUTED_VALUE"""),2015.0)</f>
        <v>2015</v>
      </c>
      <c r="M6201" s="308" t="s">
        <v>24826</v>
      </c>
      <c r="N6201" s="308"/>
      <c r="O6201" s="308"/>
      <c r="P6201" s="308" t="s">
        <v>38945</v>
      </c>
      <c r="Q6201" s="308" t="s">
        <v>38930</v>
      </c>
      <c r="R6201" s="308" t="s">
        <v>38931</v>
      </c>
      <c r="S6201" s="308" t="s">
        <v>81</v>
      </c>
      <c r="T6201" s="311" t="s">
        <v>90</v>
      </c>
      <c r="U6201" s="308" t="s">
        <v>166</v>
      </c>
      <c r="V6201" s="308"/>
    </row>
    <row r="6202">
      <c r="A6202" s="308">
        <v>6201.0</v>
      </c>
      <c r="B6202" s="308"/>
      <c r="C6202" s="308" t="s">
        <v>24828</v>
      </c>
      <c r="D6202" s="308">
        <f>IFERROR(__xludf.DUMMYFUNCTION("SPLIT(C6202,""-"")"),6222.0)</f>
        <v>6222</v>
      </c>
      <c r="E6202" s="308" t="str">
        <f>IFERROR(__xludf.DUMMYFUNCTION("""COMPUTED_VALUE"""),"S")</f>
        <v>S</v>
      </c>
      <c r="F6202" s="312" t="s">
        <v>39</v>
      </c>
      <c r="G6202" s="308"/>
      <c r="H6202" s="308" t="s">
        <v>24829</v>
      </c>
      <c r="I6202" s="310">
        <v>42262.0</v>
      </c>
      <c r="J6202" s="319">
        <f>IFERROR(__xludf.DUMMYFUNCTION("SPLIT(I6202,""/"")"),15.0)</f>
        <v>15</v>
      </c>
      <c r="K6202" s="308">
        <f>IFERROR(__xludf.DUMMYFUNCTION("""COMPUTED_VALUE"""),9.0)</f>
        <v>9</v>
      </c>
      <c r="L6202" s="308">
        <f>IFERROR(__xludf.DUMMYFUNCTION("""COMPUTED_VALUE"""),2015.0)</f>
        <v>2015</v>
      </c>
      <c r="M6202" s="308" t="s">
        <v>38946</v>
      </c>
      <c r="N6202" s="308"/>
      <c r="O6202" s="308"/>
      <c r="P6202" s="308" t="s">
        <v>38947</v>
      </c>
      <c r="Q6202" s="308" t="s">
        <v>38930</v>
      </c>
      <c r="R6202" s="308" t="s">
        <v>38931</v>
      </c>
      <c r="S6202" s="308" t="s">
        <v>81</v>
      </c>
      <c r="T6202" s="308" t="s">
        <v>75</v>
      </c>
      <c r="U6202" s="308" t="s">
        <v>166</v>
      </c>
      <c r="V6202" s="308"/>
    </row>
    <row r="6203">
      <c r="A6203" s="308">
        <v>6202.0</v>
      </c>
      <c r="B6203" s="308"/>
      <c r="C6203" s="308" t="s">
        <v>24832</v>
      </c>
      <c r="D6203" s="308">
        <f>IFERROR(__xludf.DUMMYFUNCTION("SPLIT(C6203,""-"")"),6223.0)</f>
        <v>6223</v>
      </c>
      <c r="E6203" s="308" t="str">
        <f>IFERROR(__xludf.DUMMYFUNCTION("""COMPUTED_VALUE"""),"S")</f>
        <v>S</v>
      </c>
      <c r="F6203" s="312" t="s">
        <v>39</v>
      </c>
      <c r="G6203" s="308"/>
      <c r="H6203" s="308" t="s">
        <v>24833</v>
      </c>
      <c r="I6203" s="310">
        <v>42263.0</v>
      </c>
      <c r="J6203" s="319">
        <f>IFERROR(__xludf.DUMMYFUNCTION("SPLIT(I6203,""/"")"),16.0)</f>
        <v>16</v>
      </c>
      <c r="K6203" s="308">
        <f>IFERROR(__xludf.DUMMYFUNCTION("""COMPUTED_VALUE"""),9.0)</f>
        <v>9</v>
      </c>
      <c r="L6203" s="308">
        <f>IFERROR(__xludf.DUMMYFUNCTION("""COMPUTED_VALUE"""),2015.0)</f>
        <v>2015</v>
      </c>
      <c r="M6203" s="308" t="s">
        <v>24834</v>
      </c>
      <c r="N6203" s="308" t="s">
        <v>24835</v>
      </c>
      <c r="O6203" s="308"/>
      <c r="P6203" s="308" t="s">
        <v>38948</v>
      </c>
      <c r="Q6203" s="308" t="s">
        <v>38930</v>
      </c>
      <c r="R6203" s="308" t="s">
        <v>38931</v>
      </c>
      <c r="S6203" s="308" t="s">
        <v>49</v>
      </c>
      <c r="T6203" s="311" t="s">
        <v>67</v>
      </c>
      <c r="U6203" s="308" t="s">
        <v>166</v>
      </c>
      <c r="V6203" s="308"/>
    </row>
    <row r="6204">
      <c r="A6204" s="308">
        <v>6203.0</v>
      </c>
      <c r="B6204" s="308"/>
      <c r="C6204" s="308" t="s">
        <v>24837</v>
      </c>
      <c r="D6204" s="308">
        <f>IFERROR(__xludf.DUMMYFUNCTION("SPLIT(C6204,""-"")"),6224.0)</f>
        <v>6224</v>
      </c>
      <c r="E6204" s="308" t="str">
        <f>IFERROR(__xludf.DUMMYFUNCTION("""COMPUTED_VALUE"""),"S")</f>
        <v>S</v>
      </c>
      <c r="F6204" s="312" t="s">
        <v>39</v>
      </c>
      <c r="G6204" s="308"/>
      <c r="H6204" s="308" t="s">
        <v>24838</v>
      </c>
      <c r="I6204" s="310">
        <v>42264.0</v>
      </c>
      <c r="J6204" s="319">
        <f>IFERROR(__xludf.DUMMYFUNCTION("SPLIT(I6204,""/"")"),17.0)</f>
        <v>17</v>
      </c>
      <c r="K6204" s="308">
        <f>IFERROR(__xludf.DUMMYFUNCTION("""COMPUTED_VALUE"""),9.0)</f>
        <v>9</v>
      </c>
      <c r="L6204" s="308">
        <f>IFERROR(__xludf.DUMMYFUNCTION("""COMPUTED_VALUE"""),2015.0)</f>
        <v>2015</v>
      </c>
      <c r="M6204" s="308" t="s">
        <v>38949</v>
      </c>
      <c r="N6204" s="308"/>
      <c r="O6204" s="308"/>
      <c r="P6204" s="308" t="s">
        <v>38950</v>
      </c>
      <c r="Q6204" s="308" t="s">
        <v>38930</v>
      </c>
      <c r="R6204" s="308" t="s">
        <v>38931</v>
      </c>
      <c r="S6204" s="308" t="s">
        <v>49</v>
      </c>
      <c r="T6204" s="308" t="s">
        <v>67</v>
      </c>
      <c r="U6204" s="308" t="s">
        <v>166</v>
      </c>
      <c r="V6204" s="308"/>
    </row>
    <row r="6205">
      <c r="A6205" s="308">
        <v>6204.0</v>
      </c>
      <c r="B6205" s="308"/>
      <c r="C6205" s="308" t="s">
        <v>24841</v>
      </c>
      <c r="D6205" s="308">
        <f>IFERROR(__xludf.DUMMYFUNCTION("SPLIT(C6205,""-"")"),6225.0)</f>
        <v>6225</v>
      </c>
      <c r="E6205" s="308" t="str">
        <f>IFERROR(__xludf.DUMMYFUNCTION("""COMPUTED_VALUE"""),"S")</f>
        <v>S</v>
      </c>
      <c r="F6205" s="312" t="s">
        <v>39</v>
      </c>
      <c r="G6205" s="308"/>
      <c r="H6205" s="308" t="s">
        <v>24842</v>
      </c>
      <c r="I6205" s="310">
        <v>42265.0</v>
      </c>
      <c r="J6205" s="319">
        <f>IFERROR(__xludf.DUMMYFUNCTION("SPLIT(I6205,""/"")"),18.0)</f>
        <v>18</v>
      </c>
      <c r="K6205" s="308">
        <f>IFERROR(__xludf.DUMMYFUNCTION("""COMPUTED_VALUE"""),9.0)</f>
        <v>9</v>
      </c>
      <c r="L6205" s="308">
        <f>IFERROR(__xludf.DUMMYFUNCTION("""COMPUTED_VALUE"""),2015.0)</f>
        <v>2015</v>
      </c>
      <c r="M6205" s="308" t="s">
        <v>38951</v>
      </c>
      <c r="N6205" s="308"/>
      <c r="O6205" s="308"/>
      <c r="P6205" s="308" t="s">
        <v>38952</v>
      </c>
      <c r="Q6205" s="308" t="s">
        <v>38930</v>
      </c>
      <c r="R6205" s="308" t="s">
        <v>38931</v>
      </c>
      <c r="S6205" s="308" t="s">
        <v>49</v>
      </c>
      <c r="T6205" s="311" t="s">
        <v>67</v>
      </c>
      <c r="U6205" s="308" t="s">
        <v>166</v>
      </c>
      <c r="V6205" s="308"/>
    </row>
    <row r="6206">
      <c r="A6206" s="308">
        <v>6205.0</v>
      </c>
      <c r="B6206" s="308"/>
      <c r="C6206" s="308" t="s">
        <v>24845</v>
      </c>
      <c r="D6206" s="308">
        <f>IFERROR(__xludf.DUMMYFUNCTION("SPLIT(C6206,""-"")"),6226.0)</f>
        <v>6226</v>
      </c>
      <c r="E6206" s="308" t="str">
        <f>IFERROR(__xludf.DUMMYFUNCTION("""COMPUTED_VALUE"""),"S")</f>
        <v>S</v>
      </c>
      <c r="F6206" s="312" t="s">
        <v>39</v>
      </c>
      <c r="G6206" s="308"/>
      <c r="H6206" s="308" t="s">
        <v>24846</v>
      </c>
      <c r="I6206" s="310">
        <v>42265.0</v>
      </c>
      <c r="J6206" s="319">
        <f>IFERROR(__xludf.DUMMYFUNCTION("SPLIT(I6206,""/"")"),18.0)</f>
        <v>18</v>
      </c>
      <c r="K6206" s="308">
        <f>IFERROR(__xludf.DUMMYFUNCTION("""COMPUTED_VALUE"""),9.0)</f>
        <v>9</v>
      </c>
      <c r="L6206" s="308">
        <f>IFERROR(__xludf.DUMMYFUNCTION("""COMPUTED_VALUE"""),2015.0)</f>
        <v>2015</v>
      </c>
      <c r="M6206" s="308" t="s">
        <v>38953</v>
      </c>
      <c r="N6206" s="308" t="s">
        <v>24848</v>
      </c>
      <c r="O6206" s="308"/>
      <c r="P6206" s="308" t="s">
        <v>24849</v>
      </c>
      <c r="Q6206" s="308" t="s">
        <v>38930</v>
      </c>
      <c r="R6206" s="308" t="s">
        <v>38931</v>
      </c>
      <c r="S6206" s="308" t="s">
        <v>49</v>
      </c>
      <c r="T6206" s="311" t="s">
        <v>67</v>
      </c>
      <c r="U6206" s="308" t="s">
        <v>166</v>
      </c>
      <c r="V6206" s="308"/>
    </row>
    <row r="6207">
      <c r="A6207" s="308">
        <v>6206.0</v>
      </c>
      <c r="B6207" s="308"/>
      <c r="C6207" s="308" t="s">
        <v>24850</v>
      </c>
      <c r="D6207" s="308">
        <f>IFERROR(__xludf.DUMMYFUNCTION("SPLIT(C6207,""-"")"),6227.0)</f>
        <v>6227</v>
      </c>
      <c r="E6207" s="308" t="str">
        <f>IFERROR(__xludf.DUMMYFUNCTION("""COMPUTED_VALUE"""),"S")</f>
        <v>S</v>
      </c>
      <c r="F6207" s="312" t="s">
        <v>39</v>
      </c>
      <c r="G6207" s="308"/>
      <c r="H6207" s="308" t="s">
        <v>24851</v>
      </c>
      <c r="I6207" s="310">
        <v>42143.0</v>
      </c>
      <c r="J6207" s="319">
        <f>IFERROR(__xludf.DUMMYFUNCTION("SPLIT(I6207,""/"")"),19.0)</f>
        <v>19</v>
      </c>
      <c r="K6207" s="308">
        <f>IFERROR(__xludf.DUMMYFUNCTION("""COMPUTED_VALUE"""),5.0)</f>
        <v>5</v>
      </c>
      <c r="L6207" s="308">
        <f>IFERROR(__xludf.DUMMYFUNCTION("""COMPUTED_VALUE"""),2015.0)</f>
        <v>2015</v>
      </c>
      <c r="M6207" s="308" t="s">
        <v>38954</v>
      </c>
      <c r="N6207" s="308" t="s">
        <v>24853</v>
      </c>
      <c r="O6207" s="308"/>
      <c r="P6207" s="308" t="s">
        <v>24854</v>
      </c>
      <c r="Q6207" s="308" t="s">
        <v>38930</v>
      </c>
      <c r="R6207" s="308" t="s">
        <v>38931</v>
      </c>
      <c r="S6207" s="308" t="s">
        <v>81</v>
      </c>
      <c r="T6207" s="311" t="s">
        <v>51</v>
      </c>
      <c r="U6207" s="308" t="s">
        <v>166</v>
      </c>
      <c r="V6207" s="308"/>
    </row>
    <row r="6208">
      <c r="A6208" s="308">
        <v>6207.0</v>
      </c>
      <c r="B6208" s="308"/>
      <c r="C6208" s="308" t="s">
        <v>24855</v>
      </c>
      <c r="D6208" s="308">
        <f>IFERROR(__xludf.DUMMYFUNCTION("SPLIT(C6208,""-"")"),6228.0)</f>
        <v>6228</v>
      </c>
      <c r="E6208" s="308" t="str">
        <f>IFERROR(__xludf.DUMMYFUNCTION("""COMPUTED_VALUE"""),"B")</f>
        <v>B</v>
      </c>
      <c r="F6208" s="315" t="s">
        <v>26</v>
      </c>
      <c r="G6208" s="308"/>
      <c r="H6208" s="308" t="s">
        <v>24856</v>
      </c>
      <c r="I6208" s="310">
        <v>43552.0</v>
      </c>
      <c r="J6208" s="319">
        <f>IFERROR(__xludf.DUMMYFUNCTION("SPLIT(I6208,""/"")"),28.0)</f>
        <v>28</v>
      </c>
      <c r="K6208" s="308">
        <f>IFERROR(__xludf.DUMMYFUNCTION("""COMPUTED_VALUE"""),3.0)</f>
        <v>3</v>
      </c>
      <c r="L6208" s="308">
        <f>IFERROR(__xludf.DUMMYFUNCTION("""COMPUTED_VALUE"""),2019.0)</f>
        <v>2019</v>
      </c>
      <c r="M6208" s="308" t="s">
        <v>24857</v>
      </c>
      <c r="N6208" s="308" t="s">
        <v>24858</v>
      </c>
      <c r="O6208" s="308"/>
      <c r="P6208" s="308" t="s">
        <v>38955</v>
      </c>
      <c r="Q6208" s="308" t="s">
        <v>38930</v>
      </c>
      <c r="R6208" s="308" t="s">
        <v>2743</v>
      </c>
      <c r="S6208" s="308" t="s">
        <v>81</v>
      </c>
      <c r="T6208" s="311" t="s">
        <v>77</v>
      </c>
      <c r="U6208" s="308" t="s">
        <v>27</v>
      </c>
      <c r="V6208" s="308"/>
    </row>
    <row r="6209">
      <c r="A6209" s="308">
        <v>6208.0</v>
      </c>
      <c r="B6209" s="308"/>
      <c r="C6209" s="308" t="s">
        <v>24860</v>
      </c>
      <c r="D6209" s="308">
        <f>IFERROR(__xludf.DUMMYFUNCTION("SPLIT(C6209,""-"")"),6229.0)</f>
        <v>6229</v>
      </c>
      <c r="E6209" s="308" t="str">
        <f>IFERROR(__xludf.DUMMYFUNCTION("""COMPUTED_VALUE"""),"K")</f>
        <v>K</v>
      </c>
      <c r="F6209" s="309" t="s">
        <v>34</v>
      </c>
      <c r="G6209" s="308"/>
      <c r="H6209" s="308" t="s">
        <v>24861</v>
      </c>
      <c r="I6209" s="310">
        <v>39951.0</v>
      </c>
      <c r="J6209" s="319">
        <f>IFERROR(__xludf.DUMMYFUNCTION("SPLIT(I6209,""/"")"),18.0)</f>
        <v>18</v>
      </c>
      <c r="K6209" s="308">
        <f>IFERROR(__xludf.DUMMYFUNCTION("""COMPUTED_VALUE"""),5.0)</f>
        <v>5</v>
      </c>
      <c r="L6209" s="308">
        <f>IFERROR(__xludf.DUMMYFUNCTION("""COMPUTED_VALUE"""),2009.0)</f>
        <v>2009</v>
      </c>
      <c r="M6209" s="308" t="s">
        <v>24862</v>
      </c>
      <c r="N6209" s="308"/>
      <c r="O6209" s="308" t="s">
        <v>24863</v>
      </c>
      <c r="P6209" s="308" t="s">
        <v>136</v>
      </c>
      <c r="Q6209" s="308" t="s">
        <v>38930</v>
      </c>
      <c r="R6209" s="308" t="s">
        <v>2743</v>
      </c>
      <c r="S6209" s="315" t="s">
        <v>100</v>
      </c>
      <c r="T6209" s="308" t="s">
        <v>34208</v>
      </c>
      <c r="U6209" s="308" t="s">
        <v>201</v>
      </c>
      <c r="V6209" s="308"/>
    </row>
    <row r="6210">
      <c r="A6210" s="308">
        <v>6209.0</v>
      </c>
      <c r="B6210" s="308"/>
      <c r="C6210" s="308" t="s">
        <v>24864</v>
      </c>
      <c r="D6210" s="308">
        <f>IFERROR(__xludf.DUMMYFUNCTION("SPLIT(C6210,""-"")"),6230.0)</f>
        <v>6230</v>
      </c>
      <c r="E6210" s="308" t="str">
        <f>IFERROR(__xludf.DUMMYFUNCTION("""COMPUTED_VALUE"""),"B")</f>
        <v>B</v>
      </c>
      <c r="F6210" s="315" t="s">
        <v>26</v>
      </c>
      <c r="G6210" s="308"/>
      <c r="H6210" s="308" t="s">
        <v>24865</v>
      </c>
      <c r="I6210" s="310">
        <v>42962.0</v>
      </c>
      <c r="J6210" s="319">
        <f>IFERROR(__xludf.DUMMYFUNCTION("SPLIT(I6210,""/"")"),15.0)</f>
        <v>15</v>
      </c>
      <c r="K6210" s="308">
        <f>IFERROR(__xludf.DUMMYFUNCTION("""COMPUTED_VALUE"""),8.0)</f>
        <v>8</v>
      </c>
      <c r="L6210" s="308">
        <f>IFERROR(__xludf.DUMMYFUNCTION("""COMPUTED_VALUE"""),2017.0)</f>
        <v>2017</v>
      </c>
      <c r="M6210" s="308" t="s">
        <v>24866</v>
      </c>
      <c r="N6210" s="308" t="s">
        <v>24867</v>
      </c>
      <c r="O6210" s="308"/>
      <c r="P6210" s="308" t="s">
        <v>24868</v>
      </c>
      <c r="Q6210" s="308" t="s">
        <v>38956</v>
      </c>
      <c r="R6210" s="308" t="s">
        <v>38931</v>
      </c>
      <c r="S6210" s="308" t="s">
        <v>81</v>
      </c>
      <c r="T6210" s="311" t="s">
        <v>96</v>
      </c>
      <c r="U6210" s="308" t="s">
        <v>27</v>
      </c>
      <c r="V6210" s="308"/>
    </row>
    <row r="6211">
      <c r="A6211" s="308">
        <v>6210.0</v>
      </c>
      <c r="B6211" s="308"/>
      <c r="C6211" s="308" t="s">
        <v>24869</v>
      </c>
      <c r="D6211" s="308">
        <f>IFERROR(__xludf.DUMMYFUNCTION("SPLIT(C6211,""-"")"),6231.0)</f>
        <v>6231</v>
      </c>
      <c r="E6211" s="308" t="str">
        <f>IFERROR(__xludf.DUMMYFUNCTION("""COMPUTED_VALUE"""),"B")</f>
        <v>B</v>
      </c>
      <c r="F6211" s="315" t="s">
        <v>26</v>
      </c>
      <c r="G6211" s="308"/>
      <c r="H6211" s="308" t="s">
        <v>24870</v>
      </c>
      <c r="I6211" s="310">
        <v>42987.0</v>
      </c>
      <c r="J6211" s="319">
        <f>IFERROR(__xludf.DUMMYFUNCTION("SPLIT(I6211,""/"")"),9.0)</f>
        <v>9</v>
      </c>
      <c r="K6211" s="308">
        <f>IFERROR(__xludf.DUMMYFUNCTION("""COMPUTED_VALUE"""),9.0)</f>
        <v>9</v>
      </c>
      <c r="L6211" s="308">
        <f>IFERROR(__xludf.DUMMYFUNCTION("""COMPUTED_VALUE"""),2017.0)</f>
        <v>2017</v>
      </c>
      <c r="M6211" s="308" t="s">
        <v>24871</v>
      </c>
      <c r="N6211" s="308"/>
      <c r="O6211" s="308"/>
      <c r="P6211" s="308" t="s">
        <v>38957</v>
      </c>
      <c r="Q6211" s="308" t="s">
        <v>38956</v>
      </c>
      <c r="R6211" s="308" t="s">
        <v>38931</v>
      </c>
      <c r="S6211" s="308" t="s">
        <v>81</v>
      </c>
      <c r="T6211" s="311" t="s">
        <v>90</v>
      </c>
      <c r="U6211" s="308" t="s">
        <v>27</v>
      </c>
      <c r="V6211" s="308"/>
    </row>
    <row r="6212">
      <c r="A6212" s="308">
        <v>6211.0</v>
      </c>
      <c r="B6212" s="308"/>
      <c r="C6212" s="308" t="s">
        <v>24873</v>
      </c>
      <c r="D6212" s="308">
        <f>IFERROR(__xludf.DUMMYFUNCTION("SPLIT(C6212,""-"")"),6232.0)</f>
        <v>6232</v>
      </c>
      <c r="E6212" s="308" t="str">
        <f>IFERROR(__xludf.DUMMYFUNCTION("""COMPUTED_VALUE"""),"B")</f>
        <v>B</v>
      </c>
      <c r="F6212" s="315" t="s">
        <v>26</v>
      </c>
      <c r="G6212" s="308"/>
      <c r="H6212" s="308" t="s">
        <v>24874</v>
      </c>
      <c r="I6212" s="310">
        <v>42586.0</v>
      </c>
      <c r="J6212" s="319">
        <f>IFERROR(__xludf.DUMMYFUNCTION("SPLIT(I6212,""/"")"),4.0)</f>
        <v>4</v>
      </c>
      <c r="K6212" s="308">
        <f>IFERROR(__xludf.DUMMYFUNCTION("""COMPUTED_VALUE"""),8.0)</f>
        <v>8</v>
      </c>
      <c r="L6212" s="308">
        <f>IFERROR(__xludf.DUMMYFUNCTION("""COMPUTED_VALUE"""),2016.0)</f>
        <v>2016</v>
      </c>
      <c r="M6212" s="308" t="s">
        <v>24875</v>
      </c>
      <c r="N6212" s="308" t="s">
        <v>24876</v>
      </c>
      <c r="O6212" s="308"/>
      <c r="P6212" s="308" t="s">
        <v>38958</v>
      </c>
      <c r="Q6212" s="308" t="s">
        <v>38956</v>
      </c>
      <c r="R6212" s="308" t="s">
        <v>38931</v>
      </c>
      <c r="S6212" s="308" t="s">
        <v>81</v>
      </c>
      <c r="T6212" s="311" t="s">
        <v>75</v>
      </c>
      <c r="U6212" s="308" t="s">
        <v>27</v>
      </c>
      <c r="V6212" s="308"/>
    </row>
    <row r="6213">
      <c r="A6213" s="308">
        <v>6212.0</v>
      </c>
      <c r="B6213" s="308"/>
      <c r="C6213" s="308" t="s">
        <v>24878</v>
      </c>
      <c r="D6213" s="308">
        <f>IFERROR(__xludf.DUMMYFUNCTION("SPLIT(C6213,""-"")"),6233.0)</f>
        <v>6233</v>
      </c>
      <c r="E6213" s="308" t="str">
        <f>IFERROR(__xludf.DUMMYFUNCTION("""COMPUTED_VALUE"""),"B")</f>
        <v>B</v>
      </c>
      <c r="F6213" s="315" t="s">
        <v>26</v>
      </c>
      <c r="G6213" s="308"/>
      <c r="H6213" s="308" t="s">
        <v>24879</v>
      </c>
      <c r="I6213" s="310">
        <v>43590.0</v>
      </c>
      <c r="J6213" s="319">
        <f>IFERROR(__xludf.DUMMYFUNCTION("SPLIT(I6213,""/"")"),5.0)</f>
        <v>5</v>
      </c>
      <c r="K6213" s="308">
        <f>IFERROR(__xludf.DUMMYFUNCTION("""COMPUTED_VALUE"""),5.0)</f>
        <v>5</v>
      </c>
      <c r="L6213" s="308">
        <f>IFERROR(__xludf.DUMMYFUNCTION("""COMPUTED_VALUE"""),2019.0)</f>
        <v>2019</v>
      </c>
      <c r="M6213" s="308" t="s">
        <v>24880</v>
      </c>
      <c r="N6213" s="308"/>
      <c r="O6213" s="308"/>
      <c r="P6213" s="308" t="s">
        <v>24881</v>
      </c>
      <c r="Q6213" s="308" t="s">
        <v>38956</v>
      </c>
      <c r="R6213" s="308" t="s">
        <v>24758</v>
      </c>
      <c r="S6213" s="308" t="s">
        <v>81</v>
      </c>
      <c r="T6213" s="308" t="s">
        <v>75</v>
      </c>
      <c r="U6213" s="308" t="s">
        <v>27</v>
      </c>
      <c r="V6213" s="308"/>
    </row>
    <row r="6214">
      <c r="A6214" s="308">
        <v>6213.0</v>
      </c>
      <c r="B6214" s="308"/>
      <c r="C6214" s="308" t="s">
        <v>24882</v>
      </c>
      <c r="D6214" s="308">
        <f>IFERROR(__xludf.DUMMYFUNCTION("SPLIT(C6214,""-"")"),6234.0)</f>
        <v>6234</v>
      </c>
      <c r="E6214" s="308" t="str">
        <f>IFERROR(__xludf.DUMMYFUNCTION("""COMPUTED_VALUE"""),"B")</f>
        <v>B</v>
      </c>
      <c r="F6214" s="315" t="s">
        <v>26</v>
      </c>
      <c r="G6214" s="308"/>
      <c r="H6214" s="308" t="s">
        <v>24883</v>
      </c>
      <c r="I6214" s="310">
        <v>43590.0</v>
      </c>
      <c r="J6214" s="319">
        <f>IFERROR(__xludf.DUMMYFUNCTION("SPLIT(I6214,""/"")"),5.0)</f>
        <v>5</v>
      </c>
      <c r="K6214" s="308">
        <f>IFERROR(__xludf.DUMMYFUNCTION("""COMPUTED_VALUE"""),5.0)</f>
        <v>5</v>
      </c>
      <c r="L6214" s="308">
        <f>IFERROR(__xludf.DUMMYFUNCTION("""COMPUTED_VALUE"""),2019.0)</f>
        <v>2019</v>
      </c>
      <c r="M6214" s="308" t="s">
        <v>24880</v>
      </c>
      <c r="N6214" s="308"/>
      <c r="O6214" s="308"/>
      <c r="P6214" s="308" t="s">
        <v>38959</v>
      </c>
      <c r="Q6214" s="308" t="s">
        <v>38956</v>
      </c>
      <c r="R6214" s="308" t="s">
        <v>38931</v>
      </c>
      <c r="S6214" s="308" t="s">
        <v>81</v>
      </c>
      <c r="T6214" s="308" t="s">
        <v>75</v>
      </c>
      <c r="U6214" s="308" t="s">
        <v>27</v>
      </c>
      <c r="V6214" s="308"/>
    </row>
    <row r="6215">
      <c r="A6215" s="308">
        <v>6214.0</v>
      </c>
      <c r="B6215" s="308"/>
      <c r="C6215" s="308" t="s">
        <v>24885</v>
      </c>
      <c r="D6215" s="308">
        <f>IFERROR(__xludf.DUMMYFUNCTION("SPLIT(C6215,""-"")"),6235.0)</f>
        <v>6235</v>
      </c>
      <c r="E6215" s="308" t="str">
        <f>IFERROR(__xludf.DUMMYFUNCTION("""COMPUTED_VALUE"""),"K")</f>
        <v>K</v>
      </c>
      <c r="F6215" s="309" t="s">
        <v>34</v>
      </c>
      <c r="G6215" s="308"/>
      <c r="H6215" s="308" t="s">
        <v>24886</v>
      </c>
      <c r="I6215" s="310">
        <v>43551.0</v>
      </c>
      <c r="J6215" s="319">
        <f>IFERROR(__xludf.DUMMYFUNCTION("SPLIT(I6215,""/"")"),27.0)</f>
        <v>27</v>
      </c>
      <c r="K6215" s="308">
        <f>IFERROR(__xludf.DUMMYFUNCTION("""COMPUTED_VALUE"""),3.0)</f>
        <v>3</v>
      </c>
      <c r="L6215" s="308">
        <f>IFERROR(__xludf.DUMMYFUNCTION("""COMPUTED_VALUE"""),2019.0)</f>
        <v>2019</v>
      </c>
      <c r="M6215" s="308" t="s">
        <v>24887</v>
      </c>
      <c r="N6215" s="308"/>
      <c r="O6215" s="308"/>
      <c r="P6215" s="308" t="s">
        <v>24888</v>
      </c>
      <c r="Q6215" s="308" t="s">
        <v>38960</v>
      </c>
      <c r="R6215" s="308" t="s">
        <v>2743</v>
      </c>
      <c r="S6215" s="308" t="s">
        <v>81</v>
      </c>
      <c r="T6215" s="308" t="s">
        <v>75</v>
      </c>
      <c r="U6215" s="308" t="s">
        <v>542</v>
      </c>
      <c r="V6215" s="308"/>
    </row>
    <row r="6216">
      <c r="A6216" s="308">
        <v>6215.0</v>
      </c>
      <c r="B6216" s="308"/>
      <c r="C6216" s="308" t="s">
        <v>24889</v>
      </c>
      <c r="D6216" s="308">
        <f>IFERROR(__xludf.DUMMYFUNCTION("SPLIT(C6216,""-"")"),6236.0)</f>
        <v>6236</v>
      </c>
      <c r="E6216" s="308" t="str">
        <f>IFERROR(__xludf.DUMMYFUNCTION("""COMPUTED_VALUE"""),"B")</f>
        <v>B</v>
      </c>
      <c r="F6216" s="315" t="s">
        <v>26</v>
      </c>
      <c r="G6216" s="308"/>
      <c r="H6216" s="308" t="s">
        <v>24890</v>
      </c>
      <c r="I6216" s="310">
        <v>42763.0</v>
      </c>
      <c r="J6216" s="319">
        <f>IFERROR(__xludf.DUMMYFUNCTION("SPLIT(I6216,""/"")"),28.0)</f>
        <v>28</v>
      </c>
      <c r="K6216" s="308">
        <f>IFERROR(__xludf.DUMMYFUNCTION("""COMPUTED_VALUE"""),1.0)</f>
        <v>1</v>
      </c>
      <c r="L6216" s="308">
        <f>IFERROR(__xludf.DUMMYFUNCTION("""COMPUTED_VALUE"""),2017.0)</f>
        <v>2017</v>
      </c>
      <c r="M6216" s="308" t="s">
        <v>24891</v>
      </c>
      <c r="N6216" s="308" t="s">
        <v>24892</v>
      </c>
      <c r="O6216" s="308"/>
      <c r="P6216" s="308" t="s">
        <v>24893</v>
      </c>
      <c r="Q6216" s="308" t="s">
        <v>38960</v>
      </c>
      <c r="R6216" s="308" t="s">
        <v>20958</v>
      </c>
      <c r="S6216" s="308" t="s">
        <v>49</v>
      </c>
      <c r="T6216" s="311" t="s">
        <v>51</v>
      </c>
      <c r="U6216" s="308" t="s">
        <v>27</v>
      </c>
      <c r="V6216" s="308"/>
    </row>
    <row r="6217">
      <c r="A6217" s="308">
        <v>6216.0</v>
      </c>
      <c r="B6217" s="308"/>
      <c r="C6217" s="308" t="s">
        <v>24894</v>
      </c>
      <c r="D6217" s="308">
        <f>IFERROR(__xludf.DUMMYFUNCTION("SPLIT(C6217,""-"")"),6237.0)</f>
        <v>6237</v>
      </c>
      <c r="E6217" s="308" t="str">
        <f>IFERROR(__xludf.DUMMYFUNCTION("""COMPUTED_VALUE"""),"B")</f>
        <v>B</v>
      </c>
      <c r="F6217" s="315" t="s">
        <v>26</v>
      </c>
      <c r="G6217" s="308"/>
      <c r="H6217" s="308" t="s">
        <v>24895</v>
      </c>
      <c r="I6217" s="310">
        <v>42608.0</v>
      </c>
      <c r="J6217" s="319">
        <f>IFERROR(__xludf.DUMMYFUNCTION("SPLIT(I6217,""/"")"),26.0)</f>
        <v>26</v>
      </c>
      <c r="K6217" s="308">
        <f>IFERROR(__xludf.DUMMYFUNCTION("""COMPUTED_VALUE"""),8.0)</f>
        <v>8</v>
      </c>
      <c r="L6217" s="308">
        <f>IFERROR(__xludf.DUMMYFUNCTION("""COMPUTED_VALUE"""),2016.0)</f>
        <v>2016</v>
      </c>
      <c r="M6217" s="308" t="s">
        <v>24896</v>
      </c>
      <c r="N6217" s="308" t="s">
        <v>24897</v>
      </c>
      <c r="O6217" s="308"/>
      <c r="P6217" s="308" t="s">
        <v>136</v>
      </c>
      <c r="Q6217" s="308" t="s">
        <v>38960</v>
      </c>
      <c r="R6217" s="308" t="s">
        <v>20958</v>
      </c>
      <c r="S6217" s="315" t="s">
        <v>100</v>
      </c>
      <c r="T6217" s="308" t="s">
        <v>34208</v>
      </c>
      <c r="U6217" s="308" t="s">
        <v>27</v>
      </c>
      <c r="V6217" s="308"/>
    </row>
    <row r="6218">
      <c r="A6218" s="308">
        <v>6217.0</v>
      </c>
      <c r="B6218" s="308"/>
      <c r="C6218" s="308" t="s">
        <v>24898</v>
      </c>
      <c r="D6218" s="308">
        <f>IFERROR(__xludf.DUMMYFUNCTION("SPLIT(C6218,""-"")"),6238.0)</f>
        <v>6238</v>
      </c>
      <c r="E6218" s="308" t="str">
        <f>IFERROR(__xludf.DUMMYFUNCTION("""COMPUTED_VALUE"""),"B")</f>
        <v>B</v>
      </c>
      <c r="F6218" s="315" t="s">
        <v>26</v>
      </c>
      <c r="G6218" s="308"/>
      <c r="H6218" s="308" t="s">
        <v>24899</v>
      </c>
      <c r="I6218" s="310">
        <v>42593.0</v>
      </c>
      <c r="J6218" s="319">
        <f>IFERROR(__xludf.DUMMYFUNCTION("SPLIT(I6218,""/"")"),11.0)</f>
        <v>11</v>
      </c>
      <c r="K6218" s="308">
        <f>IFERROR(__xludf.DUMMYFUNCTION("""COMPUTED_VALUE"""),8.0)</f>
        <v>8</v>
      </c>
      <c r="L6218" s="308">
        <f>IFERROR(__xludf.DUMMYFUNCTION("""COMPUTED_VALUE"""),2016.0)</f>
        <v>2016</v>
      </c>
      <c r="M6218" s="308" t="s">
        <v>24900</v>
      </c>
      <c r="N6218" s="308" t="s">
        <v>24901</v>
      </c>
      <c r="O6218" s="308"/>
      <c r="P6218" s="308" t="s">
        <v>38961</v>
      </c>
      <c r="Q6218" s="308" t="s">
        <v>38960</v>
      </c>
      <c r="R6218" s="308" t="s">
        <v>20958</v>
      </c>
      <c r="S6218" s="308" t="s">
        <v>81</v>
      </c>
      <c r="T6218" s="311" t="s">
        <v>96</v>
      </c>
      <c r="U6218" s="308" t="s">
        <v>27</v>
      </c>
      <c r="V6218" s="308"/>
    </row>
    <row r="6219">
      <c r="A6219" s="308">
        <v>6218.0</v>
      </c>
      <c r="B6219" s="308"/>
      <c r="C6219" s="308" t="s">
        <v>24903</v>
      </c>
      <c r="D6219" s="308">
        <f>IFERROR(__xludf.DUMMYFUNCTION("SPLIT(C6219,""-"")"),6239.0)</f>
        <v>6239</v>
      </c>
      <c r="E6219" s="308" t="str">
        <f>IFERROR(__xludf.DUMMYFUNCTION("""COMPUTED_VALUE"""),"K")</f>
        <v>K</v>
      </c>
      <c r="F6219" s="309" t="s">
        <v>34</v>
      </c>
      <c r="G6219" s="308"/>
      <c r="H6219" s="308" t="s">
        <v>24904</v>
      </c>
      <c r="I6219" s="310">
        <v>43471.0</v>
      </c>
      <c r="J6219" s="319">
        <f>IFERROR(__xludf.DUMMYFUNCTION("SPLIT(I6219,""/"")"),6.0)</f>
        <v>6</v>
      </c>
      <c r="K6219" s="308">
        <f>IFERROR(__xludf.DUMMYFUNCTION("""COMPUTED_VALUE"""),1.0)</f>
        <v>1</v>
      </c>
      <c r="L6219" s="308">
        <f>IFERROR(__xludf.DUMMYFUNCTION("""COMPUTED_VALUE"""),2019.0)</f>
        <v>2019</v>
      </c>
      <c r="M6219" s="308" t="s">
        <v>24905</v>
      </c>
      <c r="N6219" s="308"/>
      <c r="O6219" s="308" t="s">
        <v>38962</v>
      </c>
      <c r="P6219" s="308" t="s">
        <v>24907</v>
      </c>
      <c r="Q6219" s="308" t="s">
        <v>38960</v>
      </c>
      <c r="R6219" s="308" t="s">
        <v>2743</v>
      </c>
      <c r="S6219" s="308" t="s">
        <v>81</v>
      </c>
      <c r="T6219" s="311" t="s">
        <v>96</v>
      </c>
      <c r="U6219" s="308" t="s">
        <v>125</v>
      </c>
      <c r="V6219" s="308"/>
    </row>
    <row r="6220">
      <c r="A6220" s="308">
        <v>6219.0</v>
      </c>
      <c r="B6220" s="308"/>
      <c r="C6220" s="308" t="s">
        <v>24908</v>
      </c>
      <c r="D6220" s="308">
        <f>IFERROR(__xludf.DUMMYFUNCTION("SPLIT(C6220,""-"")"),6240.0)</f>
        <v>6240</v>
      </c>
      <c r="E6220" s="308" t="str">
        <f>IFERROR(__xludf.DUMMYFUNCTION("""COMPUTED_VALUE"""),"B")</f>
        <v>B</v>
      </c>
      <c r="F6220" s="315" t="s">
        <v>26</v>
      </c>
      <c r="G6220" s="308"/>
      <c r="H6220" s="308" t="s">
        <v>24909</v>
      </c>
      <c r="I6220" s="314">
        <v>39811.0</v>
      </c>
      <c r="J6220" s="319">
        <f>IFERROR(__xludf.DUMMYFUNCTION("SPLIT(I6220,""/"")"),29.0)</f>
        <v>29</v>
      </c>
      <c r="K6220" s="308">
        <f>IFERROR(__xludf.DUMMYFUNCTION("""COMPUTED_VALUE"""),12.0)</f>
        <v>12</v>
      </c>
      <c r="L6220" s="308">
        <f>IFERROR(__xludf.DUMMYFUNCTION("""COMPUTED_VALUE"""),2008.0)</f>
        <v>2008</v>
      </c>
      <c r="M6220" s="308" t="s">
        <v>24910</v>
      </c>
      <c r="N6220" s="308"/>
      <c r="O6220" s="308"/>
      <c r="P6220" s="308" t="s">
        <v>38963</v>
      </c>
      <c r="Q6220" s="308" t="s">
        <v>38960</v>
      </c>
      <c r="R6220" s="308" t="s">
        <v>20958</v>
      </c>
      <c r="S6220" s="308" t="s">
        <v>49</v>
      </c>
      <c r="T6220" s="308" t="s">
        <v>51</v>
      </c>
      <c r="U6220" s="308" t="s">
        <v>27</v>
      </c>
      <c r="V6220" s="308"/>
    </row>
    <row r="6221">
      <c r="A6221" s="308">
        <v>6220.0</v>
      </c>
      <c r="B6221" s="308"/>
      <c r="C6221" s="308" t="s">
        <v>24912</v>
      </c>
      <c r="D6221" s="308">
        <f>IFERROR(__xludf.DUMMYFUNCTION("SPLIT(C6221,""-"")"),6241.0)</f>
        <v>6241</v>
      </c>
      <c r="E6221" s="308" t="str">
        <f>IFERROR(__xludf.DUMMYFUNCTION("""COMPUTED_VALUE"""),"B")</f>
        <v>B</v>
      </c>
      <c r="F6221" s="315" t="s">
        <v>26</v>
      </c>
      <c r="G6221" s="308"/>
      <c r="H6221" s="308" t="s">
        <v>24913</v>
      </c>
      <c r="I6221" s="310">
        <v>43260.0</v>
      </c>
      <c r="J6221" s="319">
        <f>IFERROR(__xludf.DUMMYFUNCTION("SPLIT(I6221,""/"")"),9.0)</f>
        <v>9</v>
      </c>
      <c r="K6221" s="308">
        <f>IFERROR(__xludf.DUMMYFUNCTION("""COMPUTED_VALUE"""),6.0)</f>
        <v>6</v>
      </c>
      <c r="L6221" s="308">
        <f>IFERROR(__xludf.DUMMYFUNCTION("""COMPUTED_VALUE"""),2018.0)</f>
        <v>2018</v>
      </c>
      <c r="M6221" s="308" t="s">
        <v>24914</v>
      </c>
      <c r="N6221" s="308" t="s">
        <v>24915</v>
      </c>
      <c r="O6221" s="308"/>
      <c r="P6221" s="308" t="s">
        <v>38964</v>
      </c>
      <c r="Q6221" s="308" t="s">
        <v>38960</v>
      </c>
      <c r="R6221" s="308" t="s">
        <v>20958</v>
      </c>
      <c r="S6221" s="308" t="s">
        <v>81</v>
      </c>
      <c r="T6221" s="309" t="s">
        <v>61</v>
      </c>
      <c r="U6221" s="308" t="s">
        <v>27</v>
      </c>
      <c r="V6221" s="308"/>
    </row>
    <row r="6222">
      <c r="A6222" s="308">
        <v>6221.0</v>
      </c>
      <c r="B6222" s="308"/>
      <c r="C6222" s="308" t="s">
        <v>24917</v>
      </c>
      <c r="D6222" s="308">
        <f>IFERROR(__xludf.DUMMYFUNCTION("SPLIT(C6222,""-"")"),6242.0)</f>
        <v>6242</v>
      </c>
      <c r="E6222" s="308" t="str">
        <f>IFERROR(__xludf.DUMMYFUNCTION("""COMPUTED_VALUE"""),"S")</f>
        <v>S</v>
      </c>
      <c r="F6222" s="312" t="s">
        <v>39</v>
      </c>
      <c r="G6222" s="308"/>
      <c r="H6222" s="308" t="s">
        <v>24918</v>
      </c>
      <c r="I6222" s="310">
        <v>42917.0</v>
      </c>
      <c r="J6222" s="319">
        <f>IFERROR(__xludf.DUMMYFUNCTION("SPLIT(I6222,""/"")"),1.0)</f>
        <v>1</v>
      </c>
      <c r="K6222" s="308">
        <f>IFERROR(__xludf.DUMMYFUNCTION("""COMPUTED_VALUE"""),7.0)</f>
        <v>7</v>
      </c>
      <c r="L6222" s="308">
        <f>IFERROR(__xludf.DUMMYFUNCTION("""COMPUTED_VALUE"""),2017.0)</f>
        <v>2017</v>
      </c>
      <c r="M6222" s="308" t="s">
        <v>24919</v>
      </c>
      <c r="N6222" s="308" t="s">
        <v>24920</v>
      </c>
      <c r="O6222" s="308"/>
      <c r="P6222" s="308" t="s">
        <v>136</v>
      </c>
      <c r="Q6222" s="308" t="s">
        <v>38960</v>
      </c>
      <c r="R6222" s="308" t="s">
        <v>24395</v>
      </c>
      <c r="S6222" s="315" t="s">
        <v>100</v>
      </c>
      <c r="T6222" s="308" t="s">
        <v>34208</v>
      </c>
      <c r="U6222" s="308" t="s">
        <v>166</v>
      </c>
      <c r="V6222" s="308"/>
    </row>
    <row r="6223">
      <c r="A6223" s="308">
        <v>6222.0</v>
      </c>
      <c r="B6223" s="308"/>
      <c r="C6223" s="308" t="s">
        <v>24921</v>
      </c>
      <c r="D6223" s="308">
        <f>IFERROR(__xludf.DUMMYFUNCTION("SPLIT(C6223,""-"")"),6243.0)</f>
        <v>6243</v>
      </c>
      <c r="E6223" s="308" t="str">
        <f>IFERROR(__xludf.DUMMYFUNCTION("""COMPUTED_VALUE"""),"K")</f>
        <v>K</v>
      </c>
      <c r="F6223" s="309" t="s">
        <v>34</v>
      </c>
      <c r="G6223" s="308"/>
      <c r="H6223" s="308" t="s">
        <v>24922</v>
      </c>
      <c r="I6223" s="314">
        <v>41929.0</v>
      </c>
      <c r="J6223" s="319">
        <f>IFERROR(__xludf.DUMMYFUNCTION("SPLIT(I6223,""/"")"),17.0)</f>
        <v>17</v>
      </c>
      <c r="K6223" s="308">
        <f>IFERROR(__xludf.DUMMYFUNCTION("""COMPUTED_VALUE"""),10.0)</f>
        <v>10</v>
      </c>
      <c r="L6223" s="308">
        <f>IFERROR(__xludf.DUMMYFUNCTION("""COMPUTED_VALUE"""),2014.0)</f>
        <v>2014</v>
      </c>
      <c r="M6223" s="308" t="s">
        <v>24923</v>
      </c>
      <c r="N6223" s="308"/>
      <c r="O6223" s="308" t="s">
        <v>24924</v>
      </c>
      <c r="P6223" s="308" t="s">
        <v>136</v>
      </c>
      <c r="Q6223" s="308" t="s">
        <v>38960</v>
      </c>
      <c r="R6223" s="308" t="s">
        <v>2743</v>
      </c>
      <c r="S6223" s="315" t="s">
        <v>100</v>
      </c>
      <c r="T6223" s="308" t="s">
        <v>34208</v>
      </c>
      <c r="U6223" s="308" t="s">
        <v>125</v>
      </c>
      <c r="V6223" s="308"/>
    </row>
    <row r="6224">
      <c r="A6224" s="308">
        <v>6223.0</v>
      </c>
      <c r="B6224" s="308"/>
      <c r="C6224" s="308" t="s">
        <v>24925</v>
      </c>
      <c r="D6224" s="308">
        <f>IFERROR(__xludf.DUMMYFUNCTION("SPLIT(C6224,""-"")"),6244.0)</f>
        <v>6244</v>
      </c>
      <c r="E6224" s="308" t="str">
        <f>IFERROR(__xludf.DUMMYFUNCTION("""COMPUTED_VALUE"""),"K")</f>
        <v>K</v>
      </c>
      <c r="F6224" s="309" t="s">
        <v>34</v>
      </c>
      <c r="G6224" s="308"/>
      <c r="H6224" s="308" t="s">
        <v>24926</v>
      </c>
      <c r="I6224" s="314">
        <v>42660.0</v>
      </c>
      <c r="J6224" s="319">
        <f>IFERROR(__xludf.DUMMYFUNCTION("SPLIT(I6224,""/"")"),17.0)</f>
        <v>17</v>
      </c>
      <c r="K6224" s="308">
        <f>IFERROR(__xludf.DUMMYFUNCTION("""COMPUTED_VALUE"""),10.0)</f>
        <v>10</v>
      </c>
      <c r="L6224" s="308">
        <f>IFERROR(__xludf.DUMMYFUNCTION("""COMPUTED_VALUE"""),2016.0)</f>
        <v>2016</v>
      </c>
      <c r="M6224" s="308" t="s">
        <v>24927</v>
      </c>
      <c r="N6224" s="308"/>
      <c r="O6224" s="308" t="s">
        <v>24928</v>
      </c>
      <c r="P6224" s="308" t="s">
        <v>136</v>
      </c>
      <c r="Q6224" s="308" t="s">
        <v>38960</v>
      </c>
      <c r="R6224" s="308" t="s">
        <v>2743</v>
      </c>
      <c r="S6224" s="315" t="s">
        <v>100</v>
      </c>
      <c r="T6224" s="308" t="s">
        <v>34208</v>
      </c>
      <c r="U6224" s="308" t="s">
        <v>125</v>
      </c>
      <c r="V6224" s="308"/>
    </row>
    <row r="6225">
      <c r="A6225" s="308">
        <v>6224.0</v>
      </c>
      <c r="B6225" s="308"/>
      <c r="C6225" s="308" t="s">
        <v>24929</v>
      </c>
      <c r="D6225" s="308">
        <f>IFERROR(__xludf.DUMMYFUNCTION("SPLIT(C6225,""-"")"),6245.0)</f>
        <v>6245</v>
      </c>
      <c r="E6225" s="308" t="str">
        <f>IFERROR(__xludf.DUMMYFUNCTION("""COMPUTED_VALUE"""),"K")</f>
        <v>K</v>
      </c>
      <c r="F6225" s="309" t="s">
        <v>34</v>
      </c>
      <c r="G6225" s="308"/>
      <c r="H6225" s="308" t="s">
        <v>24930</v>
      </c>
      <c r="I6225" s="310">
        <v>41817.0</v>
      </c>
      <c r="J6225" s="319">
        <f>IFERROR(__xludf.DUMMYFUNCTION("SPLIT(I6225,""/"")"),27.0)</f>
        <v>27</v>
      </c>
      <c r="K6225" s="308">
        <f>IFERROR(__xludf.DUMMYFUNCTION("""COMPUTED_VALUE"""),6.0)</f>
        <v>6</v>
      </c>
      <c r="L6225" s="308">
        <f>IFERROR(__xludf.DUMMYFUNCTION("""COMPUTED_VALUE"""),2014.0)</f>
        <v>2014</v>
      </c>
      <c r="M6225" s="308" t="s">
        <v>24931</v>
      </c>
      <c r="N6225" s="308"/>
      <c r="O6225" s="308"/>
      <c r="P6225" s="308" t="s">
        <v>24932</v>
      </c>
      <c r="Q6225" s="308" t="s">
        <v>38965</v>
      </c>
      <c r="R6225" s="308" t="s">
        <v>38931</v>
      </c>
      <c r="S6225" s="308" t="s">
        <v>81</v>
      </c>
      <c r="T6225" s="308" t="s">
        <v>34264</v>
      </c>
      <c r="U6225" s="308" t="s">
        <v>542</v>
      </c>
      <c r="V6225" s="308"/>
    </row>
    <row r="6226">
      <c r="A6226" s="308">
        <v>6225.0</v>
      </c>
      <c r="B6226" s="308"/>
      <c r="C6226" s="308" t="s">
        <v>24933</v>
      </c>
      <c r="D6226" s="308">
        <f>IFERROR(__xludf.DUMMYFUNCTION("SPLIT(C6226,""-"")"),6246.0)</f>
        <v>6246</v>
      </c>
      <c r="E6226" s="308" t="str">
        <f>IFERROR(__xludf.DUMMYFUNCTION("""COMPUTED_VALUE"""),"P")</f>
        <v>P</v>
      </c>
      <c r="F6226" s="312" t="s">
        <v>37</v>
      </c>
      <c r="G6226" s="308"/>
      <c r="H6226" s="308" t="s">
        <v>24934</v>
      </c>
      <c r="I6226" s="310">
        <v>40596.0</v>
      </c>
      <c r="J6226" s="319">
        <f>IFERROR(__xludf.DUMMYFUNCTION("SPLIT(I6226,""/"")"),22.0)</f>
        <v>22</v>
      </c>
      <c r="K6226" s="308">
        <f>IFERROR(__xludf.DUMMYFUNCTION("""COMPUTED_VALUE"""),2.0)</f>
        <v>2</v>
      </c>
      <c r="L6226" s="308">
        <f>IFERROR(__xludf.DUMMYFUNCTION("""COMPUTED_VALUE"""),2011.0)</f>
        <v>2011</v>
      </c>
      <c r="M6226" s="308" t="s">
        <v>24935</v>
      </c>
      <c r="N6226" s="308" t="s">
        <v>24936</v>
      </c>
      <c r="O6226" s="308"/>
      <c r="P6226" s="308" t="s">
        <v>136</v>
      </c>
      <c r="Q6226" s="308" t="s">
        <v>38965</v>
      </c>
      <c r="R6226" s="308" t="s">
        <v>38931</v>
      </c>
      <c r="S6226" s="315" t="s">
        <v>100</v>
      </c>
      <c r="T6226" s="308" t="s">
        <v>34208</v>
      </c>
      <c r="U6226" s="308" t="s">
        <v>149</v>
      </c>
      <c r="V6226" s="308"/>
    </row>
    <row r="6227">
      <c r="A6227" s="308">
        <v>6226.0</v>
      </c>
      <c r="B6227" s="308"/>
      <c r="C6227" s="308" t="s">
        <v>24937</v>
      </c>
      <c r="D6227" s="308">
        <f>IFERROR(__xludf.DUMMYFUNCTION("SPLIT(C6227,""-"")"),6247.0)</f>
        <v>6247</v>
      </c>
      <c r="E6227" s="308" t="str">
        <f>IFERROR(__xludf.DUMMYFUNCTION("""COMPUTED_VALUE"""),"B")</f>
        <v>B</v>
      </c>
      <c r="F6227" s="315" t="s">
        <v>26</v>
      </c>
      <c r="G6227" s="308"/>
      <c r="H6227" s="308" t="s">
        <v>24938</v>
      </c>
      <c r="I6227" s="310">
        <v>42444.0</v>
      </c>
      <c r="J6227" s="319">
        <f>IFERROR(__xludf.DUMMYFUNCTION("SPLIT(I6227,""/"")"),15.0)</f>
        <v>15</v>
      </c>
      <c r="K6227" s="308">
        <f>IFERROR(__xludf.DUMMYFUNCTION("""COMPUTED_VALUE"""),3.0)</f>
        <v>3</v>
      </c>
      <c r="L6227" s="308">
        <f>IFERROR(__xludf.DUMMYFUNCTION("""COMPUTED_VALUE"""),2016.0)</f>
        <v>2016</v>
      </c>
      <c r="M6227" s="308" t="s">
        <v>24939</v>
      </c>
      <c r="N6227" s="308" t="s">
        <v>24940</v>
      </c>
      <c r="O6227" s="308"/>
      <c r="P6227" s="308" t="s">
        <v>24941</v>
      </c>
      <c r="Q6227" s="308" t="s">
        <v>38965</v>
      </c>
      <c r="R6227" s="308" t="s">
        <v>38931</v>
      </c>
      <c r="S6227" s="308" t="s">
        <v>81</v>
      </c>
      <c r="T6227" s="311" t="s">
        <v>96</v>
      </c>
      <c r="U6227" s="308" t="s">
        <v>27</v>
      </c>
      <c r="V6227" s="308"/>
    </row>
    <row r="6228">
      <c r="A6228" s="308">
        <v>6227.0</v>
      </c>
      <c r="B6228" s="308"/>
      <c r="C6228" s="308" t="s">
        <v>24942</v>
      </c>
      <c r="D6228" s="308">
        <f>IFERROR(__xludf.DUMMYFUNCTION("SPLIT(C6228,""-"")"),6248.0)</f>
        <v>6248</v>
      </c>
      <c r="E6228" s="308" t="str">
        <f>IFERROR(__xludf.DUMMYFUNCTION("""COMPUTED_VALUE"""),"P")</f>
        <v>P</v>
      </c>
      <c r="F6228" s="312" t="s">
        <v>37</v>
      </c>
      <c r="G6228" s="308"/>
      <c r="H6228" s="308" t="s">
        <v>24943</v>
      </c>
      <c r="I6228" s="310">
        <v>41009.0</v>
      </c>
      <c r="J6228" s="319">
        <f>IFERROR(__xludf.DUMMYFUNCTION("SPLIT(I6228,""/"")"),10.0)</f>
        <v>10</v>
      </c>
      <c r="K6228" s="308">
        <f>IFERROR(__xludf.DUMMYFUNCTION("""COMPUTED_VALUE"""),4.0)</f>
        <v>4</v>
      </c>
      <c r="L6228" s="308">
        <f>IFERROR(__xludf.DUMMYFUNCTION("""COMPUTED_VALUE"""),2012.0)</f>
        <v>2012</v>
      </c>
      <c r="M6228" s="308" t="s">
        <v>24944</v>
      </c>
      <c r="N6228" s="308" t="s">
        <v>38966</v>
      </c>
      <c r="O6228" s="308"/>
      <c r="P6228" s="308" t="s">
        <v>136</v>
      </c>
      <c r="Q6228" s="308" t="s">
        <v>38965</v>
      </c>
      <c r="R6228" s="308" t="s">
        <v>38931</v>
      </c>
      <c r="S6228" s="315" t="s">
        <v>100</v>
      </c>
      <c r="T6228" s="308" t="s">
        <v>34208</v>
      </c>
      <c r="U6228" s="308" t="s">
        <v>143</v>
      </c>
      <c r="V6228" s="308"/>
    </row>
    <row r="6229">
      <c r="A6229" s="308">
        <v>6228.0</v>
      </c>
      <c r="B6229" s="308"/>
      <c r="C6229" s="308" t="s">
        <v>24946</v>
      </c>
      <c r="D6229" s="308">
        <f>IFERROR(__xludf.DUMMYFUNCTION("SPLIT(C6229,""-"")"),6249.0)</f>
        <v>6249</v>
      </c>
      <c r="E6229" s="308" t="str">
        <f>IFERROR(__xludf.DUMMYFUNCTION("""COMPUTED_VALUE"""),"B")</f>
        <v>B</v>
      </c>
      <c r="F6229" s="315" t="s">
        <v>26</v>
      </c>
      <c r="G6229" s="308"/>
      <c r="H6229" s="308" t="s">
        <v>24947</v>
      </c>
      <c r="I6229" s="310">
        <v>41716.0</v>
      </c>
      <c r="J6229" s="319">
        <f>IFERROR(__xludf.DUMMYFUNCTION("SPLIT(I6229,""/"")"),18.0)</f>
        <v>18</v>
      </c>
      <c r="K6229" s="308">
        <f>IFERROR(__xludf.DUMMYFUNCTION("""COMPUTED_VALUE"""),3.0)</f>
        <v>3</v>
      </c>
      <c r="L6229" s="308">
        <f>IFERROR(__xludf.DUMMYFUNCTION("""COMPUTED_VALUE"""),2014.0)</f>
        <v>2014</v>
      </c>
      <c r="M6229" s="308" t="s">
        <v>24948</v>
      </c>
      <c r="N6229" s="308"/>
      <c r="O6229" s="308"/>
      <c r="P6229" s="308" t="s">
        <v>136</v>
      </c>
      <c r="Q6229" s="308" t="s">
        <v>38965</v>
      </c>
      <c r="R6229" s="308" t="s">
        <v>38931</v>
      </c>
      <c r="S6229" s="315" t="s">
        <v>100</v>
      </c>
      <c r="T6229" s="308" t="s">
        <v>34208</v>
      </c>
      <c r="U6229" s="308" t="s">
        <v>27</v>
      </c>
      <c r="V6229" s="308"/>
    </row>
    <row r="6230">
      <c r="A6230" s="308">
        <v>6229.0</v>
      </c>
      <c r="B6230" s="308"/>
      <c r="C6230" s="308" t="s">
        <v>24949</v>
      </c>
      <c r="D6230" s="308">
        <f>IFERROR(__xludf.DUMMYFUNCTION("SPLIT(C6230,""-"")"),6250.0)</f>
        <v>6250</v>
      </c>
      <c r="E6230" s="308" t="str">
        <f>IFERROR(__xludf.DUMMYFUNCTION("""COMPUTED_VALUE"""),"B")</f>
        <v>B</v>
      </c>
      <c r="F6230" s="315" t="s">
        <v>26</v>
      </c>
      <c r="G6230" s="308"/>
      <c r="H6230" s="308" t="s">
        <v>24950</v>
      </c>
      <c r="I6230" s="310">
        <v>42444.0</v>
      </c>
      <c r="J6230" s="319">
        <f>IFERROR(__xludf.DUMMYFUNCTION("SPLIT(I6230,""/"")"),15.0)</f>
        <v>15</v>
      </c>
      <c r="K6230" s="308">
        <f>IFERROR(__xludf.DUMMYFUNCTION("""COMPUTED_VALUE"""),3.0)</f>
        <v>3</v>
      </c>
      <c r="L6230" s="308">
        <f>IFERROR(__xludf.DUMMYFUNCTION("""COMPUTED_VALUE"""),2016.0)</f>
        <v>2016</v>
      </c>
      <c r="M6230" s="308" t="s">
        <v>24951</v>
      </c>
      <c r="N6230" s="308"/>
      <c r="O6230" s="308"/>
      <c r="P6230" s="308" t="s">
        <v>136</v>
      </c>
      <c r="Q6230" s="308" t="s">
        <v>38965</v>
      </c>
      <c r="R6230" s="308" t="s">
        <v>38931</v>
      </c>
      <c r="S6230" s="315" t="s">
        <v>100</v>
      </c>
      <c r="T6230" s="308" t="s">
        <v>34208</v>
      </c>
      <c r="U6230" s="308" t="s">
        <v>27</v>
      </c>
      <c r="V6230" s="308"/>
    </row>
    <row r="6231">
      <c r="A6231" s="308">
        <v>6230.0</v>
      </c>
      <c r="B6231" s="308"/>
      <c r="C6231" s="308" t="s">
        <v>24952</v>
      </c>
      <c r="D6231" s="308">
        <f>IFERROR(__xludf.DUMMYFUNCTION("SPLIT(C6231,""-"")"),6251.0)</f>
        <v>6251</v>
      </c>
      <c r="E6231" s="308" t="str">
        <f>IFERROR(__xludf.DUMMYFUNCTION("""COMPUTED_VALUE"""),"B")</f>
        <v>B</v>
      </c>
      <c r="F6231" s="315" t="s">
        <v>26</v>
      </c>
      <c r="G6231" s="308"/>
      <c r="H6231" s="308" t="s">
        <v>24953</v>
      </c>
      <c r="I6231" s="310">
        <v>42811.0</v>
      </c>
      <c r="J6231" s="319">
        <f>IFERROR(__xludf.DUMMYFUNCTION("SPLIT(I6231,""/"")"),17.0)</f>
        <v>17</v>
      </c>
      <c r="K6231" s="308">
        <f>IFERROR(__xludf.DUMMYFUNCTION("""COMPUTED_VALUE"""),3.0)</f>
        <v>3</v>
      </c>
      <c r="L6231" s="308">
        <f>IFERROR(__xludf.DUMMYFUNCTION("""COMPUTED_VALUE"""),2017.0)</f>
        <v>2017</v>
      </c>
      <c r="M6231" s="308" t="s">
        <v>24954</v>
      </c>
      <c r="N6231" s="308" t="s">
        <v>24955</v>
      </c>
      <c r="O6231" s="308"/>
      <c r="P6231" s="308" t="s">
        <v>136</v>
      </c>
      <c r="Q6231" s="308" t="s">
        <v>38965</v>
      </c>
      <c r="R6231" s="308" t="s">
        <v>38931</v>
      </c>
      <c r="S6231" s="315" t="s">
        <v>100</v>
      </c>
      <c r="T6231" s="308" t="s">
        <v>34208</v>
      </c>
      <c r="U6231" s="308" t="s">
        <v>27</v>
      </c>
      <c r="V6231" s="308"/>
    </row>
    <row r="6232">
      <c r="A6232" s="308">
        <v>6231.0</v>
      </c>
      <c r="B6232" s="308"/>
      <c r="C6232" s="308" t="s">
        <v>24956</v>
      </c>
      <c r="D6232" s="308">
        <f>IFERROR(__xludf.DUMMYFUNCTION("SPLIT(C6232,""-"")"),6252.0)</f>
        <v>6252</v>
      </c>
      <c r="E6232" s="308" t="str">
        <f>IFERROR(__xludf.DUMMYFUNCTION("""COMPUTED_VALUE"""),"B")</f>
        <v>B</v>
      </c>
      <c r="F6232" s="315" t="s">
        <v>26</v>
      </c>
      <c r="G6232" s="308"/>
      <c r="H6232" s="308" t="s">
        <v>24957</v>
      </c>
      <c r="I6232" s="310">
        <v>42815.0</v>
      </c>
      <c r="J6232" s="319">
        <f>IFERROR(__xludf.DUMMYFUNCTION("SPLIT(I6232,""/"")"),21.0)</f>
        <v>21</v>
      </c>
      <c r="K6232" s="308">
        <f>IFERROR(__xludf.DUMMYFUNCTION("""COMPUTED_VALUE"""),3.0)</f>
        <v>3</v>
      </c>
      <c r="L6232" s="308">
        <f>IFERROR(__xludf.DUMMYFUNCTION("""COMPUTED_VALUE"""),2017.0)</f>
        <v>2017</v>
      </c>
      <c r="M6232" s="308" t="s">
        <v>24958</v>
      </c>
      <c r="N6232" s="308" t="s">
        <v>24959</v>
      </c>
      <c r="O6232" s="308"/>
      <c r="P6232" s="308" t="s">
        <v>136</v>
      </c>
      <c r="Q6232" s="308" t="s">
        <v>38965</v>
      </c>
      <c r="R6232" s="308" t="s">
        <v>38931</v>
      </c>
      <c r="S6232" s="315" t="s">
        <v>100</v>
      </c>
      <c r="T6232" s="308" t="s">
        <v>34208</v>
      </c>
      <c r="U6232" s="308" t="s">
        <v>27</v>
      </c>
      <c r="V6232" s="308"/>
    </row>
    <row r="6233">
      <c r="A6233" s="308">
        <v>6232.0</v>
      </c>
      <c r="B6233" s="308"/>
      <c r="C6233" s="308" t="s">
        <v>24960</v>
      </c>
      <c r="D6233" s="308">
        <f>IFERROR(__xludf.DUMMYFUNCTION("SPLIT(C6233,""-"")"),6253.0)</f>
        <v>6253</v>
      </c>
      <c r="E6233" s="308" t="str">
        <f>IFERROR(__xludf.DUMMYFUNCTION("""COMPUTED_VALUE"""),"P")</f>
        <v>P</v>
      </c>
      <c r="F6233" s="312" t="s">
        <v>37</v>
      </c>
      <c r="G6233" s="308"/>
      <c r="H6233" s="308" t="s">
        <v>24961</v>
      </c>
      <c r="I6233" s="310">
        <v>41356.0</v>
      </c>
      <c r="J6233" s="319">
        <f>IFERROR(__xludf.DUMMYFUNCTION("SPLIT(I6233,""/"")"),23.0)</f>
        <v>23</v>
      </c>
      <c r="K6233" s="308">
        <f>IFERROR(__xludf.DUMMYFUNCTION("""COMPUTED_VALUE"""),3.0)</f>
        <v>3</v>
      </c>
      <c r="L6233" s="308">
        <f>IFERROR(__xludf.DUMMYFUNCTION("""COMPUTED_VALUE"""),2013.0)</f>
        <v>2013</v>
      </c>
      <c r="M6233" s="308" t="s">
        <v>24962</v>
      </c>
      <c r="N6233" s="308" t="s">
        <v>24963</v>
      </c>
      <c r="O6233" s="308"/>
      <c r="P6233" s="308" t="s">
        <v>24964</v>
      </c>
      <c r="Q6233" s="308" t="s">
        <v>38965</v>
      </c>
      <c r="R6233" s="308" t="s">
        <v>38931</v>
      </c>
      <c r="S6233" s="308" t="s">
        <v>81</v>
      </c>
      <c r="T6233" s="308" t="s">
        <v>75</v>
      </c>
      <c r="U6233" s="308" t="s">
        <v>24965</v>
      </c>
      <c r="V6233" s="308"/>
    </row>
    <row r="6234">
      <c r="A6234" s="308">
        <v>6233.0</v>
      </c>
      <c r="B6234" s="308"/>
      <c r="C6234" s="308" t="s">
        <v>24966</v>
      </c>
      <c r="D6234" s="308">
        <f>IFERROR(__xludf.DUMMYFUNCTION("SPLIT(C6234,""-"")"),6254.0)</f>
        <v>6254</v>
      </c>
      <c r="E6234" s="308" t="str">
        <f>IFERROR(__xludf.DUMMYFUNCTION("""COMPUTED_VALUE"""),"K")</f>
        <v>K</v>
      </c>
      <c r="F6234" s="309" t="s">
        <v>34</v>
      </c>
      <c r="G6234" s="308"/>
      <c r="H6234" s="308" t="s">
        <v>24967</v>
      </c>
      <c r="I6234" s="314">
        <v>41994.0</v>
      </c>
      <c r="J6234" s="319">
        <f>IFERROR(__xludf.DUMMYFUNCTION("SPLIT(I6234,""/"")"),21.0)</f>
        <v>21</v>
      </c>
      <c r="K6234" s="308">
        <f>IFERROR(__xludf.DUMMYFUNCTION("""COMPUTED_VALUE"""),12.0)</f>
        <v>12</v>
      </c>
      <c r="L6234" s="308">
        <f>IFERROR(__xludf.DUMMYFUNCTION("""COMPUTED_VALUE"""),2014.0)</f>
        <v>2014</v>
      </c>
      <c r="M6234" s="308" t="s">
        <v>24968</v>
      </c>
      <c r="N6234" s="308"/>
      <c r="O6234" s="308"/>
      <c r="P6234" s="308" t="s">
        <v>38967</v>
      </c>
      <c r="Q6234" s="308" t="s">
        <v>38965</v>
      </c>
      <c r="R6234" s="308" t="s">
        <v>38931</v>
      </c>
      <c r="S6234" s="308" t="s">
        <v>81</v>
      </c>
      <c r="T6234" s="308" t="s">
        <v>73</v>
      </c>
      <c r="U6234" s="308" t="s">
        <v>2097</v>
      </c>
      <c r="V6234" s="308"/>
    </row>
    <row r="6235">
      <c r="A6235" s="308">
        <v>6234.0</v>
      </c>
      <c r="B6235" s="308"/>
      <c r="C6235" s="308" t="s">
        <v>24970</v>
      </c>
      <c r="D6235" s="308">
        <f>IFERROR(__xludf.DUMMYFUNCTION("SPLIT(C6235,""-"")"),6255.0)</f>
        <v>6255</v>
      </c>
      <c r="E6235" s="308" t="str">
        <f>IFERROR(__xludf.DUMMYFUNCTION("""COMPUTED_VALUE"""),"K")</f>
        <v>K</v>
      </c>
      <c r="F6235" s="309" t="s">
        <v>34</v>
      </c>
      <c r="G6235" s="308"/>
      <c r="H6235" s="308" t="s">
        <v>24971</v>
      </c>
      <c r="I6235" s="310">
        <v>41813.0</v>
      </c>
      <c r="J6235" s="319">
        <f>IFERROR(__xludf.DUMMYFUNCTION("SPLIT(I6235,""/"")"),23.0)</f>
        <v>23</v>
      </c>
      <c r="K6235" s="308">
        <f>IFERROR(__xludf.DUMMYFUNCTION("""COMPUTED_VALUE"""),6.0)</f>
        <v>6</v>
      </c>
      <c r="L6235" s="308">
        <f>IFERROR(__xludf.DUMMYFUNCTION("""COMPUTED_VALUE"""),2014.0)</f>
        <v>2014</v>
      </c>
      <c r="M6235" s="308" t="s">
        <v>24972</v>
      </c>
      <c r="N6235" s="308"/>
      <c r="O6235" s="308"/>
      <c r="P6235" s="308" t="s">
        <v>38968</v>
      </c>
      <c r="Q6235" s="308" t="s">
        <v>38965</v>
      </c>
      <c r="R6235" s="308" t="s">
        <v>38931</v>
      </c>
      <c r="S6235" s="308" t="s">
        <v>81</v>
      </c>
      <c r="T6235" s="308" t="s">
        <v>75</v>
      </c>
      <c r="U6235" s="308" t="s">
        <v>125</v>
      </c>
      <c r="V6235" s="308"/>
    </row>
    <row r="6236">
      <c r="A6236" s="308">
        <v>6235.0</v>
      </c>
      <c r="B6236" s="308"/>
      <c r="C6236" s="308" t="s">
        <v>24974</v>
      </c>
      <c r="D6236" s="308">
        <f>IFERROR(__xludf.DUMMYFUNCTION("SPLIT(C6236,""-"")"),6256.0)</f>
        <v>6256</v>
      </c>
      <c r="E6236" s="308" t="str">
        <f>IFERROR(__xludf.DUMMYFUNCTION("""COMPUTED_VALUE"""),"K")</f>
        <v>K</v>
      </c>
      <c r="F6236" s="309" t="s">
        <v>34</v>
      </c>
      <c r="G6236" s="308"/>
      <c r="H6236" s="308" t="s">
        <v>24975</v>
      </c>
      <c r="I6236" s="310">
        <v>42874.0</v>
      </c>
      <c r="J6236" s="319" t="str">
        <f>IFERROR(__xludf.DUMMYFUNCTION("SPLIT(I6236,""/"")"),"#REF!")</f>
        <v>#REF!</v>
      </c>
      <c r="K6236" s="308"/>
      <c r="L6236" s="308">
        <v>2017.0</v>
      </c>
      <c r="M6236" s="308" t="s">
        <v>24976</v>
      </c>
      <c r="N6236" s="308"/>
      <c r="O6236" s="308" t="s">
        <v>24977</v>
      </c>
      <c r="P6236" s="308" t="s">
        <v>24978</v>
      </c>
      <c r="Q6236" s="308" t="s">
        <v>38965</v>
      </c>
      <c r="R6236" s="308" t="s">
        <v>2743</v>
      </c>
      <c r="S6236" s="308" t="s">
        <v>81</v>
      </c>
      <c r="T6236" s="308" t="s">
        <v>34264</v>
      </c>
      <c r="U6236" s="308" t="s">
        <v>125</v>
      </c>
      <c r="V6236" s="308"/>
    </row>
    <row r="6237">
      <c r="A6237" s="308">
        <v>6236.0</v>
      </c>
      <c r="B6237" s="308"/>
      <c r="C6237" s="308" t="s">
        <v>24979</v>
      </c>
      <c r="D6237" s="308">
        <f>IFERROR(__xludf.DUMMYFUNCTION("SPLIT(C6237,""-"")"),6257.0)</f>
        <v>6257</v>
      </c>
      <c r="E6237" s="308" t="str">
        <f>IFERROR(__xludf.DUMMYFUNCTION("""COMPUTED_VALUE"""),"K")</f>
        <v>K</v>
      </c>
      <c r="F6237" s="309" t="s">
        <v>34</v>
      </c>
      <c r="G6237" s="308"/>
      <c r="H6237" s="308" t="s">
        <v>24980</v>
      </c>
      <c r="I6237" s="310">
        <v>42754.0</v>
      </c>
      <c r="J6237" s="319" t="str">
        <f>IFERROR(__xludf.DUMMYFUNCTION("SPLIT(I6237,""/"")"),"#REF!")</f>
        <v>#REF!</v>
      </c>
      <c r="K6237" s="308"/>
      <c r="L6237" s="308">
        <v>2017.0</v>
      </c>
      <c r="M6237" s="308" t="s">
        <v>24981</v>
      </c>
      <c r="N6237" s="308" t="s">
        <v>24982</v>
      </c>
      <c r="O6237" s="308"/>
      <c r="P6237" s="308" t="s">
        <v>38969</v>
      </c>
      <c r="Q6237" s="308" t="s">
        <v>38970</v>
      </c>
      <c r="R6237" s="308" t="s">
        <v>38931</v>
      </c>
      <c r="S6237" s="308" t="s">
        <v>81</v>
      </c>
      <c r="T6237" s="311" t="s">
        <v>90</v>
      </c>
      <c r="U6237" s="308" t="s">
        <v>282</v>
      </c>
      <c r="V6237" s="308"/>
    </row>
    <row r="6238">
      <c r="A6238" s="308">
        <v>6237.0</v>
      </c>
      <c r="B6238" s="308"/>
      <c r="C6238" s="308" t="s">
        <v>24984</v>
      </c>
      <c r="D6238" s="308">
        <f>IFERROR(__xludf.DUMMYFUNCTION("SPLIT(C6238,""-"")"),6258.0)</f>
        <v>6258</v>
      </c>
      <c r="E6238" s="308" t="str">
        <f>IFERROR(__xludf.DUMMYFUNCTION("""COMPUTED_VALUE"""),"F")</f>
        <v>F</v>
      </c>
      <c r="F6238" s="309" t="s">
        <v>34</v>
      </c>
      <c r="G6238" s="308"/>
      <c r="H6238" s="308" t="s">
        <v>24985</v>
      </c>
      <c r="I6238" s="310">
        <v>40664.0</v>
      </c>
      <c r="J6238" s="319">
        <f>IFERROR(__xludf.DUMMYFUNCTION("SPLIT(I6238,""/"")"),1.0)</f>
        <v>1</v>
      </c>
      <c r="K6238" s="308">
        <f>IFERROR(__xludf.DUMMYFUNCTION("""COMPUTED_VALUE"""),5.0)</f>
        <v>5</v>
      </c>
      <c r="L6238" s="308">
        <f>IFERROR(__xludf.DUMMYFUNCTION("""COMPUTED_VALUE"""),2011.0)</f>
        <v>2011</v>
      </c>
      <c r="M6238" s="308" t="s">
        <v>24986</v>
      </c>
      <c r="N6238" s="308" t="s">
        <v>439</v>
      </c>
      <c r="O6238" s="308"/>
      <c r="P6238" s="308" t="s">
        <v>38971</v>
      </c>
      <c r="Q6238" s="308" t="s">
        <v>38970</v>
      </c>
      <c r="R6238" s="308" t="s">
        <v>38931</v>
      </c>
      <c r="S6238" s="308" t="s">
        <v>81</v>
      </c>
      <c r="T6238" s="308" t="s">
        <v>73</v>
      </c>
      <c r="U6238" s="308" t="s">
        <v>195</v>
      </c>
      <c r="V6238" s="308"/>
    </row>
    <row r="6239">
      <c r="A6239" s="308">
        <v>6238.0</v>
      </c>
      <c r="B6239" s="308"/>
      <c r="C6239" s="308" t="s">
        <v>24988</v>
      </c>
      <c r="D6239" s="308">
        <f>IFERROR(__xludf.DUMMYFUNCTION("SPLIT(C6239,""-"")"),6259.0)</f>
        <v>6259</v>
      </c>
      <c r="E6239" s="308" t="str">
        <f>IFERROR(__xludf.DUMMYFUNCTION("""COMPUTED_VALUE"""),"B")</f>
        <v>B</v>
      </c>
      <c r="F6239" s="315" t="s">
        <v>26</v>
      </c>
      <c r="G6239" s="308"/>
      <c r="H6239" s="308" t="s">
        <v>24989</v>
      </c>
      <c r="I6239" s="310">
        <v>41735.0</v>
      </c>
      <c r="J6239" s="319">
        <f>IFERROR(__xludf.DUMMYFUNCTION("SPLIT(I6239,""/"")"),6.0)</f>
        <v>6</v>
      </c>
      <c r="K6239" s="308">
        <f>IFERROR(__xludf.DUMMYFUNCTION("""COMPUTED_VALUE"""),4.0)</f>
        <v>4</v>
      </c>
      <c r="L6239" s="308">
        <f>IFERROR(__xludf.DUMMYFUNCTION("""COMPUTED_VALUE"""),2014.0)</f>
        <v>2014</v>
      </c>
      <c r="M6239" s="308" t="s">
        <v>24990</v>
      </c>
      <c r="N6239" s="308"/>
      <c r="O6239" s="308"/>
      <c r="P6239" s="308"/>
      <c r="Q6239" s="308" t="s">
        <v>38970</v>
      </c>
      <c r="R6239" s="308" t="s">
        <v>38931</v>
      </c>
      <c r="S6239" s="308" t="s">
        <v>79</v>
      </c>
      <c r="T6239" s="308" t="s">
        <v>79</v>
      </c>
      <c r="U6239" s="308" t="s">
        <v>27</v>
      </c>
      <c r="V6239" s="308"/>
    </row>
    <row r="6240">
      <c r="A6240" s="308">
        <v>6239.0</v>
      </c>
      <c r="B6240" s="308"/>
      <c r="C6240" s="308" t="s">
        <v>24991</v>
      </c>
      <c r="D6240" s="308">
        <f>IFERROR(__xludf.DUMMYFUNCTION("SPLIT(C6240,""-"")"),6260.0)</f>
        <v>6260</v>
      </c>
      <c r="E6240" s="308" t="str">
        <f>IFERROR(__xludf.DUMMYFUNCTION("""COMPUTED_VALUE"""),"P")</f>
        <v>P</v>
      </c>
      <c r="F6240" s="312" t="s">
        <v>37</v>
      </c>
      <c r="G6240" s="308"/>
      <c r="H6240" s="308" t="s">
        <v>24992</v>
      </c>
      <c r="I6240" s="314">
        <v>43091.0</v>
      </c>
      <c r="J6240" s="319">
        <f>IFERROR(__xludf.DUMMYFUNCTION("SPLIT(I6240,""/"")"),22.0)</f>
        <v>22</v>
      </c>
      <c r="K6240" s="308">
        <f>IFERROR(__xludf.DUMMYFUNCTION("""COMPUTED_VALUE"""),12.0)</f>
        <v>12</v>
      </c>
      <c r="L6240" s="308">
        <f>IFERROR(__xludf.DUMMYFUNCTION("""COMPUTED_VALUE"""),2017.0)</f>
        <v>2017</v>
      </c>
      <c r="M6240" s="308" t="s">
        <v>24993</v>
      </c>
      <c r="N6240" s="308" t="s">
        <v>24994</v>
      </c>
      <c r="O6240" s="308"/>
      <c r="P6240" s="308" t="s">
        <v>24995</v>
      </c>
      <c r="Q6240" s="308" t="s">
        <v>38970</v>
      </c>
      <c r="R6240" s="308" t="s">
        <v>38931</v>
      </c>
      <c r="S6240" s="308" t="s">
        <v>81</v>
      </c>
      <c r="T6240" s="311" t="s">
        <v>51</v>
      </c>
      <c r="U6240" s="308" t="s">
        <v>2692</v>
      </c>
      <c r="V6240" s="308"/>
    </row>
    <row r="6241">
      <c r="A6241" s="308">
        <v>6240.0</v>
      </c>
      <c r="B6241" s="308"/>
      <c r="C6241" s="308" t="s">
        <v>24996</v>
      </c>
      <c r="D6241" s="308">
        <f>IFERROR(__xludf.DUMMYFUNCTION("SPLIT(C6241,""-"")"),6261.0)</f>
        <v>6261</v>
      </c>
      <c r="E6241" s="308" t="str">
        <f>IFERROR(__xludf.DUMMYFUNCTION("""COMPUTED_VALUE"""),"F")</f>
        <v>F</v>
      </c>
      <c r="F6241" s="309" t="s">
        <v>34</v>
      </c>
      <c r="G6241" s="308"/>
      <c r="H6241" s="308" t="s">
        <v>24997</v>
      </c>
      <c r="I6241" s="314">
        <v>41983.0</v>
      </c>
      <c r="J6241" s="319">
        <f>IFERROR(__xludf.DUMMYFUNCTION("SPLIT(I6241,""/"")"),10.0)</f>
        <v>10</v>
      </c>
      <c r="K6241" s="308">
        <f>IFERROR(__xludf.DUMMYFUNCTION("""COMPUTED_VALUE"""),12.0)</f>
        <v>12</v>
      </c>
      <c r="L6241" s="308">
        <f>IFERROR(__xludf.DUMMYFUNCTION("""COMPUTED_VALUE"""),2014.0)</f>
        <v>2014</v>
      </c>
      <c r="M6241" s="308" t="s">
        <v>24998</v>
      </c>
      <c r="N6241" s="308"/>
      <c r="O6241" s="308"/>
      <c r="P6241" s="308" t="s">
        <v>136</v>
      </c>
      <c r="Q6241" s="308" t="s">
        <v>38970</v>
      </c>
      <c r="R6241" s="308" t="s">
        <v>38931</v>
      </c>
      <c r="S6241" s="315" t="s">
        <v>100</v>
      </c>
      <c r="T6241" s="308" t="s">
        <v>34208</v>
      </c>
      <c r="U6241" s="308" t="s">
        <v>195</v>
      </c>
      <c r="V6241" s="308"/>
    </row>
    <row r="6242">
      <c r="A6242" s="308">
        <v>6241.0</v>
      </c>
      <c r="B6242" s="308"/>
      <c r="C6242" s="308" t="s">
        <v>24999</v>
      </c>
      <c r="D6242" s="308">
        <f>IFERROR(__xludf.DUMMYFUNCTION("SPLIT(C6242,""-"")"),6262.0)</f>
        <v>6262</v>
      </c>
      <c r="E6242" s="308" t="str">
        <f>IFERROR(__xludf.DUMMYFUNCTION("""COMPUTED_VALUE"""),"K")</f>
        <v>K</v>
      </c>
      <c r="F6242" s="309" t="s">
        <v>34</v>
      </c>
      <c r="G6242" s="308"/>
      <c r="H6242" s="308" t="s">
        <v>25000</v>
      </c>
      <c r="I6242" s="310">
        <v>41421.0</v>
      </c>
      <c r="J6242" s="319">
        <f>IFERROR(__xludf.DUMMYFUNCTION("SPLIT(I6242,""/"")"),27.0)</f>
        <v>27</v>
      </c>
      <c r="K6242" s="308">
        <f>IFERROR(__xludf.DUMMYFUNCTION("""COMPUTED_VALUE"""),5.0)</f>
        <v>5</v>
      </c>
      <c r="L6242" s="308">
        <f>IFERROR(__xludf.DUMMYFUNCTION("""COMPUTED_VALUE"""),2013.0)</f>
        <v>2013</v>
      </c>
      <c r="M6242" s="308" t="s">
        <v>25001</v>
      </c>
      <c r="N6242" s="308"/>
      <c r="O6242" s="308"/>
      <c r="P6242" s="308" t="s">
        <v>38972</v>
      </c>
      <c r="Q6242" s="308" t="s">
        <v>38970</v>
      </c>
      <c r="R6242" s="308" t="s">
        <v>38931</v>
      </c>
      <c r="S6242" s="308" t="s">
        <v>81</v>
      </c>
      <c r="T6242" s="308" t="s">
        <v>75</v>
      </c>
      <c r="U6242" s="308" t="s">
        <v>25003</v>
      </c>
      <c r="V6242" s="308"/>
    </row>
    <row r="6243">
      <c r="A6243" s="308">
        <v>6242.0</v>
      </c>
      <c r="B6243" s="308"/>
      <c r="C6243" s="308" t="s">
        <v>25004</v>
      </c>
      <c r="D6243" s="308">
        <f>IFERROR(__xludf.DUMMYFUNCTION("SPLIT(C6243,""-"")"),6263.0)</f>
        <v>6263</v>
      </c>
      <c r="E6243" s="308" t="str">
        <f>IFERROR(__xludf.DUMMYFUNCTION("""COMPUTED_VALUE"""),"K")</f>
        <v>K</v>
      </c>
      <c r="F6243" s="309" t="s">
        <v>34</v>
      </c>
      <c r="G6243" s="308"/>
      <c r="H6243" s="308" t="s">
        <v>25005</v>
      </c>
      <c r="I6243" s="314">
        <v>41985.0</v>
      </c>
      <c r="J6243" s="319">
        <f>IFERROR(__xludf.DUMMYFUNCTION("SPLIT(I6243,""/"")"),12.0)</f>
        <v>12</v>
      </c>
      <c r="K6243" s="308">
        <f>IFERROR(__xludf.DUMMYFUNCTION("""COMPUTED_VALUE"""),12.0)</f>
        <v>12</v>
      </c>
      <c r="L6243" s="308">
        <f>IFERROR(__xludf.DUMMYFUNCTION("""COMPUTED_VALUE"""),2014.0)</f>
        <v>2014</v>
      </c>
      <c r="M6243" s="308" t="s">
        <v>25006</v>
      </c>
      <c r="N6243" s="308"/>
      <c r="O6243" s="308"/>
      <c r="P6243" s="308" t="s">
        <v>38973</v>
      </c>
      <c r="Q6243" s="308" t="s">
        <v>38970</v>
      </c>
      <c r="R6243" s="308" t="s">
        <v>38931</v>
      </c>
      <c r="S6243" s="308" t="s">
        <v>81</v>
      </c>
      <c r="T6243" s="308" t="s">
        <v>75</v>
      </c>
      <c r="U6243" s="308" t="s">
        <v>4749</v>
      </c>
      <c r="V6243" s="308"/>
    </row>
    <row r="6244">
      <c r="A6244" s="308">
        <v>6243.0</v>
      </c>
      <c r="B6244" s="308"/>
      <c r="C6244" s="308" t="s">
        <v>25008</v>
      </c>
      <c r="D6244" s="308">
        <f>IFERROR(__xludf.DUMMYFUNCTION("SPLIT(C6244,""-"")"),6264.0)</f>
        <v>6264</v>
      </c>
      <c r="E6244" s="308" t="str">
        <f>IFERROR(__xludf.DUMMYFUNCTION("""COMPUTED_VALUE"""),"S")</f>
        <v>S</v>
      </c>
      <c r="F6244" s="312" t="s">
        <v>39</v>
      </c>
      <c r="G6244" s="308"/>
      <c r="H6244" s="308" t="s">
        <v>25009</v>
      </c>
      <c r="I6244" s="310">
        <v>42267.0</v>
      </c>
      <c r="J6244" s="319">
        <f>IFERROR(__xludf.DUMMYFUNCTION("SPLIT(I6244,""/"")"),20.0)</f>
        <v>20</v>
      </c>
      <c r="K6244" s="308">
        <f>IFERROR(__xludf.DUMMYFUNCTION("""COMPUTED_VALUE"""),9.0)</f>
        <v>9</v>
      </c>
      <c r="L6244" s="308">
        <f>IFERROR(__xludf.DUMMYFUNCTION("""COMPUTED_VALUE"""),2015.0)</f>
        <v>2015</v>
      </c>
      <c r="M6244" s="308" t="s">
        <v>25010</v>
      </c>
      <c r="N6244" s="308"/>
      <c r="O6244" s="308"/>
      <c r="P6244" s="308" t="s">
        <v>25011</v>
      </c>
      <c r="Q6244" s="308" t="s">
        <v>38970</v>
      </c>
      <c r="R6244" s="308" t="s">
        <v>38931</v>
      </c>
      <c r="S6244" s="308" t="s">
        <v>81</v>
      </c>
      <c r="T6244" s="308" t="s">
        <v>75</v>
      </c>
      <c r="U6244" s="308" t="s">
        <v>166</v>
      </c>
      <c r="V6244" s="308"/>
    </row>
    <row r="6245">
      <c r="A6245" s="308">
        <v>6244.0</v>
      </c>
      <c r="B6245" s="308"/>
      <c r="C6245" s="308" t="s">
        <v>25012</v>
      </c>
      <c r="D6245" s="308">
        <f>IFERROR(__xludf.DUMMYFUNCTION("SPLIT(C6245,""-"")"),6265.0)</f>
        <v>6265</v>
      </c>
      <c r="E6245" s="308" t="str">
        <f>IFERROR(__xludf.DUMMYFUNCTION("""COMPUTED_VALUE"""),"K")</f>
        <v>K</v>
      </c>
      <c r="F6245" s="309" t="s">
        <v>34</v>
      </c>
      <c r="G6245" s="308"/>
      <c r="H6245" s="308" t="s">
        <v>25013</v>
      </c>
      <c r="I6245" s="310">
        <v>41086.0</v>
      </c>
      <c r="J6245" s="319">
        <f>IFERROR(__xludf.DUMMYFUNCTION("SPLIT(I6245,""/"")"),26.0)</f>
        <v>26</v>
      </c>
      <c r="K6245" s="308">
        <f>IFERROR(__xludf.DUMMYFUNCTION("""COMPUTED_VALUE"""),6.0)</f>
        <v>6</v>
      </c>
      <c r="L6245" s="308">
        <f>IFERROR(__xludf.DUMMYFUNCTION("""COMPUTED_VALUE"""),2012.0)</f>
        <v>2012</v>
      </c>
      <c r="M6245" s="308" t="s">
        <v>25014</v>
      </c>
      <c r="N6245" s="308"/>
      <c r="O6245" s="308"/>
      <c r="P6245" s="308" t="s">
        <v>38974</v>
      </c>
      <c r="Q6245" s="308" t="s">
        <v>38970</v>
      </c>
      <c r="R6245" s="308" t="s">
        <v>38931</v>
      </c>
      <c r="S6245" s="308" t="s">
        <v>81</v>
      </c>
      <c r="T6245" s="308" t="s">
        <v>75</v>
      </c>
      <c r="U6245" s="308" t="s">
        <v>4749</v>
      </c>
      <c r="V6245" s="308"/>
    </row>
    <row r="6246">
      <c r="A6246" s="308">
        <v>6245.0</v>
      </c>
      <c r="B6246" s="308"/>
      <c r="C6246" s="308" t="s">
        <v>25016</v>
      </c>
      <c r="D6246" s="308">
        <f>IFERROR(__xludf.DUMMYFUNCTION("SPLIT(C6246,""-"")"),6266.0)</f>
        <v>6266</v>
      </c>
      <c r="E6246" s="308" t="str">
        <f>IFERROR(__xludf.DUMMYFUNCTION("""COMPUTED_VALUE"""),"S")</f>
        <v>S</v>
      </c>
      <c r="F6246" s="312" t="s">
        <v>39</v>
      </c>
      <c r="G6246" s="308"/>
      <c r="H6246" s="308" t="s">
        <v>25017</v>
      </c>
      <c r="I6246" s="310">
        <v>42341.0</v>
      </c>
      <c r="J6246" s="319">
        <f>IFERROR(__xludf.DUMMYFUNCTION("SPLIT(I6246,""/"")"),3.0)</f>
        <v>3</v>
      </c>
      <c r="K6246" s="308">
        <f>IFERROR(__xludf.DUMMYFUNCTION("""COMPUTED_VALUE"""),12.0)</f>
        <v>12</v>
      </c>
      <c r="L6246" s="308">
        <f>IFERROR(__xludf.DUMMYFUNCTION("""COMPUTED_VALUE"""),2015.0)</f>
        <v>2015</v>
      </c>
      <c r="M6246" s="308" t="s">
        <v>25018</v>
      </c>
      <c r="N6246" s="308"/>
      <c r="O6246" s="308"/>
      <c r="P6246" s="308" t="s">
        <v>38975</v>
      </c>
      <c r="Q6246" s="308" t="s">
        <v>38970</v>
      </c>
      <c r="R6246" s="308" t="s">
        <v>2743</v>
      </c>
      <c r="S6246" s="308" t="s">
        <v>81</v>
      </c>
      <c r="T6246" s="308" t="s">
        <v>34264</v>
      </c>
      <c r="U6246" s="308" t="s">
        <v>166</v>
      </c>
      <c r="V6246" s="308"/>
    </row>
    <row r="6247">
      <c r="A6247" s="308">
        <v>6246.0</v>
      </c>
      <c r="B6247" s="308"/>
      <c r="C6247" s="308" t="s">
        <v>25020</v>
      </c>
      <c r="D6247" s="308">
        <f>IFERROR(__xludf.DUMMYFUNCTION("SPLIT(C6247,""-"")"),6267.0)</f>
        <v>6267</v>
      </c>
      <c r="E6247" s="308" t="str">
        <f>IFERROR(__xludf.DUMMYFUNCTION("""COMPUTED_VALUE"""),"K")</f>
        <v>K</v>
      </c>
      <c r="F6247" s="309" t="s">
        <v>34</v>
      </c>
      <c r="G6247" s="308"/>
      <c r="H6247" s="308" t="s">
        <v>25021</v>
      </c>
      <c r="I6247" s="310">
        <v>42281.0</v>
      </c>
      <c r="J6247" s="319">
        <f>IFERROR(__xludf.DUMMYFUNCTION("SPLIT(I6247,""/"")"),4.0)</f>
        <v>4</v>
      </c>
      <c r="K6247" s="308">
        <f>IFERROR(__xludf.DUMMYFUNCTION("""COMPUTED_VALUE"""),10.0)</f>
        <v>10</v>
      </c>
      <c r="L6247" s="308">
        <f>IFERROR(__xludf.DUMMYFUNCTION("""COMPUTED_VALUE"""),2015.0)</f>
        <v>2015</v>
      </c>
      <c r="M6247" s="308" t="s">
        <v>25022</v>
      </c>
      <c r="N6247" s="308" t="s">
        <v>25023</v>
      </c>
      <c r="O6247" s="308"/>
      <c r="P6247" s="308" t="s">
        <v>136</v>
      </c>
      <c r="Q6247" s="308" t="s">
        <v>38970</v>
      </c>
      <c r="R6247" s="308" t="s">
        <v>2743</v>
      </c>
      <c r="S6247" s="315" t="s">
        <v>100</v>
      </c>
      <c r="T6247" s="308" t="s">
        <v>34208</v>
      </c>
      <c r="U6247" s="308" t="s">
        <v>282</v>
      </c>
      <c r="V6247" s="308"/>
    </row>
    <row r="6248">
      <c r="A6248" s="308">
        <v>6247.0</v>
      </c>
      <c r="B6248" s="308"/>
      <c r="C6248" s="308" t="s">
        <v>25024</v>
      </c>
      <c r="D6248" s="308">
        <f>IFERROR(__xludf.DUMMYFUNCTION("SPLIT(C6248,""-"")"),6268.0)</f>
        <v>6268</v>
      </c>
      <c r="E6248" s="308" t="str">
        <f>IFERROR(__xludf.DUMMYFUNCTION("""COMPUTED_VALUE"""),"P")</f>
        <v>P</v>
      </c>
      <c r="F6248" s="312" t="s">
        <v>37</v>
      </c>
      <c r="G6248" s="308"/>
      <c r="H6248" s="308" t="s">
        <v>25025</v>
      </c>
      <c r="I6248" s="310">
        <v>43670.0</v>
      </c>
      <c r="J6248" s="319">
        <f>IFERROR(__xludf.DUMMYFUNCTION("SPLIT(I6248,""/"")"),24.0)</f>
        <v>24</v>
      </c>
      <c r="K6248" s="308">
        <f>IFERROR(__xludf.DUMMYFUNCTION("""COMPUTED_VALUE"""),7.0)</f>
        <v>7</v>
      </c>
      <c r="L6248" s="308">
        <f>IFERROR(__xludf.DUMMYFUNCTION("""COMPUTED_VALUE"""),2019.0)</f>
        <v>2019</v>
      </c>
      <c r="M6248" s="308" t="s">
        <v>25026</v>
      </c>
      <c r="N6248" s="308" t="s">
        <v>25027</v>
      </c>
      <c r="O6248" s="308"/>
      <c r="P6248" s="308" t="s">
        <v>25028</v>
      </c>
      <c r="Q6248" s="308" t="s">
        <v>38970</v>
      </c>
      <c r="R6248" s="308" t="s">
        <v>2743</v>
      </c>
      <c r="S6248" s="308" t="s">
        <v>81</v>
      </c>
      <c r="T6248" s="308" t="s">
        <v>75</v>
      </c>
      <c r="U6248" s="308" t="s">
        <v>2527</v>
      </c>
      <c r="V6248" s="308"/>
    </row>
    <row r="6249">
      <c r="A6249" s="308">
        <v>6248.0</v>
      </c>
      <c r="B6249" s="308"/>
      <c r="C6249" s="308" t="s">
        <v>25029</v>
      </c>
      <c r="D6249" s="308">
        <f>IFERROR(__xludf.DUMMYFUNCTION("SPLIT(C6249,""-"")"),6269.0)</f>
        <v>6269</v>
      </c>
      <c r="E6249" s="308" t="str">
        <f>IFERROR(__xludf.DUMMYFUNCTION("""COMPUTED_VALUE"""),"S")</f>
        <v>S</v>
      </c>
      <c r="F6249" s="312" t="s">
        <v>39</v>
      </c>
      <c r="G6249" s="308"/>
      <c r="H6249" s="308" t="s">
        <v>25030</v>
      </c>
      <c r="I6249" s="310">
        <v>40577.0</v>
      </c>
      <c r="J6249" s="319">
        <f>IFERROR(__xludf.DUMMYFUNCTION("SPLIT(I6249,""/"")"),3.0)</f>
        <v>3</v>
      </c>
      <c r="K6249" s="308">
        <f>IFERROR(__xludf.DUMMYFUNCTION("""COMPUTED_VALUE"""),2.0)</f>
        <v>2</v>
      </c>
      <c r="L6249" s="308">
        <f>IFERROR(__xludf.DUMMYFUNCTION("""COMPUTED_VALUE"""),2011.0)</f>
        <v>2011</v>
      </c>
      <c r="M6249" s="308" t="s">
        <v>25031</v>
      </c>
      <c r="N6249" s="308" t="s">
        <v>25032</v>
      </c>
      <c r="O6249" s="308"/>
      <c r="P6249" s="308" t="s">
        <v>136</v>
      </c>
      <c r="Q6249" s="308" t="s">
        <v>38970</v>
      </c>
      <c r="R6249" s="308" t="s">
        <v>2743</v>
      </c>
      <c r="S6249" s="315" t="s">
        <v>100</v>
      </c>
      <c r="T6249" s="308" t="s">
        <v>34208</v>
      </c>
      <c r="U6249" s="308" t="s">
        <v>166</v>
      </c>
      <c r="V6249" s="308"/>
    </row>
    <row r="6250">
      <c r="A6250" s="308">
        <v>6249.0</v>
      </c>
      <c r="B6250" s="308"/>
      <c r="C6250" s="308" t="s">
        <v>25033</v>
      </c>
      <c r="D6250" s="308">
        <f>IFERROR(__xludf.DUMMYFUNCTION("SPLIT(C6250,""-"")"),6270.0)</f>
        <v>6270</v>
      </c>
      <c r="E6250" s="308" t="str">
        <f>IFERROR(__xludf.DUMMYFUNCTION("""COMPUTED_VALUE"""),"K")</f>
        <v>K</v>
      </c>
      <c r="F6250" s="309" t="s">
        <v>34</v>
      </c>
      <c r="G6250" s="308"/>
      <c r="H6250" s="308" t="s">
        <v>25034</v>
      </c>
      <c r="I6250" s="310">
        <v>40360.0</v>
      </c>
      <c r="J6250" s="319">
        <f>IFERROR(__xludf.DUMMYFUNCTION("SPLIT(I6250,""/"")"),1.0)</f>
        <v>1</v>
      </c>
      <c r="K6250" s="308">
        <f>IFERROR(__xludf.DUMMYFUNCTION("""COMPUTED_VALUE"""),7.0)</f>
        <v>7</v>
      </c>
      <c r="L6250" s="308">
        <f>IFERROR(__xludf.DUMMYFUNCTION("""COMPUTED_VALUE"""),2010.0)</f>
        <v>2010</v>
      </c>
      <c r="M6250" s="308" t="s">
        <v>25035</v>
      </c>
      <c r="N6250" s="308"/>
      <c r="O6250" s="308"/>
      <c r="P6250" s="308" t="s">
        <v>136</v>
      </c>
      <c r="Q6250" s="308" t="s">
        <v>38970</v>
      </c>
      <c r="R6250" s="308" t="s">
        <v>2743</v>
      </c>
      <c r="S6250" s="315" t="s">
        <v>100</v>
      </c>
      <c r="T6250" s="308" t="s">
        <v>34208</v>
      </c>
      <c r="U6250" s="308" t="s">
        <v>530</v>
      </c>
      <c r="V6250" s="308"/>
    </row>
    <row r="6251">
      <c r="A6251" s="308">
        <v>6250.0</v>
      </c>
      <c r="B6251" s="308"/>
      <c r="C6251" s="308" t="s">
        <v>25036</v>
      </c>
      <c r="D6251" s="308">
        <f>IFERROR(__xludf.DUMMYFUNCTION("SPLIT(C6251,""-"")"),6271.0)</f>
        <v>6271</v>
      </c>
      <c r="E6251" s="308" t="str">
        <f>IFERROR(__xludf.DUMMYFUNCTION("""COMPUTED_VALUE"""),"P")</f>
        <v>P</v>
      </c>
      <c r="F6251" s="312" t="s">
        <v>37</v>
      </c>
      <c r="G6251" s="308"/>
      <c r="H6251" s="308" t="s">
        <v>25037</v>
      </c>
      <c r="I6251" s="310">
        <v>42005.0</v>
      </c>
      <c r="J6251" s="319">
        <f>IFERROR(__xludf.DUMMYFUNCTION("SPLIT(I6251,""/"")"),1.0)</f>
        <v>1</v>
      </c>
      <c r="K6251" s="308">
        <f>IFERROR(__xludf.DUMMYFUNCTION("""COMPUTED_VALUE"""),1.0)</f>
        <v>1</v>
      </c>
      <c r="L6251" s="308">
        <f>IFERROR(__xludf.DUMMYFUNCTION("""COMPUTED_VALUE"""),2015.0)</f>
        <v>2015</v>
      </c>
      <c r="M6251" s="308" t="s">
        <v>25038</v>
      </c>
      <c r="N6251" s="308" t="s">
        <v>25039</v>
      </c>
      <c r="O6251" s="308" t="s">
        <v>25040</v>
      </c>
      <c r="P6251" s="308" t="s">
        <v>38976</v>
      </c>
      <c r="Q6251" s="308" t="s">
        <v>38970</v>
      </c>
      <c r="R6251" s="308" t="s">
        <v>16185</v>
      </c>
      <c r="S6251" s="308" t="s">
        <v>81</v>
      </c>
      <c r="T6251" s="311" t="s">
        <v>63</v>
      </c>
      <c r="U6251" s="308" t="s">
        <v>149</v>
      </c>
      <c r="V6251" s="308"/>
    </row>
    <row r="6252">
      <c r="A6252" s="308">
        <v>6251.0</v>
      </c>
      <c r="B6252" s="308"/>
      <c r="C6252" s="308" t="s">
        <v>25042</v>
      </c>
      <c r="D6252" s="308">
        <f>IFERROR(__xludf.DUMMYFUNCTION("SPLIT(C6252,""-"")"),6272.0)</f>
        <v>6272</v>
      </c>
      <c r="E6252" s="308" t="str">
        <f>IFERROR(__xludf.DUMMYFUNCTION("""COMPUTED_VALUE"""),"P")</f>
        <v>P</v>
      </c>
      <c r="F6252" s="312" t="s">
        <v>37</v>
      </c>
      <c r="G6252" s="308"/>
      <c r="H6252" s="308" t="s">
        <v>25043</v>
      </c>
      <c r="I6252" s="310">
        <v>43620.0</v>
      </c>
      <c r="J6252" s="319">
        <f>IFERROR(__xludf.DUMMYFUNCTION("SPLIT(I6252,""/"")"),4.0)</f>
        <v>4</v>
      </c>
      <c r="K6252" s="308">
        <f>IFERROR(__xludf.DUMMYFUNCTION("""COMPUTED_VALUE"""),6.0)</f>
        <v>6</v>
      </c>
      <c r="L6252" s="308">
        <f>IFERROR(__xludf.DUMMYFUNCTION("""COMPUTED_VALUE"""),2019.0)</f>
        <v>2019</v>
      </c>
      <c r="M6252" s="308" t="s">
        <v>25044</v>
      </c>
      <c r="N6252" s="308"/>
      <c r="O6252" s="308"/>
      <c r="P6252" s="308" t="s">
        <v>38977</v>
      </c>
      <c r="Q6252" s="308" t="s">
        <v>38970</v>
      </c>
      <c r="R6252" s="308" t="s">
        <v>16185</v>
      </c>
      <c r="S6252" s="308" t="s">
        <v>81</v>
      </c>
      <c r="T6252" s="308" t="s">
        <v>73</v>
      </c>
      <c r="U6252" s="308" t="s">
        <v>2291</v>
      </c>
      <c r="V6252" s="308"/>
    </row>
    <row r="6253">
      <c r="A6253" s="308">
        <v>6252.0</v>
      </c>
      <c r="B6253" s="308"/>
      <c r="C6253" s="308" t="s">
        <v>25046</v>
      </c>
      <c r="D6253" s="308">
        <f>IFERROR(__xludf.DUMMYFUNCTION("SPLIT(C6253,""-"")"),6273.0)</f>
        <v>6273</v>
      </c>
      <c r="E6253" s="308" t="str">
        <f>IFERROR(__xludf.DUMMYFUNCTION("""COMPUTED_VALUE"""),"B")</f>
        <v>B</v>
      </c>
      <c r="F6253" s="315" t="s">
        <v>26</v>
      </c>
      <c r="G6253" s="308"/>
      <c r="H6253" s="308" t="s">
        <v>25047</v>
      </c>
      <c r="I6253" s="310">
        <v>43576.0</v>
      </c>
      <c r="J6253" s="319">
        <f>IFERROR(__xludf.DUMMYFUNCTION("SPLIT(I6253,""/"")"),21.0)</f>
        <v>21</v>
      </c>
      <c r="K6253" s="308">
        <f>IFERROR(__xludf.DUMMYFUNCTION("""COMPUTED_VALUE"""),4.0)</f>
        <v>4</v>
      </c>
      <c r="L6253" s="308">
        <f>IFERROR(__xludf.DUMMYFUNCTION("""COMPUTED_VALUE"""),2019.0)</f>
        <v>2019</v>
      </c>
      <c r="M6253" s="308" t="s">
        <v>25048</v>
      </c>
      <c r="N6253" s="308"/>
      <c r="O6253" s="308"/>
      <c r="P6253" s="308" t="s">
        <v>25049</v>
      </c>
      <c r="Q6253" s="308" t="s">
        <v>38978</v>
      </c>
      <c r="R6253" s="308" t="s">
        <v>38931</v>
      </c>
      <c r="S6253" s="308" t="s">
        <v>81</v>
      </c>
      <c r="T6253" s="308" t="s">
        <v>75</v>
      </c>
      <c r="U6253" s="308" t="s">
        <v>27</v>
      </c>
      <c r="V6253" s="308"/>
    </row>
    <row r="6254">
      <c r="A6254" s="308">
        <v>6253.0</v>
      </c>
      <c r="B6254" s="308"/>
      <c r="C6254" s="308" t="s">
        <v>25050</v>
      </c>
      <c r="D6254" s="308">
        <f>IFERROR(__xludf.DUMMYFUNCTION("SPLIT(C6254,""-"")"),6274.0)</f>
        <v>6274</v>
      </c>
      <c r="E6254" s="308" t="str">
        <f>IFERROR(__xludf.DUMMYFUNCTION("""COMPUTED_VALUE"""),"B")</f>
        <v>B</v>
      </c>
      <c r="F6254" s="315" t="s">
        <v>26</v>
      </c>
      <c r="G6254" s="308"/>
      <c r="H6254" s="308" t="s">
        <v>25051</v>
      </c>
      <c r="I6254" s="310">
        <v>43576.0</v>
      </c>
      <c r="J6254" s="319">
        <f>IFERROR(__xludf.DUMMYFUNCTION("SPLIT(I6254,""/"")"),21.0)</f>
        <v>21</v>
      </c>
      <c r="K6254" s="308">
        <f>IFERROR(__xludf.DUMMYFUNCTION("""COMPUTED_VALUE"""),4.0)</f>
        <v>4</v>
      </c>
      <c r="L6254" s="308">
        <f>IFERROR(__xludf.DUMMYFUNCTION("""COMPUTED_VALUE"""),2019.0)</f>
        <v>2019</v>
      </c>
      <c r="M6254" s="308" t="s">
        <v>25048</v>
      </c>
      <c r="N6254" s="308"/>
      <c r="O6254" s="308"/>
      <c r="P6254" s="308" t="s">
        <v>25052</v>
      </c>
      <c r="Q6254" s="308" t="s">
        <v>38978</v>
      </c>
      <c r="R6254" s="308" t="s">
        <v>38931</v>
      </c>
      <c r="S6254" s="308" t="s">
        <v>81</v>
      </c>
      <c r="T6254" s="308" t="s">
        <v>75</v>
      </c>
      <c r="U6254" s="308" t="s">
        <v>27</v>
      </c>
      <c r="V6254" s="308"/>
    </row>
    <row r="6255">
      <c r="A6255" s="308">
        <v>6254.0</v>
      </c>
      <c r="B6255" s="308"/>
      <c r="C6255" s="308" t="s">
        <v>25053</v>
      </c>
      <c r="D6255" s="308">
        <f>IFERROR(__xludf.DUMMYFUNCTION("SPLIT(C6255,""-"")"),6275.0)</f>
        <v>6275</v>
      </c>
      <c r="E6255" s="308" t="str">
        <f>IFERROR(__xludf.DUMMYFUNCTION("""COMPUTED_VALUE"""),"B")</f>
        <v>B</v>
      </c>
      <c r="F6255" s="315" t="s">
        <v>26</v>
      </c>
      <c r="G6255" s="308"/>
      <c r="H6255" s="308" t="s">
        <v>25054</v>
      </c>
      <c r="I6255" s="310">
        <v>43576.0</v>
      </c>
      <c r="J6255" s="319">
        <f>IFERROR(__xludf.DUMMYFUNCTION("SPLIT(I6255,""/"")"),21.0)</f>
        <v>21</v>
      </c>
      <c r="K6255" s="308">
        <f>IFERROR(__xludf.DUMMYFUNCTION("""COMPUTED_VALUE"""),4.0)</f>
        <v>4</v>
      </c>
      <c r="L6255" s="308">
        <f>IFERROR(__xludf.DUMMYFUNCTION("""COMPUTED_VALUE"""),2019.0)</f>
        <v>2019</v>
      </c>
      <c r="M6255" s="308" t="s">
        <v>25048</v>
      </c>
      <c r="N6255" s="308" t="s">
        <v>25055</v>
      </c>
      <c r="O6255" s="308"/>
      <c r="P6255" s="308" t="s">
        <v>38979</v>
      </c>
      <c r="Q6255" s="308" t="s">
        <v>38978</v>
      </c>
      <c r="R6255" s="308" t="s">
        <v>38931</v>
      </c>
      <c r="S6255" s="308" t="s">
        <v>81</v>
      </c>
      <c r="T6255" s="311" t="s">
        <v>96</v>
      </c>
      <c r="U6255" s="308" t="s">
        <v>27</v>
      </c>
      <c r="V6255" s="308"/>
    </row>
    <row r="6256">
      <c r="A6256" s="308">
        <v>6255.0</v>
      </c>
      <c r="B6256" s="308"/>
      <c r="C6256" s="308" t="s">
        <v>25057</v>
      </c>
      <c r="D6256" s="308">
        <f>IFERROR(__xludf.DUMMYFUNCTION("SPLIT(C6256,""-"")"),6276.0)</f>
        <v>6276</v>
      </c>
      <c r="E6256" s="308" t="str">
        <f>IFERROR(__xludf.DUMMYFUNCTION("""COMPUTED_VALUE"""),"B")</f>
        <v>B</v>
      </c>
      <c r="F6256" s="315" t="s">
        <v>26</v>
      </c>
      <c r="G6256" s="308"/>
      <c r="H6256" s="308" t="s">
        <v>25058</v>
      </c>
      <c r="I6256" s="310">
        <v>43576.0</v>
      </c>
      <c r="J6256" s="319">
        <f>IFERROR(__xludf.DUMMYFUNCTION("SPLIT(I6256,""/"")"),21.0)</f>
        <v>21</v>
      </c>
      <c r="K6256" s="308">
        <f>IFERROR(__xludf.DUMMYFUNCTION("""COMPUTED_VALUE"""),4.0)</f>
        <v>4</v>
      </c>
      <c r="L6256" s="308">
        <f>IFERROR(__xludf.DUMMYFUNCTION("""COMPUTED_VALUE"""),2019.0)</f>
        <v>2019</v>
      </c>
      <c r="M6256" s="308" t="s">
        <v>25048</v>
      </c>
      <c r="N6256" s="308" t="s">
        <v>25059</v>
      </c>
      <c r="O6256" s="308"/>
      <c r="P6256" s="308" t="s">
        <v>25052</v>
      </c>
      <c r="Q6256" s="308" t="s">
        <v>38978</v>
      </c>
      <c r="R6256" s="308" t="s">
        <v>38931</v>
      </c>
      <c r="S6256" s="308" t="s">
        <v>81</v>
      </c>
      <c r="T6256" s="308" t="s">
        <v>75</v>
      </c>
      <c r="U6256" s="308" t="s">
        <v>27</v>
      </c>
      <c r="V6256" s="308"/>
    </row>
    <row r="6257">
      <c r="A6257" s="308">
        <v>6256.0</v>
      </c>
      <c r="B6257" s="308"/>
      <c r="C6257" s="308" t="s">
        <v>25060</v>
      </c>
      <c r="D6257" s="308">
        <f>IFERROR(__xludf.DUMMYFUNCTION("SPLIT(C6257,""-"")"),6277.0)</f>
        <v>6277</v>
      </c>
      <c r="E6257" s="308" t="str">
        <f>IFERROR(__xludf.DUMMYFUNCTION("""COMPUTED_VALUE"""),"K")</f>
        <v>K</v>
      </c>
      <c r="F6257" s="309" t="s">
        <v>34</v>
      </c>
      <c r="G6257" s="308"/>
      <c r="H6257" s="308" t="s">
        <v>25061</v>
      </c>
      <c r="I6257" s="310">
        <v>39995.0</v>
      </c>
      <c r="J6257" s="319">
        <f>IFERROR(__xludf.DUMMYFUNCTION("SPLIT(I6257,""/"")"),1.0)</f>
        <v>1</v>
      </c>
      <c r="K6257" s="308">
        <f>IFERROR(__xludf.DUMMYFUNCTION("""COMPUTED_VALUE"""),7.0)</f>
        <v>7</v>
      </c>
      <c r="L6257" s="308">
        <f>IFERROR(__xludf.DUMMYFUNCTION("""COMPUTED_VALUE"""),2009.0)</f>
        <v>2009</v>
      </c>
      <c r="M6257" s="308" t="s">
        <v>25062</v>
      </c>
      <c r="N6257" s="308"/>
      <c r="O6257" s="308" t="s">
        <v>25063</v>
      </c>
      <c r="P6257" s="308" t="s">
        <v>136</v>
      </c>
      <c r="Q6257" s="308" t="s">
        <v>38978</v>
      </c>
      <c r="R6257" s="308" t="s">
        <v>2743</v>
      </c>
      <c r="S6257" s="315" t="s">
        <v>100</v>
      </c>
      <c r="T6257" s="308" t="s">
        <v>34208</v>
      </c>
      <c r="U6257" s="308" t="s">
        <v>4749</v>
      </c>
      <c r="V6257" s="308" t="s">
        <v>25064</v>
      </c>
    </row>
    <row r="6258">
      <c r="A6258" s="308">
        <v>6257.0</v>
      </c>
      <c r="B6258" s="308"/>
      <c r="C6258" s="308" t="s">
        <v>25065</v>
      </c>
      <c r="D6258" s="308">
        <f>IFERROR(__xludf.DUMMYFUNCTION("SPLIT(C6258,""-"")"),6278.0)</f>
        <v>6278</v>
      </c>
      <c r="E6258" s="308" t="str">
        <f>IFERROR(__xludf.DUMMYFUNCTION("""COMPUTED_VALUE"""),"S")</f>
        <v>S</v>
      </c>
      <c r="F6258" s="312" t="s">
        <v>39</v>
      </c>
      <c r="G6258" s="308"/>
      <c r="H6258" s="308" t="s">
        <v>25066</v>
      </c>
      <c r="I6258" s="310">
        <v>43536.0</v>
      </c>
      <c r="J6258" s="319">
        <f>IFERROR(__xludf.DUMMYFUNCTION("SPLIT(I6258,""/"")"),12.0)</f>
        <v>12</v>
      </c>
      <c r="K6258" s="308">
        <f>IFERROR(__xludf.DUMMYFUNCTION("""COMPUTED_VALUE"""),3.0)</f>
        <v>3</v>
      </c>
      <c r="L6258" s="308">
        <f>IFERROR(__xludf.DUMMYFUNCTION("""COMPUTED_VALUE"""),2019.0)</f>
        <v>2019</v>
      </c>
      <c r="M6258" s="308" t="s">
        <v>25067</v>
      </c>
      <c r="N6258" s="308"/>
      <c r="O6258" s="308"/>
      <c r="P6258" s="308" t="s">
        <v>38980</v>
      </c>
      <c r="Q6258" s="308" t="s">
        <v>38981</v>
      </c>
      <c r="R6258" s="308" t="s">
        <v>2743</v>
      </c>
      <c r="S6258" s="308" t="s">
        <v>81</v>
      </c>
      <c r="T6258" s="308" t="s">
        <v>75</v>
      </c>
      <c r="U6258" s="308" t="s">
        <v>166</v>
      </c>
      <c r="V6258" s="308" t="s">
        <v>25069</v>
      </c>
    </row>
    <row r="6259">
      <c r="A6259" s="308">
        <v>6258.0</v>
      </c>
      <c r="B6259" s="308"/>
      <c r="C6259" s="308" t="s">
        <v>25070</v>
      </c>
      <c r="D6259" s="308">
        <f>IFERROR(__xludf.DUMMYFUNCTION("SPLIT(C6259,""-"")"),6279.0)</f>
        <v>6279</v>
      </c>
      <c r="E6259" s="308" t="str">
        <f>IFERROR(__xludf.DUMMYFUNCTION("""COMPUTED_VALUE"""),"S")</f>
        <v>S</v>
      </c>
      <c r="F6259" s="312" t="s">
        <v>39</v>
      </c>
      <c r="G6259" s="308"/>
      <c r="H6259" s="308" t="s">
        <v>25071</v>
      </c>
      <c r="I6259" s="310">
        <v>43536.0</v>
      </c>
      <c r="J6259" s="319">
        <f>IFERROR(__xludf.DUMMYFUNCTION("SPLIT(I6259,""/"")"),12.0)</f>
        <v>12</v>
      </c>
      <c r="K6259" s="308">
        <f>IFERROR(__xludf.DUMMYFUNCTION("""COMPUTED_VALUE"""),3.0)</f>
        <v>3</v>
      </c>
      <c r="L6259" s="308">
        <f>IFERROR(__xludf.DUMMYFUNCTION("""COMPUTED_VALUE"""),2019.0)</f>
        <v>2019</v>
      </c>
      <c r="M6259" s="308" t="s">
        <v>25067</v>
      </c>
      <c r="N6259" s="308"/>
      <c r="O6259" s="308"/>
      <c r="P6259" s="308" t="s">
        <v>25072</v>
      </c>
      <c r="Q6259" s="308" t="s">
        <v>38981</v>
      </c>
      <c r="R6259" s="308" t="s">
        <v>2743</v>
      </c>
      <c r="S6259" s="308" t="s">
        <v>81</v>
      </c>
      <c r="T6259" s="311" t="s">
        <v>51</v>
      </c>
      <c r="U6259" s="308" t="s">
        <v>166</v>
      </c>
      <c r="V6259" s="308"/>
    </row>
    <row r="6260">
      <c r="A6260" s="308">
        <v>6259.0</v>
      </c>
      <c r="B6260" s="308"/>
      <c r="C6260" s="308" t="s">
        <v>25073</v>
      </c>
      <c r="D6260" s="308">
        <f>IFERROR(__xludf.DUMMYFUNCTION("SPLIT(C6260,""-"")"),6280.0)</f>
        <v>6280</v>
      </c>
      <c r="E6260" s="308" t="str">
        <f>IFERROR(__xludf.DUMMYFUNCTION("""COMPUTED_VALUE"""),"K")</f>
        <v>K</v>
      </c>
      <c r="F6260" s="309" t="s">
        <v>34</v>
      </c>
      <c r="G6260" s="308"/>
      <c r="H6260" s="308" t="s">
        <v>25074</v>
      </c>
      <c r="I6260" s="310">
        <v>39995.0</v>
      </c>
      <c r="J6260" s="319">
        <f>IFERROR(__xludf.DUMMYFUNCTION("SPLIT(I6260,""/"")"),1.0)</f>
        <v>1</v>
      </c>
      <c r="K6260" s="308">
        <f>IFERROR(__xludf.DUMMYFUNCTION("""COMPUTED_VALUE"""),7.0)</f>
        <v>7</v>
      </c>
      <c r="L6260" s="308">
        <f>IFERROR(__xludf.DUMMYFUNCTION("""COMPUTED_VALUE"""),2009.0)</f>
        <v>2009</v>
      </c>
      <c r="M6260" s="308" t="s">
        <v>25075</v>
      </c>
      <c r="N6260" s="308" t="s">
        <v>25076</v>
      </c>
      <c r="O6260" s="308"/>
      <c r="P6260" s="308" t="s">
        <v>136</v>
      </c>
      <c r="Q6260" s="308" t="s">
        <v>38981</v>
      </c>
      <c r="R6260" s="308" t="s">
        <v>2743</v>
      </c>
      <c r="S6260" s="315" t="s">
        <v>100</v>
      </c>
      <c r="T6260" s="308" t="s">
        <v>34208</v>
      </c>
      <c r="U6260" s="308" t="s">
        <v>530</v>
      </c>
      <c r="V6260" s="308"/>
    </row>
    <row r="6261">
      <c r="A6261" s="308">
        <v>6260.0</v>
      </c>
      <c r="B6261" s="308"/>
      <c r="C6261" s="308" t="s">
        <v>25077</v>
      </c>
      <c r="D6261" s="308">
        <f>IFERROR(__xludf.DUMMYFUNCTION("SPLIT(C6261,""-"")"),6281.0)</f>
        <v>6281</v>
      </c>
      <c r="E6261" s="308" t="str">
        <f>IFERROR(__xludf.DUMMYFUNCTION("""COMPUTED_VALUE"""),"K")</f>
        <v>K</v>
      </c>
      <c r="F6261" s="309" t="s">
        <v>34</v>
      </c>
      <c r="G6261" s="308"/>
      <c r="H6261" s="308" t="s">
        <v>25078</v>
      </c>
      <c r="I6261" s="314">
        <v>43383.0</v>
      </c>
      <c r="J6261" s="319">
        <f>IFERROR(__xludf.DUMMYFUNCTION("SPLIT(I6261,""/"")"),10.0)</f>
        <v>10</v>
      </c>
      <c r="K6261" s="308">
        <f>IFERROR(__xludf.DUMMYFUNCTION("""COMPUTED_VALUE"""),10.0)</f>
        <v>10</v>
      </c>
      <c r="L6261" s="308">
        <f>IFERROR(__xludf.DUMMYFUNCTION("""COMPUTED_VALUE"""),2018.0)</f>
        <v>2018</v>
      </c>
      <c r="M6261" s="308" t="s">
        <v>25079</v>
      </c>
      <c r="N6261" s="308"/>
      <c r="O6261" s="308" t="s">
        <v>25080</v>
      </c>
      <c r="P6261" s="308" t="s">
        <v>136</v>
      </c>
      <c r="Q6261" s="308" t="s">
        <v>38982</v>
      </c>
      <c r="R6261" s="308" t="s">
        <v>2743</v>
      </c>
      <c r="S6261" s="315" t="s">
        <v>100</v>
      </c>
      <c r="T6261" s="308" t="s">
        <v>34208</v>
      </c>
      <c r="U6261" s="308" t="s">
        <v>125</v>
      </c>
      <c r="V6261" s="308"/>
    </row>
    <row r="6262">
      <c r="A6262" s="308">
        <v>6261.0</v>
      </c>
      <c r="B6262" s="308"/>
      <c r="C6262" s="308" t="s">
        <v>25081</v>
      </c>
      <c r="D6262" s="308">
        <f>IFERROR(__xludf.DUMMYFUNCTION("SPLIT(C6262,""-"")"),6282.0)</f>
        <v>6282</v>
      </c>
      <c r="E6262" s="308" t="str">
        <f>IFERROR(__xludf.DUMMYFUNCTION("""COMPUTED_VALUE"""),"K")</f>
        <v>K</v>
      </c>
      <c r="F6262" s="309" t="s">
        <v>34</v>
      </c>
      <c r="G6262" s="308"/>
      <c r="H6262" s="308" t="s">
        <v>25082</v>
      </c>
      <c r="I6262" s="310">
        <v>40026.0</v>
      </c>
      <c r="J6262" s="319">
        <f>IFERROR(__xludf.DUMMYFUNCTION("SPLIT(I6262,""/"")"),1.0)</f>
        <v>1</v>
      </c>
      <c r="K6262" s="308">
        <f>IFERROR(__xludf.DUMMYFUNCTION("""COMPUTED_VALUE"""),8.0)</f>
        <v>8</v>
      </c>
      <c r="L6262" s="308">
        <f>IFERROR(__xludf.DUMMYFUNCTION("""COMPUTED_VALUE"""),2009.0)</f>
        <v>2009</v>
      </c>
      <c r="M6262" s="308" t="s">
        <v>25083</v>
      </c>
      <c r="N6262" s="308"/>
      <c r="O6262" s="308" t="s">
        <v>25084</v>
      </c>
      <c r="P6262" s="308" t="s">
        <v>136</v>
      </c>
      <c r="Q6262" s="308" t="s">
        <v>38982</v>
      </c>
      <c r="R6262" s="308" t="s">
        <v>2743</v>
      </c>
      <c r="S6262" s="315" t="s">
        <v>100</v>
      </c>
      <c r="T6262" s="308" t="s">
        <v>34208</v>
      </c>
      <c r="U6262" s="308" t="s">
        <v>125</v>
      </c>
      <c r="V6262" s="308"/>
    </row>
    <row r="6263">
      <c r="A6263" s="308">
        <v>6262.0</v>
      </c>
      <c r="B6263" s="308"/>
      <c r="C6263" s="308" t="s">
        <v>25085</v>
      </c>
      <c r="D6263" s="308">
        <f>IFERROR(__xludf.DUMMYFUNCTION("SPLIT(C6263,""-"")"),6283.0)</f>
        <v>6283</v>
      </c>
      <c r="E6263" s="308" t="str">
        <f>IFERROR(__xludf.DUMMYFUNCTION("""COMPUTED_VALUE"""),"K")</f>
        <v>K</v>
      </c>
      <c r="F6263" s="309" t="s">
        <v>34</v>
      </c>
      <c r="G6263" s="308"/>
      <c r="H6263" s="308" t="s">
        <v>25086</v>
      </c>
      <c r="I6263" s="310">
        <v>41396.0</v>
      </c>
      <c r="J6263" s="319">
        <f>IFERROR(__xludf.DUMMYFUNCTION("SPLIT(I6263,""/"")"),2.0)</f>
        <v>2</v>
      </c>
      <c r="K6263" s="308">
        <f>IFERROR(__xludf.DUMMYFUNCTION("""COMPUTED_VALUE"""),5.0)</f>
        <v>5</v>
      </c>
      <c r="L6263" s="308">
        <f>IFERROR(__xludf.DUMMYFUNCTION("""COMPUTED_VALUE"""),2013.0)</f>
        <v>2013</v>
      </c>
      <c r="M6263" s="308" t="s">
        <v>25087</v>
      </c>
      <c r="N6263" s="308"/>
      <c r="O6263" s="308"/>
      <c r="P6263" s="308" t="s">
        <v>38983</v>
      </c>
      <c r="Q6263" s="308" t="s">
        <v>38984</v>
      </c>
      <c r="R6263" s="308" t="s">
        <v>2743</v>
      </c>
      <c r="S6263" s="308" t="s">
        <v>81</v>
      </c>
      <c r="T6263" s="308" t="s">
        <v>34264</v>
      </c>
      <c r="U6263" s="308" t="s">
        <v>125</v>
      </c>
      <c r="V6263" s="308"/>
    </row>
    <row r="6264">
      <c r="A6264" s="308">
        <v>6263.0</v>
      </c>
      <c r="B6264" s="308"/>
      <c r="C6264" s="308" t="s">
        <v>25089</v>
      </c>
      <c r="D6264" s="308">
        <f>IFERROR(__xludf.DUMMYFUNCTION("SPLIT(C6264,""-"")"),6284.0)</f>
        <v>6284</v>
      </c>
      <c r="E6264" s="308" t="str">
        <f>IFERROR(__xludf.DUMMYFUNCTION("""COMPUTED_VALUE"""),"S")</f>
        <v>S</v>
      </c>
      <c r="F6264" s="312" t="s">
        <v>39</v>
      </c>
      <c r="G6264" s="308"/>
      <c r="H6264" s="308" t="s">
        <v>25090</v>
      </c>
      <c r="I6264" s="314">
        <v>41992.0</v>
      </c>
      <c r="J6264" s="319">
        <f>IFERROR(__xludf.DUMMYFUNCTION("SPLIT(I6264,""/"")"),19.0)</f>
        <v>19</v>
      </c>
      <c r="K6264" s="308">
        <f>IFERROR(__xludf.DUMMYFUNCTION("""COMPUTED_VALUE"""),12.0)</f>
        <v>12</v>
      </c>
      <c r="L6264" s="308">
        <f>IFERROR(__xludf.DUMMYFUNCTION("""COMPUTED_VALUE"""),2014.0)</f>
        <v>2014</v>
      </c>
      <c r="M6264" s="308" t="s">
        <v>25091</v>
      </c>
      <c r="N6264" s="308" t="s">
        <v>25092</v>
      </c>
      <c r="O6264" s="308"/>
      <c r="P6264" s="308" t="s">
        <v>38985</v>
      </c>
      <c r="Q6264" s="308" t="s">
        <v>38984</v>
      </c>
      <c r="R6264" s="308" t="s">
        <v>2743</v>
      </c>
      <c r="S6264" s="308" t="s">
        <v>81</v>
      </c>
      <c r="T6264" s="308" t="s">
        <v>75</v>
      </c>
      <c r="U6264" s="308" t="s">
        <v>166</v>
      </c>
      <c r="V6264" s="308"/>
    </row>
    <row r="6265">
      <c r="A6265" s="308">
        <v>6264.0</v>
      </c>
      <c r="B6265" s="308"/>
      <c r="C6265" s="308" t="s">
        <v>25094</v>
      </c>
      <c r="D6265" s="308">
        <f>IFERROR(__xludf.DUMMYFUNCTION("SPLIT(C6265,""-"")"),6285.0)</f>
        <v>6285</v>
      </c>
      <c r="E6265" s="308" t="str">
        <f>IFERROR(__xludf.DUMMYFUNCTION("""COMPUTED_VALUE"""),"B")</f>
        <v>B</v>
      </c>
      <c r="F6265" s="315" t="s">
        <v>26</v>
      </c>
      <c r="G6265" s="308"/>
      <c r="H6265" s="308" t="s">
        <v>25095</v>
      </c>
      <c r="I6265" s="314">
        <v>43460.0</v>
      </c>
      <c r="J6265" s="319">
        <f>IFERROR(__xludf.DUMMYFUNCTION("SPLIT(I6265,""/"")"),26.0)</f>
        <v>26</v>
      </c>
      <c r="K6265" s="308">
        <f>IFERROR(__xludf.DUMMYFUNCTION("""COMPUTED_VALUE"""),12.0)</f>
        <v>12</v>
      </c>
      <c r="L6265" s="308">
        <f>IFERROR(__xludf.DUMMYFUNCTION("""COMPUTED_VALUE"""),2018.0)</f>
        <v>2018</v>
      </c>
      <c r="M6265" s="308" t="s">
        <v>25096</v>
      </c>
      <c r="N6265" s="308" t="s">
        <v>25097</v>
      </c>
      <c r="O6265" s="308"/>
      <c r="P6265" s="308" t="s">
        <v>136</v>
      </c>
      <c r="Q6265" s="308" t="s">
        <v>38986</v>
      </c>
      <c r="R6265" s="308" t="s">
        <v>16456</v>
      </c>
      <c r="S6265" s="315" t="s">
        <v>100</v>
      </c>
      <c r="T6265" s="308" t="s">
        <v>34208</v>
      </c>
      <c r="U6265" s="308" t="s">
        <v>166</v>
      </c>
      <c r="V6265" s="308"/>
    </row>
    <row r="6266">
      <c r="A6266" s="308">
        <v>6265.0</v>
      </c>
      <c r="B6266" s="308"/>
      <c r="C6266" s="308" t="s">
        <v>25098</v>
      </c>
      <c r="D6266" s="308">
        <f>IFERROR(__xludf.DUMMYFUNCTION("SPLIT(C6266,""-"")"),6286.0)</f>
        <v>6286</v>
      </c>
      <c r="E6266" s="308" t="str">
        <f>IFERROR(__xludf.DUMMYFUNCTION("""COMPUTED_VALUE"""),"K")</f>
        <v>K</v>
      </c>
      <c r="F6266" s="309" t="s">
        <v>34</v>
      </c>
      <c r="G6266" s="308"/>
      <c r="H6266" s="308" t="s">
        <v>25099</v>
      </c>
      <c r="I6266" s="310">
        <v>40349.0</v>
      </c>
      <c r="J6266" s="319">
        <f>IFERROR(__xludf.DUMMYFUNCTION("SPLIT(I6266,""/"")"),20.0)</f>
        <v>20</v>
      </c>
      <c r="K6266" s="308">
        <f>IFERROR(__xludf.DUMMYFUNCTION("""COMPUTED_VALUE"""),6.0)</f>
        <v>6</v>
      </c>
      <c r="L6266" s="308">
        <f>IFERROR(__xludf.DUMMYFUNCTION("""COMPUTED_VALUE"""),2010.0)</f>
        <v>2010</v>
      </c>
      <c r="M6266" s="308" t="s">
        <v>25100</v>
      </c>
      <c r="N6266" s="308"/>
      <c r="O6266" s="308"/>
      <c r="P6266" s="308" t="s">
        <v>136</v>
      </c>
      <c r="Q6266" s="308" t="s">
        <v>38987</v>
      </c>
      <c r="R6266" s="308" t="s">
        <v>2743</v>
      </c>
      <c r="S6266" s="315" t="s">
        <v>100</v>
      </c>
      <c r="T6266" s="308" t="s">
        <v>34208</v>
      </c>
      <c r="U6266" s="308" t="s">
        <v>941</v>
      </c>
      <c r="V6266" s="308"/>
    </row>
    <row r="6267">
      <c r="A6267" s="308">
        <v>6266.0</v>
      </c>
      <c r="B6267" s="308"/>
      <c r="C6267" s="308" t="s">
        <v>25101</v>
      </c>
      <c r="D6267" s="308">
        <f>IFERROR(__xludf.DUMMYFUNCTION("SPLIT(C6267,""-"")"),6287.0)</f>
        <v>6287</v>
      </c>
      <c r="E6267" s="308" t="str">
        <f>IFERROR(__xludf.DUMMYFUNCTION("""COMPUTED_VALUE"""),"K")</f>
        <v>K</v>
      </c>
      <c r="F6267" s="309" t="s">
        <v>34</v>
      </c>
      <c r="G6267" s="308"/>
      <c r="H6267" s="308" t="s">
        <v>25102</v>
      </c>
      <c r="I6267" s="310">
        <v>40349.0</v>
      </c>
      <c r="J6267" s="319">
        <f>IFERROR(__xludf.DUMMYFUNCTION("SPLIT(I6267,""/"")"),20.0)</f>
        <v>20</v>
      </c>
      <c r="K6267" s="308">
        <f>IFERROR(__xludf.DUMMYFUNCTION("""COMPUTED_VALUE"""),6.0)</f>
        <v>6</v>
      </c>
      <c r="L6267" s="308">
        <f>IFERROR(__xludf.DUMMYFUNCTION("""COMPUTED_VALUE"""),2010.0)</f>
        <v>2010</v>
      </c>
      <c r="M6267" s="308" t="s">
        <v>38988</v>
      </c>
      <c r="N6267" s="308"/>
      <c r="O6267" s="308"/>
      <c r="P6267" s="308" t="s">
        <v>136</v>
      </c>
      <c r="Q6267" s="308" t="s">
        <v>38987</v>
      </c>
      <c r="R6267" s="308" t="s">
        <v>2743</v>
      </c>
      <c r="S6267" s="315" t="s">
        <v>100</v>
      </c>
      <c r="T6267" s="308" t="s">
        <v>34208</v>
      </c>
      <c r="U6267" s="308" t="s">
        <v>941</v>
      </c>
      <c r="V6267" s="308"/>
    </row>
    <row r="6268">
      <c r="A6268" s="308">
        <v>6267.0</v>
      </c>
      <c r="B6268" s="308"/>
      <c r="C6268" s="308" t="s">
        <v>25103</v>
      </c>
      <c r="D6268" s="308">
        <f>IFERROR(__xludf.DUMMYFUNCTION("SPLIT(C6268,""-"")"),6288.0)</f>
        <v>6288</v>
      </c>
      <c r="E6268" s="308" t="str">
        <f>IFERROR(__xludf.DUMMYFUNCTION("""COMPUTED_VALUE"""),"K")</f>
        <v>K</v>
      </c>
      <c r="F6268" s="309" t="s">
        <v>34</v>
      </c>
      <c r="G6268" s="308"/>
      <c r="H6268" s="308" t="s">
        <v>25104</v>
      </c>
      <c r="I6268" s="310">
        <v>41821.0</v>
      </c>
      <c r="J6268" s="319">
        <f>IFERROR(__xludf.DUMMYFUNCTION("SPLIT(I6268,""/"")"),1.0)</f>
        <v>1</v>
      </c>
      <c r="K6268" s="308">
        <f>IFERROR(__xludf.DUMMYFUNCTION("""COMPUTED_VALUE"""),7.0)</f>
        <v>7</v>
      </c>
      <c r="L6268" s="308">
        <f>IFERROR(__xludf.DUMMYFUNCTION("""COMPUTED_VALUE"""),2014.0)</f>
        <v>2014</v>
      </c>
      <c r="M6268" s="308" t="s">
        <v>25105</v>
      </c>
      <c r="N6268" s="308"/>
      <c r="O6268" s="308" t="s">
        <v>25106</v>
      </c>
      <c r="P6268" s="308" t="s">
        <v>38989</v>
      </c>
      <c r="Q6268" s="308" t="s">
        <v>38987</v>
      </c>
      <c r="R6268" s="308" t="s">
        <v>2743</v>
      </c>
      <c r="S6268" s="308" t="s">
        <v>49</v>
      </c>
      <c r="T6268" s="311" t="s">
        <v>51</v>
      </c>
      <c r="U6268" s="308" t="s">
        <v>125</v>
      </c>
      <c r="V6268" s="308"/>
    </row>
    <row r="6269">
      <c r="A6269" s="308">
        <v>6268.0</v>
      </c>
      <c r="B6269" s="308"/>
      <c r="C6269" s="308" t="s">
        <v>25108</v>
      </c>
      <c r="D6269" s="308">
        <f>IFERROR(__xludf.DUMMYFUNCTION("SPLIT(C6269,""-"")"),6289.0)</f>
        <v>6289</v>
      </c>
      <c r="E6269" s="308" t="str">
        <f>IFERROR(__xludf.DUMMYFUNCTION("""COMPUTED_VALUE"""),"K")</f>
        <v>K</v>
      </c>
      <c r="F6269" s="309" t="s">
        <v>34</v>
      </c>
      <c r="G6269" s="308"/>
      <c r="H6269" s="308" t="s">
        <v>25109</v>
      </c>
      <c r="I6269" s="310">
        <v>41821.0</v>
      </c>
      <c r="J6269" s="319">
        <f>IFERROR(__xludf.DUMMYFUNCTION("SPLIT(I6269,""/"")"),1.0)</f>
        <v>1</v>
      </c>
      <c r="K6269" s="308">
        <f>IFERROR(__xludf.DUMMYFUNCTION("""COMPUTED_VALUE"""),7.0)</f>
        <v>7</v>
      </c>
      <c r="L6269" s="308">
        <f>IFERROR(__xludf.DUMMYFUNCTION("""COMPUTED_VALUE"""),2014.0)</f>
        <v>2014</v>
      </c>
      <c r="M6269" s="308" t="s">
        <v>25110</v>
      </c>
      <c r="N6269" s="308"/>
      <c r="O6269" s="308"/>
      <c r="P6269" s="308" t="s">
        <v>136</v>
      </c>
      <c r="Q6269" s="308" t="s">
        <v>38987</v>
      </c>
      <c r="R6269" s="308" t="s">
        <v>2743</v>
      </c>
      <c r="S6269" s="315" t="s">
        <v>100</v>
      </c>
      <c r="T6269" s="308" t="s">
        <v>34208</v>
      </c>
      <c r="U6269" s="308" t="s">
        <v>125</v>
      </c>
      <c r="V6269" s="308"/>
    </row>
    <row r="6270">
      <c r="A6270" s="308">
        <v>6269.0</v>
      </c>
      <c r="B6270" s="308"/>
      <c r="C6270" s="308" t="s">
        <v>25111</v>
      </c>
      <c r="D6270" s="308">
        <f>IFERROR(__xludf.DUMMYFUNCTION("SPLIT(C6270,""-"")"),6290.0)</f>
        <v>6290</v>
      </c>
      <c r="E6270" s="308" t="str">
        <f>IFERROR(__xludf.DUMMYFUNCTION("""COMPUTED_VALUE"""),"I")</f>
        <v>I</v>
      </c>
      <c r="F6270" s="309" t="s">
        <v>31</v>
      </c>
      <c r="G6270" s="308"/>
      <c r="H6270" s="308" t="s">
        <v>25112</v>
      </c>
      <c r="I6270" s="310">
        <v>42947.0</v>
      </c>
      <c r="J6270" s="319">
        <f>IFERROR(__xludf.DUMMYFUNCTION("SPLIT(I6270,""/"")"),31.0)</f>
        <v>31</v>
      </c>
      <c r="K6270" s="308">
        <f>IFERROR(__xludf.DUMMYFUNCTION("""COMPUTED_VALUE"""),7.0)</f>
        <v>7</v>
      </c>
      <c r="L6270" s="308">
        <f>IFERROR(__xludf.DUMMYFUNCTION("""COMPUTED_VALUE"""),2017.0)</f>
        <v>2017</v>
      </c>
      <c r="M6270" s="308" t="s">
        <v>25113</v>
      </c>
      <c r="N6270" s="308" t="s">
        <v>25114</v>
      </c>
      <c r="O6270" s="308"/>
      <c r="P6270" s="308" t="s">
        <v>136</v>
      </c>
      <c r="Q6270" s="308" t="s">
        <v>38990</v>
      </c>
      <c r="R6270" s="308" t="s">
        <v>2743</v>
      </c>
      <c r="S6270" s="315" t="s">
        <v>100</v>
      </c>
      <c r="T6270" s="308" t="s">
        <v>34208</v>
      </c>
      <c r="U6270" s="308" t="s">
        <v>31</v>
      </c>
      <c r="V6270" s="308"/>
    </row>
    <row r="6271">
      <c r="A6271" s="308">
        <v>6270.0</v>
      </c>
      <c r="B6271" s="308"/>
      <c r="C6271" s="308" t="s">
        <v>25115</v>
      </c>
      <c r="D6271" s="308">
        <f>IFERROR(__xludf.DUMMYFUNCTION("SPLIT(C6271,""-"")"),6291.0)</f>
        <v>6291</v>
      </c>
      <c r="E6271" s="308" t="str">
        <f>IFERROR(__xludf.DUMMYFUNCTION("""COMPUTED_VALUE"""),"I")</f>
        <v>I</v>
      </c>
      <c r="F6271" s="309" t="s">
        <v>31</v>
      </c>
      <c r="G6271" s="308"/>
      <c r="H6271" s="308" t="s">
        <v>25116</v>
      </c>
      <c r="I6271" s="310">
        <v>43675.0</v>
      </c>
      <c r="J6271" s="319">
        <f>IFERROR(__xludf.DUMMYFUNCTION("SPLIT(I6271,""/"")"),29.0)</f>
        <v>29</v>
      </c>
      <c r="K6271" s="308">
        <f>IFERROR(__xludf.DUMMYFUNCTION("""COMPUTED_VALUE"""),7.0)</f>
        <v>7</v>
      </c>
      <c r="L6271" s="308">
        <f>IFERROR(__xludf.DUMMYFUNCTION("""COMPUTED_VALUE"""),2019.0)</f>
        <v>2019</v>
      </c>
      <c r="M6271" s="308" t="s">
        <v>25117</v>
      </c>
      <c r="N6271" s="308" t="s">
        <v>25118</v>
      </c>
      <c r="O6271" s="308"/>
      <c r="P6271" s="308" t="s">
        <v>38991</v>
      </c>
      <c r="Q6271" s="308" t="s">
        <v>38992</v>
      </c>
      <c r="R6271" s="308" t="s">
        <v>2743</v>
      </c>
      <c r="S6271" s="308" t="s">
        <v>81</v>
      </c>
      <c r="T6271" s="311" t="s">
        <v>77</v>
      </c>
      <c r="U6271" s="308" t="s">
        <v>31</v>
      </c>
      <c r="V6271" s="308"/>
    </row>
    <row r="6272">
      <c r="A6272" s="308">
        <v>6271.0</v>
      </c>
      <c r="B6272" s="308"/>
      <c r="C6272" s="308" t="s">
        <v>25120</v>
      </c>
      <c r="D6272" s="308">
        <f>IFERROR(__xludf.DUMMYFUNCTION("SPLIT(C6272,""-"")"),6292.0)</f>
        <v>6292</v>
      </c>
      <c r="E6272" s="308" t="str">
        <f>IFERROR(__xludf.DUMMYFUNCTION("""COMPUTED_VALUE"""),"K")</f>
        <v>K</v>
      </c>
      <c r="F6272" s="309" t="s">
        <v>34</v>
      </c>
      <c r="G6272" s="308"/>
      <c r="H6272" s="308" t="s">
        <v>25121</v>
      </c>
      <c r="I6272" s="310">
        <v>43125.0</v>
      </c>
      <c r="J6272" s="319">
        <f>IFERROR(__xludf.DUMMYFUNCTION("SPLIT(I6272,""/"")"),25.0)</f>
        <v>25</v>
      </c>
      <c r="K6272" s="308">
        <f>IFERROR(__xludf.DUMMYFUNCTION("""COMPUTED_VALUE"""),1.0)</f>
        <v>1</v>
      </c>
      <c r="L6272" s="308">
        <f>IFERROR(__xludf.DUMMYFUNCTION("""COMPUTED_VALUE"""),2018.0)</f>
        <v>2018</v>
      </c>
      <c r="M6272" s="308" t="s">
        <v>25122</v>
      </c>
      <c r="N6272" s="308" t="s">
        <v>25123</v>
      </c>
      <c r="O6272" s="308"/>
      <c r="P6272" s="308" t="s">
        <v>38993</v>
      </c>
      <c r="Q6272" s="308" t="s">
        <v>38992</v>
      </c>
      <c r="R6272" s="308" t="s">
        <v>2743</v>
      </c>
      <c r="S6272" s="308" t="s">
        <v>49</v>
      </c>
      <c r="T6272" s="308" t="s">
        <v>51</v>
      </c>
      <c r="U6272" s="308" t="s">
        <v>2152</v>
      </c>
      <c r="V6272" s="308"/>
    </row>
    <row r="6273">
      <c r="A6273" s="308">
        <v>6272.0</v>
      </c>
      <c r="B6273" s="308"/>
      <c r="C6273" s="308" t="s">
        <v>25125</v>
      </c>
      <c r="D6273" s="308">
        <f>IFERROR(__xludf.DUMMYFUNCTION("SPLIT(C6273,""-"")"),6293.0)</f>
        <v>6293</v>
      </c>
      <c r="E6273" s="308" t="str">
        <f>IFERROR(__xludf.DUMMYFUNCTION("""COMPUTED_VALUE"""),"K")</f>
        <v>K</v>
      </c>
      <c r="F6273" s="309" t="s">
        <v>34</v>
      </c>
      <c r="G6273" s="308"/>
      <c r="H6273" s="308" t="s">
        <v>25126</v>
      </c>
      <c r="I6273" s="310">
        <v>39630.0</v>
      </c>
      <c r="J6273" s="319">
        <f>IFERROR(__xludf.DUMMYFUNCTION("SPLIT(I6273,""/"")"),1.0)</f>
        <v>1</v>
      </c>
      <c r="K6273" s="308">
        <f>IFERROR(__xludf.DUMMYFUNCTION("""COMPUTED_VALUE"""),7.0)</f>
        <v>7</v>
      </c>
      <c r="L6273" s="308">
        <f>IFERROR(__xludf.DUMMYFUNCTION("""COMPUTED_VALUE"""),2008.0)</f>
        <v>2008</v>
      </c>
      <c r="M6273" s="308" t="s">
        <v>25127</v>
      </c>
      <c r="N6273" s="308" t="s">
        <v>25128</v>
      </c>
      <c r="O6273" s="308"/>
      <c r="P6273" s="308" t="s">
        <v>136</v>
      </c>
      <c r="Q6273" s="308" t="s">
        <v>38994</v>
      </c>
      <c r="R6273" s="308" t="s">
        <v>2743</v>
      </c>
      <c r="S6273" s="315" t="s">
        <v>100</v>
      </c>
      <c r="T6273" s="308" t="s">
        <v>34208</v>
      </c>
      <c r="U6273" s="308" t="s">
        <v>530</v>
      </c>
      <c r="V6273" s="308"/>
    </row>
    <row r="6274">
      <c r="A6274" s="308">
        <v>6273.0</v>
      </c>
      <c r="B6274" s="308"/>
      <c r="C6274" s="308" t="s">
        <v>25129</v>
      </c>
      <c r="D6274" s="308">
        <f>IFERROR(__xludf.DUMMYFUNCTION("SPLIT(C6274,""-"")"),6294.0)</f>
        <v>6294</v>
      </c>
      <c r="E6274" s="308" t="str">
        <f>IFERROR(__xludf.DUMMYFUNCTION("""COMPUTED_VALUE"""),"K")</f>
        <v>K</v>
      </c>
      <c r="F6274" s="309" t="s">
        <v>34</v>
      </c>
      <c r="G6274" s="308"/>
      <c r="H6274" s="308" t="s">
        <v>25130</v>
      </c>
      <c r="I6274" s="310">
        <v>39995.0</v>
      </c>
      <c r="J6274" s="319">
        <f>IFERROR(__xludf.DUMMYFUNCTION("SPLIT(I6274,""/"")"),1.0)</f>
        <v>1</v>
      </c>
      <c r="K6274" s="308">
        <f>IFERROR(__xludf.DUMMYFUNCTION("""COMPUTED_VALUE"""),7.0)</f>
        <v>7</v>
      </c>
      <c r="L6274" s="308">
        <f>IFERROR(__xludf.DUMMYFUNCTION("""COMPUTED_VALUE"""),2009.0)</f>
        <v>2009</v>
      </c>
      <c r="M6274" s="308" t="s">
        <v>25131</v>
      </c>
      <c r="N6274" s="308"/>
      <c r="O6274" s="308"/>
      <c r="P6274" s="308" t="s">
        <v>136</v>
      </c>
      <c r="Q6274" s="308" t="s">
        <v>38994</v>
      </c>
      <c r="R6274" s="308" t="s">
        <v>2743</v>
      </c>
      <c r="S6274" s="315" t="s">
        <v>100</v>
      </c>
      <c r="T6274" s="308" t="s">
        <v>34208</v>
      </c>
      <c r="U6274" s="308" t="s">
        <v>530</v>
      </c>
      <c r="V6274" s="308"/>
    </row>
    <row r="6275">
      <c r="A6275" s="308">
        <v>6274.0</v>
      </c>
      <c r="B6275" s="308"/>
      <c r="C6275" s="308" t="s">
        <v>25132</v>
      </c>
      <c r="D6275" s="308">
        <f>IFERROR(__xludf.DUMMYFUNCTION("SPLIT(C6275,""-"")"),6295.0)</f>
        <v>6295</v>
      </c>
      <c r="E6275" s="308" t="str">
        <f>IFERROR(__xludf.DUMMYFUNCTION("""COMPUTED_VALUE"""),"K")</f>
        <v>K</v>
      </c>
      <c r="F6275" s="309" t="s">
        <v>34</v>
      </c>
      <c r="G6275" s="308"/>
      <c r="H6275" s="308" t="s">
        <v>25133</v>
      </c>
      <c r="I6275" s="310">
        <v>41091.0</v>
      </c>
      <c r="J6275" s="319">
        <f>IFERROR(__xludf.DUMMYFUNCTION("SPLIT(I6275,""/"")"),1.0)</f>
        <v>1</v>
      </c>
      <c r="K6275" s="308">
        <f>IFERROR(__xludf.DUMMYFUNCTION("""COMPUTED_VALUE"""),7.0)</f>
        <v>7</v>
      </c>
      <c r="L6275" s="308">
        <f>IFERROR(__xludf.DUMMYFUNCTION("""COMPUTED_VALUE"""),2012.0)</f>
        <v>2012</v>
      </c>
      <c r="M6275" s="308" t="s">
        <v>25134</v>
      </c>
      <c r="N6275" s="308"/>
      <c r="O6275" s="308"/>
      <c r="P6275" s="308" t="s">
        <v>136</v>
      </c>
      <c r="Q6275" s="308" t="s">
        <v>38994</v>
      </c>
      <c r="R6275" s="308" t="s">
        <v>2743</v>
      </c>
      <c r="S6275" s="315" t="s">
        <v>100</v>
      </c>
      <c r="T6275" s="308" t="s">
        <v>34208</v>
      </c>
      <c r="U6275" s="308" t="s">
        <v>25003</v>
      </c>
      <c r="V6275" s="308"/>
    </row>
    <row r="6276">
      <c r="A6276" s="308">
        <v>6275.0</v>
      </c>
      <c r="B6276" s="308"/>
      <c r="C6276" s="308" t="s">
        <v>25135</v>
      </c>
      <c r="D6276" s="308">
        <f>IFERROR(__xludf.DUMMYFUNCTION("SPLIT(C6276,""-"")"),6296.0)</f>
        <v>6296</v>
      </c>
      <c r="E6276" s="308" t="str">
        <f>IFERROR(__xludf.DUMMYFUNCTION("""COMPUTED_VALUE"""),"K")</f>
        <v>K</v>
      </c>
      <c r="F6276" s="309" t="s">
        <v>34</v>
      </c>
      <c r="G6276" s="308"/>
      <c r="H6276" s="308" t="s">
        <v>25136</v>
      </c>
      <c r="I6276" s="310">
        <v>41091.0</v>
      </c>
      <c r="J6276" s="319">
        <f>IFERROR(__xludf.DUMMYFUNCTION("SPLIT(I6276,""/"")"),1.0)</f>
        <v>1</v>
      </c>
      <c r="K6276" s="308">
        <f>IFERROR(__xludf.DUMMYFUNCTION("""COMPUTED_VALUE"""),7.0)</f>
        <v>7</v>
      </c>
      <c r="L6276" s="308">
        <f>IFERROR(__xludf.DUMMYFUNCTION("""COMPUTED_VALUE"""),2012.0)</f>
        <v>2012</v>
      </c>
      <c r="M6276" s="308" t="s">
        <v>25137</v>
      </c>
      <c r="N6276" s="308"/>
      <c r="O6276" s="308"/>
      <c r="P6276" s="308" t="s">
        <v>136</v>
      </c>
      <c r="Q6276" s="308" t="s">
        <v>38994</v>
      </c>
      <c r="R6276" s="308" t="s">
        <v>2743</v>
      </c>
      <c r="S6276" s="315" t="s">
        <v>100</v>
      </c>
      <c r="T6276" s="308" t="s">
        <v>34208</v>
      </c>
      <c r="U6276" s="308" t="s">
        <v>530</v>
      </c>
      <c r="V6276" s="308"/>
    </row>
    <row r="6277">
      <c r="A6277" s="308">
        <v>6276.0</v>
      </c>
      <c r="B6277" s="308"/>
      <c r="C6277" s="308" t="s">
        <v>25138</v>
      </c>
      <c r="D6277" s="308">
        <f>IFERROR(__xludf.DUMMYFUNCTION("SPLIT(C6277,""-"")"),6297.0)</f>
        <v>6297</v>
      </c>
      <c r="E6277" s="308" t="str">
        <f>IFERROR(__xludf.DUMMYFUNCTION("""COMPUTED_VALUE"""),"S")</f>
        <v>S</v>
      </c>
      <c r="F6277" s="312" t="s">
        <v>39</v>
      </c>
      <c r="G6277" s="308"/>
      <c r="H6277" s="308" t="s">
        <v>25139</v>
      </c>
      <c r="I6277" s="310">
        <v>43558.0</v>
      </c>
      <c r="J6277" s="319">
        <f>IFERROR(__xludf.DUMMYFUNCTION("SPLIT(I6277,""/"")"),3.0)</f>
        <v>3</v>
      </c>
      <c r="K6277" s="308">
        <f>IFERROR(__xludf.DUMMYFUNCTION("""COMPUTED_VALUE"""),4.0)</f>
        <v>4</v>
      </c>
      <c r="L6277" s="308">
        <f>IFERROR(__xludf.DUMMYFUNCTION("""COMPUTED_VALUE"""),2019.0)</f>
        <v>2019</v>
      </c>
      <c r="M6277" s="308" t="s">
        <v>25140</v>
      </c>
      <c r="N6277" s="308"/>
      <c r="O6277" s="308"/>
      <c r="P6277" s="308" t="s">
        <v>25141</v>
      </c>
      <c r="Q6277" s="308" t="s">
        <v>38994</v>
      </c>
      <c r="R6277" s="308" t="s">
        <v>2743</v>
      </c>
      <c r="S6277" s="308" t="s">
        <v>81</v>
      </c>
      <c r="T6277" s="308" t="s">
        <v>75</v>
      </c>
      <c r="U6277" s="308" t="s">
        <v>166</v>
      </c>
      <c r="V6277" s="308"/>
    </row>
    <row r="6278">
      <c r="A6278" s="308">
        <v>6277.0</v>
      </c>
      <c r="B6278" s="308"/>
      <c r="C6278" s="308" t="s">
        <v>25142</v>
      </c>
      <c r="D6278" s="308">
        <f>IFERROR(__xludf.DUMMYFUNCTION("SPLIT(C6278,""-"")"),6298.0)</f>
        <v>6298</v>
      </c>
      <c r="E6278" s="308" t="str">
        <f>IFERROR(__xludf.DUMMYFUNCTION("""COMPUTED_VALUE"""),"I")</f>
        <v>I</v>
      </c>
      <c r="F6278" s="309" t="s">
        <v>31</v>
      </c>
      <c r="G6278" s="308"/>
      <c r="H6278" s="308" t="s">
        <v>25143</v>
      </c>
      <c r="I6278" s="310">
        <v>43660.0</v>
      </c>
      <c r="J6278" s="319">
        <f>IFERROR(__xludf.DUMMYFUNCTION("SPLIT(I6278,""/"")"),14.0)</f>
        <v>14</v>
      </c>
      <c r="K6278" s="308">
        <f>IFERROR(__xludf.DUMMYFUNCTION("""COMPUTED_VALUE"""),7.0)</f>
        <v>7</v>
      </c>
      <c r="L6278" s="308">
        <f>IFERROR(__xludf.DUMMYFUNCTION("""COMPUTED_VALUE"""),2019.0)</f>
        <v>2019</v>
      </c>
      <c r="M6278" s="308" t="s">
        <v>25144</v>
      </c>
      <c r="N6278" s="308" t="s">
        <v>25145</v>
      </c>
      <c r="O6278" s="308"/>
      <c r="P6278" s="308" t="s">
        <v>25146</v>
      </c>
      <c r="Q6278" s="308" t="s">
        <v>38995</v>
      </c>
      <c r="R6278" s="308" t="s">
        <v>2743</v>
      </c>
      <c r="S6278" s="308" t="s">
        <v>81</v>
      </c>
      <c r="T6278" s="308" t="s">
        <v>75</v>
      </c>
      <c r="U6278" s="308" t="s">
        <v>31</v>
      </c>
      <c r="V6278" s="308"/>
    </row>
    <row r="6279">
      <c r="A6279" s="308">
        <v>6278.0</v>
      </c>
      <c r="B6279" s="308"/>
      <c r="C6279" s="308" t="s">
        <v>25147</v>
      </c>
      <c r="D6279" s="308">
        <f>IFERROR(__xludf.DUMMYFUNCTION("SPLIT(C6279,""-"")"),6299.0)</f>
        <v>6299</v>
      </c>
      <c r="E6279" s="308" t="str">
        <f>IFERROR(__xludf.DUMMYFUNCTION("""COMPUTED_VALUE"""),"P")</f>
        <v>P</v>
      </c>
      <c r="F6279" s="312" t="s">
        <v>37</v>
      </c>
      <c r="G6279" s="308"/>
      <c r="H6279" s="308" t="s">
        <v>25148</v>
      </c>
      <c r="I6279" s="310">
        <v>43654.0</v>
      </c>
      <c r="J6279" s="319">
        <f>IFERROR(__xludf.DUMMYFUNCTION("SPLIT(I6279,""/"")"),8.0)</f>
        <v>8</v>
      </c>
      <c r="K6279" s="308">
        <f>IFERROR(__xludf.DUMMYFUNCTION("""COMPUTED_VALUE"""),7.0)</f>
        <v>7</v>
      </c>
      <c r="L6279" s="308">
        <f>IFERROR(__xludf.DUMMYFUNCTION("""COMPUTED_VALUE"""),2019.0)</f>
        <v>2019</v>
      </c>
      <c r="M6279" s="308" t="s">
        <v>25149</v>
      </c>
      <c r="N6279" s="308" t="s">
        <v>25150</v>
      </c>
      <c r="O6279" s="308"/>
      <c r="P6279" s="308" t="s">
        <v>38996</v>
      </c>
      <c r="Q6279" s="308" t="s">
        <v>38995</v>
      </c>
      <c r="R6279" s="308" t="s">
        <v>2743</v>
      </c>
      <c r="S6279" s="308" t="s">
        <v>81</v>
      </c>
      <c r="T6279" s="311" t="s">
        <v>96</v>
      </c>
      <c r="U6279" s="308" t="s">
        <v>143</v>
      </c>
      <c r="V6279" s="308"/>
    </row>
    <row r="6280">
      <c r="A6280" s="308">
        <v>6279.0</v>
      </c>
      <c r="B6280" s="308"/>
      <c r="C6280" s="308" t="s">
        <v>25152</v>
      </c>
      <c r="D6280" s="308">
        <f>IFERROR(__xludf.DUMMYFUNCTION("SPLIT(C6280,""-"")"),6300.0)</f>
        <v>6300</v>
      </c>
      <c r="E6280" s="308" t="str">
        <f>IFERROR(__xludf.DUMMYFUNCTION("""COMPUTED_VALUE"""),"P")</f>
        <v>P</v>
      </c>
      <c r="F6280" s="312" t="s">
        <v>37</v>
      </c>
      <c r="G6280" s="308"/>
      <c r="H6280" s="308" t="s">
        <v>38997</v>
      </c>
      <c r="I6280" s="310">
        <v>42997.0</v>
      </c>
      <c r="J6280" s="319">
        <f>IFERROR(__xludf.DUMMYFUNCTION("SPLIT(I6280,""/"")"),19.0)</f>
        <v>19</v>
      </c>
      <c r="K6280" s="308">
        <f>IFERROR(__xludf.DUMMYFUNCTION("""COMPUTED_VALUE"""),9.0)</f>
        <v>9</v>
      </c>
      <c r="L6280" s="308">
        <f>IFERROR(__xludf.DUMMYFUNCTION("""COMPUTED_VALUE"""),2017.0)</f>
        <v>2017</v>
      </c>
      <c r="M6280" s="308" t="s">
        <v>25154</v>
      </c>
      <c r="N6280" s="308" t="s">
        <v>25155</v>
      </c>
      <c r="O6280" s="308"/>
      <c r="P6280" s="308" t="s">
        <v>136</v>
      </c>
      <c r="Q6280" s="308" t="s">
        <v>38995</v>
      </c>
      <c r="R6280" s="308" t="s">
        <v>2743</v>
      </c>
      <c r="S6280" s="315" t="s">
        <v>100</v>
      </c>
      <c r="T6280" s="308" t="s">
        <v>34208</v>
      </c>
      <c r="U6280" s="308" t="s">
        <v>149</v>
      </c>
      <c r="V6280" s="308"/>
    </row>
    <row r="6281">
      <c r="A6281" s="308">
        <v>6280.0</v>
      </c>
      <c r="B6281" s="308"/>
      <c r="C6281" s="308" t="s">
        <v>25156</v>
      </c>
      <c r="D6281" s="308">
        <f>IFERROR(__xludf.DUMMYFUNCTION("SPLIT(C6281,""-"")"),6301.0)</f>
        <v>6301</v>
      </c>
      <c r="E6281" s="308" t="str">
        <f>IFERROR(__xludf.DUMMYFUNCTION("""COMPUTED_VALUE"""),"P")</f>
        <v>P</v>
      </c>
      <c r="F6281" s="312" t="s">
        <v>37</v>
      </c>
      <c r="G6281" s="308"/>
      <c r="H6281" s="308" t="s">
        <v>25157</v>
      </c>
      <c r="I6281" s="310">
        <v>43648.0</v>
      </c>
      <c r="J6281" s="319">
        <f>IFERROR(__xludf.DUMMYFUNCTION("SPLIT(I6281,""/"")"),2.0)</f>
        <v>2</v>
      </c>
      <c r="K6281" s="308">
        <f>IFERROR(__xludf.DUMMYFUNCTION("""COMPUTED_VALUE"""),7.0)</f>
        <v>7</v>
      </c>
      <c r="L6281" s="308">
        <f>IFERROR(__xludf.DUMMYFUNCTION("""COMPUTED_VALUE"""),2019.0)</f>
        <v>2019</v>
      </c>
      <c r="M6281" s="308" t="s">
        <v>38998</v>
      </c>
      <c r="N6281" s="308"/>
      <c r="O6281" s="308"/>
      <c r="P6281" s="308" t="s">
        <v>38999</v>
      </c>
      <c r="Q6281" s="308" t="s">
        <v>38995</v>
      </c>
      <c r="R6281" s="308" t="s">
        <v>2743</v>
      </c>
      <c r="S6281" s="308" t="s">
        <v>81</v>
      </c>
      <c r="T6281" s="308" t="s">
        <v>75</v>
      </c>
      <c r="U6281" s="308" t="s">
        <v>143</v>
      </c>
      <c r="V6281" s="308"/>
    </row>
    <row r="6282">
      <c r="A6282" s="308">
        <v>6281.0</v>
      </c>
      <c r="B6282" s="308"/>
      <c r="C6282" s="308" t="s">
        <v>25160</v>
      </c>
      <c r="D6282" s="308">
        <f>IFERROR(__xludf.DUMMYFUNCTION("SPLIT(C6282,""-"")"),6302.0)</f>
        <v>6302</v>
      </c>
      <c r="E6282" s="308" t="str">
        <f>IFERROR(__xludf.DUMMYFUNCTION("""COMPUTED_VALUE"""),"K")</f>
        <v>K</v>
      </c>
      <c r="F6282" s="309" t="s">
        <v>34</v>
      </c>
      <c r="G6282" s="308"/>
      <c r="H6282" s="308" t="s">
        <v>25161</v>
      </c>
      <c r="I6282" s="314">
        <v>40170.0</v>
      </c>
      <c r="J6282" s="319">
        <f>IFERROR(__xludf.DUMMYFUNCTION("SPLIT(I6282,""/"")"),23.0)</f>
        <v>23</v>
      </c>
      <c r="K6282" s="308">
        <f>IFERROR(__xludf.DUMMYFUNCTION("""COMPUTED_VALUE"""),12.0)</f>
        <v>12</v>
      </c>
      <c r="L6282" s="308">
        <f>IFERROR(__xludf.DUMMYFUNCTION("""COMPUTED_VALUE"""),2009.0)</f>
        <v>2009</v>
      </c>
      <c r="M6282" s="308" t="s">
        <v>25162</v>
      </c>
      <c r="N6282" s="308"/>
      <c r="O6282" s="308"/>
      <c r="P6282" s="308" t="s">
        <v>136</v>
      </c>
      <c r="Q6282" s="308" t="s">
        <v>39000</v>
      </c>
      <c r="R6282" s="308" t="s">
        <v>2743</v>
      </c>
      <c r="S6282" s="315" t="s">
        <v>100</v>
      </c>
      <c r="T6282" s="308" t="s">
        <v>34208</v>
      </c>
      <c r="U6282" s="308" t="s">
        <v>530</v>
      </c>
      <c r="V6282" s="308"/>
    </row>
    <row r="6283">
      <c r="A6283" s="308">
        <v>6282.0</v>
      </c>
      <c r="B6283" s="308"/>
      <c r="C6283" s="308" t="s">
        <v>25163</v>
      </c>
      <c r="D6283" s="308">
        <f>IFERROR(__xludf.DUMMYFUNCTION("SPLIT(C6283,""-"")"),6303.0)</f>
        <v>6303</v>
      </c>
      <c r="E6283" s="308" t="str">
        <f>IFERROR(__xludf.DUMMYFUNCTION("""COMPUTED_VALUE"""),"K")</f>
        <v>K</v>
      </c>
      <c r="F6283" s="309" t="s">
        <v>34</v>
      </c>
      <c r="G6283" s="308"/>
      <c r="H6283" s="308" t="s">
        <v>25164</v>
      </c>
      <c r="I6283" s="310">
        <v>42389.0</v>
      </c>
      <c r="J6283" s="319">
        <f>IFERROR(__xludf.DUMMYFUNCTION("SPLIT(I6283,""/"")"),20.0)</f>
        <v>20</v>
      </c>
      <c r="K6283" s="308">
        <f>IFERROR(__xludf.DUMMYFUNCTION("""COMPUTED_VALUE"""),1.0)</f>
        <v>1</v>
      </c>
      <c r="L6283" s="308">
        <f>IFERROR(__xludf.DUMMYFUNCTION("""COMPUTED_VALUE"""),2016.0)</f>
        <v>2016</v>
      </c>
      <c r="M6283" s="308" t="s">
        <v>25165</v>
      </c>
      <c r="N6283" s="308"/>
      <c r="O6283" s="308"/>
      <c r="P6283" s="308" t="s">
        <v>136</v>
      </c>
      <c r="Q6283" s="308" t="s">
        <v>39000</v>
      </c>
      <c r="R6283" s="308" t="s">
        <v>2743</v>
      </c>
      <c r="S6283" s="315" t="s">
        <v>100</v>
      </c>
      <c r="T6283" s="308" t="s">
        <v>34208</v>
      </c>
      <c r="U6283" s="308" t="s">
        <v>542</v>
      </c>
      <c r="V6283" s="308"/>
    </row>
    <row r="6284">
      <c r="A6284" s="308">
        <v>6283.0</v>
      </c>
      <c r="B6284" s="308"/>
      <c r="C6284" s="308" t="s">
        <v>25166</v>
      </c>
      <c r="D6284" s="308">
        <f>IFERROR(__xludf.DUMMYFUNCTION("SPLIT(C6284,""-"")"),6304.0)</f>
        <v>6304</v>
      </c>
      <c r="E6284" s="308" t="str">
        <f>IFERROR(__xludf.DUMMYFUNCTION("""COMPUTED_VALUE"""),"B")</f>
        <v>B</v>
      </c>
      <c r="F6284" s="315" t="s">
        <v>26</v>
      </c>
      <c r="G6284" s="308"/>
      <c r="H6284" s="308" t="s">
        <v>21477</v>
      </c>
      <c r="I6284" s="314">
        <v>43383.0</v>
      </c>
      <c r="J6284" s="319">
        <f>IFERROR(__xludf.DUMMYFUNCTION("SPLIT(I6284,""/"")"),10.0)</f>
        <v>10</v>
      </c>
      <c r="K6284" s="308">
        <f>IFERROR(__xludf.DUMMYFUNCTION("""COMPUTED_VALUE"""),10.0)</f>
        <v>10</v>
      </c>
      <c r="L6284" s="308">
        <f>IFERROR(__xludf.DUMMYFUNCTION("""COMPUTED_VALUE"""),2018.0)</f>
        <v>2018</v>
      </c>
      <c r="M6284" s="308" t="s">
        <v>25167</v>
      </c>
      <c r="N6284" s="308"/>
      <c r="O6284" s="308"/>
      <c r="P6284" s="308" t="s">
        <v>39001</v>
      </c>
      <c r="Q6284" s="308" t="s">
        <v>39000</v>
      </c>
      <c r="R6284" s="308" t="s">
        <v>2743</v>
      </c>
      <c r="S6284" s="308" t="s">
        <v>81</v>
      </c>
      <c r="T6284" s="311" t="s">
        <v>96</v>
      </c>
      <c r="U6284" s="308" t="s">
        <v>27</v>
      </c>
      <c r="V6284" s="308"/>
    </row>
    <row r="6285">
      <c r="A6285" s="308">
        <v>6284.0</v>
      </c>
      <c r="B6285" s="308"/>
      <c r="C6285" s="308" t="s">
        <v>25169</v>
      </c>
      <c r="D6285" s="308">
        <f>IFERROR(__xludf.DUMMYFUNCTION("SPLIT(C6285,""-"")"),6305.0)</f>
        <v>6305</v>
      </c>
      <c r="E6285" s="308" t="str">
        <f>IFERROR(__xludf.DUMMYFUNCTION("""COMPUTED_VALUE"""),"K")</f>
        <v>K</v>
      </c>
      <c r="F6285" s="309" t="s">
        <v>34</v>
      </c>
      <c r="G6285" s="308"/>
      <c r="H6285" s="308" t="s">
        <v>25170</v>
      </c>
      <c r="I6285" s="310">
        <v>40795.0</v>
      </c>
      <c r="J6285" s="319">
        <f>IFERROR(__xludf.DUMMYFUNCTION("SPLIT(I6285,""/"")"),9.0)</f>
        <v>9</v>
      </c>
      <c r="K6285" s="308">
        <f>IFERROR(__xludf.DUMMYFUNCTION("""COMPUTED_VALUE"""),9.0)</f>
        <v>9</v>
      </c>
      <c r="L6285" s="308">
        <f>IFERROR(__xludf.DUMMYFUNCTION("""COMPUTED_VALUE"""),2011.0)</f>
        <v>2011</v>
      </c>
      <c r="M6285" s="308" t="s">
        <v>25171</v>
      </c>
      <c r="N6285" s="308"/>
      <c r="O6285" s="308"/>
      <c r="P6285" s="308" t="s">
        <v>136</v>
      </c>
      <c r="Q6285" s="308" t="s">
        <v>39000</v>
      </c>
      <c r="R6285" s="308" t="s">
        <v>2743</v>
      </c>
      <c r="S6285" s="315" t="s">
        <v>100</v>
      </c>
      <c r="T6285" s="308" t="s">
        <v>34208</v>
      </c>
      <c r="U6285" s="308" t="s">
        <v>2097</v>
      </c>
      <c r="V6285" s="308"/>
    </row>
    <row r="6286">
      <c r="A6286" s="308">
        <v>6285.0</v>
      </c>
      <c r="B6286" s="308"/>
      <c r="C6286" s="308" t="s">
        <v>25172</v>
      </c>
      <c r="D6286" s="308">
        <f>IFERROR(__xludf.DUMMYFUNCTION("SPLIT(C6286,""-"")"),6306.0)</f>
        <v>6306</v>
      </c>
      <c r="E6286" s="308" t="str">
        <f>IFERROR(__xludf.DUMMYFUNCTION("""COMPUTED_VALUE"""),"K")</f>
        <v>K</v>
      </c>
      <c r="F6286" s="309" t="s">
        <v>34</v>
      </c>
      <c r="G6286" s="308"/>
      <c r="H6286" s="308" t="s">
        <v>25173</v>
      </c>
      <c r="I6286" s="310">
        <v>41027.0</v>
      </c>
      <c r="J6286" s="319">
        <f>IFERROR(__xludf.DUMMYFUNCTION("SPLIT(I6286,""/"")"),28.0)</f>
        <v>28</v>
      </c>
      <c r="K6286" s="308">
        <f>IFERROR(__xludf.DUMMYFUNCTION("""COMPUTED_VALUE"""),4.0)</f>
        <v>4</v>
      </c>
      <c r="L6286" s="308">
        <f>IFERROR(__xludf.DUMMYFUNCTION("""COMPUTED_VALUE"""),2012.0)</f>
        <v>2012</v>
      </c>
      <c r="M6286" s="308" t="s">
        <v>25174</v>
      </c>
      <c r="N6286" s="308"/>
      <c r="O6286" s="308"/>
      <c r="P6286" s="308" t="s">
        <v>136</v>
      </c>
      <c r="Q6286" s="308" t="s">
        <v>39000</v>
      </c>
      <c r="R6286" s="308" t="s">
        <v>2743</v>
      </c>
      <c r="S6286" s="315" t="s">
        <v>100</v>
      </c>
      <c r="T6286" s="308" t="s">
        <v>34208</v>
      </c>
      <c r="U6286" s="308" t="s">
        <v>125</v>
      </c>
      <c r="V6286" s="308"/>
    </row>
    <row r="6287">
      <c r="A6287" s="308">
        <v>6286.0</v>
      </c>
      <c r="B6287" s="308"/>
      <c r="C6287" s="308" t="s">
        <v>25175</v>
      </c>
      <c r="D6287" s="308">
        <f>IFERROR(__xludf.DUMMYFUNCTION("SPLIT(C6287,""-"")"),6307.0)</f>
        <v>6307</v>
      </c>
      <c r="E6287" s="308" t="str">
        <f>IFERROR(__xludf.DUMMYFUNCTION("""COMPUTED_VALUE"""),"K")</f>
        <v>K</v>
      </c>
      <c r="F6287" s="309" t="s">
        <v>34</v>
      </c>
      <c r="G6287" s="308"/>
      <c r="H6287" s="308" t="s">
        <v>25176</v>
      </c>
      <c r="I6287" s="310">
        <v>39995.0</v>
      </c>
      <c r="J6287" s="319">
        <f>IFERROR(__xludf.DUMMYFUNCTION("SPLIT(I6287,""/"")"),1.0)</f>
        <v>1</v>
      </c>
      <c r="K6287" s="308">
        <f>IFERROR(__xludf.DUMMYFUNCTION("""COMPUTED_VALUE"""),7.0)</f>
        <v>7</v>
      </c>
      <c r="L6287" s="308">
        <f>IFERROR(__xludf.DUMMYFUNCTION("""COMPUTED_VALUE"""),2009.0)</f>
        <v>2009</v>
      </c>
      <c r="M6287" s="308" t="s">
        <v>25177</v>
      </c>
      <c r="N6287" s="308" t="s">
        <v>25178</v>
      </c>
      <c r="O6287" s="308" t="s">
        <v>22325</v>
      </c>
      <c r="P6287" s="308" t="s">
        <v>136</v>
      </c>
      <c r="Q6287" s="308" t="s">
        <v>39002</v>
      </c>
      <c r="R6287" s="308" t="s">
        <v>2743</v>
      </c>
      <c r="S6287" s="315" t="s">
        <v>100</v>
      </c>
      <c r="T6287" s="308" t="s">
        <v>34208</v>
      </c>
      <c r="U6287" s="308" t="s">
        <v>530</v>
      </c>
      <c r="V6287" s="308"/>
    </row>
    <row r="6288">
      <c r="A6288" s="308">
        <v>6287.0</v>
      </c>
      <c r="B6288" s="308"/>
      <c r="C6288" s="308" t="s">
        <v>25179</v>
      </c>
      <c r="D6288" s="308">
        <f>IFERROR(__xludf.DUMMYFUNCTION("SPLIT(C6288,""-"")"),6308.0)</f>
        <v>6308</v>
      </c>
      <c r="E6288" s="308" t="str">
        <f>IFERROR(__xludf.DUMMYFUNCTION("""COMPUTED_VALUE"""),"K")</f>
        <v>K</v>
      </c>
      <c r="F6288" s="309" t="s">
        <v>34</v>
      </c>
      <c r="G6288" s="308"/>
      <c r="H6288" s="308" t="s">
        <v>25180</v>
      </c>
      <c r="I6288" s="314">
        <v>40112.0</v>
      </c>
      <c r="J6288" s="319">
        <f>IFERROR(__xludf.DUMMYFUNCTION("SPLIT(I6288,""/"")"),26.0)</f>
        <v>26</v>
      </c>
      <c r="K6288" s="308">
        <f>IFERROR(__xludf.DUMMYFUNCTION("""COMPUTED_VALUE"""),10.0)</f>
        <v>10</v>
      </c>
      <c r="L6288" s="308">
        <f>IFERROR(__xludf.DUMMYFUNCTION("""COMPUTED_VALUE"""),2009.0)</f>
        <v>2009</v>
      </c>
      <c r="M6288" s="308" t="s">
        <v>25181</v>
      </c>
      <c r="N6288" s="308"/>
      <c r="O6288" s="308"/>
      <c r="P6288" s="308" t="s">
        <v>136</v>
      </c>
      <c r="Q6288" s="308" t="s">
        <v>39002</v>
      </c>
      <c r="R6288" s="308" t="s">
        <v>2743</v>
      </c>
      <c r="S6288" s="315" t="s">
        <v>100</v>
      </c>
      <c r="T6288" s="308" t="s">
        <v>34208</v>
      </c>
      <c r="U6288" s="308" t="s">
        <v>2989</v>
      </c>
      <c r="V6288" s="308"/>
    </row>
    <row r="6289">
      <c r="A6289" s="308">
        <v>6288.0</v>
      </c>
      <c r="B6289" s="308"/>
      <c r="C6289" s="308" t="s">
        <v>25182</v>
      </c>
      <c r="D6289" s="308">
        <f>IFERROR(__xludf.DUMMYFUNCTION("SPLIT(C6289,""-"")"),6309.0)</f>
        <v>6309</v>
      </c>
      <c r="E6289" s="308" t="str">
        <f>IFERROR(__xludf.DUMMYFUNCTION("""COMPUTED_VALUE"""),"P")</f>
        <v>P</v>
      </c>
      <c r="F6289" s="312" t="s">
        <v>37</v>
      </c>
      <c r="G6289" s="308"/>
      <c r="H6289" s="308" t="s">
        <v>25183</v>
      </c>
      <c r="I6289" s="310">
        <v>43592.0</v>
      </c>
      <c r="J6289" s="319">
        <f>IFERROR(__xludf.DUMMYFUNCTION("SPLIT(I6289,""/"")"),7.0)</f>
        <v>7</v>
      </c>
      <c r="K6289" s="308">
        <f>IFERROR(__xludf.DUMMYFUNCTION("""COMPUTED_VALUE"""),5.0)</f>
        <v>5</v>
      </c>
      <c r="L6289" s="308">
        <f>IFERROR(__xludf.DUMMYFUNCTION("""COMPUTED_VALUE"""),2019.0)</f>
        <v>2019</v>
      </c>
      <c r="M6289" s="308" t="s">
        <v>25184</v>
      </c>
      <c r="N6289" s="308"/>
      <c r="O6289" s="308"/>
      <c r="P6289" s="308" t="s">
        <v>39003</v>
      </c>
      <c r="Q6289" s="308" t="s">
        <v>39002</v>
      </c>
      <c r="R6289" s="308" t="s">
        <v>2743</v>
      </c>
      <c r="S6289" s="308" t="s">
        <v>49</v>
      </c>
      <c r="T6289" s="308" t="s">
        <v>51</v>
      </c>
      <c r="U6289" s="308" t="s">
        <v>2263</v>
      </c>
      <c r="V6289" s="308"/>
    </row>
    <row r="6290">
      <c r="A6290" s="308">
        <v>6289.0</v>
      </c>
      <c r="B6290" s="308"/>
      <c r="C6290" s="308" t="s">
        <v>25186</v>
      </c>
      <c r="D6290" s="308">
        <f>IFERROR(__xludf.DUMMYFUNCTION("SPLIT(C6290,""-"")"),6310.0)</f>
        <v>6310</v>
      </c>
      <c r="E6290" s="308" t="str">
        <f>IFERROR(__xludf.DUMMYFUNCTION("""COMPUTED_VALUE"""),"I")</f>
        <v>I</v>
      </c>
      <c r="F6290" s="309" t="s">
        <v>31</v>
      </c>
      <c r="G6290" s="308"/>
      <c r="H6290" s="308" t="s">
        <v>25187</v>
      </c>
      <c r="I6290" s="310">
        <v>43672.0</v>
      </c>
      <c r="J6290" s="319">
        <f>IFERROR(__xludf.DUMMYFUNCTION("SPLIT(I6290,""/"")"),26.0)</f>
        <v>26</v>
      </c>
      <c r="K6290" s="308">
        <f>IFERROR(__xludf.DUMMYFUNCTION("""COMPUTED_VALUE"""),7.0)</f>
        <v>7</v>
      </c>
      <c r="L6290" s="308">
        <f>IFERROR(__xludf.DUMMYFUNCTION("""COMPUTED_VALUE"""),2019.0)</f>
        <v>2019</v>
      </c>
      <c r="M6290" s="308" t="s">
        <v>25188</v>
      </c>
      <c r="N6290" s="308" t="s">
        <v>25189</v>
      </c>
      <c r="O6290" s="308"/>
      <c r="P6290" s="308" t="s">
        <v>39004</v>
      </c>
      <c r="Q6290" s="308" t="s">
        <v>39002</v>
      </c>
      <c r="R6290" s="308" t="s">
        <v>2743</v>
      </c>
      <c r="S6290" s="308" t="s">
        <v>81</v>
      </c>
      <c r="T6290" s="308" t="s">
        <v>75</v>
      </c>
      <c r="U6290" s="308" t="s">
        <v>31</v>
      </c>
      <c r="V6290" s="308"/>
    </row>
    <row r="6291">
      <c r="A6291" s="308">
        <v>6290.0</v>
      </c>
      <c r="B6291" s="308"/>
      <c r="C6291" s="308" t="s">
        <v>25191</v>
      </c>
      <c r="D6291" s="308">
        <f>IFERROR(__xludf.DUMMYFUNCTION("SPLIT(C6291,""-"")"),6311.0)</f>
        <v>6311</v>
      </c>
      <c r="E6291" s="308" t="str">
        <f>IFERROR(__xludf.DUMMYFUNCTION("""COMPUTED_VALUE"""),"K")</f>
        <v>K</v>
      </c>
      <c r="F6291" s="309" t="s">
        <v>34</v>
      </c>
      <c r="G6291" s="308"/>
      <c r="H6291" s="308" t="s">
        <v>25192</v>
      </c>
      <c r="I6291" s="310">
        <v>43631.0</v>
      </c>
      <c r="J6291" s="319">
        <f>IFERROR(__xludf.DUMMYFUNCTION("SPLIT(I6291,""/"")"),15.0)</f>
        <v>15</v>
      </c>
      <c r="K6291" s="308">
        <f>IFERROR(__xludf.DUMMYFUNCTION("""COMPUTED_VALUE"""),6.0)</f>
        <v>6</v>
      </c>
      <c r="L6291" s="308">
        <f>IFERROR(__xludf.DUMMYFUNCTION("""COMPUTED_VALUE"""),2019.0)</f>
        <v>2019</v>
      </c>
      <c r="M6291" s="308" t="s">
        <v>25193</v>
      </c>
      <c r="N6291" s="308"/>
      <c r="O6291" s="308" t="s">
        <v>25194</v>
      </c>
      <c r="P6291" s="308" t="s">
        <v>136</v>
      </c>
      <c r="Q6291" s="308" t="s">
        <v>39002</v>
      </c>
      <c r="R6291" s="308" t="s">
        <v>2743</v>
      </c>
      <c r="S6291" s="315" t="s">
        <v>100</v>
      </c>
      <c r="T6291" s="308" t="s">
        <v>34208</v>
      </c>
      <c r="U6291" s="308" t="s">
        <v>125</v>
      </c>
      <c r="V6291" s="308"/>
    </row>
    <row r="6292">
      <c r="A6292" s="308">
        <v>6291.0</v>
      </c>
      <c r="B6292" s="308"/>
      <c r="C6292" s="308" t="s">
        <v>25195</v>
      </c>
      <c r="D6292" s="308">
        <f>IFERROR(__xludf.DUMMYFUNCTION("SPLIT(C6292,""-"")"),6312.0)</f>
        <v>6312</v>
      </c>
      <c r="E6292" s="308" t="str">
        <f>IFERROR(__xludf.DUMMYFUNCTION("""COMPUTED_VALUE"""),"K")</f>
        <v>K</v>
      </c>
      <c r="F6292" s="309" t="s">
        <v>34</v>
      </c>
      <c r="G6292" s="308"/>
      <c r="H6292" s="308" t="s">
        <v>25196</v>
      </c>
      <c r="I6292" s="310">
        <v>43631.0</v>
      </c>
      <c r="J6292" s="319">
        <f>IFERROR(__xludf.DUMMYFUNCTION("SPLIT(I6292,""/"")"),15.0)</f>
        <v>15</v>
      </c>
      <c r="K6292" s="308">
        <f>IFERROR(__xludf.DUMMYFUNCTION("""COMPUTED_VALUE"""),6.0)</f>
        <v>6</v>
      </c>
      <c r="L6292" s="308">
        <f>IFERROR(__xludf.DUMMYFUNCTION("""COMPUTED_VALUE"""),2019.0)</f>
        <v>2019</v>
      </c>
      <c r="M6292" s="308" t="s">
        <v>25193</v>
      </c>
      <c r="N6292" s="308"/>
      <c r="O6292" s="308"/>
      <c r="P6292" s="308" t="s">
        <v>39005</v>
      </c>
      <c r="Q6292" s="308" t="s">
        <v>39002</v>
      </c>
      <c r="R6292" s="308" t="s">
        <v>2743</v>
      </c>
      <c r="S6292" s="308" t="s">
        <v>81</v>
      </c>
      <c r="T6292" s="311" t="s">
        <v>96</v>
      </c>
      <c r="U6292" s="308" t="s">
        <v>125</v>
      </c>
      <c r="V6292" s="308"/>
    </row>
    <row r="6293">
      <c r="A6293" s="308">
        <v>6292.0</v>
      </c>
      <c r="B6293" s="308"/>
      <c r="C6293" s="308" t="s">
        <v>25198</v>
      </c>
      <c r="D6293" s="308">
        <f>IFERROR(__xludf.DUMMYFUNCTION("SPLIT(C6293,""-"")"),6313.0)</f>
        <v>6313</v>
      </c>
      <c r="E6293" s="308" t="str">
        <f>IFERROR(__xludf.DUMMYFUNCTION("""COMPUTED_VALUE"""),"K")</f>
        <v>K</v>
      </c>
      <c r="F6293" s="309" t="s">
        <v>34</v>
      </c>
      <c r="G6293" s="308"/>
      <c r="H6293" s="308" t="s">
        <v>25199</v>
      </c>
      <c r="I6293" s="310">
        <v>42100.0</v>
      </c>
      <c r="J6293" s="319">
        <f>IFERROR(__xludf.DUMMYFUNCTION("SPLIT(I6293,""/"")"),6.0)</f>
        <v>6</v>
      </c>
      <c r="K6293" s="308">
        <f>IFERROR(__xludf.DUMMYFUNCTION("""COMPUTED_VALUE"""),4.0)</f>
        <v>4</v>
      </c>
      <c r="L6293" s="308">
        <f>IFERROR(__xludf.DUMMYFUNCTION("""COMPUTED_VALUE"""),2015.0)</f>
        <v>2015</v>
      </c>
      <c r="M6293" s="308" t="s">
        <v>25200</v>
      </c>
      <c r="N6293" s="308"/>
      <c r="O6293" s="308"/>
      <c r="P6293" s="308" t="s">
        <v>136</v>
      </c>
      <c r="Q6293" s="308" t="s">
        <v>39002</v>
      </c>
      <c r="R6293" s="308" t="s">
        <v>2743</v>
      </c>
      <c r="S6293" s="315" t="s">
        <v>100</v>
      </c>
      <c r="T6293" s="308" t="s">
        <v>34208</v>
      </c>
      <c r="U6293" s="308" t="s">
        <v>2989</v>
      </c>
      <c r="V6293" s="308"/>
    </row>
    <row r="6294">
      <c r="A6294" s="308">
        <v>6293.0</v>
      </c>
      <c r="B6294" s="308"/>
      <c r="C6294" s="308" t="s">
        <v>25201</v>
      </c>
      <c r="D6294" s="308">
        <f>IFERROR(__xludf.DUMMYFUNCTION("SPLIT(C6294,""-"")"),6314.0)</f>
        <v>6314</v>
      </c>
      <c r="E6294" s="308" t="str">
        <f>IFERROR(__xludf.DUMMYFUNCTION("""COMPUTED_VALUE"""),"K")</f>
        <v>K</v>
      </c>
      <c r="F6294" s="309" t="s">
        <v>34</v>
      </c>
      <c r="G6294" s="308"/>
      <c r="H6294" s="308" t="s">
        <v>25202</v>
      </c>
      <c r="I6294" s="314">
        <v>41983.0</v>
      </c>
      <c r="J6294" s="319">
        <f>IFERROR(__xludf.DUMMYFUNCTION("SPLIT(I6294,""/"")"),10.0)</f>
        <v>10</v>
      </c>
      <c r="K6294" s="308">
        <f>IFERROR(__xludf.DUMMYFUNCTION("""COMPUTED_VALUE"""),12.0)</f>
        <v>12</v>
      </c>
      <c r="L6294" s="308">
        <f>IFERROR(__xludf.DUMMYFUNCTION("""COMPUTED_VALUE"""),2014.0)</f>
        <v>2014</v>
      </c>
      <c r="M6294" s="308" t="s">
        <v>25203</v>
      </c>
      <c r="N6294" s="308"/>
      <c r="O6294" s="308"/>
      <c r="P6294" s="308" t="s">
        <v>25204</v>
      </c>
      <c r="Q6294" s="308" t="s">
        <v>39002</v>
      </c>
      <c r="R6294" s="308" t="s">
        <v>2743</v>
      </c>
      <c r="S6294" s="308" t="s">
        <v>81</v>
      </c>
      <c r="T6294" s="308" t="s">
        <v>34264</v>
      </c>
      <c r="U6294" s="308" t="s">
        <v>125</v>
      </c>
      <c r="V6294" s="308"/>
    </row>
    <row r="6295">
      <c r="A6295" s="308">
        <v>6294.0</v>
      </c>
      <c r="B6295" s="308"/>
      <c r="C6295" s="308" t="s">
        <v>25205</v>
      </c>
      <c r="D6295" s="308">
        <f>IFERROR(__xludf.DUMMYFUNCTION("SPLIT(C6295,""-"")"),6315.0)</f>
        <v>6315</v>
      </c>
      <c r="E6295" s="308" t="str">
        <f>IFERROR(__xludf.DUMMYFUNCTION("""COMPUTED_VALUE"""),"K")</f>
        <v>K</v>
      </c>
      <c r="F6295" s="309" t="s">
        <v>34</v>
      </c>
      <c r="G6295" s="308"/>
      <c r="H6295" s="308" t="s">
        <v>25206</v>
      </c>
      <c r="I6295" s="310">
        <v>42921.0</v>
      </c>
      <c r="J6295" s="319" t="str">
        <f>IFERROR(__xludf.DUMMYFUNCTION("SPLIT(I6295,""/"")"),"#REF!")</f>
        <v>#REF!</v>
      </c>
      <c r="K6295" s="308"/>
      <c r="L6295" s="308">
        <v>2017.0</v>
      </c>
      <c r="M6295" s="308" t="s">
        <v>25203</v>
      </c>
      <c r="N6295" s="308"/>
      <c r="O6295" s="308" t="s">
        <v>25207</v>
      </c>
      <c r="P6295" s="308" t="s">
        <v>25208</v>
      </c>
      <c r="Q6295" s="308" t="s">
        <v>39002</v>
      </c>
      <c r="R6295" s="308" t="s">
        <v>2743</v>
      </c>
      <c r="S6295" s="308" t="s">
        <v>81</v>
      </c>
      <c r="T6295" s="308" t="s">
        <v>34264</v>
      </c>
      <c r="U6295" s="308" t="s">
        <v>125</v>
      </c>
      <c r="V6295" s="308"/>
    </row>
    <row r="6296">
      <c r="A6296" s="308">
        <v>6295.0</v>
      </c>
      <c r="B6296" s="308"/>
      <c r="C6296" s="308" t="s">
        <v>25209</v>
      </c>
      <c r="D6296" s="308">
        <f>IFERROR(__xludf.DUMMYFUNCTION("SPLIT(C6296,""-"")"),6316.0)</f>
        <v>6316</v>
      </c>
      <c r="E6296" s="308" t="str">
        <f>IFERROR(__xludf.DUMMYFUNCTION("""COMPUTED_VALUE"""),"K")</f>
        <v>K</v>
      </c>
      <c r="F6296" s="309" t="s">
        <v>34</v>
      </c>
      <c r="G6296" s="308"/>
      <c r="H6296" s="308" t="s">
        <v>25210</v>
      </c>
      <c r="I6296" s="314">
        <v>42669.0</v>
      </c>
      <c r="J6296" s="319">
        <f>IFERROR(__xludf.DUMMYFUNCTION("SPLIT(I6296,""/"")"),26.0)</f>
        <v>26</v>
      </c>
      <c r="K6296" s="308">
        <f>IFERROR(__xludf.DUMMYFUNCTION("""COMPUTED_VALUE"""),10.0)</f>
        <v>10</v>
      </c>
      <c r="L6296" s="308">
        <f>IFERROR(__xludf.DUMMYFUNCTION("""COMPUTED_VALUE"""),2016.0)</f>
        <v>2016</v>
      </c>
      <c r="M6296" s="308" t="s">
        <v>25211</v>
      </c>
      <c r="N6296" s="308"/>
      <c r="O6296" s="308"/>
      <c r="P6296" s="308" t="s">
        <v>136</v>
      </c>
      <c r="Q6296" s="308" t="s">
        <v>39002</v>
      </c>
      <c r="R6296" s="308" t="s">
        <v>2743</v>
      </c>
      <c r="S6296" s="315" t="s">
        <v>100</v>
      </c>
      <c r="T6296" s="308" t="s">
        <v>34208</v>
      </c>
      <c r="U6296" s="308" t="s">
        <v>125</v>
      </c>
      <c r="V6296" s="308"/>
    </row>
    <row r="6297">
      <c r="A6297" s="308">
        <v>6296.0</v>
      </c>
      <c r="B6297" s="308"/>
      <c r="C6297" s="308" t="s">
        <v>25212</v>
      </c>
      <c r="D6297" s="308">
        <f>IFERROR(__xludf.DUMMYFUNCTION("SPLIT(C6297,""-"")"),6317.0)</f>
        <v>6317</v>
      </c>
      <c r="E6297" s="308" t="str">
        <f>IFERROR(__xludf.DUMMYFUNCTION("""COMPUTED_VALUE"""),"P")</f>
        <v>P</v>
      </c>
      <c r="F6297" s="312" t="s">
        <v>37</v>
      </c>
      <c r="G6297" s="308"/>
      <c r="H6297" s="308" t="s">
        <v>25213</v>
      </c>
      <c r="I6297" s="310">
        <v>42908.0</v>
      </c>
      <c r="J6297" s="319">
        <f>IFERROR(__xludf.DUMMYFUNCTION("SPLIT(I6297,""/"")"),22.0)</f>
        <v>22</v>
      </c>
      <c r="K6297" s="308">
        <f>IFERROR(__xludf.DUMMYFUNCTION("""COMPUTED_VALUE"""),6.0)</f>
        <v>6</v>
      </c>
      <c r="L6297" s="308">
        <f>IFERROR(__xludf.DUMMYFUNCTION("""COMPUTED_VALUE"""),2017.0)</f>
        <v>2017</v>
      </c>
      <c r="M6297" s="308" t="s">
        <v>25214</v>
      </c>
      <c r="N6297" s="308" t="s">
        <v>25215</v>
      </c>
      <c r="O6297" s="308"/>
      <c r="P6297" s="308" t="s">
        <v>136</v>
      </c>
      <c r="Q6297" s="308" t="s">
        <v>39002</v>
      </c>
      <c r="R6297" s="308" t="s">
        <v>2743</v>
      </c>
      <c r="S6297" s="315" t="s">
        <v>100</v>
      </c>
      <c r="T6297" s="308" t="s">
        <v>34208</v>
      </c>
      <c r="U6297" s="308" t="s">
        <v>149</v>
      </c>
      <c r="V6297" s="308"/>
    </row>
    <row r="6298">
      <c r="A6298" s="308">
        <v>6297.0</v>
      </c>
      <c r="B6298" s="308"/>
      <c r="C6298" s="308" t="s">
        <v>25216</v>
      </c>
      <c r="D6298" s="308">
        <f>IFERROR(__xludf.DUMMYFUNCTION("SPLIT(C6298,""-"")"),6318.0)</f>
        <v>6318</v>
      </c>
      <c r="E6298" s="308" t="str">
        <f>IFERROR(__xludf.DUMMYFUNCTION("""COMPUTED_VALUE"""),"K")</f>
        <v>K</v>
      </c>
      <c r="F6298" s="309" t="s">
        <v>34</v>
      </c>
      <c r="G6298" s="308"/>
      <c r="H6298" s="308" t="s">
        <v>25217</v>
      </c>
      <c r="I6298" s="314">
        <v>43383.0</v>
      </c>
      <c r="J6298" s="319">
        <f>IFERROR(__xludf.DUMMYFUNCTION("SPLIT(I6298,""/"")"),10.0)</f>
        <v>10</v>
      </c>
      <c r="K6298" s="308">
        <f>IFERROR(__xludf.DUMMYFUNCTION("""COMPUTED_VALUE"""),10.0)</f>
        <v>10</v>
      </c>
      <c r="L6298" s="308">
        <f>IFERROR(__xludf.DUMMYFUNCTION("""COMPUTED_VALUE"""),2018.0)</f>
        <v>2018</v>
      </c>
      <c r="M6298" s="308" t="s">
        <v>25218</v>
      </c>
      <c r="N6298" s="308"/>
      <c r="O6298" s="308"/>
      <c r="P6298" s="308"/>
      <c r="Q6298" s="308" t="s">
        <v>39002</v>
      </c>
      <c r="R6298" s="308" t="s">
        <v>2743</v>
      </c>
      <c r="S6298" s="308" t="s">
        <v>79</v>
      </c>
      <c r="T6298" s="308" t="s">
        <v>79</v>
      </c>
      <c r="U6298" s="308" t="s">
        <v>125</v>
      </c>
      <c r="V6298" s="308"/>
    </row>
    <row r="6299">
      <c r="A6299" s="308">
        <v>6298.0</v>
      </c>
      <c r="B6299" s="308"/>
      <c r="C6299" s="308" t="s">
        <v>25219</v>
      </c>
      <c r="D6299" s="308">
        <f>IFERROR(__xludf.DUMMYFUNCTION("SPLIT(C6299,""-"")"),6319.0)</f>
        <v>6319</v>
      </c>
      <c r="E6299" s="308" t="str">
        <f>IFERROR(__xludf.DUMMYFUNCTION("""COMPUTED_VALUE"""),"I")</f>
        <v>I</v>
      </c>
      <c r="F6299" s="309" t="s">
        <v>31</v>
      </c>
      <c r="G6299" s="308"/>
      <c r="H6299" s="308" t="s">
        <v>25220</v>
      </c>
      <c r="I6299" s="310">
        <v>42869.0</v>
      </c>
      <c r="J6299" s="319">
        <f>IFERROR(__xludf.DUMMYFUNCTION("SPLIT(I6299,""/"")"),14.0)</f>
        <v>14</v>
      </c>
      <c r="K6299" s="308">
        <f>IFERROR(__xludf.DUMMYFUNCTION("""COMPUTED_VALUE"""),5.0)</f>
        <v>5</v>
      </c>
      <c r="L6299" s="308">
        <f>IFERROR(__xludf.DUMMYFUNCTION("""COMPUTED_VALUE"""),2017.0)</f>
        <v>2017</v>
      </c>
      <c r="M6299" s="308" t="s">
        <v>25221</v>
      </c>
      <c r="N6299" s="308" t="s">
        <v>25222</v>
      </c>
      <c r="O6299" s="308" t="s">
        <v>25223</v>
      </c>
      <c r="P6299" s="308" t="s">
        <v>39006</v>
      </c>
      <c r="Q6299" s="308" t="s">
        <v>39007</v>
      </c>
      <c r="R6299" s="308" t="s">
        <v>16185</v>
      </c>
      <c r="S6299" s="308" t="s">
        <v>49</v>
      </c>
      <c r="T6299" s="308" t="s">
        <v>51</v>
      </c>
      <c r="U6299" s="308" t="s">
        <v>31</v>
      </c>
      <c r="V6299" s="308"/>
    </row>
    <row r="6300">
      <c r="A6300" s="308">
        <v>6299.0</v>
      </c>
      <c r="B6300" s="308"/>
      <c r="C6300" s="308" t="s">
        <v>25225</v>
      </c>
      <c r="D6300" s="308">
        <f>IFERROR(__xludf.DUMMYFUNCTION("SPLIT(C6300,""-"")"),6320.0)</f>
        <v>6320</v>
      </c>
      <c r="E6300" s="308" t="str">
        <f>IFERROR(__xludf.DUMMYFUNCTION("""COMPUTED_VALUE"""),"P")</f>
        <v>P</v>
      </c>
      <c r="F6300" s="312" t="s">
        <v>37</v>
      </c>
      <c r="G6300" s="308"/>
      <c r="H6300" s="308" t="s">
        <v>25226</v>
      </c>
      <c r="I6300" s="310">
        <v>43605.0</v>
      </c>
      <c r="J6300" s="319">
        <f>IFERROR(__xludf.DUMMYFUNCTION("SPLIT(I6300,""/"")"),20.0)</f>
        <v>20</v>
      </c>
      <c r="K6300" s="308">
        <f>IFERROR(__xludf.DUMMYFUNCTION("""COMPUTED_VALUE"""),5.0)</f>
        <v>5</v>
      </c>
      <c r="L6300" s="308">
        <f>IFERROR(__xludf.DUMMYFUNCTION("""COMPUTED_VALUE"""),2019.0)</f>
        <v>2019</v>
      </c>
      <c r="M6300" s="308" t="s">
        <v>25227</v>
      </c>
      <c r="N6300" s="308" t="s">
        <v>25228</v>
      </c>
      <c r="O6300" s="308"/>
      <c r="P6300" s="308" t="s">
        <v>25229</v>
      </c>
      <c r="Q6300" s="308" t="s">
        <v>39007</v>
      </c>
      <c r="R6300" s="308" t="s">
        <v>16185</v>
      </c>
      <c r="S6300" s="308" t="s">
        <v>81</v>
      </c>
      <c r="T6300" s="311" t="s">
        <v>75</v>
      </c>
      <c r="U6300" s="308" t="s">
        <v>14456</v>
      </c>
      <c r="V6300" s="308"/>
    </row>
    <row r="6301">
      <c r="A6301" s="308">
        <v>6300.0</v>
      </c>
      <c r="B6301" s="308"/>
      <c r="C6301" s="308" t="s">
        <v>25230</v>
      </c>
      <c r="D6301" s="308">
        <f>IFERROR(__xludf.DUMMYFUNCTION("SPLIT(C6301,""-"")"),6321.0)</f>
        <v>6321</v>
      </c>
      <c r="E6301" s="308" t="str">
        <f>IFERROR(__xludf.DUMMYFUNCTION("""COMPUTED_VALUE"""),"P")</f>
        <v>P</v>
      </c>
      <c r="F6301" s="312" t="s">
        <v>37</v>
      </c>
      <c r="G6301" s="308"/>
      <c r="H6301" s="308" t="s">
        <v>25231</v>
      </c>
      <c r="I6301" s="310">
        <v>43627.0</v>
      </c>
      <c r="J6301" s="319">
        <f>IFERROR(__xludf.DUMMYFUNCTION("SPLIT(I6301,""/"")"),11.0)</f>
        <v>11</v>
      </c>
      <c r="K6301" s="308">
        <f>IFERROR(__xludf.DUMMYFUNCTION("""COMPUTED_VALUE"""),6.0)</f>
        <v>6</v>
      </c>
      <c r="L6301" s="308">
        <f>IFERROR(__xludf.DUMMYFUNCTION("""COMPUTED_VALUE"""),2019.0)</f>
        <v>2019</v>
      </c>
      <c r="M6301" s="308" t="s">
        <v>25232</v>
      </c>
      <c r="N6301" s="308" t="s">
        <v>25233</v>
      </c>
      <c r="O6301" s="308"/>
      <c r="P6301" s="308" t="s">
        <v>39008</v>
      </c>
      <c r="Q6301" s="308" t="s">
        <v>39007</v>
      </c>
      <c r="R6301" s="308" t="s">
        <v>16185</v>
      </c>
      <c r="S6301" s="308" t="s">
        <v>81</v>
      </c>
      <c r="T6301" s="308" t="s">
        <v>98</v>
      </c>
      <c r="U6301" s="308" t="s">
        <v>15464</v>
      </c>
      <c r="V6301" s="308"/>
    </row>
    <row r="6302">
      <c r="A6302" s="308">
        <v>6301.0</v>
      </c>
      <c r="B6302" s="308"/>
      <c r="C6302" s="308" t="s">
        <v>25235</v>
      </c>
      <c r="D6302" s="308">
        <f>IFERROR(__xludf.DUMMYFUNCTION("SPLIT(C6302,""-"")"),6322.0)</f>
        <v>6322</v>
      </c>
      <c r="E6302" s="308" t="str">
        <f>IFERROR(__xludf.DUMMYFUNCTION("""COMPUTED_VALUE"""),"S")</f>
        <v>S</v>
      </c>
      <c r="F6302" s="312" t="s">
        <v>39</v>
      </c>
      <c r="G6302" s="308"/>
      <c r="H6302" s="308" t="s">
        <v>25236</v>
      </c>
      <c r="I6302" s="314">
        <v>43418.0</v>
      </c>
      <c r="J6302" s="319">
        <f>IFERROR(__xludf.DUMMYFUNCTION("SPLIT(I6302,""/"")"),14.0)</f>
        <v>14</v>
      </c>
      <c r="K6302" s="308">
        <f>IFERROR(__xludf.DUMMYFUNCTION("""COMPUTED_VALUE"""),11.0)</f>
        <v>11</v>
      </c>
      <c r="L6302" s="308">
        <f>IFERROR(__xludf.DUMMYFUNCTION("""COMPUTED_VALUE"""),2018.0)</f>
        <v>2018</v>
      </c>
      <c r="M6302" s="308" t="s">
        <v>25237</v>
      </c>
      <c r="N6302" s="308" t="s">
        <v>25238</v>
      </c>
      <c r="O6302" s="308"/>
      <c r="P6302" s="308" t="s">
        <v>25239</v>
      </c>
      <c r="Q6302" s="308" t="s">
        <v>39007</v>
      </c>
      <c r="R6302" s="308" t="s">
        <v>16185</v>
      </c>
      <c r="S6302" s="308" t="s">
        <v>81</v>
      </c>
      <c r="T6302" s="308" t="s">
        <v>75</v>
      </c>
      <c r="U6302" s="308" t="s">
        <v>166</v>
      </c>
      <c r="V6302" s="308"/>
    </row>
    <row r="6303">
      <c r="A6303" s="308">
        <v>6302.0</v>
      </c>
      <c r="B6303" s="308"/>
      <c r="C6303" s="308" t="s">
        <v>25240</v>
      </c>
      <c r="D6303" s="308">
        <f>IFERROR(__xludf.DUMMYFUNCTION("SPLIT(C6303,""-"")"),6323.0)</f>
        <v>6323</v>
      </c>
      <c r="E6303" s="308" t="str">
        <f>IFERROR(__xludf.DUMMYFUNCTION("""COMPUTED_VALUE"""),"P")</f>
        <v>P</v>
      </c>
      <c r="F6303" s="312" t="s">
        <v>37</v>
      </c>
      <c r="G6303" s="308"/>
      <c r="H6303" s="308" t="s">
        <v>25241</v>
      </c>
      <c r="I6303" s="310">
        <v>43585.0</v>
      </c>
      <c r="J6303" s="319">
        <f>IFERROR(__xludf.DUMMYFUNCTION("SPLIT(I6303,""/"")"),30.0)</f>
        <v>30</v>
      </c>
      <c r="K6303" s="308">
        <f>IFERROR(__xludf.DUMMYFUNCTION("""COMPUTED_VALUE"""),4.0)</f>
        <v>4</v>
      </c>
      <c r="L6303" s="308">
        <f>IFERROR(__xludf.DUMMYFUNCTION("""COMPUTED_VALUE"""),2019.0)</f>
        <v>2019</v>
      </c>
      <c r="M6303" s="308" t="s">
        <v>25242</v>
      </c>
      <c r="N6303" s="308" t="s">
        <v>25243</v>
      </c>
      <c r="O6303" s="308"/>
      <c r="P6303" s="308" t="s">
        <v>39009</v>
      </c>
      <c r="Q6303" s="308" t="s">
        <v>39007</v>
      </c>
      <c r="R6303" s="308" t="s">
        <v>2743</v>
      </c>
      <c r="S6303" s="308" t="s">
        <v>81</v>
      </c>
      <c r="T6303" s="311" t="s">
        <v>51</v>
      </c>
      <c r="U6303" s="308" t="s">
        <v>149</v>
      </c>
      <c r="V6303" s="308"/>
    </row>
    <row r="6304">
      <c r="A6304" s="308">
        <v>6303.0</v>
      </c>
      <c r="B6304" s="308"/>
      <c r="C6304" s="308" t="s">
        <v>25245</v>
      </c>
      <c r="D6304" s="308">
        <f>IFERROR(__xludf.DUMMYFUNCTION("SPLIT(C6304,""-"")"),6324.0)</f>
        <v>6324</v>
      </c>
      <c r="E6304" s="308" t="str">
        <f>IFERROR(__xludf.DUMMYFUNCTION("""COMPUTED_VALUE"""),"K")</f>
        <v>K</v>
      </c>
      <c r="F6304" s="309" t="s">
        <v>34</v>
      </c>
      <c r="G6304" s="308"/>
      <c r="H6304" s="308" t="s">
        <v>25246</v>
      </c>
      <c r="I6304" s="310">
        <v>39630.0</v>
      </c>
      <c r="J6304" s="319">
        <f>IFERROR(__xludf.DUMMYFUNCTION("SPLIT(I6304,""/"")"),1.0)</f>
        <v>1</v>
      </c>
      <c r="K6304" s="308">
        <f>IFERROR(__xludf.DUMMYFUNCTION("""COMPUTED_VALUE"""),7.0)</f>
        <v>7</v>
      </c>
      <c r="L6304" s="308">
        <f>IFERROR(__xludf.DUMMYFUNCTION("""COMPUTED_VALUE"""),2008.0)</f>
        <v>2008</v>
      </c>
      <c r="M6304" s="308" t="s">
        <v>25247</v>
      </c>
      <c r="N6304" s="308" t="s">
        <v>25248</v>
      </c>
      <c r="O6304" s="308"/>
      <c r="P6304" s="308" t="s">
        <v>39010</v>
      </c>
      <c r="Q6304" s="308" t="s">
        <v>39007</v>
      </c>
      <c r="R6304" s="308" t="s">
        <v>2743</v>
      </c>
      <c r="S6304" s="308" t="s">
        <v>81</v>
      </c>
      <c r="T6304" s="308" t="s">
        <v>34264</v>
      </c>
      <c r="U6304" s="308" t="s">
        <v>530</v>
      </c>
      <c r="V6304" s="308"/>
    </row>
    <row r="6305">
      <c r="A6305" s="308">
        <v>6304.0</v>
      </c>
      <c r="B6305" s="308"/>
      <c r="C6305" s="308" t="s">
        <v>25250</v>
      </c>
      <c r="D6305" s="308">
        <f>IFERROR(__xludf.DUMMYFUNCTION("SPLIT(C6305,""-"")"),6325.0)</f>
        <v>6325</v>
      </c>
      <c r="E6305" s="308" t="str">
        <f>IFERROR(__xludf.DUMMYFUNCTION("""COMPUTED_VALUE"""),"K")</f>
        <v>K</v>
      </c>
      <c r="F6305" s="309" t="s">
        <v>34</v>
      </c>
      <c r="G6305" s="308"/>
      <c r="H6305" s="308" t="s">
        <v>25251</v>
      </c>
      <c r="I6305" s="310">
        <v>39904.0</v>
      </c>
      <c r="J6305" s="319">
        <f>IFERROR(__xludf.DUMMYFUNCTION("SPLIT(I6305,""/"")"),1.0)</f>
        <v>1</v>
      </c>
      <c r="K6305" s="308">
        <f>IFERROR(__xludf.DUMMYFUNCTION("""COMPUTED_VALUE"""),4.0)</f>
        <v>4</v>
      </c>
      <c r="L6305" s="308">
        <f>IFERROR(__xludf.DUMMYFUNCTION("""COMPUTED_VALUE"""),2009.0)</f>
        <v>2009</v>
      </c>
      <c r="M6305" s="308" t="s">
        <v>25252</v>
      </c>
      <c r="N6305" s="308"/>
      <c r="O6305" s="308"/>
      <c r="P6305" s="308" t="s">
        <v>25253</v>
      </c>
      <c r="Q6305" s="308" t="s">
        <v>37037</v>
      </c>
      <c r="R6305" s="308" t="s">
        <v>2743</v>
      </c>
      <c r="S6305" s="308" t="s">
        <v>49</v>
      </c>
      <c r="T6305" s="311" t="s">
        <v>51</v>
      </c>
      <c r="U6305" s="308" t="s">
        <v>2989</v>
      </c>
      <c r="V6305" s="308"/>
    </row>
    <row r="6306">
      <c r="A6306" s="308">
        <v>6305.0</v>
      </c>
      <c r="B6306" s="308"/>
      <c r="C6306" s="308" t="s">
        <v>25254</v>
      </c>
      <c r="D6306" s="308">
        <f>IFERROR(__xludf.DUMMYFUNCTION("SPLIT(C6306,""-"")"),6326.0)</f>
        <v>6326</v>
      </c>
      <c r="E6306" s="308" t="str">
        <f>IFERROR(__xludf.DUMMYFUNCTION("""COMPUTED_VALUE"""),"K")</f>
        <v>K</v>
      </c>
      <c r="F6306" s="309" t="s">
        <v>34</v>
      </c>
      <c r="G6306" s="308"/>
      <c r="H6306" s="308" t="s">
        <v>25255</v>
      </c>
      <c r="I6306" s="310">
        <v>40211.0</v>
      </c>
      <c r="J6306" s="319">
        <f>IFERROR(__xludf.DUMMYFUNCTION("SPLIT(I6306,""/"")"),2.0)</f>
        <v>2</v>
      </c>
      <c r="K6306" s="308">
        <f>IFERROR(__xludf.DUMMYFUNCTION("""COMPUTED_VALUE"""),2.0)</f>
        <v>2</v>
      </c>
      <c r="L6306" s="308">
        <f>IFERROR(__xludf.DUMMYFUNCTION("""COMPUTED_VALUE"""),2010.0)</f>
        <v>2010</v>
      </c>
      <c r="M6306" s="308" t="s">
        <v>25256</v>
      </c>
      <c r="N6306" s="308"/>
      <c r="O6306" s="308"/>
      <c r="P6306" s="308" t="s">
        <v>136</v>
      </c>
      <c r="Q6306" s="308" t="s">
        <v>37037</v>
      </c>
      <c r="R6306" s="308" t="s">
        <v>2743</v>
      </c>
      <c r="S6306" s="315" t="s">
        <v>100</v>
      </c>
      <c r="T6306" s="308" t="s">
        <v>34208</v>
      </c>
      <c r="U6306" s="308" t="s">
        <v>4749</v>
      </c>
      <c r="V6306" s="308"/>
    </row>
    <row r="6307">
      <c r="A6307" s="308">
        <v>6306.0</v>
      </c>
      <c r="B6307" s="308"/>
      <c r="C6307" s="308" t="s">
        <v>25257</v>
      </c>
      <c r="D6307" s="308">
        <f>IFERROR(__xludf.DUMMYFUNCTION("SPLIT(C6307,""-"")"),6327.0)</f>
        <v>6327</v>
      </c>
      <c r="E6307" s="308" t="str">
        <f>IFERROR(__xludf.DUMMYFUNCTION("""COMPUTED_VALUE"""),"S")</f>
        <v>S</v>
      </c>
      <c r="F6307" s="312" t="s">
        <v>39</v>
      </c>
      <c r="G6307" s="308"/>
      <c r="H6307" s="308" t="s">
        <v>25258</v>
      </c>
      <c r="I6307" s="310">
        <v>39995.0</v>
      </c>
      <c r="J6307" s="319">
        <f>IFERROR(__xludf.DUMMYFUNCTION("SPLIT(I6307,""/"")"),1.0)</f>
        <v>1</v>
      </c>
      <c r="K6307" s="308">
        <f>IFERROR(__xludf.DUMMYFUNCTION("""COMPUTED_VALUE"""),7.0)</f>
        <v>7</v>
      </c>
      <c r="L6307" s="308">
        <f>IFERROR(__xludf.DUMMYFUNCTION("""COMPUTED_VALUE"""),2009.0)</f>
        <v>2009</v>
      </c>
      <c r="M6307" s="308" t="s">
        <v>25259</v>
      </c>
      <c r="N6307" s="308" t="s">
        <v>25260</v>
      </c>
      <c r="O6307" s="308"/>
      <c r="P6307" s="308" t="s">
        <v>136</v>
      </c>
      <c r="Q6307" s="308" t="s">
        <v>37037</v>
      </c>
      <c r="R6307" s="308" t="s">
        <v>2743</v>
      </c>
      <c r="S6307" s="315" t="s">
        <v>100</v>
      </c>
      <c r="T6307" s="308" t="s">
        <v>34208</v>
      </c>
      <c r="U6307" s="308" t="s">
        <v>166</v>
      </c>
      <c r="V6307" s="308"/>
    </row>
    <row r="6308">
      <c r="A6308" s="308">
        <v>6307.0</v>
      </c>
      <c r="B6308" s="308"/>
      <c r="C6308" s="308" t="s">
        <v>25261</v>
      </c>
      <c r="D6308" s="308">
        <f>IFERROR(__xludf.DUMMYFUNCTION("SPLIT(C6308,""-"")"),6328.0)</f>
        <v>6328</v>
      </c>
      <c r="E6308" s="308" t="str">
        <f>IFERROR(__xludf.DUMMYFUNCTION("""COMPUTED_VALUE"""),"K")</f>
        <v>K</v>
      </c>
      <c r="F6308" s="309" t="s">
        <v>34</v>
      </c>
      <c r="G6308" s="308"/>
      <c r="H6308" s="308" t="s">
        <v>25262</v>
      </c>
      <c r="I6308" s="310">
        <v>40360.0</v>
      </c>
      <c r="J6308" s="319">
        <f>IFERROR(__xludf.DUMMYFUNCTION("SPLIT(I6308,""/"")"),1.0)</f>
        <v>1</v>
      </c>
      <c r="K6308" s="308">
        <f>IFERROR(__xludf.DUMMYFUNCTION("""COMPUTED_VALUE"""),7.0)</f>
        <v>7</v>
      </c>
      <c r="L6308" s="308">
        <f>IFERROR(__xludf.DUMMYFUNCTION("""COMPUTED_VALUE"""),2010.0)</f>
        <v>2010</v>
      </c>
      <c r="M6308" s="308" t="s">
        <v>25263</v>
      </c>
      <c r="N6308" s="308" t="s">
        <v>25264</v>
      </c>
      <c r="O6308" s="308"/>
      <c r="P6308" s="308" t="s">
        <v>136</v>
      </c>
      <c r="Q6308" s="308" t="s">
        <v>39011</v>
      </c>
      <c r="R6308" s="308" t="s">
        <v>2743</v>
      </c>
      <c r="S6308" s="315" t="s">
        <v>100</v>
      </c>
      <c r="T6308" s="308" t="s">
        <v>34208</v>
      </c>
      <c r="U6308" s="308" t="s">
        <v>530</v>
      </c>
      <c r="V6308" s="308"/>
    </row>
    <row r="6309">
      <c r="A6309" s="308">
        <v>6308.0</v>
      </c>
      <c r="B6309" s="308"/>
      <c r="C6309" s="308" t="s">
        <v>25265</v>
      </c>
      <c r="D6309" s="308">
        <f>IFERROR(__xludf.DUMMYFUNCTION("SPLIT(C6309,""-"")"),6329.0)</f>
        <v>6329</v>
      </c>
      <c r="E6309" s="308" t="str">
        <f>IFERROR(__xludf.DUMMYFUNCTION("""COMPUTED_VALUE"""),"K")</f>
        <v>K</v>
      </c>
      <c r="F6309" s="309" t="s">
        <v>34</v>
      </c>
      <c r="G6309" s="308"/>
      <c r="H6309" s="308" t="s">
        <v>25266</v>
      </c>
      <c r="I6309" s="310">
        <v>43631.0</v>
      </c>
      <c r="J6309" s="319">
        <f>IFERROR(__xludf.DUMMYFUNCTION("SPLIT(I6309,""/"")"),15.0)</f>
        <v>15</v>
      </c>
      <c r="K6309" s="308">
        <f>IFERROR(__xludf.DUMMYFUNCTION("""COMPUTED_VALUE"""),6.0)</f>
        <v>6</v>
      </c>
      <c r="L6309" s="308">
        <f>IFERROR(__xludf.DUMMYFUNCTION("""COMPUTED_VALUE"""),2019.0)</f>
        <v>2019</v>
      </c>
      <c r="M6309" s="308" t="s">
        <v>25267</v>
      </c>
      <c r="N6309" s="308"/>
      <c r="O6309" s="308"/>
      <c r="P6309" s="308" t="s">
        <v>136</v>
      </c>
      <c r="Q6309" s="308" t="s">
        <v>39011</v>
      </c>
      <c r="R6309" s="308" t="s">
        <v>2743</v>
      </c>
      <c r="S6309" s="315" t="s">
        <v>100</v>
      </c>
      <c r="T6309" s="308" t="s">
        <v>34208</v>
      </c>
      <c r="U6309" s="308" t="s">
        <v>125</v>
      </c>
      <c r="V6309" s="308"/>
    </row>
    <row r="6310">
      <c r="A6310" s="308">
        <v>6309.0</v>
      </c>
      <c r="B6310" s="308"/>
      <c r="C6310" s="308" t="s">
        <v>25268</v>
      </c>
      <c r="D6310" s="308">
        <f>IFERROR(__xludf.DUMMYFUNCTION("SPLIT(C6310,""-"")"),6330.0)</f>
        <v>6330</v>
      </c>
      <c r="E6310" s="308" t="str">
        <f>IFERROR(__xludf.DUMMYFUNCTION("""COMPUTED_VALUE"""),"K")</f>
        <v>K</v>
      </c>
      <c r="F6310" s="309" t="s">
        <v>34</v>
      </c>
      <c r="G6310" s="308"/>
      <c r="H6310" s="308" t="s">
        <v>25269</v>
      </c>
      <c r="I6310" s="310">
        <v>43631.0</v>
      </c>
      <c r="J6310" s="319">
        <f>IFERROR(__xludf.DUMMYFUNCTION("SPLIT(I6310,""/"")"),15.0)</f>
        <v>15</v>
      </c>
      <c r="K6310" s="308">
        <f>IFERROR(__xludf.DUMMYFUNCTION("""COMPUTED_VALUE"""),6.0)</f>
        <v>6</v>
      </c>
      <c r="L6310" s="308">
        <f>IFERROR(__xludf.DUMMYFUNCTION("""COMPUTED_VALUE"""),2019.0)</f>
        <v>2019</v>
      </c>
      <c r="M6310" s="308" t="s">
        <v>25267</v>
      </c>
      <c r="N6310" s="308"/>
      <c r="O6310" s="308"/>
      <c r="P6310" s="308" t="s">
        <v>136</v>
      </c>
      <c r="Q6310" s="308" t="s">
        <v>39011</v>
      </c>
      <c r="R6310" s="308" t="s">
        <v>2743</v>
      </c>
      <c r="S6310" s="315" t="s">
        <v>100</v>
      </c>
      <c r="T6310" s="308" t="s">
        <v>34208</v>
      </c>
      <c r="U6310" s="308" t="s">
        <v>125</v>
      </c>
      <c r="V6310" s="308"/>
    </row>
    <row r="6311">
      <c r="A6311" s="308">
        <v>6310.0</v>
      </c>
      <c r="B6311" s="308"/>
      <c r="C6311" s="308" t="s">
        <v>25270</v>
      </c>
      <c r="D6311" s="308">
        <f>IFERROR(__xludf.DUMMYFUNCTION("SPLIT(C6311,""-"")"),6331.0)</f>
        <v>6331</v>
      </c>
      <c r="E6311" s="308" t="str">
        <f>IFERROR(__xludf.DUMMYFUNCTION("""COMPUTED_VALUE"""),"K")</f>
        <v>K</v>
      </c>
      <c r="F6311" s="309" t="s">
        <v>34</v>
      </c>
      <c r="G6311" s="308"/>
      <c r="H6311" s="308" t="s">
        <v>25271</v>
      </c>
      <c r="I6311" s="310">
        <v>39979.0</v>
      </c>
      <c r="J6311" s="319">
        <f>IFERROR(__xludf.DUMMYFUNCTION("SPLIT(I6311,""/"")"),15.0)</f>
        <v>15</v>
      </c>
      <c r="K6311" s="308">
        <f>IFERROR(__xludf.DUMMYFUNCTION("""COMPUTED_VALUE"""),6.0)</f>
        <v>6</v>
      </c>
      <c r="L6311" s="308">
        <f>IFERROR(__xludf.DUMMYFUNCTION("""COMPUTED_VALUE"""),2009.0)</f>
        <v>2009</v>
      </c>
      <c r="M6311" s="308" t="s">
        <v>25272</v>
      </c>
      <c r="N6311" s="308"/>
      <c r="O6311" s="308"/>
      <c r="P6311" s="308" t="s">
        <v>136</v>
      </c>
      <c r="Q6311" s="308" t="s">
        <v>39011</v>
      </c>
      <c r="R6311" s="308" t="s">
        <v>2743</v>
      </c>
      <c r="S6311" s="315" t="s">
        <v>100</v>
      </c>
      <c r="T6311" s="308" t="s">
        <v>34208</v>
      </c>
      <c r="U6311" s="308" t="s">
        <v>2466</v>
      </c>
      <c r="V6311" s="308"/>
    </row>
    <row r="6312">
      <c r="A6312" s="308">
        <v>6311.0</v>
      </c>
      <c r="B6312" s="308"/>
      <c r="C6312" s="308" t="s">
        <v>25273</v>
      </c>
      <c r="D6312" s="308">
        <f>IFERROR(__xludf.DUMMYFUNCTION("SPLIT(C6312,""-"")"),6332.0)</f>
        <v>6332</v>
      </c>
      <c r="E6312" s="308" t="str">
        <f>IFERROR(__xludf.DUMMYFUNCTION("""COMPUTED_VALUE"""),"P")</f>
        <v>P</v>
      </c>
      <c r="F6312" s="312" t="s">
        <v>37</v>
      </c>
      <c r="G6312" s="308"/>
      <c r="H6312" s="308" t="s">
        <v>24431</v>
      </c>
      <c r="I6312" s="310">
        <v>43705.0</v>
      </c>
      <c r="J6312" s="319">
        <f>IFERROR(__xludf.DUMMYFUNCTION("SPLIT(I6312,""/"")"),28.0)</f>
        <v>28</v>
      </c>
      <c r="K6312" s="308">
        <f>IFERROR(__xludf.DUMMYFUNCTION("""COMPUTED_VALUE"""),8.0)</f>
        <v>8</v>
      </c>
      <c r="L6312" s="308">
        <f>IFERROR(__xludf.DUMMYFUNCTION("""COMPUTED_VALUE"""),2019.0)</f>
        <v>2019</v>
      </c>
      <c r="M6312" s="308" t="s">
        <v>24654</v>
      </c>
      <c r="N6312" s="308"/>
      <c r="O6312" s="308"/>
      <c r="P6312" s="308" t="s">
        <v>39012</v>
      </c>
      <c r="Q6312" s="308" t="s">
        <v>39011</v>
      </c>
      <c r="R6312" s="308" t="s">
        <v>2743</v>
      </c>
      <c r="S6312" s="308" t="s">
        <v>81</v>
      </c>
      <c r="T6312" s="308" t="s">
        <v>75</v>
      </c>
      <c r="U6312" s="308" t="s">
        <v>143</v>
      </c>
      <c r="V6312" s="308" t="s">
        <v>25275</v>
      </c>
    </row>
    <row r="6313">
      <c r="A6313" s="308">
        <v>6312.0</v>
      </c>
      <c r="B6313" s="308"/>
      <c r="C6313" s="308" t="s">
        <v>25276</v>
      </c>
      <c r="D6313" s="308">
        <f>IFERROR(__xludf.DUMMYFUNCTION("SPLIT(C6313,""-"")"),6333.0)</f>
        <v>6333</v>
      </c>
      <c r="E6313" s="308" t="str">
        <f>IFERROR(__xludf.DUMMYFUNCTION("""COMPUTED_VALUE"""),"K")</f>
        <v>K</v>
      </c>
      <c r="F6313" s="309" t="s">
        <v>34</v>
      </c>
      <c r="G6313" s="308"/>
      <c r="H6313" s="308" t="s">
        <v>25277</v>
      </c>
      <c r="I6313" s="310">
        <v>42393.0</v>
      </c>
      <c r="J6313" s="319">
        <f>IFERROR(__xludf.DUMMYFUNCTION("SPLIT(I6313,""/"")"),24.0)</f>
        <v>24</v>
      </c>
      <c r="K6313" s="308">
        <f>IFERROR(__xludf.DUMMYFUNCTION("""COMPUTED_VALUE"""),1.0)</f>
        <v>1</v>
      </c>
      <c r="L6313" s="308">
        <f>IFERROR(__xludf.DUMMYFUNCTION("""COMPUTED_VALUE"""),2016.0)</f>
        <v>2016</v>
      </c>
      <c r="M6313" s="308" t="s">
        <v>25278</v>
      </c>
      <c r="N6313" s="308" t="s">
        <v>439</v>
      </c>
      <c r="O6313" s="308" t="s">
        <v>25279</v>
      </c>
      <c r="P6313" s="308" t="s">
        <v>136</v>
      </c>
      <c r="Q6313" s="308" t="s">
        <v>39013</v>
      </c>
      <c r="R6313" s="308" t="s">
        <v>2743</v>
      </c>
      <c r="S6313" s="315" t="s">
        <v>100</v>
      </c>
      <c r="T6313" s="308" t="s">
        <v>34208</v>
      </c>
      <c r="U6313" s="308" t="s">
        <v>2152</v>
      </c>
      <c r="V6313" s="308" t="s">
        <v>25280</v>
      </c>
    </row>
    <row r="6314">
      <c r="A6314" s="308">
        <v>6313.0</v>
      </c>
      <c r="B6314" s="308"/>
      <c r="C6314" s="308" t="s">
        <v>25281</v>
      </c>
      <c r="D6314" s="308">
        <f>IFERROR(__xludf.DUMMYFUNCTION("SPLIT(C6314,""-"")"),6334.0)</f>
        <v>6334</v>
      </c>
      <c r="E6314" s="308" t="str">
        <f>IFERROR(__xludf.DUMMYFUNCTION("""COMPUTED_VALUE"""),"K")</f>
        <v>K</v>
      </c>
      <c r="F6314" s="309" t="s">
        <v>34</v>
      </c>
      <c r="G6314" s="308"/>
      <c r="H6314" s="308" t="s">
        <v>25282</v>
      </c>
      <c r="I6314" s="310">
        <v>43230.0</v>
      </c>
      <c r="J6314" s="319">
        <f>IFERROR(__xludf.DUMMYFUNCTION("SPLIT(I6314,""/"")"),10.0)</f>
        <v>10</v>
      </c>
      <c r="K6314" s="308">
        <f>IFERROR(__xludf.DUMMYFUNCTION("""COMPUTED_VALUE"""),5.0)</f>
        <v>5</v>
      </c>
      <c r="L6314" s="308">
        <f>IFERROR(__xludf.DUMMYFUNCTION("""COMPUTED_VALUE"""),2018.0)</f>
        <v>2018</v>
      </c>
      <c r="M6314" s="308" t="s">
        <v>25283</v>
      </c>
      <c r="N6314" s="308"/>
      <c r="O6314" s="308"/>
      <c r="P6314" s="308" t="s">
        <v>136</v>
      </c>
      <c r="Q6314" s="308" t="s">
        <v>39013</v>
      </c>
      <c r="R6314" s="308" t="s">
        <v>2743</v>
      </c>
      <c r="S6314" s="315" t="s">
        <v>100</v>
      </c>
      <c r="T6314" s="308" t="s">
        <v>34208</v>
      </c>
      <c r="U6314" s="308" t="s">
        <v>25284</v>
      </c>
      <c r="V6314" s="308"/>
    </row>
    <row r="6315">
      <c r="A6315" s="308">
        <v>6314.0</v>
      </c>
      <c r="B6315" s="308"/>
      <c r="C6315" s="308" t="s">
        <v>25285</v>
      </c>
      <c r="D6315" s="308">
        <f>IFERROR(__xludf.DUMMYFUNCTION("SPLIT(C6315,""-"")"),6335.0)</f>
        <v>6335</v>
      </c>
      <c r="E6315" s="308" t="str">
        <f>IFERROR(__xludf.DUMMYFUNCTION("""COMPUTED_VALUE"""),"K")</f>
        <v>K</v>
      </c>
      <c r="F6315" s="309" t="s">
        <v>34</v>
      </c>
      <c r="G6315" s="308"/>
      <c r="H6315" s="308" t="s">
        <v>25286</v>
      </c>
      <c r="I6315" s="310">
        <v>39880.0</v>
      </c>
      <c r="J6315" s="319">
        <f>IFERROR(__xludf.DUMMYFUNCTION("SPLIT(I6315,""/"")"),8.0)</f>
        <v>8</v>
      </c>
      <c r="K6315" s="308">
        <f>IFERROR(__xludf.DUMMYFUNCTION("""COMPUTED_VALUE"""),3.0)</f>
        <v>3</v>
      </c>
      <c r="L6315" s="308">
        <f>IFERROR(__xludf.DUMMYFUNCTION("""COMPUTED_VALUE"""),2009.0)</f>
        <v>2009</v>
      </c>
      <c r="M6315" s="308" t="s">
        <v>25287</v>
      </c>
      <c r="N6315" s="308"/>
      <c r="O6315" s="308"/>
      <c r="P6315" s="308" t="s">
        <v>136</v>
      </c>
      <c r="Q6315" s="308" t="s">
        <v>39014</v>
      </c>
      <c r="R6315" s="308" t="s">
        <v>2743</v>
      </c>
      <c r="S6315" s="315" t="s">
        <v>100</v>
      </c>
      <c r="T6315" s="308" t="s">
        <v>34208</v>
      </c>
      <c r="U6315" s="308" t="s">
        <v>530</v>
      </c>
      <c r="V6315" s="308"/>
    </row>
    <row r="6316">
      <c r="A6316" s="308">
        <v>6315.0</v>
      </c>
      <c r="B6316" s="308"/>
      <c r="C6316" s="308" t="s">
        <v>25288</v>
      </c>
      <c r="D6316" s="308">
        <f>IFERROR(__xludf.DUMMYFUNCTION("SPLIT(C6316,""-"")"),6336.0)</f>
        <v>6336</v>
      </c>
      <c r="E6316" s="308" t="str">
        <f>IFERROR(__xludf.DUMMYFUNCTION("""COMPUTED_VALUE"""),"K")</f>
        <v>K</v>
      </c>
      <c r="F6316" s="309" t="s">
        <v>34</v>
      </c>
      <c r="G6316" s="308"/>
      <c r="H6316" s="308" t="s">
        <v>25289</v>
      </c>
      <c r="I6316" s="310">
        <v>40234.0</v>
      </c>
      <c r="J6316" s="319">
        <f>IFERROR(__xludf.DUMMYFUNCTION("SPLIT(I6316,""/"")"),25.0)</f>
        <v>25</v>
      </c>
      <c r="K6316" s="308">
        <f>IFERROR(__xludf.DUMMYFUNCTION("""COMPUTED_VALUE"""),2.0)</f>
        <v>2</v>
      </c>
      <c r="L6316" s="308">
        <f>IFERROR(__xludf.DUMMYFUNCTION("""COMPUTED_VALUE"""),2010.0)</f>
        <v>2010</v>
      </c>
      <c r="M6316" s="308" t="s">
        <v>25290</v>
      </c>
      <c r="N6316" s="308"/>
      <c r="O6316" s="308" t="s">
        <v>25291</v>
      </c>
      <c r="P6316" s="308" t="s">
        <v>136</v>
      </c>
      <c r="Q6316" s="308" t="s">
        <v>39014</v>
      </c>
      <c r="R6316" s="308" t="s">
        <v>2743</v>
      </c>
      <c r="S6316" s="315" t="s">
        <v>100</v>
      </c>
      <c r="T6316" s="308" t="s">
        <v>34208</v>
      </c>
      <c r="U6316" s="308" t="s">
        <v>125</v>
      </c>
      <c r="V6316" s="308"/>
    </row>
    <row r="6317">
      <c r="A6317" s="308">
        <v>6316.0</v>
      </c>
      <c r="B6317" s="308"/>
      <c r="C6317" s="308" t="s">
        <v>25292</v>
      </c>
      <c r="D6317" s="308">
        <f>IFERROR(__xludf.DUMMYFUNCTION("SPLIT(C6317,""-"")"),6337.0)</f>
        <v>6337</v>
      </c>
      <c r="E6317" s="308" t="str">
        <f>IFERROR(__xludf.DUMMYFUNCTION("""COMPUTED_VALUE"""),"K")</f>
        <v>K</v>
      </c>
      <c r="F6317" s="309" t="s">
        <v>34</v>
      </c>
      <c r="G6317" s="308"/>
      <c r="H6317" s="308" t="s">
        <v>25293</v>
      </c>
      <c r="I6317" s="310">
        <v>40234.0</v>
      </c>
      <c r="J6317" s="319">
        <f>IFERROR(__xludf.DUMMYFUNCTION("SPLIT(I6317,""/"")"),25.0)</f>
        <v>25</v>
      </c>
      <c r="K6317" s="308">
        <f>IFERROR(__xludf.DUMMYFUNCTION("""COMPUTED_VALUE"""),2.0)</f>
        <v>2</v>
      </c>
      <c r="L6317" s="308">
        <f>IFERROR(__xludf.DUMMYFUNCTION("""COMPUTED_VALUE"""),2010.0)</f>
        <v>2010</v>
      </c>
      <c r="M6317" s="308" t="s">
        <v>25290</v>
      </c>
      <c r="N6317" s="308"/>
      <c r="O6317" s="308"/>
      <c r="P6317" s="308" t="s">
        <v>39015</v>
      </c>
      <c r="Q6317" s="308" t="s">
        <v>39014</v>
      </c>
      <c r="R6317" s="308" t="s">
        <v>2743</v>
      </c>
      <c r="S6317" s="308" t="s">
        <v>81</v>
      </c>
      <c r="T6317" s="308" t="s">
        <v>98</v>
      </c>
      <c r="U6317" s="308" t="s">
        <v>125</v>
      </c>
      <c r="V6317" s="308"/>
    </row>
    <row r="6318">
      <c r="A6318" s="308">
        <v>6317.0</v>
      </c>
      <c r="B6318" s="308"/>
      <c r="C6318" s="308" t="s">
        <v>25295</v>
      </c>
      <c r="D6318" s="308">
        <f>IFERROR(__xludf.DUMMYFUNCTION("SPLIT(C6318,""-"")"),6338.0)</f>
        <v>6338</v>
      </c>
      <c r="E6318" s="308" t="str">
        <f>IFERROR(__xludf.DUMMYFUNCTION("""COMPUTED_VALUE"""),"K")</f>
        <v>K</v>
      </c>
      <c r="F6318" s="309" t="s">
        <v>34</v>
      </c>
      <c r="G6318" s="308"/>
      <c r="H6318" s="308" t="s">
        <v>25296</v>
      </c>
      <c r="I6318" s="310">
        <v>40234.0</v>
      </c>
      <c r="J6318" s="319">
        <f>IFERROR(__xludf.DUMMYFUNCTION("SPLIT(I6318,""/"")"),25.0)</f>
        <v>25</v>
      </c>
      <c r="K6318" s="308">
        <f>IFERROR(__xludf.DUMMYFUNCTION("""COMPUTED_VALUE"""),2.0)</f>
        <v>2</v>
      </c>
      <c r="L6318" s="308">
        <f>IFERROR(__xludf.DUMMYFUNCTION("""COMPUTED_VALUE"""),2010.0)</f>
        <v>2010</v>
      </c>
      <c r="M6318" s="308" t="s">
        <v>25290</v>
      </c>
      <c r="N6318" s="308"/>
      <c r="O6318" s="308"/>
      <c r="P6318" s="308" t="s">
        <v>136</v>
      </c>
      <c r="Q6318" s="308" t="s">
        <v>39014</v>
      </c>
      <c r="R6318" s="308" t="s">
        <v>2743</v>
      </c>
      <c r="S6318" s="315" t="s">
        <v>100</v>
      </c>
      <c r="T6318" s="308" t="s">
        <v>34208</v>
      </c>
      <c r="U6318" s="308" t="s">
        <v>125</v>
      </c>
      <c r="V6318" s="308"/>
    </row>
    <row r="6319">
      <c r="A6319" s="308">
        <v>6318.0</v>
      </c>
      <c r="B6319" s="308"/>
      <c r="C6319" s="308" t="s">
        <v>25297</v>
      </c>
      <c r="D6319" s="308">
        <f>IFERROR(__xludf.DUMMYFUNCTION("SPLIT(C6319,""-"")"),6339.0)</f>
        <v>6339</v>
      </c>
      <c r="E6319" s="308" t="str">
        <f>IFERROR(__xludf.DUMMYFUNCTION("""COMPUTED_VALUE"""),"K")</f>
        <v>K</v>
      </c>
      <c r="F6319" s="309" t="s">
        <v>34</v>
      </c>
      <c r="G6319" s="308"/>
      <c r="H6319" s="308" t="s">
        <v>25298</v>
      </c>
      <c r="I6319" s="310">
        <v>40234.0</v>
      </c>
      <c r="J6319" s="319">
        <f>IFERROR(__xludf.DUMMYFUNCTION("SPLIT(I6319,""/"")"),25.0)</f>
        <v>25</v>
      </c>
      <c r="K6319" s="308">
        <f>IFERROR(__xludf.DUMMYFUNCTION("""COMPUTED_VALUE"""),2.0)</f>
        <v>2</v>
      </c>
      <c r="L6319" s="308">
        <f>IFERROR(__xludf.DUMMYFUNCTION("""COMPUTED_VALUE"""),2010.0)</f>
        <v>2010</v>
      </c>
      <c r="M6319" s="308" t="s">
        <v>25290</v>
      </c>
      <c r="N6319" s="308"/>
      <c r="O6319" s="308"/>
      <c r="P6319" s="308" t="s">
        <v>136</v>
      </c>
      <c r="Q6319" s="308" t="s">
        <v>39014</v>
      </c>
      <c r="R6319" s="308" t="s">
        <v>2743</v>
      </c>
      <c r="S6319" s="315" t="s">
        <v>100</v>
      </c>
      <c r="T6319" s="308" t="s">
        <v>34208</v>
      </c>
      <c r="U6319" s="308" t="s">
        <v>125</v>
      </c>
      <c r="V6319" s="308"/>
    </row>
    <row r="6320">
      <c r="A6320" s="308">
        <v>6319.0</v>
      </c>
      <c r="B6320" s="308"/>
      <c r="C6320" s="308" t="s">
        <v>25299</v>
      </c>
      <c r="D6320" s="308">
        <f>IFERROR(__xludf.DUMMYFUNCTION("SPLIT(C6320,""-"")"),6340.0)</f>
        <v>6340</v>
      </c>
      <c r="E6320" s="308" t="str">
        <f>IFERROR(__xludf.DUMMYFUNCTION("""COMPUTED_VALUE"""),"B")</f>
        <v>B</v>
      </c>
      <c r="F6320" s="315" t="s">
        <v>26</v>
      </c>
      <c r="G6320" s="308"/>
      <c r="H6320" s="308" t="s">
        <v>25300</v>
      </c>
      <c r="I6320" s="310">
        <v>41509.0</v>
      </c>
      <c r="J6320" s="319">
        <f>IFERROR(__xludf.DUMMYFUNCTION("SPLIT(I6320,""/"")"),23.0)</f>
        <v>23</v>
      </c>
      <c r="K6320" s="308">
        <f>IFERROR(__xludf.DUMMYFUNCTION("""COMPUTED_VALUE"""),8.0)</f>
        <v>8</v>
      </c>
      <c r="L6320" s="308">
        <f>IFERROR(__xludf.DUMMYFUNCTION("""COMPUTED_VALUE"""),2013.0)</f>
        <v>2013</v>
      </c>
      <c r="M6320" s="308" t="s">
        <v>25301</v>
      </c>
      <c r="N6320" s="308" t="s">
        <v>25302</v>
      </c>
      <c r="O6320" s="308" t="s">
        <v>25303</v>
      </c>
      <c r="P6320" s="308" t="s">
        <v>136</v>
      </c>
      <c r="Q6320" s="308" t="s">
        <v>39014</v>
      </c>
      <c r="R6320" s="308" t="s">
        <v>2743</v>
      </c>
      <c r="S6320" s="315" t="s">
        <v>100</v>
      </c>
      <c r="T6320" s="308" t="s">
        <v>34208</v>
      </c>
      <c r="U6320" s="308" t="s">
        <v>27</v>
      </c>
      <c r="V6320" s="308"/>
    </row>
    <row r="6321">
      <c r="A6321" s="308">
        <v>6320.0</v>
      </c>
      <c r="B6321" s="308"/>
      <c r="C6321" s="308" t="s">
        <v>25304</v>
      </c>
      <c r="D6321" s="308">
        <f>IFERROR(__xludf.DUMMYFUNCTION("SPLIT(C6321,""-"")"),6341.0)</f>
        <v>6341</v>
      </c>
      <c r="E6321" s="308" t="str">
        <f>IFERROR(__xludf.DUMMYFUNCTION("""COMPUTED_VALUE"""),"P")</f>
        <v>P</v>
      </c>
      <c r="F6321" s="312" t="s">
        <v>37</v>
      </c>
      <c r="G6321" s="308"/>
      <c r="H6321" s="308" t="s">
        <v>25305</v>
      </c>
      <c r="I6321" s="310">
        <v>43669.0</v>
      </c>
      <c r="J6321" s="319">
        <f>IFERROR(__xludf.DUMMYFUNCTION("SPLIT(I6321,""/"")"),23.0)</f>
        <v>23</v>
      </c>
      <c r="K6321" s="308">
        <f>IFERROR(__xludf.DUMMYFUNCTION("""COMPUTED_VALUE"""),7.0)</f>
        <v>7</v>
      </c>
      <c r="L6321" s="308">
        <f>IFERROR(__xludf.DUMMYFUNCTION("""COMPUTED_VALUE"""),2019.0)</f>
        <v>2019</v>
      </c>
      <c r="M6321" s="308" t="s">
        <v>25306</v>
      </c>
      <c r="N6321" s="308" t="s">
        <v>25307</v>
      </c>
      <c r="O6321" s="308"/>
      <c r="P6321" s="308" t="s">
        <v>25308</v>
      </c>
      <c r="Q6321" s="308" t="s">
        <v>39016</v>
      </c>
      <c r="R6321" s="308" t="s">
        <v>2743</v>
      </c>
      <c r="S6321" s="308" t="s">
        <v>81</v>
      </c>
      <c r="T6321" s="311" t="s">
        <v>73</v>
      </c>
      <c r="U6321" s="308" t="s">
        <v>3391</v>
      </c>
      <c r="V6321" s="308"/>
    </row>
    <row r="6322">
      <c r="A6322" s="308">
        <v>6321.0</v>
      </c>
      <c r="B6322" s="308"/>
      <c r="C6322" s="308" t="s">
        <v>25309</v>
      </c>
      <c r="D6322" s="308">
        <f>IFERROR(__xludf.DUMMYFUNCTION("SPLIT(C6322,""-"")"),6342.0)</f>
        <v>6342</v>
      </c>
      <c r="E6322" s="308" t="str">
        <f>IFERROR(__xludf.DUMMYFUNCTION("""COMPUTED_VALUE"""),"K")</f>
        <v>K</v>
      </c>
      <c r="F6322" s="309" t="s">
        <v>34</v>
      </c>
      <c r="G6322" s="308"/>
      <c r="H6322" s="308" t="s">
        <v>25310</v>
      </c>
      <c r="I6322" s="310">
        <v>41812.0</v>
      </c>
      <c r="J6322" s="319">
        <f>IFERROR(__xludf.DUMMYFUNCTION("SPLIT(I6322,""/"")"),22.0)</f>
        <v>22</v>
      </c>
      <c r="K6322" s="308">
        <f>IFERROR(__xludf.DUMMYFUNCTION("""COMPUTED_VALUE"""),6.0)</f>
        <v>6</v>
      </c>
      <c r="L6322" s="308">
        <f>IFERROR(__xludf.DUMMYFUNCTION("""COMPUTED_VALUE"""),2014.0)</f>
        <v>2014</v>
      </c>
      <c r="M6322" s="308" t="s">
        <v>25311</v>
      </c>
      <c r="N6322" s="308" t="s">
        <v>25312</v>
      </c>
      <c r="O6322" s="308" t="s">
        <v>39017</v>
      </c>
      <c r="P6322" s="308" t="s">
        <v>136</v>
      </c>
      <c r="Q6322" s="308" t="s">
        <v>39016</v>
      </c>
      <c r="R6322" s="308" t="s">
        <v>2743</v>
      </c>
      <c r="S6322" s="315" t="s">
        <v>100</v>
      </c>
      <c r="T6322" s="308" t="s">
        <v>34208</v>
      </c>
      <c r="U6322" s="308" t="s">
        <v>125</v>
      </c>
      <c r="V6322" s="308"/>
    </row>
    <row r="6323">
      <c r="A6323" s="308">
        <v>6322.0</v>
      </c>
      <c r="B6323" s="308"/>
      <c r="C6323" s="308" t="s">
        <v>25314</v>
      </c>
      <c r="D6323" s="308">
        <f>IFERROR(__xludf.DUMMYFUNCTION("SPLIT(C6323,""-"")"),6343.0)</f>
        <v>6343</v>
      </c>
      <c r="E6323" s="308" t="str">
        <f>IFERROR(__xludf.DUMMYFUNCTION("""COMPUTED_VALUE"""),"S")</f>
        <v>S</v>
      </c>
      <c r="F6323" s="312" t="s">
        <v>39</v>
      </c>
      <c r="G6323" s="308"/>
      <c r="H6323" s="308" t="s">
        <v>25315</v>
      </c>
      <c r="I6323" s="310">
        <v>42791.0</v>
      </c>
      <c r="J6323" s="319">
        <f>IFERROR(__xludf.DUMMYFUNCTION("SPLIT(I6323,""/"")"),25.0)</f>
        <v>25</v>
      </c>
      <c r="K6323" s="308">
        <f>IFERROR(__xludf.DUMMYFUNCTION("""COMPUTED_VALUE"""),2.0)</f>
        <v>2</v>
      </c>
      <c r="L6323" s="308">
        <f>IFERROR(__xludf.DUMMYFUNCTION("""COMPUTED_VALUE"""),2017.0)</f>
        <v>2017</v>
      </c>
      <c r="M6323" s="308" t="s">
        <v>39018</v>
      </c>
      <c r="N6323" s="308" t="s">
        <v>25317</v>
      </c>
      <c r="O6323" s="308"/>
      <c r="P6323" s="308"/>
      <c r="Q6323" s="308" t="s">
        <v>39016</v>
      </c>
      <c r="R6323" s="308" t="s">
        <v>2743</v>
      </c>
      <c r="S6323" s="308" t="s">
        <v>79</v>
      </c>
      <c r="T6323" s="308" t="s">
        <v>79</v>
      </c>
      <c r="U6323" s="308" t="s">
        <v>166</v>
      </c>
      <c r="V6323" s="308"/>
    </row>
    <row r="6324">
      <c r="A6324" s="308">
        <v>6323.0</v>
      </c>
      <c r="B6324" s="308"/>
      <c r="C6324" s="308" t="s">
        <v>25318</v>
      </c>
      <c r="D6324" s="308">
        <f>IFERROR(__xludf.DUMMYFUNCTION("SPLIT(C6324,""-"")"),6344.0)</f>
        <v>6344</v>
      </c>
      <c r="E6324" s="308" t="str">
        <f>IFERROR(__xludf.DUMMYFUNCTION("""COMPUTED_VALUE"""),"K")</f>
        <v>K</v>
      </c>
      <c r="F6324" s="309" t="s">
        <v>34</v>
      </c>
      <c r="G6324" s="308"/>
      <c r="H6324" s="308" t="s">
        <v>25319</v>
      </c>
      <c r="I6324" s="310">
        <v>39988.0</v>
      </c>
      <c r="J6324" s="319">
        <f>IFERROR(__xludf.DUMMYFUNCTION("SPLIT(I6324,""/"")"),24.0)</f>
        <v>24</v>
      </c>
      <c r="K6324" s="308">
        <f>IFERROR(__xludf.DUMMYFUNCTION("""COMPUTED_VALUE"""),6.0)</f>
        <v>6</v>
      </c>
      <c r="L6324" s="308">
        <f>IFERROR(__xludf.DUMMYFUNCTION("""COMPUTED_VALUE"""),2009.0)</f>
        <v>2009</v>
      </c>
      <c r="M6324" s="308" t="s">
        <v>25320</v>
      </c>
      <c r="N6324" s="308" t="s">
        <v>25321</v>
      </c>
      <c r="O6324" s="308"/>
      <c r="P6324" s="308" t="s">
        <v>39019</v>
      </c>
      <c r="Q6324" s="308" t="s">
        <v>39016</v>
      </c>
      <c r="R6324" s="308" t="s">
        <v>2743</v>
      </c>
      <c r="S6324" s="308" t="s">
        <v>49</v>
      </c>
      <c r="T6324" s="308" t="s">
        <v>51</v>
      </c>
      <c r="U6324" s="308" t="s">
        <v>125</v>
      </c>
      <c r="V6324" s="308"/>
    </row>
    <row r="6325">
      <c r="A6325" s="308">
        <v>6324.0</v>
      </c>
      <c r="B6325" s="308"/>
      <c r="C6325" s="308" t="s">
        <v>25323</v>
      </c>
      <c r="D6325" s="308">
        <f>IFERROR(__xludf.DUMMYFUNCTION("SPLIT(C6325,""-"")"),6345.0)</f>
        <v>6345</v>
      </c>
      <c r="E6325" s="308" t="str">
        <f>IFERROR(__xludf.DUMMYFUNCTION("""COMPUTED_VALUE"""),"I")</f>
        <v>I</v>
      </c>
      <c r="F6325" s="309" t="s">
        <v>31</v>
      </c>
      <c r="G6325" s="308"/>
      <c r="H6325" s="308" t="s">
        <v>25324</v>
      </c>
      <c r="I6325" s="310">
        <v>43708.0</v>
      </c>
      <c r="J6325" s="319">
        <f>IFERROR(__xludf.DUMMYFUNCTION("SPLIT(I6325,""/"")"),31.0)</f>
        <v>31</v>
      </c>
      <c r="K6325" s="308">
        <f>IFERROR(__xludf.DUMMYFUNCTION("""COMPUTED_VALUE"""),8.0)</f>
        <v>8</v>
      </c>
      <c r="L6325" s="308">
        <f>IFERROR(__xludf.DUMMYFUNCTION("""COMPUTED_VALUE"""),2019.0)</f>
        <v>2019</v>
      </c>
      <c r="M6325" s="308" t="s">
        <v>25325</v>
      </c>
      <c r="N6325" s="308" t="s">
        <v>439</v>
      </c>
      <c r="O6325" s="308"/>
      <c r="P6325" s="308" t="s">
        <v>39020</v>
      </c>
      <c r="Q6325" s="308" t="s">
        <v>39016</v>
      </c>
      <c r="R6325" s="308" t="s">
        <v>2743</v>
      </c>
      <c r="S6325" s="308" t="s">
        <v>81</v>
      </c>
      <c r="T6325" s="311" t="s">
        <v>51</v>
      </c>
      <c r="U6325" s="308" t="s">
        <v>31</v>
      </c>
      <c r="V6325" s="308"/>
    </row>
    <row r="6326">
      <c r="A6326" s="308">
        <v>6325.0</v>
      </c>
      <c r="B6326" s="308"/>
      <c r="C6326" s="308" t="s">
        <v>25327</v>
      </c>
      <c r="D6326" s="308">
        <f>IFERROR(__xludf.DUMMYFUNCTION("SPLIT(C6326,""-"")"),6346.0)</f>
        <v>6346</v>
      </c>
      <c r="E6326" s="308" t="str">
        <f>IFERROR(__xludf.DUMMYFUNCTION("""COMPUTED_VALUE"""),"K")</f>
        <v>K</v>
      </c>
      <c r="F6326" s="309" t="s">
        <v>34</v>
      </c>
      <c r="G6326" s="308"/>
      <c r="H6326" s="308" t="s">
        <v>25328</v>
      </c>
      <c r="I6326" s="310">
        <v>41798.0</v>
      </c>
      <c r="J6326" s="319">
        <f>IFERROR(__xludf.DUMMYFUNCTION("SPLIT(I6326,""/"")"),8.0)</f>
        <v>8</v>
      </c>
      <c r="K6326" s="308">
        <f>IFERROR(__xludf.DUMMYFUNCTION("""COMPUTED_VALUE"""),6.0)</f>
        <v>6</v>
      </c>
      <c r="L6326" s="308">
        <f>IFERROR(__xludf.DUMMYFUNCTION("""COMPUTED_VALUE"""),2014.0)</f>
        <v>2014</v>
      </c>
      <c r="M6326" s="308" t="s">
        <v>25329</v>
      </c>
      <c r="N6326" s="308" t="s">
        <v>25330</v>
      </c>
      <c r="O6326" s="308"/>
      <c r="P6326" s="308" t="s">
        <v>39021</v>
      </c>
      <c r="Q6326" s="308" t="s">
        <v>39022</v>
      </c>
      <c r="R6326" s="308" t="s">
        <v>2743</v>
      </c>
      <c r="S6326" s="308" t="s">
        <v>49</v>
      </c>
      <c r="T6326" s="308" t="s">
        <v>51</v>
      </c>
      <c r="U6326" s="308" t="s">
        <v>941</v>
      </c>
      <c r="V6326" s="308"/>
    </row>
    <row r="6327">
      <c r="A6327" s="308">
        <v>6326.0</v>
      </c>
      <c r="B6327" s="308"/>
      <c r="C6327" s="308" t="s">
        <v>25332</v>
      </c>
      <c r="D6327" s="308">
        <f>IFERROR(__xludf.DUMMYFUNCTION("SPLIT(C6327,""-"")"),6347.0)</f>
        <v>6347</v>
      </c>
      <c r="E6327" s="308" t="str">
        <f>IFERROR(__xludf.DUMMYFUNCTION("""COMPUTED_VALUE"""),"K")</f>
        <v>K</v>
      </c>
      <c r="F6327" s="309" t="s">
        <v>34</v>
      </c>
      <c r="G6327" s="308"/>
      <c r="H6327" s="308" t="s">
        <v>25333</v>
      </c>
      <c r="I6327" s="310">
        <v>43659.0</v>
      </c>
      <c r="J6327" s="319">
        <f>IFERROR(__xludf.DUMMYFUNCTION("SPLIT(I6327,""/"")"),13.0)</f>
        <v>13</v>
      </c>
      <c r="K6327" s="308">
        <f>IFERROR(__xludf.DUMMYFUNCTION("""COMPUTED_VALUE"""),7.0)</f>
        <v>7</v>
      </c>
      <c r="L6327" s="308">
        <f>IFERROR(__xludf.DUMMYFUNCTION("""COMPUTED_VALUE"""),2019.0)</f>
        <v>2019</v>
      </c>
      <c r="M6327" s="308" t="s">
        <v>25334</v>
      </c>
      <c r="N6327" s="308" t="s">
        <v>25335</v>
      </c>
      <c r="O6327" s="308"/>
      <c r="P6327" s="308" t="s">
        <v>25336</v>
      </c>
      <c r="Q6327" s="308" t="s">
        <v>39022</v>
      </c>
      <c r="R6327" s="308" t="s">
        <v>2743</v>
      </c>
      <c r="S6327" s="308" t="s">
        <v>81</v>
      </c>
      <c r="T6327" s="311" t="s">
        <v>73</v>
      </c>
      <c r="U6327" s="308" t="s">
        <v>1509</v>
      </c>
      <c r="V6327" s="308"/>
    </row>
    <row r="6328">
      <c r="A6328" s="308">
        <v>6327.0</v>
      </c>
      <c r="B6328" s="308"/>
      <c r="C6328" s="308" t="s">
        <v>25337</v>
      </c>
      <c r="D6328" s="308">
        <f>IFERROR(__xludf.DUMMYFUNCTION("SPLIT(C6328,""-"")"),6348.0)</f>
        <v>6348</v>
      </c>
      <c r="E6328" s="308" t="str">
        <f>IFERROR(__xludf.DUMMYFUNCTION("""COMPUTED_VALUE"""),"P")</f>
        <v>P</v>
      </c>
      <c r="F6328" s="312" t="s">
        <v>37</v>
      </c>
      <c r="G6328" s="308"/>
      <c r="H6328" s="308" t="s">
        <v>25338</v>
      </c>
      <c r="I6328" s="310">
        <v>43704.0</v>
      </c>
      <c r="J6328" s="319">
        <f>IFERROR(__xludf.DUMMYFUNCTION("SPLIT(I6328,""/"")"),27.0)</f>
        <v>27</v>
      </c>
      <c r="K6328" s="308">
        <f>IFERROR(__xludf.DUMMYFUNCTION("""COMPUTED_VALUE"""),8.0)</f>
        <v>8</v>
      </c>
      <c r="L6328" s="308">
        <f>IFERROR(__xludf.DUMMYFUNCTION("""COMPUTED_VALUE"""),2019.0)</f>
        <v>2019</v>
      </c>
      <c r="M6328" s="308" t="s">
        <v>25339</v>
      </c>
      <c r="N6328" s="308" t="s">
        <v>25340</v>
      </c>
      <c r="O6328" s="308"/>
      <c r="P6328" s="308" t="s">
        <v>25341</v>
      </c>
      <c r="Q6328" s="308" t="s">
        <v>39022</v>
      </c>
      <c r="R6328" s="308" t="s">
        <v>24395</v>
      </c>
      <c r="S6328" s="308" t="s">
        <v>81</v>
      </c>
      <c r="T6328" s="311" t="s">
        <v>51</v>
      </c>
      <c r="U6328" s="308" t="s">
        <v>19781</v>
      </c>
      <c r="V6328" s="308"/>
    </row>
    <row r="6329">
      <c r="A6329" s="308">
        <v>6328.0</v>
      </c>
      <c r="B6329" s="308"/>
      <c r="C6329" s="308" t="s">
        <v>25342</v>
      </c>
      <c r="D6329" s="308">
        <f>IFERROR(__xludf.DUMMYFUNCTION("SPLIT(C6329,""-"")"),6349.0)</f>
        <v>6349</v>
      </c>
      <c r="E6329" s="308" t="str">
        <f>IFERROR(__xludf.DUMMYFUNCTION("""COMPUTED_VALUE"""),"P")</f>
        <v>P</v>
      </c>
      <c r="F6329" s="312" t="s">
        <v>37</v>
      </c>
      <c r="G6329" s="308"/>
      <c r="H6329" s="308" t="s">
        <v>25343</v>
      </c>
      <c r="I6329" s="310">
        <v>43699.0</v>
      </c>
      <c r="J6329" s="319">
        <f>IFERROR(__xludf.DUMMYFUNCTION("SPLIT(I6329,""/"")"),22.0)</f>
        <v>22</v>
      </c>
      <c r="K6329" s="308">
        <f>IFERROR(__xludf.DUMMYFUNCTION("""COMPUTED_VALUE"""),8.0)</f>
        <v>8</v>
      </c>
      <c r="L6329" s="308">
        <f>IFERROR(__xludf.DUMMYFUNCTION("""COMPUTED_VALUE"""),2019.0)</f>
        <v>2019</v>
      </c>
      <c r="M6329" s="308" t="s">
        <v>25344</v>
      </c>
      <c r="N6329" s="308" t="s">
        <v>25345</v>
      </c>
      <c r="O6329" s="308"/>
      <c r="P6329" s="308" t="s">
        <v>39023</v>
      </c>
      <c r="Q6329" s="308" t="s">
        <v>39022</v>
      </c>
      <c r="R6329" s="308" t="s">
        <v>2743</v>
      </c>
      <c r="S6329" s="308" t="s">
        <v>81</v>
      </c>
      <c r="T6329" s="311" t="s">
        <v>75</v>
      </c>
      <c r="U6329" s="308" t="s">
        <v>149</v>
      </c>
      <c r="V6329" s="308"/>
    </row>
    <row r="6330">
      <c r="A6330" s="308">
        <v>6329.0</v>
      </c>
      <c r="B6330" s="308"/>
      <c r="C6330" s="308" t="s">
        <v>25347</v>
      </c>
      <c r="D6330" s="308">
        <f>IFERROR(__xludf.DUMMYFUNCTION("SPLIT(C6330,""-"")"),6350.0)</f>
        <v>6350</v>
      </c>
      <c r="E6330" s="308" t="str">
        <f>IFERROR(__xludf.DUMMYFUNCTION("""COMPUTED_VALUE"""),"K")</f>
        <v>K</v>
      </c>
      <c r="F6330" s="309" t="s">
        <v>34</v>
      </c>
      <c r="G6330" s="308"/>
      <c r="H6330" s="308" t="s">
        <v>25348</v>
      </c>
      <c r="I6330" s="310">
        <v>40360.0</v>
      </c>
      <c r="J6330" s="319">
        <f>IFERROR(__xludf.DUMMYFUNCTION("SPLIT(I6330,""/"")"),1.0)</f>
        <v>1</v>
      </c>
      <c r="K6330" s="308">
        <f>IFERROR(__xludf.DUMMYFUNCTION("""COMPUTED_VALUE"""),7.0)</f>
        <v>7</v>
      </c>
      <c r="L6330" s="308">
        <f>IFERROR(__xludf.DUMMYFUNCTION("""COMPUTED_VALUE"""),2010.0)</f>
        <v>2010</v>
      </c>
      <c r="M6330" s="308" t="s">
        <v>25349</v>
      </c>
      <c r="N6330" s="308" t="s">
        <v>25350</v>
      </c>
      <c r="O6330" s="308" t="s">
        <v>25351</v>
      </c>
      <c r="P6330" s="308" t="s">
        <v>136</v>
      </c>
      <c r="Q6330" s="308" t="s">
        <v>39022</v>
      </c>
      <c r="R6330" s="308" t="s">
        <v>2743</v>
      </c>
      <c r="S6330" s="315" t="s">
        <v>100</v>
      </c>
      <c r="T6330" s="308" t="s">
        <v>34208</v>
      </c>
      <c r="U6330" s="308" t="s">
        <v>530</v>
      </c>
      <c r="V6330" s="308"/>
    </row>
    <row r="6331">
      <c r="A6331" s="308">
        <v>6330.0</v>
      </c>
      <c r="B6331" s="308"/>
      <c r="C6331" s="308" t="s">
        <v>25352</v>
      </c>
      <c r="D6331" s="308">
        <f>IFERROR(__xludf.DUMMYFUNCTION("SPLIT(C6331,""-"")"),6351.0)</f>
        <v>6351</v>
      </c>
      <c r="E6331" s="308" t="str">
        <f>IFERROR(__xludf.DUMMYFUNCTION("""COMPUTED_VALUE"""),"K")</f>
        <v>K</v>
      </c>
      <c r="F6331" s="309" t="s">
        <v>34</v>
      </c>
      <c r="G6331" s="308"/>
      <c r="H6331" s="308" t="s">
        <v>25353</v>
      </c>
      <c r="I6331" s="314">
        <v>40140.0</v>
      </c>
      <c r="J6331" s="319">
        <f>IFERROR(__xludf.DUMMYFUNCTION("SPLIT(I6331,""/"")"),23.0)</f>
        <v>23</v>
      </c>
      <c r="K6331" s="308">
        <f>IFERROR(__xludf.DUMMYFUNCTION("""COMPUTED_VALUE"""),11.0)</f>
        <v>11</v>
      </c>
      <c r="L6331" s="308">
        <f>IFERROR(__xludf.DUMMYFUNCTION("""COMPUTED_VALUE"""),2009.0)</f>
        <v>2009</v>
      </c>
      <c r="M6331" s="308" t="s">
        <v>25354</v>
      </c>
      <c r="N6331" s="308" t="s">
        <v>25355</v>
      </c>
      <c r="O6331" s="308"/>
      <c r="P6331" s="308" t="s">
        <v>136</v>
      </c>
      <c r="Q6331" s="308" t="s">
        <v>39024</v>
      </c>
      <c r="R6331" s="308" t="s">
        <v>2743</v>
      </c>
      <c r="S6331" s="315" t="s">
        <v>100</v>
      </c>
      <c r="T6331" s="308" t="s">
        <v>34208</v>
      </c>
      <c r="U6331" s="308" t="s">
        <v>530</v>
      </c>
      <c r="V6331" s="308"/>
    </row>
    <row r="6332">
      <c r="A6332" s="308">
        <v>6331.0</v>
      </c>
      <c r="B6332" s="308"/>
      <c r="C6332" s="308" t="s">
        <v>25356</v>
      </c>
      <c r="D6332" s="308">
        <f>IFERROR(__xludf.DUMMYFUNCTION("SPLIT(C6332,""-"")"),6352.0)</f>
        <v>6352</v>
      </c>
      <c r="E6332" s="308" t="str">
        <f>IFERROR(__xludf.DUMMYFUNCTION("""COMPUTED_VALUE"""),"P")</f>
        <v>P</v>
      </c>
      <c r="F6332" s="312" t="s">
        <v>37</v>
      </c>
      <c r="G6332" s="308"/>
      <c r="H6332" s="308" t="s">
        <v>25357</v>
      </c>
      <c r="I6332" s="310">
        <v>40225.0</v>
      </c>
      <c r="J6332" s="319">
        <f>IFERROR(__xludf.DUMMYFUNCTION("SPLIT(I6332,""/"")"),16.0)</f>
        <v>16</v>
      </c>
      <c r="K6332" s="308">
        <f>IFERROR(__xludf.DUMMYFUNCTION("""COMPUTED_VALUE"""),2.0)</f>
        <v>2</v>
      </c>
      <c r="L6332" s="308">
        <f>IFERROR(__xludf.DUMMYFUNCTION("""COMPUTED_VALUE"""),2010.0)</f>
        <v>2010</v>
      </c>
      <c r="M6332" s="308" t="s">
        <v>25358</v>
      </c>
      <c r="N6332" s="308"/>
      <c r="O6332" s="308"/>
      <c r="P6332" s="308" t="s">
        <v>136</v>
      </c>
      <c r="Q6332" s="308" t="s">
        <v>39025</v>
      </c>
      <c r="R6332" s="308" t="s">
        <v>2743</v>
      </c>
      <c r="S6332" s="315" t="s">
        <v>100</v>
      </c>
      <c r="T6332" s="308" t="s">
        <v>34208</v>
      </c>
      <c r="U6332" s="308" t="s">
        <v>143</v>
      </c>
      <c r="V6332" s="308" t="s">
        <v>25359</v>
      </c>
    </row>
    <row r="6333">
      <c r="A6333" s="308">
        <v>6332.0</v>
      </c>
      <c r="B6333" s="308"/>
      <c r="C6333" s="308" t="s">
        <v>25360</v>
      </c>
      <c r="D6333" s="308">
        <f>IFERROR(__xludf.DUMMYFUNCTION("SPLIT(C6333,""-"")"),6353.0)</f>
        <v>6353</v>
      </c>
      <c r="E6333" s="308" t="str">
        <f>IFERROR(__xludf.DUMMYFUNCTION("""COMPUTED_VALUE"""),"K")</f>
        <v>K</v>
      </c>
      <c r="F6333" s="309" t="s">
        <v>34</v>
      </c>
      <c r="G6333" s="308"/>
      <c r="H6333" s="308" t="s">
        <v>25361</v>
      </c>
      <c r="I6333" s="310">
        <v>42186.0</v>
      </c>
      <c r="J6333" s="319">
        <f>IFERROR(__xludf.DUMMYFUNCTION("SPLIT(I6333,""/"")"),1.0)</f>
        <v>1</v>
      </c>
      <c r="K6333" s="308">
        <f>IFERROR(__xludf.DUMMYFUNCTION("""COMPUTED_VALUE"""),7.0)</f>
        <v>7</v>
      </c>
      <c r="L6333" s="308">
        <f>IFERROR(__xludf.DUMMYFUNCTION("""COMPUTED_VALUE"""),2015.0)</f>
        <v>2015</v>
      </c>
      <c r="M6333" s="308" t="s">
        <v>25362</v>
      </c>
      <c r="N6333" s="308"/>
      <c r="O6333" s="308"/>
      <c r="P6333" s="308" t="s">
        <v>136</v>
      </c>
      <c r="Q6333" s="308" t="s">
        <v>39026</v>
      </c>
      <c r="R6333" s="308" t="s">
        <v>2743</v>
      </c>
      <c r="S6333" s="315" t="s">
        <v>100</v>
      </c>
      <c r="T6333" s="308" t="s">
        <v>34208</v>
      </c>
      <c r="U6333" s="308" t="s">
        <v>125</v>
      </c>
      <c r="V6333" s="308"/>
    </row>
    <row r="6334">
      <c r="A6334" s="308">
        <v>6333.0</v>
      </c>
      <c r="B6334" s="308"/>
      <c r="C6334" s="308" t="s">
        <v>25363</v>
      </c>
      <c r="D6334" s="308">
        <f>IFERROR(__xludf.DUMMYFUNCTION("SPLIT(C6334,""-"")"),6354.0)</f>
        <v>6354</v>
      </c>
      <c r="E6334" s="308" t="str">
        <f>IFERROR(__xludf.DUMMYFUNCTION("""COMPUTED_VALUE"""),"K")</f>
        <v>K</v>
      </c>
      <c r="F6334" s="309" t="s">
        <v>34</v>
      </c>
      <c r="G6334" s="308"/>
      <c r="H6334" s="308" t="s">
        <v>25364</v>
      </c>
      <c r="I6334" s="310">
        <v>39995.0</v>
      </c>
      <c r="J6334" s="319">
        <f>IFERROR(__xludf.DUMMYFUNCTION("SPLIT(I6334,""/"")"),1.0)</f>
        <v>1</v>
      </c>
      <c r="K6334" s="308">
        <f>IFERROR(__xludf.DUMMYFUNCTION("""COMPUTED_VALUE"""),7.0)</f>
        <v>7</v>
      </c>
      <c r="L6334" s="308">
        <f>IFERROR(__xludf.DUMMYFUNCTION("""COMPUTED_VALUE"""),2009.0)</f>
        <v>2009</v>
      </c>
      <c r="M6334" s="308" t="s">
        <v>25365</v>
      </c>
      <c r="N6334" s="308" t="s">
        <v>25366</v>
      </c>
      <c r="O6334" s="312"/>
      <c r="P6334" s="308" t="s">
        <v>39027</v>
      </c>
      <c r="Q6334" s="308" t="s">
        <v>39026</v>
      </c>
      <c r="R6334" s="308" t="s">
        <v>2743</v>
      </c>
      <c r="S6334" s="308" t="s">
        <v>81</v>
      </c>
      <c r="T6334" s="308" t="s">
        <v>34264</v>
      </c>
      <c r="U6334" s="308" t="s">
        <v>530</v>
      </c>
      <c r="V6334" s="308"/>
    </row>
    <row r="6335">
      <c r="A6335" s="308">
        <v>6334.0</v>
      </c>
      <c r="B6335" s="308"/>
      <c r="C6335" s="308" t="s">
        <v>25368</v>
      </c>
      <c r="D6335" s="308">
        <f>IFERROR(__xludf.DUMMYFUNCTION("SPLIT(C6335,""-"")"),6355.0)</f>
        <v>6355</v>
      </c>
      <c r="E6335" s="308" t="str">
        <f>IFERROR(__xludf.DUMMYFUNCTION("""COMPUTED_VALUE"""),"K")</f>
        <v>K</v>
      </c>
      <c r="F6335" s="309" t="s">
        <v>34</v>
      </c>
      <c r="G6335" s="308"/>
      <c r="H6335" s="308" t="s">
        <v>25369</v>
      </c>
      <c r="I6335" s="310">
        <v>42570.0</v>
      </c>
      <c r="J6335" s="319">
        <f>IFERROR(__xludf.DUMMYFUNCTION("SPLIT(I6335,""/"")"),19.0)</f>
        <v>19</v>
      </c>
      <c r="K6335" s="308">
        <f>IFERROR(__xludf.DUMMYFUNCTION("""COMPUTED_VALUE"""),7.0)</f>
        <v>7</v>
      </c>
      <c r="L6335" s="308">
        <f>IFERROR(__xludf.DUMMYFUNCTION("""COMPUTED_VALUE"""),2016.0)</f>
        <v>2016</v>
      </c>
      <c r="M6335" s="308" t="s">
        <v>25370</v>
      </c>
      <c r="N6335" s="308" t="s">
        <v>25371</v>
      </c>
      <c r="O6335" s="308" t="s">
        <v>25372</v>
      </c>
      <c r="P6335" s="308" t="s">
        <v>136</v>
      </c>
      <c r="Q6335" s="308" t="s">
        <v>39026</v>
      </c>
      <c r="R6335" s="308" t="s">
        <v>16585</v>
      </c>
      <c r="S6335" s="315" t="s">
        <v>100</v>
      </c>
      <c r="T6335" s="308" t="s">
        <v>34208</v>
      </c>
      <c r="U6335" s="308" t="s">
        <v>4749</v>
      </c>
      <c r="V6335" s="308"/>
    </row>
    <row r="6336">
      <c r="A6336" s="308">
        <v>6335.0</v>
      </c>
      <c r="B6336" s="308"/>
      <c r="C6336" s="308" t="s">
        <v>25373</v>
      </c>
      <c r="D6336" s="308">
        <f>IFERROR(__xludf.DUMMYFUNCTION("SPLIT(C6336,""-"")"),6356.0)</f>
        <v>6356</v>
      </c>
      <c r="E6336" s="308" t="str">
        <f>IFERROR(__xludf.DUMMYFUNCTION("""COMPUTED_VALUE"""),"K")</f>
        <v>K</v>
      </c>
      <c r="F6336" s="309" t="s">
        <v>34</v>
      </c>
      <c r="G6336" s="308"/>
      <c r="H6336" s="308" t="s">
        <v>25374</v>
      </c>
      <c r="I6336" s="310">
        <v>39965.0</v>
      </c>
      <c r="J6336" s="319">
        <f>IFERROR(__xludf.DUMMYFUNCTION("SPLIT(I6336,""/"")"),1.0)</f>
        <v>1</v>
      </c>
      <c r="K6336" s="308">
        <f>IFERROR(__xludf.DUMMYFUNCTION("""COMPUTED_VALUE"""),6.0)</f>
        <v>6</v>
      </c>
      <c r="L6336" s="308">
        <f>IFERROR(__xludf.DUMMYFUNCTION("""COMPUTED_VALUE"""),2009.0)</f>
        <v>2009</v>
      </c>
      <c r="M6336" s="308" t="s">
        <v>25375</v>
      </c>
      <c r="N6336" s="308" t="s">
        <v>25376</v>
      </c>
      <c r="O6336" s="308" t="s">
        <v>25377</v>
      </c>
      <c r="P6336" s="308" t="s">
        <v>136</v>
      </c>
      <c r="Q6336" s="308" t="s">
        <v>39028</v>
      </c>
      <c r="R6336" s="308" t="s">
        <v>2743</v>
      </c>
      <c r="S6336" s="315" t="s">
        <v>100</v>
      </c>
      <c r="T6336" s="308" t="s">
        <v>34208</v>
      </c>
      <c r="U6336" s="308" t="s">
        <v>530</v>
      </c>
      <c r="V6336" s="308"/>
    </row>
    <row r="6337">
      <c r="A6337" s="308">
        <v>6336.0</v>
      </c>
      <c r="B6337" s="308"/>
      <c r="C6337" s="308" t="s">
        <v>25378</v>
      </c>
      <c r="D6337" s="308">
        <f>IFERROR(__xludf.DUMMYFUNCTION("SPLIT(C6337,""-"")"),6357.0)</f>
        <v>6357</v>
      </c>
      <c r="E6337" s="308" t="str">
        <f>IFERROR(__xludf.DUMMYFUNCTION("""COMPUTED_VALUE"""),"K")</f>
        <v>K</v>
      </c>
      <c r="F6337" s="309" t="s">
        <v>34</v>
      </c>
      <c r="G6337" s="308"/>
      <c r="H6337" s="308" t="s">
        <v>25379</v>
      </c>
      <c r="I6337" s="314">
        <v>40461.0</v>
      </c>
      <c r="J6337" s="319">
        <f>IFERROR(__xludf.DUMMYFUNCTION("SPLIT(I6337,""/"")"),10.0)</f>
        <v>10</v>
      </c>
      <c r="K6337" s="308">
        <f>IFERROR(__xludf.DUMMYFUNCTION("""COMPUTED_VALUE"""),10.0)</f>
        <v>10</v>
      </c>
      <c r="L6337" s="308">
        <f>IFERROR(__xludf.DUMMYFUNCTION("""COMPUTED_VALUE"""),2010.0)</f>
        <v>2010</v>
      </c>
      <c r="M6337" s="308" t="s">
        <v>25380</v>
      </c>
      <c r="N6337" s="308" t="s">
        <v>25381</v>
      </c>
      <c r="O6337" s="308" t="s">
        <v>439</v>
      </c>
      <c r="P6337" s="308" t="s">
        <v>136</v>
      </c>
      <c r="Q6337" s="308" t="s">
        <v>39028</v>
      </c>
      <c r="R6337" s="308" t="s">
        <v>2743</v>
      </c>
      <c r="S6337" s="315" t="s">
        <v>100</v>
      </c>
      <c r="T6337" s="308" t="s">
        <v>34208</v>
      </c>
      <c r="U6337" s="308" t="s">
        <v>2152</v>
      </c>
      <c r="V6337" s="308"/>
    </row>
    <row r="6338">
      <c r="A6338" s="308">
        <v>6337.0</v>
      </c>
      <c r="B6338" s="308"/>
      <c r="C6338" s="308" t="s">
        <v>25382</v>
      </c>
      <c r="D6338" s="308">
        <f>IFERROR(__xludf.DUMMYFUNCTION("SPLIT(C6338,""-"")"),6358.0)</f>
        <v>6358</v>
      </c>
      <c r="E6338" s="308" t="str">
        <f>IFERROR(__xludf.DUMMYFUNCTION("""COMPUTED_VALUE"""),"K")</f>
        <v>K</v>
      </c>
      <c r="F6338" s="309" t="s">
        <v>34</v>
      </c>
      <c r="G6338" s="308"/>
      <c r="H6338" s="308" t="s">
        <v>25383</v>
      </c>
      <c r="I6338" s="314">
        <v>40461.0</v>
      </c>
      <c r="J6338" s="319">
        <f>IFERROR(__xludf.DUMMYFUNCTION("SPLIT(I6338,""/"")"),10.0)</f>
        <v>10</v>
      </c>
      <c r="K6338" s="308">
        <f>IFERROR(__xludf.DUMMYFUNCTION("""COMPUTED_VALUE"""),10.0)</f>
        <v>10</v>
      </c>
      <c r="L6338" s="308">
        <f>IFERROR(__xludf.DUMMYFUNCTION("""COMPUTED_VALUE"""),2010.0)</f>
        <v>2010</v>
      </c>
      <c r="M6338" s="308" t="s">
        <v>25380</v>
      </c>
      <c r="N6338" s="308" t="s">
        <v>439</v>
      </c>
      <c r="O6338" s="308" t="s">
        <v>439</v>
      </c>
      <c r="P6338" s="308" t="s">
        <v>136</v>
      </c>
      <c r="Q6338" s="308" t="s">
        <v>39028</v>
      </c>
      <c r="R6338" s="308" t="s">
        <v>2743</v>
      </c>
      <c r="S6338" s="315" t="s">
        <v>100</v>
      </c>
      <c r="T6338" s="308" t="s">
        <v>34208</v>
      </c>
      <c r="U6338" s="308" t="s">
        <v>2152</v>
      </c>
      <c r="V6338" s="308"/>
    </row>
    <row r="6339">
      <c r="A6339" s="308">
        <v>6338.0</v>
      </c>
      <c r="B6339" s="308"/>
      <c r="C6339" s="308" t="s">
        <v>25384</v>
      </c>
      <c r="D6339" s="308">
        <f>IFERROR(__xludf.DUMMYFUNCTION("SPLIT(C6339,""-"")"),6359.0)</f>
        <v>6359</v>
      </c>
      <c r="E6339" s="308" t="str">
        <f>IFERROR(__xludf.DUMMYFUNCTION("""COMPUTED_VALUE"""),"K")</f>
        <v>K</v>
      </c>
      <c r="F6339" s="309" t="s">
        <v>34</v>
      </c>
      <c r="G6339" s="308"/>
      <c r="H6339" s="308" t="s">
        <v>25385</v>
      </c>
      <c r="I6339" s="314">
        <v>41986.0</v>
      </c>
      <c r="J6339" s="319">
        <f>IFERROR(__xludf.DUMMYFUNCTION("SPLIT(I6339,""/"")"),13.0)</f>
        <v>13</v>
      </c>
      <c r="K6339" s="308">
        <f>IFERROR(__xludf.DUMMYFUNCTION("""COMPUTED_VALUE"""),12.0)</f>
        <v>12</v>
      </c>
      <c r="L6339" s="308">
        <f>IFERROR(__xludf.DUMMYFUNCTION("""COMPUTED_VALUE"""),2014.0)</f>
        <v>2014</v>
      </c>
      <c r="M6339" s="308" t="s">
        <v>25386</v>
      </c>
      <c r="N6339" s="308" t="s">
        <v>25387</v>
      </c>
      <c r="O6339" s="308" t="s">
        <v>25388</v>
      </c>
      <c r="P6339" s="308" t="s">
        <v>136</v>
      </c>
      <c r="Q6339" s="308" t="s">
        <v>39029</v>
      </c>
      <c r="R6339" s="308" t="s">
        <v>2743</v>
      </c>
      <c r="S6339" s="315" t="s">
        <v>100</v>
      </c>
      <c r="T6339" s="308" t="s">
        <v>34208</v>
      </c>
      <c r="U6339" s="308" t="s">
        <v>2466</v>
      </c>
      <c r="V6339" s="308"/>
    </row>
    <row r="6340">
      <c r="A6340" s="308">
        <v>6339.0</v>
      </c>
      <c r="B6340" s="308"/>
      <c r="C6340" s="308" t="s">
        <v>25389</v>
      </c>
      <c r="D6340" s="308">
        <f>IFERROR(__xludf.DUMMYFUNCTION("SPLIT(C6340,""-"")"),6360.0)</f>
        <v>6360</v>
      </c>
      <c r="E6340" s="308" t="str">
        <f>IFERROR(__xludf.DUMMYFUNCTION("""COMPUTED_VALUE"""),"K")</f>
        <v>K</v>
      </c>
      <c r="F6340" s="309" t="s">
        <v>34</v>
      </c>
      <c r="G6340" s="308"/>
      <c r="H6340" s="308" t="s">
        <v>25390</v>
      </c>
      <c r="I6340" s="310">
        <v>43567.0</v>
      </c>
      <c r="J6340" s="319">
        <f>IFERROR(__xludf.DUMMYFUNCTION("SPLIT(I6340,""/"")"),12.0)</f>
        <v>12</v>
      </c>
      <c r="K6340" s="308">
        <f>IFERROR(__xludf.DUMMYFUNCTION("""COMPUTED_VALUE"""),4.0)</f>
        <v>4</v>
      </c>
      <c r="L6340" s="308">
        <f>IFERROR(__xludf.DUMMYFUNCTION("""COMPUTED_VALUE"""),2019.0)</f>
        <v>2019</v>
      </c>
      <c r="M6340" s="308" t="s">
        <v>25391</v>
      </c>
      <c r="N6340" s="308" t="s">
        <v>25392</v>
      </c>
      <c r="O6340" s="308"/>
      <c r="P6340" s="308" t="s">
        <v>39030</v>
      </c>
      <c r="Q6340" s="308" t="s">
        <v>39031</v>
      </c>
      <c r="R6340" s="308" t="s">
        <v>2743</v>
      </c>
      <c r="S6340" s="308" t="s">
        <v>49</v>
      </c>
      <c r="T6340" s="308" t="s">
        <v>51</v>
      </c>
      <c r="U6340" s="308" t="s">
        <v>201</v>
      </c>
      <c r="V6340" s="308"/>
    </row>
    <row r="6341">
      <c r="A6341" s="308">
        <v>6340.0</v>
      </c>
      <c r="B6341" s="308"/>
      <c r="C6341" s="308" t="s">
        <v>25394</v>
      </c>
      <c r="D6341" s="308">
        <f>IFERROR(__xludf.DUMMYFUNCTION("SPLIT(C6341,""-"")"),6361.0)</f>
        <v>6361</v>
      </c>
      <c r="E6341" s="308" t="str">
        <f>IFERROR(__xludf.DUMMYFUNCTION("""COMPUTED_VALUE"""),"K")</f>
        <v>K</v>
      </c>
      <c r="F6341" s="309" t="s">
        <v>34</v>
      </c>
      <c r="G6341" s="308"/>
      <c r="H6341" s="308" t="s">
        <v>25395</v>
      </c>
      <c r="I6341" s="310">
        <v>41409.0</v>
      </c>
      <c r="J6341" s="319">
        <f>IFERROR(__xludf.DUMMYFUNCTION("SPLIT(I6341,""/"")"),15.0)</f>
        <v>15</v>
      </c>
      <c r="K6341" s="308">
        <f>IFERROR(__xludf.DUMMYFUNCTION("""COMPUTED_VALUE"""),5.0)</f>
        <v>5</v>
      </c>
      <c r="L6341" s="308">
        <f>IFERROR(__xludf.DUMMYFUNCTION("""COMPUTED_VALUE"""),2013.0)</f>
        <v>2013</v>
      </c>
      <c r="M6341" s="308" t="s">
        <v>25396</v>
      </c>
      <c r="N6341" s="308"/>
      <c r="O6341" s="308"/>
      <c r="P6341" s="308" t="s">
        <v>136</v>
      </c>
      <c r="Q6341" s="308" t="s">
        <v>39031</v>
      </c>
      <c r="R6341" s="308" t="s">
        <v>2743</v>
      </c>
      <c r="S6341" s="315" t="s">
        <v>100</v>
      </c>
      <c r="T6341" s="308" t="s">
        <v>34208</v>
      </c>
      <c r="U6341" s="308" t="s">
        <v>125</v>
      </c>
      <c r="V6341" s="308"/>
    </row>
    <row r="6342">
      <c r="A6342" s="308">
        <v>6341.0</v>
      </c>
      <c r="B6342" s="308"/>
      <c r="C6342" s="308" t="s">
        <v>25397</v>
      </c>
      <c r="D6342" s="308">
        <f>IFERROR(__xludf.DUMMYFUNCTION("SPLIT(C6342,""-"")"),6362.0)</f>
        <v>6362</v>
      </c>
      <c r="E6342" s="308" t="str">
        <f>IFERROR(__xludf.DUMMYFUNCTION("""COMPUTED_VALUE"""),"B")</f>
        <v>B</v>
      </c>
      <c r="F6342" s="315" t="s">
        <v>26</v>
      </c>
      <c r="G6342" s="308"/>
      <c r="H6342" s="308" t="s">
        <v>25398</v>
      </c>
      <c r="I6342" s="310">
        <v>43313.0</v>
      </c>
      <c r="J6342" s="319">
        <f>IFERROR(__xludf.DUMMYFUNCTION("SPLIT(I6342,""/"")"),1.0)</f>
        <v>1</v>
      </c>
      <c r="K6342" s="308">
        <f>IFERROR(__xludf.DUMMYFUNCTION("""COMPUTED_VALUE"""),8.0)</f>
        <v>8</v>
      </c>
      <c r="L6342" s="308">
        <f>IFERROR(__xludf.DUMMYFUNCTION("""COMPUTED_VALUE"""),2018.0)</f>
        <v>2018</v>
      </c>
      <c r="M6342" s="308" t="s">
        <v>25399</v>
      </c>
      <c r="N6342" s="308" t="s">
        <v>25400</v>
      </c>
      <c r="O6342" s="312"/>
      <c r="P6342" s="308" t="s">
        <v>39032</v>
      </c>
      <c r="Q6342" s="308" t="s">
        <v>39033</v>
      </c>
      <c r="R6342" s="308" t="s">
        <v>2743</v>
      </c>
      <c r="S6342" s="308" t="s">
        <v>81</v>
      </c>
      <c r="T6342" s="311" t="s">
        <v>96</v>
      </c>
      <c r="U6342" s="308" t="s">
        <v>27</v>
      </c>
      <c r="V6342" s="308"/>
    </row>
    <row r="6343">
      <c r="A6343" s="308">
        <v>6342.0</v>
      </c>
      <c r="B6343" s="308"/>
      <c r="C6343" s="308" t="s">
        <v>25402</v>
      </c>
      <c r="D6343" s="308">
        <f>IFERROR(__xludf.DUMMYFUNCTION("SPLIT(C6343,""-"")"),6363.0)</f>
        <v>6363</v>
      </c>
      <c r="E6343" s="308" t="str">
        <f>IFERROR(__xludf.DUMMYFUNCTION("""COMPUTED_VALUE"""),"B")</f>
        <v>B</v>
      </c>
      <c r="F6343" s="315" t="s">
        <v>26</v>
      </c>
      <c r="G6343" s="308"/>
      <c r="H6343" s="308" t="s">
        <v>25403</v>
      </c>
      <c r="I6343" s="310">
        <v>42227.0</v>
      </c>
      <c r="J6343" s="319">
        <f>IFERROR(__xludf.DUMMYFUNCTION("SPLIT(I6343,""/"")"),11.0)</f>
        <v>11</v>
      </c>
      <c r="K6343" s="308">
        <f>IFERROR(__xludf.DUMMYFUNCTION("""COMPUTED_VALUE"""),8.0)</f>
        <v>8</v>
      </c>
      <c r="L6343" s="308">
        <f>IFERROR(__xludf.DUMMYFUNCTION("""COMPUTED_VALUE"""),2015.0)</f>
        <v>2015</v>
      </c>
      <c r="M6343" s="308" t="s">
        <v>25404</v>
      </c>
      <c r="N6343" s="308" t="s">
        <v>25405</v>
      </c>
      <c r="O6343" s="308"/>
      <c r="P6343" s="308" t="s">
        <v>39034</v>
      </c>
      <c r="Q6343" s="308" t="s">
        <v>39033</v>
      </c>
      <c r="R6343" s="308" t="s">
        <v>2743</v>
      </c>
      <c r="S6343" s="308" t="s">
        <v>81</v>
      </c>
      <c r="T6343" s="308" t="s">
        <v>75</v>
      </c>
      <c r="U6343" s="308" t="s">
        <v>27</v>
      </c>
      <c r="V6343" s="308"/>
    </row>
    <row r="6344">
      <c r="A6344" s="308">
        <v>6343.0</v>
      </c>
      <c r="B6344" s="308"/>
      <c r="C6344" s="308" t="s">
        <v>25407</v>
      </c>
      <c r="D6344" s="308">
        <f>IFERROR(__xludf.DUMMYFUNCTION("SPLIT(C6344,""-"")"),6364.0)</f>
        <v>6364</v>
      </c>
      <c r="E6344" s="308" t="str">
        <f>IFERROR(__xludf.DUMMYFUNCTION("""COMPUTED_VALUE"""),"B")</f>
        <v>B</v>
      </c>
      <c r="F6344" s="315" t="s">
        <v>26</v>
      </c>
      <c r="G6344" s="308"/>
      <c r="H6344" s="308" t="s">
        <v>25408</v>
      </c>
      <c r="I6344" s="310">
        <v>43537.0</v>
      </c>
      <c r="J6344" s="319">
        <f>IFERROR(__xludf.DUMMYFUNCTION("SPLIT(I6344,""/"")"),13.0)</f>
        <v>13</v>
      </c>
      <c r="K6344" s="308">
        <f>IFERROR(__xludf.DUMMYFUNCTION("""COMPUTED_VALUE"""),3.0)</f>
        <v>3</v>
      </c>
      <c r="L6344" s="308">
        <f>IFERROR(__xludf.DUMMYFUNCTION("""COMPUTED_VALUE"""),2019.0)</f>
        <v>2019</v>
      </c>
      <c r="M6344" s="308" t="s">
        <v>25409</v>
      </c>
      <c r="N6344" s="308" t="s">
        <v>25410</v>
      </c>
      <c r="O6344" s="308"/>
      <c r="P6344" s="308" t="s">
        <v>39035</v>
      </c>
      <c r="Q6344" s="308" t="s">
        <v>39033</v>
      </c>
      <c r="R6344" s="308" t="s">
        <v>2743</v>
      </c>
      <c r="S6344" s="308" t="s">
        <v>81</v>
      </c>
      <c r="T6344" s="311" t="s">
        <v>96</v>
      </c>
      <c r="U6344" s="308" t="s">
        <v>27</v>
      </c>
      <c r="V6344" s="308"/>
    </row>
    <row r="6345">
      <c r="A6345" s="308">
        <v>6344.0</v>
      </c>
      <c r="B6345" s="308"/>
      <c r="C6345" s="308" t="s">
        <v>25412</v>
      </c>
      <c r="D6345" s="308">
        <f>IFERROR(__xludf.DUMMYFUNCTION("SPLIT(C6345,""-"")"),6365.0)</f>
        <v>6365</v>
      </c>
      <c r="E6345" s="308" t="str">
        <f>IFERROR(__xludf.DUMMYFUNCTION("""COMPUTED_VALUE"""),"B")</f>
        <v>B</v>
      </c>
      <c r="F6345" s="315" t="s">
        <v>26</v>
      </c>
      <c r="G6345" s="308"/>
      <c r="H6345" s="308" t="s">
        <v>25413</v>
      </c>
      <c r="I6345" s="310">
        <v>43655.0</v>
      </c>
      <c r="J6345" s="319">
        <f>IFERROR(__xludf.DUMMYFUNCTION("SPLIT(I6345,""/"")"),9.0)</f>
        <v>9</v>
      </c>
      <c r="K6345" s="308">
        <f>IFERROR(__xludf.DUMMYFUNCTION("""COMPUTED_VALUE"""),7.0)</f>
        <v>7</v>
      </c>
      <c r="L6345" s="308">
        <f>IFERROR(__xludf.DUMMYFUNCTION("""COMPUTED_VALUE"""),2019.0)</f>
        <v>2019</v>
      </c>
      <c r="M6345" s="308" t="s">
        <v>25414</v>
      </c>
      <c r="N6345" s="308" t="s">
        <v>25415</v>
      </c>
      <c r="O6345" s="312"/>
      <c r="P6345" s="308" t="s">
        <v>39036</v>
      </c>
      <c r="Q6345" s="308" t="s">
        <v>39033</v>
      </c>
      <c r="R6345" s="308" t="s">
        <v>20958</v>
      </c>
      <c r="S6345" s="308" t="s">
        <v>81</v>
      </c>
      <c r="T6345" s="311" t="s">
        <v>96</v>
      </c>
      <c r="U6345" s="308" t="s">
        <v>27</v>
      </c>
      <c r="V6345" s="308"/>
    </row>
    <row r="6346">
      <c r="A6346" s="308">
        <v>6345.0</v>
      </c>
      <c r="B6346" s="308"/>
      <c r="C6346" s="308" t="s">
        <v>25417</v>
      </c>
      <c r="D6346" s="308">
        <f>IFERROR(__xludf.DUMMYFUNCTION("SPLIT(C6346,""-"")"),6366.0)</f>
        <v>6366</v>
      </c>
      <c r="E6346" s="308" t="str">
        <f>IFERROR(__xludf.DUMMYFUNCTION("""COMPUTED_VALUE"""),"B")</f>
        <v>B</v>
      </c>
      <c r="F6346" s="315" t="s">
        <v>26</v>
      </c>
      <c r="G6346" s="308"/>
      <c r="H6346" s="308" t="s">
        <v>25418</v>
      </c>
      <c r="I6346" s="314">
        <v>43090.0</v>
      </c>
      <c r="J6346" s="319">
        <f>IFERROR(__xludf.DUMMYFUNCTION("SPLIT(I6346,""/"")"),21.0)</f>
        <v>21</v>
      </c>
      <c r="K6346" s="308">
        <f>IFERROR(__xludf.DUMMYFUNCTION("""COMPUTED_VALUE"""),12.0)</f>
        <v>12</v>
      </c>
      <c r="L6346" s="308">
        <f>IFERROR(__xludf.DUMMYFUNCTION("""COMPUTED_VALUE"""),2017.0)</f>
        <v>2017</v>
      </c>
      <c r="M6346" s="308" t="s">
        <v>25419</v>
      </c>
      <c r="N6346" s="308" t="s">
        <v>25420</v>
      </c>
      <c r="O6346" s="308"/>
      <c r="P6346" s="308" t="s">
        <v>136</v>
      </c>
      <c r="Q6346" s="308" t="s">
        <v>39033</v>
      </c>
      <c r="R6346" s="308" t="s">
        <v>20958</v>
      </c>
      <c r="S6346" s="315" t="s">
        <v>100</v>
      </c>
      <c r="T6346" s="308" t="s">
        <v>34208</v>
      </c>
      <c r="U6346" s="308" t="s">
        <v>27</v>
      </c>
      <c r="V6346" s="308"/>
    </row>
    <row r="6347">
      <c r="A6347" s="308">
        <v>6346.0</v>
      </c>
      <c r="B6347" s="308"/>
      <c r="C6347" s="308" t="s">
        <v>25421</v>
      </c>
      <c r="D6347" s="308">
        <f>IFERROR(__xludf.DUMMYFUNCTION("SPLIT(C6347,""-"")"),6367.0)</f>
        <v>6367</v>
      </c>
      <c r="E6347" s="308" t="str">
        <f>IFERROR(__xludf.DUMMYFUNCTION("""COMPUTED_VALUE"""),"B")</f>
        <v>B</v>
      </c>
      <c r="F6347" s="315" t="s">
        <v>26</v>
      </c>
      <c r="G6347" s="308"/>
      <c r="H6347" s="308" t="s">
        <v>25422</v>
      </c>
      <c r="I6347" s="314">
        <v>43090.0</v>
      </c>
      <c r="J6347" s="319">
        <f>IFERROR(__xludf.DUMMYFUNCTION("SPLIT(I6347,""/"")"),21.0)</f>
        <v>21</v>
      </c>
      <c r="K6347" s="308">
        <f>IFERROR(__xludf.DUMMYFUNCTION("""COMPUTED_VALUE"""),12.0)</f>
        <v>12</v>
      </c>
      <c r="L6347" s="308">
        <f>IFERROR(__xludf.DUMMYFUNCTION("""COMPUTED_VALUE"""),2017.0)</f>
        <v>2017</v>
      </c>
      <c r="M6347" s="308" t="s">
        <v>25419</v>
      </c>
      <c r="N6347" s="308" t="s">
        <v>25423</v>
      </c>
      <c r="O6347" s="308"/>
      <c r="P6347" s="308" t="s">
        <v>136</v>
      </c>
      <c r="Q6347" s="308" t="s">
        <v>39033</v>
      </c>
      <c r="R6347" s="308" t="s">
        <v>20958</v>
      </c>
      <c r="S6347" s="315" t="s">
        <v>100</v>
      </c>
      <c r="T6347" s="308" t="s">
        <v>34208</v>
      </c>
      <c r="U6347" s="308" t="s">
        <v>27</v>
      </c>
      <c r="V6347" s="308"/>
    </row>
    <row r="6348">
      <c r="A6348" s="308">
        <v>6347.0</v>
      </c>
      <c r="B6348" s="308"/>
      <c r="C6348" s="308" t="s">
        <v>25424</v>
      </c>
      <c r="D6348" s="308">
        <f>IFERROR(__xludf.DUMMYFUNCTION("SPLIT(C6348,""-"")"),6368.0)</f>
        <v>6368</v>
      </c>
      <c r="E6348" s="308" t="str">
        <f>IFERROR(__xludf.DUMMYFUNCTION("""COMPUTED_VALUE"""),"B")</f>
        <v>B</v>
      </c>
      <c r="F6348" s="315" t="s">
        <v>26</v>
      </c>
      <c r="G6348" s="308"/>
      <c r="H6348" s="308" t="s">
        <v>25425</v>
      </c>
      <c r="I6348" s="310">
        <v>41782.0</v>
      </c>
      <c r="J6348" s="319">
        <f>IFERROR(__xludf.DUMMYFUNCTION("SPLIT(I6348,""/"")"),23.0)</f>
        <v>23</v>
      </c>
      <c r="K6348" s="308">
        <f>IFERROR(__xludf.DUMMYFUNCTION("""COMPUTED_VALUE"""),5.0)</f>
        <v>5</v>
      </c>
      <c r="L6348" s="308">
        <f>IFERROR(__xludf.DUMMYFUNCTION("""COMPUTED_VALUE"""),2014.0)</f>
        <v>2014</v>
      </c>
      <c r="M6348" s="308" t="s">
        <v>25426</v>
      </c>
      <c r="N6348" s="308" t="s">
        <v>25427</v>
      </c>
      <c r="O6348" s="308"/>
      <c r="P6348" s="308" t="s">
        <v>136</v>
      </c>
      <c r="Q6348" s="308" t="s">
        <v>39033</v>
      </c>
      <c r="R6348" s="308" t="s">
        <v>2743</v>
      </c>
      <c r="S6348" s="315" t="s">
        <v>100</v>
      </c>
      <c r="T6348" s="308" t="s">
        <v>34208</v>
      </c>
      <c r="U6348" s="308" t="s">
        <v>27</v>
      </c>
      <c r="V6348" s="308"/>
    </row>
    <row r="6349">
      <c r="A6349" s="308">
        <v>6348.0</v>
      </c>
      <c r="B6349" s="308"/>
      <c r="C6349" s="308" t="s">
        <v>25428</v>
      </c>
      <c r="D6349" s="308">
        <f>IFERROR(__xludf.DUMMYFUNCTION("SPLIT(C6349,""-"")"),6369.0)</f>
        <v>6369</v>
      </c>
      <c r="E6349" s="308" t="str">
        <f>IFERROR(__xludf.DUMMYFUNCTION("""COMPUTED_VALUE"""),"I")</f>
        <v>I</v>
      </c>
      <c r="F6349" s="309" t="s">
        <v>31</v>
      </c>
      <c r="G6349" s="308"/>
      <c r="H6349" s="308" t="s">
        <v>25429</v>
      </c>
      <c r="I6349" s="310">
        <v>43132.0</v>
      </c>
      <c r="J6349" s="319">
        <f>IFERROR(__xludf.DUMMYFUNCTION("SPLIT(I6349,""/"")"),1.0)</f>
        <v>1</v>
      </c>
      <c r="K6349" s="308">
        <f>IFERROR(__xludf.DUMMYFUNCTION("""COMPUTED_VALUE"""),2.0)</f>
        <v>2</v>
      </c>
      <c r="L6349" s="308">
        <f>IFERROR(__xludf.DUMMYFUNCTION("""COMPUTED_VALUE"""),2018.0)</f>
        <v>2018</v>
      </c>
      <c r="M6349" s="308" t="s">
        <v>25430</v>
      </c>
      <c r="N6349" s="308" t="s">
        <v>25431</v>
      </c>
      <c r="O6349" s="308"/>
      <c r="P6349" s="308" t="s">
        <v>25432</v>
      </c>
      <c r="Q6349" s="308" t="s">
        <v>39033</v>
      </c>
      <c r="R6349" s="308" t="s">
        <v>16185</v>
      </c>
      <c r="S6349" s="308" t="s">
        <v>81</v>
      </c>
      <c r="T6349" s="311" t="s">
        <v>96</v>
      </c>
      <c r="U6349" s="308" t="s">
        <v>31</v>
      </c>
      <c r="V6349" s="308"/>
    </row>
    <row r="6350">
      <c r="A6350" s="308">
        <v>6349.0</v>
      </c>
      <c r="B6350" s="308"/>
      <c r="C6350" s="308" t="s">
        <v>25433</v>
      </c>
      <c r="D6350" s="308">
        <f>IFERROR(__xludf.DUMMYFUNCTION("SPLIT(C6350,""-"")"),6370.0)</f>
        <v>6370</v>
      </c>
      <c r="E6350" s="308" t="str">
        <f>IFERROR(__xludf.DUMMYFUNCTION("""COMPUTED_VALUE"""),"K")</f>
        <v>K</v>
      </c>
      <c r="F6350" s="309" t="s">
        <v>34</v>
      </c>
      <c r="G6350" s="308"/>
      <c r="H6350" s="308" t="s">
        <v>25434</v>
      </c>
      <c r="I6350" s="310">
        <v>41297.0</v>
      </c>
      <c r="J6350" s="319">
        <f>IFERROR(__xludf.DUMMYFUNCTION("SPLIT(I6350,""/"")"),23.0)</f>
        <v>23</v>
      </c>
      <c r="K6350" s="308">
        <f>IFERROR(__xludf.DUMMYFUNCTION("""COMPUTED_VALUE"""),1.0)</f>
        <v>1</v>
      </c>
      <c r="L6350" s="308">
        <f>IFERROR(__xludf.DUMMYFUNCTION("""COMPUTED_VALUE"""),2013.0)</f>
        <v>2013</v>
      </c>
      <c r="M6350" s="308" t="s">
        <v>25435</v>
      </c>
      <c r="N6350" s="308" t="s">
        <v>25436</v>
      </c>
      <c r="O6350" s="308"/>
      <c r="P6350" s="308" t="s">
        <v>136</v>
      </c>
      <c r="Q6350" s="308" t="s">
        <v>39033</v>
      </c>
      <c r="R6350" s="308" t="s">
        <v>2743</v>
      </c>
      <c r="S6350" s="315" t="s">
        <v>100</v>
      </c>
      <c r="T6350" s="308" t="s">
        <v>34208</v>
      </c>
      <c r="U6350" s="308" t="s">
        <v>125</v>
      </c>
      <c r="V6350" s="308"/>
    </row>
    <row r="6351">
      <c r="A6351" s="308">
        <v>6350.0</v>
      </c>
      <c r="B6351" s="308"/>
      <c r="C6351" s="308" t="s">
        <v>25437</v>
      </c>
      <c r="D6351" s="308">
        <f>IFERROR(__xludf.DUMMYFUNCTION("SPLIT(C6351,""-"")"),6371.0)</f>
        <v>6371</v>
      </c>
      <c r="E6351" s="308" t="str">
        <f>IFERROR(__xludf.DUMMYFUNCTION("""COMPUTED_VALUE"""),"K")</f>
        <v>K</v>
      </c>
      <c r="F6351" s="309" t="s">
        <v>34</v>
      </c>
      <c r="G6351" s="308"/>
      <c r="H6351" s="308" t="s">
        <v>25438</v>
      </c>
      <c r="I6351" s="310">
        <v>43673.0</v>
      </c>
      <c r="J6351" s="319">
        <f>IFERROR(__xludf.DUMMYFUNCTION("SPLIT(I6351,""/"")"),27.0)</f>
        <v>27</v>
      </c>
      <c r="K6351" s="308">
        <f>IFERROR(__xludf.DUMMYFUNCTION("""COMPUTED_VALUE"""),7.0)</f>
        <v>7</v>
      </c>
      <c r="L6351" s="308">
        <f>IFERROR(__xludf.DUMMYFUNCTION("""COMPUTED_VALUE"""),2019.0)</f>
        <v>2019</v>
      </c>
      <c r="M6351" s="308" t="s">
        <v>25439</v>
      </c>
      <c r="N6351" s="308" t="s">
        <v>25440</v>
      </c>
      <c r="O6351" s="308"/>
      <c r="P6351" s="308" t="s">
        <v>25441</v>
      </c>
      <c r="Q6351" s="308" t="s">
        <v>39033</v>
      </c>
      <c r="R6351" s="308" t="s">
        <v>2743</v>
      </c>
      <c r="S6351" s="308" t="s">
        <v>81</v>
      </c>
      <c r="T6351" s="311" t="s">
        <v>91</v>
      </c>
      <c r="U6351" s="308" t="s">
        <v>125</v>
      </c>
      <c r="V6351" s="308"/>
    </row>
    <row r="6352">
      <c r="A6352" s="308">
        <v>6351.0</v>
      </c>
      <c r="B6352" s="308"/>
      <c r="C6352" s="308" t="s">
        <v>25442</v>
      </c>
      <c r="D6352" s="308">
        <f>IFERROR(__xludf.DUMMYFUNCTION("SPLIT(C6352,""-"")"),6372.0)</f>
        <v>6372</v>
      </c>
      <c r="E6352" s="308" t="str">
        <f>IFERROR(__xludf.DUMMYFUNCTION("""COMPUTED_VALUE"""),"K")</f>
        <v>K</v>
      </c>
      <c r="F6352" s="309" t="s">
        <v>34</v>
      </c>
      <c r="G6352" s="308"/>
      <c r="H6352" s="308" t="s">
        <v>39037</v>
      </c>
      <c r="I6352" s="310">
        <v>42186.0</v>
      </c>
      <c r="J6352" s="319">
        <f>IFERROR(__xludf.DUMMYFUNCTION("SPLIT(I6352,""/"")"),1.0)</f>
        <v>1</v>
      </c>
      <c r="K6352" s="308">
        <f>IFERROR(__xludf.DUMMYFUNCTION("""COMPUTED_VALUE"""),7.0)</f>
        <v>7</v>
      </c>
      <c r="L6352" s="308">
        <f>IFERROR(__xludf.DUMMYFUNCTION("""COMPUTED_VALUE"""),2015.0)</f>
        <v>2015</v>
      </c>
      <c r="M6352" s="308" t="s">
        <v>25444</v>
      </c>
      <c r="N6352" s="308" t="s">
        <v>25445</v>
      </c>
      <c r="O6352" s="308"/>
      <c r="P6352" s="308" t="s">
        <v>136</v>
      </c>
      <c r="Q6352" s="308" t="s">
        <v>39033</v>
      </c>
      <c r="R6352" s="308" t="s">
        <v>2743</v>
      </c>
      <c r="S6352" s="315" t="s">
        <v>100</v>
      </c>
      <c r="T6352" s="308" t="s">
        <v>34208</v>
      </c>
      <c r="U6352" s="308" t="s">
        <v>201</v>
      </c>
      <c r="V6352" s="308" t="s">
        <v>25446</v>
      </c>
    </row>
    <row r="6353">
      <c r="A6353" s="308">
        <v>6352.0</v>
      </c>
      <c r="B6353" s="308"/>
      <c r="C6353" s="308" t="s">
        <v>25447</v>
      </c>
      <c r="D6353" s="308">
        <f>IFERROR(__xludf.DUMMYFUNCTION("SPLIT(C6353,""-"")"),6373.0)</f>
        <v>6373</v>
      </c>
      <c r="E6353" s="308" t="str">
        <f>IFERROR(__xludf.DUMMYFUNCTION("""COMPUTED_VALUE"""),"P")</f>
        <v>P</v>
      </c>
      <c r="F6353" s="312" t="s">
        <v>37</v>
      </c>
      <c r="G6353" s="308"/>
      <c r="H6353" s="308" t="s">
        <v>25448</v>
      </c>
      <c r="I6353" s="310">
        <v>41610.0</v>
      </c>
      <c r="J6353" s="319">
        <f>IFERROR(__xludf.DUMMYFUNCTION("SPLIT(I6353,""/"")"),2.0)</f>
        <v>2</v>
      </c>
      <c r="K6353" s="308">
        <f>IFERROR(__xludf.DUMMYFUNCTION("""COMPUTED_VALUE"""),12.0)</f>
        <v>12</v>
      </c>
      <c r="L6353" s="308">
        <f>IFERROR(__xludf.DUMMYFUNCTION("""COMPUTED_VALUE"""),2013.0)</f>
        <v>2013</v>
      </c>
      <c r="M6353" s="308" t="s">
        <v>25449</v>
      </c>
      <c r="N6353" s="308" t="s">
        <v>25450</v>
      </c>
      <c r="O6353" s="308"/>
      <c r="P6353" s="308" t="s">
        <v>136</v>
      </c>
      <c r="Q6353" s="308" t="s">
        <v>39038</v>
      </c>
      <c r="R6353" s="308" t="s">
        <v>2743</v>
      </c>
      <c r="S6353" s="315" t="s">
        <v>100</v>
      </c>
      <c r="T6353" s="308" t="s">
        <v>34208</v>
      </c>
      <c r="U6353" s="308" t="s">
        <v>143</v>
      </c>
      <c r="V6353" s="308" t="s">
        <v>25451</v>
      </c>
    </row>
    <row r="6354">
      <c r="A6354" s="308">
        <v>6353.0</v>
      </c>
      <c r="B6354" s="308"/>
      <c r="C6354" s="308" t="s">
        <v>25452</v>
      </c>
      <c r="D6354" s="308">
        <f>IFERROR(__xludf.DUMMYFUNCTION("SPLIT(C6354,""-"")"),6374.0)</f>
        <v>6374</v>
      </c>
      <c r="E6354" s="308" t="str">
        <f>IFERROR(__xludf.DUMMYFUNCTION("""COMPUTED_VALUE"""),"P")</f>
        <v>P</v>
      </c>
      <c r="F6354" s="312" t="s">
        <v>37</v>
      </c>
      <c r="G6354" s="308"/>
      <c r="H6354" s="308" t="s">
        <v>25453</v>
      </c>
      <c r="I6354" s="310">
        <v>43727.0</v>
      </c>
      <c r="J6354" s="319">
        <f>IFERROR(__xludf.DUMMYFUNCTION("SPLIT(I6354,""/"")"),19.0)</f>
        <v>19</v>
      </c>
      <c r="K6354" s="308">
        <f>IFERROR(__xludf.DUMMYFUNCTION("""COMPUTED_VALUE"""),9.0)</f>
        <v>9</v>
      </c>
      <c r="L6354" s="308">
        <f>IFERROR(__xludf.DUMMYFUNCTION("""COMPUTED_VALUE"""),2019.0)</f>
        <v>2019</v>
      </c>
      <c r="M6354" s="308" t="s">
        <v>25454</v>
      </c>
      <c r="N6354" s="308" t="s">
        <v>25455</v>
      </c>
      <c r="O6354" s="308"/>
      <c r="P6354" s="308" t="s">
        <v>39039</v>
      </c>
      <c r="Q6354" s="308" t="s">
        <v>39038</v>
      </c>
      <c r="R6354" s="308" t="s">
        <v>2743</v>
      </c>
      <c r="S6354" s="308" t="s">
        <v>81</v>
      </c>
      <c r="T6354" s="308" t="s">
        <v>75</v>
      </c>
      <c r="U6354" s="308" t="s">
        <v>5707</v>
      </c>
      <c r="V6354" s="308"/>
    </row>
    <row r="6355">
      <c r="A6355" s="308">
        <v>6354.0</v>
      </c>
      <c r="B6355" s="308"/>
      <c r="C6355" s="308" t="s">
        <v>25457</v>
      </c>
      <c r="D6355" s="308">
        <f>IFERROR(__xludf.DUMMYFUNCTION("SPLIT(C6355,""-"")"),6375.0)</f>
        <v>6375</v>
      </c>
      <c r="E6355" s="308" t="str">
        <f>IFERROR(__xludf.DUMMYFUNCTION("""COMPUTED_VALUE"""),"P")</f>
        <v>P</v>
      </c>
      <c r="F6355" s="312" t="s">
        <v>37</v>
      </c>
      <c r="G6355" s="308"/>
      <c r="H6355" s="308" t="s">
        <v>18336</v>
      </c>
      <c r="I6355" s="310">
        <v>43719.0</v>
      </c>
      <c r="J6355" s="319">
        <f>IFERROR(__xludf.DUMMYFUNCTION("SPLIT(I6355,""/"")"),11.0)</f>
        <v>11</v>
      </c>
      <c r="K6355" s="308">
        <f>IFERROR(__xludf.DUMMYFUNCTION("""COMPUTED_VALUE"""),9.0)</f>
        <v>9</v>
      </c>
      <c r="L6355" s="308">
        <f>IFERROR(__xludf.DUMMYFUNCTION("""COMPUTED_VALUE"""),2019.0)</f>
        <v>2019</v>
      </c>
      <c r="M6355" s="308" t="s">
        <v>25458</v>
      </c>
      <c r="N6355" s="308" t="s">
        <v>25459</v>
      </c>
      <c r="O6355" s="308"/>
      <c r="P6355" s="308" t="s">
        <v>39040</v>
      </c>
      <c r="Q6355" s="308" t="s">
        <v>39038</v>
      </c>
      <c r="R6355" s="308" t="s">
        <v>2743</v>
      </c>
      <c r="S6355" s="308" t="s">
        <v>81</v>
      </c>
      <c r="T6355" s="308" t="s">
        <v>75</v>
      </c>
      <c r="U6355" s="308" t="s">
        <v>143</v>
      </c>
      <c r="V6355" s="308"/>
    </row>
    <row r="6356">
      <c r="A6356" s="308">
        <v>6355.0</v>
      </c>
      <c r="B6356" s="308"/>
      <c r="C6356" s="308" t="s">
        <v>25461</v>
      </c>
      <c r="D6356" s="308">
        <f>IFERROR(__xludf.DUMMYFUNCTION("SPLIT(C6356,""-"")"),6376.0)</f>
        <v>6376</v>
      </c>
      <c r="E6356" s="308" t="str">
        <f>IFERROR(__xludf.DUMMYFUNCTION("""COMPUTED_VALUE"""),"P")</f>
        <v>P</v>
      </c>
      <c r="F6356" s="312" t="s">
        <v>37</v>
      </c>
      <c r="G6356" s="308"/>
      <c r="H6356" s="308" t="s">
        <v>25462</v>
      </c>
      <c r="I6356" s="310">
        <v>43732.0</v>
      </c>
      <c r="J6356" s="319">
        <f>IFERROR(__xludf.DUMMYFUNCTION("SPLIT(I6356,""/"")"),24.0)</f>
        <v>24</v>
      </c>
      <c r="K6356" s="308">
        <f>IFERROR(__xludf.DUMMYFUNCTION("""COMPUTED_VALUE"""),9.0)</f>
        <v>9</v>
      </c>
      <c r="L6356" s="308">
        <f>IFERROR(__xludf.DUMMYFUNCTION("""COMPUTED_VALUE"""),2019.0)</f>
        <v>2019</v>
      </c>
      <c r="M6356" s="308" t="s">
        <v>25463</v>
      </c>
      <c r="N6356" s="308" t="s">
        <v>25464</v>
      </c>
      <c r="O6356" s="308"/>
      <c r="P6356" s="308" t="s">
        <v>25465</v>
      </c>
      <c r="Q6356" s="308" t="s">
        <v>39041</v>
      </c>
      <c r="R6356" s="308" t="s">
        <v>2743</v>
      </c>
      <c r="S6356" s="308" t="s">
        <v>81</v>
      </c>
      <c r="T6356" s="311" t="s">
        <v>96</v>
      </c>
      <c r="U6356" s="308" t="s">
        <v>143</v>
      </c>
      <c r="V6356" s="308"/>
    </row>
    <row r="6357">
      <c r="A6357" s="308">
        <v>6356.0</v>
      </c>
      <c r="B6357" s="308"/>
      <c r="C6357" s="308" t="s">
        <v>25466</v>
      </c>
      <c r="D6357" s="308">
        <f>IFERROR(__xludf.DUMMYFUNCTION("SPLIT(C6357,""-"")"),6377.0)</f>
        <v>6377</v>
      </c>
      <c r="E6357" s="308" t="str">
        <f>IFERROR(__xludf.DUMMYFUNCTION("""COMPUTED_VALUE"""),"K")</f>
        <v>K</v>
      </c>
      <c r="F6357" s="309" t="s">
        <v>34</v>
      </c>
      <c r="G6357" s="308"/>
      <c r="H6357" s="308" t="s">
        <v>25467</v>
      </c>
      <c r="I6357" s="310">
        <v>42135.0</v>
      </c>
      <c r="J6357" s="319">
        <f>IFERROR(__xludf.DUMMYFUNCTION("SPLIT(I6357,""/"")"),11.0)</f>
        <v>11</v>
      </c>
      <c r="K6357" s="308">
        <f>IFERROR(__xludf.DUMMYFUNCTION("""COMPUTED_VALUE"""),5.0)</f>
        <v>5</v>
      </c>
      <c r="L6357" s="308">
        <f>IFERROR(__xludf.DUMMYFUNCTION("""COMPUTED_VALUE"""),2015.0)</f>
        <v>2015</v>
      </c>
      <c r="M6357" s="308" t="s">
        <v>25468</v>
      </c>
      <c r="N6357" s="308" t="s">
        <v>25469</v>
      </c>
      <c r="O6357" s="308"/>
      <c r="P6357" s="308" t="s">
        <v>136</v>
      </c>
      <c r="Q6357" s="308" t="s">
        <v>39042</v>
      </c>
      <c r="R6357" s="308" t="s">
        <v>2743</v>
      </c>
      <c r="S6357" s="315" t="s">
        <v>100</v>
      </c>
      <c r="T6357" s="308" t="s">
        <v>34208</v>
      </c>
      <c r="U6357" s="308" t="s">
        <v>125</v>
      </c>
      <c r="V6357" s="308"/>
    </row>
    <row r="6358">
      <c r="A6358" s="308">
        <v>6357.0</v>
      </c>
      <c r="B6358" s="308"/>
      <c r="C6358" s="308" t="s">
        <v>25470</v>
      </c>
      <c r="D6358" s="308">
        <f>IFERROR(__xludf.DUMMYFUNCTION("SPLIT(C6358,""-"")"),6378.0)</f>
        <v>6378</v>
      </c>
      <c r="E6358" s="308" t="str">
        <f>IFERROR(__xludf.DUMMYFUNCTION("""COMPUTED_VALUE"""),"K")</f>
        <v>K</v>
      </c>
      <c r="F6358" s="309" t="s">
        <v>34</v>
      </c>
      <c r="G6358" s="308"/>
      <c r="H6358" s="308" t="s">
        <v>25471</v>
      </c>
      <c r="I6358" s="310">
        <v>43638.0</v>
      </c>
      <c r="J6358" s="319">
        <f>IFERROR(__xludf.DUMMYFUNCTION("SPLIT(I6358,""/"")"),22.0)</f>
        <v>22</v>
      </c>
      <c r="K6358" s="308">
        <f>IFERROR(__xludf.DUMMYFUNCTION("""COMPUTED_VALUE"""),6.0)</f>
        <v>6</v>
      </c>
      <c r="L6358" s="308">
        <f>IFERROR(__xludf.DUMMYFUNCTION("""COMPUTED_VALUE"""),2019.0)</f>
        <v>2019</v>
      </c>
      <c r="M6358" s="308" t="s">
        <v>25472</v>
      </c>
      <c r="N6358" s="308" t="s">
        <v>25473</v>
      </c>
      <c r="O6358" s="308" t="s">
        <v>25474</v>
      </c>
      <c r="P6358" s="308" t="s">
        <v>39043</v>
      </c>
      <c r="Q6358" s="308" t="s">
        <v>39042</v>
      </c>
      <c r="R6358" s="308" t="s">
        <v>2743</v>
      </c>
      <c r="S6358" s="308" t="s">
        <v>81</v>
      </c>
      <c r="T6358" s="308" t="s">
        <v>75</v>
      </c>
      <c r="U6358" s="308" t="s">
        <v>1509</v>
      </c>
      <c r="V6358" s="308"/>
    </row>
    <row r="6359">
      <c r="A6359" s="308">
        <v>6358.0</v>
      </c>
      <c r="B6359" s="308"/>
      <c r="C6359" s="308" t="s">
        <v>25476</v>
      </c>
      <c r="D6359" s="308">
        <f>IFERROR(__xludf.DUMMYFUNCTION("SPLIT(C6359,""-"")"),6379.0)</f>
        <v>6379</v>
      </c>
      <c r="E6359" s="308" t="str">
        <f>IFERROR(__xludf.DUMMYFUNCTION("""COMPUTED_VALUE"""),"F")</f>
        <v>F</v>
      </c>
      <c r="F6359" s="309" t="s">
        <v>34</v>
      </c>
      <c r="G6359" s="308"/>
      <c r="H6359" s="308" t="s">
        <v>25477</v>
      </c>
      <c r="I6359" s="310">
        <v>42820.0</v>
      </c>
      <c r="J6359" s="319" t="str">
        <f>IFERROR(__xludf.DUMMYFUNCTION("SPLIT(I6359,""/"")"),"#REF!")</f>
        <v>#REF!</v>
      </c>
      <c r="K6359" s="308"/>
      <c r="L6359" s="308">
        <v>2017.0</v>
      </c>
      <c r="M6359" s="308" t="s">
        <v>25478</v>
      </c>
      <c r="N6359" s="308" t="s">
        <v>25479</v>
      </c>
      <c r="O6359" s="308"/>
      <c r="P6359" s="308" t="s">
        <v>39044</v>
      </c>
      <c r="Q6359" s="308" t="s">
        <v>39042</v>
      </c>
      <c r="R6359" s="308" t="s">
        <v>2743</v>
      </c>
      <c r="S6359" s="308" t="s">
        <v>81</v>
      </c>
      <c r="T6359" s="308" t="s">
        <v>34264</v>
      </c>
      <c r="U6359" s="308" t="s">
        <v>21884</v>
      </c>
      <c r="V6359" s="308"/>
    </row>
    <row r="6360">
      <c r="A6360" s="308">
        <v>6359.0</v>
      </c>
      <c r="B6360" s="308"/>
      <c r="C6360" s="308" t="s">
        <v>25481</v>
      </c>
      <c r="D6360" s="308">
        <f>IFERROR(__xludf.DUMMYFUNCTION("SPLIT(C6360,""-"")"),6380.0)</f>
        <v>6380</v>
      </c>
      <c r="E6360" s="308" t="str">
        <f>IFERROR(__xludf.DUMMYFUNCTION("""COMPUTED_VALUE"""),"S")</f>
        <v>S</v>
      </c>
      <c r="F6360" s="312" t="s">
        <v>39</v>
      </c>
      <c r="G6360" s="308"/>
      <c r="H6360" s="308" t="s">
        <v>25482</v>
      </c>
      <c r="I6360" s="314">
        <v>40164.0</v>
      </c>
      <c r="J6360" s="319">
        <f>IFERROR(__xludf.DUMMYFUNCTION("SPLIT(I6360,""/"")"),17.0)</f>
        <v>17</v>
      </c>
      <c r="K6360" s="308">
        <f>IFERROR(__xludf.DUMMYFUNCTION("""COMPUTED_VALUE"""),12.0)</f>
        <v>12</v>
      </c>
      <c r="L6360" s="308">
        <f>IFERROR(__xludf.DUMMYFUNCTION("""COMPUTED_VALUE"""),2009.0)</f>
        <v>2009</v>
      </c>
      <c r="M6360" s="308" t="s">
        <v>25483</v>
      </c>
      <c r="N6360" s="308" t="s">
        <v>25484</v>
      </c>
      <c r="O6360" s="308"/>
      <c r="P6360" s="308" t="s">
        <v>136</v>
      </c>
      <c r="Q6360" s="308" t="s">
        <v>39042</v>
      </c>
      <c r="R6360" s="308" t="s">
        <v>2743</v>
      </c>
      <c r="S6360" s="315" t="s">
        <v>100</v>
      </c>
      <c r="T6360" s="308" t="s">
        <v>34208</v>
      </c>
      <c r="U6360" s="308" t="s">
        <v>166</v>
      </c>
      <c r="V6360" s="308"/>
    </row>
    <row r="6361">
      <c r="A6361" s="308">
        <v>6360.0</v>
      </c>
      <c r="B6361" s="308"/>
      <c r="C6361" s="308" t="s">
        <v>25485</v>
      </c>
      <c r="D6361" s="308">
        <f>IFERROR(__xludf.DUMMYFUNCTION("SPLIT(C6361,""-"")"),6381.0)</f>
        <v>6381</v>
      </c>
      <c r="E6361" s="308" t="str">
        <f>IFERROR(__xludf.DUMMYFUNCTION("""COMPUTED_VALUE"""),"K")</f>
        <v>K</v>
      </c>
      <c r="F6361" s="309" t="s">
        <v>34</v>
      </c>
      <c r="G6361" s="308"/>
      <c r="H6361" s="308" t="s">
        <v>25486</v>
      </c>
      <c r="I6361" s="310">
        <v>40360.0</v>
      </c>
      <c r="J6361" s="319">
        <f>IFERROR(__xludf.DUMMYFUNCTION("SPLIT(I6361,""/"")"),1.0)</f>
        <v>1</v>
      </c>
      <c r="K6361" s="308">
        <f>IFERROR(__xludf.DUMMYFUNCTION("""COMPUTED_VALUE"""),7.0)</f>
        <v>7</v>
      </c>
      <c r="L6361" s="308">
        <f>IFERROR(__xludf.DUMMYFUNCTION("""COMPUTED_VALUE"""),2010.0)</f>
        <v>2010</v>
      </c>
      <c r="M6361" s="308" t="s">
        <v>25487</v>
      </c>
      <c r="N6361" s="308" t="s">
        <v>25488</v>
      </c>
      <c r="O6361" s="308"/>
      <c r="P6361" s="308" t="s">
        <v>136</v>
      </c>
      <c r="Q6361" s="308" t="s">
        <v>39042</v>
      </c>
      <c r="R6361" s="308" t="s">
        <v>2743</v>
      </c>
      <c r="S6361" s="315" t="s">
        <v>100</v>
      </c>
      <c r="T6361" s="308" t="s">
        <v>34208</v>
      </c>
      <c r="U6361" s="308" t="s">
        <v>368</v>
      </c>
      <c r="V6361" s="308"/>
    </row>
    <row r="6362">
      <c r="A6362" s="308">
        <v>6361.0</v>
      </c>
      <c r="B6362" s="308"/>
      <c r="C6362" s="308" t="s">
        <v>25489</v>
      </c>
      <c r="D6362" s="308">
        <f>IFERROR(__xludf.DUMMYFUNCTION("SPLIT(C6362,""-"")"),6382.0)</f>
        <v>6382</v>
      </c>
      <c r="E6362" s="308" t="str">
        <f>IFERROR(__xludf.DUMMYFUNCTION("""COMPUTED_VALUE"""),"K")</f>
        <v>K</v>
      </c>
      <c r="F6362" s="309" t="s">
        <v>34</v>
      </c>
      <c r="G6362" s="308"/>
      <c r="H6362" s="308" t="s">
        <v>25490</v>
      </c>
      <c r="I6362" s="310">
        <v>42960.0</v>
      </c>
      <c r="J6362" s="319" t="str">
        <f>IFERROR(__xludf.DUMMYFUNCTION("SPLIT(I6362,""/"")"),"#REF!")</f>
        <v>#REF!</v>
      </c>
      <c r="K6362" s="308"/>
      <c r="L6362" s="308">
        <v>2017.0</v>
      </c>
      <c r="M6362" s="308" t="s">
        <v>25491</v>
      </c>
      <c r="N6362" s="308" t="s">
        <v>25492</v>
      </c>
      <c r="O6362" s="308"/>
      <c r="P6362" s="308" t="s">
        <v>39045</v>
      </c>
      <c r="Q6362" s="308" t="s">
        <v>39042</v>
      </c>
      <c r="R6362" s="308" t="s">
        <v>2743</v>
      </c>
      <c r="S6362" s="308" t="s">
        <v>81</v>
      </c>
      <c r="T6362" s="308" t="s">
        <v>34264</v>
      </c>
      <c r="U6362" s="308" t="s">
        <v>1516</v>
      </c>
      <c r="V6362" s="308"/>
    </row>
    <row r="6363">
      <c r="A6363" s="308">
        <v>6362.0</v>
      </c>
      <c r="B6363" s="308"/>
      <c r="C6363" s="308" t="s">
        <v>25494</v>
      </c>
      <c r="D6363" s="308">
        <f>IFERROR(__xludf.DUMMYFUNCTION("SPLIT(C6363,""-"")"),6383.0)</f>
        <v>6383</v>
      </c>
      <c r="E6363" s="308" t="str">
        <f>IFERROR(__xludf.DUMMYFUNCTION("""COMPUTED_VALUE"""),"K")</f>
        <v>K</v>
      </c>
      <c r="F6363" s="309" t="s">
        <v>34</v>
      </c>
      <c r="G6363" s="308"/>
      <c r="H6363" s="308" t="s">
        <v>25495</v>
      </c>
      <c r="I6363" s="310">
        <v>40725.0</v>
      </c>
      <c r="J6363" s="319">
        <f>IFERROR(__xludf.DUMMYFUNCTION("SPLIT(I6363,""/"")"),1.0)</f>
        <v>1</v>
      </c>
      <c r="K6363" s="308">
        <f>IFERROR(__xludf.DUMMYFUNCTION("""COMPUTED_VALUE"""),7.0)</f>
        <v>7</v>
      </c>
      <c r="L6363" s="308">
        <f>IFERROR(__xludf.DUMMYFUNCTION("""COMPUTED_VALUE"""),2011.0)</f>
        <v>2011</v>
      </c>
      <c r="M6363" s="308" t="s">
        <v>25496</v>
      </c>
      <c r="N6363" s="308" t="s">
        <v>25497</v>
      </c>
      <c r="O6363" s="308"/>
      <c r="P6363" s="308" t="s">
        <v>136</v>
      </c>
      <c r="Q6363" s="308" t="s">
        <v>39046</v>
      </c>
      <c r="R6363" s="308" t="s">
        <v>2743</v>
      </c>
      <c r="S6363" s="315" t="s">
        <v>100</v>
      </c>
      <c r="T6363" s="308" t="s">
        <v>34208</v>
      </c>
      <c r="U6363" s="308" t="s">
        <v>530</v>
      </c>
      <c r="V6363" s="308"/>
    </row>
    <row r="6364">
      <c r="A6364" s="308">
        <v>6363.0</v>
      </c>
      <c r="B6364" s="308"/>
      <c r="C6364" s="308" t="s">
        <v>25498</v>
      </c>
      <c r="D6364" s="308">
        <f>IFERROR(__xludf.DUMMYFUNCTION("SPLIT(C6364,""-"")"),6384.0)</f>
        <v>6384</v>
      </c>
      <c r="E6364" s="308" t="str">
        <f>IFERROR(__xludf.DUMMYFUNCTION("""COMPUTED_VALUE"""),"P")</f>
        <v>P</v>
      </c>
      <c r="F6364" s="312" t="s">
        <v>37</v>
      </c>
      <c r="G6364" s="308" t="s">
        <v>25499</v>
      </c>
      <c r="H6364" s="308" t="s">
        <v>25500</v>
      </c>
      <c r="I6364" s="310">
        <v>43697.0</v>
      </c>
      <c r="J6364" s="319">
        <f>IFERROR(__xludf.DUMMYFUNCTION("SPLIT(I6364,""/"")"),20.0)</f>
        <v>20</v>
      </c>
      <c r="K6364" s="308">
        <f>IFERROR(__xludf.DUMMYFUNCTION("""COMPUTED_VALUE"""),8.0)</f>
        <v>8</v>
      </c>
      <c r="L6364" s="308">
        <f>IFERROR(__xludf.DUMMYFUNCTION("""COMPUTED_VALUE"""),2019.0)</f>
        <v>2019</v>
      </c>
      <c r="M6364" s="308" t="s">
        <v>25501</v>
      </c>
      <c r="N6364" s="308" t="s">
        <v>25502</v>
      </c>
      <c r="O6364" s="308"/>
      <c r="P6364" s="308" t="s">
        <v>25503</v>
      </c>
      <c r="Q6364" s="308" t="s">
        <v>39047</v>
      </c>
      <c r="R6364" s="308" t="s">
        <v>2743</v>
      </c>
      <c r="S6364" s="308" t="s">
        <v>81</v>
      </c>
      <c r="T6364" s="308" t="s">
        <v>73</v>
      </c>
      <c r="U6364" s="308" t="s">
        <v>2692</v>
      </c>
      <c r="V6364" s="308"/>
    </row>
    <row r="6365">
      <c r="A6365" s="308">
        <v>6364.0</v>
      </c>
      <c r="B6365" s="308"/>
      <c r="C6365" s="308" t="s">
        <v>25504</v>
      </c>
      <c r="D6365" s="308">
        <f>IFERROR(__xludf.DUMMYFUNCTION("SPLIT(C6365,""-"")"),6385.0)</f>
        <v>6385</v>
      </c>
      <c r="E6365" s="308" t="str">
        <f>IFERROR(__xludf.DUMMYFUNCTION("""COMPUTED_VALUE"""),"I")</f>
        <v>I</v>
      </c>
      <c r="F6365" s="309" t="s">
        <v>31</v>
      </c>
      <c r="G6365" s="308"/>
      <c r="H6365" s="308" t="s">
        <v>25505</v>
      </c>
      <c r="I6365" s="310">
        <v>43743.0</v>
      </c>
      <c r="J6365" s="319">
        <f>IFERROR(__xludf.DUMMYFUNCTION("SPLIT(I6365,""/"")"),5.0)</f>
        <v>5</v>
      </c>
      <c r="K6365" s="308">
        <f>IFERROR(__xludf.DUMMYFUNCTION("""COMPUTED_VALUE"""),10.0)</f>
        <v>10</v>
      </c>
      <c r="L6365" s="308">
        <f>IFERROR(__xludf.DUMMYFUNCTION("""COMPUTED_VALUE"""),2019.0)</f>
        <v>2019</v>
      </c>
      <c r="M6365" s="308" t="s">
        <v>25506</v>
      </c>
      <c r="N6365" s="308" t="s">
        <v>25507</v>
      </c>
      <c r="O6365" s="308"/>
      <c r="P6365" s="308" t="s">
        <v>39048</v>
      </c>
      <c r="Q6365" s="308" t="s">
        <v>39047</v>
      </c>
      <c r="R6365" s="308" t="s">
        <v>2743</v>
      </c>
      <c r="S6365" s="308" t="s">
        <v>81</v>
      </c>
      <c r="T6365" s="311" t="s">
        <v>51</v>
      </c>
      <c r="U6365" s="308" t="s">
        <v>5990</v>
      </c>
      <c r="V6365" s="308"/>
    </row>
    <row r="6366">
      <c r="A6366" s="308">
        <v>6365.0</v>
      </c>
      <c r="B6366" s="308"/>
      <c r="C6366" s="308" t="s">
        <v>25509</v>
      </c>
      <c r="D6366" s="308">
        <f>IFERROR(__xludf.DUMMYFUNCTION("SPLIT(C6366,""-"")"),6386.0)</f>
        <v>6386</v>
      </c>
      <c r="E6366" s="308" t="str">
        <f>IFERROR(__xludf.DUMMYFUNCTION("""COMPUTED_VALUE"""),"P")</f>
        <v>P</v>
      </c>
      <c r="F6366" s="312" t="s">
        <v>37</v>
      </c>
      <c r="G6366" s="308"/>
      <c r="H6366" s="308" t="s">
        <v>25510</v>
      </c>
      <c r="I6366" s="310">
        <v>43740.0</v>
      </c>
      <c r="J6366" s="319">
        <f>IFERROR(__xludf.DUMMYFUNCTION("SPLIT(I6366,""/"")"),2.0)</f>
        <v>2</v>
      </c>
      <c r="K6366" s="308">
        <f>IFERROR(__xludf.DUMMYFUNCTION("""COMPUTED_VALUE"""),10.0)</f>
        <v>10</v>
      </c>
      <c r="L6366" s="308">
        <f>IFERROR(__xludf.DUMMYFUNCTION("""COMPUTED_VALUE"""),2019.0)</f>
        <v>2019</v>
      </c>
      <c r="M6366" s="308" t="s">
        <v>25511</v>
      </c>
      <c r="N6366" s="308" t="s">
        <v>25512</v>
      </c>
      <c r="O6366" s="308"/>
      <c r="P6366" s="308" t="s">
        <v>39049</v>
      </c>
      <c r="Q6366" s="308" t="s">
        <v>39050</v>
      </c>
      <c r="R6366" s="308" t="s">
        <v>2743</v>
      </c>
      <c r="S6366" s="308" t="s">
        <v>81</v>
      </c>
      <c r="T6366" s="311" t="s">
        <v>51</v>
      </c>
      <c r="U6366" s="308" t="s">
        <v>4273</v>
      </c>
      <c r="V6366" s="308"/>
    </row>
    <row r="6367">
      <c r="A6367" s="308">
        <v>6366.0</v>
      </c>
      <c r="B6367" s="308"/>
      <c r="C6367" s="308" t="s">
        <v>25514</v>
      </c>
      <c r="D6367" s="308">
        <f>IFERROR(__xludf.DUMMYFUNCTION("SPLIT(C6367,""-"")"),6387.0)</f>
        <v>6387</v>
      </c>
      <c r="E6367" s="308" t="str">
        <f>IFERROR(__xludf.DUMMYFUNCTION("""COMPUTED_VALUE"""),"P")</f>
        <v>P</v>
      </c>
      <c r="F6367" s="312" t="s">
        <v>37</v>
      </c>
      <c r="G6367" s="308"/>
      <c r="H6367" s="308" t="s">
        <v>25515</v>
      </c>
      <c r="I6367" s="310">
        <v>43741.0</v>
      </c>
      <c r="J6367" s="319">
        <f>IFERROR(__xludf.DUMMYFUNCTION("SPLIT(I6367,""/"")"),3.0)</f>
        <v>3</v>
      </c>
      <c r="K6367" s="308">
        <f>IFERROR(__xludf.DUMMYFUNCTION("""COMPUTED_VALUE"""),10.0)</f>
        <v>10</v>
      </c>
      <c r="L6367" s="308">
        <f>IFERROR(__xludf.DUMMYFUNCTION("""COMPUTED_VALUE"""),2019.0)</f>
        <v>2019</v>
      </c>
      <c r="M6367" s="308" t="s">
        <v>25516</v>
      </c>
      <c r="N6367" s="308" t="s">
        <v>25517</v>
      </c>
      <c r="O6367" s="308"/>
      <c r="P6367" s="308" t="s">
        <v>39051</v>
      </c>
      <c r="Q6367" s="308" t="s">
        <v>39050</v>
      </c>
      <c r="R6367" s="308" t="s">
        <v>2743</v>
      </c>
      <c r="S6367" s="308" t="s">
        <v>81</v>
      </c>
      <c r="T6367" s="311" t="s">
        <v>51</v>
      </c>
      <c r="U6367" s="308" t="s">
        <v>149</v>
      </c>
      <c r="V6367" s="308"/>
    </row>
    <row r="6368">
      <c r="A6368" s="308">
        <v>6367.0</v>
      </c>
      <c r="B6368" s="308"/>
      <c r="C6368" s="308" t="s">
        <v>25519</v>
      </c>
      <c r="D6368" s="308">
        <f>IFERROR(__xludf.DUMMYFUNCTION("SPLIT(C6368,""-"")"),6388.0)</f>
        <v>6388</v>
      </c>
      <c r="E6368" s="308" t="str">
        <f>IFERROR(__xludf.DUMMYFUNCTION("""COMPUTED_VALUE"""),"I")</f>
        <v>I</v>
      </c>
      <c r="F6368" s="309" t="s">
        <v>31</v>
      </c>
      <c r="G6368" s="308"/>
      <c r="H6368" s="308" t="s">
        <v>39052</v>
      </c>
      <c r="I6368" s="310">
        <v>43685.0</v>
      </c>
      <c r="J6368" s="319">
        <f>IFERROR(__xludf.DUMMYFUNCTION("SPLIT(I6368,""/"")"),8.0)</f>
        <v>8</v>
      </c>
      <c r="K6368" s="308">
        <f>IFERROR(__xludf.DUMMYFUNCTION("""COMPUTED_VALUE"""),8.0)</f>
        <v>8</v>
      </c>
      <c r="L6368" s="308">
        <f>IFERROR(__xludf.DUMMYFUNCTION("""COMPUTED_VALUE"""),2019.0)</f>
        <v>2019</v>
      </c>
      <c r="M6368" s="308" t="s">
        <v>25521</v>
      </c>
      <c r="N6368" s="308" t="s">
        <v>25522</v>
      </c>
      <c r="O6368" s="308" t="s">
        <v>25523</v>
      </c>
      <c r="P6368" s="308" t="s">
        <v>25524</v>
      </c>
      <c r="Q6368" s="308" t="s">
        <v>39050</v>
      </c>
      <c r="R6368" s="308" t="s">
        <v>2743</v>
      </c>
      <c r="S6368" s="308" t="s">
        <v>81</v>
      </c>
      <c r="T6368" s="311" t="s">
        <v>96</v>
      </c>
      <c r="U6368" s="308" t="s">
        <v>31</v>
      </c>
      <c r="V6368" s="308"/>
    </row>
    <row r="6369">
      <c r="A6369" s="308">
        <v>6368.0</v>
      </c>
      <c r="B6369" s="308"/>
      <c r="C6369" s="308" t="s">
        <v>25525</v>
      </c>
      <c r="D6369" s="308">
        <f>IFERROR(__xludf.DUMMYFUNCTION("SPLIT(C6369,""-"")"),6389.0)</f>
        <v>6389</v>
      </c>
      <c r="E6369" s="308" t="str">
        <f>IFERROR(__xludf.DUMMYFUNCTION("""COMPUTED_VALUE"""),"I")</f>
        <v>I</v>
      </c>
      <c r="F6369" s="309" t="s">
        <v>31</v>
      </c>
      <c r="G6369" s="308"/>
      <c r="H6369" s="308" t="s">
        <v>25526</v>
      </c>
      <c r="I6369" s="310">
        <v>43746.0</v>
      </c>
      <c r="J6369" s="319">
        <f>IFERROR(__xludf.DUMMYFUNCTION("SPLIT(I6369,""/"")"),8.0)</f>
        <v>8</v>
      </c>
      <c r="K6369" s="308">
        <f>IFERROR(__xludf.DUMMYFUNCTION("""COMPUTED_VALUE"""),10.0)</f>
        <v>10</v>
      </c>
      <c r="L6369" s="308">
        <f>IFERROR(__xludf.DUMMYFUNCTION("""COMPUTED_VALUE"""),2019.0)</f>
        <v>2019</v>
      </c>
      <c r="M6369" s="308" t="s">
        <v>25527</v>
      </c>
      <c r="N6369" s="308" t="s">
        <v>25528</v>
      </c>
      <c r="O6369" s="308" t="s">
        <v>25529</v>
      </c>
      <c r="P6369" s="308" t="s">
        <v>39053</v>
      </c>
      <c r="Q6369" s="308" t="s">
        <v>39054</v>
      </c>
      <c r="R6369" s="308" t="s">
        <v>2743</v>
      </c>
      <c r="S6369" s="308" t="s">
        <v>81</v>
      </c>
      <c r="T6369" s="308" t="s">
        <v>34264</v>
      </c>
      <c r="U6369" s="308" t="s">
        <v>31</v>
      </c>
      <c r="V6369" s="308"/>
    </row>
    <row r="6370">
      <c r="A6370" s="308">
        <v>6369.0</v>
      </c>
      <c r="B6370" s="308"/>
      <c r="C6370" s="308" t="s">
        <v>25531</v>
      </c>
      <c r="D6370" s="308">
        <f>IFERROR(__xludf.DUMMYFUNCTION("SPLIT(C6370,""-"")"),6390.0)</f>
        <v>6390</v>
      </c>
      <c r="E6370" s="308" t="str">
        <f>IFERROR(__xludf.DUMMYFUNCTION("""COMPUTED_VALUE"""),"K")</f>
        <v>K</v>
      </c>
      <c r="F6370" s="309" t="s">
        <v>34</v>
      </c>
      <c r="G6370" s="308"/>
      <c r="H6370" s="308" t="s">
        <v>25532</v>
      </c>
      <c r="I6370" s="310">
        <v>40330.0</v>
      </c>
      <c r="J6370" s="319">
        <f>IFERROR(__xludf.DUMMYFUNCTION("SPLIT(I6370,""/"")"),1.0)</f>
        <v>1</v>
      </c>
      <c r="K6370" s="308">
        <f>IFERROR(__xludf.DUMMYFUNCTION("""COMPUTED_VALUE"""),6.0)</f>
        <v>6</v>
      </c>
      <c r="L6370" s="308">
        <f>IFERROR(__xludf.DUMMYFUNCTION("""COMPUTED_VALUE"""),2010.0)</f>
        <v>2010</v>
      </c>
      <c r="M6370" s="308" t="s">
        <v>25533</v>
      </c>
      <c r="N6370" s="308" t="s">
        <v>25534</v>
      </c>
      <c r="O6370" s="308"/>
      <c r="P6370" s="308" t="s">
        <v>136</v>
      </c>
      <c r="Q6370" s="308" t="s">
        <v>39054</v>
      </c>
      <c r="R6370" s="308" t="s">
        <v>2743</v>
      </c>
      <c r="S6370" s="315" t="s">
        <v>100</v>
      </c>
      <c r="T6370" s="308" t="s">
        <v>34208</v>
      </c>
      <c r="U6370" s="308" t="s">
        <v>2152</v>
      </c>
      <c r="V6370" s="308"/>
    </row>
    <row r="6371">
      <c r="A6371" s="308">
        <v>6370.0</v>
      </c>
      <c r="B6371" s="308"/>
      <c r="C6371" s="308" t="s">
        <v>25535</v>
      </c>
      <c r="D6371" s="308">
        <f>IFERROR(__xludf.DUMMYFUNCTION("SPLIT(C6371,""-"")"),6391.0)</f>
        <v>6391</v>
      </c>
      <c r="E6371" s="308" t="str">
        <f>IFERROR(__xludf.DUMMYFUNCTION("""COMPUTED_VALUE"""),"K")</f>
        <v>K</v>
      </c>
      <c r="F6371" s="309" t="s">
        <v>34</v>
      </c>
      <c r="G6371" s="308"/>
      <c r="H6371" s="308" t="s">
        <v>25536</v>
      </c>
      <c r="I6371" s="310">
        <v>42098.0</v>
      </c>
      <c r="J6371" s="319">
        <f>IFERROR(__xludf.DUMMYFUNCTION("SPLIT(I6371,""/"")"),4.0)</f>
        <v>4</v>
      </c>
      <c r="K6371" s="308">
        <f>IFERROR(__xludf.DUMMYFUNCTION("""COMPUTED_VALUE"""),4.0)</f>
        <v>4</v>
      </c>
      <c r="L6371" s="308">
        <f>IFERROR(__xludf.DUMMYFUNCTION("""COMPUTED_VALUE"""),2015.0)</f>
        <v>2015</v>
      </c>
      <c r="M6371" s="308" t="s">
        <v>25537</v>
      </c>
      <c r="N6371" s="308" t="s">
        <v>25538</v>
      </c>
      <c r="O6371" s="308"/>
      <c r="P6371" s="308" t="s">
        <v>136</v>
      </c>
      <c r="Q6371" s="308" t="s">
        <v>39055</v>
      </c>
      <c r="R6371" s="308" t="s">
        <v>2743</v>
      </c>
      <c r="S6371" s="315" t="s">
        <v>100</v>
      </c>
      <c r="T6371" s="308" t="s">
        <v>34208</v>
      </c>
      <c r="U6371" s="308" t="s">
        <v>201</v>
      </c>
      <c r="V6371" s="308"/>
    </row>
    <row r="6372">
      <c r="A6372" s="308">
        <v>6371.0</v>
      </c>
      <c r="B6372" s="308"/>
      <c r="C6372" s="308" t="s">
        <v>25539</v>
      </c>
      <c r="D6372" s="308">
        <f>IFERROR(__xludf.DUMMYFUNCTION("SPLIT(C6372,""-"")"),6392.0)</f>
        <v>6392</v>
      </c>
      <c r="E6372" s="308" t="str">
        <f>IFERROR(__xludf.DUMMYFUNCTION("""COMPUTED_VALUE"""),"K")</f>
        <v>K</v>
      </c>
      <c r="F6372" s="309" t="s">
        <v>34</v>
      </c>
      <c r="G6372" s="308"/>
      <c r="H6372" s="308" t="s">
        <v>25540</v>
      </c>
      <c r="I6372" s="310">
        <v>40342.0</v>
      </c>
      <c r="J6372" s="319">
        <f>IFERROR(__xludf.DUMMYFUNCTION("SPLIT(I6372,""/"")"),13.0)</f>
        <v>13</v>
      </c>
      <c r="K6372" s="308">
        <f>IFERROR(__xludf.DUMMYFUNCTION("""COMPUTED_VALUE"""),6.0)</f>
        <v>6</v>
      </c>
      <c r="L6372" s="308">
        <f>IFERROR(__xludf.DUMMYFUNCTION("""COMPUTED_VALUE"""),2010.0)</f>
        <v>2010</v>
      </c>
      <c r="M6372" s="308" t="s">
        <v>25541</v>
      </c>
      <c r="N6372" s="308" t="s">
        <v>25542</v>
      </c>
      <c r="O6372" s="308"/>
      <c r="P6372" s="308" t="s">
        <v>25543</v>
      </c>
      <c r="Q6372" s="308" t="s">
        <v>39055</v>
      </c>
      <c r="R6372" s="308" t="s">
        <v>16185</v>
      </c>
      <c r="S6372" s="308" t="s">
        <v>81</v>
      </c>
      <c r="T6372" s="308" t="s">
        <v>73</v>
      </c>
      <c r="U6372" s="308" t="s">
        <v>3714</v>
      </c>
      <c r="V6372" s="308"/>
    </row>
    <row r="6373">
      <c r="A6373" s="308">
        <v>6372.0</v>
      </c>
      <c r="B6373" s="308"/>
      <c r="C6373" s="308" t="s">
        <v>25544</v>
      </c>
      <c r="D6373" s="308">
        <f>IFERROR(__xludf.DUMMYFUNCTION("SPLIT(C6373,""-"")"),6393.0)</f>
        <v>6393</v>
      </c>
      <c r="E6373" s="308" t="str">
        <f>IFERROR(__xludf.DUMMYFUNCTION("""COMPUTED_VALUE"""),"K")</f>
        <v>K</v>
      </c>
      <c r="F6373" s="309" t="s">
        <v>34</v>
      </c>
      <c r="G6373" s="308"/>
      <c r="H6373" s="308" t="s">
        <v>25545</v>
      </c>
      <c r="I6373" s="310">
        <v>43705.0</v>
      </c>
      <c r="J6373" s="319">
        <f>IFERROR(__xludf.DUMMYFUNCTION("SPLIT(I6373,""/"")"),28.0)</f>
        <v>28</v>
      </c>
      <c r="K6373" s="308">
        <f>IFERROR(__xludf.DUMMYFUNCTION("""COMPUTED_VALUE"""),8.0)</f>
        <v>8</v>
      </c>
      <c r="L6373" s="308">
        <f>IFERROR(__xludf.DUMMYFUNCTION("""COMPUTED_VALUE"""),2019.0)</f>
        <v>2019</v>
      </c>
      <c r="M6373" s="308" t="s">
        <v>25546</v>
      </c>
      <c r="N6373" s="308"/>
      <c r="O6373" s="308" t="s">
        <v>25547</v>
      </c>
      <c r="P6373" s="308" t="s">
        <v>25548</v>
      </c>
      <c r="Q6373" s="308" t="s">
        <v>39055</v>
      </c>
      <c r="R6373" s="308" t="s">
        <v>16185</v>
      </c>
      <c r="S6373" s="308" t="s">
        <v>81</v>
      </c>
      <c r="T6373" s="308" t="s">
        <v>73</v>
      </c>
      <c r="U6373" s="308" t="s">
        <v>10279</v>
      </c>
      <c r="V6373" s="308"/>
    </row>
    <row r="6374">
      <c r="A6374" s="308">
        <v>6373.0</v>
      </c>
      <c r="B6374" s="308"/>
      <c r="C6374" s="308" t="s">
        <v>25549</v>
      </c>
      <c r="D6374" s="308">
        <f>IFERROR(__xludf.DUMMYFUNCTION("SPLIT(C6374,""-"")"),6394.0)</f>
        <v>6394</v>
      </c>
      <c r="E6374" s="308" t="str">
        <f>IFERROR(__xludf.DUMMYFUNCTION("""COMPUTED_VALUE"""),"I")</f>
        <v>I</v>
      </c>
      <c r="F6374" s="309" t="s">
        <v>31</v>
      </c>
      <c r="G6374" s="308"/>
      <c r="H6374" s="308" t="s">
        <v>25550</v>
      </c>
      <c r="I6374" s="310">
        <v>43707.0</v>
      </c>
      <c r="J6374" s="319">
        <f>IFERROR(__xludf.DUMMYFUNCTION("SPLIT(I6374,""/"")"),30.0)</f>
        <v>30</v>
      </c>
      <c r="K6374" s="308">
        <f>IFERROR(__xludf.DUMMYFUNCTION("""COMPUTED_VALUE"""),8.0)</f>
        <v>8</v>
      </c>
      <c r="L6374" s="308">
        <f>IFERROR(__xludf.DUMMYFUNCTION("""COMPUTED_VALUE"""),2019.0)</f>
        <v>2019</v>
      </c>
      <c r="M6374" s="308" t="s">
        <v>25551</v>
      </c>
      <c r="N6374" s="308" t="s">
        <v>25552</v>
      </c>
      <c r="O6374" s="308"/>
      <c r="P6374" s="308" t="s">
        <v>39056</v>
      </c>
      <c r="Q6374" s="308" t="s">
        <v>39057</v>
      </c>
      <c r="R6374" s="308" t="s">
        <v>2743</v>
      </c>
      <c r="S6374" s="308" t="s">
        <v>81</v>
      </c>
      <c r="T6374" s="311" t="s">
        <v>96</v>
      </c>
      <c r="U6374" s="308" t="s">
        <v>5990</v>
      </c>
      <c r="V6374" s="308"/>
    </row>
    <row r="6375">
      <c r="A6375" s="308">
        <v>6374.0</v>
      </c>
      <c r="B6375" s="308"/>
      <c r="C6375" s="308" t="s">
        <v>25554</v>
      </c>
      <c r="D6375" s="308">
        <f>IFERROR(__xludf.DUMMYFUNCTION("SPLIT(C6375,""-"")"),6395.0)</f>
        <v>6395</v>
      </c>
      <c r="E6375" s="308" t="str">
        <f>IFERROR(__xludf.DUMMYFUNCTION("""COMPUTED_VALUE"""),"K")</f>
        <v>K</v>
      </c>
      <c r="F6375" s="309" t="s">
        <v>34</v>
      </c>
      <c r="G6375" s="308"/>
      <c r="H6375" s="308" t="s">
        <v>25555</v>
      </c>
      <c r="I6375" s="310">
        <v>40180.0</v>
      </c>
      <c r="J6375" s="319">
        <f>IFERROR(__xludf.DUMMYFUNCTION("SPLIT(I6375,""/"")"),2.0)</f>
        <v>2</v>
      </c>
      <c r="K6375" s="308">
        <f>IFERROR(__xludf.DUMMYFUNCTION("""COMPUTED_VALUE"""),1.0)</f>
        <v>1</v>
      </c>
      <c r="L6375" s="308">
        <f>IFERROR(__xludf.DUMMYFUNCTION("""COMPUTED_VALUE"""),2010.0)</f>
        <v>2010</v>
      </c>
      <c r="M6375" s="308" t="s">
        <v>25556</v>
      </c>
      <c r="N6375" s="308" t="s">
        <v>25557</v>
      </c>
      <c r="O6375" s="308"/>
      <c r="P6375" s="308" t="s">
        <v>136</v>
      </c>
      <c r="Q6375" s="308" t="s">
        <v>39057</v>
      </c>
      <c r="R6375" s="308" t="s">
        <v>2743</v>
      </c>
      <c r="S6375" s="315" t="s">
        <v>100</v>
      </c>
      <c r="T6375" s="308" t="s">
        <v>34208</v>
      </c>
      <c r="U6375" s="308" t="s">
        <v>2466</v>
      </c>
      <c r="V6375" s="308"/>
    </row>
    <row r="6376">
      <c r="A6376" s="308">
        <v>6375.0</v>
      </c>
      <c r="B6376" s="308"/>
      <c r="C6376" s="308" t="s">
        <v>25558</v>
      </c>
      <c r="D6376" s="308">
        <f>IFERROR(__xludf.DUMMYFUNCTION("SPLIT(C6376,""-"")"),6396.0)</f>
        <v>6396</v>
      </c>
      <c r="E6376" s="308" t="str">
        <f>IFERROR(__xludf.DUMMYFUNCTION("""COMPUTED_VALUE"""),"K")</f>
        <v>K</v>
      </c>
      <c r="F6376" s="309" t="s">
        <v>34</v>
      </c>
      <c r="G6376" s="308"/>
      <c r="H6376" s="308" t="s">
        <v>25559</v>
      </c>
      <c r="I6376" s="310">
        <v>41457.0</v>
      </c>
      <c r="J6376" s="319">
        <f>IFERROR(__xludf.DUMMYFUNCTION("SPLIT(I6376,""/"")"),2.0)</f>
        <v>2</v>
      </c>
      <c r="K6376" s="308">
        <f>IFERROR(__xludf.DUMMYFUNCTION("""COMPUTED_VALUE"""),7.0)</f>
        <v>7</v>
      </c>
      <c r="L6376" s="308">
        <f>IFERROR(__xludf.DUMMYFUNCTION("""COMPUTED_VALUE"""),2013.0)</f>
        <v>2013</v>
      </c>
      <c r="M6376" s="308" t="s">
        <v>25560</v>
      </c>
      <c r="N6376" s="308" t="s">
        <v>25561</v>
      </c>
      <c r="O6376" s="308"/>
      <c r="P6376" s="308" t="s">
        <v>25562</v>
      </c>
      <c r="Q6376" s="308" t="s">
        <v>39057</v>
      </c>
      <c r="R6376" s="308" t="s">
        <v>2743</v>
      </c>
      <c r="S6376" s="308" t="s">
        <v>49</v>
      </c>
      <c r="T6376" s="308" t="s">
        <v>51</v>
      </c>
      <c r="U6376" s="308" t="s">
        <v>2466</v>
      </c>
      <c r="V6376" s="308"/>
    </row>
    <row r="6377">
      <c r="A6377" s="308">
        <v>6376.0</v>
      </c>
      <c r="B6377" s="308"/>
      <c r="C6377" s="308" t="s">
        <v>25563</v>
      </c>
      <c r="D6377" s="308">
        <f>IFERROR(__xludf.DUMMYFUNCTION("SPLIT(C6377,""-"")"),6397.0)</f>
        <v>6397</v>
      </c>
      <c r="E6377" s="308" t="str">
        <f>IFERROR(__xludf.DUMMYFUNCTION("""COMPUTED_VALUE"""),"K")</f>
        <v>K</v>
      </c>
      <c r="F6377" s="309" t="s">
        <v>34</v>
      </c>
      <c r="G6377" s="308"/>
      <c r="H6377" s="308" t="s">
        <v>25564</v>
      </c>
      <c r="I6377" s="314">
        <v>43751.0</v>
      </c>
      <c r="J6377" s="319">
        <f>IFERROR(__xludf.DUMMYFUNCTION("SPLIT(I6377,""/"")"),13.0)</f>
        <v>13</v>
      </c>
      <c r="K6377" s="308">
        <f>IFERROR(__xludf.DUMMYFUNCTION("""COMPUTED_VALUE"""),10.0)</f>
        <v>10</v>
      </c>
      <c r="L6377" s="308">
        <f>IFERROR(__xludf.DUMMYFUNCTION("""COMPUTED_VALUE"""),2019.0)</f>
        <v>2019</v>
      </c>
      <c r="M6377" s="308" t="s">
        <v>25565</v>
      </c>
      <c r="N6377" s="308" t="s">
        <v>25566</v>
      </c>
      <c r="O6377" s="308"/>
      <c r="P6377" s="308" t="s">
        <v>39058</v>
      </c>
      <c r="Q6377" s="308" t="s">
        <v>39057</v>
      </c>
      <c r="R6377" s="308" t="s">
        <v>2743</v>
      </c>
      <c r="S6377" s="308" t="s">
        <v>81</v>
      </c>
      <c r="T6377" s="308" t="s">
        <v>75</v>
      </c>
      <c r="U6377" s="308" t="s">
        <v>941</v>
      </c>
      <c r="V6377" s="308"/>
    </row>
    <row r="6378">
      <c r="A6378" s="308">
        <v>6377.0</v>
      </c>
      <c r="B6378" s="308"/>
      <c r="C6378" s="308" t="s">
        <v>25568</v>
      </c>
      <c r="D6378" s="308">
        <f>IFERROR(__xludf.DUMMYFUNCTION("SPLIT(C6378,""-"")"),6398.0)</f>
        <v>6398</v>
      </c>
      <c r="E6378" s="308" t="str">
        <f>IFERROR(__xludf.DUMMYFUNCTION("""COMPUTED_VALUE"""),"K")</f>
        <v>K</v>
      </c>
      <c r="F6378" s="309" t="s">
        <v>34</v>
      </c>
      <c r="G6378" s="308"/>
      <c r="H6378" s="308" t="s">
        <v>25569</v>
      </c>
      <c r="I6378" s="314">
        <v>42688.0</v>
      </c>
      <c r="J6378" s="319">
        <f>IFERROR(__xludf.DUMMYFUNCTION("SPLIT(I6378,""/"")"),14.0)</f>
        <v>14</v>
      </c>
      <c r="K6378" s="308">
        <f>IFERROR(__xludf.DUMMYFUNCTION("""COMPUTED_VALUE"""),11.0)</f>
        <v>11</v>
      </c>
      <c r="L6378" s="308">
        <f>IFERROR(__xludf.DUMMYFUNCTION("""COMPUTED_VALUE"""),2016.0)</f>
        <v>2016</v>
      </c>
      <c r="M6378" s="308" t="s">
        <v>25570</v>
      </c>
      <c r="N6378" s="308" t="s">
        <v>25571</v>
      </c>
      <c r="O6378" s="308" t="s">
        <v>25572</v>
      </c>
      <c r="P6378" s="308" t="s">
        <v>25573</v>
      </c>
      <c r="Q6378" s="308" t="s">
        <v>39057</v>
      </c>
      <c r="R6378" s="308" t="s">
        <v>2743</v>
      </c>
      <c r="S6378" s="308" t="s">
        <v>81</v>
      </c>
      <c r="T6378" s="311" t="s">
        <v>90</v>
      </c>
      <c r="U6378" s="308" t="s">
        <v>530</v>
      </c>
      <c r="V6378" s="308"/>
    </row>
    <row r="6379">
      <c r="A6379" s="308">
        <v>6378.0</v>
      </c>
      <c r="B6379" s="308"/>
      <c r="C6379" s="308" t="s">
        <v>25574</v>
      </c>
      <c r="D6379" s="308">
        <f>IFERROR(__xludf.DUMMYFUNCTION("SPLIT(C6379,""-"")"),6399.0)</f>
        <v>6399</v>
      </c>
      <c r="E6379" s="308" t="str">
        <f>IFERROR(__xludf.DUMMYFUNCTION("""COMPUTED_VALUE"""),"I")</f>
        <v>I</v>
      </c>
      <c r="F6379" s="309" t="s">
        <v>31</v>
      </c>
      <c r="G6379" s="308"/>
      <c r="H6379" s="308" t="s">
        <v>25575</v>
      </c>
      <c r="I6379" s="314">
        <v>43748.0</v>
      </c>
      <c r="J6379" s="319">
        <f>IFERROR(__xludf.DUMMYFUNCTION("SPLIT(I6379,""/"")"),10.0)</f>
        <v>10</v>
      </c>
      <c r="K6379" s="308">
        <f>IFERROR(__xludf.DUMMYFUNCTION("""COMPUTED_VALUE"""),10.0)</f>
        <v>10</v>
      </c>
      <c r="L6379" s="308">
        <f>IFERROR(__xludf.DUMMYFUNCTION("""COMPUTED_VALUE"""),2019.0)</f>
        <v>2019</v>
      </c>
      <c r="M6379" s="308" t="s">
        <v>25576</v>
      </c>
      <c r="N6379" s="308" t="s">
        <v>25577</v>
      </c>
      <c r="O6379" s="308"/>
      <c r="P6379" s="308" t="s">
        <v>39059</v>
      </c>
      <c r="Q6379" s="308" t="s">
        <v>39057</v>
      </c>
      <c r="R6379" s="308" t="s">
        <v>2743</v>
      </c>
      <c r="S6379" s="308" t="s">
        <v>81</v>
      </c>
      <c r="T6379" s="311" t="s">
        <v>51</v>
      </c>
      <c r="U6379" s="308" t="s">
        <v>5990</v>
      </c>
      <c r="V6379" s="308"/>
    </row>
    <row r="6380">
      <c r="A6380" s="308">
        <v>6379.0</v>
      </c>
      <c r="B6380" s="308"/>
      <c r="C6380" s="308" t="s">
        <v>25579</v>
      </c>
      <c r="D6380" s="308">
        <f>IFERROR(__xludf.DUMMYFUNCTION("SPLIT(C6380,""-"")"),6400.0)</f>
        <v>6400</v>
      </c>
      <c r="E6380" s="308" t="str">
        <f>IFERROR(__xludf.DUMMYFUNCTION("""COMPUTED_VALUE"""),"K")</f>
        <v>K</v>
      </c>
      <c r="F6380" s="309" t="s">
        <v>34</v>
      </c>
      <c r="G6380" s="308"/>
      <c r="H6380" s="308" t="s">
        <v>25580</v>
      </c>
      <c r="I6380" s="310">
        <v>41456.0</v>
      </c>
      <c r="J6380" s="319">
        <f>IFERROR(__xludf.DUMMYFUNCTION("SPLIT(I6380,""/"")"),1.0)</f>
        <v>1</v>
      </c>
      <c r="K6380" s="308">
        <f>IFERROR(__xludf.DUMMYFUNCTION("""COMPUTED_VALUE"""),7.0)</f>
        <v>7</v>
      </c>
      <c r="L6380" s="308">
        <f>IFERROR(__xludf.DUMMYFUNCTION("""COMPUTED_VALUE"""),2013.0)</f>
        <v>2013</v>
      </c>
      <c r="M6380" s="308" t="s">
        <v>25581</v>
      </c>
      <c r="N6380" s="308" t="s">
        <v>25582</v>
      </c>
      <c r="O6380" s="308"/>
      <c r="P6380" s="308" t="s">
        <v>136</v>
      </c>
      <c r="Q6380" s="308" t="s">
        <v>39060</v>
      </c>
      <c r="R6380" s="308" t="s">
        <v>2743</v>
      </c>
      <c r="S6380" s="315" t="s">
        <v>100</v>
      </c>
      <c r="T6380" s="308" t="s">
        <v>34208</v>
      </c>
      <c r="U6380" s="308" t="s">
        <v>368</v>
      </c>
      <c r="V6380" s="308"/>
    </row>
    <row r="6381">
      <c r="A6381" s="308">
        <v>6380.0</v>
      </c>
      <c r="B6381" s="308"/>
      <c r="C6381" s="308" t="s">
        <v>25583</v>
      </c>
      <c r="D6381" s="308">
        <f>IFERROR(__xludf.DUMMYFUNCTION("SPLIT(C6381,""-"")"),6401.0)</f>
        <v>6401</v>
      </c>
      <c r="E6381" s="308" t="str">
        <f>IFERROR(__xludf.DUMMYFUNCTION("""COMPUTED_VALUE"""),"K")</f>
        <v>K</v>
      </c>
      <c r="F6381" s="309" t="s">
        <v>34</v>
      </c>
      <c r="G6381" s="308"/>
      <c r="H6381" s="308" t="s">
        <v>25584</v>
      </c>
      <c r="I6381" s="310">
        <v>39924.0</v>
      </c>
      <c r="J6381" s="319">
        <f>IFERROR(__xludf.DUMMYFUNCTION("SPLIT(I6381,""/"")"),21.0)</f>
        <v>21</v>
      </c>
      <c r="K6381" s="308">
        <f>IFERROR(__xludf.DUMMYFUNCTION("""COMPUTED_VALUE"""),4.0)</f>
        <v>4</v>
      </c>
      <c r="L6381" s="308">
        <f>IFERROR(__xludf.DUMMYFUNCTION("""COMPUTED_VALUE"""),2009.0)</f>
        <v>2009</v>
      </c>
      <c r="M6381" s="308" t="s">
        <v>25585</v>
      </c>
      <c r="N6381" s="308" t="s">
        <v>439</v>
      </c>
      <c r="O6381" s="308"/>
      <c r="P6381" s="308" t="s">
        <v>136</v>
      </c>
      <c r="Q6381" s="308" t="s">
        <v>39060</v>
      </c>
      <c r="R6381" s="308" t="s">
        <v>2743</v>
      </c>
      <c r="S6381" s="315" t="s">
        <v>100</v>
      </c>
      <c r="T6381" s="308" t="s">
        <v>34208</v>
      </c>
      <c r="U6381" s="308" t="s">
        <v>125</v>
      </c>
      <c r="V6381" s="308"/>
    </row>
    <row r="6382">
      <c r="A6382" s="308">
        <v>6381.0</v>
      </c>
      <c r="B6382" s="308"/>
      <c r="C6382" s="308" t="s">
        <v>25586</v>
      </c>
      <c r="D6382" s="308">
        <f>IFERROR(__xludf.DUMMYFUNCTION("SPLIT(C6382,""-"")"),6402.0)</f>
        <v>6402</v>
      </c>
      <c r="E6382" s="308" t="str">
        <f>IFERROR(__xludf.DUMMYFUNCTION("""COMPUTED_VALUE"""),"I")</f>
        <v>I</v>
      </c>
      <c r="F6382" s="309" t="s">
        <v>31</v>
      </c>
      <c r="G6382" s="308"/>
      <c r="H6382" s="308" t="s">
        <v>25587</v>
      </c>
      <c r="I6382" s="310">
        <v>43742.0</v>
      </c>
      <c r="J6382" s="319">
        <f>IFERROR(__xludf.DUMMYFUNCTION("SPLIT(I6382,""/"")"),4.0)</f>
        <v>4</v>
      </c>
      <c r="K6382" s="308">
        <f>IFERROR(__xludf.DUMMYFUNCTION("""COMPUTED_VALUE"""),10.0)</f>
        <v>10</v>
      </c>
      <c r="L6382" s="308">
        <f>IFERROR(__xludf.DUMMYFUNCTION("""COMPUTED_VALUE"""),2019.0)</f>
        <v>2019</v>
      </c>
      <c r="M6382" s="308" t="s">
        <v>25588</v>
      </c>
      <c r="N6382" s="308" t="s">
        <v>25589</v>
      </c>
      <c r="O6382" s="308" t="s">
        <v>39061</v>
      </c>
      <c r="P6382" s="308" t="s">
        <v>25591</v>
      </c>
      <c r="Q6382" s="308" t="s">
        <v>39062</v>
      </c>
      <c r="R6382" s="308" t="s">
        <v>2743</v>
      </c>
      <c r="S6382" s="308" t="s">
        <v>81</v>
      </c>
      <c r="T6382" s="308" t="s">
        <v>75</v>
      </c>
      <c r="U6382" s="308" t="s">
        <v>31</v>
      </c>
      <c r="V6382" s="308"/>
    </row>
    <row r="6383">
      <c r="A6383" s="308">
        <v>6382.0</v>
      </c>
      <c r="B6383" s="308"/>
      <c r="C6383" s="308" t="s">
        <v>25592</v>
      </c>
      <c r="D6383" s="308">
        <f>IFERROR(__xludf.DUMMYFUNCTION("SPLIT(C6383,""-"")"),6403.0)</f>
        <v>6403</v>
      </c>
      <c r="E6383" s="308" t="str">
        <f>IFERROR(__xludf.DUMMYFUNCTION("""COMPUTED_VALUE"""),"K")</f>
        <v>K</v>
      </c>
      <c r="F6383" s="309" t="s">
        <v>34</v>
      </c>
      <c r="G6383" s="308"/>
      <c r="H6383" s="308" t="s">
        <v>25593</v>
      </c>
      <c r="I6383" s="314">
        <v>40103.0</v>
      </c>
      <c r="J6383" s="319">
        <f>IFERROR(__xludf.DUMMYFUNCTION("SPLIT(I6383,""/"")"),17.0)</f>
        <v>17</v>
      </c>
      <c r="K6383" s="308">
        <f>IFERROR(__xludf.DUMMYFUNCTION("""COMPUTED_VALUE"""),10.0)</f>
        <v>10</v>
      </c>
      <c r="L6383" s="308">
        <f>IFERROR(__xludf.DUMMYFUNCTION("""COMPUTED_VALUE"""),2009.0)</f>
        <v>2009</v>
      </c>
      <c r="M6383" s="308" t="s">
        <v>25594</v>
      </c>
      <c r="N6383" s="308" t="s">
        <v>25595</v>
      </c>
      <c r="O6383" s="308"/>
      <c r="P6383" s="308" t="s">
        <v>136</v>
      </c>
      <c r="Q6383" s="308" t="s">
        <v>39062</v>
      </c>
      <c r="R6383" s="308" t="s">
        <v>2743</v>
      </c>
      <c r="S6383" s="315" t="s">
        <v>100</v>
      </c>
      <c r="T6383" s="308" t="s">
        <v>34208</v>
      </c>
      <c r="U6383" s="308" t="s">
        <v>941</v>
      </c>
      <c r="V6383" s="308"/>
    </row>
    <row r="6384">
      <c r="A6384" s="308">
        <v>6383.0</v>
      </c>
      <c r="B6384" s="308"/>
      <c r="C6384" s="308" t="s">
        <v>25596</v>
      </c>
      <c r="D6384" s="308">
        <f>IFERROR(__xludf.DUMMYFUNCTION("SPLIT(C6384,""-"")"),6404.0)</f>
        <v>6404</v>
      </c>
      <c r="E6384" s="308" t="str">
        <f>IFERROR(__xludf.DUMMYFUNCTION("""COMPUTED_VALUE"""),"K")</f>
        <v>K</v>
      </c>
      <c r="F6384" s="309" t="s">
        <v>34</v>
      </c>
      <c r="G6384" s="308"/>
      <c r="H6384" s="308" t="s">
        <v>25597</v>
      </c>
      <c r="I6384" s="310">
        <v>43271.0</v>
      </c>
      <c r="J6384" s="319">
        <f>IFERROR(__xludf.DUMMYFUNCTION("SPLIT(I6384,""/"")"),20.0)</f>
        <v>20</v>
      </c>
      <c r="K6384" s="308">
        <f>IFERROR(__xludf.DUMMYFUNCTION("""COMPUTED_VALUE"""),6.0)</f>
        <v>6</v>
      </c>
      <c r="L6384" s="308">
        <f>IFERROR(__xludf.DUMMYFUNCTION("""COMPUTED_VALUE"""),2018.0)</f>
        <v>2018</v>
      </c>
      <c r="M6384" s="308" t="s">
        <v>25598</v>
      </c>
      <c r="N6384" s="308" t="s">
        <v>25599</v>
      </c>
      <c r="O6384" s="308"/>
      <c r="P6384" s="308" t="s">
        <v>136</v>
      </c>
      <c r="Q6384" s="308" t="s">
        <v>39063</v>
      </c>
      <c r="R6384" s="308" t="s">
        <v>2743</v>
      </c>
      <c r="S6384" s="315" t="s">
        <v>100</v>
      </c>
      <c r="T6384" s="308" t="s">
        <v>34208</v>
      </c>
      <c r="U6384" s="308" t="s">
        <v>872</v>
      </c>
      <c r="V6384" s="308"/>
    </row>
    <row r="6385">
      <c r="A6385" s="308">
        <v>6384.0</v>
      </c>
      <c r="B6385" s="308"/>
      <c r="C6385" s="308" t="s">
        <v>25600</v>
      </c>
      <c r="D6385" s="308">
        <f>IFERROR(__xludf.DUMMYFUNCTION("SPLIT(C6385,""-"")"),6405.0)</f>
        <v>6405</v>
      </c>
      <c r="E6385" s="308" t="str">
        <f>IFERROR(__xludf.DUMMYFUNCTION("""COMPUTED_VALUE"""),"A")</f>
        <v>A</v>
      </c>
      <c r="F6385" s="309" t="s">
        <v>23</v>
      </c>
      <c r="G6385" s="308"/>
      <c r="H6385" s="308" t="s">
        <v>25601</v>
      </c>
      <c r="I6385" s="310">
        <v>43632.0</v>
      </c>
      <c r="J6385" s="319">
        <f>IFERROR(__xludf.DUMMYFUNCTION("SPLIT(I6385,""/"")"),16.0)</f>
        <v>16</v>
      </c>
      <c r="K6385" s="308">
        <f>IFERROR(__xludf.DUMMYFUNCTION("""COMPUTED_VALUE"""),6.0)</f>
        <v>6</v>
      </c>
      <c r="L6385" s="308">
        <f>IFERROR(__xludf.DUMMYFUNCTION("""COMPUTED_VALUE"""),2019.0)</f>
        <v>2019</v>
      </c>
      <c r="M6385" s="308" t="s">
        <v>25602</v>
      </c>
      <c r="N6385" s="308" t="s">
        <v>25603</v>
      </c>
      <c r="O6385" s="308"/>
      <c r="P6385" s="308" t="s">
        <v>39064</v>
      </c>
      <c r="Q6385" s="308" t="s">
        <v>39063</v>
      </c>
      <c r="R6385" s="308" t="s">
        <v>16185</v>
      </c>
      <c r="S6385" s="308" t="s">
        <v>49</v>
      </c>
      <c r="T6385" s="311" t="s">
        <v>51</v>
      </c>
      <c r="U6385" s="308" t="s">
        <v>403</v>
      </c>
      <c r="V6385" s="308"/>
    </row>
    <row r="6386">
      <c r="A6386" s="308">
        <v>6385.0</v>
      </c>
      <c r="B6386" s="308"/>
      <c r="C6386" s="308" t="s">
        <v>25605</v>
      </c>
      <c r="D6386" s="308">
        <f>IFERROR(__xludf.DUMMYFUNCTION("SPLIT(C6386,""-"")"),6406.0)</f>
        <v>6406</v>
      </c>
      <c r="E6386" s="308" t="str">
        <f>IFERROR(__xludf.DUMMYFUNCTION("""COMPUTED_VALUE"""),"P")</f>
        <v>P</v>
      </c>
      <c r="F6386" s="312" t="s">
        <v>37</v>
      </c>
      <c r="G6386" s="308"/>
      <c r="H6386" s="308" t="s">
        <v>25606</v>
      </c>
      <c r="I6386" s="310">
        <v>43742.0</v>
      </c>
      <c r="J6386" s="319">
        <f>IFERROR(__xludf.DUMMYFUNCTION("SPLIT(I6386,""/"")"),4.0)</f>
        <v>4</v>
      </c>
      <c r="K6386" s="308">
        <f>IFERROR(__xludf.DUMMYFUNCTION("""COMPUTED_VALUE"""),10.0)</f>
        <v>10</v>
      </c>
      <c r="L6386" s="308">
        <f>IFERROR(__xludf.DUMMYFUNCTION("""COMPUTED_VALUE"""),2019.0)</f>
        <v>2019</v>
      </c>
      <c r="M6386" s="308" t="s">
        <v>25607</v>
      </c>
      <c r="N6386" s="308" t="s">
        <v>439</v>
      </c>
      <c r="O6386" s="308"/>
      <c r="P6386" s="308" t="s">
        <v>136</v>
      </c>
      <c r="Q6386" s="308" t="s">
        <v>39063</v>
      </c>
      <c r="R6386" s="308" t="s">
        <v>16185</v>
      </c>
      <c r="S6386" s="315" t="s">
        <v>100</v>
      </c>
      <c r="T6386" s="308" t="s">
        <v>34208</v>
      </c>
      <c r="U6386" s="308" t="s">
        <v>14984</v>
      </c>
      <c r="V6386" s="308"/>
    </row>
    <row r="6387">
      <c r="A6387" s="308">
        <v>6386.0</v>
      </c>
      <c r="B6387" s="308"/>
      <c r="C6387" s="308" t="s">
        <v>25608</v>
      </c>
      <c r="D6387" s="308">
        <f>IFERROR(__xludf.DUMMYFUNCTION("SPLIT(C6387,""-"")"),6407.0)</f>
        <v>6407</v>
      </c>
      <c r="E6387" s="308" t="str">
        <f>IFERROR(__xludf.DUMMYFUNCTION("""COMPUTED_VALUE"""),"P")</f>
        <v>P</v>
      </c>
      <c r="F6387" s="312" t="s">
        <v>37</v>
      </c>
      <c r="G6387" s="308"/>
      <c r="H6387" s="308" t="s">
        <v>25609</v>
      </c>
      <c r="I6387" s="310">
        <v>40452.0</v>
      </c>
      <c r="J6387" s="319">
        <f>IFERROR(__xludf.DUMMYFUNCTION("SPLIT(I6387,""/"")"),1.0)</f>
        <v>1</v>
      </c>
      <c r="K6387" s="308">
        <f>IFERROR(__xludf.DUMMYFUNCTION("""COMPUTED_VALUE"""),10.0)</f>
        <v>10</v>
      </c>
      <c r="L6387" s="308">
        <f>IFERROR(__xludf.DUMMYFUNCTION("""COMPUTED_VALUE"""),2010.0)</f>
        <v>2010</v>
      </c>
      <c r="M6387" s="308" t="s">
        <v>25610</v>
      </c>
      <c r="N6387" s="308" t="s">
        <v>439</v>
      </c>
      <c r="O6387" s="308" t="s">
        <v>25611</v>
      </c>
      <c r="P6387" s="308" t="s">
        <v>136</v>
      </c>
      <c r="Q6387" s="308" t="s">
        <v>39065</v>
      </c>
      <c r="R6387" s="308" t="s">
        <v>2743</v>
      </c>
      <c r="S6387" s="315" t="s">
        <v>100</v>
      </c>
      <c r="T6387" s="308" t="s">
        <v>34208</v>
      </c>
      <c r="U6387" s="308" t="s">
        <v>15586</v>
      </c>
      <c r="V6387" s="308"/>
    </row>
    <row r="6388">
      <c r="A6388" s="308">
        <v>6387.0</v>
      </c>
      <c r="B6388" s="308"/>
      <c r="C6388" s="308" t="s">
        <v>25612</v>
      </c>
      <c r="D6388" s="308">
        <f>IFERROR(__xludf.DUMMYFUNCTION("SPLIT(C6388,""-"")"),6408.0)</f>
        <v>6408</v>
      </c>
      <c r="E6388" s="308" t="str">
        <f>IFERROR(__xludf.DUMMYFUNCTION("""COMPUTED_VALUE"""),"P")</f>
        <v>P</v>
      </c>
      <c r="F6388" s="312" t="s">
        <v>37</v>
      </c>
      <c r="G6388" s="308"/>
      <c r="H6388" s="308" t="s">
        <v>25613</v>
      </c>
      <c r="I6388" s="310">
        <v>43617.0</v>
      </c>
      <c r="J6388" s="319">
        <f>IFERROR(__xludf.DUMMYFUNCTION("SPLIT(I6388,""/"")"),1.0)</f>
        <v>1</v>
      </c>
      <c r="K6388" s="308">
        <f>IFERROR(__xludf.DUMMYFUNCTION("""COMPUTED_VALUE"""),6.0)</f>
        <v>6</v>
      </c>
      <c r="L6388" s="308">
        <f>IFERROR(__xludf.DUMMYFUNCTION("""COMPUTED_VALUE"""),2019.0)</f>
        <v>2019</v>
      </c>
      <c r="M6388" s="308" t="s">
        <v>25614</v>
      </c>
      <c r="N6388" s="308" t="s">
        <v>25615</v>
      </c>
      <c r="O6388" s="308"/>
      <c r="P6388" s="308" t="s">
        <v>136</v>
      </c>
      <c r="Q6388" s="308" t="s">
        <v>39065</v>
      </c>
      <c r="R6388" s="308" t="s">
        <v>2743</v>
      </c>
      <c r="S6388" s="315" t="s">
        <v>100</v>
      </c>
      <c r="T6388" s="308" t="s">
        <v>34208</v>
      </c>
      <c r="U6388" s="308" t="s">
        <v>143</v>
      </c>
      <c r="V6388" s="308"/>
    </row>
    <row r="6389">
      <c r="A6389" s="308">
        <v>6388.0</v>
      </c>
      <c r="B6389" s="308"/>
      <c r="C6389" s="308" t="s">
        <v>25616</v>
      </c>
      <c r="D6389" s="308">
        <f>IFERROR(__xludf.DUMMYFUNCTION("SPLIT(C6389,""-"")"),6409.0)</f>
        <v>6409</v>
      </c>
      <c r="E6389" s="308" t="str">
        <f>IFERROR(__xludf.DUMMYFUNCTION("""COMPUTED_VALUE"""),"S")</f>
        <v>S</v>
      </c>
      <c r="F6389" s="312" t="s">
        <v>39</v>
      </c>
      <c r="G6389" s="308"/>
      <c r="H6389" s="308" t="s">
        <v>25617</v>
      </c>
      <c r="I6389" s="310">
        <v>42958.0</v>
      </c>
      <c r="J6389" s="319">
        <f>IFERROR(__xludf.DUMMYFUNCTION("SPLIT(I6389,""/"")"),11.0)</f>
        <v>11</v>
      </c>
      <c r="K6389" s="308">
        <f>IFERROR(__xludf.DUMMYFUNCTION("""COMPUTED_VALUE"""),8.0)</f>
        <v>8</v>
      </c>
      <c r="L6389" s="308">
        <f>IFERROR(__xludf.DUMMYFUNCTION("""COMPUTED_VALUE"""),2017.0)</f>
        <v>2017</v>
      </c>
      <c r="M6389" s="308" t="s">
        <v>25618</v>
      </c>
      <c r="N6389" s="308" t="s">
        <v>25619</v>
      </c>
      <c r="O6389" s="308"/>
      <c r="P6389" s="308" t="s">
        <v>39066</v>
      </c>
      <c r="Q6389" s="308" t="s">
        <v>39065</v>
      </c>
      <c r="R6389" s="308" t="s">
        <v>2743</v>
      </c>
      <c r="S6389" s="308" t="s">
        <v>81</v>
      </c>
      <c r="T6389" s="311" t="s">
        <v>51</v>
      </c>
      <c r="U6389" s="308" t="s">
        <v>166</v>
      </c>
      <c r="V6389" s="308"/>
    </row>
    <row r="6390">
      <c r="A6390" s="308">
        <v>6389.0</v>
      </c>
      <c r="B6390" s="308"/>
      <c r="C6390" s="308" t="s">
        <v>25621</v>
      </c>
      <c r="D6390" s="308">
        <f>IFERROR(__xludf.DUMMYFUNCTION("SPLIT(C6390,""-"")"),6410.0)</f>
        <v>6410</v>
      </c>
      <c r="E6390" s="308" t="str">
        <f>IFERROR(__xludf.DUMMYFUNCTION("""COMPUTED_VALUE"""),"P")</f>
        <v>P</v>
      </c>
      <c r="F6390" s="312" t="s">
        <v>37</v>
      </c>
      <c r="G6390" s="308"/>
      <c r="H6390" s="308" t="s">
        <v>25622</v>
      </c>
      <c r="I6390" s="310">
        <v>43706.0</v>
      </c>
      <c r="J6390" s="319">
        <f>IFERROR(__xludf.DUMMYFUNCTION("SPLIT(I6390,""/"")"),29.0)</f>
        <v>29</v>
      </c>
      <c r="K6390" s="308">
        <f>IFERROR(__xludf.DUMMYFUNCTION("""COMPUTED_VALUE"""),8.0)</f>
        <v>8</v>
      </c>
      <c r="L6390" s="308">
        <f>IFERROR(__xludf.DUMMYFUNCTION("""COMPUTED_VALUE"""),2019.0)</f>
        <v>2019</v>
      </c>
      <c r="M6390" s="308" t="s">
        <v>25623</v>
      </c>
      <c r="N6390" s="308" t="s">
        <v>25624</v>
      </c>
      <c r="O6390" s="308"/>
      <c r="P6390" s="308" t="s">
        <v>39067</v>
      </c>
      <c r="Q6390" s="308" t="s">
        <v>39065</v>
      </c>
      <c r="R6390" s="308" t="s">
        <v>2743</v>
      </c>
      <c r="S6390" s="308" t="s">
        <v>81</v>
      </c>
      <c r="T6390" s="311" t="s">
        <v>51</v>
      </c>
      <c r="U6390" s="308" t="s">
        <v>1435</v>
      </c>
      <c r="V6390" s="308"/>
    </row>
    <row r="6391">
      <c r="A6391" s="308">
        <v>6390.0</v>
      </c>
      <c r="B6391" s="308"/>
      <c r="C6391" s="308" t="s">
        <v>25626</v>
      </c>
      <c r="D6391" s="308">
        <f>IFERROR(__xludf.DUMMYFUNCTION("SPLIT(C6391,""-"")"),6411.0)</f>
        <v>6411</v>
      </c>
      <c r="E6391" s="308" t="str">
        <f>IFERROR(__xludf.DUMMYFUNCTION("""COMPUTED_VALUE"""),"K")</f>
        <v>K</v>
      </c>
      <c r="F6391" s="309" t="s">
        <v>34</v>
      </c>
      <c r="G6391" s="308"/>
      <c r="H6391" s="308" t="s">
        <v>25627</v>
      </c>
      <c r="I6391" s="310">
        <v>42913.0</v>
      </c>
      <c r="J6391" s="319" t="str">
        <f>IFERROR(__xludf.DUMMYFUNCTION("SPLIT(I6391,""/"")"),"#REF!")</f>
        <v>#REF!</v>
      </c>
      <c r="K6391" s="308"/>
      <c r="L6391" s="308">
        <v>2017.0</v>
      </c>
      <c r="M6391" s="308" t="s">
        <v>25628</v>
      </c>
      <c r="N6391" s="308" t="s">
        <v>25629</v>
      </c>
      <c r="O6391" s="308"/>
      <c r="P6391" s="308" t="s">
        <v>136</v>
      </c>
      <c r="Q6391" s="308" t="s">
        <v>39065</v>
      </c>
      <c r="R6391" s="308" t="s">
        <v>2743</v>
      </c>
      <c r="S6391" s="315" t="s">
        <v>100</v>
      </c>
      <c r="T6391" s="308" t="s">
        <v>34208</v>
      </c>
      <c r="U6391" s="308" t="s">
        <v>125</v>
      </c>
      <c r="V6391" s="308"/>
    </row>
    <row r="6392">
      <c r="A6392" s="308">
        <v>6391.0</v>
      </c>
      <c r="B6392" s="308"/>
      <c r="C6392" s="308" t="s">
        <v>25630</v>
      </c>
      <c r="D6392" s="308">
        <f>IFERROR(__xludf.DUMMYFUNCTION("SPLIT(C6392,""-"")"),6412.0)</f>
        <v>6412</v>
      </c>
      <c r="E6392" s="308" t="str">
        <f>IFERROR(__xludf.DUMMYFUNCTION("""COMPUTED_VALUE"""),"F")</f>
        <v>F</v>
      </c>
      <c r="F6392" s="309" t="s">
        <v>34</v>
      </c>
      <c r="G6392" s="308"/>
      <c r="H6392" s="308" t="s">
        <v>25631</v>
      </c>
      <c r="I6392" s="310">
        <v>42827.0</v>
      </c>
      <c r="J6392" s="319" t="str">
        <f>IFERROR(__xludf.DUMMYFUNCTION("SPLIT(I6392,""/"")"),"#REF!")</f>
        <v>#REF!</v>
      </c>
      <c r="K6392" s="308"/>
      <c r="L6392" s="308">
        <v>2017.0</v>
      </c>
      <c r="M6392" s="308" t="s">
        <v>25632</v>
      </c>
      <c r="N6392" s="308" t="s">
        <v>25633</v>
      </c>
      <c r="O6392" s="308"/>
      <c r="P6392" s="308" t="s">
        <v>136</v>
      </c>
      <c r="Q6392" s="308" t="s">
        <v>39065</v>
      </c>
      <c r="R6392" s="308" t="s">
        <v>2743</v>
      </c>
      <c r="S6392" s="315" t="s">
        <v>100</v>
      </c>
      <c r="T6392" s="308" t="s">
        <v>34208</v>
      </c>
      <c r="U6392" s="308" t="s">
        <v>195</v>
      </c>
      <c r="V6392" s="308"/>
    </row>
    <row r="6393">
      <c r="A6393" s="308">
        <v>6392.0</v>
      </c>
      <c r="B6393" s="308"/>
      <c r="C6393" s="308" t="s">
        <v>25634</v>
      </c>
      <c r="D6393" s="308">
        <f>IFERROR(__xludf.DUMMYFUNCTION("SPLIT(C6393,""-"")"),6413.0)</f>
        <v>6413</v>
      </c>
      <c r="E6393" s="308" t="str">
        <f>IFERROR(__xludf.DUMMYFUNCTION("""COMPUTED_VALUE"""),"B")</f>
        <v>B</v>
      </c>
      <c r="F6393" s="315" t="s">
        <v>26</v>
      </c>
      <c r="G6393" s="308"/>
      <c r="H6393" s="308" t="s">
        <v>25635</v>
      </c>
      <c r="I6393" s="310">
        <v>43484.0</v>
      </c>
      <c r="J6393" s="319">
        <f>IFERROR(__xludf.DUMMYFUNCTION("SPLIT(I6393,""/"")"),19.0)</f>
        <v>19</v>
      </c>
      <c r="K6393" s="308">
        <f>IFERROR(__xludf.DUMMYFUNCTION("""COMPUTED_VALUE"""),1.0)</f>
        <v>1</v>
      </c>
      <c r="L6393" s="308">
        <f>IFERROR(__xludf.DUMMYFUNCTION("""COMPUTED_VALUE"""),2019.0)</f>
        <v>2019</v>
      </c>
      <c r="M6393" s="308" t="s">
        <v>25636</v>
      </c>
      <c r="N6393" s="308" t="s">
        <v>25637</v>
      </c>
      <c r="O6393" s="308"/>
      <c r="P6393" s="308" t="s">
        <v>39068</v>
      </c>
      <c r="Q6393" s="308" t="s">
        <v>39069</v>
      </c>
      <c r="R6393" s="308" t="s">
        <v>14256</v>
      </c>
      <c r="S6393" s="308" t="s">
        <v>81</v>
      </c>
      <c r="T6393" s="311" t="s">
        <v>96</v>
      </c>
      <c r="U6393" s="308" t="s">
        <v>27</v>
      </c>
      <c r="V6393" s="308"/>
    </row>
    <row r="6394">
      <c r="A6394" s="308">
        <v>6393.0</v>
      </c>
      <c r="B6394" s="308"/>
      <c r="C6394" s="308" t="s">
        <v>25639</v>
      </c>
      <c r="D6394" s="308">
        <f>IFERROR(__xludf.DUMMYFUNCTION("SPLIT(C6394,""-"")"),6414.0)</f>
        <v>6414</v>
      </c>
      <c r="E6394" s="308" t="str">
        <f>IFERROR(__xludf.DUMMYFUNCTION("""COMPUTED_VALUE"""),"B")</f>
        <v>B</v>
      </c>
      <c r="F6394" s="315" t="s">
        <v>26</v>
      </c>
      <c r="G6394" s="308"/>
      <c r="H6394" s="308" t="s">
        <v>25640</v>
      </c>
      <c r="I6394" s="310">
        <v>43179.0</v>
      </c>
      <c r="J6394" s="319">
        <f>IFERROR(__xludf.DUMMYFUNCTION("SPLIT(I6394,""/"")"),20.0)</f>
        <v>20</v>
      </c>
      <c r="K6394" s="308">
        <f>IFERROR(__xludf.DUMMYFUNCTION("""COMPUTED_VALUE"""),3.0)</f>
        <v>3</v>
      </c>
      <c r="L6394" s="308">
        <f>IFERROR(__xludf.DUMMYFUNCTION("""COMPUTED_VALUE"""),2018.0)</f>
        <v>2018</v>
      </c>
      <c r="M6394" s="308" t="s">
        <v>25641</v>
      </c>
      <c r="N6394" s="308"/>
      <c r="O6394" s="308"/>
      <c r="P6394" s="308" t="s">
        <v>39070</v>
      </c>
      <c r="Q6394" s="308" t="s">
        <v>39069</v>
      </c>
      <c r="R6394" s="308" t="s">
        <v>14256</v>
      </c>
      <c r="S6394" s="308" t="s">
        <v>81</v>
      </c>
      <c r="T6394" s="311" t="s">
        <v>96</v>
      </c>
      <c r="U6394" s="308" t="s">
        <v>27</v>
      </c>
      <c r="V6394" s="308"/>
    </row>
    <row r="6395">
      <c r="A6395" s="308">
        <v>6394.0</v>
      </c>
      <c r="B6395" s="308"/>
      <c r="C6395" s="308" t="s">
        <v>25643</v>
      </c>
      <c r="D6395" s="308">
        <f>IFERROR(__xludf.DUMMYFUNCTION("SPLIT(C6395,""-"")"),6415.0)</f>
        <v>6415</v>
      </c>
      <c r="E6395" s="308" t="str">
        <f>IFERROR(__xludf.DUMMYFUNCTION("""COMPUTED_VALUE"""),"B")</f>
        <v>B</v>
      </c>
      <c r="F6395" s="315" t="s">
        <v>26</v>
      </c>
      <c r="G6395" s="308"/>
      <c r="H6395" s="308" t="s">
        <v>25644</v>
      </c>
      <c r="I6395" s="310">
        <v>43161.0</v>
      </c>
      <c r="J6395" s="319">
        <f>IFERROR(__xludf.DUMMYFUNCTION("SPLIT(I6395,""/"")"),2.0)</f>
        <v>2</v>
      </c>
      <c r="K6395" s="308">
        <f>IFERROR(__xludf.DUMMYFUNCTION("""COMPUTED_VALUE"""),3.0)</f>
        <v>3</v>
      </c>
      <c r="L6395" s="308">
        <f>IFERROR(__xludf.DUMMYFUNCTION("""COMPUTED_VALUE"""),2018.0)</f>
        <v>2018</v>
      </c>
      <c r="M6395" s="308" t="s">
        <v>25645</v>
      </c>
      <c r="N6395" s="308"/>
      <c r="O6395" s="308"/>
      <c r="P6395" s="308" t="s">
        <v>25646</v>
      </c>
      <c r="Q6395" s="308" t="s">
        <v>39069</v>
      </c>
      <c r="R6395" s="308" t="s">
        <v>14256</v>
      </c>
      <c r="S6395" s="308" t="s">
        <v>81</v>
      </c>
      <c r="T6395" s="311" t="s">
        <v>96</v>
      </c>
      <c r="U6395" s="308" t="s">
        <v>27</v>
      </c>
      <c r="V6395" s="308"/>
    </row>
    <row r="6396">
      <c r="A6396" s="308">
        <v>6395.0</v>
      </c>
      <c r="B6396" s="308"/>
      <c r="C6396" s="308" t="s">
        <v>25647</v>
      </c>
      <c r="D6396" s="308">
        <f>IFERROR(__xludf.DUMMYFUNCTION("SPLIT(C6396,""-"")"),6416.0)</f>
        <v>6416</v>
      </c>
      <c r="E6396" s="308" t="str">
        <f>IFERROR(__xludf.DUMMYFUNCTION("""COMPUTED_VALUE"""),"B")</f>
        <v>B</v>
      </c>
      <c r="F6396" s="315" t="s">
        <v>26</v>
      </c>
      <c r="G6396" s="308"/>
      <c r="H6396" s="308" t="s">
        <v>25648</v>
      </c>
      <c r="I6396" s="310">
        <v>43291.0</v>
      </c>
      <c r="J6396" s="319">
        <f>IFERROR(__xludf.DUMMYFUNCTION("SPLIT(I6396,""/"")"),10.0)</f>
        <v>10</v>
      </c>
      <c r="K6396" s="308">
        <f>IFERROR(__xludf.DUMMYFUNCTION("""COMPUTED_VALUE"""),7.0)</f>
        <v>7</v>
      </c>
      <c r="L6396" s="308">
        <f>IFERROR(__xludf.DUMMYFUNCTION("""COMPUTED_VALUE"""),2018.0)</f>
        <v>2018</v>
      </c>
      <c r="M6396" s="308" t="s">
        <v>25649</v>
      </c>
      <c r="N6396" s="308"/>
      <c r="O6396" s="308"/>
      <c r="P6396" s="308" t="s">
        <v>39071</v>
      </c>
      <c r="Q6396" s="308" t="s">
        <v>39069</v>
      </c>
      <c r="R6396" s="308" t="s">
        <v>14256</v>
      </c>
      <c r="S6396" s="308" t="s">
        <v>81</v>
      </c>
      <c r="T6396" s="311" t="s">
        <v>96</v>
      </c>
      <c r="U6396" s="308" t="s">
        <v>27</v>
      </c>
      <c r="V6396" s="308"/>
    </row>
    <row r="6397">
      <c r="A6397" s="308">
        <v>6396.0</v>
      </c>
      <c r="B6397" s="308"/>
      <c r="C6397" s="308" t="s">
        <v>25651</v>
      </c>
      <c r="D6397" s="308">
        <f>IFERROR(__xludf.DUMMYFUNCTION("SPLIT(C6397,""-"")"),6417.0)</f>
        <v>6417</v>
      </c>
      <c r="E6397" s="308" t="str">
        <f>IFERROR(__xludf.DUMMYFUNCTION("""COMPUTED_VALUE"""),"B")</f>
        <v>B</v>
      </c>
      <c r="F6397" s="315" t="s">
        <v>26</v>
      </c>
      <c r="G6397" s="308"/>
      <c r="H6397" s="308" t="s">
        <v>25652</v>
      </c>
      <c r="I6397" s="310">
        <v>43241.0</v>
      </c>
      <c r="J6397" s="319">
        <f>IFERROR(__xludf.DUMMYFUNCTION("SPLIT(I6397,""/"")"),21.0)</f>
        <v>21</v>
      </c>
      <c r="K6397" s="308">
        <f>IFERROR(__xludf.DUMMYFUNCTION("""COMPUTED_VALUE"""),5.0)</f>
        <v>5</v>
      </c>
      <c r="L6397" s="308">
        <f>IFERROR(__xludf.DUMMYFUNCTION("""COMPUTED_VALUE"""),2018.0)</f>
        <v>2018</v>
      </c>
      <c r="M6397" s="308" t="s">
        <v>25653</v>
      </c>
      <c r="N6397" s="308"/>
      <c r="O6397" s="308"/>
      <c r="P6397" s="308" t="s">
        <v>39072</v>
      </c>
      <c r="Q6397" s="308" t="s">
        <v>39069</v>
      </c>
      <c r="R6397" s="308" t="s">
        <v>14256</v>
      </c>
      <c r="S6397" s="308" t="s">
        <v>81</v>
      </c>
      <c r="T6397" s="308" t="s">
        <v>75</v>
      </c>
      <c r="U6397" s="308" t="s">
        <v>27</v>
      </c>
      <c r="V6397" s="308"/>
    </row>
    <row r="6398">
      <c r="A6398" s="308">
        <v>6397.0</v>
      </c>
      <c r="B6398" s="308"/>
      <c r="C6398" s="308" t="s">
        <v>25655</v>
      </c>
      <c r="D6398" s="308">
        <f>IFERROR(__xludf.DUMMYFUNCTION("SPLIT(C6398,""-"")"),6418.0)</f>
        <v>6418</v>
      </c>
      <c r="E6398" s="308" t="str">
        <f>IFERROR(__xludf.DUMMYFUNCTION("""COMPUTED_VALUE"""),"K")</f>
        <v>K</v>
      </c>
      <c r="F6398" s="309" t="s">
        <v>34</v>
      </c>
      <c r="G6398" s="308"/>
      <c r="H6398" s="308" t="s">
        <v>25656</v>
      </c>
      <c r="I6398" s="310">
        <v>40001.0</v>
      </c>
      <c r="J6398" s="319">
        <f>IFERROR(__xludf.DUMMYFUNCTION("SPLIT(I6398,""/"")"),7.0)</f>
        <v>7</v>
      </c>
      <c r="K6398" s="308">
        <f>IFERROR(__xludf.DUMMYFUNCTION("""COMPUTED_VALUE"""),7.0)</f>
        <v>7</v>
      </c>
      <c r="L6398" s="308">
        <f>IFERROR(__xludf.DUMMYFUNCTION("""COMPUTED_VALUE"""),2009.0)</f>
        <v>2009</v>
      </c>
      <c r="M6398" s="308" t="s">
        <v>25657</v>
      </c>
      <c r="N6398" s="308" t="s">
        <v>3511</v>
      </c>
      <c r="O6398" s="308"/>
      <c r="P6398" s="308" t="s">
        <v>136</v>
      </c>
      <c r="Q6398" s="308" t="s">
        <v>39069</v>
      </c>
      <c r="R6398" s="308" t="s">
        <v>14256</v>
      </c>
      <c r="S6398" s="315" t="s">
        <v>100</v>
      </c>
      <c r="T6398" s="308" t="s">
        <v>34208</v>
      </c>
      <c r="U6398" s="308" t="s">
        <v>530</v>
      </c>
      <c r="V6398" s="308" t="s">
        <v>25658</v>
      </c>
    </row>
    <row r="6399">
      <c r="A6399" s="308">
        <v>6398.0</v>
      </c>
      <c r="B6399" s="308"/>
      <c r="C6399" s="308" t="s">
        <v>25659</v>
      </c>
      <c r="D6399" s="308">
        <f>IFERROR(__xludf.DUMMYFUNCTION("SPLIT(C6399,""-"")"),6419.0)</f>
        <v>6419</v>
      </c>
      <c r="E6399" s="308" t="str">
        <f>IFERROR(__xludf.DUMMYFUNCTION("""COMPUTED_VALUE"""),"P")</f>
        <v>P</v>
      </c>
      <c r="F6399" s="312" t="s">
        <v>37</v>
      </c>
      <c r="G6399" s="308"/>
      <c r="H6399" s="308" t="s">
        <v>25660</v>
      </c>
      <c r="I6399" s="314">
        <v>43089.0</v>
      </c>
      <c r="J6399" s="319">
        <f>IFERROR(__xludf.DUMMYFUNCTION("SPLIT(I6399,""/"")"),20.0)</f>
        <v>20</v>
      </c>
      <c r="K6399" s="308">
        <f>IFERROR(__xludf.DUMMYFUNCTION("""COMPUTED_VALUE"""),12.0)</f>
        <v>12</v>
      </c>
      <c r="L6399" s="308">
        <f>IFERROR(__xludf.DUMMYFUNCTION("""COMPUTED_VALUE"""),2017.0)</f>
        <v>2017</v>
      </c>
      <c r="M6399" s="308" t="s">
        <v>25661</v>
      </c>
      <c r="N6399" s="308" t="s">
        <v>25662</v>
      </c>
      <c r="O6399" s="308"/>
      <c r="P6399" s="308" t="s">
        <v>39073</v>
      </c>
      <c r="Q6399" s="308" t="s">
        <v>39069</v>
      </c>
      <c r="R6399" s="308" t="s">
        <v>14256</v>
      </c>
      <c r="S6399" s="308" t="s">
        <v>81</v>
      </c>
      <c r="T6399" s="311" t="s">
        <v>90</v>
      </c>
      <c r="U6399" s="308" t="s">
        <v>149</v>
      </c>
      <c r="V6399" s="308"/>
    </row>
    <row r="6400">
      <c r="A6400" s="308">
        <v>6399.0</v>
      </c>
      <c r="B6400" s="308"/>
      <c r="C6400" s="308" t="s">
        <v>25664</v>
      </c>
      <c r="D6400" s="308">
        <f>IFERROR(__xludf.DUMMYFUNCTION("SPLIT(C6400,""-"")"),6420.0)</f>
        <v>6420</v>
      </c>
      <c r="E6400" s="308" t="str">
        <f>IFERROR(__xludf.DUMMYFUNCTION("""COMPUTED_VALUE"""),"K")</f>
        <v>K</v>
      </c>
      <c r="F6400" s="309" t="s">
        <v>34</v>
      </c>
      <c r="G6400" s="308"/>
      <c r="H6400" s="308" t="s">
        <v>25665</v>
      </c>
      <c r="I6400" s="310">
        <v>43221.0</v>
      </c>
      <c r="J6400" s="319">
        <f>IFERROR(__xludf.DUMMYFUNCTION("SPLIT(I6400,""/"")"),1.0)</f>
        <v>1</v>
      </c>
      <c r="K6400" s="308">
        <f>IFERROR(__xludf.DUMMYFUNCTION("""COMPUTED_VALUE"""),5.0)</f>
        <v>5</v>
      </c>
      <c r="L6400" s="308">
        <f>IFERROR(__xludf.DUMMYFUNCTION("""COMPUTED_VALUE"""),2018.0)</f>
        <v>2018</v>
      </c>
      <c r="M6400" s="308" t="s">
        <v>25666</v>
      </c>
      <c r="N6400" s="308"/>
      <c r="O6400" s="308"/>
      <c r="P6400" s="308" t="s">
        <v>39074</v>
      </c>
      <c r="Q6400" s="308" t="s">
        <v>39069</v>
      </c>
      <c r="R6400" s="308" t="s">
        <v>2743</v>
      </c>
      <c r="S6400" s="308" t="s">
        <v>81</v>
      </c>
      <c r="T6400" s="308" t="s">
        <v>34264</v>
      </c>
      <c r="U6400" s="308" t="s">
        <v>872</v>
      </c>
      <c r="V6400" s="308"/>
    </row>
    <row r="6401">
      <c r="A6401" s="308">
        <v>6400.0</v>
      </c>
      <c r="B6401" s="308"/>
      <c r="C6401" s="308" t="s">
        <v>25668</v>
      </c>
      <c r="D6401" s="308">
        <f>IFERROR(__xludf.DUMMYFUNCTION("SPLIT(C6401,""-"")"),6421.0)</f>
        <v>6421</v>
      </c>
      <c r="E6401" s="308" t="str">
        <f>IFERROR(__xludf.DUMMYFUNCTION("""COMPUTED_VALUE"""),"K")</f>
        <v>K</v>
      </c>
      <c r="F6401" s="309" t="s">
        <v>34</v>
      </c>
      <c r="G6401" s="308"/>
      <c r="H6401" s="308" t="s">
        <v>25669</v>
      </c>
      <c r="I6401" s="310">
        <v>40210.0</v>
      </c>
      <c r="J6401" s="319">
        <f>IFERROR(__xludf.DUMMYFUNCTION("SPLIT(I6401,""/"")"),1.0)</f>
        <v>1</v>
      </c>
      <c r="K6401" s="308">
        <f>IFERROR(__xludf.DUMMYFUNCTION("""COMPUTED_VALUE"""),2.0)</f>
        <v>2</v>
      </c>
      <c r="L6401" s="308">
        <f>IFERROR(__xludf.DUMMYFUNCTION("""COMPUTED_VALUE"""),2010.0)</f>
        <v>2010</v>
      </c>
      <c r="M6401" s="308" t="s">
        <v>25670</v>
      </c>
      <c r="N6401" s="308" t="s">
        <v>25671</v>
      </c>
      <c r="O6401" s="308" t="s">
        <v>25672</v>
      </c>
      <c r="P6401" s="308" t="s">
        <v>4430</v>
      </c>
      <c r="Q6401" s="308" t="s">
        <v>39069</v>
      </c>
      <c r="R6401" s="308" t="s">
        <v>2743</v>
      </c>
      <c r="S6401" s="308" t="s">
        <v>49</v>
      </c>
      <c r="T6401" s="308" t="s">
        <v>51</v>
      </c>
      <c r="U6401" s="308" t="s">
        <v>1509</v>
      </c>
      <c r="V6401" s="308"/>
    </row>
    <row r="6402">
      <c r="A6402" s="308">
        <v>6401.0</v>
      </c>
      <c r="B6402" s="308"/>
      <c r="C6402" s="308" t="s">
        <v>25673</v>
      </c>
      <c r="D6402" s="308">
        <f>IFERROR(__xludf.DUMMYFUNCTION("SPLIT(C6402,""-"")"),6422.0)</f>
        <v>6422</v>
      </c>
      <c r="E6402" s="308" t="str">
        <f>IFERROR(__xludf.DUMMYFUNCTION("""COMPUTED_VALUE"""),"B")</f>
        <v>B</v>
      </c>
      <c r="F6402" s="315" t="s">
        <v>26</v>
      </c>
      <c r="G6402" s="308"/>
      <c r="H6402" s="308" t="s">
        <v>25674</v>
      </c>
      <c r="I6402" s="310">
        <v>43191.0</v>
      </c>
      <c r="J6402" s="319">
        <f>IFERROR(__xludf.DUMMYFUNCTION("SPLIT(I6402,""/"")"),1.0)</f>
        <v>1</v>
      </c>
      <c r="K6402" s="308">
        <f>IFERROR(__xludf.DUMMYFUNCTION("""COMPUTED_VALUE"""),4.0)</f>
        <v>4</v>
      </c>
      <c r="L6402" s="308">
        <f>IFERROR(__xludf.DUMMYFUNCTION("""COMPUTED_VALUE"""),2018.0)</f>
        <v>2018</v>
      </c>
      <c r="M6402" s="308" t="s">
        <v>25675</v>
      </c>
      <c r="N6402" s="308" t="s">
        <v>25676</v>
      </c>
      <c r="O6402" s="308"/>
      <c r="P6402" s="308" t="s">
        <v>39075</v>
      </c>
      <c r="Q6402" s="308" t="s">
        <v>39069</v>
      </c>
      <c r="R6402" s="308" t="s">
        <v>2743</v>
      </c>
      <c r="S6402" s="308" t="s">
        <v>49</v>
      </c>
      <c r="T6402" s="308" t="s">
        <v>51</v>
      </c>
      <c r="U6402" s="308" t="s">
        <v>27</v>
      </c>
      <c r="V6402" s="308"/>
    </row>
    <row r="6403">
      <c r="A6403" s="308">
        <v>6402.0</v>
      </c>
      <c r="B6403" s="308"/>
      <c r="C6403" s="308" t="s">
        <v>25678</v>
      </c>
      <c r="D6403" s="308">
        <f>IFERROR(__xludf.DUMMYFUNCTION("SPLIT(C6403,""-"")"),6423.0)</f>
        <v>6423</v>
      </c>
      <c r="E6403" s="308" t="str">
        <f>IFERROR(__xludf.DUMMYFUNCTION("""COMPUTED_VALUE"""),"K")</f>
        <v>K</v>
      </c>
      <c r="F6403" s="309" t="s">
        <v>34</v>
      </c>
      <c r="G6403" s="308"/>
      <c r="H6403" s="308" t="s">
        <v>25679</v>
      </c>
      <c r="I6403" s="314">
        <v>42328.0</v>
      </c>
      <c r="J6403" s="319">
        <f>IFERROR(__xludf.DUMMYFUNCTION("SPLIT(I6403,""/"")"),20.0)</f>
        <v>20</v>
      </c>
      <c r="K6403" s="308">
        <f>IFERROR(__xludf.DUMMYFUNCTION("""COMPUTED_VALUE"""),11.0)</f>
        <v>11</v>
      </c>
      <c r="L6403" s="308">
        <f>IFERROR(__xludf.DUMMYFUNCTION("""COMPUTED_VALUE"""),2015.0)</f>
        <v>2015</v>
      </c>
      <c r="M6403" s="308" t="s">
        <v>39076</v>
      </c>
      <c r="N6403" s="308"/>
      <c r="O6403" s="308"/>
      <c r="P6403" s="308" t="s">
        <v>136</v>
      </c>
      <c r="Q6403" s="308" t="s">
        <v>39069</v>
      </c>
      <c r="R6403" s="308" t="s">
        <v>2743</v>
      </c>
      <c r="S6403" s="315" t="s">
        <v>100</v>
      </c>
      <c r="T6403" s="308" t="s">
        <v>34208</v>
      </c>
      <c r="U6403" s="308" t="s">
        <v>368</v>
      </c>
      <c r="V6403" s="308"/>
    </row>
    <row r="6404">
      <c r="A6404" s="308">
        <v>6403.0</v>
      </c>
      <c r="B6404" s="308"/>
      <c r="C6404" s="308" t="s">
        <v>25681</v>
      </c>
      <c r="D6404" s="308">
        <f>IFERROR(__xludf.DUMMYFUNCTION("SPLIT(C6404,""-"")"),6424.0)</f>
        <v>6424</v>
      </c>
      <c r="E6404" s="308" t="str">
        <f>IFERROR(__xludf.DUMMYFUNCTION("""COMPUTED_VALUE"""),"S")</f>
        <v>S</v>
      </c>
      <c r="F6404" s="312" t="s">
        <v>39</v>
      </c>
      <c r="G6404" s="308"/>
      <c r="H6404" s="308" t="s">
        <v>25682</v>
      </c>
      <c r="I6404" s="314">
        <v>41565.0</v>
      </c>
      <c r="J6404" s="319">
        <f>IFERROR(__xludf.DUMMYFUNCTION("SPLIT(I6404,""/"")"),18.0)</f>
        <v>18</v>
      </c>
      <c r="K6404" s="308">
        <f>IFERROR(__xludf.DUMMYFUNCTION("""COMPUTED_VALUE"""),10.0)</f>
        <v>10</v>
      </c>
      <c r="L6404" s="308">
        <f>IFERROR(__xludf.DUMMYFUNCTION("""COMPUTED_VALUE"""),2013.0)</f>
        <v>2013</v>
      </c>
      <c r="M6404" s="308" t="s">
        <v>25683</v>
      </c>
      <c r="N6404" s="308" t="s">
        <v>25684</v>
      </c>
      <c r="O6404" s="308"/>
      <c r="P6404" s="308" t="s">
        <v>136</v>
      </c>
      <c r="Q6404" s="308" t="s">
        <v>39077</v>
      </c>
      <c r="R6404" s="308" t="s">
        <v>2743</v>
      </c>
      <c r="S6404" s="315" t="s">
        <v>100</v>
      </c>
      <c r="T6404" s="308" t="s">
        <v>34208</v>
      </c>
      <c r="U6404" s="308" t="s">
        <v>166</v>
      </c>
      <c r="V6404" s="308"/>
    </row>
    <row r="6405">
      <c r="A6405" s="308">
        <v>6404.0</v>
      </c>
      <c r="B6405" s="308"/>
      <c r="C6405" s="308" t="s">
        <v>25685</v>
      </c>
      <c r="D6405" s="308">
        <f>IFERROR(__xludf.DUMMYFUNCTION("SPLIT(C6405,""-"")"),6425.0)</f>
        <v>6425</v>
      </c>
      <c r="E6405" s="308" t="str">
        <f>IFERROR(__xludf.DUMMYFUNCTION("""COMPUTED_VALUE"""),"K")</f>
        <v>K</v>
      </c>
      <c r="F6405" s="309" t="s">
        <v>34</v>
      </c>
      <c r="G6405" s="308"/>
      <c r="H6405" s="308" t="s">
        <v>25686</v>
      </c>
      <c r="I6405" s="310">
        <v>42927.0</v>
      </c>
      <c r="J6405" s="319" t="str">
        <f>IFERROR(__xludf.DUMMYFUNCTION("SPLIT(I6405,""/"")"),"#REF!")</f>
        <v>#REF!</v>
      </c>
      <c r="K6405" s="308"/>
      <c r="L6405" s="308">
        <v>2017.0</v>
      </c>
      <c r="M6405" s="308" t="s">
        <v>25687</v>
      </c>
      <c r="N6405" s="308" t="s">
        <v>25684</v>
      </c>
      <c r="O6405" s="308"/>
      <c r="P6405" s="308" t="s">
        <v>136</v>
      </c>
      <c r="Q6405" s="308" t="s">
        <v>39077</v>
      </c>
      <c r="R6405" s="308" t="s">
        <v>2743</v>
      </c>
      <c r="S6405" s="315" t="s">
        <v>100</v>
      </c>
      <c r="T6405" s="308" t="s">
        <v>34208</v>
      </c>
      <c r="U6405" s="308" t="s">
        <v>542</v>
      </c>
      <c r="V6405" s="308"/>
    </row>
    <row r="6406">
      <c r="A6406" s="308">
        <v>6405.0</v>
      </c>
      <c r="B6406" s="308"/>
      <c r="C6406" s="308" t="s">
        <v>25688</v>
      </c>
      <c r="D6406" s="308">
        <f>IFERROR(__xludf.DUMMYFUNCTION("SPLIT(C6406,""-"")"),6426.0)</f>
        <v>6426</v>
      </c>
      <c r="E6406" s="308" t="str">
        <f>IFERROR(__xludf.DUMMYFUNCTION("""COMPUTED_VALUE"""),"K")</f>
        <v>K</v>
      </c>
      <c r="F6406" s="309" t="s">
        <v>34</v>
      </c>
      <c r="G6406" s="308"/>
      <c r="H6406" s="308" t="s">
        <v>25689</v>
      </c>
      <c r="I6406" s="310">
        <v>43271.0</v>
      </c>
      <c r="J6406" s="319">
        <f>IFERROR(__xludf.DUMMYFUNCTION("SPLIT(I6406,""/"")"),20.0)</f>
        <v>20</v>
      </c>
      <c r="K6406" s="308">
        <f>IFERROR(__xludf.DUMMYFUNCTION("""COMPUTED_VALUE"""),6.0)</f>
        <v>6</v>
      </c>
      <c r="L6406" s="308">
        <f>IFERROR(__xludf.DUMMYFUNCTION("""COMPUTED_VALUE"""),2018.0)</f>
        <v>2018</v>
      </c>
      <c r="M6406" s="308" t="s">
        <v>25690</v>
      </c>
      <c r="N6406" s="308"/>
      <c r="O6406" s="308"/>
      <c r="P6406" s="308" t="s">
        <v>39078</v>
      </c>
      <c r="Q6406" s="308" t="s">
        <v>39077</v>
      </c>
      <c r="R6406" s="308" t="s">
        <v>2743</v>
      </c>
      <c r="S6406" s="308" t="s">
        <v>81</v>
      </c>
      <c r="T6406" s="308" t="s">
        <v>34264</v>
      </c>
      <c r="U6406" s="308" t="s">
        <v>872</v>
      </c>
      <c r="V6406" s="308"/>
    </row>
    <row r="6407">
      <c r="A6407" s="308">
        <v>6406.0</v>
      </c>
      <c r="B6407" s="308"/>
      <c r="C6407" s="308" t="s">
        <v>25692</v>
      </c>
      <c r="D6407" s="308">
        <f>IFERROR(__xludf.DUMMYFUNCTION("SPLIT(C6407,""-"")"),6427.0)</f>
        <v>6427</v>
      </c>
      <c r="E6407" s="308" t="str">
        <f>IFERROR(__xludf.DUMMYFUNCTION("""COMPUTED_VALUE"""),"K")</f>
        <v>K</v>
      </c>
      <c r="F6407" s="309" t="s">
        <v>34</v>
      </c>
      <c r="G6407" s="308"/>
      <c r="H6407" s="308" t="s">
        <v>25693</v>
      </c>
      <c r="I6407" s="310">
        <v>41653.0</v>
      </c>
      <c r="J6407" s="319">
        <f>IFERROR(__xludf.DUMMYFUNCTION("SPLIT(I6407,""/"")"),14.0)</f>
        <v>14</v>
      </c>
      <c r="K6407" s="308">
        <f>IFERROR(__xludf.DUMMYFUNCTION("""COMPUTED_VALUE"""),1.0)</f>
        <v>1</v>
      </c>
      <c r="L6407" s="308">
        <f>IFERROR(__xludf.DUMMYFUNCTION("""COMPUTED_VALUE"""),2014.0)</f>
        <v>2014</v>
      </c>
      <c r="M6407" s="308" t="s">
        <v>25694</v>
      </c>
      <c r="N6407" s="308" t="s">
        <v>25695</v>
      </c>
      <c r="O6407" s="308"/>
      <c r="P6407" s="308" t="s">
        <v>136</v>
      </c>
      <c r="Q6407" s="308" t="s">
        <v>39077</v>
      </c>
      <c r="R6407" s="308" t="s">
        <v>2743</v>
      </c>
      <c r="S6407" s="315" t="s">
        <v>100</v>
      </c>
      <c r="T6407" s="308" t="s">
        <v>34208</v>
      </c>
      <c r="U6407" s="308" t="s">
        <v>125</v>
      </c>
      <c r="V6407" s="308"/>
    </row>
    <row r="6408">
      <c r="A6408" s="308">
        <v>6407.0</v>
      </c>
      <c r="B6408" s="308"/>
      <c r="C6408" s="308" t="s">
        <v>25696</v>
      </c>
      <c r="D6408" s="308">
        <f>IFERROR(__xludf.DUMMYFUNCTION("SPLIT(C6408,""-"")"),6428.0)</f>
        <v>6428</v>
      </c>
      <c r="E6408" s="308" t="str">
        <f>IFERROR(__xludf.DUMMYFUNCTION("""COMPUTED_VALUE"""),"I")</f>
        <v>I</v>
      </c>
      <c r="F6408" s="309" t="s">
        <v>31</v>
      </c>
      <c r="G6408" s="308"/>
      <c r="H6408" s="308" t="s">
        <v>25697</v>
      </c>
      <c r="I6408" s="310">
        <v>43745.0</v>
      </c>
      <c r="J6408" s="319">
        <f>IFERROR(__xludf.DUMMYFUNCTION("SPLIT(I6408,""/"")"),7.0)</f>
        <v>7</v>
      </c>
      <c r="K6408" s="308">
        <f>IFERROR(__xludf.DUMMYFUNCTION("""COMPUTED_VALUE"""),10.0)</f>
        <v>10</v>
      </c>
      <c r="L6408" s="308">
        <f>IFERROR(__xludf.DUMMYFUNCTION("""COMPUTED_VALUE"""),2019.0)</f>
        <v>2019</v>
      </c>
      <c r="M6408" s="308" t="s">
        <v>39079</v>
      </c>
      <c r="N6408" s="308" t="s">
        <v>25699</v>
      </c>
      <c r="O6408" s="308"/>
      <c r="P6408" s="308" t="s">
        <v>39080</v>
      </c>
      <c r="Q6408" s="308" t="s">
        <v>39077</v>
      </c>
      <c r="R6408" s="308" t="s">
        <v>2743</v>
      </c>
      <c r="S6408" s="308" t="s">
        <v>81</v>
      </c>
      <c r="T6408" s="311" t="s">
        <v>75</v>
      </c>
      <c r="U6408" s="308" t="s">
        <v>5990</v>
      </c>
      <c r="V6408" s="308"/>
    </row>
    <row r="6409">
      <c r="A6409" s="308">
        <v>6408.0</v>
      </c>
      <c r="B6409" s="308"/>
      <c r="C6409" s="308" t="s">
        <v>25701</v>
      </c>
      <c r="D6409" s="308">
        <f>IFERROR(__xludf.DUMMYFUNCTION("SPLIT(C6409,""-"")"),6429.0)</f>
        <v>6429</v>
      </c>
      <c r="E6409" s="308" t="str">
        <f>IFERROR(__xludf.DUMMYFUNCTION("""COMPUTED_VALUE"""),"P")</f>
        <v>P</v>
      </c>
      <c r="F6409" s="312" t="s">
        <v>37</v>
      </c>
      <c r="G6409" s="308"/>
      <c r="H6409" s="308" t="s">
        <v>25702</v>
      </c>
      <c r="I6409" s="314">
        <v>43763.0</v>
      </c>
      <c r="J6409" s="319">
        <f>IFERROR(__xludf.DUMMYFUNCTION("SPLIT(I6409,""/"")"),25.0)</f>
        <v>25</v>
      </c>
      <c r="K6409" s="308">
        <f>IFERROR(__xludf.DUMMYFUNCTION("""COMPUTED_VALUE"""),10.0)</f>
        <v>10</v>
      </c>
      <c r="L6409" s="308">
        <f>IFERROR(__xludf.DUMMYFUNCTION("""COMPUTED_VALUE"""),2019.0)</f>
        <v>2019</v>
      </c>
      <c r="M6409" s="308" t="s">
        <v>25703</v>
      </c>
      <c r="N6409" s="308"/>
      <c r="O6409" s="308"/>
      <c r="P6409" s="308" t="s">
        <v>39081</v>
      </c>
      <c r="Q6409" s="308" t="s">
        <v>39077</v>
      </c>
      <c r="R6409" s="308" t="s">
        <v>2743</v>
      </c>
      <c r="S6409" s="308" t="s">
        <v>81</v>
      </c>
      <c r="T6409" s="311" t="s">
        <v>73</v>
      </c>
      <c r="U6409" s="308" t="s">
        <v>2527</v>
      </c>
      <c r="V6409" s="308"/>
    </row>
    <row r="6410">
      <c r="A6410" s="308">
        <v>6409.0</v>
      </c>
      <c r="B6410" s="308"/>
      <c r="C6410" s="308" t="s">
        <v>25705</v>
      </c>
      <c r="D6410" s="308">
        <f>IFERROR(__xludf.DUMMYFUNCTION("SPLIT(C6410,""-"")"),6430.0)</f>
        <v>6430</v>
      </c>
      <c r="E6410" s="308" t="str">
        <f>IFERROR(__xludf.DUMMYFUNCTION("""COMPUTED_VALUE"""),"K")</f>
        <v>K</v>
      </c>
      <c r="F6410" s="309" t="s">
        <v>34</v>
      </c>
      <c r="G6410" s="308"/>
      <c r="H6410" s="308" t="s">
        <v>25706</v>
      </c>
      <c r="I6410" s="310">
        <v>41456.0</v>
      </c>
      <c r="J6410" s="319">
        <f>IFERROR(__xludf.DUMMYFUNCTION("SPLIT(I6410,""/"")"),1.0)</f>
        <v>1</v>
      </c>
      <c r="K6410" s="308">
        <f>IFERROR(__xludf.DUMMYFUNCTION("""COMPUTED_VALUE"""),7.0)</f>
        <v>7</v>
      </c>
      <c r="L6410" s="308">
        <f>IFERROR(__xludf.DUMMYFUNCTION("""COMPUTED_VALUE"""),2013.0)</f>
        <v>2013</v>
      </c>
      <c r="M6410" s="308" t="s">
        <v>25707</v>
      </c>
      <c r="N6410" s="308" t="s">
        <v>25708</v>
      </c>
      <c r="O6410" s="308" t="s">
        <v>39082</v>
      </c>
      <c r="P6410" s="308" t="s">
        <v>136</v>
      </c>
      <c r="Q6410" s="308" t="s">
        <v>39077</v>
      </c>
      <c r="R6410" s="308" t="s">
        <v>2743</v>
      </c>
      <c r="S6410" s="315" t="s">
        <v>100</v>
      </c>
      <c r="T6410" s="308" t="s">
        <v>34208</v>
      </c>
      <c r="U6410" s="308" t="s">
        <v>2152</v>
      </c>
      <c r="V6410" s="308"/>
    </row>
    <row r="6411">
      <c r="A6411" s="308">
        <v>6410.0</v>
      </c>
      <c r="B6411" s="308"/>
      <c r="C6411" s="308" t="s">
        <v>25710</v>
      </c>
      <c r="D6411" s="308">
        <f>IFERROR(__xludf.DUMMYFUNCTION("SPLIT(C6411,""-"")"),6431.0)</f>
        <v>6431</v>
      </c>
      <c r="E6411" s="308" t="str">
        <f>IFERROR(__xludf.DUMMYFUNCTION("""COMPUTED_VALUE"""),"K")</f>
        <v>K</v>
      </c>
      <c r="F6411" s="309" t="s">
        <v>34</v>
      </c>
      <c r="G6411" s="308"/>
      <c r="H6411" s="308" t="s">
        <v>25711</v>
      </c>
      <c r="I6411" s="310">
        <v>40360.0</v>
      </c>
      <c r="J6411" s="319">
        <f>IFERROR(__xludf.DUMMYFUNCTION("SPLIT(I6411,""/"")"),1.0)</f>
        <v>1</v>
      </c>
      <c r="K6411" s="308">
        <f>IFERROR(__xludf.DUMMYFUNCTION("""COMPUTED_VALUE"""),7.0)</f>
        <v>7</v>
      </c>
      <c r="L6411" s="308">
        <f>IFERROR(__xludf.DUMMYFUNCTION("""COMPUTED_VALUE"""),2010.0)</f>
        <v>2010</v>
      </c>
      <c r="M6411" s="308" t="s">
        <v>25712</v>
      </c>
      <c r="N6411" s="308"/>
      <c r="O6411" s="308"/>
      <c r="P6411" s="308" t="s">
        <v>136</v>
      </c>
      <c r="Q6411" s="308" t="s">
        <v>39083</v>
      </c>
      <c r="R6411" s="308" t="s">
        <v>2743</v>
      </c>
      <c r="S6411" s="315" t="s">
        <v>100</v>
      </c>
      <c r="T6411" s="308" t="s">
        <v>34208</v>
      </c>
      <c r="U6411" s="308" t="s">
        <v>530</v>
      </c>
      <c r="V6411" s="308" t="s">
        <v>25713</v>
      </c>
    </row>
    <row r="6412">
      <c r="A6412" s="308">
        <v>6411.0</v>
      </c>
      <c r="B6412" s="308"/>
      <c r="C6412" s="308" t="s">
        <v>25714</v>
      </c>
      <c r="D6412" s="308">
        <f>IFERROR(__xludf.DUMMYFUNCTION("SPLIT(C6412,""-"")"),6432.0)</f>
        <v>6432</v>
      </c>
      <c r="E6412" s="308" t="str">
        <f>IFERROR(__xludf.DUMMYFUNCTION("""COMPUTED_VALUE"""),"K")</f>
        <v>K</v>
      </c>
      <c r="F6412" s="309" t="s">
        <v>34</v>
      </c>
      <c r="G6412" s="308"/>
      <c r="H6412" s="308" t="s">
        <v>25715</v>
      </c>
      <c r="I6412" s="310">
        <v>42902.0</v>
      </c>
      <c r="J6412" s="319" t="str">
        <f>IFERROR(__xludf.DUMMYFUNCTION("SPLIT(I6412,""/"")"),"#REF!")</f>
        <v>#REF!</v>
      </c>
      <c r="K6412" s="308"/>
      <c r="L6412" s="308">
        <v>2017.0</v>
      </c>
      <c r="M6412" s="308" t="s">
        <v>25716</v>
      </c>
      <c r="N6412" s="308"/>
      <c r="O6412" s="308"/>
      <c r="P6412" s="308" t="s">
        <v>25717</v>
      </c>
      <c r="Q6412" s="308" t="s">
        <v>39083</v>
      </c>
      <c r="R6412" s="308" t="s">
        <v>2743</v>
      </c>
      <c r="S6412" s="308" t="s">
        <v>81</v>
      </c>
      <c r="T6412" s="308" t="s">
        <v>34264</v>
      </c>
      <c r="U6412" s="308" t="s">
        <v>872</v>
      </c>
      <c r="V6412" s="308" t="s">
        <v>25718</v>
      </c>
    </row>
    <row r="6413">
      <c r="A6413" s="308">
        <v>6412.0</v>
      </c>
      <c r="B6413" s="308"/>
      <c r="C6413" s="308" t="s">
        <v>25719</v>
      </c>
      <c r="D6413" s="308">
        <f>IFERROR(__xludf.DUMMYFUNCTION("SPLIT(C6413,""-"")"),6433.0)</f>
        <v>6433</v>
      </c>
      <c r="E6413" s="308" t="str">
        <f>IFERROR(__xludf.DUMMYFUNCTION("""COMPUTED_VALUE"""),"K")</f>
        <v>K</v>
      </c>
      <c r="F6413" s="309" t="s">
        <v>34</v>
      </c>
      <c r="G6413" s="308"/>
      <c r="H6413" s="308" t="s">
        <v>25720</v>
      </c>
      <c r="I6413" s="310">
        <v>42902.0</v>
      </c>
      <c r="J6413" s="319" t="str">
        <f>IFERROR(__xludf.DUMMYFUNCTION("SPLIT(I6413,""/"")"),"#REF!")</f>
        <v>#REF!</v>
      </c>
      <c r="K6413" s="308"/>
      <c r="L6413" s="308">
        <v>2017.0</v>
      </c>
      <c r="M6413" s="308" t="s">
        <v>25716</v>
      </c>
      <c r="N6413" s="308"/>
      <c r="O6413" s="308"/>
      <c r="P6413" s="308" t="s">
        <v>25717</v>
      </c>
      <c r="Q6413" s="308" t="s">
        <v>39083</v>
      </c>
      <c r="R6413" s="308" t="s">
        <v>2743</v>
      </c>
      <c r="S6413" s="308" t="s">
        <v>81</v>
      </c>
      <c r="T6413" s="308" t="s">
        <v>34264</v>
      </c>
      <c r="U6413" s="308" t="s">
        <v>872</v>
      </c>
      <c r="V6413" s="308"/>
    </row>
    <row r="6414">
      <c r="A6414" s="308">
        <v>6413.0</v>
      </c>
      <c r="B6414" s="308"/>
      <c r="C6414" s="308" t="s">
        <v>25721</v>
      </c>
      <c r="D6414" s="308">
        <f>IFERROR(__xludf.DUMMYFUNCTION("SPLIT(C6414,""-"")"),6434.0)</f>
        <v>6434</v>
      </c>
      <c r="E6414" s="308" t="str">
        <f>IFERROR(__xludf.DUMMYFUNCTION("""COMPUTED_VALUE"""),"K")</f>
        <v>K</v>
      </c>
      <c r="F6414" s="309" t="s">
        <v>34</v>
      </c>
      <c r="G6414" s="308"/>
      <c r="H6414" s="308" t="s">
        <v>25722</v>
      </c>
      <c r="I6414" s="310">
        <v>42902.0</v>
      </c>
      <c r="J6414" s="319" t="str">
        <f>IFERROR(__xludf.DUMMYFUNCTION("SPLIT(I6414,""/"")"),"#REF!")</f>
        <v>#REF!</v>
      </c>
      <c r="K6414" s="308"/>
      <c r="L6414" s="308">
        <v>2017.0</v>
      </c>
      <c r="M6414" s="308" t="s">
        <v>25723</v>
      </c>
      <c r="N6414" s="308"/>
      <c r="O6414" s="308"/>
      <c r="P6414" s="308" t="s">
        <v>25724</v>
      </c>
      <c r="Q6414" s="308" t="s">
        <v>39083</v>
      </c>
      <c r="R6414" s="308" t="s">
        <v>2743</v>
      </c>
      <c r="S6414" s="308" t="s">
        <v>81</v>
      </c>
      <c r="T6414" s="308" t="s">
        <v>34264</v>
      </c>
      <c r="U6414" s="308" t="s">
        <v>872</v>
      </c>
      <c r="V6414" s="308"/>
    </row>
    <row r="6415">
      <c r="A6415" s="308">
        <v>6414.0</v>
      </c>
      <c r="B6415" s="308"/>
      <c r="C6415" s="308" t="s">
        <v>25725</v>
      </c>
      <c r="D6415" s="308">
        <f>IFERROR(__xludf.DUMMYFUNCTION("SPLIT(C6415,""-"")"),6435.0)</f>
        <v>6435</v>
      </c>
      <c r="E6415" s="308" t="str">
        <f>IFERROR(__xludf.DUMMYFUNCTION("""COMPUTED_VALUE"""),"K")</f>
        <v>K</v>
      </c>
      <c r="F6415" s="309" t="s">
        <v>34</v>
      </c>
      <c r="G6415" s="308"/>
      <c r="H6415" s="308" t="s">
        <v>25726</v>
      </c>
      <c r="I6415" s="310">
        <v>43235.0</v>
      </c>
      <c r="J6415" s="319">
        <f>IFERROR(__xludf.DUMMYFUNCTION("SPLIT(I6415,""/"")"),15.0)</f>
        <v>15</v>
      </c>
      <c r="K6415" s="308">
        <f>IFERROR(__xludf.DUMMYFUNCTION("""COMPUTED_VALUE"""),5.0)</f>
        <v>5</v>
      </c>
      <c r="L6415" s="308">
        <f>IFERROR(__xludf.DUMMYFUNCTION("""COMPUTED_VALUE"""),2018.0)</f>
        <v>2018</v>
      </c>
      <c r="M6415" s="308" t="s">
        <v>25723</v>
      </c>
      <c r="N6415" s="308"/>
      <c r="O6415" s="308"/>
      <c r="P6415" s="308" t="s">
        <v>25727</v>
      </c>
      <c r="Q6415" s="308" t="s">
        <v>39083</v>
      </c>
      <c r="R6415" s="308" t="s">
        <v>2743</v>
      </c>
      <c r="S6415" s="308" t="s">
        <v>81</v>
      </c>
      <c r="T6415" s="308" t="s">
        <v>34264</v>
      </c>
      <c r="U6415" s="308" t="s">
        <v>872</v>
      </c>
      <c r="V6415" s="308"/>
    </row>
    <row r="6416">
      <c r="A6416" s="308">
        <v>6415.0</v>
      </c>
      <c r="B6416" s="308"/>
      <c r="C6416" s="308" t="s">
        <v>25728</v>
      </c>
      <c r="D6416" s="308">
        <f>IFERROR(__xludf.DUMMYFUNCTION("SPLIT(C6416,""-"")"),6436.0)</f>
        <v>6436</v>
      </c>
      <c r="E6416" s="308" t="str">
        <f>IFERROR(__xludf.DUMMYFUNCTION("""COMPUTED_VALUE"""),"K")</f>
        <v>K</v>
      </c>
      <c r="F6416" s="309" t="s">
        <v>34</v>
      </c>
      <c r="G6416" s="308"/>
      <c r="H6416" s="308" t="s">
        <v>25729</v>
      </c>
      <c r="I6416" s="310">
        <v>43235.0</v>
      </c>
      <c r="J6416" s="319">
        <f>IFERROR(__xludf.DUMMYFUNCTION("SPLIT(I6416,""/"")"),15.0)</f>
        <v>15</v>
      </c>
      <c r="K6416" s="308">
        <f>IFERROR(__xludf.DUMMYFUNCTION("""COMPUTED_VALUE"""),5.0)</f>
        <v>5</v>
      </c>
      <c r="L6416" s="308">
        <f>IFERROR(__xludf.DUMMYFUNCTION("""COMPUTED_VALUE"""),2018.0)</f>
        <v>2018</v>
      </c>
      <c r="M6416" s="308" t="s">
        <v>25723</v>
      </c>
      <c r="N6416" s="308"/>
      <c r="O6416" s="308"/>
      <c r="P6416" s="308" t="s">
        <v>25730</v>
      </c>
      <c r="Q6416" s="308" t="s">
        <v>39083</v>
      </c>
      <c r="R6416" s="308" t="s">
        <v>2743</v>
      </c>
      <c r="S6416" s="308" t="s">
        <v>81</v>
      </c>
      <c r="T6416" s="308" t="s">
        <v>34264</v>
      </c>
      <c r="U6416" s="308" t="s">
        <v>872</v>
      </c>
      <c r="V6416" s="308"/>
    </row>
    <row r="6417">
      <c r="A6417" s="308">
        <v>6416.0</v>
      </c>
      <c r="B6417" s="308"/>
      <c r="C6417" s="308" t="s">
        <v>25731</v>
      </c>
      <c r="D6417" s="308">
        <f>IFERROR(__xludf.DUMMYFUNCTION("SPLIT(C6417,""-"")"),6437.0)</f>
        <v>6437</v>
      </c>
      <c r="E6417" s="308" t="str">
        <f>IFERROR(__xludf.DUMMYFUNCTION("""COMPUTED_VALUE"""),"K")</f>
        <v>K</v>
      </c>
      <c r="F6417" s="309" t="s">
        <v>34</v>
      </c>
      <c r="G6417" s="308"/>
      <c r="H6417" s="308" t="s">
        <v>25732</v>
      </c>
      <c r="I6417" s="310">
        <v>42552.0</v>
      </c>
      <c r="J6417" s="319">
        <f>IFERROR(__xludf.DUMMYFUNCTION("SPLIT(I6417,""/"")"),1.0)</f>
        <v>1</v>
      </c>
      <c r="K6417" s="308">
        <f>IFERROR(__xludf.DUMMYFUNCTION("""COMPUTED_VALUE"""),7.0)</f>
        <v>7</v>
      </c>
      <c r="L6417" s="308">
        <f>IFERROR(__xludf.DUMMYFUNCTION("""COMPUTED_VALUE"""),2016.0)</f>
        <v>2016</v>
      </c>
      <c r="M6417" s="308" t="s">
        <v>25733</v>
      </c>
      <c r="N6417" s="308"/>
      <c r="O6417" s="308"/>
      <c r="P6417" s="308" t="s">
        <v>39084</v>
      </c>
      <c r="Q6417" s="308" t="s">
        <v>39083</v>
      </c>
      <c r="R6417" s="308" t="s">
        <v>2743</v>
      </c>
      <c r="S6417" s="308" t="s">
        <v>81</v>
      </c>
      <c r="T6417" s="308" t="s">
        <v>34264</v>
      </c>
      <c r="U6417" s="308" t="s">
        <v>872</v>
      </c>
      <c r="V6417" s="308"/>
    </row>
    <row r="6418">
      <c r="A6418" s="308">
        <v>6417.0</v>
      </c>
      <c r="B6418" s="308"/>
      <c r="C6418" s="308" t="s">
        <v>25735</v>
      </c>
      <c r="D6418" s="308">
        <f>IFERROR(__xludf.DUMMYFUNCTION("SPLIT(C6418,""-"")"),6438.0)</f>
        <v>6438</v>
      </c>
      <c r="E6418" s="308" t="str">
        <f>IFERROR(__xludf.DUMMYFUNCTION("""COMPUTED_VALUE"""),"K")</f>
        <v>K</v>
      </c>
      <c r="F6418" s="309" t="s">
        <v>34</v>
      </c>
      <c r="G6418" s="308"/>
      <c r="H6418" s="308" t="s">
        <v>25736</v>
      </c>
      <c r="I6418" s="310">
        <v>42552.0</v>
      </c>
      <c r="J6418" s="319">
        <f>IFERROR(__xludf.DUMMYFUNCTION("SPLIT(I6418,""/"")"),1.0)</f>
        <v>1</v>
      </c>
      <c r="K6418" s="308">
        <f>IFERROR(__xludf.DUMMYFUNCTION("""COMPUTED_VALUE"""),7.0)</f>
        <v>7</v>
      </c>
      <c r="L6418" s="308">
        <f>IFERROR(__xludf.DUMMYFUNCTION("""COMPUTED_VALUE"""),2016.0)</f>
        <v>2016</v>
      </c>
      <c r="M6418" s="308" t="s">
        <v>25737</v>
      </c>
      <c r="N6418" s="308"/>
      <c r="O6418" s="308"/>
      <c r="P6418" s="308" t="s">
        <v>39085</v>
      </c>
      <c r="Q6418" s="308" t="s">
        <v>39083</v>
      </c>
      <c r="R6418" s="308" t="s">
        <v>2743</v>
      </c>
      <c r="S6418" s="308" t="s">
        <v>81</v>
      </c>
      <c r="T6418" s="308" t="s">
        <v>34264</v>
      </c>
      <c r="U6418" s="308" t="s">
        <v>872</v>
      </c>
      <c r="V6418" s="308"/>
    </row>
    <row r="6419">
      <c r="A6419" s="308">
        <v>6418.0</v>
      </c>
      <c r="B6419" s="308"/>
      <c r="C6419" s="308" t="s">
        <v>25739</v>
      </c>
      <c r="D6419" s="308">
        <f>IFERROR(__xludf.DUMMYFUNCTION("SPLIT(C6419,""-"")"),6439.0)</f>
        <v>6439</v>
      </c>
      <c r="E6419" s="308" t="str">
        <f>IFERROR(__xludf.DUMMYFUNCTION("""COMPUTED_VALUE"""),"F")</f>
        <v>F</v>
      </c>
      <c r="F6419" s="309" t="s">
        <v>34</v>
      </c>
      <c r="G6419" s="308"/>
      <c r="H6419" s="308" t="s">
        <v>25740</v>
      </c>
      <c r="I6419" s="310">
        <v>42823.0</v>
      </c>
      <c r="J6419" s="319" t="str">
        <f>IFERROR(__xludf.DUMMYFUNCTION("SPLIT(I6419,""/"")"),"#REF!")</f>
        <v>#REF!</v>
      </c>
      <c r="K6419" s="308"/>
      <c r="L6419" s="308">
        <v>2017.0</v>
      </c>
      <c r="M6419" s="308" t="s">
        <v>25741</v>
      </c>
      <c r="N6419" s="308" t="s">
        <v>25742</v>
      </c>
      <c r="O6419" s="308"/>
      <c r="P6419" s="308" t="s">
        <v>136</v>
      </c>
      <c r="Q6419" s="308" t="s">
        <v>39086</v>
      </c>
      <c r="R6419" s="308" t="s">
        <v>2743</v>
      </c>
      <c r="S6419" s="315" t="s">
        <v>100</v>
      </c>
      <c r="T6419" s="308" t="s">
        <v>34208</v>
      </c>
      <c r="U6419" s="308" t="s">
        <v>195</v>
      </c>
      <c r="V6419" s="308"/>
    </row>
    <row r="6420">
      <c r="A6420" s="308">
        <v>6419.0</v>
      </c>
      <c r="B6420" s="308"/>
      <c r="C6420" s="308" t="s">
        <v>25743</v>
      </c>
      <c r="D6420" s="308">
        <f>IFERROR(__xludf.DUMMYFUNCTION("SPLIT(C6420,""-"")"),6440.0)</f>
        <v>6440</v>
      </c>
      <c r="E6420" s="308" t="str">
        <f>IFERROR(__xludf.DUMMYFUNCTION("""COMPUTED_VALUE"""),"F")</f>
        <v>F</v>
      </c>
      <c r="F6420" s="309" t="s">
        <v>34</v>
      </c>
      <c r="G6420" s="308"/>
      <c r="H6420" s="308" t="s">
        <v>25744</v>
      </c>
      <c r="I6420" s="310">
        <v>42016.0</v>
      </c>
      <c r="J6420" s="319">
        <f>IFERROR(__xludf.DUMMYFUNCTION("SPLIT(I6420,""/"")"),12.0)</f>
        <v>12</v>
      </c>
      <c r="K6420" s="308">
        <f>IFERROR(__xludf.DUMMYFUNCTION("""COMPUTED_VALUE"""),1.0)</f>
        <v>1</v>
      </c>
      <c r="L6420" s="308">
        <f>IFERROR(__xludf.DUMMYFUNCTION("""COMPUTED_VALUE"""),2015.0)</f>
        <v>2015</v>
      </c>
      <c r="M6420" s="308" t="s">
        <v>25745</v>
      </c>
      <c r="N6420" s="308" t="s">
        <v>25746</v>
      </c>
      <c r="O6420" s="308"/>
      <c r="P6420" s="308" t="s">
        <v>136</v>
      </c>
      <c r="Q6420" s="308" t="s">
        <v>39086</v>
      </c>
      <c r="R6420" s="308" t="s">
        <v>2743</v>
      </c>
      <c r="S6420" s="315" t="s">
        <v>100</v>
      </c>
      <c r="T6420" s="308" t="s">
        <v>34208</v>
      </c>
      <c r="U6420" s="308" t="s">
        <v>195</v>
      </c>
      <c r="V6420" s="308"/>
    </row>
    <row r="6421">
      <c r="A6421" s="308">
        <v>6420.0</v>
      </c>
      <c r="B6421" s="308"/>
      <c r="C6421" s="308" t="s">
        <v>25747</v>
      </c>
      <c r="D6421" s="308">
        <f>IFERROR(__xludf.DUMMYFUNCTION("SPLIT(C6421,""-"")"),6441.0)</f>
        <v>6441</v>
      </c>
      <c r="E6421" s="308" t="str">
        <f>IFERROR(__xludf.DUMMYFUNCTION("""COMPUTED_VALUE"""),"K")</f>
        <v>K</v>
      </c>
      <c r="F6421" s="309" t="s">
        <v>34</v>
      </c>
      <c r="G6421" s="308"/>
      <c r="H6421" s="308" t="s">
        <v>25748</v>
      </c>
      <c r="I6421" s="310">
        <v>40305.0</v>
      </c>
      <c r="J6421" s="319">
        <f>IFERROR(__xludf.DUMMYFUNCTION("SPLIT(I6421,""/"")"),7.0)</f>
        <v>7</v>
      </c>
      <c r="K6421" s="308">
        <f>IFERROR(__xludf.DUMMYFUNCTION("""COMPUTED_VALUE"""),5.0)</f>
        <v>5</v>
      </c>
      <c r="L6421" s="308">
        <f>IFERROR(__xludf.DUMMYFUNCTION("""COMPUTED_VALUE"""),2010.0)</f>
        <v>2010</v>
      </c>
      <c r="M6421" s="308" t="s">
        <v>25749</v>
      </c>
      <c r="N6421" s="308" t="s">
        <v>25750</v>
      </c>
      <c r="O6421" s="308"/>
      <c r="P6421" s="308" t="s">
        <v>136</v>
      </c>
      <c r="Q6421" s="308" t="s">
        <v>39086</v>
      </c>
      <c r="R6421" s="308" t="s">
        <v>2743</v>
      </c>
      <c r="S6421" s="315" t="s">
        <v>100</v>
      </c>
      <c r="T6421" s="308" t="s">
        <v>34208</v>
      </c>
      <c r="U6421" s="308" t="s">
        <v>125</v>
      </c>
      <c r="V6421" s="308"/>
    </row>
    <row r="6422">
      <c r="A6422" s="308">
        <v>6421.0</v>
      </c>
      <c r="B6422" s="308"/>
      <c r="C6422" s="308" t="s">
        <v>25751</v>
      </c>
      <c r="D6422" s="308">
        <f>IFERROR(__xludf.DUMMYFUNCTION("SPLIT(C6422,""-"")"),6442.0)</f>
        <v>6442</v>
      </c>
      <c r="E6422" s="308" t="str">
        <f>IFERROR(__xludf.DUMMYFUNCTION("""COMPUTED_VALUE"""),"S")</f>
        <v>S</v>
      </c>
      <c r="F6422" s="312" t="s">
        <v>39</v>
      </c>
      <c r="G6422" s="308"/>
      <c r="H6422" s="308" t="s">
        <v>25752</v>
      </c>
      <c r="I6422" s="314">
        <v>43753.0</v>
      </c>
      <c r="J6422" s="319">
        <f>IFERROR(__xludf.DUMMYFUNCTION("SPLIT(I6422,""/"")"),15.0)</f>
        <v>15</v>
      </c>
      <c r="K6422" s="308">
        <f>IFERROR(__xludf.DUMMYFUNCTION("""COMPUTED_VALUE"""),10.0)</f>
        <v>10</v>
      </c>
      <c r="L6422" s="308">
        <f>IFERROR(__xludf.DUMMYFUNCTION("""COMPUTED_VALUE"""),2019.0)</f>
        <v>2019</v>
      </c>
      <c r="M6422" s="308" t="s">
        <v>25753</v>
      </c>
      <c r="N6422" s="308" t="s">
        <v>25754</v>
      </c>
      <c r="O6422" s="308"/>
      <c r="P6422" s="308" t="s">
        <v>39087</v>
      </c>
      <c r="Q6422" s="308" t="s">
        <v>39086</v>
      </c>
      <c r="R6422" s="308" t="s">
        <v>2743</v>
      </c>
      <c r="S6422" s="308" t="s">
        <v>81</v>
      </c>
      <c r="T6422" s="308" t="s">
        <v>75</v>
      </c>
      <c r="U6422" s="308" t="s">
        <v>166</v>
      </c>
      <c r="V6422" s="308"/>
    </row>
    <row r="6423">
      <c r="A6423" s="308">
        <v>6422.0</v>
      </c>
      <c r="B6423" s="308"/>
      <c r="C6423" s="308" t="s">
        <v>25756</v>
      </c>
      <c r="D6423" s="308">
        <f>IFERROR(__xludf.DUMMYFUNCTION("SPLIT(C6423,""-"")"),6443.0)</f>
        <v>6443</v>
      </c>
      <c r="E6423" s="308" t="str">
        <f>IFERROR(__xludf.DUMMYFUNCTION("""COMPUTED_VALUE"""),"P")</f>
        <v>P</v>
      </c>
      <c r="F6423" s="312" t="s">
        <v>37</v>
      </c>
      <c r="G6423" s="308"/>
      <c r="H6423" s="308" t="s">
        <v>25757</v>
      </c>
      <c r="I6423" s="314">
        <v>43760.0</v>
      </c>
      <c r="J6423" s="319">
        <f>IFERROR(__xludf.DUMMYFUNCTION("SPLIT(I6423,""/"")"),22.0)</f>
        <v>22</v>
      </c>
      <c r="K6423" s="308">
        <f>IFERROR(__xludf.DUMMYFUNCTION("""COMPUTED_VALUE"""),10.0)</f>
        <v>10</v>
      </c>
      <c r="L6423" s="308">
        <f>IFERROR(__xludf.DUMMYFUNCTION("""COMPUTED_VALUE"""),2019.0)</f>
        <v>2019</v>
      </c>
      <c r="M6423" s="308" t="s">
        <v>25758</v>
      </c>
      <c r="N6423" s="308" t="s">
        <v>20601</v>
      </c>
      <c r="O6423" s="308" t="s">
        <v>25759</v>
      </c>
      <c r="P6423" s="308" t="s">
        <v>136</v>
      </c>
      <c r="Q6423" s="308" t="s">
        <v>39086</v>
      </c>
      <c r="R6423" s="308" t="s">
        <v>2743</v>
      </c>
      <c r="S6423" s="315" t="s">
        <v>100</v>
      </c>
      <c r="T6423" s="308" t="s">
        <v>34208</v>
      </c>
      <c r="U6423" s="308" t="s">
        <v>2527</v>
      </c>
      <c r="V6423" s="308"/>
    </row>
    <row r="6424">
      <c r="A6424" s="308">
        <v>6423.0</v>
      </c>
      <c r="B6424" s="308"/>
      <c r="C6424" s="308" t="s">
        <v>25760</v>
      </c>
      <c r="D6424" s="308">
        <f>IFERROR(__xludf.DUMMYFUNCTION("SPLIT(C6424,""-"")"),6444.0)</f>
        <v>6444</v>
      </c>
      <c r="E6424" s="308" t="str">
        <f>IFERROR(__xludf.DUMMYFUNCTION("""COMPUTED_VALUE"""),"B")</f>
        <v>B</v>
      </c>
      <c r="F6424" s="315" t="s">
        <v>26</v>
      </c>
      <c r="G6424" s="308"/>
      <c r="H6424" s="308" t="s">
        <v>25761</v>
      </c>
      <c r="I6424" s="310">
        <v>41338.0</v>
      </c>
      <c r="J6424" s="319">
        <f>IFERROR(__xludf.DUMMYFUNCTION("SPLIT(I6424,""/"")"),5.0)</f>
        <v>5</v>
      </c>
      <c r="K6424" s="308">
        <f>IFERROR(__xludf.DUMMYFUNCTION("""COMPUTED_VALUE"""),3.0)</f>
        <v>3</v>
      </c>
      <c r="L6424" s="308">
        <f>IFERROR(__xludf.DUMMYFUNCTION("""COMPUTED_VALUE"""),2013.0)</f>
        <v>2013</v>
      </c>
      <c r="M6424" s="308" t="s">
        <v>25762</v>
      </c>
      <c r="N6424" s="308" t="s">
        <v>25763</v>
      </c>
      <c r="O6424" s="308"/>
      <c r="P6424" s="308" t="s">
        <v>39088</v>
      </c>
      <c r="Q6424" s="308" t="s">
        <v>39086</v>
      </c>
      <c r="R6424" s="308" t="s">
        <v>20958</v>
      </c>
      <c r="S6424" s="308" t="s">
        <v>81</v>
      </c>
      <c r="T6424" s="311" t="s">
        <v>51</v>
      </c>
      <c r="U6424" s="308" t="s">
        <v>27</v>
      </c>
      <c r="V6424" s="308"/>
    </row>
    <row r="6425">
      <c r="A6425" s="308">
        <v>6424.0</v>
      </c>
      <c r="B6425" s="308"/>
      <c r="C6425" s="308" t="s">
        <v>25765</v>
      </c>
      <c r="D6425" s="308">
        <f>IFERROR(__xludf.DUMMYFUNCTION("SPLIT(C6425,""-"")"),6445.0)</f>
        <v>6445</v>
      </c>
      <c r="E6425" s="308" t="str">
        <f>IFERROR(__xludf.DUMMYFUNCTION("""COMPUTED_VALUE"""),"S")</f>
        <v>S</v>
      </c>
      <c r="F6425" s="312" t="s">
        <v>39</v>
      </c>
      <c r="G6425" s="308"/>
      <c r="H6425" s="308" t="s">
        <v>25766</v>
      </c>
      <c r="I6425" s="310">
        <v>43510.0</v>
      </c>
      <c r="J6425" s="319">
        <f>IFERROR(__xludf.DUMMYFUNCTION("SPLIT(I6425,""/"")"),14.0)</f>
        <v>14</v>
      </c>
      <c r="K6425" s="308">
        <f>IFERROR(__xludf.DUMMYFUNCTION("""COMPUTED_VALUE"""),2.0)</f>
        <v>2</v>
      </c>
      <c r="L6425" s="308">
        <f>IFERROR(__xludf.DUMMYFUNCTION("""COMPUTED_VALUE"""),2019.0)</f>
        <v>2019</v>
      </c>
      <c r="M6425" s="308" t="s">
        <v>25767</v>
      </c>
      <c r="N6425" s="308" t="s">
        <v>25768</v>
      </c>
      <c r="O6425" s="308"/>
      <c r="P6425" s="308" t="s">
        <v>136</v>
      </c>
      <c r="Q6425" s="308" t="s">
        <v>39086</v>
      </c>
      <c r="R6425" s="308" t="s">
        <v>2743</v>
      </c>
      <c r="S6425" s="315" t="s">
        <v>100</v>
      </c>
      <c r="T6425" s="308" t="s">
        <v>34208</v>
      </c>
      <c r="U6425" s="308" t="s">
        <v>166</v>
      </c>
      <c r="V6425" s="308"/>
    </row>
    <row r="6426">
      <c r="A6426" s="308">
        <v>6425.0</v>
      </c>
      <c r="B6426" s="308"/>
      <c r="C6426" s="308" t="s">
        <v>25769</v>
      </c>
      <c r="D6426" s="308">
        <f>IFERROR(__xludf.DUMMYFUNCTION("SPLIT(C6426,""-"")"),6446.0)</f>
        <v>6446</v>
      </c>
      <c r="E6426" s="308" t="str">
        <f>IFERROR(__xludf.DUMMYFUNCTION("""COMPUTED_VALUE"""),"P")</f>
        <v>P</v>
      </c>
      <c r="F6426" s="312" t="s">
        <v>37</v>
      </c>
      <c r="G6426" s="308"/>
      <c r="H6426" s="308" t="s">
        <v>25770</v>
      </c>
      <c r="I6426" s="314">
        <v>43764.0</v>
      </c>
      <c r="J6426" s="319">
        <f>IFERROR(__xludf.DUMMYFUNCTION("SPLIT(I6426,""/"")"),26.0)</f>
        <v>26</v>
      </c>
      <c r="K6426" s="308">
        <f>IFERROR(__xludf.DUMMYFUNCTION("""COMPUTED_VALUE"""),10.0)</f>
        <v>10</v>
      </c>
      <c r="L6426" s="308">
        <f>IFERROR(__xludf.DUMMYFUNCTION("""COMPUTED_VALUE"""),2019.0)</f>
        <v>2019</v>
      </c>
      <c r="M6426" s="308" t="s">
        <v>25771</v>
      </c>
      <c r="N6426" s="308"/>
      <c r="O6426" s="308"/>
      <c r="P6426" s="308" t="s">
        <v>25772</v>
      </c>
      <c r="Q6426" s="308" t="s">
        <v>39086</v>
      </c>
      <c r="R6426" s="308" t="s">
        <v>2743</v>
      </c>
      <c r="S6426" s="308" t="s">
        <v>81</v>
      </c>
      <c r="T6426" s="311" t="s">
        <v>90</v>
      </c>
      <c r="U6426" s="308" t="s">
        <v>2527</v>
      </c>
      <c r="V6426" s="308"/>
    </row>
    <row r="6427">
      <c r="A6427" s="308">
        <v>6426.0</v>
      </c>
      <c r="B6427" s="308"/>
      <c r="C6427" s="308" t="s">
        <v>25773</v>
      </c>
      <c r="D6427" s="308">
        <f>IFERROR(__xludf.DUMMYFUNCTION("SPLIT(C6427,""-"")"),6447.0)</f>
        <v>6447</v>
      </c>
      <c r="E6427" s="308" t="str">
        <f>IFERROR(__xludf.DUMMYFUNCTION("""COMPUTED_VALUE"""),"P")</f>
        <v>P</v>
      </c>
      <c r="F6427" s="312" t="s">
        <v>37</v>
      </c>
      <c r="G6427" s="308"/>
      <c r="H6427" s="308" t="s">
        <v>25774</v>
      </c>
      <c r="I6427" s="310">
        <v>43222.0</v>
      </c>
      <c r="J6427" s="319">
        <f>IFERROR(__xludf.DUMMYFUNCTION("SPLIT(I6427,""/"")"),2.0)</f>
        <v>2</v>
      </c>
      <c r="K6427" s="308">
        <f>IFERROR(__xludf.DUMMYFUNCTION("""COMPUTED_VALUE"""),5.0)</f>
        <v>5</v>
      </c>
      <c r="L6427" s="308">
        <f>IFERROR(__xludf.DUMMYFUNCTION("""COMPUTED_VALUE"""),2018.0)</f>
        <v>2018</v>
      </c>
      <c r="M6427" s="308" t="s">
        <v>25775</v>
      </c>
      <c r="N6427" s="308" t="s">
        <v>25776</v>
      </c>
      <c r="O6427" s="308"/>
      <c r="P6427" s="308" t="s">
        <v>25777</v>
      </c>
      <c r="Q6427" s="308" t="s">
        <v>39086</v>
      </c>
      <c r="R6427" s="308" t="s">
        <v>2743</v>
      </c>
      <c r="S6427" s="308" t="s">
        <v>49</v>
      </c>
      <c r="T6427" s="311" t="s">
        <v>51</v>
      </c>
      <c r="U6427" s="308" t="s">
        <v>4001</v>
      </c>
      <c r="V6427" s="308"/>
    </row>
    <row r="6428">
      <c r="A6428" s="308">
        <v>6427.0</v>
      </c>
      <c r="B6428" s="308"/>
      <c r="C6428" s="308" t="s">
        <v>25778</v>
      </c>
      <c r="D6428" s="308">
        <f>IFERROR(__xludf.DUMMYFUNCTION("SPLIT(C6428,""-"")"),6448.0)</f>
        <v>6448</v>
      </c>
      <c r="E6428" s="308" t="str">
        <f>IFERROR(__xludf.DUMMYFUNCTION("""COMPUTED_VALUE"""),"P")</f>
        <v>P</v>
      </c>
      <c r="F6428" s="312" t="s">
        <v>37</v>
      </c>
      <c r="G6428" s="308"/>
      <c r="H6428" s="308" t="s">
        <v>25779</v>
      </c>
      <c r="I6428" s="310">
        <v>43730.0</v>
      </c>
      <c r="J6428" s="319">
        <f>IFERROR(__xludf.DUMMYFUNCTION("SPLIT(I6428,""/"")"),22.0)</f>
        <v>22</v>
      </c>
      <c r="K6428" s="308">
        <f>IFERROR(__xludf.DUMMYFUNCTION("""COMPUTED_VALUE"""),9.0)</f>
        <v>9</v>
      </c>
      <c r="L6428" s="308">
        <f>IFERROR(__xludf.DUMMYFUNCTION("""COMPUTED_VALUE"""),2019.0)</f>
        <v>2019</v>
      </c>
      <c r="M6428" s="308" t="s">
        <v>25780</v>
      </c>
      <c r="N6428" s="308" t="s">
        <v>25781</v>
      </c>
      <c r="O6428" s="308" t="s">
        <v>25782</v>
      </c>
      <c r="P6428" s="308" t="s">
        <v>39089</v>
      </c>
      <c r="Q6428" s="308" t="s">
        <v>39086</v>
      </c>
      <c r="R6428" s="308" t="s">
        <v>2743</v>
      </c>
      <c r="S6428" s="308" t="s">
        <v>49</v>
      </c>
      <c r="T6428" s="311" t="s">
        <v>57</v>
      </c>
      <c r="U6428" s="308" t="s">
        <v>149</v>
      </c>
      <c r="V6428" s="308"/>
    </row>
    <row r="6429">
      <c r="A6429" s="308">
        <v>6428.0</v>
      </c>
      <c r="B6429" s="308"/>
      <c r="C6429" s="308" t="s">
        <v>25784</v>
      </c>
      <c r="D6429" s="308">
        <f>IFERROR(__xludf.DUMMYFUNCTION("SPLIT(C6429,""-"")"),6449.0)</f>
        <v>6449</v>
      </c>
      <c r="E6429" s="308" t="str">
        <f>IFERROR(__xludf.DUMMYFUNCTION("""COMPUTED_VALUE"""),"K")</f>
        <v>K</v>
      </c>
      <c r="F6429" s="309" t="s">
        <v>34</v>
      </c>
      <c r="G6429" s="308"/>
      <c r="H6429" s="308" t="s">
        <v>25785</v>
      </c>
      <c r="I6429" s="310">
        <v>43631.0</v>
      </c>
      <c r="J6429" s="319">
        <f>IFERROR(__xludf.DUMMYFUNCTION("SPLIT(I6429,""/"")"),15.0)</f>
        <v>15</v>
      </c>
      <c r="K6429" s="308">
        <f>IFERROR(__xludf.DUMMYFUNCTION("""COMPUTED_VALUE"""),6.0)</f>
        <v>6</v>
      </c>
      <c r="L6429" s="308">
        <f>IFERROR(__xludf.DUMMYFUNCTION("""COMPUTED_VALUE"""),2019.0)</f>
        <v>2019</v>
      </c>
      <c r="M6429" s="308" t="s">
        <v>25786</v>
      </c>
      <c r="N6429" s="308" t="s">
        <v>25787</v>
      </c>
      <c r="O6429" s="308"/>
      <c r="P6429" s="308" t="s">
        <v>39090</v>
      </c>
      <c r="Q6429" s="308" t="s">
        <v>39091</v>
      </c>
      <c r="R6429" s="308" t="s">
        <v>2743</v>
      </c>
      <c r="S6429" s="308" t="s">
        <v>81</v>
      </c>
      <c r="T6429" s="311" t="s">
        <v>96</v>
      </c>
      <c r="U6429" s="308" t="s">
        <v>125</v>
      </c>
      <c r="V6429" s="308"/>
    </row>
    <row r="6430">
      <c r="A6430" s="308">
        <v>6429.0</v>
      </c>
      <c r="B6430" s="308"/>
      <c r="C6430" s="308" t="s">
        <v>25789</v>
      </c>
      <c r="D6430" s="308">
        <f>IFERROR(__xludf.DUMMYFUNCTION("SPLIT(C6430,""-"")"),6450.0)</f>
        <v>6450</v>
      </c>
      <c r="E6430" s="308" t="str">
        <f>IFERROR(__xludf.DUMMYFUNCTION("""COMPUTED_VALUE"""),"K")</f>
        <v>K</v>
      </c>
      <c r="F6430" s="309" t="s">
        <v>34</v>
      </c>
      <c r="G6430" s="308"/>
      <c r="H6430" s="308" t="s">
        <v>25790</v>
      </c>
      <c r="I6430" s="310">
        <v>43631.0</v>
      </c>
      <c r="J6430" s="319">
        <f>IFERROR(__xludf.DUMMYFUNCTION("SPLIT(I6430,""/"")"),15.0)</f>
        <v>15</v>
      </c>
      <c r="K6430" s="308">
        <f>IFERROR(__xludf.DUMMYFUNCTION("""COMPUTED_VALUE"""),6.0)</f>
        <v>6</v>
      </c>
      <c r="L6430" s="308">
        <f>IFERROR(__xludf.DUMMYFUNCTION("""COMPUTED_VALUE"""),2019.0)</f>
        <v>2019</v>
      </c>
      <c r="M6430" s="308" t="s">
        <v>25786</v>
      </c>
      <c r="N6430" s="308" t="s">
        <v>25791</v>
      </c>
      <c r="O6430" s="308"/>
      <c r="P6430" s="308" t="s">
        <v>136</v>
      </c>
      <c r="Q6430" s="308" t="s">
        <v>39091</v>
      </c>
      <c r="R6430" s="308" t="s">
        <v>2743</v>
      </c>
      <c r="S6430" s="315" t="s">
        <v>100</v>
      </c>
      <c r="T6430" s="308" t="s">
        <v>34208</v>
      </c>
      <c r="U6430" s="308" t="s">
        <v>125</v>
      </c>
      <c r="V6430" s="308"/>
    </row>
    <row r="6431">
      <c r="A6431" s="308">
        <v>6430.0</v>
      </c>
      <c r="B6431" s="308"/>
      <c r="C6431" s="308" t="s">
        <v>25792</v>
      </c>
      <c r="D6431" s="308">
        <f>IFERROR(__xludf.DUMMYFUNCTION("SPLIT(C6431,""-"")"),6451.0)</f>
        <v>6451</v>
      </c>
      <c r="E6431" s="308" t="str">
        <f>IFERROR(__xludf.DUMMYFUNCTION("""COMPUTED_VALUE"""),"K")</f>
        <v>K</v>
      </c>
      <c r="F6431" s="309" t="s">
        <v>34</v>
      </c>
      <c r="G6431" s="308"/>
      <c r="H6431" s="308" t="s">
        <v>25793</v>
      </c>
      <c r="I6431" s="310">
        <v>42753.0</v>
      </c>
      <c r="J6431" s="319" t="str">
        <f>IFERROR(__xludf.DUMMYFUNCTION("SPLIT(I6431,""/"")"),"#REF!")</f>
        <v>#REF!</v>
      </c>
      <c r="K6431" s="308"/>
      <c r="L6431" s="308">
        <v>2017.0</v>
      </c>
      <c r="M6431" s="308" t="s">
        <v>25794</v>
      </c>
      <c r="N6431" s="308" t="s">
        <v>25795</v>
      </c>
      <c r="O6431" s="308"/>
      <c r="P6431" s="308" t="s">
        <v>136</v>
      </c>
      <c r="Q6431" s="308" t="s">
        <v>39091</v>
      </c>
      <c r="R6431" s="308" t="s">
        <v>2743</v>
      </c>
      <c r="S6431" s="315" t="s">
        <v>100</v>
      </c>
      <c r="T6431" s="308" t="s">
        <v>34208</v>
      </c>
      <c r="U6431" s="308" t="s">
        <v>368</v>
      </c>
      <c r="V6431" s="308"/>
    </row>
    <row r="6432">
      <c r="A6432" s="308">
        <v>6431.0</v>
      </c>
      <c r="B6432" s="308"/>
      <c r="C6432" s="308" t="s">
        <v>25796</v>
      </c>
      <c r="D6432" s="308">
        <f>IFERROR(__xludf.DUMMYFUNCTION("SPLIT(C6432,""-"")"),6452.0)</f>
        <v>6452</v>
      </c>
      <c r="E6432" s="308" t="str">
        <f>IFERROR(__xludf.DUMMYFUNCTION("""COMPUTED_VALUE"""),"P")</f>
        <v>P</v>
      </c>
      <c r="F6432" s="312" t="s">
        <v>37</v>
      </c>
      <c r="G6432" s="308"/>
      <c r="H6432" s="308" t="s">
        <v>25797</v>
      </c>
      <c r="I6432" s="310">
        <v>43715.0</v>
      </c>
      <c r="J6432" s="319">
        <f>IFERROR(__xludf.DUMMYFUNCTION("SPLIT(I6432,""/"")"),7.0)</f>
        <v>7</v>
      </c>
      <c r="K6432" s="308">
        <f>IFERROR(__xludf.DUMMYFUNCTION("""COMPUTED_VALUE"""),9.0)</f>
        <v>9</v>
      </c>
      <c r="L6432" s="308">
        <f>IFERROR(__xludf.DUMMYFUNCTION("""COMPUTED_VALUE"""),2019.0)</f>
        <v>2019</v>
      </c>
      <c r="M6432" s="308" t="s">
        <v>25798</v>
      </c>
      <c r="N6432" s="308" t="s">
        <v>25799</v>
      </c>
      <c r="O6432" s="308"/>
      <c r="P6432" s="308" t="s">
        <v>25800</v>
      </c>
      <c r="Q6432" s="308" t="s">
        <v>39091</v>
      </c>
      <c r="R6432" s="308" t="s">
        <v>2743</v>
      </c>
      <c r="S6432" s="308" t="s">
        <v>81</v>
      </c>
      <c r="T6432" s="311" t="s">
        <v>91</v>
      </c>
      <c r="U6432" s="308" t="s">
        <v>143</v>
      </c>
      <c r="V6432" s="308"/>
    </row>
    <row r="6433">
      <c r="A6433" s="308">
        <v>6432.0</v>
      </c>
      <c r="B6433" s="308"/>
      <c r="C6433" s="308" t="s">
        <v>25801</v>
      </c>
      <c r="D6433" s="308">
        <f>IFERROR(__xludf.DUMMYFUNCTION("SPLIT(C6433,""-"")"),6453.0)</f>
        <v>6453</v>
      </c>
      <c r="E6433" s="308" t="str">
        <f>IFERROR(__xludf.DUMMYFUNCTION("""COMPUTED_VALUE"""),"P")</f>
        <v>P</v>
      </c>
      <c r="F6433" s="312" t="s">
        <v>37</v>
      </c>
      <c r="G6433" s="308"/>
      <c r="H6433" s="308" t="s">
        <v>25802</v>
      </c>
      <c r="I6433" s="310">
        <v>43715.0</v>
      </c>
      <c r="J6433" s="319">
        <f>IFERROR(__xludf.DUMMYFUNCTION("SPLIT(I6433,""/"")"),7.0)</f>
        <v>7</v>
      </c>
      <c r="K6433" s="308">
        <f>IFERROR(__xludf.DUMMYFUNCTION("""COMPUTED_VALUE"""),9.0)</f>
        <v>9</v>
      </c>
      <c r="L6433" s="308">
        <f>IFERROR(__xludf.DUMMYFUNCTION("""COMPUTED_VALUE"""),2019.0)</f>
        <v>2019</v>
      </c>
      <c r="M6433" s="308" t="s">
        <v>25803</v>
      </c>
      <c r="N6433" s="308" t="s">
        <v>25804</v>
      </c>
      <c r="O6433" s="308"/>
      <c r="P6433" s="308" t="s">
        <v>25805</v>
      </c>
      <c r="Q6433" s="308" t="s">
        <v>39091</v>
      </c>
      <c r="R6433" s="308" t="s">
        <v>2743</v>
      </c>
      <c r="S6433" s="308" t="s">
        <v>81</v>
      </c>
      <c r="T6433" s="311" t="s">
        <v>91</v>
      </c>
      <c r="U6433" s="308" t="s">
        <v>143</v>
      </c>
      <c r="V6433" s="308"/>
    </row>
    <row r="6434">
      <c r="A6434" s="308">
        <v>6433.0</v>
      </c>
      <c r="B6434" s="308"/>
      <c r="C6434" s="308" t="s">
        <v>25806</v>
      </c>
      <c r="D6434" s="308">
        <f>IFERROR(__xludf.DUMMYFUNCTION("SPLIT(C6434,""-"")"),6454.0)</f>
        <v>6454</v>
      </c>
      <c r="E6434" s="308" t="str">
        <f>IFERROR(__xludf.DUMMYFUNCTION("""COMPUTED_VALUE"""),"P")</f>
        <v>P</v>
      </c>
      <c r="F6434" s="312" t="s">
        <v>37</v>
      </c>
      <c r="G6434" s="308"/>
      <c r="H6434" s="308" t="s">
        <v>25807</v>
      </c>
      <c r="I6434" s="310">
        <v>43715.0</v>
      </c>
      <c r="J6434" s="319">
        <f>IFERROR(__xludf.DUMMYFUNCTION("SPLIT(I6434,""/"")"),7.0)</f>
        <v>7</v>
      </c>
      <c r="K6434" s="308">
        <f>IFERROR(__xludf.DUMMYFUNCTION("""COMPUTED_VALUE"""),9.0)</f>
        <v>9</v>
      </c>
      <c r="L6434" s="308">
        <f>IFERROR(__xludf.DUMMYFUNCTION("""COMPUTED_VALUE"""),2019.0)</f>
        <v>2019</v>
      </c>
      <c r="M6434" s="308" t="s">
        <v>25808</v>
      </c>
      <c r="N6434" s="308" t="s">
        <v>25809</v>
      </c>
      <c r="O6434" s="308"/>
      <c r="P6434" s="308" t="s">
        <v>25810</v>
      </c>
      <c r="Q6434" s="308" t="s">
        <v>39091</v>
      </c>
      <c r="R6434" s="308" t="s">
        <v>2743</v>
      </c>
      <c r="S6434" s="308" t="s">
        <v>81</v>
      </c>
      <c r="T6434" s="311" t="s">
        <v>91</v>
      </c>
      <c r="U6434" s="308" t="s">
        <v>143</v>
      </c>
      <c r="V6434" s="308"/>
    </row>
    <row r="6435">
      <c r="A6435" s="308">
        <v>6434.0</v>
      </c>
      <c r="B6435" s="308"/>
      <c r="C6435" s="308" t="s">
        <v>25811</v>
      </c>
      <c r="D6435" s="308">
        <f>IFERROR(__xludf.DUMMYFUNCTION("SPLIT(C6435,""-"")"),6455.0)</f>
        <v>6455</v>
      </c>
      <c r="E6435" s="308" t="str">
        <f>IFERROR(__xludf.DUMMYFUNCTION("""COMPUTED_VALUE"""),"S")</f>
        <v>S</v>
      </c>
      <c r="F6435" s="312" t="s">
        <v>39</v>
      </c>
      <c r="G6435" s="308"/>
      <c r="H6435" s="308" t="s">
        <v>25812</v>
      </c>
      <c r="I6435" s="314">
        <v>43752.0</v>
      </c>
      <c r="J6435" s="319">
        <f>IFERROR(__xludf.DUMMYFUNCTION("SPLIT(I6435,""/"")"),14.0)</f>
        <v>14</v>
      </c>
      <c r="K6435" s="308">
        <f>IFERROR(__xludf.DUMMYFUNCTION("""COMPUTED_VALUE"""),10.0)</f>
        <v>10</v>
      </c>
      <c r="L6435" s="308">
        <f>IFERROR(__xludf.DUMMYFUNCTION("""COMPUTED_VALUE"""),2019.0)</f>
        <v>2019</v>
      </c>
      <c r="M6435" s="308" t="s">
        <v>25813</v>
      </c>
      <c r="N6435" s="308" t="s">
        <v>25814</v>
      </c>
      <c r="O6435" s="308"/>
      <c r="P6435" s="308" t="s">
        <v>25815</v>
      </c>
      <c r="Q6435" s="308" t="s">
        <v>39091</v>
      </c>
      <c r="R6435" s="308" t="s">
        <v>25816</v>
      </c>
      <c r="S6435" s="308" t="s">
        <v>81</v>
      </c>
      <c r="T6435" s="308" t="s">
        <v>75</v>
      </c>
      <c r="U6435" s="308" t="s">
        <v>166</v>
      </c>
      <c r="V6435" s="308"/>
    </row>
    <row r="6436">
      <c r="A6436" s="308">
        <v>6435.0</v>
      </c>
      <c r="B6436" s="308"/>
      <c r="C6436" s="308" t="s">
        <v>25817</v>
      </c>
      <c r="D6436" s="308">
        <f>IFERROR(__xludf.DUMMYFUNCTION("SPLIT(C6436,""-"")"),6456.0)</f>
        <v>6456</v>
      </c>
      <c r="E6436" s="308" t="str">
        <f>IFERROR(__xludf.DUMMYFUNCTION("""COMPUTED_VALUE"""),"K")</f>
        <v>K</v>
      </c>
      <c r="F6436" s="309" t="s">
        <v>34</v>
      </c>
      <c r="G6436" s="308"/>
      <c r="H6436" s="308" t="s">
        <v>25818</v>
      </c>
      <c r="I6436" s="310">
        <v>39995.0</v>
      </c>
      <c r="J6436" s="319">
        <f>IFERROR(__xludf.DUMMYFUNCTION("SPLIT(I6436,""/"")"),1.0)</f>
        <v>1</v>
      </c>
      <c r="K6436" s="308">
        <f>IFERROR(__xludf.DUMMYFUNCTION("""COMPUTED_VALUE"""),7.0)</f>
        <v>7</v>
      </c>
      <c r="L6436" s="308">
        <f>IFERROR(__xludf.DUMMYFUNCTION("""COMPUTED_VALUE"""),2009.0)</f>
        <v>2009</v>
      </c>
      <c r="M6436" s="308" t="s">
        <v>25819</v>
      </c>
      <c r="N6436" s="308"/>
      <c r="O6436" s="308"/>
      <c r="P6436" s="308" t="s">
        <v>136</v>
      </c>
      <c r="Q6436" s="308" t="s">
        <v>39092</v>
      </c>
      <c r="R6436" s="308" t="s">
        <v>2743</v>
      </c>
      <c r="S6436" s="315" t="s">
        <v>100</v>
      </c>
      <c r="T6436" s="308" t="s">
        <v>34208</v>
      </c>
      <c r="U6436" s="308" t="s">
        <v>2466</v>
      </c>
      <c r="V6436" s="308"/>
    </row>
    <row r="6437">
      <c r="A6437" s="308">
        <v>6436.0</v>
      </c>
      <c r="B6437" s="308"/>
      <c r="C6437" s="308" t="s">
        <v>25820</v>
      </c>
      <c r="D6437" s="308">
        <f>IFERROR(__xludf.DUMMYFUNCTION("SPLIT(C6437,""-"")"),6457.0)</f>
        <v>6457</v>
      </c>
      <c r="E6437" s="308" t="str">
        <f>IFERROR(__xludf.DUMMYFUNCTION("""COMPUTED_VALUE"""),"K")</f>
        <v>K</v>
      </c>
      <c r="F6437" s="309" t="s">
        <v>34</v>
      </c>
      <c r="G6437" s="308"/>
      <c r="H6437" s="308" t="s">
        <v>25821</v>
      </c>
      <c r="I6437" s="314">
        <v>43445.0</v>
      </c>
      <c r="J6437" s="319">
        <f>IFERROR(__xludf.DUMMYFUNCTION("SPLIT(I6437,""/"")"),11.0)</f>
        <v>11</v>
      </c>
      <c r="K6437" s="308">
        <f>IFERROR(__xludf.DUMMYFUNCTION("""COMPUTED_VALUE"""),12.0)</f>
        <v>12</v>
      </c>
      <c r="L6437" s="308">
        <f>IFERROR(__xludf.DUMMYFUNCTION("""COMPUTED_VALUE"""),2018.0)</f>
        <v>2018</v>
      </c>
      <c r="M6437" s="308" t="s">
        <v>25822</v>
      </c>
      <c r="N6437" s="308" t="s">
        <v>25823</v>
      </c>
      <c r="O6437" s="308"/>
      <c r="P6437" s="308" t="s">
        <v>39093</v>
      </c>
      <c r="Q6437" s="308" t="s">
        <v>39092</v>
      </c>
      <c r="R6437" s="308" t="s">
        <v>2743</v>
      </c>
      <c r="S6437" s="308" t="s">
        <v>81</v>
      </c>
      <c r="T6437" s="308" t="s">
        <v>73</v>
      </c>
      <c r="U6437" s="308" t="s">
        <v>125</v>
      </c>
      <c r="V6437" s="308"/>
    </row>
    <row r="6438">
      <c r="A6438" s="308">
        <v>6437.0</v>
      </c>
      <c r="B6438" s="308"/>
      <c r="C6438" s="308" t="s">
        <v>25825</v>
      </c>
      <c r="D6438" s="308">
        <f>IFERROR(__xludf.DUMMYFUNCTION("SPLIT(C6438,""-"")"),6458.0)</f>
        <v>6458</v>
      </c>
      <c r="E6438" s="308" t="str">
        <f>IFERROR(__xludf.DUMMYFUNCTION("""COMPUTED_VALUE"""),"K")</f>
        <v>K</v>
      </c>
      <c r="F6438" s="309" t="s">
        <v>34</v>
      </c>
      <c r="G6438" s="308"/>
      <c r="H6438" s="308" t="s">
        <v>25826</v>
      </c>
      <c r="I6438" s="310">
        <v>41105.0</v>
      </c>
      <c r="J6438" s="319">
        <f>IFERROR(__xludf.DUMMYFUNCTION("SPLIT(I6438,""/"")"),15.0)</f>
        <v>15</v>
      </c>
      <c r="K6438" s="308">
        <f>IFERROR(__xludf.DUMMYFUNCTION("""COMPUTED_VALUE"""),7.0)</f>
        <v>7</v>
      </c>
      <c r="L6438" s="308">
        <f>IFERROR(__xludf.DUMMYFUNCTION("""COMPUTED_VALUE"""),2012.0)</f>
        <v>2012</v>
      </c>
      <c r="M6438" s="308" t="s">
        <v>25827</v>
      </c>
      <c r="N6438" s="308" t="s">
        <v>25828</v>
      </c>
      <c r="O6438" s="308"/>
      <c r="P6438" s="308" t="s">
        <v>136</v>
      </c>
      <c r="Q6438" s="308" t="s">
        <v>39092</v>
      </c>
      <c r="R6438" s="308" t="s">
        <v>2743</v>
      </c>
      <c r="S6438" s="315" t="s">
        <v>100</v>
      </c>
      <c r="T6438" s="308" t="s">
        <v>34208</v>
      </c>
      <c r="U6438" s="308" t="s">
        <v>125</v>
      </c>
      <c r="V6438" s="308"/>
    </row>
    <row r="6439">
      <c r="A6439" s="308">
        <v>6438.0</v>
      </c>
      <c r="B6439" s="308"/>
      <c r="C6439" s="308" t="s">
        <v>25829</v>
      </c>
      <c r="D6439" s="308">
        <f>IFERROR(__xludf.DUMMYFUNCTION("SPLIT(C6439,""-"")"),6459.0)</f>
        <v>6459</v>
      </c>
      <c r="E6439" s="308" t="str">
        <f>IFERROR(__xludf.DUMMYFUNCTION("""COMPUTED_VALUE"""),"K")</f>
        <v>K</v>
      </c>
      <c r="F6439" s="309" t="s">
        <v>34</v>
      </c>
      <c r="G6439" s="308"/>
      <c r="H6439" s="308" t="s">
        <v>25830</v>
      </c>
      <c r="I6439" s="314">
        <v>43764.0</v>
      </c>
      <c r="J6439" s="319">
        <f>IFERROR(__xludf.DUMMYFUNCTION("SPLIT(I6439,""/"")"),26.0)</f>
        <v>26</v>
      </c>
      <c r="K6439" s="308">
        <f>IFERROR(__xludf.DUMMYFUNCTION("""COMPUTED_VALUE"""),10.0)</f>
        <v>10</v>
      </c>
      <c r="L6439" s="308">
        <f>IFERROR(__xludf.DUMMYFUNCTION("""COMPUTED_VALUE"""),2019.0)</f>
        <v>2019</v>
      </c>
      <c r="M6439" s="308" t="s">
        <v>25831</v>
      </c>
      <c r="N6439" s="308" t="s">
        <v>25832</v>
      </c>
      <c r="O6439" s="308" t="s">
        <v>25833</v>
      </c>
      <c r="P6439" s="308" t="s">
        <v>39094</v>
      </c>
      <c r="Q6439" s="308" t="s">
        <v>39095</v>
      </c>
      <c r="R6439" s="308" t="s">
        <v>2743</v>
      </c>
      <c r="S6439" s="308" t="s">
        <v>81</v>
      </c>
      <c r="T6439" s="308" t="s">
        <v>75</v>
      </c>
      <c r="U6439" s="308" t="s">
        <v>10279</v>
      </c>
      <c r="V6439" s="308"/>
    </row>
    <row r="6440">
      <c r="A6440" s="308">
        <v>6439.0</v>
      </c>
      <c r="B6440" s="308"/>
      <c r="C6440" s="308" t="s">
        <v>25835</v>
      </c>
      <c r="D6440" s="308">
        <f>IFERROR(__xludf.DUMMYFUNCTION("SPLIT(C6440,""-"")"),6460.0)</f>
        <v>6460</v>
      </c>
      <c r="E6440" s="308" t="str">
        <f>IFERROR(__xludf.DUMMYFUNCTION("""COMPUTED_VALUE"""),"K")</f>
        <v>K</v>
      </c>
      <c r="F6440" s="309" t="s">
        <v>34</v>
      </c>
      <c r="G6440" s="308"/>
      <c r="H6440" s="308" t="s">
        <v>25836</v>
      </c>
      <c r="I6440" s="310">
        <v>40924.0</v>
      </c>
      <c r="J6440" s="319">
        <f>IFERROR(__xludf.DUMMYFUNCTION("SPLIT(I6440,""/"")"),16.0)</f>
        <v>16</v>
      </c>
      <c r="K6440" s="308">
        <f>IFERROR(__xludf.DUMMYFUNCTION("""COMPUTED_VALUE"""),1.0)</f>
        <v>1</v>
      </c>
      <c r="L6440" s="308">
        <f>IFERROR(__xludf.DUMMYFUNCTION("""COMPUTED_VALUE"""),2012.0)</f>
        <v>2012</v>
      </c>
      <c r="M6440" s="308" t="s">
        <v>25837</v>
      </c>
      <c r="N6440" s="308" t="s">
        <v>25838</v>
      </c>
      <c r="O6440" s="308"/>
      <c r="P6440" s="308" t="s">
        <v>39096</v>
      </c>
      <c r="Q6440" s="308" t="s">
        <v>39097</v>
      </c>
      <c r="R6440" s="308" t="s">
        <v>2743</v>
      </c>
      <c r="S6440" s="308" t="s">
        <v>49</v>
      </c>
      <c r="T6440" s="311" t="s">
        <v>51</v>
      </c>
      <c r="U6440" s="308" t="s">
        <v>125</v>
      </c>
      <c r="V6440" s="308"/>
    </row>
    <row r="6441">
      <c r="A6441" s="308">
        <v>6440.0</v>
      </c>
      <c r="B6441" s="308"/>
      <c r="C6441" s="308" t="s">
        <v>25840</v>
      </c>
      <c r="D6441" s="308">
        <f>IFERROR(__xludf.DUMMYFUNCTION("SPLIT(C6441,""-"")"),6461.0)</f>
        <v>6461</v>
      </c>
      <c r="E6441" s="308" t="str">
        <f>IFERROR(__xludf.DUMMYFUNCTION("""COMPUTED_VALUE"""),"P")</f>
        <v>P</v>
      </c>
      <c r="F6441" s="312" t="s">
        <v>37</v>
      </c>
      <c r="G6441" s="308"/>
      <c r="H6441" s="308" t="s">
        <v>25841</v>
      </c>
      <c r="I6441" s="310">
        <v>43645.0</v>
      </c>
      <c r="J6441" s="319">
        <f>IFERROR(__xludf.DUMMYFUNCTION("SPLIT(I6441,""/"")"),29.0)</f>
        <v>29</v>
      </c>
      <c r="K6441" s="308">
        <f>IFERROR(__xludf.DUMMYFUNCTION("""COMPUTED_VALUE"""),6.0)</f>
        <v>6</v>
      </c>
      <c r="L6441" s="308">
        <f>IFERROR(__xludf.DUMMYFUNCTION("""COMPUTED_VALUE"""),2019.0)</f>
        <v>2019</v>
      </c>
      <c r="M6441" s="308" t="s">
        <v>25842</v>
      </c>
      <c r="N6441" s="308" t="s">
        <v>25843</v>
      </c>
      <c r="O6441" s="308" t="s">
        <v>25844</v>
      </c>
      <c r="P6441" s="308" t="s">
        <v>136</v>
      </c>
      <c r="Q6441" s="308" t="s">
        <v>39098</v>
      </c>
      <c r="R6441" s="308" t="s">
        <v>2743</v>
      </c>
      <c r="S6441" s="315" t="s">
        <v>100</v>
      </c>
      <c r="T6441" s="308" t="s">
        <v>34208</v>
      </c>
      <c r="U6441" s="308" t="s">
        <v>143</v>
      </c>
      <c r="V6441" s="308"/>
    </row>
    <row r="6442">
      <c r="A6442" s="308">
        <v>6441.0</v>
      </c>
      <c r="B6442" s="308"/>
      <c r="C6442" s="308" t="s">
        <v>25845</v>
      </c>
      <c r="D6442" s="308">
        <f>IFERROR(__xludf.DUMMYFUNCTION("SPLIT(C6442,""-"")"),6462.0)</f>
        <v>6462</v>
      </c>
      <c r="E6442" s="308" t="str">
        <f>IFERROR(__xludf.DUMMYFUNCTION("""COMPUTED_VALUE"""),"K")</f>
        <v>K</v>
      </c>
      <c r="F6442" s="309" t="s">
        <v>34</v>
      </c>
      <c r="G6442" s="308"/>
      <c r="H6442" s="308" t="s">
        <v>25846</v>
      </c>
      <c r="I6442" s="314">
        <v>41604.0</v>
      </c>
      <c r="J6442" s="319">
        <f>IFERROR(__xludf.DUMMYFUNCTION("SPLIT(I6442,""/"")"),26.0)</f>
        <v>26</v>
      </c>
      <c r="K6442" s="308">
        <f>IFERROR(__xludf.DUMMYFUNCTION("""COMPUTED_VALUE"""),11.0)</f>
        <v>11</v>
      </c>
      <c r="L6442" s="308">
        <f>IFERROR(__xludf.DUMMYFUNCTION("""COMPUTED_VALUE"""),2013.0)</f>
        <v>2013</v>
      </c>
      <c r="M6442" s="308" t="s">
        <v>25847</v>
      </c>
      <c r="N6442" s="308" t="s">
        <v>25848</v>
      </c>
      <c r="O6442" s="308"/>
      <c r="P6442" s="308" t="s">
        <v>25849</v>
      </c>
      <c r="Q6442" s="308" t="s">
        <v>39099</v>
      </c>
      <c r="R6442" s="308" t="s">
        <v>2743</v>
      </c>
      <c r="S6442" s="308" t="s">
        <v>49</v>
      </c>
      <c r="T6442" s="308" t="s">
        <v>51</v>
      </c>
      <c r="U6442" s="308" t="s">
        <v>368</v>
      </c>
      <c r="V6442" s="308"/>
    </row>
    <row r="6443">
      <c r="A6443" s="308">
        <v>6442.0</v>
      </c>
      <c r="B6443" s="308"/>
      <c r="C6443" s="308" t="s">
        <v>25850</v>
      </c>
      <c r="D6443" s="308">
        <f>IFERROR(__xludf.DUMMYFUNCTION("SPLIT(C6443,""-"")"),6463.0)</f>
        <v>6463</v>
      </c>
      <c r="E6443" s="308" t="str">
        <f>IFERROR(__xludf.DUMMYFUNCTION("""COMPUTED_VALUE"""),"B")</f>
        <v>B</v>
      </c>
      <c r="F6443" s="315" t="s">
        <v>26</v>
      </c>
      <c r="G6443" s="308"/>
      <c r="H6443" s="308" t="s">
        <v>25851</v>
      </c>
      <c r="I6443" s="310">
        <v>43327.0</v>
      </c>
      <c r="J6443" s="319">
        <f>IFERROR(__xludf.DUMMYFUNCTION("SPLIT(I6443,""/"")"),15.0)</f>
        <v>15</v>
      </c>
      <c r="K6443" s="308">
        <f>IFERROR(__xludf.DUMMYFUNCTION("""COMPUTED_VALUE"""),8.0)</f>
        <v>8</v>
      </c>
      <c r="L6443" s="308">
        <f>IFERROR(__xludf.DUMMYFUNCTION("""COMPUTED_VALUE"""),2018.0)</f>
        <v>2018</v>
      </c>
      <c r="M6443" s="308" t="s">
        <v>25852</v>
      </c>
      <c r="N6443" s="308" t="s">
        <v>25853</v>
      </c>
      <c r="O6443" s="308"/>
      <c r="P6443" s="308" t="s">
        <v>39100</v>
      </c>
      <c r="Q6443" s="308" t="s">
        <v>39099</v>
      </c>
      <c r="R6443" s="308" t="s">
        <v>2743</v>
      </c>
      <c r="S6443" s="308" t="s">
        <v>81</v>
      </c>
      <c r="T6443" s="311" t="s">
        <v>57</v>
      </c>
      <c r="U6443" s="308" t="s">
        <v>27</v>
      </c>
      <c r="V6443" s="308"/>
    </row>
    <row r="6444">
      <c r="A6444" s="308">
        <v>6443.0</v>
      </c>
      <c r="B6444" s="308"/>
      <c r="C6444" s="308" t="s">
        <v>25855</v>
      </c>
      <c r="D6444" s="308">
        <f>IFERROR(__xludf.DUMMYFUNCTION("SPLIT(C6444,""-"")"),6464.0)</f>
        <v>6464</v>
      </c>
      <c r="E6444" s="308" t="str">
        <f>IFERROR(__xludf.DUMMYFUNCTION("""COMPUTED_VALUE"""),"B")</f>
        <v>B</v>
      </c>
      <c r="F6444" s="315" t="s">
        <v>26</v>
      </c>
      <c r="G6444" s="308"/>
      <c r="H6444" s="308" t="s">
        <v>25856</v>
      </c>
      <c r="I6444" s="314">
        <v>41606.0</v>
      </c>
      <c r="J6444" s="319">
        <f>IFERROR(__xludf.DUMMYFUNCTION("SPLIT(I6444,""/"")"),28.0)</f>
        <v>28</v>
      </c>
      <c r="K6444" s="308">
        <f>IFERROR(__xludf.DUMMYFUNCTION("""COMPUTED_VALUE"""),11.0)</f>
        <v>11</v>
      </c>
      <c r="L6444" s="308">
        <f>IFERROR(__xludf.DUMMYFUNCTION("""COMPUTED_VALUE"""),2013.0)</f>
        <v>2013</v>
      </c>
      <c r="M6444" s="308" t="s">
        <v>25857</v>
      </c>
      <c r="N6444" s="308"/>
      <c r="O6444" s="308"/>
      <c r="P6444" s="308" t="s">
        <v>136</v>
      </c>
      <c r="Q6444" s="308" t="s">
        <v>39101</v>
      </c>
      <c r="R6444" s="308" t="s">
        <v>2743</v>
      </c>
      <c r="S6444" s="315" t="s">
        <v>100</v>
      </c>
      <c r="T6444" s="308" t="s">
        <v>34208</v>
      </c>
      <c r="U6444" s="308" t="s">
        <v>27</v>
      </c>
      <c r="V6444" s="308"/>
    </row>
    <row r="6445">
      <c r="A6445" s="308">
        <v>6444.0</v>
      </c>
      <c r="B6445" s="308"/>
      <c r="C6445" s="308" t="s">
        <v>25858</v>
      </c>
      <c r="D6445" s="308">
        <f>IFERROR(__xludf.DUMMYFUNCTION("SPLIT(C6445,""-"")"),6465.0)</f>
        <v>6465</v>
      </c>
      <c r="E6445" s="308" t="str">
        <f>IFERROR(__xludf.DUMMYFUNCTION("""COMPUTED_VALUE"""),"F")</f>
        <v>F</v>
      </c>
      <c r="F6445" s="309" t="s">
        <v>34</v>
      </c>
      <c r="G6445" s="308"/>
      <c r="H6445" s="308" t="s">
        <v>25859</v>
      </c>
      <c r="I6445" s="314">
        <v>43391.0</v>
      </c>
      <c r="J6445" s="319">
        <f>IFERROR(__xludf.DUMMYFUNCTION("SPLIT(I6445,""/"")"),18.0)</f>
        <v>18</v>
      </c>
      <c r="K6445" s="308">
        <f>IFERROR(__xludf.DUMMYFUNCTION("""COMPUTED_VALUE"""),10.0)</f>
        <v>10</v>
      </c>
      <c r="L6445" s="308">
        <f>IFERROR(__xludf.DUMMYFUNCTION("""COMPUTED_VALUE"""),2018.0)</f>
        <v>2018</v>
      </c>
      <c r="M6445" s="308" t="s">
        <v>25860</v>
      </c>
      <c r="N6445" s="308" t="s">
        <v>25861</v>
      </c>
      <c r="O6445" s="308"/>
      <c r="P6445" s="308" t="s">
        <v>39102</v>
      </c>
      <c r="Q6445" s="308" t="s">
        <v>39101</v>
      </c>
      <c r="R6445" s="308" t="s">
        <v>2743</v>
      </c>
      <c r="S6445" s="308" t="s">
        <v>81</v>
      </c>
      <c r="T6445" s="308" t="s">
        <v>34264</v>
      </c>
      <c r="U6445" s="308" t="s">
        <v>195</v>
      </c>
      <c r="V6445" s="308"/>
    </row>
    <row r="6446">
      <c r="A6446" s="308">
        <v>6445.0</v>
      </c>
      <c r="B6446" s="308"/>
      <c r="C6446" s="308" t="s">
        <v>25863</v>
      </c>
      <c r="D6446" s="308">
        <f>IFERROR(__xludf.DUMMYFUNCTION("SPLIT(C6446,""-"")"),6466.0)</f>
        <v>6466</v>
      </c>
      <c r="E6446" s="308" t="str">
        <f>IFERROR(__xludf.DUMMYFUNCTION("""COMPUTED_VALUE"""),"K")</f>
        <v>K</v>
      </c>
      <c r="F6446" s="309" t="s">
        <v>34</v>
      </c>
      <c r="G6446" s="308"/>
      <c r="H6446" s="308" t="s">
        <v>25864</v>
      </c>
      <c r="I6446" s="310">
        <v>40335.0</v>
      </c>
      <c r="J6446" s="319">
        <f>IFERROR(__xludf.DUMMYFUNCTION("SPLIT(I6446,""/"")"),6.0)</f>
        <v>6</v>
      </c>
      <c r="K6446" s="308">
        <f>IFERROR(__xludf.DUMMYFUNCTION("""COMPUTED_VALUE"""),6.0)</f>
        <v>6</v>
      </c>
      <c r="L6446" s="308">
        <f>IFERROR(__xludf.DUMMYFUNCTION("""COMPUTED_VALUE"""),2010.0)</f>
        <v>2010</v>
      </c>
      <c r="M6446" s="308" t="s">
        <v>25865</v>
      </c>
      <c r="N6446" s="308" t="s">
        <v>25866</v>
      </c>
      <c r="O6446" s="308"/>
      <c r="P6446" s="308" t="s">
        <v>136</v>
      </c>
      <c r="Q6446" s="308" t="s">
        <v>39101</v>
      </c>
      <c r="R6446" s="308" t="s">
        <v>2743</v>
      </c>
      <c r="S6446" s="315" t="s">
        <v>100</v>
      </c>
      <c r="T6446" s="308" t="s">
        <v>34208</v>
      </c>
      <c r="U6446" s="308" t="s">
        <v>530</v>
      </c>
      <c r="V6446" s="308"/>
    </row>
    <row r="6447">
      <c r="A6447" s="308">
        <v>6446.0</v>
      </c>
      <c r="B6447" s="308"/>
      <c r="C6447" s="308" t="s">
        <v>25867</v>
      </c>
      <c r="D6447" s="308">
        <f>IFERROR(__xludf.DUMMYFUNCTION("SPLIT(C6447,""-"")"),6467.0)</f>
        <v>6467</v>
      </c>
      <c r="E6447" s="308" t="str">
        <f>IFERROR(__xludf.DUMMYFUNCTION("""COMPUTED_VALUE"""),"K")</f>
        <v>K</v>
      </c>
      <c r="F6447" s="309" t="s">
        <v>34</v>
      </c>
      <c r="G6447" s="308"/>
      <c r="H6447" s="308" t="s">
        <v>25868</v>
      </c>
      <c r="I6447" s="310">
        <v>41821.0</v>
      </c>
      <c r="J6447" s="319">
        <f>IFERROR(__xludf.DUMMYFUNCTION("SPLIT(I6447,""/"")"),1.0)</f>
        <v>1</v>
      </c>
      <c r="K6447" s="308">
        <f>IFERROR(__xludf.DUMMYFUNCTION("""COMPUTED_VALUE"""),7.0)</f>
        <v>7</v>
      </c>
      <c r="L6447" s="308">
        <f>IFERROR(__xludf.DUMMYFUNCTION("""COMPUTED_VALUE"""),2014.0)</f>
        <v>2014</v>
      </c>
      <c r="M6447" s="308" t="s">
        <v>25869</v>
      </c>
      <c r="N6447" s="308" t="s">
        <v>25870</v>
      </c>
      <c r="O6447" s="308"/>
      <c r="P6447" s="308" t="s">
        <v>39103</v>
      </c>
      <c r="Q6447" s="308" t="s">
        <v>39101</v>
      </c>
      <c r="R6447" s="308" t="s">
        <v>2743</v>
      </c>
      <c r="S6447" s="308" t="s">
        <v>49</v>
      </c>
      <c r="T6447" s="308" t="s">
        <v>51</v>
      </c>
      <c r="U6447" s="308" t="s">
        <v>2989</v>
      </c>
      <c r="V6447" s="308"/>
    </row>
    <row r="6448">
      <c r="A6448" s="308">
        <v>6447.0</v>
      </c>
      <c r="B6448" s="308"/>
      <c r="C6448" s="308" t="s">
        <v>25872</v>
      </c>
      <c r="D6448" s="308">
        <f>IFERROR(__xludf.DUMMYFUNCTION("SPLIT(C6448,""-"")"),6468.0)</f>
        <v>6468</v>
      </c>
      <c r="E6448" s="308" t="str">
        <f>IFERROR(__xludf.DUMMYFUNCTION("""COMPUTED_VALUE"""),"S")</f>
        <v>S</v>
      </c>
      <c r="F6448" s="312" t="s">
        <v>39</v>
      </c>
      <c r="G6448" s="308"/>
      <c r="H6448" s="308" t="s">
        <v>25873</v>
      </c>
      <c r="I6448" s="310">
        <v>41091.0</v>
      </c>
      <c r="J6448" s="319">
        <f>IFERROR(__xludf.DUMMYFUNCTION("SPLIT(I6448,""/"")"),1.0)</f>
        <v>1</v>
      </c>
      <c r="K6448" s="308">
        <f>IFERROR(__xludf.DUMMYFUNCTION("""COMPUTED_VALUE"""),7.0)</f>
        <v>7</v>
      </c>
      <c r="L6448" s="308">
        <f>IFERROR(__xludf.DUMMYFUNCTION("""COMPUTED_VALUE"""),2012.0)</f>
        <v>2012</v>
      </c>
      <c r="M6448" s="308" t="s">
        <v>25874</v>
      </c>
      <c r="N6448" s="308"/>
      <c r="O6448" s="308"/>
      <c r="P6448" s="308" t="s">
        <v>25875</v>
      </c>
      <c r="Q6448" s="308" t="s">
        <v>39104</v>
      </c>
      <c r="R6448" s="308" t="s">
        <v>2743</v>
      </c>
      <c r="S6448" s="308" t="s">
        <v>81</v>
      </c>
      <c r="T6448" s="308" t="s">
        <v>34264</v>
      </c>
      <c r="U6448" s="308" t="s">
        <v>166</v>
      </c>
      <c r="V6448" s="308"/>
    </row>
    <row r="6449">
      <c r="A6449" s="308">
        <v>6448.0</v>
      </c>
      <c r="B6449" s="308"/>
      <c r="C6449" s="308" t="s">
        <v>25876</v>
      </c>
      <c r="D6449" s="308">
        <f>IFERROR(__xludf.DUMMYFUNCTION("SPLIT(C6449,""-"")"),6469.0)</f>
        <v>6469</v>
      </c>
      <c r="E6449" s="308" t="str">
        <f>IFERROR(__xludf.DUMMYFUNCTION("""COMPUTED_VALUE"""),"P")</f>
        <v>P</v>
      </c>
      <c r="F6449" s="312" t="s">
        <v>37</v>
      </c>
      <c r="G6449" s="308"/>
      <c r="H6449" s="308" t="s">
        <v>25877</v>
      </c>
      <c r="I6449" s="310">
        <v>43652.0</v>
      </c>
      <c r="J6449" s="319">
        <f>IFERROR(__xludf.DUMMYFUNCTION("SPLIT(I6449,""/"")"),6.0)</f>
        <v>6</v>
      </c>
      <c r="K6449" s="308">
        <f>IFERROR(__xludf.DUMMYFUNCTION("""COMPUTED_VALUE"""),7.0)</f>
        <v>7</v>
      </c>
      <c r="L6449" s="308">
        <f>IFERROR(__xludf.DUMMYFUNCTION("""COMPUTED_VALUE"""),2019.0)</f>
        <v>2019</v>
      </c>
      <c r="M6449" s="308" t="s">
        <v>25878</v>
      </c>
      <c r="N6449" s="308" t="s">
        <v>25879</v>
      </c>
      <c r="O6449" s="308" t="s">
        <v>25880</v>
      </c>
      <c r="P6449" s="308" t="s">
        <v>39105</v>
      </c>
      <c r="Q6449" s="308" t="s">
        <v>39106</v>
      </c>
      <c r="R6449" s="308" t="s">
        <v>2743</v>
      </c>
      <c r="S6449" s="308" t="s">
        <v>81</v>
      </c>
      <c r="T6449" s="311" t="s">
        <v>51</v>
      </c>
      <c r="U6449" s="308" t="s">
        <v>2748</v>
      </c>
      <c r="V6449" s="308"/>
    </row>
    <row r="6450">
      <c r="A6450" s="308">
        <v>6449.0</v>
      </c>
      <c r="B6450" s="308"/>
      <c r="C6450" s="308" t="s">
        <v>25882</v>
      </c>
      <c r="D6450" s="308">
        <f>IFERROR(__xludf.DUMMYFUNCTION("SPLIT(C6450,""-"")"),6470.0)</f>
        <v>6470</v>
      </c>
      <c r="E6450" s="308" t="str">
        <f>IFERROR(__xludf.DUMMYFUNCTION("""COMPUTED_VALUE"""),"B")</f>
        <v>B</v>
      </c>
      <c r="F6450" s="315" t="s">
        <v>26</v>
      </c>
      <c r="G6450" s="308"/>
      <c r="H6450" s="308" t="s">
        <v>25883</v>
      </c>
      <c r="I6450" s="310">
        <v>41843.0</v>
      </c>
      <c r="J6450" s="319">
        <f>IFERROR(__xludf.DUMMYFUNCTION("SPLIT(I6450,""/"")"),23.0)</f>
        <v>23</v>
      </c>
      <c r="K6450" s="308">
        <f>IFERROR(__xludf.DUMMYFUNCTION("""COMPUTED_VALUE"""),7.0)</f>
        <v>7</v>
      </c>
      <c r="L6450" s="308">
        <f>IFERROR(__xludf.DUMMYFUNCTION("""COMPUTED_VALUE"""),2014.0)</f>
        <v>2014</v>
      </c>
      <c r="M6450" s="308" t="s">
        <v>25884</v>
      </c>
      <c r="N6450" s="308" t="s">
        <v>25885</v>
      </c>
      <c r="O6450" s="308"/>
      <c r="P6450" s="308" t="s">
        <v>136</v>
      </c>
      <c r="Q6450" s="308" t="s">
        <v>39106</v>
      </c>
      <c r="R6450" s="308" t="s">
        <v>2743</v>
      </c>
      <c r="S6450" s="315" t="s">
        <v>100</v>
      </c>
      <c r="T6450" s="308" t="s">
        <v>34208</v>
      </c>
      <c r="U6450" s="308" t="s">
        <v>27</v>
      </c>
      <c r="V6450" s="308"/>
    </row>
    <row r="6451">
      <c r="A6451" s="308">
        <v>6450.0</v>
      </c>
      <c r="B6451" s="308"/>
      <c r="C6451" s="308" t="s">
        <v>25886</v>
      </c>
      <c r="D6451" s="308">
        <f>IFERROR(__xludf.DUMMYFUNCTION("SPLIT(C6451,""-"")"),6471.0)</f>
        <v>6471</v>
      </c>
      <c r="E6451" s="308" t="str">
        <f>IFERROR(__xludf.DUMMYFUNCTION("""COMPUTED_VALUE"""),"B")</f>
        <v>B</v>
      </c>
      <c r="F6451" s="315" t="s">
        <v>26</v>
      </c>
      <c r="G6451" s="308"/>
      <c r="H6451" s="308" t="s">
        <v>25887</v>
      </c>
      <c r="I6451" s="310">
        <v>41843.0</v>
      </c>
      <c r="J6451" s="319">
        <f>IFERROR(__xludf.DUMMYFUNCTION("SPLIT(I6451,""/"")"),23.0)</f>
        <v>23</v>
      </c>
      <c r="K6451" s="308">
        <f>IFERROR(__xludf.DUMMYFUNCTION("""COMPUTED_VALUE"""),7.0)</f>
        <v>7</v>
      </c>
      <c r="L6451" s="308">
        <f>IFERROR(__xludf.DUMMYFUNCTION("""COMPUTED_VALUE"""),2014.0)</f>
        <v>2014</v>
      </c>
      <c r="M6451" s="308" t="s">
        <v>25884</v>
      </c>
      <c r="N6451" s="308" t="s">
        <v>25888</v>
      </c>
      <c r="O6451" s="308"/>
      <c r="P6451" s="308" t="s">
        <v>136</v>
      </c>
      <c r="Q6451" s="308" t="s">
        <v>39106</v>
      </c>
      <c r="R6451" s="308" t="s">
        <v>2743</v>
      </c>
      <c r="S6451" s="315" t="s">
        <v>100</v>
      </c>
      <c r="T6451" s="308" t="s">
        <v>34208</v>
      </c>
      <c r="U6451" s="308" t="s">
        <v>27</v>
      </c>
      <c r="V6451" s="308"/>
    </row>
    <row r="6452">
      <c r="A6452" s="308">
        <v>6451.0</v>
      </c>
      <c r="B6452" s="308"/>
      <c r="C6452" s="308" t="s">
        <v>25889</v>
      </c>
      <c r="D6452" s="308">
        <f>IFERROR(__xludf.DUMMYFUNCTION("SPLIT(C6452,""-"")"),6472.0)</f>
        <v>6472</v>
      </c>
      <c r="E6452" s="308" t="str">
        <f>IFERROR(__xludf.DUMMYFUNCTION("""COMPUTED_VALUE"""),"K")</f>
        <v>K</v>
      </c>
      <c r="F6452" s="309" t="s">
        <v>34</v>
      </c>
      <c r="G6452" s="308"/>
      <c r="H6452" s="308" t="s">
        <v>25890</v>
      </c>
      <c r="I6452" s="310">
        <v>41975.0</v>
      </c>
      <c r="J6452" s="319">
        <f>IFERROR(__xludf.DUMMYFUNCTION("SPLIT(I6452,""/"")"),2.0)</f>
        <v>2</v>
      </c>
      <c r="K6452" s="308">
        <f>IFERROR(__xludf.DUMMYFUNCTION("""COMPUTED_VALUE"""),12.0)</f>
        <v>12</v>
      </c>
      <c r="L6452" s="308">
        <f>IFERROR(__xludf.DUMMYFUNCTION("""COMPUTED_VALUE"""),2014.0)</f>
        <v>2014</v>
      </c>
      <c r="M6452" s="308" t="s">
        <v>25891</v>
      </c>
      <c r="N6452" s="308" t="s">
        <v>25892</v>
      </c>
      <c r="O6452" s="308"/>
      <c r="P6452" s="308" t="s">
        <v>136</v>
      </c>
      <c r="Q6452" s="308" t="s">
        <v>39106</v>
      </c>
      <c r="R6452" s="308" t="s">
        <v>2743</v>
      </c>
      <c r="S6452" s="315" t="s">
        <v>100</v>
      </c>
      <c r="T6452" s="308" t="s">
        <v>34208</v>
      </c>
      <c r="U6452" s="308" t="s">
        <v>368</v>
      </c>
      <c r="V6452" s="308"/>
    </row>
    <row r="6453">
      <c r="A6453" s="308">
        <v>6452.0</v>
      </c>
      <c r="B6453" s="308"/>
      <c r="C6453" s="308" t="s">
        <v>25893</v>
      </c>
      <c r="D6453" s="308">
        <f>IFERROR(__xludf.DUMMYFUNCTION("SPLIT(C6453,""-"")"),6473.0)</f>
        <v>6473</v>
      </c>
      <c r="E6453" s="308" t="str">
        <f>IFERROR(__xludf.DUMMYFUNCTION("""COMPUTED_VALUE"""),"P")</f>
        <v>P</v>
      </c>
      <c r="F6453" s="312" t="s">
        <v>37</v>
      </c>
      <c r="G6453" s="308"/>
      <c r="H6453" s="308" t="s">
        <v>25894</v>
      </c>
      <c r="I6453" s="314">
        <v>43030.0</v>
      </c>
      <c r="J6453" s="319">
        <f>IFERROR(__xludf.DUMMYFUNCTION("SPLIT(I6453,""/"")"),22.0)</f>
        <v>22</v>
      </c>
      <c r="K6453" s="308">
        <f>IFERROR(__xludf.DUMMYFUNCTION("""COMPUTED_VALUE"""),10.0)</f>
        <v>10</v>
      </c>
      <c r="L6453" s="308">
        <f>IFERROR(__xludf.DUMMYFUNCTION("""COMPUTED_VALUE"""),2017.0)</f>
        <v>2017</v>
      </c>
      <c r="M6453" s="308" t="s">
        <v>25895</v>
      </c>
      <c r="N6453" s="308" t="s">
        <v>25896</v>
      </c>
      <c r="O6453" s="308"/>
      <c r="P6453" s="308" t="s">
        <v>39107</v>
      </c>
      <c r="Q6453" s="308" t="s">
        <v>38498</v>
      </c>
      <c r="R6453" s="308" t="s">
        <v>2743</v>
      </c>
      <c r="S6453" s="308" t="s">
        <v>49</v>
      </c>
      <c r="T6453" s="308" t="s">
        <v>51</v>
      </c>
      <c r="U6453" s="308" t="s">
        <v>143</v>
      </c>
      <c r="V6453" s="308"/>
    </row>
    <row r="6454">
      <c r="A6454" s="308">
        <v>6453.0</v>
      </c>
      <c r="B6454" s="308"/>
      <c r="C6454" s="308" t="s">
        <v>25898</v>
      </c>
      <c r="D6454" s="308">
        <f>IFERROR(__xludf.DUMMYFUNCTION("SPLIT(C6454,""-"")"),6474.0)</f>
        <v>6474</v>
      </c>
      <c r="E6454" s="308" t="str">
        <f>IFERROR(__xludf.DUMMYFUNCTION("""COMPUTED_VALUE"""),"K")</f>
        <v>K</v>
      </c>
      <c r="F6454" s="309" t="s">
        <v>34</v>
      </c>
      <c r="G6454" s="308"/>
      <c r="H6454" s="308" t="s">
        <v>25899</v>
      </c>
      <c r="I6454" s="310">
        <v>42902.0</v>
      </c>
      <c r="J6454" s="319" t="str">
        <f>IFERROR(__xludf.DUMMYFUNCTION("SPLIT(I6454,""/"")"),"#REF!")</f>
        <v>#REF!</v>
      </c>
      <c r="K6454" s="308"/>
      <c r="L6454" s="308">
        <v>2017.0</v>
      </c>
      <c r="M6454" s="308" t="s">
        <v>25900</v>
      </c>
      <c r="N6454" s="308" t="s">
        <v>25901</v>
      </c>
      <c r="O6454" s="308"/>
      <c r="P6454" s="308" t="s">
        <v>25902</v>
      </c>
      <c r="Q6454" s="308" t="s">
        <v>38498</v>
      </c>
      <c r="R6454" s="308" t="s">
        <v>2743</v>
      </c>
      <c r="S6454" s="308" t="s">
        <v>81</v>
      </c>
      <c r="T6454" s="308" t="s">
        <v>34264</v>
      </c>
      <c r="U6454" s="308" t="s">
        <v>872</v>
      </c>
      <c r="V6454" s="308" t="s">
        <v>25903</v>
      </c>
    </row>
    <row r="6455">
      <c r="A6455" s="308">
        <v>6454.0</v>
      </c>
      <c r="B6455" s="308"/>
      <c r="C6455" s="308" t="s">
        <v>25904</v>
      </c>
      <c r="D6455" s="308">
        <f>IFERROR(__xludf.DUMMYFUNCTION("SPLIT(C6455,""-"")"),6475.0)</f>
        <v>6475</v>
      </c>
      <c r="E6455" s="308" t="str">
        <f>IFERROR(__xludf.DUMMYFUNCTION("""COMPUTED_VALUE"""),"K")</f>
        <v>K</v>
      </c>
      <c r="F6455" s="309" t="s">
        <v>34</v>
      </c>
      <c r="G6455" s="308"/>
      <c r="H6455" s="308" t="s">
        <v>25905</v>
      </c>
      <c r="I6455" s="310">
        <v>41762.0</v>
      </c>
      <c r="J6455" s="319">
        <f>IFERROR(__xludf.DUMMYFUNCTION("SPLIT(I6455,""/"")"),3.0)</f>
        <v>3</v>
      </c>
      <c r="K6455" s="308">
        <f>IFERROR(__xludf.DUMMYFUNCTION("""COMPUTED_VALUE"""),5.0)</f>
        <v>5</v>
      </c>
      <c r="L6455" s="308">
        <f>IFERROR(__xludf.DUMMYFUNCTION("""COMPUTED_VALUE"""),2014.0)</f>
        <v>2014</v>
      </c>
      <c r="M6455" s="308" t="s">
        <v>25906</v>
      </c>
      <c r="N6455" s="308" t="s">
        <v>25907</v>
      </c>
      <c r="O6455" s="308"/>
      <c r="P6455" s="308" t="s">
        <v>136</v>
      </c>
      <c r="Q6455" s="308" t="s">
        <v>39108</v>
      </c>
      <c r="R6455" s="308" t="s">
        <v>2743</v>
      </c>
      <c r="S6455" s="315" t="s">
        <v>100</v>
      </c>
      <c r="T6455" s="308" t="s">
        <v>34208</v>
      </c>
      <c r="U6455" s="308" t="s">
        <v>872</v>
      </c>
      <c r="V6455" s="308" t="s">
        <v>25908</v>
      </c>
    </row>
    <row r="6456">
      <c r="A6456" s="308">
        <v>6455.0</v>
      </c>
      <c r="B6456" s="308"/>
      <c r="C6456" s="308" t="s">
        <v>25909</v>
      </c>
      <c r="D6456" s="308">
        <f>IFERROR(__xludf.DUMMYFUNCTION("SPLIT(C6456,""-"")"),6476.0)</f>
        <v>6476</v>
      </c>
      <c r="E6456" s="308" t="str">
        <f>IFERROR(__xludf.DUMMYFUNCTION("""COMPUTED_VALUE"""),"K")</f>
        <v>K</v>
      </c>
      <c r="F6456" s="309" t="s">
        <v>34</v>
      </c>
      <c r="G6456" s="308"/>
      <c r="H6456" s="308" t="s">
        <v>25910</v>
      </c>
      <c r="I6456" s="310">
        <v>41764.0</v>
      </c>
      <c r="J6456" s="319">
        <f>IFERROR(__xludf.DUMMYFUNCTION("SPLIT(I6456,""/"")"),5.0)</f>
        <v>5</v>
      </c>
      <c r="K6456" s="308">
        <f>IFERROR(__xludf.DUMMYFUNCTION("""COMPUTED_VALUE"""),5.0)</f>
        <v>5</v>
      </c>
      <c r="L6456" s="308">
        <f>IFERROR(__xludf.DUMMYFUNCTION("""COMPUTED_VALUE"""),2014.0)</f>
        <v>2014</v>
      </c>
      <c r="M6456" s="308" t="s">
        <v>25911</v>
      </c>
      <c r="N6456" s="308" t="s">
        <v>25912</v>
      </c>
      <c r="O6456" s="308"/>
      <c r="P6456" s="308" t="s">
        <v>136</v>
      </c>
      <c r="Q6456" s="308" t="s">
        <v>39108</v>
      </c>
      <c r="R6456" s="308" t="s">
        <v>2743</v>
      </c>
      <c r="S6456" s="315" t="s">
        <v>100</v>
      </c>
      <c r="T6456" s="308" t="s">
        <v>34208</v>
      </c>
      <c r="U6456" s="308" t="s">
        <v>872</v>
      </c>
      <c r="V6456" s="308"/>
    </row>
    <row r="6457">
      <c r="A6457" s="308">
        <v>6456.0</v>
      </c>
      <c r="B6457" s="308"/>
      <c r="C6457" s="308" t="s">
        <v>25913</v>
      </c>
      <c r="D6457" s="308">
        <f>IFERROR(__xludf.DUMMYFUNCTION("SPLIT(C6457,""-"")"),6477.0)</f>
        <v>6477</v>
      </c>
      <c r="E6457" s="308" t="str">
        <f>IFERROR(__xludf.DUMMYFUNCTION("""COMPUTED_VALUE"""),"K")</f>
        <v>K</v>
      </c>
      <c r="F6457" s="309" t="s">
        <v>34</v>
      </c>
      <c r="G6457" s="308"/>
      <c r="H6457" s="308" t="s">
        <v>25914</v>
      </c>
      <c r="I6457" s="310">
        <v>42057.0</v>
      </c>
      <c r="J6457" s="319">
        <f>IFERROR(__xludf.DUMMYFUNCTION("SPLIT(I6457,""/"")"),22.0)</f>
        <v>22</v>
      </c>
      <c r="K6457" s="308">
        <f>IFERROR(__xludf.DUMMYFUNCTION("""COMPUTED_VALUE"""),2.0)</f>
        <v>2</v>
      </c>
      <c r="L6457" s="308">
        <f>IFERROR(__xludf.DUMMYFUNCTION("""COMPUTED_VALUE"""),2015.0)</f>
        <v>2015</v>
      </c>
      <c r="M6457" s="308" t="s">
        <v>25915</v>
      </c>
      <c r="N6457" s="308" t="s">
        <v>25916</v>
      </c>
      <c r="O6457" s="308"/>
      <c r="P6457" s="308" t="s">
        <v>136</v>
      </c>
      <c r="Q6457" s="308" t="s">
        <v>39108</v>
      </c>
      <c r="R6457" s="308" t="s">
        <v>2743</v>
      </c>
      <c r="S6457" s="315" t="s">
        <v>100</v>
      </c>
      <c r="T6457" s="308" t="s">
        <v>34208</v>
      </c>
      <c r="U6457" s="308" t="s">
        <v>872</v>
      </c>
      <c r="V6457" s="308"/>
    </row>
    <row r="6458">
      <c r="A6458" s="308">
        <v>6457.0</v>
      </c>
      <c r="B6458" s="308"/>
      <c r="C6458" s="308" t="s">
        <v>25917</v>
      </c>
      <c r="D6458" s="308">
        <f>IFERROR(__xludf.DUMMYFUNCTION("SPLIT(C6458,""-"")"),6478.0)</f>
        <v>6478</v>
      </c>
      <c r="E6458" s="308" t="str">
        <f>IFERROR(__xludf.DUMMYFUNCTION("""COMPUTED_VALUE"""),"K")</f>
        <v>K</v>
      </c>
      <c r="F6458" s="309" t="s">
        <v>34</v>
      </c>
      <c r="G6458" s="308"/>
      <c r="H6458" s="308" t="s">
        <v>25918</v>
      </c>
      <c r="I6458" s="310">
        <v>41299.0</v>
      </c>
      <c r="J6458" s="319">
        <f>IFERROR(__xludf.DUMMYFUNCTION("SPLIT(I6458,""/"")"),25.0)</f>
        <v>25</v>
      </c>
      <c r="K6458" s="308">
        <f>IFERROR(__xludf.DUMMYFUNCTION("""COMPUTED_VALUE"""),1.0)</f>
        <v>1</v>
      </c>
      <c r="L6458" s="308">
        <f>IFERROR(__xludf.DUMMYFUNCTION("""COMPUTED_VALUE"""),2013.0)</f>
        <v>2013</v>
      </c>
      <c r="M6458" s="308" t="s">
        <v>25919</v>
      </c>
      <c r="N6458" s="308" t="s">
        <v>25920</v>
      </c>
      <c r="O6458" s="308"/>
      <c r="P6458" s="308" t="s">
        <v>136</v>
      </c>
      <c r="Q6458" s="308" t="s">
        <v>39109</v>
      </c>
      <c r="R6458" s="308" t="s">
        <v>2743</v>
      </c>
      <c r="S6458" s="315" t="s">
        <v>100</v>
      </c>
      <c r="T6458" s="308" t="s">
        <v>34208</v>
      </c>
      <c r="U6458" s="308" t="s">
        <v>125</v>
      </c>
      <c r="V6458" s="308"/>
    </row>
    <row r="6459">
      <c r="A6459" s="308">
        <v>6458.0</v>
      </c>
      <c r="B6459" s="308"/>
      <c r="C6459" s="308" t="s">
        <v>25921</v>
      </c>
      <c r="D6459" s="308">
        <f>IFERROR(__xludf.DUMMYFUNCTION("SPLIT(C6459,""-"")"),6479.0)</f>
        <v>6479</v>
      </c>
      <c r="E6459" s="308" t="str">
        <f>IFERROR(__xludf.DUMMYFUNCTION("""COMPUTED_VALUE"""),"K")</f>
        <v>K</v>
      </c>
      <c r="F6459" s="309" t="s">
        <v>34</v>
      </c>
      <c r="G6459" s="308"/>
      <c r="H6459" s="308" t="s">
        <v>25922</v>
      </c>
      <c r="I6459" s="310">
        <v>43624.0</v>
      </c>
      <c r="J6459" s="319">
        <f>IFERROR(__xludf.DUMMYFUNCTION("SPLIT(I6459,""/"")"),8.0)</f>
        <v>8</v>
      </c>
      <c r="K6459" s="308">
        <f>IFERROR(__xludf.DUMMYFUNCTION("""COMPUTED_VALUE"""),6.0)</f>
        <v>6</v>
      </c>
      <c r="L6459" s="308">
        <f>IFERROR(__xludf.DUMMYFUNCTION("""COMPUTED_VALUE"""),2019.0)</f>
        <v>2019</v>
      </c>
      <c r="M6459" s="308" t="s">
        <v>25923</v>
      </c>
      <c r="N6459" s="308" t="s">
        <v>25924</v>
      </c>
      <c r="O6459" s="308"/>
      <c r="P6459" s="308" t="s">
        <v>39110</v>
      </c>
      <c r="Q6459" s="308" t="s">
        <v>39109</v>
      </c>
      <c r="R6459" s="308" t="s">
        <v>2743</v>
      </c>
      <c r="S6459" s="308" t="s">
        <v>81</v>
      </c>
      <c r="T6459" s="308" t="s">
        <v>75</v>
      </c>
      <c r="U6459" s="308" t="s">
        <v>125</v>
      </c>
      <c r="V6459" s="308"/>
    </row>
    <row r="6460">
      <c r="A6460" s="308">
        <v>6459.0</v>
      </c>
      <c r="B6460" s="308"/>
      <c r="C6460" s="308" t="s">
        <v>25926</v>
      </c>
      <c r="D6460" s="308">
        <f>IFERROR(__xludf.DUMMYFUNCTION("SPLIT(C6460,""-"")"),6480.0)</f>
        <v>6480</v>
      </c>
      <c r="E6460" s="308" t="str">
        <f>IFERROR(__xludf.DUMMYFUNCTION("""COMPUTED_VALUE"""),"K")</f>
        <v>K</v>
      </c>
      <c r="F6460" s="309" t="s">
        <v>34</v>
      </c>
      <c r="G6460" s="308"/>
      <c r="H6460" s="308" t="s">
        <v>39111</v>
      </c>
      <c r="I6460" s="310">
        <v>43671.0</v>
      </c>
      <c r="J6460" s="319">
        <f>IFERROR(__xludf.DUMMYFUNCTION("SPLIT(I6460,""/"")"),25.0)</f>
        <v>25</v>
      </c>
      <c r="K6460" s="308">
        <f>IFERROR(__xludf.DUMMYFUNCTION("""COMPUTED_VALUE"""),7.0)</f>
        <v>7</v>
      </c>
      <c r="L6460" s="308">
        <f>IFERROR(__xludf.DUMMYFUNCTION("""COMPUTED_VALUE"""),2019.0)</f>
        <v>2019</v>
      </c>
      <c r="M6460" s="308" t="s">
        <v>25928</v>
      </c>
      <c r="N6460" s="308" t="s">
        <v>25929</v>
      </c>
      <c r="O6460" s="308"/>
      <c r="P6460" s="308" t="s">
        <v>39112</v>
      </c>
      <c r="Q6460" s="308" t="s">
        <v>39113</v>
      </c>
      <c r="R6460" s="308" t="s">
        <v>2743</v>
      </c>
      <c r="S6460" s="308" t="s">
        <v>81</v>
      </c>
      <c r="T6460" s="311" t="s">
        <v>39114</v>
      </c>
      <c r="U6460" s="308" t="s">
        <v>7530</v>
      </c>
      <c r="V6460" s="308"/>
    </row>
    <row r="6461">
      <c r="A6461" s="308">
        <v>6460.0</v>
      </c>
      <c r="B6461" s="308"/>
      <c r="C6461" s="308" t="s">
        <v>25931</v>
      </c>
      <c r="D6461" s="308">
        <f>IFERROR(__xludf.DUMMYFUNCTION("SPLIT(C6461,""-"")"),6481.0)</f>
        <v>6481</v>
      </c>
      <c r="E6461" s="308" t="str">
        <f>IFERROR(__xludf.DUMMYFUNCTION("""COMPUTED_VALUE"""),"P")</f>
        <v>P</v>
      </c>
      <c r="F6461" s="312" t="s">
        <v>37</v>
      </c>
      <c r="G6461" s="308"/>
      <c r="H6461" s="308" t="s">
        <v>25932</v>
      </c>
      <c r="I6461" s="314">
        <v>43783.0</v>
      </c>
      <c r="J6461" s="319">
        <f>IFERROR(__xludf.DUMMYFUNCTION("SPLIT(I6461,""/"")"),14.0)</f>
        <v>14</v>
      </c>
      <c r="K6461" s="308">
        <f>IFERROR(__xludf.DUMMYFUNCTION("""COMPUTED_VALUE"""),11.0)</f>
        <v>11</v>
      </c>
      <c r="L6461" s="308">
        <f>IFERROR(__xludf.DUMMYFUNCTION("""COMPUTED_VALUE"""),2019.0)</f>
        <v>2019</v>
      </c>
      <c r="M6461" s="308" t="s">
        <v>25933</v>
      </c>
      <c r="N6461" s="308" t="s">
        <v>25934</v>
      </c>
      <c r="O6461" s="308" t="s">
        <v>25935</v>
      </c>
      <c r="P6461" s="308" t="s">
        <v>39115</v>
      </c>
      <c r="Q6461" s="308" t="s">
        <v>39113</v>
      </c>
      <c r="R6461" s="308" t="s">
        <v>2743</v>
      </c>
      <c r="S6461" s="308" t="s">
        <v>81</v>
      </c>
      <c r="T6461" s="311" t="s">
        <v>75</v>
      </c>
      <c r="U6461" s="308" t="s">
        <v>149</v>
      </c>
      <c r="V6461" s="308"/>
    </row>
    <row r="6462">
      <c r="A6462" s="308">
        <v>6461.0</v>
      </c>
      <c r="B6462" s="308"/>
      <c r="C6462" s="308" t="s">
        <v>25937</v>
      </c>
      <c r="D6462" s="308">
        <f>IFERROR(__xludf.DUMMYFUNCTION("SPLIT(C6462,""-"")"),6482.0)</f>
        <v>6482</v>
      </c>
      <c r="E6462" s="308" t="str">
        <f>IFERROR(__xludf.DUMMYFUNCTION("""COMPUTED_VALUE"""),"P")</f>
        <v>P</v>
      </c>
      <c r="F6462" s="312" t="s">
        <v>37</v>
      </c>
      <c r="G6462" s="308"/>
      <c r="H6462" s="308" t="s">
        <v>25938</v>
      </c>
      <c r="I6462" s="314">
        <v>43783.0</v>
      </c>
      <c r="J6462" s="319">
        <f>IFERROR(__xludf.DUMMYFUNCTION("SPLIT(I6462,""/"")"),14.0)</f>
        <v>14</v>
      </c>
      <c r="K6462" s="308">
        <f>IFERROR(__xludf.DUMMYFUNCTION("""COMPUTED_VALUE"""),11.0)</f>
        <v>11</v>
      </c>
      <c r="L6462" s="308">
        <f>IFERROR(__xludf.DUMMYFUNCTION("""COMPUTED_VALUE"""),2019.0)</f>
        <v>2019</v>
      </c>
      <c r="M6462" s="308" t="s">
        <v>25933</v>
      </c>
      <c r="N6462" s="308" t="s">
        <v>25939</v>
      </c>
      <c r="O6462" s="308"/>
      <c r="P6462" s="308" t="s">
        <v>39116</v>
      </c>
      <c r="Q6462" s="308" t="s">
        <v>39113</v>
      </c>
      <c r="R6462" s="308" t="s">
        <v>2743</v>
      </c>
      <c r="S6462" s="308" t="s">
        <v>81</v>
      </c>
      <c r="T6462" s="311" t="s">
        <v>75</v>
      </c>
      <c r="U6462" s="308" t="s">
        <v>149</v>
      </c>
      <c r="V6462" s="308"/>
    </row>
    <row r="6463">
      <c r="A6463" s="308">
        <v>6462.0</v>
      </c>
      <c r="B6463" s="308"/>
      <c r="C6463" s="308" t="s">
        <v>25941</v>
      </c>
      <c r="D6463" s="308">
        <f>IFERROR(__xludf.DUMMYFUNCTION("SPLIT(C6463,""-"")"),6483.0)</f>
        <v>6483</v>
      </c>
      <c r="E6463" s="308" t="str">
        <f>IFERROR(__xludf.DUMMYFUNCTION("""COMPUTED_VALUE"""),"S")</f>
        <v>S</v>
      </c>
      <c r="F6463" s="312" t="s">
        <v>39</v>
      </c>
      <c r="G6463" s="308"/>
      <c r="H6463" s="308" t="s">
        <v>25942</v>
      </c>
      <c r="I6463" s="314">
        <v>43796.0</v>
      </c>
      <c r="J6463" s="319">
        <f>IFERROR(__xludf.DUMMYFUNCTION("SPLIT(I6463,""/"")"),27.0)</f>
        <v>27</v>
      </c>
      <c r="K6463" s="308">
        <f>IFERROR(__xludf.DUMMYFUNCTION("""COMPUTED_VALUE"""),11.0)</f>
        <v>11</v>
      </c>
      <c r="L6463" s="308">
        <f>IFERROR(__xludf.DUMMYFUNCTION("""COMPUTED_VALUE"""),2019.0)</f>
        <v>2019</v>
      </c>
      <c r="M6463" s="308" t="s">
        <v>25943</v>
      </c>
      <c r="N6463" s="308" t="s">
        <v>25944</v>
      </c>
      <c r="O6463" s="308"/>
      <c r="P6463" s="308" t="s">
        <v>25945</v>
      </c>
      <c r="Q6463" s="308" t="s">
        <v>39113</v>
      </c>
      <c r="R6463" s="308" t="s">
        <v>2743</v>
      </c>
      <c r="S6463" s="308" t="s">
        <v>81</v>
      </c>
      <c r="T6463" s="308" t="s">
        <v>75</v>
      </c>
      <c r="U6463" s="308" t="s">
        <v>166</v>
      </c>
      <c r="V6463" s="308"/>
    </row>
    <row r="6464">
      <c r="A6464" s="308">
        <v>6463.0</v>
      </c>
      <c r="B6464" s="308"/>
      <c r="C6464" s="308" t="s">
        <v>25946</v>
      </c>
      <c r="D6464" s="308">
        <f>IFERROR(__xludf.DUMMYFUNCTION("SPLIT(C6464,""-"")"),6484.0)</f>
        <v>6484</v>
      </c>
      <c r="E6464" s="308" t="str">
        <f>IFERROR(__xludf.DUMMYFUNCTION("""COMPUTED_VALUE"""),"K")</f>
        <v>K</v>
      </c>
      <c r="F6464" s="309" t="s">
        <v>34</v>
      </c>
      <c r="G6464" s="308"/>
      <c r="H6464" s="308" t="s">
        <v>25947</v>
      </c>
      <c r="I6464" s="310">
        <v>43704.0</v>
      </c>
      <c r="J6464" s="319">
        <f>IFERROR(__xludf.DUMMYFUNCTION("SPLIT(I6464,""/"")"),27.0)</f>
        <v>27</v>
      </c>
      <c r="K6464" s="308">
        <f>IFERROR(__xludf.DUMMYFUNCTION("""COMPUTED_VALUE"""),8.0)</f>
        <v>8</v>
      </c>
      <c r="L6464" s="308">
        <f>IFERROR(__xludf.DUMMYFUNCTION("""COMPUTED_VALUE"""),2019.0)</f>
        <v>2019</v>
      </c>
      <c r="M6464" s="308" t="s">
        <v>25948</v>
      </c>
      <c r="N6464" s="308" t="s">
        <v>25949</v>
      </c>
      <c r="O6464" s="308" t="s">
        <v>25950</v>
      </c>
      <c r="P6464" s="308" t="s">
        <v>25951</v>
      </c>
      <c r="Q6464" s="308" t="s">
        <v>39113</v>
      </c>
      <c r="R6464" s="308" t="s">
        <v>2743</v>
      </c>
      <c r="S6464" s="308" t="s">
        <v>81</v>
      </c>
      <c r="T6464" s="311" t="s">
        <v>51</v>
      </c>
      <c r="U6464" s="308" t="s">
        <v>2466</v>
      </c>
      <c r="V6464" s="308"/>
    </row>
    <row r="6465">
      <c r="A6465" s="308">
        <v>6464.0</v>
      </c>
      <c r="B6465" s="308"/>
      <c r="C6465" s="308" t="s">
        <v>25952</v>
      </c>
      <c r="D6465" s="308">
        <f>IFERROR(__xludf.DUMMYFUNCTION("SPLIT(C6465,""-"")"),6485.0)</f>
        <v>6485</v>
      </c>
      <c r="E6465" s="308" t="str">
        <f>IFERROR(__xludf.DUMMYFUNCTION("""COMPUTED_VALUE"""),"K")</f>
        <v>K</v>
      </c>
      <c r="F6465" s="309" t="s">
        <v>34</v>
      </c>
      <c r="G6465" s="308"/>
      <c r="H6465" s="308" t="s">
        <v>25953</v>
      </c>
      <c r="I6465" s="310">
        <v>43718.0</v>
      </c>
      <c r="J6465" s="319">
        <f>IFERROR(__xludf.DUMMYFUNCTION("SPLIT(I6465,""/"")"),10.0)</f>
        <v>10</v>
      </c>
      <c r="K6465" s="308">
        <f>IFERROR(__xludf.DUMMYFUNCTION("""COMPUTED_VALUE"""),9.0)</f>
        <v>9</v>
      </c>
      <c r="L6465" s="308">
        <f>IFERROR(__xludf.DUMMYFUNCTION("""COMPUTED_VALUE"""),2019.0)</f>
        <v>2019</v>
      </c>
      <c r="M6465" s="308" t="s">
        <v>25954</v>
      </c>
      <c r="N6465" s="308" t="s">
        <v>25955</v>
      </c>
      <c r="O6465" s="308"/>
      <c r="P6465" s="308" t="s">
        <v>39117</v>
      </c>
      <c r="Q6465" s="308" t="s">
        <v>39118</v>
      </c>
      <c r="R6465" s="308" t="s">
        <v>2743</v>
      </c>
      <c r="S6465" s="308" t="s">
        <v>81</v>
      </c>
      <c r="T6465" s="308" t="s">
        <v>75</v>
      </c>
      <c r="U6465" s="308" t="s">
        <v>125</v>
      </c>
      <c r="V6465" s="308"/>
    </row>
    <row r="6466">
      <c r="A6466" s="308">
        <v>6465.0</v>
      </c>
      <c r="B6466" s="308"/>
      <c r="C6466" s="308" t="s">
        <v>25957</v>
      </c>
      <c r="D6466" s="308">
        <f>IFERROR(__xludf.DUMMYFUNCTION("SPLIT(C6466,""-"")"),6486.0)</f>
        <v>6486</v>
      </c>
      <c r="E6466" s="308" t="str">
        <f>IFERROR(__xludf.DUMMYFUNCTION("""COMPUTED_VALUE"""),"B")</f>
        <v>B</v>
      </c>
      <c r="F6466" s="315" t="s">
        <v>26</v>
      </c>
      <c r="G6466" s="308"/>
      <c r="H6466" s="308" t="s">
        <v>25958</v>
      </c>
      <c r="I6466" s="314">
        <v>43420.0</v>
      </c>
      <c r="J6466" s="319">
        <f>IFERROR(__xludf.DUMMYFUNCTION("SPLIT(I6466,""/"")"),16.0)</f>
        <v>16</v>
      </c>
      <c r="K6466" s="308">
        <f>IFERROR(__xludf.DUMMYFUNCTION("""COMPUTED_VALUE"""),11.0)</f>
        <v>11</v>
      </c>
      <c r="L6466" s="308">
        <f>IFERROR(__xludf.DUMMYFUNCTION("""COMPUTED_VALUE"""),2018.0)</f>
        <v>2018</v>
      </c>
      <c r="M6466" s="308" t="s">
        <v>25959</v>
      </c>
      <c r="N6466" s="308" t="s">
        <v>25960</v>
      </c>
      <c r="O6466" s="308"/>
      <c r="P6466" s="308" t="s">
        <v>39119</v>
      </c>
      <c r="Q6466" s="308" t="s">
        <v>39120</v>
      </c>
      <c r="R6466" s="308" t="s">
        <v>2743</v>
      </c>
      <c r="S6466" s="308" t="s">
        <v>81</v>
      </c>
      <c r="T6466" s="311" t="s">
        <v>96</v>
      </c>
      <c r="U6466" s="308" t="s">
        <v>27</v>
      </c>
      <c r="V6466" s="308"/>
    </row>
    <row r="6467">
      <c r="A6467" s="308">
        <v>6466.0</v>
      </c>
      <c r="B6467" s="308"/>
      <c r="C6467" s="308" t="s">
        <v>25962</v>
      </c>
      <c r="D6467" s="308">
        <f>IFERROR(__xludf.DUMMYFUNCTION("SPLIT(C6467,""-"")"),6487.0)</f>
        <v>6487</v>
      </c>
      <c r="E6467" s="308" t="str">
        <f>IFERROR(__xludf.DUMMYFUNCTION("""COMPUTED_VALUE"""),"K")</f>
        <v>K</v>
      </c>
      <c r="F6467" s="309" t="s">
        <v>34</v>
      </c>
      <c r="G6467" s="308"/>
      <c r="H6467" s="308" t="s">
        <v>25963</v>
      </c>
      <c r="I6467" s="314">
        <v>43390.0</v>
      </c>
      <c r="J6467" s="319">
        <f>IFERROR(__xludf.DUMMYFUNCTION("SPLIT(I6467,""/"")"),17.0)</f>
        <v>17</v>
      </c>
      <c r="K6467" s="308">
        <f>IFERROR(__xludf.DUMMYFUNCTION("""COMPUTED_VALUE"""),10.0)</f>
        <v>10</v>
      </c>
      <c r="L6467" s="308">
        <f>IFERROR(__xludf.DUMMYFUNCTION("""COMPUTED_VALUE"""),2018.0)</f>
        <v>2018</v>
      </c>
      <c r="M6467" s="308" t="s">
        <v>25964</v>
      </c>
      <c r="N6467" s="308"/>
      <c r="O6467" s="308"/>
      <c r="P6467" s="308" t="s">
        <v>25965</v>
      </c>
      <c r="Q6467" s="308" t="s">
        <v>39120</v>
      </c>
      <c r="R6467" s="308" t="s">
        <v>2743</v>
      </c>
      <c r="S6467" s="308" t="s">
        <v>81</v>
      </c>
      <c r="T6467" s="308" t="s">
        <v>34264</v>
      </c>
      <c r="U6467" s="308" t="s">
        <v>542</v>
      </c>
      <c r="V6467" s="308"/>
    </row>
    <row r="6468">
      <c r="A6468" s="308">
        <v>6467.0</v>
      </c>
      <c r="B6468" s="308"/>
      <c r="C6468" s="308" t="s">
        <v>25966</v>
      </c>
      <c r="D6468" s="308">
        <f>IFERROR(__xludf.DUMMYFUNCTION("SPLIT(C6468,""-"")"),6488.0)</f>
        <v>6488</v>
      </c>
      <c r="E6468" s="308" t="str">
        <f>IFERROR(__xludf.DUMMYFUNCTION("""COMPUTED_VALUE"""),"I")</f>
        <v>I</v>
      </c>
      <c r="F6468" s="309" t="s">
        <v>31</v>
      </c>
      <c r="G6468" s="308"/>
      <c r="H6468" s="308" t="s">
        <v>25967</v>
      </c>
      <c r="I6468" s="310">
        <v>43721.0</v>
      </c>
      <c r="J6468" s="319">
        <f>IFERROR(__xludf.DUMMYFUNCTION("SPLIT(I6468,""/"")"),13.0)</f>
        <v>13</v>
      </c>
      <c r="K6468" s="308">
        <f>IFERROR(__xludf.DUMMYFUNCTION("""COMPUTED_VALUE"""),9.0)</f>
        <v>9</v>
      </c>
      <c r="L6468" s="308">
        <f>IFERROR(__xludf.DUMMYFUNCTION("""COMPUTED_VALUE"""),2019.0)</f>
        <v>2019</v>
      </c>
      <c r="M6468" s="308" t="s">
        <v>25968</v>
      </c>
      <c r="N6468" s="308" t="s">
        <v>25969</v>
      </c>
      <c r="O6468" s="308" t="s">
        <v>25970</v>
      </c>
      <c r="P6468" s="308" t="s">
        <v>25971</v>
      </c>
      <c r="Q6468" s="308" t="s">
        <v>39120</v>
      </c>
      <c r="R6468" s="308" t="s">
        <v>2743</v>
      </c>
      <c r="S6468" s="308" t="s">
        <v>81</v>
      </c>
      <c r="T6468" s="308" t="s">
        <v>75</v>
      </c>
      <c r="U6468" s="308" t="s">
        <v>5990</v>
      </c>
      <c r="V6468" s="308"/>
    </row>
    <row r="6469">
      <c r="A6469" s="308">
        <v>6468.0</v>
      </c>
      <c r="B6469" s="308"/>
      <c r="C6469" s="308" t="s">
        <v>25972</v>
      </c>
      <c r="D6469" s="308">
        <f>IFERROR(__xludf.DUMMYFUNCTION("SPLIT(C6469,""-"")"),6489.0)</f>
        <v>6489</v>
      </c>
      <c r="E6469" s="308" t="str">
        <f>IFERROR(__xludf.DUMMYFUNCTION("""COMPUTED_VALUE"""),"K")</f>
        <v>K</v>
      </c>
      <c r="F6469" s="309" t="s">
        <v>34</v>
      </c>
      <c r="G6469" s="308"/>
      <c r="H6469" s="308" t="s">
        <v>25973</v>
      </c>
      <c r="I6469" s="310">
        <v>42835.0</v>
      </c>
      <c r="J6469" s="319" t="str">
        <f>IFERROR(__xludf.DUMMYFUNCTION("SPLIT(I6469,""/"")"),"#REF!")</f>
        <v>#REF!</v>
      </c>
      <c r="K6469" s="308"/>
      <c r="L6469" s="308">
        <v>2017.0</v>
      </c>
      <c r="M6469" s="308" t="s">
        <v>25974</v>
      </c>
      <c r="N6469" s="308" t="s">
        <v>25975</v>
      </c>
      <c r="O6469" s="308" t="s">
        <v>25976</v>
      </c>
      <c r="P6469" s="308" t="s">
        <v>136</v>
      </c>
      <c r="Q6469" s="308" t="s">
        <v>39121</v>
      </c>
      <c r="R6469" s="308" t="s">
        <v>2743</v>
      </c>
      <c r="S6469" s="315" t="s">
        <v>100</v>
      </c>
      <c r="T6469" s="308" t="s">
        <v>34208</v>
      </c>
      <c r="U6469" s="308" t="s">
        <v>368</v>
      </c>
      <c r="V6469" s="308"/>
    </row>
    <row r="6470">
      <c r="A6470" s="308">
        <v>6469.0</v>
      </c>
      <c r="B6470" s="308"/>
      <c r="C6470" s="308" t="s">
        <v>25977</v>
      </c>
      <c r="D6470" s="308">
        <f>IFERROR(__xludf.DUMMYFUNCTION("SPLIT(C6470,""-"")"),6490.0)</f>
        <v>6490</v>
      </c>
      <c r="E6470" s="308" t="str">
        <f>IFERROR(__xludf.DUMMYFUNCTION("""COMPUTED_VALUE"""),"K")</f>
        <v>K</v>
      </c>
      <c r="F6470" s="309" t="s">
        <v>34</v>
      </c>
      <c r="G6470" s="308"/>
      <c r="H6470" s="308" t="s">
        <v>25978</v>
      </c>
      <c r="I6470" s="314">
        <v>40868.0</v>
      </c>
      <c r="J6470" s="319">
        <f>IFERROR(__xludf.DUMMYFUNCTION("SPLIT(I6470,""/"")"),21.0)</f>
        <v>21</v>
      </c>
      <c r="K6470" s="308">
        <f>IFERROR(__xludf.DUMMYFUNCTION("""COMPUTED_VALUE"""),11.0)</f>
        <v>11</v>
      </c>
      <c r="L6470" s="308">
        <f>IFERROR(__xludf.DUMMYFUNCTION("""COMPUTED_VALUE"""),2011.0)</f>
        <v>2011</v>
      </c>
      <c r="M6470" s="308" t="s">
        <v>25979</v>
      </c>
      <c r="N6470" s="308" t="s">
        <v>25980</v>
      </c>
      <c r="O6470" s="308"/>
      <c r="P6470" s="308" t="s">
        <v>136</v>
      </c>
      <c r="Q6470" s="308" t="s">
        <v>39121</v>
      </c>
      <c r="R6470" s="308" t="s">
        <v>2743</v>
      </c>
      <c r="S6470" s="315" t="s">
        <v>100</v>
      </c>
      <c r="T6470" s="308" t="s">
        <v>34208</v>
      </c>
      <c r="U6470" s="308" t="s">
        <v>542</v>
      </c>
      <c r="V6470" s="308"/>
    </row>
    <row r="6471">
      <c r="A6471" s="308">
        <v>6470.0</v>
      </c>
      <c r="B6471" s="308"/>
      <c r="C6471" s="308" t="s">
        <v>25981</v>
      </c>
      <c r="D6471" s="308">
        <f>IFERROR(__xludf.DUMMYFUNCTION("SPLIT(C6471,""-"")"),6491.0)</f>
        <v>6491</v>
      </c>
      <c r="E6471" s="308" t="str">
        <f>IFERROR(__xludf.DUMMYFUNCTION("""COMPUTED_VALUE"""),"K")</f>
        <v>K</v>
      </c>
      <c r="F6471" s="309" t="s">
        <v>34</v>
      </c>
      <c r="G6471" s="308"/>
      <c r="H6471" s="308" t="s">
        <v>25982</v>
      </c>
      <c r="I6471" s="310">
        <v>39995.0</v>
      </c>
      <c r="J6471" s="319">
        <f>IFERROR(__xludf.DUMMYFUNCTION("SPLIT(I6471,""/"")"),1.0)</f>
        <v>1</v>
      </c>
      <c r="K6471" s="308">
        <f>IFERROR(__xludf.DUMMYFUNCTION("""COMPUTED_VALUE"""),7.0)</f>
        <v>7</v>
      </c>
      <c r="L6471" s="308">
        <f>IFERROR(__xludf.DUMMYFUNCTION("""COMPUTED_VALUE"""),2009.0)</f>
        <v>2009</v>
      </c>
      <c r="M6471" s="308" t="s">
        <v>25983</v>
      </c>
      <c r="N6471" s="308"/>
      <c r="O6471" s="308" t="s">
        <v>25984</v>
      </c>
      <c r="P6471" s="308" t="s">
        <v>136</v>
      </c>
      <c r="Q6471" s="308" t="s">
        <v>39121</v>
      </c>
      <c r="R6471" s="308" t="s">
        <v>2743</v>
      </c>
      <c r="S6471" s="315" t="s">
        <v>100</v>
      </c>
      <c r="T6471" s="308" t="s">
        <v>34208</v>
      </c>
      <c r="U6471" s="308" t="s">
        <v>2466</v>
      </c>
      <c r="V6471" s="308"/>
    </row>
    <row r="6472">
      <c r="A6472" s="308">
        <v>6471.0</v>
      </c>
      <c r="B6472" s="308"/>
      <c r="C6472" s="308" t="s">
        <v>25985</v>
      </c>
      <c r="D6472" s="308">
        <f>IFERROR(__xludf.DUMMYFUNCTION("SPLIT(C6472,""-"")"),6492.0)</f>
        <v>6492</v>
      </c>
      <c r="E6472" s="308" t="str">
        <f>IFERROR(__xludf.DUMMYFUNCTION("""COMPUTED_VALUE"""),"I")</f>
        <v>I</v>
      </c>
      <c r="F6472" s="309" t="s">
        <v>31</v>
      </c>
      <c r="G6472" s="308"/>
      <c r="H6472" s="308" t="s">
        <v>25986</v>
      </c>
      <c r="I6472" s="314">
        <v>43809.0</v>
      </c>
      <c r="J6472" s="319">
        <f>IFERROR(__xludf.DUMMYFUNCTION("SPLIT(I6472,""/"")"),10.0)</f>
        <v>10</v>
      </c>
      <c r="K6472" s="308">
        <f>IFERROR(__xludf.DUMMYFUNCTION("""COMPUTED_VALUE"""),12.0)</f>
        <v>12</v>
      </c>
      <c r="L6472" s="308">
        <f>IFERROR(__xludf.DUMMYFUNCTION("""COMPUTED_VALUE"""),2019.0)</f>
        <v>2019</v>
      </c>
      <c r="M6472" s="308" t="s">
        <v>25987</v>
      </c>
      <c r="N6472" s="308" t="s">
        <v>25988</v>
      </c>
      <c r="O6472" s="308" t="s">
        <v>25989</v>
      </c>
      <c r="P6472" s="308" t="s">
        <v>39122</v>
      </c>
      <c r="Q6472" s="308" t="s">
        <v>39123</v>
      </c>
      <c r="R6472" s="308" t="s">
        <v>2743</v>
      </c>
      <c r="S6472" s="308" t="s">
        <v>81</v>
      </c>
      <c r="T6472" s="308" t="s">
        <v>73</v>
      </c>
      <c r="U6472" s="308" t="s">
        <v>31</v>
      </c>
      <c r="V6472" s="308"/>
    </row>
    <row r="6473">
      <c r="A6473" s="308">
        <v>6472.0</v>
      </c>
      <c r="B6473" s="308"/>
      <c r="C6473" s="308" t="s">
        <v>25991</v>
      </c>
      <c r="D6473" s="308">
        <f>IFERROR(__xludf.DUMMYFUNCTION("SPLIT(C6473,""-"")"),6493.0)</f>
        <v>6493</v>
      </c>
      <c r="E6473" s="308" t="str">
        <f>IFERROR(__xludf.DUMMYFUNCTION("""COMPUTED_VALUE"""),"K")</f>
        <v>K</v>
      </c>
      <c r="F6473" s="309" t="s">
        <v>34</v>
      </c>
      <c r="G6473" s="308"/>
      <c r="H6473" s="308" t="s">
        <v>25992</v>
      </c>
      <c r="I6473" s="310">
        <v>42566.0</v>
      </c>
      <c r="J6473" s="319">
        <f>IFERROR(__xludf.DUMMYFUNCTION("SPLIT(I6473,""/"")"),15.0)</f>
        <v>15</v>
      </c>
      <c r="K6473" s="308">
        <f>IFERROR(__xludf.DUMMYFUNCTION("""COMPUTED_VALUE"""),7.0)</f>
        <v>7</v>
      </c>
      <c r="L6473" s="308">
        <f>IFERROR(__xludf.DUMMYFUNCTION("""COMPUTED_VALUE"""),2016.0)</f>
        <v>2016</v>
      </c>
      <c r="M6473" s="308" t="s">
        <v>25993</v>
      </c>
      <c r="N6473" s="308" t="s">
        <v>25994</v>
      </c>
      <c r="O6473" s="308" t="s">
        <v>25995</v>
      </c>
      <c r="P6473" s="308" t="s">
        <v>25996</v>
      </c>
      <c r="Q6473" s="308" t="s">
        <v>39123</v>
      </c>
      <c r="R6473" s="308" t="s">
        <v>2743</v>
      </c>
      <c r="S6473" s="308" t="s">
        <v>49</v>
      </c>
      <c r="T6473" s="308" t="s">
        <v>51</v>
      </c>
      <c r="U6473" s="308" t="s">
        <v>25997</v>
      </c>
      <c r="V6473" s="308"/>
    </row>
    <row r="6474">
      <c r="A6474" s="308">
        <v>6473.0</v>
      </c>
      <c r="B6474" s="308"/>
      <c r="C6474" s="308" t="s">
        <v>25998</v>
      </c>
      <c r="D6474" s="308">
        <f>IFERROR(__xludf.DUMMYFUNCTION("SPLIT(C6474,""-"")"),6494.0)</f>
        <v>6494</v>
      </c>
      <c r="E6474" s="308" t="str">
        <f>IFERROR(__xludf.DUMMYFUNCTION("""COMPUTED_VALUE"""),"P")</f>
        <v>P</v>
      </c>
      <c r="F6474" s="312" t="s">
        <v>37</v>
      </c>
      <c r="G6474" s="308"/>
      <c r="H6474" s="308" t="s">
        <v>25999</v>
      </c>
      <c r="I6474" s="310">
        <v>43804.0</v>
      </c>
      <c r="J6474" s="319">
        <f>IFERROR(__xludf.DUMMYFUNCTION("SPLIT(I6474,""/"")"),5.0)</f>
        <v>5</v>
      </c>
      <c r="K6474" s="308">
        <f>IFERROR(__xludf.DUMMYFUNCTION("""COMPUTED_VALUE"""),12.0)</f>
        <v>12</v>
      </c>
      <c r="L6474" s="308">
        <f>IFERROR(__xludf.DUMMYFUNCTION("""COMPUTED_VALUE"""),2019.0)</f>
        <v>2019</v>
      </c>
      <c r="M6474" s="308" t="s">
        <v>26000</v>
      </c>
      <c r="N6474" s="308" t="s">
        <v>26001</v>
      </c>
      <c r="O6474" s="308"/>
      <c r="P6474" s="308" t="s">
        <v>39124</v>
      </c>
      <c r="Q6474" s="308" t="s">
        <v>39125</v>
      </c>
      <c r="R6474" s="308" t="s">
        <v>2743</v>
      </c>
      <c r="S6474" s="308" t="s">
        <v>81</v>
      </c>
      <c r="T6474" s="311" t="s">
        <v>75</v>
      </c>
      <c r="U6474" s="308" t="s">
        <v>149</v>
      </c>
      <c r="V6474" s="308"/>
    </row>
    <row r="6475">
      <c r="A6475" s="308">
        <v>6474.0</v>
      </c>
      <c r="B6475" s="308"/>
      <c r="C6475" s="308" t="s">
        <v>26003</v>
      </c>
      <c r="D6475" s="308">
        <f>IFERROR(__xludf.DUMMYFUNCTION("SPLIT(C6475,""-"")"),6495.0)</f>
        <v>6495</v>
      </c>
      <c r="E6475" s="308" t="str">
        <f>IFERROR(__xludf.DUMMYFUNCTION("""COMPUTED_VALUE"""),"F")</f>
        <v>F</v>
      </c>
      <c r="F6475" s="309" t="s">
        <v>34</v>
      </c>
      <c r="G6475" s="308"/>
      <c r="H6475" s="308" t="s">
        <v>26004</v>
      </c>
      <c r="I6475" s="310">
        <v>42339.0</v>
      </c>
      <c r="J6475" s="319">
        <f>IFERROR(__xludf.DUMMYFUNCTION("SPLIT(I6475,""/"")"),1.0)</f>
        <v>1</v>
      </c>
      <c r="K6475" s="308">
        <f>IFERROR(__xludf.DUMMYFUNCTION("""COMPUTED_VALUE"""),12.0)</f>
        <v>12</v>
      </c>
      <c r="L6475" s="308">
        <f>IFERROR(__xludf.DUMMYFUNCTION("""COMPUTED_VALUE"""),2015.0)</f>
        <v>2015</v>
      </c>
      <c r="M6475" s="308" t="s">
        <v>26005</v>
      </c>
      <c r="N6475" s="308" t="s">
        <v>26006</v>
      </c>
      <c r="O6475" s="308"/>
      <c r="P6475" s="308" t="s">
        <v>136</v>
      </c>
      <c r="Q6475" s="308" t="s">
        <v>39125</v>
      </c>
      <c r="R6475" s="308" t="s">
        <v>2743</v>
      </c>
      <c r="S6475" s="315" t="s">
        <v>100</v>
      </c>
      <c r="T6475" s="308" t="s">
        <v>34208</v>
      </c>
      <c r="U6475" s="308" t="s">
        <v>6875</v>
      </c>
      <c r="V6475" s="308"/>
    </row>
    <row r="6476">
      <c r="A6476" s="308">
        <v>6475.0</v>
      </c>
      <c r="B6476" s="308"/>
      <c r="C6476" s="308" t="s">
        <v>26007</v>
      </c>
      <c r="D6476" s="308">
        <f>IFERROR(__xludf.DUMMYFUNCTION("SPLIT(C6476,""-"")"),6496.0)</f>
        <v>6496</v>
      </c>
      <c r="E6476" s="308" t="str">
        <f>IFERROR(__xludf.DUMMYFUNCTION("""COMPUTED_VALUE"""),"P")</f>
        <v>P</v>
      </c>
      <c r="F6476" s="312" t="s">
        <v>37</v>
      </c>
      <c r="G6476" s="308"/>
      <c r="H6476" s="308" t="s">
        <v>26008</v>
      </c>
      <c r="I6476" s="310">
        <v>43511.0</v>
      </c>
      <c r="J6476" s="319">
        <f>IFERROR(__xludf.DUMMYFUNCTION("SPLIT(I6476,""/"")"),15.0)</f>
        <v>15</v>
      </c>
      <c r="K6476" s="308">
        <f>IFERROR(__xludf.DUMMYFUNCTION("""COMPUTED_VALUE"""),2.0)</f>
        <v>2</v>
      </c>
      <c r="L6476" s="308">
        <f>IFERROR(__xludf.DUMMYFUNCTION("""COMPUTED_VALUE"""),2019.0)</f>
        <v>2019</v>
      </c>
      <c r="M6476" s="308" t="s">
        <v>26009</v>
      </c>
      <c r="N6476" s="308" t="s">
        <v>26010</v>
      </c>
      <c r="O6476" s="308"/>
      <c r="P6476" s="308" t="s">
        <v>39126</v>
      </c>
      <c r="Q6476" s="308" t="s">
        <v>39125</v>
      </c>
      <c r="R6476" s="308" t="s">
        <v>2743</v>
      </c>
      <c r="S6476" s="308" t="s">
        <v>81</v>
      </c>
      <c r="T6476" s="311" t="s">
        <v>35043</v>
      </c>
      <c r="U6476" s="308" t="s">
        <v>14984</v>
      </c>
      <c r="V6476" s="308"/>
    </row>
    <row r="6477">
      <c r="A6477" s="308">
        <v>6476.0</v>
      </c>
      <c r="B6477" s="308"/>
      <c r="C6477" s="308" t="s">
        <v>26012</v>
      </c>
      <c r="D6477" s="308">
        <f>IFERROR(__xludf.DUMMYFUNCTION("SPLIT(C6477,""-"")"),6497.0)</f>
        <v>6497</v>
      </c>
      <c r="E6477" s="308" t="str">
        <f>IFERROR(__xludf.DUMMYFUNCTION("""COMPUTED_VALUE"""),"K")</f>
        <v>K</v>
      </c>
      <c r="F6477" s="309" t="s">
        <v>34</v>
      </c>
      <c r="G6477" s="308"/>
      <c r="H6477" s="308" t="s">
        <v>26013</v>
      </c>
      <c r="I6477" s="310">
        <v>42382.0</v>
      </c>
      <c r="J6477" s="319">
        <f>IFERROR(__xludf.DUMMYFUNCTION("SPLIT(I6477,""/"")"),13.0)</f>
        <v>13</v>
      </c>
      <c r="K6477" s="308">
        <f>IFERROR(__xludf.DUMMYFUNCTION("""COMPUTED_VALUE"""),1.0)</f>
        <v>1</v>
      </c>
      <c r="L6477" s="308">
        <f>IFERROR(__xludf.DUMMYFUNCTION("""COMPUTED_VALUE"""),2016.0)</f>
        <v>2016</v>
      </c>
      <c r="M6477" s="308" t="s">
        <v>26014</v>
      </c>
      <c r="N6477" s="308" t="s">
        <v>26015</v>
      </c>
      <c r="O6477" s="308"/>
      <c r="P6477" s="308" t="s">
        <v>136</v>
      </c>
      <c r="Q6477" s="308" t="s">
        <v>39125</v>
      </c>
      <c r="R6477" s="308" t="s">
        <v>2743</v>
      </c>
      <c r="S6477" s="315" t="s">
        <v>100</v>
      </c>
      <c r="T6477" s="308" t="s">
        <v>34208</v>
      </c>
      <c r="U6477" s="308" t="s">
        <v>125</v>
      </c>
      <c r="V6477" s="308"/>
    </row>
    <row r="6478">
      <c r="A6478" s="308">
        <v>6477.0</v>
      </c>
      <c r="B6478" s="308"/>
      <c r="C6478" s="308" t="s">
        <v>26016</v>
      </c>
      <c r="D6478" s="308">
        <f>IFERROR(__xludf.DUMMYFUNCTION("SPLIT(C6478,""-"")"),6498.0)</f>
        <v>6498</v>
      </c>
      <c r="E6478" s="308" t="str">
        <f>IFERROR(__xludf.DUMMYFUNCTION("""COMPUTED_VALUE"""),"P")</f>
        <v>P</v>
      </c>
      <c r="F6478" s="312" t="s">
        <v>37</v>
      </c>
      <c r="G6478" s="308"/>
      <c r="H6478" s="308" t="s">
        <v>26017</v>
      </c>
      <c r="I6478" s="310">
        <v>43250.0</v>
      </c>
      <c r="J6478" s="319">
        <f>IFERROR(__xludf.DUMMYFUNCTION("SPLIT(I6478,""/"")"),30.0)</f>
        <v>30</v>
      </c>
      <c r="K6478" s="308">
        <f>IFERROR(__xludf.DUMMYFUNCTION("""COMPUTED_VALUE"""),5.0)</f>
        <v>5</v>
      </c>
      <c r="L6478" s="308">
        <f>IFERROR(__xludf.DUMMYFUNCTION("""COMPUTED_VALUE"""),2018.0)</f>
        <v>2018</v>
      </c>
      <c r="M6478" s="308" t="s">
        <v>26018</v>
      </c>
      <c r="N6478" s="308" t="s">
        <v>26019</v>
      </c>
      <c r="O6478" s="308"/>
      <c r="P6478" s="308" t="s">
        <v>39127</v>
      </c>
      <c r="Q6478" s="308" t="s">
        <v>39125</v>
      </c>
      <c r="R6478" s="308" t="s">
        <v>2743</v>
      </c>
      <c r="S6478" s="308" t="s">
        <v>81</v>
      </c>
      <c r="T6478" s="308" t="s">
        <v>73</v>
      </c>
      <c r="U6478" s="308" t="s">
        <v>5707</v>
      </c>
      <c r="V6478" s="308"/>
    </row>
    <row r="6479">
      <c r="A6479" s="308">
        <v>6478.0</v>
      </c>
      <c r="B6479" s="308"/>
      <c r="C6479" s="308" t="s">
        <v>26021</v>
      </c>
      <c r="D6479" s="308">
        <f>IFERROR(__xludf.DUMMYFUNCTION("SPLIT(C6479,""-"")"),6499.0)</f>
        <v>6499</v>
      </c>
      <c r="E6479" s="308" t="str">
        <f>IFERROR(__xludf.DUMMYFUNCTION("""COMPUTED_VALUE"""),"K")</f>
        <v>K</v>
      </c>
      <c r="F6479" s="309" t="s">
        <v>34</v>
      </c>
      <c r="G6479" s="308"/>
      <c r="H6479" s="308" t="s">
        <v>26022</v>
      </c>
      <c r="I6479" s="314">
        <v>43782.0</v>
      </c>
      <c r="J6479" s="319">
        <f>IFERROR(__xludf.DUMMYFUNCTION("SPLIT(I6479,""/"")"),13.0)</f>
        <v>13</v>
      </c>
      <c r="K6479" s="308">
        <f>IFERROR(__xludf.DUMMYFUNCTION("""COMPUTED_VALUE"""),11.0)</f>
        <v>11</v>
      </c>
      <c r="L6479" s="308">
        <f>IFERROR(__xludf.DUMMYFUNCTION("""COMPUTED_VALUE"""),2019.0)</f>
        <v>2019</v>
      </c>
      <c r="M6479" s="308" t="s">
        <v>26023</v>
      </c>
      <c r="N6479" s="308"/>
      <c r="O6479" s="308" t="s">
        <v>26024</v>
      </c>
      <c r="P6479" s="308" t="s">
        <v>39128</v>
      </c>
      <c r="Q6479" s="308" t="s">
        <v>39129</v>
      </c>
      <c r="R6479" s="308" t="s">
        <v>26026</v>
      </c>
      <c r="S6479" s="308" t="s">
        <v>81</v>
      </c>
      <c r="T6479" s="311" t="s">
        <v>35043</v>
      </c>
      <c r="U6479" s="308" t="s">
        <v>4749</v>
      </c>
      <c r="V6479" s="308"/>
    </row>
    <row r="6480">
      <c r="A6480" s="308">
        <v>6479.0</v>
      </c>
      <c r="B6480" s="308"/>
      <c r="C6480" s="308" t="s">
        <v>26027</v>
      </c>
      <c r="D6480" s="308">
        <f>IFERROR(__xludf.DUMMYFUNCTION("SPLIT(C6480,""-"")"),6500.0)</f>
        <v>6500</v>
      </c>
      <c r="E6480" s="308" t="str">
        <f>IFERROR(__xludf.DUMMYFUNCTION("""COMPUTED_VALUE"""),"P")</f>
        <v>P</v>
      </c>
      <c r="F6480" s="312" t="s">
        <v>37</v>
      </c>
      <c r="G6480" s="308"/>
      <c r="H6480" s="308" t="s">
        <v>26028</v>
      </c>
      <c r="I6480" s="314">
        <v>43794.0</v>
      </c>
      <c r="J6480" s="319">
        <f>IFERROR(__xludf.DUMMYFUNCTION("SPLIT(I6480,""/"")"),25.0)</f>
        <v>25</v>
      </c>
      <c r="K6480" s="308">
        <f>IFERROR(__xludf.DUMMYFUNCTION("""COMPUTED_VALUE"""),11.0)</f>
        <v>11</v>
      </c>
      <c r="L6480" s="308">
        <f>IFERROR(__xludf.DUMMYFUNCTION("""COMPUTED_VALUE"""),2019.0)</f>
        <v>2019</v>
      </c>
      <c r="M6480" s="308" t="s">
        <v>26029</v>
      </c>
      <c r="N6480" s="308" t="s">
        <v>26030</v>
      </c>
      <c r="O6480" s="308" t="s">
        <v>26031</v>
      </c>
      <c r="P6480" s="308" t="s">
        <v>136</v>
      </c>
      <c r="Q6480" s="308" t="s">
        <v>39130</v>
      </c>
      <c r="R6480" s="308" t="s">
        <v>2743</v>
      </c>
      <c r="S6480" s="315" t="s">
        <v>100</v>
      </c>
      <c r="T6480" s="308" t="s">
        <v>34208</v>
      </c>
      <c r="U6480" s="308" t="s">
        <v>149</v>
      </c>
      <c r="V6480" s="308"/>
    </row>
    <row r="6481">
      <c r="A6481" s="308">
        <v>6480.0</v>
      </c>
      <c r="B6481" s="308"/>
      <c r="C6481" s="308" t="s">
        <v>26032</v>
      </c>
      <c r="D6481" s="308">
        <f>IFERROR(__xludf.DUMMYFUNCTION("SPLIT(C6481,""-"")"),6501.0)</f>
        <v>6501</v>
      </c>
      <c r="E6481" s="308" t="str">
        <f>IFERROR(__xludf.DUMMYFUNCTION("""COMPUTED_VALUE"""),"A")</f>
        <v>A</v>
      </c>
      <c r="F6481" s="309" t="s">
        <v>23</v>
      </c>
      <c r="G6481" s="308"/>
      <c r="H6481" s="308" t="s">
        <v>26033</v>
      </c>
      <c r="I6481" s="310">
        <v>43656.0</v>
      </c>
      <c r="J6481" s="319">
        <f>IFERROR(__xludf.DUMMYFUNCTION("SPLIT(I6481,""/"")"),10.0)</f>
        <v>10</v>
      </c>
      <c r="K6481" s="308">
        <f>IFERROR(__xludf.DUMMYFUNCTION("""COMPUTED_VALUE"""),7.0)</f>
        <v>7</v>
      </c>
      <c r="L6481" s="308">
        <f>IFERROR(__xludf.DUMMYFUNCTION("""COMPUTED_VALUE"""),2019.0)</f>
        <v>2019</v>
      </c>
      <c r="M6481" s="308" t="s">
        <v>26034</v>
      </c>
      <c r="N6481" s="308" t="s">
        <v>26035</v>
      </c>
      <c r="O6481" s="308" t="s">
        <v>26036</v>
      </c>
      <c r="P6481" s="308" t="s">
        <v>39131</v>
      </c>
      <c r="Q6481" s="308" t="s">
        <v>39130</v>
      </c>
      <c r="R6481" s="308" t="s">
        <v>2743</v>
      </c>
      <c r="S6481" s="308" t="s">
        <v>81</v>
      </c>
      <c r="T6481" s="311" t="s">
        <v>35043</v>
      </c>
      <c r="U6481" s="308" t="s">
        <v>403</v>
      </c>
      <c r="V6481" s="308"/>
    </row>
    <row r="6482">
      <c r="A6482" s="308">
        <v>6481.0</v>
      </c>
      <c r="B6482" s="308"/>
      <c r="C6482" s="308" t="s">
        <v>26038</v>
      </c>
      <c r="D6482" s="308">
        <f>IFERROR(__xludf.DUMMYFUNCTION("SPLIT(C6482,""-"")"),6502.0)</f>
        <v>6502</v>
      </c>
      <c r="E6482" s="308" t="str">
        <f>IFERROR(__xludf.DUMMYFUNCTION("""COMPUTED_VALUE"""),"K")</f>
        <v>K</v>
      </c>
      <c r="F6482" s="309" t="s">
        <v>34</v>
      </c>
      <c r="G6482" s="308"/>
      <c r="H6482" s="308" t="s">
        <v>26039</v>
      </c>
      <c r="I6482" s="310">
        <v>40252.0</v>
      </c>
      <c r="J6482" s="319">
        <f>IFERROR(__xludf.DUMMYFUNCTION("SPLIT(I6482,""/"")"),15.0)</f>
        <v>15</v>
      </c>
      <c r="K6482" s="308">
        <f>IFERROR(__xludf.DUMMYFUNCTION("""COMPUTED_VALUE"""),3.0)</f>
        <v>3</v>
      </c>
      <c r="L6482" s="308">
        <f>IFERROR(__xludf.DUMMYFUNCTION("""COMPUTED_VALUE"""),2010.0)</f>
        <v>2010</v>
      </c>
      <c r="M6482" s="308" t="s">
        <v>26040</v>
      </c>
      <c r="N6482" s="308"/>
      <c r="O6482" s="308"/>
      <c r="P6482" s="308" t="s">
        <v>136</v>
      </c>
      <c r="Q6482" s="308" t="s">
        <v>39130</v>
      </c>
      <c r="R6482" s="308" t="s">
        <v>2743</v>
      </c>
      <c r="S6482" s="315" t="s">
        <v>100</v>
      </c>
      <c r="T6482" s="308" t="s">
        <v>34208</v>
      </c>
      <c r="U6482" s="308" t="s">
        <v>125</v>
      </c>
      <c r="V6482" s="308"/>
    </row>
    <row r="6483">
      <c r="A6483" s="308">
        <v>6482.0</v>
      </c>
      <c r="B6483" s="308"/>
      <c r="C6483" s="308" t="s">
        <v>26041</v>
      </c>
      <c r="D6483" s="308">
        <f>IFERROR(__xludf.DUMMYFUNCTION("SPLIT(C6483,""-"")"),6503.0)</f>
        <v>6503</v>
      </c>
      <c r="E6483" s="308" t="str">
        <f>IFERROR(__xludf.DUMMYFUNCTION("""COMPUTED_VALUE"""),"K")</f>
        <v>K</v>
      </c>
      <c r="F6483" s="309" t="s">
        <v>34</v>
      </c>
      <c r="G6483" s="308"/>
      <c r="H6483" s="308" t="s">
        <v>26042</v>
      </c>
      <c r="I6483" s="310">
        <v>42789.0</v>
      </c>
      <c r="J6483" s="319" t="str">
        <f>IFERROR(__xludf.DUMMYFUNCTION("SPLIT(I6483,""/"")"),"#REF!")</f>
        <v>#REF!</v>
      </c>
      <c r="K6483" s="308"/>
      <c r="L6483" s="308">
        <v>2017.0</v>
      </c>
      <c r="M6483" s="308" t="s">
        <v>26043</v>
      </c>
      <c r="N6483" s="308" t="s">
        <v>26044</v>
      </c>
      <c r="O6483" s="308"/>
      <c r="P6483" s="308" t="s">
        <v>136</v>
      </c>
      <c r="Q6483" s="308" t="s">
        <v>39132</v>
      </c>
      <c r="R6483" s="308" t="s">
        <v>2743</v>
      </c>
      <c r="S6483" s="315" t="s">
        <v>100</v>
      </c>
      <c r="T6483" s="308" t="s">
        <v>34208</v>
      </c>
      <c r="U6483" s="308" t="s">
        <v>368</v>
      </c>
      <c r="V6483" s="308"/>
    </row>
    <row r="6484">
      <c r="A6484" s="308">
        <v>6483.0</v>
      </c>
      <c r="B6484" s="308"/>
      <c r="C6484" s="308" t="s">
        <v>26045</v>
      </c>
      <c r="D6484" s="308">
        <f>IFERROR(__xludf.DUMMYFUNCTION("SPLIT(C6484,""-"")"),6504.0)</f>
        <v>6504</v>
      </c>
      <c r="E6484" s="308" t="str">
        <f>IFERROR(__xludf.DUMMYFUNCTION("""COMPUTED_VALUE"""),"K")</f>
        <v>K</v>
      </c>
      <c r="F6484" s="309" t="s">
        <v>34</v>
      </c>
      <c r="G6484" s="308"/>
      <c r="H6484" s="308" t="s">
        <v>26046</v>
      </c>
      <c r="I6484" s="314">
        <v>39731.0</v>
      </c>
      <c r="J6484" s="319">
        <f>IFERROR(__xludf.DUMMYFUNCTION("SPLIT(I6484,""/"")"),10.0)</f>
        <v>10</v>
      </c>
      <c r="K6484" s="308">
        <f>IFERROR(__xludf.DUMMYFUNCTION("""COMPUTED_VALUE"""),10.0)</f>
        <v>10</v>
      </c>
      <c r="L6484" s="308">
        <f>IFERROR(__xludf.DUMMYFUNCTION("""COMPUTED_VALUE"""),2008.0)</f>
        <v>2008</v>
      </c>
      <c r="M6484" s="308" t="s">
        <v>26047</v>
      </c>
      <c r="N6484" s="308" t="s">
        <v>26048</v>
      </c>
      <c r="O6484" s="308"/>
      <c r="P6484" s="308" t="s">
        <v>39133</v>
      </c>
      <c r="Q6484" s="308" t="s">
        <v>39134</v>
      </c>
      <c r="R6484" s="308" t="s">
        <v>2743</v>
      </c>
      <c r="S6484" s="308" t="s">
        <v>49</v>
      </c>
      <c r="T6484" s="308" t="s">
        <v>51</v>
      </c>
      <c r="U6484" s="308" t="s">
        <v>125</v>
      </c>
      <c r="V6484" s="308"/>
    </row>
    <row r="6485">
      <c r="A6485" s="308">
        <v>6484.0</v>
      </c>
      <c r="B6485" s="308"/>
      <c r="C6485" s="308" t="s">
        <v>26050</v>
      </c>
      <c r="D6485" s="308">
        <f>IFERROR(__xludf.DUMMYFUNCTION("SPLIT(C6485,""-"")"),6505.0)</f>
        <v>6505</v>
      </c>
      <c r="E6485" s="308" t="str">
        <f>IFERROR(__xludf.DUMMYFUNCTION("""COMPUTED_VALUE"""),"S")</f>
        <v>S</v>
      </c>
      <c r="F6485" s="312" t="s">
        <v>39</v>
      </c>
      <c r="G6485" s="308"/>
      <c r="H6485" s="308" t="s">
        <v>26051</v>
      </c>
      <c r="I6485" s="310">
        <v>43803.0</v>
      </c>
      <c r="J6485" s="319">
        <f>IFERROR(__xludf.DUMMYFUNCTION("SPLIT(I6485,""/"")"),4.0)</f>
        <v>4</v>
      </c>
      <c r="K6485" s="308">
        <f>IFERROR(__xludf.DUMMYFUNCTION("""COMPUTED_VALUE"""),12.0)</f>
        <v>12</v>
      </c>
      <c r="L6485" s="308">
        <f>IFERROR(__xludf.DUMMYFUNCTION("""COMPUTED_VALUE"""),2019.0)</f>
        <v>2019</v>
      </c>
      <c r="M6485" s="308" t="s">
        <v>26052</v>
      </c>
      <c r="N6485" s="308" t="s">
        <v>26053</v>
      </c>
      <c r="O6485" s="308"/>
      <c r="P6485" s="308" t="s">
        <v>39135</v>
      </c>
      <c r="Q6485" s="308" t="s">
        <v>39134</v>
      </c>
      <c r="R6485" s="308" t="s">
        <v>2743</v>
      </c>
      <c r="S6485" s="308" t="s">
        <v>49</v>
      </c>
      <c r="T6485" s="311" t="s">
        <v>67</v>
      </c>
      <c r="U6485" s="308" t="s">
        <v>166</v>
      </c>
      <c r="V6485" s="308"/>
    </row>
    <row r="6486">
      <c r="A6486" s="308">
        <v>6485.0</v>
      </c>
      <c r="B6486" s="308"/>
      <c r="C6486" s="308" t="s">
        <v>26055</v>
      </c>
      <c r="D6486" s="308">
        <f>IFERROR(__xludf.DUMMYFUNCTION("SPLIT(C6486,""-"")"),6506.0)</f>
        <v>6506</v>
      </c>
      <c r="E6486" s="308" t="str">
        <f>IFERROR(__xludf.DUMMYFUNCTION("""COMPUTED_VALUE"""),"I")</f>
        <v>I</v>
      </c>
      <c r="F6486" s="309" t="s">
        <v>31</v>
      </c>
      <c r="G6486" s="308"/>
      <c r="H6486" s="308" t="s">
        <v>26056</v>
      </c>
      <c r="I6486" s="310">
        <v>43716.0</v>
      </c>
      <c r="J6486" s="319">
        <f>IFERROR(__xludf.DUMMYFUNCTION("SPLIT(I6486,""/"")"),8.0)</f>
        <v>8</v>
      </c>
      <c r="K6486" s="308">
        <f>IFERROR(__xludf.DUMMYFUNCTION("""COMPUTED_VALUE"""),9.0)</f>
        <v>9</v>
      </c>
      <c r="L6486" s="308">
        <f>IFERROR(__xludf.DUMMYFUNCTION("""COMPUTED_VALUE"""),2019.0)</f>
        <v>2019</v>
      </c>
      <c r="M6486" s="308" t="s">
        <v>26057</v>
      </c>
      <c r="N6486" s="308" t="s">
        <v>26058</v>
      </c>
      <c r="O6486" s="308" t="s">
        <v>26059</v>
      </c>
      <c r="P6486" s="308" t="s">
        <v>26060</v>
      </c>
      <c r="Q6486" s="308" t="s">
        <v>39136</v>
      </c>
      <c r="R6486" s="308" t="s">
        <v>2743</v>
      </c>
      <c r="S6486" s="308" t="s">
        <v>81</v>
      </c>
      <c r="T6486" s="311" t="s">
        <v>51</v>
      </c>
      <c r="U6486" s="308" t="s">
        <v>31</v>
      </c>
      <c r="V6486" s="308" t="s">
        <v>26061</v>
      </c>
    </row>
    <row r="6487">
      <c r="A6487" s="308">
        <v>6486.0</v>
      </c>
      <c r="B6487" s="308"/>
      <c r="C6487" s="308" t="s">
        <v>26062</v>
      </c>
      <c r="D6487" s="308">
        <f>IFERROR(__xludf.DUMMYFUNCTION("SPLIT(C6487,""-"")"),6507.0)</f>
        <v>6507</v>
      </c>
      <c r="E6487" s="308" t="str">
        <f>IFERROR(__xludf.DUMMYFUNCTION("""COMPUTED_VALUE"""),"P")</f>
        <v>P</v>
      </c>
      <c r="F6487" s="312" t="s">
        <v>37</v>
      </c>
      <c r="G6487" s="308"/>
      <c r="H6487" s="308" t="s">
        <v>26063</v>
      </c>
      <c r="I6487" s="310">
        <v>42879.0</v>
      </c>
      <c r="J6487" s="319">
        <f>IFERROR(__xludf.DUMMYFUNCTION("SPLIT(I6487,""/"")"),24.0)</f>
        <v>24</v>
      </c>
      <c r="K6487" s="308">
        <f>IFERROR(__xludf.DUMMYFUNCTION("""COMPUTED_VALUE"""),5.0)</f>
        <v>5</v>
      </c>
      <c r="L6487" s="308">
        <f>IFERROR(__xludf.DUMMYFUNCTION("""COMPUTED_VALUE"""),2017.0)</f>
        <v>2017</v>
      </c>
      <c r="M6487" s="308" t="s">
        <v>26064</v>
      </c>
      <c r="N6487" s="308" t="s">
        <v>26065</v>
      </c>
      <c r="O6487" s="308" t="s">
        <v>26066</v>
      </c>
      <c r="P6487" s="308" t="s">
        <v>136</v>
      </c>
      <c r="Q6487" s="308" t="s">
        <v>39137</v>
      </c>
      <c r="R6487" s="308" t="s">
        <v>2743</v>
      </c>
      <c r="S6487" s="315" t="s">
        <v>100</v>
      </c>
      <c r="T6487" s="308" t="s">
        <v>34208</v>
      </c>
      <c r="U6487" s="308" t="s">
        <v>5712</v>
      </c>
      <c r="V6487" s="308" t="s">
        <v>26067</v>
      </c>
    </row>
    <row r="6488">
      <c r="A6488" s="308">
        <v>6487.0</v>
      </c>
      <c r="B6488" s="308"/>
      <c r="C6488" s="308" t="s">
        <v>26068</v>
      </c>
      <c r="D6488" s="308">
        <f>IFERROR(__xludf.DUMMYFUNCTION("SPLIT(C6488,""-"")"),6508.0)</f>
        <v>6508</v>
      </c>
      <c r="E6488" s="308" t="str">
        <f>IFERROR(__xludf.DUMMYFUNCTION("""COMPUTED_VALUE"""),"P")</f>
        <v>P</v>
      </c>
      <c r="F6488" s="312" t="s">
        <v>37</v>
      </c>
      <c r="G6488" s="308"/>
      <c r="H6488" s="308" t="s">
        <v>26069</v>
      </c>
      <c r="I6488" s="310">
        <v>43672.0</v>
      </c>
      <c r="J6488" s="319">
        <f>IFERROR(__xludf.DUMMYFUNCTION("SPLIT(I6488,""/"")"),26.0)</f>
        <v>26</v>
      </c>
      <c r="K6488" s="308">
        <f>IFERROR(__xludf.DUMMYFUNCTION("""COMPUTED_VALUE"""),7.0)</f>
        <v>7</v>
      </c>
      <c r="L6488" s="308">
        <f>IFERROR(__xludf.DUMMYFUNCTION("""COMPUTED_VALUE"""),2019.0)</f>
        <v>2019</v>
      </c>
      <c r="M6488" s="308" t="s">
        <v>26070</v>
      </c>
      <c r="N6488" s="308" t="s">
        <v>26071</v>
      </c>
      <c r="O6488" s="308" t="s">
        <v>26072</v>
      </c>
      <c r="P6488" s="308" t="s">
        <v>39138</v>
      </c>
      <c r="Q6488" s="308" t="s">
        <v>39137</v>
      </c>
      <c r="R6488" s="308" t="s">
        <v>2743</v>
      </c>
      <c r="S6488" s="308" t="s">
        <v>81</v>
      </c>
      <c r="T6488" s="308" t="s">
        <v>73</v>
      </c>
      <c r="U6488" s="308" t="s">
        <v>2291</v>
      </c>
      <c r="V6488" s="308"/>
    </row>
    <row r="6489">
      <c r="A6489" s="308">
        <v>6488.0</v>
      </c>
      <c r="B6489" s="308"/>
      <c r="C6489" s="308" t="s">
        <v>26074</v>
      </c>
      <c r="D6489" s="308">
        <f>IFERROR(__xludf.DUMMYFUNCTION("SPLIT(C6489,""-"")"),6509.0)</f>
        <v>6509</v>
      </c>
      <c r="E6489" s="308" t="str">
        <f>IFERROR(__xludf.DUMMYFUNCTION("""COMPUTED_VALUE"""),"F")</f>
        <v>F</v>
      </c>
      <c r="F6489" s="309" t="s">
        <v>34</v>
      </c>
      <c r="G6489" s="308"/>
      <c r="H6489" s="308" t="s">
        <v>39139</v>
      </c>
      <c r="I6489" s="310">
        <v>40994.0</v>
      </c>
      <c r="J6489" s="319">
        <f>IFERROR(__xludf.DUMMYFUNCTION("SPLIT(I6489,""/"")"),26.0)</f>
        <v>26</v>
      </c>
      <c r="K6489" s="308">
        <f>IFERROR(__xludf.DUMMYFUNCTION("""COMPUTED_VALUE"""),3.0)</f>
        <v>3</v>
      </c>
      <c r="L6489" s="308">
        <f>IFERROR(__xludf.DUMMYFUNCTION("""COMPUTED_VALUE"""),2012.0)</f>
        <v>2012</v>
      </c>
      <c r="M6489" s="308" t="s">
        <v>26076</v>
      </c>
      <c r="N6489" s="308" t="s">
        <v>26077</v>
      </c>
      <c r="O6489" s="308"/>
      <c r="P6489" s="308" t="s">
        <v>136</v>
      </c>
      <c r="Q6489" s="308" t="s">
        <v>39137</v>
      </c>
      <c r="R6489" s="308" t="s">
        <v>2743</v>
      </c>
      <c r="S6489" s="315" t="s">
        <v>100</v>
      </c>
      <c r="T6489" s="308" t="s">
        <v>34208</v>
      </c>
      <c r="U6489" s="308" t="s">
        <v>195</v>
      </c>
      <c r="V6489" s="308"/>
    </row>
    <row r="6490">
      <c r="A6490" s="308">
        <v>6489.0</v>
      </c>
      <c r="B6490" s="308"/>
      <c r="C6490" s="308" t="s">
        <v>26078</v>
      </c>
      <c r="D6490" s="308">
        <f>IFERROR(__xludf.DUMMYFUNCTION("SPLIT(C6490,""-"")"),6510.0)</f>
        <v>6510</v>
      </c>
      <c r="E6490" s="308" t="str">
        <f>IFERROR(__xludf.DUMMYFUNCTION("""COMPUTED_VALUE"""),"K")</f>
        <v>K</v>
      </c>
      <c r="F6490" s="309" t="s">
        <v>34</v>
      </c>
      <c r="G6490" s="308"/>
      <c r="H6490" s="308" t="s">
        <v>26079</v>
      </c>
      <c r="I6490" s="310">
        <v>42200.0</v>
      </c>
      <c r="J6490" s="319">
        <f>IFERROR(__xludf.DUMMYFUNCTION("SPLIT(I6490,""/"")"),15.0)</f>
        <v>15</v>
      </c>
      <c r="K6490" s="308">
        <f>IFERROR(__xludf.DUMMYFUNCTION("""COMPUTED_VALUE"""),7.0)</f>
        <v>7</v>
      </c>
      <c r="L6490" s="308">
        <f>IFERROR(__xludf.DUMMYFUNCTION("""COMPUTED_VALUE"""),2015.0)</f>
        <v>2015</v>
      </c>
      <c r="M6490" s="308" t="s">
        <v>26080</v>
      </c>
      <c r="N6490" s="308" t="s">
        <v>26081</v>
      </c>
      <c r="O6490" s="308"/>
      <c r="P6490" s="308" t="s">
        <v>136</v>
      </c>
      <c r="Q6490" s="308" t="s">
        <v>39137</v>
      </c>
      <c r="R6490" s="308" t="s">
        <v>2743</v>
      </c>
      <c r="S6490" s="315" t="s">
        <v>100</v>
      </c>
      <c r="T6490" s="308" t="s">
        <v>34208</v>
      </c>
      <c r="U6490" s="308" t="s">
        <v>4749</v>
      </c>
      <c r="V6490" s="308"/>
    </row>
    <row r="6491">
      <c r="A6491" s="308">
        <v>6490.0</v>
      </c>
      <c r="B6491" s="308"/>
      <c r="C6491" s="308" t="s">
        <v>26082</v>
      </c>
      <c r="D6491" s="308">
        <f>IFERROR(__xludf.DUMMYFUNCTION("SPLIT(C6491,""-"")"),6511.0)</f>
        <v>6511</v>
      </c>
      <c r="E6491" s="308" t="str">
        <f>IFERROR(__xludf.DUMMYFUNCTION("""COMPUTED_VALUE"""),"S")</f>
        <v>S</v>
      </c>
      <c r="F6491" s="312" t="s">
        <v>39</v>
      </c>
      <c r="G6491" s="308"/>
      <c r="H6491" s="308" t="s">
        <v>26083</v>
      </c>
      <c r="I6491" s="310">
        <v>43673.0</v>
      </c>
      <c r="J6491" s="319">
        <f>IFERROR(__xludf.DUMMYFUNCTION("SPLIT(I6491,""/"")"),27.0)</f>
        <v>27</v>
      </c>
      <c r="K6491" s="308">
        <f>IFERROR(__xludf.DUMMYFUNCTION("""COMPUTED_VALUE"""),7.0)</f>
        <v>7</v>
      </c>
      <c r="L6491" s="308">
        <f>IFERROR(__xludf.DUMMYFUNCTION("""COMPUTED_VALUE"""),2019.0)</f>
        <v>2019</v>
      </c>
      <c r="M6491" s="308" t="s">
        <v>26084</v>
      </c>
      <c r="N6491" s="308" t="s">
        <v>26085</v>
      </c>
      <c r="O6491" s="308"/>
      <c r="P6491" s="308" t="s">
        <v>39140</v>
      </c>
      <c r="Q6491" s="308" t="s">
        <v>39137</v>
      </c>
      <c r="R6491" s="308" t="s">
        <v>2743</v>
      </c>
      <c r="S6491" s="308" t="s">
        <v>81</v>
      </c>
      <c r="T6491" s="311" t="s">
        <v>73</v>
      </c>
      <c r="U6491" s="308" t="s">
        <v>166</v>
      </c>
      <c r="V6491" s="308"/>
    </row>
    <row r="6492">
      <c r="A6492" s="308">
        <v>6491.0</v>
      </c>
      <c r="B6492" s="308"/>
      <c r="C6492" s="308" t="s">
        <v>26087</v>
      </c>
      <c r="D6492" s="308">
        <f>IFERROR(__xludf.DUMMYFUNCTION("SPLIT(C6492,""-"")"),6512.0)</f>
        <v>6512</v>
      </c>
      <c r="E6492" s="308" t="str">
        <f>IFERROR(__xludf.DUMMYFUNCTION("""COMPUTED_VALUE"""),"B")</f>
        <v>B</v>
      </c>
      <c r="F6492" s="315" t="s">
        <v>26</v>
      </c>
      <c r="G6492" s="308"/>
      <c r="H6492" s="308" t="s">
        <v>26088</v>
      </c>
      <c r="I6492" s="310">
        <v>43010.0</v>
      </c>
      <c r="J6492" s="319">
        <f>IFERROR(__xludf.DUMMYFUNCTION("SPLIT(I6492,""/"")"),2.0)</f>
        <v>2</v>
      </c>
      <c r="K6492" s="308">
        <f>IFERROR(__xludf.DUMMYFUNCTION("""COMPUTED_VALUE"""),10.0)</f>
        <v>10</v>
      </c>
      <c r="L6492" s="308">
        <f>IFERROR(__xludf.DUMMYFUNCTION("""COMPUTED_VALUE"""),2017.0)</f>
        <v>2017</v>
      </c>
      <c r="M6492" s="308" t="s">
        <v>26089</v>
      </c>
      <c r="N6492" s="308" t="s">
        <v>26090</v>
      </c>
      <c r="O6492" s="308" t="s">
        <v>26091</v>
      </c>
      <c r="P6492" s="308" t="s">
        <v>26092</v>
      </c>
      <c r="Q6492" s="308" t="s">
        <v>39141</v>
      </c>
      <c r="R6492" s="308" t="s">
        <v>20958</v>
      </c>
      <c r="S6492" s="308" t="s">
        <v>81</v>
      </c>
      <c r="T6492" s="308" t="s">
        <v>75</v>
      </c>
      <c r="U6492" s="308" t="s">
        <v>27</v>
      </c>
      <c r="V6492" s="308"/>
    </row>
    <row r="6493">
      <c r="A6493" s="308">
        <v>6492.0</v>
      </c>
      <c r="B6493" s="308"/>
      <c r="C6493" s="308" t="s">
        <v>26093</v>
      </c>
      <c r="D6493" s="308">
        <f>IFERROR(__xludf.DUMMYFUNCTION("SPLIT(C6493,""-"")"),6513.0)</f>
        <v>6513</v>
      </c>
      <c r="E6493" s="308" t="str">
        <f>IFERROR(__xludf.DUMMYFUNCTION("""COMPUTED_VALUE"""),"B")</f>
        <v>B</v>
      </c>
      <c r="F6493" s="315" t="s">
        <v>26</v>
      </c>
      <c r="G6493" s="308"/>
      <c r="H6493" s="308" t="s">
        <v>26094</v>
      </c>
      <c r="I6493" s="310">
        <v>43614.0</v>
      </c>
      <c r="J6493" s="319">
        <f>IFERROR(__xludf.DUMMYFUNCTION("SPLIT(I6493,""/"")"),29.0)</f>
        <v>29</v>
      </c>
      <c r="K6493" s="308">
        <f>IFERROR(__xludf.DUMMYFUNCTION("""COMPUTED_VALUE"""),5.0)</f>
        <v>5</v>
      </c>
      <c r="L6493" s="308">
        <f>IFERROR(__xludf.DUMMYFUNCTION("""COMPUTED_VALUE"""),2019.0)</f>
        <v>2019</v>
      </c>
      <c r="M6493" s="308" t="s">
        <v>26095</v>
      </c>
      <c r="N6493" s="308" t="s">
        <v>26096</v>
      </c>
      <c r="O6493" s="308"/>
      <c r="P6493" s="308" t="s">
        <v>26097</v>
      </c>
      <c r="Q6493" s="308" t="s">
        <v>39141</v>
      </c>
      <c r="R6493" s="308" t="s">
        <v>20958</v>
      </c>
      <c r="S6493" s="308" t="s">
        <v>81</v>
      </c>
      <c r="T6493" s="311" t="s">
        <v>96</v>
      </c>
      <c r="U6493" s="308" t="s">
        <v>27</v>
      </c>
      <c r="V6493" s="308"/>
    </row>
    <row r="6494">
      <c r="A6494" s="308">
        <v>6493.0</v>
      </c>
      <c r="B6494" s="308"/>
      <c r="C6494" s="308" t="s">
        <v>26098</v>
      </c>
      <c r="D6494" s="308">
        <f>IFERROR(__xludf.DUMMYFUNCTION("SPLIT(C6494,""-"")"),6514.0)</f>
        <v>6514</v>
      </c>
      <c r="E6494" s="308" t="str">
        <f>IFERROR(__xludf.DUMMYFUNCTION("""COMPUTED_VALUE"""),"B")</f>
        <v>B</v>
      </c>
      <c r="F6494" s="315" t="s">
        <v>26</v>
      </c>
      <c r="G6494" s="308"/>
      <c r="H6494" s="308" t="s">
        <v>26099</v>
      </c>
      <c r="I6494" s="310">
        <v>43614.0</v>
      </c>
      <c r="J6494" s="319">
        <f>IFERROR(__xludf.DUMMYFUNCTION("SPLIT(I6494,""/"")"),29.0)</f>
        <v>29</v>
      </c>
      <c r="K6494" s="308">
        <f>IFERROR(__xludf.DUMMYFUNCTION("""COMPUTED_VALUE"""),5.0)</f>
        <v>5</v>
      </c>
      <c r="L6494" s="308">
        <f>IFERROR(__xludf.DUMMYFUNCTION("""COMPUTED_VALUE"""),2019.0)</f>
        <v>2019</v>
      </c>
      <c r="M6494" s="308" t="s">
        <v>26100</v>
      </c>
      <c r="N6494" s="308" t="s">
        <v>26101</v>
      </c>
      <c r="O6494" s="308"/>
      <c r="P6494" s="308" t="s">
        <v>39142</v>
      </c>
      <c r="Q6494" s="308" t="s">
        <v>39141</v>
      </c>
      <c r="R6494" s="308" t="s">
        <v>20958</v>
      </c>
      <c r="S6494" s="308" t="s">
        <v>81</v>
      </c>
      <c r="T6494" s="311" t="s">
        <v>96</v>
      </c>
      <c r="U6494" s="308" t="s">
        <v>27</v>
      </c>
      <c r="V6494" s="308"/>
    </row>
    <row r="6495">
      <c r="A6495" s="308">
        <v>6494.0</v>
      </c>
      <c r="B6495" s="308"/>
      <c r="C6495" s="308" t="s">
        <v>26103</v>
      </c>
      <c r="D6495" s="308">
        <f>IFERROR(__xludf.DUMMYFUNCTION("SPLIT(C6495,""-"")"),6515.0)</f>
        <v>6515</v>
      </c>
      <c r="E6495" s="308" t="str">
        <f>IFERROR(__xludf.DUMMYFUNCTION("""COMPUTED_VALUE"""),"B")</f>
        <v>B</v>
      </c>
      <c r="F6495" s="315" t="s">
        <v>26</v>
      </c>
      <c r="G6495" s="308"/>
      <c r="H6495" s="308" t="s">
        <v>26104</v>
      </c>
      <c r="I6495" s="314">
        <v>43768.0</v>
      </c>
      <c r="J6495" s="319">
        <f>IFERROR(__xludf.DUMMYFUNCTION("SPLIT(I6495,""/"")"),30.0)</f>
        <v>30</v>
      </c>
      <c r="K6495" s="308">
        <f>IFERROR(__xludf.DUMMYFUNCTION("""COMPUTED_VALUE"""),10.0)</f>
        <v>10</v>
      </c>
      <c r="L6495" s="308">
        <f>IFERROR(__xludf.DUMMYFUNCTION("""COMPUTED_VALUE"""),2019.0)</f>
        <v>2019</v>
      </c>
      <c r="M6495" s="308" t="s">
        <v>26105</v>
      </c>
      <c r="N6495" s="308" t="s">
        <v>26106</v>
      </c>
      <c r="O6495" s="308"/>
      <c r="P6495" s="308" t="s">
        <v>39143</v>
      </c>
      <c r="Q6495" s="308" t="s">
        <v>39141</v>
      </c>
      <c r="R6495" s="308" t="s">
        <v>20958</v>
      </c>
      <c r="S6495" s="308" t="s">
        <v>81</v>
      </c>
      <c r="T6495" s="311" t="s">
        <v>75</v>
      </c>
      <c r="U6495" s="308" t="s">
        <v>27</v>
      </c>
      <c r="V6495" s="308"/>
    </row>
    <row r="6496">
      <c r="A6496" s="308">
        <v>6495.0</v>
      </c>
      <c r="B6496" s="308"/>
      <c r="C6496" s="308" t="s">
        <v>26108</v>
      </c>
      <c r="D6496" s="308">
        <f>IFERROR(__xludf.DUMMYFUNCTION("SPLIT(C6496,""-"")"),6516.0)</f>
        <v>6516</v>
      </c>
      <c r="E6496" s="308" t="str">
        <f>IFERROR(__xludf.DUMMYFUNCTION("""COMPUTED_VALUE"""),"K")</f>
        <v>K</v>
      </c>
      <c r="F6496" s="309" t="s">
        <v>34</v>
      </c>
      <c r="G6496" s="308"/>
      <c r="H6496" s="308" t="s">
        <v>26109</v>
      </c>
      <c r="I6496" s="310">
        <v>40414.0</v>
      </c>
      <c r="J6496" s="319">
        <f>IFERROR(__xludf.DUMMYFUNCTION("SPLIT(I6496,""/"")"),24.0)</f>
        <v>24</v>
      </c>
      <c r="K6496" s="308">
        <f>IFERROR(__xludf.DUMMYFUNCTION("""COMPUTED_VALUE"""),8.0)</f>
        <v>8</v>
      </c>
      <c r="L6496" s="308">
        <f>IFERROR(__xludf.DUMMYFUNCTION("""COMPUTED_VALUE"""),2010.0)</f>
        <v>2010</v>
      </c>
      <c r="M6496" s="308" t="s">
        <v>26110</v>
      </c>
      <c r="N6496" s="308" t="s">
        <v>26111</v>
      </c>
      <c r="O6496" s="308"/>
      <c r="P6496" s="308" t="s">
        <v>136</v>
      </c>
      <c r="Q6496" s="308" t="s">
        <v>39141</v>
      </c>
      <c r="R6496" s="308" t="s">
        <v>2743</v>
      </c>
      <c r="S6496" s="315" t="s">
        <v>100</v>
      </c>
      <c r="T6496" s="308" t="s">
        <v>34208</v>
      </c>
      <c r="U6496" s="308" t="s">
        <v>201</v>
      </c>
      <c r="V6496" s="308"/>
    </row>
    <row r="6497">
      <c r="A6497" s="308">
        <v>6496.0</v>
      </c>
      <c r="B6497" s="308"/>
      <c r="C6497" s="308" t="s">
        <v>26112</v>
      </c>
      <c r="D6497" s="308">
        <f>IFERROR(__xludf.DUMMYFUNCTION("SPLIT(C6497,""-"")"),6517.0)</f>
        <v>6517</v>
      </c>
      <c r="E6497" s="308" t="str">
        <f>IFERROR(__xludf.DUMMYFUNCTION("""COMPUTED_VALUE"""),"K")</f>
        <v>K</v>
      </c>
      <c r="F6497" s="309" t="s">
        <v>34</v>
      </c>
      <c r="G6497" s="308"/>
      <c r="H6497" s="308" t="s">
        <v>26113</v>
      </c>
      <c r="I6497" s="310">
        <v>40400.0</v>
      </c>
      <c r="J6497" s="319">
        <f>IFERROR(__xludf.DUMMYFUNCTION("SPLIT(I6497,""/"")"),10.0)</f>
        <v>10</v>
      </c>
      <c r="K6497" s="308">
        <f>IFERROR(__xludf.DUMMYFUNCTION("""COMPUTED_VALUE"""),8.0)</f>
        <v>8</v>
      </c>
      <c r="L6497" s="308">
        <f>IFERROR(__xludf.DUMMYFUNCTION("""COMPUTED_VALUE"""),2010.0)</f>
        <v>2010</v>
      </c>
      <c r="M6497" s="308" t="s">
        <v>26114</v>
      </c>
      <c r="N6497" s="308" t="s">
        <v>26115</v>
      </c>
      <c r="O6497" s="308"/>
      <c r="P6497" s="308" t="s">
        <v>136</v>
      </c>
      <c r="Q6497" s="308" t="s">
        <v>39141</v>
      </c>
      <c r="R6497" s="308" t="s">
        <v>2743</v>
      </c>
      <c r="S6497" s="315" t="s">
        <v>100</v>
      </c>
      <c r="T6497" s="308" t="s">
        <v>34208</v>
      </c>
      <c r="U6497" s="308" t="s">
        <v>125</v>
      </c>
      <c r="V6497" s="308"/>
    </row>
    <row r="6498">
      <c r="A6498" s="308">
        <v>6497.0</v>
      </c>
      <c r="B6498" s="308"/>
      <c r="C6498" s="308" t="s">
        <v>26116</v>
      </c>
      <c r="D6498" s="308">
        <f>IFERROR(__xludf.DUMMYFUNCTION("SPLIT(C6498,""-"")"),6518.0)</f>
        <v>6518</v>
      </c>
      <c r="E6498" s="308" t="str">
        <f>IFERROR(__xludf.DUMMYFUNCTION("""COMPUTED_VALUE"""),"B")</f>
        <v>B</v>
      </c>
      <c r="F6498" s="315" t="s">
        <v>26</v>
      </c>
      <c r="G6498" s="308"/>
      <c r="H6498" s="308" t="s">
        <v>26117</v>
      </c>
      <c r="I6498" s="310">
        <v>42024.0</v>
      </c>
      <c r="J6498" s="319">
        <f>IFERROR(__xludf.DUMMYFUNCTION("SPLIT(I6498,""/"")"),20.0)</f>
        <v>20</v>
      </c>
      <c r="K6498" s="308">
        <f>IFERROR(__xludf.DUMMYFUNCTION("""COMPUTED_VALUE"""),1.0)</f>
        <v>1</v>
      </c>
      <c r="L6498" s="308">
        <f>IFERROR(__xludf.DUMMYFUNCTION("""COMPUTED_VALUE"""),2015.0)</f>
        <v>2015</v>
      </c>
      <c r="M6498" s="308" t="s">
        <v>26118</v>
      </c>
      <c r="N6498" s="308" t="s">
        <v>26119</v>
      </c>
      <c r="O6498" s="308"/>
      <c r="P6498" s="308" t="s">
        <v>39144</v>
      </c>
      <c r="Q6498" s="308" t="s">
        <v>39141</v>
      </c>
      <c r="R6498" s="308" t="s">
        <v>2743</v>
      </c>
      <c r="S6498" s="308" t="s">
        <v>49</v>
      </c>
      <c r="T6498" s="308" t="s">
        <v>51</v>
      </c>
      <c r="U6498" s="308" t="s">
        <v>27</v>
      </c>
      <c r="V6498" s="308"/>
    </row>
    <row r="6499">
      <c r="A6499" s="308">
        <v>6498.0</v>
      </c>
      <c r="B6499" s="308"/>
      <c r="C6499" s="308" t="s">
        <v>26121</v>
      </c>
      <c r="D6499" s="308">
        <f>IFERROR(__xludf.DUMMYFUNCTION("SPLIT(C6499,""-"")"),6519.0)</f>
        <v>6519</v>
      </c>
      <c r="E6499" s="308" t="str">
        <f>IFERROR(__xludf.DUMMYFUNCTION("""COMPUTED_VALUE"""),"P")</f>
        <v>P</v>
      </c>
      <c r="F6499" s="312" t="s">
        <v>37</v>
      </c>
      <c r="G6499" s="308"/>
      <c r="H6499" s="308" t="s">
        <v>26122</v>
      </c>
      <c r="I6499" s="310">
        <v>43677.0</v>
      </c>
      <c r="J6499" s="319">
        <f>IFERROR(__xludf.DUMMYFUNCTION("SPLIT(I6499,""/"")"),31.0)</f>
        <v>31</v>
      </c>
      <c r="K6499" s="308">
        <f>IFERROR(__xludf.DUMMYFUNCTION("""COMPUTED_VALUE"""),7.0)</f>
        <v>7</v>
      </c>
      <c r="L6499" s="308">
        <f>IFERROR(__xludf.DUMMYFUNCTION("""COMPUTED_VALUE"""),2019.0)</f>
        <v>2019</v>
      </c>
      <c r="M6499" s="308" t="s">
        <v>26123</v>
      </c>
      <c r="N6499" s="308"/>
      <c r="O6499" s="308" t="s">
        <v>34322</v>
      </c>
      <c r="P6499" s="308" t="s">
        <v>136</v>
      </c>
      <c r="Q6499" s="308" t="s">
        <v>39141</v>
      </c>
      <c r="R6499" s="308" t="s">
        <v>2743</v>
      </c>
      <c r="S6499" s="315" t="s">
        <v>100</v>
      </c>
      <c r="T6499" s="308" t="s">
        <v>34208</v>
      </c>
      <c r="U6499" s="308" t="s">
        <v>26124</v>
      </c>
      <c r="V6499" s="308"/>
    </row>
    <row r="6500">
      <c r="A6500" s="308">
        <v>6499.0</v>
      </c>
      <c r="B6500" s="308"/>
      <c r="C6500" s="308" t="s">
        <v>26125</v>
      </c>
      <c r="D6500" s="308">
        <f>IFERROR(__xludf.DUMMYFUNCTION("SPLIT(C6500,""-"")"),6520.0)</f>
        <v>6520</v>
      </c>
      <c r="E6500" s="308" t="str">
        <f>IFERROR(__xludf.DUMMYFUNCTION("""COMPUTED_VALUE"""),"K")</f>
        <v>K</v>
      </c>
      <c r="F6500" s="309" t="s">
        <v>34</v>
      </c>
      <c r="G6500" s="308"/>
      <c r="H6500" s="308" t="s">
        <v>26126</v>
      </c>
      <c r="I6500" s="310">
        <v>43480.0</v>
      </c>
      <c r="J6500" s="319">
        <f>IFERROR(__xludf.DUMMYFUNCTION("SPLIT(I6500,""/"")"),15.0)</f>
        <v>15</v>
      </c>
      <c r="K6500" s="308">
        <f>IFERROR(__xludf.DUMMYFUNCTION("""COMPUTED_VALUE"""),1.0)</f>
        <v>1</v>
      </c>
      <c r="L6500" s="308">
        <f>IFERROR(__xludf.DUMMYFUNCTION("""COMPUTED_VALUE"""),2019.0)</f>
        <v>2019</v>
      </c>
      <c r="M6500" s="308" t="s">
        <v>26127</v>
      </c>
      <c r="N6500" s="308" t="s">
        <v>26128</v>
      </c>
      <c r="O6500" s="308"/>
      <c r="P6500" s="308" t="s">
        <v>39145</v>
      </c>
      <c r="Q6500" s="308" t="s">
        <v>39141</v>
      </c>
      <c r="R6500" s="308" t="s">
        <v>2743</v>
      </c>
      <c r="S6500" s="308" t="s">
        <v>49</v>
      </c>
      <c r="T6500" s="308" t="s">
        <v>51</v>
      </c>
      <c r="U6500" s="308" t="s">
        <v>2989</v>
      </c>
      <c r="V6500" s="308"/>
    </row>
    <row r="6501">
      <c r="A6501" s="308">
        <v>6500.0</v>
      </c>
      <c r="B6501" s="308"/>
      <c r="C6501" s="308" t="s">
        <v>26130</v>
      </c>
      <c r="D6501" s="308">
        <f>IFERROR(__xludf.DUMMYFUNCTION("SPLIT(C6501,""-"")"),6521.0)</f>
        <v>6521</v>
      </c>
      <c r="E6501" s="308" t="str">
        <f>IFERROR(__xludf.DUMMYFUNCTION("""COMPUTED_VALUE"""),"K")</f>
        <v>K</v>
      </c>
      <c r="F6501" s="309" t="s">
        <v>34</v>
      </c>
      <c r="G6501" s="308"/>
      <c r="H6501" s="308" t="s">
        <v>26131</v>
      </c>
      <c r="I6501" s="310">
        <v>43569.0</v>
      </c>
      <c r="J6501" s="319">
        <f>IFERROR(__xludf.DUMMYFUNCTION("SPLIT(I6501,""/"")"),14.0)</f>
        <v>14</v>
      </c>
      <c r="K6501" s="308">
        <f>IFERROR(__xludf.DUMMYFUNCTION("""COMPUTED_VALUE"""),4.0)</f>
        <v>4</v>
      </c>
      <c r="L6501" s="308">
        <f>IFERROR(__xludf.DUMMYFUNCTION("""COMPUTED_VALUE"""),2019.0)</f>
        <v>2019</v>
      </c>
      <c r="M6501" s="308" t="s">
        <v>26132</v>
      </c>
      <c r="N6501" s="308"/>
      <c r="O6501" s="308"/>
      <c r="P6501" s="308" t="s">
        <v>26133</v>
      </c>
      <c r="Q6501" s="308" t="s">
        <v>39146</v>
      </c>
      <c r="R6501" s="308" t="s">
        <v>2743</v>
      </c>
      <c r="S6501" s="308" t="s">
        <v>81</v>
      </c>
      <c r="T6501" s="308" t="s">
        <v>34264</v>
      </c>
      <c r="U6501" s="308" t="s">
        <v>23797</v>
      </c>
      <c r="V6501" s="308"/>
    </row>
    <row r="6502">
      <c r="A6502" s="308">
        <v>6501.0</v>
      </c>
      <c r="B6502" s="308"/>
      <c r="C6502" s="308" t="s">
        <v>26134</v>
      </c>
      <c r="D6502" s="308">
        <f>IFERROR(__xludf.DUMMYFUNCTION("SPLIT(C6502,""-"")"),6522.0)</f>
        <v>6522</v>
      </c>
      <c r="E6502" s="308" t="str">
        <f>IFERROR(__xludf.DUMMYFUNCTION("""COMPUTED_VALUE"""),"K")</f>
        <v>K</v>
      </c>
      <c r="F6502" s="309" t="s">
        <v>34</v>
      </c>
      <c r="G6502" s="308"/>
      <c r="H6502" s="308" t="s">
        <v>26135</v>
      </c>
      <c r="I6502" s="310">
        <v>42618.0</v>
      </c>
      <c r="J6502" s="319">
        <f>IFERROR(__xludf.DUMMYFUNCTION("SPLIT(I6502,""/"")"),5.0)</f>
        <v>5</v>
      </c>
      <c r="K6502" s="308">
        <f>IFERROR(__xludf.DUMMYFUNCTION("""COMPUTED_VALUE"""),9.0)</f>
        <v>9</v>
      </c>
      <c r="L6502" s="308">
        <f>IFERROR(__xludf.DUMMYFUNCTION("""COMPUTED_VALUE"""),2016.0)</f>
        <v>2016</v>
      </c>
      <c r="M6502" s="308" t="s">
        <v>26136</v>
      </c>
      <c r="N6502" s="308" t="s">
        <v>26137</v>
      </c>
      <c r="O6502" s="308" t="s">
        <v>26138</v>
      </c>
      <c r="P6502" s="308" t="s">
        <v>136</v>
      </c>
      <c r="Q6502" s="308" t="s">
        <v>39146</v>
      </c>
      <c r="R6502" s="308" t="s">
        <v>2743</v>
      </c>
      <c r="S6502" s="315" t="s">
        <v>100</v>
      </c>
      <c r="T6502" s="308" t="s">
        <v>34208</v>
      </c>
      <c r="U6502" s="308" t="s">
        <v>4487</v>
      </c>
      <c r="V6502" s="308"/>
    </row>
    <row r="6503">
      <c r="A6503" s="308">
        <v>6502.0</v>
      </c>
      <c r="B6503" s="308"/>
      <c r="C6503" s="308" t="s">
        <v>26139</v>
      </c>
      <c r="D6503" s="308">
        <f>IFERROR(__xludf.DUMMYFUNCTION("SPLIT(C6503,""-"")"),6523.0)</f>
        <v>6523</v>
      </c>
      <c r="E6503" s="308" t="str">
        <f>IFERROR(__xludf.DUMMYFUNCTION("""COMPUTED_VALUE"""),"S")</f>
        <v>S</v>
      </c>
      <c r="F6503" s="312" t="s">
        <v>39</v>
      </c>
      <c r="G6503" s="308"/>
      <c r="H6503" s="308" t="s">
        <v>26140</v>
      </c>
      <c r="I6503" s="314">
        <v>43818.0</v>
      </c>
      <c r="J6503" s="319">
        <f>IFERROR(__xludf.DUMMYFUNCTION("SPLIT(I6503,""/"")"),19.0)</f>
        <v>19</v>
      </c>
      <c r="K6503" s="308">
        <f>IFERROR(__xludf.DUMMYFUNCTION("""COMPUTED_VALUE"""),12.0)</f>
        <v>12</v>
      </c>
      <c r="L6503" s="308">
        <f>IFERROR(__xludf.DUMMYFUNCTION("""COMPUTED_VALUE"""),2019.0)</f>
        <v>2019</v>
      </c>
      <c r="M6503" s="308" t="s">
        <v>26141</v>
      </c>
      <c r="N6503" s="308" t="s">
        <v>26142</v>
      </c>
      <c r="O6503" s="308"/>
      <c r="P6503" s="308" t="s">
        <v>39147</v>
      </c>
      <c r="Q6503" s="308" t="s">
        <v>39146</v>
      </c>
      <c r="R6503" s="308" t="s">
        <v>2743</v>
      </c>
      <c r="S6503" s="308" t="s">
        <v>81</v>
      </c>
      <c r="T6503" s="311" t="s">
        <v>51</v>
      </c>
      <c r="U6503" s="308" t="s">
        <v>166</v>
      </c>
      <c r="V6503" s="308"/>
    </row>
    <row r="6504">
      <c r="A6504" s="308">
        <v>6503.0</v>
      </c>
      <c r="B6504" s="308"/>
      <c r="C6504" s="308" t="s">
        <v>26144</v>
      </c>
      <c r="D6504" s="308">
        <f>IFERROR(__xludf.DUMMYFUNCTION("SPLIT(C6504,""-"")"),6524.0)</f>
        <v>6524</v>
      </c>
      <c r="E6504" s="308" t="str">
        <f>IFERROR(__xludf.DUMMYFUNCTION("""COMPUTED_VALUE"""),"S")</f>
        <v>S</v>
      </c>
      <c r="F6504" s="312" t="s">
        <v>39</v>
      </c>
      <c r="G6504" s="308"/>
      <c r="H6504" s="308" t="s">
        <v>26145</v>
      </c>
      <c r="I6504" s="314">
        <v>43818.0</v>
      </c>
      <c r="J6504" s="319">
        <f>IFERROR(__xludf.DUMMYFUNCTION("SPLIT(I6504,""/"")"),19.0)</f>
        <v>19</v>
      </c>
      <c r="K6504" s="308">
        <f>IFERROR(__xludf.DUMMYFUNCTION("""COMPUTED_VALUE"""),12.0)</f>
        <v>12</v>
      </c>
      <c r="L6504" s="308">
        <f>IFERROR(__xludf.DUMMYFUNCTION("""COMPUTED_VALUE"""),2019.0)</f>
        <v>2019</v>
      </c>
      <c r="M6504" s="308" t="s">
        <v>26146</v>
      </c>
      <c r="N6504" s="308" t="s">
        <v>26147</v>
      </c>
      <c r="O6504" s="308"/>
      <c r="P6504" s="308" t="s">
        <v>39148</v>
      </c>
      <c r="Q6504" s="308" t="s">
        <v>39146</v>
      </c>
      <c r="R6504" s="308" t="s">
        <v>2743</v>
      </c>
      <c r="S6504" s="308" t="s">
        <v>81</v>
      </c>
      <c r="T6504" s="311" t="s">
        <v>51</v>
      </c>
      <c r="U6504" s="308" t="s">
        <v>166</v>
      </c>
      <c r="V6504" s="308"/>
    </row>
    <row r="6505">
      <c r="A6505" s="308">
        <v>6504.0</v>
      </c>
      <c r="B6505" s="308"/>
      <c r="C6505" s="308" t="s">
        <v>26149</v>
      </c>
      <c r="D6505" s="308">
        <f>IFERROR(__xludf.DUMMYFUNCTION("SPLIT(C6505,""-"")"),6525.0)</f>
        <v>6525</v>
      </c>
      <c r="E6505" s="308" t="str">
        <f>IFERROR(__xludf.DUMMYFUNCTION("""COMPUTED_VALUE"""),"I")</f>
        <v>I</v>
      </c>
      <c r="F6505" s="309" t="s">
        <v>31</v>
      </c>
      <c r="G6505" s="308"/>
      <c r="H6505" s="308" t="s">
        <v>26150</v>
      </c>
      <c r="I6505" s="310">
        <v>43831.0</v>
      </c>
      <c r="J6505" s="319">
        <f>IFERROR(__xludf.DUMMYFUNCTION("SPLIT(I6505,""/"")"),1.0)</f>
        <v>1</v>
      </c>
      <c r="K6505" s="308">
        <f>IFERROR(__xludf.DUMMYFUNCTION("""COMPUTED_VALUE"""),1.0)</f>
        <v>1</v>
      </c>
      <c r="L6505" s="308">
        <f>IFERROR(__xludf.DUMMYFUNCTION("""COMPUTED_VALUE"""),2020.0)</f>
        <v>2020</v>
      </c>
      <c r="M6505" s="308" t="s">
        <v>26151</v>
      </c>
      <c r="N6505" s="308" t="s">
        <v>26152</v>
      </c>
      <c r="O6505" s="308" t="s">
        <v>39149</v>
      </c>
      <c r="P6505" s="308" t="s">
        <v>39150</v>
      </c>
      <c r="Q6505" s="308" t="s">
        <v>39151</v>
      </c>
      <c r="R6505" s="308" t="s">
        <v>2743</v>
      </c>
      <c r="S6505" s="308" t="s">
        <v>81</v>
      </c>
      <c r="T6505" s="311" t="s">
        <v>35043</v>
      </c>
      <c r="U6505" s="308" t="s">
        <v>31</v>
      </c>
      <c r="V6505" s="308"/>
    </row>
    <row r="6506">
      <c r="A6506" s="308">
        <v>6505.0</v>
      </c>
      <c r="B6506" s="308"/>
      <c r="C6506" s="308" t="s">
        <v>26155</v>
      </c>
      <c r="D6506" s="308">
        <f>IFERROR(__xludf.DUMMYFUNCTION("SPLIT(C6506,""-"")"),6526.0)</f>
        <v>6526</v>
      </c>
      <c r="E6506" s="308" t="str">
        <f>IFERROR(__xludf.DUMMYFUNCTION("""COMPUTED_VALUE"""),"K")</f>
        <v>K</v>
      </c>
      <c r="F6506" s="309" t="s">
        <v>34</v>
      </c>
      <c r="G6506" s="308"/>
      <c r="H6506" s="308" t="s">
        <v>26156</v>
      </c>
      <c r="I6506" s="310">
        <v>41386.0</v>
      </c>
      <c r="J6506" s="319">
        <f>IFERROR(__xludf.DUMMYFUNCTION("SPLIT(I6506,""/"")"),22.0)</f>
        <v>22</v>
      </c>
      <c r="K6506" s="308">
        <f>IFERROR(__xludf.DUMMYFUNCTION("""COMPUTED_VALUE"""),4.0)</f>
        <v>4</v>
      </c>
      <c r="L6506" s="308">
        <f>IFERROR(__xludf.DUMMYFUNCTION("""COMPUTED_VALUE"""),2013.0)</f>
        <v>2013</v>
      </c>
      <c r="M6506" s="308" t="s">
        <v>26157</v>
      </c>
      <c r="N6506" s="308" t="s">
        <v>26158</v>
      </c>
      <c r="O6506" s="308"/>
      <c r="P6506" s="308" t="s">
        <v>136</v>
      </c>
      <c r="Q6506" s="308" t="s">
        <v>39152</v>
      </c>
      <c r="R6506" s="308" t="s">
        <v>2743</v>
      </c>
      <c r="S6506" s="315" t="s">
        <v>100</v>
      </c>
      <c r="T6506" s="308" t="s">
        <v>34208</v>
      </c>
      <c r="U6506" s="308" t="s">
        <v>125</v>
      </c>
      <c r="V6506" s="308"/>
    </row>
    <row r="6507">
      <c r="A6507" s="308">
        <v>6506.0</v>
      </c>
      <c r="B6507" s="308"/>
      <c r="C6507" s="308" t="s">
        <v>26159</v>
      </c>
      <c r="D6507" s="308">
        <f>IFERROR(__xludf.DUMMYFUNCTION("SPLIT(C6507,""-"")"),6527.0)</f>
        <v>6527</v>
      </c>
      <c r="E6507" s="308" t="str">
        <f>IFERROR(__xludf.DUMMYFUNCTION("""COMPUTED_VALUE"""),"B")</f>
        <v>B</v>
      </c>
      <c r="F6507" s="315" t="s">
        <v>26</v>
      </c>
      <c r="G6507" s="308"/>
      <c r="H6507" s="308" t="s">
        <v>26160</v>
      </c>
      <c r="I6507" s="310">
        <v>43144.0</v>
      </c>
      <c r="J6507" s="319">
        <f>IFERROR(__xludf.DUMMYFUNCTION("SPLIT(I6507,""/"")"),13.0)</f>
        <v>13</v>
      </c>
      <c r="K6507" s="308">
        <f>IFERROR(__xludf.DUMMYFUNCTION("""COMPUTED_VALUE"""),2.0)</f>
        <v>2</v>
      </c>
      <c r="L6507" s="308">
        <f>IFERROR(__xludf.DUMMYFUNCTION("""COMPUTED_VALUE"""),2018.0)</f>
        <v>2018</v>
      </c>
      <c r="M6507" s="308" t="s">
        <v>26161</v>
      </c>
      <c r="N6507" s="308" t="s">
        <v>26162</v>
      </c>
      <c r="O6507" s="308" t="s">
        <v>26163</v>
      </c>
      <c r="P6507" s="308" t="s">
        <v>136</v>
      </c>
      <c r="Q6507" s="308" t="s">
        <v>39152</v>
      </c>
      <c r="R6507" s="308" t="s">
        <v>2743</v>
      </c>
      <c r="S6507" s="315" t="s">
        <v>100</v>
      </c>
      <c r="T6507" s="308" t="s">
        <v>34208</v>
      </c>
      <c r="U6507" s="308" t="s">
        <v>27</v>
      </c>
      <c r="V6507" s="308"/>
    </row>
    <row r="6508">
      <c r="A6508" s="308">
        <v>6507.0</v>
      </c>
      <c r="B6508" s="308"/>
      <c r="C6508" s="308" t="s">
        <v>26164</v>
      </c>
      <c r="D6508" s="308">
        <f>IFERROR(__xludf.DUMMYFUNCTION("SPLIT(C6508,""-"")"),6528.0)</f>
        <v>6528</v>
      </c>
      <c r="E6508" s="308" t="str">
        <f>IFERROR(__xludf.DUMMYFUNCTION("""COMPUTED_VALUE"""),"S")</f>
        <v>S</v>
      </c>
      <c r="F6508" s="312" t="s">
        <v>39</v>
      </c>
      <c r="G6508" s="308"/>
      <c r="H6508" s="308" t="s">
        <v>26165</v>
      </c>
      <c r="I6508" s="310">
        <v>43599.0</v>
      </c>
      <c r="J6508" s="319">
        <f>IFERROR(__xludf.DUMMYFUNCTION("SPLIT(I6508,""/"")"),14.0)</f>
        <v>14</v>
      </c>
      <c r="K6508" s="308">
        <f>IFERROR(__xludf.DUMMYFUNCTION("""COMPUTED_VALUE"""),5.0)</f>
        <v>5</v>
      </c>
      <c r="L6508" s="308">
        <f>IFERROR(__xludf.DUMMYFUNCTION("""COMPUTED_VALUE"""),2019.0)</f>
        <v>2019</v>
      </c>
      <c r="M6508" s="308" t="s">
        <v>39153</v>
      </c>
      <c r="N6508" s="308" t="s">
        <v>26167</v>
      </c>
      <c r="O6508" s="308"/>
      <c r="P6508" s="308" t="s">
        <v>136</v>
      </c>
      <c r="Q6508" s="308" t="s">
        <v>39152</v>
      </c>
      <c r="R6508" s="308" t="s">
        <v>26168</v>
      </c>
      <c r="S6508" s="315" t="s">
        <v>100</v>
      </c>
      <c r="T6508" s="308" t="s">
        <v>34208</v>
      </c>
      <c r="U6508" s="308" t="s">
        <v>166</v>
      </c>
      <c r="V6508" s="308"/>
    </row>
    <row r="6509">
      <c r="A6509" s="308">
        <v>6508.0</v>
      </c>
      <c r="B6509" s="308"/>
      <c r="C6509" s="308" t="s">
        <v>26169</v>
      </c>
      <c r="D6509" s="308">
        <f>IFERROR(__xludf.DUMMYFUNCTION("SPLIT(C6509,""-"")"),6529.0)</f>
        <v>6529</v>
      </c>
      <c r="E6509" s="308" t="str">
        <f>IFERROR(__xludf.DUMMYFUNCTION("""COMPUTED_VALUE"""),"S")</f>
        <v>S</v>
      </c>
      <c r="F6509" s="312" t="s">
        <v>39</v>
      </c>
      <c r="G6509" s="308"/>
      <c r="H6509" s="308" t="s">
        <v>26170</v>
      </c>
      <c r="I6509" s="310">
        <v>43600.0</v>
      </c>
      <c r="J6509" s="319">
        <f>IFERROR(__xludf.DUMMYFUNCTION("SPLIT(I6509,""/"")"),15.0)</f>
        <v>15</v>
      </c>
      <c r="K6509" s="308">
        <f>IFERROR(__xludf.DUMMYFUNCTION("""COMPUTED_VALUE"""),5.0)</f>
        <v>5</v>
      </c>
      <c r="L6509" s="308">
        <f>IFERROR(__xludf.DUMMYFUNCTION("""COMPUTED_VALUE"""),2019.0)</f>
        <v>2019</v>
      </c>
      <c r="M6509" s="308" t="s">
        <v>39154</v>
      </c>
      <c r="N6509" s="308" t="s">
        <v>26172</v>
      </c>
      <c r="O6509" s="308"/>
      <c r="P6509" s="308" t="s">
        <v>39155</v>
      </c>
      <c r="Q6509" s="308" t="s">
        <v>39152</v>
      </c>
      <c r="R6509" s="308" t="s">
        <v>16585</v>
      </c>
      <c r="S6509" s="308" t="s">
        <v>81</v>
      </c>
      <c r="T6509" s="308" t="s">
        <v>75</v>
      </c>
      <c r="U6509" s="308" t="s">
        <v>166</v>
      </c>
      <c r="V6509" s="308"/>
    </row>
    <row r="6510">
      <c r="A6510" s="308">
        <v>6509.0</v>
      </c>
      <c r="B6510" s="308"/>
      <c r="C6510" s="308" t="s">
        <v>26174</v>
      </c>
      <c r="D6510" s="308">
        <f>IFERROR(__xludf.DUMMYFUNCTION("SPLIT(C6510,""-"")"),6530.0)</f>
        <v>6530</v>
      </c>
      <c r="E6510" s="308" t="str">
        <f>IFERROR(__xludf.DUMMYFUNCTION("""COMPUTED_VALUE"""),"S")</f>
        <v>S</v>
      </c>
      <c r="F6510" s="312" t="s">
        <v>39</v>
      </c>
      <c r="G6510" s="308"/>
      <c r="H6510" s="308" t="s">
        <v>26175</v>
      </c>
      <c r="I6510" s="310">
        <v>43527.0</v>
      </c>
      <c r="J6510" s="319">
        <f>IFERROR(__xludf.DUMMYFUNCTION("SPLIT(I6510,""/"")"),3.0)</f>
        <v>3</v>
      </c>
      <c r="K6510" s="308">
        <f>IFERROR(__xludf.DUMMYFUNCTION("""COMPUTED_VALUE"""),3.0)</f>
        <v>3</v>
      </c>
      <c r="L6510" s="308">
        <f>IFERROR(__xludf.DUMMYFUNCTION("""COMPUTED_VALUE"""),2019.0)</f>
        <v>2019</v>
      </c>
      <c r="M6510" s="308" t="s">
        <v>26176</v>
      </c>
      <c r="N6510" s="308" t="s">
        <v>26177</v>
      </c>
      <c r="O6510" s="308"/>
      <c r="P6510" s="308" t="s">
        <v>39156</v>
      </c>
      <c r="Q6510" s="308" t="s">
        <v>39152</v>
      </c>
      <c r="R6510" s="308" t="s">
        <v>16585</v>
      </c>
      <c r="S6510" s="308" t="s">
        <v>81</v>
      </c>
      <c r="T6510" s="308" t="s">
        <v>75</v>
      </c>
      <c r="U6510" s="308" t="s">
        <v>166</v>
      </c>
      <c r="V6510" s="308"/>
    </row>
    <row r="6511">
      <c r="A6511" s="308">
        <v>6510.0</v>
      </c>
      <c r="B6511" s="308"/>
      <c r="C6511" s="308" t="s">
        <v>26179</v>
      </c>
      <c r="D6511" s="308">
        <f>IFERROR(__xludf.DUMMYFUNCTION("SPLIT(C6511,""-"")"),6531.0)</f>
        <v>6531</v>
      </c>
      <c r="E6511" s="308" t="str">
        <f>IFERROR(__xludf.DUMMYFUNCTION("""COMPUTED_VALUE"""),"K")</f>
        <v>K</v>
      </c>
      <c r="F6511" s="309" t="s">
        <v>34</v>
      </c>
      <c r="G6511" s="308"/>
      <c r="H6511" s="308" t="s">
        <v>26180</v>
      </c>
      <c r="I6511" s="314">
        <v>43796.0</v>
      </c>
      <c r="J6511" s="319">
        <f>IFERROR(__xludf.DUMMYFUNCTION("SPLIT(I6511,""/"")"),27.0)</f>
        <v>27</v>
      </c>
      <c r="K6511" s="308">
        <f>IFERROR(__xludf.DUMMYFUNCTION("""COMPUTED_VALUE"""),11.0)</f>
        <v>11</v>
      </c>
      <c r="L6511" s="308">
        <f>IFERROR(__xludf.DUMMYFUNCTION("""COMPUTED_VALUE"""),2019.0)</f>
        <v>2019</v>
      </c>
      <c r="M6511" s="308" t="s">
        <v>26181</v>
      </c>
      <c r="N6511" s="308" t="s">
        <v>26182</v>
      </c>
      <c r="O6511" s="308"/>
      <c r="P6511" s="308" t="s">
        <v>39157</v>
      </c>
      <c r="Q6511" s="308" t="s">
        <v>39152</v>
      </c>
      <c r="R6511" s="308" t="s">
        <v>2743</v>
      </c>
      <c r="S6511" s="308" t="s">
        <v>81</v>
      </c>
      <c r="T6511" s="308" t="s">
        <v>98</v>
      </c>
      <c r="U6511" s="308" t="s">
        <v>125</v>
      </c>
      <c r="V6511" s="308"/>
    </row>
    <row r="6512">
      <c r="A6512" s="308">
        <v>6511.0</v>
      </c>
      <c r="B6512" s="308"/>
      <c r="C6512" s="308" t="s">
        <v>26184</v>
      </c>
      <c r="D6512" s="308">
        <f>IFERROR(__xludf.DUMMYFUNCTION("SPLIT(C6512,""-"")"),6532.0)</f>
        <v>6532</v>
      </c>
      <c r="E6512" s="308" t="str">
        <f>IFERROR(__xludf.DUMMYFUNCTION("""COMPUTED_VALUE"""),"S")</f>
        <v>S</v>
      </c>
      <c r="F6512" s="312" t="s">
        <v>39</v>
      </c>
      <c r="G6512" s="308"/>
      <c r="H6512" s="308" t="s">
        <v>26185</v>
      </c>
      <c r="I6512" s="310">
        <v>43269.0</v>
      </c>
      <c r="J6512" s="319">
        <f>IFERROR(__xludf.DUMMYFUNCTION("SPLIT(I6512,""/"")"),18.0)</f>
        <v>18</v>
      </c>
      <c r="K6512" s="308">
        <f>IFERROR(__xludf.DUMMYFUNCTION("""COMPUTED_VALUE"""),6.0)</f>
        <v>6</v>
      </c>
      <c r="L6512" s="308">
        <f>IFERROR(__xludf.DUMMYFUNCTION("""COMPUTED_VALUE"""),2018.0)</f>
        <v>2018</v>
      </c>
      <c r="M6512" s="308" t="s">
        <v>26186</v>
      </c>
      <c r="N6512" s="308" t="s">
        <v>26187</v>
      </c>
      <c r="O6512" s="308"/>
      <c r="P6512" s="308" t="s">
        <v>39158</v>
      </c>
      <c r="Q6512" s="308" t="s">
        <v>39152</v>
      </c>
      <c r="R6512" s="308" t="s">
        <v>2743</v>
      </c>
      <c r="S6512" s="308" t="s">
        <v>81</v>
      </c>
      <c r="T6512" s="308" t="s">
        <v>75</v>
      </c>
      <c r="U6512" s="308" t="s">
        <v>166</v>
      </c>
      <c r="V6512" s="308"/>
    </row>
    <row r="6513">
      <c r="A6513" s="308">
        <v>6512.0</v>
      </c>
      <c r="B6513" s="308"/>
      <c r="C6513" s="308" t="s">
        <v>26189</v>
      </c>
      <c r="D6513" s="308">
        <f>IFERROR(__xludf.DUMMYFUNCTION("SPLIT(C6513,""-"")"),6533.0)</f>
        <v>6533</v>
      </c>
      <c r="E6513" s="308" t="str">
        <f>IFERROR(__xludf.DUMMYFUNCTION("""COMPUTED_VALUE"""),"S")</f>
        <v>S</v>
      </c>
      <c r="F6513" s="312" t="s">
        <v>39</v>
      </c>
      <c r="G6513" s="308"/>
      <c r="H6513" s="308" t="s">
        <v>39159</v>
      </c>
      <c r="I6513" s="310">
        <v>43641.0</v>
      </c>
      <c r="J6513" s="319">
        <f>IFERROR(__xludf.DUMMYFUNCTION("SPLIT(I6513,""/"")"),25.0)</f>
        <v>25</v>
      </c>
      <c r="K6513" s="308">
        <f>IFERROR(__xludf.DUMMYFUNCTION("""COMPUTED_VALUE"""),6.0)</f>
        <v>6</v>
      </c>
      <c r="L6513" s="308">
        <f>IFERROR(__xludf.DUMMYFUNCTION("""COMPUTED_VALUE"""),2019.0)</f>
        <v>2019</v>
      </c>
      <c r="M6513" s="308" t="s">
        <v>26191</v>
      </c>
      <c r="N6513" s="308" t="s">
        <v>26192</v>
      </c>
      <c r="O6513" s="308"/>
      <c r="P6513" s="308" t="s">
        <v>39160</v>
      </c>
      <c r="Q6513" s="308" t="s">
        <v>39161</v>
      </c>
      <c r="R6513" s="308" t="s">
        <v>2743</v>
      </c>
      <c r="S6513" s="308" t="s">
        <v>81</v>
      </c>
      <c r="T6513" s="308" t="s">
        <v>75</v>
      </c>
      <c r="U6513" s="308" t="s">
        <v>166</v>
      </c>
      <c r="V6513" s="308"/>
    </row>
    <row r="6514">
      <c r="A6514" s="308">
        <v>6513.0</v>
      </c>
      <c r="B6514" s="308"/>
      <c r="C6514" s="308" t="s">
        <v>26194</v>
      </c>
      <c r="D6514" s="308">
        <f>IFERROR(__xludf.DUMMYFUNCTION("SPLIT(C6514,""-"")"),6534.0)</f>
        <v>6534</v>
      </c>
      <c r="E6514" s="308" t="str">
        <f>IFERROR(__xludf.DUMMYFUNCTION("""COMPUTED_VALUE"""),"I")</f>
        <v>I</v>
      </c>
      <c r="F6514" s="309" t="s">
        <v>31</v>
      </c>
      <c r="G6514" s="308"/>
      <c r="H6514" s="308" t="s">
        <v>26195</v>
      </c>
      <c r="I6514" s="314">
        <v>43825.0</v>
      </c>
      <c r="J6514" s="319">
        <f>IFERROR(__xludf.DUMMYFUNCTION("SPLIT(I6514,""/"")"),26.0)</f>
        <v>26</v>
      </c>
      <c r="K6514" s="308">
        <f>IFERROR(__xludf.DUMMYFUNCTION("""COMPUTED_VALUE"""),12.0)</f>
        <v>12</v>
      </c>
      <c r="L6514" s="308">
        <f>IFERROR(__xludf.DUMMYFUNCTION("""COMPUTED_VALUE"""),2019.0)</f>
        <v>2019</v>
      </c>
      <c r="M6514" s="308" t="s">
        <v>26196</v>
      </c>
      <c r="N6514" s="308" t="s">
        <v>26197</v>
      </c>
      <c r="O6514" s="308"/>
      <c r="P6514" s="308" t="s">
        <v>39162</v>
      </c>
      <c r="Q6514" s="308" t="s">
        <v>39161</v>
      </c>
      <c r="R6514" s="308" t="s">
        <v>2743</v>
      </c>
      <c r="S6514" s="308" t="s">
        <v>81</v>
      </c>
      <c r="T6514" s="311" t="s">
        <v>51</v>
      </c>
      <c r="U6514" s="308" t="s">
        <v>31</v>
      </c>
      <c r="V6514" s="308"/>
    </row>
    <row r="6515">
      <c r="A6515" s="308">
        <v>6514.0</v>
      </c>
      <c r="B6515" s="308"/>
      <c r="C6515" s="308" t="s">
        <v>26199</v>
      </c>
      <c r="D6515" s="308">
        <f>IFERROR(__xludf.DUMMYFUNCTION("SPLIT(C6515,""-"")"),6535.0)</f>
        <v>6535</v>
      </c>
      <c r="E6515" s="308" t="str">
        <f>IFERROR(__xludf.DUMMYFUNCTION("""COMPUTED_VALUE"""),"K")</f>
        <v>K</v>
      </c>
      <c r="F6515" s="309" t="s">
        <v>34</v>
      </c>
      <c r="G6515" s="308"/>
      <c r="H6515" s="308" t="s">
        <v>26200</v>
      </c>
      <c r="I6515" s="310">
        <v>42917.0</v>
      </c>
      <c r="J6515" s="319" t="str">
        <f>IFERROR(__xludf.DUMMYFUNCTION("SPLIT(I6515,""/"")"),"#REF!")</f>
        <v>#REF!</v>
      </c>
      <c r="K6515" s="308"/>
      <c r="L6515" s="308">
        <v>2017.0</v>
      </c>
      <c r="M6515" s="308" t="s">
        <v>26201</v>
      </c>
      <c r="N6515" s="308" t="s">
        <v>26202</v>
      </c>
      <c r="O6515" s="308" t="s">
        <v>26203</v>
      </c>
      <c r="P6515" s="308" t="s">
        <v>26204</v>
      </c>
      <c r="Q6515" s="308" t="s">
        <v>39161</v>
      </c>
      <c r="R6515" s="308" t="s">
        <v>2743</v>
      </c>
      <c r="S6515" s="308" t="s">
        <v>81</v>
      </c>
      <c r="T6515" s="308" t="s">
        <v>34264</v>
      </c>
      <c r="U6515" s="308" t="s">
        <v>530</v>
      </c>
      <c r="V6515" s="308"/>
    </row>
    <row r="6516">
      <c r="A6516" s="308">
        <v>6515.0</v>
      </c>
      <c r="B6516" s="308"/>
      <c r="C6516" s="308" t="s">
        <v>26205</v>
      </c>
      <c r="D6516" s="308">
        <f>IFERROR(__xludf.DUMMYFUNCTION("SPLIT(C6516,""-"")"),6536.0)</f>
        <v>6536</v>
      </c>
      <c r="E6516" s="308" t="str">
        <f>IFERROR(__xludf.DUMMYFUNCTION("""COMPUTED_VALUE"""),"F")</f>
        <v>F</v>
      </c>
      <c r="F6516" s="309" t="s">
        <v>34</v>
      </c>
      <c r="G6516" s="308"/>
      <c r="H6516" s="308" t="s">
        <v>26206</v>
      </c>
      <c r="I6516" s="310">
        <v>41821.0</v>
      </c>
      <c r="J6516" s="319">
        <f>IFERROR(__xludf.DUMMYFUNCTION("SPLIT(I6516,""/"")"),1.0)</f>
        <v>1</v>
      </c>
      <c r="K6516" s="308">
        <f>IFERROR(__xludf.DUMMYFUNCTION("""COMPUTED_VALUE"""),7.0)</f>
        <v>7</v>
      </c>
      <c r="L6516" s="308">
        <f>IFERROR(__xludf.DUMMYFUNCTION("""COMPUTED_VALUE"""),2014.0)</f>
        <v>2014</v>
      </c>
      <c r="M6516" s="308" t="s">
        <v>26207</v>
      </c>
      <c r="N6516" s="308" t="s">
        <v>26208</v>
      </c>
      <c r="O6516" s="308"/>
      <c r="P6516" s="308" t="s">
        <v>39163</v>
      </c>
      <c r="Q6516" s="308" t="s">
        <v>39164</v>
      </c>
      <c r="R6516" s="308" t="s">
        <v>2743</v>
      </c>
      <c r="S6516" s="308" t="s">
        <v>81</v>
      </c>
      <c r="T6516" s="308" t="s">
        <v>34264</v>
      </c>
      <c r="U6516" s="308" t="s">
        <v>195</v>
      </c>
      <c r="V6516" s="308"/>
    </row>
    <row r="6517">
      <c r="A6517" s="308">
        <v>6516.0</v>
      </c>
      <c r="B6517" s="308"/>
      <c r="C6517" s="308" t="s">
        <v>26210</v>
      </c>
      <c r="D6517" s="308">
        <f>IFERROR(__xludf.DUMMYFUNCTION("SPLIT(C6517,""-"")"),6537.0)</f>
        <v>6537</v>
      </c>
      <c r="E6517" s="308" t="str">
        <f>IFERROR(__xludf.DUMMYFUNCTION("""COMPUTED_VALUE"""),"K")</f>
        <v>K</v>
      </c>
      <c r="F6517" s="309" t="s">
        <v>34</v>
      </c>
      <c r="G6517" s="308"/>
      <c r="H6517" s="308" t="s">
        <v>26211</v>
      </c>
      <c r="I6517" s="310">
        <v>43511.0</v>
      </c>
      <c r="J6517" s="319">
        <f>IFERROR(__xludf.DUMMYFUNCTION("SPLIT(I6517,""/"")"),15.0)</f>
        <v>15</v>
      </c>
      <c r="K6517" s="308">
        <f>IFERROR(__xludf.DUMMYFUNCTION("""COMPUTED_VALUE"""),2.0)</f>
        <v>2</v>
      </c>
      <c r="L6517" s="308">
        <f>IFERROR(__xludf.DUMMYFUNCTION("""COMPUTED_VALUE"""),2019.0)</f>
        <v>2019</v>
      </c>
      <c r="M6517" s="308" t="s">
        <v>26212</v>
      </c>
      <c r="N6517" s="308" t="s">
        <v>26213</v>
      </c>
      <c r="O6517" s="308" t="s">
        <v>26214</v>
      </c>
      <c r="P6517" s="308" t="s">
        <v>39165</v>
      </c>
      <c r="Q6517" s="308" t="s">
        <v>39166</v>
      </c>
      <c r="R6517" s="308" t="s">
        <v>2743</v>
      </c>
      <c r="S6517" s="308" t="s">
        <v>81</v>
      </c>
      <c r="T6517" s="308" t="s">
        <v>34264</v>
      </c>
      <c r="U6517" s="308" t="s">
        <v>542</v>
      </c>
      <c r="V6517" s="308"/>
    </row>
    <row r="6518">
      <c r="A6518" s="308">
        <v>6517.0</v>
      </c>
      <c r="B6518" s="308"/>
      <c r="C6518" s="308" t="s">
        <v>26216</v>
      </c>
      <c r="D6518" s="308">
        <f>IFERROR(__xludf.DUMMYFUNCTION("SPLIT(C6518,""-"")"),6538.0)</f>
        <v>6538</v>
      </c>
      <c r="E6518" s="308" t="str">
        <f>IFERROR(__xludf.DUMMYFUNCTION("""COMPUTED_VALUE"""),"K")</f>
        <v>K</v>
      </c>
      <c r="F6518" s="309" t="s">
        <v>34</v>
      </c>
      <c r="G6518" s="308"/>
      <c r="H6518" s="308" t="s">
        <v>26217</v>
      </c>
      <c r="I6518" s="310">
        <v>42956.0</v>
      </c>
      <c r="J6518" s="319" t="str">
        <f>IFERROR(__xludf.DUMMYFUNCTION("SPLIT(I6518,""/"")"),"#REF!")</f>
        <v>#REF!</v>
      </c>
      <c r="K6518" s="308"/>
      <c r="L6518" s="308">
        <v>2017.0</v>
      </c>
      <c r="M6518" s="308" t="s">
        <v>26218</v>
      </c>
      <c r="N6518" s="308" t="s">
        <v>26219</v>
      </c>
      <c r="O6518" s="308" t="s">
        <v>26220</v>
      </c>
      <c r="P6518" s="308" t="s">
        <v>39167</v>
      </c>
      <c r="Q6518" s="308" t="s">
        <v>39166</v>
      </c>
      <c r="R6518" s="308" t="s">
        <v>2743</v>
      </c>
      <c r="S6518" s="308" t="s">
        <v>81</v>
      </c>
      <c r="T6518" s="308" t="s">
        <v>75</v>
      </c>
      <c r="U6518" s="308" t="s">
        <v>125</v>
      </c>
      <c r="V6518" s="308"/>
    </row>
    <row r="6519">
      <c r="A6519" s="308">
        <v>6518.0</v>
      </c>
      <c r="B6519" s="308"/>
      <c r="C6519" s="308" t="s">
        <v>26222</v>
      </c>
      <c r="D6519" s="308">
        <f>IFERROR(__xludf.DUMMYFUNCTION("SPLIT(C6519,""-"")"),6539.0)</f>
        <v>6539</v>
      </c>
      <c r="E6519" s="308" t="str">
        <f>IFERROR(__xludf.DUMMYFUNCTION("""COMPUTED_VALUE"""),"S")</f>
        <v>S</v>
      </c>
      <c r="F6519" s="312" t="s">
        <v>39</v>
      </c>
      <c r="G6519" s="308"/>
      <c r="H6519" s="308" t="s">
        <v>26223</v>
      </c>
      <c r="I6519" s="310">
        <v>43734.0</v>
      </c>
      <c r="J6519" s="319">
        <f>IFERROR(__xludf.DUMMYFUNCTION("SPLIT(I6519,""/"")"),26.0)</f>
        <v>26</v>
      </c>
      <c r="K6519" s="308">
        <f>IFERROR(__xludf.DUMMYFUNCTION("""COMPUTED_VALUE"""),9.0)</f>
        <v>9</v>
      </c>
      <c r="L6519" s="308">
        <f>IFERROR(__xludf.DUMMYFUNCTION("""COMPUTED_VALUE"""),2019.0)</f>
        <v>2019</v>
      </c>
      <c r="M6519" s="308" t="s">
        <v>26224</v>
      </c>
      <c r="N6519" s="308" t="s">
        <v>26225</v>
      </c>
      <c r="O6519" s="308" t="s">
        <v>26226</v>
      </c>
      <c r="P6519" s="308" t="s">
        <v>39168</v>
      </c>
      <c r="Q6519" s="308" t="s">
        <v>39166</v>
      </c>
      <c r="R6519" s="308" t="s">
        <v>2743</v>
      </c>
      <c r="S6519" s="308" t="s">
        <v>49</v>
      </c>
      <c r="T6519" s="308" t="s">
        <v>51</v>
      </c>
      <c r="U6519" s="308" t="s">
        <v>166</v>
      </c>
      <c r="V6519" s="308"/>
    </row>
    <row r="6520">
      <c r="A6520" s="308">
        <v>6519.0</v>
      </c>
      <c r="B6520" s="308"/>
      <c r="C6520" s="308" t="s">
        <v>26228</v>
      </c>
      <c r="D6520" s="308">
        <f>IFERROR(__xludf.DUMMYFUNCTION("SPLIT(C6520,""-"")"),6540.0)</f>
        <v>6540</v>
      </c>
      <c r="E6520" s="308" t="str">
        <f>IFERROR(__xludf.DUMMYFUNCTION("""COMPUTED_VALUE"""),"K")</f>
        <v>K</v>
      </c>
      <c r="F6520" s="309" t="s">
        <v>34</v>
      </c>
      <c r="G6520" s="308"/>
      <c r="H6520" s="308" t="s">
        <v>26229</v>
      </c>
      <c r="I6520" s="310">
        <v>39995.0</v>
      </c>
      <c r="J6520" s="319">
        <f>IFERROR(__xludf.DUMMYFUNCTION("SPLIT(I6520,""/"")"),1.0)</f>
        <v>1</v>
      </c>
      <c r="K6520" s="308">
        <f>IFERROR(__xludf.DUMMYFUNCTION("""COMPUTED_VALUE"""),7.0)</f>
        <v>7</v>
      </c>
      <c r="L6520" s="308">
        <f>IFERROR(__xludf.DUMMYFUNCTION("""COMPUTED_VALUE"""),2009.0)</f>
        <v>2009</v>
      </c>
      <c r="M6520" s="308" t="s">
        <v>26230</v>
      </c>
      <c r="N6520" s="308" t="s">
        <v>26231</v>
      </c>
      <c r="O6520" s="308" t="s">
        <v>26232</v>
      </c>
      <c r="P6520" s="308" t="s">
        <v>136</v>
      </c>
      <c r="Q6520" s="308" t="s">
        <v>39169</v>
      </c>
      <c r="R6520" s="308" t="s">
        <v>2743</v>
      </c>
      <c r="S6520" s="315" t="s">
        <v>100</v>
      </c>
      <c r="T6520" s="308" t="s">
        <v>34208</v>
      </c>
      <c r="U6520" s="308" t="s">
        <v>530</v>
      </c>
      <c r="V6520" s="308"/>
    </row>
    <row r="6521">
      <c r="A6521" s="308">
        <v>6520.0</v>
      </c>
      <c r="B6521" s="308"/>
      <c r="C6521" s="308" t="s">
        <v>26233</v>
      </c>
      <c r="D6521" s="308">
        <f>IFERROR(__xludf.DUMMYFUNCTION("SPLIT(C6521,""-"")"),6541.0)</f>
        <v>6541</v>
      </c>
      <c r="E6521" s="308" t="str">
        <f>IFERROR(__xludf.DUMMYFUNCTION("""COMPUTED_VALUE"""),"K")</f>
        <v>K</v>
      </c>
      <c r="F6521" s="309" t="s">
        <v>34</v>
      </c>
      <c r="G6521" s="308"/>
      <c r="H6521" s="308" t="s">
        <v>26234</v>
      </c>
      <c r="I6521" s="310">
        <v>41803.0</v>
      </c>
      <c r="J6521" s="319">
        <f>IFERROR(__xludf.DUMMYFUNCTION("SPLIT(I6521,""/"")"),13.0)</f>
        <v>13</v>
      </c>
      <c r="K6521" s="308">
        <f>IFERROR(__xludf.DUMMYFUNCTION("""COMPUTED_VALUE"""),6.0)</f>
        <v>6</v>
      </c>
      <c r="L6521" s="308">
        <f>IFERROR(__xludf.DUMMYFUNCTION("""COMPUTED_VALUE"""),2014.0)</f>
        <v>2014</v>
      </c>
      <c r="M6521" s="308" t="s">
        <v>26235</v>
      </c>
      <c r="N6521" s="308" t="s">
        <v>26236</v>
      </c>
      <c r="O6521" s="308" t="s">
        <v>26237</v>
      </c>
      <c r="P6521" s="308" t="s">
        <v>136</v>
      </c>
      <c r="Q6521" s="308" t="s">
        <v>39169</v>
      </c>
      <c r="R6521" s="308" t="s">
        <v>2743</v>
      </c>
      <c r="S6521" s="315" t="s">
        <v>100</v>
      </c>
      <c r="T6521" s="308" t="s">
        <v>34208</v>
      </c>
      <c r="U6521" s="308" t="s">
        <v>23797</v>
      </c>
      <c r="V6521" s="308"/>
    </row>
    <row r="6522">
      <c r="A6522" s="308">
        <v>6521.0</v>
      </c>
      <c r="B6522" s="308"/>
      <c r="C6522" s="308" t="s">
        <v>26238</v>
      </c>
      <c r="D6522" s="308">
        <f>IFERROR(__xludf.DUMMYFUNCTION("SPLIT(C6522,""-"")"),6542.0)</f>
        <v>6542</v>
      </c>
      <c r="E6522" s="308" t="str">
        <f>IFERROR(__xludf.DUMMYFUNCTION("""COMPUTED_VALUE"""),"K")</f>
        <v>K</v>
      </c>
      <c r="F6522" s="309" t="s">
        <v>34</v>
      </c>
      <c r="G6522" s="308"/>
      <c r="H6522" s="308" t="s">
        <v>26239</v>
      </c>
      <c r="I6522" s="314">
        <v>43066.0</v>
      </c>
      <c r="J6522" s="319" t="str">
        <f>IFERROR(__xludf.DUMMYFUNCTION("SPLIT(I6522,""/"")"),"#REF!")</f>
        <v>#REF!</v>
      </c>
      <c r="K6522" s="308"/>
      <c r="L6522" s="308">
        <v>2017.0</v>
      </c>
      <c r="M6522" s="308" t="s">
        <v>26240</v>
      </c>
      <c r="N6522" s="308" t="s">
        <v>26241</v>
      </c>
      <c r="O6522" s="308" t="s">
        <v>26242</v>
      </c>
      <c r="P6522" s="308" t="s">
        <v>136</v>
      </c>
      <c r="Q6522" s="308" t="s">
        <v>39170</v>
      </c>
      <c r="R6522" s="308" t="s">
        <v>2743</v>
      </c>
      <c r="S6522" s="315" t="s">
        <v>100</v>
      </c>
      <c r="T6522" s="308" t="s">
        <v>34208</v>
      </c>
      <c r="U6522" s="308" t="s">
        <v>2989</v>
      </c>
      <c r="V6522" s="308"/>
    </row>
    <row r="6523">
      <c r="A6523" s="308">
        <v>6522.0</v>
      </c>
      <c r="B6523" s="308"/>
      <c r="C6523" s="308" t="s">
        <v>26243</v>
      </c>
      <c r="D6523" s="308">
        <f>IFERROR(__xludf.DUMMYFUNCTION("SPLIT(C6523,""-"")"),6543.0)</f>
        <v>6543</v>
      </c>
      <c r="E6523" s="308" t="str">
        <f>IFERROR(__xludf.DUMMYFUNCTION("""COMPUTED_VALUE"""),"B")</f>
        <v>B</v>
      </c>
      <c r="F6523" s="315" t="s">
        <v>26</v>
      </c>
      <c r="G6523" s="308"/>
      <c r="H6523" s="308" t="s">
        <v>26244</v>
      </c>
      <c r="I6523" s="310">
        <v>41460.0</v>
      </c>
      <c r="J6523" s="319">
        <f>IFERROR(__xludf.DUMMYFUNCTION("SPLIT(I6523,""/"")"),5.0)</f>
        <v>5</v>
      </c>
      <c r="K6523" s="308">
        <f>IFERROR(__xludf.DUMMYFUNCTION("""COMPUTED_VALUE"""),7.0)</f>
        <v>7</v>
      </c>
      <c r="L6523" s="308">
        <f>IFERROR(__xludf.DUMMYFUNCTION("""COMPUTED_VALUE"""),2013.0)</f>
        <v>2013</v>
      </c>
      <c r="M6523" s="308" t="s">
        <v>26245</v>
      </c>
      <c r="N6523" s="308" t="s">
        <v>26246</v>
      </c>
      <c r="O6523" s="308" t="s">
        <v>26247</v>
      </c>
      <c r="P6523" s="308" t="s">
        <v>136</v>
      </c>
      <c r="Q6523" s="308" t="s">
        <v>39170</v>
      </c>
      <c r="R6523" s="308" t="s">
        <v>2743</v>
      </c>
      <c r="S6523" s="315" t="s">
        <v>100</v>
      </c>
      <c r="T6523" s="308" t="s">
        <v>34208</v>
      </c>
      <c r="U6523" s="308" t="s">
        <v>27</v>
      </c>
      <c r="V6523" s="308"/>
    </row>
    <row r="6524">
      <c r="A6524" s="308">
        <v>6523.0</v>
      </c>
      <c r="B6524" s="308"/>
      <c r="C6524" s="308" t="s">
        <v>26248</v>
      </c>
      <c r="D6524" s="308">
        <f>IFERROR(__xludf.DUMMYFUNCTION("SPLIT(C6524,""-"")"),6544.0)</f>
        <v>6544</v>
      </c>
      <c r="E6524" s="308" t="str">
        <f>IFERROR(__xludf.DUMMYFUNCTION("""COMPUTED_VALUE"""),"K")</f>
        <v>K</v>
      </c>
      <c r="F6524" s="309" t="s">
        <v>34</v>
      </c>
      <c r="G6524" s="308"/>
      <c r="H6524" s="308" t="s">
        <v>26249</v>
      </c>
      <c r="I6524" s="310">
        <v>41733.0</v>
      </c>
      <c r="J6524" s="319">
        <f>IFERROR(__xludf.DUMMYFUNCTION("SPLIT(I6524,""/"")"),4.0)</f>
        <v>4</v>
      </c>
      <c r="K6524" s="308">
        <f>IFERROR(__xludf.DUMMYFUNCTION("""COMPUTED_VALUE"""),4.0)</f>
        <v>4</v>
      </c>
      <c r="L6524" s="308">
        <f>IFERROR(__xludf.DUMMYFUNCTION("""COMPUTED_VALUE"""),2014.0)</f>
        <v>2014</v>
      </c>
      <c r="M6524" s="308" t="s">
        <v>26250</v>
      </c>
      <c r="N6524" s="308" t="s">
        <v>26251</v>
      </c>
      <c r="O6524" s="308" t="s">
        <v>26252</v>
      </c>
      <c r="P6524" s="308" t="s">
        <v>136</v>
      </c>
      <c r="Q6524" s="308" t="s">
        <v>39171</v>
      </c>
      <c r="R6524" s="308" t="s">
        <v>2743</v>
      </c>
      <c r="S6524" s="315" t="s">
        <v>100</v>
      </c>
      <c r="T6524" s="308" t="s">
        <v>34208</v>
      </c>
      <c r="U6524" s="308" t="s">
        <v>125</v>
      </c>
      <c r="V6524" s="308"/>
    </row>
    <row r="6525">
      <c r="A6525" s="308">
        <v>6524.0</v>
      </c>
      <c r="B6525" s="308"/>
      <c r="C6525" s="308" t="s">
        <v>26253</v>
      </c>
      <c r="D6525" s="308">
        <f>IFERROR(__xludf.DUMMYFUNCTION("SPLIT(C6525,""-"")"),6545.0)</f>
        <v>6545</v>
      </c>
      <c r="E6525" s="308" t="str">
        <f>IFERROR(__xludf.DUMMYFUNCTION("""COMPUTED_VALUE"""),"K")</f>
        <v>K</v>
      </c>
      <c r="F6525" s="309" t="s">
        <v>34</v>
      </c>
      <c r="G6525" s="308"/>
      <c r="H6525" s="308" t="s">
        <v>26254</v>
      </c>
      <c r="I6525" s="314">
        <v>43799.0</v>
      </c>
      <c r="J6525" s="319">
        <f>IFERROR(__xludf.DUMMYFUNCTION("SPLIT(I6525,""/"")"),30.0)</f>
        <v>30</v>
      </c>
      <c r="K6525" s="308">
        <f>IFERROR(__xludf.DUMMYFUNCTION("""COMPUTED_VALUE"""),11.0)</f>
        <v>11</v>
      </c>
      <c r="L6525" s="308">
        <f>IFERROR(__xludf.DUMMYFUNCTION("""COMPUTED_VALUE"""),2019.0)</f>
        <v>2019</v>
      </c>
      <c r="M6525" s="308" t="s">
        <v>26255</v>
      </c>
      <c r="N6525" s="308" t="s">
        <v>26256</v>
      </c>
      <c r="O6525" s="308" t="s">
        <v>26257</v>
      </c>
      <c r="P6525" s="308" t="s">
        <v>39172</v>
      </c>
      <c r="Q6525" s="308" t="s">
        <v>39171</v>
      </c>
      <c r="R6525" s="308" t="s">
        <v>2743</v>
      </c>
      <c r="S6525" s="308" t="s">
        <v>81</v>
      </c>
      <c r="T6525" s="311" t="s">
        <v>96</v>
      </c>
      <c r="U6525" s="308" t="s">
        <v>2989</v>
      </c>
      <c r="V6525" s="308"/>
    </row>
    <row r="6526">
      <c r="A6526" s="308">
        <v>6525.0</v>
      </c>
      <c r="B6526" s="308"/>
      <c r="C6526" s="308" t="s">
        <v>26259</v>
      </c>
      <c r="D6526" s="308">
        <f>IFERROR(__xludf.DUMMYFUNCTION("SPLIT(C6526,""-"")"),6546.0)</f>
        <v>6546</v>
      </c>
      <c r="E6526" s="308" t="str">
        <f>IFERROR(__xludf.DUMMYFUNCTION("""COMPUTED_VALUE"""),"K")</f>
        <v>K</v>
      </c>
      <c r="F6526" s="309" t="s">
        <v>34</v>
      </c>
      <c r="G6526" s="308"/>
      <c r="H6526" s="308" t="s">
        <v>26260</v>
      </c>
      <c r="I6526" s="310">
        <v>41506.0</v>
      </c>
      <c r="J6526" s="319">
        <f>IFERROR(__xludf.DUMMYFUNCTION("SPLIT(I6526,""/"")"),20.0)</f>
        <v>20</v>
      </c>
      <c r="K6526" s="308">
        <f>IFERROR(__xludf.DUMMYFUNCTION("""COMPUTED_VALUE"""),8.0)</f>
        <v>8</v>
      </c>
      <c r="L6526" s="308">
        <f>IFERROR(__xludf.DUMMYFUNCTION("""COMPUTED_VALUE"""),2013.0)</f>
        <v>2013</v>
      </c>
      <c r="M6526" s="308" t="s">
        <v>26261</v>
      </c>
      <c r="N6526" s="308" t="s">
        <v>439</v>
      </c>
      <c r="O6526" s="308" t="s">
        <v>26262</v>
      </c>
      <c r="P6526" s="308" t="s">
        <v>136</v>
      </c>
      <c r="Q6526" s="308" t="s">
        <v>39171</v>
      </c>
      <c r="R6526" s="308" t="s">
        <v>2743</v>
      </c>
      <c r="S6526" s="315" t="s">
        <v>100</v>
      </c>
      <c r="T6526" s="308" t="s">
        <v>34208</v>
      </c>
      <c r="U6526" s="308" t="s">
        <v>125</v>
      </c>
      <c r="V6526" s="308"/>
    </row>
    <row r="6527">
      <c r="A6527" s="308">
        <v>6526.0</v>
      </c>
      <c r="B6527" s="308"/>
      <c r="C6527" s="308" t="s">
        <v>26263</v>
      </c>
      <c r="D6527" s="308">
        <f>IFERROR(__xludf.DUMMYFUNCTION("SPLIT(C6527,""-"")"),6547.0)</f>
        <v>6547</v>
      </c>
      <c r="E6527" s="308" t="str">
        <f>IFERROR(__xludf.DUMMYFUNCTION("""COMPUTED_VALUE"""),"K")</f>
        <v>K</v>
      </c>
      <c r="F6527" s="309" t="s">
        <v>34</v>
      </c>
      <c r="G6527" s="308"/>
      <c r="H6527" s="308" t="s">
        <v>26264</v>
      </c>
      <c r="I6527" s="310">
        <v>41506.0</v>
      </c>
      <c r="J6527" s="319">
        <f>IFERROR(__xludf.DUMMYFUNCTION("SPLIT(I6527,""/"")"),20.0)</f>
        <v>20</v>
      </c>
      <c r="K6527" s="308">
        <f>IFERROR(__xludf.DUMMYFUNCTION("""COMPUTED_VALUE"""),8.0)</f>
        <v>8</v>
      </c>
      <c r="L6527" s="308">
        <f>IFERROR(__xludf.DUMMYFUNCTION("""COMPUTED_VALUE"""),2013.0)</f>
        <v>2013</v>
      </c>
      <c r="M6527" s="308" t="s">
        <v>26265</v>
      </c>
      <c r="N6527" s="308" t="s">
        <v>439</v>
      </c>
      <c r="O6527" s="308" t="s">
        <v>26266</v>
      </c>
      <c r="P6527" s="308" t="s">
        <v>136</v>
      </c>
      <c r="Q6527" s="308" t="s">
        <v>39171</v>
      </c>
      <c r="R6527" s="308" t="s">
        <v>2743</v>
      </c>
      <c r="S6527" s="315" t="s">
        <v>100</v>
      </c>
      <c r="T6527" s="308" t="s">
        <v>34208</v>
      </c>
      <c r="U6527" s="308" t="s">
        <v>125</v>
      </c>
      <c r="V6527" s="308"/>
    </row>
    <row r="6528">
      <c r="A6528" s="308">
        <v>6527.0</v>
      </c>
      <c r="B6528" s="308"/>
      <c r="C6528" s="308" t="s">
        <v>26267</v>
      </c>
      <c r="D6528" s="308">
        <f>IFERROR(__xludf.DUMMYFUNCTION("SPLIT(C6528,""-"")"),6548.0)</f>
        <v>6548</v>
      </c>
      <c r="E6528" s="308" t="str">
        <f>IFERROR(__xludf.DUMMYFUNCTION("""COMPUTED_VALUE"""),"K")</f>
        <v>K</v>
      </c>
      <c r="F6528" s="309" t="s">
        <v>34</v>
      </c>
      <c r="G6528" s="308"/>
      <c r="H6528" s="308" t="s">
        <v>26268</v>
      </c>
      <c r="I6528" s="310">
        <v>40336.0</v>
      </c>
      <c r="J6528" s="319">
        <f>IFERROR(__xludf.DUMMYFUNCTION("SPLIT(I6528,""/"")"),7.0)</f>
        <v>7</v>
      </c>
      <c r="K6528" s="308">
        <f>IFERROR(__xludf.DUMMYFUNCTION("""COMPUTED_VALUE"""),6.0)</f>
        <v>6</v>
      </c>
      <c r="L6528" s="308">
        <f>IFERROR(__xludf.DUMMYFUNCTION("""COMPUTED_VALUE"""),2010.0)</f>
        <v>2010</v>
      </c>
      <c r="M6528" s="308" t="s">
        <v>26269</v>
      </c>
      <c r="N6528" s="308"/>
      <c r="O6528" s="308" t="s">
        <v>26270</v>
      </c>
      <c r="P6528" s="308" t="s">
        <v>136</v>
      </c>
      <c r="Q6528" s="308" t="s">
        <v>39171</v>
      </c>
      <c r="R6528" s="308" t="s">
        <v>2743</v>
      </c>
      <c r="S6528" s="315" t="s">
        <v>100</v>
      </c>
      <c r="T6528" s="308" t="s">
        <v>34208</v>
      </c>
      <c r="U6528" s="308" t="s">
        <v>125</v>
      </c>
      <c r="V6528" s="308"/>
    </row>
    <row r="6529">
      <c r="A6529" s="308">
        <v>6528.0</v>
      </c>
      <c r="B6529" s="308"/>
      <c r="C6529" s="308" t="s">
        <v>26271</v>
      </c>
      <c r="D6529" s="308">
        <f>IFERROR(__xludf.DUMMYFUNCTION("SPLIT(C6529,""-"")"),6549.0)</f>
        <v>6549</v>
      </c>
      <c r="E6529" s="308" t="str">
        <f>IFERROR(__xludf.DUMMYFUNCTION("""COMPUTED_VALUE"""),"K")</f>
        <v>K</v>
      </c>
      <c r="F6529" s="309" t="s">
        <v>34</v>
      </c>
      <c r="G6529" s="308"/>
      <c r="H6529" s="308" t="s">
        <v>26272</v>
      </c>
      <c r="I6529" s="310">
        <v>39995.0</v>
      </c>
      <c r="J6529" s="319">
        <f>IFERROR(__xludf.DUMMYFUNCTION("SPLIT(I6529,""/"")"),1.0)</f>
        <v>1</v>
      </c>
      <c r="K6529" s="308">
        <f>IFERROR(__xludf.DUMMYFUNCTION("""COMPUTED_VALUE"""),7.0)</f>
        <v>7</v>
      </c>
      <c r="L6529" s="308">
        <f>IFERROR(__xludf.DUMMYFUNCTION("""COMPUTED_VALUE"""),2009.0)</f>
        <v>2009</v>
      </c>
      <c r="M6529" s="308" t="s">
        <v>26273</v>
      </c>
      <c r="N6529" s="308" t="s">
        <v>26274</v>
      </c>
      <c r="O6529" s="308"/>
      <c r="P6529" s="308" t="s">
        <v>136</v>
      </c>
      <c r="Q6529" s="308" t="s">
        <v>39171</v>
      </c>
      <c r="R6529" s="308" t="s">
        <v>2743</v>
      </c>
      <c r="S6529" s="315" t="s">
        <v>100</v>
      </c>
      <c r="T6529" s="308" t="s">
        <v>34208</v>
      </c>
      <c r="U6529" s="308" t="s">
        <v>368</v>
      </c>
      <c r="V6529" s="308"/>
    </row>
    <row r="6530">
      <c r="A6530" s="308">
        <v>6529.0</v>
      </c>
      <c r="B6530" s="308"/>
      <c r="C6530" s="308" t="s">
        <v>26275</v>
      </c>
      <c r="D6530" s="308">
        <f>IFERROR(__xludf.DUMMYFUNCTION("SPLIT(C6530,""-"")"),6550.0)</f>
        <v>6550</v>
      </c>
      <c r="E6530" s="308" t="str">
        <f>IFERROR(__xludf.DUMMYFUNCTION("""COMPUTED_VALUE"""),"F")</f>
        <v>F</v>
      </c>
      <c r="F6530" s="309" t="s">
        <v>34</v>
      </c>
      <c r="G6530" s="308"/>
      <c r="H6530" s="308" t="s">
        <v>26276</v>
      </c>
      <c r="I6530" s="310">
        <v>42651.0</v>
      </c>
      <c r="J6530" s="319">
        <f>IFERROR(__xludf.DUMMYFUNCTION("SPLIT(I6530,""/"")"),8.0)</f>
        <v>8</v>
      </c>
      <c r="K6530" s="308">
        <f>IFERROR(__xludf.DUMMYFUNCTION("""COMPUTED_VALUE"""),10.0)</f>
        <v>10</v>
      </c>
      <c r="L6530" s="308">
        <f>IFERROR(__xludf.DUMMYFUNCTION("""COMPUTED_VALUE"""),2016.0)</f>
        <v>2016</v>
      </c>
      <c r="M6530" s="308" t="s">
        <v>26277</v>
      </c>
      <c r="N6530" s="308" t="s">
        <v>26278</v>
      </c>
      <c r="O6530" s="308"/>
      <c r="P6530" s="308" t="s">
        <v>136</v>
      </c>
      <c r="Q6530" s="308" t="s">
        <v>39171</v>
      </c>
      <c r="R6530" s="308" t="s">
        <v>2743</v>
      </c>
      <c r="S6530" s="315" t="s">
        <v>100</v>
      </c>
      <c r="T6530" s="308" t="s">
        <v>34208</v>
      </c>
      <c r="U6530" s="308" t="s">
        <v>195</v>
      </c>
      <c r="V6530" s="308"/>
    </row>
    <row r="6531">
      <c r="A6531" s="308">
        <v>6530.0</v>
      </c>
      <c r="B6531" s="308"/>
      <c r="C6531" s="308" t="s">
        <v>26279</v>
      </c>
      <c r="D6531" s="308">
        <f>IFERROR(__xludf.DUMMYFUNCTION("SPLIT(C6531,""-"")"),6551.0)</f>
        <v>6551</v>
      </c>
      <c r="E6531" s="308" t="str">
        <f>IFERROR(__xludf.DUMMYFUNCTION("""COMPUTED_VALUE"""),"I")</f>
        <v>I</v>
      </c>
      <c r="F6531" s="309" t="s">
        <v>31</v>
      </c>
      <c r="G6531" s="308"/>
      <c r="H6531" s="308" t="s">
        <v>19418</v>
      </c>
      <c r="I6531" s="310">
        <v>43848.0</v>
      </c>
      <c r="J6531" s="319">
        <f>IFERROR(__xludf.DUMMYFUNCTION("SPLIT(I6531,""/"")"),18.0)</f>
        <v>18</v>
      </c>
      <c r="K6531" s="308">
        <f>IFERROR(__xludf.DUMMYFUNCTION("""COMPUTED_VALUE"""),1.0)</f>
        <v>1</v>
      </c>
      <c r="L6531" s="308">
        <f>IFERROR(__xludf.DUMMYFUNCTION("""COMPUTED_VALUE"""),2020.0)</f>
        <v>2020</v>
      </c>
      <c r="M6531" s="308" t="s">
        <v>26280</v>
      </c>
      <c r="N6531" s="308" t="s">
        <v>19420</v>
      </c>
      <c r="O6531" s="308" t="s">
        <v>26281</v>
      </c>
      <c r="P6531" s="308" t="s">
        <v>39173</v>
      </c>
      <c r="Q6531" s="308" t="s">
        <v>39171</v>
      </c>
      <c r="R6531" s="308" t="s">
        <v>2743</v>
      </c>
      <c r="S6531" s="308" t="s">
        <v>81</v>
      </c>
      <c r="T6531" s="311" t="s">
        <v>96</v>
      </c>
      <c r="U6531" s="308" t="s">
        <v>31</v>
      </c>
      <c r="V6531" s="308"/>
    </row>
    <row r="6532">
      <c r="A6532" s="308">
        <v>6531.0</v>
      </c>
      <c r="B6532" s="308"/>
      <c r="C6532" s="308" t="s">
        <v>26283</v>
      </c>
      <c r="D6532" s="308">
        <f>IFERROR(__xludf.DUMMYFUNCTION("SPLIT(C6532,""-"")"),6552.0)</f>
        <v>6552</v>
      </c>
      <c r="E6532" s="308" t="str">
        <f>IFERROR(__xludf.DUMMYFUNCTION("""COMPUTED_VALUE"""),"S")</f>
        <v>S</v>
      </c>
      <c r="F6532" s="312" t="s">
        <v>39</v>
      </c>
      <c r="G6532" s="308"/>
      <c r="H6532" s="308" t="s">
        <v>26284</v>
      </c>
      <c r="I6532" s="310">
        <v>43805.0</v>
      </c>
      <c r="J6532" s="319">
        <f>IFERROR(__xludf.DUMMYFUNCTION("SPLIT(I6532,""/"")"),6.0)</f>
        <v>6</v>
      </c>
      <c r="K6532" s="308">
        <f>IFERROR(__xludf.DUMMYFUNCTION("""COMPUTED_VALUE"""),12.0)</f>
        <v>12</v>
      </c>
      <c r="L6532" s="308">
        <f>IFERROR(__xludf.DUMMYFUNCTION("""COMPUTED_VALUE"""),2019.0)</f>
        <v>2019</v>
      </c>
      <c r="M6532" s="308" t="s">
        <v>16965</v>
      </c>
      <c r="N6532" s="308" t="s">
        <v>26285</v>
      </c>
      <c r="O6532" s="308"/>
      <c r="P6532" s="308" t="s">
        <v>39174</v>
      </c>
      <c r="Q6532" s="308" t="s">
        <v>39175</v>
      </c>
      <c r="R6532" s="308" t="s">
        <v>14256</v>
      </c>
      <c r="S6532" s="308" t="s">
        <v>81</v>
      </c>
      <c r="T6532" s="308" t="s">
        <v>75</v>
      </c>
      <c r="U6532" s="308" t="s">
        <v>166</v>
      </c>
      <c r="V6532" s="308"/>
    </row>
    <row r="6533">
      <c r="A6533" s="308">
        <v>6532.0</v>
      </c>
      <c r="B6533" s="308"/>
      <c r="C6533" s="308" t="s">
        <v>26287</v>
      </c>
      <c r="D6533" s="308">
        <f>IFERROR(__xludf.DUMMYFUNCTION("SPLIT(C6533,""-"")"),6553.0)</f>
        <v>6553</v>
      </c>
      <c r="E6533" s="308" t="str">
        <f>IFERROR(__xludf.DUMMYFUNCTION("""COMPUTED_VALUE"""),"K")</f>
        <v>K</v>
      </c>
      <c r="F6533" s="309" t="s">
        <v>34</v>
      </c>
      <c r="G6533" s="308"/>
      <c r="H6533" s="308" t="s">
        <v>26288</v>
      </c>
      <c r="I6533" s="310">
        <v>42744.0</v>
      </c>
      <c r="J6533" s="319" t="str">
        <f>IFERROR(__xludf.DUMMYFUNCTION("SPLIT(I6533,""/"")"),"#REF!")</f>
        <v>#REF!</v>
      </c>
      <c r="K6533" s="308"/>
      <c r="L6533" s="308">
        <v>2017.0</v>
      </c>
      <c r="M6533" s="308" t="s">
        <v>26289</v>
      </c>
      <c r="N6533" s="308" t="s">
        <v>26290</v>
      </c>
      <c r="O6533" s="308"/>
      <c r="P6533" s="308" t="s">
        <v>136</v>
      </c>
      <c r="Q6533" s="308" t="s">
        <v>39176</v>
      </c>
      <c r="R6533" s="308" t="s">
        <v>2743</v>
      </c>
      <c r="S6533" s="315" t="s">
        <v>100</v>
      </c>
      <c r="T6533" s="308" t="s">
        <v>34208</v>
      </c>
      <c r="U6533" s="308" t="s">
        <v>23797</v>
      </c>
      <c r="V6533" s="308"/>
    </row>
    <row r="6534">
      <c r="A6534" s="308">
        <v>6533.0</v>
      </c>
      <c r="B6534" s="308"/>
      <c r="C6534" s="308" t="s">
        <v>26291</v>
      </c>
      <c r="D6534" s="308">
        <f>IFERROR(__xludf.DUMMYFUNCTION("SPLIT(C6534,""-"")"),6554.0)</f>
        <v>6554</v>
      </c>
      <c r="E6534" s="308" t="str">
        <f>IFERROR(__xludf.DUMMYFUNCTION("""COMPUTED_VALUE"""),"P")</f>
        <v>P</v>
      </c>
      <c r="F6534" s="312" t="s">
        <v>37</v>
      </c>
      <c r="G6534" s="308"/>
      <c r="H6534" s="308" t="s">
        <v>26292</v>
      </c>
      <c r="I6534" s="310">
        <v>43831.0</v>
      </c>
      <c r="J6534" s="319">
        <f>IFERROR(__xludf.DUMMYFUNCTION("SPLIT(I6534,""/"")"),1.0)</f>
        <v>1</v>
      </c>
      <c r="K6534" s="308">
        <f>IFERROR(__xludf.DUMMYFUNCTION("""COMPUTED_VALUE"""),1.0)</f>
        <v>1</v>
      </c>
      <c r="L6534" s="308">
        <f>IFERROR(__xludf.DUMMYFUNCTION("""COMPUTED_VALUE"""),2020.0)</f>
        <v>2020</v>
      </c>
      <c r="M6534" s="308" t="s">
        <v>26293</v>
      </c>
      <c r="N6534" s="308" t="s">
        <v>26294</v>
      </c>
      <c r="O6534" s="308"/>
      <c r="P6534" s="308" t="s">
        <v>39177</v>
      </c>
      <c r="Q6534" s="308" t="s">
        <v>39176</v>
      </c>
      <c r="R6534" s="308" t="s">
        <v>16185</v>
      </c>
      <c r="S6534" s="308" t="s">
        <v>81</v>
      </c>
      <c r="T6534" s="311" t="s">
        <v>51</v>
      </c>
      <c r="U6534" s="308" t="s">
        <v>143</v>
      </c>
      <c r="V6534" s="308"/>
    </row>
    <row r="6535">
      <c r="A6535" s="308">
        <v>6534.0</v>
      </c>
      <c r="B6535" s="308"/>
      <c r="C6535" s="308" t="s">
        <v>26296</v>
      </c>
      <c r="D6535" s="308">
        <f>IFERROR(__xludf.DUMMYFUNCTION("SPLIT(C6535,""-"")"),6555.0)</f>
        <v>6555</v>
      </c>
      <c r="E6535" s="308" t="str">
        <f>IFERROR(__xludf.DUMMYFUNCTION("""COMPUTED_VALUE"""),"I")</f>
        <v>I</v>
      </c>
      <c r="F6535" s="309" t="s">
        <v>31</v>
      </c>
      <c r="G6535" s="308"/>
      <c r="H6535" s="308" t="s">
        <v>26297</v>
      </c>
      <c r="I6535" s="310">
        <v>43685.0</v>
      </c>
      <c r="J6535" s="319">
        <f>IFERROR(__xludf.DUMMYFUNCTION("SPLIT(I6535,""/"")"),8.0)</f>
        <v>8</v>
      </c>
      <c r="K6535" s="308">
        <f>IFERROR(__xludf.DUMMYFUNCTION("""COMPUTED_VALUE"""),8.0)</f>
        <v>8</v>
      </c>
      <c r="L6535" s="308">
        <f>IFERROR(__xludf.DUMMYFUNCTION("""COMPUTED_VALUE"""),2019.0)</f>
        <v>2019</v>
      </c>
      <c r="M6535" s="308" t="s">
        <v>26298</v>
      </c>
      <c r="N6535" s="308" t="s">
        <v>26299</v>
      </c>
      <c r="O6535" s="308"/>
      <c r="P6535" s="308" t="s">
        <v>39178</v>
      </c>
      <c r="Q6535" s="308" t="s">
        <v>39176</v>
      </c>
      <c r="R6535" s="308" t="s">
        <v>16185</v>
      </c>
      <c r="S6535" s="308" t="s">
        <v>81</v>
      </c>
      <c r="T6535" s="308" t="s">
        <v>75</v>
      </c>
      <c r="U6535" s="308" t="s">
        <v>31</v>
      </c>
      <c r="V6535" s="308"/>
    </row>
    <row r="6536">
      <c r="A6536" s="308">
        <v>6535.0</v>
      </c>
      <c r="B6536" s="308"/>
      <c r="C6536" s="308" t="s">
        <v>26301</v>
      </c>
      <c r="D6536" s="308">
        <f>IFERROR(__xludf.DUMMYFUNCTION("SPLIT(C6536,""-"")"),6556.0)</f>
        <v>6556</v>
      </c>
      <c r="E6536" s="308" t="str">
        <f>IFERROR(__xludf.DUMMYFUNCTION("""COMPUTED_VALUE"""),"P")</f>
        <v>P</v>
      </c>
      <c r="F6536" s="312" t="s">
        <v>37</v>
      </c>
      <c r="G6536" s="308"/>
      <c r="H6536" s="308" t="s">
        <v>26302</v>
      </c>
      <c r="I6536" s="310">
        <v>43847.0</v>
      </c>
      <c r="J6536" s="319">
        <f>IFERROR(__xludf.DUMMYFUNCTION("SPLIT(I6536,""/"")"),17.0)</f>
        <v>17</v>
      </c>
      <c r="K6536" s="308">
        <f>IFERROR(__xludf.DUMMYFUNCTION("""COMPUTED_VALUE"""),1.0)</f>
        <v>1</v>
      </c>
      <c r="L6536" s="308">
        <f>IFERROR(__xludf.DUMMYFUNCTION("""COMPUTED_VALUE"""),2020.0)</f>
        <v>2020</v>
      </c>
      <c r="M6536" s="308" t="s">
        <v>26303</v>
      </c>
      <c r="N6536" s="308" t="s">
        <v>26304</v>
      </c>
      <c r="O6536" s="308"/>
      <c r="P6536" s="308" t="s">
        <v>39179</v>
      </c>
      <c r="Q6536" s="308" t="s">
        <v>39176</v>
      </c>
      <c r="R6536" s="308" t="s">
        <v>2743</v>
      </c>
      <c r="S6536" s="308" t="s">
        <v>81</v>
      </c>
      <c r="T6536" s="311" t="s">
        <v>51</v>
      </c>
      <c r="U6536" s="308" t="s">
        <v>2263</v>
      </c>
      <c r="V6536" s="308" t="s">
        <v>26306</v>
      </c>
    </row>
    <row r="6537">
      <c r="A6537" s="308">
        <v>6536.0</v>
      </c>
      <c r="B6537" s="308"/>
      <c r="C6537" s="308" t="s">
        <v>26307</v>
      </c>
      <c r="D6537" s="308">
        <f>IFERROR(__xludf.DUMMYFUNCTION("SPLIT(C6537,""-"")"),6557.0)</f>
        <v>6557</v>
      </c>
      <c r="E6537" s="308" t="str">
        <f>IFERROR(__xludf.DUMMYFUNCTION("""COMPUTED_VALUE"""),"K")</f>
        <v>K</v>
      </c>
      <c r="F6537" s="309" t="s">
        <v>34</v>
      </c>
      <c r="G6537" s="308"/>
      <c r="H6537" s="308" t="s">
        <v>26308</v>
      </c>
      <c r="I6537" s="314">
        <v>40103.0</v>
      </c>
      <c r="J6537" s="319">
        <f>IFERROR(__xludf.DUMMYFUNCTION("SPLIT(I6537,""/"")"),17.0)</f>
        <v>17</v>
      </c>
      <c r="K6537" s="308">
        <f>IFERROR(__xludf.DUMMYFUNCTION("""COMPUTED_VALUE"""),10.0)</f>
        <v>10</v>
      </c>
      <c r="L6537" s="308">
        <f>IFERROR(__xludf.DUMMYFUNCTION("""COMPUTED_VALUE"""),2009.0)</f>
        <v>2009</v>
      </c>
      <c r="M6537" s="308" t="s">
        <v>26309</v>
      </c>
      <c r="N6537" s="308" t="s">
        <v>439</v>
      </c>
      <c r="O6537" s="308"/>
      <c r="P6537" s="308" t="s">
        <v>136</v>
      </c>
      <c r="Q6537" s="308" t="s">
        <v>39180</v>
      </c>
      <c r="R6537" s="308" t="s">
        <v>2743</v>
      </c>
      <c r="S6537" s="315" t="s">
        <v>100</v>
      </c>
      <c r="T6537" s="308" t="s">
        <v>34208</v>
      </c>
      <c r="U6537" s="308" t="s">
        <v>530</v>
      </c>
      <c r="V6537" s="308" t="s">
        <v>26310</v>
      </c>
    </row>
    <row r="6538">
      <c r="A6538" s="308">
        <v>6537.0</v>
      </c>
      <c r="B6538" s="308"/>
      <c r="C6538" s="308" t="s">
        <v>26311</v>
      </c>
      <c r="D6538" s="308">
        <f>IFERROR(__xludf.DUMMYFUNCTION("SPLIT(C6538,""-"")"),6558.0)</f>
        <v>6558</v>
      </c>
      <c r="E6538" s="308" t="str">
        <f>IFERROR(__xludf.DUMMYFUNCTION("""COMPUTED_VALUE"""),"B")</f>
        <v>B</v>
      </c>
      <c r="F6538" s="315" t="s">
        <v>26</v>
      </c>
      <c r="G6538" s="308"/>
      <c r="H6538" s="308" t="s">
        <v>26312</v>
      </c>
      <c r="I6538" s="310">
        <v>43440.0</v>
      </c>
      <c r="J6538" s="319">
        <f>IFERROR(__xludf.DUMMYFUNCTION("SPLIT(I6538,""/"")"),6.0)</f>
        <v>6</v>
      </c>
      <c r="K6538" s="308">
        <f>IFERROR(__xludf.DUMMYFUNCTION("""COMPUTED_VALUE"""),12.0)</f>
        <v>12</v>
      </c>
      <c r="L6538" s="308">
        <f>IFERROR(__xludf.DUMMYFUNCTION("""COMPUTED_VALUE"""),2018.0)</f>
        <v>2018</v>
      </c>
      <c r="M6538" s="308" t="s">
        <v>26313</v>
      </c>
      <c r="N6538" s="308" t="s">
        <v>26314</v>
      </c>
      <c r="O6538" s="308"/>
      <c r="P6538" s="308" t="s">
        <v>39181</v>
      </c>
      <c r="Q6538" s="308" t="s">
        <v>39180</v>
      </c>
      <c r="R6538" s="308" t="s">
        <v>2743</v>
      </c>
      <c r="S6538" s="308" t="s">
        <v>81</v>
      </c>
      <c r="T6538" s="311" t="s">
        <v>57</v>
      </c>
      <c r="U6538" s="308" t="s">
        <v>27</v>
      </c>
      <c r="V6538" s="308"/>
    </row>
    <row r="6539">
      <c r="A6539" s="308">
        <v>6538.0</v>
      </c>
      <c r="B6539" s="308"/>
      <c r="C6539" s="308" t="s">
        <v>26316</v>
      </c>
      <c r="D6539" s="308">
        <f>IFERROR(__xludf.DUMMYFUNCTION("SPLIT(C6539,""-"")"),6559.0)</f>
        <v>6559</v>
      </c>
      <c r="E6539" s="308" t="str">
        <f>IFERROR(__xludf.DUMMYFUNCTION("""COMPUTED_VALUE"""),"B")</f>
        <v>B</v>
      </c>
      <c r="F6539" s="315" t="s">
        <v>26</v>
      </c>
      <c r="G6539" s="308"/>
      <c r="H6539" s="308" t="s">
        <v>26317</v>
      </c>
      <c r="I6539" s="310">
        <v>41781.0</v>
      </c>
      <c r="J6539" s="319">
        <f>IFERROR(__xludf.DUMMYFUNCTION("SPLIT(I6539,""/"")"),22.0)</f>
        <v>22</v>
      </c>
      <c r="K6539" s="308">
        <f>IFERROR(__xludf.DUMMYFUNCTION("""COMPUTED_VALUE"""),5.0)</f>
        <v>5</v>
      </c>
      <c r="L6539" s="308">
        <f>IFERROR(__xludf.DUMMYFUNCTION("""COMPUTED_VALUE"""),2014.0)</f>
        <v>2014</v>
      </c>
      <c r="M6539" s="308" t="s">
        <v>26318</v>
      </c>
      <c r="N6539" s="308" t="s">
        <v>26319</v>
      </c>
      <c r="O6539" s="308"/>
      <c r="P6539" s="308" t="s">
        <v>136</v>
      </c>
      <c r="Q6539" s="308" t="s">
        <v>39180</v>
      </c>
      <c r="R6539" s="308" t="s">
        <v>2743</v>
      </c>
      <c r="S6539" s="315" t="s">
        <v>100</v>
      </c>
      <c r="T6539" s="308" t="s">
        <v>34208</v>
      </c>
      <c r="U6539" s="308" t="s">
        <v>27</v>
      </c>
      <c r="V6539" s="308"/>
    </row>
    <row r="6540">
      <c r="A6540" s="308">
        <v>6539.0</v>
      </c>
      <c r="B6540" s="308"/>
      <c r="C6540" s="308" t="s">
        <v>26320</v>
      </c>
      <c r="D6540" s="308">
        <f>IFERROR(__xludf.DUMMYFUNCTION("SPLIT(C6540,""-"")"),6560.0)</f>
        <v>6560</v>
      </c>
      <c r="E6540" s="308" t="str">
        <f>IFERROR(__xludf.DUMMYFUNCTION("""COMPUTED_VALUE"""),"P")</f>
        <v>P</v>
      </c>
      <c r="F6540" s="312" t="s">
        <v>37</v>
      </c>
      <c r="G6540" s="308"/>
      <c r="H6540" s="308" t="s">
        <v>26321</v>
      </c>
      <c r="I6540" s="310">
        <v>42561.0</v>
      </c>
      <c r="J6540" s="319">
        <f>IFERROR(__xludf.DUMMYFUNCTION("SPLIT(I6540,""/"")"),10.0)</f>
        <v>10</v>
      </c>
      <c r="K6540" s="308">
        <f>IFERROR(__xludf.DUMMYFUNCTION("""COMPUTED_VALUE"""),7.0)</f>
        <v>7</v>
      </c>
      <c r="L6540" s="308">
        <f>IFERROR(__xludf.DUMMYFUNCTION("""COMPUTED_VALUE"""),2016.0)</f>
        <v>2016</v>
      </c>
      <c r="M6540" s="308" t="s">
        <v>26322</v>
      </c>
      <c r="N6540" s="308" t="s">
        <v>26323</v>
      </c>
      <c r="O6540" s="308"/>
      <c r="P6540" s="308" t="s">
        <v>136</v>
      </c>
      <c r="Q6540" s="308" t="s">
        <v>39180</v>
      </c>
      <c r="R6540" s="308" t="s">
        <v>2743</v>
      </c>
      <c r="S6540" s="315" t="s">
        <v>100</v>
      </c>
      <c r="T6540" s="308" t="s">
        <v>34208</v>
      </c>
      <c r="U6540" s="308" t="s">
        <v>143</v>
      </c>
      <c r="V6540" s="308"/>
    </row>
    <row r="6541">
      <c r="A6541" s="308">
        <v>6540.0</v>
      </c>
      <c r="B6541" s="308"/>
      <c r="C6541" s="308" t="s">
        <v>26324</v>
      </c>
      <c r="D6541" s="308">
        <f>IFERROR(__xludf.DUMMYFUNCTION("SPLIT(C6541,""-"")"),6561.0)</f>
        <v>6561</v>
      </c>
      <c r="E6541" s="308" t="str">
        <f>IFERROR(__xludf.DUMMYFUNCTION("""COMPUTED_VALUE"""),"S")</f>
        <v>S</v>
      </c>
      <c r="F6541" s="312" t="s">
        <v>39</v>
      </c>
      <c r="G6541" s="308"/>
      <c r="H6541" s="308" t="s">
        <v>26325</v>
      </c>
      <c r="I6541" s="310">
        <v>43853.0</v>
      </c>
      <c r="J6541" s="319">
        <f>IFERROR(__xludf.DUMMYFUNCTION("SPLIT(I6541,""/"")"),23.0)</f>
        <v>23</v>
      </c>
      <c r="K6541" s="308">
        <f>IFERROR(__xludf.DUMMYFUNCTION("""COMPUTED_VALUE"""),1.0)</f>
        <v>1</v>
      </c>
      <c r="L6541" s="308">
        <f>IFERROR(__xludf.DUMMYFUNCTION("""COMPUTED_VALUE"""),2020.0)</f>
        <v>2020</v>
      </c>
      <c r="M6541" s="308" t="s">
        <v>26326</v>
      </c>
      <c r="N6541" s="308" t="s">
        <v>26327</v>
      </c>
      <c r="O6541" s="308" t="s">
        <v>26328</v>
      </c>
      <c r="P6541" s="308" t="s">
        <v>39182</v>
      </c>
      <c r="Q6541" s="308" t="s">
        <v>39183</v>
      </c>
      <c r="R6541" s="308" t="s">
        <v>2743</v>
      </c>
      <c r="S6541" s="308" t="s">
        <v>81</v>
      </c>
      <c r="T6541" s="308" t="s">
        <v>73</v>
      </c>
      <c r="U6541" s="308" t="s">
        <v>166</v>
      </c>
      <c r="V6541" s="308"/>
    </row>
    <row r="6542">
      <c r="A6542" s="308">
        <v>6541.0</v>
      </c>
      <c r="B6542" s="308"/>
      <c r="C6542" s="308" t="s">
        <v>26330</v>
      </c>
      <c r="D6542" s="308">
        <f>IFERROR(__xludf.DUMMYFUNCTION("SPLIT(C6542,""-"")"),6562.0)</f>
        <v>6562</v>
      </c>
      <c r="E6542" s="308" t="str">
        <f>IFERROR(__xludf.DUMMYFUNCTION("""COMPUTED_VALUE"""),"K")</f>
        <v>K</v>
      </c>
      <c r="F6542" s="309" t="s">
        <v>34</v>
      </c>
      <c r="G6542" s="308"/>
      <c r="H6542" s="308" t="s">
        <v>26331</v>
      </c>
      <c r="I6542" s="310">
        <v>41536.0</v>
      </c>
      <c r="J6542" s="319">
        <f>IFERROR(__xludf.DUMMYFUNCTION("SPLIT(I6542,""/"")"),19.0)</f>
        <v>19</v>
      </c>
      <c r="K6542" s="308">
        <f>IFERROR(__xludf.DUMMYFUNCTION("""COMPUTED_VALUE"""),9.0)</f>
        <v>9</v>
      </c>
      <c r="L6542" s="308">
        <f>IFERROR(__xludf.DUMMYFUNCTION("""COMPUTED_VALUE"""),2013.0)</f>
        <v>2013</v>
      </c>
      <c r="M6542" s="308" t="s">
        <v>26332</v>
      </c>
      <c r="N6542" s="308"/>
      <c r="O6542" s="308"/>
      <c r="P6542" s="308" t="s">
        <v>136</v>
      </c>
      <c r="Q6542" s="308" t="s">
        <v>39183</v>
      </c>
      <c r="R6542" s="308" t="s">
        <v>2743</v>
      </c>
      <c r="S6542" s="315" t="s">
        <v>100</v>
      </c>
      <c r="T6542" s="308" t="s">
        <v>34208</v>
      </c>
      <c r="U6542" s="308" t="s">
        <v>530</v>
      </c>
      <c r="V6542" s="308"/>
    </row>
    <row r="6543">
      <c r="A6543" s="308">
        <v>6542.0</v>
      </c>
      <c r="B6543" s="308"/>
      <c r="C6543" s="308" t="s">
        <v>26333</v>
      </c>
      <c r="D6543" s="308">
        <f>IFERROR(__xludf.DUMMYFUNCTION("SPLIT(C6543,""-"")"),6563.0)</f>
        <v>6563</v>
      </c>
      <c r="E6543" s="308" t="str">
        <f>IFERROR(__xludf.DUMMYFUNCTION("""COMPUTED_VALUE"""),"S")</f>
        <v>S</v>
      </c>
      <c r="F6543" s="312" t="s">
        <v>39</v>
      </c>
      <c r="G6543" s="308"/>
      <c r="H6543" s="308" t="s">
        <v>26334</v>
      </c>
      <c r="I6543" s="314">
        <v>43791.0</v>
      </c>
      <c r="J6543" s="319">
        <f>IFERROR(__xludf.DUMMYFUNCTION("SPLIT(I6543,""/"")"),22.0)</f>
        <v>22</v>
      </c>
      <c r="K6543" s="308">
        <f>IFERROR(__xludf.DUMMYFUNCTION("""COMPUTED_VALUE"""),11.0)</f>
        <v>11</v>
      </c>
      <c r="L6543" s="308">
        <f>IFERROR(__xludf.DUMMYFUNCTION("""COMPUTED_VALUE"""),2019.0)</f>
        <v>2019</v>
      </c>
      <c r="M6543" s="308" t="s">
        <v>26335</v>
      </c>
      <c r="N6543" s="308" t="s">
        <v>26336</v>
      </c>
      <c r="O6543" s="308"/>
      <c r="P6543" s="308" t="s">
        <v>26337</v>
      </c>
      <c r="Q6543" s="308" t="s">
        <v>39183</v>
      </c>
      <c r="R6543" s="308" t="s">
        <v>16585</v>
      </c>
      <c r="S6543" s="308" t="s">
        <v>81</v>
      </c>
      <c r="T6543" s="308" t="s">
        <v>75</v>
      </c>
      <c r="U6543" s="308" t="s">
        <v>166</v>
      </c>
      <c r="V6543" s="308"/>
    </row>
    <row r="6544">
      <c r="A6544" s="308">
        <v>6543.0</v>
      </c>
      <c r="B6544" s="308"/>
      <c r="C6544" s="308" t="s">
        <v>26338</v>
      </c>
      <c r="D6544" s="308">
        <f>IFERROR(__xludf.DUMMYFUNCTION("SPLIT(C6544,""-"")"),6564.0)</f>
        <v>6564</v>
      </c>
      <c r="E6544" s="308" t="str">
        <f>IFERROR(__xludf.DUMMYFUNCTION("""COMPUTED_VALUE"""),"F")</f>
        <v>F</v>
      </c>
      <c r="F6544" s="309" t="s">
        <v>34</v>
      </c>
      <c r="G6544" s="308"/>
      <c r="H6544" s="308" t="s">
        <v>26339</v>
      </c>
      <c r="I6544" s="310">
        <v>43556.0</v>
      </c>
      <c r="J6544" s="319">
        <f>IFERROR(__xludf.DUMMYFUNCTION("SPLIT(I6544,""/"")"),1.0)</f>
        <v>1</v>
      </c>
      <c r="K6544" s="308">
        <f>IFERROR(__xludf.DUMMYFUNCTION("""COMPUTED_VALUE"""),4.0)</f>
        <v>4</v>
      </c>
      <c r="L6544" s="308">
        <f>IFERROR(__xludf.DUMMYFUNCTION("""COMPUTED_VALUE"""),2019.0)</f>
        <v>2019</v>
      </c>
      <c r="M6544" s="308" t="s">
        <v>26340</v>
      </c>
      <c r="N6544" s="308" t="s">
        <v>26341</v>
      </c>
      <c r="O6544" s="308"/>
      <c r="P6544" s="308" t="s">
        <v>39184</v>
      </c>
      <c r="Q6544" s="308" t="s">
        <v>39183</v>
      </c>
      <c r="R6544" s="308" t="s">
        <v>2743</v>
      </c>
      <c r="S6544" s="308" t="s">
        <v>81</v>
      </c>
      <c r="T6544" s="308" t="s">
        <v>34264</v>
      </c>
      <c r="U6544" s="308" t="s">
        <v>26343</v>
      </c>
      <c r="V6544" s="308"/>
    </row>
    <row r="6545">
      <c r="A6545" s="308">
        <v>6544.0</v>
      </c>
      <c r="B6545" s="308"/>
      <c r="C6545" s="308" t="s">
        <v>26344</v>
      </c>
      <c r="D6545" s="308">
        <f>IFERROR(__xludf.DUMMYFUNCTION("SPLIT(C6545,""-"")"),6565.0)</f>
        <v>6565</v>
      </c>
      <c r="E6545" s="308" t="str">
        <f>IFERROR(__xludf.DUMMYFUNCTION("""COMPUTED_VALUE"""),"K")</f>
        <v>K</v>
      </c>
      <c r="F6545" s="309" t="s">
        <v>34</v>
      </c>
      <c r="G6545" s="308"/>
      <c r="H6545" s="308" t="s">
        <v>26345</v>
      </c>
      <c r="I6545" s="310">
        <v>40326.0</v>
      </c>
      <c r="J6545" s="319">
        <f>IFERROR(__xludf.DUMMYFUNCTION("SPLIT(I6545,""/"")"),28.0)</f>
        <v>28</v>
      </c>
      <c r="K6545" s="308">
        <f>IFERROR(__xludf.DUMMYFUNCTION("""COMPUTED_VALUE"""),5.0)</f>
        <v>5</v>
      </c>
      <c r="L6545" s="308">
        <f>IFERROR(__xludf.DUMMYFUNCTION("""COMPUTED_VALUE"""),2010.0)</f>
        <v>2010</v>
      </c>
      <c r="M6545" s="308" t="s">
        <v>26346</v>
      </c>
      <c r="N6545" s="308" t="s">
        <v>26347</v>
      </c>
      <c r="O6545" s="308"/>
      <c r="P6545" s="308" t="s">
        <v>136</v>
      </c>
      <c r="Q6545" s="308" t="s">
        <v>39183</v>
      </c>
      <c r="R6545" s="308" t="s">
        <v>2743</v>
      </c>
      <c r="S6545" s="315" t="s">
        <v>100</v>
      </c>
      <c r="T6545" s="308" t="s">
        <v>34208</v>
      </c>
      <c r="U6545" s="308" t="s">
        <v>125</v>
      </c>
      <c r="V6545" s="308"/>
    </row>
    <row r="6546">
      <c r="A6546" s="308">
        <v>6545.0</v>
      </c>
      <c r="B6546" s="308"/>
      <c r="C6546" s="308" t="s">
        <v>26348</v>
      </c>
      <c r="D6546" s="308">
        <f>IFERROR(__xludf.DUMMYFUNCTION("SPLIT(C6546,""-"")"),6566.0)</f>
        <v>6566</v>
      </c>
      <c r="E6546" s="308" t="str">
        <f>IFERROR(__xludf.DUMMYFUNCTION("""COMPUTED_VALUE"""),"K")</f>
        <v>K</v>
      </c>
      <c r="F6546" s="309" t="s">
        <v>34</v>
      </c>
      <c r="G6546" s="308"/>
      <c r="H6546" s="308" t="s">
        <v>26349</v>
      </c>
      <c r="I6546" s="314">
        <v>43794.0</v>
      </c>
      <c r="J6546" s="319">
        <f>IFERROR(__xludf.DUMMYFUNCTION("SPLIT(I6546,""/"")"),25.0)</f>
        <v>25</v>
      </c>
      <c r="K6546" s="308">
        <f>IFERROR(__xludf.DUMMYFUNCTION("""COMPUTED_VALUE"""),11.0)</f>
        <v>11</v>
      </c>
      <c r="L6546" s="308">
        <f>IFERROR(__xludf.DUMMYFUNCTION("""COMPUTED_VALUE"""),2019.0)</f>
        <v>2019</v>
      </c>
      <c r="M6546" s="308" t="s">
        <v>26350</v>
      </c>
      <c r="N6546" s="308" t="s">
        <v>26351</v>
      </c>
      <c r="O6546" s="308"/>
      <c r="P6546" s="308" t="s">
        <v>39185</v>
      </c>
      <c r="Q6546" s="308" t="s">
        <v>39183</v>
      </c>
      <c r="R6546" s="308" t="s">
        <v>2743</v>
      </c>
      <c r="S6546" s="308" t="s">
        <v>81</v>
      </c>
      <c r="T6546" s="311" t="s">
        <v>96</v>
      </c>
      <c r="U6546" s="308" t="s">
        <v>4749</v>
      </c>
      <c r="V6546" s="308"/>
    </row>
    <row r="6547">
      <c r="A6547" s="308">
        <v>6546.0</v>
      </c>
      <c r="B6547" s="308"/>
      <c r="C6547" s="308" t="s">
        <v>26353</v>
      </c>
      <c r="D6547" s="308">
        <f>IFERROR(__xludf.DUMMYFUNCTION("SPLIT(C6547,""-"")"),6567.0)</f>
        <v>6567</v>
      </c>
      <c r="E6547" s="308" t="str">
        <f>IFERROR(__xludf.DUMMYFUNCTION("""COMPUTED_VALUE"""),"K")</f>
        <v>K</v>
      </c>
      <c r="F6547" s="309" t="s">
        <v>34</v>
      </c>
      <c r="G6547" s="308"/>
      <c r="H6547" s="308" t="s">
        <v>26354</v>
      </c>
      <c r="I6547" s="310">
        <v>42762.0</v>
      </c>
      <c r="J6547" s="319" t="str">
        <f>IFERROR(__xludf.DUMMYFUNCTION("SPLIT(I6547,""/"")"),"#REF!")</f>
        <v>#REF!</v>
      </c>
      <c r="K6547" s="308"/>
      <c r="L6547" s="308">
        <v>2017.0</v>
      </c>
      <c r="M6547" s="308" t="s">
        <v>26355</v>
      </c>
      <c r="N6547" s="308" t="s">
        <v>39186</v>
      </c>
      <c r="O6547" s="308"/>
      <c r="P6547" s="308" t="s">
        <v>26357</v>
      </c>
      <c r="Q6547" s="308" t="s">
        <v>39183</v>
      </c>
      <c r="R6547" s="308" t="s">
        <v>2743</v>
      </c>
      <c r="S6547" s="308" t="s">
        <v>49</v>
      </c>
      <c r="T6547" s="308" t="s">
        <v>51</v>
      </c>
      <c r="U6547" s="308" t="s">
        <v>4749</v>
      </c>
      <c r="V6547" s="308"/>
    </row>
    <row r="6548">
      <c r="A6548" s="308">
        <v>6547.0</v>
      </c>
      <c r="B6548" s="308"/>
      <c r="C6548" s="308" t="s">
        <v>26358</v>
      </c>
      <c r="D6548" s="308">
        <f>IFERROR(__xludf.DUMMYFUNCTION("SPLIT(C6548,""-"")"),6568.0)</f>
        <v>6568</v>
      </c>
      <c r="E6548" s="308" t="str">
        <f>IFERROR(__xludf.DUMMYFUNCTION("""COMPUTED_VALUE"""),"K")</f>
        <v>K</v>
      </c>
      <c r="F6548" s="309" t="s">
        <v>34</v>
      </c>
      <c r="G6548" s="308"/>
      <c r="H6548" s="308" t="s">
        <v>26359</v>
      </c>
      <c r="I6548" s="310">
        <v>42594.0</v>
      </c>
      <c r="J6548" s="319">
        <f>IFERROR(__xludf.DUMMYFUNCTION("SPLIT(I6548,""/"")"),12.0)</f>
        <v>12</v>
      </c>
      <c r="K6548" s="308">
        <f>IFERROR(__xludf.DUMMYFUNCTION("""COMPUTED_VALUE"""),8.0)</f>
        <v>8</v>
      </c>
      <c r="L6548" s="308">
        <f>IFERROR(__xludf.DUMMYFUNCTION("""COMPUTED_VALUE"""),2016.0)</f>
        <v>2016</v>
      </c>
      <c r="M6548" s="308" t="s">
        <v>26360</v>
      </c>
      <c r="N6548" s="308" t="s">
        <v>26361</v>
      </c>
      <c r="O6548" s="308" t="s">
        <v>26362</v>
      </c>
      <c r="P6548" s="308" t="s">
        <v>136</v>
      </c>
      <c r="Q6548" s="308" t="s">
        <v>39187</v>
      </c>
      <c r="R6548" s="308" t="s">
        <v>2743</v>
      </c>
      <c r="S6548" s="315" t="s">
        <v>100</v>
      </c>
      <c r="T6548" s="308" t="s">
        <v>34208</v>
      </c>
      <c r="U6548" s="308" t="s">
        <v>125</v>
      </c>
      <c r="V6548" s="308"/>
    </row>
    <row r="6549">
      <c r="A6549" s="308">
        <v>6548.0</v>
      </c>
      <c r="B6549" s="308"/>
      <c r="C6549" s="308" t="s">
        <v>26363</v>
      </c>
      <c r="D6549" s="308">
        <f>IFERROR(__xludf.DUMMYFUNCTION("SPLIT(C6549,""-"")"),6569.0)</f>
        <v>6569</v>
      </c>
      <c r="E6549" s="308" t="str">
        <f>IFERROR(__xludf.DUMMYFUNCTION("""COMPUTED_VALUE"""),"K")</f>
        <v>K</v>
      </c>
      <c r="F6549" s="309" t="s">
        <v>34</v>
      </c>
      <c r="G6549" s="308"/>
      <c r="H6549" s="308" t="s">
        <v>26364</v>
      </c>
      <c r="I6549" s="310">
        <v>43166.0</v>
      </c>
      <c r="J6549" s="319">
        <f>IFERROR(__xludf.DUMMYFUNCTION("SPLIT(I6549,""/"")"),7.0)</f>
        <v>7</v>
      </c>
      <c r="K6549" s="308">
        <f>IFERROR(__xludf.DUMMYFUNCTION("""COMPUTED_VALUE"""),3.0)</f>
        <v>3</v>
      </c>
      <c r="L6549" s="308">
        <f>IFERROR(__xludf.DUMMYFUNCTION("""COMPUTED_VALUE"""),2018.0)</f>
        <v>2018</v>
      </c>
      <c r="M6549" s="308" t="s">
        <v>26365</v>
      </c>
      <c r="N6549" s="308" t="s">
        <v>26366</v>
      </c>
      <c r="O6549" s="308"/>
      <c r="P6549" s="308" t="s">
        <v>136</v>
      </c>
      <c r="Q6549" s="308" t="s">
        <v>39188</v>
      </c>
      <c r="R6549" s="308" t="s">
        <v>2743</v>
      </c>
      <c r="S6549" s="315" t="s">
        <v>100</v>
      </c>
      <c r="T6549" s="308" t="s">
        <v>34208</v>
      </c>
      <c r="U6549" s="308" t="s">
        <v>542</v>
      </c>
      <c r="V6549" s="308"/>
    </row>
    <row r="6550">
      <c r="A6550" s="308">
        <v>6549.0</v>
      </c>
      <c r="B6550" s="308"/>
      <c r="C6550" s="308" t="s">
        <v>26367</v>
      </c>
      <c r="D6550" s="308">
        <f>IFERROR(__xludf.DUMMYFUNCTION("SPLIT(C6550,""-"")"),6570.0)</f>
        <v>6570</v>
      </c>
      <c r="E6550" s="308" t="str">
        <f>IFERROR(__xludf.DUMMYFUNCTION("""COMPUTED_VALUE"""),"K")</f>
        <v>K</v>
      </c>
      <c r="F6550" s="309" t="s">
        <v>34</v>
      </c>
      <c r="G6550" s="308"/>
      <c r="H6550" s="308" t="s">
        <v>26368</v>
      </c>
      <c r="I6550" s="310">
        <v>43632.0</v>
      </c>
      <c r="J6550" s="319">
        <f>IFERROR(__xludf.DUMMYFUNCTION("SPLIT(I6550,""/"")"),16.0)</f>
        <v>16</v>
      </c>
      <c r="K6550" s="308">
        <f>IFERROR(__xludf.DUMMYFUNCTION("""COMPUTED_VALUE"""),6.0)</f>
        <v>6</v>
      </c>
      <c r="L6550" s="308">
        <f>IFERROR(__xludf.DUMMYFUNCTION("""COMPUTED_VALUE"""),2019.0)</f>
        <v>2019</v>
      </c>
      <c r="M6550" s="308" t="s">
        <v>26369</v>
      </c>
      <c r="N6550" s="308" t="s">
        <v>26370</v>
      </c>
      <c r="O6550" s="308" t="s">
        <v>26371</v>
      </c>
      <c r="P6550" s="308" t="s">
        <v>39189</v>
      </c>
      <c r="Q6550" s="308" t="s">
        <v>39188</v>
      </c>
      <c r="R6550" s="308" t="s">
        <v>2743</v>
      </c>
      <c r="S6550" s="308" t="s">
        <v>49</v>
      </c>
      <c r="T6550" s="311" t="s">
        <v>51</v>
      </c>
      <c r="U6550" s="308" t="s">
        <v>10279</v>
      </c>
      <c r="V6550" s="308"/>
    </row>
    <row r="6551">
      <c r="A6551" s="308">
        <v>6550.0</v>
      </c>
      <c r="B6551" s="308"/>
      <c r="C6551" s="308" t="s">
        <v>26373</v>
      </c>
      <c r="D6551" s="308">
        <f>IFERROR(__xludf.DUMMYFUNCTION("SPLIT(C6551,""-"")"),6571.0)</f>
        <v>6571</v>
      </c>
      <c r="E6551" s="308" t="str">
        <f>IFERROR(__xludf.DUMMYFUNCTION("""COMPUTED_VALUE"""),"P")</f>
        <v>P</v>
      </c>
      <c r="F6551" s="312" t="s">
        <v>37</v>
      </c>
      <c r="G6551" s="308"/>
      <c r="H6551" s="308" t="s">
        <v>26374</v>
      </c>
      <c r="I6551" s="310">
        <v>42568.0</v>
      </c>
      <c r="J6551" s="319">
        <f>IFERROR(__xludf.DUMMYFUNCTION("SPLIT(I6551,""/"")"),17.0)</f>
        <v>17</v>
      </c>
      <c r="K6551" s="308">
        <f>IFERROR(__xludf.DUMMYFUNCTION("""COMPUTED_VALUE"""),7.0)</f>
        <v>7</v>
      </c>
      <c r="L6551" s="308">
        <f>IFERROR(__xludf.DUMMYFUNCTION("""COMPUTED_VALUE"""),2016.0)</f>
        <v>2016</v>
      </c>
      <c r="M6551" s="308" t="s">
        <v>26375</v>
      </c>
      <c r="N6551" s="308" t="s">
        <v>26376</v>
      </c>
      <c r="O6551" s="308" t="s">
        <v>26377</v>
      </c>
      <c r="P6551" s="308" t="s">
        <v>136</v>
      </c>
      <c r="Q6551" s="308" t="s">
        <v>39188</v>
      </c>
      <c r="R6551" s="308" t="s">
        <v>2743</v>
      </c>
      <c r="S6551" s="315" t="s">
        <v>100</v>
      </c>
      <c r="T6551" s="308" t="s">
        <v>34208</v>
      </c>
      <c r="U6551" s="308" t="s">
        <v>149</v>
      </c>
      <c r="V6551" s="308"/>
    </row>
    <row r="6552">
      <c r="A6552" s="308">
        <v>6551.0</v>
      </c>
      <c r="B6552" s="308"/>
      <c r="C6552" s="308" t="s">
        <v>26378</v>
      </c>
      <c r="D6552" s="308">
        <f>IFERROR(__xludf.DUMMYFUNCTION("SPLIT(C6552,""-"")"),6572.0)</f>
        <v>6572</v>
      </c>
      <c r="E6552" s="308" t="str">
        <f>IFERROR(__xludf.DUMMYFUNCTION("""COMPUTED_VALUE"""),"I")</f>
        <v>I</v>
      </c>
      <c r="F6552" s="309" t="s">
        <v>31</v>
      </c>
      <c r="G6552" s="308"/>
      <c r="H6552" s="308" t="s">
        <v>26379</v>
      </c>
      <c r="I6552" s="310">
        <v>43848.0</v>
      </c>
      <c r="J6552" s="319">
        <f>IFERROR(__xludf.DUMMYFUNCTION("SPLIT(I6552,""/"")"),18.0)</f>
        <v>18</v>
      </c>
      <c r="K6552" s="308">
        <f>IFERROR(__xludf.DUMMYFUNCTION("""COMPUTED_VALUE"""),1.0)</f>
        <v>1</v>
      </c>
      <c r="L6552" s="308">
        <f>IFERROR(__xludf.DUMMYFUNCTION("""COMPUTED_VALUE"""),2020.0)</f>
        <v>2020</v>
      </c>
      <c r="M6552" s="308" t="s">
        <v>26380</v>
      </c>
      <c r="N6552" s="308" t="s">
        <v>26381</v>
      </c>
      <c r="O6552" s="308" t="s">
        <v>26382</v>
      </c>
      <c r="P6552" s="308" t="s">
        <v>39190</v>
      </c>
      <c r="Q6552" s="308" t="s">
        <v>39188</v>
      </c>
      <c r="R6552" s="308" t="s">
        <v>2743</v>
      </c>
      <c r="S6552" s="308" t="s">
        <v>81</v>
      </c>
      <c r="T6552" s="311" t="s">
        <v>51</v>
      </c>
      <c r="U6552" s="308" t="s">
        <v>31</v>
      </c>
      <c r="V6552" s="308"/>
    </row>
    <row r="6553">
      <c r="A6553" s="308">
        <v>6552.0</v>
      </c>
      <c r="B6553" s="308"/>
      <c r="C6553" s="308" t="s">
        <v>26384</v>
      </c>
      <c r="D6553" s="308">
        <f>IFERROR(__xludf.DUMMYFUNCTION("SPLIT(C6553,""-"")"),6573.0)</f>
        <v>6573</v>
      </c>
      <c r="E6553" s="308" t="str">
        <f>IFERROR(__xludf.DUMMYFUNCTION("""COMPUTED_VALUE"""),"S")</f>
        <v>S</v>
      </c>
      <c r="F6553" s="312" t="s">
        <v>39</v>
      </c>
      <c r="G6553" s="308"/>
      <c r="H6553" s="308" t="s">
        <v>26385</v>
      </c>
      <c r="I6553" s="310">
        <v>39995.0</v>
      </c>
      <c r="J6553" s="319">
        <f>IFERROR(__xludf.DUMMYFUNCTION("SPLIT(I6553,""/"")"),1.0)</f>
        <v>1</v>
      </c>
      <c r="K6553" s="308">
        <f>IFERROR(__xludf.DUMMYFUNCTION("""COMPUTED_VALUE"""),7.0)</f>
        <v>7</v>
      </c>
      <c r="L6553" s="308">
        <f>IFERROR(__xludf.DUMMYFUNCTION("""COMPUTED_VALUE"""),2009.0)</f>
        <v>2009</v>
      </c>
      <c r="M6553" s="308" t="s">
        <v>26386</v>
      </c>
      <c r="N6553" s="308" t="s">
        <v>26387</v>
      </c>
      <c r="O6553" s="308"/>
      <c r="P6553" s="308" t="s">
        <v>136</v>
      </c>
      <c r="Q6553" s="308" t="s">
        <v>39188</v>
      </c>
      <c r="R6553" s="308" t="s">
        <v>2743</v>
      </c>
      <c r="S6553" s="315" t="s">
        <v>100</v>
      </c>
      <c r="T6553" s="308" t="s">
        <v>34208</v>
      </c>
      <c r="U6553" s="308" t="s">
        <v>166</v>
      </c>
      <c r="V6553" s="308"/>
    </row>
    <row r="6554">
      <c r="A6554" s="308">
        <v>6553.0</v>
      </c>
      <c r="B6554" s="308"/>
      <c r="C6554" s="308" t="s">
        <v>26388</v>
      </c>
      <c r="D6554" s="308">
        <f>IFERROR(__xludf.DUMMYFUNCTION("SPLIT(C6554,""-"")"),6574.0)</f>
        <v>6574</v>
      </c>
      <c r="E6554" s="308" t="str">
        <f>IFERROR(__xludf.DUMMYFUNCTION("""COMPUTED_VALUE"""),"K")</f>
        <v>K</v>
      </c>
      <c r="F6554" s="309" t="s">
        <v>34</v>
      </c>
      <c r="G6554" s="308"/>
      <c r="H6554" s="308" t="s">
        <v>26389</v>
      </c>
      <c r="I6554" s="310">
        <v>28672.0</v>
      </c>
      <c r="J6554" s="319">
        <f>IFERROR(__xludf.DUMMYFUNCTION("SPLIT(I6554,""/"")"),1.0)</f>
        <v>1</v>
      </c>
      <c r="K6554" s="308">
        <f>IFERROR(__xludf.DUMMYFUNCTION("""COMPUTED_VALUE"""),7.0)</f>
        <v>7</v>
      </c>
      <c r="L6554" s="308">
        <f>IFERROR(__xludf.DUMMYFUNCTION("""COMPUTED_VALUE"""),1978.0)</f>
        <v>1978</v>
      </c>
      <c r="M6554" s="308" t="s">
        <v>39191</v>
      </c>
      <c r="N6554" s="308"/>
      <c r="O6554" s="308"/>
      <c r="P6554" s="308" t="s">
        <v>136</v>
      </c>
      <c r="Q6554" s="308" t="s">
        <v>39192</v>
      </c>
      <c r="R6554" s="308" t="s">
        <v>2743</v>
      </c>
      <c r="S6554" s="315" t="s">
        <v>100</v>
      </c>
      <c r="T6554" s="308" t="s">
        <v>34208</v>
      </c>
      <c r="U6554" s="308" t="s">
        <v>2989</v>
      </c>
      <c r="V6554" s="308"/>
    </row>
    <row r="6555">
      <c r="A6555" s="308">
        <v>6554.0</v>
      </c>
      <c r="B6555" s="308"/>
      <c r="C6555" s="308" t="s">
        <v>26391</v>
      </c>
      <c r="D6555" s="308">
        <f>IFERROR(__xludf.DUMMYFUNCTION("SPLIT(C6555,""-"")"),6575.0)</f>
        <v>6575</v>
      </c>
      <c r="E6555" s="308" t="str">
        <f>IFERROR(__xludf.DUMMYFUNCTION("""COMPUTED_VALUE"""),"K")</f>
        <v>K</v>
      </c>
      <c r="F6555" s="309" t="s">
        <v>34</v>
      </c>
      <c r="G6555" s="308"/>
      <c r="H6555" s="308" t="s">
        <v>26392</v>
      </c>
      <c r="I6555" s="310">
        <v>43660.0</v>
      </c>
      <c r="J6555" s="319">
        <f>IFERROR(__xludf.DUMMYFUNCTION("SPLIT(I6555,""/"")"),14.0)</f>
        <v>14</v>
      </c>
      <c r="K6555" s="308">
        <f>IFERROR(__xludf.DUMMYFUNCTION("""COMPUTED_VALUE"""),7.0)</f>
        <v>7</v>
      </c>
      <c r="L6555" s="308">
        <f>IFERROR(__xludf.DUMMYFUNCTION("""COMPUTED_VALUE"""),2019.0)</f>
        <v>2019</v>
      </c>
      <c r="M6555" s="308" t="s">
        <v>26393</v>
      </c>
      <c r="N6555" s="308" t="s">
        <v>26394</v>
      </c>
      <c r="O6555" s="308"/>
      <c r="P6555" s="308" t="s">
        <v>136</v>
      </c>
      <c r="Q6555" s="308" t="s">
        <v>39192</v>
      </c>
      <c r="R6555" s="308" t="s">
        <v>2743</v>
      </c>
      <c r="S6555" s="315" t="s">
        <v>100</v>
      </c>
      <c r="T6555" s="308" t="s">
        <v>34208</v>
      </c>
      <c r="U6555" s="308" t="s">
        <v>542</v>
      </c>
      <c r="V6555" s="308"/>
    </row>
    <row r="6556">
      <c r="A6556" s="308">
        <v>6555.0</v>
      </c>
      <c r="B6556" s="308"/>
      <c r="C6556" s="308" t="s">
        <v>26395</v>
      </c>
      <c r="D6556" s="308">
        <f>IFERROR(__xludf.DUMMYFUNCTION("SPLIT(C6556,""-"")"),6576.0)</f>
        <v>6576</v>
      </c>
      <c r="E6556" s="308" t="str">
        <f>IFERROR(__xludf.DUMMYFUNCTION("""COMPUTED_VALUE"""),"A")</f>
        <v>A</v>
      </c>
      <c r="F6556" s="309" t="s">
        <v>23</v>
      </c>
      <c r="G6556" s="308"/>
      <c r="H6556" s="308" t="s">
        <v>26396</v>
      </c>
      <c r="I6556" s="310">
        <v>43301.0</v>
      </c>
      <c r="J6556" s="319">
        <f>IFERROR(__xludf.DUMMYFUNCTION("SPLIT(I6556,""/"")"),20.0)</f>
        <v>20</v>
      </c>
      <c r="K6556" s="308">
        <f>IFERROR(__xludf.DUMMYFUNCTION("""COMPUTED_VALUE"""),7.0)</f>
        <v>7</v>
      </c>
      <c r="L6556" s="308">
        <f>IFERROR(__xludf.DUMMYFUNCTION("""COMPUTED_VALUE"""),2018.0)</f>
        <v>2018</v>
      </c>
      <c r="M6556" s="308" t="s">
        <v>26397</v>
      </c>
      <c r="N6556" s="308" t="s">
        <v>26398</v>
      </c>
      <c r="O6556" s="308" t="s">
        <v>39193</v>
      </c>
      <c r="P6556" s="308" t="s">
        <v>26400</v>
      </c>
      <c r="Q6556" s="308" t="s">
        <v>39194</v>
      </c>
      <c r="R6556" s="308" t="s">
        <v>2743</v>
      </c>
      <c r="S6556" s="308" t="s">
        <v>49</v>
      </c>
      <c r="T6556" s="311" t="s">
        <v>51</v>
      </c>
      <c r="U6556" s="308" t="s">
        <v>403</v>
      </c>
      <c r="V6556" s="308"/>
    </row>
    <row r="6557">
      <c r="A6557" s="308">
        <v>6556.0</v>
      </c>
      <c r="B6557" s="308"/>
      <c r="C6557" s="308" t="s">
        <v>26401</v>
      </c>
      <c r="D6557" s="308">
        <f>IFERROR(__xludf.DUMMYFUNCTION("SPLIT(C6557,""-"")"),6577.0)</f>
        <v>6577</v>
      </c>
      <c r="E6557" s="308" t="str">
        <f>IFERROR(__xludf.DUMMYFUNCTION("""COMPUTED_VALUE"""),"P")</f>
        <v>P</v>
      </c>
      <c r="F6557" s="312" t="s">
        <v>37</v>
      </c>
      <c r="G6557" s="308"/>
      <c r="H6557" s="308" t="s">
        <v>26402</v>
      </c>
      <c r="I6557" s="310">
        <v>41812.0</v>
      </c>
      <c r="J6557" s="319">
        <f>IFERROR(__xludf.DUMMYFUNCTION("SPLIT(I6557,""/"")"),22.0)</f>
        <v>22</v>
      </c>
      <c r="K6557" s="308">
        <f>IFERROR(__xludf.DUMMYFUNCTION("""COMPUTED_VALUE"""),6.0)</f>
        <v>6</v>
      </c>
      <c r="L6557" s="308">
        <f>IFERROR(__xludf.DUMMYFUNCTION("""COMPUTED_VALUE"""),2014.0)</f>
        <v>2014</v>
      </c>
      <c r="M6557" s="308" t="s">
        <v>26403</v>
      </c>
      <c r="N6557" s="308" t="s">
        <v>26404</v>
      </c>
      <c r="O6557" s="308"/>
      <c r="P6557" s="308" t="s">
        <v>136</v>
      </c>
      <c r="Q6557" s="308" t="s">
        <v>39194</v>
      </c>
      <c r="R6557" s="308" t="s">
        <v>2743</v>
      </c>
      <c r="S6557" s="315" t="s">
        <v>100</v>
      </c>
      <c r="T6557" s="308" t="s">
        <v>34208</v>
      </c>
      <c r="U6557" s="308" t="s">
        <v>143</v>
      </c>
      <c r="V6557" s="308"/>
    </row>
    <row r="6558">
      <c r="A6558" s="308">
        <v>6557.0</v>
      </c>
      <c r="B6558" s="308"/>
      <c r="C6558" s="308" t="s">
        <v>26405</v>
      </c>
      <c r="D6558" s="308">
        <f>IFERROR(__xludf.DUMMYFUNCTION("SPLIT(C6558,""-"")"),6578.0)</f>
        <v>6578</v>
      </c>
      <c r="E6558" s="308" t="str">
        <f>IFERROR(__xludf.DUMMYFUNCTION("""COMPUTED_VALUE"""),"B")</f>
        <v>B</v>
      </c>
      <c r="F6558" s="315" t="s">
        <v>26</v>
      </c>
      <c r="G6558" s="308"/>
      <c r="H6558" s="308" t="s">
        <v>26406</v>
      </c>
      <c r="I6558" s="310">
        <v>42651.0</v>
      </c>
      <c r="J6558" s="319">
        <f>IFERROR(__xludf.DUMMYFUNCTION("SPLIT(I6558,""/"")"),8.0)</f>
        <v>8</v>
      </c>
      <c r="K6558" s="308">
        <f>IFERROR(__xludf.DUMMYFUNCTION("""COMPUTED_VALUE"""),10.0)</f>
        <v>10</v>
      </c>
      <c r="L6558" s="308">
        <f>IFERROR(__xludf.DUMMYFUNCTION("""COMPUTED_VALUE"""),2016.0)</f>
        <v>2016</v>
      </c>
      <c r="M6558" s="308" t="s">
        <v>26407</v>
      </c>
      <c r="N6558" s="308" t="s">
        <v>26408</v>
      </c>
      <c r="O6558" s="308"/>
      <c r="P6558" s="308" t="s">
        <v>136</v>
      </c>
      <c r="Q6558" s="308" t="s">
        <v>39194</v>
      </c>
      <c r="R6558" s="308" t="s">
        <v>20958</v>
      </c>
      <c r="S6558" s="315" t="s">
        <v>100</v>
      </c>
      <c r="T6558" s="308" t="s">
        <v>34208</v>
      </c>
      <c r="U6558" s="308" t="s">
        <v>27</v>
      </c>
      <c r="V6558" s="308"/>
    </row>
    <row r="6559">
      <c r="A6559" s="308">
        <v>6558.0</v>
      </c>
      <c r="B6559" s="308"/>
      <c r="C6559" s="308" t="s">
        <v>26409</v>
      </c>
      <c r="D6559" s="308">
        <f>IFERROR(__xludf.DUMMYFUNCTION("SPLIT(C6559,""-"")"),6579.0)</f>
        <v>6579</v>
      </c>
      <c r="E6559" s="308" t="str">
        <f>IFERROR(__xludf.DUMMYFUNCTION("""COMPUTED_VALUE"""),"K")</f>
        <v>K</v>
      </c>
      <c r="F6559" s="309" t="s">
        <v>34</v>
      </c>
      <c r="G6559" s="308"/>
      <c r="H6559" s="308" t="s">
        <v>26410</v>
      </c>
      <c r="I6559" s="310">
        <v>43742.0</v>
      </c>
      <c r="J6559" s="319">
        <f>IFERROR(__xludf.DUMMYFUNCTION("SPLIT(I6559,""/"")"),4.0)</f>
        <v>4</v>
      </c>
      <c r="K6559" s="308">
        <f>IFERROR(__xludf.DUMMYFUNCTION("""COMPUTED_VALUE"""),10.0)</f>
        <v>10</v>
      </c>
      <c r="L6559" s="308">
        <f>IFERROR(__xludf.DUMMYFUNCTION("""COMPUTED_VALUE"""),2019.0)</f>
        <v>2019</v>
      </c>
      <c r="M6559" s="308" t="s">
        <v>26411</v>
      </c>
      <c r="N6559" s="308" t="s">
        <v>26412</v>
      </c>
      <c r="O6559" s="308"/>
      <c r="P6559" s="308" t="s">
        <v>39195</v>
      </c>
      <c r="Q6559" s="308" t="s">
        <v>39194</v>
      </c>
      <c r="R6559" s="308" t="s">
        <v>2743</v>
      </c>
      <c r="S6559" s="308" t="s">
        <v>81</v>
      </c>
      <c r="T6559" s="311" t="s">
        <v>91</v>
      </c>
      <c r="U6559" s="308" t="s">
        <v>26343</v>
      </c>
      <c r="V6559" s="308"/>
    </row>
    <row r="6560">
      <c r="A6560" s="308">
        <v>6559.0</v>
      </c>
      <c r="B6560" s="308"/>
      <c r="C6560" s="308" t="s">
        <v>26414</v>
      </c>
      <c r="D6560" s="308">
        <f>IFERROR(__xludf.DUMMYFUNCTION("SPLIT(C6560,""-"")"),6580.0)</f>
        <v>6580</v>
      </c>
      <c r="E6560" s="308" t="str">
        <f>IFERROR(__xludf.DUMMYFUNCTION("""COMPUTED_VALUE"""),"P")</f>
        <v>P</v>
      </c>
      <c r="F6560" s="312" t="s">
        <v>37</v>
      </c>
      <c r="G6560" s="308"/>
      <c r="H6560" s="308" t="s">
        <v>26415</v>
      </c>
      <c r="I6560" s="314">
        <v>43068.0</v>
      </c>
      <c r="J6560" s="319">
        <f>IFERROR(__xludf.DUMMYFUNCTION("SPLIT(I6560,""/"")"),29.0)</f>
        <v>29</v>
      </c>
      <c r="K6560" s="308">
        <f>IFERROR(__xludf.DUMMYFUNCTION("""COMPUTED_VALUE"""),11.0)</f>
        <v>11</v>
      </c>
      <c r="L6560" s="308">
        <f>IFERROR(__xludf.DUMMYFUNCTION("""COMPUTED_VALUE"""),2017.0)</f>
        <v>2017</v>
      </c>
      <c r="M6560" s="308" t="s">
        <v>26416</v>
      </c>
      <c r="N6560" s="308" t="s">
        <v>26417</v>
      </c>
      <c r="O6560" s="308"/>
      <c r="P6560" s="308" t="s">
        <v>39196</v>
      </c>
      <c r="Q6560" s="308" t="s">
        <v>39197</v>
      </c>
      <c r="R6560" s="308" t="s">
        <v>2743</v>
      </c>
      <c r="S6560" s="308" t="s">
        <v>81</v>
      </c>
      <c r="T6560" s="308" t="s">
        <v>34264</v>
      </c>
      <c r="U6560" s="308" t="s">
        <v>149</v>
      </c>
      <c r="V6560" s="308"/>
    </row>
    <row r="6561">
      <c r="A6561" s="308">
        <v>6560.0</v>
      </c>
      <c r="B6561" s="308"/>
      <c r="C6561" s="308" t="s">
        <v>26419</v>
      </c>
      <c r="D6561" s="308">
        <f>IFERROR(__xludf.DUMMYFUNCTION("SPLIT(C6561,""-"")"),6581.0)</f>
        <v>6581</v>
      </c>
      <c r="E6561" s="308" t="str">
        <f>IFERROR(__xludf.DUMMYFUNCTION("""COMPUTED_VALUE"""),"GB")</f>
        <v>GB</v>
      </c>
      <c r="F6561" s="315" t="s">
        <v>29</v>
      </c>
      <c r="G6561" s="308"/>
      <c r="H6561" s="308" t="s">
        <v>26420</v>
      </c>
      <c r="I6561" s="310">
        <v>43691.0</v>
      </c>
      <c r="J6561" s="319">
        <f>IFERROR(__xludf.DUMMYFUNCTION("SPLIT(I6561,""/"")"),14.0)</f>
        <v>14</v>
      </c>
      <c r="K6561" s="308">
        <f>IFERROR(__xludf.DUMMYFUNCTION("""COMPUTED_VALUE"""),8.0)</f>
        <v>8</v>
      </c>
      <c r="L6561" s="308">
        <f>IFERROR(__xludf.DUMMYFUNCTION("""COMPUTED_VALUE"""),2019.0)</f>
        <v>2019</v>
      </c>
      <c r="M6561" s="308" t="s">
        <v>26421</v>
      </c>
      <c r="N6561" s="308" t="s">
        <v>26422</v>
      </c>
      <c r="O6561" s="308"/>
      <c r="P6561" s="308" t="s">
        <v>136</v>
      </c>
      <c r="Q6561" s="308" t="s">
        <v>39197</v>
      </c>
      <c r="R6561" s="308" t="s">
        <v>2743</v>
      </c>
      <c r="S6561" s="315" t="s">
        <v>100</v>
      </c>
      <c r="T6561" s="308" t="s">
        <v>34208</v>
      </c>
      <c r="U6561" s="308" t="s">
        <v>3528</v>
      </c>
      <c r="V6561" s="308"/>
    </row>
    <row r="6562">
      <c r="A6562" s="308">
        <v>6561.0</v>
      </c>
      <c r="B6562" s="308"/>
      <c r="C6562" s="308" t="s">
        <v>26423</v>
      </c>
      <c r="D6562" s="308">
        <f>IFERROR(__xludf.DUMMYFUNCTION("SPLIT(C6562,""-"")"),6582.0)</f>
        <v>6582</v>
      </c>
      <c r="E6562" s="308" t="str">
        <f>IFERROR(__xludf.DUMMYFUNCTION("""COMPUTED_VALUE"""),"K")</f>
        <v>K</v>
      </c>
      <c r="F6562" s="309" t="s">
        <v>34</v>
      </c>
      <c r="G6562" s="308"/>
      <c r="H6562" s="308" t="s">
        <v>26424</v>
      </c>
      <c r="I6562" s="310">
        <v>43846.0</v>
      </c>
      <c r="J6562" s="319">
        <f>IFERROR(__xludf.DUMMYFUNCTION("SPLIT(I6562,""/"")"),16.0)</f>
        <v>16</v>
      </c>
      <c r="K6562" s="308">
        <f>IFERROR(__xludf.DUMMYFUNCTION("""COMPUTED_VALUE"""),1.0)</f>
        <v>1</v>
      </c>
      <c r="L6562" s="308">
        <f>IFERROR(__xludf.DUMMYFUNCTION("""COMPUTED_VALUE"""),2020.0)</f>
        <v>2020</v>
      </c>
      <c r="M6562" s="308" t="s">
        <v>26425</v>
      </c>
      <c r="N6562" s="308" t="s">
        <v>26426</v>
      </c>
      <c r="O6562" s="308"/>
      <c r="P6562" s="308" t="s">
        <v>26427</v>
      </c>
      <c r="Q6562" s="308" t="s">
        <v>39198</v>
      </c>
      <c r="R6562" s="308" t="s">
        <v>2743</v>
      </c>
      <c r="S6562" s="308" t="s">
        <v>81</v>
      </c>
      <c r="T6562" s="311" t="s">
        <v>75</v>
      </c>
      <c r="U6562" s="308" t="s">
        <v>125</v>
      </c>
      <c r="V6562" s="308"/>
    </row>
    <row r="6563">
      <c r="A6563" s="308">
        <v>6562.0</v>
      </c>
      <c r="B6563" s="308"/>
      <c r="C6563" s="308" t="s">
        <v>26428</v>
      </c>
      <c r="D6563" s="308">
        <f>IFERROR(__xludf.DUMMYFUNCTION("SPLIT(C6563,""-"")"),6583.0)</f>
        <v>6583</v>
      </c>
      <c r="E6563" s="308" t="str">
        <f>IFERROR(__xludf.DUMMYFUNCTION("""COMPUTED_VALUE"""),"K")</f>
        <v>K</v>
      </c>
      <c r="F6563" s="309" t="s">
        <v>34</v>
      </c>
      <c r="G6563" s="308"/>
      <c r="H6563" s="308" t="s">
        <v>26429</v>
      </c>
      <c r="I6563" s="310">
        <v>42887.0</v>
      </c>
      <c r="J6563" s="319" t="str">
        <f>IFERROR(__xludf.DUMMYFUNCTION("SPLIT(I6563,""/"")"),"#REF!")</f>
        <v>#REF!</v>
      </c>
      <c r="K6563" s="308"/>
      <c r="L6563" s="308">
        <v>2017.0</v>
      </c>
      <c r="M6563" s="308" t="s">
        <v>26430</v>
      </c>
      <c r="N6563" s="308" t="s">
        <v>26431</v>
      </c>
      <c r="O6563" s="308"/>
      <c r="P6563" s="308" t="s">
        <v>39199</v>
      </c>
      <c r="Q6563" s="308" t="s">
        <v>39198</v>
      </c>
      <c r="R6563" s="308" t="s">
        <v>2743</v>
      </c>
      <c r="S6563" s="308" t="s">
        <v>81</v>
      </c>
      <c r="T6563" s="308" t="s">
        <v>73</v>
      </c>
      <c r="U6563" s="308" t="s">
        <v>125</v>
      </c>
      <c r="V6563" s="308"/>
    </row>
    <row r="6564">
      <c r="A6564" s="308">
        <v>6563.0</v>
      </c>
      <c r="B6564" s="308"/>
      <c r="C6564" s="308" t="s">
        <v>26433</v>
      </c>
      <c r="D6564" s="308">
        <f>IFERROR(__xludf.DUMMYFUNCTION("SPLIT(C6564,""-"")"),6584.0)</f>
        <v>6584</v>
      </c>
      <c r="E6564" s="308" t="str">
        <f>IFERROR(__xludf.DUMMYFUNCTION("""COMPUTED_VALUE"""),"K")</f>
        <v>K</v>
      </c>
      <c r="F6564" s="309" t="s">
        <v>34</v>
      </c>
      <c r="G6564" s="308"/>
      <c r="H6564" s="308" t="s">
        <v>26434</v>
      </c>
      <c r="I6564" s="310">
        <v>41852.0</v>
      </c>
      <c r="J6564" s="319">
        <f>IFERROR(__xludf.DUMMYFUNCTION("SPLIT(I6564,""/"")"),1.0)</f>
        <v>1</v>
      </c>
      <c r="K6564" s="308">
        <f>IFERROR(__xludf.DUMMYFUNCTION("""COMPUTED_VALUE"""),8.0)</f>
        <v>8</v>
      </c>
      <c r="L6564" s="308">
        <f>IFERROR(__xludf.DUMMYFUNCTION("""COMPUTED_VALUE"""),2014.0)</f>
        <v>2014</v>
      </c>
      <c r="M6564" s="308" t="s">
        <v>26435</v>
      </c>
      <c r="N6564" s="308" t="s">
        <v>26436</v>
      </c>
      <c r="O6564" s="308"/>
      <c r="P6564" s="308" t="s">
        <v>136</v>
      </c>
      <c r="Q6564" s="308" t="s">
        <v>39198</v>
      </c>
      <c r="R6564" s="308" t="s">
        <v>2743</v>
      </c>
      <c r="S6564" s="315" t="s">
        <v>100</v>
      </c>
      <c r="T6564" s="308" t="s">
        <v>34208</v>
      </c>
      <c r="U6564" s="308" t="s">
        <v>941</v>
      </c>
      <c r="V6564" s="308"/>
    </row>
    <row r="6565">
      <c r="A6565" s="308">
        <v>6564.0</v>
      </c>
      <c r="B6565" s="308"/>
      <c r="C6565" s="308" t="s">
        <v>26437</v>
      </c>
      <c r="D6565" s="308">
        <f>IFERROR(__xludf.DUMMYFUNCTION("SPLIT(C6565,""-"")"),6585.0)</f>
        <v>6585</v>
      </c>
      <c r="E6565" s="308" t="str">
        <f>IFERROR(__xludf.DUMMYFUNCTION("""COMPUTED_VALUE"""),"I")</f>
        <v>I</v>
      </c>
      <c r="F6565" s="309" t="s">
        <v>31</v>
      </c>
      <c r="G6565" s="308"/>
      <c r="H6565" s="308" t="s">
        <v>26438</v>
      </c>
      <c r="I6565" s="314">
        <v>43823.0</v>
      </c>
      <c r="J6565" s="319">
        <f>IFERROR(__xludf.DUMMYFUNCTION("SPLIT(I6565,""/"")"),24.0)</f>
        <v>24</v>
      </c>
      <c r="K6565" s="308">
        <f>IFERROR(__xludf.DUMMYFUNCTION("""COMPUTED_VALUE"""),12.0)</f>
        <v>12</v>
      </c>
      <c r="L6565" s="308">
        <f>IFERROR(__xludf.DUMMYFUNCTION("""COMPUTED_VALUE"""),2019.0)</f>
        <v>2019</v>
      </c>
      <c r="M6565" s="308" t="s">
        <v>26439</v>
      </c>
      <c r="N6565" s="308" t="s">
        <v>26440</v>
      </c>
      <c r="O6565" s="308"/>
      <c r="P6565" s="308" t="s">
        <v>26441</v>
      </c>
      <c r="Q6565" s="308" t="s">
        <v>39200</v>
      </c>
      <c r="R6565" s="308" t="s">
        <v>2743</v>
      </c>
      <c r="S6565" s="308" t="s">
        <v>81</v>
      </c>
      <c r="T6565" s="311" t="s">
        <v>96</v>
      </c>
      <c r="U6565" s="308" t="s">
        <v>31</v>
      </c>
      <c r="V6565" s="308"/>
    </row>
    <row r="6566">
      <c r="A6566" s="308">
        <v>6565.0</v>
      </c>
      <c r="B6566" s="308"/>
      <c r="C6566" s="308" t="s">
        <v>26442</v>
      </c>
      <c r="D6566" s="308">
        <f>IFERROR(__xludf.DUMMYFUNCTION("SPLIT(C6566,""-"")"),6586.0)</f>
        <v>6586</v>
      </c>
      <c r="E6566" s="308" t="str">
        <f>IFERROR(__xludf.DUMMYFUNCTION("""COMPUTED_VALUE"""),"P")</f>
        <v>P</v>
      </c>
      <c r="F6566" s="312" t="s">
        <v>37</v>
      </c>
      <c r="G6566" s="308"/>
      <c r="H6566" s="308" t="s">
        <v>26443</v>
      </c>
      <c r="I6566" s="310">
        <v>42797.0</v>
      </c>
      <c r="J6566" s="319">
        <f>IFERROR(__xludf.DUMMYFUNCTION("SPLIT(I6566,""/"")"),3.0)</f>
        <v>3</v>
      </c>
      <c r="K6566" s="308">
        <f>IFERROR(__xludf.DUMMYFUNCTION("""COMPUTED_VALUE"""),3.0)</f>
        <v>3</v>
      </c>
      <c r="L6566" s="308">
        <f>IFERROR(__xludf.DUMMYFUNCTION("""COMPUTED_VALUE"""),2017.0)</f>
        <v>2017</v>
      </c>
      <c r="M6566" s="308" t="s">
        <v>24642</v>
      </c>
      <c r="N6566" s="308" t="s">
        <v>26444</v>
      </c>
      <c r="O6566" s="308" t="s">
        <v>26445</v>
      </c>
      <c r="P6566" s="308" t="s">
        <v>136</v>
      </c>
      <c r="Q6566" s="308" t="s">
        <v>39201</v>
      </c>
      <c r="R6566" s="308" t="s">
        <v>2743</v>
      </c>
      <c r="S6566" s="315" t="s">
        <v>100</v>
      </c>
      <c r="T6566" s="308" t="s">
        <v>34208</v>
      </c>
      <c r="U6566" s="308" t="s">
        <v>18576</v>
      </c>
      <c r="V6566" s="308"/>
    </row>
    <row r="6567">
      <c r="A6567" s="308">
        <v>6566.0</v>
      </c>
      <c r="B6567" s="308"/>
      <c r="C6567" s="308" t="s">
        <v>26446</v>
      </c>
      <c r="D6567" s="308">
        <f>IFERROR(__xludf.DUMMYFUNCTION("SPLIT(C6567,""-"")"),6587.0)</f>
        <v>6587</v>
      </c>
      <c r="E6567" s="308" t="str">
        <f>IFERROR(__xludf.DUMMYFUNCTION("""COMPUTED_VALUE"""),"P")</f>
        <v>P</v>
      </c>
      <c r="F6567" s="312" t="s">
        <v>37</v>
      </c>
      <c r="G6567" s="308"/>
      <c r="H6567" s="308" t="s">
        <v>26447</v>
      </c>
      <c r="I6567" s="310">
        <v>43804.0</v>
      </c>
      <c r="J6567" s="319">
        <f>IFERROR(__xludf.DUMMYFUNCTION("SPLIT(I6567,""/"")"),5.0)</f>
        <v>5</v>
      </c>
      <c r="K6567" s="308">
        <f>IFERROR(__xludf.DUMMYFUNCTION("""COMPUTED_VALUE"""),12.0)</f>
        <v>12</v>
      </c>
      <c r="L6567" s="308">
        <f>IFERROR(__xludf.DUMMYFUNCTION("""COMPUTED_VALUE"""),2019.0)</f>
        <v>2019</v>
      </c>
      <c r="M6567" s="308" t="s">
        <v>26448</v>
      </c>
      <c r="N6567" s="308" t="s">
        <v>26449</v>
      </c>
      <c r="O6567" s="308"/>
      <c r="P6567" s="308" t="s">
        <v>26450</v>
      </c>
      <c r="Q6567" s="308" t="s">
        <v>39201</v>
      </c>
      <c r="R6567" s="308" t="s">
        <v>2743</v>
      </c>
      <c r="S6567" s="308" t="s">
        <v>81</v>
      </c>
      <c r="T6567" s="311" t="s">
        <v>51</v>
      </c>
      <c r="U6567" s="308" t="s">
        <v>143</v>
      </c>
      <c r="V6567" s="308"/>
    </row>
    <row r="6568">
      <c r="A6568" s="308">
        <v>6567.0</v>
      </c>
      <c r="B6568" s="308"/>
      <c r="C6568" s="308" t="s">
        <v>26451</v>
      </c>
      <c r="D6568" s="308">
        <f>IFERROR(__xludf.DUMMYFUNCTION("SPLIT(C6568,""-"")"),6588.0)</f>
        <v>6588</v>
      </c>
      <c r="E6568" s="308" t="str">
        <f>IFERROR(__xludf.DUMMYFUNCTION("""COMPUTED_VALUE"""),"I")</f>
        <v>I</v>
      </c>
      <c r="F6568" s="309" t="s">
        <v>31</v>
      </c>
      <c r="G6568" s="308"/>
      <c r="H6568" s="308" t="s">
        <v>26452</v>
      </c>
      <c r="I6568" s="310">
        <v>43805.0</v>
      </c>
      <c r="J6568" s="319">
        <f>IFERROR(__xludf.DUMMYFUNCTION("SPLIT(I6568,""/"")"),6.0)</f>
        <v>6</v>
      </c>
      <c r="K6568" s="308">
        <f>IFERROR(__xludf.DUMMYFUNCTION("""COMPUTED_VALUE"""),12.0)</f>
        <v>12</v>
      </c>
      <c r="L6568" s="308">
        <f>IFERROR(__xludf.DUMMYFUNCTION("""COMPUTED_VALUE"""),2019.0)</f>
        <v>2019</v>
      </c>
      <c r="M6568" s="308" t="s">
        <v>26448</v>
      </c>
      <c r="N6568" s="308" t="s">
        <v>26453</v>
      </c>
      <c r="O6568" s="308" t="s">
        <v>26454</v>
      </c>
      <c r="P6568" s="308" t="s">
        <v>39202</v>
      </c>
      <c r="Q6568" s="308" t="s">
        <v>39201</v>
      </c>
      <c r="R6568" s="308" t="s">
        <v>2743</v>
      </c>
      <c r="S6568" s="308" t="s">
        <v>81</v>
      </c>
      <c r="T6568" s="311" t="s">
        <v>51</v>
      </c>
      <c r="U6568" s="308" t="s">
        <v>31</v>
      </c>
      <c r="V6568" s="308"/>
    </row>
    <row r="6569">
      <c r="A6569" s="308">
        <v>6568.0</v>
      </c>
      <c r="B6569" s="308"/>
      <c r="C6569" s="308" t="s">
        <v>26456</v>
      </c>
      <c r="D6569" s="308">
        <f>IFERROR(__xludf.DUMMYFUNCTION("SPLIT(C6569,""-"")"),6589.0)</f>
        <v>6589</v>
      </c>
      <c r="E6569" s="308" t="str">
        <f>IFERROR(__xludf.DUMMYFUNCTION("""COMPUTED_VALUE"""),"B")</f>
        <v>B</v>
      </c>
      <c r="F6569" s="315" t="s">
        <v>26</v>
      </c>
      <c r="G6569" s="308"/>
      <c r="H6569" s="308" t="s">
        <v>26457</v>
      </c>
      <c r="I6569" s="314">
        <v>43419.0</v>
      </c>
      <c r="J6569" s="319">
        <f>IFERROR(__xludf.DUMMYFUNCTION("SPLIT(I6569,""/"")"),15.0)</f>
        <v>15</v>
      </c>
      <c r="K6569" s="308">
        <f>IFERROR(__xludf.DUMMYFUNCTION("""COMPUTED_VALUE"""),11.0)</f>
        <v>11</v>
      </c>
      <c r="L6569" s="308">
        <f>IFERROR(__xludf.DUMMYFUNCTION("""COMPUTED_VALUE"""),2018.0)</f>
        <v>2018</v>
      </c>
      <c r="M6569" s="308" t="s">
        <v>26458</v>
      </c>
      <c r="N6569" s="308" t="s">
        <v>26459</v>
      </c>
      <c r="O6569" s="308"/>
      <c r="P6569" s="308" t="s">
        <v>26460</v>
      </c>
      <c r="Q6569" s="308" t="s">
        <v>39203</v>
      </c>
      <c r="R6569" s="308" t="s">
        <v>2743</v>
      </c>
      <c r="S6569" s="308" t="s">
        <v>81</v>
      </c>
      <c r="T6569" s="311" t="s">
        <v>96</v>
      </c>
      <c r="U6569" s="308" t="s">
        <v>27</v>
      </c>
      <c r="V6569" s="308"/>
    </row>
    <row r="6570">
      <c r="A6570" s="308">
        <v>6569.0</v>
      </c>
      <c r="B6570" s="308"/>
      <c r="C6570" s="308" t="s">
        <v>26461</v>
      </c>
      <c r="D6570" s="308">
        <f>IFERROR(__xludf.DUMMYFUNCTION("SPLIT(C6570,""-"")"),6590.0)</f>
        <v>6590</v>
      </c>
      <c r="E6570" s="308" t="str">
        <f>IFERROR(__xludf.DUMMYFUNCTION("""COMPUTED_VALUE"""),"K")</f>
        <v>K</v>
      </c>
      <c r="F6570" s="309" t="s">
        <v>34</v>
      </c>
      <c r="G6570" s="308"/>
      <c r="H6570" s="308" t="s">
        <v>26462</v>
      </c>
      <c r="I6570" s="314">
        <v>39047.0</v>
      </c>
      <c r="J6570" s="319">
        <f>IFERROR(__xludf.DUMMYFUNCTION("SPLIT(I6570,""/"")"),26.0)</f>
        <v>26</v>
      </c>
      <c r="K6570" s="308">
        <f>IFERROR(__xludf.DUMMYFUNCTION("""COMPUTED_VALUE"""),11.0)</f>
        <v>11</v>
      </c>
      <c r="L6570" s="308">
        <f>IFERROR(__xludf.DUMMYFUNCTION("""COMPUTED_VALUE"""),2006.0)</f>
        <v>2006</v>
      </c>
      <c r="M6570" s="308" t="s">
        <v>26463</v>
      </c>
      <c r="N6570" s="308" t="s">
        <v>39204</v>
      </c>
      <c r="O6570" s="308"/>
      <c r="P6570" s="308" t="s">
        <v>39205</v>
      </c>
      <c r="Q6570" s="308" t="s">
        <v>39203</v>
      </c>
      <c r="R6570" s="308" t="s">
        <v>2743</v>
      </c>
      <c r="S6570" s="311" t="s">
        <v>49</v>
      </c>
      <c r="T6570" s="311" t="s">
        <v>59</v>
      </c>
      <c r="U6570" s="308" t="s">
        <v>2989</v>
      </c>
      <c r="V6570" s="308"/>
    </row>
    <row r="6571">
      <c r="A6571" s="308">
        <v>6570.0</v>
      </c>
      <c r="B6571" s="308"/>
      <c r="C6571" s="308" t="s">
        <v>26466</v>
      </c>
      <c r="D6571" s="308">
        <f>IFERROR(__xludf.DUMMYFUNCTION("SPLIT(C6571,""-"")"),6591.0)</f>
        <v>6591</v>
      </c>
      <c r="E6571" s="308" t="str">
        <f>IFERROR(__xludf.DUMMYFUNCTION("""COMPUTED_VALUE"""),"K")</f>
        <v>K</v>
      </c>
      <c r="F6571" s="309" t="s">
        <v>34</v>
      </c>
      <c r="G6571" s="308"/>
      <c r="H6571" s="308" t="s">
        <v>26467</v>
      </c>
      <c r="I6571" s="314">
        <v>43766.0</v>
      </c>
      <c r="J6571" s="319">
        <f>IFERROR(__xludf.DUMMYFUNCTION("SPLIT(I6571,""/"")"),28.0)</f>
        <v>28</v>
      </c>
      <c r="K6571" s="308">
        <f>IFERROR(__xludf.DUMMYFUNCTION("""COMPUTED_VALUE"""),10.0)</f>
        <v>10</v>
      </c>
      <c r="L6571" s="308">
        <f>IFERROR(__xludf.DUMMYFUNCTION("""COMPUTED_VALUE"""),2019.0)</f>
        <v>2019</v>
      </c>
      <c r="M6571" s="308" t="s">
        <v>26468</v>
      </c>
      <c r="N6571" s="308" t="s">
        <v>26469</v>
      </c>
      <c r="O6571" s="308"/>
      <c r="P6571" s="308" t="s">
        <v>26470</v>
      </c>
      <c r="Q6571" s="308" t="s">
        <v>39203</v>
      </c>
      <c r="R6571" s="308" t="s">
        <v>2743</v>
      </c>
      <c r="S6571" s="308" t="s">
        <v>81</v>
      </c>
      <c r="T6571" s="308" t="s">
        <v>75</v>
      </c>
      <c r="U6571" s="308" t="s">
        <v>282</v>
      </c>
      <c r="V6571" s="308"/>
    </row>
    <row r="6572">
      <c r="A6572" s="308">
        <v>6571.0</v>
      </c>
      <c r="B6572" s="308"/>
      <c r="C6572" s="308" t="s">
        <v>26471</v>
      </c>
      <c r="D6572" s="308">
        <f>IFERROR(__xludf.DUMMYFUNCTION("SPLIT(C6572,""-"")"),6592.0)</f>
        <v>6592</v>
      </c>
      <c r="E6572" s="308" t="str">
        <f>IFERROR(__xludf.DUMMYFUNCTION("""COMPUTED_VALUE"""),"K")</f>
        <v>K</v>
      </c>
      <c r="F6572" s="309" t="s">
        <v>34</v>
      </c>
      <c r="G6572" s="308"/>
      <c r="H6572" s="308" t="s">
        <v>26472</v>
      </c>
      <c r="I6572" s="310">
        <v>40513.0</v>
      </c>
      <c r="J6572" s="319">
        <f>IFERROR(__xludf.DUMMYFUNCTION("SPLIT(I6572,""/"")"),1.0)</f>
        <v>1</v>
      </c>
      <c r="K6572" s="308">
        <f>IFERROR(__xludf.DUMMYFUNCTION("""COMPUTED_VALUE"""),12.0)</f>
        <v>12</v>
      </c>
      <c r="L6572" s="308">
        <f>IFERROR(__xludf.DUMMYFUNCTION("""COMPUTED_VALUE"""),2010.0)</f>
        <v>2010</v>
      </c>
      <c r="M6572" s="308" t="s">
        <v>26473</v>
      </c>
      <c r="N6572" s="308" t="s">
        <v>39206</v>
      </c>
      <c r="O6572" s="308" t="s">
        <v>26475</v>
      </c>
      <c r="P6572" s="308" t="s">
        <v>136</v>
      </c>
      <c r="Q6572" s="308" t="s">
        <v>39203</v>
      </c>
      <c r="R6572" s="308" t="s">
        <v>2743</v>
      </c>
      <c r="S6572" s="315" t="s">
        <v>100</v>
      </c>
      <c r="T6572" s="308" t="s">
        <v>34208</v>
      </c>
      <c r="U6572" s="308" t="s">
        <v>125</v>
      </c>
      <c r="V6572" s="308"/>
    </row>
    <row r="6573">
      <c r="A6573" s="308">
        <v>6572.0</v>
      </c>
      <c r="B6573" s="308"/>
      <c r="C6573" s="308" t="s">
        <v>26476</v>
      </c>
      <c r="D6573" s="308">
        <f>IFERROR(__xludf.DUMMYFUNCTION("SPLIT(C6573,""-"")"),6593.0)</f>
        <v>6593</v>
      </c>
      <c r="E6573" s="308" t="str">
        <f>IFERROR(__xludf.DUMMYFUNCTION("""COMPUTED_VALUE"""),"K")</f>
        <v>K</v>
      </c>
      <c r="F6573" s="309" t="s">
        <v>34</v>
      </c>
      <c r="G6573" s="308"/>
      <c r="H6573" s="308" t="s">
        <v>26477</v>
      </c>
      <c r="I6573" s="310">
        <v>43070.0</v>
      </c>
      <c r="J6573" s="319" t="str">
        <f>IFERROR(__xludf.DUMMYFUNCTION("SPLIT(I6573,""/"")"),"#REF!")</f>
        <v>#REF!</v>
      </c>
      <c r="K6573" s="308"/>
      <c r="L6573" s="308">
        <v>2017.0</v>
      </c>
      <c r="M6573" s="308" t="s">
        <v>26478</v>
      </c>
      <c r="N6573" s="308" t="s">
        <v>39207</v>
      </c>
      <c r="O6573" s="308"/>
      <c r="P6573" s="308" t="s">
        <v>136</v>
      </c>
      <c r="Q6573" s="308" t="s">
        <v>39203</v>
      </c>
      <c r="R6573" s="308" t="s">
        <v>2743</v>
      </c>
      <c r="S6573" s="315" t="s">
        <v>100</v>
      </c>
      <c r="T6573" s="308" t="s">
        <v>34208</v>
      </c>
      <c r="U6573" s="308" t="s">
        <v>530</v>
      </c>
      <c r="V6573" s="308"/>
    </row>
    <row r="6574">
      <c r="A6574" s="308">
        <v>6573.0</v>
      </c>
      <c r="B6574" s="308"/>
      <c r="C6574" s="308" t="s">
        <v>26480</v>
      </c>
      <c r="D6574" s="308">
        <f>IFERROR(__xludf.DUMMYFUNCTION("SPLIT(C6574,""-"")"),6594.0)</f>
        <v>6594</v>
      </c>
      <c r="E6574" s="308" t="str">
        <f>IFERROR(__xludf.DUMMYFUNCTION("""COMPUTED_VALUE"""),"P")</f>
        <v>P</v>
      </c>
      <c r="F6574" s="312" t="s">
        <v>37</v>
      </c>
      <c r="G6574" s="308"/>
      <c r="H6574" s="308" t="s">
        <v>26481</v>
      </c>
      <c r="I6574" s="310">
        <v>43860.0</v>
      </c>
      <c r="J6574" s="319">
        <f>IFERROR(__xludf.DUMMYFUNCTION("SPLIT(I6574,""/"")"),30.0)</f>
        <v>30</v>
      </c>
      <c r="K6574" s="308">
        <f>IFERROR(__xludf.DUMMYFUNCTION("""COMPUTED_VALUE"""),1.0)</f>
        <v>1</v>
      </c>
      <c r="L6574" s="308">
        <f>IFERROR(__xludf.DUMMYFUNCTION("""COMPUTED_VALUE"""),2020.0)</f>
        <v>2020</v>
      </c>
      <c r="M6574" s="308" t="s">
        <v>26482</v>
      </c>
      <c r="N6574" s="308" t="s">
        <v>26483</v>
      </c>
      <c r="O6574" s="308" t="s">
        <v>26484</v>
      </c>
      <c r="P6574" s="308" t="s">
        <v>136</v>
      </c>
      <c r="Q6574" s="308" t="s">
        <v>39208</v>
      </c>
      <c r="R6574" s="308" t="s">
        <v>2743</v>
      </c>
      <c r="S6574" s="315" t="s">
        <v>100</v>
      </c>
      <c r="T6574" s="308" t="s">
        <v>34208</v>
      </c>
      <c r="U6574" s="308" t="s">
        <v>2527</v>
      </c>
      <c r="V6574" s="308"/>
    </row>
    <row r="6575">
      <c r="A6575" s="308">
        <v>6574.0</v>
      </c>
      <c r="B6575" s="308"/>
      <c r="C6575" s="308" t="s">
        <v>26485</v>
      </c>
      <c r="D6575" s="308">
        <f>IFERROR(__xludf.DUMMYFUNCTION("SPLIT(C6575,""-"")"),6595.0)</f>
        <v>6595</v>
      </c>
      <c r="E6575" s="308" t="str">
        <f>IFERROR(__xludf.DUMMYFUNCTION("""COMPUTED_VALUE"""),"P")</f>
        <v>P</v>
      </c>
      <c r="F6575" s="312" t="s">
        <v>37</v>
      </c>
      <c r="G6575" s="308"/>
      <c r="H6575" s="308" t="s">
        <v>26486</v>
      </c>
      <c r="I6575" s="310">
        <v>43859.0</v>
      </c>
      <c r="J6575" s="319">
        <f>IFERROR(__xludf.DUMMYFUNCTION("SPLIT(I6575,""/"")"),29.0)</f>
        <v>29</v>
      </c>
      <c r="K6575" s="308">
        <f>IFERROR(__xludf.DUMMYFUNCTION("""COMPUTED_VALUE"""),1.0)</f>
        <v>1</v>
      </c>
      <c r="L6575" s="308">
        <f>IFERROR(__xludf.DUMMYFUNCTION("""COMPUTED_VALUE"""),2020.0)</f>
        <v>2020</v>
      </c>
      <c r="M6575" s="308" t="s">
        <v>26487</v>
      </c>
      <c r="N6575" s="308" t="s">
        <v>26488</v>
      </c>
      <c r="O6575" s="308"/>
      <c r="P6575" s="308" t="s">
        <v>26489</v>
      </c>
      <c r="Q6575" s="308" t="s">
        <v>39209</v>
      </c>
      <c r="R6575" s="308" t="s">
        <v>2743</v>
      </c>
      <c r="S6575" s="308" t="s">
        <v>81</v>
      </c>
      <c r="T6575" s="311" t="s">
        <v>51</v>
      </c>
      <c r="U6575" s="308" t="s">
        <v>143</v>
      </c>
      <c r="V6575" s="308"/>
    </row>
    <row r="6576">
      <c r="A6576" s="308">
        <v>6575.0</v>
      </c>
      <c r="B6576" s="308"/>
      <c r="C6576" s="308" t="s">
        <v>26490</v>
      </c>
      <c r="D6576" s="308">
        <f>IFERROR(__xludf.DUMMYFUNCTION("SPLIT(C6576,""-"")"),6596.0)</f>
        <v>6596</v>
      </c>
      <c r="E6576" s="308" t="str">
        <f>IFERROR(__xludf.DUMMYFUNCTION("""COMPUTED_VALUE"""),"S")</f>
        <v>S</v>
      </c>
      <c r="F6576" s="312" t="s">
        <v>39</v>
      </c>
      <c r="G6576" s="308"/>
      <c r="H6576" s="308" t="s">
        <v>26491</v>
      </c>
      <c r="I6576" s="310">
        <v>43880.0</v>
      </c>
      <c r="J6576" s="319">
        <f>IFERROR(__xludf.DUMMYFUNCTION("SPLIT(I6576,""/"")"),19.0)</f>
        <v>19</v>
      </c>
      <c r="K6576" s="308">
        <f>IFERROR(__xludf.DUMMYFUNCTION("""COMPUTED_VALUE"""),2.0)</f>
        <v>2</v>
      </c>
      <c r="L6576" s="308">
        <f>IFERROR(__xludf.DUMMYFUNCTION("""COMPUTED_VALUE"""),2020.0)</f>
        <v>2020</v>
      </c>
      <c r="M6576" s="308" t="s">
        <v>26492</v>
      </c>
      <c r="N6576" s="308" t="s">
        <v>39210</v>
      </c>
      <c r="O6576" s="308"/>
      <c r="P6576" s="308" t="s">
        <v>39211</v>
      </c>
      <c r="Q6576" s="308" t="s">
        <v>39209</v>
      </c>
      <c r="R6576" s="308" t="s">
        <v>2743</v>
      </c>
      <c r="S6576" s="308" t="s">
        <v>81</v>
      </c>
      <c r="T6576" s="308" t="s">
        <v>75</v>
      </c>
      <c r="U6576" s="308" t="s">
        <v>166</v>
      </c>
      <c r="V6576" s="308"/>
    </row>
    <row r="6577">
      <c r="A6577" s="308">
        <v>6576.0</v>
      </c>
      <c r="B6577" s="308"/>
      <c r="C6577" s="308" t="s">
        <v>26495</v>
      </c>
      <c r="D6577" s="308">
        <f>IFERROR(__xludf.DUMMYFUNCTION("SPLIT(C6577,""-"")"),6597.0)</f>
        <v>6597</v>
      </c>
      <c r="E6577" s="308" t="str">
        <f>IFERROR(__xludf.DUMMYFUNCTION("""COMPUTED_VALUE"""),"K")</f>
        <v>K</v>
      </c>
      <c r="F6577" s="309" t="s">
        <v>34</v>
      </c>
      <c r="G6577" s="308"/>
      <c r="H6577" s="308" t="s">
        <v>26496</v>
      </c>
      <c r="I6577" s="310">
        <v>43856.0</v>
      </c>
      <c r="J6577" s="319">
        <f>IFERROR(__xludf.DUMMYFUNCTION("SPLIT(I6577,""/"")"),26.0)</f>
        <v>26</v>
      </c>
      <c r="K6577" s="308">
        <f>IFERROR(__xludf.DUMMYFUNCTION("""COMPUTED_VALUE"""),1.0)</f>
        <v>1</v>
      </c>
      <c r="L6577" s="308">
        <f>IFERROR(__xludf.DUMMYFUNCTION("""COMPUTED_VALUE"""),2020.0)</f>
        <v>2020</v>
      </c>
      <c r="M6577" s="308" t="s">
        <v>26497</v>
      </c>
      <c r="N6577" s="308" t="s">
        <v>26498</v>
      </c>
      <c r="O6577" s="308"/>
      <c r="P6577" s="308" t="s">
        <v>39212</v>
      </c>
      <c r="Q6577" s="308" t="s">
        <v>39209</v>
      </c>
      <c r="R6577" s="308" t="s">
        <v>2743</v>
      </c>
      <c r="S6577" s="308" t="s">
        <v>81</v>
      </c>
      <c r="T6577" s="311" t="s">
        <v>96</v>
      </c>
      <c r="U6577" s="308" t="s">
        <v>125</v>
      </c>
      <c r="V6577" s="308"/>
    </row>
    <row r="6578">
      <c r="A6578" s="308">
        <v>6577.0</v>
      </c>
      <c r="B6578" s="308"/>
      <c r="C6578" s="308" t="s">
        <v>26500</v>
      </c>
      <c r="D6578" s="308">
        <f>IFERROR(__xludf.DUMMYFUNCTION("SPLIT(C6578,""-"")"),6598.0)</f>
        <v>6598</v>
      </c>
      <c r="E6578" s="308" t="str">
        <f>IFERROR(__xludf.DUMMYFUNCTION("""COMPUTED_VALUE"""),"K")</f>
        <v>K</v>
      </c>
      <c r="F6578" s="309" t="s">
        <v>34</v>
      </c>
      <c r="G6578" s="308"/>
      <c r="H6578" s="308" t="s">
        <v>26501</v>
      </c>
      <c r="I6578" s="310">
        <v>40770.0</v>
      </c>
      <c r="J6578" s="319">
        <f>IFERROR(__xludf.DUMMYFUNCTION("SPLIT(I6578,""/"")"),15.0)</f>
        <v>15</v>
      </c>
      <c r="K6578" s="308">
        <f>IFERROR(__xludf.DUMMYFUNCTION("""COMPUTED_VALUE"""),8.0)</f>
        <v>8</v>
      </c>
      <c r="L6578" s="308">
        <f>IFERROR(__xludf.DUMMYFUNCTION("""COMPUTED_VALUE"""),2011.0)</f>
        <v>2011</v>
      </c>
      <c r="M6578" s="308" t="s">
        <v>26502</v>
      </c>
      <c r="N6578" s="308" t="s">
        <v>26503</v>
      </c>
      <c r="O6578" s="308" t="s">
        <v>26504</v>
      </c>
      <c r="P6578" s="308" t="s">
        <v>136</v>
      </c>
      <c r="Q6578" s="308" t="s">
        <v>39209</v>
      </c>
      <c r="R6578" s="308" t="s">
        <v>2743</v>
      </c>
      <c r="S6578" s="315" t="s">
        <v>100</v>
      </c>
      <c r="T6578" s="308" t="s">
        <v>34208</v>
      </c>
      <c r="U6578" s="308" t="s">
        <v>2989</v>
      </c>
      <c r="V6578" s="308"/>
    </row>
    <row r="6579">
      <c r="A6579" s="308">
        <v>6578.0</v>
      </c>
      <c r="B6579" s="308"/>
      <c r="C6579" s="308" t="s">
        <v>26505</v>
      </c>
      <c r="D6579" s="308">
        <f>IFERROR(__xludf.DUMMYFUNCTION("SPLIT(C6579,""-"")"),6599.0)</f>
        <v>6599</v>
      </c>
      <c r="E6579" s="308" t="str">
        <f>IFERROR(__xludf.DUMMYFUNCTION("""COMPUTED_VALUE"""),"K")</f>
        <v>K</v>
      </c>
      <c r="F6579" s="309" t="s">
        <v>34</v>
      </c>
      <c r="G6579" s="308"/>
      <c r="H6579" s="308" t="s">
        <v>20753</v>
      </c>
      <c r="I6579" s="310">
        <v>43876.0</v>
      </c>
      <c r="J6579" s="319">
        <f>IFERROR(__xludf.DUMMYFUNCTION("SPLIT(I6579,""/"")"),15.0)</f>
        <v>15</v>
      </c>
      <c r="K6579" s="308">
        <f>IFERROR(__xludf.DUMMYFUNCTION("""COMPUTED_VALUE"""),2.0)</f>
        <v>2</v>
      </c>
      <c r="L6579" s="308">
        <f>IFERROR(__xludf.DUMMYFUNCTION("""COMPUTED_VALUE"""),2020.0)</f>
        <v>2020</v>
      </c>
      <c r="M6579" s="308" t="s">
        <v>26506</v>
      </c>
      <c r="N6579" s="308" t="s">
        <v>26507</v>
      </c>
      <c r="O6579" s="308"/>
      <c r="P6579" s="308" t="s">
        <v>136</v>
      </c>
      <c r="Q6579" s="308" t="s">
        <v>39213</v>
      </c>
      <c r="R6579" s="308" t="s">
        <v>2743</v>
      </c>
      <c r="S6579" s="315" t="s">
        <v>100</v>
      </c>
      <c r="T6579" s="308" t="s">
        <v>34208</v>
      </c>
      <c r="U6579" s="308" t="s">
        <v>2152</v>
      </c>
      <c r="V6579" s="308"/>
    </row>
    <row r="6580">
      <c r="A6580" s="308">
        <v>6579.0</v>
      </c>
      <c r="B6580" s="308"/>
      <c r="C6580" s="308" t="s">
        <v>26508</v>
      </c>
      <c r="D6580" s="308">
        <f>IFERROR(__xludf.DUMMYFUNCTION("SPLIT(C6580,""-"")"),6600.0)</f>
        <v>6600</v>
      </c>
      <c r="E6580" s="308" t="str">
        <f>IFERROR(__xludf.DUMMYFUNCTION("""COMPUTED_VALUE"""),"K")</f>
        <v>K</v>
      </c>
      <c r="F6580" s="309" t="s">
        <v>34</v>
      </c>
      <c r="G6580" s="308"/>
      <c r="H6580" s="308" t="s">
        <v>26509</v>
      </c>
      <c r="I6580" s="310">
        <v>43839.0</v>
      </c>
      <c r="J6580" s="319">
        <f>IFERROR(__xludf.DUMMYFUNCTION("SPLIT(I6580,""/"")"),9.0)</f>
        <v>9</v>
      </c>
      <c r="K6580" s="308">
        <f>IFERROR(__xludf.DUMMYFUNCTION("""COMPUTED_VALUE"""),1.0)</f>
        <v>1</v>
      </c>
      <c r="L6580" s="308">
        <f>IFERROR(__xludf.DUMMYFUNCTION("""COMPUTED_VALUE"""),2020.0)</f>
        <v>2020</v>
      </c>
      <c r="M6580" s="308" t="s">
        <v>26510</v>
      </c>
      <c r="N6580" s="308" t="s">
        <v>26511</v>
      </c>
      <c r="O6580" s="308"/>
      <c r="P6580" s="308" t="s">
        <v>39214</v>
      </c>
      <c r="Q6580" s="308" t="s">
        <v>39213</v>
      </c>
      <c r="R6580" s="308" t="s">
        <v>2743</v>
      </c>
      <c r="S6580" s="308" t="s">
        <v>81</v>
      </c>
      <c r="T6580" s="311" t="s">
        <v>73</v>
      </c>
      <c r="U6580" s="308" t="s">
        <v>125</v>
      </c>
      <c r="V6580" s="308"/>
    </row>
    <row r="6581">
      <c r="A6581" s="308">
        <v>6580.0</v>
      </c>
      <c r="B6581" s="308"/>
      <c r="C6581" s="308" t="s">
        <v>26513</v>
      </c>
      <c r="D6581" s="308">
        <f>IFERROR(__xludf.DUMMYFUNCTION("SPLIT(C6581,""-"")"),6601.0)</f>
        <v>6601</v>
      </c>
      <c r="E6581" s="308" t="str">
        <f>IFERROR(__xludf.DUMMYFUNCTION("""COMPUTED_VALUE"""),"K")</f>
        <v>K</v>
      </c>
      <c r="F6581" s="309" t="s">
        <v>34</v>
      </c>
      <c r="G6581" s="308"/>
      <c r="H6581" s="308" t="s">
        <v>26514</v>
      </c>
      <c r="I6581" s="310">
        <v>41852.0</v>
      </c>
      <c r="J6581" s="319">
        <f>IFERROR(__xludf.DUMMYFUNCTION("SPLIT(I6581,""/"")"),1.0)</f>
        <v>1</v>
      </c>
      <c r="K6581" s="308">
        <f>IFERROR(__xludf.DUMMYFUNCTION("""COMPUTED_VALUE"""),8.0)</f>
        <v>8</v>
      </c>
      <c r="L6581" s="308">
        <f>IFERROR(__xludf.DUMMYFUNCTION("""COMPUTED_VALUE"""),2014.0)</f>
        <v>2014</v>
      </c>
      <c r="M6581" s="308" t="s">
        <v>26515</v>
      </c>
      <c r="N6581" s="308" t="s">
        <v>26516</v>
      </c>
      <c r="O6581" s="308"/>
      <c r="P6581" s="308" t="s">
        <v>136</v>
      </c>
      <c r="Q6581" s="308" t="s">
        <v>39213</v>
      </c>
      <c r="R6581" s="308" t="s">
        <v>2743</v>
      </c>
      <c r="S6581" s="315" t="s">
        <v>100</v>
      </c>
      <c r="T6581" s="308" t="s">
        <v>34208</v>
      </c>
      <c r="U6581" s="308" t="s">
        <v>201</v>
      </c>
      <c r="V6581" s="308"/>
    </row>
    <row r="6582">
      <c r="A6582" s="308">
        <v>6581.0</v>
      </c>
      <c r="B6582" s="308"/>
      <c r="C6582" s="308" t="s">
        <v>26517</v>
      </c>
      <c r="D6582" s="308">
        <f>IFERROR(__xludf.DUMMYFUNCTION("SPLIT(C6582,""-"")"),6602.0)</f>
        <v>6602</v>
      </c>
      <c r="E6582" s="308" t="str">
        <f>IFERROR(__xludf.DUMMYFUNCTION("""COMPUTED_VALUE"""),"F")</f>
        <v>F</v>
      </c>
      <c r="F6582" s="309" t="s">
        <v>34</v>
      </c>
      <c r="G6582" s="308"/>
      <c r="H6582" s="308" t="s">
        <v>26518</v>
      </c>
      <c r="I6582" s="310">
        <v>43438.0</v>
      </c>
      <c r="J6582" s="319">
        <f>IFERROR(__xludf.DUMMYFUNCTION("SPLIT(I6582,""/"")"),4.0)</f>
        <v>4</v>
      </c>
      <c r="K6582" s="308">
        <f>IFERROR(__xludf.DUMMYFUNCTION("""COMPUTED_VALUE"""),12.0)</f>
        <v>12</v>
      </c>
      <c r="L6582" s="308">
        <f>IFERROR(__xludf.DUMMYFUNCTION("""COMPUTED_VALUE"""),2018.0)</f>
        <v>2018</v>
      </c>
      <c r="M6582" s="308" t="s">
        <v>26519</v>
      </c>
      <c r="N6582" s="308" t="s">
        <v>439</v>
      </c>
      <c r="O6582" s="308" t="s">
        <v>26520</v>
      </c>
      <c r="P6582" s="308" t="s">
        <v>136</v>
      </c>
      <c r="Q6582" s="308" t="s">
        <v>39215</v>
      </c>
      <c r="R6582" s="308" t="s">
        <v>2743</v>
      </c>
      <c r="S6582" s="315" t="s">
        <v>100</v>
      </c>
      <c r="T6582" s="308" t="s">
        <v>34208</v>
      </c>
      <c r="U6582" s="308" t="s">
        <v>26521</v>
      </c>
      <c r="V6582" s="308"/>
    </row>
    <row r="6583">
      <c r="A6583" s="308">
        <v>6582.0</v>
      </c>
      <c r="B6583" s="308"/>
      <c r="C6583" s="308" t="s">
        <v>26522</v>
      </c>
      <c r="D6583" s="308">
        <f>IFERROR(__xludf.DUMMYFUNCTION("SPLIT(C6583,""-"")"),6603.0)</f>
        <v>6603</v>
      </c>
      <c r="E6583" s="308" t="str">
        <f>IFERROR(__xludf.DUMMYFUNCTION("""COMPUTED_VALUE"""),"F")</f>
        <v>F</v>
      </c>
      <c r="F6583" s="309" t="s">
        <v>34</v>
      </c>
      <c r="G6583" s="308"/>
      <c r="H6583" s="308" t="s">
        <v>26523</v>
      </c>
      <c r="I6583" s="310">
        <v>42510.0</v>
      </c>
      <c r="J6583" s="319">
        <f>IFERROR(__xludf.DUMMYFUNCTION("SPLIT(I6583,""/"")"),20.0)</f>
        <v>20</v>
      </c>
      <c r="K6583" s="308">
        <f>IFERROR(__xludf.DUMMYFUNCTION("""COMPUTED_VALUE"""),5.0)</f>
        <v>5</v>
      </c>
      <c r="L6583" s="308">
        <f>IFERROR(__xludf.DUMMYFUNCTION("""COMPUTED_VALUE"""),2016.0)</f>
        <v>2016</v>
      </c>
      <c r="M6583" s="308" t="s">
        <v>26524</v>
      </c>
      <c r="N6583" s="308" t="s">
        <v>26525</v>
      </c>
      <c r="O6583" s="308"/>
      <c r="P6583" s="308" t="s">
        <v>136</v>
      </c>
      <c r="Q6583" s="308" t="s">
        <v>39215</v>
      </c>
      <c r="R6583" s="308" t="s">
        <v>2743</v>
      </c>
      <c r="S6583" s="315" t="s">
        <v>100</v>
      </c>
      <c r="T6583" s="308" t="s">
        <v>34208</v>
      </c>
      <c r="U6583" s="308" t="s">
        <v>26526</v>
      </c>
      <c r="V6583" s="308"/>
    </row>
    <row r="6584">
      <c r="A6584" s="308">
        <v>6583.0</v>
      </c>
      <c r="B6584" s="308"/>
      <c r="C6584" s="308" t="s">
        <v>26527</v>
      </c>
      <c r="D6584" s="308">
        <f>IFERROR(__xludf.DUMMYFUNCTION("SPLIT(C6584,""-"")"),6604.0)</f>
        <v>6604</v>
      </c>
      <c r="E6584" s="308" t="str">
        <f>IFERROR(__xludf.DUMMYFUNCTION("""COMPUTED_VALUE"""),"I")</f>
        <v>I</v>
      </c>
      <c r="F6584" s="309" t="s">
        <v>31</v>
      </c>
      <c r="G6584" s="308"/>
      <c r="H6584" s="308" t="s">
        <v>26528</v>
      </c>
      <c r="I6584" s="314">
        <v>42364.0</v>
      </c>
      <c r="J6584" s="319">
        <f>IFERROR(__xludf.DUMMYFUNCTION("SPLIT(I6584,""/"")"),26.0)</f>
        <v>26</v>
      </c>
      <c r="K6584" s="308">
        <f>IFERROR(__xludf.DUMMYFUNCTION("""COMPUTED_VALUE"""),12.0)</f>
        <v>12</v>
      </c>
      <c r="L6584" s="308">
        <f>IFERROR(__xludf.DUMMYFUNCTION("""COMPUTED_VALUE"""),2015.0)</f>
        <v>2015</v>
      </c>
      <c r="M6584" s="308" t="s">
        <v>26529</v>
      </c>
      <c r="N6584" s="308" t="s">
        <v>26530</v>
      </c>
      <c r="O6584" s="308"/>
      <c r="P6584" s="308" t="s">
        <v>136</v>
      </c>
      <c r="Q6584" s="308" t="s">
        <v>39216</v>
      </c>
      <c r="R6584" s="308" t="s">
        <v>2743</v>
      </c>
      <c r="S6584" s="315" t="s">
        <v>100</v>
      </c>
      <c r="T6584" s="308" t="s">
        <v>34208</v>
      </c>
      <c r="U6584" s="308" t="s">
        <v>31</v>
      </c>
      <c r="V6584" s="308" t="s">
        <v>26531</v>
      </c>
    </row>
    <row r="6585">
      <c r="A6585" s="308">
        <v>6584.0</v>
      </c>
      <c r="B6585" s="308"/>
      <c r="C6585" s="308" t="s">
        <v>26532</v>
      </c>
      <c r="D6585" s="308">
        <f>IFERROR(__xludf.DUMMYFUNCTION("SPLIT(C6585,""-"")"),6605.0)</f>
        <v>6605</v>
      </c>
      <c r="E6585" s="308" t="str">
        <f>IFERROR(__xludf.DUMMYFUNCTION("""COMPUTED_VALUE"""),"K")</f>
        <v>K</v>
      </c>
      <c r="F6585" s="309" t="s">
        <v>34</v>
      </c>
      <c r="G6585" s="308"/>
      <c r="H6585" s="308" t="s">
        <v>26533</v>
      </c>
      <c r="I6585" s="310">
        <v>42986.0</v>
      </c>
      <c r="J6585" s="319" t="str">
        <f>IFERROR(__xludf.DUMMYFUNCTION("SPLIT(I6585,""/"")"),"#REF!")</f>
        <v>#REF!</v>
      </c>
      <c r="K6585" s="308"/>
      <c r="L6585" s="308">
        <v>2017.0</v>
      </c>
      <c r="M6585" s="308" t="s">
        <v>26534</v>
      </c>
      <c r="N6585" s="308" t="s">
        <v>439</v>
      </c>
      <c r="O6585" s="308"/>
      <c r="P6585" s="308" t="s">
        <v>136</v>
      </c>
      <c r="Q6585" s="308" t="s">
        <v>39217</v>
      </c>
      <c r="R6585" s="308" t="s">
        <v>2743</v>
      </c>
      <c r="S6585" s="315" t="s">
        <v>100</v>
      </c>
      <c r="T6585" s="308" t="s">
        <v>34208</v>
      </c>
      <c r="U6585" s="308" t="s">
        <v>125</v>
      </c>
      <c r="V6585" s="308" t="s">
        <v>26535</v>
      </c>
    </row>
    <row r="6586">
      <c r="A6586" s="308">
        <v>6585.0</v>
      </c>
      <c r="B6586" s="308"/>
      <c r="C6586" s="308" t="s">
        <v>26536</v>
      </c>
      <c r="D6586" s="308">
        <f>IFERROR(__xludf.DUMMYFUNCTION("SPLIT(C6586,""-"")"),6606.0)</f>
        <v>6606</v>
      </c>
      <c r="E6586" s="308" t="str">
        <f>IFERROR(__xludf.DUMMYFUNCTION("""COMPUTED_VALUE"""),"K")</f>
        <v>K</v>
      </c>
      <c r="F6586" s="309" t="s">
        <v>34</v>
      </c>
      <c r="G6586" s="308"/>
      <c r="H6586" s="308" t="s">
        <v>26537</v>
      </c>
      <c r="I6586" s="310">
        <v>41456.0</v>
      </c>
      <c r="J6586" s="319">
        <f>IFERROR(__xludf.DUMMYFUNCTION("SPLIT(I6586,""/"")"),1.0)</f>
        <v>1</v>
      </c>
      <c r="K6586" s="308">
        <f>IFERROR(__xludf.DUMMYFUNCTION("""COMPUTED_VALUE"""),7.0)</f>
        <v>7</v>
      </c>
      <c r="L6586" s="308">
        <f>IFERROR(__xludf.DUMMYFUNCTION("""COMPUTED_VALUE"""),2013.0)</f>
        <v>2013</v>
      </c>
      <c r="M6586" s="308" t="s">
        <v>26538</v>
      </c>
      <c r="N6586" s="308" t="s">
        <v>26539</v>
      </c>
      <c r="O6586" s="308" t="s">
        <v>26540</v>
      </c>
      <c r="P6586" s="308" t="s">
        <v>136</v>
      </c>
      <c r="Q6586" s="308" t="s">
        <v>39217</v>
      </c>
      <c r="R6586" s="308" t="s">
        <v>2743</v>
      </c>
      <c r="S6586" s="315" t="s">
        <v>100</v>
      </c>
      <c r="T6586" s="308" t="s">
        <v>34208</v>
      </c>
      <c r="U6586" s="308" t="s">
        <v>530</v>
      </c>
      <c r="V6586" s="308"/>
    </row>
    <row r="6587">
      <c r="A6587" s="308">
        <v>6586.0</v>
      </c>
      <c r="B6587" s="308"/>
      <c r="C6587" s="308" t="s">
        <v>26541</v>
      </c>
      <c r="D6587" s="308">
        <f>IFERROR(__xludf.DUMMYFUNCTION("SPLIT(C6587,""-"")"),6607.0)</f>
        <v>6607</v>
      </c>
      <c r="E6587" s="308" t="str">
        <f>IFERROR(__xludf.DUMMYFUNCTION("""COMPUTED_VALUE"""),"F")</f>
        <v>F</v>
      </c>
      <c r="F6587" s="309" t="s">
        <v>34</v>
      </c>
      <c r="G6587" s="308"/>
      <c r="H6587" s="308" t="s">
        <v>26542</v>
      </c>
      <c r="I6587" s="310">
        <v>40040.0</v>
      </c>
      <c r="J6587" s="319">
        <f>IFERROR(__xludf.DUMMYFUNCTION("SPLIT(I6587,""/"")"),15.0)</f>
        <v>15</v>
      </c>
      <c r="K6587" s="308">
        <f>IFERROR(__xludf.DUMMYFUNCTION("""COMPUTED_VALUE"""),8.0)</f>
        <v>8</v>
      </c>
      <c r="L6587" s="308">
        <f>IFERROR(__xludf.DUMMYFUNCTION("""COMPUTED_VALUE"""),2009.0)</f>
        <v>2009</v>
      </c>
      <c r="M6587" s="308" t="s">
        <v>26543</v>
      </c>
      <c r="N6587" s="308" t="s">
        <v>26544</v>
      </c>
      <c r="O6587" s="308" t="s">
        <v>26545</v>
      </c>
      <c r="P6587" s="308" t="s">
        <v>136</v>
      </c>
      <c r="Q6587" s="308" t="s">
        <v>39217</v>
      </c>
      <c r="R6587" s="308" t="s">
        <v>2743</v>
      </c>
      <c r="S6587" s="315" t="s">
        <v>100</v>
      </c>
      <c r="T6587" s="308" t="s">
        <v>34208</v>
      </c>
      <c r="U6587" s="308" t="s">
        <v>26546</v>
      </c>
      <c r="V6587" s="308"/>
    </row>
    <row r="6588">
      <c r="A6588" s="308">
        <v>6587.0</v>
      </c>
      <c r="B6588" s="308"/>
      <c r="C6588" s="308" t="s">
        <v>26547</v>
      </c>
      <c r="D6588" s="308">
        <f>IFERROR(__xludf.DUMMYFUNCTION("SPLIT(C6588,""-"")"),6608.0)</f>
        <v>6608</v>
      </c>
      <c r="E6588" s="308" t="str">
        <f>IFERROR(__xludf.DUMMYFUNCTION("""COMPUTED_VALUE"""),"K")</f>
        <v>K</v>
      </c>
      <c r="F6588" s="309" t="s">
        <v>34</v>
      </c>
      <c r="G6588" s="308"/>
      <c r="H6588" s="308" t="s">
        <v>26548</v>
      </c>
      <c r="I6588" s="310">
        <v>42055.0</v>
      </c>
      <c r="J6588" s="319">
        <f>IFERROR(__xludf.DUMMYFUNCTION("SPLIT(I6588,""/"")"),20.0)</f>
        <v>20</v>
      </c>
      <c r="K6588" s="308">
        <f>IFERROR(__xludf.DUMMYFUNCTION("""COMPUTED_VALUE"""),2.0)</f>
        <v>2</v>
      </c>
      <c r="L6588" s="308">
        <f>IFERROR(__xludf.DUMMYFUNCTION("""COMPUTED_VALUE"""),2015.0)</f>
        <v>2015</v>
      </c>
      <c r="M6588" s="308" t="s">
        <v>26549</v>
      </c>
      <c r="N6588" s="308" t="s">
        <v>439</v>
      </c>
      <c r="O6588" s="308"/>
      <c r="P6588" s="308" t="s">
        <v>36860</v>
      </c>
      <c r="Q6588" s="308" t="s">
        <v>39217</v>
      </c>
      <c r="R6588" s="308" t="s">
        <v>2743</v>
      </c>
      <c r="S6588" s="308" t="s">
        <v>49</v>
      </c>
      <c r="T6588" s="308" t="s">
        <v>51</v>
      </c>
      <c r="U6588" s="308" t="s">
        <v>368</v>
      </c>
      <c r="V6588" s="308"/>
    </row>
    <row r="6589">
      <c r="A6589" s="308">
        <v>6588.0</v>
      </c>
      <c r="B6589" s="308"/>
      <c r="C6589" s="308" t="s">
        <v>26550</v>
      </c>
      <c r="D6589" s="308">
        <f>IFERROR(__xludf.DUMMYFUNCTION("SPLIT(C6589,""-"")"),6609.0)</f>
        <v>6609</v>
      </c>
      <c r="E6589" s="308" t="str">
        <f>IFERROR(__xludf.DUMMYFUNCTION("""COMPUTED_VALUE"""),"P")</f>
        <v>P</v>
      </c>
      <c r="F6589" s="312" t="s">
        <v>37</v>
      </c>
      <c r="G6589" s="308"/>
      <c r="H6589" s="308" t="s">
        <v>26551</v>
      </c>
      <c r="I6589" s="310">
        <v>43629.0</v>
      </c>
      <c r="J6589" s="319">
        <f>IFERROR(__xludf.DUMMYFUNCTION("SPLIT(I6589,""/"")"),13.0)</f>
        <v>13</v>
      </c>
      <c r="K6589" s="308">
        <f>IFERROR(__xludf.DUMMYFUNCTION("""COMPUTED_VALUE"""),6.0)</f>
        <v>6</v>
      </c>
      <c r="L6589" s="308">
        <f>IFERROR(__xludf.DUMMYFUNCTION("""COMPUTED_VALUE"""),2019.0)</f>
        <v>2019</v>
      </c>
      <c r="M6589" s="308" t="s">
        <v>39218</v>
      </c>
      <c r="N6589" s="308" t="s">
        <v>26553</v>
      </c>
      <c r="O6589" s="308"/>
      <c r="P6589" s="308" t="s">
        <v>39219</v>
      </c>
      <c r="Q6589" s="308" t="s">
        <v>39217</v>
      </c>
      <c r="R6589" s="308" t="s">
        <v>2743</v>
      </c>
      <c r="S6589" s="308" t="s">
        <v>81</v>
      </c>
      <c r="T6589" s="311" t="s">
        <v>75</v>
      </c>
      <c r="U6589" s="308" t="s">
        <v>149</v>
      </c>
      <c r="V6589" s="308"/>
    </row>
    <row r="6590">
      <c r="A6590" s="308">
        <v>6589.0</v>
      </c>
      <c r="B6590" s="308"/>
      <c r="C6590" s="308" t="s">
        <v>26555</v>
      </c>
      <c r="D6590" s="308">
        <f>IFERROR(__xludf.DUMMYFUNCTION("SPLIT(C6590,""-"")"),6610.0)</f>
        <v>6610</v>
      </c>
      <c r="E6590" s="308" t="str">
        <f>IFERROR(__xludf.DUMMYFUNCTION("""COMPUTED_VALUE"""),"P")</f>
        <v>P</v>
      </c>
      <c r="F6590" s="312" t="s">
        <v>37</v>
      </c>
      <c r="G6590" s="308"/>
      <c r="H6590" s="308" t="s">
        <v>26556</v>
      </c>
      <c r="I6590" s="310">
        <v>43885.0</v>
      </c>
      <c r="J6590" s="319">
        <f>IFERROR(__xludf.DUMMYFUNCTION("SPLIT(I6590,""/"")"),24.0)</f>
        <v>24</v>
      </c>
      <c r="K6590" s="308">
        <f>IFERROR(__xludf.DUMMYFUNCTION("""COMPUTED_VALUE"""),2.0)</f>
        <v>2</v>
      </c>
      <c r="L6590" s="308">
        <f>IFERROR(__xludf.DUMMYFUNCTION("""COMPUTED_VALUE"""),2020.0)</f>
        <v>2020</v>
      </c>
      <c r="M6590" s="308" t="s">
        <v>26557</v>
      </c>
      <c r="N6590" s="308" t="s">
        <v>26558</v>
      </c>
      <c r="O6590" s="308"/>
      <c r="P6590" s="308" t="s">
        <v>39220</v>
      </c>
      <c r="Q6590" s="308" t="s">
        <v>39221</v>
      </c>
      <c r="R6590" s="308" t="s">
        <v>2743</v>
      </c>
      <c r="S6590" s="308" t="s">
        <v>81</v>
      </c>
      <c r="T6590" s="311" t="s">
        <v>75</v>
      </c>
      <c r="U6590" s="308" t="s">
        <v>149</v>
      </c>
      <c r="V6590" s="308"/>
    </row>
    <row r="6591">
      <c r="A6591" s="308">
        <v>6590.0</v>
      </c>
      <c r="B6591" s="308"/>
      <c r="C6591" s="308" t="s">
        <v>26560</v>
      </c>
      <c r="D6591" s="308">
        <f>IFERROR(__xludf.DUMMYFUNCTION("SPLIT(C6591,""-"")"),6611.0)</f>
        <v>6611</v>
      </c>
      <c r="E6591" s="308" t="str">
        <f>IFERROR(__xludf.DUMMYFUNCTION("""COMPUTED_VALUE"""),"K")</f>
        <v>K</v>
      </c>
      <c r="F6591" s="309" t="s">
        <v>34</v>
      </c>
      <c r="G6591" s="308"/>
      <c r="H6591" s="308" t="s">
        <v>26561</v>
      </c>
      <c r="I6591" s="310">
        <v>42554.0</v>
      </c>
      <c r="J6591" s="319">
        <f>IFERROR(__xludf.DUMMYFUNCTION("SPLIT(I6591,""/"")"),3.0)</f>
        <v>3</v>
      </c>
      <c r="K6591" s="308">
        <f>IFERROR(__xludf.DUMMYFUNCTION("""COMPUTED_VALUE"""),7.0)</f>
        <v>7</v>
      </c>
      <c r="L6591" s="308">
        <f>IFERROR(__xludf.DUMMYFUNCTION("""COMPUTED_VALUE"""),2016.0)</f>
        <v>2016</v>
      </c>
      <c r="M6591" s="308" t="s">
        <v>26562</v>
      </c>
      <c r="N6591" s="308" t="s">
        <v>26563</v>
      </c>
      <c r="O6591" s="308"/>
      <c r="P6591" s="308" t="s">
        <v>136</v>
      </c>
      <c r="Q6591" s="308" t="s">
        <v>39221</v>
      </c>
      <c r="R6591" s="308" t="s">
        <v>2743</v>
      </c>
      <c r="S6591" s="315" t="s">
        <v>100</v>
      </c>
      <c r="T6591" s="308" t="s">
        <v>34208</v>
      </c>
      <c r="U6591" s="308" t="s">
        <v>125</v>
      </c>
      <c r="V6591" s="308"/>
    </row>
    <row r="6592">
      <c r="A6592" s="308">
        <v>6591.0</v>
      </c>
      <c r="B6592" s="308"/>
      <c r="C6592" s="308" t="s">
        <v>26564</v>
      </c>
      <c r="D6592" s="308">
        <f>IFERROR(__xludf.DUMMYFUNCTION("SPLIT(C6592,""-"")"),6612.0)</f>
        <v>6612</v>
      </c>
      <c r="E6592" s="308" t="str">
        <f>IFERROR(__xludf.DUMMYFUNCTION("""COMPUTED_VALUE"""),"K")</f>
        <v>K</v>
      </c>
      <c r="F6592" s="309" t="s">
        <v>34</v>
      </c>
      <c r="G6592" s="308"/>
      <c r="H6592" s="308" t="s">
        <v>26565</v>
      </c>
      <c r="I6592" s="310">
        <v>42635.0</v>
      </c>
      <c r="J6592" s="319">
        <f>IFERROR(__xludf.DUMMYFUNCTION("SPLIT(I6592,""/"")"),22.0)</f>
        <v>22</v>
      </c>
      <c r="K6592" s="308">
        <f>IFERROR(__xludf.DUMMYFUNCTION("""COMPUTED_VALUE"""),9.0)</f>
        <v>9</v>
      </c>
      <c r="L6592" s="308">
        <f>IFERROR(__xludf.DUMMYFUNCTION("""COMPUTED_VALUE"""),2016.0)</f>
        <v>2016</v>
      </c>
      <c r="M6592" s="308" t="s">
        <v>26566</v>
      </c>
      <c r="N6592" s="308" t="s">
        <v>26567</v>
      </c>
      <c r="O6592" s="308"/>
      <c r="P6592" s="308" t="s">
        <v>136</v>
      </c>
      <c r="Q6592" s="308" t="s">
        <v>39221</v>
      </c>
      <c r="R6592" s="308" t="s">
        <v>16585</v>
      </c>
      <c r="S6592" s="315" t="s">
        <v>100</v>
      </c>
      <c r="T6592" s="308" t="s">
        <v>34208</v>
      </c>
      <c r="U6592" s="308" t="s">
        <v>125</v>
      </c>
      <c r="V6592" s="308"/>
    </row>
    <row r="6593">
      <c r="A6593" s="308">
        <v>6592.0</v>
      </c>
      <c r="B6593" s="308"/>
      <c r="C6593" s="308" t="s">
        <v>26568</v>
      </c>
      <c r="D6593" s="308">
        <f>IFERROR(__xludf.DUMMYFUNCTION("SPLIT(C6593,""-"")"),6613.0)</f>
        <v>6613</v>
      </c>
      <c r="E6593" s="308" t="str">
        <f>IFERROR(__xludf.DUMMYFUNCTION("""COMPUTED_VALUE"""),"I")</f>
        <v>I</v>
      </c>
      <c r="F6593" s="309" t="s">
        <v>31</v>
      </c>
      <c r="G6593" s="308"/>
      <c r="H6593" s="308" t="s">
        <v>26569</v>
      </c>
      <c r="I6593" s="310">
        <v>43887.0</v>
      </c>
      <c r="J6593" s="319">
        <f>IFERROR(__xludf.DUMMYFUNCTION("SPLIT(I6593,""/"")"),26.0)</f>
        <v>26</v>
      </c>
      <c r="K6593" s="308">
        <f>IFERROR(__xludf.DUMMYFUNCTION("""COMPUTED_VALUE"""),2.0)</f>
        <v>2</v>
      </c>
      <c r="L6593" s="308">
        <f>IFERROR(__xludf.DUMMYFUNCTION("""COMPUTED_VALUE"""),2020.0)</f>
        <v>2020</v>
      </c>
      <c r="M6593" s="308" t="s">
        <v>26570</v>
      </c>
      <c r="N6593" s="308" t="s">
        <v>26571</v>
      </c>
      <c r="O6593" s="308" t="s">
        <v>26572</v>
      </c>
      <c r="P6593" s="308" t="s">
        <v>26573</v>
      </c>
      <c r="Q6593" s="308" t="s">
        <v>39221</v>
      </c>
      <c r="R6593" s="308" t="s">
        <v>2743</v>
      </c>
      <c r="S6593" s="308" t="s">
        <v>81</v>
      </c>
      <c r="T6593" s="311" t="s">
        <v>51</v>
      </c>
      <c r="U6593" s="308" t="s">
        <v>31</v>
      </c>
      <c r="V6593" s="308"/>
    </row>
    <row r="6594">
      <c r="A6594" s="308">
        <v>6593.0</v>
      </c>
      <c r="B6594" s="308"/>
      <c r="C6594" s="308" t="s">
        <v>26574</v>
      </c>
      <c r="D6594" s="308">
        <f>IFERROR(__xludf.DUMMYFUNCTION("SPLIT(C6594,""-"")"),6614.0)</f>
        <v>6614</v>
      </c>
      <c r="E6594" s="308" t="str">
        <f>IFERROR(__xludf.DUMMYFUNCTION("""COMPUTED_VALUE"""),"P")</f>
        <v>P</v>
      </c>
      <c r="F6594" s="312" t="s">
        <v>37</v>
      </c>
      <c r="G6594" s="308"/>
      <c r="H6594" s="308" t="s">
        <v>26575</v>
      </c>
      <c r="I6594" s="310">
        <v>43527.0</v>
      </c>
      <c r="J6594" s="319">
        <f>IFERROR(__xludf.DUMMYFUNCTION("SPLIT(I6594,""/"")"),3.0)</f>
        <v>3</v>
      </c>
      <c r="K6594" s="308">
        <f>IFERROR(__xludf.DUMMYFUNCTION("""COMPUTED_VALUE"""),3.0)</f>
        <v>3</v>
      </c>
      <c r="L6594" s="308">
        <f>IFERROR(__xludf.DUMMYFUNCTION("""COMPUTED_VALUE"""),2019.0)</f>
        <v>2019</v>
      </c>
      <c r="M6594" s="308" t="s">
        <v>26576</v>
      </c>
      <c r="N6594" s="308" t="s">
        <v>26577</v>
      </c>
      <c r="O6594" s="308" t="s">
        <v>26578</v>
      </c>
      <c r="P6594" s="308" t="s">
        <v>39222</v>
      </c>
      <c r="Q6594" s="308" t="s">
        <v>39223</v>
      </c>
      <c r="R6594" s="308" t="s">
        <v>2743</v>
      </c>
      <c r="S6594" s="308" t="s">
        <v>81</v>
      </c>
      <c r="T6594" s="311" t="s">
        <v>75</v>
      </c>
      <c r="U6594" s="308" t="s">
        <v>149</v>
      </c>
      <c r="V6594" s="308"/>
    </row>
    <row r="6595">
      <c r="A6595" s="308">
        <v>6594.0</v>
      </c>
      <c r="B6595" s="308"/>
      <c r="C6595" s="308" t="s">
        <v>26580</v>
      </c>
      <c r="D6595" s="308">
        <f>IFERROR(__xludf.DUMMYFUNCTION("SPLIT(C6595,""-"")"),6615.0)</f>
        <v>6615</v>
      </c>
      <c r="E6595" s="308" t="str">
        <f>IFERROR(__xludf.DUMMYFUNCTION("""COMPUTED_VALUE"""),"K")</f>
        <v>K</v>
      </c>
      <c r="F6595" s="309" t="s">
        <v>34</v>
      </c>
      <c r="G6595" s="308"/>
      <c r="H6595" s="308" t="s">
        <v>26581</v>
      </c>
      <c r="I6595" s="310">
        <v>43879.0</v>
      </c>
      <c r="J6595" s="319">
        <f>IFERROR(__xludf.DUMMYFUNCTION("SPLIT(I6595,""/"")"),18.0)</f>
        <v>18</v>
      </c>
      <c r="K6595" s="308">
        <f>IFERROR(__xludf.DUMMYFUNCTION("""COMPUTED_VALUE"""),2.0)</f>
        <v>2</v>
      </c>
      <c r="L6595" s="308">
        <f>IFERROR(__xludf.DUMMYFUNCTION("""COMPUTED_VALUE"""),2020.0)</f>
        <v>2020</v>
      </c>
      <c r="M6595" s="308" t="s">
        <v>26582</v>
      </c>
      <c r="N6595" s="308" t="s">
        <v>26583</v>
      </c>
      <c r="O6595" s="308"/>
      <c r="P6595" s="308" t="s">
        <v>39224</v>
      </c>
      <c r="Q6595" s="308" t="s">
        <v>39223</v>
      </c>
      <c r="R6595" s="308" t="s">
        <v>2743</v>
      </c>
      <c r="S6595" s="308" t="s">
        <v>81</v>
      </c>
      <c r="T6595" s="311" t="s">
        <v>98</v>
      </c>
      <c r="U6595" s="308" t="s">
        <v>125</v>
      </c>
      <c r="V6595" s="308"/>
    </row>
    <row r="6596">
      <c r="A6596" s="308">
        <v>6595.0</v>
      </c>
      <c r="B6596" s="308"/>
      <c r="C6596" s="308" t="s">
        <v>26585</v>
      </c>
      <c r="D6596" s="308">
        <f>IFERROR(__xludf.DUMMYFUNCTION("SPLIT(C6596,""-"")"),6616.0)</f>
        <v>6616</v>
      </c>
      <c r="E6596" s="308" t="str">
        <f>IFERROR(__xludf.DUMMYFUNCTION("""COMPUTED_VALUE"""),"P")</f>
        <v>P</v>
      </c>
      <c r="F6596" s="312" t="s">
        <v>37</v>
      </c>
      <c r="G6596" s="308"/>
      <c r="H6596" s="308" t="s">
        <v>26586</v>
      </c>
      <c r="I6596" s="310">
        <v>42779.0</v>
      </c>
      <c r="J6596" s="319">
        <f>IFERROR(__xludf.DUMMYFUNCTION("SPLIT(I6596,""/"")"),13.0)</f>
        <v>13</v>
      </c>
      <c r="K6596" s="308">
        <f>IFERROR(__xludf.DUMMYFUNCTION("""COMPUTED_VALUE"""),2.0)</f>
        <v>2</v>
      </c>
      <c r="L6596" s="308">
        <f>IFERROR(__xludf.DUMMYFUNCTION("""COMPUTED_VALUE"""),2017.0)</f>
        <v>2017</v>
      </c>
      <c r="M6596" s="308" t="s">
        <v>26587</v>
      </c>
      <c r="N6596" s="308" t="s">
        <v>26588</v>
      </c>
      <c r="O6596" s="308" t="s">
        <v>26589</v>
      </c>
      <c r="P6596" s="308" t="s">
        <v>136</v>
      </c>
      <c r="Q6596" s="308" t="s">
        <v>39223</v>
      </c>
      <c r="R6596" s="308" t="s">
        <v>2743</v>
      </c>
      <c r="S6596" s="315" t="s">
        <v>100</v>
      </c>
      <c r="T6596" s="308" t="s">
        <v>34208</v>
      </c>
      <c r="U6596" s="308" t="s">
        <v>2291</v>
      </c>
      <c r="V6596" s="308"/>
    </row>
    <row r="6597">
      <c r="A6597" s="308">
        <v>6596.0</v>
      </c>
      <c r="B6597" s="308"/>
      <c r="C6597" s="308" t="s">
        <v>26590</v>
      </c>
      <c r="D6597" s="308">
        <f>IFERROR(__xludf.DUMMYFUNCTION("SPLIT(C6597,""-"")"),6617.0)</f>
        <v>6617</v>
      </c>
      <c r="E6597" s="308" t="str">
        <f>IFERROR(__xludf.DUMMYFUNCTION("""COMPUTED_VALUE"""),"K")</f>
        <v>K</v>
      </c>
      <c r="F6597" s="309" t="s">
        <v>34</v>
      </c>
      <c r="G6597" s="308"/>
      <c r="H6597" s="308" t="s">
        <v>26591</v>
      </c>
      <c r="I6597" s="310">
        <v>42390.0</v>
      </c>
      <c r="J6597" s="319">
        <f>IFERROR(__xludf.DUMMYFUNCTION("SPLIT(I6597,""/"")"),21.0)</f>
        <v>21</v>
      </c>
      <c r="K6597" s="308">
        <f>IFERROR(__xludf.DUMMYFUNCTION("""COMPUTED_VALUE"""),1.0)</f>
        <v>1</v>
      </c>
      <c r="L6597" s="308">
        <f>IFERROR(__xludf.DUMMYFUNCTION("""COMPUTED_VALUE"""),2016.0)</f>
        <v>2016</v>
      </c>
      <c r="M6597" s="308" t="s">
        <v>26592</v>
      </c>
      <c r="N6597" s="308" t="s">
        <v>26593</v>
      </c>
      <c r="O6597" s="308" t="s">
        <v>26594</v>
      </c>
      <c r="P6597" s="308" t="s">
        <v>136</v>
      </c>
      <c r="Q6597" s="308" t="s">
        <v>39223</v>
      </c>
      <c r="R6597" s="308" t="s">
        <v>16185</v>
      </c>
      <c r="S6597" s="315" t="s">
        <v>100</v>
      </c>
      <c r="T6597" s="308" t="s">
        <v>34208</v>
      </c>
      <c r="U6597" s="308" t="s">
        <v>2989</v>
      </c>
      <c r="V6597" s="308"/>
    </row>
    <row r="6598">
      <c r="A6598" s="308">
        <v>6597.0</v>
      </c>
      <c r="B6598" s="308"/>
      <c r="C6598" s="308" t="s">
        <v>26595</v>
      </c>
      <c r="D6598" s="308">
        <f>IFERROR(__xludf.DUMMYFUNCTION("SPLIT(C6598,""-"")"),6618.0)</f>
        <v>6618</v>
      </c>
      <c r="E6598" s="308" t="str">
        <f>IFERROR(__xludf.DUMMYFUNCTION("""COMPUTED_VALUE"""),"S")</f>
        <v>S</v>
      </c>
      <c r="F6598" s="312" t="s">
        <v>39</v>
      </c>
      <c r="G6598" s="308"/>
      <c r="H6598" s="308" t="s">
        <v>26596</v>
      </c>
      <c r="I6598" s="310">
        <v>41672.0</v>
      </c>
      <c r="J6598" s="319">
        <f>IFERROR(__xludf.DUMMYFUNCTION("SPLIT(I6598,""/"")"),2.0)</f>
        <v>2</v>
      </c>
      <c r="K6598" s="308">
        <f>IFERROR(__xludf.DUMMYFUNCTION("""COMPUTED_VALUE"""),2.0)</f>
        <v>2</v>
      </c>
      <c r="L6598" s="308">
        <f>IFERROR(__xludf.DUMMYFUNCTION("""COMPUTED_VALUE"""),2014.0)</f>
        <v>2014</v>
      </c>
      <c r="M6598" s="308" t="s">
        <v>26597</v>
      </c>
      <c r="N6598" s="308" t="s">
        <v>26598</v>
      </c>
      <c r="O6598" s="308"/>
      <c r="P6598" s="308" t="s">
        <v>136</v>
      </c>
      <c r="Q6598" s="308" t="s">
        <v>39223</v>
      </c>
      <c r="R6598" s="308" t="s">
        <v>16185</v>
      </c>
      <c r="S6598" s="315" t="s">
        <v>100</v>
      </c>
      <c r="T6598" s="308" t="s">
        <v>34208</v>
      </c>
      <c r="U6598" s="308" t="s">
        <v>166</v>
      </c>
      <c r="V6598" s="308"/>
    </row>
    <row r="6599">
      <c r="A6599" s="308">
        <v>6598.0</v>
      </c>
      <c r="B6599" s="308"/>
      <c r="C6599" s="308" t="s">
        <v>26599</v>
      </c>
      <c r="D6599" s="308">
        <f>IFERROR(__xludf.DUMMYFUNCTION("SPLIT(C6599,""-"")"),6619.0)</f>
        <v>6619</v>
      </c>
      <c r="E6599" s="308" t="str">
        <f>IFERROR(__xludf.DUMMYFUNCTION("""COMPUTED_VALUE"""),"S")</f>
        <v>S</v>
      </c>
      <c r="F6599" s="312" t="s">
        <v>39</v>
      </c>
      <c r="G6599" s="308"/>
      <c r="H6599" s="308" t="s">
        <v>26600</v>
      </c>
      <c r="I6599" s="310">
        <v>43835.0</v>
      </c>
      <c r="J6599" s="319">
        <f>IFERROR(__xludf.DUMMYFUNCTION("SPLIT(I6599,""/"")"),5.0)</f>
        <v>5</v>
      </c>
      <c r="K6599" s="308">
        <f>IFERROR(__xludf.DUMMYFUNCTION("""COMPUTED_VALUE"""),1.0)</f>
        <v>1</v>
      </c>
      <c r="L6599" s="308">
        <f>IFERROR(__xludf.DUMMYFUNCTION("""COMPUTED_VALUE"""),2020.0)</f>
        <v>2020</v>
      </c>
      <c r="M6599" s="308" t="s">
        <v>26601</v>
      </c>
      <c r="N6599" s="308" t="s">
        <v>26602</v>
      </c>
      <c r="O6599" s="308"/>
      <c r="P6599" s="308" t="s">
        <v>39225</v>
      </c>
      <c r="Q6599" s="308" t="s">
        <v>39223</v>
      </c>
      <c r="R6599" s="308" t="s">
        <v>2743</v>
      </c>
      <c r="S6599" s="308" t="s">
        <v>81</v>
      </c>
      <c r="T6599" s="308" t="s">
        <v>75</v>
      </c>
      <c r="U6599" s="308" t="s">
        <v>166</v>
      </c>
      <c r="V6599" s="308"/>
    </row>
    <row r="6600">
      <c r="A6600" s="308">
        <v>6599.0</v>
      </c>
      <c r="B6600" s="308"/>
      <c r="C6600" s="308" t="s">
        <v>26604</v>
      </c>
      <c r="D6600" s="308">
        <f>IFERROR(__xludf.DUMMYFUNCTION("SPLIT(C6600,""-"")"),6620.0)</f>
        <v>6620</v>
      </c>
      <c r="E6600" s="308" t="str">
        <f>IFERROR(__xludf.DUMMYFUNCTION("""COMPUTED_VALUE"""),"K")</f>
        <v>K</v>
      </c>
      <c r="F6600" s="309" t="s">
        <v>34</v>
      </c>
      <c r="G6600" s="308"/>
      <c r="H6600" s="308" t="s">
        <v>26605</v>
      </c>
      <c r="I6600" s="314">
        <v>41960.0</v>
      </c>
      <c r="J6600" s="319">
        <f>IFERROR(__xludf.DUMMYFUNCTION("SPLIT(I6600,""/"")"),17.0)</f>
        <v>17</v>
      </c>
      <c r="K6600" s="308">
        <f>IFERROR(__xludf.DUMMYFUNCTION("""COMPUTED_VALUE"""),11.0)</f>
        <v>11</v>
      </c>
      <c r="L6600" s="308">
        <f>IFERROR(__xludf.DUMMYFUNCTION("""COMPUTED_VALUE"""),2014.0)</f>
        <v>2014</v>
      </c>
      <c r="M6600" s="308" t="s">
        <v>26606</v>
      </c>
      <c r="N6600" s="308" t="s">
        <v>26607</v>
      </c>
      <c r="O6600" s="308" t="s">
        <v>26608</v>
      </c>
      <c r="P6600" s="308" t="s">
        <v>136</v>
      </c>
      <c r="Q6600" s="308" t="s">
        <v>39226</v>
      </c>
      <c r="R6600" s="308" t="s">
        <v>2743</v>
      </c>
      <c r="S6600" s="315" t="s">
        <v>100</v>
      </c>
      <c r="T6600" s="308" t="s">
        <v>34208</v>
      </c>
      <c r="U6600" s="308" t="s">
        <v>2989</v>
      </c>
      <c r="V6600" s="308"/>
    </row>
    <row r="6601">
      <c r="A6601" s="308">
        <v>6600.0</v>
      </c>
      <c r="B6601" s="308"/>
      <c r="C6601" s="308" t="s">
        <v>26609</v>
      </c>
      <c r="D6601" s="308">
        <f>IFERROR(__xludf.DUMMYFUNCTION("SPLIT(C6601,""-"")"),6621.0)</f>
        <v>6621</v>
      </c>
      <c r="E6601" s="308" t="str">
        <f>IFERROR(__xludf.DUMMYFUNCTION("""COMPUTED_VALUE"""),"K")</f>
        <v>K</v>
      </c>
      <c r="F6601" s="309" t="s">
        <v>34</v>
      </c>
      <c r="G6601" s="308"/>
      <c r="H6601" s="308" t="s">
        <v>26610</v>
      </c>
      <c r="I6601" s="310">
        <v>42250.0</v>
      </c>
      <c r="J6601" s="319">
        <f>IFERROR(__xludf.DUMMYFUNCTION("SPLIT(I6601,""/"")"),3.0)</f>
        <v>3</v>
      </c>
      <c r="K6601" s="308">
        <f>IFERROR(__xludf.DUMMYFUNCTION("""COMPUTED_VALUE"""),9.0)</f>
        <v>9</v>
      </c>
      <c r="L6601" s="308">
        <f>IFERROR(__xludf.DUMMYFUNCTION("""COMPUTED_VALUE"""),2015.0)</f>
        <v>2015</v>
      </c>
      <c r="M6601" s="308" t="s">
        <v>26611</v>
      </c>
      <c r="N6601" s="308" t="s">
        <v>26612</v>
      </c>
      <c r="O6601" s="308" t="s">
        <v>39227</v>
      </c>
      <c r="P6601" s="308" t="s">
        <v>136</v>
      </c>
      <c r="Q6601" s="308" t="s">
        <v>39226</v>
      </c>
      <c r="R6601" s="308" t="s">
        <v>2743</v>
      </c>
      <c r="S6601" s="315" t="s">
        <v>100</v>
      </c>
      <c r="T6601" s="308" t="s">
        <v>34208</v>
      </c>
      <c r="U6601" s="308" t="s">
        <v>2989</v>
      </c>
      <c r="V6601" s="308"/>
    </row>
    <row r="6602">
      <c r="A6602" s="308">
        <v>6601.0</v>
      </c>
      <c r="B6602" s="308"/>
      <c r="C6602" s="308" t="s">
        <v>26614</v>
      </c>
      <c r="D6602" s="308">
        <f>IFERROR(__xludf.DUMMYFUNCTION("SPLIT(C6602,""-"")"),6622.0)</f>
        <v>6622</v>
      </c>
      <c r="E6602" s="308" t="str">
        <f>IFERROR(__xludf.DUMMYFUNCTION("""COMPUTED_VALUE"""),"I")</f>
        <v>I</v>
      </c>
      <c r="F6602" s="309" t="s">
        <v>31</v>
      </c>
      <c r="G6602" s="308"/>
      <c r="H6602" s="308" t="s">
        <v>26615</v>
      </c>
      <c r="I6602" s="310">
        <v>43900.0</v>
      </c>
      <c r="J6602" s="319">
        <f>IFERROR(__xludf.DUMMYFUNCTION("SPLIT(I6602,""/"")"),10.0)</f>
        <v>10</v>
      </c>
      <c r="K6602" s="308">
        <f>IFERROR(__xludf.DUMMYFUNCTION("""COMPUTED_VALUE"""),3.0)</f>
        <v>3</v>
      </c>
      <c r="L6602" s="308">
        <f>IFERROR(__xludf.DUMMYFUNCTION("""COMPUTED_VALUE"""),2020.0)</f>
        <v>2020</v>
      </c>
      <c r="M6602" s="308" t="s">
        <v>26616</v>
      </c>
      <c r="N6602" s="308" t="s">
        <v>26617</v>
      </c>
      <c r="O6602" s="308"/>
      <c r="P6602" s="308" t="s">
        <v>26618</v>
      </c>
      <c r="Q6602" s="308" t="s">
        <v>39228</v>
      </c>
      <c r="R6602" s="308" t="s">
        <v>2743</v>
      </c>
      <c r="S6602" s="308" t="s">
        <v>81</v>
      </c>
      <c r="T6602" s="308" t="s">
        <v>75</v>
      </c>
      <c r="U6602" s="308" t="s">
        <v>31</v>
      </c>
      <c r="V6602" s="308"/>
    </row>
    <row r="6603">
      <c r="A6603" s="308">
        <v>6602.0</v>
      </c>
      <c r="B6603" s="308"/>
      <c r="C6603" s="308" t="s">
        <v>26619</v>
      </c>
      <c r="D6603" s="308">
        <f>IFERROR(__xludf.DUMMYFUNCTION("SPLIT(C6603,""-"")"),6623.0)</f>
        <v>6623</v>
      </c>
      <c r="E6603" s="308" t="str">
        <f>IFERROR(__xludf.DUMMYFUNCTION("""COMPUTED_VALUE"""),"P")</f>
        <v>P</v>
      </c>
      <c r="F6603" s="312" t="s">
        <v>37</v>
      </c>
      <c r="G6603" s="308"/>
      <c r="H6603" s="308" t="s">
        <v>26620</v>
      </c>
      <c r="I6603" s="316">
        <v>6612.0</v>
      </c>
      <c r="J6603" s="319"/>
      <c r="K6603" s="308"/>
      <c r="L6603" s="311" t="s">
        <v>79</v>
      </c>
      <c r="M6603" s="308" t="s">
        <v>26621</v>
      </c>
      <c r="N6603" s="308" t="s">
        <v>26622</v>
      </c>
      <c r="O6603" s="308"/>
      <c r="P6603" s="308" t="s">
        <v>26623</v>
      </c>
      <c r="Q6603" s="308" t="s">
        <v>39228</v>
      </c>
      <c r="R6603" s="308" t="s">
        <v>2743</v>
      </c>
      <c r="S6603" s="308" t="s">
        <v>81</v>
      </c>
      <c r="T6603" s="308" t="s">
        <v>73</v>
      </c>
      <c r="U6603" s="308" t="s">
        <v>143</v>
      </c>
      <c r="V6603" s="308"/>
    </row>
    <row r="6604">
      <c r="A6604" s="308">
        <v>6603.0</v>
      </c>
      <c r="B6604" s="308"/>
      <c r="C6604" s="308" t="s">
        <v>26624</v>
      </c>
      <c r="D6604" s="308">
        <f>IFERROR(__xludf.DUMMYFUNCTION("SPLIT(C6604,""-"")"),6624.0)</f>
        <v>6624</v>
      </c>
      <c r="E6604" s="308" t="str">
        <f>IFERROR(__xludf.DUMMYFUNCTION("""COMPUTED_VALUE"""),"K")</f>
        <v>K</v>
      </c>
      <c r="F6604" s="309" t="s">
        <v>34</v>
      </c>
      <c r="G6604" s="308"/>
      <c r="H6604" s="308" t="s">
        <v>26625</v>
      </c>
      <c r="I6604" s="310">
        <v>41974.0</v>
      </c>
      <c r="J6604" s="319">
        <f>IFERROR(__xludf.DUMMYFUNCTION("SPLIT(I6604,""/"")"),1.0)</f>
        <v>1</v>
      </c>
      <c r="K6604" s="308">
        <f>IFERROR(__xludf.DUMMYFUNCTION("""COMPUTED_VALUE"""),12.0)</f>
        <v>12</v>
      </c>
      <c r="L6604" s="308">
        <f>IFERROR(__xludf.DUMMYFUNCTION("""COMPUTED_VALUE"""),2014.0)</f>
        <v>2014</v>
      </c>
      <c r="M6604" s="308" t="s">
        <v>26626</v>
      </c>
      <c r="N6604" s="308" t="s">
        <v>39229</v>
      </c>
      <c r="O6604" s="308" t="s">
        <v>26628</v>
      </c>
      <c r="P6604" s="308" t="s">
        <v>136</v>
      </c>
      <c r="Q6604" s="308" t="s">
        <v>39230</v>
      </c>
      <c r="R6604" s="308" t="s">
        <v>2743</v>
      </c>
      <c r="S6604" s="315" t="s">
        <v>100</v>
      </c>
      <c r="T6604" s="308" t="s">
        <v>34208</v>
      </c>
      <c r="U6604" s="308" t="s">
        <v>368</v>
      </c>
      <c r="V6604" s="308"/>
    </row>
    <row r="6605">
      <c r="A6605" s="308">
        <v>6604.0</v>
      </c>
      <c r="B6605" s="308"/>
      <c r="C6605" s="308" t="s">
        <v>26629</v>
      </c>
      <c r="D6605" s="308">
        <f>IFERROR(__xludf.DUMMYFUNCTION("SPLIT(C6605,""-"")"),6625.0)</f>
        <v>6625</v>
      </c>
      <c r="E6605" s="308" t="str">
        <f>IFERROR(__xludf.DUMMYFUNCTION("""COMPUTED_VALUE"""),"S")</f>
        <v>S</v>
      </c>
      <c r="F6605" s="312" t="s">
        <v>39</v>
      </c>
      <c r="G6605" s="308"/>
      <c r="H6605" s="308" t="s">
        <v>26630</v>
      </c>
      <c r="I6605" s="310">
        <v>40296.0</v>
      </c>
      <c r="J6605" s="319">
        <f>IFERROR(__xludf.DUMMYFUNCTION("SPLIT(I6605,""/"")"),28.0)</f>
        <v>28</v>
      </c>
      <c r="K6605" s="308">
        <f>IFERROR(__xludf.DUMMYFUNCTION("""COMPUTED_VALUE"""),4.0)</f>
        <v>4</v>
      </c>
      <c r="L6605" s="308">
        <f>IFERROR(__xludf.DUMMYFUNCTION("""COMPUTED_VALUE"""),2010.0)</f>
        <v>2010</v>
      </c>
      <c r="M6605" s="308" t="s">
        <v>26631</v>
      </c>
      <c r="N6605" s="308" t="s">
        <v>439</v>
      </c>
      <c r="O6605" s="308"/>
      <c r="P6605" s="308" t="s">
        <v>136</v>
      </c>
      <c r="Q6605" s="308" t="s">
        <v>39230</v>
      </c>
      <c r="R6605" s="308" t="s">
        <v>2743</v>
      </c>
      <c r="S6605" s="315" t="s">
        <v>100</v>
      </c>
      <c r="T6605" s="308" t="s">
        <v>34208</v>
      </c>
      <c r="U6605" s="308" t="s">
        <v>166</v>
      </c>
      <c r="V6605" s="308"/>
    </row>
    <row r="6606">
      <c r="A6606" s="308">
        <v>6605.0</v>
      </c>
      <c r="B6606" s="308"/>
      <c r="C6606" s="308" t="s">
        <v>26632</v>
      </c>
      <c r="D6606" s="308">
        <f>IFERROR(__xludf.DUMMYFUNCTION("SPLIT(C6606,""-"")"),6626.0)</f>
        <v>6626</v>
      </c>
      <c r="E6606" s="308" t="str">
        <f>IFERROR(__xludf.DUMMYFUNCTION("""COMPUTED_VALUE"""),"P")</f>
        <v>P</v>
      </c>
      <c r="F6606" s="312" t="s">
        <v>37</v>
      </c>
      <c r="G6606" s="308"/>
      <c r="H6606" s="308" t="s">
        <v>26633</v>
      </c>
      <c r="I6606" s="310">
        <v>43894.0</v>
      </c>
      <c r="J6606" s="319">
        <f>IFERROR(__xludf.DUMMYFUNCTION("SPLIT(I6606,""/"")"),4.0)</f>
        <v>4</v>
      </c>
      <c r="K6606" s="308">
        <f>IFERROR(__xludf.DUMMYFUNCTION("""COMPUTED_VALUE"""),3.0)</f>
        <v>3</v>
      </c>
      <c r="L6606" s="308">
        <f>IFERROR(__xludf.DUMMYFUNCTION("""COMPUTED_VALUE"""),2020.0)</f>
        <v>2020</v>
      </c>
      <c r="M6606" s="308" t="s">
        <v>26634</v>
      </c>
      <c r="N6606" s="308" t="s">
        <v>26635</v>
      </c>
      <c r="O6606" s="308"/>
      <c r="P6606" s="308" t="s">
        <v>26636</v>
      </c>
      <c r="Q6606" s="308" t="s">
        <v>39230</v>
      </c>
      <c r="R6606" s="308" t="s">
        <v>2743</v>
      </c>
      <c r="S6606" s="308" t="s">
        <v>81</v>
      </c>
      <c r="T6606" s="311" t="s">
        <v>75</v>
      </c>
      <c r="U6606" s="308" t="s">
        <v>4001</v>
      </c>
      <c r="V6606" s="308"/>
    </row>
    <row r="6607">
      <c r="A6607" s="308">
        <v>6606.0</v>
      </c>
      <c r="B6607" s="308"/>
      <c r="C6607" s="308" t="s">
        <v>26637</v>
      </c>
      <c r="D6607" s="308">
        <f>IFERROR(__xludf.DUMMYFUNCTION("SPLIT(C6607,""-"")"),6627.0)</f>
        <v>6627</v>
      </c>
      <c r="E6607" s="308" t="str">
        <f>IFERROR(__xludf.DUMMYFUNCTION("""COMPUTED_VALUE"""),"F")</f>
        <v>F</v>
      </c>
      <c r="F6607" s="309" t="s">
        <v>34</v>
      </c>
      <c r="G6607" s="308"/>
      <c r="H6607" s="308" t="s">
        <v>26638</v>
      </c>
      <c r="I6607" s="310">
        <v>42607.0</v>
      </c>
      <c r="J6607" s="319">
        <f>IFERROR(__xludf.DUMMYFUNCTION("SPLIT(I6607,""/"")"),25.0)</f>
        <v>25</v>
      </c>
      <c r="K6607" s="308">
        <f>IFERROR(__xludf.DUMMYFUNCTION("""COMPUTED_VALUE"""),8.0)</f>
        <v>8</v>
      </c>
      <c r="L6607" s="308">
        <f>IFERROR(__xludf.DUMMYFUNCTION("""COMPUTED_VALUE"""),2016.0)</f>
        <v>2016</v>
      </c>
      <c r="M6607" s="308" t="s">
        <v>26639</v>
      </c>
      <c r="N6607" s="308" t="s">
        <v>439</v>
      </c>
      <c r="O6607" s="308"/>
      <c r="P6607" s="308" t="s">
        <v>136</v>
      </c>
      <c r="Q6607" s="308" t="s">
        <v>39230</v>
      </c>
      <c r="R6607" s="308" t="s">
        <v>2743</v>
      </c>
      <c r="S6607" s="315" t="s">
        <v>100</v>
      </c>
      <c r="T6607" s="308" t="s">
        <v>34208</v>
      </c>
      <c r="U6607" s="308" t="s">
        <v>368</v>
      </c>
      <c r="V6607" s="308"/>
    </row>
    <row r="6608">
      <c r="A6608" s="308">
        <v>6607.0</v>
      </c>
      <c r="B6608" s="308"/>
      <c r="C6608" s="308" t="s">
        <v>26640</v>
      </c>
      <c r="D6608" s="308">
        <f>IFERROR(__xludf.DUMMYFUNCTION("SPLIT(C6608,""-"")"),6628.0)</f>
        <v>6628</v>
      </c>
      <c r="E6608" s="308" t="str">
        <f>IFERROR(__xludf.DUMMYFUNCTION("""COMPUTED_VALUE"""),"I")</f>
        <v>I</v>
      </c>
      <c r="F6608" s="309" t="s">
        <v>31</v>
      </c>
      <c r="G6608" s="308"/>
      <c r="H6608" s="308" t="s">
        <v>26641</v>
      </c>
      <c r="I6608" s="310">
        <v>43903.0</v>
      </c>
      <c r="J6608" s="319">
        <f>IFERROR(__xludf.DUMMYFUNCTION("SPLIT(I6608,""/"")"),13.0)</f>
        <v>13</v>
      </c>
      <c r="K6608" s="308">
        <f>IFERROR(__xludf.DUMMYFUNCTION("""COMPUTED_VALUE"""),3.0)</f>
        <v>3</v>
      </c>
      <c r="L6608" s="308">
        <f>IFERROR(__xludf.DUMMYFUNCTION("""COMPUTED_VALUE"""),2020.0)</f>
        <v>2020</v>
      </c>
      <c r="M6608" s="308" t="s">
        <v>26642</v>
      </c>
      <c r="N6608" s="308" t="s">
        <v>26643</v>
      </c>
      <c r="O6608" s="308"/>
      <c r="P6608" s="308" t="s">
        <v>26644</v>
      </c>
      <c r="Q6608" s="308" t="s">
        <v>39230</v>
      </c>
      <c r="R6608" s="308" t="s">
        <v>2743</v>
      </c>
      <c r="S6608" s="308" t="s">
        <v>81</v>
      </c>
      <c r="T6608" s="311" t="s">
        <v>91</v>
      </c>
      <c r="U6608" s="308" t="s">
        <v>31</v>
      </c>
      <c r="V6608" s="308" t="s">
        <v>26645</v>
      </c>
    </row>
    <row r="6609">
      <c r="A6609" s="308">
        <v>6608.0</v>
      </c>
      <c r="B6609" s="308"/>
      <c r="C6609" s="308" t="s">
        <v>26646</v>
      </c>
      <c r="D6609" s="308">
        <f>IFERROR(__xludf.DUMMYFUNCTION("SPLIT(C6609,""-"")"),6629.0)</f>
        <v>6629</v>
      </c>
      <c r="E6609" s="308" t="str">
        <f>IFERROR(__xludf.DUMMYFUNCTION("""COMPUTED_VALUE"""),"B")</f>
        <v>B</v>
      </c>
      <c r="F6609" s="315" t="s">
        <v>26</v>
      </c>
      <c r="G6609" s="308"/>
      <c r="H6609" s="308" t="s">
        <v>26647</v>
      </c>
      <c r="I6609" s="310">
        <v>41278.0</v>
      </c>
      <c r="J6609" s="319">
        <f>IFERROR(__xludf.DUMMYFUNCTION("SPLIT(I6609,""/"")"),4.0)</f>
        <v>4</v>
      </c>
      <c r="K6609" s="308">
        <f>IFERROR(__xludf.DUMMYFUNCTION("""COMPUTED_VALUE"""),1.0)</f>
        <v>1</v>
      </c>
      <c r="L6609" s="308">
        <f>IFERROR(__xludf.DUMMYFUNCTION("""COMPUTED_VALUE"""),2013.0)</f>
        <v>2013</v>
      </c>
      <c r="M6609" s="308" t="s">
        <v>26648</v>
      </c>
      <c r="N6609" s="308" t="s">
        <v>439</v>
      </c>
      <c r="O6609" s="308"/>
      <c r="P6609" s="308" t="s">
        <v>136</v>
      </c>
      <c r="Q6609" s="308" t="s">
        <v>39231</v>
      </c>
      <c r="R6609" s="308" t="s">
        <v>16456</v>
      </c>
      <c r="S6609" s="315" t="s">
        <v>100</v>
      </c>
      <c r="T6609" s="308" t="s">
        <v>34208</v>
      </c>
      <c r="U6609" s="308" t="s">
        <v>27</v>
      </c>
      <c r="V6609" s="308" t="s">
        <v>26649</v>
      </c>
    </row>
    <row r="6610">
      <c r="A6610" s="308">
        <v>6609.0</v>
      </c>
      <c r="B6610" s="308"/>
      <c r="C6610" s="308" t="s">
        <v>26650</v>
      </c>
      <c r="D6610" s="308">
        <f>IFERROR(__xludf.DUMMYFUNCTION("SPLIT(C6610,""-"")"),6630.0)</f>
        <v>6630</v>
      </c>
      <c r="E6610" s="308" t="str">
        <f>IFERROR(__xludf.DUMMYFUNCTION("""COMPUTED_VALUE"""),"B")</f>
        <v>B</v>
      </c>
      <c r="F6610" s="315" t="s">
        <v>26</v>
      </c>
      <c r="G6610" s="308"/>
      <c r="H6610" s="308" t="s">
        <v>26651</v>
      </c>
      <c r="I6610" s="310">
        <v>41546.0</v>
      </c>
      <c r="J6610" s="319">
        <f>IFERROR(__xludf.DUMMYFUNCTION("SPLIT(I6610,""/"")"),29.0)</f>
        <v>29</v>
      </c>
      <c r="K6610" s="308">
        <f>IFERROR(__xludf.DUMMYFUNCTION("""COMPUTED_VALUE"""),9.0)</f>
        <v>9</v>
      </c>
      <c r="L6610" s="308">
        <f>IFERROR(__xludf.DUMMYFUNCTION("""COMPUTED_VALUE"""),2013.0)</f>
        <v>2013</v>
      </c>
      <c r="M6610" s="308" t="s">
        <v>26652</v>
      </c>
      <c r="N6610" s="308" t="s">
        <v>26653</v>
      </c>
      <c r="O6610" s="308"/>
      <c r="P6610" s="308" t="s">
        <v>26654</v>
      </c>
      <c r="Q6610" s="308" t="s">
        <v>39231</v>
      </c>
      <c r="R6610" s="308" t="s">
        <v>16456</v>
      </c>
      <c r="S6610" s="308" t="s">
        <v>49</v>
      </c>
      <c r="T6610" s="311" t="s">
        <v>51</v>
      </c>
      <c r="U6610" s="308" t="s">
        <v>27</v>
      </c>
      <c r="V6610" s="308"/>
    </row>
    <row r="6611">
      <c r="A6611" s="308">
        <v>6610.0</v>
      </c>
      <c r="B6611" s="308"/>
      <c r="C6611" s="308" t="s">
        <v>26655</v>
      </c>
      <c r="D6611" s="308">
        <f>IFERROR(__xludf.DUMMYFUNCTION("SPLIT(C6611,""-"")"),6631.0)</f>
        <v>6631</v>
      </c>
      <c r="E6611" s="308" t="str">
        <f>IFERROR(__xludf.DUMMYFUNCTION("""COMPUTED_VALUE"""),"B")</f>
        <v>B</v>
      </c>
      <c r="F6611" s="315" t="s">
        <v>26</v>
      </c>
      <c r="G6611" s="308"/>
      <c r="H6611" s="308" t="s">
        <v>26656</v>
      </c>
      <c r="I6611" s="310">
        <v>42107.0</v>
      </c>
      <c r="J6611" s="319">
        <f>IFERROR(__xludf.DUMMYFUNCTION("SPLIT(I6611,""/"")"),13.0)</f>
        <v>13</v>
      </c>
      <c r="K6611" s="308">
        <f>IFERROR(__xludf.DUMMYFUNCTION("""COMPUTED_VALUE"""),4.0)</f>
        <v>4</v>
      </c>
      <c r="L6611" s="308">
        <f>IFERROR(__xludf.DUMMYFUNCTION("""COMPUTED_VALUE"""),2015.0)</f>
        <v>2015</v>
      </c>
      <c r="M6611" s="308" t="s">
        <v>26657</v>
      </c>
      <c r="N6611" s="308" t="s">
        <v>26658</v>
      </c>
      <c r="O6611" s="308"/>
      <c r="P6611" s="308" t="s">
        <v>136</v>
      </c>
      <c r="Q6611" s="308" t="s">
        <v>39231</v>
      </c>
      <c r="R6611" s="308" t="s">
        <v>16456</v>
      </c>
      <c r="S6611" s="315" t="s">
        <v>100</v>
      </c>
      <c r="T6611" s="308" t="s">
        <v>34208</v>
      </c>
      <c r="U6611" s="308" t="s">
        <v>27</v>
      </c>
      <c r="V6611" s="308"/>
    </row>
    <row r="6612">
      <c r="A6612" s="308">
        <v>6611.0</v>
      </c>
      <c r="B6612" s="308"/>
      <c r="C6612" s="308" t="s">
        <v>26659</v>
      </c>
      <c r="D6612" s="308">
        <f>IFERROR(__xludf.DUMMYFUNCTION("SPLIT(C6612,""-"")"),6632.0)</f>
        <v>6632</v>
      </c>
      <c r="E6612" s="308" t="str">
        <f>IFERROR(__xludf.DUMMYFUNCTION("""COMPUTED_VALUE"""),"B")</f>
        <v>B</v>
      </c>
      <c r="F6612" s="315" t="s">
        <v>26</v>
      </c>
      <c r="G6612" s="308"/>
      <c r="H6612" s="308" t="s">
        <v>26660</v>
      </c>
      <c r="I6612" s="310">
        <v>41689.0</v>
      </c>
      <c r="J6612" s="319">
        <f>IFERROR(__xludf.DUMMYFUNCTION("SPLIT(I6612,""/"")"),19.0)</f>
        <v>19</v>
      </c>
      <c r="K6612" s="308">
        <f>IFERROR(__xludf.DUMMYFUNCTION("""COMPUTED_VALUE"""),2.0)</f>
        <v>2</v>
      </c>
      <c r="L6612" s="308">
        <f>IFERROR(__xludf.DUMMYFUNCTION("""COMPUTED_VALUE"""),2014.0)</f>
        <v>2014</v>
      </c>
      <c r="M6612" s="308" t="s">
        <v>26661</v>
      </c>
      <c r="N6612" s="308" t="s">
        <v>26662</v>
      </c>
      <c r="O6612" s="308"/>
      <c r="P6612" s="308" t="s">
        <v>136</v>
      </c>
      <c r="Q6612" s="308" t="s">
        <v>39231</v>
      </c>
      <c r="R6612" s="308" t="s">
        <v>16456</v>
      </c>
      <c r="S6612" s="315" t="s">
        <v>100</v>
      </c>
      <c r="T6612" s="308" t="s">
        <v>34208</v>
      </c>
      <c r="U6612" s="308" t="s">
        <v>27</v>
      </c>
      <c r="V6612" s="308"/>
    </row>
    <row r="6613">
      <c r="A6613" s="308">
        <v>6612.0</v>
      </c>
      <c r="B6613" s="308"/>
      <c r="C6613" s="308" t="s">
        <v>26663</v>
      </c>
      <c r="D6613" s="308">
        <f>IFERROR(__xludf.DUMMYFUNCTION("SPLIT(C6613,""-"")"),6633.0)</f>
        <v>6633</v>
      </c>
      <c r="E6613" s="308" t="str">
        <f>IFERROR(__xludf.DUMMYFUNCTION("""COMPUTED_VALUE"""),"B")</f>
        <v>B</v>
      </c>
      <c r="F6613" s="315" t="s">
        <v>26</v>
      </c>
      <c r="G6613" s="308"/>
      <c r="H6613" s="308" t="s">
        <v>26664</v>
      </c>
      <c r="I6613" s="310">
        <v>41830.0</v>
      </c>
      <c r="J6613" s="319">
        <f>IFERROR(__xludf.DUMMYFUNCTION("SPLIT(I6613,""/"")"),10.0)</f>
        <v>10</v>
      </c>
      <c r="K6613" s="308">
        <f>IFERROR(__xludf.DUMMYFUNCTION("""COMPUTED_VALUE"""),7.0)</f>
        <v>7</v>
      </c>
      <c r="L6613" s="308">
        <f>IFERROR(__xludf.DUMMYFUNCTION("""COMPUTED_VALUE"""),2014.0)</f>
        <v>2014</v>
      </c>
      <c r="M6613" s="308" t="s">
        <v>26665</v>
      </c>
      <c r="N6613" s="308" t="s">
        <v>439</v>
      </c>
      <c r="O6613" s="308"/>
      <c r="P6613" s="308" t="s">
        <v>39232</v>
      </c>
      <c r="Q6613" s="308" t="s">
        <v>39231</v>
      </c>
      <c r="R6613" s="308" t="s">
        <v>16456</v>
      </c>
      <c r="S6613" s="308" t="s">
        <v>49</v>
      </c>
      <c r="T6613" s="311" t="s">
        <v>51</v>
      </c>
      <c r="U6613" s="308" t="s">
        <v>27</v>
      </c>
      <c r="V6613" s="308"/>
    </row>
    <row r="6614">
      <c r="A6614" s="308">
        <v>6613.0</v>
      </c>
      <c r="B6614" s="308"/>
      <c r="C6614" s="308" t="s">
        <v>26667</v>
      </c>
      <c r="D6614" s="308">
        <f>IFERROR(__xludf.DUMMYFUNCTION("SPLIT(C6614,""-"")"),6634.0)</f>
        <v>6634</v>
      </c>
      <c r="E6614" s="308" t="str">
        <f>IFERROR(__xludf.DUMMYFUNCTION("""COMPUTED_VALUE"""),"B")</f>
        <v>B</v>
      </c>
      <c r="F6614" s="315" t="s">
        <v>26</v>
      </c>
      <c r="G6614" s="308"/>
      <c r="H6614" s="308" t="s">
        <v>26668</v>
      </c>
      <c r="I6614" s="314">
        <v>43025.0</v>
      </c>
      <c r="J6614" s="319">
        <f>IFERROR(__xludf.DUMMYFUNCTION("SPLIT(I6614,""/"")"),17.0)</f>
        <v>17</v>
      </c>
      <c r="K6614" s="308">
        <f>IFERROR(__xludf.DUMMYFUNCTION("""COMPUTED_VALUE"""),10.0)</f>
        <v>10</v>
      </c>
      <c r="L6614" s="308">
        <f>IFERROR(__xludf.DUMMYFUNCTION("""COMPUTED_VALUE"""),2017.0)</f>
        <v>2017</v>
      </c>
      <c r="M6614" s="308" t="s">
        <v>26669</v>
      </c>
      <c r="N6614" s="308" t="s">
        <v>26670</v>
      </c>
      <c r="O6614" s="308"/>
      <c r="P6614" s="308" t="s">
        <v>39233</v>
      </c>
      <c r="Q6614" s="308" t="s">
        <v>39231</v>
      </c>
      <c r="R6614" s="308" t="s">
        <v>16456</v>
      </c>
      <c r="S6614" s="308" t="s">
        <v>81</v>
      </c>
      <c r="T6614" s="308" t="s">
        <v>75</v>
      </c>
      <c r="U6614" s="308" t="s">
        <v>27</v>
      </c>
      <c r="V6614" s="308"/>
    </row>
    <row r="6615">
      <c r="A6615" s="308">
        <v>6614.0</v>
      </c>
      <c r="B6615" s="308"/>
      <c r="C6615" s="308" t="s">
        <v>26672</v>
      </c>
      <c r="D6615" s="308">
        <f>IFERROR(__xludf.DUMMYFUNCTION("SPLIT(C6615,""-"")"),6635.0)</f>
        <v>6635</v>
      </c>
      <c r="E6615" s="308" t="str">
        <f>IFERROR(__xludf.DUMMYFUNCTION("""COMPUTED_VALUE"""),"B")</f>
        <v>B</v>
      </c>
      <c r="F6615" s="315" t="s">
        <v>26</v>
      </c>
      <c r="G6615" s="308"/>
      <c r="H6615" s="308" t="s">
        <v>26673</v>
      </c>
      <c r="I6615" s="310">
        <v>41830.0</v>
      </c>
      <c r="J6615" s="319">
        <f>IFERROR(__xludf.DUMMYFUNCTION("SPLIT(I6615,""/"")"),10.0)</f>
        <v>10</v>
      </c>
      <c r="K6615" s="308">
        <f>IFERROR(__xludf.DUMMYFUNCTION("""COMPUTED_VALUE"""),7.0)</f>
        <v>7</v>
      </c>
      <c r="L6615" s="308">
        <f>IFERROR(__xludf.DUMMYFUNCTION("""COMPUTED_VALUE"""),2014.0)</f>
        <v>2014</v>
      </c>
      <c r="M6615" s="308" t="s">
        <v>26665</v>
      </c>
      <c r="N6615" s="308" t="s">
        <v>439</v>
      </c>
      <c r="O6615" s="308"/>
      <c r="P6615" s="308" t="s">
        <v>39232</v>
      </c>
      <c r="Q6615" s="308" t="s">
        <v>39231</v>
      </c>
      <c r="R6615" s="308" t="s">
        <v>16456</v>
      </c>
      <c r="S6615" s="308" t="s">
        <v>49</v>
      </c>
      <c r="T6615" s="311" t="s">
        <v>51</v>
      </c>
      <c r="U6615" s="308" t="s">
        <v>27</v>
      </c>
      <c r="V6615" s="308"/>
    </row>
    <row r="6616">
      <c r="A6616" s="308">
        <v>6615.0</v>
      </c>
      <c r="B6616" s="308"/>
      <c r="C6616" s="308" t="s">
        <v>26674</v>
      </c>
      <c r="D6616" s="308">
        <f>IFERROR(__xludf.DUMMYFUNCTION("SPLIT(C6616,""-"")"),6636.0)</f>
        <v>6636</v>
      </c>
      <c r="E6616" s="308" t="str">
        <f>IFERROR(__xludf.DUMMYFUNCTION("""COMPUTED_VALUE"""),"B")</f>
        <v>B</v>
      </c>
      <c r="F6616" s="315" t="s">
        <v>26</v>
      </c>
      <c r="G6616" s="308"/>
      <c r="H6616" s="308" t="s">
        <v>26675</v>
      </c>
      <c r="I6616" s="310">
        <v>42804.0</v>
      </c>
      <c r="J6616" s="319">
        <f>IFERROR(__xludf.DUMMYFUNCTION("SPLIT(I6616,""/"")"),10.0)</f>
        <v>10</v>
      </c>
      <c r="K6616" s="308">
        <f>IFERROR(__xludf.DUMMYFUNCTION("""COMPUTED_VALUE"""),3.0)</f>
        <v>3</v>
      </c>
      <c r="L6616" s="308">
        <f>IFERROR(__xludf.DUMMYFUNCTION("""COMPUTED_VALUE"""),2017.0)</f>
        <v>2017</v>
      </c>
      <c r="M6616" s="308" t="s">
        <v>26676</v>
      </c>
      <c r="N6616" s="308" t="s">
        <v>26677</v>
      </c>
      <c r="O6616" s="308"/>
      <c r="P6616" s="308" t="s">
        <v>26678</v>
      </c>
      <c r="Q6616" s="308" t="s">
        <v>39231</v>
      </c>
      <c r="R6616" s="308" t="s">
        <v>16456</v>
      </c>
      <c r="S6616" s="308" t="s">
        <v>81</v>
      </c>
      <c r="T6616" s="311" t="s">
        <v>96</v>
      </c>
      <c r="U6616" s="308" t="s">
        <v>27</v>
      </c>
      <c r="V6616" s="308"/>
    </row>
    <row r="6617">
      <c r="A6617" s="308">
        <v>6616.0</v>
      </c>
      <c r="B6617" s="308"/>
      <c r="C6617" s="308" t="s">
        <v>26679</v>
      </c>
      <c r="D6617" s="308">
        <f>IFERROR(__xludf.DUMMYFUNCTION("SPLIT(C6617,""-"")"),6637.0)</f>
        <v>6637</v>
      </c>
      <c r="E6617" s="308" t="str">
        <f>IFERROR(__xludf.DUMMYFUNCTION("""COMPUTED_VALUE"""),"K")</f>
        <v>K</v>
      </c>
      <c r="F6617" s="309" t="s">
        <v>34</v>
      </c>
      <c r="G6617" s="308"/>
      <c r="H6617" s="308" t="s">
        <v>26680</v>
      </c>
      <c r="I6617" s="310">
        <v>40368.0</v>
      </c>
      <c r="J6617" s="319">
        <f>IFERROR(__xludf.DUMMYFUNCTION("SPLIT(I6617,""/"")"),9.0)</f>
        <v>9</v>
      </c>
      <c r="K6617" s="308">
        <f>IFERROR(__xludf.DUMMYFUNCTION("""COMPUTED_VALUE"""),7.0)</f>
        <v>7</v>
      </c>
      <c r="L6617" s="308">
        <f>IFERROR(__xludf.DUMMYFUNCTION("""COMPUTED_VALUE"""),2010.0)</f>
        <v>2010</v>
      </c>
      <c r="M6617" s="308" t="s">
        <v>26681</v>
      </c>
      <c r="N6617" s="308" t="s">
        <v>26682</v>
      </c>
      <c r="O6617" s="308"/>
      <c r="P6617" s="308" t="s">
        <v>136</v>
      </c>
      <c r="Q6617" s="308" t="s">
        <v>39231</v>
      </c>
      <c r="R6617" s="308" t="s">
        <v>16456</v>
      </c>
      <c r="S6617" s="315" t="s">
        <v>100</v>
      </c>
      <c r="T6617" s="308" t="s">
        <v>34208</v>
      </c>
      <c r="U6617" s="308" t="s">
        <v>125</v>
      </c>
      <c r="V6617" s="308"/>
    </row>
    <row r="6618">
      <c r="A6618" s="308">
        <v>6617.0</v>
      </c>
      <c r="B6618" s="308"/>
      <c r="C6618" s="308" t="s">
        <v>26683</v>
      </c>
      <c r="D6618" s="308">
        <f>IFERROR(__xludf.DUMMYFUNCTION("SPLIT(C6618,""-"")"),6638.0)</f>
        <v>6638</v>
      </c>
      <c r="E6618" s="308" t="str">
        <f>IFERROR(__xludf.DUMMYFUNCTION("""COMPUTED_VALUE"""),"B")</f>
        <v>B</v>
      </c>
      <c r="F6618" s="315" t="s">
        <v>26</v>
      </c>
      <c r="G6618" s="308"/>
      <c r="H6618" s="308" t="s">
        <v>26684</v>
      </c>
      <c r="I6618" s="314">
        <v>43434.0</v>
      </c>
      <c r="J6618" s="319">
        <f>IFERROR(__xludf.DUMMYFUNCTION("SPLIT(I6618,""/"")"),30.0)</f>
        <v>30</v>
      </c>
      <c r="K6618" s="308">
        <f>IFERROR(__xludf.DUMMYFUNCTION("""COMPUTED_VALUE"""),11.0)</f>
        <v>11</v>
      </c>
      <c r="L6618" s="308">
        <f>IFERROR(__xludf.DUMMYFUNCTION("""COMPUTED_VALUE"""),2018.0)</f>
        <v>2018</v>
      </c>
      <c r="M6618" s="308" t="s">
        <v>26685</v>
      </c>
      <c r="N6618" s="308" t="s">
        <v>26686</v>
      </c>
      <c r="O6618" s="308"/>
      <c r="P6618" s="308" t="s">
        <v>39234</v>
      </c>
      <c r="Q6618" s="308" t="s">
        <v>39231</v>
      </c>
      <c r="R6618" s="308" t="s">
        <v>16456</v>
      </c>
      <c r="S6618" s="308" t="s">
        <v>81</v>
      </c>
      <c r="T6618" s="311" t="s">
        <v>75</v>
      </c>
      <c r="U6618" s="308" t="s">
        <v>27</v>
      </c>
      <c r="V6618" s="308"/>
    </row>
    <row r="6619">
      <c r="A6619" s="308">
        <v>6618.0</v>
      </c>
      <c r="B6619" s="308"/>
      <c r="C6619" s="308" t="s">
        <v>26688</v>
      </c>
      <c r="D6619" s="308">
        <f>IFERROR(__xludf.DUMMYFUNCTION("SPLIT(C6619,""-"")"),6639.0)</f>
        <v>6639</v>
      </c>
      <c r="E6619" s="308" t="str">
        <f>IFERROR(__xludf.DUMMYFUNCTION("""COMPUTED_VALUE"""),"B")</f>
        <v>B</v>
      </c>
      <c r="F6619" s="315" t="s">
        <v>26</v>
      </c>
      <c r="G6619" s="308"/>
      <c r="H6619" s="308" t="s">
        <v>26689</v>
      </c>
      <c r="I6619" s="310">
        <v>43277.0</v>
      </c>
      <c r="J6619" s="319">
        <f>IFERROR(__xludf.DUMMYFUNCTION("SPLIT(I6619,""/"")"),26.0)</f>
        <v>26</v>
      </c>
      <c r="K6619" s="308">
        <f>IFERROR(__xludf.DUMMYFUNCTION("""COMPUTED_VALUE"""),6.0)</f>
        <v>6</v>
      </c>
      <c r="L6619" s="308">
        <f>IFERROR(__xludf.DUMMYFUNCTION("""COMPUTED_VALUE"""),2018.0)</f>
        <v>2018</v>
      </c>
      <c r="M6619" s="308" t="s">
        <v>39235</v>
      </c>
      <c r="N6619" s="308" t="s">
        <v>26691</v>
      </c>
      <c r="O6619" s="308"/>
      <c r="P6619" s="308" t="s">
        <v>26692</v>
      </c>
      <c r="Q6619" s="308" t="s">
        <v>39231</v>
      </c>
      <c r="R6619" s="308" t="s">
        <v>16456</v>
      </c>
      <c r="S6619" s="308" t="s">
        <v>81</v>
      </c>
      <c r="T6619" s="308" t="s">
        <v>75</v>
      </c>
      <c r="U6619" s="308" t="s">
        <v>27</v>
      </c>
      <c r="V6619" s="308"/>
    </row>
    <row r="6620">
      <c r="A6620" s="308">
        <v>6619.0</v>
      </c>
      <c r="B6620" s="308"/>
      <c r="C6620" s="308" t="s">
        <v>26693</v>
      </c>
      <c r="D6620" s="308">
        <f>IFERROR(__xludf.DUMMYFUNCTION("SPLIT(C6620,""-"")"),6640.0)</f>
        <v>6640</v>
      </c>
      <c r="E6620" s="308" t="str">
        <f>IFERROR(__xludf.DUMMYFUNCTION("""COMPUTED_VALUE"""),"B")</f>
        <v>B</v>
      </c>
      <c r="F6620" s="315" t="s">
        <v>26</v>
      </c>
      <c r="G6620" s="308"/>
      <c r="H6620" s="308" t="s">
        <v>26694</v>
      </c>
      <c r="I6620" s="310">
        <v>42559.0</v>
      </c>
      <c r="J6620" s="319">
        <f>IFERROR(__xludf.DUMMYFUNCTION("SPLIT(I6620,""/"")"),8.0)</f>
        <v>8</v>
      </c>
      <c r="K6620" s="308">
        <f>IFERROR(__xludf.DUMMYFUNCTION("""COMPUTED_VALUE"""),7.0)</f>
        <v>7</v>
      </c>
      <c r="L6620" s="308">
        <f>IFERROR(__xludf.DUMMYFUNCTION("""COMPUTED_VALUE"""),2016.0)</f>
        <v>2016</v>
      </c>
      <c r="M6620" s="308" t="s">
        <v>39236</v>
      </c>
      <c r="N6620" s="308" t="s">
        <v>26696</v>
      </c>
      <c r="O6620" s="308"/>
      <c r="P6620" s="308" t="s">
        <v>39237</v>
      </c>
      <c r="Q6620" s="308" t="s">
        <v>39231</v>
      </c>
      <c r="R6620" s="308" t="s">
        <v>16456</v>
      </c>
      <c r="S6620" s="308" t="s">
        <v>81</v>
      </c>
      <c r="T6620" s="311" t="s">
        <v>96</v>
      </c>
      <c r="U6620" s="308" t="s">
        <v>27</v>
      </c>
      <c r="V6620" s="308"/>
    </row>
    <row r="6621">
      <c r="A6621" s="308">
        <v>6620.0</v>
      </c>
      <c r="B6621" s="308"/>
      <c r="C6621" s="308" t="s">
        <v>26698</v>
      </c>
      <c r="D6621" s="308">
        <f>IFERROR(__xludf.DUMMYFUNCTION("SPLIT(C6621,""-"")"),6641.0)</f>
        <v>6641</v>
      </c>
      <c r="E6621" s="308" t="str">
        <f>IFERROR(__xludf.DUMMYFUNCTION("""COMPUTED_VALUE"""),"B")</f>
        <v>B</v>
      </c>
      <c r="F6621" s="315" t="s">
        <v>26</v>
      </c>
      <c r="G6621" s="308"/>
      <c r="H6621" s="308" t="s">
        <v>26699</v>
      </c>
      <c r="I6621" s="310">
        <v>42090.0</v>
      </c>
      <c r="J6621" s="319">
        <f>IFERROR(__xludf.DUMMYFUNCTION("SPLIT(I6621,""/"")"),27.0)</f>
        <v>27</v>
      </c>
      <c r="K6621" s="308">
        <f>IFERROR(__xludf.DUMMYFUNCTION("""COMPUTED_VALUE"""),3.0)</f>
        <v>3</v>
      </c>
      <c r="L6621" s="308">
        <f>IFERROR(__xludf.DUMMYFUNCTION("""COMPUTED_VALUE"""),2015.0)</f>
        <v>2015</v>
      </c>
      <c r="M6621" s="308" t="s">
        <v>26700</v>
      </c>
      <c r="N6621" s="308" t="s">
        <v>26701</v>
      </c>
      <c r="O6621" s="308"/>
      <c r="P6621" s="308" t="s">
        <v>136</v>
      </c>
      <c r="Q6621" s="308" t="s">
        <v>39231</v>
      </c>
      <c r="R6621" s="308" t="s">
        <v>16456</v>
      </c>
      <c r="S6621" s="315" t="s">
        <v>100</v>
      </c>
      <c r="T6621" s="308" t="s">
        <v>34208</v>
      </c>
      <c r="U6621" s="308" t="s">
        <v>27</v>
      </c>
      <c r="V6621" s="308"/>
    </row>
    <row r="6622">
      <c r="A6622" s="308">
        <v>6621.0</v>
      </c>
      <c r="B6622" s="308"/>
      <c r="C6622" s="308" t="s">
        <v>26702</v>
      </c>
      <c r="D6622" s="308">
        <f>IFERROR(__xludf.DUMMYFUNCTION("SPLIT(C6622,""-"")"),6642.0)</f>
        <v>6642</v>
      </c>
      <c r="E6622" s="308" t="str">
        <f>IFERROR(__xludf.DUMMYFUNCTION("""COMPUTED_VALUE"""),"B")</f>
        <v>B</v>
      </c>
      <c r="F6622" s="315" t="s">
        <v>26</v>
      </c>
      <c r="G6622" s="308"/>
      <c r="H6622" s="308" t="s">
        <v>26703</v>
      </c>
      <c r="I6622" s="310">
        <v>42384.0</v>
      </c>
      <c r="J6622" s="319">
        <f>IFERROR(__xludf.DUMMYFUNCTION("SPLIT(I6622,""/"")"),15.0)</f>
        <v>15</v>
      </c>
      <c r="K6622" s="308">
        <f>IFERROR(__xludf.DUMMYFUNCTION("""COMPUTED_VALUE"""),1.0)</f>
        <v>1</v>
      </c>
      <c r="L6622" s="308">
        <f>IFERROR(__xludf.DUMMYFUNCTION("""COMPUTED_VALUE"""),2016.0)</f>
        <v>2016</v>
      </c>
      <c r="M6622" s="308" t="s">
        <v>26704</v>
      </c>
      <c r="N6622" s="308" t="s">
        <v>26705</v>
      </c>
      <c r="O6622" s="308"/>
      <c r="P6622" s="308" t="s">
        <v>136</v>
      </c>
      <c r="Q6622" s="308" t="s">
        <v>39231</v>
      </c>
      <c r="R6622" s="308" t="s">
        <v>26706</v>
      </c>
      <c r="S6622" s="315" t="s">
        <v>100</v>
      </c>
      <c r="T6622" s="308" t="s">
        <v>34208</v>
      </c>
      <c r="U6622" s="308" t="s">
        <v>27</v>
      </c>
      <c r="V6622" s="308"/>
    </row>
    <row r="6623">
      <c r="A6623" s="308">
        <v>6622.0</v>
      </c>
      <c r="B6623" s="308"/>
      <c r="C6623" s="308" t="s">
        <v>26707</v>
      </c>
      <c r="D6623" s="308">
        <f>IFERROR(__xludf.DUMMYFUNCTION("SPLIT(C6623,""-"")"),6643.0)</f>
        <v>6643</v>
      </c>
      <c r="E6623" s="308" t="str">
        <f>IFERROR(__xludf.DUMMYFUNCTION("""COMPUTED_VALUE"""),"B")</f>
        <v>B</v>
      </c>
      <c r="F6623" s="315" t="s">
        <v>26</v>
      </c>
      <c r="G6623" s="308"/>
      <c r="H6623" s="308" t="s">
        <v>26708</v>
      </c>
      <c r="I6623" s="314">
        <v>43402.0</v>
      </c>
      <c r="J6623" s="319">
        <f>IFERROR(__xludf.DUMMYFUNCTION("SPLIT(I6623,""/"")"),29.0)</f>
        <v>29</v>
      </c>
      <c r="K6623" s="308">
        <f>IFERROR(__xludf.DUMMYFUNCTION("""COMPUTED_VALUE"""),10.0)</f>
        <v>10</v>
      </c>
      <c r="L6623" s="308">
        <f>IFERROR(__xludf.DUMMYFUNCTION("""COMPUTED_VALUE"""),2018.0)</f>
        <v>2018</v>
      </c>
      <c r="M6623" s="308" t="s">
        <v>26709</v>
      </c>
      <c r="N6623" s="308" t="s">
        <v>26710</v>
      </c>
      <c r="O6623" s="308"/>
      <c r="P6623" s="308" t="s">
        <v>39238</v>
      </c>
      <c r="Q6623" s="308" t="s">
        <v>39231</v>
      </c>
      <c r="R6623" s="308" t="s">
        <v>16456</v>
      </c>
      <c r="S6623" s="308" t="s">
        <v>81</v>
      </c>
      <c r="T6623" s="311" t="s">
        <v>77</v>
      </c>
      <c r="U6623" s="308" t="s">
        <v>27</v>
      </c>
      <c r="V6623" s="308"/>
    </row>
    <row r="6624">
      <c r="A6624" s="308">
        <v>6623.0</v>
      </c>
      <c r="B6624" s="308"/>
      <c r="C6624" s="308" t="s">
        <v>26712</v>
      </c>
      <c r="D6624" s="308">
        <f>IFERROR(__xludf.DUMMYFUNCTION("SPLIT(C6624,""-"")"),6644.0)</f>
        <v>6644</v>
      </c>
      <c r="E6624" s="308" t="str">
        <f>IFERROR(__xludf.DUMMYFUNCTION("""COMPUTED_VALUE"""),"S")</f>
        <v>S</v>
      </c>
      <c r="F6624" s="312" t="s">
        <v>39</v>
      </c>
      <c r="G6624" s="308"/>
      <c r="H6624" s="308" t="s">
        <v>26713</v>
      </c>
      <c r="I6624" s="310">
        <v>42840.0</v>
      </c>
      <c r="J6624" s="319">
        <f>IFERROR(__xludf.DUMMYFUNCTION("SPLIT(I6624,""/"")"),15.0)</f>
        <v>15</v>
      </c>
      <c r="K6624" s="308">
        <f>IFERROR(__xludf.DUMMYFUNCTION("""COMPUTED_VALUE"""),4.0)</f>
        <v>4</v>
      </c>
      <c r="L6624" s="308">
        <f>IFERROR(__xludf.DUMMYFUNCTION("""COMPUTED_VALUE"""),2017.0)</f>
        <v>2017</v>
      </c>
      <c r="M6624" s="308" t="s">
        <v>26714</v>
      </c>
      <c r="N6624" s="308" t="s">
        <v>26715</v>
      </c>
      <c r="O6624" s="308"/>
      <c r="P6624" s="308" t="s">
        <v>136</v>
      </c>
      <c r="Q6624" s="308" t="s">
        <v>39231</v>
      </c>
      <c r="R6624" s="308" t="s">
        <v>26716</v>
      </c>
      <c r="S6624" s="315" t="s">
        <v>100</v>
      </c>
      <c r="T6624" s="308" t="s">
        <v>34208</v>
      </c>
      <c r="U6624" s="308" t="s">
        <v>166</v>
      </c>
      <c r="V6624" s="308"/>
    </row>
    <row r="6625">
      <c r="A6625" s="308">
        <v>6624.0</v>
      </c>
      <c r="B6625" s="308"/>
      <c r="C6625" s="308" t="s">
        <v>26717</v>
      </c>
      <c r="D6625" s="308">
        <f>IFERROR(__xludf.DUMMYFUNCTION("SPLIT(C6625,""-"")"),6645.0)</f>
        <v>6645</v>
      </c>
      <c r="E6625" s="308" t="str">
        <f>IFERROR(__xludf.DUMMYFUNCTION("""COMPUTED_VALUE"""),"B")</f>
        <v>B</v>
      </c>
      <c r="F6625" s="315" t="s">
        <v>26</v>
      </c>
      <c r="G6625" s="308"/>
      <c r="H6625" s="308" t="s">
        <v>26718</v>
      </c>
      <c r="I6625" s="310">
        <v>40544.0</v>
      </c>
      <c r="J6625" s="319">
        <f>IFERROR(__xludf.DUMMYFUNCTION("SPLIT(I6625,""/"")"),1.0)</f>
        <v>1</v>
      </c>
      <c r="K6625" s="308">
        <f>IFERROR(__xludf.DUMMYFUNCTION("""COMPUTED_VALUE"""),1.0)</f>
        <v>1</v>
      </c>
      <c r="L6625" s="308">
        <f>IFERROR(__xludf.DUMMYFUNCTION("""COMPUTED_VALUE"""),2011.0)</f>
        <v>2011</v>
      </c>
      <c r="M6625" s="308" t="s">
        <v>26719</v>
      </c>
      <c r="N6625" s="308" t="s">
        <v>26720</v>
      </c>
      <c r="O6625" s="308"/>
      <c r="P6625" s="308" t="s">
        <v>39239</v>
      </c>
      <c r="Q6625" s="308" t="s">
        <v>39231</v>
      </c>
      <c r="R6625" s="308" t="s">
        <v>16456</v>
      </c>
      <c r="S6625" s="308" t="s">
        <v>49</v>
      </c>
      <c r="T6625" s="311" t="s">
        <v>51</v>
      </c>
      <c r="U6625" s="308" t="s">
        <v>27</v>
      </c>
      <c r="V6625" s="308"/>
    </row>
    <row r="6626">
      <c r="A6626" s="308">
        <v>6625.0</v>
      </c>
      <c r="B6626" s="308"/>
      <c r="C6626" s="308" t="s">
        <v>26722</v>
      </c>
      <c r="D6626" s="308">
        <f>IFERROR(__xludf.DUMMYFUNCTION("SPLIT(C6626,""-"")"),6646.0)</f>
        <v>6646</v>
      </c>
      <c r="E6626" s="308" t="str">
        <f>IFERROR(__xludf.DUMMYFUNCTION("""COMPUTED_VALUE"""),"K")</f>
        <v>K</v>
      </c>
      <c r="F6626" s="309" t="s">
        <v>34</v>
      </c>
      <c r="G6626" s="308"/>
      <c r="H6626" s="308" t="s">
        <v>26723</v>
      </c>
      <c r="I6626" s="314">
        <v>43093.0</v>
      </c>
      <c r="J6626" s="319" t="str">
        <f>IFERROR(__xludf.DUMMYFUNCTION("SPLIT(I6626,""/"")"),"#REF!")</f>
        <v>#REF!</v>
      </c>
      <c r="K6626" s="308"/>
      <c r="L6626" s="308">
        <v>2017.0</v>
      </c>
      <c r="M6626" s="308" t="s">
        <v>26724</v>
      </c>
      <c r="N6626" s="308" t="s">
        <v>26725</v>
      </c>
      <c r="O6626" s="308"/>
      <c r="P6626" s="308" t="s">
        <v>26726</v>
      </c>
      <c r="Q6626" s="308" t="s">
        <v>39231</v>
      </c>
      <c r="R6626" s="308" t="s">
        <v>16456</v>
      </c>
      <c r="S6626" s="308" t="s">
        <v>81</v>
      </c>
      <c r="T6626" s="308" t="s">
        <v>34264</v>
      </c>
      <c r="U6626" s="308" t="s">
        <v>542</v>
      </c>
      <c r="V6626" s="308"/>
    </row>
    <row r="6627">
      <c r="A6627" s="308">
        <v>6626.0</v>
      </c>
      <c r="B6627" s="308"/>
      <c r="C6627" s="308" t="s">
        <v>26727</v>
      </c>
      <c r="D6627" s="308">
        <f>IFERROR(__xludf.DUMMYFUNCTION("SPLIT(C6627,""-"")"),6647.0)</f>
        <v>6647</v>
      </c>
      <c r="E6627" s="308" t="str">
        <f>IFERROR(__xludf.DUMMYFUNCTION("""COMPUTED_VALUE"""),"P")</f>
        <v>P</v>
      </c>
      <c r="F6627" s="312" t="s">
        <v>37</v>
      </c>
      <c r="G6627" s="308"/>
      <c r="H6627" s="308" t="s">
        <v>26728</v>
      </c>
      <c r="I6627" s="310">
        <v>43903.0</v>
      </c>
      <c r="J6627" s="319">
        <f>IFERROR(__xludf.DUMMYFUNCTION("SPLIT(I6627,""/"")"),13.0)</f>
        <v>13</v>
      </c>
      <c r="K6627" s="308">
        <f>IFERROR(__xludf.DUMMYFUNCTION("""COMPUTED_VALUE"""),3.0)</f>
        <v>3</v>
      </c>
      <c r="L6627" s="308">
        <f>IFERROR(__xludf.DUMMYFUNCTION("""COMPUTED_VALUE"""),2020.0)</f>
        <v>2020</v>
      </c>
      <c r="M6627" s="308" t="s">
        <v>26729</v>
      </c>
      <c r="N6627" s="308" t="s">
        <v>26730</v>
      </c>
      <c r="O6627" s="308" t="s">
        <v>26731</v>
      </c>
      <c r="P6627" s="308" t="s">
        <v>26732</v>
      </c>
      <c r="Q6627" s="308" t="s">
        <v>39240</v>
      </c>
      <c r="R6627" s="308" t="s">
        <v>2743</v>
      </c>
      <c r="S6627" s="308" t="s">
        <v>81</v>
      </c>
      <c r="T6627" s="311" t="s">
        <v>51</v>
      </c>
      <c r="U6627" s="308" t="s">
        <v>143</v>
      </c>
      <c r="V6627" s="308"/>
    </row>
    <row r="6628">
      <c r="A6628" s="308">
        <v>6627.0</v>
      </c>
      <c r="B6628" s="308"/>
      <c r="C6628" s="308" t="s">
        <v>26733</v>
      </c>
      <c r="D6628" s="308">
        <f>IFERROR(__xludf.DUMMYFUNCTION("SPLIT(C6628,""-"")"),6648.0)</f>
        <v>6648</v>
      </c>
      <c r="E6628" s="308" t="str">
        <f>IFERROR(__xludf.DUMMYFUNCTION("""COMPUTED_VALUE"""),"P")</f>
        <v>P</v>
      </c>
      <c r="F6628" s="312" t="s">
        <v>37</v>
      </c>
      <c r="G6628" s="308"/>
      <c r="H6628" s="308" t="s">
        <v>26734</v>
      </c>
      <c r="I6628" s="310">
        <v>43903.0</v>
      </c>
      <c r="J6628" s="319">
        <f>IFERROR(__xludf.DUMMYFUNCTION("SPLIT(I6628,""/"")"),13.0)</f>
        <v>13</v>
      </c>
      <c r="K6628" s="308">
        <f>IFERROR(__xludf.DUMMYFUNCTION("""COMPUTED_VALUE"""),3.0)</f>
        <v>3</v>
      </c>
      <c r="L6628" s="308">
        <f>IFERROR(__xludf.DUMMYFUNCTION("""COMPUTED_VALUE"""),2020.0)</f>
        <v>2020</v>
      </c>
      <c r="M6628" s="308" t="s">
        <v>26735</v>
      </c>
      <c r="N6628" s="308" t="s">
        <v>26736</v>
      </c>
      <c r="O6628" s="308" t="s">
        <v>26731</v>
      </c>
      <c r="P6628" s="308" t="s">
        <v>26737</v>
      </c>
      <c r="Q6628" s="308" t="s">
        <v>39240</v>
      </c>
      <c r="R6628" s="308" t="s">
        <v>2743</v>
      </c>
      <c r="S6628" s="308" t="s">
        <v>81</v>
      </c>
      <c r="T6628" s="311" t="s">
        <v>51</v>
      </c>
      <c r="U6628" s="308" t="s">
        <v>143</v>
      </c>
      <c r="V6628" s="308"/>
    </row>
    <row r="6629">
      <c r="A6629" s="308">
        <v>6628.0</v>
      </c>
      <c r="B6629" s="308"/>
      <c r="C6629" s="308" t="s">
        <v>26738</v>
      </c>
      <c r="D6629" s="308">
        <f>IFERROR(__xludf.DUMMYFUNCTION("SPLIT(C6629,""-"")"),6649.0)</f>
        <v>6649</v>
      </c>
      <c r="E6629" s="308" t="str">
        <f>IFERROR(__xludf.DUMMYFUNCTION("""COMPUTED_VALUE"""),"P")</f>
        <v>P</v>
      </c>
      <c r="F6629" s="312" t="s">
        <v>37</v>
      </c>
      <c r="G6629" s="308"/>
      <c r="H6629" s="308" t="s">
        <v>26739</v>
      </c>
      <c r="I6629" s="314">
        <v>43394.0</v>
      </c>
      <c r="J6629" s="319">
        <f>IFERROR(__xludf.DUMMYFUNCTION("SPLIT(I6629,""/"")"),21.0)</f>
        <v>21</v>
      </c>
      <c r="K6629" s="308">
        <f>IFERROR(__xludf.DUMMYFUNCTION("""COMPUTED_VALUE"""),10.0)</f>
        <v>10</v>
      </c>
      <c r="L6629" s="308">
        <f>IFERROR(__xludf.DUMMYFUNCTION("""COMPUTED_VALUE"""),2018.0)</f>
        <v>2018</v>
      </c>
      <c r="M6629" s="308" t="s">
        <v>26740</v>
      </c>
      <c r="N6629" s="308" t="s">
        <v>26741</v>
      </c>
      <c r="O6629" s="308"/>
      <c r="P6629" s="308" t="s">
        <v>136</v>
      </c>
      <c r="Q6629" s="308" t="s">
        <v>39241</v>
      </c>
      <c r="R6629" s="308" t="s">
        <v>2743</v>
      </c>
      <c r="S6629" s="315" t="s">
        <v>100</v>
      </c>
      <c r="T6629" s="308" t="s">
        <v>34208</v>
      </c>
      <c r="U6629" s="308" t="s">
        <v>18777</v>
      </c>
      <c r="V6629" s="308"/>
    </row>
    <row r="6630">
      <c r="A6630" s="308">
        <v>6629.0</v>
      </c>
      <c r="B6630" s="308"/>
      <c r="C6630" s="308" t="s">
        <v>26742</v>
      </c>
      <c r="D6630" s="308">
        <f>IFERROR(__xludf.DUMMYFUNCTION("SPLIT(C6630,""-"")"),6650.0)</f>
        <v>6650</v>
      </c>
      <c r="E6630" s="308" t="str">
        <f>IFERROR(__xludf.DUMMYFUNCTION("""COMPUTED_VALUE"""),"K")</f>
        <v>K</v>
      </c>
      <c r="F6630" s="309" t="s">
        <v>34</v>
      </c>
      <c r="G6630" s="308"/>
      <c r="H6630" s="308" t="s">
        <v>26743</v>
      </c>
      <c r="I6630" s="314">
        <v>41808.0</v>
      </c>
      <c r="J6630" s="319">
        <f>IFERROR(__xludf.DUMMYFUNCTION("SPLIT(I6630,""/"")"),18.0)</f>
        <v>18</v>
      </c>
      <c r="K6630" s="308">
        <f>IFERROR(__xludf.DUMMYFUNCTION("""COMPUTED_VALUE"""),6.0)</f>
        <v>6</v>
      </c>
      <c r="L6630" s="308">
        <f>IFERROR(__xludf.DUMMYFUNCTION("""COMPUTED_VALUE"""),2014.0)</f>
        <v>2014</v>
      </c>
      <c r="M6630" s="308" t="s">
        <v>26744</v>
      </c>
      <c r="N6630" s="308" t="s">
        <v>26745</v>
      </c>
      <c r="O6630" s="308" t="s">
        <v>39242</v>
      </c>
      <c r="P6630" s="308" t="s">
        <v>136</v>
      </c>
      <c r="Q6630" s="308" t="s">
        <v>39243</v>
      </c>
      <c r="R6630" s="308" t="s">
        <v>2743</v>
      </c>
      <c r="S6630" s="315" t="s">
        <v>100</v>
      </c>
      <c r="T6630" s="308" t="s">
        <v>34208</v>
      </c>
      <c r="U6630" s="308" t="s">
        <v>4749</v>
      </c>
      <c r="V6630" s="308"/>
    </row>
    <row r="6631">
      <c r="A6631" s="308">
        <v>6630.0</v>
      </c>
      <c r="B6631" s="308"/>
      <c r="C6631" s="308" t="s">
        <v>26747</v>
      </c>
      <c r="D6631" s="308">
        <f>IFERROR(__xludf.DUMMYFUNCTION("SPLIT(C6631,""-"")"),6651.0)</f>
        <v>6651</v>
      </c>
      <c r="E6631" s="308" t="str">
        <f>IFERROR(__xludf.DUMMYFUNCTION("""COMPUTED_VALUE"""),"S")</f>
        <v>S</v>
      </c>
      <c r="F6631" s="312" t="s">
        <v>39</v>
      </c>
      <c r="G6631" s="308"/>
      <c r="H6631" s="308" t="s">
        <v>26748</v>
      </c>
      <c r="I6631" s="310">
        <v>43875.0</v>
      </c>
      <c r="J6631" s="319">
        <f>IFERROR(__xludf.DUMMYFUNCTION("SPLIT(I6631,""/"")"),14.0)</f>
        <v>14</v>
      </c>
      <c r="K6631" s="308">
        <f>IFERROR(__xludf.DUMMYFUNCTION("""COMPUTED_VALUE"""),2.0)</f>
        <v>2</v>
      </c>
      <c r="L6631" s="308">
        <f>IFERROR(__xludf.DUMMYFUNCTION("""COMPUTED_VALUE"""),2020.0)</f>
        <v>2020</v>
      </c>
      <c r="M6631" s="308" t="s">
        <v>26749</v>
      </c>
      <c r="N6631" s="308" t="s">
        <v>26750</v>
      </c>
      <c r="O6631" s="308"/>
      <c r="P6631" s="308" t="s">
        <v>39244</v>
      </c>
      <c r="Q6631" s="308" t="s">
        <v>39231</v>
      </c>
      <c r="R6631" s="308" t="s">
        <v>16456</v>
      </c>
      <c r="S6631" s="308" t="s">
        <v>81</v>
      </c>
      <c r="T6631" s="308" t="s">
        <v>75</v>
      </c>
      <c r="U6631" s="308" t="s">
        <v>166</v>
      </c>
      <c r="V6631" s="308"/>
    </row>
    <row r="6632">
      <c r="A6632" s="308">
        <v>6631.0</v>
      </c>
      <c r="B6632" s="308"/>
      <c r="C6632" s="308" t="s">
        <v>26752</v>
      </c>
      <c r="D6632" s="308">
        <f>IFERROR(__xludf.DUMMYFUNCTION("SPLIT(C6632,""-"")"),6652.0)</f>
        <v>6652</v>
      </c>
      <c r="E6632" s="308" t="str">
        <f>IFERROR(__xludf.DUMMYFUNCTION("""COMPUTED_VALUE"""),"P")</f>
        <v>P</v>
      </c>
      <c r="F6632" s="312" t="s">
        <v>37</v>
      </c>
      <c r="G6632" s="308"/>
      <c r="H6632" s="308" t="s">
        <v>26753</v>
      </c>
      <c r="I6632" s="314">
        <v>43830.0</v>
      </c>
      <c r="J6632" s="319">
        <f>IFERROR(__xludf.DUMMYFUNCTION("SPLIT(I6632,""/"")"),31.0)</f>
        <v>31</v>
      </c>
      <c r="K6632" s="308">
        <f>IFERROR(__xludf.DUMMYFUNCTION("""COMPUTED_VALUE"""),12.0)</f>
        <v>12</v>
      </c>
      <c r="L6632" s="308">
        <f>IFERROR(__xludf.DUMMYFUNCTION("""COMPUTED_VALUE"""),2019.0)</f>
        <v>2019</v>
      </c>
      <c r="M6632" s="308" t="s">
        <v>26754</v>
      </c>
      <c r="N6632" s="308" t="s">
        <v>26755</v>
      </c>
      <c r="O6632" s="308"/>
      <c r="P6632" s="308" t="s">
        <v>39245</v>
      </c>
      <c r="Q6632" s="308" t="s">
        <v>39246</v>
      </c>
      <c r="R6632" s="308" t="s">
        <v>2743</v>
      </c>
      <c r="S6632" s="308" t="s">
        <v>81</v>
      </c>
      <c r="T6632" s="308" t="s">
        <v>75</v>
      </c>
      <c r="U6632" s="308" t="s">
        <v>149</v>
      </c>
      <c r="V6632" s="308"/>
    </row>
    <row r="6633">
      <c r="A6633" s="308">
        <v>6632.0</v>
      </c>
      <c r="B6633" s="308"/>
      <c r="C6633" s="308" t="s">
        <v>26757</v>
      </c>
      <c r="D6633" s="308">
        <f>IFERROR(__xludf.DUMMYFUNCTION("SPLIT(C6633,""-"")"),6653.0)</f>
        <v>6653</v>
      </c>
      <c r="E6633" s="308" t="str">
        <f>IFERROR(__xludf.DUMMYFUNCTION("""COMPUTED_VALUE"""),"K")</f>
        <v>K</v>
      </c>
      <c r="F6633" s="309" t="s">
        <v>34</v>
      </c>
      <c r="G6633" s="308"/>
      <c r="H6633" s="308" t="s">
        <v>26758</v>
      </c>
      <c r="I6633" s="310">
        <v>38251.0</v>
      </c>
      <c r="J6633" s="319">
        <f>IFERROR(__xludf.DUMMYFUNCTION("SPLIT(I6633,""/"")"),21.0)</f>
        <v>21</v>
      </c>
      <c r="K6633" s="308">
        <f>IFERROR(__xludf.DUMMYFUNCTION("""COMPUTED_VALUE"""),9.0)</f>
        <v>9</v>
      </c>
      <c r="L6633" s="308">
        <f>IFERROR(__xludf.DUMMYFUNCTION("""COMPUTED_VALUE"""),2004.0)</f>
        <v>2004</v>
      </c>
      <c r="M6633" s="308" t="s">
        <v>26759</v>
      </c>
      <c r="N6633" s="308" t="s">
        <v>26760</v>
      </c>
      <c r="O6633" s="308" t="s">
        <v>26761</v>
      </c>
      <c r="P6633" s="308" t="s">
        <v>136</v>
      </c>
      <c r="Q6633" s="308" t="s">
        <v>39247</v>
      </c>
      <c r="R6633" s="308" t="s">
        <v>2743</v>
      </c>
      <c r="S6633" s="315" t="s">
        <v>100</v>
      </c>
      <c r="T6633" s="308" t="s">
        <v>34208</v>
      </c>
      <c r="U6633" s="308" t="s">
        <v>4749</v>
      </c>
      <c r="V6633" s="308"/>
    </row>
    <row r="6634">
      <c r="A6634" s="308">
        <v>6633.0</v>
      </c>
      <c r="B6634" s="308"/>
      <c r="C6634" s="308" t="s">
        <v>26762</v>
      </c>
      <c r="D6634" s="308">
        <f>IFERROR(__xludf.DUMMYFUNCTION("SPLIT(C6634,""-"")"),6654.0)</f>
        <v>6654</v>
      </c>
      <c r="E6634" s="308" t="str">
        <f>IFERROR(__xludf.DUMMYFUNCTION("""COMPUTED_VALUE"""),"K")</f>
        <v>K</v>
      </c>
      <c r="F6634" s="309" t="s">
        <v>34</v>
      </c>
      <c r="G6634" s="308" t="s">
        <v>26763</v>
      </c>
      <c r="H6634" s="308" t="s">
        <v>26764</v>
      </c>
      <c r="I6634" s="310">
        <v>41823.0</v>
      </c>
      <c r="J6634" s="319">
        <f>IFERROR(__xludf.DUMMYFUNCTION("SPLIT(I6634,""/"")"),3.0)</f>
        <v>3</v>
      </c>
      <c r="K6634" s="308">
        <f>IFERROR(__xludf.DUMMYFUNCTION("""COMPUTED_VALUE"""),7.0)</f>
        <v>7</v>
      </c>
      <c r="L6634" s="308">
        <f>IFERROR(__xludf.DUMMYFUNCTION("""COMPUTED_VALUE"""),2014.0)</f>
        <v>2014</v>
      </c>
      <c r="M6634" s="308" t="s">
        <v>26765</v>
      </c>
      <c r="N6634" s="308" t="s">
        <v>26766</v>
      </c>
      <c r="O6634" s="308"/>
      <c r="P6634" s="308" t="s">
        <v>26767</v>
      </c>
      <c r="Q6634" s="308" t="s">
        <v>39247</v>
      </c>
      <c r="R6634" s="308" t="s">
        <v>2743</v>
      </c>
      <c r="S6634" s="308" t="s">
        <v>49</v>
      </c>
      <c r="T6634" s="311" t="s">
        <v>51</v>
      </c>
      <c r="U6634" s="308" t="s">
        <v>368</v>
      </c>
      <c r="V6634" s="308"/>
    </row>
    <row r="6635">
      <c r="A6635" s="308">
        <v>6634.0</v>
      </c>
      <c r="B6635" s="308"/>
      <c r="C6635" s="308" t="s">
        <v>26768</v>
      </c>
      <c r="D6635" s="308">
        <f>IFERROR(__xludf.DUMMYFUNCTION("SPLIT(C6635,""-"")"),6655.0)</f>
        <v>6655</v>
      </c>
      <c r="E6635" s="308" t="str">
        <f>IFERROR(__xludf.DUMMYFUNCTION("""COMPUTED_VALUE"""),"K")</f>
        <v>K</v>
      </c>
      <c r="F6635" s="309" t="s">
        <v>34</v>
      </c>
      <c r="G6635" s="308" t="s">
        <v>26763</v>
      </c>
      <c r="H6635" s="308" t="s">
        <v>26769</v>
      </c>
      <c r="I6635" s="310">
        <v>41823.0</v>
      </c>
      <c r="J6635" s="319">
        <f>IFERROR(__xludf.DUMMYFUNCTION("SPLIT(I6635,""/"")"),3.0)</f>
        <v>3</v>
      </c>
      <c r="K6635" s="308">
        <f>IFERROR(__xludf.DUMMYFUNCTION("""COMPUTED_VALUE"""),7.0)</f>
        <v>7</v>
      </c>
      <c r="L6635" s="308">
        <f>IFERROR(__xludf.DUMMYFUNCTION("""COMPUTED_VALUE"""),2014.0)</f>
        <v>2014</v>
      </c>
      <c r="M6635" s="308" t="s">
        <v>26765</v>
      </c>
      <c r="N6635" s="308" t="s">
        <v>26770</v>
      </c>
      <c r="O6635" s="308"/>
      <c r="P6635" s="308" t="s">
        <v>26771</v>
      </c>
      <c r="Q6635" s="308" t="s">
        <v>39247</v>
      </c>
      <c r="R6635" s="308" t="s">
        <v>2743</v>
      </c>
      <c r="S6635" s="308" t="s">
        <v>49</v>
      </c>
      <c r="T6635" s="311" t="s">
        <v>51</v>
      </c>
      <c r="U6635" s="308" t="s">
        <v>368</v>
      </c>
      <c r="V6635" s="308"/>
    </row>
    <row r="6636">
      <c r="A6636" s="308">
        <v>6635.0</v>
      </c>
      <c r="B6636" s="308"/>
      <c r="C6636" s="308" t="s">
        <v>26772</v>
      </c>
      <c r="D6636" s="308">
        <f>IFERROR(__xludf.DUMMYFUNCTION("SPLIT(C6636,""-"")"),6656.0)</f>
        <v>6656</v>
      </c>
      <c r="E6636" s="308" t="str">
        <f>IFERROR(__xludf.DUMMYFUNCTION("""COMPUTED_VALUE"""),"K")</f>
        <v>K</v>
      </c>
      <c r="F6636" s="309" t="s">
        <v>34</v>
      </c>
      <c r="G6636" s="308" t="s">
        <v>26763</v>
      </c>
      <c r="H6636" s="308" t="s">
        <v>26773</v>
      </c>
      <c r="I6636" s="310">
        <v>41823.0</v>
      </c>
      <c r="J6636" s="319">
        <f>IFERROR(__xludf.DUMMYFUNCTION("SPLIT(I6636,""/"")"),3.0)</f>
        <v>3</v>
      </c>
      <c r="K6636" s="308">
        <f>IFERROR(__xludf.DUMMYFUNCTION("""COMPUTED_VALUE"""),7.0)</f>
        <v>7</v>
      </c>
      <c r="L6636" s="308">
        <f>IFERROR(__xludf.DUMMYFUNCTION("""COMPUTED_VALUE"""),2014.0)</f>
        <v>2014</v>
      </c>
      <c r="M6636" s="308" t="s">
        <v>26774</v>
      </c>
      <c r="N6636" s="308" t="s">
        <v>26775</v>
      </c>
      <c r="O6636" s="308"/>
      <c r="P6636" s="308" t="s">
        <v>26776</v>
      </c>
      <c r="Q6636" s="308" t="s">
        <v>39247</v>
      </c>
      <c r="R6636" s="308" t="s">
        <v>2743</v>
      </c>
      <c r="S6636" s="308" t="s">
        <v>49</v>
      </c>
      <c r="T6636" s="311" t="s">
        <v>51</v>
      </c>
      <c r="U6636" s="308" t="s">
        <v>368</v>
      </c>
      <c r="V6636" s="308"/>
    </row>
    <row r="6637">
      <c r="A6637" s="308">
        <v>6636.0</v>
      </c>
      <c r="B6637" s="308"/>
      <c r="C6637" s="308" t="s">
        <v>26777</v>
      </c>
      <c r="D6637" s="308">
        <f>IFERROR(__xludf.DUMMYFUNCTION("SPLIT(C6637,""-"")"),6657.0)</f>
        <v>6657</v>
      </c>
      <c r="E6637" s="308" t="str">
        <f>IFERROR(__xludf.DUMMYFUNCTION("""COMPUTED_VALUE"""),"K")</f>
        <v>K</v>
      </c>
      <c r="F6637" s="309" t="s">
        <v>34</v>
      </c>
      <c r="G6637" s="308"/>
      <c r="H6637" s="308" t="s">
        <v>26778</v>
      </c>
      <c r="I6637" s="310">
        <v>43727.0</v>
      </c>
      <c r="J6637" s="319">
        <f>IFERROR(__xludf.DUMMYFUNCTION("SPLIT(I6637,""/"")"),19.0)</f>
        <v>19</v>
      </c>
      <c r="K6637" s="308">
        <f>IFERROR(__xludf.DUMMYFUNCTION("""COMPUTED_VALUE"""),9.0)</f>
        <v>9</v>
      </c>
      <c r="L6637" s="308">
        <f>IFERROR(__xludf.DUMMYFUNCTION("""COMPUTED_VALUE"""),2019.0)</f>
        <v>2019</v>
      </c>
      <c r="M6637" s="308" t="s">
        <v>26779</v>
      </c>
      <c r="N6637" s="308" t="s">
        <v>26780</v>
      </c>
      <c r="O6637" s="308"/>
      <c r="P6637" s="308" t="s">
        <v>136</v>
      </c>
      <c r="Q6637" s="308" t="s">
        <v>39247</v>
      </c>
      <c r="R6637" s="308" t="s">
        <v>2743</v>
      </c>
      <c r="S6637" s="315" t="s">
        <v>100</v>
      </c>
      <c r="T6637" s="308" t="s">
        <v>34208</v>
      </c>
      <c r="U6637" s="308" t="s">
        <v>872</v>
      </c>
      <c r="V6637" s="308"/>
    </row>
    <row r="6638">
      <c r="A6638" s="308">
        <v>6637.0</v>
      </c>
      <c r="B6638" s="308"/>
      <c r="C6638" s="308" t="s">
        <v>26781</v>
      </c>
      <c r="D6638" s="308">
        <f>IFERROR(__xludf.DUMMYFUNCTION("SPLIT(C6638,""-"")"),6658.0)</f>
        <v>6658</v>
      </c>
      <c r="E6638" s="308" t="str">
        <f>IFERROR(__xludf.DUMMYFUNCTION("""COMPUTED_VALUE"""),"K")</f>
        <v>K</v>
      </c>
      <c r="F6638" s="309" t="s">
        <v>34</v>
      </c>
      <c r="G6638" s="308"/>
      <c r="H6638" s="308" t="s">
        <v>26782</v>
      </c>
      <c r="I6638" s="310">
        <v>43839.0</v>
      </c>
      <c r="J6638" s="319">
        <f>IFERROR(__xludf.DUMMYFUNCTION("SPLIT(I6638,""/"")"),9.0)</f>
        <v>9</v>
      </c>
      <c r="K6638" s="308">
        <f>IFERROR(__xludf.DUMMYFUNCTION("""COMPUTED_VALUE"""),1.0)</f>
        <v>1</v>
      </c>
      <c r="L6638" s="308">
        <f>IFERROR(__xludf.DUMMYFUNCTION("""COMPUTED_VALUE"""),2020.0)</f>
        <v>2020</v>
      </c>
      <c r="M6638" s="308" t="s">
        <v>26783</v>
      </c>
      <c r="N6638" s="308" t="s">
        <v>26784</v>
      </c>
      <c r="O6638" s="308" t="s">
        <v>26785</v>
      </c>
      <c r="P6638" s="308" t="s">
        <v>39248</v>
      </c>
      <c r="Q6638" s="308" t="s">
        <v>39247</v>
      </c>
      <c r="R6638" s="308" t="s">
        <v>2743</v>
      </c>
      <c r="S6638" s="308" t="s">
        <v>81</v>
      </c>
      <c r="T6638" s="311" t="s">
        <v>35043</v>
      </c>
      <c r="U6638" s="308" t="s">
        <v>201</v>
      </c>
      <c r="V6638" s="308"/>
    </row>
    <row r="6639">
      <c r="A6639" s="308">
        <v>6638.0</v>
      </c>
      <c r="B6639" s="308"/>
      <c r="C6639" s="308" t="s">
        <v>26787</v>
      </c>
      <c r="D6639" s="308">
        <f>IFERROR(__xludf.DUMMYFUNCTION("SPLIT(C6639,""-"")"),6659.0)</f>
        <v>6659</v>
      </c>
      <c r="E6639" s="308" t="str">
        <f>IFERROR(__xludf.DUMMYFUNCTION("""COMPUTED_VALUE"""),"K")</f>
        <v>K</v>
      </c>
      <c r="F6639" s="309" t="s">
        <v>34</v>
      </c>
      <c r="G6639" s="308"/>
      <c r="H6639" s="308" t="s">
        <v>26788</v>
      </c>
      <c r="I6639" s="310">
        <v>43857.0</v>
      </c>
      <c r="J6639" s="319">
        <f>IFERROR(__xludf.DUMMYFUNCTION("SPLIT(I6639,""/"")"),27.0)</f>
        <v>27</v>
      </c>
      <c r="K6639" s="308">
        <f>IFERROR(__xludf.DUMMYFUNCTION("""COMPUTED_VALUE"""),1.0)</f>
        <v>1</v>
      </c>
      <c r="L6639" s="308">
        <f>IFERROR(__xludf.DUMMYFUNCTION("""COMPUTED_VALUE"""),2020.0)</f>
        <v>2020</v>
      </c>
      <c r="M6639" s="308" t="s">
        <v>26789</v>
      </c>
      <c r="N6639" s="308" t="s">
        <v>26790</v>
      </c>
      <c r="O6639" s="308"/>
      <c r="P6639" s="308" t="s">
        <v>26791</v>
      </c>
      <c r="Q6639" s="308" t="s">
        <v>39247</v>
      </c>
      <c r="R6639" s="308" t="s">
        <v>2743</v>
      </c>
      <c r="S6639" s="308" t="s">
        <v>81</v>
      </c>
      <c r="T6639" s="308" t="s">
        <v>73</v>
      </c>
      <c r="U6639" s="308" t="s">
        <v>542</v>
      </c>
      <c r="V6639" s="308"/>
    </row>
    <row r="6640">
      <c r="A6640" s="308">
        <v>6639.0</v>
      </c>
      <c r="B6640" s="308"/>
      <c r="C6640" s="308" t="s">
        <v>26792</v>
      </c>
      <c r="D6640" s="308">
        <f>IFERROR(__xludf.DUMMYFUNCTION("SPLIT(C6640,""-"")"),6660.0)</f>
        <v>6660</v>
      </c>
      <c r="E6640" s="308" t="str">
        <f>IFERROR(__xludf.DUMMYFUNCTION("""COMPUTED_VALUE"""),"S")</f>
        <v>S</v>
      </c>
      <c r="F6640" s="312" t="s">
        <v>39</v>
      </c>
      <c r="G6640" s="308"/>
      <c r="H6640" s="308" t="s">
        <v>26793</v>
      </c>
      <c r="I6640" s="310">
        <v>43861.0</v>
      </c>
      <c r="J6640" s="319">
        <f>IFERROR(__xludf.DUMMYFUNCTION("SPLIT(I6640,""/"")"),31.0)</f>
        <v>31</v>
      </c>
      <c r="K6640" s="308">
        <f>IFERROR(__xludf.DUMMYFUNCTION("""COMPUTED_VALUE"""),1.0)</f>
        <v>1</v>
      </c>
      <c r="L6640" s="308">
        <f>IFERROR(__xludf.DUMMYFUNCTION("""COMPUTED_VALUE"""),2020.0)</f>
        <v>2020</v>
      </c>
      <c r="M6640" s="308" t="s">
        <v>26794</v>
      </c>
      <c r="N6640" s="308" t="s">
        <v>439</v>
      </c>
      <c r="O6640" s="308"/>
      <c r="P6640" s="308" t="s">
        <v>39249</v>
      </c>
      <c r="Q6640" s="308" t="s">
        <v>39250</v>
      </c>
      <c r="R6640" s="308" t="s">
        <v>26796</v>
      </c>
      <c r="S6640" s="308" t="s">
        <v>81</v>
      </c>
      <c r="T6640" s="311" t="s">
        <v>96</v>
      </c>
      <c r="U6640" s="308" t="s">
        <v>166</v>
      </c>
      <c r="V6640" s="308"/>
    </row>
    <row r="6641">
      <c r="A6641" s="308">
        <v>6640.0</v>
      </c>
      <c r="B6641" s="308"/>
      <c r="C6641" s="308" t="s">
        <v>26797</v>
      </c>
      <c r="D6641" s="308">
        <f>IFERROR(__xludf.DUMMYFUNCTION("SPLIT(C6641,""-"")"),6661.0)</f>
        <v>6661</v>
      </c>
      <c r="E6641" s="308" t="str">
        <f>IFERROR(__xludf.DUMMYFUNCTION("""COMPUTED_VALUE"""),"P")</f>
        <v>P</v>
      </c>
      <c r="F6641" s="312" t="s">
        <v>37</v>
      </c>
      <c r="G6641" s="308"/>
      <c r="H6641" s="308" t="s">
        <v>39251</v>
      </c>
      <c r="I6641" s="314">
        <v>43763.0</v>
      </c>
      <c r="J6641" s="319">
        <f>IFERROR(__xludf.DUMMYFUNCTION("SPLIT(I6641,""/"")"),25.0)</f>
        <v>25</v>
      </c>
      <c r="K6641" s="308">
        <f>IFERROR(__xludf.DUMMYFUNCTION("""COMPUTED_VALUE"""),10.0)</f>
        <v>10</v>
      </c>
      <c r="L6641" s="308">
        <f>IFERROR(__xludf.DUMMYFUNCTION("""COMPUTED_VALUE"""),2019.0)</f>
        <v>2019</v>
      </c>
      <c r="M6641" s="308" t="s">
        <v>26799</v>
      </c>
      <c r="N6641" s="308" t="s">
        <v>26800</v>
      </c>
      <c r="O6641" s="308"/>
      <c r="P6641" s="308" t="s">
        <v>39252</v>
      </c>
      <c r="Q6641" s="308" t="s">
        <v>39250</v>
      </c>
      <c r="R6641" s="308" t="s">
        <v>2743</v>
      </c>
      <c r="S6641" s="308" t="s">
        <v>81</v>
      </c>
      <c r="T6641" s="308" t="s">
        <v>75</v>
      </c>
      <c r="U6641" s="308" t="s">
        <v>149</v>
      </c>
      <c r="V6641" s="308" t="s">
        <v>26802</v>
      </c>
    </row>
    <row r="6642">
      <c r="A6642" s="308">
        <v>6641.0</v>
      </c>
      <c r="B6642" s="308"/>
      <c r="C6642" s="308" t="s">
        <v>26803</v>
      </c>
      <c r="D6642" s="308">
        <f>IFERROR(__xludf.DUMMYFUNCTION("SPLIT(C6642,""-"")"),6662.0)</f>
        <v>6662</v>
      </c>
      <c r="E6642" s="308" t="str">
        <f>IFERROR(__xludf.DUMMYFUNCTION("""COMPUTED_VALUE"""),"P")</f>
        <v>P</v>
      </c>
      <c r="F6642" s="312" t="s">
        <v>37</v>
      </c>
      <c r="G6642" s="308"/>
      <c r="H6642" s="308" t="s">
        <v>26804</v>
      </c>
      <c r="I6642" s="310">
        <v>43887.0</v>
      </c>
      <c r="J6642" s="319">
        <f>IFERROR(__xludf.DUMMYFUNCTION("SPLIT(I6642,""/"")"),26.0)</f>
        <v>26</v>
      </c>
      <c r="K6642" s="308">
        <f>IFERROR(__xludf.DUMMYFUNCTION("""COMPUTED_VALUE"""),2.0)</f>
        <v>2</v>
      </c>
      <c r="L6642" s="308">
        <f>IFERROR(__xludf.DUMMYFUNCTION("""COMPUTED_VALUE"""),2020.0)</f>
        <v>2020</v>
      </c>
      <c r="M6642" s="308" t="s">
        <v>26805</v>
      </c>
      <c r="N6642" s="308" t="s">
        <v>26806</v>
      </c>
      <c r="O6642" s="308"/>
      <c r="P6642" s="308" t="s">
        <v>39253</v>
      </c>
      <c r="Q6642" s="308" t="s">
        <v>39254</v>
      </c>
      <c r="R6642" s="308" t="s">
        <v>16456</v>
      </c>
      <c r="S6642" s="308" t="s">
        <v>81</v>
      </c>
      <c r="T6642" s="311" t="s">
        <v>91</v>
      </c>
      <c r="U6642" s="308" t="s">
        <v>24965</v>
      </c>
      <c r="V6642" s="308" t="s">
        <v>26808</v>
      </c>
    </row>
    <row r="6643">
      <c r="A6643" s="308">
        <v>6642.0</v>
      </c>
      <c r="B6643" s="308"/>
      <c r="C6643" s="308" t="s">
        <v>26809</v>
      </c>
      <c r="D6643" s="308">
        <f>IFERROR(__xludf.DUMMYFUNCTION("SPLIT(C6643,""-"")"),6663.0)</f>
        <v>6663</v>
      </c>
      <c r="E6643" s="308" t="str">
        <f>IFERROR(__xludf.DUMMYFUNCTION("""COMPUTED_VALUE"""),"S")</f>
        <v>S</v>
      </c>
      <c r="F6643" s="312" t="s">
        <v>39</v>
      </c>
      <c r="G6643" s="308"/>
      <c r="H6643" s="308" t="s">
        <v>26810</v>
      </c>
      <c r="I6643" s="310">
        <v>43902.0</v>
      </c>
      <c r="J6643" s="319">
        <f>IFERROR(__xludf.DUMMYFUNCTION("SPLIT(I6643,""/"")"),12.0)</f>
        <v>12</v>
      </c>
      <c r="K6643" s="308">
        <f>IFERROR(__xludf.DUMMYFUNCTION("""COMPUTED_VALUE"""),3.0)</f>
        <v>3</v>
      </c>
      <c r="L6643" s="308">
        <f>IFERROR(__xludf.DUMMYFUNCTION("""COMPUTED_VALUE"""),2020.0)</f>
        <v>2020</v>
      </c>
      <c r="M6643" s="308" t="s">
        <v>26811</v>
      </c>
      <c r="N6643" s="308" t="s">
        <v>439</v>
      </c>
      <c r="O6643" s="308"/>
      <c r="P6643" s="308" t="s">
        <v>26812</v>
      </c>
      <c r="Q6643" s="308" t="s">
        <v>39255</v>
      </c>
      <c r="R6643" s="308" t="s">
        <v>2743</v>
      </c>
      <c r="S6643" s="308" t="s">
        <v>81</v>
      </c>
      <c r="T6643" s="308" t="s">
        <v>75</v>
      </c>
      <c r="U6643" s="308" t="s">
        <v>166</v>
      </c>
      <c r="V6643" s="308"/>
    </row>
    <row r="6644">
      <c r="A6644" s="308">
        <v>6643.0</v>
      </c>
      <c r="B6644" s="308"/>
      <c r="C6644" s="308" t="s">
        <v>26813</v>
      </c>
      <c r="D6644" s="308">
        <f>IFERROR(__xludf.DUMMYFUNCTION("SPLIT(C6644,""-"")"),6664.0)</f>
        <v>6664</v>
      </c>
      <c r="E6644" s="308" t="str">
        <f>IFERROR(__xludf.DUMMYFUNCTION("""COMPUTED_VALUE"""),"P")</f>
        <v>P</v>
      </c>
      <c r="F6644" s="312" t="s">
        <v>37</v>
      </c>
      <c r="G6644" s="308"/>
      <c r="H6644" s="308" t="s">
        <v>26814</v>
      </c>
      <c r="I6644" s="314">
        <v>43798.0</v>
      </c>
      <c r="J6644" s="319">
        <f>IFERROR(__xludf.DUMMYFUNCTION("SPLIT(I6644,""/"")"),29.0)</f>
        <v>29</v>
      </c>
      <c r="K6644" s="308">
        <f>IFERROR(__xludf.DUMMYFUNCTION("""COMPUTED_VALUE"""),11.0)</f>
        <v>11</v>
      </c>
      <c r="L6644" s="308">
        <f>IFERROR(__xludf.DUMMYFUNCTION("""COMPUTED_VALUE"""),2019.0)</f>
        <v>2019</v>
      </c>
      <c r="M6644" s="308" t="s">
        <v>26815</v>
      </c>
      <c r="N6644" s="308" t="s">
        <v>26816</v>
      </c>
      <c r="O6644" s="308"/>
      <c r="P6644" s="308" t="s">
        <v>26817</v>
      </c>
      <c r="Q6644" s="308" t="s">
        <v>39255</v>
      </c>
      <c r="R6644" s="308" t="s">
        <v>2743</v>
      </c>
      <c r="S6644" s="308" t="s">
        <v>81</v>
      </c>
      <c r="T6644" s="308" t="s">
        <v>75</v>
      </c>
      <c r="U6644" s="308" t="s">
        <v>24965</v>
      </c>
      <c r="V6644" s="308"/>
    </row>
    <row r="6645">
      <c r="A6645" s="308">
        <v>6644.0</v>
      </c>
      <c r="B6645" s="308"/>
      <c r="C6645" s="308" t="s">
        <v>26818</v>
      </c>
      <c r="D6645" s="308">
        <f>IFERROR(__xludf.DUMMYFUNCTION("SPLIT(C6645,""-"")"),6665.0)</f>
        <v>6665</v>
      </c>
      <c r="E6645" s="308" t="str">
        <f>IFERROR(__xludf.DUMMYFUNCTION("""COMPUTED_VALUE"""),"I")</f>
        <v>I</v>
      </c>
      <c r="F6645" s="309" t="s">
        <v>31</v>
      </c>
      <c r="G6645" s="308"/>
      <c r="H6645" s="308" t="s">
        <v>26819</v>
      </c>
      <c r="I6645" s="310">
        <v>43595.0</v>
      </c>
      <c r="J6645" s="319">
        <f>IFERROR(__xludf.DUMMYFUNCTION("SPLIT(I6645,""/"")"),10.0)</f>
        <v>10</v>
      </c>
      <c r="K6645" s="308">
        <f>IFERROR(__xludf.DUMMYFUNCTION("""COMPUTED_VALUE"""),5.0)</f>
        <v>5</v>
      </c>
      <c r="L6645" s="308">
        <f>IFERROR(__xludf.DUMMYFUNCTION("""COMPUTED_VALUE"""),2019.0)</f>
        <v>2019</v>
      </c>
      <c r="M6645" s="308" t="s">
        <v>26820</v>
      </c>
      <c r="N6645" s="308" t="s">
        <v>26821</v>
      </c>
      <c r="O6645" s="308"/>
      <c r="P6645" s="308" t="s">
        <v>26822</v>
      </c>
      <c r="Q6645" s="308" t="s">
        <v>39256</v>
      </c>
      <c r="R6645" s="308" t="s">
        <v>2743</v>
      </c>
      <c r="S6645" s="308" t="s">
        <v>49</v>
      </c>
      <c r="T6645" s="308" t="s">
        <v>51</v>
      </c>
      <c r="U6645" s="308" t="s">
        <v>31</v>
      </c>
      <c r="V6645" s="308"/>
    </row>
    <row r="6646">
      <c r="A6646" s="308">
        <v>6645.0</v>
      </c>
      <c r="B6646" s="308"/>
      <c r="C6646" s="308" t="s">
        <v>26823</v>
      </c>
      <c r="D6646" s="308">
        <f>IFERROR(__xludf.DUMMYFUNCTION("SPLIT(C6646,""-"")"),6666.0)</f>
        <v>6666</v>
      </c>
      <c r="E6646" s="308" t="str">
        <f>IFERROR(__xludf.DUMMYFUNCTION("""COMPUTED_VALUE"""),"K")</f>
        <v>K</v>
      </c>
      <c r="F6646" s="309" t="s">
        <v>34</v>
      </c>
      <c r="G6646" s="308"/>
      <c r="H6646" s="308" t="s">
        <v>26824</v>
      </c>
      <c r="I6646" s="310">
        <v>42513.0</v>
      </c>
      <c r="J6646" s="319">
        <f>IFERROR(__xludf.DUMMYFUNCTION("SPLIT(I6646,""/"")"),23.0)</f>
        <v>23</v>
      </c>
      <c r="K6646" s="308">
        <f>IFERROR(__xludf.DUMMYFUNCTION("""COMPUTED_VALUE"""),5.0)</f>
        <v>5</v>
      </c>
      <c r="L6646" s="308">
        <f>IFERROR(__xludf.DUMMYFUNCTION("""COMPUTED_VALUE"""),2016.0)</f>
        <v>2016</v>
      </c>
      <c r="M6646" s="308" t="s">
        <v>26825</v>
      </c>
      <c r="N6646" s="308" t="s">
        <v>26826</v>
      </c>
      <c r="O6646" s="308"/>
      <c r="P6646" s="308" t="s">
        <v>136</v>
      </c>
      <c r="Q6646" s="308" t="s">
        <v>39256</v>
      </c>
      <c r="R6646" s="308" t="s">
        <v>2743</v>
      </c>
      <c r="S6646" s="315" t="s">
        <v>100</v>
      </c>
      <c r="T6646" s="308" t="s">
        <v>34208</v>
      </c>
      <c r="U6646" s="308" t="s">
        <v>125</v>
      </c>
      <c r="V6646" s="308"/>
    </row>
    <row r="6647">
      <c r="A6647" s="308">
        <v>6646.0</v>
      </c>
      <c r="B6647" s="308"/>
      <c r="C6647" s="308" t="s">
        <v>26827</v>
      </c>
      <c r="D6647" s="308">
        <f>IFERROR(__xludf.DUMMYFUNCTION("SPLIT(C6647,""-"")"),6667.0)</f>
        <v>6667</v>
      </c>
      <c r="E6647" s="308" t="str">
        <f>IFERROR(__xludf.DUMMYFUNCTION("""COMPUTED_VALUE"""),"K")</f>
        <v>K</v>
      </c>
      <c r="F6647" s="309" t="s">
        <v>34</v>
      </c>
      <c r="G6647" s="308"/>
      <c r="H6647" s="308" t="s">
        <v>26828</v>
      </c>
      <c r="I6647" s="310">
        <v>43899.0</v>
      </c>
      <c r="J6647" s="319">
        <f>IFERROR(__xludf.DUMMYFUNCTION("SPLIT(I6647,""/"")"),9.0)</f>
        <v>9</v>
      </c>
      <c r="K6647" s="308">
        <f>IFERROR(__xludf.DUMMYFUNCTION("""COMPUTED_VALUE"""),3.0)</f>
        <v>3</v>
      </c>
      <c r="L6647" s="308">
        <f>IFERROR(__xludf.DUMMYFUNCTION("""COMPUTED_VALUE"""),2020.0)</f>
        <v>2020</v>
      </c>
      <c r="M6647" s="308" t="s">
        <v>26829</v>
      </c>
      <c r="N6647" s="308" t="s">
        <v>26830</v>
      </c>
      <c r="O6647" s="308"/>
      <c r="P6647" s="308" t="s">
        <v>39257</v>
      </c>
      <c r="Q6647" s="308" t="s">
        <v>39256</v>
      </c>
      <c r="R6647" s="308" t="s">
        <v>2743</v>
      </c>
      <c r="S6647" s="308" t="s">
        <v>81</v>
      </c>
      <c r="T6647" s="311" t="s">
        <v>96</v>
      </c>
      <c r="U6647" s="308" t="s">
        <v>125</v>
      </c>
      <c r="V6647" s="308"/>
    </row>
    <row r="6648">
      <c r="A6648" s="308">
        <v>6647.0</v>
      </c>
      <c r="B6648" s="308"/>
      <c r="C6648" s="308" t="s">
        <v>26832</v>
      </c>
      <c r="D6648" s="308">
        <f>IFERROR(__xludf.DUMMYFUNCTION("SPLIT(C6648,""-"")"),6668.0)</f>
        <v>6668</v>
      </c>
      <c r="E6648" s="308" t="str">
        <f>IFERROR(__xludf.DUMMYFUNCTION("""COMPUTED_VALUE"""),"K")</f>
        <v>K</v>
      </c>
      <c r="F6648" s="309" t="s">
        <v>34</v>
      </c>
      <c r="G6648" s="308"/>
      <c r="H6648" s="308" t="s">
        <v>39258</v>
      </c>
      <c r="I6648" s="314">
        <v>43783.0</v>
      </c>
      <c r="J6648" s="319">
        <f>IFERROR(__xludf.DUMMYFUNCTION("SPLIT(I6648,""/"")"),14.0)</f>
        <v>14</v>
      </c>
      <c r="K6648" s="308">
        <f>IFERROR(__xludf.DUMMYFUNCTION("""COMPUTED_VALUE"""),11.0)</f>
        <v>11</v>
      </c>
      <c r="L6648" s="308">
        <f>IFERROR(__xludf.DUMMYFUNCTION("""COMPUTED_VALUE"""),2019.0)</f>
        <v>2019</v>
      </c>
      <c r="M6648" s="308" t="s">
        <v>26834</v>
      </c>
      <c r="N6648" s="308" t="s">
        <v>26835</v>
      </c>
      <c r="O6648" s="308" t="s">
        <v>26836</v>
      </c>
      <c r="P6648" s="308" t="s">
        <v>39259</v>
      </c>
      <c r="Q6648" s="308" t="s">
        <v>39260</v>
      </c>
      <c r="R6648" s="308" t="s">
        <v>2743</v>
      </c>
      <c r="S6648" s="308" t="s">
        <v>81</v>
      </c>
      <c r="T6648" s="308" t="s">
        <v>75</v>
      </c>
      <c r="U6648" s="308" t="s">
        <v>4749</v>
      </c>
      <c r="V6648" s="308"/>
    </row>
    <row r="6649">
      <c r="A6649" s="308">
        <v>6648.0</v>
      </c>
      <c r="B6649" s="308"/>
      <c r="C6649" s="308" t="s">
        <v>26838</v>
      </c>
      <c r="D6649" s="308">
        <f>IFERROR(__xludf.DUMMYFUNCTION("SPLIT(C6649,""-"")"),6669.0)</f>
        <v>6669</v>
      </c>
      <c r="E6649" s="308" t="str">
        <f>IFERROR(__xludf.DUMMYFUNCTION("""COMPUTED_VALUE"""),"K")</f>
        <v>K</v>
      </c>
      <c r="F6649" s="309" t="s">
        <v>34</v>
      </c>
      <c r="G6649" s="308"/>
      <c r="H6649" s="308" t="s">
        <v>26839</v>
      </c>
      <c r="I6649" s="310">
        <v>42071.0</v>
      </c>
      <c r="J6649" s="319">
        <f>IFERROR(__xludf.DUMMYFUNCTION("SPLIT(I6649,""/"")"),8.0)</f>
        <v>8</v>
      </c>
      <c r="K6649" s="308">
        <f>IFERROR(__xludf.DUMMYFUNCTION("""COMPUTED_VALUE"""),3.0)</f>
        <v>3</v>
      </c>
      <c r="L6649" s="308">
        <f>IFERROR(__xludf.DUMMYFUNCTION("""COMPUTED_VALUE"""),2015.0)</f>
        <v>2015</v>
      </c>
      <c r="M6649" s="308" t="s">
        <v>26840</v>
      </c>
      <c r="N6649" s="308" t="s">
        <v>26841</v>
      </c>
      <c r="O6649" s="308" t="s">
        <v>26842</v>
      </c>
      <c r="P6649" s="308" t="s">
        <v>136</v>
      </c>
      <c r="Q6649" s="308" t="s">
        <v>39261</v>
      </c>
      <c r="R6649" s="308" t="s">
        <v>2743</v>
      </c>
      <c r="S6649" s="315" t="s">
        <v>100</v>
      </c>
      <c r="T6649" s="308" t="s">
        <v>34208</v>
      </c>
      <c r="U6649" s="308" t="s">
        <v>4487</v>
      </c>
      <c r="V6649" s="308"/>
    </row>
    <row r="6650">
      <c r="A6650" s="308">
        <v>6649.0</v>
      </c>
      <c r="B6650" s="308"/>
      <c r="C6650" s="308" t="s">
        <v>26843</v>
      </c>
      <c r="D6650" s="308">
        <f>IFERROR(__xludf.DUMMYFUNCTION("SPLIT(C6650,""-"")"),6670.0)</f>
        <v>6670</v>
      </c>
      <c r="E6650" s="308" t="str">
        <f>IFERROR(__xludf.DUMMYFUNCTION("""COMPUTED_VALUE"""),"K")</f>
        <v>K</v>
      </c>
      <c r="F6650" s="309" t="s">
        <v>34</v>
      </c>
      <c r="G6650" s="308"/>
      <c r="H6650" s="308" t="s">
        <v>26844</v>
      </c>
      <c r="I6650" s="314">
        <v>43769.0</v>
      </c>
      <c r="J6650" s="319">
        <f>IFERROR(__xludf.DUMMYFUNCTION("SPLIT(I6650,""/"")"),31.0)</f>
        <v>31</v>
      </c>
      <c r="K6650" s="308">
        <f>IFERROR(__xludf.DUMMYFUNCTION("""COMPUTED_VALUE"""),10.0)</f>
        <v>10</v>
      </c>
      <c r="L6650" s="308">
        <f>IFERROR(__xludf.DUMMYFUNCTION("""COMPUTED_VALUE"""),2019.0)</f>
        <v>2019</v>
      </c>
      <c r="M6650" s="308" t="s">
        <v>26845</v>
      </c>
      <c r="N6650" s="308" t="s">
        <v>439</v>
      </c>
      <c r="O6650" s="308"/>
      <c r="P6650" s="308" t="s">
        <v>39262</v>
      </c>
      <c r="Q6650" s="308" t="s">
        <v>39261</v>
      </c>
      <c r="R6650" s="308" t="s">
        <v>2743</v>
      </c>
      <c r="S6650" s="308" t="s">
        <v>81</v>
      </c>
      <c r="T6650" s="308" t="s">
        <v>75</v>
      </c>
      <c r="U6650" s="308" t="s">
        <v>125</v>
      </c>
      <c r="V6650" s="308"/>
    </row>
    <row r="6651">
      <c r="A6651" s="308">
        <v>6650.0</v>
      </c>
      <c r="B6651" s="308"/>
      <c r="C6651" s="308" t="s">
        <v>26847</v>
      </c>
      <c r="D6651" s="308">
        <f>IFERROR(__xludf.DUMMYFUNCTION("SPLIT(C6651,""-"")"),6671.0)</f>
        <v>6671</v>
      </c>
      <c r="E6651" s="308" t="str">
        <f>IFERROR(__xludf.DUMMYFUNCTION("""COMPUTED_VALUE"""),"P")</f>
        <v>P</v>
      </c>
      <c r="F6651" s="312" t="s">
        <v>37</v>
      </c>
      <c r="G6651" s="308"/>
      <c r="H6651" s="308" t="s">
        <v>26848</v>
      </c>
      <c r="I6651" s="310">
        <v>43965.0</v>
      </c>
      <c r="J6651" s="319">
        <f>IFERROR(__xludf.DUMMYFUNCTION("SPLIT(I6651,""/"")"),14.0)</f>
        <v>14</v>
      </c>
      <c r="K6651" s="308">
        <f>IFERROR(__xludf.DUMMYFUNCTION("""COMPUTED_VALUE"""),5.0)</f>
        <v>5</v>
      </c>
      <c r="L6651" s="308">
        <f>IFERROR(__xludf.DUMMYFUNCTION("""COMPUTED_VALUE"""),2020.0)</f>
        <v>2020</v>
      </c>
      <c r="M6651" s="308" t="s">
        <v>26849</v>
      </c>
      <c r="N6651" s="308" t="s">
        <v>26850</v>
      </c>
      <c r="O6651" s="308"/>
      <c r="P6651" s="308" t="s">
        <v>39263</v>
      </c>
      <c r="Q6651" s="308" t="s">
        <v>39264</v>
      </c>
      <c r="R6651" s="308" t="s">
        <v>2743</v>
      </c>
      <c r="S6651" s="308" t="s">
        <v>81</v>
      </c>
      <c r="T6651" s="308" t="s">
        <v>75</v>
      </c>
      <c r="U6651" s="308" t="s">
        <v>143</v>
      </c>
      <c r="V6651" s="308"/>
    </row>
    <row r="6652">
      <c r="A6652" s="308">
        <v>6651.0</v>
      </c>
      <c r="B6652" s="308"/>
      <c r="C6652" s="308" t="s">
        <v>26852</v>
      </c>
      <c r="D6652" s="308">
        <f>IFERROR(__xludf.DUMMYFUNCTION("SPLIT(C6652,""-"")"),6672.0)</f>
        <v>6672</v>
      </c>
      <c r="E6652" s="308" t="str">
        <f>IFERROR(__xludf.DUMMYFUNCTION("""COMPUTED_VALUE"""),"P")</f>
        <v>P</v>
      </c>
      <c r="F6652" s="312" t="s">
        <v>37</v>
      </c>
      <c r="G6652" s="308"/>
      <c r="H6652" s="308" t="s">
        <v>26853</v>
      </c>
      <c r="I6652" s="310">
        <v>43944.0</v>
      </c>
      <c r="J6652" s="319">
        <f>IFERROR(__xludf.DUMMYFUNCTION("SPLIT(I6652,""/"")"),23.0)</f>
        <v>23</v>
      </c>
      <c r="K6652" s="308">
        <f>IFERROR(__xludf.DUMMYFUNCTION("""COMPUTED_VALUE"""),4.0)</f>
        <v>4</v>
      </c>
      <c r="L6652" s="308">
        <f>IFERROR(__xludf.DUMMYFUNCTION("""COMPUTED_VALUE"""),2020.0)</f>
        <v>2020</v>
      </c>
      <c r="M6652" s="308" t="s">
        <v>26854</v>
      </c>
      <c r="N6652" s="308" t="s">
        <v>26855</v>
      </c>
      <c r="O6652" s="308" t="s">
        <v>26856</v>
      </c>
      <c r="P6652" s="308" t="s">
        <v>39265</v>
      </c>
      <c r="Q6652" s="308" t="s">
        <v>39264</v>
      </c>
      <c r="R6652" s="308" t="s">
        <v>2743</v>
      </c>
      <c r="S6652" s="308" t="s">
        <v>81</v>
      </c>
      <c r="T6652" s="311" t="s">
        <v>75</v>
      </c>
      <c r="U6652" s="308" t="s">
        <v>1910</v>
      </c>
      <c r="V6652" s="308"/>
    </row>
    <row r="6653">
      <c r="A6653" s="308">
        <v>6652.0</v>
      </c>
      <c r="B6653" s="308"/>
      <c r="C6653" s="308" t="s">
        <v>26858</v>
      </c>
      <c r="D6653" s="308">
        <f>IFERROR(__xludf.DUMMYFUNCTION("SPLIT(C6653,""-"")"),6673.0)</f>
        <v>6673</v>
      </c>
      <c r="E6653" s="308" t="str">
        <f>IFERROR(__xludf.DUMMYFUNCTION("""COMPUTED_VALUE"""),"K")</f>
        <v>K</v>
      </c>
      <c r="F6653" s="309" t="s">
        <v>34</v>
      </c>
      <c r="G6653" s="308"/>
      <c r="H6653" s="308" t="s">
        <v>26859</v>
      </c>
      <c r="I6653" s="310">
        <v>41244.0</v>
      </c>
      <c r="J6653" s="319">
        <f>IFERROR(__xludf.DUMMYFUNCTION("SPLIT(I6653,""/"")"),1.0)</f>
        <v>1</v>
      </c>
      <c r="K6653" s="308">
        <f>IFERROR(__xludf.DUMMYFUNCTION("""COMPUTED_VALUE"""),12.0)</f>
        <v>12</v>
      </c>
      <c r="L6653" s="308">
        <f>IFERROR(__xludf.DUMMYFUNCTION("""COMPUTED_VALUE"""),2012.0)</f>
        <v>2012</v>
      </c>
      <c r="M6653" s="308" t="s">
        <v>39266</v>
      </c>
      <c r="N6653" s="308" t="s">
        <v>26861</v>
      </c>
      <c r="O6653" s="308"/>
      <c r="P6653" s="308" t="s">
        <v>39267</v>
      </c>
      <c r="Q6653" s="308" t="s">
        <v>39264</v>
      </c>
      <c r="R6653" s="308" t="s">
        <v>2743</v>
      </c>
      <c r="S6653" s="308" t="s">
        <v>49</v>
      </c>
      <c r="T6653" s="308" t="s">
        <v>51</v>
      </c>
      <c r="U6653" s="308" t="s">
        <v>39268</v>
      </c>
      <c r="V6653" s="308"/>
    </row>
    <row r="6654">
      <c r="A6654" s="308">
        <v>6653.0</v>
      </c>
      <c r="B6654" s="308"/>
      <c r="C6654" s="308" t="s">
        <v>26864</v>
      </c>
      <c r="D6654" s="308">
        <f>IFERROR(__xludf.DUMMYFUNCTION("SPLIT(C6654,""-"")"),6674.0)</f>
        <v>6674</v>
      </c>
      <c r="E6654" s="308" t="str">
        <f>IFERROR(__xludf.DUMMYFUNCTION("""COMPUTED_VALUE"""),"K")</f>
        <v>K</v>
      </c>
      <c r="F6654" s="309" t="s">
        <v>34</v>
      </c>
      <c r="G6654" s="308"/>
      <c r="H6654" s="308" t="s">
        <v>26865</v>
      </c>
      <c r="I6654" s="310">
        <v>43730.0</v>
      </c>
      <c r="J6654" s="319">
        <f>IFERROR(__xludf.DUMMYFUNCTION("SPLIT(I6654,""/"")"),22.0)</f>
        <v>22</v>
      </c>
      <c r="K6654" s="308">
        <f>IFERROR(__xludf.DUMMYFUNCTION("""COMPUTED_VALUE"""),9.0)</f>
        <v>9</v>
      </c>
      <c r="L6654" s="308">
        <f>IFERROR(__xludf.DUMMYFUNCTION("""COMPUTED_VALUE"""),2019.0)</f>
        <v>2019</v>
      </c>
      <c r="M6654" s="308" t="s">
        <v>26866</v>
      </c>
      <c r="N6654" s="308" t="s">
        <v>26867</v>
      </c>
      <c r="O6654" s="308"/>
      <c r="P6654" s="308" t="s">
        <v>39269</v>
      </c>
      <c r="Q6654" s="308" t="s">
        <v>39264</v>
      </c>
      <c r="R6654" s="308" t="s">
        <v>2743</v>
      </c>
      <c r="S6654" s="308" t="s">
        <v>81</v>
      </c>
      <c r="T6654" s="308" t="s">
        <v>75</v>
      </c>
      <c r="U6654" s="308" t="s">
        <v>941</v>
      </c>
      <c r="V6654" s="308" t="s">
        <v>26869</v>
      </c>
    </row>
    <row r="6655">
      <c r="A6655" s="308">
        <v>6654.0</v>
      </c>
      <c r="B6655" s="308"/>
      <c r="C6655" s="308" t="s">
        <v>26870</v>
      </c>
      <c r="D6655" s="308">
        <f>IFERROR(__xludf.DUMMYFUNCTION("SPLIT(C6655,""-"")"),6675.0)</f>
        <v>6675</v>
      </c>
      <c r="E6655" s="308" t="str">
        <f>IFERROR(__xludf.DUMMYFUNCTION("""COMPUTED_VALUE"""),"B")</f>
        <v>B</v>
      </c>
      <c r="F6655" s="315" t="s">
        <v>26</v>
      </c>
      <c r="G6655" s="308"/>
      <c r="H6655" s="308" t="s">
        <v>26871</v>
      </c>
      <c r="I6655" s="310">
        <v>43952.0</v>
      </c>
      <c r="J6655" s="319">
        <f>IFERROR(__xludf.DUMMYFUNCTION("SPLIT(I6655,""/"")"),1.0)</f>
        <v>1</v>
      </c>
      <c r="K6655" s="308">
        <f>IFERROR(__xludf.DUMMYFUNCTION("""COMPUTED_VALUE"""),5.0)</f>
        <v>5</v>
      </c>
      <c r="L6655" s="308">
        <f>IFERROR(__xludf.DUMMYFUNCTION("""COMPUTED_VALUE"""),2020.0)</f>
        <v>2020</v>
      </c>
      <c r="M6655" s="308" t="s">
        <v>26872</v>
      </c>
      <c r="N6655" s="308"/>
      <c r="O6655" s="308"/>
      <c r="P6655" s="308" t="s">
        <v>39270</v>
      </c>
      <c r="Q6655" s="308" t="s">
        <v>39271</v>
      </c>
      <c r="R6655" s="308" t="s">
        <v>26874</v>
      </c>
      <c r="S6655" s="308" t="s">
        <v>81</v>
      </c>
      <c r="T6655" s="311" t="s">
        <v>96</v>
      </c>
      <c r="U6655" s="308" t="s">
        <v>27</v>
      </c>
      <c r="V6655" s="308" t="s">
        <v>26875</v>
      </c>
    </row>
    <row r="6656">
      <c r="A6656" s="308">
        <v>6655.0</v>
      </c>
      <c r="B6656" s="308"/>
      <c r="C6656" s="308" t="s">
        <v>26876</v>
      </c>
      <c r="D6656" s="308">
        <f>IFERROR(__xludf.DUMMYFUNCTION("SPLIT(C6656,""-"")"),6676.0)</f>
        <v>6676</v>
      </c>
      <c r="E6656" s="308" t="str">
        <f>IFERROR(__xludf.DUMMYFUNCTION("""COMPUTED_VALUE"""),"B")</f>
        <v>B</v>
      </c>
      <c r="F6656" s="315" t="s">
        <v>26</v>
      </c>
      <c r="G6656" s="308"/>
      <c r="H6656" s="308" t="s">
        <v>26877</v>
      </c>
      <c r="I6656" s="310">
        <v>43962.0</v>
      </c>
      <c r="J6656" s="319">
        <f>IFERROR(__xludf.DUMMYFUNCTION("SPLIT(I6656,""/"")"),11.0)</f>
        <v>11</v>
      </c>
      <c r="K6656" s="308">
        <f>IFERROR(__xludf.DUMMYFUNCTION("""COMPUTED_VALUE"""),5.0)</f>
        <v>5</v>
      </c>
      <c r="L6656" s="308">
        <f>IFERROR(__xludf.DUMMYFUNCTION("""COMPUTED_VALUE"""),2020.0)</f>
        <v>2020</v>
      </c>
      <c r="M6656" s="308" t="s">
        <v>26878</v>
      </c>
      <c r="N6656" s="308"/>
      <c r="O6656" s="308"/>
      <c r="P6656" s="308" t="s">
        <v>39272</v>
      </c>
      <c r="Q6656" s="308" t="s">
        <v>39271</v>
      </c>
      <c r="R6656" s="308" t="s">
        <v>26874</v>
      </c>
      <c r="S6656" s="308" t="s">
        <v>81</v>
      </c>
      <c r="T6656" s="308" t="s">
        <v>73</v>
      </c>
      <c r="U6656" s="308" t="s">
        <v>27</v>
      </c>
      <c r="V6656" s="308"/>
    </row>
    <row r="6657">
      <c r="A6657" s="308">
        <v>6656.0</v>
      </c>
      <c r="B6657" s="308"/>
      <c r="C6657" s="308" t="s">
        <v>26880</v>
      </c>
      <c r="D6657" s="308">
        <f>IFERROR(__xludf.DUMMYFUNCTION("SPLIT(C6657,""-"")"),6677.0)</f>
        <v>6677</v>
      </c>
      <c r="E6657" s="308" t="str">
        <f>IFERROR(__xludf.DUMMYFUNCTION("""COMPUTED_VALUE"""),"P")</f>
        <v>P</v>
      </c>
      <c r="F6657" s="312" t="s">
        <v>37</v>
      </c>
      <c r="G6657" s="308"/>
      <c r="H6657" s="308" t="s">
        <v>20640</v>
      </c>
      <c r="I6657" s="316" t="s">
        <v>26881</v>
      </c>
      <c r="J6657" s="323">
        <v>31.0</v>
      </c>
      <c r="K6657" s="311">
        <v>5.0</v>
      </c>
      <c r="L6657" s="311">
        <v>2020.0</v>
      </c>
      <c r="M6657" s="308" t="s">
        <v>26882</v>
      </c>
      <c r="N6657" s="308"/>
      <c r="O6657" s="308"/>
      <c r="P6657" s="308" t="s">
        <v>39273</v>
      </c>
      <c r="Q6657" s="308" t="s">
        <v>39271</v>
      </c>
      <c r="R6657" s="308" t="s">
        <v>2743</v>
      </c>
      <c r="S6657" s="308" t="s">
        <v>81</v>
      </c>
      <c r="T6657" s="308" t="s">
        <v>75</v>
      </c>
      <c r="U6657" s="308" t="s">
        <v>5707</v>
      </c>
      <c r="V6657" s="308"/>
    </row>
    <row r="6658">
      <c r="A6658" s="308">
        <v>6657.0</v>
      </c>
      <c r="B6658" s="308"/>
      <c r="C6658" s="308" t="s">
        <v>26884</v>
      </c>
      <c r="D6658" s="308">
        <f>IFERROR(__xludf.DUMMYFUNCTION("SPLIT(C6658,""-"")"),6678.0)</f>
        <v>6678</v>
      </c>
      <c r="E6658" s="308" t="str">
        <f>IFERROR(__xludf.DUMMYFUNCTION("""COMPUTED_VALUE"""),"P")</f>
        <v>P</v>
      </c>
      <c r="F6658" s="312" t="s">
        <v>37</v>
      </c>
      <c r="G6658" s="308"/>
      <c r="H6658" s="308" t="s">
        <v>26885</v>
      </c>
      <c r="I6658" s="310">
        <v>42347.0</v>
      </c>
      <c r="J6658" s="319">
        <f>IFERROR(__xludf.DUMMYFUNCTION("SPLIT(I6658,""/"")"),9.0)</f>
        <v>9</v>
      </c>
      <c r="K6658" s="308">
        <f>IFERROR(__xludf.DUMMYFUNCTION("""COMPUTED_VALUE"""),12.0)</f>
        <v>12</v>
      </c>
      <c r="L6658" s="308">
        <f>IFERROR(__xludf.DUMMYFUNCTION("""COMPUTED_VALUE"""),2015.0)</f>
        <v>2015</v>
      </c>
      <c r="M6658" s="308" t="s">
        <v>26886</v>
      </c>
      <c r="N6658" s="308"/>
      <c r="O6658" s="308"/>
      <c r="P6658" s="308" t="s">
        <v>136</v>
      </c>
      <c r="Q6658" s="308" t="s">
        <v>39274</v>
      </c>
      <c r="R6658" s="308" t="s">
        <v>2743</v>
      </c>
      <c r="S6658" s="315" t="s">
        <v>100</v>
      </c>
      <c r="T6658" s="308" t="s">
        <v>34208</v>
      </c>
      <c r="U6658" s="308" t="s">
        <v>15464</v>
      </c>
      <c r="V6658" s="308"/>
    </row>
    <row r="6659">
      <c r="A6659" s="308">
        <v>6658.0</v>
      </c>
      <c r="B6659" s="308"/>
      <c r="C6659" s="308" t="s">
        <v>26887</v>
      </c>
      <c r="D6659" s="308">
        <f>IFERROR(__xludf.DUMMYFUNCTION("SPLIT(C6659,""-"")"),6679.0)</f>
        <v>6679</v>
      </c>
      <c r="E6659" s="308" t="str">
        <f>IFERROR(__xludf.DUMMYFUNCTION("""COMPUTED_VALUE"""),"P")</f>
        <v>P</v>
      </c>
      <c r="F6659" s="312" t="s">
        <v>37</v>
      </c>
      <c r="G6659" s="308"/>
      <c r="H6659" s="308" t="s">
        <v>26888</v>
      </c>
      <c r="I6659" s="314">
        <v>43089.0</v>
      </c>
      <c r="J6659" s="319">
        <f>IFERROR(__xludf.DUMMYFUNCTION("SPLIT(I6659,""/"")"),20.0)</f>
        <v>20</v>
      </c>
      <c r="K6659" s="308">
        <f>IFERROR(__xludf.DUMMYFUNCTION("""COMPUTED_VALUE"""),12.0)</f>
        <v>12</v>
      </c>
      <c r="L6659" s="308">
        <f>IFERROR(__xludf.DUMMYFUNCTION("""COMPUTED_VALUE"""),2017.0)</f>
        <v>2017</v>
      </c>
      <c r="M6659" s="308" t="s">
        <v>26889</v>
      </c>
      <c r="N6659" s="308" t="s">
        <v>26890</v>
      </c>
      <c r="O6659" s="308" t="s">
        <v>26891</v>
      </c>
      <c r="P6659" s="308" t="s">
        <v>136</v>
      </c>
      <c r="Q6659" s="308" t="s">
        <v>39275</v>
      </c>
      <c r="R6659" s="308" t="s">
        <v>2743</v>
      </c>
      <c r="S6659" s="315" t="s">
        <v>100</v>
      </c>
      <c r="T6659" s="308" t="s">
        <v>34208</v>
      </c>
      <c r="U6659" s="308" t="s">
        <v>4001</v>
      </c>
      <c r="V6659" s="308"/>
    </row>
    <row r="6660">
      <c r="A6660" s="308">
        <v>6659.0</v>
      </c>
      <c r="B6660" s="308"/>
      <c r="C6660" s="308" t="s">
        <v>26892</v>
      </c>
      <c r="D6660" s="308">
        <f>IFERROR(__xludf.DUMMYFUNCTION("SPLIT(C6660,""-"")"),6680.0)</f>
        <v>6680</v>
      </c>
      <c r="E6660" s="308" t="str">
        <f>IFERROR(__xludf.DUMMYFUNCTION("""COMPUTED_VALUE"""),"P")</f>
        <v>P</v>
      </c>
      <c r="F6660" s="312" t="s">
        <v>37</v>
      </c>
      <c r="G6660" s="308"/>
      <c r="H6660" s="308" t="s">
        <v>26893</v>
      </c>
      <c r="I6660" s="314">
        <v>43089.0</v>
      </c>
      <c r="J6660" s="319">
        <f>IFERROR(__xludf.DUMMYFUNCTION("SPLIT(I6660,""/"")"),20.0)</f>
        <v>20</v>
      </c>
      <c r="K6660" s="308">
        <f>IFERROR(__xludf.DUMMYFUNCTION("""COMPUTED_VALUE"""),12.0)</f>
        <v>12</v>
      </c>
      <c r="L6660" s="308">
        <f>IFERROR(__xludf.DUMMYFUNCTION("""COMPUTED_VALUE"""),2017.0)</f>
        <v>2017</v>
      </c>
      <c r="M6660" s="308" t="s">
        <v>26889</v>
      </c>
      <c r="N6660" s="308" t="s">
        <v>26894</v>
      </c>
      <c r="O6660" s="308" t="s">
        <v>26891</v>
      </c>
      <c r="P6660" s="308" t="s">
        <v>136</v>
      </c>
      <c r="Q6660" s="308" t="s">
        <v>39275</v>
      </c>
      <c r="R6660" s="308" t="s">
        <v>2743</v>
      </c>
      <c r="S6660" s="315" t="s">
        <v>100</v>
      </c>
      <c r="T6660" s="308" t="s">
        <v>34208</v>
      </c>
      <c r="U6660" s="308" t="s">
        <v>4001</v>
      </c>
      <c r="V6660" s="308"/>
    </row>
    <row r="6661">
      <c r="A6661" s="308">
        <v>6660.0</v>
      </c>
      <c r="B6661" s="308"/>
      <c r="C6661" s="308" t="s">
        <v>26895</v>
      </c>
      <c r="D6661" s="308">
        <f>IFERROR(__xludf.DUMMYFUNCTION("SPLIT(C6661,""-"")"),6681.0)</f>
        <v>6681</v>
      </c>
      <c r="E6661" s="308" t="str">
        <f>IFERROR(__xludf.DUMMYFUNCTION("""COMPUTED_VALUE"""),"P")</f>
        <v>P</v>
      </c>
      <c r="F6661" s="312" t="s">
        <v>37</v>
      </c>
      <c r="G6661" s="308"/>
      <c r="H6661" s="308" t="s">
        <v>26896</v>
      </c>
      <c r="I6661" s="310">
        <v>43981.0</v>
      </c>
      <c r="J6661" s="319">
        <f>IFERROR(__xludf.DUMMYFUNCTION("SPLIT(I6661,""/"")"),30.0)</f>
        <v>30</v>
      </c>
      <c r="K6661" s="308">
        <f>IFERROR(__xludf.DUMMYFUNCTION("""COMPUTED_VALUE"""),5.0)</f>
        <v>5</v>
      </c>
      <c r="L6661" s="308">
        <f>IFERROR(__xludf.DUMMYFUNCTION("""COMPUTED_VALUE"""),2020.0)</f>
        <v>2020</v>
      </c>
      <c r="M6661" s="308" t="s">
        <v>39276</v>
      </c>
      <c r="N6661" s="308" t="s">
        <v>439</v>
      </c>
      <c r="O6661" s="308" t="s">
        <v>26898</v>
      </c>
      <c r="P6661" s="308" t="s">
        <v>39277</v>
      </c>
      <c r="Q6661" s="308" t="s">
        <v>39275</v>
      </c>
      <c r="R6661" s="308" t="s">
        <v>2743</v>
      </c>
      <c r="S6661" s="308" t="s">
        <v>81</v>
      </c>
      <c r="T6661" s="311" t="s">
        <v>51</v>
      </c>
      <c r="U6661" s="308" t="s">
        <v>17303</v>
      </c>
      <c r="V6661" s="308"/>
    </row>
    <row r="6662">
      <c r="A6662" s="308">
        <v>6661.0</v>
      </c>
      <c r="B6662" s="308"/>
      <c r="C6662" s="308" t="s">
        <v>26900</v>
      </c>
      <c r="D6662" s="308">
        <f>IFERROR(__xludf.DUMMYFUNCTION("SPLIT(C6662,""-"")"),6682.0)</f>
        <v>6682</v>
      </c>
      <c r="E6662" s="308" t="str">
        <f>IFERROR(__xludf.DUMMYFUNCTION("""COMPUTED_VALUE"""),"P")</f>
        <v>P</v>
      </c>
      <c r="F6662" s="312" t="s">
        <v>37</v>
      </c>
      <c r="G6662" s="308"/>
      <c r="H6662" s="308" t="s">
        <v>26901</v>
      </c>
      <c r="I6662" s="310">
        <v>43997.0</v>
      </c>
      <c r="J6662" s="319">
        <f>IFERROR(__xludf.DUMMYFUNCTION("SPLIT(I6662,""/"")"),15.0)</f>
        <v>15</v>
      </c>
      <c r="K6662" s="308">
        <f>IFERROR(__xludf.DUMMYFUNCTION("""COMPUTED_VALUE"""),6.0)</f>
        <v>6</v>
      </c>
      <c r="L6662" s="308">
        <f>IFERROR(__xludf.DUMMYFUNCTION("""COMPUTED_VALUE"""),2020.0)</f>
        <v>2020</v>
      </c>
      <c r="M6662" s="308" t="s">
        <v>26902</v>
      </c>
      <c r="N6662" s="308" t="s">
        <v>26903</v>
      </c>
      <c r="O6662" s="308"/>
      <c r="P6662" s="308" t="s">
        <v>39278</v>
      </c>
      <c r="Q6662" s="308" t="s">
        <v>39275</v>
      </c>
      <c r="R6662" s="308" t="s">
        <v>2743</v>
      </c>
      <c r="S6662" s="308" t="s">
        <v>81</v>
      </c>
      <c r="T6662" s="308" t="s">
        <v>75</v>
      </c>
      <c r="U6662" s="308" t="s">
        <v>143</v>
      </c>
      <c r="V6662" s="308"/>
    </row>
    <row r="6663">
      <c r="A6663" s="308">
        <v>6662.0</v>
      </c>
      <c r="B6663" s="308"/>
      <c r="C6663" s="308" t="s">
        <v>26905</v>
      </c>
      <c r="D6663" s="308">
        <f>IFERROR(__xludf.DUMMYFUNCTION("SPLIT(C6663,""-"")"),6683.0)</f>
        <v>6683</v>
      </c>
      <c r="E6663" s="308" t="str">
        <f>IFERROR(__xludf.DUMMYFUNCTION("""COMPUTED_VALUE"""),"K")</f>
        <v>K</v>
      </c>
      <c r="F6663" s="309" t="s">
        <v>34</v>
      </c>
      <c r="G6663" s="308"/>
      <c r="H6663" s="308" t="s">
        <v>26906</v>
      </c>
      <c r="I6663" s="310">
        <v>43939.0</v>
      </c>
      <c r="J6663" s="319">
        <f>IFERROR(__xludf.DUMMYFUNCTION("SPLIT(I6663,""/"")"),18.0)</f>
        <v>18</v>
      </c>
      <c r="K6663" s="308">
        <f>IFERROR(__xludf.DUMMYFUNCTION("""COMPUTED_VALUE"""),4.0)</f>
        <v>4</v>
      </c>
      <c r="L6663" s="308">
        <f>IFERROR(__xludf.DUMMYFUNCTION("""COMPUTED_VALUE"""),2020.0)</f>
        <v>2020</v>
      </c>
      <c r="M6663" s="308" t="s">
        <v>26907</v>
      </c>
      <c r="N6663" s="308" t="s">
        <v>26908</v>
      </c>
      <c r="O6663" s="308"/>
      <c r="P6663" s="308" t="s">
        <v>39279</v>
      </c>
      <c r="Q6663" s="308" t="s">
        <v>39275</v>
      </c>
      <c r="R6663" s="308" t="s">
        <v>2743</v>
      </c>
      <c r="S6663" s="308" t="s">
        <v>81</v>
      </c>
      <c r="T6663" s="308" t="s">
        <v>75</v>
      </c>
      <c r="U6663" s="308" t="s">
        <v>39268</v>
      </c>
      <c r="V6663" s="308"/>
    </row>
    <row r="6664">
      <c r="A6664" s="308">
        <v>6663.0</v>
      </c>
      <c r="B6664" s="308"/>
      <c r="C6664" s="308" t="s">
        <v>26910</v>
      </c>
      <c r="D6664" s="308">
        <f>IFERROR(__xludf.DUMMYFUNCTION("SPLIT(C6664,""-"")"),6684.0)</f>
        <v>6684</v>
      </c>
      <c r="E6664" s="308" t="str">
        <f>IFERROR(__xludf.DUMMYFUNCTION("""COMPUTED_VALUE"""),"K")</f>
        <v>K</v>
      </c>
      <c r="F6664" s="309" t="s">
        <v>34</v>
      </c>
      <c r="G6664" s="308"/>
      <c r="H6664" s="308" t="s">
        <v>26911</v>
      </c>
      <c r="I6664" s="310">
        <v>42112.0</v>
      </c>
      <c r="J6664" s="319">
        <f>IFERROR(__xludf.DUMMYFUNCTION("SPLIT(I6664,""/"")"),18.0)</f>
        <v>18</v>
      </c>
      <c r="K6664" s="308">
        <f>IFERROR(__xludf.DUMMYFUNCTION("""COMPUTED_VALUE"""),4.0)</f>
        <v>4</v>
      </c>
      <c r="L6664" s="308">
        <f>IFERROR(__xludf.DUMMYFUNCTION("""COMPUTED_VALUE"""),2015.0)</f>
        <v>2015</v>
      </c>
      <c r="M6664" s="308" t="s">
        <v>26912</v>
      </c>
      <c r="N6664" s="308" t="s">
        <v>26913</v>
      </c>
      <c r="O6664" s="308"/>
      <c r="P6664" s="308" t="s">
        <v>136</v>
      </c>
      <c r="Q6664" s="308" t="s">
        <v>39275</v>
      </c>
      <c r="R6664" s="308" t="s">
        <v>2743</v>
      </c>
      <c r="S6664" s="315" t="s">
        <v>100</v>
      </c>
      <c r="T6664" s="308" t="s">
        <v>34208</v>
      </c>
      <c r="U6664" s="308" t="s">
        <v>125</v>
      </c>
      <c r="V6664" s="308"/>
    </row>
    <row r="6665">
      <c r="A6665" s="308">
        <v>6664.0</v>
      </c>
      <c r="B6665" s="308"/>
      <c r="C6665" s="308" t="s">
        <v>26914</v>
      </c>
      <c r="D6665" s="308">
        <f>IFERROR(__xludf.DUMMYFUNCTION("SPLIT(C6665,""-"")"),6685.0)</f>
        <v>6685</v>
      </c>
      <c r="E6665" s="308" t="str">
        <f>IFERROR(__xludf.DUMMYFUNCTION("""COMPUTED_VALUE"""),"K")</f>
        <v>K</v>
      </c>
      <c r="F6665" s="309" t="s">
        <v>34</v>
      </c>
      <c r="G6665" s="308"/>
      <c r="H6665" s="308" t="s">
        <v>26915</v>
      </c>
      <c r="I6665" s="310">
        <v>42057.0</v>
      </c>
      <c r="J6665" s="319">
        <f>IFERROR(__xludf.DUMMYFUNCTION("SPLIT(I6665,""/"")"),22.0)</f>
        <v>22</v>
      </c>
      <c r="K6665" s="308">
        <f>IFERROR(__xludf.DUMMYFUNCTION("""COMPUTED_VALUE"""),2.0)</f>
        <v>2</v>
      </c>
      <c r="L6665" s="308">
        <f>IFERROR(__xludf.DUMMYFUNCTION("""COMPUTED_VALUE"""),2015.0)</f>
        <v>2015</v>
      </c>
      <c r="M6665" s="308" t="s">
        <v>26916</v>
      </c>
      <c r="N6665" s="308" t="s">
        <v>26917</v>
      </c>
      <c r="O6665" s="308"/>
      <c r="P6665" s="308" t="s">
        <v>136</v>
      </c>
      <c r="Q6665" s="308" t="s">
        <v>39275</v>
      </c>
      <c r="R6665" s="308" t="s">
        <v>2743</v>
      </c>
      <c r="S6665" s="315" t="s">
        <v>100</v>
      </c>
      <c r="T6665" s="308" t="s">
        <v>34208</v>
      </c>
      <c r="U6665" s="308" t="s">
        <v>125</v>
      </c>
      <c r="V6665" s="308"/>
    </row>
    <row r="6666">
      <c r="A6666" s="308">
        <v>6665.0</v>
      </c>
      <c r="B6666" s="308"/>
      <c r="C6666" s="308" t="s">
        <v>26918</v>
      </c>
      <c r="D6666" s="308">
        <f>IFERROR(__xludf.DUMMYFUNCTION("SPLIT(C6666,""-"")"),6686.0)</f>
        <v>6686</v>
      </c>
      <c r="E6666" s="308" t="str">
        <f>IFERROR(__xludf.DUMMYFUNCTION("""COMPUTED_VALUE"""),"K")</f>
        <v>K</v>
      </c>
      <c r="F6666" s="309" t="s">
        <v>34</v>
      </c>
      <c r="G6666" s="308"/>
      <c r="H6666" s="308" t="s">
        <v>26919</v>
      </c>
      <c r="I6666" s="310">
        <v>42092.0</v>
      </c>
      <c r="J6666" s="319">
        <f>IFERROR(__xludf.DUMMYFUNCTION("SPLIT(I6666,""/"")"),29.0)</f>
        <v>29</v>
      </c>
      <c r="K6666" s="308">
        <f>IFERROR(__xludf.DUMMYFUNCTION("""COMPUTED_VALUE"""),3.0)</f>
        <v>3</v>
      </c>
      <c r="L6666" s="308">
        <f>IFERROR(__xludf.DUMMYFUNCTION("""COMPUTED_VALUE"""),2015.0)</f>
        <v>2015</v>
      </c>
      <c r="M6666" s="308" t="s">
        <v>26920</v>
      </c>
      <c r="N6666" s="308" t="s">
        <v>26921</v>
      </c>
      <c r="O6666" s="308" t="s">
        <v>26922</v>
      </c>
      <c r="P6666" s="308" t="s">
        <v>136</v>
      </c>
      <c r="Q6666" s="308" t="s">
        <v>39275</v>
      </c>
      <c r="R6666" s="308" t="s">
        <v>2743</v>
      </c>
      <c r="S6666" s="315" t="s">
        <v>100</v>
      </c>
      <c r="T6666" s="308" t="s">
        <v>34208</v>
      </c>
      <c r="U6666" s="308" t="s">
        <v>542</v>
      </c>
      <c r="V6666" s="308" t="s">
        <v>26923</v>
      </c>
    </row>
    <row r="6667">
      <c r="A6667" s="308">
        <v>6666.0</v>
      </c>
      <c r="B6667" s="308"/>
      <c r="C6667" s="308" t="s">
        <v>26924</v>
      </c>
      <c r="D6667" s="308">
        <f>IFERROR(__xludf.DUMMYFUNCTION("SPLIT(C6667,""-"")"),6687.0)</f>
        <v>6687</v>
      </c>
      <c r="E6667" s="308" t="str">
        <f>IFERROR(__xludf.DUMMYFUNCTION("""COMPUTED_VALUE"""),"K")</f>
        <v>K</v>
      </c>
      <c r="F6667" s="309" t="s">
        <v>34</v>
      </c>
      <c r="G6667" s="308"/>
      <c r="H6667" s="308" t="s">
        <v>26925</v>
      </c>
      <c r="I6667" s="314">
        <v>43820.0</v>
      </c>
      <c r="J6667" s="319">
        <f>IFERROR(__xludf.DUMMYFUNCTION("SPLIT(I6667,""/"")"),21.0)</f>
        <v>21</v>
      </c>
      <c r="K6667" s="308">
        <f>IFERROR(__xludf.DUMMYFUNCTION("""COMPUTED_VALUE"""),12.0)</f>
        <v>12</v>
      </c>
      <c r="L6667" s="308">
        <f>IFERROR(__xludf.DUMMYFUNCTION("""COMPUTED_VALUE"""),2019.0)</f>
        <v>2019</v>
      </c>
      <c r="M6667" s="308" t="s">
        <v>26926</v>
      </c>
      <c r="N6667" s="308" t="s">
        <v>26927</v>
      </c>
      <c r="O6667" s="308" t="s">
        <v>26928</v>
      </c>
      <c r="P6667" s="308" t="s">
        <v>136</v>
      </c>
      <c r="Q6667" s="308" t="s">
        <v>39280</v>
      </c>
      <c r="R6667" s="308" t="s">
        <v>26929</v>
      </c>
      <c r="S6667" s="315" t="s">
        <v>100</v>
      </c>
      <c r="T6667" s="308" t="s">
        <v>34208</v>
      </c>
      <c r="U6667" s="308" t="s">
        <v>7530</v>
      </c>
      <c r="V6667" s="308" t="s">
        <v>26930</v>
      </c>
    </row>
    <row r="6668">
      <c r="A6668" s="308">
        <v>6667.0</v>
      </c>
      <c r="B6668" s="308"/>
      <c r="C6668" s="308" t="s">
        <v>26931</v>
      </c>
      <c r="D6668" s="308">
        <f>IFERROR(__xludf.DUMMYFUNCTION("SPLIT(C6668,""-"")"),6688.0)</f>
        <v>6688</v>
      </c>
      <c r="E6668" s="308" t="str">
        <f>IFERROR(__xludf.DUMMYFUNCTION("""COMPUTED_VALUE"""),"S")</f>
        <v>S</v>
      </c>
      <c r="F6668" s="312" t="s">
        <v>39</v>
      </c>
      <c r="G6668" s="308"/>
      <c r="H6668" s="308" t="s">
        <v>26932</v>
      </c>
      <c r="I6668" s="310">
        <v>43009.0</v>
      </c>
      <c r="J6668" s="319">
        <f>IFERROR(__xludf.DUMMYFUNCTION("SPLIT(I6668,""/"")"),1.0)</f>
        <v>1</v>
      </c>
      <c r="K6668" s="308">
        <f>IFERROR(__xludf.DUMMYFUNCTION("""COMPUTED_VALUE"""),10.0)</f>
        <v>10</v>
      </c>
      <c r="L6668" s="308">
        <f>IFERROR(__xludf.DUMMYFUNCTION("""COMPUTED_VALUE"""),2017.0)</f>
        <v>2017</v>
      </c>
      <c r="M6668" s="308" t="s">
        <v>26933</v>
      </c>
      <c r="N6668" s="308" t="s">
        <v>26934</v>
      </c>
      <c r="O6668" s="308" t="s">
        <v>26935</v>
      </c>
      <c r="P6668" s="308" t="s">
        <v>136</v>
      </c>
      <c r="Q6668" s="308" t="s">
        <v>39280</v>
      </c>
      <c r="R6668" s="308" t="s">
        <v>26929</v>
      </c>
      <c r="S6668" s="315" t="s">
        <v>100</v>
      </c>
      <c r="T6668" s="308" t="s">
        <v>34208</v>
      </c>
      <c r="U6668" s="308" t="s">
        <v>166</v>
      </c>
      <c r="V6668" s="308" t="s">
        <v>26936</v>
      </c>
    </row>
    <row r="6669">
      <c r="A6669" s="308">
        <v>6668.0</v>
      </c>
      <c r="B6669" s="308"/>
      <c r="C6669" s="308" t="s">
        <v>26937</v>
      </c>
      <c r="D6669" s="308">
        <f>IFERROR(__xludf.DUMMYFUNCTION("SPLIT(C6669,""-"")"),6689.0)</f>
        <v>6689</v>
      </c>
      <c r="E6669" s="308" t="str">
        <f>IFERROR(__xludf.DUMMYFUNCTION("""COMPUTED_VALUE"""),"P")</f>
        <v>P</v>
      </c>
      <c r="F6669" s="312" t="s">
        <v>37</v>
      </c>
      <c r="G6669" s="308"/>
      <c r="H6669" s="308" t="s">
        <v>26938</v>
      </c>
      <c r="I6669" s="310">
        <v>43270.0</v>
      </c>
      <c r="J6669" s="319">
        <f>IFERROR(__xludf.DUMMYFUNCTION("SPLIT(I6669,""/"")"),19.0)</f>
        <v>19</v>
      </c>
      <c r="K6669" s="308">
        <f>IFERROR(__xludf.DUMMYFUNCTION("""COMPUTED_VALUE"""),6.0)</f>
        <v>6</v>
      </c>
      <c r="L6669" s="308">
        <f>IFERROR(__xludf.DUMMYFUNCTION("""COMPUTED_VALUE"""),2018.0)</f>
        <v>2018</v>
      </c>
      <c r="M6669" s="308" t="s">
        <v>39281</v>
      </c>
      <c r="N6669" s="308"/>
      <c r="O6669" s="308"/>
      <c r="P6669" s="308" t="s">
        <v>39282</v>
      </c>
      <c r="Q6669" s="308" t="s">
        <v>39280</v>
      </c>
      <c r="R6669" s="308" t="s">
        <v>26929</v>
      </c>
      <c r="S6669" s="308" t="s">
        <v>81</v>
      </c>
      <c r="T6669" s="311" t="s">
        <v>75</v>
      </c>
      <c r="U6669" s="308" t="s">
        <v>18576</v>
      </c>
      <c r="V6669" s="308"/>
    </row>
    <row r="6670">
      <c r="A6670" s="308">
        <v>6669.0</v>
      </c>
      <c r="B6670" s="308"/>
      <c r="C6670" s="308" t="s">
        <v>26941</v>
      </c>
      <c r="D6670" s="308">
        <f>IFERROR(__xludf.DUMMYFUNCTION("SPLIT(C6670,""-"")"),6690.0)</f>
        <v>6690</v>
      </c>
      <c r="E6670" s="308" t="str">
        <f>IFERROR(__xludf.DUMMYFUNCTION("""COMPUTED_VALUE"""),"K")</f>
        <v>K</v>
      </c>
      <c r="F6670" s="309" t="s">
        <v>34</v>
      </c>
      <c r="G6670" s="308"/>
      <c r="H6670" s="308" t="s">
        <v>26942</v>
      </c>
      <c r="I6670" s="310">
        <v>43002.0</v>
      </c>
      <c r="J6670" s="319" t="str">
        <f>IFERROR(__xludf.DUMMYFUNCTION("SPLIT(I6670,""/"")"),"#REF!")</f>
        <v>#REF!</v>
      </c>
      <c r="K6670" s="308"/>
      <c r="L6670" s="308">
        <v>2017.0</v>
      </c>
      <c r="M6670" s="308" t="s">
        <v>26943</v>
      </c>
      <c r="N6670" s="308" t="s">
        <v>26944</v>
      </c>
      <c r="O6670" s="308"/>
      <c r="P6670" s="308" t="s">
        <v>136</v>
      </c>
      <c r="Q6670" s="308" t="s">
        <v>39283</v>
      </c>
      <c r="R6670" s="308" t="s">
        <v>2743</v>
      </c>
      <c r="S6670" s="315" t="s">
        <v>100</v>
      </c>
      <c r="T6670" s="308" t="s">
        <v>34208</v>
      </c>
      <c r="U6670" s="308" t="s">
        <v>125</v>
      </c>
      <c r="V6670" s="308"/>
    </row>
    <row r="6671">
      <c r="A6671" s="308">
        <v>6670.0</v>
      </c>
      <c r="B6671" s="308"/>
      <c r="C6671" s="308" t="s">
        <v>26945</v>
      </c>
      <c r="D6671" s="308">
        <f>IFERROR(__xludf.DUMMYFUNCTION("SPLIT(C6671,""-"")"),6691.0)</f>
        <v>6691</v>
      </c>
      <c r="E6671" s="308" t="str">
        <f>IFERROR(__xludf.DUMMYFUNCTION("""COMPUTED_VALUE"""),"K")</f>
        <v>K</v>
      </c>
      <c r="F6671" s="309" t="s">
        <v>34</v>
      </c>
      <c r="G6671" s="308"/>
      <c r="H6671" s="308" t="s">
        <v>26946</v>
      </c>
      <c r="I6671" s="310">
        <v>43950.0</v>
      </c>
      <c r="J6671" s="319">
        <f>IFERROR(__xludf.DUMMYFUNCTION("SPLIT(I6671,""/"")"),29.0)</f>
        <v>29</v>
      </c>
      <c r="K6671" s="308">
        <f>IFERROR(__xludf.DUMMYFUNCTION("""COMPUTED_VALUE"""),4.0)</f>
        <v>4</v>
      </c>
      <c r="L6671" s="308">
        <f>IFERROR(__xludf.DUMMYFUNCTION("""COMPUTED_VALUE"""),2020.0)</f>
        <v>2020</v>
      </c>
      <c r="M6671" s="308" t="s">
        <v>26947</v>
      </c>
      <c r="N6671" s="308" t="s">
        <v>26948</v>
      </c>
      <c r="O6671" s="308"/>
      <c r="P6671" s="308" t="s">
        <v>136</v>
      </c>
      <c r="Q6671" s="308" t="s">
        <v>39283</v>
      </c>
      <c r="R6671" s="308" t="s">
        <v>2743</v>
      </c>
      <c r="S6671" s="315" t="s">
        <v>100</v>
      </c>
      <c r="T6671" s="308" t="s">
        <v>34208</v>
      </c>
      <c r="U6671" s="308" t="s">
        <v>2152</v>
      </c>
      <c r="V6671" s="308"/>
    </row>
    <row r="6672">
      <c r="A6672" s="308">
        <v>6671.0</v>
      </c>
      <c r="B6672" s="308"/>
      <c r="C6672" s="308" t="s">
        <v>26949</v>
      </c>
      <c r="D6672" s="308">
        <f>IFERROR(__xludf.DUMMYFUNCTION("SPLIT(C6672,""-"")"),6692.0)</f>
        <v>6692</v>
      </c>
      <c r="E6672" s="308" t="str">
        <f>IFERROR(__xludf.DUMMYFUNCTION("""COMPUTED_VALUE"""),"B")</f>
        <v>B</v>
      </c>
      <c r="F6672" s="315" t="s">
        <v>26</v>
      </c>
      <c r="G6672" s="308"/>
      <c r="H6672" s="308" t="s">
        <v>26950</v>
      </c>
      <c r="I6672" s="310">
        <v>43999.0</v>
      </c>
      <c r="J6672" s="319">
        <f>IFERROR(__xludf.DUMMYFUNCTION("SPLIT(I6672,""/"")"),17.0)</f>
        <v>17</v>
      </c>
      <c r="K6672" s="308">
        <f>IFERROR(__xludf.DUMMYFUNCTION("""COMPUTED_VALUE"""),6.0)</f>
        <v>6</v>
      </c>
      <c r="L6672" s="308">
        <f>IFERROR(__xludf.DUMMYFUNCTION("""COMPUTED_VALUE"""),2020.0)</f>
        <v>2020</v>
      </c>
      <c r="M6672" s="308" t="s">
        <v>26951</v>
      </c>
      <c r="N6672" s="308" t="s">
        <v>439</v>
      </c>
      <c r="O6672" s="308" t="s">
        <v>26952</v>
      </c>
      <c r="P6672" s="308" t="s">
        <v>39284</v>
      </c>
      <c r="Q6672" s="308" t="s">
        <v>39283</v>
      </c>
      <c r="R6672" s="308" t="s">
        <v>2743</v>
      </c>
      <c r="S6672" s="308" t="s">
        <v>81</v>
      </c>
      <c r="T6672" s="311" t="s">
        <v>51</v>
      </c>
      <c r="U6672" s="308" t="s">
        <v>27</v>
      </c>
      <c r="V6672" s="308"/>
    </row>
    <row r="6673">
      <c r="A6673" s="308">
        <v>6672.0</v>
      </c>
      <c r="B6673" s="308"/>
      <c r="C6673" s="308" t="s">
        <v>26954</v>
      </c>
      <c r="D6673" s="308">
        <f>IFERROR(__xludf.DUMMYFUNCTION("SPLIT(C6673,""-"")"),6693.0)</f>
        <v>6693</v>
      </c>
      <c r="E6673" s="308" t="str">
        <f>IFERROR(__xludf.DUMMYFUNCTION("""COMPUTED_VALUE"""),"B")</f>
        <v>B</v>
      </c>
      <c r="F6673" s="315" t="s">
        <v>26</v>
      </c>
      <c r="G6673" s="308"/>
      <c r="H6673" s="308" t="s">
        <v>26955</v>
      </c>
      <c r="I6673" s="310">
        <v>41465.0</v>
      </c>
      <c r="J6673" s="319">
        <f>IFERROR(__xludf.DUMMYFUNCTION("SPLIT(I6673,""/"")"),10.0)</f>
        <v>10</v>
      </c>
      <c r="K6673" s="308">
        <f>IFERROR(__xludf.DUMMYFUNCTION("""COMPUTED_VALUE"""),7.0)</f>
        <v>7</v>
      </c>
      <c r="L6673" s="308">
        <f>IFERROR(__xludf.DUMMYFUNCTION("""COMPUTED_VALUE"""),2013.0)</f>
        <v>2013</v>
      </c>
      <c r="M6673" s="308" t="s">
        <v>26956</v>
      </c>
      <c r="N6673" s="308" t="s">
        <v>439</v>
      </c>
      <c r="O6673" s="308"/>
      <c r="P6673" s="308" t="s">
        <v>39285</v>
      </c>
      <c r="Q6673" s="308" t="s">
        <v>39286</v>
      </c>
      <c r="R6673" s="308" t="s">
        <v>2743</v>
      </c>
      <c r="S6673" s="308" t="s">
        <v>49</v>
      </c>
      <c r="T6673" s="311" t="s">
        <v>51</v>
      </c>
      <c r="U6673" s="308" t="s">
        <v>27</v>
      </c>
      <c r="V6673" s="308"/>
    </row>
    <row r="6674">
      <c r="A6674" s="308">
        <v>6673.0</v>
      </c>
      <c r="B6674" s="308"/>
      <c r="C6674" s="308" t="s">
        <v>26958</v>
      </c>
      <c r="D6674" s="308">
        <f>IFERROR(__xludf.DUMMYFUNCTION("SPLIT(C6674,""-"")"),6694.0)</f>
        <v>6694</v>
      </c>
      <c r="E6674" s="308" t="str">
        <f>IFERROR(__xludf.DUMMYFUNCTION("""COMPUTED_VALUE"""),"B")</f>
        <v>B</v>
      </c>
      <c r="F6674" s="315" t="s">
        <v>26</v>
      </c>
      <c r="G6674" s="308"/>
      <c r="H6674" s="308" t="s">
        <v>26959</v>
      </c>
      <c r="I6674" s="310">
        <v>41465.0</v>
      </c>
      <c r="J6674" s="319">
        <f>IFERROR(__xludf.DUMMYFUNCTION("SPLIT(I6674,""/"")"),10.0)</f>
        <v>10</v>
      </c>
      <c r="K6674" s="308">
        <f>IFERROR(__xludf.DUMMYFUNCTION("""COMPUTED_VALUE"""),7.0)</f>
        <v>7</v>
      </c>
      <c r="L6674" s="308">
        <f>IFERROR(__xludf.DUMMYFUNCTION("""COMPUTED_VALUE"""),2013.0)</f>
        <v>2013</v>
      </c>
      <c r="M6674" s="308" t="s">
        <v>26960</v>
      </c>
      <c r="N6674" s="308" t="s">
        <v>26961</v>
      </c>
      <c r="O6674" s="308"/>
      <c r="P6674" s="308" t="s">
        <v>39285</v>
      </c>
      <c r="Q6674" s="308" t="s">
        <v>39286</v>
      </c>
      <c r="R6674" s="308" t="s">
        <v>2743</v>
      </c>
      <c r="S6674" s="308" t="s">
        <v>49</v>
      </c>
      <c r="T6674" s="311" t="s">
        <v>51</v>
      </c>
      <c r="U6674" s="308" t="s">
        <v>27</v>
      </c>
      <c r="V6674" s="308"/>
    </row>
    <row r="6675">
      <c r="A6675" s="308">
        <v>6674.0</v>
      </c>
      <c r="B6675" s="308"/>
      <c r="C6675" s="308" t="s">
        <v>26962</v>
      </c>
      <c r="D6675" s="308">
        <f>IFERROR(__xludf.DUMMYFUNCTION("SPLIT(C6675,""-"")"),6695.0)</f>
        <v>6695</v>
      </c>
      <c r="E6675" s="308" t="str">
        <f>IFERROR(__xludf.DUMMYFUNCTION("""COMPUTED_VALUE"""),"K")</f>
        <v>K</v>
      </c>
      <c r="F6675" s="309" t="s">
        <v>34</v>
      </c>
      <c r="G6675" s="308"/>
      <c r="H6675" s="308" t="s">
        <v>26963</v>
      </c>
      <c r="I6675" s="310">
        <v>42470.0</v>
      </c>
      <c r="J6675" s="319">
        <f>IFERROR(__xludf.DUMMYFUNCTION("SPLIT(I6675,""/"")"),10.0)</f>
        <v>10</v>
      </c>
      <c r="K6675" s="308">
        <f>IFERROR(__xludf.DUMMYFUNCTION("""COMPUTED_VALUE"""),4.0)</f>
        <v>4</v>
      </c>
      <c r="L6675" s="308">
        <f>IFERROR(__xludf.DUMMYFUNCTION("""COMPUTED_VALUE"""),2016.0)</f>
        <v>2016</v>
      </c>
      <c r="M6675" s="308" t="s">
        <v>26964</v>
      </c>
      <c r="N6675" s="308" t="s">
        <v>26965</v>
      </c>
      <c r="O6675" s="308" t="s">
        <v>26966</v>
      </c>
      <c r="P6675" s="308" t="s">
        <v>136</v>
      </c>
      <c r="Q6675" s="308" t="s">
        <v>39286</v>
      </c>
      <c r="R6675" s="308" t="s">
        <v>2743</v>
      </c>
      <c r="S6675" s="315" t="s">
        <v>100</v>
      </c>
      <c r="T6675" s="308" t="s">
        <v>34208</v>
      </c>
      <c r="U6675" s="308" t="s">
        <v>872</v>
      </c>
      <c r="V6675" s="308"/>
    </row>
    <row r="6676">
      <c r="A6676" s="308">
        <v>6675.0</v>
      </c>
      <c r="B6676" s="308"/>
      <c r="C6676" s="308" t="s">
        <v>26967</v>
      </c>
      <c r="D6676" s="308">
        <f>IFERROR(__xludf.DUMMYFUNCTION("SPLIT(C6676,""-"")"),6696.0)</f>
        <v>6696</v>
      </c>
      <c r="E6676" s="308" t="str">
        <f>IFERROR(__xludf.DUMMYFUNCTION("""COMPUTED_VALUE"""),"I")</f>
        <v>I</v>
      </c>
      <c r="F6676" s="309" t="s">
        <v>31</v>
      </c>
      <c r="G6676" s="308"/>
      <c r="H6676" s="308" t="s">
        <v>26968</v>
      </c>
      <c r="I6676" s="314">
        <v>42732.0</v>
      </c>
      <c r="J6676" s="319">
        <f>IFERROR(__xludf.DUMMYFUNCTION("SPLIT(I6676,""/"")"),28.0)</f>
        <v>28</v>
      </c>
      <c r="K6676" s="308">
        <f>IFERROR(__xludf.DUMMYFUNCTION("""COMPUTED_VALUE"""),12.0)</f>
        <v>12</v>
      </c>
      <c r="L6676" s="308">
        <f>IFERROR(__xludf.DUMMYFUNCTION("""COMPUTED_VALUE"""),2016.0)</f>
        <v>2016</v>
      </c>
      <c r="M6676" s="308" t="s">
        <v>26969</v>
      </c>
      <c r="N6676" s="308" t="s">
        <v>26970</v>
      </c>
      <c r="O6676" s="308"/>
      <c r="P6676" s="308" t="s">
        <v>136</v>
      </c>
      <c r="Q6676" s="308" t="s">
        <v>39286</v>
      </c>
      <c r="R6676" s="308" t="s">
        <v>16185</v>
      </c>
      <c r="S6676" s="315" t="s">
        <v>100</v>
      </c>
      <c r="T6676" s="308" t="s">
        <v>34208</v>
      </c>
      <c r="U6676" s="308" t="s">
        <v>31</v>
      </c>
      <c r="V6676" s="308"/>
    </row>
    <row r="6677">
      <c r="A6677" s="308">
        <v>6676.0</v>
      </c>
      <c r="B6677" s="308"/>
      <c r="C6677" s="308" t="s">
        <v>26971</v>
      </c>
      <c r="D6677" s="308">
        <f>IFERROR(__xludf.DUMMYFUNCTION("SPLIT(C6677,""-"")"),6697.0)</f>
        <v>6697</v>
      </c>
      <c r="E6677" s="308" t="str">
        <f>IFERROR(__xludf.DUMMYFUNCTION("""COMPUTED_VALUE"""),"P")</f>
        <v>P</v>
      </c>
      <c r="F6677" s="312" t="s">
        <v>37</v>
      </c>
      <c r="G6677" s="308"/>
      <c r="H6677" s="308" t="s">
        <v>26972</v>
      </c>
      <c r="I6677" s="310">
        <v>43964.0</v>
      </c>
      <c r="J6677" s="319">
        <f>IFERROR(__xludf.DUMMYFUNCTION("SPLIT(I6677,""/"")"),13.0)</f>
        <v>13</v>
      </c>
      <c r="K6677" s="308">
        <f>IFERROR(__xludf.DUMMYFUNCTION("""COMPUTED_VALUE"""),5.0)</f>
        <v>5</v>
      </c>
      <c r="L6677" s="308">
        <f>IFERROR(__xludf.DUMMYFUNCTION("""COMPUTED_VALUE"""),2020.0)</f>
        <v>2020</v>
      </c>
      <c r="M6677" s="308" t="s">
        <v>26973</v>
      </c>
      <c r="N6677" s="308" t="s">
        <v>26974</v>
      </c>
      <c r="O6677" s="308"/>
      <c r="P6677" s="308" t="s">
        <v>136</v>
      </c>
      <c r="Q6677" s="308" t="s">
        <v>39287</v>
      </c>
      <c r="R6677" s="308" t="s">
        <v>16185</v>
      </c>
      <c r="S6677" s="315" t="s">
        <v>100</v>
      </c>
      <c r="T6677" s="308" t="s">
        <v>34208</v>
      </c>
      <c r="U6677" s="308" t="s">
        <v>2748</v>
      </c>
      <c r="V6677" s="308"/>
    </row>
    <row r="6678">
      <c r="A6678" s="308">
        <v>6677.0</v>
      </c>
      <c r="B6678" s="308"/>
      <c r="C6678" s="308" t="s">
        <v>26975</v>
      </c>
      <c r="D6678" s="308">
        <f>IFERROR(__xludf.DUMMYFUNCTION("SPLIT(C6678,""-"")"),6698.0)</f>
        <v>6698</v>
      </c>
      <c r="E6678" s="308" t="str">
        <f>IFERROR(__xludf.DUMMYFUNCTION("""COMPUTED_VALUE"""),"K")</f>
        <v>K</v>
      </c>
      <c r="F6678" s="309" t="s">
        <v>34</v>
      </c>
      <c r="G6678" s="308"/>
      <c r="H6678" s="308" t="s">
        <v>26976</v>
      </c>
      <c r="I6678" s="310">
        <v>42610.0</v>
      </c>
      <c r="J6678" s="319">
        <f>IFERROR(__xludf.DUMMYFUNCTION("SPLIT(I6678,""/"")"),28.0)</f>
        <v>28</v>
      </c>
      <c r="K6678" s="308">
        <f>IFERROR(__xludf.DUMMYFUNCTION("""COMPUTED_VALUE"""),8.0)</f>
        <v>8</v>
      </c>
      <c r="L6678" s="308">
        <f>IFERROR(__xludf.DUMMYFUNCTION("""COMPUTED_VALUE"""),2016.0)</f>
        <v>2016</v>
      </c>
      <c r="M6678" s="308" t="s">
        <v>26977</v>
      </c>
      <c r="N6678" s="308" t="s">
        <v>26978</v>
      </c>
      <c r="O6678" s="308" t="s">
        <v>26979</v>
      </c>
      <c r="P6678" s="308" t="s">
        <v>39288</v>
      </c>
      <c r="Q6678" s="308" t="s">
        <v>39287</v>
      </c>
      <c r="R6678" s="308" t="s">
        <v>16185</v>
      </c>
      <c r="S6678" s="308" t="s">
        <v>81</v>
      </c>
      <c r="T6678" s="308" t="s">
        <v>34264</v>
      </c>
      <c r="U6678" s="308" t="s">
        <v>872</v>
      </c>
      <c r="V6678" s="308"/>
    </row>
    <row r="6679">
      <c r="A6679" s="308">
        <v>6678.0</v>
      </c>
      <c r="B6679" s="308"/>
      <c r="C6679" s="308" t="s">
        <v>26981</v>
      </c>
      <c r="D6679" s="308">
        <f>IFERROR(__xludf.DUMMYFUNCTION("SPLIT(C6679,""-"")"),6699.0)</f>
        <v>6699</v>
      </c>
      <c r="E6679" s="308" t="str">
        <f>IFERROR(__xludf.DUMMYFUNCTION("""COMPUTED_VALUE"""),"S")</f>
        <v>S</v>
      </c>
      <c r="F6679" s="312" t="s">
        <v>39</v>
      </c>
      <c r="G6679" s="308"/>
      <c r="H6679" s="308" t="s">
        <v>26982</v>
      </c>
      <c r="I6679" s="310">
        <v>43365.0</v>
      </c>
      <c r="J6679" s="319">
        <f>IFERROR(__xludf.DUMMYFUNCTION("SPLIT(I6679,""/"")"),22.0)</f>
        <v>22</v>
      </c>
      <c r="K6679" s="308">
        <f>IFERROR(__xludf.DUMMYFUNCTION("""COMPUTED_VALUE"""),9.0)</f>
        <v>9</v>
      </c>
      <c r="L6679" s="308">
        <f>IFERROR(__xludf.DUMMYFUNCTION("""COMPUTED_VALUE"""),2018.0)</f>
        <v>2018</v>
      </c>
      <c r="M6679" s="308" t="s">
        <v>26983</v>
      </c>
      <c r="N6679" s="308"/>
      <c r="O6679" s="308"/>
      <c r="P6679" s="308" t="s">
        <v>26984</v>
      </c>
      <c r="Q6679" s="308" t="s">
        <v>39287</v>
      </c>
      <c r="R6679" s="308" t="s">
        <v>16185</v>
      </c>
      <c r="S6679" s="308" t="s">
        <v>81</v>
      </c>
      <c r="T6679" s="308" t="s">
        <v>98</v>
      </c>
      <c r="U6679" s="308" t="s">
        <v>166</v>
      </c>
      <c r="V6679" s="308"/>
    </row>
    <row r="6680">
      <c r="A6680" s="308">
        <v>6679.0</v>
      </c>
      <c r="B6680" s="308"/>
      <c r="C6680" s="308" t="s">
        <v>26985</v>
      </c>
      <c r="D6680" s="308">
        <f>IFERROR(__xludf.DUMMYFUNCTION("SPLIT(C6680,""-"")"),6700.0)</f>
        <v>6700</v>
      </c>
      <c r="E6680" s="308" t="str">
        <f>IFERROR(__xludf.DUMMYFUNCTION("""COMPUTED_VALUE"""),"P")</f>
        <v>P</v>
      </c>
      <c r="F6680" s="312" t="s">
        <v>37</v>
      </c>
      <c r="G6680" s="308"/>
      <c r="H6680" s="308" t="s">
        <v>26986</v>
      </c>
      <c r="I6680" s="310">
        <v>44006.0</v>
      </c>
      <c r="J6680" s="319">
        <f>IFERROR(__xludf.DUMMYFUNCTION("SPLIT(I6680,""/"")"),24.0)</f>
        <v>24</v>
      </c>
      <c r="K6680" s="308">
        <f>IFERROR(__xludf.DUMMYFUNCTION("""COMPUTED_VALUE"""),6.0)</f>
        <v>6</v>
      </c>
      <c r="L6680" s="308">
        <f>IFERROR(__xludf.DUMMYFUNCTION("""COMPUTED_VALUE"""),2020.0)</f>
        <v>2020</v>
      </c>
      <c r="M6680" s="308" t="s">
        <v>26987</v>
      </c>
      <c r="N6680" s="308" t="s">
        <v>26988</v>
      </c>
      <c r="O6680" s="308"/>
      <c r="P6680" s="308" t="s">
        <v>39289</v>
      </c>
      <c r="Q6680" s="308" t="s">
        <v>39290</v>
      </c>
      <c r="R6680" s="308" t="s">
        <v>2743</v>
      </c>
      <c r="S6680" s="308" t="s">
        <v>81</v>
      </c>
      <c r="T6680" s="311" t="s">
        <v>73</v>
      </c>
      <c r="U6680" s="308" t="s">
        <v>1435</v>
      </c>
      <c r="V6680" s="308"/>
    </row>
    <row r="6681">
      <c r="A6681" s="308">
        <v>6680.0</v>
      </c>
      <c r="B6681" s="308"/>
      <c r="C6681" s="308" t="s">
        <v>26990</v>
      </c>
      <c r="D6681" s="308">
        <f>IFERROR(__xludf.DUMMYFUNCTION("SPLIT(C6681,""-"")"),6701.0)</f>
        <v>6701</v>
      </c>
      <c r="E6681" s="308" t="str">
        <f>IFERROR(__xludf.DUMMYFUNCTION("""COMPUTED_VALUE"""),"P")</f>
        <v>P</v>
      </c>
      <c r="F6681" s="312" t="s">
        <v>37</v>
      </c>
      <c r="G6681" s="308"/>
      <c r="H6681" s="308" t="s">
        <v>26991</v>
      </c>
      <c r="I6681" s="310">
        <v>43988.0</v>
      </c>
      <c r="J6681" s="319">
        <f>IFERROR(__xludf.DUMMYFUNCTION("SPLIT(I6681,""/"")"),6.0)</f>
        <v>6</v>
      </c>
      <c r="K6681" s="308">
        <f>IFERROR(__xludf.DUMMYFUNCTION("""COMPUTED_VALUE"""),6.0)</f>
        <v>6</v>
      </c>
      <c r="L6681" s="308">
        <f>IFERROR(__xludf.DUMMYFUNCTION("""COMPUTED_VALUE"""),2020.0)</f>
        <v>2020</v>
      </c>
      <c r="M6681" s="308" t="s">
        <v>26992</v>
      </c>
      <c r="N6681" s="308" t="s">
        <v>26993</v>
      </c>
      <c r="O6681" s="308"/>
      <c r="P6681" s="308" t="s">
        <v>39291</v>
      </c>
      <c r="Q6681" s="308" t="s">
        <v>39290</v>
      </c>
      <c r="R6681" s="308" t="s">
        <v>2743</v>
      </c>
      <c r="S6681" s="308" t="s">
        <v>81</v>
      </c>
      <c r="T6681" s="308" t="s">
        <v>73</v>
      </c>
      <c r="U6681" s="308" t="s">
        <v>149</v>
      </c>
      <c r="V6681" s="308"/>
    </row>
    <row r="6682">
      <c r="A6682" s="308">
        <v>6681.0</v>
      </c>
      <c r="B6682" s="308"/>
      <c r="C6682" s="308" t="s">
        <v>26995</v>
      </c>
      <c r="D6682" s="308">
        <f>IFERROR(__xludf.DUMMYFUNCTION("SPLIT(C6682,""-"")"),6702.0)</f>
        <v>6702</v>
      </c>
      <c r="E6682" s="308" t="str">
        <f>IFERROR(__xludf.DUMMYFUNCTION("""COMPUTED_VALUE"""),"K")</f>
        <v>K</v>
      </c>
      <c r="F6682" s="309" t="s">
        <v>34</v>
      </c>
      <c r="G6682" s="308"/>
      <c r="H6682" s="308" t="s">
        <v>26996</v>
      </c>
      <c r="I6682" s="314">
        <v>43781.0</v>
      </c>
      <c r="J6682" s="319">
        <f>IFERROR(__xludf.DUMMYFUNCTION("SPLIT(I6682,""/"")"),12.0)</f>
        <v>12</v>
      </c>
      <c r="K6682" s="308">
        <f>IFERROR(__xludf.DUMMYFUNCTION("""COMPUTED_VALUE"""),11.0)</f>
        <v>11</v>
      </c>
      <c r="L6682" s="308">
        <f>IFERROR(__xludf.DUMMYFUNCTION("""COMPUTED_VALUE"""),2019.0)</f>
        <v>2019</v>
      </c>
      <c r="M6682" s="308" t="s">
        <v>26997</v>
      </c>
      <c r="N6682" s="308" t="s">
        <v>26998</v>
      </c>
      <c r="O6682" s="308"/>
      <c r="P6682" s="308" t="s">
        <v>39292</v>
      </c>
      <c r="Q6682" s="308" t="s">
        <v>39293</v>
      </c>
      <c r="R6682" s="308" t="s">
        <v>2743</v>
      </c>
      <c r="S6682" s="308" t="s">
        <v>81</v>
      </c>
      <c r="T6682" s="311" t="s">
        <v>51</v>
      </c>
      <c r="U6682" s="308" t="s">
        <v>1516</v>
      </c>
      <c r="V6682" s="308"/>
    </row>
    <row r="6683">
      <c r="A6683" s="308">
        <v>6682.0</v>
      </c>
      <c r="B6683" s="308"/>
      <c r="C6683" s="308" t="s">
        <v>27000</v>
      </c>
      <c r="D6683" s="308">
        <f>IFERROR(__xludf.DUMMYFUNCTION("SPLIT(C6683,""-"")"),6703.0)</f>
        <v>6703</v>
      </c>
      <c r="E6683" s="308" t="str">
        <f>IFERROR(__xludf.DUMMYFUNCTION("""COMPUTED_VALUE"""),"K")</f>
        <v>K</v>
      </c>
      <c r="F6683" s="309" t="s">
        <v>34</v>
      </c>
      <c r="G6683" s="308"/>
      <c r="H6683" s="308" t="s">
        <v>27001</v>
      </c>
      <c r="I6683" s="314">
        <v>43781.0</v>
      </c>
      <c r="J6683" s="319">
        <f>IFERROR(__xludf.DUMMYFUNCTION("SPLIT(I6683,""/"")"),12.0)</f>
        <v>12</v>
      </c>
      <c r="K6683" s="308">
        <f>IFERROR(__xludf.DUMMYFUNCTION("""COMPUTED_VALUE"""),11.0)</f>
        <v>11</v>
      </c>
      <c r="L6683" s="308">
        <f>IFERROR(__xludf.DUMMYFUNCTION("""COMPUTED_VALUE"""),2019.0)</f>
        <v>2019</v>
      </c>
      <c r="M6683" s="308" t="s">
        <v>27002</v>
      </c>
      <c r="N6683" s="308" t="s">
        <v>27003</v>
      </c>
      <c r="O6683" s="308"/>
      <c r="P6683" s="308" t="s">
        <v>27004</v>
      </c>
      <c r="Q6683" s="308" t="s">
        <v>39293</v>
      </c>
      <c r="R6683" s="308" t="s">
        <v>2743</v>
      </c>
      <c r="S6683" s="308" t="s">
        <v>81</v>
      </c>
      <c r="T6683" s="308" t="s">
        <v>75</v>
      </c>
      <c r="U6683" s="308" t="s">
        <v>1516</v>
      </c>
      <c r="V6683" s="308"/>
    </row>
    <row r="6684">
      <c r="A6684" s="308">
        <v>6683.0</v>
      </c>
      <c r="B6684" s="308"/>
      <c r="C6684" s="308" t="s">
        <v>27005</v>
      </c>
      <c r="D6684" s="308">
        <f>IFERROR(__xludf.DUMMYFUNCTION("SPLIT(C6684,""-"")"),6704.0)</f>
        <v>6704</v>
      </c>
      <c r="E6684" s="308" t="str">
        <f>IFERROR(__xludf.DUMMYFUNCTION("""COMPUTED_VALUE"""),"S")</f>
        <v>S</v>
      </c>
      <c r="F6684" s="312" t="s">
        <v>39</v>
      </c>
      <c r="G6684" s="308"/>
      <c r="H6684" s="308" t="s">
        <v>27006</v>
      </c>
      <c r="I6684" s="310">
        <v>42009.0</v>
      </c>
      <c r="J6684" s="319">
        <f>IFERROR(__xludf.DUMMYFUNCTION("SPLIT(I6684,""/"")"),5.0)</f>
        <v>5</v>
      </c>
      <c r="K6684" s="308">
        <f>IFERROR(__xludf.DUMMYFUNCTION("""COMPUTED_VALUE"""),1.0)</f>
        <v>1</v>
      </c>
      <c r="L6684" s="308">
        <f>IFERROR(__xludf.DUMMYFUNCTION("""COMPUTED_VALUE"""),2015.0)</f>
        <v>2015</v>
      </c>
      <c r="M6684" s="308" t="s">
        <v>27007</v>
      </c>
      <c r="N6684" s="308" t="s">
        <v>27008</v>
      </c>
      <c r="O6684" s="308" t="s">
        <v>27009</v>
      </c>
      <c r="P6684" s="308" t="s">
        <v>136</v>
      </c>
      <c r="Q6684" s="308" t="s">
        <v>39293</v>
      </c>
      <c r="R6684" s="308" t="s">
        <v>2743</v>
      </c>
      <c r="S6684" s="315" t="s">
        <v>100</v>
      </c>
      <c r="T6684" s="308" t="s">
        <v>34208</v>
      </c>
      <c r="U6684" s="308" t="s">
        <v>166</v>
      </c>
      <c r="V6684" s="308"/>
    </row>
    <row r="6685">
      <c r="A6685" s="308">
        <v>6684.0</v>
      </c>
      <c r="B6685" s="308"/>
      <c r="C6685" s="308" t="s">
        <v>27010</v>
      </c>
      <c r="D6685" s="308">
        <f>IFERROR(__xludf.DUMMYFUNCTION("SPLIT(C6685,""-"")"),6705.0)</f>
        <v>6705</v>
      </c>
      <c r="E6685" s="308" t="str">
        <f>IFERROR(__xludf.DUMMYFUNCTION("""COMPUTED_VALUE"""),"P")</f>
        <v>P</v>
      </c>
      <c r="F6685" s="312" t="s">
        <v>37</v>
      </c>
      <c r="G6685" s="308"/>
      <c r="H6685" s="308" t="s">
        <v>27011</v>
      </c>
      <c r="I6685" s="310">
        <v>44021.0</v>
      </c>
      <c r="J6685" s="319">
        <f>IFERROR(__xludf.DUMMYFUNCTION("SPLIT(I6685,""/"")"),9.0)</f>
        <v>9</v>
      </c>
      <c r="K6685" s="308">
        <f>IFERROR(__xludf.DUMMYFUNCTION("""COMPUTED_VALUE"""),7.0)</f>
        <v>7</v>
      </c>
      <c r="L6685" s="308">
        <f>IFERROR(__xludf.DUMMYFUNCTION("""COMPUTED_VALUE"""),2020.0)</f>
        <v>2020</v>
      </c>
      <c r="M6685" s="308" t="s">
        <v>27012</v>
      </c>
      <c r="N6685" s="308" t="s">
        <v>27013</v>
      </c>
      <c r="O6685" s="308"/>
      <c r="P6685" s="308" t="s">
        <v>39294</v>
      </c>
      <c r="Q6685" s="308" t="s">
        <v>39293</v>
      </c>
      <c r="R6685" s="308" t="s">
        <v>2743</v>
      </c>
      <c r="S6685" s="308" t="s">
        <v>81</v>
      </c>
      <c r="T6685" s="311" t="s">
        <v>75</v>
      </c>
      <c r="U6685" s="308" t="s">
        <v>2527</v>
      </c>
      <c r="V6685" s="308"/>
    </row>
    <row r="6686">
      <c r="A6686" s="308">
        <v>6685.0</v>
      </c>
      <c r="B6686" s="308"/>
      <c r="C6686" s="308" t="s">
        <v>27015</v>
      </c>
      <c r="D6686" s="308">
        <f>IFERROR(__xludf.DUMMYFUNCTION("SPLIT(C6686,""-"")"),6706.0)</f>
        <v>6706</v>
      </c>
      <c r="E6686" s="308" t="str">
        <f>IFERROR(__xludf.DUMMYFUNCTION("""COMPUTED_VALUE"""),"F")</f>
        <v>F</v>
      </c>
      <c r="F6686" s="309" t="s">
        <v>34</v>
      </c>
      <c r="G6686" s="308"/>
      <c r="H6686" s="308" t="s">
        <v>27016</v>
      </c>
      <c r="I6686" s="310">
        <v>41456.0</v>
      </c>
      <c r="J6686" s="319">
        <f>IFERROR(__xludf.DUMMYFUNCTION("SPLIT(I6686,""/"")"),1.0)</f>
        <v>1</v>
      </c>
      <c r="K6686" s="308">
        <f>IFERROR(__xludf.DUMMYFUNCTION("""COMPUTED_VALUE"""),7.0)</f>
        <v>7</v>
      </c>
      <c r="L6686" s="308">
        <f>IFERROR(__xludf.DUMMYFUNCTION("""COMPUTED_VALUE"""),2013.0)</f>
        <v>2013</v>
      </c>
      <c r="M6686" s="308" t="s">
        <v>27017</v>
      </c>
      <c r="N6686" s="308" t="s">
        <v>27018</v>
      </c>
      <c r="O6686" s="308"/>
      <c r="P6686" s="308" t="s">
        <v>39295</v>
      </c>
      <c r="Q6686" s="308" t="s">
        <v>39293</v>
      </c>
      <c r="R6686" s="308" t="s">
        <v>2743</v>
      </c>
      <c r="S6686" s="308" t="s">
        <v>81</v>
      </c>
      <c r="T6686" s="308" t="s">
        <v>34264</v>
      </c>
      <c r="U6686" s="308" t="s">
        <v>27020</v>
      </c>
      <c r="V6686" s="308"/>
    </row>
    <row r="6687">
      <c r="A6687" s="308">
        <v>6686.0</v>
      </c>
      <c r="B6687" s="308"/>
      <c r="C6687" s="308" t="s">
        <v>27021</v>
      </c>
      <c r="D6687" s="308">
        <f>IFERROR(__xludf.DUMMYFUNCTION("SPLIT(C6687,""-"")"),6707.0)</f>
        <v>6707</v>
      </c>
      <c r="E6687" s="308" t="str">
        <f>IFERROR(__xludf.DUMMYFUNCTION("""COMPUTED_VALUE"""),"B")</f>
        <v>B</v>
      </c>
      <c r="F6687" s="315" t="s">
        <v>26</v>
      </c>
      <c r="G6687" s="308"/>
      <c r="H6687" s="308" t="s">
        <v>27022</v>
      </c>
      <c r="I6687" s="310">
        <v>43995.0</v>
      </c>
      <c r="J6687" s="319">
        <f>IFERROR(__xludf.DUMMYFUNCTION("SPLIT(I6687,""/"")"),13.0)</f>
        <v>13</v>
      </c>
      <c r="K6687" s="308">
        <f>IFERROR(__xludf.DUMMYFUNCTION("""COMPUTED_VALUE"""),6.0)</f>
        <v>6</v>
      </c>
      <c r="L6687" s="308">
        <f>IFERROR(__xludf.DUMMYFUNCTION("""COMPUTED_VALUE"""),2020.0)</f>
        <v>2020</v>
      </c>
      <c r="M6687" s="308" t="s">
        <v>27023</v>
      </c>
      <c r="N6687" s="308" t="s">
        <v>439</v>
      </c>
      <c r="O6687" s="308"/>
      <c r="P6687" s="308" t="s">
        <v>39296</v>
      </c>
      <c r="Q6687" s="308" t="s">
        <v>39293</v>
      </c>
      <c r="R6687" s="308" t="s">
        <v>26929</v>
      </c>
      <c r="S6687" s="308" t="s">
        <v>81</v>
      </c>
      <c r="T6687" s="308" t="s">
        <v>73</v>
      </c>
      <c r="U6687" s="308" t="s">
        <v>27</v>
      </c>
      <c r="V6687" s="308"/>
    </row>
    <row r="6688">
      <c r="A6688" s="308">
        <v>6687.0</v>
      </c>
      <c r="B6688" s="308"/>
      <c r="C6688" s="308" t="s">
        <v>27025</v>
      </c>
      <c r="D6688" s="308">
        <f>IFERROR(__xludf.DUMMYFUNCTION("SPLIT(C6688,""-"")"),6708.0)</f>
        <v>6708</v>
      </c>
      <c r="E6688" s="308" t="str">
        <f>IFERROR(__xludf.DUMMYFUNCTION("""COMPUTED_VALUE"""),"B")</f>
        <v>B</v>
      </c>
      <c r="F6688" s="315" t="s">
        <v>26</v>
      </c>
      <c r="G6688" s="308"/>
      <c r="H6688" s="308" t="s">
        <v>27026</v>
      </c>
      <c r="I6688" s="310">
        <v>43995.0</v>
      </c>
      <c r="J6688" s="319">
        <f>IFERROR(__xludf.DUMMYFUNCTION("SPLIT(I6688,""/"")"),13.0)</f>
        <v>13</v>
      </c>
      <c r="K6688" s="308">
        <f>IFERROR(__xludf.DUMMYFUNCTION("""COMPUTED_VALUE"""),6.0)</f>
        <v>6</v>
      </c>
      <c r="L6688" s="308">
        <f>IFERROR(__xludf.DUMMYFUNCTION("""COMPUTED_VALUE"""),2020.0)</f>
        <v>2020</v>
      </c>
      <c r="M6688" s="308" t="s">
        <v>27023</v>
      </c>
      <c r="N6688" s="308" t="s">
        <v>439</v>
      </c>
      <c r="O6688" s="308"/>
      <c r="P6688" s="308" t="s">
        <v>39297</v>
      </c>
      <c r="Q6688" s="308" t="s">
        <v>39293</v>
      </c>
      <c r="R6688" s="308" t="s">
        <v>26929</v>
      </c>
      <c r="S6688" s="308" t="s">
        <v>81</v>
      </c>
      <c r="T6688" s="315" t="s">
        <v>96</v>
      </c>
      <c r="U6688" s="308" t="s">
        <v>27</v>
      </c>
      <c r="V6688" s="308"/>
    </row>
    <row r="6689">
      <c r="A6689" s="308">
        <v>6688.0</v>
      </c>
      <c r="B6689" s="308"/>
      <c r="C6689" s="308" t="s">
        <v>27028</v>
      </c>
      <c r="D6689" s="308">
        <f>IFERROR(__xludf.DUMMYFUNCTION("SPLIT(C6689,""-"")"),6709.0)</f>
        <v>6709</v>
      </c>
      <c r="E6689" s="308" t="str">
        <f>IFERROR(__xludf.DUMMYFUNCTION("""COMPUTED_VALUE"""),"S")</f>
        <v>S</v>
      </c>
      <c r="F6689" s="312" t="s">
        <v>39</v>
      </c>
      <c r="G6689" s="308"/>
      <c r="H6689" s="308" t="s">
        <v>27029</v>
      </c>
      <c r="I6689" s="310">
        <v>42835.0</v>
      </c>
      <c r="J6689" s="319">
        <f>IFERROR(__xludf.DUMMYFUNCTION("SPLIT(I6689,""/"")"),10.0)</f>
        <v>10</v>
      </c>
      <c r="K6689" s="308">
        <f>IFERROR(__xludf.DUMMYFUNCTION("""COMPUTED_VALUE"""),4.0)</f>
        <v>4</v>
      </c>
      <c r="L6689" s="308">
        <f>IFERROR(__xludf.DUMMYFUNCTION("""COMPUTED_VALUE"""),2017.0)</f>
        <v>2017</v>
      </c>
      <c r="M6689" s="308" t="s">
        <v>27030</v>
      </c>
      <c r="N6689" s="308" t="s">
        <v>27031</v>
      </c>
      <c r="O6689" s="308"/>
      <c r="P6689" s="308" t="s">
        <v>136</v>
      </c>
      <c r="Q6689" s="308" t="s">
        <v>39298</v>
      </c>
      <c r="R6689" s="308" t="s">
        <v>2743</v>
      </c>
      <c r="S6689" s="315" t="s">
        <v>100</v>
      </c>
      <c r="T6689" s="308" t="s">
        <v>34208</v>
      </c>
      <c r="U6689" s="308" t="s">
        <v>166</v>
      </c>
      <c r="V6689" s="308"/>
    </row>
    <row r="6690">
      <c r="A6690" s="308">
        <v>6689.0</v>
      </c>
      <c r="B6690" s="308"/>
      <c r="C6690" s="308" t="s">
        <v>27032</v>
      </c>
      <c r="D6690" s="308">
        <f>IFERROR(__xludf.DUMMYFUNCTION("SPLIT(C6690,""-"")"),6710.0)</f>
        <v>6710</v>
      </c>
      <c r="E6690" s="308" t="str">
        <f>IFERROR(__xludf.DUMMYFUNCTION("""COMPUTED_VALUE"""),"K")</f>
        <v>K</v>
      </c>
      <c r="F6690" s="309" t="s">
        <v>34</v>
      </c>
      <c r="G6690" s="308"/>
      <c r="H6690" s="308" t="s">
        <v>27033</v>
      </c>
      <c r="I6690" s="310">
        <v>43927.0</v>
      </c>
      <c r="J6690" s="319">
        <f>IFERROR(__xludf.DUMMYFUNCTION("SPLIT(I6690,""/"")"),6.0)</f>
        <v>6</v>
      </c>
      <c r="K6690" s="308">
        <f>IFERROR(__xludf.DUMMYFUNCTION("""COMPUTED_VALUE"""),4.0)</f>
        <v>4</v>
      </c>
      <c r="L6690" s="308">
        <f>IFERROR(__xludf.DUMMYFUNCTION("""COMPUTED_VALUE"""),2020.0)</f>
        <v>2020</v>
      </c>
      <c r="M6690" s="308" t="s">
        <v>27034</v>
      </c>
      <c r="N6690" s="308" t="s">
        <v>27035</v>
      </c>
      <c r="O6690" s="308"/>
      <c r="P6690" s="308" t="s">
        <v>39299</v>
      </c>
      <c r="Q6690" s="308" t="s">
        <v>39298</v>
      </c>
      <c r="R6690" s="308" t="s">
        <v>2743</v>
      </c>
      <c r="S6690" s="308" t="s">
        <v>81</v>
      </c>
      <c r="T6690" s="308" t="s">
        <v>75</v>
      </c>
      <c r="U6690" s="308" t="s">
        <v>125</v>
      </c>
      <c r="V6690" s="308"/>
    </row>
    <row r="6691">
      <c r="A6691" s="308">
        <v>6690.0</v>
      </c>
      <c r="B6691" s="308"/>
      <c r="C6691" s="308" t="s">
        <v>27037</v>
      </c>
      <c r="D6691" s="308">
        <f>IFERROR(__xludf.DUMMYFUNCTION("SPLIT(C6691,""-"")"),6711.0)</f>
        <v>6711</v>
      </c>
      <c r="E6691" s="308" t="str">
        <f>IFERROR(__xludf.DUMMYFUNCTION("""COMPUTED_VALUE"""),"S")</f>
        <v>S</v>
      </c>
      <c r="F6691" s="312" t="s">
        <v>39</v>
      </c>
      <c r="G6691" s="308"/>
      <c r="H6691" s="308" t="s">
        <v>27038</v>
      </c>
      <c r="I6691" s="310">
        <v>42484.0</v>
      </c>
      <c r="J6691" s="319">
        <f>IFERROR(__xludf.DUMMYFUNCTION("SPLIT(I6691,""/"")"),24.0)</f>
        <v>24</v>
      </c>
      <c r="K6691" s="308">
        <f>IFERROR(__xludf.DUMMYFUNCTION("""COMPUTED_VALUE"""),4.0)</f>
        <v>4</v>
      </c>
      <c r="L6691" s="308">
        <f>IFERROR(__xludf.DUMMYFUNCTION("""COMPUTED_VALUE"""),2016.0)</f>
        <v>2016</v>
      </c>
      <c r="M6691" s="308" t="s">
        <v>27039</v>
      </c>
      <c r="N6691" s="308" t="s">
        <v>27040</v>
      </c>
      <c r="O6691" s="308"/>
      <c r="P6691" s="308" t="s">
        <v>39300</v>
      </c>
      <c r="Q6691" s="308" t="s">
        <v>39301</v>
      </c>
      <c r="R6691" s="308" t="s">
        <v>2743</v>
      </c>
      <c r="S6691" s="308" t="s">
        <v>81</v>
      </c>
      <c r="T6691" s="308" t="s">
        <v>75</v>
      </c>
      <c r="U6691" s="308" t="s">
        <v>166</v>
      </c>
      <c r="V6691" s="308"/>
    </row>
    <row r="6692">
      <c r="A6692" s="308">
        <v>6691.0</v>
      </c>
      <c r="B6692" s="308"/>
      <c r="C6692" s="308" t="s">
        <v>27042</v>
      </c>
      <c r="D6692" s="308">
        <f>IFERROR(__xludf.DUMMYFUNCTION("SPLIT(C6692,""-"")"),6712.0)</f>
        <v>6712</v>
      </c>
      <c r="E6692" s="308" t="str">
        <f>IFERROR(__xludf.DUMMYFUNCTION("""COMPUTED_VALUE"""),"K")</f>
        <v>K</v>
      </c>
      <c r="F6692" s="309" t="s">
        <v>34</v>
      </c>
      <c r="G6692" s="308"/>
      <c r="H6692" s="308" t="s">
        <v>27043</v>
      </c>
      <c r="I6692" s="310">
        <v>42474.0</v>
      </c>
      <c r="J6692" s="319">
        <f>IFERROR(__xludf.DUMMYFUNCTION("SPLIT(I6692,""/"")"),14.0)</f>
        <v>14</v>
      </c>
      <c r="K6692" s="308">
        <f>IFERROR(__xludf.DUMMYFUNCTION("""COMPUTED_VALUE"""),4.0)</f>
        <v>4</v>
      </c>
      <c r="L6692" s="308">
        <f>IFERROR(__xludf.DUMMYFUNCTION("""COMPUTED_VALUE"""),2016.0)</f>
        <v>2016</v>
      </c>
      <c r="M6692" s="308" t="s">
        <v>27044</v>
      </c>
      <c r="N6692" s="308" t="s">
        <v>27045</v>
      </c>
      <c r="O6692" s="308"/>
      <c r="P6692" s="308" t="s">
        <v>136</v>
      </c>
      <c r="Q6692" s="308" t="s">
        <v>39301</v>
      </c>
      <c r="R6692" s="308" t="s">
        <v>2743</v>
      </c>
      <c r="S6692" s="315" t="s">
        <v>100</v>
      </c>
      <c r="T6692" s="308" t="s">
        <v>34208</v>
      </c>
      <c r="U6692" s="308" t="s">
        <v>125</v>
      </c>
      <c r="V6692" s="308"/>
    </row>
    <row r="6693">
      <c r="A6693" s="308">
        <v>6692.0</v>
      </c>
      <c r="B6693" s="308"/>
      <c r="C6693" s="308" t="s">
        <v>27046</v>
      </c>
      <c r="D6693" s="308">
        <f>IFERROR(__xludf.DUMMYFUNCTION("SPLIT(C6693,""-"")"),6713.0)</f>
        <v>6713</v>
      </c>
      <c r="E6693" s="308" t="str">
        <f>IFERROR(__xludf.DUMMYFUNCTION("""COMPUTED_VALUE"""),"S")</f>
        <v>S</v>
      </c>
      <c r="F6693" s="312" t="s">
        <v>39</v>
      </c>
      <c r="G6693" s="308"/>
      <c r="H6693" s="308" t="s">
        <v>27047</v>
      </c>
      <c r="I6693" s="310">
        <v>44023.0</v>
      </c>
      <c r="J6693" s="319">
        <f>IFERROR(__xludf.DUMMYFUNCTION("SPLIT(I6693,""/"")"),11.0)</f>
        <v>11</v>
      </c>
      <c r="K6693" s="308">
        <f>IFERROR(__xludf.DUMMYFUNCTION("""COMPUTED_VALUE"""),7.0)</f>
        <v>7</v>
      </c>
      <c r="L6693" s="308">
        <f>IFERROR(__xludf.DUMMYFUNCTION("""COMPUTED_VALUE"""),2020.0)</f>
        <v>2020</v>
      </c>
      <c r="M6693" s="308" t="s">
        <v>27048</v>
      </c>
      <c r="N6693" s="308" t="s">
        <v>27049</v>
      </c>
      <c r="O6693" s="308"/>
      <c r="P6693" s="308" t="s">
        <v>27050</v>
      </c>
      <c r="Q6693" s="308" t="s">
        <v>39302</v>
      </c>
      <c r="R6693" s="308" t="s">
        <v>2743</v>
      </c>
      <c r="S6693" s="308" t="s">
        <v>81</v>
      </c>
      <c r="T6693" s="308" t="s">
        <v>75</v>
      </c>
      <c r="U6693" s="308" t="s">
        <v>166</v>
      </c>
      <c r="V6693" s="308"/>
    </row>
    <row r="6694">
      <c r="A6694" s="308">
        <v>6693.0</v>
      </c>
      <c r="B6694" s="308"/>
      <c r="C6694" s="308" t="s">
        <v>27051</v>
      </c>
      <c r="D6694" s="308">
        <f>IFERROR(__xludf.DUMMYFUNCTION("SPLIT(C6694,""-"")"),6714.0)</f>
        <v>6714</v>
      </c>
      <c r="E6694" s="308" t="str">
        <f>IFERROR(__xludf.DUMMYFUNCTION("""COMPUTED_VALUE"""),"K")</f>
        <v>K</v>
      </c>
      <c r="F6694" s="309" t="s">
        <v>34</v>
      </c>
      <c r="G6694" s="308"/>
      <c r="H6694" s="308" t="s">
        <v>27052</v>
      </c>
      <c r="I6694" s="310">
        <v>43664.0</v>
      </c>
      <c r="J6694" s="319">
        <f>IFERROR(__xludf.DUMMYFUNCTION("SPLIT(I6694,""/"")"),18.0)</f>
        <v>18</v>
      </c>
      <c r="K6694" s="308">
        <f>IFERROR(__xludf.DUMMYFUNCTION("""COMPUTED_VALUE"""),7.0)</f>
        <v>7</v>
      </c>
      <c r="L6694" s="308">
        <f>IFERROR(__xludf.DUMMYFUNCTION("""COMPUTED_VALUE"""),2019.0)</f>
        <v>2019</v>
      </c>
      <c r="M6694" s="308" t="s">
        <v>27053</v>
      </c>
      <c r="N6694" s="308" t="s">
        <v>27054</v>
      </c>
      <c r="O6694" s="308"/>
      <c r="P6694" s="308" t="s">
        <v>39303</v>
      </c>
      <c r="Q6694" s="308" t="s">
        <v>39302</v>
      </c>
      <c r="R6694" s="308" t="s">
        <v>2743</v>
      </c>
      <c r="S6694" s="308" t="s">
        <v>49</v>
      </c>
      <c r="T6694" s="308" t="s">
        <v>51</v>
      </c>
      <c r="U6694" s="308" t="s">
        <v>125</v>
      </c>
      <c r="V6694" s="308"/>
    </row>
    <row r="6695">
      <c r="A6695" s="308">
        <v>6694.0</v>
      </c>
      <c r="B6695" s="308"/>
      <c r="C6695" s="308" t="s">
        <v>27056</v>
      </c>
      <c r="D6695" s="308">
        <f>IFERROR(__xludf.DUMMYFUNCTION("SPLIT(C6695,""-"")"),6715.0)</f>
        <v>6715</v>
      </c>
      <c r="E6695" s="308" t="str">
        <f>IFERROR(__xludf.DUMMYFUNCTION("""COMPUTED_VALUE"""),"K")</f>
        <v>K</v>
      </c>
      <c r="F6695" s="309" t="s">
        <v>34</v>
      </c>
      <c r="G6695" s="308"/>
      <c r="H6695" s="308" t="s">
        <v>27057</v>
      </c>
      <c r="I6695" s="310">
        <v>41378.0</v>
      </c>
      <c r="J6695" s="319">
        <f>IFERROR(__xludf.DUMMYFUNCTION("SPLIT(I6695,""/"")"),14.0)</f>
        <v>14</v>
      </c>
      <c r="K6695" s="308">
        <f>IFERROR(__xludf.DUMMYFUNCTION("""COMPUTED_VALUE"""),4.0)</f>
        <v>4</v>
      </c>
      <c r="L6695" s="308">
        <f>IFERROR(__xludf.DUMMYFUNCTION("""COMPUTED_VALUE"""),2013.0)</f>
        <v>2013</v>
      </c>
      <c r="M6695" s="308" t="s">
        <v>27058</v>
      </c>
      <c r="N6695" s="312" t="s">
        <v>27059</v>
      </c>
      <c r="O6695" s="308"/>
      <c r="P6695" s="308" t="s">
        <v>39304</v>
      </c>
      <c r="Q6695" s="308" t="s">
        <v>39302</v>
      </c>
      <c r="R6695" s="308" t="s">
        <v>2743</v>
      </c>
      <c r="S6695" s="308" t="s">
        <v>81</v>
      </c>
      <c r="T6695" s="308" t="s">
        <v>34264</v>
      </c>
      <c r="U6695" s="308" t="s">
        <v>125</v>
      </c>
      <c r="V6695" s="308"/>
    </row>
    <row r="6696">
      <c r="A6696" s="308">
        <v>6695.0</v>
      </c>
      <c r="B6696" s="308"/>
      <c r="C6696" s="308" t="s">
        <v>27061</v>
      </c>
      <c r="D6696" s="308">
        <f>IFERROR(__xludf.DUMMYFUNCTION("SPLIT(C6696,""-"")"),6716.0)</f>
        <v>6716</v>
      </c>
      <c r="E6696" s="308" t="str">
        <f>IFERROR(__xludf.DUMMYFUNCTION("""COMPUTED_VALUE"""),"P")</f>
        <v>P</v>
      </c>
      <c r="F6696" s="312" t="s">
        <v>37</v>
      </c>
      <c r="G6696" s="308"/>
      <c r="H6696" s="308" t="s">
        <v>27062</v>
      </c>
      <c r="I6696" s="310">
        <v>41406.0</v>
      </c>
      <c r="J6696" s="319">
        <f>IFERROR(__xludf.DUMMYFUNCTION("SPLIT(I6696,""/"")"),12.0)</f>
        <v>12</v>
      </c>
      <c r="K6696" s="308">
        <f>IFERROR(__xludf.DUMMYFUNCTION("""COMPUTED_VALUE"""),5.0)</f>
        <v>5</v>
      </c>
      <c r="L6696" s="308">
        <f>IFERROR(__xludf.DUMMYFUNCTION("""COMPUTED_VALUE"""),2013.0)</f>
        <v>2013</v>
      </c>
      <c r="M6696" s="308" t="s">
        <v>27063</v>
      </c>
      <c r="N6696" s="308" t="s">
        <v>27064</v>
      </c>
      <c r="O6696" s="308"/>
      <c r="P6696" s="308" t="s">
        <v>136</v>
      </c>
      <c r="Q6696" s="308" t="s">
        <v>39305</v>
      </c>
      <c r="R6696" s="308" t="s">
        <v>2743</v>
      </c>
      <c r="S6696" s="315" t="s">
        <v>100</v>
      </c>
      <c r="T6696" s="308" t="s">
        <v>34208</v>
      </c>
      <c r="U6696" s="308" t="s">
        <v>125</v>
      </c>
      <c r="V6696" s="308"/>
    </row>
    <row r="6697">
      <c r="A6697" s="308">
        <v>6696.0</v>
      </c>
      <c r="B6697" s="308"/>
      <c r="C6697" s="308" t="s">
        <v>27065</v>
      </c>
      <c r="D6697" s="308">
        <f>IFERROR(__xludf.DUMMYFUNCTION("SPLIT(C6697,""-"")"),6717.0)</f>
        <v>6717</v>
      </c>
      <c r="E6697" s="308" t="str">
        <f>IFERROR(__xludf.DUMMYFUNCTION("""COMPUTED_VALUE"""),"P")</f>
        <v>P</v>
      </c>
      <c r="F6697" s="312" t="s">
        <v>37</v>
      </c>
      <c r="G6697" s="308"/>
      <c r="H6697" s="308" t="s">
        <v>27066</v>
      </c>
      <c r="I6697" s="310">
        <v>43991.0</v>
      </c>
      <c r="J6697" s="319">
        <f>IFERROR(__xludf.DUMMYFUNCTION("SPLIT(I6697,""/"")"),9.0)</f>
        <v>9</v>
      </c>
      <c r="K6697" s="308">
        <f>IFERROR(__xludf.DUMMYFUNCTION("""COMPUTED_VALUE"""),6.0)</f>
        <v>6</v>
      </c>
      <c r="L6697" s="308">
        <f>IFERROR(__xludf.DUMMYFUNCTION("""COMPUTED_VALUE"""),2020.0)</f>
        <v>2020</v>
      </c>
      <c r="M6697" s="308" t="s">
        <v>27067</v>
      </c>
      <c r="N6697" s="308" t="s">
        <v>27068</v>
      </c>
      <c r="O6697" s="308"/>
      <c r="P6697" s="308" t="s">
        <v>39306</v>
      </c>
      <c r="Q6697" s="308" t="s">
        <v>39305</v>
      </c>
      <c r="R6697" s="308" t="s">
        <v>2743</v>
      </c>
      <c r="S6697" s="308" t="s">
        <v>81</v>
      </c>
      <c r="T6697" s="311" t="s">
        <v>35043</v>
      </c>
      <c r="U6697" s="308" t="s">
        <v>19781</v>
      </c>
      <c r="V6697" s="308"/>
    </row>
    <row r="6698">
      <c r="A6698" s="308">
        <v>6697.0</v>
      </c>
      <c r="B6698" s="308"/>
      <c r="C6698" s="308" t="s">
        <v>27070</v>
      </c>
      <c r="D6698" s="308">
        <f>IFERROR(__xludf.DUMMYFUNCTION("SPLIT(C6698,""-"")"),6718.0)</f>
        <v>6718</v>
      </c>
      <c r="E6698" s="308" t="str">
        <f>IFERROR(__xludf.DUMMYFUNCTION("""COMPUTED_VALUE"""),"S")</f>
        <v>S</v>
      </c>
      <c r="F6698" s="312" t="s">
        <v>39</v>
      </c>
      <c r="G6698" s="308"/>
      <c r="H6698" s="308" t="s">
        <v>27071</v>
      </c>
      <c r="I6698" s="310">
        <v>44006.0</v>
      </c>
      <c r="J6698" s="319">
        <f>IFERROR(__xludf.DUMMYFUNCTION("SPLIT(I6698,""/"")"),24.0)</f>
        <v>24</v>
      </c>
      <c r="K6698" s="308">
        <f>IFERROR(__xludf.DUMMYFUNCTION("""COMPUTED_VALUE"""),6.0)</f>
        <v>6</v>
      </c>
      <c r="L6698" s="308">
        <f>IFERROR(__xludf.DUMMYFUNCTION("""COMPUTED_VALUE"""),2020.0)</f>
        <v>2020</v>
      </c>
      <c r="M6698" s="308" t="s">
        <v>27072</v>
      </c>
      <c r="N6698" s="308" t="s">
        <v>27073</v>
      </c>
      <c r="O6698" s="308"/>
      <c r="P6698" s="308" t="s">
        <v>39307</v>
      </c>
      <c r="Q6698" s="308" t="s">
        <v>39305</v>
      </c>
      <c r="R6698" s="308" t="s">
        <v>19825</v>
      </c>
      <c r="S6698" s="308" t="s">
        <v>81</v>
      </c>
      <c r="T6698" s="308" t="s">
        <v>75</v>
      </c>
      <c r="U6698" s="308" t="s">
        <v>166</v>
      </c>
      <c r="V6698" s="308"/>
    </row>
    <row r="6699">
      <c r="A6699" s="308">
        <v>6698.0</v>
      </c>
      <c r="B6699" s="308"/>
      <c r="C6699" s="308" t="s">
        <v>27075</v>
      </c>
      <c r="D6699" s="308">
        <f>IFERROR(__xludf.DUMMYFUNCTION("SPLIT(C6699,""-"")"),6719.0)</f>
        <v>6719</v>
      </c>
      <c r="E6699" s="308" t="str">
        <f>IFERROR(__xludf.DUMMYFUNCTION("""COMPUTED_VALUE"""),"B")</f>
        <v>B</v>
      </c>
      <c r="F6699" s="315" t="s">
        <v>26</v>
      </c>
      <c r="G6699" s="308"/>
      <c r="H6699" s="308" t="s">
        <v>27076</v>
      </c>
      <c r="I6699" s="310">
        <v>44002.0</v>
      </c>
      <c r="J6699" s="319">
        <f>IFERROR(__xludf.DUMMYFUNCTION("SPLIT(I6699,""/"")"),20.0)</f>
        <v>20</v>
      </c>
      <c r="K6699" s="308">
        <f>IFERROR(__xludf.DUMMYFUNCTION("""COMPUTED_VALUE"""),6.0)</f>
        <v>6</v>
      </c>
      <c r="L6699" s="308">
        <f>IFERROR(__xludf.DUMMYFUNCTION("""COMPUTED_VALUE"""),2020.0)</f>
        <v>2020</v>
      </c>
      <c r="M6699" s="308" t="s">
        <v>27077</v>
      </c>
      <c r="N6699" s="308" t="s">
        <v>27078</v>
      </c>
      <c r="O6699" s="308"/>
      <c r="P6699" s="308" t="s">
        <v>39308</v>
      </c>
      <c r="Q6699" s="308" t="s">
        <v>39305</v>
      </c>
      <c r="R6699" s="308" t="s">
        <v>19825</v>
      </c>
      <c r="S6699" s="308" t="s">
        <v>49</v>
      </c>
      <c r="T6699" s="308" t="s">
        <v>51</v>
      </c>
      <c r="U6699" s="308" t="s">
        <v>27</v>
      </c>
      <c r="V6699" s="308"/>
    </row>
    <row r="6700">
      <c r="A6700" s="308">
        <v>6699.0</v>
      </c>
      <c r="B6700" s="308"/>
      <c r="C6700" s="308" t="s">
        <v>27080</v>
      </c>
      <c r="D6700" s="308">
        <f>IFERROR(__xludf.DUMMYFUNCTION("SPLIT(C6700,""-"")"),6720.0)</f>
        <v>6720</v>
      </c>
      <c r="E6700" s="308" t="str">
        <f>IFERROR(__xludf.DUMMYFUNCTION("""COMPUTED_VALUE"""),"K")</f>
        <v>K</v>
      </c>
      <c r="F6700" s="309" t="s">
        <v>34</v>
      </c>
      <c r="G6700" s="308"/>
      <c r="H6700" s="308" t="s">
        <v>27081</v>
      </c>
      <c r="I6700" s="314">
        <v>43451.0</v>
      </c>
      <c r="J6700" s="319">
        <f>IFERROR(__xludf.DUMMYFUNCTION("SPLIT(I6700,""/"")"),17.0)</f>
        <v>17</v>
      </c>
      <c r="K6700" s="308">
        <f>IFERROR(__xludf.DUMMYFUNCTION("""COMPUTED_VALUE"""),12.0)</f>
        <v>12</v>
      </c>
      <c r="L6700" s="308">
        <f>IFERROR(__xludf.DUMMYFUNCTION("""COMPUTED_VALUE"""),2018.0)</f>
        <v>2018</v>
      </c>
      <c r="M6700" s="308" t="s">
        <v>27082</v>
      </c>
      <c r="N6700" s="308" t="s">
        <v>439</v>
      </c>
      <c r="O6700" s="308"/>
      <c r="P6700" s="308" t="s">
        <v>39309</v>
      </c>
      <c r="Q6700" s="308" t="s">
        <v>39305</v>
      </c>
      <c r="R6700" s="308" t="s">
        <v>19825</v>
      </c>
      <c r="S6700" s="308" t="s">
        <v>81</v>
      </c>
      <c r="T6700" s="311" t="s">
        <v>90</v>
      </c>
      <c r="U6700" s="308" t="s">
        <v>18616</v>
      </c>
      <c r="V6700" s="308"/>
    </row>
    <row r="6701">
      <c r="A6701" s="308">
        <v>6700.0</v>
      </c>
      <c r="B6701" s="308"/>
      <c r="C6701" s="308" t="s">
        <v>27084</v>
      </c>
      <c r="D6701" s="308">
        <f>IFERROR(__xludf.DUMMYFUNCTION("SPLIT(C6701,""-"")"),6721.0)</f>
        <v>6721</v>
      </c>
      <c r="E6701" s="308" t="str">
        <f>IFERROR(__xludf.DUMMYFUNCTION("""COMPUTED_VALUE"""),"S")</f>
        <v>S</v>
      </c>
      <c r="F6701" s="312" t="s">
        <v>39</v>
      </c>
      <c r="G6701" s="308"/>
      <c r="H6701" s="308" t="s">
        <v>27085</v>
      </c>
      <c r="I6701" s="310">
        <v>44004.0</v>
      </c>
      <c r="J6701" s="319">
        <f>IFERROR(__xludf.DUMMYFUNCTION("SPLIT(I6701,""/"")"),22.0)</f>
        <v>22</v>
      </c>
      <c r="K6701" s="308">
        <f>IFERROR(__xludf.DUMMYFUNCTION("""COMPUTED_VALUE"""),6.0)</f>
        <v>6</v>
      </c>
      <c r="L6701" s="308">
        <f>IFERROR(__xludf.DUMMYFUNCTION("""COMPUTED_VALUE"""),2020.0)</f>
        <v>2020</v>
      </c>
      <c r="M6701" s="308" t="s">
        <v>27086</v>
      </c>
      <c r="N6701" s="308" t="s">
        <v>27087</v>
      </c>
      <c r="O6701" s="308"/>
      <c r="P6701" s="308" t="s">
        <v>39310</v>
      </c>
      <c r="Q6701" s="308" t="s">
        <v>39305</v>
      </c>
      <c r="R6701" s="308" t="s">
        <v>27089</v>
      </c>
      <c r="S6701" s="308" t="s">
        <v>81</v>
      </c>
      <c r="T6701" s="308" t="s">
        <v>75</v>
      </c>
      <c r="U6701" s="312" t="s">
        <v>166</v>
      </c>
      <c r="V6701" s="308"/>
    </row>
    <row r="6702">
      <c r="A6702" s="308">
        <v>6701.0</v>
      </c>
      <c r="B6702" s="308"/>
      <c r="C6702" s="308" t="s">
        <v>27090</v>
      </c>
      <c r="D6702" s="308">
        <f>IFERROR(__xludf.DUMMYFUNCTION("SPLIT(C6702,""-"")"),6722.0)</f>
        <v>6722</v>
      </c>
      <c r="E6702" s="308" t="str">
        <f>IFERROR(__xludf.DUMMYFUNCTION("""COMPUTED_VALUE"""),"F")</f>
        <v>F</v>
      </c>
      <c r="F6702" s="309" t="s">
        <v>34</v>
      </c>
      <c r="G6702" s="308"/>
      <c r="H6702" s="308" t="s">
        <v>27091</v>
      </c>
      <c r="I6702" s="310">
        <v>43961.0</v>
      </c>
      <c r="J6702" s="319">
        <f>IFERROR(__xludf.DUMMYFUNCTION("SPLIT(I6702,""/"")"),10.0)</f>
        <v>10</v>
      </c>
      <c r="K6702" s="308">
        <f>IFERROR(__xludf.DUMMYFUNCTION("""COMPUTED_VALUE"""),5.0)</f>
        <v>5</v>
      </c>
      <c r="L6702" s="308">
        <f>IFERROR(__xludf.DUMMYFUNCTION("""COMPUTED_VALUE"""),2020.0)</f>
        <v>2020</v>
      </c>
      <c r="M6702" s="308" t="s">
        <v>27092</v>
      </c>
      <c r="N6702" s="308" t="s">
        <v>27093</v>
      </c>
      <c r="O6702" s="308"/>
      <c r="P6702" s="308" t="s">
        <v>39311</v>
      </c>
      <c r="Q6702" s="308" t="s">
        <v>39312</v>
      </c>
      <c r="R6702" s="308" t="s">
        <v>26929</v>
      </c>
      <c r="S6702" s="308" t="s">
        <v>81</v>
      </c>
      <c r="T6702" s="311" t="s">
        <v>96</v>
      </c>
      <c r="U6702" s="308" t="s">
        <v>27095</v>
      </c>
      <c r="V6702" s="308"/>
    </row>
    <row r="6703">
      <c r="A6703" s="308">
        <v>6702.0</v>
      </c>
      <c r="B6703" s="308"/>
      <c r="C6703" s="308" t="s">
        <v>27096</v>
      </c>
      <c r="D6703" s="308">
        <f>IFERROR(__xludf.DUMMYFUNCTION("SPLIT(C6703,""-"")"),6723.0)</f>
        <v>6723</v>
      </c>
      <c r="E6703" s="308" t="str">
        <f>IFERROR(__xludf.DUMMYFUNCTION("""COMPUTED_VALUE"""),"K")</f>
        <v>K</v>
      </c>
      <c r="F6703" s="309" t="s">
        <v>34</v>
      </c>
      <c r="G6703" s="308"/>
      <c r="H6703" s="308" t="s">
        <v>27097</v>
      </c>
      <c r="I6703" s="310">
        <v>43586.0</v>
      </c>
      <c r="J6703" s="319">
        <f>IFERROR(__xludf.DUMMYFUNCTION("SPLIT(I6703,""/"")"),1.0)</f>
        <v>1</v>
      </c>
      <c r="K6703" s="308">
        <f>IFERROR(__xludf.DUMMYFUNCTION("""COMPUTED_VALUE"""),5.0)</f>
        <v>5</v>
      </c>
      <c r="L6703" s="308">
        <f>IFERROR(__xludf.DUMMYFUNCTION("""COMPUTED_VALUE"""),2019.0)</f>
        <v>2019</v>
      </c>
      <c r="M6703" s="308" t="s">
        <v>27098</v>
      </c>
      <c r="N6703" s="308" t="s">
        <v>439</v>
      </c>
      <c r="O6703" s="308"/>
      <c r="P6703" s="308" t="s">
        <v>136</v>
      </c>
      <c r="Q6703" s="308" t="s">
        <v>39312</v>
      </c>
      <c r="R6703" s="308" t="s">
        <v>2743</v>
      </c>
      <c r="S6703" s="315" t="s">
        <v>100</v>
      </c>
      <c r="T6703" s="308" t="s">
        <v>34208</v>
      </c>
      <c r="U6703" s="308" t="s">
        <v>125</v>
      </c>
      <c r="V6703" s="308"/>
    </row>
    <row r="6704">
      <c r="A6704" s="308">
        <v>6703.0</v>
      </c>
      <c r="B6704" s="308"/>
      <c r="C6704" s="308" t="s">
        <v>27099</v>
      </c>
      <c r="D6704" s="308">
        <f>IFERROR(__xludf.DUMMYFUNCTION("SPLIT(C6704,""-"")"),6724.0)</f>
        <v>6724</v>
      </c>
      <c r="E6704" s="308" t="str">
        <f>IFERROR(__xludf.DUMMYFUNCTION("""COMPUTED_VALUE"""),"S")</f>
        <v>S</v>
      </c>
      <c r="F6704" s="312" t="s">
        <v>39</v>
      </c>
      <c r="G6704" s="308"/>
      <c r="H6704" s="308" t="s">
        <v>27100</v>
      </c>
      <c r="I6704" s="310">
        <v>43845.0</v>
      </c>
      <c r="J6704" s="319">
        <f>IFERROR(__xludf.DUMMYFUNCTION("SPLIT(I6704,""/"")"),15.0)</f>
        <v>15</v>
      </c>
      <c r="K6704" s="308">
        <f>IFERROR(__xludf.DUMMYFUNCTION("""COMPUTED_VALUE"""),1.0)</f>
        <v>1</v>
      </c>
      <c r="L6704" s="308">
        <f>IFERROR(__xludf.DUMMYFUNCTION("""COMPUTED_VALUE"""),2020.0)</f>
        <v>2020</v>
      </c>
      <c r="M6704" s="308" t="s">
        <v>27101</v>
      </c>
      <c r="N6704" s="308" t="s">
        <v>439</v>
      </c>
      <c r="O6704" s="308"/>
      <c r="P6704" s="308"/>
      <c r="Q6704" s="308" t="s">
        <v>39312</v>
      </c>
      <c r="R6704" s="308" t="s">
        <v>2743</v>
      </c>
      <c r="S6704" s="308" t="s">
        <v>79</v>
      </c>
      <c r="T6704" s="308" t="s">
        <v>79</v>
      </c>
      <c r="U6704" s="308" t="s">
        <v>166</v>
      </c>
      <c r="V6704" s="308"/>
    </row>
    <row r="6705">
      <c r="A6705" s="308">
        <v>6704.0</v>
      </c>
      <c r="B6705" s="308"/>
      <c r="C6705" s="308" t="s">
        <v>27102</v>
      </c>
      <c r="D6705" s="308">
        <f>IFERROR(__xludf.DUMMYFUNCTION("SPLIT(C6705,""-"")"),6725.0)</f>
        <v>6725</v>
      </c>
      <c r="E6705" s="308" t="str">
        <f>IFERROR(__xludf.DUMMYFUNCTION("""COMPUTED_VALUE"""),"P")</f>
        <v>P</v>
      </c>
      <c r="F6705" s="312" t="s">
        <v>37</v>
      </c>
      <c r="G6705" s="308"/>
      <c r="H6705" s="308" t="s">
        <v>27103</v>
      </c>
      <c r="I6705" s="310">
        <v>44032.0</v>
      </c>
      <c r="J6705" s="319">
        <f>IFERROR(__xludf.DUMMYFUNCTION("SPLIT(I6705,""/"")"),20.0)</f>
        <v>20</v>
      </c>
      <c r="K6705" s="308">
        <f>IFERROR(__xludf.DUMMYFUNCTION("""COMPUTED_VALUE"""),7.0)</f>
        <v>7</v>
      </c>
      <c r="L6705" s="308">
        <f>IFERROR(__xludf.DUMMYFUNCTION("""COMPUTED_VALUE"""),2020.0)</f>
        <v>2020</v>
      </c>
      <c r="M6705" s="308" t="s">
        <v>27104</v>
      </c>
      <c r="N6705" s="308" t="s">
        <v>27105</v>
      </c>
      <c r="O6705" s="308" t="s">
        <v>27106</v>
      </c>
      <c r="P6705" s="308" t="s">
        <v>39313</v>
      </c>
      <c r="Q6705" s="308" t="s">
        <v>39314</v>
      </c>
      <c r="R6705" s="308" t="s">
        <v>2743</v>
      </c>
      <c r="S6705" s="308" t="s">
        <v>81</v>
      </c>
      <c r="T6705" s="311" t="s">
        <v>75</v>
      </c>
      <c r="U6705" s="308" t="s">
        <v>1435</v>
      </c>
      <c r="V6705" s="308"/>
    </row>
    <row r="6706">
      <c r="A6706" s="308">
        <v>6705.0</v>
      </c>
      <c r="B6706" s="308"/>
      <c r="C6706" s="308" t="s">
        <v>27108</v>
      </c>
      <c r="D6706" s="308">
        <f>IFERROR(__xludf.DUMMYFUNCTION("SPLIT(C6706,""-"")"),6726.0)</f>
        <v>6726</v>
      </c>
      <c r="E6706" s="308" t="str">
        <f>IFERROR(__xludf.DUMMYFUNCTION("""COMPUTED_VALUE"""),"P")</f>
        <v>P</v>
      </c>
      <c r="F6706" s="312" t="s">
        <v>37</v>
      </c>
      <c r="G6706" s="308"/>
      <c r="H6706" s="308" t="s">
        <v>27109</v>
      </c>
      <c r="I6706" s="310">
        <v>44022.0</v>
      </c>
      <c r="J6706" s="319">
        <f>IFERROR(__xludf.DUMMYFUNCTION("SPLIT(I6706,""/"")"),10.0)</f>
        <v>10</v>
      </c>
      <c r="K6706" s="308">
        <f>IFERROR(__xludf.DUMMYFUNCTION("""COMPUTED_VALUE"""),7.0)</f>
        <v>7</v>
      </c>
      <c r="L6706" s="308">
        <f>IFERROR(__xludf.DUMMYFUNCTION("""COMPUTED_VALUE"""),2020.0)</f>
        <v>2020</v>
      </c>
      <c r="M6706" s="308" t="s">
        <v>27110</v>
      </c>
      <c r="N6706" s="308" t="s">
        <v>27111</v>
      </c>
      <c r="O6706" s="308"/>
      <c r="P6706" s="308" t="s">
        <v>39315</v>
      </c>
      <c r="Q6706" s="308" t="s">
        <v>39314</v>
      </c>
      <c r="R6706" s="308" t="s">
        <v>16185</v>
      </c>
      <c r="S6706" s="308" t="s">
        <v>81</v>
      </c>
      <c r="T6706" s="308" t="s">
        <v>75</v>
      </c>
      <c r="U6706" s="308" t="s">
        <v>143</v>
      </c>
      <c r="V6706" s="308"/>
    </row>
    <row r="6707">
      <c r="A6707" s="308">
        <v>6706.0</v>
      </c>
      <c r="B6707" s="308"/>
      <c r="C6707" s="308" t="s">
        <v>27113</v>
      </c>
      <c r="D6707" s="308">
        <f>IFERROR(__xludf.DUMMYFUNCTION("SPLIT(C6707,""-"")"),6727.0)</f>
        <v>6727</v>
      </c>
      <c r="E6707" s="308" t="str">
        <f>IFERROR(__xludf.DUMMYFUNCTION("""COMPUTED_VALUE"""),"K")</f>
        <v>K</v>
      </c>
      <c r="F6707" s="309" t="s">
        <v>34</v>
      </c>
      <c r="G6707" s="308"/>
      <c r="H6707" s="308" t="s">
        <v>27114</v>
      </c>
      <c r="I6707" s="310">
        <v>42552.0</v>
      </c>
      <c r="J6707" s="319">
        <f>IFERROR(__xludf.DUMMYFUNCTION("SPLIT(I6707,""/"")"),1.0)</f>
        <v>1</v>
      </c>
      <c r="K6707" s="308">
        <f>IFERROR(__xludf.DUMMYFUNCTION("""COMPUTED_VALUE"""),7.0)</f>
        <v>7</v>
      </c>
      <c r="L6707" s="308">
        <f>IFERROR(__xludf.DUMMYFUNCTION("""COMPUTED_VALUE"""),2016.0)</f>
        <v>2016</v>
      </c>
      <c r="M6707" s="308" t="s">
        <v>27115</v>
      </c>
      <c r="N6707" s="308" t="s">
        <v>27116</v>
      </c>
      <c r="O6707" s="308"/>
      <c r="P6707" s="308" t="s">
        <v>27117</v>
      </c>
      <c r="Q6707" s="308" t="s">
        <v>39316</v>
      </c>
      <c r="R6707" s="308" t="s">
        <v>2743</v>
      </c>
      <c r="S6707" s="308" t="s">
        <v>81</v>
      </c>
      <c r="T6707" s="308" t="s">
        <v>34264</v>
      </c>
      <c r="U6707" s="308" t="s">
        <v>282</v>
      </c>
      <c r="V6707" s="308"/>
    </row>
    <row r="6708">
      <c r="A6708" s="308">
        <v>6707.0</v>
      </c>
      <c r="B6708" s="308"/>
      <c r="C6708" s="308" t="s">
        <v>27118</v>
      </c>
      <c r="D6708" s="308">
        <f>IFERROR(__xludf.DUMMYFUNCTION("SPLIT(C6708,""-"")"),6728.0)</f>
        <v>6728</v>
      </c>
      <c r="E6708" s="308" t="str">
        <f>IFERROR(__xludf.DUMMYFUNCTION("""COMPUTED_VALUE"""),"S")</f>
        <v>S</v>
      </c>
      <c r="F6708" s="312" t="s">
        <v>39</v>
      </c>
      <c r="G6708" s="308"/>
      <c r="H6708" s="308" t="s">
        <v>27119</v>
      </c>
      <c r="I6708" s="310">
        <v>40700.0</v>
      </c>
      <c r="J6708" s="319">
        <f>IFERROR(__xludf.DUMMYFUNCTION("SPLIT(I6708,""/"")"),6.0)</f>
        <v>6</v>
      </c>
      <c r="K6708" s="308">
        <f>IFERROR(__xludf.DUMMYFUNCTION("""COMPUTED_VALUE"""),6.0)</f>
        <v>6</v>
      </c>
      <c r="L6708" s="308">
        <f>IFERROR(__xludf.DUMMYFUNCTION("""COMPUTED_VALUE"""),2011.0)</f>
        <v>2011</v>
      </c>
      <c r="M6708" s="308" t="s">
        <v>27120</v>
      </c>
      <c r="N6708" s="308"/>
      <c r="O6708" s="308"/>
      <c r="P6708" s="308" t="s">
        <v>39317</v>
      </c>
      <c r="Q6708" s="308" t="s">
        <v>39318</v>
      </c>
      <c r="R6708" s="308" t="s">
        <v>2743</v>
      </c>
      <c r="S6708" s="308" t="s">
        <v>49</v>
      </c>
      <c r="T6708" s="308" t="s">
        <v>51</v>
      </c>
      <c r="U6708" s="308" t="s">
        <v>166</v>
      </c>
      <c r="V6708" s="308"/>
    </row>
    <row r="6709">
      <c r="A6709" s="308">
        <v>6708.0</v>
      </c>
      <c r="B6709" s="308"/>
      <c r="C6709" s="308" t="s">
        <v>27122</v>
      </c>
      <c r="D6709" s="308">
        <f>IFERROR(__xludf.DUMMYFUNCTION("SPLIT(C6709,""-"")"),6729.0)</f>
        <v>6729</v>
      </c>
      <c r="E6709" s="308" t="str">
        <f>IFERROR(__xludf.DUMMYFUNCTION("""COMPUTED_VALUE"""),"P")</f>
        <v>P</v>
      </c>
      <c r="F6709" s="312" t="s">
        <v>37</v>
      </c>
      <c r="G6709" s="308"/>
      <c r="H6709" s="308" t="s">
        <v>27123</v>
      </c>
      <c r="I6709" s="310">
        <v>44022.0</v>
      </c>
      <c r="J6709" s="319">
        <f>IFERROR(__xludf.DUMMYFUNCTION("SPLIT(I6709,""/"")"),10.0)</f>
        <v>10</v>
      </c>
      <c r="K6709" s="308">
        <f>IFERROR(__xludf.DUMMYFUNCTION("""COMPUTED_VALUE"""),7.0)</f>
        <v>7</v>
      </c>
      <c r="L6709" s="308">
        <f>IFERROR(__xludf.DUMMYFUNCTION("""COMPUTED_VALUE"""),2020.0)</f>
        <v>2020</v>
      </c>
      <c r="M6709" s="308" t="s">
        <v>27124</v>
      </c>
      <c r="N6709" s="308" t="s">
        <v>27125</v>
      </c>
      <c r="O6709" s="308" t="s">
        <v>27126</v>
      </c>
      <c r="P6709" s="308" t="s">
        <v>39319</v>
      </c>
      <c r="Q6709" s="308" t="s">
        <v>39320</v>
      </c>
      <c r="R6709" s="308" t="s">
        <v>2743</v>
      </c>
      <c r="S6709" s="308" t="s">
        <v>81</v>
      </c>
      <c r="T6709" s="311" t="s">
        <v>73</v>
      </c>
      <c r="U6709" s="308" t="s">
        <v>143</v>
      </c>
      <c r="V6709" s="308" t="s">
        <v>27128</v>
      </c>
    </row>
    <row r="6710">
      <c r="A6710" s="308">
        <v>6709.0</v>
      </c>
      <c r="B6710" s="308"/>
      <c r="C6710" s="308" t="s">
        <v>27129</v>
      </c>
      <c r="D6710" s="308">
        <f>IFERROR(__xludf.DUMMYFUNCTION("SPLIT(C6710,""-"")"),6730.0)</f>
        <v>6730</v>
      </c>
      <c r="E6710" s="308" t="str">
        <f>IFERROR(__xludf.DUMMYFUNCTION("""COMPUTED_VALUE"""),"K")</f>
        <v>K</v>
      </c>
      <c r="F6710" s="309" t="s">
        <v>34</v>
      </c>
      <c r="G6710" s="308"/>
      <c r="H6710" s="308" t="s">
        <v>27130</v>
      </c>
      <c r="I6710" s="310">
        <v>43740.0</v>
      </c>
      <c r="J6710" s="319">
        <f>IFERROR(__xludf.DUMMYFUNCTION("SPLIT(I6710,""/"")"),2.0)</f>
        <v>2</v>
      </c>
      <c r="K6710" s="308">
        <f>IFERROR(__xludf.DUMMYFUNCTION("""COMPUTED_VALUE"""),10.0)</f>
        <v>10</v>
      </c>
      <c r="L6710" s="308">
        <f>IFERROR(__xludf.DUMMYFUNCTION("""COMPUTED_VALUE"""),2019.0)</f>
        <v>2019</v>
      </c>
      <c r="M6710" s="308" t="s">
        <v>27131</v>
      </c>
      <c r="N6710" s="308" t="s">
        <v>27132</v>
      </c>
      <c r="O6710" s="308" t="s">
        <v>27133</v>
      </c>
      <c r="P6710" s="308" t="s">
        <v>39321</v>
      </c>
      <c r="Q6710" s="308" t="s">
        <v>39322</v>
      </c>
      <c r="R6710" s="308" t="s">
        <v>2743</v>
      </c>
      <c r="S6710" s="308" t="s">
        <v>81</v>
      </c>
      <c r="T6710" s="308" t="s">
        <v>34264</v>
      </c>
      <c r="U6710" s="308" t="s">
        <v>27095</v>
      </c>
      <c r="V6710" s="308" t="s">
        <v>27135</v>
      </c>
    </row>
    <row r="6711">
      <c r="A6711" s="308">
        <v>6710.0</v>
      </c>
      <c r="B6711" s="308"/>
      <c r="C6711" s="308" t="s">
        <v>27136</v>
      </c>
      <c r="D6711" s="308">
        <f>IFERROR(__xludf.DUMMYFUNCTION("SPLIT(C6711,""-"")"),6731.0)</f>
        <v>6731</v>
      </c>
      <c r="E6711" s="308" t="str">
        <f>IFERROR(__xludf.DUMMYFUNCTION("""COMPUTED_VALUE"""),"S")</f>
        <v>S</v>
      </c>
      <c r="F6711" s="312" t="s">
        <v>39</v>
      </c>
      <c r="G6711" s="308"/>
      <c r="H6711" s="308" t="s">
        <v>27137</v>
      </c>
      <c r="I6711" s="310">
        <v>43984.0</v>
      </c>
      <c r="J6711" s="319">
        <f>IFERROR(__xludf.DUMMYFUNCTION("SPLIT(I6711,""/"")"),2.0)</f>
        <v>2</v>
      </c>
      <c r="K6711" s="308">
        <f>IFERROR(__xludf.DUMMYFUNCTION("""COMPUTED_VALUE"""),6.0)</f>
        <v>6</v>
      </c>
      <c r="L6711" s="308">
        <f>IFERROR(__xludf.DUMMYFUNCTION("""COMPUTED_VALUE"""),2020.0)</f>
        <v>2020</v>
      </c>
      <c r="M6711" s="308" t="s">
        <v>27138</v>
      </c>
      <c r="N6711" s="308" t="s">
        <v>27139</v>
      </c>
      <c r="O6711" s="308"/>
      <c r="P6711" s="308" t="s">
        <v>39323</v>
      </c>
      <c r="Q6711" s="308" t="s">
        <v>39324</v>
      </c>
      <c r="R6711" s="308" t="s">
        <v>26929</v>
      </c>
      <c r="S6711" s="308" t="s">
        <v>49</v>
      </c>
      <c r="T6711" s="311" t="s">
        <v>67</v>
      </c>
      <c r="U6711" s="308" t="s">
        <v>166</v>
      </c>
      <c r="V6711" s="312"/>
    </row>
    <row r="6712">
      <c r="A6712" s="308">
        <v>6711.0</v>
      </c>
      <c r="B6712" s="308"/>
      <c r="C6712" s="308" t="s">
        <v>27141</v>
      </c>
      <c r="D6712" s="308">
        <f>IFERROR(__xludf.DUMMYFUNCTION("SPLIT(C6712,""-"")"),6732.0)</f>
        <v>6732</v>
      </c>
      <c r="E6712" s="308" t="str">
        <f>IFERROR(__xludf.DUMMYFUNCTION("""COMPUTED_VALUE"""),"I")</f>
        <v>I</v>
      </c>
      <c r="F6712" s="309" t="s">
        <v>31</v>
      </c>
      <c r="G6712" s="308"/>
      <c r="H6712" s="308" t="s">
        <v>27142</v>
      </c>
      <c r="I6712" s="310">
        <v>44037.0</v>
      </c>
      <c r="J6712" s="319">
        <f>IFERROR(__xludf.DUMMYFUNCTION("SPLIT(I6712,""/"")"),25.0)</f>
        <v>25</v>
      </c>
      <c r="K6712" s="308">
        <f>IFERROR(__xludf.DUMMYFUNCTION("""COMPUTED_VALUE"""),7.0)</f>
        <v>7</v>
      </c>
      <c r="L6712" s="308">
        <f>IFERROR(__xludf.DUMMYFUNCTION("""COMPUTED_VALUE"""),2020.0)</f>
        <v>2020</v>
      </c>
      <c r="M6712" s="308" t="s">
        <v>27143</v>
      </c>
      <c r="N6712" s="308" t="s">
        <v>27144</v>
      </c>
      <c r="O6712" s="308"/>
      <c r="P6712" s="308" t="s">
        <v>39325</v>
      </c>
      <c r="Q6712" s="308" t="s">
        <v>39324</v>
      </c>
      <c r="R6712" s="308" t="s">
        <v>2743</v>
      </c>
      <c r="S6712" s="308" t="s">
        <v>81</v>
      </c>
      <c r="T6712" s="311" t="s">
        <v>51</v>
      </c>
      <c r="U6712" s="308" t="s">
        <v>31</v>
      </c>
      <c r="V6712" s="308"/>
    </row>
    <row r="6713">
      <c r="A6713" s="308">
        <v>6712.0</v>
      </c>
      <c r="B6713" s="308"/>
      <c r="C6713" s="308" t="s">
        <v>27146</v>
      </c>
      <c r="D6713" s="308">
        <f>IFERROR(__xludf.DUMMYFUNCTION("SPLIT(C6713,""-"")"),6733.0)</f>
        <v>6733</v>
      </c>
      <c r="E6713" s="308" t="str">
        <f>IFERROR(__xludf.DUMMYFUNCTION("""COMPUTED_VALUE"""),"B")</f>
        <v>B</v>
      </c>
      <c r="F6713" s="315" t="s">
        <v>26</v>
      </c>
      <c r="G6713" s="308"/>
      <c r="H6713" s="308" t="s">
        <v>27147</v>
      </c>
      <c r="I6713" s="310">
        <v>43875.0</v>
      </c>
      <c r="J6713" s="319">
        <f>IFERROR(__xludf.DUMMYFUNCTION("SPLIT(I6713,""/"")"),14.0)</f>
        <v>14</v>
      </c>
      <c r="K6713" s="308">
        <f>IFERROR(__xludf.DUMMYFUNCTION("""COMPUTED_VALUE"""),2.0)</f>
        <v>2</v>
      </c>
      <c r="L6713" s="308">
        <f>IFERROR(__xludf.DUMMYFUNCTION("""COMPUTED_VALUE"""),2020.0)</f>
        <v>2020</v>
      </c>
      <c r="M6713" s="308" t="s">
        <v>27148</v>
      </c>
      <c r="N6713" s="308" t="s">
        <v>27149</v>
      </c>
      <c r="O6713" s="308" t="s">
        <v>27150</v>
      </c>
      <c r="P6713" s="308" t="s">
        <v>27151</v>
      </c>
      <c r="Q6713" s="308" t="s">
        <v>39326</v>
      </c>
      <c r="R6713" s="308" t="s">
        <v>1496</v>
      </c>
      <c r="S6713" s="308" t="s">
        <v>81</v>
      </c>
      <c r="T6713" s="308" t="s">
        <v>75</v>
      </c>
      <c r="U6713" s="308" t="s">
        <v>27</v>
      </c>
      <c r="V6713" s="308"/>
    </row>
    <row r="6714">
      <c r="A6714" s="308">
        <v>6713.0</v>
      </c>
      <c r="B6714" s="308"/>
      <c r="C6714" s="308" t="s">
        <v>27152</v>
      </c>
      <c r="D6714" s="308">
        <f>IFERROR(__xludf.DUMMYFUNCTION("SPLIT(C6714,""-"")"),6734.0)</f>
        <v>6734</v>
      </c>
      <c r="E6714" s="308" t="str">
        <f>IFERROR(__xludf.DUMMYFUNCTION("""COMPUTED_VALUE"""),"B")</f>
        <v>B</v>
      </c>
      <c r="F6714" s="315" t="s">
        <v>26</v>
      </c>
      <c r="G6714" s="308"/>
      <c r="H6714" s="308" t="s">
        <v>4410</v>
      </c>
      <c r="I6714" s="310">
        <v>43875.0</v>
      </c>
      <c r="J6714" s="319">
        <f>IFERROR(__xludf.DUMMYFUNCTION("SPLIT(I6714,""/"")"),14.0)</f>
        <v>14</v>
      </c>
      <c r="K6714" s="308">
        <f>IFERROR(__xludf.DUMMYFUNCTION("""COMPUTED_VALUE"""),2.0)</f>
        <v>2</v>
      </c>
      <c r="L6714" s="308">
        <f>IFERROR(__xludf.DUMMYFUNCTION("""COMPUTED_VALUE"""),2020.0)</f>
        <v>2020</v>
      </c>
      <c r="M6714" s="308" t="s">
        <v>39327</v>
      </c>
      <c r="N6714" s="308" t="s">
        <v>27154</v>
      </c>
      <c r="O6714" s="308" t="s">
        <v>27150</v>
      </c>
      <c r="P6714" s="308" t="s">
        <v>27155</v>
      </c>
      <c r="Q6714" s="308" t="s">
        <v>39326</v>
      </c>
      <c r="R6714" s="308" t="s">
        <v>1496</v>
      </c>
      <c r="S6714" s="308" t="s">
        <v>81</v>
      </c>
      <c r="T6714" s="308" t="s">
        <v>75</v>
      </c>
      <c r="U6714" s="308" t="s">
        <v>27</v>
      </c>
      <c r="V6714" s="308"/>
    </row>
    <row r="6715">
      <c r="A6715" s="308">
        <v>6714.0</v>
      </c>
      <c r="B6715" s="308"/>
      <c r="C6715" s="308" t="s">
        <v>27156</v>
      </c>
      <c r="D6715" s="308">
        <f>IFERROR(__xludf.DUMMYFUNCTION("SPLIT(C6715,""-"")"),6735.0)</f>
        <v>6735</v>
      </c>
      <c r="E6715" s="308" t="str">
        <f>IFERROR(__xludf.DUMMYFUNCTION("""COMPUTED_VALUE"""),"S")</f>
        <v>S</v>
      </c>
      <c r="F6715" s="312" t="s">
        <v>39</v>
      </c>
      <c r="G6715" s="308"/>
      <c r="H6715" s="308" t="s">
        <v>27157</v>
      </c>
      <c r="I6715" s="310">
        <v>44019.0</v>
      </c>
      <c r="J6715" s="319">
        <f>IFERROR(__xludf.DUMMYFUNCTION("SPLIT(I6715,""/"")"),7.0)</f>
        <v>7</v>
      </c>
      <c r="K6715" s="308">
        <f>IFERROR(__xludf.DUMMYFUNCTION("""COMPUTED_VALUE"""),7.0)</f>
        <v>7</v>
      </c>
      <c r="L6715" s="308">
        <f>IFERROR(__xludf.DUMMYFUNCTION("""COMPUTED_VALUE"""),2020.0)</f>
        <v>2020</v>
      </c>
      <c r="M6715" s="308" t="s">
        <v>27158</v>
      </c>
      <c r="N6715" s="308" t="s">
        <v>27159</v>
      </c>
      <c r="O6715" s="308"/>
      <c r="P6715" s="308" t="s">
        <v>39328</v>
      </c>
      <c r="Q6715" s="308" t="s">
        <v>39326</v>
      </c>
      <c r="R6715" s="308" t="s">
        <v>19825</v>
      </c>
      <c r="S6715" s="308" t="s">
        <v>81</v>
      </c>
      <c r="T6715" s="308" t="s">
        <v>75</v>
      </c>
      <c r="U6715" s="308" t="s">
        <v>166</v>
      </c>
      <c r="V6715" s="308"/>
    </row>
    <row r="6716">
      <c r="A6716" s="308">
        <v>6715.0</v>
      </c>
      <c r="B6716" s="308"/>
      <c r="C6716" s="308" t="s">
        <v>27161</v>
      </c>
      <c r="D6716" s="308">
        <f>IFERROR(__xludf.DUMMYFUNCTION("SPLIT(C6716,""-"")"),6736.0)</f>
        <v>6736</v>
      </c>
      <c r="E6716" s="308" t="str">
        <f>IFERROR(__xludf.DUMMYFUNCTION("""COMPUTED_VALUE"""),"P")</f>
        <v>P</v>
      </c>
      <c r="F6716" s="312" t="s">
        <v>37</v>
      </c>
      <c r="G6716" s="308"/>
      <c r="H6716" s="308" t="s">
        <v>27162</v>
      </c>
      <c r="I6716" s="310">
        <v>43476.0</v>
      </c>
      <c r="J6716" s="319">
        <f>IFERROR(__xludf.DUMMYFUNCTION("SPLIT(I6716,""/"")"),11.0)</f>
        <v>11</v>
      </c>
      <c r="K6716" s="308">
        <f>IFERROR(__xludf.DUMMYFUNCTION("""COMPUTED_VALUE"""),1.0)</f>
        <v>1</v>
      </c>
      <c r="L6716" s="308">
        <f>IFERROR(__xludf.DUMMYFUNCTION("""COMPUTED_VALUE"""),2019.0)</f>
        <v>2019</v>
      </c>
      <c r="M6716" s="308" t="s">
        <v>27163</v>
      </c>
      <c r="N6716" s="308" t="s">
        <v>27164</v>
      </c>
      <c r="O6716" s="308"/>
      <c r="P6716" s="308" t="s">
        <v>27165</v>
      </c>
      <c r="Q6716" s="308" t="s">
        <v>39329</v>
      </c>
      <c r="R6716" s="308" t="s">
        <v>21673</v>
      </c>
      <c r="S6716" s="308" t="s">
        <v>81</v>
      </c>
      <c r="T6716" s="311" t="s">
        <v>51</v>
      </c>
      <c r="U6716" s="308" t="s">
        <v>143</v>
      </c>
      <c r="V6716" s="308"/>
    </row>
    <row r="6717">
      <c r="A6717" s="308">
        <v>6716.0</v>
      </c>
      <c r="B6717" s="308"/>
      <c r="C6717" s="308" t="s">
        <v>27166</v>
      </c>
      <c r="D6717" s="308">
        <f>IFERROR(__xludf.DUMMYFUNCTION("SPLIT(C6717,""-"")"),6737.0)</f>
        <v>6737</v>
      </c>
      <c r="E6717" s="308" t="str">
        <f>IFERROR(__xludf.DUMMYFUNCTION("""COMPUTED_VALUE"""),"K")</f>
        <v>K</v>
      </c>
      <c r="F6717" s="309" t="s">
        <v>34</v>
      </c>
      <c r="G6717" s="308"/>
      <c r="H6717" s="308" t="s">
        <v>27167</v>
      </c>
      <c r="I6717" s="310">
        <v>39995.0</v>
      </c>
      <c r="J6717" s="319">
        <f>IFERROR(__xludf.DUMMYFUNCTION("SPLIT(I6717,""/"")"),1.0)</f>
        <v>1</v>
      </c>
      <c r="K6717" s="308">
        <f>IFERROR(__xludf.DUMMYFUNCTION("""COMPUTED_VALUE"""),7.0)</f>
        <v>7</v>
      </c>
      <c r="L6717" s="308">
        <f>IFERROR(__xludf.DUMMYFUNCTION("""COMPUTED_VALUE"""),2009.0)</f>
        <v>2009</v>
      </c>
      <c r="M6717" s="308" t="s">
        <v>27168</v>
      </c>
      <c r="N6717" s="308" t="s">
        <v>439</v>
      </c>
      <c r="O6717" s="308"/>
      <c r="P6717" s="308" t="s">
        <v>27169</v>
      </c>
      <c r="Q6717" s="308" t="s">
        <v>39329</v>
      </c>
      <c r="R6717" s="308" t="s">
        <v>2743</v>
      </c>
      <c r="S6717" s="308" t="s">
        <v>49</v>
      </c>
      <c r="T6717" s="311" t="s">
        <v>51</v>
      </c>
      <c r="U6717" s="308" t="s">
        <v>125</v>
      </c>
      <c r="V6717" s="308"/>
    </row>
    <row r="6718">
      <c r="A6718" s="308">
        <v>6717.0</v>
      </c>
      <c r="B6718" s="308"/>
      <c r="C6718" s="308" t="s">
        <v>27170</v>
      </c>
      <c r="D6718" s="308">
        <f>IFERROR(__xludf.DUMMYFUNCTION("SPLIT(C6718,""-"")"),6738.0)</f>
        <v>6738</v>
      </c>
      <c r="E6718" s="308" t="str">
        <f>IFERROR(__xludf.DUMMYFUNCTION("""COMPUTED_VALUE"""),"K")</f>
        <v>K</v>
      </c>
      <c r="F6718" s="309" t="s">
        <v>34</v>
      </c>
      <c r="G6718" s="308"/>
      <c r="H6718" s="308" t="s">
        <v>27171</v>
      </c>
      <c r="I6718" s="310">
        <v>41214.0</v>
      </c>
      <c r="J6718" s="319">
        <f>IFERROR(__xludf.DUMMYFUNCTION("SPLIT(I6718,""/"")"),1.0)</f>
        <v>1</v>
      </c>
      <c r="K6718" s="308">
        <f>IFERROR(__xludf.DUMMYFUNCTION("""COMPUTED_VALUE"""),11.0)</f>
        <v>11</v>
      </c>
      <c r="L6718" s="308">
        <f>IFERROR(__xludf.DUMMYFUNCTION("""COMPUTED_VALUE"""),2012.0)</f>
        <v>2012</v>
      </c>
      <c r="M6718" s="308" t="s">
        <v>27172</v>
      </c>
      <c r="N6718" s="308" t="s">
        <v>27173</v>
      </c>
      <c r="O6718" s="308"/>
      <c r="P6718" s="308" t="s">
        <v>136</v>
      </c>
      <c r="Q6718" s="308" t="s">
        <v>39330</v>
      </c>
      <c r="R6718" s="308" t="s">
        <v>2743</v>
      </c>
      <c r="S6718" s="315" t="s">
        <v>100</v>
      </c>
      <c r="T6718" s="308" t="s">
        <v>34208</v>
      </c>
      <c r="U6718" s="308" t="s">
        <v>125</v>
      </c>
      <c r="V6718" s="308"/>
    </row>
    <row r="6719">
      <c r="A6719" s="308">
        <v>6718.0</v>
      </c>
      <c r="B6719" s="308"/>
      <c r="C6719" s="308" t="s">
        <v>27174</v>
      </c>
      <c r="D6719" s="308">
        <f>IFERROR(__xludf.DUMMYFUNCTION("SPLIT(C6719,""-"")"),6739.0)</f>
        <v>6739</v>
      </c>
      <c r="E6719" s="308" t="str">
        <f>IFERROR(__xludf.DUMMYFUNCTION("""COMPUTED_VALUE"""),"I")</f>
        <v>I</v>
      </c>
      <c r="F6719" s="309" t="s">
        <v>31</v>
      </c>
      <c r="G6719" s="308"/>
      <c r="H6719" s="308" t="s">
        <v>27175</v>
      </c>
      <c r="I6719" s="310">
        <v>43649.0</v>
      </c>
      <c r="J6719" s="319">
        <f>IFERROR(__xludf.DUMMYFUNCTION("SPLIT(I6719,""/"")"),3.0)</f>
        <v>3</v>
      </c>
      <c r="K6719" s="308">
        <f>IFERROR(__xludf.DUMMYFUNCTION("""COMPUTED_VALUE"""),7.0)</f>
        <v>7</v>
      </c>
      <c r="L6719" s="308">
        <f>IFERROR(__xludf.DUMMYFUNCTION("""COMPUTED_VALUE"""),2019.0)</f>
        <v>2019</v>
      </c>
      <c r="M6719" s="308" t="s">
        <v>27176</v>
      </c>
      <c r="N6719" s="308" t="s">
        <v>27177</v>
      </c>
      <c r="O6719" s="308"/>
      <c r="P6719" s="308" t="s">
        <v>39331</v>
      </c>
      <c r="Q6719" s="308" t="s">
        <v>39330</v>
      </c>
      <c r="R6719" s="308" t="s">
        <v>2743</v>
      </c>
      <c r="S6719" s="308" t="s">
        <v>81</v>
      </c>
      <c r="T6719" s="311" t="s">
        <v>96</v>
      </c>
      <c r="U6719" s="308" t="s">
        <v>31</v>
      </c>
      <c r="V6719" s="308"/>
    </row>
    <row r="6720">
      <c r="A6720" s="308">
        <v>6719.0</v>
      </c>
      <c r="B6720" s="308"/>
      <c r="C6720" s="308" t="s">
        <v>27179</v>
      </c>
      <c r="D6720" s="308">
        <f>IFERROR(__xludf.DUMMYFUNCTION("SPLIT(C6720,""-"")"),6740.0)</f>
        <v>6740</v>
      </c>
      <c r="E6720" s="308" t="str">
        <f>IFERROR(__xludf.DUMMYFUNCTION("""COMPUTED_VALUE"""),"K")</f>
        <v>K</v>
      </c>
      <c r="F6720" s="309" t="s">
        <v>34</v>
      </c>
      <c r="G6720" s="308"/>
      <c r="H6720" s="308" t="s">
        <v>27180</v>
      </c>
      <c r="I6720" s="310">
        <v>42807.0</v>
      </c>
      <c r="J6720" s="319" t="str">
        <f>IFERROR(__xludf.DUMMYFUNCTION("SPLIT(I6720,""/"")"),"#REF!")</f>
        <v>#REF!</v>
      </c>
      <c r="K6720" s="308"/>
      <c r="L6720" s="308">
        <v>2017.0</v>
      </c>
      <c r="M6720" s="308" t="s">
        <v>27181</v>
      </c>
      <c r="N6720" s="308" t="s">
        <v>439</v>
      </c>
      <c r="O6720" s="308"/>
      <c r="P6720" s="308" t="s">
        <v>27182</v>
      </c>
      <c r="Q6720" s="308" t="s">
        <v>39330</v>
      </c>
      <c r="R6720" s="308" t="s">
        <v>2743</v>
      </c>
      <c r="S6720" s="308" t="s">
        <v>81</v>
      </c>
      <c r="T6720" s="311" t="s">
        <v>51</v>
      </c>
      <c r="U6720" s="308" t="s">
        <v>2152</v>
      </c>
      <c r="V6720" s="308"/>
    </row>
    <row r="6721">
      <c r="A6721" s="308">
        <v>6720.0</v>
      </c>
      <c r="B6721" s="308"/>
      <c r="C6721" s="308" t="s">
        <v>27183</v>
      </c>
      <c r="D6721" s="308">
        <f>IFERROR(__xludf.DUMMYFUNCTION("SPLIT(C6721,""-"")"),6741.0)</f>
        <v>6741</v>
      </c>
      <c r="E6721" s="308" t="str">
        <f>IFERROR(__xludf.DUMMYFUNCTION("""COMPUTED_VALUE"""),"P")</f>
        <v>P</v>
      </c>
      <c r="F6721" s="312" t="s">
        <v>37</v>
      </c>
      <c r="G6721" s="308"/>
      <c r="H6721" s="308" t="s">
        <v>27184</v>
      </c>
      <c r="I6721" s="310">
        <v>43705.0</v>
      </c>
      <c r="J6721" s="319">
        <f>IFERROR(__xludf.DUMMYFUNCTION("SPLIT(I6721,""/"")"),28.0)</f>
        <v>28</v>
      </c>
      <c r="K6721" s="308">
        <f>IFERROR(__xludf.DUMMYFUNCTION("""COMPUTED_VALUE"""),8.0)</f>
        <v>8</v>
      </c>
      <c r="L6721" s="308">
        <f>IFERROR(__xludf.DUMMYFUNCTION("""COMPUTED_VALUE"""),2019.0)</f>
        <v>2019</v>
      </c>
      <c r="M6721" s="308" t="s">
        <v>27185</v>
      </c>
      <c r="N6721" s="308" t="s">
        <v>27186</v>
      </c>
      <c r="O6721" s="308" t="s">
        <v>27187</v>
      </c>
      <c r="P6721" s="308" t="s">
        <v>27188</v>
      </c>
      <c r="Q6721" s="308" t="s">
        <v>39332</v>
      </c>
      <c r="R6721" s="308" t="s">
        <v>2743</v>
      </c>
      <c r="S6721" s="308" t="s">
        <v>81</v>
      </c>
      <c r="T6721" s="311" t="s">
        <v>96</v>
      </c>
      <c r="U6721" s="308" t="s">
        <v>2291</v>
      </c>
      <c r="V6721" s="308"/>
    </row>
    <row r="6722">
      <c r="A6722" s="308">
        <v>6721.0</v>
      </c>
      <c r="B6722" s="308"/>
      <c r="C6722" s="308" t="s">
        <v>27189</v>
      </c>
      <c r="D6722" s="308">
        <f>IFERROR(__xludf.DUMMYFUNCTION("SPLIT(C6722,""-"")"),6742.0)</f>
        <v>6742</v>
      </c>
      <c r="E6722" s="308" t="str">
        <f>IFERROR(__xludf.DUMMYFUNCTION("""COMPUTED_VALUE"""),"P")</f>
        <v>P</v>
      </c>
      <c r="F6722" s="312" t="s">
        <v>37</v>
      </c>
      <c r="G6722" s="308"/>
      <c r="H6722" s="308" t="s">
        <v>27190</v>
      </c>
      <c r="I6722" s="310">
        <v>44051.0</v>
      </c>
      <c r="J6722" s="319">
        <f>IFERROR(__xludf.DUMMYFUNCTION("SPLIT(I6722,""/"")"),8.0)</f>
        <v>8</v>
      </c>
      <c r="K6722" s="308">
        <f>IFERROR(__xludf.DUMMYFUNCTION("""COMPUTED_VALUE"""),8.0)</f>
        <v>8</v>
      </c>
      <c r="L6722" s="308">
        <f>IFERROR(__xludf.DUMMYFUNCTION("""COMPUTED_VALUE"""),2020.0)</f>
        <v>2020</v>
      </c>
      <c r="M6722" s="308" t="s">
        <v>27191</v>
      </c>
      <c r="N6722" s="308" t="s">
        <v>39333</v>
      </c>
      <c r="O6722" s="308"/>
      <c r="P6722" s="308" t="s">
        <v>39334</v>
      </c>
      <c r="Q6722" s="308" t="s">
        <v>39332</v>
      </c>
      <c r="R6722" s="308" t="s">
        <v>2743</v>
      </c>
      <c r="S6722" s="308" t="s">
        <v>81</v>
      </c>
      <c r="T6722" s="311" t="s">
        <v>73</v>
      </c>
      <c r="U6722" s="308" t="s">
        <v>143</v>
      </c>
      <c r="V6722" s="308"/>
    </row>
    <row r="6723">
      <c r="A6723" s="308">
        <v>6722.0</v>
      </c>
      <c r="B6723" s="308"/>
      <c r="C6723" s="308" t="s">
        <v>27194</v>
      </c>
      <c r="D6723" s="308">
        <f>IFERROR(__xludf.DUMMYFUNCTION("SPLIT(C6723,""-"")"),6743.0)</f>
        <v>6743</v>
      </c>
      <c r="E6723" s="308" t="str">
        <f>IFERROR(__xludf.DUMMYFUNCTION("""COMPUTED_VALUE"""),"F")</f>
        <v>F</v>
      </c>
      <c r="F6723" s="309" t="s">
        <v>34</v>
      </c>
      <c r="G6723" s="308"/>
      <c r="H6723" s="308" t="s">
        <v>27195</v>
      </c>
      <c r="I6723" s="314">
        <v>41934.0</v>
      </c>
      <c r="J6723" s="319">
        <f>IFERROR(__xludf.DUMMYFUNCTION("SPLIT(I6723,""/"")"),22.0)</f>
        <v>22</v>
      </c>
      <c r="K6723" s="308">
        <f>IFERROR(__xludf.DUMMYFUNCTION("""COMPUTED_VALUE"""),10.0)</f>
        <v>10</v>
      </c>
      <c r="L6723" s="308">
        <f>IFERROR(__xludf.DUMMYFUNCTION("""COMPUTED_VALUE"""),2014.0)</f>
        <v>2014</v>
      </c>
      <c r="M6723" s="308" t="s">
        <v>27196</v>
      </c>
      <c r="N6723" s="308" t="s">
        <v>27197</v>
      </c>
      <c r="O6723" s="308" t="s">
        <v>27198</v>
      </c>
      <c r="P6723" s="308" t="s">
        <v>136</v>
      </c>
      <c r="Q6723" s="308" t="s">
        <v>39335</v>
      </c>
      <c r="R6723" s="308" t="s">
        <v>2743</v>
      </c>
      <c r="S6723" s="315" t="s">
        <v>100</v>
      </c>
      <c r="T6723" s="308" t="s">
        <v>34208</v>
      </c>
      <c r="U6723" s="308" t="s">
        <v>19459</v>
      </c>
      <c r="V6723" s="308"/>
    </row>
    <row r="6724">
      <c r="A6724" s="308">
        <v>6723.0</v>
      </c>
      <c r="B6724" s="308"/>
      <c r="C6724" s="308" t="s">
        <v>27199</v>
      </c>
      <c r="D6724" s="308">
        <f>IFERROR(__xludf.DUMMYFUNCTION("SPLIT(C6724,""-"")"),6744.0)</f>
        <v>6744</v>
      </c>
      <c r="E6724" s="308" t="str">
        <f>IFERROR(__xludf.DUMMYFUNCTION("""COMPUTED_VALUE"""),"K")</f>
        <v>K</v>
      </c>
      <c r="F6724" s="309" t="s">
        <v>34</v>
      </c>
      <c r="G6724" s="308"/>
      <c r="H6724" s="308" t="s">
        <v>27200</v>
      </c>
      <c r="I6724" s="314">
        <v>41925.0</v>
      </c>
      <c r="J6724" s="319">
        <f>IFERROR(__xludf.DUMMYFUNCTION("SPLIT(I6724,""/"")"),13.0)</f>
        <v>13</v>
      </c>
      <c r="K6724" s="308">
        <f>IFERROR(__xludf.DUMMYFUNCTION("""COMPUTED_VALUE"""),10.0)</f>
        <v>10</v>
      </c>
      <c r="L6724" s="308">
        <f>IFERROR(__xludf.DUMMYFUNCTION("""COMPUTED_VALUE"""),2014.0)</f>
        <v>2014</v>
      </c>
      <c r="M6724" s="308" t="s">
        <v>27201</v>
      </c>
      <c r="N6724" s="308" t="s">
        <v>27202</v>
      </c>
      <c r="O6724" s="308"/>
      <c r="P6724" s="308" t="s">
        <v>136</v>
      </c>
      <c r="Q6724" s="308" t="s">
        <v>39335</v>
      </c>
      <c r="R6724" s="308" t="s">
        <v>2743</v>
      </c>
      <c r="S6724" s="315" t="s">
        <v>100</v>
      </c>
      <c r="T6724" s="308" t="s">
        <v>34208</v>
      </c>
      <c r="U6724" s="308" t="s">
        <v>4487</v>
      </c>
      <c r="V6724" s="308"/>
    </row>
    <row r="6725">
      <c r="A6725" s="308">
        <v>6724.0</v>
      </c>
      <c r="B6725" s="308"/>
      <c r="C6725" s="308" t="s">
        <v>27203</v>
      </c>
      <c r="D6725" s="308">
        <f>IFERROR(__xludf.DUMMYFUNCTION("SPLIT(C6725,""-"")"),6745.0)</f>
        <v>6745</v>
      </c>
      <c r="E6725" s="308" t="str">
        <f>IFERROR(__xludf.DUMMYFUNCTION("""COMPUTED_VALUE"""),"K")</f>
        <v>K</v>
      </c>
      <c r="F6725" s="309" t="s">
        <v>34</v>
      </c>
      <c r="G6725" s="308"/>
      <c r="H6725" s="308" t="s">
        <v>27204</v>
      </c>
      <c r="I6725" s="310">
        <v>44053.0</v>
      </c>
      <c r="J6725" s="319">
        <f>IFERROR(__xludf.DUMMYFUNCTION("SPLIT(I6725,""/"")"),10.0)</f>
        <v>10</v>
      </c>
      <c r="K6725" s="308">
        <f>IFERROR(__xludf.DUMMYFUNCTION("""COMPUTED_VALUE"""),8.0)</f>
        <v>8</v>
      </c>
      <c r="L6725" s="308">
        <f>IFERROR(__xludf.DUMMYFUNCTION("""COMPUTED_VALUE"""),2020.0)</f>
        <v>2020</v>
      </c>
      <c r="M6725" s="308" t="s">
        <v>27205</v>
      </c>
      <c r="N6725" s="308" t="s">
        <v>27206</v>
      </c>
      <c r="O6725" s="308"/>
      <c r="P6725" s="308" t="s">
        <v>27207</v>
      </c>
      <c r="Q6725" s="308" t="s">
        <v>39335</v>
      </c>
      <c r="R6725" s="308" t="s">
        <v>2743</v>
      </c>
      <c r="S6725" s="308" t="s">
        <v>49</v>
      </c>
      <c r="T6725" s="308" t="s">
        <v>51</v>
      </c>
      <c r="U6725" s="308" t="s">
        <v>2152</v>
      </c>
      <c r="V6725" s="308"/>
    </row>
    <row r="6726">
      <c r="A6726" s="308">
        <v>6725.0</v>
      </c>
      <c r="B6726" s="308"/>
      <c r="C6726" s="308" t="s">
        <v>27208</v>
      </c>
      <c r="D6726" s="308">
        <f>IFERROR(__xludf.DUMMYFUNCTION("SPLIT(C6726,""-"")"),6746.0)</f>
        <v>6746</v>
      </c>
      <c r="E6726" s="308" t="str">
        <f>IFERROR(__xludf.DUMMYFUNCTION("""COMPUTED_VALUE"""),"K")</f>
        <v>K</v>
      </c>
      <c r="F6726" s="309" t="s">
        <v>34</v>
      </c>
      <c r="G6726" s="308"/>
      <c r="H6726" s="308" t="s">
        <v>27209</v>
      </c>
      <c r="I6726" s="310">
        <v>43931.0</v>
      </c>
      <c r="J6726" s="319">
        <f>IFERROR(__xludf.DUMMYFUNCTION("SPLIT(I6726,""/"")"),10.0)</f>
        <v>10</v>
      </c>
      <c r="K6726" s="308">
        <f>IFERROR(__xludf.DUMMYFUNCTION("""COMPUTED_VALUE"""),4.0)</f>
        <v>4</v>
      </c>
      <c r="L6726" s="308">
        <f>IFERROR(__xludf.DUMMYFUNCTION("""COMPUTED_VALUE"""),2020.0)</f>
        <v>2020</v>
      </c>
      <c r="M6726" s="308" t="s">
        <v>27210</v>
      </c>
      <c r="N6726" s="308" t="s">
        <v>27211</v>
      </c>
      <c r="O6726" s="308"/>
      <c r="P6726" s="308" t="s">
        <v>136</v>
      </c>
      <c r="Q6726" s="308" t="s">
        <v>39335</v>
      </c>
      <c r="R6726" s="308" t="s">
        <v>2743</v>
      </c>
      <c r="S6726" s="315" t="s">
        <v>100</v>
      </c>
      <c r="T6726" s="308" t="s">
        <v>34208</v>
      </c>
      <c r="U6726" s="308" t="s">
        <v>125</v>
      </c>
      <c r="V6726" s="308"/>
    </row>
    <row r="6727">
      <c r="A6727" s="308">
        <v>6726.0</v>
      </c>
      <c r="B6727" s="308"/>
      <c r="C6727" s="308" t="s">
        <v>27212</v>
      </c>
      <c r="D6727" s="308">
        <f>IFERROR(__xludf.DUMMYFUNCTION("SPLIT(C6727,""-"")"),6747.0)</f>
        <v>6747</v>
      </c>
      <c r="E6727" s="308" t="str">
        <f>IFERROR(__xludf.DUMMYFUNCTION("""COMPUTED_VALUE"""),"F")</f>
        <v>F</v>
      </c>
      <c r="F6727" s="309" t="s">
        <v>34</v>
      </c>
      <c r="G6727" s="308"/>
      <c r="H6727" s="308" t="s">
        <v>27213</v>
      </c>
      <c r="I6727" s="310">
        <v>43931.0</v>
      </c>
      <c r="J6727" s="319">
        <f>IFERROR(__xludf.DUMMYFUNCTION("SPLIT(I6727,""/"")"),10.0)</f>
        <v>10</v>
      </c>
      <c r="K6727" s="308">
        <f>IFERROR(__xludf.DUMMYFUNCTION("""COMPUTED_VALUE"""),4.0)</f>
        <v>4</v>
      </c>
      <c r="L6727" s="308">
        <f>IFERROR(__xludf.DUMMYFUNCTION("""COMPUTED_VALUE"""),2020.0)</f>
        <v>2020</v>
      </c>
      <c r="M6727" s="308" t="s">
        <v>27214</v>
      </c>
      <c r="N6727" s="308" t="s">
        <v>27215</v>
      </c>
      <c r="O6727" s="308"/>
      <c r="P6727" s="308" t="s">
        <v>39336</v>
      </c>
      <c r="Q6727" s="308" t="s">
        <v>39337</v>
      </c>
      <c r="R6727" s="308" t="s">
        <v>2743</v>
      </c>
      <c r="S6727" s="308" t="s">
        <v>81</v>
      </c>
      <c r="T6727" s="308" t="s">
        <v>34264</v>
      </c>
      <c r="U6727" s="308" t="s">
        <v>22473</v>
      </c>
      <c r="V6727" s="308"/>
    </row>
    <row r="6728">
      <c r="A6728" s="308">
        <v>6727.0</v>
      </c>
      <c r="B6728" s="308"/>
      <c r="C6728" s="308" t="s">
        <v>27217</v>
      </c>
      <c r="D6728" s="308">
        <f>IFERROR(__xludf.DUMMYFUNCTION("SPLIT(C6728,""-"")"),6748.0)</f>
        <v>6748</v>
      </c>
      <c r="E6728" s="308" t="str">
        <f>IFERROR(__xludf.DUMMYFUNCTION("""COMPUTED_VALUE"""),"P")</f>
        <v>P</v>
      </c>
      <c r="F6728" s="312" t="s">
        <v>37</v>
      </c>
      <c r="G6728" s="308"/>
      <c r="H6728" s="308" t="s">
        <v>27218</v>
      </c>
      <c r="I6728" s="310">
        <v>43985.0</v>
      </c>
      <c r="J6728" s="319">
        <f>IFERROR(__xludf.DUMMYFUNCTION("SPLIT(I6728,""/"")"),3.0)</f>
        <v>3</v>
      </c>
      <c r="K6728" s="308">
        <f>IFERROR(__xludf.DUMMYFUNCTION("""COMPUTED_VALUE"""),6.0)</f>
        <v>6</v>
      </c>
      <c r="L6728" s="308">
        <f>IFERROR(__xludf.DUMMYFUNCTION("""COMPUTED_VALUE"""),2020.0)</f>
        <v>2020</v>
      </c>
      <c r="M6728" s="308" t="s">
        <v>27219</v>
      </c>
      <c r="N6728" s="308" t="s">
        <v>27220</v>
      </c>
      <c r="O6728" s="308"/>
      <c r="P6728" s="308" t="s">
        <v>39338</v>
      </c>
      <c r="Q6728" s="308" t="s">
        <v>39339</v>
      </c>
      <c r="R6728" s="308" t="s">
        <v>2743</v>
      </c>
      <c r="S6728" s="308" t="s">
        <v>81</v>
      </c>
      <c r="T6728" s="311" t="s">
        <v>96</v>
      </c>
      <c r="U6728" s="308" t="s">
        <v>149</v>
      </c>
      <c r="V6728" s="308"/>
    </row>
    <row r="6729">
      <c r="A6729" s="308">
        <v>6728.0</v>
      </c>
      <c r="B6729" s="308"/>
      <c r="C6729" s="308" t="s">
        <v>27222</v>
      </c>
      <c r="D6729" s="308">
        <f>IFERROR(__xludf.DUMMYFUNCTION("SPLIT(C6729,""-"")"),6749.0)</f>
        <v>6749</v>
      </c>
      <c r="E6729" s="308" t="str">
        <f>IFERROR(__xludf.DUMMYFUNCTION("""COMPUTED_VALUE"""),"B")</f>
        <v>B</v>
      </c>
      <c r="F6729" s="315" t="s">
        <v>26</v>
      </c>
      <c r="G6729" s="308"/>
      <c r="H6729" s="308" t="s">
        <v>22936</v>
      </c>
      <c r="I6729" s="310">
        <v>44047.0</v>
      </c>
      <c r="J6729" s="319">
        <f>IFERROR(__xludf.DUMMYFUNCTION("SPLIT(I6729,""/"")"),4.0)</f>
        <v>4</v>
      </c>
      <c r="K6729" s="308">
        <f>IFERROR(__xludf.DUMMYFUNCTION("""COMPUTED_VALUE"""),8.0)</f>
        <v>8</v>
      </c>
      <c r="L6729" s="308">
        <f>IFERROR(__xludf.DUMMYFUNCTION("""COMPUTED_VALUE"""),2020.0)</f>
        <v>2020</v>
      </c>
      <c r="M6729" s="308" t="s">
        <v>27223</v>
      </c>
      <c r="N6729" s="308" t="s">
        <v>22938</v>
      </c>
      <c r="O6729" s="308"/>
      <c r="P6729" s="308" t="s">
        <v>39340</v>
      </c>
      <c r="Q6729" s="308" t="s">
        <v>39341</v>
      </c>
      <c r="R6729" s="308" t="s">
        <v>2743</v>
      </c>
      <c r="S6729" s="308" t="s">
        <v>81</v>
      </c>
      <c r="T6729" s="308" t="s">
        <v>73</v>
      </c>
      <c r="U6729" s="308" t="s">
        <v>27</v>
      </c>
      <c r="V6729" s="308"/>
    </row>
    <row r="6730">
      <c r="A6730" s="308">
        <v>6729.0</v>
      </c>
      <c r="B6730" s="308"/>
      <c r="C6730" s="308" t="s">
        <v>27225</v>
      </c>
      <c r="D6730" s="308">
        <f>IFERROR(__xludf.DUMMYFUNCTION("SPLIT(C6730,""-"")"),6750.0)</f>
        <v>6750</v>
      </c>
      <c r="E6730" s="308" t="str">
        <f>IFERROR(__xludf.DUMMYFUNCTION("""COMPUTED_VALUE"""),"K")</f>
        <v>K</v>
      </c>
      <c r="F6730" s="309" t="s">
        <v>34</v>
      </c>
      <c r="G6730" s="308"/>
      <c r="H6730" s="308" t="s">
        <v>27226</v>
      </c>
      <c r="I6730" s="310">
        <v>43999.0</v>
      </c>
      <c r="J6730" s="319">
        <f>IFERROR(__xludf.DUMMYFUNCTION("SPLIT(I6730,""/"")"),17.0)</f>
        <v>17</v>
      </c>
      <c r="K6730" s="308">
        <f>IFERROR(__xludf.DUMMYFUNCTION("""COMPUTED_VALUE"""),6.0)</f>
        <v>6</v>
      </c>
      <c r="L6730" s="308">
        <f>IFERROR(__xludf.DUMMYFUNCTION("""COMPUTED_VALUE"""),2020.0)</f>
        <v>2020</v>
      </c>
      <c r="M6730" s="308" t="s">
        <v>27227</v>
      </c>
      <c r="N6730" s="308" t="s">
        <v>27228</v>
      </c>
      <c r="O6730" s="308"/>
      <c r="P6730" s="308" t="s">
        <v>39342</v>
      </c>
      <c r="Q6730" s="308" t="s">
        <v>39343</v>
      </c>
      <c r="R6730" s="308" t="s">
        <v>2743</v>
      </c>
      <c r="S6730" s="308" t="s">
        <v>81</v>
      </c>
      <c r="T6730" s="311" t="s">
        <v>96</v>
      </c>
      <c r="U6730" s="308" t="s">
        <v>125</v>
      </c>
      <c r="V6730" s="308"/>
    </row>
    <row r="6731">
      <c r="A6731" s="308">
        <v>6730.0</v>
      </c>
      <c r="B6731" s="308"/>
      <c r="C6731" s="308" t="s">
        <v>27230</v>
      </c>
      <c r="D6731" s="308">
        <f>IFERROR(__xludf.DUMMYFUNCTION("SPLIT(C6731,""-"")"),6751.0)</f>
        <v>6751</v>
      </c>
      <c r="E6731" s="308" t="str">
        <f>IFERROR(__xludf.DUMMYFUNCTION("""COMPUTED_VALUE"""),"K")</f>
        <v>K</v>
      </c>
      <c r="F6731" s="309" t="s">
        <v>34</v>
      </c>
      <c r="G6731" s="308"/>
      <c r="H6731" s="308" t="s">
        <v>27231</v>
      </c>
      <c r="I6731" s="310">
        <v>43999.0</v>
      </c>
      <c r="J6731" s="319">
        <f>IFERROR(__xludf.DUMMYFUNCTION("SPLIT(I6731,""/"")"),17.0)</f>
        <v>17</v>
      </c>
      <c r="K6731" s="308">
        <f>IFERROR(__xludf.DUMMYFUNCTION("""COMPUTED_VALUE"""),6.0)</f>
        <v>6</v>
      </c>
      <c r="L6731" s="308">
        <f>IFERROR(__xludf.DUMMYFUNCTION("""COMPUTED_VALUE"""),2020.0)</f>
        <v>2020</v>
      </c>
      <c r="M6731" s="308" t="s">
        <v>27232</v>
      </c>
      <c r="N6731" s="308" t="s">
        <v>27233</v>
      </c>
      <c r="O6731" s="308"/>
      <c r="P6731" s="308" t="s">
        <v>27234</v>
      </c>
      <c r="Q6731" s="308" t="s">
        <v>39343</v>
      </c>
      <c r="R6731" s="308" t="s">
        <v>2743</v>
      </c>
      <c r="S6731" s="308" t="s">
        <v>81</v>
      </c>
      <c r="T6731" s="308" t="s">
        <v>75</v>
      </c>
      <c r="U6731" s="308" t="s">
        <v>125</v>
      </c>
      <c r="V6731" s="308"/>
    </row>
    <row r="6732">
      <c r="A6732" s="308">
        <v>6731.0</v>
      </c>
      <c r="B6732" s="308"/>
      <c r="C6732" s="308" t="s">
        <v>27235</v>
      </c>
      <c r="D6732" s="308">
        <f>IFERROR(__xludf.DUMMYFUNCTION("SPLIT(C6732,""-"")"),6752.0)</f>
        <v>6752</v>
      </c>
      <c r="E6732" s="308" t="str">
        <f>IFERROR(__xludf.DUMMYFUNCTION("""COMPUTED_VALUE"""),"K")</f>
        <v>K</v>
      </c>
      <c r="F6732" s="309" t="s">
        <v>34</v>
      </c>
      <c r="G6732" s="308"/>
      <c r="H6732" s="308" t="s">
        <v>27236</v>
      </c>
      <c r="I6732" s="310">
        <v>44033.0</v>
      </c>
      <c r="J6732" s="319">
        <f>IFERROR(__xludf.DUMMYFUNCTION("SPLIT(I6732,""/"")"),21.0)</f>
        <v>21</v>
      </c>
      <c r="K6732" s="308">
        <f>IFERROR(__xludf.DUMMYFUNCTION("""COMPUTED_VALUE"""),7.0)</f>
        <v>7</v>
      </c>
      <c r="L6732" s="308">
        <f>IFERROR(__xludf.DUMMYFUNCTION("""COMPUTED_VALUE"""),2020.0)</f>
        <v>2020</v>
      </c>
      <c r="M6732" s="308" t="s">
        <v>27237</v>
      </c>
      <c r="N6732" s="308" t="s">
        <v>27238</v>
      </c>
      <c r="O6732" s="308" t="s">
        <v>27239</v>
      </c>
      <c r="P6732" s="308" t="s">
        <v>27240</v>
      </c>
      <c r="Q6732" s="308" t="s">
        <v>39344</v>
      </c>
      <c r="R6732" s="308" t="s">
        <v>2743</v>
      </c>
      <c r="S6732" s="308" t="s">
        <v>81</v>
      </c>
      <c r="T6732" s="311" t="s">
        <v>96</v>
      </c>
      <c r="U6732" s="308" t="s">
        <v>542</v>
      </c>
      <c r="V6732" s="308" t="s">
        <v>27241</v>
      </c>
    </row>
    <row r="6733">
      <c r="A6733" s="308">
        <v>6732.0</v>
      </c>
      <c r="B6733" s="308"/>
      <c r="C6733" s="308" t="s">
        <v>27242</v>
      </c>
      <c r="D6733" s="308">
        <f>IFERROR(__xludf.DUMMYFUNCTION("SPLIT(C6733,""-"")"),6753.0)</f>
        <v>6753</v>
      </c>
      <c r="E6733" s="308" t="str">
        <f>IFERROR(__xludf.DUMMYFUNCTION("""COMPUTED_VALUE"""),"K")</f>
        <v>K</v>
      </c>
      <c r="F6733" s="309" t="s">
        <v>34</v>
      </c>
      <c r="G6733" s="308"/>
      <c r="H6733" s="308" t="s">
        <v>27243</v>
      </c>
      <c r="I6733" s="310">
        <v>44030.0</v>
      </c>
      <c r="J6733" s="319">
        <f>IFERROR(__xludf.DUMMYFUNCTION("SPLIT(I6733,""/"")"),18.0)</f>
        <v>18</v>
      </c>
      <c r="K6733" s="308">
        <f>IFERROR(__xludf.DUMMYFUNCTION("""COMPUTED_VALUE"""),7.0)</f>
        <v>7</v>
      </c>
      <c r="L6733" s="308">
        <f>IFERROR(__xludf.DUMMYFUNCTION("""COMPUTED_VALUE"""),2020.0)</f>
        <v>2020</v>
      </c>
      <c r="M6733" s="308" t="s">
        <v>27244</v>
      </c>
      <c r="N6733" s="308" t="s">
        <v>27245</v>
      </c>
      <c r="O6733" s="308"/>
      <c r="P6733" s="308" t="s">
        <v>136</v>
      </c>
      <c r="Q6733" s="308" t="s">
        <v>39345</v>
      </c>
      <c r="R6733" s="308" t="s">
        <v>2743</v>
      </c>
      <c r="S6733" s="315" t="s">
        <v>100</v>
      </c>
      <c r="T6733" s="308" t="s">
        <v>34208</v>
      </c>
      <c r="U6733" s="308" t="s">
        <v>125</v>
      </c>
      <c r="V6733" s="308" t="s">
        <v>27246</v>
      </c>
    </row>
    <row r="6734">
      <c r="A6734" s="308">
        <v>6733.0</v>
      </c>
      <c r="B6734" s="308"/>
      <c r="C6734" s="308" t="s">
        <v>27247</v>
      </c>
      <c r="D6734" s="308">
        <f>IFERROR(__xludf.DUMMYFUNCTION("SPLIT(C6734,""-"")"),6754.0)</f>
        <v>6754</v>
      </c>
      <c r="E6734" s="308" t="str">
        <f>IFERROR(__xludf.DUMMYFUNCTION("""COMPUTED_VALUE"""),"K")</f>
        <v>K</v>
      </c>
      <c r="F6734" s="309" t="s">
        <v>34</v>
      </c>
      <c r="G6734" s="308"/>
      <c r="H6734" s="308" t="s">
        <v>27248</v>
      </c>
      <c r="I6734" s="310">
        <v>43525.0</v>
      </c>
      <c r="J6734" s="319">
        <f>IFERROR(__xludf.DUMMYFUNCTION("SPLIT(I6734,""/"")"),1.0)</f>
        <v>1</v>
      </c>
      <c r="K6734" s="308">
        <f>IFERROR(__xludf.DUMMYFUNCTION("""COMPUTED_VALUE"""),3.0)</f>
        <v>3</v>
      </c>
      <c r="L6734" s="308">
        <f>IFERROR(__xludf.DUMMYFUNCTION("""COMPUTED_VALUE"""),2019.0)</f>
        <v>2019</v>
      </c>
      <c r="M6734" s="308" t="s">
        <v>27249</v>
      </c>
      <c r="N6734" s="308" t="s">
        <v>27250</v>
      </c>
      <c r="O6734" s="308" t="s">
        <v>27251</v>
      </c>
      <c r="P6734" s="308" t="s">
        <v>136</v>
      </c>
      <c r="Q6734" s="308" t="s">
        <v>39345</v>
      </c>
      <c r="R6734" s="308" t="s">
        <v>2743</v>
      </c>
      <c r="S6734" s="315" t="s">
        <v>100</v>
      </c>
      <c r="T6734" s="308" t="s">
        <v>34208</v>
      </c>
      <c r="U6734" s="308" t="s">
        <v>368</v>
      </c>
      <c r="V6734" s="308"/>
    </row>
    <row r="6735">
      <c r="A6735" s="308">
        <v>6734.0</v>
      </c>
      <c r="B6735" s="308"/>
      <c r="C6735" s="308" t="s">
        <v>27252</v>
      </c>
      <c r="D6735" s="308">
        <f>IFERROR(__xludf.DUMMYFUNCTION("SPLIT(C6735,""-"")"),6755.0)</f>
        <v>6755</v>
      </c>
      <c r="E6735" s="308" t="str">
        <f>IFERROR(__xludf.DUMMYFUNCTION("""COMPUTED_VALUE"""),"K")</f>
        <v>K</v>
      </c>
      <c r="F6735" s="309" t="s">
        <v>34</v>
      </c>
      <c r="G6735" s="308"/>
      <c r="H6735" s="308" t="s">
        <v>27253</v>
      </c>
      <c r="I6735" s="310">
        <v>39976.0</v>
      </c>
      <c r="J6735" s="319">
        <f>IFERROR(__xludf.DUMMYFUNCTION("SPLIT(I6735,""/"")"),12.0)</f>
        <v>12</v>
      </c>
      <c r="K6735" s="308">
        <f>IFERROR(__xludf.DUMMYFUNCTION("""COMPUTED_VALUE"""),6.0)</f>
        <v>6</v>
      </c>
      <c r="L6735" s="308">
        <f>IFERROR(__xludf.DUMMYFUNCTION("""COMPUTED_VALUE"""),2009.0)</f>
        <v>2009</v>
      </c>
      <c r="M6735" s="308" t="s">
        <v>27254</v>
      </c>
      <c r="N6735" s="308" t="s">
        <v>27255</v>
      </c>
      <c r="O6735" s="308"/>
      <c r="P6735" s="308" t="s">
        <v>136</v>
      </c>
      <c r="Q6735" s="308" t="s">
        <v>39346</v>
      </c>
      <c r="R6735" s="308" t="s">
        <v>2743</v>
      </c>
      <c r="S6735" s="315" t="s">
        <v>100</v>
      </c>
      <c r="T6735" s="308" t="s">
        <v>34208</v>
      </c>
      <c r="U6735" s="308" t="s">
        <v>27256</v>
      </c>
      <c r="V6735" s="308"/>
    </row>
    <row r="6736">
      <c r="A6736" s="308">
        <v>6735.0</v>
      </c>
      <c r="B6736" s="308"/>
      <c r="C6736" s="308" t="s">
        <v>27257</v>
      </c>
      <c r="D6736" s="308">
        <f>IFERROR(__xludf.DUMMYFUNCTION("SPLIT(C6736,""-"")"),6756.0)</f>
        <v>6756</v>
      </c>
      <c r="E6736" s="308" t="str">
        <f>IFERROR(__xludf.DUMMYFUNCTION("""COMPUTED_VALUE"""),"K")</f>
        <v>K</v>
      </c>
      <c r="F6736" s="309" t="s">
        <v>34</v>
      </c>
      <c r="G6736" s="308"/>
      <c r="H6736" s="308" t="s">
        <v>27258</v>
      </c>
      <c r="I6736" s="310">
        <v>44048.0</v>
      </c>
      <c r="J6736" s="319">
        <f>IFERROR(__xludf.DUMMYFUNCTION("SPLIT(I6736,""/"")"),5.0)</f>
        <v>5</v>
      </c>
      <c r="K6736" s="308">
        <f>IFERROR(__xludf.DUMMYFUNCTION("""COMPUTED_VALUE"""),8.0)</f>
        <v>8</v>
      </c>
      <c r="L6736" s="308">
        <f>IFERROR(__xludf.DUMMYFUNCTION("""COMPUTED_VALUE"""),2020.0)</f>
        <v>2020</v>
      </c>
      <c r="M6736" s="308" t="s">
        <v>27259</v>
      </c>
      <c r="N6736" s="308" t="s">
        <v>27260</v>
      </c>
      <c r="O6736" s="308"/>
      <c r="P6736" s="308" t="s">
        <v>27261</v>
      </c>
      <c r="Q6736" s="308" t="s">
        <v>39346</v>
      </c>
      <c r="R6736" s="308" t="s">
        <v>26929</v>
      </c>
      <c r="S6736" s="308" t="s">
        <v>81</v>
      </c>
      <c r="T6736" s="311" t="s">
        <v>51</v>
      </c>
      <c r="U6736" s="308" t="s">
        <v>4487</v>
      </c>
      <c r="V6736" s="308"/>
    </row>
    <row r="6737">
      <c r="A6737" s="308">
        <v>6736.0</v>
      </c>
      <c r="B6737" s="308"/>
      <c r="C6737" s="308" t="s">
        <v>27262</v>
      </c>
      <c r="D6737" s="308">
        <f>IFERROR(__xludf.DUMMYFUNCTION("SPLIT(C6737,""-"")"),6757.0)</f>
        <v>6757</v>
      </c>
      <c r="E6737" s="308" t="str">
        <f>IFERROR(__xludf.DUMMYFUNCTION("""COMPUTED_VALUE"""),"P")</f>
        <v>P</v>
      </c>
      <c r="F6737" s="312" t="s">
        <v>37</v>
      </c>
      <c r="G6737" s="308"/>
      <c r="H6737" s="308" t="s">
        <v>27263</v>
      </c>
      <c r="I6737" s="310">
        <v>44025.0</v>
      </c>
      <c r="J6737" s="319">
        <f>IFERROR(__xludf.DUMMYFUNCTION("SPLIT(I6737,""/"")"),13.0)</f>
        <v>13</v>
      </c>
      <c r="K6737" s="308">
        <f>IFERROR(__xludf.DUMMYFUNCTION("""COMPUTED_VALUE"""),7.0)</f>
        <v>7</v>
      </c>
      <c r="L6737" s="308">
        <f>IFERROR(__xludf.DUMMYFUNCTION("""COMPUTED_VALUE"""),2020.0)</f>
        <v>2020</v>
      </c>
      <c r="M6737" s="308" t="s">
        <v>27264</v>
      </c>
      <c r="N6737" s="308" t="s">
        <v>27265</v>
      </c>
      <c r="O6737" s="308"/>
      <c r="P6737" s="308" t="s">
        <v>136</v>
      </c>
      <c r="Q6737" s="308" t="s">
        <v>39347</v>
      </c>
      <c r="R6737" s="308" t="s">
        <v>2743</v>
      </c>
      <c r="S6737" s="315" t="s">
        <v>100</v>
      </c>
      <c r="T6737" s="308" t="s">
        <v>34208</v>
      </c>
      <c r="U6737" s="308" t="s">
        <v>2263</v>
      </c>
      <c r="V6737" s="308"/>
    </row>
    <row r="6738">
      <c r="A6738" s="308">
        <v>6737.0</v>
      </c>
      <c r="B6738" s="308"/>
      <c r="C6738" s="308" t="s">
        <v>27266</v>
      </c>
      <c r="D6738" s="308">
        <f>IFERROR(__xludf.DUMMYFUNCTION("SPLIT(C6738,""-"")"),6758.0)</f>
        <v>6758</v>
      </c>
      <c r="E6738" s="308" t="str">
        <f>IFERROR(__xludf.DUMMYFUNCTION("""COMPUTED_VALUE"""),"I")</f>
        <v>I</v>
      </c>
      <c r="F6738" s="309" t="s">
        <v>31</v>
      </c>
      <c r="G6738" s="308"/>
      <c r="H6738" s="308" t="s">
        <v>22100</v>
      </c>
      <c r="I6738" s="310">
        <v>44071.0</v>
      </c>
      <c r="J6738" s="319">
        <f>IFERROR(__xludf.DUMMYFUNCTION("SPLIT(I6738,""/"")"),28.0)</f>
        <v>28</v>
      </c>
      <c r="K6738" s="308">
        <f>IFERROR(__xludf.DUMMYFUNCTION("""COMPUTED_VALUE"""),8.0)</f>
        <v>8</v>
      </c>
      <c r="L6738" s="308">
        <f>IFERROR(__xludf.DUMMYFUNCTION("""COMPUTED_VALUE"""),2020.0)</f>
        <v>2020</v>
      </c>
      <c r="M6738" s="308" t="s">
        <v>27267</v>
      </c>
      <c r="N6738" s="308" t="s">
        <v>24523</v>
      </c>
      <c r="O6738" s="308"/>
      <c r="P6738" s="308" t="s">
        <v>39348</v>
      </c>
      <c r="Q6738" s="308" t="s">
        <v>39347</v>
      </c>
      <c r="R6738" s="308" t="s">
        <v>2743</v>
      </c>
      <c r="S6738" s="308" t="s">
        <v>81</v>
      </c>
      <c r="T6738" s="311" t="s">
        <v>96</v>
      </c>
      <c r="U6738" s="308" t="s">
        <v>31</v>
      </c>
      <c r="V6738" s="308"/>
    </row>
    <row r="6739">
      <c r="A6739" s="308">
        <v>6738.0</v>
      </c>
      <c r="B6739" s="308"/>
      <c r="C6739" s="308" t="s">
        <v>27269</v>
      </c>
      <c r="D6739" s="308">
        <f>IFERROR(__xludf.DUMMYFUNCTION("SPLIT(C6739,""-"")"),6759.0)</f>
        <v>6759</v>
      </c>
      <c r="E6739" s="308" t="str">
        <f>IFERROR(__xludf.DUMMYFUNCTION("""COMPUTED_VALUE"""),"S")</f>
        <v>S</v>
      </c>
      <c r="F6739" s="312" t="s">
        <v>39</v>
      </c>
      <c r="G6739" s="308"/>
      <c r="H6739" s="308" t="s">
        <v>39349</v>
      </c>
      <c r="I6739" s="310">
        <v>44068.0</v>
      </c>
      <c r="J6739" s="319">
        <f>IFERROR(__xludf.DUMMYFUNCTION("SPLIT(I6739,""/"")"),25.0)</f>
        <v>25</v>
      </c>
      <c r="K6739" s="308">
        <f>IFERROR(__xludf.DUMMYFUNCTION("""COMPUTED_VALUE"""),8.0)</f>
        <v>8</v>
      </c>
      <c r="L6739" s="308">
        <f>IFERROR(__xludf.DUMMYFUNCTION("""COMPUTED_VALUE"""),2020.0)</f>
        <v>2020</v>
      </c>
      <c r="M6739" s="308" t="s">
        <v>27271</v>
      </c>
      <c r="N6739" s="308" t="s">
        <v>27272</v>
      </c>
      <c r="O6739" s="308"/>
      <c r="P6739" s="308" t="s">
        <v>39350</v>
      </c>
      <c r="Q6739" s="308" t="s">
        <v>39351</v>
      </c>
      <c r="R6739" s="308" t="s">
        <v>2743</v>
      </c>
      <c r="S6739" s="308" t="s">
        <v>81</v>
      </c>
      <c r="T6739" s="308" t="s">
        <v>73</v>
      </c>
      <c r="U6739" s="308" t="s">
        <v>166</v>
      </c>
      <c r="V6739" s="308"/>
    </row>
    <row r="6740">
      <c r="A6740" s="308">
        <v>6739.0</v>
      </c>
      <c r="B6740" s="308"/>
      <c r="C6740" s="308" t="s">
        <v>27274</v>
      </c>
      <c r="D6740" s="308">
        <f>IFERROR(__xludf.DUMMYFUNCTION("SPLIT(C6740,""-"")"),6760.0)</f>
        <v>6760</v>
      </c>
      <c r="E6740" s="308" t="str">
        <f>IFERROR(__xludf.DUMMYFUNCTION("""COMPUTED_VALUE"""),"P")</f>
        <v>P</v>
      </c>
      <c r="F6740" s="312" t="s">
        <v>37</v>
      </c>
      <c r="G6740" s="308"/>
      <c r="H6740" s="308" t="s">
        <v>27275</v>
      </c>
      <c r="I6740" s="310">
        <v>44012.0</v>
      </c>
      <c r="J6740" s="319">
        <f>IFERROR(__xludf.DUMMYFUNCTION("SPLIT(I6740,""/"")"),30.0)</f>
        <v>30</v>
      </c>
      <c r="K6740" s="308">
        <f>IFERROR(__xludf.DUMMYFUNCTION("""COMPUTED_VALUE"""),6.0)</f>
        <v>6</v>
      </c>
      <c r="L6740" s="308">
        <f>IFERROR(__xludf.DUMMYFUNCTION("""COMPUTED_VALUE"""),2020.0)</f>
        <v>2020</v>
      </c>
      <c r="M6740" s="308" t="s">
        <v>27276</v>
      </c>
      <c r="N6740" s="308" t="s">
        <v>27277</v>
      </c>
      <c r="O6740" s="308" t="s">
        <v>27278</v>
      </c>
      <c r="P6740" s="308" t="s">
        <v>39352</v>
      </c>
      <c r="Q6740" s="308" t="s">
        <v>39353</v>
      </c>
      <c r="R6740" s="308" t="s">
        <v>2743</v>
      </c>
      <c r="S6740" s="308" t="s">
        <v>81</v>
      </c>
      <c r="T6740" s="311" t="s">
        <v>96</v>
      </c>
      <c r="U6740" s="308" t="s">
        <v>3407</v>
      </c>
      <c r="V6740" s="308"/>
    </row>
    <row r="6741">
      <c r="A6741" s="308">
        <v>6740.0</v>
      </c>
      <c r="B6741" s="308"/>
      <c r="C6741" s="308" t="s">
        <v>27280</v>
      </c>
      <c r="D6741" s="308">
        <f>IFERROR(__xludf.DUMMYFUNCTION("SPLIT(C6741,""-"")"),6761.0)</f>
        <v>6761</v>
      </c>
      <c r="E6741" s="308" t="str">
        <f>IFERROR(__xludf.DUMMYFUNCTION("""COMPUTED_VALUE"""),"P")</f>
        <v>P</v>
      </c>
      <c r="F6741" s="312" t="s">
        <v>37</v>
      </c>
      <c r="G6741" s="308"/>
      <c r="H6741" s="308" t="s">
        <v>27281</v>
      </c>
      <c r="I6741" s="310">
        <v>44054.0</v>
      </c>
      <c r="J6741" s="319">
        <f>IFERROR(__xludf.DUMMYFUNCTION("SPLIT(I6741,""/"")"),11.0)</f>
        <v>11</v>
      </c>
      <c r="K6741" s="308">
        <f>IFERROR(__xludf.DUMMYFUNCTION("""COMPUTED_VALUE"""),8.0)</f>
        <v>8</v>
      </c>
      <c r="L6741" s="308">
        <f>IFERROR(__xludf.DUMMYFUNCTION("""COMPUTED_VALUE"""),2020.0)</f>
        <v>2020</v>
      </c>
      <c r="M6741" s="308" t="s">
        <v>27282</v>
      </c>
      <c r="N6741" s="308" t="s">
        <v>27283</v>
      </c>
      <c r="O6741" s="308" t="s">
        <v>27284</v>
      </c>
      <c r="P6741" s="308" t="s">
        <v>39354</v>
      </c>
      <c r="Q6741" s="308" t="s">
        <v>39355</v>
      </c>
      <c r="R6741" s="308" t="s">
        <v>2743</v>
      </c>
      <c r="S6741" s="308" t="s">
        <v>81</v>
      </c>
      <c r="T6741" s="311" t="s">
        <v>51</v>
      </c>
      <c r="U6741" s="308" t="s">
        <v>143</v>
      </c>
      <c r="V6741" s="308"/>
    </row>
    <row r="6742">
      <c r="A6742" s="308">
        <v>6741.0</v>
      </c>
      <c r="B6742" s="308"/>
      <c r="C6742" s="308" t="s">
        <v>27286</v>
      </c>
      <c r="D6742" s="308">
        <f>IFERROR(__xludf.DUMMYFUNCTION("SPLIT(C6742,""-"")"),6762.0)</f>
        <v>6762</v>
      </c>
      <c r="E6742" s="308" t="str">
        <f>IFERROR(__xludf.DUMMYFUNCTION("""COMPUTED_VALUE"""),"K")</f>
        <v>K</v>
      </c>
      <c r="F6742" s="309" t="s">
        <v>34</v>
      </c>
      <c r="G6742" s="308"/>
      <c r="H6742" s="308" t="s">
        <v>27287</v>
      </c>
      <c r="I6742" s="310">
        <v>44057.0</v>
      </c>
      <c r="J6742" s="319">
        <f>IFERROR(__xludf.DUMMYFUNCTION("SPLIT(I6742,""/"")"),14.0)</f>
        <v>14</v>
      </c>
      <c r="K6742" s="308">
        <f>IFERROR(__xludf.DUMMYFUNCTION("""COMPUTED_VALUE"""),8.0)</f>
        <v>8</v>
      </c>
      <c r="L6742" s="308">
        <f>IFERROR(__xludf.DUMMYFUNCTION("""COMPUTED_VALUE"""),2020.0)</f>
        <v>2020</v>
      </c>
      <c r="M6742" s="308" t="s">
        <v>27288</v>
      </c>
      <c r="N6742" s="308" t="s">
        <v>39356</v>
      </c>
      <c r="O6742" s="308" t="s">
        <v>27290</v>
      </c>
      <c r="P6742" s="308" t="s">
        <v>39357</v>
      </c>
      <c r="Q6742" s="308" t="s">
        <v>39355</v>
      </c>
      <c r="R6742" s="308" t="s">
        <v>2743</v>
      </c>
      <c r="S6742" s="308" t="s">
        <v>81</v>
      </c>
      <c r="T6742" s="308" t="s">
        <v>34264</v>
      </c>
      <c r="U6742" s="308" t="s">
        <v>201</v>
      </c>
      <c r="V6742" s="308"/>
    </row>
    <row r="6743">
      <c r="A6743" s="308">
        <v>6742.0</v>
      </c>
      <c r="B6743" s="308"/>
      <c r="C6743" s="308" t="s">
        <v>27292</v>
      </c>
      <c r="D6743" s="308">
        <f>IFERROR(__xludf.DUMMYFUNCTION("SPLIT(C6743,""-"")"),6763.0)</f>
        <v>6763</v>
      </c>
      <c r="E6743" s="308" t="str">
        <f>IFERROR(__xludf.DUMMYFUNCTION("""COMPUTED_VALUE"""),"P")</f>
        <v>P</v>
      </c>
      <c r="F6743" s="312" t="s">
        <v>37</v>
      </c>
      <c r="G6743" s="308"/>
      <c r="H6743" s="308" t="s">
        <v>27293</v>
      </c>
      <c r="I6743" s="310">
        <v>43682.0</v>
      </c>
      <c r="J6743" s="319">
        <f>IFERROR(__xludf.DUMMYFUNCTION("SPLIT(I6743,""/"")"),5.0)</f>
        <v>5</v>
      </c>
      <c r="K6743" s="308">
        <f>IFERROR(__xludf.DUMMYFUNCTION("""COMPUTED_VALUE"""),8.0)</f>
        <v>8</v>
      </c>
      <c r="L6743" s="308">
        <f>IFERROR(__xludf.DUMMYFUNCTION("""COMPUTED_VALUE"""),2019.0)</f>
        <v>2019</v>
      </c>
      <c r="M6743" s="308" t="s">
        <v>27294</v>
      </c>
      <c r="N6743" s="308" t="s">
        <v>27295</v>
      </c>
      <c r="O6743" s="308"/>
      <c r="P6743" s="308" t="s">
        <v>39358</v>
      </c>
      <c r="Q6743" s="308" t="s">
        <v>39359</v>
      </c>
      <c r="R6743" s="308" t="s">
        <v>2743</v>
      </c>
      <c r="S6743" s="308" t="s">
        <v>81</v>
      </c>
      <c r="T6743" s="308" t="s">
        <v>34264</v>
      </c>
      <c r="U6743" s="308" t="s">
        <v>26124</v>
      </c>
      <c r="V6743" s="308"/>
    </row>
    <row r="6744">
      <c r="A6744" s="308">
        <v>6743.0</v>
      </c>
      <c r="B6744" s="308"/>
      <c r="C6744" s="308" t="s">
        <v>27297</v>
      </c>
      <c r="D6744" s="308">
        <f>IFERROR(__xludf.DUMMYFUNCTION("SPLIT(C6744,""-"")"),6764.0)</f>
        <v>6764</v>
      </c>
      <c r="E6744" s="308" t="str">
        <f>IFERROR(__xludf.DUMMYFUNCTION("""COMPUTED_VALUE"""),"K")</f>
        <v>K</v>
      </c>
      <c r="F6744" s="309" t="s">
        <v>34</v>
      </c>
      <c r="G6744" s="308"/>
      <c r="H6744" s="308" t="s">
        <v>27298</v>
      </c>
      <c r="I6744" s="310">
        <v>41714.0</v>
      </c>
      <c r="J6744" s="319">
        <f>IFERROR(__xludf.DUMMYFUNCTION("SPLIT(I6744,""/"")"),16.0)</f>
        <v>16</v>
      </c>
      <c r="K6744" s="308">
        <f>IFERROR(__xludf.DUMMYFUNCTION("""COMPUTED_VALUE"""),3.0)</f>
        <v>3</v>
      </c>
      <c r="L6744" s="308">
        <f>IFERROR(__xludf.DUMMYFUNCTION("""COMPUTED_VALUE"""),2014.0)</f>
        <v>2014</v>
      </c>
      <c r="M6744" s="308" t="s">
        <v>27299</v>
      </c>
      <c r="N6744" s="308" t="s">
        <v>27300</v>
      </c>
      <c r="O6744" s="308"/>
      <c r="P6744" s="308" t="s">
        <v>39360</v>
      </c>
      <c r="Q6744" s="308" t="s">
        <v>39351</v>
      </c>
      <c r="R6744" s="308" t="s">
        <v>2743</v>
      </c>
      <c r="S6744" s="308" t="s">
        <v>49</v>
      </c>
      <c r="T6744" s="308" t="s">
        <v>51</v>
      </c>
      <c r="U6744" s="308" t="s">
        <v>530</v>
      </c>
      <c r="V6744" s="308"/>
    </row>
    <row r="6745">
      <c r="A6745" s="308">
        <v>6744.0</v>
      </c>
      <c r="B6745" s="308"/>
      <c r="C6745" s="308" t="s">
        <v>27302</v>
      </c>
      <c r="D6745" s="308">
        <f>IFERROR(__xludf.DUMMYFUNCTION("SPLIT(C6745,""-"")"),6765.0)</f>
        <v>6765</v>
      </c>
      <c r="E6745" s="308" t="str">
        <f>IFERROR(__xludf.DUMMYFUNCTION("""COMPUTED_VALUE"""),"B")</f>
        <v>B</v>
      </c>
      <c r="F6745" s="315" t="s">
        <v>26</v>
      </c>
      <c r="G6745" s="308"/>
      <c r="H6745" s="308" t="s">
        <v>27303</v>
      </c>
      <c r="I6745" s="310">
        <v>42804.0</v>
      </c>
      <c r="J6745" s="319">
        <f>IFERROR(__xludf.DUMMYFUNCTION("SPLIT(I6745,""/"")"),10.0)</f>
        <v>10</v>
      </c>
      <c r="K6745" s="308">
        <f>IFERROR(__xludf.DUMMYFUNCTION("""COMPUTED_VALUE"""),3.0)</f>
        <v>3</v>
      </c>
      <c r="L6745" s="308">
        <f>IFERROR(__xludf.DUMMYFUNCTION("""COMPUTED_VALUE"""),2017.0)</f>
        <v>2017</v>
      </c>
      <c r="M6745" s="308" t="s">
        <v>27304</v>
      </c>
      <c r="N6745" s="308" t="s">
        <v>27305</v>
      </c>
      <c r="O6745" s="308"/>
      <c r="P6745" s="308" t="s">
        <v>27306</v>
      </c>
      <c r="Q6745" s="308" t="s">
        <v>39361</v>
      </c>
      <c r="R6745" s="308" t="s">
        <v>2743</v>
      </c>
      <c r="S6745" s="308" t="s">
        <v>81</v>
      </c>
      <c r="T6745" s="311" t="s">
        <v>96</v>
      </c>
      <c r="U6745" s="308" t="s">
        <v>27</v>
      </c>
      <c r="V6745" s="308"/>
    </row>
    <row r="6746">
      <c r="A6746" s="308">
        <v>6745.0</v>
      </c>
      <c r="B6746" s="308"/>
      <c r="C6746" s="308" t="s">
        <v>27307</v>
      </c>
      <c r="D6746" s="308">
        <f>IFERROR(__xludf.DUMMYFUNCTION("SPLIT(C6746,""-"")"),6766.0)</f>
        <v>6766</v>
      </c>
      <c r="E6746" s="308" t="str">
        <f>IFERROR(__xludf.DUMMYFUNCTION("""COMPUTED_VALUE"""),"B")</f>
        <v>B</v>
      </c>
      <c r="F6746" s="315" t="s">
        <v>26</v>
      </c>
      <c r="G6746" s="308"/>
      <c r="H6746" s="308" t="s">
        <v>27308</v>
      </c>
      <c r="I6746" s="310">
        <v>43231.0</v>
      </c>
      <c r="J6746" s="319">
        <f>IFERROR(__xludf.DUMMYFUNCTION("SPLIT(I6746,""/"")"),11.0)</f>
        <v>11</v>
      </c>
      <c r="K6746" s="308">
        <f>IFERROR(__xludf.DUMMYFUNCTION("""COMPUTED_VALUE"""),5.0)</f>
        <v>5</v>
      </c>
      <c r="L6746" s="308">
        <f>IFERROR(__xludf.DUMMYFUNCTION("""COMPUTED_VALUE"""),2018.0)</f>
        <v>2018</v>
      </c>
      <c r="M6746" s="308" t="s">
        <v>27309</v>
      </c>
      <c r="N6746" s="308" t="s">
        <v>27310</v>
      </c>
      <c r="O6746" s="308"/>
      <c r="P6746" s="308" t="s">
        <v>39362</v>
      </c>
      <c r="Q6746" s="308" t="s">
        <v>39361</v>
      </c>
      <c r="R6746" s="308" t="s">
        <v>2743</v>
      </c>
      <c r="S6746" s="308" t="s">
        <v>81</v>
      </c>
      <c r="T6746" s="311" t="s">
        <v>96</v>
      </c>
      <c r="U6746" s="308" t="s">
        <v>27</v>
      </c>
      <c r="V6746" s="308"/>
    </row>
    <row r="6747">
      <c r="A6747" s="308">
        <v>6746.0</v>
      </c>
      <c r="B6747" s="308"/>
      <c r="C6747" s="308" t="s">
        <v>27312</v>
      </c>
      <c r="D6747" s="308">
        <f>IFERROR(__xludf.DUMMYFUNCTION("SPLIT(C6747,""-"")"),6767.0)</f>
        <v>6767</v>
      </c>
      <c r="E6747" s="308" t="str">
        <f>IFERROR(__xludf.DUMMYFUNCTION("""COMPUTED_VALUE"""),"B")</f>
        <v>B</v>
      </c>
      <c r="F6747" s="315" t="s">
        <v>26</v>
      </c>
      <c r="G6747" s="308"/>
      <c r="H6747" s="308" t="s">
        <v>27313</v>
      </c>
      <c r="I6747" s="310">
        <v>42845.0</v>
      </c>
      <c r="J6747" s="319">
        <f>IFERROR(__xludf.DUMMYFUNCTION("SPLIT(I6747,""/"")"),20.0)</f>
        <v>20</v>
      </c>
      <c r="K6747" s="308">
        <f>IFERROR(__xludf.DUMMYFUNCTION("""COMPUTED_VALUE"""),4.0)</f>
        <v>4</v>
      </c>
      <c r="L6747" s="308">
        <f>IFERROR(__xludf.DUMMYFUNCTION("""COMPUTED_VALUE"""),2017.0)</f>
        <v>2017</v>
      </c>
      <c r="M6747" s="308" t="s">
        <v>27314</v>
      </c>
      <c r="N6747" s="308" t="s">
        <v>27315</v>
      </c>
      <c r="O6747" s="308"/>
      <c r="P6747" s="308" t="s">
        <v>136</v>
      </c>
      <c r="Q6747" s="308" t="s">
        <v>39361</v>
      </c>
      <c r="R6747" s="308" t="s">
        <v>2743</v>
      </c>
      <c r="S6747" s="315" t="s">
        <v>100</v>
      </c>
      <c r="T6747" s="308" t="s">
        <v>34208</v>
      </c>
      <c r="U6747" s="308" t="s">
        <v>27</v>
      </c>
      <c r="V6747" s="308"/>
    </row>
    <row r="6748">
      <c r="A6748" s="308">
        <v>6747.0</v>
      </c>
      <c r="B6748" s="308"/>
      <c r="C6748" s="308" t="s">
        <v>27316</v>
      </c>
      <c r="D6748" s="308">
        <f>IFERROR(__xludf.DUMMYFUNCTION("SPLIT(C6748,""-"")"),6768.0)</f>
        <v>6768</v>
      </c>
      <c r="E6748" s="308" t="str">
        <f>IFERROR(__xludf.DUMMYFUNCTION("""COMPUTED_VALUE"""),"B")</f>
        <v>B</v>
      </c>
      <c r="F6748" s="315" t="s">
        <v>26</v>
      </c>
      <c r="G6748" s="308"/>
      <c r="H6748" s="308" t="s">
        <v>27317</v>
      </c>
      <c r="I6748" s="310">
        <v>43229.0</v>
      </c>
      <c r="J6748" s="319">
        <f>IFERROR(__xludf.DUMMYFUNCTION("SPLIT(I6748,""/"")"),9.0)</f>
        <v>9</v>
      </c>
      <c r="K6748" s="308">
        <f>IFERROR(__xludf.DUMMYFUNCTION("""COMPUTED_VALUE"""),5.0)</f>
        <v>5</v>
      </c>
      <c r="L6748" s="308">
        <f>IFERROR(__xludf.DUMMYFUNCTION("""COMPUTED_VALUE"""),2018.0)</f>
        <v>2018</v>
      </c>
      <c r="M6748" s="308" t="s">
        <v>39363</v>
      </c>
      <c r="N6748" s="308" t="s">
        <v>439</v>
      </c>
      <c r="O6748" s="308"/>
      <c r="P6748" s="308" t="s">
        <v>39364</v>
      </c>
      <c r="Q6748" s="308" t="s">
        <v>39361</v>
      </c>
      <c r="R6748" s="308" t="s">
        <v>2743</v>
      </c>
      <c r="S6748" s="308" t="s">
        <v>81</v>
      </c>
      <c r="T6748" s="311" t="s">
        <v>96</v>
      </c>
      <c r="U6748" s="308" t="s">
        <v>27</v>
      </c>
      <c r="V6748" s="308"/>
    </row>
    <row r="6749">
      <c r="A6749" s="308">
        <v>6748.0</v>
      </c>
      <c r="B6749" s="308"/>
      <c r="C6749" s="308" t="s">
        <v>27320</v>
      </c>
      <c r="D6749" s="308">
        <f>IFERROR(__xludf.DUMMYFUNCTION("SPLIT(C6749,""-"")"),6769.0)</f>
        <v>6769</v>
      </c>
      <c r="E6749" s="308" t="str">
        <f>IFERROR(__xludf.DUMMYFUNCTION("""COMPUTED_VALUE"""),"K")</f>
        <v>K</v>
      </c>
      <c r="F6749" s="309" t="s">
        <v>34</v>
      </c>
      <c r="G6749" s="308"/>
      <c r="H6749" s="308" t="s">
        <v>27321</v>
      </c>
      <c r="I6749" s="310">
        <v>41871.0</v>
      </c>
      <c r="J6749" s="319">
        <f>IFERROR(__xludf.DUMMYFUNCTION("SPLIT(I6749,""/"")"),20.0)</f>
        <v>20</v>
      </c>
      <c r="K6749" s="308">
        <f>IFERROR(__xludf.DUMMYFUNCTION("""COMPUTED_VALUE"""),8.0)</f>
        <v>8</v>
      </c>
      <c r="L6749" s="308">
        <f>IFERROR(__xludf.DUMMYFUNCTION("""COMPUTED_VALUE"""),2014.0)</f>
        <v>2014</v>
      </c>
      <c r="M6749" s="308" t="s">
        <v>27322</v>
      </c>
      <c r="N6749" s="308" t="s">
        <v>27323</v>
      </c>
      <c r="O6749" s="308"/>
      <c r="P6749" s="308" t="s">
        <v>39365</v>
      </c>
      <c r="Q6749" s="308" t="s">
        <v>39361</v>
      </c>
      <c r="R6749" s="308" t="s">
        <v>2743</v>
      </c>
      <c r="S6749" s="308" t="s">
        <v>49</v>
      </c>
      <c r="T6749" s="308" t="s">
        <v>51</v>
      </c>
      <c r="U6749" s="308" t="s">
        <v>368</v>
      </c>
      <c r="V6749" s="308"/>
    </row>
    <row r="6750">
      <c r="A6750" s="308">
        <v>6749.0</v>
      </c>
      <c r="B6750" s="308"/>
      <c r="C6750" s="308" t="s">
        <v>27325</v>
      </c>
      <c r="D6750" s="308">
        <f>IFERROR(__xludf.DUMMYFUNCTION("SPLIT(C6750,""-"")"),6770.0)</f>
        <v>6770</v>
      </c>
      <c r="E6750" s="308" t="str">
        <f>IFERROR(__xludf.DUMMYFUNCTION("""COMPUTED_VALUE"""),"K")</f>
        <v>K</v>
      </c>
      <c r="F6750" s="309" t="s">
        <v>34</v>
      </c>
      <c r="G6750" s="308"/>
      <c r="H6750" s="308" t="s">
        <v>27326</v>
      </c>
      <c r="I6750" s="310">
        <v>42844.0</v>
      </c>
      <c r="J6750" s="319" t="str">
        <f>IFERROR(__xludf.DUMMYFUNCTION("SPLIT(I6750,""/"")"),"#REF!")</f>
        <v>#REF!</v>
      </c>
      <c r="K6750" s="308"/>
      <c r="L6750" s="308">
        <v>2017.0</v>
      </c>
      <c r="M6750" s="308" t="s">
        <v>27327</v>
      </c>
      <c r="N6750" s="308" t="s">
        <v>27328</v>
      </c>
      <c r="O6750" s="308"/>
      <c r="P6750" s="308" t="s">
        <v>136</v>
      </c>
      <c r="Q6750" s="308" t="s">
        <v>39361</v>
      </c>
      <c r="R6750" s="308" t="s">
        <v>2743</v>
      </c>
      <c r="S6750" s="315" t="s">
        <v>100</v>
      </c>
      <c r="T6750" s="308" t="s">
        <v>34208</v>
      </c>
      <c r="U6750" s="308" t="s">
        <v>125</v>
      </c>
      <c r="V6750" s="308"/>
    </row>
    <row r="6751">
      <c r="A6751" s="308">
        <v>6750.0</v>
      </c>
      <c r="B6751" s="308"/>
      <c r="C6751" s="308" t="s">
        <v>27329</v>
      </c>
      <c r="D6751" s="308">
        <f>IFERROR(__xludf.DUMMYFUNCTION("SPLIT(C6751,""-"")"),6771.0)</f>
        <v>6771</v>
      </c>
      <c r="E6751" s="308" t="str">
        <f>IFERROR(__xludf.DUMMYFUNCTION("""COMPUTED_VALUE"""),"P")</f>
        <v>P</v>
      </c>
      <c r="F6751" s="312" t="s">
        <v>37</v>
      </c>
      <c r="G6751" s="308"/>
      <c r="H6751" s="308" t="s">
        <v>27330</v>
      </c>
      <c r="I6751" s="310">
        <v>43985.0</v>
      </c>
      <c r="J6751" s="319">
        <f>IFERROR(__xludf.DUMMYFUNCTION("SPLIT(I6751,""/"")"),3.0)</f>
        <v>3</v>
      </c>
      <c r="K6751" s="308">
        <f>IFERROR(__xludf.DUMMYFUNCTION("""COMPUTED_VALUE"""),6.0)</f>
        <v>6</v>
      </c>
      <c r="L6751" s="308">
        <f>IFERROR(__xludf.DUMMYFUNCTION("""COMPUTED_VALUE"""),2020.0)</f>
        <v>2020</v>
      </c>
      <c r="M6751" s="308" t="s">
        <v>27331</v>
      </c>
      <c r="N6751" s="308" t="s">
        <v>39366</v>
      </c>
      <c r="O6751" s="308"/>
      <c r="P6751" s="308" t="s">
        <v>27333</v>
      </c>
      <c r="Q6751" s="308" t="s">
        <v>39361</v>
      </c>
      <c r="R6751" s="308" t="s">
        <v>2743</v>
      </c>
      <c r="S6751" s="308" t="s">
        <v>81</v>
      </c>
      <c r="T6751" s="311" t="s">
        <v>51</v>
      </c>
      <c r="U6751" s="308" t="s">
        <v>10808</v>
      </c>
      <c r="V6751" s="308"/>
    </row>
    <row r="6752">
      <c r="A6752" s="308">
        <v>6751.0</v>
      </c>
      <c r="B6752" s="308"/>
      <c r="C6752" s="308" t="s">
        <v>27334</v>
      </c>
      <c r="D6752" s="308">
        <f>IFERROR(__xludf.DUMMYFUNCTION("SPLIT(C6752,""-"")"),6772.0)</f>
        <v>6772</v>
      </c>
      <c r="E6752" s="308" t="str">
        <f>IFERROR(__xludf.DUMMYFUNCTION("""COMPUTED_VALUE"""),"K")</f>
        <v>K</v>
      </c>
      <c r="F6752" s="309" t="s">
        <v>34</v>
      </c>
      <c r="G6752" s="308"/>
      <c r="H6752" s="308" t="s">
        <v>27335</v>
      </c>
      <c r="I6752" s="310">
        <v>41799.0</v>
      </c>
      <c r="J6752" s="319">
        <f>IFERROR(__xludf.DUMMYFUNCTION("SPLIT(I6752,""/"")"),9.0)</f>
        <v>9</v>
      </c>
      <c r="K6752" s="308">
        <f>IFERROR(__xludf.DUMMYFUNCTION("""COMPUTED_VALUE"""),6.0)</f>
        <v>6</v>
      </c>
      <c r="L6752" s="308">
        <f>IFERROR(__xludf.DUMMYFUNCTION("""COMPUTED_VALUE"""),2014.0)</f>
        <v>2014</v>
      </c>
      <c r="M6752" s="308" t="s">
        <v>27336</v>
      </c>
      <c r="N6752" s="308" t="s">
        <v>27337</v>
      </c>
      <c r="O6752" s="308"/>
      <c r="P6752" s="308" t="s">
        <v>136</v>
      </c>
      <c r="Q6752" s="308" t="s">
        <v>39367</v>
      </c>
      <c r="R6752" s="308" t="s">
        <v>16185</v>
      </c>
      <c r="S6752" s="315" t="s">
        <v>100</v>
      </c>
      <c r="T6752" s="308" t="s">
        <v>34208</v>
      </c>
      <c r="U6752" s="308" t="s">
        <v>4487</v>
      </c>
      <c r="V6752" s="308"/>
    </row>
    <row r="6753">
      <c r="A6753" s="308">
        <v>6752.0</v>
      </c>
      <c r="B6753" s="308"/>
      <c r="C6753" s="308" t="s">
        <v>27338</v>
      </c>
      <c r="D6753" s="308">
        <f>IFERROR(__xludf.DUMMYFUNCTION("SPLIT(C6753,""-"")"),6773.0)</f>
        <v>6773</v>
      </c>
      <c r="E6753" s="308" t="str">
        <f>IFERROR(__xludf.DUMMYFUNCTION("""COMPUTED_VALUE"""),"P")</f>
        <v>P</v>
      </c>
      <c r="F6753" s="312" t="s">
        <v>37</v>
      </c>
      <c r="G6753" s="308"/>
      <c r="H6753" s="308" t="s">
        <v>27339</v>
      </c>
      <c r="I6753" s="310">
        <v>43350.0</v>
      </c>
      <c r="J6753" s="319">
        <f>IFERROR(__xludf.DUMMYFUNCTION("SPLIT(I6753,""/"")"),7.0)</f>
        <v>7</v>
      </c>
      <c r="K6753" s="308">
        <f>IFERROR(__xludf.DUMMYFUNCTION("""COMPUTED_VALUE"""),9.0)</f>
        <v>9</v>
      </c>
      <c r="L6753" s="308">
        <f>IFERROR(__xludf.DUMMYFUNCTION("""COMPUTED_VALUE"""),2018.0)</f>
        <v>2018</v>
      </c>
      <c r="M6753" s="308" t="s">
        <v>27340</v>
      </c>
      <c r="N6753" s="308" t="s">
        <v>27341</v>
      </c>
      <c r="O6753" s="308"/>
      <c r="P6753" s="308" t="s">
        <v>136</v>
      </c>
      <c r="Q6753" s="308" t="s">
        <v>39367</v>
      </c>
      <c r="R6753" s="308" t="s">
        <v>16185</v>
      </c>
      <c r="S6753" s="315" t="s">
        <v>100</v>
      </c>
      <c r="T6753" s="308" t="s">
        <v>34208</v>
      </c>
      <c r="U6753" s="308" t="s">
        <v>143</v>
      </c>
      <c r="V6753" s="308"/>
    </row>
    <row r="6754">
      <c r="A6754" s="308">
        <v>6753.0</v>
      </c>
      <c r="B6754" s="308"/>
      <c r="C6754" s="308" t="s">
        <v>27342</v>
      </c>
      <c r="D6754" s="308">
        <f>IFERROR(__xludf.DUMMYFUNCTION("SPLIT(C6754,""-"")"),6774.0)</f>
        <v>6774</v>
      </c>
      <c r="E6754" s="308" t="str">
        <f>IFERROR(__xludf.DUMMYFUNCTION("""COMPUTED_VALUE"""),"B")</f>
        <v>B</v>
      </c>
      <c r="F6754" s="315" t="s">
        <v>26</v>
      </c>
      <c r="G6754" s="308"/>
      <c r="H6754" s="308" t="s">
        <v>27343</v>
      </c>
      <c r="I6754" s="310">
        <v>41510.0</v>
      </c>
      <c r="J6754" s="319">
        <f>IFERROR(__xludf.DUMMYFUNCTION("SPLIT(I6754,""/"")"),24.0)</f>
        <v>24</v>
      </c>
      <c r="K6754" s="308">
        <f>IFERROR(__xludf.DUMMYFUNCTION("""COMPUTED_VALUE"""),8.0)</f>
        <v>8</v>
      </c>
      <c r="L6754" s="308">
        <f>IFERROR(__xludf.DUMMYFUNCTION("""COMPUTED_VALUE"""),2013.0)</f>
        <v>2013</v>
      </c>
      <c r="M6754" s="308" t="s">
        <v>27344</v>
      </c>
      <c r="N6754" s="308" t="s">
        <v>439</v>
      </c>
      <c r="O6754" s="308"/>
      <c r="P6754" s="308" t="s">
        <v>136</v>
      </c>
      <c r="Q6754" s="308" t="s">
        <v>39367</v>
      </c>
      <c r="R6754" s="308" t="s">
        <v>16185</v>
      </c>
      <c r="S6754" s="315" t="s">
        <v>100</v>
      </c>
      <c r="T6754" s="308" t="s">
        <v>34208</v>
      </c>
      <c r="U6754" s="308" t="s">
        <v>27</v>
      </c>
      <c r="V6754" s="308"/>
    </row>
    <row r="6755">
      <c r="A6755" s="308">
        <v>6754.0</v>
      </c>
      <c r="B6755" s="308"/>
      <c r="C6755" s="308" t="s">
        <v>27345</v>
      </c>
      <c r="D6755" s="308">
        <f>IFERROR(__xludf.DUMMYFUNCTION("SPLIT(C6755,""-"")"),6775.0)</f>
        <v>6775</v>
      </c>
      <c r="E6755" s="308" t="str">
        <f>IFERROR(__xludf.DUMMYFUNCTION("""COMPUTED_VALUE"""),"P")</f>
        <v>P</v>
      </c>
      <c r="F6755" s="312" t="s">
        <v>37</v>
      </c>
      <c r="G6755" s="308"/>
      <c r="H6755" s="308" t="s">
        <v>17174</v>
      </c>
      <c r="I6755" s="310">
        <v>43950.0</v>
      </c>
      <c r="J6755" s="319">
        <f>IFERROR(__xludf.DUMMYFUNCTION("SPLIT(I6755,""/"")"),29.0)</f>
        <v>29</v>
      </c>
      <c r="K6755" s="308">
        <f>IFERROR(__xludf.DUMMYFUNCTION("""COMPUTED_VALUE"""),4.0)</f>
        <v>4</v>
      </c>
      <c r="L6755" s="308">
        <f>IFERROR(__xludf.DUMMYFUNCTION("""COMPUTED_VALUE"""),2020.0)</f>
        <v>2020</v>
      </c>
      <c r="M6755" s="308" t="s">
        <v>27346</v>
      </c>
      <c r="N6755" s="308" t="s">
        <v>17175</v>
      </c>
      <c r="O6755" s="308"/>
      <c r="P6755" s="308" t="s">
        <v>39368</v>
      </c>
      <c r="Q6755" s="308" t="s">
        <v>39367</v>
      </c>
      <c r="R6755" s="308" t="s">
        <v>16185</v>
      </c>
      <c r="S6755" s="308" t="s">
        <v>81</v>
      </c>
      <c r="T6755" s="308" t="s">
        <v>75</v>
      </c>
      <c r="U6755" s="308" t="s">
        <v>143</v>
      </c>
      <c r="V6755" s="308"/>
    </row>
    <row r="6756">
      <c r="A6756" s="308">
        <v>6755.0</v>
      </c>
      <c r="B6756" s="308"/>
      <c r="C6756" s="308" t="s">
        <v>27348</v>
      </c>
      <c r="D6756" s="308">
        <f>IFERROR(__xludf.DUMMYFUNCTION("SPLIT(C6756,""-"")"),6776.0)</f>
        <v>6776</v>
      </c>
      <c r="E6756" s="308" t="str">
        <f>IFERROR(__xludf.DUMMYFUNCTION("""COMPUTED_VALUE"""),"I")</f>
        <v>I</v>
      </c>
      <c r="F6756" s="309" t="s">
        <v>31</v>
      </c>
      <c r="G6756" s="308"/>
      <c r="H6756" s="308" t="s">
        <v>27349</v>
      </c>
      <c r="I6756" s="310">
        <v>44065.0</v>
      </c>
      <c r="J6756" s="319">
        <f>IFERROR(__xludf.DUMMYFUNCTION("SPLIT(I6756,""/"")"),22.0)</f>
        <v>22</v>
      </c>
      <c r="K6756" s="308">
        <f>IFERROR(__xludf.DUMMYFUNCTION("""COMPUTED_VALUE"""),8.0)</f>
        <v>8</v>
      </c>
      <c r="L6756" s="308">
        <f>IFERROR(__xludf.DUMMYFUNCTION("""COMPUTED_VALUE"""),2020.0)</f>
        <v>2020</v>
      </c>
      <c r="M6756" s="308" t="s">
        <v>27350</v>
      </c>
      <c r="N6756" s="308" t="s">
        <v>27351</v>
      </c>
      <c r="O6756" s="308"/>
      <c r="P6756" s="308" t="s">
        <v>39369</v>
      </c>
      <c r="Q6756" s="308" t="s">
        <v>39370</v>
      </c>
      <c r="R6756" s="308" t="s">
        <v>26929</v>
      </c>
      <c r="S6756" s="308" t="s">
        <v>81</v>
      </c>
      <c r="T6756" s="308" t="s">
        <v>75</v>
      </c>
      <c r="U6756" s="308" t="s">
        <v>31</v>
      </c>
      <c r="V6756" s="308"/>
    </row>
    <row r="6757">
      <c r="A6757" s="308">
        <v>6756.0</v>
      </c>
      <c r="B6757" s="308"/>
      <c r="C6757" s="308" t="s">
        <v>27353</v>
      </c>
      <c r="D6757" s="308">
        <f>IFERROR(__xludf.DUMMYFUNCTION("SPLIT(C6757,""-"")"),6777.0)</f>
        <v>6777</v>
      </c>
      <c r="E6757" s="308" t="str">
        <f>IFERROR(__xludf.DUMMYFUNCTION("""COMPUTED_VALUE"""),"K")</f>
        <v>K</v>
      </c>
      <c r="F6757" s="309" t="s">
        <v>34</v>
      </c>
      <c r="G6757" s="308"/>
      <c r="H6757" s="308" t="s">
        <v>27354</v>
      </c>
      <c r="I6757" s="314">
        <v>43811.0</v>
      </c>
      <c r="J6757" s="319">
        <f>IFERROR(__xludf.DUMMYFUNCTION("SPLIT(I6757,""/"")"),12.0)</f>
        <v>12</v>
      </c>
      <c r="K6757" s="308">
        <f>IFERROR(__xludf.DUMMYFUNCTION("""COMPUTED_VALUE"""),12.0)</f>
        <v>12</v>
      </c>
      <c r="L6757" s="308">
        <f>IFERROR(__xludf.DUMMYFUNCTION("""COMPUTED_VALUE"""),2019.0)</f>
        <v>2019</v>
      </c>
      <c r="M6757" s="308" t="s">
        <v>27355</v>
      </c>
      <c r="N6757" s="308" t="s">
        <v>27356</v>
      </c>
      <c r="O6757" s="308" t="s">
        <v>27357</v>
      </c>
      <c r="P6757" s="308" t="s">
        <v>39371</v>
      </c>
      <c r="Q6757" s="308" t="s">
        <v>39372</v>
      </c>
      <c r="R6757" s="308" t="s">
        <v>2743</v>
      </c>
      <c r="S6757" s="308" t="s">
        <v>81</v>
      </c>
      <c r="T6757" s="308" t="s">
        <v>34264</v>
      </c>
      <c r="U6757" s="308" t="s">
        <v>7530</v>
      </c>
      <c r="V6757" s="308"/>
    </row>
    <row r="6758">
      <c r="A6758" s="308"/>
      <c r="B6758" s="308"/>
      <c r="C6758" s="308" t="s">
        <v>27359</v>
      </c>
      <c r="D6758" s="308">
        <f>IFERROR(__xludf.DUMMYFUNCTION("SPLIT(C6758,""-"")"),6778.0)</f>
        <v>6778</v>
      </c>
      <c r="E6758" s="308" t="str">
        <f>IFERROR(__xludf.DUMMYFUNCTION("""COMPUTED_VALUE"""),"K")</f>
        <v>K</v>
      </c>
      <c r="F6758" s="309" t="s">
        <v>34</v>
      </c>
      <c r="G6758" s="308"/>
      <c r="H6758" s="308" t="s">
        <v>27360</v>
      </c>
      <c r="I6758" s="310">
        <v>43968.0</v>
      </c>
      <c r="J6758" s="319">
        <f>IFERROR(__xludf.DUMMYFUNCTION("SPLIT(I6758,""/"")"),17.0)</f>
        <v>17</v>
      </c>
      <c r="K6758" s="308">
        <f>IFERROR(__xludf.DUMMYFUNCTION("""COMPUTED_VALUE"""),5.0)</f>
        <v>5</v>
      </c>
      <c r="L6758" s="308">
        <f>IFERROR(__xludf.DUMMYFUNCTION("""COMPUTED_VALUE"""),2020.0)</f>
        <v>2020</v>
      </c>
      <c r="M6758" s="308" t="s">
        <v>27361</v>
      </c>
      <c r="N6758" s="308" t="s">
        <v>27362</v>
      </c>
      <c r="O6758" s="308"/>
      <c r="P6758" s="308" t="s">
        <v>39373</v>
      </c>
      <c r="Q6758" s="308" t="s">
        <v>39374</v>
      </c>
      <c r="R6758" s="308" t="s">
        <v>2743</v>
      </c>
      <c r="S6758" s="308" t="s">
        <v>81</v>
      </c>
      <c r="T6758" s="308" t="s">
        <v>34264</v>
      </c>
      <c r="U6758" s="308" t="s">
        <v>7530</v>
      </c>
      <c r="V6758" s="308"/>
    </row>
    <row r="6759">
      <c r="A6759" s="308"/>
      <c r="B6759" s="308"/>
      <c r="C6759" s="308" t="s">
        <v>27364</v>
      </c>
      <c r="D6759" s="308">
        <f>IFERROR(__xludf.DUMMYFUNCTION("SPLIT(C6759,""-"")"),6779.0)</f>
        <v>6779</v>
      </c>
      <c r="E6759" s="308" t="str">
        <f>IFERROR(__xludf.DUMMYFUNCTION("""COMPUTED_VALUE"""),"K")</f>
        <v>K</v>
      </c>
      <c r="F6759" s="309" t="s">
        <v>34</v>
      </c>
      <c r="G6759" s="308"/>
      <c r="H6759" s="308" t="s">
        <v>27365</v>
      </c>
      <c r="I6759" s="310">
        <v>44029.0</v>
      </c>
      <c r="J6759" s="319">
        <f>IFERROR(__xludf.DUMMYFUNCTION("SPLIT(I6759,""/"")"),17.0)</f>
        <v>17</v>
      </c>
      <c r="K6759" s="308">
        <f>IFERROR(__xludf.DUMMYFUNCTION("""COMPUTED_VALUE"""),7.0)</f>
        <v>7</v>
      </c>
      <c r="L6759" s="308">
        <f>IFERROR(__xludf.DUMMYFUNCTION("""COMPUTED_VALUE"""),2020.0)</f>
        <v>2020</v>
      </c>
      <c r="M6759" s="308" t="s">
        <v>27366</v>
      </c>
      <c r="N6759" s="308" t="s">
        <v>27367</v>
      </c>
      <c r="O6759" s="308"/>
      <c r="P6759" s="308" t="s">
        <v>27368</v>
      </c>
      <c r="Q6759" s="308" t="s">
        <v>39374</v>
      </c>
      <c r="R6759" s="308" t="s">
        <v>2743</v>
      </c>
      <c r="S6759" s="308" t="s">
        <v>81</v>
      </c>
      <c r="T6759" s="308" t="s">
        <v>75</v>
      </c>
      <c r="U6759" s="308" t="s">
        <v>7530</v>
      </c>
      <c r="V6759" s="308"/>
    </row>
    <row r="6760">
      <c r="A6760" s="308"/>
      <c r="B6760" s="308"/>
      <c r="C6760" s="308" t="s">
        <v>27369</v>
      </c>
      <c r="D6760" s="308">
        <f>IFERROR(__xludf.DUMMYFUNCTION("SPLIT(C6760,""-"")"),6780.0)</f>
        <v>6780</v>
      </c>
      <c r="E6760" s="308" t="str">
        <f>IFERROR(__xludf.DUMMYFUNCTION("""COMPUTED_VALUE"""),"K")</f>
        <v>K</v>
      </c>
      <c r="F6760" s="309" t="s">
        <v>34</v>
      </c>
      <c r="G6760" s="308"/>
      <c r="H6760" s="308" t="s">
        <v>27370</v>
      </c>
      <c r="I6760" s="310">
        <v>42419.0</v>
      </c>
      <c r="J6760" s="319">
        <f>IFERROR(__xludf.DUMMYFUNCTION("SPLIT(I6760,""/"")"),19.0)</f>
        <v>19</v>
      </c>
      <c r="K6760" s="308">
        <f>IFERROR(__xludf.DUMMYFUNCTION("""COMPUTED_VALUE"""),2.0)</f>
        <v>2</v>
      </c>
      <c r="L6760" s="308">
        <f>IFERROR(__xludf.DUMMYFUNCTION("""COMPUTED_VALUE"""),2016.0)</f>
        <v>2016</v>
      </c>
      <c r="M6760" s="308" t="s">
        <v>27371</v>
      </c>
      <c r="N6760" s="308" t="s">
        <v>27372</v>
      </c>
      <c r="O6760" s="308"/>
      <c r="P6760" s="308" t="s">
        <v>136</v>
      </c>
      <c r="Q6760" s="308" t="s">
        <v>39374</v>
      </c>
      <c r="R6760" s="308" t="s">
        <v>2743</v>
      </c>
      <c r="S6760" s="315" t="s">
        <v>100</v>
      </c>
      <c r="T6760" s="308" t="s">
        <v>34208</v>
      </c>
      <c r="U6760" s="308" t="s">
        <v>542</v>
      </c>
      <c r="V6760" s="308"/>
    </row>
    <row r="6761">
      <c r="A6761" s="308"/>
      <c r="B6761" s="308"/>
      <c r="C6761" s="308" t="s">
        <v>27373</v>
      </c>
      <c r="D6761" s="308">
        <f>IFERROR(__xludf.DUMMYFUNCTION("SPLIT(C6761,""-"")"),6781.0)</f>
        <v>6781</v>
      </c>
      <c r="E6761" s="308" t="str">
        <f>IFERROR(__xludf.DUMMYFUNCTION("""COMPUTED_VALUE"""),"K")</f>
        <v>K</v>
      </c>
      <c r="F6761" s="309" t="s">
        <v>34</v>
      </c>
      <c r="G6761" s="308"/>
      <c r="H6761" s="308" t="s">
        <v>27374</v>
      </c>
      <c r="I6761" s="310">
        <v>44047.0</v>
      </c>
      <c r="J6761" s="319">
        <f>IFERROR(__xludf.DUMMYFUNCTION("SPLIT(I6761,""/"")"),4.0)</f>
        <v>4</v>
      </c>
      <c r="K6761" s="308">
        <f>IFERROR(__xludf.DUMMYFUNCTION("""COMPUTED_VALUE"""),8.0)</f>
        <v>8</v>
      </c>
      <c r="L6761" s="308">
        <f>IFERROR(__xludf.DUMMYFUNCTION("""COMPUTED_VALUE"""),2020.0)</f>
        <v>2020</v>
      </c>
      <c r="M6761" s="308" t="s">
        <v>39375</v>
      </c>
      <c r="N6761" s="308" t="s">
        <v>27376</v>
      </c>
      <c r="O6761" s="308"/>
      <c r="P6761" s="308" t="s">
        <v>39376</v>
      </c>
      <c r="Q6761" s="308" t="s">
        <v>39374</v>
      </c>
      <c r="R6761" s="308" t="s">
        <v>2743</v>
      </c>
      <c r="S6761" s="308" t="s">
        <v>81</v>
      </c>
      <c r="T6761" s="308" t="s">
        <v>75</v>
      </c>
      <c r="U6761" s="308" t="s">
        <v>7530</v>
      </c>
      <c r="V6761" s="308"/>
    </row>
    <row r="6762">
      <c r="A6762" s="308"/>
      <c r="B6762" s="308"/>
      <c r="C6762" s="308" t="s">
        <v>27378</v>
      </c>
      <c r="D6762" s="308">
        <f>IFERROR(__xludf.DUMMYFUNCTION("SPLIT(C6762,""-"")"),6782.0)</f>
        <v>6782</v>
      </c>
      <c r="E6762" s="308" t="str">
        <f>IFERROR(__xludf.DUMMYFUNCTION("""COMPUTED_VALUE"""),"K")</f>
        <v>K</v>
      </c>
      <c r="F6762" s="309" t="s">
        <v>34</v>
      </c>
      <c r="G6762" s="308"/>
      <c r="H6762" s="308" t="s">
        <v>27379</v>
      </c>
      <c r="I6762" s="310">
        <v>42972.0</v>
      </c>
      <c r="J6762" s="319" t="str">
        <f>IFERROR(__xludf.DUMMYFUNCTION("SPLIT(I6762,""/"")"),"#REF!")</f>
        <v>#REF!</v>
      </c>
      <c r="K6762" s="308"/>
      <c r="L6762" s="308">
        <v>2017.0</v>
      </c>
      <c r="M6762" s="308" t="s">
        <v>27380</v>
      </c>
      <c r="N6762" s="308" t="s">
        <v>27381</v>
      </c>
      <c r="O6762" s="308"/>
      <c r="P6762" s="308" t="s">
        <v>136</v>
      </c>
      <c r="Q6762" s="308" t="s">
        <v>39374</v>
      </c>
      <c r="R6762" s="308" t="s">
        <v>2743</v>
      </c>
      <c r="S6762" s="315" t="s">
        <v>100</v>
      </c>
      <c r="T6762" s="308" t="s">
        <v>34208</v>
      </c>
      <c r="U6762" s="308" t="s">
        <v>542</v>
      </c>
      <c r="V6762" s="308"/>
    </row>
    <row r="6763">
      <c r="A6763" s="308"/>
      <c r="B6763" s="308"/>
      <c r="C6763" s="308" t="s">
        <v>27382</v>
      </c>
      <c r="D6763" s="308">
        <f>IFERROR(__xludf.DUMMYFUNCTION("SPLIT(C6763,""-"")"),6783.0)</f>
        <v>6783</v>
      </c>
      <c r="E6763" s="308" t="str">
        <f>IFERROR(__xludf.DUMMYFUNCTION("""COMPUTED_VALUE"""),"K")</f>
        <v>K</v>
      </c>
      <c r="F6763" s="309" t="s">
        <v>34</v>
      </c>
      <c r="G6763" s="308"/>
      <c r="H6763" s="308" t="s">
        <v>27383</v>
      </c>
      <c r="I6763" s="310">
        <v>44034.0</v>
      </c>
      <c r="J6763" s="319">
        <f>IFERROR(__xludf.DUMMYFUNCTION("SPLIT(I6763,""/"")"),22.0)</f>
        <v>22</v>
      </c>
      <c r="K6763" s="308">
        <f>IFERROR(__xludf.DUMMYFUNCTION("""COMPUTED_VALUE"""),7.0)</f>
        <v>7</v>
      </c>
      <c r="L6763" s="308">
        <f>IFERROR(__xludf.DUMMYFUNCTION("""COMPUTED_VALUE"""),2020.0)</f>
        <v>2020</v>
      </c>
      <c r="M6763" s="308" t="s">
        <v>27384</v>
      </c>
      <c r="N6763" s="308" t="s">
        <v>27385</v>
      </c>
      <c r="O6763" s="308"/>
      <c r="P6763" s="308" t="s">
        <v>39377</v>
      </c>
      <c r="Q6763" s="308" t="s">
        <v>39374</v>
      </c>
      <c r="R6763" s="308" t="s">
        <v>2743</v>
      </c>
      <c r="S6763" s="308" t="s">
        <v>81</v>
      </c>
      <c r="T6763" s="308" t="s">
        <v>75</v>
      </c>
      <c r="U6763" s="308" t="s">
        <v>542</v>
      </c>
      <c r="V6763" s="308"/>
    </row>
    <row r="6764">
      <c r="A6764" s="308"/>
      <c r="B6764" s="308"/>
      <c r="C6764" s="308" t="s">
        <v>27387</v>
      </c>
      <c r="D6764" s="308">
        <f>IFERROR(__xludf.DUMMYFUNCTION("SPLIT(C6764,""-"")"),6784.0)</f>
        <v>6784</v>
      </c>
      <c r="E6764" s="308" t="str">
        <f>IFERROR(__xludf.DUMMYFUNCTION("""COMPUTED_VALUE"""),"K")</f>
        <v>K</v>
      </c>
      <c r="F6764" s="309" t="s">
        <v>34</v>
      </c>
      <c r="G6764" s="308"/>
      <c r="H6764" s="308" t="s">
        <v>27388</v>
      </c>
      <c r="I6764" s="310">
        <v>42241.0</v>
      </c>
      <c r="J6764" s="319">
        <f>IFERROR(__xludf.DUMMYFUNCTION("SPLIT(I6764,""/"")"),25.0)</f>
        <v>25</v>
      </c>
      <c r="K6764" s="308">
        <f>IFERROR(__xludf.DUMMYFUNCTION("""COMPUTED_VALUE"""),8.0)</f>
        <v>8</v>
      </c>
      <c r="L6764" s="308">
        <f>IFERROR(__xludf.DUMMYFUNCTION("""COMPUTED_VALUE"""),2015.0)</f>
        <v>2015</v>
      </c>
      <c r="M6764" s="308" t="s">
        <v>39378</v>
      </c>
      <c r="N6764" s="308" t="s">
        <v>27390</v>
      </c>
      <c r="O6764" s="308"/>
      <c r="P6764" s="308" t="s">
        <v>136</v>
      </c>
      <c r="Q6764" s="308" t="s">
        <v>39379</v>
      </c>
      <c r="R6764" s="308" t="s">
        <v>2743</v>
      </c>
      <c r="S6764" s="315" t="s">
        <v>100</v>
      </c>
      <c r="T6764" s="308" t="s">
        <v>34208</v>
      </c>
      <c r="U6764" s="308" t="s">
        <v>19204</v>
      </c>
      <c r="V6764" s="308"/>
    </row>
    <row r="6765">
      <c r="A6765" s="308"/>
      <c r="B6765" s="308"/>
      <c r="C6765" s="308" t="s">
        <v>27391</v>
      </c>
      <c r="D6765" s="308">
        <f>IFERROR(__xludf.DUMMYFUNCTION("SPLIT(C6765,""-"")"),6785.0)</f>
        <v>6785</v>
      </c>
      <c r="E6765" s="308" t="str">
        <f>IFERROR(__xludf.DUMMYFUNCTION("""COMPUTED_VALUE"""),"K")</f>
        <v>K</v>
      </c>
      <c r="F6765" s="309" t="s">
        <v>34</v>
      </c>
      <c r="G6765" s="308"/>
      <c r="H6765" s="308" t="s">
        <v>27392</v>
      </c>
      <c r="I6765" s="310">
        <v>42804.0</v>
      </c>
      <c r="J6765" s="319" t="str">
        <f>IFERROR(__xludf.DUMMYFUNCTION("SPLIT(I6765,""/"")"),"#REF!")</f>
        <v>#REF!</v>
      </c>
      <c r="K6765" s="308"/>
      <c r="L6765" s="308">
        <v>2017.0</v>
      </c>
      <c r="M6765" s="308" t="s">
        <v>27393</v>
      </c>
      <c r="N6765" s="308" t="s">
        <v>27394</v>
      </c>
      <c r="O6765" s="308"/>
      <c r="P6765" s="308" t="s">
        <v>136</v>
      </c>
      <c r="Q6765" s="308" t="s">
        <v>39379</v>
      </c>
      <c r="R6765" s="308" t="s">
        <v>2743</v>
      </c>
      <c r="S6765" s="315" t="s">
        <v>100</v>
      </c>
      <c r="T6765" s="308" t="s">
        <v>34208</v>
      </c>
      <c r="U6765" s="308" t="s">
        <v>19459</v>
      </c>
      <c r="V6765" s="308"/>
    </row>
    <row r="6766">
      <c r="A6766" s="308"/>
      <c r="B6766" s="308"/>
      <c r="C6766" s="308" t="s">
        <v>27395</v>
      </c>
      <c r="D6766" s="308">
        <f>IFERROR(__xludf.DUMMYFUNCTION("SPLIT(C6766,""-"")"),6786.0)</f>
        <v>6786</v>
      </c>
      <c r="E6766" s="308" t="str">
        <f>IFERROR(__xludf.DUMMYFUNCTION("""COMPUTED_VALUE"""),"K")</f>
        <v>K</v>
      </c>
      <c r="F6766" s="309" t="s">
        <v>34</v>
      </c>
      <c r="G6766" s="308"/>
      <c r="H6766" s="308" t="s">
        <v>27396</v>
      </c>
      <c r="I6766" s="310">
        <v>42570.0</v>
      </c>
      <c r="J6766" s="319">
        <f>IFERROR(__xludf.DUMMYFUNCTION("SPLIT(I6766,""/"")"),19.0)</f>
        <v>19</v>
      </c>
      <c r="K6766" s="308">
        <f>IFERROR(__xludf.DUMMYFUNCTION("""COMPUTED_VALUE"""),7.0)</f>
        <v>7</v>
      </c>
      <c r="L6766" s="308">
        <f>IFERROR(__xludf.DUMMYFUNCTION("""COMPUTED_VALUE"""),2016.0)</f>
        <v>2016</v>
      </c>
      <c r="M6766" s="308" t="s">
        <v>27397</v>
      </c>
      <c r="N6766" s="308" t="s">
        <v>27398</v>
      </c>
      <c r="O6766" s="308" t="s">
        <v>27399</v>
      </c>
      <c r="P6766" s="308" t="s">
        <v>136</v>
      </c>
      <c r="Q6766" s="308" t="s">
        <v>39379</v>
      </c>
      <c r="R6766" s="308" t="s">
        <v>2743</v>
      </c>
      <c r="S6766" s="315" t="s">
        <v>100</v>
      </c>
      <c r="T6766" s="308" t="s">
        <v>34208</v>
      </c>
      <c r="U6766" s="308" t="s">
        <v>542</v>
      </c>
      <c r="V6766" s="308" t="s">
        <v>27400</v>
      </c>
    </row>
    <row r="6767">
      <c r="A6767" s="308"/>
      <c r="B6767" s="308"/>
      <c r="C6767" s="308" t="s">
        <v>27401</v>
      </c>
      <c r="D6767" s="308">
        <f>IFERROR(__xludf.DUMMYFUNCTION("SPLIT(C6767,""-"")"),6787.0)</f>
        <v>6787</v>
      </c>
      <c r="E6767" s="308" t="str">
        <f>IFERROR(__xludf.DUMMYFUNCTION("""COMPUTED_VALUE"""),"B")</f>
        <v>B</v>
      </c>
      <c r="F6767" s="315" t="s">
        <v>26</v>
      </c>
      <c r="G6767" s="308"/>
      <c r="H6767" s="308" t="s">
        <v>27402</v>
      </c>
      <c r="I6767" s="310">
        <v>43736.0</v>
      </c>
      <c r="J6767" s="319">
        <f>IFERROR(__xludf.DUMMYFUNCTION("SPLIT(I6767,""/"")"),28.0)</f>
        <v>28</v>
      </c>
      <c r="K6767" s="308">
        <f>IFERROR(__xludf.DUMMYFUNCTION("""COMPUTED_VALUE"""),9.0)</f>
        <v>9</v>
      </c>
      <c r="L6767" s="308">
        <f>IFERROR(__xludf.DUMMYFUNCTION("""COMPUTED_VALUE"""),2019.0)</f>
        <v>2019</v>
      </c>
      <c r="M6767" s="308" t="s">
        <v>27403</v>
      </c>
      <c r="N6767" s="308" t="s">
        <v>27404</v>
      </c>
      <c r="O6767" s="308" t="s">
        <v>27405</v>
      </c>
      <c r="P6767" s="308" t="s">
        <v>136</v>
      </c>
      <c r="Q6767" s="308" t="s">
        <v>39380</v>
      </c>
      <c r="R6767" s="308" t="s">
        <v>2743</v>
      </c>
      <c r="S6767" s="315" t="s">
        <v>100</v>
      </c>
      <c r="T6767" s="308" t="s">
        <v>34208</v>
      </c>
      <c r="U6767" s="308" t="s">
        <v>27</v>
      </c>
      <c r="V6767" s="308" t="s">
        <v>27406</v>
      </c>
    </row>
    <row r="6768">
      <c r="A6768" s="308"/>
      <c r="B6768" s="308"/>
      <c r="C6768" s="308" t="s">
        <v>27407</v>
      </c>
      <c r="D6768" s="308">
        <f>IFERROR(__xludf.DUMMYFUNCTION("SPLIT(C6768,""-"")"),6788.0)</f>
        <v>6788</v>
      </c>
      <c r="E6768" s="308" t="str">
        <f>IFERROR(__xludf.DUMMYFUNCTION("""COMPUTED_VALUE"""),"B")</f>
        <v>B</v>
      </c>
      <c r="F6768" s="315" t="s">
        <v>26</v>
      </c>
      <c r="G6768" s="308"/>
      <c r="H6768" s="308" t="s">
        <v>27408</v>
      </c>
      <c r="I6768" s="310">
        <v>44087.0</v>
      </c>
      <c r="J6768" s="319">
        <f>IFERROR(__xludf.DUMMYFUNCTION("SPLIT(I6768,""/"")"),13.0)</f>
        <v>13</v>
      </c>
      <c r="K6768" s="308">
        <f>IFERROR(__xludf.DUMMYFUNCTION("""COMPUTED_VALUE"""),9.0)</f>
        <v>9</v>
      </c>
      <c r="L6768" s="308">
        <f>IFERROR(__xludf.DUMMYFUNCTION("""COMPUTED_VALUE"""),2020.0)</f>
        <v>2020</v>
      </c>
      <c r="M6768" s="308" t="s">
        <v>27409</v>
      </c>
      <c r="N6768" s="308" t="s">
        <v>439</v>
      </c>
      <c r="O6768" s="308"/>
      <c r="P6768" s="308" t="s">
        <v>39381</v>
      </c>
      <c r="Q6768" s="308" t="s">
        <v>39380</v>
      </c>
      <c r="R6768" s="308" t="s">
        <v>26929</v>
      </c>
      <c r="S6768" s="308" t="s">
        <v>49</v>
      </c>
      <c r="T6768" s="311" t="s">
        <v>51</v>
      </c>
      <c r="U6768" s="308" t="s">
        <v>27</v>
      </c>
      <c r="V6768" s="308"/>
    </row>
    <row r="6769">
      <c r="A6769" s="308"/>
      <c r="B6769" s="308"/>
      <c r="C6769" s="308" t="s">
        <v>27411</v>
      </c>
      <c r="D6769" s="308">
        <f>IFERROR(__xludf.DUMMYFUNCTION("SPLIT(C6769,""-"")"),6789.0)</f>
        <v>6789</v>
      </c>
      <c r="E6769" s="308" t="str">
        <f>IFERROR(__xludf.DUMMYFUNCTION("""COMPUTED_VALUE"""),"K")</f>
        <v>K</v>
      </c>
      <c r="F6769" s="309" t="s">
        <v>34</v>
      </c>
      <c r="G6769" s="308"/>
      <c r="H6769" s="308" t="s">
        <v>27412</v>
      </c>
      <c r="I6769" s="310">
        <v>43987.0</v>
      </c>
      <c r="J6769" s="319">
        <f>IFERROR(__xludf.DUMMYFUNCTION("SPLIT(I6769,""/"")"),5.0)</f>
        <v>5</v>
      </c>
      <c r="K6769" s="308">
        <f>IFERROR(__xludf.DUMMYFUNCTION("""COMPUTED_VALUE"""),6.0)</f>
        <v>6</v>
      </c>
      <c r="L6769" s="308">
        <f>IFERROR(__xludf.DUMMYFUNCTION("""COMPUTED_VALUE"""),2020.0)</f>
        <v>2020</v>
      </c>
      <c r="M6769" s="308" t="s">
        <v>27413</v>
      </c>
      <c r="N6769" s="308" t="s">
        <v>27414</v>
      </c>
      <c r="O6769" s="308"/>
      <c r="P6769" s="308" t="s">
        <v>39382</v>
      </c>
      <c r="Q6769" s="308" t="s">
        <v>39380</v>
      </c>
      <c r="R6769" s="308" t="s">
        <v>2743</v>
      </c>
      <c r="S6769" s="308" t="s">
        <v>81</v>
      </c>
      <c r="T6769" s="308" t="s">
        <v>73</v>
      </c>
      <c r="U6769" s="308" t="s">
        <v>201</v>
      </c>
      <c r="V6769" s="308"/>
    </row>
    <row r="6770">
      <c r="A6770" s="308"/>
      <c r="B6770" s="308"/>
      <c r="C6770" s="308" t="s">
        <v>27416</v>
      </c>
      <c r="D6770" s="308">
        <f>IFERROR(__xludf.DUMMYFUNCTION("SPLIT(C6770,""-"")"),6790.0)</f>
        <v>6790</v>
      </c>
      <c r="E6770" s="308" t="str">
        <f>IFERROR(__xludf.DUMMYFUNCTION("""COMPUTED_VALUE"""),"K")</f>
        <v>K</v>
      </c>
      <c r="F6770" s="309" t="s">
        <v>34</v>
      </c>
      <c r="G6770" s="308"/>
      <c r="H6770" s="308" t="s">
        <v>27417</v>
      </c>
      <c r="I6770" s="310">
        <v>43987.0</v>
      </c>
      <c r="J6770" s="319">
        <f>IFERROR(__xludf.DUMMYFUNCTION("SPLIT(I6770,""/"")"),5.0)</f>
        <v>5</v>
      </c>
      <c r="K6770" s="308">
        <f>IFERROR(__xludf.DUMMYFUNCTION("""COMPUTED_VALUE"""),6.0)</f>
        <v>6</v>
      </c>
      <c r="L6770" s="308">
        <f>IFERROR(__xludf.DUMMYFUNCTION("""COMPUTED_VALUE"""),2020.0)</f>
        <v>2020</v>
      </c>
      <c r="M6770" s="308" t="s">
        <v>27418</v>
      </c>
      <c r="N6770" s="308" t="s">
        <v>27419</v>
      </c>
      <c r="O6770" s="308" t="s">
        <v>27420</v>
      </c>
      <c r="P6770" s="308" t="s">
        <v>39383</v>
      </c>
      <c r="Q6770" s="308" t="s">
        <v>39380</v>
      </c>
      <c r="R6770" s="308" t="s">
        <v>2743</v>
      </c>
      <c r="S6770" s="308" t="s">
        <v>81</v>
      </c>
      <c r="T6770" s="308" t="s">
        <v>73</v>
      </c>
      <c r="U6770" s="308" t="s">
        <v>201</v>
      </c>
      <c r="V6770" s="308"/>
    </row>
    <row r="6771">
      <c r="A6771" s="308"/>
      <c r="B6771" s="308"/>
      <c r="C6771" s="308" t="s">
        <v>27422</v>
      </c>
      <c r="D6771" s="308">
        <f>IFERROR(__xludf.DUMMYFUNCTION("SPLIT(C6771,""-"")"),6791.0)</f>
        <v>6791</v>
      </c>
      <c r="E6771" s="308" t="str">
        <f>IFERROR(__xludf.DUMMYFUNCTION("""COMPUTED_VALUE"""),"P")</f>
        <v>P</v>
      </c>
      <c r="F6771" s="312" t="s">
        <v>37</v>
      </c>
      <c r="G6771" s="308"/>
      <c r="H6771" s="308" t="s">
        <v>27423</v>
      </c>
      <c r="I6771" s="310">
        <v>44071.0</v>
      </c>
      <c r="J6771" s="319">
        <f>IFERROR(__xludf.DUMMYFUNCTION("SPLIT(I6771,""/"")"),28.0)</f>
        <v>28</v>
      </c>
      <c r="K6771" s="308">
        <f>IFERROR(__xludf.DUMMYFUNCTION("""COMPUTED_VALUE"""),8.0)</f>
        <v>8</v>
      </c>
      <c r="L6771" s="308">
        <f>IFERROR(__xludf.DUMMYFUNCTION("""COMPUTED_VALUE"""),2020.0)</f>
        <v>2020</v>
      </c>
      <c r="M6771" s="308" t="s">
        <v>27424</v>
      </c>
      <c r="N6771" s="308" t="s">
        <v>27425</v>
      </c>
      <c r="O6771" s="308"/>
      <c r="P6771" s="308" t="s">
        <v>39384</v>
      </c>
      <c r="Q6771" s="308" t="s">
        <v>39380</v>
      </c>
      <c r="R6771" s="308" t="s">
        <v>2743</v>
      </c>
      <c r="S6771" s="308" t="s">
        <v>81</v>
      </c>
      <c r="T6771" s="311" t="s">
        <v>73</v>
      </c>
      <c r="U6771" s="308" t="s">
        <v>5707</v>
      </c>
      <c r="V6771" s="308"/>
    </row>
    <row r="6772">
      <c r="A6772" s="308"/>
      <c r="B6772" s="308"/>
      <c r="C6772" s="308" t="s">
        <v>27427</v>
      </c>
      <c r="D6772" s="308">
        <f>IFERROR(__xludf.DUMMYFUNCTION("SPLIT(C6772,""-"")"),6792.0)</f>
        <v>6792</v>
      </c>
      <c r="E6772" s="308" t="str">
        <f>IFERROR(__xludf.DUMMYFUNCTION("""COMPUTED_VALUE"""),"S")</f>
        <v>S</v>
      </c>
      <c r="F6772" s="312" t="s">
        <v>39</v>
      </c>
      <c r="G6772" s="308"/>
      <c r="H6772" s="308" t="s">
        <v>27428</v>
      </c>
      <c r="I6772" s="310">
        <v>44078.0</v>
      </c>
      <c r="J6772" s="319">
        <f>IFERROR(__xludf.DUMMYFUNCTION("SPLIT(I6772,""/"")"),4.0)</f>
        <v>4</v>
      </c>
      <c r="K6772" s="308">
        <f>IFERROR(__xludf.DUMMYFUNCTION("""COMPUTED_VALUE"""),9.0)</f>
        <v>9</v>
      </c>
      <c r="L6772" s="308">
        <f>IFERROR(__xludf.DUMMYFUNCTION("""COMPUTED_VALUE"""),2020.0)</f>
        <v>2020</v>
      </c>
      <c r="M6772" s="308" t="s">
        <v>27429</v>
      </c>
      <c r="N6772" s="308" t="s">
        <v>27394</v>
      </c>
      <c r="O6772" s="308"/>
      <c r="P6772" s="308" t="s">
        <v>39385</v>
      </c>
      <c r="Q6772" s="308" t="s">
        <v>39386</v>
      </c>
      <c r="R6772" s="308" t="s">
        <v>39387</v>
      </c>
      <c r="S6772" s="308" t="s">
        <v>81</v>
      </c>
      <c r="T6772" s="311" t="s">
        <v>96</v>
      </c>
      <c r="U6772" s="308" t="s">
        <v>166</v>
      </c>
      <c r="V6772" s="308"/>
    </row>
    <row r="6773">
      <c r="A6773" s="308"/>
      <c r="B6773" s="308"/>
      <c r="C6773" s="308" t="s">
        <v>27432</v>
      </c>
      <c r="D6773" s="308">
        <f>IFERROR(__xludf.DUMMYFUNCTION("SPLIT(C6773,""-"")"),6793.0)</f>
        <v>6793</v>
      </c>
      <c r="E6773" s="308" t="str">
        <f>IFERROR(__xludf.DUMMYFUNCTION("""COMPUTED_VALUE"""),"I")</f>
        <v>I</v>
      </c>
      <c r="F6773" s="309" t="s">
        <v>31</v>
      </c>
      <c r="G6773" s="308"/>
      <c r="H6773" s="308" t="s">
        <v>27433</v>
      </c>
      <c r="I6773" s="310">
        <v>44086.0</v>
      </c>
      <c r="J6773" s="319">
        <f>IFERROR(__xludf.DUMMYFUNCTION("SPLIT(I6773,""/"")"),12.0)</f>
        <v>12</v>
      </c>
      <c r="K6773" s="308">
        <f>IFERROR(__xludf.DUMMYFUNCTION("""COMPUTED_VALUE"""),9.0)</f>
        <v>9</v>
      </c>
      <c r="L6773" s="308">
        <f>IFERROR(__xludf.DUMMYFUNCTION("""COMPUTED_VALUE"""),2020.0)</f>
        <v>2020</v>
      </c>
      <c r="M6773" s="308" t="s">
        <v>39388</v>
      </c>
      <c r="N6773" s="308" t="s">
        <v>27435</v>
      </c>
      <c r="O6773" s="308"/>
      <c r="P6773" s="308" t="s">
        <v>39389</v>
      </c>
      <c r="Q6773" s="308" t="s">
        <v>39386</v>
      </c>
      <c r="R6773" s="308" t="s">
        <v>2743</v>
      </c>
      <c r="S6773" s="308" t="s">
        <v>81</v>
      </c>
      <c r="T6773" s="308" t="s">
        <v>98</v>
      </c>
      <c r="U6773" s="308" t="s">
        <v>31</v>
      </c>
      <c r="V6773" s="308"/>
    </row>
    <row r="6774">
      <c r="A6774" s="308"/>
      <c r="B6774" s="308"/>
      <c r="C6774" s="308" t="s">
        <v>27437</v>
      </c>
      <c r="D6774" s="308">
        <f>IFERROR(__xludf.DUMMYFUNCTION("SPLIT(C6774,""-"")"),6794.0)</f>
        <v>6794</v>
      </c>
      <c r="E6774" s="308" t="str">
        <f>IFERROR(__xludf.DUMMYFUNCTION("""COMPUTED_VALUE"""),"K")</f>
        <v>K</v>
      </c>
      <c r="F6774" s="309" t="s">
        <v>34</v>
      </c>
      <c r="G6774" s="308"/>
      <c r="H6774" s="308" t="s">
        <v>27438</v>
      </c>
      <c r="I6774" s="310">
        <v>44065.0</v>
      </c>
      <c r="J6774" s="319">
        <f>IFERROR(__xludf.DUMMYFUNCTION("SPLIT(I6774,""/"")"),22.0)</f>
        <v>22</v>
      </c>
      <c r="K6774" s="308">
        <f>IFERROR(__xludf.DUMMYFUNCTION("""COMPUTED_VALUE"""),8.0)</f>
        <v>8</v>
      </c>
      <c r="L6774" s="308">
        <f>IFERROR(__xludf.DUMMYFUNCTION("""COMPUTED_VALUE"""),2020.0)</f>
        <v>2020</v>
      </c>
      <c r="M6774" s="308" t="s">
        <v>27439</v>
      </c>
      <c r="N6774" s="308" t="s">
        <v>27440</v>
      </c>
      <c r="O6774" s="308"/>
      <c r="P6774" s="308" t="s">
        <v>136</v>
      </c>
      <c r="Q6774" s="308" t="s">
        <v>39390</v>
      </c>
      <c r="R6774" s="308" t="s">
        <v>2743</v>
      </c>
      <c r="S6774" s="315" t="s">
        <v>100</v>
      </c>
      <c r="T6774" s="308" t="s">
        <v>34208</v>
      </c>
      <c r="U6774" s="308" t="s">
        <v>2466</v>
      </c>
      <c r="V6774" s="308"/>
    </row>
    <row r="6775">
      <c r="A6775" s="308"/>
      <c r="B6775" s="308"/>
      <c r="C6775" s="308" t="s">
        <v>27441</v>
      </c>
      <c r="D6775" s="308">
        <f>IFERROR(__xludf.DUMMYFUNCTION("SPLIT(C6775,""-"")"),6795.0)</f>
        <v>6795</v>
      </c>
      <c r="E6775" s="308" t="str">
        <f>IFERROR(__xludf.DUMMYFUNCTION("""COMPUTED_VALUE"""),"K")</f>
        <v>K</v>
      </c>
      <c r="F6775" s="309" t="s">
        <v>34</v>
      </c>
      <c r="G6775" s="308"/>
      <c r="H6775" s="308" t="s">
        <v>27442</v>
      </c>
      <c r="I6775" s="310">
        <v>41671.0</v>
      </c>
      <c r="J6775" s="319">
        <f>IFERROR(__xludf.DUMMYFUNCTION("SPLIT(I6775,""/"")"),1.0)</f>
        <v>1</v>
      </c>
      <c r="K6775" s="308">
        <f>IFERROR(__xludf.DUMMYFUNCTION("""COMPUTED_VALUE"""),2.0)</f>
        <v>2</v>
      </c>
      <c r="L6775" s="308">
        <f>IFERROR(__xludf.DUMMYFUNCTION("""COMPUTED_VALUE"""),2014.0)</f>
        <v>2014</v>
      </c>
      <c r="M6775" s="308" t="s">
        <v>27443</v>
      </c>
      <c r="N6775" s="308" t="s">
        <v>27444</v>
      </c>
      <c r="O6775" s="308" t="s">
        <v>27445</v>
      </c>
      <c r="P6775" s="308" t="s">
        <v>136</v>
      </c>
      <c r="Q6775" s="308" t="s">
        <v>39390</v>
      </c>
      <c r="R6775" s="308" t="s">
        <v>2743</v>
      </c>
      <c r="S6775" s="315" t="s">
        <v>100</v>
      </c>
      <c r="T6775" s="308" t="s">
        <v>34208</v>
      </c>
      <c r="U6775" s="308" t="s">
        <v>26546</v>
      </c>
      <c r="V6775" s="308"/>
    </row>
    <row r="6776">
      <c r="A6776" s="308"/>
      <c r="B6776" s="308"/>
      <c r="C6776" s="308" t="s">
        <v>27446</v>
      </c>
      <c r="D6776" s="308">
        <f>IFERROR(__xludf.DUMMYFUNCTION("SPLIT(C6776,""-"")"),6796.0)</f>
        <v>6796</v>
      </c>
      <c r="E6776" s="308" t="str">
        <f>IFERROR(__xludf.DUMMYFUNCTION("""COMPUTED_VALUE"""),"K")</f>
        <v>K</v>
      </c>
      <c r="F6776" s="309" t="s">
        <v>34</v>
      </c>
      <c r="G6776" s="308"/>
      <c r="H6776" s="308" t="s">
        <v>27447</v>
      </c>
      <c r="I6776" s="310">
        <v>43683.0</v>
      </c>
      <c r="J6776" s="319">
        <f>IFERROR(__xludf.DUMMYFUNCTION("SPLIT(I6776,""/"")"),6.0)</f>
        <v>6</v>
      </c>
      <c r="K6776" s="308">
        <f>IFERROR(__xludf.DUMMYFUNCTION("""COMPUTED_VALUE"""),8.0)</f>
        <v>8</v>
      </c>
      <c r="L6776" s="308">
        <f>IFERROR(__xludf.DUMMYFUNCTION("""COMPUTED_VALUE"""),2019.0)</f>
        <v>2019</v>
      </c>
      <c r="M6776" s="308" t="s">
        <v>27448</v>
      </c>
      <c r="N6776" s="308" t="s">
        <v>27394</v>
      </c>
      <c r="O6776" s="308"/>
      <c r="P6776" s="308" t="s">
        <v>39391</v>
      </c>
      <c r="Q6776" s="308" t="s">
        <v>39390</v>
      </c>
      <c r="R6776" s="308" t="s">
        <v>2743</v>
      </c>
      <c r="S6776" s="308" t="s">
        <v>81</v>
      </c>
      <c r="T6776" s="311" t="s">
        <v>39114</v>
      </c>
      <c r="U6776" s="308" t="s">
        <v>26521</v>
      </c>
      <c r="V6776" s="308"/>
    </row>
    <row r="6777">
      <c r="A6777" s="308"/>
      <c r="B6777" s="308"/>
      <c r="C6777" s="308" t="s">
        <v>27450</v>
      </c>
      <c r="D6777" s="308">
        <f>IFERROR(__xludf.DUMMYFUNCTION("SPLIT(C6777,""-"")"),6797.0)</f>
        <v>6797</v>
      </c>
      <c r="E6777" s="308" t="str">
        <f>IFERROR(__xludf.DUMMYFUNCTION("""COMPUTED_VALUE"""),"P")</f>
        <v>P</v>
      </c>
      <c r="F6777" s="312" t="s">
        <v>37</v>
      </c>
      <c r="G6777" s="308"/>
      <c r="H6777" s="308" t="s">
        <v>27451</v>
      </c>
      <c r="I6777" s="310">
        <v>43741.0</v>
      </c>
      <c r="J6777" s="319">
        <f>IFERROR(__xludf.DUMMYFUNCTION("SPLIT(I6777,""/"")"),3.0)</f>
        <v>3</v>
      </c>
      <c r="K6777" s="308">
        <f>IFERROR(__xludf.DUMMYFUNCTION("""COMPUTED_VALUE"""),10.0)</f>
        <v>10</v>
      </c>
      <c r="L6777" s="308">
        <f>IFERROR(__xludf.DUMMYFUNCTION("""COMPUTED_VALUE"""),2019.0)</f>
        <v>2019</v>
      </c>
      <c r="M6777" s="308" t="s">
        <v>27452</v>
      </c>
      <c r="N6777" s="308" t="s">
        <v>27453</v>
      </c>
      <c r="O6777" s="308"/>
      <c r="P6777" s="308" t="s">
        <v>27454</v>
      </c>
      <c r="Q6777" s="308" t="s">
        <v>39390</v>
      </c>
      <c r="R6777" s="308" t="s">
        <v>2743</v>
      </c>
      <c r="S6777" s="308" t="s">
        <v>81</v>
      </c>
      <c r="T6777" s="308" t="s">
        <v>75</v>
      </c>
      <c r="U6777" s="308" t="s">
        <v>143</v>
      </c>
      <c r="V6777" s="308"/>
    </row>
    <row r="6778">
      <c r="A6778" s="308"/>
      <c r="B6778" s="308"/>
      <c r="C6778" s="308" t="s">
        <v>27455</v>
      </c>
      <c r="D6778" s="308">
        <f>IFERROR(__xludf.DUMMYFUNCTION("SPLIT(C6778,""-"")"),6798.0)</f>
        <v>6798</v>
      </c>
      <c r="E6778" s="308" t="str">
        <f>IFERROR(__xludf.DUMMYFUNCTION("""COMPUTED_VALUE"""),"K")</f>
        <v>K</v>
      </c>
      <c r="F6778" s="309" t="s">
        <v>34</v>
      </c>
      <c r="G6778" s="308"/>
      <c r="H6778" s="308" t="s">
        <v>27456</v>
      </c>
      <c r="I6778" s="310">
        <v>42842.0</v>
      </c>
      <c r="J6778" s="319" t="str">
        <f>IFERROR(__xludf.DUMMYFUNCTION("SPLIT(I6778,""/"")"),"#REF!")</f>
        <v>#REF!</v>
      </c>
      <c r="K6778" s="308"/>
      <c r="L6778" s="308">
        <v>2017.0</v>
      </c>
      <c r="M6778" s="308" t="s">
        <v>27457</v>
      </c>
      <c r="N6778" s="308" t="s">
        <v>27458</v>
      </c>
      <c r="O6778" s="308"/>
      <c r="P6778" s="308" t="s">
        <v>136</v>
      </c>
      <c r="Q6778" s="308" t="s">
        <v>39390</v>
      </c>
      <c r="R6778" s="308" t="s">
        <v>2743</v>
      </c>
      <c r="S6778" s="315" t="s">
        <v>100</v>
      </c>
      <c r="T6778" s="308" t="s">
        <v>34208</v>
      </c>
      <c r="U6778" s="308" t="s">
        <v>2152</v>
      </c>
      <c r="V6778" s="308"/>
    </row>
    <row r="6779">
      <c r="A6779" s="308"/>
      <c r="B6779" s="308"/>
      <c r="C6779" s="308" t="s">
        <v>27459</v>
      </c>
      <c r="D6779" s="308">
        <f>IFERROR(__xludf.DUMMYFUNCTION("SPLIT(C6779,""-"")"),6799.0)</f>
        <v>6799</v>
      </c>
      <c r="E6779" s="308" t="str">
        <f>IFERROR(__xludf.DUMMYFUNCTION("""COMPUTED_VALUE"""),"K")</f>
        <v>K</v>
      </c>
      <c r="F6779" s="309" t="s">
        <v>34</v>
      </c>
      <c r="G6779" s="308"/>
      <c r="H6779" s="308" t="s">
        <v>27460</v>
      </c>
      <c r="I6779" s="314">
        <v>42655.0</v>
      </c>
      <c r="J6779" s="319">
        <f>IFERROR(__xludf.DUMMYFUNCTION("SPLIT(I6779,""/"")"),12.0)</f>
        <v>12</v>
      </c>
      <c r="K6779" s="308">
        <f>IFERROR(__xludf.DUMMYFUNCTION("""COMPUTED_VALUE"""),10.0)</f>
        <v>10</v>
      </c>
      <c r="L6779" s="308">
        <f>IFERROR(__xludf.DUMMYFUNCTION("""COMPUTED_VALUE"""),2016.0)</f>
        <v>2016</v>
      </c>
      <c r="M6779" s="308" t="s">
        <v>27461</v>
      </c>
      <c r="N6779" s="308" t="s">
        <v>439</v>
      </c>
      <c r="O6779" s="308"/>
      <c r="P6779" s="308" t="s">
        <v>136</v>
      </c>
      <c r="Q6779" s="308" t="s">
        <v>39390</v>
      </c>
      <c r="R6779" s="308" t="s">
        <v>2743</v>
      </c>
      <c r="S6779" s="315" t="s">
        <v>100</v>
      </c>
      <c r="T6779" s="308" t="s">
        <v>34208</v>
      </c>
      <c r="U6779" s="308" t="s">
        <v>13085</v>
      </c>
      <c r="V6779" s="308"/>
    </row>
    <row r="6780">
      <c r="A6780" s="308"/>
      <c r="B6780" s="308"/>
      <c r="C6780" s="308" t="s">
        <v>27462</v>
      </c>
      <c r="D6780" s="308">
        <f>IFERROR(__xludf.DUMMYFUNCTION("SPLIT(C6780,""-"")"),6800.0)</f>
        <v>6800</v>
      </c>
      <c r="E6780" s="308" t="str">
        <f>IFERROR(__xludf.DUMMYFUNCTION("""COMPUTED_VALUE"""),"K")</f>
        <v>K</v>
      </c>
      <c r="F6780" s="309" t="s">
        <v>34</v>
      </c>
      <c r="G6780" s="308"/>
      <c r="H6780" s="308" t="s">
        <v>27463</v>
      </c>
      <c r="I6780" s="310">
        <v>42186.0</v>
      </c>
      <c r="J6780" s="319">
        <f>IFERROR(__xludf.DUMMYFUNCTION("SPLIT(I6780,""/"")"),1.0)</f>
        <v>1</v>
      </c>
      <c r="K6780" s="308">
        <f>IFERROR(__xludf.DUMMYFUNCTION("""COMPUTED_VALUE"""),7.0)</f>
        <v>7</v>
      </c>
      <c r="L6780" s="308">
        <f>IFERROR(__xludf.DUMMYFUNCTION("""COMPUTED_VALUE"""),2015.0)</f>
        <v>2015</v>
      </c>
      <c r="M6780" s="308" t="s">
        <v>27464</v>
      </c>
      <c r="N6780" s="308" t="s">
        <v>27394</v>
      </c>
      <c r="O6780" s="308"/>
      <c r="P6780" s="308" t="s">
        <v>136</v>
      </c>
      <c r="Q6780" s="308" t="s">
        <v>39390</v>
      </c>
      <c r="R6780" s="308" t="s">
        <v>2743</v>
      </c>
      <c r="S6780" s="315" t="s">
        <v>100</v>
      </c>
      <c r="T6780" s="308" t="s">
        <v>34208</v>
      </c>
      <c r="U6780" s="308" t="s">
        <v>125</v>
      </c>
      <c r="V6780" s="308"/>
    </row>
    <row r="6781">
      <c r="A6781" s="308"/>
      <c r="B6781" s="308"/>
      <c r="C6781" s="308" t="s">
        <v>27465</v>
      </c>
      <c r="D6781" s="308">
        <f>IFERROR(__xludf.DUMMYFUNCTION("SPLIT(C6781,""-"")"),6801.0)</f>
        <v>6801</v>
      </c>
      <c r="E6781" s="308" t="str">
        <f>IFERROR(__xludf.DUMMYFUNCTION("""COMPUTED_VALUE"""),"I")</f>
        <v>I</v>
      </c>
      <c r="F6781" s="309" t="s">
        <v>31</v>
      </c>
      <c r="G6781" s="308"/>
      <c r="H6781" s="308" t="s">
        <v>27466</v>
      </c>
      <c r="I6781" s="310">
        <v>43991.0</v>
      </c>
      <c r="J6781" s="319">
        <f>IFERROR(__xludf.DUMMYFUNCTION("SPLIT(I6781,""/"")"),9.0)</f>
        <v>9</v>
      </c>
      <c r="K6781" s="308">
        <f>IFERROR(__xludf.DUMMYFUNCTION("""COMPUTED_VALUE"""),6.0)</f>
        <v>6</v>
      </c>
      <c r="L6781" s="308">
        <f>IFERROR(__xludf.DUMMYFUNCTION("""COMPUTED_VALUE"""),2020.0)</f>
        <v>2020</v>
      </c>
      <c r="M6781" s="308" t="s">
        <v>27467</v>
      </c>
      <c r="N6781" s="308" t="s">
        <v>27468</v>
      </c>
      <c r="O6781" s="308"/>
      <c r="P6781" s="308" t="s">
        <v>39392</v>
      </c>
      <c r="Q6781" s="308" t="s">
        <v>39393</v>
      </c>
      <c r="R6781" s="308" t="s">
        <v>2743</v>
      </c>
      <c r="S6781" s="308" t="s">
        <v>81</v>
      </c>
      <c r="T6781" s="311" t="s">
        <v>91</v>
      </c>
      <c r="U6781" s="308" t="s">
        <v>31</v>
      </c>
      <c r="V6781" s="308"/>
    </row>
    <row r="6782">
      <c r="A6782" s="308"/>
      <c r="B6782" s="308"/>
      <c r="C6782" s="308" t="s">
        <v>27470</v>
      </c>
      <c r="D6782" s="308">
        <f>IFERROR(__xludf.DUMMYFUNCTION("SPLIT(C6782,""-"")"),6802.0)</f>
        <v>6802</v>
      </c>
      <c r="E6782" s="308" t="str">
        <f>IFERROR(__xludf.DUMMYFUNCTION("""COMPUTED_VALUE"""),"S")</f>
        <v>S</v>
      </c>
      <c r="F6782" s="312" t="s">
        <v>39</v>
      </c>
      <c r="G6782" s="308"/>
      <c r="H6782" s="308" t="s">
        <v>27471</v>
      </c>
      <c r="I6782" s="310">
        <v>43999.0</v>
      </c>
      <c r="J6782" s="319">
        <f>IFERROR(__xludf.DUMMYFUNCTION("SPLIT(I6782,""/"")"),17.0)</f>
        <v>17</v>
      </c>
      <c r="K6782" s="308">
        <f>IFERROR(__xludf.DUMMYFUNCTION("""COMPUTED_VALUE"""),6.0)</f>
        <v>6</v>
      </c>
      <c r="L6782" s="308">
        <f>IFERROR(__xludf.DUMMYFUNCTION("""COMPUTED_VALUE"""),2020.0)</f>
        <v>2020</v>
      </c>
      <c r="M6782" s="308" t="s">
        <v>27472</v>
      </c>
      <c r="N6782" s="308" t="s">
        <v>27473</v>
      </c>
      <c r="O6782" s="308" t="s">
        <v>27474</v>
      </c>
      <c r="P6782" s="308" t="s">
        <v>39394</v>
      </c>
      <c r="Q6782" s="308" t="s">
        <v>39395</v>
      </c>
      <c r="R6782" s="308" t="s">
        <v>2743</v>
      </c>
      <c r="S6782" s="308" t="s">
        <v>81</v>
      </c>
      <c r="T6782" s="308" t="s">
        <v>75</v>
      </c>
      <c r="U6782" s="308" t="s">
        <v>166</v>
      </c>
      <c r="V6782" s="308"/>
    </row>
    <row r="6783">
      <c r="A6783" s="308"/>
      <c r="B6783" s="308"/>
      <c r="C6783" s="308" t="s">
        <v>27476</v>
      </c>
      <c r="D6783" s="308">
        <f>IFERROR(__xludf.DUMMYFUNCTION("SPLIT(C6783,""-"")"),6803.0)</f>
        <v>6803</v>
      </c>
      <c r="E6783" s="308" t="str">
        <f>IFERROR(__xludf.DUMMYFUNCTION("""COMPUTED_VALUE"""),"K")</f>
        <v>K</v>
      </c>
      <c r="F6783" s="309" t="s">
        <v>34</v>
      </c>
      <c r="G6783" s="308"/>
      <c r="H6783" s="308" t="s">
        <v>27477</v>
      </c>
      <c r="I6783" s="310">
        <v>43910.0</v>
      </c>
      <c r="J6783" s="319">
        <f>IFERROR(__xludf.DUMMYFUNCTION("SPLIT(I6783,""/"")"),20.0)</f>
        <v>20</v>
      </c>
      <c r="K6783" s="308">
        <f>IFERROR(__xludf.DUMMYFUNCTION("""COMPUTED_VALUE"""),3.0)</f>
        <v>3</v>
      </c>
      <c r="L6783" s="308">
        <f>IFERROR(__xludf.DUMMYFUNCTION("""COMPUTED_VALUE"""),2020.0)</f>
        <v>2020</v>
      </c>
      <c r="M6783" s="308" t="s">
        <v>27478</v>
      </c>
      <c r="N6783" s="308" t="s">
        <v>27479</v>
      </c>
      <c r="O6783" s="308"/>
      <c r="P6783" s="308" t="s">
        <v>27480</v>
      </c>
      <c r="Q6783" s="308" t="s">
        <v>39395</v>
      </c>
      <c r="R6783" s="308" t="s">
        <v>2743</v>
      </c>
      <c r="S6783" s="308" t="s">
        <v>81</v>
      </c>
      <c r="T6783" s="311" t="s">
        <v>34264</v>
      </c>
      <c r="U6783" s="308" t="s">
        <v>26521</v>
      </c>
      <c r="V6783" s="308"/>
    </row>
    <row r="6784">
      <c r="A6784" s="308"/>
      <c r="B6784" s="308"/>
      <c r="C6784" s="308" t="s">
        <v>27481</v>
      </c>
      <c r="D6784" s="308">
        <f>IFERROR(__xludf.DUMMYFUNCTION("SPLIT(C6784,""-"")"),6804.0)</f>
        <v>6804</v>
      </c>
      <c r="E6784" s="308" t="str">
        <f>IFERROR(__xludf.DUMMYFUNCTION("""COMPUTED_VALUE"""),"K")</f>
        <v>K</v>
      </c>
      <c r="F6784" s="309" t="s">
        <v>34</v>
      </c>
      <c r="G6784" s="308"/>
      <c r="H6784" s="308" t="s">
        <v>27482</v>
      </c>
      <c r="I6784" s="310">
        <v>39965.0</v>
      </c>
      <c r="J6784" s="319">
        <f>IFERROR(__xludf.DUMMYFUNCTION("SPLIT(I6784,""/"")"),1.0)</f>
        <v>1</v>
      </c>
      <c r="K6784" s="308">
        <f>IFERROR(__xludf.DUMMYFUNCTION("""COMPUTED_VALUE"""),6.0)</f>
        <v>6</v>
      </c>
      <c r="L6784" s="308">
        <f>IFERROR(__xludf.DUMMYFUNCTION("""COMPUTED_VALUE"""),2009.0)</f>
        <v>2009</v>
      </c>
      <c r="M6784" s="308" t="s">
        <v>39396</v>
      </c>
      <c r="N6784" s="308" t="s">
        <v>27484</v>
      </c>
      <c r="O6784" s="308"/>
      <c r="P6784" s="308" t="s">
        <v>136</v>
      </c>
      <c r="Q6784" s="308" t="s">
        <v>39397</v>
      </c>
      <c r="R6784" s="308" t="s">
        <v>2743</v>
      </c>
      <c r="S6784" s="315" t="s">
        <v>100</v>
      </c>
      <c r="T6784" s="308" t="s">
        <v>34208</v>
      </c>
      <c r="U6784" s="308" t="s">
        <v>530</v>
      </c>
      <c r="V6784" s="308"/>
    </row>
    <row r="6785">
      <c r="A6785" s="308"/>
      <c r="B6785" s="308"/>
      <c r="C6785" s="308" t="s">
        <v>27485</v>
      </c>
      <c r="D6785" s="308">
        <f>IFERROR(__xludf.DUMMYFUNCTION("SPLIT(C6785,""-"")"),6805.0)</f>
        <v>6805</v>
      </c>
      <c r="E6785" s="308" t="str">
        <f>IFERROR(__xludf.DUMMYFUNCTION("""COMPUTED_VALUE"""),"K")</f>
        <v>K</v>
      </c>
      <c r="F6785" s="309" t="s">
        <v>34</v>
      </c>
      <c r="G6785" s="308"/>
      <c r="H6785" s="308" t="s">
        <v>27486</v>
      </c>
      <c r="I6785" s="310">
        <v>44063.0</v>
      </c>
      <c r="J6785" s="319">
        <f>IFERROR(__xludf.DUMMYFUNCTION("SPLIT(I6785,""/"")"),20.0)</f>
        <v>20</v>
      </c>
      <c r="K6785" s="308">
        <f>IFERROR(__xludf.DUMMYFUNCTION("""COMPUTED_VALUE"""),8.0)</f>
        <v>8</v>
      </c>
      <c r="L6785" s="308">
        <f>IFERROR(__xludf.DUMMYFUNCTION("""COMPUTED_VALUE"""),2020.0)</f>
        <v>2020</v>
      </c>
      <c r="M6785" s="308" t="s">
        <v>27487</v>
      </c>
      <c r="N6785" s="308" t="s">
        <v>27488</v>
      </c>
      <c r="O6785" s="308"/>
      <c r="P6785" s="308" t="s">
        <v>27489</v>
      </c>
      <c r="Q6785" s="308" t="s">
        <v>39397</v>
      </c>
      <c r="R6785" s="308" t="s">
        <v>2743</v>
      </c>
      <c r="S6785" s="308" t="s">
        <v>81</v>
      </c>
      <c r="T6785" s="308" t="s">
        <v>75</v>
      </c>
      <c r="U6785" s="308" t="s">
        <v>4487</v>
      </c>
      <c r="V6785" s="308"/>
    </row>
    <row r="6786">
      <c r="A6786" s="308"/>
      <c r="B6786" s="308"/>
      <c r="C6786" s="308" t="s">
        <v>27490</v>
      </c>
      <c r="D6786" s="308">
        <f>IFERROR(__xludf.DUMMYFUNCTION("SPLIT(C6786,""-"")"),6806.0)</f>
        <v>6806</v>
      </c>
      <c r="E6786" s="308" t="str">
        <f>IFERROR(__xludf.DUMMYFUNCTION("""COMPUTED_VALUE"""),"S")</f>
        <v>S</v>
      </c>
      <c r="F6786" s="312" t="s">
        <v>39</v>
      </c>
      <c r="G6786" s="308"/>
      <c r="H6786" s="308" t="s">
        <v>27491</v>
      </c>
      <c r="I6786" s="310">
        <v>8442763.0</v>
      </c>
      <c r="J6786" s="323">
        <v>1.0</v>
      </c>
      <c r="K6786" s="311">
        <v>7.0</v>
      </c>
      <c r="L6786" s="311">
        <v>2015.0</v>
      </c>
      <c r="M6786" s="308" t="s">
        <v>27492</v>
      </c>
      <c r="N6786" s="308" t="s">
        <v>27493</v>
      </c>
      <c r="O6786" s="308"/>
      <c r="P6786" s="308" t="s">
        <v>27494</v>
      </c>
      <c r="Q6786" s="308" t="s">
        <v>39397</v>
      </c>
      <c r="R6786" s="308" t="s">
        <v>16185</v>
      </c>
      <c r="S6786" s="308" t="s">
        <v>81</v>
      </c>
      <c r="T6786" s="308" t="s">
        <v>34264</v>
      </c>
      <c r="U6786" s="308" t="s">
        <v>166</v>
      </c>
      <c r="V6786" s="308"/>
    </row>
    <row r="6787">
      <c r="A6787" s="308"/>
      <c r="B6787" s="308"/>
      <c r="C6787" s="308" t="s">
        <v>27495</v>
      </c>
      <c r="D6787" s="308">
        <f>IFERROR(__xludf.DUMMYFUNCTION("SPLIT(C6787,""-"")"),6807.0)</f>
        <v>6807</v>
      </c>
      <c r="E6787" s="308" t="str">
        <f>IFERROR(__xludf.DUMMYFUNCTION("""COMPUTED_VALUE"""),"P")</f>
        <v>P</v>
      </c>
      <c r="F6787" s="312" t="s">
        <v>37</v>
      </c>
      <c r="G6787" s="308"/>
      <c r="H6787" s="308" t="s">
        <v>27496</v>
      </c>
      <c r="I6787" s="310">
        <v>44106.0</v>
      </c>
      <c r="J6787" s="319">
        <f>IFERROR(__xludf.DUMMYFUNCTION("SPLIT(I6787,""/"")"),2.0)</f>
        <v>2</v>
      </c>
      <c r="K6787" s="308">
        <f>IFERROR(__xludf.DUMMYFUNCTION("""COMPUTED_VALUE"""),10.0)</f>
        <v>10</v>
      </c>
      <c r="L6787" s="308">
        <f>IFERROR(__xludf.DUMMYFUNCTION("""COMPUTED_VALUE"""),2020.0)</f>
        <v>2020</v>
      </c>
      <c r="M6787" s="308" t="s">
        <v>27497</v>
      </c>
      <c r="N6787" s="308" t="s">
        <v>27498</v>
      </c>
      <c r="O6787" s="308"/>
      <c r="P6787" s="308" t="s">
        <v>27499</v>
      </c>
      <c r="Q6787" s="308" t="s">
        <v>39397</v>
      </c>
      <c r="R6787" s="308" t="s">
        <v>16185</v>
      </c>
      <c r="S6787" s="308" t="s">
        <v>81</v>
      </c>
      <c r="T6787" s="311" t="s">
        <v>51</v>
      </c>
      <c r="U6787" s="308" t="s">
        <v>2291</v>
      </c>
      <c r="V6787" s="308"/>
    </row>
    <row r="6788">
      <c r="A6788" s="308"/>
      <c r="B6788" s="308"/>
      <c r="C6788" s="308" t="s">
        <v>27500</v>
      </c>
      <c r="D6788" s="308">
        <f>IFERROR(__xludf.DUMMYFUNCTION("SPLIT(C6788,""-"")"),6808.0)</f>
        <v>6808</v>
      </c>
      <c r="E6788" s="308" t="str">
        <f>IFERROR(__xludf.DUMMYFUNCTION("""COMPUTED_VALUE"""),"I")</f>
        <v>I</v>
      </c>
      <c r="F6788" s="309" t="s">
        <v>31</v>
      </c>
      <c r="G6788" s="308"/>
      <c r="H6788" s="308" t="s">
        <v>27501</v>
      </c>
      <c r="I6788" s="316" t="s">
        <v>27502</v>
      </c>
      <c r="J6788" s="323">
        <v>4.0</v>
      </c>
      <c r="K6788" s="311">
        <v>10.0</v>
      </c>
      <c r="L6788" s="311">
        <v>2020.0</v>
      </c>
      <c r="M6788" s="308" t="s">
        <v>27503</v>
      </c>
      <c r="N6788" s="308" t="s">
        <v>27504</v>
      </c>
      <c r="O6788" s="308"/>
      <c r="P6788" s="308" t="s">
        <v>39398</v>
      </c>
      <c r="Q6788" s="308" t="s">
        <v>39397</v>
      </c>
      <c r="R6788" s="308" t="s">
        <v>16185</v>
      </c>
      <c r="S6788" s="308" t="s">
        <v>81</v>
      </c>
      <c r="T6788" s="311" t="s">
        <v>96</v>
      </c>
      <c r="U6788" s="308" t="s">
        <v>31</v>
      </c>
      <c r="V6788" s="308"/>
    </row>
    <row r="6789">
      <c r="A6789" s="308"/>
      <c r="B6789" s="308"/>
      <c r="C6789" s="308" t="s">
        <v>27506</v>
      </c>
      <c r="D6789" s="308">
        <f>IFERROR(__xludf.DUMMYFUNCTION("SPLIT(C6789,""-"")"),6809.0)</f>
        <v>6809</v>
      </c>
      <c r="E6789" s="308" t="str">
        <f>IFERROR(__xludf.DUMMYFUNCTION("""COMPUTED_VALUE"""),"K")</f>
        <v>K</v>
      </c>
      <c r="F6789" s="309" t="s">
        <v>34</v>
      </c>
      <c r="G6789" s="308"/>
      <c r="H6789" s="308" t="s">
        <v>27507</v>
      </c>
      <c r="I6789" s="310">
        <v>39753.0</v>
      </c>
      <c r="J6789" s="319">
        <f>IFERROR(__xludf.DUMMYFUNCTION("SPLIT(I6789,""/"")"),1.0)</f>
        <v>1</v>
      </c>
      <c r="K6789" s="308">
        <f>IFERROR(__xludf.DUMMYFUNCTION("""COMPUTED_VALUE"""),11.0)</f>
        <v>11</v>
      </c>
      <c r="L6789" s="308">
        <f>IFERROR(__xludf.DUMMYFUNCTION("""COMPUTED_VALUE"""),2008.0)</f>
        <v>2008</v>
      </c>
      <c r="M6789" s="308" t="s">
        <v>39399</v>
      </c>
      <c r="N6789" s="308" t="s">
        <v>27394</v>
      </c>
      <c r="O6789" s="308" t="s">
        <v>27509</v>
      </c>
      <c r="P6789" s="308" t="s">
        <v>136</v>
      </c>
      <c r="Q6789" s="308" t="s">
        <v>39400</v>
      </c>
      <c r="R6789" s="308" t="s">
        <v>16185</v>
      </c>
      <c r="S6789" s="315" t="s">
        <v>100</v>
      </c>
      <c r="T6789" s="308" t="s">
        <v>34208</v>
      </c>
      <c r="U6789" s="308" t="s">
        <v>530</v>
      </c>
      <c r="V6789" s="308"/>
    </row>
    <row r="6790">
      <c r="A6790" s="308"/>
      <c r="B6790" s="308"/>
      <c r="C6790" s="308" t="s">
        <v>27510</v>
      </c>
      <c r="D6790" s="308">
        <f>IFERROR(__xludf.DUMMYFUNCTION("SPLIT(C6790,""-"")"),6810.0)</f>
        <v>6810</v>
      </c>
      <c r="E6790" s="308" t="str">
        <f>IFERROR(__xludf.DUMMYFUNCTION("""COMPUTED_VALUE"""),"K")</f>
        <v>K</v>
      </c>
      <c r="F6790" s="309" t="s">
        <v>34</v>
      </c>
      <c r="G6790" s="308"/>
      <c r="H6790" s="308" t="s">
        <v>27511</v>
      </c>
      <c r="I6790" s="310">
        <v>40360.0</v>
      </c>
      <c r="J6790" s="319">
        <f>IFERROR(__xludf.DUMMYFUNCTION("SPLIT(I6790,""/"")"),1.0)</f>
        <v>1</v>
      </c>
      <c r="K6790" s="308">
        <f>IFERROR(__xludf.DUMMYFUNCTION("""COMPUTED_VALUE"""),7.0)</f>
        <v>7</v>
      </c>
      <c r="L6790" s="308">
        <f>IFERROR(__xludf.DUMMYFUNCTION("""COMPUTED_VALUE"""),2010.0)</f>
        <v>2010</v>
      </c>
      <c r="M6790" s="308" t="s">
        <v>27512</v>
      </c>
      <c r="N6790" s="308" t="s">
        <v>27513</v>
      </c>
      <c r="O6790" s="308"/>
      <c r="P6790" s="308" t="s">
        <v>39401</v>
      </c>
      <c r="Q6790" s="308" t="s">
        <v>39400</v>
      </c>
      <c r="R6790" s="308" t="s">
        <v>16185</v>
      </c>
      <c r="S6790" s="308" t="s">
        <v>81</v>
      </c>
      <c r="T6790" s="308" t="s">
        <v>34264</v>
      </c>
      <c r="U6790" s="308" t="s">
        <v>530</v>
      </c>
      <c r="V6790" s="308"/>
    </row>
    <row r="6791">
      <c r="A6791" s="308"/>
      <c r="B6791" s="308"/>
      <c r="C6791" s="308" t="s">
        <v>27515</v>
      </c>
      <c r="D6791" s="308">
        <f>IFERROR(__xludf.DUMMYFUNCTION("SPLIT(C6791,""-"")"),6811.0)</f>
        <v>6811</v>
      </c>
      <c r="E6791" s="308" t="str">
        <f>IFERROR(__xludf.DUMMYFUNCTION("""COMPUTED_VALUE"""),"K")</f>
        <v>K</v>
      </c>
      <c r="F6791" s="309" t="s">
        <v>34</v>
      </c>
      <c r="G6791" s="308"/>
      <c r="H6791" s="308" t="s">
        <v>27516</v>
      </c>
      <c r="I6791" s="310">
        <v>39995.0</v>
      </c>
      <c r="J6791" s="319">
        <f>IFERROR(__xludf.DUMMYFUNCTION("SPLIT(I6791,""/"")"),1.0)</f>
        <v>1</v>
      </c>
      <c r="K6791" s="308">
        <f>IFERROR(__xludf.DUMMYFUNCTION("""COMPUTED_VALUE"""),7.0)</f>
        <v>7</v>
      </c>
      <c r="L6791" s="308">
        <f>IFERROR(__xludf.DUMMYFUNCTION("""COMPUTED_VALUE"""),2009.0)</f>
        <v>2009</v>
      </c>
      <c r="M6791" s="308" t="s">
        <v>27517</v>
      </c>
      <c r="N6791" s="308" t="s">
        <v>27394</v>
      </c>
      <c r="O6791" s="308"/>
      <c r="P6791" s="308" t="s">
        <v>39402</v>
      </c>
      <c r="Q6791" s="308" t="s">
        <v>39400</v>
      </c>
      <c r="R6791" s="308" t="s">
        <v>16185</v>
      </c>
      <c r="S6791" s="308" t="s">
        <v>81</v>
      </c>
      <c r="T6791" s="308" t="s">
        <v>34264</v>
      </c>
      <c r="U6791" s="308" t="s">
        <v>530</v>
      </c>
      <c r="V6791" s="308"/>
    </row>
    <row r="6792">
      <c r="A6792" s="308"/>
      <c r="B6792" s="308"/>
      <c r="C6792" s="308" t="s">
        <v>27519</v>
      </c>
      <c r="D6792" s="308">
        <f>IFERROR(__xludf.DUMMYFUNCTION("SPLIT(C6792,""-"")"),6812.0)</f>
        <v>6812</v>
      </c>
      <c r="E6792" s="308" t="str">
        <f>IFERROR(__xludf.DUMMYFUNCTION("""COMPUTED_VALUE"""),"B")</f>
        <v>B</v>
      </c>
      <c r="F6792" s="315" t="s">
        <v>26</v>
      </c>
      <c r="G6792" s="308"/>
      <c r="H6792" s="308" t="s">
        <v>27520</v>
      </c>
      <c r="I6792" s="310">
        <v>43590.0</v>
      </c>
      <c r="J6792" s="319">
        <f>IFERROR(__xludf.DUMMYFUNCTION("SPLIT(I6792,""/"")"),5.0)</f>
        <v>5</v>
      </c>
      <c r="K6792" s="308">
        <f>IFERROR(__xludf.DUMMYFUNCTION("""COMPUTED_VALUE"""),5.0)</f>
        <v>5</v>
      </c>
      <c r="L6792" s="308">
        <f>IFERROR(__xludf.DUMMYFUNCTION("""COMPUTED_VALUE"""),2019.0)</f>
        <v>2019</v>
      </c>
      <c r="M6792" s="308" t="s">
        <v>39403</v>
      </c>
      <c r="N6792" s="308" t="s">
        <v>27522</v>
      </c>
      <c r="O6792" s="308" t="s">
        <v>27523</v>
      </c>
      <c r="P6792" s="308" t="s">
        <v>39404</v>
      </c>
      <c r="Q6792" s="308" t="s">
        <v>39405</v>
      </c>
      <c r="R6792" s="308" t="s">
        <v>2743</v>
      </c>
      <c r="S6792" s="308" t="s">
        <v>49</v>
      </c>
      <c r="T6792" s="311" t="s">
        <v>51</v>
      </c>
      <c r="U6792" s="308" t="s">
        <v>27</v>
      </c>
      <c r="V6792" s="308"/>
    </row>
    <row r="6793">
      <c r="A6793" s="308"/>
      <c r="B6793" s="308"/>
      <c r="C6793" s="308" t="s">
        <v>27525</v>
      </c>
      <c r="D6793" s="308">
        <f>IFERROR(__xludf.DUMMYFUNCTION("SPLIT(C6793,""-"")"),6813.0)</f>
        <v>6813</v>
      </c>
      <c r="E6793" s="308" t="str">
        <f>IFERROR(__xludf.DUMMYFUNCTION("""COMPUTED_VALUE"""),"S")</f>
        <v>S</v>
      </c>
      <c r="F6793" s="312" t="s">
        <v>39</v>
      </c>
      <c r="G6793" s="308"/>
      <c r="H6793" s="308" t="s">
        <v>27526</v>
      </c>
      <c r="I6793" s="310">
        <v>43866.0</v>
      </c>
      <c r="J6793" s="319">
        <f>IFERROR(__xludf.DUMMYFUNCTION("SPLIT(I6793,""/"")"),5.0)</f>
        <v>5</v>
      </c>
      <c r="K6793" s="308">
        <f>IFERROR(__xludf.DUMMYFUNCTION("""COMPUTED_VALUE"""),2.0)</f>
        <v>2</v>
      </c>
      <c r="L6793" s="308">
        <f>IFERROR(__xludf.DUMMYFUNCTION("""COMPUTED_VALUE"""),2020.0)</f>
        <v>2020</v>
      </c>
      <c r="M6793" s="308" t="s">
        <v>27527</v>
      </c>
      <c r="N6793" s="308" t="s">
        <v>27528</v>
      </c>
      <c r="O6793" s="308"/>
      <c r="P6793" s="308" t="s">
        <v>39406</v>
      </c>
      <c r="Q6793" s="308" t="s">
        <v>39405</v>
      </c>
      <c r="R6793" s="308" t="s">
        <v>2743</v>
      </c>
      <c r="S6793" s="308" t="s">
        <v>81</v>
      </c>
      <c r="T6793" s="311" t="s">
        <v>96</v>
      </c>
      <c r="U6793" s="308" t="s">
        <v>166</v>
      </c>
      <c r="V6793" s="308"/>
    </row>
    <row r="6794">
      <c r="A6794" s="308"/>
      <c r="B6794" s="308"/>
      <c r="C6794" s="308" t="s">
        <v>27530</v>
      </c>
      <c r="D6794" s="308">
        <f>IFERROR(__xludf.DUMMYFUNCTION("SPLIT(C6794,""-"")"),6814.0)</f>
        <v>6814</v>
      </c>
      <c r="E6794" s="308" t="str">
        <f>IFERROR(__xludf.DUMMYFUNCTION("""COMPUTED_VALUE"""),"K")</f>
        <v>K</v>
      </c>
      <c r="F6794" s="309" t="s">
        <v>34</v>
      </c>
      <c r="G6794" s="308"/>
      <c r="H6794" s="308" t="s">
        <v>27531</v>
      </c>
      <c r="I6794" s="310">
        <v>40055.0</v>
      </c>
      <c r="J6794" s="319">
        <f>IFERROR(__xludf.DUMMYFUNCTION("SPLIT(I6794,""/"")"),30.0)</f>
        <v>30</v>
      </c>
      <c r="K6794" s="308">
        <f>IFERROR(__xludf.DUMMYFUNCTION("""COMPUTED_VALUE"""),8.0)</f>
        <v>8</v>
      </c>
      <c r="L6794" s="308">
        <f>IFERROR(__xludf.DUMMYFUNCTION("""COMPUTED_VALUE"""),2009.0)</f>
        <v>2009</v>
      </c>
      <c r="M6794" s="308" t="s">
        <v>27532</v>
      </c>
      <c r="N6794" s="308" t="s">
        <v>439</v>
      </c>
      <c r="O6794" s="308" t="s">
        <v>27533</v>
      </c>
      <c r="P6794" s="308" t="s">
        <v>136</v>
      </c>
      <c r="Q6794" s="308" t="s">
        <v>39405</v>
      </c>
      <c r="R6794" s="308" t="s">
        <v>2743</v>
      </c>
      <c r="S6794" s="315" t="s">
        <v>100</v>
      </c>
      <c r="T6794" s="308" t="s">
        <v>34208</v>
      </c>
      <c r="U6794" s="308" t="s">
        <v>22473</v>
      </c>
      <c r="V6794" s="308"/>
    </row>
    <row r="6795">
      <c r="A6795" s="308"/>
      <c r="B6795" s="308"/>
      <c r="C6795" s="308" t="s">
        <v>27534</v>
      </c>
      <c r="D6795" s="308">
        <f>IFERROR(__xludf.DUMMYFUNCTION("SPLIT(C6795,""-"")"),6815.0)</f>
        <v>6815</v>
      </c>
      <c r="E6795" s="308" t="str">
        <f>IFERROR(__xludf.DUMMYFUNCTION("""COMPUTED_VALUE"""),"K")</f>
        <v>K</v>
      </c>
      <c r="F6795" s="309" t="s">
        <v>34</v>
      </c>
      <c r="G6795" s="308"/>
      <c r="H6795" s="308" t="s">
        <v>27535</v>
      </c>
      <c r="I6795" s="310">
        <v>42100.0</v>
      </c>
      <c r="J6795" s="319">
        <f>IFERROR(__xludf.DUMMYFUNCTION("SPLIT(I6795,""/"")"),6.0)</f>
        <v>6</v>
      </c>
      <c r="K6795" s="308">
        <f>IFERROR(__xludf.DUMMYFUNCTION("""COMPUTED_VALUE"""),4.0)</f>
        <v>4</v>
      </c>
      <c r="L6795" s="308">
        <f>IFERROR(__xludf.DUMMYFUNCTION("""COMPUTED_VALUE"""),2015.0)</f>
        <v>2015</v>
      </c>
      <c r="M6795" s="308" t="s">
        <v>27536</v>
      </c>
      <c r="N6795" s="308" t="s">
        <v>27537</v>
      </c>
      <c r="O6795" s="308"/>
      <c r="P6795" s="308" t="s">
        <v>136</v>
      </c>
      <c r="Q6795" s="308" t="s">
        <v>39405</v>
      </c>
      <c r="R6795" s="308" t="s">
        <v>2743</v>
      </c>
      <c r="S6795" s="315" t="s">
        <v>100</v>
      </c>
      <c r="T6795" s="308" t="s">
        <v>34208</v>
      </c>
      <c r="U6795" s="308" t="s">
        <v>125</v>
      </c>
      <c r="V6795" s="308"/>
    </row>
    <row r="6796">
      <c r="A6796" s="308"/>
      <c r="B6796" s="308"/>
      <c r="C6796" s="308" t="s">
        <v>27538</v>
      </c>
      <c r="D6796" s="308">
        <f>IFERROR(__xludf.DUMMYFUNCTION("SPLIT(C6796,""-"")"),6816.0)</f>
        <v>6816</v>
      </c>
      <c r="E6796" s="308" t="str">
        <f>IFERROR(__xludf.DUMMYFUNCTION("""COMPUTED_VALUE"""),"K")</f>
        <v>K</v>
      </c>
      <c r="F6796" s="309" t="s">
        <v>34</v>
      </c>
      <c r="G6796" s="308"/>
      <c r="H6796" s="308" t="s">
        <v>27539</v>
      </c>
      <c r="I6796" s="314">
        <v>41968.0</v>
      </c>
      <c r="J6796" s="319">
        <f>IFERROR(__xludf.DUMMYFUNCTION("SPLIT(I6796,""/"")"),25.0)</f>
        <v>25</v>
      </c>
      <c r="K6796" s="308">
        <f>IFERROR(__xludf.DUMMYFUNCTION("""COMPUTED_VALUE"""),11.0)</f>
        <v>11</v>
      </c>
      <c r="L6796" s="308">
        <f>IFERROR(__xludf.DUMMYFUNCTION("""COMPUTED_VALUE"""),2014.0)</f>
        <v>2014</v>
      </c>
      <c r="M6796" s="308" t="s">
        <v>27540</v>
      </c>
      <c r="N6796" s="308" t="s">
        <v>27541</v>
      </c>
      <c r="O6796" s="308"/>
      <c r="P6796" s="308" t="s">
        <v>136</v>
      </c>
      <c r="Q6796" s="308" t="s">
        <v>39405</v>
      </c>
      <c r="R6796" s="308" t="s">
        <v>2743</v>
      </c>
      <c r="S6796" s="315" t="s">
        <v>100</v>
      </c>
      <c r="T6796" s="308" t="s">
        <v>34208</v>
      </c>
      <c r="U6796" s="308" t="s">
        <v>18616</v>
      </c>
      <c r="V6796" s="308"/>
    </row>
    <row r="6797">
      <c r="A6797" s="308"/>
      <c r="B6797" s="308"/>
      <c r="C6797" s="308" t="s">
        <v>27542</v>
      </c>
      <c r="D6797" s="308">
        <f>IFERROR(__xludf.DUMMYFUNCTION("SPLIT(C6797,""-"")"),6817.0)</f>
        <v>6817</v>
      </c>
      <c r="E6797" s="308" t="str">
        <f>IFERROR(__xludf.DUMMYFUNCTION("""COMPUTED_VALUE"""),"K")</f>
        <v>K</v>
      </c>
      <c r="F6797" s="309" t="s">
        <v>34</v>
      </c>
      <c r="G6797" s="308"/>
      <c r="H6797" s="308" t="s">
        <v>27543</v>
      </c>
      <c r="I6797" s="310">
        <v>42216.0</v>
      </c>
      <c r="J6797" s="319">
        <f>IFERROR(__xludf.DUMMYFUNCTION("SPLIT(I6797,""/"")"),31.0)</f>
        <v>31</v>
      </c>
      <c r="K6797" s="308">
        <f>IFERROR(__xludf.DUMMYFUNCTION("""COMPUTED_VALUE"""),7.0)</f>
        <v>7</v>
      </c>
      <c r="L6797" s="308">
        <f>IFERROR(__xludf.DUMMYFUNCTION("""COMPUTED_VALUE"""),2015.0)</f>
        <v>2015</v>
      </c>
      <c r="M6797" s="308" t="s">
        <v>27544</v>
      </c>
      <c r="N6797" s="308" t="s">
        <v>439</v>
      </c>
      <c r="O6797" s="308"/>
      <c r="P6797" s="308" t="s">
        <v>136</v>
      </c>
      <c r="Q6797" s="308" t="s">
        <v>39405</v>
      </c>
      <c r="R6797" s="308" t="s">
        <v>2743</v>
      </c>
      <c r="S6797" s="315" t="s">
        <v>100</v>
      </c>
      <c r="T6797" s="308" t="s">
        <v>34208</v>
      </c>
      <c r="U6797" s="308" t="s">
        <v>125</v>
      </c>
      <c r="V6797" s="308"/>
    </row>
    <row r="6798">
      <c r="A6798" s="308"/>
      <c r="B6798" s="308"/>
      <c r="C6798" s="308" t="s">
        <v>27545</v>
      </c>
      <c r="D6798" s="308">
        <f>IFERROR(__xludf.DUMMYFUNCTION("SPLIT(C6798,""-"")"),6818.0)</f>
        <v>6818</v>
      </c>
      <c r="E6798" s="308" t="str">
        <f>IFERROR(__xludf.DUMMYFUNCTION("""COMPUTED_VALUE"""),"K")</f>
        <v>K</v>
      </c>
      <c r="F6798" s="309" t="s">
        <v>34</v>
      </c>
      <c r="G6798" s="308"/>
      <c r="H6798" s="308" t="s">
        <v>27546</v>
      </c>
      <c r="I6798" s="310">
        <v>42917.0</v>
      </c>
      <c r="J6798" s="319" t="str">
        <f>IFERROR(__xludf.DUMMYFUNCTION("SPLIT(I6798,""/"")"),"#REF!")</f>
        <v>#REF!</v>
      </c>
      <c r="K6798" s="308"/>
      <c r="L6798" s="308">
        <v>2017.0</v>
      </c>
      <c r="M6798" s="308" t="s">
        <v>27547</v>
      </c>
      <c r="N6798" s="308" t="s">
        <v>27548</v>
      </c>
      <c r="O6798" s="308"/>
      <c r="P6798" s="308" t="s">
        <v>27549</v>
      </c>
      <c r="Q6798" s="308" t="s">
        <v>39405</v>
      </c>
      <c r="R6798" s="308" t="s">
        <v>2743</v>
      </c>
      <c r="S6798" s="308" t="s">
        <v>81</v>
      </c>
      <c r="T6798" s="308" t="s">
        <v>34264</v>
      </c>
      <c r="U6798" s="308" t="s">
        <v>19459</v>
      </c>
      <c r="V6798" s="308"/>
    </row>
    <row r="6799">
      <c r="A6799" s="308"/>
      <c r="B6799" s="308"/>
      <c r="C6799" s="308" t="s">
        <v>27550</v>
      </c>
      <c r="D6799" s="308">
        <f>IFERROR(__xludf.DUMMYFUNCTION("SPLIT(C6799,""-"")"),6819.0)</f>
        <v>6819</v>
      </c>
      <c r="E6799" s="308" t="str">
        <f>IFERROR(__xludf.DUMMYFUNCTION("""COMPUTED_VALUE"""),"S")</f>
        <v>S</v>
      </c>
      <c r="F6799" s="312" t="s">
        <v>39</v>
      </c>
      <c r="G6799" s="308"/>
      <c r="H6799" s="308" t="s">
        <v>27551</v>
      </c>
      <c r="I6799" s="310">
        <v>44057.0</v>
      </c>
      <c r="J6799" s="319">
        <f>IFERROR(__xludf.DUMMYFUNCTION("SPLIT(I6799,""/"")"),14.0)</f>
        <v>14</v>
      </c>
      <c r="K6799" s="308">
        <f>IFERROR(__xludf.DUMMYFUNCTION("""COMPUTED_VALUE"""),8.0)</f>
        <v>8</v>
      </c>
      <c r="L6799" s="308">
        <f>IFERROR(__xludf.DUMMYFUNCTION("""COMPUTED_VALUE"""),2020.0)</f>
        <v>2020</v>
      </c>
      <c r="M6799" s="308" t="s">
        <v>27552</v>
      </c>
      <c r="N6799" s="308" t="s">
        <v>27553</v>
      </c>
      <c r="O6799" s="308"/>
      <c r="P6799" s="308" t="s">
        <v>39407</v>
      </c>
      <c r="Q6799" s="308" t="s">
        <v>39405</v>
      </c>
      <c r="R6799" s="308" t="s">
        <v>27555</v>
      </c>
      <c r="S6799" s="308" t="s">
        <v>81</v>
      </c>
      <c r="T6799" s="308" t="s">
        <v>75</v>
      </c>
      <c r="U6799" s="308" t="s">
        <v>166</v>
      </c>
      <c r="V6799" s="308"/>
    </row>
    <row r="6800">
      <c r="A6800" s="308"/>
      <c r="B6800" s="308"/>
      <c r="C6800" s="308" t="s">
        <v>27556</v>
      </c>
      <c r="D6800" s="308">
        <f>IFERROR(__xludf.DUMMYFUNCTION("SPLIT(C6800,""-"")"),6820.0)</f>
        <v>6820</v>
      </c>
      <c r="E6800" s="308" t="str">
        <f>IFERROR(__xludf.DUMMYFUNCTION("""COMPUTED_VALUE"""),"S")</f>
        <v>S</v>
      </c>
      <c r="F6800" s="312" t="s">
        <v>39</v>
      </c>
      <c r="G6800" s="308"/>
      <c r="H6800" s="308" t="s">
        <v>27557</v>
      </c>
      <c r="I6800" s="310">
        <v>44057.0</v>
      </c>
      <c r="J6800" s="319">
        <f>IFERROR(__xludf.DUMMYFUNCTION("SPLIT(I6800,""/"")"),14.0)</f>
        <v>14</v>
      </c>
      <c r="K6800" s="308">
        <f>IFERROR(__xludf.DUMMYFUNCTION("""COMPUTED_VALUE"""),8.0)</f>
        <v>8</v>
      </c>
      <c r="L6800" s="308">
        <f>IFERROR(__xludf.DUMMYFUNCTION("""COMPUTED_VALUE"""),2020.0)</f>
        <v>2020</v>
      </c>
      <c r="M6800" s="308" t="s">
        <v>27558</v>
      </c>
      <c r="N6800" s="308" t="s">
        <v>27559</v>
      </c>
      <c r="O6800" s="308"/>
      <c r="P6800" s="308" t="s">
        <v>39408</v>
      </c>
      <c r="Q6800" s="308" t="s">
        <v>39405</v>
      </c>
      <c r="R6800" s="308" t="s">
        <v>27555</v>
      </c>
      <c r="S6800" s="308" t="s">
        <v>81</v>
      </c>
      <c r="T6800" s="308" t="s">
        <v>75</v>
      </c>
      <c r="U6800" s="308" t="s">
        <v>166</v>
      </c>
      <c r="V6800" s="308"/>
    </row>
    <row r="6801">
      <c r="A6801" s="308"/>
      <c r="B6801" s="308"/>
      <c r="C6801" s="308" t="s">
        <v>27561</v>
      </c>
      <c r="D6801" s="308">
        <f>IFERROR(__xludf.DUMMYFUNCTION("SPLIT(C6801,""-"")"),6821.0)</f>
        <v>6821</v>
      </c>
      <c r="E6801" s="308" t="str">
        <f>IFERROR(__xludf.DUMMYFUNCTION("""COMPUTED_VALUE"""),"S")</f>
        <v>S</v>
      </c>
      <c r="F6801" s="312" t="s">
        <v>39</v>
      </c>
      <c r="G6801" s="308"/>
      <c r="H6801" s="308" t="s">
        <v>27562</v>
      </c>
      <c r="I6801" s="314">
        <v>44128.0</v>
      </c>
      <c r="J6801" s="319">
        <f>IFERROR(__xludf.DUMMYFUNCTION("SPLIT(I6801,""/"")"),24.0)</f>
        <v>24</v>
      </c>
      <c r="K6801" s="308">
        <f>IFERROR(__xludf.DUMMYFUNCTION("""COMPUTED_VALUE"""),10.0)</f>
        <v>10</v>
      </c>
      <c r="L6801" s="308">
        <f>IFERROR(__xludf.DUMMYFUNCTION("""COMPUTED_VALUE"""),2020.0)</f>
        <v>2020</v>
      </c>
      <c r="M6801" s="308" t="s">
        <v>27563</v>
      </c>
      <c r="N6801" s="308" t="s">
        <v>27564</v>
      </c>
      <c r="O6801" s="308"/>
      <c r="P6801" s="308" t="s">
        <v>39409</v>
      </c>
      <c r="Q6801" s="308" t="s">
        <v>39410</v>
      </c>
      <c r="R6801" s="308" t="s">
        <v>2743</v>
      </c>
      <c r="S6801" s="308" t="s">
        <v>81</v>
      </c>
      <c r="T6801" s="308" t="s">
        <v>75</v>
      </c>
      <c r="U6801" s="308" t="s">
        <v>166</v>
      </c>
      <c r="V6801" s="308"/>
    </row>
    <row r="6802">
      <c r="A6802" s="308"/>
      <c r="B6802" s="308"/>
      <c r="C6802" s="308" t="s">
        <v>27566</v>
      </c>
      <c r="D6802" s="308">
        <f>IFERROR(__xludf.DUMMYFUNCTION("SPLIT(C6802,""-"")"),6822.0)</f>
        <v>6822</v>
      </c>
      <c r="E6802" s="308" t="str">
        <f>IFERROR(__xludf.DUMMYFUNCTION("""COMPUTED_VALUE"""),"K")</f>
        <v>K</v>
      </c>
      <c r="F6802" s="309" t="s">
        <v>34</v>
      </c>
      <c r="G6802" s="308"/>
      <c r="H6802" s="308" t="s">
        <v>27567</v>
      </c>
      <c r="I6802" s="310">
        <v>40360.0</v>
      </c>
      <c r="J6802" s="319">
        <f>IFERROR(__xludf.DUMMYFUNCTION("SPLIT(I6802,""/"")"),1.0)</f>
        <v>1</v>
      </c>
      <c r="K6802" s="308">
        <f>IFERROR(__xludf.DUMMYFUNCTION("""COMPUTED_VALUE"""),7.0)</f>
        <v>7</v>
      </c>
      <c r="L6802" s="308">
        <f>IFERROR(__xludf.DUMMYFUNCTION("""COMPUTED_VALUE"""),2010.0)</f>
        <v>2010</v>
      </c>
      <c r="M6802" s="308" t="s">
        <v>27568</v>
      </c>
      <c r="N6802" s="308" t="s">
        <v>27569</v>
      </c>
      <c r="O6802" s="308" t="s">
        <v>27570</v>
      </c>
      <c r="P6802" s="308" t="s">
        <v>136</v>
      </c>
      <c r="Q6802" s="308" t="s">
        <v>39410</v>
      </c>
      <c r="R6802" s="308" t="s">
        <v>2743</v>
      </c>
      <c r="S6802" s="315" t="s">
        <v>100</v>
      </c>
      <c r="T6802" s="308" t="s">
        <v>34208</v>
      </c>
      <c r="U6802" s="308" t="s">
        <v>530</v>
      </c>
      <c r="V6802" s="308"/>
    </row>
    <row r="6803">
      <c r="A6803" s="308"/>
      <c r="B6803" s="308"/>
      <c r="C6803" s="308" t="s">
        <v>27571</v>
      </c>
      <c r="D6803" s="308">
        <f>IFERROR(__xludf.DUMMYFUNCTION("SPLIT(C6803,""-"")"),6823.0)</f>
        <v>6823</v>
      </c>
      <c r="E6803" s="308" t="str">
        <f>IFERROR(__xludf.DUMMYFUNCTION("""COMPUTED_VALUE"""),"K")</f>
        <v>K</v>
      </c>
      <c r="F6803" s="309" t="s">
        <v>34</v>
      </c>
      <c r="G6803" s="308"/>
      <c r="H6803" s="308" t="s">
        <v>39411</v>
      </c>
      <c r="I6803" s="310">
        <v>44008.0</v>
      </c>
      <c r="J6803" s="319">
        <f>IFERROR(__xludf.DUMMYFUNCTION("SPLIT(I6803,""/"")"),26.0)</f>
        <v>26</v>
      </c>
      <c r="K6803" s="308">
        <f>IFERROR(__xludf.DUMMYFUNCTION("""COMPUTED_VALUE"""),6.0)</f>
        <v>6</v>
      </c>
      <c r="L6803" s="308">
        <f>IFERROR(__xludf.DUMMYFUNCTION("""COMPUTED_VALUE"""),2020.0)</f>
        <v>2020</v>
      </c>
      <c r="M6803" s="308" t="s">
        <v>27573</v>
      </c>
      <c r="N6803" s="308" t="s">
        <v>27574</v>
      </c>
      <c r="O6803" s="308"/>
      <c r="P6803" s="308" t="s">
        <v>27575</v>
      </c>
      <c r="Q6803" s="308" t="s">
        <v>39410</v>
      </c>
      <c r="R6803" s="308" t="s">
        <v>2743</v>
      </c>
      <c r="S6803" s="308" t="s">
        <v>81</v>
      </c>
      <c r="T6803" s="308" t="s">
        <v>75</v>
      </c>
      <c r="U6803" s="308" t="s">
        <v>4749</v>
      </c>
      <c r="V6803" s="308"/>
    </row>
    <row r="6804">
      <c r="A6804" s="308"/>
      <c r="B6804" s="308"/>
      <c r="C6804" s="308" t="s">
        <v>27576</v>
      </c>
      <c r="D6804" s="308">
        <f>IFERROR(__xludf.DUMMYFUNCTION("SPLIT(C6804,""-"")"),6824.0)</f>
        <v>6824</v>
      </c>
      <c r="E6804" s="308" t="str">
        <f>IFERROR(__xludf.DUMMYFUNCTION("""COMPUTED_VALUE"""),"K")</f>
        <v>K</v>
      </c>
      <c r="F6804" s="309" t="s">
        <v>34</v>
      </c>
      <c r="G6804" s="308"/>
      <c r="H6804" s="308" t="s">
        <v>27577</v>
      </c>
      <c r="I6804" s="310">
        <v>43125.0</v>
      </c>
      <c r="J6804" s="319">
        <f>IFERROR(__xludf.DUMMYFUNCTION("SPLIT(I6804,""/"")"),25.0)</f>
        <v>25</v>
      </c>
      <c r="K6804" s="308">
        <f>IFERROR(__xludf.DUMMYFUNCTION("""COMPUTED_VALUE"""),1.0)</f>
        <v>1</v>
      </c>
      <c r="L6804" s="308">
        <f>IFERROR(__xludf.DUMMYFUNCTION("""COMPUTED_VALUE"""),2018.0)</f>
        <v>2018</v>
      </c>
      <c r="M6804" s="308" t="s">
        <v>27578</v>
      </c>
      <c r="N6804" s="308" t="s">
        <v>27579</v>
      </c>
      <c r="O6804" s="308"/>
      <c r="P6804" s="308" t="s">
        <v>39412</v>
      </c>
      <c r="Q6804" s="308" t="s">
        <v>39410</v>
      </c>
      <c r="R6804" s="308" t="s">
        <v>2743</v>
      </c>
      <c r="S6804" s="308" t="s">
        <v>81</v>
      </c>
      <c r="T6804" s="308" t="s">
        <v>34264</v>
      </c>
      <c r="U6804" s="308" t="s">
        <v>27581</v>
      </c>
      <c r="V6804" s="308"/>
    </row>
    <row r="6805">
      <c r="A6805" s="308"/>
      <c r="B6805" s="308"/>
      <c r="C6805" s="308" t="s">
        <v>27582</v>
      </c>
      <c r="D6805" s="308">
        <f>IFERROR(__xludf.DUMMYFUNCTION("SPLIT(C6805,""-"")"),6825.0)</f>
        <v>6825</v>
      </c>
      <c r="E6805" s="308" t="str">
        <f>IFERROR(__xludf.DUMMYFUNCTION("""COMPUTED_VALUE"""),"B")</f>
        <v>B</v>
      </c>
      <c r="F6805" s="315" t="s">
        <v>26</v>
      </c>
      <c r="G6805" s="308"/>
      <c r="H6805" s="308" t="s">
        <v>27583</v>
      </c>
      <c r="I6805" s="310">
        <v>42493.0</v>
      </c>
      <c r="J6805" s="319">
        <f>IFERROR(__xludf.DUMMYFUNCTION("SPLIT(I6805,""/"")"),3.0)</f>
        <v>3</v>
      </c>
      <c r="K6805" s="308">
        <f>IFERROR(__xludf.DUMMYFUNCTION("""COMPUTED_VALUE"""),5.0)</f>
        <v>5</v>
      </c>
      <c r="L6805" s="308">
        <f>IFERROR(__xludf.DUMMYFUNCTION("""COMPUTED_VALUE"""),2016.0)</f>
        <v>2016</v>
      </c>
      <c r="M6805" s="308" t="s">
        <v>27584</v>
      </c>
      <c r="N6805" s="308" t="s">
        <v>27585</v>
      </c>
      <c r="O6805" s="308"/>
      <c r="P6805" s="308" t="s">
        <v>136</v>
      </c>
      <c r="Q6805" s="308" t="s">
        <v>39413</v>
      </c>
      <c r="R6805" s="308" t="s">
        <v>2743</v>
      </c>
      <c r="S6805" s="315" t="s">
        <v>100</v>
      </c>
      <c r="T6805" s="308" t="s">
        <v>34208</v>
      </c>
      <c r="U6805" s="308" t="s">
        <v>27</v>
      </c>
      <c r="V6805" s="308"/>
    </row>
    <row r="6806">
      <c r="A6806" s="308"/>
      <c r="B6806" s="308"/>
      <c r="C6806" s="308" t="s">
        <v>27586</v>
      </c>
      <c r="D6806" s="308">
        <f>IFERROR(__xludf.DUMMYFUNCTION("SPLIT(C6806,""-"")"),6826.0)</f>
        <v>6826</v>
      </c>
      <c r="E6806" s="308" t="str">
        <f>IFERROR(__xludf.DUMMYFUNCTION("""COMPUTED_VALUE"""),"B")</f>
        <v>B</v>
      </c>
      <c r="F6806" s="315" t="s">
        <v>26</v>
      </c>
      <c r="G6806" s="308"/>
      <c r="H6806" s="308" t="s">
        <v>27587</v>
      </c>
      <c r="I6806" s="310">
        <v>43616.0</v>
      </c>
      <c r="J6806" s="319">
        <f>IFERROR(__xludf.DUMMYFUNCTION("SPLIT(I6806,""/"")"),31.0)</f>
        <v>31</v>
      </c>
      <c r="K6806" s="308">
        <f>IFERROR(__xludf.DUMMYFUNCTION("""COMPUTED_VALUE"""),5.0)</f>
        <v>5</v>
      </c>
      <c r="L6806" s="308">
        <f>IFERROR(__xludf.DUMMYFUNCTION("""COMPUTED_VALUE"""),2019.0)</f>
        <v>2019</v>
      </c>
      <c r="M6806" s="308" t="s">
        <v>34322</v>
      </c>
      <c r="N6806" s="308" t="s">
        <v>34322</v>
      </c>
      <c r="O6806" s="308"/>
      <c r="P6806" s="308" t="s">
        <v>39414</v>
      </c>
      <c r="Q6806" s="308" t="s">
        <v>39413</v>
      </c>
      <c r="R6806" s="308" t="s">
        <v>2743</v>
      </c>
      <c r="S6806" s="308" t="s">
        <v>81</v>
      </c>
      <c r="T6806" s="311" t="s">
        <v>96</v>
      </c>
      <c r="U6806" s="308" t="s">
        <v>27</v>
      </c>
      <c r="V6806" s="308"/>
    </row>
    <row r="6807">
      <c r="A6807" s="308"/>
      <c r="B6807" s="308"/>
      <c r="C6807" s="308" t="s">
        <v>27589</v>
      </c>
      <c r="D6807" s="308">
        <f>IFERROR(__xludf.DUMMYFUNCTION("SPLIT(C6807,""-"")"),6827.0)</f>
        <v>6827</v>
      </c>
      <c r="E6807" s="308" t="str">
        <f>IFERROR(__xludf.DUMMYFUNCTION("""COMPUTED_VALUE"""),"B")</f>
        <v>B</v>
      </c>
      <c r="F6807" s="315" t="s">
        <v>26</v>
      </c>
      <c r="G6807" s="308"/>
      <c r="H6807" s="308" t="s">
        <v>27590</v>
      </c>
      <c r="I6807" s="310">
        <v>43343.0</v>
      </c>
      <c r="J6807" s="319">
        <f>IFERROR(__xludf.DUMMYFUNCTION("SPLIT(I6807,""/"")"),31.0)</f>
        <v>31</v>
      </c>
      <c r="K6807" s="308">
        <f>IFERROR(__xludf.DUMMYFUNCTION("""COMPUTED_VALUE"""),8.0)</f>
        <v>8</v>
      </c>
      <c r="L6807" s="308">
        <f>IFERROR(__xludf.DUMMYFUNCTION("""COMPUTED_VALUE"""),2018.0)</f>
        <v>2018</v>
      </c>
      <c r="M6807" s="308" t="s">
        <v>27591</v>
      </c>
      <c r="N6807" s="308" t="s">
        <v>27592</v>
      </c>
      <c r="O6807" s="308" t="s">
        <v>34322</v>
      </c>
      <c r="P6807" s="308" t="s">
        <v>27593</v>
      </c>
      <c r="Q6807" s="308" t="s">
        <v>39413</v>
      </c>
      <c r="R6807" s="308" t="s">
        <v>2743</v>
      </c>
      <c r="S6807" s="308" t="s">
        <v>81</v>
      </c>
      <c r="T6807" s="308" t="s">
        <v>75</v>
      </c>
      <c r="U6807" s="308" t="s">
        <v>27</v>
      </c>
      <c r="V6807" s="308"/>
    </row>
    <row r="6808">
      <c r="A6808" s="308"/>
      <c r="B6808" s="308"/>
      <c r="C6808" s="308" t="s">
        <v>27594</v>
      </c>
      <c r="D6808" s="308">
        <f>IFERROR(__xludf.DUMMYFUNCTION("SPLIT(C6808,""-"")"),6828.0)</f>
        <v>6828</v>
      </c>
      <c r="E6808" s="308" t="str">
        <f>IFERROR(__xludf.DUMMYFUNCTION("""COMPUTED_VALUE"""),"B")</f>
        <v>B</v>
      </c>
      <c r="F6808" s="315" t="s">
        <v>26</v>
      </c>
      <c r="G6808" s="308"/>
      <c r="H6808" s="308" t="s">
        <v>27595</v>
      </c>
      <c r="I6808" s="310">
        <v>42682.0</v>
      </c>
      <c r="J6808" s="319">
        <f>IFERROR(__xludf.DUMMYFUNCTION("SPLIT(I6808,""/"")"),8.0)</f>
        <v>8</v>
      </c>
      <c r="K6808" s="308">
        <f>IFERROR(__xludf.DUMMYFUNCTION("""COMPUTED_VALUE"""),11.0)</f>
        <v>11</v>
      </c>
      <c r="L6808" s="308">
        <f>IFERROR(__xludf.DUMMYFUNCTION("""COMPUTED_VALUE"""),2016.0)</f>
        <v>2016</v>
      </c>
      <c r="M6808" s="308" t="s">
        <v>27596</v>
      </c>
      <c r="N6808" s="308" t="s">
        <v>27597</v>
      </c>
      <c r="O6808" s="308" t="s">
        <v>34322</v>
      </c>
      <c r="P6808" s="308" t="s">
        <v>27598</v>
      </c>
      <c r="Q6808" s="308" t="s">
        <v>39413</v>
      </c>
      <c r="R6808" s="308" t="s">
        <v>2743</v>
      </c>
      <c r="S6808" s="308" t="s">
        <v>81</v>
      </c>
      <c r="T6808" s="308" t="s">
        <v>75</v>
      </c>
      <c r="U6808" s="308" t="s">
        <v>27</v>
      </c>
      <c r="V6808" s="308"/>
    </row>
    <row r="6809">
      <c r="A6809" s="308"/>
      <c r="B6809" s="308"/>
      <c r="C6809" s="308" t="s">
        <v>27599</v>
      </c>
      <c r="D6809" s="308">
        <f>IFERROR(__xludf.DUMMYFUNCTION("SPLIT(C6809,""-"")"),6829.0)</f>
        <v>6829</v>
      </c>
      <c r="E6809" s="308" t="str">
        <f>IFERROR(__xludf.DUMMYFUNCTION("""COMPUTED_VALUE"""),"B")</f>
        <v>B</v>
      </c>
      <c r="F6809" s="315" t="s">
        <v>26</v>
      </c>
      <c r="G6809" s="308"/>
      <c r="H6809" s="308" t="s">
        <v>27600</v>
      </c>
      <c r="I6809" s="310">
        <v>44071.0</v>
      </c>
      <c r="J6809" s="319">
        <f>IFERROR(__xludf.DUMMYFUNCTION("SPLIT(I6809,""/"")"),28.0)</f>
        <v>28</v>
      </c>
      <c r="K6809" s="308">
        <f>IFERROR(__xludf.DUMMYFUNCTION("""COMPUTED_VALUE"""),8.0)</f>
        <v>8</v>
      </c>
      <c r="L6809" s="308">
        <f>IFERROR(__xludf.DUMMYFUNCTION("""COMPUTED_VALUE"""),2020.0)</f>
        <v>2020</v>
      </c>
      <c r="M6809" s="308" t="s">
        <v>27601</v>
      </c>
      <c r="N6809" s="308" t="s">
        <v>27602</v>
      </c>
      <c r="O6809" s="308" t="s">
        <v>27603</v>
      </c>
      <c r="P6809" s="308" t="s">
        <v>27604</v>
      </c>
      <c r="Q6809" s="308" t="s">
        <v>39413</v>
      </c>
      <c r="R6809" s="308" t="s">
        <v>2743</v>
      </c>
      <c r="S6809" s="308" t="s">
        <v>81</v>
      </c>
      <c r="T6809" s="311" t="s">
        <v>51</v>
      </c>
      <c r="U6809" s="308" t="s">
        <v>27</v>
      </c>
      <c r="V6809" s="308"/>
    </row>
    <row r="6810">
      <c r="A6810" s="308"/>
      <c r="B6810" s="308"/>
      <c r="C6810" s="308" t="s">
        <v>27605</v>
      </c>
      <c r="D6810" s="308">
        <f>IFERROR(__xludf.DUMMYFUNCTION("SPLIT(C6810,""-"")"),6830.0)</f>
        <v>6830</v>
      </c>
      <c r="E6810" s="308" t="str">
        <f>IFERROR(__xludf.DUMMYFUNCTION("""COMPUTED_VALUE"""),"K")</f>
        <v>K</v>
      </c>
      <c r="F6810" s="309" t="s">
        <v>34</v>
      </c>
      <c r="G6810" s="308"/>
      <c r="H6810" s="308" t="s">
        <v>27606</v>
      </c>
      <c r="I6810" s="310">
        <v>43379.0</v>
      </c>
      <c r="J6810" s="319">
        <f>IFERROR(__xludf.DUMMYFUNCTION("SPLIT(I6810,""/"")"),6.0)</f>
        <v>6</v>
      </c>
      <c r="K6810" s="308">
        <f>IFERROR(__xludf.DUMMYFUNCTION("""COMPUTED_VALUE"""),10.0)</f>
        <v>10</v>
      </c>
      <c r="L6810" s="308">
        <f>IFERROR(__xludf.DUMMYFUNCTION("""COMPUTED_VALUE"""),2018.0)</f>
        <v>2018</v>
      </c>
      <c r="M6810" s="308" t="s">
        <v>27607</v>
      </c>
      <c r="N6810" s="308" t="s">
        <v>27608</v>
      </c>
      <c r="O6810" s="308"/>
      <c r="P6810" s="308" t="s">
        <v>39415</v>
      </c>
      <c r="Q6810" s="308" t="s">
        <v>39413</v>
      </c>
      <c r="R6810" s="308" t="s">
        <v>2743</v>
      </c>
      <c r="S6810" s="308" t="s">
        <v>81</v>
      </c>
      <c r="T6810" s="308" t="s">
        <v>34264</v>
      </c>
      <c r="U6810" s="308" t="s">
        <v>18616</v>
      </c>
      <c r="V6810" s="308"/>
    </row>
    <row r="6811">
      <c r="A6811" s="308"/>
      <c r="B6811" s="308"/>
      <c r="C6811" s="308" t="s">
        <v>27610</v>
      </c>
      <c r="D6811" s="308">
        <f>IFERROR(__xludf.DUMMYFUNCTION("SPLIT(C6811,""-"")"),6831.0)</f>
        <v>6831</v>
      </c>
      <c r="E6811" s="308" t="str">
        <f>IFERROR(__xludf.DUMMYFUNCTION("""COMPUTED_VALUE"""),"A")</f>
        <v>A</v>
      </c>
      <c r="F6811" s="309" t="s">
        <v>23</v>
      </c>
      <c r="G6811" s="308"/>
      <c r="H6811" s="308" t="s">
        <v>27611</v>
      </c>
      <c r="I6811" s="310">
        <v>44088.0</v>
      </c>
      <c r="J6811" s="319">
        <f>IFERROR(__xludf.DUMMYFUNCTION("SPLIT(I6811,""/"")"),14.0)</f>
        <v>14</v>
      </c>
      <c r="K6811" s="308">
        <f>IFERROR(__xludf.DUMMYFUNCTION("""COMPUTED_VALUE"""),9.0)</f>
        <v>9</v>
      </c>
      <c r="L6811" s="308">
        <f>IFERROR(__xludf.DUMMYFUNCTION("""COMPUTED_VALUE"""),2020.0)</f>
        <v>2020</v>
      </c>
      <c r="M6811" s="308" t="s">
        <v>27612</v>
      </c>
      <c r="N6811" s="308" t="s">
        <v>27613</v>
      </c>
      <c r="O6811" s="308"/>
      <c r="P6811" s="308" t="s">
        <v>27614</v>
      </c>
      <c r="Q6811" s="308" t="s">
        <v>39416</v>
      </c>
      <c r="R6811" s="308" t="s">
        <v>2743</v>
      </c>
      <c r="S6811" s="308" t="s">
        <v>49</v>
      </c>
      <c r="T6811" s="308" t="s">
        <v>51</v>
      </c>
      <c r="U6811" s="308" t="s">
        <v>27615</v>
      </c>
      <c r="V6811" s="308"/>
    </row>
    <row r="6812">
      <c r="A6812" s="308"/>
      <c r="B6812" s="308"/>
      <c r="C6812" s="308" t="s">
        <v>27616</v>
      </c>
      <c r="D6812" s="308">
        <f>IFERROR(__xludf.DUMMYFUNCTION("SPLIT(C6812,""-"")"),6832.0)</f>
        <v>6832</v>
      </c>
      <c r="E6812" s="308" t="str">
        <f>IFERROR(__xludf.DUMMYFUNCTION("""COMPUTED_VALUE"""),"P")</f>
        <v>P</v>
      </c>
      <c r="F6812" s="312" t="s">
        <v>37</v>
      </c>
      <c r="G6812" s="308"/>
      <c r="H6812" s="308" t="s">
        <v>27617</v>
      </c>
      <c r="I6812" s="314">
        <v>44133.0</v>
      </c>
      <c r="J6812" s="319">
        <f>IFERROR(__xludf.DUMMYFUNCTION("SPLIT(I6812,""/"")"),29.0)</f>
        <v>29</v>
      </c>
      <c r="K6812" s="308">
        <f>IFERROR(__xludf.DUMMYFUNCTION("""COMPUTED_VALUE"""),10.0)</f>
        <v>10</v>
      </c>
      <c r="L6812" s="308">
        <f>IFERROR(__xludf.DUMMYFUNCTION("""COMPUTED_VALUE"""),2020.0)</f>
        <v>2020</v>
      </c>
      <c r="M6812" s="308" t="s">
        <v>27618</v>
      </c>
      <c r="N6812" s="308" t="s">
        <v>27619</v>
      </c>
      <c r="O6812" s="308"/>
      <c r="P6812" s="308" t="s">
        <v>27620</v>
      </c>
      <c r="Q6812" s="308" t="s">
        <v>39417</v>
      </c>
      <c r="R6812" s="308" t="s">
        <v>2743</v>
      </c>
      <c r="S6812" s="308" t="s">
        <v>81</v>
      </c>
      <c r="T6812" s="311" t="s">
        <v>73</v>
      </c>
      <c r="U6812" s="308" t="s">
        <v>143</v>
      </c>
      <c r="V6812" s="308"/>
    </row>
    <row r="6813">
      <c r="A6813" s="308"/>
      <c r="B6813" s="308"/>
      <c r="C6813" s="308" t="s">
        <v>27621</v>
      </c>
      <c r="D6813" s="308">
        <f>IFERROR(__xludf.DUMMYFUNCTION("SPLIT(C6813,""-"")"),6833.0)</f>
        <v>6833</v>
      </c>
      <c r="E6813" s="308" t="str">
        <f>IFERROR(__xludf.DUMMYFUNCTION("""COMPUTED_VALUE"""),"P")</f>
        <v>P</v>
      </c>
      <c r="F6813" s="312" t="s">
        <v>37</v>
      </c>
      <c r="G6813" s="308"/>
      <c r="H6813" s="308" t="s">
        <v>27622</v>
      </c>
      <c r="I6813" s="314">
        <v>44123.0</v>
      </c>
      <c r="J6813" s="319">
        <f>IFERROR(__xludf.DUMMYFUNCTION("SPLIT(I6813,""/"")"),19.0)</f>
        <v>19</v>
      </c>
      <c r="K6813" s="308">
        <f>IFERROR(__xludf.DUMMYFUNCTION("""COMPUTED_VALUE"""),10.0)</f>
        <v>10</v>
      </c>
      <c r="L6813" s="308">
        <f>IFERROR(__xludf.DUMMYFUNCTION("""COMPUTED_VALUE"""),2020.0)</f>
        <v>2020</v>
      </c>
      <c r="M6813" s="308" t="s">
        <v>27623</v>
      </c>
      <c r="N6813" s="308" t="s">
        <v>27624</v>
      </c>
      <c r="O6813" s="308"/>
      <c r="P6813" s="308" t="s">
        <v>27625</v>
      </c>
      <c r="Q6813" s="308" t="s">
        <v>39417</v>
      </c>
      <c r="R6813" s="308" t="s">
        <v>2743</v>
      </c>
      <c r="S6813" s="308" t="s">
        <v>81</v>
      </c>
      <c r="T6813" s="311" t="s">
        <v>73</v>
      </c>
      <c r="U6813" s="308" t="s">
        <v>143</v>
      </c>
      <c r="V6813" s="308"/>
    </row>
    <row r="6814">
      <c r="A6814" s="308"/>
      <c r="B6814" s="308"/>
      <c r="C6814" s="308" t="s">
        <v>27626</v>
      </c>
      <c r="D6814" s="308">
        <f>IFERROR(__xludf.DUMMYFUNCTION("SPLIT(C6814,""-"")"),6834.0)</f>
        <v>6834</v>
      </c>
      <c r="E6814" s="308" t="str">
        <f>IFERROR(__xludf.DUMMYFUNCTION("""COMPUTED_VALUE"""),"P")</f>
        <v>P</v>
      </c>
      <c r="F6814" s="312" t="s">
        <v>37</v>
      </c>
      <c r="G6814" s="308"/>
      <c r="H6814" s="308" t="s">
        <v>27627</v>
      </c>
      <c r="I6814" s="314">
        <v>44124.0</v>
      </c>
      <c r="J6814" s="319">
        <f>IFERROR(__xludf.DUMMYFUNCTION("SPLIT(I6814,""/"")"),20.0)</f>
        <v>20</v>
      </c>
      <c r="K6814" s="308">
        <f>IFERROR(__xludf.DUMMYFUNCTION("""COMPUTED_VALUE"""),10.0)</f>
        <v>10</v>
      </c>
      <c r="L6814" s="308">
        <f>IFERROR(__xludf.DUMMYFUNCTION("""COMPUTED_VALUE"""),2020.0)</f>
        <v>2020</v>
      </c>
      <c r="M6814" s="308" t="s">
        <v>27628</v>
      </c>
      <c r="N6814" s="308" t="s">
        <v>27629</v>
      </c>
      <c r="O6814" s="308"/>
      <c r="P6814" s="308" t="s">
        <v>27630</v>
      </c>
      <c r="Q6814" s="308" t="s">
        <v>39417</v>
      </c>
      <c r="R6814" s="308" t="s">
        <v>2743</v>
      </c>
      <c r="S6814" s="308" t="s">
        <v>81</v>
      </c>
      <c r="T6814" s="311" t="s">
        <v>73</v>
      </c>
      <c r="U6814" s="308" t="s">
        <v>143</v>
      </c>
      <c r="V6814" s="308"/>
    </row>
    <row r="6815">
      <c r="A6815" s="308"/>
      <c r="B6815" s="308"/>
      <c r="C6815" s="308" t="s">
        <v>27631</v>
      </c>
      <c r="D6815" s="308">
        <f>IFERROR(__xludf.DUMMYFUNCTION("SPLIT(C6815,""-"")"),6835.0)</f>
        <v>6835</v>
      </c>
      <c r="E6815" s="308" t="str">
        <f>IFERROR(__xludf.DUMMYFUNCTION("""COMPUTED_VALUE"""),"K")</f>
        <v>K</v>
      </c>
      <c r="F6815" s="309" t="s">
        <v>34</v>
      </c>
      <c r="G6815" s="308"/>
      <c r="H6815" s="308" t="s">
        <v>27632</v>
      </c>
      <c r="I6815" s="314">
        <v>44124.0</v>
      </c>
      <c r="J6815" s="319">
        <f>IFERROR(__xludf.DUMMYFUNCTION("SPLIT(I6815,""/"")"),20.0)</f>
        <v>20</v>
      </c>
      <c r="K6815" s="308">
        <f>IFERROR(__xludf.DUMMYFUNCTION("""COMPUTED_VALUE"""),10.0)</f>
        <v>10</v>
      </c>
      <c r="L6815" s="308">
        <f>IFERROR(__xludf.DUMMYFUNCTION("""COMPUTED_VALUE"""),2020.0)</f>
        <v>2020</v>
      </c>
      <c r="M6815" s="308" t="s">
        <v>27628</v>
      </c>
      <c r="N6815" s="308" t="s">
        <v>27633</v>
      </c>
      <c r="O6815" s="308"/>
      <c r="P6815" s="308" t="s">
        <v>27634</v>
      </c>
      <c r="Q6815" s="308" t="s">
        <v>39417</v>
      </c>
      <c r="R6815" s="308" t="s">
        <v>2743</v>
      </c>
      <c r="S6815" s="308" t="s">
        <v>81</v>
      </c>
      <c r="T6815" s="308" t="s">
        <v>73</v>
      </c>
      <c r="U6815" s="308" t="s">
        <v>10279</v>
      </c>
      <c r="V6815" s="308"/>
    </row>
    <row r="6816">
      <c r="A6816" s="308"/>
      <c r="B6816" s="308"/>
      <c r="C6816" s="308" t="s">
        <v>39418</v>
      </c>
      <c r="D6816" s="308" t="str">
        <f>IFERROR(__xludf.DUMMYFUNCTION("SPLIT(C6816,""-"")"),"#REF!")</f>
        <v>#REF!</v>
      </c>
      <c r="E6816" s="311"/>
      <c r="F6816" s="317" t="s">
        <v>39</v>
      </c>
      <c r="G6816" s="308"/>
      <c r="H6816" s="308" t="s">
        <v>27636</v>
      </c>
      <c r="I6816" s="310">
        <v>41456.0</v>
      </c>
      <c r="J6816" s="319">
        <f>IFERROR(__xludf.DUMMYFUNCTION("SPLIT(I6816,""/"")"),1.0)</f>
        <v>1</v>
      </c>
      <c r="K6816" s="308">
        <f>IFERROR(__xludf.DUMMYFUNCTION("""COMPUTED_VALUE"""),7.0)</f>
        <v>7</v>
      </c>
      <c r="L6816" s="308">
        <f>IFERROR(__xludf.DUMMYFUNCTION("""COMPUTED_VALUE"""),2013.0)</f>
        <v>2013</v>
      </c>
      <c r="M6816" s="308" t="s">
        <v>27637</v>
      </c>
      <c r="N6816" s="308" t="s">
        <v>27638</v>
      </c>
      <c r="O6816" s="308"/>
      <c r="P6816" s="308" t="s">
        <v>136</v>
      </c>
      <c r="Q6816" s="308" t="s">
        <v>39417</v>
      </c>
      <c r="R6816" s="308" t="s">
        <v>2743</v>
      </c>
      <c r="S6816" s="315" t="s">
        <v>100</v>
      </c>
      <c r="T6816" s="308" t="s">
        <v>34208</v>
      </c>
      <c r="U6816" s="308" t="s">
        <v>166</v>
      </c>
      <c r="V6816" s="308"/>
    </row>
    <row r="6817">
      <c r="A6817" s="308"/>
      <c r="B6817" s="308"/>
      <c r="C6817" s="308" t="s">
        <v>27639</v>
      </c>
      <c r="D6817" s="308">
        <f>IFERROR(__xludf.DUMMYFUNCTION("SPLIT(C6817,""-"")"),6837.0)</f>
        <v>6837</v>
      </c>
      <c r="E6817" s="308" t="str">
        <f>IFERROR(__xludf.DUMMYFUNCTION("""COMPUTED_VALUE"""),"K")</f>
        <v>K</v>
      </c>
      <c r="F6817" s="309" t="s">
        <v>34</v>
      </c>
      <c r="G6817" s="308"/>
      <c r="H6817" s="308" t="s">
        <v>27640</v>
      </c>
      <c r="I6817" s="310">
        <v>44111.0</v>
      </c>
      <c r="J6817" s="319">
        <f>IFERROR(__xludf.DUMMYFUNCTION("SPLIT(I6817,""/"")"),7.0)</f>
        <v>7</v>
      </c>
      <c r="K6817" s="308">
        <f>IFERROR(__xludf.DUMMYFUNCTION("""COMPUTED_VALUE"""),10.0)</f>
        <v>10</v>
      </c>
      <c r="L6817" s="308">
        <f>IFERROR(__xludf.DUMMYFUNCTION("""COMPUTED_VALUE"""),2020.0)</f>
        <v>2020</v>
      </c>
      <c r="M6817" s="308" t="s">
        <v>27641</v>
      </c>
      <c r="N6817" s="308" t="s">
        <v>27642</v>
      </c>
      <c r="O6817" s="308"/>
      <c r="P6817" s="308" t="s">
        <v>136</v>
      </c>
      <c r="Q6817" s="308" t="s">
        <v>39419</v>
      </c>
      <c r="R6817" s="308" t="s">
        <v>26929</v>
      </c>
      <c r="S6817" s="315" t="s">
        <v>100</v>
      </c>
      <c r="T6817" s="308" t="s">
        <v>34208</v>
      </c>
      <c r="U6817" s="308" t="s">
        <v>22473</v>
      </c>
      <c r="V6817" s="308"/>
    </row>
    <row r="6818">
      <c r="A6818" s="308"/>
      <c r="B6818" s="308"/>
      <c r="C6818" s="308" t="s">
        <v>27643</v>
      </c>
      <c r="D6818" s="308">
        <f>IFERROR(__xludf.DUMMYFUNCTION("SPLIT(C6818,""-"")"),6838.0)</f>
        <v>6838</v>
      </c>
      <c r="E6818" s="308" t="str">
        <f>IFERROR(__xludf.DUMMYFUNCTION("""COMPUTED_VALUE"""),"K")</f>
        <v>K</v>
      </c>
      <c r="F6818" s="309" t="s">
        <v>34</v>
      </c>
      <c r="G6818" s="308"/>
      <c r="H6818" s="308" t="s">
        <v>27644</v>
      </c>
      <c r="I6818" s="310">
        <v>43530.0</v>
      </c>
      <c r="J6818" s="319">
        <f>IFERROR(__xludf.DUMMYFUNCTION("SPLIT(I6818,""/"")"),6.0)</f>
        <v>6</v>
      </c>
      <c r="K6818" s="308">
        <f>IFERROR(__xludf.DUMMYFUNCTION("""COMPUTED_VALUE"""),3.0)</f>
        <v>3</v>
      </c>
      <c r="L6818" s="308">
        <f>IFERROR(__xludf.DUMMYFUNCTION("""COMPUTED_VALUE"""),2019.0)</f>
        <v>2019</v>
      </c>
      <c r="M6818" s="308" t="s">
        <v>27645</v>
      </c>
      <c r="N6818" s="308" t="s">
        <v>27646</v>
      </c>
      <c r="O6818" s="308" t="s">
        <v>27647</v>
      </c>
      <c r="P6818" s="308" t="s">
        <v>136</v>
      </c>
      <c r="Q6818" s="308" t="s">
        <v>39419</v>
      </c>
      <c r="R6818" s="308" t="s">
        <v>2743</v>
      </c>
      <c r="S6818" s="315" t="s">
        <v>100</v>
      </c>
      <c r="T6818" s="308" t="s">
        <v>34208</v>
      </c>
      <c r="U6818" s="308" t="s">
        <v>4749</v>
      </c>
      <c r="V6818" s="308"/>
    </row>
    <row r="6819">
      <c r="A6819" s="308"/>
      <c r="B6819" s="308"/>
      <c r="C6819" s="308" t="s">
        <v>27648</v>
      </c>
      <c r="D6819" s="308">
        <f>IFERROR(__xludf.DUMMYFUNCTION("SPLIT(C6819,""-"")"),6839.0)</f>
        <v>6839</v>
      </c>
      <c r="E6819" s="308" t="str">
        <f>IFERROR(__xludf.DUMMYFUNCTION("""COMPUTED_VALUE"""),"K")</f>
        <v>K</v>
      </c>
      <c r="F6819" s="309" t="s">
        <v>34</v>
      </c>
      <c r="G6819" s="308"/>
      <c r="H6819" s="308" t="s">
        <v>27649</v>
      </c>
      <c r="I6819" s="310">
        <v>43530.0</v>
      </c>
      <c r="J6819" s="319">
        <f>IFERROR(__xludf.DUMMYFUNCTION("SPLIT(I6819,""/"")"),6.0)</f>
        <v>6</v>
      </c>
      <c r="K6819" s="308">
        <f>IFERROR(__xludf.DUMMYFUNCTION("""COMPUTED_VALUE"""),3.0)</f>
        <v>3</v>
      </c>
      <c r="L6819" s="308">
        <f>IFERROR(__xludf.DUMMYFUNCTION("""COMPUTED_VALUE"""),2019.0)</f>
        <v>2019</v>
      </c>
      <c r="M6819" s="308" t="s">
        <v>27650</v>
      </c>
      <c r="N6819" s="308" t="s">
        <v>27651</v>
      </c>
      <c r="O6819" s="308" t="s">
        <v>27652</v>
      </c>
      <c r="P6819" s="308" t="s">
        <v>27653</v>
      </c>
      <c r="Q6819" s="308" t="s">
        <v>39419</v>
      </c>
      <c r="R6819" s="308" t="s">
        <v>2743</v>
      </c>
      <c r="S6819" s="308" t="s">
        <v>81</v>
      </c>
      <c r="T6819" s="311" t="s">
        <v>96</v>
      </c>
      <c r="U6819" s="308" t="s">
        <v>4749</v>
      </c>
      <c r="V6819" s="308"/>
    </row>
    <row r="6820">
      <c r="A6820" s="308"/>
      <c r="B6820" s="308"/>
      <c r="C6820" s="308" t="s">
        <v>27654</v>
      </c>
      <c r="D6820" s="308">
        <f>IFERROR(__xludf.DUMMYFUNCTION("SPLIT(C6820,""-"")"),6840.0)</f>
        <v>6840</v>
      </c>
      <c r="E6820" s="308" t="str">
        <f>IFERROR(__xludf.DUMMYFUNCTION("""COMPUTED_VALUE"""),"K")</f>
        <v>K</v>
      </c>
      <c r="F6820" s="309" t="s">
        <v>34</v>
      </c>
      <c r="G6820" s="308"/>
      <c r="H6820" s="308" t="s">
        <v>27655</v>
      </c>
      <c r="I6820" s="310">
        <v>44098.0</v>
      </c>
      <c r="J6820" s="319">
        <f>IFERROR(__xludf.DUMMYFUNCTION("SPLIT(I6820,""/"")"),24.0)</f>
        <v>24</v>
      </c>
      <c r="K6820" s="308">
        <f>IFERROR(__xludf.DUMMYFUNCTION("""COMPUTED_VALUE"""),9.0)</f>
        <v>9</v>
      </c>
      <c r="L6820" s="308">
        <f>IFERROR(__xludf.DUMMYFUNCTION("""COMPUTED_VALUE"""),2020.0)</f>
        <v>2020</v>
      </c>
      <c r="M6820" s="308" t="s">
        <v>27656</v>
      </c>
      <c r="N6820" s="308" t="s">
        <v>27657</v>
      </c>
      <c r="O6820" s="308"/>
      <c r="P6820" s="308" t="s">
        <v>39420</v>
      </c>
      <c r="Q6820" s="308" t="s">
        <v>39421</v>
      </c>
      <c r="R6820" s="308" t="s">
        <v>2743</v>
      </c>
      <c r="S6820" s="308" t="s">
        <v>81</v>
      </c>
      <c r="T6820" s="311" t="s">
        <v>91</v>
      </c>
      <c r="U6820" s="308" t="s">
        <v>27581</v>
      </c>
      <c r="V6820" s="308"/>
    </row>
    <row r="6821">
      <c r="A6821" s="308"/>
      <c r="B6821" s="308"/>
      <c r="C6821" s="308" t="s">
        <v>27659</v>
      </c>
      <c r="D6821" s="308">
        <f>IFERROR(__xludf.DUMMYFUNCTION("SPLIT(C6821,""-"")"),6841.0)</f>
        <v>6841</v>
      </c>
      <c r="E6821" s="308" t="str">
        <f>IFERROR(__xludf.DUMMYFUNCTION("""COMPUTED_VALUE"""),"K")</f>
        <v>K</v>
      </c>
      <c r="F6821" s="309" t="s">
        <v>34</v>
      </c>
      <c r="G6821" s="308"/>
      <c r="H6821" s="308" t="s">
        <v>27660</v>
      </c>
      <c r="I6821" s="310">
        <v>43963.0</v>
      </c>
      <c r="J6821" s="319">
        <f>IFERROR(__xludf.DUMMYFUNCTION("SPLIT(I6821,""/"")"),12.0)</f>
        <v>12</v>
      </c>
      <c r="K6821" s="308">
        <f>IFERROR(__xludf.DUMMYFUNCTION("""COMPUTED_VALUE"""),5.0)</f>
        <v>5</v>
      </c>
      <c r="L6821" s="308">
        <f>IFERROR(__xludf.DUMMYFUNCTION("""COMPUTED_VALUE"""),2020.0)</f>
        <v>2020</v>
      </c>
      <c r="M6821" s="308" t="s">
        <v>27661</v>
      </c>
      <c r="N6821" s="308" t="s">
        <v>27394</v>
      </c>
      <c r="O6821" s="308" t="s">
        <v>27662</v>
      </c>
      <c r="P6821" s="308" t="s">
        <v>136</v>
      </c>
      <c r="Q6821" s="308" t="s">
        <v>39422</v>
      </c>
      <c r="R6821" s="308" t="s">
        <v>2743</v>
      </c>
      <c r="S6821" s="315" t="s">
        <v>100</v>
      </c>
      <c r="T6821" s="308" t="s">
        <v>34208</v>
      </c>
      <c r="U6821" s="308" t="s">
        <v>3714</v>
      </c>
      <c r="V6821" s="308"/>
    </row>
    <row r="6822">
      <c r="A6822" s="308"/>
      <c r="B6822" s="308"/>
      <c r="C6822" s="308" t="s">
        <v>27663</v>
      </c>
      <c r="D6822" s="308">
        <f>IFERROR(__xludf.DUMMYFUNCTION("SPLIT(C6822,""-"")"),6842.0)</f>
        <v>6842</v>
      </c>
      <c r="E6822" s="308" t="str">
        <f>IFERROR(__xludf.DUMMYFUNCTION("""COMPUTED_VALUE"""),"K")</f>
        <v>K</v>
      </c>
      <c r="F6822" s="309" t="s">
        <v>34</v>
      </c>
      <c r="G6822" s="308"/>
      <c r="H6822" s="308" t="s">
        <v>27664</v>
      </c>
      <c r="I6822" s="310">
        <v>39995.0</v>
      </c>
      <c r="J6822" s="319">
        <f>IFERROR(__xludf.DUMMYFUNCTION("SPLIT(I6822,""/"")"),1.0)</f>
        <v>1</v>
      </c>
      <c r="K6822" s="308">
        <f>IFERROR(__xludf.DUMMYFUNCTION("""COMPUTED_VALUE"""),7.0)</f>
        <v>7</v>
      </c>
      <c r="L6822" s="308">
        <f>IFERROR(__xludf.DUMMYFUNCTION("""COMPUTED_VALUE"""),2009.0)</f>
        <v>2009</v>
      </c>
      <c r="M6822" s="308" t="s">
        <v>27665</v>
      </c>
      <c r="N6822" s="308" t="s">
        <v>27394</v>
      </c>
      <c r="O6822" s="308" t="s">
        <v>27666</v>
      </c>
      <c r="P6822" s="308" t="s">
        <v>136</v>
      </c>
      <c r="Q6822" s="308" t="s">
        <v>39422</v>
      </c>
      <c r="R6822" s="308" t="s">
        <v>2743</v>
      </c>
      <c r="S6822" s="315" t="s">
        <v>100</v>
      </c>
      <c r="T6822" s="308" t="s">
        <v>34208</v>
      </c>
      <c r="U6822" s="308" t="s">
        <v>530</v>
      </c>
      <c r="V6822" s="308"/>
    </row>
    <row r="6823">
      <c r="A6823" s="308"/>
      <c r="B6823" s="308"/>
      <c r="C6823" s="308" t="s">
        <v>27667</v>
      </c>
      <c r="D6823" s="308">
        <f>IFERROR(__xludf.DUMMYFUNCTION("SPLIT(C6823,""-"")"),6843.0)</f>
        <v>6843</v>
      </c>
      <c r="E6823" s="308" t="str">
        <f>IFERROR(__xludf.DUMMYFUNCTION("""COMPUTED_VALUE"""),"P")</f>
        <v>P</v>
      </c>
      <c r="F6823" s="312" t="s">
        <v>37</v>
      </c>
      <c r="G6823" s="308"/>
      <c r="H6823" s="308" t="s">
        <v>27668</v>
      </c>
      <c r="I6823" s="314">
        <v>44126.0</v>
      </c>
      <c r="J6823" s="319">
        <f>IFERROR(__xludf.DUMMYFUNCTION("SPLIT(I6823,""/"")"),22.0)</f>
        <v>22</v>
      </c>
      <c r="K6823" s="308">
        <f>IFERROR(__xludf.DUMMYFUNCTION("""COMPUTED_VALUE"""),10.0)</f>
        <v>10</v>
      </c>
      <c r="L6823" s="308">
        <f>IFERROR(__xludf.DUMMYFUNCTION("""COMPUTED_VALUE"""),2020.0)</f>
        <v>2020</v>
      </c>
      <c r="M6823" s="308" t="s">
        <v>27669</v>
      </c>
      <c r="N6823" s="308" t="s">
        <v>27394</v>
      </c>
      <c r="O6823" s="308"/>
      <c r="P6823" s="308" t="s">
        <v>39423</v>
      </c>
      <c r="Q6823" s="308" t="s">
        <v>39424</v>
      </c>
      <c r="R6823" s="308" t="s">
        <v>2743</v>
      </c>
      <c r="S6823" s="308" t="s">
        <v>81</v>
      </c>
      <c r="T6823" s="308" t="s">
        <v>75</v>
      </c>
      <c r="U6823" s="308" t="s">
        <v>2527</v>
      </c>
      <c r="V6823" s="308"/>
    </row>
    <row r="6824">
      <c r="A6824" s="308"/>
      <c r="B6824" s="308"/>
      <c r="C6824" s="308" t="s">
        <v>27671</v>
      </c>
      <c r="D6824" s="308">
        <f>IFERROR(__xludf.DUMMYFUNCTION("SPLIT(C6824,""-"")"),6844.0)</f>
        <v>6844</v>
      </c>
      <c r="E6824" s="308" t="str">
        <f>IFERROR(__xludf.DUMMYFUNCTION("""COMPUTED_VALUE"""),"P")</f>
        <v>P</v>
      </c>
      <c r="F6824" s="312" t="s">
        <v>37</v>
      </c>
      <c r="G6824" s="308"/>
      <c r="H6824" s="308" t="s">
        <v>21460</v>
      </c>
      <c r="I6824" s="314">
        <v>44133.0</v>
      </c>
      <c r="J6824" s="319">
        <f>IFERROR(__xludf.DUMMYFUNCTION("SPLIT(I6824,""/"")"),29.0)</f>
        <v>29</v>
      </c>
      <c r="K6824" s="308">
        <f>IFERROR(__xludf.DUMMYFUNCTION("""COMPUTED_VALUE"""),10.0)</f>
        <v>10</v>
      </c>
      <c r="L6824" s="308">
        <f>IFERROR(__xludf.DUMMYFUNCTION("""COMPUTED_VALUE"""),2020.0)</f>
        <v>2020</v>
      </c>
      <c r="M6824" s="308" t="s">
        <v>27672</v>
      </c>
      <c r="N6824" s="308" t="s">
        <v>27394</v>
      </c>
      <c r="O6824" s="308"/>
      <c r="P6824" s="308" t="s">
        <v>39425</v>
      </c>
      <c r="Q6824" s="308" t="s">
        <v>39424</v>
      </c>
      <c r="R6824" s="308" t="s">
        <v>2743</v>
      </c>
      <c r="S6824" s="308" t="s">
        <v>81</v>
      </c>
      <c r="T6824" s="308" t="s">
        <v>75</v>
      </c>
      <c r="U6824" s="308" t="s">
        <v>149</v>
      </c>
      <c r="V6824" s="308"/>
    </row>
    <row r="6825">
      <c r="A6825" s="308"/>
      <c r="B6825" s="308"/>
      <c r="C6825" s="308" t="s">
        <v>27674</v>
      </c>
      <c r="D6825" s="308">
        <f>IFERROR(__xludf.DUMMYFUNCTION("SPLIT(C6825,""-"")"),6845.0)</f>
        <v>6845</v>
      </c>
      <c r="E6825" s="308" t="str">
        <f>IFERROR(__xludf.DUMMYFUNCTION("""COMPUTED_VALUE"""),"B")</f>
        <v>B</v>
      </c>
      <c r="F6825" s="315" t="s">
        <v>26</v>
      </c>
      <c r="G6825" s="308"/>
      <c r="H6825" s="308" t="s">
        <v>27675</v>
      </c>
      <c r="I6825" s="310">
        <v>43371.0</v>
      </c>
      <c r="J6825" s="319">
        <f>IFERROR(__xludf.DUMMYFUNCTION("SPLIT(I6825,""/"")"),28.0)</f>
        <v>28</v>
      </c>
      <c r="K6825" s="308">
        <f>IFERROR(__xludf.DUMMYFUNCTION("""COMPUTED_VALUE"""),9.0)</f>
        <v>9</v>
      </c>
      <c r="L6825" s="308">
        <f>IFERROR(__xludf.DUMMYFUNCTION("""COMPUTED_VALUE"""),2018.0)</f>
        <v>2018</v>
      </c>
      <c r="M6825" s="308" t="s">
        <v>27676</v>
      </c>
      <c r="N6825" s="308" t="s">
        <v>27394</v>
      </c>
      <c r="O6825" s="308"/>
      <c r="P6825" s="308" t="s">
        <v>39426</v>
      </c>
      <c r="Q6825" s="308" t="s">
        <v>39424</v>
      </c>
      <c r="R6825" s="308" t="s">
        <v>2743</v>
      </c>
      <c r="S6825" s="308" t="s">
        <v>81</v>
      </c>
      <c r="T6825" s="311" t="s">
        <v>96</v>
      </c>
      <c r="U6825" s="308" t="s">
        <v>27</v>
      </c>
      <c r="V6825" s="308"/>
    </row>
    <row r="6826">
      <c r="A6826" s="308"/>
      <c r="B6826" s="308"/>
      <c r="C6826" s="308" t="s">
        <v>27678</v>
      </c>
      <c r="D6826" s="308">
        <f>IFERROR(__xludf.DUMMYFUNCTION("SPLIT(C6826,""-"")"),6846.0)</f>
        <v>6846</v>
      </c>
      <c r="E6826" s="308" t="str">
        <f>IFERROR(__xludf.DUMMYFUNCTION("""COMPUTED_VALUE"""),"I")</f>
        <v>I</v>
      </c>
      <c r="F6826" s="309" t="s">
        <v>31</v>
      </c>
      <c r="G6826" s="308"/>
      <c r="H6826" s="308" t="s">
        <v>27679</v>
      </c>
      <c r="I6826" s="314">
        <v>44124.0</v>
      </c>
      <c r="J6826" s="319">
        <f>IFERROR(__xludf.DUMMYFUNCTION("SPLIT(I6826,""/"")"),20.0)</f>
        <v>20</v>
      </c>
      <c r="K6826" s="308">
        <f>IFERROR(__xludf.DUMMYFUNCTION("""COMPUTED_VALUE"""),10.0)</f>
        <v>10</v>
      </c>
      <c r="L6826" s="308">
        <f>IFERROR(__xludf.DUMMYFUNCTION("""COMPUTED_VALUE"""),2020.0)</f>
        <v>2020</v>
      </c>
      <c r="M6826" s="308" t="s">
        <v>39427</v>
      </c>
      <c r="N6826" s="308" t="s">
        <v>27681</v>
      </c>
      <c r="O6826" s="308" t="s">
        <v>27682</v>
      </c>
      <c r="P6826" s="308" t="s">
        <v>136</v>
      </c>
      <c r="Q6826" s="308" t="s">
        <v>39424</v>
      </c>
      <c r="R6826" s="308" t="s">
        <v>2743</v>
      </c>
      <c r="S6826" s="315" t="s">
        <v>100</v>
      </c>
      <c r="T6826" s="308" t="s">
        <v>34208</v>
      </c>
      <c r="U6826" s="308" t="s">
        <v>31</v>
      </c>
      <c r="V6826" s="308"/>
    </row>
    <row r="6827">
      <c r="A6827" s="308"/>
      <c r="B6827" s="308"/>
      <c r="C6827" s="308" t="s">
        <v>27683</v>
      </c>
      <c r="D6827" s="308">
        <f>IFERROR(__xludf.DUMMYFUNCTION("SPLIT(C6827,""-"")"),6847.0)</f>
        <v>6847</v>
      </c>
      <c r="E6827" s="308" t="str">
        <f>IFERROR(__xludf.DUMMYFUNCTION("""COMPUTED_VALUE"""),"K")</f>
        <v>K</v>
      </c>
      <c r="F6827" s="309" t="s">
        <v>34</v>
      </c>
      <c r="G6827" s="308"/>
      <c r="H6827" s="308" t="s">
        <v>27684</v>
      </c>
      <c r="I6827" s="310">
        <v>43998.0</v>
      </c>
      <c r="J6827" s="319">
        <f>IFERROR(__xludf.DUMMYFUNCTION("SPLIT(I6827,""/"")"),16.0)</f>
        <v>16</v>
      </c>
      <c r="K6827" s="308">
        <f>IFERROR(__xludf.DUMMYFUNCTION("""COMPUTED_VALUE"""),6.0)</f>
        <v>6</v>
      </c>
      <c r="L6827" s="308">
        <f>IFERROR(__xludf.DUMMYFUNCTION("""COMPUTED_VALUE"""),2020.0)</f>
        <v>2020</v>
      </c>
      <c r="M6827" s="308" t="s">
        <v>27685</v>
      </c>
      <c r="N6827" s="308" t="s">
        <v>27394</v>
      </c>
      <c r="O6827" s="308"/>
      <c r="P6827" s="308" t="s">
        <v>39428</v>
      </c>
      <c r="Q6827" s="308" t="s">
        <v>39429</v>
      </c>
      <c r="R6827" s="308" t="s">
        <v>2743</v>
      </c>
      <c r="S6827" s="308" t="s">
        <v>81</v>
      </c>
      <c r="T6827" s="308" t="s">
        <v>75</v>
      </c>
      <c r="U6827" s="308" t="s">
        <v>27687</v>
      </c>
      <c r="V6827" s="308"/>
    </row>
    <row r="6828">
      <c r="A6828" s="308"/>
      <c r="B6828" s="308"/>
      <c r="C6828" s="308" t="s">
        <v>27688</v>
      </c>
      <c r="D6828" s="308">
        <f>IFERROR(__xludf.DUMMYFUNCTION("SPLIT(C6828,""-"")"),6848.0)</f>
        <v>6848</v>
      </c>
      <c r="E6828" s="308" t="str">
        <f>IFERROR(__xludf.DUMMYFUNCTION("""COMPUTED_VALUE"""),"P")</f>
        <v>P</v>
      </c>
      <c r="F6828" s="312" t="s">
        <v>37</v>
      </c>
      <c r="G6828" s="308"/>
      <c r="H6828" s="308" t="s">
        <v>27689</v>
      </c>
      <c r="I6828" s="310">
        <v>41947.0</v>
      </c>
      <c r="J6828" s="319">
        <f>IFERROR(__xludf.DUMMYFUNCTION("SPLIT(I6828,""/"")"),4.0)</f>
        <v>4</v>
      </c>
      <c r="K6828" s="308">
        <f>IFERROR(__xludf.DUMMYFUNCTION("""COMPUTED_VALUE"""),11.0)</f>
        <v>11</v>
      </c>
      <c r="L6828" s="308">
        <f>IFERROR(__xludf.DUMMYFUNCTION("""COMPUTED_VALUE"""),2014.0)</f>
        <v>2014</v>
      </c>
      <c r="M6828" s="308" t="s">
        <v>27690</v>
      </c>
      <c r="N6828" s="308" t="s">
        <v>27394</v>
      </c>
      <c r="O6828" s="308"/>
      <c r="P6828" s="308" t="s">
        <v>27691</v>
      </c>
      <c r="Q6828" s="308" t="s">
        <v>39429</v>
      </c>
      <c r="R6828" s="308" t="s">
        <v>2743</v>
      </c>
      <c r="S6828" s="308" t="s">
        <v>81</v>
      </c>
      <c r="T6828" s="308" t="s">
        <v>75</v>
      </c>
      <c r="U6828" s="308" t="s">
        <v>143</v>
      </c>
      <c r="V6828" s="308"/>
    </row>
    <row r="6829">
      <c r="A6829" s="308"/>
      <c r="B6829" s="308"/>
      <c r="C6829" s="308" t="s">
        <v>27692</v>
      </c>
      <c r="D6829" s="308">
        <f>IFERROR(__xludf.DUMMYFUNCTION("SPLIT(C6829,""-"")"),6849.0)</f>
        <v>6849</v>
      </c>
      <c r="E6829" s="308" t="str">
        <f>IFERROR(__xludf.DUMMYFUNCTION("""COMPUTED_VALUE"""),"S")</f>
        <v>S</v>
      </c>
      <c r="F6829" s="312" t="s">
        <v>39</v>
      </c>
      <c r="G6829" s="308"/>
      <c r="H6829" s="308" t="s">
        <v>27693</v>
      </c>
      <c r="I6829" s="310">
        <v>42930.0</v>
      </c>
      <c r="J6829" s="319">
        <f>IFERROR(__xludf.DUMMYFUNCTION("SPLIT(I6829,""/"")"),14.0)</f>
        <v>14</v>
      </c>
      <c r="K6829" s="308">
        <f>IFERROR(__xludf.DUMMYFUNCTION("""COMPUTED_VALUE"""),7.0)</f>
        <v>7</v>
      </c>
      <c r="L6829" s="308">
        <f>IFERROR(__xludf.DUMMYFUNCTION("""COMPUTED_VALUE"""),2017.0)</f>
        <v>2017</v>
      </c>
      <c r="M6829" s="308" t="s">
        <v>27694</v>
      </c>
      <c r="N6829" s="308" t="s">
        <v>27394</v>
      </c>
      <c r="O6829" s="308"/>
      <c r="P6829" s="308" t="s">
        <v>136</v>
      </c>
      <c r="Q6829" s="308" t="s">
        <v>39429</v>
      </c>
      <c r="R6829" s="308" t="s">
        <v>2743</v>
      </c>
      <c r="S6829" s="315" t="s">
        <v>100</v>
      </c>
      <c r="T6829" s="308" t="s">
        <v>34208</v>
      </c>
      <c r="U6829" s="308" t="s">
        <v>166</v>
      </c>
      <c r="V6829" s="308"/>
    </row>
    <row r="6830">
      <c r="A6830" s="308"/>
      <c r="B6830" s="308"/>
      <c r="C6830" s="308" t="s">
        <v>27695</v>
      </c>
      <c r="D6830" s="308">
        <f>IFERROR(__xludf.DUMMYFUNCTION("SPLIT(C6830,""-"")"),6850.0)</f>
        <v>6850</v>
      </c>
      <c r="E6830" s="308" t="str">
        <f>IFERROR(__xludf.DUMMYFUNCTION("""COMPUTED_VALUE"""),"K")</f>
        <v>K</v>
      </c>
      <c r="F6830" s="309" t="s">
        <v>34</v>
      </c>
      <c r="G6830" s="308"/>
      <c r="H6830" s="308" t="s">
        <v>27696</v>
      </c>
      <c r="I6830" s="310">
        <v>43995.0</v>
      </c>
      <c r="J6830" s="319">
        <f>IFERROR(__xludf.DUMMYFUNCTION("SPLIT(I6830,""/"")"),13.0)</f>
        <v>13</v>
      </c>
      <c r="K6830" s="308">
        <f>IFERROR(__xludf.DUMMYFUNCTION("""COMPUTED_VALUE"""),6.0)</f>
        <v>6</v>
      </c>
      <c r="L6830" s="308">
        <f>IFERROR(__xludf.DUMMYFUNCTION("""COMPUTED_VALUE"""),2020.0)</f>
        <v>2020</v>
      </c>
      <c r="M6830" s="308" t="s">
        <v>27697</v>
      </c>
      <c r="N6830" s="308" t="s">
        <v>27394</v>
      </c>
      <c r="O6830" s="308" t="s">
        <v>27698</v>
      </c>
      <c r="P6830" s="308" t="s">
        <v>136</v>
      </c>
      <c r="Q6830" s="308" t="s">
        <v>39430</v>
      </c>
      <c r="R6830" s="308" t="s">
        <v>2743</v>
      </c>
      <c r="S6830" s="315" t="s">
        <v>100</v>
      </c>
      <c r="T6830" s="308" t="s">
        <v>34208</v>
      </c>
      <c r="U6830" s="308" t="s">
        <v>4749</v>
      </c>
      <c r="V6830" s="308"/>
    </row>
    <row r="6831">
      <c r="A6831" s="308"/>
      <c r="B6831" s="308"/>
      <c r="C6831" s="308" t="s">
        <v>27699</v>
      </c>
      <c r="D6831" s="308">
        <f>IFERROR(__xludf.DUMMYFUNCTION("SPLIT(C6831,""-"")"),6851.0)</f>
        <v>6851</v>
      </c>
      <c r="E6831" s="308" t="str">
        <f>IFERROR(__xludf.DUMMYFUNCTION("""COMPUTED_VALUE"""),"S")</f>
        <v>S</v>
      </c>
      <c r="F6831" s="312" t="s">
        <v>39</v>
      </c>
      <c r="G6831" s="308"/>
      <c r="H6831" s="308" t="s">
        <v>27700</v>
      </c>
      <c r="I6831" s="310">
        <v>40951.0</v>
      </c>
      <c r="J6831" s="319">
        <f>IFERROR(__xludf.DUMMYFUNCTION("SPLIT(I6831,""/"")"),12.0)</f>
        <v>12</v>
      </c>
      <c r="K6831" s="308">
        <f>IFERROR(__xludf.DUMMYFUNCTION("""COMPUTED_VALUE"""),2.0)</f>
        <v>2</v>
      </c>
      <c r="L6831" s="308">
        <f>IFERROR(__xludf.DUMMYFUNCTION("""COMPUTED_VALUE"""),2012.0)</f>
        <v>2012</v>
      </c>
      <c r="M6831" s="308" t="s">
        <v>27701</v>
      </c>
      <c r="N6831" s="308" t="s">
        <v>27702</v>
      </c>
      <c r="O6831" s="308"/>
      <c r="P6831" s="308" t="s">
        <v>136</v>
      </c>
      <c r="Q6831" s="308" t="s">
        <v>39431</v>
      </c>
      <c r="R6831" s="308" t="s">
        <v>26929</v>
      </c>
      <c r="S6831" s="315" t="s">
        <v>100</v>
      </c>
      <c r="T6831" s="308" t="s">
        <v>34208</v>
      </c>
      <c r="U6831" s="308" t="s">
        <v>166</v>
      </c>
      <c r="V6831" s="308"/>
    </row>
    <row r="6832">
      <c r="A6832" s="308"/>
      <c r="B6832" s="308"/>
      <c r="C6832" s="308" t="s">
        <v>27703</v>
      </c>
      <c r="D6832" s="308">
        <f>IFERROR(__xludf.DUMMYFUNCTION("SPLIT(C6832,""-"")"),6852.0)</f>
        <v>6852</v>
      </c>
      <c r="E6832" s="308" t="str">
        <f>IFERROR(__xludf.DUMMYFUNCTION("""COMPUTED_VALUE"""),"K")</f>
        <v>K</v>
      </c>
      <c r="F6832" s="309" t="s">
        <v>34</v>
      </c>
      <c r="G6832" s="308"/>
      <c r="H6832" s="308" t="s">
        <v>27704</v>
      </c>
      <c r="I6832" s="310">
        <v>43634.0</v>
      </c>
      <c r="J6832" s="319">
        <f>IFERROR(__xludf.DUMMYFUNCTION("SPLIT(I6832,""/"")"),18.0)</f>
        <v>18</v>
      </c>
      <c r="K6832" s="308">
        <f>IFERROR(__xludf.DUMMYFUNCTION("""COMPUTED_VALUE"""),6.0)</f>
        <v>6</v>
      </c>
      <c r="L6832" s="308">
        <f>IFERROR(__xludf.DUMMYFUNCTION("""COMPUTED_VALUE"""),2019.0)</f>
        <v>2019</v>
      </c>
      <c r="M6832" s="308" t="s">
        <v>27705</v>
      </c>
      <c r="N6832" s="308" t="s">
        <v>27706</v>
      </c>
      <c r="O6832" s="308"/>
      <c r="P6832" s="308" t="s">
        <v>136</v>
      </c>
      <c r="Q6832" s="308" t="s">
        <v>39431</v>
      </c>
      <c r="R6832" s="308" t="s">
        <v>2743</v>
      </c>
      <c r="S6832" s="315" t="s">
        <v>100</v>
      </c>
      <c r="T6832" s="308" t="s">
        <v>34208</v>
      </c>
      <c r="U6832" s="308" t="s">
        <v>125</v>
      </c>
      <c r="V6832" s="308"/>
    </row>
    <row r="6833">
      <c r="A6833" s="308"/>
      <c r="B6833" s="308"/>
      <c r="C6833" s="308" t="s">
        <v>27707</v>
      </c>
      <c r="D6833" s="308">
        <f>IFERROR(__xludf.DUMMYFUNCTION("SPLIT(C6833,""-"")"),6853.0)</f>
        <v>6853</v>
      </c>
      <c r="E6833" s="308" t="str">
        <f>IFERROR(__xludf.DUMMYFUNCTION("""COMPUTED_VALUE"""),"K")</f>
        <v>K</v>
      </c>
      <c r="F6833" s="309" t="s">
        <v>34</v>
      </c>
      <c r="G6833" s="308"/>
      <c r="H6833" s="308" t="s">
        <v>27708</v>
      </c>
      <c r="I6833" s="310">
        <v>43516.0</v>
      </c>
      <c r="J6833" s="319">
        <f>IFERROR(__xludf.DUMMYFUNCTION("SPLIT(I6833,""/"")"),20.0)</f>
        <v>20</v>
      </c>
      <c r="K6833" s="308">
        <f>IFERROR(__xludf.DUMMYFUNCTION("""COMPUTED_VALUE"""),2.0)</f>
        <v>2</v>
      </c>
      <c r="L6833" s="308">
        <f>IFERROR(__xludf.DUMMYFUNCTION("""COMPUTED_VALUE"""),2019.0)</f>
        <v>2019</v>
      </c>
      <c r="M6833" s="308" t="s">
        <v>27709</v>
      </c>
      <c r="N6833" s="308" t="s">
        <v>27710</v>
      </c>
      <c r="O6833" s="308"/>
      <c r="P6833" s="308" t="s">
        <v>39432</v>
      </c>
      <c r="Q6833" s="308" t="s">
        <v>39433</v>
      </c>
      <c r="R6833" s="308" t="s">
        <v>2743</v>
      </c>
      <c r="S6833" s="308" t="s">
        <v>81</v>
      </c>
      <c r="T6833" s="308" t="s">
        <v>34264</v>
      </c>
      <c r="U6833" s="308" t="s">
        <v>542</v>
      </c>
      <c r="V6833" s="308"/>
    </row>
    <row r="6834">
      <c r="A6834" s="308"/>
      <c r="B6834" s="308"/>
      <c r="C6834" s="308" t="s">
        <v>27712</v>
      </c>
      <c r="D6834" s="308">
        <f>IFERROR(__xludf.DUMMYFUNCTION("SPLIT(C6834,""-"")"),6854.0)</f>
        <v>6854</v>
      </c>
      <c r="E6834" s="308" t="str">
        <f>IFERROR(__xludf.DUMMYFUNCTION("""COMPUTED_VALUE"""),"K")</f>
        <v>K</v>
      </c>
      <c r="F6834" s="309" t="s">
        <v>34</v>
      </c>
      <c r="G6834" s="308"/>
      <c r="H6834" s="308" t="s">
        <v>27713</v>
      </c>
      <c r="I6834" s="316" t="s">
        <v>27714</v>
      </c>
      <c r="J6834" s="323">
        <v>23.0</v>
      </c>
      <c r="K6834" s="311">
        <v>11.0</v>
      </c>
      <c r="L6834" s="311">
        <v>2020.0</v>
      </c>
      <c r="M6834" s="308" t="s">
        <v>27715</v>
      </c>
      <c r="N6834" s="308" t="s">
        <v>27716</v>
      </c>
      <c r="O6834" s="308" t="s">
        <v>27717</v>
      </c>
      <c r="P6834" s="308" t="s">
        <v>39434</v>
      </c>
      <c r="Q6834" s="308" t="s">
        <v>39435</v>
      </c>
      <c r="R6834" s="308" t="s">
        <v>2743</v>
      </c>
      <c r="S6834" s="308" t="s">
        <v>81</v>
      </c>
      <c r="T6834" s="311" t="s">
        <v>90</v>
      </c>
      <c r="U6834" s="308" t="s">
        <v>2989</v>
      </c>
      <c r="V6834" s="308" t="s">
        <v>27719</v>
      </c>
    </row>
    <row r="6835">
      <c r="A6835" s="308"/>
      <c r="B6835" s="308"/>
      <c r="C6835" s="308" t="s">
        <v>27720</v>
      </c>
      <c r="D6835" s="308">
        <f>IFERROR(__xludf.DUMMYFUNCTION("SPLIT(C6835,""-"")"),6855.0)</f>
        <v>6855</v>
      </c>
      <c r="E6835" s="308" t="str">
        <f>IFERROR(__xludf.DUMMYFUNCTION("""COMPUTED_VALUE"""),"S")</f>
        <v>S</v>
      </c>
      <c r="F6835" s="312" t="s">
        <v>39</v>
      </c>
      <c r="G6835" s="308"/>
      <c r="H6835" s="308" t="s">
        <v>27721</v>
      </c>
      <c r="I6835" s="310">
        <v>42157.0</v>
      </c>
      <c r="J6835" s="319">
        <f>IFERROR(__xludf.DUMMYFUNCTION("SPLIT(I6835,""/"")"),2.0)</f>
        <v>2</v>
      </c>
      <c r="K6835" s="308">
        <f>IFERROR(__xludf.DUMMYFUNCTION("""COMPUTED_VALUE"""),6.0)</f>
        <v>6</v>
      </c>
      <c r="L6835" s="308">
        <f>IFERROR(__xludf.DUMMYFUNCTION("""COMPUTED_VALUE"""),2015.0)</f>
        <v>2015</v>
      </c>
      <c r="M6835" s="308" t="s">
        <v>27722</v>
      </c>
      <c r="N6835" s="308" t="s">
        <v>27723</v>
      </c>
      <c r="O6835" s="308"/>
      <c r="P6835" s="308" t="s">
        <v>136</v>
      </c>
      <c r="Q6835" s="308" t="s">
        <v>39436</v>
      </c>
      <c r="R6835" s="308" t="s">
        <v>2743</v>
      </c>
      <c r="S6835" s="315" t="s">
        <v>100</v>
      </c>
      <c r="T6835" s="308" t="s">
        <v>34208</v>
      </c>
      <c r="U6835" s="308" t="s">
        <v>166</v>
      </c>
      <c r="V6835" s="308" t="s">
        <v>27724</v>
      </c>
    </row>
    <row r="6836">
      <c r="A6836" s="308"/>
      <c r="B6836" s="308"/>
      <c r="C6836" s="308" t="s">
        <v>27725</v>
      </c>
      <c r="D6836" s="308">
        <f>IFERROR(__xludf.DUMMYFUNCTION("SPLIT(C6836,""-"")"),6856.0)</f>
        <v>6856</v>
      </c>
      <c r="E6836" s="308" t="str">
        <f>IFERROR(__xludf.DUMMYFUNCTION("""COMPUTED_VALUE"""),"P")</f>
        <v>P</v>
      </c>
      <c r="F6836" s="312" t="s">
        <v>37</v>
      </c>
      <c r="G6836" s="308"/>
      <c r="H6836" s="308" t="s">
        <v>27726</v>
      </c>
      <c r="I6836" s="310">
        <v>44103.0</v>
      </c>
      <c r="J6836" s="319">
        <f>IFERROR(__xludf.DUMMYFUNCTION("SPLIT(I6836,""/"")"),29.0)</f>
        <v>29</v>
      </c>
      <c r="K6836" s="308">
        <f>IFERROR(__xludf.DUMMYFUNCTION("""COMPUTED_VALUE"""),9.0)</f>
        <v>9</v>
      </c>
      <c r="L6836" s="308">
        <f>IFERROR(__xludf.DUMMYFUNCTION("""COMPUTED_VALUE"""),2020.0)</f>
        <v>2020</v>
      </c>
      <c r="M6836" s="308" t="s">
        <v>39437</v>
      </c>
      <c r="N6836" s="308" t="s">
        <v>27728</v>
      </c>
      <c r="O6836" s="308"/>
      <c r="P6836" s="308" t="s">
        <v>136</v>
      </c>
      <c r="Q6836" s="308" t="s">
        <v>39436</v>
      </c>
      <c r="R6836" s="308" t="s">
        <v>2743</v>
      </c>
      <c r="S6836" s="315" t="s">
        <v>100</v>
      </c>
      <c r="T6836" s="308" t="s">
        <v>34208</v>
      </c>
      <c r="U6836" s="308" t="s">
        <v>143</v>
      </c>
      <c r="V6836" s="308"/>
    </row>
    <row r="6837">
      <c r="A6837" s="308"/>
      <c r="B6837" s="308"/>
      <c r="C6837" s="308" t="s">
        <v>27729</v>
      </c>
      <c r="D6837" s="308">
        <f>IFERROR(__xludf.DUMMYFUNCTION("SPLIT(C6837,""-"")"),6857.0)</f>
        <v>6857</v>
      </c>
      <c r="E6837" s="308" t="str">
        <f>IFERROR(__xludf.DUMMYFUNCTION("""COMPUTED_VALUE"""),"P")</f>
        <v>P</v>
      </c>
      <c r="F6837" s="312" t="s">
        <v>37</v>
      </c>
      <c r="G6837" s="308"/>
      <c r="H6837" s="308" t="s">
        <v>27730</v>
      </c>
      <c r="I6837" s="310">
        <v>44103.0</v>
      </c>
      <c r="J6837" s="319">
        <f>IFERROR(__xludf.DUMMYFUNCTION("SPLIT(I6837,""/"")"),29.0)</f>
        <v>29</v>
      </c>
      <c r="K6837" s="308">
        <f>IFERROR(__xludf.DUMMYFUNCTION("""COMPUTED_VALUE"""),9.0)</f>
        <v>9</v>
      </c>
      <c r="L6837" s="308">
        <f>IFERROR(__xludf.DUMMYFUNCTION("""COMPUTED_VALUE"""),2020.0)</f>
        <v>2020</v>
      </c>
      <c r="M6837" s="308" t="s">
        <v>39437</v>
      </c>
      <c r="N6837" s="308" t="s">
        <v>27731</v>
      </c>
      <c r="O6837" s="308"/>
      <c r="P6837" s="308" t="s">
        <v>39438</v>
      </c>
      <c r="Q6837" s="308" t="s">
        <v>39436</v>
      </c>
      <c r="R6837" s="308" t="s">
        <v>2743</v>
      </c>
      <c r="S6837" s="308" t="s">
        <v>81</v>
      </c>
      <c r="T6837" s="311" t="s">
        <v>96</v>
      </c>
      <c r="U6837" s="308" t="s">
        <v>143</v>
      </c>
      <c r="V6837" s="308"/>
    </row>
    <row r="6838">
      <c r="A6838" s="308"/>
      <c r="B6838" s="308"/>
      <c r="C6838" s="308" t="s">
        <v>27733</v>
      </c>
      <c r="D6838" s="308">
        <f>IFERROR(__xludf.DUMMYFUNCTION("SPLIT(C6838,""-"")"),6858.0)</f>
        <v>6858</v>
      </c>
      <c r="E6838" s="308" t="str">
        <f>IFERROR(__xludf.DUMMYFUNCTION("""COMPUTED_VALUE"""),"I")</f>
        <v>I</v>
      </c>
      <c r="F6838" s="309" t="s">
        <v>31</v>
      </c>
      <c r="G6838" s="308"/>
      <c r="H6838" s="308" t="s">
        <v>27734</v>
      </c>
      <c r="I6838" s="314">
        <v>44126.0</v>
      </c>
      <c r="J6838" s="319">
        <f>IFERROR(__xludf.DUMMYFUNCTION("SPLIT(I6838,""/"")"),22.0)</f>
        <v>22</v>
      </c>
      <c r="K6838" s="308">
        <f>IFERROR(__xludf.DUMMYFUNCTION("""COMPUTED_VALUE"""),10.0)</f>
        <v>10</v>
      </c>
      <c r="L6838" s="308">
        <f>IFERROR(__xludf.DUMMYFUNCTION("""COMPUTED_VALUE"""),2020.0)</f>
        <v>2020</v>
      </c>
      <c r="M6838" s="308" t="s">
        <v>27735</v>
      </c>
      <c r="N6838" s="308" t="s">
        <v>27736</v>
      </c>
      <c r="O6838" s="308" t="s">
        <v>27737</v>
      </c>
      <c r="P6838" s="308" t="s">
        <v>27738</v>
      </c>
      <c r="Q6838" s="308" t="s">
        <v>39436</v>
      </c>
      <c r="R6838" s="308" t="s">
        <v>2743</v>
      </c>
      <c r="S6838" s="308" t="s">
        <v>81</v>
      </c>
      <c r="T6838" s="311" t="s">
        <v>96</v>
      </c>
      <c r="U6838" s="308" t="s">
        <v>31</v>
      </c>
      <c r="V6838" s="308"/>
    </row>
    <row r="6839">
      <c r="A6839" s="308"/>
      <c r="B6839" s="308"/>
      <c r="C6839" s="308" t="s">
        <v>27739</v>
      </c>
      <c r="D6839" s="308">
        <f>IFERROR(__xludf.DUMMYFUNCTION("SPLIT(C6839,""-"")"),6859.0)</f>
        <v>6859</v>
      </c>
      <c r="E6839" s="308" t="str">
        <f>IFERROR(__xludf.DUMMYFUNCTION("""COMPUTED_VALUE"""),"P")</f>
        <v>P</v>
      </c>
      <c r="F6839" s="312" t="s">
        <v>37</v>
      </c>
      <c r="G6839" s="308"/>
      <c r="H6839" s="308" t="s">
        <v>27740</v>
      </c>
      <c r="I6839" s="310">
        <v>44140.0</v>
      </c>
      <c r="J6839" s="319">
        <f>IFERROR(__xludf.DUMMYFUNCTION("SPLIT(I6839,""/"")"),5.0)</f>
        <v>5</v>
      </c>
      <c r="K6839" s="308">
        <f>IFERROR(__xludf.DUMMYFUNCTION("""COMPUTED_VALUE"""),11.0)</f>
        <v>11</v>
      </c>
      <c r="L6839" s="308">
        <f>IFERROR(__xludf.DUMMYFUNCTION("""COMPUTED_VALUE"""),2020.0)</f>
        <v>2020</v>
      </c>
      <c r="M6839" s="308" t="s">
        <v>27741</v>
      </c>
      <c r="N6839" s="308" t="s">
        <v>27742</v>
      </c>
      <c r="O6839" s="308"/>
      <c r="P6839" s="308" t="s">
        <v>39439</v>
      </c>
      <c r="Q6839" s="308" t="s">
        <v>39436</v>
      </c>
      <c r="R6839" s="308" t="s">
        <v>2743</v>
      </c>
      <c r="S6839" s="308" t="s">
        <v>81</v>
      </c>
      <c r="T6839" s="311" t="s">
        <v>73</v>
      </c>
      <c r="U6839" s="308" t="s">
        <v>1182</v>
      </c>
      <c r="V6839" s="308"/>
    </row>
    <row r="6840">
      <c r="A6840" s="308"/>
      <c r="B6840" s="308"/>
      <c r="C6840" s="308" t="s">
        <v>27744</v>
      </c>
      <c r="D6840" s="308">
        <f>IFERROR(__xludf.DUMMYFUNCTION("SPLIT(C6840,""-"")"),6860.0)</f>
        <v>6860</v>
      </c>
      <c r="E6840" s="308" t="str">
        <f>IFERROR(__xludf.DUMMYFUNCTION("""COMPUTED_VALUE"""),"S")</f>
        <v>S</v>
      </c>
      <c r="F6840" s="312" t="s">
        <v>39</v>
      </c>
      <c r="G6840" s="308"/>
      <c r="H6840" s="308" t="s">
        <v>27745</v>
      </c>
      <c r="I6840" s="310">
        <v>44008.0</v>
      </c>
      <c r="J6840" s="319">
        <f>IFERROR(__xludf.DUMMYFUNCTION("SPLIT(I6840,""/"")"),26.0)</f>
        <v>26</v>
      </c>
      <c r="K6840" s="308">
        <f>IFERROR(__xludf.DUMMYFUNCTION("""COMPUTED_VALUE"""),6.0)</f>
        <v>6</v>
      </c>
      <c r="L6840" s="308">
        <f>IFERROR(__xludf.DUMMYFUNCTION("""COMPUTED_VALUE"""),2020.0)</f>
        <v>2020</v>
      </c>
      <c r="M6840" s="308" t="s">
        <v>27746</v>
      </c>
      <c r="N6840" s="308" t="s">
        <v>439</v>
      </c>
      <c r="O6840" s="308"/>
      <c r="P6840" s="308" t="s">
        <v>27747</v>
      </c>
      <c r="Q6840" s="308" t="s">
        <v>39436</v>
      </c>
      <c r="R6840" s="308" t="s">
        <v>19825</v>
      </c>
      <c r="S6840" s="308" t="s">
        <v>81</v>
      </c>
      <c r="T6840" s="311" t="s">
        <v>96</v>
      </c>
      <c r="U6840" s="308" t="s">
        <v>166</v>
      </c>
      <c r="V6840" s="308"/>
    </row>
    <row r="6841">
      <c r="A6841" s="308"/>
      <c r="B6841" s="308"/>
      <c r="C6841" s="308" t="s">
        <v>27748</v>
      </c>
      <c r="D6841" s="308">
        <f>IFERROR(__xludf.DUMMYFUNCTION("SPLIT(C6841,""-"")"),6861.0)</f>
        <v>6861</v>
      </c>
      <c r="E6841" s="308" t="str">
        <f>IFERROR(__xludf.DUMMYFUNCTION("""COMPUTED_VALUE"""),"S")</f>
        <v>S</v>
      </c>
      <c r="F6841" s="312" t="s">
        <v>39</v>
      </c>
      <c r="G6841" s="308"/>
      <c r="H6841" s="308" t="s">
        <v>27749</v>
      </c>
      <c r="I6841" s="310">
        <v>44143.0</v>
      </c>
      <c r="J6841" s="319">
        <f>IFERROR(__xludf.DUMMYFUNCTION("SPLIT(I6841,""/"")"),8.0)</f>
        <v>8</v>
      </c>
      <c r="K6841" s="308">
        <f>IFERROR(__xludf.DUMMYFUNCTION("""COMPUTED_VALUE"""),11.0)</f>
        <v>11</v>
      </c>
      <c r="L6841" s="308">
        <f>IFERROR(__xludf.DUMMYFUNCTION("""COMPUTED_VALUE"""),2020.0)</f>
        <v>2020</v>
      </c>
      <c r="M6841" s="308" t="s">
        <v>27750</v>
      </c>
      <c r="N6841" s="308" t="s">
        <v>439</v>
      </c>
      <c r="O6841" s="308"/>
      <c r="P6841" s="308" t="s">
        <v>39440</v>
      </c>
      <c r="Q6841" s="308" t="s">
        <v>39436</v>
      </c>
      <c r="R6841" s="308" t="s">
        <v>19825</v>
      </c>
      <c r="S6841" s="308" t="s">
        <v>81</v>
      </c>
      <c r="T6841" s="311" t="s">
        <v>75</v>
      </c>
      <c r="U6841" s="308" t="s">
        <v>166</v>
      </c>
      <c r="V6841" s="308"/>
    </row>
    <row r="6842">
      <c r="A6842" s="308"/>
      <c r="B6842" s="308"/>
      <c r="C6842" s="308" t="s">
        <v>27752</v>
      </c>
      <c r="D6842" s="308">
        <f>IFERROR(__xludf.DUMMYFUNCTION("SPLIT(C6842,""-"")"),6862.0)</f>
        <v>6862</v>
      </c>
      <c r="E6842" s="308" t="str">
        <f>IFERROR(__xludf.DUMMYFUNCTION("""COMPUTED_VALUE"""),"K")</f>
        <v>K</v>
      </c>
      <c r="F6842" s="309" t="s">
        <v>34</v>
      </c>
      <c r="G6842" s="308"/>
      <c r="H6842" s="308" t="s">
        <v>27753</v>
      </c>
      <c r="I6842" s="310">
        <v>43915.0</v>
      </c>
      <c r="J6842" s="319">
        <f>IFERROR(__xludf.DUMMYFUNCTION("SPLIT(I6842,""/"")"),25.0)</f>
        <v>25</v>
      </c>
      <c r="K6842" s="308">
        <f>IFERROR(__xludf.DUMMYFUNCTION("""COMPUTED_VALUE"""),3.0)</f>
        <v>3</v>
      </c>
      <c r="L6842" s="308">
        <f>IFERROR(__xludf.DUMMYFUNCTION("""COMPUTED_VALUE"""),2020.0)</f>
        <v>2020</v>
      </c>
      <c r="M6842" s="308" t="s">
        <v>27754</v>
      </c>
      <c r="N6842" s="308" t="s">
        <v>27755</v>
      </c>
      <c r="O6842" s="308"/>
      <c r="P6842" s="308" t="s">
        <v>27756</v>
      </c>
      <c r="Q6842" s="308" t="s">
        <v>39441</v>
      </c>
      <c r="R6842" s="308" t="s">
        <v>2743</v>
      </c>
      <c r="S6842" s="308" t="s">
        <v>81</v>
      </c>
      <c r="T6842" s="308" t="s">
        <v>34264</v>
      </c>
      <c r="U6842" s="308" t="s">
        <v>542</v>
      </c>
      <c r="V6842" s="308"/>
    </row>
    <row r="6843">
      <c r="A6843" s="308"/>
      <c r="B6843" s="308"/>
      <c r="C6843" s="308" t="s">
        <v>27757</v>
      </c>
      <c r="D6843" s="308">
        <f>IFERROR(__xludf.DUMMYFUNCTION("SPLIT(C6843,""-"")"),6863.0)</f>
        <v>6863</v>
      </c>
      <c r="E6843" s="308" t="str">
        <f>IFERROR(__xludf.DUMMYFUNCTION("""COMPUTED_VALUE"""),"S")</f>
        <v>S</v>
      </c>
      <c r="F6843" s="312" t="s">
        <v>39</v>
      </c>
      <c r="G6843" s="308"/>
      <c r="H6843" s="308" t="s">
        <v>27758</v>
      </c>
      <c r="I6843" s="310">
        <v>44063.0</v>
      </c>
      <c r="J6843" s="319">
        <f>IFERROR(__xludf.DUMMYFUNCTION("SPLIT(I6843,""/"")"),20.0)</f>
        <v>20</v>
      </c>
      <c r="K6843" s="308">
        <f>IFERROR(__xludf.DUMMYFUNCTION("""COMPUTED_VALUE"""),8.0)</f>
        <v>8</v>
      </c>
      <c r="L6843" s="308">
        <f>IFERROR(__xludf.DUMMYFUNCTION("""COMPUTED_VALUE"""),2020.0)</f>
        <v>2020</v>
      </c>
      <c r="M6843" s="308" t="s">
        <v>27759</v>
      </c>
      <c r="N6843" s="308" t="s">
        <v>39442</v>
      </c>
      <c r="O6843" s="308"/>
      <c r="P6843" s="308" t="s">
        <v>27761</v>
      </c>
      <c r="Q6843" s="308" t="s">
        <v>39441</v>
      </c>
      <c r="R6843" s="308" t="s">
        <v>2743</v>
      </c>
      <c r="S6843" s="308" t="s">
        <v>81</v>
      </c>
      <c r="T6843" s="311" t="s">
        <v>91</v>
      </c>
      <c r="U6843" s="308" t="s">
        <v>166</v>
      </c>
      <c r="V6843" s="308"/>
    </row>
    <row r="6844">
      <c r="A6844" s="308"/>
      <c r="B6844" s="308"/>
      <c r="C6844" s="308" t="s">
        <v>27762</v>
      </c>
      <c r="D6844" s="308">
        <f>IFERROR(__xludf.DUMMYFUNCTION("SPLIT(C6844,""-"")"),6864.0)</f>
        <v>6864</v>
      </c>
      <c r="E6844" s="308" t="str">
        <f>IFERROR(__xludf.DUMMYFUNCTION("""COMPUTED_VALUE"""),"K")</f>
        <v>K</v>
      </c>
      <c r="F6844" s="309" t="s">
        <v>34</v>
      </c>
      <c r="G6844" s="308"/>
      <c r="H6844" s="308" t="s">
        <v>27763</v>
      </c>
      <c r="I6844" s="314">
        <v>44132.0</v>
      </c>
      <c r="J6844" s="319">
        <f>IFERROR(__xludf.DUMMYFUNCTION("SPLIT(I6844,""/"")"),28.0)</f>
        <v>28</v>
      </c>
      <c r="K6844" s="308">
        <f>IFERROR(__xludf.DUMMYFUNCTION("""COMPUTED_VALUE"""),10.0)</f>
        <v>10</v>
      </c>
      <c r="L6844" s="308">
        <f>IFERROR(__xludf.DUMMYFUNCTION("""COMPUTED_VALUE"""),2020.0)</f>
        <v>2020</v>
      </c>
      <c r="M6844" s="308" t="s">
        <v>27764</v>
      </c>
      <c r="N6844" s="308" t="s">
        <v>27765</v>
      </c>
      <c r="O6844" s="308"/>
      <c r="P6844" s="308" t="s">
        <v>39443</v>
      </c>
      <c r="Q6844" s="308" t="s">
        <v>39441</v>
      </c>
      <c r="R6844" s="308" t="s">
        <v>2743</v>
      </c>
      <c r="S6844" s="308" t="s">
        <v>81</v>
      </c>
      <c r="T6844" s="311" t="s">
        <v>51</v>
      </c>
      <c r="U6844" s="308" t="s">
        <v>542</v>
      </c>
      <c r="V6844" s="308"/>
    </row>
    <row r="6845">
      <c r="A6845" s="308"/>
      <c r="B6845" s="308"/>
      <c r="C6845" s="308" t="s">
        <v>27767</v>
      </c>
      <c r="D6845" s="308">
        <f>IFERROR(__xludf.DUMMYFUNCTION("SPLIT(C6845,""-"")"),6865.0)</f>
        <v>6865</v>
      </c>
      <c r="E6845" s="308" t="str">
        <f>IFERROR(__xludf.DUMMYFUNCTION("""COMPUTED_VALUE"""),"S")</f>
        <v>S</v>
      </c>
      <c r="F6845" s="312" t="s">
        <v>39</v>
      </c>
      <c r="G6845" s="308"/>
      <c r="H6845" s="308" t="s">
        <v>27768</v>
      </c>
      <c r="I6845" s="314">
        <v>44154.0</v>
      </c>
      <c r="J6845" s="319">
        <f>IFERROR(__xludf.DUMMYFUNCTION("SPLIT(I6845,""/"")"),19.0)</f>
        <v>19</v>
      </c>
      <c r="K6845" s="308">
        <f>IFERROR(__xludf.DUMMYFUNCTION("""COMPUTED_VALUE"""),11.0)</f>
        <v>11</v>
      </c>
      <c r="L6845" s="308">
        <f>IFERROR(__xludf.DUMMYFUNCTION("""COMPUTED_VALUE"""),2020.0)</f>
        <v>2020</v>
      </c>
      <c r="M6845" s="308" t="s">
        <v>27769</v>
      </c>
      <c r="N6845" s="308" t="s">
        <v>27770</v>
      </c>
      <c r="O6845" s="308"/>
      <c r="P6845" s="308" t="s">
        <v>39444</v>
      </c>
      <c r="Q6845" s="308" t="s">
        <v>39445</v>
      </c>
      <c r="R6845" s="308" t="s">
        <v>2743</v>
      </c>
      <c r="S6845" s="308" t="s">
        <v>81</v>
      </c>
      <c r="T6845" s="311" t="s">
        <v>90</v>
      </c>
      <c r="U6845" s="308" t="s">
        <v>166</v>
      </c>
      <c r="V6845" s="308"/>
    </row>
    <row r="6846">
      <c r="A6846" s="308"/>
      <c r="B6846" s="308"/>
      <c r="C6846" s="308" t="s">
        <v>27772</v>
      </c>
      <c r="D6846" s="308">
        <f>IFERROR(__xludf.DUMMYFUNCTION("SPLIT(C6846,""-"")"),6866.0)</f>
        <v>6866</v>
      </c>
      <c r="E6846" s="308" t="str">
        <f>IFERROR(__xludf.DUMMYFUNCTION("""COMPUTED_VALUE"""),"S")</f>
        <v>S</v>
      </c>
      <c r="F6846" s="312" t="s">
        <v>39</v>
      </c>
      <c r="G6846" s="308"/>
      <c r="H6846" s="308" t="s">
        <v>27773</v>
      </c>
      <c r="I6846" s="310">
        <v>43642.0</v>
      </c>
      <c r="J6846" s="319">
        <f>IFERROR(__xludf.DUMMYFUNCTION("SPLIT(I6846,""/"")"),26.0)</f>
        <v>26</v>
      </c>
      <c r="K6846" s="308">
        <f>IFERROR(__xludf.DUMMYFUNCTION("""COMPUTED_VALUE"""),6.0)</f>
        <v>6</v>
      </c>
      <c r="L6846" s="308">
        <f>IFERROR(__xludf.DUMMYFUNCTION("""COMPUTED_VALUE"""),2019.0)</f>
        <v>2019</v>
      </c>
      <c r="M6846" s="308" t="s">
        <v>27774</v>
      </c>
      <c r="N6846" s="308" t="s">
        <v>39446</v>
      </c>
      <c r="O6846" s="308"/>
      <c r="P6846" s="308" t="s">
        <v>39447</v>
      </c>
      <c r="Q6846" s="308" t="s">
        <v>39445</v>
      </c>
      <c r="R6846" s="308" t="s">
        <v>2743</v>
      </c>
      <c r="S6846" s="308" t="s">
        <v>81</v>
      </c>
      <c r="T6846" s="311" t="s">
        <v>91</v>
      </c>
      <c r="U6846" s="308" t="s">
        <v>166</v>
      </c>
      <c r="V6846" s="308"/>
    </row>
    <row r="6847">
      <c r="A6847" s="308"/>
      <c r="B6847" s="308"/>
      <c r="C6847" s="308" t="s">
        <v>27777</v>
      </c>
      <c r="D6847" s="308">
        <f>IFERROR(__xludf.DUMMYFUNCTION("SPLIT(C6847,""-"")"),6867.0)</f>
        <v>6867</v>
      </c>
      <c r="E6847" s="308" t="str">
        <f>IFERROR(__xludf.DUMMYFUNCTION("""COMPUTED_VALUE"""),"I")</f>
        <v>I</v>
      </c>
      <c r="F6847" s="309" t="s">
        <v>31</v>
      </c>
      <c r="G6847" s="308"/>
      <c r="H6847" s="308" t="s">
        <v>27778</v>
      </c>
      <c r="I6847" s="314">
        <v>44149.0</v>
      </c>
      <c r="J6847" s="319">
        <f>IFERROR(__xludf.DUMMYFUNCTION("SPLIT(I6847,""/"")"),14.0)</f>
        <v>14</v>
      </c>
      <c r="K6847" s="308">
        <f>IFERROR(__xludf.DUMMYFUNCTION("""COMPUTED_VALUE"""),11.0)</f>
        <v>11</v>
      </c>
      <c r="L6847" s="308">
        <f>IFERROR(__xludf.DUMMYFUNCTION("""COMPUTED_VALUE"""),2020.0)</f>
        <v>2020</v>
      </c>
      <c r="M6847" s="308" t="s">
        <v>27779</v>
      </c>
      <c r="N6847" s="308" t="s">
        <v>27780</v>
      </c>
      <c r="O6847" s="308"/>
      <c r="P6847" s="308" t="s">
        <v>27781</v>
      </c>
      <c r="Q6847" s="308" t="s">
        <v>39445</v>
      </c>
      <c r="R6847" s="308" t="s">
        <v>2743</v>
      </c>
      <c r="S6847" s="308" t="s">
        <v>81</v>
      </c>
      <c r="T6847" s="311" t="s">
        <v>51</v>
      </c>
      <c r="U6847" s="308" t="s">
        <v>31</v>
      </c>
      <c r="V6847" s="308"/>
    </row>
    <row r="6848">
      <c r="A6848" s="308"/>
      <c r="B6848" s="308"/>
      <c r="C6848" s="308" t="s">
        <v>27782</v>
      </c>
      <c r="D6848" s="308">
        <f>IFERROR(__xludf.DUMMYFUNCTION("SPLIT(C6848,""-"")"),6868.0)</f>
        <v>6868</v>
      </c>
      <c r="E6848" s="308" t="str">
        <f>IFERROR(__xludf.DUMMYFUNCTION("""COMPUTED_VALUE"""),"K")</f>
        <v>K</v>
      </c>
      <c r="F6848" s="309" t="s">
        <v>34</v>
      </c>
      <c r="G6848" s="308"/>
      <c r="H6848" s="308" t="s">
        <v>27783</v>
      </c>
      <c r="I6848" s="310">
        <v>39995.0</v>
      </c>
      <c r="J6848" s="319">
        <f>IFERROR(__xludf.DUMMYFUNCTION("SPLIT(I6848,""/"")"),1.0)</f>
        <v>1</v>
      </c>
      <c r="K6848" s="308">
        <f>IFERROR(__xludf.DUMMYFUNCTION("""COMPUTED_VALUE"""),7.0)</f>
        <v>7</v>
      </c>
      <c r="L6848" s="308">
        <f>IFERROR(__xludf.DUMMYFUNCTION("""COMPUTED_VALUE"""),2009.0)</f>
        <v>2009</v>
      </c>
      <c r="M6848" s="308" t="s">
        <v>27784</v>
      </c>
      <c r="N6848" s="308" t="s">
        <v>27394</v>
      </c>
      <c r="O6848" s="308" t="s">
        <v>27785</v>
      </c>
      <c r="P6848" s="308" t="s">
        <v>136</v>
      </c>
      <c r="Q6848" s="308" t="s">
        <v>39448</v>
      </c>
      <c r="R6848" s="308" t="s">
        <v>2743</v>
      </c>
      <c r="S6848" s="315" t="s">
        <v>100</v>
      </c>
      <c r="T6848" s="308" t="s">
        <v>34208</v>
      </c>
      <c r="U6848" s="308" t="s">
        <v>530</v>
      </c>
      <c r="V6848" s="308"/>
    </row>
    <row r="6849">
      <c r="A6849" s="308"/>
      <c r="B6849" s="308"/>
      <c r="C6849" s="308" t="s">
        <v>27786</v>
      </c>
      <c r="D6849" s="308">
        <f>IFERROR(__xludf.DUMMYFUNCTION("SPLIT(C6849,""-"")"),6869.0)</f>
        <v>6869</v>
      </c>
      <c r="E6849" s="308" t="str">
        <f>IFERROR(__xludf.DUMMYFUNCTION("""COMPUTED_VALUE"""),"K")</f>
        <v>K</v>
      </c>
      <c r="F6849" s="309" t="s">
        <v>34</v>
      </c>
      <c r="G6849" s="308"/>
      <c r="H6849" s="308" t="s">
        <v>27787</v>
      </c>
      <c r="I6849" s="310">
        <v>44063.0</v>
      </c>
      <c r="J6849" s="319">
        <f>IFERROR(__xludf.DUMMYFUNCTION("SPLIT(I6849,""/"")"),20.0)</f>
        <v>20</v>
      </c>
      <c r="K6849" s="308">
        <f>IFERROR(__xludf.DUMMYFUNCTION("""COMPUTED_VALUE"""),8.0)</f>
        <v>8</v>
      </c>
      <c r="L6849" s="308">
        <f>IFERROR(__xludf.DUMMYFUNCTION("""COMPUTED_VALUE"""),2020.0)</f>
        <v>2020</v>
      </c>
      <c r="M6849" s="308" t="s">
        <v>27788</v>
      </c>
      <c r="N6849" s="308" t="s">
        <v>27789</v>
      </c>
      <c r="O6849" s="308"/>
      <c r="P6849" s="308" t="s">
        <v>27790</v>
      </c>
      <c r="Q6849" s="308" t="s">
        <v>39448</v>
      </c>
      <c r="R6849" s="308" t="s">
        <v>2743</v>
      </c>
      <c r="S6849" s="308" t="s">
        <v>81</v>
      </c>
      <c r="T6849" s="308" t="s">
        <v>75</v>
      </c>
      <c r="U6849" s="308" t="s">
        <v>4487</v>
      </c>
      <c r="V6849" s="308"/>
    </row>
    <row r="6850">
      <c r="A6850" s="308"/>
      <c r="B6850" s="308"/>
      <c r="C6850" s="308" t="s">
        <v>27791</v>
      </c>
      <c r="D6850" s="308">
        <f>IFERROR(__xludf.DUMMYFUNCTION("SPLIT(C6850,""-"")"),6870.0)</f>
        <v>6870</v>
      </c>
      <c r="E6850" s="308" t="str">
        <f>IFERROR(__xludf.DUMMYFUNCTION("""COMPUTED_VALUE"""),"P")</f>
        <v>P</v>
      </c>
      <c r="F6850" s="312" t="s">
        <v>37</v>
      </c>
      <c r="G6850" s="308"/>
      <c r="H6850" s="308" t="s">
        <v>27792</v>
      </c>
      <c r="I6850" s="310">
        <v>44168.0</v>
      </c>
      <c r="J6850" s="319">
        <f>IFERROR(__xludf.DUMMYFUNCTION("SPLIT(I6850,""/"")"),3.0)</f>
        <v>3</v>
      </c>
      <c r="K6850" s="308">
        <f>IFERROR(__xludf.DUMMYFUNCTION("""COMPUTED_VALUE"""),12.0)</f>
        <v>12</v>
      </c>
      <c r="L6850" s="308">
        <f>IFERROR(__xludf.DUMMYFUNCTION("""COMPUTED_VALUE"""),2020.0)</f>
        <v>2020</v>
      </c>
      <c r="M6850" s="308" t="s">
        <v>27793</v>
      </c>
      <c r="N6850" s="308" t="s">
        <v>27794</v>
      </c>
      <c r="O6850" s="308"/>
      <c r="P6850" s="308" t="s">
        <v>27795</v>
      </c>
      <c r="Q6850" s="308" t="s">
        <v>39448</v>
      </c>
      <c r="R6850" s="308" t="s">
        <v>2743</v>
      </c>
      <c r="S6850" s="308" t="s">
        <v>81</v>
      </c>
      <c r="T6850" s="311" t="s">
        <v>75</v>
      </c>
      <c r="U6850" s="308" t="s">
        <v>1910</v>
      </c>
      <c r="V6850" s="308"/>
    </row>
    <row r="6851">
      <c r="A6851" s="308"/>
      <c r="B6851" s="308"/>
      <c r="C6851" s="308" t="s">
        <v>27796</v>
      </c>
      <c r="D6851" s="308">
        <f>IFERROR(__xludf.DUMMYFUNCTION("SPLIT(C6851,""-"")"),6871.0)</f>
        <v>6871</v>
      </c>
      <c r="E6851" s="308" t="str">
        <f>IFERROR(__xludf.DUMMYFUNCTION("""COMPUTED_VALUE"""),"P")</f>
        <v>P</v>
      </c>
      <c r="F6851" s="312" t="s">
        <v>37</v>
      </c>
      <c r="G6851" s="308"/>
      <c r="H6851" s="308" t="s">
        <v>27797</v>
      </c>
      <c r="I6851" s="310">
        <v>44140.0</v>
      </c>
      <c r="J6851" s="319">
        <f>IFERROR(__xludf.DUMMYFUNCTION("SPLIT(I6851,""/"")"),5.0)</f>
        <v>5</v>
      </c>
      <c r="K6851" s="308">
        <f>IFERROR(__xludf.DUMMYFUNCTION("""COMPUTED_VALUE"""),11.0)</f>
        <v>11</v>
      </c>
      <c r="L6851" s="308">
        <f>IFERROR(__xludf.DUMMYFUNCTION("""COMPUTED_VALUE"""),2020.0)</f>
        <v>2020</v>
      </c>
      <c r="M6851" s="308" t="s">
        <v>27798</v>
      </c>
      <c r="N6851" s="308" t="s">
        <v>27799</v>
      </c>
      <c r="O6851" s="308"/>
      <c r="P6851" s="308" t="s">
        <v>39449</v>
      </c>
      <c r="Q6851" s="308" t="s">
        <v>39448</v>
      </c>
      <c r="R6851" s="308" t="s">
        <v>2743</v>
      </c>
      <c r="S6851" s="308" t="s">
        <v>81</v>
      </c>
      <c r="T6851" s="311" t="s">
        <v>75</v>
      </c>
      <c r="U6851" s="308" t="s">
        <v>1910</v>
      </c>
      <c r="V6851" s="308"/>
    </row>
    <row r="6852">
      <c r="A6852" s="308"/>
      <c r="B6852" s="308"/>
      <c r="C6852" s="308" t="s">
        <v>27801</v>
      </c>
      <c r="D6852" s="308">
        <f>IFERROR(__xludf.DUMMYFUNCTION("SPLIT(C6852,""-"")"),6872.0)</f>
        <v>6872</v>
      </c>
      <c r="E6852" s="308" t="str">
        <f>IFERROR(__xludf.DUMMYFUNCTION("""COMPUTED_VALUE"""),"K")</f>
        <v>K</v>
      </c>
      <c r="F6852" s="309" t="s">
        <v>34</v>
      </c>
      <c r="G6852" s="308"/>
      <c r="H6852" s="308" t="s">
        <v>27802</v>
      </c>
      <c r="I6852" s="310">
        <v>42095.0</v>
      </c>
      <c r="J6852" s="319">
        <f>IFERROR(__xludf.DUMMYFUNCTION("SPLIT(I6852,""/"")"),1.0)</f>
        <v>1</v>
      </c>
      <c r="K6852" s="308">
        <f>IFERROR(__xludf.DUMMYFUNCTION("""COMPUTED_VALUE"""),4.0)</f>
        <v>4</v>
      </c>
      <c r="L6852" s="308">
        <f>IFERROR(__xludf.DUMMYFUNCTION("""COMPUTED_VALUE"""),2015.0)</f>
        <v>2015</v>
      </c>
      <c r="M6852" s="308" t="s">
        <v>27803</v>
      </c>
      <c r="N6852" s="308" t="s">
        <v>39450</v>
      </c>
      <c r="O6852" s="308"/>
      <c r="P6852" s="308" t="s">
        <v>136</v>
      </c>
      <c r="Q6852" s="308" t="s">
        <v>39448</v>
      </c>
      <c r="R6852" s="308" t="s">
        <v>2743</v>
      </c>
      <c r="S6852" s="315" t="s">
        <v>100</v>
      </c>
      <c r="T6852" s="308" t="s">
        <v>34208</v>
      </c>
      <c r="U6852" s="308" t="s">
        <v>26526</v>
      </c>
      <c r="V6852" s="308"/>
    </row>
    <row r="6853">
      <c r="A6853" s="308"/>
      <c r="B6853" s="308"/>
      <c r="C6853" s="308" t="s">
        <v>27805</v>
      </c>
      <c r="D6853" s="308">
        <f>IFERROR(__xludf.DUMMYFUNCTION("SPLIT(C6853,""-"")"),6873.0)</f>
        <v>6873</v>
      </c>
      <c r="E6853" s="308" t="str">
        <f>IFERROR(__xludf.DUMMYFUNCTION("""COMPUTED_VALUE"""),"S")</f>
        <v>S</v>
      </c>
      <c r="F6853" s="312" t="s">
        <v>39</v>
      </c>
      <c r="G6853" s="308"/>
      <c r="H6853" s="308" t="s">
        <v>27806</v>
      </c>
      <c r="I6853" s="310">
        <v>43627.0</v>
      </c>
      <c r="J6853" s="319">
        <f>IFERROR(__xludf.DUMMYFUNCTION("SPLIT(I6853,""/"")"),11.0)</f>
        <v>11</v>
      </c>
      <c r="K6853" s="308">
        <f>IFERROR(__xludf.DUMMYFUNCTION("""COMPUTED_VALUE"""),6.0)</f>
        <v>6</v>
      </c>
      <c r="L6853" s="308">
        <f>IFERROR(__xludf.DUMMYFUNCTION("""COMPUTED_VALUE"""),2019.0)</f>
        <v>2019</v>
      </c>
      <c r="M6853" s="308" t="s">
        <v>27807</v>
      </c>
      <c r="N6853" s="308" t="s">
        <v>27808</v>
      </c>
      <c r="O6853" s="308"/>
      <c r="P6853" s="308" t="s">
        <v>39451</v>
      </c>
      <c r="Q6853" s="308" t="s">
        <v>39448</v>
      </c>
      <c r="R6853" s="308" t="s">
        <v>2743</v>
      </c>
      <c r="S6853" s="308" t="s">
        <v>81</v>
      </c>
      <c r="T6853" s="311" t="s">
        <v>51</v>
      </c>
      <c r="U6853" s="308" t="s">
        <v>166</v>
      </c>
      <c r="V6853" s="308"/>
    </row>
    <row r="6854">
      <c r="A6854" s="308"/>
      <c r="B6854" s="308"/>
      <c r="C6854" s="308" t="s">
        <v>27810</v>
      </c>
      <c r="D6854" s="308">
        <f>IFERROR(__xludf.DUMMYFUNCTION("SPLIT(C6854,""-"")"),6874.0)</f>
        <v>6874</v>
      </c>
      <c r="E6854" s="308" t="str">
        <f>IFERROR(__xludf.DUMMYFUNCTION("""COMPUTED_VALUE"""),"P")</f>
        <v>P</v>
      </c>
      <c r="F6854" s="312" t="s">
        <v>37</v>
      </c>
      <c r="G6854" s="308"/>
      <c r="H6854" s="308" t="s">
        <v>14655</v>
      </c>
      <c r="I6854" s="314">
        <v>44163.0</v>
      </c>
      <c r="J6854" s="319">
        <f>IFERROR(__xludf.DUMMYFUNCTION("SPLIT(I6854,""/"")"),28.0)</f>
        <v>28</v>
      </c>
      <c r="K6854" s="308">
        <f>IFERROR(__xludf.DUMMYFUNCTION("""COMPUTED_VALUE"""),11.0)</f>
        <v>11</v>
      </c>
      <c r="L6854" s="308">
        <f>IFERROR(__xludf.DUMMYFUNCTION("""COMPUTED_VALUE"""),2020.0)</f>
        <v>2020</v>
      </c>
      <c r="M6854" s="308" t="s">
        <v>27811</v>
      </c>
      <c r="N6854" s="308" t="s">
        <v>27812</v>
      </c>
      <c r="O6854" s="308"/>
      <c r="P6854" s="308" t="s">
        <v>39452</v>
      </c>
      <c r="Q6854" s="308" t="s">
        <v>39448</v>
      </c>
      <c r="R6854" s="308" t="s">
        <v>2743</v>
      </c>
      <c r="S6854" s="308" t="s">
        <v>81</v>
      </c>
      <c r="T6854" s="311" t="s">
        <v>96</v>
      </c>
      <c r="U6854" s="308" t="s">
        <v>149</v>
      </c>
      <c r="V6854" s="308"/>
    </row>
    <row r="6855">
      <c r="A6855" s="308"/>
      <c r="B6855" s="308"/>
      <c r="C6855" s="308" t="s">
        <v>27814</v>
      </c>
      <c r="D6855" s="308">
        <f>IFERROR(__xludf.DUMMYFUNCTION("SPLIT(C6855,""-"")"),6875.0)</f>
        <v>6875</v>
      </c>
      <c r="E6855" s="308" t="str">
        <f>IFERROR(__xludf.DUMMYFUNCTION("""COMPUTED_VALUE"""),"K")</f>
        <v>K</v>
      </c>
      <c r="F6855" s="309" t="s">
        <v>34</v>
      </c>
      <c r="G6855" s="308"/>
      <c r="H6855" s="308" t="s">
        <v>27815</v>
      </c>
      <c r="I6855" s="314">
        <v>44155.0</v>
      </c>
      <c r="J6855" s="319">
        <f>IFERROR(__xludf.DUMMYFUNCTION("SPLIT(I6855,""/"")"),20.0)</f>
        <v>20</v>
      </c>
      <c r="K6855" s="308">
        <f>IFERROR(__xludf.DUMMYFUNCTION("""COMPUTED_VALUE"""),11.0)</f>
        <v>11</v>
      </c>
      <c r="L6855" s="308">
        <f>IFERROR(__xludf.DUMMYFUNCTION("""COMPUTED_VALUE"""),2020.0)</f>
        <v>2020</v>
      </c>
      <c r="M6855" s="308" t="s">
        <v>27816</v>
      </c>
      <c r="N6855" s="308" t="s">
        <v>27817</v>
      </c>
      <c r="O6855" s="308"/>
      <c r="P6855" s="308" t="s">
        <v>39453</v>
      </c>
      <c r="Q6855" s="308" t="s">
        <v>39448</v>
      </c>
      <c r="R6855" s="308" t="s">
        <v>16185</v>
      </c>
      <c r="S6855" s="308" t="s">
        <v>81</v>
      </c>
      <c r="T6855" s="308" t="s">
        <v>73</v>
      </c>
      <c r="U6855" s="308" t="s">
        <v>4749</v>
      </c>
      <c r="V6855" s="308"/>
    </row>
    <row r="6856">
      <c r="A6856" s="308"/>
      <c r="B6856" s="308"/>
      <c r="C6856" s="308" t="s">
        <v>27819</v>
      </c>
      <c r="D6856" s="308">
        <f>IFERROR(__xludf.DUMMYFUNCTION("SPLIT(C6856,""-"")"),6876.0)</f>
        <v>6876</v>
      </c>
      <c r="E6856" s="308" t="str">
        <f>IFERROR(__xludf.DUMMYFUNCTION("""COMPUTED_VALUE"""),"K")</f>
        <v>K</v>
      </c>
      <c r="F6856" s="309" t="s">
        <v>34</v>
      </c>
      <c r="G6856" s="308"/>
      <c r="H6856" s="308" t="s">
        <v>27820</v>
      </c>
      <c r="I6856" s="310">
        <v>42226.0</v>
      </c>
      <c r="J6856" s="319">
        <f>IFERROR(__xludf.DUMMYFUNCTION("SPLIT(I6856,""/"")"),10.0)</f>
        <v>10</v>
      </c>
      <c r="K6856" s="308">
        <f>IFERROR(__xludf.DUMMYFUNCTION("""COMPUTED_VALUE"""),8.0)</f>
        <v>8</v>
      </c>
      <c r="L6856" s="308">
        <f>IFERROR(__xludf.DUMMYFUNCTION("""COMPUTED_VALUE"""),2015.0)</f>
        <v>2015</v>
      </c>
      <c r="M6856" s="308" t="s">
        <v>27821</v>
      </c>
      <c r="N6856" s="308" t="s">
        <v>27822</v>
      </c>
      <c r="O6856" s="308"/>
      <c r="P6856" s="308" t="s">
        <v>136</v>
      </c>
      <c r="Q6856" s="308" t="s">
        <v>39448</v>
      </c>
      <c r="R6856" s="308" t="s">
        <v>16185</v>
      </c>
      <c r="S6856" s="315" t="s">
        <v>100</v>
      </c>
      <c r="T6856" s="308" t="s">
        <v>34208</v>
      </c>
      <c r="U6856" s="308" t="s">
        <v>125</v>
      </c>
      <c r="V6856" s="308" t="s">
        <v>24425</v>
      </c>
    </row>
    <row r="6857">
      <c r="A6857" s="308"/>
      <c r="B6857" s="308"/>
      <c r="C6857" s="308" t="s">
        <v>27823</v>
      </c>
      <c r="D6857" s="308">
        <f>IFERROR(__xludf.DUMMYFUNCTION("SPLIT(C6857,""-"")"),6877.0)</f>
        <v>6877</v>
      </c>
      <c r="E6857" s="308" t="str">
        <f>IFERROR(__xludf.DUMMYFUNCTION("""COMPUTED_VALUE"""),"P")</f>
        <v>P</v>
      </c>
      <c r="F6857" s="312" t="s">
        <v>37</v>
      </c>
      <c r="G6857" s="308"/>
      <c r="H6857" s="308" t="s">
        <v>27824</v>
      </c>
      <c r="I6857" s="310">
        <v>43048.0</v>
      </c>
      <c r="J6857" s="319">
        <f>IFERROR(__xludf.DUMMYFUNCTION("SPLIT(I6857,""/"")"),9.0)</f>
        <v>9</v>
      </c>
      <c r="K6857" s="308">
        <f>IFERROR(__xludf.DUMMYFUNCTION("""COMPUTED_VALUE"""),11.0)</f>
        <v>11</v>
      </c>
      <c r="L6857" s="308">
        <f>IFERROR(__xludf.DUMMYFUNCTION("""COMPUTED_VALUE"""),2017.0)</f>
        <v>2017</v>
      </c>
      <c r="M6857" s="308" t="s">
        <v>27825</v>
      </c>
      <c r="N6857" s="308" t="s">
        <v>27826</v>
      </c>
      <c r="O6857" s="308"/>
      <c r="P6857" s="308" t="s">
        <v>136</v>
      </c>
      <c r="Q6857" s="308" t="s">
        <v>39448</v>
      </c>
      <c r="R6857" s="308" t="s">
        <v>16185</v>
      </c>
      <c r="S6857" s="315" t="s">
        <v>100</v>
      </c>
      <c r="T6857" s="308" t="s">
        <v>34208</v>
      </c>
      <c r="U6857" s="308" t="s">
        <v>26124</v>
      </c>
      <c r="V6857" s="308"/>
    </row>
    <row r="6858">
      <c r="A6858" s="308"/>
      <c r="B6858" s="308"/>
      <c r="C6858" s="308" t="s">
        <v>27827</v>
      </c>
      <c r="D6858" s="308">
        <f>IFERROR(__xludf.DUMMYFUNCTION("SPLIT(C6858,""-"")"),6878.0)</f>
        <v>6878</v>
      </c>
      <c r="E6858" s="308" t="str">
        <f>IFERROR(__xludf.DUMMYFUNCTION("""COMPUTED_VALUE"""),"B")</f>
        <v>B</v>
      </c>
      <c r="F6858" s="315" t="s">
        <v>26</v>
      </c>
      <c r="G6858" s="308"/>
      <c r="H6858" s="308" t="s">
        <v>27828</v>
      </c>
      <c r="I6858" s="310">
        <v>43966.0</v>
      </c>
      <c r="J6858" s="319">
        <f>IFERROR(__xludf.DUMMYFUNCTION("SPLIT(I6858,""/"")"),15.0)</f>
        <v>15</v>
      </c>
      <c r="K6858" s="308">
        <f>IFERROR(__xludf.DUMMYFUNCTION("""COMPUTED_VALUE"""),5.0)</f>
        <v>5</v>
      </c>
      <c r="L6858" s="308">
        <f>IFERROR(__xludf.DUMMYFUNCTION("""COMPUTED_VALUE"""),2020.0)</f>
        <v>2020</v>
      </c>
      <c r="M6858" s="308" t="s">
        <v>27829</v>
      </c>
      <c r="N6858" s="308" t="s">
        <v>27394</v>
      </c>
      <c r="O6858" s="308"/>
      <c r="P6858" s="308" t="s">
        <v>39454</v>
      </c>
      <c r="Q6858" s="308" t="s">
        <v>39448</v>
      </c>
      <c r="R6858" s="308" t="s">
        <v>26929</v>
      </c>
      <c r="S6858" s="308" t="s">
        <v>81</v>
      </c>
      <c r="T6858" s="311" t="s">
        <v>91</v>
      </c>
      <c r="U6858" s="308" t="s">
        <v>27</v>
      </c>
      <c r="V6858" s="308"/>
    </row>
    <row r="6859">
      <c r="A6859" s="308"/>
      <c r="B6859" s="308"/>
      <c r="C6859" s="308" t="s">
        <v>27831</v>
      </c>
      <c r="D6859" s="308">
        <f>IFERROR(__xludf.DUMMYFUNCTION("SPLIT(C6859,""-"")"),6879.0)</f>
        <v>6879</v>
      </c>
      <c r="E6859" s="308" t="str">
        <f>IFERROR(__xludf.DUMMYFUNCTION("""COMPUTED_VALUE"""),"B")</f>
        <v>B</v>
      </c>
      <c r="F6859" s="315" t="s">
        <v>26</v>
      </c>
      <c r="G6859" s="308"/>
      <c r="H6859" s="308" t="s">
        <v>27832</v>
      </c>
      <c r="I6859" s="310">
        <v>43592.0</v>
      </c>
      <c r="J6859" s="319">
        <f>IFERROR(__xludf.DUMMYFUNCTION("SPLIT(I6859,""/"")"),7.0)</f>
        <v>7</v>
      </c>
      <c r="K6859" s="308">
        <f>IFERROR(__xludf.DUMMYFUNCTION("""COMPUTED_VALUE"""),5.0)</f>
        <v>5</v>
      </c>
      <c r="L6859" s="308">
        <f>IFERROR(__xludf.DUMMYFUNCTION("""COMPUTED_VALUE"""),2019.0)</f>
        <v>2019</v>
      </c>
      <c r="M6859" s="308" t="s">
        <v>27833</v>
      </c>
      <c r="N6859" s="308" t="s">
        <v>27834</v>
      </c>
      <c r="O6859" s="308"/>
      <c r="P6859" s="308" t="s">
        <v>27835</v>
      </c>
      <c r="Q6859" s="308" t="s">
        <v>39455</v>
      </c>
      <c r="R6859" s="308" t="s">
        <v>26929</v>
      </c>
      <c r="S6859" s="308" t="s">
        <v>81</v>
      </c>
      <c r="T6859" s="308" t="s">
        <v>75</v>
      </c>
      <c r="U6859" s="308" t="s">
        <v>27</v>
      </c>
      <c r="V6859" s="308"/>
    </row>
    <row r="6860">
      <c r="A6860" s="308"/>
      <c r="B6860" s="308"/>
      <c r="C6860" s="308" t="s">
        <v>27836</v>
      </c>
      <c r="D6860" s="308">
        <f>IFERROR(__xludf.DUMMYFUNCTION("SPLIT(C6860,""-"")"),6880.0)</f>
        <v>6880</v>
      </c>
      <c r="E6860" s="308" t="str">
        <f>IFERROR(__xludf.DUMMYFUNCTION("""COMPUTED_VALUE"""),"B")</f>
        <v>B</v>
      </c>
      <c r="F6860" s="315" t="s">
        <v>26</v>
      </c>
      <c r="G6860" s="308"/>
      <c r="H6860" s="308" t="s">
        <v>27837</v>
      </c>
      <c r="I6860" s="310">
        <v>43739.0</v>
      </c>
      <c r="J6860" s="319">
        <f>IFERROR(__xludf.DUMMYFUNCTION("SPLIT(I6860,""/"")"),1.0)</f>
        <v>1</v>
      </c>
      <c r="K6860" s="308">
        <f>IFERROR(__xludf.DUMMYFUNCTION("""COMPUTED_VALUE"""),10.0)</f>
        <v>10</v>
      </c>
      <c r="L6860" s="308">
        <f>IFERROR(__xludf.DUMMYFUNCTION("""COMPUTED_VALUE"""),2019.0)</f>
        <v>2019</v>
      </c>
      <c r="M6860" s="308" t="s">
        <v>27838</v>
      </c>
      <c r="N6860" s="308" t="s">
        <v>39456</v>
      </c>
      <c r="O6860" s="308"/>
      <c r="P6860" s="308" t="s">
        <v>136</v>
      </c>
      <c r="Q6860" s="308" t="s">
        <v>39455</v>
      </c>
      <c r="R6860" s="308" t="s">
        <v>26929</v>
      </c>
      <c r="S6860" s="315" t="s">
        <v>100</v>
      </c>
      <c r="T6860" s="308" t="s">
        <v>34208</v>
      </c>
      <c r="U6860" s="308" t="s">
        <v>27</v>
      </c>
      <c r="V6860" s="308"/>
    </row>
    <row r="6861">
      <c r="A6861" s="308"/>
      <c r="B6861" s="308"/>
      <c r="C6861" s="308" t="s">
        <v>27840</v>
      </c>
      <c r="D6861" s="308">
        <f>IFERROR(__xludf.DUMMYFUNCTION("SPLIT(C6861,""-"")"),6881.0)</f>
        <v>6881</v>
      </c>
      <c r="E6861" s="308" t="str">
        <f>IFERROR(__xludf.DUMMYFUNCTION("""COMPUTED_VALUE"""),"K")</f>
        <v>K</v>
      </c>
      <c r="F6861" s="309" t="s">
        <v>34</v>
      </c>
      <c r="G6861" s="308"/>
      <c r="H6861" s="308" t="s">
        <v>27841</v>
      </c>
      <c r="I6861" s="310">
        <v>42931.0</v>
      </c>
      <c r="J6861" s="319" t="str">
        <f>IFERROR(__xludf.DUMMYFUNCTION("SPLIT(I6861,""/"")"),"#REF!")</f>
        <v>#REF!</v>
      </c>
      <c r="K6861" s="308"/>
      <c r="L6861" s="308">
        <v>2017.0</v>
      </c>
      <c r="M6861" s="308" t="s">
        <v>27842</v>
      </c>
      <c r="N6861" s="308" t="s">
        <v>27843</v>
      </c>
      <c r="O6861" s="308"/>
      <c r="P6861" s="308" t="s">
        <v>39457</v>
      </c>
      <c r="Q6861" s="308" t="s">
        <v>39455</v>
      </c>
      <c r="R6861" s="308" t="s">
        <v>26929</v>
      </c>
      <c r="S6861" s="308" t="s">
        <v>81</v>
      </c>
      <c r="T6861" s="308" t="s">
        <v>34264</v>
      </c>
      <c r="U6861" s="308" t="s">
        <v>872</v>
      </c>
      <c r="V6861" s="308"/>
    </row>
    <row r="6862">
      <c r="A6862" s="308"/>
      <c r="B6862" s="308"/>
      <c r="C6862" s="308" t="s">
        <v>27845</v>
      </c>
      <c r="D6862" s="308">
        <f>IFERROR(__xludf.DUMMYFUNCTION("SPLIT(C6862,""-"")"),6882.0)</f>
        <v>6882</v>
      </c>
      <c r="E6862" s="308" t="str">
        <f>IFERROR(__xludf.DUMMYFUNCTION("""COMPUTED_VALUE"""),"B")</f>
        <v>B</v>
      </c>
      <c r="F6862" s="315" t="s">
        <v>26</v>
      </c>
      <c r="G6862" s="308"/>
      <c r="H6862" s="308" t="s">
        <v>39458</v>
      </c>
      <c r="I6862" s="310">
        <v>42048.0</v>
      </c>
      <c r="J6862" s="319">
        <f>IFERROR(__xludf.DUMMYFUNCTION("SPLIT(I6862,""/"")"),13.0)</f>
        <v>13</v>
      </c>
      <c r="K6862" s="308">
        <f>IFERROR(__xludf.DUMMYFUNCTION("""COMPUTED_VALUE"""),2.0)</f>
        <v>2</v>
      </c>
      <c r="L6862" s="308">
        <f>IFERROR(__xludf.DUMMYFUNCTION("""COMPUTED_VALUE"""),2015.0)</f>
        <v>2015</v>
      </c>
      <c r="M6862" s="308" t="s">
        <v>27847</v>
      </c>
      <c r="N6862" s="308" t="s">
        <v>27848</v>
      </c>
      <c r="O6862" s="308"/>
      <c r="P6862" s="308" t="s">
        <v>136</v>
      </c>
      <c r="Q6862" s="308" t="s">
        <v>39455</v>
      </c>
      <c r="R6862" s="308" t="s">
        <v>26929</v>
      </c>
      <c r="S6862" s="315" t="s">
        <v>100</v>
      </c>
      <c r="T6862" s="308" t="s">
        <v>34208</v>
      </c>
      <c r="U6862" s="308" t="s">
        <v>27</v>
      </c>
      <c r="V6862" s="308"/>
    </row>
    <row r="6863">
      <c r="A6863" s="308"/>
      <c r="B6863" s="308"/>
      <c r="C6863" s="308" t="s">
        <v>27849</v>
      </c>
      <c r="D6863" s="308">
        <f>IFERROR(__xludf.DUMMYFUNCTION("SPLIT(C6863,""-"")"),6883.0)</f>
        <v>6883</v>
      </c>
      <c r="E6863" s="308" t="str">
        <f>IFERROR(__xludf.DUMMYFUNCTION("""COMPUTED_VALUE"""),"K")</f>
        <v>K</v>
      </c>
      <c r="F6863" s="309" t="s">
        <v>34</v>
      </c>
      <c r="G6863" s="308"/>
      <c r="H6863" s="308" t="s">
        <v>14910</v>
      </c>
      <c r="I6863" s="310">
        <v>40206.0</v>
      </c>
      <c r="J6863" s="319">
        <f>IFERROR(__xludf.DUMMYFUNCTION("SPLIT(I6863,""/"")"),28.0)</f>
        <v>28</v>
      </c>
      <c r="K6863" s="308">
        <f>IFERROR(__xludf.DUMMYFUNCTION("""COMPUTED_VALUE"""),1.0)</f>
        <v>1</v>
      </c>
      <c r="L6863" s="308">
        <f>IFERROR(__xludf.DUMMYFUNCTION("""COMPUTED_VALUE"""),2010.0)</f>
        <v>2010</v>
      </c>
      <c r="M6863" s="308" t="s">
        <v>27850</v>
      </c>
      <c r="N6863" s="308" t="s">
        <v>27851</v>
      </c>
      <c r="O6863" s="308"/>
      <c r="P6863" s="308" t="s">
        <v>136</v>
      </c>
      <c r="Q6863" s="308" t="s">
        <v>39455</v>
      </c>
      <c r="R6863" s="308" t="s">
        <v>26929</v>
      </c>
      <c r="S6863" s="315" t="s">
        <v>100</v>
      </c>
      <c r="T6863" s="308" t="s">
        <v>34208</v>
      </c>
      <c r="U6863" s="308" t="s">
        <v>2989</v>
      </c>
      <c r="V6863" s="308"/>
    </row>
    <row r="6864">
      <c r="A6864" s="308"/>
      <c r="B6864" s="308"/>
      <c r="C6864" s="308" t="s">
        <v>27852</v>
      </c>
      <c r="D6864" s="308">
        <f>IFERROR(__xludf.DUMMYFUNCTION("SPLIT(C6864,""-"")"),6884.0)</f>
        <v>6884</v>
      </c>
      <c r="E6864" s="308" t="str">
        <f>IFERROR(__xludf.DUMMYFUNCTION("""COMPUTED_VALUE"""),"B")</f>
        <v>B</v>
      </c>
      <c r="F6864" s="315" t="s">
        <v>26</v>
      </c>
      <c r="G6864" s="308"/>
      <c r="H6864" s="308" t="s">
        <v>27853</v>
      </c>
      <c r="I6864" s="314">
        <v>43798.0</v>
      </c>
      <c r="J6864" s="319">
        <f>IFERROR(__xludf.DUMMYFUNCTION("SPLIT(I6864,""/"")"),29.0)</f>
        <v>29</v>
      </c>
      <c r="K6864" s="308">
        <f>IFERROR(__xludf.DUMMYFUNCTION("""COMPUTED_VALUE"""),11.0)</f>
        <v>11</v>
      </c>
      <c r="L6864" s="308">
        <f>IFERROR(__xludf.DUMMYFUNCTION("""COMPUTED_VALUE"""),2019.0)</f>
        <v>2019</v>
      </c>
      <c r="M6864" s="308" t="s">
        <v>39459</v>
      </c>
      <c r="N6864" s="308" t="s">
        <v>27394</v>
      </c>
      <c r="O6864" s="308"/>
      <c r="P6864" s="308" t="s">
        <v>39460</v>
      </c>
      <c r="Q6864" s="308" t="s">
        <v>39455</v>
      </c>
      <c r="R6864" s="308" t="s">
        <v>26929</v>
      </c>
      <c r="S6864" s="308" t="s">
        <v>81</v>
      </c>
      <c r="T6864" s="311" t="s">
        <v>96</v>
      </c>
      <c r="U6864" s="308" t="s">
        <v>27</v>
      </c>
      <c r="V6864" s="308"/>
    </row>
    <row r="6865">
      <c r="A6865" s="308"/>
      <c r="B6865" s="308"/>
      <c r="C6865" s="308" t="s">
        <v>27856</v>
      </c>
      <c r="D6865" s="308">
        <f>IFERROR(__xludf.DUMMYFUNCTION("SPLIT(C6865,""-"")"),6885.0)</f>
        <v>6885</v>
      </c>
      <c r="E6865" s="308" t="str">
        <f>IFERROR(__xludf.DUMMYFUNCTION("""COMPUTED_VALUE"""),"S")</f>
        <v>S</v>
      </c>
      <c r="F6865" s="312" t="s">
        <v>39</v>
      </c>
      <c r="G6865" s="308"/>
      <c r="H6865" s="308" t="s">
        <v>27857</v>
      </c>
      <c r="I6865" s="310">
        <v>43169.0</v>
      </c>
      <c r="J6865" s="319">
        <f>IFERROR(__xludf.DUMMYFUNCTION("SPLIT(I6865,""/"")"),10.0)</f>
        <v>10</v>
      </c>
      <c r="K6865" s="308">
        <f>IFERROR(__xludf.DUMMYFUNCTION("""COMPUTED_VALUE"""),3.0)</f>
        <v>3</v>
      </c>
      <c r="L6865" s="308">
        <f>IFERROR(__xludf.DUMMYFUNCTION("""COMPUTED_VALUE"""),2018.0)</f>
        <v>2018</v>
      </c>
      <c r="M6865" s="308" t="s">
        <v>27858</v>
      </c>
      <c r="N6865" s="308" t="s">
        <v>27859</v>
      </c>
      <c r="O6865" s="308"/>
      <c r="P6865" s="308" t="s">
        <v>39461</v>
      </c>
      <c r="Q6865" s="308" t="s">
        <v>39455</v>
      </c>
      <c r="R6865" s="308" t="s">
        <v>26929</v>
      </c>
      <c r="S6865" s="308" t="s">
        <v>81</v>
      </c>
      <c r="T6865" s="308" t="s">
        <v>73</v>
      </c>
      <c r="U6865" s="308" t="s">
        <v>166</v>
      </c>
      <c r="V6865" s="308"/>
    </row>
    <row r="6866">
      <c r="A6866" s="308"/>
      <c r="B6866" s="308"/>
      <c r="C6866" s="308" t="s">
        <v>27861</v>
      </c>
      <c r="D6866" s="308">
        <f>IFERROR(__xludf.DUMMYFUNCTION("SPLIT(C6866,""-"")"),6886.0)</f>
        <v>6886</v>
      </c>
      <c r="E6866" s="308" t="str">
        <f>IFERROR(__xludf.DUMMYFUNCTION("""COMPUTED_VALUE"""),"B")</f>
        <v>B</v>
      </c>
      <c r="F6866" s="315" t="s">
        <v>26</v>
      </c>
      <c r="G6866" s="308"/>
      <c r="H6866" s="308" t="s">
        <v>27862</v>
      </c>
      <c r="I6866" s="310">
        <v>43482.0</v>
      </c>
      <c r="J6866" s="319">
        <f>IFERROR(__xludf.DUMMYFUNCTION("SPLIT(I6866,""/"")"),17.0)</f>
        <v>17</v>
      </c>
      <c r="K6866" s="308">
        <f>IFERROR(__xludf.DUMMYFUNCTION("""COMPUTED_VALUE"""),1.0)</f>
        <v>1</v>
      </c>
      <c r="L6866" s="308">
        <f>IFERROR(__xludf.DUMMYFUNCTION("""COMPUTED_VALUE"""),2019.0)</f>
        <v>2019</v>
      </c>
      <c r="M6866" s="308" t="s">
        <v>27863</v>
      </c>
      <c r="N6866" s="308" t="s">
        <v>27864</v>
      </c>
      <c r="O6866" s="308"/>
      <c r="P6866" s="308" t="s">
        <v>27865</v>
      </c>
      <c r="Q6866" s="308" t="s">
        <v>39455</v>
      </c>
      <c r="R6866" s="308" t="s">
        <v>26929</v>
      </c>
      <c r="S6866" s="308" t="s">
        <v>49</v>
      </c>
      <c r="T6866" s="311" t="s">
        <v>51</v>
      </c>
      <c r="U6866" s="308" t="s">
        <v>27</v>
      </c>
      <c r="V6866" s="308"/>
    </row>
    <row r="6867">
      <c r="A6867" s="308"/>
      <c r="B6867" s="308"/>
      <c r="C6867" s="308" t="s">
        <v>27866</v>
      </c>
      <c r="D6867" s="308">
        <f>IFERROR(__xludf.DUMMYFUNCTION("SPLIT(C6867,""-"")"),6887.0)</f>
        <v>6887</v>
      </c>
      <c r="E6867" s="308" t="str">
        <f>IFERROR(__xludf.DUMMYFUNCTION("""COMPUTED_VALUE"""),"B")</f>
        <v>B</v>
      </c>
      <c r="F6867" s="315" t="s">
        <v>26</v>
      </c>
      <c r="G6867" s="308"/>
      <c r="H6867" s="308" t="s">
        <v>27867</v>
      </c>
      <c r="I6867" s="310">
        <v>41398.0</v>
      </c>
      <c r="J6867" s="319">
        <f>IFERROR(__xludf.DUMMYFUNCTION("SPLIT(I6867,""/"")"),4.0)</f>
        <v>4</v>
      </c>
      <c r="K6867" s="308">
        <f>IFERROR(__xludf.DUMMYFUNCTION("""COMPUTED_VALUE"""),5.0)</f>
        <v>5</v>
      </c>
      <c r="L6867" s="308">
        <f>IFERROR(__xludf.DUMMYFUNCTION("""COMPUTED_VALUE"""),2013.0)</f>
        <v>2013</v>
      </c>
      <c r="M6867" s="308" t="s">
        <v>27868</v>
      </c>
      <c r="N6867" s="308" t="s">
        <v>27869</v>
      </c>
      <c r="O6867" s="308"/>
      <c r="P6867" s="308" t="s">
        <v>136</v>
      </c>
      <c r="Q6867" s="308" t="s">
        <v>39455</v>
      </c>
      <c r="R6867" s="308" t="s">
        <v>26929</v>
      </c>
      <c r="S6867" s="315" t="s">
        <v>100</v>
      </c>
      <c r="T6867" s="308" t="s">
        <v>34208</v>
      </c>
      <c r="U6867" s="308" t="s">
        <v>27</v>
      </c>
      <c r="V6867" s="308"/>
    </row>
    <row r="6868">
      <c r="A6868" s="308"/>
      <c r="B6868" s="308"/>
      <c r="C6868" s="308" t="s">
        <v>27870</v>
      </c>
      <c r="D6868" s="308">
        <f>IFERROR(__xludf.DUMMYFUNCTION("SPLIT(C6868,""-"")"),6888.0)</f>
        <v>6888</v>
      </c>
      <c r="E6868" s="308" t="str">
        <f>IFERROR(__xludf.DUMMYFUNCTION("""COMPUTED_VALUE"""),"K")</f>
        <v>K</v>
      </c>
      <c r="F6868" s="309" t="s">
        <v>34</v>
      </c>
      <c r="G6868" s="308"/>
      <c r="H6868" s="308" t="s">
        <v>27871</v>
      </c>
      <c r="I6868" s="310">
        <v>40318.0</v>
      </c>
      <c r="J6868" s="319">
        <f>IFERROR(__xludf.DUMMYFUNCTION("SPLIT(I6868,""/"")"),20.0)</f>
        <v>20</v>
      </c>
      <c r="K6868" s="308">
        <f>IFERROR(__xludf.DUMMYFUNCTION("""COMPUTED_VALUE"""),5.0)</f>
        <v>5</v>
      </c>
      <c r="L6868" s="308">
        <f>IFERROR(__xludf.DUMMYFUNCTION("""COMPUTED_VALUE"""),2010.0)</f>
        <v>2010</v>
      </c>
      <c r="M6868" s="308" t="s">
        <v>27872</v>
      </c>
      <c r="N6868" s="308" t="s">
        <v>27873</v>
      </c>
      <c r="O6868" s="308"/>
      <c r="P6868" s="308" t="s">
        <v>136</v>
      </c>
      <c r="Q6868" s="308" t="s">
        <v>39455</v>
      </c>
      <c r="R6868" s="308" t="s">
        <v>26929</v>
      </c>
      <c r="S6868" s="315" t="s">
        <v>100</v>
      </c>
      <c r="T6868" s="308" t="s">
        <v>34208</v>
      </c>
      <c r="U6868" s="308" t="s">
        <v>13085</v>
      </c>
      <c r="V6868" s="308"/>
    </row>
    <row r="6869">
      <c r="A6869" s="308"/>
      <c r="B6869" s="308"/>
      <c r="C6869" s="308" t="s">
        <v>27874</v>
      </c>
      <c r="D6869" s="308">
        <f>IFERROR(__xludf.DUMMYFUNCTION("SPLIT(C6869,""-"")"),6889.0)</f>
        <v>6889</v>
      </c>
      <c r="E6869" s="308" t="str">
        <f>IFERROR(__xludf.DUMMYFUNCTION("""COMPUTED_VALUE"""),"K")</f>
        <v>K</v>
      </c>
      <c r="F6869" s="309" t="s">
        <v>34</v>
      </c>
      <c r="G6869" s="308"/>
      <c r="H6869" s="308" t="s">
        <v>27875</v>
      </c>
      <c r="I6869" s="310">
        <v>41821.0</v>
      </c>
      <c r="J6869" s="319">
        <f>IFERROR(__xludf.DUMMYFUNCTION("SPLIT(I6869,""/"")"),1.0)</f>
        <v>1</v>
      </c>
      <c r="K6869" s="308">
        <f>IFERROR(__xludf.DUMMYFUNCTION("""COMPUTED_VALUE"""),7.0)</f>
        <v>7</v>
      </c>
      <c r="L6869" s="308">
        <f>IFERROR(__xludf.DUMMYFUNCTION("""COMPUTED_VALUE"""),2014.0)</f>
        <v>2014</v>
      </c>
      <c r="M6869" s="308" t="s">
        <v>27876</v>
      </c>
      <c r="N6869" s="308" t="s">
        <v>27877</v>
      </c>
      <c r="O6869" s="308"/>
      <c r="P6869" s="308" t="s">
        <v>136</v>
      </c>
      <c r="Q6869" s="308" t="s">
        <v>39455</v>
      </c>
      <c r="R6869" s="308" t="s">
        <v>26929</v>
      </c>
      <c r="S6869" s="315" t="s">
        <v>100</v>
      </c>
      <c r="T6869" s="308" t="s">
        <v>34208</v>
      </c>
      <c r="U6869" s="308" t="s">
        <v>125</v>
      </c>
      <c r="V6869" s="308"/>
    </row>
    <row r="6870">
      <c r="A6870" s="308"/>
      <c r="B6870" s="308"/>
      <c r="C6870" s="308" t="s">
        <v>27878</v>
      </c>
      <c r="D6870" s="308">
        <f>IFERROR(__xludf.DUMMYFUNCTION("SPLIT(C6870,""-"")"),6890.0)</f>
        <v>6890</v>
      </c>
      <c r="E6870" s="308" t="str">
        <f>IFERROR(__xludf.DUMMYFUNCTION("""COMPUTED_VALUE"""),"B")</f>
        <v>B</v>
      </c>
      <c r="F6870" s="315" t="s">
        <v>26</v>
      </c>
      <c r="G6870" s="308"/>
      <c r="H6870" s="308" t="s">
        <v>27879</v>
      </c>
      <c r="I6870" s="310">
        <v>44075.0</v>
      </c>
      <c r="J6870" s="319">
        <f>IFERROR(__xludf.DUMMYFUNCTION("SPLIT(I6870,""/"")"),1.0)</f>
        <v>1</v>
      </c>
      <c r="K6870" s="308">
        <f>IFERROR(__xludf.DUMMYFUNCTION("""COMPUTED_VALUE"""),9.0)</f>
        <v>9</v>
      </c>
      <c r="L6870" s="308">
        <f>IFERROR(__xludf.DUMMYFUNCTION("""COMPUTED_VALUE"""),2020.0)</f>
        <v>2020</v>
      </c>
      <c r="M6870" s="308" t="s">
        <v>27880</v>
      </c>
      <c r="N6870" s="308" t="s">
        <v>27881</v>
      </c>
      <c r="O6870" s="308"/>
      <c r="P6870" s="308" t="s">
        <v>27882</v>
      </c>
      <c r="Q6870" s="308" t="s">
        <v>39455</v>
      </c>
      <c r="R6870" s="308" t="s">
        <v>26929</v>
      </c>
      <c r="S6870" s="308" t="s">
        <v>49</v>
      </c>
      <c r="T6870" s="308" t="s">
        <v>51</v>
      </c>
      <c r="U6870" s="308" t="s">
        <v>27</v>
      </c>
      <c r="V6870" s="308"/>
    </row>
    <row r="6871">
      <c r="A6871" s="308"/>
      <c r="B6871" s="308"/>
      <c r="C6871" s="308" t="s">
        <v>27883</v>
      </c>
      <c r="D6871" s="308">
        <f>IFERROR(__xludf.DUMMYFUNCTION("SPLIT(C6871,""-"")"),6891.0)</f>
        <v>6891</v>
      </c>
      <c r="E6871" s="308" t="str">
        <f>IFERROR(__xludf.DUMMYFUNCTION("""COMPUTED_VALUE"""),"K")</f>
        <v>K</v>
      </c>
      <c r="F6871" s="309" t="s">
        <v>34</v>
      </c>
      <c r="G6871" s="308"/>
      <c r="H6871" s="308" t="s">
        <v>27884</v>
      </c>
      <c r="I6871" s="310">
        <v>42839.0</v>
      </c>
      <c r="J6871" s="319" t="str">
        <f>IFERROR(__xludf.DUMMYFUNCTION("SPLIT(I6871,""/"")"),"#REF!")</f>
        <v>#REF!</v>
      </c>
      <c r="K6871" s="308"/>
      <c r="L6871" s="308">
        <v>2017.0</v>
      </c>
      <c r="M6871" s="308" t="s">
        <v>27885</v>
      </c>
      <c r="N6871" s="308" t="s">
        <v>27886</v>
      </c>
      <c r="O6871" s="308"/>
      <c r="P6871" s="308" t="s">
        <v>136</v>
      </c>
      <c r="Q6871" s="308" t="s">
        <v>39462</v>
      </c>
      <c r="R6871" s="308" t="s">
        <v>2743</v>
      </c>
      <c r="S6871" s="315" t="s">
        <v>100</v>
      </c>
      <c r="T6871" s="308" t="s">
        <v>34208</v>
      </c>
      <c r="U6871" s="308" t="s">
        <v>27887</v>
      </c>
      <c r="V6871" s="308"/>
    </row>
    <row r="6872">
      <c r="A6872" s="308"/>
      <c r="B6872" s="308"/>
      <c r="C6872" s="308" t="s">
        <v>27888</v>
      </c>
      <c r="D6872" s="308">
        <f>IFERROR(__xludf.DUMMYFUNCTION("SPLIT(C6872,""-"")"),6892.0)</f>
        <v>6892</v>
      </c>
      <c r="E6872" s="308" t="str">
        <f>IFERROR(__xludf.DUMMYFUNCTION("""COMPUTED_VALUE"""),"P")</f>
        <v>P</v>
      </c>
      <c r="F6872" s="312" t="s">
        <v>37</v>
      </c>
      <c r="G6872" s="308"/>
      <c r="H6872" s="308" t="s">
        <v>27889</v>
      </c>
      <c r="I6872" s="314">
        <v>44165.0</v>
      </c>
      <c r="J6872" s="319">
        <f>IFERROR(__xludf.DUMMYFUNCTION("SPLIT(I6872,""/"")"),30.0)</f>
        <v>30</v>
      </c>
      <c r="K6872" s="308">
        <f>IFERROR(__xludf.DUMMYFUNCTION("""COMPUTED_VALUE"""),11.0)</f>
        <v>11</v>
      </c>
      <c r="L6872" s="308">
        <f>IFERROR(__xludf.DUMMYFUNCTION("""COMPUTED_VALUE"""),2020.0)</f>
        <v>2020</v>
      </c>
      <c r="M6872" s="308" t="s">
        <v>27890</v>
      </c>
      <c r="N6872" s="308" t="s">
        <v>27891</v>
      </c>
      <c r="O6872" s="308"/>
      <c r="P6872" s="308" t="s">
        <v>39463</v>
      </c>
      <c r="Q6872" s="308" t="s">
        <v>39464</v>
      </c>
      <c r="R6872" s="308" t="s">
        <v>2743</v>
      </c>
      <c r="S6872" s="308" t="s">
        <v>81</v>
      </c>
      <c r="T6872" s="308" t="s">
        <v>73</v>
      </c>
      <c r="U6872" s="308" t="s">
        <v>20995</v>
      </c>
      <c r="V6872" s="308"/>
    </row>
    <row r="6873">
      <c r="A6873" s="308"/>
      <c r="B6873" s="308"/>
      <c r="C6873" s="308" t="s">
        <v>27893</v>
      </c>
      <c r="D6873" s="308">
        <f>IFERROR(__xludf.DUMMYFUNCTION("SPLIT(C6873,""-"")"),6893.0)</f>
        <v>6893</v>
      </c>
      <c r="E6873" s="308" t="str">
        <f>IFERROR(__xludf.DUMMYFUNCTION("""COMPUTED_VALUE"""),"S")</f>
        <v>S</v>
      </c>
      <c r="F6873" s="312" t="s">
        <v>39</v>
      </c>
      <c r="G6873" s="308"/>
      <c r="H6873" s="308" t="s">
        <v>27894</v>
      </c>
      <c r="I6873" s="310">
        <v>42029.0</v>
      </c>
      <c r="J6873" s="319">
        <f>IFERROR(__xludf.DUMMYFUNCTION("SPLIT(I6873,""/"")"),25.0)</f>
        <v>25</v>
      </c>
      <c r="K6873" s="308">
        <f>IFERROR(__xludf.DUMMYFUNCTION("""COMPUTED_VALUE"""),1.0)</f>
        <v>1</v>
      </c>
      <c r="L6873" s="308">
        <f>IFERROR(__xludf.DUMMYFUNCTION("""COMPUTED_VALUE"""),2015.0)</f>
        <v>2015</v>
      </c>
      <c r="M6873" s="308" t="s">
        <v>27895</v>
      </c>
      <c r="N6873" s="308" t="s">
        <v>27394</v>
      </c>
      <c r="O6873" s="308"/>
      <c r="P6873" s="308"/>
      <c r="Q6873" s="308" t="s">
        <v>39464</v>
      </c>
      <c r="R6873" s="308" t="s">
        <v>2743</v>
      </c>
      <c r="S6873" s="308" t="s">
        <v>79</v>
      </c>
      <c r="T6873" s="308" t="s">
        <v>79</v>
      </c>
      <c r="U6873" s="308" t="s">
        <v>166</v>
      </c>
      <c r="V6873" s="308"/>
    </row>
    <row r="6874">
      <c r="A6874" s="308"/>
      <c r="B6874" s="308"/>
      <c r="C6874" s="308" t="s">
        <v>27896</v>
      </c>
      <c r="D6874" s="308">
        <f>IFERROR(__xludf.DUMMYFUNCTION("SPLIT(C6874,""-"")"),6894.0)</f>
        <v>6894</v>
      </c>
      <c r="E6874" s="308" t="str">
        <f>IFERROR(__xludf.DUMMYFUNCTION("""COMPUTED_VALUE"""),"S")</f>
        <v>S</v>
      </c>
      <c r="F6874" s="312" t="s">
        <v>39</v>
      </c>
      <c r="G6874" s="308"/>
      <c r="H6874" s="308" t="s">
        <v>27897</v>
      </c>
      <c r="I6874" s="310">
        <v>44059.0</v>
      </c>
      <c r="J6874" s="319">
        <f>IFERROR(__xludf.DUMMYFUNCTION("SPLIT(I6874,""/"")"),16.0)</f>
        <v>16</v>
      </c>
      <c r="K6874" s="308">
        <f>IFERROR(__xludf.DUMMYFUNCTION("""COMPUTED_VALUE"""),8.0)</f>
        <v>8</v>
      </c>
      <c r="L6874" s="308">
        <f>IFERROR(__xludf.DUMMYFUNCTION("""COMPUTED_VALUE"""),2020.0)</f>
        <v>2020</v>
      </c>
      <c r="M6874" s="308" t="s">
        <v>27898</v>
      </c>
      <c r="N6874" s="308" t="s">
        <v>27899</v>
      </c>
      <c r="O6874" s="308"/>
      <c r="P6874" s="308" t="s">
        <v>39465</v>
      </c>
      <c r="Q6874" s="308" t="s">
        <v>39464</v>
      </c>
      <c r="R6874" s="308" t="s">
        <v>2743</v>
      </c>
      <c r="S6874" s="308" t="s">
        <v>81</v>
      </c>
      <c r="T6874" s="308" t="s">
        <v>73</v>
      </c>
      <c r="U6874" s="308" t="s">
        <v>166</v>
      </c>
      <c r="V6874" s="308"/>
    </row>
    <row r="6875">
      <c r="A6875" s="308"/>
      <c r="B6875" s="308"/>
      <c r="C6875" s="308" t="s">
        <v>27901</v>
      </c>
      <c r="D6875" s="308">
        <f>IFERROR(__xludf.DUMMYFUNCTION("SPLIT(C6875,""-"")"),6895.0)</f>
        <v>6895</v>
      </c>
      <c r="E6875" s="308" t="str">
        <f>IFERROR(__xludf.DUMMYFUNCTION("""COMPUTED_VALUE"""),"S")</f>
        <v>S</v>
      </c>
      <c r="F6875" s="312" t="s">
        <v>39</v>
      </c>
      <c r="G6875" s="308"/>
      <c r="H6875" s="308" t="s">
        <v>27902</v>
      </c>
      <c r="I6875" s="310">
        <v>44059.0</v>
      </c>
      <c r="J6875" s="319">
        <f>IFERROR(__xludf.DUMMYFUNCTION("SPLIT(I6875,""/"")"),16.0)</f>
        <v>16</v>
      </c>
      <c r="K6875" s="308">
        <f>IFERROR(__xludf.DUMMYFUNCTION("""COMPUTED_VALUE"""),8.0)</f>
        <v>8</v>
      </c>
      <c r="L6875" s="308">
        <f>IFERROR(__xludf.DUMMYFUNCTION("""COMPUTED_VALUE"""),2020.0)</f>
        <v>2020</v>
      </c>
      <c r="M6875" s="308" t="s">
        <v>27898</v>
      </c>
      <c r="N6875" s="308" t="s">
        <v>27903</v>
      </c>
      <c r="O6875" s="308"/>
      <c r="P6875" s="308" t="s">
        <v>39466</v>
      </c>
      <c r="Q6875" s="308" t="s">
        <v>39464</v>
      </c>
      <c r="R6875" s="308" t="s">
        <v>2743</v>
      </c>
      <c r="S6875" s="308" t="s">
        <v>81</v>
      </c>
      <c r="T6875" s="308" t="s">
        <v>75</v>
      </c>
      <c r="U6875" s="308" t="s">
        <v>166</v>
      </c>
      <c r="V6875" s="308"/>
    </row>
    <row r="6876">
      <c r="A6876" s="308"/>
      <c r="B6876" s="308"/>
      <c r="C6876" s="308" t="s">
        <v>27905</v>
      </c>
      <c r="D6876" s="308">
        <f>IFERROR(__xludf.DUMMYFUNCTION("SPLIT(C6876,""-"")"),6896.0)</f>
        <v>6896</v>
      </c>
      <c r="E6876" s="308" t="str">
        <f>IFERROR(__xludf.DUMMYFUNCTION("""COMPUTED_VALUE"""),"S")</f>
        <v>S</v>
      </c>
      <c r="F6876" s="312" t="s">
        <v>39</v>
      </c>
      <c r="G6876" s="308"/>
      <c r="H6876" s="308" t="s">
        <v>27906</v>
      </c>
      <c r="I6876" s="314">
        <v>44158.0</v>
      </c>
      <c r="J6876" s="319">
        <f>IFERROR(__xludf.DUMMYFUNCTION("SPLIT(I6876,""/"")"),23.0)</f>
        <v>23</v>
      </c>
      <c r="K6876" s="308">
        <f>IFERROR(__xludf.DUMMYFUNCTION("""COMPUTED_VALUE"""),11.0)</f>
        <v>11</v>
      </c>
      <c r="L6876" s="308">
        <f>IFERROR(__xludf.DUMMYFUNCTION("""COMPUTED_VALUE"""),2020.0)</f>
        <v>2020</v>
      </c>
      <c r="M6876" s="308" t="s">
        <v>27907</v>
      </c>
      <c r="N6876" s="308" t="s">
        <v>27908</v>
      </c>
      <c r="O6876" s="308"/>
      <c r="P6876" s="308" t="s">
        <v>39467</v>
      </c>
      <c r="Q6876" s="308" t="s">
        <v>39464</v>
      </c>
      <c r="R6876" s="308" t="s">
        <v>2743</v>
      </c>
      <c r="S6876" s="308" t="s">
        <v>81</v>
      </c>
      <c r="T6876" s="311" t="s">
        <v>96</v>
      </c>
      <c r="U6876" s="308" t="s">
        <v>166</v>
      </c>
      <c r="V6876" s="308"/>
    </row>
    <row r="6877">
      <c r="A6877" s="308"/>
      <c r="B6877" s="308"/>
      <c r="C6877" s="308" t="s">
        <v>27910</v>
      </c>
      <c r="D6877" s="308">
        <f>IFERROR(__xludf.DUMMYFUNCTION("SPLIT(C6877,""-"")"),6897.0)</f>
        <v>6897</v>
      </c>
      <c r="E6877" s="308" t="str">
        <f>IFERROR(__xludf.DUMMYFUNCTION("""COMPUTED_VALUE"""),"K")</f>
        <v>K</v>
      </c>
      <c r="F6877" s="309" t="s">
        <v>34</v>
      </c>
      <c r="G6877" s="308"/>
      <c r="H6877" s="308" t="s">
        <v>27911</v>
      </c>
      <c r="I6877" s="310">
        <v>42478.0</v>
      </c>
      <c r="J6877" s="319">
        <f>IFERROR(__xludf.DUMMYFUNCTION("SPLIT(I6877,""/"")"),18.0)</f>
        <v>18</v>
      </c>
      <c r="K6877" s="308">
        <f>IFERROR(__xludf.DUMMYFUNCTION("""COMPUTED_VALUE"""),4.0)</f>
        <v>4</v>
      </c>
      <c r="L6877" s="308">
        <f>IFERROR(__xludf.DUMMYFUNCTION("""COMPUTED_VALUE"""),2016.0)</f>
        <v>2016</v>
      </c>
      <c r="M6877" s="308" t="s">
        <v>27912</v>
      </c>
      <c r="N6877" s="308" t="s">
        <v>27913</v>
      </c>
      <c r="O6877" s="308"/>
      <c r="P6877" s="308" t="s">
        <v>136</v>
      </c>
      <c r="Q6877" s="308" t="s">
        <v>39464</v>
      </c>
      <c r="R6877" s="308" t="s">
        <v>2743</v>
      </c>
      <c r="S6877" s="315" t="s">
        <v>100</v>
      </c>
      <c r="T6877" s="308" t="s">
        <v>34208</v>
      </c>
      <c r="U6877" s="308" t="s">
        <v>27914</v>
      </c>
      <c r="V6877" s="308"/>
    </row>
    <row r="6878">
      <c r="A6878" s="308"/>
      <c r="B6878" s="308"/>
      <c r="C6878" s="308" t="s">
        <v>27915</v>
      </c>
      <c r="D6878" s="308">
        <f>IFERROR(__xludf.DUMMYFUNCTION("SPLIT(C6878,""-"")"),6898.0)</f>
        <v>6898</v>
      </c>
      <c r="E6878" s="308" t="str">
        <f>IFERROR(__xludf.DUMMYFUNCTION("""COMPUTED_VALUE"""),"S")</f>
        <v>S</v>
      </c>
      <c r="F6878" s="312" t="s">
        <v>39</v>
      </c>
      <c r="G6878" s="308"/>
      <c r="H6878" s="308" t="s">
        <v>27916</v>
      </c>
      <c r="I6878" s="310">
        <v>43861.0</v>
      </c>
      <c r="J6878" s="319">
        <f>IFERROR(__xludf.DUMMYFUNCTION("SPLIT(I6878,""/"")"),31.0)</f>
        <v>31</v>
      </c>
      <c r="K6878" s="308">
        <f>IFERROR(__xludf.DUMMYFUNCTION("""COMPUTED_VALUE"""),1.0)</f>
        <v>1</v>
      </c>
      <c r="L6878" s="308">
        <f>IFERROR(__xludf.DUMMYFUNCTION("""COMPUTED_VALUE"""),2020.0)</f>
        <v>2020</v>
      </c>
      <c r="M6878" s="308" t="s">
        <v>27917</v>
      </c>
      <c r="N6878" s="308" t="s">
        <v>27918</v>
      </c>
      <c r="O6878" s="308"/>
      <c r="P6878" s="308" t="s">
        <v>27919</v>
      </c>
      <c r="Q6878" s="308" t="s">
        <v>39464</v>
      </c>
      <c r="R6878" s="308" t="s">
        <v>2743</v>
      </c>
      <c r="S6878" s="308" t="s">
        <v>81</v>
      </c>
      <c r="T6878" s="308" t="s">
        <v>75</v>
      </c>
      <c r="U6878" s="308" t="s">
        <v>166</v>
      </c>
      <c r="V6878" s="308"/>
    </row>
    <row r="6879">
      <c r="A6879" s="308"/>
      <c r="B6879" s="308"/>
      <c r="C6879" s="308" t="s">
        <v>27920</v>
      </c>
      <c r="D6879" s="308">
        <f>IFERROR(__xludf.DUMMYFUNCTION("SPLIT(C6879,""-"")"),6899.0)</f>
        <v>6899</v>
      </c>
      <c r="E6879" s="308" t="str">
        <f>IFERROR(__xludf.DUMMYFUNCTION("""COMPUTED_VALUE"""),"I")</f>
        <v>I</v>
      </c>
      <c r="F6879" s="309" t="s">
        <v>31</v>
      </c>
      <c r="G6879" s="308"/>
      <c r="H6879" s="308" t="s">
        <v>27921</v>
      </c>
      <c r="I6879" s="310">
        <v>44174.0</v>
      </c>
      <c r="J6879" s="319">
        <f>IFERROR(__xludf.DUMMYFUNCTION("SPLIT(I6879,""/"")"),9.0)</f>
        <v>9</v>
      </c>
      <c r="K6879" s="308">
        <f>IFERROR(__xludf.DUMMYFUNCTION("""COMPUTED_VALUE"""),12.0)</f>
        <v>12</v>
      </c>
      <c r="L6879" s="308">
        <f>IFERROR(__xludf.DUMMYFUNCTION("""COMPUTED_VALUE"""),2020.0)</f>
        <v>2020</v>
      </c>
      <c r="M6879" s="308" t="s">
        <v>27922</v>
      </c>
      <c r="N6879" s="308" t="s">
        <v>27923</v>
      </c>
      <c r="O6879" s="308" t="s">
        <v>27924</v>
      </c>
      <c r="P6879" s="308" t="s">
        <v>39468</v>
      </c>
      <c r="Q6879" s="308" t="s">
        <v>39464</v>
      </c>
      <c r="R6879" s="308" t="s">
        <v>2743</v>
      </c>
      <c r="S6879" s="308" t="s">
        <v>81</v>
      </c>
      <c r="T6879" s="311" t="s">
        <v>51</v>
      </c>
      <c r="U6879" s="308" t="s">
        <v>31</v>
      </c>
      <c r="V6879" s="308"/>
    </row>
    <row r="6880">
      <c r="A6880" s="308"/>
      <c r="B6880" s="308"/>
      <c r="C6880" s="308" t="s">
        <v>27926</v>
      </c>
      <c r="D6880" s="308">
        <f>IFERROR(__xludf.DUMMYFUNCTION("SPLIT(C6880,""-"")"),6900.0)</f>
        <v>6900</v>
      </c>
      <c r="E6880" s="308" t="str">
        <f>IFERROR(__xludf.DUMMYFUNCTION("""COMPUTED_VALUE"""),"B")</f>
        <v>B</v>
      </c>
      <c r="F6880" s="315" t="s">
        <v>26</v>
      </c>
      <c r="G6880" s="308"/>
      <c r="H6880" s="308" t="s">
        <v>27927</v>
      </c>
      <c r="I6880" s="310">
        <v>44103.0</v>
      </c>
      <c r="J6880" s="319">
        <f>IFERROR(__xludf.DUMMYFUNCTION("SPLIT(I6880,""/"")"),29.0)</f>
        <v>29</v>
      </c>
      <c r="K6880" s="308">
        <f>IFERROR(__xludf.DUMMYFUNCTION("""COMPUTED_VALUE"""),9.0)</f>
        <v>9</v>
      </c>
      <c r="L6880" s="308">
        <f>IFERROR(__xludf.DUMMYFUNCTION("""COMPUTED_VALUE"""),2020.0)</f>
        <v>2020</v>
      </c>
      <c r="M6880" s="308" t="s">
        <v>27928</v>
      </c>
      <c r="N6880" s="308" t="s">
        <v>27929</v>
      </c>
      <c r="O6880" s="308"/>
      <c r="P6880" s="308" t="s">
        <v>39469</v>
      </c>
      <c r="Q6880" s="308" t="s">
        <v>39470</v>
      </c>
      <c r="R6880" s="308" t="s">
        <v>20958</v>
      </c>
      <c r="S6880" s="308" t="s">
        <v>81</v>
      </c>
      <c r="T6880" s="311" t="s">
        <v>96</v>
      </c>
      <c r="U6880" s="308" t="s">
        <v>27</v>
      </c>
      <c r="V6880" s="308"/>
    </row>
    <row r="6881">
      <c r="A6881" s="308"/>
      <c r="B6881" s="308"/>
      <c r="C6881" s="308" t="s">
        <v>27931</v>
      </c>
      <c r="D6881" s="308">
        <f>IFERROR(__xludf.DUMMYFUNCTION("SPLIT(C6881,""-"")"),6901.0)</f>
        <v>6901</v>
      </c>
      <c r="E6881" s="308" t="str">
        <f>IFERROR(__xludf.DUMMYFUNCTION("""COMPUTED_VALUE"""),"B")</f>
        <v>B</v>
      </c>
      <c r="F6881" s="315" t="s">
        <v>26</v>
      </c>
      <c r="G6881" s="308"/>
      <c r="H6881" s="308" t="s">
        <v>27932</v>
      </c>
      <c r="I6881" s="316" t="s">
        <v>407</v>
      </c>
      <c r="J6881" s="319"/>
      <c r="K6881" s="308"/>
      <c r="L6881" s="311" t="s">
        <v>79</v>
      </c>
      <c r="M6881" s="308" t="s">
        <v>27933</v>
      </c>
      <c r="N6881" s="308" t="s">
        <v>439</v>
      </c>
      <c r="O6881" s="308"/>
      <c r="P6881" s="308" t="s">
        <v>136</v>
      </c>
      <c r="Q6881" s="308" t="s">
        <v>39470</v>
      </c>
      <c r="R6881" s="308" t="s">
        <v>20958</v>
      </c>
      <c r="S6881" s="315" t="s">
        <v>100</v>
      </c>
      <c r="T6881" s="308" t="s">
        <v>34208</v>
      </c>
      <c r="U6881" s="308" t="s">
        <v>27</v>
      </c>
      <c r="V6881" s="308"/>
    </row>
    <row r="6882">
      <c r="A6882" s="308"/>
      <c r="B6882" s="308"/>
      <c r="C6882" s="308" t="s">
        <v>27934</v>
      </c>
      <c r="D6882" s="308">
        <f>IFERROR(__xludf.DUMMYFUNCTION("SPLIT(C6882,""-"")"),6902.0)</f>
        <v>6902</v>
      </c>
      <c r="E6882" s="308" t="str">
        <f>IFERROR(__xludf.DUMMYFUNCTION("""COMPUTED_VALUE"""),"B")</f>
        <v>B</v>
      </c>
      <c r="F6882" s="315" t="s">
        <v>26</v>
      </c>
      <c r="G6882" s="308"/>
      <c r="H6882" s="308" t="s">
        <v>27935</v>
      </c>
      <c r="I6882" s="310">
        <v>44107.0</v>
      </c>
      <c r="J6882" s="319">
        <f>IFERROR(__xludf.DUMMYFUNCTION("SPLIT(I6882,""/"")"),3.0)</f>
        <v>3</v>
      </c>
      <c r="K6882" s="308">
        <f>IFERROR(__xludf.DUMMYFUNCTION("""COMPUTED_VALUE"""),10.0)</f>
        <v>10</v>
      </c>
      <c r="L6882" s="308">
        <f>IFERROR(__xludf.DUMMYFUNCTION("""COMPUTED_VALUE"""),2020.0)</f>
        <v>2020</v>
      </c>
      <c r="M6882" s="308" t="s">
        <v>27936</v>
      </c>
      <c r="N6882" s="308" t="s">
        <v>27937</v>
      </c>
      <c r="O6882" s="308"/>
      <c r="P6882" s="308" t="s">
        <v>27938</v>
      </c>
      <c r="Q6882" s="308" t="s">
        <v>39471</v>
      </c>
      <c r="R6882" s="308" t="s">
        <v>16185</v>
      </c>
      <c r="S6882" s="308" t="s">
        <v>81</v>
      </c>
      <c r="T6882" s="308" t="s">
        <v>75</v>
      </c>
      <c r="U6882" s="308" t="s">
        <v>27</v>
      </c>
      <c r="V6882" s="308"/>
    </row>
    <row r="6883">
      <c r="A6883" s="308"/>
      <c r="B6883" s="308"/>
      <c r="C6883" s="308" t="s">
        <v>27939</v>
      </c>
      <c r="D6883" s="308">
        <f>IFERROR(__xludf.DUMMYFUNCTION("SPLIT(C6883,""-"")"),6903.0)</f>
        <v>6903</v>
      </c>
      <c r="E6883" s="308" t="str">
        <f>IFERROR(__xludf.DUMMYFUNCTION("""COMPUTED_VALUE"""),"B")</f>
        <v>B</v>
      </c>
      <c r="F6883" s="315" t="s">
        <v>26</v>
      </c>
      <c r="G6883" s="308"/>
      <c r="H6883" s="308" t="s">
        <v>27940</v>
      </c>
      <c r="I6883" s="310">
        <v>43660.0</v>
      </c>
      <c r="J6883" s="319">
        <f>IFERROR(__xludf.DUMMYFUNCTION("SPLIT(I6883,""/"")"),14.0)</f>
        <v>14</v>
      </c>
      <c r="K6883" s="308">
        <f>IFERROR(__xludf.DUMMYFUNCTION("""COMPUTED_VALUE"""),7.0)</f>
        <v>7</v>
      </c>
      <c r="L6883" s="308">
        <f>IFERROR(__xludf.DUMMYFUNCTION("""COMPUTED_VALUE"""),2019.0)</f>
        <v>2019</v>
      </c>
      <c r="M6883" s="308" t="s">
        <v>27941</v>
      </c>
      <c r="N6883" s="308" t="s">
        <v>27942</v>
      </c>
      <c r="O6883" s="308"/>
      <c r="P6883" s="308" t="s">
        <v>136</v>
      </c>
      <c r="Q6883" s="308" t="s">
        <v>39471</v>
      </c>
      <c r="R6883" s="308" t="s">
        <v>16185</v>
      </c>
      <c r="S6883" s="315" t="s">
        <v>100</v>
      </c>
      <c r="T6883" s="308" t="s">
        <v>34208</v>
      </c>
      <c r="U6883" s="308" t="s">
        <v>27</v>
      </c>
      <c r="V6883" s="308"/>
    </row>
    <row r="6884">
      <c r="A6884" s="308"/>
      <c r="B6884" s="308"/>
      <c r="C6884" s="308" t="s">
        <v>27943</v>
      </c>
      <c r="D6884" s="308">
        <f>IFERROR(__xludf.DUMMYFUNCTION("SPLIT(C6884,""-"")"),6904.0)</f>
        <v>6904</v>
      </c>
      <c r="E6884" s="308" t="str">
        <f>IFERROR(__xludf.DUMMYFUNCTION("""COMPUTED_VALUE"""),"B")</f>
        <v>B</v>
      </c>
      <c r="F6884" s="315" t="s">
        <v>26</v>
      </c>
      <c r="G6884" s="308"/>
      <c r="H6884" s="308" t="s">
        <v>27944</v>
      </c>
      <c r="I6884" s="310">
        <v>43733.0</v>
      </c>
      <c r="J6884" s="319">
        <f>IFERROR(__xludf.DUMMYFUNCTION("SPLIT(I6884,""/"")"),25.0)</f>
        <v>25</v>
      </c>
      <c r="K6884" s="308">
        <f>IFERROR(__xludf.DUMMYFUNCTION("""COMPUTED_VALUE"""),9.0)</f>
        <v>9</v>
      </c>
      <c r="L6884" s="308">
        <f>IFERROR(__xludf.DUMMYFUNCTION("""COMPUTED_VALUE"""),2019.0)</f>
        <v>2019</v>
      </c>
      <c r="M6884" s="308" t="s">
        <v>27945</v>
      </c>
      <c r="N6884" s="308" t="s">
        <v>439</v>
      </c>
      <c r="O6884" s="308"/>
      <c r="P6884" s="308" t="s">
        <v>27946</v>
      </c>
      <c r="Q6884" s="308" t="s">
        <v>39471</v>
      </c>
      <c r="R6884" s="308" t="s">
        <v>16185</v>
      </c>
      <c r="S6884" s="308" t="s">
        <v>81</v>
      </c>
      <c r="T6884" s="311" t="s">
        <v>57</v>
      </c>
      <c r="U6884" s="308" t="s">
        <v>27</v>
      </c>
      <c r="V6884" s="308"/>
    </row>
    <row r="6885">
      <c r="A6885" s="308"/>
      <c r="B6885" s="308"/>
      <c r="C6885" s="308" t="s">
        <v>27947</v>
      </c>
      <c r="D6885" s="308">
        <f>IFERROR(__xludf.DUMMYFUNCTION("SPLIT(C6885,""-"")"),6905.0)</f>
        <v>6905</v>
      </c>
      <c r="E6885" s="308" t="str">
        <f>IFERROR(__xludf.DUMMYFUNCTION("""COMPUTED_VALUE"""),"B")</f>
        <v>B</v>
      </c>
      <c r="F6885" s="315" t="s">
        <v>26</v>
      </c>
      <c r="G6885" s="308"/>
      <c r="H6885" s="308" t="s">
        <v>27948</v>
      </c>
      <c r="I6885" s="310">
        <v>43733.0</v>
      </c>
      <c r="J6885" s="319">
        <f>IFERROR(__xludf.DUMMYFUNCTION("SPLIT(I6885,""/"")"),25.0)</f>
        <v>25</v>
      </c>
      <c r="K6885" s="308">
        <f>IFERROR(__xludf.DUMMYFUNCTION("""COMPUTED_VALUE"""),9.0)</f>
        <v>9</v>
      </c>
      <c r="L6885" s="308">
        <f>IFERROR(__xludf.DUMMYFUNCTION("""COMPUTED_VALUE"""),2019.0)</f>
        <v>2019</v>
      </c>
      <c r="M6885" s="308" t="s">
        <v>27945</v>
      </c>
      <c r="N6885" s="308" t="s">
        <v>439</v>
      </c>
      <c r="O6885" s="308"/>
      <c r="P6885" s="308" t="s">
        <v>39472</v>
      </c>
      <c r="Q6885" s="308" t="s">
        <v>39471</v>
      </c>
      <c r="R6885" s="308" t="s">
        <v>16185</v>
      </c>
      <c r="S6885" s="308" t="s">
        <v>81</v>
      </c>
      <c r="T6885" s="311" t="s">
        <v>57</v>
      </c>
      <c r="U6885" s="308" t="s">
        <v>27</v>
      </c>
      <c r="V6885" s="308"/>
    </row>
    <row r="6886">
      <c r="A6886" s="308"/>
      <c r="B6886" s="308"/>
      <c r="C6886" s="308" t="s">
        <v>27950</v>
      </c>
      <c r="D6886" s="308">
        <f>IFERROR(__xludf.DUMMYFUNCTION("SPLIT(C6886,""-"")"),6906.0)</f>
        <v>6906</v>
      </c>
      <c r="E6886" s="308" t="str">
        <f>IFERROR(__xludf.DUMMYFUNCTION("""COMPUTED_VALUE"""),"I")</f>
        <v>I</v>
      </c>
      <c r="F6886" s="309" t="s">
        <v>31</v>
      </c>
      <c r="G6886" s="308"/>
      <c r="H6886" s="308" t="s">
        <v>27951</v>
      </c>
      <c r="I6886" s="314">
        <v>43089.0</v>
      </c>
      <c r="J6886" s="319">
        <f>IFERROR(__xludf.DUMMYFUNCTION("SPLIT(I6886,""/"")"),20.0)</f>
        <v>20</v>
      </c>
      <c r="K6886" s="308">
        <f>IFERROR(__xludf.DUMMYFUNCTION("""COMPUTED_VALUE"""),12.0)</f>
        <v>12</v>
      </c>
      <c r="L6886" s="308">
        <f>IFERROR(__xludf.DUMMYFUNCTION("""COMPUTED_VALUE"""),2017.0)</f>
        <v>2017</v>
      </c>
      <c r="M6886" s="308" t="s">
        <v>27945</v>
      </c>
      <c r="N6886" s="308" t="s">
        <v>439</v>
      </c>
      <c r="O6886" s="308"/>
      <c r="P6886" s="308" t="s">
        <v>136</v>
      </c>
      <c r="Q6886" s="308" t="s">
        <v>39471</v>
      </c>
      <c r="R6886" s="308" t="s">
        <v>16185</v>
      </c>
      <c r="S6886" s="315" t="s">
        <v>100</v>
      </c>
      <c r="T6886" s="308" t="s">
        <v>34208</v>
      </c>
      <c r="U6886" s="308" t="s">
        <v>31</v>
      </c>
      <c r="V6886" s="308"/>
    </row>
    <row r="6887">
      <c r="A6887" s="308"/>
      <c r="B6887" s="308"/>
      <c r="C6887" s="308" t="s">
        <v>27952</v>
      </c>
      <c r="D6887" s="308">
        <f>IFERROR(__xludf.DUMMYFUNCTION("SPLIT(C6887,""-"")"),6907.0)</f>
        <v>6907</v>
      </c>
      <c r="E6887" s="308" t="str">
        <f>IFERROR(__xludf.DUMMYFUNCTION("""COMPUTED_VALUE"""),"P")</f>
        <v>P</v>
      </c>
      <c r="F6887" s="312" t="s">
        <v>37</v>
      </c>
      <c r="G6887" s="308"/>
      <c r="H6887" s="308" t="s">
        <v>27953</v>
      </c>
      <c r="I6887" s="314">
        <v>43825.0</v>
      </c>
      <c r="J6887" s="319">
        <f>IFERROR(__xludf.DUMMYFUNCTION("SPLIT(I6887,""/"")"),26.0)</f>
        <v>26</v>
      </c>
      <c r="K6887" s="308">
        <f>IFERROR(__xludf.DUMMYFUNCTION("""COMPUTED_VALUE"""),12.0)</f>
        <v>12</v>
      </c>
      <c r="L6887" s="308">
        <f>IFERROR(__xludf.DUMMYFUNCTION("""COMPUTED_VALUE"""),2019.0)</f>
        <v>2019</v>
      </c>
      <c r="M6887" s="308" t="s">
        <v>27954</v>
      </c>
      <c r="N6887" s="308" t="s">
        <v>27955</v>
      </c>
      <c r="O6887" s="308" t="s">
        <v>39473</v>
      </c>
      <c r="P6887" s="308" t="s">
        <v>39474</v>
      </c>
      <c r="Q6887" s="308" t="s">
        <v>39471</v>
      </c>
      <c r="R6887" s="308" t="s">
        <v>16185</v>
      </c>
      <c r="S6887" s="308" t="s">
        <v>81</v>
      </c>
      <c r="T6887" s="311" t="s">
        <v>77</v>
      </c>
      <c r="U6887" s="308" t="s">
        <v>4273</v>
      </c>
      <c r="V6887" s="308"/>
    </row>
    <row r="6888">
      <c r="A6888" s="308"/>
      <c r="B6888" s="308"/>
      <c r="C6888" s="308" t="s">
        <v>27958</v>
      </c>
      <c r="D6888" s="308">
        <f>IFERROR(__xludf.DUMMYFUNCTION("SPLIT(C6888,""-"")"),6908.0)</f>
        <v>6908</v>
      </c>
      <c r="E6888" s="308" t="str">
        <f>IFERROR(__xludf.DUMMYFUNCTION("""COMPUTED_VALUE"""),"K")</f>
        <v>K</v>
      </c>
      <c r="F6888" s="309" t="s">
        <v>34</v>
      </c>
      <c r="G6888" s="308"/>
      <c r="H6888" s="308" t="s">
        <v>27959</v>
      </c>
      <c r="I6888" s="310">
        <v>40404.0</v>
      </c>
      <c r="J6888" s="319">
        <f>IFERROR(__xludf.DUMMYFUNCTION("SPLIT(I6888,""/"")"),14.0)</f>
        <v>14</v>
      </c>
      <c r="K6888" s="308">
        <f>IFERROR(__xludf.DUMMYFUNCTION("""COMPUTED_VALUE"""),8.0)</f>
        <v>8</v>
      </c>
      <c r="L6888" s="308">
        <f>IFERROR(__xludf.DUMMYFUNCTION("""COMPUTED_VALUE"""),2010.0)</f>
        <v>2010</v>
      </c>
      <c r="M6888" s="308" t="s">
        <v>39475</v>
      </c>
      <c r="N6888" s="308" t="s">
        <v>27961</v>
      </c>
      <c r="O6888" s="308"/>
      <c r="P6888" s="308" t="s">
        <v>136</v>
      </c>
      <c r="Q6888" s="308" t="s">
        <v>39471</v>
      </c>
      <c r="R6888" s="308" t="s">
        <v>16185</v>
      </c>
      <c r="S6888" s="315" t="s">
        <v>100</v>
      </c>
      <c r="T6888" s="308" t="s">
        <v>34208</v>
      </c>
      <c r="U6888" s="308" t="s">
        <v>530</v>
      </c>
      <c r="V6888" s="308"/>
    </row>
    <row r="6889">
      <c r="A6889" s="308"/>
      <c r="B6889" s="308"/>
      <c r="C6889" s="308" t="s">
        <v>27962</v>
      </c>
      <c r="D6889" s="308">
        <f>IFERROR(__xludf.DUMMYFUNCTION("SPLIT(C6889,""-"")"),6909.0)</f>
        <v>6909</v>
      </c>
      <c r="E6889" s="308" t="str">
        <f>IFERROR(__xludf.DUMMYFUNCTION("""COMPUTED_VALUE"""),"K")</f>
        <v>K</v>
      </c>
      <c r="F6889" s="309" t="s">
        <v>34</v>
      </c>
      <c r="G6889" s="308"/>
      <c r="H6889" s="308" t="s">
        <v>27963</v>
      </c>
      <c r="I6889" s="310">
        <v>44059.0</v>
      </c>
      <c r="J6889" s="319">
        <f>IFERROR(__xludf.DUMMYFUNCTION("SPLIT(I6889,""/"")"),16.0)</f>
        <v>16</v>
      </c>
      <c r="K6889" s="308">
        <f>IFERROR(__xludf.DUMMYFUNCTION("""COMPUTED_VALUE"""),8.0)</f>
        <v>8</v>
      </c>
      <c r="L6889" s="308">
        <f>IFERROR(__xludf.DUMMYFUNCTION("""COMPUTED_VALUE"""),2020.0)</f>
        <v>2020</v>
      </c>
      <c r="M6889" s="308" t="s">
        <v>27964</v>
      </c>
      <c r="N6889" s="308" t="s">
        <v>27965</v>
      </c>
      <c r="O6889" s="308"/>
      <c r="P6889" s="308" t="s">
        <v>27966</v>
      </c>
      <c r="Q6889" s="308" t="s">
        <v>39471</v>
      </c>
      <c r="R6889" s="308" t="s">
        <v>2743</v>
      </c>
      <c r="S6889" s="308" t="s">
        <v>49</v>
      </c>
      <c r="T6889" s="311" t="s">
        <v>51</v>
      </c>
      <c r="U6889" s="308" t="s">
        <v>2989</v>
      </c>
      <c r="V6889" s="308"/>
    </row>
    <row r="6890">
      <c r="A6890" s="308"/>
      <c r="B6890" s="308"/>
      <c r="C6890" s="308" t="s">
        <v>27967</v>
      </c>
      <c r="D6890" s="308">
        <f>IFERROR(__xludf.DUMMYFUNCTION("SPLIT(C6890,""-"")"),6910.0)</f>
        <v>6910</v>
      </c>
      <c r="E6890" s="308" t="str">
        <f>IFERROR(__xludf.DUMMYFUNCTION("""COMPUTED_VALUE"""),"K")</f>
        <v>K</v>
      </c>
      <c r="F6890" s="309" t="s">
        <v>34</v>
      </c>
      <c r="G6890" s="308"/>
      <c r="H6890" s="308" t="s">
        <v>27968</v>
      </c>
      <c r="I6890" s="310">
        <v>43891.0</v>
      </c>
      <c r="J6890" s="319">
        <f>IFERROR(__xludf.DUMMYFUNCTION("SPLIT(I6890,""/"")"),1.0)</f>
        <v>1</v>
      </c>
      <c r="K6890" s="308">
        <f>IFERROR(__xludf.DUMMYFUNCTION("""COMPUTED_VALUE"""),3.0)</f>
        <v>3</v>
      </c>
      <c r="L6890" s="308">
        <f>IFERROR(__xludf.DUMMYFUNCTION("""COMPUTED_VALUE"""),2020.0)</f>
        <v>2020</v>
      </c>
      <c r="M6890" s="308" t="s">
        <v>27969</v>
      </c>
      <c r="N6890" s="308" t="s">
        <v>439</v>
      </c>
      <c r="O6890" s="308"/>
      <c r="P6890" s="308" t="s">
        <v>27970</v>
      </c>
      <c r="Q6890" s="308" t="s">
        <v>38573</v>
      </c>
      <c r="R6890" s="308" t="s">
        <v>2743</v>
      </c>
      <c r="S6890" s="308" t="s">
        <v>81</v>
      </c>
      <c r="T6890" s="311" t="s">
        <v>90</v>
      </c>
      <c r="U6890" s="308" t="s">
        <v>201</v>
      </c>
      <c r="V6890" s="308"/>
    </row>
    <row r="6891">
      <c r="A6891" s="308"/>
      <c r="B6891" s="308"/>
      <c r="C6891" s="308" t="s">
        <v>27971</v>
      </c>
      <c r="D6891" s="308">
        <f>IFERROR(__xludf.DUMMYFUNCTION("SPLIT(C6891,""-"")"),6911.0)</f>
        <v>6911</v>
      </c>
      <c r="E6891" s="308" t="str">
        <f>IFERROR(__xludf.DUMMYFUNCTION("""COMPUTED_VALUE"""),"K")</f>
        <v>K</v>
      </c>
      <c r="F6891" s="309" t="s">
        <v>34</v>
      </c>
      <c r="G6891" s="308"/>
      <c r="H6891" s="308" t="s">
        <v>27972</v>
      </c>
      <c r="I6891" s="310">
        <v>42031.0</v>
      </c>
      <c r="J6891" s="319">
        <f>IFERROR(__xludf.DUMMYFUNCTION("SPLIT(I6891,""/"")"),27.0)</f>
        <v>27</v>
      </c>
      <c r="K6891" s="308">
        <f>IFERROR(__xludf.DUMMYFUNCTION("""COMPUTED_VALUE"""),1.0)</f>
        <v>1</v>
      </c>
      <c r="L6891" s="308">
        <f>IFERROR(__xludf.DUMMYFUNCTION("""COMPUTED_VALUE"""),2015.0)</f>
        <v>2015</v>
      </c>
      <c r="M6891" s="308" t="s">
        <v>27973</v>
      </c>
      <c r="N6891" s="308" t="s">
        <v>27974</v>
      </c>
      <c r="O6891" s="308"/>
      <c r="P6891" s="308" t="s">
        <v>39476</v>
      </c>
      <c r="Q6891" s="308" t="s">
        <v>38573</v>
      </c>
      <c r="R6891" s="308" t="s">
        <v>2743</v>
      </c>
      <c r="S6891" s="308" t="s">
        <v>81</v>
      </c>
      <c r="T6891" s="308" t="s">
        <v>34264</v>
      </c>
      <c r="U6891" s="308" t="s">
        <v>13085</v>
      </c>
      <c r="V6891" s="308"/>
    </row>
    <row r="6892">
      <c r="A6892" s="308"/>
      <c r="B6892" s="308"/>
      <c r="C6892" s="308" t="s">
        <v>27976</v>
      </c>
      <c r="D6892" s="308">
        <f>IFERROR(__xludf.DUMMYFUNCTION("SPLIT(C6892,""-"")"),6912.0)</f>
        <v>6912</v>
      </c>
      <c r="E6892" s="308" t="str">
        <f>IFERROR(__xludf.DUMMYFUNCTION("""COMPUTED_VALUE"""),"K")</f>
        <v>K</v>
      </c>
      <c r="F6892" s="309" t="s">
        <v>34</v>
      </c>
      <c r="G6892" s="308"/>
      <c r="H6892" s="308" t="s">
        <v>27977</v>
      </c>
      <c r="I6892" s="314">
        <v>42655.0</v>
      </c>
      <c r="J6892" s="319">
        <f>IFERROR(__xludf.DUMMYFUNCTION("SPLIT(I6892,""/"")"),12.0)</f>
        <v>12</v>
      </c>
      <c r="K6892" s="308">
        <f>IFERROR(__xludf.DUMMYFUNCTION("""COMPUTED_VALUE"""),10.0)</f>
        <v>10</v>
      </c>
      <c r="L6892" s="308">
        <f>IFERROR(__xludf.DUMMYFUNCTION("""COMPUTED_VALUE"""),2016.0)</f>
        <v>2016</v>
      </c>
      <c r="M6892" s="308" t="s">
        <v>27978</v>
      </c>
      <c r="N6892" s="308" t="s">
        <v>27394</v>
      </c>
      <c r="O6892" s="308"/>
      <c r="P6892" s="308" t="s">
        <v>136</v>
      </c>
      <c r="Q6892" s="308" t="s">
        <v>38573</v>
      </c>
      <c r="R6892" s="308" t="s">
        <v>2743</v>
      </c>
      <c r="S6892" s="315" t="s">
        <v>100</v>
      </c>
      <c r="T6892" s="308" t="s">
        <v>34208</v>
      </c>
      <c r="U6892" s="308" t="s">
        <v>18616</v>
      </c>
      <c r="V6892" s="308"/>
    </row>
    <row r="6893">
      <c r="A6893" s="308"/>
      <c r="B6893" s="308"/>
      <c r="C6893" s="308" t="s">
        <v>27979</v>
      </c>
      <c r="D6893" s="308">
        <f>IFERROR(__xludf.DUMMYFUNCTION("SPLIT(C6893,""-"")"),6913.0)</f>
        <v>6913</v>
      </c>
      <c r="E6893" s="308" t="str">
        <f>IFERROR(__xludf.DUMMYFUNCTION("""COMPUTED_VALUE"""),"K")</f>
        <v>K</v>
      </c>
      <c r="F6893" s="309" t="s">
        <v>34</v>
      </c>
      <c r="G6893" s="308"/>
      <c r="H6893" s="308" t="s">
        <v>27980</v>
      </c>
      <c r="I6893" s="310">
        <v>43041.0</v>
      </c>
      <c r="J6893" s="319" t="str">
        <f>IFERROR(__xludf.DUMMYFUNCTION("SPLIT(I6893,""/"")"),"#REF!")</f>
        <v>#REF!</v>
      </c>
      <c r="K6893" s="308"/>
      <c r="L6893" s="308">
        <v>2017.0</v>
      </c>
      <c r="M6893" s="308" t="s">
        <v>27981</v>
      </c>
      <c r="N6893" s="308" t="s">
        <v>27982</v>
      </c>
      <c r="O6893" s="308"/>
      <c r="P6893" s="308" t="s">
        <v>39477</v>
      </c>
      <c r="Q6893" s="308" t="s">
        <v>38573</v>
      </c>
      <c r="R6893" s="308" t="s">
        <v>2743</v>
      </c>
      <c r="S6893" s="308" t="s">
        <v>81</v>
      </c>
      <c r="T6893" s="308" t="s">
        <v>34264</v>
      </c>
      <c r="U6893" s="308" t="s">
        <v>530</v>
      </c>
      <c r="V6893" s="308"/>
    </row>
    <row r="6894">
      <c r="A6894" s="308"/>
      <c r="B6894" s="308"/>
      <c r="C6894" s="308" t="s">
        <v>27984</v>
      </c>
      <c r="D6894" s="308">
        <f>IFERROR(__xludf.DUMMYFUNCTION("SPLIT(C6894,""-"")"),6914.0)</f>
        <v>6914</v>
      </c>
      <c r="E6894" s="308" t="str">
        <f>IFERROR(__xludf.DUMMYFUNCTION("""COMPUTED_VALUE"""),"S")</f>
        <v>S</v>
      </c>
      <c r="F6894" s="312" t="s">
        <v>39</v>
      </c>
      <c r="G6894" s="308"/>
      <c r="H6894" s="308" t="s">
        <v>27985</v>
      </c>
      <c r="I6894" s="314">
        <v>44146.0</v>
      </c>
      <c r="J6894" s="319">
        <f>IFERROR(__xludf.DUMMYFUNCTION("SPLIT(I6894,""/"")"),11.0)</f>
        <v>11</v>
      </c>
      <c r="K6894" s="308">
        <f>IFERROR(__xludf.DUMMYFUNCTION("""COMPUTED_VALUE"""),11.0)</f>
        <v>11</v>
      </c>
      <c r="L6894" s="308">
        <f>IFERROR(__xludf.DUMMYFUNCTION("""COMPUTED_VALUE"""),2020.0)</f>
        <v>2020</v>
      </c>
      <c r="M6894" s="308" t="s">
        <v>27986</v>
      </c>
      <c r="N6894" s="308" t="s">
        <v>27987</v>
      </c>
      <c r="O6894" s="308" t="s">
        <v>27988</v>
      </c>
      <c r="P6894" s="308" t="s">
        <v>27989</v>
      </c>
      <c r="Q6894" s="308" t="s">
        <v>38573</v>
      </c>
      <c r="R6894" s="308" t="s">
        <v>2743</v>
      </c>
      <c r="S6894" s="308" t="s">
        <v>81</v>
      </c>
      <c r="T6894" s="311" t="s">
        <v>96</v>
      </c>
      <c r="U6894" s="308" t="s">
        <v>166</v>
      </c>
      <c r="V6894" s="308"/>
    </row>
    <row r="6895">
      <c r="A6895" s="308"/>
      <c r="B6895" s="308"/>
      <c r="C6895" s="308" t="s">
        <v>27990</v>
      </c>
      <c r="D6895" s="308">
        <f>IFERROR(__xludf.DUMMYFUNCTION("SPLIT(C6895,""-"")"),6915.0)</f>
        <v>6915</v>
      </c>
      <c r="E6895" s="308" t="str">
        <f>IFERROR(__xludf.DUMMYFUNCTION("""COMPUTED_VALUE"""),"K")</f>
        <v>K</v>
      </c>
      <c r="F6895" s="309" t="s">
        <v>34</v>
      </c>
      <c r="G6895" s="308"/>
      <c r="H6895" s="308" t="s">
        <v>27991</v>
      </c>
      <c r="I6895" s="310">
        <v>41743.0</v>
      </c>
      <c r="J6895" s="319">
        <f>IFERROR(__xludf.DUMMYFUNCTION("SPLIT(I6895,""/"")"),14.0)</f>
        <v>14</v>
      </c>
      <c r="K6895" s="308">
        <f>IFERROR(__xludf.DUMMYFUNCTION("""COMPUTED_VALUE"""),4.0)</f>
        <v>4</v>
      </c>
      <c r="L6895" s="308">
        <f>IFERROR(__xludf.DUMMYFUNCTION("""COMPUTED_VALUE"""),2014.0)</f>
        <v>2014</v>
      </c>
      <c r="M6895" s="308" t="s">
        <v>39478</v>
      </c>
      <c r="N6895" s="308" t="s">
        <v>27993</v>
      </c>
      <c r="O6895" s="308"/>
      <c r="P6895" s="308" t="s">
        <v>136</v>
      </c>
      <c r="Q6895" s="308" t="s">
        <v>39479</v>
      </c>
      <c r="R6895" s="308" t="s">
        <v>2743</v>
      </c>
      <c r="S6895" s="315" t="s">
        <v>100</v>
      </c>
      <c r="T6895" s="308" t="s">
        <v>34208</v>
      </c>
      <c r="U6895" s="308" t="s">
        <v>27994</v>
      </c>
      <c r="V6895" s="308"/>
    </row>
    <row r="6896">
      <c r="A6896" s="308"/>
      <c r="B6896" s="308"/>
      <c r="C6896" s="308" t="s">
        <v>27995</v>
      </c>
      <c r="D6896" s="308">
        <f>IFERROR(__xludf.DUMMYFUNCTION("SPLIT(C6896,""-"")"),6916.0)</f>
        <v>6916</v>
      </c>
      <c r="E6896" s="308" t="str">
        <f>IFERROR(__xludf.DUMMYFUNCTION("""COMPUTED_VALUE"""),"K")</f>
        <v>K</v>
      </c>
      <c r="F6896" s="309" t="s">
        <v>34</v>
      </c>
      <c r="G6896" s="308"/>
      <c r="H6896" s="308" t="s">
        <v>27996</v>
      </c>
      <c r="I6896" s="310">
        <v>43919.0</v>
      </c>
      <c r="J6896" s="319">
        <f>IFERROR(__xludf.DUMMYFUNCTION("SPLIT(I6896,""/"")"),29.0)</f>
        <v>29</v>
      </c>
      <c r="K6896" s="308">
        <f>IFERROR(__xludf.DUMMYFUNCTION("""COMPUTED_VALUE"""),3.0)</f>
        <v>3</v>
      </c>
      <c r="L6896" s="308">
        <f>IFERROR(__xludf.DUMMYFUNCTION("""COMPUTED_VALUE"""),2020.0)</f>
        <v>2020</v>
      </c>
      <c r="M6896" s="308" t="s">
        <v>27997</v>
      </c>
      <c r="N6896" s="308" t="s">
        <v>27998</v>
      </c>
      <c r="O6896" s="308"/>
      <c r="P6896" s="308" t="s">
        <v>39480</v>
      </c>
      <c r="Q6896" s="308" t="s">
        <v>39481</v>
      </c>
      <c r="R6896" s="308" t="s">
        <v>2743</v>
      </c>
      <c r="S6896" s="308" t="s">
        <v>81</v>
      </c>
      <c r="T6896" s="308" t="s">
        <v>34264</v>
      </c>
      <c r="U6896" s="308" t="s">
        <v>542</v>
      </c>
      <c r="V6896" s="308"/>
    </row>
    <row r="6897">
      <c r="A6897" s="308"/>
      <c r="B6897" s="308"/>
      <c r="C6897" s="308" t="s">
        <v>28000</v>
      </c>
      <c r="D6897" s="308">
        <f>IFERROR(__xludf.DUMMYFUNCTION("SPLIT(C6897,""-"")"),6917.0)</f>
        <v>6917</v>
      </c>
      <c r="E6897" s="308" t="str">
        <f>IFERROR(__xludf.DUMMYFUNCTION("""COMPUTED_VALUE"""),"K")</f>
        <v>K</v>
      </c>
      <c r="F6897" s="309" t="s">
        <v>34</v>
      </c>
      <c r="G6897" s="308"/>
      <c r="H6897" s="308" t="s">
        <v>28001</v>
      </c>
      <c r="I6897" s="310">
        <v>42593.0</v>
      </c>
      <c r="J6897" s="319">
        <f>IFERROR(__xludf.DUMMYFUNCTION("SPLIT(I6897,""/"")"),11.0)</f>
        <v>11</v>
      </c>
      <c r="K6897" s="308">
        <f>IFERROR(__xludf.DUMMYFUNCTION("""COMPUTED_VALUE"""),8.0)</f>
        <v>8</v>
      </c>
      <c r="L6897" s="308">
        <f>IFERROR(__xludf.DUMMYFUNCTION("""COMPUTED_VALUE"""),2016.0)</f>
        <v>2016</v>
      </c>
      <c r="M6897" s="308" t="s">
        <v>28002</v>
      </c>
      <c r="N6897" s="308" t="s">
        <v>28003</v>
      </c>
      <c r="O6897" s="308"/>
      <c r="P6897" s="308" t="s">
        <v>136</v>
      </c>
      <c r="Q6897" s="308" t="s">
        <v>39481</v>
      </c>
      <c r="R6897" s="308" t="s">
        <v>2743</v>
      </c>
      <c r="S6897" s="315" t="s">
        <v>100</v>
      </c>
      <c r="T6897" s="308" t="s">
        <v>34208</v>
      </c>
      <c r="U6897" s="308" t="s">
        <v>27994</v>
      </c>
      <c r="V6897" s="308"/>
    </row>
    <row r="6898">
      <c r="A6898" s="308"/>
      <c r="B6898" s="308"/>
      <c r="C6898" s="308" t="s">
        <v>28004</v>
      </c>
      <c r="D6898" s="308">
        <f>IFERROR(__xludf.DUMMYFUNCTION("SPLIT(C6898,""-"")"),6918.0)</f>
        <v>6918</v>
      </c>
      <c r="E6898" s="308" t="str">
        <f>IFERROR(__xludf.DUMMYFUNCTION("""COMPUTED_VALUE"""),"K")</f>
        <v>K</v>
      </c>
      <c r="F6898" s="309" t="s">
        <v>34</v>
      </c>
      <c r="G6898" s="308"/>
      <c r="H6898" s="308" t="s">
        <v>28005</v>
      </c>
      <c r="I6898" s="310">
        <v>42508.0</v>
      </c>
      <c r="J6898" s="319">
        <f>IFERROR(__xludf.DUMMYFUNCTION("SPLIT(I6898,""/"")"),18.0)</f>
        <v>18</v>
      </c>
      <c r="K6898" s="308">
        <f>IFERROR(__xludf.DUMMYFUNCTION("""COMPUTED_VALUE"""),5.0)</f>
        <v>5</v>
      </c>
      <c r="L6898" s="308">
        <f>IFERROR(__xludf.DUMMYFUNCTION("""COMPUTED_VALUE"""),2016.0)</f>
        <v>2016</v>
      </c>
      <c r="M6898" s="308" t="s">
        <v>28006</v>
      </c>
      <c r="N6898" s="308" t="s">
        <v>28007</v>
      </c>
      <c r="O6898" s="308"/>
      <c r="P6898" s="308" t="s">
        <v>136</v>
      </c>
      <c r="Q6898" s="308" t="s">
        <v>39481</v>
      </c>
      <c r="R6898" s="308" t="s">
        <v>2743</v>
      </c>
      <c r="S6898" s="315" t="s">
        <v>100</v>
      </c>
      <c r="T6898" s="308" t="s">
        <v>34208</v>
      </c>
      <c r="U6898" s="308" t="s">
        <v>872</v>
      </c>
      <c r="V6898" s="308"/>
    </row>
    <row r="6899">
      <c r="A6899" s="308"/>
      <c r="B6899" s="308"/>
      <c r="C6899" s="308" t="s">
        <v>28008</v>
      </c>
      <c r="D6899" s="308">
        <f>IFERROR(__xludf.DUMMYFUNCTION("SPLIT(C6899,""-"")"),6919.0)</f>
        <v>6919</v>
      </c>
      <c r="E6899" s="308" t="str">
        <f>IFERROR(__xludf.DUMMYFUNCTION("""COMPUTED_VALUE"""),"P")</f>
        <v>P</v>
      </c>
      <c r="F6899" s="312" t="s">
        <v>37</v>
      </c>
      <c r="G6899" s="308"/>
      <c r="H6899" s="308" t="s">
        <v>28009</v>
      </c>
      <c r="I6899" s="314">
        <v>44178.0</v>
      </c>
      <c r="J6899" s="319">
        <f>IFERROR(__xludf.DUMMYFUNCTION("SPLIT(I6899,""/"")"),13.0)</f>
        <v>13</v>
      </c>
      <c r="K6899" s="308">
        <f>IFERROR(__xludf.DUMMYFUNCTION("""COMPUTED_VALUE"""),12.0)</f>
        <v>12</v>
      </c>
      <c r="L6899" s="308">
        <f>IFERROR(__xludf.DUMMYFUNCTION("""COMPUTED_VALUE"""),2020.0)</f>
        <v>2020</v>
      </c>
      <c r="M6899" s="308" t="s">
        <v>28010</v>
      </c>
      <c r="N6899" s="308" t="s">
        <v>28011</v>
      </c>
      <c r="O6899" s="308"/>
      <c r="P6899" s="308" t="s">
        <v>39482</v>
      </c>
      <c r="Q6899" s="308" t="s">
        <v>39483</v>
      </c>
      <c r="R6899" s="308" t="s">
        <v>2743</v>
      </c>
      <c r="S6899" s="308" t="s">
        <v>81</v>
      </c>
      <c r="T6899" s="311" t="s">
        <v>75</v>
      </c>
      <c r="U6899" s="308" t="s">
        <v>3690</v>
      </c>
      <c r="V6899" s="308"/>
    </row>
    <row r="6900">
      <c r="A6900" s="308"/>
      <c r="B6900" s="308"/>
      <c r="C6900" s="308" t="s">
        <v>28013</v>
      </c>
      <c r="D6900" s="308">
        <f>IFERROR(__xludf.DUMMYFUNCTION("SPLIT(C6900,""-"")"),6920.0)</f>
        <v>6920</v>
      </c>
      <c r="E6900" s="308" t="str">
        <f>IFERROR(__xludf.DUMMYFUNCTION("""COMPUTED_VALUE"""),"K")</f>
        <v>K</v>
      </c>
      <c r="F6900" s="309" t="s">
        <v>34</v>
      </c>
      <c r="G6900" s="308"/>
      <c r="H6900" s="308" t="s">
        <v>28014</v>
      </c>
      <c r="I6900" s="314">
        <v>44186.0</v>
      </c>
      <c r="J6900" s="319">
        <f>IFERROR(__xludf.DUMMYFUNCTION("SPLIT(I6900,""/"")"),21.0)</f>
        <v>21</v>
      </c>
      <c r="K6900" s="308">
        <f>IFERROR(__xludf.DUMMYFUNCTION("""COMPUTED_VALUE"""),12.0)</f>
        <v>12</v>
      </c>
      <c r="L6900" s="308">
        <f>IFERROR(__xludf.DUMMYFUNCTION("""COMPUTED_VALUE"""),2020.0)</f>
        <v>2020</v>
      </c>
      <c r="M6900" s="308" t="s">
        <v>28015</v>
      </c>
      <c r="N6900" s="308" t="s">
        <v>28016</v>
      </c>
      <c r="O6900" s="308"/>
      <c r="P6900" s="308" t="s">
        <v>39484</v>
      </c>
      <c r="Q6900" s="308" t="s">
        <v>39483</v>
      </c>
      <c r="R6900" s="308" t="s">
        <v>2743</v>
      </c>
      <c r="S6900" s="308" t="s">
        <v>81</v>
      </c>
      <c r="T6900" s="311" t="s">
        <v>91</v>
      </c>
      <c r="U6900" s="308" t="s">
        <v>2152</v>
      </c>
      <c r="V6900" s="308"/>
    </row>
    <row r="6901">
      <c r="A6901" s="308"/>
      <c r="B6901" s="308"/>
      <c r="C6901" s="308" t="s">
        <v>28018</v>
      </c>
      <c r="D6901" s="308">
        <f>IFERROR(__xludf.DUMMYFUNCTION("SPLIT(C6901,""-"")"),6921.0)</f>
        <v>6921</v>
      </c>
      <c r="E6901" s="308" t="str">
        <f>IFERROR(__xludf.DUMMYFUNCTION("""COMPUTED_VALUE"""),"P")</f>
        <v>P</v>
      </c>
      <c r="F6901" s="312" t="s">
        <v>37</v>
      </c>
      <c r="G6901" s="308"/>
      <c r="H6901" s="308" t="s">
        <v>28019</v>
      </c>
      <c r="I6901" s="310">
        <v>44173.0</v>
      </c>
      <c r="J6901" s="319">
        <f>IFERROR(__xludf.DUMMYFUNCTION("SPLIT(I6901,""/"")"),8.0)</f>
        <v>8</v>
      </c>
      <c r="K6901" s="308">
        <f>IFERROR(__xludf.DUMMYFUNCTION("""COMPUTED_VALUE"""),12.0)</f>
        <v>12</v>
      </c>
      <c r="L6901" s="308">
        <f>IFERROR(__xludf.DUMMYFUNCTION("""COMPUTED_VALUE"""),2020.0)</f>
        <v>2020</v>
      </c>
      <c r="M6901" s="308" t="s">
        <v>28020</v>
      </c>
      <c r="N6901" s="308" t="s">
        <v>28021</v>
      </c>
      <c r="O6901" s="308"/>
      <c r="P6901" s="308" t="s">
        <v>39485</v>
      </c>
      <c r="Q6901" s="308" t="s">
        <v>39483</v>
      </c>
      <c r="R6901" s="308" t="s">
        <v>2743</v>
      </c>
      <c r="S6901" s="308" t="s">
        <v>81</v>
      </c>
      <c r="T6901" s="308" t="s">
        <v>75</v>
      </c>
      <c r="U6901" s="308" t="s">
        <v>4001</v>
      </c>
      <c r="V6901" s="308"/>
    </row>
    <row r="6902">
      <c r="A6902" s="308"/>
      <c r="B6902" s="308"/>
      <c r="C6902" s="308" t="s">
        <v>28023</v>
      </c>
      <c r="D6902" s="308">
        <f>IFERROR(__xludf.DUMMYFUNCTION("SPLIT(C6902,""-"")"),6922.0)</f>
        <v>6922</v>
      </c>
      <c r="E6902" s="308" t="str">
        <f>IFERROR(__xludf.DUMMYFUNCTION("""COMPUTED_VALUE"""),"K")</f>
        <v>K</v>
      </c>
      <c r="F6902" s="309" t="s">
        <v>34</v>
      </c>
      <c r="G6902" s="308"/>
      <c r="H6902" s="308" t="s">
        <v>28024</v>
      </c>
      <c r="I6902" s="310">
        <v>40970.0</v>
      </c>
      <c r="J6902" s="319">
        <f>IFERROR(__xludf.DUMMYFUNCTION("SPLIT(I6902,""/"")"),2.0)</f>
        <v>2</v>
      </c>
      <c r="K6902" s="308">
        <f>IFERROR(__xludf.DUMMYFUNCTION("""COMPUTED_VALUE"""),3.0)</f>
        <v>3</v>
      </c>
      <c r="L6902" s="308">
        <f>IFERROR(__xludf.DUMMYFUNCTION("""COMPUTED_VALUE"""),2012.0)</f>
        <v>2012</v>
      </c>
      <c r="M6902" s="308" t="s">
        <v>28025</v>
      </c>
      <c r="N6902" s="308" t="s">
        <v>27394</v>
      </c>
      <c r="O6902" s="308"/>
      <c r="P6902" s="308" t="s">
        <v>136</v>
      </c>
      <c r="Q6902" s="308" t="s">
        <v>39486</v>
      </c>
      <c r="R6902" s="308" t="s">
        <v>2743</v>
      </c>
      <c r="S6902" s="315" t="s">
        <v>100</v>
      </c>
      <c r="T6902" s="308" t="s">
        <v>34208</v>
      </c>
      <c r="U6902" s="308" t="s">
        <v>27994</v>
      </c>
      <c r="V6902" s="308"/>
    </row>
    <row r="6903">
      <c r="A6903" s="308"/>
      <c r="B6903" s="308"/>
      <c r="C6903" s="308" t="s">
        <v>28026</v>
      </c>
      <c r="D6903" s="308">
        <f>IFERROR(__xludf.DUMMYFUNCTION("SPLIT(C6903,""-"")"),6923.0)</f>
        <v>6923</v>
      </c>
      <c r="E6903" s="308" t="str">
        <f>IFERROR(__xludf.DUMMYFUNCTION("""COMPUTED_VALUE"""),"K")</f>
        <v>K</v>
      </c>
      <c r="F6903" s="309" t="s">
        <v>34</v>
      </c>
      <c r="G6903" s="308"/>
      <c r="H6903" s="308" t="s">
        <v>28027</v>
      </c>
      <c r="I6903" s="310">
        <v>43842.0</v>
      </c>
      <c r="J6903" s="319">
        <f>IFERROR(__xludf.DUMMYFUNCTION("SPLIT(I6903,""/"")"),12.0)</f>
        <v>12</v>
      </c>
      <c r="K6903" s="308">
        <f>IFERROR(__xludf.DUMMYFUNCTION("""COMPUTED_VALUE"""),1.0)</f>
        <v>1</v>
      </c>
      <c r="L6903" s="308">
        <f>IFERROR(__xludf.DUMMYFUNCTION("""COMPUTED_VALUE"""),2020.0)</f>
        <v>2020</v>
      </c>
      <c r="M6903" s="308" t="s">
        <v>28028</v>
      </c>
      <c r="N6903" s="308" t="s">
        <v>27394</v>
      </c>
      <c r="O6903" s="308"/>
      <c r="P6903" s="308" t="s">
        <v>28029</v>
      </c>
      <c r="Q6903" s="308" t="s">
        <v>39487</v>
      </c>
      <c r="R6903" s="308" t="s">
        <v>2743</v>
      </c>
      <c r="S6903" s="308" t="s">
        <v>81</v>
      </c>
      <c r="T6903" s="311" t="s">
        <v>73</v>
      </c>
      <c r="U6903" s="308" t="s">
        <v>13085</v>
      </c>
      <c r="V6903" s="308"/>
    </row>
    <row r="6904">
      <c r="A6904" s="308"/>
      <c r="B6904" s="308"/>
      <c r="C6904" s="308" t="s">
        <v>28030</v>
      </c>
      <c r="D6904" s="308">
        <f>IFERROR(__xludf.DUMMYFUNCTION("SPLIT(C6904,""-"")"),6924.0)</f>
        <v>6924</v>
      </c>
      <c r="E6904" s="308" t="str">
        <f>IFERROR(__xludf.DUMMYFUNCTION("""COMPUTED_VALUE"""),"K")</f>
        <v>K</v>
      </c>
      <c r="F6904" s="309" t="s">
        <v>34</v>
      </c>
      <c r="G6904" s="308"/>
      <c r="H6904" s="308" t="s">
        <v>28031</v>
      </c>
      <c r="I6904" s="310">
        <v>43842.0</v>
      </c>
      <c r="J6904" s="319">
        <f>IFERROR(__xludf.DUMMYFUNCTION("SPLIT(I6904,""/"")"),12.0)</f>
        <v>12</v>
      </c>
      <c r="K6904" s="308">
        <f>IFERROR(__xludf.DUMMYFUNCTION("""COMPUTED_VALUE"""),1.0)</f>
        <v>1</v>
      </c>
      <c r="L6904" s="308">
        <f>IFERROR(__xludf.DUMMYFUNCTION("""COMPUTED_VALUE"""),2020.0)</f>
        <v>2020</v>
      </c>
      <c r="M6904" s="308" t="s">
        <v>28028</v>
      </c>
      <c r="N6904" s="308" t="s">
        <v>27394</v>
      </c>
      <c r="O6904" s="308"/>
      <c r="P6904" s="308" t="s">
        <v>28032</v>
      </c>
      <c r="Q6904" s="308" t="s">
        <v>39487</v>
      </c>
      <c r="R6904" s="308" t="s">
        <v>2743</v>
      </c>
      <c r="S6904" s="308" t="s">
        <v>81</v>
      </c>
      <c r="T6904" s="311" t="s">
        <v>73</v>
      </c>
      <c r="U6904" s="308" t="s">
        <v>13085</v>
      </c>
      <c r="V6904" s="308"/>
    </row>
    <row r="6905">
      <c r="A6905" s="308"/>
      <c r="B6905" s="308"/>
      <c r="C6905" s="308" t="s">
        <v>28033</v>
      </c>
      <c r="D6905" s="308">
        <f>IFERROR(__xludf.DUMMYFUNCTION("SPLIT(C6905,""-"")"),6925.0)</f>
        <v>6925</v>
      </c>
      <c r="E6905" s="308" t="str">
        <f>IFERROR(__xludf.DUMMYFUNCTION("""COMPUTED_VALUE"""),"K")</f>
        <v>K</v>
      </c>
      <c r="F6905" s="309" t="s">
        <v>34</v>
      </c>
      <c r="G6905" s="308"/>
      <c r="H6905" s="308" t="s">
        <v>28034</v>
      </c>
      <c r="I6905" s="310">
        <v>43842.0</v>
      </c>
      <c r="J6905" s="319">
        <f>IFERROR(__xludf.DUMMYFUNCTION("SPLIT(I6905,""/"")"),12.0)</f>
        <v>12</v>
      </c>
      <c r="K6905" s="308">
        <f>IFERROR(__xludf.DUMMYFUNCTION("""COMPUTED_VALUE"""),1.0)</f>
        <v>1</v>
      </c>
      <c r="L6905" s="308">
        <f>IFERROR(__xludf.DUMMYFUNCTION("""COMPUTED_VALUE"""),2020.0)</f>
        <v>2020</v>
      </c>
      <c r="M6905" s="308" t="s">
        <v>28028</v>
      </c>
      <c r="N6905" s="308" t="s">
        <v>27394</v>
      </c>
      <c r="O6905" s="308"/>
      <c r="P6905" s="308" t="s">
        <v>28035</v>
      </c>
      <c r="Q6905" s="308" t="s">
        <v>39487</v>
      </c>
      <c r="R6905" s="308" t="s">
        <v>2743</v>
      </c>
      <c r="S6905" s="308" t="s">
        <v>81</v>
      </c>
      <c r="T6905" s="311" t="s">
        <v>73</v>
      </c>
      <c r="U6905" s="308" t="s">
        <v>13085</v>
      </c>
      <c r="V6905" s="308"/>
    </row>
    <row r="6906">
      <c r="A6906" s="308"/>
      <c r="B6906" s="308"/>
      <c r="C6906" s="308" t="s">
        <v>28036</v>
      </c>
      <c r="D6906" s="308">
        <f>IFERROR(__xludf.DUMMYFUNCTION("SPLIT(C6906,""-"")"),6926.0)</f>
        <v>6926</v>
      </c>
      <c r="E6906" s="308" t="str">
        <f>IFERROR(__xludf.DUMMYFUNCTION("""COMPUTED_VALUE"""),"P")</f>
        <v>P</v>
      </c>
      <c r="F6906" s="312" t="s">
        <v>37</v>
      </c>
      <c r="G6906" s="308"/>
      <c r="H6906" s="308" t="s">
        <v>28037</v>
      </c>
      <c r="I6906" s="314">
        <v>44180.0</v>
      </c>
      <c r="J6906" s="319">
        <f>IFERROR(__xludf.DUMMYFUNCTION("SPLIT(I6906,""/"")"),15.0)</f>
        <v>15</v>
      </c>
      <c r="K6906" s="308">
        <f>IFERROR(__xludf.DUMMYFUNCTION("""COMPUTED_VALUE"""),12.0)</f>
        <v>12</v>
      </c>
      <c r="L6906" s="308">
        <f>IFERROR(__xludf.DUMMYFUNCTION("""COMPUTED_VALUE"""),2020.0)</f>
        <v>2020</v>
      </c>
      <c r="M6906" s="308" t="s">
        <v>28038</v>
      </c>
      <c r="N6906" s="308" t="s">
        <v>28039</v>
      </c>
      <c r="O6906" s="308"/>
      <c r="P6906" s="308" t="s">
        <v>39488</v>
      </c>
      <c r="Q6906" s="308" t="s">
        <v>39489</v>
      </c>
      <c r="R6906" s="308" t="s">
        <v>2743</v>
      </c>
      <c r="S6906" s="308" t="s">
        <v>81</v>
      </c>
      <c r="T6906" s="311" t="s">
        <v>73</v>
      </c>
      <c r="U6906" s="308" t="s">
        <v>3407</v>
      </c>
      <c r="V6906" s="308"/>
    </row>
    <row r="6907">
      <c r="A6907" s="308"/>
      <c r="B6907" s="308"/>
      <c r="C6907" s="308" t="s">
        <v>28041</v>
      </c>
      <c r="D6907" s="308">
        <f>IFERROR(__xludf.DUMMYFUNCTION("SPLIT(C6907,""-"")"),6927.0)</f>
        <v>6927</v>
      </c>
      <c r="E6907" s="308" t="str">
        <f>IFERROR(__xludf.DUMMYFUNCTION("""COMPUTED_VALUE"""),"K")</f>
        <v>K</v>
      </c>
      <c r="F6907" s="309" t="s">
        <v>34</v>
      </c>
      <c r="G6907" s="308"/>
      <c r="H6907" s="308" t="s">
        <v>28042</v>
      </c>
      <c r="I6907" s="310">
        <v>44173.0</v>
      </c>
      <c r="J6907" s="319">
        <f>IFERROR(__xludf.DUMMYFUNCTION("SPLIT(I6907,""/"")"),8.0)</f>
        <v>8</v>
      </c>
      <c r="K6907" s="308">
        <f>IFERROR(__xludf.DUMMYFUNCTION("""COMPUTED_VALUE"""),12.0)</f>
        <v>12</v>
      </c>
      <c r="L6907" s="308">
        <f>IFERROR(__xludf.DUMMYFUNCTION("""COMPUTED_VALUE"""),2020.0)</f>
        <v>2020</v>
      </c>
      <c r="M6907" s="308" t="s">
        <v>28043</v>
      </c>
      <c r="N6907" s="308" t="s">
        <v>28044</v>
      </c>
      <c r="O6907" s="308"/>
      <c r="P6907" s="308" t="s">
        <v>39490</v>
      </c>
      <c r="Q6907" s="308" t="s">
        <v>39489</v>
      </c>
      <c r="R6907" s="308" t="s">
        <v>2743</v>
      </c>
      <c r="S6907" s="308" t="s">
        <v>81</v>
      </c>
      <c r="T6907" s="311" t="s">
        <v>96</v>
      </c>
      <c r="U6907" s="308" t="s">
        <v>22473</v>
      </c>
      <c r="V6907" s="308"/>
    </row>
    <row r="6908">
      <c r="A6908" s="308"/>
      <c r="B6908" s="308"/>
      <c r="C6908" s="308" t="s">
        <v>28046</v>
      </c>
      <c r="D6908" s="308">
        <f>IFERROR(__xludf.DUMMYFUNCTION("SPLIT(C6908,""-"")"),6928.0)</f>
        <v>6928</v>
      </c>
      <c r="E6908" s="308" t="str">
        <f>IFERROR(__xludf.DUMMYFUNCTION("""COMPUTED_VALUE"""),"P")</f>
        <v>P</v>
      </c>
      <c r="F6908" s="312" t="s">
        <v>37</v>
      </c>
      <c r="G6908" s="308"/>
      <c r="H6908" s="308" t="s">
        <v>28047</v>
      </c>
      <c r="I6908" s="314">
        <v>44186.0</v>
      </c>
      <c r="J6908" s="319">
        <f>IFERROR(__xludf.DUMMYFUNCTION("SPLIT(I6908,""/"")"),21.0)</f>
        <v>21</v>
      </c>
      <c r="K6908" s="308">
        <f>IFERROR(__xludf.DUMMYFUNCTION("""COMPUTED_VALUE"""),12.0)</f>
        <v>12</v>
      </c>
      <c r="L6908" s="308">
        <f>IFERROR(__xludf.DUMMYFUNCTION("""COMPUTED_VALUE"""),2020.0)</f>
        <v>2020</v>
      </c>
      <c r="M6908" s="308" t="s">
        <v>28048</v>
      </c>
      <c r="N6908" s="308" t="s">
        <v>28049</v>
      </c>
      <c r="O6908" s="308"/>
      <c r="P6908" s="308" t="s">
        <v>39491</v>
      </c>
      <c r="Q6908" s="308" t="s">
        <v>39492</v>
      </c>
      <c r="R6908" s="308" t="s">
        <v>16185</v>
      </c>
      <c r="S6908" s="308" t="s">
        <v>81</v>
      </c>
      <c r="T6908" s="311" t="s">
        <v>51</v>
      </c>
      <c r="U6908" s="308" t="s">
        <v>143</v>
      </c>
      <c r="V6908" s="308"/>
    </row>
    <row r="6909">
      <c r="A6909" s="308"/>
      <c r="B6909" s="308"/>
      <c r="C6909" s="308" t="s">
        <v>28051</v>
      </c>
      <c r="D6909" s="308">
        <f>IFERROR(__xludf.DUMMYFUNCTION("SPLIT(C6909,""-"")"),6929.0)</f>
        <v>6929</v>
      </c>
      <c r="E6909" s="308" t="str">
        <f>IFERROR(__xludf.DUMMYFUNCTION("""COMPUTED_VALUE"""),"P")</f>
        <v>P</v>
      </c>
      <c r="F6909" s="312" t="s">
        <v>37</v>
      </c>
      <c r="G6909" s="308"/>
      <c r="H6909" s="308" t="s">
        <v>28052</v>
      </c>
      <c r="I6909" s="314">
        <v>44188.0</v>
      </c>
      <c r="J6909" s="319">
        <f>IFERROR(__xludf.DUMMYFUNCTION("SPLIT(I6909,""/"")"),23.0)</f>
        <v>23</v>
      </c>
      <c r="K6909" s="308">
        <f>IFERROR(__xludf.DUMMYFUNCTION("""COMPUTED_VALUE"""),12.0)</f>
        <v>12</v>
      </c>
      <c r="L6909" s="308">
        <f>IFERROR(__xludf.DUMMYFUNCTION("""COMPUTED_VALUE"""),2020.0)</f>
        <v>2020</v>
      </c>
      <c r="M6909" s="308" t="s">
        <v>28053</v>
      </c>
      <c r="N6909" s="308" t="s">
        <v>28054</v>
      </c>
      <c r="O6909" s="308"/>
      <c r="P6909" s="308" t="s">
        <v>28055</v>
      </c>
      <c r="Q6909" s="308" t="s">
        <v>39493</v>
      </c>
      <c r="R6909" s="308" t="s">
        <v>2743</v>
      </c>
      <c r="S6909" s="308" t="s">
        <v>81</v>
      </c>
      <c r="T6909" s="308" t="s">
        <v>75</v>
      </c>
      <c r="U6909" s="308" t="s">
        <v>3012</v>
      </c>
      <c r="V6909" s="308"/>
    </row>
    <row r="6910">
      <c r="A6910" s="308"/>
      <c r="B6910" s="308"/>
      <c r="C6910" s="308" t="s">
        <v>28056</v>
      </c>
      <c r="D6910" s="308">
        <f>IFERROR(__xludf.DUMMYFUNCTION("SPLIT(C6910,""-"")"),6930.0)</f>
        <v>6930</v>
      </c>
      <c r="E6910" s="308" t="str">
        <f>IFERROR(__xludf.DUMMYFUNCTION("""COMPUTED_VALUE"""),"K")</f>
        <v>K</v>
      </c>
      <c r="F6910" s="309" t="s">
        <v>34</v>
      </c>
      <c r="G6910" s="308"/>
      <c r="H6910" s="308" t="s">
        <v>28057</v>
      </c>
      <c r="I6910" s="310">
        <v>41846.0</v>
      </c>
      <c r="J6910" s="319">
        <f>IFERROR(__xludf.DUMMYFUNCTION("SPLIT(I6910,""/"")"),26.0)</f>
        <v>26</v>
      </c>
      <c r="K6910" s="308">
        <f>IFERROR(__xludf.DUMMYFUNCTION("""COMPUTED_VALUE"""),7.0)</f>
        <v>7</v>
      </c>
      <c r="L6910" s="308">
        <f>IFERROR(__xludf.DUMMYFUNCTION("""COMPUTED_VALUE"""),2014.0)</f>
        <v>2014</v>
      </c>
      <c r="M6910" s="308" t="s">
        <v>28058</v>
      </c>
      <c r="N6910" s="308" t="s">
        <v>28059</v>
      </c>
      <c r="O6910" s="308" t="s">
        <v>28060</v>
      </c>
      <c r="P6910" s="308" t="s">
        <v>136</v>
      </c>
      <c r="Q6910" s="308" t="s">
        <v>39493</v>
      </c>
      <c r="R6910" s="308" t="s">
        <v>2743</v>
      </c>
      <c r="S6910" s="315" t="s">
        <v>100</v>
      </c>
      <c r="T6910" s="308" t="s">
        <v>34208</v>
      </c>
      <c r="U6910" s="308" t="s">
        <v>125</v>
      </c>
      <c r="V6910" s="308"/>
    </row>
    <row r="6911">
      <c r="A6911" s="308"/>
      <c r="B6911" s="308"/>
      <c r="C6911" s="308" t="s">
        <v>28061</v>
      </c>
      <c r="D6911" s="308">
        <f>IFERROR(__xludf.DUMMYFUNCTION("SPLIT(C6911,""-"")"),6931.0)</f>
        <v>6931</v>
      </c>
      <c r="E6911" s="308" t="str">
        <f>IFERROR(__xludf.DUMMYFUNCTION("""COMPUTED_VALUE"""),"K")</f>
        <v>K</v>
      </c>
      <c r="F6911" s="309" t="s">
        <v>34</v>
      </c>
      <c r="G6911" s="308"/>
      <c r="H6911" s="308" t="s">
        <v>28062</v>
      </c>
      <c r="I6911" s="310">
        <v>39694.0</v>
      </c>
      <c r="J6911" s="319">
        <f>IFERROR(__xludf.DUMMYFUNCTION("SPLIT(I6911,""/"")"),3.0)</f>
        <v>3</v>
      </c>
      <c r="K6911" s="308">
        <f>IFERROR(__xludf.DUMMYFUNCTION("""COMPUTED_VALUE"""),9.0)</f>
        <v>9</v>
      </c>
      <c r="L6911" s="308">
        <f>IFERROR(__xludf.DUMMYFUNCTION("""COMPUTED_VALUE"""),2008.0)</f>
        <v>2008</v>
      </c>
      <c r="M6911" s="308" t="s">
        <v>28063</v>
      </c>
      <c r="N6911" s="308" t="s">
        <v>28064</v>
      </c>
      <c r="O6911" s="308"/>
      <c r="P6911" s="308" t="s">
        <v>136</v>
      </c>
      <c r="Q6911" s="308" t="s">
        <v>39494</v>
      </c>
      <c r="R6911" s="308" t="s">
        <v>2743</v>
      </c>
      <c r="S6911" s="315" t="s">
        <v>100</v>
      </c>
      <c r="T6911" s="308" t="s">
        <v>34208</v>
      </c>
      <c r="U6911" s="308" t="s">
        <v>530</v>
      </c>
      <c r="V6911" s="308"/>
    </row>
    <row r="6912">
      <c r="A6912" s="308"/>
      <c r="B6912" s="308"/>
      <c r="C6912" s="308" t="s">
        <v>28065</v>
      </c>
      <c r="D6912" s="308">
        <f>IFERROR(__xludf.DUMMYFUNCTION("SPLIT(C6912,""-"")"),6932.0)</f>
        <v>6932</v>
      </c>
      <c r="E6912" s="308" t="str">
        <f>IFERROR(__xludf.DUMMYFUNCTION("""COMPUTED_VALUE"""),"S")</f>
        <v>S</v>
      </c>
      <c r="F6912" s="312" t="s">
        <v>39</v>
      </c>
      <c r="G6912" s="308"/>
      <c r="H6912" s="308" t="s">
        <v>28066</v>
      </c>
      <c r="I6912" s="310">
        <v>42251.0</v>
      </c>
      <c r="J6912" s="319">
        <f>IFERROR(__xludf.DUMMYFUNCTION("SPLIT(I6912,""/"")"),4.0)</f>
        <v>4</v>
      </c>
      <c r="K6912" s="308">
        <f>IFERROR(__xludf.DUMMYFUNCTION("""COMPUTED_VALUE"""),9.0)</f>
        <v>9</v>
      </c>
      <c r="L6912" s="308">
        <f>IFERROR(__xludf.DUMMYFUNCTION("""COMPUTED_VALUE"""),2015.0)</f>
        <v>2015</v>
      </c>
      <c r="M6912" s="308" t="s">
        <v>28067</v>
      </c>
      <c r="N6912" s="308" t="s">
        <v>28068</v>
      </c>
      <c r="O6912" s="308"/>
      <c r="P6912" s="308" t="s">
        <v>136</v>
      </c>
      <c r="Q6912" s="308" t="s">
        <v>39494</v>
      </c>
      <c r="R6912" s="308" t="s">
        <v>2743</v>
      </c>
      <c r="S6912" s="315" t="s">
        <v>100</v>
      </c>
      <c r="T6912" s="308" t="s">
        <v>34208</v>
      </c>
      <c r="U6912" s="308" t="s">
        <v>166</v>
      </c>
      <c r="V6912" s="308"/>
    </row>
    <row r="6913">
      <c r="A6913" s="308"/>
      <c r="B6913" s="308"/>
      <c r="C6913" s="308" t="s">
        <v>28069</v>
      </c>
      <c r="D6913" s="308">
        <f>IFERROR(__xludf.DUMMYFUNCTION("SPLIT(C6913,""-"")"),6933.0)</f>
        <v>6933</v>
      </c>
      <c r="E6913" s="308" t="str">
        <f>IFERROR(__xludf.DUMMYFUNCTION("""COMPUTED_VALUE"""),"B")</f>
        <v>B</v>
      </c>
      <c r="F6913" s="315" t="s">
        <v>26</v>
      </c>
      <c r="G6913" s="308"/>
      <c r="H6913" s="308" t="s">
        <v>28070</v>
      </c>
      <c r="I6913" s="310">
        <v>42109.0</v>
      </c>
      <c r="J6913" s="319">
        <f>IFERROR(__xludf.DUMMYFUNCTION("SPLIT(I6913,""/"")"),15.0)</f>
        <v>15</v>
      </c>
      <c r="K6913" s="308">
        <f>IFERROR(__xludf.DUMMYFUNCTION("""COMPUTED_VALUE"""),4.0)</f>
        <v>4</v>
      </c>
      <c r="L6913" s="308">
        <f>IFERROR(__xludf.DUMMYFUNCTION("""COMPUTED_VALUE"""),2015.0)</f>
        <v>2015</v>
      </c>
      <c r="M6913" s="308" t="s">
        <v>28071</v>
      </c>
      <c r="N6913" s="308" t="s">
        <v>28072</v>
      </c>
      <c r="O6913" s="308"/>
      <c r="P6913" s="308" t="s">
        <v>28073</v>
      </c>
      <c r="Q6913" s="308" t="s">
        <v>39494</v>
      </c>
      <c r="R6913" s="308" t="s">
        <v>16185</v>
      </c>
      <c r="S6913" s="308" t="s">
        <v>49</v>
      </c>
      <c r="T6913" s="311" t="s">
        <v>51</v>
      </c>
      <c r="U6913" s="308" t="s">
        <v>27</v>
      </c>
      <c r="V6913" s="308"/>
    </row>
    <row r="6914">
      <c r="A6914" s="308"/>
      <c r="B6914" s="308"/>
      <c r="C6914" s="308" t="s">
        <v>28074</v>
      </c>
      <c r="D6914" s="308">
        <f>IFERROR(__xludf.DUMMYFUNCTION("SPLIT(C6914,""-"")"),6934.0)</f>
        <v>6934</v>
      </c>
      <c r="E6914" s="308" t="str">
        <f>IFERROR(__xludf.DUMMYFUNCTION("""COMPUTED_VALUE"""),"S")</f>
        <v>S</v>
      </c>
      <c r="F6914" s="312" t="s">
        <v>39</v>
      </c>
      <c r="G6914" s="308"/>
      <c r="H6914" s="308" t="s">
        <v>28075</v>
      </c>
      <c r="I6914" s="310">
        <v>44197.0</v>
      </c>
      <c r="J6914" s="319">
        <f>IFERROR(__xludf.DUMMYFUNCTION("SPLIT(I6914,""/"")"),1.0)</f>
        <v>1</v>
      </c>
      <c r="K6914" s="308">
        <f>IFERROR(__xludf.DUMMYFUNCTION("""COMPUTED_VALUE"""),1.0)</f>
        <v>1</v>
      </c>
      <c r="L6914" s="308">
        <f>IFERROR(__xludf.DUMMYFUNCTION("""COMPUTED_VALUE"""),2021.0)</f>
        <v>2021</v>
      </c>
      <c r="M6914" s="308" t="s">
        <v>28076</v>
      </c>
      <c r="N6914" s="308" t="s">
        <v>28077</v>
      </c>
      <c r="O6914" s="308"/>
      <c r="P6914" s="308" t="s">
        <v>39495</v>
      </c>
      <c r="Q6914" s="308" t="s">
        <v>39494</v>
      </c>
      <c r="R6914" s="308" t="s">
        <v>2743</v>
      </c>
      <c r="S6914" s="308" t="s">
        <v>81</v>
      </c>
      <c r="T6914" s="311" t="s">
        <v>51</v>
      </c>
      <c r="U6914" s="308" t="s">
        <v>166</v>
      </c>
      <c r="V6914" s="308"/>
    </row>
    <row r="6915">
      <c r="A6915" s="308"/>
      <c r="B6915" s="308"/>
      <c r="C6915" s="308" t="s">
        <v>28079</v>
      </c>
      <c r="D6915" s="308">
        <f>IFERROR(__xludf.DUMMYFUNCTION("SPLIT(C6915,""-"")"),6935.0)</f>
        <v>6935</v>
      </c>
      <c r="E6915" s="308" t="str">
        <f>IFERROR(__xludf.DUMMYFUNCTION("""COMPUTED_VALUE"""),"P")</f>
        <v>P</v>
      </c>
      <c r="F6915" s="312" t="s">
        <v>37</v>
      </c>
      <c r="G6915" s="308"/>
      <c r="H6915" s="308" t="s">
        <v>28080</v>
      </c>
      <c r="I6915" s="314">
        <v>41957.0</v>
      </c>
      <c r="J6915" s="319">
        <f>IFERROR(__xludf.DUMMYFUNCTION("SPLIT(I6915,""/"")"),14.0)</f>
        <v>14</v>
      </c>
      <c r="K6915" s="308">
        <f>IFERROR(__xludf.DUMMYFUNCTION("""COMPUTED_VALUE"""),11.0)</f>
        <v>11</v>
      </c>
      <c r="L6915" s="308">
        <f>IFERROR(__xludf.DUMMYFUNCTION("""COMPUTED_VALUE"""),2014.0)</f>
        <v>2014</v>
      </c>
      <c r="M6915" s="308" t="s">
        <v>28081</v>
      </c>
      <c r="N6915" s="308" t="s">
        <v>28082</v>
      </c>
      <c r="O6915" s="308"/>
      <c r="P6915" s="308" t="s">
        <v>136</v>
      </c>
      <c r="Q6915" s="308" t="s">
        <v>39494</v>
      </c>
      <c r="R6915" s="308" t="s">
        <v>2743</v>
      </c>
      <c r="S6915" s="315" t="s">
        <v>100</v>
      </c>
      <c r="T6915" s="308" t="s">
        <v>34208</v>
      </c>
      <c r="U6915" s="308" t="s">
        <v>4001</v>
      </c>
      <c r="V6915" s="308"/>
    </row>
    <row r="6916">
      <c r="A6916" s="308"/>
      <c r="B6916" s="308"/>
      <c r="C6916" s="308" t="s">
        <v>28083</v>
      </c>
      <c r="D6916" s="308">
        <f>IFERROR(__xludf.DUMMYFUNCTION("SPLIT(C6916,""-"")"),6936.0)</f>
        <v>6936</v>
      </c>
      <c r="E6916" s="308" t="str">
        <f>IFERROR(__xludf.DUMMYFUNCTION("""COMPUTED_VALUE"""),"K")</f>
        <v>K</v>
      </c>
      <c r="F6916" s="309" t="s">
        <v>34</v>
      </c>
      <c r="G6916" s="308"/>
      <c r="H6916" s="308" t="s">
        <v>28084</v>
      </c>
      <c r="I6916" s="310">
        <v>41801.0</v>
      </c>
      <c r="J6916" s="319">
        <f>IFERROR(__xludf.DUMMYFUNCTION("SPLIT(I6916,""/"")"),11.0)</f>
        <v>11</v>
      </c>
      <c r="K6916" s="308">
        <f>IFERROR(__xludf.DUMMYFUNCTION("""COMPUTED_VALUE"""),6.0)</f>
        <v>6</v>
      </c>
      <c r="L6916" s="308">
        <f>IFERROR(__xludf.DUMMYFUNCTION("""COMPUTED_VALUE"""),2014.0)</f>
        <v>2014</v>
      </c>
      <c r="M6916" s="308" t="s">
        <v>28085</v>
      </c>
      <c r="N6916" s="308" t="s">
        <v>39496</v>
      </c>
      <c r="O6916" s="308"/>
      <c r="P6916" s="308" t="s">
        <v>136</v>
      </c>
      <c r="Q6916" s="308" t="s">
        <v>39497</v>
      </c>
      <c r="R6916" s="308" t="s">
        <v>2743</v>
      </c>
      <c r="S6916" s="315" t="s">
        <v>100</v>
      </c>
      <c r="T6916" s="308" t="s">
        <v>34208</v>
      </c>
      <c r="U6916" s="308" t="s">
        <v>166</v>
      </c>
      <c r="V6916" s="308"/>
    </row>
    <row r="6917">
      <c r="A6917" s="308"/>
      <c r="B6917" s="308"/>
      <c r="C6917" s="308" t="s">
        <v>28087</v>
      </c>
      <c r="D6917" s="308">
        <f>IFERROR(__xludf.DUMMYFUNCTION("SPLIT(C6917,""-"")"),6937.0)</f>
        <v>6937</v>
      </c>
      <c r="E6917" s="308" t="str">
        <f>IFERROR(__xludf.DUMMYFUNCTION("""COMPUTED_VALUE"""),"P")</f>
        <v>P</v>
      </c>
      <c r="F6917" s="312" t="s">
        <v>37</v>
      </c>
      <c r="G6917" s="308"/>
      <c r="H6917" s="308" t="s">
        <v>28088</v>
      </c>
      <c r="I6917" s="310">
        <v>41821.0</v>
      </c>
      <c r="J6917" s="319">
        <f>IFERROR(__xludf.DUMMYFUNCTION("SPLIT(I6917,""/"")"),1.0)</f>
        <v>1</v>
      </c>
      <c r="K6917" s="308">
        <f>IFERROR(__xludf.DUMMYFUNCTION("""COMPUTED_VALUE"""),7.0)</f>
        <v>7</v>
      </c>
      <c r="L6917" s="308">
        <f>IFERROR(__xludf.DUMMYFUNCTION("""COMPUTED_VALUE"""),2014.0)</f>
        <v>2014</v>
      </c>
      <c r="M6917" s="308" t="s">
        <v>28089</v>
      </c>
      <c r="N6917" s="308" t="s">
        <v>27394</v>
      </c>
      <c r="O6917" s="308"/>
      <c r="P6917" s="308" t="s">
        <v>136</v>
      </c>
      <c r="Q6917" s="308" t="s">
        <v>39497</v>
      </c>
      <c r="R6917" s="308" t="s">
        <v>2743</v>
      </c>
      <c r="S6917" s="315" t="s">
        <v>100</v>
      </c>
      <c r="T6917" s="308" t="s">
        <v>34208</v>
      </c>
      <c r="U6917" s="308" t="s">
        <v>143</v>
      </c>
      <c r="V6917" s="308"/>
    </row>
    <row r="6918">
      <c r="A6918" s="308"/>
      <c r="B6918" s="308"/>
      <c r="C6918" s="308" t="s">
        <v>28090</v>
      </c>
      <c r="D6918" s="308">
        <f>IFERROR(__xludf.DUMMYFUNCTION("SPLIT(C6918,""-"")"),6938.0)</f>
        <v>6938</v>
      </c>
      <c r="E6918" s="308" t="str">
        <f>IFERROR(__xludf.DUMMYFUNCTION("""COMPUTED_VALUE"""),"I")</f>
        <v>I</v>
      </c>
      <c r="F6918" s="309" t="s">
        <v>31</v>
      </c>
      <c r="G6918" s="308"/>
      <c r="H6918" s="308" t="s">
        <v>28091</v>
      </c>
      <c r="I6918" s="314">
        <v>42653.0</v>
      </c>
      <c r="J6918" s="319">
        <f>IFERROR(__xludf.DUMMYFUNCTION("SPLIT(I6918,""/"")"),10.0)</f>
        <v>10</v>
      </c>
      <c r="K6918" s="308">
        <f>IFERROR(__xludf.DUMMYFUNCTION("""COMPUTED_VALUE"""),10.0)</f>
        <v>10</v>
      </c>
      <c r="L6918" s="308">
        <f>IFERROR(__xludf.DUMMYFUNCTION("""COMPUTED_VALUE"""),2016.0)</f>
        <v>2016</v>
      </c>
      <c r="M6918" s="308" t="s">
        <v>28092</v>
      </c>
      <c r="N6918" s="308" t="s">
        <v>28093</v>
      </c>
      <c r="O6918" s="308" t="s">
        <v>28094</v>
      </c>
      <c r="P6918" s="308" t="s">
        <v>136</v>
      </c>
      <c r="Q6918" s="308" t="s">
        <v>39497</v>
      </c>
      <c r="R6918" s="308" t="s">
        <v>2743</v>
      </c>
      <c r="S6918" s="315" t="s">
        <v>100</v>
      </c>
      <c r="T6918" s="308" t="s">
        <v>34208</v>
      </c>
      <c r="U6918" s="308" t="s">
        <v>31</v>
      </c>
      <c r="V6918" s="308"/>
    </row>
    <row r="6919">
      <c r="A6919" s="308"/>
      <c r="B6919" s="308"/>
      <c r="C6919" s="308" t="s">
        <v>28095</v>
      </c>
      <c r="D6919" s="308">
        <f>IFERROR(__xludf.DUMMYFUNCTION("SPLIT(C6919,""-"")"),6939.0)</f>
        <v>6939</v>
      </c>
      <c r="E6919" s="308" t="str">
        <f>IFERROR(__xludf.DUMMYFUNCTION("""COMPUTED_VALUE"""),"K")</f>
        <v>K</v>
      </c>
      <c r="F6919" s="309" t="s">
        <v>34</v>
      </c>
      <c r="G6919" s="308"/>
      <c r="H6919" s="308" t="s">
        <v>28096</v>
      </c>
      <c r="I6919" s="310">
        <v>44105.0</v>
      </c>
      <c r="J6919" s="319">
        <f>IFERROR(__xludf.DUMMYFUNCTION("SPLIT(I6919,""/"")"),1.0)</f>
        <v>1</v>
      </c>
      <c r="K6919" s="308">
        <f>IFERROR(__xludf.DUMMYFUNCTION("""COMPUTED_VALUE"""),10.0)</f>
        <v>10</v>
      </c>
      <c r="L6919" s="308">
        <f>IFERROR(__xludf.DUMMYFUNCTION("""COMPUTED_VALUE"""),2020.0)</f>
        <v>2020</v>
      </c>
      <c r="M6919" s="308" t="s">
        <v>28097</v>
      </c>
      <c r="N6919" s="308" t="s">
        <v>39498</v>
      </c>
      <c r="O6919" s="308"/>
      <c r="P6919" s="308" t="s">
        <v>39499</v>
      </c>
      <c r="Q6919" s="308" t="s">
        <v>39500</v>
      </c>
      <c r="R6919" s="308" t="s">
        <v>2743</v>
      </c>
      <c r="S6919" s="308" t="s">
        <v>81</v>
      </c>
      <c r="T6919" s="308" t="s">
        <v>34264</v>
      </c>
      <c r="U6919" s="308" t="s">
        <v>22473</v>
      </c>
      <c r="V6919" s="308"/>
    </row>
    <row r="6920">
      <c r="A6920" s="308"/>
      <c r="B6920" s="308"/>
      <c r="C6920" s="308" t="s">
        <v>28100</v>
      </c>
      <c r="D6920" s="308">
        <f>IFERROR(__xludf.DUMMYFUNCTION("SPLIT(C6920,""-"")"),6940.0)</f>
        <v>6940</v>
      </c>
      <c r="E6920" s="308" t="str">
        <f>IFERROR(__xludf.DUMMYFUNCTION("""COMPUTED_VALUE"""),"K")</f>
        <v>K</v>
      </c>
      <c r="F6920" s="309" t="s">
        <v>34</v>
      </c>
      <c r="G6920" s="308"/>
      <c r="H6920" s="308" t="s">
        <v>28101</v>
      </c>
      <c r="I6920" s="310">
        <v>44105.0</v>
      </c>
      <c r="J6920" s="319">
        <f>IFERROR(__xludf.DUMMYFUNCTION("SPLIT(I6920,""/"")"),1.0)</f>
        <v>1</v>
      </c>
      <c r="K6920" s="308">
        <f>IFERROR(__xludf.DUMMYFUNCTION("""COMPUTED_VALUE"""),10.0)</f>
        <v>10</v>
      </c>
      <c r="L6920" s="308">
        <f>IFERROR(__xludf.DUMMYFUNCTION("""COMPUTED_VALUE"""),2020.0)</f>
        <v>2020</v>
      </c>
      <c r="M6920" s="308" t="s">
        <v>28097</v>
      </c>
      <c r="N6920" s="308" t="s">
        <v>39498</v>
      </c>
      <c r="O6920" s="308"/>
      <c r="P6920" s="308" t="s">
        <v>39501</v>
      </c>
      <c r="Q6920" s="308" t="s">
        <v>39500</v>
      </c>
      <c r="R6920" s="308" t="s">
        <v>2743</v>
      </c>
      <c r="S6920" s="308" t="s">
        <v>81</v>
      </c>
      <c r="T6920" s="308" t="s">
        <v>34264</v>
      </c>
      <c r="U6920" s="308" t="s">
        <v>22473</v>
      </c>
      <c r="V6920" s="308"/>
    </row>
    <row r="6921">
      <c r="A6921" s="308"/>
      <c r="B6921" s="308"/>
      <c r="C6921" s="308" t="s">
        <v>28103</v>
      </c>
      <c r="D6921" s="308">
        <f>IFERROR(__xludf.DUMMYFUNCTION("SPLIT(C6921,""-"")"),6941.0)</f>
        <v>6941</v>
      </c>
      <c r="E6921" s="308" t="str">
        <f>IFERROR(__xludf.DUMMYFUNCTION("""COMPUTED_VALUE"""),"S")</f>
        <v>S</v>
      </c>
      <c r="F6921" s="312" t="s">
        <v>39</v>
      </c>
      <c r="G6921" s="308"/>
      <c r="H6921" s="308" t="s">
        <v>28104</v>
      </c>
      <c r="I6921" s="310">
        <v>44000.0</v>
      </c>
      <c r="J6921" s="319">
        <f>IFERROR(__xludf.DUMMYFUNCTION("SPLIT(I6921,""/"")"),18.0)</f>
        <v>18</v>
      </c>
      <c r="K6921" s="308">
        <f>IFERROR(__xludf.DUMMYFUNCTION("""COMPUTED_VALUE"""),6.0)</f>
        <v>6</v>
      </c>
      <c r="L6921" s="308">
        <f>IFERROR(__xludf.DUMMYFUNCTION("""COMPUTED_VALUE"""),2020.0)</f>
        <v>2020</v>
      </c>
      <c r="M6921" s="308" t="s">
        <v>28105</v>
      </c>
      <c r="N6921" s="308" t="s">
        <v>28106</v>
      </c>
      <c r="O6921" s="308"/>
      <c r="P6921" s="308" t="s">
        <v>39502</v>
      </c>
      <c r="Q6921" s="308" t="s">
        <v>39500</v>
      </c>
      <c r="R6921" s="308" t="s">
        <v>2743</v>
      </c>
      <c r="S6921" s="308" t="s">
        <v>81</v>
      </c>
      <c r="T6921" s="308" t="s">
        <v>73</v>
      </c>
      <c r="U6921" s="308" t="s">
        <v>166</v>
      </c>
      <c r="V6921" s="308"/>
    </row>
    <row r="6922">
      <c r="A6922" s="308"/>
      <c r="B6922" s="308"/>
      <c r="C6922" s="308" t="s">
        <v>28108</v>
      </c>
      <c r="D6922" s="308">
        <f>IFERROR(__xludf.DUMMYFUNCTION("SPLIT(C6922,""-"")"),6942.0)</f>
        <v>6942</v>
      </c>
      <c r="E6922" s="308" t="str">
        <f>IFERROR(__xludf.DUMMYFUNCTION("""COMPUTED_VALUE"""),"I")</f>
        <v>I</v>
      </c>
      <c r="F6922" s="309" t="s">
        <v>31</v>
      </c>
      <c r="G6922" s="308"/>
      <c r="H6922" s="308" t="s">
        <v>28109</v>
      </c>
      <c r="I6922" s="314">
        <v>44192.0</v>
      </c>
      <c r="J6922" s="319">
        <f>IFERROR(__xludf.DUMMYFUNCTION("SPLIT(I6922,""/"")"),27.0)</f>
        <v>27</v>
      </c>
      <c r="K6922" s="308">
        <f>IFERROR(__xludf.DUMMYFUNCTION("""COMPUTED_VALUE"""),12.0)</f>
        <v>12</v>
      </c>
      <c r="L6922" s="308">
        <f>IFERROR(__xludf.DUMMYFUNCTION("""COMPUTED_VALUE"""),2020.0)</f>
        <v>2020</v>
      </c>
      <c r="M6922" s="308" t="s">
        <v>28110</v>
      </c>
      <c r="N6922" s="308" t="s">
        <v>28111</v>
      </c>
      <c r="O6922" s="308" t="s">
        <v>28112</v>
      </c>
      <c r="P6922" s="308" t="s">
        <v>39503</v>
      </c>
      <c r="Q6922" s="308" t="s">
        <v>39500</v>
      </c>
      <c r="R6922" s="308" t="s">
        <v>2743</v>
      </c>
      <c r="S6922" s="308" t="s">
        <v>81</v>
      </c>
      <c r="T6922" s="311" t="s">
        <v>35043</v>
      </c>
      <c r="U6922" s="308" t="s">
        <v>31</v>
      </c>
      <c r="V6922" s="308"/>
    </row>
    <row r="6923">
      <c r="A6923" s="308"/>
      <c r="B6923" s="308"/>
      <c r="C6923" s="308" t="s">
        <v>28114</v>
      </c>
      <c r="D6923" s="308">
        <f>IFERROR(__xludf.DUMMYFUNCTION("SPLIT(C6923,""-"")"),6943.0)</f>
        <v>6943</v>
      </c>
      <c r="E6923" s="308" t="str">
        <f>IFERROR(__xludf.DUMMYFUNCTION("""COMPUTED_VALUE"""),"K")</f>
        <v>K</v>
      </c>
      <c r="F6923" s="309" t="s">
        <v>34</v>
      </c>
      <c r="G6923" s="308"/>
      <c r="H6923" s="308" t="s">
        <v>28115</v>
      </c>
      <c r="I6923" s="314">
        <v>43789.0</v>
      </c>
      <c r="J6923" s="319">
        <f>IFERROR(__xludf.DUMMYFUNCTION("SPLIT(I6923,""/"")"),20.0)</f>
        <v>20</v>
      </c>
      <c r="K6923" s="308">
        <f>IFERROR(__xludf.DUMMYFUNCTION("""COMPUTED_VALUE"""),11.0)</f>
        <v>11</v>
      </c>
      <c r="L6923" s="308">
        <f>IFERROR(__xludf.DUMMYFUNCTION("""COMPUTED_VALUE"""),2019.0)</f>
        <v>2019</v>
      </c>
      <c r="M6923" s="308" t="s">
        <v>28116</v>
      </c>
      <c r="N6923" s="308" t="s">
        <v>27394</v>
      </c>
      <c r="O6923" s="308"/>
      <c r="P6923" s="308" t="s">
        <v>39504</v>
      </c>
      <c r="Q6923" s="308" t="s">
        <v>39505</v>
      </c>
      <c r="R6923" s="308" t="s">
        <v>2743</v>
      </c>
      <c r="S6923" s="308" t="s">
        <v>81</v>
      </c>
      <c r="T6923" s="308" t="s">
        <v>34264</v>
      </c>
      <c r="U6923" s="308" t="s">
        <v>27994</v>
      </c>
      <c r="V6923" s="308"/>
    </row>
    <row r="6924">
      <c r="A6924" s="308"/>
      <c r="B6924" s="308"/>
      <c r="C6924" s="308" t="s">
        <v>28118</v>
      </c>
      <c r="D6924" s="308">
        <f>IFERROR(__xludf.DUMMYFUNCTION("SPLIT(C6924,""-"")"),6944.0)</f>
        <v>6944</v>
      </c>
      <c r="E6924" s="308" t="str">
        <f>IFERROR(__xludf.DUMMYFUNCTION("""COMPUTED_VALUE"""),"K")</f>
        <v>K</v>
      </c>
      <c r="F6924" s="309" t="s">
        <v>34</v>
      </c>
      <c r="G6924" s="308"/>
      <c r="H6924" s="308" t="s">
        <v>28119</v>
      </c>
      <c r="I6924" s="310">
        <v>42709.0</v>
      </c>
      <c r="J6924" s="319">
        <f>IFERROR(__xludf.DUMMYFUNCTION("SPLIT(I6924,""/"")"),5.0)</f>
        <v>5</v>
      </c>
      <c r="K6924" s="308">
        <f>IFERROR(__xludf.DUMMYFUNCTION("""COMPUTED_VALUE"""),12.0)</f>
        <v>12</v>
      </c>
      <c r="L6924" s="308">
        <f>IFERROR(__xludf.DUMMYFUNCTION("""COMPUTED_VALUE"""),2016.0)</f>
        <v>2016</v>
      </c>
      <c r="M6924" s="308" t="s">
        <v>28120</v>
      </c>
      <c r="N6924" s="308" t="s">
        <v>28121</v>
      </c>
      <c r="O6924" s="308"/>
      <c r="P6924" s="308" t="s">
        <v>136</v>
      </c>
      <c r="Q6924" s="308" t="s">
        <v>39506</v>
      </c>
      <c r="R6924" s="308" t="s">
        <v>2743</v>
      </c>
      <c r="S6924" s="315" t="s">
        <v>100</v>
      </c>
      <c r="T6924" s="308" t="s">
        <v>34208</v>
      </c>
      <c r="U6924" s="308" t="s">
        <v>26526</v>
      </c>
      <c r="V6924" s="308" t="s">
        <v>28122</v>
      </c>
    </row>
    <row r="6925">
      <c r="A6925" s="308"/>
      <c r="B6925" s="308"/>
      <c r="C6925" s="308" t="s">
        <v>28123</v>
      </c>
      <c r="D6925" s="308">
        <f>IFERROR(__xludf.DUMMYFUNCTION("SPLIT(C6925,""-"")"),6945.0)</f>
        <v>6945</v>
      </c>
      <c r="E6925" s="308" t="str">
        <f>IFERROR(__xludf.DUMMYFUNCTION("""COMPUTED_VALUE"""),"P")</f>
        <v>P</v>
      </c>
      <c r="F6925" s="312" t="s">
        <v>37</v>
      </c>
      <c r="G6925" s="308"/>
      <c r="H6925" s="308" t="s">
        <v>28124</v>
      </c>
      <c r="I6925" s="310">
        <v>44205.0</v>
      </c>
      <c r="J6925" s="319">
        <f>IFERROR(__xludf.DUMMYFUNCTION("SPLIT(I6925,""/"")"),9.0)</f>
        <v>9</v>
      </c>
      <c r="K6925" s="308">
        <f>IFERROR(__xludf.DUMMYFUNCTION("""COMPUTED_VALUE"""),1.0)</f>
        <v>1</v>
      </c>
      <c r="L6925" s="308">
        <f>IFERROR(__xludf.DUMMYFUNCTION("""COMPUTED_VALUE"""),2021.0)</f>
        <v>2021</v>
      </c>
      <c r="M6925" s="308" t="s">
        <v>28125</v>
      </c>
      <c r="N6925" s="308" t="s">
        <v>39507</v>
      </c>
      <c r="O6925" s="308"/>
      <c r="P6925" s="308" t="s">
        <v>39508</v>
      </c>
      <c r="Q6925" s="308" t="s">
        <v>39509</v>
      </c>
      <c r="R6925" s="308" t="s">
        <v>2743</v>
      </c>
      <c r="S6925" s="308" t="s">
        <v>81</v>
      </c>
      <c r="T6925" s="311" t="s">
        <v>75</v>
      </c>
      <c r="U6925" s="308" t="s">
        <v>17743</v>
      </c>
      <c r="V6925" s="308" t="s">
        <v>28128</v>
      </c>
    </row>
    <row r="6926">
      <c r="A6926" s="308"/>
      <c r="B6926" s="308"/>
      <c r="C6926" s="308" t="s">
        <v>28129</v>
      </c>
      <c r="D6926" s="308">
        <f>IFERROR(__xludf.DUMMYFUNCTION("SPLIT(C6926,""-"")"),6946.0)</f>
        <v>6946</v>
      </c>
      <c r="E6926" s="308" t="str">
        <f>IFERROR(__xludf.DUMMYFUNCTION("""COMPUTED_VALUE"""),"K")</f>
        <v>K</v>
      </c>
      <c r="F6926" s="309" t="s">
        <v>34</v>
      </c>
      <c r="G6926" s="308"/>
      <c r="H6926" s="308" t="s">
        <v>28130</v>
      </c>
      <c r="I6926" s="310">
        <v>43879.0</v>
      </c>
      <c r="J6926" s="319">
        <f>IFERROR(__xludf.DUMMYFUNCTION("SPLIT(I6926,""/"")"),18.0)</f>
        <v>18</v>
      </c>
      <c r="K6926" s="308">
        <f>IFERROR(__xludf.DUMMYFUNCTION("""COMPUTED_VALUE"""),2.0)</f>
        <v>2</v>
      </c>
      <c r="L6926" s="308">
        <f>IFERROR(__xludf.DUMMYFUNCTION("""COMPUTED_VALUE"""),2020.0)</f>
        <v>2020</v>
      </c>
      <c r="M6926" s="308" t="s">
        <v>28131</v>
      </c>
      <c r="N6926" s="308" t="s">
        <v>39510</v>
      </c>
      <c r="O6926" s="308"/>
      <c r="P6926" s="308" t="s">
        <v>39511</v>
      </c>
      <c r="Q6926" s="308" t="s">
        <v>39509</v>
      </c>
      <c r="R6926" s="308" t="s">
        <v>2743</v>
      </c>
      <c r="S6926" s="308" t="s">
        <v>81</v>
      </c>
      <c r="T6926" s="308" t="s">
        <v>34264</v>
      </c>
      <c r="U6926" s="308" t="s">
        <v>872</v>
      </c>
      <c r="V6926" s="308"/>
    </row>
    <row r="6927">
      <c r="A6927" s="308"/>
      <c r="B6927" s="308"/>
      <c r="C6927" s="308" t="s">
        <v>28134</v>
      </c>
      <c r="D6927" s="308">
        <f>IFERROR(__xludf.DUMMYFUNCTION("SPLIT(C6927,""-"")"),6947.0)</f>
        <v>6947</v>
      </c>
      <c r="E6927" s="308" t="str">
        <f>IFERROR(__xludf.DUMMYFUNCTION("""COMPUTED_VALUE"""),"K")</f>
        <v>K</v>
      </c>
      <c r="F6927" s="309" t="s">
        <v>34</v>
      </c>
      <c r="G6927" s="308"/>
      <c r="H6927" s="308" t="s">
        <v>28135</v>
      </c>
      <c r="I6927" s="310">
        <v>44040.0</v>
      </c>
      <c r="J6927" s="319">
        <f>IFERROR(__xludf.DUMMYFUNCTION("SPLIT(I6927,""/"")"),28.0)</f>
        <v>28</v>
      </c>
      <c r="K6927" s="308">
        <f>IFERROR(__xludf.DUMMYFUNCTION("""COMPUTED_VALUE"""),7.0)</f>
        <v>7</v>
      </c>
      <c r="L6927" s="308">
        <f>IFERROR(__xludf.DUMMYFUNCTION("""COMPUTED_VALUE"""),2020.0)</f>
        <v>2020</v>
      </c>
      <c r="M6927" s="308" t="s">
        <v>28136</v>
      </c>
      <c r="N6927" s="308" t="s">
        <v>439</v>
      </c>
      <c r="O6927" s="308"/>
      <c r="P6927" s="308" t="s">
        <v>136</v>
      </c>
      <c r="Q6927" s="308" t="s">
        <v>39512</v>
      </c>
      <c r="R6927" s="308" t="s">
        <v>2743</v>
      </c>
      <c r="S6927" s="315" t="s">
        <v>100</v>
      </c>
      <c r="T6927" s="308" t="s">
        <v>34208</v>
      </c>
      <c r="U6927" s="308" t="s">
        <v>872</v>
      </c>
      <c r="V6927" s="308"/>
    </row>
    <row r="6928">
      <c r="A6928" s="308"/>
      <c r="B6928" s="308"/>
      <c r="C6928" s="308" t="s">
        <v>28137</v>
      </c>
      <c r="D6928" s="308">
        <f>IFERROR(__xludf.DUMMYFUNCTION("SPLIT(C6928,""-"")"),6948.0)</f>
        <v>6948</v>
      </c>
      <c r="E6928" s="308" t="str">
        <f>IFERROR(__xludf.DUMMYFUNCTION("""COMPUTED_VALUE"""),"B")</f>
        <v>B</v>
      </c>
      <c r="F6928" s="315" t="s">
        <v>26</v>
      </c>
      <c r="G6928" s="308"/>
      <c r="H6928" s="308" t="s">
        <v>28138</v>
      </c>
      <c r="I6928" s="310">
        <v>41579.0</v>
      </c>
      <c r="J6928" s="319">
        <f>IFERROR(__xludf.DUMMYFUNCTION("SPLIT(I6928,""/"")"),1.0)</f>
        <v>1</v>
      </c>
      <c r="K6928" s="308">
        <f>IFERROR(__xludf.DUMMYFUNCTION("""COMPUTED_VALUE"""),11.0)</f>
        <v>11</v>
      </c>
      <c r="L6928" s="308">
        <f>IFERROR(__xludf.DUMMYFUNCTION("""COMPUTED_VALUE"""),2013.0)</f>
        <v>2013</v>
      </c>
      <c r="M6928" s="308" t="s">
        <v>28139</v>
      </c>
      <c r="N6928" s="308" t="s">
        <v>28140</v>
      </c>
      <c r="O6928" s="308" t="s">
        <v>28141</v>
      </c>
      <c r="P6928" s="308" t="s">
        <v>39513</v>
      </c>
      <c r="Q6928" s="308" t="s">
        <v>39512</v>
      </c>
      <c r="R6928" s="308" t="s">
        <v>20958</v>
      </c>
      <c r="S6928" s="308" t="s">
        <v>81</v>
      </c>
      <c r="T6928" s="308" t="s">
        <v>73</v>
      </c>
      <c r="U6928" s="308" t="s">
        <v>872</v>
      </c>
      <c r="V6928" s="308"/>
    </row>
    <row r="6929">
      <c r="A6929" s="308"/>
      <c r="B6929" s="308"/>
      <c r="C6929" s="308" t="s">
        <v>28143</v>
      </c>
      <c r="D6929" s="308">
        <f>IFERROR(__xludf.DUMMYFUNCTION("SPLIT(C6929,""-"")"),6949.0)</f>
        <v>6949</v>
      </c>
      <c r="E6929" s="308" t="str">
        <f>IFERROR(__xludf.DUMMYFUNCTION("""COMPUTED_VALUE"""),"K")</f>
        <v>K</v>
      </c>
      <c r="F6929" s="309" t="s">
        <v>34</v>
      </c>
      <c r="G6929" s="308"/>
      <c r="H6929" s="308" t="s">
        <v>28144</v>
      </c>
      <c r="I6929" s="310">
        <v>42917.0</v>
      </c>
      <c r="J6929" s="319" t="str">
        <f>IFERROR(__xludf.DUMMYFUNCTION("SPLIT(I6929,""/"")"),"#REF!")</f>
        <v>#REF!</v>
      </c>
      <c r="K6929" s="308"/>
      <c r="L6929" s="308">
        <v>2017.0</v>
      </c>
      <c r="M6929" s="308" t="s">
        <v>28145</v>
      </c>
      <c r="N6929" s="308" t="s">
        <v>28146</v>
      </c>
      <c r="O6929" s="308"/>
      <c r="P6929" s="308" t="s">
        <v>39514</v>
      </c>
      <c r="Q6929" s="308" t="s">
        <v>39515</v>
      </c>
      <c r="R6929" s="308" t="s">
        <v>2743</v>
      </c>
      <c r="S6929" s="308" t="s">
        <v>81</v>
      </c>
      <c r="T6929" s="308" t="s">
        <v>34264</v>
      </c>
      <c r="U6929" s="308" t="s">
        <v>530</v>
      </c>
      <c r="V6929" s="308"/>
    </row>
    <row r="6930">
      <c r="A6930" s="308"/>
      <c r="B6930" s="308"/>
      <c r="C6930" s="308" t="s">
        <v>28148</v>
      </c>
      <c r="D6930" s="308">
        <f>IFERROR(__xludf.DUMMYFUNCTION("SPLIT(C6930,""-"")"),6950.0)</f>
        <v>6950</v>
      </c>
      <c r="E6930" s="308" t="str">
        <f>IFERROR(__xludf.DUMMYFUNCTION("""COMPUTED_VALUE"""),"K")</f>
        <v>K</v>
      </c>
      <c r="F6930" s="309" t="s">
        <v>34</v>
      </c>
      <c r="G6930" s="308"/>
      <c r="H6930" s="308" t="s">
        <v>28149</v>
      </c>
      <c r="I6930" s="310">
        <v>39995.0</v>
      </c>
      <c r="J6930" s="319">
        <f>IFERROR(__xludf.DUMMYFUNCTION("SPLIT(I6930,""/"")"),1.0)</f>
        <v>1</v>
      </c>
      <c r="K6930" s="308">
        <f>IFERROR(__xludf.DUMMYFUNCTION("""COMPUTED_VALUE"""),7.0)</f>
        <v>7</v>
      </c>
      <c r="L6930" s="308">
        <f>IFERROR(__xludf.DUMMYFUNCTION("""COMPUTED_VALUE"""),2009.0)</f>
        <v>2009</v>
      </c>
      <c r="M6930" s="308" t="s">
        <v>28150</v>
      </c>
      <c r="N6930" s="308" t="s">
        <v>39516</v>
      </c>
      <c r="O6930" s="308"/>
      <c r="P6930" s="308" t="s">
        <v>39517</v>
      </c>
      <c r="Q6930" s="308" t="s">
        <v>39515</v>
      </c>
      <c r="R6930" s="308" t="s">
        <v>2743</v>
      </c>
      <c r="S6930" s="308" t="s">
        <v>49</v>
      </c>
      <c r="T6930" s="311" t="s">
        <v>57</v>
      </c>
      <c r="U6930" s="308" t="s">
        <v>530</v>
      </c>
      <c r="V6930" s="308"/>
    </row>
    <row r="6931">
      <c r="A6931" s="308"/>
      <c r="B6931" s="308"/>
      <c r="C6931" s="308" t="s">
        <v>28153</v>
      </c>
      <c r="D6931" s="308">
        <f>IFERROR(__xludf.DUMMYFUNCTION("SPLIT(C6931,""-"")"),6951.0)</f>
        <v>6951</v>
      </c>
      <c r="E6931" s="308" t="str">
        <f>IFERROR(__xludf.DUMMYFUNCTION("""COMPUTED_VALUE"""),"P")</f>
        <v>P</v>
      </c>
      <c r="F6931" s="312" t="s">
        <v>37</v>
      </c>
      <c r="G6931" s="308"/>
      <c r="H6931" s="308" t="s">
        <v>28154</v>
      </c>
      <c r="I6931" s="310">
        <v>39995.0</v>
      </c>
      <c r="J6931" s="319">
        <f>IFERROR(__xludf.DUMMYFUNCTION("SPLIT(I6931,""/"")"),1.0)</f>
        <v>1</v>
      </c>
      <c r="K6931" s="308">
        <f>IFERROR(__xludf.DUMMYFUNCTION("""COMPUTED_VALUE"""),7.0)</f>
        <v>7</v>
      </c>
      <c r="L6931" s="308">
        <f>IFERROR(__xludf.DUMMYFUNCTION("""COMPUTED_VALUE"""),2009.0)</f>
        <v>2009</v>
      </c>
      <c r="M6931" s="308" t="s">
        <v>28150</v>
      </c>
      <c r="N6931" s="308" t="s">
        <v>39516</v>
      </c>
      <c r="O6931" s="308"/>
      <c r="P6931" s="308" t="s">
        <v>39518</v>
      </c>
      <c r="Q6931" s="308" t="s">
        <v>39515</v>
      </c>
      <c r="R6931" s="308" t="s">
        <v>2743</v>
      </c>
      <c r="S6931" s="308" t="s">
        <v>81</v>
      </c>
      <c r="T6931" s="308" t="s">
        <v>34264</v>
      </c>
      <c r="U6931" s="308" t="s">
        <v>2291</v>
      </c>
      <c r="V6931" s="308"/>
    </row>
    <row r="6932">
      <c r="A6932" s="308"/>
      <c r="B6932" s="308"/>
      <c r="C6932" s="308" t="s">
        <v>28156</v>
      </c>
      <c r="D6932" s="308">
        <f>IFERROR(__xludf.DUMMYFUNCTION("SPLIT(C6932,""-"")"),6952.0)</f>
        <v>6952</v>
      </c>
      <c r="E6932" s="308" t="str">
        <f>IFERROR(__xludf.DUMMYFUNCTION("""COMPUTED_VALUE"""),"K")</f>
        <v>K</v>
      </c>
      <c r="F6932" s="309" t="s">
        <v>34</v>
      </c>
      <c r="G6932" s="308"/>
      <c r="H6932" s="308" t="s">
        <v>28157</v>
      </c>
      <c r="I6932" s="310">
        <v>44209.0</v>
      </c>
      <c r="J6932" s="319">
        <f>IFERROR(__xludf.DUMMYFUNCTION("SPLIT(I6932,""/"")"),13.0)</f>
        <v>13</v>
      </c>
      <c r="K6932" s="308">
        <f>IFERROR(__xludf.DUMMYFUNCTION("""COMPUTED_VALUE"""),1.0)</f>
        <v>1</v>
      </c>
      <c r="L6932" s="308">
        <f>IFERROR(__xludf.DUMMYFUNCTION("""COMPUTED_VALUE"""),2021.0)</f>
        <v>2021</v>
      </c>
      <c r="M6932" s="308" t="s">
        <v>28158</v>
      </c>
      <c r="N6932" s="308" t="s">
        <v>28159</v>
      </c>
      <c r="O6932" s="308"/>
      <c r="P6932" s="308" t="s">
        <v>28160</v>
      </c>
      <c r="Q6932" s="308" t="s">
        <v>39519</v>
      </c>
      <c r="R6932" s="308" t="s">
        <v>26929</v>
      </c>
      <c r="S6932" s="308" t="s">
        <v>81</v>
      </c>
      <c r="T6932" s="308" t="s">
        <v>34264</v>
      </c>
      <c r="U6932" s="308" t="s">
        <v>26546</v>
      </c>
      <c r="V6932" s="308"/>
    </row>
    <row r="6933">
      <c r="A6933" s="308"/>
      <c r="B6933" s="308"/>
      <c r="C6933" s="308" t="s">
        <v>28161</v>
      </c>
      <c r="D6933" s="308">
        <f>IFERROR(__xludf.DUMMYFUNCTION("SPLIT(C6933,""-"")"),6953.0)</f>
        <v>6953</v>
      </c>
      <c r="E6933" s="308" t="str">
        <f>IFERROR(__xludf.DUMMYFUNCTION("""COMPUTED_VALUE"""),"K")</f>
        <v>K</v>
      </c>
      <c r="F6933" s="309" t="s">
        <v>34</v>
      </c>
      <c r="G6933" s="308"/>
      <c r="H6933" s="308" t="s">
        <v>28162</v>
      </c>
      <c r="I6933" s="310">
        <v>44094.0</v>
      </c>
      <c r="J6933" s="319">
        <f>IFERROR(__xludf.DUMMYFUNCTION("SPLIT(I6933,""/"")"),20.0)</f>
        <v>20</v>
      </c>
      <c r="K6933" s="308">
        <f>IFERROR(__xludf.DUMMYFUNCTION("""COMPUTED_VALUE"""),9.0)</f>
        <v>9</v>
      </c>
      <c r="L6933" s="308">
        <f>IFERROR(__xludf.DUMMYFUNCTION("""COMPUTED_VALUE"""),2020.0)</f>
        <v>2020</v>
      </c>
      <c r="M6933" s="308" t="s">
        <v>28163</v>
      </c>
      <c r="N6933" s="308" t="s">
        <v>28164</v>
      </c>
      <c r="O6933" s="308"/>
      <c r="P6933" s="308" t="s">
        <v>28165</v>
      </c>
      <c r="Q6933" s="308" t="s">
        <v>39519</v>
      </c>
      <c r="R6933" s="308" t="s">
        <v>26929</v>
      </c>
      <c r="S6933" s="308" t="s">
        <v>81</v>
      </c>
      <c r="T6933" s="308" t="s">
        <v>34264</v>
      </c>
      <c r="U6933" s="308" t="s">
        <v>26546</v>
      </c>
      <c r="V6933" s="308"/>
    </row>
    <row r="6934">
      <c r="A6934" s="308"/>
      <c r="B6934" s="308"/>
      <c r="C6934" s="308" t="s">
        <v>28166</v>
      </c>
      <c r="D6934" s="308">
        <f>IFERROR(__xludf.DUMMYFUNCTION("SPLIT(C6934,""-"")"),6954.0)</f>
        <v>6954</v>
      </c>
      <c r="E6934" s="308" t="str">
        <f>IFERROR(__xludf.DUMMYFUNCTION("""COMPUTED_VALUE"""),"K")</f>
        <v>K</v>
      </c>
      <c r="F6934" s="309" t="s">
        <v>34</v>
      </c>
      <c r="G6934" s="308"/>
      <c r="H6934" s="308" t="s">
        <v>28167</v>
      </c>
      <c r="I6934" s="314">
        <v>44175.0</v>
      </c>
      <c r="J6934" s="319">
        <f>IFERROR(__xludf.DUMMYFUNCTION("SPLIT(I6934,""/"")"),10.0)</f>
        <v>10</v>
      </c>
      <c r="K6934" s="308">
        <f>IFERROR(__xludf.DUMMYFUNCTION("""COMPUTED_VALUE"""),12.0)</f>
        <v>12</v>
      </c>
      <c r="L6934" s="308">
        <f>IFERROR(__xludf.DUMMYFUNCTION("""COMPUTED_VALUE"""),2020.0)</f>
        <v>2020</v>
      </c>
      <c r="M6934" s="308" t="s">
        <v>28168</v>
      </c>
      <c r="N6934" s="308" t="s">
        <v>28169</v>
      </c>
      <c r="O6934" s="308"/>
      <c r="P6934" s="308" t="s">
        <v>39520</v>
      </c>
      <c r="Q6934" s="308" t="s">
        <v>39521</v>
      </c>
      <c r="R6934" s="308" t="s">
        <v>26929</v>
      </c>
      <c r="S6934" s="308" t="s">
        <v>81</v>
      </c>
      <c r="T6934" s="311" t="s">
        <v>96</v>
      </c>
      <c r="U6934" s="308" t="s">
        <v>28171</v>
      </c>
      <c r="V6934" s="308"/>
    </row>
    <row r="6935">
      <c r="A6935" s="308"/>
      <c r="B6935" s="308"/>
      <c r="C6935" s="308" t="s">
        <v>28172</v>
      </c>
      <c r="D6935" s="308">
        <f>IFERROR(__xludf.DUMMYFUNCTION("SPLIT(C6935,""-"")"),6955.0)</f>
        <v>6955</v>
      </c>
      <c r="E6935" s="308" t="str">
        <f>IFERROR(__xludf.DUMMYFUNCTION("""COMPUTED_VALUE"""),"K")</f>
        <v>K</v>
      </c>
      <c r="F6935" s="309" t="s">
        <v>34</v>
      </c>
      <c r="G6935" s="308"/>
      <c r="H6935" s="308" t="s">
        <v>28173</v>
      </c>
      <c r="I6935" s="314">
        <v>44176.0</v>
      </c>
      <c r="J6935" s="319">
        <f>IFERROR(__xludf.DUMMYFUNCTION("SPLIT(I6935,""/"")"),11.0)</f>
        <v>11</v>
      </c>
      <c r="K6935" s="308">
        <f>IFERROR(__xludf.DUMMYFUNCTION("""COMPUTED_VALUE"""),12.0)</f>
        <v>12</v>
      </c>
      <c r="L6935" s="308">
        <f>IFERROR(__xludf.DUMMYFUNCTION("""COMPUTED_VALUE"""),2020.0)</f>
        <v>2020</v>
      </c>
      <c r="M6935" s="308" t="s">
        <v>28174</v>
      </c>
      <c r="N6935" s="308" t="s">
        <v>28175</v>
      </c>
      <c r="O6935" s="308"/>
      <c r="P6935" s="308" t="s">
        <v>39522</v>
      </c>
      <c r="Q6935" s="308" t="s">
        <v>39521</v>
      </c>
      <c r="R6935" s="308" t="s">
        <v>26929</v>
      </c>
      <c r="S6935" s="308" t="s">
        <v>81</v>
      </c>
      <c r="T6935" s="311" t="s">
        <v>51</v>
      </c>
      <c r="U6935" s="308" t="s">
        <v>4487</v>
      </c>
      <c r="V6935" s="308"/>
    </row>
    <row r="6936">
      <c r="A6936" s="308"/>
      <c r="B6936" s="308"/>
      <c r="C6936" s="308" t="s">
        <v>28177</v>
      </c>
      <c r="D6936" s="308">
        <f>IFERROR(__xludf.DUMMYFUNCTION("SPLIT(C6936,""-"")"),6956.0)</f>
        <v>6956</v>
      </c>
      <c r="E6936" s="308" t="str">
        <f>IFERROR(__xludf.DUMMYFUNCTION("""COMPUTED_VALUE"""),"K")</f>
        <v>K</v>
      </c>
      <c r="F6936" s="309" t="s">
        <v>34</v>
      </c>
      <c r="G6936" s="308"/>
      <c r="H6936" s="308" t="s">
        <v>28178</v>
      </c>
      <c r="I6936" s="310">
        <v>44200.0</v>
      </c>
      <c r="J6936" s="319">
        <f>IFERROR(__xludf.DUMMYFUNCTION("SPLIT(I6936,""/"")"),4.0)</f>
        <v>4</v>
      </c>
      <c r="K6936" s="308">
        <f>IFERROR(__xludf.DUMMYFUNCTION("""COMPUTED_VALUE"""),1.0)</f>
        <v>1</v>
      </c>
      <c r="L6936" s="308">
        <f>IFERROR(__xludf.DUMMYFUNCTION("""COMPUTED_VALUE"""),2021.0)</f>
        <v>2021</v>
      </c>
      <c r="M6936" s="308" t="s">
        <v>28179</v>
      </c>
      <c r="N6936" s="308" t="s">
        <v>439</v>
      </c>
      <c r="O6936" s="308"/>
      <c r="P6936" s="308" t="s">
        <v>39523</v>
      </c>
      <c r="Q6936" s="308" t="s">
        <v>39521</v>
      </c>
      <c r="R6936" s="308" t="s">
        <v>2743</v>
      </c>
      <c r="S6936" s="308" t="s">
        <v>81</v>
      </c>
      <c r="T6936" s="311" t="s">
        <v>75</v>
      </c>
      <c r="U6936" s="308" t="s">
        <v>368</v>
      </c>
      <c r="V6936" s="308"/>
    </row>
    <row r="6937">
      <c r="A6937" s="308"/>
      <c r="B6937" s="308"/>
      <c r="C6937" s="308" t="s">
        <v>28181</v>
      </c>
      <c r="D6937" s="308">
        <f>IFERROR(__xludf.DUMMYFUNCTION("SPLIT(C6937,""-"")"),6957.0)</f>
        <v>6957</v>
      </c>
      <c r="E6937" s="308" t="str">
        <f>IFERROR(__xludf.DUMMYFUNCTION("""COMPUTED_VALUE"""),"P")</f>
        <v>P</v>
      </c>
      <c r="F6937" s="312" t="s">
        <v>37</v>
      </c>
      <c r="G6937" s="308"/>
      <c r="H6937" s="308" t="s">
        <v>28182</v>
      </c>
      <c r="I6937" s="310">
        <v>44085.0</v>
      </c>
      <c r="J6937" s="319">
        <f>IFERROR(__xludf.DUMMYFUNCTION("SPLIT(I6937,""/"")"),11.0)</f>
        <v>11</v>
      </c>
      <c r="K6937" s="308">
        <f>IFERROR(__xludf.DUMMYFUNCTION("""COMPUTED_VALUE"""),9.0)</f>
        <v>9</v>
      </c>
      <c r="L6937" s="308">
        <f>IFERROR(__xludf.DUMMYFUNCTION("""COMPUTED_VALUE"""),2020.0)</f>
        <v>2020</v>
      </c>
      <c r="M6937" s="308" t="s">
        <v>39524</v>
      </c>
      <c r="N6937" s="308" t="s">
        <v>28184</v>
      </c>
      <c r="O6937" s="308" t="s">
        <v>28185</v>
      </c>
      <c r="P6937" s="308" t="s">
        <v>39525</v>
      </c>
      <c r="Q6937" s="308" t="s">
        <v>39521</v>
      </c>
      <c r="R6937" s="308" t="s">
        <v>2743</v>
      </c>
      <c r="S6937" s="308" t="s">
        <v>81</v>
      </c>
      <c r="T6937" s="311" t="s">
        <v>35043</v>
      </c>
      <c r="U6937" s="308" t="s">
        <v>143</v>
      </c>
      <c r="V6937" s="308"/>
    </row>
    <row r="6938">
      <c r="A6938" s="308"/>
      <c r="B6938" s="308"/>
      <c r="C6938" s="308" t="s">
        <v>28187</v>
      </c>
      <c r="D6938" s="308">
        <f>IFERROR(__xludf.DUMMYFUNCTION("SPLIT(C6938,""-"")"),6958.0)</f>
        <v>6958</v>
      </c>
      <c r="E6938" s="308" t="str">
        <f>IFERROR(__xludf.DUMMYFUNCTION("""COMPUTED_VALUE"""),"S")</f>
        <v>S</v>
      </c>
      <c r="F6938" s="312" t="s">
        <v>39</v>
      </c>
      <c r="G6938" s="308"/>
      <c r="H6938" s="308" t="s">
        <v>28188</v>
      </c>
      <c r="I6938" s="310">
        <v>42178.0</v>
      </c>
      <c r="J6938" s="319">
        <f>IFERROR(__xludf.DUMMYFUNCTION("SPLIT(I6938,""/"")"),23.0)</f>
        <v>23</v>
      </c>
      <c r="K6938" s="308">
        <f>IFERROR(__xludf.DUMMYFUNCTION("""COMPUTED_VALUE"""),6.0)</f>
        <v>6</v>
      </c>
      <c r="L6938" s="308">
        <f>IFERROR(__xludf.DUMMYFUNCTION("""COMPUTED_VALUE"""),2015.0)</f>
        <v>2015</v>
      </c>
      <c r="M6938" s="308" t="s">
        <v>28189</v>
      </c>
      <c r="N6938" s="308" t="s">
        <v>28190</v>
      </c>
      <c r="O6938" s="308" t="s">
        <v>439</v>
      </c>
      <c r="P6938" s="308" t="s">
        <v>136</v>
      </c>
      <c r="Q6938" s="308" t="s">
        <v>39526</v>
      </c>
      <c r="R6938" s="308" t="s">
        <v>2743</v>
      </c>
      <c r="S6938" s="315" t="s">
        <v>100</v>
      </c>
      <c r="T6938" s="308" t="s">
        <v>34208</v>
      </c>
      <c r="U6938" s="308" t="s">
        <v>166</v>
      </c>
      <c r="V6938" s="308"/>
    </row>
    <row r="6939">
      <c r="A6939" s="308"/>
      <c r="B6939" s="308"/>
      <c r="C6939" s="308" t="s">
        <v>28191</v>
      </c>
      <c r="D6939" s="308">
        <f>IFERROR(__xludf.DUMMYFUNCTION("SPLIT(C6939,""-"")"),6959.0)</f>
        <v>6959</v>
      </c>
      <c r="E6939" s="308" t="str">
        <f>IFERROR(__xludf.DUMMYFUNCTION("""COMPUTED_VALUE"""),"B")</f>
        <v>B</v>
      </c>
      <c r="F6939" s="315" t="s">
        <v>26</v>
      </c>
      <c r="G6939" s="308"/>
      <c r="H6939" s="308" t="s">
        <v>10076</v>
      </c>
      <c r="I6939" s="314">
        <v>41240.0</v>
      </c>
      <c r="J6939" s="319">
        <f>IFERROR(__xludf.DUMMYFUNCTION("SPLIT(I6939,""/"")"),27.0)</f>
        <v>27</v>
      </c>
      <c r="K6939" s="308">
        <f>IFERROR(__xludf.DUMMYFUNCTION("""COMPUTED_VALUE"""),11.0)</f>
        <v>11</v>
      </c>
      <c r="L6939" s="308">
        <f>IFERROR(__xludf.DUMMYFUNCTION("""COMPUTED_VALUE"""),2012.0)</f>
        <v>2012</v>
      </c>
      <c r="M6939" s="308" t="s">
        <v>39527</v>
      </c>
      <c r="N6939" s="308" t="s">
        <v>28193</v>
      </c>
      <c r="O6939" s="308" t="s">
        <v>28194</v>
      </c>
      <c r="P6939" s="308" t="s">
        <v>136</v>
      </c>
      <c r="Q6939" s="308" t="s">
        <v>39526</v>
      </c>
      <c r="R6939" s="308" t="s">
        <v>20958</v>
      </c>
      <c r="S6939" s="315" t="s">
        <v>100</v>
      </c>
      <c r="T6939" s="308" t="s">
        <v>34208</v>
      </c>
      <c r="U6939" s="308" t="s">
        <v>27</v>
      </c>
      <c r="V6939" s="308"/>
    </row>
    <row r="6940">
      <c r="A6940" s="308"/>
      <c r="B6940" s="308"/>
      <c r="C6940" s="308" t="s">
        <v>28195</v>
      </c>
      <c r="D6940" s="308">
        <f>IFERROR(__xludf.DUMMYFUNCTION("SPLIT(C6940,""-"")"),6960.0)</f>
        <v>6960</v>
      </c>
      <c r="E6940" s="308" t="str">
        <f>IFERROR(__xludf.DUMMYFUNCTION("""COMPUTED_VALUE"""),"B")</f>
        <v>B</v>
      </c>
      <c r="F6940" s="315" t="s">
        <v>26</v>
      </c>
      <c r="G6940" s="308"/>
      <c r="H6940" s="308" t="s">
        <v>28196</v>
      </c>
      <c r="I6940" s="310">
        <v>41689.0</v>
      </c>
      <c r="J6940" s="319">
        <f>IFERROR(__xludf.DUMMYFUNCTION("SPLIT(I6940,""/"")"),19.0)</f>
        <v>19</v>
      </c>
      <c r="K6940" s="308">
        <f>IFERROR(__xludf.DUMMYFUNCTION("""COMPUTED_VALUE"""),2.0)</f>
        <v>2</v>
      </c>
      <c r="L6940" s="308">
        <f>IFERROR(__xludf.DUMMYFUNCTION("""COMPUTED_VALUE"""),2014.0)</f>
        <v>2014</v>
      </c>
      <c r="M6940" s="308" t="s">
        <v>28197</v>
      </c>
      <c r="N6940" s="308" t="s">
        <v>28198</v>
      </c>
      <c r="O6940" s="308" t="s">
        <v>439</v>
      </c>
      <c r="P6940" s="308" t="s">
        <v>136</v>
      </c>
      <c r="Q6940" s="308" t="s">
        <v>39526</v>
      </c>
      <c r="R6940" s="308" t="s">
        <v>20958</v>
      </c>
      <c r="S6940" s="315" t="s">
        <v>100</v>
      </c>
      <c r="T6940" s="308" t="s">
        <v>34208</v>
      </c>
      <c r="U6940" s="308" t="s">
        <v>27</v>
      </c>
      <c r="V6940" s="308"/>
    </row>
    <row r="6941">
      <c r="A6941" s="308"/>
      <c r="B6941" s="308"/>
      <c r="C6941" s="308" t="s">
        <v>28199</v>
      </c>
      <c r="D6941" s="308">
        <f>IFERROR(__xludf.DUMMYFUNCTION("SPLIT(C6941,""-"")"),6961.0)</f>
        <v>6961</v>
      </c>
      <c r="E6941" s="308" t="str">
        <f>IFERROR(__xludf.DUMMYFUNCTION("""COMPUTED_VALUE"""),"B")</f>
        <v>B</v>
      </c>
      <c r="F6941" s="315" t="s">
        <v>26</v>
      </c>
      <c r="G6941" s="308"/>
      <c r="H6941" s="308" t="s">
        <v>28200</v>
      </c>
      <c r="I6941" s="314">
        <v>41600.0</v>
      </c>
      <c r="J6941" s="319">
        <f>IFERROR(__xludf.DUMMYFUNCTION("SPLIT(I6941,""/"")"),22.0)</f>
        <v>22</v>
      </c>
      <c r="K6941" s="308">
        <f>IFERROR(__xludf.DUMMYFUNCTION("""COMPUTED_VALUE"""),11.0)</f>
        <v>11</v>
      </c>
      <c r="L6941" s="308">
        <f>IFERROR(__xludf.DUMMYFUNCTION("""COMPUTED_VALUE"""),2013.0)</f>
        <v>2013</v>
      </c>
      <c r="M6941" s="308" t="s">
        <v>28201</v>
      </c>
      <c r="N6941" s="308" t="s">
        <v>28202</v>
      </c>
      <c r="O6941" s="308" t="s">
        <v>439</v>
      </c>
      <c r="P6941" s="308" t="s">
        <v>136</v>
      </c>
      <c r="Q6941" s="308" t="s">
        <v>39526</v>
      </c>
      <c r="R6941" s="308" t="s">
        <v>20958</v>
      </c>
      <c r="S6941" s="315" t="s">
        <v>100</v>
      </c>
      <c r="T6941" s="308" t="s">
        <v>34208</v>
      </c>
      <c r="U6941" s="308" t="s">
        <v>27</v>
      </c>
      <c r="V6941" s="308"/>
    </row>
    <row r="6942">
      <c r="A6942" s="308"/>
      <c r="B6942" s="308"/>
      <c r="C6942" s="308" t="s">
        <v>28203</v>
      </c>
      <c r="D6942" s="308">
        <f>IFERROR(__xludf.DUMMYFUNCTION("SPLIT(C6942,""-"")"),6962.0)</f>
        <v>6962</v>
      </c>
      <c r="E6942" s="308" t="str">
        <f>IFERROR(__xludf.DUMMYFUNCTION("""COMPUTED_VALUE"""),"S")</f>
        <v>S</v>
      </c>
      <c r="F6942" s="312" t="s">
        <v>39</v>
      </c>
      <c r="G6942" s="308"/>
      <c r="H6942" s="308" t="s">
        <v>28204</v>
      </c>
      <c r="I6942" s="310">
        <v>44042.0</v>
      </c>
      <c r="J6942" s="319">
        <f>IFERROR(__xludf.DUMMYFUNCTION("SPLIT(I6942,""/"")"),30.0)</f>
        <v>30</v>
      </c>
      <c r="K6942" s="308">
        <f>IFERROR(__xludf.DUMMYFUNCTION("""COMPUTED_VALUE"""),7.0)</f>
        <v>7</v>
      </c>
      <c r="L6942" s="308">
        <f>IFERROR(__xludf.DUMMYFUNCTION("""COMPUTED_VALUE"""),2020.0)</f>
        <v>2020</v>
      </c>
      <c r="M6942" s="308" t="s">
        <v>28205</v>
      </c>
      <c r="N6942" s="308" t="s">
        <v>28206</v>
      </c>
      <c r="O6942" s="308"/>
      <c r="P6942" s="308" t="s">
        <v>28207</v>
      </c>
      <c r="Q6942" s="308" t="s">
        <v>39528</v>
      </c>
      <c r="R6942" s="308" t="s">
        <v>19825</v>
      </c>
      <c r="S6942" s="308" t="s">
        <v>81</v>
      </c>
      <c r="T6942" s="311" t="s">
        <v>91</v>
      </c>
      <c r="U6942" s="308" t="s">
        <v>166</v>
      </c>
      <c r="V6942" s="308"/>
    </row>
    <row r="6943">
      <c r="A6943" s="308"/>
      <c r="B6943" s="308"/>
      <c r="C6943" s="308" t="s">
        <v>28208</v>
      </c>
      <c r="D6943" s="308">
        <f>IFERROR(__xludf.DUMMYFUNCTION("SPLIT(C6943,""-"")"),6963.0)</f>
        <v>6963</v>
      </c>
      <c r="E6943" s="308" t="str">
        <f>IFERROR(__xludf.DUMMYFUNCTION("""COMPUTED_VALUE"""),"S")</f>
        <v>S</v>
      </c>
      <c r="F6943" s="312" t="s">
        <v>39</v>
      </c>
      <c r="G6943" s="308"/>
      <c r="H6943" s="308" t="s">
        <v>28209</v>
      </c>
      <c r="I6943" s="310">
        <v>42261.0</v>
      </c>
      <c r="J6943" s="319">
        <f>IFERROR(__xludf.DUMMYFUNCTION("SPLIT(I6943,""/"")"),14.0)</f>
        <v>14</v>
      </c>
      <c r="K6943" s="308">
        <f>IFERROR(__xludf.DUMMYFUNCTION("""COMPUTED_VALUE"""),9.0)</f>
        <v>9</v>
      </c>
      <c r="L6943" s="308">
        <f>IFERROR(__xludf.DUMMYFUNCTION("""COMPUTED_VALUE"""),2015.0)</f>
        <v>2015</v>
      </c>
      <c r="M6943" s="308" t="s">
        <v>28210</v>
      </c>
      <c r="N6943" s="308" t="s">
        <v>28211</v>
      </c>
      <c r="O6943" s="308"/>
      <c r="P6943" s="308" t="s">
        <v>136</v>
      </c>
      <c r="Q6943" s="308" t="s">
        <v>39528</v>
      </c>
      <c r="R6943" s="308" t="s">
        <v>19825</v>
      </c>
      <c r="S6943" s="315" t="s">
        <v>100</v>
      </c>
      <c r="T6943" s="308" t="s">
        <v>34208</v>
      </c>
      <c r="U6943" s="308" t="s">
        <v>166</v>
      </c>
      <c r="V6943" s="308"/>
    </row>
    <row r="6944">
      <c r="A6944" s="308"/>
      <c r="B6944" s="308"/>
      <c r="C6944" s="308" t="s">
        <v>28212</v>
      </c>
      <c r="D6944" s="308">
        <f>IFERROR(__xludf.DUMMYFUNCTION("SPLIT(C6944,""-"")"),6964.0)</f>
        <v>6964</v>
      </c>
      <c r="E6944" s="308" t="str">
        <f>IFERROR(__xludf.DUMMYFUNCTION("""COMPUTED_VALUE"""),"P")</f>
        <v>P</v>
      </c>
      <c r="F6944" s="312" t="s">
        <v>37</v>
      </c>
      <c r="G6944" s="308"/>
      <c r="H6944" s="308" t="s">
        <v>28213</v>
      </c>
      <c r="I6944" s="310">
        <v>43866.0</v>
      </c>
      <c r="J6944" s="319">
        <f>IFERROR(__xludf.DUMMYFUNCTION("SPLIT(I6944,""/"")"),5.0)</f>
        <v>5</v>
      </c>
      <c r="K6944" s="308">
        <f>IFERROR(__xludf.DUMMYFUNCTION("""COMPUTED_VALUE"""),2.0)</f>
        <v>2</v>
      </c>
      <c r="L6944" s="308">
        <f>IFERROR(__xludf.DUMMYFUNCTION("""COMPUTED_VALUE"""),2020.0)</f>
        <v>2020</v>
      </c>
      <c r="M6944" s="308" t="s">
        <v>28214</v>
      </c>
      <c r="N6944" s="308" t="s">
        <v>28215</v>
      </c>
      <c r="O6944" s="308"/>
      <c r="P6944" s="308" t="s">
        <v>39529</v>
      </c>
      <c r="Q6944" s="308" t="s">
        <v>39530</v>
      </c>
      <c r="R6944" s="308" t="s">
        <v>2743</v>
      </c>
      <c r="S6944" s="308" t="s">
        <v>81</v>
      </c>
      <c r="T6944" s="308" t="s">
        <v>75</v>
      </c>
      <c r="U6944" s="308" t="s">
        <v>143</v>
      </c>
      <c r="V6944" s="308"/>
    </row>
    <row r="6945">
      <c r="A6945" s="308"/>
      <c r="B6945" s="308"/>
      <c r="C6945" s="308" t="s">
        <v>28217</v>
      </c>
      <c r="D6945" s="308">
        <f>IFERROR(__xludf.DUMMYFUNCTION("SPLIT(C6945,""-"")"),6965.0)</f>
        <v>6965</v>
      </c>
      <c r="E6945" s="308" t="str">
        <f>IFERROR(__xludf.DUMMYFUNCTION("""COMPUTED_VALUE"""),"B")</f>
        <v>B</v>
      </c>
      <c r="F6945" s="315" t="s">
        <v>26</v>
      </c>
      <c r="G6945" s="308"/>
      <c r="H6945" s="308" t="s">
        <v>28218</v>
      </c>
      <c r="I6945" s="310">
        <v>42707.0</v>
      </c>
      <c r="J6945" s="319">
        <f>IFERROR(__xludf.DUMMYFUNCTION("SPLIT(I6945,""/"")"),3.0)</f>
        <v>3</v>
      </c>
      <c r="K6945" s="308">
        <f>IFERROR(__xludf.DUMMYFUNCTION("""COMPUTED_VALUE"""),12.0)</f>
        <v>12</v>
      </c>
      <c r="L6945" s="308">
        <f>IFERROR(__xludf.DUMMYFUNCTION("""COMPUTED_VALUE"""),2016.0)</f>
        <v>2016</v>
      </c>
      <c r="M6945" s="308" t="s">
        <v>28219</v>
      </c>
      <c r="N6945" s="308"/>
      <c r="O6945" s="308"/>
      <c r="P6945" s="308" t="s">
        <v>39531</v>
      </c>
      <c r="Q6945" s="308" t="s">
        <v>39505</v>
      </c>
      <c r="R6945" s="308"/>
      <c r="S6945" s="308" t="s">
        <v>49</v>
      </c>
      <c r="T6945" s="311" t="s">
        <v>67</v>
      </c>
      <c r="U6945" s="308" t="s">
        <v>27</v>
      </c>
      <c r="V6945" s="308" t="s">
        <v>49</v>
      </c>
    </row>
    <row r="6946">
      <c r="A6946" s="308"/>
      <c r="B6946" s="308"/>
      <c r="C6946" s="308" t="s">
        <v>28221</v>
      </c>
      <c r="D6946" s="308">
        <f>IFERROR(__xludf.DUMMYFUNCTION("SPLIT(C6946,""-"")"),6966.0)</f>
        <v>6966</v>
      </c>
      <c r="E6946" s="308" t="str">
        <f>IFERROR(__xludf.DUMMYFUNCTION("""COMPUTED_VALUE"""),"B")</f>
        <v>B</v>
      </c>
      <c r="F6946" s="315" t="s">
        <v>26</v>
      </c>
      <c r="G6946" s="308"/>
      <c r="H6946" s="308" t="s">
        <v>28222</v>
      </c>
      <c r="I6946" s="310">
        <v>42707.0</v>
      </c>
      <c r="J6946" s="319">
        <f>IFERROR(__xludf.DUMMYFUNCTION("SPLIT(I6946,""/"")"),3.0)</f>
        <v>3</v>
      </c>
      <c r="K6946" s="308">
        <f>IFERROR(__xludf.DUMMYFUNCTION("""COMPUTED_VALUE"""),12.0)</f>
        <v>12</v>
      </c>
      <c r="L6946" s="308">
        <f>IFERROR(__xludf.DUMMYFUNCTION("""COMPUTED_VALUE"""),2016.0)</f>
        <v>2016</v>
      </c>
      <c r="M6946" s="308" t="s">
        <v>28219</v>
      </c>
      <c r="N6946" s="308"/>
      <c r="O6946" s="308"/>
      <c r="P6946" s="308" t="s">
        <v>28223</v>
      </c>
      <c r="Q6946" s="308" t="s">
        <v>39505</v>
      </c>
      <c r="R6946" s="308"/>
      <c r="S6946" s="308" t="s">
        <v>81</v>
      </c>
      <c r="T6946" s="308" t="s">
        <v>75</v>
      </c>
      <c r="U6946" s="308" t="s">
        <v>27</v>
      </c>
      <c r="V6946" s="308"/>
    </row>
    <row r="6947">
      <c r="A6947" s="308"/>
      <c r="B6947" s="308"/>
      <c r="C6947" s="308" t="s">
        <v>28224</v>
      </c>
      <c r="D6947" s="308">
        <f>IFERROR(__xludf.DUMMYFUNCTION("SPLIT(C6947,""-"")"),6967.0)</f>
        <v>6967</v>
      </c>
      <c r="E6947" s="308" t="str">
        <f>IFERROR(__xludf.DUMMYFUNCTION("""COMPUTED_VALUE"""),"B")</f>
        <v>B</v>
      </c>
      <c r="F6947" s="315" t="s">
        <v>26</v>
      </c>
      <c r="G6947" s="308"/>
      <c r="H6947" s="308" t="s">
        <v>28225</v>
      </c>
      <c r="I6947" s="310">
        <v>42707.0</v>
      </c>
      <c r="J6947" s="319">
        <f>IFERROR(__xludf.DUMMYFUNCTION("SPLIT(I6947,""/"")"),3.0)</f>
        <v>3</v>
      </c>
      <c r="K6947" s="308">
        <f>IFERROR(__xludf.DUMMYFUNCTION("""COMPUTED_VALUE"""),12.0)</f>
        <v>12</v>
      </c>
      <c r="L6947" s="308">
        <f>IFERROR(__xludf.DUMMYFUNCTION("""COMPUTED_VALUE"""),2016.0)</f>
        <v>2016</v>
      </c>
      <c r="M6947" s="308" t="s">
        <v>28226</v>
      </c>
      <c r="N6947" s="308"/>
      <c r="O6947" s="308"/>
      <c r="P6947" s="308" t="s">
        <v>28227</v>
      </c>
      <c r="Q6947" s="308" t="s">
        <v>39505</v>
      </c>
      <c r="R6947" s="308"/>
      <c r="S6947" s="308" t="s">
        <v>81</v>
      </c>
      <c r="T6947" s="308" t="s">
        <v>75</v>
      </c>
      <c r="U6947" s="308" t="s">
        <v>27</v>
      </c>
      <c r="V6947" s="308"/>
    </row>
    <row r="6948">
      <c r="A6948" s="308"/>
      <c r="B6948" s="308"/>
      <c r="C6948" s="308" t="s">
        <v>28228</v>
      </c>
      <c r="D6948" s="308">
        <f>IFERROR(__xludf.DUMMYFUNCTION("SPLIT(C6948,""-"")"),6968.0)</f>
        <v>6968</v>
      </c>
      <c r="E6948" s="308" t="str">
        <f>IFERROR(__xludf.DUMMYFUNCTION("""COMPUTED_VALUE"""),"B")</f>
        <v>B</v>
      </c>
      <c r="F6948" s="315" t="s">
        <v>26</v>
      </c>
      <c r="G6948" s="308"/>
      <c r="H6948" s="308" t="s">
        <v>28229</v>
      </c>
      <c r="I6948" s="310">
        <v>42706.0</v>
      </c>
      <c r="J6948" s="319">
        <f>IFERROR(__xludf.DUMMYFUNCTION("SPLIT(I6948,""/"")"),2.0)</f>
        <v>2</v>
      </c>
      <c r="K6948" s="308">
        <f>IFERROR(__xludf.DUMMYFUNCTION("""COMPUTED_VALUE"""),12.0)</f>
        <v>12</v>
      </c>
      <c r="L6948" s="308">
        <f>IFERROR(__xludf.DUMMYFUNCTION("""COMPUTED_VALUE"""),2016.0)</f>
        <v>2016</v>
      </c>
      <c r="M6948" s="308" t="s">
        <v>28230</v>
      </c>
      <c r="N6948" s="308"/>
      <c r="O6948" s="308"/>
      <c r="P6948" s="308" t="s">
        <v>28231</v>
      </c>
      <c r="Q6948" s="308" t="s">
        <v>39505</v>
      </c>
      <c r="R6948" s="308"/>
      <c r="S6948" s="308" t="s">
        <v>81</v>
      </c>
      <c r="T6948" s="308" t="s">
        <v>75</v>
      </c>
      <c r="U6948" s="308" t="s">
        <v>27</v>
      </c>
      <c r="V6948" s="308"/>
    </row>
    <row r="6949">
      <c r="A6949" s="308"/>
      <c r="B6949" s="308"/>
      <c r="C6949" s="308" t="s">
        <v>28232</v>
      </c>
      <c r="D6949" s="308">
        <f>IFERROR(__xludf.DUMMYFUNCTION("SPLIT(C6949,""-"")"),6969.0)</f>
        <v>6969</v>
      </c>
      <c r="E6949" s="308" t="str">
        <f>IFERROR(__xludf.DUMMYFUNCTION("""COMPUTED_VALUE"""),"B")</f>
        <v>B</v>
      </c>
      <c r="F6949" s="315" t="s">
        <v>26</v>
      </c>
      <c r="G6949" s="308"/>
      <c r="H6949" s="308" t="s">
        <v>28233</v>
      </c>
      <c r="I6949" s="310">
        <v>42706.0</v>
      </c>
      <c r="J6949" s="319">
        <f>IFERROR(__xludf.DUMMYFUNCTION("SPLIT(I6949,""/"")"),2.0)</f>
        <v>2</v>
      </c>
      <c r="K6949" s="308">
        <f>IFERROR(__xludf.DUMMYFUNCTION("""COMPUTED_VALUE"""),12.0)</f>
        <v>12</v>
      </c>
      <c r="L6949" s="308">
        <f>IFERROR(__xludf.DUMMYFUNCTION("""COMPUTED_VALUE"""),2016.0)</f>
        <v>2016</v>
      </c>
      <c r="M6949" s="308" t="s">
        <v>28230</v>
      </c>
      <c r="N6949" s="308"/>
      <c r="O6949" s="308"/>
      <c r="P6949" s="308" t="s">
        <v>28234</v>
      </c>
      <c r="Q6949" s="308" t="s">
        <v>39505</v>
      </c>
      <c r="R6949" s="308"/>
      <c r="S6949" s="308" t="s">
        <v>81</v>
      </c>
      <c r="T6949" s="308" t="s">
        <v>75</v>
      </c>
      <c r="U6949" s="308" t="s">
        <v>27</v>
      </c>
      <c r="V6949" s="308"/>
    </row>
    <row r="6950">
      <c r="A6950" s="308"/>
      <c r="B6950" s="308"/>
      <c r="C6950" s="308" t="s">
        <v>28235</v>
      </c>
      <c r="D6950" s="308">
        <f>IFERROR(__xludf.DUMMYFUNCTION("SPLIT(C6950,""-"")"),6970.0)</f>
        <v>6970</v>
      </c>
      <c r="E6950" s="308" t="str">
        <f>IFERROR(__xludf.DUMMYFUNCTION("""COMPUTED_VALUE"""),"B")</f>
        <v>B</v>
      </c>
      <c r="F6950" s="315" t="s">
        <v>26</v>
      </c>
      <c r="G6950" s="308"/>
      <c r="H6950" s="308" t="s">
        <v>28236</v>
      </c>
      <c r="I6950" s="310">
        <v>42708.0</v>
      </c>
      <c r="J6950" s="319">
        <f>IFERROR(__xludf.DUMMYFUNCTION("SPLIT(I6950,""/"")"),4.0)</f>
        <v>4</v>
      </c>
      <c r="K6950" s="308">
        <f>IFERROR(__xludf.DUMMYFUNCTION("""COMPUTED_VALUE"""),12.0)</f>
        <v>12</v>
      </c>
      <c r="L6950" s="308">
        <f>IFERROR(__xludf.DUMMYFUNCTION("""COMPUTED_VALUE"""),2016.0)</f>
        <v>2016</v>
      </c>
      <c r="M6950" s="308" t="s">
        <v>28237</v>
      </c>
      <c r="N6950" s="308"/>
      <c r="O6950" s="308"/>
      <c r="P6950" s="308" t="s">
        <v>28238</v>
      </c>
      <c r="Q6950" s="308" t="s">
        <v>39505</v>
      </c>
      <c r="R6950" s="308"/>
      <c r="S6950" s="308" t="s">
        <v>81</v>
      </c>
      <c r="T6950" s="308" t="s">
        <v>75</v>
      </c>
      <c r="U6950" s="308" t="s">
        <v>27</v>
      </c>
      <c r="V6950" s="308"/>
    </row>
    <row r="6951">
      <c r="A6951" s="308"/>
      <c r="B6951" s="308"/>
      <c r="C6951" s="308" t="s">
        <v>28239</v>
      </c>
      <c r="D6951" s="308">
        <f>IFERROR(__xludf.DUMMYFUNCTION("SPLIT(C6951,""-"")"),6971.0)</f>
        <v>6971</v>
      </c>
      <c r="E6951" s="308" t="str">
        <f>IFERROR(__xludf.DUMMYFUNCTION("""COMPUTED_VALUE"""),"B")</f>
        <v>B</v>
      </c>
      <c r="F6951" s="315" t="s">
        <v>26</v>
      </c>
      <c r="G6951" s="308"/>
      <c r="H6951" s="308" t="s">
        <v>28240</v>
      </c>
      <c r="I6951" s="310">
        <v>42708.0</v>
      </c>
      <c r="J6951" s="319">
        <f>IFERROR(__xludf.DUMMYFUNCTION("SPLIT(I6951,""/"")"),4.0)</f>
        <v>4</v>
      </c>
      <c r="K6951" s="308">
        <f>IFERROR(__xludf.DUMMYFUNCTION("""COMPUTED_VALUE"""),12.0)</f>
        <v>12</v>
      </c>
      <c r="L6951" s="308">
        <f>IFERROR(__xludf.DUMMYFUNCTION("""COMPUTED_VALUE"""),2016.0)</f>
        <v>2016</v>
      </c>
      <c r="M6951" s="308" t="s">
        <v>28237</v>
      </c>
      <c r="N6951" s="308"/>
      <c r="O6951" s="308"/>
      <c r="P6951" s="308" t="s">
        <v>28241</v>
      </c>
      <c r="Q6951" s="308" t="s">
        <v>39505</v>
      </c>
      <c r="R6951" s="308"/>
      <c r="S6951" s="308" t="s">
        <v>81</v>
      </c>
      <c r="T6951" s="308" t="s">
        <v>75</v>
      </c>
      <c r="U6951" s="308" t="s">
        <v>27</v>
      </c>
      <c r="V6951" s="308"/>
    </row>
    <row r="6952">
      <c r="A6952" s="308"/>
      <c r="B6952" s="308"/>
      <c r="C6952" s="308" t="s">
        <v>28242</v>
      </c>
      <c r="D6952" s="308">
        <f>IFERROR(__xludf.DUMMYFUNCTION("SPLIT(C6952,""-"")"),6972.0)</f>
        <v>6972</v>
      </c>
      <c r="E6952" s="308" t="str">
        <f>IFERROR(__xludf.DUMMYFUNCTION("""COMPUTED_VALUE"""),"B")</f>
        <v>B</v>
      </c>
      <c r="F6952" s="315" t="s">
        <v>26</v>
      </c>
      <c r="G6952" s="308"/>
      <c r="H6952" s="308" t="s">
        <v>28243</v>
      </c>
      <c r="I6952" s="310">
        <v>42707.0</v>
      </c>
      <c r="J6952" s="319">
        <f>IFERROR(__xludf.DUMMYFUNCTION("SPLIT(I6952,""/"")"),3.0)</f>
        <v>3</v>
      </c>
      <c r="K6952" s="308">
        <f>IFERROR(__xludf.DUMMYFUNCTION("""COMPUTED_VALUE"""),12.0)</f>
        <v>12</v>
      </c>
      <c r="L6952" s="308">
        <f>IFERROR(__xludf.DUMMYFUNCTION("""COMPUTED_VALUE"""),2016.0)</f>
        <v>2016</v>
      </c>
      <c r="M6952" s="308" t="s">
        <v>28226</v>
      </c>
      <c r="N6952" s="308"/>
      <c r="O6952" s="308"/>
      <c r="P6952" s="308" t="s">
        <v>28244</v>
      </c>
      <c r="Q6952" s="308" t="s">
        <v>39505</v>
      </c>
      <c r="R6952" s="308"/>
      <c r="S6952" s="308" t="s">
        <v>81</v>
      </c>
      <c r="T6952" s="308" t="s">
        <v>75</v>
      </c>
      <c r="U6952" s="308" t="s">
        <v>27</v>
      </c>
      <c r="V6952" s="308"/>
    </row>
    <row r="6953">
      <c r="A6953" s="308"/>
      <c r="B6953" s="308"/>
      <c r="C6953" s="308" t="s">
        <v>28245</v>
      </c>
      <c r="D6953" s="308">
        <f>IFERROR(__xludf.DUMMYFUNCTION("SPLIT(C6953,""-"")"),6973.0)</f>
        <v>6973</v>
      </c>
      <c r="E6953" s="308" t="str">
        <f>IFERROR(__xludf.DUMMYFUNCTION("""COMPUTED_VALUE"""),"B")</f>
        <v>B</v>
      </c>
      <c r="F6953" s="315" t="s">
        <v>26</v>
      </c>
      <c r="G6953" s="308"/>
      <c r="H6953" s="308" t="s">
        <v>28246</v>
      </c>
      <c r="I6953" s="310">
        <v>42707.0</v>
      </c>
      <c r="J6953" s="319">
        <f>IFERROR(__xludf.DUMMYFUNCTION("SPLIT(I6953,""/"")"),3.0)</f>
        <v>3</v>
      </c>
      <c r="K6953" s="308">
        <f>IFERROR(__xludf.DUMMYFUNCTION("""COMPUTED_VALUE"""),12.0)</f>
        <v>12</v>
      </c>
      <c r="L6953" s="308">
        <f>IFERROR(__xludf.DUMMYFUNCTION("""COMPUTED_VALUE"""),2016.0)</f>
        <v>2016</v>
      </c>
      <c r="M6953" s="308" t="s">
        <v>28219</v>
      </c>
      <c r="N6953" s="308"/>
      <c r="O6953" s="308"/>
      <c r="P6953" s="308" t="s">
        <v>28247</v>
      </c>
      <c r="Q6953" s="308" t="s">
        <v>39505</v>
      </c>
      <c r="R6953" s="308"/>
      <c r="S6953" s="308" t="s">
        <v>81</v>
      </c>
      <c r="T6953" s="308" t="s">
        <v>75</v>
      </c>
      <c r="U6953" s="308" t="s">
        <v>27</v>
      </c>
      <c r="V6953" s="308"/>
    </row>
    <row r="6954">
      <c r="A6954" s="308"/>
      <c r="B6954" s="308"/>
      <c r="C6954" s="308" t="s">
        <v>28248</v>
      </c>
      <c r="D6954" s="308">
        <f>IFERROR(__xludf.DUMMYFUNCTION("SPLIT(C6954,""-"")"),6974.0)</f>
        <v>6974</v>
      </c>
      <c r="E6954" s="308" t="str">
        <f>IFERROR(__xludf.DUMMYFUNCTION("""COMPUTED_VALUE"""),"B")</f>
        <v>B</v>
      </c>
      <c r="F6954" s="315" t="s">
        <v>26</v>
      </c>
      <c r="G6954" s="308"/>
      <c r="H6954" s="308" t="s">
        <v>28249</v>
      </c>
      <c r="I6954" s="310">
        <v>42707.0</v>
      </c>
      <c r="J6954" s="319">
        <f>IFERROR(__xludf.DUMMYFUNCTION("SPLIT(I6954,""/"")"),3.0)</f>
        <v>3</v>
      </c>
      <c r="K6954" s="308">
        <f>IFERROR(__xludf.DUMMYFUNCTION("""COMPUTED_VALUE"""),12.0)</f>
        <v>12</v>
      </c>
      <c r="L6954" s="308">
        <f>IFERROR(__xludf.DUMMYFUNCTION("""COMPUTED_VALUE"""),2016.0)</f>
        <v>2016</v>
      </c>
      <c r="M6954" s="308" t="s">
        <v>28219</v>
      </c>
      <c r="N6954" s="308"/>
      <c r="O6954" s="308"/>
      <c r="P6954" s="308" t="s">
        <v>28250</v>
      </c>
      <c r="Q6954" s="308" t="s">
        <v>39505</v>
      </c>
      <c r="R6954" s="308"/>
      <c r="S6954" s="308" t="s">
        <v>81</v>
      </c>
      <c r="T6954" s="308" t="s">
        <v>75</v>
      </c>
      <c r="U6954" s="308" t="s">
        <v>27</v>
      </c>
      <c r="V6954" s="308"/>
    </row>
    <row r="6955">
      <c r="A6955" s="308"/>
      <c r="B6955" s="308"/>
      <c r="C6955" s="308" t="s">
        <v>28251</v>
      </c>
      <c r="D6955" s="308">
        <f>IFERROR(__xludf.DUMMYFUNCTION("SPLIT(C6955,""-"")"),6975.0)</f>
        <v>6975</v>
      </c>
      <c r="E6955" s="308" t="str">
        <f>IFERROR(__xludf.DUMMYFUNCTION("""COMPUTED_VALUE"""),"B")</f>
        <v>B</v>
      </c>
      <c r="F6955" s="315" t="s">
        <v>26</v>
      </c>
      <c r="G6955" s="308"/>
      <c r="H6955" s="308" t="s">
        <v>28252</v>
      </c>
      <c r="I6955" s="310">
        <v>42707.0</v>
      </c>
      <c r="J6955" s="319">
        <f>IFERROR(__xludf.DUMMYFUNCTION("SPLIT(I6955,""/"")"),3.0)</f>
        <v>3</v>
      </c>
      <c r="K6955" s="308">
        <f>IFERROR(__xludf.DUMMYFUNCTION("""COMPUTED_VALUE"""),12.0)</f>
        <v>12</v>
      </c>
      <c r="L6955" s="308">
        <f>IFERROR(__xludf.DUMMYFUNCTION("""COMPUTED_VALUE"""),2016.0)</f>
        <v>2016</v>
      </c>
      <c r="M6955" s="308" t="s">
        <v>28219</v>
      </c>
      <c r="N6955" s="308"/>
      <c r="O6955" s="308"/>
      <c r="P6955" s="308" t="s">
        <v>28253</v>
      </c>
      <c r="Q6955" s="308" t="s">
        <v>39505</v>
      </c>
      <c r="R6955" s="308"/>
      <c r="S6955" s="308" t="s">
        <v>81</v>
      </c>
      <c r="T6955" s="308" t="s">
        <v>75</v>
      </c>
      <c r="U6955" s="308" t="s">
        <v>27</v>
      </c>
      <c r="V6955" s="308"/>
    </row>
    <row r="6956">
      <c r="A6956" s="308"/>
      <c r="B6956" s="308"/>
      <c r="C6956" s="308" t="s">
        <v>28254</v>
      </c>
      <c r="D6956" s="308">
        <f>IFERROR(__xludf.DUMMYFUNCTION("SPLIT(C6956,""-"")"),6976.0)</f>
        <v>6976</v>
      </c>
      <c r="E6956" s="308" t="str">
        <f>IFERROR(__xludf.DUMMYFUNCTION("""COMPUTED_VALUE"""),"B")</f>
        <v>B</v>
      </c>
      <c r="F6956" s="315" t="s">
        <v>26</v>
      </c>
      <c r="G6956" s="308"/>
      <c r="H6956" s="308" t="s">
        <v>28255</v>
      </c>
      <c r="I6956" s="310">
        <v>42709.0</v>
      </c>
      <c r="J6956" s="319">
        <f>IFERROR(__xludf.DUMMYFUNCTION("SPLIT(I6956,""/"")"),5.0)</f>
        <v>5</v>
      </c>
      <c r="K6956" s="308">
        <f>IFERROR(__xludf.DUMMYFUNCTION("""COMPUTED_VALUE"""),12.0)</f>
        <v>12</v>
      </c>
      <c r="L6956" s="308">
        <f>IFERROR(__xludf.DUMMYFUNCTION("""COMPUTED_VALUE"""),2016.0)</f>
        <v>2016</v>
      </c>
      <c r="M6956" s="308" t="s">
        <v>28256</v>
      </c>
      <c r="N6956" s="308"/>
      <c r="O6956" s="308"/>
      <c r="P6956" s="308" t="s">
        <v>28257</v>
      </c>
      <c r="Q6956" s="308" t="s">
        <v>39505</v>
      </c>
      <c r="R6956" s="308"/>
      <c r="S6956" s="308" t="s">
        <v>81</v>
      </c>
      <c r="T6956" s="308" t="s">
        <v>75</v>
      </c>
      <c r="U6956" s="308" t="s">
        <v>27</v>
      </c>
      <c r="V6956" s="308"/>
    </row>
    <row r="6957">
      <c r="A6957" s="308"/>
      <c r="B6957" s="308"/>
      <c r="C6957" s="308" t="s">
        <v>28258</v>
      </c>
      <c r="D6957" s="308">
        <f>IFERROR(__xludf.DUMMYFUNCTION("SPLIT(C6957,""-"")"),6977.0)</f>
        <v>6977</v>
      </c>
      <c r="E6957" s="308" t="str">
        <f>IFERROR(__xludf.DUMMYFUNCTION("""COMPUTED_VALUE"""),"B")</f>
        <v>B</v>
      </c>
      <c r="F6957" s="315" t="s">
        <v>26</v>
      </c>
      <c r="G6957" s="308"/>
      <c r="H6957" s="308" t="s">
        <v>28259</v>
      </c>
      <c r="I6957" s="310">
        <v>42709.0</v>
      </c>
      <c r="J6957" s="319">
        <f>IFERROR(__xludf.DUMMYFUNCTION("SPLIT(I6957,""/"")"),5.0)</f>
        <v>5</v>
      </c>
      <c r="K6957" s="308">
        <f>IFERROR(__xludf.DUMMYFUNCTION("""COMPUTED_VALUE"""),12.0)</f>
        <v>12</v>
      </c>
      <c r="L6957" s="308">
        <f>IFERROR(__xludf.DUMMYFUNCTION("""COMPUTED_VALUE"""),2016.0)</f>
        <v>2016</v>
      </c>
      <c r="M6957" s="308" t="s">
        <v>28260</v>
      </c>
      <c r="N6957" s="308"/>
      <c r="O6957" s="308"/>
      <c r="P6957" s="308" t="s">
        <v>28261</v>
      </c>
      <c r="Q6957" s="308" t="s">
        <v>39505</v>
      </c>
      <c r="R6957" s="308"/>
      <c r="S6957" s="308" t="s">
        <v>81</v>
      </c>
      <c r="T6957" s="308" t="s">
        <v>75</v>
      </c>
      <c r="U6957" s="308" t="s">
        <v>27</v>
      </c>
      <c r="V6957" s="308"/>
    </row>
    <row r="6958">
      <c r="A6958" s="308"/>
      <c r="B6958" s="308"/>
      <c r="C6958" s="308" t="s">
        <v>28262</v>
      </c>
      <c r="D6958" s="308">
        <f>IFERROR(__xludf.DUMMYFUNCTION("SPLIT(C6958,""-"")"),6978.0)</f>
        <v>6978</v>
      </c>
      <c r="E6958" s="308" t="str">
        <f>IFERROR(__xludf.DUMMYFUNCTION("""COMPUTED_VALUE"""),"B")</f>
        <v>B</v>
      </c>
      <c r="F6958" s="315" t="s">
        <v>26</v>
      </c>
      <c r="G6958" s="308"/>
      <c r="H6958" s="308" t="s">
        <v>28263</v>
      </c>
      <c r="I6958" s="310">
        <v>42709.0</v>
      </c>
      <c r="J6958" s="319">
        <f>IFERROR(__xludf.DUMMYFUNCTION("SPLIT(I6958,""/"")"),5.0)</f>
        <v>5</v>
      </c>
      <c r="K6958" s="308">
        <f>IFERROR(__xludf.DUMMYFUNCTION("""COMPUTED_VALUE"""),12.0)</f>
        <v>12</v>
      </c>
      <c r="L6958" s="308">
        <f>IFERROR(__xludf.DUMMYFUNCTION("""COMPUTED_VALUE"""),2016.0)</f>
        <v>2016</v>
      </c>
      <c r="M6958" s="308" t="s">
        <v>28260</v>
      </c>
      <c r="N6958" s="308"/>
      <c r="O6958" s="308"/>
      <c r="P6958" s="308" t="s">
        <v>28264</v>
      </c>
      <c r="Q6958" s="308" t="s">
        <v>39505</v>
      </c>
      <c r="R6958" s="308"/>
      <c r="S6958" s="308" t="s">
        <v>81</v>
      </c>
      <c r="T6958" s="308" t="s">
        <v>75</v>
      </c>
      <c r="U6958" s="308" t="s">
        <v>27</v>
      </c>
      <c r="V6958" s="308"/>
    </row>
    <row r="6959">
      <c r="A6959" s="308"/>
      <c r="B6959" s="308"/>
      <c r="C6959" s="308" t="s">
        <v>28265</v>
      </c>
      <c r="D6959" s="308">
        <f>IFERROR(__xludf.DUMMYFUNCTION("SPLIT(C6959,""-"")"),6979.0)</f>
        <v>6979</v>
      </c>
      <c r="E6959" s="308" t="str">
        <f>IFERROR(__xludf.DUMMYFUNCTION("""COMPUTED_VALUE"""),"B")</f>
        <v>B</v>
      </c>
      <c r="F6959" s="315" t="s">
        <v>26</v>
      </c>
      <c r="G6959" s="308"/>
      <c r="H6959" s="308" t="s">
        <v>28266</v>
      </c>
      <c r="I6959" s="310">
        <v>42708.0</v>
      </c>
      <c r="J6959" s="319">
        <f>IFERROR(__xludf.DUMMYFUNCTION("SPLIT(I6959,""/"")"),4.0)</f>
        <v>4</v>
      </c>
      <c r="K6959" s="308">
        <f>IFERROR(__xludf.DUMMYFUNCTION("""COMPUTED_VALUE"""),12.0)</f>
        <v>12</v>
      </c>
      <c r="L6959" s="308">
        <f>IFERROR(__xludf.DUMMYFUNCTION("""COMPUTED_VALUE"""),2016.0)</f>
        <v>2016</v>
      </c>
      <c r="M6959" s="308" t="s">
        <v>28267</v>
      </c>
      <c r="N6959" s="308"/>
      <c r="O6959" s="308"/>
      <c r="P6959" s="308" t="s">
        <v>28268</v>
      </c>
      <c r="Q6959" s="308" t="s">
        <v>39505</v>
      </c>
      <c r="R6959" s="308"/>
      <c r="S6959" s="308" t="s">
        <v>81</v>
      </c>
      <c r="T6959" s="308" t="s">
        <v>75</v>
      </c>
      <c r="U6959" s="308" t="s">
        <v>27</v>
      </c>
      <c r="V6959" s="308"/>
    </row>
    <row r="6960">
      <c r="A6960" s="308"/>
      <c r="B6960" s="308"/>
      <c r="C6960" s="308" t="s">
        <v>28269</v>
      </c>
      <c r="D6960" s="308">
        <f>IFERROR(__xludf.DUMMYFUNCTION("SPLIT(C6960,""-"")"),6980.0)</f>
        <v>6980</v>
      </c>
      <c r="E6960" s="308" t="str">
        <f>IFERROR(__xludf.DUMMYFUNCTION("""COMPUTED_VALUE"""),"B")</f>
        <v>B</v>
      </c>
      <c r="F6960" s="315" t="s">
        <v>26</v>
      </c>
      <c r="G6960" s="308"/>
      <c r="H6960" s="308" t="s">
        <v>28270</v>
      </c>
      <c r="I6960" s="310">
        <v>42708.0</v>
      </c>
      <c r="J6960" s="319">
        <f>IFERROR(__xludf.DUMMYFUNCTION("SPLIT(I6960,""/"")"),4.0)</f>
        <v>4</v>
      </c>
      <c r="K6960" s="308">
        <f>IFERROR(__xludf.DUMMYFUNCTION("""COMPUTED_VALUE"""),12.0)</f>
        <v>12</v>
      </c>
      <c r="L6960" s="308">
        <f>IFERROR(__xludf.DUMMYFUNCTION("""COMPUTED_VALUE"""),2016.0)</f>
        <v>2016</v>
      </c>
      <c r="M6960" s="308" t="s">
        <v>28267</v>
      </c>
      <c r="N6960" s="308"/>
      <c r="O6960" s="308"/>
      <c r="P6960" s="308" t="s">
        <v>28271</v>
      </c>
      <c r="Q6960" s="308" t="s">
        <v>39505</v>
      </c>
      <c r="R6960" s="308"/>
      <c r="S6960" s="308" t="s">
        <v>81</v>
      </c>
      <c r="T6960" s="308" t="s">
        <v>75</v>
      </c>
      <c r="U6960" s="308" t="s">
        <v>27</v>
      </c>
      <c r="V6960" s="308"/>
    </row>
    <row r="6961">
      <c r="A6961" s="308"/>
      <c r="B6961" s="308"/>
      <c r="C6961" s="308" t="s">
        <v>28272</v>
      </c>
      <c r="D6961" s="308">
        <f>IFERROR(__xludf.DUMMYFUNCTION("SPLIT(C6961,""-"")"),6981.0)</f>
        <v>6981</v>
      </c>
      <c r="E6961" s="308" t="str">
        <f>IFERROR(__xludf.DUMMYFUNCTION("""COMPUTED_VALUE"""),"B")</f>
        <v>B</v>
      </c>
      <c r="F6961" s="315" t="s">
        <v>26</v>
      </c>
      <c r="G6961" s="308"/>
      <c r="H6961" s="308" t="s">
        <v>28273</v>
      </c>
      <c r="I6961" s="310">
        <v>42708.0</v>
      </c>
      <c r="J6961" s="319">
        <f>IFERROR(__xludf.DUMMYFUNCTION("SPLIT(I6961,""/"")"),4.0)</f>
        <v>4</v>
      </c>
      <c r="K6961" s="308">
        <f>IFERROR(__xludf.DUMMYFUNCTION("""COMPUTED_VALUE"""),12.0)</f>
        <v>12</v>
      </c>
      <c r="L6961" s="308">
        <f>IFERROR(__xludf.DUMMYFUNCTION("""COMPUTED_VALUE"""),2016.0)</f>
        <v>2016</v>
      </c>
      <c r="M6961" s="308" t="s">
        <v>28274</v>
      </c>
      <c r="N6961" s="308"/>
      <c r="O6961" s="308"/>
      <c r="P6961" s="308" t="s">
        <v>28275</v>
      </c>
      <c r="Q6961" s="308" t="s">
        <v>39505</v>
      </c>
      <c r="R6961" s="308"/>
      <c r="S6961" s="308" t="s">
        <v>81</v>
      </c>
      <c r="T6961" s="308" t="s">
        <v>75</v>
      </c>
      <c r="U6961" s="308" t="s">
        <v>27</v>
      </c>
      <c r="V6961" s="308"/>
    </row>
    <row r="6962">
      <c r="A6962" s="308"/>
      <c r="B6962" s="308"/>
      <c r="C6962" s="308" t="s">
        <v>28276</v>
      </c>
      <c r="D6962" s="308">
        <f>IFERROR(__xludf.DUMMYFUNCTION("SPLIT(C6962,""-"")"),6982.0)</f>
        <v>6982</v>
      </c>
      <c r="E6962" s="308" t="str">
        <f>IFERROR(__xludf.DUMMYFUNCTION("""COMPUTED_VALUE"""),"B")</f>
        <v>B</v>
      </c>
      <c r="F6962" s="315" t="s">
        <v>26</v>
      </c>
      <c r="G6962" s="308"/>
      <c r="H6962" s="308" t="s">
        <v>28277</v>
      </c>
      <c r="I6962" s="310">
        <v>42711.0</v>
      </c>
      <c r="J6962" s="319">
        <f>IFERROR(__xludf.DUMMYFUNCTION("SPLIT(I6962,""/"")"),7.0)</f>
        <v>7</v>
      </c>
      <c r="K6962" s="308">
        <f>IFERROR(__xludf.DUMMYFUNCTION("""COMPUTED_VALUE"""),12.0)</f>
        <v>12</v>
      </c>
      <c r="L6962" s="308">
        <f>IFERROR(__xludf.DUMMYFUNCTION("""COMPUTED_VALUE"""),2016.0)</f>
        <v>2016</v>
      </c>
      <c r="M6962" s="308" t="s">
        <v>28278</v>
      </c>
      <c r="N6962" s="308"/>
      <c r="O6962" s="308"/>
      <c r="P6962" s="308" t="s">
        <v>28279</v>
      </c>
      <c r="Q6962" s="308" t="s">
        <v>39505</v>
      </c>
      <c r="R6962" s="308"/>
      <c r="S6962" s="308" t="s">
        <v>81</v>
      </c>
      <c r="T6962" s="308" t="s">
        <v>75</v>
      </c>
      <c r="U6962" s="308" t="s">
        <v>27</v>
      </c>
      <c r="V6962" s="308"/>
    </row>
    <row r="6963">
      <c r="A6963" s="308"/>
      <c r="B6963" s="308"/>
      <c r="C6963" s="308" t="s">
        <v>28280</v>
      </c>
      <c r="D6963" s="308">
        <f>IFERROR(__xludf.DUMMYFUNCTION("SPLIT(C6963,""-"")"),6983.0)</f>
        <v>6983</v>
      </c>
      <c r="E6963" s="308" t="str">
        <f>IFERROR(__xludf.DUMMYFUNCTION("""COMPUTED_VALUE"""),"B")</f>
        <v>B</v>
      </c>
      <c r="F6963" s="315" t="s">
        <v>26</v>
      </c>
      <c r="G6963" s="308"/>
      <c r="H6963" s="308" t="s">
        <v>28281</v>
      </c>
      <c r="I6963" s="310">
        <v>42711.0</v>
      </c>
      <c r="J6963" s="319">
        <f>IFERROR(__xludf.DUMMYFUNCTION("SPLIT(I6963,""/"")"),7.0)</f>
        <v>7</v>
      </c>
      <c r="K6963" s="308">
        <f>IFERROR(__xludf.DUMMYFUNCTION("""COMPUTED_VALUE"""),12.0)</f>
        <v>12</v>
      </c>
      <c r="L6963" s="308">
        <f>IFERROR(__xludf.DUMMYFUNCTION("""COMPUTED_VALUE"""),2016.0)</f>
        <v>2016</v>
      </c>
      <c r="M6963" s="308" t="s">
        <v>28278</v>
      </c>
      <c r="N6963" s="308"/>
      <c r="O6963" s="308"/>
      <c r="P6963" s="308" t="s">
        <v>28282</v>
      </c>
      <c r="Q6963" s="308" t="s">
        <v>39505</v>
      </c>
      <c r="R6963" s="308"/>
      <c r="S6963" s="308" t="s">
        <v>81</v>
      </c>
      <c r="T6963" s="308" t="s">
        <v>75</v>
      </c>
      <c r="U6963" s="308" t="s">
        <v>27</v>
      </c>
      <c r="V6963" s="308"/>
    </row>
    <row r="6964">
      <c r="A6964" s="308"/>
      <c r="B6964" s="308"/>
      <c r="C6964" s="308" t="s">
        <v>28283</v>
      </c>
      <c r="D6964" s="308">
        <f>IFERROR(__xludf.DUMMYFUNCTION("SPLIT(C6964,""-"")"),6984.0)</f>
        <v>6984</v>
      </c>
      <c r="E6964" s="308" t="str">
        <f>IFERROR(__xludf.DUMMYFUNCTION("""COMPUTED_VALUE"""),"B")</f>
        <v>B</v>
      </c>
      <c r="F6964" s="315" t="s">
        <v>26</v>
      </c>
      <c r="G6964" s="308"/>
      <c r="H6964" s="308" t="s">
        <v>28284</v>
      </c>
      <c r="I6964" s="310">
        <v>42711.0</v>
      </c>
      <c r="J6964" s="319">
        <f>IFERROR(__xludf.DUMMYFUNCTION("SPLIT(I6964,""/"")"),7.0)</f>
        <v>7</v>
      </c>
      <c r="K6964" s="308">
        <f>IFERROR(__xludf.DUMMYFUNCTION("""COMPUTED_VALUE"""),12.0)</f>
        <v>12</v>
      </c>
      <c r="L6964" s="308">
        <f>IFERROR(__xludf.DUMMYFUNCTION("""COMPUTED_VALUE"""),2016.0)</f>
        <v>2016</v>
      </c>
      <c r="M6964" s="308" t="s">
        <v>28278</v>
      </c>
      <c r="N6964" s="308"/>
      <c r="O6964" s="308"/>
      <c r="P6964" s="308" t="s">
        <v>28285</v>
      </c>
      <c r="Q6964" s="308" t="s">
        <v>39505</v>
      </c>
      <c r="R6964" s="308"/>
      <c r="S6964" s="308" t="s">
        <v>81</v>
      </c>
      <c r="T6964" s="308" t="s">
        <v>75</v>
      </c>
      <c r="U6964" s="308" t="s">
        <v>27</v>
      </c>
      <c r="V6964" s="308"/>
    </row>
    <row r="6965">
      <c r="A6965" s="308"/>
      <c r="B6965" s="308"/>
      <c r="C6965" s="308" t="s">
        <v>28286</v>
      </c>
      <c r="D6965" s="308">
        <f>IFERROR(__xludf.DUMMYFUNCTION("SPLIT(C6965,""-"")"),6985.0)</f>
        <v>6985</v>
      </c>
      <c r="E6965" s="308" t="str">
        <f>IFERROR(__xludf.DUMMYFUNCTION("""COMPUTED_VALUE"""),"B")</f>
        <v>B</v>
      </c>
      <c r="F6965" s="315" t="s">
        <v>26</v>
      </c>
      <c r="G6965" s="308"/>
      <c r="H6965" s="308" t="s">
        <v>28287</v>
      </c>
      <c r="I6965" s="310">
        <v>42711.0</v>
      </c>
      <c r="J6965" s="319">
        <f>IFERROR(__xludf.DUMMYFUNCTION("SPLIT(I6965,""/"")"),7.0)</f>
        <v>7</v>
      </c>
      <c r="K6965" s="308">
        <f>IFERROR(__xludf.DUMMYFUNCTION("""COMPUTED_VALUE"""),12.0)</f>
        <v>12</v>
      </c>
      <c r="L6965" s="308">
        <f>IFERROR(__xludf.DUMMYFUNCTION("""COMPUTED_VALUE"""),2016.0)</f>
        <v>2016</v>
      </c>
      <c r="M6965" s="308" t="s">
        <v>28278</v>
      </c>
      <c r="N6965" s="308"/>
      <c r="O6965" s="308"/>
      <c r="P6965" s="308" t="s">
        <v>28288</v>
      </c>
      <c r="Q6965" s="308" t="s">
        <v>39505</v>
      </c>
      <c r="R6965" s="308"/>
      <c r="S6965" s="308" t="s">
        <v>81</v>
      </c>
      <c r="T6965" s="308" t="s">
        <v>75</v>
      </c>
      <c r="U6965" s="308" t="s">
        <v>27</v>
      </c>
      <c r="V6965" s="308"/>
    </row>
    <row r="6966">
      <c r="A6966" s="308"/>
      <c r="B6966" s="308"/>
      <c r="C6966" s="308" t="s">
        <v>28289</v>
      </c>
      <c r="D6966" s="308">
        <f>IFERROR(__xludf.DUMMYFUNCTION("SPLIT(C6966,""-"")"),6986.0)</f>
        <v>6986</v>
      </c>
      <c r="E6966" s="308" t="str">
        <f>IFERROR(__xludf.DUMMYFUNCTION("""COMPUTED_VALUE"""),"B")</f>
        <v>B</v>
      </c>
      <c r="F6966" s="315" t="s">
        <v>26</v>
      </c>
      <c r="G6966" s="308"/>
      <c r="H6966" s="308" t="s">
        <v>28290</v>
      </c>
      <c r="I6966" s="310">
        <v>42711.0</v>
      </c>
      <c r="J6966" s="319">
        <f>IFERROR(__xludf.DUMMYFUNCTION("SPLIT(I6966,""/"")"),7.0)</f>
        <v>7</v>
      </c>
      <c r="K6966" s="308">
        <f>IFERROR(__xludf.DUMMYFUNCTION("""COMPUTED_VALUE"""),12.0)</f>
        <v>12</v>
      </c>
      <c r="L6966" s="308">
        <f>IFERROR(__xludf.DUMMYFUNCTION("""COMPUTED_VALUE"""),2016.0)</f>
        <v>2016</v>
      </c>
      <c r="M6966" s="308" t="s">
        <v>28278</v>
      </c>
      <c r="N6966" s="308"/>
      <c r="O6966" s="308"/>
      <c r="P6966" s="308" t="s">
        <v>28291</v>
      </c>
      <c r="Q6966" s="308" t="s">
        <v>39505</v>
      </c>
      <c r="R6966" s="308"/>
      <c r="S6966" s="308" t="s">
        <v>81</v>
      </c>
      <c r="T6966" s="308" t="s">
        <v>75</v>
      </c>
      <c r="U6966" s="308" t="s">
        <v>27</v>
      </c>
      <c r="V6966" s="308"/>
    </row>
    <row r="6967">
      <c r="A6967" s="308"/>
      <c r="B6967" s="308"/>
      <c r="C6967" s="308" t="s">
        <v>28292</v>
      </c>
      <c r="D6967" s="308">
        <f>IFERROR(__xludf.DUMMYFUNCTION("SPLIT(C6967,""-"")"),6987.0)</f>
        <v>6987</v>
      </c>
      <c r="E6967" s="308" t="str">
        <f>IFERROR(__xludf.DUMMYFUNCTION("""COMPUTED_VALUE"""),"B")</f>
        <v>B</v>
      </c>
      <c r="F6967" s="315" t="s">
        <v>26</v>
      </c>
      <c r="G6967" s="308"/>
      <c r="H6967" s="308" t="s">
        <v>28293</v>
      </c>
      <c r="I6967" s="310">
        <v>42711.0</v>
      </c>
      <c r="J6967" s="319">
        <f>IFERROR(__xludf.DUMMYFUNCTION("SPLIT(I6967,""/"")"),7.0)</f>
        <v>7</v>
      </c>
      <c r="K6967" s="308">
        <f>IFERROR(__xludf.DUMMYFUNCTION("""COMPUTED_VALUE"""),12.0)</f>
        <v>12</v>
      </c>
      <c r="L6967" s="308">
        <f>IFERROR(__xludf.DUMMYFUNCTION("""COMPUTED_VALUE"""),2016.0)</f>
        <v>2016</v>
      </c>
      <c r="M6967" s="308" t="s">
        <v>28278</v>
      </c>
      <c r="N6967" s="308"/>
      <c r="O6967" s="308"/>
      <c r="P6967" s="308" t="s">
        <v>28294</v>
      </c>
      <c r="Q6967" s="308" t="s">
        <v>39505</v>
      </c>
      <c r="R6967" s="308"/>
      <c r="S6967" s="308" t="s">
        <v>81</v>
      </c>
      <c r="T6967" s="308" t="s">
        <v>75</v>
      </c>
      <c r="U6967" s="308" t="s">
        <v>27</v>
      </c>
      <c r="V6967" s="308"/>
    </row>
    <row r="6968">
      <c r="A6968" s="308"/>
      <c r="B6968" s="308"/>
      <c r="C6968" s="308" t="s">
        <v>28295</v>
      </c>
      <c r="D6968" s="308">
        <f>IFERROR(__xludf.DUMMYFUNCTION("SPLIT(C6968,""-"")"),6988.0)</f>
        <v>6988</v>
      </c>
      <c r="E6968" s="308" t="str">
        <f>IFERROR(__xludf.DUMMYFUNCTION("""COMPUTED_VALUE"""),"B")</f>
        <v>B</v>
      </c>
      <c r="F6968" s="315" t="s">
        <v>26</v>
      </c>
      <c r="G6968" s="308"/>
      <c r="H6968" s="308" t="s">
        <v>28296</v>
      </c>
      <c r="I6968" s="310">
        <v>42711.0</v>
      </c>
      <c r="J6968" s="319">
        <f>IFERROR(__xludf.DUMMYFUNCTION("SPLIT(I6968,""/"")"),7.0)</f>
        <v>7</v>
      </c>
      <c r="K6968" s="308">
        <f>IFERROR(__xludf.DUMMYFUNCTION("""COMPUTED_VALUE"""),12.0)</f>
        <v>12</v>
      </c>
      <c r="L6968" s="308">
        <f>IFERROR(__xludf.DUMMYFUNCTION("""COMPUTED_VALUE"""),2016.0)</f>
        <v>2016</v>
      </c>
      <c r="M6968" s="308" t="s">
        <v>28278</v>
      </c>
      <c r="N6968" s="308"/>
      <c r="O6968" s="308"/>
      <c r="P6968" s="308" t="s">
        <v>28297</v>
      </c>
      <c r="Q6968" s="308" t="s">
        <v>39505</v>
      </c>
      <c r="R6968" s="308"/>
      <c r="S6968" s="308" t="s">
        <v>81</v>
      </c>
      <c r="T6968" s="308" t="s">
        <v>75</v>
      </c>
      <c r="U6968" s="308" t="s">
        <v>27</v>
      </c>
      <c r="V6968" s="308"/>
    </row>
    <row r="6969">
      <c r="A6969" s="308"/>
      <c r="B6969" s="308"/>
      <c r="C6969" s="308" t="s">
        <v>28298</v>
      </c>
      <c r="D6969" s="308">
        <f>IFERROR(__xludf.DUMMYFUNCTION("SPLIT(C6969,""-"")"),6989.0)</f>
        <v>6989</v>
      </c>
      <c r="E6969" s="308" t="str">
        <f>IFERROR(__xludf.DUMMYFUNCTION("""COMPUTED_VALUE"""),"B")</f>
        <v>B</v>
      </c>
      <c r="F6969" s="315" t="s">
        <v>26</v>
      </c>
      <c r="G6969" s="308"/>
      <c r="H6969" s="308" t="s">
        <v>28299</v>
      </c>
      <c r="I6969" s="310">
        <v>42711.0</v>
      </c>
      <c r="J6969" s="319">
        <f>IFERROR(__xludf.DUMMYFUNCTION("SPLIT(I6969,""/"")"),7.0)</f>
        <v>7</v>
      </c>
      <c r="K6969" s="308">
        <f>IFERROR(__xludf.DUMMYFUNCTION("""COMPUTED_VALUE"""),12.0)</f>
        <v>12</v>
      </c>
      <c r="L6969" s="308">
        <f>IFERROR(__xludf.DUMMYFUNCTION("""COMPUTED_VALUE"""),2016.0)</f>
        <v>2016</v>
      </c>
      <c r="M6969" s="308" t="s">
        <v>28278</v>
      </c>
      <c r="N6969" s="308"/>
      <c r="O6969" s="308"/>
      <c r="P6969" s="308" t="s">
        <v>28300</v>
      </c>
      <c r="Q6969" s="308" t="s">
        <v>39505</v>
      </c>
      <c r="R6969" s="308"/>
      <c r="S6969" s="308" t="s">
        <v>81</v>
      </c>
      <c r="T6969" s="308" t="s">
        <v>75</v>
      </c>
      <c r="U6969" s="308" t="s">
        <v>27</v>
      </c>
      <c r="V6969" s="308"/>
    </row>
    <row r="6970">
      <c r="A6970" s="308"/>
      <c r="B6970" s="308"/>
      <c r="C6970" s="308" t="s">
        <v>28301</v>
      </c>
      <c r="D6970" s="308">
        <f>IFERROR(__xludf.DUMMYFUNCTION("SPLIT(C6970,""-"")"),6990.0)</f>
        <v>6990</v>
      </c>
      <c r="E6970" s="308" t="str">
        <f>IFERROR(__xludf.DUMMYFUNCTION("""COMPUTED_VALUE"""),"B")</f>
        <v>B</v>
      </c>
      <c r="F6970" s="315" t="s">
        <v>26</v>
      </c>
      <c r="G6970" s="308"/>
      <c r="H6970" s="308" t="s">
        <v>28302</v>
      </c>
      <c r="I6970" s="310">
        <v>42711.0</v>
      </c>
      <c r="J6970" s="319">
        <f>IFERROR(__xludf.DUMMYFUNCTION("SPLIT(I6970,""/"")"),7.0)</f>
        <v>7</v>
      </c>
      <c r="K6970" s="308">
        <f>IFERROR(__xludf.DUMMYFUNCTION("""COMPUTED_VALUE"""),12.0)</f>
        <v>12</v>
      </c>
      <c r="L6970" s="308">
        <f>IFERROR(__xludf.DUMMYFUNCTION("""COMPUTED_VALUE"""),2016.0)</f>
        <v>2016</v>
      </c>
      <c r="M6970" s="308" t="s">
        <v>28278</v>
      </c>
      <c r="N6970" s="308"/>
      <c r="O6970" s="308"/>
      <c r="P6970" s="308" t="s">
        <v>28303</v>
      </c>
      <c r="Q6970" s="308" t="s">
        <v>39505</v>
      </c>
      <c r="R6970" s="308"/>
      <c r="S6970" s="308" t="s">
        <v>81</v>
      </c>
      <c r="T6970" s="308" t="s">
        <v>75</v>
      </c>
      <c r="U6970" s="308" t="s">
        <v>27</v>
      </c>
      <c r="V6970" s="308"/>
    </row>
    <row r="6971">
      <c r="A6971" s="308"/>
      <c r="B6971" s="308"/>
      <c r="C6971" s="308" t="s">
        <v>28304</v>
      </c>
      <c r="D6971" s="308">
        <f>IFERROR(__xludf.DUMMYFUNCTION("SPLIT(C6971,""-"")"),6991.0)</f>
        <v>6991</v>
      </c>
      <c r="E6971" s="308" t="str">
        <f>IFERROR(__xludf.DUMMYFUNCTION("""COMPUTED_VALUE"""),"B")</f>
        <v>B</v>
      </c>
      <c r="F6971" s="315" t="s">
        <v>26</v>
      </c>
      <c r="G6971" s="308"/>
      <c r="H6971" s="308" t="s">
        <v>28305</v>
      </c>
      <c r="I6971" s="310">
        <v>42711.0</v>
      </c>
      <c r="J6971" s="319">
        <f>IFERROR(__xludf.DUMMYFUNCTION("SPLIT(I6971,""/"")"),7.0)</f>
        <v>7</v>
      </c>
      <c r="K6971" s="308">
        <f>IFERROR(__xludf.DUMMYFUNCTION("""COMPUTED_VALUE"""),12.0)</f>
        <v>12</v>
      </c>
      <c r="L6971" s="308">
        <f>IFERROR(__xludf.DUMMYFUNCTION("""COMPUTED_VALUE"""),2016.0)</f>
        <v>2016</v>
      </c>
      <c r="M6971" s="308" t="s">
        <v>28278</v>
      </c>
      <c r="N6971" s="308"/>
      <c r="O6971" s="308"/>
      <c r="P6971" s="308" t="s">
        <v>28306</v>
      </c>
      <c r="Q6971" s="308" t="s">
        <v>39505</v>
      </c>
      <c r="R6971" s="308"/>
      <c r="S6971" s="308" t="s">
        <v>81</v>
      </c>
      <c r="T6971" s="308" t="s">
        <v>75</v>
      </c>
      <c r="U6971" s="308" t="s">
        <v>27</v>
      </c>
      <c r="V6971" s="308"/>
    </row>
    <row r="6972">
      <c r="A6972" s="308"/>
      <c r="B6972" s="308"/>
      <c r="C6972" s="308" t="s">
        <v>28307</v>
      </c>
      <c r="D6972" s="308">
        <f>IFERROR(__xludf.DUMMYFUNCTION("SPLIT(C6972,""-"")"),6992.0)</f>
        <v>6992</v>
      </c>
      <c r="E6972" s="308" t="str">
        <f>IFERROR(__xludf.DUMMYFUNCTION("""COMPUTED_VALUE"""),"B")</f>
        <v>B</v>
      </c>
      <c r="F6972" s="315" t="s">
        <v>26</v>
      </c>
      <c r="G6972" s="308"/>
      <c r="H6972" s="308" t="s">
        <v>28308</v>
      </c>
      <c r="I6972" s="310">
        <v>42711.0</v>
      </c>
      <c r="J6972" s="319">
        <f>IFERROR(__xludf.DUMMYFUNCTION("SPLIT(I6972,""/"")"),7.0)</f>
        <v>7</v>
      </c>
      <c r="K6972" s="308">
        <f>IFERROR(__xludf.DUMMYFUNCTION("""COMPUTED_VALUE"""),12.0)</f>
        <v>12</v>
      </c>
      <c r="L6972" s="308">
        <f>IFERROR(__xludf.DUMMYFUNCTION("""COMPUTED_VALUE"""),2016.0)</f>
        <v>2016</v>
      </c>
      <c r="M6972" s="308" t="s">
        <v>28278</v>
      </c>
      <c r="N6972" s="308"/>
      <c r="O6972" s="308"/>
      <c r="P6972" s="308" t="s">
        <v>28309</v>
      </c>
      <c r="Q6972" s="308" t="s">
        <v>39505</v>
      </c>
      <c r="R6972" s="308"/>
      <c r="S6972" s="308" t="s">
        <v>81</v>
      </c>
      <c r="T6972" s="308" t="s">
        <v>75</v>
      </c>
      <c r="U6972" s="308" t="s">
        <v>27</v>
      </c>
      <c r="V6972" s="308"/>
    </row>
    <row r="6973">
      <c r="A6973" s="308"/>
      <c r="B6973" s="308"/>
      <c r="C6973" s="308" t="s">
        <v>28310</v>
      </c>
      <c r="D6973" s="308">
        <f>IFERROR(__xludf.DUMMYFUNCTION("SPLIT(C6973,""-"")"),6993.0)</f>
        <v>6993</v>
      </c>
      <c r="E6973" s="308" t="str">
        <f>IFERROR(__xludf.DUMMYFUNCTION("""COMPUTED_VALUE"""),"B")</f>
        <v>B</v>
      </c>
      <c r="F6973" s="315" t="s">
        <v>26</v>
      </c>
      <c r="G6973" s="308"/>
      <c r="H6973" s="308" t="s">
        <v>28311</v>
      </c>
      <c r="I6973" s="310">
        <v>42711.0</v>
      </c>
      <c r="J6973" s="319">
        <f>IFERROR(__xludf.DUMMYFUNCTION("SPLIT(I6973,""/"")"),7.0)</f>
        <v>7</v>
      </c>
      <c r="K6973" s="308">
        <f>IFERROR(__xludf.DUMMYFUNCTION("""COMPUTED_VALUE"""),12.0)</f>
        <v>12</v>
      </c>
      <c r="L6973" s="308">
        <f>IFERROR(__xludf.DUMMYFUNCTION("""COMPUTED_VALUE"""),2016.0)</f>
        <v>2016</v>
      </c>
      <c r="M6973" s="308" t="s">
        <v>28278</v>
      </c>
      <c r="N6973" s="308"/>
      <c r="O6973" s="308"/>
      <c r="P6973" s="308" t="s">
        <v>28312</v>
      </c>
      <c r="Q6973" s="308" t="s">
        <v>39505</v>
      </c>
      <c r="R6973" s="308"/>
      <c r="S6973" s="308" t="s">
        <v>81</v>
      </c>
      <c r="T6973" s="308" t="s">
        <v>75</v>
      </c>
      <c r="U6973" s="308" t="s">
        <v>27</v>
      </c>
      <c r="V6973" s="308"/>
    </row>
    <row r="6974">
      <c r="A6974" s="308"/>
      <c r="B6974" s="308"/>
      <c r="C6974" s="308" t="s">
        <v>28313</v>
      </c>
      <c r="D6974" s="308">
        <f>IFERROR(__xludf.DUMMYFUNCTION("SPLIT(C6974,""-"")"),6994.0)</f>
        <v>6994</v>
      </c>
      <c r="E6974" s="308" t="str">
        <f>IFERROR(__xludf.DUMMYFUNCTION("""COMPUTED_VALUE"""),"B")</f>
        <v>B</v>
      </c>
      <c r="F6974" s="315" t="s">
        <v>26</v>
      </c>
      <c r="G6974" s="308"/>
      <c r="H6974" s="308" t="s">
        <v>28314</v>
      </c>
      <c r="I6974" s="310">
        <v>42707.0</v>
      </c>
      <c r="J6974" s="319">
        <f>IFERROR(__xludf.DUMMYFUNCTION("SPLIT(I6974,""/"")"),3.0)</f>
        <v>3</v>
      </c>
      <c r="K6974" s="308">
        <f>IFERROR(__xludf.DUMMYFUNCTION("""COMPUTED_VALUE"""),12.0)</f>
        <v>12</v>
      </c>
      <c r="L6974" s="308">
        <f>IFERROR(__xludf.DUMMYFUNCTION("""COMPUTED_VALUE"""),2016.0)</f>
        <v>2016</v>
      </c>
      <c r="M6974" s="308" t="s">
        <v>28315</v>
      </c>
      <c r="N6974" s="308"/>
      <c r="O6974" s="308"/>
      <c r="P6974" s="308" t="s">
        <v>28316</v>
      </c>
      <c r="Q6974" s="308" t="s">
        <v>39505</v>
      </c>
      <c r="R6974" s="308"/>
      <c r="S6974" s="308" t="s">
        <v>81</v>
      </c>
      <c r="T6974" s="308" t="s">
        <v>75</v>
      </c>
      <c r="U6974" s="308" t="s">
        <v>27</v>
      </c>
      <c r="V6974" s="308"/>
    </row>
    <row r="6975">
      <c r="A6975" s="308"/>
      <c r="B6975" s="308"/>
      <c r="C6975" s="308" t="s">
        <v>28317</v>
      </c>
      <c r="D6975" s="308">
        <f>IFERROR(__xludf.DUMMYFUNCTION("SPLIT(C6975,""-"")"),6995.0)</f>
        <v>6995</v>
      </c>
      <c r="E6975" s="308" t="str">
        <f>IFERROR(__xludf.DUMMYFUNCTION("""COMPUTED_VALUE"""),"B")</f>
        <v>B</v>
      </c>
      <c r="F6975" s="315" t="s">
        <v>26</v>
      </c>
      <c r="G6975" s="308"/>
      <c r="H6975" s="308" t="s">
        <v>28318</v>
      </c>
      <c r="I6975" s="310">
        <v>42707.0</v>
      </c>
      <c r="J6975" s="319">
        <f>IFERROR(__xludf.DUMMYFUNCTION("SPLIT(I6975,""/"")"),3.0)</f>
        <v>3</v>
      </c>
      <c r="K6975" s="308">
        <f>IFERROR(__xludf.DUMMYFUNCTION("""COMPUTED_VALUE"""),12.0)</f>
        <v>12</v>
      </c>
      <c r="L6975" s="308">
        <f>IFERROR(__xludf.DUMMYFUNCTION("""COMPUTED_VALUE"""),2016.0)</f>
        <v>2016</v>
      </c>
      <c r="M6975" s="308" t="s">
        <v>28315</v>
      </c>
      <c r="N6975" s="308"/>
      <c r="O6975" s="308"/>
      <c r="P6975" s="308" t="s">
        <v>28319</v>
      </c>
      <c r="Q6975" s="308" t="s">
        <v>39505</v>
      </c>
      <c r="R6975" s="308"/>
      <c r="S6975" s="308" t="s">
        <v>81</v>
      </c>
      <c r="T6975" s="308" t="s">
        <v>75</v>
      </c>
      <c r="U6975" s="308" t="s">
        <v>27</v>
      </c>
      <c r="V6975" s="308"/>
    </row>
    <row r="6976">
      <c r="A6976" s="308"/>
      <c r="B6976" s="308"/>
      <c r="C6976" s="308" t="s">
        <v>28320</v>
      </c>
      <c r="D6976" s="308">
        <f>IFERROR(__xludf.DUMMYFUNCTION("SPLIT(C6976,""-"")"),6996.0)</f>
        <v>6996</v>
      </c>
      <c r="E6976" s="308" t="str">
        <f>IFERROR(__xludf.DUMMYFUNCTION("""COMPUTED_VALUE"""),"B")</f>
        <v>B</v>
      </c>
      <c r="F6976" s="315" t="s">
        <v>26</v>
      </c>
      <c r="G6976" s="308"/>
      <c r="H6976" s="308" t="s">
        <v>28321</v>
      </c>
      <c r="I6976" s="314">
        <v>42715.0</v>
      </c>
      <c r="J6976" s="319">
        <f>IFERROR(__xludf.DUMMYFUNCTION("SPLIT(I6976,""/"")"),11.0)</f>
        <v>11</v>
      </c>
      <c r="K6976" s="308">
        <f>IFERROR(__xludf.DUMMYFUNCTION("""COMPUTED_VALUE"""),12.0)</f>
        <v>12</v>
      </c>
      <c r="L6976" s="308">
        <f>IFERROR(__xludf.DUMMYFUNCTION("""COMPUTED_VALUE"""),2016.0)</f>
        <v>2016</v>
      </c>
      <c r="M6976" s="308" t="s">
        <v>28322</v>
      </c>
      <c r="N6976" s="308"/>
      <c r="O6976" s="308"/>
      <c r="P6976" s="308" t="s">
        <v>28323</v>
      </c>
      <c r="Q6976" s="308" t="s">
        <v>39505</v>
      </c>
      <c r="R6976" s="308"/>
      <c r="S6976" s="308" t="s">
        <v>81</v>
      </c>
      <c r="T6976" s="308" t="s">
        <v>75</v>
      </c>
      <c r="U6976" s="308" t="s">
        <v>27</v>
      </c>
      <c r="V6976" s="308"/>
    </row>
    <row r="6977">
      <c r="A6977" s="308"/>
      <c r="B6977" s="308"/>
      <c r="C6977" s="308" t="s">
        <v>28324</v>
      </c>
      <c r="D6977" s="308">
        <f>IFERROR(__xludf.DUMMYFUNCTION("SPLIT(C6977,""-"")"),6997.0)</f>
        <v>6997</v>
      </c>
      <c r="E6977" s="308" t="str">
        <f>IFERROR(__xludf.DUMMYFUNCTION("""COMPUTED_VALUE"""),"B")</f>
        <v>B</v>
      </c>
      <c r="F6977" s="315" t="s">
        <v>26</v>
      </c>
      <c r="G6977" s="308"/>
      <c r="H6977" s="308" t="s">
        <v>28325</v>
      </c>
      <c r="I6977" s="314">
        <v>42714.0</v>
      </c>
      <c r="J6977" s="319">
        <f>IFERROR(__xludf.DUMMYFUNCTION("SPLIT(I6977,""/"")"),10.0)</f>
        <v>10</v>
      </c>
      <c r="K6977" s="308">
        <f>IFERROR(__xludf.DUMMYFUNCTION("""COMPUTED_VALUE"""),12.0)</f>
        <v>12</v>
      </c>
      <c r="L6977" s="308">
        <f>IFERROR(__xludf.DUMMYFUNCTION("""COMPUTED_VALUE"""),2016.0)</f>
        <v>2016</v>
      </c>
      <c r="M6977" s="308" t="s">
        <v>28326</v>
      </c>
      <c r="N6977" s="308"/>
      <c r="O6977" s="308"/>
      <c r="P6977" s="308" t="s">
        <v>28327</v>
      </c>
      <c r="Q6977" s="308" t="s">
        <v>39505</v>
      </c>
      <c r="R6977" s="308"/>
      <c r="S6977" s="308" t="s">
        <v>81</v>
      </c>
      <c r="T6977" s="308" t="s">
        <v>75</v>
      </c>
      <c r="U6977" s="308" t="s">
        <v>27</v>
      </c>
      <c r="V6977" s="308"/>
    </row>
    <row r="6978">
      <c r="A6978" s="308"/>
      <c r="B6978" s="308"/>
      <c r="C6978" s="308" t="s">
        <v>28328</v>
      </c>
      <c r="D6978" s="308">
        <f>IFERROR(__xludf.DUMMYFUNCTION("SPLIT(C6978,""-"")"),6998.0)</f>
        <v>6998</v>
      </c>
      <c r="E6978" s="308" t="str">
        <f>IFERROR(__xludf.DUMMYFUNCTION("""COMPUTED_VALUE"""),"B")</f>
        <v>B</v>
      </c>
      <c r="F6978" s="315" t="s">
        <v>26</v>
      </c>
      <c r="G6978" s="308"/>
      <c r="H6978" s="308" t="s">
        <v>28329</v>
      </c>
      <c r="I6978" s="310">
        <v>42713.0</v>
      </c>
      <c r="J6978" s="319">
        <f>IFERROR(__xludf.DUMMYFUNCTION("SPLIT(I6978,""/"")"),9.0)</f>
        <v>9</v>
      </c>
      <c r="K6978" s="308">
        <f>IFERROR(__xludf.DUMMYFUNCTION("""COMPUTED_VALUE"""),12.0)</f>
        <v>12</v>
      </c>
      <c r="L6978" s="308">
        <f>IFERROR(__xludf.DUMMYFUNCTION("""COMPUTED_VALUE"""),2016.0)</f>
        <v>2016</v>
      </c>
      <c r="M6978" s="308" t="s">
        <v>28330</v>
      </c>
      <c r="N6978" s="308"/>
      <c r="O6978" s="308"/>
      <c r="P6978" s="308" t="s">
        <v>28331</v>
      </c>
      <c r="Q6978" s="308" t="s">
        <v>39505</v>
      </c>
      <c r="R6978" s="308"/>
      <c r="S6978" s="308" t="s">
        <v>81</v>
      </c>
      <c r="T6978" s="308" t="s">
        <v>75</v>
      </c>
      <c r="U6978" s="308" t="s">
        <v>27</v>
      </c>
      <c r="V6978" s="308"/>
    </row>
    <row r="6979">
      <c r="A6979" s="308"/>
      <c r="B6979" s="308"/>
      <c r="C6979" s="308" t="s">
        <v>28332</v>
      </c>
      <c r="D6979" s="308">
        <f>IFERROR(__xludf.DUMMYFUNCTION("SPLIT(C6979,""-"")"),6999.0)</f>
        <v>6999</v>
      </c>
      <c r="E6979" s="308" t="str">
        <f>IFERROR(__xludf.DUMMYFUNCTION("""COMPUTED_VALUE"""),"B")</f>
        <v>B</v>
      </c>
      <c r="F6979" s="315" t="s">
        <v>26</v>
      </c>
      <c r="G6979" s="308"/>
      <c r="H6979" s="308" t="s">
        <v>28333</v>
      </c>
      <c r="I6979" s="310">
        <v>42712.0</v>
      </c>
      <c r="J6979" s="319">
        <f>IFERROR(__xludf.DUMMYFUNCTION("SPLIT(I6979,""/"")"),8.0)</f>
        <v>8</v>
      </c>
      <c r="K6979" s="308">
        <f>IFERROR(__xludf.DUMMYFUNCTION("""COMPUTED_VALUE"""),12.0)</f>
        <v>12</v>
      </c>
      <c r="L6979" s="308">
        <f>IFERROR(__xludf.DUMMYFUNCTION("""COMPUTED_VALUE"""),2016.0)</f>
        <v>2016</v>
      </c>
      <c r="M6979" s="308" t="s">
        <v>28334</v>
      </c>
      <c r="N6979" s="308"/>
      <c r="O6979" s="308"/>
      <c r="P6979" s="308" t="s">
        <v>28335</v>
      </c>
      <c r="Q6979" s="308" t="s">
        <v>39505</v>
      </c>
      <c r="R6979" s="308"/>
      <c r="S6979" s="308" t="s">
        <v>81</v>
      </c>
      <c r="T6979" s="308" t="s">
        <v>75</v>
      </c>
      <c r="U6979" s="308" t="s">
        <v>27</v>
      </c>
      <c r="V6979" s="308"/>
    </row>
    <row r="6980">
      <c r="A6980" s="308"/>
      <c r="B6980" s="308"/>
      <c r="C6980" s="308" t="s">
        <v>28336</v>
      </c>
      <c r="D6980" s="308">
        <f>IFERROR(__xludf.DUMMYFUNCTION("SPLIT(C6980,""-"")"),7000.0)</f>
        <v>7000</v>
      </c>
      <c r="E6980" s="308" t="str">
        <f>IFERROR(__xludf.DUMMYFUNCTION("""COMPUTED_VALUE"""),"B")</f>
        <v>B</v>
      </c>
      <c r="F6980" s="315" t="s">
        <v>26</v>
      </c>
      <c r="G6980" s="308"/>
      <c r="H6980" s="308" t="s">
        <v>28337</v>
      </c>
      <c r="I6980" s="310">
        <v>42712.0</v>
      </c>
      <c r="J6980" s="319">
        <f>IFERROR(__xludf.DUMMYFUNCTION("SPLIT(I6980,""/"")"),8.0)</f>
        <v>8</v>
      </c>
      <c r="K6980" s="308">
        <f>IFERROR(__xludf.DUMMYFUNCTION("""COMPUTED_VALUE"""),12.0)</f>
        <v>12</v>
      </c>
      <c r="L6980" s="308">
        <f>IFERROR(__xludf.DUMMYFUNCTION("""COMPUTED_VALUE"""),2016.0)</f>
        <v>2016</v>
      </c>
      <c r="M6980" s="308" t="s">
        <v>28334</v>
      </c>
      <c r="N6980" s="308"/>
      <c r="O6980" s="308"/>
      <c r="P6980" s="308" t="s">
        <v>28338</v>
      </c>
      <c r="Q6980" s="308" t="s">
        <v>39505</v>
      </c>
      <c r="R6980" s="308"/>
      <c r="S6980" s="308" t="s">
        <v>81</v>
      </c>
      <c r="T6980" s="308" t="s">
        <v>75</v>
      </c>
      <c r="U6980" s="308" t="s">
        <v>27</v>
      </c>
      <c r="V6980" s="308"/>
    </row>
    <row r="6981">
      <c r="A6981" s="308"/>
      <c r="B6981" s="308"/>
      <c r="C6981" s="308" t="s">
        <v>28339</v>
      </c>
      <c r="D6981" s="308">
        <f>IFERROR(__xludf.DUMMYFUNCTION("SPLIT(C6981,""-"")"),7001.0)</f>
        <v>7001</v>
      </c>
      <c r="E6981" s="308" t="str">
        <f>IFERROR(__xludf.DUMMYFUNCTION("""COMPUTED_VALUE"""),"B")</f>
        <v>B</v>
      </c>
      <c r="F6981" s="315" t="s">
        <v>26</v>
      </c>
      <c r="G6981" s="308"/>
      <c r="H6981" s="308" t="s">
        <v>28340</v>
      </c>
      <c r="I6981" s="310">
        <v>42712.0</v>
      </c>
      <c r="J6981" s="319">
        <f>IFERROR(__xludf.DUMMYFUNCTION("SPLIT(I6981,""/"")"),8.0)</f>
        <v>8</v>
      </c>
      <c r="K6981" s="308">
        <f>IFERROR(__xludf.DUMMYFUNCTION("""COMPUTED_VALUE"""),12.0)</f>
        <v>12</v>
      </c>
      <c r="L6981" s="308">
        <f>IFERROR(__xludf.DUMMYFUNCTION("""COMPUTED_VALUE"""),2016.0)</f>
        <v>2016</v>
      </c>
      <c r="M6981" s="308" t="s">
        <v>28341</v>
      </c>
      <c r="N6981" s="308"/>
      <c r="O6981" s="308"/>
      <c r="P6981" s="308" t="s">
        <v>28342</v>
      </c>
      <c r="Q6981" s="308" t="s">
        <v>39505</v>
      </c>
      <c r="R6981" s="308"/>
      <c r="S6981" s="308" t="s">
        <v>81</v>
      </c>
      <c r="T6981" s="308" t="s">
        <v>75</v>
      </c>
      <c r="U6981" s="308" t="s">
        <v>27</v>
      </c>
      <c r="V6981" s="308"/>
    </row>
    <row r="6982">
      <c r="A6982" s="308"/>
      <c r="B6982" s="308"/>
      <c r="C6982" s="308" t="s">
        <v>28343</v>
      </c>
      <c r="D6982" s="308">
        <f>IFERROR(__xludf.DUMMYFUNCTION("SPLIT(C6982,""-"")"),7002.0)</f>
        <v>7002</v>
      </c>
      <c r="E6982" s="308" t="str">
        <f>IFERROR(__xludf.DUMMYFUNCTION("""COMPUTED_VALUE"""),"B")</f>
        <v>B</v>
      </c>
      <c r="F6982" s="315" t="s">
        <v>26</v>
      </c>
      <c r="G6982" s="308"/>
      <c r="H6982" s="308" t="s">
        <v>28344</v>
      </c>
      <c r="I6982" s="310">
        <v>42712.0</v>
      </c>
      <c r="J6982" s="319">
        <f>IFERROR(__xludf.DUMMYFUNCTION("SPLIT(I6982,""/"")"),8.0)</f>
        <v>8</v>
      </c>
      <c r="K6982" s="308">
        <f>IFERROR(__xludf.DUMMYFUNCTION("""COMPUTED_VALUE"""),12.0)</f>
        <v>12</v>
      </c>
      <c r="L6982" s="308">
        <f>IFERROR(__xludf.DUMMYFUNCTION("""COMPUTED_VALUE"""),2016.0)</f>
        <v>2016</v>
      </c>
      <c r="M6982" s="308" t="s">
        <v>28345</v>
      </c>
      <c r="N6982" s="308"/>
      <c r="O6982" s="308"/>
      <c r="P6982" s="308" t="s">
        <v>28346</v>
      </c>
      <c r="Q6982" s="308" t="s">
        <v>39505</v>
      </c>
      <c r="R6982" s="308"/>
      <c r="S6982" s="308" t="s">
        <v>81</v>
      </c>
      <c r="T6982" s="308" t="s">
        <v>75</v>
      </c>
      <c r="U6982" s="308" t="s">
        <v>27</v>
      </c>
      <c r="V6982" s="308"/>
    </row>
    <row r="6983">
      <c r="A6983" s="308"/>
      <c r="B6983" s="308"/>
      <c r="C6983" s="308" t="s">
        <v>28347</v>
      </c>
      <c r="D6983" s="308">
        <f>IFERROR(__xludf.DUMMYFUNCTION("SPLIT(C6983,""-"")"),7003.0)</f>
        <v>7003</v>
      </c>
      <c r="E6983" s="308" t="str">
        <f>IFERROR(__xludf.DUMMYFUNCTION("""COMPUTED_VALUE"""),"B")</f>
        <v>B</v>
      </c>
      <c r="F6983" s="315" t="s">
        <v>26</v>
      </c>
      <c r="G6983" s="308"/>
      <c r="H6983" s="308" t="s">
        <v>28348</v>
      </c>
      <c r="I6983" s="310">
        <v>42711.0</v>
      </c>
      <c r="J6983" s="319">
        <f>IFERROR(__xludf.DUMMYFUNCTION("SPLIT(I6983,""/"")"),7.0)</f>
        <v>7</v>
      </c>
      <c r="K6983" s="308">
        <f>IFERROR(__xludf.DUMMYFUNCTION("""COMPUTED_VALUE"""),12.0)</f>
        <v>12</v>
      </c>
      <c r="L6983" s="308">
        <f>IFERROR(__xludf.DUMMYFUNCTION("""COMPUTED_VALUE"""),2016.0)</f>
        <v>2016</v>
      </c>
      <c r="M6983" s="308" t="s">
        <v>28349</v>
      </c>
      <c r="N6983" s="308"/>
      <c r="O6983" s="308"/>
      <c r="P6983" s="308" t="s">
        <v>28350</v>
      </c>
      <c r="Q6983" s="308" t="s">
        <v>39505</v>
      </c>
      <c r="R6983" s="308"/>
      <c r="S6983" s="308" t="s">
        <v>81</v>
      </c>
      <c r="T6983" s="308" t="s">
        <v>98</v>
      </c>
      <c r="U6983" s="308" t="s">
        <v>27</v>
      </c>
      <c r="V6983" s="308" t="s">
        <v>28351</v>
      </c>
    </row>
    <row r="6984">
      <c r="A6984" s="308"/>
      <c r="B6984" s="308"/>
      <c r="C6984" s="308" t="s">
        <v>28352</v>
      </c>
      <c r="D6984" s="308">
        <f>IFERROR(__xludf.DUMMYFUNCTION("SPLIT(C6984,""-"")"),7004.0)</f>
        <v>7004</v>
      </c>
      <c r="E6984" s="308" t="str">
        <f>IFERROR(__xludf.DUMMYFUNCTION("""COMPUTED_VALUE"""),"B")</f>
        <v>B</v>
      </c>
      <c r="F6984" s="315" t="s">
        <v>26</v>
      </c>
      <c r="G6984" s="308"/>
      <c r="H6984" s="308" t="s">
        <v>28353</v>
      </c>
      <c r="I6984" s="310">
        <v>42710.0</v>
      </c>
      <c r="J6984" s="319">
        <f>IFERROR(__xludf.DUMMYFUNCTION("SPLIT(I6984,""/"")"),6.0)</f>
        <v>6</v>
      </c>
      <c r="K6984" s="308">
        <f>IFERROR(__xludf.DUMMYFUNCTION("""COMPUTED_VALUE"""),12.0)</f>
        <v>12</v>
      </c>
      <c r="L6984" s="308">
        <f>IFERROR(__xludf.DUMMYFUNCTION("""COMPUTED_VALUE"""),2016.0)</f>
        <v>2016</v>
      </c>
      <c r="M6984" s="308" t="s">
        <v>28354</v>
      </c>
      <c r="N6984" s="308"/>
      <c r="O6984" s="308"/>
      <c r="P6984" s="308" t="s">
        <v>28355</v>
      </c>
      <c r="Q6984" s="308" t="s">
        <v>39505</v>
      </c>
      <c r="R6984" s="308"/>
      <c r="S6984" s="308" t="s">
        <v>81</v>
      </c>
      <c r="T6984" s="308" t="s">
        <v>75</v>
      </c>
      <c r="U6984" s="308" t="s">
        <v>27</v>
      </c>
      <c r="V6984" s="308"/>
    </row>
    <row r="6985">
      <c r="A6985" s="308"/>
      <c r="B6985" s="308"/>
      <c r="C6985" s="308" t="s">
        <v>28356</v>
      </c>
      <c r="D6985" s="308">
        <f>IFERROR(__xludf.DUMMYFUNCTION("SPLIT(C6985,""-"")"),7005.0)</f>
        <v>7005</v>
      </c>
      <c r="E6985" s="308" t="str">
        <f>IFERROR(__xludf.DUMMYFUNCTION("""COMPUTED_VALUE"""),"B")</f>
        <v>B</v>
      </c>
      <c r="F6985" s="315" t="s">
        <v>26</v>
      </c>
      <c r="G6985" s="308"/>
      <c r="H6985" s="308" t="s">
        <v>28357</v>
      </c>
      <c r="I6985" s="310">
        <v>42708.0</v>
      </c>
      <c r="J6985" s="319">
        <f>IFERROR(__xludf.DUMMYFUNCTION("SPLIT(I6985,""/"")"),4.0)</f>
        <v>4</v>
      </c>
      <c r="K6985" s="308">
        <f>IFERROR(__xludf.DUMMYFUNCTION("""COMPUTED_VALUE"""),12.0)</f>
        <v>12</v>
      </c>
      <c r="L6985" s="308">
        <f>IFERROR(__xludf.DUMMYFUNCTION("""COMPUTED_VALUE"""),2016.0)</f>
        <v>2016</v>
      </c>
      <c r="M6985" s="308" t="s">
        <v>28260</v>
      </c>
      <c r="N6985" s="308"/>
      <c r="O6985" s="308"/>
      <c r="P6985" s="308" t="s">
        <v>28358</v>
      </c>
      <c r="Q6985" s="308" t="s">
        <v>39505</v>
      </c>
      <c r="R6985" s="308"/>
      <c r="S6985" s="308" t="s">
        <v>81</v>
      </c>
      <c r="T6985" s="308" t="s">
        <v>75</v>
      </c>
      <c r="U6985" s="308" t="s">
        <v>27</v>
      </c>
      <c r="V6985" s="308"/>
    </row>
    <row r="6986">
      <c r="A6986" s="308"/>
      <c r="B6986" s="308"/>
      <c r="C6986" s="308" t="s">
        <v>28359</v>
      </c>
      <c r="D6986" s="308">
        <f>IFERROR(__xludf.DUMMYFUNCTION("SPLIT(C6986,""-"")"),7006.0)</f>
        <v>7006</v>
      </c>
      <c r="E6986" s="308" t="str">
        <f>IFERROR(__xludf.DUMMYFUNCTION("""COMPUTED_VALUE"""),"B")</f>
        <v>B</v>
      </c>
      <c r="F6986" s="315" t="s">
        <v>26</v>
      </c>
      <c r="G6986" s="308"/>
      <c r="H6986" s="308" t="s">
        <v>28360</v>
      </c>
      <c r="I6986" s="310">
        <v>42708.0</v>
      </c>
      <c r="J6986" s="319">
        <f>IFERROR(__xludf.DUMMYFUNCTION("SPLIT(I6986,""/"")"),4.0)</f>
        <v>4</v>
      </c>
      <c r="K6986" s="308">
        <f>IFERROR(__xludf.DUMMYFUNCTION("""COMPUTED_VALUE"""),12.0)</f>
        <v>12</v>
      </c>
      <c r="L6986" s="308">
        <f>IFERROR(__xludf.DUMMYFUNCTION("""COMPUTED_VALUE"""),2016.0)</f>
        <v>2016</v>
      </c>
      <c r="M6986" s="308" t="s">
        <v>28361</v>
      </c>
      <c r="N6986" s="308"/>
      <c r="O6986" s="308"/>
      <c r="P6986" s="308" t="s">
        <v>28362</v>
      </c>
      <c r="Q6986" s="308" t="s">
        <v>39505</v>
      </c>
      <c r="R6986" s="308"/>
      <c r="S6986" s="308" t="s">
        <v>81</v>
      </c>
      <c r="T6986" s="308" t="s">
        <v>75</v>
      </c>
      <c r="U6986" s="308" t="s">
        <v>27</v>
      </c>
      <c r="V6986" s="308"/>
    </row>
    <row r="6987">
      <c r="A6987" s="308"/>
      <c r="B6987" s="308"/>
      <c r="C6987" s="308" t="s">
        <v>28363</v>
      </c>
      <c r="D6987" s="308">
        <f>IFERROR(__xludf.DUMMYFUNCTION("SPLIT(C6987,""-"")"),7007.0)</f>
        <v>7007</v>
      </c>
      <c r="E6987" s="308" t="str">
        <f>IFERROR(__xludf.DUMMYFUNCTION("""COMPUTED_VALUE"""),"B")</f>
        <v>B</v>
      </c>
      <c r="F6987" s="315" t="s">
        <v>26</v>
      </c>
      <c r="G6987" s="308"/>
      <c r="H6987" s="308" t="s">
        <v>28364</v>
      </c>
      <c r="I6987" s="310">
        <v>42708.0</v>
      </c>
      <c r="J6987" s="319">
        <f>IFERROR(__xludf.DUMMYFUNCTION("SPLIT(I6987,""/"")"),4.0)</f>
        <v>4</v>
      </c>
      <c r="K6987" s="308">
        <f>IFERROR(__xludf.DUMMYFUNCTION("""COMPUTED_VALUE"""),12.0)</f>
        <v>12</v>
      </c>
      <c r="L6987" s="308">
        <f>IFERROR(__xludf.DUMMYFUNCTION("""COMPUTED_VALUE"""),2016.0)</f>
        <v>2016</v>
      </c>
      <c r="M6987" s="308" t="s">
        <v>28365</v>
      </c>
      <c r="N6987" s="308"/>
      <c r="O6987" s="308"/>
      <c r="P6987" s="308" t="s">
        <v>28366</v>
      </c>
      <c r="Q6987" s="308" t="s">
        <v>39505</v>
      </c>
      <c r="R6987" s="308"/>
      <c r="S6987" s="308" t="s">
        <v>81</v>
      </c>
      <c r="T6987" s="308" t="s">
        <v>75</v>
      </c>
      <c r="U6987" s="308" t="s">
        <v>27</v>
      </c>
      <c r="V6987" s="308"/>
    </row>
    <row r="6988">
      <c r="A6988" s="308"/>
      <c r="B6988" s="308"/>
      <c r="C6988" s="308" t="s">
        <v>28367</v>
      </c>
      <c r="D6988" s="308">
        <f>IFERROR(__xludf.DUMMYFUNCTION("SPLIT(C6988,""-"")"),7008.0)</f>
        <v>7008</v>
      </c>
      <c r="E6988" s="308" t="str">
        <f>IFERROR(__xludf.DUMMYFUNCTION("""COMPUTED_VALUE"""),"B")</f>
        <v>B</v>
      </c>
      <c r="F6988" s="315" t="s">
        <v>26</v>
      </c>
      <c r="G6988" s="308"/>
      <c r="H6988" s="308" t="s">
        <v>28368</v>
      </c>
      <c r="I6988" s="310">
        <v>42708.0</v>
      </c>
      <c r="J6988" s="319">
        <f>IFERROR(__xludf.DUMMYFUNCTION("SPLIT(I6988,""/"")"),4.0)</f>
        <v>4</v>
      </c>
      <c r="K6988" s="308">
        <f>IFERROR(__xludf.DUMMYFUNCTION("""COMPUTED_VALUE"""),12.0)</f>
        <v>12</v>
      </c>
      <c r="L6988" s="308">
        <f>IFERROR(__xludf.DUMMYFUNCTION("""COMPUTED_VALUE"""),2016.0)</f>
        <v>2016</v>
      </c>
      <c r="M6988" s="308" t="s">
        <v>28369</v>
      </c>
      <c r="N6988" s="308"/>
      <c r="O6988" s="308"/>
      <c r="P6988" s="308" t="s">
        <v>28370</v>
      </c>
      <c r="Q6988" s="308" t="s">
        <v>39505</v>
      </c>
      <c r="R6988" s="308"/>
      <c r="S6988" s="308" t="s">
        <v>81</v>
      </c>
      <c r="T6988" s="308" t="s">
        <v>75</v>
      </c>
      <c r="U6988" s="308" t="s">
        <v>27</v>
      </c>
      <c r="V6988" s="308"/>
    </row>
    <row r="6989">
      <c r="A6989" s="308"/>
      <c r="B6989" s="308"/>
      <c r="C6989" s="308" t="s">
        <v>28371</v>
      </c>
      <c r="D6989" s="308">
        <f>IFERROR(__xludf.DUMMYFUNCTION("SPLIT(C6989,""-"")"),7009.0)</f>
        <v>7009</v>
      </c>
      <c r="E6989" s="308" t="str">
        <f>IFERROR(__xludf.DUMMYFUNCTION("""COMPUTED_VALUE"""),"B")</f>
        <v>B</v>
      </c>
      <c r="F6989" s="315" t="s">
        <v>26</v>
      </c>
      <c r="G6989" s="308"/>
      <c r="H6989" s="308" t="s">
        <v>28372</v>
      </c>
      <c r="I6989" s="310">
        <v>42708.0</v>
      </c>
      <c r="J6989" s="319">
        <f>IFERROR(__xludf.DUMMYFUNCTION("SPLIT(I6989,""/"")"),4.0)</f>
        <v>4</v>
      </c>
      <c r="K6989" s="308">
        <f>IFERROR(__xludf.DUMMYFUNCTION("""COMPUTED_VALUE"""),12.0)</f>
        <v>12</v>
      </c>
      <c r="L6989" s="308">
        <f>IFERROR(__xludf.DUMMYFUNCTION("""COMPUTED_VALUE"""),2016.0)</f>
        <v>2016</v>
      </c>
      <c r="M6989" s="308" t="s">
        <v>28365</v>
      </c>
      <c r="N6989" s="308"/>
      <c r="O6989" s="308"/>
      <c r="P6989" s="308" t="s">
        <v>28373</v>
      </c>
      <c r="Q6989" s="308" t="s">
        <v>39505</v>
      </c>
      <c r="R6989" s="308"/>
      <c r="S6989" s="308" t="s">
        <v>81</v>
      </c>
      <c r="T6989" s="308" t="s">
        <v>75</v>
      </c>
      <c r="U6989" s="308" t="s">
        <v>27</v>
      </c>
      <c r="V6989" s="308"/>
    </row>
    <row r="6990">
      <c r="A6990" s="308"/>
      <c r="B6990" s="308"/>
      <c r="C6990" s="308" t="s">
        <v>28374</v>
      </c>
      <c r="D6990" s="308">
        <f>IFERROR(__xludf.DUMMYFUNCTION("SPLIT(C6990,""-"")"),7010.0)</f>
        <v>7010</v>
      </c>
      <c r="E6990" s="308" t="str">
        <f>IFERROR(__xludf.DUMMYFUNCTION("""COMPUTED_VALUE"""),"B")</f>
        <v>B</v>
      </c>
      <c r="F6990" s="315" t="s">
        <v>26</v>
      </c>
      <c r="G6990" s="308"/>
      <c r="H6990" s="308" t="s">
        <v>28375</v>
      </c>
      <c r="I6990" s="310">
        <v>42708.0</v>
      </c>
      <c r="J6990" s="319">
        <f>IFERROR(__xludf.DUMMYFUNCTION("SPLIT(I6990,""/"")"),4.0)</f>
        <v>4</v>
      </c>
      <c r="K6990" s="308">
        <f>IFERROR(__xludf.DUMMYFUNCTION("""COMPUTED_VALUE"""),12.0)</f>
        <v>12</v>
      </c>
      <c r="L6990" s="308">
        <f>IFERROR(__xludf.DUMMYFUNCTION("""COMPUTED_VALUE"""),2016.0)</f>
        <v>2016</v>
      </c>
      <c r="M6990" s="308" t="s">
        <v>28365</v>
      </c>
      <c r="N6990" s="308"/>
      <c r="O6990" s="308"/>
      <c r="P6990" s="308" t="s">
        <v>28376</v>
      </c>
      <c r="Q6990" s="308" t="s">
        <v>39505</v>
      </c>
      <c r="R6990" s="308"/>
      <c r="S6990" s="308" t="s">
        <v>81</v>
      </c>
      <c r="T6990" s="308" t="s">
        <v>75</v>
      </c>
      <c r="U6990" s="308" t="s">
        <v>27</v>
      </c>
      <c r="V6990" s="308"/>
    </row>
    <row r="6991">
      <c r="A6991" s="308"/>
      <c r="B6991" s="308"/>
      <c r="C6991" s="308" t="s">
        <v>28377</v>
      </c>
      <c r="D6991" s="308">
        <f>IFERROR(__xludf.DUMMYFUNCTION("SPLIT(C6991,""-"")"),7011.0)</f>
        <v>7011</v>
      </c>
      <c r="E6991" s="308" t="str">
        <f>IFERROR(__xludf.DUMMYFUNCTION("""COMPUTED_VALUE"""),"B")</f>
        <v>B</v>
      </c>
      <c r="F6991" s="315" t="s">
        <v>26</v>
      </c>
      <c r="G6991" s="308"/>
      <c r="H6991" s="308" t="s">
        <v>28378</v>
      </c>
      <c r="I6991" s="310">
        <v>42708.0</v>
      </c>
      <c r="J6991" s="319">
        <f>IFERROR(__xludf.DUMMYFUNCTION("SPLIT(I6991,""/"")"),4.0)</f>
        <v>4</v>
      </c>
      <c r="K6991" s="308">
        <f>IFERROR(__xludf.DUMMYFUNCTION("""COMPUTED_VALUE"""),12.0)</f>
        <v>12</v>
      </c>
      <c r="L6991" s="308">
        <f>IFERROR(__xludf.DUMMYFUNCTION("""COMPUTED_VALUE"""),2016.0)</f>
        <v>2016</v>
      </c>
      <c r="M6991" s="308" t="s">
        <v>28365</v>
      </c>
      <c r="N6991" s="308"/>
      <c r="O6991" s="308"/>
      <c r="P6991" s="308" t="s">
        <v>28379</v>
      </c>
      <c r="Q6991" s="308" t="s">
        <v>39505</v>
      </c>
      <c r="R6991" s="308"/>
      <c r="S6991" s="308" t="s">
        <v>81</v>
      </c>
      <c r="T6991" s="308" t="s">
        <v>75</v>
      </c>
      <c r="U6991" s="308" t="s">
        <v>27</v>
      </c>
      <c r="V6991" s="308"/>
    </row>
    <row r="6992">
      <c r="A6992" s="308"/>
      <c r="B6992" s="308"/>
      <c r="C6992" s="308" t="s">
        <v>28380</v>
      </c>
      <c r="D6992" s="308">
        <f>IFERROR(__xludf.DUMMYFUNCTION("SPLIT(C6992,""-"")"),7012.0)</f>
        <v>7012</v>
      </c>
      <c r="E6992" s="308" t="str">
        <f>IFERROR(__xludf.DUMMYFUNCTION("""COMPUTED_VALUE"""),"B")</f>
        <v>B</v>
      </c>
      <c r="F6992" s="315" t="s">
        <v>26</v>
      </c>
      <c r="G6992" s="308"/>
      <c r="H6992" s="308" t="s">
        <v>28381</v>
      </c>
      <c r="I6992" s="310">
        <v>42705.0</v>
      </c>
      <c r="J6992" s="319">
        <f>IFERROR(__xludf.DUMMYFUNCTION("SPLIT(I6992,""/"")"),1.0)</f>
        <v>1</v>
      </c>
      <c r="K6992" s="308">
        <f>IFERROR(__xludf.DUMMYFUNCTION("""COMPUTED_VALUE"""),12.0)</f>
        <v>12</v>
      </c>
      <c r="L6992" s="308">
        <f>IFERROR(__xludf.DUMMYFUNCTION("""COMPUTED_VALUE"""),2016.0)</f>
        <v>2016</v>
      </c>
      <c r="M6992" s="308" t="s">
        <v>28382</v>
      </c>
      <c r="N6992" s="308"/>
      <c r="O6992" s="308"/>
      <c r="P6992" s="308" t="s">
        <v>28383</v>
      </c>
      <c r="Q6992" s="308" t="s">
        <v>39505</v>
      </c>
      <c r="R6992" s="308"/>
      <c r="S6992" s="308" t="s">
        <v>81</v>
      </c>
      <c r="T6992" s="308" t="s">
        <v>75</v>
      </c>
      <c r="U6992" s="308" t="s">
        <v>27</v>
      </c>
      <c r="V6992" s="308"/>
    </row>
    <row r="6993">
      <c r="A6993" s="308"/>
      <c r="B6993" s="308"/>
      <c r="C6993" s="308" t="s">
        <v>28384</v>
      </c>
      <c r="D6993" s="308">
        <f>IFERROR(__xludf.DUMMYFUNCTION("SPLIT(C6993,""-"")"),7013.0)</f>
        <v>7013</v>
      </c>
      <c r="E6993" s="308" t="str">
        <f>IFERROR(__xludf.DUMMYFUNCTION("""COMPUTED_VALUE"""),"B")</f>
        <v>B</v>
      </c>
      <c r="F6993" s="315" t="s">
        <v>26</v>
      </c>
      <c r="G6993" s="308"/>
      <c r="H6993" s="308" t="s">
        <v>28385</v>
      </c>
      <c r="I6993" s="310">
        <v>42706.0</v>
      </c>
      <c r="J6993" s="319">
        <f>IFERROR(__xludf.DUMMYFUNCTION("SPLIT(I6993,""/"")"),2.0)</f>
        <v>2</v>
      </c>
      <c r="K6993" s="308">
        <f>IFERROR(__xludf.DUMMYFUNCTION("""COMPUTED_VALUE"""),12.0)</f>
        <v>12</v>
      </c>
      <c r="L6993" s="308">
        <f>IFERROR(__xludf.DUMMYFUNCTION("""COMPUTED_VALUE"""),2016.0)</f>
        <v>2016</v>
      </c>
      <c r="M6993" s="308" t="s">
        <v>28386</v>
      </c>
      <c r="N6993" s="308"/>
      <c r="O6993" s="308"/>
      <c r="P6993" s="308" t="s">
        <v>28387</v>
      </c>
      <c r="Q6993" s="308" t="s">
        <v>39505</v>
      </c>
      <c r="R6993" s="308"/>
      <c r="S6993" s="308" t="s">
        <v>81</v>
      </c>
      <c r="T6993" s="308" t="s">
        <v>75</v>
      </c>
      <c r="U6993" s="308" t="s">
        <v>27</v>
      </c>
      <c r="V6993" s="308"/>
    </row>
    <row r="6994">
      <c r="A6994" s="308"/>
      <c r="B6994" s="308"/>
      <c r="C6994" s="308" t="s">
        <v>28388</v>
      </c>
      <c r="D6994" s="308">
        <f>IFERROR(__xludf.DUMMYFUNCTION("SPLIT(C6994,""-"")"),7014.0)</f>
        <v>7014</v>
      </c>
      <c r="E6994" s="308" t="str">
        <f>IFERROR(__xludf.DUMMYFUNCTION("""COMPUTED_VALUE"""),"B")</f>
        <v>B</v>
      </c>
      <c r="F6994" s="315" t="s">
        <v>26</v>
      </c>
      <c r="G6994" s="308"/>
      <c r="H6994" s="308" t="s">
        <v>28389</v>
      </c>
      <c r="I6994" s="310">
        <v>42706.0</v>
      </c>
      <c r="J6994" s="319">
        <f>IFERROR(__xludf.DUMMYFUNCTION("SPLIT(I6994,""/"")"),2.0)</f>
        <v>2</v>
      </c>
      <c r="K6994" s="308">
        <f>IFERROR(__xludf.DUMMYFUNCTION("""COMPUTED_VALUE"""),12.0)</f>
        <v>12</v>
      </c>
      <c r="L6994" s="308">
        <f>IFERROR(__xludf.DUMMYFUNCTION("""COMPUTED_VALUE"""),2016.0)</f>
        <v>2016</v>
      </c>
      <c r="M6994" s="308" t="s">
        <v>28386</v>
      </c>
      <c r="N6994" s="308"/>
      <c r="O6994" s="308"/>
      <c r="P6994" s="308" t="s">
        <v>28390</v>
      </c>
      <c r="Q6994" s="308" t="s">
        <v>39505</v>
      </c>
      <c r="R6994" s="308"/>
      <c r="S6994" s="308" t="s">
        <v>81</v>
      </c>
      <c r="T6994" s="308" t="s">
        <v>75</v>
      </c>
      <c r="U6994" s="308" t="s">
        <v>27</v>
      </c>
      <c r="V6994" s="308"/>
    </row>
    <row r="6995">
      <c r="A6995" s="308"/>
      <c r="B6995" s="308"/>
      <c r="C6995" s="308" t="s">
        <v>28391</v>
      </c>
      <c r="D6995" s="308">
        <f>IFERROR(__xludf.DUMMYFUNCTION("SPLIT(C6995,""-"")"),7015.0)</f>
        <v>7015</v>
      </c>
      <c r="E6995" s="308" t="str">
        <f>IFERROR(__xludf.DUMMYFUNCTION("""COMPUTED_VALUE"""),"B")</f>
        <v>B</v>
      </c>
      <c r="F6995" s="315" t="s">
        <v>26</v>
      </c>
      <c r="G6995" s="308"/>
      <c r="H6995" s="308" t="s">
        <v>28392</v>
      </c>
      <c r="I6995" s="310">
        <v>42713.0</v>
      </c>
      <c r="J6995" s="319">
        <f>IFERROR(__xludf.DUMMYFUNCTION("SPLIT(I6995,""/"")"),9.0)</f>
        <v>9</v>
      </c>
      <c r="K6995" s="308">
        <f>IFERROR(__xludf.DUMMYFUNCTION("""COMPUTED_VALUE"""),12.0)</f>
        <v>12</v>
      </c>
      <c r="L6995" s="308">
        <f>IFERROR(__xludf.DUMMYFUNCTION("""COMPUTED_VALUE"""),2016.0)</f>
        <v>2016</v>
      </c>
      <c r="M6995" s="308" t="s">
        <v>28393</v>
      </c>
      <c r="N6995" s="308"/>
      <c r="O6995" s="308"/>
      <c r="P6995" s="308" t="s">
        <v>28394</v>
      </c>
      <c r="Q6995" s="308" t="s">
        <v>39505</v>
      </c>
      <c r="R6995" s="308"/>
      <c r="S6995" s="308" t="s">
        <v>81</v>
      </c>
      <c r="T6995" s="308" t="s">
        <v>75</v>
      </c>
      <c r="U6995" s="308" t="s">
        <v>27</v>
      </c>
      <c r="V6995" s="308"/>
    </row>
    <row r="6996">
      <c r="A6996" s="308"/>
      <c r="B6996" s="308"/>
      <c r="C6996" s="308" t="s">
        <v>28395</v>
      </c>
      <c r="D6996" s="308">
        <f>IFERROR(__xludf.DUMMYFUNCTION("SPLIT(C6996,""-"")"),7016.0)</f>
        <v>7016</v>
      </c>
      <c r="E6996" s="308" t="str">
        <f>IFERROR(__xludf.DUMMYFUNCTION("""COMPUTED_VALUE"""),"B")</f>
        <v>B</v>
      </c>
      <c r="F6996" s="315" t="s">
        <v>26</v>
      </c>
      <c r="G6996" s="308"/>
      <c r="H6996" s="308" t="s">
        <v>28396</v>
      </c>
      <c r="I6996" s="310">
        <v>42710.0</v>
      </c>
      <c r="J6996" s="319">
        <f>IFERROR(__xludf.DUMMYFUNCTION("SPLIT(I6996,""/"")"),6.0)</f>
        <v>6</v>
      </c>
      <c r="K6996" s="308">
        <f>IFERROR(__xludf.DUMMYFUNCTION("""COMPUTED_VALUE"""),12.0)</f>
        <v>12</v>
      </c>
      <c r="L6996" s="308">
        <f>IFERROR(__xludf.DUMMYFUNCTION("""COMPUTED_VALUE"""),2016.0)</f>
        <v>2016</v>
      </c>
      <c r="M6996" s="308" t="s">
        <v>28256</v>
      </c>
      <c r="N6996" s="308"/>
      <c r="O6996" s="308"/>
      <c r="P6996" s="308" t="s">
        <v>28397</v>
      </c>
      <c r="Q6996" s="308" t="s">
        <v>39505</v>
      </c>
      <c r="R6996" s="308"/>
      <c r="S6996" s="308" t="s">
        <v>81</v>
      </c>
      <c r="T6996" s="308" t="s">
        <v>75</v>
      </c>
      <c r="U6996" s="308" t="s">
        <v>27</v>
      </c>
      <c r="V6996" s="308"/>
    </row>
    <row r="6997">
      <c r="A6997" s="308"/>
      <c r="B6997" s="308"/>
      <c r="C6997" s="308" t="s">
        <v>28398</v>
      </c>
      <c r="D6997" s="308">
        <f>IFERROR(__xludf.DUMMYFUNCTION("SPLIT(C6997,""-"")"),7017.0)</f>
        <v>7017</v>
      </c>
      <c r="E6997" s="308" t="str">
        <f>IFERROR(__xludf.DUMMYFUNCTION("""COMPUTED_VALUE"""),"B")</f>
        <v>B</v>
      </c>
      <c r="F6997" s="315" t="s">
        <v>26</v>
      </c>
      <c r="G6997" s="308"/>
      <c r="H6997" s="308" t="s">
        <v>28399</v>
      </c>
      <c r="I6997" s="310">
        <v>42710.0</v>
      </c>
      <c r="J6997" s="319">
        <f>IFERROR(__xludf.DUMMYFUNCTION("SPLIT(I6997,""/"")"),6.0)</f>
        <v>6</v>
      </c>
      <c r="K6997" s="308">
        <f>IFERROR(__xludf.DUMMYFUNCTION("""COMPUTED_VALUE"""),12.0)</f>
        <v>12</v>
      </c>
      <c r="L6997" s="308">
        <f>IFERROR(__xludf.DUMMYFUNCTION("""COMPUTED_VALUE"""),2016.0)</f>
        <v>2016</v>
      </c>
      <c r="M6997" s="308" t="s">
        <v>28256</v>
      </c>
      <c r="N6997" s="308"/>
      <c r="O6997" s="308"/>
      <c r="P6997" s="308" t="s">
        <v>28400</v>
      </c>
      <c r="Q6997" s="308" t="s">
        <v>39505</v>
      </c>
      <c r="R6997" s="308"/>
      <c r="S6997" s="308" t="s">
        <v>81</v>
      </c>
      <c r="T6997" s="308" t="s">
        <v>75</v>
      </c>
      <c r="U6997" s="308" t="s">
        <v>27</v>
      </c>
      <c r="V6997" s="308"/>
    </row>
    <row r="6998">
      <c r="A6998" s="308"/>
      <c r="B6998" s="308"/>
      <c r="C6998" s="308" t="s">
        <v>28401</v>
      </c>
      <c r="D6998" s="308">
        <f>IFERROR(__xludf.DUMMYFUNCTION("SPLIT(C6998,""-"")"),7018.0)</f>
        <v>7018</v>
      </c>
      <c r="E6998" s="308" t="str">
        <f>IFERROR(__xludf.DUMMYFUNCTION("""COMPUTED_VALUE"""),"B")</f>
        <v>B</v>
      </c>
      <c r="F6998" s="315" t="s">
        <v>26</v>
      </c>
      <c r="G6998" s="308"/>
      <c r="H6998" s="308" t="s">
        <v>28402</v>
      </c>
      <c r="I6998" s="310">
        <v>42710.0</v>
      </c>
      <c r="J6998" s="319">
        <f>IFERROR(__xludf.DUMMYFUNCTION("SPLIT(I6998,""/"")"),6.0)</f>
        <v>6</v>
      </c>
      <c r="K6998" s="308">
        <f>IFERROR(__xludf.DUMMYFUNCTION("""COMPUTED_VALUE"""),12.0)</f>
        <v>12</v>
      </c>
      <c r="L6998" s="308">
        <f>IFERROR(__xludf.DUMMYFUNCTION("""COMPUTED_VALUE"""),2016.0)</f>
        <v>2016</v>
      </c>
      <c r="M6998" s="308" t="s">
        <v>28403</v>
      </c>
      <c r="N6998" s="308"/>
      <c r="O6998" s="308"/>
      <c r="P6998" s="308" t="s">
        <v>28404</v>
      </c>
      <c r="Q6998" s="308" t="s">
        <v>39505</v>
      </c>
      <c r="R6998" s="308"/>
      <c r="S6998" s="308" t="s">
        <v>81</v>
      </c>
      <c r="T6998" s="308" t="s">
        <v>75</v>
      </c>
      <c r="U6998" s="308" t="s">
        <v>27</v>
      </c>
      <c r="V6998" s="308"/>
    </row>
    <row r="6999">
      <c r="A6999" s="308"/>
      <c r="B6999" s="308"/>
      <c r="C6999" s="308" t="s">
        <v>28405</v>
      </c>
      <c r="D6999" s="308">
        <f>IFERROR(__xludf.DUMMYFUNCTION("SPLIT(C6999,""-"")"),7019.0)</f>
        <v>7019</v>
      </c>
      <c r="E6999" s="308" t="str">
        <f>IFERROR(__xludf.DUMMYFUNCTION("""COMPUTED_VALUE"""),"B")</f>
        <v>B</v>
      </c>
      <c r="F6999" s="315" t="s">
        <v>26</v>
      </c>
      <c r="G6999" s="308"/>
      <c r="H6999" s="308" t="s">
        <v>28406</v>
      </c>
      <c r="I6999" s="310">
        <v>42708.0</v>
      </c>
      <c r="J6999" s="319">
        <f>IFERROR(__xludf.DUMMYFUNCTION("SPLIT(I6999,""/"")"),4.0)</f>
        <v>4</v>
      </c>
      <c r="K6999" s="308">
        <f>IFERROR(__xludf.DUMMYFUNCTION("""COMPUTED_VALUE"""),12.0)</f>
        <v>12</v>
      </c>
      <c r="L6999" s="308">
        <f>IFERROR(__xludf.DUMMYFUNCTION("""COMPUTED_VALUE"""),2016.0)</f>
        <v>2016</v>
      </c>
      <c r="M6999" s="308" t="s">
        <v>28407</v>
      </c>
      <c r="N6999" s="308"/>
      <c r="O6999" s="308"/>
      <c r="P6999" s="308" t="s">
        <v>28408</v>
      </c>
      <c r="Q6999" s="308" t="s">
        <v>39505</v>
      </c>
      <c r="R6999" s="308"/>
      <c r="S6999" s="308" t="s">
        <v>81</v>
      </c>
      <c r="T6999" s="308" t="s">
        <v>75</v>
      </c>
      <c r="U6999" s="308" t="s">
        <v>27</v>
      </c>
      <c r="V6999" s="308"/>
    </row>
    <row r="7000">
      <c r="A7000" s="308"/>
      <c r="B7000" s="308"/>
      <c r="C7000" s="308" t="s">
        <v>28409</v>
      </c>
      <c r="D7000" s="308">
        <f>IFERROR(__xludf.DUMMYFUNCTION("SPLIT(C7000,""-"")"),7020.0)</f>
        <v>7020</v>
      </c>
      <c r="E7000" s="308" t="str">
        <f>IFERROR(__xludf.DUMMYFUNCTION("""COMPUTED_VALUE"""),"B")</f>
        <v>B</v>
      </c>
      <c r="F7000" s="315" t="s">
        <v>26</v>
      </c>
      <c r="G7000" s="308"/>
      <c r="H7000" s="308" t="s">
        <v>28410</v>
      </c>
      <c r="I7000" s="310">
        <v>42738.0</v>
      </c>
      <c r="J7000" s="319">
        <f>IFERROR(__xludf.DUMMYFUNCTION("SPLIT(I7000,""/"")"),3.0)</f>
        <v>3</v>
      </c>
      <c r="K7000" s="308">
        <f>IFERROR(__xludf.DUMMYFUNCTION("""COMPUTED_VALUE"""),1.0)</f>
        <v>1</v>
      </c>
      <c r="L7000" s="308">
        <f>IFERROR(__xludf.DUMMYFUNCTION("""COMPUTED_VALUE"""),2017.0)</f>
        <v>2017</v>
      </c>
      <c r="M7000" s="308" t="s">
        <v>28334</v>
      </c>
      <c r="N7000" s="308"/>
      <c r="O7000" s="308"/>
      <c r="P7000" s="308" t="s">
        <v>28411</v>
      </c>
      <c r="Q7000" s="308" t="s">
        <v>39505</v>
      </c>
      <c r="R7000" s="308"/>
      <c r="S7000" s="308" t="s">
        <v>81</v>
      </c>
      <c r="T7000" s="308" t="s">
        <v>75</v>
      </c>
      <c r="U7000" s="308" t="s">
        <v>27</v>
      </c>
      <c r="V7000" s="308"/>
    </row>
    <row r="7001">
      <c r="A7001" s="308"/>
      <c r="B7001" s="308"/>
      <c r="C7001" s="308" t="s">
        <v>28412</v>
      </c>
      <c r="D7001" s="308">
        <f>IFERROR(__xludf.DUMMYFUNCTION("SPLIT(C7001,""-"")"),7021.0)</f>
        <v>7021</v>
      </c>
      <c r="E7001" s="308" t="str">
        <f>IFERROR(__xludf.DUMMYFUNCTION("""COMPUTED_VALUE"""),"B")</f>
        <v>B</v>
      </c>
      <c r="F7001" s="315" t="s">
        <v>26</v>
      </c>
      <c r="G7001" s="308"/>
      <c r="H7001" s="308" t="s">
        <v>28413</v>
      </c>
      <c r="I7001" s="310">
        <v>42736.0</v>
      </c>
      <c r="J7001" s="319">
        <f>IFERROR(__xludf.DUMMYFUNCTION("SPLIT(I7001,""/"")"),1.0)</f>
        <v>1</v>
      </c>
      <c r="K7001" s="308">
        <f>IFERROR(__xludf.DUMMYFUNCTION("""COMPUTED_VALUE"""),1.0)</f>
        <v>1</v>
      </c>
      <c r="L7001" s="308">
        <f>IFERROR(__xludf.DUMMYFUNCTION("""COMPUTED_VALUE"""),2017.0)</f>
        <v>2017</v>
      </c>
      <c r="M7001" s="308" t="s">
        <v>28334</v>
      </c>
      <c r="N7001" s="308"/>
      <c r="O7001" s="308"/>
      <c r="P7001" s="308" t="s">
        <v>28414</v>
      </c>
      <c r="Q7001" s="308" t="s">
        <v>39505</v>
      </c>
      <c r="R7001" s="308"/>
      <c r="S7001" s="308" t="s">
        <v>81</v>
      </c>
      <c r="T7001" s="308" t="s">
        <v>75</v>
      </c>
      <c r="U7001" s="308" t="s">
        <v>27</v>
      </c>
      <c r="V7001" s="308"/>
    </row>
    <row r="7002">
      <c r="A7002" s="308"/>
      <c r="B7002" s="308"/>
      <c r="C7002" s="308" t="s">
        <v>28415</v>
      </c>
      <c r="D7002" s="308">
        <f>IFERROR(__xludf.DUMMYFUNCTION("SPLIT(C7002,""-"")"),7022.0)</f>
        <v>7022</v>
      </c>
      <c r="E7002" s="308" t="str">
        <f>IFERROR(__xludf.DUMMYFUNCTION("""COMPUTED_VALUE"""),"B")</f>
        <v>B</v>
      </c>
      <c r="F7002" s="315" t="s">
        <v>26</v>
      </c>
      <c r="G7002" s="308"/>
      <c r="H7002" s="308" t="s">
        <v>28416</v>
      </c>
      <c r="I7002" s="310">
        <v>42742.0</v>
      </c>
      <c r="J7002" s="319">
        <f>IFERROR(__xludf.DUMMYFUNCTION("SPLIT(I7002,""/"")"),7.0)</f>
        <v>7</v>
      </c>
      <c r="K7002" s="308">
        <f>IFERROR(__xludf.DUMMYFUNCTION("""COMPUTED_VALUE"""),1.0)</f>
        <v>1</v>
      </c>
      <c r="L7002" s="308">
        <f>IFERROR(__xludf.DUMMYFUNCTION("""COMPUTED_VALUE"""),2017.0)</f>
        <v>2017</v>
      </c>
      <c r="M7002" s="308" t="s">
        <v>28417</v>
      </c>
      <c r="N7002" s="308"/>
      <c r="O7002" s="308"/>
      <c r="P7002" s="308" t="s">
        <v>28418</v>
      </c>
      <c r="Q7002" s="308" t="s">
        <v>39505</v>
      </c>
      <c r="R7002" s="308"/>
      <c r="S7002" s="308" t="s">
        <v>81</v>
      </c>
      <c r="T7002" s="308" t="s">
        <v>75</v>
      </c>
      <c r="U7002" s="308" t="s">
        <v>27</v>
      </c>
      <c r="V7002" s="308"/>
    </row>
    <row r="7003">
      <c r="A7003" s="308"/>
      <c r="B7003" s="308"/>
      <c r="C7003" s="308" t="s">
        <v>28419</v>
      </c>
      <c r="D7003" s="308">
        <f>IFERROR(__xludf.DUMMYFUNCTION("SPLIT(C7003,""-"")"),7023.0)</f>
        <v>7023</v>
      </c>
      <c r="E7003" s="308" t="str">
        <f>IFERROR(__xludf.DUMMYFUNCTION("""COMPUTED_VALUE"""),"B")</f>
        <v>B</v>
      </c>
      <c r="F7003" s="315" t="s">
        <v>26</v>
      </c>
      <c r="G7003" s="308"/>
      <c r="H7003" s="308" t="s">
        <v>28420</v>
      </c>
      <c r="I7003" s="310">
        <v>42742.0</v>
      </c>
      <c r="J7003" s="319">
        <f>IFERROR(__xludf.DUMMYFUNCTION("SPLIT(I7003,""/"")"),7.0)</f>
        <v>7</v>
      </c>
      <c r="K7003" s="308">
        <f>IFERROR(__xludf.DUMMYFUNCTION("""COMPUTED_VALUE"""),1.0)</f>
        <v>1</v>
      </c>
      <c r="L7003" s="308">
        <f>IFERROR(__xludf.DUMMYFUNCTION("""COMPUTED_VALUE"""),2017.0)</f>
        <v>2017</v>
      </c>
      <c r="M7003" s="308" t="s">
        <v>28421</v>
      </c>
      <c r="N7003" s="308"/>
      <c r="O7003" s="308"/>
      <c r="P7003" s="308" t="s">
        <v>28422</v>
      </c>
      <c r="Q7003" s="308" t="s">
        <v>39505</v>
      </c>
      <c r="R7003" s="308"/>
      <c r="S7003" s="308" t="s">
        <v>81</v>
      </c>
      <c r="T7003" s="308" t="s">
        <v>75</v>
      </c>
      <c r="U7003" s="308" t="s">
        <v>27</v>
      </c>
      <c r="V7003" s="308"/>
    </row>
    <row r="7004">
      <c r="A7004" s="308"/>
      <c r="B7004" s="308"/>
      <c r="C7004" s="308" t="s">
        <v>28423</v>
      </c>
      <c r="D7004" s="308">
        <f>IFERROR(__xludf.DUMMYFUNCTION("SPLIT(C7004,""-"")"),7024.0)</f>
        <v>7024</v>
      </c>
      <c r="E7004" s="308" t="str">
        <f>IFERROR(__xludf.DUMMYFUNCTION("""COMPUTED_VALUE"""),"B")</f>
        <v>B</v>
      </c>
      <c r="F7004" s="315" t="s">
        <v>26</v>
      </c>
      <c r="G7004" s="308"/>
      <c r="H7004" s="308" t="s">
        <v>28424</v>
      </c>
      <c r="I7004" s="310">
        <v>42740.0</v>
      </c>
      <c r="J7004" s="319">
        <f>IFERROR(__xludf.DUMMYFUNCTION("SPLIT(I7004,""/"")"),5.0)</f>
        <v>5</v>
      </c>
      <c r="K7004" s="308">
        <f>IFERROR(__xludf.DUMMYFUNCTION("""COMPUTED_VALUE"""),1.0)</f>
        <v>1</v>
      </c>
      <c r="L7004" s="308">
        <f>IFERROR(__xludf.DUMMYFUNCTION("""COMPUTED_VALUE"""),2017.0)</f>
        <v>2017</v>
      </c>
      <c r="M7004" s="308" t="s">
        <v>28425</v>
      </c>
      <c r="N7004" s="308"/>
      <c r="O7004" s="308"/>
      <c r="P7004" s="308" t="s">
        <v>28426</v>
      </c>
      <c r="Q7004" s="308" t="s">
        <v>39505</v>
      </c>
      <c r="R7004" s="308"/>
      <c r="S7004" s="308" t="s">
        <v>81</v>
      </c>
      <c r="T7004" s="308" t="s">
        <v>75</v>
      </c>
      <c r="U7004" s="308" t="s">
        <v>27</v>
      </c>
      <c r="V7004" s="308"/>
    </row>
    <row r="7005">
      <c r="A7005" s="308"/>
      <c r="B7005" s="308"/>
      <c r="C7005" s="308" t="s">
        <v>28427</v>
      </c>
      <c r="D7005" s="308">
        <f>IFERROR(__xludf.DUMMYFUNCTION("SPLIT(C7005,""-"")"),7025.0)</f>
        <v>7025</v>
      </c>
      <c r="E7005" s="308" t="str">
        <f>IFERROR(__xludf.DUMMYFUNCTION("""COMPUTED_VALUE"""),"B")</f>
        <v>B</v>
      </c>
      <c r="F7005" s="315" t="s">
        <v>26</v>
      </c>
      <c r="G7005" s="308"/>
      <c r="H7005" s="308" t="s">
        <v>28428</v>
      </c>
      <c r="I7005" s="310">
        <v>42740.0</v>
      </c>
      <c r="J7005" s="319">
        <f>IFERROR(__xludf.DUMMYFUNCTION("SPLIT(I7005,""/"")"),5.0)</f>
        <v>5</v>
      </c>
      <c r="K7005" s="308">
        <f>IFERROR(__xludf.DUMMYFUNCTION("""COMPUTED_VALUE"""),1.0)</f>
        <v>1</v>
      </c>
      <c r="L7005" s="308">
        <f>IFERROR(__xludf.DUMMYFUNCTION("""COMPUTED_VALUE"""),2017.0)</f>
        <v>2017</v>
      </c>
      <c r="M7005" s="308" t="s">
        <v>28429</v>
      </c>
      <c r="N7005" s="308"/>
      <c r="O7005" s="308"/>
      <c r="P7005" s="308" t="s">
        <v>28430</v>
      </c>
      <c r="Q7005" s="308" t="s">
        <v>39505</v>
      </c>
      <c r="R7005" s="308"/>
      <c r="S7005" s="308" t="s">
        <v>81</v>
      </c>
      <c r="T7005" s="308" t="s">
        <v>75</v>
      </c>
      <c r="U7005" s="308" t="s">
        <v>27</v>
      </c>
      <c r="V7005" s="308"/>
    </row>
    <row r="7006">
      <c r="A7006" s="308"/>
      <c r="B7006" s="308"/>
      <c r="C7006" s="308" t="s">
        <v>28431</v>
      </c>
      <c r="D7006" s="308">
        <f>IFERROR(__xludf.DUMMYFUNCTION("SPLIT(C7006,""-"")"),7026.0)</f>
        <v>7026</v>
      </c>
      <c r="E7006" s="308" t="str">
        <f>IFERROR(__xludf.DUMMYFUNCTION("""COMPUTED_VALUE"""),"B")</f>
        <v>B</v>
      </c>
      <c r="F7006" s="315" t="s">
        <v>26</v>
      </c>
      <c r="G7006" s="308"/>
      <c r="H7006" s="308" t="s">
        <v>28432</v>
      </c>
      <c r="I7006" s="310">
        <v>42739.0</v>
      </c>
      <c r="J7006" s="319">
        <f>IFERROR(__xludf.DUMMYFUNCTION("SPLIT(I7006,""/"")"),4.0)</f>
        <v>4</v>
      </c>
      <c r="K7006" s="308">
        <f>IFERROR(__xludf.DUMMYFUNCTION("""COMPUTED_VALUE"""),1.0)</f>
        <v>1</v>
      </c>
      <c r="L7006" s="308">
        <f>IFERROR(__xludf.DUMMYFUNCTION("""COMPUTED_VALUE"""),2017.0)</f>
        <v>2017</v>
      </c>
      <c r="M7006" s="308" t="s">
        <v>28433</v>
      </c>
      <c r="N7006" s="308"/>
      <c r="O7006" s="308"/>
      <c r="P7006" s="308" t="s">
        <v>28434</v>
      </c>
      <c r="Q7006" s="308" t="s">
        <v>39505</v>
      </c>
      <c r="R7006" s="308"/>
      <c r="S7006" s="308" t="s">
        <v>81</v>
      </c>
      <c r="T7006" s="308" t="s">
        <v>75</v>
      </c>
      <c r="U7006" s="308" t="s">
        <v>27</v>
      </c>
      <c r="V7006" s="308"/>
    </row>
    <row r="7007">
      <c r="A7007" s="308"/>
      <c r="B7007" s="308"/>
      <c r="C7007" s="308" t="s">
        <v>28435</v>
      </c>
      <c r="D7007" s="308">
        <f>IFERROR(__xludf.DUMMYFUNCTION("SPLIT(C7007,""-"")"),7027.0)</f>
        <v>7027</v>
      </c>
      <c r="E7007" s="308" t="str">
        <f>IFERROR(__xludf.DUMMYFUNCTION("""COMPUTED_VALUE"""),"B")</f>
        <v>B</v>
      </c>
      <c r="F7007" s="315" t="s">
        <v>26</v>
      </c>
      <c r="G7007" s="308"/>
      <c r="H7007" s="308" t="s">
        <v>28436</v>
      </c>
      <c r="I7007" s="310">
        <v>42743.0</v>
      </c>
      <c r="J7007" s="319">
        <f>IFERROR(__xludf.DUMMYFUNCTION("SPLIT(I7007,""/"")"),8.0)</f>
        <v>8</v>
      </c>
      <c r="K7007" s="308">
        <f>IFERROR(__xludf.DUMMYFUNCTION("""COMPUTED_VALUE"""),1.0)</f>
        <v>1</v>
      </c>
      <c r="L7007" s="308">
        <f>IFERROR(__xludf.DUMMYFUNCTION("""COMPUTED_VALUE"""),2017.0)</f>
        <v>2017</v>
      </c>
      <c r="M7007" s="308" t="s">
        <v>28437</v>
      </c>
      <c r="N7007" s="308"/>
      <c r="O7007" s="308"/>
      <c r="P7007" s="308" t="s">
        <v>28438</v>
      </c>
      <c r="Q7007" s="308" t="s">
        <v>39505</v>
      </c>
      <c r="R7007" s="308"/>
      <c r="S7007" s="308" t="s">
        <v>81</v>
      </c>
      <c r="T7007" s="308" t="s">
        <v>75</v>
      </c>
      <c r="U7007" s="308" t="s">
        <v>27</v>
      </c>
      <c r="V7007" s="308"/>
    </row>
    <row r="7008">
      <c r="A7008" s="308"/>
      <c r="B7008" s="308"/>
      <c r="C7008" s="308" t="s">
        <v>28439</v>
      </c>
      <c r="D7008" s="308">
        <f>IFERROR(__xludf.DUMMYFUNCTION("SPLIT(C7008,""-"")"),7028.0)</f>
        <v>7028</v>
      </c>
      <c r="E7008" s="308" t="str">
        <f>IFERROR(__xludf.DUMMYFUNCTION("""COMPUTED_VALUE"""),"B")</f>
        <v>B</v>
      </c>
      <c r="F7008" s="315" t="s">
        <v>26</v>
      </c>
      <c r="G7008" s="308"/>
      <c r="H7008" s="308" t="s">
        <v>28440</v>
      </c>
      <c r="I7008" s="310">
        <v>42743.0</v>
      </c>
      <c r="J7008" s="319">
        <f>IFERROR(__xludf.DUMMYFUNCTION("SPLIT(I7008,""/"")"),8.0)</f>
        <v>8</v>
      </c>
      <c r="K7008" s="308">
        <f>IFERROR(__xludf.DUMMYFUNCTION("""COMPUTED_VALUE"""),1.0)</f>
        <v>1</v>
      </c>
      <c r="L7008" s="308">
        <f>IFERROR(__xludf.DUMMYFUNCTION("""COMPUTED_VALUE"""),2017.0)</f>
        <v>2017</v>
      </c>
      <c r="M7008" s="308" t="s">
        <v>28437</v>
      </c>
      <c r="N7008" s="308"/>
      <c r="O7008" s="308"/>
      <c r="P7008" s="308" t="s">
        <v>28441</v>
      </c>
      <c r="Q7008" s="308" t="s">
        <v>39505</v>
      </c>
      <c r="R7008" s="308"/>
      <c r="S7008" s="308" t="s">
        <v>81</v>
      </c>
      <c r="T7008" s="308" t="s">
        <v>75</v>
      </c>
      <c r="U7008" s="308" t="s">
        <v>27</v>
      </c>
      <c r="V7008" s="308"/>
    </row>
    <row r="7009">
      <c r="A7009" s="308"/>
      <c r="B7009" s="308"/>
      <c r="C7009" s="308" t="s">
        <v>28442</v>
      </c>
      <c r="D7009" s="308">
        <f>IFERROR(__xludf.DUMMYFUNCTION("SPLIT(C7009,""-"")"),7029.0)</f>
        <v>7029</v>
      </c>
      <c r="E7009" s="308" t="str">
        <f>IFERROR(__xludf.DUMMYFUNCTION("""COMPUTED_VALUE"""),"B")</f>
        <v>B</v>
      </c>
      <c r="F7009" s="315" t="s">
        <v>26</v>
      </c>
      <c r="G7009" s="308"/>
      <c r="H7009" s="308" t="s">
        <v>28443</v>
      </c>
      <c r="I7009" s="310">
        <v>42738.0</v>
      </c>
      <c r="J7009" s="319">
        <f>IFERROR(__xludf.DUMMYFUNCTION("SPLIT(I7009,""/"")"),3.0)</f>
        <v>3</v>
      </c>
      <c r="K7009" s="308">
        <f>IFERROR(__xludf.DUMMYFUNCTION("""COMPUTED_VALUE"""),1.0)</f>
        <v>1</v>
      </c>
      <c r="L7009" s="308">
        <f>IFERROR(__xludf.DUMMYFUNCTION("""COMPUTED_VALUE"""),2017.0)</f>
        <v>2017</v>
      </c>
      <c r="M7009" s="308" t="s">
        <v>28260</v>
      </c>
      <c r="N7009" s="308"/>
      <c r="O7009" s="308"/>
      <c r="P7009" s="308" t="s">
        <v>28444</v>
      </c>
      <c r="Q7009" s="308" t="s">
        <v>39505</v>
      </c>
      <c r="R7009" s="308"/>
      <c r="S7009" s="308" t="s">
        <v>81</v>
      </c>
      <c r="T7009" s="308" t="s">
        <v>75</v>
      </c>
      <c r="U7009" s="308" t="s">
        <v>27</v>
      </c>
      <c r="V7009" s="308"/>
    </row>
    <row r="7010">
      <c r="A7010" s="308"/>
      <c r="B7010" s="308"/>
      <c r="C7010" s="308" t="s">
        <v>28445</v>
      </c>
      <c r="D7010" s="308">
        <f>IFERROR(__xludf.DUMMYFUNCTION("SPLIT(C7010,""-"")"),7030.0)</f>
        <v>7030</v>
      </c>
      <c r="E7010" s="308" t="str">
        <f>IFERROR(__xludf.DUMMYFUNCTION("""COMPUTED_VALUE"""),"B")</f>
        <v>B</v>
      </c>
      <c r="F7010" s="315" t="s">
        <v>26</v>
      </c>
      <c r="G7010" s="308"/>
      <c r="H7010" s="308" t="s">
        <v>28446</v>
      </c>
      <c r="I7010" s="310">
        <v>42747.0</v>
      </c>
      <c r="J7010" s="319">
        <f>IFERROR(__xludf.DUMMYFUNCTION("SPLIT(I7010,""/"")"),12.0)</f>
        <v>12</v>
      </c>
      <c r="K7010" s="308">
        <f>IFERROR(__xludf.DUMMYFUNCTION("""COMPUTED_VALUE"""),1.0)</f>
        <v>1</v>
      </c>
      <c r="L7010" s="308">
        <f>IFERROR(__xludf.DUMMYFUNCTION("""COMPUTED_VALUE"""),2017.0)</f>
        <v>2017</v>
      </c>
      <c r="M7010" s="308" t="s">
        <v>28447</v>
      </c>
      <c r="N7010" s="308"/>
      <c r="O7010" s="308"/>
      <c r="P7010" s="308" t="s">
        <v>28448</v>
      </c>
      <c r="Q7010" s="308" t="s">
        <v>39505</v>
      </c>
      <c r="R7010" s="308"/>
      <c r="S7010" s="308" t="s">
        <v>81</v>
      </c>
      <c r="T7010" s="308" t="s">
        <v>75</v>
      </c>
      <c r="U7010" s="308" t="s">
        <v>27</v>
      </c>
      <c r="V7010" s="308"/>
    </row>
    <row r="7011">
      <c r="A7011" s="308"/>
      <c r="B7011" s="308"/>
      <c r="C7011" s="308" t="s">
        <v>28449</v>
      </c>
      <c r="D7011" s="308">
        <f>IFERROR(__xludf.DUMMYFUNCTION("SPLIT(C7011,""-"")"),7031.0)</f>
        <v>7031</v>
      </c>
      <c r="E7011" s="308" t="str">
        <f>IFERROR(__xludf.DUMMYFUNCTION("""COMPUTED_VALUE"""),"B")</f>
        <v>B</v>
      </c>
      <c r="F7011" s="315" t="s">
        <v>26</v>
      </c>
      <c r="G7011" s="308"/>
      <c r="H7011" s="308" t="s">
        <v>28450</v>
      </c>
      <c r="I7011" s="310">
        <v>42747.0</v>
      </c>
      <c r="J7011" s="319">
        <f>IFERROR(__xludf.DUMMYFUNCTION("SPLIT(I7011,""/"")"),12.0)</f>
        <v>12</v>
      </c>
      <c r="K7011" s="308">
        <f>IFERROR(__xludf.DUMMYFUNCTION("""COMPUTED_VALUE"""),1.0)</f>
        <v>1</v>
      </c>
      <c r="L7011" s="308">
        <f>IFERROR(__xludf.DUMMYFUNCTION("""COMPUTED_VALUE"""),2017.0)</f>
        <v>2017</v>
      </c>
      <c r="M7011" s="308" t="s">
        <v>28447</v>
      </c>
      <c r="N7011" s="308"/>
      <c r="O7011" s="308"/>
      <c r="P7011" s="308" t="s">
        <v>28451</v>
      </c>
      <c r="Q7011" s="308" t="s">
        <v>39505</v>
      </c>
      <c r="R7011" s="308"/>
      <c r="S7011" s="308" t="s">
        <v>81</v>
      </c>
      <c r="T7011" s="308" t="s">
        <v>75</v>
      </c>
      <c r="U7011" s="308" t="s">
        <v>27</v>
      </c>
      <c r="V7011" s="308"/>
    </row>
    <row r="7012">
      <c r="A7012" s="308"/>
      <c r="B7012" s="308"/>
      <c r="C7012" s="308" t="s">
        <v>28452</v>
      </c>
      <c r="D7012" s="308">
        <f>IFERROR(__xludf.DUMMYFUNCTION("SPLIT(C7012,""-"")"),7032.0)</f>
        <v>7032</v>
      </c>
      <c r="E7012" s="308" t="str">
        <f>IFERROR(__xludf.DUMMYFUNCTION("""COMPUTED_VALUE"""),"B")</f>
        <v>B</v>
      </c>
      <c r="F7012" s="315" t="s">
        <v>26</v>
      </c>
      <c r="G7012" s="308"/>
      <c r="H7012" s="308" t="s">
        <v>28453</v>
      </c>
      <c r="I7012" s="310">
        <v>42746.0</v>
      </c>
      <c r="J7012" s="319">
        <f>IFERROR(__xludf.DUMMYFUNCTION("SPLIT(I7012,""/"")"),11.0)</f>
        <v>11</v>
      </c>
      <c r="K7012" s="308">
        <f>IFERROR(__xludf.DUMMYFUNCTION("""COMPUTED_VALUE"""),1.0)</f>
        <v>1</v>
      </c>
      <c r="L7012" s="308">
        <f>IFERROR(__xludf.DUMMYFUNCTION("""COMPUTED_VALUE"""),2017.0)</f>
        <v>2017</v>
      </c>
      <c r="M7012" s="308" t="s">
        <v>28454</v>
      </c>
      <c r="N7012" s="308"/>
      <c r="O7012" s="308"/>
      <c r="P7012" s="308" t="s">
        <v>28455</v>
      </c>
      <c r="Q7012" s="308" t="s">
        <v>39505</v>
      </c>
      <c r="R7012" s="308"/>
      <c r="S7012" s="308" t="s">
        <v>81</v>
      </c>
      <c r="T7012" s="308" t="s">
        <v>75</v>
      </c>
      <c r="U7012" s="308" t="s">
        <v>27</v>
      </c>
      <c r="V7012" s="308"/>
    </row>
    <row r="7013">
      <c r="A7013" s="308"/>
      <c r="B7013" s="308"/>
      <c r="C7013" s="308" t="s">
        <v>28456</v>
      </c>
      <c r="D7013" s="308">
        <f>IFERROR(__xludf.DUMMYFUNCTION("SPLIT(C7013,""-"")"),7033.0)</f>
        <v>7033</v>
      </c>
      <c r="E7013" s="308" t="str">
        <f>IFERROR(__xludf.DUMMYFUNCTION("""COMPUTED_VALUE"""),"B")</f>
        <v>B</v>
      </c>
      <c r="F7013" s="315" t="s">
        <v>26</v>
      </c>
      <c r="G7013" s="308"/>
      <c r="H7013" s="308" t="s">
        <v>28457</v>
      </c>
      <c r="I7013" s="310">
        <v>42744.0</v>
      </c>
      <c r="J7013" s="319">
        <f>IFERROR(__xludf.DUMMYFUNCTION("SPLIT(I7013,""/"")"),9.0)</f>
        <v>9</v>
      </c>
      <c r="K7013" s="308">
        <f>IFERROR(__xludf.DUMMYFUNCTION("""COMPUTED_VALUE"""),1.0)</f>
        <v>1</v>
      </c>
      <c r="L7013" s="308">
        <f>IFERROR(__xludf.DUMMYFUNCTION("""COMPUTED_VALUE"""),2017.0)</f>
        <v>2017</v>
      </c>
      <c r="M7013" s="308" t="s">
        <v>28458</v>
      </c>
      <c r="N7013" s="308"/>
      <c r="O7013" s="308"/>
      <c r="P7013" s="308" t="s">
        <v>28459</v>
      </c>
      <c r="Q7013" s="308" t="s">
        <v>39505</v>
      </c>
      <c r="R7013" s="308"/>
      <c r="S7013" s="308" t="s">
        <v>81</v>
      </c>
      <c r="T7013" s="308" t="s">
        <v>75</v>
      </c>
      <c r="U7013" s="308" t="s">
        <v>27</v>
      </c>
      <c r="V7013" s="308"/>
    </row>
    <row r="7014">
      <c r="A7014" s="308"/>
      <c r="B7014" s="308"/>
      <c r="C7014" s="308" t="s">
        <v>28460</v>
      </c>
      <c r="D7014" s="308">
        <f>IFERROR(__xludf.DUMMYFUNCTION("SPLIT(C7014,""-"")"),7034.0)</f>
        <v>7034</v>
      </c>
      <c r="E7014" s="308" t="str">
        <f>IFERROR(__xludf.DUMMYFUNCTION("""COMPUTED_VALUE"""),"B")</f>
        <v>B</v>
      </c>
      <c r="F7014" s="315" t="s">
        <v>26</v>
      </c>
      <c r="G7014" s="308"/>
      <c r="H7014" s="308" t="s">
        <v>28461</v>
      </c>
      <c r="I7014" s="310">
        <v>42743.0</v>
      </c>
      <c r="J7014" s="319">
        <f>IFERROR(__xludf.DUMMYFUNCTION("SPLIT(I7014,""/"")"),8.0)</f>
        <v>8</v>
      </c>
      <c r="K7014" s="308">
        <f>IFERROR(__xludf.DUMMYFUNCTION("""COMPUTED_VALUE"""),1.0)</f>
        <v>1</v>
      </c>
      <c r="L7014" s="308">
        <f>IFERROR(__xludf.DUMMYFUNCTION("""COMPUTED_VALUE"""),2017.0)</f>
        <v>2017</v>
      </c>
      <c r="M7014" s="308" t="s">
        <v>28462</v>
      </c>
      <c r="N7014" s="308"/>
      <c r="O7014" s="308"/>
      <c r="P7014" s="308" t="s">
        <v>28463</v>
      </c>
      <c r="Q7014" s="308" t="s">
        <v>39505</v>
      </c>
      <c r="R7014" s="308"/>
      <c r="S7014" s="308" t="s">
        <v>81</v>
      </c>
      <c r="T7014" s="308" t="s">
        <v>75</v>
      </c>
      <c r="U7014" s="308" t="s">
        <v>27</v>
      </c>
      <c r="V7014" s="308"/>
    </row>
    <row r="7015">
      <c r="A7015" s="308"/>
      <c r="B7015" s="308"/>
      <c r="C7015" s="308" t="s">
        <v>28464</v>
      </c>
      <c r="D7015" s="308">
        <f>IFERROR(__xludf.DUMMYFUNCTION("SPLIT(C7015,""-"")"),7035.0)</f>
        <v>7035</v>
      </c>
      <c r="E7015" s="308" t="str">
        <f>IFERROR(__xludf.DUMMYFUNCTION("""COMPUTED_VALUE"""),"B")</f>
        <v>B</v>
      </c>
      <c r="F7015" s="315" t="s">
        <v>26</v>
      </c>
      <c r="G7015" s="308"/>
      <c r="H7015" s="308" t="s">
        <v>28465</v>
      </c>
      <c r="I7015" s="310">
        <v>42739.0</v>
      </c>
      <c r="J7015" s="319">
        <f>IFERROR(__xludf.DUMMYFUNCTION("SPLIT(I7015,""/"")"),4.0)</f>
        <v>4</v>
      </c>
      <c r="K7015" s="308">
        <f>IFERROR(__xludf.DUMMYFUNCTION("""COMPUTED_VALUE"""),1.0)</f>
        <v>1</v>
      </c>
      <c r="L7015" s="308">
        <f>IFERROR(__xludf.DUMMYFUNCTION("""COMPUTED_VALUE"""),2017.0)</f>
        <v>2017</v>
      </c>
      <c r="M7015" s="308" t="s">
        <v>28466</v>
      </c>
      <c r="N7015" s="308"/>
      <c r="O7015" s="308"/>
      <c r="P7015" s="308" t="s">
        <v>28467</v>
      </c>
      <c r="Q7015" s="308" t="s">
        <v>39505</v>
      </c>
      <c r="R7015" s="308"/>
      <c r="S7015" s="308" t="s">
        <v>81</v>
      </c>
      <c r="T7015" s="308" t="s">
        <v>75</v>
      </c>
      <c r="U7015" s="308" t="s">
        <v>27</v>
      </c>
      <c r="V7015" s="308"/>
    </row>
    <row r="7016">
      <c r="A7016" s="308"/>
      <c r="B7016" s="308"/>
      <c r="C7016" s="308" t="s">
        <v>28468</v>
      </c>
      <c r="D7016" s="308">
        <f>IFERROR(__xludf.DUMMYFUNCTION("SPLIT(C7016,""-"")"),7036.0)</f>
        <v>7036</v>
      </c>
      <c r="E7016" s="308" t="str">
        <f>IFERROR(__xludf.DUMMYFUNCTION("""COMPUTED_VALUE"""),"B")</f>
        <v>B</v>
      </c>
      <c r="F7016" s="315" t="s">
        <v>26</v>
      </c>
      <c r="G7016" s="308"/>
      <c r="H7016" s="308" t="s">
        <v>28469</v>
      </c>
      <c r="I7016" s="310">
        <v>42739.0</v>
      </c>
      <c r="J7016" s="319">
        <f>IFERROR(__xludf.DUMMYFUNCTION("SPLIT(I7016,""/"")"),4.0)</f>
        <v>4</v>
      </c>
      <c r="K7016" s="308">
        <f>IFERROR(__xludf.DUMMYFUNCTION("""COMPUTED_VALUE"""),1.0)</f>
        <v>1</v>
      </c>
      <c r="L7016" s="308">
        <f>IFERROR(__xludf.DUMMYFUNCTION("""COMPUTED_VALUE"""),2017.0)</f>
        <v>2017</v>
      </c>
      <c r="M7016" s="308" t="s">
        <v>28466</v>
      </c>
      <c r="N7016" s="308"/>
      <c r="O7016" s="308"/>
      <c r="P7016" s="308" t="s">
        <v>28470</v>
      </c>
      <c r="Q7016" s="308" t="s">
        <v>39505</v>
      </c>
      <c r="R7016" s="308"/>
      <c r="S7016" s="308" t="s">
        <v>81</v>
      </c>
      <c r="T7016" s="308" t="s">
        <v>75</v>
      </c>
      <c r="U7016" s="308" t="s">
        <v>27</v>
      </c>
      <c r="V7016" s="308"/>
    </row>
    <row r="7017">
      <c r="A7017" s="308"/>
      <c r="B7017" s="308"/>
      <c r="C7017" s="308" t="s">
        <v>28471</v>
      </c>
      <c r="D7017" s="308">
        <f>IFERROR(__xludf.DUMMYFUNCTION("SPLIT(C7017,""-"")"),7037.0)</f>
        <v>7037</v>
      </c>
      <c r="E7017" s="308" t="str">
        <f>IFERROR(__xludf.DUMMYFUNCTION("""COMPUTED_VALUE"""),"B")</f>
        <v>B</v>
      </c>
      <c r="F7017" s="315" t="s">
        <v>26</v>
      </c>
      <c r="G7017" s="308"/>
      <c r="H7017" s="308" t="s">
        <v>28472</v>
      </c>
      <c r="I7017" s="310">
        <v>42739.0</v>
      </c>
      <c r="J7017" s="319">
        <f>IFERROR(__xludf.DUMMYFUNCTION("SPLIT(I7017,""/"")"),4.0)</f>
        <v>4</v>
      </c>
      <c r="K7017" s="308">
        <f>IFERROR(__xludf.DUMMYFUNCTION("""COMPUTED_VALUE"""),1.0)</f>
        <v>1</v>
      </c>
      <c r="L7017" s="308">
        <f>IFERROR(__xludf.DUMMYFUNCTION("""COMPUTED_VALUE"""),2017.0)</f>
        <v>2017</v>
      </c>
      <c r="M7017" s="308" t="s">
        <v>28466</v>
      </c>
      <c r="N7017" s="308"/>
      <c r="O7017" s="308"/>
      <c r="P7017" s="308" t="s">
        <v>28473</v>
      </c>
      <c r="Q7017" s="308" t="s">
        <v>39505</v>
      </c>
      <c r="R7017" s="308"/>
      <c r="S7017" s="308" t="s">
        <v>81</v>
      </c>
      <c r="T7017" s="308" t="s">
        <v>75</v>
      </c>
      <c r="U7017" s="308" t="s">
        <v>27</v>
      </c>
      <c r="V7017" s="308"/>
    </row>
    <row r="7018">
      <c r="A7018" s="308"/>
      <c r="B7018" s="308"/>
      <c r="C7018" s="308" t="s">
        <v>28474</v>
      </c>
      <c r="D7018" s="308">
        <f>IFERROR(__xludf.DUMMYFUNCTION("SPLIT(C7018,""-"")"),7038.0)</f>
        <v>7038</v>
      </c>
      <c r="E7018" s="308" t="str">
        <f>IFERROR(__xludf.DUMMYFUNCTION("""COMPUTED_VALUE"""),"B")</f>
        <v>B</v>
      </c>
      <c r="F7018" s="315" t="s">
        <v>26</v>
      </c>
      <c r="G7018" s="308"/>
      <c r="H7018" s="308" t="s">
        <v>28475</v>
      </c>
      <c r="I7018" s="310">
        <v>42739.0</v>
      </c>
      <c r="J7018" s="319">
        <f>IFERROR(__xludf.DUMMYFUNCTION("SPLIT(I7018,""/"")"),4.0)</f>
        <v>4</v>
      </c>
      <c r="K7018" s="308">
        <f>IFERROR(__xludf.DUMMYFUNCTION("""COMPUTED_VALUE"""),1.0)</f>
        <v>1</v>
      </c>
      <c r="L7018" s="308">
        <f>IFERROR(__xludf.DUMMYFUNCTION("""COMPUTED_VALUE"""),2017.0)</f>
        <v>2017</v>
      </c>
      <c r="M7018" s="308" t="s">
        <v>28466</v>
      </c>
      <c r="N7018" s="308"/>
      <c r="O7018" s="308"/>
      <c r="P7018" s="308" t="s">
        <v>28476</v>
      </c>
      <c r="Q7018" s="308" t="s">
        <v>39505</v>
      </c>
      <c r="R7018" s="308"/>
      <c r="S7018" s="308" t="s">
        <v>81</v>
      </c>
      <c r="T7018" s="308" t="s">
        <v>75</v>
      </c>
      <c r="U7018" s="308" t="s">
        <v>27</v>
      </c>
      <c r="V7018" s="308"/>
    </row>
    <row r="7019">
      <c r="A7019" s="308"/>
      <c r="B7019" s="308"/>
      <c r="C7019" s="308" t="s">
        <v>28477</v>
      </c>
      <c r="D7019" s="308">
        <f>IFERROR(__xludf.DUMMYFUNCTION("SPLIT(C7019,""-"")"),7039.0)</f>
        <v>7039</v>
      </c>
      <c r="E7019" s="308" t="str">
        <f>IFERROR(__xludf.DUMMYFUNCTION("""COMPUTED_VALUE"""),"B")</f>
        <v>B</v>
      </c>
      <c r="F7019" s="315" t="s">
        <v>26</v>
      </c>
      <c r="G7019" s="308"/>
      <c r="H7019" s="308" t="s">
        <v>28478</v>
      </c>
      <c r="I7019" s="310">
        <v>42748.0</v>
      </c>
      <c r="J7019" s="319">
        <f>IFERROR(__xludf.DUMMYFUNCTION("SPLIT(I7019,""/"")"),13.0)</f>
        <v>13</v>
      </c>
      <c r="K7019" s="308">
        <f>IFERROR(__xludf.DUMMYFUNCTION("""COMPUTED_VALUE"""),1.0)</f>
        <v>1</v>
      </c>
      <c r="L7019" s="308">
        <f>IFERROR(__xludf.DUMMYFUNCTION("""COMPUTED_VALUE"""),2017.0)</f>
        <v>2017</v>
      </c>
      <c r="M7019" s="308" t="s">
        <v>28230</v>
      </c>
      <c r="N7019" s="308"/>
      <c r="O7019" s="308"/>
      <c r="P7019" s="308" t="s">
        <v>28479</v>
      </c>
      <c r="Q7019" s="308" t="s">
        <v>39505</v>
      </c>
      <c r="R7019" s="308"/>
      <c r="S7019" s="308" t="s">
        <v>81</v>
      </c>
      <c r="T7019" s="308" t="s">
        <v>75</v>
      </c>
      <c r="U7019" s="308" t="s">
        <v>27</v>
      </c>
      <c r="V7019" s="308"/>
    </row>
    <row r="7020">
      <c r="A7020" s="308"/>
      <c r="B7020" s="308"/>
      <c r="C7020" s="308" t="s">
        <v>28480</v>
      </c>
      <c r="D7020" s="308">
        <f>IFERROR(__xludf.DUMMYFUNCTION("SPLIT(C7020,""-"")"),7040.0)</f>
        <v>7040</v>
      </c>
      <c r="E7020" s="308" t="str">
        <f>IFERROR(__xludf.DUMMYFUNCTION("""COMPUTED_VALUE"""),"B")</f>
        <v>B</v>
      </c>
      <c r="F7020" s="315" t="s">
        <v>26</v>
      </c>
      <c r="G7020" s="308"/>
      <c r="H7020" s="308" t="s">
        <v>28481</v>
      </c>
      <c r="I7020" s="310">
        <v>42748.0</v>
      </c>
      <c r="J7020" s="319">
        <f>IFERROR(__xludf.DUMMYFUNCTION("SPLIT(I7020,""/"")"),13.0)</f>
        <v>13</v>
      </c>
      <c r="K7020" s="308">
        <f>IFERROR(__xludf.DUMMYFUNCTION("""COMPUTED_VALUE"""),1.0)</f>
        <v>1</v>
      </c>
      <c r="L7020" s="308">
        <f>IFERROR(__xludf.DUMMYFUNCTION("""COMPUTED_VALUE"""),2017.0)</f>
        <v>2017</v>
      </c>
      <c r="M7020" s="308" t="s">
        <v>28230</v>
      </c>
      <c r="N7020" s="308"/>
      <c r="O7020" s="308"/>
      <c r="P7020" s="308" t="s">
        <v>28482</v>
      </c>
      <c r="Q7020" s="308" t="s">
        <v>39505</v>
      </c>
      <c r="R7020" s="308"/>
      <c r="S7020" s="308" t="s">
        <v>81</v>
      </c>
      <c r="T7020" s="308" t="s">
        <v>75</v>
      </c>
      <c r="U7020" s="308" t="s">
        <v>27</v>
      </c>
      <c r="V7020" s="308"/>
    </row>
    <row r="7021">
      <c r="A7021" s="308"/>
      <c r="B7021" s="308"/>
      <c r="C7021" s="308" t="s">
        <v>28483</v>
      </c>
      <c r="D7021" s="308">
        <f>IFERROR(__xludf.DUMMYFUNCTION("SPLIT(C7021,""-"")"),7041.0)</f>
        <v>7041</v>
      </c>
      <c r="E7021" s="308" t="str">
        <f>IFERROR(__xludf.DUMMYFUNCTION("""COMPUTED_VALUE"""),"B")</f>
        <v>B</v>
      </c>
      <c r="F7021" s="315" t="s">
        <v>26</v>
      </c>
      <c r="G7021" s="308"/>
      <c r="H7021" s="308" t="s">
        <v>28484</v>
      </c>
      <c r="I7021" s="310">
        <v>42763.0</v>
      </c>
      <c r="J7021" s="319">
        <f>IFERROR(__xludf.DUMMYFUNCTION("SPLIT(I7021,""/"")"),28.0)</f>
        <v>28</v>
      </c>
      <c r="K7021" s="308">
        <f>IFERROR(__xludf.DUMMYFUNCTION("""COMPUTED_VALUE"""),1.0)</f>
        <v>1</v>
      </c>
      <c r="L7021" s="308">
        <f>IFERROR(__xludf.DUMMYFUNCTION("""COMPUTED_VALUE"""),2017.0)</f>
        <v>2017</v>
      </c>
      <c r="M7021" s="308" t="s">
        <v>28458</v>
      </c>
      <c r="N7021" s="308"/>
      <c r="O7021" s="308"/>
      <c r="P7021" s="308" t="s">
        <v>28485</v>
      </c>
      <c r="Q7021" s="308" t="s">
        <v>39505</v>
      </c>
      <c r="R7021" s="308"/>
      <c r="S7021" s="308" t="s">
        <v>81</v>
      </c>
      <c r="T7021" s="308" t="s">
        <v>75</v>
      </c>
      <c r="U7021" s="308" t="s">
        <v>27</v>
      </c>
      <c r="V7021" s="308"/>
    </row>
    <row r="7022">
      <c r="A7022" s="308"/>
      <c r="B7022" s="308"/>
      <c r="C7022" s="308" t="s">
        <v>28486</v>
      </c>
      <c r="D7022" s="308">
        <f>IFERROR(__xludf.DUMMYFUNCTION("SPLIT(C7022,""-"")"),7042.0)</f>
        <v>7042</v>
      </c>
      <c r="E7022" s="308" t="str">
        <f>IFERROR(__xludf.DUMMYFUNCTION("""COMPUTED_VALUE"""),"B")</f>
        <v>B</v>
      </c>
      <c r="F7022" s="315" t="s">
        <v>26</v>
      </c>
      <c r="G7022" s="308"/>
      <c r="H7022" s="308" t="s">
        <v>28487</v>
      </c>
      <c r="I7022" s="310">
        <v>42762.0</v>
      </c>
      <c r="J7022" s="319">
        <f>IFERROR(__xludf.DUMMYFUNCTION("SPLIT(I7022,""/"")"),27.0)</f>
        <v>27</v>
      </c>
      <c r="K7022" s="308">
        <f>IFERROR(__xludf.DUMMYFUNCTION("""COMPUTED_VALUE"""),1.0)</f>
        <v>1</v>
      </c>
      <c r="L7022" s="308">
        <f>IFERROR(__xludf.DUMMYFUNCTION("""COMPUTED_VALUE"""),2017.0)</f>
        <v>2017</v>
      </c>
      <c r="M7022" s="308" t="s">
        <v>28488</v>
      </c>
      <c r="N7022" s="308"/>
      <c r="O7022" s="308"/>
      <c r="P7022" s="308" t="s">
        <v>28489</v>
      </c>
      <c r="Q7022" s="308" t="s">
        <v>39505</v>
      </c>
      <c r="R7022" s="308"/>
      <c r="S7022" s="308" t="s">
        <v>81</v>
      </c>
      <c r="T7022" s="308" t="s">
        <v>75</v>
      </c>
      <c r="U7022" s="308" t="s">
        <v>27</v>
      </c>
      <c r="V7022" s="308"/>
    </row>
    <row r="7023">
      <c r="A7023" s="308"/>
      <c r="B7023" s="308"/>
      <c r="C7023" s="308" t="s">
        <v>28490</v>
      </c>
      <c r="D7023" s="308">
        <f>IFERROR(__xludf.DUMMYFUNCTION("SPLIT(C7023,""-"")"),7043.0)</f>
        <v>7043</v>
      </c>
      <c r="E7023" s="308" t="str">
        <f>IFERROR(__xludf.DUMMYFUNCTION("""COMPUTED_VALUE"""),"B")</f>
        <v>B</v>
      </c>
      <c r="F7023" s="315" t="s">
        <v>26</v>
      </c>
      <c r="G7023" s="308"/>
      <c r="H7023" s="308" t="s">
        <v>28491</v>
      </c>
      <c r="I7023" s="310">
        <v>42762.0</v>
      </c>
      <c r="J7023" s="319">
        <f>IFERROR(__xludf.DUMMYFUNCTION("SPLIT(I7023,""/"")"),27.0)</f>
        <v>27</v>
      </c>
      <c r="K7023" s="308">
        <f>IFERROR(__xludf.DUMMYFUNCTION("""COMPUTED_VALUE"""),1.0)</f>
        <v>1</v>
      </c>
      <c r="L7023" s="308">
        <f>IFERROR(__xludf.DUMMYFUNCTION("""COMPUTED_VALUE"""),2017.0)</f>
        <v>2017</v>
      </c>
      <c r="M7023" s="308" t="s">
        <v>28492</v>
      </c>
      <c r="N7023" s="308"/>
      <c r="O7023" s="308"/>
      <c r="P7023" s="308" t="s">
        <v>28493</v>
      </c>
      <c r="Q7023" s="308" t="s">
        <v>39505</v>
      </c>
      <c r="R7023" s="308"/>
      <c r="S7023" s="308" t="s">
        <v>81</v>
      </c>
      <c r="T7023" s="308" t="s">
        <v>75</v>
      </c>
      <c r="U7023" s="308" t="s">
        <v>27</v>
      </c>
      <c r="V7023" s="308"/>
    </row>
    <row r="7024">
      <c r="A7024" s="308"/>
      <c r="B7024" s="308"/>
      <c r="C7024" s="308" t="s">
        <v>28494</v>
      </c>
      <c r="D7024" s="308">
        <f>IFERROR(__xludf.DUMMYFUNCTION("SPLIT(C7024,""-"")"),7044.0)</f>
        <v>7044</v>
      </c>
      <c r="E7024" s="308" t="str">
        <f>IFERROR(__xludf.DUMMYFUNCTION("""COMPUTED_VALUE"""),"B")</f>
        <v>B</v>
      </c>
      <c r="F7024" s="315" t="s">
        <v>26</v>
      </c>
      <c r="G7024" s="308"/>
      <c r="H7024" s="308" t="s">
        <v>28495</v>
      </c>
      <c r="I7024" s="310">
        <v>42762.0</v>
      </c>
      <c r="J7024" s="319">
        <f>IFERROR(__xludf.DUMMYFUNCTION("SPLIT(I7024,""/"")"),27.0)</f>
        <v>27</v>
      </c>
      <c r="K7024" s="308">
        <f>IFERROR(__xludf.DUMMYFUNCTION("""COMPUTED_VALUE"""),1.0)</f>
        <v>1</v>
      </c>
      <c r="L7024" s="308">
        <f>IFERROR(__xludf.DUMMYFUNCTION("""COMPUTED_VALUE"""),2017.0)</f>
        <v>2017</v>
      </c>
      <c r="M7024" s="308" t="s">
        <v>28492</v>
      </c>
      <c r="N7024" s="308"/>
      <c r="O7024" s="308"/>
      <c r="P7024" s="308" t="s">
        <v>28496</v>
      </c>
      <c r="Q7024" s="308" t="s">
        <v>39505</v>
      </c>
      <c r="R7024" s="308"/>
      <c r="S7024" s="308" t="s">
        <v>81</v>
      </c>
      <c r="T7024" s="308" t="s">
        <v>75</v>
      </c>
      <c r="U7024" s="308" t="s">
        <v>27</v>
      </c>
      <c r="V7024" s="308"/>
    </row>
    <row r="7025">
      <c r="A7025" s="308"/>
      <c r="B7025" s="308"/>
      <c r="C7025" s="308" t="s">
        <v>28497</v>
      </c>
      <c r="D7025" s="308">
        <f>IFERROR(__xludf.DUMMYFUNCTION("SPLIT(C7025,""-"")"),7045.0)</f>
        <v>7045</v>
      </c>
      <c r="E7025" s="308" t="str">
        <f>IFERROR(__xludf.DUMMYFUNCTION("""COMPUTED_VALUE"""),"B")</f>
        <v>B</v>
      </c>
      <c r="F7025" s="315" t="s">
        <v>26</v>
      </c>
      <c r="G7025" s="308"/>
      <c r="H7025" s="308" t="s">
        <v>28498</v>
      </c>
      <c r="I7025" s="310">
        <v>42757.0</v>
      </c>
      <c r="J7025" s="319">
        <f>IFERROR(__xludf.DUMMYFUNCTION("SPLIT(I7025,""/"")"),22.0)</f>
        <v>22</v>
      </c>
      <c r="K7025" s="308">
        <f>IFERROR(__xludf.DUMMYFUNCTION("""COMPUTED_VALUE"""),1.0)</f>
        <v>1</v>
      </c>
      <c r="L7025" s="308">
        <f>IFERROR(__xludf.DUMMYFUNCTION("""COMPUTED_VALUE"""),2017.0)</f>
        <v>2017</v>
      </c>
      <c r="M7025" s="308" t="s">
        <v>28488</v>
      </c>
      <c r="N7025" s="308"/>
      <c r="O7025" s="308"/>
      <c r="P7025" s="308" t="s">
        <v>28499</v>
      </c>
      <c r="Q7025" s="308" t="s">
        <v>39505</v>
      </c>
      <c r="R7025" s="308"/>
      <c r="S7025" s="308" t="s">
        <v>81</v>
      </c>
      <c r="T7025" s="308" t="s">
        <v>75</v>
      </c>
      <c r="U7025" s="308" t="s">
        <v>27</v>
      </c>
      <c r="V7025" s="308"/>
    </row>
    <row r="7026">
      <c r="A7026" s="308"/>
      <c r="B7026" s="308"/>
      <c r="C7026" s="308" t="s">
        <v>28500</v>
      </c>
      <c r="D7026" s="308">
        <f>IFERROR(__xludf.DUMMYFUNCTION("SPLIT(C7026,""-"")"),7046.0)</f>
        <v>7046</v>
      </c>
      <c r="E7026" s="308" t="str">
        <f>IFERROR(__xludf.DUMMYFUNCTION("""COMPUTED_VALUE"""),"B")</f>
        <v>B</v>
      </c>
      <c r="F7026" s="315" t="s">
        <v>26</v>
      </c>
      <c r="G7026" s="308"/>
      <c r="H7026" s="308" t="s">
        <v>28501</v>
      </c>
      <c r="I7026" s="310">
        <v>6664602.0</v>
      </c>
      <c r="J7026" s="323">
        <v>21.0</v>
      </c>
      <c r="K7026" s="311">
        <v>1.0</v>
      </c>
      <c r="L7026" s="311">
        <v>2014.0</v>
      </c>
      <c r="M7026" s="308" t="s">
        <v>28502</v>
      </c>
      <c r="N7026" s="308"/>
      <c r="O7026" s="308"/>
      <c r="P7026" s="308" t="s">
        <v>28503</v>
      </c>
      <c r="Q7026" s="308" t="s">
        <v>39505</v>
      </c>
      <c r="R7026" s="308"/>
      <c r="S7026" s="308" t="s">
        <v>81</v>
      </c>
      <c r="T7026" s="308" t="s">
        <v>75</v>
      </c>
      <c r="U7026" s="308" t="s">
        <v>27</v>
      </c>
      <c r="V7026" s="308"/>
    </row>
    <row r="7027">
      <c r="A7027" s="308"/>
      <c r="B7027" s="308"/>
      <c r="C7027" s="308" t="s">
        <v>28504</v>
      </c>
      <c r="D7027" s="308">
        <f>IFERROR(__xludf.DUMMYFUNCTION("SPLIT(C7027,""-"")"),7047.0)</f>
        <v>7047</v>
      </c>
      <c r="E7027" s="308" t="str">
        <f>IFERROR(__xludf.DUMMYFUNCTION("""COMPUTED_VALUE"""),"B")</f>
        <v>B</v>
      </c>
      <c r="F7027" s="315" t="s">
        <v>26</v>
      </c>
      <c r="G7027" s="308"/>
      <c r="H7027" s="308" t="s">
        <v>28505</v>
      </c>
      <c r="I7027" s="310">
        <v>42756.0</v>
      </c>
      <c r="J7027" s="319">
        <f>IFERROR(__xludf.DUMMYFUNCTION("SPLIT(I7027,""/"")"),21.0)</f>
        <v>21</v>
      </c>
      <c r="K7027" s="308">
        <f>IFERROR(__xludf.DUMMYFUNCTION("""COMPUTED_VALUE"""),1.0)</f>
        <v>1</v>
      </c>
      <c r="L7027" s="308">
        <f>IFERROR(__xludf.DUMMYFUNCTION("""COMPUTED_VALUE"""),2017.0)</f>
        <v>2017</v>
      </c>
      <c r="M7027" s="308" t="s">
        <v>28361</v>
      </c>
      <c r="N7027" s="308"/>
      <c r="O7027" s="308"/>
      <c r="P7027" s="308" t="s">
        <v>28506</v>
      </c>
      <c r="Q7027" s="308" t="s">
        <v>39505</v>
      </c>
      <c r="R7027" s="308"/>
      <c r="S7027" s="308" t="s">
        <v>81</v>
      </c>
      <c r="T7027" s="308" t="s">
        <v>75</v>
      </c>
      <c r="U7027" s="308" t="s">
        <v>27</v>
      </c>
      <c r="V7027" s="308"/>
    </row>
    <row r="7028">
      <c r="A7028" s="308"/>
      <c r="B7028" s="308"/>
      <c r="C7028" s="308" t="s">
        <v>28507</v>
      </c>
      <c r="D7028" s="308">
        <f>IFERROR(__xludf.DUMMYFUNCTION("SPLIT(C7028,""-"")"),7048.0)</f>
        <v>7048</v>
      </c>
      <c r="E7028" s="308" t="str">
        <f>IFERROR(__xludf.DUMMYFUNCTION("""COMPUTED_VALUE"""),"B")</f>
        <v>B</v>
      </c>
      <c r="F7028" s="315" t="s">
        <v>26</v>
      </c>
      <c r="G7028" s="308"/>
      <c r="H7028" s="308" t="s">
        <v>28508</v>
      </c>
      <c r="I7028" s="310">
        <v>42756.0</v>
      </c>
      <c r="J7028" s="319">
        <f>IFERROR(__xludf.DUMMYFUNCTION("SPLIT(I7028,""/"")"),21.0)</f>
        <v>21</v>
      </c>
      <c r="K7028" s="308">
        <f>IFERROR(__xludf.DUMMYFUNCTION("""COMPUTED_VALUE"""),1.0)</f>
        <v>1</v>
      </c>
      <c r="L7028" s="308">
        <f>IFERROR(__xludf.DUMMYFUNCTION("""COMPUTED_VALUE"""),2017.0)</f>
        <v>2017</v>
      </c>
      <c r="M7028" s="308" t="s">
        <v>28458</v>
      </c>
      <c r="N7028" s="308"/>
      <c r="O7028" s="308"/>
      <c r="P7028" s="308" t="s">
        <v>28509</v>
      </c>
      <c r="Q7028" s="308" t="s">
        <v>39505</v>
      </c>
      <c r="R7028" s="308"/>
      <c r="S7028" s="308" t="s">
        <v>81</v>
      </c>
      <c r="T7028" s="308" t="s">
        <v>75</v>
      </c>
      <c r="U7028" s="308" t="s">
        <v>27</v>
      </c>
      <c r="V7028" s="308"/>
    </row>
    <row r="7029">
      <c r="A7029" s="308"/>
      <c r="B7029" s="308"/>
      <c r="C7029" s="308" t="s">
        <v>28510</v>
      </c>
      <c r="D7029" s="308">
        <f>IFERROR(__xludf.DUMMYFUNCTION("SPLIT(C7029,""-"")"),7049.0)</f>
        <v>7049</v>
      </c>
      <c r="E7029" s="308" t="str">
        <f>IFERROR(__xludf.DUMMYFUNCTION("""COMPUTED_VALUE"""),"B")</f>
        <v>B</v>
      </c>
      <c r="F7029" s="315" t="s">
        <v>26</v>
      </c>
      <c r="G7029" s="308"/>
      <c r="H7029" s="308" t="s">
        <v>28511</v>
      </c>
      <c r="I7029" s="310">
        <v>42756.0</v>
      </c>
      <c r="J7029" s="319">
        <f>IFERROR(__xludf.DUMMYFUNCTION("SPLIT(I7029,""/"")"),21.0)</f>
        <v>21</v>
      </c>
      <c r="K7029" s="308">
        <f>IFERROR(__xludf.DUMMYFUNCTION("""COMPUTED_VALUE"""),1.0)</f>
        <v>1</v>
      </c>
      <c r="L7029" s="308">
        <f>IFERROR(__xludf.DUMMYFUNCTION("""COMPUTED_VALUE"""),2017.0)</f>
        <v>2017</v>
      </c>
      <c r="M7029" s="308" t="s">
        <v>28512</v>
      </c>
      <c r="N7029" s="308"/>
      <c r="O7029" s="308"/>
      <c r="P7029" s="308" t="s">
        <v>28513</v>
      </c>
      <c r="Q7029" s="308" t="s">
        <v>39505</v>
      </c>
      <c r="R7029" s="308"/>
      <c r="S7029" s="308" t="s">
        <v>81</v>
      </c>
      <c r="T7029" s="308" t="s">
        <v>75</v>
      </c>
      <c r="U7029" s="308" t="s">
        <v>27</v>
      </c>
      <c r="V7029" s="308"/>
    </row>
    <row r="7030">
      <c r="A7030" s="308"/>
      <c r="B7030" s="308"/>
      <c r="C7030" s="308" t="s">
        <v>28514</v>
      </c>
      <c r="D7030" s="308">
        <f>IFERROR(__xludf.DUMMYFUNCTION("SPLIT(C7030,""-"")"),7050.0)</f>
        <v>7050</v>
      </c>
      <c r="E7030" s="308" t="str">
        <f>IFERROR(__xludf.DUMMYFUNCTION("""COMPUTED_VALUE"""),"B")</f>
        <v>B</v>
      </c>
      <c r="F7030" s="315" t="s">
        <v>26</v>
      </c>
      <c r="G7030" s="308"/>
      <c r="H7030" s="308" t="s">
        <v>28515</v>
      </c>
      <c r="I7030" s="310">
        <v>42756.0</v>
      </c>
      <c r="J7030" s="319">
        <f>IFERROR(__xludf.DUMMYFUNCTION("SPLIT(I7030,""/"")"),21.0)</f>
        <v>21</v>
      </c>
      <c r="K7030" s="308">
        <f>IFERROR(__xludf.DUMMYFUNCTION("""COMPUTED_VALUE"""),1.0)</f>
        <v>1</v>
      </c>
      <c r="L7030" s="308">
        <f>IFERROR(__xludf.DUMMYFUNCTION("""COMPUTED_VALUE"""),2017.0)</f>
        <v>2017</v>
      </c>
      <c r="M7030" s="308" t="s">
        <v>28274</v>
      </c>
      <c r="N7030" s="308"/>
      <c r="O7030" s="308"/>
      <c r="P7030" s="308" t="s">
        <v>28516</v>
      </c>
      <c r="Q7030" s="308" t="s">
        <v>39505</v>
      </c>
      <c r="R7030" s="308"/>
      <c r="S7030" s="308" t="s">
        <v>81</v>
      </c>
      <c r="T7030" s="308" t="s">
        <v>75</v>
      </c>
      <c r="U7030" s="308" t="s">
        <v>27</v>
      </c>
      <c r="V7030" s="308"/>
    </row>
    <row r="7031">
      <c r="A7031" s="308"/>
      <c r="B7031" s="308"/>
      <c r="C7031" s="308" t="s">
        <v>28517</v>
      </c>
      <c r="D7031" s="308">
        <f>IFERROR(__xludf.DUMMYFUNCTION("SPLIT(C7031,""-"")"),7051.0)</f>
        <v>7051</v>
      </c>
      <c r="E7031" s="308" t="str">
        <f>IFERROR(__xludf.DUMMYFUNCTION("""COMPUTED_VALUE"""),"B")</f>
        <v>B</v>
      </c>
      <c r="F7031" s="315" t="s">
        <v>26</v>
      </c>
      <c r="G7031" s="308"/>
      <c r="H7031" s="308" t="s">
        <v>28518</v>
      </c>
      <c r="I7031" s="310">
        <v>42767.0</v>
      </c>
      <c r="J7031" s="319">
        <f>IFERROR(__xludf.DUMMYFUNCTION("SPLIT(I7031,""/"")"),1.0)</f>
        <v>1</v>
      </c>
      <c r="K7031" s="308">
        <f>IFERROR(__xludf.DUMMYFUNCTION("""COMPUTED_VALUE"""),2.0)</f>
        <v>2</v>
      </c>
      <c r="L7031" s="308">
        <f>IFERROR(__xludf.DUMMYFUNCTION("""COMPUTED_VALUE"""),2017.0)</f>
        <v>2017</v>
      </c>
      <c r="M7031" s="308" t="s">
        <v>28519</v>
      </c>
      <c r="N7031" s="308"/>
      <c r="O7031" s="308"/>
      <c r="P7031" s="308" t="s">
        <v>28520</v>
      </c>
      <c r="Q7031" s="308" t="s">
        <v>39505</v>
      </c>
      <c r="R7031" s="308"/>
      <c r="S7031" s="308" t="s">
        <v>81</v>
      </c>
      <c r="T7031" s="308" t="s">
        <v>75</v>
      </c>
      <c r="U7031" s="308" t="s">
        <v>27</v>
      </c>
      <c r="V7031" s="308"/>
    </row>
    <row r="7032">
      <c r="A7032" s="308"/>
      <c r="B7032" s="308"/>
      <c r="C7032" s="308" t="s">
        <v>28521</v>
      </c>
      <c r="D7032" s="308">
        <f>IFERROR(__xludf.DUMMYFUNCTION("SPLIT(C7032,""-"")"),7052.0)</f>
        <v>7052</v>
      </c>
      <c r="E7032" s="308" t="str">
        <f>IFERROR(__xludf.DUMMYFUNCTION("""COMPUTED_VALUE"""),"B")</f>
        <v>B</v>
      </c>
      <c r="F7032" s="315" t="s">
        <v>26</v>
      </c>
      <c r="G7032" s="308"/>
      <c r="H7032" s="308" t="s">
        <v>39532</v>
      </c>
      <c r="I7032" s="310">
        <v>42767.0</v>
      </c>
      <c r="J7032" s="319">
        <f>IFERROR(__xludf.DUMMYFUNCTION("SPLIT(I7032,""/"")"),1.0)</f>
        <v>1</v>
      </c>
      <c r="K7032" s="308">
        <f>IFERROR(__xludf.DUMMYFUNCTION("""COMPUTED_VALUE"""),2.0)</f>
        <v>2</v>
      </c>
      <c r="L7032" s="308">
        <f>IFERROR(__xludf.DUMMYFUNCTION("""COMPUTED_VALUE"""),2017.0)</f>
        <v>2017</v>
      </c>
      <c r="M7032" s="308" t="s">
        <v>28523</v>
      </c>
      <c r="N7032" s="308"/>
      <c r="O7032" s="308"/>
      <c r="P7032" s="308" t="s">
        <v>28524</v>
      </c>
      <c r="Q7032" s="308" t="s">
        <v>39505</v>
      </c>
      <c r="R7032" s="308"/>
      <c r="S7032" s="308" t="s">
        <v>81</v>
      </c>
      <c r="T7032" s="308" t="s">
        <v>75</v>
      </c>
      <c r="U7032" s="308" t="s">
        <v>27</v>
      </c>
      <c r="V7032" s="308"/>
    </row>
    <row r="7033">
      <c r="A7033" s="308"/>
      <c r="B7033" s="308"/>
      <c r="C7033" s="308" t="s">
        <v>28525</v>
      </c>
      <c r="D7033" s="308">
        <f>IFERROR(__xludf.DUMMYFUNCTION("SPLIT(C7033,""-"")"),7053.0)</f>
        <v>7053</v>
      </c>
      <c r="E7033" s="308" t="str">
        <f>IFERROR(__xludf.DUMMYFUNCTION("""COMPUTED_VALUE"""),"B")</f>
        <v>B</v>
      </c>
      <c r="F7033" s="315" t="s">
        <v>26</v>
      </c>
      <c r="G7033" s="308"/>
      <c r="H7033" s="308" t="s">
        <v>28526</v>
      </c>
      <c r="I7033" s="310">
        <v>42767.0</v>
      </c>
      <c r="J7033" s="319">
        <f>IFERROR(__xludf.DUMMYFUNCTION("SPLIT(I7033,""/"")"),1.0)</f>
        <v>1</v>
      </c>
      <c r="K7033" s="308">
        <f>IFERROR(__xludf.DUMMYFUNCTION("""COMPUTED_VALUE"""),2.0)</f>
        <v>2</v>
      </c>
      <c r="L7033" s="308">
        <f>IFERROR(__xludf.DUMMYFUNCTION("""COMPUTED_VALUE"""),2017.0)</f>
        <v>2017</v>
      </c>
      <c r="M7033" s="308" t="s">
        <v>28527</v>
      </c>
      <c r="N7033" s="308"/>
      <c r="O7033" s="308"/>
      <c r="P7033" s="308" t="s">
        <v>28528</v>
      </c>
      <c r="Q7033" s="308" t="s">
        <v>39505</v>
      </c>
      <c r="R7033" s="308"/>
      <c r="S7033" s="308" t="s">
        <v>81</v>
      </c>
      <c r="T7033" s="308" t="s">
        <v>75</v>
      </c>
      <c r="U7033" s="308" t="s">
        <v>27</v>
      </c>
      <c r="V7033" s="308"/>
    </row>
    <row r="7034">
      <c r="A7034" s="308"/>
      <c r="B7034" s="308"/>
      <c r="C7034" s="308" t="s">
        <v>28529</v>
      </c>
      <c r="D7034" s="308">
        <f>IFERROR(__xludf.DUMMYFUNCTION("SPLIT(C7034,""-"")"),7054.0)</f>
        <v>7054</v>
      </c>
      <c r="E7034" s="308" t="str">
        <f>IFERROR(__xludf.DUMMYFUNCTION("""COMPUTED_VALUE"""),"B")</f>
        <v>B</v>
      </c>
      <c r="F7034" s="315" t="s">
        <v>26</v>
      </c>
      <c r="G7034" s="308"/>
      <c r="H7034" s="308" t="s">
        <v>28530</v>
      </c>
      <c r="I7034" s="310">
        <v>42767.0</v>
      </c>
      <c r="J7034" s="319">
        <f>IFERROR(__xludf.DUMMYFUNCTION("SPLIT(I7034,""/"")"),1.0)</f>
        <v>1</v>
      </c>
      <c r="K7034" s="308">
        <f>IFERROR(__xludf.DUMMYFUNCTION("""COMPUTED_VALUE"""),2.0)</f>
        <v>2</v>
      </c>
      <c r="L7034" s="308">
        <f>IFERROR(__xludf.DUMMYFUNCTION("""COMPUTED_VALUE"""),2017.0)</f>
        <v>2017</v>
      </c>
      <c r="M7034" s="308" t="s">
        <v>28519</v>
      </c>
      <c r="N7034" s="308"/>
      <c r="O7034" s="308"/>
      <c r="P7034" s="308" t="s">
        <v>28531</v>
      </c>
      <c r="Q7034" s="308" t="s">
        <v>39505</v>
      </c>
      <c r="R7034" s="308"/>
      <c r="S7034" s="308" t="s">
        <v>81</v>
      </c>
      <c r="T7034" s="308" t="s">
        <v>75</v>
      </c>
      <c r="U7034" s="308" t="s">
        <v>27</v>
      </c>
      <c r="V7034" s="308"/>
    </row>
    <row r="7035">
      <c r="A7035" s="308"/>
      <c r="B7035" s="308"/>
      <c r="C7035" s="308" t="s">
        <v>28532</v>
      </c>
      <c r="D7035" s="308">
        <f>IFERROR(__xludf.DUMMYFUNCTION("SPLIT(C7035,""-"")"),7055.0)</f>
        <v>7055</v>
      </c>
      <c r="E7035" s="308" t="str">
        <f>IFERROR(__xludf.DUMMYFUNCTION("""COMPUTED_VALUE"""),"B")</f>
        <v>B</v>
      </c>
      <c r="F7035" s="315" t="s">
        <v>26</v>
      </c>
      <c r="G7035" s="308"/>
      <c r="H7035" s="308" t="s">
        <v>28533</v>
      </c>
      <c r="I7035" s="310">
        <v>42767.0</v>
      </c>
      <c r="J7035" s="319">
        <f>IFERROR(__xludf.DUMMYFUNCTION("SPLIT(I7035,""/"")"),1.0)</f>
        <v>1</v>
      </c>
      <c r="K7035" s="308">
        <f>IFERROR(__xludf.DUMMYFUNCTION("""COMPUTED_VALUE"""),2.0)</f>
        <v>2</v>
      </c>
      <c r="L7035" s="308">
        <f>IFERROR(__xludf.DUMMYFUNCTION("""COMPUTED_VALUE"""),2017.0)</f>
        <v>2017</v>
      </c>
      <c r="M7035" s="308" t="s">
        <v>28527</v>
      </c>
      <c r="N7035" s="308"/>
      <c r="O7035" s="308"/>
      <c r="P7035" s="308" t="s">
        <v>28534</v>
      </c>
      <c r="Q7035" s="308" t="s">
        <v>39505</v>
      </c>
      <c r="R7035" s="308"/>
      <c r="S7035" s="308" t="s">
        <v>81</v>
      </c>
      <c r="T7035" s="308" t="s">
        <v>75</v>
      </c>
      <c r="U7035" s="308" t="s">
        <v>27</v>
      </c>
      <c r="V7035" s="308"/>
    </row>
    <row r="7036">
      <c r="A7036" s="308"/>
      <c r="B7036" s="308"/>
      <c r="C7036" s="308" t="s">
        <v>28535</v>
      </c>
      <c r="D7036" s="308">
        <f>IFERROR(__xludf.DUMMYFUNCTION("SPLIT(C7036,""-"")"),7056.0)</f>
        <v>7056</v>
      </c>
      <c r="E7036" s="308" t="str">
        <f>IFERROR(__xludf.DUMMYFUNCTION("""COMPUTED_VALUE"""),"B")</f>
        <v>B</v>
      </c>
      <c r="F7036" s="315" t="s">
        <v>26</v>
      </c>
      <c r="G7036" s="308"/>
      <c r="H7036" s="308" t="s">
        <v>28536</v>
      </c>
      <c r="I7036" s="310">
        <v>42767.0</v>
      </c>
      <c r="J7036" s="319">
        <f>IFERROR(__xludf.DUMMYFUNCTION("SPLIT(I7036,""/"")"),1.0)</f>
        <v>1</v>
      </c>
      <c r="K7036" s="308">
        <f>IFERROR(__xludf.DUMMYFUNCTION("""COMPUTED_VALUE"""),2.0)</f>
        <v>2</v>
      </c>
      <c r="L7036" s="308">
        <f>IFERROR(__xludf.DUMMYFUNCTION("""COMPUTED_VALUE"""),2017.0)</f>
        <v>2017</v>
      </c>
      <c r="M7036" s="308" t="s">
        <v>28523</v>
      </c>
      <c r="N7036" s="308"/>
      <c r="O7036" s="308"/>
      <c r="P7036" s="308" t="s">
        <v>39531</v>
      </c>
      <c r="Q7036" s="308" t="s">
        <v>39505</v>
      </c>
      <c r="R7036" s="308"/>
      <c r="S7036" s="308" t="s">
        <v>49</v>
      </c>
      <c r="T7036" s="311" t="s">
        <v>67</v>
      </c>
      <c r="U7036" s="308" t="s">
        <v>27</v>
      </c>
      <c r="V7036" s="308" t="s">
        <v>49</v>
      </c>
    </row>
    <row r="7037">
      <c r="A7037" s="308"/>
      <c r="B7037" s="308"/>
      <c r="C7037" s="308" t="s">
        <v>28537</v>
      </c>
      <c r="D7037" s="308">
        <f>IFERROR(__xludf.DUMMYFUNCTION("SPLIT(C7037,""-"")"),7057.0)</f>
        <v>7057</v>
      </c>
      <c r="E7037" s="308" t="str">
        <f>IFERROR(__xludf.DUMMYFUNCTION("""COMPUTED_VALUE"""),"B")</f>
        <v>B</v>
      </c>
      <c r="F7037" s="315" t="s">
        <v>26</v>
      </c>
      <c r="G7037" s="308"/>
      <c r="H7037" s="308" t="s">
        <v>28538</v>
      </c>
      <c r="I7037" s="310">
        <v>42767.0</v>
      </c>
      <c r="J7037" s="319">
        <f>IFERROR(__xludf.DUMMYFUNCTION("SPLIT(I7037,""/"")"),1.0)</f>
        <v>1</v>
      </c>
      <c r="K7037" s="308">
        <f>IFERROR(__xludf.DUMMYFUNCTION("""COMPUTED_VALUE"""),2.0)</f>
        <v>2</v>
      </c>
      <c r="L7037" s="308">
        <f>IFERROR(__xludf.DUMMYFUNCTION("""COMPUTED_VALUE"""),2017.0)</f>
        <v>2017</v>
      </c>
      <c r="M7037" s="308" t="s">
        <v>28527</v>
      </c>
      <c r="N7037" s="308"/>
      <c r="O7037" s="308"/>
      <c r="P7037" s="308" t="s">
        <v>28539</v>
      </c>
      <c r="Q7037" s="308" t="s">
        <v>39505</v>
      </c>
      <c r="R7037" s="308"/>
      <c r="S7037" s="308" t="s">
        <v>81</v>
      </c>
      <c r="T7037" s="308" t="s">
        <v>75</v>
      </c>
      <c r="U7037" s="308" t="s">
        <v>27</v>
      </c>
      <c r="V7037" s="308"/>
    </row>
    <row r="7038">
      <c r="A7038" s="308"/>
      <c r="B7038" s="308"/>
      <c r="C7038" s="308" t="s">
        <v>28540</v>
      </c>
      <c r="D7038" s="308">
        <f>IFERROR(__xludf.DUMMYFUNCTION("SPLIT(C7038,""-"")"),7058.0)</f>
        <v>7058</v>
      </c>
      <c r="E7038" s="308" t="str">
        <f>IFERROR(__xludf.DUMMYFUNCTION("""COMPUTED_VALUE"""),"B")</f>
        <v>B</v>
      </c>
      <c r="F7038" s="315" t="s">
        <v>26</v>
      </c>
      <c r="G7038" s="308"/>
      <c r="H7038" s="308" t="s">
        <v>28541</v>
      </c>
      <c r="I7038" s="310">
        <v>42766.0</v>
      </c>
      <c r="J7038" s="319">
        <f>IFERROR(__xludf.DUMMYFUNCTION("SPLIT(I7038,""/"")"),31.0)</f>
        <v>31</v>
      </c>
      <c r="K7038" s="308">
        <f>IFERROR(__xludf.DUMMYFUNCTION("""COMPUTED_VALUE"""),1.0)</f>
        <v>1</v>
      </c>
      <c r="L7038" s="308">
        <f>IFERROR(__xludf.DUMMYFUNCTION("""COMPUTED_VALUE"""),2017.0)</f>
        <v>2017</v>
      </c>
      <c r="M7038" s="308" t="s">
        <v>28386</v>
      </c>
      <c r="N7038" s="308"/>
      <c r="O7038" s="308"/>
      <c r="P7038" s="308" t="s">
        <v>28542</v>
      </c>
      <c r="Q7038" s="308" t="s">
        <v>39505</v>
      </c>
      <c r="R7038" s="308"/>
      <c r="S7038" s="308" t="s">
        <v>81</v>
      </c>
      <c r="T7038" s="308" t="s">
        <v>75</v>
      </c>
      <c r="U7038" s="308" t="s">
        <v>27</v>
      </c>
      <c r="V7038" s="308"/>
    </row>
    <row r="7039">
      <c r="A7039" s="308"/>
      <c r="B7039" s="308"/>
      <c r="C7039" s="308" t="s">
        <v>28543</v>
      </c>
      <c r="D7039" s="308">
        <f>IFERROR(__xludf.DUMMYFUNCTION("SPLIT(C7039,""-"")"),7059.0)</f>
        <v>7059</v>
      </c>
      <c r="E7039" s="308" t="str">
        <f>IFERROR(__xludf.DUMMYFUNCTION("""COMPUTED_VALUE"""),"B")</f>
        <v>B</v>
      </c>
      <c r="F7039" s="315" t="s">
        <v>26</v>
      </c>
      <c r="G7039" s="308"/>
      <c r="H7039" s="308" t="s">
        <v>39533</v>
      </c>
      <c r="I7039" s="310">
        <v>42769.0</v>
      </c>
      <c r="J7039" s="319">
        <f>IFERROR(__xludf.DUMMYFUNCTION("SPLIT(I7039,""/"")"),3.0)</f>
        <v>3</v>
      </c>
      <c r="K7039" s="308">
        <f>IFERROR(__xludf.DUMMYFUNCTION("""COMPUTED_VALUE"""),2.0)</f>
        <v>2</v>
      </c>
      <c r="L7039" s="308">
        <f>IFERROR(__xludf.DUMMYFUNCTION("""COMPUTED_VALUE"""),2017.0)</f>
        <v>2017</v>
      </c>
      <c r="M7039" s="308" t="s">
        <v>28545</v>
      </c>
      <c r="N7039" s="308"/>
      <c r="O7039" s="308"/>
      <c r="P7039" s="308" t="s">
        <v>28546</v>
      </c>
      <c r="Q7039" s="308" t="s">
        <v>39505</v>
      </c>
      <c r="R7039" s="308"/>
      <c r="S7039" s="308" t="s">
        <v>81</v>
      </c>
      <c r="T7039" s="308" t="s">
        <v>75</v>
      </c>
      <c r="U7039" s="308" t="s">
        <v>27</v>
      </c>
      <c r="V7039" s="308"/>
    </row>
    <row r="7040">
      <c r="A7040" s="308"/>
      <c r="B7040" s="308"/>
      <c r="C7040" s="308" t="s">
        <v>28547</v>
      </c>
      <c r="D7040" s="308">
        <f>IFERROR(__xludf.DUMMYFUNCTION("SPLIT(C7040,""-"")"),7060.0)</f>
        <v>7060</v>
      </c>
      <c r="E7040" s="308" t="str">
        <f>IFERROR(__xludf.DUMMYFUNCTION("""COMPUTED_VALUE"""),"B")</f>
        <v>B</v>
      </c>
      <c r="F7040" s="315" t="s">
        <v>26</v>
      </c>
      <c r="G7040" s="308"/>
      <c r="H7040" s="308" t="s">
        <v>28548</v>
      </c>
      <c r="I7040" s="310">
        <v>42769.0</v>
      </c>
      <c r="J7040" s="319">
        <f>IFERROR(__xludf.DUMMYFUNCTION("SPLIT(I7040,""/"")"),3.0)</f>
        <v>3</v>
      </c>
      <c r="K7040" s="308">
        <f>IFERROR(__xludf.DUMMYFUNCTION("""COMPUTED_VALUE"""),2.0)</f>
        <v>2</v>
      </c>
      <c r="L7040" s="308">
        <f>IFERROR(__xludf.DUMMYFUNCTION("""COMPUTED_VALUE"""),2017.0)</f>
        <v>2017</v>
      </c>
      <c r="M7040" s="308" t="s">
        <v>28549</v>
      </c>
      <c r="N7040" s="308"/>
      <c r="O7040" s="308"/>
      <c r="P7040" s="308" t="s">
        <v>28550</v>
      </c>
      <c r="Q7040" s="308" t="s">
        <v>39505</v>
      </c>
      <c r="R7040" s="308"/>
      <c r="S7040" s="308" t="s">
        <v>81</v>
      </c>
      <c r="T7040" s="308" t="s">
        <v>75</v>
      </c>
      <c r="U7040" s="308" t="s">
        <v>27</v>
      </c>
      <c r="V7040" s="308"/>
    </row>
    <row r="7041">
      <c r="A7041" s="308"/>
      <c r="B7041" s="308"/>
      <c r="C7041" s="308" t="s">
        <v>28551</v>
      </c>
      <c r="D7041" s="308">
        <f>IFERROR(__xludf.DUMMYFUNCTION("SPLIT(C7041,""-"")"),7061.0)</f>
        <v>7061</v>
      </c>
      <c r="E7041" s="308" t="str">
        <f>IFERROR(__xludf.DUMMYFUNCTION("""COMPUTED_VALUE"""),"B")</f>
        <v>B</v>
      </c>
      <c r="F7041" s="315" t="s">
        <v>26</v>
      </c>
      <c r="G7041" s="308"/>
      <c r="H7041" s="308" t="s">
        <v>28552</v>
      </c>
      <c r="I7041" s="310">
        <v>42769.0</v>
      </c>
      <c r="J7041" s="319">
        <f>IFERROR(__xludf.DUMMYFUNCTION("SPLIT(I7041,""/"")"),3.0)</f>
        <v>3</v>
      </c>
      <c r="K7041" s="308">
        <f>IFERROR(__xludf.DUMMYFUNCTION("""COMPUTED_VALUE"""),2.0)</f>
        <v>2</v>
      </c>
      <c r="L7041" s="308">
        <f>IFERROR(__xludf.DUMMYFUNCTION("""COMPUTED_VALUE"""),2017.0)</f>
        <v>2017</v>
      </c>
      <c r="M7041" s="308" t="s">
        <v>28553</v>
      </c>
      <c r="N7041" s="308"/>
      <c r="O7041" s="308"/>
      <c r="P7041" s="308" t="s">
        <v>28554</v>
      </c>
      <c r="Q7041" s="308" t="s">
        <v>39505</v>
      </c>
      <c r="R7041" s="308"/>
      <c r="S7041" s="308" t="s">
        <v>81</v>
      </c>
      <c r="T7041" s="308" t="s">
        <v>75</v>
      </c>
      <c r="U7041" s="308" t="s">
        <v>27</v>
      </c>
      <c r="V7041" s="308"/>
    </row>
    <row r="7042">
      <c r="A7042" s="308"/>
      <c r="B7042" s="308"/>
      <c r="C7042" s="308" t="s">
        <v>28555</v>
      </c>
      <c r="D7042" s="308">
        <f>IFERROR(__xludf.DUMMYFUNCTION("SPLIT(C7042,""-"")"),7062.0)</f>
        <v>7062</v>
      </c>
      <c r="E7042" s="308" t="str">
        <f>IFERROR(__xludf.DUMMYFUNCTION("""COMPUTED_VALUE"""),"B")</f>
        <v>B</v>
      </c>
      <c r="F7042" s="315" t="s">
        <v>26</v>
      </c>
      <c r="G7042" s="308"/>
      <c r="H7042" s="308" t="s">
        <v>28556</v>
      </c>
      <c r="I7042" s="310">
        <v>42768.0</v>
      </c>
      <c r="J7042" s="319">
        <f>IFERROR(__xludf.DUMMYFUNCTION("SPLIT(I7042,""/"")"),2.0)</f>
        <v>2</v>
      </c>
      <c r="K7042" s="308">
        <f>IFERROR(__xludf.DUMMYFUNCTION("""COMPUTED_VALUE"""),2.0)</f>
        <v>2</v>
      </c>
      <c r="L7042" s="308">
        <f>IFERROR(__xludf.DUMMYFUNCTION("""COMPUTED_VALUE"""),2017.0)</f>
        <v>2017</v>
      </c>
      <c r="M7042" s="308" t="s">
        <v>28557</v>
      </c>
      <c r="N7042" s="308"/>
      <c r="O7042" s="308"/>
      <c r="P7042" s="308" t="s">
        <v>28558</v>
      </c>
      <c r="Q7042" s="308" t="s">
        <v>39505</v>
      </c>
      <c r="R7042" s="308"/>
      <c r="S7042" s="308" t="s">
        <v>81</v>
      </c>
      <c r="T7042" s="308" t="s">
        <v>75</v>
      </c>
      <c r="U7042" s="308" t="s">
        <v>27</v>
      </c>
      <c r="V7042" s="308"/>
    </row>
    <row r="7043">
      <c r="A7043" s="308"/>
      <c r="B7043" s="308"/>
      <c r="C7043" s="308" t="s">
        <v>28559</v>
      </c>
      <c r="D7043" s="308">
        <f>IFERROR(__xludf.DUMMYFUNCTION("SPLIT(C7043,""-"")"),7063.0)</f>
        <v>7063</v>
      </c>
      <c r="E7043" s="308" t="str">
        <f>IFERROR(__xludf.DUMMYFUNCTION("""COMPUTED_VALUE"""),"B")</f>
        <v>B</v>
      </c>
      <c r="F7043" s="315" t="s">
        <v>26</v>
      </c>
      <c r="G7043" s="308"/>
      <c r="H7043" s="308" t="s">
        <v>28560</v>
      </c>
      <c r="I7043" s="310">
        <v>42767.0</v>
      </c>
      <c r="J7043" s="319">
        <f>IFERROR(__xludf.DUMMYFUNCTION("SPLIT(I7043,""/"")"),1.0)</f>
        <v>1</v>
      </c>
      <c r="K7043" s="308">
        <f>IFERROR(__xludf.DUMMYFUNCTION("""COMPUTED_VALUE"""),2.0)</f>
        <v>2</v>
      </c>
      <c r="L7043" s="308">
        <f>IFERROR(__xludf.DUMMYFUNCTION("""COMPUTED_VALUE"""),2017.0)</f>
        <v>2017</v>
      </c>
      <c r="M7043" s="308" t="s">
        <v>28519</v>
      </c>
      <c r="N7043" s="308"/>
      <c r="O7043" s="308"/>
      <c r="P7043" s="308" t="s">
        <v>28561</v>
      </c>
      <c r="Q7043" s="308" t="s">
        <v>39505</v>
      </c>
      <c r="R7043" s="308"/>
      <c r="S7043" s="308" t="s">
        <v>81</v>
      </c>
      <c r="T7043" s="308" t="s">
        <v>75</v>
      </c>
      <c r="U7043" s="308" t="s">
        <v>27</v>
      </c>
      <c r="V7043" s="308"/>
    </row>
    <row r="7044">
      <c r="A7044" s="308"/>
      <c r="B7044" s="308"/>
      <c r="C7044" s="308" t="s">
        <v>28562</v>
      </c>
      <c r="D7044" s="308">
        <f>IFERROR(__xludf.DUMMYFUNCTION("SPLIT(C7044,""-"")"),7064.0)</f>
        <v>7064</v>
      </c>
      <c r="E7044" s="308" t="str">
        <f>IFERROR(__xludf.DUMMYFUNCTION("""COMPUTED_VALUE"""),"B")</f>
        <v>B</v>
      </c>
      <c r="F7044" s="315" t="s">
        <v>26</v>
      </c>
      <c r="G7044" s="308"/>
      <c r="H7044" s="308" t="s">
        <v>28563</v>
      </c>
      <c r="I7044" s="310">
        <v>42767.0</v>
      </c>
      <c r="J7044" s="319">
        <f>IFERROR(__xludf.DUMMYFUNCTION("SPLIT(I7044,""/"")"),1.0)</f>
        <v>1</v>
      </c>
      <c r="K7044" s="308">
        <f>IFERROR(__xludf.DUMMYFUNCTION("""COMPUTED_VALUE"""),2.0)</f>
        <v>2</v>
      </c>
      <c r="L7044" s="308">
        <f>IFERROR(__xludf.DUMMYFUNCTION("""COMPUTED_VALUE"""),2017.0)</f>
        <v>2017</v>
      </c>
      <c r="M7044" s="308" t="s">
        <v>28523</v>
      </c>
      <c r="N7044" s="308"/>
      <c r="O7044" s="308"/>
      <c r="P7044" s="308" t="s">
        <v>39531</v>
      </c>
      <c r="Q7044" s="308" t="s">
        <v>39505</v>
      </c>
      <c r="R7044" s="308"/>
      <c r="S7044" s="308" t="s">
        <v>49</v>
      </c>
      <c r="T7044" s="311" t="s">
        <v>67</v>
      </c>
      <c r="U7044" s="308" t="s">
        <v>27</v>
      </c>
      <c r="V7044" s="308"/>
    </row>
    <row r="7045">
      <c r="A7045" s="308"/>
      <c r="B7045" s="308"/>
      <c r="C7045" s="308" t="s">
        <v>28564</v>
      </c>
      <c r="D7045" s="308">
        <f>IFERROR(__xludf.DUMMYFUNCTION("SPLIT(C7045,""-"")"),7065.0)</f>
        <v>7065</v>
      </c>
      <c r="E7045" s="308" t="str">
        <f>IFERROR(__xludf.DUMMYFUNCTION("""COMPUTED_VALUE"""),"S")</f>
        <v>S</v>
      </c>
      <c r="F7045" s="312" t="s">
        <v>39</v>
      </c>
      <c r="G7045" s="308"/>
      <c r="H7045" s="308" t="s">
        <v>28565</v>
      </c>
      <c r="I7045" s="310">
        <v>44226.0</v>
      </c>
      <c r="J7045" s="319">
        <f>IFERROR(__xludf.DUMMYFUNCTION("SPLIT(I7045,""/"")"),30.0)</f>
        <v>30</v>
      </c>
      <c r="K7045" s="308">
        <f>IFERROR(__xludf.DUMMYFUNCTION("""COMPUTED_VALUE"""),1.0)</f>
        <v>1</v>
      </c>
      <c r="L7045" s="308">
        <f>IFERROR(__xludf.DUMMYFUNCTION("""COMPUTED_VALUE"""),2021.0)</f>
        <v>2021</v>
      </c>
      <c r="M7045" s="308" t="s">
        <v>28566</v>
      </c>
      <c r="N7045" s="308" t="s">
        <v>28567</v>
      </c>
      <c r="O7045" s="308"/>
      <c r="P7045" s="308" t="s">
        <v>136</v>
      </c>
      <c r="Q7045" s="308" t="s">
        <v>39534</v>
      </c>
      <c r="R7045" s="308"/>
      <c r="S7045" s="315" t="s">
        <v>100</v>
      </c>
      <c r="T7045" s="308" t="s">
        <v>34208</v>
      </c>
      <c r="U7045" s="308" t="s">
        <v>166</v>
      </c>
      <c r="V7045" s="308"/>
    </row>
    <row r="7046">
      <c r="A7046" s="308"/>
      <c r="B7046" s="308"/>
      <c r="C7046" s="308" t="s">
        <v>28568</v>
      </c>
      <c r="D7046" s="308">
        <f>IFERROR(__xludf.DUMMYFUNCTION("SPLIT(C7046,""-"")"),7066.0)</f>
        <v>7066</v>
      </c>
      <c r="E7046" s="308" t="str">
        <f>IFERROR(__xludf.DUMMYFUNCTION("""COMPUTED_VALUE"""),"K")</f>
        <v>K</v>
      </c>
      <c r="F7046" s="309" t="s">
        <v>34</v>
      </c>
      <c r="G7046" s="308"/>
      <c r="H7046" s="308" t="s">
        <v>28569</v>
      </c>
      <c r="I7046" s="310">
        <v>42786.0</v>
      </c>
      <c r="J7046" s="319" t="str">
        <f>IFERROR(__xludf.DUMMYFUNCTION("SPLIT(I7046,""/"")"),"#REF!")</f>
        <v>#REF!</v>
      </c>
      <c r="K7046" s="308"/>
      <c r="L7046" s="308">
        <v>2017.0</v>
      </c>
      <c r="M7046" s="308" t="s">
        <v>28570</v>
      </c>
      <c r="N7046" s="308" t="s">
        <v>28571</v>
      </c>
      <c r="O7046" s="308"/>
      <c r="P7046" s="308" t="s">
        <v>136</v>
      </c>
      <c r="Q7046" s="308" t="s">
        <v>39534</v>
      </c>
      <c r="R7046" s="308"/>
      <c r="S7046" s="315" t="s">
        <v>100</v>
      </c>
      <c r="T7046" s="308" t="s">
        <v>34208</v>
      </c>
      <c r="U7046" s="308" t="s">
        <v>872</v>
      </c>
      <c r="V7046" s="308"/>
    </row>
    <row r="7047">
      <c r="A7047" s="308"/>
      <c r="B7047" s="308"/>
      <c r="C7047" s="308" t="s">
        <v>28572</v>
      </c>
      <c r="D7047" s="308">
        <f>IFERROR(__xludf.DUMMYFUNCTION("SPLIT(C7047,""-"")"),7067.0)</f>
        <v>7067</v>
      </c>
      <c r="E7047" s="308" t="str">
        <f>IFERROR(__xludf.DUMMYFUNCTION("""COMPUTED_VALUE"""),"K")</f>
        <v>K</v>
      </c>
      <c r="F7047" s="309" t="s">
        <v>34</v>
      </c>
      <c r="G7047" s="308"/>
      <c r="H7047" s="308" t="s">
        <v>28573</v>
      </c>
      <c r="I7047" s="310">
        <v>40360.0</v>
      </c>
      <c r="J7047" s="319">
        <f>IFERROR(__xludf.DUMMYFUNCTION("SPLIT(I7047,""/"")"),1.0)</f>
        <v>1</v>
      </c>
      <c r="K7047" s="308">
        <f>IFERROR(__xludf.DUMMYFUNCTION("""COMPUTED_VALUE"""),7.0)</f>
        <v>7</v>
      </c>
      <c r="L7047" s="308">
        <f>IFERROR(__xludf.DUMMYFUNCTION("""COMPUTED_VALUE"""),2010.0)</f>
        <v>2010</v>
      </c>
      <c r="M7047" s="308" t="s">
        <v>28574</v>
      </c>
      <c r="N7047" s="308" t="s">
        <v>28575</v>
      </c>
      <c r="O7047" s="308" t="s">
        <v>28576</v>
      </c>
      <c r="P7047" s="308" t="s">
        <v>136</v>
      </c>
      <c r="Q7047" s="308" t="s">
        <v>39534</v>
      </c>
      <c r="R7047" s="308"/>
      <c r="S7047" s="315" t="s">
        <v>100</v>
      </c>
      <c r="T7047" s="308" t="s">
        <v>34208</v>
      </c>
      <c r="U7047" s="308" t="s">
        <v>530</v>
      </c>
      <c r="V7047" s="308"/>
    </row>
    <row r="7048">
      <c r="A7048" s="308"/>
      <c r="B7048" s="308"/>
      <c r="C7048" s="308" t="s">
        <v>28577</v>
      </c>
      <c r="D7048" s="308">
        <f>IFERROR(__xludf.DUMMYFUNCTION("SPLIT(C7048,""-"")"),7068.0)</f>
        <v>7068</v>
      </c>
      <c r="E7048" s="308" t="str">
        <f>IFERROR(__xludf.DUMMYFUNCTION("""COMPUTED_VALUE"""),"P")</f>
        <v>P</v>
      </c>
      <c r="F7048" s="312" t="s">
        <v>37</v>
      </c>
      <c r="G7048" s="308"/>
      <c r="H7048" s="308" t="s">
        <v>28578</v>
      </c>
      <c r="I7048" s="310">
        <v>44225.0</v>
      </c>
      <c r="J7048" s="319">
        <f>IFERROR(__xludf.DUMMYFUNCTION("SPLIT(I7048,""/"")"),29.0)</f>
        <v>29</v>
      </c>
      <c r="K7048" s="308">
        <f>IFERROR(__xludf.DUMMYFUNCTION("""COMPUTED_VALUE"""),1.0)</f>
        <v>1</v>
      </c>
      <c r="L7048" s="308">
        <f>IFERROR(__xludf.DUMMYFUNCTION("""COMPUTED_VALUE"""),2021.0)</f>
        <v>2021</v>
      </c>
      <c r="M7048" s="308" t="s">
        <v>28579</v>
      </c>
      <c r="N7048" s="308" t="s">
        <v>28580</v>
      </c>
      <c r="O7048" s="308"/>
      <c r="P7048" s="308" t="s">
        <v>136</v>
      </c>
      <c r="Q7048" s="308" t="s">
        <v>39534</v>
      </c>
      <c r="R7048" s="308"/>
      <c r="S7048" s="315" t="s">
        <v>100</v>
      </c>
      <c r="T7048" s="308" t="s">
        <v>34208</v>
      </c>
      <c r="U7048" s="308" t="s">
        <v>19781</v>
      </c>
      <c r="V7048" s="308"/>
    </row>
    <row r="7049">
      <c r="A7049" s="308"/>
      <c r="B7049" s="308"/>
      <c r="C7049" s="308" t="s">
        <v>28581</v>
      </c>
      <c r="D7049" s="308">
        <f>IFERROR(__xludf.DUMMYFUNCTION("SPLIT(C7049,""-"")"),7069.0)</f>
        <v>7069</v>
      </c>
      <c r="E7049" s="308" t="str">
        <f>IFERROR(__xludf.DUMMYFUNCTION("""COMPUTED_VALUE"""),"K")</f>
        <v>K</v>
      </c>
      <c r="F7049" s="309" t="s">
        <v>34</v>
      </c>
      <c r="G7049" s="308"/>
      <c r="H7049" s="308" t="s">
        <v>28582</v>
      </c>
      <c r="I7049" s="310">
        <v>42926.0</v>
      </c>
      <c r="J7049" s="319" t="str">
        <f>IFERROR(__xludf.DUMMYFUNCTION("SPLIT(I7049,""/"")"),"#REF!")</f>
        <v>#REF!</v>
      </c>
      <c r="K7049" s="308"/>
      <c r="L7049" s="308">
        <v>2017.0</v>
      </c>
      <c r="M7049" s="308" t="s">
        <v>28583</v>
      </c>
      <c r="N7049" s="308" t="s">
        <v>28584</v>
      </c>
      <c r="O7049" s="308"/>
      <c r="P7049" s="308" t="s">
        <v>39535</v>
      </c>
      <c r="Q7049" s="308" t="s">
        <v>39534</v>
      </c>
      <c r="R7049" s="308"/>
      <c r="S7049" s="308" t="s">
        <v>81</v>
      </c>
      <c r="T7049" s="308" t="s">
        <v>34264</v>
      </c>
      <c r="U7049" s="308" t="s">
        <v>18616</v>
      </c>
      <c r="V7049" s="308"/>
    </row>
    <row r="7050">
      <c r="A7050" s="308"/>
      <c r="B7050" s="308"/>
      <c r="C7050" s="308" t="s">
        <v>28586</v>
      </c>
      <c r="D7050" s="308">
        <f>IFERROR(__xludf.DUMMYFUNCTION("SPLIT(C7050,""-"")"),7070.0)</f>
        <v>7070</v>
      </c>
      <c r="E7050" s="308" t="str">
        <f>IFERROR(__xludf.DUMMYFUNCTION("""COMPUTED_VALUE"""),"K")</f>
        <v>K</v>
      </c>
      <c r="F7050" s="309" t="s">
        <v>34</v>
      </c>
      <c r="G7050" s="308"/>
      <c r="H7050" s="308" t="s">
        <v>28587</v>
      </c>
      <c r="I7050" s="310">
        <v>44173.0</v>
      </c>
      <c r="J7050" s="319">
        <f>IFERROR(__xludf.DUMMYFUNCTION("SPLIT(I7050,""/"")"),8.0)</f>
        <v>8</v>
      </c>
      <c r="K7050" s="308">
        <f>IFERROR(__xludf.DUMMYFUNCTION("""COMPUTED_VALUE"""),12.0)</f>
        <v>12</v>
      </c>
      <c r="L7050" s="308">
        <f>IFERROR(__xludf.DUMMYFUNCTION("""COMPUTED_VALUE"""),2020.0)</f>
        <v>2020</v>
      </c>
      <c r="M7050" s="308" t="s">
        <v>28588</v>
      </c>
      <c r="N7050" s="308" t="s">
        <v>28589</v>
      </c>
      <c r="O7050" s="308"/>
      <c r="P7050" s="308" t="s">
        <v>39536</v>
      </c>
      <c r="Q7050" s="308" t="s">
        <v>39534</v>
      </c>
      <c r="R7050" s="308" t="s">
        <v>2743</v>
      </c>
      <c r="S7050" s="308" t="s">
        <v>81</v>
      </c>
      <c r="T7050" s="311" t="s">
        <v>75</v>
      </c>
      <c r="U7050" s="308" t="s">
        <v>18616</v>
      </c>
      <c r="V7050" s="308"/>
    </row>
    <row r="7051">
      <c r="A7051" s="308"/>
      <c r="B7051" s="308"/>
      <c r="C7051" s="308" t="s">
        <v>28591</v>
      </c>
      <c r="D7051" s="308">
        <f>IFERROR(__xludf.DUMMYFUNCTION("SPLIT(C7051,""-"")"),7071.0)</f>
        <v>7071</v>
      </c>
      <c r="E7051" s="308" t="str">
        <f>IFERROR(__xludf.DUMMYFUNCTION("""COMPUTED_VALUE"""),"S")</f>
        <v>S</v>
      </c>
      <c r="F7051" s="312" t="s">
        <v>39</v>
      </c>
      <c r="G7051" s="308"/>
      <c r="H7051" s="308" t="s">
        <v>28592</v>
      </c>
      <c r="I7051" s="310">
        <v>44233.0</v>
      </c>
      <c r="J7051" s="319">
        <f>IFERROR(__xludf.DUMMYFUNCTION("SPLIT(I7051,""/"")"),6.0)</f>
        <v>6</v>
      </c>
      <c r="K7051" s="308">
        <f>IFERROR(__xludf.DUMMYFUNCTION("""COMPUTED_VALUE"""),2.0)</f>
        <v>2</v>
      </c>
      <c r="L7051" s="308">
        <f>IFERROR(__xludf.DUMMYFUNCTION("""COMPUTED_VALUE"""),2021.0)</f>
        <v>2021</v>
      </c>
      <c r="M7051" s="308" t="s">
        <v>28593</v>
      </c>
      <c r="N7051" s="308" t="s">
        <v>28594</v>
      </c>
      <c r="O7051" s="308"/>
      <c r="P7051" s="308" t="s">
        <v>136</v>
      </c>
      <c r="Q7051" s="308" t="s">
        <v>39537</v>
      </c>
      <c r="R7051" s="308" t="s">
        <v>2743</v>
      </c>
      <c r="S7051" s="315" t="s">
        <v>100</v>
      </c>
      <c r="T7051" s="308" t="s">
        <v>34208</v>
      </c>
      <c r="U7051" s="308" t="s">
        <v>166</v>
      </c>
      <c r="V7051" s="308"/>
    </row>
    <row r="7052">
      <c r="A7052" s="308"/>
      <c r="B7052" s="308"/>
      <c r="C7052" s="308" t="s">
        <v>28595</v>
      </c>
      <c r="D7052" s="308">
        <f>IFERROR(__xludf.DUMMYFUNCTION("SPLIT(C7052,""-"")"),7072.0)</f>
        <v>7072</v>
      </c>
      <c r="E7052" s="308" t="str">
        <f>IFERROR(__xludf.DUMMYFUNCTION("""COMPUTED_VALUE"""),"P")</f>
        <v>P</v>
      </c>
      <c r="F7052" s="312" t="s">
        <v>37</v>
      </c>
      <c r="G7052" s="308"/>
      <c r="H7052" s="308" t="s">
        <v>28596</v>
      </c>
      <c r="I7052" s="310">
        <v>42446.0</v>
      </c>
      <c r="J7052" s="319">
        <f>IFERROR(__xludf.DUMMYFUNCTION("SPLIT(I7052,""/"")"),17.0)</f>
        <v>17</v>
      </c>
      <c r="K7052" s="308">
        <f>IFERROR(__xludf.DUMMYFUNCTION("""COMPUTED_VALUE"""),3.0)</f>
        <v>3</v>
      </c>
      <c r="L7052" s="308">
        <f>IFERROR(__xludf.DUMMYFUNCTION("""COMPUTED_VALUE"""),2016.0)</f>
        <v>2016</v>
      </c>
      <c r="M7052" s="308" t="s">
        <v>28597</v>
      </c>
      <c r="N7052" s="308"/>
      <c r="O7052" s="308" t="s">
        <v>28598</v>
      </c>
      <c r="P7052" s="308" t="s">
        <v>136</v>
      </c>
      <c r="Q7052" s="308" t="s">
        <v>39537</v>
      </c>
      <c r="R7052" s="308" t="s">
        <v>2743</v>
      </c>
      <c r="S7052" s="315" t="s">
        <v>100</v>
      </c>
      <c r="T7052" s="308" t="s">
        <v>34208</v>
      </c>
      <c r="U7052" s="308" t="s">
        <v>2291</v>
      </c>
      <c r="V7052" s="308"/>
    </row>
    <row r="7053">
      <c r="A7053" s="308"/>
      <c r="B7053" s="308"/>
      <c r="C7053" s="308" t="s">
        <v>28599</v>
      </c>
      <c r="D7053" s="308">
        <f>IFERROR(__xludf.DUMMYFUNCTION("SPLIT(C7053,""-"")"),7073.0)</f>
        <v>7073</v>
      </c>
      <c r="E7053" s="308" t="str">
        <f>IFERROR(__xludf.DUMMYFUNCTION("""COMPUTED_VALUE"""),"K")</f>
        <v>K</v>
      </c>
      <c r="F7053" s="309" t="s">
        <v>34</v>
      </c>
      <c r="G7053" s="308"/>
      <c r="H7053" s="308" t="s">
        <v>28600</v>
      </c>
      <c r="I7053" s="314">
        <v>44190.0</v>
      </c>
      <c r="J7053" s="319">
        <f>IFERROR(__xludf.DUMMYFUNCTION("SPLIT(I7053,""/"")"),25.0)</f>
        <v>25</v>
      </c>
      <c r="K7053" s="308">
        <f>IFERROR(__xludf.DUMMYFUNCTION("""COMPUTED_VALUE"""),12.0)</f>
        <v>12</v>
      </c>
      <c r="L7053" s="308">
        <f>IFERROR(__xludf.DUMMYFUNCTION("""COMPUTED_VALUE"""),2020.0)</f>
        <v>2020</v>
      </c>
      <c r="M7053" s="308" t="s">
        <v>28601</v>
      </c>
      <c r="N7053" s="308" t="s">
        <v>28602</v>
      </c>
      <c r="O7053" s="308"/>
      <c r="P7053" s="308" t="s">
        <v>136</v>
      </c>
      <c r="Q7053" s="308" t="s">
        <v>39537</v>
      </c>
      <c r="R7053" s="308" t="s">
        <v>26929</v>
      </c>
      <c r="S7053" s="315" t="s">
        <v>100</v>
      </c>
      <c r="T7053" s="308" t="s">
        <v>34208</v>
      </c>
      <c r="U7053" s="308" t="s">
        <v>22473</v>
      </c>
      <c r="V7053" s="308"/>
    </row>
    <row r="7054">
      <c r="A7054" s="308"/>
      <c r="B7054" s="308"/>
      <c r="C7054" s="308" t="s">
        <v>28603</v>
      </c>
      <c r="D7054" s="308">
        <f>IFERROR(__xludf.DUMMYFUNCTION("SPLIT(C7054,""-"")"),7074.0)</f>
        <v>7074</v>
      </c>
      <c r="E7054" s="308" t="str">
        <f>IFERROR(__xludf.DUMMYFUNCTION("""COMPUTED_VALUE"""),"B")</f>
        <v>B</v>
      </c>
      <c r="F7054" s="315" t="s">
        <v>26</v>
      </c>
      <c r="G7054" s="308"/>
      <c r="H7054" s="308" t="s">
        <v>28604</v>
      </c>
      <c r="I7054" s="310">
        <v>44197.0</v>
      </c>
      <c r="J7054" s="319">
        <f>IFERROR(__xludf.DUMMYFUNCTION("SPLIT(I7054,""/"")"),1.0)</f>
        <v>1</v>
      </c>
      <c r="K7054" s="308">
        <f>IFERROR(__xludf.DUMMYFUNCTION("""COMPUTED_VALUE"""),1.0)</f>
        <v>1</v>
      </c>
      <c r="L7054" s="308">
        <f>IFERROR(__xludf.DUMMYFUNCTION("""COMPUTED_VALUE"""),2021.0)</f>
        <v>2021</v>
      </c>
      <c r="M7054" s="308" t="s">
        <v>28605</v>
      </c>
      <c r="N7054" s="308" t="s">
        <v>28606</v>
      </c>
      <c r="O7054" s="308"/>
      <c r="P7054" s="308" t="s">
        <v>136</v>
      </c>
      <c r="Q7054" s="308" t="s">
        <v>39538</v>
      </c>
      <c r="R7054" s="308" t="s">
        <v>20958</v>
      </c>
      <c r="S7054" s="315" t="s">
        <v>100</v>
      </c>
      <c r="T7054" s="308" t="s">
        <v>34208</v>
      </c>
      <c r="U7054" s="308" t="s">
        <v>27</v>
      </c>
      <c r="V7054" s="308"/>
    </row>
    <row r="7055">
      <c r="A7055" s="308"/>
      <c r="B7055" s="308"/>
      <c r="C7055" s="308" t="s">
        <v>28607</v>
      </c>
      <c r="D7055" s="308">
        <f>IFERROR(__xludf.DUMMYFUNCTION("SPLIT(C7055,""-"")"),7075.0)</f>
        <v>7075</v>
      </c>
      <c r="E7055" s="308" t="str">
        <f>IFERROR(__xludf.DUMMYFUNCTION("""COMPUTED_VALUE"""),"B")</f>
        <v>B</v>
      </c>
      <c r="F7055" s="315" t="s">
        <v>26</v>
      </c>
      <c r="G7055" s="308"/>
      <c r="H7055" s="308" t="s">
        <v>28608</v>
      </c>
      <c r="I7055" s="310">
        <v>44197.0</v>
      </c>
      <c r="J7055" s="319">
        <f>IFERROR(__xludf.DUMMYFUNCTION("SPLIT(I7055,""/"")"),1.0)</f>
        <v>1</v>
      </c>
      <c r="K7055" s="308">
        <f>IFERROR(__xludf.DUMMYFUNCTION("""COMPUTED_VALUE"""),1.0)</f>
        <v>1</v>
      </c>
      <c r="L7055" s="308">
        <f>IFERROR(__xludf.DUMMYFUNCTION("""COMPUTED_VALUE"""),2021.0)</f>
        <v>2021</v>
      </c>
      <c r="M7055" s="308" t="s">
        <v>28609</v>
      </c>
      <c r="N7055" s="308" t="s">
        <v>28610</v>
      </c>
      <c r="O7055" s="308"/>
      <c r="P7055" s="308" t="s">
        <v>136</v>
      </c>
      <c r="Q7055" s="308" t="s">
        <v>39538</v>
      </c>
      <c r="R7055" s="308" t="s">
        <v>20958</v>
      </c>
      <c r="S7055" s="315" t="s">
        <v>100</v>
      </c>
      <c r="T7055" s="308" t="s">
        <v>34208</v>
      </c>
      <c r="U7055" s="308" t="s">
        <v>27</v>
      </c>
      <c r="V7055" s="308"/>
    </row>
    <row r="7056">
      <c r="A7056" s="308"/>
      <c r="B7056" s="308"/>
      <c r="C7056" s="308" t="s">
        <v>28611</v>
      </c>
      <c r="D7056" s="308">
        <f>IFERROR(__xludf.DUMMYFUNCTION("SPLIT(C7056,""-"")"),7076.0)</f>
        <v>7076</v>
      </c>
      <c r="E7056" s="308" t="str">
        <f>IFERROR(__xludf.DUMMYFUNCTION("""COMPUTED_VALUE"""),"B")</f>
        <v>B</v>
      </c>
      <c r="F7056" s="315" t="s">
        <v>26</v>
      </c>
      <c r="G7056" s="308"/>
      <c r="H7056" s="308" t="s">
        <v>28612</v>
      </c>
      <c r="I7056" s="310">
        <v>44197.0</v>
      </c>
      <c r="J7056" s="319">
        <f>IFERROR(__xludf.DUMMYFUNCTION("SPLIT(I7056,""/"")"),1.0)</f>
        <v>1</v>
      </c>
      <c r="K7056" s="308">
        <f>IFERROR(__xludf.DUMMYFUNCTION("""COMPUTED_VALUE"""),1.0)</f>
        <v>1</v>
      </c>
      <c r="L7056" s="308">
        <f>IFERROR(__xludf.DUMMYFUNCTION("""COMPUTED_VALUE"""),2021.0)</f>
        <v>2021</v>
      </c>
      <c r="M7056" s="308" t="s">
        <v>28613</v>
      </c>
      <c r="N7056" s="308" t="s">
        <v>39539</v>
      </c>
      <c r="O7056" s="308"/>
      <c r="P7056" s="308" t="s">
        <v>136</v>
      </c>
      <c r="Q7056" s="308" t="s">
        <v>39538</v>
      </c>
      <c r="R7056" s="308" t="s">
        <v>20958</v>
      </c>
      <c r="S7056" s="315" t="s">
        <v>100</v>
      </c>
      <c r="T7056" s="308" t="s">
        <v>34208</v>
      </c>
      <c r="U7056" s="308" t="s">
        <v>27</v>
      </c>
      <c r="V7056" s="308"/>
    </row>
    <row r="7057">
      <c r="A7057" s="308"/>
      <c r="B7057" s="308"/>
      <c r="C7057" s="308" t="s">
        <v>28615</v>
      </c>
      <c r="D7057" s="308">
        <f>IFERROR(__xludf.DUMMYFUNCTION("SPLIT(C7057,""-"")"),7077.0)</f>
        <v>7077</v>
      </c>
      <c r="E7057" s="308" t="str">
        <f>IFERROR(__xludf.DUMMYFUNCTION("""COMPUTED_VALUE"""),"B")</f>
        <v>B</v>
      </c>
      <c r="F7057" s="315" t="s">
        <v>26</v>
      </c>
      <c r="G7057" s="308"/>
      <c r="H7057" s="308" t="s">
        <v>28616</v>
      </c>
      <c r="I7057" s="310">
        <v>42060.0</v>
      </c>
      <c r="J7057" s="319">
        <f>IFERROR(__xludf.DUMMYFUNCTION("SPLIT(I7057,""/"")"),25.0)</f>
        <v>25</v>
      </c>
      <c r="K7057" s="308">
        <f>IFERROR(__xludf.DUMMYFUNCTION("""COMPUTED_VALUE"""),2.0)</f>
        <v>2</v>
      </c>
      <c r="L7057" s="308">
        <f>IFERROR(__xludf.DUMMYFUNCTION("""COMPUTED_VALUE"""),2015.0)</f>
        <v>2015</v>
      </c>
      <c r="M7057" s="308" t="s">
        <v>28617</v>
      </c>
      <c r="N7057" s="308" t="s">
        <v>28618</v>
      </c>
      <c r="O7057" s="308"/>
      <c r="P7057" s="308" t="s">
        <v>136</v>
      </c>
      <c r="Q7057" s="308" t="s">
        <v>39538</v>
      </c>
      <c r="R7057" s="308" t="s">
        <v>2743</v>
      </c>
      <c r="S7057" s="315" t="s">
        <v>100</v>
      </c>
      <c r="T7057" s="308" t="s">
        <v>34208</v>
      </c>
      <c r="U7057" s="308" t="s">
        <v>27</v>
      </c>
      <c r="V7057" s="308"/>
    </row>
    <row r="7058">
      <c r="A7058" s="308"/>
      <c r="B7058" s="308"/>
      <c r="C7058" s="308" t="s">
        <v>28619</v>
      </c>
      <c r="D7058" s="308">
        <f>IFERROR(__xludf.DUMMYFUNCTION("SPLIT(C7058,""-"")"),7078.0)</f>
        <v>7078</v>
      </c>
      <c r="E7058" s="308" t="str">
        <f>IFERROR(__xludf.DUMMYFUNCTION("""COMPUTED_VALUE"""),"B")</f>
        <v>B</v>
      </c>
      <c r="F7058" s="315" t="s">
        <v>26</v>
      </c>
      <c r="G7058" s="308"/>
      <c r="H7058" s="308" t="s">
        <v>28620</v>
      </c>
      <c r="I7058" s="310">
        <v>41520.0</v>
      </c>
      <c r="J7058" s="319">
        <f>IFERROR(__xludf.DUMMYFUNCTION("SPLIT(I7058,""/"")"),3.0)</f>
        <v>3</v>
      </c>
      <c r="K7058" s="308">
        <f>IFERROR(__xludf.DUMMYFUNCTION("""COMPUTED_VALUE"""),9.0)</f>
        <v>9</v>
      </c>
      <c r="L7058" s="308">
        <f>IFERROR(__xludf.DUMMYFUNCTION("""COMPUTED_VALUE"""),2013.0)</f>
        <v>2013</v>
      </c>
      <c r="M7058" s="308" t="s">
        <v>28621</v>
      </c>
      <c r="N7058" s="308" t="s">
        <v>39540</v>
      </c>
      <c r="O7058" s="308"/>
      <c r="P7058" s="308" t="s">
        <v>136</v>
      </c>
      <c r="Q7058" s="308" t="s">
        <v>39538</v>
      </c>
      <c r="R7058" s="308" t="s">
        <v>2743</v>
      </c>
      <c r="S7058" s="315" t="s">
        <v>100</v>
      </c>
      <c r="T7058" s="308" t="s">
        <v>34208</v>
      </c>
      <c r="U7058" s="308" t="s">
        <v>27</v>
      </c>
      <c r="V7058" s="308"/>
    </row>
    <row r="7059">
      <c r="A7059" s="308"/>
      <c r="B7059" s="308"/>
      <c r="C7059" s="308" t="s">
        <v>28623</v>
      </c>
      <c r="D7059" s="308">
        <f>IFERROR(__xludf.DUMMYFUNCTION("SPLIT(C7059,""-"")"),7079.0)</f>
        <v>7079</v>
      </c>
      <c r="E7059" s="308" t="str">
        <f>IFERROR(__xludf.DUMMYFUNCTION("""COMPUTED_VALUE"""),"K")</f>
        <v>K</v>
      </c>
      <c r="F7059" s="309" t="s">
        <v>34</v>
      </c>
      <c r="G7059" s="308"/>
      <c r="H7059" s="308" t="s">
        <v>28624</v>
      </c>
      <c r="I7059" s="310">
        <v>41684.0</v>
      </c>
      <c r="J7059" s="319">
        <f>IFERROR(__xludf.DUMMYFUNCTION("SPLIT(I7059,""/"")"),14.0)</f>
        <v>14</v>
      </c>
      <c r="K7059" s="308">
        <f>IFERROR(__xludf.DUMMYFUNCTION("""COMPUTED_VALUE"""),2.0)</f>
        <v>2</v>
      </c>
      <c r="L7059" s="308">
        <f>IFERROR(__xludf.DUMMYFUNCTION("""COMPUTED_VALUE"""),2014.0)</f>
        <v>2014</v>
      </c>
      <c r="M7059" s="308" t="s">
        <v>28621</v>
      </c>
      <c r="N7059" s="308" t="s">
        <v>39541</v>
      </c>
      <c r="O7059" s="308"/>
      <c r="P7059" s="308" t="s">
        <v>136</v>
      </c>
      <c r="Q7059" s="308" t="s">
        <v>39538</v>
      </c>
      <c r="R7059" s="308" t="s">
        <v>2743</v>
      </c>
      <c r="S7059" s="315" t="s">
        <v>100</v>
      </c>
      <c r="T7059" s="308" t="s">
        <v>34208</v>
      </c>
      <c r="U7059" s="308" t="s">
        <v>19459</v>
      </c>
      <c r="V7059" s="308"/>
    </row>
    <row r="7060">
      <c r="A7060" s="308"/>
      <c r="B7060" s="308"/>
      <c r="C7060" s="308" t="s">
        <v>28626</v>
      </c>
      <c r="D7060" s="308">
        <f>IFERROR(__xludf.DUMMYFUNCTION("SPLIT(C7060,""-"")"),7080.0)</f>
        <v>7080</v>
      </c>
      <c r="E7060" s="308" t="str">
        <f>IFERROR(__xludf.DUMMYFUNCTION("""COMPUTED_VALUE"""),"K")</f>
        <v>K</v>
      </c>
      <c r="F7060" s="309" t="s">
        <v>34</v>
      </c>
      <c r="G7060" s="308"/>
      <c r="H7060" s="308" t="s">
        <v>28627</v>
      </c>
      <c r="I7060" s="314">
        <v>44115.0</v>
      </c>
      <c r="J7060" s="319">
        <f>IFERROR(__xludf.DUMMYFUNCTION("SPLIT(I7060,""/"")"),11.0)</f>
        <v>11</v>
      </c>
      <c r="K7060" s="308">
        <f>IFERROR(__xludf.DUMMYFUNCTION("""COMPUTED_VALUE"""),10.0)</f>
        <v>10</v>
      </c>
      <c r="L7060" s="308">
        <f>IFERROR(__xludf.DUMMYFUNCTION("""COMPUTED_VALUE"""),2020.0)</f>
        <v>2020</v>
      </c>
      <c r="M7060" s="308" t="s">
        <v>28628</v>
      </c>
      <c r="N7060" s="308" t="s">
        <v>28629</v>
      </c>
      <c r="O7060" s="308"/>
      <c r="P7060" s="308" t="s">
        <v>28630</v>
      </c>
      <c r="Q7060" s="308" t="s">
        <v>39538</v>
      </c>
      <c r="R7060" s="308" t="s">
        <v>2743</v>
      </c>
      <c r="S7060" s="308" t="s">
        <v>81</v>
      </c>
      <c r="T7060" s="308" t="s">
        <v>34264</v>
      </c>
      <c r="U7060" s="308" t="s">
        <v>22473</v>
      </c>
      <c r="V7060" s="308"/>
    </row>
    <row r="7061">
      <c r="A7061" s="308"/>
      <c r="B7061" s="308"/>
      <c r="C7061" s="308" t="s">
        <v>28631</v>
      </c>
      <c r="D7061" s="308">
        <f>IFERROR(__xludf.DUMMYFUNCTION("SPLIT(C7061,""-"")"),7081.0)</f>
        <v>7081</v>
      </c>
      <c r="E7061" s="308" t="str">
        <f>IFERROR(__xludf.DUMMYFUNCTION("""COMPUTED_VALUE"""),"K")</f>
        <v>K</v>
      </c>
      <c r="F7061" s="309" t="s">
        <v>34</v>
      </c>
      <c r="G7061" s="308"/>
      <c r="H7061" s="308" t="s">
        <v>28632</v>
      </c>
      <c r="I7061" s="314">
        <v>43788.0</v>
      </c>
      <c r="J7061" s="319">
        <f>IFERROR(__xludf.DUMMYFUNCTION("SPLIT(I7061,""/"")"),19.0)</f>
        <v>19</v>
      </c>
      <c r="K7061" s="308">
        <f>IFERROR(__xludf.DUMMYFUNCTION("""COMPUTED_VALUE"""),11.0)</f>
        <v>11</v>
      </c>
      <c r="L7061" s="308">
        <f>IFERROR(__xludf.DUMMYFUNCTION("""COMPUTED_VALUE"""),2019.0)</f>
        <v>2019</v>
      </c>
      <c r="M7061" s="308" t="s">
        <v>28633</v>
      </c>
      <c r="N7061" s="308" t="s">
        <v>28634</v>
      </c>
      <c r="O7061" s="308"/>
      <c r="P7061" s="308" t="s">
        <v>39542</v>
      </c>
      <c r="Q7061" s="308" t="s">
        <v>39543</v>
      </c>
      <c r="R7061" s="308" t="s">
        <v>2743</v>
      </c>
      <c r="S7061" s="308" t="s">
        <v>81</v>
      </c>
      <c r="T7061" s="308" t="s">
        <v>73</v>
      </c>
      <c r="U7061" s="308" t="s">
        <v>19204</v>
      </c>
      <c r="V7061" s="308"/>
    </row>
    <row r="7062">
      <c r="A7062" s="308"/>
      <c r="B7062" s="308"/>
      <c r="C7062" s="308" t="s">
        <v>28636</v>
      </c>
      <c r="D7062" s="308">
        <f>IFERROR(__xludf.DUMMYFUNCTION("SPLIT(C7062,""-"")"),7082.0)</f>
        <v>7082</v>
      </c>
      <c r="E7062" s="308" t="str">
        <f>IFERROR(__xludf.DUMMYFUNCTION("""COMPUTED_VALUE"""),"K")</f>
        <v>K</v>
      </c>
      <c r="F7062" s="309" t="s">
        <v>34</v>
      </c>
      <c r="G7062" s="308"/>
      <c r="H7062" s="308" t="s">
        <v>28637</v>
      </c>
      <c r="I7062" s="314">
        <v>43788.0</v>
      </c>
      <c r="J7062" s="319">
        <f>IFERROR(__xludf.DUMMYFUNCTION("SPLIT(I7062,""/"")"),19.0)</f>
        <v>19</v>
      </c>
      <c r="K7062" s="308">
        <f>IFERROR(__xludf.DUMMYFUNCTION("""COMPUTED_VALUE"""),11.0)</f>
        <v>11</v>
      </c>
      <c r="L7062" s="308">
        <f>IFERROR(__xludf.DUMMYFUNCTION("""COMPUTED_VALUE"""),2019.0)</f>
        <v>2019</v>
      </c>
      <c r="M7062" s="308" t="s">
        <v>28638</v>
      </c>
      <c r="N7062" s="308" t="s">
        <v>28639</v>
      </c>
      <c r="O7062" s="308"/>
      <c r="P7062" s="308" t="s">
        <v>39544</v>
      </c>
      <c r="Q7062" s="308" t="s">
        <v>39543</v>
      </c>
      <c r="R7062" s="308" t="s">
        <v>2743</v>
      </c>
      <c r="S7062" s="308" t="s">
        <v>81</v>
      </c>
      <c r="T7062" s="308" t="s">
        <v>73</v>
      </c>
      <c r="U7062" s="308" t="s">
        <v>19204</v>
      </c>
      <c r="V7062" s="308"/>
    </row>
    <row r="7063">
      <c r="A7063" s="308"/>
      <c r="B7063" s="308"/>
      <c r="C7063" s="308" t="s">
        <v>28641</v>
      </c>
      <c r="D7063" s="308">
        <f>IFERROR(__xludf.DUMMYFUNCTION("SPLIT(C7063,""-"")"),7083.0)</f>
        <v>7083</v>
      </c>
      <c r="E7063" s="308" t="str">
        <f>IFERROR(__xludf.DUMMYFUNCTION("""COMPUTED_VALUE"""),"K")</f>
        <v>K</v>
      </c>
      <c r="F7063" s="309" t="s">
        <v>34</v>
      </c>
      <c r="G7063" s="308"/>
      <c r="H7063" s="308" t="s">
        <v>28642</v>
      </c>
      <c r="I7063" s="314">
        <v>43788.0</v>
      </c>
      <c r="J7063" s="319">
        <f>IFERROR(__xludf.DUMMYFUNCTION("SPLIT(I7063,""/"")"),19.0)</f>
        <v>19</v>
      </c>
      <c r="K7063" s="308">
        <f>IFERROR(__xludf.DUMMYFUNCTION("""COMPUTED_VALUE"""),11.0)</f>
        <v>11</v>
      </c>
      <c r="L7063" s="308">
        <f>IFERROR(__xludf.DUMMYFUNCTION("""COMPUTED_VALUE"""),2019.0)</f>
        <v>2019</v>
      </c>
      <c r="M7063" s="308" t="s">
        <v>28638</v>
      </c>
      <c r="N7063" s="308" t="s">
        <v>439</v>
      </c>
      <c r="O7063" s="308"/>
      <c r="P7063" s="308" t="s">
        <v>39545</v>
      </c>
      <c r="Q7063" s="308" t="s">
        <v>39543</v>
      </c>
      <c r="R7063" s="308" t="s">
        <v>2743</v>
      </c>
      <c r="S7063" s="308" t="s">
        <v>81</v>
      </c>
      <c r="T7063" s="308" t="s">
        <v>73</v>
      </c>
      <c r="U7063" s="308" t="s">
        <v>19204</v>
      </c>
      <c r="V7063" s="308"/>
    </row>
    <row r="7064">
      <c r="A7064" s="308"/>
      <c r="B7064" s="308"/>
      <c r="C7064" s="308" t="s">
        <v>28644</v>
      </c>
      <c r="D7064" s="308">
        <f>IFERROR(__xludf.DUMMYFUNCTION("SPLIT(C7064,""-"")"),7084.0)</f>
        <v>7084</v>
      </c>
      <c r="E7064" s="308" t="str">
        <f>IFERROR(__xludf.DUMMYFUNCTION("""COMPUTED_VALUE"""),"K")</f>
        <v>K</v>
      </c>
      <c r="F7064" s="309" t="s">
        <v>34</v>
      </c>
      <c r="G7064" s="308"/>
      <c r="H7064" s="308" t="s">
        <v>28645</v>
      </c>
      <c r="I7064" s="314">
        <v>43788.0</v>
      </c>
      <c r="J7064" s="319">
        <f>IFERROR(__xludf.DUMMYFUNCTION("SPLIT(I7064,""/"")"),19.0)</f>
        <v>19</v>
      </c>
      <c r="K7064" s="308">
        <f>IFERROR(__xludf.DUMMYFUNCTION("""COMPUTED_VALUE"""),11.0)</f>
        <v>11</v>
      </c>
      <c r="L7064" s="308">
        <f>IFERROR(__xludf.DUMMYFUNCTION("""COMPUTED_VALUE"""),2019.0)</f>
        <v>2019</v>
      </c>
      <c r="M7064" s="308" t="s">
        <v>28646</v>
      </c>
      <c r="N7064" s="308" t="s">
        <v>439</v>
      </c>
      <c r="O7064" s="308"/>
      <c r="P7064" s="308" t="s">
        <v>39546</v>
      </c>
      <c r="Q7064" s="308" t="s">
        <v>39543</v>
      </c>
      <c r="R7064" s="308" t="s">
        <v>2743</v>
      </c>
      <c r="S7064" s="308" t="s">
        <v>81</v>
      </c>
      <c r="T7064" s="308" t="s">
        <v>73</v>
      </c>
      <c r="U7064" s="308" t="s">
        <v>19204</v>
      </c>
      <c r="V7064" s="308"/>
    </row>
    <row r="7065">
      <c r="A7065" s="308"/>
      <c r="B7065" s="308"/>
      <c r="C7065" s="308" t="s">
        <v>28648</v>
      </c>
      <c r="D7065" s="308">
        <f>IFERROR(__xludf.DUMMYFUNCTION("SPLIT(C7065,""-"")"),7085.0)</f>
        <v>7085</v>
      </c>
      <c r="E7065" s="308" t="str">
        <f>IFERROR(__xludf.DUMMYFUNCTION("""COMPUTED_VALUE"""),"K")</f>
        <v>K</v>
      </c>
      <c r="F7065" s="309" t="s">
        <v>34</v>
      </c>
      <c r="G7065" s="308"/>
      <c r="H7065" s="308" t="s">
        <v>28649</v>
      </c>
      <c r="I7065" s="314">
        <v>43788.0</v>
      </c>
      <c r="J7065" s="319">
        <f>IFERROR(__xludf.DUMMYFUNCTION("SPLIT(I7065,""/"")"),19.0)</f>
        <v>19</v>
      </c>
      <c r="K7065" s="308">
        <f>IFERROR(__xludf.DUMMYFUNCTION("""COMPUTED_VALUE"""),11.0)</f>
        <v>11</v>
      </c>
      <c r="L7065" s="308">
        <f>IFERROR(__xludf.DUMMYFUNCTION("""COMPUTED_VALUE"""),2019.0)</f>
        <v>2019</v>
      </c>
      <c r="M7065" s="308" t="s">
        <v>28650</v>
      </c>
      <c r="N7065" s="308" t="s">
        <v>28651</v>
      </c>
      <c r="O7065" s="308"/>
      <c r="P7065" s="308" t="s">
        <v>39547</v>
      </c>
      <c r="Q7065" s="308" t="s">
        <v>39543</v>
      </c>
      <c r="R7065" s="308" t="s">
        <v>2743</v>
      </c>
      <c r="S7065" s="308" t="s">
        <v>81</v>
      </c>
      <c r="T7065" s="308" t="s">
        <v>73</v>
      </c>
      <c r="U7065" s="308" t="s">
        <v>19204</v>
      </c>
      <c r="V7065" s="308"/>
    </row>
    <row r="7066">
      <c r="A7066" s="308"/>
      <c r="B7066" s="308"/>
      <c r="C7066" s="308" t="s">
        <v>28653</v>
      </c>
      <c r="D7066" s="308">
        <f>IFERROR(__xludf.DUMMYFUNCTION("SPLIT(C7066,""-"")"),7086.0)</f>
        <v>7086</v>
      </c>
      <c r="E7066" s="308" t="str">
        <f>IFERROR(__xludf.DUMMYFUNCTION("""COMPUTED_VALUE"""),"K")</f>
        <v>K</v>
      </c>
      <c r="F7066" s="309" t="s">
        <v>34</v>
      </c>
      <c r="G7066" s="308"/>
      <c r="H7066" s="308" t="s">
        <v>28654</v>
      </c>
      <c r="I7066" s="314">
        <v>43788.0</v>
      </c>
      <c r="J7066" s="319">
        <f>IFERROR(__xludf.DUMMYFUNCTION("SPLIT(I7066,""/"")"),19.0)</f>
        <v>19</v>
      </c>
      <c r="K7066" s="308">
        <f>IFERROR(__xludf.DUMMYFUNCTION("""COMPUTED_VALUE"""),11.0)</f>
        <v>11</v>
      </c>
      <c r="L7066" s="308">
        <f>IFERROR(__xludf.DUMMYFUNCTION("""COMPUTED_VALUE"""),2019.0)</f>
        <v>2019</v>
      </c>
      <c r="M7066" s="308" t="s">
        <v>28638</v>
      </c>
      <c r="N7066" s="308" t="s">
        <v>439</v>
      </c>
      <c r="O7066" s="308"/>
      <c r="P7066" s="308" t="s">
        <v>39548</v>
      </c>
      <c r="Q7066" s="308" t="s">
        <v>39543</v>
      </c>
      <c r="R7066" s="308" t="s">
        <v>2743</v>
      </c>
      <c r="S7066" s="308" t="s">
        <v>81</v>
      </c>
      <c r="T7066" s="308" t="s">
        <v>73</v>
      </c>
      <c r="U7066" s="308" t="s">
        <v>19204</v>
      </c>
      <c r="V7066" s="308"/>
    </row>
    <row r="7067">
      <c r="A7067" s="308"/>
      <c r="B7067" s="308"/>
      <c r="C7067" s="308" t="s">
        <v>28656</v>
      </c>
      <c r="D7067" s="308">
        <f>IFERROR(__xludf.DUMMYFUNCTION("SPLIT(C7067,""-"")"),7087.0)</f>
        <v>7087</v>
      </c>
      <c r="E7067" s="308" t="str">
        <f>IFERROR(__xludf.DUMMYFUNCTION("""COMPUTED_VALUE"""),"K")</f>
        <v>K</v>
      </c>
      <c r="F7067" s="309" t="s">
        <v>34</v>
      </c>
      <c r="G7067" s="308"/>
      <c r="H7067" s="308" t="s">
        <v>28657</v>
      </c>
      <c r="I7067" s="314">
        <v>43788.0</v>
      </c>
      <c r="J7067" s="319">
        <f>IFERROR(__xludf.DUMMYFUNCTION("SPLIT(I7067,""/"")"),19.0)</f>
        <v>19</v>
      </c>
      <c r="K7067" s="308">
        <f>IFERROR(__xludf.DUMMYFUNCTION("""COMPUTED_VALUE"""),11.0)</f>
        <v>11</v>
      </c>
      <c r="L7067" s="308">
        <f>IFERROR(__xludf.DUMMYFUNCTION("""COMPUTED_VALUE"""),2019.0)</f>
        <v>2019</v>
      </c>
      <c r="M7067" s="308" t="s">
        <v>28658</v>
      </c>
      <c r="N7067" s="308" t="s">
        <v>439</v>
      </c>
      <c r="O7067" s="308"/>
      <c r="P7067" s="308" t="s">
        <v>39549</v>
      </c>
      <c r="Q7067" s="308" t="s">
        <v>39543</v>
      </c>
      <c r="R7067" s="308" t="s">
        <v>2743</v>
      </c>
      <c r="S7067" s="308" t="s">
        <v>81</v>
      </c>
      <c r="T7067" s="308" t="s">
        <v>73</v>
      </c>
      <c r="U7067" s="308" t="s">
        <v>19204</v>
      </c>
      <c r="V7067" s="308"/>
    </row>
    <row r="7068">
      <c r="A7068" s="308"/>
      <c r="B7068" s="308"/>
      <c r="C7068" s="308" t="s">
        <v>28660</v>
      </c>
      <c r="D7068" s="308">
        <f>IFERROR(__xludf.DUMMYFUNCTION("SPLIT(C7068,""-"")"),7088.0)</f>
        <v>7088</v>
      </c>
      <c r="E7068" s="308" t="str">
        <f>IFERROR(__xludf.DUMMYFUNCTION("""COMPUTED_VALUE"""),"K")</f>
        <v>K</v>
      </c>
      <c r="F7068" s="309" t="s">
        <v>34</v>
      </c>
      <c r="G7068" s="308"/>
      <c r="H7068" s="308" t="s">
        <v>28661</v>
      </c>
      <c r="I7068" s="314">
        <v>43788.0</v>
      </c>
      <c r="J7068" s="319">
        <f>IFERROR(__xludf.DUMMYFUNCTION("SPLIT(I7068,""/"")"),19.0)</f>
        <v>19</v>
      </c>
      <c r="K7068" s="308">
        <f>IFERROR(__xludf.DUMMYFUNCTION("""COMPUTED_VALUE"""),11.0)</f>
        <v>11</v>
      </c>
      <c r="L7068" s="308">
        <f>IFERROR(__xludf.DUMMYFUNCTION("""COMPUTED_VALUE"""),2019.0)</f>
        <v>2019</v>
      </c>
      <c r="M7068" s="308" t="s">
        <v>28638</v>
      </c>
      <c r="N7068" s="308" t="s">
        <v>439</v>
      </c>
      <c r="O7068" s="308"/>
      <c r="P7068" s="308" t="s">
        <v>39550</v>
      </c>
      <c r="Q7068" s="308" t="s">
        <v>39543</v>
      </c>
      <c r="R7068" s="308" t="s">
        <v>2743</v>
      </c>
      <c r="S7068" s="308" t="s">
        <v>81</v>
      </c>
      <c r="T7068" s="308" t="s">
        <v>73</v>
      </c>
      <c r="U7068" s="308" t="s">
        <v>19204</v>
      </c>
      <c r="V7068" s="308" t="s">
        <v>28663</v>
      </c>
    </row>
    <row r="7069">
      <c r="A7069" s="308"/>
      <c r="B7069" s="308"/>
      <c r="C7069" s="308" t="s">
        <v>28664</v>
      </c>
      <c r="D7069" s="308">
        <f>IFERROR(__xludf.DUMMYFUNCTION("SPLIT(C7069,""-"")"),7089.0)</f>
        <v>7089</v>
      </c>
      <c r="E7069" s="308" t="str">
        <f>IFERROR(__xludf.DUMMYFUNCTION("""COMPUTED_VALUE"""),"K")</f>
        <v>K</v>
      </c>
      <c r="F7069" s="309" t="s">
        <v>34</v>
      </c>
      <c r="G7069" s="308"/>
      <c r="H7069" s="308" t="s">
        <v>28665</v>
      </c>
      <c r="I7069" s="310">
        <v>40267.0</v>
      </c>
      <c r="J7069" s="319">
        <f>IFERROR(__xludf.DUMMYFUNCTION("SPLIT(I7069,""/"")"),30.0)</f>
        <v>30</v>
      </c>
      <c r="K7069" s="308">
        <f>IFERROR(__xludf.DUMMYFUNCTION("""COMPUTED_VALUE"""),3.0)</f>
        <v>3</v>
      </c>
      <c r="L7069" s="308">
        <f>IFERROR(__xludf.DUMMYFUNCTION("""COMPUTED_VALUE"""),2010.0)</f>
        <v>2010</v>
      </c>
      <c r="M7069" s="308" t="s">
        <v>28666</v>
      </c>
      <c r="N7069" s="308" t="s">
        <v>28667</v>
      </c>
      <c r="O7069" s="308"/>
      <c r="P7069" s="308" t="s">
        <v>136</v>
      </c>
      <c r="Q7069" s="308" t="s">
        <v>39551</v>
      </c>
      <c r="R7069" s="308" t="s">
        <v>2743</v>
      </c>
      <c r="S7069" s="315" t="s">
        <v>100</v>
      </c>
      <c r="T7069" s="308" t="s">
        <v>34208</v>
      </c>
      <c r="U7069" s="308" t="s">
        <v>22473</v>
      </c>
      <c r="V7069" s="308" t="s">
        <v>28668</v>
      </c>
    </row>
    <row r="7070">
      <c r="A7070" s="308"/>
      <c r="B7070" s="308"/>
      <c r="C7070" s="308" t="s">
        <v>28669</v>
      </c>
      <c r="D7070" s="308">
        <f>IFERROR(__xludf.DUMMYFUNCTION("SPLIT(C7070,""-"")"),7090.0)</f>
        <v>7090</v>
      </c>
      <c r="E7070" s="308" t="str">
        <f>IFERROR(__xludf.DUMMYFUNCTION("""COMPUTED_VALUE"""),"P")</f>
        <v>P</v>
      </c>
      <c r="F7070" s="312" t="s">
        <v>37</v>
      </c>
      <c r="G7070" s="308"/>
      <c r="H7070" s="308" t="s">
        <v>28670</v>
      </c>
      <c r="I7070" s="314">
        <v>44154.0</v>
      </c>
      <c r="J7070" s="319">
        <f>IFERROR(__xludf.DUMMYFUNCTION("SPLIT(I7070,""/"")"),19.0)</f>
        <v>19</v>
      </c>
      <c r="K7070" s="308">
        <f>IFERROR(__xludf.DUMMYFUNCTION("""COMPUTED_VALUE"""),11.0)</f>
        <v>11</v>
      </c>
      <c r="L7070" s="308">
        <f>IFERROR(__xludf.DUMMYFUNCTION("""COMPUTED_VALUE"""),2020.0)</f>
        <v>2020</v>
      </c>
      <c r="M7070" s="308" t="s">
        <v>28671</v>
      </c>
      <c r="N7070" s="308" t="s">
        <v>28672</v>
      </c>
      <c r="O7070" s="308"/>
      <c r="P7070" s="308" t="s">
        <v>39552</v>
      </c>
      <c r="Q7070" s="308" t="s">
        <v>39553</v>
      </c>
      <c r="R7070" s="308" t="s">
        <v>2743</v>
      </c>
      <c r="S7070" s="308" t="s">
        <v>81</v>
      </c>
      <c r="T7070" s="311" t="s">
        <v>77</v>
      </c>
      <c r="U7070" s="308" t="s">
        <v>2748</v>
      </c>
      <c r="V7070" s="308"/>
    </row>
    <row r="7071">
      <c r="A7071" s="308"/>
      <c r="B7071" s="308"/>
      <c r="C7071" s="308" t="s">
        <v>28674</v>
      </c>
      <c r="D7071" s="308">
        <f>IFERROR(__xludf.DUMMYFUNCTION("SPLIT(C7071,""-"")"),7091.0)</f>
        <v>7091</v>
      </c>
      <c r="E7071" s="308" t="str">
        <f>IFERROR(__xludf.DUMMYFUNCTION("""COMPUTED_VALUE"""),"K")</f>
        <v>K</v>
      </c>
      <c r="F7071" s="309" t="s">
        <v>34</v>
      </c>
      <c r="G7071" s="308"/>
      <c r="H7071" s="308" t="s">
        <v>28675</v>
      </c>
      <c r="I7071" s="314">
        <v>44193.0</v>
      </c>
      <c r="J7071" s="319">
        <f>IFERROR(__xludf.DUMMYFUNCTION("SPLIT(I7071,""/"")"),28.0)</f>
        <v>28</v>
      </c>
      <c r="K7071" s="308">
        <f>IFERROR(__xludf.DUMMYFUNCTION("""COMPUTED_VALUE"""),12.0)</f>
        <v>12</v>
      </c>
      <c r="L7071" s="308">
        <f>IFERROR(__xludf.DUMMYFUNCTION("""COMPUTED_VALUE"""),2020.0)</f>
        <v>2020</v>
      </c>
      <c r="M7071" s="308" t="s">
        <v>28676</v>
      </c>
      <c r="N7071" s="308" t="s">
        <v>28677</v>
      </c>
      <c r="O7071" s="308"/>
      <c r="P7071" s="308" t="s">
        <v>28678</v>
      </c>
      <c r="Q7071" s="308" t="s">
        <v>39554</v>
      </c>
      <c r="R7071" s="308" t="s">
        <v>2743</v>
      </c>
      <c r="S7071" s="308" t="s">
        <v>81</v>
      </c>
      <c r="T7071" s="311" t="s">
        <v>91</v>
      </c>
      <c r="U7071" s="308" t="s">
        <v>201</v>
      </c>
      <c r="V7071" s="308"/>
    </row>
    <row r="7072">
      <c r="A7072" s="308"/>
      <c r="B7072" s="308"/>
      <c r="C7072" s="308" t="s">
        <v>28679</v>
      </c>
      <c r="D7072" s="308">
        <f>IFERROR(__xludf.DUMMYFUNCTION("SPLIT(C7072,""-"")"),7092.0)</f>
        <v>7092</v>
      </c>
      <c r="E7072" s="308" t="str">
        <f>IFERROR(__xludf.DUMMYFUNCTION("""COMPUTED_VALUE"""),"S")</f>
        <v>S</v>
      </c>
      <c r="F7072" s="312" t="s">
        <v>39</v>
      </c>
      <c r="G7072" s="308"/>
      <c r="H7072" s="308" t="s">
        <v>28680</v>
      </c>
      <c r="I7072" s="310">
        <v>43725.0</v>
      </c>
      <c r="J7072" s="319">
        <f>IFERROR(__xludf.DUMMYFUNCTION("SPLIT(I7072,""/"")"),17.0)</f>
        <v>17</v>
      </c>
      <c r="K7072" s="308">
        <f>IFERROR(__xludf.DUMMYFUNCTION("""COMPUTED_VALUE"""),9.0)</f>
        <v>9</v>
      </c>
      <c r="L7072" s="308">
        <f>IFERROR(__xludf.DUMMYFUNCTION("""COMPUTED_VALUE"""),2019.0)</f>
        <v>2019</v>
      </c>
      <c r="M7072" s="308" t="s">
        <v>28681</v>
      </c>
      <c r="N7072" s="308" t="s">
        <v>28682</v>
      </c>
      <c r="O7072" s="308"/>
      <c r="P7072" s="308" t="s">
        <v>28683</v>
      </c>
      <c r="Q7072" s="308" t="s">
        <v>39555</v>
      </c>
      <c r="R7072" s="308" t="s">
        <v>2743</v>
      </c>
      <c r="S7072" s="308" t="s">
        <v>81</v>
      </c>
      <c r="T7072" s="308" t="s">
        <v>73</v>
      </c>
      <c r="U7072" s="308" t="s">
        <v>166</v>
      </c>
      <c r="V7072" s="308"/>
    </row>
    <row r="7073">
      <c r="A7073" s="308"/>
      <c r="B7073" s="308"/>
      <c r="C7073" s="308" t="s">
        <v>28684</v>
      </c>
      <c r="D7073" s="308">
        <f>IFERROR(__xludf.DUMMYFUNCTION("SPLIT(C7073,""-"")"),7093.0)</f>
        <v>7093</v>
      </c>
      <c r="E7073" s="308" t="str">
        <f>IFERROR(__xludf.DUMMYFUNCTION("""COMPUTED_VALUE"""),"K")</f>
        <v>K</v>
      </c>
      <c r="F7073" s="309" t="s">
        <v>34</v>
      </c>
      <c r="G7073" s="308"/>
      <c r="H7073" s="308" t="s">
        <v>28685</v>
      </c>
      <c r="I7073" s="310">
        <v>44246.0</v>
      </c>
      <c r="J7073" s="319">
        <f>IFERROR(__xludf.DUMMYFUNCTION("SPLIT(I7073,""/"")"),19.0)</f>
        <v>19</v>
      </c>
      <c r="K7073" s="308">
        <f>IFERROR(__xludf.DUMMYFUNCTION("""COMPUTED_VALUE"""),2.0)</f>
        <v>2</v>
      </c>
      <c r="L7073" s="308">
        <f>IFERROR(__xludf.DUMMYFUNCTION("""COMPUTED_VALUE"""),2021.0)</f>
        <v>2021</v>
      </c>
      <c r="M7073" s="308" t="s">
        <v>28686</v>
      </c>
      <c r="N7073" s="308"/>
      <c r="O7073" s="308" t="s">
        <v>28687</v>
      </c>
      <c r="P7073" s="308" t="s">
        <v>28688</v>
      </c>
      <c r="Q7073" s="308" t="s">
        <v>39555</v>
      </c>
      <c r="R7073" s="308" t="s">
        <v>2743</v>
      </c>
      <c r="S7073" s="308" t="s">
        <v>81</v>
      </c>
      <c r="T7073" s="311" t="s">
        <v>51</v>
      </c>
      <c r="U7073" s="308" t="s">
        <v>201</v>
      </c>
      <c r="V7073" s="308"/>
    </row>
    <row r="7074">
      <c r="A7074" s="308"/>
      <c r="B7074" s="308"/>
      <c r="C7074" s="308" t="s">
        <v>28689</v>
      </c>
      <c r="D7074" s="308">
        <f>IFERROR(__xludf.DUMMYFUNCTION("SPLIT(C7074,""-"")"),7094.0)</f>
        <v>7094</v>
      </c>
      <c r="E7074" s="308" t="str">
        <f>IFERROR(__xludf.DUMMYFUNCTION("""COMPUTED_VALUE"""),"P")</f>
        <v>P</v>
      </c>
      <c r="F7074" s="312" t="s">
        <v>37</v>
      </c>
      <c r="G7074" s="308"/>
      <c r="H7074" s="308" t="s">
        <v>28690</v>
      </c>
      <c r="I7074" s="310">
        <v>44259.0</v>
      </c>
      <c r="J7074" s="319">
        <f>IFERROR(__xludf.DUMMYFUNCTION("SPLIT(I7074,""/"")"),4.0)</f>
        <v>4</v>
      </c>
      <c r="K7074" s="308">
        <f>IFERROR(__xludf.DUMMYFUNCTION("""COMPUTED_VALUE"""),3.0)</f>
        <v>3</v>
      </c>
      <c r="L7074" s="308">
        <f>IFERROR(__xludf.DUMMYFUNCTION("""COMPUTED_VALUE"""),2021.0)</f>
        <v>2021</v>
      </c>
      <c r="M7074" s="308" t="s">
        <v>28691</v>
      </c>
      <c r="N7074" s="308"/>
      <c r="O7074" s="308"/>
      <c r="P7074" s="308" t="s">
        <v>28692</v>
      </c>
      <c r="Q7074" s="308" t="s">
        <v>39556</v>
      </c>
      <c r="R7074" s="308" t="s">
        <v>2743</v>
      </c>
      <c r="S7074" s="308" t="s">
        <v>81</v>
      </c>
      <c r="T7074" s="311" t="s">
        <v>96</v>
      </c>
      <c r="U7074" s="308" t="s">
        <v>143</v>
      </c>
      <c r="V7074" s="308"/>
    </row>
    <row r="7075">
      <c r="A7075" s="308"/>
      <c r="B7075" s="308"/>
      <c r="C7075" s="308" t="s">
        <v>28693</v>
      </c>
      <c r="D7075" s="308">
        <f>IFERROR(__xludf.DUMMYFUNCTION("SPLIT(C7075,""-"")"),7095.0)</f>
        <v>7095</v>
      </c>
      <c r="E7075" s="308" t="str">
        <f>IFERROR(__xludf.DUMMYFUNCTION("""COMPUTED_VALUE"""),"P")</f>
        <v>P</v>
      </c>
      <c r="F7075" s="312" t="s">
        <v>37</v>
      </c>
      <c r="G7075" s="308"/>
      <c r="H7075" s="308" t="s">
        <v>28694</v>
      </c>
      <c r="I7075" s="310">
        <v>44260.0</v>
      </c>
      <c r="J7075" s="319">
        <f>IFERROR(__xludf.DUMMYFUNCTION("SPLIT(I7075,""/"")"),5.0)</f>
        <v>5</v>
      </c>
      <c r="K7075" s="308">
        <f>IFERROR(__xludf.DUMMYFUNCTION("""COMPUTED_VALUE"""),3.0)</f>
        <v>3</v>
      </c>
      <c r="L7075" s="308">
        <f>IFERROR(__xludf.DUMMYFUNCTION("""COMPUTED_VALUE"""),2021.0)</f>
        <v>2021</v>
      </c>
      <c r="M7075" s="308" t="s">
        <v>28695</v>
      </c>
      <c r="N7075" s="308" t="s">
        <v>28696</v>
      </c>
      <c r="O7075" s="308"/>
      <c r="P7075" s="308" t="s">
        <v>39557</v>
      </c>
      <c r="Q7075" s="308" t="s">
        <v>39558</v>
      </c>
      <c r="R7075" s="308" t="s">
        <v>2743</v>
      </c>
      <c r="S7075" s="308" t="s">
        <v>81</v>
      </c>
      <c r="T7075" s="311" t="s">
        <v>96</v>
      </c>
      <c r="U7075" s="308" t="s">
        <v>143</v>
      </c>
      <c r="V7075" s="308"/>
    </row>
    <row r="7076">
      <c r="A7076" s="308"/>
      <c r="B7076" s="308"/>
      <c r="C7076" s="308" t="s">
        <v>28698</v>
      </c>
      <c r="D7076" s="308">
        <f>IFERROR(__xludf.DUMMYFUNCTION("SPLIT(C7076,""-"")"),7096.0)</f>
        <v>7096</v>
      </c>
      <c r="E7076" s="308" t="str">
        <f>IFERROR(__xludf.DUMMYFUNCTION("""COMPUTED_VALUE"""),"P")</f>
        <v>P</v>
      </c>
      <c r="F7076" s="312" t="s">
        <v>37</v>
      </c>
      <c r="G7076" s="308"/>
      <c r="H7076" s="308" t="s">
        <v>28699</v>
      </c>
      <c r="I7076" s="310">
        <v>44260.0</v>
      </c>
      <c r="J7076" s="319">
        <f>IFERROR(__xludf.DUMMYFUNCTION("SPLIT(I7076,""/"")"),5.0)</f>
        <v>5</v>
      </c>
      <c r="K7076" s="308">
        <f>IFERROR(__xludf.DUMMYFUNCTION("""COMPUTED_VALUE"""),3.0)</f>
        <v>3</v>
      </c>
      <c r="L7076" s="308">
        <f>IFERROR(__xludf.DUMMYFUNCTION("""COMPUTED_VALUE"""),2021.0)</f>
        <v>2021</v>
      </c>
      <c r="M7076" s="308" t="s">
        <v>28700</v>
      </c>
      <c r="N7076" s="308" t="s">
        <v>28701</v>
      </c>
      <c r="O7076" s="308"/>
      <c r="P7076" s="308" t="s">
        <v>28702</v>
      </c>
      <c r="Q7076" s="308" t="s">
        <v>39559</v>
      </c>
      <c r="R7076" s="308" t="s">
        <v>2743</v>
      </c>
      <c r="S7076" s="308" t="s">
        <v>81</v>
      </c>
      <c r="T7076" s="308" t="s">
        <v>75</v>
      </c>
      <c r="U7076" s="308" t="s">
        <v>149</v>
      </c>
      <c r="V7076" s="308"/>
    </row>
    <row r="7077">
      <c r="A7077" s="308"/>
      <c r="B7077" s="308"/>
      <c r="C7077" s="308" t="s">
        <v>28703</v>
      </c>
      <c r="D7077" s="308">
        <f>IFERROR(__xludf.DUMMYFUNCTION("SPLIT(C7077,""-"")"),7097.0)</f>
        <v>7097</v>
      </c>
      <c r="E7077" s="308" t="str">
        <f>IFERROR(__xludf.DUMMYFUNCTION("""COMPUTED_VALUE"""),"P")</f>
        <v>P</v>
      </c>
      <c r="F7077" s="312" t="s">
        <v>37</v>
      </c>
      <c r="G7077" s="308"/>
      <c r="H7077" s="308" t="s">
        <v>28704</v>
      </c>
      <c r="I7077" s="310">
        <v>44097.0</v>
      </c>
      <c r="J7077" s="319">
        <f>IFERROR(__xludf.DUMMYFUNCTION("SPLIT(I7077,""/"")"),23.0)</f>
        <v>23</v>
      </c>
      <c r="K7077" s="308">
        <f>IFERROR(__xludf.DUMMYFUNCTION("""COMPUTED_VALUE"""),9.0)</f>
        <v>9</v>
      </c>
      <c r="L7077" s="308">
        <f>IFERROR(__xludf.DUMMYFUNCTION("""COMPUTED_VALUE"""),2020.0)</f>
        <v>2020</v>
      </c>
      <c r="M7077" s="308" t="s">
        <v>28705</v>
      </c>
      <c r="N7077" s="308" t="s">
        <v>28706</v>
      </c>
      <c r="O7077" s="308"/>
      <c r="P7077" s="308" t="s">
        <v>39560</v>
      </c>
      <c r="Q7077" s="308" t="s">
        <v>39559</v>
      </c>
      <c r="R7077" s="308" t="s">
        <v>2743</v>
      </c>
      <c r="S7077" s="308" t="s">
        <v>81</v>
      </c>
      <c r="T7077" s="311" t="s">
        <v>73</v>
      </c>
      <c r="U7077" s="308" t="s">
        <v>3407</v>
      </c>
      <c r="V7077" s="308"/>
    </row>
    <row r="7078">
      <c r="A7078" s="308"/>
      <c r="B7078" s="308"/>
      <c r="C7078" s="308" t="s">
        <v>28708</v>
      </c>
      <c r="D7078" s="308">
        <f>IFERROR(__xludf.DUMMYFUNCTION("SPLIT(C7078,""-"")"),7098.0)</f>
        <v>7098</v>
      </c>
      <c r="E7078" s="308" t="str">
        <f>IFERROR(__xludf.DUMMYFUNCTION("""COMPUTED_VALUE"""),"B")</f>
        <v>B</v>
      </c>
      <c r="F7078" s="315" t="s">
        <v>26</v>
      </c>
      <c r="G7078" s="308"/>
      <c r="H7078" s="308" t="s">
        <v>28709</v>
      </c>
      <c r="I7078" s="310">
        <v>43876.0</v>
      </c>
      <c r="J7078" s="319">
        <f>IFERROR(__xludf.DUMMYFUNCTION("SPLIT(I7078,""/"")"),15.0)</f>
        <v>15</v>
      </c>
      <c r="K7078" s="308">
        <f>IFERROR(__xludf.DUMMYFUNCTION("""COMPUTED_VALUE"""),2.0)</f>
        <v>2</v>
      </c>
      <c r="L7078" s="308">
        <f>IFERROR(__xludf.DUMMYFUNCTION("""COMPUTED_VALUE"""),2020.0)</f>
        <v>2020</v>
      </c>
      <c r="M7078" s="308" t="s">
        <v>28710</v>
      </c>
      <c r="N7078" s="308" t="s">
        <v>28711</v>
      </c>
      <c r="O7078" s="308"/>
      <c r="P7078" s="308" t="s">
        <v>136</v>
      </c>
      <c r="Q7078" s="308" t="s">
        <v>39561</v>
      </c>
      <c r="R7078" s="308" t="s">
        <v>20958</v>
      </c>
      <c r="S7078" s="315" t="s">
        <v>100</v>
      </c>
      <c r="T7078" s="308" t="s">
        <v>34208</v>
      </c>
      <c r="U7078" s="308" t="s">
        <v>39562</v>
      </c>
      <c r="V7078" s="308"/>
    </row>
    <row r="7079">
      <c r="A7079" s="308"/>
      <c r="B7079" s="308"/>
      <c r="C7079" s="308" t="s">
        <v>28713</v>
      </c>
      <c r="D7079" s="308">
        <f>IFERROR(__xludf.DUMMYFUNCTION("SPLIT(C7079,""-"")"),7099.0)</f>
        <v>7099</v>
      </c>
      <c r="E7079" s="308" t="str">
        <f>IFERROR(__xludf.DUMMYFUNCTION("""COMPUTED_VALUE"""),"B")</f>
        <v>B</v>
      </c>
      <c r="F7079" s="315" t="s">
        <v>26</v>
      </c>
      <c r="G7079" s="308"/>
      <c r="H7079" s="308" t="s">
        <v>28714</v>
      </c>
      <c r="I7079" s="310">
        <v>42186.0</v>
      </c>
      <c r="J7079" s="319">
        <f>IFERROR(__xludf.DUMMYFUNCTION("SPLIT(I7079,""/"")"),1.0)</f>
        <v>1</v>
      </c>
      <c r="K7079" s="308">
        <f>IFERROR(__xludf.DUMMYFUNCTION("""COMPUTED_VALUE"""),7.0)</f>
        <v>7</v>
      </c>
      <c r="L7079" s="308">
        <f>IFERROR(__xludf.DUMMYFUNCTION("""COMPUTED_VALUE"""),2015.0)</f>
        <v>2015</v>
      </c>
      <c r="M7079" s="308" t="s">
        <v>28715</v>
      </c>
      <c r="N7079" s="308" t="s">
        <v>28716</v>
      </c>
      <c r="O7079" s="308"/>
      <c r="P7079" s="308" t="s">
        <v>136</v>
      </c>
      <c r="Q7079" s="308" t="s">
        <v>39561</v>
      </c>
      <c r="R7079" s="308" t="s">
        <v>20958</v>
      </c>
      <c r="S7079" s="315" t="s">
        <v>100</v>
      </c>
      <c r="T7079" s="308" t="s">
        <v>34208</v>
      </c>
      <c r="U7079" s="308" t="s">
        <v>27</v>
      </c>
      <c r="V7079" s="308"/>
    </row>
    <row r="7080">
      <c r="A7080" s="308"/>
      <c r="B7080" s="308"/>
      <c r="C7080" s="308" t="s">
        <v>28717</v>
      </c>
      <c r="D7080" s="308">
        <f>IFERROR(__xludf.DUMMYFUNCTION("SPLIT(C7080,""-"")"),7100.0)</f>
        <v>7100</v>
      </c>
      <c r="E7080" s="308" t="str">
        <f>IFERROR(__xludf.DUMMYFUNCTION("""COMPUTED_VALUE"""),"B")</f>
        <v>B</v>
      </c>
      <c r="F7080" s="315" t="s">
        <v>26</v>
      </c>
      <c r="G7080" s="308"/>
      <c r="H7080" s="308" t="s">
        <v>28718</v>
      </c>
      <c r="I7080" s="310">
        <v>41706.0</v>
      </c>
      <c r="J7080" s="319">
        <f>IFERROR(__xludf.DUMMYFUNCTION("SPLIT(I7080,""/"")"),8.0)</f>
        <v>8</v>
      </c>
      <c r="K7080" s="308">
        <f>IFERROR(__xludf.DUMMYFUNCTION("""COMPUTED_VALUE"""),3.0)</f>
        <v>3</v>
      </c>
      <c r="L7080" s="308">
        <f>IFERROR(__xludf.DUMMYFUNCTION("""COMPUTED_VALUE"""),2014.0)</f>
        <v>2014</v>
      </c>
      <c r="M7080" s="308" t="s">
        <v>28719</v>
      </c>
      <c r="N7080" s="308" t="s">
        <v>28720</v>
      </c>
      <c r="O7080" s="308"/>
      <c r="P7080" s="308" t="s">
        <v>136</v>
      </c>
      <c r="Q7080" s="308" t="s">
        <v>39561</v>
      </c>
      <c r="R7080" s="308" t="s">
        <v>20958</v>
      </c>
      <c r="S7080" s="315" t="s">
        <v>100</v>
      </c>
      <c r="T7080" s="308" t="s">
        <v>34208</v>
      </c>
      <c r="U7080" s="308" t="s">
        <v>27</v>
      </c>
      <c r="V7080" s="308"/>
    </row>
    <row r="7081">
      <c r="A7081" s="308"/>
      <c r="B7081" s="308"/>
      <c r="C7081" s="308" t="s">
        <v>28721</v>
      </c>
      <c r="D7081" s="308">
        <f>IFERROR(__xludf.DUMMYFUNCTION("SPLIT(C7081,""-"")"),7101.0)</f>
        <v>7101</v>
      </c>
      <c r="E7081" s="308" t="str">
        <f>IFERROR(__xludf.DUMMYFUNCTION("""COMPUTED_VALUE"""),"K")</f>
        <v>K</v>
      </c>
      <c r="F7081" s="309" t="s">
        <v>34</v>
      </c>
      <c r="G7081" s="308"/>
      <c r="H7081" s="308" t="s">
        <v>28722</v>
      </c>
      <c r="I7081" s="310">
        <v>44096.0</v>
      </c>
      <c r="J7081" s="319">
        <f>IFERROR(__xludf.DUMMYFUNCTION("SPLIT(I7081,""/"")"),22.0)</f>
        <v>22</v>
      </c>
      <c r="K7081" s="308">
        <f>IFERROR(__xludf.DUMMYFUNCTION("""COMPUTED_VALUE"""),9.0)</f>
        <v>9</v>
      </c>
      <c r="L7081" s="308">
        <f>IFERROR(__xludf.DUMMYFUNCTION("""COMPUTED_VALUE"""),2020.0)</f>
        <v>2020</v>
      </c>
      <c r="M7081" s="308" t="s">
        <v>28723</v>
      </c>
      <c r="N7081" s="308" t="s">
        <v>28724</v>
      </c>
      <c r="O7081" s="308" t="s">
        <v>28725</v>
      </c>
      <c r="P7081" s="308" t="s">
        <v>28726</v>
      </c>
      <c r="Q7081" s="308" t="s">
        <v>39563</v>
      </c>
      <c r="R7081" s="308" t="s">
        <v>2743</v>
      </c>
      <c r="S7081" s="308" t="s">
        <v>81</v>
      </c>
      <c r="T7081" s="308" t="s">
        <v>34264</v>
      </c>
      <c r="U7081" s="308" t="s">
        <v>542</v>
      </c>
      <c r="V7081" s="308"/>
    </row>
    <row r="7082">
      <c r="A7082" s="308"/>
      <c r="B7082" s="308"/>
      <c r="C7082" s="308" t="s">
        <v>28727</v>
      </c>
      <c r="D7082" s="308">
        <f>IFERROR(__xludf.DUMMYFUNCTION("SPLIT(C7082,""-"")"),7102.0)</f>
        <v>7102</v>
      </c>
      <c r="E7082" s="308" t="str">
        <f>IFERROR(__xludf.DUMMYFUNCTION("""COMPUTED_VALUE"""),"S")</f>
        <v>S</v>
      </c>
      <c r="F7082" s="312" t="s">
        <v>39</v>
      </c>
      <c r="G7082" s="308"/>
      <c r="H7082" s="308" t="s">
        <v>28728</v>
      </c>
      <c r="I7082" s="310">
        <v>44235.0</v>
      </c>
      <c r="J7082" s="319">
        <f>IFERROR(__xludf.DUMMYFUNCTION("SPLIT(I7082,""/"")"),8.0)</f>
        <v>8</v>
      </c>
      <c r="K7082" s="308">
        <f>IFERROR(__xludf.DUMMYFUNCTION("""COMPUTED_VALUE"""),2.0)</f>
        <v>2</v>
      </c>
      <c r="L7082" s="308">
        <f>IFERROR(__xludf.DUMMYFUNCTION("""COMPUTED_VALUE"""),2021.0)</f>
        <v>2021</v>
      </c>
      <c r="M7082" s="308" t="s">
        <v>28729</v>
      </c>
      <c r="N7082" s="308" t="s">
        <v>28730</v>
      </c>
      <c r="O7082" s="308"/>
      <c r="P7082" s="308" t="s">
        <v>136</v>
      </c>
      <c r="Q7082" s="308" t="s">
        <v>39563</v>
      </c>
      <c r="R7082" s="308" t="s">
        <v>2743</v>
      </c>
      <c r="S7082" s="315" t="s">
        <v>100</v>
      </c>
      <c r="T7082" s="308" t="s">
        <v>34208</v>
      </c>
      <c r="U7082" s="308" t="s">
        <v>166</v>
      </c>
      <c r="V7082" s="308"/>
    </row>
    <row r="7083">
      <c r="A7083" s="308"/>
      <c r="B7083" s="308"/>
      <c r="C7083" s="308" t="s">
        <v>28731</v>
      </c>
      <c r="D7083" s="308">
        <f>IFERROR(__xludf.DUMMYFUNCTION("SPLIT(C7083,""-"")"),7103.0)</f>
        <v>7103</v>
      </c>
      <c r="E7083" s="308" t="str">
        <f>IFERROR(__xludf.DUMMYFUNCTION("""COMPUTED_VALUE"""),"I")</f>
        <v>I</v>
      </c>
      <c r="F7083" s="309" t="s">
        <v>31</v>
      </c>
      <c r="G7083" s="308"/>
      <c r="H7083" s="308" t="s">
        <v>28732</v>
      </c>
      <c r="I7083" s="310">
        <v>39630.0</v>
      </c>
      <c r="J7083" s="319">
        <f>IFERROR(__xludf.DUMMYFUNCTION("SPLIT(I7083,""/"")"),1.0)</f>
        <v>1</v>
      </c>
      <c r="K7083" s="308">
        <f>IFERROR(__xludf.DUMMYFUNCTION("""COMPUTED_VALUE"""),7.0)</f>
        <v>7</v>
      </c>
      <c r="L7083" s="308">
        <f>IFERROR(__xludf.DUMMYFUNCTION("""COMPUTED_VALUE"""),2008.0)</f>
        <v>2008</v>
      </c>
      <c r="M7083" s="308" t="s">
        <v>28733</v>
      </c>
      <c r="N7083" s="308" t="s">
        <v>39564</v>
      </c>
      <c r="O7083" s="308"/>
      <c r="P7083" s="308" t="s">
        <v>136</v>
      </c>
      <c r="Q7083" s="308" t="s">
        <v>39563</v>
      </c>
      <c r="R7083" s="308" t="s">
        <v>2743</v>
      </c>
      <c r="S7083" s="315" t="s">
        <v>100</v>
      </c>
      <c r="T7083" s="308" t="s">
        <v>34208</v>
      </c>
      <c r="U7083" s="308" t="s">
        <v>31</v>
      </c>
      <c r="V7083" s="308"/>
    </row>
    <row r="7084">
      <c r="A7084" s="308"/>
      <c r="B7084" s="308"/>
      <c r="C7084" s="308" t="s">
        <v>28735</v>
      </c>
      <c r="D7084" s="308">
        <f>IFERROR(__xludf.DUMMYFUNCTION("SPLIT(C7084,""-"")"),7104.0)</f>
        <v>7104</v>
      </c>
      <c r="E7084" s="308" t="str">
        <f>IFERROR(__xludf.DUMMYFUNCTION("""COMPUTED_VALUE"""),"S")</f>
        <v>S</v>
      </c>
      <c r="F7084" s="312" t="s">
        <v>39</v>
      </c>
      <c r="G7084" s="308"/>
      <c r="H7084" s="308" t="s">
        <v>28736</v>
      </c>
      <c r="I7084" s="310">
        <v>39995.0</v>
      </c>
      <c r="J7084" s="319">
        <f>IFERROR(__xludf.DUMMYFUNCTION("SPLIT(I7084,""/"")"),1.0)</f>
        <v>1</v>
      </c>
      <c r="K7084" s="308">
        <f>IFERROR(__xludf.DUMMYFUNCTION("""COMPUTED_VALUE"""),7.0)</f>
        <v>7</v>
      </c>
      <c r="L7084" s="308">
        <f>IFERROR(__xludf.DUMMYFUNCTION("""COMPUTED_VALUE"""),2009.0)</f>
        <v>2009</v>
      </c>
      <c r="M7084" s="308" t="s">
        <v>28733</v>
      </c>
      <c r="N7084" s="308" t="s">
        <v>39565</v>
      </c>
      <c r="O7084" s="308"/>
      <c r="P7084" s="308" t="s">
        <v>39566</v>
      </c>
      <c r="Q7084" s="308" t="s">
        <v>39563</v>
      </c>
      <c r="R7084" s="308" t="s">
        <v>2743</v>
      </c>
      <c r="S7084" s="308" t="s">
        <v>49</v>
      </c>
      <c r="T7084" s="308" t="s">
        <v>69</v>
      </c>
      <c r="U7084" s="308" t="s">
        <v>166</v>
      </c>
      <c r="V7084" s="308"/>
    </row>
    <row r="7085">
      <c r="A7085" s="308"/>
      <c r="B7085" s="308"/>
      <c r="C7085" s="308" t="s">
        <v>28739</v>
      </c>
      <c r="D7085" s="308">
        <f>IFERROR(__xludf.DUMMYFUNCTION("SPLIT(C7085,""-"")"),7105.0)</f>
        <v>7105</v>
      </c>
      <c r="E7085" s="308" t="str">
        <f>IFERROR(__xludf.DUMMYFUNCTION("""COMPUTED_VALUE"""),"S")</f>
        <v>S</v>
      </c>
      <c r="F7085" s="312" t="s">
        <v>39</v>
      </c>
      <c r="G7085" s="308"/>
      <c r="H7085" s="308" t="s">
        <v>28740</v>
      </c>
      <c r="I7085" s="310">
        <v>39995.0</v>
      </c>
      <c r="J7085" s="319">
        <f>IFERROR(__xludf.DUMMYFUNCTION("SPLIT(I7085,""/"")"),1.0)</f>
        <v>1</v>
      </c>
      <c r="K7085" s="308">
        <f>IFERROR(__xludf.DUMMYFUNCTION("""COMPUTED_VALUE"""),7.0)</f>
        <v>7</v>
      </c>
      <c r="L7085" s="308">
        <f>IFERROR(__xludf.DUMMYFUNCTION("""COMPUTED_VALUE"""),2009.0)</f>
        <v>2009</v>
      </c>
      <c r="M7085" s="308" t="s">
        <v>28733</v>
      </c>
      <c r="N7085" s="308" t="s">
        <v>39565</v>
      </c>
      <c r="O7085" s="308"/>
      <c r="P7085" s="308" t="s">
        <v>28741</v>
      </c>
      <c r="Q7085" s="308" t="s">
        <v>39563</v>
      </c>
      <c r="R7085" s="308" t="s">
        <v>2743</v>
      </c>
      <c r="S7085" s="308" t="s">
        <v>49</v>
      </c>
      <c r="T7085" s="311" t="s">
        <v>69</v>
      </c>
      <c r="U7085" s="308" t="s">
        <v>166</v>
      </c>
      <c r="V7085" s="308"/>
    </row>
    <row r="7086">
      <c r="A7086" s="308"/>
      <c r="B7086" s="308"/>
      <c r="C7086" s="308" t="s">
        <v>28742</v>
      </c>
      <c r="D7086" s="308">
        <f>IFERROR(__xludf.DUMMYFUNCTION("SPLIT(C7086,""-"")"),7106.0)</f>
        <v>7106</v>
      </c>
      <c r="E7086" s="308" t="str">
        <f>IFERROR(__xludf.DUMMYFUNCTION("""COMPUTED_VALUE"""),"K")</f>
        <v>K</v>
      </c>
      <c r="F7086" s="309" t="s">
        <v>34</v>
      </c>
      <c r="G7086" s="308"/>
      <c r="H7086" s="308" t="s">
        <v>28743</v>
      </c>
      <c r="I7086" s="314">
        <v>44176.0</v>
      </c>
      <c r="J7086" s="319">
        <f>IFERROR(__xludf.DUMMYFUNCTION("SPLIT(I7086,""/"")"),11.0)</f>
        <v>11</v>
      </c>
      <c r="K7086" s="308">
        <f>IFERROR(__xludf.DUMMYFUNCTION("""COMPUTED_VALUE"""),12.0)</f>
        <v>12</v>
      </c>
      <c r="L7086" s="308">
        <f>IFERROR(__xludf.DUMMYFUNCTION("""COMPUTED_VALUE"""),2020.0)</f>
        <v>2020</v>
      </c>
      <c r="M7086" s="308" t="s">
        <v>28744</v>
      </c>
      <c r="N7086" s="308" t="s">
        <v>28745</v>
      </c>
      <c r="O7086" s="308"/>
      <c r="P7086" s="308" t="s">
        <v>28746</v>
      </c>
      <c r="Q7086" s="308" t="s">
        <v>39563</v>
      </c>
      <c r="R7086" s="308" t="s">
        <v>26929</v>
      </c>
      <c r="S7086" s="308" t="s">
        <v>81</v>
      </c>
      <c r="T7086" s="308" t="s">
        <v>34264</v>
      </c>
      <c r="U7086" s="308" t="s">
        <v>19459</v>
      </c>
      <c r="V7086" s="308"/>
    </row>
    <row r="7087">
      <c r="A7087" s="308"/>
      <c r="B7087" s="308"/>
      <c r="C7087" s="308" t="s">
        <v>28747</v>
      </c>
      <c r="D7087" s="308">
        <f>IFERROR(__xludf.DUMMYFUNCTION("SPLIT(C7087,""-"")"),7107.0)</f>
        <v>7107</v>
      </c>
      <c r="E7087" s="308" t="str">
        <f>IFERROR(__xludf.DUMMYFUNCTION("""COMPUTED_VALUE"""),"K")</f>
        <v>K</v>
      </c>
      <c r="F7087" s="309" t="s">
        <v>34</v>
      </c>
      <c r="G7087" s="308"/>
      <c r="H7087" s="308" t="s">
        <v>28748</v>
      </c>
      <c r="I7087" s="310">
        <v>43992.0</v>
      </c>
      <c r="J7087" s="319">
        <f>IFERROR(__xludf.DUMMYFUNCTION("SPLIT(I7087,""/"")"),10.0)</f>
        <v>10</v>
      </c>
      <c r="K7087" s="308">
        <f>IFERROR(__xludf.DUMMYFUNCTION("""COMPUTED_VALUE"""),6.0)</f>
        <v>6</v>
      </c>
      <c r="L7087" s="308">
        <f>IFERROR(__xludf.DUMMYFUNCTION("""COMPUTED_VALUE"""),2020.0)</f>
        <v>2020</v>
      </c>
      <c r="M7087" s="308" t="s">
        <v>28749</v>
      </c>
      <c r="N7087" s="308" t="s">
        <v>28750</v>
      </c>
      <c r="O7087" s="308"/>
      <c r="P7087" s="308" t="s">
        <v>136</v>
      </c>
      <c r="Q7087" s="308" t="s">
        <v>39567</v>
      </c>
      <c r="R7087" s="308" t="s">
        <v>2743</v>
      </c>
      <c r="S7087" s="315" t="s">
        <v>100</v>
      </c>
      <c r="T7087" s="308" t="s">
        <v>34208</v>
      </c>
      <c r="U7087" s="308" t="s">
        <v>4487</v>
      </c>
      <c r="V7087" s="308"/>
    </row>
    <row r="7088">
      <c r="A7088" s="308"/>
      <c r="B7088" s="308"/>
      <c r="C7088" s="308" t="s">
        <v>28751</v>
      </c>
      <c r="D7088" s="308">
        <f>IFERROR(__xludf.DUMMYFUNCTION("SPLIT(C7088,""-"")"),7108.0)</f>
        <v>7108</v>
      </c>
      <c r="E7088" s="308" t="str">
        <f>IFERROR(__xludf.DUMMYFUNCTION("""COMPUTED_VALUE"""),"P")</f>
        <v>P</v>
      </c>
      <c r="F7088" s="312" t="s">
        <v>37</v>
      </c>
      <c r="G7088" s="308"/>
      <c r="H7088" s="308" t="s">
        <v>28752</v>
      </c>
      <c r="I7088" s="314">
        <v>44180.0</v>
      </c>
      <c r="J7088" s="319">
        <f>IFERROR(__xludf.DUMMYFUNCTION("SPLIT(I7088,""/"")"),15.0)</f>
        <v>15</v>
      </c>
      <c r="K7088" s="308">
        <f>IFERROR(__xludf.DUMMYFUNCTION("""COMPUTED_VALUE"""),12.0)</f>
        <v>12</v>
      </c>
      <c r="L7088" s="308">
        <f>IFERROR(__xludf.DUMMYFUNCTION("""COMPUTED_VALUE"""),2020.0)</f>
        <v>2020</v>
      </c>
      <c r="M7088" s="308" t="s">
        <v>28753</v>
      </c>
      <c r="N7088" s="308" t="s">
        <v>28754</v>
      </c>
      <c r="O7088" s="308"/>
      <c r="P7088" s="308" t="s">
        <v>28755</v>
      </c>
      <c r="Q7088" s="308" t="s">
        <v>39567</v>
      </c>
      <c r="R7088" s="308" t="s">
        <v>2743</v>
      </c>
      <c r="S7088" s="308" t="s">
        <v>81</v>
      </c>
      <c r="T7088" s="308" t="s">
        <v>73</v>
      </c>
      <c r="U7088" s="308" t="s">
        <v>149</v>
      </c>
      <c r="V7088" s="308"/>
    </row>
    <row r="7089">
      <c r="A7089" s="308"/>
      <c r="B7089" s="308"/>
      <c r="C7089" s="308" t="s">
        <v>28756</v>
      </c>
      <c r="D7089" s="308">
        <f>IFERROR(__xludf.DUMMYFUNCTION("SPLIT(C7089,""-"")"),7109.0)</f>
        <v>7109</v>
      </c>
      <c r="E7089" s="308" t="str">
        <f>IFERROR(__xludf.DUMMYFUNCTION("""COMPUTED_VALUE"""),"S")</f>
        <v>S</v>
      </c>
      <c r="F7089" s="312" t="s">
        <v>39</v>
      </c>
      <c r="G7089" s="308"/>
      <c r="H7089" s="308" t="s">
        <v>28757</v>
      </c>
      <c r="I7089" s="314">
        <v>40873.0</v>
      </c>
      <c r="J7089" s="319">
        <f>IFERROR(__xludf.DUMMYFUNCTION("SPLIT(I7089,""/"")"),26.0)</f>
        <v>26</v>
      </c>
      <c r="K7089" s="308">
        <f>IFERROR(__xludf.DUMMYFUNCTION("""COMPUTED_VALUE"""),11.0)</f>
        <v>11</v>
      </c>
      <c r="L7089" s="308">
        <f>IFERROR(__xludf.DUMMYFUNCTION("""COMPUTED_VALUE"""),2011.0)</f>
        <v>2011</v>
      </c>
      <c r="M7089" s="308" t="s">
        <v>28758</v>
      </c>
      <c r="N7089" s="308" t="s">
        <v>28759</v>
      </c>
      <c r="O7089" s="308"/>
      <c r="P7089" s="308" t="s">
        <v>136</v>
      </c>
      <c r="Q7089" s="308" t="s">
        <v>39568</v>
      </c>
      <c r="R7089" s="308" t="s">
        <v>2743</v>
      </c>
      <c r="S7089" s="315" t="s">
        <v>100</v>
      </c>
      <c r="T7089" s="308" t="s">
        <v>34208</v>
      </c>
      <c r="U7089" s="308" t="s">
        <v>166</v>
      </c>
      <c r="V7089" s="308"/>
    </row>
    <row r="7090">
      <c r="A7090" s="308"/>
      <c r="B7090" s="308"/>
      <c r="C7090" s="308" t="s">
        <v>28760</v>
      </c>
      <c r="D7090" s="308">
        <f>IFERROR(__xludf.DUMMYFUNCTION("SPLIT(C7090,""-"")"),7110.0)</f>
        <v>7110</v>
      </c>
      <c r="E7090" s="308" t="str">
        <f>IFERROR(__xludf.DUMMYFUNCTION("""COMPUTED_VALUE"""),"K")</f>
        <v>K</v>
      </c>
      <c r="F7090" s="309" t="s">
        <v>34</v>
      </c>
      <c r="G7090" s="308"/>
      <c r="H7090" s="308" t="s">
        <v>28761</v>
      </c>
      <c r="I7090" s="310">
        <v>44197.0</v>
      </c>
      <c r="J7090" s="319">
        <f>IFERROR(__xludf.DUMMYFUNCTION("SPLIT(I7090,""/"")"),1.0)</f>
        <v>1</v>
      </c>
      <c r="K7090" s="308">
        <f>IFERROR(__xludf.DUMMYFUNCTION("""COMPUTED_VALUE"""),1.0)</f>
        <v>1</v>
      </c>
      <c r="L7090" s="308">
        <f>IFERROR(__xludf.DUMMYFUNCTION("""COMPUTED_VALUE"""),2021.0)</f>
        <v>2021</v>
      </c>
      <c r="M7090" s="308" t="s">
        <v>28762</v>
      </c>
      <c r="N7090" s="308" t="s">
        <v>28763</v>
      </c>
      <c r="O7090" s="308"/>
      <c r="P7090" s="308" t="s">
        <v>28764</v>
      </c>
      <c r="Q7090" s="308" t="s">
        <v>39569</v>
      </c>
      <c r="R7090" s="308" t="s">
        <v>26929</v>
      </c>
      <c r="S7090" s="308" t="s">
        <v>81</v>
      </c>
      <c r="T7090" s="308" t="s">
        <v>34264</v>
      </c>
      <c r="U7090" s="308" t="s">
        <v>22473</v>
      </c>
      <c r="V7090" s="308"/>
    </row>
    <row r="7091">
      <c r="A7091" s="308"/>
      <c r="B7091" s="308"/>
      <c r="C7091" s="308" t="s">
        <v>28765</v>
      </c>
      <c r="D7091" s="308">
        <f>IFERROR(__xludf.DUMMYFUNCTION("SPLIT(C7091,""-"")"),7111.0)</f>
        <v>7111</v>
      </c>
      <c r="E7091" s="308" t="str">
        <f>IFERROR(__xludf.DUMMYFUNCTION("""COMPUTED_VALUE"""),"B")</f>
        <v>B</v>
      </c>
      <c r="F7091" s="315" t="s">
        <v>26</v>
      </c>
      <c r="G7091" s="308"/>
      <c r="H7091" s="308" t="s">
        <v>28766</v>
      </c>
      <c r="I7091" s="310">
        <v>43712.0</v>
      </c>
      <c r="J7091" s="319">
        <f>IFERROR(__xludf.DUMMYFUNCTION("SPLIT(I7091,""/"")"),4.0)</f>
        <v>4</v>
      </c>
      <c r="K7091" s="308">
        <f>IFERROR(__xludf.DUMMYFUNCTION("""COMPUTED_VALUE"""),9.0)</f>
        <v>9</v>
      </c>
      <c r="L7091" s="308">
        <f>IFERROR(__xludf.DUMMYFUNCTION("""COMPUTED_VALUE"""),2019.0)</f>
        <v>2019</v>
      </c>
      <c r="M7091" s="308" t="s">
        <v>28767</v>
      </c>
      <c r="N7091" s="308" t="s">
        <v>439</v>
      </c>
      <c r="O7091" s="308"/>
      <c r="P7091" s="308" t="s">
        <v>28768</v>
      </c>
      <c r="Q7091" s="308" t="s">
        <v>39569</v>
      </c>
      <c r="R7091" s="308" t="s">
        <v>26929</v>
      </c>
      <c r="S7091" s="308" t="s">
        <v>81</v>
      </c>
      <c r="T7091" s="308" t="s">
        <v>75</v>
      </c>
      <c r="U7091" s="308" t="s">
        <v>27</v>
      </c>
      <c r="V7091" s="308"/>
    </row>
    <row r="7092">
      <c r="A7092" s="308"/>
      <c r="B7092" s="308"/>
      <c r="C7092" s="308" t="s">
        <v>28769</v>
      </c>
      <c r="D7092" s="308">
        <f>IFERROR(__xludf.DUMMYFUNCTION("SPLIT(C7092,""-"")"),7112.0)</f>
        <v>7112</v>
      </c>
      <c r="E7092" s="308" t="str">
        <f>IFERROR(__xludf.DUMMYFUNCTION("""COMPUTED_VALUE"""),"B")</f>
        <v>B</v>
      </c>
      <c r="F7092" s="315" t="s">
        <v>26</v>
      </c>
      <c r="G7092" s="308"/>
      <c r="H7092" s="308" t="s">
        <v>28770</v>
      </c>
      <c r="I7092" s="310">
        <v>43712.0</v>
      </c>
      <c r="J7092" s="319">
        <f>IFERROR(__xludf.DUMMYFUNCTION("SPLIT(I7092,""/"")"),4.0)</f>
        <v>4</v>
      </c>
      <c r="K7092" s="308">
        <f>IFERROR(__xludf.DUMMYFUNCTION("""COMPUTED_VALUE"""),9.0)</f>
        <v>9</v>
      </c>
      <c r="L7092" s="308">
        <f>IFERROR(__xludf.DUMMYFUNCTION("""COMPUTED_VALUE"""),2019.0)</f>
        <v>2019</v>
      </c>
      <c r="M7092" s="308" t="s">
        <v>28771</v>
      </c>
      <c r="N7092" s="308" t="s">
        <v>28772</v>
      </c>
      <c r="O7092" s="308"/>
      <c r="P7092" s="308" t="s">
        <v>28773</v>
      </c>
      <c r="Q7092" s="308" t="s">
        <v>39569</v>
      </c>
      <c r="R7092" s="308" t="s">
        <v>26929</v>
      </c>
      <c r="S7092" s="308" t="s">
        <v>81</v>
      </c>
      <c r="T7092" s="308" t="s">
        <v>75</v>
      </c>
      <c r="U7092" s="308" t="s">
        <v>22473</v>
      </c>
      <c r="V7092" s="308"/>
    </row>
    <row r="7093">
      <c r="A7093" s="308"/>
      <c r="B7093" s="308"/>
      <c r="C7093" s="308" t="s">
        <v>28774</v>
      </c>
      <c r="D7093" s="308">
        <f>IFERROR(__xludf.DUMMYFUNCTION("SPLIT(C7093,""-"")"),7113.0)</f>
        <v>7113</v>
      </c>
      <c r="E7093" s="308" t="str">
        <f>IFERROR(__xludf.DUMMYFUNCTION("""COMPUTED_VALUE"""),"K")</f>
        <v>K</v>
      </c>
      <c r="F7093" s="309" t="s">
        <v>34</v>
      </c>
      <c r="G7093" s="308"/>
      <c r="H7093" s="308" t="s">
        <v>28775</v>
      </c>
      <c r="I7093" s="310">
        <v>44246.0</v>
      </c>
      <c r="J7093" s="319">
        <f>IFERROR(__xludf.DUMMYFUNCTION("SPLIT(I7093,""/"")"),19.0)</f>
        <v>19</v>
      </c>
      <c r="K7093" s="308">
        <f>IFERROR(__xludf.DUMMYFUNCTION("""COMPUTED_VALUE"""),2.0)</f>
        <v>2</v>
      </c>
      <c r="L7093" s="308">
        <f>IFERROR(__xludf.DUMMYFUNCTION("""COMPUTED_VALUE"""),2021.0)</f>
        <v>2021</v>
      </c>
      <c r="M7093" s="308" t="s">
        <v>28776</v>
      </c>
      <c r="N7093" s="308" t="s">
        <v>39570</v>
      </c>
      <c r="O7093" s="308" t="s">
        <v>28778</v>
      </c>
      <c r="P7093" s="308" t="s">
        <v>39571</v>
      </c>
      <c r="Q7093" s="308" t="s">
        <v>39569</v>
      </c>
      <c r="R7093" s="308" t="s">
        <v>2743</v>
      </c>
      <c r="S7093" s="308" t="s">
        <v>81</v>
      </c>
      <c r="T7093" s="311" t="s">
        <v>51</v>
      </c>
      <c r="U7093" s="308" t="s">
        <v>201</v>
      </c>
      <c r="V7093" s="308"/>
    </row>
    <row r="7094">
      <c r="A7094" s="308"/>
      <c r="B7094" s="308"/>
      <c r="C7094" s="308" t="s">
        <v>28780</v>
      </c>
      <c r="D7094" s="308">
        <f>IFERROR(__xludf.DUMMYFUNCTION("SPLIT(C7094,""-"")"),7114.0)</f>
        <v>7114</v>
      </c>
      <c r="E7094" s="308" t="str">
        <f>IFERROR(__xludf.DUMMYFUNCTION("""COMPUTED_VALUE"""),"K")</f>
        <v>K</v>
      </c>
      <c r="F7094" s="309" t="s">
        <v>34</v>
      </c>
      <c r="G7094" s="308"/>
      <c r="H7094" s="308" t="s">
        <v>28781</v>
      </c>
      <c r="I7094" s="310">
        <v>41817.0</v>
      </c>
      <c r="J7094" s="319">
        <f>IFERROR(__xludf.DUMMYFUNCTION("SPLIT(I7094,""/"")"),27.0)</f>
        <v>27</v>
      </c>
      <c r="K7094" s="308">
        <f>IFERROR(__xludf.DUMMYFUNCTION("""COMPUTED_VALUE"""),6.0)</f>
        <v>6</v>
      </c>
      <c r="L7094" s="308">
        <f>IFERROR(__xludf.DUMMYFUNCTION("""COMPUTED_VALUE"""),2014.0)</f>
        <v>2014</v>
      </c>
      <c r="M7094" s="308" t="s">
        <v>28782</v>
      </c>
      <c r="N7094" s="308" t="s">
        <v>28783</v>
      </c>
      <c r="O7094" s="308"/>
      <c r="P7094" s="308" t="s">
        <v>136</v>
      </c>
      <c r="Q7094" s="308" t="s">
        <v>39569</v>
      </c>
      <c r="R7094" s="308" t="s">
        <v>2743</v>
      </c>
      <c r="S7094" s="315" t="s">
        <v>100</v>
      </c>
      <c r="T7094" s="308" t="s">
        <v>34208</v>
      </c>
      <c r="U7094" s="308" t="s">
        <v>22473</v>
      </c>
      <c r="V7094" s="308"/>
    </row>
    <row r="7095">
      <c r="A7095" s="308"/>
      <c r="B7095" s="308"/>
      <c r="C7095" s="308" t="s">
        <v>28784</v>
      </c>
      <c r="D7095" s="308">
        <f>IFERROR(__xludf.DUMMYFUNCTION("SPLIT(C7095,""-"")"),7115.0)</f>
        <v>7115</v>
      </c>
      <c r="E7095" s="308" t="str">
        <f>IFERROR(__xludf.DUMMYFUNCTION("""COMPUTED_VALUE"""),"B")</f>
        <v>B</v>
      </c>
      <c r="F7095" s="315" t="s">
        <v>26</v>
      </c>
      <c r="G7095" s="308"/>
      <c r="H7095" s="308" t="s">
        <v>28785</v>
      </c>
      <c r="I7095" s="310">
        <v>42767.0</v>
      </c>
      <c r="J7095" s="319">
        <f>IFERROR(__xludf.DUMMYFUNCTION("SPLIT(I7095,""/"")"),1.0)</f>
        <v>1</v>
      </c>
      <c r="K7095" s="308">
        <f>IFERROR(__xludf.DUMMYFUNCTION("""COMPUTED_VALUE"""),2.0)</f>
        <v>2</v>
      </c>
      <c r="L7095" s="308">
        <f>IFERROR(__xludf.DUMMYFUNCTION("""COMPUTED_VALUE"""),2017.0)</f>
        <v>2017</v>
      </c>
      <c r="M7095" s="308" t="s">
        <v>28519</v>
      </c>
      <c r="N7095" s="308"/>
      <c r="O7095" s="308"/>
      <c r="P7095" s="308" t="s">
        <v>39572</v>
      </c>
      <c r="Q7095" s="308" t="s">
        <v>39573</v>
      </c>
      <c r="R7095" s="308"/>
      <c r="S7095" s="308" t="s">
        <v>81</v>
      </c>
      <c r="T7095" s="308" t="s">
        <v>75</v>
      </c>
      <c r="U7095" s="308" t="s">
        <v>27</v>
      </c>
      <c r="V7095" s="308"/>
    </row>
    <row r="7096">
      <c r="A7096" s="308"/>
      <c r="B7096" s="308"/>
      <c r="C7096" s="308" t="s">
        <v>28787</v>
      </c>
      <c r="D7096" s="308">
        <f>IFERROR(__xludf.DUMMYFUNCTION("SPLIT(C7096,""-"")"),7116.0)</f>
        <v>7116</v>
      </c>
      <c r="E7096" s="308" t="str">
        <f>IFERROR(__xludf.DUMMYFUNCTION("""COMPUTED_VALUE"""),"B")</f>
        <v>B</v>
      </c>
      <c r="F7096" s="315" t="s">
        <v>26</v>
      </c>
      <c r="G7096" s="308"/>
      <c r="H7096" s="308" t="s">
        <v>28788</v>
      </c>
      <c r="I7096" s="310">
        <v>42767.0</v>
      </c>
      <c r="J7096" s="319">
        <f>IFERROR(__xludf.DUMMYFUNCTION("SPLIT(I7096,""/"")"),1.0)</f>
        <v>1</v>
      </c>
      <c r="K7096" s="308">
        <f>IFERROR(__xludf.DUMMYFUNCTION("""COMPUTED_VALUE"""),2.0)</f>
        <v>2</v>
      </c>
      <c r="L7096" s="308">
        <f>IFERROR(__xludf.DUMMYFUNCTION("""COMPUTED_VALUE"""),2017.0)</f>
        <v>2017</v>
      </c>
      <c r="M7096" s="308" t="s">
        <v>28519</v>
      </c>
      <c r="N7096" s="308"/>
      <c r="O7096" s="308"/>
      <c r="P7096" s="308" t="s">
        <v>39574</v>
      </c>
      <c r="Q7096" s="308" t="s">
        <v>39573</v>
      </c>
      <c r="R7096" s="308"/>
      <c r="S7096" s="308" t="s">
        <v>81</v>
      </c>
      <c r="T7096" s="308" t="s">
        <v>75</v>
      </c>
      <c r="U7096" s="308" t="s">
        <v>27</v>
      </c>
      <c r="V7096" s="308"/>
    </row>
    <row r="7097">
      <c r="A7097" s="308"/>
      <c r="B7097" s="308"/>
      <c r="C7097" s="308" t="s">
        <v>28790</v>
      </c>
      <c r="D7097" s="308">
        <f>IFERROR(__xludf.DUMMYFUNCTION("SPLIT(C7097,""-"")"),7117.0)</f>
        <v>7117</v>
      </c>
      <c r="E7097" s="308" t="str">
        <f>IFERROR(__xludf.DUMMYFUNCTION("""COMPUTED_VALUE"""),"B")</f>
        <v>B</v>
      </c>
      <c r="F7097" s="315" t="s">
        <v>26</v>
      </c>
      <c r="G7097" s="308"/>
      <c r="H7097" s="308" t="s">
        <v>28791</v>
      </c>
      <c r="I7097" s="310">
        <v>42769.0</v>
      </c>
      <c r="J7097" s="319">
        <f>IFERROR(__xludf.DUMMYFUNCTION("SPLIT(I7097,""/"")"),3.0)</f>
        <v>3</v>
      </c>
      <c r="K7097" s="308">
        <f>IFERROR(__xludf.DUMMYFUNCTION("""COMPUTED_VALUE"""),2.0)</f>
        <v>2</v>
      </c>
      <c r="L7097" s="308">
        <f>IFERROR(__xludf.DUMMYFUNCTION("""COMPUTED_VALUE"""),2017.0)</f>
        <v>2017</v>
      </c>
      <c r="M7097" s="308" t="s">
        <v>28549</v>
      </c>
      <c r="N7097" s="308"/>
      <c r="O7097" s="308"/>
      <c r="P7097" s="308" t="s">
        <v>28792</v>
      </c>
      <c r="Q7097" s="308" t="s">
        <v>39573</v>
      </c>
      <c r="R7097" s="308"/>
      <c r="S7097" s="308" t="s">
        <v>81</v>
      </c>
      <c r="T7097" s="308" t="s">
        <v>75</v>
      </c>
      <c r="U7097" s="308" t="s">
        <v>27</v>
      </c>
      <c r="V7097" s="308"/>
    </row>
    <row r="7098">
      <c r="A7098" s="308"/>
      <c r="B7098" s="308"/>
      <c r="C7098" s="308" t="s">
        <v>28793</v>
      </c>
      <c r="D7098" s="308">
        <f>IFERROR(__xludf.DUMMYFUNCTION("SPLIT(C7098,""-"")"),7118.0)</f>
        <v>7118</v>
      </c>
      <c r="E7098" s="308" t="str">
        <f>IFERROR(__xludf.DUMMYFUNCTION("""COMPUTED_VALUE"""),"B")</f>
        <v>B</v>
      </c>
      <c r="F7098" s="315" t="s">
        <v>26</v>
      </c>
      <c r="G7098" s="308"/>
      <c r="H7098" s="308" t="s">
        <v>28794</v>
      </c>
      <c r="I7098" s="310">
        <v>42769.0</v>
      </c>
      <c r="J7098" s="319">
        <f>IFERROR(__xludf.DUMMYFUNCTION("SPLIT(I7098,""/"")"),3.0)</f>
        <v>3</v>
      </c>
      <c r="K7098" s="308">
        <f>IFERROR(__xludf.DUMMYFUNCTION("""COMPUTED_VALUE"""),2.0)</f>
        <v>2</v>
      </c>
      <c r="L7098" s="308">
        <f>IFERROR(__xludf.DUMMYFUNCTION("""COMPUTED_VALUE"""),2017.0)</f>
        <v>2017</v>
      </c>
      <c r="M7098" s="308" t="s">
        <v>28549</v>
      </c>
      <c r="N7098" s="308"/>
      <c r="O7098" s="308"/>
      <c r="P7098" s="308" t="s">
        <v>28792</v>
      </c>
      <c r="Q7098" s="308" t="s">
        <v>39573</v>
      </c>
      <c r="R7098" s="308"/>
      <c r="S7098" s="308" t="s">
        <v>81</v>
      </c>
      <c r="T7098" s="308" t="s">
        <v>75</v>
      </c>
      <c r="U7098" s="308" t="s">
        <v>27</v>
      </c>
      <c r="V7098" s="308"/>
    </row>
    <row r="7099">
      <c r="A7099" s="308"/>
      <c r="B7099" s="308"/>
      <c r="C7099" s="308" t="s">
        <v>28795</v>
      </c>
      <c r="D7099" s="308">
        <f>IFERROR(__xludf.DUMMYFUNCTION("SPLIT(C7099,""-"")"),7119.0)</f>
        <v>7119</v>
      </c>
      <c r="E7099" s="308" t="str">
        <f>IFERROR(__xludf.DUMMYFUNCTION("""COMPUTED_VALUE"""),"B")</f>
        <v>B</v>
      </c>
      <c r="F7099" s="315" t="s">
        <v>26</v>
      </c>
      <c r="G7099" s="308"/>
      <c r="H7099" s="308" t="s">
        <v>28796</v>
      </c>
      <c r="I7099" s="310">
        <v>42769.0</v>
      </c>
      <c r="J7099" s="319">
        <f>IFERROR(__xludf.DUMMYFUNCTION("SPLIT(I7099,""/"")"),3.0)</f>
        <v>3</v>
      </c>
      <c r="K7099" s="308">
        <f>IFERROR(__xludf.DUMMYFUNCTION("""COMPUTED_VALUE"""),2.0)</f>
        <v>2</v>
      </c>
      <c r="L7099" s="308">
        <f>IFERROR(__xludf.DUMMYFUNCTION("""COMPUTED_VALUE"""),2017.0)</f>
        <v>2017</v>
      </c>
      <c r="M7099" s="308" t="s">
        <v>28797</v>
      </c>
      <c r="N7099" s="308"/>
      <c r="O7099" s="308"/>
      <c r="P7099" s="308" t="s">
        <v>39575</v>
      </c>
      <c r="Q7099" s="308" t="s">
        <v>39573</v>
      </c>
      <c r="R7099" s="308"/>
      <c r="S7099" s="308" t="s">
        <v>81</v>
      </c>
      <c r="T7099" s="308" t="s">
        <v>75</v>
      </c>
      <c r="U7099" s="308" t="s">
        <v>27</v>
      </c>
      <c r="V7099" s="308"/>
    </row>
    <row r="7100">
      <c r="A7100" s="308"/>
      <c r="B7100" s="308"/>
      <c r="C7100" s="308" t="s">
        <v>28799</v>
      </c>
      <c r="D7100" s="308">
        <f>IFERROR(__xludf.DUMMYFUNCTION("SPLIT(C7100,""-"")"),7120.0)</f>
        <v>7120</v>
      </c>
      <c r="E7100" s="308" t="str">
        <f>IFERROR(__xludf.DUMMYFUNCTION("""COMPUTED_VALUE"""),"B")</f>
        <v>B</v>
      </c>
      <c r="F7100" s="315" t="s">
        <v>26</v>
      </c>
      <c r="G7100" s="308"/>
      <c r="H7100" s="308" t="s">
        <v>28800</v>
      </c>
      <c r="I7100" s="310">
        <v>42769.0</v>
      </c>
      <c r="J7100" s="319">
        <f>IFERROR(__xludf.DUMMYFUNCTION("SPLIT(I7100,""/"")"),3.0)</f>
        <v>3</v>
      </c>
      <c r="K7100" s="308">
        <f>IFERROR(__xludf.DUMMYFUNCTION("""COMPUTED_VALUE"""),2.0)</f>
        <v>2</v>
      </c>
      <c r="L7100" s="308">
        <f>IFERROR(__xludf.DUMMYFUNCTION("""COMPUTED_VALUE"""),2017.0)</f>
        <v>2017</v>
      </c>
      <c r="M7100" s="308" t="s">
        <v>28549</v>
      </c>
      <c r="N7100" s="308"/>
      <c r="O7100" s="308"/>
      <c r="P7100" s="308" t="s">
        <v>28792</v>
      </c>
      <c r="Q7100" s="308" t="s">
        <v>39573</v>
      </c>
      <c r="R7100" s="308"/>
      <c r="S7100" s="308" t="s">
        <v>81</v>
      </c>
      <c r="T7100" s="308" t="s">
        <v>75</v>
      </c>
      <c r="U7100" s="308" t="s">
        <v>27</v>
      </c>
      <c r="V7100" s="308"/>
    </row>
    <row r="7101">
      <c r="A7101" s="308"/>
      <c r="B7101" s="308"/>
      <c r="C7101" s="308" t="s">
        <v>28801</v>
      </c>
      <c r="D7101" s="308">
        <f>IFERROR(__xludf.DUMMYFUNCTION("SPLIT(C7101,""-"")"),7121.0)</f>
        <v>7121</v>
      </c>
      <c r="E7101" s="308" t="str">
        <f>IFERROR(__xludf.DUMMYFUNCTION("""COMPUTED_VALUE"""),"B")</f>
        <v>B</v>
      </c>
      <c r="F7101" s="315" t="s">
        <v>26</v>
      </c>
      <c r="G7101" s="308"/>
      <c r="H7101" s="308" t="s">
        <v>28802</v>
      </c>
      <c r="I7101" s="310">
        <v>42769.0</v>
      </c>
      <c r="J7101" s="319">
        <f>IFERROR(__xludf.DUMMYFUNCTION("SPLIT(I7101,""/"")"),3.0)</f>
        <v>3</v>
      </c>
      <c r="K7101" s="308">
        <f>IFERROR(__xludf.DUMMYFUNCTION("""COMPUTED_VALUE"""),2.0)</f>
        <v>2</v>
      </c>
      <c r="L7101" s="308">
        <f>IFERROR(__xludf.DUMMYFUNCTION("""COMPUTED_VALUE"""),2017.0)</f>
        <v>2017</v>
      </c>
      <c r="M7101" s="308" t="s">
        <v>28549</v>
      </c>
      <c r="N7101" s="308"/>
      <c r="O7101" s="308"/>
      <c r="P7101" s="308" t="s">
        <v>28792</v>
      </c>
      <c r="Q7101" s="308" t="s">
        <v>39573</v>
      </c>
      <c r="R7101" s="308"/>
      <c r="S7101" s="308" t="s">
        <v>81</v>
      </c>
      <c r="T7101" s="308" t="s">
        <v>75</v>
      </c>
      <c r="U7101" s="308" t="s">
        <v>27</v>
      </c>
      <c r="V7101" s="308"/>
    </row>
    <row r="7102">
      <c r="A7102" s="308"/>
      <c r="B7102" s="308"/>
      <c r="C7102" s="308" t="s">
        <v>28803</v>
      </c>
      <c r="D7102" s="308">
        <f>IFERROR(__xludf.DUMMYFUNCTION("SPLIT(C7102,""-"")"),7122.0)</f>
        <v>7122</v>
      </c>
      <c r="E7102" s="308" t="str">
        <f>IFERROR(__xludf.DUMMYFUNCTION("""COMPUTED_VALUE"""),"B")</f>
        <v>B</v>
      </c>
      <c r="F7102" s="315" t="s">
        <v>26</v>
      </c>
      <c r="G7102" s="308"/>
      <c r="H7102" s="308" t="s">
        <v>28804</v>
      </c>
      <c r="I7102" s="310">
        <v>42771.0</v>
      </c>
      <c r="J7102" s="319">
        <f>IFERROR(__xludf.DUMMYFUNCTION("SPLIT(I7102,""/"")"),5.0)</f>
        <v>5</v>
      </c>
      <c r="K7102" s="308">
        <f>IFERROR(__xludf.DUMMYFUNCTION("""COMPUTED_VALUE"""),2.0)</f>
        <v>2</v>
      </c>
      <c r="L7102" s="308">
        <f>IFERROR(__xludf.DUMMYFUNCTION("""COMPUTED_VALUE"""),2017.0)</f>
        <v>2017</v>
      </c>
      <c r="M7102" s="308" t="s">
        <v>28492</v>
      </c>
      <c r="N7102" s="308"/>
      <c r="O7102" s="308"/>
      <c r="P7102" s="308" t="s">
        <v>28792</v>
      </c>
      <c r="Q7102" s="308" t="s">
        <v>39573</v>
      </c>
      <c r="R7102" s="308"/>
      <c r="S7102" s="308" t="s">
        <v>81</v>
      </c>
      <c r="T7102" s="308" t="s">
        <v>75</v>
      </c>
      <c r="U7102" s="308" t="s">
        <v>27</v>
      </c>
      <c r="V7102" s="308"/>
    </row>
    <row r="7103">
      <c r="A7103" s="308"/>
      <c r="B7103" s="308"/>
      <c r="C7103" s="308" t="s">
        <v>28805</v>
      </c>
      <c r="D7103" s="308">
        <f>IFERROR(__xludf.DUMMYFUNCTION("SPLIT(C7103,""-"")"),7123.0)</f>
        <v>7123</v>
      </c>
      <c r="E7103" s="308" t="str">
        <f>IFERROR(__xludf.DUMMYFUNCTION("""COMPUTED_VALUE"""),"B")</f>
        <v>B</v>
      </c>
      <c r="F7103" s="315" t="s">
        <v>26</v>
      </c>
      <c r="G7103" s="308"/>
      <c r="H7103" s="308" t="s">
        <v>28806</v>
      </c>
      <c r="I7103" s="310">
        <v>42770.0</v>
      </c>
      <c r="J7103" s="319">
        <f>IFERROR(__xludf.DUMMYFUNCTION("SPLIT(I7103,""/"")"),4.0)</f>
        <v>4</v>
      </c>
      <c r="K7103" s="308">
        <f>IFERROR(__xludf.DUMMYFUNCTION("""COMPUTED_VALUE"""),2.0)</f>
        <v>2</v>
      </c>
      <c r="L7103" s="308">
        <f>IFERROR(__xludf.DUMMYFUNCTION("""COMPUTED_VALUE"""),2017.0)</f>
        <v>2017</v>
      </c>
      <c r="M7103" s="308" t="s">
        <v>28807</v>
      </c>
      <c r="N7103" s="308"/>
      <c r="O7103" s="308"/>
      <c r="P7103" s="308" t="s">
        <v>28792</v>
      </c>
      <c r="Q7103" s="308" t="s">
        <v>39573</v>
      </c>
      <c r="R7103" s="308"/>
      <c r="S7103" s="308" t="s">
        <v>81</v>
      </c>
      <c r="T7103" s="308" t="s">
        <v>75</v>
      </c>
      <c r="U7103" s="308" t="s">
        <v>27</v>
      </c>
      <c r="V7103" s="308"/>
    </row>
    <row r="7104">
      <c r="A7104" s="308"/>
      <c r="B7104" s="308"/>
      <c r="C7104" s="308" t="s">
        <v>28808</v>
      </c>
      <c r="D7104" s="308">
        <f>IFERROR(__xludf.DUMMYFUNCTION("SPLIT(C7104,""-"")"),7124.0)</f>
        <v>7124</v>
      </c>
      <c r="E7104" s="308" t="str">
        <f>IFERROR(__xludf.DUMMYFUNCTION("""COMPUTED_VALUE"""),"B")</f>
        <v>B</v>
      </c>
      <c r="F7104" s="315" t="s">
        <v>26</v>
      </c>
      <c r="G7104" s="308"/>
      <c r="H7104" s="308" t="s">
        <v>28809</v>
      </c>
      <c r="I7104" s="310">
        <v>42770.0</v>
      </c>
      <c r="J7104" s="319">
        <f>IFERROR(__xludf.DUMMYFUNCTION("SPLIT(I7104,""/"")"),4.0)</f>
        <v>4</v>
      </c>
      <c r="K7104" s="308">
        <f>IFERROR(__xludf.DUMMYFUNCTION("""COMPUTED_VALUE"""),2.0)</f>
        <v>2</v>
      </c>
      <c r="L7104" s="308">
        <f>IFERROR(__xludf.DUMMYFUNCTION("""COMPUTED_VALUE"""),2017.0)</f>
        <v>2017</v>
      </c>
      <c r="M7104" s="308" t="s">
        <v>28807</v>
      </c>
      <c r="N7104" s="308"/>
      <c r="O7104" s="308"/>
      <c r="P7104" s="308" t="s">
        <v>28792</v>
      </c>
      <c r="Q7104" s="308" t="s">
        <v>39573</v>
      </c>
      <c r="R7104" s="308"/>
      <c r="S7104" s="308" t="s">
        <v>81</v>
      </c>
      <c r="T7104" s="308" t="s">
        <v>75</v>
      </c>
      <c r="U7104" s="308" t="s">
        <v>27</v>
      </c>
      <c r="V7104" s="308"/>
    </row>
    <row r="7105">
      <c r="A7105" s="308"/>
      <c r="B7105" s="308"/>
      <c r="C7105" s="308" t="s">
        <v>28810</v>
      </c>
      <c r="D7105" s="308">
        <f>IFERROR(__xludf.DUMMYFUNCTION("SPLIT(C7105,""-"")"),7125.0)</f>
        <v>7125</v>
      </c>
      <c r="E7105" s="308" t="str">
        <f>IFERROR(__xludf.DUMMYFUNCTION("""COMPUTED_VALUE"""),"B")</f>
        <v>B</v>
      </c>
      <c r="F7105" s="315" t="s">
        <v>26</v>
      </c>
      <c r="G7105" s="308"/>
      <c r="H7105" s="308" t="s">
        <v>28811</v>
      </c>
      <c r="I7105" s="310">
        <v>42769.0</v>
      </c>
      <c r="J7105" s="319">
        <f>IFERROR(__xludf.DUMMYFUNCTION("SPLIT(I7105,""/"")"),3.0)</f>
        <v>3</v>
      </c>
      <c r="K7105" s="308">
        <f>IFERROR(__xludf.DUMMYFUNCTION("""COMPUTED_VALUE"""),2.0)</f>
        <v>2</v>
      </c>
      <c r="L7105" s="308">
        <f>IFERROR(__xludf.DUMMYFUNCTION("""COMPUTED_VALUE"""),2017.0)</f>
        <v>2017</v>
      </c>
      <c r="M7105" s="308" t="s">
        <v>28326</v>
      </c>
      <c r="N7105" s="308"/>
      <c r="O7105" s="308"/>
      <c r="P7105" s="308" t="s">
        <v>39576</v>
      </c>
      <c r="Q7105" s="308" t="s">
        <v>39573</v>
      </c>
      <c r="R7105" s="308"/>
      <c r="S7105" s="308" t="s">
        <v>81</v>
      </c>
      <c r="T7105" s="308" t="s">
        <v>75</v>
      </c>
      <c r="U7105" s="308" t="s">
        <v>27</v>
      </c>
      <c r="V7105" s="308"/>
    </row>
    <row r="7106">
      <c r="A7106" s="308"/>
      <c r="B7106" s="308"/>
      <c r="C7106" s="308" t="s">
        <v>28813</v>
      </c>
      <c r="D7106" s="308">
        <f>IFERROR(__xludf.DUMMYFUNCTION("SPLIT(C7106,""-"")"),7126.0)</f>
        <v>7126</v>
      </c>
      <c r="E7106" s="308" t="str">
        <f>IFERROR(__xludf.DUMMYFUNCTION("""COMPUTED_VALUE"""),"B")</f>
        <v>B</v>
      </c>
      <c r="F7106" s="315" t="s">
        <v>26</v>
      </c>
      <c r="G7106" s="308"/>
      <c r="H7106" s="308" t="s">
        <v>28814</v>
      </c>
      <c r="I7106" s="310">
        <v>42769.0</v>
      </c>
      <c r="J7106" s="319">
        <f>IFERROR(__xludf.DUMMYFUNCTION("SPLIT(I7106,""/"")"),3.0)</f>
        <v>3</v>
      </c>
      <c r="K7106" s="308">
        <f>IFERROR(__xludf.DUMMYFUNCTION("""COMPUTED_VALUE"""),2.0)</f>
        <v>2</v>
      </c>
      <c r="L7106" s="308">
        <f>IFERROR(__xludf.DUMMYFUNCTION("""COMPUTED_VALUE"""),2017.0)</f>
        <v>2017</v>
      </c>
      <c r="M7106" s="308" t="s">
        <v>28553</v>
      </c>
      <c r="N7106" s="308"/>
      <c r="O7106" s="308"/>
      <c r="P7106" s="308" t="s">
        <v>28792</v>
      </c>
      <c r="Q7106" s="308" t="s">
        <v>39573</v>
      </c>
      <c r="R7106" s="308"/>
      <c r="S7106" s="308" t="s">
        <v>81</v>
      </c>
      <c r="T7106" s="308" t="s">
        <v>75</v>
      </c>
      <c r="U7106" s="308" t="s">
        <v>27</v>
      </c>
      <c r="V7106" s="308"/>
    </row>
    <row r="7107">
      <c r="A7107" s="308"/>
      <c r="B7107" s="308"/>
      <c r="C7107" s="308" t="s">
        <v>28815</v>
      </c>
      <c r="D7107" s="308">
        <f>IFERROR(__xludf.DUMMYFUNCTION("SPLIT(C7107,""-"")"),7127.0)</f>
        <v>7127</v>
      </c>
      <c r="E7107" s="308" t="str">
        <f>IFERROR(__xludf.DUMMYFUNCTION("""COMPUTED_VALUE"""),"B")</f>
        <v>B</v>
      </c>
      <c r="F7107" s="315" t="s">
        <v>26</v>
      </c>
      <c r="G7107" s="308"/>
      <c r="H7107" s="308" t="s">
        <v>28816</v>
      </c>
      <c r="I7107" s="310">
        <v>42769.0</v>
      </c>
      <c r="J7107" s="319">
        <f>IFERROR(__xludf.DUMMYFUNCTION("SPLIT(I7107,""/"")"),3.0)</f>
        <v>3</v>
      </c>
      <c r="K7107" s="308">
        <f>IFERROR(__xludf.DUMMYFUNCTION("""COMPUTED_VALUE"""),2.0)</f>
        <v>2</v>
      </c>
      <c r="L7107" s="308">
        <f>IFERROR(__xludf.DUMMYFUNCTION("""COMPUTED_VALUE"""),2017.0)</f>
        <v>2017</v>
      </c>
      <c r="M7107" s="308" t="s">
        <v>28545</v>
      </c>
      <c r="N7107" s="308"/>
      <c r="O7107" s="308"/>
      <c r="P7107" s="308" t="s">
        <v>28792</v>
      </c>
      <c r="Q7107" s="308" t="s">
        <v>39573</v>
      </c>
      <c r="R7107" s="308"/>
      <c r="S7107" s="308" t="s">
        <v>81</v>
      </c>
      <c r="T7107" s="308" t="s">
        <v>75</v>
      </c>
      <c r="U7107" s="308" t="s">
        <v>27</v>
      </c>
      <c r="V7107" s="308"/>
    </row>
    <row r="7108">
      <c r="A7108" s="308"/>
      <c r="B7108" s="308"/>
      <c r="C7108" s="308" t="s">
        <v>28817</v>
      </c>
      <c r="D7108" s="308">
        <f>IFERROR(__xludf.DUMMYFUNCTION("SPLIT(C7108,""-"")"),7128.0)</f>
        <v>7128</v>
      </c>
      <c r="E7108" s="308" t="str">
        <f>IFERROR(__xludf.DUMMYFUNCTION("""COMPUTED_VALUE"""),"B")</f>
        <v>B</v>
      </c>
      <c r="F7108" s="315" t="s">
        <v>26</v>
      </c>
      <c r="G7108" s="308"/>
      <c r="H7108" s="308" t="s">
        <v>28818</v>
      </c>
      <c r="I7108" s="310">
        <v>42769.0</v>
      </c>
      <c r="J7108" s="319">
        <f>IFERROR(__xludf.DUMMYFUNCTION("SPLIT(I7108,""/"")"),3.0)</f>
        <v>3</v>
      </c>
      <c r="K7108" s="308">
        <f>IFERROR(__xludf.DUMMYFUNCTION("""COMPUTED_VALUE"""),2.0)</f>
        <v>2</v>
      </c>
      <c r="L7108" s="308">
        <f>IFERROR(__xludf.DUMMYFUNCTION("""COMPUTED_VALUE"""),2017.0)</f>
        <v>2017</v>
      </c>
      <c r="M7108" s="308" t="s">
        <v>28553</v>
      </c>
      <c r="N7108" s="308"/>
      <c r="O7108" s="308"/>
      <c r="P7108" s="308" t="s">
        <v>28792</v>
      </c>
      <c r="Q7108" s="308" t="s">
        <v>39573</v>
      </c>
      <c r="R7108" s="308"/>
      <c r="S7108" s="308" t="s">
        <v>81</v>
      </c>
      <c r="T7108" s="308" t="s">
        <v>75</v>
      </c>
      <c r="U7108" s="308" t="s">
        <v>27</v>
      </c>
      <c r="V7108" s="308"/>
    </row>
    <row r="7109">
      <c r="A7109" s="308"/>
      <c r="B7109" s="308"/>
      <c r="C7109" s="308" t="s">
        <v>28819</v>
      </c>
      <c r="D7109" s="308">
        <f>IFERROR(__xludf.DUMMYFUNCTION("SPLIT(C7109,""-"")"),7129.0)</f>
        <v>7129</v>
      </c>
      <c r="E7109" s="308" t="str">
        <f>IFERROR(__xludf.DUMMYFUNCTION("""COMPUTED_VALUE"""),"B")</f>
        <v>B</v>
      </c>
      <c r="F7109" s="315" t="s">
        <v>26</v>
      </c>
      <c r="G7109" s="308"/>
      <c r="H7109" s="308" t="s">
        <v>28820</v>
      </c>
      <c r="I7109" s="310">
        <v>42775.0</v>
      </c>
      <c r="J7109" s="319">
        <f>IFERROR(__xludf.DUMMYFUNCTION("SPLIT(I7109,""/"")"),9.0)</f>
        <v>9</v>
      </c>
      <c r="K7109" s="308">
        <f>IFERROR(__xludf.DUMMYFUNCTION("""COMPUTED_VALUE"""),2.0)</f>
        <v>2</v>
      </c>
      <c r="L7109" s="308">
        <f>IFERROR(__xludf.DUMMYFUNCTION("""COMPUTED_VALUE"""),2017.0)</f>
        <v>2017</v>
      </c>
      <c r="M7109" s="308" t="s">
        <v>28821</v>
      </c>
      <c r="N7109" s="308"/>
      <c r="O7109" s="308"/>
      <c r="P7109" s="308" t="s">
        <v>28792</v>
      </c>
      <c r="Q7109" s="308" t="s">
        <v>39573</v>
      </c>
      <c r="R7109" s="308"/>
      <c r="S7109" s="308" t="s">
        <v>81</v>
      </c>
      <c r="T7109" s="308" t="s">
        <v>75</v>
      </c>
      <c r="U7109" s="308" t="s">
        <v>27</v>
      </c>
      <c r="V7109" s="308"/>
    </row>
    <row r="7110">
      <c r="A7110" s="308"/>
      <c r="B7110" s="308"/>
      <c r="C7110" s="308" t="s">
        <v>28822</v>
      </c>
      <c r="D7110" s="308">
        <f>IFERROR(__xludf.DUMMYFUNCTION("SPLIT(C7110,""-"")"),7130.0)</f>
        <v>7130</v>
      </c>
      <c r="E7110" s="308" t="str">
        <f>IFERROR(__xludf.DUMMYFUNCTION("""COMPUTED_VALUE"""),"B")</f>
        <v>B</v>
      </c>
      <c r="F7110" s="315" t="s">
        <v>26</v>
      </c>
      <c r="G7110" s="308"/>
      <c r="H7110" s="308" t="s">
        <v>28823</v>
      </c>
      <c r="I7110" s="310">
        <v>42775.0</v>
      </c>
      <c r="J7110" s="319">
        <f>IFERROR(__xludf.DUMMYFUNCTION("SPLIT(I7110,""/"")"),9.0)</f>
        <v>9</v>
      </c>
      <c r="K7110" s="308">
        <f>IFERROR(__xludf.DUMMYFUNCTION("""COMPUTED_VALUE"""),2.0)</f>
        <v>2</v>
      </c>
      <c r="L7110" s="308">
        <f>IFERROR(__xludf.DUMMYFUNCTION("""COMPUTED_VALUE"""),2017.0)</f>
        <v>2017</v>
      </c>
      <c r="M7110" s="308" t="s">
        <v>28824</v>
      </c>
      <c r="N7110" s="308"/>
      <c r="O7110" s="308"/>
      <c r="P7110" s="308" t="s">
        <v>28792</v>
      </c>
      <c r="Q7110" s="308" t="s">
        <v>39573</v>
      </c>
      <c r="R7110" s="308"/>
      <c r="S7110" s="308" t="s">
        <v>81</v>
      </c>
      <c r="T7110" s="308" t="s">
        <v>75</v>
      </c>
      <c r="U7110" s="308" t="s">
        <v>27</v>
      </c>
      <c r="V7110" s="308"/>
    </row>
    <row r="7111">
      <c r="A7111" s="308"/>
      <c r="B7111" s="308"/>
      <c r="C7111" s="308" t="s">
        <v>28825</v>
      </c>
      <c r="D7111" s="308">
        <f>IFERROR(__xludf.DUMMYFUNCTION("SPLIT(C7111,""-"")"),7131.0)</f>
        <v>7131</v>
      </c>
      <c r="E7111" s="308" t="str">
        <f>IFERROR(__xludf.DUMMYFUNCTION("""COMPUTED_VALUE"""),"B")</f>
        <v>B</v>
      </c>
      <c r="F7111" s="315" t="s">
        <v>26</v>
      </c>
      <c r="G7111" s="308"/>
      <c r="H7111" s="308" t="s">
        <v>28826</v>
      </c>
      <c r="I7111" s="310">
        <v>42775.0</v>
      </c>
      <c r="J7111" s="319">
        <f>IFERROR(__xludf.DUMMYFUNCTION("SPLIT(I7111,""/"")"),9.0)</f>
        <v>9</v>
      </c>
      <c r="K7111" s="308">
        <f>IFERROR(__xludf.DUMMYFUNCTION("""COMPUTED_VALUE"""),2.0)</f>
        <v>2</v>
      </c>
      <c r="L7111" s="308">
        <f>IFERROR(__xludf.DUMMYFUNCTION("""COMPUTED_VALUE"""),2017.0)</f>
        <v>2017</v>
      </c>
      <c r="M7111" s="308" t="s">
        <v>28824</v>
      </c>
      <c r="N7111" s="308"/>
      <c r="O7111" s="308"/>
      <c r="P7111" s="308" t="s">
        <v>28792</v>
      </c>
      <c r="Q7111" s="308" t="s">
        <v>39573</v>
      </c>
      <c r="R7111" s="308"/>
      <c r="S7111" s="308" t="s">
        <v>81</v>
      </c>
      <c r="T7111" s="308" t="s">
        <v>75</v>
      </c>
      <c r="U7111" s="308" t="s">
        <v>27</v>
      </c>
      <c r="V7111" s="308"/>
    </row>
    <row r="7112">
      <c r="A7112" s="308"/>
      <c r="B7112" s="308"/>
      <c r="C7112" s="308" t="s">
        <v>28827</v>
      </c>
      <c r="D7112" s="308">
        <f>IFERROR(__xludf.DUMMYFUNCTION("SPLIT(C7112,""-"")"),7132.0)</f>
        <v>7132</v>
      </c>
      <c r="E7112" s="308" t="str">
        <f>IFERROR(__xludf.DUMMYFUNCTION("""COMPUTED_VALUE"""),"B")</f>
        <v>B</v>
      </c>
      <c r="F7112" s="315" t="s">
        <v>26</v>
      </c>
      <c r="G7112" s="308"/>
      <c r="H7112" s="308" t="s">
        <v>28828</v>
      </c>
      <c r="I7112" s="310">
        <v>42775.0</v>
      </c>
      <c r="J7112" s="319">
        <f>IFERROR(__xludf.DUMMYFUNCTION("SPLIT(I7112,""/"")"),9.0)</f>
        <v>9</v>
      </c>
      <c r="K7112" s="308">
        <f>IFERROR(__xludf.DUMMYFUNCTION("""COMPUTED_VALUE"""),2.0)</f>
        <v>2</v>
      </c>
      <c r="L7112" s="308">
        <f>IFERROR(__xludf.DUMMYFUNCTION("""COMPUTED_VALUE"""),2017.0)</f>
        <v>2017</v>
      </c>
      <c r="M7112" s="308" t="s">
        <v>28829</v>
      </c>
      <c r="N7112" s="308"/>
      <c r="O7112" s="308"/>
      <c r="P7112" s="308" t="s">
        <v>28792</v>
      </c>
      <c r="Q7112" s="308" t="s">
        <v>39573</v>
      </c>
      <c r="R7112" s="308"/>
      <c r="S7112" s="308" t="s">
        <v>81</v>
      </c>
      <c r="T7112" s="308" t="s">
        <v>75</v>
      </c>
      <c r="U7112" s="308" t="s">
        <v>27</v>
      </c>
      <c r="V7112" s="308"/>
    </row>
    <row r="7113">
      <c r="A7113" s="308"/>
      <c r="B7113" s="308"/>
      <c r="C7113" s="308" t="s">
        <v>28830</v>
      </c>
      <c r="D7113" s="308">
        <f>IFERROR(__xludf.DUMMYFUNCTION("SPLIT(C7113,""-"")"),7133.0)</f>
        <v>7133</v>
      </c>
      <c r="E7113" s="308" t="str">
        <f>IFERROR(__xludf.DUMMYFUNCTION("""COMPUTED_VALUE"""),"B")</f>
        <v>B</v>
      </c>
      <c r="F7113" s="315" t="s">
        <v>26</v>
      </c>
      <c r="G7113" s="308"/>
      <c r="H7113" s="308" t="s">
        <v>28831</v>
      </c>
      <c r="I7113" s="310">
        <v>42773.0</v>
      </c>
      <c r="J7113" s="319">
        <f>IFERROR(__xludf.DUMMYFUNCTION("SPLIT(I7113,""/"")"),7.0)</f>
        <v>7</v>
      </c>
      <c r="K7113" s="308">
        <f>IFERROR(__xludf.DUMMYFUNCTION("""COMPUTED_VALUE"""),2.0)</f>
        <v>2</v>
      </c>
      <c r="L7113" s="308">
        <f>IFERROR(__xludf.DUMMYFUNCTION("""COMPUTED_VALUE"""),2017.0)</f>
        <v>2017</v>
      </c>
      <c r="M7113" s="308" t="s">
        <v>28832</v>
      </c>
      <c r="N7113" s="308"/>
      <c r="O7113" s="308"/>
      <c r="P7113" s="308" t="s">
        <v>136</v>
      </c>
      <c r="Q7113" s="308" t="s">
        <v>39573</v>
      </c>
      <c r="R7113" s="308"/>
      <c r="S7113" s="315" t="s">
        <v>100</v>
      </c>
      <c r="T7113" s="308" t="s">
        <v>34208</v>
      </c>
      <c r="U7113" s="308" t="s">
        <v>27</v>
      </c>
      <c r="V7113" s="308"/>
    </row>
    <row r="7114">
      <c r="A7114" s="308"/>
      <c r="B7114" s="308"/>
      <c r="C7114" s="308" t="s">
        <v>28833</v>
      </c>
      <c r="D7114" s="308">
        <f>IFERROR(__xludf.DUMMYFUNCTION("SPLIT(C7114,""-"")"),7134.0)</f>
        <v>7134</v>
      </c>
      <c r="E7114" s="308" t="str">
        <f>IFERROR(__xludf.DUMMYFUNCTION("""COMPUTED_VALUE"""),"B")</f>
        <v>B</v>
      </c>
      <c r="F7114" s="315" t="s">
        <v>26</v>
      </c>
      <c r="G7114" s="308"/>
      <c r="H7114" s="308" t="s">
        <v>28834</v>
      </c>
      <c r="I7114" s="310">
        <v>42773.0</v>
      </c>
      <c r="J7114" s="319">
        <f>IFERROR(__xludf.DUMMYFUNCTION("SPLIT(I7114,""/"")"),7.0)</f>
        <v>7</v>
      </c>
      <c r="K7114" s="308">
        <f>IFERROR(__xludf.DUMMYFUNCTION("""COMPUTED_VALUE"""),2.0)</f>
        <v>2</v>
      </c>
      <c r="L7114" s="308">
        <f>IFERROR(__xludf.DUMMYFUNCTION("""COMPUTED_VALUE"""),2017.0)</f>
        <v>2017</v>
      </c>
      <c r="M7114" s="308" t="s">
        <v>28835</v>
      </c>
      <c r="N7114" s="308"/>
      <c r="O7114" s="308"/>
      <c r="P7114" s="308" t="s">
        <v>28792</v>
      </c>
      <c r="Q7114" s="308" t="s">
        <v>39573</v>
      </c>
      <c r="R7114" s="308"/>
      <c r="S7114" s="308" t="s">
        <v>81</v>
      </c>
      <c r="T7114" s="308" t="s">
        <v>75</v>
      </c>
      <c r="U7114" s="308" t="s">
        <v>27</v>
      </c>
      <c r="V7114" s="308"/>
    </row>
    <row r="7115">
      <c r="A7115" s="308"/>
      <c r="B7115" s="308"/>
      <c r="C7115" s="308" t="s">
        <v>28836</v>
      </c>
      <c r="D7115" s="308">
        <f>IFERROR(__xludf.DUMMYFUNCTION("SPLIT(C7115,""-"")"),7135.0)</f>
        <v>7135</v>
      </c>
      <c r="E7115" s="308" t="str">
        <f>IFERROR(__xludf.DUMMYFUNCTION("""COMPUTED_VALUE"""),"B")</f>
        <v>B</v>
      </c>
      <c r="F7115" s="315" t="s">
        <v>26</v>
      </c>
      <c r="G7115" s="308"/>
      <c r="H7115" s="308" t="s">
        <v>28837</v>
      </c>
      <c r="I7115" s="310">
        <v>42773.0</v>
      </c>
      <c r="J7115" s="319">
        <f>IFERROR(__xludf.DUMMYFUNCTION("SPLIT(I7115,""/"")"),7.0)</f>
        <v>7</v>
      </c>
      <c r="K7115" s="308">
        <f>IFERROR(__xludf.DUMMYFUNCTION("""COMPUTED_VALUE"""),2.0)</f>
        <v>2</v>
      </c>
      <c r="L7115" s="308">
        <f>IFERROR(__xludf.DUMMYFUNCTION("""COMPUTED_VALUE"""),2017.0)</f>
        <v>2017</v>
      </c>
      <c r="M7115" s="308" t="s">
        <v>28256</v>
      </c>
      <c r="N7115" s="308"/>
      <c r="O7115" s="308"/>
      <c r="P7115" s="308" t="s">
        <v>28792</v>
      </c>
      <c r="Q7115" s="308" t="s">
        <v>39573</v>
      </c>
      <c r="R7115" s="308"/>
      <c r="S7115" s="308" t="s">
        <v>81</v>
      </c>
      <c r="T7115" s="308" t="s">
        <v>75</v>
      </c>
      <c r="U7115" s="308" t="s">
        <v>27</v>
      </c>
      <c r="V7115" s="308"/>
    </row>
    <row r="7116">
      <c r="A7116" s="308"/>
      <c r="B7116" s="308"/>
      <c r="C7116" s="308" t="s">
        <v>28838</v>
      </c>
      <c r="D7116" s="308">
        <f>IFERROR(__xludf.DUMMYFUNCTION("SPLIT(C7116,""-"")"),7136.0)</f>
        <v>7136</v>
      </c>
      <c r="E7116" s="308" t="str">
        <f>IFERROR(__xludf.DUMMYFUNCTION("""COMPUTED_VALUE"""),"B")</f>
        <v>B</v>
      </c>
      <c r="F7116" s="315" t="s">
        <v>26</v>
      </c>
      <c r="G7116" s="308"/>
      <c r="H7116" s="308" t="s">
        <v>28839</v>
      </c>
      <c r="I7116" s="310">
        <v>42773.0</v>
      </c>
      <c r="J7116" s="319">
        <f>IFERROR(__xludf.DUMMYFUNCTION("SPLIT(I7116,""/"")"),7.0)</f>
        <v>7</v>
      </c>
      <c r="K7116" s="308">
        <f>IFERROR(__xludf.DUMMYFUNCTION("""COMPUTED_VALUE"""),2.0)</f>
        <v>2</v>
      </c>
      <c r="L7116" s="308">
        <f>IFERROR(__xludf.DUMMYFUNCTION("""COMPUTED_VALUE"""),2017.0)</f>
        <v>2017</v>
      </c>
      <c r="M7116" s="308" t="s">
        <v>28256</v>
      </c>
      <c r="N7116" s="308"/>
      <c r="O7116" s="308"/>
      <c r="P7116" s="308" t="s">
        <v>39577</v>
      </c>
      <c r="Q7116" s="308" t="s">
        <v>39573</v>
      </c>
      <c r="R7116" s="308"/>
      <c r="S7116" s="308" t="s">
        <v>81</v>
      </c>
      <c r="T7116" s="308" t="s">
        <v>75</v>
      </c>
      <c r="U7116" s="308" t="s">
        <v>27</v>
      </c>
      <c r="V7116" s="308"/>
    </row>
    <row r="7117">
      <c r="A7117" s="308"/>
      <c r="B7117" s="308"/>
      <c r="C7117" s="308" t="s">
        <v>28841</v>
      </c>
      <c r="D7117" s="308">
        <f>IFERROR(__xludf.DUMMYFUNCTION("SPLIT(C7117,""-"")"),7137.0)</f>
        <v>7137</v>
      </c>
      <c r="E7117" s="308" t="str">
        <f>IFERROR(__xludf.DUMMYFUNCTION("""COMPUTED_VALUE"""),"B")</f>
        <v>B</v>
      </c>
      <c r="F7117" s="315" t="s">
        <v>26</v>
      </c>
      <c r="G7117" s="308"/>
      <c r="H7117" s="308" t="s">
        <v>28842</v>
      </c>
      <c r="I7117" s="310">
        <v>42773.0</v>
      </c>
      <c r="J7117" s="319">
        <f>IFERROR(__xludf.DUMMYFUNCTION("SPLIT(I7117,""/"")"),7.0)</f>
        <v>7</v>
      </c>
      <c r="K7117" s="308">
        <f>IFERROR(__xludf.DUMMYFUNCTION("""COMPUTED_VALUE"""),2.0)</f>
        <v>2</v>
      </c>
      <c r="L7117" s="308">
        <f>IFERROR(__xludf.DUMMYFUNCTION("""COMPUTED_VALUE"""),2017.0)</f>
        <v>2017</v>
      </c>
      <c r="M7117" s="308" t="s">
        <v>28843</v>
      </c>
      <c r="N7117" s="308"/>
      <c r="O7117" s="308"/>
      <c r="P7117" s="308" t="s">
        <v>39578</v>
      </c>
      <c r="Q7117" s="308" t="s">
        <v>39573</v>
      </c>
      <c r="R7117" s="308"/>
      <c r="S7117" s="308" t="s">
        <v>81</v>
      </c>
      <c r="T7117" s="308" t="s">
        <v>75</v>
      </c>
      <c r="U7117" s="308" t="s">
        <v>27</v>
      </c>
      <c r="V7117" s="308"/>
    </row>
    <row r="7118">
      <c r="A7118" s="308"/>
      <c r="B7118" s="308"/>
      <c r="C7118" s="308" t="s">
        <v>28845</v>
      </c>
      <c r="D7118" s="308">
        <f>IFERROR(__xludf.DUMMYFUNCTION("SPLIT(C7118,""-"")"),7138.0)</f>
        <v>7138</v>
      </c>
      <c r="E7118" s="308" t="str">
        <f>IFERROR(__xludf.DUMMYFUNCTION("""COMPUTED_VALUE"""),"B")</f>
        <v>B</v>
      </c>
      <c r="F7118" s="315" t="s">
        <v>26</v>
      </c>
      <c r="G7118" s="308"/>
      <c r="H7118" s="308" t="s">
        <v>28846</v>
      </c>
      <c r="I7118" s="310">
        <v>42784.0</v>
      </c>
      <c r="J7118" s="319">
        <f>IFERROR(__xludf.DUMMYFUNCTION("SPLIT(I7118,""/"")"),18.0)</f>
        <v>18</v>
      </c>
      <c r="K7118" s="308">
        <f>IFERROR(__xludf.DUMMYFUNCTION("""COMPUTED_VALUE"""),2.0)</f>
        <v>2</v>
      </c>
      <c r="L7118" s="308">
        <f>IFERROR(__xludf.DUMMYFUNCTION("""COMPUTED_VALUE"""),2017.0)</f>
        <v>2017</v>
      </c>
      <c r="M7118" s="308" t="s">
        <v>28843</v>
      </c>
      <c r="N7118" s="308"/>
      <c r="O7118" s="308"/>
      <c r="P7118" s="308" t="s">
        <v>39579</v>
      </c>
      <c r="Q7118" s="308" t="s">
        <v>39573</v>
      </c>
      <c r="R7118" s="308"/>
      <c r="S7118" s="308" t="s">
        <v>81</v>
      </c>
      <c r="T7118" s="308" t="s">
        <v>75</v>
      </c>
      <c r="U7118" s="308" t="s">
        <v>27</v>
      </c>
      <c r="V7118" s="308"/>
    </row>
    <row r="7119">
      <c r="A7119" s="308"/>
      <c r="B7119" s="308"/>
      <c r="C7119" s="308" t="s">
        <v>28848</v>
      </c>
      <c r="D7119" s="308">
        <f>IFERROR(__xludf.DUMMYFUNCTION("SPLIT(C7119,""-"")"),7139.0)</f>
        <v>7139</v>
      </c>
      <c r="E7119" s="308" t="str">
        <f>IFERROR(__xludf.DUMMYFUNCTION("""COMPUTED_VALUE"""),"B")</f>
        <v>B</v>
      </c>
      <c r="F7119" s="315" t="s">
        <v>26</v>
      </c>
      <c r="G7119" s="308"/>
      <c r="H7119" s="308" t="s">
        <v>28849</v>
      </c>
      <c r="I7119" s="310">
        <v>42784.0</v>
      </c>
      <c r="J7119" s="319">
        <f>IFERROR(__xludf.DUMMYFUNCTION("SPLIT(I7119,""/"")"),18.0)</f>
        <v>18</v>
      </c>
      <c r="K7119" s="308">
        <f>IFERROR(__xludf.DUMMYFUNCTION("""COMPUTED_VALUE"""),2.0)</f>
        <v>2</v>
      </c>
      <c r="L7119" s="308">
        <f>IFERROR(__xludf.DUMMYFUNCTION("""COMPUTED_VALUE"""),2017.0)</f>
        <v>2017</v>
      </c>
      <c r="M7119" s="308" t="s">
        <v>28850</v>
      </c>
      <c r="N7119" s="308"/>
      <c r="O7119" s="308"/>
      <c r="P7119" s="308" t="s">
        <v>136</v>
      </c>
      <c r="Q7119" s="308" t="s">
        <v>39573</v>
      </c>
      <c r="R7119" s="308"/>
      <c r="S7119" s="315" t="s">
        <v>100</v>
      </c>
      <c r="T7119" s="308" t="s">
        <v>34208</v>
      </c>
      <c r="U7119" s="308" t="s">
        <v>27</v>
      </c>
      <c r="V7119" s="308"/>
    </row>
    <row r="7120">
      <c r="A7120" s="308"/>
      <c r="B7120" s="308"/>
      <c r="C7120" s="308" t="s">
        <v>28851</v>
      </c>
      <c r="D7120" s="308">
        <f>IFERROR(__xludf.DUMMYFUNCTION("SPLIT(C7120,""-"")"),7140.0)</f>
        <v>7140</v>
      </c>
      <c r="E7120" s="308" t="str">
        <f>IFERROR(__xludf.DUMMYFUNCTION("""COMPUTED_VALUE"""),"B")</f>
        <v>B</v>
      </c>
      <c r="F7120" s="315" t="s">
        <v>26</v>
      </c>
      <c r="G7120" s="308"/>
      <c r="H7120" s="308" t="s">
        <v>28852</v>
      </c>
      <c r="I7120" s="310">
        <v>43041.0</v>
      </c>
      <c r="J7120" s="319">
        <f>IFERROR(__xludf.DUMMYFUNCTION("SPLIT(I7120,""/"")"),2.0)</f>
        <v>2</v>
      </c>
      <c r="K7120" s="308">
        <f>IFERROR(__xludf.DUMMYFUNCTION("""COMPUTED_VALUE"""),11.0)</f>
        <v>11</v>
      </c>
      <c r="L7120" s="308">
        <f>IFERROR(__xludf.DUMMYFUNCTION("""COMPUTED_VALUE"""),2017.0)</f>
        <v>2017</v>
      </c>
      <c r="M7120" s="308" t="s">
        <v>28853</v>
      </c>
      <c r="N7120" s="308"/>
      <c r="O7120" s="308"/>
      <c r="P7120" s="308" t="s">
        <v>28792</v>
      </c>
      <c r="Q7120" s="308" t="s">
        <v>39573</v>
      </c>
      <c r="R7120" s="308"/>
      <c r="S7120" s="308" t="s">
        <v>81</v>
      </c>
      <c r="T7120" s="308" t="s">
        <v>75</v>
      </c>
      <c r="U7120" s="308" t="s">
        <v>27</v>
      </c>
      <c r="V7120" s="308"/>
    </row>
    <row r="7121">
      <c r="A7121" s="308"/>
      <c r="B7121" s="308"/>
      <c r="C7121" s="308" t="s">
        <v>28854</v>
      </c>
      <c r="D7121" s="308">
        <f>IFERROR(__xludf.DUMMYFUNCTION("SPLIT(C7121,""-"")"),7141.0)</f>
        <v>7141</v>
      </c>
      <c r="E7121" s="308" t="str">
        <f>IFERROR(__xludf.DUMMYFUNCTION("""COMPUTED_VALUE"""),"B")</f>
        <v>B</v>
      </c>
      <c r="F7121" s="315" t="s">
        <v>26</v>
      </c>
      <c r="G7121" s="308"/>
      <c r="H7121" s="308" t="s">
        <v>28855</v>
      </c>
      <c r="I7121" s="310">
        <v>43010.0</v>
      </c>
      <c r="J7121" s="319">
        <f>IFERROR(__xludf.DUMMYFUNCTION("SPLIT(I7121,""/"")"),2.0)</f>
        <v>2</v>
      </c>
      <c r="K7121" s="308">
        <f>IFERROR(__xludf.DUMMYFUNCTION("""COMPUTED_VALUE"""),10.0)</f>
        <v>10</v>
      </c>
      <c r="L7121" s="308">
        <f>IFERROR(__xludf.DUMMYFUNCTION("""COMPUTED_VALUE"""),2017.0)</f>
        <v>2017</v>
      </c>
      <c r="M7121" s="308" t="s">
        <v>28835</v>
      </c>
      <c r="N7121" s="308"/>
      <c r="O7121" s="308"/>
      <c r="P7121" s="308" t="s">
        <v>28792</v>
      </c>
      <c r="Q7121" s="308" t="s">
        <v>39573</v>
      </c>
      <c r="R7121" s="308"/>
      <c r="S7121" s="308" t="s">
        <v>81</v>
      </c>
      <c r="T7121" s="308" t="s">
        <v>75</v>
      </c>
      <c r="U7121" s="308" t="s">
        <v>27</v>
      </c>
      <c r="V7121" s="308"/>
    </row>
    <row r="7122">
      <c r="A7122" s="308"/>
      <c r="B7122" s="308"/>
      <c r="C7122" s="308" t="s">
        <v>28856</v>
      </c>
      <c r="D7122" s="308">
        <f>IFERROR(__xludf.DUMMYFUNCTION("SPLIT(C7122,""-"")"),7142.0)</f>
        <v>7142</v>
      </c>
      <c r="E7122" s="308" t="str">
        <f>IFERROR(__xludf.DUMMYFUNCTION("""COMPUTED_VALUE"""),"B")</f>
        <v>B</v>
      </c>
      <c r="F7122" s="315" t="s">
        <v>26</v>
      </c>
      <c r="G7122" s="308"/>
      <c r="H7122" s="308" t="s">
        <v>28857</v>
      </c>
      <c r="I7122" s="310">
        <v>43010.0</v>
      </c>
      <c r="J7122" s="319">
        <f>IFERROR(__xludf.DUMMYFUNCTION("SPLIT(I7122,""/"")"),2.0)</f>
        <v>2</v>
      </c>
      <c r="K7122" s="308">
        <f>IFERROR(__xludf.DUMMYFUNCTION("""COMPUTED_VALUE"""),10.0)</f>
        <v>10</v>
      </c>
      <c r="L7122" s="308">
        <f>IFERROR(__xludf.DUMMYFUNCTION("""COMPUTED_VALUE"""),2017.0)</f>
        <v>2017</v>
      </c>
      <c r="M7122" s="308" t="s">
        <v>28858</v>
      </c>
      <c r="N7122" s="308"/>
      <c r="O7122" s="308"/>
      <c r="P7122" s="308" t="s">
        <v>39580</v>
      </c>
      <c r="Q7122" s="308" t="s">
        <v>39573</v>
      </c>
      <c r="R7122" s="308"/>
      <c r="S7122" s="308" t="s">
        <v>81</v>
      </c>
      <c r="T7122" s="308" t="s">
        <v>75</v>
      </c>
      <c r="U7122" s="308" t="s">
        <v>27</v>
      </c>
      <c r="V7122" s="308"/>
    </row>
    <row r="7123">
      <c r="A7123" s="308"/>
      <c r="B7123" s="308"/>
      <c r="C7123" s="308" t="s">
        <v>28860</v>
      </c>
      <c r="D7123" s="308">
        <f>IFERROR(__xludf.DUMMYFUNCTION("SPLIT(C7123,""-"")"),7143.0)</f>
        <v>7143</v>
      </c>
      <c r="E7123" s="308" t="str">
        <f>IFERROR(__xludf.DUMMYFUNCTION("""COMPUTED_VALUE"""),"B")</f>
        <v>B</v>
      </c>
      <c r="F7123" s="315" t="s">
        <v>26</v>
      </c>
      <c r="G7123" s="308"/>
      <c r="H7123" s="308" t="s">
        <v>28861</v>
      </c>
      <c r="I7123" s="310">
        <v>43010.0</v>
      </c>
      <c r="J7123" s="319">
        <f>IFERROR(__xludf.DUMMYFUNCTION("SPLIT(I7123,""/"")"),2.0)</f>
        <v>2</v>
      </c>
      <c r="K7123" s="308">
        <f>IFERROR(__xludf.DUMMYFUNCTION("""COMPUTED_VALUE"""),10.0)</f>
        <v>10</v>
      </c>
      <c r="L7123" s="308">
        <f>IFERROR(__xludf.DUMMYFUNCTION("""COMPUTED_VALUE"""),2017.0)</f>
        <v>2017</v>
      </c>
      <c r="M7123" s="308" t="s">
        <v>28835</v>
      </c>
      <c r="N7123" s="308"/>
      <c r="O7123" s="308"/>
      <c r="P7123" s="308" t="s">
        <v>39581</v>
      </c>
      <c r="Q7123" s="308" t="s">
        <v>39573</v>
      </c>
      <c r="R7123" s="308"/>
      <c r="S7123" s="308" t="s">
        <v>81</v>
      </c>
      <c r="T7123" s="308" t="s">
        <v>75</v>
      </c>
      <c r="U7123" s="308" t="s">
        <v>27</v>
      </c>
      <c r="V7123" s="308"/>
    </row>
    <row r="7124">
      <c r="A7124" s="308"/>
      <c r="B7124" s="308"/>
      <c r="C7124" s="308" t="s">
        <v>28863</v>
      </c>
      <c r="D7124" s="308">
        <f>IFERROR(__xludf.DUMMYFUNCTION("SPLIT(C7124,""-"")"),7144.0)</f>
        <v>7144</v>
      </c>
      <c r="E7124" s="308" t="str">
        <f>IFERROR(__xludf.DUMMYFUNCTION("""COMPUTED_VALUE"""),"B")</f>
        <v>B</v>
      </c>
      <c r="F7124" s="315" t="s">
        <v>26</v>
      </c>
      <c r="G7124" s="308"/>
      <c r="H7124" s="308" t="s">
        <v>28864</v>
      </c>
      <c r="I7124" s="310">
        <v>42848.0</v>
      </c>
      <c r="J7124" s="319">
        <f>IFERROR(__xludf.DUMMYFUNCTION("SPLIT(I7124,""/"")"),23.0)</f>
        <v>23</v>
      </c>
      <c r="K7124" s="308">
        <f>IFERROR(__xludf.DUMMYFUNCTION("""COMPUTED_VALUE"""),4.0)</f>
        <v>4</v>
      </c>
      <c r="L7124" s="308">
        <f>IFERROR(__xludf.DUMMYFUNCTION("""COMPUTED_VALUE"""),2017.0)</f>
        <v>2017</v>
      </c>
      <c r="M7124" s="308" t="s">
        <v>28865</v>
      </c>
      <c r="N7124" s="308"/>
      <c r="O7124" s="308"/>
      <c r="P7124" s="308" t="s">
        <v>28792</v>
      </c>
      <c r="Q7124" s="308" t="s">
        <v>39573</v>
      </c>
      <c r="R7124" s="308"/>
      <c r="S7124" s="308" t="s">
        <v>81</v>
      </c>
      <c r="T7124" s="308" t="s">
        <v>75</v>
      </c>
      <c r="U7124" s="308" t="s">
        <v>27</v>
      </c>
      <c r="V7124" s="308"/>
    </row>
    <row r="7125">
      <c r="A7125" s="308"/>
      <c r="B7125" s="308"/>
      <c r="C7125" s="308" t="s">
        <v>28866</v>
      </c>
      <c r="D7125" s="308">
        <f>IFERROR(__xludf.DUMMYFUNCTION("SPLIT(C7125,""-"")"),7145.0)</f>
        <v>7145</v>
      </c>
      <c r="E7125" s="308" t="str">
        <f>IFERROR(__xludf.DUMMYFUNCTION("""COMPUTED_VALUE"""),"B")</f>
        <v>B</v>
      </c>
      <c r="F7125" s="315" t="s">
        <v>26</v>
      </c>
      <c r="G7125" s="308"/>
      <c r="H7125" s="308" t="s">
        <v>28867</v>
      </c>
      <c r="I7125" s="310">
        <v>42845.0</v>
      </c>
      <c r="J7125" s="319">
        <f>IFERROR(__xludf.DUMMYFUNCTION("SPLIT(I7125,""/"")"),20.0)</f>
        <v>20</v>
      </c>
      <c r="K7125" s="308">
        <f>IFERROR(__xludf.DUMMYFUNCTION("""COMPUTED_VALUE"""),4.0)</f>
        <v>4</v>
      </c>
      <c r="L7125" s="308">
        <f>IFERROR(__xludf.DUMMYFUNCTION("""COMPUTED_VALUE"""),2017.0)</f>
        <v>2017</v>
      </c>
      <c r="M7125" s="308" t="s">
        <v>28843</v>
      </c>
      <c r="N7125" s="308"/>
      <c r="O7125" s="308"/>
      <c r="P7125" s="308" t="s">
        <v>39582</v>
      </c>
      <c r="Q7125" s="308" t="s">
        <v>39573</v>
      </c>
      <c r="R7125" s="308"/>
      <c r="S7125" s="308" t="s">
        <v>81</v>
      </c>
      <c r="T7125" s="308" t="s">
        <v>75</v>
      </c>
      <c r="U7125" s="308" t="s">
        <v>27</v>
      </c>
      <c r="V7125" s="308"/>
    </row>
    <row r="7126">
      <c r="A7126" s="308"/>
      <c r="B7126" s="308"/>
      <c r="C7126" s="308" t="s">
        <v>28869</v>
      </c>
      <c r="D7126" s="308">
        <f>IFERROR(__xludf.DUMMYFUNCTION("SPLIT(C7126,""-"")"),7146.0)</f>
        <v>7146</v>
      </c>
      <c r="E7126" s="308" t="str">
        <f>IFERROR(__xludf.DUMMYFUNCTION("""COMPUTED_VALUE"""),"B")</f>
        <v>B</v>
      </c>
      <c r="F7126" s="315" t="s">
        <v>26</v>
      </c>
      <c r="G7126" s="308"/>
      <c r="H7126" s="308" t="s">
        <v>28870</v>
      </c>
      <c r="I7126" s="310">
        <v>42854.0</v>
      </c>
      <c r="J7126" s="319">
        <f>IFERROR(__xludf.DUMMYFUNCTION("SPLIT(I7126,""/"")"),29.0)</f>
        <v>29</v>
      </c>
      <c r="K7126" s="308">
        <f>IFERROR(__xludf.DUMMYFUNCTION("""COMPUTED_VALUE"""),4.0)</f>
        <v>4</v>
      </c>
      <c r="L7126" s="308">
        <f>IFERROR(__xludf.DUMMYFUNCTION("""COMPUTED_VALUE"""),2017.0)</f>
        <v>2017</v>
      </c>
      <c r="M7126" s="308" t="s">
        <v>28871</v>
      </c>
      <c r="N7126" s="308"/>
      <c r="O7126" s="308"/>
      <c r="P7126" s="308" t="s">
        <v>28792</v>
      </c>
      <c r="Q7126" s="308" t="s">
        <v>39573</v>
      </c>
      <c r="R7126" s="308"/>
      <c r="S7126" s="308" t="s">
        <v>81</v>
      </c>
      <c r="T7126" s="308" t="s">
        <v>75</v>
      </c>
      <c r="U7126" s="308" t="s">
        <v>27</v>
      </c>
      <c r="V7126" s="308"/>
    </row>
    <row r="7127">
      <c r="A7127" s="308"/>
      <c r="B7127" s="308"/>
      <c r="C7127" s="308" t="s">
        <v>28872</v>
      </c>
      <c r="D7127" s="308">
        <f>IFERROR(__xludf.DUMMYFUNCTION("SPLIT(C7127,""-"")"),7147.0)</f>
        <v>7147</v>
      </c>
      <c r="E7127" s="308" t="str">
        <f>IFERROR(__xludf.DUMMYFUNCTION("""COMPUTED_VALUE"""),"B")</f>
        <v>B</v>
      </c>
      <c r="F7127" s="315" t="s">
        <v>26</v>
      </c>
      <c r="G7127" s="308"/>
      <c r="H7127" s="308" t="s">
        <v>28873</v>
      </c>
      <c r="I7127" s="310">
        <v>42852.0</v>
      </c>
      <c r="J7127" s="319">
        <f>IFERROR(__xludf.DUMMYFUNCTION("SPLIT(I7127,""/"")"),27.0)</f>
        <v>27</v>
      </c>
      <c r="K7127" s="308">
        <f>IFERROR(__xludf.DUMMYFUNCTION("""COMPUTED_VALUE"""),4.0)</f>
        <v>4</v>
      </c>
      <c r="L7127" s="308">
        <f>IFERROR(__xludf.DUMMYFUNCTION("""COMPUTED_VALUE"""),2017.0)</f>
        <v>2017</v>
      </c>
      <c r="M7127" s="308" t="s">
        <v>28874</v>
      </c>
      <c r="N7127" s="308"/>
      <c r="O7127" s="308"/>
      <c r="P7127" s="308" t="s">
        <v>28792</v>
      </c>
      <c r="Q7127" s="308" t="s">
        <v>39573</v>
      </c>
      <c r="R7127" s="308"/>
      <c r="S7127" s="308" t="s">
        <v>81</v>
      </c>
      <c r="T7127" s="308" t="s">
        <v>75</v>
      </c>
      <c r="U7127" s="308" t="s">
        <v>27</v>
      </c>
      <c r="V7127" s="308"/>
    </row>
    <row r="7128">
      <c r="A7128" s="308"/>
      <c r="B7128" s="308"/>
      <c r="C7128" s="308" t="s">
        <v>28875</v>
      </c>
      <c r="D7128" s="308">
        <f>IFERROR(__xludf.DUMMYFUNCTION("SPLIT(C7128,""-"")"),7148.0)</f>
        <v>7148</v>
      </c>
      <c r="E7128" s="308" t="str">
        <f>IFERROR(__xludf.DUMMYFUNCTION("""COMPUTED_VALUE"""),"B")</f>
        <v>B</v>
      </c>
      <c r="F7128" s="315" t="s">
        <v>26</v>
      </c>
      <c r="G7128" s="308"/>
      <c r="H7128" s="308" t="s">
        <v>28876</v>
      </c>
      <c r="I7128" s="310">
        <v>42852.0</v>
      </c>
      <c r="J7128" s="319">
        <f>IFERROR(__xludf.DUMMYFUNCTION("SPLIT(I7128,""/"")"),27.0)</f>
        <v>27</v>
      </c>
      <c r="K7128" s="308">
        <f>IFERROR(__xludf.DUMMYFUNCTION("""COMPUTED_VALUE"""),4.0)</f>
        <v>4</v>
      </c>
      <c r="L7128" s="308">
        <f>IFERROR(__xludf.DUMMYFUNCTION("""COMPUTED_VALUE"""),2017.0)</f>
        <v>2017</v>
      </c>
      <c r="M7128" s="308" t="s">
        <v>28865</v>
      </c>
      <c r="N7128" s="308"/>
      <c r="O7128" s="308"/>
      <c r="P7128" s="308" t="s">
        <v>28792</v>
      </c>
      <c r="Q7128" s="308" t="s">
        <v>39573</v>
      </c>
      <c r="R7128" s="308"/>
      <c r="S7128" s="308" t="s">
        <v>81</v>
      </c>
      <c r="T7128" s="308" t="s">
        <v>75</v>
      </c>
      <c r="U7128" s="308" t="s">
        <v>27</v>
      </c>
      <c r="V7128" s="308"/>
    </row>
    <row r="7129">
      <c r="A7129" s="308"/>
      <c r="B7129" s="308"/>
      <c r="C7129" s="308" t="s">
        <v>28877</v>
      </c>
      <c r="D7129" s="308">
        <f>IFERROR(__xludf.DUMMYFUNCTION("SPLIT(C7129,""-"")"),7149.0)</f>
        <v>7149</v>
      </c>
      <c r="E7129" s="308" t="str">
        <f>IFERROR(__xludf.DUMMYFUNCTION("""COMPUTED_VALUE"""),"B")</f>
        <v>B</v>
      </c>
      <c r="F7129" s="315" t="s">
        <v>26</v>
      </c>
      <c r="G7129" s="308"/>
      <c r="H7129" s="308" t="s">
        <v>28878</v>
      </c>
      <c r="I7129" s="310">
        <v>42852.0</v>
      </c>
      <c r="J7129" s="319">
        <f>IFERROR(__xludf.DUMMYFUNCTION("SPLIT(I7129,""/"")"),27.0)</f>
        <v>27</v>
      </c>
      <c r="K7129" s="308">
        <f>IFERROR(__xludf.DUMMYFUNCTION("""COMPUTED_VALUE"""),4.0)</f>
        <v>4</v>
      </c>
      <c r="L7129" s="308">
        <f>IFERROR(__xludf.DUMMYFUNCTION("""COMPUTED_VALUE"""),2017.0)</f>
        <v>2017</v>
      </c>
      <c r="M7129" s="308" t="s">
        <v>28879</v>
      </c>
      <c r="N7129" s="308"/>
      <c r="O7129" s="308"/>
      <c r="P7129" s="308" t="s">
        <v>28792</v>
      </c>
      <c r="Q7129" s="308" t="s">
        <v>39573</v>
      </c>
      <c r="R7129" s="308"/>
      <c r="S7129" s="308" t="s">
        <v>81</v>
      </c>
      <c r="T7129" s="308" t="s">
        <v>75</v>
      </c>
      <c r="U7129" s="308" t="s">
        <v>27</v>
      </c>
      <c r="V7129" s="308"/>
    </row>
    <row r="7130">
      <c r="A7130" s="308"/>
      <c r="B7130" s="308"/>
      <c r="C7130" s="308" t="s">
        <v>28880</v>
      </c>
      <c r="D7130" s="308">
        <f>IFERROR(__xludf.DUMMYFUNCTION("SPLIT(C7130,""-"")"),7150.0)</f>
        <v>7150</v>
      </c>
      <c r="E7130" s="308" t="str">
        <f>IFERROR(__xludf.DUMMYFUNCTION("""COMPUTED_VALUE"""),"B")</f>
        <v>B</v>
      </c>
      <c r="F7130" s="315" t="s">
        <v>26</v>
      </c>
      <c r="G7130" s="308"/>
      <c r="H7130" s="308" t="s">
        <v>28881</v>
      </c>
      <c r="I7130" s="310">
        <v>42852.0</v>
      </c>
      <c r="J7130" s="319">
        <f>IFERROR(__xludf.DUMMYFUNCTION("SPLIT(I7130,""/"")"),27.0)</f>
        <v>27</v>
      </c>
      <c r="K7130" s="308">
        <f>IFERROR(__xludf.DUMMYFUNCTION("""COMPUTED_VALUE"""),4.0)</f>
        <v>4</v>
      </c>
      <c r="L7130" s="308">
        <f>IFERROR(__xludf.DUMMYFUNCTION("""COMPUTED_VALUE"""),2017.0)</f>
        <v>2017</v>
      </c>
      <c r="M7130" s="308" t="s">
        <v>28882</v>
      </c>
      <c r="N7130" s="308"/>
      <c r="O7130" s="308"/>
      <c r="P7130" s="308" t="s">
        <v>136</v>
      </c>
      <c r="Q7130" s="308" t="s">
        <v>39573</v>
      </c>
      <c r="R7130" s="308"/>
      <c r="S7130" s="315" t="s">
        <v>100</v>
      </c>
      <c r="T7130" s="308" t="s">
        <v>34208</v>
      </c>
      <c r="U7130" s="308" t="s">
        <v>27</v>
      </c>
      <c r="V7130" s="308"/>
    </row>
    <row r="7131">
      <c r="A7131" s="308"/>
      <c r="B7131" s="308"/>
      <c r="C7131" s="308" t="s">
        <v>28883</v>
      </c>
      <c r="D7131" s="308">
        <f>IFERROR(__xludf.DUMMYFUNCTION("SPLIT(C7131,""-"")"),7151.0)</f>
        <v>7151</v>
      </c>
      <c r="E7131" s="308" t="str">
        <f>IFERROR(__xludf.DUMMYFUNCTION("""COMPUTED_VALUE"""),"B")</f>
        <v>B</v>
      </c>
      <c r="F7131" s="315" t="s">
        <v>26</v>
      </c>
      <c r="G7131" s="308"/>
      <c r="H7131" s="308" t="s">
        <v>28884</v>
      </c>
      <c r="I7131" s="310">
        <v>42852.0</v>
      </c>
      <c r="J7131" s="319">
        <f>IFERROR(__xludf.DUMMYFUNCTION("SPLIT(I7131,""/"")"),27.0)</f>
        <v>27</v>
      </c>
      <c r="K7131" s="308">
        <f>IFERROR(__xludf.DUMMYFUNCTION("""COMPUTED_VALUE"""),4.0)</f>
        <v>4</v>
      </c>
      <c r="L7131" s="308">
        <f>IFERROR(__xludf.DUMMYFUNCTION("""COMPUTED_VALUE"""),2017.0)</f>
        <v>2017</v>
      </c>
      <c r="M7131" s="308" t="s">
        <v>28882</v>
      </c>
      <c r="N7131" s="308"/>
      <c r="O7131" s="308"/>
      <c r="P7131" s="308" t="s">
        <v>136</v>
      </c>
      <c r="Q7131" s="308" t="s">
        <v>39573</v>
      </c>
      <c r="R7131" s="308"/>
      <c r="S7131" s="315" t="s">
        <v>100</v>
      </c>
      <c r="T7131" s="308" t="s">
        <v>34208</v>
      </c>
      <c r="U7131" s="308" t="s">
        <v>27</v>
      </c>
      <c r="V7131" s="308"/>
    </row>
    <row r="7132">
      <c r="A7132" s="308"/>
      <c r="B7132" s="308"/>
      <c r="C7132" s="308" t="s">
        <v>28885</v>
      </c>
      <c r="D7132" s="308">
        <f>IFERROR(__xludf.DUMMYFUNCTION("SPLIT(C7132,""-"")"),7152.0)</f>
        <v>7152</v>
      </c>
      <c r="E7132" s="308" t="str">
        <f>IFERROR(__xludf.DUMMYFUNCTION("""COMPUTED_VALUE"""),"B")</f>
        <v>B</v>
      </c>
      <c r="F7132" s="315" t="s">
        <v>26</v>
      </c>
      <c r="G7132" s="308"/>
      <c r="H7132" s="308" t="s">
        <v>28886</v>
      </c>
      <c r="I7132" s="316" t="s">
        <v>28887</v>
      </c>
      <c r="J7132" s="323">
        <v>26.0</v>
      </c>
      <c r="K7132" s="311">
        <v>4.0</v>
      </c>
      <c r="L7132" s="311">
        <v>2017.0</v>
      </c>
      <c r="M7132" s="308" t="s">
        <v>28888</v>
      </c>
      <c r="N7132" s="308"/>
      <c r="O7132" s="308"/>
      <c r="P7132" s="308" t="s">
        <v>39583</v>
      </c>
      <c r="Q7132" s="308" t="s">
        <v>39573</v>
      </c>
      <c r="R7132" s="308"/>
      <c r="S7132" s="308" t="s">
        <v>81</v>
      </c>
      <c r="T7132" s="308" t="s">
        <v>75</v>
      </c>
      <c r="U7132" s="308" t="s">
        <v>27</v>
      </c>
      <c r="V7132" s="308"/>
    </row>
    <row r="7133">
      <c r="A7133" s="308"/>
      <c r="B7133" s="308"/>
      <c r="C7133" s="308" t="s">
        <v>28890</v>
      </c>
      <c r="D7133" s="308">
        <f>IFERROR(__xludf.DUMMYFUNCTION("SPLIT(C7133,""-"")"),7153.0)</f>
        <v>7153</v>
      </c>
      <c r="E7133" s="308" t="str">
        <f>IFERROR(__xludf.DUMMYFUNCTION("""COMPUTED_VALUE"""),"B")</f>
        <v>B</v>
      </c>
      <c r="F7133" s="315" t="s">
        <v>26</v>
      </c>
      <c r="G7133" s="308"/>
      <c r="H7133" s="308" t="s">
        <v>28891</v>
      </c>
      <c r="I7133" s="316" t="s">
        <v>28887</v>
      </c>
      <c r="J7133" s="323">
        <v>26.0</v>
      </c>
      <c r="K7133" s="311">
        <v>4.0</v>
      </c>
      <c r="L7133" s="311">
        <v>2017.0</v>
      </c>
      <c r="M7133" s="308" t="s">
        <v>28888</v>
      </c>
      <c r="N7133" s="308"/>
      <c r="O7133" s="308"/>
      <c r="P7133" s="308" t="s">
        <v>28792</v>
      </c>
      <c r="Q7133" s="308" t="s">
        <v>39573</v>
      </c>
      <c r="R7133" s="308"/>
      <c r="S7133" s="308" t="s">
        <v>81</v>
      </c>
      <c r="T7133" s="308" t="s">
        <v>75</v>
      </c>
      <c r="U7133" s="308" t="s">
        <v>27</v>
      </c>
      <c r="V7133" s="308"/>
    </row>
    <row r="7134">
      <c r="A7134" s="308"/>
      <c r="B7134" s="308"/>
      <c r="C7134" s="308" t="s">
        <v>28892</v>
      </c>
      <c r="D7134" s="308">
        <f>IFERROR(__xludf.DUMMYFUNCTION("SPLIT(C7134,""-"")"),7154.0)</f>
        <v>7154</v>
      </c>
      <c r="E7134" s="308" t="str">
        <f>IFERROR(__xludf.DUMMYFUNCTION("""COMPUTED_VALUE"""),"B")</f>
        <v>B</v>
      </c>
      <c r="F7134" s="315" t="s">
        <v>26</v>
      </c>
      <c r="G7134" s="308"/>
      <c r="H7134" s="308" t="s">
        <v>28893</v>
      </c>
      <c r="I7134" s="316" t="s">
        <v>28887</v>
      </c>
      <c r="J7134" s="323">
        <v>26.0</v>
      </c>
      <c r="K7134" s="311">
        <v>4.0</v>
      </c>
      <c r="L7134" s="311">
        <v>2017.0</v>
      </c>
      <c r="M7134" s="308" t="s">
        <v>28865</v>
      </c>
      <c r="N7134" s="308"/>
      <c r="O7134" s="308"/>
      <c r="P7134" s="308" t="s">
        <v>28792</v>
      </c>
      <c r="Q7134" s="308" t="s">
        <v>39573</v>
      </c>
      <c r="R7134" s="308"/>
      <c r="S7134" s="308" t="s">
        <v>81</v>
      </c>
      <c r="T7134" s="308" t="s">
        <v>75</v>
      </c>
      <c r="U7134" s="308" t="s">
        <v>27</v>
      </c>
      <c r="V7134" s="308"/>
    </row>
    <row r="7135">
      <c r="A7135" s="308"/>
      <c r="B7135" s="308"/>
      <c r="C7135" s="308" t="s">
        <v>28894</v>
      </c>
      <c r="D7135" s="308">
        <f>IFERROR(__xludf.DUMMYFUNCTION("SPLIT(C7135,""-"")"),7155.0)</f>
        <v>7155</v>
      </c>
      <c r="E7135" s="308" t="str">
        <f>IFERROR(__xludf.DUMMYFUNCTION("""COMPUTED_VALUE"""),"B")</f>
        <v>B</v>
      </c>
      <c r="F7135" s="315" t="s">
        <v>26</v>
      </c>
      <c r="G7135" s="308"/>
      <c r="H7135" s="308" t="s">
        <v>28895</v>
      </c>
      <c r="I7135" s="310">
        <v>42850.0</v>
      </c>
      <c r="J7135" s="319">
        <f>IFERROR(__xludf.DUMMYFUNCTION("SPLIT(I7135,""/"")"),25.0)</f>
        <v>25</v>
      </c>
      <c r="K7135" s="308">
        <f>IFERROR(__xludf.DUMMYFUNCTION("""COMPUTED_VALUE"""),4.0)</f>
        <v>4</v>
      </c>
      <c r="L7135" s="308">
        <f>IFERROR(__xludf.DUMMYFUNCTION("""COMPUTED_VALUE"""),2017.0)</f>
        <v>2017</v>
      </c>
      <c r="M7135" s="308" t="s">
        <v>28888</v>
      </c>
      <c r="N7135" s="308"/>
      <c r="O7135" s="308"/>
      <c r="P7135" s="308" t="s">
        <v>39584</v>
      </c>
      <c r="Q7135" s="308" t="s">
        <v>39573</v>
      </c>
      <c r="R7135" s="308"/>
      <c r="S7135" s="308" t="s">
        <v>81</v>
      </c>
      <c r="T7135" s="308" t="s">
        <v>75</v>
      </c>
      <c r="U7135" s="308" t="s">
        <v>27</v>
      </c>
      <c r="V7135" s="308"/>
    </row>
    <row r="7136">
      <c r="A7136" s="308"/>
      <c r="B7136" s="308"/>
      <c r="C7136" s="308" t="s">
        <v>28897</v>
      </c>
      <c r="D7136" s="308">
        <f>IFERROR(__xludf.DUMMYFUNCTION("SPLIT(C7136,""-"")"),7156.0)</f>
        <v>7156</v>
      </c>
      <c r="E7136" s="308" t="str">
        <f>IFERROR(__xludf.DUMMYFUNCTION("""COMPUTED_VALUE"""),"B")</f>
        <v>B</v>
      </c>
      <c r="F7136" s="315" t="s">
        <v>26</v>
      </c>
      <c r="G7136" s="308"/>
      <c r="H7136" s="308" t="s">
        <v>28898</v>
      </c>
      <c r="I7136" s="310">
        <v>42850.0</v>
      </c>
      <c r="J7136" s="319">
        <f>IFERROR(__xludf.DUMMYFUNCTION("SPLIT(I7136,""/"")"),25.0)</f>
        <v>25</v>
      </c>
      <c r="K7136" s="308">
        <f>IFERROR(__xludf.DUMMYFUNCTION("""COMPUTED_VALUE"""),4.0)</f>
        <v>4</v>
      </c>
      <c r="L7136" s="308">
        <f>IFERROR(__xludf.DUMMYFUNCTION("""COMPUTED_VALUE"""),2017.0)</f>
        <v>2017</v>
      </c>
      <c r="M7136" s="308" t="s">
        <v>28853</v>
      </c>
      <c r="N7136" s="308"/>
      <c r="O7136" s="308"/>
      <c r="P7136" s="308" t="s">
        <v>28792</v>
      </c>
      <c r="Q7136" s="308" t="s">
        <v>39573</v>
      </c>
      <c r="R7136" s="308"/>
      <c r="S7136" s="308" t="s">
        <v>81</v>
      </c>
      <c r="T7136" s="308" t="s">
        <v>75</v>
      </c>
      <c r="U7136" s="308" t="s">
        <v>27</v>
      </c>
      <c r="V7136" s="308"/>
    </row>
    <row r="7137">
      <c r="A7137" s="308"/>
      <c r="B7137" s="308"/>
      <c r="C7137" s="308" t="s">
        <v>28899</v>
      </c>
      <c r="D7137" s="308">
        <f>IFERROR(__xludf.DUMMYFUNCTION("SPLIT(C7137,""-"")"),7157.0)</f>
        <v>7157</v>
      </c>
      <c r="E7137" s="308" t="str">
        <f>IFERROR(__xludf.DUMMYFUNCTION("""COMPUTED_VALUE"""),"B")</f>
        <v>B</v>
      </c>
      <c r="F7137" s="315" t="s">
        <v>26</v>
      </c>
      <c r="G7137" s="308"/>
      <c r="H7137" s="308" t="s">
        <v>28900</v>
      </c>
      <c r="I7137" s="310">
        <v>42850.0</v>
      </c>
      <c r="J7137" s="319">
        <f>IFERROR(__xludf.DUMMYFUNCTION("SPLIT(I7137,""/"")"),25.0)</f>
        <v>25</v>
      </c>
      <c r="K7137" s="308">
        <f>IFERROR(__xludf.DUMMYFUNCTION("""COMPUTED_VALUE"""),4.0)</f>
        <v>4</v>
      </c>
      <c r="L7137" s="308">
        <f>IFERROR(__xludf.DUMMYFUNCTION("""COMPUTED_VALUE"""),2017.0)</f>
        <v>2017</v>
      </c>
      <c r="M7137" s="308" t="s">
        <v>28865</v>
      </c>
      <c r="N7137" s="308"/>
      <c r="O7137" s="308"/>
      <c r="P7137" s="308" t="s">
        <v>28792</v>
      </c>
      <c r="Q7137" s="308" t="s">
        <v>39573</v>
      </c>
      <c r="R7137" s="308"/>
      <c r="S7137" s="308" t="s">
        <v>81</v>
      </c>
      <c r="T7137" s="308" t="s">
        <v>75</v>
      </c>
      <c r="U7137" s="308" t="s">
        <v>27</v>
      </c>
      <c r="V7137" s="308"/>
    </row>
    <row r="7138">
      <c r="A7138" s="308"/>
      <c r="B7138" s="308"/>
      <c r="C7138" s="308" t="s">
        <v>28901</v>
      </c>
      <c r="D7138" s="308">
        <f>IFERROR(__xludf.DUMMYFUNCTION("SPLIT(C7138,""-"")"),7158.0)</f>
        <v>7158</v>
      </c>
      <c r="E7138" s="308" t="str">
        <f>IFERROR(__xludf.DUMMYFUNCTION("""COMPUTED_VALUE"""),"B")</f>
        <v>B</v>
      </c>
      <c r="F7138" s="315" t="s">
        <v>26</v>
      </c>
      <c r="G7138" s="308"/>
      <c r="H7138" s="308" t="s">
        <v>28902</v>
      </c>
      <c r="I7138" s="310">
        <v>42848.0</v>
      </c>
      <c r="J7138" s="319">
        <f>IFERROR(__xludf.DUMMYFUNCTION("SPLIT(I7138,""/"")"),23.0)</f>
        <v>23</v>
      </c>
      <c r="K7138" s="308">
        <f>IFERROR(__xludf.DUMMYFUNCTION("""COMPUTED_VALUE"""),4.0)</f>
        <v>4</v>
      </c>
      <c r="L7138" s="308">
        <f>IFERROR(__xludf.DUMMYFUNCTION("""COMPUTED_VALUE"""),2017.0)</f>
        <v>2017</v>
      </c>
      <c r="M7138" s="308" t="s">
        <v>28865</v>
      </c>
      <c r="N7138" s="308"/>
      <c r="O7138" s="308"/>
      <c r="P7138" s="308" t="s">
        <v>28792</v>
      </c>
      <c r="Q7138" s="308" t="s">
        <v>39573</v>
      </c>
      <c r="R7138" s="308"/>
      <c r="S7138" s="308" t="s">
        <v>81</v>
      </c>
      <c r="T7138" s="308" t="s">
        <v>75</v>
      </c>
      <c r="U7138" s="308" t="s">
        <v>27</v>
      </c>
      <c r="V7138" s="308"/>
    </row>
    <row r="7139">
      <c r="A7139" s="308"/>
      <c r="B7139" s="308"/>
      <c r="C7139" s="308" t="s">
        <v>28903</v>
      </c>
      <c r="D7139" s="308">
        <f>IFERROR(__xludf.DUMMYFUNCTION("SPLIT(C7139,""-"")"),7159.0)</f>
        <v>7159</v>
      </c>
      <c r="E7139" s="308" t="str">
        <f>IFERROR(__xludf.DUMMYFUNCTION("""COMPUTED_VALUE"""),"B")</f>
        <v>B</v>
      </c>
      <c r="F7139" s="315" t="s">
        <v>26</v>
      </c>
      <c r="G7139" s="308"/>
      <c r="H7139" s="308" t="s">
        <v>28904</v>
      </c>
      <c r="I7139" s="310">
        <v>42771.0</v>
      </c>
      <c r="J7139" s="319">
        <f>IFERROR(__xludf.DUMMYFUNCTION("SPLIT(I7139,""/"")"),5.0)</f>
        <v>5</v>
      </c>
      <c r="K7139" s="308">
        <f>IFERROR(__xludf.DUMMYFUNCTION("""COMPUTED_VALUE"""),2.0)</f>
        <v>2</v>
      </c>
      <c r="L7139" s="308">
        <f>IFERROR(__xludf.DUMMYFUNCTION("""COMPUTED_VALUE"""),2017.0)</f>
        <v>2017</v>
      </c>
      <c r="M7139" s="308" t="s">
        <v>28905</v>
      </c>
      <c r="N7139" s="308"/>
      <c r="O7139" s="308"/>
      <c r="P7139" s="308" t="s">
        <v>28792</v>
      </c>
      <c r="Q7139" s="308" t="s">
        <v>39573</v>
      </c>
      <c r="R7139" s="308"/>
      <c r="S7139" s="308" t="s">
        <v>81</v>
      </c>
      <c r="T7139" s="308" t="s">
        <v>75</v>
      </c>
      <c r="U7139" s="308" t="s">
        <v>27</v>
      </c>
      <c r="V7139" s="308"/>
    </row>
    <row r="7140">
      <c r="A7140" s="308"/>
      <c r="B7140" s="308"/>
      <c r="C7140" s="308" t="s">
        <v>28906</v>
      </c>
      <c r="D7140" s="308">
        <f>IFERROR(__xludf.DUMMYFUNCTION("SPLIT(C7140,""-"")"),7160.0)</f>
        <v>7160</v>
      </c>
      <c r="E7140" s="308" t="str">
        <f>IFERROR(__xludf.DUMMYFUNCTION("""COMPUTED_VALUE"""),"B")</f>
        <v>B</v>
      </c>
      <c r="F7140" s="315" t="s">
        <v>26</v>
      </c>
      <c r="G7140" s="308"/>
      <c r="H7140" s="308" t="s">
        <v>28907</v>
      </c>
      <c r="I7140" s="310">
        <v>42771.0</v>
      </c>
      <c r="J7140" s="319">
        <f>IFERROR(__xludf.DUMMYFUNCTION("SPLIT(I7140,""/"")"),5.0)</f>
        <v>5</v>
      </c>
      <c r="K7140" s="308">
        <f>IFERROR(__xludf.DUMMYFUNCTION("""COMPUTED_VALUE"""),2.0)</f>
        <v>2</v>
      </c>
      <c r="L7140" s="308">
        <f>IFERROR(__xludf.DUMMYFUNCTION("""COMPUTED_VALUE"""),2017.0)</f>
        <v>2017</v>
      </c>
      <c r="M7140" s="308" t="s">
        <v>28908</v>
      </c>
      <c r="N7140" s="308"/>
      <c r="O7140" s="308"/>
      <c r="P7140" s="308" t="s">
        <v>28792</v>
      </c>
      <c r="Q7140" s="308" t="s">
        <v>39573</v>
      </c>
      <c r="R7140" s="308"/>
      <c r="S7140" s="308" t="s">
        <v>81</v>
      </c>
      <c r="T7140" s="308" t="s">
        <v>75</v>
      </c>
      <c r="U7140" s="308" t="s">
        <v>27</v>
      </c>
      <c r="V7140" s="308"/>
    </row>
    <row r="7141">
      <c r="A7141" s="308"/>
      <c r="B7141" s="308"/>
      <c r="C7141" s="308" t="s">
        <v>28909</v>
      </c>
      <c r="D7141" s="308">
        <f>IFERROR(__xludf.DUMMYFUNCTION("SPLIT(C7141,""-"")"),7161.0)</f>
        <v>7161</v>
      </c>
      <c r="E7141" s="308" t="str">
        <f>IFERROR(__xludf.DUMMYFUNCTION("""COMPUTED_VALUE"""),"B")</f>
        <v>B</v>
      </c>
      <c r="F7141" s="315" t="s">
        <v>26</v>
      </c>
      <c r="G7141" s="308"/>
      <c r="H7141" s="308" t="s">
        <v>28910</v>
      </c>
      <c r="I7141" s="310">
        <v>42771.0</v>
      </c>
      <c r="J7141" s="319">
        <f>IFERROR(__xludf.DUMMYFUNCTION("SPLIT(I7141,""/"")"),5.0)</f>
        <v>5</v>
      </c>
      <c r="K7141" s="308">
        <f>IFERROR(__xludf.DUMMYFUNCTION("""COMPUTED_VALUE"""),2.0)</f>
        <v>2</v>
      </c>
      <c r="L7141" s="308">
        <f>IFERROR(__xludf.DUMMYFUNCTION("""COMPUTED_VALUE"""),2017.0)</f>
        <v>2017</v>
      </c>
      <c r="M7141" s="308" t="s">
        <v>28911</v>
      </c>
      <c r="N7141" s="308"/>
      <c r="O7141" s="308"/>
      <c r="P7141" s="308" t="s">
        <v>28792</v>
      </c>
      <c r="Q7141" s="308" t="s">
        <v>39573</v>
      </c>
      <c r="R7141" s="308"/>
      <c r="S7141" s="308" t="s">
        <v>81</v>
      </c>
      <c r="T7141" s="308" t="s">
        <v>75</v>
      </c>
      <c r="U7141" s="308" t="s">
        <v>27</v>
      </c>
      <c r="V7141" s="308"/>
    </row>
    <row r="7142">
      <c r="A7142" s="308"/>
      <c r="B7142" s="308"/>
      <c r="C7142" s="308" t="s">
        <v>28912</v>
      </c>
      <c r="D7142" s="308">
        <f>IFERROR(__xludf.DUMMYFUNCTION("SPLIT(C7142,""-"")"),7162.0)</f>
        <v>7162</v>
      </c>
      <c r="E7142" s="308" t="str">
        <f>IFERROR(__xludf.DUMMYFUNCTION("""COMPUTED_VALUE"""),"B")</f>
        <v>B</v>
      </c>
      <c r="F7142" s="315" t="s">
        <v>26</v>
      </c>
      <c r="G7142" s="308"/>
      <c r="H7142" s="308" t="s">
        <v>28913</v>
      </c>
      <c r="I7142" s="310">
        <v>42854.0</v>
      </c>
      <c r="J7142" s="319">
        <f>IFERROR(__xludf.DUMMYFUNCTION("SPLIT(I7142,""/"")"),29.0)</f>
        <v>29</v>
      </c>
      <c r="K7142" s="308">
        <f>IFERROR(__xludf.DUMMYFUNCTION("""COMPUTED_VALUE"""),4.0)</f>
        <v>4</v>
      </c>
      <c r="L7142" s="308">
        <f>IFERROR(__xludf.DUMMYFUNCTION("""COMPUTED_VALUE"""),2017.0)</f>
        <v>2017</v>
      </c>
      <c r="M7142" s="308" t="s">
        <v>28871</v>
      </c>
      <c r="N7142" s="308"/>
      <c r="O7142" s="308"/>
      <c r="P7142" s="308" t="s">
        <v>28792</v>
      </c>
      <c r="Q7142" s="308" t="s">
        <v>39573</v>
      </c>
      <c r="R7142" s="308"/>
      <c r="S7142" s="308" t="s">
        <v>81</v>
      </c>
      <c r="T7142" s="308" t="s">
        <v>75</v>
      </c>
      <c r="U7142" s="308" t="s">
        <v>27</v>
      </c>
      <c r="V7142" s="308"/>
    </row>
    <row r="7143">
      <c r="A7143" s="308"/>
      <c r="B7143" s="308"/>
      <c r="C7143" s="308" t="s">
        <v>28914</v>
      </c>
      <c r="D7143" s="308">
        <f>IFERROR(__xludf.DUMMYFUNCTION("SPLIT(C7143,""-"")"),7163.0)</f>
        <v>7163</v>
      </c>
      <c r="E7143" s="308" t="str">
        <f>IFERROR(__xludf.DUMMYFUNCTION("""COMPUTED_VALUE"""),"B")</f>
        <v>B</v>
      </c>
      <c r="F7143" s="315" t="s">
        <v>26</v>
      </c>
      <c r="G7143" s="308"/>
      <c r="H7143" s="308" t="s">
        <v>28915</v>
      </c>
      <c r="I7143" s="310">
        <v>42854.0</v>
      </c>
      <c r="J7143" s="319">
        <f>IFERROR(__xludf.DUMMYFUNCTION("SPLIT(I7143,""/"")"),29.0)</f>
        <v>29</v>
      </c>
      <c r="K7143" s="308">
        <f>IFERROR(__xludf.DUMMYFUNCTION("""COMPUTED_VALUE"""),4.0)</f>
        <v>4</v>
      </c>
      <c r="L7143" s="308">
        <f>IFERROR(__xludf.DUMMYFUNCTION("""COMPUTED_VALUE"""),2017.0)</f>
        <v>2017</v>
      </c>
      <c r="M7143" s="308" t="s">
        <v>28871</v>
      </c>
      <c r="N7143" s="308"/>
      <c r="O7143" s="308"/>
      <c r="P7143" s="308" t="s">
        <v>28792</v>
      </c>
      <c r="Q7143" s="308" t="s">
        <v>39573</v>
      </c>
      <c r="R7143" s="308"/>
      <c r="S7143" s="308" t="s">
        <v>81</v>
      </c>
      <c r="T7143" s="308" t="s">
        <v>75</v>
      </c>
      <c r="U7143" s="308" t="s">
        <v>27</v>
      </c>
      <c r="V7143" s="308"/>
    </row>
    <row r="7144">
      <c r="A7144" s="308"/>
      <c r="B7144" s="308"/>
      <c r="C7144" s="308" t="s">
        <v>28916</v>
      </c>
      <c r="D7144" s="308">
        <f>IFERROR(__xludf.DUMMYFUNCTION("SPLIT(C7144,""-"")"),7164.0)</f>
        <v>7164</v>
      </c>
      <c r="E7144" s="308" t="str">
        <f>IFERROR(__xludf.DUMMYFUNCTION("""COMPUTED_VALUE"""),"B")</f>
        <v>B</v>
      </c>
      <c r="F7144" s="315" t="s">
        <v>26</v>
      </c>
      <c r="G7144" s="308"/>
      <c r="H7144" s="308" t="s">
        <v>28917</v>
      </c>
      <c r="I7144" s="310">
        <v>42854.0</v>
      </c>
      <c r="J7144" s="319">
        <f>IFERROR(__xludf.DUMMYFUNCTION("SPLIT(I7144,""/"")"),29.0)</f>
        <v>29</v>
      </c>
      <c r="K7144" s="308">
        <f>IFERROR(__xludf.DUMMYFUNCTION("""COMPUTED_VALUE"""),4.0)</f>
        <v>4</v>
      </c>
      <c r="L7144" s="308">
        <f>IFERROR(__xludf.DUMMYFUNCTION("""COMPUTED_VALUE"""),2017.0)</f>
        <v>2017</v>
      </c>
      <c r="M7144" s="308" t="s">
        <v>28871</v>
      </c>
      <c r="N7144" s="308"/>
      <c r="O7144" s="308"/>
      <c r="P7144" s="308" t="s">
        <v>28792</v>
      </c>
      <c r="Q7144" s="308" t="s">
        <v>39573</v>
      </c>
      <c r="R7144" s="308"/>
      <c r="S7144" s="308" t="s">
        <v>81</v>
      </c>
      <c r="T7144" s="308" t="s">
        <v>75</v>
      </c>
      <c r="U7144" s="308" t="s">
        <v>27</v>
      </c>
      <c r="V7144" s="308"/>
    </row>
    <row r="7145">
      <c r="A7145" s="308"/>
      <c r="B7145" s="308"/>
      <c r="C7145" s="308" t="s">
        <v>28918</v>
      </c>
      <c r="D7145" s="308">
        <f>IFERROR(__xludf.DUMMYFUNCTION("SPLIT(C7145,""-"")"),7165.0)</f>
        <v>7165</v>
      </c>
      <c r="E7145" s="308" t="str">
        <f>IFERROR(__xludf.DUMMYFUNCTION("""COMPUTED_VALUE"""),"B")</f>
        <v>B</v>
      </c>
      <c r="F7145" s="315" t="s">
        <v>26</v>
      </c>
      <c r="G7145" s="308"/>
      <c r="H7145" s="308" t="s">
        <v>28919</v>
      </c>
      <c r="I7145" s="310">
        <v>42854.0</v>
      </c>
      <c r="J7145" s="319">
        <f>IFERROR(__xludf.DUMMYFUNCTION("SPLIT(I7145,""/"")"),29.0)</f>
        <v>29</v>
      </c>
      <c r="K7145" s="308">
        <f>IFERROR(__xludf.DUMMYFUNCTION("""COMPUTED_VALUE"""),4.0)</f>
        <v>4</v>
      </c>
      <c r="L7145" s="308">
        <f>IFERROR(__xludf.DUMMYFUNCTION("""COMPUTED_VALUE"""),2017.0)</f>
        <v>2017</v>
      </c>
      <c r="M7145" s="308" t="s">
        <v>28871</v>
      </c>
      <c r="N7145" s="308"/>
      <c r="O7145" s="308"/>
      <c r="P7145" s="308" t="s">
        <v>28792</v>
      </c>
      <c r="Q7145" s="308" t="s">
        <v>39573</v>
      </c>
      <c r="R7145" s="308"/>
      <c r="S7145" s="308" t="s">
        <v>81</v>
      </c>
      <c r="T7145" s="308" t="s">
        <v>75</v>
      </c>
      <c r="U7145" s="308" t="s">
        <v>27</v>
      </c>
      <c r="V7145" s="308"/>
    </row>
    <row r="7146">
      <c r="A7146" s="308"/>
      <c r="B7146" s="308"/>
      <c r="C7146" s="308" t="s">
        <v>28920</v>
      </c>
      <c r="D7146" s="308">
        <f>IFERROR(__xludf.DUMMYFUNCTION("SPLIT(C7146,""-"")"),7166.0)</f>
        <v>7166</v>
      </c>
      <c r="E7146" s="308" t="str">
        <f>IFERROR(__xludf.DUMMYFUNCTION("""COMPUTED_VALUE"""),"B")</f>
        <v>B</v>
      </c>
      <c r="F7146" s="315" t="s">
        <v>26</v>
      </c>
      <c r="G7146" s="308"/>
      <c r="H7146" s="308" t="s">
        <v>28921</v>
      </c>
      <c r="I7146" s="310">
        <v>42854.0</v>
      </c>
      <c r="J7146" s="319">
        <f>IFERROR(__xludf.DUMMYFUNCTION("SPLIT(I7146,""/"")"),29.0)</f>
        <v>29</v>
      </c>
      <c r="K7146" s="308">
        <f>IFERROR(__xludf.DUMMYFUNCTION("""COMPUTED_VALUE"""),4.0)</f>
        <v>4</v>
      </c>
      <c r="L7146" s="308">
        <f>IFERROR(__xludf.DUMMYFUNCTION("""COMPUTED_VALUE"""),2017.0)</f>
        <v>2017</v>
      </c>
      <c r="M7146" s="308" t="s">
        <v>28871</v>
      </c>
      <c r="N7146" s="308"/>
      <c r="O7146" s="308"/>
      <c r="P7146" s="308" t="s">
        <v>28792</v>
      </c>
      <c r="Q7146" s="308" t="s">
        <v>39573</v>
      </c>
      <c r="R7146" s="308"/>
      <c r="S7146" s="308" t="s">
        <v>81</v>
      </c>
      <c r="T7146" s="308" t="s">
        <v>75</v>
      </c>
      <c r="U7146" s="308" t="s">
        <v>27</v>
      </c>
      <c r="V7146" s="308"/>
    </row>
    <row r="7147">
      <c r="A7147" s="308"/>
      <c r="B7147" s="308"/>
      <c r="C7147" s="308" t="s">
        <v>28922</v>
      </c>
      <c r="D7147" s="308">
        <f>IFERROR(__xludf.DUMMYFUNCTION("SPLIT(C7147,""-"")"),7167.0)</f>
        <v>7167</v>
      </c>
      <c r="E7147" s="308" t="str">
        <f>IFERROR(__xludf.DUMMYFUNCTION("""COMPUTED_VALUE"""),"B")</f>
        <v>B</v>
      </c>
      <c r="F7147" s="315" t="s">
        <v>26</v>
      </c>
      <c r="G7147" s="308"/>
      <c r="H7147" s="308" t="s">
        <v>28923</v>
      </c>
      <c r="I7147" s="310">
        <v>42771.0</v>
      </c>
      <c r="J7147" s="319">
        <f>IFERROR(__xludf.DUMMYFUNCTION("SPLIT(I7147,""/"")"),5.0)</f>
        <v>5</v>
      </c>
      <c r="K7147" s="308">
        <f>IFERROR(__xludf.DUMMYFUNCTION("""COMPUTED_VALUE"""),2.0)</f>
        <v>2</v>
      </c>
      <c r="L7147" s="308">
        <f>IFERROR(__xludf.DUMMYFUNCTION("""COMPUTED_VALUE"""),2017.0)</f>
        <v>2017</v>
      </c>
      <c r="M7147" s="308" t="s">
        <v>28924</v>
      </c>
      <c r="N7147" s="308"/>
      <c r="O7147" s="308"/>
      <c r="P7147" s="308" t="s">
        <v>28792</v>
      </c>
      <c r="Q7147" s="308" t="s">
        <v>39573</v>
      </c>
      <c r="R7147" s="308"/>
      <c r="S7147" s="308" t="s">
        <v>81</v>
      </c>
      <c r="T7147" s="308" t="s">
        <v>75</v>
      </c>
      <c r="U7147" s="308" t="s">
        <v>27</v>
      </c>
      <c r="V7147" s="308"/>
    </row>
    <row r="7148">
      <c r="A7148" s="308"/>
      <c r="B7148" s="308"/>
      <c r="C7148" s="308" t="s">
        <v>28925</v>
      </c>
      <c r="D7148" s="308">
        <f>IFERROR(__xludf.DUMMYFUNCTION("SPLIT(C7148,""-"")"),7168.0)</f>
        <v>7168</v>
      </c>
      <c r="E7148" s="308" t="str">
        <f>IFERROR(__xludf.DUMMYFUNCTION("""COMPUTED_VALUE"""),"B")</f>
        <v>B</v>
      </c>
      <c r="F7148" s="315" t="s">
        <v>26</v>
      </c>
      <c r="G7148" s="308"/>
      <c r="H7148" s="308" t="s">
        <v>28926</v>
      </c>
      <c r="I7148" s="310">
        <v>42771.0</v>
      </c>
      <c r="J7148" s="319">
        <f>IFERROR(__xludf.DUMMYFUNCTION("SPLIT(I7148,""/"")"),5.0)</f>
        <v>5</v>
      </c>
      <c r="K7148" s="308">
        <f>IFERROR(__xludf.DUMMYFUNCTION("""COMPUTED_VALUE"""),2.0)</f>
        <v>2</v>
      </c>
      <c r="L7148" s="308">
        <f>IFERROR(__xludf.DUMMYFUNCTION("""COMPUTED_VALUE"""),2017.0)</f>
        <v>2017</v>
      </c>
      <c r="M7148" s="308" t="s">
        <v>28905</v>
      </c>
      <c r="N7148" s="308"/>
      <c r="O7148" s="308"/>
      <c r="P7148" s="308" t="s">
        <v>28792</v>
      </c>
      <c r="Q7148" s="308" t="s">
        <v>39573</v>
      </c>
      <c r="R7148" s="308"/>
      <c r="S7148" s="308" t="s">
        <v>81</v>
      </c>
      <c r="T7148" s="308" t="s">
        <v>75</v>
      </c>
      <c r="U7148" s="308" t="s">
        <v>27</v>
      </c>
      <c r="V7148" s="308"/>
    </row>
    <row r="7149">
      <c r="A7149" s="308"/>
      <c r="B7149" s="308"/>
      <c r="C7149" s="308" t="s">
        <v>28927</v>
      </c>
      <c r="D7149" s="308">
        <f>IFERROR(__xludf.DUMMYFUNCTION("SPLIT(C7149,""-"")"),7169.0)</f>
        <v>7169</v>
      </c>
      <c r="E7149" s="308" t="str">
        <f>IFERROR(__xludf.DUMMYFUNCTION("""COMPUTED_VALUE"""),"B")</f>
        <v>B</v>
      </c>
      <c r="F7149" s="315" t="s">
        <v>26</v>
      </c>
      <c r="G7149" s="308"/>
      <c r="H7149" s="308" t="s">
        <v>28928</v>
      </c>
      <c r="I7149" s="310">
        <v>42771.0</v>
      </c>
      <c r="J7149" s="319">
        <f>IFERROR(__xludf.DUMMYFUNCTION("SPLIT(I7149,""/"")"),5.0)</f>
        <v>5</v>
      </c>
      <c r="K7149" s="308">
        <f>IFERROR(__xludf.DUMMYFUNCTION("""COMPUTED_VALUE"""),2.0)</f>
        <v>2</v>
      </c>
      <c r="L7149" s="308">
        <f>IFERROR(__xludf.DUMMYFUNCTION("""COMPUTED_VALUE"""),2017.0)</f>
        <v>2017</v>
      </c>
      <c r="M7149" s="308" t="s">
        <v>28527</v>
      </c>
      <c r="N7149" s="308"/>
      <c r="O7149" s="308"/>
      <c r="P7149" s="308" t="s">
        <v>28792</v>
      </c>
      <c r="Q7149" s="308" t="s">
        <v>39573</v>
      </c>
      <c r="R7149" s="308"/>
      <c r="S7149" s="308" t="s">
        <v>81</v>
      </c>
      <c r="T7149" s="308" t="s">
        <v>75</v>
      </c>
      <c r="U7149" s="308" t="s">
        <v>27</v>
      </c>
      <c r="V7149" s="308"/>
    </row>
    <row r="7150">
      <c r="A7150" s="308"/>
      <c r="B7150" s="308"/>
      <c r="C7150" s="308" t="s">
        <v>28929</v>
      </c>
      <c r="D7150" s="308">
        <f>IFERROR(__xludf.DUMMYFUNCTION("SPLIT(C7150,""-"")"),7170.0)</f>
        <v>7170</v>
      </c>
      <c r="E7150" s="308" t="str">
        <f>IFERROR(__xludf.DUMMYFUNCTION("""COMPUTED_VALUE"""),"B")</f>
        <v>B</v>
      </c>
      <c r="F7150" s="315" t="s">
        <v>26</v>
      </c>
      <c r="G7150" s="308"/>
      <c r="H7150" s="308" t="s">
        <v>28930</v>
      </c>
      <c r="I7150" s="310">
        <v>42771.0</v>
      </c>
      <c r="J7150" s="319">
        <f>IFERROR(__xludf.DUMMYFUNCTION("SPLIT(I7150,""/"")"),5.0)</f>
        <v>5</v>
      </c>
      <c r="K7150" s="308">
        <f>IFERROR(__xludf.DUMMYFUNCTION("""COMPUTED_VALUE"""),2.0)</f>
        <v>2</v>
      </c>
      <c r="L7150" s="308">
        <f>IFERROR(__xludf.DUMMYFUNCTION("""COMPUTED_VALUE"""),2017.0)</f>
        <v>2017</v>
      </c>
      <c r="M7150" s="308" t="s">
        <v>28865</v>
      </c>
      <c r="N7150" s="308"/>
      <c r="O7150" s="308"/>
      <c r="P7150" s="308" t="s">
        <v>28792</v>
      </c>
      <c r="Q7150" s="308" t="s">
        <v>39573</v>
      </c>
      <c r="R7150" s="308"/>
      <c r="S7150" s="308" t="s">
        <v>81</v>
      </c>
      <c r="T7150" s="308" t="s">
        <v>75</v>
      </c>
      <c r="U7150" s="308" t="s">
        <v>27</v>
      </c>
      <c r="V7150" s="308"/>
    </row>
    <row r="7151">
      <c r="A7151" s="308"/>
      <c r="B7151" s="308"/>
      <c r="C7151" s="308" t="s">
        <v>28931</v>
      </c>
      <c r="D7151" s="308">
        <f>IFERROR(__xludf.DUMMYFUNCTION("SPLIT(C7151,""-"")"),7171.0)</f>
        <v>7171</v>
      </c>
      <c r="E7151" s="308" t="str">
        <f>IFERROR(__xludf.DUMMYFUNCTION("""COMPUTED_VALUE"""),"B")</f>
        <v>B</v>
      </c>
      <c r="F7151" s="315" t="s">
        <v>26</v>
      </c>
      <c r="G7151" s="308"/>
      <c r="H7151" s="308" t="s">
        <v>28932</v>
      </c>
      <c r="I7151" s="310">
        <v>42771.0</v>
      </c>
      <c r="J7151" s="319">
        <f>IFERROR(__xludf.DUMMYFUNCTION("SPLIT(I7151,""/"")"),5.0)</f>
        <v>5</v>
      </c>
      <c r="K7151" s="308">
        <f>IFERROR(__xludf.DUMMYFUNCTION("""COMPUTED_VALUE"""),2.0)</f>
        <v>2</v>
      </c>
      <c r="L7151" s="308">
        <f>IFERROR(__xludf.DUMMYFUNCTION("""COMPUTED_VALUE"""),2017.0)</f>
        <v>2017</v>
      </c>
      <c r="M7151" s="308" t="s">
        <v>28908</v>
      </c>
      <c r="N7151" s="308"/>
      <c r="O7151" s="308"/>
      <c r="P7151" s="308" t="s">
        <v>39585</v>
      </c>
      <c r="Q7151" s="308" t="s">
        <v>39573</v>
      </c>
      <c r="R7151" s="308"/>
      <c r="S7151" s="308" t="s">
        <v>81</v>
      </c>
      <c r="T7151" s="308" t="s">
        <v>75</v>
      </c>
      <c r="U7151" s="308" t="s">
        <v>27</v>
      </c>
      <c r="V7151" s="308"/>
    </row>
    <row r="7152">
      <c r="A7152" s="308"/>
      <c r="B7152" s="308"/>
      <c r="C7152" s="308" t="s">
        <v>28934</v>
      </c>
      <c r="D7152" s="308">
        <f>IFERROR(__xludf.DUMMYFUNCTION("SPLIT(C7152,""-"")"),7172.0)</f>
        <v>7172</v>
      </c>
      <c r="E7152" s="308" t="str">
        <f>IFERROR(__xludf.DUMMYFUNCTION("""COMPUTED_VALUE"""),"B")</f>
        <v>B</v>
      </c>
      <c r="F7152" s="315" t="s">
        <v>26</v>
      </c>
      <c r="G7152" s="308"/>
      <c r="H7152" s="308" t="s">
        <v>28935</v>
      </c>
      <c r="I7152" s="310">
        <v>42771.0</v>
      </c>
      <c r="J7152" s="319">
        <f>IFERROR(__xludf.DUMMYFUNCTION("SPLIT(I7152,""/"")"),5.0)</f>
        <v>5</v>
      </c>
      <c r="K7152" s="308">
        <f>IFERROR(__xludf.DUMMYFUNCTION("""COMPUTED_VALUE"""),2.0)</f>
        <v>2</v>
      </c>
      <c r="L7152" s="308">
        <f>IFERROR(__xludf.DUMMYFUNCTION("""COMPUTED_VALUE"""),2017.0)</f>
        <v>2017</v>
      </c>
      <c r="M7152" s="308" t="s">
        <v>28905</v>
      </c>
      <c r="N7152" s="308"/>
      <c r="O7152" s="308"/>
      <c r="P7152" s="308" t="s">
        <v>28792</v>
      </c>
      <c r="Q7152" s="308" t="s">
        <v>39573</v>
      </c>
      <c r="R7152" s="308"/>
      <c r="S7152" s="308" t="s">
        <v>81</v>
      </c>
      <c r="T7152" s="308" t="s">
        <v>75</v>
      </c>
      <c r="U7152" s="308" t="s">
        <v>27</v>
      </c>
      <c r="V7152" s="308"/>
    </row>
    <row r="7153">
      <c r="A7153" s="308"/>
      <c r="B7153" s="308"/>
      <c r="C7153" s="308" t="s">
        <v>28936</v>
      </c>
      <c r="D7153" s="308">
        <f>IFERROR(__xludf.DUMMYFUNCTION("SPLIT(C7153,""-"")"),7173.0)</f>
        <v>7173</v>
      </c>
      <c r="E7153" s="308" t="str">
        <f>IFERROR(__xludf.DUMMYFUNCTION("""COMPUTED_VALUE"""),"B")</f>
        <v>B</v>
      </c>
      <c r="F7153" s="315" t="s">
        <v>26</v>
      </c>
      <c r="G7153" s="308"/>
      <c r="H7153" s="308" t="s">
        <v>28937</v>
      </c>
      <c r="I7153" s="310">
        <v>42771.0</v>
      </c>
      <c r="J7153" s="319">
        <f>IFERROR(__xludf.DUMMYFUNCTION("SPLIT(I7153,""/"")"),5.0)</f>
        <v>5</v>
      </c>
      <c r="K7153" s="308">
        <f>IFERROR(__xludf.DUMMYFUNCTION("""COMPUTED_VALUE"""),2.0)</f>
        <v>2</v>
      </c>
      <c r="L7153" s="308">
        <f>IFERROR(__xludf.DUMMYFUNCTION("""COMPUTED_VALUE"""),2017.0)</f>
        <v>2017</v>
      </c>
      <c r="M7153" s="308" t="s">
        <v>28924</v>
      </c>
      <c r="N7153" s="308"/>
      <c r="O7153" s="308"/>
      <c r="P7153" s="308" t="s">
        <v>39586</v>
      </c>
      <c r="Q7153" s="308" t="s">
        <v>39573</v>
      </c>
      <c r="R7153" s="308"/>
      <c r="S7153" s="308" t="s">
        <v>81</v>
      </c>
      <c r="T7153" s="308" t="s">
        <v>75</v>
      </c>
      <c r="U7153" s="308" t="s">
        <v>27</v>
      </c>
      <c r="V7153" s="308"/>
    </row>
    <row r="7154">
      <c r="A7154" s="308"/>
      <c r="B7154" s="308"/>
      <c r="C7154" s="308" t="s">
        <v>28939</v>
      </c>
      <c r="D7154" s="308">
        <f>IFERROR(__xludf.DUMMYFUNCTION("SPLIT(C7154,""-"")"),7174.0)</f>
        <v>7174</v>
      </c>
      <c r="E7154" s="308" t="str">
        <f>IFERROR(__xludf.DUMMYFUNCTION("""COMPUTED_VALUE"""),"B")</f>
        <v>B</v>
      </c>
      <c r="F7154" s="315" t="s">
        <v>26</v>
      </c>
      <c r="G7154" s="308"/>
      <c r="H7154" s="308" t="s">
        <v>28940</v>
      </c>
      <c r="I7154" s="310">
        <v>42771.0</v>
      </c>
      <c r="J7154" s="319">
        <f>IFERROR(__xludf.DUMMYFUNCTION("SPLIT(I7154,""/"")"),5.0)</f>
        <v>5</v>
      </c>
      <c r="K7154" s="308">
        <f>IFERROR(__xludf.DUMMYFUNCTION("""COMPUTED_VALUE"""),2.0)</f>
        <v>2</v>
      </c>
      <c r="L7154" s="308">
        <f>IFERROR(__xludf.DUMMYFUNCTION("""COMPUTED_VALUE"""),2017.0)</f>
        <v>2017</v>
      </c>
      <c r="M7154" s="308" t="s">
        <v>28905</v>
      </c>
      <c r="N7154" s="308"/>
      <c r="O7154" s="308"/>
      <c r="P7154" s="308" t="s">
        <v>28792</v>
      </c>
      <c r="Q7154" s="308" t="s">
        <v>39573</v>
      </c>
      <c r="R7154" s="308"/>
      <c r="S7154" s="308" t="s">
        <v>81</v>
      </c>
      <c r="T7154" s="308" t="s">
        <v>75</v>
      </c>
      <c r="U7154" s="308" t="s">
        <v>27</v>
      </c>
      <c r="V7154" s="308"/>
    </row>
    <row r="7155">
      <c r="A7155" s="308"/>
      <c r="B7155" s="308"/>
      <c r="C7155" s="308" t="s">
        <v>28941</v>
      </c>
      <c r="D7155" s="308">
        <f>IFERROR(__xludf.DUMMYFUNCTION("SPLIT(C7155,""-"")"),7175.0)</f>
        <v>7175</v>
      </c>
      <c r="E7155" s="308" t="str">
        <f>IFERROR(__xludf.DUMMYFUNCTION("""COMPUTED_VALUE"""),"B")</f>
        <v>B</v>
      </c>
      <c r="F7155" s="315" t="s">
        <v>26</v>
      </c>
      <c r="G7155" s="308"/>
      <c r="H7155" s="308" t="s">
        <v>28942</v>
      </c>
      <c r="I7155" s="310">
        <v>43044.0</v>
      </c>
      <c r="J7155" s="319">
        <f>IFERROR(__xludf.DUMMYFUNCTION("SPLIT(I7155,""/"")"),5.0)</f>
        <v>5</v>
      </c>
      <c r="K7155" s="308">
        <f>IFERROR(__xludf.DUMMYFUNCTION("""COMPUTED_VALUE"""),11.0)</f>
        <v>11</v>
      </c>
      <c r="L7155" s="308">
        <f>IFERROR(__xludf.DUMMYFUNCTION("""COMPUTED_VALUE"""),2017.0)</f>
        <v>2017</v>
      </c>
      <c r="M7155" s="308" t="s">
        <v>28905</v>
      </c>
      <c r="N7155" s="308"/>
      <c r="O7155" s="308"/>
      <c r="P7155" s="308" t="s">
        <v>136</v>
      </c>
      <c r="Q7155" s="308" t="s">
        <v>39573</v>
      </c>
      <c r="R7155" s="308"/>
      <c r="S7155" s="315" t="s">
        <v>100</v>
      </c>
      <c r="T7155" s="308" t="s">
        <v>34208</v>
      </c>
      <c r="U7155" s="308" t="s">
        <v>27</v>
      </c>
      <c r="V7155" s="308"/>
    </row>
    <row r="7156">
      <c r="A7156" s="308"/>
      <c r="B7156" s="308"/>
      <c r="C7156" s="308" t="s">
        <v>28943</v>
      </c>
      <c r="D7156" s="308">
        <f>IFERROR(__xludf.DUMMYFUNCTION("SPLIT(C7156,""-"")"),7176.0)</f>
        <v>7176</v>
      </c>
      <c r="E7156" s="308" t="str">
        <f>IFERROR(__xludf.DUMMYFUNCTION("""COMPUTED_VALUE"""),"B")</f>
        <v>B</v>
      </c>
      <c r="F7156" s="315" t="s">
        <v>26</v>
      </c>
      <c r="G7156" s="308"/>
      <c r="H7156" s="308" t="s">
        <v>28944</v>
      </c>
      <c r="I7156" s="310">
        <v>43013.0</v>
      </c>
      <c r="J7156" s="319">
        <f>IFERROR(__xludf.DUMMYFUNCTION("SPLIT(I7156,""/"")"),5.0)</f>
        <v>5</v>
      </c>
      <c r="K7156" s="308">
        <f>IFERROR(__xludf.DUMMYFUNCTION("""COMPUTED_VALUE"""),10.0)</f>
        <v>10</v>
      </c>
      <c r="L7156" s="308">
        <f>IFERROR(__xludf.DUMMYFUNCTION("""COMPUTED_VALUE"""),2017.0)</f>
        <v>2017</v>
      </c>
      <c r="M7156" s="308" t="s">
        <v>28888</v>
      </c>
      <c r="N7156" s="308"/>
      <c r="O7156" s="308"/>
      <c r="P7156" s="308" t="s">
        <v>28792</v>
      </c>
      <c r="Q7156" s="308" t="s">
        <v>39573</v>
      </c>
      <c r="R7156" s="308"/>
      <c r="S7156" s="308" t="s">
        <v>81</v>
      </c>
      <c r="T7156" s="308" t="s">
        <v>75</v>
      </c>
      <c r="U7156" s="308" t="s">
        <v>27</v>
      </c>
      <c r="V7156" s="308"/>
    </row>
    <row r="7157">
      <c r="A7157" s="308"/>
      <c r="B7157" s="308"/>
      <c r="C7157" s="308" t="s">
        <v>28945</v>
      </c>
      <c r="D7157" s="308">
        <f>IFERROR(__xludf.DUMMYFUNCTION("SPLIT(C7157,""-"")"),7177.0)</f>
        <v>7177</v>
      </c>
      <c r="E7157" s="308" t="str">
        <f>IFERROR(__xludf.DUMMYFUNCTION("""COMPUTED_VALUE"""),"B")</f>
        <v>B</v>
      </c>
      <c r="F7157" s="315" t="s">
        <v>26</v>
      </c>
      <c r="G7157" s="308"/>
      <c r="H7157" s="308" t="s">
        <v>28946</v>
      </c>
      <c r="I7157" s="310">
        <v>43013.0</v>
      </c>
      <c r="J7157" s="319">
        <f>IFERROR(__xludf.DUMMYFUNCTION("SPLIT(I7157,""/"")"),5.0)</f>
        <v>5</v>
      </c>
      <c r="K7157" s="308">
        <f>IFERROR(__xludf.DUMMYFUNCTION("""COMPUTED_VALUE"""),10.0)</f>
        <v>10</v>
      </c>
      <c r="L7157" s="308">
        <f>IFERROR(__xludf.DUMMYFUNCTION("""COMPUTED_VALUE"""),2017.0)</f>
        <v>2017</v>
      </c>
      <c r="M7157" s="308" t="s">
        <v>28888</v>
      </c>
      <c r="N7157" s="308"/>
      <c r="O7157" s="308"/>
      <c r="P7157" s="308" t="s">
        <v>39587</v>
      </c>
      <c r="Q7157" s="308" t="s">
        <v>39573</v>
      </c>
      <c r="R7157" s="308"/>
      <c r="S7157" s="308" t="s">
        <v>81</v>
      </c>
      <c r="T7157" s="308" t="s">
        <v>75</v>
      </c>
      <c r="U7157" s="308" t="s">
        <v>27</v>
      </c>
      <c r="V7157" s="308"/>
    </row>
    <row r="7158">
      <c r="A7158" s="308"/>
      <c r="B7158" s="308"/>
      <c r="C7158" s="308" t="s">
        <v>28948</v>
      </c>
      <c r="D7158" s="308">
        <f>IFERROR(__xludf.DUMMYFUNCTION("SPLIT(C7158,""-"")"),7178.0)</f>
        <v>7178</v>
      </c>
      <c r="E7158" s="308" t="str">
        <f>IFERROR(__xludf.DUMMYFUNCTION("""COMPUTED_VALUE"""),"B")</f>
        <v>B</v>
      </c>
      <c r="F7158" s="315" t="s">
        <v>26</v>
      </c>
      <c r="G7158" s="308"/>
      <c r="H7158" s="308" t="s">
        <v>28949</v>
      </c>
      <c r="I7158" s="310">
        <v>43013.0</v>
      </c>
      <c r="J7158" s="319">
        <f>IFERROR(__xludf.DUMMYFUNCTION("SPLIT(I7158,""/"")"),5.0)</f>
        <v>5</v>
      </c>
      <c r="K7158" s="308">
        <f>IFERROR(__xludf.DUMMYFUNCTION("""COMPUTED_VALUE"""),10.0)</f>
        <v>10</v>
      </c>
      <c r="L7158" s="308">
        <f>IFERROR(__xludf.DUMMYFUNCTION("""COMPUTED_VALUE"""),2017.0)</f>
        <v>2017</v>
      </c>
      <c r="M7158" s="308" t="s">
        <v>28888</v>
      </c>
      <c r="N7158" s="308"/>
      <c r="O7158" s="308"/>
      <c r="P7158" s="308" t="s">
        <v>39588</v>
      </c>
      <c r="Q7158" s="308" t="s">
        <v>39573</v>
      </c>
      <c r="R7158" s="308"/>
      <c r="S7158" s="308" t="s">
        <v>81</v>
      </c>
      <c r="T7158" s="308" t="s">
        <v>75</v>
      </c>
      <c r="U7158" s="308" t="s">
        <v>27</v>
      </c>
      <c r="V7158" s="308"/>
    </row>
    <row r="7159">
      <c r="A7159" s="308"/>
      <c r="B7159" s="308"/>
      <c r="C7159" s="308" t="s">
        <v>28951</v>
      </c>
      <c r="D7159" s="308">
        <f>IFERROR(__xludf.DUMMYFUNCTION("SPLIT(C7159,""-"")"),7179.0)</f>
        <v>7179</v>
      </c>
      <c r="E7159" s="308" t="str">
        <f>IFERROR(__xludf.DUMMYFUNCTION("""COMPUTED_VALUE"""),"B")</f>
        <v>B</v>
      </c>
      <c r="F7159" s="315" t="s">
        <v>26</v>
      </c>
      <c r="G7159" s="308"/>
      <c r="H7159" s="308" t="s">
        <v>28952</v>
      </c>
      <c r="I7159" s="310">
        <v>42983.0</v>
      </c>
      <c r="J7159" s="319">
        <f>IFERROR(__xludf.DUMMYFUNCTION("SPLIT(I7159,""/"")"),5.0)</f>
        <v>5</v>
      </c>
      <c r="K7159" s="308">
        <f>IFERROR(__xludf.DUMMYFUNCTION("""COMPUTED_VALUE"""),9.0)</f>
        <v>9</v>
      </c>
      <c r="L7159" s="308">
        <f>IFERROR(__xludf.DUMMYFUNCTION("""COMPUTED_VALUE"""),2017.0)</f>
        <v>2017</v>
      </c>
      <c r="M7159" s="308" t="s">
        <v>28433</v>
      </c>
      <c r="N7159" s="308"/>
      <c r="O7159" s="308"/>
      <c r="P7159" s="308" t="s">
        <v>39589</v>
      </c>
      <c r="Q7159" s="308" t="s">
        <v>39573</v>
      </c>
      <c r="R7159" s="308"/>
      <c r="S7159" s="308" t="s">
        <v>81</v>
      </c>
      <c r="T7159" s="308" t="s">
        <v>75</v>
      </c>
      <c r="U7159" s="308" t="s">
        <v>27</v>
      </c>
      <c r="V7159" s="308"/>
    </row>
    <row r="7160">
      <c r="A7160" s="308"/>
      <c r="B7160" s="308"/>
      <c r="C7160" s="308" t="s">
        <v>28954</v>
      </c>
      <c r="D7160" s="308">
        <f>IFERROR(__xludf.DUMMYFUNCTION("SPLIT(C7160,""-"")"),7180.0)</f>
        <v>7180</v>
      </c>
      <c r="E7160" s="308" t="str">
        <f>IFERROR(__xludf.DUMMYFUNCTION("""COMPUTED_VALUE"""),"B")</f>
        <v>B</v>
      </c>
      <c r="F7160" s="315" t="s">
        <v>26</v>
      </c>
      <c r="G7160" s="308"/>
      <c r="H7160" s="308" t="s">
        <v>28955</v>
      </c>
      <c r="I7160" s="310">
        <v>42872.0</v>
      </c>
      <c r="J7160" s="319">
        <f>IFERROR(__xludf.DUMMYFUNCTION("SPLIT(I7160,""/"")"),17.0)</f>
        <v>17</v>
      </c>
      <c r="K7160" s="308">
        <f>IFERROR(__xludf.DUMMYFUNCTION("""COMPUTED_VALUE"""),5.0)</f>
        <v>5</v>
      </c>
      <c r="L7160" s="308">
        <f>IFERROR(__xludf.DUMMYFUNCTION("""COMPUTED_VALUE"""),2017.0)</f>
        <v>2017</v>
      </c>
      <c r="M7160" s="308" t="s">
        <v>28956</v>
      </c>
      <c r="N7160" s="308"/>
      <c r="O7160" s="308"/>
      <c r="P7160" s="308" t="s">
        <v>136</v>
      </c>
      <c r="Q7160" s="308" t="s">
        <v>39573</v>
      </c>
      <c r="R7160" s="308"/>
      <c r="S7160" s="315" t="s">
        <v>100</v>
      </c>
      <c r="T7160" s="308" t="s">
        <v>34208</v>
      </c>
      <c r="U7160" s="308" t="s">
        <v>27</v>
      </c>
      <c r="V7160" s="308"/>
    </row>
    <row r="7161">
      <c r="A7161" s="308"/>
      <c r="B7161" s="308"/>
      <c r="C7161" s="308" t="s">
        <v>28957</v>
      </c>
      <c r="D7161" s="308">
        <f>IFERROR(__xludf.DUMMYFUNCTION("SPLIT(C7161,""-"")"),7181.0)</f>
        <v>7181</v>
      </c>
      <c r="E7161" s="308" t="str">
        <f>IFERROR(__xludf.DUMMYFUNCTION("""COMPUTED_VALUE"""),"B")</f>
        <v>B</v>
      </c>
      <c r="F7161" s="315" t="s">
        <v>26</v>
      </c>
      <c r="G7161" s="308"/>
      <c r="H7161" s="308" t="s">
        <v>28958</v>
      </c>
      <c r="I7161" s="310">
        <v>42860.0</v>
      </c>
      <c r="J7161" s="319">
        <f>IFERROR(__xludf.DUMMYFUNCTION("SPLIT(I7161,""/"")"),5.0)</f>
        <v>5</v>
      </c>
      <c r="K7161" s="308">
        <f>IFERROR(__xludf.DUMMYFUNCTION("""COMPUTED_VALUE"""),5.0)</f>
        <v>5</v>
      </c>
      <c r="L7161" s="308">
        <f>IFERROR(__xludf.DUMMYFUNCTION("""COMPUTED_VALUE"""),2017.0)</f>
        <v>2017</v>
      </c>
      <c r="M7161" s="308" t="s">
        <v>28959</v>
      </c>
      <c r="N7161" s="308"/>
      <c r="O7161" s="308"/>
      <c r="P7161" s="308" t="s">
        <v>28792</v>
      </c>
      <c r="Q7161" s="308" t="s">
        <v>39573</v>
      </c>
      <c r="R7161" s="308"/>
      <c r="S7161" s="308" t="s">
        <v>81</v>
      </c>
      <c r="T7161" s="308" t="s">
        <v>75</v>
      </c>
      <c r="U7161" s="308" t="s">
        <v>27</v>
      </c>
      <c r="V7161" s="308"/>
    </row>
    <row r="7162">
      <c r="A7162" s="308"/>
      <c r="B7162" s="308"/>
      <c r="C7162" s="308" t="s">
        <v>28960</v>
      </c>
      <c r="D7162" s="308">
        <f>IFERROR(__xludf.DUMMYFUNCTION("SPLIT(C7162,""-"")"),7182.0)</f>
        <v>7182</v>
      </c>
      <c r="E7162" s="308" t="str">
        <f>IFERROR(__xludf.DUMMYFUNCTION("""COMPUTED_VALUE"""),"B")</f>
        <v>B</v>
      </c>
      <c r="F7162" s="315" t="s">
        <v>26</v>
      </c>
      <c r="G7162" s="308"/>
      <c r="H7162" s="308" t="s">
        <v>28961</v>
      </c>
      <c r="I7162" s="310">
        <v>43044.0</v>
      </c>
      <c r="J7162" s="319">
        <f>IFERROR(__xludf.DUMMYFUNCTION("SPLIT(I7162,""/"")"),5.0)</f>
        <v>5</v>
      </c>
      <c r="K7162" s="308">
        <f>IFERROR(__xludf.DUMMYFUNCTION("""COMPUTED_VALUE"""),11.0)</f>
        <v>11</v>
      </c>
      <c r="L7162" s="308">
        <f>IFERROR(__xludf.DUMMYFUNCTION("""COMPUTED_VALUE"""),2017.0)</f>
        <v>2017</v>
      </c>
      <c r="M7162" s="308" t="s">
        <v>28962</v>
      </c>
      <c r="N7162" s="308"/>
      <c r="O7162" s="308"/>
      <c r="P7162" s="308" t="s">
        <v>28792</v>
      </c>
      <c r="Q7162" s="308" t="s">
        <v>39573</v>
      </c>
      <c r="R7162" s="308"/>
      <c r="S7162" s="308" t="s">
        <v>81</v>
      </c>
      <c r="T7162" s="308" t="s">
        <v>75</v>
      </c>
      <c r="U7162" s="308" t="s">
        <v>27</v>
      </c>
      <c r="V7162" s="308"/>
    </row>
    <row r="7163">
      <c r="A7163" s="308"/>
      <c r="B7163" s="308"/>
      <c r="C7163" s="308" t="s">
        <v>28963</v>
      </c>
      <c r="D7163" s="308">
        <f>IFERROR(__xludf.DUMMYFUNCTION("SPLIT(C7163,""-"")"),7183.0)</f>
        <v>7183</v>
      </c>
      <c r="E7163" s="308" t="str">
        <f>IFERROR(__xludf.DUMMYFUNCTION("""COMPUTED_VALUE"""),"B")</f>
        <v>B</v>
      </c>
      <c r="F7163" s="315" t="s">
        <v>26</v>
      </c>
      <c r="G7163" s="308"/>
      <c r="H7163" s="308" t="s">
        <v>28964</v>
      </c>
      <c r="I7163" s="310">
        <v>42873.0</v>
      </c>
      <c r="J7163" s="319">
        <f>IFERROR(__xludf.DUMMYFUNCTION("SPLIT(I7163,""/"")"),18.0)</f>
        <v>18</v>
      </c>
      <c r="K7163" s="308">
        <f>IFERROR(__xludf.DUMMYFUNCTION("""COMPUTED_VALUE"""),5.0)</f>
        <v>5</v>
      </c>
      <c r="L7163" s="308">
        <f>IFERROR(__xludf.DUMMYFUNCTION("""COMPUTED_VALUE"""),2017.0)</f>
        <v>2017</v>
      </c>
      <c r="M7163" s="308" t="s">
        <v>28843</v>
      </c>
      <c r="N7163" s="308"/>
      <c r="O7163" s="308"/>
      <c r="P7163" s="308" t="s">
        <v>136</v>
      </c>
      <c r="Q7163" s="308" t="s">
        <v>39573</v>
      </c>
      <c r="R7163" s="308"/>
      <c r="S7163" s="315" t="s">
        <v>100</v>
      </c>
      <c r="T7163" s="308" t="s">
        <v>34208</v>
      </c>
      <c r="U7163" s="308" t="s">
        <v>27</v>
      </c>
      <c r="V7163" s="308"/>
    </row>
    <row r="7164">
      <c r="A7164" s="308"/>
      <c r="B7164" s="308"/>
      <c r="C7164" s="308" t="s">
        <v>28965</v>
      </c>
      <c r="D7164" s="308">
        <f>IFERROR(__xludf.DUMMYFUNCTION("SPLIT(C7164,""-"")"),7184.0)</f>
        <v>7184</v>
      </c>
      <c r="E7164" s="308" t="str">
        <f>IFERROR(__xludf.DUMMYFUNCTION("""COMPUTED_VALUE"""),"B")</f>
        <v>B</v>
      </c>
      <c r="F7164" s="315" t="s">
        <v>26</v>
      </c>
      <c r="G7164" s="308"/>
      <c r="H7164" s="308" t="s">
        <v>28966</v>
      </c>
      <c r="I7164" s="310">
        <v>42873.0</v>
      </c>
      <c r="J7164" s="319">
        <f>IFERROR(__xludf.DUMMYFUNCTION("SPLIT(I7164,""/"")"),18.0)</f>
        <v>18</v>
      </c>
      <c r="K7164" s="308">
        <f>IFERROR(__xludf.DUMMYFUNCTION("""COMPUTED_VALUE"""),5.0)</f>
        <v>5</v>
      </c>
      <c r="L7164" s="308">
        <f>IFERROR(__xludf.DUMMYFUNCTION("""COMPUTED_VALUE"""),2017.0)</f>
        <v>2017</v>
      </c>
      <c r="M7164" s="308" t="s">
        <v>28967</v>
      </c>
      <c r="N7164" s="308"/>
      <c r="O7164" s="308"/>
      <c r="P7164" s="308" t="s">
        <v>136</v>
      </c>
      <c r="Q7164" s="308" t="s">
        <v>39573</v>
      </c>
      <c r="R7164" s="308"/>
      <c r="S7164" s="315" t="s">
        <v>100</v>
      </c>
      <c r="T7164" s="308" t="s">
        <v>34208</v>
      </c>
      <c r="U7164" s="308" t="s">
        <v>27</v>
      </c>
      <c r="V7164" s="308"/>
    </row>
    <row r="7165">
      <c r="A7165" s="308"/>
      <c r="B7165" s="308"/>
      <c r="C7165" s="308" t="s">
        <v>28968</v>
      </c>
      <c r="D7165" s="308">
        <f>IFERROR(__xludf.DUMMYFUNCTION("SPLIT(C7165,""-"")"),7185.0)</f>
        <v>7185</v>
      </c>
      <c r="E7165" s="308" t="str">
        <f>IFERROR(__xludf.DUMMYFUNCTION("""COMPUTED_VALUE"""),"B")</f>
        <v>B</v>
      </c>
      <c r="F7165" s="315" t="s">
        <v>26</v>
      </c>
      <c r="G7165" s="308"/>
      <c r="H7165" s="308" t="s">
        <v>28969</v>
      </c>
      <c r="I7165" s="310">
        <v>42873.0</v>
      </c>
      <c r="J7165" s="319">
        <f>IFERROR(__xludf.DUMMYFUNCTION("SPLIT(I7165,""/"")"),18.0)</f>
        <v>18</v>
      </c>
      <c r="K7165" s="308">
        <f>IFERROR(__xludf.DUMMYFUNCTION("""COMPUTED_VALUE"""),5.0)</f>
        <v>5</v>
      </c>
      <c r="L7165" s="308">
        <f>IFERROR(__xludf.DUMMYFUNCTION("""COMPUTED_VALUE"""),2017.0)</f>
        <v>2017</v>
      </c>
      <c r="M7165" s="308" t="s">
        <v>28433</v>
      </c>
      <c r="N7165" s="308"/>
      <c r="O7165" s="308"/>
      <c r="P7165" s="308" t="s">
        <v>28792</v>
      </c>
      <c r="Q7165" s="308" t="s">
        <v>39573</v>
      </c>
      <c r="R7165" s="308"/>
      <c r="S7165" s="308" t="s">
        <v>81</v>
      </c>
      <c r="T7165" s="308" t="s">
        <v>75</v>
      </c>
      <c r="U7165" s="308" t="s">
        <v>27</v>
      </c>
      <c r="V7165" s="308"/>
    </row>
    <row r="7166">
      <c r="A7166" s="308"/>
      <c r="B7166" s="308"/>
      <c r="C7166" s="308" t="s">
        <v>28970</v>
      </c>
      <c r="D7166" s="308">
        <f>IFERROR(__xludf.DUMMYFUNCTION("SPLIT(C7166,""-"")"),7186.0)</f>
        <v>7186</v>
      </c>
      <c r="E7166" s="308" t="str">
        <f>IFERROR(__xludf.DUMMYFUNCTION("""COMPUTED_VALUE"""),"B")</f>
        <v>B</v>
      </c>
      <c r="F7166" s="315" t="s">
        <v>26</v>
      </c>
      <c r="G7166" s="308"/>
      <c r="H7166" s="308" t="s">
        <v>28971</v>
      </c>
      <c r="I7166" s="310">
        <v>42873.0</v>
      </c>
      <c r="J7166" s="319">
        <f>IFERROR(__xludf.DUMMYFUNCTION("SPLIT(I7166,""/"")"),18.0)</f>
        <v>18</v>
      </c>
      <c r="K7166" s="308">
        <f>IFERROR(__xludf.DUMMYFUNCTION("""COMPUTED_VALUE"""),5.0)</f>
        <v>5</v>
      </c>
      <c r="L7166" s="308">
        <f>IFERROR(__xludf.DUMMYFUNCTION("""COMPUTED_VALUE"""),2017.0)</f>
        <v>2017</v>
      </c>
      <c r="M7166" s="308" t="s">
        <v>28433</v>
      </c>
      <c r="N7166" s="308"/>
      <c r="O7166" s="308"/>
      <c r="P7166" s="308" t="s">
        <v>28792</v>
      </c>
      <c r="Q7166" s="308" t="s">
        <v>39573</v>
      </c>
      <c r="R7166" s="308"/>
      <c r="S7166" s="308" t="s">
        <v>81</v>
      </c>
      <c r="T7166" s="308" t="s">
        <v>75</v>
      </c>
      <c r="U7166" s="308" t="s">
        <v>27</v>
      </c>
      <c r="V7166" s="308"/>
    </row>
    <row r="7167">
      <c r="A7167" s="308"/>
      <c r="B7167" s="308"/>
      <c r="C7167" s="308" t="s">
        <v>28972</v>
      </c>
      <c r="D7167" s="308">
        <f>IFERROR(__xludf.DUMMYFUNCTION("SPLIT(C7167,""-"")"),7187.0)</f>
        <v>7187</v>
      </c>
      <c r="E7167" s="308" t="str">
        <f>IFERROR(__xludf.DUMMYFUNCTION("""COMPUTED_VALUE"""),"B")</f>
        <v>B</v>
      </c>
      <c r="F7167" s="315" t="s">
        <v>26</v>
      </c>
      <c r="G7167" s="308"/>
      <c r="H7167" s="308" t="s">
        <v>28973</v>
      </c>
      <c r="I7167" s="310">
        <v>42873.0</v>
      </c>
      <c r="J7167" s="319">
        <f>IFERROR(__xludf.DUMMYFUNCTION("SPLIT(I7167,""/"")"),18.0)</f>
        <v>18</v>
      </c>
      <c r="K7167" s="308">
        <f>IFERROR(__xludf.DUMMYFUNCTION("""COMPUTED_VALUE"""),5.0)</f>
        <v>5</v>
      </c>
      <c r="L7167" s="308">
        <f>IFERROR(__xludf.DUMMYFUNCTION("""COMPUTED_VALUE"""),2017.0)</f>
        <v>2017</v>
      </c>
      <c r="M7167" s="308" t="s">
        <v>28433</v>
      </c>
      <c r="N7167" s="308"/>
      <c r="O7167" s="308"/>
      <c r="P7167" s="308" t="s">
        <v>28792</v>
      </c>
      <c r="Q7167" s="308" t="s">
        <v>39573</v>
      </c>
      <c r="R7167" s="308"/>
      <c r="S7167" s="308" t="s">
        <v>81</v>
      </c>
      <c r="T7167" s="308" t="s">
        <v>75</v>
      </c>
      <c r="U7167" s="308" t="s">
        <v>27</v>
      </c>
      <c r="V7167" s="308"/>
    </row>
    <row r="7168">
      <c r="A7168" s="308"/>
      <c r="B7168" s="308"/>
      <c r="C7168" s="308" t="s">
        <v>28974</v>
      </c>
      <c r="D7168" s="308">
        <f>IFERROR(__xludf.DUMMYFUNCTION("SPLIT(C7168,""-"")"),7188.0)</f>
        <v>7188</v>
      </c>
      <c r="E7168" s="308" t="str">
        <f>IFERROR(__xludf.DUMMYFUNCTION("""COMPUTED_VALUE"""),"B")</f>
        <v>B</v>
      </c>
      <c r="F7168" s="315" t="s">
        <v>26</v>
      </c>
      <c r="G7168" s="308"/>
      <c r="H7168" s="308" t="s">
        <v>28975</v>
      </c>
      <c r="I7168" s="310">
        <v>42879.0</v>
      </c>
      <c r="J7168" s="319">
        <f>IFERROR(__xludf.DUMMYFUNCTION("SPLIT(I7168,""/"")"),24.0)</f>
        <v>24</v>
      </c>
      <c r="K7168" s="308">
        <f>IFERROR(__xludf.DUMMYFUNCTION("""COMPUTED_VALUE"""),5.0)</f>
        <v>5</v>
      </c>
      <c r="L7168" s="308">
        <f>IFERROR(__xludf.DUMMYFUNCTION("""COMPUTED_VALUE"""),2017.0)</f>
        <v>2017</v>
      </c>
      <c r="M7168" s="308" t="s">
        <v>28976</v>
      </c>
      <c r="N7168" s="308"/>
      <c r="O7168" s="308"/>
      <c r="P7168" s="308" t="s">
        <v>28792</v>
      </c>
      <c r="Q7168" s="308" t="s">
        <v>39573</v>
      </c>
      <c r="R7168" s="308"/>
      <c r="S7168" s="308" t="s">
        <v>81</v>
      </c>
      <c r="T7168" s="308" t="s">
        <v>75</v>
      </c>
      <c r="U7168" s="308" t="s">
        <v>27</v>
      </c>
      <c r="V7168" s="308"/>
    </row>
    <row r="7169">
      <c r="A7169" s="308"/>
      <c r="B7169" s="308"/>
      <c r="C7169" s="308" t="s">
        <v>28977</v>
      </c>
      <c r="D7169" s="308">
        <f>IFERROR(__xludf.DUMMYFUNCTION("SPLIT(C7169,""-"")"),7189.0)</f>
        <v>7189</v>
      </c>
      <c r="E7169" s="308" t="str">
        <f>IFERROR(__xludf.DUMMYFUNCTION("""COMPUTED_VALUE"""),"B")</f>
        <v>B</v>
      </c>
      <c r="F7169" s="315" t="s">
        <v>26</v>
      </c>
      <c r="G7169" s="308"/>
      <c r="H7169" s="308" t="s">
        <v>28978</v>
      </c>
      <c r="I7169" s="310">
        <v>42878.0</v>
      </c>
      <c r="J7169" s="319">
        <f>IFERROR(__xludf.DUMMYFUNCTION("SPLIT(I7169,""/"")"),23.0)</f>
        <v>23</v>
      </c>
      <c r="K7169" s="308">
        <f>IFERROR(__xludf.DUMMYFUNCTION("""COMPUTED_VALUE"""),5.0)</f>
        <v>5</v>
      </c>
      <c r="L7169" s="308">
        <f>IFERROR(__xludf.DUMMYFUNCTION("""COMPUTED_VALUE"""),2017.0)</f>
        <v>2017</v>
      </c>
      <c r="M7169" s="308" t="s">
        <v>28979</v>
      </c>
      <c r="N7169" s="308"/>
      <c r="O7169" s="308"/>
      <c r="P7169" s="308" t="s">
        <v>136</v>
      </c>
      <c r="Q7169" s="308" t="s">
        <v>39573</v>
      </c>
      <c r="R7169" s="308"/>
      <c r="S7169" s="315" t="s">
        <v>100</v>
      </c>
      <c r="T7169" s="308" t="s">
        <v>34208</v>
      </c>
      <c r="U7169" s="308" t="s">
        <v>27</v>
      </c>
      <c r="V7169" s="308"/>
    </row>
    <row r="7170">
      <c r="A7170" s="308"/>
      <c r="B7170" s="308"/>
      <c r="C7170" s="308" t="s">
        <v>28980</v>
      </c>
      <c r="D7170" s="308">
        <f>IFERROR(__xludf.DUMMYFUNCTION("SPLIT(C7170,""-"")"),7190.0)</f>
        <v>7190</v>
      </c>
      <c r="E7170" s="308" t="str">
        <f>IFERROR(__xludf.DUMMYFUNCTION("""COMPUTED_VALUE"""),"B")</f>
        <v>B</v>
      </c>
      <c r="F7170" s="315" t="s">
        <v>26</v>
      </c>
      <c r="G7170" s="308"/>
      <c r="H7170" s="308" t="s">
        <v>39590</v>
      </c>
      <c r="I7170" s="310">
        <v>42876.0</v>
      </c>
      <c r="J7170" s="319">
        <f>IFERROR(__xludf.DUMMYFUNCTION("SPLIT(I7170,""/"")"),21.0)</f>
        <v>21</v>
      </c>
      <c r="K7170" s="308">
        <f>IFERROR(__xludf.DUMMYFUNCTION("""COMPUTED_VALUE"""),5.0)</f>
        <v>5</v>
      </c>
      <c r="L7170" s="308">
        <f>IFERROR(__xludf.DUMMYFUNCTION("""COMPUTED_VALUE"""),2017.0)</f>
        <v>2017</v>
      </c>
      <c r="M7170" s="308" t="s">
        <v>28982</v>
      </c>
      <c r="N7170" s="308"/>
      <c r="O7170" s="308"/>
      <c r="P7170" s="308" t="s">
        <v>28792</v>
      </c>
      <c r="Q7170" s="308" t="s">
        <v>39573</v>
      </c>
      <c r="R7170" s="308"/>
      <c r="S7170" s="308" t="s">
        <v>81</v>
      </c>
      <c r="T7170" s="308" t="s">
        <v>75</v>
      </c>
      <c r="U7170" s="308" t="s">
        <v>27</v>
      </c>
      <c r="V7170" s="308"/>
    </row>
    <row r="7171">
      <c r="A7171" s="308"/>
      <c r="B7171" s="308"/>
      <c r="C7171" s="308" t="s">
        <v>28983</v>
      </c>
      <c r="D7171" s="308">
        <f>IFERROR(__xludf.DUMMYFUNCTION("SPLIT(C7171,""-"")"),7191.0)</f>
        <v>7191</v>
      </c>
      <c r="E7171" s="308" t="str">
        <f>IFERROR(__xludf.DUMMYFUNCTION("""COMPUTED_VALUE"""),"B")</f>
        <v>B</v>
      </c>
      <c r="F7171" s="315" t="s">
        <v>26</v>
      </c>
      <c r="G7171" s="308"/>
      <c r="H7171" s="308" t="s">
        <v>28984</v>
      </c>
      <c r="I7171" s="310">
        <v>42875.0</v>
      </c>
      <c r="J7171" s="319">
        <f>IFERROR(__xludf.DUMMYFUNCTION("SPLIT(I7171,""/"")"),20.0)</f>
        <v>20</v>
      </c>
      <c r="K7171" s="308">
        <f>IFERROR(__xludf.DUMMYFUNCTION("""COMPUTED_VALUE"""),5.0)</f>
        <v>5</v>
      </c>
      <c r="L7171" s="308">
        <f>IFERROR(__xludf.DUMMYFUNCTION("""COMPUTED_VALUE"""),2017.0)</f>
        <v>2017</v>
      </c>
      <c r="M7171" s="308" t="s">
        <v>28985</v>
      </c>
      <c r="N7171" s="308"/>
      <c r="O7171" s="308"/>
      <c r="P7171" s="308" t="s">
        <v>39591</v>
      </c>
      <c r="Q7171" s="308" t="s">
        <v>39573</v>
      </c>
      <c r="R7171" s="308"/>
      <c r="S7171" s="308" t="s">
        <v>81</v>
      </c>
      <c r="T7171" s="308" t="s">
        <v>75</v>
      </c>
      <c r="U7171" s="308" t="s">
        <v>27</v>
      </c>
      <c r="V7171" s="308"/>
    </row>
    <row r="7172">
      <c r="A7172" s="308"/>
      <c r="B7172" s="308"/>
      <c r="C7172" s="308" t="s">
        <v>28987</v>
      </c>
      <c r="D7172" s="308">
        <f>IFERROR(__xludf.DUMMYFUNCTION("SPLIT(C7172,""-"")"),7192.0)</f>
        <v>7192</v>
      </c>
      <c r="E7172" s="308" t="str">
        <f>IFERROR(__xludf.DUMMYFUNCTION("""COMPUTED_VALUE"""),"B")</f>
        <v>B</v>
      </c>
      <c r="F7172" s="315" t="s">
        <v>26</v>
      </c>
      <c r="G7172" s="308"/>
      <c r="H7172" s="308" t="s">
        <v>28988</v>
      </c>
      <c r="I7172" s="310">
        <v>42874.0</v>
      </c>
      <c r="J7172" s="319">
        <f>IFERROR(__xludf.DUMMYFUNCTION("SPLIT(I7172,""/"")"),19.0)</f>
        <v>19</v>
      </c>
      <c r="K7172" s="308">
        <f>IFERROR(__xludf.DUMMYFUNCTION("""COMPUTED_VALUE"""),5.0)</f>
        <v>5</v>
      </c>
      <c r="L7172" s="308">
        <f>IFERROR(__xludf.DUMMYFUNCTION("""COMPUTED_VALUE"""),2017.0)</f>
        <v>2017</v>
      </c>
      <c r="M7172" s="308" t="s">
        <v>28433</v>
      </c>
      <c r="N7172" s="308"/>
      <c r="O7172" s="308"/>
      <c r="P7172" s="308" t="s">
        <v>28792</v>
      </c>
      <c r="Q7172" s="308" t="s">
        <v>39573</v>
      </c>
      <c r="R7172" s="308"/>
      <c r="S7172" s="308" t="s">
        <v>81</v>
      </c>
      <c r="T7172" s="308" t="s">
        <v>75</v>
      </c>
      <c r="U7172" s="308" t="s">
        <v>27</v>
      </c>
      <c r="V7172" s="308"/>
    </row>
    <row r="7173">
      <c r="A7173" s="308"/>
      <c r="B7173" s="308"/>
      <c r="C7173" s="308" t="s">
        <v>28989</v>
      </c>
      <c r="D7173" s="308">
        <f>IFERROR(__xludf.DUMMYFUNCTION("SPLIT(C7173,""-"")"),7193.0)</f>
        <v>7193</v>
      </c>
      <c r="E7173" s="308" t="str">
        <f>IFERROR(__xludf.DUMMYFUNCTION("""COMPUTED_VALUE"""),"B")</f>
        <v>B</v>
      </c>
      <c r="F7173" s="315" t="s">
        <v>26</v>
      </c>
      <c r="G7173" s="308"/>
      <c r="H7173" s="308" t="s">
        <v>28990</v>
      </c>
      <c r="I7173" s="310">
        <v>42892.0</v>
      </c>
      <c r="J7173" s="319">
        <f>IFERROR(__xludf.DUMMYFUNCTION("SPLIT(I7173,""/"")"),6.0)</f>
        <v>6</v>
      </c>
      <c r="K7173" s="308">
        <f>IFERROR(__xludf.DUMMYFUNCTION("""COMPUTED_VALUE"""),6.0)</f>
        <v>6</v>
      </c>
      <c r="L7173" s="308">
        <f>IFERROR(__xludf.DUMMYFUNCTION("""COMPUTED_VALUE"""),2017.0)</f>
        <v>2017</v>
      </c>
      <c r="M7173" s="308" t="s">
        <v>28991</v>
      </c>
      <c r="N7173" s="308"/>
      <c r="O7173" s="308"/>
      <c r="P7173" s="308" t="s">
        <v>28792</v>
      </c>
      <c r="Q7173" s="308" t="s">
        <v>39573</v>
      </c>
      <c r="R7173" s="308"/>
      <c r="S7173" s="308" t="s">
        <v>81</v>
      </c>
      <c r="T7173" s="308" t="s">
        <v>75</v>
      </c>
      <c r="U7173" s="308" t="s">
        <v>27</v>
      </c>
      <c r="V7173" s="308"/>
    </row>
    <row r="7174">
      <c r="A7174" s="308"/>
      <c r="B7174" s="308"/>
      <c r="C7174" s="308" t="s">
        <v>28992</v>
      </c>
      <c r="D7174" s="308">
        <f>IFERROR(__xludf.DUMMYFUNCTION("SPLIT(C7174,""-"")"),7194.0)</f>
        <v>7194</v>
      </c>
      <c r="E7174" s="308" t="str">
        <f>IFERROR(__xludf.DUMMYFUNCTION("""COMPUTED_VALUE"""),"B")</f>
        <v>B</v>
      </c>
      <c r="F7174" s="315" t="s">
        <v>26</v>
      </c>
      <c r="G7174" s="308"/>
      <c r="H7174" s="308" t="s">
        <v>28993</v>
      </c>
      <c r="I7174" s="310">
        <v>42881.0</v>
      </c>
      <c r="J7174" s="319">
        <f>IFERROR(__xludf.DUMMYFUNCTION("SPLIT(I7174,""/"")"),26.0)</f>
        <v>26</v>
      </c>
      <c r="K7174" s="308">
        <f>IFERROR(__xludf.DUMMYFUNCTION("""COMPUTED_VALUE"""),5.0)</f>
        <v>5</v>
      </c>
      <c r="L7174" s="308">
        <f>IFERROR(__xludf.DUMMYFUNCTION("""COMPUTED_VALUE"""),2017.0)</f>
        <v>2017</v>
      </c>
      <c r="M7174" s="308" t="s">
        <v>28425</v>
      </c>
      <c r="N7174" s="308"/>
      <c r="O7174" s="308"/>
      <c r="P7174" s="308" t="s">
        <v>28792</v>
      </c>
      <c r="Q7174" s="308" t="s">
        <v>39573</v>
      </c>
      <c r="R7174" s="308"/>
      <c r="S7174" s="308" t="s">
        <v>81</v>
      </c>
      <c r="T7174" s="308" t="s">
        <v>75</v>
      </c>
      <c r="U7174" s="308" t="s">
        <v>27</v>
      </c>
      <c r="V7174" s="308"/>
    </row>
    <row r="7175">
      <c r="A7175" s="308"/>
      <c r="B7175" s="308"/>
      <c r="C7175" s="308" t="s">
        <v>28994</v>
      </c>
      <c r="D7175" s="308">
        <f>IFERROR(__xludf.DUMMYFUNCTION("SPLIT(C7175,""-"")"),7195.0)</f>
        <v>7195</v>
      </c>
      <c r="E7175" s="308" t="str">
        <f>IFERROR(__xludf.DUMMYFUNCTION("""COMPUTED_VALUE"""),"B")</f>
        <v>B</v>
      </c>
      <c r="F7175" s="315" t="s">
        <v>26</v>
      </c>
      <c r="G7175" s="308"/>
      <c r="H7175" s="308" t="s">
        <v>28995</v>
      </c>
      <c r="I7175" s="310">
        <v>42881.0</v>
      </c>
      <c r="J7175" s="319">
        <f>IFERROR(__xludf.DUMMYFUNCTION("SPLIT(I7175,""/"")"),26.0)</f>
        <v>26</v>
      </c>
      <c r="K7175" s="308">
        <f>IFERROR(__xludf.DUMMYFUNCTION("""COMPUTED_VALUE"""),5.0)</f>
        <v>5</v>
      </c>
      <c r="L7175" s="308">
        <f>IFERROR(__xludf.DUMMYFUNCTION("""COMPUTED_VALUE"""),2017.0)</f>
        <v>2017</v>
      </c>
      <c r="M7175" s="308" t="s">
        <v>28425</v>
      </c>
      <c r="N7175" s="308"/>
      <c r="O7175" s="308"/>
      <c r="P7175" s="308" t="s">
        <v>28792</v>
      </c>
      <c r="Q7175" s="308" t="s">
        <v>39573</v>
      </c>
      <c r="R7175" s="308"/>
      <c r="S7175" s="308" t="s">
        <v>81</v>
      </c>
      <c r="T7175" s="308" t="s">
        <v>75</v>
      </c>
      <c r="U7175" s="308" t="s">
        <v>27</v>
      </c>
      <c r="V7175" s="308"/>
    </row>
    <row r="7176">
      <c r="A7176" s="308"/>
      <c r="B7176" s="308"/>
      <c r="C7176" s="308" t="s">
        <v>28996</v>
      </c>
      <c r="D7176" s="308">
        <f>IFERROR(__xludf.DUMMYFUNCTION("SPLIT(C7176,""-"")"),7196.0)</f>
        <v>7196</v>
      </c>
      <c r="E7176" s="308" t="str">
        <f>IFERROR(__xludf.DUMMYFUNCTION("""COMPUTED_VALUE"""),"B")</f>
        <v>B</v>
      </c>
      <c r="F7176" s="315" t="s">
        <v>26</v>
      </c>
      <c r="G7176" s="308"/>
      <c r="H7176" s="308" t="s">
        <v>28997</v>
      </c>
      <c r="I7176" s="310">
        <v>42922.0</v>
      </c>
      <c r="J7176" s="319">
        <f>IFERROR(__xludf.DUMMYFUNCTION("SPLIT(I7176,""/"")"),6.0)</f>
        <v>6</v>
      </c>
      <c r="K7176" s="308">
        <f>IFERROR(__xludf.DUMMYFUNCTION("""COMPUTED_VALUE"""),7.0)</f>
        <v>7</v>
      </c>
      <c r="L7176" s="308">
        <f>IFERROR(__xludf.DUMMYFUNCTION("""COMPUTED_VALUE"""),2017.0)</f>
        <v>2017</v>
      </c>
      <c r="M7176" s="308" t="s">
        <v>28425</v>
      </c>
      <c r="N7176" s="308"/>
      <c r="O7176" s="308"/>
      <c r="P7176" s="308" t="s">
        <v>28792</v>
      </c>
      <c r="Q7176" s="308" t="s">
        <v>39573</v>
      </c>
      <c r="R7176" s="308"/>
      <c r="S7176" s="308" t="s">
        <v>81</v>
      </c>
      <c r="T7176" s="308" t="s">
        <v>75</v>
      </c>
      <c r="U7176" s="308" t="s">
        <v>27</v>
      </c>
      <c r="V7176" s="308"/>
    </row>
    <row r="7177">
      <c r="A7177" s="308"/>
      <c r="B7177" s="308"/>
      <c r="C7177" s="308" t="s">
        <v>28998</v>
      </c>
      <c r="D7177" s="308">
        <f>IFERROR(__xludf.DUMMYFUNCTION("SPLIT(C7177,""-"")"),7197.0)</f>
        <v>7197</v>
      </c>
      <c r="E7177" s="308" t="str">
        <f>IFERROR(__xludf.DUMMYFUNCTION("""COMPUTED_VALUE"""),"B")</f>
        <v>B</v>
      </c>
      <c r="F7177" s="315" t="s">
        <v>26</v>
      </c>
      <c r="G7177" s="308"/>
      <c r="H7177" s="308" t="s">
        <v>39592</v>
      </c>
      <c r="I7177" s="310">
        <v>42812.0</v>
      </c>
      <c r="J7177" s="319">
        <f>IFERROR(__xludf.DUMMYFUNCTION("SPLIT(I7177,""/"")"),18.0)</f>
        <v>18</v>
      </c>
      <c r="K7177" s="308">
        <f>IFERROR(__xludf.DUMMYFUNCTION("""COMPUTED_VALUE"""),3.0)</f>
        <v>3</v>
      </c>
      <c r="L7177" s="308">
        <f>IFERROR(__xludf.DUMMYFUNCTION("""COMPUTED_VALUE"""),2017.0)</f>
        <v>2017</v>
      </c>
      <c r="M7177" s="308" t="s">
        <v>29000</v>
      </c>
      <c r="N7177" s="308"/>
      <c r="O7177" s="308"/>
      <c r="P7177" s="308" t="s">
        <v>28792</v>
      </c>
      <c r="Q7177" s="308" t="s">
        <v>39573</v>
      </c>
      <c r="R7177" s="308"/>
      <c r="S7177" s="308" t="s">
        <v>81</v>
      </c>
      <c r="T7177" s="308" t="s">
        <v>75</v>
      </c>
      <c r="U7177" s="308" t="s">
        <v>27</v>
      </c>
      <c r="V7177" s="308"/>
    </row>
    <row r="7178">
      <c r="A7178" s="308"/>
      <c r="B7178" s="308"/>
      <c r="C7178" s="308" t="s">
        <v>29001</v>
      </c>
      <c r="D7178" s="308">
        <f>IFERROR(__xludf.DUMMYFUNCTION("SPLIT(C7178,""-"")"),7198.0)</f>
        <v>7198</v>
      </c>
      <c r="E7178" s="308" t="str">
        <f>IFERROR(__xludf.DUMMYFUNCTION("""COMPUTED_VALUE"""),"B")</f>
        <v>B</v>
      </c>
      <c r="F7178" s="315" t="s">
        <v>26</v>
      </c>
      <c r="G7178" s="308"/>
      <c r="H7178" s="308" t="s">
        <v>29002</v>
      </c>
      <c r="I7178" s="310">
        <v>42811.0</v>
      </c>
      <c r="J7178" s="319">
        <f>IFERROR(__xludf.DUMMYFUNCTION("SPLIT(I7178,""/"")"),17.0)</f>
        <v>17</v>
      </c>
      <c r="K7178" s="308">
        <f>IFERROR(__xludf.DUMMYFUNCTION("""COMPUTED_VALUE"""),3.0)</f>
        <v>3</v>
      </c>
      <c r="L7178" s="308">
        <f>IFERROR(__xludf.DUMMYFUNCTION("""COMPUTED_VALUE"""),2017.0)</f>
        <v>2017</v>
      </c>
      <c r="M7178" s="308" t="s">
        <v>28982</v>
      </c>
      <c r="N7178" s="308"/>
      <c r="O7178" s="308"/>
      <c r="P7178" s="308" t="s">
        <v>39593</v>
      </c>
      <c r="Q7178" s="308" t="s">
        <v>39573</v>
      </c>
      <c r="R7178" s="308"/>
      <c r="S7178" s="308" t="s">
        <v>81</v>
      </c>
      <c r="T7178" s="308" t="s">
        <v>75</v>
      </c>
      <c r="U7178" s="308" t="s">
        <v>27</v>
      </c>
      <c r="V7178" s="308"/>
    </row>
    <row r="7179">
      <c r="A7179" s="308"/>
      <c r="B7179" s="308"/>
      <c r="C7179" s="308" t="s">
        <v>29004</v>
      </c>
      <c r="D7179" s="308">
        <f>IFERROR(__xludf.DUMMYFUNCTION("SPLIT(C7179,""-"")"),7199.0)</f>
        <v>7199</v>
      </c>
      <c r="E7179" s="308" t="str">
        <f>IFERROR(__xludf.DUMMYFUNCTION("""COMPUTED_VALUE"""),"B")</f>
        <v>B</v>
      </c>
      <c r="F7179" s="315" t="s">
        <v>26</v>
      </c>
      <c r="G7179" s="308"/>
      <c r="H7179" s="308" t="s">
        <v>29005</v>
      </c>
      <c r="I7179" s="310">
        <v>42811.0</v>
      </c>
      <c r="J7179" s="319">
        <f>IFERROR(__xludf.DUMMYFUNCTION("SPLIT(I7179,""/"")"),17.0)</f>
        <v>17</v>
      </c>
      <c r="K7179" s="308">
        <f>IFERROR(__xludf.DUMMYFUNCTION("""COMPUTED_VALUE"""),3.0)</f>
        <v>3</v>
      </c>
      <c r="L7179" s="308">
        <f>IFERROR(__xludf.DUMMYFUNCTION("""COMPUTED_VALUE"""),2017.0)</f>
        <v>2017</v>
      </c>
      <c r="M7179" s="308" t="s">
        <v>29006</v>
      </c>
      <c r="N7179" s="308"/>
      <c r="O7179" s="308"/>
      <c r="P7179" s="308" t="s">
        <v>39594</v>
      </c>
      <c r="Q7179" s="308" t="s">
        <v>39573</v>
      </c>
      <c r="R7179" s="308"/>
      <c r="S7179" s="308" t="s">
        <v>81</v>
      </c>
      <c r="T7179" s="308" t="s">
        <v>75</v>
      </c>
      <c r="U7179" s="308" t="s">
        <v>27</v>
      </c>
      <c r="V7179" s="308"/>
    </row>
    <row r="7180">
      <c r="A7180" s="308"/>
      <c r="B7180" s="308"/>
      <c r="C7180" s="308" t="s">
        <v>29008</v>
      </c>
      <c r="D7180" s="308">
        <f>IFERROR(__xludf.DUMMYFUNCTION("SPLIT(C7180,""-"")"),7200.0)</f>
        <v>7200</v>
      </c>
      <c r="E7180" s="308" t="str">
        <f>IFERROR(__xludf.DUMMYFUNCTION("""COMPUTED_VALUE"""),"B")</f>
        <v>B</v>
      </c>
      <c r="F7180" s="315" t="s">
        <v>26</v>
      </c>
      <c r="G7180" s="308"/>
      <c r="H7180" s="308" t="s">
        <v>29009</v>
      </c>
      <c r="I7180" s="310">
        <v>42811.0</v>
      </c>
      <c r="J7180" s="319">
        <f>IFERROR(__xludf.DUMMYFUNCTION("SPLIT(I7180,""/"")"),17.0)</f>
        <v>17</v>
      </c>
      <c r="K7180" s="308">
        <f>IFERROR(__xludf.DUMMYFUNCTION("""COMPUTED_VALUE"""),3.0)</f>
        <v>3</v>
      </c>
      <c r="L7180" s="308">
        <f>IFERROR(__xludf.DUMMYFUNCTION("""COMPUTED_VALUE"""),2017.0)</f>
        <v>2017</v>
      </c>
      <c r="M7180" s="308" t="s">
        <v>28982</v>
      </c>
      <c r="N7180" s="308"/>
      <c r="O7180" s="308"/>
      <c r="P7180" s="308" t="s">
        <v>39595</v>
      </c>
      <c r="Q7180" s="308" t="s">
        <v>39573</v>
      </c>
      <c r="R7180" s="308"/>
      <c r="S7180" s="308" t="s">
        <v>81</v>
      </c>
      <c r="T7180" s="308" t="s">
        <v>75</v>
      </c>
      <c r="U7180" s="308" t="s">
        <v>27</v>
      </c>
      <c r="V7180" s="308"/>
    </row>
    <row r="7181">
      <c r="A7181" s="308"/>
      <c r="B7181" s="308"/>
      <c r="C7181" s="308" t="s">
        <v>29011</v>
      </c>
      <c r="D7181" s="308">
        <f>IFERROR(__xludf.DUMMYFUNCTION("SPLIT(C7181,""-"")"),7201.0)</f>
        <v>7201</v>
      </c>
      <c r="E7181" s="308" t="str">
        <f>IFERROR(__xludf.DUMMYFUNCTION("""COMPUTED_VALUE"""),"B")</f>
        <v>B</v>
      </c>
      <c r="F7181" s="315" t="s">
        <v>26</v>
      </c>
      <c r="G7181" s="308"/>
      <c r="H7181" s="308" t="s">
        <v>29012</v>
      </c>
      <c r="I7181" s="310">
        <v>42811.0</v>
      </c>
      <c r="J7181" s="319">
        <f>IFERROR(__xludf.DUMMYFUNCTION("SPLIT(I7181,""/"")"),17.0)</f>
        <v>17</v>
      </c>
      <c r="K7181" s="308">
        <f>IFERROR(__xludf.DUMMYFUNCTION("""COMPUTED_VALUE"""),3.0)</f>
        <v>3</v>
      </c>
      <c r="L7181" s="308">
        <f>IFERROR(__xludf.DUMMYFUNCTION("""COMPUTED_VALUE"""),2017.0)</f>
        <v>2017</v>
      </c>
      <c r="M7181" s="308" t="s">
        <v>29006</v>
      </c>
      <c r="N7181" s="308"/>
      <c r="O7181" s="308"/>
      <c r="P7181" s="308" t="s">
        <v>39596</v>
      </c>
      <c r="Q7181" s="308" t="s">
        <v>39573</v>
      </c>
      <c r="R7181" s="308"/>
      <c r="S7181" s="308" t="s">
        <v>81</v>
      </c>
      <c r="T7181" s="308" t="s">
        <v>75</v>
      </c>
      <c r="U7181" s="308" t="s">
        <v>27</v>
      </c>
      <c r="V7181" s="308"/>
    </row>
    <row r="7182">
      <c r="A7182" s="308"/>
      <c r="B7182" s="308"/>
      <c r="C7182" s="308" t="s">
        <v>29014</v>
      </c>
      <c r="D7182" s="308">
        <f>IFERROR(__xludf.DUMMYFUNCTION("SPLIT(C7182,""-"")"),7202.0)</f>
        <v>7202</v>
      </c>
      <c r="E7182" s="308" t="str">
        <f>IFERROR(__xludf.DUMMYFUNCTION("""COMPUTED_VALUE"""),"B")</f>
        <v>B</v>
      </c>
      <c r="F7182" s="315" t="s">
        <v>26</v>
      </c>
      <c r="G7182" s="308"/>
      <c r="H7182" s="308" t="s">
        <v>29015</v>
      </c>
      <c r="I7182" s="310">
        <v>42811.0</v>
      </c>
      <c r="J7182" s="319">
        <f>IFERROR(__xludf.DUMMYFUNCTION("SPLIT(I7182,""/"")"),17.0)</f>
        <v>17</v>
      </c>
      <c r="K7182" s="308">
        <f>IFERROR(__xludf.DUMMYFUNCTION("""COMPUTED_VALUE"""),3.0)</f>
        <v>3</v>
      </c>
      <c r="L7182" s="308">
        <f>IFERROR(__xludf.DUMMYFUNCTION("""COMPUTED_VALUE"""),2017.0)</f>
        <v>2017</v>
      </c>
      <c r="M7182" s="308" t="s">
        <v>29006</v>
      </c>
      <c r="N7182" s="308"/>
      <c r="O7182" s="308"/>
      <c r="P7182" s="308" t="s">
        <v>39597</v>
      </c>
      <c r="Q7182" s="308" t="s">
        <v>39573</v>
      </c>
      <c r="R7182" s="308"/>
      <c r="S7182" s="308" t="s">
        <v>81</v>
      </c>
      <c r="T7182" s="308" t="s">
        <v>75</v>
      </c>
      <c r="U7182" s="308" t="s">
        <v>27</v>
      </c>
      <c r="V7182" s="308"/>
    </row>
    <row r="7183">
      <c r="A7183" s="308"/>
      <c r="B7183" s="308"/>
      <c r="C7183" s="308" t="s">
        <v>29017</v>
      </c>
      <c r="D7183" s="308">
        <f>IFERROR(__xludf.DUMMYFUNCTION("SPLIT(C7183,""-"")"),7203.0)</f>
        <v>7203</v>
      </c>
      <c r="E7183" s="308" t="str">
        <f>IFERROR(__xludf.DUMMYFUNCTION("""COMPUTED_VALUE"""),"B")</f>
        <v>B</v>
      </c>
      <c r="F7183" s="315" t="s">
        <v>26</v>
      </c>
      <c r="G7183" s="308"/>
      <c r="H7183" s="308" t="s">
        <v>29018</v>
      </c>
      <c r="I7183" s="310">
        <v>42811.0</v>
      </c>
      <c r="J7183" s="319">
        <f>IFERROR(__xludf.DUMMYFUNCTION("SPLIT(I7183,""/"")"),17.0)</f>
        <v>17</v>
      </c>
      <c r="K7183" s="308">
        <f>IFERROR(__xludf.DUMMYFUNCTION("""COMPUTED_VALUE"""),3.0)</f>
        <v>3</v>
      </c>
      <c r="L7183" s="308">
        <f>IFERROR(__xludf.DUMMYFUNCTION("""COMPUTED_VALUE"""),2017.0)</f>
        <v>2017</v>
      </c>
      <c r="M7183" s="308" t="s">
        <v>29019</v>
      </c>
      <c r="N7183" s="308"/>
      <c r="O7183" s="308"/>
      <c r="P7183" s="308" t="s">
        <v>39598</v>
      </c>
      <c r="Q7183" s="308" t="s">
        <v>39573</v>
      </c>
      <c r="R7183" s="308"/>
      <c r="S7183" s="308" t="s">
        <v>81</v>
      </c>
      <c r="T7183" s="308" t="s">
        <v>75</v>
      </c>
      <c r="U7183" s="308" t="s">
        <v>27</v>
      </c>
      <c r="V7183" s="308"/>
    </row>
    <row r="7184">
      <c r="A7184" s="308"/>
      <c r="B7184" s="308"/>
      <c r="C7184" s="308" t="s">
        <v>29021</v>
      </c>
      <c r="D7184" s="308">
        <f>IFERROR(__xludf.DUMMYFUNCTION("SPLIT(C7184,""-"")"),7204.0)</f>
        <v>7204</v>
      </c>
      <c r="E7184" s="308" t="str">
        <f>IFERROR(__xludf.DUMMYFUNCTION("""COMPUTED_VALUE"""),"B")</f>
        <v>B</v>
      </c>
      <c r="F7184" s="315" t="s">
        <v>26</v>
      </c>
      <c r="G7184" s="308"/>
      <c r="H7184" s="308" t="s">
        <v>29022</v>
      </c>
      <c r="I7184" s="310">
        <v>42814.0</v>
      </c>
      <c r="J7184" s="319">
        <f>IFERROR(__xludf.DUMMYFUNCTION("SPLIT(I7184,""/"")"),20.0)</f>
        <v>20</v>
      </c>
      <c r="K7184" s="308">
        <f>IFERROR(__xludf.DUMMYFUNCTION("""COMPUTED_VALUE"""),3.0)</f>
        <v>3</v>
      </c>
      <c r="L7184" s="308">
        <f>IFERROR(__xludf.DUMMYFUNCTION("""COMPUTED_VALUE"""),2017.0)</f>
        <v>2017</v>
      </c>
      <c r="M7184" s="308" t="s">
        <v>28858</v>
      </c>
      <c r="N7184" s="308"/>
      <c r="O7184" s="308"/>
      <c r="P7184" s="308" t="s">
        <v>39599</v>
      </c>
      <c r="Q7184" s="308" t="s">
        <v>39573</v>
      </c>
      <c r="R7184" s="308"/>
      <c r="S7184" s="308" t="s">
        <v>81</v>
      </c>
      <c r="T7184" s="308" t="s">
        <v>75</v>
      </c>
      <c r="U7184" s="308" t="s">
        <v>27</v>
      </c>
      <c r="V7184" s="308"/>
    </row>
    <row r="7185">
      <c r="A7185" s="308"/>
      <c r="B7185" s="308"/>
      <c r="C7185" s="308" t="s">
        <v>29024</v>
      </c>
      <c r="D7185" s="308">
        <f>IFERROR(__xludf.DUMMYFUNCTION("SPLIT(C7185,""-"")"),7205.0)</f>
        <v>7205</v>
      </c>
      <c r="E7185" s="308" t="str">
        <f>IFERROR(__xludf.DUMMYFUNCTION("""COMPUTED_VALUE"""),"B")</f>
        <v>B</v>
      </c>
      <c r="F7185" s="315" t="s">
        <v>26</v>
      </c>
      <c r="G7185" s="308"/>
      <c r="H7185" s="308" t="s">
        <v>29025</v>
      </c>
      <c r="I7185" s="310">
        <v>42813.0</v>
      </c>
      <c r="J7185" s="319">
        <f>IFERROR(__xludf.DUMMYFUNCTION("SPLIT(I7185,""/"")"),19.0)</f>
        <v>19</v>
      </c>
      <c r="K7185" s="308">
        <f>IFERROR(__xludf.DUMMYFUNCTION("""COMPUTED_VALUE"""),3.0)</f>
        <v>3</v>
      </c>
      <c r="L7185" s="308">
        <f>IFERROR(__xludf.DUMMYFUNCTION("""COMPUTED_VALUE"""),2017.0)</f>
        <v>2017</v>
      </c>
      <c r="M7185" s="308" t="s">
        <v>29000</v>
      </c>
      <c r="N7185" s="308"/>
      <c r="O7185" s="308"/>
      <c r="P7185" s="308" t="s">
        <v>28792</v>
      </c>
      <c r="Q7185" s="308" t="s">
        <v>39573</v>
      </c>
      <c r="R7185" s="308"/>
      <c r="S7185" s="308" t="s">
        <v>81</v>
      </c>
      <c r="T7185" s="308" t="s">
        <v>75</v>
      </c>
      <c r="U7185" s="308" t="s">
        <v>27</v>
      </c>
      <c r="V7185" s="308"/>
    </row>
    <row r="7186">
      <c r="A7186" s="308"/>
      <c r="B7186" s="308"/>
      <c r="C7186" s="308" t="s">
        <v>29026</v>
      </c>
      <c r="D7186" s="308">
        <f>IFERROR(__xludf.DUMMYFUNCTION("SPLIT(C7186,""-"")"),7206.0)</f>
        <v>7206</v>
      </c>
      <c r="E7186" s="308" t="str">
        <f>IFERROR(__xludf.DUMMYFUNCTION("""COMPUTED_VALUE"""),"B")</f>
        <v>B</v>
      </c>
      <c r="F7186" s="315" t="s">
        <v>26</v>
      </c>
      <c r="G7186" s="308"/>
      <c r="H7186" s="308" t="s">
        <v>29027</v>
      </c>
      <c r="I7186" s="310">
        <v>42813.0</v>
      </c>
      <c r="J7186" s="319">
        <f>IFERROR(__xludf.DUMMYFUNCTION("SPLIT(I7186,""/"")"),19.0)</f>
        <v>19</v>
      </c>
      <c r="K7186" s="308">
        <f>IFERROR(__xludf.DUMMYFUNCTION("""COMPUTED_VALUE"""),3.0)</f>
        <v>3</v>
      </c>
      <c r="L7186" s="308">
        <f>IFERROR(__xludf.DUMMYFUNCTION("""COMPUTED_VALUE"""),2017.0)</f>
        <v>2017</v>
      </c>
      <c r="M7186" s="308" t="s">
        <v>29000</v>
      </c>
      <c r="N7186" s="308"/>
      <c r="O7186" s="308"/>
      <c r="P7186" s="308" t="s">
        <v>28792</v>
      </c>
      <c r="Q7186" s="308" t="s">
        <v>39573</v>
      </c>
      <c r="R7186" s="308"/>
      <c r="S7186" s="308" t="s">
        <v>81</v>
      </c>
      <c r="T7186" s="308" t="s">
        <v>75</v>
      </c>
      <c r="U7186" s="308" t="s">
        <v>27</v>
      </c>
      <c r="V7186" s="308"/>
    </row>
    <row r="7187">
      <c r="A7187" s="308"/>
      <c r="B7187" s="308"/>
      <c r="C7187" s="308" t="s">
        <v>29028</v>
      </c>
      <c r="D7187" s="308">
        <f>IFERROR(__xludf.DUMMYFUNCTION("SPLIT(C7187,""-"")"),7207.0)</f>
        <v>7207</v>
      </c>
      <c r="E7187" s="308" t="str">
        <f>IFERROR(__xludf.DUMMYFUNCTION("""COMPUTED_VALUE"""),"B")</f>
        <v>B</v>
      </c>
      <c r="F7187" s="315" t="s">
        <v>26</v>
      </c>
      <c r="G7187" s="308"/>
      <c r="H7187" s="308" t="s">
        <v>29029</v>
      </c>
      <c r="I7187" s="310">
        <v>42813.0</v>
      </c>
      <c r="J7187" s="319">
        <f>IFERROR(__xludf.DUMMYFUNCTION("SPLIT(I7187,""/"")"),19.0)</f>
        <v>19</v>
      </c>
      <c r="K7187" s="308">
        <f>IFERROR(__xludf.DUMMYFUNCTION("""COMPUTED_VALUE"""),3.0)</f>
        <v>3</v>
      </c>
      <c r="L7187" s="308">
        <f>IFERROR(__xludf.DUMMYFUNCTION("""COMPUTED_VALUE"""),2017.0)</f>
        <v>2017</v>
      </c>
      <c r="M7187" s="308" t="s">
        <v>28882</v>
      </c>
      <c r="N7187" s="308"/>
      <c r="O7187" s="308"/>
      <c r="P7187" s="308" t="s">
        <v>28792</v>
      </c>
      <c r="Q7187" s="308" t="s">
        <v>39573</v>
      </c>
      <c r="R7187" s="308"/>
      <c r="S7187" s="308" t="s">
        <v>81</v>
      </c>
      <c r="T7187" s="308" t="s">
        <v>75</v>
      </c>
      <c r="U7187" s="308" t="s">
        <v>27</v>
      </c>
      <c r="V7187" s="308"/>
    </row>
    <row r="7188">
      <c r="A7188" s="308"/>
      <c r="B7188" s="308"/>
      <c r="C7188" s="308" t="s">
        <v>29030</v>
      </c>
      <c r="D7188" s="308">
        <f>IFERROR(__xludf.DUMMYFUNCTION("SPLIT(C7188,""-"")"),7208.0)</f>
        <v>7208</v>
      </c>
      <c r="E7188" s="308" t="str">
        <f>IFERROR(__xludf.DUMMYFUNCTION("""COMPUTED_VALUE"""),"B")</f>
        <v>B</v>
      </c>
      <c r="F7188" s="315" t="s">
        <v>26</v>
      </c>
      <c r="G7188" s="308"/>
      <c r="H7188" s="308" t="s">
        <v>29031</v>
      </c>
      <c r="I7188" s="310">
        <v>42813.0</v>
      </c>
      <c r="J7188" s="319">
        <f>IFERROR(__xludf.DUMMYFUNCTION("SPLIT(I7188,""/"")"),19.0)</f>
        <v>19</v>
      </c>
      <c r="K7188" s="308">
        <f>IFERROR(__xludf.DUMMYFUNCTION("""COMPUTED_VALUE"""),3.0)</f>
        <v>3</v>
      </c>
      <c r="L7188" s="308">
        <f>IFERROR(__xludf.DUMMYFUNCTION("""COMPUTED_VALUE"""),2017.0)</f>
        <v>2017</v>
      </c>
      <c r="M7188" s="308" t="s">
        <v>29000</v>
      </c>
      <c r="N7188" s="308"/>
      <c r="O7188" s="308"/>
      <c r="P7188" s="308" t="s">
        <v>39600</v>
      </c>
      <c r="Q7188" s="308" t="s">
        <v>39573</v>
      </c>
      <c r="R7188" s="308"/>
      <c r="S7188" s="308" t="s">
        <v>81</v>
      </c>
      <c r="T7188" s="308" t="s">
        <v>75</v>
      </c>
      <c r="U7188" s="308" t="s">
        <v>27</v>
      </c>
      <c r="V7188" s="308"/>
    </row>
    <row r="7189">
      <c r="A7189" s="308"/>
      <c r="B7189" s="308"/>
      <c r="C7189" s="308" t="s">
        <v>29033</v>
      </c>
      <c r="D7189" s="308">
        <f>IFERROR(__xludf.DUMMYFUNCTION("SPLIT(C7189,""-"")"),7209.0)</f>
        <v>7209</v>
      </c>
      <c r="E7189" s="308" t="str">
        <f>IFERROR(__xludf.DUMMYFUNCTION("""COMPUTED_VALUE"""),"B")</f>
        <v>B</v>
      </c>
      <c r="F7189" s="315" t="s">
        <v>26</v>
      </c>
      <c r="G7189" s="308"/>
      <c r="H7189" s="308" t="s">
        <v>29034</v>
      </c>
      <c r="I7189" s="310">
        <v>42813.0</v>
      </c>
      <c r="J7189" s="319">
        <f>IFERROR(__xludf.DUMMYFUNCTION("SPLIT(I7189,""/"")"),19.0)</f>
        <v>19</v>
      </c>
      <c r="K7189" s="308">
        <f>IFERROR(__xludf.DUMMYFUNCTION("""COMPUTED_VALUE"""),3.0)</f>
        <v>3</v>
      </c>
      <c r="L7189" s="308">
        <f>IFERROR(__xludf.DUMMYFUNCTION("""COMPUTED_VALUE"""),2017.0)</f>
        <v>2017</v>
      </c>
      <c r="M7189" s="308" t="s">
        <v>28882</v>
      </c>
      <c r="N7189" s="308"/>
      <c r="O7189" s="308"/>
      <c r="P7189" s="308" t="s">
        <v>28792</v>
      </c>
      <c r="Q7189" s="308" t="s">
        <v>39573</v>
      </c>
      <c r="R7189" s="308"/>
      <c r="S7189" s="308" t="s">
        <v>81</v>
      </c>
      <c r="T7189" s="308" t="s">
        <v>75</v>
      </c>
      <c r="U7189" s="308" t="s">
        <v>27</v>
      </c>
      <c r="V7189" s="308"/>
    </row>
    <row r="7190">
      <c r="A7190" s="308"/>
      <c r="B7190" s="308"/>
      <c r="C7190" s="308" t="s">
        <v>29035</v>
      </c>
      <c r="D7190" s="308">
        <f>IFERROR(__xludf.DUMMYFUNCTION("SPLIT(C7190,""-"")"),7210.0)</f>
        <v>7210</v>
      </c>
      <c r="E7190" s="308" t="str">
        <f>IFERROR(__xludf.DUMMYFUNCTION("""COMPUTED_VALUE"""),"B")</f>
        <v>B</v>
      </c>
      <c r="F7190" s="315" t="s">
        <v>26</v>
      </c>
      <c r="G7190" s="308"/>
      <c r="H7190" s="308" t="s">
        <v>29036</v>
      </c>
      <c r="I7190" s="310">
        <v>42813.0</v>
      </c>
      <c r="J7190" s="319">
        <f>IFERROR(__xludf.DUMMYFUNCTION("SPLIT(I7190,""/"")"),19.0)</f>
        <v>19</v>
      </c>
      <c r="K7190" s="308">
        <f>IFERROR(__xludf.DUMMYFUNCTION("""COMPUTED_VALUE"""),3.0)</f>
        <v>3</v>
      </c>
      <c r="L7190" s="308">
        <f>IFERROR(__xludf.DUMMYFUNCTION("""COMPUTED_VALUE"""),2017.0)</f>
        <v>2017</v>
      </c>
      <c r="M7190" s="308" t="s">
        <v>29000</v>
      </c>
      <c r="N7190" s="308"/>
      <c r="O7190" s="308"/>
      <c r="P7190" s="308" t="s">
        <v>28792</v>
      </c>
      <c r="Q7190" s="308" t="s">
        <v>39573</v>
      </c>
      <c r="R7190" s="308"/>
      <c r="S7190" s="308" t="s">
        <v>81</v>
      </c>
      <c r="T7190" s="308" t="s">
        <v>75</v>
      </c>
      <c r="U7190" s="308" t="s">
        <v>27</v>
      </c>
      <c r="V7190" s="308"/>
    </row>
    <row r="7191">
      <c r="A7191" s="308"/>
      <c r="B7191" s="308"/>
      <c r="C7191" s="308" t="s">
        <v>29037</v>
      </c>
      <c r="D7191" s="308">
        <f>IFERROR(__xludf.DUMMYFUNCTION("SPLIT(C7191,""-"")"),7211.0)</f>
        <v>7211</v>
      </c>
      <c r="E7191" s="308" t="str">
        <f>IFERROR(__xludf.DUMMYFUNCTION("""COMPUTED_VALUE"""),"B")</f>
        <v>B</v>
      </c>
      <c r="F7191" s="315" t="s">
        <v>26</v>
      </c>
      <c r="G7191" s="308"/>
      <c r="H7191" s="308" t="s">
        <v>29038</v>
      </c>
      <c r="I7191" s="310">
        <v>42814.0</v>
      </c>
      <c r="J7191" s="319">
        <f>IFERROR(__xludf.DUMMYFUNCTION("SPLIT(I7191,""/"")"),20.0)</f>
        <v>20</v>
      </c>
      <c r="K7191" s="308">
        <f>IFERROR(__xludf.DUMMYFUNCTION("""COMPUTED_VALUE"""),3.0)</f>
        <v>3</v>
      </c>
      <c r="L7191" s="308">
        <f>IFERROR(__xludf.DUMMYFUNCTION("""COMPUTED_VALUE"""),2017.0)</f>
        <v>2017</v>
      </c>
      <c r="M7191" s="308" t="s">
        <v>29039</v>
      </c>
      <c r="N7191" s="308"/>
      <c r="O7191" s="308"/>
      <c r="P7191" s="308" t="s">
        <v>28792</v>
      </c>
      <c r="Q7191" s="308" t="s">
        <v>39573</v>
      </c>
      <c r="R7191" s="308"/>
      <c r="S7191" s="308" t="s">
        <v>81</v>
      </c>
      <c r="T7191" s="308" t="s">
        <v>75</v>
      </c>
      <c r="U7191" s="308" t="s">
        <v>27</v>
      </c>
      <c r="V7191" s="308"/>
    </row>
    <row r="7192">
      <c r="A7192" s="308"/>
      <c r="B7192" s="308"/>
      <c r="C7192" s="308" t="s">
        <v>29040</v>
      </c>
      <c r="D7192" s="308">
        <f>IFERROR(__xludf.DUMMYFUNCTION("SPLIT(C7192,""-"")"),7212.0)</f>
        <v>7212</v>
      </c>
      <c r="E7192" s="308" t="str">
        <f>IFERROR(__xludf.DUMMYFUNCTION("""COMPUTED_VALUE"""),"B")</f>
        <v>B</v>
      </c>
      <c r="F7192" s="315" t="s">
        <v>26</v>
      </c>
      <c r="G7192" s="308"/>
      <c r="H7192" s="308" t="s">
        <v>29041</v>
      </c>
      <c r="I7192" s="310">
        <v>42818.0</v>
      </c>
      <c r="J7192" s="319">
        <f>IFERROR(__xludf.DUMMYFUNCTION("SPLIT(I7192,""/"")"),24.0)</f>
        <v>24</v>
      </c>
      <c r="K7192" s="308">
        <f>IFERROR(__xludf.DUMMYFUNCTION("""COMPUTED_VALUE"""),3.0)</f>
        <v>3</v>
      </c>
      <c r="L7192" s="308">
        <f>IFERROR(__xludf.DUMMYFUNCTION("""COMPUTED_VALUE"""),2017.0)</f>
        <v>2017</v>
      </c>
      <c r="M7192" s="308" t="s">
        <v>29042</v>
      </c>
      <c r="N7192" s="308"/>
      <c r="O7192" s="308"/>
      <c r="P7192" s="308" t="s">
        <v>136</v>
      </c>
      <c r="Q7192" s="308" t="s">
        <v>39573</v>
      </c>
      <c r="R7192" s="308"/>
      <c r="S7192" s="315" t="s">
        <v>100</v>
      </c>
      <c r="T7192" s="308" t="s">
        <v>34208</v>
      </c>
      <c r="U7192" s="308" t="s">
        <v>27</v>
      </c>
      <c r="V7192" s="308"/>
    </row>
    <row r="7193">
      <c r="A7193" s="308"/>
      <c r="B7193" s="308"/>
      <c r="C7193" s="308" t="s">
        <v>29043</v>
      </c>
      <c r="D7193" s="308">
        <f>IFERROR(__xludf.DUMMYFUNCTION("SPLIT(C7193,""-"")"),7213.0)</f>
        <v>7213</v>
      </c>
      <c r="E7193" s="308" t="str">
        <f>IFERROR(__xludf.DUMMYFUNCTION("""COMPUTED_VALUE"""),"B")</f>
        <v>B</v>
      </c>
      <c r="F7193" s="315" t="s">
        <v>26</v>
      </c>
      <c r="G7193" s="308"/>
      <c r="H7193" s="308" t="s">
        <v>29044</v>
      </c>
      <c r="I7193" s="310">
        <v>42818.0</v>
      </c>
      <c r="J7193" s="319">
        <f>IFERROR(__xludf.DUMMYFUNCTION("SPLIT(I7193,""/"")"),24.0)</f>
        <v>24</v>
      </c>
      <c r="K7193" s="308">
        <f>IFERROR(__xludf.DUMMYFUNCTION("""COMPUTED_VALUE"""),3.0)</f>
        <v>3</v>
      </c>
      <c r="L7193" s="308">
        <f>IFERROR(__xludf.DUMMYFUNCTION("""COMPUTED_VALUE"""),2017.0)</f>
        <v>2017</v>
      </c>
      <c r="M7193" s="308" t="s">
        <v>29045</v>
      </c>
      <c r="N7193" s="308"/>
      <c r="O7193" s="308"/>
      <c r="P7193" s="308" t="s">
        <v>29046</v>
      </c>
      <c r="Q7193" s="308" t="s">
        <v>39573</v>
      </c>
      <c r="R7193" s="308"/>
      <c r="S7193" s="308" t="s">
        <v>81</v>
      </c>
      <c r="T7193" s="308" t="s">
        <v>75</v>
      </c>
      <c r="U7193" s="308" t="s">
        <v>27</v>
      </c>
      <c r="V7193" s="308"/>
    </row>
    <row r="7194">
      <c r="A7194" s="308"/>
      <c r="B7194" s="308"/>
      <c r="C7194" s="308" t="s">
        <v>29047</v>
      </c>
      <c r="D7194" s="308">
        <f>IFERROR(__xludf.DUMMYFUNCTION("SPLIT(C7194,""-"")"),7214.0)</f>
        <v>7214</v>
      </c>
      <c r="E7194" s="308" t="str">
        <f>IFERROR(__xludf.DUMMYFUNCTION("""COMPUTED_VALUE"""),"B")</f>
        <v>B</v>
      </c>
      <c r="F7194" s="315" t="s">
        <v>26</v>
      </c>
      <c r="G7194" s="308"/>
      <c r="H7194" s="308" t="s">
        <v>28518</v>
      </c>
      <c r="I7194" s="310">
        <v>42818.0</v>
      </c>
      <c r="J7194" s="319">
        <f>IFERROR(__xludf.DUMMYFUNCTION("SPLIT(I7194,""/"")"),24.0)</f>
        <v>24</v>
      </c>
      <c r="K7194" s="308">
        <f>IFERROR(__xludf.DUMMYFUNCTION("""COMPUTED_VALUE"""),3.0)</f>
        <v>3</v>
      </c>
      <c r="L7194" s="308">
        <f>IFERROR(__xludf.DUMMYFUNCTION("""COMPUTED_VALUE"""),2017.0)</f>
        <v>2017</v>
      </c>
      <c r="M7194" s="308" t="s">
        <v>29045</v>
      </c>
      <c r="N7194" s="308"/>
      <c r="O7194" s="308"/>
      <c r="P7194" s="308" t="s">
        <v>39601</v>
      </c>
      <c r="Q7194" s="308" t="s">
        <v>39573</v>
      </c>
      <c r="R7194" s="308"/>
      <c r="S7194" s="308" t="s">
        <v>81</v>
      </c>
      <c r="T7194" s="308" t="s">
        <v>75</v>
      </c>
      <c r="U7194" s="308" t="s">
        <v>27</v>
      </c>
      <c r="V7194" s="308"/>
    </row>
    <row r="7195">
      <c r="A7195" s="308"/>
      <c r="B7195" s="308"/>
      <c r="C7195" s="308" t="s">
        <v>29049</v>
      </c>
      <c r="D7195" s="308">
        <f>IFERROR(__xludf.DUMMYFUNCTION("SPLIT(C7195,""-"")"),7215.0)</f>
        <v>7215</v>
      </c>
      <c r="E7195" s="308" t="str">
        <f>IFERROR(__xludf.DUMMYFUNCTION("""COMPUTED_VALUE"""),"B")</f>
        <v>B</v>
      </c>
      <c r="F7195" s="315" t="s">
        <v>26</v>
      </c>
      <c r="G7195" s="308"/>
      <c r="H7195" s="308" t="s">
        <v>29050</v>
      </c>
      <c r="I7195" s="310">
        <v>42818.0</v>
      </c>
      <c r="J7195" s="319">
        <f>IFERROR(__xludf.DUMMYFUNCTION("SPLIT(I7195,""/"")"),24.0)</f>
        <v>24</v>
      </c>
      <c r="K7195" s="308">
        <f>IFERROR(__xludf.DUMMYFUNCTION("""COMPUTED_VALUE"""),3.0)</f>
        <v>3</v>
      </c>
      <c r="L7195" s="308">
        <f>IFERROR(__xludf.DUMMYFUNCTION("""COMPUTED_VALUE"""),2017.0)</f>
        <v>2017</v>
      </c>
      <c r="M7195" s="308" t="s">
        <v>29045</v>
      </c>
      <c r="N7195" s="308"/>
      <c r="O7195" s="308"/>
      <c r="P7195" s="308" t="s">
        <v>29046</v>
      </c>
      <c r="Q7195" s="308" t="s">
        <v>39573</v>
      </c>
      <c r="R7195" s="308"/>
      <c r="S7195" s="308" t="s">
        <v>81</v>
      </c>
      <c r="T7195" s="308" t="s">
        <v>75</v>
      </c>
      <c r="U7195" s="308" t="s">
        <v>27</v>
      </c>
      <c r="V7195" s="308"/>
    </row>
    <row r="7196">
      <c r="A7196" s="308"/>
      <c r="B7196" s="308"/>
      <c r="C7196" s="308" t="s">
        <v>29051</v>
      </c>
      <c r="D7196" s="308">
        <f>IFERROR(__xludf.DUMMYFUNCTION("SPLIT(C7196,""-"")"),7216.0)</f>
        <v>7216</v>
      </c>
      <c r="E7196" s="308" t="str">
        <f>IFERROR(__xludf.DUMMYFUNCTION("""COMPUTED_VALUE"""),"B")</f>
        <v>B</v>
      </c>
      <c r="F7196" s="315" t="s">
        <v>26</v>
      </c>
      <c r="G7196" s="308"/>
      <c r="H7196" s="308" t="s">
        <v>29052</v>
      </c>
      <c r="I7196" s="310">
        <v>42818.0</v>
      </c>
      <c r="J7196" s="319">
        <f>IFERROR(__xludf.DUMMYFUNCTION("SPLIT(I7196,""/"")"),24.0)</f>
        <v>24</v>
      </c>
      <c r="K7196" s="308">
        <f>IFERROR(__xludf.DUMMYFUNCTION("""COMPUTED_VALUE"""),3.0)</f>
        <v>3</v>
      </c>
      <c r="L7196" s="308">
        <f>IFERROR(__xludf.DUMMYFUNCTION("""COMPUTED_VALUE"""),2017.0)</f>
        <v>2017</v>
      </c>
      <c r="M7196" s="308" t="s">
        <v>29045</v>
      </c>
      <c r="N7196" s="308"/>
      <c r="O7196" s="308"/>
      <c r="P7196" s="308" t="s">
        <v>29046</v>
      </c>
      <c r="Q7196" s="308" t="s">
        <v>39573</v>
      </c>
      <c r="R7196" s="308"/>
      <c r="S7196" s="308" t="s">
        <v>81</v>
      </c>
      <c r="T7196" s="308" t="s">
        <v>75</v>
      </c>
      <c r="U7196" s="308" t="s">
        <v>27</v>
      </c>
      <c r="V7196" s="308"/>
    </row>
    <row r="7197">
      <c r="A7197" s="308"/>
      <c r="B7197" s="308"/>
      <c r="C7197" s="308" t="s">
        <v>29053</v>
      </c>
      <c r="D7197" s="308">
        <f>IFERROR(__xludf.DUMMYFUNCTION("SPLIT(C7197,""-"")"),7217.0)</f>
        <v>7217</v>
      </c>
      <c r="E7197" s="308" t="str">
        <f>IFERROR(__xludf.DUMMYFUNCTION("""COMPUTED_VALUE"""),"B")</f>
        <v>B</v>
      </c>
      <c r="F7197" s="315" t="s">
        <v>26</v>
      </c>
      <c r="G7197" s="308"/>
      <c r="H7197" s="308" t="s">
        <v>29054</v>
      </c>
      <c r="I7197" s="310">
        <v>42822.0</v>
      </c>
      <c r="J7197" s="319">
        <f>IFERROR(__xludf.DUMMYFUNCTION("SPLIT(I7197,""/"")"),28.0)</f>
        <v>28</v>
      </c>
      <c r="K7197" s="308">
        <f>IFERROR(__xludf.DUMMYFUNCTION("""COMPUTED_VALUE"""),3.0)</f>
        <v>3</v>
      </c>
      <c r="L7197" s="308">
        <f>IFERROR(__xludf.DUMMYFUNCTION("""COMPUTED_VALUE"""),2017.0)</f>
        <v>2017</v>
      </c>
      <c r="M7197" s="308" t="s">
        <v>29055</v>
      </c>
      <c r="N7197" s="308"/>
      <c r="O7197" s="308"/>
      <c r="P7197" s="308" t="s">
        <v>29046</v>
      </c>
      <c r="Q7197" s="308" t="s">
        <v>39573</v>
      </c>
      <c r="R7197" s="308"/>
      <c r="S7197" s="308" t="s">
        <v>81</v>
      </c>
      <c r="T7197" s="308" t="s">
        <v>75</v>
      </c>
      <c r="U7197" s="308" t="s">
        <v>27</v>
      </c>
      <c r="V7197" s="308"/>
    </row>
    <row r="7198">
      <c r="A7198" s="308"/>
      <c r="B7198" s="308"/>
      <c r="C7198" s="308" t="s">
        <v>29056</v>
      </c>
      <c r="D7198" s="308">
        <f>IFERROR(__xludf.DUMMYFUNCTION("SPLIT(C7198,""-"")"),7218.0)</f>
        <v>7218</v>
      </c>
      <c r="E7198" s="308" t="str">
        <f>IFERROR(__xludf.DUMMYFUNCTION("""COMPUTED_VALUE"""),"B")</f>
        <v>B</v>
      </c>
      <c r="F7198" s="315" t="s">
        <v>26</v>
      </c>
      <c r="G7198" s="308"/>
      <c r="H7198" s="308" t="s">
        <v>29057</v>
      </c>
      <c r="I7198" s="310">
        <v>42822.0</v>
      </c>
      <c r="J7198" s="319">
        <f>IFERROR(__xludf.DUMMYFUNCTION("SPLIT(I7198,""/"")"),28.0)</f>
        <v>28</v>
      </c>
      <c r="K7198" s="308">
        <f>IFERROR(__xludf.DUMMYFUNCTION("""COMPUTED_VALUE"""),3.0)</f>
        <v>3</v>
      </c>
      <c r="L7198" s="308">
        <f>IFERROR(__xludf.DUMMYFUNCTION("""COMPUTED_VALUE"""),2017.0)</f>
        <v>2017</v>
      </c>
      <c r="M7198" s="308" t="s">
        <v>34322</v>
      </c>
      <c r="N7198" s="308"/>
      <c r="O7198" s="308"/>
      <c r="P7198" s="308" t="s">
        <v>39602</v>
      </c>
      <c r="Q7198" s="308" t="s">
        <v>39573</v>
      </c>
      <c r="R7198" s="308"/>
      <c r="S7198" s="308" t="s">
        <v>81</v>
      </c>
      <c r="T7198" s="308" t="s">
        <v>75</v>
      </c>
      <c r="U7198" s="308" t="s">
        <v>27</v>
      </c>
      <c r="V7198" s="308"/>
    </row>
    <row r="7199">
      <c r="A7199" s="308"/>
      <c r="B7199" s="308"/>
      <c r="C7199" s="308" t="s">
        <v>29059</v>
      </c>
      <c r="D7199" s="308">
        <f>IFERROR(__xludf.DUMMYFUNCTION("SPLIT(C7199,""-"")"),7219.0)</f>
        <v>7219</v>
      </c>
      <c r="E7199" s="308" t="str">
        <f>IFERROR(__xludf.DUMMYFUNCTION("""COMPUTED_VALUE"""),"B")</f>
        <v>B</v>
      </c>
      <c r="F7199" s="315" t="s">
        <v>26</v>
      </c>
      <c r="G7199" s="308"/>
      <c r="H7199" s="308" t="s">
        <v>29060</v>
      </c>
      <c r="I7199" s="310">
        <v>42822.0</v>
      </c>
      <c r="J7199" s="319">
        <f>IFERROR(__xludf.DUMMYFUNCTION("SPLIT(I7199,""/"")"),28.0)</f>
        <v>28</v>
      </c>
      <c r="K7199" s="308">
        <f>IFERROR(__xludf.DUMMYFUNCTION("""COMPUTED_VALUE"""),3.0)</f>
        <v>3</v>
      </c>
      <c r="L7199" s="308">
        <f>IFERROR(__xludf.DUMMYFUNCTION("""COMPUTED_VALUE"""),2017.0)</f>
        <v>2017</v>
      </c>
      <c r="M7199" s="308" t="s">
        <v>29055</v>
      </c>
      <c r="N7199" s="308"/>
      <c r="O7199" s="308"/>
      <c r="P7199" s="308" t="s">
        <v>29046</v>
      </c>
      <c r="Q7199" s="308" t="s">
        <v>39573</v>
      </c>
      <c r="R7199" s="308"/>
      <c r="S7199" s="308" t="s">
        <v>81</v>
      </c>
      <c r="T7199" s="308" t="s">
        <v>75</v>
      </c>
      <c r="U7199" s="308" t="s">
        <v>27</v>
      </c>
      <c r="V7199" s="308"/>
    </row>
    <row r="7200">
      <c r="A7200" s="308"/>
      <c r="B7200" s="308"/>
      <c r="C7200" s="308" t="s">
        <v>29061</v>
      </c>
      <c r="D7200" s="308">
        <f>IFERROR(__xludf.DUMMYFUNCTION("SPLIT(C7200,""-"")"),7220.0)</f>
        <v>7220</v>
      </c>
      <c r="E7200" s="308" t="str">
        <f>IFERROR(__xludf.DUMMYFUNCTION("""COMPUTED_VALUE"""),"B")</f>
        <v>B</v>
      </c>
      <c r="F7200" s="315" t="s">
        <v>26</v>
      </c>
      <c r="G7200" s="308"/>
      <c r="H7200" s="308" t="s">
        <v>29062</v>
      </c>
      <c r="I7200" s="310">
        <v>42821.0</v>
      </c>
      <c r="J7200" s="319">
        <f>IFERROR(__xludf.DUMMYFUNCTION("SPLIT(I7200,""/"")"),27.0)</f>
        <v>27</v>
      </c>
      <c r="K7200" s="308">
        <f>IFERROR(__xludf.DUMMYFUNCTION("""COMPUTED_VALUE"""),3.0)</f>
        <v>3</v>
      </c>
      <c r="L7200" s="308">
        <f>IFERROR(__xludf.DUMMYFUNCTION("""COMPUTED_VALUE"""),2017.0)</f>
        <v>2017</v>
      </c>
      <c r="M7200" s="308" t="s">
        <v>28226</v>
      </c>
      <c r="N7200" s="308"/>
      <c r="O7200" s="308"/>
      <c r="P7200" s="308" t="s">
        <v>29046</v>
      </c>
      <c r="Q7200" s="308" t="s">
        <v>39573</v>
      </c>
      <c r="R7200" s="308"/>
      <c r="S7200" s="308" t="s">
        <v>81</v>
      </c>
      <c r="T7200" s="308" t="s">
        <v>75</v>
      </c>
      <c r="U7200" s="308" t="s">
        <v>27</v>
      </c>
      <c r="V7200" s="308"/>
    </row>
    <row r="7201">
      <c r="A7201" s="308"/>
      <c r="B7201" s="308"/>
      <c r="C7201" s="308" t="s">
        <v>29063</v>
      </c>
      <c r="D7201" s="308">
        <f>IFERROR(__xludf.DUMMYFUNCTION("SPLIT(C7201,""-"")"),7221.0)</f>
        <v>7221</v>
      </c>
      <c r="E7201" s="308" t="str">
        <f>IFERROR(__xludf.DUMMYFUNCTION("""COMPUTED_VALUE"""),"B")</f>
        <v>B</v>
      </c>
      <c r="F7201" s="315" t="s">
        <v>26</v>
      </c>
      <c r="G7201" s="308"/>
      <c r="H7201" s="308" t="s">
        <v>29064</v>
      </c>
      <c r="I7201" s="310">
        <v>42820.0</v>
      </c>
      <c r="J7201" s="319">
        <f>IFERROR(__xludf.DUMMYFUNCTION("SPLIT(I7201,""/"")"),26.0)</f>
        <v>26</v>
      </c>
      <c r="K7201" s="308">
        <f>IFERROR(__xludf.DUMMYFUNCTION("""COMPUTED_VALUE"""),3.0)</f>
        <v>3</v>
      </c>
      <c r="L7201" s="308">
        <f>IFERROR(__xludf.DUMMYFUNCTION("""COMPUTED_VALUE"""),2017.0)</f>
        <v>2017</v>
      </c>
      <c r="M7201" s="308" t="s">
        <v>29065</v>
      </c>
      <c r="N7201" s="308"/>
      <c r="O7201" s="308"/>
      <c r="P7201" s="308" t="s">
        <v>29046</v>
      </c>
      <c r="Q7201" s="308" t="s">
        <v>39573</v>
      </c>
      <c r="R7201" s="308"/>
      <c r="S7201" s="308" t="s">
        <v>81</v>
      </c>
      <c r="T7201" s="308" t="s">
        <v>75</v>
      </c>
      <c r="U7201" s="308" t="s">
        <v>27</v>
      </c>
      <c r="V7201" s="308"/>
    </row>
    <row r="7202">
      <c r="A7202" s="308"/>
      <c r="B7202" s="308"/>
      <c r="C7202" s="308" t="s">
        <v>29066</v>
      </c>
      <c r="D7202" s="308">
        <f>IFERROR(__xludf.DUMMYFUNCTION("SPLIT(C7202,""-"")"),7222.0)</f>
        <v>7222</v>
      </c>
      <c r="E7202" s="308" t="str">
        <f>IFERROR(__xludf.DUMMYFUNCTION("""COMPUTED_VALUE"""),"B")</f>
        <v>B</v>
      </c>
      <c r="F7202" s="315" t="s">
        <v>26</v>
      </c>
      <c r="G7202" s="308"/>
      <c r="H7202" s="308" t="s">
        <v>29067</v>
      </c>
      <c r="I7202" s="310">
        <v>42820.0</v>
      </c>
      <c r="J7202" s="319">
        <f>IFERROR(__xludf.DUMMYFUNCTION("SPLIT(I7202,""/"")"),26.0)</f>
        <v>26</v>
      </c>
      <c r="K7202" s="308">
        <f>IFERROR(__xludf.DUMMYFUNCTION("""COMPUTED_VALUE"""),3.0)</f>
        <v>3</v>
      </c>
      <c r="L7202" s="308">
        <f>IFERROR(__xludf.DUMMYFUNCTION("""COMPUTED_VALUE"""),2017.0)</f>
        <v>2017</v>
      </c>
      <c r="M7202" s="308" t="s">
        <v>28226</v>
      </c>
      <c r="N7202" s="308"/>
      <c r="O7202" s="308"/>
      <c r="P7202" s="308" t="s">
        <v>29046</v>
      </c>
      <c r="Q7202" s="308" t="s">
        <v>39573</v>
      </c>
      <c r="R7202" s="308"/>
      <c r="S7202" s="308" t="s">
        <v>81</v>
      </c>
      <c r="T7202" s="308" t="s">
        <v>75</v>
      </c>
      <c r="U7202" s="308" t="s">
        <v>27</v>
      </c>
      <c r="V7202" s="308"/>
    </row>
    <row r="7203">
      <c r="A7203" s="308"/>
      <c r="B7203" s="308"/>
      <c r="C7203" s="308" t="s">
        <v>29068</v>
      </c>
      <c r="D7203" s="308">
        <f>IFERROR(__xludf.DUMMYFUNCTION("SPLIT(C7203,""-"")"),7223.0)</f>
        <v>7223</v>
      </c>
      <c r="E7203" s="308" t="str">
        <f>IFERROR(__xludf.DUMMYFUNCTION("""COMPUTED_VALUE"""),"B")</f>
        <v>B</v>
      </c>
      <c r="F7203" s="315" t="s">
        <v>26</v>
      </c>
      <c r="G7203" s="308"/>
      <c r="H7203" s="308" t="s">
        <v>29069</v>
      </c>
      <c r="I7203" s="310">
        <v>42820.0</v>
      </c>
      <c r="J7203" s="319">
        <f>IFERROR(__xludf.DUMMYFUNCTION("SPLIT(I7203,""/"")"),26.0)</f>
        <v>26</v>
      </c>
      <c r="K7203" s="308">
        <f>IFERROR(__xludf.DUMMYFUNCTION("""COMPUTED_VALUE"""),3.0)</f>
        <v>3</v>
      </c>
      <c r="L7203" s="308">
        <f>IFERROR(__xludf.DUMMYFUNCTION("""COMPUTED_VALUE"""),2017.0)</f>
        <v>2017</v>
      </c>
      <c r="M7203" s="308" t="s">
        <v>28226</v>
      </c>
      <c r="N7203" s="308"/>
      <c r="O7203" s="308"/>
      <c r="P7203" s="308" t="s">
        <v>29046</v>
      </c>
      <c r="Q7203" s="308" t="s">
        <v>39573</v>
      </c>
      <c r="R7203" s="308"/>
      <c r="S7203" s="308" t="s">
        <v>81</v>
      </c>
      <c r="T7203" s="308" t="s">
        <v>75</v>
      </c>
      <c r="U7203" s="308" t="s">
        <v>27</v>
      </c>
      <c r="V7203" s="308"/>
    </row>
    <row r="7204">
      <c r="A7204" s="308"/>
      <c r="B7204" s="308"/>
      <c r="C7204" s="308" t="s">
        <v>29070</v>
      </c>
      <c r="D7204" s="308">
        <f>IFERROR(__xludf.DUMMYFUNCTION("SPLIT(C7204,""-"")"),7224.0)</f>
        <v>7224</v>
      </c>
      <c r="E7204" s="308" t="str">
        <f>IFERROR(__xludf.DUMMYFUNCTION("""COMPUTED_VALUE"""),"B")</f>
        <v>B</v>
      </c>
      <c r="F7204" s="315" t="s">
        <v>26</v>
      </c>
      <c r="G7204" s="308"/>
      <c r="H7204" s="308" t="s">
        <v>29071</v>
      </c>
      <c r="I7204" s="310">
        <v>42820.0</v>
      </c>
      <c r="J7204" s="319">
        <f>IFERROR(__xludf.DUMMYFUNCTION("SPLIT(I7204,""/"")"),26.0)</f>
        <v>26</v>
      </c>
      <c r="K7204" s="308">
        <f>IFERROR(__xludf.DUMMYFUNCTION("""COMPUTED_VALUE"""),3.0)</f>
        <v>3</v>
      </c>
      <c r="L7204" s="308">
        <f>IFERROR(__xludf.DUMMYFUNCTION("""COMPUTED_VALUE"""),2017.0)</f>
        <v>2017</v>
      </c>
      <c r="M7204" s="308" t="s">
        <v>28226</v>
      </c>
      <c r="N7204" s="308"/>
      <c r="O7204" s="308"/>
      <c r="P7204" s="308" t="s">
        <v>39603</v>
      </c>
      <c r="Q7204" s="308" t="s">
        <v>39573</v>
      </c>
      <c r="R7204" s="308"/>
      <c r="S7204" s="308" t="s">
        <v>81</v>
      </c>
      <c r="T7204" s="308" t="s">
        <v>75</v>
      </c>
      <c r="U7204" s="308" t="s">
        <v>27</v>
      </c>
      <c r="V7204" s="308"/>
    </row>
    <row r="7205">
      <c r="A7205" s="308"/>
      <c r="B7205" s="308"/>
      <c r="C7205" s="308" t="s">
        <v>29073</v>
      </c>
      <c r="D7205" s="308">
        <f>IFERROR(__xludf.DUMMYFUNCTION("SPLIT(C7205,""-"")"),7225.0)</f>
        <v>7225</v>
      </c>
      <c r="E7205" s="308" t="str">
        <f>IFERROR(__xludf.DUMMYFUNCTION("""COMPUTED_VALUE"""),"B")</f>
        <v>B</v>
      </c>
      <c r="F7205" s="315" t="s">
        <v>26</v>
      </c>
      <c r="G7205" s="308"/>
      <c r="H7205" s="308" t="s">
        <v>29074</v>
      </c>
      <c r="I7205" s="310">
        <v>42820.0</v>
      </c>
      <c r="J7205" s="319">
        <f>IFERROR(__xludf.DUMMYFUNCTION("SPLIT(I7205,""/"")"),26.0)</f>
        <v>26</v>
      </c>
      <c r="K7205" s="308">
        <f>IFERROR(__xludf.DUMMYFUNCTION("""COMPUTED_VALUE"""),3.0)</f>
        <v>3</v>
      </c>
      <c r="L7205" s="308">
        <f>IFERROR(__xludf.DUMMYFUNCTION("""COMPUTED_VALUE"""),2017.0)</f>
        <v>2017</v>
      </c>
      <c r="M7205" s="308" t="s">
        <v>28226</v>
      </c>
      <c r="N7205" s="308"/>
      <c r="O7205" s="308"/>
      <c r="P7205" s="308" t="s">
        <v>39604</v>
      </c>
      <c r="Q7205" s="308" t="s">
        <v>39573</v>
      </c>
      <c r="R7205" s="308"/>
      <c r="S7205" s="308" t="s">
        <v>81</v>
      </c>
      <c r="T7205" s="308" t="s">
        <v>75</v>
      </c>
      <c r="U7205" s="308" t="s">
        <v>27</v>
      </c>
      <c r="V7205" s="308"/>
    </row>
    <row r="7206">
      <c r="A7206" s="308"/>
      <c r="B7206" s="308"/>
      <c r="C7206" s="308" t="s">
        <v>29076</v>
      </c>
      <c r="D7206" s="308">
        <f>IFERROR(__xludf.DUMMYFUNCTION("SPLIT(C7206,""-"")"),7226.0)</f>
        <v>7226</v>
      </c>
      <c r="E7206" s="308" t="str">
        <f>IFERROR(__xludf.DUMMYFUNCTION("""COMPUTED_VALUE"""),"B")</f>
        <v>B</v>
      </c>
      <c r="F7206" s="315" t="s">
        <v>26</v>
      </c>
      <c r="G7206" s="308"/>
      <c r="H7206" s="308" t="s">
        <v>29077</v>
      </c>
      <c r="I7206" s="310">
        <v>42820.0</v>
      </c>
      <c r="J7206" s="319">
        <f>IFERROR(__xludf.DUMMYFUNCTION("SPLIT(I7206,""/"")"),26.0)</f>
        <v>26</v>
      </c>
      <c r="K7206" s="308">
        <f>IFERROR(__xludf.DUMMYFUNCTION("""COMPUTED_VALUE"""),3.0)</f>
        <v>3</v>
      </c>
      <c r="L7206" s="308">
        <f>IFERROR(__xludf.DUMMYFUNCTION("""COMPUTED_VALUE"""),2017.0)</f>
        <v>2017</v>
      </c>
      <c r="M7206" s="308" t="s">
        <v>28226</v>
      </c>
      <c r="N7206" s="308"/>
      <c r="O7206" s="308"/>
      <c r="P7206" s="308" t="s">
        <v>29046</v>
      </c>
      <c r="Q7206" s="308" t="s">
        <v>39573</v>
      </c>
      <c r="R7206" s="308"/>
      <c r="S7206" s="308" t="s">
        <v>81</v>
      </c>
      <c r="T7206" s="308" t="s">
        <v>75</v>
      </c>
      <c r="U7206" s="308" t="s">
        <v>27</v>
      </c>
      <c r="V7206" s="308"/>
    </row>
    <row r="7207">
      <c r="A7207" s="308"/>
      <c r="B7207" s="308"/>
      <c r="C7207" s="308" t="s">
        <v>29078</v>
      </c>
      <c r="D7207" s="308">
        <f>IFERROR(__xludf.DUMMYFUNCTION("SPLIT(C7207,""-"")"),7227.0)</f>
        <v>7227</v>
      </c>
      <c r="E7207" s="308" t="str">
        <f>IFERROR(__xludf.DUMMYFUNCTION("""COMPUTED_VALUE"""),"B")</f>
        <v>B</v>
      </c>
      <c r="F7207" s="315" t="s">
        <v>26</v>
      </c>
      <c r="G7207" s="308"/>
      <c r="H7207" s="308" t="s">
        <v>29079</v>
      </c>
      <c r="I7207" s="310">
        <v>42824.0</v>
      </c>
      <c r="J7207" s="319">
        <f>IFERROR(__xludf.DUMMYFUNCTION("SPLIT(I7207,""/"")"),30.0)</f>
        <v>30</v>
      </c>
      <c r="K7207" s="308">
        <f>IFERROR(__xludf.DUMMYFUNCTION("""COMPUTED_VALUE"""),3.0)</f>
        <v>3</v>
      </c>
      <c r="L7207" s="308">
        <f>IFERROR(__xludf.DUMMYFUNCTION("""COMPUTED_VALUE"""),2017.0)</f>
        <v>2017</v>
      </c>
      <c r="M7207" s="308" t="s">
        <v>29080</v>
      </c>
      <c r="N7207" s="308"/>
      <c r="O7207" s="308"/>
      <c r="P7207" s="308" t="s">
        <v>29046</v>
      </c>
      <c r="Q7207" s="308" t="s">
        <v>39573</v>
      </c>
      <c r="R7207" s="308"/>
      <c r="S7207" s="308" t="s">
        <v>81</v>
      </c>
      <c r="T7207" s="308" t="s">
        <v>75</v>
      </c>
      <c r="U7207" s="308" t="s">
        <v>27</v>
      </c>
      <c r="V7207" s="308"/>
    </row>
    <row r="7208">
      <c r="A7208" s="308"/>
      <c r="B7208" s="308"/>
      <c r="C7208" s="308" t="s">
        <v>29081</v>
      </c>
      <c r="D7208" s="308">
        <f>IFERROR(__xludf.DUMMYFUNCTION("SPLIT(C7208,""-"")"),7228.0)</f>
        <v>7228</v>
      </c>
      <c r="E7208" s="308" t="str">
        <f>IFERROR(__xludf.DUMMYFUNCTION("""COMPUTED_VALUE"""),"B")</f>
        <v>B</v>
      </c>
      <c r="F7208" s="315" t="s">
        <v>26</v>
      </c>
      <c r="G7208" s="308"/>
      <c r="H7208" s="308" t="s">
        <v>29082</v>
      </c>
      <c r="I7208" s="310">
        <v>42824.0</v>
      </c>
      <c r="J7208" s="319">
        <f>IFERROR(__xludf.DUMMYFUNCTION("SPLIT(I7208,""/"")"),30.0)</f>
        <v>30</v>
      </c>
      <c r="K7208" s="308">
        <f>IFERROR(__xludf.DUMMYFUNCTION("""COMPUTED_VALUE"""),3.0)</f>
        <v>3</v>
      </c>
      <c r="L7208" s="308">
        <f>IFERROR(__xludf.DUMMYFUNCTION("""COMPUTED_VALUE"""),2017.0)</f>
        <v>2017</v>
      </c>
      <c r="M7208" s="308" t="s">
        <v>29080</v>
      </c>
      <c r="N7208" s="308"/>
      <c r="O7208" s="308"/>
      <c r="P7208" s="308" t="s">
        <v>29046</v>
      </c>
      <c r="Q7208" s="308" t="s">
        <v>39573</v>
      </c>
      <c r="R7208" s="308"/>
      <c r="S7208" s="308" t="s">
        <v>81</v>
      </c>
      <c r="T7208" s="308" t="s">
        <v>75</v>
      </c>
      <c r="U7208" s="308" t="s">
        <v>27</v>
      </c>
      <c r="V7208" s="308"/>
    </row>
    <row r="7209">
      <c r="A7209" s="308"/>
      <c r="B7209" s="308"/>
      <c r="C7209" s="308" t="s">
        <v>29083</v>
      </c>
      <c r="D7209" s="308">
        <f>IFERROR(__xludf.DUMMYFUNCTION("SPLIT(C7209,""-"")"),7229.0)</f>
        <v>7229</v>
      </c>
      <c r="E7209" s="308" t="str">
        <f>IFERROR(__xludf.DUMMYFUNCTION("""COMPUTED_VALUE"""),"B")</f>
        <v>B</v>
      </c>
      <c r="F7209" s="315" t="s">
        <v>26</v>
      </c>
      <c r="G7209" s="308"/>
      <c r="H7209" s="308" t="s">
        <v>29084</v>
      </c>
      <c r="I7209" s="310">
        <v>42822.0</v>
      </c>
      <c r="J7209" s="319">
        <f>IFERROR(__xludf.DUMMYFUNCTION("SPLIT(I7209,""/"")"),28.0)</f>
        <v>28</v>
      </c>
      <c r="K7209" s="308">
        <f>IFERROR(__xludf.DUMMYFUNCTION("""COMPUTED_VALUE"""),3.0)</f>
        <v>3</v>
      </c>
      <c r="L7209" s="308">
        <f>IFERROR(__xludf.DUMMYFUNCTION("""COMPUTED_VALUE"""),2017.0)</f>
        <v>2017</v>
      </c>
      <c r="M7209" s="308" t="s">
        <v>29055</v>
      </c>
      <c r="N7209" s="308"/>
      <c r="O7209" s="308"/>
      <c r="P7209" s="308" t="s">
        <v>29046</v>
      </c>
      <c r="Q7209" s="308" t="s">
        <v>39573</v>
      </c>
      <c r="R7209" s="308"/>
      <c r="S7209" s="308" t="s">
        <v>81</v>
      </c>
      <c r="T7209" s="308" t="s">
        <v>75</v>
      </c>
      <c r="U7209" s="308" t="s">
        <v>27</v>
      </c>
      <c r="V7209" s="308"/>
    </row>
    <row r="7210">
      <c r="A7210" s="308"/>
      <c r="B7210" s="308"/>
      <c r="C7210" s="308" t="s">
        <v>29085</v>
      </c>
      <c r="D7210" s="308">
        <f>IFERROR(__xludf.DUMMYFUNCTION("SPLIT(C7210,""-"")"),7230.0)</f>
        <v>7230</v>
      </c>
      <c r="E7210" s="308" t="str">
        <f>IFERROR(__xludf.DUMMYFUNCTION("""COMPUTED_VALUE"""),"B")</f>
        <v>B</v>
      </c>
      <c r="F7210" s="315" t="s">
        <v>26</v>
      </c>
      <c r="G7210" s="308"/>
      <c r="H7210" s="308" t="s">
        <v>29086</v>
      </c>
      <c r="I7210" s="310">
        <v>42822.0</v>
      </c>
      <c r="J7210" s="319">
        <f>IFERROR(__xludf.DUMMYFUNCTION("SPLIT(I7210,""/"")"),28.0)</f>
        <v>28</v>
      </c>
      <c r="K7210" s="308">
        <f>IFERROR(__xludf.DUMMYFUNCTION("""COMPUTED_VALUE"""),3.0)</f>
        <v>3</v>
      </c>
      <c r="L7210" s="308">
        <f>IFERROR(__xludf.DUMMYFUNCTION("""COMPUTED_VALUE"""),2017.0)</f>
        <v>2017</v>
      </c>
      <c r="M7210" s="308" t="s">
        <v>29087</v>
      </c>
      <c r="N7210" s="308"/>
      <c r="O7210" s="308"/>
      <c r="P7210" s="308" t="s">
        <v>39605</v>
      </c>
      <c r="Q7210" s="308" t="s">
        <v>39573</v>
      </c>
      <c r="R7210" s="308"/>
      <c r="S7210" s="308" t="s">
        <v>81</v>
      </c>
      <c r="T7210" s="308" t="s">
        <v>75</v>
      </c>
      <c r="U7210" s="308" t="s">
        <v>27</v>
      </c>
      <c r="V7210" s="308"/>
    </row>
    <row r="7211">
      <c r="A7211" s="308"/>
      <c r="B7211" s="308"/>
      <c r="C7211" s="308" t="s">
        <v>29089</v>
      </c>
      <c r="D7211" s="308">
        <f>IFERROR(__xludf.DUMMYFUNCTION("SPLIT(C7211,""-"")"),7231.0)</f>
        <v>7231</v>
      </c>
      <c r="E7211" s="308" t="str">
        <f>IFERROR(__xludf.DUMMYFUNCTION("""COMPUTED_VALUE"""),"B")</f>
        <v>B</v>
      </c>
      <c r="F7211" s="315" t="s">
        <v>26</v>
      </c>
      <c r="G7211" s="308"/>
      <c r="H7211" s="308" t="s">
        <v>39606</v>
      </c>
      <c r="I7211" s="310">
        <v>42798.0</v>
      </c>
      <c r="J7211" s="319">
        <f>IFERROR(__xludf.DUMMYFUNCTION("SPLIT(I7211,""/"")"),4.0)</f>
        <v>4</v>
      </c>
      <c r="K7211" s="308">
        <f>IFERROR(__xludf.DUMMYFUNCTION("""COMPUTED_VALUE"""),3.0)</f>
        <v>3</v>
      </c>
      <c r="L7211" s="308">
        <f>IFERROR(__xludf.DUMMYFUNCTION("""COMPUTED_VALUE"""),2017.0)</f>
        <v>2017</v>
      </c>
      <c r="M7211" s="308" t="s">
        <v>29091</v>
      </c>
      <c r="N7211" s="308"/>
      <c r="O7211" s="308"/>
      <c r="P7211" s="308" t="s">
        <v>29046</v>
      </c>
      <c r="Q7211" s="308" t="s">
        <v>39573</v>
      </c>
      <c r="R7211" s="308"/>
      <c r="S7211" s="308" t="s">
        <v>81</v>
      </c>
      <c r="T7211" s="308" t="s">
        <v>75</v>
      </c>
      <c r="U7211" s="308" t="s">
        <v>27</v>
      </c>
      <c r="V7211" s="308"/>
    </row>
    <row r="7212">
      <c r="A7212" s="308"/>
      <c r="B7212" s="308"/>
      <c r="C7212" s="308" t="s">
        <v>29092</v>
      </c>
      <c r="D7212" s="308">
        <f>IFERROR(__xludf.DUMMYFUNCTION("SPLIT(C7212,""-"")"),7232.0)</f>
        <v>7232</v>
      </c>
      <c r="E7212" s="308" t="str">
        <f>IFERROR(__xludf.DUMMYFUNCTION("""COMPUTED_VALUE"""),"B")</f>
        <v>B</v>
      </c>
      <c r="F7212" s="315" t="s">
        <v>26</v>
      </c>
      <c r="G7212" s="308"/>
      <c r="H7212" s="308" t="s">
        <v>29093</v>
      </c>
      <c r="I7212" s="310">
        <v>43012.0</v>
      </c>
      <c r="J7212" s="319">
        <f>IFERROR(__xludf.DUMMYFUNCTION("SPLIT(I7212,""/"")"),4.0)</f>
        <v>4</v>
      </c>
      <c r="K7212" s="308">
        <f>IFERROR(__xludf.DUMMYFUNCTION("""COMPUTED_VALUE"""),10.0)</f>
        <v>10</v>
      </c>
      <c r="L7212" s="308">
        <f>IFERROR(__xludf.DUMMYFUNCTION("""COMPUTED_VALUE"""),2017.0)</f>
        <v>2017</v>
      </c>
      <c r="M7212" s="308" t="s">
        <v>29094</v>
      </c>
      <c r="N7212" s="308"/>
      <c r="O7212" s="308"/>
      <c r="P7212" s="308" t="s">
        <v>136</v>
      </c>
      <c r="Q7212" s="308" t="s">
        <v>39573</v>
      </c>
      <c r="R7212" s="308"/>
      <c r="S7212" s="315" t="s">
        <v>100</v>
      </c>
      <c r="T7212" s="308" t="s">
        <v>34208</v>
      </c>
      <c r="U7212" s="308" t="s">
        <v>27</v>
      </c>
      <c r="V7212" s="308"/>
    </row>
    <row r="7213">
      <c r="A7213" s="308"/>
      <c r="B7213" s="308"/>
      <c r="C7213" s="308" t="s">
        <v>29095</v>
      </c>
      <c r="D7213" s="308">
        <f>IFERROR(__xludf.DUMMYFUNCTION("SPLIT(C7213,""-"")"),7233.0)</f>
        <v>7233</v>
      </c>
      <c r="E7213" s="308" t="str">
        <f>IFERROR(__xludf.DUMMYFUNCTION("""COMPUTED_VALUE"""),"B")</f>
        <v>B</v>
      </c>
      <c r="F7213" s="315" t="s">
        <v>26</v>
      </c>
      <c r="G7213" s="308"/>
      <c r="H7213" s="308" t="s">
        <v>29096</v>
      </c>
      <c r="I7213" s="310">
        <v>43012.0</v>
      </c>
      <c r="J7213" s="319">
        <f>IFERROR(__xludf.DUMMYFUNCTION("SPLIT(I7213,""/"")"),4.0)</f>
        <v>4</v>
      </c>
      <c r="K7213" s="308">
        <f>IFERROR(__xludf.DUMMYFUNCTION("""COMPUTED_VALUE"""),10.0)</f>
        <v>10</v>
      </c>
      <c r="L7213" s="308">
        <f>IFERROR(__xludf.DUMMYFUNCTION("""COMPUTED_VALUE"""),2017.0)</f>
        <v>2017</v>
      </c>
      <c r="M7213" s="308" t="s">
        <v>28425</v>
      </c>
      <c r="N7213" s="308"/>
      <c r="O7213" s="308"/>
      <c r="P7213" s="308" t="s">
        <v>136</v>
      </c>
      <c r="Q7213" s="308" t="s">
        <v>39573</v>
      </c>
      <c r="R7213" s="308"/>
      <c r="S7213" s="315" t="s">
        <v>100</v>
      </c>
      <c r="T7213" s="308" t="s">
        <v>34208</v>
      </c>
      <c r="U7213" s="308" t="s">
        <v>27</v>
      </c>
      <c r="V7213" s="308"/>
    </row>
    <row r="7214">
      <c r="A7214" s="308"/>
      <c r="B7214" s="308"/>
      <c r="C7214" s="308" t="s">
        <v>29097</v>
      </c>
      <c r="D7214" s="308">
        <f>IFERROR(__xludf.DUMMYFUNCTION("SPLIT(C7214,""-"")"),7234.0)</f>
        <v>7234</v>
      </c>
      <c r="E7214" s="308" t="str">
        <f>IFERROR(__xludf.DUMMYFUNCTION("""COMPUTED_VALUE"""),"B")</f>
        <v>B</v>
      </c>
      <c r="F7214" s="315" t="s">
        <v>26</v>
      </c>
      <c r="G7214" s="308"/>
      <c r="H7214" s="308" t="s">
        <v>29098</v>
      </c>
      <c r="I7214" s="310">
        <v>43012.0</v>
      </c>
      <c r="J7214" s="319">
        <f>IFERROR(__xludf.DUMMYFUNCTION("SPLIT(I7214,""/"")"),4.0)</f>
        <v>4</v>
      </c>
      <c r="K7214" s="308">
        <f>IFERROR(__xludf.DUMMYFUNCTION("""COMPUTED_VALUE"""),10.0)</f>
        <v>10</v>
      </c>
      <c r="L7214" s="308">
        <f>IFERROR(__xludf.DUMMYFUNCTION("""COMPUTED_VALUE"""),2017.0)</f>
        <v>2017</v>
      </c>
      <c r="M7214" s="308" t="s">
        <v>28425</v>
      </c>
      <c r="N7214" s="308"/>
      <c r="O7214" s="308"/>
      <c r="P7214" s="308" t="s">
        <v>29046</v>
      </c>
      <c r="Q7214" s="308" t="s">
        <v>39573</v>
      </c>
      <c r="R7214" s="308"/>
      <c r="S7214" s="308" t="s">
        <v>81</v>
      </c>
      <c r="T7214" s="308" t="s">
        <v>75</v>
      </c>
      <c r="U7214" s="308" t="s">
        <v>27</v>
      </c>
      <c r="V7214" s="308"/>
    </row>
    <row r="7215">
      <c r="A7215" s="308"/>
      <c r="B7215" s="308"/>
      <c r="C7215" s="308" t="s">
        <v>29099</v>
      </c>
      <c r="D7215" s="308">
        <f>IFERROR(__xludf.DUMMYFUNCTION("SPLIT(C7215,""-"")"),7235.0)</f>
        <v>7235</v>
      </c>
      <c r="E7215" s="308" t="str">
        <f>IFERROR(__xludf.DUMMYFUNCTION("""COMPUTED_VALUE"""),"B")</f>
        <v>B</v>
      </c>
      <c r="F7215" s="315" t="s">
        <v>26</v>
      </c>
      <c r="G7215" s="308"/>
      <c r="H7215" s="308" t="s">
        <v>29100</v>
      </c>
      <c r="I7215" s="310">
        <v>43012.0</v>
      </c>
      <c r="J7215" s="319">
        <f>IFERROR(__xludf.DUMMYFUNCTION("SPLIT(I7215,""/"")"),4.0)</f>
        <v>4</v>
      </c>
      <c r="K7215" s="308">
        <f>IFERROR(__xludf.DUMMYFUNCTION("""COMPUTED_VALUE"""),10.0)</f>
        <v>10</v>
      </c>
      <c r="L7215" s="308">
        <f>IFERROR(__xludf.DUMMYFUNCTION("""COMPUTED_VALUE"""),2017.0)</f>
        <v>2017</v>
      </c>
      <c r="M7215" s="308" t="s">
        <v>28425</v>
      </c>
      <c r="N7215" s="308"/>
      <c r="O7215" s="308"/>
      <c r="P7215" s="308" t="s">
        <v>29046</v>
      </c>
      <c r="Q7215" s="308" t="s">
        <v>39573</v>
      </c>
      <c r="R7215" s="308"/>
      <c r="S7215" s="308" t="s">
        <v>81</v>
      </c>
      <c r="T7215" s="308" t="s">
        <v>75</v>
      </c>
      <c r="U7215" s="308" t="s">
        <v>27</v>
      </c>
      <c r="V7215" s="308"/>
    </row>
    <row r="7216">
      <c r="A7216" s="308"/>
      <c r="B7216" s="308"/>
      <c r="C7216" s="308" t="s">
        <v>29101</v>
      </c>
      <c r="D7216" s="308">
        <f>IFERROR(__xludf.DUMMYFUNCTION("SPLIT(C7216,""-"")"),7236.0)</f>
        <v>7236</v>
      </c>
      <c r="E7216" s="308" t="str">
        <f>IFERROR(__xludf.DUMMYFUNCTION("""COMPUTED_VALUE"""),"B")</f>
        <v>B</v>
      </c>
      <c r="F7216" s="315" t="s">
        <v>26</v>
      </c>
      <c r="G7216" s="308"/>
      <c r="H7216" s="308" t="s">
        <v>29102</v>
      </c>
      <c r="I7216" s="310">
        <v>43012.0</v>
      </c>
      <c r="J7216" s="319">
        <f>IFERROR(__xludf.DUMMYFUNCTION("SPLIT(I7216,""/"")"),4.0)</f>
        <v>4</v>
      </c>
      <c r="K7216" s="308">
        <f>IFERROR(__xludf.DUMMYFUNCTION("""COMPUTED_VALUE"""),10.0)</f>
        <v>10</v>
      </c>
      <c r="L7216" s="308">
        <f>IFERROR(__xludf.DUMMYFUNCTION("""COMPUTED_VALUE"""),2017.0)</f>
        <v>2017</v>
      </c>
      <c r="M7216" s="308" t="s">
        <v>28425</v>
      </c>
      <c r="N7216" s="308"/>
      <c r="O7216" s="308"/>
      <c r="P7216" s="308" t="s">
        <v>29046</v>
      </c>
      <c r="Q7216" s="308" t="s">
        <v>39573</v>
      </c>
      <c r="R7216" s="308"/>
      <c r="S7216" s="308" t="s">
        <v>81</v>
      </c>
      <c r="T7216" s="308" t="s">
        <v>75</v>
      </c>
      <c r="U7216" s="308" t="s">
        <v>27</v>
      </c>
      <c r="V7216" s="308"/>
    </row>
    <row r="7217">
      <c r="A7217" s="308"/>
      <c r="B7217" s="308"/>
      <c r="C7217" s="308" t="s">
        <v>29103</v>
      </c>
      <c r="D7217" s="308">
        <f>IFERROR(__xludf.DUMMYFUNCTION("SPLIT(C7217,""-"")"),7237.0)</f>
        <v>7237</v>
      </c>
      <c r="E7217" s="308" t="str">
        <f>IFERROR(__xludf.DUMMYFUNCTION("""COMPUTED_VALUE"""),"B")</f>
        <v>B</v>
      </c>
      <c r="F7217" s="315" t="s">
        <v>26</v>
      </c>
      <c r="G7217" s="308"/>
      <c r="H7217" s="308" t="s">
        <v>29104</v>
      </c>
      <c r="I7217" s="310">
        <v>43012.0</v>
      </c>
      <c r="J7217" s="319">
        <f>IFERROR(__xludf.DUMMYFUNCTION("SPLIT(I7217,""/"")"),4.0)</f>
        <v>4</v>
      </c>
      <c r="K7217" s="308">
        <f>IFERROR(__xludf.DUMMYFUNCTION("""COMPUTED_VALUE"""),10.0)</f>
        <v>10</v>
      </c>
      <c r="L7217" s="308">
        <f>IFERROR(__xludf.DUMMYFUNCTION("""COMPUTED_VALUE"""),2017.0)</f>
        <v>2017</v>
      </c>
      <c r="M7217" s="308" t="s">
        <v>28425</v>
      </c>
      <c r="N7217" s="308"/>
      <c r="O7217" s="308"/>
      <c r="P7217" s="308" t="s">
        <v>29046</v>
      </c>
      <c r="Q7217" s="308" t="s">
        <v>39573</v>
      </c>
      <c r="R7217" s="308"/>
      <c r="S7217" s="308" t="s">
        <v>81</v>
      </c>
      <c r="T7217" s="308" t="s">
        <v>75</v>
      </c>
      <c r="U7217" s="308" t="s">
        <v>27</v>
      </c>
      <c r="V7217" s="308"/>
    </row>
    <row r="7218">
      <c r="A7218" s="308"/>
      <c r="B7218" s="308"/>
      <c r="C7218" s="308" t="s">
        <v>29105</v>
      </c>
      <c r="D7218" s="308">
        <f>IFERROR(__xludf.DUMMYFUNCTION("SPLIT(C7218,""-"")"),7238.0)</f>
        <v>7238</v>
      </c>
      <c r="E7218" s="308" t="str">
        <f>IFERROR(__xludf.DUMMYFUNCTION("""COMPUTED_VALUE"""),"B")</f>
        <v>B</v>
      </c>
      <c r="F7218" s="315" t="s">
        <v>26</v>
      </c>
      <c r="G7218" s="308"/>
      <c r="H7218" s="308" t="s">
        <v>29106</v>
      </c>
      <c r="I7218" s="310">
        <v>42920.0</v>
      </c>
      <c r="J7218" s="319">
        <f>IFERROR(__xludf.DUMMYFUNCTION("SPLIT(I7218,""/"")"),4.0)</f>
        <v>4</v>
      </c>
      <c r="K7218" s="308">
        <f>IFERROR(__xludf.DUMMYFUNCTION("""COMPUTED_VALUE"""),7.0)</f>
        <v>7</v>
      </c>
      <c r="L7218" s="308">
        <f>IFERROR(__xludf.DUMMYFUNCTION("""COMPUTED_VALUE"""),2017.0)</f>
        <v>2017</v>
      </c>
      <c r="M7218" s="308" t="s">
        <v>28924</v>
      </c>
      <c r="N7218" s="308"/>
      <c r="O7218" s="308"/>
      <c r="P7218" s="308" t="s">
        <v>28792</v>
      </c>
      <c r="Q7218" s="308" t="s">
        <v>39573</v>
      </c>
      <c r="R7218" s="308"/>
      <c r="S7218" s="308" t="s">
        <v>81</v>
      </c>
      <c r="T7218" s="308" t="s">
        <v>75</v>
      </c>
      <c r="U7218" s="308" t="s">
        <v>27</v>
      </c>
      <c r="V7218" s="308"/>
    </row>
    <row r="7219">
      <c r="A7219" s="308"/>
      <c r="B7219" s="308"/>
      <c r="C7219" s="308" t="s">
        <v>29107</v>
      </c>
      <c r="D7219" s="308">
        <f>IFERROR(__xludf.DUMMYFUNCTION("SPLIT(C7219,""-"")"),7239.0)</f>
        <v>7239</v>
      </c>
      <c r="E7219" s="308" t="str">
        <f>IFERROR(__xludf.DUMMYFUNCTION("""COMPUTED_VALUE"""),"B")</f>
        <v>B</v>
      </c>
      <c r="F7219" s="315" t="s">
        <v>26</v>
      </c>
      <c r="G7219" s="308"/>
      <c r="H7219" s="308" t="s">
        <v>29108</v>
      </c>
      <c r="I7219" s="310">
        <v>42920.0</v>
      </c>
      <c r="J7219" s="319">
        <f>IFERROR(__xludf.DUMMYFUNCTION("SPLIT(I7219,""/"")"),4.0)</f>
        <v>4</v>
      </c>
      <c r="K7219" s="308">
        <f>IFERROR(__xludf.DUMMYFUNCTION("""COMPUTED_VALUE"""),7.0)</f>
        <v>7</v>
      </c>
      <c r="L7219" s="308">
        <f>IFERROR(__xludf.DUMMYFUNCTION("""COMPUTED_VALUE"""),2017.0)</f>
        <v>2017</v>
      </c>
      <c r="M7219" s="308" t="s">
        <v>28924</v>
      </c>
      <c r="N7219" s="308"/>
      <c r="O7219" s="308"/>
      <c r="P7219" s="308" t="s">
        <v>136</v>
      </c>
      <c r="Q7219" s="308" t="s">
        <v>39573</v>
      </c>
      <c r="R7219" s="308"/>
      <c r="S7219" s="315" t="s">
        <v>100</v>
      </c>
      <c r="T7219" s="308" t="s">
        <v>34208</v>
      </c>
      <c r="U7219" s="308" t="s">
        <v>27</v>
      </c>
      <c r="V7219" s="308"/>
    </row>
    <row r="7220">
      <c r="A7220" s="308"/>
      <c r="B7220" s="308"/>
      <c r="C7220" s="308" t="s">
        <v>29109</v>
      </c>
      <c r="D7220" s="308">
        <f>IFERROR(__xludf.DUMMYFUNCTION("SPLIT(C7220,""-"")"),7240.0)</f>
        <v>7240</v>
      </c>
      <c r="E7220" s="308" t="str">
        <f>IFERROR(__xludf.DUMMYFUNCTION("""COMPUTED_VALUE"""),"B")</f>
        <v>B</v>
      </c>
      <c r="F7220" s="315" t="s">
        <v>26</v>
      </c>
      <c r="G7220" s="308"/>
      <c r="H7220" s="308" t="s">
        <v>29110</v>
      </c>
      <c r="I7220" s="310">
        <v>42843.0</v>
      </c>
      <c r="J7220" s="319">
        <f>IFERROR(__xludf.DUMMYFUNCTION("SPLIT(I7220,""/"")"),18.0)</f>
        <v>18</v>
      </c>
      <c r="K7220" s="308">
        <f>IFERROR(__xludf.DUMMYFUNCTION("""COMPUTED_VALUE"""),4.0)</f>
        <v>4</v>
      </c>
      <c r="L7220" s="308">
        <f>IFERROR(__xludf.DUMMYFUNCTION("""COMPUTED_VALUE"""),2017.0)</f>
        <v>2017</v>
      </c>
      <c r="M7220" s="308" t="s">
        <v>29111</v>
      </c>
      <c r="N7220" s="308"/>
      <c r="O7220" s="308"/>
      <c r="P7220" s="308" t="s">
        <v>29046</v>
      </c>
      <c r="Q7220" s="308" t="s">
        <v>39573</v>
      </c>
      <c r="R7220" s="308"/>
      <c r="S7220" s="308" t="s">
        <v>81</v>
      </c>
      <c r="T7220" s="308" t="s">
        <v>75</v>
      </c>
      <c r="U7220" s="308" t="s">
        <v>27</v>
      </c>
      <c r="V7220" s="308"/>
    </row>
    <row r="7221">
      <c r="A7221" s="308"/>
      <c r="B7221" s="308"/>
      <c r="C7221" s="308" t="s">
        <v>29112</v>
      </c>
      <c r="D7221" s="308">
        <f>IFERROR(__xludf.DUMMYFUNCTION("SPLIT(C7221,""-"")"),7241.0)</f>
        <v>7241</v>
      </c>
      <c r="E7221" s="308" t="str">
        <f>IFERROR(__xludf.DUMMYFUNCTION("""COMPUTED_VALUE"""),"B")</f>
        <v>B</v>
      </c>
      <c r="F7221" s="315" t="s">
        <v>26</v>
      </c>
      <c r="G7221" s="308"/>
      <c r="H7221" s="308" t="s">
        <v>29113</v>
      </c>
      <c r="I7221" s="310">
        <v>42843.0</v>
      </c>
      <c r="J7221" s="319">
        <f>IFERROR(__xludf.DUMMYFUNCTION("SPLIT(I7221,""/"")"),18.0)</f>
        <v>18</v>
      </c>
      <c r="K7221" s="308">
        <f>IFERROR(__xludf.DUMMYFUNCTION("""COMPUTED_VALUE"""),4.0)</f>
        <v>4</v>
      </c>
      <c r="L7221" s="308">
        <f>IFERROR(__xludf.DUMMYFUNCTION("""COMPUTED_VALUE"""),2017.0)</f>
        <v>2017</v>
      </c>
      <c r="M7221" s="308" t="s">
        <v>29111</v>
      </c>
      <c r="N7221" s="308"/>
      <c r="O7221" s="308"/>
      <c r="P7221" s="308" t="s">
        <v>29046</v>
      </c>
      <c r="Q7221" s="308" t="s">
        <v>39573</v>
      </c>
      <c r="R7221" s="308"/>
      <c r="S7221" s="308" t="s">
        <v>81</v>
      </c>
      <c r="T7221" s="308" t="s">
        <v>75</v>
      </c>
      <c r="U7221" s="308" t="s">
        <v>27</v>
      </c>
      <c r="V7221" s="308"/>
    </row>
    <row r="7222">
      <c r="A7222" s="308"/>
      <c r="B7222" s="308"/>
      <c r="C7222" s="308" t="s">
        <v>29114</v>
      </c>
      <c r="D7222" s="308">
        <f>IFERROR(__xludf.DUMMYFUNCTION("SPLIT(C7222,""-"")"),7242.0)</f>
        <v>7242</v>
      </c>
      <c r="E7222" s="308" t="str">
        <f>IFERROR(__xludf.DUMMYFUNCTION("""COMPUTED_VALUE"""),"B")</f>
        <v>B</v>
      </c>
      <c r="F7222" s="315" t="s">
        <v>26</v>
      </c>
      <c r="G7222" s="308"/>
      <c r="H7222" s="308" t="s">
        <v>29115</v>
      </c>
      <c r="I7222" s="316" t="s">
        <v>29116</v>
      </c>
      <c r="J7222" s="319">
        <f>IFERROR(__xludf.DUMMYFUNCTION("SPLIT(I7222,""/"")"),170.0)</f>
        <v>170</v>
      </c>
      <c r="K7222" s="308">
        <f>IFERROR(__xludf.DUMMYFUNCTION("""COMPUTED_VALUE"""),4.0)</f>
        <v>4</v>
      </c>
      <c r="L7222" s="308">
        <f>IFERROR(__xludf.DUMMYFUNCTION("""COMPUTED_VALUE"""),2017.0)</f>
        <v>2017</v>
      </c>
      <c r="M7222" s="308" t="s">
        <v>29091</v>
      </c>
      <c r="N7222" s="308"/>
      <c r="O7222" s="308"/>
      <c r="P7222" s="308" t="s">
        <v>29046</v>
      </c>
      <c r="Q7222" s="308" t="s">
        <v>39573</v>
      </c>
      <c r="R7222" s="308"/>
      <c r="S7222" s="308" t="s">
        <v>81</v>
      </c>
      <c r="T7222" s="308" t="s">
        <v>75</v>
      </c>
      <c r="U7222" s="308" t="s">
        <v>27</v>
      </c>
      <c r="V7222" s="308"/>
    </row>
    <row r="7223">
      <c r="A7223" s="308"/>
      <c r="B7223" s="308"/>
      <c r="C7223" s="308" t="s">
        <v>29117</v>
      </c>
      <c r="D7223" s="308">
        <f>IFERROR(__xludf.DUMMYFUNCTION("SPLIT(C7223,""-"")"),7243.0)</f>
        <v>7243</v>
      </c>
      <c r="E7223" s="308" t="str">
        <f>IFERROR(__xludf.DUMMYFUNCTION("""COMPUTED_VALUE"""),"B")</f>
        <v>B</v>
      </c>
      <c r="F7223" s="315" t="s">
        <v>26</v>
      </c>
      <c r="G7223" s="308"/>
      <c r="H7223" s="308" t="s">
        <v>29118</v>
      </c>
      <c r="I7223" s="310">
        <v>42840.0</v>
      </c>
      <c r="J7223" s="319">
        <f>IFERROR(__xludf.DUMMYFUNCTION("SPLIT(I7223,""/"")"),15.0)</f>
        <v>15</v>
      </c>
      <c r="K7223" s="308">
        <f>IFERROR(__xludf.DUMMYFUNCTION("""COMPUTED_VALUE"""),4.0)</f>
        <v>4</v>
      </c>
      <c r="L7223" s="308">
        <f>IFERROR(__xludf.DUMMYFUNCTION("""COMPUTED_VALUE"""),2017.0)</f>
        <v>2017</v>
      </c>
      <c r="M7223" s="308" t="s">
        <v>29119</v>
      </c>
      <c r="N7223" s="308"/>
      <c r="O7223" s="308"/>
      <c r="P7223" s="308" t="s">
        <v>29046</v>
      </c>
      <c r="Q7223" s="308" t="s">
        <v>39573</v>
      </c>
      <c r="R7223" s="308"/>
      <c r="S7223" s="308" t="s">
        <v>81</v>
      </c>
      <c r="T7223" s="308" t="s">
        <v>75</v>
      </c>
      <c r="U7223" s="308" t="s">
        <v>27</v>
      </c>
      <c r="V7223" s="308"/>
    </row>
    <row r="7224">
      <c r="A7224" s="308"/>
      <c r="B7224" s="308"/>
      <c r="C7224" s="308" t="s">
        <v>29120</v>
      </c>
      <c r="D7224" s="308">
        <f>IFERROR(__xludf.DUMMYFUNCTION("SPLIT(C7224,""-"")"),7244.0)</f>
        <v>7244</v>
      </c>
      <c r="E7224" s="308" t="str">
        <f>IFERROR(__xludf.DUMMYFUNCTION("""COMPUTED_VALUE"""),"B")</f>
        <v>B</v>
      </c>
      <c r="F7224" s="315" t="s">
        <v>26</v>
      </c>
      <c r="G7224" s="308"/>
      <c r="H7224" s="308" t="s">
        <v>29121</v>
      </c>
      <c r="I7224" s="310">
        <v>42838.0</v>
      </c>
      <c r="J7224" s="319">
        <f>IFERROR(__xludf.DUMMYFUNCTION("SPLIT(I7224,""/"")"),13.0)</f>
        <v>13</v>
      </c>
      <c r="K7224" s="308">
        <f>IFERROR(__xludf.DUMMYFUNCTION("""COMPUTED_VALUE"""),4.0)</f>
        <v>4</v>
      </c>
      <c r="L7224" s="308">
        <f>IFERROR(__xludf.DUMMYFUNCTION("""COMPUTED_VALUE"""),2017.0)</f>
        <v>2017</v>
      </c>
      <c r="M7224" s="308" t="s">
        <v>29122</v>
      </c>
      <c r="N7224" s="308"/>
      <c r="O7224" s="308"/>
      <c r="P7224" s="308" t="s">
        <v>29046</v>
      </c>
      <c r="Q7224" s="308" t="s">
        <v>39573</v>
      </c>
      <c r="R7224" s="308"/>
      <c r="S7224" s="308" t="s">
        <v>81</v>
      </c>
      <c r="T7224" s="308" t="s">
        <v>75</v>
      </c>
      <c r="U7224" s="308" t="s">
        <v>27</v>
      </c>
      <c r="V7224" s="308"/>
    </row>
    <row r="7225">
      <c r="A7225" s="308"/>
      <c r="B7225" s="308"/>
      <c r="C7225" s="308" t="s">
        <v>29123</v>
      </c>
      <c r="D7225" s="308">
        <f>IFERROR(__xludf.DUMMYFUNCTION("SPLIT(C7225,""-"")"),7245.0)</f>
        <v>7245</v>
      </c>
      <c r="E7225" s="308" t="str">
        <f>IFERROR(__xludf.DUMMYFUNCTION("""COMPUTED_VALUE"""),"B")</f>
        <v>B</v>
      </c>
      <c r="F7225" s="315" t="s">
        <v>26</v>
      </c>
      <c r="G7225" s="308"/>
      <c r="H7225" s="308" t="s">
        <v>29124</v>
      </c>
      <c r="I7225" s="310">
        <v>42838.0</v>
      </c>
      <c r="J7225" s="319">
        <f>IFERROR(__xludf.DUMMYFUNCTION("SPLIT(I7225,""/"")"),13.0)</f>
        <v>13</v>
      </c>
      <c r="K7225" s="308">
        <f>IFERROR(__xludf.DUMMYFUNCTION("""COMPUTED_VALUE"""),4.0)</f>
        <v>4</v>
      </c>
      <c r="L7225" s="308">
        <f>IFERROR(__xludf.DUMMYFUNCTION("""COMPUTED_VALUE"""),2017.0)</f>
        <v>2017</v>
      </c>
      <c r="M7225" s="308" t="s">
        <v>29125</v>
      </c>
      <c r="N7225" s="308"/>
      <c r="O7225" s="308"/>
      <c r="P7225" s="308" t="s">
        <v>136</v>
      </c>
      <c r="Q7225" s="308" t="s">
        <v>39573</v>
      </c>
      <c r="R7225" s="308"/>
      <c r="S7225" s="315" t="s">
        <v>100</v>
      </c>
      <c r="T7225" s="308" t="s">
        <v>34208</v>
      </c>
      <c r="U7225" s="308" t="s">
        <v>27</v>
      </c>
      <c r="V7225" s="308"/>
    </row>
    <row r="7226">
      <c r="A7226" s="308"/>
      <c r="B7226" s="308"/>
      <c r="C7226" s="308" t="s">
        <v>29126</v>
      </c>
      <c r="D7226" s="308">
        <f>IFERROR(__xludf.DUMMYFUNCTION("SPLIT(C7226,""-"")"),7246.0)</f>
        <v>7246</v>
      </c>
      <c r="E7226" s="308" t="str">
        <f>IFERROR(__xludf.DUMMYFUNCTION("""COMPUTED_VALUE"""),"B")</f>
        <v>B</v>
      </c>
      <c r="F7226" s="315" t="s">
        <v>26</v>
      </c>
      <c r="G7226" s="308"/>
      <c r="H7226" s="308" t="s">
        <v>29127</v>
      </c>
      <c r="I7226" s="310">
        <v>43043.0</v>
      </c>
      <c r="J7226" s="319">
        <f>IFERROR(__xludf.DUMMYFUNCTION("SPLIT(I7226,""/"")"),4.0)</f>
        <v>4</v>
      </c>
      <c r="K7226" s="308">
        <f>IFERROR(__xludf.DUMMYFUNCTION("""COMPUTED_VALUE"""),11.0)</f>
        <v>11</v>
      </c>
      <c r="L7226" s="308">
        <f>IFERROR(__xludf.DUMMYFUNCTION("""COMPUTED_VALUE"""),2017.0)</f>
        <v>2017</v>
      </c>
      <c r="M7226" s="308" t="s">
        <v>29128</v>
      </c>
      <c r="N7226" s="308"/>
      <c r="O7226" s="308"/>
      <c r="P7226" s="308" t="s">
        <v>136</v>
      </c>
      <c r="Q7226" s="308" t="s">
        <v>39573</v>
      </c>
      <c r="R7226" s="308"/>
      <c r="S7226" s="315" t="s">
        <v>100</v>
      </c>
      <c r="T7226" s="308" t="s">
        <v>34208</v>
      </c>
      <c r="U7226" s="308" t="s">
        <v>27</v>
      </c>
      <c r="V7226" s="308"/>
    </row>
    <row r="7227">
      <c r="A7227" s="308"/>
      <c r="B7227" s="308"/>
      <c r="C7227" s="308" t="s">
        <v>29129</v>
      </c>
      <c r="D7227" s="308">
        <f>IFERROR(__xludf.DUMMYFUNCTION("SPLIT(C7227,""-"")"),7247.0)</f>
        <v>7247</v>
      </c>
      <c r="E7227" s="308" t="str">
        <f>IFERROR(__xludf.DUMMYFUNCTION("""COMPUTED_VALUE"""),"B")</f>
        <v>B</v>
      </c>
      <c r="F7227" s="315" t="s">
        <v>26</v>
      </c>
      <c r="G7227" s="308"/>
      <c r="H7227" s="308" t="s">
        <v>29130</v>
      </c>
      <c r="I7227" s="310">
        <v>42836.0</v>
      </c>
      <c r="J7227" s="319">
        <f>IFERROR(__xludf.DUMMYFUNCTION("SPLIT(I7227,""/"")"),11.0)</f>
        <v>11</v>
      </c>
      <c r="K7227" s="308">
        <f>IFERROR(__xludf.DUMMYFUNCTION("""COMPUTED_VALUE"""),4.0)</f>
        <v>4</v>
      </c>
      <c r="L7227" s="308">
        <f>IFERROR(__xludf.DUMMYFUNCTION("""COMPUTED_VALUE"""),2017.0)</f>
        <v>2017</v>
      </c>
      <c r="M7227" s="308" t="s">
        <v>29128</v>
      </c>
      <c r="N7227" s="308"/>
      <c r="O7227" s="308"/>
      <c r="P7227" s="308" t="s">
        <v>136</v>
      </c>
      <c r="Q7227" s="308" t="s">
        <v>39573</v>
      </c>
      <c r="R7227" s="308"/>
      <c r="S7227" s="315" t="s">
        <v>100</v>
      </c>
      <c r="T7227" s="308" t="s">
        <v>34208</v>
      </c>
      <c r="U7227" s="308" t="s">
        <v>27</v>
      </c>
      <c r="V7227" s="308"/>
    </row>
    <row r="7228">
      <c r="A7228" s="308"/>
      <c r="B7228" s="308"/>
      <c r="C7228" s="308" t="s">
        <v>29131</v>
      </c>
      <c r="D7228" s="308">
        <f>IFERROR(__xludf.DUMMYFUNCTION("SPLIT(C7228,""-"")"),7248.0)</f>
        <v>7248</v>
      </c>
      <c r="E7228" s="308" t="str">
        <f>IFERROR(__xludf.DUMMYFUNCTION("""COMPUTED_VALUE"""),"B")</f>
        <v>B</v>
      </c>
      <c r="F7228" s="315" t="s">
        <v>26</v>
      </c>
      <c r="G7228" s="308"/>
      <c r="H7228" s="308" t="s">
        <v>29132</v>
      </c>
      <c r="I7228" s="310">
        <v>43045.0</v>
      </c>
      <c r="J7228" s="319">
        <f>IFERROR(__xludf.DUMMYFUNCTION("SPLIT(I7228,""/"")"),6.0)</f>
        <v>6</v>
      </c>
      <c r="K7228" s="308">
        <f>IFERROR(__xludf.DUMMYFUNCTION("""COMPUTED_VALUE"""),11.0)</f>
        <v>11</v>
      </c>
      <c r="L7228" s="308">
        <f>IFERROR(__xludf.DUMMYFUNCTION("""COMPUTED_VALUE"""),2017.0)</f>
        <v>2017</v>
      </c>
      <c r="M7228" s="308" t="s">
        <v>28888</v>
      </c>
      <c r="N7228" s="308"/>
      <c r="O7228" s="308"/>
      <c r="P7228" s="308" t="s">
        <v>39607</v>
      </c>
      <c r="Q7228" s="308" t="s">
        <v>39573</v>
      </c>
      <c r="R7228" s="308"/>
      <c r="S7228" s="308" t="s">
        <v>81</v>
      </c>
      <c r="T7228" s="308" t="s">
        <v>75</v>
      </c>
      <c r="U7228" s="308" t="s">
        <v>27</v>
      </c>
      <c r="V7228" s="308"/>
    </row>
    <row r="7229">
      <c r="A7229" s="308"/>
      <c r="B7229" s="308"/>
      <c r="C7229" s="308" t="s">
        <v>29134</v>
      </c>
      <c r="D7229" s="308">
        <f>IFERROR(__xludf.DUMMYFUNCTION("SPLIT(C7229,""-"")"),7249.0)</f>
        <v>7249</v>
      </c>
      <c r="E7229" s="308" t="str">
        <f>IFERROR(__xludf.DUMMYFUNCTION("""COMPUTED_VALUE"""),"B")</f>
        <v>B</v>
      </c>
      <c r="F7229" s="315" t="s">
        <v>26</v>
      </c>
      <c r="G7229" s="308"/>
      <c r="H7229" s="308" t="s">
        <v>29135</v>
      </c>
      <c r="I7229" s="310">
        <v>43045.0</v>
      </c>
      <c r="J7229" s="319">
        <f>IFERROR(__xludf.DUMMYFUNCTION("SPLIT(I7229,""/"")"),6.0)</f>
        <v>6</v>
      </c>
      <c r="K7229" s="308">
        <f>IFERROR(__xludf.DUMMYFUNCTION("""COMPUTED_VALUE"""),11.0)</f>
        <v>11</v>
      </c>
      <c r="L7229" s="308">
        <f>IFERROR(__xludf.DUMMYFUNCTION("""COMPUTED_VALUE"""),2017.0)</f>
        <v>2017</v>
      </c>
      <c r="M7229" s="308" t="s">
        <v>28888</v>
      </c>
      <c r="N7229" s="308"/>
      <c r="O7229" s="308"/>
      <c r="P7229" s="308" t="s">
        <v>29046</v>
      </c>
      <c r="Q7229" s="308" t="s">
        <v>39573</v>
      </c>
      <c r="R7229" s="308"/>
      <c r="S7229" s="308" t="s">
        <v>81</v>
      </c>
      <c r="T7229" s="308" t="s">
        <v>75</v>
      </c>
      <c r="U7229" s="308" t="s">
        <v>27</v>
      </c>
      <c r="V7229" s="308"/>
    </row>
    <row r="7230">
      <c r="A7230" s="308"/>
      <c r="B7230" s="308"/>
      <c r="C7230" s="308" t="s">
        <v>29136</v>
      </c>
      <c r="D7230" s="308">
        <f>IFERROR(__xludf.DUMMYFUNCTION("SPLIT(C7230,""-"")"),7250.0)</f>
        <v>7250</v>
      </c>
      <c r="E7230" s="308" t="str">
        <f>IFERROR(__xludf.DUMMYFUNCTION("""COMPUTED_VALUE"""),"B")</f>
        <v>B</v>
      </c>
      <c r="F7230" s="315" t="s">
        <v>26</v>
      </c>
      <c r="G7230" s="308"/>
      <c r="H7230" s="308" t="s">
        <v>29137</v>
      </c>
      <c r="I7230" s="310">
        <v>43045.0</v>
      </c>
      <c r="J7230" s="319">
        <f>IFERROR(__xludf.DUMMYFUNCTION("SPLIT(I7230,""/"")"),6.0)</f>
        <v>6</v>
      </c>
      <c r="K7230" s="308">
        <f>IFERROR(__xludf.DUMMYFUNCTION("""COMPUTED_VALUE"""),11.0)</f>
        <v>11</v>
      </c>
      <c r="L7230" s="308">
        <f>IFERROR(__xludf.DUMMYFUNCTION("""COMPUTED_VALUE"""),2017.0)</f>
        <v>2017</v>
      </c>
      <c r="M7230" s="308" t="s">
        <v>28888</v>
      </c>
      <c r="N7230" s="308"/>
      <c r="O7230" s="308"/>
      <c r="P7230" s="308" t="s">
        <v>29046</v>
      </c>
      <c r="Q7230" s="308" t="s">
        <v>39573</v>
      </c>
      <c r="R7230" s="308"/>
      <c r="S7230" s="308" t="s">
        <v>81</v>
      </c>
      <c r="T7230" s="308" t="s">
        <v>75</v>
      </c>
      <c r="U7230" s="308" t="s">
        <v>27</v>
      </c>
      <c r="V7230" s="308"/>
    </row>
    <row r="7231">
      <c r="A7231" s="308"/>
      <c r="B7231" s="308"/>
      <c r="C7231" s="308" t="s">
        <v>29138</v>
      </c>
      <c r="D7231" s="308">
        <f>IFERROR(__xludf.DUMMYFUNCTION("SPLIT(C7231,""-"")"),7251.0)</f>
        <v>7251</v>
      </c>
      <c r="E7231" s="308" t="str">
        <f>IFERROR(__xludf.DUMMYFUNCTION("""COMPUTED_VALUE"""),"B")</f>
        <v>B</v>
      </c>
      <c r="F7231" s="315" t="s">
        <v>26</v>
      </c>
      <c r="G7231" s="308"/>
      <c r="H7231" s="308" t="s">
        <v>29139</v>
      </c>
      <c r="I7231" s="310">
        <v>43045.0</v>
      </c>
      <c r="J7231" s="319">
        <f>IFERROR(__xludf.DUMMYFUNCTION("SPLIT(I7231,""/"")"),6.0)</f>
        <v>6</v>
      </c>
      <c r="K7231" s="308">
        <f>IFERROR(__xludf.DUMMYFUNCTION("""COMPUTED_VALUE"""),11.0)</f>
        <v>11</v>
      </c>
      <c r="L7231" s="308">
        <f>IFERROR(__xludf.DUMMYFUNCTION("""COMPUTED_VALUE"""),2017.0)</f>
        <v>2017</v>
      </c>
      <c r="M7231" s="308" t="s">
        <v>28425</v>
      </c>
      <c r="N7231" s="308"/>
      <c r="O7231" s="308"/>
      <c r="P7231" s="308" t="s">
        <v>29046</v>
      </c>
      <c r="Q7231" s="308" t="s">
        <v>39573</v>
      </c>
      <c r="R7231" s="308"/>
      <c r="S7231" s="308" t="s">
        <v>81</v>
      </c>
      <c r="T7231" s="308" t="s">
        <v>75</v>
      </c>
      <c r="U7231" s="308" t="s">
        <v>27</v>
      </c>
      <c r="V7231" s="308"/>
    </row>
    <row r="7232">
      <c r="A7232" s="308"/>
      <c r="B7232" s="308"/>
      <c r="C7232" s="308" t="s">
        <v>29140</v>
      </c>
      <c r="D7232" s="308">
        <f>IFERROR(__xludf.DUMMYFUNCTION("SPLIT(C7232,""-"")"),7252.0)</f>
        <v>7252</v>
      </c>
      <c r="E7232" s="308" t="str">
        <f>IFERROR(__xludf.DUMMYFUNCTION("""COMPUTED_VALUE"""),"B")</f>
        <v>B</v>
      </c>
      <c r="F7232" s="315" t="s">
        <v>26</v>
      </c>
      <c r="G7232" s="308"/>
      <c r="H7232" s="308" t="s">
        <v>29141</v>
      </c>
      <c r="I7232" s="310">
        <v>43045.0</v>
      </c>
      <c r="J7232" s="319">
        <f>IFERROR(__xludf.DUMMYFUNCTION("SPLIT(I7232,""/"")"),6.0)</f>
        <v>6</v>
      </c>
      <c r="K7232" s="308">
        <f>IFERROR(__xludf.DUMMYFUNCTION("""COMPUTED_VALUE"""),11.0)</f>
        <v>11</v>
      </c>
      <c r="L7232" s="308">
        <f>IFERROR(__xludf.DUMMYFUNCTION("""COMPUTED_VALUE"""),2017.0)</f>
        <v>2017</v>
      </c>
      <c r="M7232" s="308" t="s">
        <v>28425</v>
      </c>
      <c r="N7232" s="308"/>
      <c r="O7232" s="308"/>
      <c r="P7232" s="308" t="s">
        <v>136</v>
      </c>
      <c r="Q7232" s="308" t="s">
        <v>39573</v>
      </c>
      <c r="R7232" s="308"/>
      <c r="S7232" s="315" t="s">
        <v>100</v>
      </c>
      <c r="T7232" s="308" t="s">
        <v>34208</v>
      </c>
      <c r="U7232" s="308" t="s">
        <v>27</v>
      </c>
      <c r="V7232" s="308"/>
    </row>
    <row r="7233">
      <c r="A7233" s="308"/>
      <c r="B7233" s="308"/>
      <c r="C7233" s="308" t="s">
        <v>29142</v>
      </c>
      <c r="D7233" s="308">
        <f>IFERROR(__xludf.DUMMYFUNCTION("SPLIT(C7233,""-"")"),7253.0)</f>
        <v>7253</v>
      </c>
      <c r="E7233" s="308" t="str">
        <f>IFERROR(__xludf.DUMMYFUNCTION("""COMPUTED_VALUE"""),"B")</f>
        <v>B</v>
      </c>
      <c r="F7233" s="315" t="s">
        <v>26</v>
      </c>
      <c r="G7233" s="308"/>
      <c r="H7233" s="308" t="s">
        <v>39608</v>
      </c>
      <c r="I7233" s="310">
        <v>43045.0</v>
      </c>
      <c r="J7233" s="319">
        <f>IFERROR(__xludf.DUMMYFUNCTION("SPLIT(I7233,""/"")"),6.0)</f>
        <v>6</v>
      </c>
      <c r="K7233" s="308">
        <f>IFERROR(__xludf.DUMMYFUNCTION("""COMPUTED_VALUE"""),11.0)</f>
        <v>11</v>
      </c>
      <c r="L7233" s="308">
        <f>IFERROR(__xludf.DUMMYFUNCTION("""COMPUTED_VALUE"""),2017.0)</f>
        <v>2017</v>
      </c>
      <c r="M7233" s="308" t="s">
        <v>29144</v>
      </c>
      <c r="N7233" s="308"/>
      <c r="O7233" s="308"/>
      <c r="P7233" s="308" t="s">
        <v>136</v>
      </c>
      <c r="Q7233" s="308" t="s">
        <v>39573</v>
      </c>
      <c r="R7233" s="308"/>
      <c r="S7233" s="315" t="s">
        <v>100</v>
      </c>
      <c r="T7233" s="308" t="s">
        <v>34208</v>
      </c>
      <c r="U7233" s="308" t="s">
        <v>27</v>
      </c>
      <c r="V7233" s="308"/>
    </row>
    <row r="7234">
      <c r="A7234" s="308"/>
      <c r="B7234" s="308"/>
      <c r="C7234" s="308" t="s">
        <v>29145</v>
      </c>
      <c r="D7234" s="308">
        <f>IFERROR(__xludf.DUMMYFUNCTION("SPLIT(C7234,""-"")"),7254.0)</f>
        <v>7254</v>
      </c>
      <c r="E7234" s="308" t="str">
        <f>IFERROR(__xludf.DUMMYFUNCTION("""COMPUTED_VALUE"""),"B")</f>
        <v>B</v>
      </c>
      <c r="F7234" s="315" t="s">
        <v>26</v>
      </c>
      <c r="G7234" s="308"/>
      <c r="H7234" s="308" t="s">
        <v>29146</v>
      </c>
      <c r="I7234" s="310">
        <v>43045.0</v>
      </c>
      <c r="J7234" s="319">
        <f>IFERROR(__xludf.DUMMYFUNCTION("SPLIT(I7234,""/"")"),6.0)</f>
        <v>6</v>
      </c>
      <c r="K7234" s="308">
        <f>IFERROR(__xludf.DUMMYFUNCTION("""COMPUTED_VALUE"""),11.0)</f>
        <v>11</v>
      </c>
      <c r="L7234" s="308">
        <f>IFERROR(__xludf.DUMMYFUNCTION("""COMPUTED_VALUE"""),2017.0)</f>
        <v>2017</v>
      </c>
      <c r="M7234" s="308" t="s">
        <v>28425</v>
      </c>
      <c r="N7234" s="308"/>
      <c r="O7234" s="308"/>
      <c r="P7234" s="308" t="s">
        <v>29046</v>
      </c>
      <c r="Q7234" s="308" t="s">
        <v>39573</v>
      </c>
      <c r="R7234" s="308"/>
      <c r="S7234" s="308" t="s">
        <v>81</v>
      </c>
      <c r="T7234" s="308" t="s">
        <v>75</v>
      </c>
      <c r="U7234" s="308" t="s">
        <v>27</v>
      </c>
      <c r="V7234" s="308"/>
    </row>
    <row r="7235">
      <c r="A7235" s="308"/>
      <c r="B7235" s="308"/>
      <c r="C7235" s="308" t="s">
        <v>29147</v>
      </c>
      <c r="D7235" s="308">
        <f>IFERROR(__xludf.DUMMYFUNCTION("SPLIT(C7235,""-"")"),7255.0)</f>
        <v>7255</v>
      </c>
      <c r="E7235" s="308" t="str">
        <f>IFERROR(__xludf.DUMMYFUNCTION("""COMPUTED_VALUE"""),"B")</f>
        <v>B</v>
      </c>
      <c r="F7235" s="315" t="s">
        <v>26</v>
      </c>
      <c r="G7235" s="308"/>
      <c r="H7235" s="308" t="s">
        <v>29148</v>
      </c>
      <c r="I7235" s="310">
        <v>43045.0</v>
      </c>
      <c r="J7235" s="319">
        <f>IFERROR(__xludf.DUMMYFUNCTION("SPLIT(I7235,""/"")"),6.0)</f>
        <v>6</v>
      </c>
      <c r="K7235" s="308">
        <f>IFERROR(__xludf.DUMMYFUNCTION("""COMPUTED_VALUE"""),11.0)</f>
        <v>11</v>
      </c>
      <c r="L7235" s="308">
        <f>IFERROR(__xludf.DUMMYFUNCTION("""COMPUTED_VALUE"""),2017.0)</f>
        <v>2017</v>
      </c>
      <c r="M7235" s="308" t="s">
        <v>28888</v>
      </c>
      <c r="N7235" s="308"/>
      <c r="O7235" s="308"/>
      <c r="P7235" s="308" t="s">
        <v>136</v>
      </c>
      <c r="Q7235" s="308" t="s">
        <v>39573</v>
      </c>
      <c r="R7235" s="308"/>
      <c r="S7235" s="315" t="s">
        <v>100</v>
      </c>
      <c r="T7235" s="308" t="s">
        <v>34208</v>
      </c>
      <c r="U7235" s="308" t="s">
        <v>27</v>
      </c>
      <c r="V7235" s="308"/>
    </row>
    <row r="7236">
      <c r="A7236" s="308"/>
      <c r="B7236" s="308"/>
      <c r="C7236" s="308" t="s">
        <v>29149</v>
      </c>
      <c r="D7236" s="308">
        <f>IFERROR(__xludf.DUMMYFUNCTION("SPLIT(C7236,""-"")"),7256.0)</f>
        <v>7256</v>
      </c>
      <c r="E7236" s="308" t="str">
        <f>IFERROR(__xludf.DUMMYFUNCTION("""COMPUTED_VALUE"""),"B")</f>
        <v>B</v>
      </c>
      <c r="F7236" s="315" t="s">
        <v>26</v>
      </c>
      <c r="G7236" s="308"/>
      <c r="H7236" s="308" t="s">
        <v>29150</v>
      </c>
      <c r="I7236" s="310">
        <v>42901.0</v>
      </c>
      <c r="J7236" s="319">
        <f>IFERROR(__xludf.DUMMYFUNCTION("SPLIT(I7236,""/"")"),15.0)</f>
        <v>15</v>
      </c>
      <c r="K7236" s="308">
        <f>IFERROR(__xludf.DUMMYFUNCTION("""COMPUTED_VALUE"""),6.0)</f>
        <v>6</v>
      </c>
      <c r="L7236" s="308">
        <f>IFERROR(__xludf.DUMMYFUNCTION("""COMPUTED_VALUE"""),2017.0)</f>
        <v>2017</v>
      </c>
      <c r="M7236" s="308" t="s">
        <v>29151</v>
      </c>
      <c r="N7236" s="308"/>
      <c r="O7236" s="308"/>
      <c r="P7236" s="308" t="s">
        <v>29046</v>
      </c>
      <c r="Q7236" s="308" t="s">
        <v>39573</v>
      </c>
      <c r="R7236" s="308"/>
      <c r="S7236" s="308" t="s">
        <v>81</v>
      </c>
      <c r="T7236" s="308" t="s">
        <v>75</v>
      </c>
      <c r="U7236" s="308" t="s">
        <v>27</v>
      </c>
      <c r="V7236" s="308"/>
    </row>
    <row r="7237">
      <c r="A7237" s="308"/>
      <c r="B7237" s="308"/>
      <c r="C7237" s="308" t="s">
        <v>29152</v>
      </c>
      <c r="D7237" s="308">
        <f>IFERROR(__xludf.DUMMYFUNCTION("SPLIT(C7237,""-"")"),7257.0)</f>
        <v>7257</v>
      </c>
      <c r="E7237" s="308" t="str">
        <f>IFERROR(__xludf.DUMMYFUNCTION("""COMPUTED_VALUE"""),"B")</f>
        <v>B</v>
      </c>
      <c r="F7237" s="315" t="s">
        <v>26</v>
      </c>
      <c r="G7237" s="308"/>
      <c r="H7237" s="308" t="s">
        <v>29153</v>
      </c>
      <c r="I7237" s="310">
        <v>42901.0</v>
      </c>
      <c r="J7237" s="319">
        <f>IFERROR(__xludf.DUMMYFUNCTION("SPLIT(I7237,""/"")"),15.0)</f>
        <v>15</v>
      </c>
      <c r="K7237" s="308">
        <f>IFERROR(__xludf.DUMMYFUNCTION("""COMPUTED_VALUE"""),6.0)</f>
        <v>6</v>
      </c>
      <c r="L7237" s="308">
        <f>IFERROR(__xludf.DUMMYFUNCTION("""COMPUTED_VALUE"""),2017.0)</f>
        <v>2017</v>
      </c>
      <c r="M7237" s="308" t="s">
        <v>29151</v>
      </c>
      <c r="N7237" s="308"/>
      <c r="O7237" s="308"/>
      <c r="P7237" s="308" t="s">
        <v>29046</v>
      </c>
      <c r="Q7237" s="308" t="s">
        <v>39573</v>
      </c>
      <c r="R7237" s="308"/>
      <c r="S7237" s="308" t="s">
        <v>81</v>
      </c>
      <c r="T7237" s="308" t="s">
        <v>75</v>
      </c>
      <c r="U7237" s="308" t="s">
        <v>27</v>
      </c>
      <c r="V7237" s="308"/>
    </row>
    <row r="7238">
      <c r="A7238" s="308"/>
      <c r="B7238" s="308"/>
      <c r="C7238" s="308" t="s">
        <v>29154</v>
      </c>
      <c r="D7238" s="308">
        <f>IFERROR(__xludf.DUMMYFUNCTION("SPLIT(C7238,""-"")"),7258.0)</f>
        <v>7258</v>
      </c>
      <c r="E7238" s="308" t="str">
        <f>IFERROR(__xludf.DUMMYFUNCTION("""COMPUTED_VALUE"""),"B")</f>
        <v>B</v>
      </c>
      <c r="F7238" s="315" t="s">
        <v>26</v>
      </c>
      <c r="G7238" s="308"/>
      <c r="H7238" s="308" t="s">
        <v>29155</v>
      </c>
      <c r="I7238" s="310">
        <v>42901.0</v>
      </c>
      <c r="J7238" s="319">
        <f>IFERROR(__xludf.DUMMYFUNCTION("SPLIT(I7238,""/"")"),15.0)</f>
        <v>15</v>
      </c>
      <c r="K7238" s="308">
        <f>IFERROR(__xludf.DUMMYFUNCTION("""COMPUTED_VALUE"""),6.0)</f>
        <v>6</v>
      </c>
      <c r="L7238" s="308">
        <f>IFERROR(__xludf.DUMMYFUNCTION("""COMPUTED_VALUE"""),2017.0)</f>
        <v>2017</v>
      </c>
      <c r="M7238" s="308" t="s">
        <v>29151</v>
      </c>
      <c r="N7238" s="308"/>
      <c r="O7238" s="308"/>
      <c r="P7238" s="308" t="s">
        <v>136</v>
      </c>
      <c r="Q7238" s="308" t="s">
        <v>39573</v>
      </c>
      <c r="R7238" s="308"/>
      <c r="S7238" s="315" t="s">
        <v>100</v>
      </c>
      <c r="T7238" s="308" t="s">
        <v>34208</v>
      </c>
      <c r="U7238" s="308" t="s">
        <v>27</v>
      </c>
      <c r="V7238" s="308"/>
    </row>
    <row r="7239">
      <c r="A7239" s="308"/>
      <c r="B7239" s="308"/>
      <c r="C7239" s="308" t="s">
        <v>29156</v>
      </c>
      <c r="D7239" s="308">
        <f>IFERROR(__xludf.DUMMYFUNCTION("SPLIT(C7239,""-"")"),7259.0)</f>
        <v>7259</v>
      </c>
      <c r="E7239" s="308" t="str">
        <f>IFERROR(__xludf.DUMMYFUNCTION("""COMPUTED_VALUE"""),"B")</f>
        <v>B</v>
      </c>
      <c r="F7239" s="315" t="s">
        <v>26</v>
      </c>
      <c r="G7239" s="308"/>
      <c r="H7239" s="308" t="s">
        <v>29157</v>
      </c>
      <c r="I7239" s="310">
        <v>42901.0</v>
      </c>
      <c r="J7239" s="319">
        <f>IFERROR(__xludf.DUMMYFUNCTION("SPLIT(I7239,""/"")"),15.0)</f>
        <v>15</v>
      </c>
      <c r="K7239" s="308">
        <f>IFERROR(__xludf.DUMMYFUNCTION("""COMPUTED_VALUE"""),6.0)</f>
        <v>6</v>
      </c>
      <c r="L7239" s="308">
        <f>IFERROR(__xludf.DUMMYFUNCTION("""COMPUTED_VALUE"""),2017.0)</f>
        <v>2017</v>
      </c>
      <c r="M7239" s="308" t="s">
        <v>29151</v>
      </c>
      <c r="N7239" s="308"/>
      <c r="O7239" s="308"/>
      <c r="P7239" s="308" t="s">
        <v>29046</v>
      </c>
      <c r="Q7239" s="308" t="s">
        <v>39573</v>
      </c>
      <c r="R7239" s="308"/>
      <c r="S7239" s="308" t="s">
        <v>81</v>
      </c>
      <c r="T7239" s="308" t="s">
        <v>75</v>
      </c>
      <c r="U7239" s="308" t="s">
        <v>27</v>
      </c>
      <c r="V7239" s="308"/>
    </row>
    <row r="7240">
      <c r="A7240" s="308"/>
      <c r="B7240" s="308"/>
      <c r="C7240" s="308" t="s">
        <v>29158</v>
      </c>
      <c r="D7240" s="308">
        <f>IFERROR(__xludf.DUMMYFUNCTION("SPLIT(C7240,""-"")"),7260.0)</f>
        <v>7260</v>
      </c>
      <c r="E7240" s="308" t="str">
        <f>IFERROR(__xludf.DUMMYFUNCTION("""COMPUTED_VALUE"""),"B")</f>
        <v>B</v>
      </c>
      <c r="F7240" s="315" t="s">
        <v>26</v>
      </c>
      <c r="G7240" s="308"/>
      <c r="H7240" s="308" t="s">
        <v>29159</v>
      </c>
      <c r="I7240" s="310">
        <v>42901.0</v>
      </c>
      <c r="J7240" s="319">
        <f>IFERROR(__xludf.DUMMYFUNCTION("SPLIT(I7240,""/"")"),15.0)</f>
        <v>15</v>
      </c>
      <c r="K7240" s="308">
        <f>IFERROR(__xludf.DUMMYFUNCTION("""COMPUTED_VALUE"""),6.0)</f>
        <v>6</v>
      </c>
      <c r="L7240" s="308">
        <f>IFERROR(__xludf.DUMMYFUNCTION("""COMPUTED_VALUE"""),2017.0)</f>
        <v>2017</v>
      </c>
      <c r="M7240" s="308" t="s">
        <v>29151</v>
      </c>
      <c r="N7240" s="308"/>
      <c r="O7240" s="308"/>
      <c r="P7240" s="308" t="s">
        <v>29046</v>
      </c>
      <c r="Q7240" s="308" t="s">
        <v>39573</v>
      </c>
      <c r="R7240" s="308"/>
      <c r="S7240" s="308" t="s">
        <v>81</v>
      </c>
      <c r="T7240" s="308" t="s">
        <v>75</v>
      </c>
      <c r="U7240" s="308" t="s">
        <v>27</v>
      </c>
      <c r="V7240" s="308"/>
    </row>
    <row r="7241">
      <c r="A7241" s="308"/>
      <c r="B7241" s="308"/>
      <c r="C7241" s="308" t="s">
        <v>29160</v>
      </c>
      <c r="D7241" s="308">
        <f>IFERROR(__xludf.DUMMYFUNCTION("SPLIT(C7241,""-"")"),7261.0)</f>
        <v>7261</v>
      </c>
      <c r="E7241" s="308" t="str">
        <f>IFERROR(__xludf.DUMMYFUNCTION("""COMPUTED_VALUE"""),"B")</f>
        <v>B</v>
      </c>
      <c r="F7241" s="315" t="s">
        <v>26</v>
      </c>
      <c r="G7241" s="308"/>
      <c r="H7241" s="308" t="s">
        <v>29161</v>
      </c>
      <c r="I7241" s="310">
        <v>42901.0</v>
      </c>
      <c r="J7241" s="319">
        <f>IFERROR(__xludf.DUMMYFUNCTION("SPLIT(I7241,""/"")"),15.0)</f>
        <v>15</v>
      </c>
      <c r="K7241" s="308">
        <f>IFERROR(__xludf.DUMMYFUNCTION("""COMPUTED_VALUE"""),6.0)</f>
        <v>6</v>
      </c>
      <c r="L7241" s="308">
        <f>IFERROR(__xludf.DUMMYFUNCTION("""COMPUTED_VALUE"""),2017.0)</f>
        <v>2017</v>
      </c>
      <c r="M7241" s="308" t="s">
        <v>29151</v>
      </c>
      <c r="N7241" s="308"/>
      <c r="O7241" s="308"/>
      <c r="P7241" s="308" t="s">
        <v>29046</v>
      </c>
      <c r="Q7241" s="308" t="s">
        <v>39573</v>
      </c>
      <c r="R7241" s="308"/>
      <c r="S7241" s="308" t="s">
        <v>81</v>
      </c>
      <c r="T7241" s="308" t="s">
        <v>75</v>
      </c>
      <c r="U7241" s="308" t="s">
        <v>27</v>
      </c>
      <c r="V7241" s="308"/>
    </row>
    <row r="7242">
      <c r="A7242" s="308"/>
      <c r="B7242" s="308"/>
      <c r="C7242" s="308" t="s">
        <v>29162</v>
      </c>
      <c r="D7242" s="308">
        <f>IFERROR(__xludf.DUMMYFUNCTION("SPLIT(C7242,""-"")"),7262.0)</f>
        <v>7262</v>
      </c>
      <c r="E7242" s="308" t="str">
        <f>IFERROR(__xludf.DUMMYFUNCTION("""COMPUTED_VALUE"""),"B")</f>
        <v>B</v>
      </c>
      <c r="F7242" s="315" t="s">
        <v>26</v>
      </c>
      <c r="G7242" s="308"/>
      <c r="H7242" s="308" t="s">
        <v>29163</v>
      </c>
      <c r="I7242" s="310">
        <v>42901.0</v>
      </c>
      <c r="J7242" s="319">
        <f>IFERROR(__xludf.DUMMYFUNCTION("SPLIT(I7242,""/"")"),15.0)</f>
        <v>15</v>
      </c>
      <c r="K7242" s="308">
        <f>IFERROR(__xludf.DUMMYFUNCTION("""COMPUTED_VALUE"""),6.0)</f>
        <v>6</v>
      </c>
      <c r="L7242" s="308">
        <f>IFERROR(__xludf.DUMMYFUNCTION("""COMPUTED_VALUE"""),2017.0)</f>
        <v>2017</v>
      </c>
      <c r="M7242" s="308" t="s">
        <v>29151</v>
      </c>
      <c r="N7242" s="308"/>
      <c r="O7242" s="308"/>
      <c r="P7242" s="308" t="s">
        <v>29046</v>
      </c>
      <c r="Q7242" s="308" t="s">
        <v>39573</v>
      </c>
      <c r="R7242" s="308"/>
      <c r="S7242" s="308" t="s">
        <v>81</v>
      </c>
      <c r="T7242" s="308" t="s">
        <v>75</v>
      </c>
      <c r="U7242" s="308" t="s">
        <v>27</v>
      </c>
      <c r="V7242" s="308"/>
    </row>
    <row r="7243">
      <c r="A7243" s="308"/>
      <c r="B7243" s="308"/>
      <c r="C7243" s="308" t="s">
        <v>29164</v>
      </c>
      <c r="D7243" s="308">
        <f>IFERROR(__xludf.DUMMYFUNCTION("SPLIT(C7243,""-"")"),7263.0)</f>
        <v>7263</v>
      </c>
      <c r="E7243" s="308" t="str">
        <f>IFERROR(__xludf.DUMMYFUNCTION("""COMPUTED_VALUE"""),"B")</f>
        <v>B</v>
      </c>
      <c r="F7243" s="315" t="s">
        <v>26</v>
      </c>
      <c r="G7243" s="308"/>
      <c r="H7243" s="308" t="s">
        <v>29165</v>
      </c>
      <c r="I7243" s="310">
        <v>42899.0</v>
      </c>
      <c r="J7243" s="319">
        <f>IFERROR(__xludf.DUMMYFUNCTION("SPLIT(I7243,""/"")"),13.0)</f>
        <v>13</v>
      </c>
      <c r="K7243" s="308">
        <f>IFERROR(__xludf.DUMMYFUNCTION("""COMPUTED_VALUE"""),6.0)</f>
        <v>6</v>
      </c>
      <c r="L7243" s="308">
        <f>IFERROR(__xludf.DUMMYFUNCTION("""COMPUTED_VALUE"""),2017.0)</f>
        <v>2017</v>
      </c>
      <c r="M7243" s="308" t="s">
        <v>29166</v>
      </c>
      <c r="N7243" s="308"/>
      <c r="O7243" s="308"/>
      <c r="P7243" s="308" t="s">
        <v>29046</v>
      </c>
      <c r="Q7243" s="308" t="s">
        <v>39573</v>
      </c>
      <c r="R7243" s="308"/>
      <c r="S7243" s="308" t="s">
        <v>81</v>
      </c>
      <c r="T7243" s="308" t="s">
        <v>75</v>
      </c>
      <c r="U7243" s="308" t="s">
        <v>27</v>
      </c>
      <c r="V7243" s="308"/>
    </row>
    <row r="7244">
      <c r="A7244" s="308"/>
      <c r="B7244" s="308"/>
      <c r="C7244" s="308" t="s">
        <v>29167</v>
      </c>
      <c r="D7244" s="308">
        <f>IFERROR(__xludf.DUMMYFUNCTION("SPLIT(C7244,""-"")"),7264.0)</f>
        <v>7264</v>
      </c>
      <c r="E7244" s="308" t="str">
        <f>IFERROR(__xludf.DUMMYFUNCTION("""COMPUTED_VALUE"""),"B")</f>
        <v>B</v>
      </c>
      <c r="F7244" s="315" t="s">
        <v>26</v>
      </c>
      <c r="G7244" s="308"/>
      <c r="H7244" s="308" t="s">
        <v>29168</v>
      </c>
      <c r="I7244" s="310">
        <v>42899.0</v>
      </c>
      <c r="J7244" s="319">
        <f>IFERROR(__xludf.DUMMYFUNCTION("SPLIT(I7244,""/"")"),13.0)</f>
        <v>13</v>
      </c>
      <c r="K7244" s="308">
        <f>IFERROR(__xludf.DUMMYFUNCTION("""COMPUTED_VALUE"""),6.0)</f>
        <v>6</v>
      </c>
      <c r="L7244" s="308">
        <f>IFERROR(__xludf.DUMMYFUNCTION("""COMPUTED_VALUE"""),2017.0)</f>
        <v>2017</v>
      </c>
      <c r="M7244" s="308" t="s">
        <v>29166</v>
      </c>
      <c r="N7244" s="308"/>
      <c r="O7244" s="308"/>
      <c r="P7244" s="308" t="s">
        <v>29046</v>
      </c>
      <c r="Q7244" s="308" t="s">
        <v>39573</v>
      </c>
      <c r="R7244" s="308"/>
      <c r="S7244" s="308" t="s">
        <v>81</v>
      </c>
      <c r="T7244" s="308" t="s">
        <v>75</v>
      </c>
      <c r="U7244" s="308" t="s">
        <v>27</v>
      </c>
      <c r="V7244" s="308"/>
    </row>
    <row r="7245">
      <c r="A7245" s="308"/>
      <c r="B7245" s="308"/>
      <c r="C7245" s="308" t="s">
        <v>29169</v>
      </c>
      <c r="D7245" s="308">
        <f>IFERROR(__xludf.DUMMYFUNCTION("SPLIT(C7245,""-"")"),7265.0)</f>
        <v>7265</v>
      </c>
      <c r="E7245" s="308" t="str">
        <f>IFERROR(__xludf.DUMMYFUNCTION("""COMPUTED_VALUE"""),"B")</f>
        <v>B</v>
      </c>
      <c r="F7245" s="315" t="s">
        <v>26</v>
      </c>
      <c r="G7245" s="308"/>
      <c r="H7245" s="308" t="s">
        <v>29170</v>
      </c>
      <c r="I7245" s="310">
        <v>42899.0</v>
      </c>
      <c r="J7245" s="319">
        <f>IFERROR(__xludf.DUMMYFUNCTION("SPLIT(I7245,""/"")"),13.0)</f>
        <v>13</v>
      </c>
      <c r="K7245" s="308">
        <f>IFERROR(__xludf.DUMMYFUNCTION("""COMPUTED_VALUE"""),6.0)</f>
        <v>6</v>
      </c>
      <c r="L7245" s="308">
        <f>IFERROR(__xludf.DUMMYFUNCTION("""COMPUTED_VALUE"""),2017.0)</f>
        <v>2017</v>
      </c>
      <c r="M7245" s="308" t="s">
        <v>29166</v>
      </c>
      <c r="N7245" s="308"/>
      <c r="O7245" s="308"/>
      <c r="P7245" s="308" t="s">
        <v>29046</v>
      </c>
      <c r="Q7245" s="308" t="s">
        <v>39573</v>
      </c>
      <c r="R7245" s="308"/>
      <c r="S7245" s="308" t="s">
        <v>81</v>
      </c>
      <c r="T7245" s="308" t="s">
        <v>75</v>
      </c>
      <c r="U7245" s="308" t="s">
        <v>27</v>
      </c>
      <c r="V7245" s="308"/>
    </row>
    <row r="7246">
      <c r="A7246" s="308"/>
      <c r="B7246" s="308"/>
      <c r="C7246" s="308" t="s">
        <v>29171</v>
      </c>
      <c r="D7246" s="308">
        <f>IFERROR(__xludf.DUMMYFUNCTION("SPLIT(C7246,""-"")"),7266.0)</f>
        <v>7266</v>
      </c>
      <c r="E7246" s="308" t="str">
        <f>IFERROR(__xludf.DUMMYFUNCTION("""COMPUTED_VALUE"""),"B")</f>
        <v>B</v>
      </c>
      <c r="F7246" s="315" t="s">
        <v>26</v>
      </c>
      <c r="G7246" s="308"/>
      <c r="H7246" s="308" t="s">
        <v>29172</v>
      </c>
      <c r="I7246" s="310">
        <v>42899.0</v>
      </c>
      <c r="J7246" s="319">
        <f>IFERROR(__xludf.DUMMYFUNCTION("SPLIT(I7246,""/"")"),13.0)</f>
        <v>13</v>
      </c>
      <c r="K7246" s="308">
        <f>IFERROR(__xludf.DUMMYFUNCTION("""COMPUTED_VALUE"""),6.0)</f>
        <v>6</v>
      </c>
      <c r="L7246" s="308">
        <f>IFERROR(__xludf.DUMMYFUNCTION("""COMPUTED_VALUE"""),2017.0)</f>
        <v>2017</v>
      </c>
      <c r="M7246" s="308" t="s">
        <v>29166</v>
      </c>
      <c r="N7246" s="308"/>
      <c r="O7246" s="308"/>
      <c r="P7246" s="308" t="s">
        <v>29046</v>
      </c>
      <c r="Q7246" s="308" t="s">
        <v>39573</v>
      </c>
      <c r="R7246" s="308"/>
      <c r="S7246" s="308" t="s">
        <v>81</v>
      </c>
      <c r="T7246" s="308" t="s">
        <v>75</v>
      </c>
      <c r="U7246" s="308" t="s">
        <v>27</v>
      </c>
      <c r="V7246" s="308"/>
    </row>
    <row r="7247">
      <c r="A7247" s="308"/>
      <c r="B7247" s="308"/>
      <c r="C7247" s="308" t="s">
        <v>29173</v>
      </c>
      <c r="D7247" s="308">
        <f>IFERROR(__xludf.DUMMYFUNCTION("SPLIT(C7247,""-"")"),7267.0)</f>
        <v>7267</v>
      </c>
      <c r="E7247" s="308" t="str">
        <f>IFERROR(__xludf.DUMMYFUNCTION("""COMPUTED_VALUE"""),"B")</f>
        <v>B</v>
      </c>
      <c r="F7247" s="315" t="s">
        <v>26</v>
      </c>
      <c r="G7247" s="308"/>
      <c r="H7247" s="308" t="s">
        <v>29174</v>
      </c>
      <c r="I7247" s="310">
        <v>42899.0</v>
      </c>
      <c r="J7247" s="319">
        <f>IFERROR(__xludf.DUMMYFUNCTION("SPLIT(I7247,""/"")"),13.0)</f>
        <v>13</v>
      </c>
      <c r="K7247" s="308">
        <f>IFERROR(__xludf.DUMMYFUNCTION("""COMPUTED_VALUE"""),6.0)</f>
        <v>6</v>
      </c>
      <c r="L7247" s="308">
        <f>IFERROR(__xludf.DUMMYFUNCTION("""COMPUTED_VALUE"""),2017.0)</f>
        <v>2017</v>
      </c>
      <c r="M7247" s="308" t="s">
        <v>29166</v>
      </c>
      <c r="N7247" s="308"/>
      <c r="O7247" s="308"/>
      <c r="P7247" s="308" t="s">
        <v>29046</v>
      </c>
      <c r="Q7247" s="308" t="s">
        <v>39573</v>
      </c>
      <c r="R7247" s="308"/>
      <c r="S7247" s="308" t="s">
        <v>81</v>
      </c>
      <c r="T7247" s="308" t="s">
        <v>75</v>
      </c>
      <c r="U7247" s="308" t="s">
        <v>27</v>
      </c>
      <c r="V7247" s="308"/>
    </row>
    <row r="7248">
      <c r="A7248" s="308"/>
      <c r="B7248" s="308"/>
      <c r="C7248" s="308" t="s">
        <v>29175</v>
      </c>
      <c r="D7248" s="308">
        <f>IFERROR(__xludf.DUMMYFUNCTION("SPLIT(C7248,""-"")"),7268.0)</f>
        <v>7268</v>
      </c>
      <c r="E7248" s="308" t="str">
        <f>IFERROR(__xludf.DUMMYFUNCTION("""COMPUTED_VALUE"""),"B")</f>
        <v>B</v>
      </c>
      <c r="F7248" s="315" t="s">
        <v>26</v>
      </c>
      <c r="G7248" s="308"/>
      <c r="H7248" s="308" t="s">
        <v>29176</v>
      </c>
      <c r="I7248" s="310">
        <v>42899.0</v>
      </c>
      <c r="J7248" s="319">
        <f>IFERROR(__xludf.DUMMYFUNCTION("SPLIT(I7248,""/"")"),13.0)</f>
        <v>13</v>
      </c>
      <c r="K7248" s="308">
        <f>IFERROR(__xludf.DUMMYFUNCTION("""COMPUTED_VALUE"""),6.0)</f>
        <v>6</v>
      </c>
      <c r="L7248" s="308">
        <f>IFERROR(__xludf.DUMMYFUNCTION("""COMPUTED_VALUE"""),2017.0)</f>
        <v>2017</v>
      </c>
      <c r="M7248" s="308" t="s">
        <v>29166</v>
      </c>
      <c r="N7248" s="308"/>
      <c r="O7248" s="308"/>
      <c r="P7248" s="308" t="s">
        <v>29046</v>
      </c>
      <c r="Q7248" s="308" t="s">
        <v>39573</v>
      </c>
      <c r="R7248" s="308"/>
      <c r="S7248" s="308" t="s">
        <v>81</v>
      </c>
      <c r="T7248" s="308" t="s">
        <v>75</v>
      </c>
      <c r="U7248" s="308" t="s">
        <v>27</v>
      </c>
      <c r="V7248" s="308"/>
    </row>
    <row r="7249">
      <c r="A7249" s="308"/>
      <c r="B7249" s="308"/>
      <c r="C7249" s="308" t="s">
        <v>29177</v>
      </c>
      <c r="D7249" s="308">
        <f>IFERROR(__xludf.DUMMYFUNCTION("SPLIT(C7249,""-"")"),7269.0)</f>
        <v>7269</v>
      </c>
      <c r="E7249" s="308" t="str">
        <f>IFERROR(__xludf.DUMMYFUNCTION("""COMPUTED_VALUE"""),"B")</f>
        <v>B</v>
      </c>
      <c r="F7249" s="315" t="s">
        <v>26</v>
      </c>
      <c r="G7249" s="308"/>
      <c r="H7249" s="308" t="s">
        <v>29178</v>
      </c>
      <c r="I7249" s="310">
        <v>42905.0</v>
      </c>
      <c r="J7249" s="319">
        <f>IFERROR(__xludf.DUMMYFUNCTION("SPLIT(I7249,""/"")"),19.0)</f>
        <v>19</v>
      </c>
      <c r="K7249" s="308">
        <f>IFERROR(__xludf.DUMMYFUNCTION("""COMPUTED_VALUE"""),6.0)</f>
        <v>6</v>
      </c>
      <c r="L7249" s="308">
        <f>IFERROR(__xludf.DUMMYFUNCTION("""COMPUTED_VALUE"""),2017.0)</f>
        <v>2017</v>
      </c>
      <c r="M7249" s="308" t="s">
        <v>29111</v>
      </c>
      <c r="N7249" s="308"/>
      <c r="O7249" s="308"/>
      <c r="P7249" s="308" t="s">
        <v>136</v>
      </c>
      <c r="Q7249" s="308" t="s">
        <v>39573</v>
      </c>
      <c r="R7249" s="308"/>
      <c r="S7249" s="315" t="s">
        <v>100</v>
      </c>
      <c r="T7249" s="308" t="s">
        <v>34208</v>
      </c>
      <c r="U7249" s="308" t="s">
        <v>27</v>
      </c>
      <c r="V7249" s="308"/>
    </row>
    <row r="7250">
      <c r="A7250" s="308"/>
      <c r="B7250" s="308"/>
      <c r="C7250" s="308" t="s">
        <v>29179</v>
      </c>
      <c r="D7250" s="308">
        <f>IFERROR(__xludf.DUMMYFUNCTION("SPLIT(C7250,""-"")"),7270.0)</f>
        <v>7270</v>
      </c>
      <c r="E7250" s="308" t="str">
        <f>IFERROR(__xludf.DUMMYFUNCTION("""COMPUTED_VALUE"""),"B")</f>
        <v>B</v>
      </c>
      <c r="F7250" s="315" t="s">
        <v>26</v>
      </c>
      <c r="G7250" s="308"/>
      <c r="H7250" s="308" t="s">
        <v>29180</v>
      </c>
      <c r="I7250" s="310">
        <v>42905.0</v>
      </c>
      <c r="J7250" s="319">
        <f>IFERROR(__xludf.DUMMYFUNCTION("SPLIT(I7250,""/"")"),19.0)</f>
        <v>19</v>
      </c>
      <c r="K7250" s="308">
        <f>IFERROR(__xludf.DUMMYFUNCTION("""COMPUTED_VALUE"""),6.0)</f>
        <v>6</v>
      </c>
      <c r="L7250" s="308">
        <f>IFERROR(__xludf.DUMMYFUNCTION("""COMPUTED_VALUE"""),2017.0)</f>
        <v>2017</v>
      </c>
      <c r="M7250" s="308" t="s">
        <v>29111</v>
      </c>
      <c r="N7250" s="308"/>
      <c r="O7250" s="308"/>
      <c r="P7250" s="308" t="s">
        <v>136</v>
      </c>
      <c r="Q7250" s="308" t="s">
        <v>39573</v>
      </c>
      <c r="R7250" s="308"/>
      <c r="S7250" s="315" t="s">
        <v>100</v>
      </c>
      <c r="T7250" s="308" t="s">
        <v>34208</v>
      </c>
      <c r="U7250" s="308" t="s">
        <v>27</v>
      </c>
      <c r="V7250" s="308"/>
    </row>
    <row r="7251">
      <c r="A7251" s="308"/>
      <c r="B7251" s="308"/>
      <c r="C7251" s="308" t="s">
        <v>29181</v>
      </c>
      <c r="D7251" s="308">
        <f>IFERROR(__xludf.DUMMYFUNCTION("SPLIT(C7251,""-"")"),7271.0)</f>
        <v>7271</v>
      </c>
      <c r="E7251" s="308" t="str">
        <f>IFERROR(__xludf.DUMMYFUNCTION("""COMPUTED_VALUE"""),"B")</f>
        <v>B</v>
      </c>
      <c r="F7251" s="315" t="s">
        <v>26</v>
      </c>
      <c r="G7251" s="308"/>
      <c r="H7251" s="308" t="s">
        <v>29182</v>
      </c>
      <c r="I7251" s="310">
        <v>42904.0</v>
      </c>
      <c r="J7251" s="319">
        <f>IFERROR(__xludf.DUMMYFUNCTION("SPLIT(I7251,""/"")"),18.0)</f>
        <v>18</v>
      </c>
      <c r="K7251" s="308">
        <f>IFERROR(__xludf.DUMMYFUNCTION("""COMPUTED_VALUE"""),6.0)</f>
        <v>6</v>
      </c>
      <c r="L7251" s="308">
        <f>IFERROR(__xludf.DUMMYFUNCTION("""COMPUTED_VALUE"""),2017.0)</f>
        <v>2017</v>
      </c>
      <c r="M7251" s="308" t="s">
        <v>29183</v>
      </c>
      <c r="N7251" s="308"/>
      <c r="O7251" s="308"/>
      <c r="P7251" s="308" t="s">
        <v>29046</v>
      </c>
      <c r="Q7251" s="308" t="s">
        <v>39573</v>
      </c>
      <c r="R7251" s="308"/>
      <c r="S7251" s="308" t="s">
        <v>81</v>
      </c>
      <c r="T7251" s="308" t="s">
        <v>75</v>
      </c>
      <c r="U7251" s="308" t="s">
        <v>27</v>
      </c>
      <c r="V7251" s="308"/>
    </row>
    <row r="7252">
      <c r="A7252" s="308"/>
      <c r="B7252" s="308"/>
      <c r="C7252" s="308" t="s">
        <v>29184</v>
      </c>
      <c r="D7252" s="308">
        <f>IFERROR(__xludf.DUMMYFUNCTION("SPLIT(C7252,""-"")"),7272.0)</f>
        <v>7272</v>
      </c>
      <c r="E7252" s="308" t="str">
        <f>IFERROR(__xludf.DUMMYFUNCTION("""COMPUTED_VALUE"""),"B")</f>
        <v>B</v>
      </c>
      <c r="F7252" s="315" t="s">
        <v>26</v>
      </c>
      <c r="G7252" s="308"/>
      <c r="H7252" s="308" t="s">
        <v>29185</v>
      </c>
      <c r="I7252" s="310">
        <v>42902.0</v>
      </c>
      <c r="J7252" s="319">
        <f>IFERROR(__xludf.DUMMYFUNCTION("SPLIT(I7252,""/"")"),16.0)</f>
        <v>16</v>
      </c>
      <c r="K7252" s="308">
        <f>IFERROR(__xludf.DUMMYFUNCTION("""COMPUTED_VALUE"""),6.0)</f>
        <v>6</v>
      </c>
      <c r="L7252" s="308">
        <f>IFERROR(__xludf.DUMMYFUNCTION("""COMPUTED_VALUE"""),2017.0)</f>
        <v>2017</v>
      </c>
      <c r="M7252" s="308" t="s">
        <v>29186</v>
      </c>
      <c r="N7252" s="308"/>
      <c r="O7252" s="308"/>
      <c r="P7252" s="308" t="s">
        <v>29046</v>
      </c>
      <c r="Q7252" s="308" t="s">
        <v>39573</v>
      </c>
      <c r="R7252" s="308"/>
      <c r="S7252" s="308" t="s">
        <v>81</v>
      </c>
      <c r="T7252" s="308" t="s">
        <v>75</v>
      </c>
      <c r="U7252" s="308" t="s">
        <v>27</v>
      </c>
      <c r="V7252" s="308"/>
    </row>
    <row r="7253">
      <c r="A7253" s="308"/>
      <c r="B7253" s="308"/>
      <c r="C7253" s="308" t="s">
        <v>29187</v>
      </c>
      <c r="D7253" s="308">
        <f>IFERROR(__xludf.DUMMYFUNCTION("SPLIT(C7253,""-"")"),7273.0)</f>
        <v>7273</v>
      </c>
      <c r="E7253" s="308" t="str">
        <f>IFERROR(__xludf.DUMMYFUNCTION("""COMPUTED_VALUE"""),"B")</f>
        <v>B</v>
      </c>
      <c r="F7253" s="315" t="s">
        <v>26</v>
      </c>
      <c r="G7253" s="308"/>
      <c r="H7253" s="308" t="s">
        <v>29188</v>
      </c>
      <c r="I7253" s="310">
        <v>42902.0</v>
      </c>
      <c r="J7253" s="319">
        <f>IFERROR(__xludf.DUMMYFUNCTION("SPLIT(I7253,""/"")"),16.0)</f>
        <v>16</v>
      </c>
      <c r="K7253" s="308">
        <f>IFERROR(__xludf.DUMMYFUNCTION("""COMPUTED_VALUE"""),6.0)</f>
        <v>6</v>
      </c>
      <c r="L7253" s="308">
        <f>IFERROR(__xludf.DUMMYFUNCTION("""COMPUTED_VALUE"""),2017.0)</f>
        <v>2017</v>
      </c>
      <c r="M7253" s="308" t="s">
        <v>29186</v>
      </c>
      <c r="N7253" s="308"/>
      <c r="O7253" s="308"/>
      <c r="P7253" s="308" t="s">
        <v>29046</v>
      </c>
      <c r="Q7253" s="308" t="s">
        <v>39573</v>
      </c>
      <c r="R7253" s="308"/>
      <c r="S7253" s="308" t="s">
        <v>81</v>
      </c>
      <c r="T7253" s="308" t="s">
        <v>75</v>
      </c>
      <c r="U7253" s="308" t="s">
        <v>27</v>
      </c>
      <c r="V7253" s="308"/>
    </row>
    <row r="7254">
      <c r="A7254" s="308"/>
      <c r="B7254" s="308"/>
      <c r="C7254" s="308" t="s">
        <v>29189</v>
      </c>
      <c r="D7254" s="308">
        <f>IFERROR(__xludf.DUMMYFUNCTION("SPLIT(C7254,""-"")"),7274.0)</f>
        <v>7274</v>
      </c>
      <c r="E7254" s="308" t="str">
        <f>IFERROR(__xludf.DUMMYFUNCTION("""COMPUTED_VALUE"""),"B")</f>
        <v>B</v>
      </c>
      <c r="F7254" s="315" t="s">
        <v>26</v>
      </c>
      <c r="G7254" s="308"/>
      <c r="H7254" s="308" t="s">
        <v>39609</v>
      </c>
      <c r="I7254" s="310">
        <v>42906.0</v>
      </c>
      <c r="J7254" s="319">
        <f>IFERROR(__xludf.DUMMYFUNCTION("SPLIT(I7254,""/"")"),20.0)</f>
        <v>20</v>
      </c>
      <c r="K7254" s="308">
        <f>IFERROR(__xludf.DUMMYFUNCTION("""COMPUTED_VALUE"""),6.0)</f>
        <v>6</v>
      </c>
      <c r="L7254" s="308">
        <f>IFERROR(__xludf.DUMMYFUNCTION("""COMPUTED_VALUE"""),2017.0)</f>
        <v>2017</v>
      </c>
      <c r="M7254" s="308" t="s">
        <v>29191</v>
      </c>
      <c r="N7254" s="308"/>
      <c r="O7254" s="308"/>
      <c r="P7254" s="308" t="s">
        <v>29046</v>
      </c>
      <c r="Q7254" s="308" t="s">
        <v>39573</v>
      </c>
      <c r="R7254" s="308"/>
      <c r="S7254" s="308" t="s">
        <v>81</v>
      </c>
      <c r="T7254" s="308" t="s">
        <v>75</v>
      </c>
      <c r="U7254" s="308" t="s">
        <v>27</v>
      </c>
      <c r="V7254" s="308"/>
    </row>
    <row r="7255">
      <c r="A7255" s="308"/>
      <c r="B7255" s="308"/>
      <c r="C7255" s="308" t="s">
        <v>29192</v>
      </c>
      <c r="D7255" s="308">
        <f>IFERROR(__xludf.DUMMYFUNCTION("SPLIT(C7255,""-"")"),7275.0)</f>
        <v>7275</v>
      </c>
      <c r="E7255" s="308" t="str">
        <f>IFERROR(__xludf.DUMMYFUNCTION("""COMPUTED_VALUE"""),"B")</f>
        <v>B</v>
      </c>
      <c r="F7255" s="315" t="s">
        <v>26</v>
      </c>
      <c r="G7255" s="308"/>
      <c r="H7255" s="308" t="s">
        <v>29193</v>
      </c>
      <c r="I7255" s="310">
        <v>42911.0</v>
      </c>
      <c r="J7255" s="319">
        <f>IFERROR(__xludf.DUMMYFUNCTION("SPLIT(I7255,""/"")"),25.0)</f>
        <v>25</v>
      </c>
      <c r="K7255" s="308">
        <f>IFERROR(__xludf.DUMMYFUNCTION("""COMPUTED_VALUE"""),6.0)</f>
        <v>6</v>
      </c>
      <c r="L7255" s="308">
        <f>IFERROR(__xludf.DUMMYFUNCTION("""COMPUTED_VALUE"""),2017.0)</f>
        <v>2017</v>
      </c>
      <c r="M7255" s="308" t="s">
        <v>29194</v>
      </c>
      <c r="N7255" s="308"/>
      <c r="O7255" s="308"/>
      <c r="P7255" s="308" t="s">
        <v>28792</v>
      </c>
      <c r="Q7255" s="308" t="s">
        <v>39573</v>
      </c>
      <c r="R7255" s="308"/>
      <c r="S7255" s="308" t="s">
        <v>81</v>
      </c>
      <c r="T7255" s="308" t="s">
        <v>75</v>
      </c>
      <c r="U7255" s="308" t="s">
        <v>27</v>
      </c>
      <c r="V7255" s="308"/>
    </row>
    <row r="7256">
      <c r="A7256" s="308"/>
      <c r="B7256" s="308"/>
      <c r="C7256" s="308" t="s">
        <v>29195</v>
      </c>
      <c r="D7256" s="308">
        <f>IFERROR(__xludf.DUMMYFUNCTION("SPLIT(C7256,""-"")"),7276.0)</f>
        <v>7276</v>
      </c>
      <c r="E7256" s="308" t="str">
        <f>IFERROR(__xludf.DUMMYFUNCTION("""COMPUTED_VALUE"""),"B")</f>
        <v>B</v>
      </c>
      <c r="F7256" s="315" t="s">
        <v>26</v>
      </c>
      <c r="G7256" s="308"/>
      <c r="H7256" s="308" t="s">
        <v>29196</v>
      </c>
      <c r="I7256" s="310">
        <v>42911.0</v>
      </c>
      <c r="J7256" s="319">
        <f>IFERROR(__xludf.DUMMYFUNCTION("SPLIT(I7256,""/"")"),25.0)</f>
        <v>25</v>
      </c>
      <c r="K7256" s="308">
        <f>IFERROR(__xludf.DUMMYFUNCTION("""COMPUTED_VALUE"""),6.0)</f>
        <v>6</v>
      </c>
      <c r="L7256" s="308">
        <f>IFERROR(__xludf.DUMMYFUNCTION("""COMPUTED_VALUE"""),2017.0)</f>
        <v>2017</v>
      </c>
      <c r="M7256" s="308" t="s">
        <v>29194</v>
      </c>
      <c r="N7256" s="308"/>
      <c r="O7256" s="308"/>
      <c r="P7256" s="308" t="s">
        <v>136</v>
      </c>
      <c r="Q7256" s="308" t="s">
        <v>39573</v>
      </c>
      <c r="R7256" s="308"/>
      <c r="S7256" s="315" t="s">
        <v>100</v>
      </c>
      <c r="T7256" s="308" t="s">
        <v>34208</v>
      </c>
      <c r="U7256" s="308" t="s">
        <v>27</v>
      </c>
      <c r="V7256" s="308"/>
    </row>
    <row r="7257">
      <c r="A7257" s="308"/>
      <c r="B7257" s="308"/>
      <c r="C7257" s="308" t="s">
        <v>29197</v>
      </c>
      <c r="D7257" s="308">
        <f>IFERROR(__xludf.DUMMYFUNCTION("SPLIT(C7257,""-"")"),7277.0)</f>
        <v>7277</v>
      </c>
      <c r="E7257" s="308" t="str">
        <f>IFERROR(__xludf.DUMMYFUNCTION("""COMPUTED_VALUE"""),"B")</f>
        <v>B</v>
      </c>
      <c r="F7257" s="315" t="s">
        <v>26</v>
      </c>
      <c r="G7257" s="308"/>
      <c r="H7257" s="308" t="s">
        <v>29198</v>
      </c>
      <c r="I7257" s="310">
        <v>42910.0</v>
      </c>
      <c r="J7257" s="319">
        <f>IFERROR(__xludf.DUMMYFUNCTION("SPLIT(I7257,""/"")"),24.0)</f>
        <v>24</v>
      </c>
      <c r="K7257" s="308">
        <f>IFERROR(__xludf.DUMMYFUNCTION("""COMPUTED_VALUE"""),6.0)</f>
        <v>6</v>
      </c>
      <c r="L7257" s="308">
        <f>IFERROR(__xludf.DUMMYFUNCTION("""COMPUTED_VALUE"""),2017.0)</f>
        <v>2017</v>
      </c>
      <c r="M7257" s="308" t="s">
        <v>29199</v>
      </c>
      <c r="N7257" s="308"/>
      <c r="O7257" s="308"/>
      <c r="P7257" s="308" t="s">
        <v>39610</v>
      </c>
      <c r="Q7257" s="308" t="s">
        <v>39573</v>
      </c>
      <c r="R7257" s="308"/>
      <c r="S7257" s="308" t="s">
        <v>81</v>
      </c>
      <c r="T7257" s="308" t="s">
        <v>75</v>
      </c>
      <c r="U7257" s="308" t="s">
        <v>27</v>
      </c>
      <c r="V7257" s="308"/>
    </row>
    <row r="7258">
      <c r="A7258" s="308"/>
      <c r="B7258" s="308"/>
      <c r="C7258" s="308" t="s">
        <v>29201</v>
      </c>
      <c r="D7258" s="308">
        <f>IFERROR(__xludf.DUMMYFUNCTION("SPLIT(C7258,""-"")"),7278.0)</f>
        <v>7278</v>
      </c>
      <c r="E7258" s="308" t="str">
        <f>IFERROR(__xludf.DUMMYFUNCTION("""COMPUTED_VALUE"""),"B")</f>
        <v>B</v>
      </c>
      <c r="F7258" s="315" t="s">
        <v>26</v>
      </c>
      <c r="G7258" s="308"/>
      <c r="H7258" s="308" t="s">
        <v>29202</v>
      </c>
      <c r="I7258" s="310">
        <v>42910.0</v>
      </c>
      <c r="J7258" s="319">
        <f>IFERROR(__xludf.DUMMYFUNCTION("SPLIT(I7258,""/"")"),24.0)</f>
        <v>24</v>
      </c>
      <c r="K7258" s="308">
        <f>IFERROR(__xludf.DUMMYFUNCTION("""COMPUTED_VALUE"""),6.0)</f>
        <v>6</v>
      </c>
      <c r="L7258" s="308">
        <f>IFERROR(__xludf.DUMMYFUNCTION("""COMPUTED_VALUE"""),2017.0)</f>
        <v>2017</v>
      </c>
      <c r="M7258" s="308" t="s">
        <v>29203</v>
      </c>
      <c r="N7258" s="308"/>
      <c r="O7258" s="308"/>
      <c r="P7258" s="308" t="s">
        <v>136</v>
      </c>
      <c r="Q7258" s="308" t="s">
        <v>39573</v>
      </c>
      <c r="R7258" s="308"/>
      <c r="S7258" s="315" t="s">
        <v>100</v>
      </c>
      <c r="T7258" s="308" t="s">
        <v>34208</v>
      </c>
      <c r="U7258" s="308" t="s">
        <v>27</v>
      </c>
      <c r="V7258" s="308"/>
    </row>
    <row r="7259">
      <c r="A7259" s="308"/>
      <c r="B7259" s="308"/>
      <c r="C7259" s="308" t="s">
        <v>29204</v>
      </c>
      <c r="D7259" s="308">
        <f>IFERROR(__xludf.DUMMYFUNCTION("SPLIT(C7259,""-"")"),7279.0)</f>
        <v>7279</v>
      </c>
      <c r="E7259" s="308" t="str">
        <f>IFERROR(__xludf.DUMMYFUNCTION("""COMPUTED_VALUE"""),"B")</f>
        <v>B</v>
      </c>
      <c r="F7259" s="315" t="s">
        <v>26</v>
      </c>
      <c r="G7259" s="308"/>
      <c r="H7259" s="308" t="s">
        <v>29205</v>
      </c>
      <c r="I7259" s="310">
        <v>42910.0</v>
      </c>
      <c r="J7259" s="319">
        <f>IFERROR(__xludf.DUMMYFUNCTION("SPLIT(I7259,""/"")"),24.0)</f>
        <v>24</v>
      </c>
      <c r="K7259" s="308">
        <f>IFERROR(__xludf.DUMMYFUNCTION("""COMPUTED_VALUE"""),6.0)</f>
        <v>6</v>
      </c>
      <c r="L7259" s="308">
        <f>IFERROR(__xludf.DUMMYFUNCTION("""COMPUTED_VALUE"""),2017.0)</f>
        <v>2017</v>
      </c>
      <c r="M7259" s="308" t="s">
        <v>29203</v>
      </c>
      <c r="N7259" s="308"/>
      <c r="O7259" s="308"/>
      <c r="P7259" s="308" t="s">
        <v>39611</v>
      </c>
      <c r="Q7259" s="308" t="s">
        <v>39573</v>
      </c>
      <c r="R7259" s="308"/>
      <c r="S7259" s="308" t="s">
        <v>81</v>
      </c>
      <c r="T7259" s="308" t="s">
        <v>75</v>
      </c>
      <c r="U7259" s="308" t="s">
        <v>27</v>
      </c>
      <c r="V7259" s="308"/>
    </row>
    <row r="7260">
      <c r="A7260" s="308"/>
      <c r="B7260" s="308"/>
      <c r="C7260" s="308" t="s">
        <v>29207</v>
      </c>
      <c r="D7260" s="308">
        <f>IFERROR(__xludf.DUMMYFUNCTION("SPLIT(C7260,""-"")"),7280.0)</f>
        <v>7280</v>
      </c>
      <c r="E7260" s="308" t="str">
        <f>IFERROR(__xludf.DUMMYFUNCTION("""COMPUTED_VALUE"""),"B")</f>
        <v>B</v>
      </c>
      <c r="F7260" s="315" t="s">
        <v>26</v>
      </c>
      <c r="G7260" s="308"/>
      <c r="H7260" s="308" t="s">
        <v>29208</v>
      </c>
      <c r="I7260" s="310">
        <v>42910.0</v>
      </c>
      <c r="J7260" s="319">
        <f>IFERROR(__xludf.DUMMYFUNCTION("SPLIT(I7260,""/"")"),24.0)</f>
        <v>24</v>
      </c>
      <c r="K7260" s="308">
        <f>IFERROR(__xludf.DUMMYFUNCTION("""COMPUTED_VALUE"""),6.0)</f>
        <v>6</v>
      </c>
      <c r="L7260" s="308">
        <f>IFERROR(__xludf.DUMMYFUNCTION("""COMPUTED_VALUE"""),2017.0)</f>
        <v>2017</v>
      </c>
      <c r="M7260" s="308" t="s">
        <v>28433</v>
      </c>
      <c r="N7260" s="308"/>
      <c r="O7260" s="308"/>
      <c r="P7260" s="308" t="s">
        <v>39612</v>
      </c>
      <c r="Q7260" s="308" t="s">
        <v>39573</v>
      </c>
      <c r="R7260" s="308"/>
      <c r="S7260" s="308" t="s">
        <v>81</v>
      </c>
      <c r="T7260" s="308" t="s">
        <v>75</v>
      </c>
      <c r="U7260" s="308" t="s">
        <v>27</v>
      </c>
      <c r="V7260" s="308"/>
    </row>
    <row r="7261">
      <c r="A7261" s="308"/>
      <c r="B7261" s="308"/>
      <c r="C7261" s="308" t="s">
        <v>29210</v>
      </c>
      <c r="D7261" s="308">
        <f>IFERROR(__xludf.DUMMYFUNCTION("SPLIT(C7261,""-"")"),7281.0)</f>
        <v>7281</v>
      </c>
      <c r="E7261" s="308" t="str">
        <f>IFERROR(__xludf.DUMMYFUNCTION("""COMPUTED_VALUE"""),"B")</f>
        <v>B</v>
      </c>
      <c r="F7261" s="315" t="s">
        <v>26</v>
      </c>
      <c r="G7261" s="308"/>
      <c r="H7261" s="308" t="s">
        <v>29211</v>
      </c>
      <c r="I7261" s="310">
        <v>42915.0</v>
      </c>
      <c r="J7261" s="319">
        <f>IFERROR(__xludf.DUMMYFUNCTION("SPLIT(I7261,""/"")"),29.0)</f>
        <v>29</v>
      </c>
      <c r="K7261" s="308">
        <f>IFERROR(__xludf.DUMMYFUNCTION("""COMPUTED_VALUE"""),6.0)</f>
        <v>6</v>
      </c>
      <c r="L7261" s="308">
        <f>IFERROR(__xludf.DUMMYFUNCTION("""COMPUTED_VALUE"""),2017.0)</f>
        <v>2017</v>
      </c>
      <c r="M7261" s="308" t="s">
        <v>29212</v>
      </c>
      <c r="N7261" s="308"/>
      <c r="O7261" s="308"/>
      <c r="P7261" s="308" t="s">
        <v>39613</v>
      </c>
      <c r="Q7261" s="308" t="s">
        <v>39573</v>
      </c>
      <c r="R7261" s="308"/>
      <c r="S7261" s="308" t="s">
        <v>81</v>
      </c>
      <c r="T7261" s="308" t="s">
        <v>75</v>
      </c>
      <c r="U7261" s="308" t="s">
        <v>27</v>
      </c>
      <c r="V7261" s="308"/>
    </row>
    <row r="7262">
      <c r="A7262" s="308"/>
      <c r="B7262" s="308"/>
      <c r="C7262" s="308" t="s">
        <v>29214</v>
      </c>
      <c r="D7262" s="308">
        <f>IFERROR(__xludf.DUMMYFUNCTION("SPLIT(C7262,""-"")"),7282.0)</f>
        <v>7282</v>
      </c>
      <c r="E7262" s="308" t="str">
        <f>IFERROR(__xludf.DUMMYFUNCTION("""COMPUTED_VALUE"""),"B")</f>
        <v>B</v>
      </c>
      <c r="F7262" s="315" t="s">
        <v>26</v>
      </c>
      <c r="G7262" s="308"/>
      <c r="H7262" s="308" t="s">
        <v>29215</v>
      </c>
      <c r="I7262" s="310">
        <v>42915.0</v>
      </c>
      <c r="J7262" s="319">
        <f>IFERROR(__xludf.DUMMYFUNCTION("SPLIT(I7262,""/"")"),29.0)</f>
        <v>29</v>
      </c>
      <c r="K7262" s="308">
        <f>IFERROR(__xludf.DUMMYFUNCTION("""COMPUTED_VALUE"""),6.0)</f>
        <v>6</v>
      </c>
      <c r="L7262" s="308">
        <f>IFERROR(__xludf.DUMMYFUNCTION("""COMPUTED_VALUE"""),2017.0)</f>
        <v>2017</v>
      </c>
      <c r="M7262" s="308" t="s">
        <v>29216</v>
      </c>
      <c r="N7262" s="308"/>
      <c r="O7262" s="308"/>
      <c r="P7262" s="308" t="s">
        <v>136</v>
      </c>
      <c r="Q7262" s="308" t="s">
        <v>39573</v>
      </c>
      <c r="R7262" s="308"/>
      <c r="S7262" s="315" t="s">
        <v>100</v>
      </c>
      <c r="T7262" s="308" t="s">
        <v>34208</v>
      </c>
      <c r="U7262" s="308" t="s">
        <v>27</v>
      </c>
      <c r="V7262" s="308"/>
    </row>
    <row r="7263">
      <c r="A7263" s="308"/>
      <c r="B7263" s="308"/>
      <c r="C7263" s="308" t="s">
        <v>29217</v>
      </c>
      <c r="D7263" s="308">
        <f>IFERROR(__xludf.DUMMYFUNCTION("SPLIT(C7263,""-"")"),7283.0)</f>
        <v>7283</v>
      </c>
      <c r="E7263" s="308" t="str">
        <f>IFERROR(__xludf.DUMMYFUNCTION("""COMPUTED_VALUE"""),"B")</f>
        <v>B</v>
      </c>
      <c r="F7263" s="315" t="s">
        <v>26</v>
      </c>
      <c r="G7263" s="308"/>
      <c r="H7263" s="308" t="s">
        <v>29218</v>
      </c>
      <c r="I7263" s="310">
        <v>42915.0</v>
      </c>
      <c r="J7263" s="319">
        <f>IFERROR(__xludf.DUMMYFUNCTION("SPLIT(I7263,""/"")"),29.0)</f>
        <v>29</v>
      </c>
      <c r="K7263" s="308">
        <f>IFERROR(__xludf.DUMMYFUNCTION("""COMPUTED_VALUE"""),6.0)</f>
        <v>6</v>
      </c>
      <c r="L7263" s="308">
        <f>IFERROR(__xludf.DUMMYFUNCTION("""COMPUTED_VALUE"""),2017.0)</f>
        <v>2017</v>
      </c>
      <c r="M7263" s="308" t="s">
        <v>29216</v>
      </c>
      <c r="N7263" s="308"/>
      <c r="O7263" s="308"/>
      <c r="P7263" s="308" t="s">
        <v>136</v>
      </c>
      <c r="Q7263" s="308" t="s">
        <v>39573</v>
      </c>
      <c r="R7263" s="308"/>
      <c r="S7263" s="315" t="s">
        <v>100</v>
      </c>
      <c r="T7263" s="308" t="s">
        <v>34208</v>
      </c>
      <c r="U7263" s="308" t="s">
        <v>27</v>
      </c>
      <c r="V7263" s="308"/>
    </row>
    <row r="7264">
      <c r="A7264" s="308"/>
      <c r="B7264" s="308"/>
      <c r="C7264" s="308" t="s">
        <v>29219</v>
      </c>
      <c r="D7264" s="308">
        <f>IFERROR(__xludf.DUMMYFUNCTION("SPLIT(C7264,""-"")"),7284.0)</f>
        <v>7284</v>
      </c>
      <c r="E7264" s="308" t="str">
        <f>IFERROR(__xludf.DUMMYFUNCTION("""COMPUTED_VALUE"""),"B")</f>
        <v>B</v>
      </c>
      <c r="F7264" s="315" t="s">
        <v>26</v>
      </c>
      <c r="G7264" s="308"/>
      <c r="H7264" s="308" t="s">
        <v>29220</v>
      </c>
      <c r="I7264" s="310">
        <v>42915.0</v>
      </c>
      <c r="J7264" s="319">
        <f>IFERROR(__xludf.DUMMYFUNCTION("SPLIT(I7264,""/"")"),29.0)</f>
        <v>29</v>
      </c>
      <c r="K7264" s="308">
        <f>IFERROR(__xludf.DUMMYFUNCTION("""COMPUTED_VALUE"""),6.0)</f>
        <v>6</v>
      </c>
      <c r="L7264" s="308">
        <f>IFERROR(__xludf.DUMMYFUNCTION("""COMPUTED_VALUE"""),2017.0)</f>
        <v>2017</v>
      </c>
      <c r="M7264" s="308" t="s">
        <v>29199</v>
      </c>
      <c r="N7264" s="308"/>
      <c r="O7264" s="308"/>
      <c r="P7264" s="308" t="s">
        <v>28792</v>
      </c>
      <c r="Q7264" s="308" t="s">
        <v>39573</v>
      </c>
      <c r="R7264" s="308"/>
      <c r="S7264" s="308" t="s">
        <v>81</v>
      </c>
      <c r="T7264" s="308" t="s">
        <v>75</v>
      </c>
      <c r="U7264" s="308" t="s">
        <v>27</v>
      </c>
      <c r="V7264" s="308"/>
    </row>
    <row r="7265">
      <c r="A7265" s="308"/>
      <c r="B7265" s="308"/>
      <c r="C7265" s="308" t="s">
        <v>29221</v>
      </c>
      <c r="D7265" s="308">
        <f>IFERROR(__xludf.DUMMYFUNCTION("SPLIT(C7265,""-"")"),7285.0)</f>
        <v>7285</v>
      </c>
      <c r="E7265" s="308" t="str">
        <f>IFERROR(__xludf.DUMMYFUNCTION("""COMPUTED_VALUE"""),"B")</f>
        <v>B</v>
      </c>
      <c r="F7265" s="315" t="s">
        <v>26</v>
      </c>
      <c r="G7265" s="308"/>
      <c r="H7265" s="308" t="s">
        <v>29222</v>
      </c>
      <c r="I7265" s="310">
        <v>42915.0</v>
      </c>
      <c r="J7265" s="319">
        <f>IFERROR(__xludf.DUMMYFUNCTION("SPLIT(I7265,""/"")"),29.0)</f>
        <v>29</v>
      </c>
      <c r="K7265" s="308">
        <f>IFERROR(__xludf.DUMMYFUNCTION("""COMPUTED_VALUE"""),6.0)</f>
        <v>6</v>
      </c>
      <c r="L7265" s="308">
        <f>IFERROR(__xludf.DUMMYFUNCTION("""COMPUTED_VALUE"""),2017.0)</f>
        <v>2017</v>
      </c>
      <c r="M7265" s="308" t="s">
        <v>29223</v>
      </c>
      <c r="N7265" s="308"/>
      <c r="O7265" s="308"/>
      <c r="P7265" s="308" t="s">
        <v>28792</v>
      </c>
      <c r="Q7265" s="308" t="s">
        <v>39573</v>
      </c>
      <c r="R7265" s="308"/>
      <c r="S7265" s="308" t="s">
        <v>81</v>
      </c>
      <c r="T7265" s="308" t="s">
        <v>75</v>
      </c>
      <c r="U7265" s="308" t="s">
        <v>27</v>
      </c>
      <c r="V7265" s="308"/>
    </row>
    <row r="7266">
      <c r="A7266" s="308"/>
      <c r="B7266" s="308"/>
      <c r="C7266" s="308" t="s">
        <v>29224</v>
      </c>
      <c r="D7266" s="308">
        <f>IFERROR(__xludf.DUMMYFUNCTION("SPLIT(C7266,""-"")"),7286.0)</f>
        <v>7286</v>
      </c>
      <c r="E7266" s="308" t="str">
        <f>IFERROR(__xludf.DUMMYFUNCTION("""COMPUTED_VALUE"""),"B")</f>
        <v>B</v>
      </c>
      <c r="F7266" s="315" t="s">
        <v>26</v>
      </c>
      <c r="G7266" s="308"/>
      <c r="H7266" s="308" t="s">
        <v>29225</v>
      </c>
      <c r="I7266" s="310">
        <v>42915.0</v>
      </c>
      <c r="J7266" s="319">
        <f>IFERROR(__xludf.DUMMYFUNCTION("SPLIT(I7266,""/"")"),29.0)</f>
        <v>29</v>
      </c>
      <c r="K7266" s="308">
        <f>IFERROR(__xludf.DUMMYFUNCTION("""COMPUTED_VALUE"""),6.0)</f>
        <v>6</v>
      </c>
      <c r="L7266" s="308">
        <f>IFERROR(__xludf.DUMMYFUNCTION("""COMPUTED_VALUE"""),2017.0)</f>
        <v>2017</v>
      </c>
      <c r="M7266" s="308" t="s">
        <v>29223</v>
      </c>
      <c r="N7266" s="308"/>
      <c r="O7266" s="308"/>
      <c r="P7266" s="308" t="s">
        <v>28792</v>
      </c>
      <c r="Q7266" s="308" t="s">
        <v>39573</v>
      </c>
      <c r="R7266" s="308"/>
      <c r="S7266" s="308" t="s">
        <v>81</v>
      </c>
      <c r="T7266" s="308" t="s">
        <v>75</v>
      </c>
      <c r="U7266" s="308" t="s">
        <v>27</v>
      </c>
      <c r="V7266" s="308"/>
    </row>
    <row r="7267">
      <c r="A7267" s="308"/>
      <c r="B7267" s="308"/>
      <c r="C7267" s="308" t="s">
        <v>29226</v>
      </c>
      <c r="D7267" s="308">
        <f>IFERROR(__xludf.DUMMYFUNCTION("SPLIT(C7267,""-"")"),7287.0)</f>
        <v>7287</v>
      </c>
      <c r="E7267" s="308" t="str">
        <f>IFERROR(__xludf.DUMMYFUNCTION("""COMPUTED_VALUE"""),"B")</f>
        <v>B</v>
      </c>
      <c r="F7267" s="315" t="s">
        <v>26</v>
      </c>
      <c r="G7267" s="308"/>
      <c r="H7267" s="308" t="s">
        <v>29227</v>
      </c>
      <c r="I7267" s="310">
        <v>42862.0</v>
      </c>
      <c r="J7267" s="319">
        <f>IFERROR(__xludf.DUMMYFUNCTION("SPLIT(I7267,""/"")"),7.0)</f>
        <v>7</v>
      </c>
      <c r="K7267" s="308">
        <f>IFERROR(__xludf.DUMMYFUNCTION("""COMPUTED_VALUE"""),5.0)</f>
        <v>5</v>
      </c>
      <c r="L7267" s="308">
        <f>IFERROR(__xludf.DUMMYFUNCTION("""COMPUTED_VALUE"""),2017.0)</f>
        <v>2017</v>
      </c>
      <c r="M7267" s="308" t="s">
        <v>29212</v>
      </c>
      <c r="N7267" s="308"/>
      <c r="O7267" s="308"/>
      <c r="P7267" s="308" t="s">
        <v>39614</v>
      </c>
      <c r="Q7267" s="308" t="s">
        <v>39573</v>
      </c>
      <c r="R7267" s="308"/>
      <c r="S7267" s="308" t="s">
        <v>81</v>
      </c>
      <c r="T7267" s="308" t="s">
        <v>75</v>
      </c>
      <c r="U7267" s="308" t="s">
        <v>27</v>
      </c>
      <c r="V7267" s="308"/>
    </row>
    <row r="7268">
      <c r="A7268" s="308"/>
      <c r="B7268" s="308"/>
      <c r="C7268" s="308" t="s">
        <v>29229</v>
      </c>
      <c r="D7268" s="308">
        <f>IFERROR(__xludf.DUMMYFUNCTION("SPLIT(C7268,""-"")"),7288.0)</f>
        <v>7288</v>
      </c>
      <c r="E7268" s="308" t="str">
        <f>IFERROR(__xludf.DUMMYFUNCTION("""COMPUTED_VALUE"""),"B")</f>
        <v>B</v>
      </c>
      <c r="F7268" s="315" t="s">
        <v>26</v>
      </c>
      <c r="G7268" s="308"/>
      <c r="H7268" s="308" t="s">
        <v>29230</v>
      </c>
      <c r="I7268" s="310">
        <v>42862.0</v>
      </c>
      <c r="J7268" s="319">
        <f>IFERROR(__xludf.DUMMYFUNCTION("SPLIT(I7268,""/"")"),7.0)</f>
        <v>7</v>
      </c>
      <c r="K7268" s="308">
        <f>IFERROR(__xludf.DUMMYFUNCTION("""COMPUTED_VALUE"""),5.0)</f>
        <v>5</v>
      </c>
      <c r="L7268" s="308">
        <f>IFERROR(__xludf.DUMMYFUNCTION("""COMPUTED_VALUE"""),2017.0)</f>
        <v>2017</v>
      </c>
      <c r="M7268" s="308" t="s">
        <v>29212</v>
      </c>
      <c r="N7268" s="308"/>
      <c r="O7268" s="308"/>
      <c r="P7268" s="308" t="s">
        <v>136</v>
      </c>
      <c r="Q7268" s="308" t="s">
        <v>39573</v>
      </c>
      <c r="R7268" s="308"/>
      <c r="S7268" s="315" t="s">
        <v>100</v>
      </c>
      <c r="T7268" s="308" t="s">
        <v>34208</v>
      </c>
      <c r="U7268" s="308" t="s">
        <v>27</v>
      </c>
      <c r="V7268" s="308"/>
    </row>
    <row r="7269">
      <c r="A7269" s="308"/>
      <c r="B7269" s="308"/>
      <c r="C7269" s="308" t="s">
        <v>29231</v>
      </c>
      <c r="D7269" s="308">
        <f>IFERROR(__xludf.DUMMYFUNCTION("SPLIT(C7269,""-"")"),7289.0)</f>
        <v>7289</v>
      </c>
      <c r="E7269" s="308" t="str">
        <f>IFERROR(__xludf.DUMMYFUNCTION("""COMPUTED_VALUE"""),"B")</f>
        <v>B</v>
      </c>
      <c r="F7269" s="315" t="s">
        <v>26</v>
      </c>
      <c r="G7269" s="308"/>
      <c r="H7269" s="308" t="s">
        <v>29232</v>
      </c>
      <c r="I7269" s="310">
        <v>42801.0</v>
      </c>
      <c r="J7269" s="319">
        <f>IFERROR(__xludf.DUMMYFUNCTION("SPLIT(I7269,""/"")"),7.0)</f>
        <v>7</v>
      </c>
      <c r="K7269" s="308">
        <f>IFERROR(__xludf.DUMMYFUNCTION("""COMPUTED_VALUE"""),3.0)</f>
        <v>3</v>
      </c>
      <c r="L7269" s="308">
        <f>IFERROR(__xludf.DUMMYFUNCTION("""COMPUTED_VALUE"""),2017.0)</f>
        <v>2017</v>
      </c>
      <c r="M7269" s="308" t="s">
        <v>29233</v>
      </c>
      <c r="N7269" s="308"/>
      <c r="O7269" s="308"/>
      <c r="P7269" s="308" t="s">
        <v>28792</v>
      </c>
      <c r="Q7269" s="308" t="s">
        <v>39573</v>
      </c>
      <c r="R7269" s="308"/>
      <c r="S7269" s="308" t="s">
        <v>81</v>
      </c>
      <c r="T7269" s="308" t="s">
        <v>75</v>
      </c>
      <c r="U7269" s="308" t="s">
        <v>27</v>
      </c>
      <c r="V7269" s="308"/>
    </row>
    <row r="7270">
      <c r="A7270" s="308"/>
      <c r="B7270" s="308"/>
      <c r="C7270" s="308" t="s">
        <v>29234</v>
      </c>
      <c r="D7270" s="308">
        <f>IFERROR(__xludf.DUMMYFUNCTION("SPLIT(C7270,""-"")"),7290.0)</f>
        <v>7290</v>
      </c>
      <c r="E7270" s="308" t="str">
        <f>IFERROR(__xludf.DUMMYFUNCTION("""COMPUTED_VALUE"""),"B")</f>
        <v>B</v>
      </c>
      <c r="F7270" s="315" t="s">
        <v>26</v>
      </c>
      <c r="G7270" s="308"/>
      <c r="H7270" s="308" t="s">
        <v>29235</v>
      </c>
      <c r="I7270" s="310">
        <v>42915.0</v>
      </c>
      <c r="J7270" s="319">
        <f>IFERROR(__xludf.DUMMYFUNCTION("SPLIT(I7270,""/"")"),29.0)</f>
        <v>29</v>
      </c>
      <c r="K7270" s="308">
        <f>IFERROR(__xludf.DUMMYFUNCTION("""COMPUTED_VALUE"""),6.0)</f>
        <v>6</v>
      </c>
      <c r="L7270" s="308">
        <f>IFERROR(__xludf.DUMMYFUNCTION("""COMPUTED_VALUE"""),2017.0)</f>
        <v>2017</v>
      </c>
      <c r="M7270" s="308" t="s">
        <v>29223</v>
      </c>
      <c r="N7270" s="308"/>
      <c r="O7270" s="308"/>
      <c r="P7270" s="308" t="s">
        <v>39615</v>
      </c>
      <c r="Q7270" s="308" t="s">
        <v>39573</v>
      </c>
      <c r="R7270" s="308"/>
      <c r="S7270" s="308" t="s">
        <v>81</v>
      </c>
      <c r="T7270" s="308" t="s">
        <v>75</v>
      </c>
      <c r="U7270" s="308" t="s">
        <v>27</v>
      </c>
      <c r="V7270" s="308"/>
    </row>
    <row r="7271">
      <c r="A7271" s="308"/>
      <c r="B7271" s="308"/>
      <c r="C7271" s="308" t="s">
        <v>29237</v>
      </c>
      <c r="D7271" s="308">
        <f>IFERROR(__xludf.DUMMYFUNCTION("SPLIT(C7271,""-"")"),7291.0)</f>
        <v>7291</v>
      </c>
      <c r="E7271" s="308" t="str">
        <f>IFERROR(__xludf.DUMMYFUNCTION("""COMPUTED_VALUE"""),"B")</f>
        <v>B</v>
      </c>
      <c r="F7271" s="315" t="s">
        <v>26</v>
      </c>
      <c r="G7271" s="308"/>
      <c r="H7271" s="308" t="s">
        <v>29238</v>
      </c>
      <c r="I7271" s="310">
        <v>42915.0</v>
      </c>
      <c r="J7271" s="319">
        <f>IFERROR(__xludf.DUMMYFUNCTION("SPLIT(I7271,""/"")"),29.0)</f>
        <v>29</v>
      </c>
      <c r="K7271" s="308">
        <f>IFERROR(__xludf.DUMMYFUNCTION("""COMPUTED_VALUE"""),6.0)</f>
        <v>6</v>
      </c>
      <c r="L7271" s="308">
        <f>IFERROR(__xludf.DUMMYFUNCTION("""COMPUTED_VALUE"""),2017.0)</f>
        <v>2017</v>
      </c>
      <c r="M7271" s="308" t="s">
        <v>29199</v>
      </c>
      <c r="N7271" s="308"/>
      <c r="O7271" s="308"/>
      <c r="P7271" s="308" t="s">
        <v>136</v>
      </c>
      <c r="Q7271" s="308" t="s">
        <v>39573</v>
      </c>
      <c r="R7271" s="308"/>
      <c r="S7271" s="315" t="s">
        <v>100</v>
      </c>
      <c r="T7271" s="308" t="s">
        <v>34208</v>
      </c>
      <c r="U7271" s="308" t="s">
        <v>27</v>
      </c>
      <c r="V7271" s="308"/>
    </row>
    <row r="7272">
      <c r="A7272" s="308"/>
      <c r="B7272" s="308"/>
      <c r="C7272" s="308" t="s">
        <v>29239</v>
      </c>
      <c r="D7272" s="308">
        <f>IFERROR(__xludf.DUMMYFUNCTION("SPLIT(C7272,""-"")"),7292.0)</f>
        <v>7292</v>
      </c>
      <c r="E7272" s="308" t="str">
        <f>IFERROR(__xludf.DUMMYFUNCTION("""COMPUTED_VALUE"""),"B")</f>
        <v>B</v>
      </c>
      <c r="F7272" s="315" t="s">
        <v>26</v>
      </c>
      <c r="G7272" s="308"/>
      <c r="H7272" s="308" t="s">
        <v>29240</v>
      </c>
      <c r="I7272" s="310">
        <v>42915.0</v>
      </c>
      <c r="J7272" s="319">
        <f>IFERROR(__xludf.DUMMYFUNCTION("SPLIT(I7272,""/"")"),29.0)</f>
        <v>29</v>
      </c>
      <c r="K7272" s="308">
        <f>IFERROR(__xludf.DUMMYFUNCTION("""COMPUTED_VALUE"""),6.0)</f>
        <v>6</v>
      </c>
      <c r="L7272" s="308">
        <f>IFERROR(__xludf.DUMMYFUNCTION("""COMPUTED_VALUE"""),2017.0)</f>
        <v>2017</v>
      </c>
      <c r="M7272" s="308" t="s">
        <v>29199</v>
      </c>
      <c r="N7272" s="308"/>
      <c r="O7272" s="308"/>
      <c r="P7272" s="308" t="s">
        <v>136</v>
      </c>
      <c r="Q7272" s="308" t="s">
        <v>39573</v>
      </c>
      <c r="R7272" s="308"/>
      <c r="S7272" s="315" t="s">
        <v>100</v>
      </c>
      <c r="T7272" s="308" t="s">
        <v>34208</v>
      </c>
      <c r="U7272" s="308" t="s">
        <v>27</v>
      </c>
      <c r="V7272" s="308"/>
    </row>
    <row r="7273">
      <c r="A7273" s="308"/>
      <c r="B7273" s="308"/>
      <c r="C7273" s="308" t="s">
        <v>29241</v>
      </c>
      <c r="D7273" s="308">
        <f>IFERROR(__xludf.DUMMYFUNCTION("SPLIT(C7273,""-"")"),7293.0)</f>
        <v>7293</v>
      </c>
      <c r="E7273" s="308" t="str">
        <f>IFERROR(__xludf.DUMMYFUNCTION("""COMPUTED_VALUE"""),"B")</f>
        <v>B</v>
      </c>
      <c r="F7273" s="315" t="s">
        <v>26</v>
      </c>
      <c r="G7273" s="308"/>
      <c r="H7273" s="308" t="s">
        <v>29242</v>
      </c>
      <c r="I7273" s="310">
        <v>42915.0</v>
      </c>
      <c r="J7273" s="319">
        <f>IFERROR(__xludf.DUMMYFUNCTION("SPLIT(I7273,""/"")"),29.0)</f>
        <v>29</v>
      </c>
      <c r="K7273" s="308">
        <f>IFERROR(__xludf.DUMMYFUNCTION("""COMPUTED_VALUE"""),6.0)</f>
        <v>6</v>
      </c>
      <c r="L7273" s="308">
        <f>IFERROR(__xludf.DUMMYFUNCTION("""COMPUTED_VALUE"""),2017.0)</f>
        <v>2017</v>
      </c>
      <c r="M7273" s="308" t="s">
        <v>29199</v>
      </c>
      <c r="N7273" s="308"/>
      <c r="O7273" s="308"/>
      <c r="P7273" s="308" t="s">
        <v>28792</v>
      </c>
      <c r="Q7273" s="308" t="s">
        <v>39573</v>
      </c>
      <c r="R7273" s="308"/>
      <c r="S7273" s="308" t="s">
        <v>81</v>
      </c>
      <c r="T7273" s="308" t="s">
        <v>75</v>
      </c>
      <c r="U7273" s="308" t="s">
        <v>27</v>
      </c>
      <c r="V7273" s="308"/>
    </row>
    <row r="7274">
      <c r="A7274" s="308"/>
      <c r="B7274" s="308"/>
      <c r="C7274" s="308" t="s">
        <v>29243</v>
      </c>
      <c r="D7274" s="308">
        <f>IFERROR(__xludf.DUMMYFUNCTION("SPLIT(C7274,""-"")"),7294.0)</f>
        <v>7294</v>
      </c>
      <c r="E7274" s="308" t="str">
        <f>IFERROR(__xludf.DUMMYFUNCTION("""COMPUTED_VALUE"""),"B")</f>
        <v>B</v>
      </c>
      <c r="F7274" s="315" t="s">
        <v>26</v>
      </c>
      <c r="G7274" s="308"/>
      <c r="H7274" s="308" t="s">
        <v>29244</v>
      </c>
      <c r="I7274" s="310">
        <v>42915.0</v>
      </c>
      <c r="J7274" s="319">
        <f>IFERROR(__xludf.DUMMYFUNCTION("SPLIT(I7274,""/"")"),29.0)</f>
        <v>29</v>
      </c>
      <c r="K7274" s="308">
        <f>IFERROR(__xludf.DUMMYFUNCTION("""COMPUTED_VALUE"""),6.0)</f>
        <v>6</v>
      </c>
      <c r="L7274" s="308">
        <f>IFERROR(__xludf.DUMMYFUNCTION("""COMPUTED_VALUE"""),2017.0)</f>
        <v>2017</v>
      </c>
      <c r="M7274" s="308" t="s">
        <v>29212</v>
      </c>
      <c r="N7274" s="308"/>
      <c r="O7274" s="308"/>
      <c r="P7274" s="308" t="s">
        <v>39616</v>
      </c>
      <c r="Q7274" s="308" t="s">
        <v>39573</v>
      </c>
      <c r="R7274" s="308"/>
      <c r="S7274" s="308" t="s">
        <v>81</v>
      </c>
      <c r="T7274" s="308" t="s">
        <v>75</v>
      </c>
      <c r="U7274" s="308" t="s">
        <v>27</v>
      </c>
      <c r="V7274" s="308"/>
    </row>
    <row r="7275">
      <c r="A7275" s="308"/>
      <c r="B7275" s="308"/>
      <c r="C7275" s="308" t="s">
        <v>29246</v>
      </c>
      <c r="D7275" s="308">
        <f>IFERROR(__xludf.DUMMYFUNCTION("SPLIT(C7275,""-"")"),7295.0)</f>
        <v>7295</v>
      </c>
      <c r="E7275" s="308" t="str">
        <f>IFERROR(__xludf.DUMMYFUNCTION("""COMPUTED_VALUE"""),"B")</f>
        <v>B</v>
      </c>
      <c r="F7275" s="315" t="s">
        <v>26</v>
      </c>
      <c r="G7275" s="308"/>
      <c r="H7275" s="308" t="s">
        <v>29247</v>
      </c>
      <c r="I7275" s="310">
        <v>42915.0</v>
      </c>
      <c r="J7275" s="319">
        <f>IFERROR(__xludf.DUMMYFUNCTION("SPLIT(I7275,""/"")"),29.0)</f>
        <v>29</v>
      </c>
      <c r="K7275" s="308">
        <f>IFERROR(__xludf.DUMMYFUNCTION("""COMPUTED_VALUE"""),6.0)</f>
        <v>6</v>
      </c>
      <c r="L7275" s="308">
        <f>IFERROR(__xludf.DUMMYFUNCTION("""COMPUTED_VALUE"""),2017.0)</f>
        <v>2017</v>
      </c>
      <c r="M7275" s="308" t="s">
        <v>29223</v>
      </c>
      <c r="N7275" s="308"/>
      <c r="O7275" s="308"/>
      <c r="P7275" s="308" t="s">
        <v>28792</v>
      </c>
      <c r="Q7275" s="308" t="s">
        <v>39573</v>
      </c>
      <c r="R7275" s="308"/>
      <c r="S7275" s="308" t="s">
        <v>81</v>
      </c>
      <c r="T7275" s="308" t="s">
        <v>75</v>
      </c>
      <c r="U7275" s="308" t="s">
        <v>27</v>
      </c>
      <c r="V7275" s="308"/>
    </row>
    <row r="7276">
      <c r="A7276" s="308"/>
      <c r="B7276" s="308"/>
      <c r="C7276" s="308" t="s">
        <v>29248</v>
      </c>
      <c r="D7276" s="308">
        <f>IFERROR(__xludf.DUMMYFUNCTION("SPLIT(C7276,""-"")"),7296.0)</f>
        <v>7296</v>
      </c>
      <c r="E7276" s="308" t="str">
        <f>IFERROR(__xludf.DUMMYFUNCTION("""COMPUTED_VALUE"""),"B")</f>
        <v>B</v>
      </c>
      <c r="F7276" s="315" t="s">
        <v>26</v>
      </c>
      <c r="G7276" s="308"/>
      <c r="H7276" s="308" t="s">
        <v>29249</v>
      </c>
      <c r="I7276" s="310">
        <v>42985.0</v>
      </c>
      <c r="J7276" s="319">
        <f>IFERROR(__xludf.DUMMYFUNCTION("SPLIT(I7276,""/"")"),7.0)</f>
        <v>7</v>
      </c>
      <c r="K7276" s="308">
        <f>IFERROR(__xludf.DUMMYFUNCTION("""COMPUTED_VALUE"""),9.0)</f>
        <v>9</v>
      </c>
      <c r="L7276" s="308">
        <f>IFERROR(__xludf.DUMMYFUNCTION("""COMPUTED_VALUE"""),2017.0)</f>
        <v>2017</v>
      </c>
      <c r="M7276" s="308" t="s">
        <v>29250</v>
      </c>
      <c r="N7276" s="308"/>
      <c r="O7276" s="308"/>
      <c r="P7276" s="308" t="s">
        <v>28792</v>
      </c>
      <c r="Q7276" s="308" t="s">
        <v>39573</v>
      </c>
      <c r="R7276" s="308"/>
      <c r="S7276" s="308" t="s">
        <v>81</v>
      </c>
      <c r="T7276" s="308" t="s">
        <v>75</v>
      </c>
      <c r="U7276" s="308" t="s">
        <v>27</v>
      </c>
      <c r="V7276" s="308"/>
    </row>
    <row r="7277">
      <c r="A7277" s="308"/>
      <c r="B7277" s="308"/>
      <c r="C7277" s="308" t="s">
        <v>29251</v>
      </c>
      <c r="D7277" s="308">
        <f>IFERROR(__xludf.DUMMYFUNCTION("SPLIT(C7277,""-"")"),7297.0)</f>
        <v>7297</v>
      </c>
      <c r="E7277" s="308" t="str">
        <f>IFERROR(__xludf.DUMMYFUNCTION("""COMPUTED_VALUE"""),"B")</f>
        <v>B</v>
      </c>
      <c r="F7277" s="315" t="s">
        <v>26</v>
      </c>
      <c r="G7277" s="308"/>
      <c r="H7277" s="308" t="s">
        <v>29252</v>
      </c>
      <c r="I7277" s="310">
        <v>42985.0</v>
      </c>
      <c r="J7277" s="319">
        <f>IFERROR(__xludf.DUMMYFUNCTION("SPLIT(I7277,""/"")"),7.0)</f>
        <v>7</v>
      </c>
      <c r="K7277" s="308">
        <f>IFERROR(__xludf.DUMMYFUNCTION("""COMPUTED_VALUE"""),9.0)</f>
        <v>9</v>
      </c>
      <c r="L7277" s="308">
        <f>IFERROR(__xludf.DUMMYFUNCTION("""COMPUTED_VALUE"""),2017.0)</f>
        <v>2017</v>
      </c>
      <c r="M7277" s="308" t="s">
        <v>29253</v>
      </c>
      <c r="N7277" s="308"/>
      <c r="O7277" s="308"/>
      <c r="P7277" s="308" t="s">
        <v>28792</v>
      </c>
      <c r="Q7277" s="308" t="s">
        <v>39573</v>
      </c>
      <c r="R7277" s="308"/>
      <c r="S7277" s="308" t="s">
        <v>81</v>
      </c>
      <c r="T7277" s="308" t="s">
        <v>75</v>
      </c>
      <c r="U7277" s="308" t="s">
        <v>27</v>
      </c>
      <c r="V7277" s="308"/>
    </row>
    <row r="7278">
      <c r="A7278" s="308"/>
      <c r="B7278" s="308"/>
      <c r="C7278" s="308" t="s">
        <v>29254</v>
      </c>
      <c r="D7278" s="308">
        <f>IFERROR(__xludf.DUMMYFUNCTION("SPLIT(C7278,""-"")"),7298.0)</f>
        <v>7298</v>
      </c>
      <c r="E7278" s="308" t="str">
        <f>IFERROR(__xludf.DUMMYFUNCTION("""COMPUTED_VALUE"""),"B")</f>
        <v>B</v>
      </c>
      <c r="F7278" s="315" t="s">
        <v>26</v>
      </c>
      <c r="G7278" s="308"/>
      <c r="H7278" s="308" t="s">
        <v>29255</v>
      </c>
      <c r="I7278" s="310">
        <v>42985.0</v>
      </c>
      <c r="J7278" s="319">
        <f>IFERROR(__xludf.DUMMYFUNCTION("SPLIT(I7278,""/"")"),7.0)</f>
        <v>7</v>
      </c>
      <c r="K7278" s="308">
        <f>IFERROR(__xludf.DUMMYFUNCTION("""COMPUTED_VALUE"""),9.0)</f>
        <v>9</v>
      </c>
      <c r="L7278" s="308">
        <f>IFERROR(__xludf.DUMMYFUNCTION("""COMPUTED_VALUE"""),2017.0)</f>
        <v>2017</v>
      </c>
      <c r="M7278" s="308" t="s">
        <v>29250</v>
      </c>
      <c r="N7278" s="308"/>
      <c r="O7278" s="308"/>
      <c r="P7278" s="308" t="s">
        <v>136</v>
      </c>
      <c r="Q7278" s="308" t="s">
        <v>39573</v>
      </c>
      <c r="R7278" s="308"/>
      <c r="S7278" s="315" t="s">
        <v>100</v>
      </c>
      <c r="T7278" s="308" t="s">
        <v>34208</v>
      </c>
      <c r="U7278" s="308" t="s">
        <v>27</v>
      </c>
      <c r="V7278" s="308"/>
    </row>
    <row r="7279">
      <c r="A7279" s="308"/>
      <c r="B7279" s="308"/>
      <c r="C7279" s="308" t="s">
        <v>29256</v>
      </c>
      <c r="D7279" s="308">
        <f>IFERROR(__xludf.DUMMYFUNCTION("SPLIT(C7279,""-"")"),7299.0)</f>
        <v>7299</v>
      </c>
      <c r="E7279" s="308" t="str">
        <f>IFERROR(__xludf.DUMMYFUNCTION("""COMPUTED_VALUE"""),"B")</f>
        <v>B</v>
      </c>
      <c r="F7279" s="315" t="s">
        <v>26</v>
      </c>
      <c r="G7279" s="308"/>
      <c r="H7279" s="308" t="s">
        <v>29257</v>
      </c>
      <c r="I7279" s="310">
        <v>42985.0</v>
      </c>
      <c r="J7279" s="319">
        <f>IFERROR(__xludf.DUMMYFUNCTION("SPLIT(I7279,""/"")"),7.0)</f>
        <v>7</v>
      </c>
      <c r="K7279" s="308">
        <f>IFERROR(__xludf.DUMMYFUNCTION("""COMPUTED_VALUE"""),9.0)</f>
        <v>9</v>
      </c>
      <c r="L7279" s="308">
        <f>IFERROR(__xludf.DUMMYFUNCTION("""COMPUTED_VALUE"""),2017.0)</f>
        <v>2017</v>
      </c>
      <c r="M7279" s="308" t="s">
        <v>29250</v>
      </c>
      <c r="N7279" s="308"/>
      <c r="O7279" s="308"/>
      <c r="P7279" s="308" t="s">
        <v>28792</v>
      </c>
      <c r="Q7279" s="308" t="s">
        <v>39573</v>
      </c>
      <c r="R7279" s="308"/>
      <c r="S7279" s="308" t="s">
        <v>81</v>
      </c>
      <c r="T7279" s="308" t="s">
        <v>75</v>
      </c>
      <c r="U7279" s="308" t="s">
        <v>27</v>
      </c>
      <c r="V7279" s="308"/>
    </row>
    <row r="7280">
      <c r="A7280" s="308"/>
      <c r="B7280" s="308"/>
      <c r="C7280" s="308" t="s">
        <v>29258</v>
      </c>
      <c r="D7280" s="308">
        <f>IFERROR(__xludf.DUMMYFUNCTION("SPLIT(C7280,""-"")"),7300.0)</f>
        <v>7300</v>
      </c>
      <c r="E7280" s="308" t="str">
        <f>IFERROR(__xludf.DUMMYFUNCTION("""COMPUTED_VALUE"""),"B")</f>
        <v>B</v>
      </c>
      <c r="F7280" s="315" t="s">
        <v>26</v>
      </c>
      <c r="G7280" s="308"/>
      <c r="H7280" s="308" t="s">
        <v>29259</v>
      </c>
      <c r="I7280" s="310">
        <v>42985.0</v>
      </c>
      <c r="J7280" s="319">
        <f>IFERROR(__xludf.DUMMYFUNCTION("SPLIT(I7280,""/"")"),7.0)</f>
        <v>7</v>
      </c>
      <c r="K7280" s="308">
        <f>IFERROR(__xludf.DUMMYFUNCTION("""COMPUTED_VALUE"""),9.0)</f>
        <v>9</v>
      </c>
      <c r="L7280" s="308">
        <f>IFERROR(__xludf.DUMMYFUNCTION("""COMPUTED_VALUE"""),2017.0)</f>
        <v>2017</v>
      </c>
      <c r="M7280" s="308" t="s">
        <v>29250</v>
      </c>
      <c r="N7280" s="308"/>
      <c r="O7280" s="308"/>
      <c r="P7280" s="308" t="s">
        <v>39617</v>
      </c>
      <c r="Q7280" s="308" t="s">
        <v>39573</v>
      </c>
      <c r="R7280" s="308"/>
      <c r="S7280" s="308" t="s">
        <v>81</v>
      </c>
      <c r="T7280" s="308" t="s">
        <v>75</v>
      </c>
      <c r="U7280" s="308" t="s">
        <v>27</v>
      </c>
      <c r="V7280" s="308"/>
    </row>
    <row r="7281">
      <c r="A7281" s="308"/>
      <c r="B7281" s="308"/>
      <c r="C7281" s="308" t="s">
        <v>29261</v>
      </c>
      <c r="D7281" s="308">
        <f>IFERROR(__xludf.DUMMYFUNCTION("SPLIT(C7281,""-"")"),7301.0)</f>
        <v>7301</v>
      </c>
      <c r="E7281" s="308" t="str">
        <f>IFERROR(__xludf.DUMMYFUNCTION("""COMPUTED_VALUE"""),"B")</f>
        <v>B</v>
      </c>
      <c r="F7281" s="315" t="s">
        <v>26</v>
      </c>
      <c r="G7281" s="308"/>
      <c r="H7281" s="308" t="s">
        <v>29262</v>
      </c>
      <c r="I7281" s="310">
        <v>42985.0</v>
      </c>
      <c r="J7281" s="319">
        <f>IFERROR(__xludf.DUMMYFUNCTION("SPLIT(I7281,""/"")"),7.0)</f>
        <v>7</v>
      </c>
      <c r="K7281" s="308">
        <f>IFERROR(__xludf.DUMMYFUNCTION("""COMPUTED_VALUE"""),9.0)</f>
        <v>9</v>
      </c>
      <c r="L7281" s="308">
        <f>IFERROR(__xludf.DUMMYFUNCTION("""COMPUTED_VALUE"""),2017.0)</f>
        <v>2017</v>
      </c>
      <c r="M7281" s="308" t="s">
        <v>29263</v>
      </c>
      <c r="N7281" s="308"/>
      <c r="O7281" s="308"/>
      <c r="P7281" s="308" t="s">
        <v>39618</v>
      </c>
      <c r="Q7281" s="308" t="s">
        <v>39573</v>
      </c>
      <c r="R7281" s="308"/>
      <c r="S7281" s="308" t="s">
        <v>81</v>
      </c>
      <c r="T7281" s="308" t="s">
        <v>75</v>
      </c>
      <c r="U7281" s="308" t="s">
        <v>27</v>
      </c>
      <c r="V7281" s="308"/>
    </row>
    <row r="7282">
      <c r="A7282" s="308"/>
      <c r="B7282" s="308"/>
      <c r="C7282" s="308" t="s">
        <v>29265</v>
      </c>
      <c r="D7282" s="308">
        <f>IFERROR(__xludf.DUMMYFUNCTION("SPLIT(C7282,""-"")"),7302.0)</f>
        <v>7302</v>
      </c>
      <c r="E7282" s="308" t="str">
        <f>IFERROR(__xludf.DUMMYFUNCTION("""COMPUTED_VALUE"""),"B")</f>
        <v>B</v>
      </c>
      <c r="F7282" s="315" t="s">
        <v>26</v>
      </c>
      <c r="G7282" s="308"/>
      <c r="H7282" s="308" t="s">
        <v>29266</v>
      </c>
      <c r="I7282" s="310">
        <v>42862.0</v>
      </c>
      <c r="J7282" s="319">
        <f>IFERROR(__xludf.DUMMYFUNCTION("SPLIT(I7282,""/"")"),7.0)</f>
        <v>7</v>
      </c>
      <c r="K7282" s="308">
        <f>IFERROR(__xludf.DUMMYFUNCTION("""COMPUTED_VALUE"""),5.0)</f>
        <v>5</v>
      </c>
      <c r="L7282" s="308">
        <f>IFERROR(__xludf.DUMMYFUNCTION("""COMPUTED_VALUE"""),2017.0)</f>
        <v>2017</v>
      </c>
      <c r="M7282" s="308" t="s">
        <v>29212</v>
      </c>
      <c r="N7282" s="308"/>
      <c r="O7282" s="308"/>
      <c r="P7282" s="308" t="s">
        <v>39619</v>
      </c>
      <c r="Q7282" s="308" t="s">
        <v>39573</v>
      </c>
      <c r="R7282" s="308"/>
      <c r="S7282" s="308" t="s">
        <v>81</v>
      </c>
      <c r="T7282" s="308" t="s">
        <v>75</v>
      </c>
      <c r="U7282" s="308" t="s">
        <v>27</v>
      </c>
      <c r="V7282" s="308"/>
    </row>
    <row r="7283">
      <c r="A7283" s="308"/>
      <c r="B7283" s="308"/>
      <c r="C7283" s="308" t="s">
        <v>29268</v>
      </c>
      <c r="D7283" s="308">
        <f>IFERROR(__xludf.DUMMYFUNCTION("SPLIT(C7283,""-"")"),7303.0)</f>
        <v>7303</v>
      </c>
      <c r="E7283" s="308" t="str">
        <f>IFERROR(__xludf.DUMMYFUNCTION("""COMPUTED_VALUE"""),"B")</f>
        <v>B</v>
      </c>
      <c r="F7283" s="315" t="s">
        <v>26</v>
      </c>
      <c r="G7283" s="308"/>
      <c r="H7283" s="308" t="s">
        <v>29269</v>
      </c>
      <c r="I7283" s="310">
        <v>42929.0</v>
      </c>
      <c r="J7283" s="319">
        <f>IFERROR(__xludf.DUMMYFUNCTION("SPLIT(I7283,""/"")"),13.0)</f>
        <v>13</v>
      </c>
      <c r="K7283" s="308">
        <f>IFERROR(__xludf.DUMMYFUNCTION("""COMPUTED_VALUE"""),7.0)</f>
        <v>7</v>
      </c>
      <c r="L7283" s="308">
        <f>IFERROR(__xludf.DUMMYFUNCTION("""COMPUTED_VALUE"""),2017.0)</f>
        <v>2017</v>
      </c>
      <c r="M7283" s="308" t="s">
        <v>28433</v>
      </c>
      <c r="N7283" s="308"/>
      <c r="O7283" s="308"/>
      <c r="P7283" s="308" t="s">
        <v>28792</v>
      </c>
      <c r="Q7283" s="308" t="s">
        <v>39573</v>
      </c>
      <c r="R7283" s="308"/>
      <c r="S7283" s="308" t="s">
        <v>81</v>
      </c>
      <c r="T7283" s="308" t="s">
        <v>75</v>
      </c>
      <c r="U7283" s="308" t="s">
        <v>27</v>
      </c>
      <c r="V7283" s="308"/>
    </row>
    <row r="7284">
      <c r="A7284" s="308"/>
      <c r="B7284" s="308"/>
      <c r="C7284" s="308" t="s">
        <v>29270</v>
      </c>
      <c r="D7284" s="308">
        <f>IFERROR(__xludf.DUMMYFUNCTION("SPLIT(C7284,""-"")"),7304.0)</f>
        <v>7304</v>
      </c>
      <c r="E7284" s="308" t="str">
        <f>IFERROR(__xludf.DUMMYFUNCTION("""COMPUTED_VALUE"""),"B")</f>
        <v>B</v>
      </c>
      <c r="F7284" s="315" t="s">
        <v>26</v>
      </c>
      <c r="G7284" s="308"/>
      <c r="H7284" s="308" t="s">
        <v>29271</v>
      </c>
      <c r="I7284" s="310">
        <v>42929.0</v>
      </c>
      <c r="J7284" s="319">
        <f>IFERROR(__xludf.DUMMYFUNCTION("SPLIT(I7284,""/"")"),13.0)</f>
        <v>13</v>
      </c>
      <c r="K7284" s="308">
        <f>IFERROR(__xludf.DUMMYFUNCTION("""COMPUTED_VALUE"""),7.0)</f>
        <v>7</v>
      </c>
      <c r="L7284" s="308">
        <f>IFERROR(__xludf.DUMMYFUNCTION("""COMPUTED_VALUE"""),2017.0)</f>
        <v>2017</v>
      </c>
      <c r="M7284" s="308" t="s">
        <v>28433</v>
      </c>
      <c r="N7284" s="308"/>
      <c r="O7284" s="308"/>
      <c r="P7284" s="308" t="s">
        <v>28792</v>
      </c>
      <c r="Q7284" s="308" t="s">
        <v>39573</v>
      </c>
      <c r="R7284" s="308"/>
      <c r="S7284" s="308" t="s">
        <v>81</v>
      </c>
      <c r="T7284" s="308" t="s">
        <v>75</v>
      </c>
      <c r="U7284" s="308" t="s">
        <v>27</v>
      </c>
      <c r="V7284" s="308"/>
    </row>
    <row r="7285">
      <c r="A7285" s="308"/>
      <c r="B7285" s="308"/>
      <c r="C7285" s="308" t="s">
        <v>29272</v>
      </c>
      <c r="D7285" s="308">
        <f>IFERROR(__xludf.DUMMYFUNCTION("SPLIT(C7285,""-"")"),7305.0)</f>
        <v>7305</v>
      </c>
      <c r="E7285" s="308" t="str">
        <f>IFERROR(__xludf.DUMMYFUNCTION("""COMPUTED_VALUE"""),"B")</f>
        <v>B</v>
      </c>
      <c r="F7285" s="315" t="s">
        <v>26</v>
      </c>
      <c r="G7285" s="308"/>
      <c r="H7285" s="308" t="s">
        <v>29273</v>
      </c>
      <c r="I7285" s="310">
        <v>43046.0</v>
      </c>
      <c r="J7285" s="319">
        <f>IFERROR(__xludf.DUMMYFUNCTION("SPLIT(I7285,""/"")"),7.0)</f>
        <v>7</v>
      </c>
      <c r="K7285" s="308">
        <f>IFERROR(__xludf.DUMMYFUNCTION("""COMPUTED_VALUE"""),11.0)</f>
        <v>11</v>
      </c>
      <c r="L7285" s="308">
        <f>IFERROR(__xludf.DUMMYFUNCTION("""COMPUTED_VALUE"""),2017.0)</f>
        <v>2017</v>
      </c>
      <c r="M7285" s="308" t="s">
        <v>29274</v>
      </c>
      <c r="N7285" s="308"/>
      <c r="O7285" s="308"/>
      <c r="P7285" s="308" t="s">
        <v>28792</v>
      </c>
      <c r="Q7285" s="308" t="s">
        <v>39573</v>
      </c>
      <c r="R7285" s="308"/>
      <c r="S7285" s="308" t="s">
        <v>81</v>
      </c>
      <c r="T7285" s="308" t="s">
        <v>75</v>
      </c>
      <c r="U7285" s="308" t="s">
        <v>27</v>
      </c>
      <c r="V7285" s="308"/>
    </row>
    <row r="7286">
      <c r="A7286" s="308"/>
      <c r="B7286" s="308"/>
      <c r="C7286" s="308" t="s">
        <v>29275</v>
      </c>
      <c r="D7286" s="308">
        <f>IFERROR(__xludf.DUMMYFUNCTION("SPLIT(C7286,""-"")"),7306.0)</f>
        <v>7306</v>
      </c>
      <c r="E7286" s="308" t="str">
        <f>IFERROR(__xludf.DUMMYFUNCTION("""COMPUTED_VALUE"""),"B")</f>
        <v>B</v>
      </c>
      <c r="F7286" s="315" t="s">
        <v>26</v>
      </c>
      <c r="G7286" s="308"/>
      <c r="H7286" s="308" t="s">
        <v>29276</v>
      </c>
      <c r="I7286" s="310">
        <v>43046.0</v>
      </c>
      <c r="J7286" s="319">
        <f>IFERROR(__xludf.DUMMYFUNCTION("SPLIT(I7286,""/"")"),7.0)</f>
        <v>7</v>
      </c>
      <c r="K7286" s="308">
        <f>IFERROR(__xludf.DUMMYFUNCTION("""COMPUTED_VALUE"""),11.0)</f>
        <v>11</v>
      </c>
      <c r="L7286" s="308">
        <f>IFERROR(__xludf.DUMMYFUNCTION("""COMPUTED_VALUE"""),2017.0)</f>
        <v>2017</v>
      </c>
      <c r="M7286" s="308" t="s">
        <v>29277</v>
      </c>
      <c r="N7286" s="308"/>
      <c r="O7286" s="308"/>
      <c r="P7286" s="308" t="s">
        <v>28792</v>
      </c>
      <c r="Q7286" s="308" t="s">
        <v>39573</v>
      </c>
      <c r="R7286" s="308"/>
      <c r="S7286" s="308" t="s">
        <v>81</v>
      </c>
      <c r="T7286" s="308" t="s">
        <v>75</v>
      </c>
      <c r="U7286" s="308" t="s">
        <v>27</v>
      </c>
      <c r="V7286" s="308"/>
    </row>
    <row r="7287">
      <c r="A7287" s="308"/>
      <c r="B7287" s="308"/>
      <c r="C7287" s="308" t="s">
        <v>29278</v>
      </c>
      <c r="D7287" s="308">
        <f>IFERROR(__xludf.DUMMYFUNCTION("SPLIT(C7287,""-"")"),7307.0)</f>
        <v>7307</v>
      </c>
      <c r="E7287" s="308" t="str">
        <f>IFERROR(__xludf.DUMMYFUNCTION("""COMPUTED_VALUE"""),"B")</f>
        <v>B</v>
      </c>
      <c r="F7287" s="315" t="s">
        <v>26</v>
      </c>
      <c r="G7287" s="308"/>
      <c r="H7287" s="308" t="s">
        <v>29279</v>
      </c>
      <c r="I7287" s="310">
        <v>42931.0</v>
      </c>
      <c r="J7287" s="319">
        <f>IFERROR(__xludf.DUMMYFUNCTION("SPLIT(I7287,""/"")"),15.0)</f>
        <v>15</v>
      </c>
      <c r="K7287" s="308">
        <f>IFERROR(__xludf.DUMMYFUNCTION("""COMPUTED_VALUE"""),7.0)</f>
        <v>7</v>
      </c>
      <c r="L7287" s="308">
        <f>IFERROR(__xludf.DUMMYFUNCTION("""COMPUTED_VALUE"""),2017.0)</f>
        <v>2017</v>
      </c>
      <c r="M7287" s="308" t="s">
        <v>29280</v>
      </c>
      <c r="N7287" s="308"/>
      <c r="O7287" s="308"/>
      <c r="P7287" s="308" t="s">
        <v>28792</v>
      </c>
      <c r="Q7287" s="308" t="s">
        <v>39573</v>
      </c>
      <c r="R7287" s="308"/>
      <c r="S7287" s="308" t="s">
        <v>81</v>
      </c>
      <c r="T7287" s="308" t="s">
        <v>75</v>
      </c>
      <c r="U7287" s="308" t="s">
        <v>27</v>
      </c>
      <c r="V7287" s="308"/>
    </row>
    <row r="7288">
      <c r="A7288" s="308"/>
      <c r="B7288" s="308"/>
      <c r="C7288" s="308" t="s">
        <v>29281</v>
      </c>
      <c r="D7288" s="308">
        <f>IFERROR(__xludf.DUMMYFUNCTION("SPLIT(C7288,""-"")"),7308.0)</f>
        <v>7308</v>
      </c>
      <c r="E7288" s="308" t="str">
        <f>IFERROR(__xludf.DUMMYFUNCTION("""COMPUTED_VALUE"""),"B")</f>
        <v>B</v>
      </c>
      <c r="F7288" s="315" t="s">
        <v>26</v>
      </c>
      <c r="G7288" s="308"/>
      <c r="H7288" s="308" t="s">
        <v>29282</v>
      </c>
      <c r="I7288" s="310">
        <v>42931.0</v>
      </c>
      <c r="J7288" s="319">
        <f>IFERROR(__xludf.DUMMYFUNCTION("SPLIT(I7288,""/"")"),15.0)</f>
        <v>15</v>
      </c>
      <c r="K7288" s="308">
        <f>IFERROR(__xludf.DUMMYFUNCTION("""COMPUTED_VALUE"""),7.0)</f>
        <v>7</v>
      </c>
      <c r="L7288" s="308">
        <f>IFERROR(__xludf.DUMMYFUNCTION("""COMPUTED_VALUE"""),2017.0)</f>
        <v>2017</v>
      </c>
      <c r="M7288" s="308" t="s">
        <v>29283</v>
      </c>
      <c r="N7288" s="308"/>
      <c r="O7288" s="308"/>
      <c r="P7288" s="308" t="s">
        <v>28792</v>
      </c>
      <c r="Q7288" s="308" t="s">
        <v>39573</v>
      </c>
      <c r="R7288" s="308"/>
      <c r="S7288" s="308" t="s">
        <v>81</v>
      </c>
      <c r="T7288" s="308" t="s">
        <v>75</v>
      </c>
      <c r="U7288" s="308" t="s">
        <v>27</v>
      </c>
      <c r="V7288" s="308"/>
    </row>
    <row r="7289">
      <c r="A7289" s="308"/>
      <c r="B7289" s="308"/>
      <c r="C7289" s="308" t="s">
        <v>29284</v>
      </c>
      <c r="D7289" s="308">
        <f>IFERROR(__xludf.DUMMYFUNCTION("SPLIT(C7289,""-"")"),7309.0)</f>
        <v>7309</v>
      </c>
      <c r="E7289" s="308" t="str">
        <f>IFERROR(__xludf.DUMMYFUNCTION("""COMPUTED_VALUE"""),"B")</f>
        <v>B</v>
      </c>
      <c r="F7289" s="315" t="s">
        <v>26</v>
      </c>
      <c r="G7289" s="308"/>
      <c r="H7289" s="308" t="s">
        <v>29285</v>
      </c>
      <c r="I7289" s="310">
        <v>42931.0</v>
      </c>
      <c r="J7289" s="319">
        <f>IFERROR(__xludf.DUMMYFUNCTION("SPLIT(I7289,""/"")"),15.0)</f>
        <v>15</v>
      </c>
      <c r="K7289" s="308">
        <f>IFERROR(__xludf.DUMMYFUNCTION("""COMPUTED_VALUE"""),7.0)</f>
        <v>7</v>
      </c>
      <c r="L7289" s="308">
        <f>IFERROR(__xludf.DUMMYFUNCTION("""COMPUTED_VALUE"""),2017.0)</f>
        <v>2017</v>
      </c>
      <c r="M7289" s="308" t="s">
        <v>29286</v>
      </c>
      <c r="N7289" s="308"/>
      <c r="O7289" s="308"/>
      <c r="P7289" s="308" t="s">
        <v>28792</v>
      </c>
      <c r="Q7289" s="308" t="s">
        <v>39573</v>
      </c>
      <c r="R7289" s="308"/>
      <c r="S7289" s="308" t="s">
        <v>81</v>
      </c>
      <c r="T7289" s="308" t="s">
        <v>75</v>
      </c>
      <c r="U7289" s="308" t="s">
        <v>27</v>
      </c>
      <c r="V7289" s="308"/>
    </row>
    <row r="7290">
      <c r="A7290" s="308"/>
      <c r="B7290" s="308"/>
      <c r="C7290" s="308" t="s">
        <v>29287</v>
      </c>
      <c r="D7290" s="308">
        <f>IFERROR(__xludf.DUMMYFUNCTION("SPLIT(C7290,""-"")"),7310.0)</f>
        <v>7310</v>
      </c>
      <c r="E7290" s="308" t="str">
        <f>IFERROR(__xludf.DUMMYFUNCTION("""COMPUTED_VALUE"""),"B")</f>
        <v>B</v>
      </c>
      <c r="F7290" s="315" t="s">
        <v>26</v>
      </c>
      <c r="G7290" s="308"/>
      <c r="H7290" s="308" t="s">
        <v>29288</v>
      </c>
      <c r="I7290" s="310">
        <v>42930.0</v>
      </c>
      <c r="J7290" s="319">
        <f>IFERROR(__xludf.DUMMYFUNCTION("SPLIT(I7290,""/"")"),14.0)</f>
        <v>14</v>
      </c>
      <c r="K7290" s="308">
        <f>IFERROR(__xludf.DUMMYFUNCTION("""COMPUTED_VALUE"""),7.0)</f>
        <v>7</v>
      </c>
      <c r="L7290" s="308">
        <f>IFERROR(__xludf.DUMMYFUNCTION("""COMPUTED_VALUE"""),2017.0)</f>
        <v>2017</v>
      </c>
      <c r="M7290" s="308" t="s">
        <v>29289</v>
      </c>
      <c r="N7290" s="308"/>
      <c r="O7290" s="308"/>
      <c r="P7290" s="308" t="s">
        <v>28792</v>
      </c>
      <c r="Q7290" s="308" t="s">
        <v>39573</v>
      </c>
      <c r="R7290" s="308"/>
      <c r="S7290" s="308" t="s">
        <v>81</v>
      </c>
      <c r="T7290" s="308" t="s">
        <v>75</v>
      </c>
      <c r="U7290" s="308" t="s">
        <v>27</v>
      </c>
      <c r="V7290" s="308"/>
    </row>
    <row r="7291">
      <c r="A7291" s="308"/>
      <c r="B7291" s="308"/>
      <c r="C7291" s="308" t="s">
        <v>29290</v>
      </c>
      <c r="D7291" s="308">
        <f>IFERROR(__xludf.DUMMYFUNCTION("SPLIT(C7291,""-"")"),7311.0)</f>
        <v>7311</v>
      </c>
      <c r="E7291" s="308" t="str">
        <f>IFERROR(__xludf.DUMMYFUNCTION("""COMPUTED_VALUE"""),"B")</f>
        <v>B</v>
      </c>
      <c r="F7291" s="315" t="s">
        <v>26</v>
      </c>
      <c r="G7291" s="308"/>
      <c r="H7291" s="308" t="s">
        <v>29291</v>
      </c>
      <c r="I7291" s="310">
        <v>42930.0</v>
      </c>
      <c r="J7291" s="319">
        <f>IFERROR(__xludf.DUMMYFUNCTION("SPLIT(I7291,""/"")"),14.0)</f>
        <v>14</v>
      </c>
      <c r="K7291" s="308">
        <f>IFERROR(__xludf.DUMMYFUNCTION("""COMPUTED_VALUE"""),7.0)</f>
        <v>7</v>
      </c>
      <c r="L7291" s="308">
        <f>IFERROR(__xludf.DUMMYFUNCTION("""COMPUTED_VALUE"""),2017.0)</f>
        <v>2017</v>
      </c>
      <c r="M7291" s="308" t="s">
        <v>29286</v>
      </c>
      <c r="N7291" s="308"/>
      <c r="O7291" s="308"/>
      <c r="P7291" s="308" t="s">
        <v>28792</v>
      </c>
      <c r="Q7291" s="308" t="s">
        <v>39573</v>
      </c>
      <c r="R7291" s="308"/>
      <c r="S7291" s="308" t="s">
        <v>81</v>
      </c>
      <c r="T7291" s="308" t="s">
        <v>75</v>
      </c>
      <c r="U7291" s="308" t="s">
        <v>27</v>
      </c>
      <c r="V7291" s="308"/>
    </row>
    <row r="7292">
      <c r="A7292" s="308"/>
      <c r="B7292" s="308"/>
      <c r="C7292" s="308" t="s">
        <v>29292</v>
      </c>
      <c r="D7292" s="308">
        <f>IFERROR(__xludf.DUMMYFUNCTION("SPLIT(C7292,""-"")"),7312.0)</f>
        <v>7312</v>
      </c>
      <c r="E7292" s="308" t="str">
        <f>IFERROR(__xludf.DUMMYFUNCTION("""COMPUTED_VALUE"""),"B")</f>
        <v>B</v>
      </c>
      <c r="F7292" s="315" t="s">
        <v>26</v>
      </c>
      <c r="G7292" s="308"/>
      <c r="H7292" s="308" t="s">
        <v>29293</v>
      </c>
      <c r="I7292" s="310">
        <v>42930.0</v>
      </c>
      <c r="J7292" s="319">
        <f>IFERROR(__xludf.DUMMYFUNCTION("SPLIT(I7292,""/"")"),14.0)</f>
        <v>14</v>
      </c>
      <c r="K7292" s="308">
        <f>IFERROR(__xludf.DUMMYFUNCTION("""COMPUTED_VALUE"""),7.0)</f>
        <v>7</v>
      </c>
      <c r="L7292" s="308">
        <f>IFERROR(__xludf.DUMMYFUNCTION("""COMPUTED_VALUE"""),2017.0)</f>
        <v>2017</v>
      </c>
      <c r="M7292" s="308" t="s">
        <v>29286</v>
      </c>
      <c r="N7292" s="308"/>
      <c r="O7292" s="308"/>
      <c r="P7292" s="308" t="s">
        <v>28792</v>
      </c>
      <c r="Q7292" s="308" t="s">
        <v>39573</v>
      </c>
      <c r="R7292" s="308"/>
      <c r="S7292" s="308" t="s">
        <v>81</v>
      </c>
      <c r="T7292" s="308" t="s">
        <v>75</v>
      </c>
      <c r="U7292" s="308" t="s">
        <v>27</v>
      </c>
      <c r="V7292" s="308"/>
    </row>
    <row r="7293">
      <c r="A7293" s="308"/>
      <c r="B7293" s="308"/>
      <c r="C7293" s="308" t="s">
        <v>29294</v>
      </c>
      <c r="D7293" s="308">
        <f>IFERROR(__xludf.DUMMYFUNCTION("SPLIT(C7293,""-"")"),7313.0)</f>
        <v>7313</v>
      </c>
      <c r="E7293" s="308" t="str">
        <f>IFERROR(__xludf.DUMMYFUNCTION("""COMPUTED_VALUE"""),"B")</f>
        <v>B</v>
      </c>
      <c r="F7293" s="315" t="s">
        <v>26</v>
      </c>
      <c r="G7293" s="308"/>
      <c r="H7293" s="308" t="s">
        <v>29295</v>
      </c>
      <c r="I7293" s="310">
        <v>42930.0</v>
      </c>
      <c r="J7293" s="319">
        <f>IFERROR(__xludf.DUMMYFUNCTION("SPLIT(I7293,""/"")"),14.0)</f>
        <v>14</v>
      </c>
      <c r="K7293" s="308">
        <f>IFERROR(__xludf.DUMMYFUNCTION("""COMPUTED_VALUE"""),7.0)</f>
        <v>7</v>
      </c>
      <c r="L7293" s="308">
        <f>IFERROR(__xludf.DUMMYFUNCTION("""COMPUTED_VALUE"""),2017.0)</f>
        <v>2017</v>
      </c>
      <c r="M7293" s="308" t="s">
        <v>29286</v>
      </c>
      <c r="N7293" s="308"/>
      <c r="O7293" s="308"/>
      <c r="P7293" s="308" t="s">
        <v>28792</v>
      </c>
      <c r="Q7293" s="308" t="s">
        <v>39573</v>
      </c>
      <c r="R7293" s="308"/>
      <c r="S7293" s="308" t="s">
        <v>81</v>
      </c>
      <c r="T7293" s="308" t="s">
        <v>75</v>
      </c>
      <c r="U7293" s="308" t="s">
        <v>27</v>
      </c>
      <c r="V7293" s="308"/>
    </row>
    <row r="7294">
      <c r="A7294" s="308"/>
      <c r="B7294" s="308"/>
      <c r="C7294" s="308" t="s">
        <v>29296</v>
      </c>
      <c r="D7294" s="308">
        <f>IFERROR(__xludf.DUMMYFUNCTION("SPLIT(C7294,""-"")"),7314.0)</f>
        <v>7314</v>
      </c>
      <c r="E7294" s="308" t="str">
        <f>IFERROR(__xludf.DUMMYFUNCTION("""COMPUTED_VALUE"""),"B")</f>
        <v>B</v>
      </c>
      <c r="F7294" s="315" t="s">
        <v>26</v>
      </c>
      <c r="G7294" s="308"/>
      <c r="H7294" s="308" t="s">
        <v>29297</v>
      </c>
      <c r="I7294" s="310">
        <v>42930.0</v>
      </c>
      <c r="J7294" s="319">
        <f>IFERROR(__xludf.DUMMYFUNCTION("SPLIT(I7294,""/"")"),14.0)</f>
        <v>14</v>
      </c>
      <c r="K7294" s="308">
        <f>IFERROR(__xludf.DUMMYFUNCTION("""COMPUTED_VALUE"""),7.0)</f>
        <v>7</v>
      </c>
      <c r="L7294" s="308">
        <f>IFERROR(__xludf.DUMMYFUNCTION("""COMPUTED_VALUE"""),2017.0)</f>
        <v>2017</v>
      </c>
      <c r="M7294" s="308" t="s">
        <v>29298</v>
      </c>
      <c r="N7294" s="308"/>
      <c r="O7294" s="308"/>
      <c r="P7294" s="308" t="s">
        <v>136</v>
      </c>
      <c r="Q7294" s="308" t="s">
        <v>39573</v>
      </c>
      <c r="R7294" s="308"/>
      <c r="S7294" s="315" t="s">
        <v>100</v>
      </c>
      <c r="T7294" s="308" t="s">
        <v>34208</v>
      </c>
      <c r="U7294" s="308" t="s">
        <v>27</v>
      </c>
      <c r="V7294" s="308"/>
    </row>
    <row r="7295">
      <c r="A7295" s="308"/>
      <c r="B7295" s="308"/>
      <c r="C7295" s="308" t="s">
        <v>29299</v>
      </c>
      <c r="D7295" s="308">
        <f>IFERROR(__xludf.DUMMYFUNCTION("SPLIT(C7295,""-"")"),7315.0)</f>
        <v>7315</v>
      </c>
      <c r="E7295" s="308" t="str">
        <f>IFERROR(__xludf.DUMMYFUNCTION("""COMPUTED_VALUE"""),"B")</f>
        <v>B</v>
      </c>
      <c r="F7295" s="315" t="s">
        <v>26</v>
      </c>
      <c r="G7295" s="308"/>
      <c r="H7295" s="308" t="s">
        <v>29300</v>
      </c>
      <c r="I7295" s="310">
        <v>42933.0</v>
      </c>
      <c r="J7295" s="319">
        <f>IFERROR(__xludf.DUMMYFUNCTION("SPLIT(I7295,""/"")"),17.0)</f>
        <v>17</v>
      </c>
      <c r="K7295" s="308">
        <f>IFERROR(__xludf.DUMMYFUNCTION("""COMPUTED_VALUE"""),7.0)</f>
        <v>7</v>
      </c>
      <c r="L7295" s="308">
        <f>IFERROR(__xludf.DUMMYFUNCTION("""COMPUTED_VALUE"""),2017.0)</f>
        <v>2017</v>
      </c>
      <c r="M7295" s="308" t="s">
        <v>29286</v>
      </c>
      <c r="N7295" s="308"/>
      <c r="O7295" s="308"/>
      <c r="P7295" s="308" t="s">
        <v>28792</v>
      </c>
      <c r="Q7295" s="308" t="s">
        <v>39573</v>
      </c>
      <c r="R7295" s="308"/>
      <c r="S7295" s="308" t="s">
        <v>81</v>
      </c>
      <c r="T7295" s="308" t="s">
        <v>75</v>
      </c>
      <c r="U7295" s="308" t="s">
        <v>27</v>
      </c>
      <c r="V7295" s="308"/>
    </row>
    <row r="7296">
      <c r="A7296" s="308"/>
      <c r="B7296" s="308"/>
      <c r="C7296" s="308" t="s">
        <v>29301</v>
      </c>
      <c r="D7296" s="308">
        <f>IFERROR(__xludf.DUMMYFUNCTION("SPLIT(C7296,""-"")"),7316.0)</f>
        <v>7316</v>
      </c>
      <c r="E7296" s="308" t="str">
        <f>IFERROR(__xludf.DUMMYFUNCTION("""COMPUTED_VALUE"""),"B")</f>
        <v>B</v>
      </c>
      <c r="F7296" s="315" t="s">
        <v>26</v>
      </c>
      <c r="G7296" s="308"/>
      <c r="H7296" s="308" t="s">
        <v>29302</v>
      </c>
      <c r="I7296" s="310">
        <v>42929.0</v>
      </c>
      <c r="J7296" s="319">
        <f>IFERROR(__xludf.DUMMYFUNCTION("SPLIT(I7296,""/"")"),13.0)</f>
        <v>13</v>
      </c>
      <c r="K7296" s="308">
        <f>IFERROR(__xludf.DUMMYFUNCTION("""COMPUTED_VALUE"""),7.0)</f>
        <v>7</v>
      </c>
      <c r="L7296" s="308">
        <f>IFERROR(__xludf.DUMMYFUNCTION("""COMPUTED_VALUE"""),2017.0)</f>
        <v>2017</v>
      </c>
      <c r="M7296" s="308" t="s">
        <v>28433</v>
      </c>
      <c r="N7296" s="308"/>
      <c r="O7296" s="308"/>
      <c r="P7296" s="308" t="s">
        <v>28792</v>
      </c>
      <c r="Q7296" s="308" t="s">
        <v>39573</v>
      </c>
      <c r="R7296" s="308"/>
      <c r="S7296" s="308" t="s">
        <v>81</v>
      </c>
      <c r="T7296" s="308" t="s">
        <v>75</v>
      </c>
      <c r="U7296" s="308" t="s">
        <v>27</v>
      </c>
      <c r="V7296" s="308"/>
    </row>
    <row r="7297">
      <c r="A7297" s="308"/>
      <c r="B7297" s="308"/>
      <c r="C7297" s="308" t="s">
        <v>29303</v>
      </c>
      <c r="D7297" s="308">
        <f>IFERROR(__xludf.DUMMYFUNCTION("SPLIT(C7297,""-"")"),7317.0)</f>
        <v>7317</v>
      </c>
      <c r="E7297" s="308" t="str">
        <f>IFERROR(__xludf.DUMMYFUNCTION("""COMPUTED_VALUE"""),"B")</f>
        <v>B</v>
      </c>
      <c r="F7297" s="315" t="s">
        <v>26</v>
      </c>
      <c r="G7297" s="308"/>
      <c r="H7297" s="308" t="s">
        <v>29304</v>
      </c>
      <c r="I7297" s="310">
        <v>42941.0</v>
      </c>
      <c r="J7297" s="319">
        <f>IFERROR(__xludf.DUMMYFUNCTION("SPLIT(I7297,""/"")"),25.0)</f>
        <v>25</v>
      </c>
      <c r="K7297" s="308">
        <f>IFERROR(__xludf.DUMMYFUNCTION("""COMPUTED_VALUE"""),7.0)</f>
        <v>7</v>
      </c>
      <c r="L7297" s="308">
        <f>IFERROR(__xludf.DUMMYFUNCTION("""COMPUTED_VALUE"""),2017.0)</f>
        <v>2017</v>
      </c>
      <c r="M7297" s="308" t="s">
        <v>29305</v>
      </c>
      <c r="N7297" s="308"/>
      <c r="O7297" s="308"/>
      <c r="P7297" s="308" t="s">
        <v>28792</v>
      </c>
      <c r="Q7297" s="308" t="s">
        <v>39573</v>
      </c>
      <c r="R7297" s="308"/>
      <c r="S7297" s="308" t="s">
        <v>81</v>
      </c>
      <c r="T7297" s="308" t="s">
        <v>75</v>
      </c>
      <c r="U7297" s="308" t="s">
        <v>27</v>
      </c>
      <c r="V7297" s="308"/>
    </row>
    <row r="7298">
      <c r="A7298" s="308"/>
      <c r="B7298" s="308"/>
      <c r="C7298" s="308" t="s">
        <v>29306</v>
      </c>
      <c r="D7298" s="308">
        <f>IFERROR(__xludf.DUMMYFUNCTION("SPLIT(C7298,""-"")"),7318.0)</f>
        <v>7318</v>
      </c>
      <c r="E7298" s="308" t="str">
        <f>IFERROR(__xludf.DUMMYFUNCTION("""COMPUTED_VALUE"""),"B")</f>
        <v>B</v>
      </c>
      <c r="F7298" s="315" t="s">
        <v>26</v>
      </c>
      <c r="G7298" s="308"/>
      <c r="H7298" s="308" t="s">
        <v>29307</v>
      </c>
      <c r="I7298" s="310">
        <v>42941.0</v>
      </c>
      <c r="J7298" s="319">
        <f>IFERROR(__xludf.DUMMYFUNCTION("SPLIT(I7298,""/"")"),25.0)</f>
        <v>25</v>
      </c>
      <c r="K7298" s="308">
        <f>IFERROR(__xludf.DUMMYFUNCTION("""COMPUTED_VALUE"""),7.0)</f>
        <v>7</v>
      </c>
      <c r="L7298" s="308">
        <f>IFERROR(__xludf.DUMMYFUNCTION("""COMPUTED_VALUE"""),2017.0)</f>
        <v>2017</v>
      </c>
      <c r="M7298" s="308" t="s">
        <v>29305</v>
      </c>
      <c r="N7298" s="308"/>
      <c r="O7298" s="308"/>
      <c r="P7298" s="308" t="s">
        <v>136</v>
      </c>
      <c r="Q7298" s="308" t="s">
        <v>39573</v>
      </c>
      <c r="R7298" s="308"/>
      <c r="S7298" s="315" t="s">
        <v>100</v>
      </c>
      <c r="T7298" s="308" t="s">
        <v>34208</v>
      </c>
      <c r="U7298" s="308" t="s">
        <v>27</v>
      </c>
      <c r="V7298" s="308"/>
    </row>
    <row r="7299">
      <c r="A7299" s="308"/>
      <c r="B7299" s="308"/>
      <c r="C7299" s="308" t="s">
        <v>29308</v>
      </c>
      <c r="D7299" s="308">
        <f>IFERROR(__xludf.DUMMYFUNCTION("SPLIT(C7299,""-"")"),7319.0)</f>
        <v>7319</v>
      </c>
      <c r="E7299" s="308" t="str">
        <f>IFERROR(__xludf.DUMMYFUNCTION("""COMPUTED_VALUE"""),"B")</f>
        <v>B</v>
      </c>
      <c r="F7299" s="315" t="s">
        <v>26</v>
      </c>
      <c r="G7299" s="308"/>
      <c r="H7299" s="308" t="s">
        <v>29309</v>
      </c>
      <c r="I7299" s="310">
        <v>42940.0</v>
      </c>
      <c r="J7299" s="319">
        <f>IFERROR(__xludf.DUMMYFUNCTION("SPLIT(I7299,""/"")"),24.0)</f>
        <v>24</v>
      </c>
      <c r="K7299" s="308">
        <f>IFERROR(__xludf.DUMMYFUNCTION("""COMPUTED_VALUE"""),7.0)</f>
        <v>7</v>
      </c>
      <c r="L7299" s="308">
        <f>IFERROR(__xludf.DUMMYFUNCTION("""COMPUTED_VALUE"""),2017.0)</f>
        <v>2017</v>
      </c>
      <c r="M7299" s="308" t="s">
        <v>28865</v>
      </c>
      <c r="N7299" s="308"/>
      <c r="O7299" s="308"/>
      <c r="P7299" s="308" t="s">
        <v>136</v>
      </c>
      <c r="Q7299" s="308" t="s">
        <v>39573</v>
      </c>
      <c r="R7299" s="308"/>
      <c r="S7299" s="315" t="s">
        <v>100</v>
      </c>
      <c r="T7299" s="308" t="s">
        <v>34208</v>
      </c>
      <c r="U7299" s="308" t="s">
        <v>27</v>
      </c>
      <c r="V7299" s="308"/>
    </row>
    <row r="7300">
      <c r="A7300" s="308"/>
      <c r="B7300" s="308"/>
      <c r="C7300" s="308" t="s">
        <v>29310</v>
      </c>
      <c r="D7300" s="308">
        <f>IFERROR(__xludf.DUMMYFUNCTION("SPLIT(C7300,""-"")"),7320.0)</f>
        <v>7320</v>
      </c>
      <c r="E7300" s="308" t="str">
        <f>IFERROR(__xludf.DUMMYFUNCTION("""COMPUTED_VALUE"""),"B")</f>
        <v>B</v>
      </c>
      <c r="F7300" s="315" t="s">
        <v>26</v>
      </c>
      <c r="G7300" s="308"/>
      <c r="H7300" s="308" t="s">
        <v>29311</v>
      </c>
      <c r="I7300" s="310">
        <v>42940.0</v>
      </c>
      <c r="J7300" s="319">
        <f>IFERROR(__xludf.DUMMYFUNCTION("SPLIT(I7300,""/"")"),24.0)</f>
        <v>24</v>
      </c>
      <c r="K7300" s="308">
        <f>IFERROR(__xludf.DUMMYFUNCTION("""COMPUTED_VALUE"""),7.0)</f>
        <v>7</v>
      </c>
      <c r="L7300" s="308">
        <f>IFERROR(__xludf.DUMMYFUNCTION("""COMPUTED_VALUE"""),2017.0)</f>
        <v>2017</v>
      </c>
      <c r="M7300" s="308" t="s">
        <v>28865</v>
      </c>
      <c r="N7300" s="308"/>
      <c r="O7300" s="308"/>
      <c r="P7300" s="308" t="s">
        <v>136</v>
      </c>
      <c r="Q7300" s="308" t="s">
        <v>39573</v>
      </c>
      <c r="R7300" s="308"/>
      <c r="S7300" s="315" t="s">
        <v>100</v>
      </c>
      <c r="T7300" s="308" t="s">
        <v>34208</v>
      </c>
      <c r="U7300" s="308" t="s">
        <v>27</v>
      </c>
      <c r="V7300" s="308"/>
    </row>
    <row r="7301">
      <c r="A7301" s="308"/>
      <c r="B7301" s="308"/>
      <c r="C7301" s="308" t="s">
        <v>29312</v>
      </c>
      <c r="D7301" s="308">
        <f>IFERROR(__xludf.DUMMYFUNCTION("SPLIT(C7301,""-"")"),7321.0)</f>
        <v>7321</v>
      </c>
      <c r="E7301" s="308" t="str">
        <f>IFERROR(__xludf.DUMMYFUNCTION("""COMPUTED_VALUE"""),"B")</f>
        <v>B</v>
      </c>
      <c r="F7301" s="315" t="s">
        <v>26</v>
      </c>
      <c r="G7301" s="308"/>
      <c r="H7301" s="308" t="s">
        <v>29313</v>
      </c>
      <c r="I7301" s="310">
        <v>42939.0</v>
      </c>
      <c r="J7301" s="319">
        <f>IFERROR(__xludf.DUMMYFUNCTION("SPLIT(I7301,""/"")"),23.0)</f>
        <v>23</v>
      </c>
      <c r="K7301" s="308">
        <f>IFERROR(__xludf.DUMMYFUNCTION("""COMPUTED_VALUE"""),7.0)</f>
        <v>7</v>
      </c>
      <c r="L7301" s="308">
        <f>IFERROR(__xludf.DUMMYFUNCTION("""COMPUTED_VALUE"""),2017.0)</f>
        <v>2017</v>
      </c>
      <c r="M7301" s="308" t="s">
        <v>29223</v>
      </c>
      <c r="N7301" s="308"/>
      <c r="O7301" s="308"/>
      <c r="P7301" s="308" t="s">
        <v>39620</v>
      </c>
      <c r="Q7301" s="308" t="s">
        <v>39573</v>
      </c>
      <c r="R7301" s="308"/>
      <c r="S7301" s="308" t="s">
        <v>81</v>
      </c>
      <c r="T7301" s="308" t="s">
        <v>75</v>
      </c>
      <c r="U7301" s="308" t="s">
        <v>27</v>
      </c>
      <c r="V7301" s="308"/>
    </row>
    <row r="7302">
      <c r="A7302" s="308"/>
      <c r="B7302" s="308"/>
      <c r="C7302" s="308" t="s">
        <v>29315</v>
      </c>
      <c r="D7302" s="308">
        <f>IFERROR(__xludf.DUMMYFUNCTION("SPLIT(C7302,""-"")"),7322.0)</f>
        <v>7322</v>
      </c>
      <c r="E7302" s="308" t="str">
        <f>IFERROR(__xludf.DUMMYFUNCTION("""COMPUTED_VALUE"""),"B")</f>
        <v>B</v>
      </c>
      <c r="F7302" s="315" t="s">
        <v>26</v>
      </c>
      <c r="G7302" s="308"/>
      <c r="H7302" s="308" t="s">
        <v>29316</v>
      </c>
      <c r="I7302" s="310">
        <v>42939.0</v>
      </c>
      <c r="J7302" s="319">
        <f>IFERROR(__xludf.DUMMYFUNCTION("SPLIT(I7302,""/"")"),23.0)</f>
        <v>23</v>
      </c>
      <c r="K7302" s="308">
        <f>IFERROR(__xludf.DUMMYFUNCTION("""COMPUTED_VALUE"""),7.0)</f>
        <v>7</v>
      </c>
      <c r="L7302" s="308">
        <f>IFERROR(__xludf.DUMMYFUNCTION("""COMPUTED_VALUE"""),2017.0)</f>
        <v>2017</v>
      </c>
      <c r="M7302" s="308" t="s">
        <v>29317</v>
      </c>
      <c r="N7302" s="308"/>
      <c r="O7302" s="308"/>
      <c r="P7302" s="308" t="s">
        <v>28792</v>
      </c>
      <c r="Q7302" s="308" t="s">
        <v>39573</v>
      </c>
      <c r="R7302" s="308"/>
      <c r="S7302" s="308" t="s">
        <v>81</v>
      </c>
      <c r="T7302" s="308" t="s">
        <v>75</v>
      </c>
      <c r="U7302" s="308" t="s">
        <v>27</v>
      </c>
      <c r="V7302" s="308"/>
    </row>
    <row r="7303">
      <c r="A7303" s="308"/>
      <c r="B7303" s="308"/>
      <c r="C7303" s="308" t="s">
        <v>29318</v>
      </c>
      <c r="D7303" s="308">
        <f>IFERROR(__xludf.DUMMYFUNCTION("SPLIT(C7303,""-"")"),7323.0)</f>
        <v>7323</v>
      </c>
      <c r="E7303" s="308" t="str">
        <f>IFERROR(__xludf.DUMMYFUNCTION("""COMPUTED_VALUE"""),"B")</f>
        <v>B</v>
      </c>
      <c r="F7303" s="315" t="s">
        <v>26</v>
      </c>
      <c r="G7303" s="308"/>
      <c r="H7303" s="308" t="s">
        <v>29319</v>
      </c>
      <c r="I7303" s="310">
        <v>42939.0</v>
      </c>
      <c r="J7303" s="319">
        <f>IFERROR(__xludf.DUMMYFUNCTION("SPLIT(I7303,""/"")"),23.0)</f>
        <v>23</v>
      </c>
      <c r="K7303" s="308">
        <f>IFERROR(__xludf.DUMMYFUNCTION("""COMPUTED_VALUE"""),7.0)</f>
        <v>7</v>
      </c>
      <c r="L7303" s="308">
        <f>IFERROR(__xludf.DUMMYFUNCTION("""COMPUTED_VALUE"""),2017.0)</f>
        <v>2017</v>
      </c>
      <c r="M7303" s="308" t="s">
        <v>29223</v>
      </c>
      <c r="N7303" s="308"/>
      <c r="O7303" s="308"/>
      <c r="P7303" s="308" t="s">
        <v>136</v>
      </c>
      <c r="Q7303" s="308" t="s">
        <v>39573</v>
      </c>
      <c r="R7303" s="308"/>
      <c r="S7303" s="315" t="s">
        <v>100</v>
      </c>
      <c r="T7303" s="308" t="s">
        <v>34208</v>
      </c>
      <c r="U7303" s="308" t="s">
        <v>27</v>
      </c>
      <c r="V7303" s="308"/>
    </row>
    <row r="7304">
      <c r="A7304" s="308"/>
      <c r="B7304" s="308"/>
      <c r="C7304" s="308" t="s">
        <v>29320</v>
      </c>
      <c r="D7304" s="308">
        <f>IFERROR(__xludf.DUMMYFUNCTION("SPLIT(C7304,""-"")"),7324.0)</f>
        <v>7324</v>
      </c>
      <c r="E7304" s="308" t="str">
        <f>IFERROR(__xludf.DUMMYFUNCTION("""COMPUTED_VALUE"""),"B")</f>
        <v>B</v>
      </c>
      <c r="F7304" s="315" t="s">
        <v>26</v>
      </c>
      <c r="G7304" s="308"/>
      <c r="H7304" s="308" t="s">
        <v>29321</v>
      </c>
      <c r="I7304" s="310">
        <v>42939.0</v>
      </c>
      <c r="J7304" s="319">
        <f>IFERROR(__xludf.DUMMYFUNCTION("SPLIT(I7304,""/"")"),23.0)</f>
        <v>23</v>
      </c>
      <c r="K7304" s="308">
        <f>IFERROR(__xludf.DUMMYFUNCTION("""COMPUTED_VALUE"""),7.0)</f>
        <v>7</v>
      </c>
      <c r="L7304" s="308">
        <f>IFERROR(__xludf.DUMMYFUNCTION("""COMPUTED_VALUE"""),2017.0)</f>
        <v>2017</v>
      </c>
      <c r="M7304" s="308" t="s">
        <v>29223</v>
      </c>
      <c r="N7304" s="308"/>
      <c r="O7304" s="308"/>
      <c r="P7304" s="308" t="s">
        <v>28792</v>
      </c>
      <c r="Q7304" s="308" t="s">
        <v>39573</v>
      </c>
      <c r="R7304" s="308"/>
      <c r="S7304" s="308" t="s">
        <v>81</v>
      </c>
      <c r="T7304" s="308" t="s">
        <v>75</v>
      </c>
      <c r="U7304" s="308" t="s">
        <v>27</v>
      </c>
      <c r="V7304" s="308"/>
    </row>
    <row r="7305">
      <c r="A7305" s="308"/>
      <c r="B7305" s="308"/>
      <c r="C7305" s="308" t="s">
        <v>29322</v>
      </c>
      <c r="D7305" s="308">
        <f>IFERROR(__xludf.DUMMYFUNCTION("SPLIT(C7305,""-"")"),7325.0)</f>
        <v>7325</v>
      </c>
      <c r="E7305" s="308" t="str">
        <f>IFERROR(__xludf.DUMMYFUNCTION("""COMPUTED_VALUE"""),"B")</f>
        <v>B</v>
      </c>
      <c r="F7305" s="315" t="s">
        <v>26</v>
      </c>
      <c r="G7305" s="308"/>
      <c r="H7305" s="308" t="s">
        <v>29323</v>
      </c>
      <c r="I7305" s="310">
        <v>42939.0</v>
      </c>
      <c r="J7305" s="319">
        <f>IFERROR(__xludf.DUMMYFUNCTION("SPLIT(I7305,""/"")"),23.0)</f>
        <v>23</v>
      </c>
      <c r="K7305" s="308">
        <f>IFERROR(__xludf.DUMMYFUNCTION("""COMPUTED_VALUE"""),7.0)</f>
        <v>7</v>
      </c>
      <c r="L7305" s="308">
        <f>IFERROR(__xludf.DUMMYFUNCTION("""COMPUTED_VALUE"""),2017.0)</f>
        <v>2017</v>
      </c>
      <c r="M7305" s="308" t="s">
        <v>29223</v>
      </c>
      <c r="N7305" s="308"/>
      <c r="O7305" s="308"/>
      <c r="P7305" s="308" t="s">
        <v>28792</v>
      </c>
      <c r="Q7305" s="308" t="s">
        <v>39573</v>
      </c>
      <c r="R7305" s="308"/>
      <c r="S7305" s="308" t="s">
        <v>81</v>
      </c>
      <c r="T7305" s="308" t="s">
        <v>75</v>
      </c>
      <c r="U7305" s="308" t="s">
        <v>27</v>
      </c>
      <c r="V7305" s="308"/>
    </row>
    <row r="7306">
      <c r="A7306" s="308"/>
      <c r="B7306" s="308"/>
      <c r="C7306" s="308" t="s">
        <v>29324</v>
      </c>
      <c r="D7306" s="308">
        <f>IFERROR(__xludf.DUMMYFUNCTION("SPLIT(C7306,""-"")"),7326.0)</f>
        <v>7326</v>
      </c>
      <c r="E7306" s="308" t="str">
        <f>IFERROR(__xludf.DUMMYFUNCTION("""COMPUTED_VALUE"""),"B")</f>
        <v>B</v>
      </c>
      <c r="F7306" s="315" t="s">
        <v>26</v>
      </c>
      <c r="G7306" s="308"/>
      <c r="H7306" s="308" t="s">
        <v>29325</v>
      </c>
      <c r="I7306" s="310">
        <v>42939.0</v>
      </c>
      <c r="J7306" s="319">
        <f>IFERROR(__xludf.DUMMYFUNCTION("SPLIT(I7306,""/"")"),23.0)</f>
        <v>23</v>
      </c>
      <c r="K7306" s="308">
        <f>IFERROR(__xludf.DUMMYFUNCTION("""COMPUTED_VALUE"""),7.0)</f>
        <v>7</v>
      </c>
      <c r="L7306" s="308">
        <f>IFERROR(__xludf.DUMMYFUNCTION("""COMPUTED_VALUE"""),2017.0)</f>
        <v>2017</v>
      </c>
      <c r="M7306" s="308" t="s">
        <v>29326</v>
      </c>
      <c r="N7306" s="308"/>
      <c r="O7306" s="308"/>
      <c r="P7306" s="308" t="s">
        <v>136</v>
      </c>
      <c r="Q7306" s="308" t="s">
        <v>39573</v>
      </c>
      <c r="R7306" s="308"/>
      <c r="S7306" s="315" t="s">
        <v>100</v>
      </c>
      <c r="T7306" s="308" t="s">
        <v>34208</v>
      </c>
      <c r="U7306" s="308" t="s">
        <v>27</v>
      </c>
      <c r="V7306" s="308"/>
    </row>
    <row r="7307">
      <c r="A7307" s="308"/>
      <c r="B7307" s="308"/>
      <c r="C7307" s="308" t="s">
        <v>29327</v>
      </c>
      <c r="D7307" s="308">
        <f>IFERROR(__xludf.DUMMYFUNCTION("SPLIT(C7307,""-"")"),7327.0)</f>
        <v>7327</v>
      </c>
      <c r="E7307" s="308" t="str">
        <f>IFERROR(__xludf.DUMMYFUNCTION("""COMPUTED_VALUE"""),"B")</f>
        <v>B</v>
      </c>
      <c r="F7307" s="315" t="s">
        <v>26</v>
      </c>
      <c r="G7307" s="308"/>
      <c r="H7307" s="308" t="s">
        <v>29328</v>
      </c>
      <c r="I7307" s="310">
        <v>42833.0</v>
      </c>
      <c r="J7307" s="319">
        <f>IFERROR(__xludf.DUMMYFUNCTION("SPLIT(I7307,""/"")"),8.0)</f>
        <v>8</v>
      </c>
      <c r="K7307" s="308">
        <f>IFERROR(__xludf.DUMMYFUNCTION("""COMPUTED_VALUE"""),4.0)</f>
        <v>4</v>
      </c>
      <c r="L7307" s="308">
        <f>IFERROR(__xludf.DUMMYFUNCTION("""COMPUTED_VALUE"""),2017.0)</f>
        <v>2017</v>
      </c>
      <c r="M7307" s="308" t="s">
        <v>29329</v>
      </c>
      <c r="N7307" s="308"/>
      <c r="O7307" s="308"/>
      <c r="P7307" s="308" t="s">
        <v>28792</v>
      </c>
      <c r="Q7307" s="308" t="s">
        <v>39573</v>
      </c>
      <c r="R7307" s="308"/>
      <c r="S7307" s="308" t="s">
        <v>81</v>
      </c>
      <c r="T7307" s="308" t="s">
        <v>75</v>
      </c>
      <c r="U7307" s="308" t="s">
        <v>27</v>
      </c>
      <c r="V7307" s="308"/>
    </row>
    <row r="7308">
      <c r="A7308" s="308"/>
      <c r="B7308" s="308"/>
      <c r="C7308" s="308" t="s">
        <v>29330</v>
      </c>
      <c r="D7308" s="308">
        <f>IFERROR(__xludf.DUMMYFUNCTION("SPLIT(C7308,""-"")"),7328.0)</f>
        <v>7328</v>
      </c>
      <c r="E7308" s="308" t="str">
        <f>IFERROR(__xludf.DUMMYFUNCTION("""COMPUTED_VALUE"""),"B")</f>
        <v>B</v>
      </c>
      <c r="F7308" s="315" t="s">
        <v>26</v>
      </c>
      <c r="G7308" s="308"/>
      <c r="H7308" s="308" t="s">
        <v>29331</v>
      </c>
      <c r="I7308" s="310">
        <v>42833.0</v>
      </c>
      <c r="J7308" s="319">
        <f>IFERROR(__xludf.DUMMYFUNCTION("SPLIT(I7308,""/"")"),8.0)</f>
        <v>8</v>
      </c>
      <c r="K7308" s="308">
        <f>IFERROR(__xludf.DUMMYFUNCTION("""COMPUTED_VALUE"""),4.0)</f>
        <v>4</v>
      </c>
      <c r="L7308" s="308">
        <f>IFERROR(__xludf.DUMMYFUNCTION("""COMPUTED_VALUE"""),2017.0)</f>
        <v>2017</v>
      </c>
      <c r="M7308" s="308" t="s">
        <v>29329</v>
      </c>
      <c r="N7308" s="308"/>
      <c r="O7308" s="308"/>
      <c r="P7308" s="308" t="s">
        <v>28792</v>
      </c>
      <c r="Q7308" s="308" t="s">
        <v>39573</v>
      </c>
      <c r="R7308" s="308"/>
      <c r="S7308" s="308" t="s">
        <v>81</v>
      </c>
      <c r="T7308" s="308" t="s">
        <v>75</v>
      </c>
      <c r="U7308" s="308" t="s">
        <v>27</v>
      </c>
      <c r="V7308" s="308"/>
    </row>
    <row r="7309">
      <c r="A7309" s="308"/>
      <c r="B7309" s="308"/>
      <c r="C7309" s="308" t="s">
        <v>29332</v>
      </c>
      <c r="D7309" s="308">
        <f>IFERROR(__xludf.DUMMYFUNCTION("SPLIT(C7309,""-"")"),7329.0)</f>
        <v>7329</v>
      </c>
      <c r="E7309" s="308" t="str">
        <f>IFERROR(__xludf.DUMMYFUNCTION("""COMPUTED_VALUE"""),"B")</f>
        <v>B</v>
      </c>
      <c r="F7309" s="315" t="s">
        <v>26</v>
      </c>
      <c r="G7309" s="308"/>
      <c r="H7309" s="308" t="s">
        <v>29333</v>
      </c>
      <c r="I7309" s="310">
        <v>42833.0</v>
      </c>
      <c r="J7309" s="319">
        <f>IFERROR(__xludf.DUMMYFUNCTION("SPLIT(I7309,""/"")"),8.0)</f>
        <v>8</v>
      </c>
      <c r="K7309" s="308">
        <f>IFERROR(__xludf.DUMMYFUNCTION("""COMPUTED_VALUE"""),4.0)</f>
        <v>4</v>
      </c>
      <c r="L7309" s="308">
        <f>IFERROR(__xludf.DUMMYFUNCTION("""COMPUTED_VALUE"""),2017.0)</f>
        <v>2017</v>
      </c>
      <c r="M7309" s="308" t="s">
        <v>29250</v>
      </c>
      <c r="N7309" s="308"/>
      <c r="O7309" s="308"/>
      <c r="P7309" s="308" t="s">
        <v>28792</v>
      </c>
      <c r="Q7309" s="308" t="s">
        <v>39573</v>
      </c>
      <c r="R7309" s="308"/>
      <c r="S7309" s="308" t="s">
        <v>81</v>
      </c>
      <c r="T7309" s="308" t="s">
        <v>75</v>
      </c>
      <c r="U7309" s="308" t="s">
        <v>27</v>
      </c>
      <c r="V7309" s="308"/>
    </row>
    <row r="7310">
      <c r="A7310" s="308"/>
      <c r="B7310" s="308"/>
      <c r="C7310" s="308" t="s">
        <v>29334</v>
      </c>
      <c r="D7310" s="308">
        <f>IFERROR(__xludf.DUMMYFUNCTION("SPLIT(C7310,""-"")"),7330.0)</f>
        <v>7330</v>
      </c>
      <c r="E7310" s="308" t="str">
        <f>IFERROR(__xludf.DUMMYFUNCTION("""COMPUTED_VALUE"""),"B")</f>
        <v>B</v>
      </c>
      <c r="F7310" s="315" t="s">
        <v>26</v>
      </c>
      <c r="G7310" s="308"/>
      <c r="H7310" s="308" t="s">
        <v>29335</v>
      </c>
      <c r="I7310" s="310">
        <v>42743.0</v>
      </c>
      <c r="J7310" s="319">
        <f>IFERROR(__xludf.DUMMYFUNCTION("SPLIT(I7310,""/"")"),8.0)</f>
        <v>8</v>
      </c>
      <c r="K7310" s="308">
        <f>IFERROR(__xludf.DUMMYFUNCTION("""COMPUTED_VALUE"""),1.0)</f>
        <v>1</v>
      </c>
      <c r="L7310" s="308">
        <f>IFERROR(__xludf.DUMMYFUNCTION("""COMPUTED_VALUE"""),2017.0)</f>
        <v>2017</v>
      </c>
      <c r="M7310" s="308" t="s">
        <v>29336</v>
      </c>
      <c r="N7310" s="308"/>
      <c r="O7310" s="308"/>
      <c r="P7310" s="308" t="s">
        <v>28792</v>
      </c>
      <c r="Q7310" s="308" t="s">
        <v>39573</v>
      </c>
      <c r="R7310" s="308"/>
      <c r="S7310" s="308" t="s">
        <v>81</v>
      </c>
      <c r="T7310" s="308" t="s">
        <v>75</v>
      </c>
      <c r="U7310" s="308" t="s">
        <v>27</v>
      </c>
      <c r="V7310" s="308"/>
    </row>
    <row r="7311">
      <c r="A7311" s="308"/>
      <c r="B7311" s="308"/>
      <c r="C7311" s="308" t="s">
        <v>29337</v>
      </c>
      <c r="D7311" s="308">
        <f>IFERROR(__xludf.DUMMYFUNCTION("SPLIT(C7311,""-"")"),7331.0)</f>
        <v>7331</v>
      </c>
      <c r="E7311" s="308" t="str">
        <f>IFERROR(__xludf.DUMMYFUNCTION("""COMPUTED_VALUE"""),"B")</f>
        <v>B</v>
      </c>
      <c r="F7311" s="315" t="s">
        <v>26</v>
      </c>
      <c r="G7311" s="308"/>
      <c r="H7311" s="308" t="s">
        <v>29338</v>
      </c>
      <c r="I7311" s="310">
        <v>42743.0</v>
      </c>
      <c r="J7311" s="319">
        <f>IFERROR(__xludf.DUMMYFUNCTION("SPLIT(I7311,""/"")"),8.0)</f>
        <v>8</v>
      </c>
      <c r="K7311" s="308">
        <f>IFERROR(__xludf.DUMMYFUNCTION("""COMPUTED_VALUE"""),1.0)</f>
        <v>1</v>
      </c>
      <c r="L7311" s="308">
        <f>IFERROR(__xludf.DUMMYFUNCTION("""COMPUTED_VALUE"""),2017.0)</f>
        <v>2017</v>
      </c>
      <c r="M7311" s="308" t="s">
        <v>29336</v>
      </c>
      <c r="N7311" s="308"/>
      <c r="O7311" s="308"/>
      <c r="P7311" s="308" t="s">
        <v>136</v>
      </c>
      <c r="Q7311" s="308" t="s">
        <v>39573</v>
      </c>
      <c r="R7311" s="308"/>
      <c r="S7311" s="315" t="s">
        <v>100</v>
      </c>
      <c r="T7311" s="308" t="s">
        <v>34208</v>
      </c>
      <c r="U7311" s="308" t="s">
        <v>27</v>
      </c>
      <c r="V7311" s="308"/>
    </row>
    <row r="7312">
      <c r="A7312" s="308"/>
      <c r="B7312" s="308"/>
      <c r="C7312" s="308" t="s">
        <v>29339</v>
      </c>
      <c r="D7312" s="308">
        <f>IFERROR(__xludf.DUMMYFUNCTION("SPLIT(C7312,""-"")"),7332.0)</f>
        <v>7332</v>
      </c>
      <c r="E7312" s="308" t="str">
        <f>IFERROR(__xludf.DUMMYFUNCTION("""COMPUTED_VALUE"""),"B")</f>
        <v>B</v>
      </c>
      <c r="F7312" s="315" t="s">
        <v>26</v>
      </c>
      <c r="G7312" s="308"/>
      <c r="H7312" s="308" t="s">
        <v>29340</v>
      </c>
      <c r="I7312" s="310">
        <v>42743.0</v>
      </c>
      <c r="J7312" s="319">
        <f>IFERROR(__xludf.DUMMYFUNCTION("SPLIT(I7312,""/"")"),8.0)</f>
        <v>8</v>
      </c>
      <c r="K7312" s="308">
        <f>IFERROR(__xludf.DUMMYFUNCTION("""COMPUTED_VALUE"""),1.0)</f>
        <v>1</v>
      </c>
      <c r="L7312" s="308">
        <f>IFERROR(__xludf.DUMMYFUNCTION("""COMPUTED_VALUE"""),2017.0)</f>
        <v>2017</v>
      </c>
      <c r="M7312" s="308" t="s">
        <v>29336</v>
      </c>
      <c r="N7312" s="308"/>
      <c r="O7312" s="308"/>
      <c r="P7312" s="308" t="s">
        <v>28792</v>
      </c>
      <c r="Q7312" s="308" t="s">
        <v>39573</v>
      </c>
      <c r="R7312" s="308"/>
      <c r="S7312" s="308" t="s">
        <v>81</v>
      </c>
      <c r="T7312" s="308" t="s">
        <v>75</v>
      </c>
      <c r="U7312" s="308" t="s">
        <v>27</v>
      </c>
      <c r="V7312" s="308"/>
    </row>
    <row r="7313">
      <c r="A7313" s="308"/>
      <c r="B7313" s="308"/>
      <c r="C7313" s="308" t="s">
        <v>29341</v>
      </c>
      <c r="D7313" s="308">
        <f>IFERROR(__xludf.DUMMYFUNCTION("SPLIT(C7313,""-"")"),7333.0)</f>
        <v>7333</v>
      </c>
      <c r="E7313" s="308" t="str">
        <f>IFERROR(__xludf.DUMMYFUNCTION("""COMPUTED_VALUE"""),"B")</f>
        <v>B</v>
      </c>
      <c r="F7313" s="315" t="s">
        <v>26</v>
      </c>
      <c r="G7313" s="308"/>
      <c r="H7313" s="308" t="s">
        <v>29342</v>
      </c>
      <c r="I7313" s="310">
        <v>42743.0</v>
      </c>
      <c r="J7313" s="319">
        <f>IFERROR(__xludf.DUMMYFUNCTION("SPLIT(I7313,""/"")"),8.0)</f>
        <v>8</v>
      </c>
      <c r="K7313" s="308">
        <f>IFERROR(__xludf.DUMMYFUNCTION("""COMPUTED_VALUE"""),1.0)</f>
        <v>1</v>
      </c>
      <c r="L7313" s="308">
        <f>IFERROR(__xludf.DUMMYFUNCTION("""COMPUTED_VALUE"""),2017.0)</f>
        <v>2017</v>
      </c>
      <c r="M7313" s="308" t="s">
        <v>29336</v>
      </c>
      <c r="N7313" s="308"/>
      <c r="O7313" s="308"/>
      <c r="P7313" s="308" t="s">
        <v>28792</v>
      </c>
      <c r="Q7313" s="308" t="s">
        <v>39573</v>
      </c>
      <c r="R7313" s="308"/>
      <c r="S7313" s="308" t="s">
        <v>81</v>
      </c>
      <c r="T7313" s="308" t="s">
        <v>75</v>
      </c>
      <c r="U7313" s="308" t="s">
        <v>27</v>
      </c>
      <c r="V7313" s="308"/>
    </row>
    <row r="7314">
      <c r="A7314" s="308"/>
      <c r="B7314" s="308"/>
      <c r="C7314" s="308" t="s">
        <v>29343</v>
      </c>
      <c r="D7314" s="308">
        <f>IFERROR(__xludf.DUMMYFUNCTION("SPLIT(C7314,""-"")"),7334.0)</f>
        <v>7334</v>
      </c>
      <c r="E7314" s="308" t="str">
        <f>IFERROR(__xludf.DUMMYFUNCTION("""COMPUTED_VALUE"""),"B")</f>
        <v>B</v>
      </c>
      <c r="F7314" s="315" t="s">
        <v>26</v>
      </c>
      <c r="G7314" s="308"/>
      <c r="H7314" s="308" t="s">
        <v>29344</v>
      </c>
      <c r="I7314" s="310">
        <v>42947.0</v>
      </c>
      <c r="J7314" s="319">
        <f>IFERROR(__xludf.DUMMYFUNCTION("SPLIT(I7314,""/"")"),31.0)</f>
        <v>31</v>
      </c>
      <c r="K7314" s="308">
        <f>IFERROR(__xludf.DUMMYFUNCTION("""COMPUTED_VALUE"""),7.0)</f>
        <v>7</v>
      </c>
      <c r="L7314" s="308">
        <f>IFERROR(__xludf.DUMMYFUNCTION("""COMPUTED_VALUE"""),2017.0)</f>
        <v>2017</v>
      </c>
      <c r="M7314" s="308" t="s">
        <v>28853</v>
      </c>
      <c r="N7314" s="308"/>
      <c r="O7314" s="308"/>
      <c r="P7314" s="308" t="s">
        <v>136</v>
      </c>
      <c r="Q7314" s="308" t="s">
        <v>39573</v>
      </c>
      <c r="R7314" s="308"/>
      <c r="S7314" s="315" t="s">
        <v>100</v>
      </c>
      <c r="T7314" s="308" t="s">
        <v>34208</v>
      </c>
      <c r="U7314" s="308" t="s">
        <v>27</v>
      </c>
      <c r="V7314" s="308"/>
    </row>
    <row r="7315">
      <c r="A7315" s="308"/>
      <c r="B7315" s="308"/>
      <c r="C7315" s="308" t="s">
        <v>29345</v>
      </c>
      <c r="D7315" s="308">
        <f>IFERROR(__xludf.DUMMYFUNCTION("SPLIT(C7315,""-"")"),7335.0)</f>
        <v>7335</v>
      </c>
      <c r="E7315" s="308" t="str">
        <f>IFERROR(__xludf.DUMMYFUNCTION("""COMPUTED_VALUE"""),"B")</f>
        <v>B</v>
      </c>
      <c r="F7315" s="315" t="s">
        <v>26</v>
      </c>
      <c r="G7315" s="308"/>
      <c r="H7315" s="308" t="s">
        <v>29346</v>
      </c>
      <c r="I7315" s="310">
        <v>42947.0</v>
      </c>
      <c r="J7315" s="319">
        <f>IFERROR(__xludf.DUMMYFUNCTION("SPLIT(I7315,""/"")"),31.0)</f>
        <v>31</v>
      </c>
      <c r="K7315" s="308">
        <f>IFERROR(__xludf.DUMMYFUNCTION("""COMPUTED_VALUE"""),7.0)</f>
        <v>7</v>
      </c>
      <c r="L7315" s="308">
        <f>IFERROR(__xludf.DUMMYFUNCTION("""COMPUTED_VALUE"""),2017.0)</f>
        <v>2017</v>
      </c>
      <c r="M7315" s="308" t="s">
        <v>29199</v>
      </c>
      <c r="N7315" s="308"/>
      <c r="O7315" s="308"/>
      <c r="P7315" s="308" t="s">
        <v>39621</v>
      </c>
      <c r="Q7315" s="308" t="s">
        <v>39573</v>
      </c>
      <c r="R7315" s="308"/>
      <c r="S7315" s="308" t="s">
        <v>81</v>
      </c>
      <c r="T7315" s="308" t="s">
        <v>75</v>
      </c>
      <c r="U7315" s="308" t="s">
        <v>27</v>
      </c>
      <c r="V7315" s="308"/>
    </row>
    <row r="7316">
      <c r="A7316" s="308"/>
      <c r="B7316" s="308"/>
      <c r="C7316" s="308" t="s">
        <v>29348</v>
      </c>
      <c r="D7316" s="308">
        <f>IFERROR(__xludf.DUMMYFUNCTION("SPLIT(C7316,""-"")"),7336.0)</f>
        <v>7336</v>
      </c>
      <c r="E7316" s="308" t="str">
        <f>IFERROR(__xludf.DUMMYFUNCTION("""COMPUTED_VALUE"""),"B")</f>
        <v>B</v>
      </c>
      <c r="F7316" s="315" t="s">
        <v>26</v>
      </c>
      <c r="G7316" s="308"/>
      <c r="H7316" s="308" t="s">
        <v>29349</v>
      </c>
      <c r="I7316" s="310">
        <v>42945.0</v>
      </c>
      <c r="J7316" s="319">
        <f>IFERROR(__xludf.DUMMYFUNCTION("SPLIT(I7316,""/"")"),29.0)</f>
        <v>29</v>
      </c>
      <c r="K7316" s="308">
        <f>IFERROR(__xludf.DUMMYFUNCTION("""COMPUTED_VALUE"""),7.0)</f>
        <v>7</v>
      </c>
      <c r="L7316" s="308">
        <f>IFERROR(__xludf.DUMMYFUNCTION("""COMPUTED_VALUE"""),2017.0)</f>
        <v>2017</v>
      </c>
      <c r="M7316" s="308" t="s">
        <v>29350</v>
      </c>
      <c r="N7316" s="308"/>
      <c r="O7316" s="308"/>
      <c r="P7316" s="308" t="s">
        <v>28792</v>
      </c>
      <c r="Q7316" s="308" t="s">
        <v>39573</v>
      </c>
      <c r="R7316" s="308"/>
      <c r="S7316" s="308" t="s">
        <v>81</v>
      </c>
      <c r="T7316" s="308" t="s">
        <v>75</v>
      </c>
      <c r="U7316" s="308" t="s">
        <v>27</v>
      </c>
      <c r="V7316" s="308"/>
    </row>
    <row r="7317">
      <c r="A7317" s="308"/>
      <c r="B7317" s="308"/>
      <c r="C7317" s="308" t="s">
        <v>29351</v>
      </c>
      <c r="D7317" s="308">
        <f>IFERROR(__xludf.DUMMYFUNCTION("SPLIT(C7317,""-"")"),7337.0)</f>
        <v>7337</v>
      </c>
      <c r="E7317" s="308" t="str">
        <f>IFERROR(__xludf.DUMMYFUNCTION("""COMPUTED_VALUE"""),"B")</f>
        <v>B</v>
      </c>
      <c r="F7317" s="315" t="s">
        <v>26</v>
      </c>
      <c r="G7317" s="308"/>
      <c r="H7317" s="308" t="s">
        <v>29352</v>
      </c>
      <c r="I7317" s="310">
        <v>42956.0</v>
      </c>
      <c r="J7317" s="319">
        <f>IFERROR(__xludf.DUMMYFUNCTION("SPLIT(I7317,""/"")"),9.0)</f>
        <v>9</v>
      </c>
      <c r="K7317" s="308">
        <f>IFERROR(__xludf.DUMMYFUNCTION("""COMPUTED_VALUE"""),8.0)</f>
        <v>8</v>
      </c>
      <c r="L7317" s="308">
        <f>IFERROR(__xludf.DUMMYFUNCTION("""COMPUTED_VALUE"""),2017.0)</f>
        <v>2017</v>
      </c>
      <c r="M7317" s="308" t="s">
        <v>29353</v>
      </c>
      <c r="N7317" s="308"/>
      <c r="O7317" s="308"/>
      <c r="P7317" s="308" t="s">
        <v>28792</v>
      </c>
      <c r="Q7317" s="308" t="s">
        <v>39573</v>
      </c>
      <c r="R7317" s="308"/>
      <c r="S7317" s="308" t="s">
        <v>81</v>
      </c>
      <c r="T7317" s="308" t="s">
        <v>75</v>
      </c>
      <c r="U7317" s="308" t="s">
        <v>27</v>
      </c>
      <c r="V7317" s="308"/>
    </row>
    <row r="7318">
      <c r="A7318" s="308"/>
      <c r="B7318" s="308"/>
      <c r="C7318" s="308" t="s">
        <v>29354</v>
      </c>
      <c r="D7318" s="308">
        <f>IFERROR(__xludf.DUMMYFUNCTION("SPLIT(C7318,""-"")"),7338.0)</f>
        <v>7338</v>
      </c>
      <c r="E7318" s="308" t="str">
        <f>IFERROR(__xludf.DUMMYFUNCTION("""COMPUTED_VALUE"""),"B")</f>
        <v>B</v>
      </c>
      <c r="F7318" s="315" t="s">
        <v>26</v>
      </c>
      <c r="G7318" s="308"/>
      <c r="H7318" s="308" t="s">
        <v>29355</v>
      </c>
      <c r="I7318" s="310">
        <v>42956.0</v>
      </c>
      <c r="J7318" s="319">
        <f>IFERROR(__xludf.DUMMYFUNCTION("SPLIT(I7318,""/"")"),9.0)</f>
        <v>9</v>
      </c>
      <c r="K7318" s="308">
        <f>IFERROR(__xludf.DUMMYFUNCTION("""COMPUTED_VALUE"""),8.0)</f>
        <v>8</v>
      </c>
      <c r="L7318" s="308">
        <f>IFERROR(__xludf.DUMMYFUNCTION("""COMPUTED_VALUE"""),2017.0)</f>
        <v>2017</v>
      </c>
      <c r="M7318" s="308" t="s">
        <v>29353</v>
      </c>
      <c r="N7318" s="308"/>
      <c r="O7318" s="308"/>
      <c r="P7318" s="308" t="s">
        <v>28792</v>
      </c>
      <c r="Q7318" s="308" t="s">
        <v>39573</v>
      </c>
      <c r="R7318" s="308"/>
      <c r="S7318" s="308" t="s">
        <v>81</v>
      </c>
      <c r="T7318" s="308" t="s">
        <v>75</v>
      </c>
      <c r="U7318" s="308" t="s">
        <v>27</v>
      </c>
      <c r="V7318" s="308"/>
    </row>
    <row r="7319">
      <c r="A7319" s="308"/>
      <c r="B7319" s="308"/>
      <c r="C7319" s="308" t="s">
        <v>29356</v>
      </c>
      <c r="D7319" s="308">
        <f>IFERROR(__xludf.DUMMYFUNCTION("SPLIT(C7319,""-"")"),7339.0)</f>
        <v>7339</v>
      </c>
      <c r="E7319" s="308" t="str">
        <f>IFERROR(__xludf.DUMMYFUNCTION("""COMPUTED_VALUE"""),"B")</f>
        <v>B</v>
      </c>
      <c r="F7319" s="315" t="s">
        <v>26</v>
      </c>
      <c r="G7319" s="308"/>
      <c r="H7319" s="308" t="s">
        <v>29357</v>
      </c>
      <c r="I7319" s="310">
        <v>42986.0</v>
      </c>
      <c r="J7319" s="319">
        <f>IFERROR(__xludf.DUMMYFUNCTION("SPLIT(I7319,""/"")"),8.0)</f>
        <v>8</v>
      </c>
      <c r="K7319" s="308">
        <f>IFERROR(__xludf.DUMMYFUNCTION("""COMPUTED_VALUE"""),9.0)</f>
        <v>9</v>
      </c>
      <c r="L7319" s="308">
        <f>IFERROR(__xludf.DUMMYFUNCTION("""COMPUTED_VALUE"""),2017.0)</f>
        <v>2017</v>
      </c>
      <c r="M7319" s="308" t="s">
        <v>29250</v>
      </c>
      <c r="N7319" s="308"/>
      <c r="O7319" s="308"/>
      <c r="P7319" s="308" t="s">
        <v>28792</v>
      </c>
      <c r="Q7319" s="308" t="s">
        <v>39573</v>
      </c>
      <c r="R7319" s="308"/>
      <c r="S7319" s="308" t="s">
        <v>81</v>
      </c>
      <c r="T7319" s="308" t="s">
        <v>75</v>
      </c>
      <c r="U7319" s="308" t="s">
        <v>27</v>
      </c>
      <c r="V7319" s="308"/>
    </row>
    <row r="7320">
      <c r="A7320" s="308"/>
      <c r="B7320" s="308"/>
      <c r="C7320" s="308" t="s">
        <v>29358</v>
      </c>
      <c r="D7320" s="308">
        <f>IFERROR(__xludf.DUMMYFUNCTION("SPLIT(C7320,""-"")"),7340.0)</f>
        <v>7340</v>
      </c>
      <c r="E7320" s="308" t="str">
        <f>IFERROR(__xludf.DUMMYFUNCTION("""COMPUTED_VALUE"""),"B")</f>
        <v>B</v>
      </c>
      <c r="F7320" s="315" t="s">
        <v>26</v>
      </c>
      <c r="G7320" s="308"/>
      <c r="H7320" s="308" t="s">
        <v>29359</v>
      </c>
      <c r="I7320" s="310">
        <v>42955.0</v>
      </c>
      <c r="J7320" s="319">
        <f>IFERROR(__xludf.DUMMYFUNCTION("SPLIT(I7320,""/"")"),8.0)</f>
        <v>8</v>
      </c>
      <c r="K7320" s="308">
        <f>IFERROR(__xludf.DUMMYFUNCTION("""COMPUTED_VALUE"""),8.0)</f>
        <v>8</v>
      </c>
      <c r="L7320" s="308">
        <f>IFERROR(__xludf.DUMMYFUNCTION("""COMPUTED_VALUE"""),2017.0)</f>
        <v>2017</v>
      </c>
      <c r="M7320" s="308" t="s">
        <v>29360</v>
      </c>
      <c r="N7320" s="308"/>
      <c r="O7320" s="308"/>
      <c r="P7320" s="308" t="s">
        <v>136</v>
      </c>
      <c r="Q7320" s="308" t="s">
        <v>39573</v>
      </c>
      <c r="R7320" s="308"/>
      <c r="S7320" s="315" t="s">
        <v>100</v>
      </c>
      <c r="T7320" s="308" t="s">
        <v>34208</v>
      </c>
      <c r="U7320" s="308" t="s">
        <v>27</v>
      </c>
      <c r="V7320" s="308"/>
    </row>
    <row r="7321">
      <c r="A7321" s="308"/>
      <c r="B7321" s="308"/>
      <c r="C7321" s="308" t="s">
        <v>29361</v>
      </c>
      <c r="D7321" s="308">
        <f>IFERROR(__xludf.DUMMYFUNCTION("SPLIT(C7321,""-"")"),7341.0)</f>
        <v>7341</v>
      </c>
      <c r="E7321" s="308" t="str">
        <f>IFERROR(__xludf.DUMMYFUNCTION("""COMPUTED_VALUE"""),"B")</f>
        <v>B</v>
      </c>
      <c r="F7321" s="315" t="s">
        <v>26</v>
      </c>
      <c r="G7321" s="308"/>
      <c r="H7321" s="308" t="s">
        <v>29362</v>
      </c>
      <c r="I7321" s="310">
        <v>42955.0</v>
      </c>
      <c r="J7321" s="319">
        <f>IFERROR(__xludf.DUMMYFUNCTION("SPLIT(I7321,""/"")"),8.0)</f>
        <v>8</v>
      </c>
      <c r="K7321" s="308">
        <f>IFERROR(__xludf.DUMMYFUNCTION("""COMPUTED_VALUE"""),8.0)</f>
        <v>8</v>
      </c>
      <c r="L7321" s="308">
        <f>IFERROR(__xludf.DUMMYFUNCTION("""COMPUTED_VALUE"""),2017.0)</f>
        <v>2017</v>
      </c>
      <c r="M7321" s="308" t="s">
        <v>29363</v>
      </c>
      <c r="N7321" s="308"/>
      <c r="O7321" s="308"/>
      <c r="P7321" s="308" t="s">
        <v>28792</v>
      </c>
      <c r="Q7321" s="308" t="s">
        <v>39573</v>
      </c>
      <c r="R7321" s="308"/>
      <c r="S7321" s="308" t="s">
        <v>81</v>
      </c>
      <c r="T7321" s="308" t="s">
        <v>75</v>
      </c>
      <c r="U7321" s="308" t="s">
        <v>27</v>
      </c>
      <c r="V7321" s="308"/>
    </row>
    <row r="7322">
      <c r="A7322" s="308"/>
      <c r="B7322" s="308"/>
      <c r="C7322" s="308" t="s">
        <v>29364</v>
      </c>
      <c r="D7322" s="308">
        <f>IFERROR(__xludf.DUMMYFUNCTION("SPLIT(C7322,""-"")"),7342.0)</f>
        <v>7342</v>
      </c>
      <c r="E7322" s="308" t="str">
        <f>IFERROR(__xludf.DUMMYFUNCTION("""COMPUTED_VALUE"""),"B")</f>
        <v>B</v>
      </c>
      <c r="F7322" s="315" t="s">
        <v>26</v>
      </c>
      <c r="G7322" s="308"/>
      <c r="H7322" s="308" t="s">
        <v>29365</v>
      </c>
      <c r="I7322" s="310">
        <v>42955.0</v>
      </c>
      <c r="J7322" s="319">
        <f>IFERROR(__xludf.DUMMYFUNCTION("SPLIT(I7322,""/"")"),8.0)</f>
        <v>8</v>
      </c>
      <c r="K7322" s="308">
        <f>IFERROR(__xludf.DUMMYFUNCTION("""COMPUTED_VALUE"""),8.0)</f>
        <v>8</v>
      </c>
      <c r="L7322" s="308">
        <f>IFERROR(__xludf.DUMMYFUNCTION("""COMPUTED_VALUE"""),2017.0)</f>
        <v>2017</v>
      </c>
      <c r="M7322" s="308" t="s">
        <v>29363</v>
      </c>
      <c r="N7322" s="308"/>
      <c r="O7322" s="308"/>
      <c r="P7322" s="308" t="s">
        <v>28792</v>
      </c>
      <c r="Q7322" s="308" t="s">
        <v>39573</v>
      </c>
      <c r="R7322" s="308"/>
      <c r="S7322" s="308" t="s">
        <v>81</v>
      </c>
      <c r="T7322" s="308" t="s">
        <v>75</v>
      </c>
      <c r="U7322" s="308" t="s">
        <v>27</v>
      </c>
      <c r="V7322" s="308"/>
    </row>
    <row r="7323">
      <c r="A7323" s="308"/>
      <c r="B7323" s="308"/>
      <c r="C7323" s="308" t="s">
        <v>29366</v>
      </c>
      <c r="D7323" s="308">
        <f>IFERROR(__xludf.DUMMYFUNCTION("SPLIT(C7323,""-"")"),7343.0)</f>
        <v>7343</v>
      </c>
      <c r="E7323" s="308" t="str">
        <f>IFERROR(__xludf.DUMMYFUNCTION("""COMPUTED_VALUE"""),"B")</f>
        <v>B</v>
      </c>
      <c r="F7323" s="315" t="s">
        <v>26</v>
      </c>
      <c r="G7323" s="308"/>
      <c r="H7323" s="308" t="s">
        <v>29367</v>
      </c>
      <c r="I7323" s="310">
        <v>42955.0</v>
      </c>
      <c r="J7323" s="319">
        <f>IFERROR(__xludf.DUMMYFUNCTION("SPLIT(I7323,""/"")"),8.0)</f>
        <v>8</v>
      </c>
      <c r="K7323" s="308">
        <f>IFERROR(__xludf.DUMMYFUNCTION("""COMPUTED_VALUE"""),8.0)</f>
        <v>8</v>
      </c>
      <c r="L7323" s="308">
        <f>IFERROR(__xludf.DUMMYFUNCTION("""COMPUTED_VALUE"""),2017.0)</f>
        <v>2017</v>
      </c>
      <c r="M7323" s="308" t="s">
        <v>29360</v>
      </c>
      <c r="N7323" s="308"/>
      <c r="O7323" s="308"/>
      <c r="P7323" s="308" t="s">
        <v>136</v>
      </c>
      <c r="Q7323" s="308" t="s">
        <v>39573</v>
      </c>
      <c r="R7323" s="308"/>
      <c r="S7323" s="315" t="s">
        <v>100</v>
      </c>
      <c r="T7323" s="308" t="s">
        <v>34208</v>
      </c>
      <c r="U7323" s="308" t="s">
        <v>27</v>
      </c>
      <c r="V7323" s="308"/>
    </row>
    <row r="7324">
      <c r="A7324" s="308"/>
      <c r="B7324" s="308"/>
      <c r="C7324" s="308" t="s">
        <v>29368</v>
      </c>
      <c r="D7324" s="308">
        <f>IFERROR(__xludf.DUMMYFUNCTION("SPLIT(C7324,""-"")"),7344.0)</f>
        <v>7344</v>
      </c>
      <c r="E7324" s="308" t="str">
        <f>IFERROR(__xludf.DUMMYFUNCTION("""COMPUTED_VALUE"""),"B")</f>
        <v>B</v>
      </c>
      <c r="F7324" s="315" t="s">
        <v>26</v>
      </c>
      <c r="G7324" s="308"/>
      <c r="H7324" s="308" t="s">
        <v>29369</v>
      </c>
      <c r="I7324" s="310">
        <v>42894.0</v>
      </c>
      <c r="J7324" s="319">
        <f>IFERROR(__xludf.DUMMYFUNCTION("SPLIT(I7324,""/"")"),8.0)</f>
        <v>8</v>
      </c>
      <c r="K7324" s="308">
        <f>IFERROR(__xludf.DUMMYFUNCTION("""COMPUTED_VALUE"""),6.0)</f>
        <v>6</v>
      </c>
      <c r="L7324" s="308">
        <f>IFERROR(__xludf.DUMMYFUNCTION("""COMPUTED_VALUE"""),2017.0)</f>
        <v>2017</v>
      </c>
      <c r="M7324" s="308" t="s">
        <v>29370</v>
      </c>
      <c r="N7324" s="308"/>
      <c r="O7324" s="308"/>
      <c r="P7324" s="308" t="s">
        <v>136</v>
      </c>
      <c r="Q7324" s="308" t="s">
        <v>39573</v>
      </c>
      <c r="R7324" s="308"/>
      <c r="S7324" s="315" t="s">
        <v>100</v>
      </c>
      <c r="T7324" s="308" t="s">
        <v>34208</v>
      </c>
      <c r="U7324" s="308" t="s">
        <v>27</v>
      </c>
      <c r="V7324" s="308"/>
    </row>
    <row r="7325">
      <c r="A7325" s="308"/>
      <c r="B7325" s="308"/>
      <c r="C7325" s="308" t="s">
        <v>29371</v>
      </c>
      <c r="D7325" s="308">
        <f>IFERROR(__xludf.DUMMYFUNCTION("SPLIT(C7325,""-"")"),7345.0)</f>
        <v>7345</v>
      </c>
      <c r="E7325" s="308" t="str">
        <f>IFERROR(__xludf.DUMMYFUNCTION("""COMPUTED_VALUE"""),"B")</f>
        <v>B</v>
      </c>
      <c r="F7325" s="315" t="s">
        <v>26</v>
      </c>
      <c r="G7325" s="308"/>
      <c r="H7325" s="308" t="s">
        <v>29372</v>
      </c>
      <c r="I7325" s="310">
        <v>42529.0</v>
      </c>
      <c r="J7325" s="319">
        <f>IFERROR(__xludf.DUMMYFUNCTION("SPLIT(I7325,""/"")"),8.0)</f>
        <v>8</v>
      </c>
      <c r="K7325" s="308">
        <f>IFERROR(__xludf.DUMMYFUNCTION("""COMPUTED_VALUE"""),6.0)</f>
        <v>6</v>
      </c>
      <c r="L7325" s="308">
        <f>IFERROR(__xludf.DUMMYFUNCTION("""COMPUTED_VALUE"""),2016.0)</f>
        <v>2016</v>
      </c>
      <c r="M7325" s="308" t="s">
        <v>29370</v>
      </c>
      <c r="N7325" s="308"/>
      <c r="O7325" s="308"/>
      <c r="P7325" s="308" t="s">
        <v>28792</v>
      </c>
      <c r="Q7325" s="308" t="s">
        <v>39573</v>
      </c>
      <c r="R7325" s="308"/>
      <c r="S7325" s="308" t="s">
        <v>81</v>
      </c>
      <c r="T7325" s="308" t="s">
        <v>75</v>
      </c>
      <c r="U7325" s="308" t="s">
        <v>27</v>
      </c>
      <c r="V7325" s="308"/>
    </row>
    <row r="7326">
      <c r="A7326" s="308"/>
      <c r="B7326" s="308"/>
      <c r="C7326" s="308" t="s">
        <v>29373</v>
      </c>
      <c r="D7326" s="308">
        <f>IFERROR(__xludf.DUMMYFUNCTION("SPLIT(C7326,""-"")"),7346.0)</f>
        <v>7346</v>
      </c>
      <c r="E7326" s="308" t="str">
        <f>IFERROR(__xludf.DUMMYFUNCTION("""COMPUTED_VALUE"""),"B")</f>
        <v>B</v>
      </c>
      <c r="F7326" s="315" t="s">
        <v>26</v>
      </c>
      <c r="G7326" s="308"/>
      <c r="H7326" s="308" t="s">
        <v>29374</v>
      </c>
      <c r="I7326" s="310">
        <v>42863.0</v>
      </c>
      <c r="J7326" s="319">
        <f>IFERROR(__xludf.DUMMYFUNCTION("SPLIT(I7326,""/"")"),8.0)</f>
        <v>8</v>
      </c>
      <c r="K7326" s="308">
        <f>IFERROR(__xludf.DUMMYFUNCTION("""COMPUTED_VALUE"""),5.0)</f>
        <v>5</v>
      </c>
      <c r="L7326" s="308">
        <f>IFERROR(__xludf.DUMMYFUNCTION("""COMPUTED_VALUE"""),2017.0)</f>
        <v>2017</v>
      </c>
      <c r="M7326" s="308" t="s">
        <v>28260</v>
      </c>
      <c r="N7326" s="308"/>
      <c r="O7326" s="308"/>
      <c r="P7326" s="308" t="s">
        <v>28792</v>
      </c>
      <c r="Q7326" s="308" t="s">
        <v>39573</v>
      </c>
      <c r="R7326" s="308"/>
      <c r="S7326" s="308" t="s">
        <v>81</v>
      </c>
      <c r="T7326" s="308" t="s">
        <v>75</v>
      </c>
      <c r="U7326" s="308" t="s">
        <v>27</v>
      </c>
      <c r="V7326" s="308"/>
    </row>
    <row r="7327">
      <c r="A7327" s="308"/>
      <c r="B7327" s="308"/>
      <c r="C7327" s="308" t="s">
        <v>29375</v>
      </c>
      <c r="D7327" s="308">
        <f>IFERROR(__xludf.DUMMYFUNCTION("SPLIT(C7327,""-"")"),7347.0)</f>
        <v>7347</v>
      </c>
      <c r="E7327" s="308" t="str">
        <f>IFERROR(__xludf.DUMMYFUNCTION("""COMPUTED_VALUE"""),"B")</f>
        <v>B</v>
      </c>
      <c r="F7327" s="315" t="s">
        <v>26</v>
      </c>
      <c r="G7327" s="308"/>
      <c r="H7327" s="308" t="s">
        <v>29376</v>
      </c>
      <c r="I7327" s="310">
        <v>42863.0</v>
      </c>
      <c r="J7327" s="319">
        <f>IFERROR(__xludf.DUMMYFUNCTION("SPLIT(I7327,""/"")"),8.0)</f>
        <v>8</v>
      </c>
      <c r="K7327" s="308">
        <f>IFERROR(__xludf.DUMMYFUNCTION("""COMPUTED_VALUE"""),5.0)</f>
        <v>5</v>
      </c>
      <c r="L7327" s="308">
        <f>IFERROR(__xludf.DUMMYFUNCTION("""COMPUTED_VALUE"""),2017.0)</f>
        <v>2017</v>
      </c>
      <c r="M7327" s="308" t="s">
        <v>29377</v>
      </c>
      <c r="N7327" s="308"/>
      <c r="O7327" s="308"/>
      <c r="P7327" s="308" t="s">
        <v>136</v>
      </c>
      <c r="Q7327" s="308" t="s">
        <v>39573</v>
      </c>
      <c r="R7327" s="308"/>
      <c r="S7327" s="315" t="s">
        <v>100</v>
      </c>
      <c r="T7327" s="308" t="s">
        <v>34208</v>
      </c>
      <c r="U7327" s="308" t="s">
        <v>27</v>
      </c>
      <c r="V7327" s="308"/>
    </row>
    <row r="7328">
      <c r="A7328" s="308"/>
      <c r="B7328" s="308"/>
      <c r="C7328" s="308" t="s">
        <v>29378</v>
      </c>
      <c r="D7328" s="308">
        <f>IFERROR(__xludf.DUMMYFUNCTION("SPLIT(C7328,""-"")"),7348.0)</f>
        <v>7348</v>
      </c>
      <c r="E7328" s="308" t="str">
        <f>IFERROR(__xludf.DUMMYFUNCTION("""COMPUTED_VALUE"""),"B")</f>
        <v>B</v>
      </c>
      <c r="F7328" s="315" t="s">
        <v>26</v>
      </c>
      <c r="G7328" s="308"/>
      <c r="H7328" s="308" t="s">
        <v>29379</v>
      </c>
      <c r="I7328" s="310">
        <v>42863.0</v>
      </c>
      <c r="J7328" s="319">
        <f>IFERROR(__xludf.DUMMYFUNCTION("SPLIT(I7328,""/"")"),8.0)</f>
        <v>8</v>
      </c>
      <c r="K7328" s="308">
        <f>IFERROR(__xludf.DUMMYFUNCTION("""COMPUTED_VALUE"""),5.0)</f>
        <v>5</v>
      </c>
      <c r="L7328" s="308">
        <f>IFERROR(__xludf.DUMMYFUNCTION("""COMPUTED_VALUE"""),2017.0)</f>
        <v>2017</v>
      </c>
      <c r="M7328" s="308" t="s">
        <v>29380</v>
      </c>
      <c r="N7328" s="308"/>
      <c r="O7328" s="308"/>
      <c r="P7328" s="308" t="s">
        <v>28792</v>
      </c>
      <c r="Q7328" s="308" t="s">
        <v>39573</v>
      </c>
      <c r="R7328" s="308"/>
      <c r="S7328" s="308" t="s">
        <v>81</v>
      </c>
      <c r="T7328" s="308" t="s">
        <v>75</v>
      </c>
      <c r="U7328" s="308" t="s">
        <v>27</v>
      </c>
      <c r="V7328" s="308"/>
    </row>
    <row r="7329">
      <c r="A7329" s="308"/>
      <c r="B7329" s="308"/>
      <c r="C7329" s="308" t="s">
        <v>29381</v>
      </c>
      <c r="D7329" s="308">
        <f>IFERROR(__xludf.DUMMYFUNCTION("SPLIT(C7329,""-"")"),7349.0)</f>
        <v>7349</v>
      </c>
      <c r="E7329" s="308" t="str">
        <f>IFERROR(__xludf.DUMMYFUNCTION("""COMPUTED_VALUE"""),"B")</f>
        <v>B</v>
      </c>
      <c r="F7329" s="315" t="s">
        <v>26</v>
      </c>
      <c r="G7329" s="308"/>
      <c r="H7329" s="308" t="s">
        <v>29382</v>
      </c>
      <c r="I7329" s="310">
        <v>42833.0</v>
      </c>
      <c r="J7329" s="319">
        <f>IFERROR(__xludf.DUMMYFUNCTION("SPLIT(I7329,""/"")"),8.0)</f>
        <v>8</v>
      </c>
      <c r="K7329" s="308">
        <f>IFERROR(__xludf.DUMMYFUNCTION("""COMPUTED_VALUE"""),4.0)</f>
        <v>4</v>
      </c>
      <c r="L7329" s="308">
        <f>IFERROR(__xludf.DUMMYFUNCTION("""COMPUTED_VALUE"""),2017.0)</f>
        <v>2017</v>
      </c>
      <c r="M7329" s="308" t="s">
        <v>29329</v>
      </c>
      <c r="N7329" s="308"/>
      <c r="O7329" s="308"/>
      <c r="P7329" s="308" t="s">
        <v>28792</v>
      </c>
      <c r="Q7329" s="308" t="s">
        <v>39573</v>
      </c>
      <c r="R7329" s="308"/>
      <c r="S7329" s="308" t="s">
        <v>81</v>
      </c>
      <c r="T7329" s="308" t="s">
        <v>75</v>
      </c>
      <c r="U7329" s="308" t="s">
        <v>27</v>
      </c>
      <c r="V7329" s="308"/>
    </row>
    <row r="7330">
      <c r="A7330" s="308"/>
      <c r="B7330" s="308"/>
      <c r="C7330" s="308" t="s">
        <v>29383</v>
      </c>
      <c r="D7330" s="308">
        <f>IFERROR(__xludf.DUMMYFUNCTION("SPLIT(C7330,""-"")"),7350.0)</f>
        <v>7350</v>
      </c>
      <c r="E7330" s="308" t="str">
        <f>IFERROR(__xludf.DUMMYFUNCTION("""COMPUTED_VALUE"""),"B")</f>
        <v>B</v>
      </c>
      <c r="F7330" s="315" t="s">
        <v>26</v>
      </c>
      <c r="G7330" s="308"/>
      <c r="H7330" s="308" t="s">
        <v>29102</v>
      </c>
      <c r="I7330" s="310">
        <v>42833.0</v>
      </c>
      <c r="J7330" s="319">
        <f>IFERROR(__xludf.DUMMYFUNCTION("SPLIT(I7330,""/"")"),8.0)</f>
        <v>8</v>
      </c>
      <c r="K7330" s="308">
        <f>IFERROR(__xludf.DUMMYFUNCTION("""COMPUTED_VALUE"""),4.0)</f>
        <v>4</v>
      </c>
      <c r="L7330" s="308">
        <f>IFERROR(__xludf.DUMMYFUNCTION("""COMPUTED_VALUE"""),2017.0)</f>
        <v>2017</v>
      </c>
      <c r="M7330" s="308" t="s">
        <v>29250</v>
      </c>
      <c r="N7330" s="308"/>
      <c r="O7330" s="308"/>
      <c r="P7330" s="308" t="s">
        <v>39622</v>
      </c>
      <c r="Q7330" s="308" t="s">
        <v>39573</v>
      </c>
      <c r="R7330" s="308"/>
      <c r="S7330" s="308" t="s">
        <v>81</v>
      </c>
      <c r="T7330" s="308" t="s">
        <v>75</v>
      </c>
      <c r="U7330" s="308" t="s">
        <v>27</v>
      </c>
      <c r="V7330" s="308"/>
    </row>
    <row r="7331">
      <c r="A7331" s="308"/>
      <c r="B7331" s="308"/>
      <c r="C7331" s="308" t="s">
        <v>29385</v>
      </c>
      <c r="D7331" s="308">
        <f>IFERROR(__xludf.DUMMYFUNCTION("SPLIT(C7331,""-"")"),7351.0)</f>
        <v>7351</v>
      </c>
      <c r="E7331" s="308" t="str">
        <f>IFERROR(__xludf.DUMMYFUNCTION("""COMPUTED_VALUE"""),"B")</f>
        <v>B</v>
      </c>
      <c r="F7331" s="315" t="s">
        <v>26</v>
      </c>
      <c r="G7331" s="308"/>
      <c r="H7331" s="308" t="s">
        <v>29386</v>
      </c>
      <c r="I7331" s="310">
        <v>42833.0</v>
      </c>
      <c r="J7331" s="319">
        <f>IFERROR(__xludf.DUMMYFUNCTION("SPLIT(I7331,""/"")"),8.0)</f>
        <v>8</v>
      </c>
      <c r="K7331" s="308">
        <f>IFERROR(__xludf.DUMMYFUNCTION("""COMPUTED_VALUE"""),4.0)</f>
        <v>4</v>
      </c>
      <c r="L7331" s="308">
        <f>IFERROR(__xludf.DUMMYFUNCTION("""COMPUTED_VALUE"""),2017.0)</f>
        <v>2017</v>
      </c>
      <c r="M7331" s="308" t="s">
        <v>29250</v>
      </c>
      <c r="N7331" s="308"/>
      <c r="O7331" s="308"/>
      <c r="P7331" s="308" t="s">
        <v>39623</v>
      </c>
      <c r="Q7331" s="308" t="s">
        <v>39573</v>
      </c>
      <c r="R7331" s="308"/>
      <c r="S7331" s="308" t="s">
        <v>81</v>
      </c>
      <c r="T7331" s="308" t="s">
        <v>75</v>
      </c>
      <c r="U7331" s="308" t="s">
        <v>27</v>
      </c>
      <c r="V7331" s="308"/>
    </row>
    <row r="7332">
      <c r="A7332" s="308"/>
      <c r="B7332" s="308"/>
      <c r="C7332" s="308" t="s">
        <v>29388</v>
      </c>
      <c r="D7332" s="308">
        <f>IFERROR(__xludf.DUMMYFUNCTION("SPLIT(C7332,""-"")"),7352.0)</f>
        <v>7352</v>
      </c>
      <c r="E7332" s="308" t="str">
        <f>IFERROR(__xludf.DUMMYFUNCTION("""COMPUTED_VALUE"""),"B")</f>
        <v>B</v>
      </c>
      <c r="F7332" s="315" t="s">
        <v>26</v>
      </c>
      <c r="G7332" s="308"/>
      <c r="H7332" s="308" t="s">
        <v>29389</v>
      </c>
      <c r="I7332" s="310">
        <v>42833.0</v>
      </c>
      <c r="J7332" s="319">
        <f>IFERROR(__xludf.DUMMYFUNCTION("SPLIT(I7332,""/"")"),8.0)</f>
        <v>8</v>
      </c>
      <c r="K7332" s="308">
        <f>IFERROR(__xludf.DUMMYFUNCTION("""COMPUTED_VALUE"""),4.0)</f>
        <v>4</v>
      </c>
      <c r="L7332" s="308">
        <f>IFERROR(__xludf.DUMMYFUNCTION("""COMPUTED_VALUE"""),2017.0)</f>
        <v>2017</v>
      </c>
      <c r="M7332" s="308" t="s">
        <v>29390</v>
      </c>
      <c r="N7332" s="308"/>
      <c r="O7332" s="308"/>
      <c r="P7332" s="308" t="s">
        <v>28792</v>
      </c>
      <c r="Q7332" s="308" t="s">
        <v>39573</v>
      </c>
      <c r="R7332" s="308"/>
      <c r="S7332" s="308" t="s">
        <v>81</v>
      </c>
      <c r="T7332" s="308" t="s">
        <v>75</v>
      </c>
      <c r="U7332" s="308" t="s">
        <v>27</v>
      </c>
      <c r="V7332" s="308"/>
    </row>
    <row r="7333">
      <c r="A7333" s="308"/>
      <c r="B7333" s="308"/>
      <c r="C7333" s="308" t="s">
        <v>29391</v>
      </c>
      <c r="D7333" s="308">
        <f>IFERROR(__xludf.DUMMYFUNCTION("SPLIT(C7333,""-"")"),7353.0)</f>
        <v>7353</v>
      </c>
      <c r="E7333" s="308" t="str">
        <f>IFERROR(__xludf.DUMMYFUNCTION("""COMPUTED_VALUE"""),"B")</f>
        <v>B</v>
      </c>
      <c r="F7333" s="315" t="s">
        <v>26</v>
      </c>
      <c r="G7333" s="308"/>
      <c r="H7333" s="308" t="s">
        <v>29392</v>
      </c>
      <c r="I7333" s="316" t="s">
        <v>29393</v>
      </c>
      <c r="J7333" s="319"/>
      <c r="K7333" s="308"/>
      <c r="L7333" s="311">
        <v>2017.0</v>
      </c>
      <c r="M7333" s="308" t="s">
        <v>29250</v>
      </c>
      <c r="N7333" s="308"/>
      <c r="O7333" s="308"/>
      <c r="P7333" s="308" t="s">
        <v>136</v>
      </c>
      <c r="Q7333" s="308" t="s">
        <v>39573</v>
      </c>
      <c r="R7333" s="308"/>
      <c r="S7333" s="315" t="s">
        <v>100</v>
      </c>
      <c r="T7333" s="308" t="s">
        <v>34208</v>
      </c>
      <c r="U7333" s="308" t="s">
        <v>27</v>
      </c>
      <c r="V7333" s="308"/>
    </row>
    <row r="7334">
      <c r="A7334" s="308"/>
      <c r="B7334" s="308"/>
      <c r="C7334" s="308" t="s">
        <v>29394</v>
      </c>
      <c r="D7334" s="308">
        <f>IFERROR(__xludf.DUMMYFUNCTION("SPLIT(C7334,""-"")"),7354.0)</f>
        <v>7354</v>
      </c>
      <c r="E7334" s="308" t="str">
        <f>IFERROR(__xludf.DUMMYFUNCTION("""COMPUTED_VALUE"""),"B")</f>
        <v>B</v>
      </c>
      <c r="F7334" s="315" t="s">
        <v>26</v>
      </c>
      <c r="G7334" s="308"/>
      <c r="H7334" s="308" t="s">
        <v>29395</v>
      </c>
      <c r="I7334" s="310">
        <v>42961.0</v>
      </c>
      <c r="J7334" s="319">
        <f>IFERROR(__xludf.DUMMYFUNCTION("SPLIT(I7334,""/"")"),14.0)</f>
        <v>14</v>
      </c>
      <c r="K7334" s="308">
        <f>IFERROR(__xludf.DUMMYFUNCTION("""COMPUTED_VALUE"""),8.0)</f>
        <v>8</v>
      </c>
      <c r="L7334" s="308">
        <f>IFERROR(__xludf.DUMMYFUNCTION("""COMPUTED_VALUE"""),2017.0)</f>
        <v>2017</v>
      </c>
      <c r="M7334" s="308" t="s">
        <v>29396</v>
      </c>
      <c r="N7334" s="308"/>
      <c r="O7334" s="308"/>
      <c r="P7334" s="308" t="s">
        <v>28792</v>
      </c>
      <c r="Q7334" s="308" t="s">
        <v>39573</v>
      </c>
      <c r="R7334" s="308"/>
      <c r="S7334" s="308" t="s">
        <v>81</v>
      </c>
      <c r="T7334" s="308" t="s">
        <v>75</v>
      </c>
      <c r="U7334" s="308" t="s">
        <v>27</v>
      </c>
      <c r="V7334" s="308"/>
    </row>
    <row r="7335">
      <c r="A7335" s="308"/>
      <c r="B7335" s="308"/>
      <c r="C7335" s="308" t="s">
        <v>29397</v>
      </c>
      <c r="D7335" s="308">
        <f>IFERROR(__xludf.DUMMYFUNCTION("SPLIT(C7335,""-"")"),7355.0)</f>
        <v>7355</v>
      </c>
      <c r="E7335" s="308" t="str">
        <f>IFERROR(__xludf.DUMMYFUNCTION("""COMPUTED_VALUE"""),"B")</f>
        <v>B</v>
      </c>
      <c r="F7335" s="315" t="s">
        <v>26</v>
      </c>
      <c r="G7335" s="308"/>
      <c r="H7335" s="308" t="s">
        <v>29398</v>
      </c>
      <c r="I7335" s="310">
        <v>42960.0</v>
      </c>
      <c r="J7335" s="319">
        <f>IFERROR(__xludf.DUMMYFUNCTION("SPLIT(I7335,""/"")"),13.0)</f>
        <v>13</v>
      </c>
      <c r="K7335" s="308">
        <f>IFERROR(__xludf.DUMMYFUNCTION("""COMPUTED_VALUE"""),8.0)</f>
        <v>8</v>
      </c>
      <c r="L7335" s="308">
        <f>IFERROR(__xludf.DUMMYFUNCTION("""COMPUTED_VALUE"""),2017.0)</f>
        <v>2017</v>
      </c>
      <c r="M7335" s="308" t="s">
        <v>29399</v>
      </c>
      <c r="N7335" s="308"/>
      <c r="O7335" s="308"/>
      <c r="P7335" s="308" t="s">
        <v>28792</v>
      </c>
      <c r="Q7335" s="308" t="s">
        <v>39573</v>
      </c>
      <c r="R7335" s="308"/>
      <c r="S7335" s="308" t="s">
        <v>81</v>
      </c>
      <c r="T7335" s="308" t="s">
        <v>75</v>
      </c>
      <c r="U7335" s="308" t="s">
        <v>27</v>
      </c>
      <c r="V7335" s="308"/>
    </row>
    <row r="7336">
      <c r="A7336" s="308"/>
      <c r="B7336" s="308"/>
      <c r="C7336" s="308" t="s">
        <v>29400</v>
      </c>
      <c r="D7336" s="308">
        <f>IFERROR(__xludf.DUMMYFUNCTION("SPLIT(C7336,""-"")"),7356.0)</f>
        <v>7356</v>
      </c>
      <c r="E7336" s="308" t="str">
        <f>IFERROR(__xludf.DUMMYFUNCTION("""COMPUTED_VALUE"""),"B")</f>
        <v>B</v>
      </c>
      <c r="F7336" s="315" t="s">
        <v>26</v>
      </c>
      <c r="G7336" s="308"/>
      <c r="H7336" s="308" t="s">
        <v>29401</v>
      </c>
      <c r="I7336" s="310">
        <v>42960.0</v>
      </c>
      <c r="J7336" s="319">
        <f>IFERROR(__xludf.DUMMYFUNCTION("SPLIT(I7336,""/"")"),13.0)</f>
        <v>13</v>
      </c>
      <c r="K7336" s="308">
        <f>IFERROR(__xludf.DUMMYFUNCTION("""COMPUTED_VALUE"""),8.0)</f>
        <v>8</v>
      </c>
      <c r="L7336" s="308">
        <f>IFERROR(__xludf.DUMMYFUNCTION("""COMPUTED_VALUE"""),2017.0)</f>
        <v>2017</v>
      </c>
      <c r="M7336" s="308" t="s">
        <v>28260</v>
      </c>
      <c r="N7336" s="308"/>
      <c r="O7336" s="308"/>
      <c r="P7336" s="308" t="s">
        <v>28792</v>
      </c>
      <c r="Q7336" s="308" t="s">
        <v>39573</v>
      </c>
      <c r="R7336" s="308"/>
      <c r="S7336" s="308" t="s">
        <v>81</v>
      </c>
      <c r="T7336" s="308" t="s">
        <v>75</v>
      </c>
      <c r="U7336" s="308" t="s">
        <v>27</v>
      </c>
      <c r="V7336" s="308"/>
    </row>
    <row r="7337">
      <c r="A7337" s="308"/>
      <c r="B7337" s="308"/>
      <c r="C7337" s="308" t="s">
        <v>29402</v>
      </c>
      <c r="D7337" s="308">
        <f>IFERROR(__xludf.DUMMYFUNCTION("SPLIT(C7337,""-"")"),7357.0)</f>
        <v>7357</v>
      </c>
      <c r="E7337" s="308" t="str">
        <f>IFERROR(__xludf.DUMMYFUNCTION("""COMPUTED_VALUE"""),"B")</f>
        <v>B</v>
      </c>
      <c r="F7337" s="315" t="s">
        <v>26</v>
      </c>
      <c r="G7337" s="308"/>
      <c r="H7337" s="308" t="s">
        <v>29403</v>
      </c>
      <c r="I7337" s="310">
        <v>43077.0</v>
      </c>
      <c r="J7337" s="319">
        <f>IFERROR(__xludf.DUMMYFUNCTION("SPLIT(I7337,""/"")"),8.0)</f>
        <v>8</v>
      </c>
      <c r="K7337" s="308">
        <f>IFERROR(__xludf.DUMMYFUNCTION("""COMPUTED_VALUE"""),12.0)</f>
        <v>12</v>
      </c>
      <c r="L7337" s="308">
        <f>IFERROR(__xludf.DUMMYFUNCTION("""COMPUTED_VALUE"""),2017.0)</f>
        <v>2017</v>
      </c>
      <c r="M7337" s="308" t="s">
        <v>28843</v>
      </c>
      <c r="N7337" s="308"/>
      <c r="O7337" s="308"/>
      <c r="P7337" s="308" t="s">
        <v>39624</v>
      </c>
      <c r="Q7337" s="308" t="s">
        <v>39573</v>
      </c>
      <c r="R7337" s="308"/>
      <c r="S7337" s="308" t="s">
        <v>81</v>
      </c>
      <c r="T7337" s="308" t="s">
        <v>75</v>
      </c>
      <c r="U7337" s="308" t="s">
        <v>27</v>
      </c>
      <c r="V7337" s="308"/>
    </row>
    <row r="7338">
      <c r="A7338" s="308"/>
      <c r="B7338" s="308"/>
      <c r="C7338" s="308" t="s">
        <v>29405</v>
      </c>
      <c r="D7338" s="308">
        <f>IFERROR(__xludf.DUMMYFUNCTION("SPLIT(C7338,""-"")"),7358.0)</f>
        <v>7358</v>
      </c>
      <c r="E7338" s="308" t="str">
        <f>IFERROR(__xludf.DUMMYFUNCTION("""COMPUTED_VALUE"""),"B")</f>
        <v>B</v>
      </c>
      <c r="F7338" s="315" t="s">
        <v>26</v>
      </c>
      <c r="G7338" s="308"/>
      <c r="H7338" s="308" t="s">
        <v>29406</v>
      </c>
      <c r="I7338" s="310">
        <v>43047.0</v>
      </c>
      <c r="J7338" s="319">
        <f>IFERROR(__xludf.DUMMYFUNCTION("SPLIT(I7338,""/"")"),8.0)</f>
        <v>8</v>
      </c>
      <c r="K7338" s="308">
        <f>IFERROR(__xludf.DUMMYFUNCTION("""COMPUTED_VALUE"""),11.0)</f>
        <v>11</v>
      </c>
      <c r="L7338" s="308">
        <f>IFERROR(__xludf.DUMMYFUNCTION("""COMPUTED_VALUE"""),2017.0)</f>
        <v>2017</v>
      </c>
      <c r="M7338" s="308" t="s">
        <v>29407</v>
      </c>
      <c r="N7338" s="308"/>
      <c r="O7338" s="308"/>
      <c r="P7338" s="308" t="s">
        <v>39625</v>
      </c>
      <c r="Q7338" s="308" t="s">
        <v>39573</v>
      </c>
      <c r="R7338" s="308"/>
      <c r="S7338" s="308" t="s">
        <v>81</v>
      </c>
      <c r="T7338" s="308" t="s">
        <v>75</v>
      </c>
      <c r="U7338" s="308" t="s">
        <v>27</v>
      </c>
      <c r="V7338" s="308"/>
    </row>
    <row r="7339">
      <c r="A7339" s="308"/>
      <c r="B7339" s="308"/>
      <c r="C7339" s="308" t="s">
        <v>29409</v>
      </c>
      <c r="D7339" s="308">
        <f>IFERROR(__xludf.DUMMYFUNCTION("SPLIT(C7339,""-"")"),7359.0)</f>
        <v>7359</v>
      </c>
      <c r="E7339" s="308" t="str">
        <f>IFERROR(__xludf.DUMMYFUNCTION("""COMPUTED_VALUE"""),"B")</f>
        <v>B</v>
      </c>
      <c r="F7339" s="315" t="s">
        <v>26</v>
      </c>
      <c r="G7339" s="308"/>
      <c r="H7339" s="308" t="s">
        <v>29410</v>
      </c>
      <c r="I7339" s="310">
        <v>43047.0</v>
      </c>
      <c r="J7339" s="319">
        <f>IFERROR(__xludf.DUMMYFUNCTION("SPLIT(I7339,""/"")"),8.0)</f>
        <v>8</v>
      </c>
      <c r="K7339" s="308">
        <f>IFERROR(__xludf.DUMMYFUNCTION("""COMPUTED_VALUE"""),11.0)</f>
        <v>11</v>
      </c>
      <c r="L7339" s="308">
        <f>IFERROR(__xludf.DUMMYFUNCTION("""COMPUTED_VALUE"""),2017.0)</f>
        <v>2017</v>
      </c>
      <c r="M7339" s="308" t="s">
        <v>29411</v>
      </c>
      <c r="N7339" s="308"/>
      <c r="O7339" s="308"/>
      <c r="P7339" s="308" t="s">
        <v>28792</v>
      </c>
      <c r="Q7339" s="308" t="s">
        <v>39573</v>
      </c>
      <c r="R7339" s="308"/>
      <c r="S7339" s="308" t="s">
        <v>81</v>
      </c>
      <c r="T7339" s="308" t="s">
        <v>75</v>
      </c>
      <c r="U7339" s="308" t="s">
        <v>27</v>
      </c>
      <c r="V7339" s="308"/>
    </row>
    <row r="7340">
      <c r="A7340" s="308"/>
      <c r="B7340" s="308"/>
      <c r="C7340" s="308" t="s">
        <v>29412</v>
      </c>
      <c r="D7340" s="308">
        <f>IFERROR(__xludf.DUMMYFUNCTION("SPLIT(C7340,""-"")"),7360.0)</f>
        <v>7360</v>
      </c>
      <c r="E7340" s="308" t="str">
        <f>IFERROR(__xludf.DUMMYFUNCTION("""COMPUTED_VALUE"""),"B")</f>
        <v>B</v>
      </c>
      <c r="F7340" s="315" t="s">
        <v>26</v>
      </c>
      <c r="G7340" s="308"/>
      <c r="H7340" s="308" t="s">
        <v>29413</v>
      </c>
      <c r="I7340" s="310">
        <v>43047.0</v>
      </c>
      <c r="J7340" s="319">
        <f>IFERROR(__xludf.DUMMYFUNCTION("SPLIT(I7340,""/"")"),8.0)</f>
        <v>8</v>
      </c>
      <c r="K7340" s="308">
        <f>IFERROR(__xludf.DUMMYFUNCTION("""COMPUTED_VALUE"""),11.0)</f>
        <v>11</v>
      </c>
      <c r="L7340" s="308">
        <f>IFERROR(__xludf.DUMMYFUNCTION("""COMPUTED_VALUE"""),2017.0)</f>
        <v>2017</v>
      </c>
      <c r="M7340" s="308" t="s">
        <v>29350</v>
      </c>
      <c r="N7340" s="308"/>
      <c r="O7340" s="308"/>
      <c r="P7340" s="308" t="s">
        <v>28792</v>
      </c>
      <c r="Q7340" s="308" t="s">
        <v>39573</v>
      </c>
      <c r="R7340" s="308"/>
      <c r="S7340" s="308" t="s">
        <v>81</v>
      </c>
      <c r="T7340" s="308" t="s">
        <v>75</v>
      </c>
      <c r="U7340" s="308" t="s">
        <v>27</v>
      </c>
      <c r="V7340" s="308"/>
    </row>
    <row r="7341">
      <c r="A7341" s="308"/>
      <c r="B7341" s="308"/>
      <c r="C7341" s="308" t="s">
        <v>29414</v>
      </c>
      <c r="D7341" s="308">
        <f>IFERROR(__xludf.DUMMYFUNCTION("SPLIT(C7341,""-"")"),7361.0)</f>
        <v>7361</v>
      </c>
      <c r="E7341" s="308" t="str">
        <f>IFERROR(__xludf.DUMMYFUNCTION("""COMPUTED_VALUE"""),"B")</f>
        <v>B</v>
      </c>
      <c r="F7341" s="315" t="s">
        <v>26</v>
      </c>
      <c r="G7341" s="308"/>
      <c r="H7341" s="308" t="s">
        <v>29415</v>
      </c>
      <c r="I7341" s="310">
        <v>43047.0</v>
      </c>
      <c r="J7341" s="319">
        <f>IFERROR(__xludf.DUMMYFUNCTION("SPLIT(I7341,""/"")"),8.0)</f>
        <v>8</v>
      </c>
      <c r="K7341" s="308">
        <f>IFERROR(__xludf.DUMMYFUNCTION("""COMPUTED_VALUE"""),11.0)</f>
        <v>11</v>
      </c>
      <c r="L7341" s="308">
        <f>IFERROR(__xludf.DUMMYFUNCTION("""COMPUTED_VALUE"""),2017.0)</f>
        <v>2017</v>
      </c>
      <c r="M7341" s="308" t="s">
        <v>29283</v>
      </c>
      <c r="N7341" s="308"/>
      <c r="O7341" s="308"/>
      <c r="P7341" s="308" t="s">
        <v>28792</v>
      </c>
      <c r="Q7341" s="308" t="s">
        <v>39573</v>
      </c>
      <c r="R7341" s="308"/>
      <c r="S7341" s="308" t="s">
        <v>81</v>
      </c>
      <c r="T7341" s="308" t="s">
        <v>75</v>
      </c>
      <c r="U7341" s="308" t="s">
        <v>27</v>
      </c>
      <c r="V7341" s="308"/>
    </row>
    <row r="7342">
      <c r="A7342" s="308"/>
      <c r="B7342" s="308"/>
      <c r="C7342" s="308" t="s">
        <v>29416</v>
      </c>
      <c r="D7342" s="308">
        <f>IFERROR(__xludf.DUMMYFUNCTION("SPLIT(C7342,""-"")"),7362.0)</f>
        <v>7362</v>
      </c>
      <c r="E7342" s="308" t="str">
        <f>IFERROR(__xludf.DUMMYFUNCTION("""COMPUTED_VALUE"""),"B")</f>
        <v>B</v>
      </c>
      <c r="F7342" s="315" t="s">
        <v>26</v>
      </c>
      <c r="G7342" s="308"/>
      <c r="H7342" s="308" t="s">
        <v>29417</v>
      </c>
      <c r="I7342" s="310">
        <v>43047.0</v>
      </c>
      <c r="J7342" s="319">
        <f>IFERROR(__xludf.DUMMYFUNCTION("SPLIT(I7342,""/"")"),8.0)</f>
        <v>8</v>
      </c>
      <c r="K7342" s="308">
        <f>IFERROR(__xludf.DUMMYFUNCTION("""COMPUTED_VALUE"""),11.0)</f>
        <v>11</v>
      </c>
      <c r="L7342" s="308">
        <f>IFERROR(__xludf.DUMMYFUNCTION("""COMPUTED_VALUE"""),2017.0)</f>
        <v>2017</v>
      </c>
      <c r="M7342" s="308" t="s">
        <v>29407</v>
      </c>
      <c r="N7342" s="308"/>
      <c r="O7342" s="308"/>
      <c r="P7342" s="308" t="s">
        <v>39626</v>
      </c>
      <c r="Q7342" s="308" t="s">
        <v>39573</v>
      </c>
      <c r="R7342" s="308"/>
      <c r="S7342" s="308" t="s">
        <v>81</v>
      </c>
      <c r="T7342" s="308" t="s">
        <v>75</v>
      </c>
      <c r="U7342" s="308" t="s">
        <v>27</v>
      </c>
      <c r="V7342" s="308"/>
    </row>
    <row r="7343">
      <c r="A7343" s="308"/>
      <c r="B7343" s="308"/>
      <c r="C7343" s="308" t="s">
        <v>29419</v>
      </c>
      <c r="D7343" s="308">
        <f>IFERROR(__xludf.DUMMYFUNCTION("SPLIT(C7343,""-"")"),7363.0)</f>
        <v>7363</v>
      </c>
      <c r="E7343" s="308" t="str">
        <f>IFERROR(__xludf.DUMMYFUNCTION("""COMPUTED_VALUE"""),"B")</f>
        <v>B</v>
      </c>
      <c r="F7343" s="315" t="s">
        <v>26</v>
      </c>
      <c r="G7343" s="308"/>
      <c r="H7343" s="308" t="s">
        <v>29420</v>
      </c>
      <c r="I7343" s="310">
        <v>43047.0</v>
      </c>
      <c r="J7343" s="319">
        <f>IFERROR(__xludf.DUMMYFUNCTION("SPLIT(I7343,""/"")"),8.0)</f>
        <v>8</v>
      </c>
      <c r="K7343" s="308">
        <f>IFERROR(__xludf.DUMMYFUNCTION("""COMPUTED_VALUE"""),11.0)</f>
        <v>11</v>
      </c>
      <c r="L7343" s="308">
        <f>IFERROR(__xludf.DUMMYFUNCTION("""COMPUTED_VALUE"""),2017.0)</f>
        <v>2017</v>
      </c>
      <c r="M7343" s="308" t="s">
        <v>29411</v>
      </c>
      <c r="N7343" s="308"/>
      <c r="O7343" s="308"/>
      <c r="P7343" s="308" t="s">
        <v>28792</v>
      </c>
      <c r="Q7343" s="308" t="s">
        <v>39573</v>
      </c>
      <c r="R7343" s="308"/>
      <c r="S7343" s="308" t="s">
        <v>81</v>
      </c>
      <c r="T7343" s="308" t="s">
        <v>75</v>
      </c>
      <c r="U7343" s="308" t="s">
        <v>27</v>
      </c>
      <c r="V7343" s="308"/>
    </row>
    <row r="7344">
      <c r="A7344" s="308"/>
      <c r="B7344" s="308"/>
      <c r="C7344" s="308" t="s">
        <v>29421</v>
      </c>
      <c r="D7344" s="308">
        <f>IFERROR(__xludf.DUMMYFUNCTION("SPLIT(C7344,""-"")"),7364.0)</f>
        <v>7364</v>
      </c>
      <c r="E7344" s="308" t="str">
        <f>IFERROR(__xludf.DUMMYFUNCTION("""COMPUTED_VALUE"""),"B")</f>
        <v>B</v>
      </c>
      <c r="F7344" s="315" t="s">
        <v>26</v>
      </c>
      <c r="G7344" s="308"/>
      <c r="H7344" s="308" t="s">
        <v>29422</v>
      </c>
      <c r="I7344" s="322"/>
      <c r="J7344" s="319"/>
      <c r="K7344" s="308"/>
      <c r="L7344" s="311" t="s">
        <v>79</v>
      </c>
      <c r="M7344" s="308" t="s">
        <v>29199</v>
      </c>
      <c r="N7344" s="308"/>
      <c r="O7344" s="308"/>
      <c r="P7344" s="308" t="s">
        <v>28792</v>
      </c>
      <c r="Q7344" s="308" t="s">
        <v>39573</v>
      </c>
      <c r="R7344" s="308"/>
      <c r="S7344" s="308" t="s">
        <v>81</v>
      </c>
      <c r="T7344" s="308" t="s">
        <v>75</v>
      </c>
      <c r="U7344" s="308" t="s">
        <v>27</v>
      </c>
      <c r="V7344" s="308"/>
    </row>
    <row r="7345">
      <c r="A7345" s="308"/>
      <c r="B7345" s="308"/>
      <c r="C7345" s="308" t="s">
        <v>29423</v>
      </c>
      <c r="D7345" s="308">
        <f>IFERROR(__xludf.DUMMYFUNCTION("SPLIT(C7345,""-"")"),7365.0)</f>
        <v>7365</v>
      </c>
      <c r="E7345" s="308" t="str">
        <f>IFERROR(__xludf.DUMMYFUNCTION("""COMPUTED_VALUE"""),"B")</f>
        <v>B</v>
      </c>
      <c r="F7345" s="315" t="s">
        <v>26</v>
      </c>
      <c r="G7345" s="308"/>
      <c r="H7345" s="308" t="s">
        <v>29424</v>
      </c>
      <c r="I7345" s="310">
        <v>42956.0</v>
      </c>
      <c r="J7345" s="319">
        <f>IFERROR(__xludf.DUMMYFUNCTION("SPLIT(I7345,""/"")"),9.0)</f>
        <v>9</v>
      </c>
      <c r="K7345" s="308">
        <f>IFERROR(__xludf.DUMMYFUNCTION("""COMPUTED_VALUE"""),8.0)</f>
        <v>8</v>
      </c>
      <c r="L7345" s="308">
        <f>IFERROR(__xludf.DUMMYFUNCTION("""COMPUTED_VALUE"""),2017.0)</f>
        <v>2017</v>
      </c>
      <c r="M7345" s="308" t="s">
        <v>29199</v>
      </c>
      <c r="N7345" s="308"/>
      <c r="O7345" s="308"/>
      <c r="P7345" s="308" t="s">
        <v>28792</v>
      </c>
      <c r="Q7345" s="308" t="s">
        <v>39573</v>
      </c>
      <c r="R7345" s="308"/>
      <c r="S7345" s="308" t="s">
        <v>81</v>
      </c>
      <c r="T7345" s="308" t="s">
        <v>75</v>
      </c>
      <c r="U7345" s="308" t="s">
        <v>27</v>
      </c>
      <c r="V7345" s="308"/>
    </row>
    <row r="7346">
      <c r="A7346" s="308"/>
      <c r="B7346" s="308"/>
      <c r="C7346" s="308" t="s">
        <v>29425</v>
      </c>
      <c r="D7346" s="308">
        <f>IFERROR(__xludf.DUMMYFUNCTION("SPLIT(C7346,""-"")"),7366.0)</f>
        <v>7366</v>
      </c>
      <c r="E7346" s="308" t="str">
        <f>IFERROR(__xludf.DUMMYFUNCTION("""COMPUTED_VALUE"""),"B")</f>
        <v>B</v>
      </c>
      <c r="F7346" s="315" t="s">
        <v>26</v>
      </c>
      <c r="G7346" s="308"/>
      <c r="H7346" s="308" t="s">
        <v>26675</v>
      </c>
      <c r="I7346" s="310">
        <v>42963.0</v>
      </c>
      <c r="J7346" s="319">
        <f>IFERROR(__xludf.DUMMYFUNCTION("SPLIT(I7346,""/"")"),16.0)</f>
        <v>16</v>
      </c>
      <c r="K7346" s="308">
        <f>IFERROR(__xludf.DUMMYFUNCTION("""COMPUTED_VALUE"""),8.0)</f>
        <v>8</v>
      </c>
      <c r="L7346" s="308">
        <f>IFERROR(__xludf.DUMMYFUNCTION("""COMPUTED_VALUE"""),2017.0)</f>
        <v>2017</v>
      </c>
      <c r="M7346" s="308" t="s">
        <v>29426</v>
      </c>
      <c r="N7346" s="308"/>
      <c r="O7346" s="308"/>
      <c r="P7346" s="308" t="s">
        <v>136</v>
      </c>
      <c r="Q7346" s="308" t="s">
        <v>39573</v>
      </c>
      <c r="R7346" s="308"/>
      <c r="S7346" s="315" t="s">
        <v>100</v>
      </c>
      <c r="T7346" s="308" t="s">
        <v>34208</v>
      </c>
      <c r="U7346" s="308" t="s">
        <v>27</v>
      </c>
      <c r="V7346" s="308"/>
    </row>
    <row r="7347">
      <c r="A7347" s="308"/>
      <c r="B7347" s="308"/>
      <c r="C7347" s="308" t="s">
        <v>29427</v>
      </c>
      <c r="D7347" s="308">
        <f>IFERROR(__xludf.DUMMYFUNCTION("SPLIT(C7347,""-"")"),7367.0)</f>
        <v>7367</v>
      </c>
      <c r="E7347" s="308" t="str">
        <f>IFERROR(__xludf.DUMMYFUNCTION("""COMPUTED_VALUE"""),"B")</f>
        <v>B</v>
      </c>
      <c r="F7347" s="315" t="s">
        <v>26</v>
      </c>
      <c r="G7347" s="308"/>
      <c r="H7347" s="308" t="s">
        <v>39627</v>
      </c>
      <c r="I7347" s="310">
        <v>42967.0</v>
      </c>
      <c r="J7347" s="319">
        <f>IFERROR(__xludf.DUMMYFUNCTION("SPLIT(I7347,""/"")"),20.0)</f>
        <v>20</v>
      </c>
      <c r="K7347" s="308">
        <f>IFERROR(__xludf.DUMMYFUNCTION("""COMPUTED_VALUE"""),8.0)</f>
        <v>8</v>
      </c>
      <c r="L7347" s="308">
        <f>IFERROR(__xludf.DUMMYFUNCTION("""COMPUTED_VALUE"""),2017.0)</f>
        <v>2017</v>
      </c>
      <c r="M7347" s="308" t="s">
        <v>29429</v>
      </c>
      <c r="N7347" s="308"/>
      <c r="O7347" s="308"/>
      <c r="P7347" s="308" t="s">
        <v>28792</v>
      </c>
      <c r="Q7347" s="308" t="s">
        <v>39573</v>
      </c>
      <c r="R7347" s="308"/>
      <c r="S7347" s="308" t="s">
        <v>81</v>
      </c>
      <c r="T7347" s="308" t="s">
        <v>75</v>
      </c>
      <c r="U7347" s="308" t="s">
        <v>27</v>
      </c>
      <c r="V7347" s="308"/>
    </row>
    <row r="7348">
      <c r="A7348" s="308"/>
      <c r="B7348" s="308"/>
      <c r="C7348" s="308" t="s">
        <v>29430</v>
      </c>
      <c r="D7348" s="308">
        <f>IFERROR(__xludf.DUMMYFUNCTION("SPLIT(C7348,""-"")"),7368.0)</f>
        <v>7368</v>
      </c>
      <c r="E7348" s="308" t="str">
        <f>IFERROR(__xludf.DUMMYFUNCTION("""COMPUTED_VALUE"""),"B")</f>
        <v>B</v>
      </c>
      <c r="F7348" s="315" t="s">
        <v>26</v>
      </c>
      <c r="G7348" s="308"/>
      <c r="H7348" s="308" t="s">
        <v>29431</v>
      </c>
      <c r="I7348" s="310">
        <v>42967.0</v>
      </c>
      <c r="J7348" s="319">
        <f>IFERROR(__xludf.DUMMYFUNCTION("SPLIT(I7348,""/"")"),20.0)</f>
        <v>20</v>
      </c>
      <c r="K7348" s="308">
        <f>IFERROR(__xludf.DUMMYFUNCTION("""COMPUTED_VALUE"""),8.0)</f>
        <v>8</v>
      </c>
      <c r="L7348" s="308">
        <f>IFERROR(__xludf.DUMMYFUNCTION("""COMPUTED_VALUE"""),2017.0)</f>
        <v>2017</v>
      </c>
      <c r="M7348" s="308" t="s">
        <v>29429</v>
      </c>
      <c r="N7348" s="308"/>
      <c r="O7348" s="308"/>
      <c r="P7348" s="308" t="s">
        <v>28792</v>
      </c>
      <c r="Q7348" s="308" t="s">
        <v>39573</v>
      </c>
      <c r="R7348" s="308"/>
      <c r="S7348" s="308" t="s">
        <v>81</v>
      </c>
      <c r="T7348" s="308" t="s">
        <v>75</v>
      </c>
      <c r="U7348" s="308" t="s">
        <v>27</v>
      </c>
      <c r="V7348" s="308"/>
    </row>
    <row r="7349">
      <c r="A7349" s="308"/>
      <c r="B7349" s="308"/>
      <c r="C7349" s="308" t="s">
        <v>29432</v>
      </c>
      <c r="D7349" s="308">
        <f>IFERROR(__xludf.DUMMYFUNCTION("SPLIT(C7349,""-"")"),7369.0)</f>
        <v>7369</v>
      </c>
      <c r="E7349" s="308" t="str">
        <f>IFERROR(__xludf.DUMMYFUNCTION("""COMPUTED_VALUE"""),"B")</f>
        <v>B</v>
      </c>
      <c r="F7349" s="315" t="s">
        <v>26</v>
      </c>
      <c r="G7349" s="308"/>
      <c r="H7349" s="308" t="s">
        <v>29433</v>
      </c>
      <c r="I7349" s="310">
        <v>42965.0</v>
      </c>
      <c r="J7349" s="319">
        <f>IFERROR(__xludf.DUMMYFUNCTION("SPLIT(I7349,""/"")"),18.0)</f>
        <v>18</v>
      </c>
      <c r="K7349" s="308">
        <f>IFERROR(__xludf.DUMMYFUNCTION("""COMPUTED_VALUE"""),8.0)</f>
        <v>8</v>
      </c>
      <c r="L7349" s="308">
        <f>IFERROR(__xludf.DUMMYFUNCTION("""COMPUTED_VALUE"""),2017.0)</f>
        <v>2017</v>
      </c>
      <c r="M7349" s="308" t="s">
        <v>28843</v>
      </c>
      <c r="N7349" s="308"/>
      <c r="O7349" s="308"/>
      <c r="P7349" s="308" t="s">
        <v>136</v>
      </c>
      <c r="Q7349" s="308" t="s">
        <v>39573</v>
      </c>
      <c r="R7349" s="308"/>
      <c r="S7349" s="315" t="s">
        <v>100</v>
      </c>
      <c r="T7349" s="308" t="s">
        <v>34208</v>
      </c>
      <c r="U7349" s="308" t="s">
        <v>27</v>
      </c>
      <c r="V7349" s="308"/>
    </row>
    <row r="7350">
      <c r="A7350" s="308"/>
      <c r="B7350" s="308"/>
      <c r="C7350" s="308" t="s">
        <v>29434</v>
      </c>
      <c r="D7350" s="308">
        <f>IFERROR(__xludf.DUMMYFUNCTION("SPLIT(C7350,""-"")"),7370.0)</f>
        <v>7370</v>
      </c>
      <c r="E7350" s="308" t="str">
        <f>IFERROR(__xludf.DUMMYFUNCTION("""COMPUTED_VALUE"""),"B")</f>
        <v>B</v>
      </c>
      <c r="F7350" s="315" t="s">
        <v>26</v>
      </c>
      <c r="G7350" s="308"/>
      <c r="H7350" s="308" t="s">
        <v>29435</v>
      </c>
      <c r="I7350" s="310">
        <v>42965.0</v>
      </c>
      <c r="J7350" s="319">
        <f>IFERROR(__xludf.DUMMYFUNCTION("SPLIT(I7350,""/"")"),18.0)</f>
        <v>18</v>
      </c>
      <c r="K7350" s="308">
        <f>IFERROR(__xludf.DUMMYFUNCTION("""COMPUTED_VALUE"""),8.0)</f>
        <v>8</v>
      </c>
      <c r="L7350" s="308">
        <f>IFERROR(__xludf.DUMMYFUNCTION("""COMPUTED_VALUE"""),2017.0)</f>
        <v>2017</v>
      </c>
      <c r="M7350" s="308" t="s">
        <v>29191</v>
      </c>
      <c r="N7350" s="308"/>
      <c r="O7350" s="308"/>
      <c r="P7350" s="308" t="s">
        <v>28792</v>
      </c>
      <c r="Q7350" s="308" t="s">
        <v>39573</v>
      </c>
      <c r="R7350" s="308"/>
      <c r="S7350" s="308" t="s">
        <v>81</v>
      </c>
      <c r="T7350" s="308" t="s">
        <v>75</v>
      </c>
      <c r="U7350" s="308" t="s">
        <v>27</v>
      </c>
      <c r="V7350" s="308"/>
    </row>
    <row r="7351">
      <c r="A7351" s="308"/>
      <c r="B7351" s="308"/>
      <c r="C7351" s="308" t="s">
        <v>29436</v>
      </c>
      <c r="D7351" s="308">
        <f>IFERROR(__xludf.DUMMYFUNCTION("SPLIT(C7351,""-"")"),7371.0)</f>
        <v>7371</v>
      </c>
      <c r="E7351" s="308" t="str">
        <f>IFERROR(__xludf.DUMMYFUNCTION("""COMPUTED_VALUE"""),"B")</f>
        <v>B</v>
      </c>
      <c r="F7351" s="315" t="s">
        <v>26</v>
      </c>
      <c r="G7351" s="308"/>
      <c r="H7351" s="308" t="s">
        <v>29437</v>
      </c>
      <c r="I7351" s="310">
        <v>42965.0</v>
      </c>
      <c r="J7351" s="319">
        <f>IFERROR(__xludf.DUMMYFUNCTION("SPLIT(I7351,""/"")"),18.0)</f>
        <v>18</v>
      </c>
      <c r="K7351" s="308">
        <f>IFERROR(__xludf.DUMMYFUNCTION("""COMPUTED_VALUE"""),8.0)</f>
        <v>8</v>
      </c>
      <c r="L7351" s="308">
        <f>IFERROR(__xludf.DUMMYFUNCTION("""COMPUTED_VALUE"""),2017.0)</f>
        <v>2017</v>
      </c>
      <c r="M7351" s="308" t="s">
        <v>28345</v>
      </c>
      <c r="N7351" s="308"/>
      <c r="O7351" s="308"/>
      <c r="P7351" s="308" t="s">
        <v>28792</v>
      </c>
      <c r="Q7351" s="308" t="s">
        <v>39573</v>
      </c>
      <c r="R7351" s="308"/>
      <c r="S7351" s="308" t="s">
        <v>81</v>
      </c>
      <c r="T7351" s="308" t="s">
        <v>75</v>
      </c>
      <c r="U7351" s="308" t="s">
        <v>27</v>
      </c>
      <c r="V7351" s="308"/>
    </row>
    <row r="7352">
      <c r="A7352" s="308"/>
      <c r="B7352" s="308"/>
      <c r="C7352" s="308" t="s">
        <v>29438</v>
      </c>
      <c r="D7352" s="308">
        <f>IFERROR(__xludf.DUMMYFUNCTION("SPLIT(C7352,""-"")"),7372.0)</f>
        <v>7372</v>
      </c>
      <c r="E7352" s="308" t="str">
        <f>IFERROR(__xludf.DUMMYFUNCTION("""COMPUTED_VALUE"""),"B")</f>
        <v>B</v>
      </c>
      <c r="F7352" s="315" t="s">
        <v>26</v>
      </c>
      <c r="G7352" s="308"/>
      <c r="H7352" s="308" t="s">
        <v>29439</v>
      </c>
      <c r="I7352" s="310">
        <v>42970.0</v>
      </c>
      <c r="J7352" s="319">
        <f>IFERROR(__xludf.DUMMYFUNCTION("SPLIT(I7352,""/"")"),23.0)</f>
        <v>23</v>
      </c>
      <c r="K7352" s="308">
        <f>IFERROR(__xludf.DUMMYFUNCTION("""COMPUTED_VALUE"""),8.0)</f>
        <v>8</v>
      </c>
      <c r="L7352" s="308">
        <f>IFERROR(__xludf.DUMMYFUNCTION("""COMPUTED_VALUE"""),2017.0)</f>
        <v>2017</v>
      </c>
      <c r="M7352" s="308" t="s">
        <v>29440</v>
      </c>
      <c r="N7352" s="308"/>
      <c r="O7352" s="308"/>
      <c r="P7352" s="308" t="s">
        <v>136</v>
      </c>
      <c r="Q7352" s="308" t="s">
        <v>39573</v>
      </c>
      <c r="R7352" s="308"/>
      <c r="S7352" s="315" t="s">
        <v>100</v>
      </c>
      <c r="T7352" s="308" t="s">
        <v>34208</v>
      </c>
      <c r="U7352" s="308" t="s">
        <v>27</v>
      </c>
      <c r="V7352" s="308"/>
    </row>
    <row r="7353">
      <c r="A7353" s="308"/>
      <c r="B7353" s="308"/>
      <c r="C7353" s="308" t="s">
        <v>29441</v>
      </c>
      <c r="D7353" s="308">
        <f>IFERROR(__xludf.DUMMYFUNCTION("SPLIT(C7353,""-"")"),7373.0)</f>
        <v>7373</v>
      </c>
      <c r="E7353" s="308" t="str">
        <f>IFERROR(__xludf.DUMMYFUNCTION("""COMPUTED_VALUE"""),"B")</f>
        <v>B</v>
      </c>
      <c r="F7353" s="315" t="s">
        <v>26</v>
      </c>
      <c r="G7353" s="308"/>
      <c r="H7353" s="308" t="s">
        <v>29442</v>
      </c>
      <c r="I7353" s="310">
        <v>42970.0</v>
      </c>
      <c r="J7353" s="319">
        <f>IFERROR(__xludf.DUMMYFUNCTION("SPLIT(I7353,""/"")"),23.0)</f>
        <v>23</v>
      </c>
      <c r="K7353" s="308">
        <f>IFERROR(__xludf.DUMMYFUNCTION("""COMPUTED_VALUE"""),8.0)</f>
        <v>8</v>
      </c>
      <c r="L7353" s="308">
        <f>IFERROR(__xludf.DUMMYFUNCTION("""COMPUTED_VALUE"""),2017.0)</f>
        <v>2017</v>
      </c>
      <c r="M7353" s="308" t="s">
        <v>29440</v>
      </c>
      <c r="N7353" s="308"/>
      <c r="O7353" s="308"/>
      <c r="P7353" s="308" t="s">
        <v>28792</v>
      </c>
      <c r="Q7353" s="308" t="s">
        <v>39573</v>
      </c>
      <c r="R7353" s="308"/>
      <c r="S7353" s="308" t="s">
        <v>81</v>
      </c>
      <c r="T7353" s="308" t="s">
        <v>75</v>
      </c>
      <c r="U7353" s="308" t="s">
        <v>27</v>
      </c>
      <c r="V7353" s="308"/>
    </row>
    <row r="7354">
      <c r="A7354" s="308"/>
      <c r="B7354" s="308"/>
      <c r="C7354" s="308" t="s">
        <v>29443</v>
      </c>
      <c r="D7354" s="308">
        <f>IFERROR(__xludf.DUMMYFUNCTION("SPLIT(C7354,""-"")"),7374.0)</f>
        <v>7374</v>
      </c>
      <c r="E7354" s="308" t="str">
        <f>IFERROR(__xludf.DUMMYFUNCTION("""COMPUTED_VALUE"""),"B")</f>
        <v>B</v>
      </c>
      <c r="F7354" s="315" t="s">
        <v>26</v>
      </c>
      <c r="G7354" s="308"/>
      <c r="H7354" s="308" t="s">
        <v>39628</v>
      </c>
      <c r="I7354" s="310">
        <v>42967.0</v>
      </c>
      <c r="J7354" s="319">
        <f>IFERROR(__xludf.DUMMYFUNCTION("SPLIT(I7354,""/"")"),20.0)</f>
        <v>20</v>
      </c>
      <c r="K7354" s="308">
        <f>IFERROR(__xludf.DUMMYFUNCTION("""COMPUTED_VALUE"""),8.0)</f>
        <v>8</v>
      </c>
      <c r="L7354" s="308">
        <f>IFERROR(__xludf.DUMMYFUNCTION("""COMPUTED_VALUE"""),2017.0)</f>
        <v>2017</v>
      </c>
      <c r="M7354" s="308" t="s">
        <v>28843</v>
      </c>
      <c r="N7354" s="308"/>
      <c r="O7354" s="308"/>
      <c r="P7354" s="308" t="s">
        <v>28792</v>
      </c>
      <c r="Q7354" s="308" t="s">
        <v>39573</v>
      </c>
      <c r="R7354" s="308"/>
      <c r="S7354" s="308" t="s">
        <v>81</v>
      </c>
      <c r="T7354" s="308" t="s">
        <v>75</v>
      </c>
      <c r="U7354" s="308" t="s">
        <v>27</v>
      </c>
      <c r="V7354" s="308"/>
    </row>
    <row r="7355">
      <c r="A7355" s="308"/>
      <c r="B7355" s="308"/>
      <c r="C7355" s="308" t="s">
        <v>29445</v>
      </c>
      <c r="D7355" s="308">
        <f>IFERROR(__xludf.DUMMYFUNCTION("SPLIT(C7355,""-"")"),7375.0)</f>
        <v>7375</v>
      </c>
      <c r="E7355" s="308" t="str">
        <f>IFERROR(__xludf.DUMMYFUNCTION("""COMPUTED_VALUE"""),"B")</f>
        <v>B</v>
      </c>
      <c r="F7355" s="315" t="s">
        <v>26</v>
      </c>
      <c r="G7355" s="308"/>
      <c r="H7355" s="308" t="s">
        <v>29446</v>
      </c>
      <c r="I7355" s="310">
        <v>42967.0</v>
      </c>
      <c r="J7355" s="319">
        <f>IFERROR(__xludf.DUMMYFUNCTION("SPLIT(I7355,""/"")"),20.0)</f>
        <v>20</v>
      </c>
      <c r="K7355" s="308">
        <f>IFERROR(__xludf.DUMMYFUNCTION("""COMPUTED_VALUE"""),8.0)</f>
        <v>8</v>
      </c>
      <c r="L7355" s="308">
        <f>IFERROR(__xludf.DUMMYFUNCTION("""COMPUTED_VALUE"""),2017.0)</f>
        <v>2017</v>
      </c>
      <c r="M7355" s="308" t="s">
        <v>28260</v>
      </c>
      <c r="N7355" s="308"/>
      <c r="O7355" s="308"/>
      <c r="P7355" s="308" t="s">
        <v>28792</v>
      </c>
      <c r="Q7355" s="308" t="s">
        <v>39573</v>
      </c>
      <c r="R7355" s="308"/>
      <c r="S7355" s="308" t="s">
        <v>81</v>
      </c>
      <c r="T7355" s="308" t="s">
        <v>75</v>
      </c>
      <c r="U7355" s="308" t="s">
        <v>27</v>
      </c>
      <c r="V7355" s="308"/>
    </row>
    <row r="7356">
      <c r="A7356" s="308"/>
      <c r="B7356" s="308"/>
      <c r="C7356" s="308" t="s">
        <v>29447</v>
      </c>
      <c r="D7356" s="308">
        <f>IFERROR(__xludf.DUMMYFUNCTION("SPLIT(C7356,""-"")"),7376.0)</f>
        <v>7376</v>
      </c>
      <c r="E7356" s="308" t="str">
        <f>IFERROR(__xludf.DUMMYFUNCTION("""COMPUTED_VALUE"""),"B")</f>
        <v>B</v>
      </c>
      <c r="F7356" s="315" t="s">
        <v>26</v>
      </c>
      <c r="G7356" s="308"/>
      <c r="H7356" s="308" t="s">
        <v>29448</v>
      </c>
      <c r="I7356" s="310">
        <v>42967.0</v>
      </c>
      <c r="J7356" s="319">
        <f>IFERROR(__xludf.DUMMYFUNCTION("SPLIT(I7356,""/"")"),20.0)</f>
        <v>20</v>
      </c>
      <c r="K7356" s="308">
        <f>IFERROR(__xludf.DUMMYFUNCTION("""COMPUTED_VALUE"""),8.0)</f>
        <v>8</v>
      </c>
      <c r="L7356" s="308">
        <f>IFERROR(__xludf.DUMMYFUNCTION("""COMPUTED_VALUE"""),2017.0)</f>
        <v>2017</v>
      </c>
      <c r="M7356" s="308" t="s">
        <v>29449</v>
      </c>
      <c r="N7356" s="308"/>
      <c r="O7356" s="308"/>
      <c r="P7356" s="308" t="s">
        <v>136</v>
      </c>
      <c r="Q7356" s="308" t="s">
        <v>39573</v>
      </c>
      <c r="R7356" s="308"/>
      <c r="S7356" s="315" t="s">
        <v>100</v>
      </c>
      <c r="T7356" s="308" t="s">
        <v>34208</v>
      </c>
      <c r="U7356" s="308" t="s">
        <v>27</v>
      </c>
      <c r="V7356" s="308"/>
    </row>
    <row r="7357">
      <c r="A7357" s="308"/>
      <c r="B7357" s="308"/>
      <c r="C7357" s="308" t="s">
        <v>29450</v>
      </c>
      <c r="D7357" s="308">
        <f>IFERROR(__xludf.DUMMYFUNCTION("SPLIT(C7357,""-"")"),7377.0)</f>
        <v>7377</v>
      </c>
      <c r="E7357" s="308" t="str">
        <f>IFERROR(__xludf.DUMMYFUNCTION("""COMPUTED_VALUE"""),"B")</f>
        <v>B</v>
      </c>
      <c r="F7357" s="315" t="s">
        <v>26</v>
      </c>
      <c r="G7357" s="308"/>
      <c r="H7357" s="308" t="s">
        <v>29451</v>
      </c>
      <c r="I7357" s="310">
        <v>42967.0</v>
      </c>
      <c r="J7357" s="319">
        <f>IFERROR(__xludf.DUMMYFUNCTION("SPLIT(I7357,""/"")"),20.0)</f>
        <v>20</v>
      </c>
      <c r="K7357" s="308">
        <f>IFERROR(__xludf.DUMMYFUNCTION("""COMPUTED_VALUE"""),8.0)</f>
        <v>8</v>
      </c>
      <c r="L7357" s="308">
        <f>IFERROR(__xludf.DUMMYFUNCTION("""COMPUTED_VALUE"""),2017.0)</f>
        <v>2017</v>
      </c>
      <c r="M7357" s="308" t="s">
        <v>28843</v>
      </c>
      <c r="N7357" s="308"/>
      <c r="O7357" s="308"/>
      <c r="P7357" s="308" t="s">
        <v>39629</v>
      </c>
      <c r="Q7357" s="308" t="s">
        <v>39573</v>
      </c>
      <c r="R7357" s="308"/>
      <c r="S7357" s="308" t="s">
        <v>81</v>
      </c>
      <c r="T7357" s="308" t="s">
        <v>75</v>
      </c>
      <c r="U7357" s="308" t="s">
        <v>27</v>
      </c>
      <c r="V7357" s="308"/>
    </row>
    <row r="7358">
      <c r="A7358" s="308"/>
      <c r="B7358" s="308"/>
      <c r="C7358" s="308" t="s">
        <v>29453</v>
      </c>
      <c r="D7358" s="308">
        <f>IFERROR(__xludf.DUMMYFUNCTION("SPLIT(C7358,""-"")"),7378.0)</f>
        <v>7378</v>
      </c>
      <c r="E7358" s="308" t="str">
        <f>IFERROR(__xludf.DUMMYFUNCTION("""COMPUTED_VALUE"""),"B")</f>
        <v>B</v>
      </c>
      <c r="F7358" s="315" t="s">
        <v>26</v>
      </c>
      <c r="G7358" s="308"/>
      <c r="H7358" s="308" t="s">
        <v>29454</v>
      </c>
      <c r="I7358" s="310">
        <v>42967.0</v>
      </c>
      <c r="J7358" s="319">
        <f>IFERROR(__xludf.DUMMYFUNCTION("SPLIT(I7358,""/"")"),20.0)</f>
        <v>20</v>
      </c>
      <c r="K7358" s="308">
        <f>IFERROR(__xludf.DUMMYFUNCTION("""COMPUTED_VALUE"""),8.0)</f>
        <v>8</v>
      </c>
      <c r="L7358" s="308">
        <f>IFERROR(__xludf.DUMMYFUNCTION("""COMPUTED_VALUE"""),2017.0)</f>
        <v>2017</v>
      </c>
      <c r="M7358" s="308" t="s">
        <v>28843</v>
      </c>
      <c r="N7358" s="308"/>
      <c r="O7358" s="308"/>
      <c r="P7358" s="308" t="s">
        <v>28792</v>
      </c>
      <c r="Q7358" s="308" t="s">
        <v>39573</v>
      </c>
      <c r="R7358" s="308"/>
      <c r="S7358" s="308" t="s">
        <v>81</v>
      </c>
      <c r="T7358" s="308" t="s">
        <v>75</v>
      </c>
      <c r="U7358" s="308" t="s">
        <v>27</v>
      </c>
      <c r="V7358" s="308"/>
    </row>
    <row r="7359">
      <c r="A7359" s="308"/>
      <c r="B7359" s="308"/>
      <c r="C7359" s="308" t="s">
        <v>29455</v>
      </c>
      <c r="D7359" s="308">
        <f>IFERROR(__xludf.DUMMYFUNCTION("SPLIT(C7359,""-"")"),7379.0)</f>
        <v>7379</v>
      </c>
      <c r="E7359" s="308" t="str">
        <f>IFERROR(__xludf.DUMMYFUNCTION("""COMPUTED_VALUE"""),"B")</f>
        <v>B</v>
      </c>
      <c r="F7359" s="315" t="s">
        <v>26</v>
      </c>
      <c r="G7359" s="308"/>
      <c r="H7359" s="308" t="s">
        <v>29456</v>
      </c>
      <c r="I7359" s="310">
        <v>42744.0</v>
      </c>
      <c r="J7359" s="319">
        <f>IFERROR(__xludf.DUMMYFUNCTION("SPLIT(I7359,""/"")"),9.0)</f>
        <v>9</v>
      </c>
      <c r="K7359" s="308">
        <f>IFERROR(__xludf.DUMMYFUNCTION("""COMPUTED_VALUE"""),1.0)</f>
        <v>1</v>
      </c>
      <c r="L7359" s="308">
        <f>IFERROR(__xludf.DUMMYFUNCTION("""COMPUTED_VALUE"""),2017.0)</f>
        <v>2017</v>
      </c>
      <c r="M7359" s="308" t="s">
        <v>29326</v>
      </c>
      <c r="N7359" s="308"/>
      <c r="O7359" s="308"/>
      <c r="P7359" s="308" t="s">
        <v>136</v>
      </c>
      <c r="Q7359" s="308" t="s">
        <v>39573</v>
      </c>
      <c r="R7359" s="308"/>
      <c r="S7359" s="315" t="s">
        <v>100</v>
      </c>
      <c r="T7359" s="308" t="s">
        <v>34208</v>
      </c>
      <c r="U7359" s="308" t="s">
        <v>27</v>
      </c>
      <c r="V7359" s="308"/>
    </row>
    <row r="7360">
      <c r="A7360" s="308"/>
      <c r="B7360" s="308"/>
      <c r="C7360" s="308" t="s">
        <v>29457</v>
      </c>
      <c r="D7360" s="308">
        <f>IFERROR(__xludf.DUMMYFUNCTION("SPLIT(C7360,""-"")"),7380.0)</f>
        <v>7380</v>
      </c>
      <c r="E7360" s="308" t="str">
        <f>IFERROR(__xludf.DUMMYFUNCTION("""COMPUTED_VALUE"""),"B")</f>
        <v>B</v>
      </c>
      <c r="F7360" s="315" t="s">
        <v>26</v>
      </c>
      <c r="G7360" s="308"/>
      <c r="H7360" s="308" t="s">
        <v>29458</v>
      </c>
      <c r="I7360" s="310">
        <v>42744.0</v>
      </c>
      <c r="J7360" s="319">
        <f>IFERROR(__xludf.DUMMYFUNCTION("SPLIT(I7360,""/"")"),9.0)</f>
        <v>9</v>
      </c>
      <c r="K7360" s="308">
        <f>IFERROR(__xludf.DUMMYFUNCTION("""COMPUTED_VALUE"""),1.0)</f>
        <v>1</v>
      </c>
      <c r="L7360" s="308">
        <f>IFERROR(__xludf.DUMMYFUNCTION("""COMPUTED_VALUE"""),2017.0)</f>
        <v>2017</v>
      </c>
      <c r="M7360" s="308" t="s">
        <v>29459</v>
      </c>
      <c r="N7360" s="308"/>
      <c r="O7360" s="308"/>
      <c r="P7360" s="308" t="s">
        <v>28792</v>
      </c>
      <c r="Q7360" s="308" t="s">
        <v>39573</v>
      </c>
      <c r="R7360" s="308"/>
      <c r="S7360" s="308" t="s">
        <v>81</v>
      </c>
      <c r="T7360" s="308" t="s">
        <v>75</v>
      </c>
      <c r="U7360" s="308" t="s">
        <v>27</v>
      </c>
      <c r="V7360" s="308"/>
    </row>
    <row r="7361">
      <c r="A7361" s="308"/>
      <c r="B7361" s="308"/>
      <c r="C7361" s="308" t="s">
        <v>29460</v>
      </c>
      <c r="D7361" s="308">
        <f>IFERROR(__xludf.DUMMYFUNCTION("SPLIT(C7361,""-"")"),7381.0)</f>
        <v>7381</v>
      </c>
      <c r="E7361" s="308" t="str">
        <f>IFERROR(__xludf.DUMMYFUNCTION("""COMPUTED_VALUE"""),"B")</f>
        <v>B</v>
      </c>
      <c r="F7361" s="315" t="s">
        <v>26</v>
      </c>
      <c r="G7361" s="308"/>
      <c r="H7361" s="308" t="s">
        <v>29461</v>
      </c>
      <c r="I7361" s="310">
        <v>42744.0</v>
      </c>
      <c r="J7361" s="319">
        <f>IFERROR(__xludf.DUMMYFUNCTION("SPLIT(I7361,""/"")"),9.0)</f>
        <v>9</v>
      </c>
      <c r="K7361" s="308">
        <f>IFERROR(__xludf.DUMMYFUNCTION("""COMPUTED_VALUE"""),1.0)</f>
        <v>1</v>
      </c>
      <c r="L7361" s="308">
        <f>IFERROR(__xludf.DUMMYFUNCTION("""COMPUTED_VALUE"""),2017.0)</f>
        <v>2017</v>
      </c>
      <c r="M7361" s="308" t="s">
        <v>29459</v>
      </c>
      <c r="N7361" s="308"/>
      <c r="O7361" s="308"/>
      <c r="P7361" s="308" t="s">
        <v>28792</v>
      </c>
      <c r="Q7361" s="308" t="s">
        <v>39573</v>
      </c>
      <c r="R7361" s="308"/>
      <c r="S7361" s="308" t="s">
        <v>81</v>
      </c>
      <c r="T7361" s="308" t="s">
        <v>75</v>
      </c>
      <c r="U7361" s="308" t="s">
        <v>27</v>
      </c>
      <c r="V7361" s="308"/>
    </row>
    <row r="7362">
      <c r="A7362" s="308"/>
      <c r="B7362" s="308"/>
      <c r="C7362" s="308" t="s">
        <v>29462</v>
      </c>
      <c r="D7362" s="308">
        <f>IFERROR(__xludf.DUMMYFUNCTION("SPLIT(C7362,""-"")"),7382.0)</f>
        <v>7382</v>
      </c>
      <c r="E7362" s="308" t="str">
        <f>IFERROR(__xludf.DUMMYFUNCTION("""COMPUTED_VALUE"""),"B")</f>
        <v>B</v>
      </c>
      <c r="F7362" s="315" t="s">
        <v>26</v>
      </c>
      <c r="G7362" s="308"/>
      <c r="H7362" s="308" t="s">
        <v>29463</v>
      </c>
      <c r="I7362" s="310">
        <v>42744.0</v>
      </c>
      <c r="J7362" s="319">
        <f>IFERROR(__xludf.DUMMYFUNCTION("SPLIT(I7362,""/"")"),9.0)</f>
        <v>9</v>
      </c>
      <c r="K7362" s="308">
        <f>IFERROR(__xludf.DUMMYFUNCTION("""COMPUTED_VALUE"""),1.0)</f>
        <v>1</v>
      </c>
      <c r="L7362" s="308">
        <f>IFERROR(__xludf.DUMMYFUNCTION("""COMPUTED_VALUE"""),2017.0)</f>
        <v>2017</v>
      </c>
      <c r="M7362" s="308" t="s">
        <v>28865</v>
      </c>
      <c r="N7362" s="308"/>
      <c r="O7362" s="308"/>
      <c r="P7362" s="308" t="s">
        <v>28792</v>
      </c>
      <c r="Q7362" s="308" t="s">
        <v>39573</v>
      </c>
      <c r="R7362" s="308"/>
      <c r="S7362" s="308" t="s">
        <v>81</v>
      </c>
      <c r="T7362" s="308" t="s">
        <v>75</v>
      </c>
      <c r="U7362" s="308" t="s">
        <v>27</v>
      </c>
      <c r="V7362" s="308"/>
    </row>
    <row r="7363">
      <c r="A7363" s="308"/>
      <c r="B7363" s="308"/>
      <c r="C7363" s="308" t="s">
        <v>29464</v>
      </c>
      <c r="D7363" s="308">
        <f>IFERROR(__xludf.DUMMYFUNCTION("SPLIT(C7363,""-"")"),7383.0)</f>
        <v>7383</v>
      </c>
      <c r="E7363" s="308" t="str">
        <f>IFERROR(__xludf.DUMMYFUNCTION("""COMPUTED_VALUE"""),"B")</f>
        <v>B</v>
      </c>
      <c r="F7363" s="315" t="s">
        <v>26</v>
      </c>
      <c r="G7363" s="308"/>
      <c r="H7363" s="308" t="s">
        <v>29465</v>
      </c>
      <c r="I7363" s="310">
        <v>42744.0</v>
      </c>
      <c r="J7363" s="319">
        <f>IFERROR(__xludf.DUMMYFUNCTION("SPLIT(I7363,""/"")"),9.0)</f>
        <v>9</v>
      </c>
      <c r="K7363" s="308">
        <f>IFERROR(__xludf.DUMMYFUNCTION("""COMPUTED_VALUE"""),1.0)</f>
        <v>1</v>
      </c>
      <c r="L7363" s="308">
        <f>IFERROR(__xludf.DUMMYFUNCTION("""COMPUTED_VALUE"""),2017.0)</f>
        <v>2017</v>
      </c>
      <c r="M7363" s="308" t="s">
        <v>29459</v>
      </c>
      <c r="N7363" s="308"/>
      <c r="O7363" s="308"/>
      <c r="P7363" s="308" t="s">
        <v>136</v>
      </c>
      <c r="Q7363" s="308" t="s">
        <v>39573</v>
      </c>
      <c r="R7363" s="308"/>
      <c r="S7363" s="315" t="s">
        <v>100</v>
      </c>
      <c r="T7363" s="308" t="s">
        <v>34208</v>
      </c>
      <c r="U7363" s="308" t="s">
        <v>27</v>
      </c>
      <c r="V7363" s="308"/>
    </row>
    <row r="7364">
      <c r="A7364" s="308"/>
      <c r="B7364" s="308"/>
      <c r="C7364" s="308" t="s">
        <v>29466</v>
      </c>
      <c r="D7364" s="308">
        <f>IFERROR(__xludf.DUMMYFUNCTION("SPLIT(C7364,""-"")"),7384.0)</f>
        <v>7384</v>
      </c>
      <c r="E7364" s="308" t="str">
        <f>IFERROR(__xludf.DUMMYFUNCTION("""COMPUTED_VALUE"""),"B")</f>
        <v>B</v>
      </c>
      <c r="F7364" s="315" t="s">
        <v>26</v>
      </c>
      <c r="G7364" s="308"/>
      <c r="H7364" s="308" t="s">
        <v>29467</v>
      </c>
      <c r="I7364" s="310">
        <v>42977.0</v>
      </c>
      <c r="J7364" s="319">
        <f>IFERROR(__xludf.DUMMYFUNCTION("SPLIT(I7364,""/"")"),30.0)</f>
        <v>30</v>
      </c>
      <c r="K7364" s="308">
        <f>IFERROR(__xludf.DUMMYFUNCTION("""COMPUTED_VALUE"""),8.0)</f>
        <v>8</v>
      </c>
      <c r="L7364" s="308">
        <f>IFERROR(__xludf.DUMMYFUNCTION("""COMPUTED_VALUE"""),2017.0)</f>
        <v>2017</v>
      </c>
      <c r="M7364" s="308" t="s">
        <v>29468</v>
      </c>
      <c r="N7364" s="308"/>
      <c r="O7364" s="308"/>
      <c r="P7364" s="308" t="s">
        <v>136</v>
      </c>
      <c r="Q7364" s="308" t="s">
        <v>39573</v>
      </c>
      <c r="R7364" s="308"/>
      <c r="S7364" s="315" t="s">
        <v>100</v>
      </c>
      <c r="T7364" s="308" t="s">
        <v>34208</v>
      </c>
      <c r="U7364" s="308" t="s">
        <v>27</v>
      </c>
      <c r="V7364" s="308"/>
    </row>
    <row r="7365">
      <c r="A7365" s="308"/>
      <c r="B7365" s="308"/>
      <c r="C7365" s="308" t="s">
        <v>29469</v>
      </c>
      <c r="D7365" s="308">
        <f>IFERROR(__xludf.DUMMYFUNCTION("SPLIT(C7365,""-"")"),7385.0)</f>
        <v>7385</v>
      </c>
      <c r="E7365" s="308" t="str">
        <f>IFERROR(__xludf.DUMMYFUNCTION("""COMPUTED_VALUE"""),"B")</f>
        <v>B</v>
      </c>
      <c r="F7365" s="315" t="s">
        <v>26</v>
      </c>
      <c r="G7365" s="308"/>
      <c r="H7365" s="308" t="s">
        <v>29470</v>
      </c>
      <c r="I7365" s="310">
        <v>42977.0</v>
      </c>
      <c r="J7365" s="319">
        <f>IFERROR(__xludf.DUMMYFUNCTION("SPLIT(I7365,""/"")"),30.0)</f>
        <v>30</v>
      </c>
      <c r="K7365" s="308">
        <f>IFERROR(__xludf.DUMMYFUNCTION("""COMPUTED_VALUE"""),8.0)</f>
        <v>8</v>
      </c>
      <c r="L7365" s="308">
        <f>IFERROR(__xludf.DUMMYFUNCTION("""COMPUTED_VALUE"""),2017.0)</f>
        <v>2017</v>
      </c>
      <c r="M7365" s="308" t="s">
        <v>29468</v>
      </c>
      <c r="N7365" s="308"/>
      <c r="O7365" s="308"/>
      <c r="P7365" s="308" t="s">
        <v>136</v>
      </c>
      <c r="Q7365" s="308" t="s">
        <v>39573</v>
      </c>
      <c r="R7365" s="308"/>
      <c r="S7365" s="315" t="s">
        <v>100</v>
      </c>
      <c r="T7365" s="308" t="s">
        <v>34208</v>
      </c>
      <c r="U7365" s="308" t="s">
        <v>27</v>
      </c>
      <c r="V7365" s="308"/>
    </row>
    <row r="7366">
      <c r="A7366" s="308"/>
      <c r="B7366" s="308"/>
      <c r="C7366" s="308" t="s">
        <v>29471</v>
      </c>
      <c r="D7366" s="308">
        <f>IFERROR(__xludf.DUMMYFUNCTION("SPLIT(C7366,""-"")"),7386.0)</f>
        <v>7386</v>
      </c>
      <c r="E7366" s="308" t="str">
        <f>IFERROR(__xludf.DUMMYFUNCTION("""COMPUTED_VALUE"""),"B")</f>
        <v>B</v>
      </c>
      <c r="F7366" s="315" t="s">
        <v>26</v>
      </c>
      <c r="G7366" s="308"/>
      <c r="H7366" s="308" t="s">
        <v>29472</v>
      </c>
      <c r="I7366" s="310">
        <v>42976.0</v>
      </c>
      <c r="J7366" s="319">
        <f>IFERROR(__xludf.DUMMYFUNCTION("SPLIT(I7366,""/"")"),29.0)</f>
        <v>29</v>
      </c>
      <c r="K7366" s="308">
        <f>IFERROR(__xludf.DUMMYFUNCTION("""COMPUTED_VALUE"""),8.0)</f>
        <v>8</v>
      </c>
      <c r="L7366" s="308">
        <f>IFERROR(__xludf.DUMMYFUNCTION("""COMPUTED_VALUE"""),2017.0)</f>
        <v>2017</v>
      </c>
      <c r="M7366" s="308" t="s">
        <v>28853</v>
      </c>
      <c r="N7366" s="308"/>
      <c r="O7366" s="308"/>
      <c r="P7366" s="308" t="s">
        <v>28792</v>
      </c>
      <c r="Q7366" s="308" t="s">
        <v>39573</v>
      </c>
      <c r="R7366" s="308"/>
      <c r="S7366" s="308" t="s">
        <v>81</v>
      </c>
      <c r="T7366" s="308" t="s">
        <v>75</v>
      </c>
      <c r="U7366" s="308" t="s">
        <v>27</v>
      </c>
      <c r="V7366" s="308"/>
    </row>
    <row r="7367">
      <c r="A7367" s="308"/>
      <c r="B7367" s="308"/>
      <c r="C7367" s="308" t="s">
        <v>29473</v>
      </c>
      <c r="D7367" s="308">
        <f>IFERROR(__xludf.DUMMYFUNCTION("SPLIT(C7367,""-"")"),7387.0)</f>
        <v>7387</v>
      </c>
      <c r="E7367" s="308" t="str">
        <f>IFERROR(__xludf.DUMMYFUNCTION("""COMPUTED_VALUE"""),"B")</f>
        <v>B</v>
      </c>
      <c r="F7367" s="315" t="s">
        <v>26</v>
      </c>
      <c r="G7367" s="308"/>
      <c r="H7367" s="308" t="s">
        <v>29474</v>
      </c>
      <c r="I7367" s="310">
        <v>42925.0</v>
      </c>
      <c r="J7367" s="319">
        <f>IFERROR(__xludf.DUMMYFUNCTION("SPLIT(I7367,""/"")"),9.0)</f>
        <v>9</v>
      </c>
      <c r="K7367" s="308">
        <f>IFERROR(__xludf.DUMMYFUNCTION("""COMPUTED_VALUE"""),7.0)</f>
        <v>7</v>
      </c>
      <c r="L7367" s="308">
        <f>IFERROR(__xludf.DUMMYFUNCTION("""COMPUTED_VALUE"""),2017.0)</f>
        <v>2017</v>
      </c>
      <c r="M7367" s="308" t="s">
        <v>29459</v>
      </c>
      <c r="N7367" s="308"/>
      <c r="O7367" s="308"/>
      <c r="P7367" s="308" t="s">
        <v>28792</v>
      </c>
      <c r="Q7367" s="308" t="s">
        <v>39573</v>
      </c>
      <c r="R7367" s="308"/>
      <c r="S7367" s="308" t="s">
        <v>81</v>
      </c>
      <c r="T7367" s="308" t="s">
        <v>75</v>
      </c>
      <c r="U7367" s="308" t="s">
        <v>27</v>
      </c>
      <c r="V7367" s="308"/>
    </row>
    <row r="7368">
      <c r="A7368" s="308"/>
      <c r="B7368" s="308"/>
      <c r="C7368" s="308" t="s">
        <v>29475</v>
      </c>
      <c r="D7368" s="308">
        <f>IFERROR(__xludf.DUMMYFUNCTION("SPLIT(C7368,""-"")"),7388.0)</f>
        <v>7388</v>
      </c>
      <c r="E7368" s="308" t="str">
        <f>IFERROR(__xludf.DUMMYFUNCTION("""COMPUTED_VALUE"""),"B")</f>
        <v>B</v>
      </c>
      <c r="F7368" s="315" t="s">
        <v>26</v>
      </c>
      <c r="G7368" s="308"/>
      <c r="H7368" s="308" t="s">
        <v>29476</v>
      </c>
      <c r="I7368" s="310">
        <v>42987.0</v>
      </c>
      <c r="J7368" s="319">
        <f>IFERROR(__xludf.DUMMYFUNCTION("SPLIT(I7368,""/"")"),9.0)</f>
        <v>9</v>
      </c>
      <c r="K7368" s="308">
        <f>IFERROR(__xludf.DUMMYFUNCTION("""COMPUTED_VALUE"""),9.0)</f>
        <v>9</v>
      </c>
      <c r="L7368" s="308">
        <f>IFERROR(__xludf.DUMMYFUNCTION("""COMPUTED_VALUE"""),2017.0)</f>
        <v>2017</v>
      </c>
      <c r="M7368" s="308" t="s">
        <v>29477</v>
      </c>
      <c r="N7368" s="308"/>
      <c r="O7368" s="308"/>
      <c r="P7368" s="308" t="s">
        <v>136</v>
      </c>
      <c r="Q7368" s="308" t="s">
        <v>39573</v>
      </c>
      <c r="R7368" s="308"/>
      <c r="S7368" s="315" t="s">
        <v>100</v>
      </c>
      <c r="T7368" s="308" t="s">
        <v>34208</v>
      </c>
      <c r="U7368" s="308" t="s">
        <v>27</v>
      </c>
      <c r="V7368" s="308"/>
    </row>
    <row r="7369">
      <c r="A7369" s="308"/>
      <c r="B7369" s="308"/>
      <c r="C7369" s="308" t="s">
        <v>29478</v>
      </c>
      <c r="D7369" s="308">
        <f>IFERROR(__xludf.DUMMYFUNCTION("SPLIT(C7369,""-"")"),7389.0)</f>
        <v>7389</v>
      </c>
      <c r="E7369" s="308" t="str">
        <f>IFERROR(__xludf.DUMMYFUNCTION("""COMPUTED_VALUE"""),"B")</f>
        <v>B</v>
      </c>
      <c r="F7369" s="315" t="s">
        <v>26</v>
      </c>
      <c r="G7369" s="308"/>
      <c r="H7369" s="308" t="s">
        <v>29479</v>
      </c>
      <c r="I7369" s="310">
        <v>42987.0</v>
      </c>
      <c r="J7369" s="319">
        <f>IFERROR(__xludf.DUMMYFUNCTION("SPLIT(I7369,""/"")"),9.0)</f>
        <v>9</v>
      </c>
      <c r="K7369" s="308">
        <f>IFERROR(__xludf.DUMMYFUNCTION("""COMPUTED_VALUE"""),9.0)</f>
        <v>9</v>
      </c>
      <c r="L7369" s="308">
        <f>IFERROR(__xludf.DUMMYFUNCTION("""COMPUTED_VALUE"""),2017.0)</f>
        <v>2017</v>
      </c>
      <c r="M7369" s="308" t="s">
        <v>29477</v>
      </c>
      <c r="N7369" s="308"/>
      <c r="O7369" s="308"/>
      <c r="P7369" s="308" t="s">
        <v>39630</v>
      </c>
      <c r="Q7369" s="308" t="s">
        <v>39573</v>
      </c>
      <c r="R7369" s="308"/>
      <c r="S7369" s="308" t="s">
        <v>81</v>
      </c>
      <c r="T7369" s="308" t="s">
        <v>75</v>
      </c>
      <c r="U7369" s="308" t="s">
        <v>27</v>
      </c>
      <c r="V7369" s="308"/>
    </row>
    <row r="7370">
      <c r="A7370" s="308"/>
      <c r="B7370" s="308"/>
      <c r="C7370" s="308" t="s">
        <v>29481</v>
      </c>
      <c r="D7370" s="308">
        <f>IFERROR(__xludf.DUMMYFUNCTION("SPLIT(C7370,""-"")"),7390.0)</f>
        <v>7390</v>
      </c>
      <c r="E7370" s="308" t="str">
        <f>IFERROR(__xludf.DUMMYFUNCTION("""COMPUTED_VALUE"""),"B")</f>
        <v>B</v>
      </c>
      <c r="F7370" s="315" t="s">
        <v>26</v>
      </c>
      <c r="G7370" s="308"/>
      <c r="H7370" s="308" t="s">
        <v>29482</v>
      </c>
      <c r="I7370" s="310">
        <v>42984.0</v>
      </c>
      <c r="J7370" s="319">
        <f>IFERROR(__xludf.DUMMYFUNCTION("SPLIT(I7370,""/"")"),6.0)</f>
        <v>6</v>
      </c>
      <c r="K7370" s="308">
        <f>IFERROR(__xludf.DUMMYFUNCTION("""COMPUTED_VALUE"""),9.0)</f>
        <v>9</v>
      </c>
      <c r="L7370" s="308">
        <f>IFERROR(__xludf.DUMMYFUNCTION("""COMPUTED_VALUE"""),2017.0)</f>
        <v>2017</v>
      </c>
      <c r="M7370" s="308" t="s">
        <v>29483</v>
      </c>
      <c r="N7370" s="308"/>
      <c r="O7370" s="308"/>
      <c r="P7370" s="308" t="s">
        <v>39631</v>
      </c>
      <c r="Q7370" s="308" t="s">
        <v>39573</v>
      </c>
      <c r="R7370" s="308"/>
      <c r="S7370" s="308" t="s">
        <v>81</v>
      </c>
      <c r="T7370" s="308" t="s">
        <v>75</v>
      </c>
      <c r="U7370" s="308" t="s">
        <v>27</v>
      </c>
      <c r="V7370" s="308"/>
    </row>
    <row r="7371">
      <c r="A7371" s="308"/>
      <c r="B7371" s="308"/>
      <c r="C7371" s="308" t="s">
        <v>29485</v>
      </c>
      <c r="D7371" s="308">
        <f>IFERROR(__xludf.DUMMYFUNCTION("SPLIT(C7371,""-"")"),7391.0)</f>
        <v>7391</v>
      </c>
      <c r="E7371" s="308" t="str">
        <f>IFERROR(__xludf.DUMMYFUNCTION("""COMPUTED_VALUE"""),"B")</f>
        <v>B</v>
      </c>
      <c r="F7371" s="315" t="s">
        <v>26</v>
      </c>
      <c r="G7371" s="308"/>
      <c r="H7371" s="308" t="s">
        <v>29486</v>
      </c>
      <c r="I7371" s="310">
        <v>42984.0</v>
      </c>
      <c r="J7371" s="319">
        <f>IFERROR(__xludf.DUMMYFUNCTION("SPLIT(I7371,""/"")"),6.0)</f>
        <v>6</v>
      </c>
      <c r="K7371" s="308">
        <f>IFERROR(__xludf.DUMMYFUNCTION("""COMPUTED_VALUE"""),9.0)</f>
        <v>9</v>
      </c>
      <c r="L7371" s="308">
        <f>IFERROR(__xludf.DUMMYFUNCTION("""COMPUTED_VALUE"""),2017.0)</f>
        <v>2017</v>
      </c>
      <c r="M7371" s="308" t="s">
        <v>29487</v>
      </c>
      <c r="N7371" s="308"/>
      <c r="O7371" s="308"/>
      <c r="P7371" s="308" t="s">
        <v>136</v>
      </c>
      <c r="Q7371" s="308" t="s">
        <v>39573</v>
      </c>
      <c r="R7371" s="308"/>
      <c r="S7371" s="315" t="s">
        <v>100</v>
      </c>
      <c r="T7371" s="308" t="s">
        <v>34208</v>
      </c>
      <c r="U7371" s="308" t="s">
        <v>27</v>
      </c>
      <c r="V7371" s="308"/>
    </row>
    <row r="7372">
      <c r="A7372" s="308"/>
      <c r="B7372" s="308"/>
      <c r="C7372" s="308" t="s">
        <v>29488</v>
      </c>
      <c r="D7372" s="308">
        <f>IFERROR(__xludf.DUMMYFUNCTION("SPLIT(C7372,""-"")"),7392.0)</f>
        <v>7392</v>
      </c>
      <c r="E7372" s="308" t="str">
        <f>IFERROR(__xludf.DUMMYFUNCTION("""COMPUTED_VALUE"""),"B")</f>
        <v>B</v>
      </c>
      <c r="F7372" s="315" t="s">
        <v>26</v>
      </c>
      <c r="G7372" s="308"/>
      <c r="H7372" s="308" t="s">
        <v>29489</v>
      </c>
      <c r="I7372" s="310">
        <v>42984.0</v>
      </c>
      <c r="J7372" s="319">
        <f>IFERROR(__xludf.DUMMYFUNCTION("SPLIT(I7372,""/"")"),6.0)</f>
        <v>6</v>
      </c>
      <c r="K7372" s="308">
        <f>IFERROR(__xludf.DUMMYFUNCTION("""COMPUTED_VALUE"""),9.0)</f>
        <v>9</v>
      </c>
      <c r="L7372" s="308">
        <f>IFERROR(__xludf.DUMMYFUNCTION("""COMPUTED_VALUE"""),2017.0)</f>
        <v>2017</v>
      </c>
      <c r="M7372" s="308" t="s">
        <v>29487</v>
      </c>
      <c r="N7372" s="308"/>
      <c r="O7372" s="308"/>
      <c r="P7372" s="308" t="s">
        <v>28792</v>
      </c>
      <c r="Q7372" s="308" t="s">
        <v>39573</v>
      </c>
      <c r="R7372" s="308"/>
      <c r="S7372" s="308" t="s">
        <v>81</v>
      </c>
      <c r="T7372" s="308" t="s">
        <v>75</v>
      </c>
      <c r="U7372" s="308" t="s">
        <v>27</v>
      </c>
      <c r="V7372" s="308"/>
    </row>
    <row r="7373">
      <c r="A7373" s="308"/>
      <c r="B7373" s="308"/>
      <c r="C7373" s="308" t="s">
        <v>29490</v>
      </c>
      <c r="D7373" s="308">
        <f>IFERROR(__xludf.DUMMYFUNCTION("SPLIT(C7373,""-"")"),7393.0)</f>
        <v>7393</v>
      </c>
      <c r="E7373" s="308" t="str">
        <f>IFERROR(__xludf.DUMMYFUNCTION("""COMPUTED_VALUE"""),"B")</f>
        <v>B</v>
      </c>
      <c r="F7373" s="315" t="s">
        <v>26</v>
      </c>
      <c r="G7373" s="308"/>
      <c r="H7373" s="308" t="s">
        <v>29491</v>
      </c>
      <c r="I7373" s="310">
        <v>42864.0</v>
      </c>
      <c r="J7373" s="319">
        <f>IFERROR(__xludf.DUMMYFUNCTION("SPLIT(I7373,""/"")"),9.0)</f>
        <v>9</v>
      </c>
      <c r="K7373" s="308">
        <f>IFERROR(__xludf.DUMMYFUNCTION("""COMPUTED_VALUE"""),5.0)</f>
        <v>5</v>
      </c>
      <c r="L7373" s="308">
        <f>IFERROR(__xludf.DUMMYFUNCTION("""COMPUTED_VALUE"""),2017.0)</f>
        <v>2017</v>
      </c>
      <c r="M7373" s="308" t="s">
        <v>29492</v>
      </c>
      <c r="N7373" s="308"/>
      <c r="O7373" s="308"/>
      <c r="P7373" s="308" t="s">
        <v>28792</v>
      </c>
      <c r="Q7373" s="308" t="s">
        <v>39573</v>
      </c>
      <c r="R7373" s="308"/>
      <c r="S7373" s="308" t="s">
        <v>81</v>
      </c>
      <c r="T7373" s="308" t="s">
        <v>75</v>
      </c>
      <c r="U7373" s="308" t="s">
        <v>27</v>
      </c>
      <c r="V7373" s="308"/>
    </row>
    <row r="7374">
      <c r="A7374" s="308"/>
      <c r="B7374" s="308"/>
      <c r="C7374" s="308" t="s">
        <v>29493</v>
      </c>
      <c r="D7374" s="308">
        <f>IFERROR(__xludf.DUMMYFUNCTION("SPLIT(C7374,""-"")"),7394.0)</f>
        <v>7394</v>
      </c>
      <c r="E7374" s="308" t="str">
        <f>IFERROR(__xludf.DUMMYFUNCTION("""COMPUTED_VALUE"""),"B")</f>
        <v>B</v>
      </c>
      <c r="F7374" s="315" t="s">
        <v>26</v>
      </c>
      <c r="G7374" s="308"/>
      <c r="H7374" s="308" t="s">
        <v>29494</v>
      </c>
      <c r="I7374" s="310">
        <v>42775.0</v>
      </c>
      <c r="J7374" s="319">
        <f>IFERROR(__xludf.DUMMYFUNCTION("SPLIT(I7374,""/"")"),9.0)</f>
        <v>9</v>
      </c>
      <c r="K7374" s="308">
        <f>IFERROR(__xludf.DUMMYFUNCTION("""COMPUTED_VALUE"""),2.0)</f>
        <v>2</v>
      </c>
      <c r="L7374" s="308">
        <f>IFERROR(__xludf.DUMMYFUNCTION("""COMPUTED_VALUE"""),2017.0)</f>
        <v>2017</v>
      </c>
      <c r="M7374" s="308" t="s">
        <v>28433</v>
      </c>
      <c r="N7374" s="308"/>
      <c r="O7374" s="308"/>
      <c r="P7374" s="308" t="s">
        <v>39632</v>
      </c>
      <c r="Q7374" s="308" t="s">
        <v>39573</v>
      </c>
      <c r="R7374" s="308"/>
      <c r="S7374" s="308" t="s">
        <v>81</v>
      </c>
      <c r="T7374" s="308" t="s">
        <v>75</v>
      </c>
      <c r="U7374" s="308" t="s">
        <v>27</v>
      </c>
      <c r="V7374" s="308"/>
    </row>
    <row r="7375">
      <c r="A7375" s="308"/>
      <c r="B7375" s="308"/>
      <c r="C7375" s="308" t="s">
        <v>29496</v>
      </c>
      <c r="D7375" s="308">
        <f>IFERROR(__xludf.DUMMYFUNCTION("SPLIT(C7375,""-"")"),7395.0)</f>
        <v>7395</v>
      </c>
      <c r="E7375" s="308" t="str">
        <f>IFERROR(__xludf.DUMMYFUNCTION("""COMPUTED_VALUE"""),"B")</f>
        <v>B</v>
      </c>
      <c r="F7375" s="315" t="s">
        <v>26</v>
      </c>
      <c r="G7375" s="308"/>
      <c r="H7375" s="308" t="s">
        <v>29497</v>
      </c>
      <c r="I7375" s="310">
        <v>42775.0</v>
      </c>
      <c r="J7375" s="319">
        <f>IFERROR(__xludf.DUMMYFUNCTION("SPLIT(I7375,""/"")"),9.0)</f>
        <v>9</v>
      </c>
      <c r="K7375" s="308">
        <f>IFERROR(__xludf.DUMMYFUNCTION("""COMPUTED_VALUE"""),2.0)</f>
        <v>2</v>
      </c>
      <c r="L7375" s="308">
        <f>IFERROR(__xludf.DUMMYFUNCTION("""COMPUTED_VALUE"""),2017.0)</f>
        <v>2017</v>
      </c>
      <c r="M7375" s="308" t="s">
        <v>28433</v>
      </c>
      <c r="N7375" s="308"/>
      <c r="O7375" s="308"/>
      <c r="P7375" s="308" t="s">
        <v>39633</v>
      </c>
      <c r="Q7375" s="308" t="s">
        <v>39573</v>
      </c>
      <c r="R7375" s="308"/>
      <c r="S7375" s="308" t="s">
        <v>81</v>
      </c>
      <c r="T7375" s="308" t="s">
        <v>75</v>
      </c>
      <c r="U7375" s="308" t="s">
        <v>27</v>
      </c>
      <c r="V7375" s="308"/>
    </row>
    <row r="7376">
      <c r="A7376" s="308"/>
      <c r="B7376" s="308"/>
      <c r="C7376" s="308" t="s">
        <v>29499</v>
      </c>
      <c r="D7376" s="308">
        <f>IFERROR(__xludf.DUMMYFUNCTION("SPLIT(C7376,""-"")"),7396.0)</f>
        <v>7396</v>
      </c>
      <c r="E7376" s="308" t="str">
        <f>IFERROR(__xludf.DUMMYFUNCTION("""COMPUTED_VALUE"""),"B")</f>
        <v>B</v>
      </c>
      <c r="F7376" s="315" t="s">
        <v>26</v>
      </c>
      <c r="G7376" s="308"/>
      <c r="H7376" s="308" t="s">
        <v>29500</v>
      </c>
      <c r="I7376" s="310">
        <v>42775.0</v>
      </c>
      <c r="J7376" s="319">
        <f>IFERROR(__xludf.DUMMYFUNCTION("SPLIT(I7376,""/"")"),9.0)</f>
        <v>9</v>
      </c>
      <c r="K7376" s="308">
        <f>IFERROR(__xludf.DUMMYFUNCTION("""COMPUTED_VALUE"""),2.0)</f>
        <v>2</v>
      </c>
      <c r="L7376" s="308">
        <f>IFERROR(__xludf.DUMMYFUNCTION("""COMPUTED_VALUE"""),2017.0)</f>
        <v>2017</v>
      </c>
      <c r="M7376" s="308" t="s">
        <v>28433</v>
      </c>
      <c r="N7376" s="308"/>
      <c r="O7376" s="308"/>
      <c r="P7376" s="308" t="s">
        <v>28792</v>
      </c>
      <c r="Q7376" s="308" t="s">
        <v>39573</v>
      </c>
      <c r="R7376" s="308"/>
      <c r="S7376" s="308" t="s">
        <v>81</v>
      </c>
      <c r="T7376" s="308" t="s">
        <v>75</v>
      </c>
      <c r="U7376" s="308" t="s">
        <v>27</v>
      </c>
      <c r="V7376" s="308"/>
    </row>
    <row r="7377">
      <c r="A7377" s="308"/>
      <c r="B7377" s="308"/>
      <c r="C7377" s="308" t="s">
        <v>29501</v>
      </c>
      <c r="D7377" s="308">
        <f>IFERROR(__xludf.DUMMYFUNCTION("SPLIT(C7377,""-"")"),7397.0)</f>
        <v>7397</v>
      </c>
      <c r="E7377" s="308" t="str">
        <f>IFERROR(__xludf.DUMMYFUNCTION("""COMPUTED_VALUE"""),"B")</f>
        <v>B</v>
      </c>
      <c r="F7377" s="315" t="s">
        <v>26</v>
      </c>
      <c r="G7377" s="308"/>
      <c r="H7377" s="308" t="s">
        <v>29502</v>
      </c>
      <c r="I7377" s="310">
        <v>42775.0</v>
      </c>
      <c r="J7377" s="319">
        <f>IFERROR(__xludf.DUMMYFUNCTION("SPLIT(I7377,""/"")"),9.0)</f>
        <v>9</v>
      </c>
      <c r="K7377" s="308">
        <f>IFERROR(__xludf.DUMMYFUNCTION("""COMPUTED_VALUE"""),2.0)</f>
        <v>2</v>
      </c>
      <c r="L7377" s="308">
        <f>IFERROR(__xludf.DUMMYFUNCTION("""COMPUTED_VALUE"""),2017.0)</f>
        <v>2017</v>
      </c>
      <c r="M7377" s="308" t="s">
        <v>29503</v>
      </c>
      <c r="N7377" s="308"/>
      <c r="O7377" s="308"/>
      <c r="P7377" s="308" t="s">
        <v>28792</v>
      </c>
      <c r="Q7377" s="308" t="s">
        <v>39573</v>
      </c>
      <c r="R7377" s="308"/>
      <c r="S7377" s="308" t="s">
        <v>81</v>
      </c>
      <c r="T7377" s="308" t="s">
        <v>75</v>
      </c>
      <c r="U7377" s="308" t="s">
        <v>27</v>
      </c>
      <c r="V7377" s="308"/>
    </row>
    <row r="7378">
      <c r="A7378" s="308"/>
      <c r="B7378" s="308"/>
      <c r="C7378" s="308" t="s">
        <v>29504</v>
      </c>
      <c r="D7378" s="308">
        <f>IFERROR(__xludf.DUMMYFUNCTION("SPLIT(C7378,""-"")"),7398.0)</f>
        <v>7398</v>
      </c>
      <c r="E7378" s="308" t="str">
        <f>IFERROR(__xludf.DUMMYFUNCTION("""COMPUTED_VALUE"""),"B")</f>
        <v>B</v>
      </c>
      <c r="F7378" s="315" t="s">
        <v>26</v>
      </c>
      <c r="G7378" s="308"/>
      <c r="H7378" s="308" t="s">
        <v>29505</v>
      </c>
      <c r="I7378" s="310">
        <v>42744.0</v>
      </c>
      <c r="J7378" s="319">
        <f>IFERROR(__xludf.DUMMYFUNCTION("SPLIT(I7378,""/"")"),9.0)</f>
        <v>9</v>
      </c>
      <c r="K7378" s="308">
        <f>IFERROR(__xludf.DUMMYFUNCTION("""COMPUTED_VALUE"""),1.0)</f>
        <v>1</v>
      </c>
      <c r="L7378" s="308">
        <f>IFERROR(__xludf.DUMMYFUNCTION("""COMPUTED_VALUE"""),2017.0)</f>
        <v>2017</v>
      </c>
      <c r="M7378" s="308" t="s">
        <v>29506</v>
      </c>
      <c r="N7378" s="308"/>
      <c r="O7378" s="308"/>
      <c r="P7378" s="308" t="s">
        <v>136</v>
      </c>
      <c r="Q7378" s="308" t="s">
        <v>39573</v>
      </c>
      <c r="R7378" s="308"/>
      <c r="S7378" s="315" t="s">
        <v>100</v>
      </c>
      <c r="T7378" s="308" t="s">
        <v>34208</v>
      </c>
      <c r="U7378" s="308" t="s">
        <v>27</v>
      </c>
      <c r="V7378" s="308"/>
    </row>
    <row r="7379">
      <c r="A7379" s="308"/>
      <c r="B7379" s="308"/>
      <c r="C7379" s="308" t="s">
        <v>29507</v>
      </c>
      <c r="D7379" s="308">
        <f>IFERROR(__xludf.DUMMYFUNCTION("SPLIT(C7379,""-"")"),7399.0)</f>
        <v>7399</v>
      </c>
      <c r="E7379" s="308" t="str">
        <f>IFERROR(__xludf.DUMMYFUNCTION("""COMPUTED_VALUE"""),"B")</f>
        <v>B</v>
      </c>
      <c r="F7379" s="315" t="s">
        <v>26</v>
      </c>
      <c r="G7379" s="308"/>
      <c r="H7379" s="308" t="s">
        <v>29508</v>
      </c>
      <c r="I7379" s="310">
        <v>42744.0</v>
      </c>
      <c r="J7379" s="319">
        <f>IFERROR(__xludf.DUMMYFUNCTION("SPLIT(I7379,""/"")"),9.0)</f>
        <v>9</v>
      </c>
      <c r="K7379" s="308">
        <f>IFERROR(__xludf.DUMMYFUNCTION("""COMPUTED_VALUE"""),1.0)</f>
        <v>1</v>
      </c>
      <c r="L7379" s="308">
        <f>IFERROR(__xludf.DUMMYFUNCTION("""COMPUTED_VALUE"""),2017.0)</f>
        <v>2017</v>
      </c>
      <c r="M7379" s="308" t="s">
        <v>28865</v>
      </c>
      <c r="N7379" s="308"/>
      <c r="O7379" s="308"/>
      <c r="P7379" s="308" t="s">
        <v>28792</v>
      </c>
      <c r="Q7379" s="308" t="s">
        <v>39573</v>
      </c>
      <c r="R7379" s="308"/>
      <c r="S7379" s="308" t="s">
        <v>81</v>
      </c>
      <c r="T7379" s="308" t="s">
        <v>75</v>
      </c>
      <c r="U7379" s="308" t="s">
        <v>27</v>
      </c>
      <c r="V7379" s="308"/>
    </row>
    <row r="7380">
      <c r="A7380" s="308"/>
      <c r="B7380" s="308"/>
      <c r="C7380" s="308" t="s">
        <v>29509</v>
      </c>
      <c r="D7380" s="308">
        <f>IFERROR(__xludf.DUMMYFUNCTION("SPLIT(C7380,""-"")"),7400.0)</f>
        <v>7400</v>
      </c>
      <c r="E7380" s="308" t="str">
        <f>IFERROR(__xludf.DUMMYFUNCTION("""COMPUTED_VALUE"""),"B")</f>
        <v>B</v>
      </c>
      <c r="F7380" s="315" t="s">
        <v>26</v>
      </c>
      <c r="G7380" s="308"/>
      <c r="H7380" s="308" t="s">
        <v>29510</v>
      </c>
      <c r="I7380" s="310">
        <v>42744.0</v>
      </c>
      <c r="J7380" s="319">
        <f>IFERROR(__xludf.DUMMYFUNCTION("SPLIT(I7380,""/"")"),9.0)</f>
        <v>9</v>
      </c>
      <c r="K7380" s="308">
        <f>IFERROR(__xludf.DUMMYFUNCTION("""COMPUTED_VALUE"""),1.0)</f>
        <v>1</v>
      </c>
      <c r="L7380" s="308">
        <f>IFERROR(__xludf.DUMMYFUNCTION("""COMPUTED_VALUE"""),2017.0)</f>
        <v>2017</v>
      </c>
      <c r="M7380" s="308" t="s">
        <v>29459</v>
      </c>
      <c r="N7380" s="308"/>
      <c r="O7380" s="308"/>
      <c r="P7380" s="308" t="s">
        <v>28792</v>
      </c>
      <c r="Q7380" s="308" t="s">
        <v>39573</v>
      </c>
      <c r="R7380" s="308"/>
      <c r="S7380" s="308" t="s">
        <v>81</v>
      </c>
      <c r="T7380" s="308" t="s">
        <v>75</v>
      </c>
      <c r="U7380" s="308" t="s">
        <v>27</v>
      </c>
      <c r="V7380" s="308"/>
    </row>
    <row r="7381">
      <c r="A7381" s="308"/>
      <c r="B7381" s="308"/>
      <c r="C7381" s="308" t="s">
        <v>29511</v>
      </c>
      <c r="D7381" s="308">
        <f>IFERROR(__xludf.DUMMYFUNCTION("SPLIT(C7381,""-"")"),7401.0)</f>
        <v>7401</v>
      </c>
      <c r="E7381" s="308" t="str">
        <f>IFERROR(__xludf.DUMMYFUNCTION("""COMPUTED_VALUE"""),"B")</f>
        <v>B</v>
      </c>
      <c r="F7381" s="315" t="s">
        <v>26</v>
      </c>
      <c r="G7381" s="308"/>
      <c r="H7381" s="308" t="s">
        <v>29512</v>
      </c>
      <c r="I7381" s="316" t="s">
        <v>29513</v>
      </c>
      <c r="J7381" s="319"/>
      <c r="K7381" s="308"/>
      <c r="L7381" s="311">
        <v>2017.0</v>
      </c>
      <c r="M7381" s="308" t="s">
        <v>29514</v>
      </c>
      <c r="N7381" s="308"/>
      <c r="O7381" s="308"/>
      <c r="P7381" s="308" t="s">
        <v>136</v>
      </c>
      <c r="Q7381" s="308" t="s">
        <v>39573</v>
      </c>
      <c r="R7381" s="308"/>
      <c r="S7381" s="315" t="s">
        <v>100</v>
      </c>
      <c r="T7381" s="308" t="s">
        <v>34208</v>
      </c>
      <c r="U7381" s="308" t="s">
        <v>27</v>
      </c>
      <c r="V7381" s="308"/>
    </row>
    <row r="7382">
      <c r="A7382" s="308"/>
      <c r="B7382" s="308"/>
      <c r="C7382" s="308" t="s">
        <v>29515</v>
      </c>
      <c r="D7382" s="308">
        <f>IFERROR(__xludf.DUMMYFUNCTION("SPLIT(C7382,""-"")"),7402.0)</f>
        <v>7402</v>
      </c>
      <c r="E7382" s="308" t="str">
        <f>IFERROR(__xludf.DUMMYFUNCTION("""COMPUTED_VALUE"""),"B")</f>
        <v>B</v>
      </c>
      <c r="F7382" s="315" t="s">
        <v>26</v>
      </c>
      <c r="G7382" s="308"/>
      <c r="H7382" s="308" t="s">
        <v>29516</v>
      </c>
      <c r="I7382" s="310">
        <v>43078.0</v>
      </c>
      <c r="J7382" s="319">
        <f>IFERROR(__xludf.DUMMYFUNCTION("SPLIT(I7382,""/"")"),9.0)</f>
        <v>9</v>
      </c>
      <c r="K7382" s="308">
        <f>IFERROR(__xludf.DUMMYFUNCTION("""COMPUTED_VALUE"""),12.0)</f>
        <v>12</v>
      </c>
      <c r="L7382" s="308">
        <f>IFERROR(__xludf.DUMMYFUNCTION("""COMPUTED_VALUE"""),2017.0)</f>
        <v>2017</v>
      </c>
      <c r="M7382" s="308" t="s">
        <v>29459</v>
      </c>
      <c r="N7382" s="308"/>
      <c r="O7382" s="308"/>
      <c r="P7382" s="308" t="s">
        <v>136</v>
      </c>
      <c r="Q7382" s="308" t="s">
        <v>39573</v>
      </c>
      <c r="R7382" s="308"/>
      <c r="S7382" s="315" t="s">
        <v>100</v>
      </c>
      <c r="T7382" s="308" t="s">
        <v>34208</v>
      </c>
      <c r="U7382" s="308" t="s">
        <v>27</v>
      </c>
      <c r="V7382" s="308"/>
    </row>
    <row r="7383">
      <c r="A7383" s="308"/>
      <c r="B7383" s="308"/>
      <c r="C7383" s="308" t="s">
        <v>29517</v>
      </c>
      <c r="D7383" s="308">
        <f>IFERROR(__xludf.DUMMYFUNCTION("SPLIT(C7383,""-"")"),7403.0)</f>
        <v>7403</v>
      </c>
      <c r="E7383" s="308" t="str">
        <f>IFERROR(__xludf.DUMMYFUNCTION("""COMPUTED_VALUE"""),"B")</f>
        <v>B</v>
      </c>
      <c r="F7383" s="315" t="s">
        <v>26</v>
      </c>
      <c r="G7383" s="308"/>
      <c r="H7383" s="308" t="s">
        <v>29518</v>
      </c>
      <c r="I7383" s="310">
        <v>43017.0</v>
      </c>
      <c r="J7383" s="319">
        <f>IFERROR(__xludf.DUMMYFUNCTION("SPLIT(I7383,""/"")"),9.0)</f>
        <v>9</v>
      </c>
      <c r="K7383" s="308">
        <f>IFERROR(__xludf.DUMMYFUNCTION("""COMPUTED_VALUE"""),10.0)</f>
        <v>10</v>
      </c>
      <c r="L7383" s="308">
        <f>IFERROR(__xludf.DUMMYFUNCTION("""COMPUTED_VALUE"""),2017.0)</f>
        <v>2017</v>
      </c>
      <c r="M7383" s="308" t="s">
        <v>28260</v>
      </c>
      <c r="N7383" s="308"/>
      <c r="O7383" s="308"/>
      <c r="P7383" s="308" t="s">
        <v>28792</v>
      </c>
      <c r="Q7383" s="308" t="s">
        <v>39573</v>
      </c>
      <c r="R7383" s="308"/>
      <c r="S7383" s="308" t="s">
        <v>81</v>
      </c>
      <c r="T7383" s="308" t="s">
        <v>75</v>
      </c>
      <c r="U7383" s="308" t="s">
        <v>27</v>
      </c>
      <c r="V7383" s="308"/>
    </row>
    <row r="7384">
      <c r="A7384" s="308"/>
      <c r="B7384" s="308"/>
      <c r="C7384" s="308" t="s">
        <v>29519</v>
      </c>
      <c r="D7384" s="308">
        <f>IFERROR(__xludf.DUMMYFUNCTION("SPLIT(C7384,""-"")"),7404.0)</f>
        <v>7404</v>
      </c>
      <c r="E7384" s="308" t="str">
        <f>IFERROR(__xludf.DUMMYFUNCTION("""COMPUTED_VALUE"""),"B")</f>
        <v>B</v>
      </c>
      <c r="F7384" s="315" t="s">
        <v>26</v>
      </c>
      <c r="G7384" s="308"/>
      <c r="H7384" s="308" t="s">
        <v>29520</v>
      </c>
      <c r="I7384" s="310">
        <v>42956.0</v>
      </c>
      <c r="J7384" s="319">
        <f>IFERROR(__xludf.DUMMYFUNCTION("SPLIT(I7384,""/"")"),9.0)</f>
        <v>9</v>
      </c>
      <c r="K7384" s="308">
        <f>IFERROR(__xludf.DUMMYFUNCTION("""COMPUTED_VALUE"""),8.0)</f>
        <v>8</v>
      </c>
      <c r="L7384" s="308">
        <f>IFERROR(__xludf.DUMMYFUNCTION("""COMPUTED_VALUE"""),2017.0)</f>
        <v>2017</v>
      </c>
      <c r="M7384" s="308" t="s">
        <v>29459</v>
      </c>
      <c r="N7384" s="308"/>
      <c r="O7384" s="308"/>
      <c r="P7384" s="308" t="s">
        <v>28792</v>
      </c>
      <c r="Q7384" s="308" t="s">
        <v>39573</v>
      </c>
      <c r="R7384" s="308"/>
      <c r="S7384" s="308" t="s">
        <v>81</v>
      </c>
      <c r="T7384" s="308" t="s">
        <v>75</v>
      </c>
      <c r="U7384" s="308" t="s">
        <v>27</v>
      </c>
      <c r="V7384" s="308"/>
    </row>
    <row r="7385">
      <c r="A7385" s="308"/>
      <c r="B7385" s="308"/>
      <c r="C7385" s="308" t="s">
        <v>29521</v>
      </c>
      <c r="D7385" s="308">
        <f>IFERROR(__xludf.DUMMYFUNCTION("SPLIT(C7385,""-"")"),7405.0)</f>
        <v>7405</v>
      </c>
      <c r="E7385" s="308" t="str">
        <f>IFERROR(__xludf.DUMMYFUNCTION("""COMPUTED_VALUE"""),"B")</f>
        <v>B</v>
      </c>
      <c r="F7385" s="315" t="s">
        <v>26</v>
      </c>
      <c r="G7385" s="308"/>
      <c r="H7385" s="308" t="s">
        <v>29522</v>
      </c>
      <c r="I7385" s="310">
        <v>42987.0</v>
      </c>
      <c r="J7385" s="319">
        <f>IFERROR(__xludf.DUMMYFUNCTION("SPLIT(I7385,""/"")"),9.0)</f>
        <v>9</v>
      </c>
      <c r="K7385" s="308">
        <f>IFERROR(__xludf.DUMMYFUNCTION("""COMPUTED_VALUE"""),9.0)</f>
        <v>9</v>
      </c>
      <c r="L7385" s="308">
        <f>IFERROR(__xludf.DUMMYFUNCTION("""COMPUTED_VALUE"""),2017.0)</f>
        <v>2017</v>
      </c>
      <c r="M7385" s="308" t="s">
        <v>29477</v>
      </c>
      <c r="N7385" s="308"/>
      <c r="O7385" s="308"/>
      <c r="P7385" s="308" t="s">
        <v>39634</v>
      </c>
      <c r="Q7385" s="308" t="s">
        <v>39573</v>
      </c>
      <c r="R7385" s="308"/>
      <c r="S7385" s="308" t="s">
        <v>81</v>
      </c>
      <c r="T7385" s="308" t="s">
        <v>75</v>
      </c>
      <c r="U7385" s="308" t="s">
        <v>27</v>
      </c>
      <c r="V7385" s="308"/>
    </row>
    <row r="7386">
      <c r="A7386" s="308"/>
      <c r="B7386" s="308"/>
      <c r="C7386" s="308" t="s">
        <v>29524</v>
      </c>
      <c r="D7386" s="308">
        <f>IFERROR(__xludf.DUMMYFUNCTION("SPLIT(C7386,""-"")"),7406.0)</f>
        <v>7406</v>
      </c>
      <c r="E7386" s="308" t="str">
        <f>IFERROR(__xludf.DUMMYFUNCTION("""COMPUTED_VALUE"""),"B")</f>
        <v>B</v>
      </c>
      <c r="F7386" s="315" t="s">
        <v>26</v>
      </c>
      <c r="G7386" s="308"/>
      <c r="H7386" s="308" t="s">
        <v>29525</v>
      </c>
      <c r="I7386" s="310">
        <v>42987.0</v>
      </c>
      <c r="J7386" s="319">
        <f>IFERROR(__xludf.DUMMYFUNCTION("SPLIT(I7386,""/"")"),9.0)</f>
        <v>9</v>
      </c>
      <c r="K7386" s="308">
        <f>IFERROR(__xludf.DUMMYFUNCTION("""COMPUTED_VALUE"""),9.0)</f>
        <v>9</v>
      </c>
      <c r="L7386" s="308">
        <f>IFERROR(__xludf.DUMMYFUNCTION("""COMPUTED_VALUE"""),2017.0)</f>
        <v>2017</v>
      </c>
      <c r="M7386" s="308" t="s">
        <v>29459</v>
      </c>
      <c r="N7386" s="308"/>
      <c r="O7386" s="308"/>
      <c r="P7386" s="308" t="s">
        <v>28792</v>
      </c>
      <c r="Q7386" s="308" t="s">
        <v>39573</v>
      </c>
      <c r="R7386" s="308"/>
      <c r="S7386" s="308" t="s">
        <v>81</v>
      </c>
      <c r="T7386" s="308" t="s">
        <v>75</v>
      </c>
      <c r="U7386" s="308" t="s">
        <v>27</v>
      </c>
      <c r="V7386" s="308"/>
    </row>
    <row r="7387">
      <c r="A7387" s="308"/>
      <c r="B7387" s="308"/>
      <c r="C7387" s="308" t="s">
        <v>29526</v>
      </c>
      <c r="D7387" s="308">
        <f>IFERROR(__xludf.DUMMYFUNCTION("SPLIT(C7387,""-"")"),7407.0)</f>
        <v>7407</v>
      </c>
      <c r="E7387" s="308" t="str">
        <f>IFERROR(__xludf.DUMMYFUNCTION("""COMPUTED_VALUE"""),"B")</f>
        <v>B</v>
      </c>
      <c r="F7387" s="315" t="s">
        <v>26</v>
      </c>
      <c r="G7387" s="308"/>
      <c r="H7387" s="308" t="s">
        <v>29527</v>
      </c>
      <c r="I7387" s="310">
        <v>42993.0</v>
      </c>
      <c r="J7387" s="319">
        <f>IFERROR(__xludf.DUMMYFUNCTION("SPLIT(I7387,""/"")"),15.0)</f>
        <v>15</v>
      </c>
      <c r="K7387" s="308">
        <f>IFERROR(__xludf.DUMMYFUNCTION("""COMPUTED_VALUE"""),9.0)</f>
        <v>9</v>
      </c>
      <c r="L7387" s="308">
        <f>IFERROR(__xludf.DUMMYFUNCTION("""COMPUTED_VALUE"""),2017.0)</f>
        <v>2017</v>
      </c>
      <c r="M7387" s="308" t="s">
        <v>29199</v>
      </c>
      <c r="N7387" s="308"/>
      <c r="O7387" s="308"/>
      <c r="P7387" s="308" t="s">
        <v>39635</v>
      </c>
      <c r="Q7387" s="308" t="s">
        <v>39573</v>
      </c>
      <c r="R7387" s="308"/>
      <c r="S7387" s="308" t="s">
        <v>81</v>
      </c>
      <c r="T7387" s="308" t="s">
        <v>75</v>
      </c>
      <c r="U7387" s="308" t="s">
        <v>27</v>
      </c>
      <c r="V7387" s="308"/>
    </row>
    <row r="7388">
      <c r="A7388" s="308"/>
      <c r="B7388" s="308"/>
      <c r="C7388" s="308" t="s">
        <v>29529</v>
      </c>
      <c r="D7388" s="308">
        <f>IFERROR(__xludf.DUMMYFUNCTION("SPLIT(C7388,""-"")"),7408.0)</f>
        <v>7408</v>
      </c>
      <c r="E7388" s="308" t="str">
        <f>IFERROR(__xludf.DUMMYFUNCTION("""COMPUTED_VALUE"""),"B")</f>
        <v>B</v>
      </c>
      <c r="F7388" s="315" t="s">
        <v>26</v>
      </c>
      <c r="G7388" s="308"/>
      <c r="H7388" s="308" t="s">
        <v>29530</v>
      </c>
      <c r="I7388" s="310">
        <v>42993.0</v>
      </c>
      <c r="J7388" s="319">
        <f>IFERROR(__xludf.DUMMYFUNCTION("SPLIT(I7388,""/"")"),15.0)</f>
        <v>15</v>
      </c>
      <c r="K7388" s="308">
        <f>IFERROR(__xludf.DUMMYFUNCTION("""COMPUTED_VALUE"""),9.0)</f>
        <v>9</v>
      </c>
      <c r="L7388" s="308">
        <f>IFERROR(__xludf.DUMMYFUNCTION("""COMPUTED_VALUE"""),2017.0)</f>
        <v>2017</v>
      </c>
      <c r="M7388" s="308" t="s">
        <v>29199</v>
      </c>
      <c r="N7388" s="308"/>
      <c r="O7388" s="308"/>
      <c r="P7388" s="308" t="s">
        <v>28792</v>
      </c>
      <c r="Q7388" s="308" t="s">
        <v>39573</v>
      </c>
      <c r="R7388" s="308"/>
      <c r="S7388" s="308" t="s">
        <v>81</v>
      </c>
      <c r="T7388" s="308" t="s">
        <v>75</v>
      </c>
      <c r="U7388" s="308" t="s">
        <v>27</v>
      </c>
      <c r="V7388" s="308"/>
    </row>
    <row r="7389">
      <c r="A7389" s="308"/>
      <c r="B7389" s="308"/>
      <c r="C7389" s="308" t="s">
        <v>29531</v>
      </c>
      <c r="D7389" s="308">
        <f>IFERROR(__xludf.DUMMYFUNCTION("SPLIT(C7389,""-"")"),7409.0)</f>
        <v>7409</v>
      </c>
      <c r="E7389" s="308" t="str">
        <f>IFERROR(__xludf.DUMMYFUNCTION("""COMPUTED_VALUE"""),"B")</f>
        <v>B</v>
      </c>
      <c r="F7389" s="315" t="s">
        <v>26</v>
      </c>
      <c r="G7389" s="308"/>
      <c r="H7389" s="308" t="s">
        <v>29532</v>
      </c>
      <c r="I7389" s="310">
        <v>42992.0</v>
      </c>
      <c r="J7389" s="319">
        <f>IFERROR(__xludf.DUMMYFUNCTION("SPLIT(I7389,""/"")"),14.0)</f>
        <v>14</v>
      </c>
      <c r="K7389" s="308">
        <f>IFERROR(__xludf.DUMMYFUNCTION("""COMPUTED_VALUE"""),9.0)</f>
        <v>9</v>
      </c>
      <c r="L7389" s="308">
        <f>IFERROR(__xludf.DUMMYFUNCTION("""COMPUTED_VALUE"""),2017.0)</f>
        <v>2017</v>
      </c>
      <c r="M7389" s="308" t="s">
        <v>29533</v>
      </c>
      <c r="N7389" s="308"/>
      <c r="O7389" s="308"/>
      <c r="P7389" s="308" t="s">
        <v>28792</v>
      </c>
      <c r="Q7389" s="308" t="s">
        <v>39573</v>
      </c>
      <c r="R7389" s="308"/>
      <c r="S7389" s="308" t="s">
        <v>81</v>
      </c>
      <c r="T7389" s="308" t="s">
        <v>75</v>
      </c>
      <c r="U7389" s="308" t="s">
        <v>27</v>
      </c>
      <c r="V7389" s="308"/>
    </row>
    <row r="7390">
      <c r="A7390" s="308"/>
      <c r="B7390" s="308"/>
      <c r="C7390" s="308" t="s">
        <v>29534</v>
      </c>
      <c r="D7390" s="308">
        <f>IFERROR(__xludf.DUMMYFUNCTION("SPLIT(C7390,""-"")"),7410.0)</f>
        <v>7410</v>
      </c>
      <c r="E7390" s="308" t="str">
        <f>IFERROR(__xludf.DUMMYFUNCTION("""COMPUTED_VALUE"""),"B")</f>
        <v>B</v>
      </c>
      <c r="F7390" s="315" t="s">
        <v>26</v>
      </c>
      <c r="G7390" s="308"/>
      <c r="H7390" s="308" t="s">
        <v>29535</v>
      </c>
      <c r="I7390" s="310">
        <v>42992.0</v>
      </c>
      <c r="J7390" s="319">
        <f>IFERROR(__xludf.DUMMYFUNCTION("SPLIT(I7390,""/"")"),14.0)</f>
        <v>14</v>
      </c>
      <c r="K7390" s="308">
        <f>IFERROR(__xludf.DUMMYFUNCTION("""COMPUTED_VALUE"""),9.0)</f>
        <v>9</v>
      </c>
      <c r="L7390" s="308">
        <f>IFERROR(__xludf.DUMMYFUNCTION("""COMPUTED_VALUE"""),2017.0)</f>
        <v>2017</v>
      </c>
      <c r="M7390" s="308" t="s">
        <v>29459</v>
      </c>
      <c r="N7390" s="308"/>
      <c r="O7390" s="308"/>
      <c r="P7390" s="308" t="s">
        <v>28792</v>
      </c>
      <c r="Q7390" s="308" t="s">
        <v>39573</v>
      </c>
      <c r="R7390" s="308"/>
      <c r="S7390" s="308" t="s">
        <v>81</v>
      </c>
      <c r="T7390" s="308" t="s">
        <v>75</v>
      </c>
      <c r="U7390" s="308" t="s">
        <v>27</v>
      </c>
      <c r="V7390" s="308"/>
    </row>
    <row r="7391">
      <c r="A7391" s="308"/>
      <c r="B7391" s="308"/>
      <c r="C7391" s="308" t="s">
        <v>29536</v>
      </c>
      <c r="D7391" s="308">
        <f>IFERROR(__xludf.DUMMYFUNCTION("SPLIT(C7391,""-"")"),7411.0)</f>
        <v>7411</v>
      </c>
      <c r="E7391" s="308" t="str">
        <f>IFERROR(__xludf.DUMMYFUNCTION("""COMPUTED_VALUE"""),"B")</f>
        <v>B</v>
      </c>
      <c r="F7391" s="315" t="s">
        <v>26</v>
      </c>
      <c r="G7391" s="308"/>
      <c r="H7391" s="308" t="s">
        <v>29537</v>
      </c>
      <c r="I7391" s="310">
        <v>42994.0</v>
      </c>
      <c r="J7391" s="319">
        <f>IFERROR(__xludf.DUMMYFUNCTION("SPLIT(I7391,""/"")"),16.0)</f>
        <v>16</v>
      </c>
      <c r="K7391" s="308">
        <f>IFERROR(__xludf.DUMMYFUNCTION("""COMPUTED_VALUE"""),9.0)</f>
        <v>9</v>
      </c>
      <c r="L7391" s="308">
        <f>IFERROR(__xludf.DUMMYFUNCTION("""COMPUTED_VALUE"""),2017.0)</f>
        <v>2017</v>
      </c>
      <c r="M7391" s="308" t="s">
        <v>29506</v>
      </c>
      <c r="N7391" s="308"/>
      <c r="O7391" s="308"/>
      <c r="P7391" s="308" t="s">
        <v>28792</v>
      </c>
      <c r="Q7391" s="308" t="s">
        <v>39573</v>
      </c>
      <c r="R7391" s="308"/>
      <c r="S7391" s="308" t="s">
        <v>81</v>
      </c>
      <c r="T7391" s="308" t="s">
        <v>75</v>
      </c>
      <c r="U7391" s="308" t="s">
        <v>27</v>
      </c>
      <c r="V7391" s="308"/>
    </row>
    <row r="7392">
      <c r="A7392" s="308"/>
      <c r="B7392" s="308"/>
      <c r="C7392" s="308" t="s">
        <v>29538</v>
      </c>
      <c r="D7392" s="308">
        <f>IFERROR(__xludf.DUMMYFUNCTION("SPLIT(C7392,""-"")"),7412.0)</f>
        <v>7412</v>
      </c>
      <c r="E7392" s="308" t="str">
        <f>IFERROR(__xludf.DUMMYFUNCTION("""COMPUTED_VALUE"""),"B")</f>
        <v>B</v>
      </c>
      <c r="F7392" s="315" t="s">
        <v>26</v>
      </c>
      <c r="G7392" s="308"/>
      <c r="H7392" s="308" t="s">
        <v>29539</v>
      </c>
      <c r="I7392" s="310">
        <v>42994.0</v>
      </c>
      <c r="J7392" s="319">
        <f>IFERROR(__xludf.DUMMYFUNCTION("SPLIT(I7392,""/"")"),16.0)</f>
        <v>16</v>
      </c>
      <c r="K7392" s="308">
        <f>IFERROR(__xludf.DUMMYFUNCTION("""COMPUTED_VALUE"""),9.0)</f>
        <v>9</v>
      </c>
      <c r="L7392" s="308">
        <f>IFERROR(__xludf.DUMMYFUNCTION("""COMPUTED_VALUE"""),2017.0)</f>
        <v>2017</v>
      </c>
      <c r="M7392" s="308" t="s">
        <v>29506</v>
      </c>
      <c r="N7392" s="308"/>
      <c r="O7392" s="308"/>
      <c r="P7392" s="308" t="s">
        <v>28792</v>
      </c>
      <c r="Q7392" s="308" t="s">
        <v>39573</v>
      </c>
      <c r="R7392" s="308"/>
      <c r="S7392" s="308" t="s">
        <v>81</v>
      </c>
      <c r="T7392" s="308" t="s">
        <v>75</v>
      </c>
      <c r="U7392" s="308" t="s">
        <v>27</v>
      </c>
      <c r="V7392" s="308"/>
    </row>
    <row r="7393">
      <c r="A7393" s="308"/>
      <c r="B7393" s="308"/>
      <c r="C7393" s="308" t="s">
        <v>29540</v>
      </c>
      <c r="D7393" s="308">
        <f>IFERROR(__xludf.DUMMYFUNCTION("SPLIT(C7393,""-"")"),7413.0)</f>
        <v>7413</v>
      </c>
      <c r="E7393" s="308" t="str">
        <f>IFERROR(__xludf.DUMMYFUNCTION("""COMPUTED_VALUE"""),"B")</f>
        <v>B</v>
      </c>
      <c r="F7393" s="315" t="s">
        <v>26</v>
      </c>
      <c r="G7393" s="308"/>
      <c r="H7393" s="308" t="s">
        <v>29541</v>
      </c>
      <c r="I7393" s="310">
        <v>42998.0</v>
      </c>
      <c r="J7393" s="319">
        <f>IFERROR(__xludf.DUMMYFUNCTION("SPLIT(I7393,""/"")"),20.0)</f>
        <v>20</v>
      </c>
      <c r="K7393" s="308">
        <f>IFERROR(__xludf.DUMMYFUNCTION("""COMPUTED_VALUE"""),9.0)</f>
        <v>9</v>
      </c>
      <c r="L7393" s="308">
        <f>IFERROR(__xludf.DUMMYFUNCTION("""COMPUTED_VALUE"""),2017.0)</f>
        <v>2017</v>
      </c>
      <c r="M7393" s="308" t="s">
        <v>28865</v>
      </c>
      <c r="N7393" s="308"/>
      <c r="O7393" s="308"/>
      <c r="P7393" s="308" t="s">
        <v>28792</v>
      </c>
      <c r="Q7393" s="308" t="s">
        <v>39573</v>
      </c>
      <c r="R7393" s="308"/>
      <c r="S7393" s="308" t="s">
        <v>81</v>
      </c>
      <c r="T7393" s="308" t="s">
        <v>75</v>
      </c>
      <c r="U7393" s="308" t="s">
        <v>27</v>
      </c>
      <c r="V7393" s="308"/>
    </row>
    <row r="7394">
      <c r="A7394" s="308"/>
      <c r="B7394" s="308"/>
      <c r="C7394" s="308" t="s">
        <v>29542</v>
      </c>
      <c r="D7394" s="308">
        <f>IFERROR(__xludf.DUMMYFUNCTION("SPLIT(C7394,""-"")"),7414.0)</f>
        <v>7414</v>
      </c>
      <c r="E7394" s="308" t="str">
        <f>IFERROR(__xludf.DUMMYFUNCTION("""COMPUTED_VALUE"""),"B")</f>
        <v>B</v>
      </c>
      <c r="F7394" s="315" t="s">
        <v>26</v>
      </c>
      <c r="G7394" s="308"/>
      <c r="H7394" s="308" t="s">
        <v>29543</v>
      </c>
      <c r="I7394" s="310">
        <v>42987.0</v>
      </c>
      <c r="J7394" s="319">
        <f>IFERROR(__xludf.DUMMYFUNCTION("SPLIT(I7394,""/"")"),9.0)</f>
        <v>9</v>
      </c>
      <c r="K7394" s="308">
        <f>IFERROR(__xludf.DUMMYFUNCTION("""COMPUTED_VALUE"""),9.0)</f>
        <v>9</v>
      </c>
      <c r="L7394" s="308">
        <f>IFERROR(__xludf.DUMMYFUNCTION("""COMPUTED_VALUE"""),2017.0)</f>
        <v>2017</v>
      </c>
      <c r="M7394" s="308" t="s">
        <v>29199</v>
      </c>
      <c r="N7394" s="308"/>
      <c r="O7394" s="308"/>
      <c r="P7394" s="308" t="s">
        <v>28792</v>
      </c>
      <c r="Q7394" s="308" t="s">
        <v>39573</v>
      </c>
      <c r="R7394" s="308"/>
      <c r="S7394" s="308" t="s">
        <v>81</v>
      </c>
      <c r="T7394" s="308" t="s">
        <v>75</v>
      </c>
      <c r="U7394" s="308" t="s">
        <v>27</v>
      </c>
      <c r="V7394" s="308"/>
    </row>
    <row r="7395">
      <c r="A7395" s="308"/>
      <c r="B7395" s="308"/>
      <c r="C7395" s="308" t="s">
        <v>29544</v>
      </c>
      <c r="D7395" s="308">
        <f>IFERROR(__xludf.DUMMYFUNCTION("SPLIT(C7395,""-"")"),7415.0)</f>
        <v>7415</v>
      </c>
      <c r="E7395" s="308" t="str">
        <f>IFERROR(__xludf.DUMMYFUNCTION("""COMPUTED_VALUE"""),"B")</f>
        <v>B</v>
      </c>
      <c r="F7395" s="315" t="s">
        <v>26</v>
      </c>
      <c r="G7395" s="308"/>
      <c r="H7395" s="308" t="s">
        <v>29545</v>
      </c>
      <c r="I7395" s="310">
        <v>43008.0</v>
      </c>
      <c r="J7395" s="319">
        <f>IFERROR(__xludf.DUMMYFUNCTION("SPLIT(I7395,""/"")"),30.0)</f>
        <v>30</v>
      </c>
      <c r="K7395" s="308">
        <f>IFERROR(__xludf.DUMMYFUNCTION("""COMPUTED_VALUE"""),9.0)</f>
        <v>9</v>
      </c>
      <c r="L7395" s="308">
        <f>IFERROR(__xludf.DUMMYFUNCTION("""COMPUTED_VALUE"""),2017.0)</f>
        <v>2017</v>
      </c>
      <c r="M7395" s="308" t="s">
        <v>29514</v>
      </c>
      <c r="N7395" s="308"/>
      <c r="O7395" s="308"/>
      <c r="P7395" s="308" t="s">
        <v>136</v>
      </c>
      <c r="Q7395" s="308" t="s">
        <v>39573</v>
      </c>
      <c r="R7395" s="308"/>
      <c r="S7395" s="315" t="s">
        <v>100</v>
      </c>
      <c r="T7395" s="308" t="s">
        <v>34208</v>
      </c>
      <c r="U7395" s="308" t="s">
        <v>27</v>
      </c>
      <c r="V7395" s="308"/>
    </row>
    <row r="7396">
      <c r="A7396" s="308"/>
      <c r="B7396" s="308"/>
      <c r="C7396" s="308" t="s">
        <v>29546</v>
      </c>
      <c r="D7396" s="308">
        <f>IFERROR(__xludf.DUMMYFUNCTION("SPLIT(C7396,""-"")"),7416.0)</f>
        <v>7416</v>
      </c>
      <c r="E7396" s="308" t="str">
        <f>IFERROR(__xludf.DUMMYFUNCTION("""COMPUTED_VALUE"""),"B")</f>
        <v>B</v>
      </c>
      <c r="F7396" s="315" t="s">
        <v>26</v>
      </c>
      <c r="G7396" s="308"/>
      <c r="H7396" s="308" t="s">
        <v>29547</v>
      </c>
      <c r="I7396" s="310">
        <v>43008.0</v>
      </c>
      <c r="J7396" s="319">
        <f>IFERROR(__xludf.DUMMYFUNCTION("SPLIT(I7396,""/"")"),30.0)</f>
        <v>30</v>
      </c>
      <c r="K7396" s="308">
        <f>IFERROR(__xludf.DUMMYFUNCTION("""COMPUTED_VALUE"""),9.0)</f>
        <v>9</v>
      </c>
      <c r="L7396" s="308">
        <f>IFERROR(__xludf.DUMMYFUNCTION("""COMPUTED_VALUE"""),2017.0)</f>
        <v>2017</v>
      </c>
      <c r="M7396" s="308" t="s">
        <v>28865</v>
      </c>
      <c r="N7396" s="308"/>
      <c r="O7396" s="308"/>
      <c r="P7396" s="308" t="s">
        <v>28792</v>
      </c>
      <c r="Q7396" s="308" t="s">
        <v>39573</v>
      </c>
      <c r="R7396" s="308"/>
      <c r="S7396" s="308" t="s">
        <v>81</v>
      </c>
      <c r="T7396" s="308" t="s">
        <v>75</v>
      </c>
      <c r="U7396" s="308" t="s">
        <v>27</v>
      </c>
      <c r="V7396" s="308"/>
    </row>
    <row r="7397">
      <c r="A7397" s="308"/>
      <c r="B7397" s="308"/>
      <c r="C7397" s="308" t="s">
        <v>29548</v>
      </c>
      <c r="D7397" s="308">
        <f>IFERROR(__xludf.DUMMYFUNCTION("SPLIT(C7397,""-"")"),7417.0)</f>
        <v>7417</v>
      </c>
      <c r="E7397" s="308" t="str">
        <f>IFERROR(__xludf.DUMMYFUNCTION("""COMPUTED_VALUE"""),"B")</f>
        <v>B</v>
      </c>
      <c r="F7397" s="315" t="s">
        <v>26</v>
      </c>
      <c r="G7397" s="308"/>
      <c r="H7397" s="308" t="s">
        <v>29549</v>
      </c>
      <c r="I7397" s="310">
        <v>43007.0</v>
      </c>
      <c r="J7397" s="319">
        <f>IFERROR(__xludf.DUMMYFUNCTION("SPLIT(I7397,""/"")"),29.0)</f>
        <v>29</v>
      </c>
      <c r="K7397" s="308">
        <f>IFERROR(__xludf.DUMMYFUNCTION("""COMPUTED_VALUE"""),9.0)</f>
        <v>9</v>
      </c>
      <c r="L7397" s="308">
        <f>IFERROR(__xludf.DUMMYFUNCTION("""COMPUTED_VALUE"""),2017.0)</f>
        <v>2017</v>
      </c>
      <c r="M7397" s="308" t="s">
        <v>29550</v>
      </c>
      <c r="N7397" s="308"/>
      <c r="O7397" s="308"/>
      <c r="P7397" s="308" t="s">
        <v>28792</v>
      </c>
      <c r="Q7397" s="308" t="s">
        <v>39573</v>
      </c>
      <c r="R7397" s="308"/>
      <c r="S7397" s="308" t="s">
        <v>81</v>
      </c>
      <c r="T7397" s="308" t="s">
        <v>75</v>
      </c>
      <c r="U7397" s="308" t="s">
        <v>27</v>
      </c>
      <c r="V7397" s="308"/>
    </row>
    <row r="7398">
      <c r="A7398" s="308"/>
      <c r="B7398" s="308"/>
      <c r="C7398" s="308" t="s">
        <v>29551</v>
      </c>
      <c r="D7398" s="308">
        <f>IFERROR(__xludf.DUMMYFUNCTION("SPLIT(C7398,""-"")"),7418.0)</f>
        <v>7418</v>
      </c>
      <c r="E7398" s="308" t="str">
        <f>IFERROR(__xludf.DUMMYFUNCTION("""COMPUTED_VALUE"""),"B")</f>
        <v>B</v>
      </c>
      <c r="F7398" s="315" t="s">
        <v>26</v>
      </c>
      <c r="G7398" s="308"/>
      <c r="H7398" s="308" t="s">
        <v>29552</v>
      </c>
      <c r="I7398" s="310">
        <v>43007.0</v>
      </c>
      <c r="J7398" s="319">
        <f>IFERROR(__xludf.DUMMYFUNCTION("SPLIT(I7398,""/"")"),29.0)</f>
        <v>29</v>
      </c>
      <c r="K7398" s="308">
        <f>IFERROR(__xludf.DUMMYFUNCTION("""COMPUTED_VALUE"""),9.0)</f>
        <v>9</v>
      </c>
      <c r="L7398" s="308">
        <f>IFERROR(__xludf.DUMMYFUNCTION("""COMPUTED_VALUE"""),2017.0)</f>
        <v>2017</v>
      </c>
      <c r="M7398" s="308" t="s">
        <v>29550</v>
      </c>
      <c r="N7398" s="308"/>
      <c r="O7398" s="308"/>
      <c r="P7398" s="308" t="s">
        <v>28792</v>
      </c>
      <c r="Q7398" s="308" t="s">
        <v>39573</v>
      </c>
      <c r="R7398" s="308"/>
      <c r="S7398" s="308" t="s">
        <v>81</v>
      </c>
      <c r="T7398" s="308" t="s">
        <v>75</v>
      </c>
      <c r="U7398" s="308" t="s">
        <v>27</v>
      </c>
      <c r="V7398" s="308"/>
    </row>
    <row r="7399">
      <c r="A7399" s="308"/>
      <c r="B7399" s="308"/>
      <c r="C7399" s="308" t="s">
        <v>29553</v>
      </c>
      <c r="D7399" s="308">
        <f>IFERROR(__xludf.DUMMYFUNCTION("SPLIT(C7399,""-"")"),7419.0)</f>
        <v>7419</v>
      </c>
      <c r="E7399" s="308" t="str">
        <f>IFERROR(__xludf.DUMMYFUNCTION("""COMPUTED_VALUE"""),"B")</f>
        <v>B</v>
      </c>
      <c r="F7399" s="315" t="s">
        <v>26</v>
      </c>
      <c r="G7399" s="308"/>
      <c r="H7399" s="308" t="s">
        <v>29554</v>
      </c>
      <c r="I7399" s="310">
        <v>43007.0</v>
      </c>
      <c r="J7399" s="319">
        <f>IFERROR(__xludf.DUMMYFUNCTION("SPLIT(I7399,""/"")"),29.0)</f>
        <v>29</v>
      </c>
      <c r="K7399" s="308">
        <f>IFERROR(__xludf.DUMMYFUNCTION("""COMPUTED_VALUE"""),9.0)</f>
        <v>9</v>
      </c>
      <c r="L7399" s="308">
        <f>IFERROR(__xludf.DUMMYFUNCTION("""COMPUTED_VALUE"""),2017.0)</f>
        <v>2017</v>
      </c>
      <c r="M7399" s="308" t="s">
        <v>28425</v>
      </c>
      <c r="N7399" s="308"/>
      <c r="O7399" s="308"/>
      <c r="P7399" s="308" t="s">
        <v>28792</v>
      </c>
      <c r="Q7399" s="308" t="s">
        <v>39573</v>
      </c>
      <c r="R7399" s="308"/>
      <c r="S7399" s="308" t="s">
        <v>81</v>
      </c>
      <c r="T7399" s="308" t="s">
        <v>75</v>
      </c>
      <c r="U7399" s="308" t="s">
        <v>27</v>
      </c>
      <c r="V7399" s="308"/>
    </row>
    <row r="7400">
      <c r="A7400" s="308"/>
      <c r="B7400" s="308"/>
      <c r="C7400" s="308" t="s">
        <v>29555</v>
      </c>
      <c r="D7400" s="308">
        <f>IFERROR(__xludf.DUMMYFUNCTION("SPLIT(C7400,""-"")"),7420.0)</f>
        <v>7420</v>
      </c>
      <c r="E7400" s="308" t="str">
        <f>IFERROR(__xludf.DUMMYFUNCTION("""COMPUTED_VALUE"""),"B")</f>
        <v>B</v>
      </c>
      <c r="F7400" s="315" t="s">
        <v>26</v>
      </c>
      <c r="G7400" s="308"/>
      <c r="H7400" s="308" t="s">
        <v>29556</v>
      </c>
      <c r="I7400" s="310">
        <v>43007.0</v>
      </c>
      <c r="J7400" s="319">
        <f>IFERROR(__xludf.DUMMYFUNCTION("SPLIT(I7400,""/"")"),29.0)</f>
        <v>29</v>
      </c>
      <c r="K7400" s="308">
        <f>IFERROR(__xludf.DUMMYFUNCTION("""COMPUTED_VALUE"""),9.0)</f>
        <v>9</v>
      </c>
      <c r="L7400" s="308">
        <f>IFERROR(__xludf.DUMMYFUNCTION("""COMPUTED_VALUE"""),2017.0)</f>
        <v>2017</v>
      </c>
      <c r="M7400" s="308" t="s">
        <v>28425</v>
      </c>
      <c r="N7400" s="308"/>
      <c r="O7400" s="308"/>
      <c r="P7400" s="308" t="s">
        <v>28792</v>
      </c>
      <c r="Q7400" s="308" t="s">
        <v>39573</v>
      </c>
      <c r="R7400" s="308"/>
      <c r="S7400" s="308" t="s">
        <v>81</v>
      </c>
      <c r="T7400" s="308" t="s">
        <v>75</v>
      </c>
      <c r="U7400" s="308" t="s">
        <v>27</v>
      </c>
      <c r="V7400" s="308"/>
    </row>
    <row r="7401">
      <c r="A7401" s="308"/>
      <c r="B7401" s="308"/>
      <c r="C7401" s="308" t="s">
        <v>29557</v>
      </c>
      <c r="D7401" s="308">
        <f>IFERROR(__xludf.DUMMYFUNCTION("SPLIT(C7401,""-"")"),7421.0)</f>
        <v>7421</v>
      </c>
      <c r="E7401" s="308" t="str">
        <f>IFERROR(__xludf.DUMMYFUNCTION("""COMPUTED_VALUE"""),"B")</f>
        <v>B</v>
      </c>
      <c r="F7401" s="315" t="s">
        <v>26</v>
      </c>
      <c r="G7401" s="308"/>
      <c r="H7401" s="308" t="s">
        <v>29558</v>
      </c>
      <c r="I7401" s="310">
        <v>43007.0</v>
      </c>
      <c r="J7401" s="319">
        <f>IFERROR(__xludf.DUMMYFUNCTION("SPLIT(I7401,""/"")"),29.0)</f>
        <v>29</v>
      </c>
      <c r="K7401" s="308">
        <f>IFERROR(__xludf.DUMMYFUNCTION("""COMPUTED_VALUE"""),9.0)</f>
        <v>9</v>
      </c>
      <c r="L7401" s="308">
        <f>IFERROR(__xludf.DUMMYFUNCTION("""COMPUTED_VALUE"""),2017.0)</f>
        <v>2017</v>
      </c>
      <c r="M7401" s="308" t="s">
        <v>29199</v>
      </c>
      <c r="N7401" s="308"/>
      <c r="O7401" s="308"/>
      <c r="P7401" s="308" t="s">
        <v>28792</v>
      </c>
      <c r="Q7401" s="308" t="s">
        <v>39573</v>
      </c>
      <c r="R7401" s="308"/>
      <c r="S7401" s="308" t="s">
        <v>81</v>
      </c>
      <c r="T7401" s="308" t="s">
        <v>75</v>
      </c>
      <c r="U7401" s="308" t="s">
        <v>27</v>
      </c>
      <c r="V7401" s="308"/>
    </row>
    <row r="7402">
      <c r="A7402" s="308"/>
      <c r="B7402" s="308"/>
      <c r="C7402" s="308" t="s">
        <v>29559</v>
      </c>
      <c r="D7402" s="308">
        <f>IFERROR(__xludf.DUMMYFUNCTION("SPLIT(C7402,""-"")"),7422.0)</f>
        <v>7422</v>
      </c>
      <c r="E7402" s="308" t="str">
        <f>IFERROR(__xludf.DUMMYFUNCTION("""COMPUTED_VALUE"""),"B")</f>
        <v>B</v>
      </c>
      <c r="F7402" s="315" t="s">
        <v>26</v>
      </c>
      <c r="G7402" s="308"/>
      <c r="H7402" s="308" t="s">
        <v>29560</v>
      </c>
      <c r="I7402" s="310">
        <v>43006.0</v>
      </c>
      <c r="J7402" s="319">
        <f>IFERROR(__xludf.DUMMYFUNCTION("SPLIT(I7402,""/"")"),28.0)</f>
        <v>28</v>
      </c>
      <c r="K7402" s="308">
        <f>IFERROR(__xludf.DUMMYFUNCTION("""COMPUTED_VALUE"""),9.0)</f>
        <v>9</v>
      </c>
      <c r="L7402" s="308">
        <f>IFERROR(__xludf.DUMMYFUNCTION("""COMPUTED_VALUE"""),2017.0)</f>
        <v>2017</v>
      </c>
      <c r="M7402" s="308" t="s">
        <v>28865</v>
      </c>
      <c r="N7402" s="308"/>
      <c r="O7402" s="308"/>
      <c r="P7402" s="308" t="s">
        <v>28792</v>
      </c>
      <c r="Q7402" s="308" t="s">
        <v>39573</v>
      </c>
      <c r="R7402" s="308"/>
      <c r="S7402" s="308" t="s">
        <v>81</v>
      </c>
      <c r="T7402" s="308" t="s">
        <v>75</v>
      </c>
      <c r="U7402" s="308" t="s">
        <v>27</v>
      </c>
      <c r="V7402" s="308"/>
    </row>
    <row r="7403">
      <c r="A7403" s="308"/>
      <c r="B7403" s="308"/>
      <c r="C7403" s="308" t="s">
        <v>29561</v>
      </c>
      <c r="D7403" s="308">
        <f>IFERROR(__xludf.DUMMYFUNCTION("SPLIT(C7403,""-"")"),7423.0)</f>
        <v>7423</v>
      </c>
      <c r="E7403" s="308" t="str">
        <f>IFERROR(__xludf.DUMMYFUNCTION("""COMPUTED_VALUE"""),"B")</f>
        <v>B</v>
      </c>
      <c r="F7403" s="315" t="s">
        <v>26</v>
      </c>
      <c r="G7403" s="308"/>
      <c r="H7403" s="308" t="s">
        <v>29562</v>
      </c>
      <c r="I7403" s="310">
        <v>43006.0</v>
      </c>
      <c r="J7403" s="319">
        <f>IFERROR(__xludf.DUMMYFUNCTION("SPLIT(I7403,""/"")"),28.0)</f>
        <v>28</v>
      </c>
      <c r="K7403" s="308">
        <f>IFERROR(__xludf.DUMMYFUNCTION("""COMPUTED_VALUE"""),9.0)</f>
        <v>9</v>
      </c>
      <c r="L7403" s="308">
        <f>IFERROR(__xludf.DUMMYFUNCTION("""COMPUTED_VALUE"""),2017.0)</f>
        <v>2017</v>
      </c>
      <c r="M7403" s="308" t="s">
        <v>29563</v>
      </c>
      <c r="N7403" s="308"/>
      <c r="O7403" s="308"/>
      <c r="P7403" s="308" t="s">
        <v>28792</v>
      </c>
      <c r="Q7403" s="308" t="s">
        <v>39573</v>
      </c>
      <c r="R7403" s="308"/>
      <c r="S7403" s="308" t="s">
        <v>81</v>
      </c>
      <c r="T7403" s="308" t="s">
        <v>75</v>
      </c>
      <c r="U7403" s="308" t="s">
        <v>27</v>
      </c>
      <c r="V7403" s="308"/>
    </row>
    <row r="7404">
      <c r="A7404" s="308"/>
      <c r="B7404" s="308"/>
      <c r="C7404" s="308" t="s">
        <v>29564</v>
      </c>
      <c r="D7404" s="308">
        <f>IFERROR(__xludf.DUMMYFUNCTION("SPLIT(C7404,""-"")"),7424.0)</f>
        <v>7424</v>
      </c>
      <c r="E7404" s="308" t="str">
        <f>IFERROR(__xludf.DUMMYFUNCTION("""COMPUTED_VALUE"""),"B")</f>
        <v>B</v>
      </c>
      <c r="F7404" s="315" t="s">
        <v>26</v>
      </c>
      <c r="G7404" s="308"/>
      <c r="H7404" s="308" t="s">
        <v>29565</v>
      </c>
      <c r="I7404" s="310">
        <v>43006.0</v>
      </c>
      <c r="J7404" s="319">
        <f>IFERROR(__xludf.DUMMYFUNCTION("SPLIT(I7404,""/"")"),28.0)</f>
        <v>28</v>
      </c>
      <c r="K7404" s="308">
        <f>IFERROR(__xludf.DUMMYFUNCTION("""COMPUTED_VALUE"""),9.0)</f>
        <v>9</v>
      </c>
      <c r="L7404" s="308">
        <f>IFERROR(__xludf.DUMMYFUNCTION("""COMPUTED_VALUE"""),2017.0)</f>
        <v>2017</v>
      </c>
      <c r="M7404" s="308" t="s">
        <v>28865</v>
      </c>
      <c r="N7404" s="308"/>
      <c r="O7404" s="308"/>
      <c r="P7404" s="308" t="s">
        <v>28792</v>
      </c>
      <c r="Q7404" s="308" t="s">
        <v>39573</v>
      </c>
      <c r="R7404" s="308"/>
      <c r="S7404" s="308" t="s">
        <v>81</v>
      </c>
      <c r="T7404" s="308" t="s">
        <v>75</v>
      </c>
      <c r="U7404" s="308" t="s">
        <v>27</v>
      </c>
      <c r="V7404" s="308"/>
    </row>
    <row r="7405">
      <c r="A7405" s="308"/>
      <c r="B7405" s="308"/>
      <c r="C7405" s="308" t="s">
        <v>29566</v>
      </c>
      <c r="D7405" s="308">
        <f>IFERROR(__xludf.DUMMYFUNCTION("SPLIT(C7405,""-"")"),7425.0)</f>
        <v>7425</v>
      </c>
      <c r="E7405" s="308" t="str">
        <f>IFERROR(__xludf.DUMMYFUNCTION("""COMPUTED_VALUE"""),"B")</f>
        <v>B</v>
      </c>
      <c r="F7405" s="315" t="s">
        <v>26</v>
      </c>
      <c r="G7405" s="308"/>
      <c r="H7405" s="308" t="s">
        <v>29567</v>
      </c>
      <c r="I7405" s="310">
        <v>43006.0</v>
      </c>
      <c r="J7405" s="319">
        <f>IFERROR(__xludf.DUMMYFUNCTION("SPLIT(I7405,""/"")"),28.0)</f>
        <v>28</v>
      </c>
      <c r="K7405" s="308">
        <f>IFERROR(__xludf.DUMMYFUNCTION("""COMPUTED_VALUE"""),9.0)</f>
        <v>9</v>
      </c>
      <c r="L7405" s="308">
        <f>IFERROR(__xludf.DUMMYFUNCTION("""COMPUTED_VALUE"""),2017.0)</f>
        <v>2017</v>
      </c>
      <c r="M7405" s="308" t="s">
        <v>29563</v>
      </c>
      <c r="N7405" s="308"/>
      <c r="O7405" s="308"/>
      <c r="P7405" s="308" t="s">
        <v>28792</v>
      </c>
      <c r="Q7405" s="308" t="s">
        <v>39573</v>
      </c>
      <c r="R7405" s="308"/>
      <c r="S7405" s="308" t="s">
        <v>81</v>
      </c>
      <c r="T7405" s="308" t="s">
        <v>75</v>
      </c>
      <c r="U7405" s="308" t="s">
        <v>27</v>
      </c>
      <c r="V7405" s="308"/>
    </row>
    <row r="7406">
      <c r="A7406" s="308"/>
      <c r="B7406" s="308"/>
      <c r="C7406" s="308" t="s">
        <v>29568</v>
      </c>
      <c r="D7406" s="308">
        <f>IFERROR(__xludf.DUMMYFUNCTION("SPLIT(C7406,""-"")"),7426.0)</f>
        <v>7426</v>
      </c>
      <c r="E7406" s="308" t="str">
        <f>IFERROR(__xludf.DUMMYFUNCTION("""COMPUTED_VALUE"""),"B")</f>
        <v>B</v>
      </c>
      <c r="F7406" s="315" t="s">
        <v>26</v>
      </c>
      <c r="G7406" s="308"/>
      <c r="H7406" s="308" t="s">
        <v>29569</v>
      </c>
      <c r="I7406" s="334">
        <v>43002.0</v>
      </c>
      <c r="J7406" s="319"/>
      <c r="K7406" s="308"/>
      <c r="L7406" s="311">
        <v>2017.0</v>
      </c>
      <c r="M7406" s="308" t="s">
        <v>28433</v>
      </c>
      <c r="N7406" s="308"/>
      <c r="O7406" s="308"/>
      <c r="P7406" s="308" t="s">
        <v>136</v>
      </c>
      <c r="Q7406" s="308" t="s">
        <v>39573</v>
      </c>
      <c r="R7406" s="308"/>
      <c r="S7406" s="315" t="s">
        <v>100</v>
      </c>
      <c r="T7406" s="308" t="s">
        <v>34208</v>
      </c>
      <c r="U7406" s="308" t="s">
        <v>27</v>
      </c>
      <c r="V7406" s="308"/>
    </row>
    <row r="7407">
      <c r="A7407" s="308"/>
      <c r="B7407" s="308"/>
      <c r="C7407" s="308" t="s">
        <v>29570</v>
      </c>
      <c r="D7407" s="308">
        <f>IFERROR(__xludf.DUMMYFUNCTION("SPLIT(C7407,""-"")"),7427.0)</f>
        <v>7427</v>
      </c>
      <c r="E7407" s="308" t="str">
        <f>IFERROR(__xludf.DUMMYFUNCTION("""COMPUTED_VALUE"""),"B")</f>
        <v>B</v>
      </c>
      <c r="F7407" s="315" t="s">
        <v>26</v>
      </c>
      <c r="G7407" s="308"/>
      <c r="H7407" s="308" t="s">
        <v>29571</v>
      </c>
      <c r="I7407" s="314">
        <v>43049.0</v>
      </c>
      <c r="J7407" s="319">
        <f>IFERROR(__xludf.DUMMYFUNCTION("SPLIT(I7407,""/"")"),10.0)</f>
        <v>10</v>
      </c>
      <c r="K7407" s="308">
        <f>IFERROR(__xludf.DUMMYFUNCTION("""COMPUTED_VALUE"""),11.0)</f>
        <v>11</v>
      </c>
      <c r="L7407" s="308">
        <f>IFERROR(__xludf.DUMMYFUNCTION("""COMPUTED_VALUE"""),2017.0)</f>
        <v>2017</v>
      </c>
      <c r="M7407" s="308" t="s">
        <v>29572</v>
      </c>
      <c r="N7407" s="308"/>
      <c r="O7407" s="308"/>
      <c r="P7407" s="308" t="s">
        <v>136</v>
      </c>
      <c r="Q7407" s="308" t="s">
        <v>39573</v>
      </c>
      <c r="R7407" s="308"/>
      <c r="S7407" s="315" t="s">
        <v>100</v>
      </c>
      <c r="T7407" s="308" t="s">
        <v>34208</v>
      </c>
      <c r="U7407" s="308" t="s">
        <v>27</v>
      </c>
      <c r="V7407" s="308"/>
    </row>
    <row r="7408">
      <c r="A7408" s="308"/>
      <c r="B7408" s="308"/>
      <c r="C7408" s="308" t="s">
        <v>29573</v>
      </c>
      <c r="D7408" s="308">
        <f>IFERROR(__xludf.DUMMYFUNCTION("SPLIT(C7408,""-"")"),7428.0)</f>
        <v>7428</v>
      </c>
      <c r="E7408" s="308" t="str">
        <f>IFERROR(__xludf.DUMMYFUNCTION("""COMPUTED_VALUE"""),"B")</f>
        <v>B</v>
      </c>
      <c r="F7408" s="315" t="s">
        <v>26</v>
      </c>
      <c r="G7408" s="308"/>
      <c r="H7408" s="308" t="s">
        <v>29574</v>
      </c>
      <c r="I7408" s="310">
        <v>42835.0</v>
      </c>
      <c r="J7408" s="319">
        <f>IFERROR(__xludf.DUMMYFUNCTION("SPLIT(I7408,""/"")"),10.0)</f>
        <v>10</v>
      </c>
      <c r="K7408" s="308">
        <f>IFERROR(__xludf.DUMMYFUNCTION("""COMPUTED_VALUE"""),4.0)</f>
        <v>4</v>
      </c>
      <c r="L7408" s="308">
        <f>IFERROR(__xludf.DUMMYFUNCTION("""COMPUTED_VALUE"""),2017.0)</f>
        <v>2017</v>
      </c>
      <c r="M7408" s="308" t="s">
        <v>29166</v>
      </c>
      <c r="N7408" s="308"/>
      <c r="O7408" s="308"/>
      <c r="P7408" s="308" t="s">
        <v>28792</v>
      </c>
      <c r="Q7408" s="308" t="s">
        <v>39573</v>
      </c>
      <c r="R7408" s="308"/>
      <c r="S7408" s="308" t="s">
        <v>81</v>
      </c>
      <c r="T7408" s="308" t="s">
        <v>75</v>
      </c>
      <c r="U7408" s="308" t="s">
        <v>27</v>
      </c>
      <c r="V7408" s="308"/>
    </row>
    <row r="7409">
      <c r="A7409" s="308"/>
      <c r="B7409" s="308"/>
      <c r="C7409" s="308" t="s">
        <v>29575</v>
      </c>
      <c r="D7409" s="308">
        <f>IFERROR(__xludf.DUMMYFUNCTION("SPLIT(C7409,""-"")"),7429.0)</f>
        <v>7429</v>
      </c>
      <c r="E7409" s="308" t="str">
        <f>IFERROR(__xludf.DUMMYFUNCTION("""COMPUTED_VALUE"""),"B")</f>
        <v>B</v>
      </c>
      <c r="F7409" s="315" t="s">
        <v>26</v>
      </c>
      <c r="G7409" s="308"/>
      <c r="H7409" s="308" t="s">
        <v>29576</v>
      </c>
      <c r="I7409" s="310">
        <v>42804.0</v>
      </c>
      <c r="J7409" s="319">
        <f>IFERROR(__xludf.DUMMYFUNCTION("SPLIT(I7409,""/"")"),10.0)</f>
        <v>10</v>
      </c>
      <c r="K7409" s="308">
        <f>IFERROR(__xludf.DUMMYFUNCTION("""COMPUTED_VALUE"""),3.0)</f>
        <v>3</v>
      </c>
      <c r="L7409" s="308">
        <f>IFERROR(__xludf.DUMMYFUNCTION("""COMPUTED_VALUE"""),2017.0)</f>
        <v>2017</v>
      </c>
      <c r="M7409" s="308" t="s">
        <v>29577</v>
      </c>
      <c r="N7409" s="308"/>
      <c r="O7409" s="308"/>
      <c r="P7409" s="308" t="s">
        <v>28792</v>
      </c>
      <c r="Q7409" s="308" t="s">
        <v>39573</v>
      </c>
      <c r="R7409" s="308"/>
      <c r="S7409" s="308" t="s">
        <v>81</v>
      </c>
      <c r="T7409" s="308" t="s">
        <v>75</v>
      </c>
      <c r="U7409" s="308" t="s">
        <v>27</v>
      </c>
      <c r="V7409" s="308"/>
    </row>
    <row r="7410">
      <c r="A7410" s="308"/>
      <c r="B7410" s="308"/>
      <c r="C7410" s="308" t="s">
        <v>29578</v>
      </c>
      <c r="D7410" s="308">
        <f>IFERROR(__xludf.DUMMYFUNCTION("SPLIT(C7410,""-"")"),7430.0)</f>
        <v>7430</v>
      </c>
      <c r="E7410" s="308" t="str">
        <f>IFERROR(__xludf.DUMMYFUNCTION("""COMPUTED_VALUE"""),"B")</f>
        <v>B</v>
      </c>
      <c r="F7410" s="315" t="s">
        <v>26</v>
      </c>
      <c r="G7410" s="308"/>
      <c r="H7410" s="308" t="s">
        <v>29579</v>
      </c>
      <c r="I7410" s="310">
        <v>43008.0</v>
      </c>
      <c r="J7410" s="319">
        <f>IFERROR(__xludf.DUMMYFUNCTION("SPLIT(I7410,""/"")"),30.0)</f>
        <v>30</v>
      </c>
      <c r="K7410" s="308">
        <f>IFERROR(__xludf.DUMMYFUNCTION("""COMPUTED_VALUE"""),9.0)</f>
        <v>9</v>
      </c>
      <c r="L7410" s="308">
        <f>IFERROR(__xludf.DUMMYFUNCTION("""COMPUTED_VALUE"""),2017.0)</f>
        <v>2017</v>
      </c>
      <c r="M7410" s="308" t="s">
        <v>28865</v>
      </c>
      <c r="N7410" s="308"/>
      <c r="O7410" s="308"/>
      <c r="P7410" s="308" t="s">
        <v>28792</v>
      </c>
      <c r="Q7410" s="308" t="s">
        <v>39573</v>
      </c>
      <c r="R7410" s="308"/>
      <c r="S7410" s="308" t="s">
        <v>81</v>
      </c>
      <c r="T7410" s="308" t="s">
        <v>75</v>
      </c>
      <c r="U7410" s="308" t="s">
        <v>27</v>
      </c>
      <c r="V7410" s="308"/>
    </row>
    <row r="7411">
      <c r="A7411" s="308"/>
      <c r="B7411" s="308"/>
      <c r="C7411" s="308" t="s">
        <v>29580</v>
      </c>
      <c r="D7411" s="308">
        <f>IFERROR(__xludf.DUMMYFUNCTION("SPLIT(C7411,""-"")"),7431.0)</f>
        <v>7431</v>
      </c>
      <c r="E7411" s="308" t="str">
        <f>IFERROR(__xludf.DUMMYFUNCTION("""COMPUTED_VALUE"""),"B")</f>
        <v>B</v>
      </c>
      <c r="F7411" s="315" t="s">
        <v>26</v>
      </c>
      <c r="G7411" s="308"/>
      <c r="H7411" s="308" t="s">
        <v>29581</v>
      </c>
      <c r="I7411" s="314">
        <v>43049.0</v>
      </c>
      <c r="J7411" s="319">
        <f>IFERROR(__xludf.DUMMYFUNCTION("SPLIT(I7411,""/"")"),10.0)</f>
        <v>10</v>
      </c>
      <c r="K7411" s="308">
        <f>IFERROR(__xludf.DUMMYFUNCTION("""COMPUTED_VALUE"""),11.0)</f>
        <v>11</v>
      </c>
      <c r="L7411" s="308">
        <f>IFERROR(__xludf.DUMMYFUNCTION("""COMPUTED_VALUE"""),2017.0)</f>
        <v>2017</v>
      </c>
      <c r="M7411" s="308" t="s">
        <v>29506</v>
      </c>
      <c r="N7411" s="308"/>
      <c r="O7411" s="308"/>
      <c r="P7411" s="308" t="s">
        <v>28792</v>
      </c>
      <c r="Q7411" s="308" t="s">
        <v>39573</v>
      </c>
      <c r="R7411" s="308"/>
      <c r="S7411" s="308" t="s">
        <v>81</v>
      </c>
      <c r="T7411" s="308" t="s">
        <v>75</v>
      </c>
      <c r="U7411" s="308" t="s">
        <v>27</v>
      </c>
      <c r="V7411" s="308"/>
    </row>
    <row r="7412">
      <c r="A7412" s="308"/>
      <c r="B7412" s="308"/>
      <c r="C7412" s="308" t="s">
        <v>29582</v>
      </c>
      <c r="D7412" s="308">
        <f>IFERROR(__xludf.DUMMYFUNCTION("SPLIT(C7412,""-"")"),7432.0)</f>
        <v>7432</v>
      </c>
      <c r="E7412" s="308" t="str">
        <f>IFERROR(__xludf.DUMMYFUNCTION("""COMPUTED_VALUE"""),"B")</f>
        <v>B</v>
      </c>
      <c r="F7412" s="315" t="s">
        <v>26</v>
      </c>
      <c r="G7412" s="308"/>
      <c r="H7412" s="308" t="s">
        <v>29583</v>
      </c>
      <c r="I7412" s="314">
        <v>43079.0</v>
      </c>
      <c r="J7412" s="319">
        <f>IFERROR(__xludf.DUMMYFUNCTION("SPLIT(I7412,""/"")"),10.0)</f>
        <v>10</v>
      </c>
      <c r="K7412" s="308">
        <f>IFERROR(__xludf.DUMMYFUNCTION("""COMPUTED_VALUE"""),12.0)</f>
        <v>12</v>
      </c>
      <c r="L7412" s="308">
        <f>IFERROR(__xludf.DUMMYFUNCTION("""COMPUTED_VALUE"""),2017.0)</f>
        <v>2017</v>
      </c>
      <c r="M7412" s="308" t="s">
        <v>29298</v>
      </c>
      <c r="N7412" s="308"/>
      <c r="O7412" s="308"/>
      <c r="P7412" s="308" t="s">
        <v>28792</v>
      </c>
      <c r="Q7412" s="308" t="s">
        <v>39573</v>
      </c>
      <c r="R7412" s="308"/>
      <c r="S7412" s="308" t="s">
        <v>81</v>
      </c>
      <c r="T7412" s="308" t="s">
        <v>75</v>
      </c>
      <c r="U7412" s="308" t="s">
        <v>27</v>
      </c>
      <c r="V7412" s="308"/>
    </row>
    <row r="7413">
      <c r="A7413" s="308"/>
      <c r="B7413" s="308"/>
      <c r="C7413" s="308" t="s">
        <v>29584</v>
      </c>
      <c r="D7413" s="308">
        <f>IFERROR(__xludf.DUMMYFUNCTION("SPLIT(C7413,""-"")"),7433.0)</f>
        <v>7433</v>
      </c>
      <c r="E7413" s="308" t="str">
        <f>IFERROR(__xludf.DUMMYFUNCTION("""COMPUTED_VALUE"""),"B")</f>
        <v>B</v>
      </c>
      <c r="F7413" s="315" t="s">
        <v>26</v>
      </c>
      <c r="G7413" s="308"/>
      <c r="H7413" s="308" t="s">
        <v>29585</v>
      </c>
      <c r="I7413" s="314">
        <v>43026.0</v>
      </c>
      <c r="J7413" s="319">
        <f>IFERROR(__xludf.DUMMYFUNCTION("SPLIT(I7413,""/"")"),18.0)</f>
        <v>18</v>
      </c>
      <c r="K7413" s="308">
        <f>IFERROR(__xludf.DUMMYFUNCTION("""COMPUTED_VALUE"""),10.0)</f>
        <v>10</v>
      </c>
      <c r="L7413" s="308">
        <f>IFERROR(__xludf.DUMMYFUNCTION("""COMPUTED_VALUE"""),2017.0)</f>
        <v>2017</v>
      </c>
      <c r="M7413" s="308" t="s">
        <v>29586</v>
      </c>
      <c r="N7413" s="308"/>
      <c r="O7413" s="308"/>
      <c r="P7413" s="308" t="s">
        <v>136</v>
      </c>
      <c r="Q7413" s="308" t="s">
        <v>39573</v>
      </c>
      <c r="R7413" s="308"/>
      <c r="S7413" s="315" t="s">
        <v>100</v>
      </c>
      <c r="T7413" s="308" t="s">
        <v>34208</v>
      </c>
      <c r="U7413" s="308" t="s">
        <v>27</v>
      </c>
      <c r="V7413" s="308"/>
    </row>
    <row r="7414">
      <c r="A7414" s="308"/>
      <c r="B7414" s="308"/>
      <c r="C7414" s="308" t="s">
        <v>29587</v>
      </c>
      <c r="D7414" s="308">
        <f>IFERROR(__xludf.DUMMYFUNCTION("SPLIT(C7414,""-"")"),7434.0)</f>
        <v>7434</v>
      </c>
      <c r="E7414" s="308" t="str">
        <f>IFERROR(__xludf.DUMMYFUNCTION("""COMPUTED_VALUE"""),"B")</f>
        <v>B</v>
      </c>
      <c r="F7414" s="315" t="s">
        <v>26</v>
      </c>
      <c r="G7414" s="308"/>
      <c r="H7414" s="308" t="s">
        <v>29588</v>
      </c>
      <c r="I7414" s="316" t="s">
        <v>29589</v>
      </c>
      <c r="J7414" s="319"/>
      <c r="K7414" s="308"/>
      <c r="L7414" s="311">
        <v>2017.0</v>
      </c>
      <c r="M7414" s="308" t="s">
        <v>29590</v>
      </c>
      <c r="N7414" s="308"/>
      <c r="O7414" s="308"/>
      <c r="P7414" s="308" t="s">
        <v>39636</v>
      </c>
      <c r="Q7414" s="308" t="s">
        <v>39573</v>
      </c>
      <c r="R7414" s="308"/>
      <c r="S7414" s="308" t="s">
        <v>81</v>
      </c>
      <c r="T7414" s="308" t="s">
        <v>75</v>
      </c>
      <c r="U7414" s="308" t="s">
        <v>27</v>
      </c>
      <c r="V7414" s="308"/>
    </row>
    <row r="7415">
      <c r="A7415" s="308"/>
      <c r="B7415" s="308"/>
      <c r="C7415" s="308" t="s">
        <v>29592</v>
      </c>
      <c r="D7415" s="308">
        <f>IFERROR(__xludf.DUMMYFUNCTION("SPLIT(C7415,""-"")"),7435.0)</f>
        <v>7435</v>
      </c>
      <c r="E7415" s="308" t="str">
        <f>IFERROR(__xludf.DUMMYFUNCTION("""COMPUTED_VALUE"""),"B")</f>
        <v>B</v>
      </c>
      <c r="F7415" s="315" t="s">
        <v>26</v>
      </c>
      <c r="G7415" s="308"/>
      <c r="H7415" s="308" t="s">
        <v>29593</v>
      </c>
      <c r="I7415" s="314">
        <v>43024.0</v>
      </c>
      <c r="J7415" s="319">
        <f>IFERROR(__xludf.DUMMYFUNCTION("SPLIT(I7415,""/"")"),16.0)</f>
        <v>16</v>
      </c>
      <c r="K7415" s="308">
        <f>IFERROR(__xludf.DUMMYFUNCTION("""COMPUTED_VALUE"""),10.0)</f>
        <v>10</v>
      </c>
      <c r="L7415" s="308">
        <f>IFERROR(__xludf.DUMMYFUNCTION("""COMPUTED_VALUE"""),2017.0)</f>
        <v>2017</v>
      </c>
      <c r="M7415" s="308" t="s">
        <v>29594</v>
      </c>
      <c r="N7415" s="308"/>
      <c r="O7415" s="308"/>
      <c r="P7415" s="308" t="s">
        <v>28792</v>
      </c>
      <c r="Q7415" s="308" t="s">
        <v>39573</v>
      </c>
      <c r="R7415" s="308"/>
      <c r="S7415" s="308" t="s">
        <v>81</v>
      </c>
      <c r="T7415" s="308" t="s">
        <v>75</v>
      </c>
      <c r="U7415" s="308" t="s">
        <v>27</v>
      </c>
      <c r="V7415" s="308"/>
    </row>
    <row r="7416">
      <c r="A7416" s="308"/>
      <c r="B7416" s="308"/>
      <c r="C7416" s="308" t="s">
        <v>29595</v>
      </c>
      <c r="D7416" s="308">
        <f>IFERROR(__xludf.DUMMYFUNCTION("SPLIT(C7416,""-"")"),7436.0)</f>
        <v>7436</v>
      </c>
      <c r="E7416" s="308" t="str">
        <f>IFERROR(__xludf.DUMMYFUNCTION("""COMPUTED_VALUE"""),"B")</f>
        <v>B</v>
      </c>
      <c r="F7416" s="315" t="s">
        <v>26</v>
      </c>
      <c r="G7416" s="308"/>
      <c r="H7416" s="308" t="s">
        <v>29596</v>
      </c>
      <c r="I7416" s="314">
        <v>43024.0</v>
      </c>
      <c r="J7416" s="319">
        <f>IFERROR(__xludf.DUMMYFUNCTION("SPLIT(I7416,""/"")"),16.0)</f>
        <v>16</v>
      </c>
      <c r="K7416" s="308">
        <f>IFERROR(__xludf.DUMMYFUNCTION("""COMPUTED_VALUE"""),10.0)</f>
        <v>10</v>
      </c>
      <c r="L7416" s="308">
        <f>IFERROR(__xludf.DUMMYFUNCTION("""COMPUTED_VALUE"""),2017.0)</f>
        <v>2017</v>
      </c>
      <c r="M7416" s="308" t="s">
        <v>29594</v>
      </c>
      <c r="N7416" s="308"/>
      <c r="O7416" s="308"/>
      <c r="P7416" s="308" t="s">
        <v>39637</v>
      </c>
      <c r="Q7416" s="308" t="s">
        <v>39573</v>
      </c>
      <c r="R7416" s="308"/>
      <c r="S7416" s="308" t="s">
        <v>81</v>
      </c>
      <c r="T7416" s="308" t="s">
        <v>75</v>
      </c>
      <c r="U7416" s="308" t="s">
        <v>27</v>
      </c>
      <c r="V7416" s="308"/>
    </row>
    <row r="7417">
      <c r="A7417" s="308"/>
      <c r="B7417" s="308"/>
      <c r="C7417" s="308" t="s">
        <v>29598</v>
      </c>
      <c r="D7417" s="308">
        <f>IFERROR(__xludf.DUMMYFUNCTION("SPLIT(C7417,""-"")"),7437.0)</f>
        <v>7437</v>
      </c>
      <c r="E7417" s="308" t="str">
        <f>IFERROR(__xludf.DUMMYFUNCTION("""COMPUTED_VALUE"""),"B")</f>
        <v>B</v>
      </c>
      <c r="F7417" s="315" t="s">
        <v>26</v>
      </c>
      <c r="G7417" s="308"/>
      <c r="H7417" s="308" t="s">
        <v>29599</v>
      </c>
      <c r="I7417" s="314">
        <v>43024.0</v>
      </c>
      <c r="J7417" s="319">
        <f>IFERROR(__xludf.DUMMYFUNCTION("SPLIT(I7417,""/"")"),16.0)</f>
        <v>16</v>
      </c>
      <c r="K7417" s="308">
        <f>IFERROR(__xludf.DUMMYFUNCTION("""COMPUTED_VALUE"""),10.0)</f>
        <v>10</v>
      </c>
      <c r="L7417" s="308">
        <f>IFERROR(__xludf.DUMMYFUNCTION("""COMPUTED_VALUE"""),2017.0)</f>
        <v>2017</v>
      </c>
      <c r="M7417" s="308" t="s">
        <v>29600</v>
      </c>
      <c r="N7417" s="308"/>
      <c r="O7417" s="308"/>
      <c r="P7417" s="308" t="s">
        <v>136</v>
      </c>
      <c r="Q7417" s="308" t="s">
        <v>39573</v>
      </c>
      <c r="R7417" s="308"/>
      <c r="S7417" s="315" t="s">
        <v>100</v>
      </c>
      <c r="T7417" s="308" t="s">
        <v>34208</v>
      </c>
      <c r="U7417" s="308" t="s">
        <v>27</v>
      </c>
      <c r="V7417" s="308"/>
    </row>
    <row r="7418">
      <c r="A7418" s="308"/>
      <c r="B7418" s="308"/>
      <c r="C7418" s="308" t="s">
        <v>29601</v>
      </c>
      <c r="D7418" s="308">
        <f>IFERROR(__xludf.DUMMYFUNCTION("SPLIT(C7418,""-"")"),7438.0)</f>
        <v>7438</v>
      </c>
      <c r="E7418" s="308" t="str">
        <f>IFERROR(__xludf.DUMMYFUNCTION("""COMPUTED_VALUE"""),"B")</f>
        <v>B</v>
      </c>
      <c r="F7418" s="315" t="s">
        <v>26</v>
      </c>
      <c r="G7418" s="308"/>
      <c r="H7418" s="308" t="s">
        <v>29602</v>
      </c>
      <c r="I7418" s="314">
        <v>43024.0</v>
      </c>
      <c r="J7418" s="319">
        <f>IFERROR(__xludf.DUMMYFUNCTION("SPLIT(I7418,""/"")"),16.0)</f>
        <v>16</v>
      </c>
      <c r="K7418" s="308">
        <f>IFERROR(__xludf.DUMMYFUNCTION("""COMPUTED_VALUE"""),10.0)</f>
        <v>10</v>
      </c>
      <c r="L7418" s="308">
        <f>IFERROR(__xludf.DUMMYFUNCTION("""COMPUTED_VALUE"""),2017.0)</f>
        <v>2017</v>
      </c>
      <c r="M7418" s="308" t="s">
        <v>29600</v>
      </c>
      <c r="N7418" s="308"/>
      <c r="O7418" s="308"/>
      <c r="P7418" s="308" t="s">
        <v>136</v>
      </c>
      <c r="Q7418" s="308" t="s">
        <v>39573</v>
      </c>
      <c r="R7418" s="308"/>
      <c r="S7418" s="315" t="s">
        <v>100</v>
      </c>
      <c r="T7418" s="308" t="s">
        <v>34208</v>
      </c>
      <c r="U7418" s="308" t="s">
        <v>27</v>
      </c>
      <c r="V7418" s="308"/>
    </row>
    <row r="7419">
      <c r="A7419" s="308"/>
      <c r="B7419" s="308"/>
      <c r="C7419" s="308" t="s">
        <v>29603</v>
      </c>
      <c r="D7419" s="308">
        <f>IFERROR(__xludf.DUMMYFUNCTION("SPLIT(C7419,""-"")"),7439.0)</f>
        <v>7439</v>
      </c>
      <c r="E7419" s="308" t="str">
        <f>IFERROR(__xludf.DUMMYFUNCTION("""COMPUTED_VALUE"""),"B")</f>
        <v>B</v>
      </c>
      <c r="F7419" s="315" t="s">
        <v>26</v>
      </c>
      <c r="G7419" s="308"/>
      <c r="H7419" s="308" t="s">
        <v>29604</v>
      </c>
      <c r="I7419" s="314">
        <v>43024.0</v>
      </c>
      <c r="J7419" s="319">
        <f>IFERROR(__xludf.DUMMYFUNCTION("SPLIT(I7419,""/"")"),16.0)</f>
        <v>16</v>
      </c>
      <c r="K7419" s="308">
        <f>IFERROR(__xludf.DUMMYFUNCTION("""COMPUTED_VALUE"""),10.0)</f>
        <v>10</v>
      </c>
      <c r="L7419" s="308">
        <f>IFERROR(__xludf.DUMMYFUNCTION("""COMPUTED_VALUE"""),2017.0)</f>
        <v>2017</v>
      </c>
      <c r="M7419" s="308" t="s">
        <v>29600</v>
      </c>
      <c r="N7419" s="308"/>
      <c r="O7419" s="308"/>
      <c r="P7419" s="308" t="s">
        <v>136</v>
      </c>
      <c r="Q7419" s="308" t="s">
        <v>39573</v>
      </c>
      <c r="R7419" s="308"/>
      <c r="S7419" s="315" t="s">
        <v>100</v>
      </c>
      <c r="T7419" s="308" t="s">
        <v>34208</v>
      </c>
      <c r="U7419" s="308" t="s">
        <v>27</v>
      </c>
      <c r="V7419" s="308"/>
    </row>
    <row r="7420">
      <c r="A7420" s="308"/>
      <c r="B7420" s="308"/>
      <c r="C7420" s="308" t="s">
        <v>29605</v>
      </c>
      <c r="D7420" s="308">
        <f>IFERROR(__xludf.DUMMYFUNCTION("SPLIT(C7420,""-"")"),7440.0)</f>
        <v>7440</v>
      </c>
      <c r="E7420" s="308" t="str">
        <f>IFERROR(__xludf.DUMMYFUNCTION("""COMPUTED_VALUE"""),"B")</f>
        <v>B</v>
      </c>
      <c r="F7420" s="315" t="s">
        <v>26</v>
      </c>
      <c r="G7420" s="308"/>
      <c r="H7420" s="308" t="s">
        <v>29606</v>
      </c>
      <c r="I7420" s="314">
        <v>43023.0</v>
      </c>
      <c r="J7420" s="319">
        <f>IFERROR(__xludf.DUMMYFUNCTION("SPLIT(I7420,""/"")"),15.0)</f>
        <v>15</v>
      </c>
      <c r="K7420" s="308">
        <f>IFERROR(__xludf.DUMMYFUNCTION("""COMPUTED_VALUE"""),10.0)</f>
        <v>10</v>
      </c>
      <c r="L7420" s="308">
        <f>IFERROR(__xludf.DUMMYFUNCTION("""COMPUTED_VALUE"""),2017.0)</f>
        <v>2017</v>
      </c>
      <c r="M7420" s="308" t="s">
        <v>28807</v>
      </c>
      <c r="N7420" s="308"/>
      <c r="O7420" s="308"/>
      <c r="P7420" s="308" t="s">
        <v>28792</v>
      </c>
      <c r="Q7420" s="308" t="s">
        <v>39573</v>
      </c>
      <c r="R7420" s="308"/>
      <c r="S7420" s="308" t="s">
        <v>81</v>
      </c>
      <c r="T7420" s="308" t="s">
        <v>75</v>
      </c>
      <c r="U7420" s="308" t="s">
        <v>27</v>
      </c>
      <c r="V7420" s="308"/>
    </row>
    <row r="7421">
      <c r="A7421" s="308"/>
      <c r="B7421" s="308"/>
      <c r="C7421" s="308" t="s">
        <v>29607</v>
      </c>
      <c r="D7421" s="308">
        <f>IFERROR(__xludf.DUMMYFUNCTION("SPLIT(C7421,""-"")"),7441.0)</f>
        <v>7441</v>
      </c>
      <c r="E7421" s="308" t="str">
        <f>IFERROR(__xludf.DUMMYFUNCTION("""COMPUTED_VALUE"""),"B")</f>
        <v>B</v>
      </c>
      <c r="F7421" s="315" t="s">
        <v>26</v>
      </c>
      <c r="G7421" s="308"/>
      <c r="H7421" s="308" t="s">
        <v>29608</v>
      </c>
      <c r="I7421" s="314">
        <v>43022.0</v>
      </c>
      <c r="J7421" s="319">
        <f>IFERROR(__xludf.DUMMYFUNCTION("SPLIT(I7421,""/"")"),14.0)</f>
        <v>14</v>
      </c>
      <c r="K7421" s="308">
        <f>IFERROR(__xludf.DUMMYFUNCTION("""COMPUTED_VALUE"""),10.0)</f>
        <v>10</v>
      </c>
      <c r="L7421" s="308">
        <f>IFERROR(__xludf.DUMMYFUNCTION("""COMPUTED_VALUE"""),2017.0)</f>
        <v>2017</v>
      </c>
      <c r="M7421" s="308" t="s">
        <v>29298</v>
      </c>
      <c r="N7421" s="308"/>
      <c r="O7421" s="308"/>
      <c r="P7421" s="308" t="s">
        <v>28792</v>
      </c>
      <c r="Q7421" s="308" t="s">
        <v>39573</v>
      </c>
      <c r="R7421" s="308"/>
      <c r="S7421" s="308" t="s">
        <v>81</v>
      </c>
      <c r="T7421" s="308" t="s">
        <v>75</v>
      </c>
      <c r="U7421" s="308" t="s">
        <v>27</v>
      </c>
      <c r="V7421" s="308"/>
    </row>
    <row r="7422">
      <c r="A7422" s="308"/>
      <c r="B7422" s="308"/>
      <c r="C7422" s="308" t="s">
        <v>29609</v>
      </c>
      <c r="D7422" s="308">
        <f>IFERROR(__xludf.DUMMYFUNCTION("SPLIT(C7422,""-"")"),7442.0)</f>
        <v>7442</v>
      </c>
      <c r="E7422" s="308" t="str">
        <f>IFERROR(__xludf.DUMMYFUNCTION("""COMPUTED_VALUE"""),"B")</f>
        <v>B</v>
      </c>
      <c r="F7422" s="315" t="s">
        <v>26</v>
      </c>
      <c r="G7422" s="308"/>
      <c r="H7422" s="308" t="s">
        <v>29610</v>
      </c>
      <c r="I7422" s="314">
        <v>43021.0</v>
      </c>
      <c r="J7422" s="319">
        <f>IFERROR(__xludf.DUMMYFUNCTION("SPLIT(I7422,""/"")"),13.0)</f>
        <v>13</v>
      </c>
      <c r="K7422" s="308">
        <f>IFERROR(__xludf.DUMMYFUNCTION("""COMPUTED_VALUE"""),10.0)</f>
        <v>10</v>
      </c>
      <c r="L7422" s="308">
        <f>IFERROR(__xludf.DUMMYFUNCTION("""COMPUTED_VALUE"""),2017.0)</f>
        <v>2017</v>
      </c>
      <c r="M7422" s="308" t="s">
        <v>29298</v>
      </c>
      <c r="N7422" s="308"/>
      <c r="O7422" s="308"/>
      <c r="P7422" s="308" t="s">
        <v>28792</v>
      </c>
      <c r="Q7422" s="308" t="s">
        <v>39573</v>
      </c>
      <c r="R7422" s="308"/>
      <c r="S7422" s="308" t="s">
        <v>81</v>
      </c>
      <c r="T7422" s="308" t="s">
        <v>75</v>
      </c>
      <c r="U7422" s="308" t="s">
        <v>27</v>
      </c>
      <c r="V7422" s="308"/>
    </row>
    <row r="7423">
      <c r="A7423" s="308"/>
      <c r="B7423" s="308"/>
      <c r="C7423" s="308" t="s">
        <v>29611</v>
      </c>
      <c r="D7423" s="308">
        <f>IFERROR(__xludf.DUMMYFUNCTION("SPLIT(C7423,""-"")"),7443.0)</f>
        <v>7443</v>
      </c>
      <c r="E7423" s="308" t="str">
        <f>IFERROR(__xludf.DUMMYFUNCTION("""COMPUTED_VALUE"""),"B")</f>
        <v>B</v>
      </c>
      <c r="F7423" s="315" t="s">
        <v>26</v>
      </c>
      <c r="G7423" s="308"/>
      <c r="H7423" s="308" t="s">
        <v>29612</v>
      </c>
      <c r="I7423" s="314">
        <v>43026.0</v>
      </c>
      <c r="J7423" s="319">
        <f>IFERROR(__xludf.DUMMYFUNCTION("SPLIT(I7423,""/"")"),18.0)</f>
        <v>18</v>
      </c>
      <c r="K7423" s="308">
        <f>IFERROR(__xludf.DUMMYFUNCTION("""COMPUTED_VALUE"""),10.0)</f>
        <v>10</v>
      </c>
      <c r="L7423" s="308">
        <f>IFERROR(__xludf.DUMMYFUNCTION("""COMPUTED_VALUE"""),2017.0)</f>
        <v>2017</v>
      </c>
      <c r="M7423" s="308" t="s">
        <v>29283</v>
      </c>
      <c r="N7423" s="308"/>
      <c r="O7423" s="308"/>
      <c r="P7423" s="308" t="s">
        <v>28792</v>
      </c>
      <c r="Q7423" s="308" t="s">
        <v>39573</v>
      </c>
      <c r="R7423" s="308"/>
      <c r="S7423" s="308" t="s">
        <v>81</v>
      </c>
      <c r="T7423" s="308" t="s">
        <v>75</v>
      </c>
      <c r="U7423" s="308" t="s">
        <v>27</v>
      </c>
      <c r="V7423" s="308"/>
    </row>
    <row r="7424">
      <c r="A7424" s="308"/>
      <c r="B7424" s="308"/>
      <c r="C7424" s="308" t="s">
        <v>29613</v>
      </c>
      <c r="D7424" s="308">
        <f>IFERROR(__xludf.DUMMYFUNCTION("SPLIT(C7424,""-"")"),7444.0)</f>
        <v>7444</v>
      </c>
      <c r="E7424" s="308" t="str">
        <f>IFERROR(__xludf.DUMMYFUNCTION("""COMPUTED_VALUE"""),"B")</f>
        <v>B</v>
      </c>
      <c r="F7424" s="315" t="s">
        <v>26</v>
      </c>
      <c r="G7424" s="308"/>
      <c r="H7424" s="308" t="s">
        <v>29614</v>
      </c>
      <c r="I7424" s="314">
        <v>43026.0</v>
      </c>
      <c r="J7424" s="319">
        <f>IFERROR(__xludf.DUMMYFUNCTION("SPLIT(I7424,""/"")"),18.0)</f>
        <v>18</v>
      </c>
      <c r="K7424" s="308">
        <f>IFERROR(__xludf.DUMMYFUNCTION("""COMPUTED_VALUE"""),10.0)</f>
        <v>10</v>
      </c>
      <c r="L7424" s="308">
        <f>IFERROR(__xludf.DUMMYFUNCTION("""COMPUTED_VALUE"""),2017.0)</f>
        <v>2017</v>
      </c>
      <c r="M7424" s="308" t="s">
        <v>29283</v>
      </c>
      <c r="N7424" s="308"/>
      <c r="O7424" s="308"/>
      <c r="P7424" s="308" t="s">
        <v>28792</v>
      </c>
      <c r="Q7424" s="308" t="s">
        <v>39573</v>
      </c>
      <c r="R7424" s="308"/>
      <c r="S7424" s="308" t="s">
        <v>81</v>
      </c>
      <c r="T7424" s="308" t="s">
        <v>75</v>
      </c>
      <c r="U7424" s="308" t="s">
        <v>27</v>
      </c>
      <c r="V7424" s="308"/>
    </row>
    <row r="7425">
      <c r="A7425" s="308"/>
      <c r="B7425" s="308"/>
      <c r="C7425" s="308" t="s">
        <v>29615</v>
      </c>
      <c r="D7425" s="308">
        <f>IFERROR(__xludf.DUMMYFUNCTION("SPLIT(C7425,""-"")"),7445.0)</f>
        <v>7445</v>
      </c>
      <c r="E7425" s="308" t="str">
        <f>IFERROR(__xludf.DUMMYFUNCTION("""COMPUTED_VALUE"""),"B")</f>
        <v>B</v>
      </c>
      <c r="F7425" s="315" t="s">
        <v>26</v>
      </c>
      <c r="G7425" s="308"/>
      <c r="H7425" s="308" t="s">
        <v>29616</v>
      </c>
      <c r="I7425" s="314">
        <v>43033.0</v>
      </c>
      <c r="J7425" s="319">
        <f>IFERROR(__xludf.DUMMYFUNCTION("SPLIT(I7425,""/"")"),25.0)</f>
        <v>25</v>
      </c>
      <c r="K7425" s="308">
        <f>IFERROR(__xludf.DUMMYFUNCTION("""COMPUTED_VALUE"""),10.0)</f>
        <v>10</v>
      </c>
      <c r="L7425" s="308">
        <f>IFERROR(__xludf.DUMMYFUNCTION("""COMPUTED_VALUE"""),2017.0)</f>
        <v>2017</v>
      </c>
      <c r="M7425" s="308" t="s">
        <v>29199</v>
      </c>
      <c r="N7425" s="308"/>
      <c r="O7425" s="308"/>
      <c r="P7425" s="308" t="s">
        <v>28792</v>
      </c>
      <c r="Q7425" s="308" t="s">
        <v>39573</v>
      </c>
      <c r="R7425" s="308"/>
      <c r="S7425" s="308" t="s">
        <v>81</v>
      </c>
      <c r="T7425" s="308" t="s">
        <v>75</v>
      </c>
      <c r="U7425" s="308" t="s">
        <v>27</v>
      </c>
      <c r="V7425" s="308"/>
    </row>
    <row r="7426">
      <c r="A7426" s="308"/>
      <c r="B7426" s="308"/>
      <c r="C7426" s="308" t="s">
        <v>29617</v>
      </c>
      <c r="D7426" s="308">
        <f>IFERROR(__xludf.DUMMYFUNCTION("SPLIT(C7426,""-"")"),7446.0)</f>
        <v>7446</v>
      </c>
      <c r="E7426" s="308" t="str">
        <f>IFERROR(__xludf.DUMMYFUNCTION("""COMPUTED_VALUE"""),"B")</f>
        <v>B</v>
      </c>
      <c r="F7426" s="315" t="s">
        <v>26</v>
      </c>
      <c r="G7426" s="308"/>
      <c r="H7426" s="308" t="s">
        <v>29618</v>
      </c>
      <c r="I7426" s="314">
        <v>43033.0</v>
      </c>
      <c r="J7426" s="319">
        <f>IFERROR(__xludf.DUMMYFUNCTION("SPLIT(I7426,""/"")"),25.0)</f>
        <v>25</v>
      </c>
      <c r="K7426" s="308">
        <f>IFERROR(__xludf.DUMMYFUNCTION("""COMPUTED_VALUE"""),10.0)</f>
        <v>10</v>
      </c>
      <c r="L7426" s="308">
        <f>IFERROR(__xludf.DUMMYFUNCTION("""COMPUTED_VALUE"""),2017.0)</f>
        <v>2017</v>
      </c>
      <c r="M7426" s="308" t="s">
        <v>29619</v>
      </c>
      <c r="N7426" s="308"/>
      <c r="O7426" s="308"/>
      <c r="P7426" s="308" t="s">
        <v>39638</v>
      </c>
      <c r="Q7426" s="308" t="s">
        <v>39573</v>
      </c>
      <c r="R7426" s="308"/>
      <c r="S7426" s="308" t="s">
        <v>81</v>
      </c>
      <c r="T7426" s="308" t="s">
        <v>75</v>
      </c>
      <c r="U7426" s="308" t="s">
        <v>27</v>
      </c>
      <c r="V7426" s="308"/>
    </row>
    <row r="7427">
      <c r="A7427" s="308"/>
      <c r="B7427" s="308"/>
      <c r="C7427" s="308" t="s">
        <v>29621</v>
      </c>
      <c r="D7427" s="308">
        <f>IFERROR(__xludf.DUMMYFUNCTION("SPLIT(C7427,""-"")"),7447.0)</f>
        <v>7447</v>
      </c>
      <c r="E7427" s="308" t="str">
        <f>IFERROR(__xludf.DUMMYFUNCTION("""COMPUTED_VALUE"""),"B")</f>
        <v>B</v>
      </c>
      <c r="F7427" s="315" t="s">
        <v>26</v>
      </c>
      <c r="G7427" s="308"/>
      <c r="H7427" s="308" t="s">
        <v>29622</v>
      </c>
      <c r="I7427" s="314">
        <v>43030.0</v>
      </c>
      <c r="J7427" s="319">
        <f>IFERROR(__xludf.DUMMYFUNCTION("SPLIT(I7427,""/"")"),22.0)</f>
        <v>22</v>
      </c>
      <c r="K7427" s="308">
        <f>IFERROR(__xludf.DUMMYFUNCTION("""COMPUTED_VALUE"""),10.0)</f>
        <v>10</v>
      </c>
      <c r="L7427" s="308">
        <f>IFERROR(__xludf.DUMMYFUNCTION("""COMPUTED_VALUE"""),2017.0)</f>
        <v>2017</v>
      </c>
      <c r="M7427" s="308" t="s">
        <v>29212</v>
      </c>
      <c r="N7427" s="308"/>
      <c r="O7427" s="308"/>
      <c r="P7427" s="308" t="s">
        <v>39639</v>
      </c>
      <c r="Q7427" s="308" t="s">
        <v>39573</v>
      </c>
      <c r="R7427" s="308"/>
      <c r="S7427" s="308" t="s">
        <v>81</v>
      </c>
      <c r="T7427" s="308" t="s">
        <v>75</v>
      </c>
      <c r="U7427" s="308" t="s">
        <v>27</v>
      </c>
      <c r="V7427" s="308"/>
    </row>
    <row r="7428">
      <c r="A7428" s="308"/>
      <c r="B7428" s="308"/>
      <c r="C7428" s="308" t="s">
        <v>29624</v>
      </c>
      <c r="D7428" s="308">
        <f>IFERROR(__xludf.DUMMYFUNCTION("SPLIT(C7428,""-"")"),7448.0)</f>
        <v>7448</v>
      </c>
      <c r="E7428" s="308" t="str">
        <f>IFERROR(__xludf.DUMMYFUNCTION("""COMPUTED_VALUE"""),"B")</f>
        <v>B</v>
      </c>
      <c r="F7428" s="315" t="s">
        <v>26</v>
      </c>
      <c r="G7428" s="308"/>
      <c r="H7428" s="308" t="s">
        <v>29625</v>
      </c>
      <c r="I7428" s="314">
        <v>43030.0</v>
      </c>
      <c r="J7428" s="319">
        <f>IFERROR(__xludf.DUMMYFUNCTION("SPLIT(I7428,""/"")"),22.0)</f>
        <v>22</v>
      </c>
      <c r="K7428" s="308">
        <f>IFERROR(__xludf.DUMMYFUNCTION("""COMPUTED_VALUE"""),10.0)</f>
        <v>10</v>
      </c>
      <c r="L7428" s="308">
        <f>IFERROR(__xludf.DUMMYFUNCTION("""COMPUTED_VALUE"""),2017.0)</f>
        <v>2017</v>
      </c>
      <c r="M7428" s="308" t="s">
        <v>29212</v>
      </c>
      <c r="N7428" s="308"/>
      <c r="O7428" s="308"/>
      <c r="P7428" s="308" t="s">
        <v>39640</v>
      </c>
      <c r="Q7428" s="308" t="s">
        <v>39573</v>
      </c>
      <c r="R7428" s="308"/>
      <c r="S7428" s="308" t="s">
        <v>81</v>
      </c>
      <c r="T7428" s="308" t="s">
        <v>75</v>
      </c>
      <c r="U7428" s="308" t="s">
        <v>27</v>
      </c>
      <c r="V7428" s="308"/>
    </row>
    <row r="7429">
      <c r="A7429" s="308"/>
      <c r="B7429" s="308"/>
      <c r="C7429" s="308" t="s">
        <v>29627</v>
      </c>
      <c r="D7429" s="308">
        <f>IFERROR(__xludf.DUMMYFUNCTION("SPLIT(C7429,""-"")"),7449.0)</f>
        <v>7449</v>
      </c>
      <c r="E7429" s="308" t="str">
        <f>IFERROR(__xludf.DUMMYFUNCTION("""COMPUTED_VALUE"""),"B")</f>
        <v>B</v>
      </c>
      <c r="F7429" s="315" t="s">
        <v>26</v>
      </c>
      <c r="G7429" s="308"/>
      <c r="H7429" s="308" t="s">
        <v>29628</v>
      </c>
      <c r="I7429" s="314">
        <v>43030.0</v>
      </c>
      <c r="J7429" s="319">
        <f>IFERROR(__xludf.DUMMYFUNCTION("SPLIT(I7429,""/"")"),22.0)</f>
        <v>22</v>
      </c>
      <c r="K7429" s="308">
        <f>IFERROR(__xludf.DUMMYFUNCTION("""COMPUTED_VALUE"""),10.0)</f>
        <v>10</v>
      </c>
      <c r="L7429" s="308">
        <f>IFERROR(__xludf.DUMMYFUNCTION("""COMPUTED_VALUE"""),2017.0)</f>
        <v>2017</v>
      </c>
      <c r="M7429" s="308" t="s">
        <v>29317</v>
      </c>
      <c r="N7429" s="308"/>
      <c r="O7429" s="308"/>
      <c r="P7429" s="308" t="s">
        <v>39641</v>
      </c>
      <c r="Q7429" s="308" t="s">
        <v>39573</v>
      </c>
      <c r="R7429" s="308"/>
      <c r="S7429" s="308" t="s">
        <v>81</v>
      </c>
      <c r="T7429" s="308" t="s">
        <v>75</v>
      </c>
      <c r="U7429" s="308" t="s">
        <v>27</v>
      </c>
      <c r="V7429" s="308"/>
    </row>
    <row r="7430">
      <c r="A7430" s="308"/>
      <c r="B7430" s="308"/>
      <c r="C7430" s="308" t="s">
        <v>29630</v>
      </c>
      <c r="D7430" s="308">
        <f>IFERROR(__xludf.DUMMYFUNCTION("SPLIT(C7430,""-"")"),7450.0)</f>
        <v>7450</v>
      </c>
      <c r="E7430" s="308" t="str">
        <f>IFERROR(__xludf.DUMMYFUNCTION("""COMPUTED_VALUE"""),"B")</f>
        <v>B</v>
      </c>
      <c r="F7430" s="315" t="s">
        <v>26</v>
      </c>
      <c r="G7430" s="308"/>
      <c r="H7430" s="308" t="s">
        <v>29631</v>
      </c>
      <c r="I7430" s="314">
        <v>43030.0</v>
      </c>
      <c r="J7430" s="319">
        <f>IFERROR(__xludf.DUMMYFUNCTION("SPLIT(I7430,""/"")"),22.0)</f>
        <v>22</v>
      </c>
      <c r="K7430" s="308">
        <f>IFERROR(__xludf.DUMMYFUNCTION("""COMPUTED_VALUE"""),10.0)</f>
        <v>10</v>
      </c>
      <c r="L7430" s="308">
        <f>IFERROR(__xludf.DUMMYFUNCTION("""COMPUTED_VALUE"""),2017.0)</f>
        <v>2017</v>
      </c>
      <c r="M7430" s="308" t="s">
        <v>29632</v>
      </c>
      <c r="N7430" s="308"/>
      <c r="O7430" s="308"/>
      <c r="P7430" s="308" t="s">
        <v>39642</v>
      </c>
      <c r="Q7430" s="308" t="s">
        <v>39573</v>
      </c>
      <c r="R7430" s="308"/>
      <c r="S7430" s="308" t="s">
        <v>81</v>
      </c>
      <c r="T7430" s="308" t="s">
        <v>75</v>
      </c>
      <c r="U7430" s="308" t="s">
        <v>27</v>
      </c>
      <c r="V7430" s="308"/>
    </row>
    <row r="7431">
      <c r="A7431" s="308"/>
      <c r="B7431" s="308"/>
      <c r="C7431" s="308" t="s">
        <v>29634</v>
      </c>
      <c r="D7431" s="308">
        <f>IFERROR(__xludf.DUMMYFUNCTION("SPLIT(C7431,""-"")"),7451.0)</f>
        <v>7451</v>
      </c>
      <c r="E7431" s="308" t="str">
        <f>IFERROR(__xludf.DUMMYFUNCTION("""COMPUTED_VALUE"""),"B")</f>
        <v>B</v>
      </c>
      <c r="F7431" s="315" t="s">
        <v>26</v>
      </c>
      <c r="G7431" s="308"/>
      <c r="H7431" s="308" t="s">
        <v>29635</v>
      </c>
      <c r="I7431" s="314">
        <v>43030.0</v>
      </c>
      <c r="J7431" s="319">
        <f>IFERROR(__xludf.DUMMYFUNCTION("SPLIT(I7431,""/"")"),22.0)</f>
        <v>22</v>
      </c>
      <c r="K7431" s="308">
        <f>IFERROR(__xludf.DUMMYFUNCTION("""COMPUTED_VALUE"""),10.0)</f>
        <v>10</v>
      </c>
      <c r="L7431" s="308">
        <f>IFERROR(__xludf.DUMMYFUNCTION("""COMPUTED_VALUE"""),2017.0)</f>
        <v>2017</v>
      </c>
      <c r="M7431" s="308" t="s">
        <v>29636</v>
      </c>
      <c r="N7431" s="308"/>
      <c r="O7431" s="308"/>
      <c r="P7431" s="308" t="s">
        <v>39643</v>
      </c>
      <c r="Q7431" s="308" t="s">
        <v>39573</v>
      </c>
      <c r="R7431" s="308"/>
      <c r="S7431" s="308" t="s">
        <v>81</v>
      </c>
      <c r="T7431" s="308" t="s">
        <v>75</v>
      </c>
      <c r="U7431" s="308" t="s">
        <v>27</v>
      </c>
      <c r="V7431" s="308"/>
    </row>
    <row r="7432">
      <c r="A7432" s="308"/>
      <c r="B7432" s="308"/>
      <c r="C7432" s="308" t="s">
        <v>29638</v>
      </c>
      <c r="D7432" s="308">
        <f>IFERROR(__xludf.DUMMYFUNCTION("SPLIT(C7432,""-"")"),7452.0)</f>
        <v>7452</v>
      </c>
      <c r="E7432" s="308" t="str">
        <f>IFERROR(__xludf.DUMMYFUNCTION("""COMPUTED_VALUE"""),"B")</f>
        <v>B</v>
      </c>
      <c r="F7432" s="315" t="s">
        <v>26</v>
      </c>
      <c r="G7432" s="308"/>
      <c r="H7432" s="308" t="s">
        <v>29639</v>
      </c>
      <c r="I7432" s="314">
        <v>43028.0</v>
      </c>
      <c r="J7432" s="319">
        <f>IFERROR(__xludf.DUMMYFUNCTION("SPLIT(I7432,""/"")"),20.0)</f>
        <v>20</v>
      </c>
      <c r="K7432" s="308">
        <f>IFERROR(__xludf.DUMMYFUNCTION("""COMPUTED_VALUE"""),10.0)</f>
        <v>10</v>
      </c>
      <c r="L7432" s="308">
        <f>IFERROR(__xludf.DUMMYFUNCTION("""COMPUTED_VALUE"""),2017.0)</f>
        <v>2017</v>
      </c>
      <c r="M7432" s="308" t="s">
        <v>29212</v>
      </c>
      <c r="N7432" s="308"/>
      <c r="O7432" s="308"/>
      <c r="P7432" s="308" t="s">
        <v>136</v>
      </c>
      <c r="Q7432" s="308" t="s">
        <v>39573</v>
      </c>
      <c r="R7432" s="308"/>
      <c r="S7432" s="315" t="s">
        <v>100</v>
      </c>
      <c r="T7432" s="308" t="s">
        <v>34208</v>
      </c>
      <c r="U7432" s="308" t="s">
        <v>27</v>
      </c>
      <c r="V7432" s="308"/>
    </row>
    <row r="7433">
      <c r="A7433" s="308"/>
      <c r="B7433" s="308"/>
      <c r="C7433" s="308" t="s">
        <v>29640</v>
      </c>
      <c r="D7433" s="308">
        <f>IFERROR(__xludf.DUMMYFUNCTION("SPLIT(C7433,""-"")"),7453.0)</f>
        <v>7453</v>
      </c>
      <c r="E7433" s="308" t="str">
        <f>IFERROR(__xludf.DUMMYFUNCTION("""COMPUTED_VALUE"""),"B")</f>
        <v>B</v>
      </c>
      <c r="F7433" s="315" t="s">
        <v>26</v>
      </c>
      <c r="G7433" s="308"/>
      <c r="H7433" s="308" t="s">
        <v>29641</v>
      </c>
      <c r="I7433" s="314">
        <v>43028.0</v>
      </c>
      <c r="J7433" s="319">
        <f>IFERROR(__xludf.DUMMYFUNCTION("SPLIT(I7433,""/"")"),20.0)</f>
        <v>20</v>
      </c>
      <c r="K7433" s="308">
        <f>IFERROR(__xludf.DUMMYFUNCTION("""COMPUTED_VALUE"""),10.0)</f>
        <v>10</v>
      </c>
      <c r="L7433" s="308">
        <f>IFERROR(__xludf.DUMMYFUNCTION("""COMPUTED_VALUE"""),2017.0)</f>
        <v>2017</v>
      </c>
      <c r="M7433" s="308" t="s">
        <v>29212</v>
      </c>
      <c r="N7433" s="308"/>
      <c r="O7433" s="308"/>
      <c r="P7433" s="308" t="s">
        <v>136</v>
      </c>
      <c r="Q7433" s="308" t="s">
        <v>39573</v>
      </c>
      <c r="R7433" s="308"/>
      <c r="S7433" s="315" t="s">
        <v>100</v>
      </c>
      <c r="T7433" s="308" t="s">
        <v>34208</v>
      </c>
      <c r="U7433" s="308" t="s">
        <v>27</v>
      </c>
      <c r="V7433" s="308"/>
    </row>
    <row r="7434">
      <c r="A7434" s="308"/>
      <c r="B7434" s="308"/>
      <c r="C7434" s="308" t="s">
        <v>29642</v>
      </c>
      <c r="D7434" s="308">
        <f>IFERROR(__xludf.DUMMYFUNCTION("SPLIT(C7434,""-"")"),7454.0)</f>
        <v>7454</v>
      </c>
      <c r="E7434" s="308" t="str">
        <f>IFERROR(__xludf.DUMMYFUNCTION("""COMPUTED_VALUE"""),"B")</f>
        <v>B</v>
      </c>
      <c r="F7434" s="315" t="s">
        <v>26</v>
      </c>
      <c r="G7434" s="308"/>
      <c r="H7434" s="308" t="s">
        <v>29643</v>
      </c>
      <c r="I7434" s="314">
        <v>43036.0</v>
      </c>
      <c r="J7434" s="319">
        <f>IFERROR(__xludf.DUMMYFUNCTION("SPLIT(I7434,""/"")"),28.0)</f>
        <v>28</v>
      </c>
      <c r="K7434" s="308">
        <f>IFERROR(__xludf.DUMMYFUNCTION("""COMPUTED_VALUE"""),10.0)</f>
        <v>10</v>
      </c>
      <c r="L7434" s="308">
        <f>IFERROR(__xludf.DUMMYFUNCTION("""COMPUTED_VALUE"""),2017.0)</f>
        <v>2017</v>
      </c>
      <c r="M7434" s="308" t="s">
        <v>28882</v>
      </c>
      <c r="N7434" s="308"/>
      <c r="O7434" s="308"/>
      <c r="P7434" s="308" t="s">
        <v>136</v>
      </c>
      <c r="Q7434" s="308" t="s">
        <v>39573</v>
      </c>
      <c r="R7434" s="308"/>
      <c r="S7434" s="315" t="s">
        <v>100</v>
      </c>
      <c r="T7434" s="308" t="s">
        <v>34208</v>
      </c>
      <c r="U7434" s="308" t="s">
        <v>27</v>
      </c>
      <c r="V7434" s="308"/>
    </row>
    <row r="7435">
      <c r="A7435" s="308"/>
      <c r="B7435" s="308"/>
      <c r="C7435" s="308" t="s">
        <v>29644</v>
      </c>
      <c r="D7435" s="308">
        <f>IFERROR(__xludf.DUMMYFUNCTION("SPLIT(C7435,""-"")"),7455.0)</f>
        <v>7455</v>
      </c>
      <c r="E7435" s="308" t="str">
        <f>IFERROR(__xludf.DUMMYFUNCTION("""COMPUTED_VALUE"""),"B")</f>
        <v>B</v>
      </c>
      <c r="F7435" s="315" t="s">
        <v>26</v>
      </c>
      <c r="G7435" s="308"/>
      <c r="H7435" s="308" t="s">
        <v>29645</v>
      </c>
      <c r="I7435" s="310">
        <v>42777.0</v>
      </c>
      <c r="J7435" s="319">
        <f>IFERROR(__xludf.DUMMYFUNCTION("SPLIT(I7435,""/"")"),11.0)</f>
        <v>11</v>
      </c>
      <c r="K7435" s="308">
        <f>IFERROR(__xludf.DUMMYFUNCTION("""COMPUTED_VALUE"""),2.0)</f>
        <v>2</v>
      </c>
      <c r="L7435" s="308">
        <f>IFERROR(__xludf.DUMMYFUNCTION("""COMPUTED_VALUE"""),2017.0)</f>
        <v>2017</v>
      </c>
      <c r="M7435" s="308" t="s">
        <v>29646</v>
      </c>
      <c r="N7435" s="308"/>
      <c r="O7435" s="308"/>
      <c r="P7435" s="308" t="s">
        <v>39644</v>
      </c>
      <c r="Q7435" s="308" t="s">
        <v>39573</v>
      </c>
      <c r="R7435" s="308"/>
      <c r="S7435" s="308" t="s">
        <v>81</v>
      </c>
      <c r="T7435" s="308" t="s">
        <v>75</v>
      </c>
      <c r="U7435" s="308" t="s">
        <v>27</v>
      </c>
      <c r="V7435" s="308"/>
    </row>
    <row r="7436">
      <c r="A7436" s="308"/>
      <c r="B7436" s="308"/>
      <c r="C7436" s="308" t="s">
        <v>29648</v>
      </c>
      <c r="D7436" s="308">
        <f>IFERROR(__xludf.DUMMYFUNCTION("SPLIT(C7436,""-"")"),7456.0)</f>
        <v>7456</v>
      </c>
      <c r="E7436" s="308" t="str">
        <f>IFERROR(__xludf.DUMMYFUNCTION("""COMPUTED_VALUE"""),"B")</f>
        <v>B</v>
      </c>
      <c r="F7436" s="315" t="s">
        <v>26</v>
      </c>
      <c r="G7436" s="308"/>
      <c r="H7436" s="308" t="s">
        <v>29649</v>
      </c>
      <c r="I7436" s="314">
        <v>43038.0</v>
      </c>
      <c r="J7436" s="319">
        <f>IFERROR(__xludf.DUMMYFUNCTION("SPLIT(I7436,""/"")"),30.0)</f>
        <v>30</v>
      </c>
      <c r="K7436" s="308">
        <f>IFERROR(__xludf.DUMMYFUNCTION("""COMPUTED_VALUE"""),10.0)</f>
        <v>10</v>
      </c>
      <c r="L7436" s="308">
        <f>IFERROR(__xludf.DUMMYFUNCTION("""COMPUTED_VALUE"""),2017.0)</f>
        <v>2017</v>
      </c>
      <c r="M7436" s="308" t="s">
        <v>29650</v>
      </c>
      <c r="N7436" s="308"/>
      <c r="O7436" s="308"/>
      <c r="P7436" s="308" t="s">
        <v>39645</v>
      </c>
      <c r="Q7436" s="308" t="s">
        <v>39573</v>
      </c>
      <c r="R7436" s="308"/>
      <c r="S7436" s="308" t="s">
        <v>81</v>
      </c>
      <c r="T7436" s="308" t="s">
        <v>75</v>
      </c>
      <c r="U7436" s="308" t="s">
        <v>27</v>
      </c>
      <c r="V7436" s="308"/>
    </row>
    <row r="7437">
      <c r="A7437" s="308"/>
      <c r="B7437" s="308"/>
      <c r="C7437" s="308" t="s">
        <v>29652</v>
      </c>
      <c r="D7437" s="308">
        <f>IFERROR(__xludf.DUMMYFUNCTION("SPLIT(C7437,""-"")"),7457.0)</f>
        <v>7457</v>
      </c>
      <c r="E7437" s="308" t="str">
        <f>IFERROR(__xludf.DUMMYFUNCTION("""COMPUTED_VALUE"""),"B")</f>
        <v>B</v>
      </c>
      <c r="F7437" s="315" t="s">
        <v>26</v>
      </c>
      <c r="G7437" s="308"/>
      <c r="H7437" s="308" t="s">
        <v>29653</v>
      </c>
      <c r="I7437" s="314">
        <v>43038.0</v>
      </c>
      <c r="J7437" s="319">
        <f>IFERROR(__xludf.DUMMYFUNCTION("SPLIT(I7437,""/"")"),30.0)</f>
        <v>30</v>
      </c>
      <c r="K7437" s="308">
        <f>IFERROR(__xludf.DUMMYFUNCTION("""COMPUTED_VALUE"""),10.0)</f>
        <v>10</v>
      </c>
      <c r="L7437" s="308">
        <f>IFERROR(__xludf.DUMMYFUNCTION("""COMPUTED_VALUE"""),2017.0)</f>
        <v>2017</v>
      </c>
      <c r="M7437" s="308" t="s">
        <v>29650</v>
      </c>
      <c r="N7437" s="308"/>
      <c r="O7437" s="308"/>
      <c r="P7437" s="308" t="s">
        <v>39646</v>
      </c>
      <c r="Q7437" s="308" t="s">
        <v>39573</v>
      </c>
      <c r="R7437" s="308"/>
      <c r="S7437" s="308" t="s">
        <v>81</v>
      </c>
      <c r="T7437" s="308" t="s">
        <v>75</v>
      </c>
      <c r="U7437" s="308" t="s">
        <v>27</v>
      </c>
      <c r="V7437" s="308"/>
    </row>
    <row r="7438">
      <c r="A7438" s="308"/>
      <c r="B7438" s="308"/>
      <c r="C7438" s="308" t="s">
        <v>29655</v>
      </c>
      <c r="D7438" s="308">
        <f>IFERROR(__xludf.DUMMYFUNCTION("SPLIT(C7438,""-"")"),7458.0)</f>
        <v>7458</v>
      </c>
      <c r="E7438" s="308" t="str">
        <f>IFERROR(__xludf.DUMMYFUNCTION("""COMPUTED_VALUE"""),"B")</f>
        <v>B</v>
      </c>
      <c r="F7438" s="315" t="s">
        <v>26</v>
      </c>
      <c r="G7438" s="308"/>
      <c r="H7438" s="308" t="s">
        <v>29656</v>
      </c>
      <c r="I7438" s="314">
        <v>43038.0</v>
      </c>
      <c r="J7438" s="319">
        <f>IFERROR(__xludf.DUMMYFUNCTION("SPLIT(I7438,""/"")"),30.0)</f>
        <v>30</v>
      </c>
      <c r="K7438" s="308">
        <f>IFERROR(__xludf.DUMMYFUNCTION("""COMPUTED_VALUE"""),10.0)</f>
        <v>10</v>
      </c>
      <c r="L7438" s="308">
        <f>IFERROR(__xludf.DUMMYFUNCTION("""COMPUTED_VALUE"""),2017.0)</f>
        <v>2017</v>
      </c>
      <c r="M7438" s="308" t="s">
        <v>29650</v>
      </c>
      <c r="N7438" s="308"/>
      <c r="O7438" s="308"/>
      <c r="P7438" s="308" t="s">
        <v>39647</v>
      </c>
      <c r="Q7438" s="308" t="s">
        <v>39573</v>
      </c>
      <c r="R7438" s="308"/>
      <c r="S7438" s="308" t="s">
        <v>81</v>
      </c>
      <c r="T7438" s="308" t="s">
        <v>75</v>
      </c>
      <c r="U7438" s="308" t="s">
        <v>27</v>
      </c>
      <c r="V7438" s="308"/>
    </row>
    <row r="7439">
      <c r="A7439" s="308"/>
      <c r="B7439" s="308"/>
      <c r="C7439" s="308" t="s">
        <v>29658</v>
      </c>
      <c r="D7439" s="308">
        <f>IFERROR(__xludf.DUMMYFUNCTION("SPLIT(C7439,""-"")"),7459.0)</f>
        <v>7459</v>
      </c>
      <c r="E7439" s="308" t="str">
        <f>IFERROR(__xludf.DUMMYFUNCTION("""COMPUTED_VALUE"""),"B")</f>
        <v>B</v>
      </c>
      <c r="F7439" s="315" t="s">
        <v>26</v>
      </c>
      <c r="G7439" s="308"/>
      <c r="H7439" s="308" t="s">
        <v>29659</v>
      </c>
      <c r="I7439" s="314">
        <v>43038.0</v>
      </c>
      <c r="J7439" s="319">
        <f>IFERROR(__xludf.DUMMYFUNCTION("SPLIT(I7439,""/"")"),30.0)</f>
        <v>30</v>
      </c>
      <c r="K7439" s="308">
        <f>IFERROR(__xludf.DUMMYFUNCTION("""COMPUTED_VALUE"""),10.0)</f>
        <v>10</v>
      </c>
      <c r="L7439" s="308">
        <f>IFERROR(__xludf.DUMMYFUNCTION("""COMPUTED_VALUE"""),2017.0)</f>
        <v>2017</v>
      </c>
      <c r="M7439" s="308" t="s">
        <v>29650</v>
      </c>
      <c r="N7439" s="308"/>
      <c r="O7439" s="308"/>
      <c r="P7439" s="308" t="s">
        <v>39648</v>
      </c>
      <c r="Q7439" s="308" t="s">
        <v>39573</v>
      </c>
      <c r="R7439" s="308"/>
      <c r="S7439" s="308" t="s">
        <v>81</v>
      </c>
      <c r="T7439" s="308" t="s">
        <v>75</v>
      </c>
      <c r="U7439" s="308" t="s">
        <v>27</v>
      </c>
      <c r="V7439" s="308"/>
    </row>
    <row r="7440">
      <c r="A7440" s="308"/>
      <c r="B7440" s="308"/>
      <c r="C7440" s="308" t="s">
        <v>29661</v>
      </c>
      <c r="D7440" s="308">
        <f>IFERROR(__xludf.DUMMYFUNCTION("SPLIT(C7440,""-"")"),7460.0)</f>
        <v>7460</v>
      </c>
      <c r="E7440" s="308" t="str">
        <f>IFERROR(__xludf.DUMMYFUNCTION("""COMPUTED_VALUE"""),"B")</f>
        <v>B</v>
      </c>
      <c r="F7440" s="315" t="s">
        <v>26</v>
      </c>
      <c r="G7440" s="308"/>
      <c r="H7440" s="308" t="s">
        <v>29662</v>
      </c>
      <c r="I7440" s="314">
        <v>43038.0</v>
      </c>
      <c r="J7440" s="319">
        <f>IFERROR(__xludf.DUMMYFUNCTION("SPLIT(I7440,""/"")"),30.0)</f>
        <v>30</v>
      </c>
      <c r="K7440" s="308">
        <f>IFERROR(__xludf.DUMMYFUNCTION("""COMPUTED_VALUE"""),10.0)</f>
        <v>10</v>
      </c>
      <c r="L7440" s="308">
        <f>IFERROR(__xludf.DUMMYFUNCTION("""COMPUTED_VALUE"""),2017.0)</f>
        <v>2017</v>
      </c>
      <c r="M7440" s="308" t="s">
        <v>29650</v>
      </c>
      <c r="N7440" s="308"/>
      <c r="O7440" s="308"/>
      <c r="P7440" s="308" t="s">
        <v>39649</v>
      </c>
      <c r="Q7440" s="308" t="s">
        <v>39573</v>
      </c>
      <c r="R7440" s="308"/>
      <c r="S7440" s="308" t="s">
        <v>81</v>
      </c>
      <c r="T7440" s="308" t="s">
        <v>75</v>
      </c>
      <c r="U7440" s="308" t="s">
        <v>27</v>
      </c>
      <c r="V7440" s="308"/>
    </row>
    <row r="7441">
      <c r="A7441" s="308"/>
      <c r="B7441" s="308"/>
      <c r="C7441" s="308" t="s">
        <v>29664</v>
      </c>
      <c r="D7441" s="308">
        <f>IFERROR(__xludf.DUMMYFUNCTION("SPLIT(C7441,""-"")"),7461.0)</f>
        <v>7461</v>
      </c>
      <c r="E7441" s="308" t="str">
        <f>IFERROR(__xludf.DUMMYFUNCTION("""COMPUTED_VALUE"""),"B")</f>
        <v>B</v>
      </c>
      <c r="F7441" s="315" t="s">
        <v>26</v>
      </c>
      <c r="G7441" s="308"/>
      <c r="H7441" s="308" t="s">
        <v>29665</v>
      </c>
      <c r="I7441" s="314">
        <v>43038.0</v>
      </c>
      <c r="J7441" s="319">
        <f>IFERROR(__xludf.DUMMYFUNCTION("SPLIT(I7441,""/"")"),30.0)</f>
        <v>30</v>
      </c>
      <c r="K7441" s="308">
        <f>IFERROR(__xludf.DUMMYFUNCTION("""COMPUTED_VALUE"""),10.0)</f>
        <v>10</v>
      </c>
      <c r="L7441" s="308">
        <f>IFERROR(__xludf.DUMMYFUNCTION("""COMPUTED_VALUE"""),2017.0)</f>
        <v>2017</v>
      </c>
      <c r="M7441" s="308" t="s">
        <v>29650</v>
      </c>
      <c r="N7441" s="308"/>
      <c r="O7441" s="308"/>
      <c r="P7441" s="308" t="s">
        <v>39650</v>
      </c>
      <c r="Q7441" s="308" t="s">
        <v>39573</v>
      </c>
      <c r="R7441" s="308"/>
      <c r="S7441" s="308" t="s">
        <v>81</v>
      </c>
      <c r="T7441" s="308" t="s">
        <v>75</v>
      </c>
      <c r="U7441" s="308" t="s">
        <v>27</v>
      </c>
      <c r="V7441" s="308"/>
    </row>
    <row r="7442">
      <c r="A7442" s="308"/>
      <c r="B7442" s="308"/>
      <c r="C7442" s="308" t="s">
        <v>29667</v>
      </c>
      <c r="D7442" s="308">
        <f>IFERROR(__xludf.DUMMYFUNCTION("SPLIT(C7442,""-"")"),7462.0)</f>
        <v>7462</v>
      </c>
      <c r="E7442" s="308" t="str">
        <f>IFERROR(__xludf.DUMMYFUNCTION("""COMPUTED_VALUE"""),"B")</f>
        <v>B</v>
      </c>
      <c r="F7442" s="315" t="s">
        <v>26</v>
      </c>
      <c r="G7442" s="308"/>
      <c r="H7442" s="308" t="s">
        <v>29668</v>
      </c>
      <c r="I7442" s="314">
        <v>43038.0</v>
      </c>
      <c r="J7442" s="319">
        <f>IFERROR(__xludf.DUMMYFUNCTION("SPLIT(I7442,""/"")"),30.0)</f>
        <v>30</v>
      </c>
      <c r="K7442" s="308">
        <f>IFERROR(__xludf.DUMMYFUNCTION("""COMPUTED_VALUE"""),10.0)</f>
        <v>10</v>
      </c>
      <c r="L7442" s="308">
        <f>IFERROR(__xludf.DUMMYFUNCTION("""COMPUTED_VALUE"""),2017.0)</f>
        <v>2017</v>
      </c>
      <c r="M7442" s="308" t="s">
        <v>29650</v>
      </c>
      <c r="N7442" s="308"/>
      <c r="O7442" s="308"/>
      <c r="P7442" s="308" t="s">
        <v>39651</v>
      </c>
      <c r="Q7442" s="308" t="s">
        <v>39573</v>
      </c>
      <c r="R7442" s="308"/>
      <c r="S7442" s="308" t="s">
        <v>81</v>
      </c>
      <c r="T7442" s="308" t="s">
        <v>75</v>
      </c>
      <c r="U7442" s="308" t="s">
        <v>27</v>
      </c>
      <c r="V7442" s="308"/>
    </row>
    <row r="7443">
      <c r="A7443" s="308"/>
      <c r="B7443" s="308"/>
      <c r="C7443" s="308" t="s">
        <v>29670</v>
      </c>
      <c r="D7443" s="308">
        <f>IFERROR(__xludf.DUMMYFUNCTION("SPLIT(C7443,""-"")"),7463.0)</f>
        <v>7463</v>
      </c>
      <c r="E7443" s="308" t="str">
        <f>IFERROR(__xludf.DUMMYFUNCTION("""COMPUTED_VALUE"""),"B")</f>
        <v>B</v>
      </c>
      <c r="F7443" s="315" t="s">
        <v>26</v>
      </c>
      <c r="G7443" s="308"/>
      <c r="H7443" s="308" t="s">
        <v>29671</v>
      </c>
      <c r="I7443" s="314">
        <v>43038.0</v>
      </c>
      <c r="J7443" s="319">
        <f>IFERROR(__xludf.DUMMYFUNCTION("SPLIT(I7443,""/"")"),30.0)</f>
        <v>30</v>
      </c>
      <c r="K7443" s="308">
        <f>IFERROR(__xludf.DUMMYFUNCTION("""COMPUTED_VALUE"""),10.0)</f>
        <v>10</v>
      </c>
      <c r="L7443" s="308">
        <f>IFERROR(__xludf.DUMMYFUNCTION("""COMPUTED_VALUE"""),2017.0)</f>
        <v>2017</v>
      </c>
      <c r="M7443" s="308" t="s">
        <v>29650</v>
      </c>
      <c r="N7443" s="308"/>
      <c r="O7443" s="308"/>
      <c r="P7443" s="308" t="s">
        <v>39652</v>
      </c>
      <c r="Q7443" s="308" t="s">
        <v>39573</v>
      </c>
      <c r="R7443" s="308"/>
      <c r="S7443" s="308" t="s">
        <v>81</v>
      </c>
      <c r="T7443" s="308" t="s">
        <v>75</v>
      </c>
      <c r="U7443" s="308" t="s">
        <v>27</v>
      </c>
      <c r="V7443" s="308"/>
    </row>
    <row r="7444">
      <c r="A7444" s="308"/>
      <c r="B7444" s="308"/>
      <c r="C7444" s="308" t="s">
        <v>29673</v>
      </c>
      <c r="D7444" s="308">
        <f>IFERROR(__xludf.DUMMYFUNCTION("SPLIT(C7444,""-"")"),7464.0)</f>
        <v>7464</v>
      </c>
      <c r="E7444" s="308" t="str">
        <f>IFERROR(__xludf.DUMMYFUNCTION("""COMPUTED_VALUE"""),"B")</f>
        <v>B</v>
      </c>
      <c r="F7444" s="315" t="s">
        <v>26</v>
      </c>
      <c r="G7444" s="308"/>
      <c r="H7444" s="308" t="s">
        <v>29674</v>
      </c>
      <c r="I7444" s="314">
        <v>43038.0</v>
      </c>
      <c r="J7444" s="319">
        <f>IFERROR(__xludf.DUMMYFUNCTION("SPLIT(I7444,""/"")"),30.0)</f>
        <v>30</v>
      </c>
      <c r="K7444" s="308">
        <f>IFERROR(__xludf.DUMMYFUNCTION("""COMPUTED_VALUE"""),10.0)</f>
        <v>10</v>
      </c>
      <c r="L7444" s="308">
        <f>IFERROR(__xludf.DUMMYFUNCTION("""COMPUTED_VALUE"""),2017.0)</f>
        <v>2017</v>
      </c>
      <c r="M7444" s="308" t="s">
        <v>29650</v>
      </c>
      <c r="N7444" s="308"/>
      <c r="O7444" s="308"/>
      <c r="P7444" s="308" t="s">
        <v>39653</v>
      </c>
      <c r="Q7444" s="308" t="s">
        <v>39573</v>
      </c>
      <c r="R7444" s="308"/>
      <c r="S7444" s="308" t="s">
        <v>81</v>
      </c>
      <c r="T7444" s="308" t="s">
        <v>75</v>
      </c>
      <c r="U7444" s="308" t="s">
        <v>27</v>
      </c>
      <c r="V7444" s="308"/>
    </row>
    <row r="7445">
      <c r="A7445" s="308"/>
      <c r="B7445" s="308"/>
      <c r="C7445" s="308" t="s">
        <v>29676</v>
      </c>
      <c r="D7445" s="308">
        <f>IFERROR(__xludf.DUMMYFUNCTION("SPLIT(C7445,""-"")"),7465.0)</f>
        <v>7465</v>
      </c>
      <c r="E7445" s="308" t="str">
        <f>IFERROR(__xludf.DUMMYFUNCTION("""COMPUTED_VALUE"""),"B")</f>
        <v>B</v>
      </c>
      <c r="F7445" s="315" t="s">
        <v>26</v>
      </c>
      <c r="G7445" s="308"/>
      <c r="H7445" s="308" t="s">
        <v>29677</v>
      </c>
      <c r="I7445" s="314">
        <v>43038.0</v>
      </c>
      <c r="J7445" s="319">
        <f>IFERROR(__xludf.DUMMYFUNCTION("SPLIT(I7445,""/"")"),30.0)</f>
        <v>30</v>
      </c>
      <c r="K7445" s="308">
        <f>IFERROR(__xludf.DUMMYFUNCTION("""COMPUTED_VALUE"""),10.0)</f>
        <v>10</v>
      </c>
      <c r="L7445" s="308">
        <f>IFERROR(__xludf.DUMMYFUNCTION("""COMPUTED_VALUE"""),2017.0)</f>
        <v>2017</v>
      </c>
      <c r="M7445" s="308" t="s">
        <v>29650</v>
      </c>
      <c r="N7445" s="308"/>
      <c r="O7445" s="308"/>
      <c r="P7445" s="308" t="s">
        <v>39654</v>
      </c>
      <c r="Q7445" s="308" t="s">
        <v>39573</v>
      </c>
      <c r="R7445" s="308"/>
      <c r="S7445" s="308" t="s">
        <v>81</v>
      </c>
      <c r="T7445" s="308" t="s">
        <v>75</v>
      </c>
      <c r="U7445" s="308" t="s">
        <v>27</v>
      </c>
      <c r="V7445" s="308"/>
    </row>
    <row r="7446">
      <c r="A7446" s="308"/>
      <c r="B7446" s="308"/>
      <c r="C7446" s="308" t="s">
        <v>29679</v>
      </c>
      <c r="D7446" s="308">
        <f>IFERROR(__xludf.DUMMYFUNCTION("SPLIT(C7446,""-"")"),7466.0)</f>
        <v>7466</v>
      </c>
      <c r="E7446" s="308" t="str">
        <f>IFERROR(__xludf.DUMMYFUNCTION("""COMPUTED_VALUE"""),"B")</f>
        <v>B</v>
      </c>
      <c r="F7446" s="315" t="s">
        <v>26</v>
      </c>
      <c r="G7446" s="308" t="s">
        <v>34322</v>
      </c>
      <c r="H7446" s="308" t="s">
        <v>29680</v>
      </c>
      <c r="I7446" s="310">
        <v>42927.0</v>
      </c>
      <c r="J7446" s="319">
        <f>IFERROR(__xludf.DUMMYFUNCTION("SPLIT(I7446,""/"")"),11.0)</f>
        <v>11</v>
      </c>
      <c r="K7446" s="308">
        <f>IFERROR(__xludf.DUMMYFUNCTION("""COMPUTED_VALUE"""),7.0)</f>
        <v>7</v>
      </c>
      <c r="L7446" s="308">
        <f>IFERROR(__xludf.DUMMYFUNCTION("""COMPUTED_VALUE"""),2017.0)</f>
        <v>2017</v>
      </c>
      <c r="M7446" s="308" t="s">
        <v>29681</v>
      </c>
      <c r="N7446" s="308"/>
      <c r="O7446" s="308"/>
      <c r="P7446" s="308" t="s">
        <v>39655</v>
      </c>
      <c r="Q7446" s="308" t="s">
        <v>39573</v>
      </c>
      <c r="R7446" s="308"/>
      <c r="S7446" s="308" t="s">
        <v>81</v>
      </c>
      <c r="T7446" s="308" t="s">
        <v>75</v>
      </c>
      <c r="U7446" s="308" t="s">
        <v>27</v>
      </c>
      <c r="V7446" s="308"/>
    </row>
    <row r="7447">
      <c r="A7447" s="308"/>
      <c r="B7447" s="308"/>
      <c r="C7447" s="308" t="s">
        <v>29683</v>
      </c>
      <c r="D7447" s="308">
        <f>IFERROR(__xludf.DUMMYFUNCTION("SPLIT(C7447,""-"")"),7467.0)</f>
        <v>7467</v>
      </c>
      <c r="E7447" s="308" t="str">
        <f>IFERROR(__xludf.DUMMYFUNCTION("""COMPUTED_VALUE"""),"B")</f>
        <v>B</v>
      </c>
      <c r="F7447" s="315" t="s">
        <v>26</v>
      </c>
      <c r="G7447" s="308"/>
      <c r="H7447" s="308" t="s">
        <v>29684</v>
      </c>
      <c r="I7447" s="310">
        <v>42927.0</v>
      </c>
      <c r="J7447" s="319">
        <f>IFERROR(__xludf.DUMMYFUNCTION("SPLIT(I7447,""/"")"),11.0)</f>
        <v>11</v>
      </c>
      <c r="K7447" s="308">
        <f>IFERROR(__xludf.DUMMYFUNCTION("""COMPUTED_VALUE"""),7.0)</f>
        <v>7</v>
      </c>
      <c r="L7447" s="308">
        <f>IFERROR(__xludf.DUMMYFUNCTION("""COMPUTED_VALUE"""),2017.0)</f>
        <v>2017</v>
      </c>
      <c r="M7447" s="308" t="s">
        <v>29685</v>
      </c>
      <c r="N7447" s="308"/>
      <c r="O7447" s="308"/>
      <c r="P7447" s="308" t="s">
        <v>39656</v>
      </c>
      <c r="Q7447" s="308" t="s">
        <v>39573</v>
      </c>
      <c r="R7447" s="308"/>
      <c r="S7447" s="308" t="s">
        <v>81</v>
      </c>
      <c r="T7447" s="308" t="s">
        <v>75</v>
      </c>
      <c r="U7447" s="308" t="s">
        <v>27</v>
      </c>
      <c r="V7447" s="308"/>
    </row>
    <row r="7448">
      <c r="A7448" s="308"/>
      <c r="B7448" s="308"/>
      <c r="C7448" s="308" t="s">
        <v>29687</v>
      </c>
      <c r="D7448" s="308">
        <f>IFERROR(__xludf.DUMMYFUNCTION("SPLIT(C7448,""-"")"),7468.0)</f>
        <v>7468</v>
      </c>
      <c r="E7448" s="308" t="str">
        <f>IFERROR(__xludf.DUMMYFUNCTION("""COMPUTED_VALUE"""),"B")</f>
        <v>B</v>
      </c>
      <c r="F7448" s="315" t="s">
        <v>26</v>
      </c>
      <c r="G7448" s="308"/>
      <c r="H7448" s="308" t="s">
        <v>29688</v>
      </c>
      <c r="I7448" s="310">
        <v>42927.0</v>
      </c>
      <c r="J7448" s="319">
        <f>IFERROR(__xludf.DUMMYFUNCTION("SPLIT(I7448,""/"")"),11.0)</f>
        <v>11</v>
      </c>
      <c r="K7448" s="308">
        <f>IFERROR(__xludf.DUMMYFUNCTION("""COMPUTED_VALUE"""),7.0)</f>
        <v>7</v>
      </c>
      <c r="L7448" s="308">
        <f>IFERROR(__xludf.DUMMYFUNCTION("""COMPUTED_VALUE"""),2017.0)</f>
        <v>2017</v>
      </c>
      <c r="M7448" s="308" t="s">
        <v>29685</v>
      </c>
      <c r="N7448" s="308"/>
      <c r="O7448" s="308"/>
      <c r="P7448" s="308" t="s">
        <v>39657</v>
      </c>
      <c r="Q7448" s="308" t="s">
        <v>39573</v>
      </c>
      <c r="R7448" s="308"/>
      <c r="S7448" s="308" t="s">
        <v>81</v>
      </c>
      <c r="T7448" s="308" t="s">
        <v>75</v>
      </c>
      <c r="U7448" s="308" t="s">
        <v>27</v>
      </c>
      <c r="V7448" s="308"/>
    </row>
    <row r="7449">
      <c r="A7449" s="308"/>
      <c r="B7449" s="308"/>
      <c r="C7449" s="308" t="s">
        <v>29690</v>
      </c>
      <c r="D7449" s="308">
        <f>IFERROR(__xludf.DUMMYFUNCTION("SPLIT(C7449,""-"")"),7469.0)</f>
        <v>7469</v>
      </c>
      <c r="E7449" s="308" t="str">
        <f>IFERROR(__xludf.DUMMYFUNCTION("""COMPUTED_VALUE"""),"B")</f>
        <v>B</v>
      </c>
      <c r="F7449" s="315" t="s">
        <v>26</v>
      </c>
      <c r="G7449" s="308"/>
      <c r="H7449" s="308" t="s">
        <v>29691</v>
      </c>
      <c r="I7449" s="310">
        <v>42897.0</v>
      </c>
      <c r="J7449" s="319">
        <f>IFERROR(__xludf.DUMMYFUNCTION("SPLIT(I7449,""/"")"),11.0)</f>
        <v>11</v>
      </c>
      <c r="K7449" s="308">
        <f>IFERROR(__xludf.DUMMYFUNCTION("""COMPUTED_VALUE"""),6.0)</f>
        <v>6</v>
      </c>
      <c r="L7449" s="308">
        <f>IFERROR(__xludf.DUMMYFUNCTION("""COMPUTED_VALUE"""),2017.0)</f>
        <v>2017</v>
      </c>
      <c r="M7449" s="308" t="s">
        <v>29692</v>
      </c>
      <c r="N7449" s="308"/>
      <c r="O7449" s="308"/>
      <c r="P7449" s="308" t="s">
        <v>39658</v>
      </c>
      <c r="Q7449" s="308" t="s">
        <v>39573</v>
      </c>
      <c r="R7449" s="308"/>
      <c r="S7449" s="308" t="s">
        <v>81</v>
      </c>
      <c r="T7449" s="308" t="s">
        <v>75</v>
      </c>
      <c r="U7449" s="308" t="s">
        <v>27</v>
      </c>
      <c r="V7449" s="308"/>
    </row>
    <row r="7450">
      <c r="A7450" s="308"/>
      <c r="B7450" s="308"/>
      <c r="C7450" s="308" t="s">
        <v>29694</v>
      </c>
      <c r="D7450" s="308">
        <f>IFERROR(__xludf.DUMMYFUNCTION("SPLIT(C7450,""-"")"),7470.0)</f>
        <v>7470</v>
      </c>
      <c r="E7450" s="308" t="str">
        <f>IFERROR(__xludf.DUMMYFUNCTION("""COMPUTED_VALUE"""),"B")</f>
        <v>B</v>
      </c>
      <c r="F7450" s="315" t="s">
        <v>26</v>
      </c>
      <c r="G7450" s="308"/>
      <c r="H7450" s="308" t="s">
        <v>29695</v>
      </c>
      <c r="I7450" s="310">
        <v>42897.0</v>
      </c>
      <c r="J7450" s="319">
        <f>IFERROR(__xludf.DUMMYFUNCTION("SPLIT(I7450,""/"")"),11.0)</f>
        <v>11</v>
      </c>
      <c r="K7450" s="308">
        <f>IFERROR(__xludf.DUMMYFUNCTION("""COMPUTED_VALUE"""),6.0)</f>
        <v>6</v>
      </c>
      <c r="L7450" s="308">
        <f>IFERROR(__xludf.DUMMYFUNCTION("""COMPUTED_VALUE"""),2017.0)</f>
        <v>2017</v>
      </c>
      <c r="M7450" s="308" t="s">
        <v>29696</v>
      </c>
      <c r="N7450" s="308"/>
      <c r="O7450" s="308"/>
      <c r="P7450" s="308" t="s">
        <v>39659</v>
      </c>
      <c r="Q7450" s="308" t="s">
        <v>39573</v>
      </c>
      <c r="R7450" s="308"/>
      <c r="S7450" s="308" t="s">
        <v>81</v>
      </c>
      <c r="T7450" s="308" t="s">
        <v>75</v>
      </c>
      <c r="U7450" s="308" t="s">
        <v>27</v>
      </c>
      <c r="V7450" s="308"/>
    </row>
    <row r="7451">
      <c r="A7451" s="308"/>
      <c r="B7451" s="308"/>
      <c r="C7451" s="308" t="s">
        <v>29698</v>
      </c>
      <c r="D7451" s="308">
        <f>IFERROR(__xludf.DUMMYFUNCTION("SPLIT(C7451,""-"")"),7471.0)</f>
        <v>7471</v>
      </c>
      <c r="E7451" s="308" t="str">
        <f>IFERROR(__xludf.DUMMYFUNCTION("""COMPUTED_VALUE"""),"B")</f>
        <v>B</v>
      </c>
      <c r="F7451" s="315" t="s">
        <v>26</v>
      </c>
      <c r="G7451" s="308"/>
      <c r="H7451" s="308" t="s">
        <v>29699</v>
      </c>
      <c r="I7451" s="310">
        <v>42897.0</v>
      </c>
      <c r="J7451" s="319">
        <f>IFERROR(__xludf.DUMMYFUNCTION("SPLIT(I7451,""/"")"),11.0)</f>
        <v>11</v>
      </c>
      <c r="K7451" s="308">
        <f>IFERROR(__xludf.DUMMYFUNCTION("""COMPUTED_VALUE"""),6.0)</f>
        <v>6</v>
      </c>
      <c r="L7451" s="308">
        <f>IFERROR(__xludf.DUMMYFUNCTION("""COMPUTED_VALUE"""),2017.0)</f>
        <v>2017</v>
      </c>
      <c r="M7451" s="308" t="s">
        <v>29700</v>
      </c>
      <c r="N7451" s="308"/>
      <c r="O7451" s="308"/>
      <c r="P7451" s="308" t="s">
        <v>39660</v>
      </c>
      <c r="Q7451" s="308" t="s">
        <v>39573</v>
      </c>
      <c r="R7451" s="308"/>
      <c r="S7451" s="308" t="s">
        <v>81</v>
      </c>
      <c r="T7451" s="308" t="s">
        <v>75</v>
      </c>
      <c r="U7451" s="308" t="s">
        <v>27</v>
      </c>
      <c r="V7451" s="308"/>
    </row>
    <row r="7452">
      <c r="A7452" s="308"/>
      <c r="B7452" s="308"/>
      <c r="C7452" s="308" t="s">
        <v>29702</v>
      </c>
      <c r="D7452" s="308">
        <f>IFERROR(__xludf.DUMMYFUNCTION("SPLIT(C7452,""-"")"),7472.0)</f>
        <v>7472</v>
      </c>
      <c r="E7452" s="308" t="str">
        <f>IFERROR(__xludf.DUMMYFUNCTION("""COMPUTED_VALUE"""),"B")</f>
        <v>B</v>
      </c>
      <c r="F7452" s="315" t="s">
        <v>26</v>
      </c>
      <c r="G7452" s="308"/>
      <c r="H7452" s="308" t="s">
        <v>29703</v>
      </c>
      <c r="I7452" s="310">
        <v>42836.0</v>
      </c>
      <c r="J7452" s="319">
        <f>IFERROR(__xludf.DUMMYFUNCTION("SPLIT(I7452,""/"")"),11.0)</f>
        <v>11</v>
      </c>
      <c r="K7452" s="308">
        <f>IFERROR(__xludf.DUMMYFUNCTION("""COMPUTED_VALUE"""),4.0)</f>
        <v>4</v>
      </c>
      <c r="L7452" s="308">
        <f>IFERROR(__xludf.DUMMYFUNCTION("""COMPUTED_VALUE"""),2017.0)</f>
        <v>2017</v>
      </c>
      <c r="M7452" s="308" t="s">
        <v>28462</v>
      </c>
      <c r="N7452" s="308"/>
      <c r="O7452" s="308"/>
      <c r="P7452" s="308" t="s">
        <v>39661</v>
      </c>
      <c r="Q7452" s="308" t="s">
        <v>39573</v>
      </c>
      <c r="R7452" s="308"/>
      <c r="S7452" s="308" t="s">
        <v>81</v>
      </c>
      <c r="T7452" s="308" t="s">
        <v>75</v>
      </c>
      <c r="U7452" s="308" t="s">
        <v>27</v>
      </c>
      <c r="V7452" s="308"/>
    </row>
    <row r="7453">
      <c r="A7453" s="308"/>
      <c r="B7453" s="308"/>
      <c r="C7453" s="308" t="s">
        <v>29705</v>
      </c>
      <c r="D7453" s="308">
        <f>IFERROR(__xludf.DUMMYFUNCTION("SPLIT(C7453,""-"")"),7473.0)</f>
        <v>7473</v>
      </c>
      <c r="E7453" s="308" t="str">
        <f>IFERROR(__xludf.DUMMYFUNCTION("""COMPUTED_VALUE"""),"B")</f>
        <v>B</v>
      </c>
      <c r="F7453" s="315" t="s">
        <v>26</v>
      </c>
      <c r="G7453" s="308"/>
      <c r="H7453" s="308" t="s">
        <v>29706</v>
      </c>
      <c r="I7453" s="310">
        <v>42989.0</v>
      </c>
      <c r="J7453" s="319">
        <f>IFERROR(__xludf.DUMMYFUNCTION("SPLIT(I7453,""/"")"),11.0)</f>
        <v>11</v>
      </c>
      <c r="K7453" s="308">
        <f>IFERROR(__xludf.DUMMYFUNCTION("""COMPUTED_VALUE"""),9.0)</f>
        <v>9</v>
      </c>
      <c r="L7453" s="308">
        <f>IFERROR(__xludf.DUMMYFUNCTION("""COMPUTED_VALUE"""),2017.0)</f>
        <v>2017</v>
      </c>
      <c r="M7453" s="308" t="s">
        <v>29199</v>
      </c>
      <c r="N7453" s="308"/>
      <c r="O7453" s="308"/>
      <c r="P7453" s="308" t="s">
        <v>39662</v>
      </c>
      <c r="Q7453" s="308" t="s">
        <v>39573</v>
      </c>
      <c r="R7453" s="308"/>
      <c r="S7453" s="308" t="s">
        <v>81</v>
      </c>
      <c r="T7453" s="308" t="s">
        <v>75</v>
      </c>
      <c r="U7453" s="308" t="s">
        <v>27</v>
      </c>
      <c r="V7453" s="308"/>
    </row>
    <row r="7454">
      <c r="A7454" s="308"/>
      <c r="B7454" s="308"/>
      <c r="C7454" s="308" t="s">
        <v>29708</v>
      </c>
      <c r="D7454" s="308">
        <f>IFERROR(__xludf.DUMMYFUNCTION("SPLIT(C7454,""-"")"),7474.0)</f>
        <v>7474</v>
      </c>
      <c r="E7454" s="308" t="str">
        <f>IFERROR(__xludf.DUMMYFUNCTION("""COMPUTED_VALUE"""),"B")</f>
        <v>B</v>
      </c>
      <c r="F7454" s="315" t="s">
        <v>26</v>
      </c>
      <c r="G7454" s="308"/>
      <c r="H7454" s="308" t="s">
        <v>29709</v>
      </c>
      <c r="I7454" s="310">
        <v>42989.0</v>
      </c>
      <c r="J7454" s="319">
        <f>IFERROR(__xludf.DUMMYFUNCTION("SPLIT(I7454,""/"")"),11.0)</f>
        <v>11</v>
      </c>
      <c r="K7454" s="308">
        <f>IFERROR(__xludf.DUMMYFUNCTION("""COMPUTED_VALUE"""),9.0)</f>
        <v>9</v>
      </c>
      <c r="L7454" s="308">
        <f>IFERROR(__xludf.DUMMYFUNCTION("""COMPUTED_VALUE"""),2017.0)</f>
        <v>2017</v>
      </c>
      <c r="M7454" s="308" t="s">
        <v>29199</v>
      </c>
      <c r="N7454" s="308"/>
      <c r="O7454" s="308"/>
      <c r="P7454" s="308" t="s">
        <v>39663</v>
      </c>
      <c r="Q7454" s="308" t="s">
        <v>39573</v>
      </c>
      <c r="R7454" s="308"/>
      <c r="S7454" s="308" t="s">
        <v>81</v>
      </c>
      <c r="T7454" s="308" t="s">
        <v>75</v>
      </c>
      <c r="U7454" s="308" t="s">
        <v>27</v>
      </c>
      <c r="V7454" s="308"/>
    </row>
    <row r="7455">
      <c r="A7455" s="308"/>
      <c r="B7455" s="308"/>
      <c r="C7455" s="308" t="s">
        <v>29711</v>
      </c>
      <c r="D7455" s="308">
        <f>IFERROR(__xludf.DUMMYFUNCTION("SPLIT(C7455,""-"")"),7475.0)</f>
        <v>7475</v>
      </c>
      <c r="E7455" s="308" t="str">
        <f>IFERROR(__xludf.DUMMYFUNCTION("""COMPUTED_VALUE"""),"B")</f>
        <v>B</v>
      </c>
      <c r="F7455" s="315" t="s">
        <v>26</v>
      </c>
      <c r="G7455" s="308"/>
      <c r="H7455" s="308" t="s">
        <v>29712</v>
      </c>
      <c r="I7455" s="310">
        <v>42989.0</v>
      </c>
      <c r="J7455" s="319">
        <f>IFERROR(__xludf.DUMMYFUNCTION("SPLIT(I7455,""/"")"),11.0)</f>
        <v>11</v>
      </c>
      <c r="K7455" s="308">
        <f>IFERROR(__xludf.DUMMYFUNCTION("""COMPUTED_VALUE"""),9.0)</f>
        <v>9</v>
      </c>
      <c r="L7455" s="308">
        <f>IFERROR(__xludf.DUMMYFUNCTION("""COMPUTED_VALUE"""),2017.0)</f>
        <v>2017</v>
      </c>
      <c r="M7455" s="308" t="s">
        <v>29199</v>
      </c>
      <c r="N7455" s="308"/>
      <c r="O7455" s="308"/>
      <c r="P7455" s="308" t="s">
        <v>136</v>
      </c>
      <c r="Q7455" s="308" t="s">
        <v>39573</v>
      </c>
      <c r="R7455" s="308"/>
      <c r="S7455" s="315" t="s">
        <v>100</v>
      </c>
      <c r="T7455" s="308" t="s">
        <v>34208</v>
      </c>
      <c r="U7455" s="308" t="s">
        <v>27</v>
      </c>
      <c r="V7455" s="308"/>
    </row>
    <row r="7456">
      <c r="A7456" s="308"/>
      <c r="B7456" s="308"/>
      <c r="C7456" s="308" t="s">
        <v>29713</v>
      </c>
      <c r="D7456" s="308">
        <f>IFERROR(__xludf.DUMMYFUNCTION("SPLIT(C7456,""-"")"),7476.0)</f>
        <v>7476</v>
      </c>
      <c r="E7456" s="308" t="str">
        <f>IFERROR(__xludf.DUMMYFUNCTION("""COMPUTED_VALUE"""),"B")</f>
        <v>B</v>
      </c>
      <c r="F7456" s="315" t="s">
        <v>26</v>
      </c>
      <c r="G7456" s="308"/>
      <c r="H7456" s="308" t="s">
        <v>29714</v>
      </c>
      <c r="I7456" s="314">
        <v>43055.0</v>
      </c>
      <c r="J7456" s="319">
        <f>IFERROR(__xludf.DUMMYFUNCTION("SPLIT(I7456,""/"")"),16.0)</f>
        <v>16</v>
      </c>
      <c r="K7456" s="308">
        <f>IFERROR(__xludf.DUMMYFUNCTION("""COMPUTED_VALUE"""),11.0)</f>
        <v>11</v>
      </c>
      <c r="L7456" s="308">
        <f>IFERROR(__xludf.DUMMYFUNCTION("""COMPUTED_VALUE"""),2017.0)</f>
        <v>2017</v>
      </c>
      <c r="M7456" s="308" t="s">
        <v>29363</v>
      </c>
      <c r="N7456" s="308"/>
      <c r="O7456" s="308"/>
      <c r="P7456" s="308" t="s">
        <v>39664</v>
      </c>
      <c r="Q7456" s="308" t="s">
        <v>39573</v>
      </c>
      <c r="R7456" s="308"/>
      <c r="S7456" s="308" t="s">
        <v>81</v>
      </c>
      <c r="T7456" s="308" t="s">
        <v>75</v>
      </c>
      <c r="U7456" s="308" t="s">
        <v>27</v>
      </c>
      <c r="V7456" s="308"/>
    </row>
    <row r="7457">
      <c r="A7457" s="308"/>
      <c r="B7457" s="308"/>
      <c r="C7457" s="308" t="s">
        <v>29716</v>
      </c>
      <c r="D7457" s="308">
        <f>IFERROR(__xludf.DUMMYFUNCTION("SPLIT(C7457,""-"")"),7477.0)</f>
        <v>7477</v>
      </c>
      <c r="E7457" s="308" t="str">
        <f>IFERROR(__xludf.DUMMYFUNCTION("""COMPUTED_VALUE"""),"B")</f>
        <v>B</v>
      </c>
      <c r="F7457" s="315" t="s">
        <v>26</v>
      </c>
      <c r="G7457" s="308"/>
      <c r="H7457" s="308" t="s">
        <v>29717</v>
      </c>
      <c r="I7457" s="314">
        <v>43055.0</v>
      </c>
      <c r="J7457" s="319">
        <f>IFERROR(__xludf.DUMMYFUNCTION("SPLIT(I7457,""/"")"),16.0)</f>
        <v>16</v>
      </c>
      <c r="K7457" s="308">
        <f>IFERROR(__xludf.DUMMYFUNCTION("""COMPUTED_VALUE"""),11.0)</f>
        <v>11</v>
      </c>
      <c r="L7457" s="308">
        <f>IFERROR(__xludf.DUMMYFUNCTION("""COMPUTED_VALUE"""),2017.0)</f>
        <v>2017</v>
      </c>
      <c r="M7457" s="308" t="s">
        <v>29363</v>
      </c>
      <c r="N7457" s="308"/>
      <c r="O7457" s="308"/>
      <c r="P7457" s="308" t="s">
        <v>39665</v>
      </c>
      <c r="Q7457" s="308" t="s">
        <v>39573</v>
      </c>
      <c r="R7457" s="308"/>
      <c r="S7457" s="308" t="s">
        <v>81</v>
      </c>
      <c r="T7457" s="308" t="s">
        <v>75</v>
      </c>
      <c r="U7457" s="308" t="s">
        <v>27</v>
      </c>
      <c r="V7457" s="308"/>
    </row>
    <row r="7458">
      <c r="A7458" s="308"/>
      <c r="B7458" s="308"/>
      <c r="C7458" s="308" t="s">
        <v>29719</v>
      </c>
      <c r="D7458" s="308">
        <f>IFERROR(__xludf.DUMMYFUNCTION("SPLIT(C7458,""-"")"),7478.0)</f>
        <v>7478</v>
      </c>
      <c r="E7458" s="308" t="str">
        <f>IFERROR(__xludf.DUMMYFUNCTION("""COMPUTED_VALUE"""),"B")</f>
        <v>B</v>
      </c>
      <c r="F7458" s="315" t="s">
        <v>26</v>
      </c>
      <c r="G7458" s="308"/>
      <c r="H7458" s="308" t="s">
        <v>18381</v>
      </c>
      <c r="I7458" s="314">
        <v>43054.0</v>
      </c>
      <c r="J7458" s="319">
        <f>IFERROR(__xludf.DUMMYFUNCTION("SPLIT(I7458,""/"")"),15.0)</f>
        <v>15</v>
      </c>
      <c r="K7458" s="308">
        <f>IFERROR(__xludf.DUMMYFUNCTION("""COMPUTED_VALUE"""),11.0)</f>
        <v>11</v>
      </c>
      <c r="L7458" s="308">
        <f>IFERROR(__xludf.DUMMYFUNCTION("""COMPUTED_VALUE"""),2017.0)</f>
        <v>2017</v>
      </c>
      <c r="M7458" s="308" t="s">
        <v>29503</v>
      </c>
      <c r="N7458" s="308"/>
      <c r="O7458" s="308"/>
      <c r="P7458" s="308" t="s">
        <v>39666</v>
      </c>
      <c r="Q7458" s="308" t="s">
        <v>39573</v>
      </c>
      <c r="R7458" s="308"/>
      <c r="S7458" s="308" t="s">
        <v>81</v>
      </c>
      <c r="T7458" s="308" t="s">
        <v>75</v>
      </c>
      <c r="U7458" s="308" t="s">
        <v>27</v>
      </c>
      <c r="V7458" s="308"/>
    </row>
    <row r="7459">
      <c r="A7459" s="308"/>
      <c r="B7459" s="308"/>
      <c r="C7459" s="308" t="s">
        <v>29721</v>
      </c>
      <c r="D7459" s="308">
        <f>IFERROR(__xludf.DUMMYFUNCTION("SPLIT(C7459,""-"")"),7479.0)</f>
        <v>7479</v>
      </c>
      <c r="E7459" s="308" t="str">
        <f>IFERROR(__xludf.DUMMYFUNCTION("""COMPUTED_VALUE"""),"B")</f>
        <v>B</v>
      </c>
      <c r="F7459" s="315" t="s">
        <v>26</v>
      </c>
      <c r="G7459" s="308"/>
      <c r="H7459" s="308" t="s">
        <v>29722</v>
      </c>
      <c r="I7459" s="314">
        <v>43054.0</v>
      </c>
      <c r="J7459" s="319">
        <f>IFERROR(__xludf.DUMMYFUNCTION("SPLIT(I7459,""/"")"),15.0)</f>
        <v>15</v>
      </c>
      <c r="K7459" s="308">
        <f>IFERROR(__xludf.DUMMYFUNCTION("""COMPUTED_VALUE"""),11.0)</f>
        <v>11</v>
      </c>
      <c r="L7459" s="308">
        <f>IFERROR(__xludf.DUMMYFUNCTION("""COMPUTED_VALUE"""),2017.0)</f>
        <v>2017</v>
      </c>
      <c r="M7459" s="308" t="s">
        <v>29503</v>
      </c>
      <c r="N7459" s="308"/>
      <c r="O7459" s="308"/>
      <c r="P7459" s="308" t="s">
        <v>39667</v>
      </c>
      <c r="Q7459" s="308" t="s">
        <v>39573</v>
      </c>
      <c r="R7459" s="308"/>
      <c r="S7459" s="308" t="s">
        <v>81</v>
      </c>
      <c r="T7459" s="308" t="s">
        <v>75</v>
      </c>
      <c r="U7459" s="308" t="s">
        <v>27</v>
      </c>
      <c r="V7459" s="308"/>
    </row>
    <row r="7460">
      <c r="A7460" s="308"/>
      <c r="B7460" s="308"/>
      <c r="C7460" s="308" t="s">
        <v>29724</v>
      </c>
      <c r="D7460" s="308">
        <f>IFERROR(__xludf.DUMMYFUNCTION("SPLIT(C7460,""-"")"),7480.0)</f>
        <v>7480</v>
      </c>
      <c r="E7460" s="308" t="str">
        <f>IFERROR(__xludf.DUMMYFUNCTION("""COMPUTED_VALUE"""),"B")</f>
        <v>B</v>
      </c>
      <c r="F7460" s="315" t="s">
        <v>26</v>
      </c>
      <c r="G7460" s="308"/>
      <c r="H7460" s="308" t="s">
        <v>29725</v>
      </c>
      <c r="I7460" s="314">
        <v>43054.0</v>
      </c>
      <c r="J7460" s="319">
        <f>IFERROR(__xludf.DUMMYFUNCTION("SPLIT(I7460,""/"")"),15.0)</f>
        <v>15</v>
      </c>
      <c r="K7460" s="308">
        <f>IFERROR(__xludf.DUMMYFUNCTION("""COMPUTED_VALUE"""),11.0)</f>
        <v>11</v>
      </c>
      <c r="L7460" s="308">
        <f>IFERROR(__xludf.DUMMYFUNCTION("""COMPUTED_VALUE"""),2017.0)</f>
        <v>2017</v>
      </c>
      <c r="M7460" s="308" t="s">
        <v>29277</v>
      </c>
      <c r="N7460" s="308"/>
      <c r="O7460" s="308"/>
      <c r="P7460" s="308" t="s">
        <v>39668</v>
      </c>
      <c r="Q7460" s="308" t="s">
        <v>39573</v>
      </c>
      <c r="R7460" s="308"/>
      <c r="S7460" s="308" t="s">
        <v>81</v>
      </c>
      <c r="T7460" s="308" t="s">
        <v>75</v>
      </c>
      <c r="U7460" s="308" t="s">
        <v>27</v>
      </c>
      <c r="V7460" s="308"/>
    </row>
    <row r="7461">
      <c r="A7461" s="308"/>
      <c r="B7461" s="308"/>
      <c r="C7461" s="308" t="s">
        <v>29727</v>
      </c>
      <c r="D7461" s="308">
        <f>IFERROR(__xludf.DUMMYFUNCTION("SPLIT(C7461,""-"")"),7481.0)</f>
        <v>7481</v>
      </c>
      <c r="E7461" s="308" t="str">
        <f>IFERROR(__xludf.DUMMYFUNCTION("""COMPUTED_VALUE"""),"B")</f>
        <v>B</v>
      </c>
      <c r="F7461" s="315" t="s">
        <v>26</v>
      </c>
      <c r="G7461" s="308"/>
      <c r="H7461" s="308" t="s">
        <v>29728</v>
      </c>
      <c r="I7461" s="314">
        <v>43054.0</v>
      </c>
      <c r="J7461" s="319">
        <f>IFERROR(__xludf.DUMMYFUNCTION("SPLIT(I7461,""/"")"),15.0)</f>
        <v>15</v>
      </c>
      <c r="K7461" s="308">
        <f>IFERROR(__xludf.DUMMYFUNCTION("""COMPUTED_VALUE"""),11.0)</f>
        <v>11</v>
      </c>
      <c r="L7461" s="308">
        <f>IFERROR(__xludf.DUMMYFUNCTION("""COMPUTED_VALUE"""),2017.0)</f>
        <v>2017</v>
      </c>
      <c r="M7461" s="308" t="s">
        <v>29729</v>
      </c>
      <c r="N7461" s="308"/>
      <c r="O7461" s="308"/>
      <c r="P7461" s="308" t="s">
        <v>39669</v>
      </c>
      <c r="Q7461" s="308" t="s">
        <v>39573</v>
      </c>
      <c r="R7461" s="308"/>
      <c r="S7461" s="308" t="s">
        <v>81</v>
      </c>
      <c r="T7461" s="308" t="s">
        <v>75</v>
      </c>
      <c r="U7461" s="308" t="s">
        <v>27</v>
      </c>
      <c r="V7461" s="308"/>
    </row>
    <row r="7462">
      <c r="A7462" s="308"/>
      <c r="B7462" s="308"/>
      <c r="C7462" s="308" t="s">
        <v>29731</v>
      </c>
      <c r="D7462" s="308">
        <f>IFERROR(__xludf.DUMMYFUNCTION("SPLIT(C7462,""-"")"),7482.0)</f>
        <v>7482</v>
      </c>
      <c r="E7462" s="308" t="str">
        <f>IFERROR(__xludf.DUMMYFUNCTION("""COMPUTED_VALUE"""),"B")</f>
        <v>B</v>
      </c>
      <c r="F7462" s="315" t="s">
        <v>26</v>
      </c>
      <c r="G7462" s="308"/>
      <c r="H7462" s="308" t="s">
        <v>29732</v>
      </c>
      <c r="I7462" s="314">
        <v>43053.0</v>
      </c>
      <c r="J7462" s="319">
        <f>IFERROR(__xludf.DUMMYFUNCTION("SPLIT(I7462,""/"")"),14.0)</f>
        <v>14</v>
      </c>
      <c r="K7462" s="308">
        <f>IFERROR(__xludf.DUMMYFUNCTION("""COMPUTED_VALUE"""),11.0)</f>
        <v>11</v>
      </c>
      <c r="L7462" s="308">
        <f>IFERROR(__xludf.DUMMYFUNCTION("""COMPUTED_VALUE"""),2017.0)</f>
        <v>2017</v>
      </c>
      <c r="M7462" s="308" t="s">
        <v>29363</v>
      </c>
      <c r="N7462" s="308"/>
      <c r="O7462" s="308"/>
      <c r="P7462" s="308" t="s">
        <v>136</v>
      </c>
      <c r="Q7462" s="308" t="s">
        <v>39573</v>
      </c>
      <c r="R7462" s="308"/>
      <c r="S7462" s="315" t="s">
        <v>100</v>
      </c>
      <c r="T7462" s="308" t="s">
        <v>34208</v>
      </c>
      <c r="U7462" s="308" t="s">
        <v>27</v>
      </c>
      <c r="V7462" s="308"/>
    </row>
    <row r="7463">
      <c r="A7463" s="308"/>
      <c r="B7463" s="308"/>
      <c r="C7463" s="308" t="s">
        <v>29733</v>
      </c>
      <c r="D7463" s="308">
        <f>IFERROR(__xludf.DUMMYFUNCTION("SPLIT(C7463,""-"")"),7483.0)</f>
        <v>7483</v>
      </c>
      <c r="E7463" s="308" t="str">
        <f>IFERROR(__xludf.DUMMYFUNCTION("""COMPUTED_VALUE"""),"B")</f>
        <v>B</v>
      </c>
      <c r="F7463" s="315" t="s">
        <v>26</v>
      </c>
      <c r="G7463" s="308"/>
      <c r="H7463" s="308" t="s">
        <v>29734</v>
      </c>
      <c r="I7463" s="314">
        <v>43053.0</v>
      </c>
      <c r="J7463" s="319">
        <f>IFERROR(__xludf.DUMMYFUNCTION("SPLIT(I7463,""/"")"),14.0)</f>
        <v>14</v>
      </c>
      <c r="K7463" s="308">
        <f>IFERROR(__xludf.DUMMYFUNCTION("""COMPUTED_VALUE"""),11.0)</f>
        <v>11</v>
      </c>
      <c r="L7463" s="308">
        <f>IFERROR(__xludf.DUMMYFUNCTION("""COMPUTED_VALUE"""),2017.0)</f>
        <v>2017</v>
      </c>
      <c r="M7463" s="308" t="s">
        <v>29363</v>
      </c>
      <c r="N7463" s="308"/>
      <c r="O7463" s="308"/>
      <c r="P7463" s="308" t="s">
        <v>39670</v>
      </c>
      <c r="Q7463" s="308" t="s">
        <v>39573</v>
      </c>
      <c r="R7463" s="308"/>
      <c r="S7463" s="308" t="s">
        <v>81</v>
      </c>
      <c r="T7463" s="308" t="s">
        <v>75</v>
      </c>
      <c r="U7463" s="308" t="s">
        <v>27</v>
      </c>
      <c r="V7463" s="308"/>
    </row>
    <row r="7464">
      <c r="A7464" s="308"/>
      <c r="B7464" s="308"/>
      <c r="C7464" s="308" t="s">
        <v>29736</v>
      </c>
      <c r="D7464" s="308">
        <f>IFERROR(__xludf.DUMMYFUNCTION("SPLIT(C7464,""-"")"),7484.0)</f>
        <v>7484</v>
      </c>
      <c r="E7464" s="308" t="str">
        <f>IFERROR(__xludf.DUMMYFUNCTION("""COMPUTED_VALUE"""),"B")</f>
        <v>B</v>
      </c>
      <c r="F7464" s="315" t="s">
        <v>26</v>
      </c>
      <c r="G7464" s="308"/>
      <c r="H7464" s="308" t="s">
        <v>29737</v>
      </c>
      <c r="I7464" s="314">
        <v>43060.0</v>
      </c>
      <c r="J7464" s="319">
        <f>IFERROR(__xludf.DUMMYFUNCTION("SPLIT(I7464,""/"")"),21.0)</f>
        <v>21</v>
      </c>
      <c r="K7464" s="308">
        <f>IFERROR(__xludf.DUMMYFUNCTION("""COMPUTED_VALUE"""),11.0)</f>
        <v>11</v>
      </c>
      <c r="L7464" s="308">
        <f>IFERROR(__xludf.DUMMYFUNCTION("""COMPUTED_VALUE"""),2017.0)</f>
        <v>2017</v>
      </c>
      <c r="M7464" s="308" t="s">
        <v>29738</v>
      </c>
      <c r="N7464" s="308"/>
      <c r="O7464" s="308"/>
      <c r="P7464" s="308" t="s">
        <v>39671</v>
      </c>
      <c r="Q7464" s="308" t="s">
        <v>39573</v>
      </c>
      <c r="R7464" s="308"/>
      <c r="S7464" s="308" t="s">
        <v>81</v>
      </c>
      <c r="T7464" s="308" t="s">
        <v>75</v>
      </c>
      <c r="U7464" s="308" t="s">
        <v>27</v>
      </c>
      <c r="V7464" s="308"/>
    </row>
    <row r="7465">
      <c r="A7465" s="308"/>
      <c r="B7465" s="308"/>
      <c r="C7465" s="308" t="s">
        <v>29740</v>
      </c>
      <c r="D7465" s="308">
        <f>IFERROR(__xludf.DUMMYFUNCTION("SPLIT(C7465,""-"")"),7485.0)</f>
        <v>7485</v>
      </c>
      <c r="E7465" s="308" t="str">
        <f>IFERROR(__xludf.DUMMYFUNCTION("""COMPUTED_VALUE"""),"B")</f>
        <v>B</v>
      </c>
      <c r="F7465" s="315" t="s">
        <v>26</v>
      </c>
      <c r="G7465" s="308"/>
      <c r="H7465" s="308" t="s">
        <v>29741</v>
      </c>
      <c r="I7465" s="314">
        <v>43058.0</v>
      </c>
      <c r="J7465" s="319">
        <f>IFERROR(__xludf.DUMMYFUNCTION("SPLIT(I7465,""/"")"),19.0)</f>
        <v>19</v>
      </c>
      <c r="K7465" s="308">
        <f>IFERROR(__xludf.DUMMYFUNCTION("""COMPUTED_VALUE"""),11.0)</f>
        <v>11</v>
      </c>
      <c r="L7465" s="308">
        <f>IFERROR(__xludf.DUMMYFUNCTION("""COMPUTED_VALUE"""),2017.0)</f>
        <v>2017</v>
      </c>
      <c r="M7465" s="308" t="s">
        <v>29336</v>
      </c>
      <c r="N7465" s="308"/>
      <c r="O7465" s="308"/>
      <c r="P7465" s="308" t="s">
        <v>136</v>
      </c>
      <c r="Q7465" s="308" t="s">
        <v>39573</v>
      </c>
      <c r="R7465" s="308"/>
      <c r="S7465" s="315" t="s">
        <v>100</v>
      </c>
      <c r="T7465" s="308" t="s">
        <v>34208</v>
      </c>
      <c r="U7465" s="308" t="s">
        <v>27</v>
      </c>
      <c r="V7465" s="308"/>
    </row>
    <row r="7466">
      <c r="A7466" s="308"/>
      <c r="B7466" s="308"/>
      <c r="C7466" s="308" t="s">
        <v>29742</v>
      </c>
      <c r="D7466" s="308">
        <f>IFERROR(__xludf.DUMMYFUNCTION("SPLIT(C7466,""-"")"),7486.0)</f>
        <v>7486</v>
      </c>
      <c r="E7466" s="308" t="str">
        <f>IFERROR(__xludf.DUMMYFUNCTION("""COMPUTED_VALUE"""),"B")</f>
        <v>B</v>
      </c>
      <c r="F7466" s="315" t="s">
        <v>26</v>
      </c>
      <c r="G7466" s="308"/>
      <c r="H7466" s="308" t="s">
        <v>29743</v>
      </c>
      <c r="I7466" s="314">
        <v>43058.0</v>
      </c>
      <c r="J7466" s="319">
        <f>IFERROR(__xludf.DUMMYFUNCTION("SPLIT(I7466,""/"")"),19.0)</f>
        <v>19</v>
      </c>
      <c r="K7466" s="308">
        <f>IFERROR(__xludf.DUMMYFUNCTION("""COMPUTED_VALUE"""),11.0)</f>
        <v>11</v>
      </c>
      <c r="L7466" s="308">
        <f>IFERROR(__xludf.DUMMYFUNCTION("""COMPUTED_VALUE"""),2017.0)</f>
        <v>2017</v>
      </c>
      <c r="M7466" s="308" t="s">
        <v>29336</v>
      </c>
      <c r="N7466" s="308"/>
      <c r="O7466" s="308"/>
      <c r="P7466" s="308" t="s">
        <v>136</v>
      </c>
      <c r="Q7466" s="308" t="s">
        <v>39573</v>
      </c>
      <c r="R7466" s="308"/>
      <c r="S7466" s="315" t="s">
        <v>100</v>
      </c>
      <c r="T7466" s="308" t="s">
        <v>34208</v>
      </c>
      <c r="U7466" s="308" t="s">
        <v>27</v>
      </c>
      <c r="V7466" s="308"/>
    </row>
    <row r="7467">
      <c r="A7467" s="308"/>
      <c r="B7467" s="308"/>
      <c r="C7467" s="308" t="s">
        <v>29744</v>
      </c>
      <c r="D7467" s="308">
        <f>IFERROR(__xludf.DUMMYFUNCTION("SPLIT(C7467,""-"")"),7487.0)</f>
        <v>7487</v>
      </c>
      <c r="E7467" s="308" t="str">
        <f>IFERROR(__xludf.DUMMYFUNCTION("""COMPUTED_VALUE"""),"B")</f>
        <v>B</v>
      </c>
      <c r="F7467" s="315" t="s">
        <v>26</v>
      </c>
      <c r="G7467" s="308"/>
      <c r="H7467" s="308" t="s">
        <v>29745</v>
      </c>
      <c r="I7467" s="314">
        <v>43057.0</v>
      </c>
      <c r="J7467" s="319">
        <f>IFERROR(__xludf.DUMMYFUNCTION("SPLIT(I7467,""/"")"),18.0)</f>
        <v>18</v>
      </c>
      <c r="K7467" s="308">
        <f>IFERROR(__xludf.DUMMYFUNCTION("""COMPUTED_VALUE"""),11.0)</f>
        <v>11</v>
      </c>
      <c r="L7467" s="308">
        <f>IFERROR(__xludf.DUMMYFUNCTION("""COMPUTED_VALUE"""),2017.0)</f>
        <v>2017</v>
      </c>
      <c r="M7467" s="308" t="s">
        <v>29746</v>
      </c>
      <c r="N7467" s="308"/>
      <c r="O7467" s="308"/>
      <c r="P7467" s="308" t="s">
        <v>39672</v>
      </c>
      <c r="Q7467" s="308" t="s">
        <v>39573</v>
      </c>
      <c r="R7467" s="308"/>
      <c r="S7467" s="308" t="s">
        <v>81</v>
      </c>
      <c r="T7467" s="308" t="s">
        <v>75</v>
      </c>
      <c r="U7467" s="308" t="s">
        <v>27</v>
      </c>
      <c r="V7467" s="308"/>
    </row>
    <row r="7468">
      <c r="A7468" s="308"/>
      <c r="B7468" s="308"/>
      <c r="C7468" s="308" t="s">
        <v>29748</v>
      </c>
      <c r="D7468" s="308">
        <f>IFERROR(__xludf.DUMMYFUNCTION("SPLIT(C7468,""-"")"),7488.0)</f>
        <v>7488</v>
      </c>
      <c r="E7468" s="308" t="str">
        <f>IFERROR(__xludf.DUMMYFUNCTION("""COMPUTED_VALUE"""),"B")</f>
        <v>B</v>
      </c>
      <c r="F7468" s="315" t="s">
        <v>26</v>
      </c>
      <c r="G7468" s="308"/>
      <c r="H7468" s="308" t="s">
        <v>29749</v>
      </c>
      <c r="I7468" s="314">
        <v>43057.0</v>
      </c>
      <c r="J7468" s="319">
        <f>IFERROR(__xludf.DUMMYFUNCTION("SPLIT(I7468,""/"")"),18.0)</f>
        <v>18</v>
      </c>
      <c r="K7468" s="308">
        <f>IFERROR(__xludf.DUMMYFUNCTION("""COMPUTED_VALUE"""),11.0)</f>
        <v>11</v>
      </c>
      <c r="L7468" s="308">
        <f>IFERROR(__xludf.DUMMYFUNCTION("""COMPUTED_VALUE"""),2017.0)</f>
        <v>2017</v>
      </c>
      <c r="M7468" s="308" t="s">
        <v>29746</v>
      </c>
      <c r="N7468" s="308"/>
      <c r="O7468" s="308"/>
      <c r="P7468" s="308" t="s">
        <v>136</v>
      </c>
      <c r="Q7468" s="308" t="s">
        <v>39573</v>
      </c>
      <c r="R7468" s="308"/>
      <c r="S7468" s="315" t="s">
        <v>100</v>
      </c>
      <c r="T7468" s="308" t="s">
        <v>34208</v>
      </c>
      <c r="U7468" s="308" t="s">
        <v>27</v>
      </c>
      <c r="V7468" s="308"/>
    </row>
    <row r="7469">
      <c r="A7469" s="308"/>
      <c r="B7469" s="308"/>
      <c r="C7469" s="308" t="s">
        <v>29750</v>
      </c>
      <c r="D7469" s="308">
        <f>IFERROR(__xludf.DUMMYFUNCTION("SPLIT(C7469,""-"")"),7489.0)</f>
        <v>7489</v>
      </c>
      <c r="E7469" s="308" t="str">
        <f>IFERROR(__xludf.DUMMYFUNCTION("""COMPUTED_VALUE"""),"B")</f>
        <v>B</v>
      </c>
      <c r="F7469" s="315" t="s">
        <v>26</v>
      </c>
      <c r="G7469" s="308"/>
      <c r="H7469" s="308" t="s">
        <v>29751</v>
      </c>
      <c r="I7469" s="314">
        <v>43057.0</v>
      </c>
      <c r="J7469" s="319">
        <f>IFERROR(__xludf.DUMMYFUNCTION("SPLIT(I7469,""/"")"),18.0)</f>
        <v>18</v>
      </c>
      <c r="K7469" s="308">
        <f>IFERROR(__xludf.DUMMYFUNCTION("""COMPUTED_VALUE"""),11.0)</f>
        <v>11</v>
      </c>
      <c r="L7469" s="308">
        <f>IFERROR(__xludf.DUMMYFUNCTION("""COMPUTED_VALUE"""),2017.0)</f>
        <v>2017</v>
      </c>
      <c r="M7469" s="308" t="s">
        <v>29019</v>
      </c>
      <c r="N7469" s="308"/>
      <c r="O7469" s="308"/>
      <c r="P7469" s="308" t="s">
        <v>39673</v>
      </c>
      <c r="Q7469" s="308" t="s">
        <v>39573</v>
      </c>
      <c r="R7469" s="308"/>
      <c r="S7469" s="308" t="s">
        <v>81</v>
      </c>
      <c r="T7469" s="308" t="s">
        <v>75</v>
      </c>
      <c r="U7469" s="308" t="s">
        <v>27</v>
      </c>
      <c r="V7469" s="308"/>
    </row>
    <row r="7470">
      <c r="A7470" s="308"/>
      <c r="B7470" s="308"/>
      <c r="C7470" s="308" t="s">
        <v>29753</v>
      </c>
      <c r="D7470" s="308">
        <f>IFERROR(__xludf.DUMMYFUNCTION("SPLIT(C7470,""-"")"),7490.0)</f>
        <v>7490</v>
      </c>
      <c r="E7470" s="308" t="str">
        <f>IFERROR(__xludf.DUMMYFUNCTION("""COMPUTED_VALUE"""),"B")</f>
        <v>B</v>
      </c>
      <c r="F7470" s="315" t="s">
        <v>26</v>
      </c>
      <c r="G7470" s="308"/>
      <c r="H7470" s="308" t="s">
        <v>29754</v>
      </c>
      <c r="I7470" s="314">
        <v>43057.0</v>
      </c>
      <c r="J7470" s="319">
        <f>IFERROR(__xludf.DUMMYFUNCTION("SPLIT(I7470,""/"")"),18.0)</f>
        <v>18</v>
      </c>
      <c r="K7470" s="308">
        <f>IFERROR(__xludf.DUMMYFUNCTION("""COMPUTED_VALUE"""),11.0)</f>
        <v>11</v>
      </c>
      <c r="L7470" s="308">
        <f>IFERROR(__xludf.DUMMYFUNCTION("""COMPUTED_VALUE"""),2017.0)</f>
        <v>2017</v>
      </c>
      <c r="M7470" s="308" t="s">
        <v>29019</v>
      </c>
      <c r="N7470" s="308"/>
      <c r="O7470" s="308"/>
      <c r="P7470" s="308" t="s">
        <v>39674</v>
      </c>
      <c r="Q7470" s="308" t="s">
        <v>39573</v>
      </c>
      <c r="R7470" s="308"/>
      <c r="S7470" s="308" t="s">
        <v>81</v>
      </c>
      <c r="T7470" s="308" t="s">
        <v>75</v>
      </c>
      <c r="U7470" s="308" t="s">
        <v>27</v>
      </c>
      <c r="V7470" s="308"/>
    </row>
    <row r="7471">
      <c r="A7471" s="308"/>
      <c r="B7471" s="308"/>
      <c r="C7471" s="308" t="s">
        <v>29756</v>
      </c>
      <c r="D7471" s="308">
        <f>IFERROR(__xludf.DUMMYFUNCTION("SPLIT(C7471,""-"")"),7491.0)</f>
        <v>7491</v>
      </c>
      <c r="E7471" s="308" t="str">
        <f>IFERROR(__xludf.DUMMYFUNCTION("""COMPUTED_VALUE"""),"B")</f>
        <v>B</v>
      </c>
      <c r="F7471" s="315" t="s">
        <v>26</v>
      </c>
      <c r="G7471" s="308"/>
      <c r="H7471" s="308" t="s">
        <v>29757</v>
      </c>
      <c r="I7471" s="314">
        <v>43057.0</v>
      </c>
      <c r="J7471" s="319">
        <f>IFERROR(__xludf.DUMMYFUNCTION("SPLIT(I7471,""/"")"),18.0)</f>
        <v>18</v>
      </c>
      <c r="K7471" s="308">
        <f>IFERROR(__xludf.DUMMYFUNCTION("""COMPUTED_VALUE"""),11.0)</f>
        <v>11</v>
      </c>
      <c r="L7471" s="308">
        <f>IFERROR(__xludf.DUMMYFUNCTION("""COMPUTED_VALUE"""),2017.0)</f>
        <v>2017</v>
      </c>
      <c r="M7471" s="308" t="s">
        <v>29019</v>
      </c>
      <c r="N7471" s="308"/>
      <c r="O7471" s="308"/>
      <c r="P7471" s="308" t="s">
        <v>39675</v>
      </c>
      <c r="Q7471" s="308" t="s">
        <v>39573</v>
      </c>
      <c r="R7471" s="308"/>
      <c r="S7471" s="308" t="s">
        <v>81</v>
      </c>
      <c r="T7471" s="308" t="s">
        <v>75</v>
      </c>
      <c r="U7471" s="308" t="s">
        <v>27</v>
      </c>
      <c r="V7471" s="308"/>
    </row>
    <row r="7472">
      <c r="A7472" s="308"/>
      <c r="B7472" s="308"/>
      <c r="C7472" s="308" t="s">
        <v>29759</v>
      </c>
      <c r="D7472" s="308">
        <f>IFERROR(__xludf.DUMMYFUNCTION("SPLIT(C7472,""-"")"),7492.0)</f>
        <v>7492</v>
      </c>
      <c r="E7472" s="308" t="str">
        <f>IFERROR(__xludf.DUMMYFUNCTION("""COMPUTED_VALUE"""),"B")</f>
        <v>B</v>
      </c>
      <c r="F7472" s="315" t="s">
        <v>26</v>
      </c>
      <c r="G7472" s="308"/>
      <c r="H7472" s="308" t="s">
        <v>29760</v>
      </c>
      <c r="I7472" s="314">
        <v>43057.0</v>
      </c>
      <c r="J7472" s="319">
        <f>IFERROR(__xludf.DUMMYFUNCTION("SPLIT(I7472,""/"")"),18.0)</f>
        <v>18</v>
      </c>
      <c r="K7472" s="308">
        <f>IFERROR(__xludf.DUMMYFUNCTION("""COMPUTED_VALUE"""),11.0)</f>
        <v>11</v>
      </c>
      <c r="L7472" s="308">
        <f>IFERROR(__xludf.DUMMYFUNCTION("""COMPUTED_VALUE"""),2017.0)</f>
        <v>2017</v>
      </c>
      <c r="M7472" s="308" t="s">
        <v>29019</v>
      </c>
      <c r="N7472" s="308"/>
      <c r="O7472" s="308"/>
      <c r="P7472" s="308" t="s">
        <v>39676</v>
      </c>
      <c r="Q7472" s="308" t="s">
        <v>39573</v>
      </c>
      <c r="R7472" s="308"/>
      <c r="S7472" s="308" t="s">
        <v>81</v>
      </c>
      <c r="T7472" s="308" t="s">
        <v>75</v>
      </c>
      <c r="U7472" s="308" t="s">
        <v>27</v>
      </c>
      <c r="V7472" s="308"/>
    </row>
    <row r="7473">
      <c r="A7473" s="308"/>
      <c r="B7473" s="308"/>
      <c r="C7473" s="308" t="s">
        <v>29762</v>
      </c>
      <c r="D7473" s="308">
        <f>IFERROR(__xludf.DUMMYFUNCTION("SPLIT(C7473,""-"")"),7493.0)</f>
        <v>7493</v>
      </c>
      <c r="E7473" s="308" t="str">
        <f>IFERROR(__xludf.DUMMYFUNCTION("""COMPUTED_VALUE"""),"B")</f>
        <v>B</v>
      </c>
      <c r="F7473" s="315" t="s">
        <v>26</v>
      </c>
      <c r="G7473" s="308"/>
      <c r="H7473" s="308" t="s">
        <v>29763</v>
      </c>
      <c r="I7473" s="314">
        <v>43057.0</v>
      </c>
      <c r="J7473" s="319">
        <f>IFERROR(__xludf.DUMMYFUNCTION("SPLIT(I7473,""/"")"),18.0)</f>
        <v>18</v>
      </c>
      <c r="K7473" s="308">
        <f>IFERROR(__xludf.DUMMYFUNCTION("""COMPUTED_VALUE"""),11.0)</f>
        <v>11</v>
      </c>
      <c r="L7473" s="308">
        <f>IFERROR(__xludf.DUMMYFUNCTION("""COMPUTED_VALUE"""),2017.0)</f>
        <v>2017</v>
      </c>
      <c r="M7473" s="308" t="s">
        <v>29019</v>
      </c>
      <c r="N7473" s="308"/>
      <c r="O7473" s="308"/>
      <c r="P7473" s="308" t="s">
        <v>39677</v>
      </c>
      <c r="Q7473" s="308" t="s">
        <v>39573</v>
      </c>
      <c r="R7473" s="308"/>
      <c r="S7473" s="308" t="s">
        <v>81</v>
      </c>
      <c r="T7473" s="308" t="s">
        <v>75</v>
      </c>
      <c r="U7473" s="308" t="s">
        <v>27</v>
      </c>
      <c r="V7473" s="308"/>
    </row>
    <row r="7474">
      <c r="A7474" s="308"/>
      <c r="B7474" s="308"/>
      <c r="C7474" s="308" t="s">
        <v>29765</v>
      </c>
      <c r="D7474" s="308">
        <f>IFERROR(__xludf.DUMMYFUNCTION("SPLIT(C7474,""-"")"),7494.0)</f>
        <v>7494</v>
      </c>
      <c r="E7474" s="308" t="str">
        <f>IFERROR(__xludf.DUMMYFUNCTION("""COMPUTED_VALUE"""),"B")</f>
        <v>B</v>
      </c>
      <c r="F7474" s="315" t="s">
        <v>26</v>
      </c>
      <c r="G7474" s="308"/>
      <c r="H7474" s="308" t="s">
        <v>29766</v>
      </c>
      <c r="I7474" s="314">
        <v>43421.0</v>
      </c>
      <c r="J7474" s="319">
        <f>IFERROR(__xludf.DUMMYFUNCTION("SPLIT(I7474,""/"")"),17.0)</f>
        <v>17</v>
      </c>
      <c r="K7474" s="308">
        <f>IFERROR(__xludf.DUMMYFUNCTION("""COMPUTED_VALUE"""),11.0)</f>
        <v>11</v>
      </c>
      <c r="L7474" s="308">
        <f>IFERROR(__xludf.DUMMYFUNCTION("""COMPUTED_VALUE"""),2018.0)</f>
        <v>2018</v>
      </c>
      <c r="M7474" s="308" t="s">
        <v>29767</v>
      </c>
      <c r="N7474" s="308"/>
      <c r="O7474" s="308"/>
      <c r="P7474" s="308" t="s">
        <v>39678</v>
      </c>
      <c r="Q7474" s="308" t="s">
        <v>39573</v>
      </c>
      <c r="R7474" s="308"/>
      <c r="S7474" s="308" t="s">
        <v>81</v>
      </c>
      <c r="T7474" s="308" t="s">
        <v>75</v>
      </c>
      <c r="U7474" s="308" t="s">
        <v>27</v>
      </c>
      <c r="V7474" s="308"/>
    </row>
    <row r="7475">
      <c r="A7475" s="308"/>
      <c r="B7475" s="308"/>
      <c r="C7475" s="308" t="s">
        <v>29769</v>
      </c>
      <c r="D7475" s="308">
        <f>IFERROR(__xludf.DUMMYFUNCTION("SPLIT(C7475,""-"")"),7495.0)</f>
        <v>7495</v>
      </c>
      <c r="E7475" s="308" t="str">
        <f>IFERROR(__xludf.DUMMYFUNCTION("""COMPUTED_VALUE"""),"B")</f>
        <v>B</v>
      </c>
      <c r="F7475" s="315" t="s">
        <v>26</v>
      </c>
      <c r="G7475" s="308"/>
      <c r="H7475" s="308" t="s">
        <v>29770</v>
      </c>
      <c r="I7475" s="314">
        <v>43421.0</v>
      </c>
      <c r="J7475" s="319">
        <f>IFERROR(__xludf.DUMMYFUNCTION("SPLIT(I7475,""/"")"),17.0)</f>
        <v>17</v>
      </c>
      <c r="K7475" s="308">
        <f>IFERROR(__xludf.DUMMYFUNCTION("""COMPUTED_VALUE"""),11.0)</f>
        <v>11</v>
      </c>
      <c r="L7475" s="308">
        <f>IFERROR(__xludf.DUMMYFUNCTION("""COMPUTED_VALUE"""),2018.0)</f>
        <v>2018</v>
      </c>
      <c r="M7475" s="308" t="s">
        <v>29767</v>
      </c>
      <c r="N7475" s="308"/>
      <c r="O7475" s="308"/>
      <c r="P7475" s="308" t="s">
        <v>39679</v>
      </c>
      <c r="Q7475" s="308" t="s">
        <v>39573</v>
      </c>
      <c r="R7475" s="308"/>
      <c r="S7475" s="308" t="s">
        <v>81</v>
      </c>
      <c r="T7475" s="308" t="s">
        <v>75</v>
      </c>
      <c r="U7475" s="308" t="s">
        <v>27</v>
      </c>
      <c r="V7475" s="308"/>
    </row>
    <row r="7476">
      <c r="A7476" s="308"/>
      <c r="B7476" s="308"/>
      <c r="C7476" s="308" t="s">
        <v>29772</v>
      </c>
      <c r="D7476" s="308">
        <f>IFERROR(__xludf.DUMMYFUNCTION("SPLIT(C7476,""-"")"),7496.0)</f>
        <v>7496</v>
      </c>
      <c r="E7476" s="308" t="str">
        <f>IFERROR(__xludf.DUMMYFUNCTION("""COMPUTED_VALUE"""),"B")</f>
        <v>B</v>
      </c>
      <c r="F7476" s="315" t="s">
        <v>26</v>
      </c>
      <c r="G7476" s="308"/>
      <c r="H7476" s="308" t="s">
        <v>29773</v>
      </c>
      <c r="I7476" s="314">
        <v>43421.0</v>
      </c>
      <c r="J7476" s="319">
        <f>IFERROR(__xludf.DUMMYFUNCTION("SPLIT(I7476,""/"")"),17.0)</f>
        <v>17</v>
      </c>
      <c r="K7476" s="308">
        <f>IFERROR(__xludf.DUMMYFUNCTION("""COMPUTED_VALUE"""),11.0)</f>
        <v>11</v>
      </c>
      <c r="L7476" s="308">
        <f>IFERROR(__xludf.DUMMYFUNCTION("""COMPUTED_VALUE"""),2018.0)</f>
        <v>2018</v>
      </c>
      <c r="M7476" s="308" t="s">
        <v>29774</v>
      </c>
      <c r="N7476" s="308"/>
      <c r="O7476" s="308"/>
      <c r="P7476" s="308" t="s">
        <v>39680</v>
      </c>
      <c r="Q7476" s="308" t="s">
        <v>39573</v>
      </c>
      <c r="R7476" s="308"/>
      <c r="S7476" s="308" t="s">
        <v>81</v>
      </c>
      <c r="T7476" s="308" t="s">
        <v>75</v>
      </c>
      <c r="U7476" s="308" t="s">
        <v>27</v>
      </c>
      <c r="V7476" s="308"/>
    </row>
    <row r="7477">
      <c r="A7477" s="308"/>
      <c r="B7477" s="308"/>
      <c r="C7477" s="308" t="s">
        <v>29776</v>
      </c>
      <c r="D7477" s="308">
        <f>IFERROR(__xludf.DUMMYFUNCTION("SPLIT(C7477,""-"")"),7497.0)</f>
        <v>7497</v>
      </c>
      <c r="E7477" s="308" t="str">
        <f>IFERROR(__xludf.DUMMYFUNCTION("""COMPUTED_VALUE"""),"B")</f>
        <v>B</v>
      </c>
      <c r="F7477" s="315" t="s">
        <v>26</v>
      </c>
      <c r="G7477" s="308"/>
      <c r="H7477" s="308" t="s">
        <v>29777</v>
      </c>
      <c r="I7477" s="314">
        <v>43055.0</v>
      </c>
      <c r="J7477" s="319">
        <f>IFERROR(__xludf.DUMMYFUNCTION("SPLIT(I7477,""/"")"),16.0)</f>
        <v>16</v>
      </c>
      <c r="K7477" s="308">
        <f>IFERROR(__xludf.DUMMYFUNCTION("""COMPUTED_VALUE"""),11.0)</f>
        <v>11</v>
      </c>
      <c r="L7477" s="308">
        <f>IFERROR(__xludf.DUMMYFUNCTION("""COMPUTED_VALUE"""),2017.0)</f>
        <v>2017</v>
      </c>
      <c r="M7477" s="308" t="s">
        <v>28462</v>
      </c>
      <c r="N7477" s="308"/>
      <c r="O7477" s="308"/>
      <c r="P7477" s="308" t="s">
        <v>39681</v>
      </c>
      <c r="Q7477" s="308" t="s">
        <v>39573</v>
      </c>
      <c r="R7477" s="308"/>
      <c r="S7477" s="308" t="s">
        <v>81</v>
      </c>
      <c r="T7477" s="308" t="s">
        <v>75</v>
      </c>
      <c r="U7477" s="308" t="s">
        <v>27</v>
      </c>
      <c r="V7477" s="308"/>
    </row>
    <row r="7478">
      <c r="A7478" s="308"/>
      <c r="B7478" s="308"/>
      <c r="C7478" s="308" t="s">
        <v>29779</v>
      </c>
      <c r="D7478" s="308">
        <f>IFERROR(__xludf.DUMMYFUNCTION("SPLIT(C7478,""-"")"),7498.0)</f>
        <v>7498</v>
      </c>
      <c r="E7478" s="308" t="str">
        <f>IFERROR(__xludf.DUMMYFUNCTION("""COMPUTED_VALUE"""),"B")</f>
        <v>B</v>
      </c>
      <c r="F7478" s="315" t="s">
        <v>26</v>
      </c>
      <c r="G7478" s="308"/>
      <c r="H7478" s="308" t="s">
        <v>29780</v>
      </c>
      <c r="I7478" s="314">
        <v>43063.0</v>
      </c>
      <c r="J7478" s="319">
        <f>IFERROR(__xludf.DUMMYFUNCTION("SPLIT(I7478,""/"")"),24.0)</f>
        <v>24</v>
      </c>
      <c r="K7478" s="308">
        <f>IFERROR(__xludf.DUMMYFUNCTION("""COMPUTED_VALUE"""),11.0)</f>
        <v>11</v>
      </c>
      <c r="L7478" s="308">
        <f>IFERROR(__xludf.DUMMYFUNCTION("""COMPUTED_VALUE"""),2017.0)</f>
        <v>2017</v>
      </c>
      <c r="M7478" s="308" t="s">
        <v>29199</v>
      </c>
      <c r="N7478" s="308"/>
      <c r="O7478" s="308"/>
      <c r="P7478" s="308" t="s">
        <v>39682</v>
      </c>
      <c r="Q7478" s="308" t="s">
        <v>39573</v>
      </c>
      <c r="R7478" s="308"/>
      <c r="S7478" s="308" t="s">
        <v>81</v>
      </c>
      <c r="T7478" s="308" t="s">
        <v>75</v>
      </c>
      <c r="U7478" s="308" t="s">
        <v>27</v>
      </c>
      <c r="V7478" s="308"/>
    </row>
    <row r="7479">
      <c r="A7479" s="308"/>
      <c r="B7479" s="308"/>
      <c r="C7479" s="308" t="s">
        <v>29782</v>
      </c>
      <c r="D7479" s="308">
        <f>IFERROR(__xludf.DUMMYFUNCTION("SPLIT(C7479,""-"")"),7499.0)</f>
        <v>7499</v>
      </c>
      <c r="E7479" s="308" t="str">
        <f>IFERROR(__xludf.DUMMYFUNCTION("""COMPUTED_VALUE"""),"B")</f>
        <v>B</v>
      </c>
      <c r="F7479" s="315" t="s">
        <v>26</v>
      </c>
      <c r="G7479" s="308"/>
      <c r="H7479" s="308" t="s">
        <v>29783</v>
      </c>
      <c r="I7479" s="314">
        <v>43063.0</v>
      </c>
      <c r="J7479" s="319">
        <f>IFERROR(__xludf.DUMMYFUNCTION("SPLIT(I7479,""/"")"),24.0)</f>
        <v>24</v>
      </c>
      <c r="K7479" s="308">
        <f>IFERROR(__xludf.DUMMYFUNCTION("""COMPUTED_VALUE"""),11.0)</f>
        <v>11</v>
      </c>
      <c r="L7479" s="308">
        <f>IFERROR(__xludf.DUMMYFUNCTION("""COMPUTED_VALUE"""),2017.0)</f>
        <v>2017</v>
      </c>
      <c r="M7479" s="308" t="s">
        <v>29199</v>
      </c>
      <c r="N7479" s="308"/>
      <c r="O7479" s="308"/>
      <c r="P7479" s="308" t="s">
        <v>39683</v>
      </c>
      <c r="Q7479" s="308" t="s">
        <v>39573</v>
      </c>
      <c r="R7479" s="308"/>
      <c r="S7479" s="308" t="s">
        <v>81</v>
      </c>
      <c r="T7479" s="308" t="s">
        <v>75</v>
      </c>
      <c r="U7479" s="308" t="s">
        <v>27</v>
      </c>
      <c r="V7479" s="308"/>
    </row>
    <row r="7480">
      <c r="A7480" s="308"/>
      <c r="B7480" s="308"/>
      <c r="C7480" s="308" t="s">
        <v>29785</v>
      </c>
      <c r="D7480" s="308">
        <f>IFERROR(__xludf.DUMMYFUNCTION("SPLIT(C7480,""-"")"),7500.0)</f>
        <v>7500</v>
      </c>
      <c r="E7480" s="308" t="str">
        <f>IFERROR(__xludf.DUMMYFUNCTION("""COMPUTED_VALUE"""),"B")</f>
        <v>B</v>
      </c>
      <c r="F7480" s="315" t="s">
        <v>26</v>
      </c>
      <c r="G7480" s="308"/>
      <c r="H7480" s="308" t="s">
        <v>29786</v>
      </c>
      <c r="I7480" s="314">
        <v>43063.0</v>
      </c>
      <c r="J7480" s="319">
        <f>IFERROR(__xludf.DUMMYFUNCTION("SPLIT(I7480,""/"")"),24.0)</f>
        <v>24</v>
      </c>
      <c r="K7480" s="308">
        <f>IFERROR(__xludf.DUMMYFUNCTION("""COMPUTED_VALUE"""),11.0)</f>
        <v>11</v>
      </c>
      <c r="L7480" s="308">
        <f>IFERROR(__xludf.DUMMYFUNCTION("""COMPUTED_VALUE"""),2017.0)</f>
        <v>2017</v>
      </c>
      <c r="M7480" s="308" t="s">
        <v>29199</v>
      </c>
      <c r="N7480" s="308"/>
      <c r="O7480" s="308"/>
      <c r="P7480" s="308" t="s">
        <v>39684</v>
      </c>
      <c r="Q7480" s="308" t="s">
        <v>39573</v>
      </c>
      <c r="R7480" s="308"/>
      <c r="S7480" s="308" t="s">
        <v>81</v>
      </c>
      <c r="T7480" s="308" t="s">
        <v>75</v>
      </c>
      <c r="U7480" s="308" t="s">
        <v>27</v>
      </c>
      <c r="V7480" s="308"/>
    </row>
    <row r="7481">
      <c r="A7481" s="308"/>
      <c r="B7481" s="308"/>
      <c r="C7481" s="308" t="s">
        <v>29788</v>
      </c>
      <c r="D7481" s="308">
        <f>IFERROR(__xludf.DUMMYFUNCTION("SPLIT(C7481,""-"")"),7501.0)</f>
        <v>7501</v>
      </c>
      <c r="E7481" s="308" t="str">
        <f>IFERROR(__xludf.DUMMYFUNCTION("""COMPUTED_VALUE"""),"B")</f>
        <v>B</v>
      </c>
      <c r="F7481" s="315" t="s">
        <v>26</v>
      </c>
      <c r="G7481" s="308"/>
      <c r="H7481" s="308" t="s">
        <v>29789</v>
      </c>
      <c r="I7481" s="314">
        <v>43064.0</v>
      </c>
      <c r="J7481" s="319">
        <f>IFERROR(__xludf.DUMMYFUNCTION("SPLIT(I7481,""/"")"),25.0)</f>
        <v>25</v>
      </c>
      <c r="K7481" s="308">
        <f>IFERROR(__xludf.DUMMYFUNCTION("""COMPUTED_VALUE"""),11.0)</f>
        <v>11</v>
      </c>
      <c r="L7481" s="308">
        <f>IFERROR(__xludf.DUMMYFUNCTION("""COMPUTED_VALUE"""),2017.0)</f>
        <v>2017</v>
      </c>
      <c r="M7481" s="308" t="s">
        <v>28345</v>
      </c>
      <c r="N7481" s="308"/>
      <c r="O7481" s="308"/>
      <c r="P7481" s="308" t="s">
        <v>39685</v>
      </c>
      <c r="Q7481" s="308" t="s">
        <v>39573</v>
      </c>
      <c r="R7481" s="308"/>
      <c r="S7481" s="308" t="s">
        <v>81</v>
      </c>
      <c r="T7481" s="308" t="s">
        <v>75</v>
      </c>
      <c r="U7481" s="308" t="s">
        <v>27</v>
      </c>
      <c r="V7481" s="308"/>
    </row>
    <row r="7482">
      <c r="A7482" s="308"/>
      <c r="B7482" s="308"/>
      <c r="C7482" s="308" t="s">
        <v>29791</v>
      </c>
      <c r="D7482" s="308">
        <f>IFERROR(__xludf.DUMMYFUNCTION("SPLIT(C7482,""-"")"),7502.0)</f>
        <v>7502</v>
      </c>
      <c r="E7482" s="308" t="str">
        <f>IFERROR(__xludf.DUMMYFUNCTION("""COMPUTED_VALUE"""),"B")</f>
        <v>B</v>
      </c>
      <c r="F7482" s="315" t="s">
        <v>26</v>
      </c>
      <c r="G7482" s="308"/>
      <c r="H7482" s="308" t="s">
        <v>29792</v>
      </c>
      <c r="I7482" s="314">
        <v>43064.0</v>
      </c>
      <c r="J7482" s="319">
        <f>IFERROR(__xludf.DUMMYFUNCTION("SPLIT(I7482,""/"")"),25.0)</f>
        <v>25</v>
      </c>
      <c r="K7482" s="308">
        <f>IFERROR(__xludf.DUMMYFUNCTION("""COMPUTED_VALUE"""),11.0)</f>
        <v>11</v>
      </c>
      <c r="L7482" s="308">
        <f>IFERROR(__xludf.DUMMYFUNCTION("""COMPUTED_VALUE"""),2017.0)</f>
        <v>2017</v>
      </c>
      <c r="M7482" s="308" t="s">
        <v>29793</v>
      </c>
      <c r="N7482" s="308"/>
      <c r="O7482" s="308"/>
      <c r="P7482" s="308" t="s">
        <v>136</v>
      </c>
      <c r="Q7482" s="308" t="s">
        <v>39573</v>
      </c>
      <c r="R7482" s="308"/>
      <c r="S7482" s="315" t="s">
        <v>100</v>
      </c>
      <c r="T7482" s="308" t="s">
        <v>34208</v>
      </c>
      <c r="U7482" s="308" t="s">
        <v>27</v>
      </c>
      <c r="V7482" s="308"/>
    </row>
    <row r="7483">
      <c r="A7483" s="308"/>
      <c r="B7483" s="308"/>
      <c r="C7483" s="308" t="s">
        <v>29794</v>
      </c>
      <c r="D7483" s="308">
        <f>IFERROR(__xludf.DUMMYFUNCTION("SPLIT(C7483,""-"")"),7503.0)</f>
        <v>7503</v>
      </c>
      <c r="E7483" s="308" t="str">
        <f>IFERROR(__xludf.DUMMYFUNCTION("""COMPUTED_VALUE"""),"B")</f>
        <v>B</v>
      </c>
      <c r="F7483" s="315" t="s">
        <v>26</v>
      </c>
      <c r="G7483" s="308"/>
      <c r="H7483" s="308" t="s">
        <v>29795</v>
      </c>
      <c r="I7483" s="314">
        <v>43063.0</v>
      </c>
      <c r="J7483" s="319">
        <f>IFERROR(__xludf.DUMMYFUNCTION("SPLIT(I7483,""/"")"),24.0)</f>
        <v>24</v>
      </c>
      <c r="K7483" s="308">
        <f>IFERROR(__xludf.DUMMYFUNCTION("""COMPUTED_VALUE"""),11.0)</f>
        <v>11</v>
      </c>
      <c r="L7483" s="308">
        <f>IFERROR(__xludf.DUMMYFUNCTION("""COMPUTED_VALUE"""),2017.0)</f>
        <v>2017</v>
      </c>
      <c r="M7483" s="308" t="s">
        <v>29619</v>
      </c>
      <c r="N7483" s="308"/>
      <c r="O7483" s="308"/>
      <c r="P7483" s="308" t="s">
        <v>136</v>
      </c>
      <c r="Q7483" s="308" t="s">
        <v>39573</v>
      </c>
      <c r="R7483" s="308"/>
      <c r="S7483" s="315" t="s">
        <v>100</v>
      </c>
      <c r="T7483" s="308" t="s">
        <v>34208</v>
      </c>
      <c r="U7483" s="308" t="s">
        <v>27</v>
      </c>
      <c r="V7483" s="308"/>
    </row>
    <row r="7484">
      <c r="A7484" s="308"/>
      <c r="B7484" s="308"/>
      <c r="C7484" s="308" t="s">
        <v>29796</v>
      </c>
      <c r="D7484" s="308">
        <f>IFERROR(__xludf.DUMMYFUNCTION("SPLIT(C7484,""-"")"),7504.0)</f>
        <v>7504</v>
      </c>
      <c r="E7484" s="308" t="str">
        <f>IFERROR(__xludf.DUMMYFUNCTION("""COMPUTED_VALUE"""),"B")</f>
        <v>B</v>
      </c>
      <c r="F7484" s="315" t="s">
        <v>26</v>
      </c>
      <c r="G7484" s="308"/>
      <c r="H7484" s="308" t="s">
        <v>29797</v>
      </c>
      <c r="I7484" s="314">
        <v>43063.0</v>
      </c>
      <c r="J7484" s="319">
        <f>IFERROR(__xludf.DUMMYFUNCTION("SPLIT(I7484,""/"")"),24.0)</f>
        <v>24</v>
      </c>
      <c r="K7484" s="308">
        <f>IFERROR(__xludf.DUMMYFUNCTION("""COMPUTED_VALUE"""),11.0)</f>
        <v>11</v>
      </c>
      <c r="L7484" s="308">
        <f>IFERROR(__xludf.DUMMYFUNCTION("""COMPUTED_VALUE"""),2017.0)</f>
        <v>2017</v>
      </c>
      <c r="M7484" s="308" t="s">
        <v>29619</v>
      </c>
      <c r="N7484" s="308"/>
      <c r="O7484" s="308"/>
      <c r="P7484" s="308" t="s">
        <v>39686</v>
      </c>
      <c r="Q7484" s="308" t="s">
        <v>39573</v>
      </c>
      <c r="R7484" s="308"/>
      <c r="S7484" s="308" t="s">
        <v>81</v>
      </c>
      <c r="T7484" s="308" t="s">
        <v>75</v>
      </c>
      <c r="U7484" s="308" t="s">
        <v>27</v>
      </c>
      <c r="V7484" s="308"/>
    </row>
    <row r="7485">
      <c r="A7485" s="308"/>
      <c r="B7485" s="308"/>
      <c r="C7485" s="308" t="s">
        <v>29799</v>
      </c>
      <c r="D7485" s="308">
        <f>IFERROR(__xludf.DUMMYFUNCTION("SPLIT(C7485,""-"")"),7505.0)</f>
        <v>7505</v>
      </c>
      <c r="E7485" s="308" t="str">
        <f>IFERROR(__xludf.DUMMYFUNCTION("""COMPUTED_VALUE"""),"B")</f>
        <v>B</v>
      </c>
      <c r="F7485" s="315" t="s">
        <v>26</v>
      </c>
      <c r="G7485" s="308"/>
      <c r="H7485" s="308" t="s">
        <v>29800</v>
      </c>
      <c r="I7485" s="314">
        <v>43063.0</v>
      </c>
      <c r="J7485" s="319">
        <f>IFERROR(__xludf.DUMMYFUNCTION("SPLIT(I7485,""/"")"),24.0)</f>
        <v>24</v>
      </c>
      <c r="K7485" s="308">
        <f>IFERROR(__xludf.DUMMYFUNCTION("""COMPUTED_VALUE"""),11.0)</f>
        <v>11</v>
      </c>
      <c r="L7485" s="308">
        <f>IFERROR(__xludf.DUMMYFUNCTION("""COMPUTED_VALUE"""),2017.0)</f>
        <v>2017</v>
      </c>
      <c r="M7485" s="308" t="s">
        <v>29619</v>
      </c>
      <c r="N7485" s="308"/>
      <c r="O7485" s="308"/>
      <c r="P7485" s="308" t="s">
        <v>39687</v>
      </c>
      <c r="Q7485" s="308" t="s">
        <v>39573</v>
      </c>
      <c r="R7485" s="308"/>
      <c r="S7485" s="308" t="s">
        <v>81</v>
      </c>
      <c r="T7485" s="308" t="s">
        <v>75</v>
      </c>
      <c r="U7485" s="308" t="s">
        <v>27</v>
      </c>
      <c r="V7485" s="308"/>
    </row>
    <row r="7486">
      <c r="A7486" s="308"/>
      <c r="B7486" s="308"/>
      <c r="C7486" s="308" t="s">
        <v>29802</v>
      </c>
      <c r="D7486" s="308">
        <f>IFERROR(__xludf.DUMMYFUNCTION("SPLIT(C7486,""-"")"),7506.0)</f>
        <v>7506</v>
      </c>
      <c r="E7486" s="308" t="str">
        <f>IFERROR(__xludf.DUMMYFUNCTION("""COMPUTED_VALUE"""),"B")</f>
        <v>B</v>
      </c>
      <c r="F7486" s="315" t="s">
        <v>26</v>
      </c>
      <c r="G7486" s="308"/>
      <c r="H7486" s="308" t="s">
        <v>29803</v>
      </c>
      <c r="I7486" s="314">
        <v>43063.0</v>
      </c>
      <c r="J7486" s="319">
        <f>IFERROR(__xludf.DUMMYFUNCTION("SPLIT(I7486,""/"")"),24.0)</f>
        <v>24</v>
      </c>
      <c r="K7486" s="308">
        <f>IFERROR(__xludf.DUMMYFUNCTION("""COMPUTED_VALUE"""),11.0)</f>
        <v>11</v>
      </c>
      <c r="L7486" s="308">
        <f>IFERROR(__xludf.DUMMYFUNCTION("""COMPUTED_VALUE"""),2017.0)</f>
        <v>2017</v>
      </c>
      <c r="M7486" s="308" t="s">
        <v>29619</v>
      </c>
      <c r="N7486" s="308"/>
      <c r="O7486" s="308"/>
      <c r="P7486" s="308" t="s">
        <v>39688</v>
      </c>
      <c r="Q7486" s="308" t="s">
        <v>39573</v>
      </c>
      <c r="R7486" s="308"/>
      <c r="S7486" s="308" t="s">
        <v>81</v>
      </c>
      <c r="T7486" s="308" t="s">
        <v>75</v>
      </c>
      <c r="U7486" s="308" t="s">
        <v>27</v>
      </c>
      <c r="V7486" s="308"/>
    </row>
    <row r="7487">
      <c r="A7487" s="308"/>
      <c r="B7487" s="308"/>
      <c r="C7487" s="308" t="s">
        <v>29805</v>
      </c>
      <c r="D7487" s="308">
        <f>IFERROR(__xludf.DUMMYFUNCTION("SPLIT(C7487,""-"")"),7507.0)</f>
        <v>7507</v>
      </c>
      <c r="E7487" s="308" t="str">
        <f>IFERROR(__xludf.DUMMYFUNCTION("""COMPUTED_VALUE"""),"B")</f>
        <v>B</v>
      </c>
      <c r="F7487" s="315" t="s">
        <v>26</v>
      </c>
      <c r="G7487" s="308"/>
      <c r="H7487" s="308" t="s">
        <v>29806</v>
      </c>
      <c r="I7487" s="314">
        <v>43065.0</v>
      </c>
      <c r="J7487" s="319">
        <f>IFERROR(__xludf.DUMMYFUNCTION("SPLIT(I7487,""/"")"),26.0)</f>
        <v>26</v>
      </c>
      <c r="K7487" s="308">
        <f>IFERROR(__xludf.DUMMYFUNCTION("""COMPUTED_VALUE"""),11.0)</f>
        <v>11</v>
      </c>
      <c r="L7487" s="308">
        <f>IFERROR(__xludf.DUMMYFUNCTION("""COMPUTED_VALUE"""),2017.0)</f>
        <v>2017</v>
      </c>
      <c r="M7487" s="308" t="s">
        <v>29807</v>
      </c>
      <c r="N7487" s="308"/>
      <c r="O7487" s="308"/>
      <c r="P7487" s="308" t="s">
        <v>39689</v>
      </c>
      <c r="Q7487" s="308" t="s">
        <v>39573</v>
      </c>
      <c r="R7487" s="308"/>
      <c r="S7487" s="308" t="s">
        <v>81</v>
      </c>
      <c r="T7487" s="308" t="s">
        <v>75</v>
      </c>
      <c r="U7487" s="308" t="s">
        <v>27</v>
      </c>
      <c r="V7487" s="308"/>
    </row>
    <row r="7488">
      <c r="A7488" s="308"/>
      <c r="B7488" s="308"/>
      <c r="C7488" s="308" t="s">
        <v>29809</v>
      </c>
      <c r="D7488" s="308">
        <f>IFERROR(__xludf.DUMMYFUNCTION("SPLIT(C7488,""-"")"),7508.0)</f>
        <v>7508</v>
      </c>
      <c r="E7488" s="308" t="str">
        <f>IFERROR(__xludf.DUMMYFUNCTION("""COMPUTED_VALUE"""),"B")</f>
        <v>B</v>
      </c>
      <c r="F7488" s="315" t="s">
        <v>26</v>
      </c>
      <c r="G7488" s="308"/>
      <c r="H7488" s="308" t="s">
        <v>29810</v>
      </c>
      <c r="I7488" s="314">
        <v>43065.0</v>
      </c>
      <c r="J7488" s="319">
        <f>IFERROR(__xludf.DUMMYFUNCTION("SPLIT(I7488,""/"")"),26.0)</f>
        <v>26</v>
      </c>
      <c r="K7488" s="308">
        <f>IFERROR(__xludf.DUMMYFUNCTION("""COMPUTED_VALUE"""),11.0)</f>
        <v>11</v>
      </c>
      <c r="L7488" s="308">
        <f>IFERROR(__xludf.DUMMYFUNCTION("""COMPUTED_VALUE"""),2017.0)</f>
        <v>2017</v>
      </c>
      <c r="M7488" s="308" t="s">
        <v>29807</v>
      </c>
      <c r="N7488" s="308"/>
      <c r="O7488" s="308"/>
      <c r="P7488" s="308" t="s">
        <v>136</v>
      </c>
      <c r="Q7488" s="308" t="s">
        <v>39573</v>
      </c>
      <c r="R7488" s="308"/>
      <c r="S7488" s="315" t="s">
        <v>100</v>
      </c>
      <c r="T7488" s="308" t="s">
        <v>34208</v>
      </c>
      <c r="U7488" s="308" t="s">
        <v>27</v>
      </c>
      <c r="V7488" s="308"/>
    </row>
    <row r="7489">
      <c r="A7489" s="308"/>
      <c r="B7489" s="308"/>
      <c r="C7489" s="308" t="s">
        <v>29811</v>
      </c>
      <c r="D7489" s="308">
        <f>IFERROR(__xludf.DUMMYFUNCTION("SPLIT(C7489,""-"")"),7509.0)</f>
        <v>7509</v>
      </c>
      <c r="E7489" s="308" t="str">
        <f>IFERROR(__xludf.DUMMYFUNCTION("""COMPUTED_VALUE"""),"B")</f>
        <v>B</v>
      </c>
      <c r="F7489" s="315" t="s">
        <v>26</v>
      </c>
      <c r="G7489" s="308"/>
      <c r="H7489" s="308" t="s">
        <v>29812</v>
      </c>
      <c r="I7489" s="314">
        <v>43064.0</v>
      </c>
      <c r="J7489" s="319">
        <f>IFERROR(__xludf.DUMMYFUNCTION("SPLIT(I7489,""/"")"),25.0)</f>
        <v>25</v>
      </c>
      <c r="K7489" s="308">
        <f>IFERROR(__xludf.DUMMYFUNCTION("""COMPUTED_VALUE"""),11.0)</f>
        <v>11</v>
      </c>
      <c r="L7489" s="308">
        <f>IFERROR(__xludf.DUMMYFUNCTION("""COMPUTED_VALUE"""),2017.0)</f>
        <v>2017</v>
      </c>
      <c r="M7489" s="308" t="s">
        <v>28433</v>
      </c>
      <c r="N7489" s="308"/>
      <c r="O7489" s="308"/>
      <c r="P7489" s="308" t="s">
        <v>39690</v>
      </c>
      <c r="Q7489" s="308" t="s">
        <v>39573</v>
      </c>
      <c r="R7489" s="308"/>
      <c r="S7489" s="308" t="s">
        <v>81</v>
      </c>
      <c r="T7489" s="308" t="s">
        <v>75</v>
      </c>
      <c r="U7489" s="308" t="s">
        <v>27</v>
      </c>
      <c r="V7489" s="308"/>
    </row>
    <row r="7490">
      <c r="A7490" s="308"/>
      <c r="B7490" s="308"/>
      <c r="C7490" s="308" t="s">
        <v>29814</v>
      </c>
      <c r="D7490" s="308">
        <f>IFERROR(__xludf.DUMMYFUNCTION("SPLIT(C7490,""-"")"),7510.0)</f>
        <v>7510</v>
      </c>
      <c r="E7490" s="308" t="str">
        <f>IFERROR(__xludf.DUMMYFUNCTION("""COMPUTED_VALUE"""),"B")</f>
        <v>B</v>
      </c>
      <c r="F7490" s="315" t="s">
        <v>26</v>
      </c>
      <c r="G7490" s="308"/>
      <c r="H7490" s="308" t="s">
        <v>29815</v>
      </c>
      <c r="I7490" s="310">
        <v>42928.0</v>
      </c>
      <c r="J7490" s="319">
        <f>IFERROR(__xludf.DUMMYFUNCTION("SPLIT(I7490,""/"")"),12.0)</f>
        <v>12</v>
      </c>
      <c r="K7490" s="308">
        <f>IFERROR(__xludf.DUMMYFUNCTION("""COMPUTED_VALUE"""),7.0)</f>
        <v>7</v>
      </c>
      <c r="L7490" s="308">
        <f>IFERROR(__xludf.DUMMYFUNCTION("""COMPUTED_VALUE"""),2017.0)</f>
        <v>2017</v>
      </c>
      <c r="M7490" s="308" t="s">
        <v>28527</v>
      </c>
      <c r="N7490" s="308"/>
      <c r="O7490" s="308"/>
      <c r="P7490" s="308" t="s">
        <v>39691</v>
      </c>
      <c r="Q7490" s="308" t="s">
        <v>39573</v>
      </c>
      <c r="R7490" s="308"/>
      <c r="S7490" s="308" t="s">
        <v>81</v>
      </c>
      <c r="T7490" s="308" t="s">
        <v>75</v>
      </c>
      <c r="U7490" s="308" t="s">
        <v>27</v>
      </c>
      <c r="V7490" s="308"/>
    </row>
    <row r="7491">
      <c r="A7491" s="308"/>
      <c r="B7491" s="308"/>
      <c r="C7491" s="308" t="s">
        <v>29817</v>
      </c>
      <c r="D7491" s="308">
        <f>IFERROR(__xludf.DUMMYFUNCTION("SPLIT(C7491,""-"")"),7511.0)</f>
        <v>7511</v>
      </c>
      <c r="E7491" s="308" t="str">
        <f>IFERROR(__xludf.DUMMYFUNCTION("""COMPUTED_VALUE"""),"B")</f>
        <v>B</v>
      </c>
      <c r="F7491" s="315" t="s">
        <v>26</v>
      </c>
      <c r="G7491" s="308"/>
      <c r="H7491" s="308" t="s">
        <v>29818</v>
      </c>
      <c r="I7491" s="310">
        <v>42928.0</v>
      </c>
      <c r="J7491" s="319">
        <f>IFERROR(__xludf.DUMMYFUNCTION("SPLIT(I7491,""/"")"),12.0)</f>
        <v>12</v>
      </c>
      <c r="K7491" s="308">
        <f>IFERROR(__xludf.DUMMYFUNCTION("""COMPUTED_VALUE"""),7.0)</f>
        <v>7</v>
      </c>
      <c r="L7491" s="308">
        <f>IFERROR(__xludf.DUMMYFUNCTION("""COMPUTED_VALUE"""),2017.0)</f>
        <v>2017</v>
      </c>
      <c r="M7491" s="308" t="s">
        <v>28527</v>
      </c>
      <c r="N7491" s="308"/>
      <c r="O7491" s="308"/>
      <c r="P7491" s="308" t="s">
        <v>39692</v>
      </c>
      <c r="Q7491" s="308" t="s">
        <v>39573</v>
      </c>
      <c r="R7491" s="308"/>
      <c r="S7491" s="308" t="s">
        <v>81</v>
      </c>
      <c r="T7491" s="308" t="s">
        <v>75</v>
      </c>
      <c r="U7491" s="308" t="s">
        <v>27</v>
      </c>
      <c r="V7491" s="308"/>
    </row>
    <row r="7492">
      <c r="A7492" s="308"/>
      <c r="B7492" s="308"/>
      <c r="C7492" s="308" t="s">
        <v>29820</v>
      </c>
      <c r="D7492" s="308">
        <f>IFERROR(__xludf.DUMMYFUNCTION("SPLIT(C7492,""-"")"),7512.0)</f>
        <v>7512</v>
      </c>
      <c r="E7492" s="308" t="str">
        <f>IFERROR(__xludf.DUMMYFUNCTION("""COMPUTED_VALUE"""),"B")</f>
        <v>B</v>
      </c>
      <c r="F7492" s="315" t="s">
        <v>26</v>
      </c>
      <c r="G7492" s="308"/>
      <c r="H7492" s="308" t="s">
        <v>29821</v>
      </c>
      <c r="I7492" s="310">
        <v>42928.0</v>
      </c>
      <c r="J7492" s="319">
        <f>IFERROR(__xludf.DUMMYFUNCTION("SPLIT(I7492,""/"")"),12.0)</f>
        <v>12</v>
      </c>
      <c r="K7492" s="308">
        <f>IFERROR(__xludf.DUMMYFUNCTION("""COMPUTED_VALUE"""),7.0)</f>
        <v>7</v>
      </c>
      <c r="L7492" s="308">
        <f>IFERROR(__xludf.DUMMYFUNCTION("""COMPUTED_VALUE"""),2017.0)</f>
        <v>2017</v>
      </c>
      <c r="M7492" s="308" t="s">
        <v>28527</v>
      </c>
      <c r="N7492" s="308"/>
      <c r="O7492" s="308"/>
      <c r="P7492" s="308" t="s">
        <v>39693</v>
      </c>
      <c r="Q7492" s="308" t="s">
        <v>39573</v>
      </c>
      <c r="R7492" s="308"/>
      <c r="S7492" s="308" t="s">
        <v>81</v>
      </c>
      <c r="T7492" s="308" t="s">
        <v>75</v>
      </c>
      <c r="U7492" s="308" t="s">
        <v>27</v>
      </c>
      <c r="V7492" s="308"/>
    </row>
    <row r="7493">
      <c r="A7493" s="308"/>
      <c r="B7493" s="308"/>
      <c r="C7493" s="308" t="s">
        <v>29823</v>
      </c>
      <c r="D7493" s="308">
        <f>IFERROR(__xludf.DUMMYFUNCTION("SPLIT(C7493,""-"")"),7513.0)</f>
        <v>7513</v>
      </c>
      <c r="E7493" s="308" t="str">
        <f>IFERROR(__xludf.DUMMYFUNCTION("""COMPUTED_VALUE"""),"B")</f>
        <v>B</v>
      </c>
      <c r="F7493" s="315" t="s">
        <v>26</v>
      </c>
      <c r="G7493" s="308"/>
      <c r="H7493" s="308" t="s">
        <v>29824</v>
      </c>
      <c r="I7493" s="310">
        <v>42928.0</v>
      </c>
      <c r="J7493" s="319">
        <f>IFERROR(__xludf.DUMMYFUNCTION("SPLIT(I7493,""/"")"),12.0)</f>
        <v>12</v>
      </c>
      <c r="K7493" s="308">
        <f>IFERROR(__xludf.DUMMYFUNCTION("""COMPUTED_VALUE"""),7.0)</f>
        <v>7</v>
      </c>
      <c r="L7493" s="308">
        <f>IFERROR(__xludf.DUMMYFUNCTION("""COMPUTED_VALUE"""),2017.0)</f>
        <v>2017</v>
      </c>
      <c r="M7493" s="308" t="s">
        <v>28527</v>
      </c>
      <c r="N7493" s="308"/>
      <c r="O7493" s="308"/>
      <c r="P7493" s="308" t="s">
        <v>39694</v>
      </c>
      <c r="Q7493" s="308" t="s">
        <v>39573</v>
      </c>
      <c r="R7493" s="308"/>
      <c r="S7493" s="308" t="s">
        <v>81</v>
      </c>
      <c r="T7493" s="308" t="s">
        <v>75</v>
      </c>
      <c r="U7493" s="308" t="s">
        <v>27</v>
      </c>
      <c r="V7493" s="308"/>
    </row>
    <row r="7494">
      <c r="A7494" s="308"/>
      <c r="B7494" s="308"/>
      <c r="C7494" s="308" t="s">
        <v>29826</v>
      </c>
      <c r="D7494" s="308">
        <f>IFERROR(__xludf.DUMMYFUNCTION("SPLIT(C7494,""-"")"),7514.0)</f>
        <v>7514</v>
      </c>
      <c r="E7494" s="308" t="str">
        <f>IFERROR(__xludf.DUMMYFUNCTION("""COMPUTED_VALUE"""),"B")</f>
        <v>B</v>
      </c>
      <c r="F7494" s="315" t="s">
        <v>26</v>
      </c>
      <c r="G7494" s="308"/>
      <c r="H7494" s="308" t="s">
        <v>29827</v>
      </c>
      <c r="I7494" s="310">
        <v>42898.0</v>
      </c>
      <c r="J7494" s="319">
        <f>IFERROR(__xludf.DUMMYFUNCTION("SPLIT(I7494,""/"")"),12.0)</f>
        <v>12</v>
      </c>
      <c r="K7494" s="308">
        <f>IFERROR(__xludf.DUMMYFUNCTION("""COMPUTED_VALUE"""),6.0)</f>
        <v>6</v>
      </c>
      <c r="L7494" s="308">
        <f>IFERROR(__xludf.DUMMYFUNCTION("""COMPUTED_VALUE"""),2017.0)</f>
        <v>2017</v>
      </c>
      <c r="M7494" s="308" t="s">
        <v>29828</v>
      </c>
      <c r="N7494" s="308"/>
      <c r="O7494" s="308"/>
      <c r="P7494" s="308" t="s">
        <v>39695</v>
      </c>
      <c r="Q7494" s="308" t="s">
        <v>39573</v>
      </c>
      <c r="R7494" s="308"/>
      <c r="S7494" s="308" t="s">
        <v>81</v>
      </c>
      <c r="T7494" s="308" t="s">
        <v>75</v>
      </c>
      <c r="U7494" s="308" t="s">
        <v>27</v>
      </c>
      <c r="V7494" s="308"/>
    </row>
    <row r="7495">
      <c r="A7495" s="308"/>
      <c r="B7495" s="308"/>
      <c r="C7495" s="308" t="s">
        <v>29830</v>
      </c>
      <c r="D7495" s="308">
        <f>IFERROR(__xludf.DUMMYFUNCTION("SPLIT(C7495,""-"")"),7515.0)</f>
        <v>7515</v>
      </c>
      <c r="E7495" s="308" t="str">
        <f>IFERROR(__xludf.DUMMYFUNCTION("""COMPUTED_VALUE"""),"B")</f>
        <v>B</v>
      </c>
      <c r="F7495" s="315" t="s">
        <v>26</v>
      </c>
      <c r="G7495" s="308"/>
      <c r="H7495" s="308" t="s">
        <v>29831</v>
      </c>
      <c r="I7495" s="310">
        <v>42867.0</v>
      </c>
      <c r="J7495" s="319">
        <f>IFERROR(__xludf.DUMMYFUNCTION("SPLIT(I7495,""/"")"),12.0)</f>
        <v>12</v>
      </c>
      <c r="K7495" s="308">
        <f>IFERROR(__xludf.DUMMYFUNCTION("""COMPUTED_VALUE"""),5.0)</f>
        <v>5</v>
      </c>
      <c r="L7495" s="308">
        <f>IFERROR(__xludf.DUMMYFUNCTION("""COMPUTED_VALUE"""),2017.0)</f>
        <v>2017</v>
      </c>
      <c r="M7495" s="308" t="s">
        <v>29832</v>
      </c>
      <c r="N7495" s="308"/>
      <c r="O7495" s="308"/>
      <c r="P7495" s="308" t="s">
        <v>39696</v>
      </c>
      <c r="Q7495" s="308" t="s">
        <v>39573</v>
      </c>
      <c r="R7495" s="308"/>
      <c r="S7495" s="308" t="s">
        <v>81</v>
      </c>
      <c r="T7495" s="308" t="s">
        <v>75</v>
      </c>
      <c r="U7495" s="308" t="s">
        <v>27</v>
      </c>
      <c r="V7495" s="308"/>
    </row>
    <row r="7496">
      <c r="A7496" s="308"/>
      <c r="B7496" s="308"/>
      <c r="C7496" s="308" t="s">
        <v>29834</v>
      </c>
      <c r="D7496" s="308">
        <f>IFERROR(__xludf.DUMMYFUNCTION("SPLIT(C7496,""-"")"),7516.0)</f>
        <v>7516</v>
      </c>
      <c r="E7496" s="308" t="str">
        <f>IFERROR(__xludf.DUMMYFUNCTION("""COMPUTED_VALUE"""),"B")</f>
        <v>B</v>
      </c>
      <c r="F7496" s="315" t="s">
        <v>26</v>
      </c>
      <c r="G7496" s="308"/>
      <c r="H7496" s="308" t="s">
        <v>29835</v>
      </c>
      <c r="I7496" s="314">
        <v>43068.0</v>
      </c>
      <c r="J7496" s="319">
        <f>IFERROR(__xludf.DUMMYFUNCTION("SPLIT(I7496,""/"")"),29.0)</f>
        <v>29</v>
      </c>
      <c r="K7496" s="308">
        <f>IFERROR(__xludf.DUMMYFUNCTION("""COMPUTED_VALUE"""),11.0)</f>
        <v>11</v>
      </c>
      <c r="L7496" s="308">
        <f>IFERROR(__xludf.DUMMYFUNCTION("""COMPUTED_VALUE"""),2017.0)</f>
        <v>2017</v>
      </c>
      <c r="M7496" s="308" t="s">
        <v>29836</v>
      </c>
      <c r="N7496" s="308"/>
      <c r="O7496" s="308"/>
      <c r="P7496" s="308" t="s">
        <v>39697</v>
      </c>
      <c r="Q7496" s="308" t="s">
        <v>39573</v>
      </c>
      <c r="R7496" s="308"/>
      <c r="S7496" s="308" t="s">
        <v>81</v>
      </c>
      <c r="T7496" s="308" t="s">
        <v>75</v>
      </c>
      <c r="U7496" s="308" t="s">
        <v>27</v>
      </c>
      <c r="V7496" s="308"/>
    </row>
    <row r="7497">
      <c r="A7497" s="308"/>
      <c r="B7497" s="308"/>
      <c r="C7497" s="308" t="s">
        <v>29838</v>
      </c>
      <c r="D7497" s="308">
        <f>IFERROR(__xludf.DUMMYFUNCTION("SPLIT(C7497,""-"")"),7517.0)</f>
        <v>7517</v>
      </c>
      <c r="E7497" s="308" t="str">
        <f>IFERROR(__xludf.DUMMYFUNCTION("""COMPUTED_VALUE"""),"B")</f>
        <v>B</v>
      </c>
      <c r="F7497" s="315" t="s">
        <v>26</v>
      </c>
      <c r="G7497" s="308"/>
      <c r="H7497" s="308" t="s">
        <v>29839</v>
      </c>
      <c r="I7497" s="314">
        <v>43068.0</v>
      </c>
      <c r="J7497" s="319">
        <f>IFERROR(__xludf.DUMMYFUNCTION("SPLIT(I7497,""/"")"),29.0)</f>
        <v>29</v>
      </c>
      <c r="K7497" s="308">
        <f>IFERROR(__xludf.DUMMYFUNCTION("""COMPUTED_VALUE"""),11.0)</f>
        <v>11</v>
      </c>
      <c r="L7497" s="308">
        <f>IFERROR(__xludf.DUMMYFUNCTION("""COMPUTED_VALUE"""),2017.0)</f>
        <v>2017</v>
      </c>
      <c r="M7497" s="308" t="s">
        <v>29199</v>
      </c>
      <c r="N7497" s="308"/>
      <c r="O7497" s="308"/>
      <c r="P7497" s="308" t="s">
        <v>39698</v>
      </c>
      <c r="Q7497" s="308" t="s">
        <v>39573</v>
      </c>
      <c r="R7497" s="308"/>
      <c r="S7497" s="308" t="s">
        <v>81</v>
      </c>
      <c r="T7497" s="308" t="s">
        <v>75</v>
      </c>
      <c r="U7497" s="308" t="s">
        <v>27</v>
      </c>
      <c r="V7497" s="308"/>
    </row>
    <row r="7498">
      <c r="A7498" s="308"/>
      <c r="B7498" s="308"/>
      <c r="C7498" s="308" t="s">
        <v>29841</v>
      </c>
      <c r="D7498" s="308">
        <f>IFERROR(__xludf.DUMMYFUNCTION("SPLIT(C7498,""-"")"),7518.0)</f>
        <v>7518</v>
      </c>
      <c r="E7498" s="308" t="str">
        <f>IFERROR(__xludf.DUMMYFUNCTION("""COMPUTED_VALUE"""),"B")</f>
        <v>B</v>
      </c>
      <c r="F7498" s="315" t="s">
        <v>26</v>
      </c>
      <c r="G7498" s="308"/>
      <c r="H7498" s="308" t="s">
        <v>29842</v>
      </c>
      <c r="I7498" s="314">
        <v>43085.0</v>
      </c>
      <c r="J7498" s="319">
        <f>IFERROR(__xludf.DUMMYFUNCTION("SPLIT(I7498,""/"")"),16.0)</f>
        <v>16</v>
      </c>
      <c r="K7498" s="308">
        <f>IFERROR(__xludf.DUMMYFUNCTION("""COMPUTED_VALUE"""),12.0)</f>
        <v>12</v>
      </c>
      <c r="L7498" s="308">
        <f>IFERROR(__xludf.DUMMYFUNCTION("""COMPUTED_VALUE"""),2017.0)</f>
        <v>2017</v>
      </c>
      <c r="M7498" s="308" t="s">
        <v>29407</v>
      </c>
      <c r="N7498" s="308"/>
      <c r="O7498" s="308"/>
      <c r="P7498" s="308" t="s">
        <v>39699</v>
      </c>
      <c r="Q7498" s="308" t="s">
        <v>39573</v>
      </c>
      <c r="R7498" s="308"/>
      <c r="S7498" s="308" t="s">
        <v>81</v>
      </c>
      <c r="T7498" s="308" t="s">
        <v>75</v>
      </c>
      <c r="U7498" s="308" t="s">
        <v>27</v>
      </c>
      <c r="V7498" s="308"/>
    </row>
    <row r="7499">
      <c r="A7499" s="308"/>
      <c r="B7499" s="308"/>
      <c r="C7499" s="308" t="s">
        <v>29844</v>
      </c>
      <c r="D7499" s="308">
        <f>IFERROR(__xludf.DUMMYFUNCTION("SPLIT(C7499,""-"")"),7519.0)</f>
        <v>7519</v>
      </c>
      <c r="E7499" s="308" t="str">
        <f>IFERROR(__xludf.DUMMYFUNCTION("""COMPUTED_VALUE"""),"B")</f>
        <v>B</v>
      </c>
      <c r="F7499" s="315" t="s">
        <v>26</v>
      </c>
      <c r="G7499" s="308"/>
      <c r="H7499" s="308" t="s">
        <v>29845</v>
      </c>
      <c r="I7499" s="314">
        <v>43085.0</v>
      </c>
      <c r="J7499" s="319">
        <f>IFERROR(__xludf.DUMMYFUNCTION("SPLIT(I7499,""/"")"),16.0)</f>
        <v>16</v>
      </c>
      <c r="K7499" s="308">
        <f>IFERROR(__xludf.DUMMYFUNCTION("""COMPUTED_VALUE"""),12.0)</f>
        <v>12</v>
      </c>
      <c r="L7499" s="308">
        <f>IFERROR(__xludf.DUMMYFUNCTION("""COMPUTED_VALUE"""),2017.0)</f>
        <v>2017</v>
      </c>
      <c r="M7499" s="308" t="s">
        <v>29600</v>
      </c>
      <c r="N7499" s="308"/>
      <c r="O7499" s="308"/>
      <c r="P7499" s="308" t="s">
        <v>136</v>
      </c>
      <c r="Q7499" s="308" t="s">
        <v>39573</v>
      </c>
      <c r="R7499" s="308"/>
      <c r="S7499" s="315" t="s">
        <v>100</v>
      </c>
      <c r="T7499" s="308" t="s">
        <v>34208</v>
      </c>
      <c r="U7499" s="308" t="s">
        <v>27</v>
      </c>
      <c r="V7499" s="308"/>
    </row>
    <row r="7500">
      <c r="A7500" s="308"/>
      <c r="B7500" s="308"/>
      <c r="C7500" s="308" t="s">
        <v>29846</v>
      </c>
      <c r="D7500" s="308">
        <f>IFERROR(__xludf.DUMMYFUNCTION("SPLIT(C7500,""-"")"),7520.0)</f>
        <v>7520</v>
      </c>
      <c r="E7500" s="308" t="str">
        <f>IFERROR(__xludf.DUMMYFUNCTION("""COMPUTED_VALUE"""),"B")</f>
        <v>B</v>
      </c>
      <c r="F7500" s="315" t="s">
        <v>26</v>
      </c>
      <c r="G7500" s="308"/>
      <c r="H7500" s="308" t="s">
        <v>29847</v>
      </c>
      <c r="I7500" s="314">
        <v>43085.0</v>
      </c>
      <c r="J7500" s="319">
        <f>IFERROR(__xludf.DUMMYFUNCTION("SPLIT(I7500,""/"")"),16.0)</f>
        <v>16</v>
      </c>
      <c r="K7500" s="308">
        <f>IFERROR(__xludf.DUMMYFUNCTION("""COMPUTED_VALUE"""),12.0)</f>
        <v>12</v>
      </c>
      <c r="L7500" s="308">
        <f>IFERROR(__xludf.DUMMYFUNCTION("""COMPUTED_VALUE"""),2017.0)</f>
        <v>2017</v>
      </c>
      <c r="M7500" s="308" t="s">
        <v>29600</v>
      </c>
      <c r="N7500" s="308"/>
      <c r="O7500" s="308"/>
      <c r="P7500" s="308" t="s">
        <v>39700</v>
      </c>
      <c r="Q7500" s="308" t="s">
        <v>39573</v>
      </c>
      <c r="R7500" s="308"/>
      <c r="S7500" s="308" t="s">
        <v>81</v>
      </c>
      <c r="T7500" s="308" t="s">
        <v>75</v>
      </c>
      <c r="U7500" s="308" t="s">
        <v>27</v>
      </c>
      <c r="V7500" s="308"/>
    </row>
    <row r="7501">
      <c r="A7501" s="308"/>
      <c r="B7501" s="308"/>
      <c r="C7501" s="308" t="s">
        <v>29849</v>
      </c>
      <c r="D7501" s="308">
        <f>IFERROR(__xludf.DUMMYFUNCTION("SPLIT(C7501,""-"")"),7521.0)</f>
        <v>7521</v>
      </c>
      <c r="E7501" s="308" t="str">
        <f>IFERROR(__xludf.DUMMYFUNCTION("""COMPUTED_VALUE"""),"B")</f>
        <v>B</v>
      </c>
      <c r="F7501" s="315" t="s">
        <v>26</v>
      </c>
      <c r="G7501" s="308"/>
      <c r="H7501" s="308" t="s">
        <v>29850</v>
      </c>
      <c r="I7501" s="314">
        <v>43081.0</v>
      </c>
      <c r="J7501" s="319">
        <f>IFERROR(__xludf.DUMMYFUNCTION("SPLIT(I7501,""/"")"),12.0)</f>
        <v>12</v>
      </c>
      <c r="K7501" s="308">
        <f>IFERROR(__xludf.DUMMYFUNCTION("""COMPUTED_VALUE"""),12.0)</f>
        <v>12</v>
      </c>
      <c r="L7501" s="308">
        <f>IFERROR(__xludf.DUMMYFUNCTION("""COMPUTED_VALUE"""),2017.0)</f>
        <v>2017</v>
      </c>
      <c r="M7501" s="308" t="s">
        <v>29851</v>
      </c>
      <c r="N7501" s="308"/>
      <c r="O7501" s="308"/>
      <c r="P7501" s="308" t="s">
        <v>39701</v>
      </c>
      <c r="Q7501" s="308" t="s">
        <v>39573</v>
      </c>
      <c r="R7501" s="308"/>
      <c r="S7501" s="308" t="s">
        <v>81</v>
      </c>
      <c r="T7501" s="308" t="s">
        <v>75</v>
      </c>
      <c r="U7501" s="308" t="s">
        <v>27</v>
      </c>
      <c r="V7501" s="308"/>
    </row>
    <row r="7502">
      <c r="A7502" s="308"/>
      <c r="B7502" s="308"/>
      <c r="C7502" s="308" t="s">
        <v>29853</v>
      </c>
      <c r="D7502" s="308">
        <f>IFERROR(__xludf.DUMMYFUNCTION("SPLIT(C7502,""-"")"),7522.0)</f>
        <v>7522</v>
      </c>
      <c r="E7502" s="308" t="str">
        <f>IFERROR(__xludf.DUMMYFUNCTION("""COMPUTED_VALUE"""),"B")</f>
        <v>B</v>
      </c>
      <c r="F7502" s="315" t="s">
        <v>26</v>
      </c>
      <c r="G7502" s="308"/>
      <c r="H7502" s="308" t="s">
        <v>29854</v>
      </c>
      <c r="I7502" s="314">
        <v>43020.0</v>
      </c>
      <c r="J7502" s="319">
        <f>IFERROR(__xludf.DUMMYFUNCTION("SPLIT(I7502,""/"")"),12.0)</f>
        <v>12</v>
      </c>
      <c r="K7502" s="308">
        <f>IFERROR(__xludf.DUMMYFUNCTION("""COMPUTED_VALUE"""),10.0)</f>
        <v>10</v>
      </c>
      <c r="L7502" s="308">
        <f>IFERROR(__xludf.DUMMYFUNCTION("""COMPUTED_VALUE"""),2017.0)</f>
        <v>2017</v>
      </c>
      <c r="M7502" s="308" t="s">
        <v>29199</v>
      </c>
      <c r="N7502" s="308"/>
      <c r="O7502" s="308"/>
      <c r="P7502" s="308" t="s">
        <v>39702</v>
      </c>
      <c r="Q7502" s="308" t="s">
        <v>39573</v>
      </c>
      <c r="R7502" s="308"/>
      <c r="S7502" s="308" t="s">
        <v>81</v>
      </c>
      <c r="T7502" s="308" t="s">
        <v>75</v>
      </c>
      <c r="U7502" s="308" t="s">
        <v>27</v>
      </c>
      <c r="V7502" s="308"/>
    </row>
    <row r="7503">
      <c r="A7503" s="308"/>
      <c r="B7503" s="308"/>
      <c r="C7503" s="308" t="s">
        <v>29856</v>
      </c>
      <c r="D7503" s="308">
        <f>IFERROR(__xludf.DUMMYFUNCTION("SPLIT(C7503,""-"")"),7523.0)</f>
        <v>7523</v>
      </c>
      <c r="E7503" s="308" t="str">
        <f>IFERROR(__xludf.DUMMYFUNCTION("""COMPUTED_VALUE"""),"B")</f>
        <v>B</v>
      </c>
      <c r="F7503" s="315" t="s">
        <v>26</v>
      </c>
      <c r="G7503" s="308"/>
      <c r="H7503" s="308" t="s">
        <v>29857</v>
      </c>
      <c r="I7503" s="314">
        <v>43020.0</v>
      </c>
      <c r="J7503" s="319">
        <f>IFERROR(__xludf.DUMMYFUNCTION("SPLIT(I7503,""/"")"),12.0)</f>
        <v>12</v>
      </c>
      <c r="K7503" s="308">
        <f>IFERROR(__xludf.DUMMYFUNCTION("""COMPUTED_VALUE"""),10.0)</f>
        <v>10</v>
      </c>
      <c r="L7503" s="308">
        <f>IFERROR(__xludf.DUMMYFUNCTION("""COMPUTED_VALUE"""),2017.0)</f>
        <v>2017</v>
      </c>
      <c r="M7503" s="308" t="s">
        <v>29746</v>
      </c>
      <c r="N7503" s="308"/>
      <c r="O7503" s="308"/>
      <c r="P7503" s="308" t="s">
        <v>39703</v>
      </c>
      <c r="Q7503" s="308" t="s">
        <v>39573</v>
      </c>
      <c r="R7503" s="308"/>
      <c r="S7503" s="308" t="s">
        <v>81</v>
      </c>
      <c r="T7503" s="308" t="s">
        <v>75</v>
      </c>
      <c r="U7503" s="308" t="s">
        <v>27</v>
      </c>
      <c r="V7503" s="308"/>
    </row>
    <row r="7504">
      <c r="A7504" s="308"/>
      <c r="B7504" s="308"/>
      <c r="C7504" s="308" t="s">
        <v>29859</v>
      </c>
      <c r="D7504" s="308">
        <f>IFERROR(__xludf.DUMMYFUNCTION("SPLIT(C7504,""-"")"),7524.0)</f>
        <v>7524</v>
      </c>
      <c r="E7504" s="308" t="str">
        <f>IFERROR(__xludf.DUMMYFUNCTION("""COMPUTED_VALUE"""),"B")</f>
        <v>B</v>
      </c>
      <c r="F7504" s="315" t="s">
        <v>26</v>
      </c>
      <c r="G7504" s="308"/>
      <c r="H7504" s="308" t="s">
        <v>29860</v>
      </c>
      <c r="I7504" s="310">
        <v>42990.0</v>
      </c>
      <c r="J7504" s="319">
        <f>IFERROR(__xludf.DUMMYFUNCTION("SPLIT(I7504,""/"")"),12.0)</f>
        <v>12</v>
      </c>
      <c r="K7504" s="308">
        <f>IFERROR(__xludf.DUMMYFUNCTION("""COMPUTED_VALUE"""),9.0)</f>
        <v>9</v>
      </c>
      <c r="L7504" s="308">
        <f>IFERROR(__xludf.DUMMYFUNCTION("""COMPUTED_VALUE"""),2017.0)</f>
        <v>2017</v>
      </c>
      <c r="M7504" s="308" t="s">
        <v>29861</v>
      </c>
      <c r="N7504" s="308"/>
      <c r="O7504" s="308"/>
      <c r="P7504" s="308" t="s">
        <v>39704</v>
      </c>
      <c r="Q7504" s="308" t="s">
        <v>39573</v>
      </c>
      <c r="R7504" s="308"/>
      <c r="S7504" s="308" t="s">
        <v>81</v>
      </c>
      <c r="T7504" s="308" t="s">
        <v>75</v>
      </c>
      <c r="U7504" s="308" t="s">
        <v>27</v>
      </c>
      <c r="V7504" s="308"/>
    </row>
    <row r="7505">
      <c r="A7505" s="308"/>
      <c r="B7505" s="308"/>
      <c r="C7505" s="308" t="s">
        <v>29863</v>
      </c>
      <c r="D7505" s="308">
        <f>IFERROR(__xludf.DUMMYFUNCTION("SPLIT(C7505,""-"")"),7525.0)</f>
        <v>7525</v>
      </c>
      <c r="E7505" s="308" t="str">
        <f>IFERROR(__xludf.DUMMYFUNCTION("""COMPUTED_VALUE"""),"B")</f>
        <v>B</v>
      </c>
      <c r="F7505" s="315" t="s">
        <v>26</v>
      </c>
      <c r="G7505" s="308"/>
      <c r="H7505" s="308" t="s">
        <v>29864</v>
      </c>
      <c r="I7505" s="310">
        <v>42794.0</v>
      </c>
      <c r="J7505" s="319">
        <f>IFERROR(__xludf.DUMMYFUNCTION("SPLIT(I7505,""/"")"),28.0)</f>
        <v>28</v>
      </c>
      <c r="K7505" s="308">
        <f>IFERROR(__xludf.DUMMYFUNCTION("""COMPUTED_VALUE"""),2.0)</f>
        <v>2</v>
      </c>
      <c r="L7505" s="308">
        <f>IFERROR(__xludf.DUMMYFUNCTION("""COMPUTED_VALUE"""),2017.0)</f>
        <v>2017</v>
      </c>
      <c r="M7505" s="308" t="s">
        <v>29865</v>
      </c>
      <c r="N7505" s="308"/>
      <c r="O7505" s="308"/>
      <c r="P7505" s="308" t="s">
        <v>39705</v>
      </c>
      <c r="Q7505" s="308" t="s">
        <v>39573</v>
      </c>
      <c r="R7505" s="308"/>
      <c r="S7505" s="308" t="s">
        <v>81</v>
      </c>
      <c r="T7505" s="308" t="s">
        <v>75</v>
      </c>
      <c r="U7505" s="308" t="s">
        <v>27</v>
      </c>
      <c r="V7505" s="308"/>
    </row>
    <row r="7506">
      <c r="A7506" s="308"/>
      <c r="B7506" s="308"/>
      <c r="C7506" s="308" t="s">
        <v>29867</v>
      </c>
      <c r="D7506" s="308">
        <f>IFERROR(__xludf.DUMMYFUNCTION("SPLIT(C7506,""-"")"),7526.0)</f>
        <v>7526</v>
      </c>
      <c r="E7506" s="308" t="str">
        <f>IFERROR(__xludf.DUMMYFUNCTION("""COMPUTED_VALUE"""),"B")</f>
        <v>B</v>
      </c>
      <c r="F7506" s="315" t="s">
        <v>26</v>
      </c>
      <c r="G7506" s="308"/>
      <c r="H7506" s="308" t="s">
        <v>29868</v>
      </c>
      <c r="I7506" s="310">
        <v>42794.0</v>
      </c>
      <c r="J7506" s="319">
        <f>IFERROR(__xludf.DUMMYFUNCTION("SPLIT(I7506,""/"")"),28.0)</f>
        <v>28</v>
      </c>
      <c r="K7506" s="308">
        <f>IFERROR(__xludf.DUMMYFUNCTION("""COMPUTED_VALUE"""),2.0)</f>
        <v>2</v>
      </c>
      <c r="L7506" s="308">
        <f>IFERROR(__xludf.DUMMYFUNCTION("""COMPUTED_VALUE"""),2017.0)</f>
        <v>2017</v>
      </c>
      <c r="M7506" s="308" t="s">
        <v>29865</v>
      </c>
      <c r="N7506" s="308"/>
      <c r="O7506" s="308"/>
      <c r="P7506" s="308" t="s">
        <v>39706</v>
      </c>
      <c r="Q7506" s="308" t="s">
        <v>39573</v>
      </c>
      <c r="R7506" s="308"/>
      <c r="S7506" s="308" t="s">
        <v>81</v>
      </c>
      <c r="T7506" s="308" t="s">
        <v>75</v>
      </c>
      <c r="U7506" s="308" t="s">
        <v>27</v>
      </c>
      <c r="V7506" s="308"/>
    </row>
    <row r="7507">
      <c r="A7507" s="308"/>
      <c r="B7507" s="308"/>
      <c r="C7507" s="308" t="s">
        <v>29870</v>
      </c>
      <c r="D7507" s="308">
        <f>IFERROR(__xludf.DUMMYFUNCTION("SPLIT(C7507,""-"")"),7527.0)</f>
        <v>7527</v>
      </c>
      <c r="E7507" s="308" t="str">
        <f>IFERROR(__xludf.DUMMYFUNCTION("""COMPUTED_VALUE"""),"B")</f>
        <v>B</v>
      </c>
      <c r="F7507" s="315" t="s">
        <v>26</v>
      </c>
      <c r="G7507" s="308"/>
      <c r="H7507" s="308" t="s">
        <v>29871</v>
      </c>
      <c r="I7507" s="310">
        <v>42792.0</v>
      </c>
      <c r="J7507" s="319">
        <f>IFERROR(__xludf.DUMMYFUNCTION("SPLIT(I7507,""/"")"),26.0)</f>
        <v>26</v>
      </c>
      <c r="K7507" s="308">
        <f>IFERROR(__xludf.DUMMYFUNCTION("""COMPUTED_VALUE"""),2.0)</f>
        <v>2</v>
      </c>
      <c r="L7507" s="308">
        <f>IFERROR(__xludf.DUMMYFUNCTION("""COMPUTED_VALUE"""),2017.0)</f>
        <v>2017</v>
      </c>
      <c r="M7507" s="308" t="s">
        <v>29872</v>
      </c>
      <c r="N7507" s="308"/>
      <c r="O7507" s="308"/>
      <c r="P7507" s="308" t="s">
        <v>39707</v>
      </c>
      <c r="Q7507" s="308" t="s">
        <v>39573</v>
      </c>
      <c r="R7507" s="308"/>
      <c r="S7507" s="308" t="s">
        <v>81</v>
      </c>
      <c r="T7507" s="308" t="s">
        <v>75</v>
      </c>
      <c r="U7507" s="308" t="s">
        <v>27</v>
      </c>
      <c r="V7507" s="308"/>
    </row>
    <row r="7508">
      <c r="A7508" s="308"/>
      <c r="B7508" s="308"/>
      <c r="C7508" s="308" t="s">
        <v>29874</v>
      </c>
      <c r="D7508" s="308">
        <f>IFERROR(__xludf.DUMMYFUNCTION("SPLIT(C7508,""-"")"),7528.0)</f>
        <v>7528</v>
      </c>
      <c r="E7508" s="308" t="str">
        <f>IFERROR(__xludf.DUMMYFUNCTION("""COMPUTED_VALUE"""),"B")</f>
        <v>B</v>
      </c>
      <c r="F7508" s="315" t="s">
        <v>26</v>
      </c>
      <c r="G7508" s="308"/>
      <c r="H7508" s="308" t="s">
        <v>29875</v>
      </c>
      <c r="I7508" s="310">
        <v>42790.0</v>
      </c>
      <c r="J7508" s="319">
        <f>IFERROR(__xludf.DUMMYFUNCTION("SPLIT(I7508,""/"")"),24.0)</f>
        <v>24</v>
      </c>
      <c r="K7508" s="308">
        <f>IFERROR(__xludf.DUMMYFUNCTION("""COMPUTED_VALUE"""),2.0)</f>
        <v>2</v>
      </c>
      <c r="L7508" s="308">
        <f>IFERROR(__xludf.DUMMYFUNCTION("""COMPUTED_VALUE"""),2017.0)</f>
        <v>2017</v>
      </c>
      <c r="M7508" s="308" t="s">
        <v>29876</v>
      </c>
      <c r="N7508" s="308"/>
      <c r="O7508" s="308"/>
      <c r="P7508" s="308" t="s">
        <v>39708</v>
      </c>
      <c r="Q7508" s="308" t="s">
        <v>39573</v>
      </c>
      <c r="R7508" s="308"/>
      <c r="S7508" s="308" t="s">
        <v>81</v>
      </c>
      <c r="T7508" s="308" t="s">
        <v>75</v>
      </c>
      <c r="U7508" s="308" t="s">
        <v>27</v>
      </c>
      <c r="V7508" s="308"/>
    </row>
    <row r="7509">
      <c r="A7509" s="308"/>
      <c r="B7509" s="308"/>
      <c r="C7509" s="308" t="s">
        <v>29878</v>
      </c>
      <c r="D7509" s="308">
        <f>IFERROR(__xludf.DUMMYFUNCTION("SPLIT(C7509,""-"")"),7529.0)</f>
        <v>7529</v>
      </c>
      <c r="E7509" s="308" t="str">
        <f>IFERROR(__xludf.DUMMYFUNCTION("""COMPUTED_VALUE"""),"B")</f>
        <v>B</v>
      </c>
      <c r="F7509" s="315" t="s">
        <v>26</v>
      </c>
      <c r="G7509" s="308"/>
      <c r="H7509" s="308" t="s">
        <v>29879</v>
      </c>
      <c r="I7509" s="310">
        <v>42790.0</v>
      </c>
      <c r="J7509" s="319">
        <f>IFERROR(__xludf.DUMMYFUNCTION("SPLIT(I7509,""/"")"),24.0)</f>
        <v>24</v>
      </c>
      <c r="K7509" s="308">
        <f>IFERROR(__xludf.DUMMYFUNCTION("""COMPUTED_VALUE"""),2.0)</f>
        <v>2</v>
      </c>
      <c r="L7509" s="308">
        <f>IFERROR(__xludf.DUMMYFUNCTION("""COMPUTED_VALUE"""),2017.0)</f>
        <v>2017</v>
      </c>
      <c r="M7509" s="308" t="s">
        <v>29876</v>
      </c>
      <c r="N7509" s="308"/>
      <c r="O7509" s="308"/>
      <c r="P7509" s="308" t="s">
        <v>39709</v>
      </c>
      <c r="Q7509" s="308" t="s">
        <v>39573</v>
      </c>
      <c r="R7509" s="308"/>
      <c r="S7509" s="308" t="s">
        <v>81</v>
      </c>
      <c r="T7509" s="308" t="s">
        <v>75</v>
      </c>
      <c r="U7509" s="308" t="s">
        <v>27</v>
      </c>
      <c r="V7509" s="308"/>
    </row>
    <row r="7510">
      <c r="A7510" s="308"/>
      <c r="B7510" s="308"/>
      <c r="C7510" s="308" t="s">
        <v>29881</v>
      </c>
      <c r="D7510" s="308">
        <f>IFERROR(__xludf.DUMMYFUNCTION("SPLIT(C7510,""-"")"),7530.0)</f>
        <v>7530</v>
      </c>
      <c r="E7510" s="308" t="str">
        <f>IFERROR(__xludf.DUMMYFUNCTION("""COMPUTED_VALUE"""),"B")</f>
        <v>B</v>
      </c>
      <c r="F7510" s="315" t="s">
        <v>26</v>
      </c>
      <c r="G7510" s="308"/>
      <c r="H7510" s="308" t="s">
        <v>29882</v>
      </c>
      <c r="I7510" s="310">
        <v>42790.0</v>
      </c>
      <c r="J7510" s="319">
        <f>IFERROR(__xludf.DUMMYFUNCTION("SPLIT(I7510,""/"")"),24.0)</f>
        <v>24</v>
      </c>
      <c r="K7510" s="308">
        <f>IFERROR(__xludf.DUMMYFUNCTION("""COMPUTED_VALUE"""),2.0)</f>
        <v>2</v>
      </c>
      <c r="L7510" s="308">
        <f>IFERROR(__xludf.DUMMYFUNCTION("""COMPUTED_VALUE"""),2017.0)</f>
        <v>2017</v>
      </c>
      <c r="M7510" s="308" t="s">
        <v>29876</v>
      </c>
      <c r="N7510" s="308"/>
      <c r="O7510" s="308"/>
      <c r="P7510" s="308" t="s">
        <v>39710</v>
      </c>
      <c r="Q7510" s="308" t="s">
        <v>39573</v>
      </c>
      <c r="R7510" s="308"/>
      <c r="S7510" s="308" t="s">
        <v>81</v>
      </c>
      <c r="T7510" s="308" t="s">
        <v>75</v>
      </c>
      <c r="U7510" s="308" t="s">
        <v>27</v>
      </c>
      <c r="V7510" s="308"/>
    </row>
    <row r="7511">
      <c r="A7511" s="308"/>
      <c r="B7511" s="308"/>
      <c r="C7511" s="308" t="s">
        <v>29884</v>
      </c>
      <c r="D7511" s="308">
        <f>IFERROR(__xludf.DUMMYFUNCTION("SPLIT(C7511,""-"")"),7531.0)</f>
        <v>7531</v>
      </c>
      <c r="E7511" s="308" t="str">
        <f>IFERROR(__xludf.DUMMYFUNCTION("""COMPUTED_VALUE"""),"B")</f>
        <v>B</v>
      </c>
      <c r="F7511" s="315" t="s">
        <v>26</v>
      </c>
      <c r="G7511" s="308"/>
      <c r="H7511" s="308" t="s">
        <v>29885</v>
      </c>
      <c r="I7511" s="310">
        <v>42786.0</v>
      </c>
      <c r="J7511" s="319">
        <f>IFERROR(__xludf.DUMMYFUNCTION("SPLIT(I7511,""/"")"),20.0)</f>
        <v>20</v>
      </c>
      <c r="K7511" s="308">
        <f>IFERROR(__xludf.DUMMYFUNCTION("""COMPUTED_VALUE"""),2.0)</f>
        <v>2</v>
      </c>
      <c r="L7511" s="308">
        <f>IFERROR(__xludf.DUMMYFUNCTION("""COMPUTED_VALUE"""),2017.0)</f>
        <v>2017</v>
      </c>
      <c r="M7511" s="308" t="s">
        <v>29250</v>
      </c>
      <c r="N7511" s="308"/>
      <c r="O7511" s="308"/>
      <c r="P7511" s="308" t="s">
        <v>136</v>
      </c>
      <c r="Q7511" s="308" t="s">
        <v>39573</v>
      </c>
      <c r="R7511" s="308"/>
      <c r="S7511" s="315" t="s">
        <v>100</v>
      </c>
      <c r="T7511" s="308" t="s">
        <v>34208</v>
      </c>
      <c r="U7511" s="308" t="s">
        <v>27</v>
      </c>
      <c r="V7511" s="308"/>
    </row>
    <row r="7512">
      <c r="A7512" s="308"/>
      <c r="B7512" s="308"/>
      <c r="C7512" s="308" t="s">
        <v>29886</v>
      </c>
      <c r="D7512" s="308">
        <f>IFERROR(__xludf.DUMMYFUNCTION("SPLIT(C7512,""-"")"),7532.0)</f>
        <v>7532</v>
      </c>
      <c r="E7512" s="308" t="str">
        <f>IFERROR(__xludf.DUMMYFUNCTION("""COMPUTED_VALUE"""),"B")</f>
        <v>B</v>
      </c>
      <c r="F7512" s="315" t="s">
        <v>26</v>
      </c>
      <c r="G7512" s="308"/>
      <c r="H7512" s="308" t="s">
        <v>29887</v>
      </c>
      <c r="I7512" s="310">
        <v>42786.0</v>
      </c>
      <c r="J7512" s="319">
        <f>IFERROR(__xludf.DUMMYFUNCTION("SPLIT(I7512,""/"")"),20.0)</f>
        <v>20</v>
      </c>
      <c r="K7512" s="308">
        <f>IFERROR(__xludf.DUMMYFUNCTION("""COMPUTED_VALUE"""),2.0)</f>
        <v>2</v>
      </c>
      <c r="L7512" s="308">
        <f>IFERROR(__xludf.DUMMYFUNCTION("""COMPUTED_VALUE"""),2017.0)</f>
        <v>2017</v>
      </c>
      <c r="M7512" s="308" t="s">
        <v>29250</v>
      </c>
      <c r="N7512" s="308"/>
      <c r="O7512" s="308"/>
      <c r="P7512" s="308" t="s">
        <v>39711</v>
      </c>
      <c r="Q7512" s="308" t="s">
        <v>39573</v>
      </c>
      <c r="R7512" s="308"/>
      <c r="S7512" s="308" t="s">
        <v>81</v>
      </c>
      <c r="T7512" s="308" t="s">
        <v>75</v>
      </c>
      <c r="U7512" s="308" t="s">
        <v>27</v>
      </c>
      <c r="V7512" s="308"/>
    </row>
    <row r="7513">
      <c r="A7513" s="308"/>
      <c r="B7513" s="308"/>
      <c r="C7513" s="308" t="s">
        <v>29889</v>
      </c>
      <c r="D7513" s="308">
        <f>IFERROR(__xludf.DUMMYFUNCTION("SPLIT(C7513,""-"")"),7533.0)</f>
        <v>7533</v>
      </c>
      <c r="E7513" s="308" t="str">
        <f>IFERROR(__xludf.DUMMYFUNCTION("""COMPUTED_VALUE"""),"B")</f>
        <v>B</v>
      </c>
      <c r="F7513" s="315" t="s">
        <v>26</v>
      </c>
      <c r="G7513" s="308"/>
      <c r="H7513" s="308" t="s">
        <v>29890</v>
      </c>
      <c r="I7513" s="310">
        <v>42784.0</v>
      </c>
      <c r="J7513" s="319">
        <f>IFERROR(__xludf.DUMMYFUNCTION("SPLIT(I7513,""/"")"),18.0)</f>
        <v>18</v>
      </c>
      <c r="K7513" s="308">
        <f>IFERROR(__xludf.DUMMYFUNCTION("""COMPUTED_VALUE"""),2.0)</f>
        <v>2</v>
      </c>
      <c r="L7513" s="308">
        <f>IFERROR(__xludf.DUMMYFUNCTION("""COMPUTED_VALUE"""),2017.0)</f>
        <v>2017</v>
      </c>
      <c r="M7513" s="308" t="s">
        <v>29891</v>
      </c>
      <c r="N7513" s="308"/>
      <c r="O7513" s="308"/>
      <c r="P7513" s="308" t="s">
        <v>136</v>
      </c>
      <c r="Q7513" s="308" t="s">
        <v>39573</v>
      </c>
      <c r="R7513" s="308"/>
      <c r="S7513" s="315" t="s">
        <v>100</v>
      </c>
      <c r="T7513" s="308" t="s">
        <v>34208</v>
      </c>
      <c r="U7513" s="308" t="s">
        <v>27</v>
      </c>
      <c r="V7513" s="308"/>
    </row>
    <row r="7514">
      <c r="A7514" s="308"/>
      <c r="B7514" s="308"/>
      <c r="C7514" s="308" t="s">
        <v>29892</v>
      </c>
      <c r="D7514" s="308">
        <f>IFERROR(__xludf.DUMMYFUNCTION("SPLIT(C7514,""-"")"),7534.0)</f>
        <v>7534</v>
      </c>
      <c r="E7514" s="308" t="str">
        <f>IFERROR(__xludf.DUMMYFUNCTION("""COMPUTED_VALUE"""),"B")</f>
        <v>B</v>
      </c>
      <c r="F7514" s="315" t="s">
        <v>26</v>
      </c>
      <c r="G7514" s="308"/>
      <c r="H7514" s="308" t="s">
        <v>29893</v>
      </c>
      <c r="I7514" s="310">
        <v>42769.0</v>
      </c>
      <c r="J7514" s="319">
        <f>IFERROR(__xludf.DUMMYFUNCTION("SPLIT(I7514,""/"")"),3.0)</f>
        <v>3</v>
      </c>
      <c r="K7514" s="308">
        <f>IFERROR(__xludf.DUMMYFUNCTION("""COMPUTED_VALUE"""),2.0)</f>
        <v>2</v>
      </c>
      <c r="L7514" s="308">
        <f>IFERROR(__xludf.DUMMYFUNCTION("""COMPUTED_VALUE"""),2017.0)</f>
        <v>2017</v>
      </c>
      <c r="M7514" s="308" t="s">
        <v>29894</v>
      </c>
      <c r="N7514" s="308"/>
      <c r="O7514" s="308"/>
      <c r="P7514" s="308" t="s">
        <v>39712</v>
      </c>
      <c r="Q7514" s="308" t="s">
        <v>39573</v>
      </c>
      <c r="R7514" s="308"/>
      <c r="S7514" s="308" t="s">
        <v>81</v>
      </c>
      <c r="T7514" s="308" t="s">
        <v>75</v>
      </c>
      <c r="U7514" s="308" t="s">
        <v>27</v>
      </c>
      <c r="V7514" s="308"/>
    </row>
    <row r="7515">
      <c r="A7515" s="308"/>
      <c r="B7515" s="308"/>
      <c r="C7515" s="308" t="s">
        <v>29896</v>
      </c>
      <c r="D7515" s="308">
        <f>IFERROR(__xludf.DUMMYFUNCTION("SPLIT(C7515,""-"")"),7535.0)</f>
        <v>7535</v>
      </c>
      <c r="E7515" s="308" t="str">
        <f>IFERROR(__xludf.DUMMYFUNCTION("""COMPUTED_VALUE"""),"B")</f>
        <v>B</v>
      </c>
      <c r="F7515" s="315" t="s">
        <v>26</v>
      </c>
      <c r="G7515" s="308"/>
      <c r="H7515" s="308" t="s">
        <v>29897</v>
      </c>
      <c r="I7515" s="310">
        <v>42738.0</v>
      </c>
      <c r="J7515" s="319">
        <f>IFERROR(__xludf.DUMMYFUNCTION("SPLIT(I7515,""/"")"),3.0)</f>
        <v>3</v>
      </c>
      <c r="K7515" s="308">
        <f>IFERROR(__xludf.DUMMYFUNCTION("""COMPUTED_VALUE"""),1.0)</f>
        <v>1</v>
      </c>
      <c r="L7515" s="308">
        <f>IFERROR(__xludf.DUMMYFUNCTION("""COMPUTED_VALUE"""),2017.0)</f>
        <v>2017</v>
      </c>
      <c r="M7515" s="308" t="s">
        <v>29407</v>
      </c>
      <c r="N7515" s="308"/>
      <c r="O7515" s="308"/>
      <c r="P7515" s="308" t="s">
        <v>39713</v>
      </c>
      <c r="Q7515" s="308" t="s">
        <v>39573</v>
      </c>
      <c r="R7515" s="308"/>
      <c r="S7515" s="308" t="s">
        <v>81</v>
      </c>
      <c r="T7515" s="308" t="s">
        <v>75</v>
      </c>
      <c r="U7515" s="308" t="s">
        <v>27</v>
      </c>
      <c r="V7515" s="308"/>
    </row>
    <row r="7516">
      <c r="A7516" s="308"/>
      <c r="B7516" s="308"/>
      <c r="C7516" s="308" t="s">
        <v>29899</v>
      </c>
      <c r="D7516" s="308">
        <f>IFERROR(__xludf.DUMMYFUNCTION("SPLIT(C7516,""-"")"),7536.0)</f>
        <v>7536</v>
      </c>
      <c r="E7516" s="308" t="str">
        <f>IFERROR(__xludf.DUMMYFUNCTION("""COMPUTED_VALUE"""),"B")</f>
        <v>B</v>
      </c>
      <c r="F7516" s="315" t="s">
        <v>26</v>
      </c>
      <c r="G7516" s="308"/>
      <c r="H7516" s="308" t="s">
        <v>29900</v>
      </c>
      <c r="I7516" s="310">
        <v>42738.0</v>
      </c>
      <c r="J7516" s="319">
        <f>IFERROR(__xludf.DUMMYFUNCTION("SPLIT(I7516,""/"")"),3.0)</f>
        <v>3</v>
      </c>
      <c r="K7516" s="308">
        <f>IFERROR(__xludf.DUMMYFUNCTION("""COMPUTED_VALUE"""),1.0)</f>
        <v>1</v>
      </c>
      <c r="L7516" s="308">
        <f>IFERROR(__xludf.DUMMYFUNCTION("""COMPUTED_VALUE"""),2017.0)</f>
        <v>2017</v>
      </c>
      <c r="M7516" s="308" t="s">
        <v>29901</v>
      </c>
      <c r="N7516" s="308"/>
      <c r="O7516" s="308"/>
      <c r="P7516" s="308" t="s">
        <v>39714</v>
      </c>
      <c r="Q7516" s="308" t="s">
        <v>39573</v>
      </c>
      <c r="R7516" s="308"/>
      <c r="S7516" s="308" t="s">
        <v>81</v>
      </c>
      <c r="T7516" s="308" t="s">
        <v>75</v>
      </c>
      <c r="U7516" s="308" t="s">
        <v>27</v>
      </c>
      <c r="V7516" s="308"/>
    </row>
    <row r="7517">
      <c r="A7517" s="308"/>
      <c r="B7517" s="308"/>
      <c r="C7517" s="308" t="s">
        <v>29903</v>
      </c>
      <c r="D7517" s="308">
        <f>IFERROR(__xludf.DUMMYFUNCTION("SPLIT(C7517,""-"")"),7537.0)</f>
        <v>7537</v>
      </c>
      <c r="E7517" s="308" t="str">
        <f>IFERROR(__xludf.DUMMYFUNCTION("""COMPUTED_VALUE"""),"B")</f>
        <v>B</v>
      </c>
      <c r="F7517" s="315" t="s">
        <v>26</v>
      </c>
      <c r="G7517" s="308"/>
      <c r="H7517" s="308" t="s">
        <v>29904</v>
      </c>
      <c r="I7517" s="310">
        <v>42738.0</v>
      </c>
      <c r="J7517" s="319">
        <f>IFERROR(__xludf.DUMMYFUNCTION("SPLIT(I7517,""/"")"),3.0)</f>
        <v>3</v>
      </c>
      <c r="K7517" s="308">
        <f>IFERROR(__xludf.DUMMYFUNCTION("""COMPUTED_VALUE"""),1.0)</f>
        <v>1</v>
      </c>
      <c r="L7517" s="308">
        <f>IFERROR(__xludf.DUMMYFUNCTION("""COMPUTED_VALUE"""),2017.0)</f>
        <v>2017</v>
      </c>
      <c r="M7517" s="308" t="s">
        <v>29901</v>
      </c>
      <c r="N7517" s="308"/>
      <c r="O7517" s="308"/>
      <c r="P7517" s="308" t="s">
        <v>39715</v>
      </c>
      <c r="Q7517" s="308" t="s">
        <v>39573</v>
      </c>
      <c r="R7517" s="308"/>
      <c r="S7517" s="308" t="s">
        <v>81</v>
      </c>
      <c r="T7517" s="308" t="s">
        <v>75</v>
      </c>
      <c r="U7517" s="308" t="s">
        <v>27</v>
      </c>
      <c r="V7517" s="308"/>
    </row>
    <row r="7518">
      <c r="A7518" s="308"/>
      <c r="B7518" s="308"/>
      <c r="C7518" s="308" t="s">
        <v>29906</v>
      </c>
      <c r="D7518" s="308">
        <f>IFERROR(__xludf.DUMMYFUNCTION("SPLIT(C7518,""-"")"),7538.0)</f>
        <v>7538</v>
      </c>
      <c r="E7518" s="308" t="str">
        <f>IFERROR(__xludf.DUMMYFUNCTION("""COMPUTED_VALUE"""),"B")</f>
        <v>B</v>
      </c>
      <c r="F7518" s="315" t="s">
        <v>26</v>
      </c>
      <c r="G7518" s="308"/>
      <c r="H7518" s="308" t="s">
        <v>29907</v>
      </c>
      <c r="I7518" s="310">
        <v>42738.0</v>
      </c>
      <c r="J7518" s="319">
        <f>IFERROR(__xludf.DUMMYFUNCTION("SPLIT(I7518,""/"")"),3.0)</f>
        <v>3</v>
      </c>
      <c r="K7518" s="308">
        <f>IFERROR(__xludf.DUMMYFUNCTION("""COMPUTED_VALUE"""),1.0)</f>
        <v>1</v>
      </c>
      <c r="L7518" s="308">
        <f>IFERROR(__xludf.DUMMYFUNCTION("""COMPUTED_VALUE"""),2017.0)</f>
        <v>2017</v>
      </c>
      <c r="M7518" s="308" t="s">
        <v>29901</v>
      </c>
      <c r="N7518" s="308"/>
      <c r="O7518" s="308"/>
      <c r="P7518" s="308" t="s">
        <v>39716</v>
      </c>
      <c r="Q7518" s="308" t="s">
        <v>39573</v>
      </c>
      <c r="R7518" s="308"/>
      <c r="S7518" s="308" t="s">
        <v>81</v>
      </c>
      <c r="T7518" s="308" t="s">
        <v>75</v>
      </c>
      <c r="U7518" s="308" t="s">
        <v>27</v>
      </c>
      <c r="V7518" s="308"/>
    </row>
    <row r="7519">
      <c r="A7519" s="308"/>
      <c r="B7519" s="308"/>
      <c r="C7519" s="308" t="s">
        <v>29909</v>
      </c>
      <c r="D7519" s="308">
        <f>IFERROR(__xludf.DUMMYFUNCTION("SPLIT(C7519,""-"")"),7539.0)</f>
        <v>7539</v>
      </c>
      <c r="E7519" s="308" t="str">
        <f>IFERROR(__xludf.DUMMYFUNCTION("""COMPUTED_VALUE"""),"B")</f>
        <v>B</v>
      </c>
      <c r="F7519" s="315" t="s">
        <v>26</v>
      </c>
      <c r="G7519" s="308"/>
      <c r="H7519" s="308" t="s">
        <v>29910</v>
      </c>
      <c r="I7519" s="310">
        <v>42738.0</v>
      </c>
      <c r="J7519" s="319">
        <f>IFERROR(__xludf.DUMMYFUNCTION("SPLIT(I7519,""/"")"),3.0)</f>
        <v>3</v>
      </c>
      <c r="K7519" s="308">
        <f>IFERROR(__xludf.DUMMYFUNCTION("""COMPUTED_VALUE"""),1.0)</f>
        <v>1</v>
      </c>
      <c r="L7519" s="308">
        <f>IFERROR(__xludf.DUMMYFUNCTION("""COMPUTED_VALUE"""),2017.0)</f>
        <v>2017</v>
      </c>
      <c r="M7519" s="308" t="s">
        <v>29901</v>
      </c>
      <c r="N7519" s="308"/>
      <c r="O7519" s="308"/>
      <c r="P7519" s="308" t="s">
        <v>39717</v>
      </c>
      <c r="Q7519" s="308" t="s">
        <v>39573</v>
      </c>
      <c r="R7519" s="308"/>
      <c r="S7519" s="308" t="s">
        <v>81</v>
      </c>
      <c r="T7519" s="308" t="s">
        <v>75</v>
      </c>
      <c r="U7519" s="308" t="s">
        <v>27</v>
      </c>
      <c r="V7519" s="308"/>
    </row>
    <row r="7520">
      <c r="A7520" s="308"/>
      <c r="B7520" s="308"/>
      <c r="C7520" s="308" t="s">
        <v>29912</v>
      </c>
      <c r="D7520" s="308">
        <f>IFERROR(__xludf.DUMMYFUNCTION("SPLIT(C7520,""-"")"),7540.0)</f>
        <v>7540</v>
      </c>
      <c r="E7520" s="308" t="str">
        <f>IFERROR(__xludf.DUMMYFUNCTION("""COMPUTED_VALUE"""),"B")</f>
        <v>B</v>
      </c>
      <c r="F7520" s="315" t="s">
        <v>26</v>
      </c>
      <c r="G7520" s="308"/>
      <c r="H7520" s="308" t="s">
        <v>29913</v>
      </c>
      <c r="I7520" s="310">
        <v>42794.0</v>
      </c>
      <c r="J7520" s="319">
        <f>IFERROR(__xludf.DUMMYFUNCTION("SPLIT(I7520,""/"")"),28.0)</f>
        <v>28</v>
      </c>
      <c r="K7520" s="308">
        <f>IFERROR(__xludf.DUMMYFUNCTION("""COMPUTED_VALUE"""),2.0)</f>
        <v>2</v>
      </c>
      <c r="L7520" s="308">
        <f>IFERROR(__xludf.DUMMYFUNCTION("""COMPUTED_VALUE"""),2017.0)</f>
        <v>2017</v>
      </c>
      <c r="M7520" s="308" t="s">
        <v>29901</v>
      </c>
      <c r="N7520" s="308"/>
      <c r="O7520" s="308"/>
      <c r="P7520" s="308" t="s">
        <v>39718</v>
      </c>
      <c r="Q7520" s="308" t="s">
        <v>39573</v>
      </c>
      <c r="R7520" s="308"/>
      <c r="S7520" s="308" t="s">
        <v>81</v>
      </c>
      <c r="T7520" s="308" t="s">
        <v>75</v>
      </c>
      <c r="U7520" s="308" t="s">
        <v>27</v>
      </c>
      <c r="V7520" s="308"/>
    </row>
    <row r="7521">
      <c r="A7521" s="308"/>
      <c r="B7521" s="308"/>
      <c r="C7521" s="308" t="s">
        <v>29915</v>
      </c>
      <c r="D7521" s="308">
        <f>IFERROR(__xludf.DUMMYFUNCTION("SPLIT(C7521,""-"")"),7541.0)</f>
        <v>7541</v>
      </c>
      <c r="E7521" s="308" t="str">
        <f>IFERROR(__xludf.DUMMYFUNCTION("""COMPUTED_VALUE"""),"B")</f>
        <v>B</v>
      </c>
      <c r="F7521" s="315" t="s">
        <v>26</v>
      </c>
      <c r="G7521" s="308"/>
      <c r="H7521" s="308" t="s">
        <v>29916</v>
      </c>
      <c r="I7521" s="310">
        <v>42794.0</v>
      </c>
      <c r="J7521" s="319">
        <f>IFERROR(__xludf.DUMMYFUNCTION("SPLIT(I7521,""/"")"),28.0)</f>
        <v>28</v>
      </c>
      <c r="K7521" s="308">
        <f>IFERROR(__xludf.DUMMYFUNCTION("""COMPUTED_VALUE"""),2.0)</f>
        <v>2</v>
      </c>
      <c r="L7521" s="308">
        <f>IFERROR(__xludf.DUMMYFUNCTION("""COMPUTED_VALUE"""),2017.0)</f>
        <v>2017</v>
      </c>
      <c r="M7521" s="308" t="s">
        <v>29865</v>
      </c>
      <c r="N7521" s="308"/>
      <c r="O7521" s="308"/>
      <c r="P7521" s="308" t="s">
        <v>39719</v>
      </c>
      <c r="Q7521" s="308" t="s">
        <v>39573</v>
      </c>
      <c r="R7521" s="308"/>
      <c r="S7521" s="308" t="s">
        <v>81</v>
      </c>
      <c r="T7521" s="308" t="s">
        <v>75</v>
      </c>
      <c r="U7521" s="308" t="s">
        <v>27</v>
      </c>
      <c r="V7521" s="308"/>
    </row>
    <row r="7522">
      <c r="A7522" s="308"/>
      <c r="B7522" s="308"/>
      <c r="C7522" s="308" t="s">
        <v>29918</v>
      </c>
      <c r="D7522" s="308">
        <f>IFERROR(__xludf.DUMMYFUNCTION("SPLIT(C7522,""-"")"),7542.0)</f>
        <v>7542</v>
      </c>
      <c r="E7522" s="308" t="str">
        <f>IFERROR(__xludf.DUMMYFUNCTION("""COMPUTED_VALUE"""),"B")</f>
        <v>B</v>
      </c>
      <c r="F7522" s="315" t="s">
        <v>26</v>
      </c>
      <c r="G7522" s="308"/>
      <c r="H7522" s="308" t="s">
        <v>29919</v>
      </c>
      <c r="I7522" s="310">
        <v>42794.0</v>
      </c>
      <c r="J7522" s="319">
        <f>IFERROR(__xludf.DUMMYFUNCTION("SPLIT(I7522,""/"")"),28.0)</f>
        <v>28</v>
      </c>
      <c r="K7522" s="308">
        <f>IFERROR(__xludf.DUMMYFUNCTION("""COMPUTED_VALUE"""),2.0)</f>
        <v>2</v>
      </c>
      <c r="L7522" s="308">
        <f>IFERROR(__xludf.DUMMYFUNCTION("""COMPUTED_VALUE"""),2017.0)</f>
        <v>2017</v>
      </c>
      <c r="M7522" s="308" t="s">
        <v>29920</v>
      </c>
      <c r="N7522" s="308"/>
      <c r="O7522" s="308"/>
      <c r="P7522" s="308" t="s">
        <v>39720</v>
      </c>
      <c r="Q7522" s="308" t="s">
        <v>39573</v>
      </c>
      <c r="R7522" s="308"/>
      <c r="S7522" s="308" t="s">
        <v>81</v>
      </c>
      <c r="T7522" s="308" t="s">
        <v>75</v>
      </c>
      <c r="U7522" s="308" t="s">
        <v>27</v>
      </c>
      <c r="V7522" s="308"/>
    </row>
    <row r="7523">
      <c r="A7523" s="308"/>
      <c r="B7523" s="308"/>
      <c r="C7523" s="308" t="s">
        <v>29922</v>
      </c>
      <c r="D7523" s="308">
        <f>IFERROR(__xludf.DUMMYFUNCTION("SPLIT(C7523,""-"")"),7543.0)</f>
        <v>7543</v>
      </c>
      <c r="E7523" s="308" t="str">
        <f>IFERROR(__xludf.DUMMYFUNCTION("""COMPUTED_VALUE"""),"B")</f>
        <v>B</v>
      </c>
      <c r="F7523" s="315" t="s">
        <v>26</v>
      </c>
      <c r="G7523" s="308"/>
      <c r="H7523" s="308" t="s">
        <v>29923</v>
      </c>
      <c r="I7523" s="310">
        <v>42794.0</v>
      </c>
      <c r="J7523" s="319">
        <f>IFERROR(__xludf.DUMMYFUNCTION("SPLIT(I7523,""/"")"),28.0)</f>
        <v>28</v>
      </c>
      <c r="K7523" s="308">
        <f>IFERROR(__xludf.DUMMYFUNCTION("""COMPUTED_VALUE"""),2.0)</f>
        <v>2</v>
      </c>
      <c r="L7523" s="308">
        <f>IFERROR(__xludf.DUMMYFUNCTION("""COMPUTED_VALUE"""),2017.0)</f>
        <v>2017</v>
      </c>
      <c r="M7523" s="308" t="s">
        <v>29920</v>
      </c>
      <c r="N7523" s="308"/>
      <c r="O7523" s="308"/>
      <c r="P7523" s="308" t="s">
        <v>39721</v>
      </c>
      <c r="Q7523" s="308" t="s">
        <v>39573</v>
      </c>
      <c r="R7523" s="308"/>
      <c r="S7523" s="308" t="s">
        <v>81</v>
      </c>
      <c r="T7523" s="308" t="s">
        <v>75</v>
      </c>
      <c r="U7523" s="308" t="s">
        <v>27</v>
      </c>
      <c r="V7523" s="308"/>
    </row>
    <row r="7524">
      <c r="A7524" s="308"/>
      <c r="B7524" s="308"/>
      <c r="C7524" s="308" t="s">
        <v>29925</v>
      </c>
      <c r="D7524" s="308">
        <f>IFERROR(__xludf.DUMMYFUNCTION("SPLIT(C7524,""-"")"),7544.0)</f>
        <v>7544</v>
      </c>
      <c r="E7524" s="308" t="str">
        <f>IFERROR(__xludf.DUMMYFUNCTION("""COMPUTED_VALUE"""),"B")</f>
        <v>B</v>
      </c>
      <c r="F7524" s="315" t="s">
        <v>26</v>
      </c>
      <c r="G7524" s="308"/>
      <c r="H7524" s="308" t="s">
        <v>29926</v>
      </c>
      <c r="I7524" s="310">
        <v>42919.0</v>
      </c>
      <c r="J7524" s="319">
        <f>IFERROR(__xludf.DUMMYFUNCTION("SPLIT(I7524,""/"")"),3.0)</f>
        <v>3</v>
      </c>
      <c r="K7524" s="308">
        <f>IFERROR(__xludf.DUMMYFUNCTION("""COMPUTED_VALUE"""),7.0)</f>
        <v>7</v>
      </c>
      <c r="L7524" s="308">
        <f>IFERROR(__xludf.DUMMYFUNCTION("""COMPUTED_VALUE"""),2017.0)</f>
        <v>2017</v>
      </c>
      <c r="M7524" s="308" t="s">
        <v>29927</v>
      </c>
      <c r="N7524" s="308"/>
      <c r="O7524" s="308"/>
      <c r="P7524" s="308" t="s">
        <v>136</v>
      </c>
      <c r="Q7524" s="308" t="s">
        <v>39573</v>
      </c>
      <c r="R7524" s="308"/>
      <c r="S7524" s="315" t="s">
        <v>100</v>
      </c>
      <c r="T7524" s="308" t="s">
        <v>34208</v>
      </c>
      <c r="U7524" s="308" t="s">
        <v>27</v>
      </c>
      <c r="V7524" s="308"/>
    </row>
    <row r="7525">
      <c r="A7525" s="308"/>
      <c r="B7525" s="308"/>
      <c r="C7525" s="308" t="s">
        <v>29928</v>
      </c>
      <c r="D7525" s="308">
        <f>IFERROR(__xludf.DUMMYFUNCTION("SPLIT(C7525,""-"")"),7545.0)</f>
        <v>7545</v>
      </c>
      <c r="E7525" s="308" t="str">
        <f>IFERROR(__xludf.DUMMYFUNCTION("""COMPUTED_VALUE"""),"B")</f>
        <v>B</v>
      </c>
      <c r="F7525" s="315" t="s">
        <v>26</v>
      </c>
      <c r="G7525" s="308"/>
      <c r="H7525" s="308" t="s">
        <v>29929</v>
      </c>
      <c r="I7525" s="310">
        <v>42950.0</v>
      </c>
      <c r="J7525" s="319">
        <f>IFERROR(__xludf.DUMMYFUNCTION("SPLIT(I7525,""/"")"),3.0)</f>
        <v>3</v>
      </c>
      <c r="K7525" s="308">
        <f>IFERROR(__xludf.DUMMYFUNCTION("""COMPUTED_VALUE"""),8.0)</f>
        <v>8</v>
      </c>
      <c r="L7525" s="308">
        <f>IFERROR(__xludf.DUMMYFUNCTION("""COMPUTED_VALUE"""),2017.0)</f>
        <v>2017</v>
      </c>
      <c r="M7525" s="308" t="s">
        <v>29927</v>
      </c>
      <c r="N7525" s="308"/>
      <c r="O7525" s="308"/>
      <c r="P7525" s="308" t="s">
        <v>136</v>
      </c>
      <c r="Q7525" s="308" t="s">
        <v>39573</v>
      </c>
      <c r="R7525" s="308"/>
      <c r="S7525" s="315" t="s">
        <v>100</v>
      </c>
      <c r="T7525" s="308" t="s">
        <v>34208</v>
      </c>
      <c r="U7525" s="308" t="s">
        <v>27</v>
      </c>
      <c r="V7525" s="308"/>
    </row>
    <row r="7526">
      <c r="A7526" s="308"/>
      <c r="B7526" s="308"/>
      <c r="C7526" s="308" t="s">
        <v>29930</v>
      </c>
      <c r="D7526" s="308">
        <f>IFERROR(__xludf.DUMMYFUNCTION("SPLIT(C7526,""-"")"),7546.0)</f>
        <v>7546</v>
      </c>
      <c r="E7526" s="308" t="str">
        <f>IFERROR(__xludf.DUMMYFUNCTION("""COMPUTED_VALUE"""),"B")</f>
        <v>B</v>
      </c>
      <c r="F7526" s="315" t="s">
        <v>26</v>
      </c>
      <c r="G7526" s="308"/>
      <c r="H7526" s="308" t="s">
        <v>29931</v>
      </c>
      <c r="I7526" s="310">
        <v>42950.0</v>
      </c>
      <c r="J7526" s="319">
        <f>IFERROR(__xludf.DUMMYFUNCTION("SPLIT(I7526,""/"")"),3.0)</f>
        <v>3</v>
      </c>
      <c r="K7526" s="308">
        <f>IFERROR(__xludf.DUMMYFUNCTION("""COMPUTED_VALUE"""),8.0)</f>
        <v>8</v>
      </c>
      <c r="L7526" s="308">
        <f>IFERROR(__xludf.DUMMYFUNCTION("""COMPUTED_VALUE"""),2017.0)</f>
        <v>2017</v>
      </c>
      <c r="M7526" s="308" t="s">
        <v>29927</v>
      </c>
      <c r="N7526" s="308"/>
      <c r="O7526" s="308"/>
      <c r="P7526" s="308" t="s">
        <v>136</v>
      </c>
      <c r="Q7526" s="308" t="s">
        <v>39573</v>
      </c>
      <c r="R7526" s="308"/>
      <c r="S7526" s="315" t="s">
        <v>100</v>
      </c>
      <c r="T7526" s="308" t="s">
        <v>34208</v>
      </c>
      <c r="U7526" s="308" t="s">
        <v>27</v>
      </c>
      <c r="V7526" s="308"/>
    </row>
    <row r="7527">
      <c r="A7527" s="308"/>
      <c r="B7527" s="308"/>
      <c r="C7527" s="308" t="s">
        <v>29932</v>
      </c>
      <c r="D7527" s="308">
        <f>IFERROR(__xludf.DUMMYFUNCTION("SPLIT(C7527,""-"")"),7547.0)</f>
        <v>7547</v>
      </c>
      <c r="E7527" s="308" t="str">
        <f>IFERROR(__xludf.DUMMYFUNCTION("""COMPUTED_VALUE"""),"B")</f>
        <v>B</v>
      </c>
      <c r="F7527" s="315" t="s">
        <v>26</v>
      </c>
      <c r="G7527" s="308"/>
      <c r="H7527" s="308" t="s">
        <v>29933</v>
      </c>
      <c r="I7527" s="310">
        <v>42801.0</v>
      </c>
      <c r="J7527" s="319">
        <f>IFERROR(__xludf.DUMMYFUNCTION("SPLIT(I7527,""/"")"),7.0)</f>
        <v>7</v>
      </c>
      <c r="K7527" s="308">
        <f>IFERROR(__xludf.DUMMYFUNCTION("""COMPUTED_VALUE"""),3.0)</f>
        <v>3</v>
      </c>
      <c r="L7527" s="308">
        <f>IFERROR(__xludf.DUMMYFUNCTION("""COMPUTED_VALUE"""),2017.0)</f>
        <v>2017</v>
      </c>
      <c r="M7527" s="308" t="s">
        <v>29927</v>
      </c>
      <c r="N7527" s="308"/>
      <c r="O7527" s="308"/>
      <c r="P7527" s="308" t="s">
        <v>136</v>
      </c>
      <c r="Q7527" s="308" t="s">
        <v>39573</v>
      </c>
      <c r="R7527" s="308"/>
      <c r="S7527" s="315" t="s">
        <v>100</v>
      </c>
      <c r="T7527" s="308" t="s">
        <v>34208</v>
      </c>
      <c r="U7527" s="308" t="s">
        <v>27</v>
      </c>
      <c r="V7527" s="308"/>
    </row>
    <row r="7528">
      <c r="A7528" s="308"/>
      <c r="B7528" s="308"/>
      <c r="C7528" s="308" t="s">
        <v>29934</v>
      </c>
      <c r="D7528" s="308">
        <f>IFERROR(__xludf.DUMMYFUNCTION("SPLIT(C7528,""-"")"),7548.0)</f>
        <v>7548</v>
      </c>
      <c r="E7528" s="308" t="str">
        <f>IFERROR(__xludf.DUMMYFUNCTION("""COMPUTED_VALUE"""),"B")</f>
        <v>B</v>
      </c>
      <c r="F7528" s="315" t="s">
        <v>26</v>
      </c>
      <c r="G7528" s="308"/>
      <c r="H7528" s="308" t="s">
        <v>29935</v>
      </c>
      <c r="I7528" s="310">
        <v>42801.0</v>
      </c>
      <c r="J7528" s="319">
        <f>IFERROR(__xludf.DUMMYFUNCTION("SPLIT(I7528,""/"")"),7.0)</f>
        <v>7</v>
      </c>
      <c r="K7528" s="308">
        <f>IFERROR(__xludf.DUMMYFUNCTION("""COMPUTED_VALUE"""),3.0)</f>
        <v>3</v>
      </c>
      <c r="L7528" s="308">
        <f>IFERROR(__xludf.DUMMYFUNCTION("""COMPUTED_VALUE"""),2017.0)</f>
        <v>2017</v>
      </c>
      <c r="M7528" s="308" t="s">
        <v>29927</v>
      </c>
      <c r="N7528" s="308"/>
      <c r="O7528" s="308"/>
      <c r="P7528" s="308" t="s">
        <v>136</v>
      </c>
      <c r="Q7528" s="308" t="s">
        <v>39573</v>
      </c>
      <c r="R7528" s="308"/>
      <c r="S7528" s="315" t="s">
        <v>100</v>
      </c>
      <c r="T7528" s="308" t="s">
        <v>34208</v>
      </c>
      <c r="U7528" s="308" t="s">
        <v>27</v>
      </c>
      <c r="V7528" s="308"/>
    </row>
    <row r="7529">
      <c r="A7529" s="308"/>
      <c r="B7529" s="308"/>
      <c r="C7529" s="308" t="s">
        <v>29936</v>
      </c>
      <c r="D7529" s="308">
        <f>IFERROR(__xludf.DUMMYFUNCTION("SPLIT(C7529,""-"")"),7549.0)</f>
        <v>7549</v>
      </c>
      <c r="E7529" s="308" t="str">
        <f>IFERROR(__xludf.DUMMYFUNCTION("""COMPUTED_VALUE"""),"B")</f>
        <v>B</v>
      </c>
      <c r="F7529" s="315" t="s">
        <v>26</v>
      </c>
      <c r="G7529" s="308"/>
      <c r="H7529" s="308" t="s">
        <v>29937</v>
      </c>
      <c r="I7529" s="310">
        <v>42801.0</v>
      </c>
      <c r="J7529" s="319">
        <f>IFERROR(__xludf.DUMMYFUNCTION("SPLIT(I7529,""/"")"),7.0)</f>
        <v>7</v>
      </c>
      <c r="K7529" s="308">
        <f>IFERROR(__xludf.DUMMYFUNCTION("""COMPUTED_VALUE"""),3.0)</f>
        <v>3</v>
      </c>
      <c r="L7529" s="308">
        <f>IFERROR(__xludf.DUMMYFUNCTION("""COMPUTED_VALUE"""),2017.0)</f>
        <v>2017</v>
      </c>
      <c r="M7529" s="308" t="s">
        <v>29927</v>
      </c>
      <c r="N7529" s="308"/>
      <c r="O7529" s="308"/>
      <c r="P7529" s="308" t="s">
        <v>136</v>
      </c>
      <c r="Q7529" s="308" t="s">
        <v>39573</v>
      </c>
      <c r="R7529" s="308"/>
      <c r="S7529" s="315" t="s">
        <v>100</v>
      </c>
      <c r="T7529" s="308" t="s">
        <v>34208</v>
      </c>
      <c r="U7529" s="308" t="s">
        <v>27</v>
      </c>
      <c r="V7529" s="308"/>
    </row>
    <row r="7530">
      <c r="A7530" s="308"/>
      <c r="B7530" s="308"/>
      <c r="C7530" s="308" t="s">
        <v>29938</v>
      </c>
      <c r="D7530" s="308">
        <f>IFERROR(__xludf.DUMMYFUNCTION("SPLIT(C7530,""-"")"),7550.0)</f>
        <v>7550</v>
      </c>
      <c r="E7530" s="308" t="str">
        <f>IFERROR(__xludf.DUMMYFUNCTION("""COMPUTED_VALUE"""),"B")</f>
        <v>B</v>
      </c>
      <c r="F7530" s="315" t="s">
        <v>26</v>
      </c>
      <c r="G7530" s="308"/>
      <c r="H7530" s="308" t="s">
        <v>29939</v>
      </c>
      <c r="I7530" s="310">
        <v>42801.0</v>
      </c>
      <c r="J7530" s="319">
        <f>IFERROR(__xludf.DUMMYFUNCTION("SPLIT(I7530,""/"")"),7.0)</f>
        <v>7</v>
      </c>
      <c r="K7530" s="308">
        <f>IFERROR(__xludf.DUMMYFUNCTION("""COMPUTED_VALUE"""),3.0)</f>
        <v>3</v>
      </c>
      <c r="L7530" s="308">
        <f>IFERROR(__xludf.DUMMYFUNCTION("""COMPUTED_VALUE"""),2017.0)</f>
        <v>2017</v>
      </c>
      <c r="M7530" s="308" t="s">
        <v>29927</v>
      </c>
      <c r="N7530" s="308"/>
      <c r="O7530" s="308"/>
      <c r="P7530" s="308" t="s">
        <v>136</v>
      </c>
      <c r="Q7530" s="308" t="s">
        <v>39573</v>
      </c>
      <c r="R7530" s="308"/>
      <c r="S7530" s="315" t="s">
        <v>100</v>
      </c>
      <c r="T7530" s="308" t="s">
        <v>34208</v>
      </c>
      <c r="U7530" s="308" t="s">
        <v>27</v>
      </c>
      <c r="V7530" s="308"/>
    </row>
    <row r="7531">
      <c r="A7531" s="308"/>
      <c r="B7531" s="308"/>
      <c r="C7531" s="308" t="s">
        <v>29940</v>
      </c>
      <c r="D7531" s="308">
        <f>IFERROR(__xludf.DUMMYFUNCTION("SPLIT(C7531,""-"")"),7551.0)</f>
        <v>7551</v>
      </c>
      <c r="E7531" s="308" t="str">
        <f>IFERROR(__xludf.DUMMYFUNCTION("""COMPUTED_VALUE"""),"B")</f>
        <v>B</v>
      </c>
      <c r="F7531" s="315" t="s">
        <v>26</v>
      </c>
      <c r="G7531" s="308"/>
      <c r="H7531" s="308" t="s">
        <v>29941</v>
      </c>
      <c r="I7531" s="310">
        <v>42801.0</v>
      </c>
      <c r="J7531" s="319">
        <f>IFERROR(__xludf.DUMMYFUNCTION("SPLIT(I7531,""/"")"),7.0)</f>
        <v>7</v>
      </c>
      <c r="K7531" s="308">
        <f>IFERROR(__xludf.DUMMYFUNCTION("""COMPUTED_VALUE"""),3.0)</f>
        <v>3</v>
      </c>
      <c r="L7531" s="308">
        <f>IFERROR(__xludf.DUMMYFUNCTION("""COMPUTED_VALUE"""),2017.0)</f>
        <v>2017</v>
      </c>
      <c r="M7531" s="308" t="s">
        <v>29927</v>
      </c>
      <c r="N7531" s="308"/>
      <c r="O7531" s="308"/>
      <c r="P7531" s="308" t="s">
        <v>136</v>
      </c>
      <c r="Q7531" s="308" t="s">
        <v>39573</v>
      </c>
      <c r="R7531" s="308"/>
      <c r="S7531" s="315" t="s">
        <v>100</v>
      </c>
      <c r="T7531" s="308" t="s">
        <v>34208</v>
      </c>
      <c r="U7531" s="308" t="s">
        <v>27</v>
      </c>
      <c r="V7531" s="308"/>
    </row>
    <row r="7532">
      <c r="A7532" s="308"/>
      <c r="B7532" s="308"/>
      <c r="C7532" s="308" t="s">
        <v>29942</v>
      </c>
      <c r="D7532" s="308">
        <f>IFERROR(__xludf.DUMMYFUNCTION("SPLIT(C7532,""-"")"),7552.0)</f>
        <v>7552</v>
      </c>
      <c r="E7532" s="308" t="str">
        <f>IFERROR(__xludf.DUMMYFUNCTION("""COMPUTED_VALUE"""),"B")</f>
        <v>B</v>
      </c>
      <c r="F7532" s="315" t="s">
        <v>26</v>
      </c>
      <c r="G7532" s="308"/>
      <c r="H7532" s="308" t="s">
        <v>29943</v>
      </c>
      <c r="I7532" s="310">
        <v>42801.0</v>
      </c>
      <c r="J7532" s="319">
        <f>IFERROR(__xludf.DUMMYFUNCTION("SPLIT(I7532,""/"")"),7.0)</f>
        <v>7</v>
      </c>
      <c r="K7532" s="308">
        <f>IFERROR(__xludf.DUMMYFUNCTION("""COMPUTED_VALUE"""),3.0)</f>
        <v>3</v>
      </c>
      <c r="L7532" s="308">
        <f>IFERROR(__xludf.DUMMYFUNCTION("""COMPUTED_VALUE"""),2017.0)</f>
        <v>2017</v>
      </c>
      <c r="M7532" s="308" t="s">
        <v>29927</v>
      </c>
      <c r="N7532" s="308"/>
      <c r="O7532" s="308"/>
      <c r="P7532" s="308" t="s">
        <v>136</v>
      </c>
      <c r="Q7532" s="308" t="s">
        <v>39573</v>
      </c>
      <c r="R7532" s="308"/>
      <c r="S7532" s="315" t="s">
        <v>100</v>
      </c>
      <c r="T7532" s="308" t="s">
        <v>34208</v>
      </c>
      <c r="U7532" s="308" t="s">
        <v>27</v>
      </c>
      <c r="V7532" s="308"/>
    </row>
    <row r="7533">
      <c r="A7533" s="308"/>
      <c r="B7533" s="308"/>
      <c r="C7533" s="308" t="s">
        <v>29944</v>
      </c>
      <c r="D7533" s="308">
        <f>IFERROR(__xludf.DUMMYFUNCTION("SPLIT(C7533,""-"")"),7553.0)</f>
        <v>7553</v>
      </c>
      <c r="E7533" s="308" t="str">
        <f>IFERROR(__xludf.DUMMYFUNCTION("""COMPUTED_VALUE"""),"B")</f>
        <v>B</v>
      </c>
      <c r="F7533" s="315" t="s">
        <v>26</v>
      </c>
      <c r="G7533" s="308"/>
      <c r="H7533" s="308" t="s">
        <v>29945</v>
      </c>
      <c r="I7533" s="310">
        <v>42950.0</v>
      </c>
      <c r="J7533" s="319">
        <f>IFERROR(__xludf.DUMMYFUNCTION("SPLIT(I7533,""/"")"),3.0)</f>
        <v>3</v>
      </c>
      <c r="K7533" s="308">
        <f>IFERROR(__xludf.DUMMYFUNCTION("""COMPUTED_VALUE"""),8.0)</f>
        <v>8</v>
      </c>
      <c r="L7533" s="308">
        <f>IFERROR(__xludf.DUMMYFUNCTION("""COMPUTED_VALUE"""),2017.0)</f>
        <v>2017</v>
      </c>
      <c r="M7533" s="308" t="s">
        <v>29927</v>
      </c>
      <c r="N7533" s="308"/>
      <c r="O7533" s="308"/>
      <c r="P7533" s="308" t="s">
        <v>136</v>
      </c>
      <c r="Q7533" s="308" t="s">
        <v>39573</v>
      </c>
      <c r="R7533" s="308"/>
      <c r="S7533" s="315" t="s">
        <v>100</v>
      </c>
      <c r="T7533" s="308" t="s">
        <v>34208</v>
      </c>
      <c r="U7533" s="308" t="s">
        <v>27</v>
      </c>
      <c r="V7533" s="308"/>
    </row>
    <row r="7534">
      <c r="A7534" s="308"/>
      <c r="B7534" s="308"/>
      <c r="C7534" s="308" t="s">
        <v>29946</v>
      </c>
      <c r="D7534" s="308">
        <f>IFERROR(__xludf.DUMMYFUNCTION("SPLIT(C7534,""-"")"),7554.0)</f>
        <v>7554</v>
      </c>
      <c r="E7534" s="308" t="str">
        <f>IFERROR(__xludf.DUMMYFUNCTION("""COMPUTED_VALUE"""),"B")</f>
        <v>B</v>
      </c>
      <c r="F7534" s="315" t="s">
        <v>26</v>
      </c>
      <c r="G7534" s="308"/>
      <c r="H7534" s="308" t="s">
        <v>29947</v>
      </c>
      <c r="I7534" s="310">
        <v>42950.0</v>
      </c>
      <c r="J7534" s="319">
        <f>IFERROR(__xludf.DUMMYFUNCTION("SPLIT(I7534,""/"")"),3.0)</f>
        <v>3</v>
      </c>
      <c r="K7534" s="308">
        <f>IFERROR(__xludf.DUMMYFUNCTION("""COMPUTED_VALUE"""),8.0)</f>
        <v>8</v>
      </c>
      <c r="L7534" s="308">
        <f>IFERROR(__xludf.DUMMYFUNCTION("""COMPUTED_VALUE"""),2017.0)</f>
        <v>2017</v>
      </c>
      <c r="M7534" s="308" t="s">
        <v>29927</v>
      </c>
      <c r="N7534" s="308"/>
      <c r="O7534" s="308"/>
      <c r="P7534" s="308" t="s">
        <v>136</v>
      </c>
      <c r="Q7534" s="308" t="s">
        <v>39573</v>
      </c>
      <c r="R7534" s="308"/>
      <c r="S7534" s="315" t="s">
        <v>100</v>
      </c>
      <c r="T7534" s="308" t="s">
        <v>34208</v>
      </c>
      <c r="U7534" s="308" t="s">
        <v>27</v>
      </c>
      <c r="V7534" s="308"/>
    </row>
    <row r="7535">
      <c r="A7535" s="308"/>
      <c r="B7535" s="308"/>
      <c r="C7535" s="308" t="s">
        <v>29948</v>
      </c>
      <c r="D7535" s="308">
        <f>IFERROR(__xludf.DUMMYFUNCTION("SPLIT(C7535,""-"")"),7555.0)</f>
        <v>7555</v>
      </c>
      <c r="E7535" s="308" t="str">
        <f>IFERROR(__xludf.DUMMYFUNCTION("""COMPUTED_VALUE"""),"B")</f>
        <v>B</v>
      </c>
      <c r="F7535" s="315" t="s">
        <v>26</v>
      </c>
      <c r="G7535" s="308"/>
      <c r="H7535" s="308" t="s">
        <v>29949</v>
      </c>
      <c r="I7535" s="310">
        <v>42809.0</v>
      </c>
      <c r="J7535" s="319">
        <f>IFERROR(__xludf.DUMMYFUNCTION("SPLIT(I7535,""/"")"),15.0)</f>
        <v>15</v>
      </c>
      <c r="K7535" s="308">
        <f>IFERROR(__xludf.DUMMYFUNCTION("""COMPUTED_VALUE"""),3.0)</f>
        <v>3</v>
      </c>
      <c r="L7535" s="308">
        <f>IFERROR(__xludf.DUMMYFUNCTION("""COMPUTED_VALUE"""),2017.0)</f>
        <v>2017</v>
      </c>
      <c r="M7535" s="308" t="s">
        <v>29950</v>
      </c>
      <c r="N7535" s="308"/>
      <c r="O7535" s="308"/>
      <c r="P7535" s="308" t="s">
        <v>136</v>
      </c>
      <c r="Q7535" s="308" t="s">
        <v>39573</v>
      </c>
      <c r="R7535" s="308"/>
      <c r="S7535" s="315" t="s">
        <v>100</v>
      </c>
      <c r="T7535" s="308" t="s">
        <v>34208</v>
      </c>
      <c r="U7535" s="308" t="s">
        <v>27</v>
      </c>
      <c r="V7535" s="308"/>
    </row>
    <row r="7536">
      <c r="A7536" s="308"/>
      <c r="B7536" s="308"/>
      <c r="C7536" s="308" t="s">
        <v>29951</v>
      </c>
      <c r="D7536" s="308">
        <f>IFERROR(__xludf.DUMMYFUNCTION("SPLIT(C7536,""-"")"),7556.0)</f>
        <v>7556</v>
      </c>
      <c r="E7536" s="308" t="str">
        <f>IFERROR(__xludf.DUMMYFUNCTION("""COMPUTED_VALUE"""),"B")</f>
        <v>B</v>
      </c>
      <c r="F7536" s="315" t="s">
        <v>26</v>
      </c>
      <c r="G7536" s="308"/>
      <c r="H7536" s="308" t="s">
        <v>29952</v>
      </c>
      <c r="I7536" s="310">
        <v>42811.0</v>
      </c>
      <c r="J7536" s="319">
        <f>IFERROR(__xludf.DUMMYFUNCTION("SPLIT(I7536,""/"")"),17.0)</f>
        <v>17</v>
      </c>
      <c r="K7536" s="308">
        <f>IFERROR(__xludf.DUMMYFUNCTION("""COMPUTED_VALUE"""),3.0)</f>
        <v>3</v>
      </c>
      <c r="L7536" s="308">
        <f>IFERROR(__xludf.DUMMYFUNCTION("""COMPUTED_VALUE"""),2017.0)</f>
        <v>2017</v>
      </c>
      <c r="M7536" s="308" t="s">
        <v>29953</v>
      </c>
      <c r="N7536" s="308"/>
      <c r="O7536" s="308"/>
      <c r="P7536" s="308" t="s">
        <v>39722</v>
      </c>
      <c r="Q7536" s="308" t="s">
        <v>39573</v>
      </c>
      <c r="R7536" s="308"/>
      <c r="S7536" s="308" t="s">
        <v>81</v>
      </c>
      <c r="T7536" s="308" t="s">
        <v>75</v>
      </c>
      <c r="U7536" s="308" t="s">
        <v>27</v>
      </c>
      <c r="V7536" s="308"/>
    </row>
    <row r="7537">
      <c r="A7537" s="308"/>
      <c r="B7537" s="308"/>
      <c r="C7537" s="308" t="s">
        <v>29955</v>
      </c>
      <c r="D7537" s="308">
        <f>IFERROR(__xludf.DUMMYFUNCTION("SPLIT(C7537,""-"")"),7557.0)</f>
        <v>7557</v>
      </c>
      <c r="E7537" s="308" t="str">
        <f>IFERROR(__xludf.DUMMYFUNCTION("""COMPUTED_VALUE"""),"B")</f>
        <v>B</v>
      </c>
      <c r="F7537" s="315" t="s">
        <v>26</v>
      </c>
      <c r="G7537" s="308"/>
      <c r="H7537" s="308" t="s">
        <v>29956</v>
      </c>
      <c r="I7537" s="310">
        <v>42811.0</v>
      </c>
      <c r="J7537" s="319">
        <f>IFERROR(__xludf.DUMMYFUNCTION("SPLIT(I7537,""/"")"),17.0)</f>
        <v>17</v>
      </c>
      <c r="K7537" s="308">
        <f>IFERROR(__xludf.DUMMYFUNCTION("""COMPUTED_VALUE"""),3.0)</f>
        <v>3</v>
      </c>
      <c r="L7537" s="308">
        <f>IFERROR(__xludf.DUMMYFUNCTION("""COMPUTED_VALUE"""),2017.0)</f>
        <v>2017</v>
      </c>
      <c r="M7537" s="308" t="s">
        <v>29957</v>
      </c>
      <c r="N7537" s="308"/>
      <c r="O7537" s="308"/>
      <c r="P7537" s="308" t="s">
        <v>39723</v>
      </c>
      <c r="Q7537" s="308" t="s">
        <v>39573</v>
      </c>
      <c r="R7537" s="308"/>
      <c r="S7537" s="308" t="s">
        <v>81</v>
      </c>
      <c r="T7537" s="308" t="s">
        <v>75</v>
      </c>
      <c r="U7537" s="308" t="s">
        <v>27</v>
      </c>
      <c r="V7537" s="308"/>
    </row>
    <row r="7538">
      <c r="A7538" s="308"/>
      <c r="B7538" s="308"/>
      <c r="C7538" s="308" t="s">
        <v>29959</v>
      </c>
      <c r="D7538" s="308">
        <f>IFERROR(__xludf.DUMMYFUNCTION("SPLIT(C7538,""-"")"),7558.0)</f>
        <v>7558</v>
      </c>
      <c r="E7538" s="308" t="str">
        <f>IFERROR(__xludf.DUMMYFUNCTION("""COMPUTED_VALUE"""),"B")</f>
        <v>B</v>
      </c>
      <c r="F7538" s="315" t="s">
        <v>26</v>
      </c>
      <c r="G7538" s="308"/>
      <c r="H7538" s="308" t="s">
        <v>29960</v>
      </c>
      <c r="I7538" s="310">
        <v>42811.0</v>
      </c>
      <c r="J7538" s="319">
        <f>IFERROR(__xludf.DUMMYFUNCTION("SPLIT(I7538,""/"")"),17.0)</f>
        <v>17</v>
      </c>
      <c r="K7538" s="308">
        <f>IFERROR(__xludf.DUMMYFUNCTION("""COMPUTED_VALUE"""),3.0)</f>
        <v>3</v>
      </c>
      <c r="L7538" s="308">
        <f>IFERROR(__xludf.DUMMYFUNCTION("""COMPUTED_VALUE"""),2017.0)</f>
        <v>2017</v>
      </c>
      <c r="M7538" s="308" t="s">
        <v>29006</v>
      </c>
      <c r="N7538" s="308"/>
      <c r="O7538" s="308"/>
      <c r="P7538" s="308" t="s">
        <v>136</v>
      </c>
      <c r="Q7538" s="308" t="s">
        <v>39573</v>
      </c>
      <c r="R7538" s="308"/>
      <c r="S7538" s="315" t="s">
        <v>100</v>
      </c>
      <c r="T7538" s="308" t="s">
        <v>34208</v>
      </c>
      <c r="U7538" s="308" t="s">
        <v>27</v>
      </c>
      <c r="V7538" s="308"/>
    </row>
    <row r="7539">
      <c r="A7539" s="308"/>
      <c r="B7539" s="308"/>
      <c r="C7539" s="308" t="s">
        <v>29961</v>
      </c>
      <c r="D7539" s="308">
        <f>IFERROR(__xludf.DUMMYFUNCTION("SPLIT(C7539,""-"")"),7559.0)</f>
        <v>7559</v>
      </c>
      <c r="E7539" s="308" t="str">
        <f>IFERROR(__xludf.DUMMYFUNCTION("""COMPUTED_VALUE"""),"B")</f>
        <v>B</v>
      </c>
      <c r="F7539" s="315" t="s">
        <v>26</v>
      </c>
      <c r="G7539" s="308"/>
      <c r="H7539" s="308" t="s">
        <v>39724</v>
      </c>
      <c r="I7539" s="310">
        <v>42809.0</v>
      </c>
      <c r="J7539" s="319">
        <f>IFERROR(__xludf.DUMMYFUNCTION("SPLIT(I7539,""/"")"),15.0)</f>
        <v>15</v>
      </c>
      <c r="K7539" s="308">
        <f>IFERROR(__xludf.DUMMYFUNCTION("""COMPUTED_VALUE"""),3.0)</f>
        <v>3</v>
      </c>
      <c r="L7539" s="308">
        <f>IFERROR(__xludf.DUMMYFUNCTION("""COMPUTED_VALUE"""),2017.0)</f>
        <v>2017</v>
      </c>
      <c r="M7539" s="308" t="s">
        <v>29950</v>
      </c>
      <c r="N7539" s="308"/>
      <c r="O7539" s="308"/>
      <c r="P7539" s="308" t="s">
        <v>136</v>
      </c>
      <c r="Q7539" s="308" t="s">
        <v>39573</v>
      </c>
      <c r="R7539" s="308"/>
      <c r="S7539" s="315" t="s">
        <v>100</v>
      </c>
      <c r="T7539" s="308" t="s">
        <v>34208</v>
      </c>
      <c r="U7539" s="308" t="s">
        <v>27</v>
      </c>
      <c r="V7539" s="308"/>
    </row>
    <row r="7540">
      <c r="A7540" s="308"/>
      <c r="B7540" s="308"/>
      <c r="C7540" s="308" t="s">
        <v>29963</v>
      </c>
      <c r="D7540" s="308">
        <f>IFERROR(__xludf.DUMMYFUNCTION("SPLIT(C7540,""-"")"),7560.0)</f>
        <v>7560</v>
      </c>
      <c r="E7540" s="308" t="str">
        <f>IFERROR(__xludf.DUMMYFUNCTION("""COMPUTED_VALUE"""),"B")</f>
        <v>B</v>
      </c>
      <c r="F7540" s="315" t="s">
        <v>26</v>
      </c>
      <c r="G7540" s="308"/>
      <c r="H7540" s="308" t="s">
        <v>29964</v>
      </c>
      <c r="I7540" s="310">
        <v>42809.0</v>
      </c>
      <c r="J7540" s="319">
        <f>IFERROR(__xludf.DUMMYFUNCTION("SPLIT(I7540,""/"")"),15.0)</f>
        <v>15</v>
      </c>
      <c r="K7540" s="308">
        <f>IFERROR(__xludf.DUMMYFUNCTION("""COMPUTED_VALUE"""),3.0)</f>
        <v>3</v>
      </c>
      <c r="L7540" s="308">
        <f>IFERROR(__xludf.DUMMYFUNCTION("""COMPUTED_VALUE"""),2017.0)</f>
        <v>2017</v>
      </c>
      <c r="M7540" s="308" t="s">
        <v>29950</v>
      </c>
      <c r="N7540" s="308"/>
      <c r="O7540" s="308"/>
      <c r="P7540" s="308" t="s">
        <v>136</v>
      </c>
      <c r="Q7540" s="308" t="s">
        <v>39573</v>
      </c>
      <c r="R7540" s="308"/>
      <c r="S7540" s="315" t="s">
        <v>100</v>
      </c>
      <c r="T7540" s="308" t="s">
        <v>34208</v>
      </c>
      <c r="U7540" s="308" t="s">
        <v>27</v>
      </c>
      <c r="V7540" s="308"/>
    </row>
    <row r="7541">
      <c r="A7541" s="308"/>
      <c r="B7541" s="308"/>
      <c r="C7541" s="308" t="s">
        <v>29965</v>
      </c>
      <c r="D7541" s="308">
        <f>IFERROR(__xludf.DUMMYFUNCTION("SPLIT(C7541,""-"")"),7561.0)</f>
        <v>7561</v>
      </c>
      <c r="E7541" s="308" t="str">
        <f>IFERROR(__xludf.DUMMYFUNCTION("""COMPUTED_VALUE"""),"B")</f>
        <v>B</v>
      </c>
      <c r="F7541" s="315" t="s">
        <v>26</v>
      </c>
      <c r="G7541" s="308"/>
      <c r="H7541" s="308" t="s">
        <v>29966</v>
      </c>
      <c r="I7541" s="310">
        <v>42809.0</v>
      </c>
      <c r="J7541" s="319">
        <f>IFERROR(__xludf.DUMMYFUNCTION("SPLIT(I7541,""/"")"),15.0)</f>
        <v>15</v>
      </c>
      <c r="K7541" s="308">
        <f>IFERROR(__xludf.DUMMYFUNCTION("""COMPUTED_VALUE"""),3.0)</f>
        <v>3</v>
      </c>
      <c r="L7541" s="308">
        <f>IFERROR(__xludf.DUMMYFUNCTION("""COMPUTED_VALUE"""),2017.0)</f>
        <v>2017</v>
      </c>
      <c r="M7541" s="308" t="s">
        <v>29967</v>
      </c>
      <c r="N7541" s="308"/>
      <c r="O7541" s="308"/>
      <c r="P7541" s="308" t="s">
        <v>136</v>
      </c>
      <c r="Q7541" s="308" t="s">
        <v>39573</v>
      </c>
      <c r="R7541" s="308"/>
      <c r="S7541" s="315" t="s">
        <v>100</v>
      </c>
      <c r="T7541" s="308" t="s">
        <v>34208</v>
      </c>
      <c r="U7541" s="308" t="s">
        <v>27</v>
      </c>
      <c r="V7541" s="308"/>
    </row>
    <row r="7542">
      <c r="A7542" s="308"/>
      <c r="B7542" s="308"/>
      <c r="C7542" s="308" t="s">
        <v>29968</v>
      </c>
      <c r="D7542" s="308">
        <f>IFERROR(__xludf.DUMMYFUNCTION("SPLIT(C7542,""-"")"),7562.0)</f>
        <v>7562</v>
      </c>
      <c r="E7542" s="308" t="str">
        <f>IFERROR(__xludf.DUMMYFUNCTION("""COMPUTED_VALUE"""),"B")</f>
        <v>B</v>
      </c>
      <c r="F7542" s="315" t="s">
        <v>26</v>
      </c>
      <c r="G7542" s="308"/>
      <c r="H7542" s="308" t="s">
        <v>29969</v>
      </c>
      <c r="I7542" s="310">
        <v>38785.0</v>
      </c>
      <c r="J7542" s="319">
        <f>IFERROR(__xludf.DUMMYFUNCTION("SPLIT(I7542,""/"")"),9.0)</f>
        <v>9</v>
      </c>
      <c r="K7542" s="308">
        <f>IFERROR(__xludf.DUMMYFUNCTION("""COMPUTED_VALUE"""),3.0)</f>
        <v>3</v>
      </c>
      <c r="L7542" s="308">
        <f>IFERROR(__xludf.DUMMYFUNCTION("""COMPUTED_VALUE"""),2006.0)</f>
        <v>2006</v>
      </c>
      <c r="M7542" s="308" t="s">
        <v>29970</v>
      </c>
      <c r="N7542" s="308"/>
      <c r="O7542" s="308"/>
      <c r="P7542" s="308" t="s">
        <v>136</v>
      </c>
      <c r="Q7542" s="308" t="s">
        <v>39573</v>
      </c>
      <c r="R7542" s="308"/>
      <c r="S7542" s="315" t="s">
        <v>100</v>
      </c>
      <c r="T7542" s="308" t="s">
        <v>34208</v>
      </c>
      <c r="U7542" s="308" t="s">
        <v>27</v>
      </c>
      <c r="V7542" s="308"/>
    </row>
    <row r="7543">
      <c r="A7543" s="308"/>
      <c r="B7543" s="308"/>
      <c r="C7543" s="308" t="s">
        <v>29971</v>
      </c>
      <c r="D7543" s="308">
        <f>IFERROR(__xludf.DUMMYFUNCTION("SPLIT(C7543,""-"")"),7563.0)</f>
        <v>7563</v>
      </c>
      <c r="E7543" s="308" t="str">
        <f>IFERROR(__xludf.DUMMYFUNCTION("""COMPUTED_VALUE"""),"B")</f>
        <v>B</v>
      </c>
      <c r="F7543" s="315" t="s">
        <v>26</v>
      </c>
      <c r="G7543" s="308"/>
      <c r="H7543" s="308" t="s">
        <v>29972</v>
      </c>
      <c r="I7543" s="310">
        <v>38785.0</v>
      </c>
      <c r="J7543" s="319">
        <f>IFERROR(__xludf.DUMMYFUNCTION("SPLIT(I7543,""/"")"),9.0)</f>
        <v>9</v>
      </c>
      <c r="K7543" s="308">
        <f>IFERROR(__xludf.DUMMYFUNCTION("""COMPUTED_VALUE"""),3.0)</f>
        <v>3</v>
      </c>
      <c r="L7543" s="308">
        <f>IFERROR(__xludf.DUMMYFUNCTION("""COMPUTED_VALUE"""),2006.0)</f>
        <v>2006</v>
      </c>
      <c r="M7543" s="308" t="s">
        <v>29970</v>
      </c>
      <c r="N7543" s="308"/>
      <c r="O7543" s="308"/>
      <c r="P7543" s="308" t="s">
        <v>136</v>
      </c>
      <c r="Q7543" s="308" t="s">
        <v>39573</v>
      </c>
      <c r="R7543" s="308"/>
      <c r="S7543" s="315" t="s">
        <v>100</v>
      </c>
      <c r="T7543" s="308" t="s">
        <v>34208</v>
      </c>
      <c r="U7543" s="308" t="s">
        <v>27</v>
      </c>
      <c r="V7543" s="308"/>
    </row>
    <row r="7544">
      <c r="A7544" s="308"/>
      <c r="B7544" s="308"/>
      <c r="C7544" s="308" t="s">
        <v>29973</v>
      </c>
      <c r="D7544" s="308">
        <f>IFERROR(__xludf.DUMMYFUNCTION("SPLIT(C7544,""-"")"),7564.0)</f>
        <v>7564</v>
      </c>
      <c r="E7544" s="308" t="str">
        <f>IFERROR(__xludf.DUMMYFUNCTION("""COMPUTED_VALUE"""),"B")</f>
        <v>B</v>
      </c>
      <c r="F7544" s="315" t="s">
        <v>26</v>
      </c>
      <c r="G7544" s="308"/>
      <c r="H7544" s="308" t="s">
        <v>29974</v>
      </c>
      <c r="I7544" s="310">
        <v>38785.0</v>
      </c>
      <c r="J7544" s="319">
        <f>IFERROR(__xludf.DUMMYFUNCTION("SPLIT(I7544,""/"")"),9.0)</f>
        <v>9</v>
      </c>
      <c r="K7544" s="308">
        <f>IFERROR(__xludf.DUMMYFUNCTION("""COMPUTED_VALUE"""),3.0)</f>
        <v>3</v>
      </c>
      <c r="L7544" s="308">
        <f>IFERROR(__xludf.DUMMYFUNCTION("""COMPUTED_VALUE"""),2006.0)</f>
        <v>2006</v>
      </c>
      <c r="M7544" s="308" t="s">
        <v>29970</v>
      </c>
      <c r="N7544" s="308"/>
      <c r="O7544" s="308"/>
      <c r="P7544" s="308" t="s">
        <v>136</v>
      </c>
      <c r="Q7544" s="308" t="s">
        <v>39573</v>
      </c>
      <c r="R7544" s="308"/>
      <c r="S7544" s="315" t="s">
        <v>100</v>
      </c>
      <c r="T7544" s="308" t="s">
        <v>34208</v>
      </c>
      <c r="U7544" s="308" t="s">
        <v>27</v>
      </c>
      <c r="V7544" s="308"/>
    </row>
    <row r="7545">
      <c r="A7545" s="308"/>
      <c r="B7545" s="308"/>
      <c r="C7545" s="308" t="s">
        <v>29975</v>
      </c>
      <c r="D7545" s="308">
        <f>IFERROR(__xludf.DUMMYFUNCTION("SPLIT(C7545,""-"")"),7565.0)</f>
        <v>7565</v>
      </c>
      <c r="E7545" s="308" t="str">
        <f>IFERROR(__xludf.DUMMYFUNCTION("""COMPUTED_VALUE"""),"B")</f>
        <v>B</v>
      </c>
      <c r="F7545" s="315" t="s">
        <v>26</v>
      </c>
      <c r="G7545" s="308"/>
      <c r="H7545" s="308" t="s">
        <v>29976</v>
      </c>
      <c r="I7545" s="310">
        <v>38785.0</v>
      </c>
      <c r="J7545" s="319">
        <f>IFERROR(__xludf.DUMMYFUNCTION("SPLIT(I7545,""/"")"),9.0)</f>
        <v>9</v>
      </c>
      <c r="K7545" s="308">
        <f>IFERROR(__xludf.DUMMYFUNCTION("""COMPUTED_VALUE"""),3.0)</f>
        <v>3</v>
      </c>
      <c r="L7545" s="308">
        <f>IFERROR(__xludf.DUMMYFUNCTION("""COMPUTED_VALUE"""),2006.0)</f>
        <v>2006</v>
      </c>
      <c r="M7545" s="308" t="s">
        <v>29970</v>
      </c>
      <c r="N7545" s="308"/>
      <c r="O7545" s="308"/>
      <c r="P7545" s="308" t="s">
        <v>136</v>
      </c>
      <c r="Q7545" s="308" t="s">
        <v>39573</v>
      </c>
      <c r="R7545" s="308"/>
      <c r="S7545" s="315" t="s">
        <v>100</v>
      </c>
      <c r="T7545" s="308" t="s">
        <v>34208</v>
      </c>
      <c r="U7545" s="308" t="s">
        <v>27</v>
      </c>
      <c r="V7545" s="308"/>
    </row>
    <row r="7546">
      <c r="A7546" s="308"/>
      <c r="B7546" s="308"/>
      <c r="C7546" s="308" t="s">
        <v>29977</v>
      </c>
      <c r="D7546" s="308">
        <f>IFERROR(__xludf.DUMMYFUNCTION("SPLIT(C7546,""-"")"),7566.0)</f>
        <v>7566</v>
      </c>
      <c r="E7546" s="308" t="str">
        <f>IFERROR(__xludf.DUMMYFUNCTION("""COMPUTED_VALUE"""),"B")</f>
        <v>B</v>
      </c>
      <c r="F7546" s="315" t="s">
        <v>26</v>
      </c>
      <c r="G7546" s="308"/>
      <c r="H7546" s="308" t="s">
        <v>29978</v>
      </c>
      <c r="I7546" s="310">
        <v>38785.0</v>
      </c>
      <c r="J7546" s="319">
        <f>IFERROR(__xludf.DUMMYFUNCTION("SPLIT(I7546,""/"")"),9.0)</f>
        <v>9</v>
      </c>
      <c r="K7546" s="308">
        <f>IFERROR(__xludf.DUMMYFUNCTION("""COMPUTED_VALUE"""),3.0)</f>
        <v>3</v>
      </c>
      <c r="L7546" s="308">
        <f>IFERROR(__xludf.DUMMYFUNCTION("""COMPUTED_VALUE"""),2006.0)</f>
        <v>2006</v>
      </c>
      <c r="M7546" s="308" t="s">
        <v>29970</v>
      </c>
      <c r="N7546" s="308"/>
      <c r="O7546" s="308"/>
      <c r="P7546" s="308" t="s">
        <v>136</v>
      </c>
      <c r="Q7546" s="308" t="s">
        <v>39573</v>
      </c>
      <c r="R7546" s="308"/>
      <c r="S7546" s="315" t="s">
        <v>100</v>
      </c>
      <c r="T7546" s="308" t="s">
        <v>34208</v>
      </c>
      <c r="U7546" s="308" t="s">
        <v>27</v>
      </c>
      <c r="V7546" s="308"/>
    </row>
    <row r="7547">
      <c r="A7547" s="308"/>
      <c r="B7547" s="308"/>
      <c r="C7547" s="308" t="s">
        <v>29979</v>
      </c>
      <c r="D7547" s="308">
        <f>IFERROR(__xludf.DUMMYFUNCTION("SPLIT(C7547,""-"")"),7567.0)</f>
        <v>7567</v>
      </c>
      <c r="E7547" s="308" t="str">
        <f>IFERROR(__xludf.DUMMYFUNCTION("""COMPUTED_VALUE"""),"B")</f>
        <v>B</v>
      </c>
      <c r="F7547" s="315" t="s">
        <v>26</v>
      </c>
      <c r="G7547" s="308"/>
      <c r="H7547" s="308" t="s">
        <v>29980</v>
      </c>
      <c r="I7547" s="310">
        <v>38785.0</v>
      </c>
      <c r="J7547" s="319">
        <f>IFERROR(__xludf.DUMMYFUNCTION("SPLIT(I7547,""/"")"),9.0)</f>
        <v>9</v>
      </c>
      <c r="K7547" s="308">
        <f>IFERROR(__xludf.DUMMYFUNCTION("""COMPUTED_VALUE"""),3.0)</f>
        <v>3</v>
      </c>
      <c r="L7547" s="308">
        <f>IFERROR(__xludf.DUMMYFUNCTION("""COMPUTED_VALUE"""),2006.0)</f>
        <v>2006</v>
      </c>
      <c r="M7547" s="308" t="s">
        <v>29970</v>
      </c>
      <c r="N7547" s="308"/>
      <c r="O7547" s="308"/>
      <c r="P7547" s="308" t="s">
        <v>136</v>
      </c>
      <c r="Q7547" s="308" t="s">
        <v>39573</v>
      </c>
      <c r="R7547" s="308"/>
      <c r="S7547" s="315" t="s">
        <v>100</v>
      </c>
      <c r="T7547" s="308" t="s">
        <v>34208</v>
      </c>
      <c r="U7547" s="308" t="s">
        <v>27</v>
      </c>
      <c r="V7547" s="308"/>
    </row>
    <row r="7548">
      <c r="A7548" s="308"/>
      <c r="B7548" s="308"/>
      <c r="C7548" s="308" t="s">
        <v>29981</v>
      </c>
      <c r="D7548" s="308">
        <f>IFERROR(__xludf.DUMMYFUNCTION("SPLIT(C7548,""-"")"),7568.0)</f>
        <v>7568</v>
      </c>
      <c r="E7548" s="308" t="str">
        <f>IFERROR(__xludf.DUMMYFUNCTION("""COMPUTED_VALUE"""),"B")</f>
        <v>B</v>
      </c>
      <c r="F7548" s="315" t="s">
        <v>26</v>
      </c>
      <c r="G7548" s="308"/>
      <c r="H7548" s="308" t="s">
        <v>29982</v>
      </c>
      <c r="I7548" s="310">
        <v>38785.0</v>
      </c>
      <c r="J7548" s="319">
        <f>IFERROR(__xludf.DUMMYFUNCTION("SPLIT(I7548,""/"")"),9.0)</f>
        <v>9</v>
      </c>
      <c r="K7548" s="308">
        <f>IFERROR(__xludf.DUMMYFUNCTION("""COMPUTED_VALUE"""),3.0)</f>
        <v>3</v>
      </c>
      <c r="L7548" s="308">
        <f>IFERROR(__xludf.DUMMYFUNCTION("""COMPUTED_VALUE"""),2006.0)</f>
        <v>2006</v>
      </c>
      <c r="M7548" s="308" t="s">
        <v>29970</v>
      </c>
      <c r="N7548" s="308"/>
      <c r="O7548" s="308"/>
      <c r="P7548" s="308" t="s">
        <v>136</v>
      </c>
      <c r="Q7548" s="308" t="s">
        <v>39573</v>
      </c>
      <c r="R7548" s="308"/>
      <c r="S7548" s="315" t="s">
        <v>100</v>
      </c>
      <c r="T7548" s="308" t="s">
        <v>34208</v>
      </c>
      <c r="U7548" s="308" t="s">
        <v>27</v>
      </c>
      <c r="V7548" s="308"/>
    </row>
    <row r="7549">
      <c r="A7549" s="308"/>
      <c r="B7549" s="308"/>
      <c r="C7549" s="308" t="s">
        <v>29983</v>
      </c>
      <c r="D7549" s="308">
        <f>IFERROR(__xludf.DUMMYFUNCTION("SPLIT(C7549,""-"")"),7569.0)</f>
        <v>7569</v>
      </c>
      <c r="E7549" s="308" t="str">
        <f>IFERROR(__xludf.DUMMYFUNCTION("""COMPUTED_VALUE"""),"B")</f>
        <v>B</v>
      </c>
      <c r="F7549" s="315" t="s">
        <v>26</v>
      </c>
      <c r="G7549" s="308"/>
      <c r="H7549" s="308" t="s">
        <v>29984</v>
      </c>
      <c r="I7549" s="310">
        <v>38785.0</v>
      </c>
      <c r="J7549" s="319">
        <f>IFERROR(__xludf.DUMMYFUNCTION("SPLIT(I7549,""/"")"),9.0)</f>
        <v>9</v>
      </c>
      <c r="K7549" s="308">
        <f>IFERROR(__xludf.DUMMYFUNCTION("""COMPUTED_VALUE"""),3.0)</f>
        <v>3</v>
      </c>
      <c r="L7549" s="308">
        <f>IFERROR(__xludf.DUMMYFUNCTION("""COMPUTED_VALUE"""),2006.0)</f>
        <v>2006</v>
      </c>
      <c r="M7549" s="308" t="s">
        <v>29970</v>
      </c>
      <c r="N7549" s="308"/>
      <c r="O7549" s="308"/>
      <c r="P7549" s="308" t="s">
        <v>136</v>
      </c>
      <c r="Q7549" s="308" t="s">
        <v>39573</v>
      </c>
      <c r="R7549" s="308"/>
      <c r="S7549" s="315" t="s">
        <v>100</v>
      </c>
      <c r="T7549" s="308" t="s">
        <v>34208</v>
      </c>
      <c r="U7549" s="308" t="s">
        <v>27</v>
      </c>
      <c r="V7549" s="308"/>
    </row>
    <row r="7550">
      <c r="A7550" s="308"/>
      <c r="B7550" s="308"/>
      <c r="C7550" s="308" t="s">
        <v>29985</v>
      </c>
      <c r="D7550" s="308">
        <f>IFERROR(__xludf.DUMMYFUNCTION("SPLIT(C7550,""-"")"),7570.0)</f>
        <v>7570</v>
      </c>
      <c r="E7550" s="308" t="str">
        <f>IFERROR(__xludf.DUMMYFUNCTION("""COMPUTED_VALUE"""),"B")</f>
        <v>B</v>
      </c>
      <c r="F7550" s="315" t="s">
        <v>26</v>
      </c>
      <c r="G7550" s="308"/>
      <c r="H7550" s="308" t="s">
        <v>29986</v>
      </c>
      <c r="I7550" s="310">
        <v>38785.0</v>
      </c>
      <c r="J7550" s="319">
        <f>IFERROR(__xludf.DUMMYFUNCTION("SPLIT(I7550,""/"")"),9.0)</f>
        <v>9</v>
      </c>
      <c r="K7550" s="308">
        <f>IFERROR(__xludf.DUMMYFUNCTION("""COMPUTED_VALUE"""),3.0)</f>
        <v>3</v>
      </c>
      <c r="L7550" s="308">
        <f>IFERROR(__xludf.DUMMYFUNCTION("""COMPUTED_VALUE"""),2006.0)</f>
        <v>2006</v>
      </c>
      <c r="M7550" s="308" t="s">
        <v>29970</v>
      </c>
      <c r="N7550" s="308"/>
      <c r="O7550" s="308"/>
      <c r="P7550" s="308" t="s">
        <v>136</v>
      </c>
      <c r="Q7550" s="308" t="s">
        <v>39573</v>
      </c>
      <c r="R7550" s="308"/>
      <c r="S7550" s="315" t="s">
        <v>100</v>
      </c>
      <c r="T7550" s="308" t="s">
        <v>34208</v>
      </c>
      <c r="U7550" s="308" t="s">
        <v>27</v>
      </c>
      <c r="V7550" s="308"/>
    </row>
    <row r="7551">
      <c r="A7551" s="308"/>
      <c r="B7551" s="308"/>
      <c r="C7551" s="308" t="s">
        <v>29987</v>
      </c>
      <c r="D7551" s="308">
        <f>IFERROR(__xludf.DUMMYFUNCTION("SPLIT(C7551,""-"")"),7571.0)</f>
        <v>7571</v>
      </c>
      <c r="E7551" s="308" t="str">
        <f>IFERROR(__xludf.DUMMYFUNCTION("""COMPUTED_VALUE"""),"B")</f>
        <v>B</v>
      </c>
      <c r="F7551" s="315" t="s">
        <v>26</v>
      </c>
      <c r="G7551" s="308"/>
      <c r="H7551" s="308" t="s">
        <v>29988</v>
      </c>
      <c r="I7551" s="310">
        <v>38785.0</v>
      </c>
      <c r="J7551" s="319">
        <f>IFERROR(__xludf.DUMMYFUNCTION("SPLIT(I7551,""/"")"),9.0)</f>
        <v>9</v>
      </c>
      <c r="K7551" s="308">
        <f>IFERROR(__xludf.DUMMYFUNCTION("""COMPUTED_VALUE"""),3.0)</f>
        <v>3</v>
      </c>
      <c r="L7551" s="308">
        <f>IFERROR(__xludf.DUMMYFUNCTION("""COMPUTED_VALUE"""),2006.0)</f>
        <v>2006</v>
      </c>
      <c r="M7551" s="308" t="s">
        <v>29970</v>
      </c>
      <c r="N7551" s="308"/>
      <c r="O7551" s="308"/>
      <c r="P7551" s="308" t="s">
        <v>136</v>
      </c>
      <c r="Q7551" s="308" t="s">
        <v>39573</v>
      </c>
      <c r="R7551" s="308"/>
      <c r="S7551" s="315" t="s">
        <v>100</v>
      </c>
      <c r="T7551" s="308" t="s">
        <v>34208</v>
      </c>
      <c r="U7551" s="308" t="s">
        <v>27</v>
      </c>
      <c r="V7551" s="308"/>
    </row>
    <row r="7552">
      <c r="A7552" s="308"/>
      <c r="B7552" s="308"/>
      <c r="C7552" s="308" t="s">
        <v>29989</v>
      </c>
      <c r="D7552" s="308">
        <f>IFERROR(__xludf.DUMMYFUNCTION("SPLIT(C7552,""-"")"),7572.0)</f>
        <v>7572</v>
      </c>
      <c r="E7552" s="308" t="str">
        <f>IFERROR(__xludf.DUMMYFUNCTION("""COMPUTED_VALUE"""),"B")</f>
        <v>B</v>
      </c>
      <c r="F7552" s="315" t="s">
        <v>26</v>
      </c>
      <c r="G7552" s="308"/>
      <c r="H7552" s="308" t="s">
        <v>29990</v>
      </c>
      <c r="I7552" s="310">
        <v>38785.0</v>
      </c>
      <c r="J7552" s="319">
        <f>IFERROR(__xludf.DUMMYFUNCTION("SPLIT(I7552,""/"")"),9.0)</f>
        <v>9</v>
      </c>
      <c r="K7552" s="308">
        <f>IFERROR(__xludf.DUMMYFUNCTION("""COMPUTED_VALUE"""),3.0)</f>
        <v>3</v>
      </c>
      <c r="L7552" s="308">
        <f>IFERROR(__xludf.DUMMYFUNCTION("""COMPUTED_VALUE"""),2006.0)</f>
        <v>2006</v>
      </c>
      <c r="M7552" s="308" t="s">
        <v>29970</v>
      </c>
      <c r="N7552" s="308"/>
      <c r="O7552" s="308"/>
      <c r="P7552" s="308" t="s">
        <v>136</v>
      </c>
      <c r="Q7552" s="308" t="s">
        <v>39573</v>
      </c>
      <c r="R7552" s="308"/>
      <c r="S7552" s="315" t="s">
        <v>100</v>
      </c>
      <c r="T7552" s="308" t="s">
        <v>34208</v>
      </c>
      <c r="U7552" s="308" t="s">
        <v>27</v>
      </c>
      <c r="V7552" s="308"/>
    </row>
    <row r="7553">
      <c r="A7553" s="308"/>
      <c r="B7553" s="308"/>
      <c r="C7553" s="308" t="s">
        <v>29991</v>
      </c>
      <c r="D7553" s="308">
        <f>IFERROR(__xludf.DUMMYFUNCTION("SPLIT(C7553,""-"")"),7573.0)</f>
        <v>7573</v>
      </c>
      <c r="E7553" s="308" t="str">
        <f>IFERROR(__xludf.DUMMYFUNCTION("""COMPUTED_VALUE"""),"B")</f>
        <v>B</v>
      </c>
      <c r="F7553" s="315" t="s">
        <v>26</v>
      </c>
      <c r="G7553" s="308"/>
      <c r="H7553" s="308" t="s">
        <v>29992</v>
      </c>
      <c r="I7553" s="310">
        <v>38785.0</v>
      </c>
      <c r="J7553" s="319">
        <f>IFERROR(__xludf.DUMMYFUNCTION("SPLIT(I7553,""/"")"),9.0)</f>
        <v>9</v>
      </c>
      <c r="K7553" s="308">
        <f>IFERROR(__xludf.DUMMYFUNCTION("""COMPUTED_VALUE"""),3.0)</f>
        <v>3</v>
      </c>
      <c r="L7553" s="308">
        <f>IFERROR(__xludf.DUMMYFUNCTION("""COMPUTED_VALUE"""),2006.0)</f>
        <v>2006</v>
      </c>
      <c r="M7553" s="308" t="s">
        <v>29970</v>
      </c>
      <c r="N7553" s="308"/>
      <c r="O7553" s="308"/>
      <c r="P7553" s="308" t="s">
        <v>136</v>
      </c>
      <c r="Q7553" s="308" t="s">
        <v>39573</v>
      </c>
      <c r="R7553" s="308"/>
      <c r="S7553" s="315" t="s">
        <v>100</v>
      </c>
      <c r="T7553" s="308" t="s">
        <v>34208</v>
      </c>
      <c r="U7553" s="308" t="s">
        <v>27</v>
      </c>
      <c r="V7553" s="308"/>
    </row>
    <row r="7554">
      <c r="A7554" s="308"/>
      <c r="B7554" s="308"/>
      <c r="C7554" s="308" t="s">
        <v>29993</v>
      </c>
      <c r="D7554" s="308">
        <f>IFERROR(__xludf.DUMMYFUNCTION("SPLIT(C7554,""-"")"),7574.0)</f>
        <v>7574</v>
      </c>
      <c r="E7554" s="308" t="str">
        <f>IFERROR(__xludf.DUMMYFUNCTION("""COMPUTED_VALUE"""),"B")</f>
        <v>B</v>
      </c>
      <c r="F7554" s="315" t="s">
        <v>26</v>
      </c>
      <c r="G7554" s="308"/>
      <c r="H7554" s="308" t="s">
        <v>29994</v>
      </c>
      <c r="I7554" s="310">
        <v>38785.0</v>
      </c>
      <c r="J7554" s="319">
        <f>IFERROR(__xludf.DUMMYFUNCTION("SPLIT(I7554,""/"")"),9.0)</f>
        <v>9</v>
      </c>
      <c r="K7554" s="308">
        <f>IFERROR(__xludf.DUMMYFUNCTION("""COMPUTED_VALUE"""),3.0)</f>
        <v>3</v>
      </c>
      <c r="L7554" s="308">
        <f>IFERROR(__xludf.DUMMYFUNCTION("""COMPUTED_VALUE"""),2006.0)</f>
        <v>2006</v>
      </c>
      <c r="M7554" s="308" t="s">
        <v>29970</v>
      </c>
      <c r="N7554" s="308"/>
      <c r="O7554" s="308"/>
      <c r="P7554" s="308" t="s">
        <v>136</v>
      </c>
      <c r="Q7554" s="308" t="s">
        <v>39573</v>
      </c>
      <c r="R7554" s="308"/>
      <c r="S7554" s="315" t="s">
        <v>100</v>
      </c>
      <c r="T7554" s="308" t="s">
        <v>34208</v>
      </c>
      <c r="U7554" s="308" t="s">
        <v>27</v>
      </c>
      <c r="V7554" s="308"/>
    </row>
    <row r="7555">
      <c r="A7555" s="308"/>
      <c r="B7555" s="308"/>
      <c r="C7555" s="308" t="s">
        <v>29995</v>
      </c>
      <c r="D7555" s="308">
        <f>IFERROR(__xludf.DUMMYFUNCTION("SPLIT(C7555,""-"")"),7575.0)</f>
        <v>7575</v>
      </c>
      <c r="E7555" s="308" t="str">
        <f>IFERROR(__xludf.DUMMYFUNCTION("""COMPUTED_VALUE"""),"B")</f>
        <v>B</v>
      </c>
      <c r="F7555" s="315" t="s">
        <v>26</v>
      </c>
      <c r="G7555" s="308"/>
      <c r="H7555" s="308" t="s">
        <v>29996</v>
      </c>
      <c r="I7555" s="310">
        <v>38785.0</v>
      </c>
      <c r="J7555" s="319">
        <f>IFERROR(__xludf.DUMMYFUNCTION("SPLIT(I7555,""/"")"),9.0)</f>
        <v>9</v>
      </c>
      <c r="K7555" s="308">
        <f>IFERROR(__xludf.DUMMYFUNCTION("""COMPUTED_VALUE"""),3.0)</f>
        <v>3</v>
      </c>
      <c r="L7555" s="308">
        <f>IFERROR(__xludf.DUMMYFUNCTION("""COMPUTED_VALUE"""),2006.0)</f>
        <v>2006</v>
      </c>
      <c r="M7555" s="308" t="s">
        <v>29970</v>
      </c>
      <c r="N7555" s="308"/>
      <c r="O7555" s="308"/>
      <c r="P7555" s="308" t="s">
        <v>136</v>
      </c>
      <c r="Q7555" s="308" t="s">
        <v>39573</v>
      </c>
      <c r="R7555" s="308"/>
      <c r="S7555" s="315" t="s">
        <v>100</v>
      </c>
      <c r="T7555" s="308" t="s">
        <v>34208</v>
      </c>
      <c r="U7555" s="308" t="s">
        <v>27</v>
      </c>
      <c r="V7555" s="308"/>
    </row>
    <row r="7556">
      <c r="A7556" s="308"/>
      <c r="B7556" s="308"/>
      <c r="C7556" s="308" t="s">
        <v>29997</v>
      </c>
      <c r="D7556" s="308">
        <f>IFERROR(__xludf.DUMMYFUNCTION("SPLIT(C7556,""-"")"),7576.0)</f>
        <v>7576</v>
      </c>
      <c r="E7556" s="308" t="str">
        <f>IFERROR(__xludf.DUMMYFUNCTION("""COMPUTED_VALUE"""),"B")</f>
        <v>B</v>
      </c>
      <c r="F7556" s="315" t="s">
        <v>26</v>
      </c>
      <c r="G7556" s="308"/>
      <c r="H7556" s="308" t="s">
        <v>29998</v>
      </c>
      <c r="I7556" s="310">
        <v>38785.0</v>
      </c>
      <c r="J7556" s="319">
        <f>IFERROR(__xludf.DUMMYFUNCTION("SPLIT(I7556,""/"")"),9.0)</f>
        <v>9</v>
      </c>
      <c r="K7556" s="308">
        <f>IFERROR(__xludf.DUMMYFUNCTION("""COMPUTED_VALUE"""),3.0)</f>
        <v>3</v>
      </c>
      <c r="L7556" s="308">
        <f>IFERROR(__xludf.DUMMYFUNCTION("""COMPUTED_VALUE"""),2006.0)</f>
        <v>2006</v>
      </c>
      <c r="M7556" s="308" t="s">
        <v>29970</v>
      </c>
      <c r="N7556" s="308"/>
      <c r="O7556" s="308"/>
      <c r="P7556" s="308" t="s">
        <v>136</v>
      </c>
      <c r="Q7556" s="308" t="s">
        <v>39573</v>
      </c>
      <c r="R7556" s="308"/>
      <c r="S7556" s="315" t="s">
        <v>100</v>
      </c>
      <c r="T7556" s="308" t="s">
        <v>34208</v>
      </c>
      <c r="U7556" s="308" t="s">
        <v>27</v>
      </c>
      <c r="V7556" s="308"/>
    </row>
    <row r="7557">
      <c r="A7557" s="308"/>
      <c r="B7557" s="308"/>
      <c r="C7557" s="308" t="s">
        <v>29999</v>
      </c>
      <c r="D7557" s="308">
        <f>IFERROR(__xludf.DUMMYFUNCTION("SPLIT(C7557,""-"")"),7577.0)</f>
        <v>7577</v>
      </c>
      <c r="E7557" s="308" t="str">
        <f>IFERROR(__xludf.DUMMYFUNCTION("""COMPUTED_VALUE"""),"B")</f>
        <v>B</v>
      </c>
      <c r="F7557" s="315" t="s">
        <v>26</v>
      </c>
      <c r="G7557" s="308"/>
      <c r="H7557" s="308" t="s">
        <v>30000</v>
      </c>
      <c r="I7557" s="310">
        <v>38785.0</v>
      </c>
      <c r="J7557" s="319">
        <f>IFERROR(__xludf.DUMMYFUNCTION("SPLIT(I7557,""/"")"),9.0)</f>
        <v>9</v>
      </c>
      <c r="K7557" s="308">
        <f>IFERROR(__xludf.DUMMYFUNCTION("""COMPUTED_VALUE"""),3.0)</f>
        <v>3</v>
      </c>
      <c r="L7557" s="308">
        <f>IFERROR(__xludf.DUMMYFUNCTION("""COMPUTED_VALUE"""),2006.0)</f>
        <v>2006</v>
      </c>
      <c r="M7557" s="308" t="s">
        <v>29970</v>
      </c>
      <c r="N7557" s="308"/>
      <c r="O7557" s="308"/>
      <c r="P7557" s="308" t="s">
        <v>136</v>
      </c>
      <c r="Q7557" s="308" t="s">
        <v>39573</v>
      </c>
      <c r="R7557" s="308"/>
      <c r="S7557" s="315" t="s">
        <v>100</v>
      </c>
      <c r="T7557" s="308" t="s">
        <v>34208</v>
      </c>
      <c r="U7557" s="308" t="s">
        <v>27</v>
      </c>
      <c r="V7557" s="308"/>
    </row>
    <row r="7558">
      <c r="A7558" s="308"/>
      <c r="B7558" s="308"/>
      <c r="C7558" s="308" t="s">
        <v>30001</v>
      </c>
      <c r="D7558" s="308">
        <f>IFERROR(__xludf.DUMMYFUNCTION("SPLIT(C7558,""-"")"),7578.0)</f>
        <v>7578</v>
      </c>
      <c r="E7558" s="308" t="str">
        <f>IFERROR(__xludf.DUMMYFUNCTION("""COMPUTED_VALUE"""),"B")</f>
        <v>B</v>
      </c>
      <c r="F7558" s="315" t="s">
        <v>26</v>
      </c>
      <c r="G7558" s="308"/>
      <c r="H7558" s="308" t="s">
        <v>30002</v>
      </c>
      <c r="I7558" s="310">
        <v>38785.0</v>
      </c>
      <c r="J7558" s="319">
        <f>IFERROR(__xludf.DUMMYFUNCTION("SPLIT(I7558,""/"")"),9.0)</f>
        <v>9</v>
      </c>
      <c r="K7558" s="308">
        <f>IFERROR(__xludf.DUMMYFUNCTION("""COMPUTED_VALUE"""),3.0)</f>
        <v>3</v>
      </c>
      <c r="L7558" s="308">
        <f>IFERROR(__xludf.DUMMYFUNCTION("""COMPUTED_VALUE"""),2006.0)</f>
        <v>2006</v>
      </c>
      <c r="M7558" s="308" t="s">
        <v>29970</v>
      </c>
      <c r="N7558" s="308"/>
      <c r="O7558" s="308"/>
      <c r="P7558" s="308" t="s">
        <v>136</v>
      </c>
      <c r="Q7558" s="308" t="s">
        <v>39573</v>
      </c>
      <c r="R7558" s="308"/>
      <c r="S7558" s="315" t="s">
        <v>100</v>
      </c>
      <c r="T7558" s="308" t="s">
        <v>34208</v>
      </c>
      <c r="U7558" s="308" t="s">
        <v>27</v>
      </c>
      <c r="V7558" s="308"/>
    </row>
    <row r="7559">
      <c r="A7559" s="308"/>
      <c r="B7559" s="308"/>
      <c r="C7559" s="308" t="s">
        <v>30003</v>
      </c>
      <c r="D7559" s="308">
        <f>IFERROR(__xludf.DUMMYFUNCTION("SPLIT(C7559,""-"")"),7579.0)</f>
        <v>7579</v>
      </c>
      <c r="E7559" s="308" t="str">
        <f>IFERROR(__xludf.DUMMYFUNCTION("""COMPUTED_VALUE"""),"B")</f>
        <v>B</v>
      </c>
      <c r="F7559" s="315" t="s">
        <v>26</v>
      </c>
      <c r="G7559" s="308"/>
      <c r="H7559" s="308" t="s">
        <v>30004</v>
      </c>
      <c r="I7559" s="310">
        <v>38785.0</v>
      </c>
      <c r="J7559" s="319">
        <f>IFERROR(__xludf.DUMMYFUNCTION("SPLIT(I7559,""/"")"),9.0)</f>
        <v>9</v>
      </c>
      <c r="K7559" s="308">
        <f>IFERROR(__xludf.DUMMYFUNCTION("""COMPUTED_VALUE"""),3.0)</f>
        <v>3</v>
      </c>
      <c r="L7559" s="308">
        <f>IFERROR(__xludf.DUMMYFUNCTION("""COMPUTED_VALUE"""),2006.0)</f>
        <v>2006</v>
      </c>
      <c r="M7559" s="308" t="s">
        <v>29970</v>
      </c>
      <c r="N7559" s="308"/>
      <c r="O7559" s="308"/>
      <c r="P7559" s="308" t="s">
        <v>136</v>
      </c>
      <c r="Q7559" s="308" t="s">
        <v>39573</v>
      </c>
      <c r="R7559" s="308"/>
      <c r="S7559" s="315" t="s">
        <v>100</v>
      </c>
      <c r="T7559" s="308" t="s">
        <v>34208</v>
      </c>
      <c r="U7559" s="308" t="s">
        <v>27</v>
      </c>
      <c r="V7559" s="308"/>
    </row>
    <row r="7560">
      <c r="A7560" s="308"/>
      <c r="B7560" s="308"/>
      <c r="C7560" s="308" t="s">
        <v>30005</v>
      </c>
      <c r="D7560" s="308">
        <f>IFERROR(__xludf.DUMMYFUNCTION("SPLIT(C7560,""-"")"),7580.0)</f>
        <v>7580</v>
      </c>
      <c r="E7560" s="308" t="str">
        <f>IFERROR(__xludf.DUMMYFUNCTION("""COMPUTED_VALUE"""),"B")</f>
        <v>B</v>
      </c>
      <c r="F7560" s="315" t="s">
        <v>26</v>
      </c>
      <c r="G7560" s="308"/>
      <c r="H7560" s="308" t="s">
        <v>30006</v>
      </c>
      <c r="I7560" s="310">
        <v>38785.0</v>
      </c>
      <c r="J7560" s="319">
        <f>IFERROR(__xludf.DUMMYFUNCTION("SPLIT(I7560,""/"")"),9.0)</f>
        <v>9</v>
      </c>
      <c r="K7560" s="308">
        <f>IFERROR(__xludf.DUMMYFUNCTION("""COMPUTED_VALUE"""),3.0)</f>
        <v>3</v>
      </c>
      <c r="L7560" s="308">
        <f>IFERROR(__xludf.DUMMYFUNCTION("""COMPUTED_VALUE"""),2006.0)</f>
        <v>2006</v>
      </c>
      <c r="M7560" s="308" t="s">
        <v>29970</v>
      </c>
      <c r="N7560" s="308"/>
      <c r="O7560" s="308"/>
      <c r="P7560" s="308" t="s">
        <v>136</v>
      </c>
      <c r="Q7560" s="308" t="s">
        <v>39573</v>
      </c>
      <c r="R7560" s="308"/>
      <c r="S7560" s="315" t="s">
        <v>100</v>
      </c>
      <c r="T7560" s="308" t="s">
        <v>34208</v>
      </c>
      <c r="U7560" s="308" t="s">
        <v>27</v>
      </c>
      <c r="V7560" s="308"/>
    </row>
    <row r="7561">
      <c r="A7561" s="308"/>
      <c r="B7561" s="308"/>
      <c r="C7561" s="308" t="s">
        <v>30007</v>
      </c>
      <c r="D7561" s="308">
        <f>IFERROR(__xludf.DUMMYFUNCTION("SPLIT(C7561,""-"")"),7581.0)</f>
        <v>7581</v>
      </c>
      <c r="E7561" s="308" t="str">
        <f>IFERROR(__xludf.DUMMYFUNCTION("""COMPUTED_VALUE"""),"B")</f>
        <v>B</v>
      </c>
      <c r="F7561" s="315" t="s">
        <v>26</v>
      </c>
      <c r="G7561" s="308"/>
      <c r="H7561" s="308" t="s">
        <v>30008</v>
      </c>
      <c r="I7561" s="310">
        <v>38785.0</v>
      </c>
      <c r="J7561" s="319">
        <f>IFERROR(__xludf.DUMMYFUNCTION("SPLIT(I7561,""/"")"),9.0)</f>
        <v>9</v>
      </c>
      <c r="K7561" s="308">
        <f>IFERROR(__xludf.DUMMYFUNCTION("""COMPUTED_VALUE"""),3.0)</f>
        <v>3</v>
      </c>
      <c r="L7561" s="308">
        <f>IFERROR(__xludf.DUMMYFUNCTION("""COMPUTED_VALUE"""),2006.0)</f>
        <v>2006</v>
      </c>
      <c r="M7561" s="308" t="s">
        <v>29970</v>
      </c>
      <c r="N7561" s="308"/>
      <c r="O7561" s="308"/>
      <c r="P7561" s="308" t="s">
        <v>136</v>
      </c>
      <c r="Q7561" s="308" t="s">
        <v>39573</v>
      </c>
      <c r="R7561" s="308"/>
      <c r="S7561" s="315" t="s">
        <v>100</v>
      </c>
      <c r="T7561" s="308" t="s">
        <v>34208</v>
      </c>
      <c r="U7561" s="308" t="s">
        <v>27</v>
      </c>
      <c r="V7561" s="308"/>
    </row>
    <row r="7562">
      <c r="A7562" s="308"/>
      <c r="B7562" s="308"/>
      <c r="C7562" s="308" t="s">
        <v>30009</v>
      </c>
      <c r="D7562" s="308">
        <f>IFERROR(__xludf.DUMMYFUNCTION("SPLIT(C7562,""-"")"),7582.0)</f>
        <v>7582</v>
      </c>
      <c r="E7562" s="308" t="str">
        <f>IFERROR(__xludf.DUMMYFUNCTION("""COMPUTED_VALUE"""),"B")</f>
        <v>B</v>
      </c>
      <c r="F7562" s="315" t="s">
        <v>26</v>
      </c>
      <c r="G7562" s="308"/>
      <c r="H7562" s="308" t="s">
        <v>30010</v>
      </c>
      <c r="I7562" s="310">
        <v>38785.0</v>
      </c>
      <c r="J7562" s="319">
        <f>IFERROR(__xludf.DUMMYFUNCTION("SPLIT(I7562,""/"")"),9.0)</f>
        <v>9</v>
      </c>
      <c r="K7562" s="308">
        <f>IFERROR(__xludf.DUMMYFUNCTION("""COMPUTED_VALUE"""),3.0)</f>
        <v>3</v>
      </c>
      <c r="L7562" s="308">
        <f>IFERROR(__xludf.DUMMYFUNCTION("""COMPUTED_VALUE"""),2006.0)</f>
        <v>2006</v>
      </c>
      <c r="M7562" s="308" t="s">
        <v>29970</v>
      </c>
      <c r="N7562" s="308"/>
      <c r="O7562" s="308"/>
      <c r="P7562" s="308" t="s">
        <v>136</v>
      </c>
      <c r="Q7562" s="308" t="s">
        <v>39573</v>
      </c>
      <c r="R7562" s="308"/>
      <c r="S7562" s="315" t="s">
        <v>100</v>
      </c>
      <c r="T7562" s="308" t="s">
        <v>34208</v>
      </c>
      <c r="U7562" s="308" t="s">
        <v>27</v>
      </c>
      <c r="V7562" s="308"/>
    </row>
    <row r="7563">
      <c r="A7563" s="308"/>
      <c r="B7563" s="308"/>
      <c r="C7563" s="308" t="s">
        <v>30011</v>
      </c>
      <c r="D7563" s="308">
        <f>IFERROR(__xludf.DUMMYFUNCTION("SPLIT(C7563,""-"")"),7583.0)</f>
        <v>7583</v>
      </c>
      <c r="E7563" s="308" t="str">
        <f>IFERROR(__xludf.DUMMYFUNCTION("""COMPUTED_VALUE"""),"B")</f>
        <v>B</v>
      </c>
      <c r="F7563" s="315" t="s">
        <v>26</v>
      </c>
      <c r="G7563" s="308"/>
      <c r="H7563" s="308" t="s">
        <v>30012</v>
      </c>
      <c r="I7563" s="310">
        <v>38785.0</v>
      </c>
      <c r="J7563" s="319">
        <f>IFERROR(__xludf.DUMMYFUNCTION("SPLIT(I7563,""/"")"),9.0)</f>
        <v>9</v>
      </c>
      <c r="K7563" s="308">
        <f>IFERROR(__xludf.DUMMYFUNCTION("""COMPUTED_VALUE"""),3.0)</f>
        <v>3</v>
      </c>
      <c r="L7563" s="308">
        <f>IFERROR(__xludf.DUMMYFUNCTION("""COMPUTED_VALUE"""),2006.0)</f>
        <v>2006</v>
      </c>
      <c r="M7563" s="308" t="s">
        <v>29970</v>
      </c>
      <c r="N7563" s="308"/>
      <c r="O7563" s="308"/>
      <c r="P7563" s="308" t="s">
        <v>136</v>
      </c>
      <c r="Q7563" s="308" t="s">
        <v>39573</v>
      </c>
      <c r="R7563" s="308"/>
      <c r="S7563" s="315" t="s">
        <v>100</v>
      </c>
      <c r="T7563" s="308" t="s">
        <v>34208</v>
      </c>
      <c r="U7563" s="308" t="s">
        <v>27</v>
      </c>
      <c r="V7563" s="308"/>
    </row>
    <row r="7564">
      <c r="A7564" s="308"/>
      <c r="B7564" s="308"/>
      <c r="C7564" s="308" t="s">
        <v>30013</v>
      </c>
      <c r="D7564" s="308">
        <f>IFERROR(__xludf.DUMMYFUNCTION("SPLIT(C7564,""-"")"),7584.0)</f>
        <v>7584</v>
      </c>
      <c r="E7564" s="308" t="str">
        <f>IFERROR(__xludf.DUMMYFUNCTION("""COMPUTED_VALUE"""),"B")</f>
        <v>B</v>
      </c>
      <c r="F7564" s="315" t="s">
        <v>26</v>
      </c>
      <c r="G7564" s="308"/>
      <c r="H7564" s="308" t="s">
        <v>30014</v>
      </c>
      <c r="I7564" s="310">
        <v>38785.0</v>
      </c>
      <c r="J7564" s="319">
        <f>IFERROR(__xludf.DUMMYFUNCTION("SPLIT(I7564,""/"")"),9.0)</f>
        <v>9</v>
      </c>
      <c r="K7564" s="308">
        <f>IFERROR(__xludf.DUMMYFUNCTION("""COMPUTED_VALUE"""),3.0)</f>
        <v>3</v>
      </c>
      <c r="L7564" s="308">
        <f>IFERROR(__xludf.DUMMYFUNCTION("""COMPUTED_VALUE"""),2006.0)</f>
        <v>2006</v>
      </c>
      <c r="M7564" s="308" t="s">
        <v>29970</v>
      </c>
      <c r="N7564" s="308"/>
      <c r="O7564" s="308"/>
      <c r="P7564" s="308" t="s">
        <v>136</v>
      </c>
      <c r="Q7564" s="308" t="s">
        <v>39573</v>
      </c>
      <c r="R7564" s="308"/>
      <c r="S7564" s="315" t="s">
        <v>100</v>
      </c>
      <c r="T7564" s="308" t="s">
        <v>34208</v>
      </c>
      <c r="U7564" s="308" t="s">
        <v>27</v>
      </c>
      <c r="V7564" s="308"/>
    </row>
    <row r="7565">
      <c r="A7565" s="308"/>
      <c r="B7565" s="308"/>
      <c r="C7565" s="308" t="s">
        <v>30015</v>
      </c>
      <c r="D7565" s="308">
        <f>IFERROR(__xludf.DUMMYFUNCTION("SPLIT(C7565,""-"")"),7585.0)</f>
        <v>7585</v>
      </c>
      <c r="E7565" s="308" t="str">
        <f>IFERROR(__xludf.DUMMYFUNCTION("""COMPUTED_VALUE"""),"B")</f>
        <v>B</v>
      </c>
      <c r="F7565" s="315" t="s">
        <v>26</v>
      </c>
      <c r="G7565" s="308"/>
      <c r="H7565" s="308" t="s">
        <v>30016</v>
      </c>
      <c r="I7565" s="310">
        <v>38785.0</v>
      </c>
      <c r="J7565" s="319">
        <f>IFERROR(__xludf.DUMMYFUNCTION("SPLIT(I7565,""/"")"),9.0)</f>
        <v>9</v>
      </c>
      <c r="K7565" s="308">
        <f>IFERROR(__xludf.DUMMYFUNCTION("""COMPUTED_VALUE"""),3.0)</f>
        <v>3</v>
      </c>
      <c r="L7565" s="308">
        <f>IFERROR(__xludf.DUMMYFUNCTION("""COMPUTED_VALUE"""),2006.0)</f>
        <v>2006</v>
      </c>
      <c r="M7565" s="308" t="s">
        <v>29970</v>
      </c>
      <c r="N7565" s="308"/>
      <c r="O7565" s="308"/>
      <c r="P7565" s="308" t="s">
        <v>136</v>
      </c>
      <c r="Q7565" s="308" t="s">
        <v>39573</v>
      </c>
      <c r="R7565" s="308"/>
      <c r="S7565" s="315" t="s">
        <v>100</v>
      </c>
      <c r="T7565" s="308" t="s">
        <v>34208</v>
      </c>
      <c r="U7565" s="308" t="s">
        <v>27</v>
      </c>
      <c r="V7565" s="308"/>
    </row>
    <row r="7566">
      <c r="A7566" s="308"/>
      <c r="B7566" s="308"/>
      <c r="C7566" s="308" t="s">
        <v>30017</v>
      </c>
      <c r="D7566" s="308">
        <f>IFERROR(__xludf.DUMMYFUNCTION("SPLIT(C7566,""-"")"),7586.0)</f>
        <v>7586</v>
      </c>
      <c r="E7566" s="308" t="str">
        <f>IFERROR(__xludf.DUMMYFUNCTION("""COMPUTED_VALUE"""),"B")</f>
        <v>B</v>
      </c>
      <c r="F7566" s="315" t="s">
        <v>26</v>
      </c>
      <c r="G7566" s="308"/>
      <c r="H7566" s="308" t="s">
        <v>30018</v>
      </c>
      <c r="I7566" s="310">
        <v>38785.0</v>
      </c>
      <c r="J7566" s="319">
        <f>IFERROR(__xludf.DUMMYFUNCTION("SPLIT(I7566,""/"")"),9.0)</f>
        <v>9</v>
      </c>
      <c r="K7566" s="308">
        <f>IFERROR(__xludf.DUMMYFUNCTION("""COMPUTED_VALUE"""),3.0)</f>
        <v>3</v>
      </c>
      <c r="L7566" s="308">
        <f>IFERROR(__xludf.DUMMYFUNCTION("""COMPUTED_VALUE"""),2006.0)</f>
        <v>2006</v>
      </c>
      <c r="M7566" s="308" t="s">
        <v>29970</v>
      </c>
      <c r="N7566" s="308"/>
      <c r="O7566" s="308"/>
      <c r="P7566" s="308" t="s">
        <v>136</v>
      </c>
      <c r="Q7566" s="308" t="s">
        <v>39573</v>
      </c>
      <c r="R7566" s="308"/>
      <c r="S7566" s="315" t="s">
        <v>100</v>
      </c>
      <c r="T7566" s="308" t="s">
        <v>34208</v>
      </c>
      <c r="U7566" s="308" t="s">
        <v>27</v>
      </c>
      <c r="V7566" s="308"/>
    </row>
    <row r="7567">
      <c r="A7567" s="308"/>
      <c r="B7567" s="308"/>
      <c r="C7567" s="308" t="s">
        <v>30019</v>
      </c>
      <c r="D7567" s="308">
        <f>IFERROR(__xludf.DUMMYFUNCTION("SPLIT(C7567,""-"")"),7587.0)</f>
        <v>7587</v>
      </c>
      <c r="E7567" s="308" t="str">
        <f>IFERROR(__xludf.DUMMYFUNCTION("""COMPUTED_VALUE"""),"B")</f>
        <v>B</v>
      </c>
      <c r="F7567" s="315" t="s">
        <v>26</v>
      </c>
      <c r="G7567" s="308"/>
      <c r="H7567" s="308" t="s">
        <v>30020</v>
      </c>
      <c r="I7567" s="310">
        <v>38785.0</v>
      </c>
      <c r="J7567" s="319">
        <f>IFERROR(__xludf.DUMMYFUNCTION("SPLIT(I7567,""/"")"),9.0)</f>
        <v>9</v>
      </c>
      <c r="K7567" s="308">
        <f>IFERROR(__xludf.DUMMYFUNCTION("""COMPUTED_VALUE"""),3.0)</f>
        <v>3</v>
      </c>
      <c r="L7567" s="308">
        <f>IFERROR(__xludf.DUMMYFUNCTION("""COMPUTED_VALUE"""),2006.0)</f>
        <v>2006</v>
      </c>
      <c r="M7567" s="308" t="s">
        <v>29970</v>
      </c>
      <c r="N7567" s="308"/>
      <c r="O7567" s="308"/>
      <c r="P7567" s="308" t="s">
        <v>136</v>
      </c>
      <c r="Q7567" s="308" t="s">
        <v>39573</v>
      </c>
      <c r="R7567" s="308"/>
      <c r="S7567" s="315" t="s">
        <v>100</v>
      </c>
      <c r="T7567" s="308" t="s">
        <v>34208</v>
      </c>
      <c r="U7567" s="308" t="s">
        <v>27</v>
      </c>
      <c r="V7567" s="308"/>
    </row>
    <row r="7568">
      <c r="A7568" s="308"/>
      <c r="B7568" s="308"/>
      <c r="C7568" s="308" t="s">
        <v>30021</v>
      </c>
      <c r="D7568" s="308">
        <f>IFERROR(__xludf.DUMMYFUNCTION("SPLIT(C7568,""-"")"),7588.0)</f>
        <v>7588</v>
      </c>
      <c r="E7568" s="308" t="str">
        <f>IFERROR(__xludf.DUMMYFUNCTION("""COMPUTED_VALUE"""),"B")</f>
        <v>B</v>
      </c>
      <c r="F7568" s="315" t="s">
        <v>26</v>
      </c>
      <c r="G7568" s="308"/>
      <c r="H7568" s="308" t="s">
        <v>30022</v>
      </c>
      <c r="I7568" s="310">
        <v>38973.0</v>
      </c>
      <c r="J7568" s="319">
        <f>IFERROR(__xludf.DUMMYFUNCTION("SPLIT(I7568,""/"")"),13.0)</f>
        <v>13</v>
      </c>
      <c r="K7568" s="308">
        <f>IFERROR(__xludf.DUMMYFUNCTION("""COMPUTED_VALUE"""),9.0)</f>
        <v>9</v>
      </c>
      <c r="L7568" s="308">
        <f>IFERROR(__xludf.DUMMYFUNCTION("""COMPUTED_VALUE"""),2006.0)</f>
        <v>2006</v>
      </c>
      <c r="M7568" s="308" t="s">
        <v>29970</v>
      </c>
      <c r="N7568" s="308"/>
      <c r="O7568" s="308"/>
      <c r="P7568" s="308" t="s">
        <v>136</v>
      </c>
      <c r="Q7568" s="308" t="s">
        <v>39573</v>
      </c>
      <c r="R7568" s="308"/>
      <c r="S7568" s="315" t="s">
        <v>100</v>
      </c>
      <c r="T7568" s="308" t="s">
        <v>34208</v>
      </c>
      <c r="U7568" s="308" t="s">
        <v>27</v>
      </c>
      <c r="V7568" s="308"/>
    </row>
    <row r="7569">
      <c r="A7569" s="308"/>
      <c r="B7569" s="308"/>
      <c r="C7569" s="308" t="s">
        <v>30023</v>
      </c>
      <c r="D7569" s="308">
        <f>IFERROR(__xludf.DUMMYFUNCTION("SPLIT(C7569,""-"")"),7589.0)</f>
        <v>7589</v>
      </c>
      <c r="E7569" s="308" t="str">
        <f>IFERROR(__xludf.DUMMYFUNCTION("""COMPUTED_VALUE"""),"B")</f>
        <v>B</v>
      </c>
      <c r="F7569" s="315" t="s">
        <v>26</v>
      </c>
      <c r="G7569" s="308"/>
      <c r="H7569" s="308" t="s">
        <v>30024</v>
      </c>
      <c r="I7569" s="310">
        <v>38973.0</v>
      </c>
      <c r="J7569" s="319">
        <f>IFERROR(__xludf.DUMMYFUNCTION("SPLIT(I7569,""/"")"),13.0)</f>
        <v>13</v>
      </c>
      <c r="K7569" s="308">
        <f>IFERROR(__xludf.DUMMYFUNCTION("""COMPUTED_VALUE"""),9.0)</f>
        <v>9</v>
      </c>
      <c r="L7569" s="308">
        <f>IFERROR(__xludf.DUMMYFUNCTION("""COMPUTED_VALUE"""),2006.0)</f>
        <v>2006</v>
      </c>
      <c r="M7569" s="308" t="s">
        <v>29970</v>
      </c>
      <c r="N7569" s="308"/>
      <c r="O7569" s="308"/>
      <c r="P7569" s="308" t="s">
        <v>136</v>
      </c>
      <c r="Q7569" s="308" t="s">
        <v>39573</v>
      </c>
      <c r="R7569" s="308"/>
      <c r="S7569" s="315" t="s">
        <v>100</v>
      </c>
      <c r="T7569" s="308" t="s">
        <v>34208</v>
      </c>
      <c r="U7569" s="308" t="s">
        <v>27</v>
      </c>
      <c r="V7569" s="308"/>
    </row>
    <row r="7570">
      <c r="A7570" s="308"/>
      <c r="B7570" s="308"/>
      <c r="C7570" s="308" t="s">
        <v>30025</v>
      </c>
      <c r="D7570" s="308">
        <f>IFERROR(__xludf.DUMMYFUNCTION("SPLIT(C7570,""-"")"),7590.0)</f>
        <v>7590</v>
      </c>
      <c r="E7570" s="308" t="str">
        <f>IFERROR(__xludf.DUMMYFUNCTION("""COMPUTED_VALUE"""),"B")</f>
        <v>B</v>
      </c>
      <c r="F7570" s="315" t="s">
        <v>26</v>
      </c>
      <c r="G7570" s="308"/>
      <c r="H7570" s="308" t="s">
        <v>30026</v>
      </c>
      <c r="I7570" s="310">
        <v>38973.0</v>
      </c>
      <c r="J7570" s="319">
        <f>IFERROR(__xludf.DUMMYFUNCTION("SPLIT(I7570,""/"")"),13.0)</f>
        <v>13</v>
      </c>
      <c r="K7570" s="308">
        <f>IFERROR(__xludf.DUMMYFUNCTION("""COMPUTED_VALUE"""),9.0)</f>
        <v>9</v>
      </c>
      <c r="L7570" s="308">
        <f>IFERROR(__xludf.DUMMYFUNCTION("""COMPUTED_VALUE"""),2006.0)</f>
        <v>2006</v>
      </c>
      <c r="M7570" s="308" t="s">
        <v>29970</v>
      </c>
      <c r="N7570" s="308"/>
      <c r="O7570" s="308"/>
      <c r="P7570" s="308" t="s">
        <v>136</v>
      </c>
      <c r="Q7570" s="308" t="s">
        <v>39573</v>
      </c>
      <c r="R7570" s="308"/>
      <c r="S7570" s="315" t="s">
        <v>100</v>
      </c>
      <c r="T7570" s="308" t="s">
        <v>34208</v>
      </c>
      <c r="U7570" s="308" t="s">
        <v>27</v>
      </c>
      <c r="V7570" s="308"/>
    </row>
    <row r="7571">
      <c r="A7571" s="308"/>
      <c r="B7571" s="308"/>
      <c r="C7571" s="308" t="s">
        <v>30027</v>
      </c>
      <c r="D7571" s="308">
        <f>IFERROR(__xludf.DUMMYFUNCTION("SPLIT(C7571,""-"")"),7591.0)</f>
        <v>7591</v>
      </c>
      <c r="E7571" s="308" t="str">
        <f>IFERROR(__xludf.DUMMYFUNCTION("""COMPUTED_VALUE"""),"B")</f>
        <v>B</v>
      </c>
      <c r="F7571" s="315" t="s">
        <v>26</v>
      </c>
      <c r="G7571" s="308"/>
      <c r="H7571" s="308" t="s">
        <v>30028</v>
      </c>
      <c r="I7571" s="310">
        <v>38973.0</v>
      </c>
      <c r="J7571" s="319">
        <f>IFERROR(__xludf.DUMMYFUNCTION("SPLIT(I7571,""/"")"),13.0)</f>
        <v>13</v>
      </c>
      <c r="K7571" s="308">
        <f>IFERROR(__xludf.DUMMYFUNCTION("""COMPUTED_VALUE"""),9.0)</f>
        <v>9</v>
      </c>
      <c r="L7571" s="308">
        <f>IFERROR(__xludf.DUMMYFUNCTION("""COMPUTED_VALUE"""),2006.0)</f>
        <v>2006</v>
      </c>
      <c r="M7571" s="308" t="s">
        <v>29970</v>
      </c>
      <c r="N7571" s="308"/>
      <c r="O7571" s="308"/>
      <c r="P7571" s="308" t="s">
        <v>136</v>
      </c>
      <c r="Q7571" s="308" t="s">
        <v>39573</v>
      </c>
      <c r="R7571" s="308"/>
      <c r="S7571" s="315" t="s">
        <v>100</v>
      </c>
      <c r="T7571" s="308" t="s">
        <v>34208</v>
      </c>
      <c r="U7571" s="308" t="s">
        <v>27</v>
      </c>
      <c r="V7571" s="308"/>
    </row>
    <row r="7572">
      <c r="A7572" s="308"/>
      <c r="B7572" s="308"/>
      <c r="C7572" s="308" t="s">
        <v>30029</v>
      </c>
      <c r="D7572" s="308">
        <f>IFERROR(__xludf.DUMMYFUNCTION("SPLIT(C7572,""-"")"),7592.0)</f>
        <v>7592</v>
      </c>
      <c r="E7572" s="308" t="str">
        <f>IFERROR(__xludf.DUMMYFUNCTION("""COMPUTED_VALUE"""),"B")</f>
        <v>B</v>
      </c>
      <c r="F7572" s="315" t="s">
        <v>26</v>
      </c>
      <c r="G7572" s="308"/>
      <c r="H7572" s="308" t="s">
        <v>30030</v>
      </c>
      <c r="I7572" s="310">
        <v>38973.0</v>
      </c>
      <c r="J7572" s="319">
        <f>IFERROR(__xludf.DUMMYFUNCTION("SPLIT(I7572,""/"")"),13.0)</f>
        <v>13</v>
      </c>
      <c r="K7572" s="308">
        <f>IFERROR(__xludf.DUMMYFUNCTION("""COMPUTED_VALUE"""),9.0)</f>
        <v>9</v>
      </c>
      <c r="L7572" s="308">
        <f>IFERROR(__xludf.DUMMYFUNCTION("""COMPUTED_VALUE"""),2006.0)</f>
        <v>2006</v>
      </c>
      <c r="M7572" s="308" t="s">
        <v>29970</v>
      </c>
      <c r="N7572" s="308"/>
      <c r="O7572" s="308"/>
      <c r="P7572" s="308" t="s">
        <v>136</v>
      </c>
      <c r="Q7572" s="308" t="s">
        <v>39573</v>
      </c>
      <c r="R7572" s="308"/>
      <c r="S7572" s="315" t="s">
        <v>100</v>
      </c>
      <c r="T7572" s="308" t="s">
        <v>34208</v>
      </c>
      <c r="U7572" s="308" t="s">
        <v>27</v>
      </c>
      <c r="V7572" s="308"/>
    </row>
    <row r="7573">
      <c r="A7573" s="308"/>
      <c r="B7573" s="308"/>
      <c r="C7573" s="308" t="s">
        <v>30031</v>
      </c>
      <c r="D7573" s="308">
        <f>IFERROR(__xludf.DUMMYFUNCTION("SPLIT(C7573,""-"")"),7593.0)</f>
        <v>7593</v>
      </c>
      <c r="E7573" s="308" t="str">
        <f>IFERROR(__xludf.DUMMYFUNCTION("""COMPUTED_VALUE"""),"B")</f>
        <v>B</v>
      </c>
      <c r="F7573" s="315" t="s">
        <v>26</v>
      </c>
      <c r="G7573" s="308"/>
      <c r="H7573" s="308" t="s">
        <v>30032</v>
      </c>
      <c r="I7573" s="310">
        <v>38973.0</v>
      </c>
      <c r="J7573" s="319">
        <f>IFERROR(__xludf.DUMMYFUNCTION("SPLIT(I7573,""/"")"),13.0)</f>
        <v>13</v>
      </c>
      <c r="K7573" s="308">
        <f>IFERROR(__xludf.DUMMYFUNCTION("""COMPUTED_VALUE"""),9.0)</f>
        <v>9</v>
      </c>
      <c r="L7573" s="308">
        <f>IFERROR(__xludf.DUMMYFUNCTION("""COMPUTED_VALUE"""),2006.0)</f>
        <v>2006</v>
      </c>
      <c r="M7573" s="308" t="s">
        <v>29970</v>
      </c>
      <c r="N7573" s="308"/>
      <c r="O7573" s="308"/>
      <c r="P7573" s="308" t="s">
        <v>136</v>
      </c>
      <c r="Q7573" s="308" t="s">
        <v>39573</v>
      </c>
      <c r="R7573" s="308"/>
      <c r="S7573" s="315" t="s">
        <v>100</v>
      </c>
      <c r="T7573" s="308" t="s">
        <v>34208</v>
      </c>
      <c r="U7573" s="308" t="s">
        <v>27</v>
      </c>
      <c r="V7573" s="308"/>
    </row>
    <row r="7574">
      <c r="A7574" s="308"/>
      <c r="B7574" s="308"/>
      <c r="C7574" s="308" t="s">
        <v>30033</v>
      </c>
      <c r="D7574" s="308">
        <f>IFERROR(__xludf.DUMMYFUNCTION("SPLIT(C7574,""-"")"),7594.0)</f>
        <v>7594</v>
      </c>
      <c r="E7574" s="308" t="str">
        <f>IFERROR(__xludf.DUMMYFUNCTION("""COMPUTED_VALUE"""),"B")</f>
        <v>B</v>
      </c>
      <c r="F7574" s="315" t="s">
        <v>26</v>
      </c>
      <c r="G7574" s="308"/>
      <c r="H7574" s="308" t="s">
        <v>30034</v>
      </c>
      <c r="I7574" s="310">
        <v>38973.0</v>
      </c>
      <c r="J7574" s="319">
        <f>IFERROR(__xludf.DUMMYFUNCTION("SPLIT(I7574,""/"")"),13.0)</f>
        <v>13</v>
      </c>
      <c r="K7574" s="308">
        <f>IFERROR(__xludf.DUMMYFUNCTION("""COMPUTED_VALUE"""),9.0)</f>
        <v>9</v>
      </c>
      <c r="L7574" s="308">
        <f>IFERROR(__xludf.DUMMYFUNCTION("""COMPUTED_VALUE"""),2006.0)</f>
        <v>2006</v>
      </c>
      <c r="M7574" s="308" t="s">
        <v>29970</v>
      </c>
      <c r="N7574" s="308"/>
      <c r="O7574" s="308"/>
      <c r="P7574" s="308" t="s">
        <v>136</v>
      </c>
      <c r="Q7574" s="308" t="s">
        <v>39573</v>
      </c>
      <c r="R7574" s="308"/>
      <c r="S7574" s="315" t="s">
        <v>100</v>
      </c>
      <c r="T7574" s="308" t="s">
        <v>34208</v>
      </c>
      <c r="U7574" s="308" t="s">
        <v>27</v>
      </c>
      <c r="V7574" s="308"/>
    </row>
    <row r="7575">
      <c r="A7575" s="308"/>
      <c r="B7575" s="308"/>
      <c r="C7575" s="308" t="s">
        <v>30035</v>
      </c>
      <c r="D7575" s="308">
        <f>IFERROR(__xludf.DUMMYFUNCTION("SPLIT(C7575,""-"")"),7595.0)</f>
        <v>7595</v>
      </c>
      <c r="E7575" s="308" t="str">
        <f>IFERROR(__xludf.DUMMYFUNCTION("""COMPUTED_VALUE"""),"B")</f>
        <v>B</v>
      </c>
      <c r="F7575" s="315" t="s">
        <v>26</v>
      </c>
      <c r="G7575" s="308"/>
      <c r="H7575" s="308" t="s">
        <v>30036</v>
      </c>
      <c r="I7575" s="310">
        <v>38973.0</v>
      </c>
      <c r="J7575" s="319">
        <f>IFERROR(__xludf.DUMMYFUNCTION("SPLIT(I7575,""/"")"),13.0)</f>
        <v>13</v>
      </c>
      <c r="K7575" s="308">
        <f>IFERROR(__xludf.DUMMYFUNCTION("""COMPUTED_VALUE"""),9.0)</f>
        <v>9</v>
      </c>
      <c r="L7575" s="308">
        <f>IFERROR(__xludf.DUMMYFUNCTION("""COMPUTED_VALUE"""),2006.0)</f>
        <v>2006</v>
      </c>
      <c r="M7575" s="308" t="s">
        <v>29970</v>
      </c>
      <c r="N7575" s="308"/>
      <c r="O7575" s="308"/>
      <c r="P7575" s="308" t="s">
        <v>136</v>
      </c>
      <c r="Q7575" s="308" t="s">
        <v>39573</v>
      </c>
      <c r="R7575" s="308"/>
      <c r="S7575" s="315" t="s">
        <v>100</v>
      </c>
      <c r="T7575" s="308" t="s">
        <v>34208</v>
      </c>
      <c r="U7575" s="308" t="s">
        <v>27</v>
      </c>
      <c r="V7575" s="308"/>
    </row>
    <row r="7576">
      <c r="A7576" s="308"/>
      <c r="B7576" s="308"/>
      <c r="C7576" s="308" t="s">
        <v>30037</v>
      </c>
      <c r="D7576" s="308">
        <f>IFERROR(__xludf.DUMMYFUNCTION("SPLIT(C7576,""-"")"),7596.0)</f>
        <v>7596</v>
      </c>
      <c r="E7576" s="308" t="str">
        <f>IFERROR(__xludf.DUMMYFUNCTION("""COMPUTED_VALUE"""),"B")</f>
        <v>B</v>
      </c>
      <c r="F7576" s="315" t="s">
        <v>26</v>
      </c>
      <c r="G7576" s="308"/>
      <c r="H7576" s="308" t="s">
        <v>30038</v>
      </c>
      <c r="I7576" s="310">
        <v>38973.0</v>
      </c>
      <c r="J7576" s="319">
        <f>IFERROR(__xludf.DUMMYFUNCTION("SPLIT(I7576,""/"")"),13.0)</f>
        <v>13</v>
      </c>
      <c r="K7576" s="308">
        <f>IFERROR(__xludf.DUMMYFUNCTION("""COMPUTED_VALUE"""),9.0)</f>
        <v>9</v>
      </c>
      <c r="L7576" s="308">
        <f>IFERROR(__xludf.DUMMYFUNCTION("""COMPUTED_VALUE"""),2006.0)</f>
        <v>2006</v>
      </c>
      <c r="M7576" s="308" t="s">
        <v>29970</v>
      </c>
      <c r="N7576" s="308"/>
      <c r="O7576" s="308"/>
      <c r="P7576" s="308" t="s">
        <v>136</v>
      </c>
      <c r="Q7576" s="308" t="s">
        <v>39573</v>
      </c>
      <c r="R7576" s="308"/>
      <c r="S7576" s="315" t="s">
        <v>100</v>
      </c>
      <c r="T7576" s="308" t="s">
        <v>34208</v>
      </c>
      <c r="U7576" s="308" t="s">
        <v>27</v>
      </c>
      <c r="V7576" s="308"/>
    </row>
    <row r="7577">
      <c r="A7577" s="308"/>
      <c r="B7577" s="308"/>
      <c r="C7577" s="308" t="s">
        <v>30039</v>
      </c>
      <c r="D7577" s="308">
        <f>IFERROR(__xludf.DUMMYFUNCTION("SPLIT(C7577,""-"")"),7597.0)</f>
        <v>7597</v>
      </c>
      <c r="E7577" s="308" t="str">
        <f>IFERROR(__xludf.DUMMYFUNCTION("""COMPUTED_VALUE"""),"B")</f>
        <v>B</v>
      </c>
      <c r="F7577" s="315" t="s">
        <v>26</v>
      </c>
      <c r="G7577" s="308"/>
      <c r="H7577" s="308" t="s">
        <v>30040</v>
      </c>
      <c r="I7577" s="310">
        <v>38973.0</v>
      </c>
      <c r="J7577" s="319">
        <f>IFERROR(__xludf.DUMMYFUNCTION("SPLIT(I7577,""/"")"),13.0)</f>
        <v>13</v>
      </c>
      <c r="K7577" s="308">
        <f>IFERROR(__xludf.DUMMYFUNCTION("""COMPUTED_VALUE"""),9.0)</f>
        <v>9</v>
      </c>
      <c r="L7577" s="308">
        <f>IFERROR(__xludf.DUMMYFUNCTION("""COMPUTED_VALUE"""),2006.0)</f>
        <v>2006</v>
      </c>
      <c r="M7577" s="308" t="s">
        <v>29970</v>
      </c>
      <c r="N7577" s="308"/>
      <c r="O7577" s="308"/>
      <c r="P7577" s="308" t="s">
        <v>136</v>
      </c>
      <c r="Q7577" s="308" t="s">
        <v>39573</v>
      </c>
      <c r="R7577" s="308"/>
      <c r="S7577" s="315" t="s">
        <v>100</v>
      </c>
      <c r="T7577" s="308" t="s">
        <v>34208</v>
      </c>
      <c r="U7577" s="308" t="s">
        <v>27</v>
      </c>
      <c r="V7577" s="308"/>
    </row>
    <row r="7578">
      <c r="A7578" s="308"/>
      <c r="B7578" s="308"/>
      <c r="C7578" s="308" t="s">
        <v>30041</v>
      </c>
      <c r="D7578" s="308">
        <f>IFERROR(__xludf.DUMMYFUNCTION("SPLIT(C7578,""-"")"),7598.0)</f>
        <v>7598</v>
      </c>
      <c r="E7578" s="308" t="str">
        <f>IFERROR(__xludf.DUMMYFUNCTION("""COMPUTED_VALUE"""),"B")</f>
        <v>B</v>
      </c>
      <c r="F7578" s="315" t="s">
        <v>26</v>
      </c>
      <c r="G7578" s="308"/>
      <c r="H7578" s="308" t="s">
        <v>30042</v>
      </c>
      <c r="I7578" s="310">
        <v>38986.0</v>
      </c>
      <c r="J7578" s="319">
        <f>IFERROR(__xludf.DUMMYFUNCTION("SPLIT(I7578,""/"")"),26.0)</f>
        <v>26</v>
      </c>
      <c r="K7578" s="308">
        <f>IFERROR(__xludf.DUMMYFUNCTION("""COMPUTED_VALUE"""),9.0)</f>
        <v>9</v>
      </c>
      <c r="L7578" s="308">
        <f>IFERROR(__xludf.DUMMYFUNCTION("""COMPUTED_VALUE"""),2006.0)</f>
        <v>2006</v>
      </c>
      <c r="M7578" s="308" t="s">
        <v>29970</v>
      </c>
      <c r="N7578" s="308"/>
      <c r="O7578" s="308"/>
      <c r="P7578" s="308" t="s">
        <v>136</v>
      </c>
      <c r="Q7578" s="308" t="s">
        <v>39573</v>
      </c>
      <c r="R7578" s="308"/>
      <c r="S7578" s="315" t="s">
        <v>100</v>
      </c>
      <c r="T7578" s="308" t="s">
        <v>34208</v>
      </c>
      <c r="U7578" s="308" t="s">
        <v>27</v>
      </c>
      <c r="V7578" s="308"/>
    </row>
    <row r="7579">
      <c r="A7579" s="308"/>
      <c r="B7579" s="308"/>
      <c r="C7579" s="308" t="s">
        <v>30043</v>
      </c>
      <c r="D7579" s="308">
        <f>IFERROR(__xludf.DUMMYFUNCTION("SPLIT(C7579,""-"")"),7599.0)</f>
        <v>7599</v>
      </c>
      <c r="E7579" s="308" t="str">
        <f>IFERROR(__xludf.DUMMYFUNCTION("""COMPUTED_VALUE"""),"B")</f>
        <v>B</v>
      </c>
      <c r="F7579" s="315" t="s">
        <v>26</v>
      </c>
      <c r="G7579" s="308"/>
      <c r="H7579" s="308" t="s">
        <v>30044</v>
      </c>
      <c r="I7579" s="310">
        <v>38986.0</v>
      </c>
      <c r="J7579" s="319">
        <f>IFERROR(__xludf.DUMMYFUNCTION("SPLIT(I7579,""/"")"),26.0)</f>
        <v>26</v>
      </c>
      <c r="K7579" s="308">
        <f>IFERROR(__xludf.DUMMYFUNCTION("""COMPUTED_VALUE"""),9.0)</f>
        <v>9</v>
      </c>
      <c r="L7579" s="308">
        <f>IFERROR(__xludf.DUMMYFUNCTION("""COMPUTED_VALUE"""),2006.0)</f>
        <v>2006</v>
      </c>
      <c r="M7579" s="308" t="s">
        <v>29970</v>
      </c>
      <c r="N7579" s="308"/>
      <c r="O7579" s="308"/>
      <c r="P7579" s="308" t="s">
        <v>136</v>
      </c>
      <c r="Q7579" s="308" t="s">
        <v>39573</v>
      </c>
      <c r="R7579" s="308"/>
      <c r="S7579" s="315" t="s">
        <v>100</v>
      </c>
      <c r="T7579" s="308" t="s">
        <v>34208</v>
      </c>
      <c r="U7579" s="308" t="s">
        <v>27</v>
      </c>
      <c r="V7579" s="308"/>
    </row>
    <row r="7580">
      <c r="A7580" s="308"/>
      <c r="B7580" s="308"/>
      <c r="C7580" s="308" t="s">
        <v>30045</v>
      </c>
      <c r="D7580" s="308">
        <f>IFERROR(__xludf.DUMMYFUNCTION("SPLIT(C7580,""-"")"),7600.0)</f>
        <v>7600</v>
      </c>
      <c r="E7580" s="308" t="str">
        <f>IFERROR(__xludf.DUMMYFUNCTION("""COMPUTED_VALUE"""),"B")</f>
        <v>B</v>
      </c>
      <c r="F7580" s="315" t="s">
        <v>26</v>
      </c>
      <c r="G7580" s="308"/>
      <c r="H7580" s="308" t="s">
        <v>30046</v>
      </c>
      <c r="I7580" s="310">
        <v>38986.0</v>
      </c>
      <c r="J7580" s="319">
        <f>IFERROR(__xludf.DUMMYFUNCTION("SPLIT(I7580,""/"")"),26.0)</f>
        <v>26</v>
      </c>
      <c r="K7580" s="308">
        <f>IFERROR(__xludf.DUMMYFUNCTION("""COMPUTED_VALUE"""),9.0)</f>
        <v>9</v>
      </c>
      <c r="L7580" s="308">
        <f>IFERROR(__xludf.DUMMYFUNCTION("""COMPUTED_VALUE"""),2006.0)</f>
        <v>2006</v>
      </c>
      <c r="M7580" s="308" t="s">
        <v>29970</v>
      </c>
      <c r="N7580" s="308"/>
      <c r="O7580" s="308"/>
      <c r="P7580" s="308" t="s">
        <v>136</v>
      </c>
      <c r="Q7580" s="308" t="s">
        <v>39573</v>
      </c>
      <c r="R7580" s="308"/>
      <c r="S7580" s="315" t="s">
        <v>100</v>
      </c>
      <c r="T7580" s="308" t="s">
        <v>34208</v>
      </c>
      <c r="U7580" s="308" t="s">
        <v>27</v>
      </c>
      <c r="V7580" s="308"/>
    </row>
    <row r="7581">
      <c r="A7581" s="308"/>
      <c r="B7581" s="308"/>
      <c r="C7581" s="308" t="s">
        <v>30047</v>
      </c>
      <c r="D7581" s="308">
        <f>IFERROR(__xludf.DUMMYFUNCTION("SPLIT(C7581,""-"")"),7601.0)</f>
        <v>7601</v>
      </c>
      <c r="E7581" s="308" t="str">
        <f>IFERROR(__xludf.DUMMYFUNCTION("""COMPUTED_VALUE"""),"B")</f>
        <v>B</v>
      </c>
      <c r="F7581" s="315" t="s">
        <v>26</v>
      </c>
      <c r="G7581" s="308"/>
      <c r="H7581" s="308" t="s">
        <v>30048</v>
      </c>
      <c r="I7581" s="310">
        <v>38986.0</v>
      </c>
      <c r="J7581" s="319">
        <f>IFERROR(__xludf.DUMMYFUNCTION("SPLIT(I7581,""/"")"),26.0)</f>
        <v>26</v>
      </c>
      <c r="K7581" s="308">
        <f>IFERROR(__xludf.DUMMYFUNCTION("""COMPUTED_VALUE"""),9.0)</f>
        <v>9</v>
      </c>
      <c r="L7581" s="308">
        <f>IFERROR(__xludf.DUMMYFUNCTION("""COMPUTED_VALUE"""),2006.0)</f>
        <v>2006</v>
      </c>
      <c r="M7581" s="308" t="s">
        <v>29970</v>
      </c>
      <c r="N7581" s="308"/>
      <c r="O7581" s="308"/>
      <c r="P7581" s="308" t="s">
        <v>136</v>
      </c>
      <c r="Q7581" s="308" t="s">
        <v>39573</v>
      </c>
      <c r="R7581" s="308"/>
      <c r="S7581" s="315" t="s">
        <v>100</v>
      </c>
      <c r="T7581" s="308" t="s">
        <v>34208</v>
      </c>
      <c r="U7581" s="308" t="s">
        <v>27</v>
      </c>
      <c r="V7581" s="308"/>
    </row>
    <row r="7582">
      <c r="A7582" s="308"/>
      <c r="B7582" s="308"/>
      <c r="C7582" s="308" t="s">
        <v>30049</v>
      </c>
      <c r="D7582" s="308">
        <f>IFERROR(__xludf.DUMMYFUNCTION("SPLIT(C7582,""-"")"),7602.0)</f>
        <v>7602</v>
      </c>
      <c r="E7582" s="308" t="str">
        <f>IFERROR(__xludf.DUMMYFUNCTION("""COMPUTED_VALUE"""),"B")</f>
        <v>B</v>
      </c>
      <c r="F7582" s="315" t="s">
        <v>26</v>
      </c>
      <c r="G7582" s="308"/>
      <c r="H7582" s="308" t="s">
        <v>30050</v>
      </c>
      <c r="I7582" s="310">
        <v>38986.0</v>
      </c>
      <c r="J7582" s="319">
        <f>IFERROR(__xludf.DUMMYFUNCTION("SPLIT(I7582,""/"")"),26.0)</f>
        <v>26</v>
      </c>
      <c r="K7582" s="308">
        <f>IFERROR(__xludf.DUMMYFUNCTION("""COMPUTED_VALUE"""),9.0)</f>
        <v>9</v>
      </c>
      <c r="L7582" s="308">
        <f>IFERROR(__xludf.DUMMYFUNCTION("""COMPUTED_VALUE"""),2006.0)</f>
        <v>2006</v>
      </c>
      <c r="M7582" s="308" t="s">
        <v>29970</v>
      </c>
      <c r="N7582" s="308"/>
      <c r="O7582" s="308"/>
      <c r="P7582" s="308" t="s">
        <v>136</v>
      </c>
      <c r="Q7582" s="308" t="s">
        <v>39573</v>
      </c>
      <c r="R7582" s="308"/>
      <c r="S7582" s="315" t="s">
        <v>100</v>
      </c>
      <c r="T7582" s="308" t="s">
        <v>34208</v>
      </c>
      <c r="U7582" s="308" t="s">
        <v>27</v>
      </c>
      <c r="V7582" s="308"/>
    </row>
    <row r="7583">
      <c r="A7583" s="308"/>
      <c r="B7583" s="308"/>
      <c r="C7583" s="308" t="s">
        <v>30051</v>
      </c>
      <c r="D7583" s="308">
        <f>IFERROR(__xludf.DUMMYFUNCTION("SPLIT(C7583,""-"")"),7603.0)</f>
        <v>7603</v>
      </c>
      <c r="E7583" s="308" t="str">
        <f>IFERROR(__xludf.DUMMYFUNCTION("""COMPUTED_VALUE"""),"B")</f>
        <v>B</v>
      </c>
      <c r="F7583" s="315" t="s">
        <v>26</v>
      </c>
      <c r="G7583" s="308"/>
      <c r="H7583" s="308" t="s">
        <v>30052</v>
      </c>
      <c r="I7583" s="310">
        <v>38986.0</v>
      </c>
      <c r="J7583" s="319">
        <f>IFERROR(__xludf.DUMMYFUNCTION("SPLIT(I7583,""/"")"),26.0)</f>
        <v>26</v>
      </c>
      <c r="K7583" s="308">
        <f>IFERROR(__xludf.DUMMYFUNCTION("""COMPUTED_VALUE"""),9.0)</f>
        <v>9</v>
      </c>
      <c r="L7583" s="308">
        <f>IFERROR(__xludf.DUMMYFUNCTION("""COMPUTED_VALUE"""),2006.0)</f>
        <v>2006</v>
      </c>
      <c r="M7583" s="308" t="s">
        <v>29970</v>
      </c>
      <c r="N7583" s="308"/>
      <c r="O7583" s="308"/>
      <c r="P7583" s="308" t="s">
        <v>136</v>
      </c>
      <c r="Q7583" s="308" t="s">
        <v>39573</v>
      </c>
      <c r="R7583" s="308"/>
      <c r="S7583" s="315" t="s">
        <v>100</v>
      </c>
      <c r="T7583" s="308" t="s">
        <v>34208</v>
      </c>
      <c r="U7583" s="308" t="s">
        <v>27</v>
      </c>
      <c r="V7583" s="308"/>
    </row>
    <row r="7584">
      <c r="A7584" s="308"/>
      <c r="B7584" s="308"/>
      <c r="C7584" s="308" t="s">
        <v>30053</v>
      </c>
      <c r="D7584" s="308">
        <f>IFERROR(__xludf.DUMMYFUNCTION("SPLIT(C7584,""-"")"),7604.0)</f>
        <v>7604</v>
      </c>
      <c r="E7584" s="308" t="str">
        <f>IFERROR(__xludf.DUMMYFUNCTION("""COMPUTED_VALUE"""),"B")</f>
        <v>B</v>
      </c>
      <c r="F7584" s="315" t="s">
        <v>26</v>
      </c>
      <c r="G7584" s="308"/>
      <c r="H7584" s="308" t="s">
        <v>30054</v>
      </c>
      <c r="I7584" s="310">
        <v>38986.0</v>
      </c>
      <c r="J7584" s="319">
        <f>IFERROR(__xludf.DUMMYFUNCTION("SPLIT(I7584,""/"")"),26.0)</f>
        <v>26</v>
      </c>
      <c r="K7584" s="308">
        <f>IFERROR(__xludf.DUMMYFUNCTION("""COMPUTED_VALUE"""),9.0)</f>
        <v>9</v>
      </c>
      <c r="L7584" s="308">
        <f>IFERROR(__xludf.DUMMYFUNCTION("""COMPUTED_VALUE"""),2006.0)</f>
        <v>2006</v>
      </c>
      <c r="M7584" s="308" t="s">
        <v>29970</v>
      </c>
      <c r="N7584" s="308"/>
      <c r="O7584" s="308"/>
      <c r="P7584" s="308" t="s">
        <v>136</v>
      </c>
      <c r="Q7584" s="308" t="s">
        <v>39573</v>
      </c>
      <c r="R7584" s="308"/>
      <c r="S7584" s="315" t="s">
        <v>100</v>
      </c>
      <c r="T7584" s="308" t="s">
        <v>34208</v>
      </c>
      <c r="U7584" s="308" t="s">
        <v>27</v>
      </c>
      <c r="V7584" s="308"/>
    </row>
    <row r="7585">
      <c r="A7585" s="308"/>
      <c r="B7585" s="308"/>
      <c r="C7585" s="308" t="s">
        <v>30055</v>
      </c>
      <c r="D7585" s="308">
        <f>IFERROR(__xludf.DUMMYFUNCTION("SPLIT(C7585,""-"")"),7605.0)</f>
        <v>7605</v>
      </c>
      <c r="E7585" s="308" t="str">
        <f>IFERROR(__xludf.DUMMYFUNCTION("""COMPUTED_VALUE"""),"B")</f>
        <v>B</v>
      </c>
      <c r="F7585" s="315" t="s">
        <v>26</v>
      </c>
      <c r="G7585" s="308"/>
      <c r="H7585" s="308" t="s">
        <v>30056</v>
      </c>
      <c r="I7585" s="310">
        <v>38986.0</v>
      </c>
      <c r="J7585" s="319">
        <f>IFERROR(__xludf.DUMMYFUNCTION("SPLIT(I7585,""/"")"),26.0)</f>
        <v>26</v>
      </c>
      <c r="K7585" s="308">
        <f>IFERROR(__xludf.DUMMYFUNCTION("""COMPUTED_VALUE"""),9.0)</f>
        <v>9</v>
      </c>
      <c r="L7585" s="308">
        <f>IFERROR(__xludf.DUMMYFUNCTION("""COMPUTED_VALUE"""),2006.0)</f>
        <v>2006</v>
      </c>
      <c r="M7585" s="308" t="s">
        <v>29970</v>
      </c>
      <c r="N7585" s="308"/>
      <c r="O7585" s="308"/>
      <c r="P7585" s="308" t="s">
        <v>136</v>
      </c>
      <c r="Q7585" s="308" t="s">
        <v>39573</v>
      </c>
      <c r="R7585" s="308"/>
      <c r="S7585" s="315" t="s">
        <v>100</v>
      </c>
      <c r="T7585" s="308" t="s">
        <v>34208</v>
      </c>
      <c r="U7585" s="308" t="s">
        <v>27</v>
      </c>
      <c r="V7585" s="308"/>
    </row>
    <row r="7586">
      <c r="A7586" s="308"/>
      <c r="B7586" s="308"/>
      <c r="C7586" s="308" t="s">
        <v>30057</v>
      </c>
      <c r="D7586" s="308">
        <f>IFERROR(__xludf.DUMMYFUNCTION("SPLIT(C7586,""-"")"),7606.0)</f>
        <v>7606</v>
      </c>
      <c r="E7586" s="308" t="str">
        <f>IFERROR(__xludf.DUMMYFUNCTION("""COMPUTED_VALUE"""),"B")</f>
        <v>B</v>
      </c>
      <c r="F7586" s="315" t="s">
        <v>26</v>
      </c>
      <c r="G7586" s="308"/>
      <c r="H7586" s="308" t="s">
        <v>30058</v>
      </c>
      <c r="I7586" s="310">
        <v>38986.0</v>
      </c>
      <c r="J7586" s="319">
        <f>IFERROR(__xludf.DUMMYFUNCTION("SPLIT(I7586,""/"")"),26.0)</f>
        <v>26</v>
      </c>
      <c r="K7586" s="308">
        <f>IFERROR(__xludf.DUMMYFUNCTION("""COMPUTED_VALUE"""),9.0)</f>
        <v>9</v>
      </c>
      <c r="L7586" s="308">
        <f>IFERROR(__xludf.DUMMYFUNCTION("""COMPUTED_VALUE"""),2006.0)</f>
        <v>2006</v>
      </c>
      <c r="M7586" s="308" t="s">
        <v>29970</v>
      </c>
      <c r="N7586" s="308"/>
      <c r="O7586" s="308"/>
      <c r="P7586" s="308" t="s">
        <v>136</v>
      </c>
      <c r="Q7586" s="308" t="s">
        <v>39573</v>
      </c>
      <c r="R7586" s="308"/>
      <c r="S7586" s="315" t="s">
        <v>100</v>
      </c>
      <c r="T7586" s="308" t="s">
        <v>34208</v>
      </c>
      <c r="U7586" s="308" t="s">
        <v>27</v>
      </c>
      <c r="V7586" s="308"/>
    </row>
    <row r="7587">
      <c r="A7587" s="308"/>
      <c r="B7587" s="308"/>
      <c r="C7587" s="308" t="s">
        <v>30059</v>
      </c>
      <c r="D7587" s="308">
        <f>IFERROR(__xludf.DUMMYFUNCTION("SPLIT(C7587,""-"")"),7607.0)</f>
        <v>7607</v>
      </c>
      <c r="E7587" s="308" t="str">
        <f>IFERROR(__xludf.DUMMYFUNCTION("""COMPUTED_VALUE"""),"B")</f>
        <v>B</v>
      </c>
      <c r="F7587" s="315" t="s">
        <v>26</v>
      </c>
      <c r="G7587" s="308"/>
      <c r="H7587" s="308" t="s">
        <v>30060</v>
      </c>
      <c r="I7587" s="310">
        <v>38986.0</v>
      </c>
      <c r="J7587" s="319">
        <f>IFERROR(__xludf.DUMMYFUNCTION("SPLIT(I7587,""/"")"),26.0)</f>
        <v>26</v>
      </c>
      <c r="K7587" s="308">
        <f>IFERROR(__xludf.DUMMYFUNCTION("""COMPUTED_VALUE"""),9.0)</f>
        <v>9</v>
      </c>
      <c r="L7587" s="308">
        <f>IFERROR(__xludf.DUMMYFUNCTION("""COMPUTED_VALUE"""),2006.0)</f>
        <v>2006</v>
      </c>
      <c r="M7587" s="308" t="s">
        <v>29970</v>
      </c>
      <c r="N7587" s="308"/>
      <c r="O7587" s="308"/>
      <c r="P7587" s="308" t="s">
        <v>136</v>
      </c>
      <c r="Q7587" s="308" t="s">
        <v>39573</v>
      </c>
      <c r="R7587" s="308"/>
      <c r="S7587" s="315" t="s">
        <v>100</v>
      </c>
      <c r="T7587" s="308" t="s">
        <v>34208</v>
      </c>
      <c r="U7587" s="308" t="s">
        <v>27</v>
      </c>
      <c r="V7587" s="308"/>
    </row>
    <row r="7588">
      <c r="A7588" s="308"/>
      <c r="B7588" s="308"/>
      <c r="C7588" s="308" t="s">
        <v>30061</v>
      </c>
      <c r="D7588" s="308">
        <f>IFERROR(__xludf.DUMMYFUNCTION("SPLIT(C7588,""-"")"),7608.0)</f>
        <v>7608</v>
      </c>
      <c r="E7588" s="308" t="str">
        <f>IFERROR(__xludf.DUMMYFUNCTION("""COMPUTED_VALUE"""),"B")</f>
        <v>B</v>
      </c>
      <c r="F7588" s="315" t="s">
        <v>26</v>
      </c>
      <c r="G7588" s="308"/>
      <c r="H7588" s="308" t="s">
        <v>30062</v>
      </c>
      <c r="I7588" s="310">
        <v>38986.0</v>
      </c>
      <c r="J7588" s="319">
        <f>IFERROR(__xludf.DUMMYFUNCTION("SPLIT(I7588,""/"")"),26.0)</f>
        <v>26</v>
      </c>
      <c r="K7588" s="308">
        <f>IFERROR(__xludf.DUMMYFUNCTION("""COMPUTED_VALUE"""),9.0)</f>
        <v>9</v>
      </c>
      <c r="L7588" s="308">
        <f>IFERROR(__xludf.DUMMYFUNCTION("""COMPUTED_VALUE"""),2006.0)</f>
        <v>2006</v>
      </c>
      <c r="M7588" s="308" t="s">
        <v>29970</v>
      </c>
      <c r="N7588" s="308"/>
      <c r="O7588" s="308"/>
      <c r="P7588" s="308" t="s">
        <v>136</v>
      </c>
      <c r="Q7588" s="308" t="s">
        <v>39573</v>
      </c>
      <c r="R7588" s="308"/>
      <c r="S7588" s="315" t="s">
        <v>100</v>
      </c>
      <c r="T7588" s="308" t="s">
        <v>34208</v>
      </c>
      <c r="U7588" s="308" t="s">
        <v>27</v>
      </c>
      <c r="V7588" s="308"/>
    </row>
    <row r="7589">
      <c r="A7589" s="308"/>
      <c r="B7589" s="308"/>
      <c r="C7589" s="308" t="s">
        <v>30063</v>
      </c>
      <c r="D7589" s="308">
        <f>IFERROR(__xludf.DUMMYFUNCTION("SPLIT(C7589,""-"")"),7609.0)</f>
        <v>7609</v>
      </c>
      <c r="E7589" s="308" t="str">
        <f>IFERROR(__xludf.DUMMYFUNCTION("""COMPUTED_VALUE"""),"B")</f>
        <v>B</v>
      </c>
      <c r="F7589" s="315" t="s">
        <v>26</v>
      </c>
      <c r="G7589" s="308"/>
      <c r="H7589" s="308" t="s">
        <v>30064</v>
      </c>
      <c r="I7589" s="310">
        <v>38986.0</v>
      </c>
      <c r="J7589" s="319">
        <f>IFERROR(__xludf.DUMMYFUNCTION("SPLIT(I7589,""/"")"),26.0)</f>
        <v>26</v>
      </c>
      <c r="K7589" s="308">
        <f>IFERROR(__xludf.DUMMYFUNCTION("""COMPUTED_VALUE"""),9.0)</f>
        <v>9</v>
      </c>
      <c r="L7589" s="308">
        <f>IFERROR(__xludf.DUMMYFUNCTION("""COMPUTED_VALUE"""),2006.0)</f>
        <v>2006</v>
      </c>
      <c r="M7589" s="308" t="s">
        <v>29970</v>
      </c>
      <c r="N7589" s="308"/>
      <c r="O7589" s="308"/>
      <c r="P7589" s="308" t="s">
        <v>136</v>
      </c>
      <c r="Q7589" s="308" t="s">
        <v>39573</v>
      </c>
      <c r="R7589" s="308"/>
      <c r="S7589" s="315" t="s">
        <v>100</v>
      </c>
      <c r="T7589" s="308" t="s">
        <v>34208</v>
      </c>
      <c r="U7589" s="308" t="s">
        <v>27</v>
      </c>
      <c r="V7589" s="308"/>
    </row>
    <row r="7590">
      <c r="A7590" s="308"/>
      <c r="B7590" s="308"/>
      <c r="C7590" s="308" t="s">
        <v>30065</v>
      </c>
      <c r="D7590" s="308">
        <f>IFERROR(__xludf.DUMMYFUNCTION("SPLIT(C7590,""-"")"),7610.0)</f>
        <v>7610</v>
      </c>
      <c r="E7590" s="308" t="str">
        <f>IFERROR(__xludf.DUMMYFUNCTION("""COMPUTED_VALUE"""),"B")</f>
        <v>B</v>
      </c>
      <c r="F7590" s="315" t="s">
        <v>26</v>
      </c>
      <c r="G7590" s="308"/>
      <c r="H7590" s="308" t="s">
        <v>30066</v>
      </c>
      <c r="I7590" s="310">
        <v>38986.0</v>
      </c>
      <c r="J7590" s="319">
        <f>IFERROR(__xludf.DUMMYFUNCTION("SPLIT(I7590,""/"")"),26.0)</f>
        <v>26</v>
      </c>
      <c r="K7590" s="308">
        <f>IFERROR(__xludf.DUMMYFUNCTION("""COMPUTED_VALUE"""),9.0)</f>
        <v>9</v>
      </c>
      <c r="L7590" s="308">
        <f>IFERROR(__xludf.DUMMYFUNCTION("""COMPUTED_VALUE"""),2006.0)</f>
        <v>2006</v>
      </c>
      <c r="M7590" s="308" t="s">
        <v>29970</v>
      </c>
      <c r="N7590" s="308"/>
      <c r="O7590" s="308"/>
      <c r="P7590" s="308" t="s">
        <v>136</v>
      </c>
      <c r="Q7590" s="308" t="s">
        <v>39573</v>
      </c>
      <c r="R7590" s="308"/>
      <c r="S7590" s="315" t="s">
        <v>100</v>
      </c>
      <c r="T7590" s="308" t="s">
        <v>34208</v>
      </c>
      <c r="U7590" s="308" t="s">
        <v>27</v>
      </c>
      <c r="V7590" s="308"/>
    </row>
    <row r="7591">
      <c r="A7591" s="308"/>
      <c r="B7591" s="308"/>
      <c r="C7591" s="308" t="s">
        <v>30067</v>
      </c>
      <c r="D7591" s="308">
        <f>IFERROR(__xludf.DUMMYFUNCTION("SPLIT(C7591,""-"")"),7611.0)</f>
        <v>7611</v>
      </c>
      <c r="E7591" s="308" t="str">
        <f>IFERROR(__xludf.DUMMYFUNCTION("""COMPUTED_VALUE"""),"B")</f>
        <v>B</v>
      </c>
      <c r="F7591" s="315" t="s">
        <v>26</v>
      </c>
      <c r="G7591" s="308"/>
      <c r="H7591" s="308" t="s">
        <v>30068</v>
      </c>
      <c r="I7591" s="310">
        <v>38986.0</v>
      </c>
      <c r="J7591" s="319">
        <f>IFERROR(__xludf.DUMMYFUNCTION("SPLIT(I7591,""/"")"),26.0)</f>
        <v>26</v>
      </c>
      <c r="K7591" s="308">
        <f>IFERROR(__xludf.DUMMYFUNCTION("""COMPUTED_VALUE"""),9.0)</f>
        <v>9</v>
      </c>
      <c r="L7591" s="308">
        <f>IFERROR(__xludf.DUMMYFUNCTION("""COMPUTED_VALUE"""),2006.0)</f>
        <v>2006</v>
      </c>
      <c r="M7591" s="308" t="s">
        <v>29970</v>
      </c>
      <c r="N7591" s="308"/>
      <c r="O7591" s="308"/>
      <c r="P7591" s="308" t="s">
        <v>136</v>
      </c>
      <c r="Q7591" s="308" t="s">
        <v>39573</v>
      </c>
      <c r="R7591" s="308"/>
      <c r="S7591" s="315" t="s">
        <v>100</v>
      </c>
      <c r="T7591" s="308" t="s">
        <v>34208</v>
      </c>
      <c r="U7591" s="308" t="s">
        <v>27</v>
      </c>
      <c r="V7591" s="308"/>
    </row>
    <row r="7592">
      <c r="A7592" s="308"/>
      <c r="B7592" s="308"/>
      <c r="C7592" s="308" t="s">
        <v>30069</v>
      </c>
      <c r="D7592" s="308">
        <f>IFERROR(__xludf.DUMMYFUNCTION("SPLIT(C7592,""-"")"),7612.0)</f>
        <v>7612</v>
      </c>
      <c r="E7592" s="308" t="str">
        <f>IFERROR(__xludf.DUMMYFUNCTION("""COMPUTED_VALUE"""),"B")</f>
        <v>B</v>
      </c>
      <c r="F7592" s="315" t="s">
        <v>26</v>
      </c>
      <c r="G7592" s="308"/>
      <c r="H7592" s="308" t="s">
        <v>30070</v>
      </c>
      <c r="I7592" s="310">
        <v>38986.0</v>
      </c>
      <c r="J7592" s="319">
        <f>IFERROR(__xludf.DUMMYFUNCTION("SPLIT(I7592,""/"")"),26.0)</f>
        <v>26</v>
      </c>
      <c r="K7592" s="308">
        <f>IFERROR(__xludf.DUMMYFUNCTION("""COMPUTED_VALUE"""),9.0)</f>
        <v>9</v>
      </c>
      <c r="L7592" s="308">
        <f>IFERROR(__xludf.DUMMYFUNCTION("""COMPUTED_VALUE"""),2006.0)</f>
        <v>2006</v>
      </c>
      <c r="M7592" s="308" t="s">
        <v>29970</v>
      </c>
      <c r="N7592" s="308"/>
      <c r="O7592" s="308"/>
      <c r="P7592" s="308" t="s">
        <v>136</v>
      </c>
      <c r="Q7592" s="308" t="s">
        <v>39573</v>
      </c>
      <c r="R7592" s="308"/>
      <c r="S7592" s="315" t="s">
        <v>100</v>
      </c>
      <c r="T7592" s="308" t="s">
        <v>34208</v>
      </c>
      <c r="U7592" s="308" t="s">
        <v>27</v>
      </c>
      <c r="V7592" s="308"/>
    </row>
    <row r="7593">
      <c r="A7593" s="308"/>
      <c r="B7593" s="308"/>
      <c r="C7593" s="308" t="s">
        <v>30071</v>
      </c>
      <c r="D7593" s="308">
        <f>IFERROR(__xludf.DUMMYFUNCTION("SPLIT(C7593,""-"")"),7613.0)</f>
        <v>7613</v>
      </c>
      <c r="E7593" s="308" t="str">
        <f>IFERROR(__xludf.DUMMYFUNCTION("""COMPUTED_VALUE"""),"B")</f>
        <v>B</v>
      </c>
      <c r="F7593" s="315" t="s">
        <v>26</v>
      </c>
      <c r="G7593" s="308"/>
      <c r="H7593" s="308" t="s">
        <v>30072</v>
      </c>
      <c r="I7593" s="310">
        <v>38986.0</v>
      </c>
      <c r="J7593" s="319">
        <f>IFERROR(__xludf.DUMMYFUNCTION("SPLIT(I7593,""/"")"),26.0)</f>
        <v>26</v>
      </c>
      <c r="K7593" s="308">
        <f>IFERROR(__xludf.DUMMYFUNCTION("""COMPUTED_VALUE"""),9.0)</f>
        <v>9</v>
      </c>
      <c r="L7593" s="308">
        <f>IFERROR(__xludf.DUMMYFUNCTION("""COMPUTED_VALUE"""),2006.0)</f>
        <v>2006</v>
      </c>
      <c r="M7593" s="308" t="s">
        <v>29970</v>
      </c>
      <c r="N7593" s="308"/>
      <c r="O7593" s="308"/>
      <c r="P7593" s="308" t="s">
        <v>136</v>
      </c>
      <c r="Q7593" s="308" t="s">
        <v>39573</v>
      </c>
      <c r="R7593" s="308"/>
      <c r="S7593" s="315" t="s">
        <v>100</v>
      </c>
      <c r="T7593" s="308" t="s">
        <v>34208</v>
      </c>
      <c r="U7593" s="308" t="s">
        <v>27</v>
      </c>
      <c r="V7593" s="308"/>
    </row>
    <row r="7594">
      <c r="A7594" s="308"/>
      <c r="B7594" s="308"/>
      <c r="C7594" s="308" t="s">
        <v>30073</v>
      </c>
      <c r="D7594" s="308">
        <f>IFERROR(__xludf.DUMMYFUNCTION("SPLIT(C7594,""-"")"),7614.0)</f>
        <v>7614</v>
      </c>
      <c r="E7594" s="308" t="str">
        <f>IFERROR(__xludf.DUMMYFUNCTION("""COMPUTED_VALUE"""),"B")</f>
        <v>B</v>
      </c>
      <c r="F7594" s="315" t="s">
        <v>26</v>
      </c>
      <c r="G7594" s="308"/>
      <c r="H7594" s="308" t="s">
        <v>30074</v>
      </c>
      <c r="I7594" s="310">
        <v>38986.0</v>
      </c>
      <c r="J7594" s="319">
        <f>IFERROR(__xludf.DUMMYFUNCTION("SPLIT(I7594,""/"")"),26.0)</f>
        <v>26</v>
      </c>
      <c r="K7594" s="308">
        <f>IFERROR(__xludf.DUMMYFUNCTION("""COMPUTED_VALUE"""),9.0)</f>
        <v>9</v>
      </c>
      <c r="L7594" s="308">
        <f>IFERROR(__xludf.DUMMYFUNCTION("""COMPUTED_VALUE"""),2006.0)</f>
        <v>2006</v>
      </c>
      <c r="M7594" s="308" t="s">
        <v>29970</v>
      </c>
      <c r="N7594" s="308"/>
      <c r="O7594" s="308"/>
      <c r="P7594" s="308" t="s">
        <v>136</v>
      </c>
      <c r="Q7594" s="308" t="s">
        <v>39573</v>
      </c>
      <c r="R7594" s="308"/>
      <c r="S7594" s="315" t="s">
        <v>100</v>
      </c>
      <c r="T7594" s="308" t="s">
        <v>34208</v>
      </c>
      <c r="U7594" s="308" t="s">
        <v>27</v>
      </c>
      <c r="V7594" s="308"/>
    </row>
    <row r="7595">
      <c r="A7595" s="308"/>
      <c r="B7595" s="308"/>
      <c r="C7595" s="308" t="s">
        <v>30075</v>
      </c>
      <c r="D7595" s="308">
        <f>IFERROR(__xludf.DUMMYFUNCTION("SPLIT(C7595,""-"")"),7615.0)</f>
        <v>7615</v>
      </c>
      <c r="E7595" s="308" t="str">
        <f>IFERROR(__xludf.DUMMYFUNCTION("""COMPUTED_VALUE"""),"B")</f>
        <v>B</v>
      </c>
      <c r="F7595" s="315" t="s">
        <v>26</v>
      </c>
      <c r="G7595" s="308"/>
      <c r="H7595" s="308" t="s">
        <v>30076</v>
      </c>
      <c r="I7595" s="310">
        <v>38986.0</v>
      </c>
      <c r="J7595" s="319">
        <f>IFERROR(__xludf.DUMMYFUNCTION("SPLIT(I7595,""/"")"),26.0)</f>
        <v>26</v>
      </c>
      <c r="K7595" s="308">
        <f>IFERROR(__xludf.DUMMYFUNCTION("""COMPUTED_VALUE"""),9.0)</f>
        <v>9</v>
      </c>
      <c r="L7595" s="308">
        <f>IFERROR(__xludf.DUMMYFUNCTION("""COMPUTED_VALUE"""),2006.0)</f>
        <v>2006</v>
      </c>
      <c r="M7595" s="308" t="s">
        <v>29970</v>
      </c>
      <c r="N7595" s="308"/>
      <c r="O7595" s="308"/>
      <c r="P7595" s="308" t="s">
        <v>136</v>
      </c>
      <c r="Q7595" s="308" t="s">
        <v>39573</v>
      </c>
      <c r="R7595" s="308"/>
      <c r="S7595" s="315" t="s">
        <v>100</v>
      </c>
      <c r="T7595" s="308" t="s">
        <v>34208</v>
      </c>
      <c r="U7595" s="308" t="s">
        <v>27</v>
      </c>
      <c r="V7595" s="308"/>
    </row>
    <row r="7596">
      <c r="A7596" s="308"/>
      <c r="B7596" s="308"/>
      <c r="C7596" s="308" t="s">
        <v>30077</v>
      </c>
      <c r="D7596" s="308">
        <f>IFERROR(__xludf.DUMMYFUNCTION("SPLIT(C7596,""-"")"),7616.0)</f>
        <v>7616</v>
      </c>
      <c r="E7596" s="308" t="str">
        <f>IFERROR(__xludf.DUMMYFUNCTION("""COMPUTED_VALUE"""),"B")</f>
        <v>B</v>
      </c>
      <c r="F7596" s="315" t="s">
        <v>26</v>
      </c>
      <c r="G7596" s="308"/>
      <c r="H7596" s="308" t="s">
        <v>30078</v>
      </c>
      <c r="I7596" s="310">
        <v>38986.0</v>
      </c>
      <c r="J7596" s="319">
        <f>IFERROR(__xludf.DUMMYFUNCTION("SPLIT(I7596,""/"")"),26.0)</f>
        <v>26</v>
      </c>
      <c r="K7596" s="308">
        <f>IFERROR(__xludf.DUMMYFUNCTION("""COMPUTED_VALUE"""),9.0)</f>
        <v>9</v>
      </c>
      <c r="L7596" s="308">
        <f>IFERROR(__xludf.DUMMYFUNCTION("""COMPUTED_VALUE"""),2006.0)</f>
        <v>2006</v>
      </c>
      <c r="M7596" s="308" t="s">
        <v>29970</v>
      </c>
      <c r="N7596" s="308"/>
      <c r="O7596" s="308"/>
      <c r="P7596" s="308" t="s">
        <v>136</v>
      </c>
      <c r="Q7596" s="308" t="s">
        <v>39573</v>
      </c>
      <c r="R7596" s="308"/>
      <c r="S7596" s="315" t="s">
        <v>100</v>
      </c>
      <c r="T7596" s="308" t="s">
        <v>34208</v>
      </c>
      <c r="U7596" s="308" t="s">
        <v>27</v>
      </c>
      <c r="V7596" s="308"/>
    </row>
    <row r="7597">
      <c r="A7597" s="308"/>
      <c r="B7597" s="308"/>
      <c r="C7597" s="308" t="s">
        <v>30079</v>
      </c>
      <c r="D7597" s="308">
        <f>IFERROR(__xludf.DUMMYFUNCTION("SPLIT(C7597,""-"")"),7617.0)</f>
        <v>7617</v>
      </c>
      <c r="E7597" s="308" t="str">
        <f>IFERROR(__xludf.DUMMYFUNCTION("""COMPUTED_VALUE"""),"B")</f>
        <v>B</v>
      </c>
      <c r="F7597" s="315" t="s">
        <v>26</v>
      </c>
      <c r="G7597" s="308"/>
      <c r="H7597" s="308" t="s">
        <v>30080</v>
      </c>
      <c r="I7597" s="310">
        <v>39155.0</v>
      </c>
      <c r="J7597" s="319">
        <f>IFERROR(__xludf.DUMMYFUNCTION("SPLIT(I7597,""/"")"),14.0)</f>
        <v>14</v>
      </c>
      <c r="K7597" s="308">
        <f>IFERROR(__xludf.DUMMYFUNCTION("""COMPUTED_VALUE"""),3.0)</f>
        <v>3</v>
      </c>
      <c r="L7597" s="308">
        <f>IFERROR(__xludf.DUMMYFUNCTION("""COMPUTED_VALUE"""),2007.0)</f>
        <v>2007</v>
      </c>
      <c r="M7597" s="308" t="s">
        <v>28425</v>
      </c>
      <c r="N7597" s="308"/>
      <c r="O7597" s="308"/>
      <c r="P7597" s="308" t="s">
        <v>136</v>
      </c>
      <c r="Q7597" s="308" t="s">
        <v>39573</v>
      </c>
      <c r="R7597" s="308"/>
      <c r="S7597" s="315" t="s">
        <v>100</v>
      </c>
      <c r="T7597" s="308" t="s">
        <v>34208</v>
      </c>
      <c r="U7597" s="308" t="s">
        <v>27</v>
      </c>
      <c r="V7597" s="308"/>
    </row>
    <row r="7598">
      <c r="A7598" s="308"/>
      <c r="B7598" s="308"/>
      <c r="C7598" s="308" t="s">
        <v>30081</v>
      </c>
      <c r="D7598" s="308">
        <f>IFERROR(__xludf.DUMMYFUNCTION("SPLIT(C7598,""-"")"),7618.0)</f>
        <v>7618</v>
      </c>
      <c r="E7598" s="308" t="str">
        <f>IFERROR(__xludf.DUMMYFUNCTION("""COMPUTED_VALUE"""),"B")</f>
        <v>B</v>
      </c>
      <c r="F7598" s="315" t="s">
        <v>26</v>
      </c>
      <c r="G7598" s="308"/>
      <c r="H7598" s="308" t="s">
        <v>39725</v>
      </c>
      <c r="I7598" s="310">
        <v>39155.0</v>
      </c>
      <c r="J7598" s="319">
        <f>IFERROR(__xludf.DUMMYFUNCTION("SPLIT(I7598,""/"")"),14.0)</f>
        <v>14</v>
      </c>
      <c r="K7598" s="308">
        <f>IFERROR(__xludf.DUMMYFUNCTION("""COMPUTED_VALUE"""),3.0)</f>
        <v>3</v>
      </c>
      <c r="L7598" s="308">
        <f>IFERROR(__xludf.DUMMYFUNCTION("""COMPUTED_VALUE"""),2007.0)</f>
        <v>2007</v>
      </c>
      <c r="M7598" s="308" t="s">
        <v>39726</v>
      </c>
      <c r="N7598" s="308"/>
      <c r="O7598" s="308"/>
      <c r="P7598" s="308" t="s">
        <v>136</v>
      </c>
      <c r="Q7598" s="308" t="s">
        <v>39573</v>
      </c>
      <c r="R7598" s="308"/>
      <c r="S7598" s="315" t="s">
        <v>100</v>
      </c>
      <c r="T7598" s="308" t="s">
        <v>34208</v>
      </c>
      <c r="U7598" s="308" t="s">
        <v>27</v>
      </c>
      <c r="V7598" s="308"/>
    </row>
    <row r="7599">
      <c r="A7599" s="308"/>
      <c r="B7599" s="308"/>
      <c r="C7599" s="308" t="s">
        <v>30084</v>
      </c>
      <c r="D7599" s="308">
        <f>IFERROR(__xludf.DUMMYFUNCTION("SPLIT(C7599,""-"")"),7619.0)</f>
        <v>7619</v>
      </c>
      <c r="E7599" s="308" t="str">
        <f>IFERROR(__xludf.DUMMYFUNCTION("""COMPUTED_VALUE"""),"B")</f>
        <v>B</v>
      </c>
      <c r="F7599" s="315" t="s">
        <v>26</v>
      </c>
      <c r="G7599" s="308"/>
      <c r="H7599" s="308" t="s">
        <v>30085</v>
      </c>
      <c r="I7599" s="314">
        <v>41720.0</v>
      </c>
      <c r="J7599" s="319">
        <f>IFERROR(__xludf.DUMMYFUNCTION("SPLIT(I7599,""/"")"),22.0)</f>
        <v>22</v>
      </c>
      <c r="K7599" s="308">
        <f>IFERROR(__xludf.DUMMYFUNCTION("""COMPUTED_VALUE"""),3.0)</f>
        <v>3</v>
      </c>
      <c r="L7599" s="308">
        <f>IFERROR(__xludf.DUMMYFUNCTION("""COMPUTED_VALUE"""),2014.0)</f>
        <v>2014</v>
      </c>
      <c r="M7599" s="308" t="s">
        <v>30086</v>
      </c>
      <c r="N7599" s="308"/>
      <c r="O7599" s="308"/>
      <c r="P7599" s="308" t="s">
        <v>39727</v>
      </c>
      <c r="Q7599" s="308" t="s">
        <v>39573</v>
      </c>
      <c r="R7599" s="308"/>
      <c r="S7599" s="308" t="s">
        <v>81</v>
      </c>
      <c r="T7599" s="308" t="s">
        <v>75</v>
      </c>
      <c r="U7599" s="308" t="s">
        <v>27</v>
      </c>
      <c r="V7599" s="308"/>
    </row>
    <row r="7600">
      <c r="A7600" s="308"/>
      <c r="B7600" s="308"/>
      <c r="C7600" s="308" t="s">
        <v>30088</v>
      </c>
      <c r="D7600" s="308">
        <f>IFERROR(__xludf.DUMMYFUNCTION("SPLIT(C7600,""-"")"),7620.0)</f>
        <v>7620</v>
      </c>
      <c r="E7600" s="308" t="str">
        <f>IFERROR(__xludf.DUMMYFUNCTION("""COMPUTED_VALUE"""),"B")</f>
        <v>B</v>
      </c>
      <c r="F7600" s="315" t="s">
        <v>26</v>
      </c>
      <c r="G7600" s="308"/>
      <c r="H7600" s="308" t="s">
        <v>39728</v>
      </c>
      <c r="I7600" s="314">
        <v>41720.0</v>
      </c>
      <c r="J7600" s="319">
        <f>IFERROR(__xludf.DUMMYFUNCTION("SPLIT(I7600,""/"")"),22.0)</f>
        <v>22</v>
      </c>
      <c r="K7600" s="308">
        <f>IFERROR(__xludf.DUMMYFUNCTION("""COMPUTED_VALUE"""),3.0)</f>
        <v>3</v>
      </c>
      <c r="L7600" s="308">
        <f>IFERROR(__xludf.DUMMYFUNCTION("""COMPUTED_VALUE"""),2014.0)</f>
        <v>2014</v>
      </c>
      <c r="M7600" s="308" t="s">
        <v>30086</v>
      </c>
      <c r="N7600" s="308"/>
      <c r="O7600" s="308"/>
      <c r="P7600" s="308" t="s">
        <v>39729</v>
      </c>
      <c r="Q7600" s="308" t="s">
        <v>39573</v>
      </c>
      <c r="R7600" s="308"/>
      <c r="S7600" s="308" t="s">
        <v>81</v>
      </c>
      <c r="T7600" s="308" t="s">
        <v>75</v>
      </c>
      <c r="U7600" s="308" t="s">
        <v>27</v>
      </c>
      <c r="V7600" s="308"/>
    </row>
    <row r="7601">
      <c r="A7601" s="308"/>
      <c r="B7601" s="308"/>
      <c r="C7601" s="308" t="s">
        <v>30091</v>
      </c>
      <c r="D7601" s="308">
        <f>IFERROR(__xludf.DUMMYFUNCTION("SPLIT(C7601,""-"")"),7621.0)</f>
        <v>7621</v>
      </c>
      <c r="E7601" s="308" t="str">
        <f>IFERROR(__xludf.DUMMYFUNCTION("""COMPUTED_VALUE"""),"B")</f>
        <v>B</v>
      </c>
      <c r="F7601" s="315" t="s">
        <v>26</v>
      </c>
      <c r="G7601" s="308"/>
      <c r="H7601" s="308" t="s">
        <v>30092</v>
      </c>
      <c r="I7601" s="314">
        <v>41720.0</v>
      </c>
      <c r="J7601" s="319">
        <f>IFERROR(__xludf.DUMMYFUNCTION("SPLIT(I7601,""/"")"),22.0)</f>
        <v>22</v>
      </c>
      <c r="K7601" s="308">
        <f>IFERROR(__xludf.DUMMYFUNCTION("""COMPUTED_VALUE"""),3.0)</f>
        <v>3</v>
      </c>
      <c r="L7601" s="308">
        <f>IFERROR(__xludf.DUMMYFUNCTION("""COMPUTED_VALUE"""),2014.0)</f>
        <v>2014</v>
      </c>
      <c r="M7601" s="308" t="s">
        <v>30086</v>
      </c>
      <c r="N7601" s="308"/>
      <c r="O7601" s="308"/>
      <c r="P7601" s="308" t="s">
        <v>39730</v>
      </c>
      <c r="Q7601" s="308" t="s">
        <v>39573</v>
      </c>
      <c r="R7601" s="308"/>
      <c r="S7601" s="308" t="s">
        <v>81</v>
      </c>
      <c r="T7601" s="308" t="s">
        <v>75</v>
      </c>
      <c r="U7601" s="308" t="s">
        <v>27</v>
      </c>
      <c r="V7601" s="308"/>
    </row>
    <row r="7602">
      <c r="A7602" s="308"/>
      <c r="B7602" s="308"/>
      <c r="C7602" s="308" t="s">
        <v>30094</v>
      </c>
      <c r="D7602" s="308">
        <f>IFERROR(__xludf.DUMMYFUNCTION("SPLIT(C7602,""-"")"),7622.0)</f>
        <v>7622</v>
      </c>
      <c r="E7602" s="308" t="str">
        <f>IFERROR(__xludf.DUMMYFUNCTION("""COMPUTED_VALUE"""),"B")</f>
        <v>B</v>
      </c>
      <c r="F7602" s="315" t="s">
        <v>26</v>
      </c>
      <c r="G7602" s="308"/>
      <c r="H7602" s="308" t="s">
        <v>30095</v>
      </c>
      <c r="I7602" s="314">
        <v>41720.0</v>
      </c>
      <c r="J7602" s="319">
        <f>IFERROR(__xludf.DUMMYFUNCTION("SPLIT(I7602,""/"")"),22.0)</f>
        <v>22</v>
      </c>
      <c r="K7602" s="308">
        <f>IFERROR(__xludf.DUMMYFUNCTION("""COMPUTED_VALUE"""),3.0)</f>
        <v>3</v>
      </c>
      <c r="L7602" s="308">
        <f>IFERROR(__xludf.DUMMYFUNCTION("""COMPUTED_VALUE"""),2014.0)</f>
        <v>2014</v>
      </c>
      <c r="M7602" s="308" t="s">
        <v>30086</v>
      </c>
      <c r="N7602" s="308"/>
      <c r="O7602" s="308"/>
      <c r="P7602" s="308" t="s">
        <v>39731</v>
      </c>
      <c r="Q7602" s="308" t="s">
        <v>39573</v>
      </c>
      <c r="R7602" s="308"/>
      <c r="S7602" s="308" t="s">
        <v>81</v>
      </c>
      <c r="T7602" s="308" t="s">
        <v>75</v>
      </c>
      <c r="U7602" s="308" t="s">
        <v>27</v>
      </c>
      <c r="V7602" s="308"/>
    </row>
    <row r="7603">
      <c r="A7603" s="308"/>
      <c r="B7603" s="308"/>
      <c r="C7603" s="308" t="s">
        <v>30097</v>
      </c>
      <c r="D7603" s="308">
        <f>IFERROR(__xludf.DUMMYFUNCTION("SPLIT(C7603,""-"")"),7623.0)</f>
        <v>7623</v>
      </c>
      <c r="E7603" s="308" t="str">
        <f>IFERROR(__xludf.DUMMYFUNCTION("""COMPUTED_VALUE"""),"B")</f>
        <v>B</v>
      </c>
      <c r="F7603" s="315" t="s">
        <v>26</v>
      </c>
      <c r="G7603" s="308"/>
      <c r="H7603" s="308" t="s">
        <v>30098</v>
      </c>
      <c r="I7603" s="314">
        <v>41720.0</v>
      </c>
      <c r="J7603" s="319">
        <f>IFERROR(__xludf.DUMMYFUNCTION("SPLIT(I7603,""/"")"),22.0)</f>
        <v>22</v>
      </c>
      <c r="K7603" s="308">
        <f>IFERROR(__xludf.DUMMYFUNCTION("""COMPUTED_VALUE"""),3.0)</f>
        <v>3</v>
      </c>
      <c r="L7603" s="308">
        <f>IFERROR(__xludf.DUMMYFUNCTION("""COMPUTED_VALUE"""),2014.0)</f>
        <v>2014</v>
      </c>
      <c r="M7603" s="308" t="s">
        <v>30086</v>
      </c>
      <c r="N7603" s="308"/>
      <c r="O7603" s="308"/>
      <c r="P7603" s="308" t="s">
        <v>39732</v>
      </c>
      <c r="Q7603" s="308" t="s">
        <v>39573</v>
      </c>
      <c r="R7603" s="308"/>
      <c r="S7603" s="308" t="s">
        <v>81</v>
      </c>
      <c r="T7603" s="308" t="s">
        <v>75</v>
      </c>
      <c r="U7603" s="308" t="s">
        <v>27</v>
      </c>
      <c r="V7603" s="308"/>
    </row>
    <row r="7604">
      <c r="A7604" s="308"/>
      <c r="B7604" s="308"/>
      <c r="C7604" s="308" t="s">
        <v>30100</v>
      </c>
      <c r="D7604" s="308">
        <f>IFERROR(__xludf.DUMMYFUNCTION("SPLIT(C7604,""-"")"),7624.0)</f>
        <v>7624</v>
      </c>
      <c r="E7604" s="308" t="str">
        <f>IFERROR(__xludf.DUMMYFUNCTION("""COMPUTED_VALUE"""),"B")</f>
        <v>B</v>
      </c>
      <c r="F7604" s="315" t="s">
        <v>26</v>
      </c>
      <c r="G7604" s="308"/>
      <c r="H7604" s="308" t="s">
        <v>30101</v>
      </c>
      <c r="I7604" s="314">
        <v>41720.0</v>
      </c>
      <c r="J7604" s="319">
        <f>IFERROR(__xludf.DUMMYFUNCTION("SPLIT(I7604,""/"")"),22.0)</f>
        <v>22</v>
      </c>
      <c r="K7604" s="308">
        <f>IFERROR(__xludf.DUMMYFUNCTION("""COMPUTED_VALUE"""),3.0)</f>
        <v>3</v>
      </c>
      <c r="L7604" s="308">
        <f>IFERROR(__xludf.DUMMYFUNCTION("""COMPUTED_VALUE"""),2014.0)</f>
        <v>2014</v>
      </c>
      <c r="M7604" s="308" t="s">
        <v>30086</v>
      </c>
      <c r="N7604" s="308"/>
      <c r="O7604" s="308"/>
      <c r="P7604" s="308" t="s">
        <v>39733</v>
      </c>
      <c r="Q7604" s="308" t="s">
        <v>39573</v>
      </c>
      <c r="R7604" s="308"/>
      <c r="S7604" s="308" t="s">
        <v>81</v>
      </c>
      <c r="T7604" s="308" t="s">
        <v>75</v>
      </c>
      <c r="U7604" s="308" t="s">
        <v>27</v>
      </c>
      <c r="V7604" s="308"/>
    </row>
    <row r="7605">
      <c r="A7605" s="308"/>
      <c r="B7605" s="308"/>
      <c r="C7605" s="308" t="s">
        <v>30103</v>
      </c>
      <c r="D7605" s="308">
        <f>IFERROR(__xludf.DUMMYFUNCTION("SPLIT(C7605,""-"")"),7625.0)</f>
        <v>7625</v>
      </c>
      <c r="E7605" s="308" t="str">
        <f>IFERROR(__xludf.DUMMYFUNCTION("""COMPUTED_VALUE"""),"B")</f>
        <v>B</v>
      </c>
      <c r="F7605" s="315" t="s">
        <v>26</v>
      </c>
      <c r="G7605" s="308"/>
      <c r="H7605" s="308" t="s">
        <v>30104</v>
      </c>
      <c r="I7605" s="314">
        <v>41720.0</v>
      </c>
      <c r="J7605" s="319">
        <f>IFERROR(__xludf.DUMMYFUNCTION("SPLIT(I7605,""/"")"),22.0)</f>
        <v>22</v>
      </c>
      <c r="K7605" s="308">
        <f>IFERROR(__xludf.DUMMYFUNCTION("""COMPUTED_VALUE"""),3.0)</f>
        <v>3</v>
      </c>
      <c r="L7605" s="308">
        <f>IFERROR(__xludf.DUMMYFUNCTION("""COMPUTED_VALUE"""),2014.0)</f>
        <v>2014</v>
      </c>
      <c r="M7605" s="308" t="s">
        <v>30086</v>
      </c>
      <c r="N7605" s="308"/>
      <c r="O7605" s="308"/>
      <c r="P7605" s="308" t="s">
        <v>39734</v>
      </c>
      <c r="Q7605" s="308" t="s">
        <v>39573</v>
      </c>
      <c r="R7605" s="308"/>
      <c r="S7605" s="308" t="s">
        <v>81</v>
      </c>
      <c r="T7605" s="308" t="s">
        <v>75</v>
      </c>
      <c r="U7605" s="308" t="s">
        <v>27</v>
      </c>
      <c r="V7605" s="308"/>
    </row>
    <row r="7606">
      <c r="A7606" s="308"/>
      <c r="B7606" s="308"/>
      <c r="C7606" s="308" t="s">
        <v>30106</v>
      </c>
      <c r="D7606" s="308">
        <f>IFERROR(__xludf.DUMMYFUNCTION("SPLIT(C7606,""-"")"),7626.0)</f>
        <v>7626</v>
      </c>
      <c r="E7606" s="308" t="str">
        <f>IFERROR(__xludf.DUMMYFUNCTION("""COMPUTED_VALUE"""),"B")</f>
        <v>B</v>
      </c>
      <c r="F7606" s="315" t="s">
        <v>26</v>
      </c>
      <c r="G7606" s="308"/>
      <c r="H7606" s="308" t="s">
        <v>30107</v>
      </c>
      <c r="I7606" s="314">
        <v>41720.0</v>
      </c>
      <c r="J7606" s="319">
        <f>IFERROR(__xludf.DUMMYFUNCTION("SPLIT(I7606,""/"")"),22.0)</f>
        <v>22</v>
      </c>
      <c r="K7606" s="308">
        <f>IFERROR(__xludf.DUMMYFUNCTION("""COMPUTED_VALUE"""),3.0)</f>
        <v>3</v>
      </c>
      <c r="L7606" s="308">
        <f>IFERROR(__xludf.DUMMYFUNCTION("""COMPUTED_VALUE"""),2014.0)</f>
        <v>2014</v>
      </c>
      <c r="M7606" s="308" t="s">
        <v>30086</v>
      </c>
      <c r="N7606" s="308"/>
      <c r="O7606" s="308"/>
      <c r="P7606" s="308" t="s">
        <v>39735</v>
      </c>
      <c r="Q7606" s="308" t="s">
        <v>39573</v>
      </c>
      <c r="R7606" s="308"/>
      <c r="S7606" s="308" t="s">
        <v>81</v>
      </c>
      <c r="T7606" s="308" t="s">
        <v>75</v>
      </c>
      <c r="U7606" s="308" t="s">
        <v>27</v>
      </c>
      <c r="V7606" s="308"/>
    </row>
    <row r="7607">
      <c r="A7607" s="308"/>
      <c r="B7607" s="308"/>
      <c r="C7607" s="308" t="s">
        <v>30109</v>
      </c>
      <c r="D7607" s="308">
        <f>IFERROR(__xludf.DUMMYFUNCTION("SPLIT(C7607,""-"")"),7627.0)</f>
        <v>7627</v>
      </c>
      <c r="E7607" s="308" t="str">
        <f>IFERROR(__xludf.DUMMYFUNCTION("""COMPUTED_VALUE"""),"B")</f>
        <v>B</v>
      </c>
      <c r="F7607" s="315" t="s">
        <v>26</v>
      </c>
      <c r="G7607" s="308"/>
      <c r="H7607" s="308" t="s">
        <v>30110</v>
      </c>
      <c r="I7607" s="314">
        <v>42444.0</v>
      </c>
      <c r="J7607" s="319">
        <f>IFERROR(__xludf.DUMMYFUNCTION("SPLIT(I7607,""/"")"),15.0)</f>
        <v>15</v>
      </c>
      <c r="K7607" s="308">
        <f>IFERROR(__xludf.DUMMYFUNCTION("""COMPUTED_VALUE"""),3.0)</f>
        <v>3</v>
      </c>
      <c r="L7607" s="308">
        <f>IFERROR(__xludf.DUMMYFUNCTION("""COMPUTED_VALUE"""),2016.0)</f>
        <v>2016</v>
      </c>
      <c r="M7607" s="308" t="s">
        <v>30111</v>
      </c>
      <c r="N7607" s="308"/>
      <c r="O7607" s="308"/>
      <c r="P7607" s="308" t="s">
        <v>39736</v>
      </c>
      <c r="Q7607" s="308" t="s">
        <v>39573</v>
      </c>
      <c r="R7607" s="308"/>
      <c r="S7607" s="308" t="s">
        <v>81</v>
      </c>
      <c r="T7607" s="308" t="s">
        <v>75</v>
      </c>
      <c r="U7607" s="308" t="s">
        <v>27</v>
      </c>
      <c r="V7607" s="308"/>
    </row>
    <row r="7608">
      <c r="A7608" s="308"/>
      <c r="B7608" s="308"/>
      <c r="C7608" s="308" t="s">
        <v>30113</v>
      </c>
      <c r="D7608" s="308">
        <f>IFERROR(__xludf.DUMMYFUNCTION("SPLIT(C7608,""-"")"),7628.0)</f>
        <v>7628</v>
      </c>
      <c r="E7608" s="308" t="str">
        <f>IFERROR(__xludf.DUMMYFUNCTION("""COMPUTED_VALUE"""),"B")</f>
        <v>B</v>
      </c>
      <c r="F7608" s="315" t="s">
        <v>26</v>
      </c>
      <c r="G7608" s="308"/>
      <c r="H7608" s="308" t="s">
        <v>39737</v>
      </c>
      <c r="I7608" s="314">
        <v>42444.0</v>
      </c>
      <c r="J7608" s="319">
        <f>IFERROR(__xludf.DUMMYFUNCTION("SPLIT(I7608,""/"")"),15.0)</f>
        <v>15</v>
      </c>
      <c r="K7608" s="308">
        <f>IFERROR(__xludf.DUMMYFUNCTION("""COMPUTED_VALUE"""),3.0)</f>
        <v>3</v>
      </c>
      <c r="L7608" s="308">
        <f>IFERROR(__xludf.DUMMYFUNCTION("""COMPUTED_VALUE"""),2016.0)</f>
        <v>2016</v>
      </c>
      <c r="M7608" s="308" t="s">
        <v>30111</v>
      </c>
      <c r="N7608" s="308"/>
      <c r="O7608" s="308"/>
      <c r="P7608" s="308" t="s">
        <v>136</v>
      </c>
      <c r="Q7608" s="308" t="s">
        <v>39573</v>
      </c>
      <c r="R7608" s="308"/>
      <c r="S7608" s="315" t="s">
        <v>100</v>
      </c>
      <c r="T7608" s="308" t="s">
        <v>34208</v>
      </c>
      <c r="U7608" s="308" t="s">
        <v>27</v>
      </c>
      <c r="V7608" s="308"/>
    </row>
    <row r="7609">
      <c r="A7609" s="308"/>
      <c r="B7609" s="308"/>
      <c r="C7609" s="308" t="s">
        <v>30115</v>
      </c>
      <c r="D7609" s="308">
        <f>IFERROR(__xludf.DUMMYFUNCTION("SPLIT(C7609,""-"")"),7629.0)</f>
        <v>7629</v>
      </c>
      <c r="E7609" s="308" t="str">
        <f>IFERROR(__xludf.DUMMYFUNCTION("""COMPUTED_VALUE"""),"B")</f>
        <v>B</v>
      </c>
      <c r="F7609" s="315" t="s">
        <v>26</v>
      </c>
      <c r="G7609" s="308"/>
      <c r="H7609" s="308" t="s">
        <v>30116</v>
      </c>
      <c r="I7609" s="314">
        <v>42479.0</v>
      </c>
      <c r="J7609" s="319">
        <f>IFERROR(__xludf.DUMMYFUNCTION("SPLIT(I7609,""/"")"),19.0)</f>
        <v>19</v>
      </c>
      <c r="K7609" s="308">
        <f>IFERROR(__xludf.DUMMYFUNCTION("""COMPUTED_VALUE"""),4.0)</f>
        <v>4</v>
      </c>
      <c r="L7609" s="308">
        <f>IFERROR(__xludf.DUMMYFUNCTION("""COMPUTED_VALUE"""),2016.0)</f>
        <v>2016</v>
      </c>
      <c r="M7609" s="308" t="s">
        <v>30117</v>
      </c>
      <c r="N7609" s="308"/>
      <c r="O7609" s="308"/>
      <c r="P7609" s="308" t="s">
        <v>39738</v>
      </c>
      <c r="Q7609" s="308" t="s">
        <v>39573</v>
      </c>
      <c r="R7609" s="308"/>
      <c r="S7609" s="308" t="s">
        <v>81</v>
      </c>
      <c r="T7609" s="308" t="s">
        <v>75</v>
      </c>
      <c r="U7609" s="308" t="s">
        <v>27</v>
      </c>
      <c r="V7609" s="308"/>
    </row>
    <row r="7610">
      <c r="A7610" s="308"/>
      <c r="B7610" s="308"/>
      <c r="C7610" s="308" t="s">
        <v>30119</v>
      </c>
      <c r="D7610" s="308">
        <f>IFERROR(__xludf.DUMMYFUNCTION("SPLIT(C7610,""-"")"),7630.0)</f>
        <v>7630</v>
      </c>
      <c r="E7610" s="308" t="str">
        <f>IFERROR(__xludf.DUMMYFUNCTION("""COMPUTED_VALUE"""),"B")</f>
        <v>B</v>
      </c>
      <c r="F7610" s="315" t="s">
        <v>26</v>
      </c>
      <c r="G7610" s="308"/>
      <c r="H7610" s="308" t="s">
        <v>30120</v>
      </c>
      <c r="I7610" s="314">
        <v>42520.0</v>
      </c>
      <c r="J7610" s="319">
        <f>IFERROR(__xludf.DUMMYFUNCTION("SPLIT(I7610,""/"")"),30.0)</f>
        <v>30</v>
      </c>
      <c r="K7610" s="308">
        <f>IFERROR(__xludf.DUMMYFUNCTION("""COMPUTED_VALUE"""),5.0)</f>
        <v>5</v>
      </c>
      <c r="L7610" s="308">
        <f>IFERROR(__xludf.DUMMYFUNCTION("""COMPUTED_VALUE"""),2016.0)</f>
        <v>2016</v>
      </c>
      <c r="M7610" s="308" t="s">
        <v>30121</v>
      </c>
      <c r="N7610" s="308"/>
      <c r="O7610" s="308"/>
      <c r="P7610" s="308" t="s">
        <v>136</v>
      </c>
      <c r="Q7610" s="308" t="s">
        <v>39573</v>
      </c>
      <c r="R7610" s="308"/>
      <c r="S7610" s="315" t="s">
        <v>100</v>
      </c>
      <c r="T7610" s="308" t="s">
        <v>34208</v>
      </c>
      <c r="U7610" s="308" t="s">
        <v>27</v>
      </c>
      <c r="V7610" s="308"/>
    </row>
    <row r="7611">
      <c r="A7611" s="308"/>
      <c r="B7611" s="308"/>
      <c r="C7611" s="308" t="s">
        <v>30122</v>
      </c>
      <c r="D7611" s="308">
        <f>IFERROR(__xludf.DUMMYFUNCTION("SPLIT(C7611,""-"")"),7631.0)</f>
        <v>7631</v>
      </c>
      <c r="E7611" s="308" t="str">
        <f>IFERROR(__xludf.DUMMYFUNCTION("""COMPUTED_VALUE"""),"B")</f>
        <v>B</v>
      </c>
      <c r="F7611" s="315" t="s">
        <v>26</v>
      </c>
      <c r="G7611" s="308"/>
      <c r="H7611" s="308" t="s">
        <v>30123</v>
      </c>
      <c r="I7611" s="314">
        <v>42520.0</v>
      </c>
      <c r="J7611" s="319">
        <f>IFERROR(__xludf.DUMMYFUNCTION("SPLIT(I7611,""/"")"),30.0)</f>
        <v>30</v>
      </c>
      <c r="K7611" s="308">
        <f>IFERROR(__xludf.DUMMYFUNCTION("""COMPUTED_VALUE"""),5.0)</f>
        <v>5</v>
      </c>
      <c r="L7611" s="308">
        <f>IFERROR(__xludf.DUMMYFUNCTION("""COMPUTED_VALUE"""),2016.0)</f>
        <v>2016</v>
      </c>
      <c r="M7611" s="308" t="s">
        <v>30121</v>
      </c>
      <c r="N7611" s="308"/>
      <c r="O7611" s="308"/>
      <c r="P7611" s="308" t="s">
        <v>39739</v>
      </c>
      <c r="Q7611" s="308" t="s">
        <v>39573</v>
      </c>
      <c r="R7611" s="308"/>
      <c r="S7611" s="308" t="s">
        <v>81</v>
      </c>
      <c r="T7611" s="308" t="s">
        <v>75</v>
      </c>
      <c r="U7611" s="308" t="s">
        <v>27</v>
      </c>
      <c r="V7611" s="308"/>
    </row>
    <row r="7612">
      <c r="A7612" s="308"/>
      <c r="B7612" s="308"/>
      <c r="C7612" s="308" t="s">
        <v>30125</v>
      </c>
      <c r="D7612" s="308">
        <f>IFERROR(__xludf.DUMMYFUNCTION("SPLIT(C7612,""-"")"),7632.0)</f>
        <v>7632</v>
      </c>
      <c r="E7612" s="308" t="str">
        <f>IFERROR(__xludf.DUMMYFUNCTION("""COMPUTED_VALUE"""),"B")</f>
        <v>B</v>
      </c>
      <c r="F7612" s="315" t="s">
        <v>26</v>
      </c>
      <c r="G7612" s="308"/>
      <c r="H7612" s="308" t="s">
        <v>39740</v>
      </c>
      <c r="I7612" s="314">
        <v>42573.0</v>
      </c>
      <c r="J7612" s="319">
        <f>IFERROR(__xludf.DUMMYFUNCTION("SPLIT(I7612,""/"")"),22.0)</f>
        <v>22</v>
      </c>
      <c r="K7612" s="308">
        <f>IFERROR(__xludf.DUMMYFUNCTION("""COMPUTED_VALUE"""),7.0)</f>
        <v>7</v>
      </c>
      <c r="L7612" s="308">
        <f>IFERROR(__xludf.DUMMYFUNCTION("""COMPUTED_VALUE"""),2016.0)</f>
        <v>2016</v>
      </c>
      <c r="M7612" s="308" t="s">
        <v>30127</v>
      </c>
      <c r="N7612" s="308"/>
      <c r="O7612" s="308"/>
      <c r="P7612" s="308" t="s">
        <v>39741</v>
      </c>
      <c r="Q7612" s="308" t="s">
        <v>39573</v>
      </c>
      <c r="R7612" s="308"/>
      <c r="S7612" s="308" t="s">
        <v>81</v>
      </c>
      <c r="T7612" s="308" t="s">
        <v>75</v>
      </c>
      <c r="U7612" s="308" t="s">
        <v>27</v>
      </c>
      <c r="V7612" s="308"/>
    </row>
    <row r="7613">
      <c r="A7613" s="308"/>
      <c r="B7613" s="308"/>
      <c r="C7613" s="308" t="s">
        <v>30129</v>
      </c>
      <c r="D7613" s="308">
        <f>IFERROR(__xludf.DUMMYFUNCTION("SPLIT(C7613,""-"")"),7633.0)</f>
        <v>7633</v>
      </c>
      <c r="E7613" s="308" t="str">
        <f>IFERROR(__xludf.DUMMYFUNCTION("""COMPUTED_VALUE"""),"B")</f>
        <v>B</v>
      </c>
      <c r="F7613" s="315" t="s">
        <v>26</v>
      </c>
      <c r="G7613" s="308"/>
      <c r="H7613" s="308" t="s">
        <v>30130</v>
      </c>
      <c r="I7613" s="314">
        <v>42573.0</v>
      </c>
      <c r="J7613" s="319">
        <f>IFERROR(__xludf.DUMMYFUNCTION("SPLIT(I7613,""/"")"),22.0)</f>
        <v>22</v>
      </c>
      <c r="K7613" s="308">
        <f>IFERROR(__xludf.DUMMYFUNCTION("""COMPUTED_VALUE"""),7.0)</f>
        <v>7</v>
      </c>
      <c r="L7613" s="308">
        <f>IFERROR(__xludf.DUMMYFUNCTION("""COMPUTED_VALUE"""),2016.0)</f>
        <v>2016</v>
      </c>
      <c r="M7613" s="308" t="s">
        <v>30127</v>
      </c>
      <c r="N7613" s="308"/>
      <c r="O7613" s="308"/>
      <c r="P7613" s="308" t="s">
        <v>39742</v>
      </c>
      <c r="Q7613" s="308" t="s">
        <v>39573</v>
      </c>
      <c r="R7613" s="308"/>
      <c r="S7613" s="308" t="s">
        <v>81</v>
      </c>
      <c r="T7613" s="308" t="s">
        <v>75</v>
      </c>
      <c r="U7613" s="308" t="s">
        <v>27</v>
      </c>
      <c r="V7613" s="308"/>
    </row>
    <row r="7614">
      <c r="A7614" s="308"/>
      <c r="B7614" s="308"/>
      <c r="C7614" s="308" t="s">
        <v>30132</v>
      </c>
      <c r="D7614" s="308">
        <f>IFERROR(__xludf.DUMMYFUNCTION("SPLIT(C7614,""-"")"),7634.0)</f>
        <v>7634</v>
      </c>
      <c r="E7614" s="308" t="str">
        <f>IFERROR(__xludf.DUMMYFUNCTION("""COMPUTED_VALUE"""),"B")</f>
        <v>B</v>
      </c>
      <c r="F7614" s="315" t="s">
        <v>26</v>
      </c>
      <c r="G7614" s="308"/>
      <c r="H7614" s="308" t="s">
        <v>30133</v>
      </c>
      <c r="I7614" s="314">
        <v>42573.0</v>
      </c>
      <c r="J7614" s="319">
        <f>IFERROR(__xludf.DUMMYFUNCTION("SPLIT(I7614,""/"")"),22.0)</f>
        <v>22</v>
      </c>
      <c r="K7614" s="308">
        <f>IFERROR(__xludf.DUMMYFUNCTION("""COMPUTED_VALUE"""),7.0)</f>
        <v>7</v>
      </c>
      <c r="L7614" s="308">
        <f>IFERROR(__xludf.DUMMYFUNCTION("""COMPUTED_VALUE"""),2016.0)</f>
        <v>2016</v>
      </c>
      <c r="M7614" s="308" t="s">
        <v>30127</v>
      </c>
      <c r="N7614" s="308"/>
      <c r="O7614" s="308"/>
      <c r="P7614" s="308" t="s">
        <v>39743</v>
      </c>
      <c r="Q7614" s="308" t="s">
        <v>39573</v>
      </c>
      <c r="R7614" s="308"/>
      <c r="S7614" s="308" t="s">
        <v>81</v>
      </c>
      <c r="T7614" s="308" t="s">
        <v>75</v>
      </c>
      <c r="U7614" s="308" t="s">
        <v>27</v>
      </c>
      <c r="V7614" s="308"/>
    </row>
    <row r="7615">
      <c r="A7615" s="308"/>
      <c r="B7615" s="308"/>
      <c r="C7615" s="308" t="s">
        <v>30135</v>
      </c>
      <c r="D7615" s="308">
        <f>IFERROR(__xludf.DUMMYFUNCTION("SPLIT(C7615,""-"")"),7635.0)</f>
        <v>7635</v>
      </c>
      <c r="E7615" s="308" t="str">
        <f>IFERROR(__xludf.DUMMYFUNCTION("""COMPUTED_VALUE"""),"B")</f>
        <v>B</v>
      </c>
      <c r="F7615" s="315" t="s">
        <v>26</v>
      </c>
      <c r="G7615" s="308"/>
      <c r="H7615" s="308" t="s">
        <v>30136</v>
      </c>
      <c r="I7615" s="314">
        <v>42573.0</v>
      </c>
      <c r="J7615" s="319">
        <f>IFERROR(__xludf.DUMMYFUNCTION("SPLIT(I7615,""/"")"),22.0)</f>
        <v>22</v>
      </c>
      <c r="K7615" s="308">
        <f>IFERROR(__xludf.DUMMYFUNCTION("""COMPUTED_VALUE"""),7.0)</f>
        <v>7</v>
      </c>
      <c r="L7615" s="308">
        <f>IFERROR(__xludf.DUMMYFUNCTION("""COMPUTED_VALUE"""),2016.0)</f>
        <v>2016</v>
      </c>
      <c r="M7615" s="308" t="s">
        <v>30127</v>
      </c>
      <c r="N7615" s="308"/>
      <c r="O7615" s="308"/>
      <c r="P7615" s="308" t="s">
        <v>39744</v>
      </c>
      <c r="Q7615" s="308" t="s">
        <v>39573</v>
      </c>
      <c r="R7615" s="308"/>
      <c r="S7615" s="308" t="s">
        <v>81</v>
      </c>
      <c r="T7615" s="308" t="s">
        <v>75</v>
      </c>
      <c r="U7615" s="308" t="s">
        <v>27</v>
      </c>
      <c r="V7615" s="308"/>
    </row>
    <row r="7616">
      <c r="A7616" s="308"/>
      <c r="B7616" s="308"/>
      <c r="C7616" s="308" t="s">
        <v>30138</v>
      </c>
      <c r="D7616" s="308">
        <f>IFERROR(__xludf.DUMMYFUNCTION("SPLIT(C7616,""-"")"),7636.0)</f>
        <v>7636</v>
      </c>
      <c r="E7616" s="308" t="str">
        <f>IFERROR(__xludf.DUMMYFUNCTION("""COMPUTED_VALUE"""),"B")</f>
        <v>B</v>
      </c>
      <c r="F7616" s="315" t="s">
        <v>26</v>
      </c>
      <c r="G7616" s="308"/>
      <c r="H7616" s="308" t="s">
        <v>30139</v>
      </c>
      <c r="I7616" s="314">
        <v>42574.0</v>
      </c>
      <c r="J7616" s="319">
        <f>IFERROR(__xludf.DUMMYFUNCTION("SPLIT(I7616,""/"")"),23.0)</f>
        <v>23</v>
      </c>
      <c r="K7616" s="308">
        <f>IFERROR(__xludf.DUMMYFUNCTION("""COMPUTED_VALUE"""),7.0)</f>
        <v>7</v>
      </c>
      <c r="L7616" s="308">
        <f>IFERROR(__xludf.DUMMYFUNCTION("""COMPUTED_VALUE"""),2016.0)</f>
        <v>2016</v>
      </c>
      <c r="M7616" s="308" t="s">
        <v>30127</v>
      </c>
      <c r="N7616" s="308"/>
      <c r="O7616" s="308"/>
      <c r="P7616" s="308" t="s">
        <v>136</v>
      </c>
      <c r="Q7616" s="308" t="s">
        <v>39573</v>
      </c>
      <c r="R7616" s="308"/>
      <c r="S7616" s="315" t="s">
        <v>100</v>
      </c>
      <c r="T7616" s="308" t="s">
        <v>34208</v>
      </c>
      <c r="U7616" s="308" t="s">
        <v>27</v>
      </c>
      <c r="V7616" s="308"/>
    </row>
    <row r="7617">
      <c r="A7617" s="308"/>
      <c r="B7617" s="308"/>
      <c r="C7617" s="308" t="s">
        <v>30140</v>
      </c>
      <c r="D7617" s="308">
        <f>IFERROR(__xludf.DUMMYFUNCTION("SPLIT(C7617,""-"")"),7637.0)</f>
        <v>7637</v>
      </c>
      <c r="E7617" s="308" t="str">
        <f>IFERROR(__xludf.DUMMYFUNCTION("""COMPUTED_VALUE"""),"B")</f>
        <v>B</v>
      </c>
      <c r="F7617" s="315" t="s">
        <v>26</v>
      </c>
      <c r="G7617" s="308"/>
      <c r="H7617" s="308" t="s">
        <v>39745</v>
      </c>
      <c r="I7617" s="310">
        <v>42377.0</v>
      </c>
      <c r="J7617" s="319">
        <f>IFERROR(__xludf.DUMMYFUNCTION("SPLIT(I7617,""/"")"),8.0)</f>
        <v>8</v>
      </c>
      <c r="K7617" s="308">
        <f>IFERROR(__xludf.DUMMYFUNCTION("""COMPUTED_VALUE"""),1.0)</f>
        <v>1</v>
      </c>
      <c r="L7617" s="308">
        <f>IFERROR(__xludf.DUMMYFUNCTION("""COMPUTED_VALUE"""),2016.0)</f>
        <v>2016</v>
      </c>
      <c r="M7617" s="308" t="s">
        <v>30142</v>
      </c>
      <c r="N7617" s="308"/>
      <c r="O7617" s="308"/>
      <c r="P7617" s="308" t="s">
        <v>136</v>
      </c>
      <c r="Q7617" s="308" t="s">
        <v>39573</v>
      </c>
      <c r="R7617" s="308"/>
      <c r="S7617" s="315" t="s">
        <v>100</v>
      </c>
      <c r="T7617" s="308" t="s">
        <v>34208</v>
      </c>
      <c r="U7617" s="308" t="s">
        <v>27</v>
      </c>
      <c r="V7617" s="308"/>
    </row>
    <row r="7618">
      <c r="A7618" s="308"/>
      <c r="B7618" s="308"/>
      <c r="C7618" s="308" t="s">
        <v>30143</v>
      </c>
      <c r="D7618" s="308">
        <f>IFERROR(__xludf.DUMMYFUNCTION("SPLIT(C7618,""-"")"),7638.0)</f>
        <v>7638</v>
      </c>
      <c r="E7618" s="308" t="str">
        <f>IFERROR(__xludf.DUMMYFUNCTION("""COMPUTED_VALUE"""),"B")</f>
        <v>B</v>
      </c>
      <c r="F7618" s="315" t="s">
        <v>26</v>
      </c>
      <c r="G7618" s="308"/>
      <c r="H7618" s="308" t="s">
        <v>39746</v>
      </c>
      <c r="I7618" s="310">
        <v>42377.0</v>
      </c>
      <c r="J7618" s="319">
        <f>IFERROR(__xludf.DUMMYFUNCTION("SPLIT(I7618,""/"")"),8.0)</f>
        <v>8</v>
      </c>
      <c r="K7618" s="308">
        <f>IFERROR(__xludf.DUMMYFUNCTION("""COMPUTED_VALUE"""),1.0)</f>
        <v>1</v>
      </c>
      <c r="L7618" s="308">
        <f>IFERROR(__xludf.DUMMYFUNCTION("""COMPUTED_VALUE"""),2016.0)</f>
        <v>2016</v>
      </c>
      <c r="M7618" s="308" t="s">
        <v>30142</v>
      </c>
      <c r="N7618" s="308"/>
      <c r="O7618" s="308"/>
      <c r="P7618" s="308" t="s">
        <v>39747</v>
      </c>
      <c r="Q7618" s="308" t="s">
        <v>39573</v>
      </c>
      <c r="R7618" s="308"/>
      <c r="S7618" s="308" t="s">
        <v>81</v>
      </c>
      <c r="T7618" s="308" t="s">
        <v>75</v>
      </c>
      <c r="U7618" s="308" t="s">
        <v>27</v>
      </c>
      <c r="V7618" s="308"/>
    </row>
    <row r="7619">
      <c r="A7619" s="308"/>
      <c r="B7619" s="308"/>
      <c r="C7619" s="308" t="s">
        <v>30146</v>
      </c>
      <c r="D7619" s="308">
        <f>IFERROR(__xludf.DUMMYFUNCTION("SPLIT(C7619,""-"")"),7639.0)</f>
        <v>7639</v>
      </c>
      <c r="E7619" s="308" t="str">
        <f>IFERROR(__xludf.DUMMYFUNCTION("""COMPUTED_VALUE"""),"B")</f>
        <v>B</v>
      </c>
      <c r="F7619" s="315" t="s">
        <v>26</v>
      </c>
      <c r="G7619" s="308"/>
      <c r="H7619" s="308" t="s">
        <v>30147</v>
      </c>
      <c r="I7619" s="310">
        <v>42377.0</v>
      </c>
      <c r="J7619" s="319">
        <f>IFERROR(__xludf.DUMMYFUNCTION("SPLIT(I7619,""/"")"),8.0)</f>
        <v>8</v>
      </c>
      <c r="K7619" s="308">
        <f>IFERROR(__xludf.DUMMYFUNCTION("""COMPUTED_VALUE"""),1.0)</f>
        <v>1</v>
      </c>
      <c r="L7619" s="308">
        <f>IFERROR(__xludf.DUMMYFUNCTION("""COMPUTED_VALUE"""),2016.0)</f>
        <v>2016</v>
      </c>
      <c r="M7619" s="308" t="s">
        <v>30142</v>
      </c>
      <c r="N7619" s="308"/>
      <c r="O7619" s="308"/>
      <c r="P7619" s="308" t="s">
        <v>136</v>
      </c>
      <c r="Q7619" s="308" t="s">
        <v>39573</v>
      </c>
      <c r="R7619" s="308"/>
      <c r="S7619" s="315" t="s">
        <v>100</v>
      </c>
      <c r="T7619" s="308" t="s">
        <v>34208</v>
      </c>
      <c r="U7619" s="308" t="s">
        <v>27</v>
      </c>
      <c r="V7619" s="308"/>
    </row>
    <row r="7620">
      <c r="A7620" s="308"/>
      <c r="B7620" s="308"/>
      <c r="C7620" s="308" t="s">
        <v>30148</v>
      </c>
      <c r="D7620" s="308">
        <f>IFERROR(__xludf.DUMMYFUNCTION("SPLIT(C7620,""-"")"),7640.0)</f>
        <v>7640</v>
      </c>
      <c r="E7620" s="308" t="str">
        <f>IFERROR(__xludf.DUMMYFUNCTION("""COMPUTED_VALUE"""),"B")</f>
        <v>B</v>
      </c>
      <c r="F7620" s="315" t="s">
        <v>26</v>
      </c>
      <c r="G7620" s="308"/>
      <c r="H7620" s="308" t="s">
        <v>30149</v>
      </c>
      <c r="I7620" s="310">
        <v>42712.0</v>
      </c>
      <c r="J7620" s="319">
        <f>IFERROR(__xludf.DUMMYFUNCTION("SPLIT(I7620,""/"")"),8.0)</f>
        <v>8</v>
      </c>
      <c r="K7620" s="308">
        <f>IFERROR(__xludf.DUMMYFUNCTION("""COMPUTED_VALUE"""),12.0)</f>
        <v>12</v>
      </c>
      <c r="L7620" s="308">
        <f>IFERROR(__xludf.DUMMYFUNCTION("""COMPUTED_VALUE"""),2016.0)</f>
        <v>2016</v>
      </c>
      <c r="M7620" s="308" t="s">
        <v>30150</v>
      </c>
      <c r="N7620" s="308"/>
      <c r="O7620" s="308"/>
      <c r="P7620" s="308" t="s">
        <v>39748</v>
      </c>
      <c r="Q7620" s="308" t="s">
        <v>39573</v>
      </c>
      <c r="R7620" s="308"/>
      <c r="S7620" s="308" t="s">
        <v>81</v>
      </c>
      <c r="T7620" s="308" t="s">
        <v>75</v>
      </c>
      <c r="U7620" s="308" t="s">
        <v>27</v>
      </c>
      <c r="V7620" s="308"/>
    </row>
    <row r="7621">
      <c r="A7621" s="308"/>
      <c r="B7621" s="308"/>
      <c r="C7621" s="308" t="s">
        <v>30152</v>
      </c>
      <c r="D7621" s="308">
        <f>IFERROR(__xludf.DUMMYFUNCTION("SPLIT(C7621,""-"")"),7641.0)</f>
        <v>7641</v>
      </c>
      <c r="E7621" s="308" t="str">
        <f>IFERROR(__xludf.DUMMYFUNCTION("""COMPUTED_VALUE"""),"B")</f>
        <v>B</v>
      </c>
      <c r="F7621" s="315" t="s">
        <v>26</v>
      </c>
      <c r="G7621" s="308"/>
      <c r="H7621" s="308" t="s">
        <v>30153</v>
      </c>
      <c r="I7621" s="314">
        <v>42595.0</v>
      </c>
      <c r="J7621" s="319">
        <f>IFERROR(__xludf.DUMMYFUNCTION("SPLIT(I7621,""/"")"),13.0)</f>
        <v>13</v>
      </c>
      <c r="K7621" s="308">
        <f>IFERROR(__xludf.DUMMYFUNCTION("""COMPUTED_VALUE"""),8.0)</f>
        <v>8</v>
      </c>
      <c r="L7621" s="308">
        <f>IFERROR(__xludf.DUMMYFUNCTION("""COMPUTED_VALUE"""),2016.0)</f>
        <v>2016</v>
      </c>
      <c r="M7621" s="308" t="s">
        <v>30154</v>
      </c>
      <c r="N7621" s="308"/>
      <c r="O7621" s="308"/>
      <c r="P7621" s="308" t="s">
        <v>39749</v>
      </c>
      <c r="Q7621" s="308" t="s">
        <v>39573</v>
      </c>
      <c r="R7621" s="308"/>
      <c r="S7621" s="308" t="s">
        <v>81</v>
      </c>
      <c r="T7621" s="308" t="s">
        <v>75</v>
      </c>
      <c r="U7621" s="308" t="s">
        <v>27</v>
      </c>
      <c r="V7621" s="308"/>
    </row>
    <row r="7622">
      <c r="A7622" s="308"/>
      <c r="B7622" s="308"/>
      <c r="C7622" s="308" t="s">
        <v>30156</v>
      </c>
      <c r="D7622" s="308">
        <f>IFERROR(__xludf.DUMMYFUNCTION("SPLIT(C7622,""-"")"),7642.0)</f>
        <v>7642</v>
      </c>
      <c r="E7622" s="308" t="str">
        <f>IFERROR(__xludf.DUMMYFUNCTION("""COMPUTED_VALUE"""),"B")</f>
        <v>B</v>
      </c>
      <c r="F7622" s="315" t="s">
        <v>26</v>
      </c>
      <c r="G7622" s="308"/>
      <c r="H7622" s="308" t="s">
        <v>30157</v>
      </c>
      <c r="I7622" s="314">
        <v>42596.0</v>
      </c>
      <c r="J7622" s="319">
        <f>IFERROR(__xludf.DUMMYFUNCTION("SPLIT(I7622,""/"")"),14.0)</f>
        <v>14</v>
      </c>
      <c r="K7622" s="308">
        <f>IFERROR(__xludf.DUMMYFUNCTION("""COMPUTED_VALUE"""),8.0)</f>
        <v>8</v>
      </c>
      <c r="L7622" s="308">
        <f>IFERROR(__xludf.DUMMYFUNCTION("""COMPUTED_VALUE"""),2016.0)</f>
        <v>2016</v>
      </c>
      <c r="M7622" s="308" t="s">
        <v>30158</v>
      </c>
      <c r="N7622" s="308"/>
      <c r="O7622" s="308"/>
      <c r="P7622" s="308" t="s">
        <v>39750</v>
      </c>
      <c r="Q7622" s="308" t="s">
        <v>39573</v>
      </c>
      <c r="R7622" s="308"/>
      <c r="S7622" s="308" t="s">
        <v>81</v>
      </c>
      <c r="T7622" s="308" t="s">
        <v>75</v>
      </c>
      <c r="U7622" s="308" t="s">
        <v>27</v>
      </c>
      <c r="V7622" s="308"/>
    </row>
    <row r="7623">
      <c r="A7623" s="308"/>
      <c r="B7623" s="308"/>
      <c r="C7623" s="308" t="s">
        <v>30160</v>
      </c>
      <c r="D7623" s="308">
        <f>IFERROR(__xludf.DUMMYFUNCTION("SPLIT(C7623,""-"")"),7643.0)</f>
        <v>7643</v>
      </c>
      <c r="E7623" s="308" t="str">
        <f>IFERROR(__xludf.DUMMYFUNCTION("""COMPUTED_VALUE"""),"B")</f>
        <v>B</v>
      </c>
      <c r="F7623" s="315" t="s">
        <v>26</v>
      </c>
      <c r="G7623" s="308"/>
      <c r="H7623" s="308" t="s">
        <v>30161</v>
      </c>
      <c r="I7623" s="314">
        <v>42597.0</v>
      </c>
      <c r="J7623" s="319">
        <f>IFERROR(__xludf.DUMMYFUNCTION("SPLIT(I7623,""/"")"),15.0)</f>
        <v>15</v>
      </c>
      <c r="K7623" s="308">
        <f>IFERROR(__xludf.DUMMYFUNCTION("""COMPUTED_VALUE"""),8.0)</f>
        <v>8</v>
      </c>
      <c r="L7623" s="308">
        <f>IFERROR(__xludf.DUMMYFUNCTION("""COMPUTED_VALUE"""),2016.0)</f>
        <v>2016</v>
      </c>
      <c r="M7623" s="308" t="s">
        <v>30158</v>
      </c>
      <c r="N7623" s="308"/>
      <c r="O7623" s="308"/>
      <c r="P7623" s="308" t="s">
        <v>39751</v>
      </c>
      <c r="Q7623" s="308" t="s">
        <v>39573</v>
      </c>
      <c r="R7623" s="308"/>
      <c r="S7623" s="308" t="s">
        <v>81</v>
      </c>
      <c r="T7623" s="308" t="s">
        <v>75</v>
      </c>
      <c r="U7623" s="308" t="s">
        <v>27</v>
      </c>
      <c r="V7623" s="308"/>
    </row>
    <row r="7624">
      <c r="A7624" s="308"/>
      <c r="B7624" s="308"/>
      <c r="C7624" s="308" t="s">
        <v>30163</v>
      </c>
      <c r="D7624" s="308">
        <f>IFERROR(__xludf.DUMMYFUNCTION("SPLIT(C7624,""-"")"),7644.0)</f>
        <v>7644</v>
      </c>
      <c r="E7624" s="308" t="str">
        <f>IFERROR(__xludf.DUMMYFUNCTION("""COMPUTED_VALUE"""),"B")</f>
        <v>B</v>
      </c>
      <c r="F7624" s="315" t="s">
        <v>26</v>
      </c>
      <c r="G7624" s="308"/>
      <c r="H7624" s="308" t="s">
        <v>39752</v>
      </c>
      <c r="I7624" s="314">
        <v>42598.0</v>
      </c>
      <c r="J7624" s="319">
        <f>IFERROR(__xludf.DUMMYFUNCTION("SPLIT(I7624,""/"")"),16.0)</f>
        <v>16</v>
      </c>
      <c r="K7624" s="308">
        <f>IFERROR(__xludf.DUMMYFUNCTION("""COMPUTED_VALUE"""),8.0)</f>
        <v>8</v>
      </c>
      <c r="L7624" s="308">
        <f>IFERROR(__xludf.DUMMYFUNCTION("""COMPUTED_VALUE"""),2016.0)</f>
        <v>2016</v>
      </c>
      <c r="M7624" s="308" t="s">
        <v>30165</v>
      </c>
      <c r="N7624" s="308"/>
      <c r="O7624" s="308"/>
      <c r="P7624" s="308" t="s">
        <v>39753</v>
      </c>
      <c r="Q7624" s="308" t="s">
        <v>39573</v>
      </c>
      <c r="R7624" s="308"/>
      <c r="S7624" s="308" t="s">
        <v>81</v>
      </c>
      <c r="T7624" s="308" t="s">
        <v>75</v>
      </c>
      <c r="U7624" s="308" t="s">
        <v>27</v>
      </c>
      <c r="V7624" s="308"/>
    </row>
    <row r="7625">
      <c r="A7625" s="308"/>
      <c r="B7625" s="308"/>
      <c r="C7625" s="308" t="s">
        <v>30167</v>
      </c>
      <c r="D7625" s="308">
        <f>IFERROR(__xludf.DUMMYFUNCTION("SPLIT(C7625,""-"")"),7645.0)</f>
        <v>7645</v>
      </c>
      <c r="E7625" s="308" t="str">
        <f>IFERROR(__xludf.DUMMYFUNCTION("""COMPUTED_VALUE"""),"B")</f>
        <v>B</v>
      </c>
      <c r="F7625" s="315" t="s">
        <v>26</v>
      </c>
      <c r="G7625" s="308"/>
      <c r="H7625" s="308" t="s">
        <v>30168</v>
      </c>
      <c r="I7625" s="314">
        <v>42601.0</v>
      </c>
      <c r="J7625" s="319">
        <f>IFERROR(__xludf.DUMMYFUNCTION("SPLIT(I7625,""/"")"),19.0)</f>
        <v>19</v>
      </c>
      <c r="K7625" s="308">
        <f>IFERROR(__xludf.DUMMYFUNCTION("""COMPUTED_VALUE"""),8.0)</f>
        <v>8</v>
      </c>
      <c r="L7625" s="308">
        <f>IFERROR(__xludf.DUMMYFUNCTION("""COMPUTED_VALUE"""),2016.0)</f>
        <v>2016</v>
      </c>
      <c r="M7625" s="308" t="s">
        <v>30169</v>
      </c>
      <c r="N7625" s="308"/>
      <c r="O7625" s="308"/>
      <c r="P7625" s="308" t="s">
        <v>39754</v>
      </c>
      <c r="Q7625" s="308" t="s">
        <v>39573</v>
      </c>
      <c r="R7625" s="308"/>
      <c r="S7625" s="308" t="s">
        <v>81</v>
      </c>
      <c r="T7625" s="308" t="s">
        <v>75</v>
      </c>
      <c r="U7625" s="308" t="s">
        <v>27</v>
      </c>
      <c r="V7625" s="308"/>
    </row>
    <row r="7626">
      <c r="A7626" s="308"/>
      <c r="B7626" s="308"/>
      <c r="C7626" s="308" t="s">
        <v>30171</v>
      </c>
      <c r="D7626" s="308">
        <f>IFERROR(__xludf.DUMMYFUNCTION("SPLIT(C7626,""-"")"),7646.0)</f>
        <v>7646</v>
      </c>
      <c r="E7626" s="308" t="str">
        <f>IFERROR(__xludf.DUMMYFUNCTION("""COMPUTED_VALUE"""),"B")</f>
        <v>B</v>
      </c>
      <c r="F7626" s="315" t="s">
        <v>26</v>
      </c>
      <c r="G7626" s="308"/>
      <c r="H7626" s="308" t="s">
        <v>30172</v>
      </c>
      <c r="I7626" s="314">
        <v>42609.0</v>
      </c>
      <c r="J7626" s="319">
        <f>IFERROR(__xludf.DUMMYFUNCTION("SPLIT(I7626,""/"")"),27.0)</f>
        <v>27</v>
      </c>
      <c r="K7626" s="308">
        <f>IFERROR(__xludf.DUMMYFUNCTION("""COMPUTED_VALUE"""),8.0)</f>
        <v>8</v>
      </c>
      <c r="L7626" s="308">
        <f>IFERROR(__xludf.DUMMYFUNCTION("""COMPUTED_VALUE"""),2016.0)</f>
        <v>2016</v>
      </c>
      <c r="M7626" s="308" t="s">
        <v>30173</v>
      </c>
      <c r="N7626" s="308"/>
      <c r="O7626" s="308"/>
      <c r="P7626" s="308" t="s">
        <v>39755</v>
      </c>
      <c r="Q7626" s="308" t="s">
        <v>39573</v>
      </c>
      <c r="R7626" s="308"/>
      <c r="S7626" s="308" t="s">
        <v>81</v>
      </c>
      <c r="T7626" s="308" t="s">
        <v>75</v>
      </c>
      <c r="U7626" s="308" t="s">
        <v>27</v>
      </c>
      <c r="V7626" s="308"/>
    </row>
    <row r="7627">
      <c r="A7627" s="308"/>
      <c r="B7627" s="308"/>
      <c r="C7627" s="308" t="s">
        <v>30175</v>
      </c>
      <c r="D7627" s="308">
        <f>IFERROR(__xludf.DUMMYFUNCTION("SPLIT(C7627,""-"")"),7647.0)</f>
        <v>7647</v>
      </c>
      <c r="E7627" s="308" t="str">
        <f>IFERROR(__xludf.DUMMYFUNCTION("""COMPUTED_VALUE"""),"B")</f>
        <v>B</v>
      </c>
      <c r="F7627" s="315" t="s">
        <v>26</v>
      </c>
      <c r="G7627" s="308"/>
      <c r="H7627" s="308" t="s">
        <v>30176</v>
      </c>
      <c r="I7627" s="310">
        <v>42713.0</v>
      </c>
      <c r="J7627" s="319">
        <f>IFERROR(__xludf.DUMMYFUNCTION("SPLIT(I7627,""/"")"),9.0)</f>
        <v>9</v>
      </c>
      <c r="K7627" s="308">
        <f>IFERROR(__xludf.DUMMYFUNCTION("""COMPUTED_VALUE"""),12.0)</f>
        <v>12</v>
      </c>
      <c r="L7627" s="308">
        <f>IFERROR(__xludf.DUMMYFUNCTION("""COMPUTED_VALUE"""),2016.0)</f>
        <v>2016</v>
      </c>
      <c r="M7627" s="308" t="s">
        <v>30177</v>
      </c>
      <c r="N7627" s="308"/>
      <c r="O7627" s="308"/>
      <c r="P7627" s="308" t="s">
        <v>39756</v>
      </c>
      <c r="Q7627" s="308" t="s">
        <v>39573</v>
      </c>
      <c r="R7627" s="308"/>
      <c r="S7627" s="308" t="s">
        <v>81</v>
      </c>
      <c r="T7627" s="308" t="s">
        <v>75</v>
      </c>
      <c r="U7627" s="308" t="s">
        <v>27</v>
      </c>
      <c r="V7627" s="308"/>
    </row>
    <row r="7628">
      <c r="A7628" s="308"/>
      <c r="B7628" s="308"/>
      <c r="C7628" s="308" t="s">
        <v>30179</v>
      </c>
      <c r="D7628" s="308">
        <f>IFERROR(__xludf.DUMMYFUNCTION("SPLIT(C7628,""-"")"),7648.0)</f>
        <v>7648</v>
      </c>
      <c r="E7628" s="308" t="str">
        <f>IFERROR(__xludf.DUMMYFUNCTION("""COMPUTED_VALUE"""),"B")</f>
        <v>B</v>
      </c>
      <c r="F7628" s="315" t="s">
        <v>26</v>
      </c>
      <c r="G7628" s="308"/>
      <c r="H7628" s="308" t="s">
        <v>39757</v>
      </c>
      <c r="I7628" s="314">
        <v>42627.0</v>
      </c>
      <c r="J7628" s="319">
        <f>IFERROR(__xludf.DUMMYFUNCTION("SPLIT(I7628,""/"")"),14.0)</f>
        <v>14</v>
      </c>
      <c r="K7628" s="308">
        <f>IFERROR(__xludf.DUMMYFUNCTION("""COMPUTED_VALUE"""),9.0)</f>
        <v>9</v>
      </c>
      <c r="L7628" s="308">
        <f>IFERROR(__xludf.DUMMYFUNCTION("""COMPUTED_VALUE"""),2016.0)</f>
        <v>2016</v>
      </c>
      <c r="M7628" s="308" t="s">
        <v>30181</v>
      </c>
      <c r="N7628" s="308"/>
      <c r="O7628" s="308"/>
      <c r="P7628" s="308" t="s">
        <v>136</v>
      </c>
      <c r="Q7628" s="308" t="s">
        <v>39573</v>
      </c>
      <c r="R7628" s="308"/>
      <c r="S7628" s="315" t="s">
        <v>100</v>
      </c>
      <c r="T7628" s="308" t="s">
        <v>34208</v>
      </c>
      <c r="U7628" s="308" t="s">
        <v>27</v>
      </c>
      <c r="V7628" s="308"/>
    </row>
    <row r="7629">
      <c r="A7629" s="308"/>
      <c r="B7629" s="308"/>
      <c r="C7629" s="308" t="s">
        <v>30182</v>
      </c>
      <c r="D7629" s="308">
        <f>IFERROR(__xludf.DUMMYFUNCTION("SPLIT(C7629,""-"")"),7649.0)</f>
        <v>7649</v>
      </c>
      <c r="E7629" s="308" t="str">
        <f>IFERROR(__xludf.DUMMYFUNCTION("""COMPUTED_VALUE"""),"B")</f>
        <v>B</v>
      </c>
      <c r="F7629" s="315" t="s">
        <v>26</v>
      </c>
      <c r="G7629" s="308"/>
      <c r="H7629" s="308" t="s">
        <v>39758</v>
      </c>
      <c r="I7629" s="314">
        <v>42629.0</v>
      </c>
      <c r="J7629" s="319">
        <f>IFERROR(__xludf.DUMMYFUNCTION("SPLIT(I7629,""/"")"),16.0)</f>
        <v>16</v>
      </c>
      <c r="K7629" s="308">
        <f>IFERROR(__xludf.DUMMYFUNCTION("""COMPUTED_VALUE"""),9.0)</f>
        <v>9</v>
      </c>
      <c r="L7629" s="308">
        <f>IFERROR(__xludf.DUMMYFUNCTION("""COMPUTED_VALUE"""),2016.0)</f>
        <v>2016</v>
      </c>
      <c r="M7629" s="308" t="s">
        <v>30184</v>
      </c>
      <c r="N7629" s="308"/>
      <c r="O7629" s="308"/>
      <c r="P7629" s="308" t="s">
        <v>39759</v>
      </c>
      <c r="Q7629" s="308" t="s">
        <v>39573</v>
      </c>
      <c r="R7629" s="308"/>
      <c r="S7629" s="308" t="s">
        <v>81</v>
      </c>
      <c r="T7629" s="308" t="s">
        <v>75</v>
      </c>
      <c r="U7629" s="308" t="s">
        <v>27</v>
      </c>
      <c r="V7629" s="308"/>
    </row>
    <row r="7630">
      <c r="A7630" s="308"/>
      <c r="B7630" s="308"/>
      <c r="C7630" s="308" t="s">
        <v>30186</v>
      </c>
      <c r="D7630" s="308">
        <f>IFERROR(__xludf.DUMMYFUNCTION("SPLIT(C7630,""-"")"),7650.0)</f>
        <v>7650</v>
      </c>
      <c r="E7630" s="308" t="str">
        <f>IFERROR(__xludf.DUMMYFUNCTION("""COMPUTED_VALUE"""),"B")</f>
        <v>B</v>
      </c>
      <c r="F7630" s="315" t="s">
        <v>26</v>
      </c>
      <c r="G7630" s="308"/>
      <c r="H7630" s="308" t="s">
        <v>30187</v>
      </c>
      <c r="I7630" s="314">
        <v>42629.0</v>
      </c>
      <c r="J7630" s="319">
        <f>IFERROR(__xludf.DUMMYFUNCTION("SPLIT(I7630,""/"")"),16.0)</f>
        <v>16</v>
      </c>
      <c r="K7630" s="308">
        <f>IFERROR(__xludf.DUMMYFUNCTION("""COMPUTED_VALUE"""),9.0)</f>
        <v>9</v>
      </c>
      <c r="L7630" s="308">
        <f>IFERROR(__xludf.DUMMYFUNCTION("""COMPUTED_VALUE"""),2016.0)</f>
        <v>2016</v>
      </c>
      <c r="M7630" s="308" t="s">
        <v>30184</v>
      </c>
      <c r="N7630" s="308"/>
      <c r="O7630" s="308"/>
      <c r="P7630" s="308" t="s">
        <v>39760</v>
      </c>
      <c r="Q7630" s="308" t="s">
        <v>39573</v>
      </c>
      <c r="R7630" s="308"/>
      <c r="S7630" s="308" t="s">
        <v>81</v>
      </c>
      <c r="T7630" s="308" t="s">
        <v>75</v>
      </c>
      <c r="U7630" s="308" t="s">
        <v>27</v>
      </c>
      <c r="V7630" s="308"/>
    </row>
    <row r="7631">
      <c r="A7631" s="308"/>
      <c r="B7631" s="308"/>
      <c r="C7631" s="308" t="s">
        <v>30189</v>
      </c>
      <c r="D7631" s="308">
        <f>IFERROR(__xludf.DUMMYFUNCTION("SPLIT(C7631,""-"")"),7651.0)</f>
        <v>7651</v>
      </c>
      <c r="E7631" s="308" t="str">
        <f>IFERROR(__xludf.DUMMYFUNCTION("""COMPUTED_VALUE"""),"B")</f>
        <v>B</v>
      </c>
      <c r="F7631" s="315" t="s">
        <v>26</v>
      </c>
      <c r="G7631" s="308"/>
      <c r="H7631" s="308" t="s">
        <v>39761</v>
      </c>
      <c r="I7631" s="314">
        <v>42641.0</v>
      </c>
      <c r="J7631" s="319">
        <f>IFERROR(__xludf.DUMMYFUNCTION("SPLIT(I7631,""/"")"),28.0)</f>
        <v>28</v>
      </c>
      <c r="K7631" s="308">
        <f>IFERROR(__xludf.DUMMYFUNCTION("""COMPUTED_VALUE"""),9.0)</f>
        <v>9</v>
      </c>
      <c r="L7631" s="308">
        <f>IFERROR(__xludf.DUMMYFUNCTION("""COMPUTED_VALUE"""),2016.0)</f>
        <v>2016</v>
      </c>
      <c r="M7631" s="308" t="s">
        <v>30191</v>
      </c>
      <c r="N7631" s="308"/>
      <c r="O7631" s="308"/>
      <c r="P7631" s="308" t="s">
        <v>39762</v>
      </c>
      <c r="Q7631" s="308" t="s">
        <v>39573</v>
      </c>
      <c r="R7631" s="308"/>
      <c r="S7631" s="308" t="s">
        <v>81</v>
      </c>
      <c r="T7631" s="308" t="s">
        <v>75</v>
      </c>
      <c r="U7631" s="308" t="s">
        <v>27</v>
      </c>
      <c r="V7631" s="308"/>
    </row>
    <row r="7632">
      <c r="A7632" s="308"/>
      <c r="B7632" s="308"/>
      <c r="C7632" s="308" t="s">
        <v>30193</v>
      </c>
      <c r="D7632" s="308">
        <f>IFERROR(__xludf.DUMMYFUNCTION("SPLIT(C7632,""-"")"),7652.0)</f>
        <v>7652</v>
      </c>
      <c r="E7632" s="308" t="str">
        <f>IFERROR(__xludf.DUMMYFUNCTION("""COMPUTED_VALUE"""),"B")</f>
        <v>B</v>
      </c>
      <c r="F7632" s="315" t="s">
        <v>26</v>
      </c>
      <c r="G7632" s="308"/>
      <c r="H7632" s="308" t="s">
        <v>30194</v>
      </c>
      <c r="I7632" s="314">
        <v>42641.0</v>
      </c>
      <c r="J7632" s="319">
        <f>IFERROR(__xludf.DUMMYFUNCTION("SPLIT(I7632,""/"")"),28.0)</f>
        <v>28</v>
      </c>
      <c r="K7632" s="308">
        <f>IFERROR(__xludf.DUMMYFUNCTION("""COMPUTED_VALUE"""),9.0)</f>
        <v>9</v>
      </c>
      <c r="L7632" s="308">
        <f>IFERROR(__xludf.DUMMYFUNCTION("""COMPUTED_VALUE"""),2016.0)</f>
        <v>2016</v>
      </c>
      <c r="M7632" s="308" t="s">
        <v>30191</v>
      </c>
      <c r="N7632" s="308"/>
      <c r="O7632" s="308"/>
      <c r="P7632" s="308" t="s">
        <v>39763</v>
      </c>
      <c r="Q7632" s="308" t="s">
        <v>39573</v>
      </c>
      <c r="R7632" s="308"/>
      <c r="S7632" s="308" t="s">
        <v>81</v>
      </c>
      <c r="T7632" s="308" t="s">
        <v>75</v>
      </c>
      <c r="U7632" s="308" t="s">
        <v>27</v>
      </c>
      <c r="V7632" s="308"/>
    </row>
    <row r="7633">
      <c r="A7633" s="308"/>
      <c r="B7633" s="308"/>
      <c r="C7633" s="308" t="s">
        <v>30196</v>
      </c>
      <c r="D7633" s="308">
        <f>IFERROR(__xludf.DUMMYFUNCTION("SPLIT(C7633,""-"")"),7653.0)</f>
        <v>7653</v>
      </c>
      <c r="E7633" s="308" t="str">
        <f>IFERROR(__xludf.DUMMYFUNCTION("""COMPUTED_VALUE"""),"B")</f>
        <v>B</v>
      </c>
      <c r="F7633" s="315" t="s">
        <v>26</v>
      </c>
      <c r="G7633" s="308"/>
      <c r="H7633" s="308" t="s">
        <v>39764</v>
      </c>
      <c r="I7633" s="314">
        <v>43738.0</v>
      </c>
      <c r="J7633" s="319">
        <f>IFERROR(__xludf.DUMMYFUNCTION("SPLIT(I7633,""/"")"),30.0)</f>
        <v>30</v>
      </c>
      <c r="K7633" s="308">
        <f>IFERROR(__xludf.DUMMYFUNCTION("""COMPUTED_VALUE"""),9.0)</f>
        <v>9</v>
      </c>
      <c r="L7633" s="308">
        <f>IFERROR(__xludf.DUMMYFUNCTION("""COMPUTED_VALUE"""),2019.0)</f>
        <v>2019</v>
      </c>
      <c r="M7633" s="308" t="s">
        <v>30198</v>
      </c>
      <c r="N7633" s="308"/>
      <c r="O7633" s="308"/>
      <c r="P7633" s="308" t="s">
        <v>39765</v>
      </c>
      <c r="Q7633" s="308" t="s">
        <v>39573</v>
      </c>
      <c r="R7633" s="308"/>
      <c r="S7633" s="308" t="s">
        <v>81</v>
      </c>
      <c r="T7633" s="308" t="s">
        <v>75</v>
      </c>
      <c r="U7633" s="308" t="s">
        <v>27</v>
      </c>
      <c r="V7633" s="308"/>
    </row>
    <row r="7634">
      <c r="A7634" s="308"/>
      <c r="B7634" s="308"/>
      <c r="C7634" s="308" t="s">
        <v>30200</v>
      </c>
      <c r="D7634" s="308">
        <f>IFERROR(__xludf.DUMMYFUNCTION("SPLIT(C7634,""-"")"),7654.0)</f>
        <v>7654</v>
      </c>
      <c r="E7634" s="308" t="str">
        <f>IFERROR(__xludf.DUMMYFUNCTION("""COMPUTED_VALUE"""),"B")</f>
        <v>B</v>
      </c>
      <c r="F7634" s="315" t="s">
        <v>26</v>
      </c>
      <c r="G7634" s="308"/>
      <c r="H7634" s="308" t="s">
        <v>39766</v>
      </c>
      <c r="I7634" s="310">
        <v>42500.0</v>
      </c>
      <c r="J7634" s="319">
        <f>IFERROR(__xludf.DUMMYFUNCTION("SPLIT(I7634,""/"")"),10.0)</f>
        <v>10</v>
      </c>
      <c r="K7634" s="308">
        <f>IFERROR(__xludf.DUMMYFUNCTION("""COMPUTED_VALUE"""),5.0)</f>
        <v>5</v>
      </c>
      <c r="L7634" s="308">
        <f>IFERROR(__xludf.DUMMYFUNCTION("""COMPUTED_VALUE"""),2016.0)</f>
        <v>2016</v>
      </c>
      <c r="M7634" s="308" t="s">
        <v>30202</v>
      </c>
      <c r="N7634" s="308"/>
      <c r="O7634" s="308"/>
      <c r="P7634" s="308" t="s">
        <v>39767</v>
      </c>
      <c r="Q7634" s="308" t="s">
        <v>39573</v>
      </c>
      <c r="R7634" s="308"/>
      <c r="S7634" s="308" t="s">
        <v>81</v>
      </c>
      <c r="T7634" s="308" t="s">
        <v>75</v>
      </c>
      <c r="U7634" s="308" t="s">
        <v>27</v>
      </c>
      <c r="V7634" s="308"/>
    </row>
    <row r="7635">
      <c r="A7635" s="308"/>
      <c r="B7635" s="308"/>
      <c r="C7635" s="308" t="s">
        <v>30204</v>
      </c>
      <c r="D7635" s="308">
        <f>IFERROR(__xludf.DUMMYFUNCTION("SPLIT(C7635,""-"")"),7655.0)</f>
        <v>7655</v>
      </c>
      <c r="E7635" s="308" t="str">
        <f>IFERROR(__xludf.DUMMYFUNCTION("""COMPUTED_VALUE"""),"B")</f>
        <v>B</v>
      </c>
      <c r="F7635" s="315" t="s">
        <v>26</v>
      </c>
      <c r="G7635" s="308"/>
      <c r="H7635" s="308" t="s">
        <v>39768</v>
      </c>
      <c r="I7635" s="310">
        <v>42500.0</v>
      </c>
      <c r="J7635" s="319">
        <f>IFERROR(__xludf.DUMMYFUNCTION("SPLIT(I7635,""/"")"),10.0)</f>
        <v>10</v>
      </c>
      <c r="K7635" s="308">
        <f>IFERROR(__xludf.DUMMYFUNCTION("""COMPUTED_VALUE"""),5.0)</f>
        <v>5</v>
      </c>
      <c r="L7635" s="308">
        <f>IFERROR(__xludf.DUMMYFUNCTION("""COMPUTED_VALUE"""),2016.0)</f>
        <v>2016</v>
      </c>
      <c r="M7635" s="308" t="s">
        <v>30202</v>
      </c>
      <c r="N7635" s="308"/>
      <c r="O7635" s="308"/>
      <c r="P7635" s="308" t="s">
        <v>39769</v>
      </c>
      <c r="Q7635" s="308" t="s">
        <v>39573</v>
      </c>
      <c r="R7635" s="308"/>
      <c r="S7635" s="308" t="s">
        <v>81</v>
      </c>
      <c r="T7635" s="308" t="s">
        <v>75</v>
      </c>
      <c r="U7635" s="308" t="s">
        <v>27</v>
      </c>
      <c r="V7635" s="308"/>
    </row>
    <row r="7636">
      <c r="A7636" s="308"/>
      <c r="B7636" s="308"/>
      <c r="C7636" s="308" t="s">
        <v>30207</v>
      </c>
      <c r="D7636" s="308">
        <f>IFERROR(__xludf.DUMMYFUNCTION("SPLIT(C7636,""-"")"),7656.0)</f>
        <v>7656</v>
      </c>
      <c r="E7636" s="308" t="str">
        <f>IFERROR(__xludf.DUMMYFUNCTION("""COMPUTED_VALUE"""),"B")</f>
        <v>B</v>
      </c>
      <c r="F7636" s="315" t="s">
        <v>26</v>
      </c>
      <c r="G7636" s="308"/>
      <c r="H7636" s="308" t="s">
        <v>30208</v>
      </c>
      <c r="I7636" s="310">
        <v>42500.0</v>
      </c>
      <c r="J7636" s="319">
        <f>IFERROR(__xludf.DUMMYFUNCTION("SPLIT(I7636,""/"")"),10.0)</f>
        <v>10</v>
      </c>
      <c r="K7636" s="308">
        <f>IFERROR(__xludf.DUMMYFUNCTION("""COMPUTED_VALUE"""),5.0)</f>
        <v>5</v>
      </c>
      <c r="L7636" s="308">
        <f>IFERROR(__xludf.DUMMYFUNCTION("""COMPUTED_VALUE"""),2016.0)</f>
        <v>2016</v>
      </c>
      <c r="M7636" s="308" t="s">
        <v>30209</v>
      </c>
      <c r="N7636" s="308"/>
      <c r="O7636" s="308"/>
      <c r="P7636" s="308" t="s">
        <v>39770</v>
      </c>
      <c r="Q7636" s="308" t="s">
        <v>39573</v>
      </c>
      <c r="R7636" s="308"/>
      <c r="S7636" s="308" t="s">
        <v>81</v>
      </c>
      <c r="T7636" s="308" t="s">
        <v>75</v>
      </c>
      <c r="U7636" s="308" t="s">
        <v>27</v>
      </c>
      <c r="V7636" s="308"/>
    </row>
    <row r="7637">
      <c r="A7637" s="308"/>
      <c r="B7637" s="308"/>
      <c r="C7637" s="308" t="s">
        <v>30211</v>
      </c>
      <c r="D7637" s="308">
        <f>IFERROR(__xludf.DUMMYFUNCTION("SPLIT(C7637,""-"")"),7657.0)</f>
        <v>7657</v>
      </c>
      <c r="E7637" s="308" t="str">
        <f>IFERROR(__xludf.DUMMYFUNCTION("""COMPUTED_VALUE"""),"B")</f>
        <v>B</v>
      </c>
      <c r="F7637" s="315" t="s">
        <v>26</v>
      </c>
      <c r="G7637" s="308"/>
      <c r="H7637" s="308" t="s">
        <v>30212</v>
      </c>
      <c r="I7637" s="310">
        <v>42500.0</v>
      </c>
      <c r="J7637" s="319">
        <f>IFERROR(__xludf.DUMMYFUNCTION("SPLIT(I7637,""/"")"),10.0)</f>
        <v>10</v>
      </c>
      <c r="K7637" s="308">
        <f>IFERROR(__xludf.DUMMYFUNCTION("""COMPUTED_VALUE"""),5.0)</f>
        <v>5</v>
      </c>
      <c r="L7637" s="308">
        <f>IFERROR(__xludf.DUMMYFUNCTION("""COMPUTED_VALUE"""),2016.0)</f>
        <v>2016</v>
      </c>
      <c r="M7637" s="308" t="s">
        <v>30209</v>
      </c>
      <c r="N7637" s="308"/>
      <c r="O7637" s="308"/>
      <c r="P7637" s="308" t="s">
        <v>39771</v>
      </c>
      <c r="Q7637" s="308" t="s">
        <v>39573</v>
      </c>
      <c r="R7637" s="308"/>
      <c r="S7637" s="308" t="s">
        <v>81</v>
      </c>
      <c r="T7637" s="308" t="s">
        <v>75</v>
      </c>
      <c r="U7637" s="308" t="s">
        <v>27</v>
      </c>
      <c r="V7637" s="308"/>
    </row>
    <row r="7638">
      <c r="A7638" s="308"/>
      <c r="B7638" s="308"/>
      <c r="C7638" s="308" t="s">
        <v>30214</v>
      </c>
      <c r="D7638" s="308">
        <f>IFERROR(__xludf.DUMMYFUNCTION("SPLIT(C7638,""-"")"),7658.0)</f>
        <v>7658</v>
      </c>
      <c r="E7638" s="308" t="str">
        <f>IFERROR(__xludf.DUMMYFUNCTION("""COMPUTED_VALUE"""),"B")</f>
        <v>B</v>
      </c>
      <c r="F7638" s="315" t="s">
        <v>26</v>
      </c>
      <c r="G7638" s="308"/>
      <c r="H7638" s="308" t="s">
        <v>30215</v>
      </c>
      <c r="I7638" s="310">
        <v>42500.0</v>
      </c>
      <c r="J7638" s="319">
        <f>IFERROR(__xludf.DUMMYFUNCTION("SPLIT(I7638,""/"")"),10.0)</f>
        <v>10</v>
      </c>
      <c r="K7638" s="308">
        <f>IFERROR(__xludf.DUMMYFUNCTION("""COMPUTED_VALUE"""),5.0)</f>
        <v>5</v>
      </c>
      <c r="L7638" s="308">
        <f>IFERROR(__xludf.DUMMYFUNCTION("""COMPUTED_VALUE"""),2016.0)</f>
        <v>2016</v>
      </c>
      <c r="M7638" s="308" t="s">
        <v>30209</v>
      </c>
      <c r="N7638" s="308"/>
      <c r="O7638" s="308"/>
      <c r="P7638" s="308" t="s">
        <v>39772</v>
      </c>
      <c r="Q7638" s="308" t="s">
        <v>39573</v>
      </c>
      <c r="R7638" s="308"/>
      <c r="S7638" s="308" t="s">
        <v>81</v>
      </c>
      <c r="T7638" s="308" t="s">
        <v>75</v>
      </c>
      <c r="U7638" s="308" t="s">
        <v>27</v>
      </c>
      <c r="V7638" s="308"/>
    </row>
    <row r="7639">
      <c r="A7639" s="308"/>
      <c r="B7639" s="308"/>
      <c r="C7639" s="308" t="s">
        <v>30217</v>
      </c>
      <c r="D7639" s="308">
        <f>IFERROR(__xludf.DUMMYFUNCTION("SPLIT(C7639,""-"")"),7659.0)</f>
        <v>7659</v>
      </c>
      <c r="E7639" s="308" t="str">
        <f>IFERROR(__xludf.DUMMYFUNCTION("""COMPUTED_VALUE"""),"B")</f>
        <v>B</v>
      </c>
      <c r="F7639" s="315" t="s">
        <v>26</v>
      </c>
      <c r="G7639" s="308"/>
      <c r="H7639" s="308" t="s">
        <v>30218</v>
      </c>
      <c r="I7639" s="310">
        <v>42592.0</v>
      </c>
      <c r="J7639" s="319">
        <f>IFERROR(__xludf.DUMMYFUNCTION("SPLIT(I7639,""/"")"),10.0)</f>
        <v>10</v>
      </c>
      <c r="K7639" s="308">
        <f>IFERROR(__xludf.DUMMYFUNCTION("""COMPUTED_VALUE"""),8.0)</f>
        <v>8</v>
      </c>
      <c r="L7639" s="308">
        <f>IFERROR(__xludf.DUMMYFUNCTION("""COMPUTED_VALUE"""),2016.0)</f>
        <v>2016</v>
      </c>
      <c r="M7639" s="308" t="s">
        <v>30219</v>
      </c>
      <c r="N7639" s="308"/>
      <c r="O7639" s="308"/>
      <c r="P7639" s="308" t="s">
        <v>39773</v>
      </c>
      <c r="Q7639" s="308" t="s">
        <v>39573</v>
      </c>
      <c r="R7639" s="308"/>
      <c r="S7639" s="308" t="s">
        <v>81</v>
      </c>
      <c r="T7639" s="308" t="s">
        <v>75</v>
      </c>
      <c r="U7639" s="308" t="s">
        <v>27</v>
      </c>
      <c r="V7639" s="308"/>
    </row>
    <row r="7640">
      <c r="A7640" s="308"/>
      <c r="B7640" s="308"/>
      <c r="C7640" s="308" t="s">
        <v>30221</v>
      </c>
      <c r="D7640" s="308">
        <f>IFERROR(__xludf.DUMMYFUNCTION("SPLIT(C7640,""-"")"),7660.0)</f>
        <v>7660</v>
      </c>
      <c r="E7640" s="308" t="str">
        <f>IFERROR(__xludf.DUMMYFUNCTION("""COMPUTED_VALUE"""),"B")</f>
        <v>B</v>
      </c>
      <c r="F7640" s="315" t="s">
        <v>26</v>
      </c>
      <c r="G7640" s="308"/>
      <c r="H7640" s="308" t="s">
        <v>29247</v>
      </c>
      <c r="I7640" s="314">
        <v>42657.0</v>
      </c>
      <c r="J7640" s="319">
        <f>IFERROR(__xludf.DUMMYFUNCTION("SPLIT(I7640,""/"")"),14.0)</f>
        <v>14</v>
      </c>
      <c r="K7640" s="308">
        <f>IFERROR(__xludf.DUMMYFUNCTION("""COMPUTED_VALUE"""),10.0)</f>
        <v>10</v>
      </c>
      <c r="L7640" s="308">
        <f>IFERROR(__xludf.DUMMYFUNCTION("""COMPUTED_VALUE"""),2016.0)</f>
        <v>2016</v>
      </c>
      <c r="M7640" s="308" t="s">
        <v>30222</v>
      </c>
      <c r="N7640" s="308"/>
      <c r="O7640" s="308"/>
      <c r="P7640" s="308" t="s">
        <v>39774</v>
      </c>
      <c r="Q7640" s="308" t="s">
        <v>39573</v>
      </c>
      <c r="R7640" s="308"/>
      <c r="S7640" s="308" t="s">
        <v>81</v>
      </c>
      <c r="T7640" s="308" t="s">
        <v>75</v>
      </c>
      <c r="U7640" s="308" t="s">
        <v>27</v>
      </c>
      <c r="V7640" s="308"/>
    </row>
    <row r="7641">
      <c r="A7641" s="308"/>
      <c r="B7641" s="308"/>
      <c r="C7641" s="308" t="s">
        <v>30224</v>
      </c>
      <c r="D7641" s="308">
        <f>IFERROR(__xludf.DUMMYFUNCTION("SPLIT(C7641,""-"")"),7661.0)</f>
        <v>7661</v>
      </c>
      <c r="E7641" s="308" t="str">
        <f>IFERROR(__xludf.DUMMYFUNCTION("""COMPUTED_VALUE"""),"B")</f>
        <v>B</v>
      </c>
      <c r="F7641" s="315" t="s">
        <v>26</v>
      </c>
      <c r="G7641" s="308"/>
      <c r="H7641" s="308" t="s">
        <v>30225</v>
      </c>
      <c r="I7641" s="314">
        <v>42660.0</v>
      </c>
      <c r="J7641" s="319">
        <f>IFERROR(__xludf.DUMMYFUNCTION("SPLIT(I7641,""/"")"),17.0)</f>
        <v>17</v>
      </c>
      <c r="K7641" s="308">
        <f>IFERROR(__xludf.DUMMYFUNCTION("""COMPUTED_VALUE"""),10.0)</f>
        <v>10</v>
      </c>
      <c r="L7641" s="308">
        <f>IFERROR(__xludf.DUMMYFUNCTION("""COMPUTED_VALUE"""),2016.0)</f>
        <v>2016</v>
      </c>
      <c r="M7641" s="308" t="s">
        <v>30226</v>
      </c>
      <c r="N7641" s="308"/>
      <c r="O7641" s="308"/>
      <c r="P7641" s="308" t="s">
        <v>39775</v>
      </c>
      <c r="Q7641" s="308" t="s">
        <v>39573</v>
      </c>
      <c r="R7641" s="308"/>
      <c r="S7641" s="308" t="s">
        <v>81</v>
      </c>
      <c r="T7641" s="308" t="s">
        <v>75</v>
      </c>
      <c r="U7641" s="308" t="s">
        <v>27</v>
      </c>
      <c r="V7641" s="308"/>
    </row>
    <row r="7642">
      <c r="A7642" s="308"/>
      <c r="B7642" s="308"/>
      <c r="C7642" s="308" t="s">
        <v>30228</v>
      </c>
      <c r="D7642" s="308">
        <f>IFERROR(__xludf.DUMMYFUNCTION("SPLIT(C7642,""-"")"),7662.0)</f>
        <v>7662</v>
      </c>
      <c r="E7642" s="308" t="str">
        <f>IFERROR(__xludf.DUMMYFUNCTION("""COMPUTED_VALUE"""),"B")</f>
        <v>B</v>
      </c>
      <c r="F7642" s="315" t="s">
        <v>26</v>
      </c>
      <c r="G7642" s="308"/>
      <c r="H7642" s="308" t="s">
        <v>30229</v>
      </c>
      <c r="I7642" s="314">
        <v>42663.0</v>
      </c>
      <c r="J7642" s="319">
        <f>IFERROR(__xludf.DUMMYFUNCTION("SPLIT(I7642,""/"")"),20.0)</f>
        <v>20</v>
      </c>
      <c r="K7642" s="308">
        <f>IFERROR(__xludf.DUMMYFUNCTION("""COMPUTED_VALUE"""),10.0)</f>
        <v>10</v>
      </c>
      <c r="L7642" s="308">
        <f>IFERROR(__xludf.DUMMYFUNCTION("""COMPUTED_VALUE"""),2016.0)</f>
        <v>2016</v>
      </c>
      <c r="M7642" s="308" t="s">
        <v>30230</v>
      </c>
      <c r="N7642" s="308"/>
      <c r="O7642" s="308"/>
      <c r="P7642" s="308" t="s">
        <v>136</v>
      </c>
      <c r="Q7642" s="308" t="s">
        <v>39573</v>
      </c>
      <c r="R7642" s="308"/>
      <c r="S7642" s="315" t="s">
        <v>100</v>
      </c>
      <c r="T7642" s="308" t="s">
        <v>34208</v>
      </c>
      <c r="U7642" s="308" t="s">
        <v>27</v>
      </c>
      <c r="V7642" s="308"/>
    </row>
    <row r="7643">
      <c r="A7643" s="308"/>
      <c r="B7643" s="308"/>
      <c r="C7643" s="308" t="s">
        <v>30231</v>
      </c>
      <c r="D7643" s="308">
        <f>IFERROR(__xludf.DUMMYFUNCTION("SPLIT(C7643,""-"")"),7663.0)</f>
        <v>7663</v>
      </c>
      <c r="E7643" s="308" t="str">
        <f>IFERROR(__xludf.DUMMYFUNCTION("""COMPUTED_VALUE"""),"B")</f>
        <v>B</v>
      </c>
      <c r="F7643" s="315" t="s">
        <v>26</v>
      </c>
      <c r="G7643" s="308"/>
      <c r="H7643" s="308" t="s">
        <v>30232</v>
      </c>
      <c r="I7643" s="314">
        <v>42667.0</v>
      </c>
      <c r="J7643" s="319">
        <f>IFERROR(__xludf.DUMMYFUNCTION("SPLIT(I7643,""/"")"),24.0)</f>
        <v>24</v>
      </c>
      <c r="K7643" s="308">
        <f>IFERROR(__xludf.DUMMYFUNCTION("""COMPUTED_VALUE"""),10.0)</f>
        <v>10</v>
      </c>
      <c r="L7643" s="308">
        <f>IFERROR(__xludf.DUMMYFUNCTION("""COMPUTED_VALUE"""),2016.0)</f>
        <v>2016</v>
      </c>
      <c r="M7643" s="308" t="s">
        <v>30233</v>
      </c>
      <c r="N7643" s="308"/>
      <c r="O7643" s="308"/>
      <c r="P7643" s="308" t="s">
        <v>136</v>
      </c>
      <c r="Q7643" s="308" t="s">
        <v>39573</v>
      </c>
      <c r="R7643" s="308"/>
      <c r="S7643" s="315" t="s">
        <v>100</v>
      </c>
      <c r="T7643" s="308" t="s">
        <v>34208</v>
      </c>
      <c r="U7643" s="308" t="s">
        <v>27</v>
      </c>
      <c r="V7643" s="308"/>
    </row>
    <row r="7644">
      <c r="A7644" s="308"/>
      <c r="B7644" s="308"/>
      <c r="C7644" s="308" t="s">
        <v>30234</v>
      </c>
      <c r="D7644" s="308">
        <f>IFERROR(__xludf.DUMMYFUNCTION("SPLIT(C7644,""-"")"),7664.0)</f>
        <v>7664</v>
      </c>
      <c r="E7644" s="308" t="str">
        <f>IFERROR(__xludf.DUMMYFUNCTION("""COMPUTED_VALUE"""),"B")</f>
        <v>B</v>
      </c>
      <c r="F7644" s="315" t="s">
        <v>26</v>
      </c>
      <c r="G7644" s="308"/>
      <c r="H7644" s="308" t="s">
        <v>30235</v>
      </c>
      <c r="I7644" s="314">
        <v>42672.0</v>
      </c>
      <c r="J7644" s="319">
        <f>IFERROR(__xludf.DUMMYFUNCTION("SPLIT(I7644,""/"")"),29.0)</f>
        <v>29</v>
      </c>
      <c r="K7644" s="308">
        <f>IFERROR(__xludf.DUMMYFUNCTION("""COMPUTED_VALUE"""),10.0)</f>
        <v>10</v>
      </c>
      <c r="L7644" s="308">
        <f>IFERROR(__xludf.DUMMYFUNCTION("""COMPUTED_VALUE"""),2016.0)</f>
        <v>2016</v>
      </c>
      <c r="M7644" s="308" t="s">
        <v>30236</v>
      </c>
      <c r="N7644" s="308"/>
      <c r="O7644" s="308"/>
      <c r="P7644" s="308" t="s">
        <v>136</v>
      </c>
      <c r="Q7644" s="308" t="s">
        <v>39573</v>
      </c>
      <c r="R7644" s="308"/>
      <c r="S7644" s="315" t="s">
        <v>100</v>
      </c>
      <c r="T7644" s="308" t="s">
        <v>34208</v>
      </c>
      <c r="U7644" s="308" t="s">
        <v>27</v>
      </c>
      <c r="V7644" s="308"/>
    </row>
    <row r="7645">
      <c r="A7645" s="308"/>
      <c r="B7645" s="308"/>
      <c r="C7645" s="308" t="s">
        <v>30237</v>
      </c>
      <c r="D7645" s="308">
        <f>IFERROR(__xludf.DUMMYFUNCTION("SPLIT(C7645,""-"")"),7665.0)</f>
        <v>7665</v>
      </c>
      <c r="E7645" s="308" t="str">
        <f>IFERROR(__xludf.DUMMYFUNCTION("""COMPUTED_VALUE"""),"B")</f>
        <v>B</v>
      </c>
      <c r="F7645" s="315" t="s">
        <v>26</v>
      </c>
      <c r="G7645" s="308"/>
      <c r="H7645" s="308" t="s">
        <v>30238</v>
      </c>
      <c r="I7645" s="314">
        <v>42672.0</v>
      </c>
      <c r="J7645" s="319">
        <f>IFERROR(__xludf.DUMMYFUNCTION("SPLIT(I7645,""/"")"),29.0)</f>
        <v>29</v>
      </c>
      <c r="K7645" s="308">
        <f>IFERROR(__xludf.DUMMYFUNCTION("""COMPUTED_VALUE"""),10.0)</f>
        <v>10</v>
      </c>
      <c r="L7645" s="308">
        <f>IFERROR(__xludf.DUMMYFUNCTION("""COMPUTED_VALUE"""),2016.0)</f>
        <v>2016</v>
      </c>
      <c r="M7645" s="308" t="s">
        <v>30236</v>
      </c>
      <c r="N7645" s="308"/>
      <c r="O7645" s="308"/>
      <c r="P7645" s="308" t="s">
        <v>136</v>
      </c>
      <c r="Q7645" s="308" t="s">
        <v>39573</v>
      </c>
      <c r="R7645" s="308"/>
      <c r="S7645" s="315" t="s">
        <v>100</v>
      </c>
      <c r="T7645" s="308" t="s">
        <v>34208</v>
      </c>
      <c r="U7645" s="308" t="s">
        <v>27</v>
      </c>
      <c r="V7645" s="308"/>
    </row>
    <row r="7646">
      <c r="A7646" s="308"/>
      <c r="B7646" s="308"/>
      <c r="C7646" s="308" t="s">
        <v>30239</v>
      </c>
      <c r="D7646" s="308">
        <f>IFERROR(__xludf.DUMMYFUNCTION("SPLIT(C7646,""-"")"),7666.0)</f>
        <v>7666</v>
      </c>
      <c r="E7646" s="308" t="str">
        <f>IFERROR(__xludf.DUMMYFUNCTION("""COMPUTED_VALUE"""),"B")</f>
        <v>B</v>
      </c>
      <c r="F7646" s="315" t="s">
        <v>26</v>
      </c>
      <c r="G7646" s="308"/>
      <c r="H7646" s="308" t="s">
        <v>30240</v>
      </c>
      <c r="I7646" s="314">
        <v>42672.0</v>
      </c>
      <c r="J7646" s="319">
        <f>IFERROR(__xludf.DUMMYFUNCTION("SPLIT(I7646,""/"")"),29.0)</f>
        <v>29</v>
      </c>
      <c r="K7646" s="308">
        <f>IFERROR(__xludf.DUMMYFUNCTION("""COMPUTED_VALUE"""),10.0)</f>
        <v>10</v>
      </c>
      <c r="L7646" s="308">
        <f>IFERROR(__xludf.DUMMYFUNCTION("""COMPUTED_VALUE"""),2016.0)</f>
        <v>2016</v>
      </c>
      <c r="M7646" s="308" t="s">
        <v>30236</v>
      </c>
      <c r="N7646" s="308"/>
      <c r="O7646" s="308"/>
      <c r="P7646" s="308" t="s">
        <v>39776</v>
      </c>
      <c r="Q7646" s="308" t="s">
        <v>39573</v>
      </c>
      <c r="R7646" s="308"/>
      <c r="S7646" s="308" t="s">
        <v>81</v>
      </c>
      <c r="T7646" s="308" t="s">
        <v>75</v>
      </c>
      <c r="U7646" s="308" t="s">
        <v>27</v>
      </c>
      <c r="V7646" s="308"/>
    </row>
    <row r="7647">
      <c r="A7647" s="308"/>
      <c r="B7647" s="308"/>
      <c r="C7647" s="308" t="s">
        <v>30242</v>
      </c>
      <c r="D7647" s="308">
        <f>IFERROR(__xludf.DUMMYFUNCTION("SPLIT(C7647,""-"")"),7667.0)</f>
        <v>7667</v>
      </c>
      <c r="E7647" s="308" t="str">
        <f>IFERROR(__xludf.DUMMYFUNCTION("""COMPUTED_VALUE"""),"B")</f>
        <v>B</v>
      </c>
      <c r="F7647" s="315" t="s">
        <v>26</v>
      </c>
      <c r="G7647" s="308"/>
      <c r="H7647" s="308" t="s">
        <v>30243</v>
      </c>
      <c r="I7647" s="314">
        <v>42672.0</v>
      </c>
      <c r="J7647" s="319">
        <f>IFERROR(__xludf.DUMMYFUNCTION("SPLIT(I7647,""/"")"),29.0)</f>
        <v>29</v>
      </c>
      <c r="K7647" s="308">
        <f>IFERROR(__xludf.DUMMYFUNCTION("""COMPUTED_VALUE"""),10.0)</f>
        <v>10</v>
      </c>
      <c r="L7647" s="308">
        <f>IFERROR(__xludf.DUMMYFUNCTION("""COMPUTED_VALUE"""),2016.0)</f>
        <v>2016</v>
      </c>
      <c r="M7647" s="308" t="s">
        <v>30236</v>
      </c>
      <c r="N7647" s="308"/>
      <c r="O7647" s="308"/>
      <c r="P7647" s="308" t="s">
        <v>39777</v>
      </c>
      <c r="Q7647" s="308" t="s">
        <v>39573</v>
      </c>
      <c r="R7647" s="308"/>
      <c r="S7647" s="308" t="s">
        <v>81</v>
      </c>
      <c r="T7647" s="308" t="s">
        <v>75</v>
      </c>
      <c r="U7647" s="308" t="s">
        <v>27</v>
      </c>
      <c r="V7647" s="308"/>
    </row>
    <row r="7648">
      <c r="A7648" s="308"/>
      <c r="B7648" s="308"/>
      <c r="C7648" s="308" t="s">
        <v>30245</v>
      </c>
      <c r="D7648" s="308">
        <f>IFERROR(__xludf.DUMMYFUNCTION("SPLIT(C7648,""-"")"),7668.0)</f>
        <v>7668</v>
      </c>
      <c r="E7648" s="308" t="str">
        <f>IFERROR(__xludf.DUMMYFUNCTION("""COMPUTED_VALUE"""),"B")</f>
        <v>B</v>
      </c>
      <c r="F7648" s="315" t="s">
        <v>26</v>
      </c>
      <c r="G7648" s="308"/>
      <c r="H7648" s="308" t="s">
        <v>30246</v>
      </c>
      <c r="I7648" s="310">
        <v>42593.0</v>
      </c>
      <c r="J7648" s="319">
        <f>IFERROR(__xludf.DUMMYFUNCTION("SPLIT(I7648,""/"")"),11.0)</f>
        <v>11</v>
      </c>
      <c r="K7648" s="308">
        <f>IFERROR(__xludf.DUMMYFUNCTION("""COMPUTED_VALUE"""),8.0)</f>
        <v>8</v>
      </c>
      <c r="L7648" s="308">
        <f>IFERROR(__xludf.DUMMYFUNCTION("""COMPUTED_VALUE"""),2016.0)</f>
        <v>2016</v>
      </c>
      <c r="M7648" s="308" t="s">
        <v>30247</v>
      </c>
      <c r="N7648" s="308"/>
      <c r="O7648" s="308"/>
      <c r="P7648" s="308" t="s">
        <v>39778</v>
      </c>
      <c r="Q7648" s="308" t="s">
        <v>39573</v>
      </c>
      <c r="R7648" s="308"/>
      <c r="S7648" s="308" t="s">
        <v>81</v>
      </c>
      <c r="T7648" s="308" t="s">
        <v>75</v>
      </c>
      <c r="U7648" s="308" t="s">
        <v>27</v>
      </c>
      <c r="V7648" s="308"/>
    </row>
    <row r="7649">
      <c r="A7649" s="308"/>
      <c r="B7649" s="308"/>
      <c r="C7649" s="308" t="s">
        <v>30249</v>
      </c>
      <c r="D7649" s="308">
        <f>IFERROR(__xludf.DUMMYFUNCTION("SPLIT(C7649,""-"")"),7669.0)</f>
        <v>7669</v>
      </c>
      <c r="E7649" s="308" t="str">
        <f>IFERROR(__xludf.DUMMYFUNCTION("""COMPUTED_VALUE"""),"B")</f>
        <v>B</v>
      </c>
      <c r="F7649" s="315" t="s">
        <v>26</v>
      </c>
      <c r="G7649" s="308"/>
      <c r="H7649" s="308" t="s">
        <v>30250</v>
      </c>
      <c r="I7649" s="314">
        <v>42685.0</v>
      </c>
      <c r="J7649" s="319">
        <f>IFERROR(__xludf.DUMMYFUNCTION("SPLIT(I7649,""/"")"),11.0)</f>
        <v>11</v>
      </c>
      <c r="K7649" s="308">
        <f>IFERROR(__xludf.DUMMYFUNCTION("""COMPUTED_VALUE"""),11.0)</f>
        <v>11</v>
      </c>
      <c r="L7649" s="308">
        <f>IFERROR(__xludf.DUMMYFUNCTION("""COMPUTED_VALUE"""),2016.0)</f>
        <v>2016</v>
      </c>
      <c r="M7649" s="308" t="s">
        <v>30251</v>
      </c>
      <c r="N7649" s="308"/>
      <c r="O7649" s="308"/>
      <c r="P7649" s="308" t="s">
        <v>39779</v>
      </c>
      <c r="Q7649" s="308" t="s">
        <v>39573</v>
      </c>
      <c r="R7649" s="308"/>
      <c r="S7649" s="308" t="s">
        <v>81</v>
      </c>
      <c r="T7649" s="308" t="s">
        <v>75</v>
      </c>
      <c r="U7649" s="308" t="s">
        <v>27</v>
      </c>
      <c r="V7649" s="308"/>
    </row>
    <row r="7650">
      <c r="A7650" s="308"/>
      <c r="B7650" s="308"/>
      <c r="C7650" s="308" t="s">
        <v>30253</v>
      </c>
      <c r="D7650" s="308">
        <f>IFERROR(__xludf.DUMMYFUNCTION("SPLIT(C7650,""-"")"),7670.0)</f>
        <v>7670</v>
      </c>
      <c r="E7650" s="308" t="str">
        <f>IFERROR(__xludf.DUMMYFUNCTION("""COMPUTED_VALUE"""),"B")</f>
        <v>B</v>
      </c>
      <c r="F7650" s="315" t="s">
        <v>26</v>
      </c>
      <c r="G7650" s="308"/>
      <c r="H7650" s="308" t="s">
        <v>30254</v>
      </c>
      <c r="I7650" s="314">
        <v>42685.0</v>
      </c>
      <c r="J7650" s="319">
        <f>IFERROR(__xludf.DUMMYFUNCTION("SPLIT(I7650,""/"")"),11.0)</f>
        <v>11</v>
      </c>
      <c r="K7650" s="308">
        <f>IFERROR(__xludf.DUMMYFUNCTION("""COMPUTED_VALUE"""),11.0)</f>
        <v>11</v>
      </c>
      <c r="L7650" s="308">
        <f>IFERROR(__xludf.DUMMYFUNCTION("""COMPUTED_VALUE"""),2016.0)</f>
        <v>2016</v>
      </c>
      <c r="M7650" s="308" t="s">
        <v>30251</v>
      </c>
      <c r="N7650" s="308"/>
      <c r="O7650" s="308"/>
      <c r="P7650" s="308" t="s">
        <v>39780</v>
      </c>
      <c r="Q7650" s="308" t="s">
        <v>39573</v>
      </c>
      <c r="R7650" s="308"/>
      <c r="S7650" s="308" t="s">
        <v>81</v>
      </c>
      <c r="T7650" s="308" t="s">
        <v>75</v>
      </c>
      <c r="U7650" s="308" t="s">
        <v>27</v>
      </c>
      <c r="V7650" s="308"/>
    </row>
    <row r="7651">
      <c r="A7651" s="308"/>
      <c r="B7651" s="308"/>
      <c r="C7651" s="308" t="s">
        <v>30256</v>
      </c>
      <c r="D7651" s="308">
        <f>IFERROR(__xludf.DUMMYFUNCTION("SPLIT(C7651,""-"")"),7671.0)</f>
        <v>7671</v>
      </c>
      <c r="E7651" s="308" t="str">
        <f>IFERROR(__xludf.DUMMYFUNCTION("""COMPUTED_VALUE"""),"B")</f>
        <v>B</v>
      </c>
      <c r="F7651" s="315" t="s">
        <v>26</v>
      </c>
      <c r="G7651" s="308"/>
      <c r="H7651" s="308" t="s">
        <v>30257</v>
      </c>
      <c r="I7651" s="314">
        <v>42691.0</v>
      </c>
      <c r="J7651" s="319">
        <f>IFERROR(__xludf.DUMMYFUNCTION("SPLIT(I7651,""/"")"),17.0)</f>
        <v>17</v>
      </c>
      <c r="K7651" s="308">
        <f>IFERROR(__xludf.DUMMYFUNCTION("""COMPUTED_VALUE"""),11.0)</f>
        <v>11</v>
      </c>
      <c r="L7651" s="308">
        <f>IFERROR(__xludf.DUMMYFUNCTION("""COMPUTED_VALUE"""),2016.0)</f>
        <v>2016</v>
      </c>
      <c r="M7651" s="308" t="s">
        <v>30258</v>
      </c>
      <c r="N7651" s="308"/>
      <c r="O7651" s="308"/>
      <c r="P7651" s="308" t="s">
        <v>39781</v>
      </c>
      <c r="Q7651" s="308" t="s">
        <v>39573</v>
      </c>
      <c r="R7651" s="308"/>
      <c r="S7651" s="308" t="s">
        <v>81</v>
      </c>
      <c r="T7651" s="308" t="s">
        <v>75</v>
      </c>
      <c r="U7651" s="308" t="s">
        <v>27</v>
      </c>
      <c r="V7651" s="308"/>
    </row>
    <row r="7652">
      <c r="A7652" s="308"/>
      <c r="B7652" s="308"/>
      <c r="C7652" s="308" t="s">
        <v>30260</v>
      </c>
      <c r="D7652" s="308">
        <f>IFERROR(__xludf.DUMMYFUNCTION("SPLIT(C7652,""-"")"),7672.0)</f>
        <v>7672</v>
      </c>
      <c r="E7652" s="308" t="str">
        <f>IFERROR(__xludf.DUMMYFUNCTION("""COMPUTED_VALUE"""),"B")</f>
        <v>B</v>
      </c>
      <c r="F7652" s="315" t="s">
        <v>26</v>
      </c>
      <c r="G7652" s="308"/>
      <c r="H7652" s="308" t="s">
        <v>30261</v>
      </c>
      <c r="I7652" s="314">
        <v>42691.0</v>
      </c>
      <c r="J7652" s="319">
        <f>IFERROR(__xludf.DUMMYFUNCTION("SPLIT(I7652,""/"")"),17.0)</f>
        <v>17</v>
      </c>
      <c r="K7652" s="308">
        <f>IFERROR(__xludf.DUMMYFUNCTION("""COMPUTED_VALUE"""),11.0)</f>
        <v>11</v>
      </c>
      <c r="L7652" s="308">
        <f>IFERROR(__xludf.DUMMYFUNCTION("""COMPUTED_VALUE"""),2016.0)</f>
        <v>2016</v>
      </c>
      <c r="M7652" s="308" t="s">
        <v>30262</v>
      </c>
      <c r="N7652" s="308"/>
      <c r="O7652" s="308"/>
      <c r="P7652" s="308" t="s">
        <v>39782</v>
      </c>
      <c r="Q7652" s="308" t="s">
        <v>39573</v>
      </c>
      <c r="R7652" s="308"/>
      <c r="S7652" s="308" t="s">
        <v>81</v>
      </c>
      <c r="T7652" s="308" t="s">
        <v>75</v>
      </c>
      <c r="U7652" s="308" t="s">
        <v>27</v>
      </c>
      <c r="V7652" s="308"/>
    </row>
    <row r="7653">
      <c r="A7653" s="308"/>
      <c r="B7653" s="308"/>
      <c r="C7653" s="308" t="s">
        <v>30264</v>
      </c>
      <c r="D7653" s="308">
        <f>IFERROR(__xludf.DUMMYFUNCTION("SPLIT(C7653,""-"")"),7673.0)</f>
        <v>7673</v>
      </c>
      <c r="E7653" s="308" t="str">
        <f>IFERROR(__xludf.DUMMYFUNCTION("""COMPUTED_VALUE"""),"B")</f>
        <v>B</v>
      </c>
      <c r="F7653" s="315" t="s">
        <v>26</v>
      </c>
      <c r="G7653" s="308"/>
      <c r="H7653" s="308" t="s">
        <v>30265</v>
      </c>
      <c r="I7653" s="314">
        <v>42691.0</v>
      </c>
      <c r="J7653" s="319">
        <f>IFERROR(__xludf.DUMMYFUNCTION("SPLIT(I7653,""/"")"),17.0)</f>
        <v>17</v>
      </c>
      <c r="K7653" s="308">
        <f>IFERROR(__xludf.DUMMYFUNCTION("""COMPUTED_VALUE"""),11.0)</f>
        <v>11</v>
      </c>
      <c r="L7653" s="308">
        <f>IFERROR(__xludf.DUMMYFUNCTION("""COMPUTED_VALUE"""),2016.0)</f>
        <v>2016</v>
      </c>
      <c r="M7653" s="308" t="s">
        <v>30154</v>
      </c>
      <c r="N7653" s="308"/>
      <c r="O7653" s="308"/>
      <c r="P7653" s="308" t="s">
        <v>136</v>
      </c>
      <c r="Q7653" s="308" t="s">
        <v>39573</v>
      </c>
      <c r="R7653" s="308"/>
      <c r="S7653" s="315" t="s">
        <v>100</v>
      </c>
      <c r="T7653" s="308" t="s">
        <v>34208</v>
      </c>
      <c r="U7653" s="308" t="s">
        <v>27</v>
      </c>
      <c r="V7653" s="308"/>
    </row>
    <row r="7654">
      <c r="A7654" s="308"/>
      <c r="B7654" s="308"/>
      <c r="C7654" s="308" t="s">
        <v>30266</v>
      </c>
      <c r="D7654" s="308">
        <f>IFERROR(__xludf.DUMMYFUNCTION("SPLIT(C7654,""-"")"),7674.0)</f>
        <v>7674</v>
      </c>
      <c r="E7654" s="308" t="str">
        <f>IFERROR(__xludf.DUMMYFUNCTION("""COMPUTED_VALUE"""),"B")</f>
        <v>B</v>
      </c>
      <c r="F7654" s="315" t="s">
        <v>26</v>
      </c>
      <c r="G7654" s="308"/>
      <c r="H7654" s="308" t="s">
        <v>30267</v>
      </c>
      <c r="I7654" s="314">
        <v>42691.0</v>
      </c>
      <c r="J7654" s="319">
        <f>IFERROR(__xludf.DUMMYFUNCTION("SPLIT(I7654,""/"")"),17.0)</f>
        <v>17</v>
      </c>
      <c r="K7654" s="308">
        <f>IFERROR(__xludf.DUMMYFUNCTION("""COMPUTED_VALUE"""),11.0)</f>
        <v>11</v>
      </c>
      <c r="L7654" s="308">
        <f>IFERROR(__xludf.DUMMYFUNCTION("""COMPUTED_VALUE"""),2016.0)</f>
        <v>2016</v>
      </c>
      <c r="M7654" s="308" t="s">
        <v>30268</v>
      </c>
      <c r="N7654" s="308"/>
      <c r="O7654" s="308"/>
      <c r="P7654" s="308" t="s">
        <v>39783</v>
      </c>
      <c r="Q7654" s="308" t="s">
        <v>39573</v>
      </c>
      <c r="R7654" s="308"/>
      <c r="S7654" s="308" t="s">
        <v>81</v>
      </c>
      <c r="T7654" s="308" t="s">
        <v>75</v>
      </c>
      <c r="U7654" s="308" t="s">
        <v>27</v>
      </c>
      <c r="V7654" s="308"/>
    </row>
    <row r="7655">
      <c r="A7655" s="308"/>
      <c r="B7655" s="308"/>
      <c r="C7655" s="308" t="s">
        <v>30270</v>
      </c>
      <c r="D7655" s="308">
        <f>IFERROR(__xludf.DUMMYFUNCTION("SPLIT(C7655,""-"")"),7675.0)</f>
        <v>7675</v>
      </c>
      <c r="E7655" s="308" t="str">
        <f>IFERROR(__xludf.DUMMYFUNCTION("""COMPUTED_VALUE"""),"B")</f>
        <v>B</v>
      </c>
      <c r="F7655" s="315" t="s">
        <v>26</v>
      </c>
      <c r="G7655" s="308"/>
      <c r="H7655" s="308" t="s">
        <v>30271</v>
      </c>
      <c r="I7655" s="314">
        <v>42692.0</v>
      </c>
      <c r="J7655" s="319">
        <f>IFERROR(__xludf.DUMMYFUNCTION("SPLIT(I7655,""/"")"),18.0)</f>
        <v>18</v>
      </c>
      <c r="K7655" s="308">
        <f>IFERROR(__xludf.DUMMYFUNCTION("""COMPUTED_VALUE"""),11.0)</f>
        <v>11</v>
      </c>
      <c r="L7655" s="308">
        <f>IFERROR(__xludf.DUMMYFUNCTION("""COMPUTED_VALUE"""),2016.0)</f>
        <v>2016</v>
      </c>
      <c r="M7655" s="308" t="s">
        <v>30272</v>
      </c>
      <c r="N7655" s="308"/>
      <c r="O7655" s="308"/>
      <c r="P7655" s="308" t="s">
        <v>39784</v>
      </c>
      <c r="Q7655" s="308" t="s">
        <v>39573</v>
      </c>
      <c r="R7655" s="308"/>
      <c r="S7655" s="308" t="s">
        <v>81</v>
      </c>
      <c r="T7655" s="308" t="s">
        <v>75</v>
      </c>
      <c r="U7655" s="308" t="s">
        <v>27</v>
      </c>
      <c r="V7655" s="308"/>
    </row>
    <row r="7656">
      <c r="A7656" s="308"/>
      <c r="B7656" s="308"/>
      <c r="C7656" s="308" t="s">
        <v>30274</v>
      </c>
      <c r="D7656" s="308">
        <f>IFERROR(__xludf.DUMMYFUNCTION("SPLIT(C7656,""-"")"),7676.0)</f>
        <v>7676</v>
      </c>
      <c r="E7656" s="308" t="str">
        <f>IFERROR(__xludf.DUMMYFUNCTION("""COMPUTED_VALUE"""),"B")</f>
        <v>B</v>
      </c>
      <c r="F7656" s="315" t="s">
        <v>26</v>
      </c>
      <c r="G7656" s="308"/>
      <c r="H7656" s="308" t="s">
        <v>30275</v>
      </c>
      <c r="I7656" s="314">
        <v>42692.0</v>
      </c>
      <c r="J7656" s="319">
        <f>IFERROR(__xludf.DUMMYFUNCTION("SPLIT(I7656,""/"")"),18.0)</f>
        <v>18</v>
      </c>
      <c r="K7656" s="308">
        <f>IFERROR(__xludf.DUMMYFUNCTION("""COMPUTED_VALUE"""),11.0)</f>
        <v>11</v>
      </c>
      <c r="L7656" s="308">
        <f>IFERROR(__xludf.DUMMYFUNCTION("""COMPUTED_VALUE"""),2016.0)</f>
        <v>2016</v>
      </c>
      <c r="M7656" s="308" t="s">
        <v>30276</v>
      </c>
      <c r="N7656" s="308"/>
      <c r="O7656" s="308"/>
      <c r="P7656" s="308" t="s">
        <v>39785</v>
      </c>
      <c r="Q7656" s="308" t="s">
        <v>39573</v>
      </c>
      <c r="R7656" s="308"/>
      <c r="S7656" s="308" t="s">
        <v>81</v>
      </c>
      <c r="T7656" s="308" t="s">
        <v>75</v>
      </c>
      <c r="U7656" s="308" t="s">
        <v>27</v>
      </c>
      <c r="V7656" s="308"/>
    </row>
    <row r="7657">
      <c r="A7657" s="308"/>
      <c r="B7657" s="308"/>
      <c r="C7657" s="308" t="s">
        <v>30278</v>
      </c>
      <c r="D7657" s="308">
        <f>IFERROR(__xludf.DUMMYFUNCTION("SPLIT(C7657,""-"")"),7677.0)</f>
        <v>7677</v>
      </c>
      <c r="E7657" s="308" t="str">
        <f>IFERROR(__xludf.DUMMYFUNCTION("""COMPUTED_VALUE"""),"B")</f>
        <v>B</v>
      </c>
      <c r="F7657" s="315" t="s">
        <v>26</v>
      </c>
      <c r="G7657" s="308"/>
      <c r="H7657" s="308" t="s">
        <v>30279</v>
      </c>
      <c r="I7657" s="314">
        <v>42692.0</v>
      </c>
      <c r="J7657" s="319">
        <f>IFERROR(__xludf.DUMMYFUNCTION("SPLIT(I7657,""/"")"),18.0)</f>
        <v>18</v>
      </c>
      <c r="K7657" s="308">
        <f>IFERROR(__xludf.DUMMYFUNCTION("""COMPUTED_VALUE"""),11.0)</f>
        <v>11</v>
      </c>
      <c r="L7657" s="308">
        <f>IFERROR(__xludf.DUMMYFUNCTION("""COMPUTED_VALUE"""),2016.0)</f>
        <v>2016</v>
      </c>
      <c r="M7657" s="308" t="s">
        <v>30154</v>
      </c>
      <c r="N7657" s="308"/>
      <c r="O7657" s="308"/>
      <c r="P7657" s="308" t="s">
        <v>136</v>
      </c>
      <c r="Q7657" s="308" t="s">
        <v>39573</v>
      </c>
      <c r="R7657" s="308"/>
      <c r="S7657" s="315" t="s">
        <v>100</v>
      </c>
      <c r="T7657" s="308" t="s">
        <v>34208</v>
      </c>
      <c r="U7657" s="308" t="s">
        <v>27</v>
      </c>
      <c r="V7657" s="308"/>
    </row>
    <row r="7658">
      <c r="A7658" s="308"/>
      <c r="B7658" s="308"/>
      <c r="C7658" s="308" t="s">
        <v>30280</v>
      </c>
      <c r="D7658" s="308">
        <f>IFERROR(__xludf.DUMMYFUNCTION("SPLIT(C7658,""-"")"),7678.0)</f>
        <v>7678</v>
      </c>
      <c r="E7658" s="308" t="str">
        <f>IFERROR(__xludf.DUMMYFUNCTION("""COMPUTED_VALUE"""),"B")</f>
        <v>B</v>
      </c>
      <c r="F7658" s="315" t="s">
        <v>26</v>
      </c>
      <c r="G7658" s="308"/>
      <c r="H7658" s="308" t="s">
        <v>30281</v>
      </c>
      <c r="I7658" s="314">
        <v>42692.0</v>
      </c>
      <c r="J7658" s="319">
        <f>IFERROR(__xludf.DUMMYFUNCTION("SPLIT(I7658,""/"")"),18.0)</f>
        <v>18</v>
      </c>
      <c r="K7658" s="308">
        <f>IFERROR(__xludf.DUMMYFUNCTION("""COMPUTED_VALUE"""),11.0)</f>
        <v>11</v>
      </c>
      <c r="L7658" s="308">
        <f>IFERROR(__xludf.DUMMYFUNCTION("""COMPUTED_VALUE"""),2016.0)</f>
        <v>2016</v>
      </c>
      <c r="M7658" s="308" t="s">
        <v>30154</v>
      </c>
      <c r="N7658" s="308"/>
      <c r="O7658" s="308"/>
      <c r="P7658" s="308" t="s">
        <v>39786</v>
      </c>
      <c r="Q7658" s="308" t="s">
        <v>39573</v>
      </c>
      <c r="R7658" s="308"/>
      <c r="S7658" s="308" t="s">
        <v>81</v>
      </c>
      <c r="T7658" s="308" t="s">
        <v>75</v>
      </c>
      <c r="U7658" s="308" t="s">
        <v>27</v>
      </c>
      <c r="V7658" s="308"/>
    </row>
    <row r="7659">
      <c r="A7659" s="308"/>
      <c r="B7659" s="308"/>
      <c r="C7659" s="308" t="s">
        <v>30283</v>
      </c>
      <c r="D7659" s="308">
        <f>IFERROR(__xludf.DUMMYFUNCTION("SPLIT(C7659,""-"")"),7679.0)</f>
        <v>7679</v>
      </c>
      <c r="E7659" s="308" t="str">
        <f>IFERROR(__xludf.DUMMYFUNCTION("""COMPUTED_VALUE"""),"B")</f>
        <v>B</v>
      </c>
      <c r="F7659" s="315" t="s">
        <v>26</v>
      </c>
      <c r="G7659" s="308"/>
      <c r="H7659" s="308" t="s">
        <v>39787</v>
      </c>
      <c r="I7659" s="314">
        <v>42692.0</v>
      </c>
      <c r="J7659" s="319">
        <f>IFERROR(__xludf.DUMMYFUNCTION("SPLIT(I7659,""/"")"),18.0)</f>
        <v>18</v>
      </c>
      <c r="K7659" s="308">
        <f>IFERROR(__xludf.DUMMYFUNCTION("""COMPUTED_VALUE"""),11.0)</f>
        <v>11</v>
      </c>
      <c r="L7659" s="308">
        <f>IFERROR(__xludf.DUMMYFUNCTION("""COMPUTED_VALUE"""),2016.0)</f>
        <v>2016</v>
      </c>
      <c r="M7659" s="308" t="s">
        <v>30285</v>
      </c>
      <c r="N7659" s="308"/>
      <c r="O7659" s="308"/>
      <c r="P7659" s="308" t="s">
        <v>39788</v>
      </c>
      <c r="Q7659" s="308" t="s">
        <v>39573</v>
      </c>
      <c r="R7659" s="308"/>
      <c r="S7659" s="308" t="s">
        <v>81</v>
      </c>
      <c r="T7659" s="308" t="s">
        <v>75</v>
      </c>
      <c r="U7659" s="308" t="s">
        <v>27</v>
      </c>
      <c r="V7659" s="308"/>
    </row>
    <row r="7660">
      <c r="A7660" s="308"/>
      <c r="B7660" s="308"/>
      <c r="C7660" s="308" t="s">
        <v>30287</v>
      </c>
      <c r="D7660" s="308">
        <f>IFERROR(__xludf.DUMMYFUNCTION("SPLIT(C7660,""-"")"),7680.0)</f>
        <v>7680</v>
      </c>
      <c r="E7660" s="308" t="str">
        <f>IFERROR(__xludf.DUMMYFUNCTION("""COMPUTED_VALUE"""),"B")</f>
        <v>B</v>
      </c>
      <c r="F7660" s="315" t="s">
        <v>26</v>
      </c>
      <c r="G7660" s="308"/>
      <c r="H7660" s="308" t="s">
        <v>30288</v>
      </c>
      <c r="I7660" s="314">
        <v>42692.0</v>
      </c>
      <c r="J7660" s="319">
        <f>IFERROR(__xludf.DUMMYFUNCTION("SPLIT(I7660,""/"")"),18.0)</f>
        <v>18</v>
      </c>
      <c r="K7660" s="308">
        <f>IFERROR(__xludf.DUMMYFUNCTION("""COMPUTED_VALUE"""),11.0)</f>
        <v>11</v>
      </c>
      <c r="L7660" s="308">
        <f>IFERROR(__xludf.DUMMYFUNCTION("""COMPUTED_VALUE"""),2016.0)</f>
        <v>2016</v>
      </c>
      <c r="M7660" s="308" t="s">
        <v>30285</v>
      </c>
      <c r="N7660" s="308"/>
      <c r="O7660" s="308"/>
      <c r="P7660" s="308" t="s">
        <v>39789</v>
      </c>
      <c r="Q7660" s="308" t="s">
        <v>39573</v>
      </c>
      <c r="R7660" s="308"/>
      <c r="S7660" s="308" t="s">
        <v>81</v>
      </c>
      <c r="T7660" s="308" t="s">
        <v>75</v>
      </c>
      <c r="U7660" s="308" t="s">
        <v>27</v>
      </c>
      <c r="V7660" s="308"/>
    </row>
    <row r="7661">
      <c r="A7661" s="308"/>
      <c r="B7661" s="308"/>
      <c r="C7661" s="308" t="s">
        <v>30290</v>
      </c>
      <c r="D7661" s="308">
        <f>IFERROR(__xludf.DUMMYFUNCTION("SPLIT(C7661,""-"")"),7681.0)</f>
        <v>7681</v>
      </c>
      <c r="E7661" s="308" t="str">
        <f>IFERROR(__xludf.DUMMYFUNCTION("""COMPUTED_VALUE"""),"B")</f>
        <v>B</v>
      </c>
      <c r="F7661" s="315" t="s">
        <v>26</v>
      </c>
      <c r="G7661" s="308"/>
      <c r="H7661" s="308" t="s">
        <v>30291</v>
      </c>
      <c r="I7661" s="314">
        <v>42692.0</v>
      </c>
      <c r="J7661" s="319">
        <f>IFERROR(__xludf.DUMMYFUNCTION("SPLIT(I7661,""/"")"),18.0)</f>
        <v>18</v>
      </c>
      <c r="K7661" s="308">
        <f>IFERROR(__xludf.DUMMYFUNCTION("""COMPUTED_VALUE"""),11.0)</f>
        <v>11</v>
      </c>
      <c r="L7661" s="308">
        <f>IFERROR(__xludf.DUMMYFUNCTION("""COMPUTED_VALUE"""),2016.0)</f>
        <v>2016</v>
      </c>
      <c r="M7661" s="308" t="s">
        <v>30285</v>
      </c>
      <c r="N7661" s="308"/>
      <c r="O7661" s="308"/>
      <c r="P7661" s="308" t="s">
        <v>39790</v>
      </c>
      <c r="Q7661" s="308" t="s">
        <v>39573</v>
      </c>
      <c r="R7661" s="308"/>
      <c r="S7661" s="308" t="s">
        <v>81</v>
      </c>
      <c r="T7661" s="308" t="s">
        <v>75</v>
      </c>
      <c r="U7661" s="308" t="s">
        <v>27</v>
      </c>
      <c r="V7661" s="308"/>
    </row>
    <row r="7662">
      <c r="A7662" s="308"/>
      <c r="B7662" s="308"/>
      <c r="C7662" s="308" t="s">
        <v>30293</v>
      </c>
      <c r="D7662" s="308">
        <f>IFERROR(__xludf.DUMMYFUNCTION("SPLIT(C7662,""-"")"),7682.0)</f>
        <v>7682</v>
      </c>
      <c r="E7662" s="308" t="str">
        <f>IFERROR(__xludf.DUMMYFUNCTION("""COMPUTED_VALUE"""),"B")</f>
        <v>B</v>
      </c>
      <c r="F7662" s="315" t="s">
        <v>26</v>
      </c>
      <c r="G7662" s="308"/>
      <c r="H7662" s="308" t="s">
        <v>30294</v>
      </c>
      <c r="I7662" s="314">
        <v>42692.0</v>
      </c>
      <c r="J7662" s="319">
        <f>IFERROR(__xludf.DUMMYFUNCTION("SPLIT(I7662,""/"")"),18.0)</f>
        <v>18</v>
      </c>
      <c r="K7662" s="308">
        <f>IFERROR(__xludf.DUMMYFUNCTION("""COMPUTED_VALUE"""),11.0)</f>
        <v>11</v>
      </c>
      <c r="L7662" s="308">
        <f>IFERROR(__xludf.DUMMYFUNCTION("""COMPUTED_VALUE"""),2016.0)</f>
        <v>2016</v>
      </c>
      <c r="M7662" s="308" t="s">
        <v>30285</v>
      </c>
      <c r="N7662" s="308"/>
      <c r="O7662" s="308"/>
      <c r="P7662" s="308" t="s">
        <v>39791</v>
      </c>
      <c r="Q7662" s="308" t="s">
        <v>39573</v>
      </c>
      <c r="R7662" s="308"/>
      <c r="S7662" s="308" t="s">
        <v>81</v>
      </c>
      <c r="T7662" s="308" t="s">
        <v>75</v>
      </c>
      <c r="U7662" s="308" t="s">
        <v>27</v>
      </c>
      <c r="V7662" s="308"/>
    </row>
    <row r="7663">
      <c r="A7663" s="308"/>
      <c r="B7663" s="308"/>
      <c r="C7663" s="308" t="s">
        <v>30296</v>
      </c>
      <c r="D7663" s="308">
        <f>IFERROR(__xludf.DUMMYFUNCTION("SPLIT(C7663,""-"")"),7683.0)</f>
        <v>7683</v>
      </c>
      <c r="E7663" s="308" t="str">
        <f>IFERROR(__xludf.DUMMYFUNCTION("""COMPUTED_VALUE"""),"B")</f>
        <v>B</v>
      </c>
      <c r="F7663" s="315" t="s">
        <v>26</v>
      </c>
      <c r="G7663" s="308"/>
      <c r="H7663" s="308" t="s">
        <v>30297</v>
      </c>
      <c r="I7663" s="314">
        <v>42692.0</v>
      </c>
      <c r="J7663" s="319">
        <f>IFERROR(__xludf.DUMMYFUNCTION("SPLIT(I7663,""/"")"),18.0)</f>
        <v>18</v>
      </c>
      <c r="K7663" s="308">
        <f>IFERROR(__xludf.DUMMYFUNCTION("""COMPUTED_VALUE"""),11.0)</f>
        <v>11</v>
      </c>
      <c r="L7663" s="308">
        <f>IFERROR(__xludf.DUMMYFUNCTION("""COMPUTED_VALUE"""),2016.0)</f>
        <v>2016</v>
      </c>
      <c r="M7663" s="308" t="s">
        <v>30285</v>
      </c>
      <c r="N7663" s="308"/>
      <c r="O7663" s="308"/>
      <c r="P7663" s="308" t="s">
        <v>136</v>
      </c>
      <c r="Q7663" s="308" t="s">
        <v>39573</v>
      </c>
      <c r="R7663" s="308"/>
      <c r="S7663" s="315" t="s">
        <v>100</v>
      </c>
      <c r="T7663" s="308" t="s">
        <v>34208</v>
      </c>
      <c r="U7663" s="308" t="s">
        <v>27</v>
      </c>
      <c r="V7663" s="308"/>
    </row>
    <row r="7664">
      <c r="A7664" s="308"/>
      <c r="B7664" s="308"/>
      <c r="C7664" s="308" t="s">
        <v>30298</v>
      </c>
      <c r="D7664" s="308">
        <f>IFERROR(__xludf.DUMMYFUNCTION("SPLIT(C7664,""-"")"),7684.0)</f>
        <v>7684</v>
      </c>
      <c r="E7664" s="308" t="str">
        <f>IFERROR(__xludf.DUMMYFUNCTION("""COMPUTED_VALUE"""),"B")</f>
        <v>B</v>
      </c>
      <c r="F7664" s="315" t="s">
        <v>26</v>
      </c>
      <c r="G7664" s="308"/>
      <c r="H7664" s="308" t="s">
        <v>39792</v>
      </c>
      <c r="I7664" s="314">
        <v>42692.0</v>
      </c>
      <c r="J7664" s="319">
        <f>IFERROR(__xludf.DUMMYFUNCTION("SPLIT(I7664,""/"")"),18.0)</f>
        <v>18</v>
      </c>
      <c r="K7664" s="308">
        <f>IFERROR(__xludf.DUMMYFUNCTION("""COMPUTED_VALUE"""),11.0)</f>
        <v>11</v>
      </c>
      <c r="L7664" s="308">
        <f>IFERROR(__xludf.DUMMYFUNCTION("""COMPUTED_VALUE"""),2016.0)</f>
        <v>2016</v>
      </c>
      <c r="M7664" s="308" t="s">
        <v>30285</v>
      </c>
      <c r="N7664" s="308"/>
      <c r="O7664" s="308"/>
      <c r="P7664" s="308" t="s">
        <v>39793</v>
      </c>
      <c r="Q7664" s="308" t="s">
        <v>39573</v>
      </c>
      <c r="R7664" s="308"/>
      <c r="S7664" s="308" t="s">
        <v>81</v>
      </c>
      <c r="T7664" s="308" t="s">
        <v>75</v>
      </c>
      <c r="U7664" s="308" t="s">
        <v>27</v>
      </c>
      <c r="V7664" s="308"/>
    </row>
    <row r="7665">
      <c r="A7665" s="308"/>
      <c r="B7665" s="308"/>
      <c r="C7665" s="308" t="s">
        <v>30301</v>
      </c>
      <c r="D7665" s="308">
        <f>IFERROR(__xludf.DUMMYFUNCTION("SPLIT(C7665,""-"")"),7685.0)</f>
        <v>7685</v>
      </c>
      <c r="E7665" s="308" t="str">
        <f>IFERROR(__xludf.DUMMYFUNCTION("""COMPUTED_VALUE"""),"B")</f>
        <v>B</v>
      </c>
      <c r="F7665" s="315" t="s">
        <v>26</v>
      </c>
      <c r="G7665" s="308"/>
      <c r="H7665" s="308" t="s">
        <v>30302</v>
      </c>
      <c r="I7665" s="314">
        <v>42692.0</v>
      </c>
      <c r="J7665" s="319">
        <f>IFERROR(__xludf.DUMMYFUNCTION("SPLIT(I7665,""/"")"),18.0)</f>
        <v>18</v>
      </c>
      <c r="K7665" s="308">
        <f>IFERROR(__xludf.DUMMYFUNCTION("""COMPUTED_VALUE"""),11.0)</f>
        <v>11</v>
      </c>
      <c r="L7665" s="308">
        <f>IFERROR(__xludf.DUMMYFUNCTION("""COMPUTED_VALUE"""),2016.0)</f>
        <v>2016</v>
      </c>
      <c r="M7665" s="308" t="s">
        <v>30285</v>
      </c>
      <c r="N7665" s="308"/>
      <c r="O7665" s="308"/>
      <c r="P7665" s="308" t="s">
        <v>39794</v>
      </c>
      <c r="Q7665" s="308" t="s">
        <v>39573</v>
      </c>
      <c r="R7665" s="308"/>
      <c r="S7665" s="308" t="s">
        <v>81</v>
      </c>
      <c r="T7665" s="308" t="s">
        <v>75</v>
      </c>
      <c r="U7665" s="308" t="s">
        <v>27</v>
      </c>
      <c r="V7665" s="308"/>
    </row>
    <row r="7666">
      <c r="A7666" s="308"/>
      <c r="B7666" s="308"/>
      <c r="C7666" s="308" t="s">
        <v>30304</v>
      </c>
      <c r="D7666" s="308">
        <f>IFERROR(__xludf.DUMMYFUNCTION("SPLIT(C7666,""-"")"),7686.0)</f>
        <v>7686</v>
      </c>
      <c r="E7666" s="308" t="str">
        <f>IFERROR(__xludf.DUMMYFUNCTION("""COMPUTED_VALUE"""),"B")</f>
        <v>B</v>
      </c>
      <c r="F7666" s="315" t="s">
        <v>26</v>
      </c>
      <c r="G7666" s="308"/>
      <c r="H7666" s="308" t="s">
        <v>30305</v>
      </c>
      <c r="I7666" s="314">
        <v>42692.0</v>
      </c>
      <c r="J7666" s="319">
        <f>IFERROR(__xludf.DUMMYFUNCTION("SPLIT(I7666,""/"")"),18.0)</f>
        <v>18</v>
      </c>
      <c r="K7666" s="308">
        <f>IFERROR(__xludf.DUMMYFUNCTION("""COMPUTED_VALUE"""),11.0)</f>
        <v>11</v>
      </c>
      <c r="L7666" s="308">
        <f>IFERROR(__xludf.DUMMYFUNCTION("""COMPUTED_VALUE"""),2016.0)</f>
        <v>2016</v>
      </c>
      <c r="M7666" s="308" t="s">
        <v>30285</v>
      </c>
      <c r="N7666" s="308"/>
      <c r="O7666" s="308"/>
      <c r="P7666" s="308" t="s">
        <v>39795</v>
      </c>
      <c r="Q7666" s="308" t="s">
        <v>39573</v>
      </c>
      <c r="R7666" s="308"/>
      <c r="S7666" s="308" t="s">
        <v>81</v>
      </c>
      <c r="T7666" s="308" t="s">
        <v>75</v>
      </c>
      <c r="U7666" s="308" t="s">
        <v>27</v>
      </c>
      <c r="V7666" s="308"/>
    </row>
    <row r="7667">
      <c r="A7667" s="308"/>
      <c r="B7667" s="308"/>
      <c r="C7667" s="308" t="s">
        <v>30307</v>
      </c>
      <c r="D7667" s="308">
        <f>IFERROR(__xludf.DUMMYFUNCTION("SPLIT(C7667,""-"")"),7687.0)</f>
        <v>7687</v>
      </c>
      <c r="E7667" s="308" t="str">
        <f>IFERROR(__xludf.DUMMYFUNCTION("""COMPUTED_VALUE"""),"B")</f>
        <v>B</v>
      </c>
      <c r="F7667" s="315" t="s">
        <v>26</v>
      </c>
      <c r="G7667" s="308"/>
      <c r="H7667" s="308" t="s">
        <v>30308</v>
      </c>
      <c r="I7667" s="314">
        <v>42692.0</v>
      </c>
      <c r="J7667" s="319">
        <f>IFERROR(__xludf.DUMMYFUNCTION("SPLIT(I7667,""/"")"),18.0)</f>
        <v>18</v>
      </c>
      <c r="K7667" s="308">
        <f>IFERROR(__xludf.DUMMYFUNCTION("""COMPUTED_VALUE"""),11.0)</f>
        <v>11</v>
      </c>
      <c r="L7667" s="308">
        <f>IFERROR(__xludf.DUMMYFUNCTION("""COMPUTED_VALUE"""),2016.0)</f>
        <v>2016</v>
      </c>
      <c r="M7667" s="308" t="s">
        <v>30285</v>
      </c>
      <c r="N7667" s="308"/>
      <c r="O7667" s="308"/>
      <c r="P7667" s="308" t="s">
        <v>39796</v>
      </c>
      <c r="Q7667" s="308" t="s">
        <v>39573</v>
      </c>
      <c r="R7667" s="308"/>
      <c r="S7667" s="308" t="s">
        <v>81</v>
      </c>
      <c r="T7667" s="308" t="s">
        <v>75</v>
      </c>
      <c r="U7667" s="308" t="s">
        <v>27</v>
      </c>
      <c r="V7667" s="308"/>
    </row>
    <row r="7668">
      <c r="A7668" s="308"/>
      <c r="B7668" s="308"/>
      <c r="C7668" s="308" t="s">
        <v>30310</v>
      </c>
      <c r="D7668" s="308">
        <f>IFERROR(__xludf.DUMMYFUNCTION("SPLIT(C7668,""-"")"),7688.0)</f>
        <v>7688</v>
      </c>
      <c r="E7668" s="308" t="str">
        <f>IFERROR(__xludf.DUMMYFUNCTION("""COMPUTED_VALUE"""),"B")</f>
        <v>B</v>
      </c>
      <c r="F7668" s="315" t="s">
        <v>26</v>
      </c>
      <c r="G7668" s="308"/>
      <c r="H7668" s="308" t="s">
        <v>30311</v>
      </c>
      <c r="I7668" s="314">
        <v>42692.0</v>
      </c>
      <c r="J7668" s="319">
        <f>IFERROR(__xludf.DUMMYFUNCTION("SPLIT(I7668,""/"")"),18.0)</f>
        <v>18</v>
      </c>
      <c r="K7668" s="308">
        <f>IFERROR(__xludf.DUMMYFUNCTION("""COMPUTED_VALUE"""),11.0)</f>
        <v>11</v>
      </c>
      <c r="L7668" s="308">
        <f>IFERROR(__xludf.DUMMYFUNCTION("""COMPUTED_VALUE"""),2016.0)</f>
        <v>2016</v>
      </c>
      <c r="M7668" s="308" t="s">
        <v>30285</v>
      </c>
      <c r="N7668" s="308"/>
      <c r="O7668" s="308"/>
      <c r="P7668" s="308" t="s">
        <v>39797</v>
      </c>
      <c r="Q7668" s="308" t="s">
        <v>39573</v>
      </c>
      <c r="R7668" s="308"/>
      <c r="S7668" s="308" t="s">
        <v>81</v>
      </c>
      <c r="T7668" s="308" t="s">
        <v>75</v>
      </c>
      <c r="U7668" s="308" t="s">
        <v>27</v>
      </c>
      <c r="V7668" s="308"/>
    </row>
    <row r="7669">
      <c r="A7669" s="308"/>
      <c r="B7669" s="308"/>
      <c r="C7669" s="308" t="s">
        <v>30313</v>
      </c>
      <c r="D7669" s="308">
        <f>IFERROR(__xludf.DUMMYFUNCTION("SPLIT(C7669,""-"")"),7689.0)</f>
        <v>7689</v>
      </c>
      <c r="E7669" s="308" t="str">
        <f>IFERROR(__xludf.DUMMYFUNCTION("""COMPUTED_VALUE"""),"B")</f>
        <v>B</v>
      </c>
      <c r="F7669" s="315" t="s">
        <v>26</v>
      </c>
      <c r="G7669" s="308"/>
      <c r="H7669" s="308" t="s">
        <v>30314</v>
      </c>
      <c r="I7669" s="314">
        <v>42692.0</v>
      </c>
      <c r="J7669" s="319">
        <f>IFERROR(__xludf.DUMMYFUNCTION("SPLIT(I7669,""/"")"),18.0)</f>
        <v>18</v>
      </c>
      <c r="K7669" s="308">
        <f>IFERROR(__xludf.DUMMYFUNCTION("""COMPUTED_VALUE"""),11.0)</f>
        <v>11</v>
      </c>
      <c r="L7669" s="308">
        <f>IFERROR(__xludf.DUMMYFUNCTION("""COMPUTED_VALUE"""),2016.0)</f>
        <v>2016</v>
      </c>
      <c r="M7669" s="308" t="s">
        <v>30285</v>
      </c>
      <c r="N7669" s="308"/>
      <c r="O7669" s="308"/>
      <c r="P7669" s="308" t="s">
        <v>136</v>
      </c>
      <c r="Q7669" s="308" t="s">
        <v>39573</v>
      </c>
      <c r="R7669" s="308"/>
      <c r="S7669" s="315" t="s">
        <v>100</v>
      </c>
      <c r="T7669" s="308" t="s">
        <v>34208</v>
      </c>
      <c r="U7669" s="308" t="s">
        <v>27</v>
      </c>
      <c r="V7669" s="308"/>
    </row>
    <row r="7670">
      <c r="A7670" s="308"/>
      <c r="B7670" s="308"/>
      <c r="C7670" s="308" t="s">
        <v>30315</v>
      </c>
      <c r="D7670" s="308">
        <f>IFERROR(__xludf.DUMMYFUNCTION("SPLIT(C7670,""-"")"),7690.0)</f>
        <v>7690</v>
      </c>
      <c r="E7670" s="308" t="str">
        <f>IFERROR(__xludf.DUMMYFUNCTION("""COMPUTED_VALUE"""),"B")</f>
        <v>B</v>
      </c>
      <c r="F7670" s="315" t="s">
        <v>26</v>
      </c>
      <c r="G7670" s="308"/>
      <c r="H7670" s="308" t="s">
        <v>39798</v>
      </c>
      <c r="I7670" s="314">
        <v>42692.0</v>
      </c>
      <c r="J7670" s="319">
        <f>IFERROR(__xludf.DUMMYFUNCTION("SPLIT(I7670,""/"")"),18.0)</f>
        <v>18</v>
      </c>
      <c r="K7670" s="308">
        <f>IFERROR(__xludf.DUMMYFUNCTION("""COMPUTED_VALUE"""),11.0)</f>
        <v>11</v>
      </c>
      <c r="L7670" s="308">
        <f>IFERROR(__xludf.DUMMYFUNCTION("""COMPUTED_VALUE"""),2016.0)</f>
        <v>2016</v>
      </c>
      <c r="M7670" s="308" t="s">
        <v>30285</v>
      </c>
      <c r="N7670" s="308"/>
      <c r="O7670" s="308"/>
      <c r="P7670" s="308" t="s">
        <v>136</v>
      </c>
      <c r="Q7670" s="308" t="s">
        <v>39573</v>
      </c>
      <c r="R7670" s="308"/>
      <c r="S7670" s="315" t="s">
        <v>100</v>
      </c>
      <c r="T7670" s="308" t="s">
        <v>34208</v>
      </c>
      <c r="U7670" s="308" t="s">
        <v>27</v>
      </c>
      <c r="V7670" s="308"/>
    </row>
    <row r="7671">
      <c r="A7671" s="308"/>
      <c r="B7671" s="308"/>
      <c r="C7671" s="308" t="s">
        <v>30317</v>
      </c>
      <c r="D7671" s="308">
        <f>IFERROR(__xludf.DUMMYFUNCTION("SPLIT(C7671,""-"")"),7691.0)</f>
        <v>7691</v>
      </c>
      <c r="E7671" s="308" t="str">
        <f>IFERROR(__xludf.DUMMYFUNCTION("""COMPUTED_VALUE"""),"B")</f>
        <v>B</v>
      </c>
      <c r="F7671" s="315" t="s">
        <v>26</v>
      </c>
      <c r="G7671" s="308"/>
      <c r="H7671" s="308" t="s">
        <v>39799</v>
      </c>
      <c r="I7671" s="314">
        <v>42692.0</v>
      </c>
      <c r="J7671" s="319">
        <f>IFERROR(__xludf.DUMMYFUNCTION("SPLIT(I7671,""/"")"),18.0)</f>
        <v>18</v>
      </c>
      <c r="K7671" s="308">
        <f>IFERROR(__xludf.DUMMYFUNCTION("""COMPUTED_VALUE"""),11.0)</f>
        <v>11</v>
      </c>
      <c r="L7671" s="308">
        <f>IFERROR(__xludf.DUMMYFUNCTION("""COMPUTED_VALUE"""),2016.0)</f>
        <v>2016</v>
      </c>
      <c r="M7671" s="308" t="s">
        <v>30285</v>
      </c>
      <c r="N7671" s="308"/>
      <c r="O7671" s="308"/>
      <c r="P7671" s="308" t="s">
        <v>39800</v>
      </c>
      <c r="Q7671" s="308" t="s">
        <v>39573</v>
      </c>
      <c r="R7671" s="308"/>
      <c r="S7671" s="308" t="s">
        <v>81</v>
      </c>
      <c r="T7671" s="308" t="s">
        <v>75</v>
      </c>
      <c r="U7671" s="308" t="s">
        <v>27</v>
      </c>
      <c r="V7671" s="308"/>
    </row>
    <row r="7672">
      <c r="A7672" s="308"/>
      <c r="B7672" s="308"/>
      <c r="C7672" s="308" t="s">
        <v>30320</v>
      </c>
      <c r="D7672" s="308">
        <f>IFERROR(__xludf.DUMMYFUNCTION("SPLIT(C7672,""-"")"),7692.0)</f>
        <v>7692</v>
      </c>
      <c r="E7672" s="308" t="str">
        <f>IFERROR(__xludf.DUMMYFUNCTION("""COMPUTED_VALUE"""),"B")</f>
        <v>B</v>
      </c>
      <c r="F7672" s="315" t="s">
        <v>26</v>
      </c>
      <c r="G7672" s="308"/>
      <c r="H7672" s="308" t="s">
        <v>30321</v>
      </c>
      <c r="I7672" s="314">
        <v>42692.0</v>
      </c>
      <c r="J7672" s="319">
        <f>IFERROR(__xludf.DUMMYFUNCTION("SPLIT(I7672,""/"")"),18.0)</f>
        <v>18</v>
      </c>
      <c r="K7672" s="308">
        <f>IFERROR(__xludf.DUMMYFUNCTION("""COMPUTED_VALUE"""),11.0)</f>
        <v>11</v>
      </c>
      <c r="L7672" s="308">
        <f>IFERROR(__xludf.DUMMYFUNCTION("""COMPUTED_VALUE"""),2016.0)</f>
        <v>2016</v>
      </c>
      <c r="M7672" s="308" t="s">
        <v>30285</v>
      </c>
      <c r="N7672" s="308"/>
      <c r="O7672" s="308"/>
      <c r="P7672" s="308" t="s">
        <v>39801</v>
      </c>
      <c r="Q7672" s="308" t="s">
        <v>39573</v>
      </c>
      <c r="R7672" s="308"/>
      <c r="S7672" s="308" t="s">
        <v>81</v>
      </c>
      <c r="T7672" s="308" t="s">
        <v>75</v>
      </c>
      <c r="U7672" s="308" t="s">
        <v>27</v>
      </c>
      <c r="V7672" s="308"/>
    </row>
    <row r="7673">
      <c r="A7673" s="308"/>
      <c r="B7673" s="308"/>
      <c r="C7673" s="308" t="s">
        <v>30323</v>
      </c>
      <c r="D7673" s="308">
        <f>IFERROR(__xludf.DUMMYFUNCTION("SPLIT(C7673,""-"")"),7693.0)</f>
        <v>7693</v>
      </c>
      <c r="E7673" s="308" t="str">
        <f>IFERROR(__xludf.DUMMYFUNCTION("""COMPUTED_VALUE"""),"B")</f>
        <v>B</v>
      </c>
      <c r="F7673" s="315" t="s">
        <v>26</v>
      </c>
      <c r="G7673" s="308"/>
      <c r="H7673" s="308" t="s">
        <v>30324</v>
      </c>
      <c r="I7673" s="314">
        <v>42692.0</v>
      </c>
      <c r="J7673" s="319">
        <f>IFERROR(__xludf.DUMMYFUNCTION("SPLIT(I7673,""/"")"),18.0)</f>
        <v>18</v>
      </c>
      <c r="K7673" s="308">
        <f>IFERROR(__xludf.DUMMYFUNCTION("""COMPUTED_VALUE"""),11.0)</f>
        <v>11</v>
      </c>
      <c r="L7673" s="308">
        <f>IFERROR(__xludf.DUMMYFUNCTION("""COMPUTED_VALUE"""),2016.0)</f>
        <v>2016</v>
      </c>
      <c r="M7673" s="308" t="s">
        <v>30154</v>
      </c>
      <c r="N7673" s="308"/>
      <c r="O7673" s="308"/>
      <c r="P7673" s="308" t="s">
        <v>39802</v>
      </c>
      <c r="Q7673" s="308" t="s">
        <v>39573</v>
      </c>
      <c r="R7673" s="308"/>
      <c r="S7673" s="308" t="s">
        <v>81</v>
      </c>
      <c r="T7673" s="308" t="s">
        <v>75</v>
      </c>
      <c r="U7673" s="308" t="s">
        <v>27</v>
      </c>
      <c r="V7673" s="308"/>
    </row>
    <row r="7674">
      <c r="A7674" s="308"/>
      <c r="B7674" s="308"/>
      <c r="C7674" s="308" t="s">
        <v>30326</v>
      </c>
      <c r="D7674" s="308">
        <f>IFERROR(__xludf.DUMMYFUNCTION("SPLIT(C7674,""-"")"),7694.0)</f>
        <v>7694</v>
      </c>
      <c r="E7674" s="308" t="str">
        <f>IFERROR(__xludf.DUMMYFUNCTION("""COMPUTED_VALUE"""),"B")</f>
        <v>B</v>
      </c>
      <c r="F7674" s="315" t="s">
        <v>26</v>
      </c>
      <c r="G7674" s="308"/>
      <c r="H7674" s="308" t="s">
        <v>30327</v>
      </c>
      <c r="I7674" s="314">
        <v>42694.0</v>
      </c>
      <c r="J7674" s="319">
        <f>IFERROR(__xludf.DUMMYFUNCTION("SPLIT(I7674,""/"")"),20.0)</f>
        <v>20</v>
      </c>
      <c r="K7674" s="308">
        <f>IFERROR(__xludf.DUMMYFUNCTION("""COMPUTED_VALUE"""),11.0)</f>
        <v>11</v>
      </c>
      <c r="L7674" s="308">
        <f>IFERROR(__xludf.DUMMYFUNCTION("""COMPUTED_VALUE"""),2016.0)</f>
        <v>2016</v>
      </c>
      <c r="M7674" s="308" t="s">
        <v>30328</v>
      </c>
      <c r="N7674" s="308"/>
      <c r="O7674" s="308"/>
      <c r="P7674" s="308" t="s">
        <v>39803</v>
      </c>
      <c r="Q7674" s="308" t="s">
        <v>39573</v>
      </c>
      <c r="R7674" s="308"/>
      <c r="S7674" s="308" t="s">
        <v>81</v>
      </c>
      <c r="T7674" s="308" t="s">
        <v>75</v>
      </c>
      <c r="U7674" s="308" t="s">
        <v>27</v>
      </c>
      <c r="V7674" s="308"/>
    </row>
    <row r="7675">
      <c r="A7675" s="308"/>
      <c r="B7675" s="308"/>
      <c r="C7675" s="308" t="s">
        <v>30330</v>
      </c>
      <c r="D7675" s="308">
        <f>IFERROR(__xludf.DUMMYFUNCTION("SPLIT(C7675,""-"")"),7695.0)</f>
        <v>7695</v>
      </c>
      <c r="E7675" s="308" t="str">
        <f>IFERROR(__xludf.DUMMYFUNCTION("""COMPUTED_VALUE"""),"B")</f>
        <v>B</v>
      </c>
      <c r="F7675" s="315" t="s">
        <v>26</v>
      </c>
      <c r="G7675" s="308"/>
      <c r="H7675" s="308" t="s">
        <v>30331</v>
      </c>
      <c r="I7675" s="314">
        <v>42694.0</v>
      </c>
      <c r="J7675" s="319">
        <f>IFERROR(__xludf.DUMMYFUNCTION("SPLIT(I7675,""/"")"),20.0)</f>
        <v>20</v>
      </c>
      <c r="K7675" s="308">
        <f>IFERROR(__xludf.DUMMYFUNCTION("""COMPUTED_VALUE"""),11.0)</f>
        <v>11</v>
      </c>
      <c r="L7675" s="308">
        <f>IFERROR(__xludf.DUMMYFUNCTION("""COMPUTED_VALUE"""),2016.0)</f>
        <v>2016</v>
      </c>
      <c r="M7675" s="308" t="s">
        <v>30328</v>
      </c>
      <c r="N7675" s="308"/>
      <c r="O7675" s="308"/>
      <c r="P7675" s="308" t="s">
        <v>39804</v>
      </c>
      <c r="Q7675" s="308" t="s">
        <v>39573</v>
      </c>
      <c r="R7675" s="308"/>
      <c r="S7675" s="308" t="s">
        <v>81</v>
      </c>
      <c r="T7675" s="308" t="s">
        <v>75</v>
      </c>
      <c r="U7675" s="308" t="s">
        <v>27</v>
      </c>
      <c r="V7675" s="308"/>
    </row>
    <row r="7676">
      <c r="A7676" s="308"/>
      <c r="B7676" s="308"/>
      <c r="C7676" s="308" t="s">
        <v>30333</v>
      </c>
      <c r="D7676" s="308">
        <f>IFERROR(__xludf.DUMMYFUNCTION("SPLIT(C7676,""-"")"),7696.0)</f>
        <v>7696</v>
      </c>
      <c r="E7676" s="308" t="str">
        <f>IFERROR(__xludf.DUMMYFUNCTION("""COMPUTED_VALUE"""),"B")</f>
        <v>B</v>
      </c>
      <c r="F7676" s="315" t="s">
        <v>26</v>
      </c>
      <c r="G7676" s="308"/>
      <c r="H7676" s="308" t="s">
        <v>39805</v>
      </c>
      <c r="I7676" s="314">
        <v>42694.0</v>
      </c>
      <c r="J7676" s="319">
        <f>IFERROR(__xludf.DUMMYFUNCTION("SPLIT(I7676,""/"")"),20.0)</f>
        <v>20</v>
      </c>
      <c r="K7676" s="308">
        <f>IFERROR(__xludf.DUMMYFUNCTION("""COMPUTED_VALUE"""),11.0)</f>
        <v>11</v>
      </c>
      <c r="L7676" s="308">
        <f>IFERROR(__xludf.DUMMYFUNCTION("""COMPUTED_VALUE"""),2016.0)</f>
        <v>2016</v>
      </c>
      <c r="M7676" s="308" t="s">
        <v>30328</v>
      </c>
      <c r="N7676" s="308"/>
      <c r="O7676" s="308"/>
      <c r="P7676" s="308" t="s">
        <v>39806</v>
      </c>
      <c r="Q7676" s="308" t="s">
        <v>39573</v>
      </c>
      <c r="R7676" s="308"/>
      <c r="S7676" s="308" t="s">
        <v>81</v>
      </c>
      <c r="T7676" s="308" t="s">
        <v>75</v>
      </c>
      <c r="U7676" s="308" t="s">
        <v>27</v>
      </c>
      <c r="V7676" s="308"/>
    </row>
    <row r="7677">
      <c r="A7677" s="308"/>
      <c r="B7677" s="308"/>
      <c r="C7677" s="308" t="s">
        <v>30336</v>
      </c>
      <c r="D7677" s="308">
        <f>IFERROR(__xludf.DUMMYFUNCTION("SPLIT(C7677,""-"")"),7697.0)</f>
        <v>7697</v>
      </c>
      <c r="E7677" s="308" t="str">
        <f>IFERROR(__xludf.DUMMYFUNCTION("""COMPUTED_VALUE"""),"B")</f>
        <v>B</v>
      </c>
      <c r="F7677" s="315" t="s">
        <v>26</v>
      </c>
      <c r="G7677" s="308"/>
      <c r="H7677" s="308" t="s">
        <v>30337</v>
      </c>
      <c r="I7677" s="314">
        <v>42694.0</v>
      </c>
      <c r="J7677" s="319">
        <f>IFERROR(__xludf.DUMMYFUNCTION("SPLIT(I7677,""/"")"),20.0)</f>
        <v>20</v>
      </c>
      <c r="K7677" s="308">
        <f>IFERROR(__xludf.DUMMYFUNCTION("""COMPUTED_VALUE"""),11.0)</f>
        <v>11</v>
      </c>
      <c r="L7677" s="308">
        <f>IFERROR(__xludf.DUMMYFUNCTION("""COMPUTED_VALUE"""),2016.0)</f>
        <v>2016</v>
      </c>
      <c r="M7677" s="308" t="s">
        <v>30338</v>
      </c>
      <c r="N7677" s="308"/>
      <c r="O7677" s="308"/>
      <c r="P7677" s="308" t="s">
        <v>39807</v>
      </c>
      <c r="Q7677" s="308" t="s">
        <v>39573</v>
      </c>
      <c r="R7677" s="308"/>
      <c r="S7677" s="308" t="s">
        <v>81</v>
      </c>
      <c r="T7677" s="308" t="s">
        <v>75</v>
      </c>
      <c r="U7677" s="308" t="s">
        <v>27</v>
      </c>
      <c r="V7677" s="308"/>
    </row>
    <row r="7678">
      <c r="A7678" s="308"/>
      <c r="B7678" s="308"/>
      <c r="C7678" s="308" t="s">
        <v>30340</v>
      </c>
      <c r="D7678" s="308">
        <f>IFERROR(__xludf.DUMMYFUNCTION("SPLIT(C7678,""-"")"),7698.0)</f>
        <v>7698</v>
      </c>
      <c r="E7678" s="308" t="str">
        <f>IFERROR(__xludf.DUMMYFUNCTION("""COMPUTED_VALUE"""),"B")</f>
        <v>B</v>
      </c>
      <c r="F7678" s="315" t="s">
        <v>26</v>
      </c>
      <c r="G7678" s="308"/>
      <c r="H7678" s="308" t="s">
        <v>30341</v>
      </c>
      <c r="I7678" s="314">
        <v>42694.0</v>
      </c>
      <c r="J7678" s="319">
        <f>IFERROR(__xludf.DUMMYFUNCTION("SPLIT(I7678,""/"")"),20.0)</f>
        <v>20</v>
      </c>
      <c r="K7678" s="308">
        <f>IFERROR(__xludf.DUMMYFUNCTION("""COMPUTED_VALUE"""),11.0)</f>
        <v>11</v>
      </c>
      <c r="L7678" s="308">
        <f>IFERROR(__xludf.DUMMYFUNCTION("""COMPUTED_VALUE"""),2016.0)</f>
        <v>2016</v>
      </c>
      <c r="M7678" s="308" t="s">
        <v>30342</v>
      </c>
      <c r="N7678" s="308"/>
      <c r="O7678" s="308"/>
      <c r="P7678" s="308" t="s">
        <v>136</v>
      </c>
      <c r="Q7678" s="308" t="s">
        <v>39573</v>
      </c>
      <c r="R7678" s="308"/>
      <c r="S7678" s="315" t="s">
        <v>100</v>
      </c>
      <c r="T7678" s="308" t="s">
        <v>34208</v>
      </c>
      <c r="U7678" s="308" t="s">
        <v>27</v>
      </c>
      <c r="V7678" s="308"/>
    </row>
    <row r="7679">
      <c r="A7679" s="308"/>
      <c r="B7679" s="308"/>
      <c r="C7679" s="308" t="s">
        <v>30343</v>
      </c>
      <c r="D7679" s="308">
        <f>IFERROR(__xludf.DUMMYFUNCTION("SPLIT(C7679,""-"")"),7699.0)</f>
        <v>7699</v>
      </c>
      <c r="E7679" s="308" t="str">
        <f>IFERROR(__xludf.DUMMYFUNCTION("""COMPUTED_VALUE"""),"B")</f>
        <v>B</v>
      </c>
      <c r="F7679" s="315" t="s">
        <v>26</v>
      </c>
      <c r="G7679" s="308"/>
      <c r="H7679" s="308" t="s">
        <v>30344</v>
      </c>
      <c r="I7679" s="314">
        <v>42701.0</v>
      </c>
      <c r="J7679" s="319">
        <f>IFERROR(__xludf.DUMMYFUNCTION("SPLIT(I7679,""/"")"),27.0)</f>
        <v>27</v>
      </c>
      <c r="K7679" s="308">
        <f>IFERROR(__xludf.DUMMYFUNCTION("""COMPUTED_VALUE"""),11.0)</f>
        <v>11</v>
      </c>
      <c r="L7679" s="308">
        <f>IFERROR(__xludf.DUMMYFUNCTION("""COMPUTED_VALUE"""),2016.0)</f>
        <v>2016</v>
      </c>
      <c r="M7679" s="308" t="s">
        <v>30345</v>
      </c>
      <c r="N7679" s="308"/>
      <c r="O7679" s="308"/>
      <c r="P7679" s="308" t="s">
        <v>136</v>
      </c>
      <c r="Q7679" s="308" t="s">
        <v>39573</v>
      </c>
      <c r="R7679" s="308"/>
      <c r="S7679" s="315" t="s">
        <v>100</v>
      </c>
      <c r="T7679" s="308" t="s">
        <v>34208</v>
      </c>
      <c r="U7679" s="308" t="s">
        <v>27</v>
      </c>
      <c r="V7679" s="308"/>
    </row>
    <row r="7680">
      <c r="A7680" s="308"/>
      <c r="B7680" s="308"/>
      <c r="C7680" s="308" t="s">
        <v>30346</v>
      </c>
      <c r="D7680" s="308">
        <f>IFERROR(__xludf.DUMMYFUNCTION("SPLIT(C7680,""-"")"),7700.0)</f>
        <v>7700</v>
      </c>
      <c r="E7680" s="308" t="str">
        <f>IFERROR(__xludf.DUMMYFUNCTION("""COMPUTED_VALUE"""),"B")</f>
        <v>B</v>
      </c>
      <c r="F7680" s="315" t="s">
        <v>26</v>
      </c>
      <c r="G7680" s="308"/>
      <c r="H7680" s="308" t="s">
        <v>30347</v>
      </c>
      <c r="I7680" s="314">
        <v>42701.0</v>
      </c>
      <c r="J7680" s="319">
        <f>IFERROR(__xludf.DUMMYFUNCTION("SPLIT(I7680,""/"")"),27.0)</f>
        <v>27</v>
      </c>
      <c r="K7680" s="308">
        <f>IFERROR(__xludf.DUMMYFUNCTION("""COMPUTED_VALUE"""),11.0)</f>
        <v>11</v>
      </c>
      <c r="L7680" s="308">
        <f>IFERROR(__xludf.DUMMYFUNCTION("""COMPUTED_VALUE"""),2016.0)</f>
        <v>2016</v>
      </c>
      <c r="M7680" s="308" t="s">
        <v>30348</v>
      </c>
      <c r="N7680" s="308"/>
      <c r="O7680" s="308"/>
      <c r="P7680" s="308" t="s">
        <v>39808</v>
      </c>
      <c r="Q7680" s="308" t="s">
        <v>39573</v>
      </c>
      <c r="R7680" s="308"/>
      <c r="S7680" s="308" t="s">
        <v>81</v>
      </c>
      <c r="T7680" s="308" t="s">
        <v>75</v>
      </c>
      <c r="U7680" s="308" t="s">
        <v>27</v>
      </c>
      <c r="V7680" s="308"/>
    </row>
    <row r="7681">
      <c r="A7681" s="308"/>
      <c r="B7681" s="308"/>
      <c r="C7681" s="308" t="s">
        <v>30350</v>
      </c>
      <c r="D7681" s="308">
        <f>IFERROR(__xludf.DUMMYFUNCTION("SPLIT(C7681,""-"")"),7701.0)</f>
        <v>7701</v>
      </c>
      <c r="E7681" s="308" t="str">
        <f>IFERROR(__xludf.DUMMYFUNCTION("""COMPUTED_VALUE"""),"B")</f>
        <v>B</v>
      </c>
      <c r="F7681" s="315" t="s">
        <v>26</v>
      </c>
      <c r="G7681" s="308"/>
      <c r="H7681" s="308" t="s">
        <v>30351</v>
      </c>
      <c r="I7681" s="314">
        <v>42702.0</v>
      </c>
      <c r="J7681" s="319">
        <f>IFERROR(__xludf.DUMMYFUNCTION("SPLIT(I7681,""/"")"),28.0)</f>
        <v>28</v>
      </c>
      <c r="K7681" s="308">
        <f>IFERROR(__xludf.DUMMYFUNCTION("""COMPUTED_VALUE"""),11.0)</f>
        <v>11</v>
      </c>
      <c r="L7681" s="308">
        <f>IFERROR(__xludf.DUMMYFUNCTION("""COMPUTED_VALUE"""),2016.0)</f>
        <v>2016</v>
      </c>
      <c r="M7681" s="308" t="s">
        <v>30352</v>
      </c>
      <c r="N7681" s="308"/>
      <c r="O7681" s="308"/>
      <c r="P7681" s="308" t="s">
        <v>39809</v>
      </c>
      <c r="Q7681" s="308" t="s">
        <v>39573</v>
      </c>
      <c r="R7681" s="308"/>
      <c r="S7681" s="308" t="s">
        <v>81</v>
      </c>
      <c r="T7681" s="308" t="s">
        <v>75</v>
      </c>
      <c r="U7681" s="308" t="s">
        <v>27</v>
      </c>
      <c r="V7681" s="308"/>
    </row>
    <row r="7682">
      <c r="A7682" s="308"/>
      <c r="B7682" s="308"/>
      <c r="C7682" s="308" t="s">
        <v>30354</v>
      </c>
      <c r="D7682" s="308">
        <f>IFERROR(__xludf.DUMMYFUNCTION("SPLIT(C7682,""-"")"),7702.0)</f>
        <v>7702</v>
      </c>
      <c r="E7682" s="308" t="str">
        <f>IFERROR(__xludf.DUMMYFUNCTION("""COMPUTED_VALUE"""),"B")</f>
        <v>B</v>
      </c>
      <c r="F7682" s="315" t="s">
        <v>26</v>
      </c>
      <c r="G7682" s="308"/>
      <c r="H7682" s="308" t="s">
        <v>30355</v>
      </c>
      <c r="I7682" s="314">
        <v>42703.0</v>
      </c>
      <c r="J7682" s="319">
        <f>IFERROR(__xludf.DUMMYFUNCTION("SPLIT(I7682,""/"")"),29.0)</f>
        <v>29</v>
      </c>
      <c r="K7682" s="308">
        <f>IFERROR(__xludf.DUMMYFUNCTION("""COMPUTED_VALUE"""),11.0)</f>
        <v>11</v>
      </c>
      <c r="L7682" s="308">
        <f>IFERROR(__xludf.DUMMYFUNCTION("""COMPUTED_VALUE"""),2016.0)</f>
        <v>2016</v>
      </c>
      <c r="M7682" s="308" t="s">
        <v>30356</v>
      </c>
      <c r="N7682" s="308"/>
      <c r="O7682" s="308"/>
      <c r="P7682" s="308" t="s">
        <v>136</v>
      </c>
      <c r="Q7682" s="308" t="s">
        <v>39573</v>
      </c>
      <c r="R7682" s="308"/>
      <c r="S7682" s="315" t="s">
        <v>100</v>
      </c>
      <c r="T7682" s="308" t="s">
        <v>34208</v>
      </c>
      <c r="U7682" s="308" t="s">
        <v>27</v>
      </c>
      <c r="V7682" s="308"/>
    </row>
    <row r="7683">
      <c r="A7683" s="308"/>
      <c r="B7683" s="308"/>
      <c r="C7683" s="308" t="s">
        <v>30357</v>
      </c>
      <c r="D7683" s="308">
        <f>IFERROR(__xludf.DUMMYFUNCTION("SPLIT(C7683,""-"")"),7703.0)</f>
        <v>7703</v>
      </c>
      <c r="E7683" s="308" t="str">
        <f>IFERROR(__xludf.DUMMYFUNCTION("""COMPUTED_VALUE"""),"B")</f>
        <v>B</v>
      </c>
      <c r="F7683" s="315" t="s">
        <v>26</v>
      </c>
      <c r="G7683" s="308"/>
      <c r="H7683" s="308" t="s">
        <v>30358</v>
      </c>
      <c r="I7683" s="310">
        <v>42705.0</v>
      </c>
      <c r="J7683" s="319">
        <f>IFERROR(__xludf.DUMMYFUNCTION("SPLIT(I7683,""/"")"),1.0)</f>
        <v>1</v>
      </c>
      <c r="K7683" s="308">
        <f>IFERROR(__xludf.DUMMYFUNCTION("""COMPUTED_VALUE"""),12.0)</f>
        <v>12</v>
      </c>
      <c r="L7683" s="308">
        <f>IFERROR(__xludf.DUMMYFUNCTION("""COMPUTED_VALUE"""),2016.0)</f>
        <v>2016</v>
      </c>
      <c r="M7683" s="308" t="s">
        <v>30359</v>
      </c>
      <c r="N7683" s="308"/>
      <c r="O7683" s="308"/>
      <c r="P7683" s="308" t="s">
        <v>39810</v>
      </c>
      <c r="Q7683" s="308" t="s">
        <v>39573</v>
      </c>
      <c r="R7683" s="308"/>
      <c r="S7683" s="308" t="s">
        <v>81</v>
      </c>
      <c r="T7683" s="308" t="s">
        <v>75</v>
      </c>
      <c r="U7683" s="308" t="s">
        <v>27</v>
      </c>
      <c r="V7683" s="308"/>
    </row>
    <row r="7684">
      <c r="A7684" s="308"/>
      <c r="B7684" s="308"/>
      <c r="C7684" s="308" t="s">
        <v>30361</v>
      </c>
      <c r="D7684" s="308">
        <f>IFERROR(__xludf.DUMMYFUNCTION("SPLIT(C7684,""-"")"),7704.0)</f>
        <v>7704</v>
      </c>
      <c r="E7684" s="308" t="str">
        <f>IFERROR(__xludf.DUMMYFUNCTION("""COMPUTED_VALUE"""),"B")</f>
        <v>B</v>
      </c>
      <c r="F7684" s="315" t="s">
        <v>26</v>
      </c>
      <c r="G7684" s="308"/>
      <c r="H7684" s="308" t="s">
        <v>30362</v>
      </c>
      <c r="I7684" s="310">
        <v>42707.0</v>
      </c>
      <c r="J7684" s="319">
        <f>IFERROR(__xludf.DUMMYFUNCTION("SPLIT(I7684,""/"")"),3.0)</f>
        <v>3</v>
      </c>
      <c r="K7684" s="308">
        <f>IFERROR(__xludf.DUMMYFUNCTION("""COMPUTED_VALUE"""),12.0)</f>
        <v>12</v>
      </c>
      <c r="L7684" s="308">
        <f>IFERROR(__xludf.DUMMYFUNCTION("""COMPUTED_VALUE"""),2016.0)</f>
        <v>2016</v>
      </c>
      <c r="M7684" s="308" t="s">
        <v>30363</v>
      </c>
      <c r="N7684" s="308"/>
      <c r="O7684" s="308"/>
      <c r="P7684" s="308" t="s">
        <v>136</v>
      </c>
      <c r="Q7684" s="308" t="s">
        <v>39573</v>
      </c>
      <c r="R7684" s="308"/>
      <c r="S7684" s="315" t="s">
        <v>100</v>
      </c>
      <c r="T7684" s="308" t="s">
        <v>34208</v>
      </c>
      <c r="U7684" s="308" t="s">
        <v>27</v>
      </c>
      <c r="V7684" s="308"/>
    </row>
    <row r="7685">
      <c r="A7685" s="308"/>
      <c r="B7685" s="308"/>
      <c r="C7685" s="308" t="s">
        <v>30364</v>
      </c>
      <c r="D7685" s="308">
        <f>IFERROR(__xludf.DUMMYFUNCTION("SPLIT(C7685,""-"")"),7705.0)</f>
        <v>7705</v>
      </c>
      <c r="E7685" s="308" t="str">
        <f>IFERROR(__xludf.DUMMYFUNCTION("""COMPUTED_VALUE"""),"B")</f>
        <v>B</v>
      </c>
      <c r="F7685" s="315" t="s">
        <v>26</v>
      </c>
      <c r="G7685" s="308"/>
      <c r="H7685" s="308" t="s">
        <v>30365</v>
      </c>
      <c r="I7685" s="310">
        <v>42707.0</v>
      </c>
      <c r="J7685" s="319">
        <f>IFERROR(__xludf.DUMMYFUNCTION("SPLIT(I7685,""/"")"),3.0)</f>
        <v>3</v>
      </c>
      <c r="K7685" s="308">
        <f>IFERROR(__xludf.DUMMYFUNCTION("""COMPUTED_VALUE"""),12.0)</f>
        <v>12</v>
      </c>
      <c r="L7685" s="308">
        <f>IFERROR(__xludf.DUMMYFUNCTION("""COMPUTED_VALUE"""),2016.0)</f>
        <v>2016</v>
      </c>
      <c r="M7685" s="308" t="s">
        <v>30363</v>
      </c>
      <c r="N7685" s="308"/>
      <c r="O7685" s="308"/>
      <c r="P7685" s="308" t="s">
        <v>136</v>
      </c>
      <c r="Q7685" s="308" t="s">
        <v>39573</v>
      </c>
      <c r="R7685" s="308"/>
      <c r="S7685" s="315" t="s">
        <v>100</v>
      </c>
      <c r="T7685" s="308" t="s">
        <v>34208</v>
      </c>
      <c r="U7685" s="308" t="s">
        <v>27</v>
      </c>
      <c r="V7685" s="308"/>
    </row>
    <row r="7686">
      <c r="A7686" s="308"/>
      <c r="B7686" s="308"/>
      <c r="C7686" s="308" t="s">
        <v>30366</v>
      </c>
      <c r="D7686" s="308">
        <f>IFERROR(__xludf.DUMMYFUNCTION("SPLIT(C7686,""-"")"),7706.0)</f>
        <v>7706</v>
      </c>
      <c r="E7686" s="308" t="str">
        <f>IFERROR(__xludf.DUMMYFUNCTION("""COMPUTED_VALUE"""),"B")</f>
        <v>B</v>
      </c>
      <c r="F7686" s="315" t="s">
        <v>26</v>
      </c>
      <c r="G7686" s="308"/>
      <c r="H7686" s="308" t="s">
        <v>30367</v>
      </c>
      <c r="I7686" s="310">
        <v>42709.0</v>
      </c>
      <c r="J7686" s="319">
        <f>IFERROR(__xludf.DUMMYFUNCTION("SPLIT(I7686,""/"")"),5.0)</f>
        <v>5</v>
      </c>
      <c r="K7686" s="308">
        <f>IFERROR(__xludf.DUMMYFUNCTION("""COMPUTED_VALUE"""),12.0)</f>
        <v>12</v>
      </c>
      <c r="L7686" s="308">
        <f>IFERROR(__xludf.DUMMYFUNCTION("""COMPUTED_VALUE"""),2016.0)</f>
        <v>2016</v>
      </c>
      <c r="M7686" s="308" t="s">
        <v>30368</v>
      </c>
      <c r="N7686" s="308"/>
      <c r="O7686" s="308"/>
      <c r="P7686" s="308" t="s">
        <v>39811</v>
      </c>
      <c r="Q7686" s="308" t="s">
        <v>39573</v>
      </c>
      <c r="R7686" s="308"/>
      <c r="S7686" s="308" t="s">
        <v>81</v>
      </c>
      <c r="T7686" s="308" t="s">
        <v>75</v>
      </c>
      <c r="U7686" s="308" t="s">
        <v>27</v>
      </c>
      <c r="V7686" s="308"/>
    </row>
    <row r="7687">
      <c r="A7687" s="308"/>
      <c r="B7687" s="308"/>
      <c r="C7687" s="308" t="s">
        <v>30370</v>
      </c>
      <c r="D7687" s="308">
        <f>IFERROR(__xludf.DUMMYFUNCTION("SPLIT(C7687,""-"")"),7707.0)</f>
        <v>7707</v>
      </c>
      <c r="E7687" s="308" t="str">
        <f>IFERROR(__xludf.DUMMYFUNCTION("""COMPUTED_VALUE"""),"B")</f>
        <v>B</v>
      </c>
      <c r="F7687" s="315" t="s">
        <v>26</v>
      </c>
      <c r="G7687" s="308"/>
      <c r="H7687" s="308" t="s">
        <v>30371</v>
      </c>
      <c r="I7687" s="310">
        <v>42709.0</v>
      </c>
      <c r="J7687" s="319">
        <f>IFERROR(__xludf.DUMMYFUNCTION("SPLIT(I7687,""/"")"),5.0)</f>
        <v>5</v>
      </c>
      <c r="K7687" s="308">
        <f>IFERROR(__xludf.DUMMYFUNCTION("""COMPUTED_VALUE"""),12.0)</f>
        <v>12</v>
      </c>
      <c r="L7687" s="308">
        <f>IFERROR(__xludf.DUMMYFUNCTION("""COMPUTED_VALUE"""),2016.0)</f>
        <v>2016</v>
      </c>
      <c r="M7687" s="308" t="s">
        <v>30368</v>
      </c>
      <c r="N7687" s="308"/>
      <c r="O7687" s="308"/>
      <c r="P7687" s="308" t="s">
        <v>39812</v>
      </c>
      <c r="Q7687" s="308" t="s">
        <v>39573</v>
      </c>
      <c r="R7687" s="308"/>
      <c r="S7687" s="308" t="s">
        <v>81</v>
      </c>
      <c r="T7687" s="308" t="s">
        <v>75</v>
      </c>
      <c r="U7687" s="308" t="s">
        <v>27</v>
      </c>
      <c r="V7687" s="308"/>
    </row>
    <row r="7688">
      <c r="A7688" s="308"/>
      <c r="B7688" s="308"/>
      <c r="C7688" s="308" t="s">
        <v>30373</v>
      </c>
      <c r="D7688" s="308">
        <f>IFERROR(__xludf.DUMMYFUNCTION("SPLIT(C7688,""-"")"),7708.0)</f>
        <v>7708</v>
      </c>
      <c r="E7688" s="308" t="str">
        <f>IFERROR(__xludf.DUMMYFUNCTION("""COMPUTED_VALUE"""),"B")</f>
        <v>B</v>
      </c>
      <c r="F7688" s="315" t="s">
        <v>26</v>
      </c>
      <c r="G7688" s="308"/>
      <c r="H7688" s="308" t="s">
        <v>30374</v>
      </c>
      <c r="I7688" s="310">
        <v>42709.0</v>
      </c>
      <c r="J7688" s="319">
        <f>IFERROR(__xludf.DUMMYFUNCTION("SPLIT(I7688,""/"")"),5.0)</f>
        <v>5</v>
      </c>
      <c r="K7688" s="308">
        <f>IFERROR(__xludf.DUMMYFUNCTION("""COMPUTED_VALUE"""),12.0)</f>
        <v>12</v>
      </c>
      <c r="L7688" s="308">
        <f>IFERROR(__xludf.DUMMYFUNCTION("""COMPUTED_VALUE"""),2016.0)</f>
        <v>2016</v>
      </c>
      <c r="M7688" s="308" t="s">
        <v>30368</v>
      </c>
      <c r="N7688" s="308"/>
      <c r="O7688" s="308"/>
      <c r="P7688" s="308" t="s">
        <v>39813</v>
      </c>
      <c r="Q7688" s="308" t="s">
        <v>39573</v>
      </c>
      <c r="R7688" s="308"/>
      <c r="S7688" s="308" t="s">
        <v>81</v>
      </c>
      <c r="T7688" s="308" t="s">
        <v>75</v>
      </c>
      <c r="U7688" s="308" t="s">
        <v>27</v>
      </c>
      <c r="V7688" s="308"/>
    </row>
    <row r="7689">
      <c r="A7689" s="308"/>
      <c r="B7689" s="308"/>
      <c r="C7689" s="308" t="s">
        <v>30376</v>
      </c>
      <c r="D7689" s="308">
        <f>IFERROR(__xludf.DUMMYFUNCTION("SPLIT(C7689,""-"")"),7709.0)</f>
        <v>7709</v>
      </c>
      <c r="E7689" s="308" t="str">
        <f>IFERROR(__xludf.DUMMYFUNCTION("""COMPUTED_VALUE"""),"B")</f>
        <v>B</v>
      </c>
      <c r="F7689" s="315" t="s">
        <v>26</v>
      </c>
      <c r="G7689" s="308"/>
      <c r="H7689" s="308" t="s">
        <v>30377</v>
      </c>
      <c r="I7689" s="310">
        <v>42709.0</v>
      </c>
      <c r="J7689" s="319">
        <f>IFERROR(__xludf.DUMMYFUNCTION("SPLIT(I7689,""/"")"),5.0)</f>
        <v>5</v>
      </c>
      <c r="K7689" s="308">
        <f>IFERROR(__xludf.DUMMYFUNCTION("""COMPUTED_VALUE"""),12.0)</f>
        <v>12</v>
      </c>
      <c r="L7689" s="308">
        <f>IFERROR(__xludf.DUMMYFUNCTION("""COMPUTED_VALUE"""),2016.0)</f>
        <v>2016</v>
      </c>
      <c r="M7689" s="308" t="s">
        <v>30368</v>
      </c>
      <c r="N7689" s="308"/>
      <c r="O7689" s="308"/>
      <c r="P7689" s="308" t="s">
        <v>39814</v>
      </c>
      <c r="Q7689" s="308" t="s">
        <v>39573</v>
      </c>
      <c r="R7689" s="308"/>
      <c r="S7689" s="308" t="s">
        <v>81</v>
      </c>
      <c r="T7689" s="308" t="s">
        <v>75</v>
      </c>
      <c r="U7689" s="308" t="s">
        <v>27</v>
      </c>
      <c r="V7689" s="308"/>
    </row>
    <row r="7690">
      <c r="A7690" s="308"/>
      <c r="B7690" s="308"/>
      <c r="C7690" s="308" t="s">
        <v>30379</v>
      </c>
      <c r="D7690" s="308">
        <f>IFERROR(__xludf.DUMMYFUNCTION("SPLIT(C7690,""-"")"),7710.0)</f>
        <v>7710</v>
      </c>
      <c r="E7690" s="308" t="str">
        <f>IFERROR(__xludf.DUMMYFUNCTION("""COMPUTED_VALUE"""),"B")</f>
        <v>B</v>
      </c>
      <c r="F7690" s="315" t="s">
        <v>26</v>
      </c>
      <c r="G7690" s="308"/>
      <c r="H7690" s="308" t="s">
        <v>30380</v>
      </c>
      <c r="I7690" s="310">
        <v>42712.0</v>
      </c>
      <c r="J7690" s="319">
        <f>IFERROR(__xludf.DUMMYFUNCTION("SPLIT(I7690,""/"")"),8.0)</f>
        <v>8</v>
      </c>
      <c r="K7690" s="308">
        <f>IFERROR(__xludf.DUMMYFUNCTION("""COMPUTED_VALUE"""),12.0)</f>
        <v>12</v>
      </c>
      <c r="L7690" s="308">
        <f>IFERROR(__xludf.DUMMYFUNCTION("""COMPUTED_VALUE"""),2016.0)</f>
        <v>2016</v>
      </c>
      <c r="M7690" s="308" t="s">
        <v>30381</v>
      </c>
      <c r="N7690" s="308"/>
      <c r="O7690" s="308"/>
      <c r="P7690" s="308" t="s">
        <v>39815</v>
      </c>
      <c r="Q7690" s="308" t="s">
        <v>39573</v>
      </c>
      <c r="R7690" s="308"/>
      <c r="S7690" s="308" t="s">
        <v>81</v>
      </c>
      <c r="T7690" s="308" t="s">
        <v>75</v>
      </c>
      <c r="U7690" s="308" t="s">
        <v>27</v>
      </c>
      <c r="V7690" s="308"/>
    </row>
    <row r="7691">
      <c r="A7691" s="308"/>
      <c r="B7691" s="308"/>
      <c r="C7691" s="308" t="s">
        <v>30383</v>
      </c>
      <c r="D7691" s="308">
        <f>IFERROR(__xludf.DUMMYFUNCTION("SPLIT(C7691,""-"")"),7711.0)</f>
        <v>7711</v>
      </c>
      <c r="E7691" s="308" t="str">
        <f>IFERROR(__xludf.DUMMYFUNCTION("""COMPUTED_VALUE"""),"B")</f>
        <v>B</v>
      </c>
      <c r="F7691" s="315" t="s">
        <v>26</v>
      </c>
      <c r="G7691" s="308"/>
      <c r="H7691" s="308" t="s">
        <v>30384</v>
      </c>
      <c r="I7691" s="310">
        <v>42712.0</v>
      </c>
      <c r="J7691" s="319">
        <f>IFERROR(__xludf.DUMMYFUNCTION("SPLIT(I7691,""/"")"),8.0)</f>
        <v>8</v>
      </c>
      <c r="K7691" s="308">
        <f>IFERROR(__xludf.DUMMYFUNCTION("""COMPUTED_VALUE"""),12.0)</f>
        <v>12</v>
      </c>
      <c r="L7691" s="308">
        <f>IFERROR(__xludf.DUMMYFUNCTION("""COMPUTED_VALUE"""),2016.0)</f>
        <v>2016</v>
      </c>
      <c r="M7691" s="308" t="s">
        <v>30381</v>
      </c>
      <c r="N7691" s="308"/>
      <c r="O7691" s="308"/>
      <c r="P7691" s="308" t="s">
        <v>39816</v>
      </c>
      <c r="Q7691" s="308" t="s">
        <v>39573</v>
      </c>
      <c r="R7691" s="308"/>
      <c r="S7691" s="308" t="s">
        <v>81</v>
      </c>
      <c r="T7691" s="308" t="s">
        <v>75</v>
      </c>
      <c r="U7691" s="308" t="s">
        <v>27</v>
      </c>
      <c r="V7691" s="308"/>
    </row>
    <row r="7692">
      <c r="A7692" s="308"/>
      <c r="B7692" s="308"/>
      <c r="C7692" s="308" t="s">
        <v>30386</v>
      </c>
      <c r="D7692" s="308">
        <f>IFERROR(__xludf.DUMMYFUNCTION("SPLIT(C7692,""-"")"),7712.0)</f>
        <v>7712</v>
      </c>
      <c r="E7692" s="308" t="str">
        <f>IFERROR(__xludf.DUMMYFUNCTION("""COMPUTED_VALUE"""),"B")</f>
        <v>B</v>
      </c>
      <c r="F7692" s="315" t="s">
        <v>26</v>
      </c>
      <c r="G7692" s="308"/>
      <c r="H7692" s="308" t="s">
        <v>30387</v>
      </c>
      <c r="I7692" s="310">
        <v>42712.0</v>
      </c>
      <c r="J7692" s="319">
        <f>IFERROR(__xludf.DUMMYFUNCTION("SPLIT(I7692,""/"")"),8.0)</f>
        <v>8</v>
      </c>
      <c r="K7692" s="308">
        <f>IFERROR(__xludf.DUMMYFUNCTION("""COMPUTED_VALUE"""),12.0)</f>
        <v>12</v>
      </c>
      <c r="L7692" s="308">
        <f>IFERROR(__xludf.DUMMYFUNCTION("""COMPUTED_VALUE"""),2016.0)</f>
        <v>2016</v>
      </c>
      <c r="M7692" s="308" t="s">
        <v>30381</v>
      </c>
      <c r="N7692" s="308"/>
      <c r="O7692" s="308"/>
      <c r="P7692" s="308" t="s">
        <v>39817</v>
      </c>
      <c r="Q7692" s="308" t="s">
        <v>39573</v>
      </c>
      <c r="R7692" s="308"/>
      <c r="S7692" s="308" t="s">
        <v>81</v>
      </c>
      <c r="T7692" s="308" t="s">
        <v>75</v>
      </c>
      <c r="U7692" s="308" t="s">
        <v>27</v>
      </c>
      <c r="V7692" s="308"/>
    </row>
    <row r="7693">
      <c r="A7693" s="308"/>
      <c r="B7693" s="308"/>
      <c r="C7693" s="308" t="s">
        <v>30389</v>
      </c>
      <c r="D7693" s="308">
        <f>IFERROR(__xludf.DUMMYFUNCTION("SPLIT(C7693,""-"")"),7713.0)</f>
        <v>7713</v>
      </c>
      <c r="E7693" s="308" t="str">
        <f>IFERROR(__xludf.DUMMYFUNCTION("""COMPUTED_VALUE"""),"B")</f>
        <v>B</v>
      </c>
      <c r="F7693" s="315" t="s">
        <v>26</v>
      </c>
      <c r="G7693" s="308"/>
      <c r="H7693" s="308" t="s">
        <v>30390</v>
      </c>
      <c r="I7693" s="310">
        <v>42712.0</v>
      </c>
      <c r="J7693" s="319">
        <f>IFERROR(__xludf.DUMMYFUNCTION("SPLIT(I7693,""/"")"),8.0)</f>
        <v>8</v>
      </c>
      <c r="K7693" s="308">
        <f>IFERROR(__xludf.DUMMYFUNCTION("""COMPUTED_VALUE"""),12.0)</f>
        <v>12</v>
      </c>
      <c r="L7693" s="308">
        <f>IFERROR(__xludf.DUMMYFUNCTION("""COMPUTED_VALUE"""),2016.0)</f>
        <v>2016</v>
      </c>
      <c r="M7693" s="308" t="s">
        <v>30381</v>
      </c>
      <c r="N7693" s="308"/>
      <c r="O7693" s="308"/>
      <c r="P7693" s="308" t="s">
        <v>39818</v>
      </c>
      <c r="Q7693" s="308" t="s">
        <v>39573</v>
      </c>
      <c r="R7693" s="308"/>
      <c r="S7693" s="308" t="s">
        <v>81</v>
      </c>
      <c r="T7693" s="308" t="s">
        <v>75</v>
      </c>
      <c r="U7693" s="308" t="s">
        <v>27</v>
      </c>
      <c r="V7693" s="308"/>
    </row>
    <row r="7694">
      <c r="A7694" s="308"/>
      <c r="B7694" s="308"/>
      <c r="C7694" s="308" t="s">
        <v>30392</v>
      </c>
      <c r="D7694" s="308">
        <f>IFERROR(__xludf.DUMMYFUNCTION("SPLIT(C7694,""-"")"),7714.0)</f>
        <v>7714</v>
      </c>
      <c r="E7694" s="308" t="str">
        <f>IFERROR(__xludf.DUMMYFUNCTION("""COMPUTED_VALUE"""),"B")</f>
        <v>B</v>
      </c>
      <c r="F7694" s="315" t="s">
        <v>26</v>
      </c>
      <c r="G7694" s="308"/>
      <c r="H7694" s="308" t="s">
        <v>30393</v>
      </c>
      <c r="I7694" s="310">
        <v>42712.0</v>
      </c>
      <c r="J7694" s="319">
        <f>IFERROR(__xludf.DUMMYFUNCTION("SPLIT(I7694,""/"")"),8.0)</f>
        <v>8</v>
      </c>
      <c r="K7694" s="308">
        <f>IFERROR(__xludf.DUMMYFUNCTION("""COMPUTED_VALUE"""),12.0)</f>
        <v>12</v>
      </c>
      <c r="L7694" s="308">
        <f>IFERROR(__xludf.DUMMYFUNCTION("""COMPUTED_VALUE"""),2016.0)</f>
        <v>2016</v>
      </c>
      <c r="M7694" s="308" t="s">
        <v>30394</v>
      </c>
      <c r="N7694" s="308"/>
      <c r="O7694" s="308"/>
      <c r="P7694" s="308" t="s">
        <v>39819</v>
      </c>
      <c r="Q7694" s="308" t="s">
        <v>39573</v>
      </c>
      <c r="R7694" s="308"/>
      <c r="S7694" s="308" t="s">
        <v>81</v>
      </c>
      <c r="T7694" s="308" t="s">
        <v>75</v>
      </c>
      <c r="U7694" s="308" t="s">
        <v>27</v>
      </c>
      <c r="V7694" s="308"/>
    </row>
    <row r="7695">
      <c r="A7695" s="308"/>
      <c r="B7695" s="308"/>
      <c r="C7695" s="308" t="s">
        <v>30396</v>
      </c>
      <c r="D7695" s="308">
        <f>IFERROR(__xludf.DUMMYFUNCTION("SPLIT(C7695,""-"")"),7715.0)</f>
        <v>7715</v>
      </c>
      <c r="E7695" s="308" t="str">
        <f>IFERROR(__xludf.DUMMYFUNCTION("""COMPUTED_VALUE"""),"B")</f>
        <v>B</v>
      </c>
      <c r="F7695" s="315" t="s">
        <v>26</v>
      </c>
      <c r="G7695" s="308"/>
      <c r="H7695" s="308" t="s">
        <v>30397</v>
      </c>
      <c r="I7695" s="310">
        <v>42712.0</v>
      </c>
      <c r="J7695" s="319">
        <f>IFERROR(__xludf.DUMMYFUNCTION("SPLIT(I7695,""/"")"),8.0)</f>
        <v>8</v>
      </c>
      <c r="K7695" s="308">
        <f>IFERROR(__xludf.DUMMYFUNCTION("""COMPUTED_VALUE"""),12.0)</f>
        <v>12</v>
      </c>
      <c r="L7695" s="308">
        <f>IFERROR(__xludf.DUMMYFUNCTION("""COMPUTED_VALUE"""),2016.0)</f>
        <v>2016</v>
      </c>
      <c r="M7695" s="308" t="s">
        <v>30394</v>
      </c>
      <c r="N7695" s="308"/>
      <c r="O7695" s="308"/>
      <c r="P7695" s="308" t="s">
        <v>39820</v>
      </c>
      <c r="Q7695" s="308" t="s">
        <v>39573</v>
      </c>
      <c r="R7695" s="308"/>
      <c r="S7695" s="308" t="s">
        <v>81</v>
      </c>
      <c r="T7695" s="308" t="s">
        <v>75</v>
      </c>
      <c r="U7695" s="308" t="s">
        <v>27</v>
      </c>
      <c r="V7695" s="308"/>
    </row>
    <row r="7696">
      <c r="A7696" s="308"/>
      <c r="B7696" s="308"/>
      <c r="C7696" s="308" t="s">
        <v>30399</v>
      </c>
      <c r="D7696" s="308">
        <f>IFERROR(__xludf.DUMMYFUNCTION("SPLIT(C7696,""-"")"),7716.0)</f>
        <v>7716</v>
      </c>
      <c r="E7696" s="308" t="str">
        <f>IFERROR(__xludf.DUMMYFUNCTION("""COMPUTED_VALUE"""),"B")</f>
        <v>B</v>
      </c>
      <c r="F7696" s="315" t="s">
        <v>26</v>
      </c>
      <c r="G7696" s="308"/>
      <c r="H7696" s="308" t="s">
        <v>30400</v>
      </c>
      <c r="I7696" s="310">
        <v>42712.0</v>
      </c>
      <c r="J7696" s="319">
        <f>IFERROR(__xludf.DUMMYFUNCTION("SPLIT(I7696,""/"")"),8.0)</f>
        <v>8</v>
      </c>
      <c r="K7696" s="308">
        <f>IFERROR(__xludf.DUMMYFUNCTION("""COMPUTED_VALUE"""),12.0)</f>
        <v>12</v>
      </c>
      <c r="L7696" s="308">
        <f>IFERROR(__xludf.DUMMYFUNCTION("""COMPUTED_VALUE"""),2016.0)</f>
        <v>2016</v>
      </c>
      <c r="M7696" s="308" t="s">
        <v>30394</v>
      </c>
      <c r="N7696" s="308"/>
      <c r="O7696" s="308"/>
      <c r="P7696" s="308" t="s">
        <v>39821</v>
      </c>
      <c r="Q7696" s="308" t="s">
        <v>39573</v>
      </c>
      <c r="R7696" s="308"/>
      <c r="S7696" s="308" t="s">
        <v>81</v>
      </c>
      <c r="T7696" s="308" t="s">
        <v>75</v>
      </c>
      <c r="U7696" s="308" t="s">
        <v>27</v>
      </c>
      <c r="V7696" s="308"/>
    </row>
    <row r="7697">
      <c r="A7697" s="308"/>
      <c r="B7697" s="308"/>
      <c r="C7697" s="308" t="s">
        <v>30402</v>
      </c>
      <c r="D7697" s="308">
        <f>IFERROR(__xludf.DUMMYFUNCTION("SPLIT(C7697,""-"")"),7717.0)</f>
        <v>7717</v>
      </c>
      <c r="E7697" s="308" t="str">
        <f>IFERROR(__xludf.DUMMYFUNCTION("""COMPUTED_VALUE"""),"B")</f>
        <v>B</v>
      </c>
      <c r="F7697" s="315" t="s">
        <v>26</v>
      </c>
      <c r="G7697" s="308"/>
      <c r="H7697" s="308" t="s">
        <v>30403</v>
      </c>
      <c r="I7697" s="310">
        <v>42712.0</v>
      </c>
      <c r="J7697" s="319">
        <f>IFERROR(__xludf.DUMMYFUNCTION("SPLIT(I7697,""/"")"),8.0)</f>
        <v>8</v>
      </c>
      <c r="K7697" s="308">
        <f>IFERROR(__xludf.DUMMYFUNCTION("""COMPUTED_VALUE"""),12.0)</f>
        <v>12</v>
      </c>
      <c r="L7697" s="308">
        <f>IFERROR(__xludf.DUMMYFUNCTION("""COMPUTED_VALUE"""),2016.0)</f>
        <v>2016</v>
      </c>
      <c r="M7697" s="308" t="s">
        <v>30394</v>
      </c>
      <c r="N7697" s="308"/>
      <c r="O7697" s="308"/>
      <c r="P7697" s="308" t="s">
        <v>39822</v>
      </c>
      <c r="Q7697" s="308" t="s">
        <v>39573</v>
      </c>
      <c r="R7697" s="308"/>
      <c r="S7697" s="308" t="s">
        <v>81</v>
      </c>
      <c r="T7697" s="308" t="s">
        <v>75</v>
      </c>
      <c r="U7697" s="308" t="s">
        <v>27</v>
      </c>
      <c r="V7697" s="308"/>
    </row>
    <row r="7698">
      <c r="A7698" s="308"/>
      <c r="B7698" s="308"/>
      <c r="C7698" s="308" t="s">
        <v>30405</v>
      </c>
      <c r="D7698" s="308">
        <f>IFERROR(__xludf.DUMMYFUNCTION("SPLIT(C7698,""-"")"),7718.0)</f>
        <v>7718</v>
      </c>
      <c r="E7698" s="308" t="str">
        <f>IFERROR(__xludf.DUMMYFUNCTION("""COMPUTED_VALUE"""),"B")</f>
        <v>B</v>
      </c>
      <c r="F7698" s="315" t="s">
        <v>26</v>
      </c>
      <c r="G7698" s="308"/>
      <c r="H7698" s="308" t="s">
        <v>30406</v>
      </c>
      <c r="I7698" s="310">
        <v>42712.0</v>
      </c>
      <c r="J7698" s="319">
        <f>IFERROR(__xludf.DUMMYFUNCTION("SPLIT(I7698,""/"")"),8.0)</f>
        <v>8</v>
      </c>
      <c r="K7698" s="308">
        <f>IFERROR(__xludf.DUMMYFUNCTION("""COMPUTED_VALUE"""),12.0)</f>
        <v>12</v>
      </c>
      <c r="L7698" s="308">
        <f>IFERROR(__xludf.DUMMYFUNCTION("""COMPUTED_VALUE"""),2016.0)</f>
        <v>2016</v>
      </c>
      <c r="M7698" s="308" t="s">
        <v>30381</v>
      </c>
      <c r="N7698" s="308"/>
      <c r="O7698" s="308"/>
      <c r="P7698" s="308" t="s">
        <v>39823</v>
      </c>
      <c r="Q7698" s="308" t="s">
        <v>39573</v>
      </c>
      <c r="R7698" s="308"/>
      <c r="S7698" s="308" t="s">
        <v>81</v>
      </c>
      <c r="T7698" s="308" t="s">
        <v>75</v>
      </c>
      <c r="U7698" s="308" t="s">
        <v>27</v>
      </c>
      <c r="V7698" s="308"/>
    </row>
    <row r="7699">
      <c r="A7699" s="308"/>
      <c r="B7699" s="308"/>
      <c r="C7699" s="308" t="s">
        <v>30408</v>
      </c>
      <c r="D7699" s="308">
        <f>IFERROR(__xludf.DUMMYFUNCTION("SPLIT(C7699,""-"")"),7719.0)</f>
        <v>7719</v>
      </c>
      <c r="E7699" s="308" t="str">
        <f>IFERROR(__xludf.DUMMYFUNCTION("""COMPUTED_VALUE"""),"B")</f>
        <v>B</v>
      </c>
      <c r="F7699" s="315" t="s">
        <v>26</v>
      </c>
      <c r="G7699" s="308"/>
      <c r="H7699" s="308" t="s">
        <v>30409</v>
      </c>
      <c r="I7699" s="310">
        <v>42712.0</v>
      </c>
      <c r="J7699" s="319">
        <f>IFERROR(__xludf.DUMMYFUNCTION("SPLIT(I7699,""/"")"),8.0)</f>
        <v>8</v>
      </c>
      <c r="K7699" s="308">
        <f>IFERROR(__xludf.DUMMYFUNCTION("""COMPUTED_VALUE"""),12.0)</f>
        <v>12</v>
      </c>
      <c r="L7699" s="308">
        <f>IFERROR(__xludf.DUMMYFUNCTION("""COMPUTED_VALUE"""),2016.0)</f>
        <v>2016</v>
      </c>
      <c r="M7699" s="308" t="s">
        <v>30381</v>
      </c>
      <c r="N7699" s="308"/>
      <c r="O7699" s="308"/>
      <c r="P7699" s="308" t="s">
        <v>39824</v>
      </c>
      <c r="Q7699" s="308" t="s">
        <v>39573</v>
      </c>
      <c r="R7699" s="308"/>
      <c r="S7699" s="308" t="s">
        <v>81</v>
      </c>
      <c r="T7699" s="308" t="s">
        <v>75</v>
      </c>
      <c r="U7699" s="308" t="s">
        <v>27</v>
      </c>
      <c r="V7699" s="308"/>
    </row>
    <row r="7700">
      <c r="A7700" s="308"/>
      <c r="B7700" s="308"/>
      <c r="C7700" s="308" t="s">
        <v>30411</v>
      </c>
      <c r="D7700" s="308">
        <f>IFERROR(__xludf.DUMMYFUNCTION("SPLIT(C7700,""-"")"),7720.0)</f>
        <v>7720</v>
      </c>
      <c r="E7700" s="308" t="str">
        <f>IFERROR(__xludf.DUMMYFUNCTION("""COMPUTED_VALUE"""),"B")</f>
        <v>B</v>
      </c>
      <c r="F7700" s="315" t="s">
        <v>26</v>
      </c>
      <c r="G7700" s="308"/>
      <c r="H7700" s="308" t="s">
        <v>30412</v>
      </c>
      <c r="I7700" s="310">
        <v>42712.0</v>
      </c>
      <c r="J7700" s="319">
        <f>IFERROR(__xludf.DUMMYFUNCTION("SPLIT(I7700,""/"")"),8.0)</f>
        <v>8</v>
      </c>
      <c r="K7700" s="308">
        <f>IFERROR(__xludf.DUMMYFUNCTION("""COMPUTED_VALUE"""),12.0)</f>
        <v>12</v>
      </c>
      <c r="L7700" s="308">
        <f>IFERROR(__xludf.DUMMYFUNCTION("""COMPUTED_VALUE"""),2016.0)</f>
        <v>2016</v>
      </c>
      <c r="M7700" s="308" t="s">
        <v>30381</v>
      </c>
      <c r="N7700" s="308"/>
      <c r="O7700" s="308"/>
      <c r="P7700" s="308" t="s">
        <v>39825</v>
      </c>
      <c r="Q7700" s="308" t="s">
        <v>39573</v>
      </c>
      <c r="R7700" s="308"/>
      <c r="S7700" s="308" t="s">
        <v>81</v>
      </c>
      <c r="T7700" s="308" t="s">
        <v>75</v>
      </c>
      <c r="U7700" s="308" t="s">
        <v>27</v>
      </c>
      <c r="V7700" s="308"/>
    </row>
    <row r="7701">
      <c r="A7701" s="308"/>
      <c r="B7701" s="308"/>
      <c r="C7701" s="308" t="s">
        <v>30414</v>
      </c>
      <c r="D7701" s="308">
        <f>IFERROR(__xludf.DUMMYFUNCTION("SPLIT(C7701,""-"")"),7721.0)</f>
        <v>7721</v>
      </c>
      <c r="E7701" s="308" t="str">
        <f>IFERROR(__xludf.DUMMYFUNCTION("""COMPUTED_VALUE"""),"B")</f>
        <v>B</v>
      </c>
      <c r="F7701" s="315" t="s">
        <v>26</v>
      </c>
      <c r="G7701" s="308"/>
      <c r="H7701" s="308" t="s">
        <v>30415</v>
      </c>
      <c r="I7701" s="310">
        <v>42712.0</v>
      </c>
      <c r="J7701" s="319">
        <f>IFERROR(__xludf.DUMMYFUNCTION("SPLIT(I7701,""/"")"),8.0)</f>
        <v>8</v>
      </c>
      <c r="K7701" s="308">
        <f>IFERROR(__xludf.DUMMYFUNCTION("""COMPUTED_VALUE"""),12.0)</f>
        <v>12</v>
      </c>
      <c r="L7701" s="308">
        <f>IFERROR(__xludf.DUMMYFUNCTION("""COMPUTED_VALUE"""),2016.0)</f>
        <v>2016</v>
      </c>
      <c r="M7701" s="308" t="s">
        <v>30381</v>
      </c>
      <c r="N7701" s="308"/>
      <c r="O7701" s="308"/>
      <c r="P7701" s="308" t="s">
        <v>39826</v>
      </c>
      <c r="Q7701" s="308" t="s">
        <v>39573</v>
      </c>
      <c r="R7701" s="308"/>
      <c r="S7701" s="308" t="s">
        <v>81</v>
      </c>
      <c r="T7701" s="308" t="s">
        <v>75</v>
      </c>
      <c r="U7701" s="308" t="s">
        <v>27</v>
      </c>
      <c r="V7701" s="308"/>
    </row>
    <row r="7702">
      <c r="A7702" s="308"/>
      <c r="B7702" s="308"/>
      <c r="C7702" s="308" t="s">
        <v>30417</v>
      </c>
      <c r="D7702" s="308">
        <f>IFERROR(__xludf.DUMMYFUNCTION("SPLIT(C7702,""-"")"),7722.0)</f>
        <v>7722</v>
      </c>
      <c r="E7702" s="308" t="str">
        <f>IFERROR(__xludf.DUMMYFUNCTION("""COMPUTED_VALUE"""),"B")</f>
        <v>B</v>
      </c>
      <c r="F7702" s="315" t="s">
        <v>26</v>
      </c>
      <c r="G7702" s="308"/>
      <c r="H7702" s="308" t="s">
        <v>30418</v>
      </c>
      <c r="I7702" s="310">
        <v>42712.0</v>
      </c>
      <c r="J7702" s="319">
        <f>IFERROR(__xludf.DUMMYFUNCTION("SPLIT(I7702,""/"")"),8.0)</f>
        <v>8</v>
      </c>
      <c r="K7702" s="308">
        <f>IFERROR(__xludf.DUMMYFUNCTION("""COMPUTED_VALUE"""),12.0)</f>
        <v>12</v>
      </c>
      <c r="L7702" s="308">
        <f>IFERROR(__xludf.DUMMYFUNCTION("""COMPUTED_VALUE"""),2016.0)</f>
        <v>2016</v>
      </c>
      <c r="M7702" s="308" t="s">
        <v>30381</v>
      </c>
      <c r="N7702" s="308"/>
      <c r="O7702" s="308"/>
      <c r="P7702" s="308" t="s">
        <v>39827</v>
      </c>
      <c r="Q7702" s="308" t="s">
        <v>39573</v>
      </c>
      <c r="R7702" s="308"/>
      <c r="S7702" s="308" t="s">
        <v>81</v>
      </c>
      <c r="T7702" s="308" t="s">
        <v>75</v>
      </c>
      <c r="U7702" s="308" t="s">
        <v>27</v>
      </c>
      <c r="V7702" s="308"/>
    </row>
    <row r="7703">
      <c r="A7703" s="308"/>
      <c r="B7703" s="308"/>
      <c r="C7703" s="308" t="s">
        <v>30420</v>
      </c>
      <c r="D7703" s="308">
        <f>IFERROR(__xludf.DUMMYFUNCTION("SPLIT(C7703,""-"")"),7723.0)</f>
        <v>7723</v>
      </c>
      <c r="E7703" s="308" t="str">
        <f>IFERROR(__xludf.DUMMYFUNCTION("""COMPUTED_VALUE"""),"B")</f>
        <v>B</v>
      </c>
      <c r="F7703" s="315" t="s">
        <v>26</v>
      </c>
      <c r="G7703" s="308"/>
      <c r="H7703" s="308" t="s">
        <v>30421</v>
      </c>
      <c r="I7703" s="310">
        <v>42712.0</v>
      </c>
      <c r="J7703" s="319">
        <f>IFERROR(__xludf.DUMMYFUNCTION("SPLIT(I7703,""/"")"),8.0)</f>
        <v>8</v>
      </c>
      <c r="K7703" s="308">
        <f>IFERROR(__xludf.DUMMYFUNCTION("""COMPUTED_VALUE"""),12.0)</f>
        <v>12</v>
      </c>
      <c r="L7703" s="308">
        <f>IFERROR(__xludf.DUMMYFUNCTION("""COMPUTED_VALUE"""),2016.0)</f>
        <v>2016</v>
      </c>
      <c r="M7703" s="308" t="s">
        <v>30381</v>
      </c>
      <c r="N7703" s="308"/>
      <c r="O7703" s="308"/>
      <c r="P7703" s="308" t="s">
        <v>39828</v>
      </c>
      <c r="Q7703" s="308" t="s">
        <v>39573</v>
      </c>
      <c r="R7703" s="308"/>
      <c r="S7703" s="308" t="s">
        <v>81</v>
      </c>
      <c r="T7703" s="308" t="s">
        <v>75</v>
      </c>
      <c r="U7703" s="308" t="s">
        <v>27</v>
      </c>
      <c r="V7703" s="308"/>
    </row>
    <row r="7704">
      <c r="A7704" s="308"/>
      <c r="B7704" s="308"/>
      <c r="C7704" s="308" t="s">
        <v>30423</v>
      </c>
      <c r="D7704" s="308">
        <f>IFERROR(__xludf.DUMMYFUNCTION("SPLIT(C7704,""-"")"),7724.0)</f>
        <v>7724</v>
      </c>
      <c r="E7704" s="308" t="str">
        <f>IFERROR(__xludf.DUMMYFUNCTION("""COMPUTED_VALUE"""),"B")</f>
        <v>B</v>
      </c>
      <c r="F7704" s="315" t="s">
        <v>26</v>
      </c>
      <c r="G7704" s="308"/>
      <c r="H7704" s="308" t="s">
        <v>30424</v>
      </c>
      <c r="I7704" s="310">
        <v>42712.0</v>
      </c>
      <c r="J7704" s="319">
        <f>IFERROR(__xludf.DUMMYFUNCTION("SPLIT(I7704,""/"")"),8.0)</f>
        <v>8</v>
      </c>
      <c r="K7704" s="308">
        <f>IFERROR(__xludf.DUMMYFUNCTION("""COMPUTED_VALUE"""),12.0)</f>
        <v>12</v>
      </c>
      <c r="L7704" s="308">
        <f>IFERROR(__xludf.DUMMYFUNCTION("""COMPUTED_VALUE"""),2016.0)</f>
        <v>2016</v>
      </c>
      <c r="M7704" s="308" t="s">
        <v>30381</v>
      </c>
      <c r="N7704" s="308"/>
      <c r="O7704" s="308"/>
      <c r="P7704" s="308" t="s">
        <v>39829</v>
      </c>
      <c r="Q7704" s="308" t="s">
        <v>39573</v>
      </c>
      <c r="R7704" s="308"/>
      <c r="S7704" s="308" t="s">
        <v>81</v>
      </c>
      <c r="T7704" s="308" t="s">
        <v>75</v>
      </c>
      <c r="U7704" s="308" t="s">
        <v>27</v>
      </c>
      <c r="V7704" s="308"/>
    </row>
    <row r="7705">
      <c r="A7705" s="308"/>
      <c r="B7705" s="308"/>
      <c r="C7705" s="308" t="s">
        <v>30426</v>
      </c>
      <c r="D7705" s="308">
        <f>IFERROR(__xludf.DUMMYFUNCTION("SPLIT(C7705,""-"")"),7725.0)</f>
        <v>7725</v>
      </c>
      <c r="E7705" s="308" t="str">
        <f>IFERROR(__xludf.DUMMYFUNCTION("""COMPUTED_VALUE"""),"B")</f>
        <v>B</v>
      </c>
      <c r="F7705" s="315" t="s">
        <v>26</v>
      </c>
      <c r="G7705" s="308"/>
      <c r="H7705" s="308" t="s">
        <v>30427</v>
      </c>
      <c r="I7705" s="310">
        <v>42712.0</v>
      </c>
      <c r="J7705" s="319">
        <f>IFERROR(__xludf.DUMMYFUNCTION("SPLIT(I7705,""/"")"),8.0)</f>
        <v>8</v>
      </c>
      <c r="K7705" s="308">
        <f>IFERROR(__xludf.DUMMYFUNCTION("""COMPUTED_VALUE"""),12.0)</f>
        <v>12</v>
      </c>
      <c r="L7705" s="308">
        <f>IFERROR(__xludf.DUMMYFUNCTION("""COMPUTED_VALUE"""),2016.0)</f>
        <v>2016</v>
      </c>
      <c r="M7705" s="308" t="s">
        <v>30381</v>
      </c>
      <c r="N7705" s="308"/>
      <c r="O7705" s="308"/>
      <c r="P7705" s="308" t="s">
        <v>39830</v>
      </c>
      <c r="Q7705" s="308" t="s">
        <v>39573</v>
      </c>
      <c r="R7705" s="308"/>
      <c r="S7705" s="308" t="s">
        <v>81</v>
      </c>
      <c r="T7705" s="308" t="s">
        <v>75</v>
      </c>
      <c r="U7705" s="308" t="s">
        <v>27</v>
      </c>
      <c r="V7705" s="308"/>
    </row>
    <row r="7706">
      <c r="A7706" s="308"/>
      <c r="B7706" s="308"/>
      <c r="C7706" s="308" t="s">
        <v>30429</v>
      </c>
      <c r="D7706" s="308">
        <f>IFERROR(__xludf.DUMMYFUNCTION("SPLIT(C7706,""-"")"),7726.0)</f>
        <v>7726</v>
      </c>
      <c r="E7706" s="308" t="str">
        <f>IFERROR(__xludf.DUMMYFUNCTION("""COMPUTED_VALUE"""),"B")</f>
        <v>B</v>
      </c>
      <c r="F7706" s="315" t="s">
        <v>26</v>
      </c>
      <c r="G7706" s="308"/>
      <c r="H7706" s="308" t="s">
        <v>30430</v>
      </c>
      <c r="I7706" s="310">
        <v>42712.0</v>
      </c>
      <c r="J7706" s="319">
        <f>IFERROR(__xludf.DUMMYFUNCTION("SPLIT(I7706,""/"")"),8.0)</f>
        <v>8</v>
      </c>
      <c r="K7706" s="308">
        <f>IFERROR(__xludf.DUMMYFUNCTION("""COMPUTED_VALUE"""),12.0)</f>
        <v>12</v>
      </c>
      <c r="L7706" s="308">
        <f>IFERROR(__xludf.DUMMYFUNCTION("""COMPUTED_VALUE"""),2016.0)</f>
        <v>2016</v>
      </c>
      <c r="M7706" s="308" t="s">
        <v>30381</v>
      </c>
      <c r="N7706" s="308"/>
      <c r="O7706" s="308"/>
      <c r="P7706" s="308" t="s">
        <v>39831</v>
      </c>
      <c r="Q7706" s="308" t="s">
        <v>39573</v>
      </c>
      <c r="R7706" s="308"/>
      <c r="S7706" s="308" t="s">
        <v>81</v>
      </c>
      <c r="T7706" s="308" t="s">
        <v>75</v>
      </c>
      <c r="U7706" s="308" t="s">
        <v>27</v>
      </c>
      <c r="V7706" s="308"/>
    </row>
    <row r="7707">
      <c r="A7707" s="308"/>
      <c r="B7707" s="308"/>
      <c r="C7707" s="308" t="s">
        <v>30432</v>
      </c>
      <c r="D7707" s="308">
        <f>IFERROR(__xludf.DUMMYFUNCTION("SPLIT(C7707,""-"")"),7727.0)</f>
        <v>7727</v>
      </c>
      <c r="E7707" s="308" t="str">
        <f>IFERROR(__xludf.DUMMYFUNCTION("""COMPUTED_VALUE"""),"B")</f>
        <v>B</v>
      </c>
      <c r="F7707" s="315" t="s">
        <v>26</v>
      </c>
      <c r="G7707" s="308"/>
      <c r="H7707" s="308" t="s">
        <v>30433</v>
      </c>
      <c r="I7707" s="310">
        <v>42712.0</v>
      </c>
      <c r="J7707" s="319">
        <f>IFERROR(__xludf.DUMMYFUNCTION("SPLIT(I7707,""/"")"),8.0)</f>
        <v>8</v>
      </c>
      <c r="K7707" s="308">
        <f>IFERROR(__xludf.DUMMYFUNCTION("""COMPUTED_VALUE"""),12.0)</f>
        <v>12</v>
      </c>
      <c r="L7707" s="308">
        <f>IFERROR(__xludf.DUMMYFUNCTION("""COMPUTED_VALUE"""),2016.0)</f>
        <v>2016</v>
      </c>
      <c r="M7707" s="308" t="s">
        <v>30381</v>
      </c>
      <c r="N7707" s="308"/>
      <c r="O7707" s="308"/>
      <c r="P7707" s="308" t="s">
        <v>39832</v>
      </c>
      <c r="Q7707" s="308" t="s">
        <v>39573</v>
      </c>
      <c r="R7707" s="308"/>
      <c r="S7707" s="308" t="s">
        <v>81</v>
      </c>
      <c r="T7707" s="308" t="s">
        <v>75</v>
      </c>
      <c r="U7707" s="308" t="s">
        <v>27</v>
      </c>
      <c r="V7707" s="308"/>
    </row>
    <row r="7708">
      <c r="A7708" s="308"/>
      <c r="B7708" s="308"/>
      <c r="C7708" s="308" t="s">
        <v>30435</v>
      </c>
      <c r="D7708" s="308">
        <f>IFERROR(__xludf.DUMMYFUNCTION("SPLIT(C7708,""-"")"),7728.0)</f>
        <v>7728</v>
      </c>
      <c r="E7708" s="308" t="str">
        <f>IFERROR(__xludf.DUMMYFUNCTION("""COMPUTED_VALUE"""),"B")</f>
        <v>B</v>
      </c>
      <c r="F7708" s="315" t="s">
        <v>26</v>
      </c>
      <c r="G7708" s="308"/>
      <c r="H7708" s="308" t="s">
        <v>30436</v>
      </c>
      <c r="I7708" s="310">
        <v>42712.0</v>
      </c>
      <c r="J7708" s="319">
        <f>IFERROR(__xludf.DUMMYFUNCTION("SPLIT(I7708,""/"")"),8.0)</f>
        <v>8</v>
      </c>
      <c r="K7708" s="308">
        <f>IFERROR(__xludf.DUMMYFUNCTION("""COMPUTED_VALUE"""),12.0)</f>
        <v>12</v>
      </c>
      <c r="L7708" s="308">
        <f>IFERROR(__xludf.DUMMYFUNCTION("""COMPUTED_VALUE"""),2016.0)</f>
        <v>2016</v>
      </c>
      <c r="M7708" s="308" t="s">
        <v>30381</v>
      </c>
      <c r="N7708" s="308"/>
      <c r="O7708" s="308"/>
      <c r="P7708" s="308" t="s">
        <v>39833</v>
      </c>
      <c r="Q7708" s="308" t="s">
        <v>39573</v>
      </c>
      <c r="R7708" s="308"/>
      <c r="S7708" s="308" t="s">
        <v>81</v>
      </c>
      <c r="T7708" s="308" t="s">
        <v>75</v>
      </c>
      <c r="U7708" s="308" t="s">
        <v>27</v>
      </c>
      <c r="V7708" s="308"/>
    </row>
    <row r="7709">
      <c r="A7709" s="308"/>
      <c r="B7709" s="308"/>
      <c r="C7709" s="308" t="s">
        <v>30438</v>
      </c>
      <c r="D7709" s="308">
        <f>IFERROR(__xludf.DUMMYFUNCTION("SPLIT(C7709,""-"")"),7729.0)</f>
        <v>7729</v>
      </c>
      <c r="E7709" s="308" t="str">
        <f>IFERROR(__xludf.DUMMYFUNCTION("""COMPUTED_VALUE"""),"B")</f>
        <v>B</v>
      </c>
      <c r="F7709" s="315" t="s">
        <v>26</v>
      </c>
      <c r="G7709" s="308"/>
      <c r="H7709" s="308" t="s">
        <v>30439</v>
      </c>
      <c r="I7709" s="310">
        <v>42712.0</v>
      </c>
      <c r="J7709" s="319">
        <f>IFERROR(__xludf.DUMMYFUNCTION("SPLIT(I7709,""/"")"),8.0)</f>
        <v>8</v>
      </c>
      <c r="K7709" s="308">
        <f>IFERROR(__xludf.DUMMYFUNCTION("""COMPUTED_VALUE"""),12.0)</f>
        <v>12</v>
      </c>
      <c r="L7709" s="308">
        <f>IFERROR(__xludf.DUMMYFUNCTION("""COMPUTED_VALUE"""),2016.0)</f>
        <v>2016</v>
      </c>
      <c r="M7709" s="308" t="s">
        <v>30381</v>
      </c>
      <c r="N7709" s="308"/>
      <c r="O7709" s="308"/>
      <c r="P7709" s="308" t="s">
        <v>39834</v>
      </c>
      <c r="Q7709" s="308" t="s">
        <v>39573</v>
      </c>
      <c r="R7709" s="308"/>
      <c r="S7709" s="308" t="s">
        <v>81</v>
      </c>
      <c r="T7709" s="308" t="s">
        <v>75</v>
      </c>
      <c r="U7709" s="308" t="s">
        <v>27</v>
      </c>
      <c r="V7709" s="308"/>
    </row>
    <row r="7710">
      <c r="A7710" s="308"/>
      <c r="B7710" s="308"/>
      <c r="C7710" s="308" t="s">
        <v>30441</v>
      </c>
      <c r="D7710" s="308">
        <f>IFERROR(__xludf.DUMMYFUNCTION("SPLIT(C7710,""-"")"),7730.0)</f>
        <v>7730</v>
      </c>
      <c r="E7710" s="308" t="str">
        <f>IFERROR(__xludf.DUMMYFUNCTION("""COMPUTED_VALUE"""),"B")</f>
        <v>B</v>
      </c>
      <c r="F7710" s="315" t="s">
        <v>26</v>
      </c>
      <c r="G7710" s="308"/>
      <c r="H7710" s="308" t="s">
        <v>30442</v>
      </c>
      <c r="I7710" s="310">
        <v>42712.0</v>
      </c>
      <c r="J7710" s="319">
        <f>IFERROR(__xludf.DUMMYFUNCTION("SPLIT(I7710,""/"")"),8.0)</f>
        <v>8</v>
      </c>
      <c r="K7710" s="308">
        <f>IFERROR(__xludf.DUMMYFUNCTION("""COMPUTED_VALUE"""),12.0)</f>
        <v>12</v>
      </c>
      <c r="L7710" s="308">
        <f>IFERROR(__xludf.DUMMYFUNCTION("""COMPUTED_VALUE"""),2016.0)</f>
        <v>2016</v>
      </c>
      <c r="M7710" s="308" t="s">
        <v>30381</v>
      </c>
      <c r="N7710" s="308"/>
      <c r="O7710" s="308"/>
      <c r="P7710" s="308" t="s">
        <v>39835</v>
      </c>
      <c r="Q7710" s="308" t="s">
        <v>39573</v>
      </c>
      <c r="R7710" s="308"/>
      <c r="S7710" s="308" t="s">
        <v>81</v>
      </c>
      <c r="T7710" s="308" t="s">
        <v>75</v>
      </c>
      <c r="U7710" s="308" t="s">
        <v>27</v>
      </c>
      <c r="V7710" s="308"/>
    </row>
    <row r="7711">
      <c r="A7711" s="308"/>
      <c r="B7711" s="308"/>
      <c r="C7711" s="308" t="s">
        <v>30444</v>
      </c>
      <c r="D7711" s="308">
        <f>IFERROR(__xludf.DUMMYFUNCTION("SPLIT(C7711,""-"")"),7731.0)</f>
        <v>7731</v>
      </c>
      <c r="E7711" s="308" t="str">
        <f>IFERROR(__xludf.DUMMYFUNCTION("""COMPUTED_VALUE"""),"B")</f>
        <v>B</v>
      </c>
      <c r="F7711" s="315" t="s">
        <v>26</v>
      </c>
      <c r="G7711" s="308"/>
      <c r="H7711" s="308" t="s">
        <v>30445</v>
      </c>
      <c r="I7711" s="310">
        <v>42712.0</v>
      </c>
      <c r="J7711" s="319">
        <f>IFERROR(__xludf.DUMMYFUNCTION("SPLIT(I7711,""/"")"),8.0)</f>
        <v>8</v>
      </c>
      <c r="K7711" s="308">
        <f>IFERROR(__xludf.DUMMYFUNCTION("""COMPUTED_VALUE"""),12.0)</f>
        <v>12</v>
      </c>
      <c r="L7711" s="308">
        <f>IFERROR(__xludf.DUMMYFUNCTION("""COMPUTED_VALUE"""),2016.0)</f>
        <v>2016</v>
      </c>
      <c r="M7711" s="308" t="s">
        <v>30381</v>
      </c>
      <c r="N7711" s="308"/>
      <c r="O7711" s="308"/>
      <c r="P7711" s="308" t="s">
        <v>39836</v>
      </c>
      <c r="Q7711" s="308" t="s">
        <v>39573</v>
      </c>
      <c r="R7711" s="308"/>
      <c r="S7711" s="308" t="s">
        <v>81</v>
      </c>
      <c r="T7711" s="308" t="s">
        <v>75</v>
      </c>
      <c r="U7711" s="308" t="s">
        <v>27</v>
      </c>
      <c r="V7711" s="308"/>
    </row>
    <row r="7712">
      <c r="A7712" s="308"/>
      <c r="B7712" s="308"/>
      <c r="C7712" s="308" t="s">
        <v>30447</v>
      </c>
      <c r="D7712" s="308">
        <f>IFERROR(__xludf.DUMMYFUNCTION("SPLIT(C7712,""-"")"),7732.0)</f>
        <v>7732</v>
      </c>
      <c r="E7712" s="308" t="str">
        <f>IFERROR(__xludf.DUMMYFUNCTION("""COMPUTED_VALUE"""),"B")</f>
        <v>B</v>
      </c>
      <c r="F7712" s="315" t="s">
        <v>26</v>
      </c>
      <c r="G7712" s="308"/>
      <c r="H7712" s="308" t="s">
        <v>30448</v>
      </c>
      <c r="I7712" s="310">
        <v>42712.0</v>
      </c>
      <c r="J7712" s="319">
        <f>IFERROR(__xludf.DUMMYFUNCTION("SPLIT(I7712,""/"")"),8.0)</f>
        <v>8</v>
      </c>
      <c r="K7712" s="308">
        <f>IFERROR(__xludf.DUMMYFUNCTION("""COMPUTED_VALUE"""),12.0)</f>
        <v>12</v>
      </c>
      <c r="L7712" s="308">
        <f>IFERROR(__xludf.DUMMYFUNCTION("""COMPUTED_VALUE"""),2016.0)</f>
        <v>2016</v>
      </c>
      <c r="M7712" s="308" t="s">
        <v>30381</v>
      </c>
      <c r="N7712" s="308"/>
      <c r="O7712" s="308"/>
      <c r="P7712" s="308" t="s">
        <v>39837</v>
      </c>
      <c r="Q7712" s="308" t="s">
        <v>39573</v>
      </c>
      <c r="R7712" s="308"/>
      <c r="S7712" s="308" t="s">
        <v>81</v>
      </c>
      <c r="T7712" s="308" t="s">
        <v>75</v>
      </c>
      <c r="U7712" s="308" t="s">
        <v>27</v>
      </c>
      <c r="V7712" s="308"/>
    </row>
    <row r="7713">
      <c r="A7713" s="308"/>
      <c r="B7713" s="308"/>
      <c r="C7713" s="308" t="s">
        <v>30450</v>
      </c>
      <c r="D7713" s="308">
        <f>IFERROR(__xludf.DUMMYFUNCTION("SPLIT(C7713,""-"")"),7733.0)</f>
        <v>7733</v>
      </c>
      <c r="E7713" s="308" t="str">
        <f>IFERROR(__xludf.DUMMYFUNCTION("""COMPUTED_VALUE"""),"B")</f>
        <v>B</v>
      </c>
      <c r="F7713" s="315" t="s">
        <v>26</v>
      </c>
      <c r="G7713" s="308"/>
      <c r="H7713" s="308" t="s">
        <v>30451</v>
      </c>
      <c r="I7713" s="310">
        <v>42712.0</v>
      </c>
      <c r="J7713" s="319">
        <f>IFERROR(__xludf.DUMMYFUNCTION("SPLIT(I7713,""/"")"),8.0)</f>
        <v>8</v>
      </c>
      <c r="K7713" s="308">
        <f>IFERROR(__xludf.DUMMYFUNCTION("""COMPUTED_VALUE"""),12.0)</f>
        <v>12</v>
      </c>
      <c r="L7713" s="308">
        <f>IFERROR(__xludf.DUMMYFUNCTION("""COMPUTED_VALUE"""),2016.0)</f>
        <v>2016</v>
      </c>
      <c r="M7713" s="308" t="s">
        <v>30381</v>
      </c>
      <c r="N7713" s="308"/>
      <c r="O7713" s="308"/>
      <c r="P7713" s="308" t="s">
        <v>39838</v>
      </c>
      <c r="Q7713" s="308" t="s">
        <v>39573</v>
      </c>
      <c r="R7713" s="308"/>
      <c r="S7713" s="308" t="s">
        <v>81</v>
      </c>
      <c r="T7713" s="308" t="s">
        <v>75</v>
      </c>
      <c r="U7713" s="308" t="s">
        <v>27</v>
      </c>
      <c r="V7713" s="308"/>
    </row>
    <row r="7714">
      <c r="A7714" s="308"/>
      <c r="B7714" s="308"/>
      <c r="C7714" s="308" t="s">
        <v>30453</v>
      </c>
      <c r="D7714" s="308">
        <f>IFERROR(__xludf.DUMMYFUNCTION("SPLIT(C7714,""-"")"),7734.0)</f>
        <v>7734</v>
      </c>
      <c r="E7714" s="308" t="str">
        <f>IFERROR(__xludf.DUMMYFUNCTION("""COMPUTED_VALUE"""),"B")</f>
        <v>B</v>
      </c>
      <c r="F7714" s="315" t="s">
        <v>26</v>
      </c>
      <c r="G7714" s="308"/>
      <c r="H7714" s="308" t="s">
        <v>30454</v>
      </c>
      <c r="I7714" s="310">
        <v>42712.0</v>
      </c>
      <c r="J7714" s="319">
        <f>IFERROR(__xludf.DUMMYFUNCTION("SPLIT(I7714,""/"")"),8.0)</f>
        <v>8</v>
      </c>
      <c r="K7714" s="308">
        <f>IFERROR(__xludf.DUMMYFUNCTION("""COMPUTED_VALUE"""),12.0)</f>
        <v>12</v>
      </c>
      <c r="L7714" s="308">
        <f>IFERROR(__xludf.DUMMYFUNCTION("""COMPUTED_VALUE"""),2016.0)</f>
        <v>2016</v>
      </c>
      <c r="M7714" s="308" t="s">
        <v>30381</v>
      </c>
      <c r="N7714" s="308"/>
      <c r="O7714" s="308"/>
      <c r="P7714" s="308" t="s">
        <v>39839</v>
      </c>
      <c r="Q7714" s="308" t="s">
        <v>39573</v>
      </c>
      <c r="R7714" s="308"/>
      <c r="S7714" s="308" t="s">
        <v>81</v>
      </c>
      <c r="T7714" s="308" t="s">
        <v>75</v>
      </c>
      <c r="U7714" s="308" t="s">
        <v>27</v>
      </c>
      <c r="V7714" s="308"/>
    </row>
    <row r="7715">
      <c r="A7715" s="308"/>
      <c r="B7715" s="308"/>
      <c r="C7715" s="308" t="s">
        <v>30456</v>
      </c>
      <c r="D7715" s="308">
        <f>IFERROR(__xludf.DUMMYFUNCTION("SPLIT(C7715,""-"")"),7735.0)</f>
        <v>7735</v>
      </c>
      <c r="E7715" s="308" t="str">
        <f>IFERROR(__xludf.DUMMYFUNCTION("""COMPUTED_VALUE"""),"B")</f>
        <v>B</v>
      </c>
      <c r="F7715" s="315" t="s">
        <v>26</v>
      </c>
      <c r="G7715" s="308"/>
      <c r="H7715" s="308" t="s">
        <v>30457</v>
      </c>
      <c r="I7715" s="310">
        <v>42712.0</v>
      </c>
      <c r="J7715" s="319">
        <f>IFERROR(__xludf.DUMMYFUNCTION("SPLIT(I7715,""/"")"),8.0)</f>
        <v>8</v>
      </c>
      <c r="K7715" s="308">
        <f>IFERROR(__xludf.DUMMYFUNCTION("""COMPUTED_VALUE"""),12.0)</f>
        <v>12</v>
      </c>
      <c r="L7715" s="308">
        <f>IFERROR(__xludf.DUMMYFUNCTION("""COMPUTED_VALUE"""),2016.0)</f>
        <v>2016</v>
      </c>
      <c r="M7715" s="308" t="s">
        <v>30381</v>
      </c>
      <c r="N7715" s="308"/>
      <c r="O7715" s="308"/>
      <c r="P7715" s="308" t="s">
        <v>39840</v>
      </c>
      <c r="Q7715" s="308" t="s">
        <v>39573</v>
      </c>
      <c r="R7715" s="308"/>
      <c r="S7715" s="308" t="s">
        <v>81</v>
      </c>
      <c r="T7715" s="308" t="s">
        <v>75</v>
      </c>
      <c r="U7715" s="308" t="s">
        <v>27</v>
      </c>
      <c r="V7715" s="308"/>
    </row>
    <row r="7716">
      <c r="A7716" s="308"/>
      <c r="B7716" s="308"/>
      <c r="C7716" s="308" t="s">
        <v>30459</v>
      </c>
      <c r="D7716" s="308">
        <f>IFERROR(__xludf.DUMMYFUNCTION("SPLIT(C7716,""-"")"),7736.0)</f>
        <v>7736</v>
      </c>
      <c r="E7716" s="308" t="str">
        <f>IFERROR(__xludf.DUMMYFUNCTION("""COMPUTED_VALUE"""),"B")</f>
        <v>B</v>
      </c>
      <c r="F7716" s="315" t="s">
        <v>26</v>
      </c>
      <c r="G7716" s="308"/>
      <c r="H7716" s="308" t="s">
        <v>30460</v>
      </c>
      <c r="I7716" s="310">
        <v>42712.0</v>
      </c>
      <c r="J7716" s="319">
        <f>IFERROR(__xludf.DUMMYFUNCTION("SPLIT(I7716,""/"")"),8.0)</f>
        <v>8</v>
      </c>
      <c r="K7716" s="308">
        <f>IFERROR(__xludf.DUMMYFUNCTION("""COMPUTED_VALUE"""),12.0)</f>
        <v>12</v>
      </c>
      <c r="L7716" s="308">
        <f>IFERROR(__xludf.DUMMYFUNCTION("""COMPUTED_VALUE"""),2016.0)</f>
        <v>2016</v>
      </c>
      <c r="M7716" s="308" t="s">
        <v>30381</v>
      </c>
      <c r="N7716" s="308"/>
      <c r="O7716" s="308"/>
      <c r="P7716" s="308" t="s">
        <v>39841</v>
      </c>
      <c r="Q7716" s="308" t="s">
        <v>39573</v>
      </c>
      <c r="R7716" s="308"/>
      <c r="S7716" s="308" t="s">
        <v>81</v>
      </c>
      <c r="T7716" s="308" t="s">
        <v>75</v>
      </c>
      <c r="U7716" s="308" t="s">
        <v>27</v>
      </c>
      <c r="V7716" s="308"/>
    </row>
    <row r="7717">
      <c r="A7717" s="308"/>
      <c r="B7717" s="308"/>
      <c r="C7717" s="308" t="s">
        <v>30462</v>
      </c>
      <c r="D7717" s="308">
        <f>IFERROR(__xludf.DUMMYFUNCTION("SPLIT(C7717,""-"")"),7737.0)</f>
        <v>7737</v>
      </c>
      <c r="E7717" s="308" t="str">
        <f>IFERROR(__xludf.DUMMYFUNCTION("""COMPUTED_VALUE"""),"B")</f>
        <v>B</v>
      </c>
      <c r="F7717" s="315" t="s">
        <v>26</v>
      </c>
      <c r="G7717" s="308"/>
      <c r="H7717" s="308" t="s">
        <v>30463</v>
      </c>
      <c r="I7717" s="310">
        <v>42712.0</v>
      </c>
      <c r="J7717" s="319">
        <f>IFERROR(__xludf.DUMMYFUNCTION("SPLIT(I7717,""/"")"),8.0)</f>
        <v>8</v>
      </c>
      <c r="K7717" s="308">
        <f>IFERROR(__xludf.DUMMYFUNCTION("""COMPUTED_VALUE"""),12.0)</f>
        <v>12</v>
      </c>
      <c r="L7717" s="308">
        <f>IFERROR(__xludf.DUMMYFUNCTION("""COMPUTED_VALUE"""),2016.0)</f>
        <v>2016</v>
      </c>
      <c r="M7717" s="308" t="s">
        <v>30381</v>
      </c>
      <c r="N7717" s="308"/>
      <c r="O7717" s="308"/>
      <c r="P7717" s="308" t="s">
        <v>39842</v>
      </c>
      <c r="Q7717" s="308" t="s">
        <v>39573</v>
      </c>
      <c r="R7717" s="308"/>
      <c r="S7717" s="308" t="s">
        <v>81</v>
      </c>
      <c r="T7717" s="308" t="s">
        <v>75</v>
      </c>
      <c r="U7717" s="308" t="s">
        <v>27</v>
      </c>
      <c r="V7717" s="308"/>
    </row>
    <row r="7718">
      <c r="A7718" s="308"/>
      <c r="B7718" s="308"/>
      <c r="C7718" s="308" t="s">
        <v>30465</v>
      </c>
      <c r="D7718" s="308">
        <f>IFERROR(__xludf.DUMMYFUNCTION("SPLIT(C7718,""-"")"),7738.0)</f>
        <v>7738</v>
      </c>
      <c r="E7718" s="308" t="str">
        <f>IFERROR(__xludf.DUMMYFUNCTION("""COMPUTED_VALUE"""),"B")</f>
        <v>B</v>
      </c>
      <c r="F7718" s="315" t="s">
        <v>26</v>
      </c>
      <c r="G7718" s="308"/>
      <c r="H7718" s="308" t="s">
        <v>30466</v>
      </c>
      <c r="I7718" s="310">
        <v>42712.0</v>
      </c>
      <c r="J7718" s="319">
        <f>IFERROR(__xludf.DUMMYFUNCTION("SPLIT(I7718,""/"")"),8.0)</f>
        <v>8</v>
      </c>
      <c r="K7718" s="308">
        <f>IFERROR(__xludf.DUMMYFUNCTION("""COMPUTED_VALUE"""),12.0)</f>
        <v>12</v>
      </c>
      <c r="L7718" s="308">
        <f>IFERROR(__xludf.DUMMYFUNCTION("""COMPUTED_VALUE"""),2016.0)</f>
        <v>2016</v>
      </c>
      <c r="M7718" s="308" t="s">
        <v>30381</v>
      </c>
      <c r="N7718" s="308"/>
      <c r="O7718" s="308"/>
      <c r="P7718" s="308" t="s">
        <v>39843</v>
      </c>
      <c r="Q7718" s="308" t="s">
        <v>39573</v>
      </c>
      <c r="R7718" s="308"/>
      <c r="S7718" s="308" t="s">
        <v>81</v>
      </c>
      <c r="T7718" s="308" t="s">
        <v>75</v>
      </c>
      <c r="U7718" s="308" t="s">
        <v>27</v>
      </c>
      <c r="V7718" s="308"/>
    </row>
    <row r="7719">
      <c r="A7719" s="308"/>
      <c r="B7719" s="308"/>
      <c r="C7719" s="308" t="s">
        <v>30468</v>
      </c>
      <c r="D7719" s="308">
        <f>IFERROR(__xludf.DUMMYFUNCTION("SPLIT(C7719,""-"")"),7739.0)</f>
        <v>7739</v>
      </c>
      <c r="E7719" s="308" t="str">
        <f>IFERROR(__xludf.DUMMYFUNCTION("""COMPUTED_VALUE"""),"B")</f>
        <v>B</v>
      </c>
      <c r="F7719" s="315" t="s">
        <v>26</v>
      </c>
      <c r="G7719" s="308"/>
      <c r="H7719" s="308" t="s">
        <v>30469</v>
      </c>
      <c r="I7719" s="310">
        <v>42712.0</v>
      </c>
      <c r="J7719" s="319">
        <f>IFERROR(__xludf.DUMMYFUNCTION("SPLIT(I7719,""/"")"),8.0)</f>
        <v>8</v>
      </c>
      <c r="K7719" s="308">
        <f>IFERROR(__xludf.DUMMYFUNCTION("""COMPUTED_VALUE"""),12.0)</f>
        <v>12</v>
      </c>
      <c r="L7719" s="308">
        <f>IFERROR(__xludf.DUMMYFUNCTION("""COMPUTED_VALUE"""),2016.0)</f>
        <v>2016</v>
      </c>
      <c r="M7719" s="308" t="s">
        <v>30381</v>
      </c>
      <c r="N7719" s="308"/>
      <c r="O7719" s="308"/>
      <c r="P7719" s="308" t="s">
        <v>39844</v>
      </c>
      <c r="Q7719" s="308" t="s">
        <v>39573</v>
      </c>
      <c r="R7719" s="308"/>
      <c r="S7719" s="308" t="s">
        <v>81</v>
      </c>
      <c r="T7719" s="308" t="s">
        <v>75</v>
      </c>
      <c r="U7719" s="308" t="s">
        <v>27</v>
      </c>
      <c r="V7719" s="308"/>
    </row>
    <row r="7720">
      <c r="A7720" s="308"/>
      <c r="B7720" s="308"/>
      <c r="C7720" s="308" t="s">
        <v>30471</v>
      </c>
      <c r="D7720" s="308">
        <f>IFERROR(__xludf.DUMMYFUNCTION("SPLIT(C7720,""-"")"),7740.0)</f>
        <v>7740</v>
      </c>
      <c r="E7720" s="308" t="str">
        <f>IFERROR(__xludf.DUMMYFUNCTION("""COMPUTED_VALUE"""),"B")</f>
        <v>B</v>
      </c>
      <c r="F7720" s="315" t="s">
        <v>26</v>
      </c>
      <c r="G7720" s="308"/>
      <c r="H7720" s="308" t="s">
        <v>30472</v>
      </c>
      <c r="I7720" s="310">
        <v>42712.0</v>
      </c>
      <c r="J7720" s="319">
        <f>IFERROR(__xludf.DUMMYFUNCTION("SPLIT(I7720,""/"")"),8.0)</f>
        <v>8</v>
      </c>
      <c r="K7720" s="308">
        <f>IFERROR(__xludf.DUMMYFUNCTION("""COMPUTED_VALUE"""),12.0)</f>
        <v>12</v>
      </c>
      <c r="L7720" s="308">
        <f>IFERROR(__xludf.DUMMYFUNCTION("""COMPUTED_VALUE"""),2016.0)</f>
        <v>2016</v>
      </c>
      <c r="M7720" s="308" t="s">
        <v>30381</v>
      </c>
      <c r="N7720" s="308"/>
      <c r="O7720" s="308"/>
      <c r="P7720" s="308" t="s">
        <v>39845</v>
      </c>
      <c r="Q7720" s="308" t="s">
        <v>39573</v>
      </c>
      <c r="R7720" s="308"/>
      <c r="S7720" s="308" t="s">
        <v>81</v>
      </c>
      <c r="T7720" s="308" t="s">
        <v>75</v>
      </c>
      <c r="U7720" s="308" t="s">
        <v>27</v>
      </c>
      <c r="V7720" s="308"/>
    </row>
    <row r="7721">
      <c r="A7721" s="308"/>
      <c r="B7721" s="308"/>
      <c r="C7721" s="308" t="s">
        <v>30474</v>
      </c>
      <c r="D7721" s="308">
        <f>IFERROR(__xludf.DUMMYFUNCTION("SPLIT(C7721,""-"")"),7741.0)</f>
        <v>7741</v>
      </c>
      <c r="E7721" s="308" t="str">
        <f>IFERROR(__xludf.DUMMYFUNCTION("""COMPUTED_VALUE"""),"B")</f>
        <v>B</v>
      </c>
      <c r="F7721" s="315" t="s">
        <v>26</v>
      </c>
      <c r="G7721" s="308"/>
      <c r="H7721" s="308" t="s">
        <v>30475</v>
      </c>
      <c r="I7721" s="310">
        <v>42712.0</v>
      </c>
      <c r="J7721" s="319">
        <f>IFERROR(__xludf.DUMMYFUNCTION("SPLIT(I7721,""/"")"),8.0)</f>
        <v>8</v>
      </c>
      <c r="K7721" s="308">
        <f>IFERROR(__xludf.DUMMYFUNCTION("""COMPUTED_VALUE"""),12.0)</f>
        <v>12</v>
      </c>
      <c r="L7721" s="308">
        <f>IFERROR(__xludf.DUMMYFUNCTION("""COMPUTED_VALUE"""),2016.0)</f>
        <v>2016</v>
      </c>
      <c r="M7721" s="308" t="s">
        <v>30381</v>
      </c>
      <c r="N7721" s="308"/>
      <c r="O7721" s="308"/>
      <c r="P7721" s="308" t="s">
        <v>39846</v>
      </c>
      <c r="Q7721" s="308" t="s">
        <v>39573</v>
      </c>
      <c r="R7721" s="308"/>
      <c r="S7721" s="308" t="s">
        <v>81</v>
      </c>
      <c r="T7721" s="308" t="s">
        <v>75</v>
      </c>
      <c r="U7721" s="308" t="s">
        <v>27</v>
      </c>
      <c r="V7721" s="308"/>
    </row>
    <row r="7722">
      <c r="A7722" s="308"/>
      <c r="B7722" s="308"/>
      <c r="C7722" s="308" t="s">
        <v>30477</v>
      </c>
      <c r="D7722" s="308">
        <f>IFERROR(__xludf.DUMMYFUNCTION("SPLIT(C7722,""-"")"),7742.0)</f>
        <v>7742</v>
      </c>
      <c r="E7722" s="308" t="str">
        <f>IFERROR(__xludf.DUMMYFUNCTION("""COMPUTED_VALUE"""),"B")</f>
        <v>B</v>
      </c>
      <c r="F7722" s="315" t="s">
        <v>26</v>
      </c>
      <c r="G7722" s="308"/>
      <c r="H7722" s="308" t="s">
        <v>30478</v>
      </c>
      <c r="I7722" s="310">
        <v>42712.0</v>
      </c>
      <c r="J7722" s="319">
        <f>IFERROR(__xludf.DUMMYFUNCTION("SPLIT(I7722,""/"")"),8.0)</f>
        <v>8</v>
      </c>
      <c r="K7722" s="308">
        <f>IFERROR(__xludf.DUMMYFUNCTION("""COMPUTED_VALUE"""),12.0)</f>
        <v>12</v>
      </c>
      <c r="L7722" s="308">
        <f>IFERROR(__xludf.DUMMYFUNCTION("""COMPUTED_VALUE"""),2016.0)</f>
        <v>2016</v>
      </c>
      <c r="M7722" s="308" t="s">
        <v>30381</v>
      </c>
      <c r="N7722" s="308"/>
      <c r="O7722" s="308"/>
      <c r="P7722" s="308" t="s">
        <v>39847</v>
      </c>
      <c r="Q7722" s="308" t="s">
        <v>39573</v>
      </c>
      <c r="R7722" s="308"/>
      <c r="S7722" s="308" t="s">
        <v>81</v>
      </c>
      <c r="T7722" s="308" t="s">
        <v>75</v>
      </c>
      <c r="U7722" s="308" t="s">
        <v>27</v>
      </c>
      <c r="V7722" s="308"/>
    </row>
    <row r="7723">
      <c r="A7723" s="308"/>
      <c r="B7723" s="308"/>
      <c r="C7723" s="308" t="s">
        <v>30480</v>
      </c>
      <c r="D7723" s="308">
        <f>IFERROR(__xludf.DUMMYFUNCTION("SPLIT(C7723,""-"")"),7743.0)</f>
        <v>7743</v>
      </c>
      <c r="E7723" s="308" t="str">
        <f>IFERROR(__xludf.DUMMYFUNCTION("""COMPUTED_VALUE"""),"B")</f>
        <v>B</v>
      </c>
      <c r="F7723" s="315" t="s">
        <v>26</v>
      </c>
      <c r="G7723" s="308"/>
      <c r="H7723" s="308" t="s">
        <v>30481</v>
      </c>
      <c r="I7723" s="310">
        <v>42713.0</v>
      </c>
      <c r="J7723" s="319">
        <f>IFERROR(__xludf.DUMMYFUNCTION("SPLIT(I7723,""/"")"),9.0)</f>
        <v>9</v>
      </c>
      <c r="K7723" s="308">
        <f>IFERROR(__xludf.DUMMYFUNCTION("""COMPUTED_VALUE"""),12.0)</f>
        <v>12</v>
      </c>
      <c r="L7723" s="308">
        <f>IFERROR(__xludf.DUMMYFUNCTION("""COMPUTED_VALUE"""),2016.0)</f>
        <v>2016</v>
      </c>
      <c r="M7723" s="308" t="s">
        <v>30482</v>
      </c>
      <c r="N7723" s="308"/>
      <c r="O7723" s="308"/>
      <c r="P7723" s="308" t="s">
        <v>39848</v>
      </c>
      <c r="Q7723" s="308" t="s">
        <v>39573</v>
      </c>
      <c r="R7723" s="308"/>
      <c r="S7723" s="308" t="s">
        <v>81</v>
      </c>
      <c r="T7723" s="308" t="s">
        <v>75</v>
      </c>
      <c r="U7723" s="308" t="s">
        <v>27</v>
      </c>
      <c r="V7723" s="308"/>
    </row>
    <row r="7724">
      <c r="A7724" s="308"/>
      <c r="B7724" s="308"/>
      <c r="C7724" s="308" t="s">
        <v>30484</v>
      </c>
      <c r="D7724" s="308">
        <f>IFERROR(__xludf.DUMMYFUNCTION("SPLIT(C7724,""-"")"),7744.0)</f>
        <v>7744</v>
      </c>
      <c r="E7724" s="308" t="str">
        <f>IFERROR(__xludf.DUMMYFUNCTION("""COMPUTED_VALUE"""),"B")</f>
        <v>B</v>
      </c>
      <c r="F7724" s="315" t="s">
        <v>26</v>
      </c>
      <c r="G7724" s="308"/>
      <c r="H7724" s="308" t="s">
        <v>30485</v>
      </c>
      <c r="I7724" s="310">
        <v>42738.0</v>
      </c>
      <c r="J7724" s="319">
        <f>IFERROR(__xludf.DUMMYFUNCTION("SPLIT(I7724,""/"")"),3.0)</f>
        <v>3</v>
      </c>
      <c r="K7724" s="308">
        <f>IFERROR(__xludf.DUMMYFUNCTION("""COMPUTED_VALUE"""),1.0)</f>
        <v>1</v>
      </c>
      <c r="L7724" s="308">
        <f>IFERROR(__xludf.DUMMYFUNCTION("""COMPUTED_VALUE"""),2017.0)</f>
        <v>2017</v>
      </c>
      <c r="M7724" s="308" t="s">
        <v>30486</v>
      </c>
      <c r="N7724" s="308"/>
      <c r="O7724" s="308"/>
      <c r="P7724" s="308" t="s">
        <v>39849</v>
      </c>
      <c r="Q7724" s="308" t="s">
        <v>39573</v>
      </c>
      <c r="R7724" s="308"/>
      <c r="S7724" s="308" t="s">
        <v>81</v>
      </c>
      <c r="T7724" s="308" t="s">
        <v>75</v>
      </c>
      <c r="U7724" s="308" t="s">
        <v>27</v>
      </c>
      <c r="V7724" s="308"/>
    </row>
    <row r="7725">
      <c r="A7725" s="308"/>
      <c r="B7725" s="308"/>
      <c r="C7725" s="308" t="s">
        <v>30488</v>
      </c>
      <c r="D7725" s="308">
        <f>IFERROR(__xludf.DUMMYFUNCTION("SPLIT(C7725,""-"")"),7745.0)</f>
        <v>7745</v>
      </c>
      <c r="E7725" s="308" t="str">
        <f>IFERROR(__xludf.DUMMYFUNCTION("""COMPUTED_VALUE"""),"B")</f>
        <v>B</v>
      </c>
      <c r="F7725" s="315" t="s">
        <v>26</v>
      </c>
      <c r="G7725" s="308"/>
      <c r="H7725" s="308" t="s">
        <v>30489</v>
      </c>
      <c r="I7725" s="310">
        <v>42737.0</v>
      </c>
      <c r="J7725" s="319">
        <f>IFERROR(__xludf.DUMMYFUNCTION("SPLIT(I7725,""/"")"),2.0)</f>
        <v>2</v>
      </c>
      <c r="K7725" s="308">
        <f>IFERROR(__xludf.DUMMYFUNCTION("""COMPUTED_VALUE"""),1.0)</f>
        <v>1</v>
      </c>
      <c r="L7725" s="308">
        <f>IFERROR(__xludf.DUMMYFUNCTION("""COMPUTED_VALUE"""),2017.0)</f>
        <v>2017</v>
      </c>
      <c r="M7725" s="308" t="s">
        <v>30490</v>
      </c>
      <c r="N7725" s="308"/>
      <c r="O7725" s="308"/>
      <c r="P7725" s="308" t="s">
        <v>39850</v>
      </c>
      <c r="Q7725" s="308" t="s">
        <v>39573</v>
      </c>
      <c r="R7725" s="308"/>
      <c r="S7725" s="308" t="s">
        <v>81</v>
      </c>
      <c r="T7725" s="308" t="s">
        <v>75</v>
      </c>
      <c r="U7725" s="308" t="s">
        <v>27</v>
      </c>
      <c r="V7725" s="308"/>
    </row>
    <row r="7726">
      <c r="A7726" s="308"/>
      <c r="B7726" s="308"/>
      <c r="C7726" s="308" t="s">
        <v>30492</v>
      </c>
      <c r="D7726" s="308">
        <f>IFERROR(__xludf.DUMMYFUNCTION("SPLIT(C7726,""-"")"),7746.0)</f>
        <v>7746</v>
      </c>
      <c r="E7726" s="308" t="str">
        <f>IFERROR(__xludf.DUMMYFUNCTION("""COMPUTED_VALUE"""),"B")</f>
        <v>B</v>
      </c>
      <c r="F7726" s="315" t="s">
        <v>26</v>
      </c>
      <c r="G7726" s="308"/>
      <c r="H7726" s="308" t="s">
        <v>30493</v>
      </c>
      <c r="I7726" s="310">
        <v>42756.0</v>
      </c>
      <c r="J7726" s="319">
        <f>IFERROR(__xludf.DUMMYFUNCTION("SPLIT(I7726,""/"")"),21.0)</f>
        <v>21</v>
      </c>
      <c r="K7726" s="308">
        <f>IFERROR(__xludf.DUMMYFUNCTION("""COMPUTED_VALUE"""),1.0)</f>
        <v>1</v>
      </c>
      <c r="L7726" s="308">
        <f>IFERROR(__xludf.DUMMYFUNCTION("""COMPUTED_VALUE"""),2017.0)</f>
        <v>2017</v>
      </c>
      <c r="M7726" s="308" t="s">
        <v>30494</v>
      </c>
      <c r="N7726" s="308"/>
      <c r="O7726" s="308"/>
      <c r="P7726" s="308" t="s">
        <v>39851</v>
      </c>
      <c r="Q7726" s="308" t="s">
        <v>39573</v>
      </c>
      <c r="R7726" s="308"/>
      <c r="S7726" s="308" t="s">
        <v>81</v>
      </c>
      <c r="T7726" s="308" t="s">
        <v>75</v>
      </c>
      <c r="U7726" s="308" t="s">
        <v>27</v>
      </c>
      <c r="V7726" s="308"/>
    </row>
    <row r="7727">
      <c r="A7727" s="308"/>
      <c r="B7727" s="308"/>
      <c r="C7727" s="308" t="s">
        <v>30496</v>
      </c>
      <c r="D7727" s="308">
        <f>IFERROR(__xludf.DUMMYFUNCTION("SPLIT(C7727,""-"")"),7747.0)</f>
        <v>7747</v>
      </c>
      <c r="E7727" s="308" t="str">
        <f>IFERROR(__xludf.DUMMYFUNCTION("""COMPUTED_VALUE"""),"B")</f>
        <v>B</v>
      </c>
      <c r="F7727" s="315" t="s">
        <v>26</v>
      </c>
      <c r="G7727" s="308"/>
      <c r="H7727" s="308" t="s">
        <v>30497</v>
      </c>
      <c r="I7727" s="310">
        <v>42756.0</v>
      </c>
      <c r="J7727" s="319">
        <f>IFERROR(__xludf.DUMMYFUNCTION("SPLIT(I7727,""/"")"),21.0)</f>
        <v>21</v>
      </c>
      <c r="K7727" s="308">
        <f>IFERROR(__xludf.DUMMYFUNCTION("""COMPUTED_VALUE"""),1.0)</f>
        <v>1</v>
      </c>
      <c r="L7727" s="308">
        <f>IFERROR(__xludf.DUMMYFUNCTION("""COMPUTED_VALUE"""),2017.0)</f>
        <v>2017</v>
      </c>
      <c r="M7727" s="308" t="s">
        <v>30494</v>
      </c>
      <c r="N7727" s="308"/>
      <c r="O7727" s="308"/>
      <c r="P7727" s="308" t="s">
        <v>39852</v>
      </c>
      <c r="Q7727" s="308" t="s">
        <v>39573</v>
      </c>
      <c r="R7727" s="308"/>
      <c r="S7727" s="308" t="s">
        <v>81</v>
      </c>
      <c r="T7727" s="308" t="s">
        <v>75</v>
      </c>
      <c r="U7727" s="308" t="s">
        <v>27</v>
      </c>
      <c r="V7727" s="308"/>
    </row>
    <row r="7728">
      <c r="A7728" s="308"/>
      <c r="B7728" s="308"/>
      <c r="C7728" s="308" t="s">
        <v>30499</v>
      </c>
      <c r="D7728" s="308">
        <f>IFERROR(__xludf.DUMMYFUNCTION("SPLIT(C7728,""-"")"),7748.0)</f>
        <v>7748</v>
      </c>
      <c r="E7728" s="308" t="str">
        <f>IFERROR(__xludf.DUMMYFUNCTION("""COMPUTED_VALUE"""),"B")</f>
        <v>B</v>
      </c>
      <c r="F7728" s="315" t="s">
        <v>26</v>
      </c>
      <c r="G7728" s="308"/>
      <c r="H7728" s="308" t="s">
        <v>30500</v>
      </c>
      <c r="I7728" s="310">
        <v>42756.0</v>
      </c>
      <c r="J7728" s="319">
        <f>IFERROR(__xludf.DUMMYFUNCTION("SPLIT(I7728,""/"")"),21.0)</f>
        <v>21</v>
      </c>
      <c r="K7728" s="308">
        <f>IFERROR(__xludf.DUMMYFUNCTION("""COMPUTED_VALUE"""),1.0)</f>
        <v>1</v>
      </c>
      <c r="L7728" s="308">
        <f>IFERROR(__xludf.DUMMYFUNCTION("""COMPUTED_VALUE"""),2017.0)</f>
        <v>2017</v>
      </c>
      <c r="M7728" s="308" t="s">
        <v>30490</v>
      </c>
      <c r="N7728" s="308"/>
      <c r="O7728" s="308"/>
      <c r="P7728" s="308" t="s">
        <v>39853</v>
      </c>
      <c r="Q7728" s="308" t="s">
        <v>39573</v>
      </c>
      <c r="R7728" s="308"/>
      <c r="S7728" s="308" t="s">
        <v>81</v>
      </c>
      <c r="T7728" s="308" t="s">
        <v>75</v>
      </c>
      <c r="U7728" s="308" t="s">
        <v>27</v>
      </c>
      <c r="V7728" s="308"/>
    </row>
    <row r="7729">
      <c r="A7729" s="308"/>
      <c r="B7729" s="308"/>
      <c r="C7729" s="308" t="s">
        <v>30502</v>
      </c>
      <c r="D7729" s="308">
        <f>IFERROR(__xludf.DUMMYFUNCTION("SPLIT(C7729,""-"")"),7749.0)</f>
        <v>7749</v>
      </c>
      <c r="E7729" s="308" t="str">
        <f>IFERROR(__xludf.DUMMYFUNCTION("""COMPUTED_VALUE"""),"B")</f>
        <v>B</v>
      </c>
      <c r="F7729" s="315" t="s">
        <v>26</v>
      </c>
      <c r="G7729" s="308"/>
      <c r="H7729" s="308" t="s">
        <v>30503</v>
      </c>
      <c r="I7729" s="310">
        <v>42766.0</v>
      </c>
      <c r="J7729" s="319">
        <f>IFERROR(__xludf.DUMMYFUNCTION("SPLIT(I7729,""/"")"),31.0)</f>
        <v>31</v>
      </c>
      <c r="K7729" s="308">
        <f>IFERROR(__xludf.DUMMYFUNCTION("""COMPUTED_VALUE"""),1.0)</f>
        <v>1</v>
      </c>
      <c r="L7729" s="308">
        <f>IFERROR(__xludf.DUMMYFUNCTION("""COMPUTED_VALUE"""),2017.0)</f>
        <v>2017</v>
      </c>
      <c r="M7729" s="308" t="s">
        <v>30504</v>
      </c>
      <c r="N7729" s="308"/>
      <c r="O7729" s="308"/>
      <c r="P7729" s="308" t="s">
        <v>136</v>
      </c>
      <c r="Q7729" s="308" t="s">
        <v>39573</v>
      </c>
      <c r="R7729" s="308"/>
      <c r="S7729" s="315" t="s">
        <v>100</v>
      </c>
      <c r="T7729" s="308" t="s">
        <v>34208</v>
      </c>
      <c r="U7729" s="308" t="s">
        <v>27</v>
      </c>
      <c r="V7729" s="308"/>
    </row>
    <row r="7730">
      <c r="A7730" s="308"/>
      <c r="B7730" s="308"/>
      <c r="C7730" s="308" t="s">
        <v>30505</v>
      </c>
      <c r="D7730" s="308">
        <f>IFERROR(__xludf.DUMMYFUNCTION("SPLIT(C7730,""-"")"),7750.0)</f>
        <v>7750</v>
      </c>
      <c r="E7730" s="308" t="str">
        <f>IFERROR(__xludf.DUMMYFUNCTION("""COMPUTED_VALUE"""),"B")</f>
        <v>B</v>
      </c>
      <c r="F7730" s="315" t="s">
        <v>26</v>
      </c>
      <c r="G7730" s="308"/>
      <c r="H7730" s="308" t="s">
        <v>30506</v>
      </c>
      <c r="I7730" s="310">
        <v>42768.0</v>
      </c>
      <c r="J7730" s="319">
        <f>IFERROR(__xludf.DUMMYFUNCTION("SPLIT(I7730,""/"")"),2.0)</f>
        <v>2</v>
      </c>
      <c r="K7730" s="308">
        <f>IFERROR(__xludf.DUMMYFUNCTION("""COMPUTED_VALUE"""),2.0)</f>
        <v>2</v>
      </c>
      <c r="L7730" s="308">
        <f>IFERROR(__xludf.DUMMYFUNCTION("""COMPUTED_VALUE"""),2017.0)</f>
        <v>2017</v>
      </c>
      <c r="M7730" s="308" t="s">
        <v>30507</v>
      </c>
      <c r="N7730" s="308"/>
      <c r="O7730" s="308"/>
      <c r="P7730" s="308" t="s">
        <v>39854</v>
      </c>
      <c r="Q7730" s="308" t="s">
        <v>39573</v>
      </c>
      <c r="R7730" s="308"/>
      <c r="S7730" s="308" t="s">
        <v>81</v>
      </c>
      <c r="T7730" s="308" t="s">
        <v>75</v>
      </c>
      <c r="U7730" s="308" t="s">
        <v>27</v>
      </c>
      <c r="V7730" s="308"/>
    </row>
    <row r="7731">
      <c r="A7731" s="308"/>
      <c r="B7731" s="308"/>
      <c r="C7731" s="308" t="s">
        <v>30509</v>
      </c>
      <c r="D7731" s="308">
        <f>IFERROR(__xludf.DUMMYFUNCTION("SPLIT(C7731,""-"")"),7751.0)</f>
        <v>7751</v>
      </c>
      <c r="E7731" s="308" t="str">
        <f>IFERROR(__xludf.DUMMYFUNCTION("""COMPUTED_VALUE"""),"B")</f>
        <v>B</v>
      </c>
      <c r="F7731" s="315" t="s">
        <v>26</v>
      </c>
      <c r="G7731" s="308"/>
      <c r="H7731" s="308" t="s">
        <v>30510</v>
      </c>
      <c r="I7731" s="310">
        <v>42768.0</v>
      </c>
      <c r="J7731" s="319">
        <f>IFERROR(__xludf.DUMMYFUNCTION("SPLIT(I7731,""/"")"),2.0)</f>
        <v>2</v>
      </c>
      <c r="K7731" s="308">
        <f>IFERROR(__xludf.DUMMYFUNCTION("""COMPUTED_VALUE"""),2.0)</f>
        <v>2</v>
      </c>
      <c r="L7731" s="308">
        <f>IFERROR(__xludf.DUMMYFUNCTION("""COMPUTED_VALUE"""),2017.0)</f>
        <v>2017</v>
      </c>
      <c r="M7731" s="308" t="s">
        <v>30507</v>
      </c>
      <c r="N7731" s="308"/>
      <c r="O7731" s="308"/>
      <c r="P7731" s="308" t="s">
        <v>39855</v>
      </c>
      <c r="Q7731" s="308" t="s">
        <v>39573</v>
      </c>
      <c r="R7731" s="308"/>
      <c r="S7731" s="308" t="s">
        <v>81</v>
      </c>
      <c r="T7731" s="308" t="s">
        <v>75</v>
      </c>
      <c r="U7731" s="308" t="s">
        <v>27</v>
      </c>
      <c r="V7731" s="308"/>
    </row>
    <row r="7732">
      <c r="A7732" s="308"/>
      <c r="B7732" s="308"/>
      <c r="C7732" s="308" t="s">
        <v>30512</v>
      </c>
      <c r="D7732" s="308">
        <f>IFERROR(__xludf.DUMMYFUNCTION("SPLIT(C7732,""-"")"),7752.0)</f>
        <v>7752</v>
      </c>
      <c r="E7732" s="308" t="str">
        <f>IFERROR(__xludf.DUMMYFUNCTION("""COMPUTED_VALUE"""),"B")</f>
        <v>B</v>
      </c>
      <c r="F7732" s="315" t="s">
        <v>26</v>
      </c>
      <c r="G7732" s="308"/>
      <c r="H7732" s="308" t="s">
        <v>30513</v>
      </c>
      <c r="I7732" s="310">
        <v>42768.0</v>
      </c>
      <c r="J7732" s="319">
        <f>IFERROR(__xludf.DUMMYFUNCTION("SPLIT(I7732,""/"")"),2.0)</f>
        <v>2</v>
      </c>
      <c r="K7732" s="308">
        <f>IFERROR(__xludf.DUMMYFUNCTION("""COMPUTED_VALUE"""),2.0)</f>
        <v>2</v>
      </c>
      <c r="L7732" s="308">
        <f>IFERROR(__xludf.DUMMYFUNCTION("""COMPUTED_VALUE"""),2017.0)</f>
        <v>2017</v>
      </c>
      <c r="M7732" s="308" t="s">
        <v>30381</v>
      </c>
      <c r="N7732" s="308"/>
      <c r="O7732" s="308"/>
      <c r="P7732" s="308" t="s">
        <v>39856</v>
      </c>
      <c r="Q7732" s="308" t="s">
        <v>39573</v>
      </c>
      <c r="R7732" s="308"/>
      <c r="S7732" s="308" t="s">
        <v>81</v>
      </c>
      <c r="T7732" s="308" t="s">
        <v>75</v>
      </c>
      <c r="U7732" s="308" t="s">
        <v>27</v>
      </c>
      <c r="V7732" s="308"/>
    </row>
    <row r="7733">
      <c r="A7733" s="308"/>
      <c r="B7733" s="308"/>
      <c r="C7733" s="308" t="s">
        <v>30515</v>
      </c>
      <c r="D7733" s="308">
        <f>IFERROR(__xludf.DUMMYFUNCTION("SPLIT(C7733,""-"")"),7753.0)</f>
        <v>7753</v>
      </c>
      <c r="E7733" s="308" t="str">
        <f>IFERROR(__xludf.DUMMYFUNCTION("""COMPUTED_VALUE"""),"B")</f>
        <v>B</v>
      </c>
      <c r="F7733" s="315" t="s">
        <v>26</v>
      </c>
      <c r="G7733" s="308"/>
      <c r="H7733" s="308" t="s">
        <v>30516</v>
      </c>
      <c r="I7733" s="310">
        <v>42768.0</v>
      </c>
      <c r="J7733" s="319">
        <f>IFERROR(__xludf.DUMMYFUNCTION("SPLIT(I7733,""/"")"),2.0)</f>
        <v>2</v>
      </c>
      <c r="K7733" s="308">
        <f>IFERROR(__xludf.DUMMYFUNCTION("""COMPUTED_VALUE"""),2.0)</f>
        <v>2</v>
      </c>
      <c r="L7733" s="308">
        <f>IFERROR(__xludf.DUMMYFUNCTION("""COMPUTED_VALUE"""),2017.0)</f>
        <v>2017</v>
      </c>
      <c r="M7733" s="308" t="s">
        <v>30381</v>
      </c>
      <c r="N7733" s="308"/>
      <c r="O7733" s="308"/>
      <c r="P7733" s="308" t="s">
        <v>39857</v>
      </c>
      <c r="Q7733" s="308" t="s">
        <v>39573</v>
      </c>
      <c r="R7733" s="308"/>
      <c r="S7733" s="308" t="s">
        <v>81</v>
      </c>
      <c r="T7733" s="308" t="s">
        <v>75</v>
      </c>
      <c r="U7733" s="308" t="s">
        <v>27</v>
      </c>
      <c r="V7733" s="308"/>
    </row>
    <row r="7734">
      <c r="A7734" s="308"/>
      <c r="B7734" s="308"/>
      <c r="C7734" s="308" t="s">
        <v>30521</v>
      </c>
      <c r="D7734" s="308">
        <f>IFERROR(__xludf.DUMMYFUNCTION("SPLIT(C7734,""-"")"),7754.0)</f>
        <v>7754</v>
      </c>
      <c r="E7734" s="308" t="str">
        <f>IFERROR(__xludf.DUMMYFUNCTION("""COMPUTED_VALUE"""),"B")</f>
        <v>B</v>
      </c>
      <c r="F7734" s="315" t="s">
        <v>26</v>
      </c>
      <c r="G7734" s="308"/>
      <c r="H7734" s="308" t="s">
        <v>30522</v>
      </c>
      <c r="I7734" s="310">
        <v>42772.0</v>
      </c>
      <c r="J7734" s="319">
        <f>IFERROR(__xludf.DUMMYFUNCTION("SPLIT(I7734,""/"")"),6.0)</f>
        <v>6</v>
      </c>
      <c r="K7734" s="308">
        <f>IFERROR(__xludf.DUMMYFUNCTION("""COMPUTED_VALUE"""),2.0)</f>
        <v>2</v>
      </c>
      <c r="L7734" s="308">
        <f>IFERROR(__xludf.DUMMYFUNCTION("""COMPUTED_VALUE"""),2017.0)</f>
        <v>2017</v>
      </c>
      <c r="M7734" s="308" t="s">
        <v>30504</v>
      </c>
      <c r="N7734" s="308"/>
      <c r="O7734" s="308"/>
      <c r="P7734" s="308" t="s">
        <v>39858</v>
      </c>
      <c r="Q7734" s="308" t="s">
        <v>39573</v>
      </c>
      <c r="R7734" s="308"/>
      <c r="S7734" s="308" t="s">
        <v>81</v>
      </c>
      <c r="T7734" s="308" t="s">
        <v>75</v>
      </c>
      <c r="U7734" s="308" t="s">
        <v>27</v>
      </c>
      <c r="V7734" s="308"/>
    </row>
    <row r="7735">
      <c r="A7735" s="308"/>
      <c r="B7735" s="308"/>
      <c r="C7735" s="308" t="s">
        <v>30524</v>
      </c>
      <c r="D7735" s="308">
        <f>IFERROR(__xludf.DUMMYFUNCTION("SPLIT(C7735,""-"")"),7755.0)</f>
        <v>7755</v>
      </c>
      <c r="E7735" s="308" t="str">
        <f>IFERROR(__xludf.DUMMYFUNCTION("""COMPUTED_VALUE"""),"B")</f>
        <v>B</v>
      </c>
      <c r="F7735" s="315" t="s">
        <v>26</v>
      </c>
      <c r="G7735" s="308"/>
      <c r="H7735" s="308" t="s">
        <v>30525</v>
      </c>
      <c r="I7735" s="310">
        <v>42772.0</v>
      </c>
      <c r="J7735" s="319">
        <f>IFERROR(__xludf.DUMMYFUNCTION("SPLIT(I7735,""/"")"),6.0)</f>
        <v>6</v>
      </c>
      <c r="K7735" s="308">
        <f>IFERROR(__xludf.DUMMYFUNCTION("""COMPUTED_VALUE"""),2.0)</f>
        <v>2</v>
      </c>
      <c r="L7735" s="308">
        <f>IFERROR(__xludf.DUMMYFUNCTION("""COMPUTED_VALUE"""),2017.0)</f>
        <v>2017</v>
      </c>
      <c r="M7735" s="308" t="s">
        <v>30504</v>
      </c>
      <c r="N7735" s="308"/>
      <c r="O7735" s="308"/>
      <c r="P7735" s="308" t="s">
        <v>39859</v>
      </c>
      <c r="Q7735" s="308" t="s">
        <v>39573</v>
      </c>
      <c r="R7735" s="308"/>
      <c r="S7735" s="308" t="s">
        <v>81</v>
      </c>
      <c r="T7735" s="308" t="s">
        <v>75</v>
      </c>
      <c r="U7735" s="308" t="s">
        <v>27</v>
      </c>
      <c r="V7735" s="308"/>
    </row>
    <row r="7736">
      <c r="A7736" s="308"/>
      <c r="B7736" s="308"/>
      <c r="C7736" s="308" t="s">
        <v>30527</v>
      </c>
      <c r="D7736" s="308">
        <f>IFERROR(__xludf.DUMMYFUNCTION("SPLIT(C7736,""-"")"),7756.0)</f>
        <v>7756</v>
      </c>
      <c r="E7736" s="308" t="str">
        <f>IFERROR(__xludf.DUMMYFUNCTION("""COMPUTED_VALUE"""),"B")</f>
        <v>B</v>
      </c>
      <c r="F7736" s="315" t="s">
        <v>26</v>
      </c>
      <c r="G7736" s="308"/>
      <c r="H7736" s="308" t="s">
        <v>30528</v>
      </c>
      <c r="I7736" s="310">
        <v>42772.0</v>
      </c>
      <c r="J7736" s="319">
        <f>IFERROR(__xludf.DUMMYFUNCTION("SPLIT(I7736,""/"")"),6.0)</f>
        <v>6</v>
      </c>
      <c r="K7736" s="308">
        <f>IFERROR(__xludf.DUMMYFUNCTION("""COMPUTED_VALUE"""),2.0)</f>
        <v>2</v>
      </c>
      <c r="L7736" s="308">
        <f>IFERROR(__xludf.DUMMYFUNCTION("""COMPUTED_VALUE"""),2017.0)</f>
        <v>2017</v>
      </c>
      <c r="M7736" s="308" t="s">
        <v>30504</v>
      </c>
      <c r="N7736" s="308"/>
      <c r="O7736" s="308"/>
      <c r="P7736" s="308" t="s">
        <v>39860</v>
      </c>
      <c r="Q7736" s="308" t="s">
        <v>39573</v>
      </c>
      <c r="R7736" s="308"/>
      <c r="S7736" s="308" t="s">
        <v>81</v>
      </c>
      <c r="T7736" s="308" t="s">
        <v>75</v>
      </c>
      <c r="U7736" s="308" t="s">
        <v>27</v>
      </c>
      <c r="V7736" s="308"/>
    </row>
    <row r="7737">
      <c r="A7737" s="308"/>
      <c r="B7737" s="308"/>
      <c r="C7737" s="308" t="s">
        <v>30530</v>
      </c>
      <c r="D7737" s="308">
        <f>IFERROR(__xludf.DUMMYFUNCTION("SPLIT(C7737,""-"")"),7757.0)</f>
        <v>7757</v>
      </c>
      <c r="E7737" s="308" t="str">
        <f>IFERROR(__xludf.DUMMYFUNCTION("""COMPUTED_VALUE"""),"B")</f>
        <v>B</v>
      </c>
      <c r="F7737" s="315" t="s">
        <v>26</v>
      </c>
      <c r="G7737" s="308"/>
      <c r="H7737" s="308" t="s">
        <v>30531</v>
      </c>
      <c r="I7737" s="310">
        <v>42782.0</v>
      </c>
      <c r="J7737" s="319">
        <f>IFERROR(__xludf.DUMMYFUNCTION("SPLIT(I7737,""/"")"),16.0)</f>
        <v>16</v>
      </c>
      <c r="K7737" s="308">
        <f>IFERROR(__xludf.DUMMYFUNCTION("""COMPUTED_VALUE"""),2.0)</f>
        <v>2</v>
      </c>
      <c r="L7737" s="308">
        <f>IFERROR(__xludf.DUMMYFUNCTION("""COMPUTED_VALUE"""),2017.0)</f>
        <v>2017</v>
      </c>
      <c r="M7737" s="308" t="s">
        <v>30532</v>
      </c>
      <c r="N7737" s="308"/>
      <c r="O7737" s="308"/>
      <c r="P7737" s="308" t="s">
        <v>39861</v>
      </c>
      <c r="Q7737" s="308" t="s">
        <v>39573</v>
      </c>
      <c r="R7737" s="308"/>
      <c r="S7737" s="308" t="s">
        <v>81</v>
      </c>
      <c r="T7737" s="308" t="s">
        <v>75</v>
      </c>
      <c r="U7737" s="308" t="s">
        <v>27</v>
      </c>
      <c r="V7737" s="308"/>
    </row>
    <row r="7738">
      <c r="A7738" s="308"/>
      <c r="B7738" s="308"/>
      <c r="C7738" s="308" t="s">
        <v>30534</v>
      </c>
      <c r="D7738" s="308">
        <f>IFERROR(__xludf.DUMMYFUNCTION("SPLIT(C7738,""-"")"),7758.0)</f>
        <v>7758</v>
      </c>
      <c r="E7738" s="308" t="str">
        <f>IFERROR(__xludf.DUMMYFUNCTION("""COMPUTED_VALUE"""),"B")</f>
        <v>B</v>
      </c>
      <c r="F7738" s="315" t="s">
        <v>26</v>
      </c>
      <c r="G7738" s="308"/>
      <c r="H7738" s="308" t="s">
        <v>30535</v>
      </c>
      <c r="I7738" s="310">
        <v>42782.0</v>
      </c>
      <c r="J7738" s="319">
        <f>IFERROR(__xludf.DUMMYFUNCTION("SPLIT(I7738,""/"")"),16.0)</f>
        <v>16</v>
      </c>
      <c r="K7738" s="308">
        <f>IFERROR(__xludf.DUMMYFUNCTION("""COMPUTED_VALUE"""),2.0)</f>
        <v>2</v>
      </c>
      <c r="L7738" s="308">
        <f>IFERROR(__xludf.DUMMYFUNCTION("""COMPUTED_VALUE"""),2017.0)</f>
        <v>2017</v>
      </c>
      <c r="M7738" s="308" t="s">
        <v>30532</v>
      </c>
      <c r="N7738" s="308"/>
      <c r="O7738" s="308"/>
      <c r="P7738" s="308" t="s">
        <v>39862</v>
      </c>
      <c r="Q7738" s="308" t="s">
        <v>39573</v>
      </c>
      <c r="R7738" s="308"/>
      <c r="S7738" s="308" t="s">
        <v>81</v>
      </c>
      <c r="T7738" s="308" t="s">
        <v>75</v>
      </c>
      <c r="U7738" s="308" t="s">
        <v>27</v>
      </c>
      <c r="V7738" s="308"/>
    </row>
    <row r="7739">
      <c r="A7739" s="308"/>
      <c r="B7739" s="308"/>
      <c r="C7739" s="308" t="s">
        <v>30537</v>
      </c>
      <c r="D7739" s="308">
        <f>IFERROR(__xludf.DUMMYFUNCTION("SPLIT(C7739,""-"")"),7759.0)</f>
        <v>7759</v>
      </c>
      <c r="E7739" s="308" t="str">
        <f>IFERROR(__xludf.DUMMYFUNCTION("""COMPUTED_VALUE"""),"B")</f>
        <v>B</v>
      </c>
      <c r="F7739" s="315" t="s">
        <v>26</v>
      </c>
      <c r="G7739" s="308"/>
      <c r="H7739" s="308" t="s">
        <v>30538</v>
      </c>
      <c r="I7739" s="310">
        <v>42780.0</v>
      </c>
      <c r="J7739" s="319">
        <f>IFERROR(__xludf.DUMMYFUNCTION("SPLIT(I7739,""/"")"),14.0)</f>
        <v>14</v>
      </c>
      <c r="K7739" s="308">
        <f>IFERROR(__xludf.DUMMYFUNCTION("""COMPUTED_VALUE"""),2.0)</f>
        <v>2</v>
      </c>
      <c r="L7739" s="308">
        <f>IFERROR(__xludf.DUMMYFUNCTION("""COMPUTED_VALUE"""),2017.0)</f>
        <v>2017</v>
      </c>
      <c r="M7739" s="308" t="s">
        <v>30539</v>
      </c>
      <c r="N7739" s="308"/>
      <c r="O7739" s="308"/>
      <c r="P7739" s="308" t="s">
        <v>39863</v>
      </c>
      <c r="Q7739" s="308" t="s">
        <v>39573</v>
      </c>
      <c r="R7739" s="308"/>
      <c r="S7739" s="308" t="s">
        <v>81</v>
      </c>
      <c r="T7739" s="308" t="s">
        <v>75</v>
      </c>
      <c r="U7739" s="308" t="s">
        <v>27</v>
      </c>
      <c r="V7739" s="308"/>
    </row>
    <row r="7740">
      <c r="A7740" s="308"/>
      <c r="B7740" s="308"/>
      <c r="C7740" s="308" t="s">
        <v>30541</v>
      </c>
      <c r="D7740" s="308">
        <f>IFERROR(__xludf.DUMMYFUNCTION("SPLIT(C7740,""-"")"),7760.0)</f>
        <v>7760</v>
      </c>
      <c r="E7740" s="308" t="str">
        <f>IFERROR(__xludf.DUMMYFUNCTION("""COMPUTED_VALUE"""),"B")</f>
        <v>B</v>
      </c>
      <c r="F7740" s="315" t="s">
        <v>26</v>
      </c>
      <c r="G7740" s="308"/>
      <c r="H7740" s="308" t="s">
        <v>30542</v>
      </c>
      <c r="I7740" s="310">
        <v>42780.0</v>
      </c>
      <c r="J7740" s="319">
        <f>IFERROR(__xludf.DUMMYFUNCTION("SPLIT(I7740,""/"")"),14.0)</f>
        <v>14</v>
      </c>
      <c r="K7740" s="308">
        <f>IFERROR(__xludf.DUMMYFUNCTION("""COMPUTED_VALUE"""),2.0)</f>
        <v>2</v>
      </c>
      <c r="L7740" s="308">
        <f>IFERROR(__xludf.DUMMYFUNCTION("""COMPUTED_VALUE"""),2017.0)</f>
        <v>2017</v>
      </c>
      <c r="M7740" s="308" t="s">
        <v>30539</v>
      </c>
      <c r="N7740" s="308"/>
      <c r="O7740" s="308"/>
      <c r="P7740" s="308" t="s">
        <v>39864</v>
      </c>
      <c r="Q7740" s="308" t="s">
        <v>39573</v>
      </c>
      <c r="R7740" s="308"/>
      <c r="S7740" s="308" t="s">
        <v>81</v>
      </c>
      <c r="T7740" s="308" t="s">
        <v>75</v>
      </c>
      <c r="U7740" s="308" t="s">
        <v>27</v>
      </c>
      <c r="V7740" s="308"/>
    </row>
    <row r="7741">
      <c r="A7741" s="308"/>
      <c r="B7741" s="308"/>
      <c r="C7741" s="308" t="s">
        <v>30544</v>
      </c>
      <c r="D7741" s="308">
        <f>IFERROR(__xludf.DUMMYFUNCTION("SPLIT(C7741,""-"")"),7761.0)</f>
        <v>7761</v>
      </c>
      <c r="E7741" s="308" t="str">
        <f>IFERROR(__xludf.DUMMYFUNCTION("""COMPUTED_VALUE"""),"B")</f>
        <v>B</v>
      </c>
      <c r="F7741" s="315" t="s">
        <v>26</v>
      </c>
      <c r="G7741" s="308"/>
      <c r="H7741" s="308" t="s">
        <v>30545</v>
      </c>
      <c r="I7741" s="310">
        <v>43071.0</v>
      </c>
      <c r="J7741" s="319">
        <f>IFERROR(__xludf.DUMMYFUNCTION("SPLIT(I7741,""/"")"),2.0)</f>
        <v>2</v>
      </c>
      <c r="K7741" s="308">
        <f>IFERROR(__xludf.DUMMYFUNCTION("""COMPUTED_VALUE"""),12.0)</f>
        <v>12</v>
      </c>
      <c r="L7741" s="308">
        <f>IFERROR(__xludf.DUMMYFUNCTION("""COMPUTED_VALUE"""),2017.0)</f>
        <v>2017</v>
      </c>
      <c r="M7741" s="308" t="s">
        <v>30546</v>
      </c>
      <c r="N7741" s="308"/>
      <c r="O7741" s="308"/>
      <c r="P7741" s="308" t="s">
        <v>39865</v>
      </c>
      <c r="Q7741" s="308" t="s">
        <v>39573</v>
      </c>
      <c r="R7741" s="308"/>
      <c r="S7741" s="308" t="s">
        <v>81</v>
      </c>
      <c r="T7741" s="308" t="s">
        <v>75</v>
      </c>
      <c r="U7741" s="308" t="s">
        <v>27</v>
      </c>
      <c r="V7741" s="308"/>
    </row>
    <row r="7742">
      <c r="A7742" s="308"/>
      <c r="B7742" s="308"/>
      <c r="C7742" s="308" t="s">
        <v>30548</v>
      </c>
      <c r="D7742" s="308">
        <f>IFERROR(__xludf.DUMMYFUNCTION("SPLIT(C7742,""-"")"),7762.0)</f>
        <v>7762</v>
      </c>
      <c r="E7742" s="308" t="str">
        <f>IFERROR(__xludf.DUMMYFUNCTION("""COMPUTED_VALUE"""),"B")</f>
        <v>B</v>
      </c>
      <c r="F7742" s="315" t="s">
        <v>26</v>
      </c>
      <c r="G7742" s="308"/>
      <c r="H7742" s="308" t="s">
        <v>30549</v>
      </c>
      <c r="I7742" s="310">
        <v>42845.0</v>
      </c>
      <c r="J7742" s="319">
        <f>IFERROR(__xludf.DUMMYFUNCTION("SPLIT(I7742,""/"")"),20.0)</f>
        <v>20</v>
      </c>
      <c r="K7742" s="308">
        <f>IFERROR(__xludf.DUMMYFUNCTION("""COMPUTED_VALUE"""),4.0)</f>
        <v>4</v>
      </c>
      <c r="L7742" s="308">
        <f>IFERROR(__xludf.DUMMYFUNCTION("""COMPUTED_VALUE"""),2017.0)</f>
        <v>2017</v>
      </c>
      <c r="M7742" s="308" t="s">
        <v>30504</v>
      </c>
      <c r="N7742" s="308"/>
      <c r="O7742" s="308"/>
      <c r="P7742" s="308" t="s">
        <v>39866</v>
      </c>
      <c r="Q7742" s="308" t="s">
        <v>39573</v>
      </c>
      <c r="R7742" s="308"/>
      <c r="S7742" s="308" t="s">
        <v>81</v>
      </c>
      <c r="T7742" s="308" t="s">
        <v>75</v>
      </c>
      <c r="U7742" s="308" t="s">
        <v>27</v>
      </c>
      <c r="V7742" s="308"/>
    </row>
    <row r="7743">
      <c r="A7743" s="308"/>
      <c r="B7743" s="308"/>
      <c r="C7743" s="308" t="s">
        <v>30551</v>
      </c>
      <c r="D7743" s="308">
        <f>IFERROR(__xludf.DUMMYFUNCTION("SPLIT(C7743,""-"")"),7763.0)</f>
        <v>7763</v>
      </c>
      <c r="E7743" s="308" t="str">
        <f>IFERROR(__xludf.DUMMYFUNCTION("""COMPUTED_VALUE"""),"B")</f>
        <v>B</v>
      </c>
      <c r="F7743" s="315" t="s">
        <v>26</v>
      </c>
      <c r="G7743" s="308"/>
      <c r="H7743" s="308" t="s">
        <v>30552</v>
      </c>
      <c r="I7743" s="310">
        <v>42851.0</v>
      </c>
      <c r="J7743" s="319">
        <f>IFERROR(__xludf.DUMMYFUNCTION("SPLIT(I7743,""/"")"),26.0)</f>
        <v>26</v>
      </c>
      <c r="K7743" s="308">
        <f>IFERROR(__xludf.DUMMYFUNCTION("""COMPUTED_VALUE"""),4.0)</f>
        <v>4</v>
      </c>
      <c r="L7743" s="308">
        <f>IFERROR(__xludf.DUMMYFUNCTION("""COMPUTED_VALUE"""),2017.0)</f>
        <v>2017</v>
      </c>
      <c r="M7743" s="308" t="s">
        <v>30553</v>
      </c>
      <c r="N7743" s="308"/>
      <c r="O7743" s="308"/>
      <c r="P7743" s="308" t="s">
        <v>30554</v>
      </c>
      <c r="Q7743" s="308" t="s">
        <v>39573</v>
      </c>
      <c r="R7743" s="308"/>
      <c r="S7743" s="308" t="s">
        <v>81</v>
      </c>
      <c r="T7743" s="308" t="s">
        <v>75</v>
      </c>
      <c r="U7743" s="308" t="s">
        <v>27</v>
      </c>
      <c r="V7743" s="308"/>
    </row>
    <row r="7744">
      <c r="A7744" s="308"/>
      <c r="B7744" s="308"/>
      <c r="C7744" s="308" t="s">
        <v>30555</v>
      </c>
      <c r="D7744" s="308">
        <f>IFERROR(__xludf.DUMMYFUNCTION("SPLIT(C7744,""-"")"),7764.0)</f>
        <v>7764</v>
      </c>
      <c r="E7744" s="308" t="str">
        <f>IFERROR(__xludf.DUMMYFUNCTION("""COMPUTED_VALUE"""),"B")</f>
        <v>B</v>
      </c>
      <c r="F7744" s="315" t="s">
        <v>26</v>
      </c>
      <c r="G7744" s="308"/>
      <c r="H7744" s="308" t="s">
        <v>30556</v>
      </c>
      <c r="I7744" s="310">
        <v>42859.0</v>
      </c>
      <c r="J7744" s="319">
        <f>IFERROR(__xludf.DUMMYFUNCTION("SPLIT(I7744,""/"")"),4.0)</f>
        <v>4</v>
      </c>
      <c r="K7744" s="308">
        <f>IFERROR(__xludf.DUMMYFUNCTION("""COMPUTED_VALUE"""),5.0)</f>
        <v>5</v>
      </c>
      <c r="L7744" s="308">
        <f>IFERROR(__xludf.DUMMYFUNCTION("""COMPUTED_VALUE"""),2017.0)</f>
        <v>2017</v>
      </c>
      <c r="M7744" s="308" t="s">
        <v>30557</v>
      </c>
      <c r="N7744" s="308"/>
      <c r="O7744" s="308"/>
      <c r="P7744" s="308" t="s">
        <v>39867</v>
      </c>
      <c r="Q7744" s="308" t="s">
        <v>39573</v>
      </c>
      <c r="R7744" s="308"/>
      <c r="S7744" s="308" t="s">
        <v>81</v>
      </c>
      <c r="T7744" s="308" t="s">
        <v>75</v>
      </c>
      <c r="U7744" s="308" t="s">
        <v>27</v>
      </c>
      <c r="V7744" s="308"/>
    </row>
    <row r="7745">
      <c r="A7745" s="308"/>
      <c r="B7745" s="308"/>
      <c r="C7745" s="308" t="s">
        <v>30559</v>
      </c>
      <c r="D7745" s="308">
        <f>IFERROR(__xludf.DUMMYFUNCTION("SPLIT(C7745,""-"")"),7765.0)</f>
        <v>7765</v>
      </c>
      <c r="E7745" s="308" t="str">
        <f>IFERROR(__xludf.DUMMYFUNCTION("""COMPUTED_VALUE"""),"B")</f>
        <v>B</v>
      </c>
      <c r="F7745" s="315" t="s">
        <v>26</v>
      </c>
      <c r="G7745" s="308"/>
      <c r="H7745" s="308" t="s">
        <v>30560</v>
      </c>
      <c r="I7745" s="310">
        <v>42859.0</v>
      </c>
      <c r="J7745" s="319">
        <f>IFERROR(__xludf.DUMMYFUNCTION("SPLIT(I7745,""/"")"),4.0)</f>
        <v>4</v>
      </c>
      <c r="K7745" s="308">
        <f>IFERROR(__xludf.DUMMYFUNCTION("""COMPUTED_VALUE"""),5.0)</f>
        <v>5</v>
      </c>
      <c r="L7745" s="308">
        <f>IFERROR(__xludf.DUMMYFUNCTION("""COMPUTED_VALUE"""),2017.0)</f>
        <v>2017</v>
      </c>
      <c r="M7745" s="308" t="s">
        <v>30557</v>
      </c>
      <c r="N7745" s="308"/>
      <c r="O7745" s="308"/>
      <c r="P7745" s="308" t="s">
        <v>39868</v>
      </c>
      <c r="Q7745" s="308" t="s">
        <v>39573</v>
      </c>
      <c r="R7745" s="308"/>
      <c r="S7745" s="308" t="s">
        <v>81</v>
      </c>
      <c r="T7745" s="308" t="s">
        <v>75</v>
      </c>
      <c r="U7745" s="308" t="s">
        <v>27</v>
      </c>
      <c r="V7745" s="308"/>
    </row>
    <row r="7746">
      <c r="A7746" s="308"/>
      <c r="B7746" s="308"/>
      <c r="C7746" s="308" t="s">
        <v>30562</v>
      </c>
      <c r="D7746" s="308">
        <f>IFERROR(__xludf.DUMMYFUNCTION("SPLIT(C7746,""-"")"),7766.0)</f>
        <v>7766</v>
      </c>
      <c r="E7746" s="308" t="str">
        <f>IFERROR(__xludf.DUMMYFUNCTION("""COMPUTED_VALUE"""),"B")</f>
        <v>B</v>
      </c>
      <c r="F7746" s="315" t="s">
        <v>26</v>
      </c>
      <c r="G7746" s="308"/>
      <c r="H7746" s="308" t="s">
        <v>30563</v>
      </c>
      <c r="I7746" s="310">
        <v>42859.0</v>
      </c>
      <c r="J7746" s="319">
        <f>IFERROR(__xludf.DUMMYFUNCTION("SPLIT(I7746,""/"")"),4.0)</f>
        <v>4</v>
      </c>
      <c r="K7746" s="308">
        <f>IFERROR(__xludf.DUMMYFUNCTION("""COMPUTED_VALUE"""),5.0)</f>
        <v>5</v>
      </c>
      <c r="L7746" s="308">
        <f>IFERROR(__xludf.DUMMYFUNCTION("""COMPUTED_VALUE"""),2017.0)</f>
        <v>2017</v>
      </c>
      <c r="M7746" s="308" t="s">
        <v>30557</v>
      </c>
      <c r="N7746" s="308"/>
      <c r="O7746" s="308"/>
      <c r="P7746" s="308" t="s">
        <v>39869</v>
      </c>
      <c r="Q7746" s="308" t="s">
        <v>39573</v>
      </c>
      <c r="R7746" s="308"/>
      <c r="S7746" s="308" t="s">
        <v>81</v>
      </c>
      <c r="T7746" s="308" t="s">
        <v>75</v>
      </c>
      <c r="U7746" s="308" t="s">
        <v>27</v>
      </c>
      <c r="V7746" s="308"/>
    </row>
    <row r="7747">
      <c r="A7747" s="308"/>
      <c r="B7747" s="308"/>
      <c r="C7747" s="308" t="s">
        <v>30565</v>
      </c>
      <c r="D7747" s="308">
        <f>IFERROR(__xludf.DUMMYFUNCTION("SPLIT(C7747,""-"")"),7767.0)</f>
        <v>7767</v>
      </c>
      <c r="E7747" s="308" t="str">
        <f>IFERROR(__xludf.DUMMYFUNCTION("""COMPUTED_VALUE"""),"B")</f>
        <v>B</v>
      </c>
      <c r="F7747" s="315" t="s">
        <v>26</v>
      </c>
      <c r="G7747" s="308"/>
      <c r="H7747" s="308" t="s">
        <v>30566</v>
      </c>
      <c r="I7747" s="310">
        <v>42860.0</v>
      </c>
      <c r="J7747" s="319">
        <f>IFERROR(__xludf.DUMMYFUNCTION("SPLIT(I7747,""/"")"),5.0)</f>
        <v>5</v>
      </c>
      <c r="K7747" s="308">
        <f>IFERROR(__xludf.DUMMYFUNCTION("""COMPUTED_VALUE"""),5.0)</f>
        <v>5</v>
      </c>
      <c r="L7747" s="308">
        <f>IFERROR(__xludf.DUMMYFUNCTION("""COMPUTED_VALUE"""),2017.0)</f>
        <v>2017</v>
      </c>
      <c r="M7747" s="308" t="s">
        <v>30567</v>
      </c>
      <c r="N7747" s="308"/>
      <c r="O7747" s="308"/>
      <c r="P7747" s="308" t="s">
        <v>39870</v>
      </c>
      <c r="Q7747" s="308" t="s">
        <v>39573</v>
      </c>
      <c r="R7747" s="308"/>
      <c r="S7747" s="308" t="s">
        <v>81</v>
      </c>
      <c r="T7747" s="308" t="s">
        <v>75</v>
      </c>
      <c r="U7747" s="308" t="s">
        <v>27</v>
      </c>
      <c r="V7747" s="308"/>
    </row>
    <row r="7748">
      <c r="A7748" s="308"/>
      <c r="B7748" s="308"/>
      <c r="C7748" s="308" t="s">
        <v>30569</v>
      </c>
      <c r="D7748" s="308">
        <f>IFERROR(__xludf.DUMMYFUNCTION("SPLIT(C7748,""-"")"),7768.0)</f>
        <v>7768</v>
      </c>
      <c r="E7748" s="308" t="str">
        <f>IFERROR(__xludf.DUMMYFUNCTION("""COMPUTED_VALUE"""),"B")</f>
        <v>B</v>
      </c>
      <c r="F7748" s="315" t="s">
        <v>26</v>
      </c>
      <c r="G7748" s="308"/>
      <c r="H7748" s="308" t="s">
        <v>30570</v>
      </c>
      <c r="I7748" s="310">
        <v>42812.0</v>
      </c>
      <c r="J7748" s="319">
        <f>IFERROR(__xludf.DUMMYFUNCTION("SPLIT(I7748,""/"")"),18.0)</f>
        <v>18</v>
      </c>
      <c r="K7748" s="308">
        <f>IFERROR(__xludf.DUMMYFUNCTION("""COMPUTED_VALUE"""),3.0)</f>
        <v>3</v>
      </c>
      <c r="L7748" s="308">
        <f>IFERROR(__xludf.DUMMYFUNCTION("""COMPUTED_VALUE"""),2017.0)</f>
        <v>2017</v>
      </c>
      <c r="M7748" s="308" t="s">
        <v>30571</v>
      </c>
      <c r="N7748" s="308"/>
      <c r="O7748" s="308"/>
      <c r="P7748" s="308" t="s">
        <v>39871</v>
      </c>
      <c r="Q7748" s="308" t="s">
        <v>39573</v>
      </c>
      <c r="R7748" s="308"/>
      <c r="S7748" s="308" t="s">
        <v>81</v>
      </c>
      <c r="T7748" s="308" t="s">
        <v>75</v>
      </c>
      <c r="U7748" s="308" t="s">
        <v>27</v>
      </c>
      <c r="V7748" s="308"/>
    </row>
    <row r="7749">
      <c r="A7749" s="308"/>
      <c r="B7749" s="308"/>
      <c r="C7749" s="308" t="s">
        <v>30573</v>
      </c>
      <c r="D7749" s="308">
        <f>IFERROR(__xludf.DUMMYFUNCTION("SPLIT(C7749,""-"")"),7769.0)</f>
        <v>7769</v>
      </c>
      <c r="E7749" s="308" t="str">
        <f>IFERROR(__xludf.DUMMYFUNCTION("""COMPUTED_VALUE"""),"B")</f>
        <v>B</v>
      </c>
      <c r="F7749" s="315" t="s">
        <v>26</v>
      </c>
      <c r="G7749" s="308"/>
      <c r="H7749" s="308" t="s">
        <v>30574</v>
      </c>
      <c r="I7749" s="310">
        <v>42812.0</v>
      </c>
      <c r="J7749" s="319">
        <f>IFERROR(__xludf.DUMMYFUNCTION("SPLIT(I7749,""/"")"),18.0)</f>
        <v>18</v>
      </c>
      <c r="K7749" s="308">
        <f>IFERROR(__xludf.DUMMYFUNCTION("""COMPUTED_VALUE"""),3.0)</f>
        <v>3</v>
      </c>
      <c r="L7749" s="308">
        <f>IFERROR(__xludf.DUMMYFUNCTION("""COMPUTED_VALUE"""),2017.0)</f>
        <v>2017</v>
      </c>
      <c r="M7749" s="308" t="s">
        <v>30575</v>
      </c>
      <c r="N7749" s="308"/>
      <c r="O7749" s="308"/>
      <c r="P7749" s="308" t="s">
        <v>39872</v>
      </c>
      <c r="Q7749" s="308" t="s">
        <v>39573</v>
      </c>
      <c r="R7749" s="308"/>
      <c r="S7749" s="308" t="s">
        <v>81</v>
      </c>
      <c r="T7749" s="308" t="s">
        <v>75</v>
      </c>
      <c r="U7749" s="308" t="s">
        <v>27</v>
      </c>
      <c r="V7749" s="308"/>
    </row>
    <row r="7750">
      <c r="A7750" s="308"/>
      <c r="B7750" s="308"/>
      <c r="C7750" s="308" t="s">
        <v>30577</v>
      </c>
      <c r="D7750" s="308">
        <f>IFERROR(__xludf.DUMMYFUNCTION("SPLIT(C7750,""-"")"),7770.0)</f>
        <v>7770</v>
      </c>
      <c r="E7750" s="308" t="str">
        <f>IFERROR(__xludf.DUMMYFUNCTION("""COMPUTED_VALUE"""),"B")</f>
        <v>B</v>
      </c>
      <c r="F7750" s="315" t="s">
        <v>26</v>
      </c>
      <c r="G7750" s="308"/>
      <c r="H7750" s="308" t="s">
        <v>30578</v>
      </c>
      <c r="I7750" s="310">
        <v>42812.0</v>
      </c>
      <c r="J7750" s="319">
        <f>IFERROR(__xludf.DUMMYFUNCTION("SPLIT(I7750,""/"")"),18.0)</f>
        <v>18</v>
      </c>
      <c r="K7750" s="308">
        <f>IFERROR(__xludf.DUMMYFUNCTION("""COMPUTED_VALUE"""),3.0)</f>
        <v>3</v>
      </c>
      <c r="L7750" s="308">
        <f>IFERROR(__xludf.DUMMYFUNCTION("""COMPUTED_VALUE"""),2017.0)</f>
        <v>2017</v>
      </c>
      <c r="M7750" s="308" t="s">
        <v>30571</v>
      </c>
      <c r="N7750" s="308"/>
      <c r="O7750" s="308"/>
      <c r="P7750" s="308" t="s">
        <v>39873</v>
      </c>
      <c r="Q7750" s="308" t="s">
        <v>39573</v>
      </c>
      <c r="R7750" s="308"/>
      <c r="S7750" s="308" t="s">
        <v>81</v>
      </c>
      <c r="T7750" s="308" t="s">
        <v>75</v>
      </c>
      <c r="U7750" s="308" t="s">
        <v>27</v>
      </c>
      <c r="V7750" s="308"/>
    </row>
    <row r="7751">
      <c r="A7751" s="308"/>
      <c r="B7751" s="308"/>
      <c r="C7751" s="308" t="s">
        <v>30580</v>
      </c>
      <c r="D7751" s="308">
        <f>IFERROR(__xludf.DUMMYFUNCTION("SPLIT(C7751,""-"")"),7771.0)</f>
        <v>7771</v>
      </c>
      <c r="E7751" s="308" t="str">
        <f>IFERROR(__xludf.DUMMYFUNCTION("""COMPUTED_VALUE"""),"B")</f>
        <v>B</v>
      </c>
      <c r="F7751" s="315" t="s">
        <v>26</v>
      </c>
      <c r="G7751" s="308"/>
      <c r="H7751" s="308" t="s">
        <v>30581</v>
      </c>
      <c r="I7751" s="310">
        <v>42812.0</v>
      </c>
      <c r="J7751" s="319">
        <f>IFERROR(__xludf.DUMMYFUNCTION("SPLIT(I7751,""/"")"),18.0)</f>
        <v>18</v>
      </c>
      <c r="K7751" s="308">
        <f>IFERROR(__xludf.DUMMYFUNCTION("""COMPUTED_VALUE"""),3.0)</f>
        <v>3</v>
      </c>
      <c r="L7751" s="308">
        <f>IFERROR(__xludf.DUMMYFUNCTION("""COMPUTED_VALUE"""),2017.0)</f>
        <v>2017</v>
      </c>
      <c r="M7751" s="308" t="s">
        <v>30571</v>
      </c>
      <c r="N7751" s="308"/>
      <c r="O7751" s="308"/>
      <c r="P7751" s="308" t="s">
        <v>39874</v>
      </c>
      <c r="Q7751" s="308" t="s">
        <v>39573</v>
      </c>
      <c r="R7751" s="308"/>
      <c r="S7751" s="308" t="s">
        <v>81</v>
      </c>
      <c r="T7751" s="308" t="s">
        <v>75</v>
      </c>
      <c r="U7751" s="308" t="s">
        <v>27</v>
      </c>
      <c r="V7751" s="308"/>
    </row>
    <row r="7752">
      <c r="A7752" s="308"/>
      <c r="B7752" s="308"/>
      <c r="C7752" s="308" t="s">
        <v>30583</v>
      </c>
      <c r="D7752" s="308">
        <f>IFERROR(__xludf.DUMMYFUNCTION("SPLIT(C7752,""-"")"),7772.0)</f>
        <v>7772</v>
      </c>
      <c r="E7752" s="308" t="str">
        <f>IFERROR(__xludf.DUMMYFUNCTION("""COMPUTED_VALUE"""),"B")</f>
        <v>B</v>
      </c>
      <c r="F7752" s="315" t="s">
        <v>26</v>
      </c>
      <c r="G7752" s="308"/>
      <c r="H7752" s="308" t="s">
        <v>30584</v>
      </c>
      <c r="I7752" s="310">
        <v>42814.0</v>
      </c>
      <c r="J7752" s="319">
        <f>IFERROR(__xludf.DUMMYFUNCTION("SPLIT(I7752,""/"")"),20.0)</f>
        <v>20</v>
      </c>
      <c r="K7752" s="308">
        <f>IFERROR(__xludf.DUMMYFUNCTION("""COMPUTED_VALUE"""),3.0)</f>
        <v>3</v>
      </c>
      <c r="L7752" s="308">
        <f>IFERROR(__xludf.DUMMYFUNCTION("""COMPUTED_VALUE"""),2017.0)</f>
        <v>2017</v>
      </c>
      <c r="M7752" s="308" t="s">
        <v>30585</v>
      </c>
      <c r="N7752" s="308"/>
      <c r="O7752" s="308"/>
      <c r="P7752" s="308" t="s">
        <v>39875</v>
      </c>
      <c r="Q7752" s="308" t="s">
        <v>39573</v>
      </c>
      <c r="R7752" s="308"/>
      <c r="S7752" s="308" t="s">
        <v>81</v>
      </c>
      <c r="T7752" s="308" t="s">
        <v>75</v>
      </c>
      <c r="U7752" s="308" t="s">
        <v>27</v>
      </c>
      <c r="V7752" s="308"/>
    </row>
    <row r="7753">
      <c r="A7753" s="308"/>
      <c r="B7753" s="308"/>
      <c r="C7753" s="308" t="s">
        <v>30587</v>
      </c>
      <c r="D7753" s="308">
        <f>IFERROR(__xludf.DUMMYFUNCTION("SPLIT(C7753,""-"")"),7773.0)</f>
        <v>7773</v>
      </c>
      <c r="E7753" s="308" t="str">
        <f>IFERROR(__xludf.DUMMYFUNCTION("""COMPUTED_VALUE"""),"B")</f>
        <v>B</v>
      </c>
      <c r="F7753" s="315" t="s">
        <v>26</v>
      </c>
      <c r="G7753" s="308"/>
      <c r="H7753" s="308" t="s">
        <v>30588</v>
      </c>
      <c r="I7753" s="310">
        <v>42814.0</v>
      </c>
      <c r="J7753" s="319">
        <f>IFERROR(__xludf.DUMMYFUNCTION("SPLIT(I7753,""/"")"),20.0)</f>
        <v>20</v>
      </c>
      <c r="K7753" s="308">
        <f>IFERROR(__xludf.DUMMYFUNCTION("""COMPUTED_VALUE"""),3.0)</f>
        <v>3</v>
      </c>
      <c r="L7753" s="308">
        <f>IFERROR(__xludf.DUMMYFUNCTION("""COMPUTED_VALUE"""),2017.0)</f>
        <v>2017</v>
      </c>
      <c r="M7753" s="308" t="s">
        <v>30585</v>
      </c>
      <c r="N7753" s="308"/>
      <c r="O7753" s="308"/>
      <c r="P7753" s="308" t="s">
        <v>39876</v>
      </c>
      <c r="Q7753" s="308" t="s">
        <v>39573</v>
      </c>
      <c r="R7753" s="308"/>
      <c r="S7753" s="308" t="s">
        <v>81</v>
      </c>
      <c r="T7753" s="308" t="s">
        <v>75</v>
      </c>
      <c r="U7753" s="308" t="s">
        <v>27</v>
      </c>
      <c r="V7753" s="308"/>
    </row>
    <row r="7754">
      <c r="A7754" s="308"/>
      <c r="B7754" s="308"/>
      <c r="C7754" s="308" t="s">
        <v>30590</v>
      </c>
      <c r="D7754" s="308">
        <f>IFERROR(__xludf.DUMMYFUNCTION("SPLIT(C7754,""-"")"),7774.0)</f>
        <v>7774</v>
      </c>
      <c r="E7754" s="308" t="str">
        <f>IFERROR(__xludf.DUMMYFUNCTION("""COMPUTED_VALUE"""),"B")</f>
        <v>B</v>
      </c>
      <c r="F7754" s="315" t="s">
        <v>26</v>
      </c>
      <c r="G7754" s="308"/>
      <c r="H7754" s="308" t="s">
        <v>30591</v>
      </c>
      <c r="I7754" s="310">
        <v>42814.0</v>
      </c>
      <c r="J7754" s="319">
        <f>IFERROR(__xludf.DUMMYFUNCTION("SPLIT(I7754,""/"")"),20.0)</f>
        <v>20</v>
      </c>
      <c r="K7754" s="308">
        <f>IFERROR(__xludf.DUMMYFUNCTION("""COMPUTED_VALUE"""),3.0)</f>
        <v>3</v>
      </c>
      <c r="L7754" s="308">
        <f>IFERROR(__xludf.DUMMYFUNCTION("""COMPUTED_VALUE"""),2017.0)</f>
        <v>2017</v>
      </c>
      <c r="M7754" s="308" t="s">
        <v>30585</v>
      </c>
      <c r="N7754" s="308"/>
      <c r="O7754" s="308"/>
      <c r="P7754" s="308" t="s">
        <v>39877</v>
      </c>
      <c r="Q7754" s="308" t="s">
        <v>39573</v>
      </c>
      <c r="R7754" s="308"/>
      <c r="S7754" s="308" t="s">
        <v>81</v>
      </c>
      <c r="T7754" s="308" t="s">
        <v>75</v>
      </c>
      <c r="U7754" s="308" t="s">
        <v>27</v>
      </c>
      <c r="V7754" s="308"/>
    </row>
    <row r="7755">
      <c r="A7755" s="308"/>
      <c r="B7755" s="308"/>
      <c r="C7755" s="308" t="s">
        <v>30593</v>
      </c>
      <c r="D7755" s="308">
        <f>IFERROR(__xludf.DUMMYFUNCTION("SPLIT(C7755,""-"")"),7775.0)</f>
        <v>7775</v>
      </c>
      <c r="E7755" s="308" t="str">
        <f>IFERROR(__xludf.DUMMYFUNCTION("""COMPUTED_VALUE"""),"B")</f>
        <v>B</v>
      </c>
      <c r="F7755" s="315" t="s">
        <v>26</v>
      </c>
      <c r="G7755" s="308"/>
      <c r="H7755" s="308" t="s">
        <v>30594</v>
      </c>
      <c r="I7755" s="310">
        <v>42814.0</v>
      </c>
      <c r="J7755" s="319">
        <f>IFERROR(__xludf.DUMMYFUNCTION("SPLIT(I7755,""/"")"),20.0)</f>
        <v>20</v>
      </c>
      <c r="K7755" s="308">
        <f>IFERROR(__xludf.DUMMYFUNCTION("""COMPUTED_VALUE"""),3.0)</f>
        <v>3</v>
      </c>
      <c r="L7755" s="308">
        <f>IFERROR(__xludf.DUMMYFUNCTION("""COMPUTED_VALUE"""),2017.0)</f>
        <v>2017</v>
      </c>
      <c r="M7755" s="308" t="s">
        <v>30585</v>
      </c>
      <c r="N7755" s="308"/>
      <c r="O7755" s="308"/>
      <c r="P7755" s="308" t="s">
        <v>39878</v>
      </c>
      <c r="Q7755" s="308" t="s">
        <v>39573</v>
      </c>
      <c r="R7755" s="308"/>
      <c r="S7755" s="308" t="s">
        <v>81</v>
      </c>
      <c r="T7755" s="308" t="s">
        <v>75</v>
      </c>
      <c r="U7755" s="308" t="s">
        <v>27</v>
      </c>
      <c r="V7755" s="308"/>
    </row>
    <row r="7756">
      <c r="A7756" s="308"/>
      <c r="B7756" s="308"/>
      <c r="C7756" s="308" t="s">
        <v>30596</v>
      </c>
      <c r="D7756" s="308">
        <f>IFERROR(__xludf.DUMMYFUNCTION("SPLIT(C7756,""-"")"),7776.0)</f>
        <v>7776</v>
      </c>
      <c r="E7756" s="308" t="str">
        <f>IFERROR(__xludf.DUMMYFUNCTION("""COMPUTED_VALUE"""),"B")</f>
        <v>B</v>
      </c>
      <c r="F7756" s="315" t="s">
        <v>26</v>
      </c>
      <c r="G7756" s="308"/>
      <c r="H7756" s="308" t="s">
        <v>30597</v>
      </c>
      <c r="I7756" s="310">
        <v>42814.0</v>
      </c>
      <c r="J7756" s="319">
        <f>IFERROR(__xludf.DUMMYFUNCTION("SPLIT(I7756,""/"")"),20.0)</f>
        <v>20</v>
      </c>
      <c r="K7756" s="308">
        <f>IFERROR(__xludf.DUMMYFUNCTION("""COMPUTED_VALUE"""),3.0)</f>
        <v>3</v>
      </c>
      <c r="L7756" s="308">
        <f>IFERROR(__xludf.DUMMYFUNCTION("""COMPUTED_VALUE"""),2017.0)</f>
        <v>2017</v>
      </c>
      <c r="M7756" s="308" t="s">
        <v>30585</v>
      </c>
      <c r="N7756" s="308"/>
      <c r="O7756" s="308"/>
      <c r="P7756" s="308" t="s">
        <v>39879</v>
      </c>
      <c r="Q7756" s="308" t="s">
        <v>39573</v>
      </c>
      <c r="R7756" s="308"/>
      <c r="S7756" s="308" t="s">
        <v>81</v>
      </c>
      <c r="T7756" s="308" t="s">
        <v>75</v>
      </c>
      <c r="U7756" s="308" t="s">
        <v>27</v>
      </c>
      <c r="V7756" s="308"/>
    </row>
    <row r="7757">
      <c r="A7757" s="308"/>
      <c r="B7757" s="308"/>
      <c r="C7757" s="308" t="s">
        <v>30599</v>
      </c>
      <c r="D7757" s="308">
        <f>IFERROR(__xludf.DUMMYFUNCTION("SPLIT(C7757,""-"")"),7777.0)</f>
        <v>7777</v>
      </c>
      <c r="E7757" s="308" t="str">
        <f>IFERROR(__xludf.DUMMYFUNCTION("""COMPUTED_VALUE"""),"B")</f>
        <v>B</v>
      </c>
      <c r="F7757" s="315" t="s">
        <v>26</v>
      </c>
      <c r="G7757" s="308"/>
      <c r="H7757" s="308" t="s">
        <v>30600</v>
      </c>
      <c r="I7757" s="310">
        <v>42814.0</v>
      </c>
      <c r="J7757" s="319">
        <f>IFERROR(__xludf.DUMMYFUNCTION("SPLIT(I7757,""/"")"),20.0)</f>
        <v>20</v>
      </c>
      <c r="K7757" s="308">
        <f>IFERROR(__xludf.DUMMYFUNCTION("""COMPUTED_VALUE"""),3.0)</f>
        <v>3</v>
      </c>
      <c r="L7757" s="308">
        <f>IFERROR(__xludf.DUMMYFUNCTION("""COMPUTED_VALUE"""),2017.0)</f>
        <v>2017</v>
      </c>
      <c r="M7757" s="308" t="s">
        <v>30585</v>
      </c>
      <c r="N7757" s="308"/>
      <c r="O7757" s="308"/>
      <c r="P7757" s="308" t="s">
        <v>39880</v>
      </c>
      <c r="Q7757" s="308" t="s">
        <v>39573</v>
      </c>
      <c r="R7757" s="308"/>
      <c r="S7757" s="308" t="s">
        <v>81</v>
      </c>
      <c r="T7757" s="308" t="s">
        <v>75</v>
      </c>
      <c r="U7757" s="308" t="s">
        <v>27</v>
      </c>
      <c r="V7757" s="308"/>
    </row>
    <row r="7758">
      <c r="A7758" s="308"/>
      <c r="B7758" s="308"/>
      <c r="C7758" s="308" t="s">
        <v>30602</v>
      </c>
      <c r="D7758" s="308">
        <f>IFERROR(__xludf.DUMMYFUNCTION("SPLIT(C7758,""-"")"),7778.0)</f>
        <v>7778</v>
      </c>
      <c r="E7758" s="308" t="str">
        <f>IFERROR(__xludf.DUMMYFUNCTION("""COMPUTED_VALUE"""),"B")</f>
        <v>B</v>
      </c>
      <c r="F7758" s="315" t="s">
        <v>26</v>
      </c>
      <c r="G7758" s="308"/>
      <c r="H7758" s="308" t="s">
        <v>30603</v>
      </c>
      <c r="I7758" s="310">
        <v>42814.0</v>
      </c>
      <c r="J7758" s="319">
        <f>IFERROR(__xludf.DUMMYFUNCTION("SPLIT(I7758,""/"")"),20.0)</f>
        <v>20</v>
      </c>
      <c r="K7758" s="308">
        <f>IFERROR(__xludf.DUMMYFUNCTION("""COMPUTED_VALUE"""),3.0)</f>
        <v>3</v>
      </c>
      <c r="L7758" s="308">
        <f>IFERROR(__xludf.DUMMYFUNCTION("""COMPUTED_VALUE"""),2017.0)</f>
        <v>2017</v>
      </c>
      <c r="M7758" s="308" t="s">
        <v>30585</v>
      </c>
      <c r="N7758" s="308"/>
      <c r="O7758" s="308"/>
      <c r="P7758" s="308" t="s">
        <v>39881</v>
      </c>
      <c r="Q7758" s="308" t="s">
        <v>39573</v>
      </c>
      <c r="R7758" s="308"/>
      <c r="S7758" s="308" t="s">
        <v>81</v>
      </c>
      <c r="T7758" s="308" t="s">
        <v>75</v>
      </c>
      <c r="U7758" s="308" t="s">
        <v>27</v>
      </c>
      <c r="V7758" s="308"/>
    </row>
    <row r="7759">
      <c r="A7759" s="308"/>
      <c r="B7759" s="308"/>
      <c r="C7759" s="308" t="s">
        <v>30605</v>
      </c>
      <c r="D7759" s="308">
        <f>IFERROR(__xludf.DUMMYFUNCTION("SPLIT(C7759,""-"")"),7779.0)</f>
        <v>7779</v>
      </c>
      <c r="E7759" s="308" t="str">
        <f>IFERROR(__xludf.DUMMYFUNCTION("""COMPUTED_VALUE"""),"B")</f>
        <v>B</v>
      </c>
      <c r="F7759" s="315" t="s">
        <v>26</v>
      </c>
      <c r="G7759" s="308"/>
      <c r="H7759" s="308" t="s">
        <v>30531</v>
      </c>
      <c r="I7759" s="310">
        <v>42814.0</v>
      </c>
      <c r="J7759" s="319">
        <f>IFERROR(__xludf.DUMMYFUNCTION("SPLIT(I7759,""/"")"),20.0)</f>
        <v>20</v>
      </c>
      <c r="K7759" s="308">
        <f>IFERROR(__xludf.DUMMYFUNCTION("""COMPUTED_VALUE"""),3.0)</f>
        <v>3</v>
      </c>
      <c r="L7759" s="308">
        <f>IFERROR(__xludf.DUMMYFUNCTION("""COMPUTED_VALUE"""),2017.0)</f>
        <v>2017</v>
      </c>
      <c r="M7759" s="308" t="s">
        <v>30585</v>
      </c>
      <c r="N7759" s="308"/>
      <c r="O7759" s="308"/>
      <c r="P7759" s="308" t="s">
        <v>39861</v>
      </c>
      <c r="Q7759" s="308" t="s">
        <v>39573</v>
      </c>
      <c r="R7759" s="308"/>
      <c r="S7759" s="308" t="s">
        <v>81</v>
      </c>
      <c r="T7759" s="308" t="s">
        <v>75</v>
      </c>
      <c r="U7759" s="308" t="s">
        <v>27</v>
      </c>
      <c r="V7759" s="308"/>
    </row>
    <row r="7760">
      <c r="A7760" s="308"/>
      <c r="B7760" s="308"/>
      <c r="C7760" s="308" t="s">
        <v>30606</v>
      </c>
      <c r="D7760" s="308">
        <f>IFERROR(__xludf.DUMMYFUNCTION("SPLIT(C7760,""-"")"),7780.0)</f>
        <v>7780</v>
      </c>
      <c r="E7760" s="308" t="str">
        <f>IFERROR(__xludf.DUMMYFUNCTION("""COMPUTED_VALUE"""),"B")</f>
        <v>B</v>
      </c>
      <c r="F7760" s="315" t="s">
        <v>26</v>
      </c>
      <c r="G7760" s="308"/>
      <c r="H7760" s="308" t="s">
        <v>28392</v>
      </c>
      <c r="I7760" s="310">
        <v>42814.0</v>
      </c>
      <c r="J7760" s="319">
        <f>IFERROR(__xludf.DUMMYFUNCTION("SPLIT(I7760,""/"")"),20.0)</f>
        <v>20</v>
      </c>
      <c r="K7760" s="308">
        <f>IFERROR(__xludf.DUMMYFUNCTION("""COMPUTED_VALUE"""),3.0)</f>
        <v>3</v>
      </c>
      <c r="L7760" s="308">
        <f>IFERROR(__xludf.DUMMYFUNCTION("""COMPUTED_VALUE"""),2017.0)</f>
        <v>2017</v>
      </c>
      <c r="M7760" s="308" t="s">
        <v>30585</v>
      </c>
      <c r="N7760" s="308"/>
      <c r="O7760" s="308"/>
      <c r="P7760" s="308" t="s">
        <v>39882</v>
      </c>
      <c r="Q7760" s="308" t="s">
        <v>39573</v>
      </c>
      <c r="R7760" s="308"/>
      <c r="S7760" s="308" t="s">
        <v>81</v>
      </c>
      <c r="T7760" s="308" t="s">
        <v>75</v>
      </c>
      <c r="U7760" s="308" t="s">
        <v>27</v>
      </c>
      <c r="V7760" s="308"/>
    </row>
    <row r="7761">
      <c r="A7761" s="308"/>
      <c r="B7761" s="308"/>
      <c r="C7761" s="308" t="s">
        <v>30608</v>
      </c>
      <c r="D7761" s="308">
        <f>IFERROR(__xludf.DUMMYFUNCTION("SPLIT(C7761,""-"")"),7781.0)</f>
        <v>7781</v>
      </c>
      <c r="E7761" s="308" t="str">
        <f>IFERROR(__xludf.DUMMYFUNCTION("""COMPUTED_VALUE"""),"B")</f>
        <v>B</v>
      </c>
      <c r="F7761" s="315" t="s">
        <v>26</v>
      </c>
      <c r="G7761" s="308"/>
      <c r="H7761" s="308" t="s">
        <v>30609</v>
      </c>
      <c r="I7761" s="310">
        <v>42814.0</v>
      </c>
      <c r="J7761" s="319">
        <f>IFERROR(__xludf.DUMMYFUNCTION("SPLIT(I7761,""/"")"),20.0)</f>
        <v>20</v>
      </c>
      <c r="K7761" s="308">
        <f>IFERROR(__xludf.DUMMYFUNCTION("""COMPUTED_VALUE"""),3.0)</f>
        <v>3</v>
      </c>
      <c r="L7761" s="308">
        <f>IFERROR(__xludf.DUMMYFUNCTION("""COMPUTED_VALUE"""),2017.0)</f>
        <v>2017</v>
      </c>
      <c r="M7761" s="308" t="s">
        <v>30585</v>
      </c>
      <c r="N7761" s="308"/>
      <c r="O7761" s="308"/>
      <c r="P7761" s="308" t="s">
        <v>39883</v>
      </c>
      <c r="Q7761" s="308" t="s">
        <v>39573</v>
      </c>
      <c r="R7761" s="308"/>
      <c r="S7761" s="308" t="s">
        <v>81</v>
      </c>
      <c r="T7761" s="308" t="s">
        <v>75</v>
      </c>
      <c r="U7761" s="308" t="s">
        <v>27</v>
      </c>
      <c r="V7761" s="308"/>
    </row>
    <row r="7762">
      <c r="A7762" s="308"/>
      <c r="B7762" s="308"/>
      <c r="C7762" s="308" t="s">
        <v>30611</v>
      </c>
      <c r="D7762" s="308">
        <f>IFERROR(__xludf.DUMMYFUNCTION("SPLIT(C7762,""-"")"),7782.0)</f>
        <v>7782</v>
      </c>
      <c r="E7762" s="308" t="str">
        <f>IFERROR(__xludf.DUMMYFUNCTION("""COMPUTED_VALUE"""),"B")</f>
        <v>B</v>
      </c>
      <c r="F7762" s="315" t="s">
        <v>26</v>
      </c>
      <c r="G7762" s="308"/>
      <c r="H7762" s="308" t="s">
        <v>30612</v>
      </c>
      <c r="I7762" s="310">
        <v>42814.0</v>
      </c>
      <c r="J7762" s="319">
        <f>IFERROR(__xludf.DUMMYFUNCTION("SPLIT(I7762,""/"")"),20.0)</f>
        <v>20</v>
      </c>
      <c r="K7762" s="308">
        <f>IFERROR(__xludf.DUMMYFUNCTION("""COMPUTED_VALUE"""),3.0)</f>
        <v>3</v>
      </c>
      <c r="L7762" s="308">
        <f>IFERROR(__xludf.DUMMYFUNCTION("""COMPUTED_VALUE"""),2017.0)</f>
        <v>2017</v>
      </c>
      <c r="M7762" s="308" t="s">
        <v>30585</v>
      </c>
      <c r="N7762" s="308"/>
      <c r="O7762" s="308"/>
      <c r="P7762" s="308" t="s">
        <v>39884</v>
      </c>
      <c r="Q7762" s="308" t="s">
        <v>39573</v>
      </c>
      <c r="R7762" s="308"/>
      <c r="S7762" s="308" t="s">
        <v>81</v>
      </c>
      <c r="T7762" s="308" t="s">
        <v>75</v>
      </c>
      <c r="U7762" s="308" t="s">
        <v>27</v>
      </c>
      <c r="V7762" s="308"/>
    </row>
    <row r="7763">
      <c r="A7763" s="308"/>
      <c r="B7763" s="308"/>
      <c r="C7763" s="308" t="s">
        <v>30614</v>
      </c>
      <c r="D7763" s="308">
        <f>IFERROR(__xludf.DUMMYFUNCTION("SPLIT(C7763,""-"")"),7783.0)</f>
        <v>7783</v>
      </c>
      <c r="E7763" s="308" t="str">
        <f>IFERROR(__xludf.DUMMYFUNCTION("""COMPUTED_VALUE"""),"B")</f>
        <v>B</v>
      </c>
      <c r="F7763" s="315" t="s">
        <v>26</v>
      </c>
      <c r="G7763" s="308"/>
      <c r="H7763" s="308" t="s">
        <v>39885</v>
      </c>
      <c r="I7763" s="310">
        <v>42814.0</v>
      </c>
      <c r="J7763" s="319">
        <f>IFERROR(__xludf.DUMMYFUNCTION("SPLIT(I7763,""/"")"),20.0)</f>
        <v>20</v>
      </c>
      <c r="K7763" s="308">
        <f>IFERROR(__xludf.DUMMYFUNCTION("""COMPUTED_VALUE"""),3.0)</f>
        <v>3</v>
      </c>
      <c r="L7763" s="308">
        <f>IFERROR(__xludf.DUMMYFUNCTION("""COMPUTED_VALUE"""),2017.0)</f>
        <v>2017</v>
      </c>
      <c r="M7763" s="308" t="s">
        <v>30585</v>
      </c>
      <c r="N7763" s="308"/>
      <c r="O7763" s="308"/>
      <c r="P7763" s="308" t="s">
        <v>39886</v>
      </c>
      <c r="Q7763" s="308" t="s">
        <v>39573</v>
      </c>
      <c r="R7763" s="308"/>
      <c r="S7763" s="308" t="s">
        <v>81</v>
      </c>
      <c r="T7763" s="308" t="s">
        <v>75</v>
      </c>
      <c r="U7763" s="308" t="s">
        <v>27</v>
      </c>
      <c r="V7763" s="308"/>
    </row>
    <row r="7764">
      <c r="A7764" s="308"/>
      <c r="B7764" s="308"/>
      <c r="C7764" s="308" t="s">
        <v>30617</v>
      </c>
      <c r="D7764" s="308">
        <f>IFERROR(__xludf.DUMMYFUNCTION("SPLIT(C7764,""-"")"),7784.0)</f>
        <v>7784</v>
      </c>
      <c r="E7764" s="308" t="str">
        <f>IFERROR(__xludf.DUMMYFUNCTION("""COMPUTED_VALUE"""),"B")</f>
        <v>B</v>
      </c>
      <c r="F7764" s="315" t="s">
        <v>26</v>
      </c>
      <c r="G7764" s="308"/>
      <c r="H7764" s="308" t="s">
        <v>29333</v>
      </c>
      <c r="I7764" s="310">
        <v>42814.0</v>
      </c>
      <c r="J7764" s="319">
        <f>IFERROR(__xludf.DUMMYFUNCTION("SPLIT(I7764,""/"")"),20.0)</f>
        <v>20</v>
      </c>
      <c r="K7764" s="308">
        <f>IFERROR(__xludf.DUMMYFUNCTION("""COMPUTED_VALUE"""),3.0)</f>
        <v>3</v>
      </c>
      <c r="L7764" s="308">
        <f>IFERROR(__xludf.DUMMYFUNCTION("""COMPUTED_VALUE"""),2017.0)</f>
        <v>2017</v>
      </c>
      <c r="M7764" s="308" t="s">
        <v>30585</v>
      </c>
      <c r="N7764" s="308"/>
      <c r="O7764" s="308"/>
      <c r="P7764" s="308" t="s">
        <v>39887</v>
      </c>
      <c r="Q7764" s="308" t="s">
        <v>39573</v>
      </c>
      <c r="R7764" s="308"/>
      <c r="S7764" s="308" t="s">
        <v>81</v>
      </c>
      <c r="T7764" s="308" t="s">
        <v>75</v>
      </c>
      <c r="U7764" s="308" t="s">
        <v>27</v>
      </c>
      <c r="V7764" s="308"/>
    </row>
    <row r="7765">
      <c r="A7765" s="308"/>
      <c r="B7765" s="308"/>
      <c r="C7765" s="308" t="s">
        <v>30619</v>
      </c>
      <c r="D7765" s="308">
        <f>IFERROR(__xludf.DUMMYFUNCTION("SPLIT(C7765,""-"")"),7785.0)</f>
        <v>7785</v>
      </c>
      <c r="E7765" s="308" t="str">
        <f>IFERROR(__xludf.DUMMYFUNCTION("""COMPUTED_VALUE"""),"B")</f>
        <v>B</v>
      </c>
      <c r="F7765" s="315" t="s">
        <v>26</v>
      </c>
      <c r="G7765" s="308"/>
      <c r="H7765" s="308" t="s">
        <v>30620</v>
      </c>
      <c r="I7765" s="310">
        <v>42814.0</v>
      </c>
      <c r="J7765" s="319">
        <f>IFERROR(__xludf.DUMMYFUNCTION("SPLIT(I7765,""/"")"),20.0)</f>
        <v>20</v>
      </c>
      <c r="K7765" s="308">
        <f>IFERROR(__xludf.DUMMYFUNCTION("""COMPUTED_VALUE"""),3.0)</f>
        <v>3</v>
      </c>
      <c r="L7765" s="308">
        <f>IFERROR(__xludf.DUMMYFUNCTION("""COMPUTED_VALUE"""),2017.0)</f>
        <v>2017</v>
      </c>
      <c r="M7765" s="308" t="s">
        <v>30585</v>
      </c>
      <c r="N7765" s="308"/>
      <c r="O7765" s="308"/>
      <c r="P7765" s="308" t="s">
        <v>39888</v>
      </c>
      <c r="Q7765" s="308" t="s">
        <v>39573</v>
      </c>
      <c r="R7765" s="308"/>
      <c r="S7765" s="308" t="s">
        <v>81</v>
      </c>
      <c r="T7765" s="308" t="s">
        <v>75</v>
      </c>
      <c r="U7765" s="308" t="s">
        <v>27</v>
      </c>
      <c r="V7765" s="308"/>
    </row>
    <row r="7766">
      <c r="A7766" s="308"/>
      <c r="B7766" s="308"/>
      <c r="C7766" s="308" t="s">
        <v>30622</v>
      </c>
      <c r="D7766" s="308">
        <f>IFERROR(__xludf.DUMMYFUNCTION("SPLIT(C7766,""-"")"),7786.0)</f>
        <v>7786</v>
      </c>
      <c r="E7766" s="308" t="str">
        <f>IFERROR(__xludf.DUMMYFUNCTION("""COMPUTED_VALUE"""),"B")</f>
        <v>B</v>
      </c>
      <c r="F7766" s="315" t="s">
        <v>26</v>
      </c>
      <c r="G7766" s="308"/>
      <c r="H7766" s="308" t="s">
        <v>30623</v>
      </c>
      <c r="I7766" s="310">
        <v>42814.0</v>
      </c>
      <c r="J7766" s="319">
        <f>IFERROR(__xludf.DUMMYFUNCTION("SPLIT(I7766,""/"")"),20.0)</f>
        <v>20</v>
      </c>
      <c r="K7766" s="308">
        <f>IFERROR(__xludf.DUMMYFUNCTION("""COMPUTED_VALUE"""),3.0)</f>
        <v>3</v>
      </c>
      <c r="L7766" s="308">
        <f>IFERROR(__xludf.DUMMYFUNCTION("""COMPUTED_VALUE"""),2017.0)</f>
        <v>2017</v>
      </c>
      <c r="M7766" s="308" t="s">
        <v>30585</v>
      </c>
      <c r="N7766" s="308"/>
      <c r="O7766" s="308"/>
      <c r="P7766" s="308" t="s">
        <v>39889</v>
      </c>
      <c r="Q7766" s="308" t="s">
        <v>39573</v>
      </c>
      <c r="R7766" s="308"/>
      <c r="S7766" s="308" t="s">
        <v>81</v>
      </c>
      <c r="T7766" s="308" t="s">
        <v>75</v>
      </c>
      <c r="U7766" s="308" t="s">
        <v>27</v>
      </c>
      <c r="V7766" s="308"/>
    </row>
    <row r="7767">
      <c r="A7767" s="308"/>
      <c r="B7767" s="308"/>
      <c r="C7767" s="308" t="s">
        <v>30625</v>
      </c>
      <c r="D7767" s="308">
        <f>IFERROR(__xludf.DUMMYFUNCTION("SPLIT(C7767,""-"")"),7787.0)</f>
        <v>7787</v>
      </c>
      <c r="E7767" s="308" t="str">
        <f>IFERROR(__xludf.DUMMYFUNCTION("""COMPUTED_VALUE"""),"B")</f>
        <v>B</v>
      </c>
      <c r="F7767" s="315" t="s">
        <v>26</v>
      </c>
      <c r="G7767" s="308"/>
      <c r="H7767" s="308" t="s">
        <v>30626</v>
      </c>
      <c r="I7767" s="310">
        <v>42814.0</v>
      </c>
      <c r="J7767" s="319">
        <f>IFERROR(__xludf.DUMMYFUNCTION("SPLIT(I7767,""/"")"),20.0)</f>
        <v>20</v>
      </c>
      <c r="K7767" s="308">
        <f>IFERROR(__xludf.DUMMYFUNCTION("""COMPUTED_VALUE"""),3.0)</f>
        <v>3</v>
      </c>
      <c r="L7767" s="308">
        <f>IFERROR(__xludf.DUMMYFUNCTION("""COMPUTED_VALUE"""),2017.0)</f>
        <v>2017</v>
      </c>
      <c r="M7767" s="308" t="s">
        <v>30585</v>
      </c>
      <c r="N7767" s="308"/>
      <c r="O7767" s="308"/>
      <c r="P7767" s="308" t="s">
        <v>39890</v>
      </c>
      <c r="Q7767" s="308" t="s">
        <v>39573</v>
      </c>
      <c r="R7767" s="308"/>
      <c r="S7767" s="308" t="s">
        <v>81</v>
      </c>
      <c r="T7767" s="308" t="s">
        <v>75</v>
      </c>
      <c r="U7767" s="308" t="s">
        <v>27</v>
      </c>
      <c r="V7767" s="308"/>
    </row>
    <row r="7768">
      <c r="A7768" s="308"/>
      <c r="B7768" s="308"/>
      <c r="C7768" s="308" t="s">
        <v>30628</v>
      </c>
      <c r="D7768" s="308">
        <f>IFERROR(__xludf.DUMMYFUNCTION("SPLIT(C7768,""-"")"),7788.0)</f>
        <v>7788</v>
      </c>
      <c r="E7768" s="308" t="str">
        <f>IFERROR(__xludf.DUMMYFUNCTION("""COMPUTED_VALUE"""),"B")</f>
        <v>B</v>
      </c>
      <c r="F7768" s="315" t="s">
        <v>26</v>
      </c>
      <c r="G7768" s="308"/>
      <c r="H7768" s="308" t="s">
        <v>30629</v>
      </c>
      <c r="I7768" s="310">
        <v>42814.0</v>
      </c>
      <c r="J7768" s="319">
        <f>IFERROR(__xludf.DUMMYFUNCTION("SPLIT(I7768,""/"")"),20.0)</f>
        <v>20</v>
      </c>
      <c r="K7768" s="308">
        <f>IFERROR(__xludf.DUMMYFUNCTION("""COMPUTED_VALUE"""),3.0)</f>
        <v>3</v>
      </c>
      <c r="L7768" s="308">
        <f>IFERROR(__xludf.DUMMYFUNCTION("""COMPUTED_VALUE"""),2017.0)</f>
        <v>2017</v>
      </c>
      <c r="M7768" s="308" t="s">
        <v>30585</v>
      </c>
      <c r="N7768" s="308"/>
      <c r="O7768" s="308"/>
      <c r="P7768" s="308" t="s">
        <v>39891</v>
      </c>
      <c r="Q7768" s="308" t="s">
        <v>39573</v>
      </c>
      <c r="R7768" s="308"/>
      <c r="S7768" s="308" t="s">
        <v>81</v>
      </c>
      <c r="T7768" s="308" t="s">
        <v>75</v>
      </c>
      <c r="U7768" s="308" t="s">
        <v>27</v>
      </c>
      <c r="V7768" s="308"/>
    </row>
    <row r="7769">
      <c r="A7769" s="308"/>
      <c r="B7769" s="308"/>
      <c r="C7769" s="308" t="s">
        <v>30631</v>
      </c>
      <c r="D7769" s="308">
        <f>IFERROR(__xludf.DUMMYFUNCTION("SPLIT(C7769,""-"")"),7789.0)</f>
        <v>7789</v>
      </c>
      <c r="E7769" s="308" t="str">
        <f>IFERROR(__xludf.DUMMYFUNCTION("""COMPUTED_VALUE"""),"B")</f>
        <v>B</v>
      </c>
      <c r="F7769" s="315" t="s">
        <v>26</v>
      </c>
      <c r="G7769" s="308"/>
      <c r="H7769" s="308" t="s">
        <v>30632</v>
      </c>
      <c r="I7769" s="310">
        <v>42814.0</v>
      </c>
      <c r="J7769" s="319">
        <f>IFERROR(__xludf.DUMMYFUNCTION("SPLIT(I7769,""/"")"),20.0)</f>
        <v>20</v>
      </c>
      <c r="K7769" s="308">
        <f>IFERROR(__xludf.DUMMYFUNCTION("""COMPUTED_VALUE"""),3.0)</f>
        <v>3</v>
      </c>
      <c r="L7769" s="308">
        <f>IFERROR(__xludf.DUMMYFUNCTION("""COMPUTED_VALUE"""),2017.0)</f>
        <v>2017</v>
      </c>
      <c r="M7769" s="308" t="s">
        <v>30585</v>
      </c>
      <c r="N7769" s="308"/>
      <c r="O7769" s="308"/>
      <c r="P7769" s="308" t="s">
        <v>39892</v>
      </c>
      <c r="Q7769" s="308" t="s">
        <v>39573</v>
      </c>
      <c r="R7769" s="308"/>
      <c r="S7769" s="308" t="s">
        <v>81</v>
      </c>
      <c r="T7769" s="308" t="s">
        <v>75</v>
      </c>
      <c r="U7769" s="308" t="s">
        <v>27</v>
      </c>
      <c r="V7769" s="308"/>
    </row>
    <row r="7770">
      <c r="A7770" s="308"/>
      <c r="B7770" s="308"/>
      <c r="C7770" s="308" t="s">
        <v>30634</v>
      </c>
      <c r="D7770" s="308">
        <f>IFERROR(__xludf.DUMMYFUNCTION("SPLIT(C7770,""-"")"),7790.0)</f>
        <v>7790</v>
      </c>
      <c r="E7770" s="308" t="str">
        <f>IFERROR(__xludf.DUMMYFUNCTION("""COMPUTED_VALUE"""),"B")</f>
        <v>B</v>
      </c>
      <c r="F7770" s="315" t="s">
        <v>26</v>
      </c>
      <c r="G7770" s="308"/>
      <c r="H7770" s="308" t="s">
        <v>30635</v>
      </c>
      <c r="I7770" s="310">
        <v>42814.0</v>
      </c>
      <c r="J7770" s="319">
        <f>IFERROR(__xludf.DUMMYFUNCTION("SPLIT(I7770,""/"")"),20.0)</f>
        <v>20</v>
      </c>
      <c r="K7770" s="308">
        <f>IFERROR(__xludf.DUMMYFUNCTION("""COMPUTED_VALUE"""),3.0)</f>
        <v>3</v>
      </c>
      <c r="L7770" s="308">
        <f>IFERROR(__xludf.DUMMYFUNCTION("""COMPUTED_VALUE"""),2017.0)</f>
        <v>2017</v>
      </c>
      <c r="M7770" s="308" t="s">
        <v>30585</v>
      </c>
      <c r="N7770" s="308"/>
      <c r="O7770" s="308"/>
      <c r="P7770" s="308" t="s">
        <v>39893</v>
      </c>
      <c r="Q7770" s="308" t="s">
        <v>39573</v>
      </c>
      <c r="R7770" s="308"/>
      <c r="S7770" s="308" t="s">
        <v>81</v>
      </c>
      <c r="T7770" s="308" t="s">
        <v>75</v>
      </c>
      <c r="U7770" s="308" t="s">
        <v>27</v>
      </c>
      <c r="V7770" s="308"/>
    </row>
    <row r="7771">
      <c r="A7771" s="308"/>
      <c r="B7771" s="308"/>
      <c r="C7771" s="308" t="s">
        <v>30637</v>
      </c>
      <c r="D7771" s="308">
        <f>IFERROR(__xludf.DUMMYFUNCTION("SPLIT(C7771,""-"")"),7791.0)</f>
        <v>7791</v>
      </c>
      <c r="E7771" s="308" t="str">
        <f>IFERROR(__xludf.DUMMYFUNCTION("""COMPUTED_VALUE"""),"B")</f>
        <v>B</v>
      </c>
      <c r="F7771" s="315" t="s">
        <v>26</v>
      </c>
      <c r="G7771" s="308"/>
      <c r="H7771" s="308" t="s">
        <v>39894</v>
      </c>
      <c r="I7771" s="310">
        <v>42816.0</v>
      </c>
      <c r="J7771" s="319">
        <f>IFERROR(__xludf.DUMMYFUNCTION("SPLIT(I7771,""/"")"),22.0)</f>
        <v>22</v>
      </c>
      <c r="K7771" s="308">
        <f>IFERROR(__xludf.DUMMYFUNCTION("""COMPUTED_VALUE"""),3.0)</f>
        <v>3</v>
      </c>
      <c r="L7771" s="308">
        <f>IFERROR(__xludf.DUMMYFUNCTION("""COMPUTED_VALUE"""),2017.0)</f>
        <v>2017</v>
      </c>
      <c r="M7771" s="308" t="s">
        <v>30639</v>
      </c>
      <c r="N7771" s="308"/>
      <c r="O7771" s="308"/>
      <c r="P7771" s="308" t="s">
        <v>39895</v>
      </c>
      <c r="Q7771" s="308" t="s">
        <v>39573</v>
      </c>
      <c r="R7771" s="308"/>
      <c r="S7771" s="308" t="s">
        <v>81</v>
      </c>
      <c r="T7771" s="308" t="s">
        <v>75</v>
      </c>
      <c r="U7771" s="308" t="s">
        <v>27</v>
      </c>
      <c r="V7771" s="308"/>
    </row>
    <row r="7772">
      <c r="A7772" s="308"/>
      <c r="B7772" s="308"/>
      <c r="C7772" s="308" t="s">
        <v>30641</v>
      </c>
      <c r="D7772" s="308">
        <f>IFERROR(__xludf.DUMMYFUNCTION("SPLIT(C7772,""-"")"),7792.0)</f>
        <v>7792</v>
      </c>
      <c r="E7772" s="308" t="str">
        <f>IFERROR(__xludf.DUMMYFUNCTION("""COMPUTED_VALUE"""),"B")</f>
        <v>B</v>
      </c>
      <c r="F7772" s="315" t="s">
        <v>26</v>
      </c>
      <c r="G7772" s="308"/>
      <c r="H7772" s="308" t="s">
        <v>30642</v>
      </c>
      <c r="I7772" s="310">
        <v>42816.0</v>
      </c>
      <c r="J7772" s="319">
        <f>IFERROR(__xludf.DUMMYFUNCTION("SPLIT(I7772,""/"")"),22.0)</f>
        <v>22</v>
      </c>
      <c r="K7772" s="308">
        <f>IFERROR(__xludf.DUMMYFUNCTION("""COMPUTED_VALUE"""),3.0)</f>
        <v>3</v>
      </c>
      <c r="L7772" s="308">
        <f>IFERROR(__xludf.DUMMYFUNCTION("""COMPUTED_VALUE"""),2017.0)</f>
        <v>2017</v>
      </c>
      <c r="M7772" s="308" t="s">
        <v>30639</v>
      </c>
      <c r="N7772" s="308"/>
      <c r="O7772" s="308"/>
      <c r="P7772" s="308" t="s">
        <v>39896</v>
      </c>
      <c r="Q7772" s="308" t="s">
        <v>39573</v>
      </c>
      <c r="R7772" s="308"/>
      <c r="S7772" s="308" t="s">
        <v>81</v>
      </c>
      <c r="T7772" s="308" t="s">
        <v>75</v>
      </c>
      <c r="U7772" s="308" t="s">
        <v>27</v>
      </c>
      <c r="V7772" s="308"/>
    </row>
    <row r="7773">
      <c r="A7773" s="308"/>
      <c r="B7773" s="308"/>
      <c r="C7773" s="308" t="s">
        <v>30644</v>
      </c>
      <c r="D7773" s="308">
        <f>IFERROR(__xludf.DUMMYFUNCTION("SPLIT(C7773,""-"")"),7793.0)</f>
        <v>7793</v>
      </c>
      <c r="E7773" s="308" t="str">
        <f>IFERROR(__xludf.DUMMYFUNCTION("""COMPUTED_VALUE"""),"B")</f>
        <v>B</v>
      </c>
      <c r="F7773" s="315" t="s">
        <v>26</v>
      </c>
      <c r="G7773" s="308"/>
      <c r="H7773" s="308" t="s">
        <v>39897</v>
      </c>
      <c r="I7773" s="310">
        <v>42816.0</v>
      </c>
      <c r="J7773" s="319">
        <f>IFERROR(__xludf.DUMMYFUNCTION("SPLIT(I7773,""/"")"),22.0)</f>
        <v>22</v>
      </c>
      <c r="K7773" s="308">
        <f>IFERROR(__xludf.DUMMYFUNCTION("""COMPUTED_VALUE"""),3.0)</f>
        <v>3</v>
      </c>
      <c r="L7773" s="308">
        <f>IFERROR(__xludf.DUMMYFUNCTION("""COMPUTED_VALUE"""),2017.0)</f>
        <v>2017</v>
      </c>
      <c r="M7773" s="308" t="s">
        <v>30639</v>
      </c>
      <c r="N7773" s="308"/>
      <c r="O7773" s="308"/>
      <c r="P7773" s="308" t="s">
        <v>39898</v>
      </c>
      <c r="Q7773" s="308" t="s">
        <v>39573</v>
      </c>
      <c r="R7773" s="308"/>
      <c r="S7773" s="308" t="s">
        <v>81</v>
      </c>
      <c r="T7773" s="308" t="s">
        <v>75</v>
      </c>
      <c r="U7773" s="308" t="s">
        <v>27</v>
      </c>
      <c r="V7773" s="308"/>
    </row>
    <row r="7774">
      <c r="A7774" s="308"/>
      <c r="B7774" s="308"/>
      <c r="C7774" s="308" t="s">
        <v>30647</v>
      </c>
      <c r="D7774" s="308">
        <f>IFERROR(__xludf.DUMMYFUNCTION("SPLIT(C7774,""-"")"),7794.0)</f>
        <v>7794</v>
      </c>
      <c r="E7774" s="308" t="str">
        <f>IFERROR(__xludf.DUMMYFUNCTION("""COMPUTED_VALUE"""),"B")</f>
        <v>B</v>
      </c>
      <c r="F7774" s="315" t="s">
        <v>26</v>
      </c>
      <c r="G7774" s="308"/>
      <c r="H7774" s="308" t="s">
        <v>30648</v>
      </c>
      <c r="I7774" s="310">
        <v>42816.0</v>
      </c>
      <c r="J7774" s="319">
        <f>IFERROR(__xludf.DUMMYFUNCTION("SPLIT(I7774,""/"")"),22.0)</f>
        <v>22</v>
      </c>
      <c r="K7774" s="308">
        <f>IFERROR(__xludf.DUMMYFUNCTION("""COMPUTED_VALUE"""),3.0)</f>
        <v>3</v>
      </c>
      <c r="L7774" s="308">
        <f>IFERROR(__xludf.DUMMYFUNCTION("""COMPUTED_VALUE"""),2017.0)</f>
        <v>2017</v>
      </c>
      <c r="M7774" s="308" t="s">
        <v>30639</v>
      </c>
      <c r="N7774" s="308"/>
      <c r="O7774" s="308"/>
      <c r="P7774" s="308" t="s">
        <v>39899</v>
      </c>
      <c r="Q7774" s="308" t="s">
        <v>39573</v>
      </c>
      <c r="R7774" s="308"/>
      <c r="S7774" s="308" t="s">
        <v>81</v>
      </c>
      <c r="T7774" s="308" t="s">
        <v>75</v>
      </c>
      <c r="U7774" s="308" t="s">
        <v>27</v>
      </c>
      <c r="V7774" s="308"/>
    </row>
    <row r="7775">
      <c r="A7775" s="308"/>
      <c r="B7775" s="308"/>
      <c r="C7775" s="308" t="s">
        <v>30650</v>
      </c>
      <c r="D7775" s="308">
        <f>IFERROR(__xludf.DUMMYFUNCTION("SPLIT(C7775,""-"")"),7795.0)</f>
        <v>7795</v>
      </c>
      <c r="E7775" s="308" t="str">
        <f>IFERROR(__xludf.DUMMYFUNCTION("""COMPUTED_VALUE"""),"B")</f>
        <v>B</v>
      </c>
      <c r="F7775" s="315" t="s">
        <v>26</v>
      </c>
      <c r="G7775" s="308"/>
      <c r="H7775" s="308" t="s">
        <v>39900</v>
      </c>
      <c r="I7775" s="310">
        <v>42815.0</v>
      </c>
      <c r="J7775" s="319">
        <f>IFERROR(__xludf.DUMMYFUNCTION("SPLIT(I7775,""/"")"),21.0)</f>
        <v>21</v>
      </c>
      <c r="K7775" s="308">
        <f>IFERROR(__xludf.DUMMYFUNCTION("""COMPUTED_VALUE"""),3.0)</f>
        <v>3</v>
      </c>
      <c r="L7775" s="308">
        <f>IFERROR(__xludf.DUMMYFUNCTION("""COMPUTED_VALUE"""),2017.0)</f>
        <v>2017</v>
      </c>
      <c r="M7775" s="308" t="s">
        <v>30652</v>
      </c>
      <c r="N7775" s="308"/>
      <c r="O7775" s="308"/>
      <c r="P7775" s="308" t="s">
        <v>39901</v>
      </c>
      <c r="Q7775" s="308" t="s">
        <v>39573</v>
      </c>
      <c r="R7775" s="308"/>
      <c r="S7775" s="308" t="s">
        <v>81</v>
      </c>
      <c r="T7775" s="308" t="s">
        <v>75</v>
      </c>
      <c r="U7775" s="308" t="s">
        <v>27</v>
      </c>
      <c r="V7775" s="308"/>
    </row>
    <row r="7776">
      <c r="A7776" s="308"/>
      <c r="B7776" s="308"/>
      <c r="C7776" s="308" t="s">
        <v>30654</v>
      </c>
      <c r="D7776" s="308">
        <f>IFERROR(__xludf.DUMMYFUNCTION("SPLIT(C7776,""-"")"),7796.0)</f>
        <v>7796</v>
      </c>
      <c r="E7776" s="308" t="str">
        <f>IFERROR(__xludf.DUMMYFUNCTION("""COMPUTED_VALUE"""),"B")</f>
        <v>B</v>
      </c>
      <c r="F7776" s="315" t="s">
        <v>26</v>
      </c>
      <c r="G7776" s="308"/>
      <c r="H7776" s="308" t="s">
        <v>30655</v>
      </c>
      <c r="I7776" s="310">
        <v>42815.0</v>
      </c>
      <c r="J7776" s="319">
        <f>IFERROR(__xludf.DUMMYFUNCTION("SPLIT(I7776,""/"")"),21.0)</f>
        <v>21</v>
      </c>
      <c r="K7776" s="308">
        <f>IFERROR(__xludf.DUMMYFUNCTION("""COMPUTED_VALUE"""),3.0)</f>
        <v>3</v>
      </c>
      <c r="L7776" s="308">
        <f>IFERROR(__xludf.DUMMYFUNCTION("""COMPUTED_VALUE"""),2017.0)</f>
        <v>2017</v>
      </c>
      <c r="M7776" s="308" t="s">
        <v>30652</v>
      </c>
      <c r="N7776" s="308"/>
      <c r="O7776" s="308"/>
      <c r="P7776" s="308" t="s">
        <v>39902</v>
      </c>
      <c r="Q7776" s="308" t="s">
        <v>39573</v>
      </c>
      <c r="R7776" s="308"/>
      <c r="S7776" s="308" t="s">
        <v>81</v>
      </c>
      <c r="T7776" s="308" t="s">
        <v>75</v>
      </c>
      <c r="U7776" s="308" t="s">
        <v>27</v>
      </c>
      <c r="V7776" s="308"/>
    </row>
    <row r="7777">
      <c r="A7777" s="308"/>
      <c r="B7777" s="308"/>
      <c r="C7777" s="308" t="s">
        <v>30657</v>
      </c>
      <c r="D7777" s="308">
        <f>IFERROR(__xludf.DUMMYFUNCTION("SPLIT(C7777,""-"")"),7797.0)</f>
        <v>7797</v>
      </c>
      <c r="E7777" s="308" t="str">
        <f>IFERROR(__xludf.DUMMYFUNCTION("""COMPUTED_VALUE"""),"B")</f>
        <v>B</v>
      </c>
      <c r="F7777" s="315" t="s">
        <v>26</v>
      </c>
      <c r="G7777" s="308"/>
      <c r="H7777" s="308" t="s">
        <v>30658</v>
      </c>
      <c r="I7777" s="310">
        <v>42815.0</v>
      </c>
      <c r="J7777" s="319">
        <f>IFERROR(__xludf.DUMMYFUNCTION("SPLIT(I7777,""/"")"),21.0)</f>
        <v>21</v>
      </c>
      <c r="K7777" s="308">
        <f>IFERROR(__xludf.DUMMYFUNCTION("""COMPUTED_VALUE"""),3.0)</f>
        <v>3</v>
      </c>
      <c r="L7777" s="308">
        <f>IFERROR(__xludf.DUMMYFUNCTION("""COMPUTED_VALUE"""),2017.0)</f>
        <v>2017</v>
      </c>
      <c r="M7777" s="308" t="s">
        <v>30659</v>
      </c>
      <c r="N7777" s="308"/>
      <c r="O7777" s="308"/>
      <c r="P7777" s="308" t="s">
        <v>136</v>
      </c>
      <c r="Q7777" s="308" t="s">
        <v>39573</v>
      </c>
      <c r="R7777" s="308"/>
      <c r="S7777" s="315" t="s">
        <v>100</v>
      </c>
      <c r="T7777" s="308" t="s">
        <v>34208</v>
      </c>
      <c r="U7777" s="308" t="s">
        <v>27</v>
      </c>
      <c r="V7777" s="308"/>
    </row>
    <row r="7778">
      <c r="A7778" s="308"/>
      <c r="B7778" s="308"/>
      <c r="C7778" s="308" t="s">
        <v>30660</v>
      </c>
      <c r="D7778" s="308">
        <f>IFERROR(__xludf.DUMMYFUNCTION("SPLIT(C7778,""-"")"),7798.0)</f>
        <v>7798</v>
      </c>
      <c r="E7778" s="308" t="str">
        <f>IFERROR(__xludf.DUMMYFUNCTION("""COMPUTED_VALUE"""),"B")</f>
        <v>B</v>
      </c>
      <c r="F7778" s="315" t="s">
        <v>26</v>
      </c>
      <c r="G7778" s="308"/>
      <c r="H7778" s="308" t="s">
        <v>28392</v>
      </c>
      <c r="I7778" s="310">
        <v>42815.0</v>
      </c>
      <c r="J7778" s="319">
        <f>IFERROR(__xludf.DUMMYFUNCTION("SPLIT(I7778,""/"")"),21.0)</f>
        <v>21</v>
      </c>
      <c r="K7778" s="308">
        <f>IFERROR(__xludf.DUMMYFUNCTION("""COMPUTED_VALUE"""),3.0)</f>
        <v>3</v>
      </c>
      <c r="L7778" s="308">
        <f>IFERROR(__xludf.DUMMYFUNCTION("""COMPUTED_VALUE"""),2017.0)</f>
        <v>2017</v>
      </c>
      <c r="M7778" s="308" t="s">
        <v>30652</v>
      </c>
      <c r="N7778" s="308"/>
      <c r="O7778" s="308"/>
      <c r="P7778" s="308" t="s">
        <v>39882</v>
      </c>
      <c r="Q7778" s="308" t="s">
        <v>39573</v>
      </c>
      <c r="R7778" s="308"/>
      <c r="S7778" s="308" t="s">
        <v>81</v>
      </c>
      <c r="T7778" s="308" t="s">
        <v>75</v>
      </c>
      <c r="U7778" s="308" t="s">
        <v>27</v>
      </c>
      <c r="V7778" s="308"/>
    </row>
    <row r="7779">
      <c r="A7779" s="308"/>
      <c r="B7779" s="308"/>
      <c r="C7779" s="308" t="s">
        <v>30661</v>
      </c>
      <c r="D7779" s="308">
        <f>IFERROR(__xludf.DUMMYFUNCTION("SPLIT(C7779,""-"")"),7799.0)</f>
        <v>7799</v>
      </c>
      <c r="E7779" s="308" t="str">
        <f>IFERROR(__xludf.DUMMYFUNCTION("""COMPUTED_VALUE"""),"B")</f>
        <v>B</v>
      </c>
      <c r="F7779" s="315" t="s">
        <v>26</v>
      </c>
      <c r="G7779" s="308"/>
      <c r="H7779" s="308" t="s">
        <v>30662</v>
      </c>
      <c r="I7779" s="310">
        <v>42814.0</v>
      </c>
      <c r="J7779" s="319">
        <f>IFERROR(__xludf.DUMMYFUNCTION("SPLIT(I7779,""/"")"),20.0)</f>
        <v>20</v>
      </c>
      <c r="K7779" s="308">
        <f>IFERROR(__xludf.DUMMYFUNCTION("""COMPUTED_VALUE"""),3.0)</f>
        <v>3</v>
      </c>
      <c r="L7779" s="308">
        <f>IFERROR(__xludf.DUMMYFUNCTION("""COMPUTED_VALUE"""),2017.0)</f>
        <v>2017</v>
      </c>
      <c r="M7779" s="308" t="s">
        <v>30585</v>
      </c>
      <c r="N7779" s="308"/>
      <c r="O7779" s="308"/>
      <c r="P7779" s="308" t="s">
        <v>39903</v>
      </c>
      <c r="Q7779" s="308" t="s">
        <v>39573</v>
      </c>
      <c r="R7779" s="308"/>
      <c r="S7779" s="308" t="s">
        <v>81</v>
      </c>
      <c r="T7779" s="308" t="s">
        <v>75</v>
      </c>
      <c r="U7779" s="308" t="s">
        <v>27</v>
      </c>
      <c r="V7779" s="308"/>
    </row>
    <row r="7780">
      <c r="A7780" s="308"/>
      <c r="B7780" s="308"/>
      <c r="C7780" s="308" t="s">
        <v>30664</v>
      </c>
      <c r="D7780" s="308">
        <f>IFERROR(__xludf.DUMMYFUNCTION("SPLIT(C7780,""-"")"),7800.0)</f>
        <v>7800</v>
      </c>
      <c r="E7780" s="308" t="str">
        <f>IFERROR(__xludf.DUMMYFUNCTION("""COMPUTED_VALUE"""),"B")</f>
        <v>B</v>
      </c>
      <c r="F7780" s="315" t="s">
        <v>26</v>
      </c>
      <c r="G7780" s="308"/>
      <c r="H7780" s="308" t="s">
        <v>39904</v>
      </c>
      <c r="I7780" s="310">
        <v>42814.0</v>
      </c>
      <c r="J7780" s="319">
        <f>IFERROR(__xludf.DUMMYFUNCTION("SPLIT(I7780,""/"")"),20.0)</f>
        <v>20</v>
      </c>
      <c r="K7780" s="308">
        <f>IFERROR(__xludf.DUMMYFUNCTION("""COMPUTED_VALUE"""),3.0)</f>
        <v>3</v>
      </c>
      <c r="L7780" s="308">
        <f>IFERROR(__xludf.DUMMYFUNCTION("""COMPUTED_VALUE"""),2017.0)</f>
        <v>2017</v>
      </c>
      <c r="M7780" s="308" t="s">
        <v>30585</v>
      </c>
      <c r="N7780" s="308"/>
      <c r="O7780" s="308"/>
      <c r="P7780" s="308" t="s">
        <v>39905</v>
      </c>
      <c r="Q7780" s="308" t="s">
        <v>39573</v>
      </c>
      <c r="R7780" s="308"/>
      <c r="S7780" s="308" t="s">
        <v>81</v>
      </c>
      <c r="T7780" s="308" t="s">
        <v>75</v>
      </c>
      <c r="U7780" s="308" t="s">
        <v>27</v>
      </c>
      <c r="V7780" s="308"/>
    </row>
    <row r="7781">
      <c r="A7781" s="308"/>
      <c r="B7781" s="308"/>
      <c r="C7781" s="308" t="s">
        <v>30666</v>
      </c>
      <c r="D7781" s="308">
        <f>IFERROR(__xludf.DUMMYFUNCTION("SPLIT(C7781,""-"")"),7801.0)</f>
        <v>7801</v>
      </c>
      <c r="E7781" s="308" t="str">
        <f>IFERROR(__xludf.DUMMYFUNCTION("""COMPUTED_VALUE"""),"B")</f>
        <v>B</v>
      </c>
      <c r="F7781" s="315" t="s">
        <v>26</v>
      </c>
      <c r="G7781" s="308"/>
      <c r="H7781" s="308" t="s">
        <v>30667</v>
      </c>
      <c r="I7781" s="310">
        <v>42814.0</v>
      </c>
      <c r="J7781" s="319">
        <f>IFERROR(__xludf.DUMMYFUNCTION("SPLIT(I7781,""/"")"),20.0)</f>
        <v>20</v>
      </c>
      <c r="K7781" s="308">
        <f>IFERROR(__xludf.DUMMYFUNCTION("""COMPUTED_VALUE"""),3.0)</f>
        <v>3</v>
      </c>
      <c r="L7781" s="308">
        <f>IFERROR(__xludf.DUMMYFUNCTION("""COMPUTED_VALUE"""),2017.0)</f>
        <v>2017</v>
      </c>
      <c r="M7781" s="308" t="s">
        <v>30585</v>
      </c>
      <c r="N7781" s="308"/>
      <c r="O7781" s="308"/>
      <c r="P7781" s="308" t="s">
        <v>39906</v>
      </c>
      <c r="Q7781" s="308" t="s">
        <v>39573</v>
      </c>
      <c r="R7781" s="308"/>
      <c r="S7781" s="308" t="s">
        <v>81</v>
      </c>
      <c r="T7781" s="308" t="s">
        <v>75</v>
      </c>
      <c r="U7781" s="308" t="s">
        <v>27</v>
      </c>
      <c r="V7781" s="308"/>
    </row>
    <row r="7782">
      <c r="A7782" s="308"/>
      <c r="B7782" s="308"/>
      <c r="C7782" s="308" t="s">
        <v>30669</v>
      </c>
      <c r="D7782" s="308">
        <f>IFERROR(__xludf.DUMMYFUNCTION("SPLIT(C7782,""-"")"),7802.0)</f>
        <v>7802</v>
      </c>
      <c r="E7782" s="308" t="str">
        <f>IFERROR(__xludf.DUMMYFUNCTION("""COMPUTED_VALUE"""),"B")</f>
        <v>B</v>
      </c>
      <c r="F7782" s="315" t="s">
        <v>26</v>
      </c>
      <c r="G7782" s="308"/>
      <c r="H7782" s="308" t="s">
        <v>30670</v>
      </c>
      <c r="I7782" s="310">
        <v>42814.0</v>
      </c>
      <c r="J7782" s="319">
        <f>IFERROR(__xludf.DUMMYFUNCTION("SPLIT(I7782,""/"")"),20.0)</f>
        <v>20</v>
      </c>
      <c r="K7782" s="308">
        <f>IFERROR(__xludf.DUMMYFUNCTION("""COMPUTED_VALUE"""),3.0)</f>
        <v>3</v>
      </c>
      <c r="L7782" s="308">
        <f>IFERROR(__xludf.DUMMYFUNCTION("""COMPUTED_VALUE"""),2017.0)</f>
        <v>2017</v>
      </c>
      <c r="M7782" s="308" t="s">
        <v>30585</v>
      </c>
      <c r="N7782" s="308"/>
      <c r="O7782" s="308"/>
      <c r="P7782" s="308" t="s">
        <v>39907</v>
      </c>
      <c r="Q7782" s="308" t="s">
        <v>39573</v>
      </c>
      <c r="R7782" s="308"/>
      <c r="S7782" s="308" t="s">
        <v>81</v>
      </c>
      <c r="T7782" s="308" t="s">
        <v>75</v>
      </c>
      <c r="U7782" s="308" t="s">
        <v>27</v>
      </c>
      <c r="V7782" s="308" t="s">
        <v>30672</v>
      </c>
    </row>
    <row r="7783">
      <c r="A7783" s="308"/>
      <c r="B7783" s="308"/>
      <c r="C7783" s="308" t="s">
        <v>30673</v>
      </c>
      <c r="D7783" s="308">
        <f>IFERROR(__xludf.DUMMYFUNCTION("SPLIT(C7783,""-"")"),7803.0)</f>
        <v>7803</v>
      </c>
      <c r="E7783" s="308" t="str">
        <f>IFERROR(__xludf.DUMMYFUNCTION("""COMPUTED_VALUE"""),"P")</f>
        <v>P</v>
      </c>
      <c r="F7783" s="312" t="s">
        <v>37</v>
      </c>
      <c r="G7783" s="308"/>
      <c r="H7783" s="308" t="s">
        <v>30674</v>
      </c>
      <c r="I7783" s="310">
        <v>44006.0</v>
      </c>
      <c r="J7783" s="319">
        <f>IFERROR(__xludf.DUMMYFUNCTION("SPLIT(I7783,""/"")"),24.0)</f>
        <v>24</v>
      </c>
      <c r="K7783" s="308">
        <f>IFERROR(__xludf.DUMMYFUNCTION("""COMPUTED_VALUE"""),6.0)</f>
        <v>6</v>
      </c>
      <c r="L7783" s="308">
        <f>IFERROR(__xludf.DUMMYFUNCTION("""COMPUTED_VALUE"""),2020.0)</f>
        <v>2020</v>
      </c>
      <c r="M7783" s="308" t="s">
        <v>30675</v>
      </c>
      <c r="N7783" s="308" t="s">
        <v>30676</v>
      </c>
      <c r="O7783" s="308" t="s">
        <v>30677</v>
      </c>
      <c r="P7783" s="308" t="s">
        <v>136</v>
      </c>
      <c r="Q7783" s="308" t="s">
        <v>39908</v>
      </c>
      <c r="R7783" s="308" t="s">
        <v>2743</v>
      </c>
      <c r="S7783" s="315" t="s">
        <v>100</v>
      </c>
      <c r="T7783" s="308" t="s">
        <v>34208</v>
      </c>
      <c r="U7783" s="308" t="s">
        <v>143</v>
      </c>
      <c r="V7783" s="308" t="s">
        <v>30678</v>
      </c>
    </row>
    <row r="7784">
      <c r="A7784" s="308"/>
      <c r="B7784" s="308"/>
      <c r="C7784" s="308" t="s">
        <v>30679</v>
      </c>
      <c r="D7784" s="308">
        <f>IFERROR(__xludf.DUMMYFUNCTION("SPLIT(C7784,""-"")"),7804.0)</f>
        <v>7804</v>
      </c>
      <c r="E7784" s="308" t="str">
        <f>IFERROR(__xludf.DUMMYFUNCTION("""COMPUTED_VALUE"""),"P")</f>
        <v>P</v>
      </c>
      <c r="F7784" s="312" t="s">
        <v>37</v>
      </c>
      <c r="G7784" s="308"/>
      <c r="H7784" s="308" t="s">
        <v>30680</v>
      </c>
      <c r="I7784" s="310">
        <v>44274.0</v>
      </c>
      <c r="J7784" s="319">
        <f>IFERROR(__xludf.DUMMYFUNCTION("SPLIT(I7784,""/"")"),19.0)</f>
        <v>19</v>
      </c>
      <c r="K7784" s="308">
        <f>IFERROR(__xludf.DUMMYFUNCTION("""COMPUTED_VALUE"""),3.0)</f>
        <v>3</v>
      </c>
      <c r="L7784" s="308">
        <f>IFERROR(__xludf.DUMMYFUNCTION("""COMPUTED_VALUE"""),2021.0)</f>
        <v>2021</v>
      </c>
      <c r="M7784" s="308" t="s">
        <v>30681</v>
      </c>
      <c r="N7784" s="308" t="s">
        <v>30682</v>
      </c>
      <c r="O7784" s="308"/>
      <c r="P7784" s="308" t="s">
        <v>39909</v>
      </c>
      <c r="Q7784" s="308" t="s">
        <v>39908</v>
      </c>
      <c r="R7784" s="308" t="s">
        <v>2743</v>
      </c>
      <c r="S7784" s="308" t="s">
        <v>81</v>
      </c>
      <c r="T7784" s="308" t="s">
        <v>75</v>
      </c>
      <c r="U7784" s="308" t="s">
        <v>143</v>
      </c>
      <c r="V7784" s="308"/>
    </row>
    <row r="7785">
      <c r="A7785" s="308"/>
      <c r="B7785" s="308"/>
      <c r="C7785" s="308" t="s">
        <v>30684</v>
      </c>
      <c r="D7785" s="308">
        <f>IFERROR(__xludf.DUMMYFUNCTION("SPLIT(C7785,""-"")"),7805.0)</f>
        <v>7805</v>
      </c>
      <c r="E7785" s="308" t="str">
        <f>IFERROR(__xludf.DUMMYFUNCTION("""COMPUTED_VALUE"""),"P")</f>
        <v>P</v>
      </c>
      <c r="F7785" s="312" t="s">
        <v>37</v>
      </c>
      <c r="G7785" s="308"/>
      <c r="H7785" s="308" t="s">
        <v>30685</v>
      </c>
      <c r="I7785" s="310">
        <v>44274.0</v>
      </c>
      <c r="J7785" s="319">
        <f>IFERROR(__xludf.DUMMYFUNCTION("SPLIT(I7785,""/"")"),19.0)</f>
        <v>19</v>
      </c>
      <c r="K7785" s="308">
        <f>IFERROR(__xludf.DUMMYFUNCTION("""COMPUTED_VALUE"""),3.0)</f>
        <v>3</v>
      </c>
      <c r="L7785" s="308">
        <f>IFERROR(__xludf.DUMMYFUNCTION("""COMPUTED_VALUE"""),2021.0)</f>
        <v>2021</v>
      </c>
      <c r="M7785" s="308" t="s">
        <v>30681</v>
      </c>
      <c r="N7785" s="308" t="s">
        <v>30686</v>
      </c>
      <c r="O7785" s="308"/>
      <c r="P7785" s="308" t="s">
        <v>30687</v>
      </c>
      <c r="Q7785" s="308" t="s">
        <v>39908</v>
      </c>
      <c r="R7785" s="308" t="s">
        <v>2743</v>
      </c>
      <c r="S7785" s="308" t="s">
        <v>81</v>
      </c>
      <c r="T7785" s="308" t="s">
        <v>75</v>
      </c>
      <c r="U7785" s="308" t="s">
        <v>143</v>
      </c>
      <c r="V7785" s="308"/>
    </row>
    <row r="7786">
      <c r="A7786" s="308"/>
      <c r="B7786" s="308"/>
      <c r="C7786" s="308" t="s">
        <v>30688</v>
      </c>
      <c r="D7786" s="308">
        <f>IFERROR(__xludf.DUMMYFUNCTION("SPLIT(C7786,""-"")"),7806.0)</f>
        <v>7806</v>
      </c>
      <c r="E7786" s="308" t="str">
        <f>IFERROR(__xludf.DUMMYFUNCTION("""COMPUTED_VALUE"""),"K")</f>
        <v>K</v>
      </c>
      <c r="F7786" s="309" t="s">
        <v>34</v>
      </c>
      <c r="G7786" s="308"/>
      <c r="H7786" s="308" t="s">
        <v>30689</v>
      </c>
      <c r="I7786" s="310">
        <v>42526.0</v>
      </c>
      <c r="J7786" s="319">
        <f>IFERROR(__xludf.DUMMYFUNCTION("SPLIT(I7786,""/"")"),5.0)</f>
        <v>5</v>
      </c>
      <c r="K7786" s="308">
        <f>IFERROR(__xludf.DUMMYFUNCTION("""COMPUTED_VALUE"""),6.0)</f>
        <v>6</v>
      </c>
      <c r="L7786" s="308">
        <f>IFERROR(__xludf.DUMMYFUNCTION("""COMPUTED_VALUE"""),2016.0)</f>
        <v>2016</v>
      </c>
      <c r="M7786" s="308" t="s">
        <v>30690</v>
      </c>
      <c r="N7786" s="308" t="s">
        <v>30691</v>
      </c>
      <c r="O7786" s="308"/>
      <c r="P7786" s="308" t="s">
        <v>136</v>
      </c>
      <c r="Q7786" s="308" t="s">
        <v>39908</v>
      </c>
      <c r="R7786" s="308" t="s">
        <v>30692</v>
      </c>
      <c r="S7786" s="315" t="s">
        <v>100</v>
      </c>
      <c r="T7786" s="308" t="s">
        <v>34208</v>
      </c>
      <c r="U7786" s="308" t="s">
        <v>22473</v>
      </c>
      <c r="V7786" s="308"/>
    </row>
    <row r="7787">
      <c r="A7787" s="308"/>
      <c r="B7787" s="308"/>
      <c r="C7787" s="308" t="s">
        <v>30693</v>
      </c>
      <c r="D7787" s="308">
        <f>IFERROR(__xludf.DUMMYFUNCTION("SPLIT(C7787,""-"")"),7807.0)</f>
        <v>7807</v>
      </c>
      <c r="E7787" s="308" t="str">
        <f>IFERROR(__xludf.DUMMYFUNCTION("""COMPUTED_VALUE"""),"K")</f>
        <v>K</v>
      </c>
      <c r="F7787" s="309" t="s">
        <v>34</v>
      </c>
      <c r="G7787" s="308"/>
      <c r="H7787" s="308" t="s">
        <v>30694</v>
      </c>
      <c r="I7787" s="310">
        <v>41457.0</v>
      </c>
      <c r="J7787" s="319">
        <f>IFERROR(__xludf.DUMMYFUNCTION("SPLIT(I7787,""/"")"),2.0)</f>
        <v>2</v>
      </c>
      <c r="K7787" s="308">
        <f>IFERROR(__xludf.DUMMYFUNCTION("""COMPUTED_VALUE"""),7.0)</f>
        <v>7</v>
      </c>
      <c r="L7787" s="308">
        <f>IFERROR(__xludf.DUMMYFUNCTION("""COMPUTED_VALUE"""),2013.0)</f>
        <v>2013</v>
      </c>
      <c r="M7787" s="308" t="s">
        <v>39910</v>
      </c>
      <c r="N7787" s="308" t="s">
        <v>439</v>
      </c>
      <c r="O7787" s="308"/>
      <c r="P7787" s="308" t="s">
        <v>136</v>
      </c>
      <c r="Q7787" s="308" t="s">
        <v>39908</v>
      </c>
      <c r="R7787" s="308" t="s">
        <v>30692</v>
      </c>
      <c r="S7787" s="315" t="s">
        <v>100</v>
      </c>
      <c r="T7787" s="308" t="s">
        <v>34208</v>
      </c>
      <c r="U7787" s="308" t="s">
        <v>2466</v>
      </c>
      <c r="V7787" s="308"/>
    </row>
    <row r="7788">
      <c r="A7788" s="308"/>
      <c r="B7788" s="308"/>
      <c r="C7788" s="308" t="s">
        <v>30696</v>
      </c>
      <c r="D7788" s="308">
        <f>IFERROR(__xludf.DUMMYFUNCTION("SPLIT(C7788,""-"")"),7808.0)</f>
        <v>7808</v>
      </c>
      <c r="E7788" s="308" t="str">
        <f>IFERROR(__xludf.DUMMYFUNCTION("""COMPUTED_VALUE"""),"P")</f>
        <v>P</v>
      </c>
      <c r="F7788" s="312" t="s">
        <v>37</v>
      </c>
      <c r="G7788" s="308"/>
      <c r="H7788" s="308" t="s">
        <v>30697</v>
      </c>
      <c r="I7788" s="310">
        <v>43776.0</v>
      </c>
      <c r="J7788" s="319">
        <f>IFERROR(__xludf.DUMMYFUNCTION("SPLIT(I7788,""/"")"),7.0)</f>
        <v>7</v>
      </c>
      <c r="K7788" s="308">
        <f>IFERROR(__xludf.DUMMYFUNCTION("""COMPUTED_VALUE"""),11.0)</f>
        <v>11</v>
      </c>
      <c r="L7788" s="308">
        <f>IFERROR(__xludf.DUMMYFUNCTION("""COMPUTED_VALUE"""),2019.0)</f>
        <v>2019</v>
      </c>
      <c r="M7788" s="308" t="s">
        <v>30698</v>
      </c>
      <c r="N7788" s="308" t="s">
        <v>30699</v>
      </c>
      <c r="O7788" s="308"/>
      <c r="P7788" s="308" t="s">
        <v>136</v>
      </c>
      <c r="Q7788" s="308" t="s">
        <v>39908</v>
      </c>
      <c r="R7788" s="308" t="s">
        <v>30692</v>
      </c>
      <c r="S7788" s="315" t="s">
        <v>100</v>
      </c>
      <c r="T7788" s="308" t="s">
        <v>34208</v>
      </c>
      <c r="U7788" s="308" t="s">
        <v>17303</v>
      </c>
      <c r="V7788" s="308"/>
    </row>
    <row r="7789">
      <c r="A7789" s="308"/>
      <c r="B7789" s="308"/>
      <c r="C7789" s="308" t="s">
        <v>30700</v>
      </c>
      <c r="D7789" s="308">
        <f>IFERROR(__xludf.DUMMYFUNCTION("SPLIT(C7789,""-"")"),7809.0)</f>
        <v>7809</v>
      </c>
      <c r="E7789" s="308" t="str">
        <f>IFERROR(__xludf.DUMMYFUNCTION("""COMPUTED_VALUE"""),"K")</f>
        <v>K</v>
      </c>
      <c r="F7789" s="309" t="s">
        <v>34</v>
      </c>
      <c r="G7789" s="308"/>
      <c r="H7789" s="308" t="s">
        <v>30701</v>
      </c>
      <c r="I7789" s="310">
        <v>40798.0</v>
      </c>
      <c r="J7789" s="319">
        <f>IFERROR(__xludf.DUMMYFUNCTION("SPLIT(I7789,""/"")"),12.0)</f>
        <v>12</v>
      </c>
      <c r="K7789" s="308">
        <f>IFERROR(__xludf.DUMMYFUNCTION("""COMPUTED_VALUE"""),9.0)</f>
        <v>9</v>
      </c>
      <c r="L7789" s="308">
        <f>IFERROR(__xludf.DUMMYFUNCTION("""COMPUTED_VALUE"""),2011.0)</f>
        <v>2011</v>
      </c>
      <c r="M7789" s="308" t="s">
        <v>30702</v>
      </c>
      <c r="N7789" s="308" t="s">
        <v>30703</v>
      </c>
      <c r="O7789" s="308"/>
      <c r="P7789" s="308" t="s">
        <v>136</v>
      </c>
      <c r="Q7789" s="308" t="s">
        <v>39908</v>
      </c>
      <c r="R7789" s="308" t="s">
        <v>30692</v>
      </c>
      <c r="S7789" s="315" t="s">
        <v>100</v>
      </c>
      <c r="T7789" s="308" t="s">
        <v>34208</v>
      </c>
      <c r="U7789" s="308" t="s">
        <v>19459</v>
      </c>
      <c r="V7789" s="308"/>
    </row>
    <row r="7790">
      <c r="A7790" s="308"/>
      <c r="B7790" s="308"/>
      <c r="C7790" s="308" t="s">
        <v>30704</v>
      </c>
      <c r="D7790" s="308">
        <f>IFERROR(__xludf.DUMMYFUNCTION("SPLIT(C7790,""-"")"),7810.0)</f>
        <v>7810</v>
      </c>
      <c r="E7790" s="308" t="str">
        <f>IFERROR(__xludf.DUMMYFUNCTION("""COMPUTED_VALUE"""),"S")</f>
        <v>S</v>
      </c>
      <c r="F7790" s="312" t="s">
        <v>39</v>
      </c>
      <c r="G7790" s="308"/>
      <c r="H7790" s="308" t="s">
        <v>30705</v>
      </c>
      <c r="I7790" s="310">
        <v>42013.0</v>
      </c>
      <c r="J7790" s="319">
        <f>IFERROR(__xludf.DUMMYFUNCTION("SPLIT(I7790,""/"")"),9.0)</f>
        <v>9</v>
      </c>
      <c r="K7790" s="308">
        <f>IFERROR(__xludf.DUMMYFUNCTION("""COMPUTED_VALUE"""),1.0)</f>
        <v>1</v>
      </c>
      <c r="L7790" s="308">
        <f>IFERROR(__xludf.DUMMYFUNCTION("""COMPUTED_VALUE"""),2015.0)</f>
        <v>2015</v>
      </c>
      <c r="M7790" s="308" t="s">
        <v>30706</v>
      </c>
      <c r="N7790" s="308" t="s">
        <v>30707</v>
      </c>
      <c r="O7790" s="308"/>
      <c r="P7790" s="308" t="s">
        <v>136</v>
      </c>
      <c r="Q7790" s="308" t="s">
        <v>39908</v>
      </c>
      <c r="R7790" s="308" t="s">
        <v>30692</v>
      </c>
      <c r="S7790" s="315" t="s">
        <v>100</v>
      </c>
      <c r="T7790" s="308" t="s">
        <v>34208</v>
      </c>
      <c r="U7790" s="308" t="s">
        <v>166</v>
      </c>
      <c r="V7790" s="308"/>
    </row>
    <row r="7791">
      <c r="A7791" s="308"/>
      <c r="B7791" s="308"/>
      <c r="C7791" s="308" t="s">
        <v>30708</v>
      </c>
      <c r="D7791" s="308">
        <f>IFERROR(__xludf.DUMMYFUNCTION("SPLIT(C7791,""-"")"),7811.0)</f>
        <v>7811</v>
      </c>
      <c r="E7791" s="308" t="str">
        <f>IFERROR(__xludf.DUMMYFUNCTION("""COMPUTED_VALUE"""),"K")</f>
        <v>K</v>
      </c>
      <c r="F7791" s="309" t="s">
        <v>34</v>
      </c>
      <c r="G7791" s="308"/>
      <c r="H7791" s="308" t="s">
        <v>30709</v>
      </c>
      <c r="I7791" s="314">
        <v>41228.0</v>
      </c>
      <c r="J7791" s="319">
        <f>IFERROR(__xludf.DUMMYFUNCTION("SPLIT(I7791,""/"")"),15.0)</f>
        <v>15</v>
      </c>
      <c r="K7791" s="308">
        <f>IFERROR(__xludf.DUMMYFUNCTION("""COMPUTED_VALUE"""),11.0)</f>
        <v>11</v>
      </c>
      <c r="L7791" s="308">
        <f>IFERROR(__xludf.DUMMYFUNCTION("""COMPUTED_VALUE"""),2012.0)</f>
        <v>2012</v>
      </c>
      <c r="M7791" s="308" t="s">
        <v>39911</v>
      </c>
      <c r="N7791" s="308" t="s">
        <v>30711</v>
      </c>
      <c r="O7791" s="308"/>
      <c r="P7791" s="308" t="s">
        <v>136</v>
      </c>
      <c r="Q7791" s="308" t="s">
        <v>39908</v>
      </c>
      <c r="R7791" s="308" t="s">
        <v>30692</v>
      </c>
      <c r="S7791" s="315" t="s">
        <v>100</v>
      </c>
      <c r="T7791" s="308" t="s">
        <v>34208</v>
      </c>
      <c r="U7791" s="308" t="s">
        <v>19459</v>
      </c>
      <c r="V7791" s="308"/>
    </row>
    <row r="7792">
      <c r="A7792" s="308"/>
      <c r="B7792" s="308"/>
      <c r="C7792" s="308" t="s">
        <v>30712</v>
      </c>
      <c r="D7792" s="308">
        <f>IFERROR(__xludf.DUMMYFUNCTION("SPLIT(C7792,""-"")"),7812.0)</f>
        <v>7812</v>
      </c>
      <c r="E7792" s="308" t="str">
        <f>IFERROR(__xludf.DUMMYFUNCTION("""COMPUTED_VALUE"""),"K")</f>
        <v>K</v>
      </c>
      <c r="F7792" s="309" t="s">
        <v>34</v>
      </c>
      <c r="G7792" s="308"/>
      <c r="H7792" s="308" t="s">
        <v>30713</v>
      </c>
      <c r="I7792" s="310">
        <v>44029.0</v>
      </c>
      <c r="J7792" s="319">
        <f>IFERROR(__xludf.DUMMYFUNCTION("SPLIT(I7792,""/"")"),17.0)</f>
        <v>17</v>
      </c>
      <c r="K7792" s="308">
        <f>IFERROR(__xludf.DUMMYFUNCTION("""COMPUTED_VALUE"""),7.0)</f>
        <v>7</v>
      </c>
      <c r="L7792" s="308">
        <f>IFERROR(__xludf.DUMMYFUNCTION("""COMPUTED_VALUE"""),2020.0)</f>
        <v>2020</v>
      </c>
      <c r="M7792" s="308" t="s">
        <v>30714</v>
      </c>
      <c r="N7792" s="308" t="s">
        <v>30715</v>
      </c>
      <c r="O7792" s="308"/>
      <c r="P7792" s="308" t="s">
        <v>39912</v>
      </c>
      <c r="Q7792" s="308" t="s">
        <v>39908</v>
      </c>
      <c r="R7792" s="308" t="s">
        <v>30692</v>
      </c>
      <c r="S7792" s="308" t="s">
        <v>81</v>
      </c>
      <c r="T7792" s="308" t="s">
        <v>34264</v>
      </c>
      <c r="U7792" s="308" t="s">
        <v>7530</v>
      </c>
      <c r="V7792" s="308"/>
    </row>
    <row r="7793">
      <c r="A7793" s="308"/>
      <c r="B7793" s="308"/>
      <c r="C7793" s="308" t="s">
        <v>30717</v>
      </c>
      <c r="D7793" s="308">
        <f>IFERROR(__xludf.DUMMYFUNCTION("SPLIT(C7793,""-"")"),7813.0)</f>
        <v>7813</v>
      </c>
      <c r="E7793" s="308" t="str">
        <f>IFERROR(__xludf.DUMMYFUNCTION("""COMPUTED_VALUE"""),"S")</f>
        <v>S</v>
      </c>
      <c r="F7793" s="312" t="s">
        <v>39</v>
      </c>
      <c r="G7793" s="308"/>
      <c r="H7793" s="308" t="s">
        <v>29338</v>
      </c>
      <c r="I7793" s="310">
        <v>41821.0</v>
      </c>
      <c r="J7793" s="319">
        <f>IFERROR(__xludf.DUMMYFUNCTION("SPLIT(I7793,""/"")"),1.0)</f>
        <v>1</v>
      </c>
      <c r="K7793" s="308">
        <f>IFERROR(__xludf.DUMMYFUNCTION("""COMPUTED_VALUE"""),7.0)</f>
        <v>7</v>
      </c>
      <c r="L7793" s="308">
        <f>IFERROR(__xludf.DUMMYFUNCTION("""COMPUTED_VALUE"""),2014.0)</f>
        <v>2014</v>
      </c>
      <c r="M7793" s="308" t="s">
        <v>30718</v>
      </c>
      <c r="N7793" s="308" t="s">
        <v>27638</v>
      </c>
      <c r="O7793" s="308"/>
      <c r="P7793" s="308" t="s">
        <v>136</v>
      </c>
      <c r="Q7793" s="308" t="s">
        <v>39908</v>
      </c>
      <c r="R7793" s="308" t="s">
        <v>30692</v>
      </c>
      <c r="S7793" s="315" t="s">
        <v>100</v>
      </c>
      <c r="T7793" s="308" t="s">
        <v>34208</v>
      </c>
      <c r="U7793" s="308" t="s">
        <v>166</v>
      </c>
      <c r="V7793" s="308"/>
    </row>
    <row r="7794">
      <c r="A7794" s="308"/>
      <c r="B7794" s="308"/>
      <c r="C7794" s="308" t="s">
        <v>30719</v>
      </c>
      <c r="D7794" s="308">
        <f>IFERROR(__xludf.DUMMYFUNCTION("SPLIT(C7794,""-"")"),7814.0)</f>
        <v>7814</v>
      </c>
      <c r="E7794" s="308" t="str">
        <f>IFERROR(__xludf.DUMMYFUNCTION("""COMPUTED_VALUE"""),"S")</f>
        <v>S</v>
      </c>
      <c r="F7794" s="312" t="s">
        <v>39</v>
      </c>
      <c r="G7794" s="308"/>
      <c r="H7794" s="308" t="s">
        <v>30720</v>
      </c>
      <c r="I7794" s="310">
        <v>44037.0</v>
      </c>
      <c r="J7794" s="319">
        <f>IFERROR(__xludf.DUMMYFUNCTION("SPLIT(I7794,""/"")"),25.0)</f>
        <v>25</v>
      </c>
      <c r="K7794" s="308">
        <f>IFERROR(__xludf.DUMMYFUNCTION("""COMPUTED_VALUE"""),7.0)</f>
        <v>7</v>
      </c>
      <c r="L7794" s="308">
        <f>IFERROR(__xludf.DUMMYFUNCTION("""COMPUTED_VALUE"""),2020.0)</f>
        <v>2020</v>
      </c>
      <c r="M7794" s="308" t="s">
        <v>30721</v>
      </c>
      <c r="N7794" s="308" t="s">
        <v>30722</v>
      </c>
      <c r="O7794" s="308"/>
      <c r="P7794" s="308" t="s">
        <v>30723</v>
      </c>
      <c r="Q7794" s="308" t="s">
        <v>39908</v>
      </c>
      <c r="R7794" s="308" t="s">
        <v>30692</v>
      </c>
      <c r="S7794" s="308" t="s">
        <v>81</v>
      </c>
      <c r="T7794" s="308" t="s">
        <v>73</v>
      </c>
      <c r="U7794" s="308" t="s">
        <v>166</v>
      </c>
      <c r="V7794" s="308"/>
    </row>
    <row r="7795">
      <c r="A7795" s="308"/>
      <c r="B7795" s="308"/>
      <c r="C7795" s="308" t="s">
        <v>30724</v>
      </c>
      <c r="D7795" s="308">
        <f>IFERROR(__xludf.DUMMYFUNCTION("SPLIT(C7795,""-"")"),7815.0)</f>
        <v>7815</v>
      </c>
      <c r="E7795" s="308" t="str">
        <f>IFERROR(__xludf.DUMMYFUNCTION("""COMPUTED_VALUE"""),"K")</f>
        <v>K</v>
      </c>
      <c r="F7795" s="309" t="s">
        <v>34</v>
      </c>
      <c r="G7795" s="308"/>
      <c r="H7795" s="308" t="s">
        <v>30725</v>
      </c>
      <c r="I7795" s="314">
        <v>44156.0</v>
      </c>
      <c r="J7795" s="319">
        <f>IFERROR(__xludf.DUMMYFUNCTION("SPLIT(I7795,""/"")"),21.0)</f>
        <v>21</v>
      </c>
      <c r="K7795" s="308">
        <f>IFERROR(__xludf.DUMMYFUNCTION("""COMPUTED_VALUE"""),11.0)</f>
        <v>11</v>
      </c>
      <c r="L7795" s="308">
        <f>IFERROR(__xludf.DUMMYFUNCTION("""COMPUTED_VALUE"""),2020.0)</f>
        <v>2020</v>
      </c>
      <c r="M7795" s="308" t="s">
        <v>30726</v>
      </c>
      <c r="N7795" s="308" t="s">
        <v>30727</v>
      </c>
      <c r="O7795" s="308"/>
      <c r="P7795" s="308" t="s">
        <v>30728</v>
      </c>
      <c r="Q7795" s="308" t="s">
        <v>39908</v>
      </c>
      <c r="R7795" s="308" t="s">
        <v>30692</v>
      </c>
      <c r="S7795" s="308" t="s">
        <v>81</v>
      </c>
      <c r="T7795" s="311" t="s">
        <v>85</v>
      </c>
      <c r="U7795" s="308" t="s">
        <v>22473</v>
      </c>
      <c r="V7795" s="308"/>
    </row>
    <row r="7796">
      <c r="A7796" s="308"/>
      <c r="B7796" s="308"/>
      <c r="C7796" s="308" t="s">
        <v>30729</v>
      </c>
      <c r="D7796" s="308">
        <f>IFERROR(__xludf.DUMMYFUNCTION("SPLIT(C7796,""-"")"),7816.0)</f>
        <v>7816</v>
      </c>
      <c r="E7796" s="308" t="str">
        <f>IFERROR(__xludf.DUMMYFUNCTION("""COMPUTED_VALUE"""),"K")</f>
        <v>K</v>
      </c>
      <c r="F7796" s="309" t="s">
        <v>34</v>
      </c>
      <c r="G7796" s="308"/>
      <c r="H7796" s="308" t="s">
        <v>30730</v>
      </c>
      <c r="I7796" s="310">
        <v>43965.0</v>
      </c>
      <c r="J7796" s="319">
        <f>IFERROR(__xludf.DUMMYFUNCTION("SPLIT(I7796,""/"")"),14.0)</f>
        <v>14</v>
      </c>
      <c r="K7796" s="308">
        <f>IFERROR(__xludf.DUMMYFUNCTION("""COMPUTED_VALUE"""),5.0)</f>
        <v>5</v>
      </c>
      <c r="L7796" s="308">
        <f>IFERROR(__xludf.DUMMYFUNCTION("""COMPUTED_VALUE"""),2020.0)</f>
        <v>2020</v>
      </c>
      <c r="M7796" s="308" t="s">
        <v>30731</v>
      </c>
      <c r="N7796" s="308" t="s">
        <v>30732</v>
      </c>
      <c r="O7796" s="308"/>
      <c r="P7796" s="308" t="s">
        <v>30733</v>
      </c>
      <c r="Q7796" s="308" t="s">
        <v>39908</v>
      </c>
      <c r="R7796" s="308" t="s">
        <v>30692</v>
      </c>
      <c r="S7796" s="308" t="s">
        <v>81</v>
      </c>
      <c r="T7796" s="308" t="s">
        <v>34264</v>
      </c>
      <c r="U7796" s="308" t="s">
        <v>22473</v>
      </c>
      <c r="V7796" s="308"/>
    </row>
    <row r="7797">
      <c r="A7797" s="308"/>
      <c r="B7797" s="308"/>
      <c r="C7797" s="308" t="s">
        <v>30734</v>
      </c>
      <c r="D7797" s="308">
        <f>IFERROR(__xludf.DUMMYFUNCTION("SPLIT(C7797,""-"")"),7817.0)</f>
        <v>7817</v>
      </c>
      <c r="E7797" s="308" t="str">
        <f>IFERROR(__xludf.DUMMYFUNCTION("""COMPUTED_VALUE"""),"S")</f>
        <v>S</v>
      </c>
      <c r="F7797" s="312" t="s">
        <v>39</v>
      </c>
      <c r="G7797" s="308"/>
      <c r="H7797" s="308" t="s">
        <v>30735</v>
      </c>
      <c r="I7797" s="310">
        <v>42096.0</v>
      </c>
      <c r="J7797" s="319">
        <f>IFERROR(__xludf.DUMMYFUNCTION("SPLIT(I7797,""/"")"),2.0)</f>
        <v>2</v>
      </c>
      <c r="K7797" s="308">
        <f>IFERROR(__xludf.DUMMYFUNCTION("""COMPUTED_VALUE"""),4.0)</f>
        <v>4</v>
      </c>
      <c r="L7797" s="308">
        <f>IFERROR(__xludf.DUMMYFUNCTION("""COMPUTED_VALUE"""),2015.0)</f>
        <v>2015</v>
      </c>
      <c r="M7797" s="308" t="s">
        <v>30736</v>
      </c>
      <c r="N7797" s="308" t="s">
        <v>30737</v>
      </c>
      <c r="O7797" s="308"/>
      <c r="P7797" s="308" t="s">
        <v>136</v>
      </c>
      <c r="Q7797" s="308" t="s">
        <v>39908</v>
      </c>
      <c r="R7797" s="308" t="s">
        <v>30692</v>
      </c>
      <c r="S7797" s="315" t="s">
        <v>100</v>
      </c>
      <c r="T7797" s="308" t="s">
        <v>34208</v>
      </c>
      <c r="U7797" s="308" t="s">
        <v>166</v>
      </c>
      <c r="V7797" s="308"/>
    </row>
    <row r="7798">
      <c r="A7798" s="308"/>
      <c r="B7798" s="308"/>
      <c r="C7798" s="308" t="s">
        <v>30738</v>
      </c>
      <c r="D7798" s="308">
        <f>IFERROR(__xludf.DUMMYFUNCTION("SPLIT(C7798,""-"")"),7818.0)</f>
        <v>7818</v>
      </c>
      <c r="E7798" s="308" t="str">
        <f>IFERROR(__xludf.DUMMYFUNCTION("""COMPUTED_VALUE"""),"K")</f>
        <v>K</v>
      </c>
      <c r="F7798" s="309" t="s">
        <v>34</v>
      </c>
      <c r="G7798" s="308"/>
      <c r="H7798" s="308" t="s">
        <v>30739</v>
      </c>
      <c r="I7798" s="310">
        <v>43710.0</v>
      </c>
      <c r="J7798" s="319">
        <f>IFERROR(__xludf.DUMMYFUNCTION("SPLIT(I7798,""/"")"),2.0)</f>
        <v>2</v>
      </c>
      <c r="K7798" s="308">
        <f>IFERROR(__xludf.DUMMYFUNCTION("""COMPUTED_VALUE"""),9.0)</f>
        <v>9</v>
      </c>
      <c r="L7798" s="308">
        <f>IFERROR(__xludf.DUMMYFUNCTION("""COMPUTED_VALUE"""),2019.0)</f>
        <v>2019</v>
      </c>
      <c r="M7798" s="308" t="s">
        <v>30740</v>
      </c>
      <c r="N7798" s="308" t="s">
        <v>30741</v>
      </c>
      <c r="O7798" s="308"/>
      <c r="P7798" s="308" t="s">
        <v>30742</v>
      </c>
      <c r="Q7798" s="308" t="s">
        <v>39908</v>
      </c>
      <c r="R7798" s="308" t="s">
        <v>30692</v>
      </c>
      <c r="S7798" s="308" t="s">
        <v>81</v>
      </c>
      <c r="T7798" s="308" t="s">
        <v>34264</v>
      </c>
      <c r="U7798" s="308" t="s">
        <v>22473</v>
      </c>
      <c r="V7798" s="308"/>
    </row>
    <row r="7799">
      <c r="A7799" s="308"/>
      <c r="B7799" s="308"/>
      <c r="C7799" s="308" t="s">
        <v>30743</v>
      </c>
      <c r="D7799" s="308">
        <f>IFERROR(__xludf.DUMMYFUNCTION("SPLIT(C7799,""-"")"),7819.0)</f>
        <v>7819</v>
      </c>
      <c r="E7799" s="308" t="str">
        <f>IFERROR(__xludf.DUMMYFUNCTION("""COMPUTED_VALUE"""),"K")</f>
        <v>K</v>
      </c>
      <c r="F7799" s="309" t="s">
        <v>34</v>
      </c>
      <c r="G7799" s="308"/>
      <c r="H7799" s="308" t="s">
        <v>30744</v>
      </c>
      <c r="I7799" s="310">
        <v>44071.0</v>
      </c>
      <c r="J7799" s="319">
        <f>IFERROR(__xludf.DUMMYFUNCTION("SPLIT(I7799,""/"")"),28.0)</f>
        <v>28</v>
      </c>
      <c r="K7799" s="308">
        <f>IFERROR(__xludf.DUMMYFUNCTION("""COMPUTED_VALUE"""),8.0)</f>
        <v>8</v>
      </c>
      <c r="L7799" s="308">
        <f>IFERROR(__xludf.DUMMYFUNCTION("""COMPUTED_VALUE"""),2020.0)</f>
        <v>2020</v>
      </c>
      <c r="M7799" s="308" t="s">
        <v>30745</v>
      </c>
      <c r="N7799" s="308" t="s">
        <v>30746</v>
      </c>
      <c r="O7799" s="308"/>
      <c r="P7799" s="308" t="s">
        <v>39913</v>
      </c>
      <c r="Q7799" s="308" t="s">
        <v>39908</v>
      </c>
      <c r="R7799" s="308" t="s">
        <v>30692</v>
      </c>
      <c r="S7799" s="308" t="s">
        <v>81</v>
      </c>
      <c r="T7799" s="308" t="s">
        <v>34264</v>
      </c>
      <c r="U7799" s="308" t="s">
        <v>542</v>
      </c>
      <c r="V7799" s="308"/>
    </row>
    <row r="7800">
      <c r="A7800" s="308"/>
      <c r="B7800" s="308"/>
      <c r="C7800" s="308" t="s">
        <v>30748</v>
      </c>
      <c r="D7800" s="308">
        <f>IFERROR(__xludf.DUMMYFUNCTION("SPLIT(C7800,""-"")"),7820.0)</f>
        <v>7820</v>
      </c>
      <c r="E7800" s="308" t="str">
        <f>IFERROR(__xludf.DUMMYFUNCTION("""COMPUTED_VALUE"""),"K")</f>
        <v>K</v>
      </c>
      <c r="F7800" s="309" t="s">
        <v>34</v>
      </c>
      <c r="G7800" s="308"/>
      <c r="H7800" s="308" t="s">
        <v>30749</v>
      </c>
      <c r="I7800" s="310">
        <v>43356.0</v>
      </c>
      <c r="J7800" s="319">
        <f>IFERROR(__xludf.DUMMYFUNCTION("SPLIT(I7800,""/"")"),13.0)</f>
        <v>13</v>
      </c>
      <c r="K7800" s="308">
        <f>IFERROR(__xludf.DUMMYFUNCTION("""COMPUTED_VALUE"""),9.0)</f>
        <v>9</v>
      </c>
      <c r="L7800" s="308">
        <f>IFERROR(__xludf.DUMMYFUNCTION("""COMPUTED_VALUE"""),2018.0)</f>
        <v>2018</v>
      </c>
      <c r="M7800" s="308" t="s">
        <v>30750</v>
      </c>
      <c r="N7800" s="308" t="s">
        <v>30751</v>
      </c>
      <c r="O7800" s="308"/>
      <c r="P7800" s="308" t="s">
        <v>30752</v>
      </c>
      <c r="Q7800" s="308" t="s">
        <v>39908</v>
      </c>
      <c r="R7800" s="308" t="s">
        <v>30692</v>
      </c>
      <c r="S7800" s="308" t="s">
        <v>81</v>
      </c>
      <c r="T7800" s="308" t="s">
        <v>34264</v>
      </c>
      <c r="U7800" s="308" t="s">
        <v>542</v>
      </c>
      <c r="V7800" s="308"/>
    </row>
    <row r="7801">
      <c r="A7801" s="308"/>
      <c r="B7801" s="308"/>
      <c r="C7801" s="308" t="s">
        <v>30753</v>
      </c>
      <c r="D7801" s="308">
        <f>IFERROR(__xludf.DUMMYFUNCTION("SPLIT(C7801,""-"")"),7821.0)</f>
        <v>7821</v>
      </c>
      <c r="E7801" s="308" t="str">
        <f>IFERROR(__xludf.DUMMYFUNCTION("""COMPUTED_VALUE"""),"K")</f>
        <v>K</v>
      </c>
      <c r="F7801" s="309" t="s">
        <v>34</v>
      </c>
      <c r="G7801" s="308"/>
      <c r="H7801" s="308" t="s">
        <v>30754</v>
      </c>
      <c r="I7801" s="314">
        <v>43067.0</v>
      </c>
      <c r="J7801" s="319" t="str">
        <f>IFERROR(__xludf.DUMMYFUNCTION("SPLIT(I7801,""/"")"),"#REF!")</f>
        <v>#REF!</v>
      </c>
      <c r="K7801" s="308"/>
      <c r="L7801" s="308">
        <v>2017.0</v>
      </c>
      <c r="M7801" s="308" t="s">
        <v>30755</v>
      </c>
      <c r="N7801" s="308" t="s">
        <v>30756</v>
      </c>
      <c r="O7801" s="308"/>
      <c r="P7801" s="308" t="s">
        <v>39914</v>
      </c>
      <c r="Q7801" s="308" t="s">
        <v>39908</v>
      </c>
      <c r="R7801" s="308" t="s">
        <v>30692</v>
      </c>
      <c r="S7801" s="308" t="s">
        <v>81</v>
      </c>
      <c r="T7801" s="308" t="s">
        <v>75</v>
      </c>
      <c r="U7801" s="308" t="s">
        <v>542</v>
      </c>
      <c r="V7801" s="308"/>
    </row>
    <row r="7802">
      <c r="A7802" s="308"/>
      <c r="B7802" s="308"/>
      <c r="C7802" s="308" t="s">
        <v>30758</v>
      </c>
      <c r="D7802" s="308">
        <f>IFERROR(__xludf.DUMMYFUNCTION("SPLIT(C7802,""-"")"),7822.0)</f>
        <v>7822</v>
      </c>
      <c r="E7802" s="308" t="str">
        <f>IFERROR(__xludf.DUMMYFUNCTION("""COMPUTED_VALUE"""),"K")</f>
        <v>K</v>
      </c>
      <c r="F7802" s="309" t="s">
        <v>34</v>
      </c>
      <c r="G7802" s="308"/>
      <c r="H7802" s="308" t="s">
        <v>30759</v>
      </c>
      <c r="I7802" s="310">
        <v>43600.0</v>
      </c>
      <c r="J7802" s="319">
        <f>IFERROR(__xludf.DUMMYFUNCTION("SPLIT(I7802,""/"")"),15.0)</f>
        <v>15</v>
      </c>
      <c r="K7802" s="308">
        <f>IFERROR(__xludf.DUMMYFUNCTION("""COMPUTED_VALUE"""),5.0)</f>
        <v>5</v>
      </c>
      <c r="L7802" s="308">
        <f>IFERROR(__xludf.DUMMYFUNCTION("""COMPUTED_VALUE"""),2019.0)</f>
        <v>2019</v>
      </c>
      <c r="M7802" s="308" t="s">
        <v>30760</v>
      </c>
      <c r="N7802" s="308" t="s">
        <v>30761</v>
      </c>
      <c r="O7802" s="308"/>
      <c r="P7802" s="308" t="s">
        <v>30762</v>
      </c>
      <c r="Q7802" s="308" t="s">
        <v>39908</v>
      </c>
      <c r="R7802" s="308" t="s">
        <v>30692</v>
      </c>
      <c r="S7802" s="308" t="s">
        <v>81</v>
      </c>
      <c r="T7802" s="308" t="s">
        <v>34264</v>
      </c>
      <c r="U7802" s="308" t="s">
        <v>22473</v>
      </c>
      <c r="V7802" s="308"/>
    </row>
    <row r="7803">
      <c r="A7803" s="308"/>
      <c r="B7803" s="308"/>
      <c r="C7803" s="308" t="s">
        <v>30763</v>
      </c>
      <c r="D7803" s="308">
        <f>IFERROR(__xludf.DUMMYFUNCTION("SPLIT(C7803,""-"")"),7823.0)</f>
        <v>7823</v>
      </c>
      <c r="E7803" s="308" t="str">
        <f>IFERROR(__xludf.DUMMYFUNCTION("""COMPUTED_VALUE"""),"S")</f>
        <v>S</v>
      </c>
      <c r="F7803" s="312" t="s">
        <v>39</v>
      </c>
      <c r="G7803" s="308"/>
      <c r="H7803" s="308" t="s">
        <v>30764</v>
      </c>
      <c r="I7803" s="310">
        <v>41332.0</v>
      </c>
      <c r="J7803" s="319">
        <f>IFERROR(__xludf.DUMMYFUNCTION("SPLIT(I7803,""/"")"),27.0)</f>
        <v>27</v>
      </c>
      <c r="K7803" s="308">
        <f>IFERROR(__xludf.DUMMYFUNCTION("""COMPUTED_VALUE"""),2.0)</f>
        <v>2</v>
      </c>
      <c r="L7803" s="308">
        <f>IFERROR(__xludf.DUMMYFUNCTION("""COMPUTED_VALUE"""),2013.0)</f>
        <v>2013</v>
      </c>
      <c r="M7803" s="308" t="s">
        <v>30765</v>
      </c>
      <c r="N7803" s="308" t="s">
        <v>30766</v>
      </c>
      <c r="O7803" s="308"/>
      <c r="P7803" s="308" t="s">
        <v>30767</v>
      </c>
      <c r="Q7803" s="308" t="s">
        <v>39908</v>
      </c>
      <c r="R7803" s="308" t="s">
        <v>30692</v>
      </c>
      <c r="S7803" s="308" t="s">
        <v>49</v>
      </c>
      <c r="T7803" s="308" t="s">
        <v>51</v>
      </c>
      <c r="U7803" s="308" t="s">
        <v>166</v>
      </c>
      <c r="V7803" s="308"/>
    </row>
    <row r="7804">
      <c r="A7804" s="308"/>
      <c r="B7804" s="308"/>
      <c r="C7804" s="308" t="s">
        <v>30768</v>
      </c>
      <c r="D7804" s="308">
        <f>IFERROR(__xludf.DUMMYFUNCTION("SPLIT(C7804,""-"")"),7824.0)</f>
        <v>7824</v>
      </c>
      <c r="E7804" s="308" t="str">
        <f>IFERROR(__xludf.DUMMYFUNCTION("""COMPUTED_VALUE"""),"K")</f>
        <v>K</v>
      </c>
      <c r="F7804" s="309" t="s">
        <v>34</v>
      </c>
      <c r="G7804" s="308"/>
      <c r="H7804" s="308" t="s">
        <v>30769</v>
      </c>
      <c r="I7804" s="310">
        <v>42370.0</v>
      </c>
      <c r="J7804" s="319">
        <f>IFERROR(__xludf.DUMMYFUNCTION("SPLIT(I7804,""/"")"),1.0)</f>
        <v>1</v>
      </c>
      <c r="K7804" s="308">
        <f>IFERROR(__xludf.DUMMYFUNCTION("""COMPUTED_VALUE"""),1.0)</f>
        <v>1</v>
      </c>
      <c r="L7804" s="308">
        <f>IFERROR(__xludf.DUMMYFUNCTION("""COMPUTED_VALUE"""),2016.0)</f>
        <v>2016</v>
      </c>
      <c r="M7804" s="308" t="s">
        <v>30770</v>
      </c>
      <c r="N7804" s="308" t="s">
        <v>39915</v>
      </c>
      <c r="O7804" s="308"/>
      <c r="P7804" s="308" t="s">
        <v>136</v>
      </c>
      <c r="Q7804" s="308" t="s">
        <v>39908</v>
      </c>
      <c r="R7804" s="308" t="s">
        <v>30692</v>
      </c>
      <c r="S7804" s="315" t="s">
        <v>100</v>
      </c>
      <c r="T7804" s="308" t="s">
        <v>34208</v>
      </c>
      <c r="U7804" s="308" t="s">
        <v>125</v>
      </c>
      <c r="V7804" s="308"/>
    </row>
    <row r="7805">
      <c r="A7805" s="308"/>
      <c r="B7805" s="308"/>
      <c r="C7805" s="308" t="s">
        <v>30772</v>
      </c>
      <c r="D7805" s="308">
        <f>IFERROR(__xludf.DUMMYFUNCTION("SPLIT(C7805,""-"")"),7825.0)</f>
        <v>7825</v>
      </c>
      <c r="E7805" s="308" t="str">
        <f>IFERROR(__xludf.DUMMYFUNCTION("""COMPUTED_VALUE"""),"K")</f>
        <v>K</v>
      </c>
      <c r="F7805" s="309" t="s">
        <v>34</v>
      </c>
      <c r="G7805" s="308"/>
      <c r="H7805" s="308" t="s">
        <v>30773</v>
      </c>
      <c r="I7805" s="310">
        <v>44107.0</v>
      </c>
      <c r="J7805" s="319">
        <f>IFERROR(__xludf.DUMMYFUNCTION("SPLIT(I7805,""/"")"),3.0)</f>
        <v>3</v>
      </c>
      <c r="K7805" s="308">
        <f>IFERROR(__xludf.DUMMYFUNCTION("""COMPUTED_VALUE"""),10.0)</f>
        <v>10</v>
      </c>
      <c r="L7805" s="308">
        <f>IFERROR(__xludf.DUMMYFUNCTION("""COMPUTED_VALUE"""),2020.0)</f>
        <v>2020</v>
      </c>
      <c r="M7805" s="308" t="s">
        <v>30774</v>
      </c>
      <c r="N7805" s="308" t="s">
        <v>30775</v>
      </c>
      <c r="O7805" s="308"/>
      <c r="P7805" s="308" t="s">
        <v>30776</v>
      </c>
      <c r="Q7805" s="308" t="s">
        <v>39908</v>
      </c>
      <c r="R7805" s="308" t="s">
        <v>30692</v>
      </c>
      <c r="S7805" s="308" t="s">
        <v>81</v>
      </c>
      <c r="T7805" s="308" t="s">
        <v>34264</v>
      </c>
      <c r="U7805" s="308" t="s">
        <v>22473</v>
      </c>
      <c r="V7805" s="308"/>
    </row>
    <row r="7806">
      <c r="A7806" s="308"/>
      <c r="B7806" s="308"/>
      <c r="C7806" s="308" t="s">
        <v>30777</v>
      </c>
      <c r="D7806" s="308">
        <f>IFERROR(__xludf.DUMMYFUNCTION("SPLIT(C7806,""-"")"),7826.0)</f>
        <v>7826</v>
      </c>
      <c r="E7806" s="308" t="str">
        <f>IFERROR(__xludf.DUMMYFUNCTION("""COMPUTED_VALUE"""),"K")</f>
        <v>K</v>
      </c>
      <c r="F7806" s="309" t="s">
        <v>34</v>
      </c>
      <c r="G7806" s="308"/>
      <c r="H7806" s="308" t="s">
        <v>30778</v>
      </c>
      <c r="I7806" s="310">
        <v>44037.0</v>
      </c>
      <c r="J7806" s="319">
        <f>IFERROR(__xludf.DUMMYFUNCTION("SPLIT(I7806,""/"")"),25.0)</f>
        <v>25</v>
      </c>
      <c r="K7806" s="308">
        <f>IFERROR(__xludf.DUMMYFUNCTION("""COMPUTED_VALUE"""),7.0)</f>
        <v>7</v>
      </c>
      <c r="L7806" s="308">
        <f>IFERROR(__xludf.DUMMYFUNCTION("""COMPUTED_VALUE"""),2020.0)</f>
        <v>2020</v>
      </c>
      <c r="M7806" s="308" t="s">
        <v>30779</v>
      </c>
      <c r="N7806" s="308" t="s">
        <v>30780</v>
      </c>
      <c r="O7806" s="308"/>
      <c r="P7806" s="308" t="s">
        <v>30781</v>
      </c>
      <c r="Q7806" s="308" t="s">
        <v>39908</v>
      </c>
      <c r="R7806" s="308" t="s">
        <v>30692</v>
      </c>
      <c r="S7806" s="308" t="s">
        <v>81</v>
      </c>
      <c r="T7806" s="311" t="s">
        <v>88</v>
      </c>
      <c r="U7806" s="308" t="s">
        <v>542</v>
      </c>
      <c r="V7806" s="308"/>
    </row>
    <row r="7807">
      <c r="A7807" s="308"/>
      <c r="B7807" s="308"/>
      <c r="C7807" s="308" t="s">
        <v>30782</v>
      </c>
      <c r="D7807" s="308">
        <f>IFERROR(__xludf.DUMMYFUNCTION("SPLIT(C7807,""-"")"),7827.0)</f>
        <v>7827</v>
      </c>
      <c r="E7807" s="308" t="str">
        <f>IFERROR(__xludf.DUMMYFUNCTION("""COMPUTED_VALUE"""),"K")</f>
        <v>K</v>
      </c>
      <c r="F7807" s="309" t="s">
        <v>34</v>
      </c>
      <c r="G7807" s="308"/>
      <c r="H7807" s="308" t="s">
        <v>30783</v>
      </c>
      <c r="I7807" s="310">
        <v>42523.0</v>
      </c>
      <c r="J7807" s="319">
        <f>IFERROR(__xludf.DUMMYFUNCTION("SPLIT(I7807,""/"")"),2.0)</f>
        <v>2</v>
      </c>
      <c r="K7807" s="308">
        <f>IFERROR(__xludf.DUMMYFUNCTION("""COMPUTED_VALUE"""),6.0)</f>
        <v>6</v>
      </c>
      <c r="L7807" s="308">
        <f>IFERROR(__xludf.DUMMYFUNCTION("""COMPUTED_VALUE"""),2016.0)</f>
        <v>2016</v>
      </c>
      <c r="M7807" s="308" t="s">
        <v>30784</v>
      </c>
      <c r="N7807" s="308" t="s">
        <v>30785</v>
      </c>
      <c r="O7807" s="308"/>
      <c r="P7807" s="308" t="s">
        <v>136</v>
      </c>
      <c r="Q7807" s="308" t="s">
        <v>39908</v>
      </c>
      <c r="R7807" s="308" t="s">
        <v>30692</v>
      </c>
      <c r="S7807" s="315" t="s">
        <v>100</v>
      </c>
      <c r="T7807" s="308" t="s">
        <v>34208</v>
      </c>
      <c r="U7807" s="308" t="s">
        <v>22473</v>
      </c>
      <c r="V7807" s="308"/>
    </row>
    <row r="7808">
      <c r="A7808" s="308"/>
      <c r="B7808" s="308"/>
      <c r="C7808" s="308" t="s">
        <v>30786</v>
      </c>
      <c r="D7808" s="308">
        <f>IFERROR(__xludf.DUMMYFUNCTION("SPLIT(C7808,""-"")"),7828.0)</f>
        <v>7828</v>
      </c>
      <c r="E7808" s="308" t="str">
        <f>IFERROR(__xludf.DUMMYFUNCTION("""COMPUTED_VALUE"""),"K")</f>
        <v>K</v>
      </c>
      <c r="F7808" s="309" t="s">
        <v>34</v>
      </c>
      <c r="G7808" s="308"/>
      <c r="H7808" s="308" t="s">
        <v>30787</v>
      </c>
      <c r="I7808" s="310">
        <v>41660.0</v>
      </c>
      <c r="J7808" s="319">
        <f>IFERROR(__xludf.DUMMYFUNCTION("SPLIT(I7808,""/"")"),21.0)</f>
        <v>21</v>
      </c>
      <c r="K7808" s="308">
        <f>IFERROR(__xludf.DUMMYFUNCTION("""COMPUTED_VALUE"""),1.0)</f>
        <v>1</v>
      </c>
      <c r="L7808" s="308">
        <f>IFERROR(__xludf.DUMMYFUNCTION("""COMPUTED_VALUE"""),2014.0)</f>
        <v>2014</v>
      </c>
      <c r="M7808" s="308" t="s">
        <v>30788</v>
      </c>
      <c r="N7808" s="308" t="s">
        <v>30789</v>
      </c>
      <c r="O7808" s="308"/>
      <c r="P7808" s="308" t="s">
        <v>136</v>
      </c>
      <c r="Q7808" s="308" t="s">
        <v>39908</v>
      </c>
      <c r="R7808" s="308" t="s">
        <v>30692</v>
      </c>
      <c r="S7808" s="315" t="s">
        <v>100</v>
      </c>
      <c r="T7808" s="308" t="s">
        <v>34208</v>
      </c>
      <c r="U7808" s="308" t="s">
        <v>27994</v>
      </c>
      <c r="V7808" s="308"/>
    </row>
    <row r="7809">
      <c r="A7809" s="308"/>
      <c r="B7809" s="308"/>
      <c r="C7809" s="308" t="s">
        <v>30790</v>
      </c>
      <c r="D7809" s="308">
        <f>IFERROR(__xludf.DUMMYFUNCTION("SPLIT(C7809,""-"")"),7829.0)</f>
        <v>7829</v>
      </c>
      <c r="E7809" s="308" t="str">
        <f>IFERROR(__xludf.DUMMYFUNCTION("""COMPUTED_VALUE"""),"K")</f>
        <v>K</v>
      </c>
      <c r="F7809" s="309" t="s">
        <v>34</v>
      </c>
      <c r="G7809" s="308"/>
      <c r="H7809" s="308" t="s">
        <v>30791</v>
      </c>
      <c r="I7809" s="310">
        <v>44072.0</v>
      </c>
      <c r="J7809" s="319">
        <f>IFERROR(__xludf.DUMMYFUNCTION("SPLIT(I7809,""/"")"),29.0)</f>
        <v>29</v>
      </c>
      <c r="K7809" s="308">
        <f>IFERROR(__xludf.DUMMYFUNCTION("""COMPUTED_VALUE"""),8.0)</f>
        <v>8</v>
      </c>
      <c r="L7809" s="308">
        <f>IFERROR(__xludf.DUMMYFUNCTION("""COMPUTED_VALUE"""),2020.0)</f>
        <v>2020</v>
      </c>
      <c r="M7809" s="308" t="s">
        <v>30792</v>
      </c>
      <c r="N7809" s="308" t="s">
        <v>30793</v>
      </c>
      <c r="O7809" s="308"/>
      <c r="P7809" s="308" t="s">
        <v>136</v>
      </c>
      <c r="Q7809" s="308" t="s">
        <v>39908</v>
      </c>
      <c r="R7809" s="308" t="s">
        <v>30692</v>
      </c>
      <c r="S7809" s="315" t="s">
        <v>100</v>
      </c>
      <c r="T7809" s="308" t="s">
        <v>34208</v>
      </c>
      <c r="U7809" s="308" t="s">
        <v>872</v>
      </c>
      <c r="V7809" s="308"/>
    </row>
    <row r="7810">
      <c r="A7810" s="308"/>
      <c r="B7810" s="308"/>
      <c r="C7810" s="308" t="s">
        <v>30794</v>
      </c>
      <c r="D7810" s="308">
        <f>IFERROR(__xludf.DUMMYFUNCTION("SPLIT(C7810,""-"")"),7830.0)</f>
        <v>7830</v>
      </c>
      <c r="E7810" s="308" t="str">
        <f>IFERROR(__xludf.DUMMYFUNCTION("""COMPUTED_VALUE"""),"P")</f>
        <v>P</v>
      </c>
      <c r="F7810" s="312" t="s">
        <v>37</v>
      </c>
      <c r="G7810" s="308"/>
      <c r="H7810" s="308" t="s">
        <v>30795</v>
      </c>
      <c r="I7810" s="310">
        <v>40787.0</v>
      </c>
      <c r="J7810" s="319">
        <f>IFERROR(__xludf.DUMMYFUNCTION("SPLIT(I7810,""/"")"),1.0)</f>
        <v>1</v>
      </c>
      <c r="K7810" s="308">
        <f>IFERROR(__xludf.DUMMYFUNCTION("""COMPUTED_VALUE"""),9.0)</f>
        <v>9</v>
      </c>
      <c r="L7810" s="308">
        <f>IFERROR(__xludf.DUMMYFUNCTION("""COMPUTED_VALUE"""),2011.0)</f>
        <v>2011</v>
      </c>
      <c r="M7810" s="308" t="s">
        <v>30796</v>
      </c>
      <c r="N7810" s="308" t="s">
        <v>30797</v>
      </c>
      <c r="O7810" s="308"/>
      <c r="P7810" s="308" t="s">
        <v>136</v>
      </c>
      <c r="Q7810" s="308" t="s">
        <v>39908</v>
      </c>
      <c r="R7810" s="308" t="s">
        <v>30692</v>
      </c>
      <c r="S7810" s="315" t="s">
        <v>100</v>
      </c>
      <c r="T7810" s="308" t="s">
        <v>34208</v>
      </c>
      <c r="U7810" s="308" t="s">
        <v>2527</v>
      </c>
      <c r="V7810" s="308"/>
    </row>
    <row r="7811">
      <c r="A7811" s="308"/>
      <c r="B7811" s="308"/>
      <c r="C7811" s="308" t="s">
        <v>30798</v>
      </c>
      <c r="D7811" s="308">
        <f>IFERROR(__xludf.DUMMYFUNCTION("SPLIT(C7811,""-"")"),7831.0)</f>
        <v>7831</v>
      </c>
      <c r="E7811" s="308" t="str">
        <f>IFERROR(__xludf.DUMMYFUNCTION("""COMPUTED_VALUE"""),"S")</f>
        <v>S</v>
      </c>
      <c r="F7811" s="312" t="s">
        <v>39</v>
      </c>
      <c r="G7811" s="308"/>
      <c r="H7811" s="308" t="s">
        <v>30799</v>
      </c>
      <c r="I7811" s="310">
        <v>41580.0</v>
      </c>
      <c r="J7811" s="319">
        <f>IFERROR(__xludf.DUMMYFUNCTION("SPLIT(I7811,""/"")"),2.0)</f>
        <v>2</v>
      </c>
      <c r="K7811" s="308">
        <f>IFERROR(__xludf.DUMMYFUNCTION("""COMPUTED_VALUE"""),11.0)</f>
        <v>11</v>
      </c>
      <c r="L7811" s="308">
        <f>IFERROR(__xludf.DUMMYFUNCTION("""COMPUTED_VALUE"""),2013.0)</f>
        <v>2013</v>
      </c>
      <c r="M7811" s="308" t="s">
        <v>30800</v>
      </c>
      <c r="N7811" s="308" t="s">
        <v>30801</v>
      </c>
      <c r="O7811" s="308"/>
      <c r="P7811" s="308" t="s">
        <v>136</v>
      </c>
      <c r="Q7811" s="308" t="s">
        <v>39908</v>
      </c>
      <c r="R7811" s="308" t="s">
        <v>30692</v>
      </c>
      <c r="S7811" s="315" t="s">
        <v>100</v>
      </c>
      <c r="T7811" s="308" t="s">
        <v>34208</v>
      </c>
      <c r="U7811" s="308" t="s">
        <v>166</v>
      </c>
      <c r="V7811" s="308"/>
    </row>
    <row r="7812">
      <c r="A7812" s="308"/>
      <c r="B7812" s="308"/>
      <c r="C7812" s="308" t="s">
        <v>30802</v>
      </c>
      <c r="D7812" s="308">
        <f>IFERROR(__xludf.DUMMYFUNCTION("SPLIT(C7812,""-"")"),7832.0)</f>
        <v>7832</v>
      </c>
      <c r="E7812" s="308" t="str">
        <f>IFERROR(__xludf.DUMMYFUNCTION("""COMPUTED_VALUE"""),"B")</f>
        <v>B</v>
      </c>
      <c r="F7812" s="315" t="s">
        <v>26</v>
      </c>
      <c r="G7812" s="308"/>
      <c r="H7812" s="308" t="s">
        <v>30803</v>
      </c>
      <c r="I7812" s="310">
        <v>43870.0</v>
      </c>
      <c r="J7812" s="319">
        <f>IFERROR(__xludf.DUMMYFUNCTION("SPLIT(I7812,""/"")"),9.0)</f>
        <v>9</v>
      </c>
      <c r="K7812" s="308">
        <f>IFERROR(__xludf.DUMMYFUNCTION("""COMPUTED_VALUE"""),2.0)</f>
        <v>2</v>
      </c>
      <c r="L7812" s="308">
        <f>IFERROR(__xludf.DUMMYFUNCTION("""COMPUTED_VALUE"""),2020.0)</f>
        <v>2020</v>
      </c>
      <c r="M7812" s="308" t="s">
        <v>30804</v>
      </c>
      <c r="N7812" s="308" t="s">
        <v>30805</v>
      </c>
      <c r="O7812" s="308"/>
      <c r="P7812" s="308" t="s">
        <v>30806</v>
      </c>
      <c r="Q7812" s="308" t="s">
        <v>39908</v>
      </c>
      <c r="R7812" s="308" t="s">
        <v>30692</v>
      </c>
      <c r="S7812" s="308" t="s">
        <v>49</v>
      </c>
      <c r="T7812" s="308" t="s">
        <v>51</v>
      </c>
      <c r="U7812" s="308" t="s">
        <v>27</v>
      </c>
      <c r="V7812" s="308"/>
    </row>
    <row r="7813">
      <c r="A7813" s="308"/>
      <c r="B7813" s="308"/>
      <c r="C7813" s="308" t="s">
        <v>30807</v>
      </c>
      <c r="D7813" s="308">
        <f>IFERROR(__xludf.DUMMYFUNCTION("SPLIT(C7813,""-"")"),7833.0)</f>
        <v>7833</v>
      </c>
      <c r="E7813" s="308" t="str">
        <f>IFERROR(__xludf.DUMMYFUNCTION("""COMPUTED_VALUE"""),"S")</f>
        <v>S</v>
      </c>
      <c r="F7813" s="312" t="s">
        <v>39</v>
      </c>
      <c r="G7813" s="308"/>
      <c r="H7813" s="308" t="s">
        <v>30808</v>
      </c>
      <c r="I7813" s="310">
        <v>41383.0</v>
      </c>
      <c r="J7813" s="319">
        <f>IFERROR(__xludf.DUMMYFUNCTION("SPLIT(I7813,""/"")"),19.0)</f>
        <v>19</v>
      </c>
      <c r="K7813" s="308">
        <f>IFERROR(__xludf.DUMMYFUNCTION("""COMPUTED_VALUE"""),4.0)</f>
        <v>4</v>
      </c>
      <c r="L7813" s="308">
        <f>IFERROR(__xludf.DUMMYFUNCTION("""COMPUTED_VALUE"""),2013.0)</f>
        <v>2013</v>
      </c>
      <c r="M7813" s="308" t="s">
        <v>30809</v>
      </c>
      <c r="N7813" s="308" t="s">
        <v>30810</v>
      </c>
      <c r="O7813" s="308"/>
      <c r="P7813" s="308" t="s">
        <v>39916</v>
      </c>
      <c r="Q7813" s="308" t="s">
        <v>39908</v>
      </c>
      <c r="R7813" s="308" t="s">
        <v>30692</v>
      </c>
      <c r="S7813" s="308" t="s">
        <v>81</v>
      </c>
      <c r="T7813" s="308" t="s">
        <v>73</v>
      </c>
      <c r="U7813" s="308" t="s">
        <v>166</v>
      </c>
      <c r="V7813" s="308"/>
    </row>
    <row r="7814">
      <c r="A7814" s="308"/>
      <c r="B7814" s="308"/>
      <c r="C7814" s="308" t="s">
        <v>30812</v>
      </c>
      <c r="D7814" s="308">
        <f>IFERROR(__xludf.DUMMYFUNCTION("SPLIT(C7814,""-"")"),7834.0)</f>
        <v>7834</v>
      </c>
      <c r="E7814" s="308" t="str">
        <f>IFERROR(__xludf.DUMMYFUNCTION("""COMPUTED_VALUE"""),"P")</f>
        <v>P</v>
      </c>
      <c r="F7814" s="312" t="s">
        <v>37</v>
      </c>
      <c r="G7814" s="308"/>
      <c r="H7814" s="308" t="s">
        <v>30813</v>
      </c>
      <c r="I7814" s="310">
        <v>44279.0</v>
      </c>
      <c r="J7814" s="319">
        <f>IFERROR(__xludf.DUMMYFUNCTION("SPLIT(I7814,""/"")"),24.0)</f>
        <v>24</v>
      </c>
      <c r="K7814" s="308">
        <f>IFERROR(__xludf.DUMMYFUNCTION("""COMPUTED_VALUE"""),3.0)</f>
        <v>3</v>
      </c>
      <c r="L7814" s="308">
        <f>IFERROR(__xludf.DUMMYFUNCTION("""COMPUTED_VALUE"""),2021.0)</f>
        <v>2021</v>
      </c>
      <c r="M7814" s="308" t="s">
        <v>30814</v>
      </c>
      <c r="N7814" s="308" t="s">
        <v>30815</v>
      </c>
      <c r="O7814" s="308"/>
      <c r="P7814" s="308" t="s">
        <v>39917</v>
      </c>
      <c r="Q7814" s="308" t="s">
        <v>39918</v>
      </c>
      <c r="R7814" s="308" t="s">
        <v>2743</v>
      </c>
      <c r="S7814" s="308" t="s">
        <v>81</v>
      </c>
      <c r="T7814" s="308" t="s">
        <v>73</v>
      </c>
      <c r="U7814" s="308" t="s">
        <v>17743</v>
      </c>
      <c r="V7814" s="308"/>
    </row>
    <row r="7815">
      <c r="A7815" s="308"/>
      <c r="B7815" s="308"/>
      <c r="C7815" s="308" t="s">
        <v>30817</v>
      </c>
      <c r="D7815" s="308">
        <f>IFERROR(__xludf.DUMMYFUNCTION("SPLIT(C7815,""-"")"),7835.0)</f>
        <v>7835</v>
      </c>
      <c r="E7815" s="308" t="str">
        <f>IFERROR(__xludf.DUMMYFUNCTION("""COMPUTED_VALUE"""),"K")</f>
        <v>K</v>
      </c>
      <c r="F7815" s="309" t="s">
        <v>34</v>
      </c>
      <c r="G7815" s="308"/>
      <c r="H7815" s="308" t="s">
        <v>30818</v>
      </c>
      <c r="I7815" s="310">
        <v>43970.0</v>
      </c>
      <c r="J7815" s="319">
        <f>IFERROR(__xludf.DUMMYFUNCTION("SPLIT(I7815,""/"")"),19.0)</f>
        <v>19</v>
      </c>
      <c r="K7815" s="308">
        <f>IFERROR(__xludf.DUMMYFUNCTION("""COMPUTED_VALUE"""),5.0)</f>
        <v>5</v>
      </c>
      <c r="L7815" s="308">
        <f>IFERROR(__xludf.DUMMYFUNCTION("""COMPUTED_VALUE"""),2020.0)</f>
        <v>2020</v>
      </c>
      <c r="M7815" s="308" t="s">
        <v>30819</v>
      </c>
      <c r="N7815" s="308" t="s">
        <v>39919</v>
      </c>
      <c r="O7815" s="308"/>
      <c r="P7815" s="308" t="s">
        <v>39920</v>
      </c>
      <c r="Q7815" s="308" t="s">
        <v>39918</v>
      </c>
      <c r="R7815" s="308" t="s">
        <v>2743</v>
      </c>
      <c r="S7815" s="308" t="s">
        <v>81</v>
      </c>
      <c r="T7815" s="308" t="s">
        <v>75</v>
      </c>
      <c r="U7815" s="308" t="s">
        <v>542</v>
      </c>
      <c r="V7815" s="308"/>
    </row>
    <row r="7816">
      <c r="A7816" s="308"/>
      <c r="B7816" s="308"/>
      <c r="C7816" s="308" t="s">
        <v>30822</v>
      </c>
      <c r="D7816" s="308">
        <f>IFERROR(__xludf.DUMMYFUNCTION("SPLIT(C7816,""-"")"),7836.0)</f>
        <v>7836</v>
      </c>
      <c r="E7816" s="308" t="str">
        <f>IFERROR(__xludf.DUMMYFUNCTION("""COMPUTED_VALUE"""),"K")</f>
        <v>K</v>
      </c>
      <c r="F7816" s="309" t="s">
        <v>34</v>
      </c>
      <c r="G7816" s="308"/>
      <c r="H7816" s="308" t="s">
        <v>30823</v>
      </c>
      <c r="I7816" s="310">
        <v>43970.0</v>
      </c>
      <c r="J7816" s="319">
        <f>IFERROR(__xludf.DUMMYFUNCTION("SPLIT(I7816,""/"")"),19.0)</f>
        <v>19</v>
      </c>
      <c r="K7816" s="308">
        <f>IFERROR(__xludf.DUMMYFUNCTION("""COMPUTED_VALUE"""),5.0)</f>
        <v>5</v>
      </c>
      <c r="L7816" s="308">
        <f>IFERROR(__xludf.DUMMYFUNCTION("""COMPUTED_VALUE"""),2020.0)</f>
        <v>2020</v>
      </c>
      <c r="M7816" s="308" t="s">
        <v>30824</v>
      </c>
      <c r="N7816" s="308" t="s">
        <v>30825</v>
      </c>
      <c r="O7816" s="308"/>
      <c r="P7816" s="308" t="s">
        <v>30826</v>
      </c>
      <c r="Q7816" s="308" t="s">
        <v>39918</v>
      </c>
      <c r="R7816" s="308" t="s">
        <v>2743</v>
      </c>
      <c r="S7816" s="308" t="s">
        <v>81</v>
      </c>
      <c r="T7816" s="311" t="s">
        <v>96</v>
      </c>
      <c r="U7816" s="308" t="s">
        <v>542</v>
      </c>
      <c r="V7816" s="308"/>
    </row>
    <row r="7817">
      <c r="A7817" s="308"/>
      <c r="B7817" s="308"/>
      <c r="C7817" s="308" t="s">
        <v>30827</v>
      </c>
      <c r="D7817" s="308">
        <f>IFERROR(__xludf.DUMMYFUNCTION("SPLIT(C7817,""-"")"),7837.0)</f>
        <v>7837</v>
      </c>
      <c r="E7817" s="308" t="str">
        <f>IFERROR(__xludf.DUMMYFUNCTION("""COMPUTED_VALUE"""),"K")</f>
        <v>K</v>
      </c>
      <c r="F7817" s="309" t="s">
        <v>34</v>
      </c>
      <c r="G7817" s="308"/>
      <c r="H7817" s="308" t="s">
        <v>30828</v>
      </c>
      <c r="I7817" s="310">
        <v>43970.0</v>
      </c>
      <c r="J7817" s="319">
        <f>IFERROR(__xludf.DUMMYFUNCTION("SPLIT(I7817,""/"")"),19.0)</f>
        <v>19</v>
      </c>
      <c r="K7817" s="308">
        <f>IFERROR(__xludf.DUMMYFUNCTION("""COMPUTED_VALUE"""),5.0)</f>
        <v>5</v>
      </c>
      <c r="L7817" s="308">
        <f>IFERROR(__xludf.DUMMYFUNCTION("""COMPUTED_VALUE"""),2020.0)</f>
        <v>2020</v>
      </c>
      <c r="M7817" s="308" t="s">
        <v>30829</v>
      </c>
      <c r="N7817" s="308" t="s">
        <v>30830</v>
      </c>
      <c r="O7817" s="308"/>
      <c r="P7817" s="308" t="s">
        <v>39921</v>
      </c>
      <c r="Q7817" s="308" t="s">
        <v>39918</v>
      </c>
      <c r="R7817" s="308" t="s">
        <v>2743</v>
      </c>
      <c r="S7817" s="308" t="s">
        <v>81</v>
      </c>
      <c r="T7817" s="311" t="s">
        <v>96</v>
      </c>
      <c r="U7817" s="308" t="s">
        <v>542</v>
      </c>
      <c r="V7817" s="308"/>
    </row>
    <row r="7818">
      <c r="A7818" s="308"/>
      <c r="B7818" s="308"/>
      <c r="C7818" s="308" t="s">
        <v>30832</v>
      </c>
      <c r="D7818" s="308">
        <f>IFERROR(__xludf.DUMMYFUNCTION("SPLIT(C7818,""-"")"),7838.0)</f>
        <v>7838</v>
      </c>
      <c r="E7818" s="308" t="str">
        <f>IFERROR(__xludf.DUMMYFUNCTION("""COMPUTED_VALUE"""),"K")</f>
        <v>K</v>
      </c>
      <c r="F7818" s="309" t="s">
        <v>34</v>
      </c>
      <c r="G7818" s="308"/>
      <c r="H7818" s="308" t="s">
        <v>30833</v>
      </c>
      <c r="I7818" s="314">
        <v>44185.0</v>
      </c>
      <c r="J7818" s="319">
        <f>IFERROR(__xludf.DUMMYFUNCTION("SPLIT(I7818,""/"")"),20.0)</f>
        <v>20</v>
      </c>
      <c r="K7818" s="308">
        <f>IFERROR(__xludf.DUMMYFUNCTION("""COMPUTED_VALUE"""),12.0)</f>
        <v>12</v>
      </c>
      <c r="L7818" s="308">
        <f>IFERROR(__xludf.DUMMYFUNCTION("""COMPUTED_VALUE"""),2020.0)</f>
        <v>2020</v>
      </c>
      <c r="M7818" s="308" t="s">
        <v>30834</v>
      </c>
      <c r="N7818" s="308" t="s">
        <v>30835</v>
      </c>
      <c r="O7818" s="308"/>
      <c r="P7818" s="308" t="s">
        <v>30836</v>
      </c>
      <c r="Q7818" s="308" t="s">
        <v>39922</v>
      </c>
      <c r="R7818" s="308" t="s">
        <v>24758</v>
      </c>
      <c r="S7818" s="308" t="s">
        <v>81</v>
      </c>
      <c r="T7818" s="308" t="s">
        <v>34264</v>
      </c>
      <c r="U7818" s="308" t="s">
        <v>30837</v>
      </c>
      <c r="V7818" s="308"/>
    </row>
    <row r="7819">
      <c r="A7819" s="308"/>
      <c r="B7819" s="308"/>
      <c r="C7819" s="308" t="s">
        <v>30838</v>
      </c>
      <c r="D7819" s="308">
        <f>IFERROR(__xludf.DUMMYFUNCTION("SPLIT(C7819,""-"")"),7839.0)</f>
        <v>7839</v>
      </c>
      <c r="E7819" s="308" t="str">
        <f>IFERROR(__xludf.DUMMYFUNCTION("""COMPUTED_VALUE"""),"I")</f>
        <v>I</v>
      </c>
      <c r="F7819" s="309" t="s">
        <v>31</v>
      </c>
      <c r="G7819" s="308"/>
      <c r="H7819" s="308" t="s">
        <v>30839</v>
      </c>
      <c r="I7819" s="310">
        <v>44220.0</v>
      </c>
      <c r="J7819" s="319">
        <f>IFERROR(__xludf.DUMMYFUNCTION("SPLIT(I7819,""/"")"),24.0)</f>
        <v>24</v>
      </c>
      <c r="K7819" s="308">
        <f>IFERROR(__xludf.DUMMYFUNCTION("""COMPUTED_VALUE"""),1.0)</f>
        <v>1</v>
      </c>
      <c r="L7819" s="308">
        <f>IFERROR(__xludf.DUMMYFUNCTION("""COMPUTED_VALUE"""),2021.0)</f>
        <v>2021</v>
      </c>
      <c r="M7819" s="308" t="s">
        <v>39923</v>
      </c>
      <c r="N7819" s="308" t="s">
        <v>30841</v>
      </c>
      <c r="O7819" s="308"/>
      <c r="P7819" s="308" t="s">
        <v>30842</v>
      </c>
      <c r="Q7819" s="308" t="s">
        <v>39922</v>
      </c>
      <c r="R7819" s="308" t="s">
        <v>24758</v>
      </c>
      <c r="S7819" s="308" t="s">
        <v>81</v>
      </c>
      <c r="T7819" s="311" t="s">
        <v>51</v>
      </c>
      <c r="U7819" s="308" t="s">
        <v>31</v>
      </c>
      <c r="V7819" s="308"/>
    </row>
    <row r="7820">
      <c r="A7820" s="308"/>
      <c r="B7820" s="308"/>
      <c r="C7820" s="308" t="s">
        <v>30843</v>
      </c>
      <c r="D7820" s="308">
        <f>IFERROR(__xludf.DUMMYFUNCTION("SPLIT(C7820,""-"")"),7840.0)</f>
        <v>7840</v>
      </c>
      <c r="E7820" s="308" t="str">
        <f>IFERROR(__xludf.DUMMYFUNCTION("""COMPUTED_VALUE"""),"K")</f>
        <v>K</v>
      </c>
      <c r="F7820" s="309" t="s">
        <v>34</v>
      </c>
      <c r="G7820" s="308"/>
      <c r="H7820" s="308" t="s">
        <v>30844</v>
      </c>
      <c r="I7820" s="310">
        <v>42312.0</v>
      </c>
      <c r="J7820" s="319">
        <f>IFERROR(__xludf.DUMMYFUNCTION("SPLIT(I7820,""/"")"),4.0)</f>
        <v>4</v>
      </c>
      <c r="K7820" s="308">
        <f>IFERROR(__xludf.DUMMYFUNCTION("""COMPUTED_VALUE"""),11.0)</f>
        <v>11</v>
      </c>
      <c r="L7820" s="308">
        <f>IFERROR(__xludf.DUMMYFUNCTION("""COMPUTED_VALUE"""),2015.0)</f>
        <v>2015</v>
      </c>
      <c r="M7820" s="308" t="s">
        <v>30845</v>
      </c>
      <c r="N7820" s="308" t="s">
        <v>30846</v>
      </c>
      <c r="O7820" s="308"/>
      <c r="P7820" s="308" t="s">
        <v>136</v>
      </c>
      <c r="Q7820" s="308" t="s">
        <v>39922</v>
      </c>
      <c r="R7820" s="308" t="s">
        <v>2743</v>
      </c>
      <c r="S7820" s="315" t="s">
        <v>100</v>
      </c>
      <c r="T7820" s="308" t="s">
        <v>34208</v>
      </c>
      <c r="U7820" s="308" t="s">
        <v>30847</v>
      </c>
      <c r="V7820" s="308"/>
    </row>
    <row r="7821">
      <c r="A7821" s="308"/>
      <c r="B7821" s="308"/>
      <c r="C7821" s="308" t="s">
        <v>30848</v>
      </c>
      <c r="D7821" s="308">
        <f>IFERROR(__xludf.DUMMYFUNCTION("SPLIT(C7821,""-"")"),7841.0)</f>
        <v>7841</v>
      </c>
      <c r="E7821" s="308" t="str">
        <f>IFERROR(__xludf.DUMMYFUNCTION("""COMPUTED_VALUE"""),"K")</f>
        <v>K</v>
      </c>
      <c r="F7821" s="309" t="s">
        <v>34</v>
      </c>
      <c r="G7821" s="308"/>
      <c r="H7821" s="308" t="s">
        <v>30849</v>
      </c>
      <c r="I7821" s="310">
        <v>43279.0</v>
      </c>
      <c r="J7821" s="319">
        <f>IFERROR(__xludf.DUMMYFUNCTION("SPLIT(I7821,""/"")"),28.0)</f>
        <v>28</v>
      </c>
      <c r="K7821" s="308">
        <f>IFERROR(__xludf.DUMMYFUNCTION("""COMPUTED_VALUE"""),6.0)</f>
        <v>6</v>
      </c>
      <c r="L7821" s="308">
        <f>IFERROR(__xludf.DUMMYFUNCTION("""COMPUTED_VALUE"""),2018.0)</f>
        <v>2018</v>
      </c>
      <c r="M7821" s="308" t="s">
        <v>30850</v>
      </c>
      <c r="N7821" s="308" t="s">
        <v>30851</v>
      </c>
      <c r="O7821" s="308"/>
      <c r="P7821" s="308" t="s">
        <v>136</v>
      </c>
      <c r="Q7821" s="308" t="s">
        <v>39922</v>
      </c>
      <c r="R7821" s="308" t="s">
        <v>2743</v>
      </c>
      <c r="S7821" s="315" t="s">
        <v>100</v>
      </c>
      <c r="T7821" s="308" t="s">
        <v>34208</v>
      </c>
      <c r="U7821" s="308" t="s">
        <v>30847</v>
      </c>
      <c r="V7821" s="308"/>
    </row>
    <row r="7822">
      <c r="A7822" s="308"/>
      <c r="B7822" s="308"/>
      <c r="C7822" s="308" t="s">
        <v>30852</v>
      </c>
      <c r="D7822" s="308">
        <f>IFERROR(__xludf.DUMMYFUNCTION("SPLIT(C7822,""-"")"),7842.0)</f>
        <v>7842</v>
      </c>
      <c r="E7822" s="308" t="str">
        <f>IFERROR(__xludf.DUMMYFUNCTION("""COMPUTED_VALUE"""),"K")</f>
        <v>K</v>
      </c>
      <c r="F7822" s="309" t="s">
        <v>34</v>
      </c>
      <c r="G7822" s="308"/>
      <c r="H7822" s="308" t="s">
        <v>30853</v>
      </c>
      <c r="I7822" s="310">
        <v>42881.0</v>
      </c>
      <c r="J7822" s="319" t="str">
        <f>IFERROR(__xludf.DUMMYFUNCTION("SPLIT(I7822,""/"")"),"#REF!")</f>
        <v>#REF!</v>
      </c>
      <c r="K7822" s="308"/>
      <c r="L7822" s="308">
        <v>2017.0</v>
      </c>
      <c r="M7822" s="308" t="s">
        <v>30854</v>
      </c>
      <c r="N7822" s="308" t="s">
        <v>30855</v>
      </c>
      <c r="O7822" s="308"/>
      <c r="P7822" s="308" t="s">
        <v>39924</v>
      </c>
      <c r="Q7822" s="308" t="s">
        <v>39922</v>
      </c>
      <c r="R7822" s="308" t="s">
        <v>2743</v>
      </c>
      <c r="S7822" s="308" t="s">
        <v>81</v>
      </c>
      <c r="T7822" s="308" t="s">
        <v>34264</v>
      </c>
      <c r="U7822" s="308" t="s">
        <v>30857</v>
      </c>
      <c r="V7822" s="308"/>
    </row>
    <row r="7823">
      <c r="A7823" s="308"/>
      <c r="B7823" s="308"/>
      <c r="C7823" s="308" t="s">
        <v>30858</v>
      </c>
      <c r="D7823" s="308">
        <f>IFERROR(__xludf.DUMMYFUNCTION("SPLIT(C7823,""-"")"),7843.0)</f>
        <v>7843</v>
      </c>
      <c r="E7823" s="308" t="str">
        <f>IFERROR(__xludf.DUMMYFUNCTION("""COMPUTED_VALUE"""),"K")</f>
        <v>K</v>
      </c>
      <c r="F7823" s="309" t="s">
        <v>34</v>
      </c>
      <c r="G7823" s="308"/>
      <c r="H7823" s="308" t="s">
        <v>30859</v>
      </c>
      <c r="I7823" s="310">
        <v>41676.0</v>
      </c>
      <c r="J7823" s="319">
        <f>IFERROR(__xludf.DUMMYFUNCTION("SPLIT(I7823,""/"")"),6.0)</f>
        <v>6</v>
      </c>
      <c r="K7823" s="308">
        <f>IFERROR(__xludf.DUMMYFUNCTION("""COMPUTED_VALUE"""),2.0)</f>
        <v>2</v>
      </c>
      <c r="L7823" s="308">
        <f>IFERROR(__xludf.DUMMYFUNCTION("""COMPUTED_VALUE"""),2014.0)</f>
        <v>2014</v>
      </c>
      <c r="M7823" s="308" t="s">
        <v>30860</v>
      </c>
      <c r="N7823" s="308" t="s">
        <v>30861</v>
      </c>
      <c r="O7823" s="308"/>
      <c r="P7823" s="308" t="s">
        <v>136</v>
      </c>
      <c r="Q7823" s="308" t="s">
        <v>39925</v>
      </c>
      <c r="R7823" s="308" t="s">
        <v>2743</v>
      </c>
      <c r="S7823" s="315" t="s">
        <v>100</v>
      </c>
      <c r="T7823" s="308" t="s">
        <v>34208</v>
      </c>
      <c r="U7823" s="308" t="s">
        <v>125</v>
      </c>
      <c r="V7823" s="308"/>
    </row>
    <row r="7824">
      <c r="A7824" s="308"/>
      <c r="B7824" s="308"/>
      <c r="C7824" s="308" t="s">
        <v>30862</v>
      </c>
      <c r="D7824" s="308">
        <f>IFERROR(__xludf.DUMMYFUNCTION("SPLIT(C7824,""-"")"),7844.0)</f>
        <v>7844</v>
      </c>
      <c r="E7824" s="308" t="str">
        <f>IFERROR(__xludf.DUMMYFUNCTION("""COMPUTED_VALUE"""),"P")</f>
        <v>P</v>
      </c>
      <c r="F7824" s="312" t="s">
        <v>37</v>
      </c>
      <c r="G7824" s="308"/>
      <c r="H7824" s="308" t="s">
        <v>30863</v>
      </c>
      <c r="I7824" s="310">
        <v>44284.0</v>
      </c>
      <c r="J7824" s="319">
        <f>IFERROR(__xludf.DUMMYFUNCTION("SPLIT(I7824,""/"")"),29.0)</f>
        <v>29</v>
      </c>
      <c r="K7824" s="308">
        <f>IFERROR(__xludf.DUMMYFUNCTION("""COMPUTED_VALUE"""),3.0)</f>
        <v>3</v>
      </c>
      <c r="L7824" s="308">
        <f>IFERROR(__xludf.DUMMYFUNCTION("""COMPUTED_VALUE"""),2021.0)</f>
        <v>2021</v>
      </c>
      <c r="M7824" s="308" t="s">
        <v>30864</v>
      </c>
      <c r="N7824" s="308" t="s">
        <v>439</v>
      </c>
      <c r="O7824" s="308"/>
      <c r="P7824" s="308" t="s">
        <v>30865</v>
      </c>
      <c r="Q7824" s="308" t="s">
        <v>39925</v>
      </c>
      <c r="R7824" s="308" t="s">
        <v>2743</v>
      </c>
      <c r="S7824" s="308" t="s">
        <v>81</v>
      </c>
      <c r="T7824" s="308" t="s">
        <v>73</v>
      </c>
      <c r="U7824" s="308" t="s">
        <v>143</v>
      </c>
      <c r="V7824" s="308"/>
    </row>
    <row r="7825">
      <c r="A7825" s="308"/>
      <c r="B7825" s="308"/>
      <c r="C7825" s="308" t="s">
        <v>30866</v>
      </c>
      <c r="D7825" s="308">
        <f>IFERROR(__xludf.DUMMYFUNCTION("SPLIT(C7825,""-"")"),7845.0)</f>
        <v>7845</v>
      </c>
      <c r="E7825" s="308" t="str">
        <f>IFERROR(__xludf.DUMMYFUNCTION("""COMPUTED_VALUE"""),"I")</f>
        <v>I</v>
      </c>
      <c r="F7825" s="309" t="s">
        <v>31</v>
      </c>
      <c r="G7825" s="308"/>
      <c r="H7825" s="308" t="s">
        <v>30867</v>
      </c>
      <c r="I7825" s="310">
        <v>44283.0</v>
      </c>
      <c r="J7825" s="319">
        <f>IFERROR(__xludf.DUMMYFUNCTION("SPLIT(I7825,""/"")"),28.0)</f>
        <v>28</v>
      </c>
      <c r="K7825" s="308">
        <f>IFERROR(__xludf.DUMMYFUNCTION("""COMPUTED_VALUE"""),3.0)</f>
        <v>3</v>
      </c>
      <c r="L7825" s="308">
        <f>IFERROR(__xludf.DUMMYFUNCTION("""COMPUTED_VALUE"""),2021.0)</f>
        <v>2021</v>
      </c>
      <c r="M7825" s="308" t="s">
        <v>30868</v>
      </c>
      <c r="N7825" s="308" t="s">
        <v>30869</v>
      </c>
      <c r="O7825" s="308"/>
      <c r="P7825" s="308" t="s">
        <v>30870</v>
      </c>
      <c r="Q7825" s="308" t="s">
        <v>39925</v>
      </c>
      <c r="R7825" s="308" t="s">
        <v>2743</v>
      </c>
      <c r="S7825" s="308" t="s">
        <v>81</v>
      </c>
      <c r="T7825" s="308" t="s">
        <v>73</v>
      </c>
      <c r="U7825" s="308" t="s">
        <v>31</v>
      </c>
      <c r="V7825" s="308"/>
    </row>
    <row r="7826">
      <c r="A7826" s="308"/>
      <c r="B7826" s="308"/>
      <c r="C7826" s="308" t="s">
        <v>30871</v>
      </c>
      <c r="D7826" s="308">
        <f>IFERROR(__xludf.DUMMYFUNCTION("SPLIT(C7826,""-"")"),7846.0)</f>
        <v>7846</v>
      </c>
      <c r="E7826" s="308" t="str">
        <f>IFERROR(__xludf.DUMMYFUNCTION("""COMPUTED_VALUE"""),"I")</f>
        <v>I</v>
      </c>
      <c r="F7826" s="309" t="s">
        <v>31</v>
      </c>
      <c r="G7826" s="308"/>
      <c r="H7826" s="308" t="s">
        <v>30872</v>
      </c>
      <c r="I7826" s="310">
        <v>44283.0</v>
      </c>
      <c r="J7826" s="319">
        <f>IFERROR(__xludf.DUMMYFUNCTION("SPLIT(I7826,""/"")"),28.0)</f>
        <v>28</v>
      </c>
      <c r="K7826" s="308">
        <f>IFERROR(__xludf.DUMMYFUNCTION("""COMPUTED_VALUE"""),3.0)</f>
        <v>3</v>
      </c>
      <c r="L7826" s="308">
        <f>IFERROR(__xludf.DUMMYFUNCTION("""COMPUTED_VALUE"""),2021.0)</f>
        <v>2021</v>
      </c>
      <c r="M7826" s="308" t="s">
        <v>30868</v>
      </c>
      <c r="N7826" s="308" t="s">
        <v>30873</v>
      </c>
      <c r="O7826" s="308"/>
      <c r="P7826" s="308" t="s">
        <v>30874</v>
      </c>
      <c r="Q7826" s="308" t="s">
        <v>39925</v>
      </c>
      <c r="R7826" s="308" t="s">
        <v>2743</v>
      </c>
      <c r="S7826" s="308" t="s">
        <v>81</v>
      </c>
      <c r="T7826" s="308" t="s">
        <v>73</v>
      </c>
      <c r="U7826" s="308" t="s">
        <v>31</v>
      </c>
      <c r="V7826" s="308"/>
    </row>
    <row r="7827">
      <c r="A7827" s="308"/>
      <c r="B7827" s="308"/>
      <c r="C7827" s="308" t="s">
        <v>30875</v>
      </c>
      <c r="D7827" s="308">
        <f>IFERROR(__xludf.DUMMYFUNCTION("SPLIT(C7827,""-"")"),7847.0)</f>
        <v>7847</v>
      </c>
      <c r="E7827" s="308" t="str">
        <f>IFERROR(__xludf.DUMMYFUNCTION("""COMPUTED_VALUE"""),"P")</f>
        <v>P</v>
      </c>
      <c r="F7827" s="312" t="s">
        <v>37</v>
      </c>
      <c r="G7827" s="308"/>
      <c r="H7827" s="308" t="s">
        <v>30876</v>
      </c>
      <c r="I7827" s="310">
        <v>44239.0</v>
      </c>
      <c r="J7827" s="319">
        <f>IFERROR(__xludf.DUMMYFUNCTION("SPLIT(I7827,""/"")"),12.0)</f>
        <v>12</v>
      </c>
      <c r="K7827" s="308">
        <f>IFERROR(__xludf.DUMMYFUNCTION("""COMPUTED_VALUE"""),2.0)</f>
        <v>2</v>
      </c>
      <c r="L7827" s="308">
        <f>IFERROR(__xludf.DUMMYFUNCTION("""COMPUTED_VALUE"""),2021.0)</f>
        <v>2021</v>
      </c>
      <c r="M7827" s="308" t="s">
        <v>30877</v>
      </c>
      <c r="N7827" s="308" t="s">
        <v>30878</v>
      </c>
      <c r="O7827" s="308"/>
      <c r="P7827" s="308" t="s">
        <v>30879</v>
      </c>
      <c r="Q7827" s="308" t="s">
        <v>39925</v>
      </c>
      <c r="R7827" s="308" t="s">
        <v>2743</v>
      </c>
      <c r="S7827" s="308" t="s">
        <v>81</v>
      </c>
      <c r="T7827" s="308" t="s">
        <v>75</v>
      </c>
      <c r="U7827" s="308" t="s">
        <v>143</v>
      </c>
      <c r="V7827" s="308"/>
    </row>
    <row r="7828">
      <c r="A7828" s="308"/>
      <c r="B7828" s="308"/>
      <c r="C7828" s="308" t="s">
        <v>30880</v>
      </c>
      <c r="D7828" s="308">
        <f>IFERROR(__xludf.DUMMYFUNCTION("SPLIT(C7828,""-"")"),7848.0)</f>
        <v>7848</v>
      </c>
      <c r="E7828" s="308" t="str">
        <f>IFERROR(__xludf.DUMMYFUNCTION("""COMPUTED_VALUE"""),"K")</f>
        <v>K</v>
      </c>
      <c r="F7828" s="309" t="s">
        <v>34</v>
      </c>
      <c r="G7828" s="308"/>
      <c r="H7828" s="308" t="s">
        <v>30881</v>
      </c>
      <c r="I7828" s="310">
        <v>44254.0</v>
      </c>
      <c r="J7828" s="319">
        <f>IFERROR(__xludf.DUMMYFUNCTION("SPLIT(I7828,""/"")"),27.0)</f>
        <v>27</v>
      </c>
      <c r="K7828" s="308">
        <f>IFERROR(__xludf.DUMMYFUNCTION("""COMPUTED_VALUE"""),2.0)</f>
        <v>2</v>
      </c>
      <c r="L7828" s="308">
        <f>IFERROR(__xludf.DUMMYFUNCTION("""COMPUTED_VALUE"""),2021.0)</f>
        <v>2021</v>
      </c>
      <c r="M7828" s="308" t="s">
        <v>30882</v>
      </c>
      <c r="N7828" s="308" t="s">
        <v>30883</v>
      </c>
      <c r="O7828" s="308"/>
      <c r="P7828" s="308" t="s">
        <v>30884</v>
      </c>
      <c r="Q7828" s="308" t="s">
        <v>39925</v>
      </c>
      <c r="R7828" s="308" t="s">
        <v>2743</v>
      </c>
      <c r="S7828" s="308" t="s">
        <v>81</v>
      </c>
      <c r="T7828" s="311" t="s">
        <v>51</v>
      </c>
      <c r="U7828" s="308" t="s">
        <v>201</v>
      </c>
      <c r="V7828" s="308"/>
    </row>
    <row r="7829">
      <c r="A7829" s="308"/>
      <c r="B7829" s="308"/>
      <c r="C7829" s="308" t="s">
        <v>30885</v>
      </c>
      <c r="D7829" s="308">
        <f>IFERROR(__xludf.DUMMYFUNCTION("SPLIT(C7829,""-"")"),7849.0)</f>
        <v>7849</v>
      </c>
      <c r="E7829" s="308" t="str">
        <f>IFERROR(__xludf.DUMMYFUNCTION("""COMPUTED_VALUE"""),"S")</f>
        <v>S</v>
      </c>
      <c r="F7829" s="312" t="s">
        <v>39</v>
      </c>
      <c r="G7829" s="308"/>
      <c r="H7829" s="308" t="s">
        <v>30886</v>
      </c>
      <c r="I7829" s="314">
        <v>43058.0</v>
      </c>
      <c r="J7829" s="319">
        <f>IFERROR(__xludf.DUMMYFUNCTION("SPLIT(I7829,""/"")"),19.0)</f>
        <v>19</v>
      </c>
      <c r="K7829" s="308">
        <f>IFERROR(__xludf.DUMMYFUNCTION("""COMPUTED_VALUE"""),11.0)</f>
        <v>11</v>
      </c>
      <c r="L7829" s="308">
        <f>IFERROR(__xludf.DUMMYFUNCTION("""COMPUTED_VALUE"""),2017.0)</f>
        <v>2017</v>
      </c>
      <c r="M7829" s="308" t="s">
        <v>30887</v>
      </c>
      <c r="N7829" s="308" t="s">
        <v>30888</v>
      </c>
      <c r="O7829" s="308"/>
      <c r="P7829" s="308" t="s">
        <v>136</v>
      </c>
      <c r="Q7829" s="308" t="s">
        <v>39925</v>
      </c>
      <c r="R7829" s="308" t="s">
        <v>2743</v>
      </c>
      <c r="S7829" s="315" t="s">
        <v>100</v>
      </c>
      <c r="T7829" s="308" t="s">
        <v>34208</v>
      </c>
      <c r="U7829" s="308" t="s">
        <v>166</v>
      </c>
      <c r="V7829" s="308"/>
    </row>
    <row r="7830">
      <c r="A7830" s="308"/>
      <c r="B7830" s="308"/>
      <c r="C7830" s="308" t="s">
        <v>30889</v>
      </c>
      <c r="D7830" s="308">
        <f>IFERROR(__xludf.DUMMYFUNCTION("SPLIT(C7830,""-"")"),7850.0)</f>
        <v>7850</v>
      </c>
      <c r="E7830" s="308" t="str">
        <f>IFERROR(__xludf.DUMMYFUNCTION("""COMPUTED_VALUE"""),"K")</f>
        <v>K</v>
      </c>
      <c r="F7830" s="309" t="s">
        <v>34</v>
      </c>
      <c r="G7830" s="308"/>
      <c r="H7830" s="308" t="s">
        <v>30890</v>
      </c>
      <c r="I7830" s="310">
        <v>44061.0</v>
      </c>
      <c r="J7830" s="319">
        <f>IFERROR(__xludf.DUMMYFUNCTION("SPLIT(I7830,""/"")"),18.0)</f>
        <v>18</v>
      </c>
      <c r="K7830" s="308">
        <f>IFERROR(__xludf.DUMMYFUNCTION("""COMPUTED_VALUE"""),8.0)</f>
        <v>8</v>
      </c>
      <c r="L7830" s="308">
        <f>IFERROR(__xludf.DUMMYFUNCTION("""COMPUTED_VALUE"""),2020.0)</f>
        <v>2020</v>
      </c>
      <c r="M7830" s="308" t="s">
        <v>30891</v>
      </c>
      <c r="N7830" s="308" t="s">
        <v>30892</v>
      </c>
      <c r="O7830" s="308"/>
      <c r="P7830" s="308" t="s">
        <v>30893</v>
      </c>
      <c r="Q7830" s="308" t="s">
        <v>39925</v>
      </c>
      <c r="R7830" s="308" t="s">
        <v>2743</v>
      </c>
      <c r="S7830" s="308" t="s">
        <v>81</v>
      </c>
      <c r="T7830" s="308" t="s">
        <v>34264</v>
      </c>
      <c r="U7830" s="308" t="s">
        <v>7530</v>
      </c>
      <c r="V7830" s="308"/>
    </row>
    <row r="7831">
      <c r="A7831" s="308"/>
      <c r="B7831" s="308"/>
      <c r="C7831" s="308" t="s">
        <v>30894</v>
      </c>
      <c r="D7831" s="308">
        <f>IFERROR(__xludf.DUMMYFUNCTION("SPLIT(C7831,""-"")"),7851.0)</f>
        <v>7851</v>
      </c>
      <c r="E7831" s="308" t="str">
        <f>IFERROR(__xludf.DUMMYFUNCTION("""COMPUTED_VALUE"""),"P")</f>
        <v>P</v>
      </c>
      <c r="F7831" s="312" t="s">
        <v>37</v>
      </c>
      <c r="G7831" s="308"/>
      <c r="H7831" s="308" t="s">
        <v>30895</v>
      </c>
      <c r="I7831" s="310">
        <v>44286.0</v>
      </c>
      <c r="J7831" s="319">
        <f>IFERROR(__xludf.DUMMYFUNCTION("SPLIT(I7831,""/"")"),31.0)</f>
        <v>31</v>
      </c>
      <c r="K7831" s="308">
        <f>IFERROR(__xludf.DUMMYFUNCTION("""COMPUTED_VALUE"""),3.0)</f>
        <v>3</v>
      </c>
      <c r="L7831" s="308">
        <f>IFERROR(__xludf.DUMMYFUNCTION("""COMPUTED_VALUE"""),2021.0)</f>
        <v>2021</v>
      </c>
      <c r="M7831" s="308" t="s">
        <v>30896</v>
      </c>
      <c r="N7831" s="308" t="s">
        <v>439</v>
      </c>
      <c r="O7831" s="308"/>
      <c r="P7831" s="308" t="s">
        <v>39926</v>
      </c>
      <c r="Q7831" s="308" t="s">
        <v>39925</v>
      </c>
      <c r="R7831" s="308" t="s">
        <v>2743</v>
      </c>
      <c r="S7831" s="308" t="s">
        <v>81</v>
      </c>
      <c r="T7831" s="311" t="s">
        <v>73</v>
      </c>
      <c r="U7831" s="308" t="s">
        <v>3407</v>
      </c>
      <c r="V7831" s="308"/>
    </row>
    <row r="7832">
      <c r="A7832" s="308"/>
      <c r="B7832" s="308"/>
      <c r="C7832" s="308" t="s">
        <v>30898</v>
      </c>
      <c r="D7832" s="308">
        <f>IFERROR(__xludf.DUMMYFUNCTION("SPLIT(C7832,""-"")"),7852.0)</f>
        <v>7852</v>
      </c>
      <c r="E7832" s="308" t="str">
        <f>IFERROR(__xludf.DUMMYFUNCTION("""COMPUTED_VALUE"""),"K")</f>
        <v>K</v>
      </c>
      <c r="F7832" s="309" t="s">
        <v>34</v>
      </c>
      <c r="G7832" s="308"/>
      <c r="H7832" s="308" t="s">
        <v>30899</v>
      </c>
      <c r="I7832" s="310">
        <v>40691.0</v>
      </c>
      <c r="J7832" s="319">
        <f>IFERROR(__xludf.DUMMYFUNCTION("SPLIT(I7832,""/"")"),28.0)</f>
        <v>28</v>
      </c>
      <c r="K7832" s="308">
        <f>IFERROR(__xludf.DUMMYFUNCTION("""COMPUTED_VALUE"""),5.0)</f>
        <v>5</v>
      </c>
      <c r="L7832" s="308">
        <f>IFERROR(__xludf.DUMMYFUNCTION("""COMPUTED_VALUE"""),2011.0)</f>
        <v>2011</v>
      </c>
      <c r="M7832" s="308" t="s">
        <v>30900</v>
      </c>
      <c r="N7832" s="308" t="s">
        <v>30901</v>
      </c>
      <c r="O7832" s="308" t="s">
        <v>30902</v>
      </c>
      <c r="P7832" s="308" t="s">
        <v>136</v>
      </c>
      <c r="Q7832" s="308" t="s">
        <v>39927</v>
      </c>
      <c r="R7832" s="308" t="s">
        <v>2743</v>
      </c>
      <c r="S7832" s="315" t="s">
        <v>100</v>
      </c>
      <c r="T7832" s="308" t="s">
        <v>34208</v>
      </c>
      <c r="U7832" s="308" t="s">
        <v>7530</v>
      </c>
      <c r="V7832" s="308"/>
    </row>
    <row r="7833">
      <c r="A7833" s="308"/>
      <c r="B7833" s="308"/>
      <c r="C7833" s="308" t="s">
        <v>30903</v>
      </c>
      <c r="D7833" s="308">
        <f>IFERROR(__xludf.DUMMYFUNCTION("SPLIT(C7833,""-"")"),7853.0)</f>
        <v>7853</v>
      </c>
      <c r="E7833" s="308" t="str">
        <f>IFERROR(__xludf.DUMMYFUNCTION("""COMPUTED_VALUE"""),"K")</f>
        <v>K</v>
      </c>
      <c r="F7833" s="309" t="s">
        <v>34</v>
      </c>
      <c r="G7833" s="308"/>
      <c r="H7833" s="308" t="s">
        <v>30904</v>
      </c>
      <c r="I7833" s="310">
        <v>40691.0</v>
      </c>
      <c r="J7833" s="319">
        <f>IFERROR(__xludf.DUMMYFUNCTION("SPLIT(I7833,""/"")"),28.0)</f>
        <v>28</v>
      </c>
      <c r="K7833" s="308">
        <f>IFERROR(__xludf.DUMMYFUNCTION("""COMPUTED_VALUE"""),5.0)</f>
        <v>5</v>
      </c>
      <c r="L7833" s="308">
        <f>IFERROR(__xludf.DUMMYFUNCTION("""COMPUTED_VALUE"""),2011.0)</f>
        <v>2011</v>
      </c>
      <c r="M7833" s="308" t="s">
        <v>30905</v>
      </c>
      <c r="N7833" s="308" t="s">
        <v>39928</v>
      </c>
      <c r="O7833" s="308" t="s">
        <v>30907</v>
      </c>
      <c r="P7833" s="308" t="s">
        <v>136</v>
      </c>
      <c r="Q7833" s="308" t="s">
        <v>39927</v>
      </c>
      <c r="R7833" s="308" t="s">
        <v>2743</v>
      </c>
      <c r="S7833" s="315" t="s">
        <v>100</v>
      </c>
      <c r="T7833" s="308" t="s">
        <v>34208</v>
      </c>
      <c r="U7833" s="308" t="s">
        <v>7530</v>
      </c>
      <c r="V7833" s="308"/>
    </row>
    <row r="7834">
      <c r="A7834" s="308"/>
      <c r="B7834" s="308"/>
      <c r="C7834" s="308" t="s">
        <v>30908</v>
      </c>
      <c r="D7834" s="308">
        <f>IFERROR(__xludf.DUMMYFUNCTION("SPLIT(C7834,""-"")"),7854.0)</f>
        <v>7854</v>
      </c>
      <c r="E7834" s="308" t="str">
        <f>IFERROR(__xludf.DUMMYFUNCTION("""COMPUTED_VALUE"""),"K")</f>
        <v>K</v>
      </c>
      <c r="F7834" s="309" t="s">
        <v>34</v>
      </c>
      <c r="G7834" s="308"/>
      <c r="H7834" s="308" t="s">
        <v>30909</v>
      </c>
      <c r="I7834" s="310">
        <v>43604.0</v>
      </c>
      <c r="J7834" s="319">
        <f>IFERROR(__xludf.DUMMYFUNCTION("SPLIT(I7834,""/"")"),19.0)</f>
        <v>19</v>
      </c>
      <c r="K7834" s="308">
        <f>IFERROR(__xludf.DUMMYFUNCTION("""COMPUTED_VALUE"""),5.0)</f>
        <v>5</v>
      </c>
      <c r="L7834" s="308">
        <f>IFERROR(__xludf.DUMMYFUNCTION("""COMPUTED_VALUE"""),2019.0)</f>
        <v>2019</v>
      </c>
      <c r="M7834" s="308" t="s">
        <v>30910</v>
      </c>
      <c r="N7834" s="308" t="s">
        <v>39929</v>
      </c>
      <c r="O7834" s="308"/>
      <c r="P7834" s="308" t="s">
        <v>39930</v>
      </c>
      <c r="Q7834" s="308" t="s">
        <v>39927</v>
      </c>
      <c r="R7834" s="308" t="s">
        <v>2743</v>
      </c>
      <c r="S7834" s="308" t="s">
        <v>81</v>
      </c>
      <c r="T7834" s="308" t="s">
        <v>34264</v>
      </c>
      <c r="U7834" s="308" t="s">
        <v>542</v>
      </c>
      <c r="V7834" s="308"/>
    </row>
    <row r="7835">
      <c r="A7835" s="308"/>
      <c r="B7835" s="308"/>
      <c r="C7835" s="308" t="s">
        <v>30913</v>
      </c>
      <c r="D7835" s="308">
        <f>IFERROR(__xludf.DUMMYFUNCTION("SPLIT(C7835,""-"")"),7855.0)</f>
        <v>7855</v>
      </c>
      <c r="E7835" s="308" t="str">
        <f>IFERROR(__xludf.DUMMYFUNCTION("""COMPUTED_VALUE"""),"K")</f>
        <v>K</v>
      </c>
      <c r="F7835" s="309" t="s">
        <v>34</v>
      </c>
      <c r="G7835" s="308"/>
      <c r="H7835" s="308" t="s">
        <v>30914</v>
      </c>
      <c r="I7835" s="310">
        <v>43970.0</v>
      </c>
      <c r="J7835" s="319">
        <f>IFERROR(__xludf.DUMMYFUNCTION("SPLIT(I7835,""/"")"),19.0)</f>
        <v>19</v>
      </c>
      <c r="K7835" s="308">
        <f>IFERROR(__xludf.DUMMYFUNCTION("""COMPUTED_VALUE"""),5.0)</f>
        <v>5</v>
      </c>
      <c r="L7835" s="308">
        <f>IFERROR(__xludf.DUMMYFUNCTION("""COMPUTED_VALUE"""),2020.0)</f>
        <v>2020</v>
      </c>
      <c r="M7835" s="308" t="s">
        <v>30915</v>
      </c>
      <c r="N7835" s="308" t="s">
        <v>39931</v>
      </c>
      <c r="O7835" s="308"/>
      <c r="P7835" s="308" t="s">
        <v>39932</v>
      </c>
      <c r="Q7835" s="308" t="s">
        <v>39927</v>
      </c>
      <c r="R7835" s="308" t="s">
        <v>2743</v>
      </c>
      <c r="S7835" s="308" t="s">
        <v>81</v>
      </c>
      <c r="T7835" s="311" t="s">
        <v>96</v>
      </c>
      <c r="U7835" s="308" t="s">
        <v>542</v>
      </c>
      <c r="V7835" s="308"/>
    </row>
    <row r="7836">
      <c r="A7836" s="308"/>
      <c r="B7836" s="308"/>
      <c r="C7836" s="308" t="s">
        <v>30918</v>
      </c>
      <c r="D7836" s="308">
        <f>IFERROR(__xludf.DUMMYFUNCTION("SPLIT(C7836,""-"")"),7856.0)</f>
        <v>7856</v>
      </c>
      <c r="E7836" s="308" t="str">
        <f>IFERROR(__xludf.DUMMYFUNCTION("""COMPUTED_VALUE"""),"P")</f>
        <v>P</v>
      </c>
      <c r="F7836" s="312" t="s">
        <v>37</v>
      </c>
      <c r="G7836" s="308"/>
      <c r="H7836" s="308" t="s">
        <v>30919</v>
      </c>
      <c r="I7836" s="310">
        <v>43241.0</v>
      </c>
      <c r="J7836" s="319">
        <f>IFERROR(__xludf.DUMMYFUNCTION("SPLIT(I7836,""/"")"),21.0)</f>
        <v>21</v>
      </c>
      <c r="K7836" s="308">
        <f>IFERROR(__xludf.DUMMYFUNCTION("""COMPUTED_VALUE"""),5.0)</f>
        <v>5</v>
      </c>
      <c r="L7836" s="308">
        <f>IFERROR(__xludf.DUMMYFUNCTION("""COMPUTED_VALUE"""),2018.0)</f>
        <v>2018</v>
      </c>
      <c r="M7836" s="308" t="s">
        <v>30920</v>
      </c>
      <c r="N7836" s="308" t="s">
        <v>30921</v>
      </c>
      <c r="O7836" s="308"/>
      <c r="P7836" s="308" t="s">
        <v>39933</v>
      </c>
      <c r="Q7836" s="308" t="s">
        <v>39927</v>
      </c>
      <c r="R7836" s="308" t="s">
        <v>2743</v>
      </c>
      <c r="S7836" s="308" t="s">
        <v>81</v>
      </c>
      <c r="T7836" s="308" t="s">
        <v>73</v>
      </c>
      <c r="U7836" s="308" t="s">
        <v>2291</v>
      </c>
      <c r="V7836" s="308"/>
    </row>
    <row r="7837">
      <c r="A7837" s="308"/>
      <c r="B7837" s="308"/>
      <c r="C7837" s="308" t="s">
        <v>30923</v>
      </c>
      <c r="D7837" s="308">
        <f>IFERROR(__xludf.DUMMYFUNCTION("SPLIT(C7837,""-"")"),7857.0)</f>
        <v>7857</v>
      </c>
      <c r="E7837" s="308" t="str">
        <f>IFERROR(__xludf.DUMMYFUNCTION("""COMPUTED_VALUE"""),"I")</f>
        <v>I</v>
      </c>
      <c r="F7837" s="309" t="s">
        <v>31</v>
      </c>
      <c r="G7837" s="308"/>
      <c r="H7837" s="308" t="s">
        <v>30924</v>
      </c>
      <c r="I7837" s="310">
        <v>44005.0</v>
      </c>
      <c r="J7837" s="319">
        <f>IFERROR(__xludf.DUMMYFUNCTION("SPLIT(I7837,""/"")"),23.0)</f>
        <v>23</v>
      </c>
      <c r="K7837" s="308">
        <f>IFERROR(__xludf.DUMMYFUNCTION("""COMPUTED_VALUE"""),6.0)</f>
        <v>6</v>
      </c>
      <c r="L7837" s="308">
        <f>IFERROR(__xludf.DUMMYFUNCTION("""COMPUTED_VALUE"""),2020.0)</f>
        <v>2020</v>
      </c>
      <c r="M7837" s="308" t="s">
        <v>30925</v>
      </c>
      <c r="N7837" s="308" t="s">
        <v>30926</v>
      </c>
      <c r="O7837" s="308" t="s">
        <v>30927</v>
      </c>
      <c r="P7837" s="308" t="s">
        <v>30928</v>
      </c>
      <c r="Q7837" s="308" t="s">
        <v>39927</v>
      </c>
      <c r="R7837" s="308" t="s">
        <v>2743</v>
      </c>
      <c r="S7837" s="308" t="s">
        <v>81</v>
      </c>
      <c r="T7837" s="308" t="s">
        <v>75</v>
      </c>
      <c r="U7837" s="308" t="s">
        <v>31</v>
      </c>
      <c r="V7837" s="308"/>
    </row>
    <row r="7838">
      <c r="A7838" s="308"/>
      <c r="B7838" s="308"/>
      <c r="C7838" s="308" t="s">
        <v>30929</v>
      </c>
      <c r="D7838" s="308">
        <f>IFERROR(__xludf.DUMMYFUNCTION("SPLIT(C7838,""-"")"),7858.0)</f>
        <v>7858</v>
      </c>
      <c r="E7838" s="308" t="str">
        <f>IFERROR(__xludf.DUMMYFUNCTION("""COMPUTED_VALUE"""),"S")</f>
        <v>S</v>
      </c>
      <c r="F7838" s="312" t="s">
        <v>39</v>
      </c>
      <c r="G7838" s="308"/>
      <c r="H7838" s="308" t="s">
        <v>30930</v>
      </c>
      <c r="I7838" s="310">
        <v>44263.0</v>
      </c>
      <c r="J7838" s="319">
        <f>IFERROR(__xludf.DUMMYFUNCTION("SPLIT(I7838,""/"")"),8.0)</f>
        <v>8</v>
      </c>
      <c r="K7838" s="308">
        <f>IFERROR(__xludf.DUMMYFUNCTION("""COMPUTED_VALUE"""),3.0)</f>
        <v>3</v>
      </c>
      <c r="L7838" s="308">
        <f>IFERROR(__xludf.DUMMYFUNCTION("""COMPUTED_VALUE"""),2021.0)</f>
        <v>2021</v>
      </c>
      <c r="M7838" s="308" t="s">
        <v>30931</v>
      </c>
      <c r="N7838" s="308" t="s">
        <v>30932</v>
      </c>
      <c r="O7838" s="308"/>
      <c r="P7838" s="308" t="s">
        <v>39934</v>
      </c>
      <c r="Q7838" s="308" t="s">
        <v>39935</v>
      </c>
      <c r="R7838" s="308" t="s">
        <v>30692</v>
      </c>
      <c r="S7838" s="308" t="s">
        <v>81</v>
      </c>
      <c r="T7838" s="311" t="s">
        <v>51</v>
      </c>
      <c r="U7838" s="308" t="s">
        <v>166</v>
      </c>
      <c r="V7838" s="308"/>
    </row>
    <row r="7839">
      <c r="A7839" s="308"/>
      <c r="B7839" s="308"/>
      <c r="C7839" s="308" t="s">
        <v>30934</v>
      </c>
      <c r="D7839" s="308">
        <f>IFERROR(__xludf.DUMMYFUNCTION("SPLIT(C7839,""-"")"),7859.0)</f>
        <v>7859</v>
      </c>
      <c r="E7839" s="308" t="str">
        <f>IFERROR(__xludf.DUMMYFUNCTION("""COMPUTED_VALUE"""),"K")</f>
        <v>K</v>
      </c>
      <c r="F7839" s="309" t="s">
        <v>34</v>
      </c>
      <c r="G7839" s="308"/>
      <c r="H7839" s="308" t="s">
        <v>30935</v>
      </c>
      <c r="I7839" s="310">
        <v>44226.0</v>
      </c>
      <c r="J7839" s="319">
        <f>IFERROR(__xludf.DUMMYFUNCTION("SPLIT(I7839,""/"")"),30.0)</f>
        <v>30</v>
      </c>
      <c r="K7839" s="308">
        <f>IFERROR(__xludf.DUMMYFUNCTION("""COMPUTED_VALUE"""),1.0)</f>
        <v>1</v>
      </c>
      <c r="L7839" s="308">
        <f>IFERROR(__xludf.DUMMYFUNCTION("""COMPUTED_VALUE"""),2021.0)</f>
        <v>2021</v>
      </c>
      <c r="M7839" s="308" t="s">
        <v>30936</v>
      </c>
      <c r="N7839" s="308" t="s">
        <v>30937</v>
      </c>
      <c r="O7839" s="308"/>
      <c r="P7839" s="308" t="s">
        <v>39936</v>
      </c>
      <c r="Q7839" s="308" t="s">
        <v>39937</v>
      </c>
      <c r="R7839" s="308" t="s">
        <v>2743</v>
      </c>
      <c r="S7839" s="308" t="s">
        <v>81</v>
      </c>
      <c r="T7839" s="311" t="s">
        <v>35043</v>
      </c>
      <c r="U7839" s="308" t="s">
        <v>22473</v>
      </c>
      <c r="V7839" s="308"/>
    </row>
    <row r="7840">
      <c r="A7840" s="308"/>
      <c r="B7840" s="308"/>
      <c r="C7840" s="308" t="s">
        <v>30939</v>
      </c>
      <c r="D7840" s="308">
        <f>IFERROR(__xludf.DUMMYFUNCTION("SPLIT(C7840,""-"")"),7860.0)</f>
        <v>7860</v>
      </c>
      <c r="E7840" s="308" t="str">
        <f>IFERROR(__xludf.DUMMYFUNCTION("""COMPUTED_VALUE"""),"K")</f>
        <v>K</v>
      </c>
      <c r="F7840" s="309" t="s">
        <v>34</v>
      </c>
      <c r="G7840" s="308"/>
      <c r="H7840" s="308" t="s">
        <v>30940</v>
      </c>
      <c r="I7840" s="314">
        <v>44182.0</v>
      </c>
      <c r="J7840" s="319">
        <f>IFERROR(__xludf.DUMMYFUNCTION("SPLIT(I7840,""/"")"),17.0)</f>
        <v>17</v>
      </c>
      <c r="K7840" s="308">
        <f>IFERROR(__xludf.DUMMYFUNCTION("""COMPUTED_VALUE"""),12.0)</f>
        <v>12</v>
      </c>
      <c r="L7840" s="308">
        <f>IFERROR(__xludf.DUMMYFUNCTION("""COMPUTED_VALUE"""),2020.0)</f>
        <v>2020</v>
      </c>
      <c r="M7840" s="308" t="s">
        <v>30941</v>
      </c>
      <c r="N7840" s="308" t="s">
        <v>30942</v>
      </c>
      <c r="O7840" s="308"/>
      <c r="P7840" s="308" t="s">
        <v>39938</v>
      </c>
      <c r="Q7840" s="308" t="s">
        <v>39937</v>
      </c>
      <c r="R7840" s="308" t="s">
        <v>2743</v>
      </c>
      <c r="S7840" s="308" t="s">
        <v>81</v>
      </c>
      <c r="T7840" s="308" t="s">
        <v>34264</v>
      </c>
      <c r="U7840" s="308" t="s">
        <v>201</v>
      </c>
      <c r="V7840" s="308"/>
    </row>
    <row r="7841">
      <c r="A7841" s="308"/>
      <c r="B7841" s="308"/>
      <c r="C7841" s="308" t="s">
        <v>30944</v>
      </c>
      <c r="D7841" s="308">
        <f>IFERROR(__xludf.DUMMYFUNCTION("SPLIT(C7841,""-"")"),7861.0)</f>
        <v>7861</v>
      </c>
      <c r="E7841" s="308" t="str">
        <f>IFERROR(__xludf.DUMMYFUNCTION("""COMPUTED_VALUE"""),"B")</f>
        <v>B</v>
      </c>
      <c r="F7841" s="315" t="s">
        <v>26</v>
      </c>
      <c r="G7841" s="308"/>
      <c r="H7841" s="308" t="s">
        <v>30945</v>
      </c>
      <c r="I7841" s="310">
        <v>44041.0</v>
      </c>
      <c r="J7841" s="319">
        <f>IFERROR(__xludf.DUMMYFUNCTION("SPLIT(I7841,""/"")"),29.0)</f>
        <v>29</v>
      </c>
      <c r="K7841" s="308">
        <f>IFERROR(__xludf.DUMMYFUNCTION("""COMPUTED_VALUE"""),7.0)</f>
        <v>7</v>
      </c>
      <c r="L7841" s="308">
        <f>IFERROR(__xludf.DUMMYFUNCTION("""COMPUTED_VALUE"""),2020.0)</f>
        <v>2020</v>
      </c>
      <c r="M7841" s="308" t="s">
        <v>30946</v>
      </c>
      <c r="N7841" s="308" t="s">
        <v>30947</v>
      </c>
      <c r="O7841" s="308"/>
      <c r="P7841" s="308" t="s">
        <v>39939</v>
      </c>
      <c r="Q7841" s="308" t="s">
        <v>39937</v>
      </c>
      <c r="R7841" s="308" t="s">
        <v>2743</v>
      </c>
      <c r="S7841" s="308" t="s">
        <v>49</v>
      </c>
      <c r="T7841" s="311" t="s">
        <v>51</v>
      </c>
      <c r="U7841" s="308" t="s">
        <v>27</v>
      </c>
      <c r="V7841" s="308"/>
    </row>
    <row r="7842">
      <c r="A7842" s="308"/>
      <c r="B7842" s="308"/>
      <c r="C7842" s="308" t="s">
        <v>30949</v>
      </c>
      <c r="D7842" s="308">
        <f>IFERROR(__xludf.DUMMYFUNCTION("SPLIT(C7842,""-"")"),7862.0)</f>
        <v>7862</v>
      </c>
      <c r="E7842" s="308" t="str">
        <f>IFERROR(__xludf.DUMMYFUNCTION("""COMPUTED_VALUE"""),"K")</f>
        <v>K</v>
      </c>
      <c r="F7842" s="309" t="s">
        <v>34</v>
      </c>
      <c r="G7842" s="308"/>
      <c r="H7842" s="308" t="s">
        <v>30950</v>
      </c>
      <c r="I7842" s="314">
        <v>43060.0</v>
      </c>
      <c r="J7842" s="319" t="str">
        <f>IFERROR(__xludf.DUMMYFUNCTION("SPLIT(I7842,""/"")"),"#REF!")</f>
        <v>#REF!</v>
      </c>
      <c r="K7842" s="308"/>
      <c r="L7842" s="308">
        <v>2017.0</v>
      </c>
      <c r="M7842" s="308" t="s">
        <v>30951</v>
      </c>
      <c r="N7842" s="308" t="s">
        <v>30952</v>
      </c>
      <c r="O7842" s="308"/>
      <c r="P7842" s="308" t="s">
        <v>39940</v>
      </c>
      <c r="Q7842" s="308" t="s">
        <v>39937</v>
      </c>
      <c r="R7842" s="308" t="s">
        <v>2743</v>
      </c>
      <c r="S7842" s="308" t="s">
        <v>81</v>
      </c>
      <c r="T7842" s="311" t="s">
        <v>96</v>
      </c>
      <c r="U7842" s="308" t="s">
        <v>27</v>
      </c>
      <c r="V7842" s="308"/>
    </row>
    <row r="7843">
      <c r="A7843" s="308"/>
      <c r="B7843" s="308"/>
      <c r="C7843" s="308" t="s">
        <v>30954</v>
      </c>
      <c r="D7843" s="308">
        <f>IFERROR(__xludf.DUMMYFUNCTION("SPLIT(C7843,""-"")"),7863.0)</f>
        <v>7863</v>
      </c>
      <c r="E7843" s="308" t="str">
        <f>IFERROR(__xludf.DUMMYFUNCTION("""COMPUTED_VALUE"""),"A")</f>
        <v>A</v>
      </c>
      <c r="F7843" s="309" t="s">
        <v>23</v>
      </c>
      <c r="G7843" s="308"/>
      <c r="H7843" s="308" t="s">
        <v>30955</v>
      </c>
      <c r="I7843" s="310">
        <v>42576.0</v>
      </c>
      <c r="J7843" s="319">
        <f>IFERROR(__xludf.DUMMYFUNCTION("SPLIT(I7843,""/"")"),25.0)</f>
        <v>25</v>
      </c>
      <c r="K7843" s="308">
        <f>IFERROR(__xludf.DUMMYFUNCTION("""COMPUTED_VALUE"""),7.0)</f>
        <v>7</v>
      </c>
      <c r="L7843" s="308">
        <f>IFERROR(__xludf.DUMMYFUNCTION("""COMPUTED_VALUE"""),2016.0)</f>
        <v>2016</v>
      </c>
      <c r="M7843" s="308" t="s">
        <v>39941</v>
      </c>
      <c r="N7843" s="308" t="s">
        <v>30957</v>
      </c>
      <c r="O7843" s="308"/>
      <c r="P7843" s="308" t="s">
        <v>136</v>
      </c>
      <c r="Q7843" s="308" t="s">
        <v>39937</v>
      </c>
      <c r="R7843" s="308" t="s">
        <v>2743</v>
      </c>
      <c r="S7843" s="315" t="s">
        <v>100</v>
      </c>
      <c r="T7843" s="308" t="s">
        <v>34208</v>
      </c>
      <c r="U7843" s="308" t="s">
        <v>27615</v>
      </c>
      <c r="V7843" s="308"/>
    </row>
    <row r="7844">
      <c r="A7844" s="308"/>
      <c r="B7844" s="308"/>
      <c r="C7844" s="308" t="s">
        <v>30958</v>
      </c>
      <c r="D7844" s="308">
        <f>IFERROR(__xludf.DUMMYFUNCTION("SPLIT(C7844,""-"")"),7864.0)</f>
        <v>7864</v>
      </c>
      <c r="E7844" s="308" t="str">
        <f>IFERROR(__xludf.DUMMYFUNCTION("""COMPUTED_VALUE"""),"I")</f>
        <v>I</v>
      </c>
      <c r="F7844" s="309" t="s">
        <v>31</v>
      </c>
      <c r="G7844" s="308"/>
      <c r="H7844" s="308" t="s">
        <v>30959</v>
      </c>
      <c r="I7844" s="310">
        <v>41948.0</v>
      </c>
      <c r="J7844" s="319">
        <f>IFERROR(__xludf.DUMMYFUNCTION("SPLIT(I7844,""/"")"),5.0)</f>
        <v>5</v>
      </c>
      <c r="K7844" s="308">
        <f>IFERROR(__xludf.DUMMYFUNCTION("""COMPUTED_VALUE"""),11.0)</f>
        <v>11</v>
      </c>
      <c r="L7844" s="308">
        <f>IFERROR(__xludf.DUMMYFUNCTION("""COMPUTED_VALUE"""),2014.0)</f>
        <v>2014</v>
      </c>
      <c r="M7844" s="308" t="s">
        <v>30960</v>
      </c>
      <c r="N7844" s="308" t="s">
        <v>30961</v>
      </c>
      <c r="O7844" s="308"/>
      <c r="P7844" s="308" t="s">
        <v>136</v>
      </c>
      <c r="Q7844" s="308" t="s">
        <v>39937</v>
      </c>
      <c r="R7844" s="308" t="s">
        <v>2743</v>
      </c>
      <c r="S7844" s="315" t="s">
        <v>100</v>
      </c>
      <c r="T7844" s="308" t="s">
        <v>34208</v>
      </c>
      <c r="U7844" s="308" t="s">
        <v>31</v>
      </c>
      <c r="V7844" s="308"/>
    </row>
    <row r="7845">
      <c r="A7845" s="308"/>
      <c r="B7845" s="308"/>
      <c r="C7845" s="308" t="s">
        <v>30962</v>
      </c>
      <c r="D7845" s="308">
        <f>IFERROR(__xludf.DUMMYFUNCTION("SPLIT(C7845,""-"")"),7865.0)</f>
        <v>7865</v>
      </c>
      <c r="E7845" s="308" t="str">
        <f>IFERROR(__xludf.DUMMYFUNCTION("""COMPUTED_VALUE"""),"K")</f>
        <v>K</v>
      </c>
      <c r="F7845" s="309" t="s">
        <v>34</v>
      </c>
      <c r="G7845" s="308"/>
      <c r="H7845" s="308" t="s">
        <v>30963</v>
      </c>
      <c r="I7845" s="310">
        <v>42408.0</v>
      </c>
      <c r="J7845" s="319">
        <f>IFERROR(__xludf.DUMMYFUNCTION("SPLIT(I7845,""/"")"),8.0)</f>
        <v>8</v>
      </c>
      <c r="K7845" s="308">
        <f>IFERROR(__xludf.DUMMYFUNCTION("""COMPUTED_VALUE"""),2.0)</f>
        <v>2</v>
      </c>
      <c r="L7845" s="308">
        <f>IFERROR(__xludf.DUMMYFUNCTION("""COMPUTED_VALUE"""),2016.0)</f>
        <v>2016</v>
      </c>
      <c r="M7845" s="308" t="s">
        <v>30964</v>
      </c>
      <c r="N7845" s="308" t="s">
        <v>30965</v>
      </c>
      <c r="O7845" s="308"/>
      <c r="P7845" s="308" t="s">
        <v>30966</v>
      </c>
      <c r="Q7845" s="308" t="s">
        <v>39937</v>
      </c>
      <c r="R7845" s="308" t="s">
        <v>2743</v>
      </c>
      <c r="S7845" s="308" t="s">
        <v>81</v>
      </c>
      <c r="T7845" s="308" t="s">
        <v>34264</v>
      </c>
      <c r="U7845" s="308" t="s">
        <v>872</v>
      </c>
      <c r="V7845" s="308"/>
    </row>
    <row r="7846">
      <c r="A7846" s="308"/>
      <c r="B7846" s="308"/>
      <c r="C7846" s="308" t="s">
        <v>30967</v>
      </c>
      <c r="D7846" s="308">
        <f>IFERROR(__xludf.DUMMYFUNCTION("SPLIT(C7846,""-"")"),7866.0)</f>
        <v>7866</v>
      </c>
      <c r="E7846" s="308" t="str">
        <f>IFERROR(__xludf.DUMMYFUNCTION("""COMPUTED_VALUE"""),"K")</f>
        <v>K</v>
      </c>
      <c r="F7846" s="309" t="s">
        <v>34</v>
      </c>
      <c r="G7846" s="308"/>
      <c r="H7846" s="308" t="s">
        <v>30968</v>
      </c>
      <c r="I7846" s="310">
        <v>43907.0</v>
      </c>
      <c r="J7846" s="319">
        <f>IFERROR(__xludf.DUMMYFUNCTION("SPLIT(I7846,""/"")"),17.0)</f>
        <v>17</v>
      </c>
      <c r="K7846" s="308">
        <f>IFERROR(__xludf.DUMMYFUNCTION("""COMPUTED_VALUE"""),3.0)</f>
        <v>3</v>
      </c>
      <c r="L7846" s="308">
        <f>IFERROR(__xludf.DUMMYFUNCTION("""COMPUTED_VALUE"""),2020.0)</f>
        <v>2020</v>
      </c>
      <c r="M7846" s="308" t="s">
        <v>30969</v>
      </c>
      <c r="N7846" s="308" t="s">
        <v>30970</v>
      </c>
      <c r="O7846" s="308"/>
      <c r="P7846" s="308" t="s">
        <v>39942</v>
      </c>
      <c r="Q7846" s="308" t="s">
        <v>39943</v>
      </c>
      <c r="R7846" s="308" t="s">
        <v>2743</v>
      </c>
      <c r="S7846" s="308" t="s">
        <v>81</v>
      </c>
      <c r="T7846" s="308" t="s">
        <v>75</v>
      </c>
      <c r="U7846" s="308" t="s">
        <v>19204</v>
      </c>
      <c r="V7846" s="308"/>
    </row>
    <row r="7847">
      <c r="A7847" s="308"/>
      <c r="B7847" s="308"/>
      <c r="C7847" s="308" t="s">
        <v>30972</v>
      </c>
      <c r="D7847" s="308">
        <f>IFERROR(__xludf.DUMMYFUNCTION("SPLIT(C7847,""-"")"),7867.0)</f>
        <v>7867</v>
      </c>
      <c r="E7847" s="308" t="str">
        <f>IFERROR(__xludf.DUMMYFUNCTION("""COMPUTED_VALUE"""),"B")</f>
        <v>B</v>
      </c>
      <c r="F7847" s="315" t="s">
        <v>26</v>
      </c>
      <c r="G7847" s="308"/>
      <c r="H7847" s="308" t="s">
        <v>30973</v>
      </c>
      <c r="I7847" s="314">
        <v>40096.0</v>
      </c>
      <c r="J7847" s="319">
        <f>IFERROR(__xludf.DUMMYFUNCTION("SPLIT(I7847,""/"")"),10.0)</f>
        <v>10</v>
      </c>
      <c r="K7847" s="308">
        <f>IFERROR(__xludf.DUMMYFUNCTION("""COMPUTED_VALUE"""),10.0)</f>
        <v>10</v>
      </c>
      <c r="L7847" s="308">
        <f>IFERROR(__xludf.DUMMYFUNCTION("""COMPUTED_VALUE"""),2009.0)</f>
        <v>2009</v>
      </c>
      <c r="M7847" s="308" t="s">
        <v>30974</v>
      </c>
      <c r="N7847" s="308" t="s">
        <v>30975</v>
      </c>
      <c r="O7847" s="308"/>
      <c r="P7847" s="308" t="s">
        <v>136</v>
      </c>
      <c r="Q7847" s="308" t="s">
        <v>39943</v>
      </c>
      <c r="R7847" s="308" t="s">
        <v>2743</v>
      </c>
      <c r="S7847" s="315" t="s">
        <v>100</v>
      </c>
      <c r="T7847" s="308" t="s">
        <v>34208</v>
      </c>
      <c r="U7847" s="308" t="s">
        <v>27</v>
      </c>
      <c r="V7847" s="308"/>
    </row>
    <row r="7848">
      <c r="A7848" s="308"/>
      <c r="B7848" s="308"/>
      <c r="C7848" s="308" t="s">
        <v>30976</v>
      </c>
      <c r="D7848" s="308">
        <f>IFERROR(__xludf.DUMMYFUNCTION("SPLIT(C7848,""-"")"),7868.0)</f>
        <v>7868</v>
      </c>
      <c r="E7848" s="308" t="str">
        <f>IFERROR(__xludf.DUMMYFUNCTION("""COMPUTED_VALUE"""),"S")</f>
        <v>S</v>
      </c>
      <c r="F7848" s="312" t="s">
        <v>39</v>
      </c>
      <c r="G7848" s="308"/>
      <c r="H7848" s="308" t="s">
        <v>30977</v>
      </c>
      <c r="I7848" s="310">
        <v>44069.0</v>
      </c>
      <c r="J7848" s="319">
        <f>IFERROR(__xludf.DUMMYFUNCTION("SPLIT(I7848,""/"")"),26.0)</f>
        <v>26</v>
      </c>
      <c r="K7848" s="308">
        <f>IFERROR(__xludf.DUMMYFUNCTION("""COMPUTED_VALUE"""),8.0)</f>
        <v>8</v>
      </c>
      <c r="L7848" s="308">
        <f>IFERROR(__xludf.DUMMYFUNCTION("""COMPUTED_VALUE"""),2020.0)</f>
        <v>2020</v>
      </c>
      <c r="M7848" s="308" t="s">
        <v>30978</v>
      </c>
      <c r="N7848" s="308" t="s">
        <v>30979</v>
      </c>
      <c r="O7848" s="308"/>
      <c r="P7848" s="308" t="s">
        <v>136</v>
      </c>
      <c r="Q7848" s="308" t="s">
        <v>39943</v>
      </c>
      <c r="R7848" s="308" t="s">
        <v>2743</v>
      </c>
      <c r="S7848" s="315" t="s">
        <v>100</v>
      </c>
      <c r="T7848" s="308" t="s">
        <v>34208</v>
      </c>
      <c r="U7848" s="308" t="s">
        <v>166</v>
      </c>
      <c r="V7848" s="308"/>
    </row>
    <row r="7849">
      <c r="A7849" s="308"/>
      <c r="B7849" s="308"/>
      <c r="C7849" s="308" t="s">
        <v>30980</v>
      </c>
      <c r="D7849" s="308">
        <f>IFERROR(__xludf.DUMMYFUNCTION("SPLIT(C7849,""-"")"),7869.0)</f>
        <v>7869</v>
      </c>
      <c r="E7849" s="308" t="str">
        <f>IFERROR(__xludf.DUMMYFUNCTION("""COMPUTED_VALUE"""),"K")</f>
        <v>K</v>
      </c>
      <c r="F7849" s="309" t="s">
        <v>34</v>
      </c>
      <c r="G7849" s="308"/>
      <c r="H7849" s="308" t="s">
        <v>30981</v>
      </c>
      <c r="I7849" s="310">
        <v>44046.0</v>
      </c>
      <c r="J7849" s="319">
        <f>IFERROR(__xludf.DUMMYFUNCTION("SPLIT(I7849,""/"")"),3.0)</f>
        <v>3</v>
      </c>
      <c r="K7849" s="308">
        <f>IFERROR(__xludf.DUMMYFUNCTION("""COMPUTED_VALUE"""),8.0)</f>
        <v>8</v>
      </c>
      <c r="L7849" s="308">
        <f>IFERROR(__xludf.DUMMYFUNCTION("""COMPUTED_VALUE"""),2020.0)</f>
        <v>2020</v>
      </c>
      <c r="M7849" s="308" t="s">
        <v>30982</v>
      </c>
      <c r="N7849" s="308" t="s">
        <v>30983</v>
      </c>
      <c r="O7849" s="308"/>
      <c r="P7849" s="308" t="s">
        <v>136</v>
      </c>
      <c r="Q7849" s="308" t="s">
        <v>39943</v>
      </c>
      <c r="R7849" s="308" t="s">
        <v>2743</v>
      </c>
      <c r="S7849" s="315" t="s">
        <v>100</v>
      </c>
      <c r="T7849" s="308" t="s">
        <v>34208</v>
      </c>
      <c r="U7849" s="308" t="s">
        <v>125</v>
      </c>
      <c r="V7849" s="308"/>
    </row>
    <row r="7850">
      <c r="A7850" s="308"/>
      <c r="B7850" s="308"/>
      <c r="C7850" s="308" t="s">
        <v>30984</v>
      </c>
      <c r="D7850" s="308">
        <f>IFERROR(__xludf.DUMMYFUNCTION("SPLIT(C7850,""-"")"),7870.0)</f>
        <v>7870</v>
      </c>
      <c r="E7850" s="308" t="str">
        <f>IFERROR(__xludf.DUMMYFUNCTION("""COMPUTED_VALUE"""),"K")</f>
        <v>K</v>
      </c>
      <c r="F7850" s="309" t="s">
        <v>34</v>
      </c>
      <c r="G7850" s="308"/>
      <c r="H7850" s="308" t="s">
        <v>30985</v>
      </c>
      <c r="I7850" s="310">
        <v>44062.0</v>
      </c>
      <c r="J7850" s="319">
        <f>IFERROR(__xludf.DUMMYFUNCTION("SPLIT(I7850,""/"")"),19.0)</f>
        <v>19</v>
      </c>
      <c r="K7850" s="308">
        <f>IFERROR(__xludf.DUMMYFUNCTION("""COMPUTED_VALUE"""),8.0)</f>
        <v>8</v>
      </c>
      <c r="L7850" s="308">
        <f>IFERROR(__xludf.DUMMYFUNCTION("""COMPUTED_VALUE"""),2020.0)</f>
        <v>2020</v>
      </c>
      <c r="M7850" s="308" t="s">
        <v>30986</v>
      </c>
      <c r="N7850" s="308" t="s">
        <v>30987</v>
      </c>
      <c r="O7850" s="308"/>
      <c r="P7850" s="308" t="s">
        <v>30988</v>
      </c>
      <c r="Q7850" s="308" t="s">
        <v>39943</v>
      </c>
      <c r="R7850" s="308" t="s">
        <v>2743</v>
      </c>
      <c r="S7850" s="308" t="s">
        <v>81</v>
      </c>
      <c r="T7850" s="311" t="s">
        <v>91</v>
      </c>
      <c r="U7850" s="308" t="s">
        <v>368</v>
      </c>
      <c r="V7850" s="308"/>
    </row>
    <row r="7851">
      <c r="A7851" s="308"/>
      <c r="B7851" s="308"/>
      <c r="C7851" s="308" t="s">
        <v>30989</v>
      </c>
      <c r="D7851" s="308">
        <f>IFERROR(__xludf.DUMMYFUNCTION("SPLIT(C7851,""-"")"),7871.0)</f>
        <v>7871</v>
      </c>
      <c r="E7851" s="308" t="str">
        <f>IFERROR(__xludf.DUMMYFUNCTION("""COMPUTED_VALUE"""),"P")</f>
        <v>P</v>
      </c>
      <c r="F7851" s="312" t="s">
        <v>37</v>
      </c>
      <c r="G7851" s="308"/>
      <c r="H7851" s="308" t="s">
        <v>30990</v>
      </c>
      <c r="I7851" s="314">
        <v>41996.0</v>
      </c>
      <c r="J7851" s="319">
        <f>IFERROR(__xludf.DUMMYFUNCTION("SPLIT(I7851,""/"")"),23.0)</f>
        <v>23</v>
      </c>
      <c r="K7851" s="308">
        <f>IFERROR(__xludf.DUMMYFUNCTION("""COMPUTED_VALUE"""),12.0)</f>
        <v>12</v>
      </c>
      <c r="L7851" s="308">
        <f>IFERROR(__xludf.DUMMYFUNCTION("""COMPUTED_VALUE"""),2014.0)</f>
        <v>2014</v>
      </c>
      <c r="M7851" s="308" t="s">
        <v>30991</v>
      </c>
      <c r="N7851" s="308" t="s">
        <v>30992</v>
      </c>
      <c r="O7851" s="308"/>
      <c r="P7851" s="308" t="s">
        <v>136</v>
      </c>
      <c r="Q7851" s="308" t="s">
        <v>39943</v>
      </c>
      <c r="R7851" s="308" t="s">
        <v>2743</v>
      </c>
      <c r="S7851" s="315" t="s">
        <v>100</v>
      </c>
      <c r="T7851" s="308" t="s">
        <v>34208</v>
      </c>
      <c r="U7851" s="308" t="s">
        <v>149</v>
      </c>
      <c r="V7851" s="308"/>
    </row>
    <row r="7852">
      <c r="A7852" s="308"/>
      <c r="B7852" s="308"/>
      <c r="C7852" s="308" t="s">
        <v>30993</v>
      </c>
      <c r="D7852" s="308">
        <f>IFERROR(__xludf.DUMMYFUNCTION("SPLIT(C7852,""-"")"),7872.0)</f>
        <v>7872</v>
      </c>
      <c r="E7852" s="308" t="str">
        <f>IFERROR(__xludf.DUMMYFUNCTION("""COMPUTED_VALUE"""),"S")</f>
        <v>S</v>
      </c>
      <c r="F7852" s="312" t="s">
        <v>39</v>
      </c>
      <c r="G7852" s="308"/>
      <c r="H7852" s="308" t="s">
        <v>30994</v>
      </c>
      <c r="I7852" s="314">
        <v>41603.0</v>
      </c>
      <c r="J7852" s="319">
        <f>IFERROR(__xludf.DUMMYFUNCTION("SPLIT(I7852,""/"")"),25.0)</f>
        <v>25</v>
      </c>
      <c r="K7852" s="308">
        <f>IFERROR(__xludf.DUMMYFUNCTION("""COMPUTED_VALUE"""),11.0)</f>
        <v>11</v>
      </c>
      <c r="L7852" s="308">
        <f>IFERROR(__xludf.DUMMYFUNCTION("""COMPUTED_VALUE"""),2013.0)</f>
        <v>2013</v>
      </c>
      <c r="M7852" s="308" t="s">
        <v>39944</v>
      </c>
      <c r="N7852" s="308" t="s">
        <v>30996</v>
      </c>
      <c r="O7852" s="308"/>
      <c r="P7852" s="308" t="s">
        <v>136</v>
      </c>
      <c r="Q7852" s="308" t="s">
        <v>39945</v>
      </c>
      <c r="R7852" s="308" t="s">
        <v>2743</v>
      </c>
      <c r="S7852" s="315" t="s">
        <v>100</v>
      </c>
      <c r="T7852" s="308" t="s">
        <v>34208</v>
      </c>
      <c r="U7852" s="308" t="s">
        <v>166</v>
      </c>
      <c r="V7852" s="308"/>
    </row>
    <row r="7853">
      <c r="A7853" s="308"/>
      <c r="B7853" s="308"/>
      <c r="C7853" s="308" t="s">
        <v>30997</v>
      </c>
      <c r="D7853" s="308">
        <f>IFERROR(__xludf.DUMMYFUNCTION("SPLIT(C7853,""-"")"),7873.0)</f>
        <v>7873</v>
      </c>
      <c r="E7853" s="308" t="str">
        <f>IFERROR(__xludf.DUMMYFUNCTION("""COMPUTED_VALUE"""),"K")</f>
        <v>K</v>
      </c>
      <c r="F7853" s="309" t="s">
        <v>34</v>
      </c>
      <c r="G7853" s="308"/>
      <c r="H7853" s="308" t="s">
        <v>12611</v>
      </c>
      <c r="I7853" s="310">
        <v>44292.0</v>
      </c>
      <c r="J7853" s="319">
        <f>IFERROR(__xludf.DUMMYFUNCTION("SPLIT(I7853,""/"")"),6.0)</f>
        <v>6</v>
      </c>
      <c r="K7853" s="308">
        <f>IFERROR(__xludf.DUMMYFUNCTION("""COMPUTED_VALUE"""),4.0)</f>
        <v>4</v>
      </c>
      <c r="L7853" s="308">
        <f>IFERROR(__xludf.DUMMYFUNCTION("""COMPUTED_VALUE"""),2021.0)</f>
        <v>2021</v>
      </c>
      <c r="M7853" s="308" t="s">
        <v>30998</v>
      </c>
      <c r="N7853" s="308" t="s">
        <v>30999</v>
      </c>
      <c r="O7853" s="308"/>
      <c r="P7853" s="308" t="s">
        <v>39946</v>
      </c>
      <c r="Q7853" s="308" t="s">
        <v>39945</v>
      </c>
      <c r="R7853" s="308" t="s">
        <v>2743</v>
      </c>
      <c r="S7853" s="308" t="s">
        <v>81</v>
      </c>
      <c r="T7853" s="308" t="s">
        <v>73</v>
      </c>
      <c r="U7853" s="308" t="s">
        <v>2291</v>
      </c>
      <c r="V7853" s="308" t="s">
        <v>31001</v>
      </c>
    </row>
    <row r="7854">
      <c r="A7854" s="308"/>
      <c r="B7854" s="308"/>
      <c r="C7854" s="308" t="s">
        <v>31002</v>
      </c>
      <c r="D7854" s="308">
        <f>IFERROR(__xludf.DUMMYFUNCTION("SPLIT(C7854,""-"")"),7874.0)</f>
        <v>7874</v>
      </c>
      <c r="E7854" s="308" t="str">
        <f>IFERROR(__xludf.DUMMYFUNCTION("""COMPUTED_VALUE"""),"K")</f>
        <v>K</v>
      </c>
      <c r="F7854" s="309" t="s">
        <v>34</v>
      </c>
      <c r="G7854" s="308"/>
      <c r="H7854" s="308" t="s">
        <v>31003</v>
      </c>
      <c r="I7854" s="314">
        <v>43432.0</v>
      </c>
      <c r="J7854" s="319">
        <f>IFERROR(__xludf.DUMMYFUNCTION("SPLIT(I7854,""/"")"),28.0)</f>
        <v>28</v>
      </c>
      <c r="K7854" s="308">
        <f>IFERROR(__xludf.DUMMYFUNCTION("""COMPUTED_VALUE"""),11.0)</f>
        <v>11</v>
      </c>
      <c r="L7854" s="308">
        <f>IFERROR(__xludf.DUMMYFUNCTION("""COMPUTED_VALUE"""),2018.0)</f>
        <v>2018</v>
      </c>
      <c r="M7854" s="308" t="s">
        <v>31004</v>
      </c>
      <c r="N7854" s="308" t="s">
        <v>31005</v>
      </c>
      <c r="O7854" s="308"/>
      <c r="P7854" s="308" t="s">
        <v>39947</v>
      </c>
      <c r="Q7854" s="308" t="s">
        <v>39948</v>
      </c>
      <c r="R7854" s="308" t="s">
        <v>2743</v>
      </c>
      <c r="S7854" s="308" t="s">
        <v>81</v>
      </c>
      <c r="T7854" s="308" t="s">
        <v>34264</v>
      </c>
      <c r="U7854" s="308" t="s">
        <v>872</v>
      </c>
      <c r="V7854" s="308" t="s">
        <v>31007</v>
      </c>
    </row>
    <row r="7855">
      <c r="A7855" s="308"/>
      <c r="B7855" s="308"/>
      <c r="C7855" s="308" t="s">
        <v>31008</v>
      </c>
      <c r="D7855" s="308">
        <f>IFERROR(__xludf.DUMMYFUNCTION("SPLIT(C7855,""-"")"),7875.0)</f>
        <v>7875</v>
      </c>
      <c r="E7855" s="308" t="str">
        <f>IFERROR(__xludf.DUMMYFUNCTION("""COMPUTED_VALUE"""),"K")</f>
        <v>K</v>
      </c>
      <c r="F7855" s="309" t="s">
        <v>34</v>
      </c>
      <c r="G7855" s="308"/>
      <c r="H7855" s="308" t="s">
        <v>31009</v>
      </c>
      <c r="I7855" s="310">
        <v>44311.0</v>
      </c>
      <c r="J7855" s="319">
        <f>IFERROR(__xludf.DUMMYFUNCTION("SPLIT(I7855,""/"")"),25.0)</f>
        <v>25</v>
      </c>
      <c r="K7855" s="308">
        <f>IFERROR(__xludf.DUMMYFUNCTION("""COMPUTED_VALUE"""),4.0)</f>
        <v>4</v>
      </c>
      <c r="L7855" s="308">
        <f>IFERROR(__xludf.DUMMYFUNCTION("""COMPUTED_VALUE"""),2021.0)</f>
        <v>2021</v>
      </c>
      <c r="M7855" s="308" t="s">
        <v>31010</v>
      </c>
      <c r="N7855" s="308" t="s">
        <v>31011</v>
      </c>
      <c r="O7855" s="308"/>
      <c r="P7855" s="308" t="s">
        <v>39949</v>
      </c>
      <c r="Q7855" s="308" t="s">
        <v>39948</v>
      </c>
      <c r="R7855" s="308" t="s">
        <v>2743</v>
      </c>
      <c r="S7855" s="308" t="s">
        <v>81</v>
      </c>
      <c r="T7855" s="311" t="s">
        <v>51</v>
      </c>
      <c r="U7855" s="308" t="s">
        <v>31</v>
      </c>
      <c r="V7855" s="308"/>
    </row>
    <row r="7856">
      <c r="A7856" s="308"/>
      <c r="B7856" s="308"/>
      <c r="C7856" s="308" t="s">
        <v>31013</v>
      </c>
      <c r="D7856" s="308">
        <f>IFERROR(__xludf.DUMMYFUNCTION("SPLIT(C7856,""-"")"),7876.0)</f>
        <v>7876</v>
      </c>
      <c r="E7856" s="308" t="str">
        <f>IFERROR(__xludf.DUMMYFUNCTION("""COMPUTED_VALUE"""),"K")</f>
        <v>K</v>
      </c>
      <c r="F7856" s="309" t="s">
        <v>34</v>
      </c>
      <c r="G7856" s="308"/>
      <c r="H7856" s="308" t="s">
        <v>31014</v>
      </c>
      <c r="I7856" s="310">
        <v>43945.0</v>
      </c>
      <c r="J7856" s="319">
        <f>IFERROR(__xludf.DUMMYFUNCTION("SPLIT(I7856,""/"")"),24.0)</f>
        <v>24</v>
      </c>
      <c r="K7856" s="308">
        <f>IFERROR(__xludf.DUMMYFUNCTION("""COMPUTED_VALUE"""),4.0)</f>
        <v>4</v>
      </c>
      <c r="L7856" s="308">
        <f>IFERROR(__xludf.DUMMYFUNCTION("""COMPUTED_VALUE"""),2020.0)</f>
        <v>2020</v>
      </c>
      <c r="M7856" s="308" t="s">
        <v>31015</v>
      </c>
      <c r="N7856" s="308" t="s">
        <v>31016</v>
      </c>
      <c r="O7856" s="308"/>
      <c r="P7856" s="308" t="s">
        <v>136</v>
      </c>
      <c r="Q7856" s="308" t="s">
        <v>39948</v>
      </c>
      <c r="R7856" s="308" t="s">
        <v>2743</v>
      </c>
      <c r="S7856" s="315" t="s">
        <v>100</v>
      </c>
      <c r="T7856" s="308" t="s">
        <v>34208</v>
      </c>
      <c r="U7856" s="308" t="s">
        <v>2152</v>
      </c>
      <c r="V7856" s="308"/>
    </row>
    <row r="7857">
      <c r="A7857" s="308"/>
      <c r="B7857" s="308"/>
      <c r="C7857" s="308" t="s">
        <v>31017</v>
      </c>
      <c r="D7857" s="308">
        <f>IFERROR(__xludf.DUMMYFUNCTION("SPLIT(C7857,""-"")"),7877.0)</f>
        <v>7877</v>
      </c>
      <c r="E7857" s="308" t="str">
        <f>IFERROR(__xludf.DUMMYFUNCTION("""COMPUTED_VALUE"""),"K")</f>
        <v>K</v>
      </c>
      <c r="F7857" s="309" t="s">
        <v>34</v>
      </c>
      <c r="G7857" s="308"/>
      <c r="H7857" s="308" t="s">
        <v>31018</v>
      </c>
      <c r="I7857" s="310">
        <v>43945.0</v>
      </c>
      <c r="J7857" s="319">
        <f>IFERROR(__xludf.DUMMYFUNCTION("SPLIT(I7857,""/"")"),24.0)</f>
        <v>24</v>
      </c>
      <c r="K7857" s="308">
        <f>IFERROR(__xludf.DUMMYFUNCTION("""COMPUTED_VALUE"""),4.0)</f>
        <v>4</v>
      </c>
      <c r="L7857" s="308">
        <f>IFERROR(__xludf.DUMMYFUNCTION("""COMPUTED_VALUE"""),2020.0)</f>
        <v>2020</v>
      </c>
      <c r="M7857" s="308" t="s">
        <v>31019</v>
      </c>
      <c r="N7857" s="308" t="s">
        <v>31020</v>
      </c>
      <c r="O7857" s="308"/>
      <c r="P7857" s="308" t="s">
        <v>136</v>
      </c>
      <c r="Q7857" s="308" t="s">
        <v>39948</v>
      </c>
      <c r="R7857" s="308" t="s">
        <v>2743</v>
      </c>
      <c r="S7857" s="315" t="s">
        <v>100</v>
      </c>
      <c r="T7857" s="308" t="s">
        <v>34208</v>
      </c>
      <c r="U7857" s="308" t="s">
        <v>2152</v>
      </c>
      <c r="V7857" s="308"/>
    </row>
    <row r="7858">
      <c r="A7858" s="308"/>
      <c r="B7858" s="308"/>
      <c r="C7858" s="308" t="s">
        <v>31021</v>
      </c>
      <c r="D7858" s="308">
        <f>IFERROR(__xludf.DUMMYFUNCTION("SPLIT(C7858,""-"")"),7878.0)</f>
        <v>7878</v>
      </c>
      <c r="E7858" s="308" t="str">
        <f>IFERROR(__xludf.DUMMYFUNCTION("""COMPUTED_VALUE"""),"K")</f>
        <v>K</v>
      </c>
      <c r="F7858" s="309" t="s">
        <v>34</v>
      </c>
      <c r="G7858" s="308"/>
      <c r="H7858" s="308" t="s">
        <v>31022</v>
      </c>
      <c r="I7858" s="310">
        <v>43945.0</v>
      </c>
      <c r="J7858" s="319">
        <f>IFERROR(__xludf.DUMMYFUNCTION("SPLIT(I7858,""/"")"),24.0)</f>
        <v>24</v>
      </c>
      <c r="K7858" s="308">
        <f>IFERROR(__xludf.DUMMYFUNCTION("""COMPUTED_VALUE"""),4.0)</f>
        <v>4</v>
      </c>
      <c r="L7858" s="308">
        <f>IFERROR(__xludf.DUMMYFUNCTION("""COMPUTED_VALUE"""),2020.0)</f>
        <v>2020</v>
      </c>
      <c r="M7858" s="308" t="s">
        <v>31019</v>
      </c>
      <c r="N7858" s="308" t="s">
        <v>31016</v>
      </c>
      <c r="O7858" s="308"/>
      <c r="P7858" s="308" t="s">
        <v>136</v>
      </c>
      <c r="Q7858" s="308" t="s">
        <v>39948</v>
      </c>
      <c r="R7858" s="308" t="s">
        <v>2743</v>
      </c>
      <c r="S7858" s="315" t="s">
        <v>100</v>
      </c>
      <c r="T7858" s="308" t="s">
        <v>34208</v>
      </c>
      <c r="U7858" s="308" t="s">
        <v>2152</v>
      </c>
      <c r="V7858" s="308"/>
    </row>
    <row r="7859">
      <c r="A7859" s="308"/>
      <c r="B7859" s="308"/>
      <c r="C7859" s="308" t="s">
        <v>31023</v>
      </c>
      <c r="D7859" s="308">
        <f>IFERROR(__xludf.DUMMYFUNCTION("SPLIT(C7859,""-"")"),7879.0)</f>
        <v>7879</v>
      </c>
      <c r="E7859" s="308" t="str">
        <f>IFERROR(__xludf.DUMMYFUNCTION("""COMPUTED_VALUE"""),"B")</f>
        <v>B</v>
      </c>
      <c r="F7859" s="315" t="s">
        <v>26</v>
      </c>
      <c r="G7859" s="308"/>
      <c r="H7859" s="308" t="s">
        <v>31024</v>
      </c>
      <c r="I7859" s="310">
        <v>43010.0</v>
      </c>
      <c r="J7859" s="319">
        <f>IFERROR(__xludf.DUMMYFUNCTION("SPLIT(I7859,""/"")"),2.0)</f>
        <v>2</v>
      </c>
      <c r="K7859" s="308">
        <f>IFERROR(__xludf.DUMMYFUNCTION("""COMPUTED_VALUE"""),10.0)</f>
        <v>10</v>
      </c>
      <c r="L7859" s="308">
        <f>IFERROR(__xludf.DUMMYFUNCTION("""COMPUTED_VALUE"""),2017.0)</f>
        <v>2017</v>
      </c>
      <c r="M7859" s="308" t="s">
        <v>31025</v>
      </c>
      <c r="N7859" s="308"/>
      <c r="O7859" s="308"/>
      <c r="P7859" s="308" t="s">
        <v>39950</v>
      </c>
      <c r="Q7859" s="308" t="s">
        <v>39573</v>
      </c>
      <c r="R7859" s="308"/>
      <c r="S7859" s="308" t="s">
        <v>81</v>
      </c>
      <c r="T7859" s="308" t="s">
        <v>75</v>
      </c>
      <c r="U7859" s="308" t="s">
        <v>27</v>
      </c>
      <c r="V7859" s="308"/>
    </row>
    <row r="7860">
      <c r="A7860" s="308"/>
      <c r="B7860" s="308"/>
      <c r="C7860" s="308" t="s">
        <v>31027</v>
      </c>
      <c r="D7860" s="308">
        <f>IFERROR(__xludf.DUMMYFUNCTION("SPLIT(C7860,""-"")"),7880.0)</f>
        <v>7880</v>
      </c>
      <c r="E7860" s="308" t="str">
        <f>IFERROR(__xludf.DUMMYFUNCTION("""COMPUTED_VALUE"""),"B")</f>
        <v>B</v>
      </c>
      <c r="F7860" s="315" t="s">
        <v>26</v>
      </c>
      <c r="G7860" s="308"/>
      <c r="H7860" s="308" t="s">
        <v>31028</v>
      </c>
      <c r="I7860" s="310">
        <v>42860.0</v>
      </c>
      <c r="J7860" s="319">
        <f>IFERROR(__xludf.DUMMYFUNCTION("SPLIT(I7860,""/"")"),5.0)</f>
        <v>5</v>
      </c>
      <c r="K7860" s="308">
        <f>IFERROR(__xludf.DUMMYFUNCTION("""COMPUTED_VALUE"""),5.0)</f>
        <v>5</v>
      </c>
      <c r="L7860" s="308">
        <f>IFERROR(__xludf.DUMMYFUNCTION("""COMPUTED_VALUE"""),2017.0)</f>
        <v>2017</v>
      </c>
      <c r="M7860" s="308" t="s">
        <v>30567</v>
      </c>
      <c r="N7860" s="308"/>
      <c r="O7860" s="308"/>
      <c r="P7860" s="308" t="s">
        <v>39951</v>
      </c>
      <c r="Q7860" s="308" t="s">
        <v>39573</v>
      </c>
      <c r="R7860" s="308"/>
      <c r="S7860" s="308" t="s">
        <v>81</v>
      </c>
      <c r="T7860" s="308" t="s">
        <v>75</v>
      </c>
      <c r="U7860" s="308" t="s">
        <v>27</v>
      </c>
      <c r="V7860" s="308"/>
    </row>
    <row r="7861">
      <c r="A7861" s="308"/>
      <c r="B7861" s="308"/>
      <c r="C7861" s="308" t="s">
        <v>31030</v>
      </c>
      <c r="D7861" s="308">
        <f>IFERROR(__xludf.DUMMYFUNCTION("SPLIT(C7861,""-"")"),7881.0)</f>
        <v>7881</v>
      </c>
      <c r="E7861" s="308" t="str">
        <f>IFERROR(__xludf.DUMMYFUNCTION("""COMPUTED_VALUE"""),"B")</f>
        <v>B</v>
      </c>
      <c r="F7861" s="315" t="s">
        <v>26</v>
      </c>
      <c r="G7861" s="308"/>
      <c r="H7861" s="308" t="s">
        <v>31031</v>
      </c>
      <c r="I7861" s="310">
        <v>42860.0</v>
      </c>
      <c r="J7861" s="319">
        <f>IFERROR(__xludf.DUMMYFUNCTION("SPLIT(I7861,""/"")"),5.0)</f>
        <v>5</v>
      </c>
      <c r="K7861" s="308">
        <f>IFERROR(__xludf.DUMMYFUNCTION("""COMPUTED_VALUE"""),5.0)</f>
        <v>5</v>
      </c>
      <c r="L7861" s="308">
        <f>IFERROR(__xludf.DUMMYFUNCTION("""COMPUTED_VALUE"""),2017.0)</f>
        <v>2017</v>
      </c>
      <c r="M7861" s="308" t="s">
        <v>30567</v>
      </c>
      <c r="N7861" s="308"/>
      <c r="O7861" s="308"/>
      <c r="P7861" s="308" t="s">
        <v>39952</v>
      </c>
      <c r="Q7861" s="308" t="s">
        <v>39573</v>
      </c>
      <c r="R7861" s="308" t="s">
        <v>2743</v>
      </c>
      <c r="S7861" s="308" t="s">
        <v>81</v>
      </c>
      <c r="T7861" s="308" t="s">
        <v>75</v>
      </c>
      <c r="U7861" s="308" t="s">
        <v>27</v>
      </c>
      <c r="V7861" s="308"/>
    </row>
    <row r="7862">
      <c r="A7862" s="308"/>
      <c r="B7862" s="308"/>
      <c r="C7862" s="308" t="s">
        <v>31033</v>
      </c>
      <c r="D7862" s="308">
        <f>IFERROR(__xludf.DUMMYFUNCTION("SPLIT(C7862,""-"")"),7882.0)</f>
        <v>7882</v>
      </c>
      <c r="E7862" s="308" t="str">
        <f>IFERROR(__xludf.DUMMYFUNCTION("""COMPUTED_VALUE"""),"B")</f>
        <v>B</v>
      </c>
      <c r="F7862" s="315" t="s">
        <v>26</v>
      </c>
      <c r="G7862" s="308"/>
      <c r="H7862" s="308" t="s">
        <v>31034</v>
      </c>
      <c r="I7862" s="310">
        <v>42860.0</v>
      </c>
      <c r="J7862" s="319">
        <f>IFERROR(__xludf.DUMMYFUNCTION("SPLIT(I7862,""/"")"),5.0)</f>
        <v>5</v>
      </c>
      <c r="K7862" s="308">
        <f>IFERROR(__xludf.DUMMYFUNCTION("""COMPUTED_VALUE"""),5.0)</f>
        <v>5</v>
      </c>
      <c r="L7862" s="308">
        <f>IFERROR(__xludf.DUMMYFUNCTION("""COMPUTED_VALUE"""),2017.0)</f>
        <v>2017</v>
      </c>
      <c r="M7862" s="308" t="s">
        <v>30567</v>
      </c>
      <c r="N7862" s="308"/>
      <c r="O7862" s="308"/>
      <c r="P7862" s="308" t="s">
        <v>39953</v>
      </c>
      <c r="Q7862" s="308" t="s">
        <v>39573</v>
      </c>
      <c r="R7862" s="308" t="s">
        <v>2743</v>
      </c>
      <c r="S7862" s="308" t="s">
        <v>81</v>
      </c>
      <c r="T7862" s="308" t="s">
        <v>75</v>
      </c>
      <c r="U7862" s="308" t="s">
        <v>27</v>
      </c>
      <c r="V7862" s="308"/>
    </row>
    <row r="7863">
      <c r="A7863" s="308"/>
      <c r="B7863" s="308"/>
      <c r="C7863" s="308" t="s">
        <v>31036</v>
      </c>
      <c r="D7863" s="308">
        <f>IFERROR(__xludf.DUMMYFUNCTION("SPLIT(C7863,""-"")"),7883.0)</f>
        <v>7883</v>
      </c>
      <c r="E7863" s="308" t="str">
        <f>IFERROR(__xludf.DUMMYFUNCTION("""COMPUTED_VALUE"""),"B")</f>
        <v>B</v>
      </c>
      <c r="F7863" s="315" t="s">
        <v>26</v>
      </c>
      <c r="G7863" s="308"/>
      <c r="H7863" s="308" t="s">
        <v>31037</v>
      </c>
      <c r="I7863" s="310">
        <v>42874.0</v>
      </c>
      <c r="J7863" s="319">
        <f>IFERROR(__xludf.DUMMYFUNCTION("SPLIT(I7863,""/"")"),19.0)</f>
        <v>19</v>
      </c>
      <c r="K7863" s="308">
        <f>IFERROR(__xludf.DUMMYFUNCTION("""COMPUTED_VALUE"""),5.0)</f>
        <v>5</v>
      </c>
      <c r="L7863" s="308">
        <f>IFERROR(__xludf.DUMMYFUNCTION("""COMPUTED_VALUE"""),2017.0)</f>
        <v>2017</v>
      </c>
      <c r="M7863" s="308" t="s">
        <v>31038</v>
      </c>
      <c r="N7863" s="308"/>
      <c r="O7863" s="308"/>
      <c r="P7863" s="308" t="s">
        <v>39954</v>
      </c>
      <c r="Q7863" s="308" t="s">
        <v>39573</v>
      </c>
      <c r="R7863" s="308"/>
      <c r="S7863" s="308" t="s">
        <v>81</v>
      </c>
      <c r="T7863" s="308" t="s">
        <v>75</v>
      </c>
      <c r="U7863" s="308" t="s">
        <v>27</v>
      </c>
      <c r="V7863" s="308"/>
    </row>
    <row r="7864">
      <c r="A7864" s="308"/>
      <c r="B7864" s="308"/>
      <c r="C7864" s="308" t="s">
        <v>31040</v>
      </c>
      <c r="D7864" s="308">
        <f>IFERROR(__xludf.DUMMYFUNCTION("SPLIT(C7864,""-"")"),7884.0)</f>
        <v>7884</v>
      </c>
      <c r="E7864" s="308" t="str">
        <f>IFERROR(__xludf.DUMMYFUNCTION("""COMPUTED_VALUE"""),"B")</f>
        <v>B</v>
      </c>
      <c r="F7864" s="315" t="s">
        <v>26</v>
      </c>
      <c r="G7864" s="308"/>
      <c r="H7864" s="308" t="s">
        <v>31041</v>
      </c>
      <c r="I7864" s="310">
        <v>42886.0</v>
      </c>
      <c r="J7864" s="319">
        <f>IFERROR(__xludf.DUMMYFUNCTION("SPLIT(I7864,""/"")"),31.0)</f>
        <v>31</v>
      </c>
      <c r="K7864" s="308">
        <f>IFERROR(__xludf.DUMMYFUNCTION("""COMPUTED_VALUE"""),5.0)</f>
        <v>5</v>
      </c>
      <c r="L7864" s="308">
        <f>IFERROR(__xludf.DUMMYFUNCTION("""COMPUTED_VALUE"""),2017.0)</f>
        <v>2017</v>
      </c>
      <c r="M7864" s="308" t="s">
        <v>30567</v>
      </c>
      <c r="N7864" s="308"/>
      <c r="O7864" s="308"/>
      <c r="P7864" s="308" t="s">
        <v>39955</v>
      </c>
      <c r="Q7864" s="308" t="s">
        <v>39573</v>
      </c>
      <c r="R7864" s="308"/>
      <c r="S7864" s="308" t="s">
        <v>81</v>
      </c>
      <c r="T7864" s="308" t="s">
        <v>75</v>
      </c>
      <c r="U7864" s="308" t="s">
        <v>27</v>
      </c>
      <c r="V7864" s="308"/>
    </row>
    <row r="7865">
      <c r="A7865" s="308"/>
      <c r="B7865" s="308"/>
      <c r="C7865" s="308" t="s">
        <v>31043</v>
      </c>
      <c r="D7865" s="308">
        <f>IFERROR(__xludf.DUMMYFUNCTION("SPLIT(C7865,""-"")"),7885.0)</f>
        <v>7885</v>
      </c>
      <c r="E7865" s="308" t="str">
        <f>IFERROR(__xludf.DUMMYFUNCTION("""COMPUTED_VALUE"""),"B")</f>
        <v>B</v>
      </c>
      <c r="F7865" s="315" t="s">
        <v>26</v>
      </c>
      <c r="G7865" s="308"/>
      <c r="H7865" s="308" t="s">
        <v>31044</v>
      </c>
      <c r="I7865" s="310">
        <v>42886.0</v>
      </c>
      <c r="J7865" s="319">
        <f>IFERROR(__xludf.DUMMYFUNCTION("SPLIT(I7865,""/"")"),31.0)</f>
        <v>31</v>
      </c>
      <c r="K7865" s="308">
        <f>IFERROR(__xludf.DUMMYFUNCTION("""COMPUTED_VALUE"""),5.0)</f>
        <v>5</v>
      </c>
      <c r="L7865" s="308">
        <f>IFERROR(__xludf.DUMMYFUNCTION("""COMPUTED_VALUE"""),2017.0)</f>
        <v>2017</v>
      </c>
      <c r="M7865" s="308" t="s">
        <v>30567</v>
      </c>
      <c r="N7865" s="308"/>
      <c r="O7865" s="308"/>
      <c r="P7865" s="308" t="s">
        <v>39956</v>
      </c>
      <c r="Q7865" s="308" t="s">
        <v>39573</v>
      </c>
      <c r="R7865" s="308"/>
      <c r="S7865" s="308" t="s">
        <v>81</v>
      </c>
      <c r="T7865" s="308" t="s">
        <v>75</v>
      </c>
      <c r="U7865" s="308" t="s">
        <v>27</v>
      </c>
      <c r="V7865" s="308"/>
    </row>
    <row r="7866">
      <c r="A7866" s="308"/>
      <c r="B7866" s="308"/>
      <c r="C7866" s="308" t="s">
        <v>31046</v>
      </c>
      <c r="D7866" s="308">
        <f>IFERROR(__xludf.DUMMYFUNCTION("SPLIT(C7866,""-"")"),7886.0)</f>
        <v>7886</v>
      </c>
      <c r="E7866" s="308" t="str">
        <f>IFERROR(__xludf.DUMMYFUNCTION("""COMPUTED_VALUE"""),"B")</f>
        <v>B</v>
      </c>
      <c r="F7866" s="315" t="s">
        <v>26</v>
      </c>
      <c r="G7866" s="308"/>
      <c r="H7866" s="308" t="s">
        <v>31047</v>
      </c>
      <c r="I7866" s="310">
        <v>42886.0</v>
      </c>
      <c r="J7866" s="319">
        <f>IFERROR(__xludf.DUMMYFUNCTION("SPLIT(I7866,""/"")"),31.0)</f>
        <v>31</v>
      </c>
      <c r="K7866" s="308">
        <f>IFERROR(__xludf.DUMMYFUNCTION("""COMPUTED_VALUE"""),5.0)</f>
        <v>5</v>
      </c>
      <c r="L7866" s="308">
        <f>IFERROR(__xludf.DUMMYFUNCTION("""COMPUTED_VALUE"""),2017.0)</f>
        <v>2017</v>
      </c>
      <c r="M7866" s="308" t="s">
        <v>30567</v>
      </c>
      <c r="N7866" s="308"/>
      <c r="O7866" s="308"/>
      <c r="P7866" s="308" t="s">
        <v>39957</v>
      </c>
      <c r="Q7866" s="308" t="s">
        <v>39573</v>
      </c>
      <c r="R7866" s="308"/>
      <c r="S7866" s="308" t="s">
        <v>81</v>
      </c>
      <c r="T7866" s="308" t="s">
        <v>75</v>
      </c>
      <c r="U7866" s="308" t="s">
        <v>27</v>
      </c>
      <c r="V7866" s="308"/>
    </row>
    <row r="7867">
      <c r="A7867" s="308"/>
      <c r="B7867" s="308"/>
      <c r="C7867" s="308" t="s">
        <v>31049</v>
      </c>
      <c r="D7867" s="308">
        <f>IFERROR(__xludf.DUMMYFUNCTION("SPLIT(C7867,""-"")"),7887.0)</f>
        <v>7887</v>
      </c>
      <c r="E7867" s="308" t="str">
        <f>IFERROR(__xludf.DUMMYFUNCTION("""COMPUTED_VALUE"""),"B")</f>
        <v>B</v>
      </c>
      <c r="F7867" s="315" t="s">
        <v>26</v>
      </c>
      <c r="G7867" s="308"/>
      <c r="H7867" s="308" t="s">
        <v>31050</v>
      </c>
      <c r="I7867" s="310">
        <v>42814.0</v>
      </c>
      <c r="J7867" s="319">
        <f>IFERROR(__xludf.DUMMYFUNCTION("SPLIT(I7867,""/"")"),20.0)</f>
        <v>20</v>
      </c>
      <c r="K7867" s="308">
        <f>IFERROR(__xludf.DUMMYFUNCTION("""COMPUTED_VALUE"""),3.0)</f>
        <v>3</v>
      </c>
      <c r="L7867" s="308">
        <f>IFERROR(__xludf.DUMMYFUNCTION("""COMPUTED_VALUE"""),2017.0)</f>
        <v>2017</v>
      </c>
      <c r="M7867" s="308" t="s">
        <v>30585</v>
      </c>
      <c r="N7867" s="308"/>
      <c r="O7867" s="308"/>
      <c r="P7867" s="308" t="s">
        <v>39958</v>
      </c>
      <c r="Q7867" s="308" t="s">
        <v>39573</v>
      </c>
      <c r="R7867" s="308"/>
      <c r="S7867" s="308" t="s">
        <v>81</v>
      </c>
      <c r="T7867" s="308" t="s">
        <v>75</v>
      </c>
      <c r="U7867" s="308" t="s">
        <v>27</v>
      </c>
      <c r="V7867" s="308"/>
    </row>
    <row r="7868">
      <c r="A7868" s="308"/>
      <c r="B7868" s="308"/>
      <c r="C7868" s="308" t="s">
        <v>31052</v>
      </c>
      <c r="D7868" s="308">
        <f>IFERROR(__xludf.DUMMYFUNCTION("SPLIT(C7868,""-"")"),7888.0)</f>
        <v>7888</v>
      </c>
      <c r="E7868" s="308" t="str">
        <f>IFERROR(__xludf.DUMMYFUNCTION("""COMPUTED_VALUE"""),"B")</f>
        <v>B</v>
      </c>
      <c r="F7868" s="315" t="s">
        <v>26</v>
      </c>
      <c r="G7868" s="308"/>
      <c r="H7868" s="308" t="s">
        <v>31053</v>
      </c>
      <c r="I7868" s="310">
        <v>42814.0</v>
      </c>
      <c r="J7868" s="319">
        <f>IFERROR(__xludf.DUMMYFUNCTION("SPLIT(I7868,""/"")"),20.0)</f>
        <v>20</v>
      </c>
      <c r="K7868" s="308">
        <f>IFERROR(__xludf.DUMMYFUNCTION("""COMPUTED_VALUE"""),3.0)</f>
        <v>3</v>
      </c>
      <c r="L7868" s="308">
        <f>IFERROR(__xludf.DUMMYFUNCTION("""COMPUTED_VALUE"""),2017.0)</f>
        <v>2017</v>
      </c>
      <c r="M7868" s="308" t="s">
        <v>30585</v>
      </c>
      <c r="N7868" s="308"/>
      <c r="O7868" s="308"/>
      <c r="P7868" s="308" t="s">
        <v>39959</v>
      </c>
      <c r="Q7868" s="308" t="s">
        <v>39573</v>
      </c>
      <c r="R7868" s="308"/>
      <c r="S7868" s="308" t="s">
        <v>81</v>
      </c>
      <c r="T7868" s="308" t="s">
        <v>75</v>
      </c>
      <c r="U7868" s="308" t="s">
        <v>27</v>
      </c>
      <c r="V7868" s="308"/>
    </row>
    <row r="7869">
      <c r="A7869" s="308"/>
      <c r="B7869" s="308"/>
      <c r="C7869" s="308" t="s">
        <v>31055</v>
      </c>
      <c r="D7869" s="308">
        <f>IFERROR(__xludf.DUMMYFUNCTION("SPLIT(C7869,""-"")"),7889.0)</f>
        <v>7889</v>
      </c>
      <c r="E7869" s="308" t="str">
        <f>IFERROR(__xludf.DUMMYFUNCTION("""COMPUTED_VALUE"""),"B")</f>
        <v>B</v>
      </c>
      <c r="F7869" s="315" t="s">
        <v>26</v>
      </c>
      <c r="G7869" s="308"/>
      <c r="H7869" s="308" t="s">
        <v>31056</v>
      </c>
      <c r="I7869" s="310">
        <v>42822.0</v>
      </c>
      <c r="J7869" s="319">
        <f>IFERROR(__xludf.DUMMYFUNCTION("SPLIT(I7869,""/"")"),28.0)</f>
        <v>28</v>
      </c>
      <c r="K7869" s="308">
        <f>IFERROR(__xludf.DUMMYFUNCTION("""COMPUTED_VALUE"""),3.0)</f>
        <v>3</v>
      </c>
      <c r="L7869" s="308">
        <f>IFERROR(__xludf.DUMMYFUNCTION("""COMPUTED_VALUE"""),2017.0)</f>
        <v>2017</v>
      </c>
      <c r="M7869" s="308" t="s">
        <v>30539</v>
      </c>
      <c r="N7869" s="308"/>
      <c r="O7869" s="308"/>
      <c r="P7869" s="308" t="s">
        <v>39960</v>
      </c>
      <c r="Q7869" s="308" t="s">
        <v>39573</v>
      </c>
      <c r="R7869" s="308"/>
      <c r="S7869" s="308" t="s">
        <v>81</v>
      </c>
      <c r="T7869" s="308" t="s">
        <v>75</v>
      </c>
      <c r="U7869" s="308" t="s">
        <v>27</v>
      </c>
      <c r="V7869" s="308"/>
    </row>
    <row r="7870">
      <c r="A7870" s="308"/>
      <c r="B7870" s="308"/>
      <c r="C7870" s="308" t="s">
        <v>31058</v>
      </c>
      <c r="D7870" s="308">
        <f>IFERROR(__xludf.DUMMYFUNCTION("SPLIT(C7870,""-"")"),7890.0)</f>
        <v>7890</v>
      </c>
      <c r="E7870" s="308" t="str">
        <f>IFERROR(__xludf.DUMMYFUNCTION("""COMPUTED_VALUE"""),"B")</f>
        <v>B</v>
      </c>
      <c r="F7870" s="315" t="s">
        <v>26</v>
      </c>
      <c r="G7870" s="308"/>
      <c r="H7870" s="308" t="s">
        <v>31059</v>
      </c>
      <c r="I7870" s="310">
        <v>42821.0</v>
      </c>
      <c r="J7870" s="319">
        <f>IFERROR(__xludf.DUMMYFUNCTION("SPLIT(I7870,""/"")"),27.0)</f>
        <v>27</v>
      </c>
      <c r="K7870" s="308">
        <f>IFERROR(__xludf.DUMMYFUNCTION("""COMPUTED_VALUE"""),3.0)</f>
        <v>3</v>
      </c>
      <c r="L7870" s="308">
        <f>IFERROR(__xludf.DUMMYFUNCTION("""COMPUTED_VALUE"""),2017.0)</f>
        <v>2017</v>
      </c>
      <c r="M7870" s="308" t="s">
        <v>31060</v>
      </c>
      <c r="N7870" s="308"/>
      <c r="O7870" s="308"/>
      <c r="P7870" s="308" t="s">
        <v>39961</v>
      </c>
      <c r="Q7870" s="308" t="s">
        <v>39573</v>
      </c>
      <c r="R7870" s="308"/>
      <c r="S7870" s="308" t="s">
        <v>81</v>
      </c>
      <c r="T7870" s="308" t="s">
        <v>75</v>
      </c>
      <c r="U7870" s="308" t="s">
        <v>27</v>
      </c>
      <c r="V7870" s="308"/>
    </row>
    <row r="7871">
      <c r="A7871" s="308"/>
      <c r="B7871" s="308"/>
      <c r="C7871" s="308" t="s">
        <v>31062</v>
      </c>
      <c r="D7871" s="308">
        <f>IFERROR(__xludf.DUMMYFUNCTION("SPLIT(C7871,""-"")"),7891.0)</f>
        <v>7891</v>
      </c>
      <c r="E7871" s="308" t="str">
        <f>IFERROR(__xludf.DUMMYFUNCTION("""COMPUTED_VALUE"""),"B")</f>
        <v>B</v>
      </c>
      <c r="F7871" s="315" t="s">
        <v>26</v>
      </c>
      <c r="G7871" s="308"/>
      <c r="H7871" s="308" t="s">
        <v>31063</v>
      </c>
      <c r="I7871" s="310">
        <v>42829.0</v>
      </c>
      <c r="J7871" s="319">
        <f>IFERROR(__xludf.DUMMYFUNCTION("SPLIT(I7871,""/"")"),4.0)</f>
        <v>4</v>
      </c>
      <c r="K7871" s="308">
        <f>IFERROR(__xludf.DUMMYFUNCTION("""COMPUTED_VALUE"""),4.0)</f>
        <v>4</v>
      </c>
      <c r="L7871" s="308">
        <f>IFERROR(__xludf.DUMMYFUNCTION("""COMPUTED_VALUE"""),2017.0)</f>
        <v>2017</v>
      </c>
      <c r="M7871" s="308" t="s">
        <v>31064</v>
      </c>
      <c r="N7871" s="308"/>
      <c r="O7871" s="308"/>
      <c r="P7871" s="308" t="s">
        <v>39962</v>
      </c>
      <c r="Q7871" s="308" t="s">
        <v>39573</v>
      </c>
      <c r="R7871" s="308"/>
      <c r="S7871" s="308" t="s">
        <v>81</v>
      </c>
      <c r="T7871" s="308" t="s">
        <v>75</v>
      </c>
      <c r="U7871" s="308" t="s">
        <v>27</v>
      </c>
      <c r="V7871" s="308"/>
    </row>
    <row r="7872">
      <c r="A7872" s="308"/>
      <c r="B7872" s="308"/>
      <c r="C7872" s="308" t="s">
        <v>31066</v>
      </c>
      <c r="D7872" s="308">
        <f>IFERROR(__xludf.DUMMYFUNCTION("SPLIT(C7872,""-"")"),7892.0)</f>
        <v>7892</v>
      </c>
      <c r="E7872" s="308" t="str">
        <f>IFERROR(__xludf.DUMMYFUNCTION("""COMPUTED_VALUE"""),"B")</f>
        <v>B</v>
      </c>
      <c r="F7872" s="315" t="s">
        <v>26</v>
      </c>
      <c r="G7872" s="308"/>
      <c r="H7872" s="308" t="s">
        <v>31067</v>
      </c>
      <c r="I7872" s="310">
        <v>42829.0</v>
      </c>
      <c r="J7872" s="319">
        <f>IFERROR(__xludf.DUMMYFUNCTION("SPLIT(I7872,""/"")"),4.0)</f>
        <v>4</v>
      </c>
      <c r="K7872" s="308">
        <f>IFERROR(__xludf.DUMMYFUNCTION("""COMPUTED_VALUE"""),4.0)</f>
        <v>4</v>
      </c>
      <c r="L7872" s="308">
        <f>IFERROR(__xludf.DUMMYFUNCTION("""COMPUTED_VALUE"""),2017.0)</f>
        <v>2017</v>
      </c>
      <c r="M7872" s="308" t="s">
        <v>31068</v>
      </c>
      <c r="N7872" s="308"/>
      <c r="O7872" s="308"/>
      <c r="P7872" s="308" t="s">
        <v>39963</v>
      </c>
      <c r="Q7872" s="308" t="s">
        <v>39573</v>
      </c>
      <c r="R7872" s="308"/>
      <c r="S7872" s="308" t="s">
        <v>81</v>
      </c>
      <c r="T7872" s="308" t="s">
        <v>75</v>
      </c>
      <c r="U7872" s="308" t="s">
        <v>27</v>
      </c>
      <c r="V7872" s="308"/>
    </row>
    <row r="7873">
      <c r="A7873" s="308"/>
      <c r="B7873" s="308"/>
      <c r="C7873" s="308" t="s">
        <v>31070</v>
      </c>
      <c r="D7873" s="308">
        <f>IFERROR(__xludf.DUMMYFUNCTION("SPLIT(C7873,""-"")"),7893.0)</f>
        <v>7893</v>
      </c>
      <c r="E7873" s="308" t="str">
        <f>IFERROR(__xludf.DUMMYFUNCTION("""COMPUTED_VALUE"""),"B")</f>
        <v>B</v>
      </c>
      <c r="F7873" s="315" t="s">
        <v>26</v>
      </c>
      <c r="G7873" s="308"/>
      <c r="H7873" s="308" t="s">
        <v>30525</v>
      </c>
      <c r="I7873" s="310">
        <v>42829.0</v>
      </c>
      <c r="J7873" s="319">
        <f>IFERROR(__xludf.DUMMYFUNCTION("SPLIT(I7873,""/"")"),4.0)</f>
        <v>4</v>
      </c>
      <c r="K7873" s="308">
        <f>IFERROR(__xludf.DUMMYFUNCTION("""COMPUTED_VALUE"""),4.0)</f>
        <v>4</v>
      </c>
      <c r="L7873" s="308">
        <f>IFERROR(__xludf.DUMMYFUNCTION("""COMPUTED_VALUE"""),2017.0)</f>
        <v>2017</v>
      </c>
      <c r="M7873" s="308" t="s">
        <v>31068</v>
      </c>
      <c r="N7873" s="308"/>
      <c r="O7873" s="308"/>
      <c r="P7873" s="308" t="s">
        <v>39859</v>
      </c>
      <c r="Q7873" s="308" t="s">
        <v>39573</v>
      </c>
      <c r="R7873" s="308"/>
      <c r="S7873" s="308" t="s">
        <v>81</v>
      </c>
      <c r="T7873" s="308" t="s">
        <v>75</v>
      </c>
      <c r="U7873" s="308" t="s">
        <v>27</v>
      </c>
      <c r="V7873" s="308"/>
    </row>
    <row r="7874">
      <c r="A7874" s="308"/>
      <c r="B7874" s="308"/>
      <c r="C7874" s="308" t="s">
        <v>31071</v>
      </c>
      <c r="D7874" s="308">
        <f>IFERROR(__xludf.DUMMYFUNCTION("SPLIT(C7874,""-"")"),7894.0)</f>
        <v>7894</v>
      </c>
      <c r="E7874" s="308" t="str">
        <f>IFERROR(__xludf.DUMMYFUNCTION("""COMPUTED_VALUE"""),"B")</f>
        <v>B</v>
      </c>
      <c r="F7874" s="315" t="s">
        <v>26</v>
      </c>
      <c r="G7874" s="308"/>
      <c r="H7874" s="308" t="s">
        <v>31072</v>
      </c>
      <c r="I7874" s="310">
        <v>42829.0</v>
      </c>
      <c r="J7874" s="319">
        <f>IFERROR(__xludf.DUMMYFUNCTION("SPLIT(I7874,""/"")"),4.0)</f>
        <v>4</v>
      </c>
      <c r="K7874" s="308">
        <f>IFERROR(__xludf.DUMMYFUNCTION("""COMPUTED_VALUE"""),4.0)</f>
        <v>4</v>
      </c>
      <c r="L7874" s="308">
        <f>IFERROR(__xludf.DUMMYFUNCTION("""COMPUTED_VALUE"""),2017.0)</f>
        <v>2017</v>
      </c>
      <c r="M7874" s="308" t="s">
        <v>31064</v>
      </c>
      <c r="N7874" s="308"/>
      <c r="O7874" s="308"/>
      <c r="P7874" s="308" t="s">
        <v>39964</v>
      </c>
      <c r="Q7874" s="308" t="s">
        <v>39573</v>
      </c>
      <c r="R7874" s="308"/>
      <c r="S7874" s="308" t="s">
        <v>81</v>
      </c>
      <c r="T7874" s="308" t="s">
        <v>75</v>
      </c>
      <c r="U7874" s="308" t="s">
        <v>27</v>
      </c>
      <c r="V7874" s="308"/>
    </row>
    <row r="7875">
      <c r="A7875" s="308"/>
      <c r="B7875" s="308"/>
      <c r="C7875" s="308" t="s">
        <v>31074</v>
      </c>
      <c r="D7875" s="308">
        <f>IFERROR(__xludf.DUMMYFUNCTION("SPLIT(C7875,""-"")"),7895.0)</f>
        <v>7895</v>
      </c>
      <c r="E7875" s="308" t="str">
        <f>IFERROR(__xludf.DUMMYFUNCTION("""COMPUTED_VALUE"""),"B")</f>
        <v>B</v>
      </c>
      <c r="F7875" s="315" t="s">
        <v>26</v>
      </c>
      <c r="G7875" s="308"/>
      <c r="H7875" s="308" t="s">
        <v>31075</v>
      </c>
      <c r="I7875" s="310">
        <v>42829.0</v>
      </c>
      <c r="J7875" s="319">
        <f>IFERROR(__xludf.DUMMYFUNCTION("SPLIT(I7875,""/"")"),4.0)</f>
        <v>4</v>
      </c>
      <c r="K7875" s="308">
        <f>IFERROR(__xludf.DUMMYFUNCTION("""COMPUTED_VALUE"""),4.0)</f>
        <v>4</v>
      </c>
      <c r="L7875" s="308">
        <f>IFERROR(__xludf.DUMMYFUNCTION("""COMPUTED_VALUE"""),2017.0)</f>
        <v>2017</v>
      </c>
      <c r="M7875" s="308" t="s">
        <v>31064</v>
      </c>
      <c r="N7875" s="308"/>
      <c r="O7875" s="308"/>
      <c r="P7875" s="308" t="s">
        <v>39965</v>
      </c>
      <c r="Q7875" s="308" t="s">
        <v>39573</v>
      </c>
      <c r="R7875" s="308"/>
      <c r="S7875" s="308" t="s">
        <v>81</v>
      </c>
      <c r="T7875" s="308" t="s">
        <v>75</v>
      </c>
      <c r="U7875" s="308" t="s">
        <v>27</v>
      </c>
      <c r="V7875" s="308"/>
    </row>
    <row r="7876">
      <c r="A7876" s="308"/>
      <c r="B7876" s="308"/>
      <c r="C7876" s="308" t="s">
        <v>31077</v>
      </c>
      <c r="D7876" s="308">
        <f>IFERROR(__xludf.DUMMYFUNCTION("SPLIT(C7876,""-"")"),7896.0)</f>
        <v>7896</v>
      </c>
      <c r="E7876" s="308" t="str">
        <f>IFERROR(__xludf.DUMMYFUNCTION("""COMPUTED_VALUE"""),"B")</f>
        <v>B</v>
      </c>
      <c r="F7876" s="315" t="s">
        <v>26</v>
      </c>
      <c r="G7876" s="308"/>
      <c r="H7876" s="308" t="s">
        <v>31078</v>
      </c>
      <c r="I7876" s="310">
        <v>42829.0</v>
      </c>
      <c r="J7876" s="319">
        <f>IFERROR(__xludf.DUMMYFUNCTION("SPLIT(I7876,""/"")"),4.0)</f>
        <v>4</v>
      </c>
      <c r="K7876" s="308">
        <f>IFERROR(__xludf.DUMMYFUNCTION("""COMPUTED_VALUE"""),4.0)</f>
        <v>4</v>
      </c>
      <c r="L7876" s="308">
        <f>IFERROR(__xludf.DUMMYFUNCTION("""COMPUTED_VALUE"""),2017.0)</f>
        <v>2017</v>
      </c>
      <c r="M7876" s="308" t="s">
        <v>31064</v>
      </c>
      <c r="N7876" s="308"/>
      <c r="O7876" s="308"/>
      <c r="P7876" s="308" t="s">
        <v>39966</v>
      </c>
      <c r="Q7876" s="308" t="s">
        <v>39573</v>
      </c>
      <c r="R7876" s="308"/>
      <c r="S7876" s="308" t="s">
        <v>81</v>
      </c>
      <c r="T7876" s="308" t="s">
        <v>75</v>
      </c>
      <c r="U7876" s="308" t="s">
        <v>27</v>
      </c>
      <c r="V7876" s="308"/>
    </row>
    <row r="7877">
      <c r="A7877" s="308"/>
      <c r="B7877" s="308"/>
      <c r="C7877" s="308" t="s">
        <v>31080</v>
      </c>
      <c r="D7877" s="308">
        <f>IFERROR(__xludf.DUMMYFUNCTION("SPLIT(C7877,""-"")"),7897.0)</f>
        <v>7897</v>
      </c>
      <c r="E7877" s="308" t="str">
        <f>IFERROR(__xludf.DUMMYFUNCTION("""COMPUTED_VALUE"""),"B")</f>
        <v>B</v>
      </c>
      <c r="F7877" s="315" t="s">
        <v>26</v>
      </c>
      <c r="G7877" s="308"/>
      <c r="H7877" s="308" t="s">
        <v>31081</v>
      </c>
      <c r="I7877" s="310">
        <v>42829.0</v>
      </c>
      <c r="J7877" s="319">
        <f>IFERROR(__xludf.DUMMYFUNCTION("SPLIT(I7877,""/"")"),4.0)</f>
        <v>4</v>
      </c>
      <c r="K7877" s="308">
        <f>IFERROR(__xludf.DUMMYFUNCTION("""COMPUTED_VALUE"""),4.0)</f>
        <v>4</v>
      </c>
      <c r="L7877" s="308">
        <f>IFERROR(__xludf.DUMMYFUNCTION("""COMPUTED_VALUE"""),2017.0)</f>
        <v>2017</v>
      </c>
      <c r="M7877" s="308" t="s">
        <v>31064</v>
      </c>
      <c r="N7877" s="308"/>
      <c r="O7877" s="308"/>
      <c r="P7877" s="308" t="s">
        <v>39967</v>
      </c>
      <c r="Q7877" s="308" t="s">
        <v>39573</v>
      </c>
      <c r="R7877" s="308"/>
      <c r="S7877" s="308" t="s">
        <v>81</v>
      </c>
      <c r="T7877" s="308" t="s">
        <v>75</v>
      </c>
      <c r="U7877" s="308" t="s">
        <v>27</v>
      </c>
      <c r="V7877" s="308"/>
    </row>
    <row r="7878">
      <c r="A7878" s="308"/>
      <c r="B7878" s="308"/>
      <c r="C7878" s="308" t="s">
        <v>31083</v>
      </c>
      <c r="D7878" s="308">
        <f>IFERROR(__xludf.DUMMYFUNCTION("SPLIT(C7878,""-"")"),7898.0)</f>
        <v>7898</v>
      </c>
      <c r="E7878" s="308" t="str">
        <f>IFERROR(__xludf.DUMMYFUNCTION("""COMPUTED_VALUE"""),"B")</f>
        <v>B</v>
      </c>
      <c r="F7878" s="315" t="s">
        <v>26</v>
      </c>
      <c r="G7878" s="308"/>
      <c r="H7878" s="308" t="s">
        <v>39968</v>
      </c>
      <c r="I7878" s="310">
        <v>42829.0</v>
      </c>
      <c r="J7878" s="319">
        <f>IFERROR(__xludf.DUMMYFUNCTION("SPLIT(I7878,""/"")"),4.0)</f>
        <v>4</v>
      </c>
      <c r="K7878" s="308">
        <f>IFERROR(__xludf.DUMMYFUNCTION("""COMPUTED_VALUE"""),4.0)</f>
        <v>4</v>
      </c>
      <c r="L7878" s="308">
        <f>IFERROR(__xludf.DUMMYFUNCTION("""COMPUTED_VALUE"""),2017.0)</f>
        <v>2017</v>
      </c>
      <c r="M7878" s="308" t="s">
        <v>31064</v>
      </c>
      <c r="N7878" s="308"/>
      <c r="O7878" s="308"/>
      <c r="P7878" s="308" t="s">
        <v>39969</v>
      </c>
      <c r="Q7878" s="308" t="s">
        <v>39573</v>
      </c>
      <c r="R7878" s="308"/>
      <c r="S7878" s="308" t="s">
        <v>81</v>
      </c>
      <c r="T7878" s="308" t="s">
        <v>75</v>
      </c>
      <c r="U7878" s="308" t="s">
        <v>27</v>
      </c>
      <c r="V7878" s="308"/>
    </row>
    <row r="7879">
      <c r="A7879" s="308"/>
      <c r="B7879" s="308"/>
      <c r="C7879" s="308" t="s">
        <v>31086</v>
      </c>
      <c r="D7879" s="308">
        <f>IFERROR(__xludf.DUMMYFUNCTION("SPLIT(C7879,""-"")"),7899.0)</f>
        <v>7899</v>
      </c>
      <c r="E7879" s="308" t="str">
        <f>IFERROR(__xludf.DUMMYFUNCTION("""COMPUTED_VALUE"""),"B")</f>
        <v>B</v>
      </c>
      <c r="F7879" s="315" t="s">
        <v>26</v>
      </c>
      <c r="G7879" s="308"/>
      <c r="H7879" s="308" t="s">
        <v>31087</v>
      </c>
      <c r="I7879" s="310">
        <v>42829.0</v>
      </c>
      <c r="J7879" s="319">
        <f>IFERROR(__xludf.DUMMYFUNCTION("SPLIT(I7879,""/"")"),4.0)</f>
        <v>4</v>
      </c>
      <c r="K7879" s="308">
        <f>IFERROR(__xludf.DUMMYFUNCTION("""COMPUTED_VALUE"""),4.0)</f>
        <v>4</v>
      </c>
      <c r="L7879" s="308">
        <f>IFERROR(__xludf.DUMMYFUNCTION("""COMPUTED_VALUE"""),2017.0)</f>
        <v>2017</v>
      </c>
      <c r="M7879" s="308" t="s">
        <v>31064</v>
      </c>
      <c r="N7879" s="308"/>
      <c r="O7879" s="308"/>
      <c r="P7879" s="308" t="s">
        <v>39970</v>
      </c>
      <c r="Q7879" s="308" t="s">
        <v>39573</v>
      </c>
      <c r="R7879" s="308"/>
      <c r="S7879" s="308" t="s">
        <v>81</v>
      </c>
      <c r="T7879" s="308" t="s">
        <v>75</v>
      </c>
      <c r="U7879" s="308" t="s">
        <v>27</v>
      </c>
      <c r="V7879" s="308"/>
    </row>
    <row r="7880">
      <c r="A7880" s="308"/>
      <c r="B7880" s="308"/>
      <c r="C7880" s="308" t="s">
        <v>31089</v>
      </c>
      <c r="D7880" s="308">
        <f>IFERROR(__xludf.DUMMYFUNCTION("SPLIT(C7880,""-"")"),7900.0)</f>
        <v>7900</v>
      </c>
      <c r="E7880" s="308" t="str">
        <f>IFERROR(__xludf.DUMMYFUNCTION("""COMPUTED_VALUE"""),"B")</f>
        <v>B</v>
      </c>
      <c r="F7880" s="315" t="s">
        <v>26</v>
      </c>
      <c r="G7880" s="308"/>
      <c r="H7880" s="308" t="s">
        <v>31090</v>
      </c>
      <c r="I7880" s="310">
        <v>42843.0</v>
      </c>
      <c r="J7880" s="319">
        <f>IFERROR(__xludf.DUMMYFUNCTION("SPLIT(I7880,""/"")"),18.0)</f>
        <v>18</v>
      </c>
      <c r="K7880" s="308">
        <f>IFERROR(__xludf.DUMMYFUNCTION("""COMPUTED_VALUE"""),4.0)</f>
        <v>4</v>
      </c>
      <c r="L7880" s="308">
        <f>IFERROR(__xludf.DUMMYFUNCTION("""COMPUTED_VALUE"""),2017.0)</f>
        <v>2017</v>
      </c>
      <c r="M7880" s="308" t="s">
        <v>31091</v>
      </c>
      <c r="N7880" s="308"/>
      <c r="O7880" s="308"/>
      <c r="P7880" s="308" t="s">
        <v>39971</v>
      </c>
      <c r="Q7880" s="308" t="s">
        <v>39573</v>
      </c>
      <c r="R7880" s="308"/>
      <c r="S7880" s="308" t="s">
        <v>81</v>
      </c>
      <c r="T7880" s="308" t="s">
        <v>75</v>
      </c>
      <c r="U7880" s="308" t="s">
        <v>27</v>
      </c>
      <c r="V7880" s="308"/>
    </row>
    <row r="7881">
      <c r="A7881" s="308"/>
      <c r="B7881" s="308"/>
      <c r="C7881" s="308" t="s">
        <v>31093</v>
      </c>
      <c r="D7881" s="308">
        <f>IFERROR(__xludf.DUMMYFUNCTION("SPLIT(C7881,""-"")"),7901.0)</f>
        <v>7901</v>
      </c>
      <c r="E7881" s="308" t="str">
        <f>IFERROR(__xludf.DUMMYFUNCTION("""COMPUTED_VALUE"""),"B")</f>
        <v>B</v>
      </c>
      <c r="F7881" s="315" t="s">
        <v>26</v>
      </c>
      <c r="G7881" s="308"/>
      <c r="H7881" s="308" t="s">
        <v>31094</v>
      </c>
      <c r="I7881" s="310">
        <v>42843.0</v>
      </c>
      <c r="J7881" s="319">
        <f>IFERROR(__xludf.DUMMYFUNCTION("SPLIT(I7881,""/"")"),18.0)</f>
        <v>18</v>
      </c>
      <c r="K7881" s="308">
        <f>IFERROR(__xludf.DUMMYFUNCTION("""COMPUTED_VALUE"""),4.0)</f>
        <v>4</v>
      </c>
      <c r="L7881" s="308">
        <f>IFERROR(__xludf.DUMMYFUNCTION("""COMPUTED_VALUE"""),2017.0)</f>
        <v>2017</v>
      </c>
      <c r="M7881" s="308" t="s">
        <v>31091</v>
      </c>
      <c r="N7881" s="308"/>
      <c r="O7881" s="308"/>
      <c r="P7881" s="308" t="s">
        <v>39972</v>
      </c>
      <c r="Q7881" s="308" t="s">
        <v>39573</v>
      </c>
      <c r="R7881" s="308"/>
      <c r="S7881" s="308" t="s">
        <v>81</v>
      </c>
      <c r="T7881" s="308" t="s">
        <v>75</v>
      </c>
      <c r="U7881" s="308" t="s">
        <v>27</v>
      </c>
      <c r="V7881" s="308"/>
    </row>
    <row r="7882">
      <c r="A7882" s="308"/>
      <c r="B7882" s="308"/>
      <c r="C7882" s="308" t="s">
        <v>31096</v>
      </c>
      <c r="D7882" s="308">
        <f>IFERROR(__xludf.DUMMYFUNCTION("SPLIT(C7882,""-"")"),7902.0)</f>
        <v>7902</v>
      </c>
      <c r="E7882" s="308" t="str">
        <f>IFERROR(__xludf.DUMMYFUNCTION("""COMPUTED_VALUE"""),"B")</f>
        <v>B</v>
      </c>
      <c r="F7882" s="315" t="s">
        <v>26</v>
      </c>
      <c r="G7882" s="308"/>
      <c r="H7882" s="308" t="s">
        <v>31097</v>
      </c>
      <c r="I7882" s="310">
        <v>42838.0</v>
      </c>
      <c r="J7882" s="319">
        <f>IFERROR(__xludf.DUMMYFUNCTION("SPLIT(I7882,""/"")"),13.0)</f>
        <v>13</v>
      </c>
      <c r="K7882" s="308">
        <f>IFERROR(__xludf.DUMMYFUNCTION("""COMPUTED_VALUE"""),4.0)</f>
        <v>4</v>
      </c>
      <c r="L7882" s="308">
        <f>IFERROR(__xludf.DUMMYFUNCTION("""COMPUTED_VALUE"""),2017.0)</f>
        <v>2017</v>
      </c>
      <c r="M7882" s="308" t="s">
        <v>31098</v>
      </c>
      <c r="N7882" s="308"/>
      <c r="O7882" s="308"/>
      <c r="P7882" s="308" t="s">
        <v>39973</v>
      </c>
      <c r="Q7882" s="308" t="s">
        <v>39573</v>
      </c>
      <c r="R7882" s="308"/>
      <c r="S7882" s="308" t="s">
        <v>81</v>
      </c>
      <c r="T7882" s="308" t="s">
        <v>75</v>
      </c>
      <c r="U7882" s="308" t="s">
        <v>27</v>
      </c>
      <c r="V7882" s="308"/>
    </row>
    <row r="7883">
      <c r="A7883" s="308"/>
      <c r="B7883" s="308"/>
      <c r="C7883" s="308" t="s">
        <v>31100</v>
      </c>
      <c r="D7883" s="308">
        <f>IFERROR(__xludf.DUMMYFUNCTION("SPLIT(C7883,""-"")"),7903.0)</f>
        <v>7903</v>
      </c>
      <c r="E7883" s="308" t="str">
        <f>IFERROR(__xludf.DUMMYFUNCTION("""COMPUTED_VALUE"""),"B")</f>
        <v>B</v>
      </c>
      <c r="F7883" s="315" t="s">
        <v>26</v>
      </c>
      <c r="G7883" s="308"/>
      <c r="H7883" s="308" t="s">
        <v>31101</v>
      </c>
      <c r="I7883" s="310">
        <v>42838.0</v>
      </c>
      <c r="J7883" s="319">
        <f>IFERROR(__xludf.DUMMYFUNCTION("SPLIT(I7883,""/"")"),13.0)</f>
        <v>13</v>
      </c>
      <c r="K7883" s="308">
        <f>IFERROR(__xludf.DUMMYFUNCTION("""COMPUTED_VALUE"""),4.0)</f>
        <v>4</v>
      </c>
      <c r="L7883" s="308">
        <f>IFERROR(__xludf.DUMMYFUNCTION("""COMPUTED_VALUE"""),2017.0)</f>
        <v>2017</v>
      </c>
      <c r="M7883" s="308" t="s">
        <v>31098</v>
      </c>
      <c r="N7883" s="308"/>
      <c r="O7883" s="308"/>
      <c r="P7883" s="308" t="s">
        <v>39974</v>
      </c>
      <c r="Q7883" s="308" t="s">
        <v>39573</v>
      </c>
      <c r="R7883" s="308"/>
      <c r="S7883" s="308" t="s">
        <v>81</v>
      </c>
      <c r="T7883" s="308" t="s">
        <v>75</v>
      </c>
      <c r="U7883" s="308" t="s">
        <v>27</v>
      </c>
      <c r="V7883" s="308"/>
    </row>
    <row r="7884">
      <c r="A7884" s="308"/>
      <c r="B7884" s="308"/>
      <c r="C7884" s="308" t="s">
        <v>31103</v>
      </c>
      <c r="D7884" s="308">
        <f>IFERROR(__xludf.DUMMYFUNCTION("SPLIT(C7884,""-"")"),7904.0)</f>
        <v>7904</v>
      </c>
      <c r="E7884" s="308" t="str">
        <f>IFERROR(__xludf.DUMMYFUNCTION("""COMPUTED_VALUE"""),"B")</f>
        <v>B</v>
      </c>
      <c r="F7884" s="315" t="s">
        <v>26</v>
      </c>
      <c r="G7884" s="308"/>
      <c r="H7884" s="308" t="s">
        <v>31104</v>
      </c>
      <c r="I7884" s="310">
        <v>42899.0</v>
      </c>
      <c r="J7884" s="319">
        <f>IFERROR(__xludf.DUMMYFUNCTION("SPLIT(I7884,""/"")"),13.0)</f>
        <v>13</v>
      </c>
      <c r="K7884" s="308">
        <f>IFERROR(__xludf.DUMMYFUNCTION("""COMPUTED_VALUE"""),6.0)</f>
        <v>6</v>
      </c>
      <c r="L7884" s="308">
        <f>IFERROR(__xludf.DUMMYFUNCTION("""COMPUTED_VALUE"""),2017.0)</f>
        <v>2017</v>
      </c>
      <c r="M7884" s="308" t="s">
        <v>31105</v>
      </c>
      <c r="N7884" s="308"/>
      <c r="O7884" s="308"/>
      <c r="P7884" s="308" t="s">
        <v>39975</v>
      </c>
      <c r="Q7884" s="308" t="s">
        <v>39573</v>
      </c>
      <c r="R7884" s="308"/>
      <c r="S7884" s="308" t="s">
        <v>81</v>
      </c>
      <c r="T7884" s="308" t="s">
        <v>75</v>
      </c>
      <c r="U7884" s="308" t="s">
        <v>27</v>
      </c>
      <c r="V7884" s="308"/>
    </row>
    <row r="7885">
      <c r="A7885" s="308"/>
      <c r="B7885" s="308"/>
      <c r="C7885" s="308" t="s">
        <v>31107</v>
      </c>
      <c r="D7885" s="308">
        <f>IFERROR(__xludf.DUMMYFUNCTION("SPLIT(C7885,""-"")"),7905.0)</f>
        <v>7905</v>
      </c>
      <c r="E7885" s="308" t="str">
        <f>IFERROR(__xludf.DUMMYFUNCTION("""COMPUTED_VALUE"""),"B")</f>
        <v>B</v>
      </c>
      <c r="F7885" s="315" t="s">
        <v>26</v>
      </c>
      <c r="G7885" s="308"/>
      <c r="H7885" s="308" t="s">
        <v>31108</v>
      </c>
      <c r="I7885" s="310">
        <v>42904.0</v>
      </c>
      <c r="J7885" s="319">
        <f>IFERROR(__xludf.DUMMYFUNCTION("SPLIT(I7885,""/"")"),18.0)</f>
        <v>18</v>
      </c>
      <c r="K7885" s="308">
        <f>IFERROR(__xludf.DUMMYFUNCTION("""COMPUTED_VALUE"""),6.0)</f>
        <v>6</v>
      </c>
      <c r="L7885" s="308">
        <f>IFERROR(__xludf.DUMMYFUNCTION("""COMPUTED_VALUE"""),2017.0)</f>
        <v>2017</v>
      </c>
      <c r="M7885" s="308" t="s">
        <v>31109</v>
      </c>
      <c r="N7885" s="308"/>
      <c r="O7885" s="308"/>
      <c r="P7885" s="308" t="s">
        <v>39976</v>
      </c>
      <c r="Q7885" s="308" t="s">
        <v>39573</v>
      </c>
      <c r="R7885" s="308"/>
      <c r="S7885" s="308" t="s">
        <v>81</v>
      </c>
      <c r="T7885" s="308" t="s">
        <v>75</v>
      </c>
      <c r="U7885" s="308" t="s">
        <v>27</v>
      </c>
      <c r="V7885" s="308"/>
    </row>
    <row r="7886">
      <c r="A7886" s="308"/>
      <c r="B7886" s="308"/>
      <c r="C7886" s="308" t="s">
        <v>31111</v>
      </c>
      <c r="D7886" s="308">
        <f>IFERROR(__xludf.DUMMYFUNCTION("SPLIT(C7886,""-"")"),7906.0)</f>
        <v>7906</v>
      </c>
      <c r="E7886" s="308" t="str">
        <f>IFERROR(__xludf.DUMMYFUNCTION("""COMPUTED_VALUE"""),"B")</f>
        <v>B</v>
      </c>
      <c r="F7886" s="315" t="s">
        <v>26</v>
      </c>
      <c r="G7886" s="308"/>
      <c r="H7886" s="308" t="s">
        <v>31112</v>
      </c>
      <c r="I7886" s="310">
        <v>42904.0</v>
      </c>
      <c r="J7886" s="319">
        <f>IFERROR(__xludf.DUMMYFUNCTION("SPLIT(I7886,""/"")"),18.0)</f>
        <v>18</v>
      </c>
      <c r="K7886" s="308">
        <f>IFERROR(__xludf.DUMMYFUNCTION("""COMPUTED_VALUE"""),6.0)</f>
        <v>6</v>
      </c>
      <c r="L7886" s="308">
        <f>IFERROR(__xludf.DUMMYFUNCTION("""COMPUTED_VALUE"""),2017.0)</f>
        <v>2017</v>
      </c>
      <c r="M7886" s="308" t="s">
        <v>31109</v>
      </c>
      <c r="N7886" s="308"/>
      <c r="O7886" s="308"/>
      <c r="P7886" s="308" t="s">
        <v>39977</v>
      </c>
      <c r="Q7886" s="308" t="s">
        <v>39573</v>
      </c>
      <c r="R7886" s="308"/>
      <c r="S7886" s="308" t="s">
        <v>81</v>
      </c>
      <c r="T7886" s="308" t="s">
        <v>75</v>
      </c>
      <c r="U7886" s="308" t="s">
        <v>27</v>
      </c>
      <c r="V7886" s="308"/>
    </row>
    <row r="7887">
      <c r="A7887" s="308"/>
      <c r="B7887" s="308"/>
      <c r="C7887" s="308" t="s">
        <v>31114</v>
      </c>
      <c r="D7887" s="308">
        <f>IFERROR(__xludf.DUMMYFUNCTION("SPLIT(C7887,""-"")"),7907.0)</f>
        <v>7907</v>
      </c>
      <c r="E7887" s="308" t="str">
        <f>IFERROR(__xludf.DUMMYFUNCTION("""COMPUTED_VALUE"""),"B")</f>
        <v>B</v>
      </c>
      <c r="F7887" s="315" t="s">
        <v>26</v>
      </c>
      <c r="G7887" s="308"/>
      <c r="H7887" s="308" t="s">
        <v>31115</v>
      </c>
      <c r="I7887" s="310">
        <v>42903.0</v>
      </c>
      <c r="J7887" s="319">
        <f>IFERROR(__xludf.DUMMYFUNCTION("SPLIT(I7887,""/"")"),17.0)</f>
        <v>17</v>
      </c>
      <c r="K7887" s="308">
        <f>IFERROR(__xludf.DUMMYFUNCTION("""COMPUTED_VALUE"""),6.0)</f>
        <v>6</v>
      </c>
      <c r="L7887" s="308">
        <f>IFERROR(__xludf.DUMMYFUNCTION("""COMPUTED_VALUE"""),2017.0)</f>
        <v>2017</v>
      </c>
      <c r="M7887" s="308" t="s">
        <v>31116</v>
      </c>
      <c r="N7887" s="308"/>
      <c r="O7887" s="308"/>
      <c r="P7887" s="308" t="s">
        <v>39978</v>
      </c>
      <c r="Q7887" s="308"/>
      <c r="R7887" s="308"/>
      <c r="S7887" s="308" t="s">
        <v>81</v>
      </c>
      <c r="T7887" s="308" t="s">
        <v>75</v>
      </c>
      <c r="U7887" s="308" t="s">
        <v>27</v>
      </c>
      <c r="V7887" s="308"/>
    </row>
    <row r="7888">
      <c r="A7888" s="308"/>
      <c r="B7888" s="308"/>
      <c r="C7888" s="308" t="s">
        <v>31118</v>
      </c>
      <c r="D7888" s="308">
        <f>IFERROR(__xludf.DUMMYFUNCTION("SPLIT(C7888,""-"")"),7908.0)</f>
        <v>7908</v>
      </c>
      <c r="E7888" s="308" t="str">
        <f>IFERROR(__xludf.DUMMYFUNCTION("""COMPUTED_VALUE"""),"B")</f>
        <v>B</v>
      </c>
      <c r="F7888" s="315" t="s">
        <v>26</v>
      </c>
      <c r="G7888" s="308"/>
      <c r="H7888" s="308" t="s">
        <v>31119</v>
      </c>
      <c r="I7888" s="310">
        <v>42902.0</v>
      </c>
      <c r="J7888" s="319">
        <f>IFERROR(__xludf.DUMMYFUNCTION("SPLIT(I7888,""/"")"),16.0)</f>
        <v>16</v>
      </c>
      <c r="K7888" s="308">
        <f>IFERROR(__xludf.DUMMYFUNCTION("""COMPUTED_VALUE"""),6.0)</f>
        <v>6</v>
      </c>
      <c r="L7888" s="308">
        <f>IFERROR(__xludf.DUMMYFUNCTION("""COMPUTED_VALUE"""),2017.0)</f>
        <v>2017</v>
      </c>
      <c r="M7888" s="308" t="s">
        <v>30504</v>
      </c>
      <c r="N7888" s="308"/>
      <c r="O7888" s="308"/>
      <c r="P7888" s="308" t="s">
        <v>39979</v>
      </c>
      <c r="Q7888" s="308"/>
      <c r="R7888" s="308"/>
      <c r="S7888" s="308" t="s">
        <v>81</v>
      </c>
      <c r="T7888" s="308" t="s">
        <v>75</v>
      </c>
      <c r="U7888" s="308" t="s">
        <v>27</v>
      </c>
      <c r="V7888" s="308"/>
    </row>
    <row r="7889">
      <c r="A7889" s="308"/>
      <c r="B7889" s="308"/>
      <c r="C7889" s="308" t="s">
        <v>31121</v>
      </c>
      <c r="D7889" s="308">
        <f>IFERROR(__xludf.DUMMYFUNCTION("SPLIT(C7889,""-"")"),7909.0)</f>
        <v>7909</v>
      </c>
      <c r="E7889" s="308" t="str">
        <f>IFERROR(__xludf.DUMMYFUNCTION("""COMPUTED_VALUE"""),"B")</f>
        <v>B</v>
      </c>
      <c r="F7889" s="315" t="s">
        <v>26</v>
      </c>
      <c r="G7889" s="308"/>
      <c r="H7889" s="308" t="s">
        <v>31122</v>
      </c>
      <c r="I7889" s="310">
        <v>42911.0</v>
      </c>
      <c r="J7889" s="319">
        <f>IFERROR(__xludf.DUMMYFUNCTION("SPLIT(I7889,""/"")"),25.0)</f>
        <v>25</v>
      </c>
      <c r="K7889" s="308">
        <f>IFERROR(__xludf.DUMMYFUNCTION("""COMPUTED_VALUE"""),6.0)</f>
        <v>6</v>
      </c>
      <c r="L7889" s="308">
        <f>IFERROR(__xludf.DUMMYFUNCTION("""COMPUTED_VALUE"""),2017.0)</f>
        <v>2017</v>
      </c>
      <c r="M7889" s="308" t="s">
        <v>31123</v>
      </c>
      <c r="N7889" s="308"/>
      <c r="O7889" s="308"/>
      <c r="P7889" s="308" t="s">
        <v>39980</v>
      </c>
      <c r="Q7889" s="308"/>
      <c r="R7889" s="308"/>
      <c r="S7889" s="308" t="s">
        <v>81</v>
      </c>
      <c r="T7889" s="308" t="s">
        <v>75</v>
      </c>
      <c r="U7889" s="308" t="s">
        <v>27</v>
      </c>
      <c r="V7889" s="308"/>
    </row>
    <row r="7890">
      <c r="A7890" s="308"/>
      <c r="B7890" s="308"/>
      <c r="C7890" s="308" t="s">
        <v>31125</v>
      </c>
      <c r="D7890" s="308">
        <f>IFERROR(__xludf.DUMMYFUNCTION("SPLIT(C7890,""-"")"),7910.0)</f>
        <v>7910</v>
      </c>
      <c r="E7890" s="308" t="str">
        <f>IFERROR(__xludf.DUMMYFUNCTION("""COMPUTED_VALUE"""),"B")</f>
        <v>B</v>
      </c>
      <c r="F7890" s="315" t="s">
        <v>26</v>
      </c>
      <c r="G7890" s="308"/>
      <c r="H7890" s="308" t="s">
        <v>31126</v>
      </c>
      <c r="I7890" s="310">
        <v>42915.0</v>
      </c>
      <c r="J7890" s="319">
        <f>IFERROR(__xludf.DUMMYFUNCTION("SPLIT(I7890,""/"")"),29.0)</f>
        <v>29</v>
      </c>
      <c r="K7890" s="308">
        <f>IFERROR(__xludf.DUMMYFUNCTION("""COMPUTED_VALUE"""),6.0)</f>
        <v>6</v>
      </c>
      <c r="L7890" s="308">
        <f>IFERROR(__xludf.DUMMYFUNCTION("""COMPUTED_VALUE"""),2017.0)</f>
        <v>2017</v>
      </c>
      <c r="M7890" s="308" t="s">
        <v>31127</v>
      </c>
      <c r="N7890" s="308"/>
      <c r="O7890" s="308"/>
      <c r="P7890" s="308" t="s">
        <v>39981</v>
      </c>
      <c r="Q7890" s="308"/>
      <c r="R7890" s="308"/>
      <c r="S7890" s="308" t="s">
        <v>81</v>
      </c>
      <c r="T7890" s="308" t="s">
        <v>75</v>
      </c>
      <c r="U7890" s="308" t="s">
        <v>27</v>
      </c>
      <c r="V7890" s="308"/>
    </row>
    <row r="7891">
      <c r="A7891" s="308"/>
      <c r="B7891" s="308"/>
      <c r="C7891" s="308" t="s">
        <v>31129</v>
      </c>
      <c r="D7891" s="308">
        <f>IFERROR(__xludf.DUMMYFUNCTION("SPLIT(C7891,""-"")"),7911.0)</f>
        <v>7911</v>
      </c>
      <c r="E7891" s="308" t="str">
        <f>IFERROR(__xludf.DUMMYFUNCTION("""COMPUTED_VALUE"""),"B")</f>
        <v>B</v>
      </c>
      <c r="F7891" s="315" t="s">
        <v>26</v>
      </c>
      <c r="G7891" s="308"/>
      <c r="H7891" s="308" t="s">
        <v>31130</v>
      </c>
      <c r="I7891" s="310">
        <v>42915.0</v>
      </c>
      <c r="J7891" s="319">
        <f>IFERROR(__xludf.DUMMYFUNCTION("SPLIT(I7891,""/"")"),29.0)</f>
        <v>29</v>
      </c>
      <c r="K7891" s="308">
        <f>IFERROR(__xludf.DUMMYFUNCTION("""COMPUTED_VALUE"""),6.0)</f>
        <v>6</v>
      </c>
      <c r="L7891" s="308">
        <f>IFERROR(__xludf.DUMMYFUNCTION("""COMPUTED_VALUE"""),2017.0)</f>
        <v>2017</v>
      </c>
      <c r="M7891" s="308" t="s">
        <v>31127</v>
      </c>
      <c r="N7891" s="308"/>
      <c r="O7891" s="308"/>
      <c r="P7891" s="308" t="s">
        <v>39982</v>
      </c>
      <c r="Q7891" s="308"/>
      <c r="R7891" s="308"/>
      <c r="S7891" s="308" t="s">
        <v>81</v>
      </c>
      <c r="T7891" s="308" t="s">
        <v>75</v>
      </c>
      <c r="U7891" s="308" t="s">
        <v>27</v>
      </c>
      <c r="V7891" s="308"/>
    </row>
    <row r="7892">
      <c r="A7892" s="308"/>
      <c r="B7892" s="308"/>
      <c r="C7892" s="308" t="s">
        <v>31132</v>
      </c>
      <c r="D7892" s="308">
        <f>IFERROR(__xludf.DUMMYFUNCTION("SPLIT(C7892,""-"")"),7912.0)</f>
        <v>7912</v>
      </c>
      <c r="E7892" s="308" t="str">
        <f>IFERROR(__xludf.DUMMYFUNCTION("""COMPUTED_VALUE"""),"B")</f>
        <v>B</v>
      </c>
      <c r="F7892" s="315" t="s">
        <v>26</v>
      </c>
      <c r="G7892" s="308"/>
      <c r="H7892" s="308" t="s">
        <v>31133</v>
      </c>
      <c r="I7892" s="310">
        <v>42915.0</v>
      </c>
      <c r="J7892" s="319">
        <f>IFERROR(__xludf.DUMMYFUNCTION("SPLIT(I7892,""/"")"),29.0)</f>
        <v>29</v>
      </c>
      <c r="K7892" s="308">
        <f>IFERROR(__xludf.DUMMYFUNCTION("""COMPUTED_VALUE"""),6.0)</f>
        <v>6</v>
      </c>
      <c r="L7892" s="308">
        <f>IFERROR(__xludf.DUMMYFUNCTION("""COMPUTED_VALUE"""),2017.0)</f>
        <v>2017</v>
      </c>
      <c r="M7892" s="308" t="s">
        <v>31127</v>
      </c>
      <c r="N7892" s="308"/>
      <c r="O7892" s="308"/>
      <c r="P7892" s="308" t="s">
        <v>39983</v>
      </c>
      <c r="Q7892" s="308"/>
      <c r="R7892" s="308"/>
      <c r="S7892" s="308" t="s">
        <v>81</v>
      </c>
      <c r="T7892" s="308" t="s">
        <v>75</v>
      </c>
      <c r="U7892" s="308" t="s">
        <v>27</v>
      </c>
      <c r="V7892" s="308"/>
    </row>
    <row r="7893">
      <c r="A7893" s="308"/>
      <c r="B7893" s="308"/>
      <c r="C7893" s="308" t="s">
        <v>31135</v>
      </c>
      <c r="D7893" s="308">
        <f>IFERROR(__xludf.DUMMYFUNCTION("SPLIT(C7893,""-"")"),7913.0)</f>
        <v>7913</v>
      </c>
      <c r="E7893" s="308" t="str">
        <f>IFERROR(__xludf.DUMMYFUNCTION("""COMPUTED_VALUE"""),"B")</f>
        <v>B</v>
      </c>
      <c r="F7893" s="315" t="s">
        <v>26</v>
      </c>
      <c r="G7893" s="308"/>
      <c r="H7893" s="308" t="s">
        <v>31136</v>
      </c>
      <c r="I7893" s="310">
        <v>42915.0</v>
      </c>
      <c r="J7893" s="319">
        <f>IFERROR(__xludf.DUMMYFUNCTION("SPLIT(I7893,""/"")"),29.0)</f>
        <v>29</v>
      </c>
      <c r="K7893" s="308">
        <f>IFERROR(__xludf.DUMMYFUNCTION("""COMPUTED_VALUE"""),6.0)</f>
        <v>6</v>
      </c>
      <c r="L7893" s="308">
        <f>IFERROR(__xludf.DUMMYFUNCTION("""COMPUTED_VALUE"""),2017.0)</f>
        <v>2017</v>
      </c>
      <c r="M7893" s="308" t="s">
        <v>31127</v>
      </c>
      <c r="N7893" s="308"/>
      <c r="O7893" s="308"/>
      <c r="P7893" s="308" t="s">
        <v>39984</v>
      </c>
      <c r="Q7893" s="308"/>
      <c r="R7893" s="308"/>
      <c r="S7893" s="308" t="s">
        <v>81</v>
      </c>
      <c r="T7893" s="308" t="s">
        <v>75</v>
      </c>
      <c r="U7893" s="308" t="s">
        <v>27</v>
      </c>
      <c r="V7893" s="308"/>
    </row>
    <row r="7894">
      <c r="A7894" s="308"/>
      <c r="B7894" s="308"/>
      <c r="C7894" s="308" t="s">
        <v>31138</v>
      </c>
      <c r="D7894" s="308">
        <f>IFERROR(__xludf.DUMMYFUNCTION("SPLIT(C7894,""-"")"),7914.0)</f>
        <v>7914</v>
      </c>
      <c r="E7894" s="308" t="str">
        <f>IFERROR(__xludf.DUMMYFUNCTION("""COMPUTED_VALUE"""),"B")</f>
        <v>B</v>
      </c>
      <c r="F7894" s="315" t="s">
        <v>26</v>
      </c>
      <c r="G7894" s="308"/>
      <c r="H7894" s="308" t="s">
        <v>31139</v>
      </c>
      <c r="I7894" s="310">
        <v>42915.0</v>
      </c>
      <c r="J7894" s="319">
        <f>IFERROR(__xludf.DUMMYFUNCTION("SPLIT(I7894,""/"")"),29.0)</f>
        <v>29</v>
      </c>
      <c r="K7894" s="308">
        <f>IFERROR(__xludf.DUMMYFUNCTION("""COMPUTED_VALUE"""),6.0)</f>
        <v>6</v>
      </c>
      <c r="L7894" s="308">
        <f>IFERROR(__xludf.DUMMYFUNCTION("""COMPUTED_VALUE"""),2017.0)</f>
        <v>2017</v>
      </c>
      <c r="M7894" s="308" t="s">
        <v>31127</v>
      </c>
      <c r="N7894" s="308"/>
      <c r="O7894" s="308"/>
      <c r="P7894" s="308" t="s">
        <v>39985</v>
      </c>
      <c r="Q7894" s="308"/>
      <c r="R7894" s="308"/>
      <c r="S7894" s="308" t="s">
        <v>81</v>
      </c>
      <c r="T7894" s="308" t="s">
        <v>75</v>
      </c>
      <c r="U7894" s="308" t="s">
        <v>27</v>
      </c>
      <c r="V7894" s="308"/>
    </row>
    <row r="7895">
      <c r="A7895" s="308"/>
      <c r="B7895" s="308"/>
      <c r="C7895" s="308" t="s">
        <v>31141</v>
      </c>
      <c r="D7895" s="308">
        <f>IFERROR(__xludf.DUMMYFUNCTION("SPLIT(C7895,""-"")"),7915.0)</f>
        <v>7915</v>
      </c>
      <c r="E7895" s="308" t="str">
        <f>IFERROR(__xludf.DUMMYFUNCTION("""COMPUTED_VALUE"""),"B")</f>
        <v>B</v>
      </c>
      <c r="F7895" s="315" t="s">
        <v>26</v>
      </c>
      <c r="G7895" s="308"/>
      <c r="H7895" s="308" t="s">
        <v>31142</v>
      </c>
      <c r="I7895" s="310">
        <v>42801.0</v>
      </c>
      <c r="J7895" s="319">
        <f>IFERROR(__xludf.DUMMYFUNCTION("SPLIT(I7895,""/"")"),7.0)</f>
        <v>7</v>
      </c>
      <c r="K7895" s="308">
        <f>IFERROR(__xludf.DUMMYFUNCTION("""COMPUTED_VALUE"""),3.0)</f>
        <v>3</v>
      </c>
      <c r="L7895" s="308">
        <f>IFERROR(__xludf.DUMMYFUNCTION("""COMPUTED_VALUE"""),2017.0)</f>
        <v>2017</v>
      </c>
      <c r="M7895" s="308" t="s">
        <v>31064</v>
      </c>
      <c r="N7895" s="308"/>
      <c r="O7895" s="308"/>
      <c r="P7895" s="308" t="s">
        <v>39986</v>
      </c>
      <c r="Q7895" s="308"/>
      <c r="R7895" s="308"/>
      <c r="S7895" s="308" t="s">
        <v>81</v>
      </c>
      <c r="T7895" s="308" t="s">
        <v>75</v>
      </c>
      <c r="U7895" s="308" t="s">
        <v>27</v>
      </c>
      <c r="V7895" s="308"/>
    </row>
    <row r="7896">
      <c r="A7896" s="308"/>
      <c r="B7896" s="308"/>
      <c r="C7896" s="308" t="s">
        <v>31144</v>
      </c>
      <c r="D7896" s="308">
        <f>IFERROR(__xludf.DUMMYFUNCTION("SPLIT(C7896,""-"")"),7916.0)</f>
        <v>7916</v>
      </c>
      <c r="E7896" s="308" t="str">
        <f>IFERROR(__xludf.DUMMYFUNCTION("""COMPUTED_VALUE"""),"B")</f>
        <v>B</v>
      </c>
      <c r="F7896" s="315" t="s">
        <v>26</v>
      </c>
      <c r="G7896" s="308"/>
      <c r="H7896" s="308" t="s">
        <v>31145</v>
      </c>
      <c r="I7896" s="310">
        <v>42915.0</v>
      </c>
      <c r="J7896" s="319">
        <f>IFERROR(__xludf.DUMMYFUNCTION("SPLIT(I7896,""/"")"),29.0)</f>
        <v>29</v>
      </c>
      <c r="K7896" s="308">
        <f>IFERROR(__xludf.DUMMYFUNCTION("""COMPUTED_VALUE"""),6.0)</f>
        <v>6</v>
      </c>
      <c r="L7896" s="308">
        <f>IFERROR(__xludf.DUMMYFUNCTION("""COMPUTED_VALUE"""),2017.0)</f>
        <v>2017</v>
      </c>
      <c r="M7896" s="308" t="s">
        <v>31146</v>
      </c>
      <c r="N7896" s="308"/>
      <c r="O7896" s="308"/>
      <c r="P7896" s="308" t="s">
        <v>39987</v>
      </c>
      <c r="Q7896" s="308"/>
      <c r="R7896" s="308"/>
      <c r="S7896" s="308" t="s">
        <v>81</v>
      </c>
      <c r="T7896" s="308" t="s">
        <v>75</v>
      </c>
      <c r="U7896" s="308" t="s">
        <v>27</v>
      </c>
      <c r="V7896" s="308"/>
    </row>
    <row r="7897">
      <c r="A7897" s="308"/>
      <c r="B7897" s="308"/>
      <c r="C7897" s="308" t="s">
        <v>31148</v>
      </c>
      <c r="D7897" s="308">
        <f>IFERROR(__xludf.DUMMYFUNCTION("SPLIT(C7897,""-"")"),7917.0)</f>
        <v>7917</v>
      </c>
      <c r="E7897" s="308" t="str">
        <f>IFERROR(__xludf.DUMMYFUNCTION("""COMPUTED_VALUE"""),"B")</f>
        <v>B</v>
      </c>
      <c r="F7897" s="315" t="s">
        <v>26</v>
      </c>
      <c r="G7897" s="308"/>
      <c r="H7897" s="308" t="s">
        <v>31149</v>
      </c>
      <c r="I7897" s="310">
        <v>42915.0</v>
      </c>
      <c r="J7897" s="319">
        <f>IFERROR(__xludf.DUMMYFUNCTION("SPLIT(I7897,""/"")"),29.0)</f>
        <v>29</v>
      </c>
      <c r="K7897" s="308">
        <f>IFERROR(__xludf.DUMMYFUNCTION("""COMPUTED_VALUE"""),6.0)</f>
        <v>6</v>
      </c>
      <c r="L7897" s="308">
        <f>IFERROR(__xludf.DUMMYFUNCTION("""COMPUTED_VALUE"""),2017.0)</f>
        <v>2017</v>
      </c>
      <c r="M7897" s="308" t="s">
        <v>31146</v>
      </c>
      <c r="N7897" s="308"/>
      <c r="O7897" s="308"/>
      <c r="P7897" s="308" t="s">
        <v>39988</v>
      </c>
      <c r="Q7897" s="308"/>
      <c r="R7897" s="308"/>
      <c r="S7897" s="308" t="s">
        <v>81</v>
      </c>
      <c r="T7897" s="308" t="s">
        <v>75</v>
      </c>
      <c r="U7897" s="308" t="s">
        <v>27</v>
      </c>
      <c r="V7897" s="308"/>
    </row>
    <row r="7898">
      <c r="A7898" s="308"/>
      <c r="B7898" s="308"/>
      <c r="C7898" s="308" t="s">
        <v>31151</v>
      </c>
      <c r="D7898" s="308">
        <f>IFERROR(__xludf.DUMMYFUNCTION("SPLIT(C7898,""-"")"),7918.0)</f>
        <v>7918</v>
      </c>
      <c r="E7898" s="308" t="str">
        <f>IFERROR(__xludf.DUMMYFUNCTION("""COMPUTED_VALUE"""),"B")</f>
        <v>B</v>
      </c>
      <c r="F7898" s="315" t="s">
        <v>26</v>
      </c>
      <c r="G7898" s="308"/>
      <c r="H7898" s="308" t="s">
        <v>31152</v>
      </c>
      <c r="I7898" s="310">
        <v>43015.0</v>
      </c>
      <c r="J7898" s="319">
        <f>IFERROR(__xludf.DUMMYFUNCTION("SPLIT(I7898,""/"")"),7.0)</f>
        <v>7</v>
      </c>
      <c r="K7898" s="308">
        <f>IFERROR(__xludf.DUMMYFUNCTION("""COMPUTED_VALUE"""),10.0)</f>
        <v>10</v>
      </c>
      <c r="L7898" s="308">
        <f>IFERROR(__xludf.DUMMYFUNCTION("""COMPUTED_VALUE"""),2017.0)</f>
        <v>2017</v>
      </c>
      <c r="M7898" s="308" t="s">
        <v>31153</v>
      </c>
      <c r="N7898" s="308"/>
      <c r="O7898" s="308"/>
      <c r="P7898" s="308" t="s">
        <v>39989</v>
      </c>
      <c r="Q7898" s="308"/>
      <c r="R7898" s="308"/>
      <c r="S7898" s="308" t="s">
        <v>81</v>
      </c>
      <c r="T7898" s="308" t="s">
        <v>75</v>
      </c>
      <c r="U7898" s="308" t="s">
        <v>27</v>
      </c>
      <c r="V7898" s="308"/>
    </row>
    <row r="7899">
      <c r="A7899" s="308"/>
      <c r="B7899" s="308"/>
      <c r="C7899" s="308" t="s">
        <v>31155</v>
      </c>
      <c r="D7899" s="308">
        <f>IFERROR(__xludf.DUMMYFUNCTION("SPLIT(C7899,""-"")"),7919.0)</f>
        <v>7919</v>
      </c>
      <c r="E7899" s="308" t="str">
        <f>IFERROR(__xludf.DUMMYFUNCTION("""COMPUTED_VALUE"""),"B")</f>
        <v>B</v>
      </c>
      <c r="F7899" s="315" t="s">
        <v>26</v>
      </c>
      <c r="G7899" s="308"/>
      <c r="H7899" s="308" t="s">
        <v>39990</v>
      </c>
      <c r="I7899" s="310">
        <v>43015.0</v>
      </c>
      <c r="J7899" s="319">
        <f>IFERROR(__xludf.DUMMYFUNCTION("SPLIT(I7899,""/"")"),7.0)</f>
        <v>7</v>
      </c>
      <c r="K7899" s="308">
        <f>IFERROR(__xludf.DUMMYFUNCTION("""COMPUTED_VALUE"""),10.0)</f>
        <v>10</v>
      </c>
      <c r="L7899" s="308">
        <f>IFERROR(__xludf.DUMMYFUNCTION("""COMPUTED_VALUE"""),2017.0)</f>
        <v>2017</v>
      </c>
      <c r="M7899" s="308" t="s">
        <v>31157</v>
      </c>
      <c r="N7899" s="308"/>
      <c r="O7899" s="308"/>
      <c r="P7899" s="308" t="s">
        <v>39991</v>
      </c>
      <c r="Q7899" s="308"/>
      <c r="R7899" s="308"/>
      <c r="S7899" s="308" t="s">
        <v>81</v>
      </c>
      <c r="T7899" s="308" t="s">
        <v>75</v>
      </c>
      <c r="U7899" s="308" t="s">
        <v>27</v>
      </c>
      <c r="V7899" s="308"/>
    </row>
    <row r="7900">
      <c r="A7900" s="308"/>
      <c r="B7900" s="308"/>
      <c r="C7900" s="308" t="s">
        <v>31159</v>
      </c>
      <c r="D7900" s="308">
        <f>IFERROR(__xludf.DUMMYFUNCTION("SPLIT(C7900,""-"")"),7920.0)</f>
        <v>7920</v>
      </c>
      <c r="E7900" s="308" t="str">
        <f>IFERROR(__xludf.DUMMYFUNCTION("""COMPUTED_VALUE"""),"B")</f>
        <v>B</v>
      </c>
      <c r="F7900" s="315" t="s">
        <v>26</v>
      </c>
      <c r="G7900" s="308"/>
      <c r="H7900" s="308" t="s">
        <v>31160</v>
      </c>
      <c r="I7900" s="310">
        <v>42931.0</v>
      </c>
      <c r="J7900" s="319">
        <f>IFERROR(__xludf.DUMMYFUNCTION("SPLIT(I7900,""/"")"),15.0)</f>
        <v>15</v>
      </c>
      <c r="K7900" s="308">
        <f>IFERROR(__xludf.DUMMYFUNCTION("""COMPUTED_VALUE"""),7.0)</f>
        <v>7</v>
      </c>
      <c r="L7900" s="308">
        <f>IFERROR(__xludf.DUMMYFUNCTION("""COMPUTED_VALUE"""),2017.0)</f>
        <v>2017</v>
      </c>
      <c r="M7900" s="308" t="s">
        <v>31161</v>
      </c>
      <c r="N7900" s="308"/>
      <c r="O7900" s="308"/>
      <c r="P7900" s="308" t="s">
        <v>39992</v>
      </c>
      <c r="Q7900" s="308"/>
      <c r="R7900" s="308"/>
      <c r="S7900" s="308" t="s">
        <v>81</v>
      </c>
      <c r="T7900" s="308" t="s">
        <v>75</v>
      </c>
      <c r="U7900" s="308" t="s">
        <v>27</v>
      </c>
      <c r="V7900" s="308"/>
    </row>
    <row r="7901">
      <c r="A7901" s="308"/>
      <c r="B7901" s="308"/>
      <c r="C7901" s="308" t="s">
        <v>31163</v>
      </c>
      <c r="D7901" s="308">
        <f>IFERROR(__xludf.DUMMYFUNCTION("SPLIT(C7901,""-"")"),7921.0)</f>
        <v>7921</v>
      </c>
      <c r="E7901" s="308" t="str">
        <f>IFERROR(__xludf.DUMMYFUNCTION("""COMPUTED_VALUE"""),"B")</f>
        <v>B</v>
      </c>
      <c r="F7901" s="315" t="s">
        <v>26</v>
      </c>
      <c r="G7901" s="308"/>
      <c r="H7901" s="308" t="s">
        <v>31164</v>
      </c>
      <c r="I7901" s="310">
        <v>42940.0</v>
      </c>
      <c r="J7901" s="319">
        <f>IFERROR(__xludf.DUMMYFUNCTION("SPLIT(I7901,""/"")"),24.0)</f>
        <v>24</v>
      </c>
      <c r="K7901" s="308">
        <f>IFERROR(__xludf.DUMMYFUNCTION("""COMPUTED_VALUE"""),7.0)</f>
        <v>7</v>
      </c>
      <c r="L7901" s="308">
        <f>IFERROR(__xludf.DUMMYFUNCTION("""COMPUTED_VALUE"""),2017.0)</f>
        <v>2017</v>
      </c>
      <c r="M7901" s="308" t="s">
        <v>30504</v>
      </c>
      <c r="N7901" s="308"/>
      <c r="O7901" s="308"/>
      <c r="P7901" s="308" t="s">
        <v>39993</v>
      </c>
      <c r="Q7901" s="308"/>
      <c r="R7901" s="308"/>
      <c r="S7901" s="308" t="s">
        <v>81</v>
      </c>
      <c r="T7901" s="308" t="s">
        <v>75</v>
      </c>
      <c r="U7901" s="308" t="s">
        <v>27</v>
      </c>
      <c r="V7901" s="308"/>
    </row>
    <row r="7902">
      <c r="A7902" s="308"/>
      <c r="B7902" s="308"/>
      <c r="C7902" s="308" t="s">
        <v>31166</v>
      </c>
      <c r="D7902" s="308">
        <f>IFERROR(__xludf.DUMMYFUNCTION("SPLIT(C7902,""-"")"),7922.0)</f>
        <v>7922</v>
      </c>
      <c r="E7902" s="308" t="str">
        <f>IFERROR(__xludf.DUMMYFUNCTION("""COMPUTED_VALUE"""),"B")</f>
        <v>B</v>
      </c>
      <c r="F7902" s="315" t="s">
        <v>26</v>
      </c>
      <c r="G7902" s="308"/>
      <c r="H7902" s="308" t="s">
        <v>31167</v>
      </c>
      <c r="I7902" s="310">
        <v>42765.0</v>
      </c>
      <c r="J7902" s="319">
        <f>IFERROR(__xludf.DUMMYFUNCTION("SPLIT(I7902,""/"")"),30.0)</f>
        <v>30</v>
      </c>
      <c r="K7902" s="308">
        <f>IFERROR(__xludf.DUMMYFUNCTION("""COMPUTED_VALUE"""),1.0)</f>
        <v>1</v>
      </c>
      <c r="L7902" s="308">
        <f>IFERROR(__xludf.DUMMYFUNCTION("""COMPUTED_VALUE"""),2017.0)</f>
        <v>2017</v>
      </c>
      <c r="M7902" s="308" t="s">
        <v>31168</v>
      </c>
      <c r="N7902" s="308"/>
      <c r="O7902" s="308"/>
      <c r="P7902" s="308" t="s">
        <v>39994</v>
      </c>
      <c r="Q7902" s="308"/>
      <c r="R7902" s="308"/>
      <c r="S7902" s="308" t="s">
        <v>81</v>
      </c>
      <c r="T7902" s="308" t="s">
        <v>75</v>
      </c>
      <c r="U7902" s="308" t="s">
        <v>27</v>
      </c>
      <c r="V7902" s="308"/>
    </row>
    <row r="7903">
      <c r="A7903" s="308"/>
      <c r="B7903" s="308"/>
      <c r="C7903" s="308" t="s">
        <v>31170</v>
      </c>
      <c r="D7903" s="308">
        <f>IFERROR(__xludf.DUMMYFUNCTION("SPLIT(C7903,""-"")"),7923.0)</f>
        <v>7923</v>
      </c>
      <c r="E7903" s="308" t="str">
        <f>IFERROR(__xludf.DUMMYFUNCTION("""COMPUTED_VALUE"""),"B")</f>
        <v>B</v>
      </c>
      <c r="F7903" s="315" t="s">
        <v>26</v>
      </c>
      <c r="G7903" s="308"/>
      <c r="H7903" s="308" t="s">
        <v>31171</v>
      </c>
      <c r="I7903" s="310">
        <v>42863.0</v>
      </c>
      <c r="J7903" s="319">
        <f>IFERROR(__xludf.DUMMYFUNCTION("SPLIT(I7903,""/"")"),8.0)</f>
        <v>8</v>
      </c>
      <c r="K7903" s="308">
        <f>IFERROR(__xludf.DUMMYFUNCTION("""COMPUTED_VALUE"""),5.0)</f>
        <v>5</v>
      </c>
      <c r="L7903" s="308">
        <f>IFERROR(__xludf.DUMMYFUNCTION("""COMPUTED_VALUE"""),2017.0)</f>
        <v>2017</v>
      </c>
      <c r="M7903" s="308" t="s">
        <v>31172</v>
      </c>
      <c r="N7903" s="308"/>
      <c r="O7903" s="308"/>
      <c r="P7903" s="308" t="s">
        <v>39995</v>
      </c>
      <c r="Q7903" s="308"/>
      <c r="R7903" s="308"/>
      <c r="S7903" s="308" t="s">
        <v>81</v>
      </c>
      <c r="T7903" s="308" t="s">
        <v>75</v>
      </c>
      <c r="U7903" s="308" t="s">
        <v>27</v>
      </c>
      <c r="V7903" s="308"/>
    </row>
    <row r="7904">
      <c r="A7904" s="308"/>
      <c r="B7904" s="308"/>
      <c r="C7904" s="308" t="s">
        <v>31174</v>
      </c>
      <c r="D7904" s="308">
        <f>IFERROR(__xludf.DUMMYFUNCTION("SPLIT(C7904,""-"")"),7924.0)</f>
        <v>7924</v>
      </c>
      <c r="E7904" s="308" t="str">
        <f>IFERROR(__xludf.DUMMYFUNCTION("""COMPUTED_VALUE"""),"B")</f>
        <v>B</v>
      </c>
      <c r="F7904" s="315" t="s">
        <v>26</v>
      </c>
      <c r="G7904" s="308"/>
      <c r="H7904" s="308" t="s">
        <v>31175</v>
      </c>
      <c r="I7904" s="310">
        <v>42962.0</v>
      </c>
      <c r="J7904" s="319">
        <f>IFERROR(__xludf.DUMMYFUNCTION("SPLIT(I7904,""/"")"),15.0)</f>
        <v>15</v>
      </c>
      <c r="K7904" s="308">
        <f>IFERROR(__xludf.DUMMYFUNCTION("""COMPUTED_VALUE"""),8.0)</f>
        <v>8</v>
      </c>
      <c r="L7904" s="308">
        <f>IFERROR(__xludf.DUMMYFUNCTION("""COMPUTED_VALUE"""),2017.0)</f>
        <v>2017</v>
      </c>
      <c r="M7904" s="308" t="s">
        <v>31127</v>
      </c>
      <c r="N7904" s="308"/>
      <c r="O7904" s="308"/>
      <c r="P7904" s="308" t="s">
        <v>39996</v>
      </c>
      <c r="Q7904" s="308"/>
      <c r="R7904" s="308"/>
      <c r="S7904" s="308" t="s">
        <v>81</v>
      </c>
      <c r="T7904" s="308" t="s">
        <v>75</v>
      </c>
      <c r="U7904" s="308" t="s">
        <v>27</v>
      </c>
      <c r="V7904" s="308"/>
    </row>
    <row r="7905">
      <c r="A7905" s="308"/>
      <c r="B7905" s="308"/>
      <c r="C7905" s="308" t="s">
        <v>31177</v>
      </c>
      <c r="D7905" s="308">
        <f>IFERROR(__xludf.DUMMYFUNCTION("SPLIT(C7905,""-"")"),7925.0)</f>
        <v>7925</v>
      </c>
      <c r="E7905" s="308" t="str">
        <f>IFERROR(__xludf.DUMMYFUNCTION("""COMPUTED_VALUE"""),"B")</f>
        <v>B</v>
      </c>
      <c r="F7905" s="315" t="s">
        <v>26</v>
      </c>
      <c r="G7905" s="308"/>
      <c r="H7905" s="308" t="s">
        <v>39997</v>
      </c>
      <c r="I7905" s="310">
        <v>43047.0</v>
      </c>
      <c r="J7905" s="319">
        <f>IFERROR(__xludf.DUMMYFUNCTION("SPLIT(I7905,""/"")"),8.0)</f>
        <v>8</v>
      </c>
      <c r="K7905" s="308">
        <f>IFERROR(__xludf.DUMMYFUNCTION("""COMPUTED_VALUE"""),11.0)</f>
        <v>11</v>
      </c>
      <c r="L7905" s="308">
        <f>IFERROR(__xludf.DUMMYFUNCTION("""COMPUTED_VALUE"""),2017.0)</f>
        <v>2017</v>
      </c>
      <c r="M7905" s="308" t="s">
        <v>31179</v>
      </c>
      <c r="N7905" s="308"/>
      <c r="O7905" s="308"/>
      <c r="P7905" s="308" t="s">
        <v>39998</v>
      </c>
      <c r="Q7905" s="308"/>
      <c r="R7905" s="308"/>
      <c r="S7905" s="308" t="s">
        <v>81</v>
      </c>
      <c r="T7905" s="308" t="s">
        <v>75</v>
      </c>
      <c r="U7905" s="308" t="s">
        <v>27</v>
      </c>
      <c r="V7905" s="308"/>
    </row>
    <row r="7906">
      <c r="A7906" s="308"/>
      <c r="B7906" s="308"/>
      <c r="C7906" s="308" t="s">
        <v>31181</v>
      </c>
      <c r="D7906" s="308">
        <f>IFERROR(__xludf.DUMMYFUNCTION("SPLIT(C7906,""-"")"),7926.0)</f>
        <v>7926</v>
      </c>
      <c r="E7906" s="308" t="str">
        <f>IFERROR(__xludf.DUMMYFUNCTION("""COMPUTED_VALUE"""),"B")</f>
        <v>B</v>
      </c>
      <c r="F7906" s="315" t="s">
        <v>26</v>
      </c>
      <c r="G7906" s="308"/>
      <c r="H7906" s="308" t="s">
        <v>31182</v>
      </c>
      <c r="I7906" s="310">
        <v>43016.0</v>
      </c>
      <c r="J7906" s="319">
        <f>IFERROR(__xludf.DUMMYFUNCTION("SPLIT(I7906,""/"")"),8.0)</f>
        <v>8</v>
      </c>
      <c r="K7906" s="308">
        <f>IFERROR(__xludf.DUMMYFUNCTION("""COMPUTED_VALUE"""),10.0)</f>
        <v>10</v>
      </c>
      <c r="L7906" s="308">
        <f>IFERROR(__xludf.DUMMYFUNCTION("""COMPUTED_VALUE"""),2017.0)</f>
        <v>2017</v>
      </c>
      <c r="M7906" s="308" t="s">
        <v>31183</v>
      </c>
      <c r="N7906" s="308"/>
      <c r="O7906" s="308"/>
      <c r="P7906" s="308" t="s">
        <v>39999</v>
      </c>
      <c r="Q7906" s="308"/>
      <c r="R7906" s="308"/>
      <c r="S7906" s="308" t="s">
        <v>81</v>
      </c>
      <c r="T7906" s="308" t="s">
        <v>75</v>
      </c>
      <c r="U7906" s="308" t="s">
        <v>27</v>
      </c>
      <c r="V7906" s="308"/>
    </row>
    <row r="7907">
      <c r="A7907" s="308"/>
      <c r="B7907" s="308"/>
      <c r="C7907" s="308" t="s">
        <v>31185</v>
      </c>
      <c r="D7907" s="308">
        <f>IFERROR(__xludf.DUMMYFUNCTION("SPLIT(C7907,""-"")"),7927.0)</f>
        <v>7927</v>
      </c>
      <c r="E7907" s="308" t="str">
        <f>IFERROR(__xludf.DUMMYFUNCTION("""COMPUTED_VALUE"""),"B")</f>
        <v>B</v>
      </c>
      <c r="F7907" s="315" t="s">
        <v>26</v>
      </c>
      <c r="G7907" s="308"/>
      <c r="H7907" s="308" t="s">
        <v>31186</v>
      </c>
      <c r="I7907" s="310">
        <v>42976.0</v>
      </c>
      <c r="J7907" s="319">
        <f>IFERROR(__xludf.DUMMYFUNCTION("SPLIT(I7907,""/"")"),29.0)</f>
        <v>29</v>
      </c>
      <c r="K7907" s="308">
        <f>IFERROR(__xludf.DUMMYFUNCTION("""COMPUTED_VALUE"""),8.0)</f>
        <v>8</v>
      </c>
      <c r="L7907" s="308">
        <f>IFERROR(__xludf.DUMMYFUNCTION("""COMPUTED_VALUE"""),2017.0)</f>
        <v>2017</v>
      </c>
      <c r="M7907" s="308" t="s">
        <v>31187</v>
      </c>
      <c r="N7907" s="308"/>
      <c r="O7907" s="308"/>
      <c r="P7907" s="308" t="s">
        <v>40000</v>
      </c>
      <c r="Q7907" s="308"/>
      <c r="R7907" s="308"/>
      <c r="S7907" s="308" t="s">
        <v>81</v>
      </c>
      <c r="T7907" s="308" t="s">
        <v>75</v>
      </c>
      <c r="U7907" s="308" t="s">
        <v>27</v>
      </c>
      <c r="V7907" s="308"/>
    </row>
    <row r="7908">
      <c r="A7908" s="308"/>
      <c r="B7908" s="308"/>
      <c r="C7908" s="308" t="s">
        <v>31189</v>
      </c>
      <c r="D7908" s="308">
        <f>IFERROR(__xludf.DUMMYFUNCTION("SPLIT(C7908,""-"")"),7928.0)</f>
        <v>7928</v>
      </c>
      <c r="E7908" s="308" t="str">
        <f>IFERROR(__xludf.DUMMYFUNCTION("""COMPUTED_VALUE"""),"B")</f>
        <v>B</v>
      </c>
      <c r="F7908" s="315" t="s">
        <v>26</v>
      </c>
      <c r="G7908" s="308"/>
      <c r="H7908" s="308" t="s">
        <v>28392</v>
      </c>
      <c r="I7908" s="310">
        <v>42834.0</v>
      </c>
      <c r="J7908" s="319">
        <f>IFERROR(__xludf.DUMMYFUNCTION("SPLIT(I7908,""/"")"),9.0)</f>
        <v>9</v>
      </c>
      <c r="K7908" s="308">
        <f>IFERROR(__xludf.DUMMYFUNCTION("""COMPUTED_VALUE"""),4.0)</f>
        <v>4</v>
      </c>
      <c r="L7908" s="308">
        <f>IFERROR(__xludf.DUMMYFUNCTION("""COMPUTED_VALUE"""),2017.0)</f>
        <v>2017</v>
      </c>
      <c r="M7908" s="308" t="s">
        <v>31190</v>
      </c>
      <c r="N7908" s="308"/>
      <c r="O7908" s="308"/>
      <c r="P7908" s="308" t="s">
        <v>40001</v>
      </c>
      <c r="Q7908" s="308"/>
      <c r="R7908" s="308"/>
      <c r="S7908" s="308" t="s">
        <v>81</v>
      </c>
      <c r="T7908" s="308" t="s">
        <v>75</v>
      </c>
      <c r="U7908" s="308" t="s">
        <v>27</v>
      </c>
      <c r="V7908" s="308"/>
    </row>
    <row r="7909">
      <c r="A7909" s="308"/>
      <c r="B7909" s="308"/>
      <c r="C7909" s="308" t="s">
        <v>31192</v>
      </c>
      <c r="D7909" s="308">
        <f>IFERROR(__xludf.DUMMYFUNCTION("SPLIT(C7909,""-"")"),7929.0)</f>
        <v>7929</v>
      </c>
      <c r="E7909" s="308" t="str">
        <f>IFERROR(__xludf.DUMMYFUNCTION("""COMPUTED_VALUE"""),"B")</f>
        <v>B</v>
      </c>
      <c r="F7909" s="315" t="s">
        <v>26</v>
      </c>
      <c r="G7909" s="308"/>
      <c r="H7909" s="308" t="s">
        <v>31193</v>
      </c>
      <c r="I7909" s="310">
        <v>43017.0</v>
      </c>
      <c r="J7909" s="319">
        <f>IFERROR(__xludf.DUMMYFUNCTION("SPLIT(I7909,""/"")"),9.0)</f>
        <v>9</v>
      </c>
      <c r="K7909" s="308">
        <f>IFERROR(__xludf.DUMMYFUNCTION("""COMPUTED_VALUE"""),10.0)</f>
        <v>10</v>
      </c>
      <c r="L7909" s="308">
        <f>IFERROR(__xludf.DUMMYFUNCTION("""COMPUTED_VALUE"""),2017.0)</f>
        <v>2017</v>
      </c>
      <c r="M7909" s="308" t="s">
        <v>31194</v>
      </c>
      <c r="N7909" s="308"/>
      <c r="O7909" s="308"/>
      <c r="P7909" s="308" t="s">
        <v>40002</v>
      </c>
      <c r="Q7909" s="308"/>
      <c r="R7909" s="308"/>
      <c r="S7909" s="308" t="s">
        <v>81</v>
      </c>
      <c r="T7909" s="308" t="s">
        <v>75</v>
      </c>
      <c r="U7909" s="308" t="s">
        <v>27</v>
      </c>
      <c r="V7909" s="308"/>
    </row>
    <row r="7910">
      <c r="A7910" s="308"/>
      <c r="B7910" s="308"/>
      <c r="C7910" s="308" t="s">
        <v>31196</v>
      </c>
      <c r="D7910" s="308">
        <f>IFERROR(__xludf.DUMMYFUNCTION("SPLIT(C7910,""-"")"),7930.0)</f>
        <v>7930</v>
      </c>
      <c r="E7910" s="308" t="str">
        <f>IFERROR(__xludf.DUMMYFUNCTION("""COMPUTED_VALUE"""),"B")</f>
        <v>B</v>
      </c>
      <c r="F7910" s="315" t="s">
        <v>26</v>
      </c>
      <c r="G7910" s="308"/>
      <c r="H7910" s="308" t="s">
        <v>31197</v>
      </c>
      <c r="I7910" s="310">
        <v>42956.0</v>
      </c>
      <c r="J7910" s="319">
        <f>IFERROR(__xludf.DUMMYFUNCTION("SPLIT(I7910,""/"")"),9.0)</f>
        <v>9</v>
      </c>
      <c r="K7910" s="308">
        <f>IFERROR(__xludf.DUMMYFUNCTION("""COMPUTED_VALUE"""),8.0)</f>
        <v>8</v>
      </c>
      <c r="L7910" s="308">
        <f>IFERROR(__xludf.DUMMYFUNCTION("""COMPUTED_VALUE"""),2017.0)</f>
        <v>2017</v>
      </c>
      <c r="M7910" s="308" t="s">
        <v>31198</v>
      </c>
      <c r="N7910" s="308"/>
      <c r="O7910" s="308"/>
      <c r="P7910" s="308" t="s">
        <v>40003</v>
      </c>
      <c r="Q7910" s="308"/>
      <c r="R7910" s="308"/>
      <c r="S7910" s="308" t="s">
        <v>81</v>
      </c>
      <c r="T7910" s="308" t="s">
        <v>75</v>
      </c>
      <c r="U7910" s="308" t="s">
        <v>27</v>
      </c>
      <c r="V7910" s="308"/>
    </row>
    <row r="7911">
      <c r="A7911" s="308"/>
      <c r="B7911" s="308"/>
      <c r="C7911" s="308" t="s">
        <v>31200</v>
      </c>
      <c r="D7911" s="308">
        <f>IFERROR(__xludf.DUMMYFUNCTION("SPLIT(C7911,""-"")"),7931.0)</f>
        <v>7931</v>
      </c>
      <c r="E7911" s="308" t="str">
        <f>IFERROR(__xludf.DUMMYFUNCTION("""COMPUTED_VALUE"""),"B")</f>
        <v>B</v>
      </c>
      <c r="F7911" s="315" t="s">
        <v>26</v>
      </c>
      <c r="G7911" s="308"/>
      <c r="H7911" s="308" t="s">
        <v>31201</v>
      </c>
      <c r="I7911" s="310">
        <v>42998.0</v>
      </c>
      <c r="J7911" s="319">
        <f>IFERROR(__xludf.DUMMYFUNCTION("SPLIT(I7911,""/"")"),20.0)</f>
        <v>20</v>
      </c>
      <c r="K7911" s="308">
        <f>IFERROR(__xludf.DUMMYFUNCTION("""COMPUTED_VALUE"""),9.0)</f>
        <v>9</v>
      </c>
      <c r="L7911" s="308">
        <f>IFERROR(__xludf.DUMMYFUNCTION("""COMPUTED_VALUE"""),2017.0)</f>
        <v>2017</v>
      </c>
      <c r="M7911" s="308" t="s">
        <v>31157</v>
      </c>
      <c r="N7911" s="308"/>
      <c r="O7911" s="308"/>
      <c r="P7911" s="308" t="s">
        <v>40004</v>
      </c>
      <c r="Q7911" s="308"/>
      <c r="R7911" s="308"/>
      <c r="S7911" s="308" t="s">
        <v>81</v>
      </c>
      <c r="T7911" s="308" t="s">
        <v>75</v>
      </c>
      <c r="U7911" s="308" t="s">
        <v>27</v>
      </c>
      <c r="V7911" s="308"/>
    </row>
    <row r="7912">
      <c r="A7912" s="308"/>
      <c r="B7912" s="308"/>
      <c r="C7912" s="308" t="s">
        <v>31203</v>
      </c>
      <c r="D7912" s="308">
        <f>IFERROR(__xludf.DUMMYFUNCTION("SPLIT(C7912,""-"")"),7932.0)</f>
        <v>7932</v>
      </c>
      <c r="E7912" s="308" t="str">
        <f>IFERROR(__xludf.DUMMYFUNCTION("""COMPUTED_VALUE"""),"B")</f>
        <v>B</v>
      </c>
      <c r="F7912" s="315" t="s">
        <v>26</v>
      </c>
      <c r="G7912" s="308"/>
      <c r="H7912" s="308" t="s">
        <v>31204</v>
      </c>
      <c r="I7912" s="314">
        <v>43049.0</v>
      </c>
      <c r="J7912" s="319">
        <f>IFERROR(__xludf.DUMMYFUNCTION("SPLIT(I7912,""/"")"),10.0)</f>
        <v>10</v>
      </c>
      <c r="K7912" s="308">
        <f>IFERROR(__xludf.DUMMYFUNCTION("""COMPUTED_VALUE"""),11.0)</f>
        <v>11</v>
      </c>
      <c r="L7912" s="308">
        <f>IFERROR(__xludf.DUMMYFUNCTION("""COMPUTED_VALUE"""),2017.0)</f>
        <v>2017</v>
      </c>
      <c r="M7912" s="308" t="s">
        <v>31205</v>
      </c>
      <c r="N7912" s="308"/>
      <c r="O7912" s="308"/>
      <c r="P7912" s="308" t="s">
        <v>40005</v>
      </c>
      <c r="Q7912" s="308"/>
      <c r="R7912" s="308"/>
      <c r="S7912" s="308" t="s">
        <v>81</v>
      </c>
      <c r="T7912" s="308" t="s">
        <v>75</v>
      </c>
      <c r="U7912" s="308" t="s">
        <v>27</v>
      </c>
      <c r="V7912" s="308"/>
    </row>
    <row r="7913">
      <c r="A7913" s="308"/>
      <c r="B7913" s="308"/>
      <c r="C7913" s="308" t="s">
        <v>31207</v>
      </c>
      <c r="D7913" s="308">
        <f>IFERROR(__xludf.DUMMYFUNCTION("SPLIT(C7913,""-"")"),7933.0)</f>
        <v>7933</v>
      </c>
      <c r="E7913" s="308" t="str">
        <f>IFERROR(__xludf.DUMMYFUNCTION("""COMPUTED_VALUE"""),"B")</f>
        <v>B</v>
      </c>
      <c r="F7913" s="315" t="s">
        <v>26</v>
      </c>
      <c r="G7913" s="308"/>
      <c r="H7913" s="308" t="s">
        <v>31208</v>
      </c>
      <c r="I7913" s="314">
        <v>43049.0</v>
      </c>
      <c r="J7913" s="319">
        <f>IFERROR(__xludf.DUMMYFUNCTION("SPLIT(I7913,""/"")"),10.0)</f>
        <v>10</v>
      </c>
      <c r="K7913" s="308">
        <f>IFERROR(__xludf.DUMMYFUNCTION("""COMPUTED_VALUE"""),11.0)</f>
        <v>11</v>
      </c>
      <c r="L7913" s="308">
        <f>IFERROR(__xludf.DUMMYFUNCTION("""COMPUTED_VALUE"""),2017.0)</f>
        <v>2017</v>
      </c>
      <c r="M7913" s="308" t="s">
        <v>31209</v>
      </c>
      <c r="N7913" s="308"/>
      <c r="O7913" s="308"/>
      <c r="P7913" s="308" t="s">
        <v>40006</v>
      </c>
      <c r="Q7913" s="308"/>
      <c r="R7913" s="308"/>
      <c r="S7913" s="308" t="s">
        <v>81</v>
      </c>
      <c r="T7913" s="308" t="s">
        <v>75</v>
      </c>
      <c r="U7913" s="308" t="s">
        <v>27</v>
      </c>
      <c r="V7913" s="308"/>
    </row>
    <row r="7914">
      <c r="A7914" s="308"/>
      <c r="B7914" s="308"/>
      <c r="C7914" s="308" t="s">
        <v>31211</v>
      </c>
      <c r="D7914" s="308">
        <f>IFERROR(__xludf.DUMMYFUNCTION("SPLIT(C7914,""-"")"),7934.0)</f>
        <v>7934</v>
      </c>
      <c r="E7914" s="308" t="str">
        <f>IFERROR(__xludf.DUMMYFUNCTION("""COMPUTED_VALUE"""),"B")</f>
        <v>B</v>
      </c>
      <c r="F7914" s="315" t="s">
        <v>26</v>
      </c>
      <c r="G7914" s="308"/>
      <c r="H7914" s="308" t="s">
        <v>31212</v>
      </c>
      <c r="I7914" s="310">
        <v>42776.0</v>
      </c>
      <c r="J7914" s="319">
        <f>IFERROR(__xludf.DUMMYFUNCTION("SPLIT(I7914,""/"")"),10.0)</f>
        <v>10</v>
      </c>
      <c r="K7914" s="308">
        <f>IFERROR(__xludf.DUMMYFUNCTION("""COMPUTED_VALUE"""),2.0)</f>
        <v>2</v>
      </c>
      <c r="L7914" s="308">
        <f>IFERROR(__xludf.DUMMYFUNCTION("""COMPUTED_VALUE"""),2017.0)</f>
        <v>2017</v>
      </c>
      <c r="M7914" s="308" t="s">
        <v>31213</v>
      </c>
      <c r="N7914" s="308"/>
      <c r="O7914" s="308"/>
      <c r="P7914" s="308" t="s">
        <v>40007</v>
      </c>
      <c r="Q7914" s="308"/>
      <c r="R7914" s="308"/>
      <c r="S7914" s="308" t="s">
        <v>81</v>
      </c>
      <c r="T7914" s="308" t="s">
        <v>75</v>
      </c>
      <c r="U7914" s="308" t="s">
        <v>27</v>
      </c>
      <c r="V7914" s="308"/>
    </row>
    <row r="7915">
      <c r="A7915" s="308"/>
      <c r="B7915" s="308"/>
      <c r="C7915" s="308" t="s">
        <v>31215</v>
      </c>
      <c r="D7915" s="308">
        <f>IFERROR(__xludf.DUMMYFUNCTION("SPLIT(C7915,""-"")"),7935.0)</f>
        <v>7935</v>
      </c>
      <c r="E7915" s="308" t="str">
        <f>IFERROR(__xludf.DUMMYFUNCTION("""COMPUTED_VALUE"""),"B")</f>
        <v>B</v>
      </c>
      <c r="F7915" s="315" t="s">
        <v>26</v>
      </c>
      <c r="G7915" s="308"/>
      <c r="H7915" s="308" t="s">
        <v>31216</v>
      </c>
      <c r="I7915" s="314">
        <v>43049.0</v>
      </c>
      <c r="J7915" s="319">
        <f>IFERROR(__xludf.DUMMYFUNCTION("SPLIT(I7915,""/"")"),10.0)</f>
        <v>10</v>
      </c>
      <c r="K7915" s="308">
        <f>IFERROR(__xludf.DUMMYFUNCTION("""COMPUTED_VALUE"""),11.0)</f>
        <v>11</v>
      </c>
      <c r="L7915" s="308">
        <f>IFERROR(__xludf.DUMMYFUNCTION("""COMPUTED_VALUE"""),2017.0)</f>
        <v>2017</v>
      </c>
      <c r="M7915" s="308" t="s">
        <v>31205</v>
      </c>
      <c r="N7915" s="308"/>
      <c r="O7915" s="308"/>
      <c r="P7915" s="308" t="s">
        <v>40008</v>
      </c>
      <c r="Q7915" s="308"/>
      <c r="R7915" s="308"/>
      <c r="S7915" s="308" t="s">
        <v>81</v>
      </c>
      <c r="T7915" s="308" t="s">
        <v>75</v>
      </c>
      <c r="U7915" s="308" t="s">
        <v>27</v>
      </c>
      <c r="V7915" s="308"/>
    </row>
    <row r="7916">
      <c r="A7916" s="308"/>
      <c r="B7916" s="308"/>
      <c r="C7916" s="308" t="s">
        <v>31218</v>
      </c>
      <c r="D7916" s="308">
        <f>IFERROR(__xludf.DUMMYFUNCTION("SPLIT(C7916,""-"")"),7936.0)</f>
        <v>7936</v>
      </c>
      <c r="E7916" s="308" t="str">
        <f>IFERROR(__xludf.DUMMYFUNCTION("""COMPUTED_VALUE"""),"B")</f>
        <v>B</v>
      </c>
      <c r="F7916" s="315" t="s">
        <v>26</v>
      </c>
      <c r="G7916" s="308"/>
      <c r="H7916" s="308" t="s">
        <v>31219</v>
      </c>
      <c r="I7916" s="314">
        <v>43049.0</v>
      </c>
      <c r="J7916" s="319">
        <f>IFERROR(__xludf.DUMMYFUNCTION("SPLIT(I7916,""/"")"),10.0)</f>
        <v>10</v>
      </c>
      <c r="K7916" s="308">
        <f>IFERROR(__xludf.DUMMYFUNCTION("""COMPUTED_VALUE"""),11.0)</f>
        <v>11</v>
      </c>
      <c r="L7916" s="308">
        <f>IFERROR(__xludf.DUMMYFUNCTION("""COMPUTED_VALUE"""),2017.0)</f>
        <v>2017</v>
      </c>
      <c r="M7916" s="308" t="s">
        <v>31205</v>
      </c>
      <c r="N7916" s="308"/>
      <c r="O7916" s="308"/>
      <c r="P7916" s="308" t="s">
        <v>40009</v>
      </c>
      <c r="Q7916" s="308"/>
      <c r="R7916" s="308"/>
      <c r="S7916" s="308" t="s">
        <v>81</v>
      </c>
      <c r="T7916" s="308" t="s">
        <v>75</v>
      </c>
      <c r="U7916" s="308" t="s">
        <v>27</v>
      </c>
      <c r="V7916" s="308"/>
    </row>
    <row r="7917">
      <c r="A7917" s="308"/>
      <c r="B7917" s="308"/>
      <c r="C7917" s="308" t="s">
        <v>31221</v>
      </c>
      <c r="D7917" s="308">
        <f>IFERROR(__xludf.DUMMYFUNCTION("SPLIT(C7917,""-"")"),7937.0)</f>
        <v>7937</v>
      </c>
      <c r="E7917" s="308" t="str">
        <f>IFERROR(__xludf.DUMMYFUNCTION("""COMPUTED_VALUE"""),"B")</f>
        <v>B</v>
      </c>
      <c r="F7917" s="315" t="s">
        <v>26</v>
      </c>
      <c r="G7917" s="308"/>
      <c r="H7917" s="308" t="s">
        <v>31222</v>
      </c>
      <c r="I7917" s="314">
        <v>43049.0</v>
      </c>
      <c r="J7917" s="319">
        <f>IFERROR(__xludf.DUMMYFUNCTION("SPLIT(I7917,""/"")"),10.0)</f>
        <v>10</v>
      </c>
      <c r="K7917" s="308">
        <f>IFERROR(__xludf.DUMMYFUNCTION("""COMPUTED_VALUE"""),11.0)</f>
        <v>11</v>
      </c>
      <c r="L7917" s="308">
        <f>IFERROR(__xludf.DUMMYFUNCTION("""COMPUTED_VALUE"""),2017.0)</f>
        <v>2017</v>
      </c>
      <c r="M7917" s="308" t="s">
        <v>31205</v>
      </c>
      <c r="N7917" s="308"/>
      <c r="O7917" s="308"/>
      <c r="P7917" s="308" t="s">
        <v>40010</v>
      </c>
      <c r="Q7917" s="308"/>
      <c r="R7917" s="308"/>
      <c r="S7917" s="308" t="s">
        <v>81</v>
      </c>
      <c r="T7917" s="308" t="s">
        <v>75</v>
      </c>
      <c r="U7917" s="308" t="s">
        <v>27</v>
      </c>
      <c r="V7917" s="308"/>
    </row>
    <row r="7918">
      <c r="A7918" s="308"/>
      <c r="B7918" s="308"/>
      <c r="C7918" s="308" t="s">
        <v>31224</v>
      </c>
      <c r="D7918" s="308">
        <f>IFERROR(__xludf.DUMMYFUNCTION("SPLIT(C7918,""-"")"),7938.0)</f>
        <v>7938</v>
      </c>
      <c r="E7918" s="308" t="str">
        <f>IFERROR(__xludf.DUMMYFUNCTION("""COMPUTED_VALUE"""),"B")</f>
        <v>B</v>
      </c>
      <c r="F7918" s="315" t="s">
        <v>26</v>
      </c>
      <c r="G7918" s="308"/>
      <c r="H7918" s="308" t="s">
        <v>31225</v>
      </c>
      <c r="I7918" s="314">
        <v>43049.0</v>
      </c>
      <c r="J7918" s="319">
        <f>IFERROR(__xludf.DUMMYFUNCTION("SPLIT(I7918,""/"")"),10.0)</f>
        <v>10</v>
      </c>
      <c r="K7918" s="308">
        <f>IFERROR(__xludf.DUMMYFUNCTION("""COMPUTED_VALUE"""),11.0)</f>
        <v>11</v>
      </c>
      <c r="L7918" s="308">
        <f>IFERROR(__xludf.DUMMYFUNCTION("""COMPUTED_VALUE"""),2017.0)</f>
        <v>2017</v>
      </c>
      <c r="M7918" s="308" t="s">
        <v>31205</v>
      </c>
      <c r="N7918" s="308"/>
      <c r="O7918" s="308"/>
      <c r="P7918" s="308" t="s">
        <v>40011</v>
      </c>
      <c r="Q7918" s="308"/>
      <c r="R7918" s="308"/>
      <c r="S7918" s="308" t="s">
        <v>81</v>
      </c>
      <c r="T7918" s="308" t="s">
        <v>75</v>
      </c>
      <c r="U7918" s="308" t="s">
        <v>27</v>
      </c>
      <c r="V7918" s="308"/>
    </row>
    <row r="7919">
      <c r="A7919" s="308"/>
      <c r="B7919" s="308"/>
      <c r="C7919" s="308" t="s">
        <v>31227</v>
      </c>
      <c r="D7919" s="308">
        <f>IFERROR(__xludf.DUMMYFUNCTION("SPLIT(C7919,""-"")"),7939.0)</f>
        <v>7939</v>
      </c>
      <c r="E7919" s="308" t="str">
        <f>IFERROR(__xludf.DUMMYFUNCTION("""COMPUTED_VALUE"""),"B")</f>
        <v>B</v>
      </c>
      <c r="F7919" s="315" t="s">
        <v>26</v>
      </c>
      <c r="G7919" s="308"/>
      <c r="H7919" s="308" t="s">
        <v>31228</v>
      </c>
      <c r="I7919" s="314">
        <v>43049.0</v>
      </c>
      <c r="J7919" s="319">
        <f>IFERROR(__xludf.DUMMYFUNCTION("SPLIT(I7919,""/"")"),10.0)</f>
        <v>10</v>
      </c>
      <c r="K7919" s="308">
        <f>IFERROR(__xludf.DUMMYFUNCTION("""COMPUTED_VALUE"""),11.0)</f>
        <v>11</v>
      </c>
      <c r="L7919" s="308">
        <f>IFERROR(__xludf.DUMMYFUNCTION("""COMPUTED_VALUE"""),2017.0)</f>
        <v>2017</v>
      </c>
      <c r="M7919" s="308" t="s">
        <v>31205</v>
      </c>
      <c r="N7919" s="308"/>
      <c r="O7919" s="308"/>
      <c r="P7919" s="308" t="s">
        <v>40012</v>
      </c>
      <c r="Q7919" s="308"/>
      <c r="R7919" s="308"/>
      <c r="S7919" s="308" t="s">
        <v>81</v>
      </c>
      <c r="T7919" s="308" t="s">
        <v>75</v>
      </c>
      <c r="U7919" s="308" t="s">
        <v>27</v>
      </c>
      <c r="V7919" s="308"/>
    </row>
    <row r="7920">
      <c r="A7920" s="308"/>
      <c r="B7920" s="308"/>
      <c r="C7920" s="308" t="s">
        <v>31230</v>
      </c>
      <c r="D7920" s="308">
        <f>IFERROR(__xludf.DUMMYFUNCTION("SPLIT(C7920,""-"")"),7940.0)</f>
        <v>7940</v>
      </c>
      <c r="E7920" s="308" t="str">
        <f>IFERROR(__xludf.DUMMYFUNCTION("""COMPUTED_VALUE"""),"B")</f>
        <v>B</v>
      </c>
      <c r="F7920" s="315" t="s">
        <v>26</v>
      </c>
      <c r="G7920" s="308"/>
      <c r="H7920" s="308" t="s">
        <v>31231</v>
      </c>
      <c r="I7920" s="314">
        <v>43049.0</v>
      </c>
      <c r="J7920" s="319">
        <f>IFERROR(__xludf.DUMMYFUNCTION("SPLIT(I7920,""/"")"),10.0)</f>
        <v>10</v>
      </c>
      <c r="K7920" s="308">
        <f>IFERROR(__xludf.DUMMYFUNCTION("""COMPUTED_VALUE"""),11.0)</f>
        <v>11</v>
      </c>
      <c r="L7920" s="308">
        <f>IFERROR(__xludf.DUMMYFUNCTION("""COMPUTED_VALUE"""),2017.0)</f>
        <v>2017</v>
      </c>
      <c r="M7920" s="308" t="s">
        <v>31205</v>
      </c>
      <c r="N7920" s="308"/>
      <c r="O7920" s="308"/>
      <c r="P7920" s="308" t="s">
        <v>40013</v>
      </c>
      <c r="Q7920" s="308"/>
      <c r="R7920" s="308"/>
      <c r="S7920" s="308" t="s">
        <v>81</v>
      </c>
      <c r="T7920" s="308" t="s">
        <v>75</v>
      </c>
      <c r="U7920" s="308" t="s">
        <v>27</v>
      </c>
      <c r="V7920" s="308"/>
    </row>
    <row r="7921">
      <c r="A7921" s="308"/>
      <c r="B7921" s="308"/>
      <c r="C7921" s="308" t="s">
        <v>31233</v>
      </c>
      <c r="D7921" s="308">
        <f>IFERROR(__xludf.DUMMYFUNCTION("SPLIT(C7921,""-"")"),7941.0)</f>
        <v>7941</v>
      </c>
      <c r="E7921" s="308" t="str">
        <f>IFERROR(__xludf.DUMMYFUNCTION("""COMPUTED_VALUE"""),"B")</f>
        <v>B</v>
      </c>
      <c r="F7921" s="315" t="s">
        <v>26</v>
      </c>
      <c r="G7921" s="308"/>
      <c r="H7921" s="308" t="s">
        <v>31234</v>
      </c>
      <c r="I7921" s="314">
        <v>43049.0</v>
      </c>
      <c r="J7921" s="319">
        <f>IFERROR(__xludf.DUMMYFUNCTION("SPLIT(I7921,""/"")"),10.0)</f>
        <v>10</v>
      </c>
      <c r="K7921" s="308">
        <f>IFERROR(__xludf.DUMMYFUNCTION("""COMPUTED_VALUE"""),11.0)</f>
        <v>11</v>
      </c>
      <c r="L7921" s="308">
        <f>IFERROR(__xludf.DUMMYFUNCTION("""COMPUTED_VALUE"""),2017.0)</f>
        <v>2017</v>
      </c>
      <c r="M7921" s="308" t="s">
        <v>31205</v>
      </c>
      <c r="N7921" s="308"/>
      <c r="O7921" s="308"/>
      <c r="P7921" s="308" t="s">
        <v>40014</v>
      </c>
      <c r="Q7921" s="308"/>
      <c r="R7921" s="308"/>
      <c r="S7921" s="308" t="s">
        <v>81</v>
      </c>
      <c r="T7921" s="308" t="s">
        <v>75</v>
      </c>
      <c r="U7921" s="308" t="s">
        <v>27</v>
      </c>
      <c r="V7921" s="308"/>
    </row>
    <row r="7922">
      <c r="A7922" s="308"/>
      <c r="B7922" s="308"/>
      <c r="C7922" s="308" t="s">
        <v>31236</v>
      </c>
      <c r="D7922" s="308">
        <f>IFERROR(__xludf.DUMMYFUNCTION("SPLIT(C7922,""-"")"),7942.0)</f>
        <v>7942</v>
      </c>
      <c r="E7922" s="308" t="str">
        <f>IFERROR(__xludf.DUMMYFUNCTION("""COMPUTED_VALUE"""),"B")</f>
        <v>B</v>
      </c>
      <c r="F7922" s="315" t="s">
        <v>26</v>
      </c>
      <c r="G7922" s="308"/>
      <c r="H7922" s="308" t="s">
        <v>31237</v>
      </c>
      <c r="I7922" s="314">
        <v>43049.0</v>
      </c>
      <c r="J7922" s="319">
        <f>IFERROR(__xludf.DUMMYFUNCTION("SPLIT(I7922,""/"")"),10.0)</f>
        <v>10</v>
      </c>
      <c r="K7922" s="308">
        <f>IFERROR(__xludf.DUMMYFUNCTION("""COMPUTED_VALUE"""),11.0)</f>
        <v>11</v>
      </c>
      <c r="L7922" s="308">
        <f>IFERROR(__xludf.DUMMYFUNCTION("""COMPUTED_VALUE"""),2017.0)</f>
        <v>2017</v>
      </c>
      <c r="M7922" s="308" t="s">
        <v>31205</v>
      </c>
      <c r="N7922" s="308"/>
      <c r="O7922" s="308"/>
      <c r="P7922" s="308" t="s">
        <v>40015</v>
      </c>
      <c r="Q7922" s="308"/>
      <c r="R7922" s="308"/>
      <c r="S7922" s="308" t="s">
        <v>81</v>
      </c>
      <c r="T7922" s="308" t="s">
        <v>75</v>
      </c>
      <c r="U7922" s="308" t="s">
        <v>27</v>
      </c>
      <c r="V7922" s="308"/>
    </row>
    <row r="7923">
      <c r="A7923" s="308"/>
      <c r="B7923" s="308"/>
      <c r="C7923" s="308" t="s">
        <v>31239</v>
      </c>
      <c r="D7923" s="308">
        <f>IFERROR(__xludf.DUMMYFUNCTION("SPLIT(C7923,""-"")"),7943.0)</f>
        <v>7943</v>
      </c>
      <c r="E7923" s="308" t="str">
        <f>IFERROR(__xludf.DUMMYFUNCTION("""COMPUTED_VALUE"""),"B")</f>
        <v>B</v>
      </c>
      <c r="F7923" s="315" t="s">
        <v>26</v>
      </c>
      <c r="G7923" s="308"/>
      <c r="H7923" s="308" t="s">
        <v>31240</v>
      </c>
      <c r="I7923" s="314">
        <v>43049.0</v>
      </c>
      <c r="J7923" s="319">
        <f>IFERROR(__xludf.DUMMYFUNCTION("SPLIT(I7923,""/"")"),10.0)</f>
        <v>10</v>
      </c>
      <c r="K7923" s="308">
        <f>IFERROR(__xludf.DUMMYFUNCTION("""COMPUTED_VALUE"""),11.0)</f>
        <v>11</v>
      </c>
      <c r="L7923" s="308">
        <f>IFERROR(__xludf.DUMMYFUNCTION("""COMPUTED_VALUE"""),2017.0)</f>
        <v>2017</v>
      </c>
      <c r="M7923" s="308" t="s">
        <v>31205</v>
      </c>
      <c r="N7923" s="308"/>
      <c r="O7923" s="308"/>
      <c r="P7923" s="308" t="s">
        <v>40016</v>
      </c>
      <c r="Q7923" s="308"/>
      <c r="R7923" s="308"/>
      <c r="S7923" s="308" t="s">
        <v>81</v>
      </c>
      <c r="T7923" s="308" t="s">
        <v>75</v>
      </c>
      <c r="U7923" s="308" t="s">
        <v>27</v>
      </c>
      <c r="V7923" s="308"/>
    </row>
    <row r="7924">
      <c r="A7924" s="308"/>
      <c r="B7924" s="308"/>
      <c r="C7924" s="308" t="s">
        <v>31242</v>
      </c>
      <c r="D7924" s="308">
        <f>IFERROR(__xludf.DUMMYFUNCTION("SPLIT(C7924,""-"")"),7944.0)</f>
        <v>7944</v>
      </c>
      <c r="E7924" s="308" t="str">
        <f>IFERROR(__xludf.DUMMYFUNCTION("""COMPUTED_VALUE"""),"B")</f>
        <v>B</v>
      </c>
      <c r="F7924" s="315" t="s">
        <v>26</v>
      </c>
      <c r="G7924" s="308"/>
      <c r="H7924" s="308" t="s">
        <v>31243</v>
      </c>
      <c r="I7924" s="314">
        <v>43049.0</v>
      </c>
      <c r="J7924" s="319">
        <f>IFERROR(__xludf.DUMMYFUNCTION("SPLIT(I7924,""/"")"),10.0)</f>
        <v>10</v>
      </c>
      <c r="K7924" s="308">
        <f>IFERROR(__xludf.DUMMYFUNCTION("""COMPUTED_VALUE"""),11.0)</f>
        <v>11</v>
      </c>
      <c r="L7924" s="308">
        <f>IFERROR(__xludf.DUMMYFUNCTION("""COMPUTED_VALUE"""),2017.0)</f>
        <v>2017</v>
      </c>
      <c r="M7924" s="308" t="s">
        <v>31205</v>
      </c>
      <c r="N7924" s="308"/>
      <c r="O7924" s="308"/>
      <c r="P7924" s="308" t="s">
        <v>40017</v>
      </c>
      <c r="Q7924" s="308"/>
      <c r="R7924" s="308"/>
      <c r="S7924" s="308" t="s">
        <v>81</v>
      </c>
      <c r="T7924" s="308" t="s">
        <v>75</v>
      </c>
      <c r="U7924" s="308" t="s">
        <v>27</v>
      </c>
      <c r="V7924" s="308"/>
    </row>
    <row r="7925">
      <c r="A7925" s="308"/>
      <c r="B7925" s="308"/>
      <c r="C7925" s="308" t="s">
        <v>31245</v>
      </c>
      <c r="D7925" s="308">
        <f>IFERROR(__xludf.DUMMYFUNCTION("SPLIT(C7925,""-"")"),7945.0)</f>
        <v>7945</v>
      </c>
      <c r="E7925" s="308" t="str">
        <f>IFERROR(__xludf.DUMMYFUNCTION("""COMPUTED_VALUE"""),"B")</f>
        <v>B</v>
      </c>
      <c r="F7925" s="315" t="s">
        <v>26</v>
      </c>
      <c r="G7925" s="308"/>
      <c r="H7925" s="308" t="s">
        <v>31246</v>
      </c>
      <c r="I7925" s="314">
        <v>43049.0</v>
      </c>
      <c r="J7925" s="319">
        <f>IFERROR(__xludf.DUMMYFUNCTION("SPLIT(I7925,""/"")"),10.0)</f>
        <v>10</v>
      </c>
      <c r="K7925" s="308">
        <f>IFERROR(__xludf.DUMMYFUNCTION("""COMPUTED_VALUE"""),11.0)</f>
        <v>11</v>
      </c>
      <c r="L7925" s="308">
        <f>IFERROR(__xludf.DUMMYFUNCTION("""COMPUTED_VALUE"""),2017.0)</f>
        <v>2017</v>
      </c>
      <c r="M7925" s="308" t="s">
        <v>31205</v>
      </c>
      <c r="N7925" s="308"/>
      <c r="O7925" s="308"/>
      <c r="P7925" s="308" t="s">
        <v>40018</v>
      </c>
      <c r="Q7925" s="308"/>
      <c r="R7925" s="308"/>
      <c r="S7925" s="308" t="s">
        <v>81</v>
      </c>
      <c r="T7925" s="308" t="s">
        <v>75</v>
      </c>
      <c r="U7925" s="308" t="s">
        <v>27</v>
      </c>
      <c r="V7925" s="308"/>
    </row>
    <row r="7926">
      <c r="A7926" s="308"/>
      <c r="B7926" s="308"/>
      <c r="C7926" s="308" t="s">
        <v>31248</v>
      </c>
      <c r="D7926" s="308">
        <f>IFERROR(__xludf.DUMMYFUNCTION("SPLIT(C7926,""-"")"),7946.0)</f>
        <v>7946</v>
      </c>
      <c r="E7926" s="308" t="str">
        <f>IFERROR(__xludf.DUMMYFUNCTION("""COMPUTED_VALUE"""),"B")</f>
        <v>B</v>
      </c>
      <c r="F7926" s="315" t="s">
        <v>26</v>
      </c>
      <c r="G7926" s="308"/>
      <c r="H7926" s="308" t="s">
        <v>31249</v>
      </c>
      <c r="I7926" s="314">
        <v>43049.0</v>
      </c>
      <c r="J7926" s="319">
        <f>IFERROR(__xludf.DUMMYFUNCTION("SPLIT(I7926,""/"")"),10.0)</f>
        <v>10</v>
      </c>
      <c r="K7926" s="308">
        <f>IFERROR(__xludf.DUMMYFUNCTION("""COMPUTED_VALUE"""),11.0)</f>
        <v>11</v>
      </c>
      <c r="L7926" s="308">
        <f>IFERROR(__xludf.DUMMYFUNCTION("""COMPUTED_VALUE"""),2017.0)</f>
        <v>2017</v>
      </c>
      <c r="M7926" s="308" t="s">
        <v>31205</v>
      </c>
      <c r="N7926" s="308"/>
      <c r="O7926" s="308"/>
      <c r="P7926" s="308" t="s">
        <v>40019</v>
      </c>
      <c r="Q7926" s="308"/>
      <c r="R7926" s="308"/>
      <c r="S7926" s="308" t="s">
        <v>81</v>
      </c>
      <c r="T7926" s="308" t="s">
        <v>75</v>
      </c>
      <c r="U7926" s="308" t="s">
        <v>27</v>
      </c>
      <c r="V7926" s="308"/>
    </row>
    <row r="7927">
      <c r="A7927" s="308"/>
      <c r="B7927" s="308"/>
      <c r="C7927" s="308" t="s">
        <v>31251</v>
      </c>
      <c r="D7927" s="308">
        <f>IFERROR(__xludf.DUMMYFUNCTION("SPLIT(C7927,""-"")"),7947.0)</f>
        <v>7947</v>
      </c>
      <c r="E7927" s="308" t="str">
        <f>IFERROR(__xludf.DUMMYFUNCTION("""COMPUTED_VALUE"""),"B")</f>
        <v>B</v>
      </c>
      <c r="F7927" s="315" t="s">
        <v>26</v>
      </c>
      <c r="G7927" s="308"/>
      <c r="H7927" s="308" t="s">
        <v>31252</v>
      </c>
      <c r="I7927" s="314">
        <v>43027.0</v>
      </c>
      <c r="J7927" s="319">
        <f>IFERROR(__xludf.DUMMYFUNCTION("SPLIT(I7927,""/"")"),19.0)</f>
        <v>19</v>
      </c>
      <c r="K7927" s="308">
        <f>IFERROR(__xludf.DUMMYFUNCTION("""COMPUTED_VALUE"""),10.0)</f>
        <v>10</v>
      </c>
      <c r="L7927" s="308">
        <f>IFERROR(__xludf.DUMMYFUNCTION("""COMPUTED_VALUE"""),2017.0)</f>
        <v>2017</v>
      </c>
      <c r="M7927" s="308" t="s">
        <v>31253</v>
      </c>
      <c r="N7927" s="308"/>
      <c r="O7927" s="308"/>
      <c r="P7927" s="308" t="s">
        <v>40020</v>
      </c>
      <c r="Q7927" s="308"/>
      <c r="R7927" s="308"/>
      <c r="S7927" s="308" t="s">
        <v>81</v>
      </c>
      <c r="T7927" s="308" t="s">
        <v>75</v>
      </c>
      <c r="U7927" s="308" t="s">
        <v>27</v>
      </c>
      <c r="V7927" s="308"/>
    </row>
    <row r="7928">
      <c r="A7928" s="308"/>
      <c r="B7928" s="308"/>
      <c r="C7928" s="308" t="s">
        <v>31255</v>
      </c>
      <c r="D7928" s="308">
        <f>IFERROR(__xludf.DUMMYFUNCTION("SPLIT(C7928,""-"")"),7948.0)</f>
        <v>7948</v>
      </c>
      <c r="E7928" s="308" t="str">
        <f>IFERROR(__xludf.DUMMYFUNCTION("""COMPUTED_VALUE"""),"B")</f>
        <v>B</v>
      </c>
      <c r="F7928" s="315" t="s">
        <v>26</v>
      </c>
      <c r="G7928" s="308"/>
      <c r="H7928" s="308" t="s">
        <v>31256</v>
      </c>
      <c r="I7928" s="314">
        <v>43030.0</v>
      </c>
      <c r="J7928" s="319">
        <f>IFERROR(__xludf.DUMMYFUNCTION("SPLIT(I7928,""/"")"),22.0)</f>
        <v>22</v>
      </c>
      <c r="K7928" s="308">
        <f>IFERROR(__xludf.DUMMYFUNCTION("""COMPUTED_VALUE"""),10.0)</f>
        <v>10</v>
      </c>
      <c r="L7928" s="308">
        <f>IFERROR(__xludf.DUMMYFUNCTION("""COMPUTED_VALUE"""),2017.0)</f>
        <v>2017</v>
      </c>
      <c r="M7928" s="308" t="s">
        <v>31257</v>
      </c>
      <c r="N7928" s="308"/>
      <c r="O7928" s="308"/>
      <c r="P7928" s="308" t="s">
        <v>136</v>
      </c>
      <c r="Q7928" s="308"/>
      <c r="R7928" s="308"/>
      <c r="S7928" s="315" t="s">
        <v>100</v>
      </c>
      <c r="T7928" s="308" t="s">
        <v>34208</v>
      </c>
      <c r="U7928" s="308" t="s">
        <v>27</v>
      </c>
      <c r="V7928" s="308"/>
    </row>
    <row r="7929">
      <c r="A7929" s="308"/>
      <c r="B7929" s="308"/>
      <c r="C7929" s="308" t="s">
        <v>31258</v>
      </c>
      <c r="D7929" s="308">
        <f>IFERROR(__xludf.DUMMYFUNCTION("SPLIT(C7929,""-"")"),7949.0)</f>
        <v>7949</v>
      </c>
      <c r="E7929" s="308" t="str">
        <f>IFERROR(__xludf.DUMMYFUNCTION("""COMPUTED_VALUE"""),"B")</f>
        <v>B</v>
      </c>
      <c r="F7929" s="315" t="s">
        <v>26</v>
      </c>
      <c r="G7929" s="308"/>
      <c r="H7929" s="308" t="s">
        <v>31259</v>
      </c>
      <c r="I7929" s="314">
        <v>43037.0</v>
      </c>
      <c r="J7929" s="319">
        <f>IFERROR(__xludf.DUMMYFUNCTION("SPLIT(I7929,""/"")"),29.0)</f>
        <v>29</v>
      </c>
      <c r="K7929" s="308">
        <f>IFERROR(__xludf.DUMMYFUNCTION("""COMPUTED_VALUE"""),10.0)</f>
        <v>10</v>
      </c>
      <c r="L7929" s="308">
        <f>IFERROR(__xludf.DUMMYFUNCTION("""COMPUTED_VALUE"""),2017.0)</f>
        <v>2017</v>
      </c>
      <c r="M7929" s="308" t="s">
        <v>31260</v>
      </c>
      <c r="N7929" s="308"/>
      <c r="O7929" s="308"/>
      <c r="P7929" s="308" t="s">
        <v>40021</v>
      </c>
      <c r="Q7929" s="308"/>
      <c r="R7929" s="308"/>
      <c r="S7929" s="308" t="s">
        <v>81</v>
      </c>
      <c r="T7929" s="308" t="s">
        <v>75</v>
      </c>
      <c r="U7929" s="308" t="s">
        <v>27</v>
      </c>
      <c r="V7929" s="308"/>
    </row>
    <row r="7930">
      <c r="A7930" s="308"/>
      <c r="B7930" s="308"/>
      <c r="C7930" s="308" t="s">
        <v>31262</v>
      </c>
      <c r="D7930" s="308">
        <f>IFERROR(__xludf.DUMMYFUNCTION("SPLIT(C7930,""-"")"),7950.0)</f>
        <v>7950</v>
      </c>
      <c r="E7930" s="308" t="str">
        <f>IFERROR(__xludf.DUMMYFUNCTION("""COMPUTED_VALUE"""),"B")</f>
        <v>B</v>
      </c>
      <c r="F7930" s="315" t="s">
        <v>26</v>
      </c>
      <c r="G7930" s="308"/>
      <c r="H7930" s="308" t="s">
        <v>31263</v>
      </c>
      <c r="I7930" s="314">
        <v>43036.0</v>
      </c>
      <c r="J7930" s="319">
        <f>IFERROR(__xludf.DUMMYFUNCTION("SPLIT(I7930,""/"")"),28.0)</f>
        <v>28</v>
      </c>
      <c r="K7930" s="308">
        <f>IFERROR(__xludf.DUMMYFUNCTION("""COMPUTED_VALUE"""),10.0)</f>
        <v>10</v>
      </c>
      <c r="L7930" s="308">
        <f>IFERROR(__xludf.DUMMYFUNCTION("""COMPUTED_VALUE"""),2017.0)</f>
        <v>2017</v>
      </c>
      <c r="M7930" s="308" t="s">
        <v>31264</v>
      </c>
      <c r="N7930" s="308"/>
      <c r="O7930" s="308"/>
      <c r="P7930" s="308" t="s">
        <v>40022</v>
      </c>
      <c r="Q7930" s="308"/>
      <c r="R7930" s="308"/>
      <c r="S7930" s="308" t="s">
        <v>81</v>
      </c>
      <c r="T7930" s="308" t="s">
        <v>75</v>
      </c>
      <c r="U7930" s="308" t="s">
        <v>27</v>
      </c>
      <c r="V7930" s="308"/>
    </row>
    <row r="7931">
      <c r="A7931" s="308"/>
      <c r="B7931" s="308"/>
      <c r="C7931" s="308" t="s">
        <v>31266</v>
      </c>
      <c r="D7931" s="308">
        <f>IFERROR(__xludf.DUMMYFUNCTION("SPLIT(C7931,""-"")"),7951.0)</f>
        <v>7951</v>
      </c>
      <c r="E7931" s="308" t="str">
        <f>IFERROR(__xludf.DUMMYFUNCTION("""COMPUTED_VALUE"""),"B")</f>
        <v>B</v>
      </c>
      <c r="F7931" s="315" t="s">
        <v>26</v>
      </c>
      <c r="G7931" s="308"/>
      <c r="H7931" s="308" t="s">
        <v>31267</v>
      </c>
      <c r="I7931" s="314">
        <v>43036.0</v>
      </c>
      <c r="J7931" s="319">
        <f>IFERROR(__xludf.DUMMYFUNCTION("SPLIT(I7931,""/"")"),28.0)</f>
        <v>28</v>
      </c>
      <c r="K7931" s="308">
        <f>IFERROR(__xludf.DUMMYFUNCTION("""COMPUTED_VALUE"""),10.0)</f>
        <v>10</v>
      </c>
      <c r="L7931" s="308">
        <f>IFERROR(__xludf.DUMMYFUNCTION("""COMPUTED_VALUE"""),2017.0)</f>
        <v>2017</v>
      </c>
      <c r="M7931" s="308" t="s">
        <v>31264</v>
      </c>
      <c r="N7931" s="308"/>
      <c r="O7931" s="308"/>
      <c r="P7931" s="308" t="s">
        <v>40023</v>
      </c>
      <c r="Q7931" s="308"/>
      <c r="R7931" s="308"/>
      <c r="S7931" s="308" t="s">
        <v>81</v>
      </c>
      <c r="T7931" s="308" t="s">
        <v>75</v>
      </c>
      <c r="U7931" s="308" t="s">
        <v>27</v>
      </c>
      <c r="V7931" s="308"/>
    </row>
    <row r="7932">
      <c r="A7932" s="308"/>
      <c r="B7932" s="308"/>
      <c r="C7932" s="308" t="s">
        <v>31269</v>
      </c>
      <c r="D7932" s="308">
        <f>IFERROR(__xludf.DUMMYFUNCTION("SPLIT(C7932,""-"")"),7952.0)</f>
        <v>7952</v>
      </c>
      <c r="E7932" s="308" t="str">
        <f>IFERROR(__xludf.DUMMYFUNCTION("""COMPUTED_VALUE"""),"B")</f>
        <v>B</v>
      </c>
      <c r="F7932" s="315" t="s">
        <v>26</v>
      </c>
      <c r="G7932" s="308"/>
      <c r="H7932" s="308" t="s">
        <v>31270</v>
      </c>
      <c r="I7932" s="314">
        <v>43037.0</v>
      </c>
      <c r="J7932" s="319">
        <f>IFERROR(__xludf.DUMMYFUNCTION("SPLIT(I7932,""/"")"),29.0)</f>
        <v>29</v>
      </c>
      <c r="K7932" s="308">
        <f>IFERROR(__xludf.DUMMYFUNCTION("""COMPUTED_VALUE"""),10.0)</f>
        <v>10</v>
      </c>
      <c r="L7932" s="308">
        <f>IFERROR(__xludf.DUMMYFUNCTION("""COMPUTED_VALUE"""),2017.0)</f>
        <v>2017</v>
      </c>
      <c r="M7932" s="308" t="s">
        <v>31260</v>
      </c>
      <c r="N7932" s="308"/>
      <c r="O7932" s="308"/>
      <c r="P7932" s="308" t="s">
        <v>40024</v>
      </c>
      <c r="Q7932" s="308"/>
      <c r="R7932" s="308"/>
      <c r="S7932" s="308" t="s">
        <v>81</v>
      </c>
      <c r="T7932" s="308" t="s">
        <v>75</v>
      </c>
      <c r="U7932" s="308" t="s">
        <v>27</v>
      </c>
      <c r="V7932" s="308"/>
    </row>
    <row r="7933">
      <c r="A7933" s="308"/>
      <c r="B7933" s="308"/>
      <c r="C7933" s="308" t="s">
        <v>31272</v>
      </c>
      <c r="D7933" s="308">
        <f>IFERROR(__xludf.DUMMYFUNCTION("SPLIT(C7933,""-"")"),7953.0)</f>
        <v>7953</v>
      </c>
      <c r="E7933" s="308" t="str">
        <f>IFERROR(__xludf.DUMMYFUNCTION("""COMPUTED_VALUE"""),"B")</f>
        <v>B</v>
      </c>
      <c r="F7933" s="315" t="s">
        <v>26</v>
      </c>
      <c r="G7933" s="308"/>
      <c r="H7933" s="308" t="s">
        <v>31273</v>
      </c>
      <c r="I7933" s="314">
        <v>43037.0</v>
      </c>
      <c r="J7933" s="319">
        <f>IFERROR(__xludf.DUMMYFUNCTION("SPLIT(I7933,""/"")"),29.0)</f>
        <v>29</v>
      </c>
      <c r="K7933" s="308">
        <f>IFERROR(__xludf.DUMMYFUNCTION("""COMPUTED_VALUE"""),10.0)</f>
        <v>10</v>
      </c>
      <c r="L7933" s="308">
        <f>IFERROR(__xludf.DUMMYFUNCTION("""COMPUTED_VALUE"""),2017.0)</f>
        <v>2017</v>
      </c>
      <c r="M7933" s="308" t="s">
        <v>31260</v>
      </c>
      <c r="N7933" s="308"/>
      <c r="O7933" s="308"/>
      <c r="P7933" s="308" t="s">
        <v>40025</v>
      </c>
      <c r="Q7933" s="308"/>
      <c r="R7933" s="308"/>
      <c r="S7933" s="308" t="s">
        <v>81</v>
      </c>
      <c r="T7933" s="308" t="s">
        <v>75</v>
      </c>
      <c r="U7933" s="308" t="s">
        <v>27</v>
      </c>
      <c r="V7933" s="308"/>
    </row>
    <row r="7934">
      <c r="A7934" s="308"/>
      <c r="B7934" s="308"/>
      <c r="C7934" s="308" t="s">
        <v>31275</v>
      </c>
      <c r="D7934" s="308">
        <f>IFERROR(__xludf.DUMMYFUNCTION("SPLIT(C7934,""-"")"),7954.0)</f>
        <v>7954</v>
      </c>
      <c r="E7934" s="308" t="str">
        <f>IFERROR(__xludf.DUMMYFUNCTION("""COMPUTED_VALUE"""),"B")</f>
        <v>B</v>
      </c>
      <c r="F7934" s="315" t="s">
        <v>26</v>
      </c>
      <c r="G7934" s="308"/>
      <c r="H7934" s="308" t="s">
        <v>31276</v>
      </c>
      <c r="I7934" s="314">
        <v>43037.0</v>
      </c>
      <c r="J7934" s="319">
        <f>IFERROR(__xludf.DUMMYFUNCTION("SPLIT(I7934,""/"")"),29.0)</f>
        <v>29</v>
      </c>
      <c r="K7934" s="308">
        <f>IFERROR(__xludf.DUMMYFUNCTION("""COMPUTED_VALUE"""),10.0)</f>
        <v>10</v>
      </c>
      <c r="L7934" s="308">
        <f>IFERROR(__xludf.DUMMYFUNCTION("""COMPUTED_VALUE"""),2017.0)</f>
        <v>2017</v>
      </c>
      <c r="M7934" s="308" t="s">
        <v>31260</v>
      </c>
      <c r="N7934" s="308"/>
      <c r="O7934" s="308"/>
      <c r="P7934" s="308" t="s">
        <v>40026</v>
      </c>
      <c r="Q7934" s="308"/>
      <c r="R7934" s="308"/>
      <c r="S7934" s="308" t="s">
        <v>81</v>
      </c>
      <c r="T7934" s="308" t="s">
        <v>75</v>
      </c>
      <c r="U7934" s="308" t="s">
        <v>27</v>
      </c>
      <c r="V7934" s="308"/>
    </row>
    <row r="7935">
      <c r="A7935" s="308"/>
      <c r="B7935" s="308"/>
      <c r="C7935" s="308" t="s">
        <v>31278</v>
      </c>
      <c r="D7935" s="308">
        <f>IFERROR(__xludf.DUMMYFUNCTION("SPLIT(C7935,""-"")"),7955.0)</f>
        <v>7955</v>
      </c>
      <c r="E7935" s="308" t="str">
        <f>IFERROR(__xludf.DUMMYFUNCTION("""COMPUTED_VALUE"""),"B")</f>
        <v>B</v>
      </c>
      <c r="F7935" s="315" t="s">
        <v>26</v>
      </c>
      <c r="G7935" s="308"/>
      <c r="H7935" s="308" t="s">
        <v>31279</v>
      </c>
      <c r="I7935" s="314">
        <v>43037.0</v>
      </c>
      <c r="J7935" s="319">
        <f>IFERROR(__xludf.DUMMYFUNCTION("SPLIT(I7935,""/"")"),29.0)</f>
        <v>29</v>
      </c>
      <c r="K7935" s="308">
        <f>IFERROR(__xludf.DUMMYFUNCTION("""COMPUTED_VALUE"""),10.0)</f>
        <v>10</v>
      </c>
      <c r="L7935" s="308">
        <f>IFERROR(__xludf.DUMMYFUNCTION("""COMPUTED_VALUE"""),2017.0)</f>
        <v>2017</v>
      </c>
      <c r="M7935" s="308" t="s">
        <v>31260</v>
      </c>
      <c r="N7935" s="308"/>
      <c r="O7935" s="308"/>
      <c r="P7935" s="308" t="s">
        <v>40027</v>
      </c>
      <c r="Q7935" s="308"/>
      <c r="R7935" s="308"/>
      <c r="S7935" s="308" t="s">
        <v>81</v>
      </c>
      <c r="T7935" s="308" t="s">
        <v>75</v>
      </c>
      <c r="U7935" s="308" t="s">
        <v>27</v>
      </c>
      <c r="V7935" s="308"/>
    </row>
    <row r="7936">
      <c r="A7936" s="308"/>
      <c r="B7936" s="308"/>
      <c r="C7936" s="308" t="s">
        <v>31281</v>
      </c>
      <c r="D7936" s="308">
        <f>IFERROR(__xludf.DUMMYFUNCTION("SPLIT(C7936,""-"")"),7956.0)</f>
        <v>7956</v>
      </c>
      <c r="E7936" s="308" t="str">
        <f>IFERROR(__xludf.DUMMYFUNCTION("""COMPUTED_VALUE"""),"B")</f>
        <v>B</v>
      </c>
      <c r="F7936" s="315" t="s">
        <v>26</v>
      </c>
      <c r="G7936" s="308"/>
      <c r="H7936" s="308" t="s">
        <v>31282</v>
      </c>
      <c r="I7936" s="314">
        <v>43037.0</v>
      </c>
      <c r="J7936" s="319">
        <f>IFERROR(__xludf.DUMMYFUNCTION("SPLIT(I7936,""/"")"),29.0)</f>
        <v>29</v>
      </c>
      <c r="K7936" s="308">
        <f>IFERROR(__xludf.DUMMYFUNCTION("""COMPUTED_VALUE"""),10.0)</f>
        <v>10</v>
      </c>
      <c r="L7936" s="308">
        <f>IFERROR(__xludf.DUMMYFUNCTION("""COMPUTED_VALUE"""),2017.0)</f>
        <v>2017</v>
      </c>
      <c r="M7936" s="308" t="s">
        <v>31260</v>
      </c>
      <c r="N7936" s="308"/>
      <c r="O7936" s="308"/>
      <c r="P7936" s="308" t="s">
        <v>40028</v>
      </c>
      <c r="Q7936" s="308"/>
      <c r="R7936" s="308"/>
      <c r="S7936" s="308" t="s">
        <v>81</v>
      </c>
      <c r="T7936" s="308" t="s">
        <v>75</v>
      </c>
      <c r="U7936" s="308" t="s">
        <v>27</v>
      </c>
      <c r="V7936" s="308"/>
    </row>
    <row r="7937">
      <c r="A7937" s="308"/>
      <c r="B7937" s="308"/>
      <c r="C7937" s="308" t="s">
        <v>31284</v>
      </c>
      <c r="D7937" s="308">
        <f>IFERROR(__xludf.DUMMYFUNCTION("SPLIT(C7937,""-"")"),7957.0)</f>
        <v>7957</v>
      </c>
      <c r="E7937" s="308" t="str">
        <f>IFERROR(__xludf.DUMMYFUNCTION("""COMPUTED_VALUE"""),"B")</f>
        <v>B</v>
      </c>
      <c r="F7937" s="315" t="s">
        <v>26</v>
      </c>
      <c r="G7937" s="308"/>
      <c r="H7937" s="308" t="s">
        <v>31285</v>
      </c>
      <c r="I7937" s="314">
        <v>43037.0</v>
      </c>
      <c r="J7937" s="319">
        <f>IFERROR(__xludf.DUMMYFUNCTION("SPLIT(I7937,""/"")"),29.0)</f>
        <v>29</v>
      </c>
      <c r="K7937" s="308">
        <f>IFERROR(__xludf.DUMMYFUNCTION("""COMPUTED_VALUE"""),10.0)</f>
        <v>10</v>
      </c>
      <c r="L7937" s="308">
        <f>IFERROR(__xludf.DUMMYFUNCTION("""COMPUTED_VALUE"""),2017.0)</f>
        <v>2017</v>
      </c>
      <c r="M7937" s="308" t="s">
        <v>31260</v>
      </c>
      <c r="N7937" s="308"/>
      <c r="O7937" s="308"/>
      <c r="P7937" s="308" t="s">
        <v>40029</v>
      </c>
      <c r="Q7937" s="308"/>
      <c r="R7937" s="308"/>
      <c r="S7937" s="308" t="s">
        <v>81</v>
      </c>
      <c r="T7937" s="308" t="s">
        <v>75</v>
      </c>
      <c r="U7937" s="308" t="s">
        <v>27</v>
      </c>
      <c r="V7937" s="308"/>
    </row>
    <row r="7938">
      <c r="A7938" s="308"/>
      <c r="B7938" s="308"/>
      <c r="C7938" s="308" t="s">
        <v>31287</v>
      </c>
      <c r="D7938" s="308">
        <f>IFERROR(__xludf.DUMMYFUNCTION("SPLIT(C7938,""-"")"),7958.0)</f>
        <v>7958</v>
      </c>
      <c r="E7938" s="308" t="str">
        <f>IFERROR(__xludf.DUMMYFUNCTION("""COMPUTED_VALUE"""),"B")</f>
        <v>B</v>
      </c>
      <c r="F7938" s="315" t="s">
        <v>26</v>
      </c>
      <c r="G7938" s="308"/>
      <c r="H7938" s="308" t="s">
        <v>31288</v>
      </c>
      <c r="I7938" s="314">
        <v>43037.0</v>
      </c>
      <c r="J7938" s="319">
        <f>IFERROR(__xludf.DUMMYFUNCTION("SPLIT(I7938,""/"")"),29.0)</f>
        <v>29</v>
      </c>
      <c r="K7938" s="308">
        <f>IFERROR(__xludf.DUMMYFUNCTION("""COMPUTED_VALUE"""),10.0)</f>
        <v>10</v>
      </c>
      <c r="L7938" s="308">
        <f>IFERROR(__xludf.DUMMYFUNCTION("""COMPUTED_VALUE"""),2017.0)</f>
        <v>2017</v>
      </c>
      <c r="M7938" s="308" t="s">
        <v>31260</v>
      </c>
      <c r="N7938" s="308"/>
      <c r="O7938" s="308"/>
      <c r="P7938" s="308" t="s">
        <v>40030</v>
      </c>
      <c r="Q7938" s="308"/>
      <c r="R7938" s="308"/>
      <c r="S7938" s="308" t="s">
        <v>81</v>
      </c>
      <c r="T7938" s="308" t="s">
        <v>75</v>
      </c>
      <c r="U7938" s="308" t="s">
        <v>27</v>
      </c>
      <c r="V7938" s="308"/>
    </row>
    <row r="7939">
      <c r="A7939" s="308"/>
      <c r="B7939" s="308"/>
      <c r="C7939" s="308" t="s">
        <v>31290</v>
      </c>
      <c r="D7939" s="308">
        <f>IFERROR(__xludf.DUMMYFUNCTION("SPLIT(C7939,""-"")"),7959.0)</f>
        <v>7959</v>
      </c>
      <c r="E7939" s="308" t="str">
        <f>IFERROR(__xludf.DUMMYFUNCTION("""COMPUTED_VALUE"""),"B")</f>
        <v>B</v>
      </c>
      <c r="F7939" s="315" t="s">
        <v>26</v>
      </c>
      <c r="G7939" s="308"/>
      <c r="H7939" s="308" t="s">
        <v>31291</v>
      </c>
      <c r="I7939" s="314">
        <v>43037.0</v>
      </c>
      <c r="J7939" s="319">
        <f>IFERROR(__xludf.DUMMYFUNCTION("SPLIT(I7939,""/"")"),29.0)</f>
        <v>29</v>
      </c>
      <c r="K7939" s="308">
        <f>IFERROR(__xludf.DUMMYFUNCTION("""COMPUTED_VALUE"""),10.0)</f>
        <v>10</v>
      </c>
      <c r="L7939" s="308">
        <f>IFERROR(__xludf.DUMMYFUNCTION("""COMPUTED_VALUE"""),2017.0)</f>
        <v>2017</v>
      </c>
      <c r="M7939" s="308" t="s">
        <v>31260</v>
      </c>
      <c r="N7939" s="308"/>
      <c r="O7939" s="308"/>
      <c r="P7939" s="308" t="s">
        <v>40031</v>
      </c>
      <c r="Q7939" s="308"/>
      <c r="R7939" s="308"/>
      <c r="S7939" s="308" t="s">
        <v>81</v>
      </c>
      <c r="T7939" s="308" t="s">
        <v>75</v>
      </c>
      <c r="U7939" s="308" t="s">
        <v>27</v>
      </c>
      <c r="V7939" s="308"/>
    </row>
    <row r="7940">
      <c r="A7940" s="308"/>
      <c r="B7940" s="308"/>
      <c r="C7940" s="308" t="s">
        <v>31293</v>
      </c>
      <c r="D7940" s="308">
        <f>IFERROR(__xludf.DUMMYFUNCTION("SPLIT(C7940,""-"")"),7960.0)</f>
        <v>7960</v>
      </c>
      <c r="E7940" s="308" t="str">
        <f>IFERROR(__xludf.DUMMYFUNCTION("""COMPUTED_VALUE"""),"B")</f>
        <v>B</v>
      </c>
      <c r="F7940" s="315" t="s">
        <v>26</v>
      </c>
      <c r="G7940" s="308"/>
      <c r="H7940" s="308" t="s">
        <v>31294</v>
      </c>
      <c r="I7940" s="314">
        <v>43037.0</v>
      </c>
      <c r="J7940" s="319">
        <f>IFERROR(__xludf.DUMMYFUNCTION("SPLIT(I7940,""/"")"),29.0)</f>
        <v>29</v>
      </c>
      <c r="K7940" s="308">
        <f>IFERROR(__xludf.DUMMYFUNCTION("""COMPUTED_VALUE"""),10.0)</f>
        <v>10</v>
      </c>
      <c r="L7940" s="308">
        <f>IFERROR(__xludf.DUMMYFUNCTION("""COMPUTED_VALUE"""),2017.0)</f>
        <v>2017</v>
      </c>
      <c r="M7940" s="308" t="s">
        <v>31260</v>
      </c>
      <c r="N7940" s="308"/>
      <c r="O7940" s="308"/>
      <c r="P7940" s="308" t="s">
        <v>40032</v>
      </c>
      <c r="Q7940" s="308"/>
      <c r="R7940" s="308"/>
      <c r="S7940" s="308" t="s">
        <v>81</v>
      </c>
      <c r="T7940" s="308" t="s">
        <v>75</v>
      </c>
      <c r="U7940" s="308" t="s">
        <v>27</v>
      </c>
      <c r="V7940" s="308"/>
    </row>
    <row r="7941">
      <c r="A7941" s="308"/>
      <c r="B7941" s="308"/>
      <c r="C7941" s="308" t="s">
        <v>31296</v>
      </c>
      <c r="D7941" s="308">
        <f>IFERROR(__xludf.DUMMYFUNCTION("SPLIT(C7941,""-"")"),7961.0)</f>
        <v>7961</v>
      </c>
      <c r="E7941" s="308" t="str">
        <f>IFERROR(__xludf.DUMMYFUNCTION("""COMPUTED_VALUE"""),"B")</f>
        <v>B</v>
      </c>
      <c r="F7941" s="315" t="s">
        <v>26</v>
      </c>
      <c r="G7941" s="308"/>
      <c r="H7941" s="308" t="s">
        <v>31297</v>
      </c>
      <c r="I7941" s="314">
        <v>43037.0</v>
      </c>
      <c r="J7941" s="319">
        <f>IFERROR(__xludf.DUMMYFUNCTION("SPLIT(I7941,""/"")"),29.0)</f>
        <v>29</v>
      </c>
      <c r="K7941" s="308">
        <f>IFERROR(__xludf.DUMMYFUNCTION("""COMPUTED_VALUE"""),10.0)</f>
        <v>10</v>
      </c>
      <c r="L7941" s="308">
        <f>IFERROR(__xludf.DUMMYFUNCTION("""COMPUTED_VALUE"""),2017.0)</f>
        <v>2017</v>
      </c>
      <c r="M7941" s="308" t="s">
        <v>31260</v>
      </c>
      <c r="N7941" s="308"/>
      <c r="O7941" s="308"/>
      <c r="P7941" s="308" t="s">
        <v>40033</v>
      </c>
      <c r="Q7941" s="308"/>
      <c r="R7941" s="308"/>
      <c r="S7941" s="308" t="s">
        <v>81</v>
      </c>
      <c r="T7941" s="308" t="s">
        <v>75</v>
      </c>
      <c r="U7941" s="308" t="s">
        <v>27</v>
      </c>
      <c r="V7941" s="308"/>
    </row>
    <row r="7942">
      <c r="A7942" s="308"/>
      <c r="B7942" s="308"/>
      <c r="C7942" s="308" t="s">
        <v>31299</v>
      </c>
      <c r="D7942" s="308">
        <f>IFERROR(__xludf.DUMMYFUNCTION("SPLIT(C7942,""-"")"),7962.0)</f>
        <v>7962</v>
      </c>
      <c r="E7942" s="308" t="str">
        <f>IFERROR(__xludf.DUMMYFUNCTION("""COMPUTED_VALUE"""),"B")</f>
        <v>B</v>
      </c>
      <c r="F7942" s="315" t="s">
        <v>26</v>
      </c>
      <c r="G7942" s="308"/>
      <c r="H7942" s="308" t="s">
        <v>18090</v>
      </c>
      <c r="I7942" s="314">
        <v>43037.0</v>
      </c>
      <c r="J7942" s="319">
        <f>IFERROR(__xludf.DUMMYFUNCTION("SPLIT(I7942,""/"")"),29.0)</f>
        <v>29</v>
      </c>
      <c r="K7942" s="308">
        <f>IFERROR(__xludf.DUMMYFUNCTION("""COMPUTED_VALUE"""),10.0)</f>
        <v>10</v>
      </c>
      <c r="L7942" s="308">
        <f>IFERROR(__xludf.DUMMYFUNCTION("""COMPUTED_VALUE"""),2017.0)</f>
        <v>2017</v>
      </c>
      <c r="M7942" s="308" t="s">
        <v>31260</v>
      </c>
      <c r="N7942" s="308"/>
      <c r="O7942" s="308"/>
      <c r="P7942" s="308" t="s">
        <v>40034</v>
      </c>
      <c r="Q7942" s="308"/>
      <c r="R7942" s="308"/>
      <c r="S7942" s="308" t="s">
        <v>81</v>
      </c>
      <c r="T7942" s="308" t="s">
        <v>75</v>
      </c>
      <c r="U7942" s="308" t="s">
        <v>27</v>
      </c>
      <c r="V7942" s="308"/>
    </row>
    <row r="7943">
      <c r="A7943" s="308"/>
      <c r="B7943" s="308"/>
      <c r="C7943" s="308" t="s">
        <v>31301</v>
      </c>
      <c r="D7943" s="308">
        <f>IFERROR(__xludf.DUMMYFUNCTION("SPLIT(C7943,""-"")"),7963.0)</f>
        <v>7963</v>
      </c>
      <c r="E7943" s="308" t="str">
        <f>IFERROR(__xludf.DUMMYFUNCTION("""COMPUTED_VALUE"""),"B")</f>
        <v>B</v>
      </c>
      <c r="F7943" s="315" t="s">
        <v>26</v>
      </c>
      <c r="G7943" s="308"/>
      <c r="H7943" s="308" t="s">
        <v>31302</v>
      </c>
      <c r="I7943" s="314">
        <v>43037.0</v>
      </c>
      <c r="J7943" s="319">
        <f>IFERROR(__xludf.DUMMYFUNCTION("SPLIT(I7943,""/"")"),29.0)</f>
        <v>29</v>
      </c>
      <c r="K7943" s="308">
        <f>IFERROR(__xludf.DUMMYFUNCTION("""COMPUTED_VALUE"""),10.0)</f>
        <v>10</v>
      </c>
      <c r="L7943" s="308">
        <f>IFERROR(__xludf.DUMMYFUNCTION("""COMPUTED_VALUE"""),2017.0)</f>
        <v>2017</v>
      </c>
      <c r="M7943" s="308" t="s">
        <v>31260</v>
      </c>
      <c r="N7943" s="308"/>
      <c r="O7943" s="308"/>
      <c r="P7943" s="308" t="s">
        <v>40035</v>
      </c>
      <c r="Q7943" s="308"/>
      <c r="R7943" s="308"/>
      <c r="S7943" s="308" t="s">
        <v>81</v>
      </c>
      <c r="T7943" s="308" t="s">
        <v>75</v>
      </c>
      <c r="U7943" s="308" t="s">
        <v>27</v>
      </c>
      <c r="V7943" s="308"/>
    </row>
    <row r="7944">
      <c r="A7944" s="308"/>
      <c r="B7944" s="308"/>
      <c r="C7944" s="308" t="s">
        <v>31304</v>
      </c>
      <c r="D7944" s="308">
        <f>IFERROR(__xludf.DUMMYFUNCTION("SPLIT(C7944,""-"")"),7964.0)</f>
        <v>7964</v>
      </c>
      <c r="E7944" s="308" t="str">
        <f>IFERROR(__xludf.DUMMYFUNCTION("""COMPUTED_VALUE"""),"B")</f>
        <v>B</v>
      </c>
      <c r="F7944" s="315" t="s">
        <v>26</v>
      </c>
      <c r="G7944" s="308"/>
      <c r="H7944" s="308" t="s">
        <v>31305</v>
      </c>
      <c r="I7944" s="314">
        <v>43037.0</v>
      </c>
      <c r="J7944" s="319">
        <f>IFERROR(__xludf.DUMMYFUNCTION("SPLIT(I7944,""/"")"),29.0)</f>
        <v>29</v>
      </c>
      <c r="K7944" s="308">
        <f>IFERROR(__xludf.DUMMYFUNCTION("""COMPUTED_VALUE"""),10.0)</f>
        <v>10</v>
      </c>
      <c r="L7944" s="308">
        <f>IFERROR(__xludf.DUMMYFUNCTION("""COMPUTED_VALUE"""),2017.0)</f>
        <v>2017</v>
      </c>
      <c r="M7944" s="308" t="s">
        <v>31260</v>
      </c>
      <c r="N7944" s="308"/>
      <c r="O7944" s="308"/>
      <c r="P7944" s="308" t="s">
        <v>40036</v>
      </c>
      <c r="Q7944" s="308"/>
      <c r="R7944" s="308"/>
      <c r="S7944" s="308" t="s">
        <v>81</v>
      </c>
      <c r="T7944" s="308" t="s">
        <v>75</v>
      </c>
      <c r="U7944" s="308" t="s">
        <v>27</v>
      </c>
      <c r="V7944" s="308"/>
    </row>
    <row r="7945">
      <c r="A7945" s="308"/>
      <c r="B7945" s="308"/>
      <c r="C7945" s="308" t="s">
        <v>31307</v>
      </c>
      <c r="D7945" s="308">
        <f>IFERROR(__xludf.DUMMYFUNCTION("SPLIT(C7945,""-"")"),7965.0)</f>
        <v>7965</v>
      </c>
      <c r="E7945" s="308" t="str">
        <f>IFERROR(__xludf.DUMMYFUNCTION("""COMPUTED_VALUE"""),"B")</f>
        <v>B</v>
      </c>
      <c r="F7945" s="315" t="s">
        <v>26</v>
      </c>
      <c r="G7945" s="308"/>
      <c r="H7945" s="308" t="s">
        <v>31308</v>
      </c>
      <c r="I7945" s="314">
        <v>43037.0</v>
      </c>
      <c r="J7945" s="319">
        <f>IFERROR(__xludf.DUMMYFUNCTION("SPLIT(I7945,""/"")"),29.0)</f>
        <v>29</v>
      </c>
      <c r="K7945" s="308">
        <f>IFERROR(__xludf.DUMMYFUNCTION("""COMPUTED_VALUE"""),10.0)</f>
        <v>10</v>
      </c>
      <c r="L7945" s="308">
        <f>IFERROR(__xludf.DUMMYFUNCTION("""COMPUTED_VALUE"""),2017.0)</f>
        <v>2017</v>
      </c>
      <c r="M7945" s="308" t="s">
        <v>31260</v>
      </c>
      <c r="N7945" s="308"/>
      <c r="O7945" s="308"/>
      <c r="P7945" s="308" t="s">
        <v>40037</v>
      </c>
      <c r="Q7945" s="308"/>
      <c r="R7945" s="308"/>
      <c r="S7945" s="308" t="s">
        <v>81</v>
      </c>
      <c r="T7945" s="308" t="s">
        <v>75</v>
      </c>
      <c r="U7945" s="308" t="s">
        <v>27</v>
      </c>
      <c r="V7945" s="308"/>
    </row>
    <row r="7946">
      <c r="A7946" s="308"/>
      <c r="B7946" s="308"/>
      <c r="C7946" s="308" t="s">
        <v>31310</v>
      </c>
      <c r="D7946" s="308">
        <f>IFERROR(__xludf.DUMMYFUNCTION("SPLIT(C7946,""-"")"),7966.0)</f>
        <v>7966</v>
      </c>
      <c r="E7946" s="308" t="str">
        <f>IFERROR(__xludf.DUMMYFUNCTION("""COMPUTED_VALUE"""),"B")</f>
        <v>B</v>
      </c>
      <c r="F7946" s="315" t="s">
        <v>26</v>
      </c>
      <c r="G7946" s="308"/>
      <c r="H7946" s="308" t="s">
        <v>31311</v>
      </c>
      <c r="I7946" s="314">
        <v>43037.0</v>
      </c>
      <c r="J7946" s="319">
        <f>IFERROR(__xludf.DUMMYFUNCTION("SPLIT(I7946,""/"")"),29.0)</f>
        <v>29</v>
      </c>
      <c r="K7946" s="308">
        <f>IFERROR(__xludf.DUMMYFUNCTION("""COMPUTED_VALUE"""),10.0)</f>
        <v>10</v>
      </c>
      <c r="L7946" s="308">
        <f>IFERROR(__xludf.DUMMYFUNCTION("""COMPUTED_VALUE"""),2017.0)</f>
        <v>2017</v>
      </c>
      <c r="M7946" s="308" t="s">
        <v>31260</v>
      </c>
      <c r="N7946" s="308"/>
      <c r="O7946" s="308"/>
      <c r="P7946" s="308" t="s">
        <v>40038</v>
      </c>
      <c r="Q7946" s="308"/>
      <c r="R7946" s="308"/>
      <c r="S7946" s="308" t="s">
        <v>81</v>
      </c>
      <c r="T7946" s="308" t="s">
        <v>75</v>
      </c>
      <c r="U7946" s="308" t="s">
        <v>27</v>
      </c>
      <c r="V7946" s="308"/>
    </row>
    <row r="7947">
      <c r="A7947" s="308"/>
      <c r="B7947" s="308"/>
      <c r="C7947" s="308" t="s">
        <v>31313</v>
      </c>
      <c r="D7947" s="308">
        <f>IFERROR(__xludf.DUMMYFUNCTION("SPLIT(C7947,""-"")"),7967.0)</f>
        <v>7967</v>
      </c>
      <c r="E7947" s="308" t="str">
        <f>IFERROR(__xludf.DUMMYFUNCTION("""COMPUTED_VALUE"""),"B")</f>
        <v>B</v>
      </c>
      <c r="F7947" s="315" t="s">
        <v>26</v>
      </c>
      <c r="G7947" s="308"/>
      <c r="H7947" s="308" t="s">
        <v>31314</v>
      </c>
      <c r="I7947" s="310">
        <v>44286.0</v>
      </c>
      <c r="J7947" s="319">
        <f>IFERROR(__xludf.DUMMYFUNCTION("SPLIT(I7947,""/"")"),31.0)</f>
        <v>31</v>
      </c>
      <c r="K7947" s="308">
        <f>IFERROR(__xludf.DUMMYFUNCTION("""COMPUTED_VALUE"""),3.0)</f>
        <v>3</v>
      </c>
      <c r="L7947" s="308">
        <f>IFERROR(__xludf.DUMMYFUNCTION("""COMPUTED_VALUE"""),2021.0)</f>
        <v>2021</v>
      </c>
      <c r="M7947" s="308" t="s">
        <v>31315</v>
      </c>
      <c r="N7947" s="308" t="s">
        <v>31316</v>
      </c>
      <c r="O7947" s="308"/>
      <c r="P7947" s="308" t="s">
        <v>40039</v>
      </c>
      <c r="Q7947" s="308" t="s">
        <v>40040</v>
      </c>
      <c r="R7947" s="308" t="s">
        <v>31318</v>
      </c>
      <c r="S7947" s="308" t="s">
        <v>81</v>
      </c>
      <c r="T7947" s="308" t="s">
        <v>75</v>
      </c>
      <c r="U7947" s="308" t="s">
        <v>27</v>
      </c>
      <c r="V7947" s="308"/>
    </row>
    <row r="7948">
      <c r="A7948" s="308"/>
      <c r="B7948" s="308"/>
      <c r="C7948" s="308" t="s">
        <v>31319</v>
      </c>
      <c r="D7948" s="308">
        <f>IFERROR(__xludf.DUMMYFUNCTION("SPLIT(C7948,""-"")"),7968.0)</f>
        <v>7968</v>
      </c>
      <c r="E7948" s="308" t="str">
        <f>IFERROR(__xludf.DUMMYFUNCTION("""COMPUTED_VALUE"""),"B")</f>
        <v>B</v>
      </c>
      <c r="F7948" s="315" t="s">
        <v>26</v>
      </c>
      <c r="G7948" s="308"/>
      <c r="H7948" s="308" t="s">
        <v>31320</v>
      </c>
      <c r="I7948" s="310">
        <v>44286.0</v>
      </c>
      <c r="J7948" s="319">
        <f>IFERROR(__xludf.DUMMYFUNCTION("SPLIT(I7948,""/"")"),31.0)</f>
        <v>31</v>
      </c>
      <c r="K7948" s="308">
        <f>IFERROR(__xludf.DUMMYFUNCTION("""COMPUTED_VALUE"""),3.0)</f>
        <v>3</v>
      </c>
      <c r="L7948" s="308">
        <f>IFERROR(__xludf.DUMMYFUNCTION("""COMPUTED_VALUE"""),2021.0)</f>
        <v>2021</v>
      </c>
      <c r="M7948" s="308" t="s">
        <v>31315</v>
      </c>
      <c r="N7948" s="308" t="s">
        <v>31321</v>
      </c>
      <c r="O7948" s="308"/>
      <c r="P7948" s="308" t="s">
        <v>40041</v>
      </c>
      <c r="Q7948" s="308" t="s">
        <v>40040</v>
      </c>
      <c r="R7948" s="308" t="s">
        <v>31318</v>
      </c>
      <c r="S7948" s="308" t="s">
        <v>81</v>
      </c>
      <c r="T7948" s="308" t="s">
        <v>75</v>
      </c>
      <c r="U7948" s="308" t="s">
        <v>27</v>
      </c>
      <c r="V7948" s="308"/>
    </row>
    <row r="7949">
      <c r="A7949" s="308"/>
      <c r="B7949" s="308"/>
      <c r="C7949" s="308" t="s">
        <v>31323</v>
      </c>
      <c r="D7949" s="308">
        <f>IFERROR(__xludf.DUMMYFUNCTION("SPLIT(C7949,""-"")"),7969.0)</f>
        <v>7969</v>
      </c>
      <c r="E7949" s="308" t="str">
        <f>IFERROR(__xludf.DUMMYFUNCTION("""COMPUTED_VALUE"""),"K")</f>
        <v>K</v>
      </c>
      <c r="F7949" s="309" t="s">
        <v>34</v>
      </c>
      <c r="G7949" s="308"/>
      <c r="H7949" s="308" t="s">
        <v>31324</v>
      </c>
      <c r="I7949" s="314">
        <v>44187.0</v>
      </c>
      <c r="J7949" s="319">
        <f>IFERROR(__xludf.DUMMYFUNCTION("SPLIT(I7949,""/"")"),22.0)</f>
        <v>22</v>
      </c>
      <c r="K7949" s="308">
        <f>IFERROR(__xludf.DUMMYFUNCTION("""COMPUTED_VALUE"""),12.0)</f>
        <v>12</v>
      </c>
      <c r="L7949" s="308">
        <f>IFERROR(__xludf.DUMMYFUNCTION("""COMPUTED_VALUE"""),2020.0)</f>
        <v>2020</v>
      </c>
      <c r="M7949" s="308" t="s">
        <v>31325</v>
      </c>
      <c r="N7949" s="308" t="s">
        <v>31326</v>
      </c>
      <c r="O7949" s="308"/>
      <c r="P7949" s="308" t="s">
        <v>31327</v>
      </c>
      <c r="Q7949" s="308" t="s">
        <v>40040</v>
      </c>
      <c r="R7949" s="308" t="s">
        <v>2743</v>
      </c>
      <c r="S7949" s="308" t="s">
        <v>81</v>
      </c>
      <c r="T7949" s="308" t="s">
        <v>34264</v>
      </c>
      <c r="U7949" s="308" t="s">
        <v>22473</v>
      </c>
      <c r="V7949" s="308"/>
    </row>
    <row r="7950">
      <c r="A7950" s="308"/>
      <c r="B7950" s="308"/>
      <c r="C7950" s="308" t="s">
        <v>31328</v>
      </c>
      <c r="D7950" s="308">
        <f>IFERROR(__xludf.DUMMYFUNCTION("SPLIT(C7950,""-"")"),7970.0)</f>
        <v>7970</v>
      </c>
      <c r="E7950" s="308" t="str">
        <f>IFERROR(__xludf.DUMMYFUNCTION("""COMPUTED_VALUE"""),"I")</f>
        <v>I</v>
      </c>
      <c r="F7950" s="309" t="s">
        <v>31</v>
      </c>
      <c r="G7950" s="308"/>
      <c r="H7950" s="308" t="s">
        <v>31329</v>
      </c>
      <c r="I7950" s="310">
        <v>44321.0</v>
      </c>
      <c r="J7950" s="319">
        <f>IFERROR(__xludf.DUMMYFUNCTION("SPLIT(I7950,""/"")"),5.0)</f>
        <v>5</v>
      </c>
      <c r="K7950" s="308">
        <f>IFERROR(__xludf.DUMMYFUNCTION("""COMPUTED_VALUE"""),5.0)</f>
        <v>5</v>
      </c>
      <c r="L7950" s="308">
        <f>IFERROR(__xludf.DUMMYFUNCTION("""COMPUTED_VALUE"""),2021.0)</f>
        <v>2021</v>
      </c>
      <c r="M7950" s="308" t="s">
        <v>31330</v>
      </c>
      <c r="N7950" s="308" t="s">
        <v>31331</v>
      </c>
      <c r="O7950" s="308"/>
      <c r="P7950" s="308" t="s">
        <v>40042</v>
      </c>
      <c r="Q7950" s="308" t="s">
        <v>40040</v>
      </c>
      <c r="R7950" s="308" t="s">
        <v>2743</v>
      </c>
      <c r="S7950" s="308" t="s">
        <v>81</v>
      </c>
      <c r="T7950" s="311" t="s">
        <v>51</v>
      </c>
      <c r="U7950" s="308" t="s">
        <v>31</v>
      </c>
      <c r="V7950" s="308"/>
    </row>
    <row r="7951">
      <c r="A7951" s="308"/>
      <c r="B7951" s="308"/>
      <c r="C7951" s="308" t="s">
        <v>31333</v>
      </c>
      <c r="D7951" s="308">
        <f>IFERROR(__xludf.DUMMYFUNCTION("SPLIT(C7951,""-"")"),7971.0)</f>
        <v>7971</v>
      </c>
      <c r="E7951" s="308" t="str">
        <f>IFERROR(__xludf.DUMMYFUNCTION("""COMPUTED_VALUE"""),"K")</f>
        <v>K</v>
      </c>
      <c r="F7951" s="309" t="s">
        <v>34</v>
      </c>
      <c r="G7951" s="308"/>
      <c r="H7951" s="308" t="s">
        <v>31334</v>
      </c>
      <c r="I7951" s="310">
        <v>44258.0</v>
      </c>
      <c r="J7951" s="319">
        <f>IFERROR(__xludf.DUMMYFUNCTION("SPLIT(I7951,""/"")"),3.0)</f>
        <v>3</v>
      </c>
      <c r="K7951" s="308">
        <f>IFERROR(__xludf.DUMMYFUNCTION("""COMPUTED_VALUE"""),3.0)</f>
        <v>3</v>
      </c>
      <c r="L7951" s="308">
        <f>IFERROR(__xludf.DUMMYFUNCTION("""COMPUTED_VALUE"""),2021.0)</f>
        <v>2021</v>
      </c>
      <c r="M7951" s="308" t="s">
        <v>31335</v>
      </c>
      <c r="N7951" s="308" t="s">
        <v>31336</v>
      </c>
      <c r="O7951" s="308"/>
      <c r="P7951" s="308" t="s">
        <v>31337</v>
      </c>
      <c r="Q7951" s="308" t="s">
        <v>40040</v>
      </c>
      <c r="R7951" s="308" t="s">
        <v>30692</v>
      </c>
      <c r="S7951" s="308" t="s">
        <v>81</v>
      </c>
      <c r="T7951" s="311" t="s">
        <v>91</v>
      </c>
      <c r="U7951" s="308" t="s">
        <v>7530</v>
      </c>
      <c r="V7951" s="308"/>
    </row>
    <row r="7952">
      <c r="A7952" s="308"/>
      <c r="B7952" s="308"/>
      <c r="C7952" s="308" t="s">
        <v>31338</v>
      </c>
      <c r="D7952" s="308">
        <f>IFERROR(__xludf.DUMMYFUNCTION("SPLIT(C7952,""-"")"),7972.0)</f>
        <v>7972</v>
      </c>
      <c r="E7952" s="308" t="str">
        <f>IFERROR(__xludf.DUMMYFUNCTION("""COMPUTED_VALUE"""),"P")</f>
        <v>P</v>
      </c>
      <c r="F7952" s="312" t="s">
        <v>37</v>
      </c>
      <c r="G7952" s="308"/>
      <c r="H7952" s="308" t="s">
        <v>31339</v>
      </c>
      <c r="I7952" s="310">
        <v>44265.0</v>
      </c>
      <c r="J7952" s="319">
        <f>IFERROR(__xludf.DUMMYFUNCTION("SPLIT(I7952,""/"")"),10.0)</f>
        <v>10</v>
      </c>
      <c r="K7952" s="308">
        <f>IFERROR(__xludf.DUMMYFUNCTION("""COMPUTED_VALUE"""),3.0)</f>
        <v>3</v>
      </c>
      <c r="L7952" s="308">
        <f>IFERROR(__xludf.DUMMYFUNCTION("""COMPUTED_VALUE"""),2021.0)</f>
        <v>2021</v>
      </c>
      <c r="M7952" s="308" t="s">
        <v>31340</v>
      </c>
      <c r="N7952" s="308" t="s">
        <v>31341</v>
      </c>
      <c r="O7952" s="308"/>
      <c r="P7952" s="308" t="s">
        <v>136</v>
      </c>
      <c r="Q7952" s="308" t="s">
        <v>40040</v>
      </c>
      <c r="R7952" s="308" t="s">
        <v>30692</v>
      </c>
      <c r="S7952" s="315" t="s">
        <v>100</v>
      </c>
      <c r="T7952" s="308" t="s">
        <v>34208</v>
      </c>
      <c r="U7952" s="308" t="s">
        <v>143</v>
      </c>
      <c r="V7952" s="308"/>
    </row>
    <row r="7953">
      <c r="A7953" s="308"/>
      <c r="B7953" s="308"/>
      <c r="C7953" s="308" t="s">
        <v>31342</v>
      </c>
      <c r="D7953" s="308">
        <f>IFERROR(__xludf.DUMMYFUNCTION("SPLIT(C7953,""-"")"),7973.0)</f>
        <v>7973</v>
      </c>
      <c r="E7953" s="308" t="str">
        <f>IFERROR(__xludf.DUMMYFUNCTION("""COMPUTED_VALUE"""),"B")</f>
        <v>B</v>
      </c>
      <c r="F7953" s="315" t="s">
        <v>26</v>
      </c>
      <c r="G7953" s="308"/>
      <c r="H7953" s="308" t="s">
        <v>31343</v>
      </c>
      <c r="I7953" s="310">
        <v>43586.0</v>
      </c>
      <c r="J7953" s="319">
        <f>IFERROR(__xludf.DUMMYFUNCTION("SPLIT(I7953,""/"")"),1.0)</f>
        <v>1</v>
      </c>
      <c r="K7953" s="308">
        <f>IFERROR(__xludf.DUMMYFUNCTION("""COMPUTED_VALUE"""),5.0)</f>
        <v>5</v>
      </c>
      <c r="L7953" s="308">
        <f>IFERROR(__xludf.DUMMYFUNCTION("""COMPUTED_VALUE"""),2019.0)</f>
        <v>2019</v>
      </c>
      <c r="M7953" s="308" t="s">
        <v>31344</v>
      </c>
      <c r="N7953" s="308" t="s">
        <v>31345</v>
      </c>
      <c r="O7953" s="308"/>
      <c r="P7953" s="308" t="s">
        <v>136</v>
      </c>
      <c r="Q7953" s="308" t="s">
        <v>40043</v>
      </c>
      <c r="R7953" s="308" t="s">
        <v>2743</v>
      </c>
      <c r="S7953" s="315" t="s">
        <v>100</v>
      </c>
      <c r="T7953" s="308" t="s">
        <v>34208</v>
      </c>
      <c r="U7953" s="308" t="s">
        <v>27</v>
      </c>
      <c r="V7953" s="308"/>
    </row>
    <row r="7954">
      <c r="A7954" s="308"/>
      <c r="B7954" s="308"/>
      <c r="C7954" s="308" t="s">
        <v>31346</v>
      </c>
      <c r="D7954" s="308">
        <f>IFERROR(__xludf.DUMMYFUNCTION("SPLIT(C7954,""-"")"),7974.0)</f>
        <v>7974</v>
      </c>
      <c r="E7954" s="308" t="str">
        <f>IFERROR(__xludf.DUMMYFUNCTION("""COMPUTED_VALUE"""),"K")</f>
        <v>K</v>
      </c>
      <c r="F7954" s="309" t="s">
        <v>34</v>
      </c>
      <c r="G7954" s="308"/>
      <c r="H7954" s="308" t="s">
        <v>25640</v>
      </c>
      <c r="I7954" s="310">
        <v>39978.0</v>
      </c>
      <c r="J7954" s="319">
        <f>IFERROR(__xludf.DUMMYFUNCTION("SPLIT(I7954,""/"")"),14.0)</f>
        <v>14</v>
      </c>
      <c r="K7954" s="308">
        <f>IFERROR(__xludf.DUMMYFUNCTION("""COMPUTED_VALUE"""),6.0)</f>
        <v>6</v>
      </c>
      <c r="L7954" s="308">
        <f>IFERROR(__xludf.DUMMYFUNCTION("""COMPUTED_VALUE"""),2009.0)</f>
        <v>2009</v>
      </c>
      <c r="M7954" s="308" t="s">
        <v>31347</v>
      </c>
      <c r="N7954" s="308" t="s">
        <v>31348</v>
      </c>
      <c r="O7954" s="308"/>
      <c r="P7954" s="308" t="s">
        <v>136</v>
      </c>
      <c r="Q7954" s="308" t="s">
        <v>40043</v>
      </c>
      <c r="R7954" s="308" t="s">
        <v>2743</v>
      </c>
      <c r="S7954" s="315" t="s">
        <v>100</v>
      </c>
      <c r="T7954" s="308" t="s">
        <v>34208</v>
      </c>
      <c r="U7954" s="308" t="s">
        <v>530</v>
      </c>
      <c r="V7954" s="308"/>
    </row>
    <row r="7955">
      <c r="A7955" s="308"/>
      <c r="B7955" s="308"/>
      <c r="C7955" s="308" t="s">
        <v>31349</v>
      </c>
      <c r="D7955" s="308">
        <f>IFERROR(__xludf.DUMMYFUNCTION("SPLIT(C7955,""-"")"),7975.0)</f>
        <v>7975</v>
      </c>
      <c r="E7955" s="308" t="str">
        <f>IFERROR(__xludf.DUMMYFUNCTION("""COMPUTED_VALUE"""),"B")</f>
        <v>B</v>
      </c>
      <c r="F7955" s="315" t="s">
        <v>26</v>
      </c>
      <c r="G7955" s="308"/>
      <c r="H7955" s="308" t="s">
        <v>31350</v>
      </c>
      <c r="I7955" s="310">
        <v>43015.0</v>
      </c>
      <c r="J7955" s="319">
        <f>IFERROR(__xludf.DUMMYFUNCTION("SPLIT(I7955,""/"")"),7.0)</f>
        <v>7</v>
      </c>
      <c r="K7955" s="308">
        <f>IFERROR(__xludf.DUMMYFUNCTION("""COMPUTED_VALUE"""),10.0)</f>
        <v>10</v>
      </c>
      <c r="L7955" s="308">
        <f>IFERROR(__xludf.DUMMYFUNCTION("""COMPUTED_VALUE"""),2017.0)</f>
        <v>2017</v>
      </c>
      <c r="M7955" s="308" t="s">
        <v>31351</v>
      </c>
      <c r="N7955" s="308"/>
      <c r="O7955" s="308"/>
      <c r="P7955" s="308" t="s">
        <v>31352</v>
      </c>
      <c r="Q7955" s="308"/>
      <c r="R7955" s="308"/>
      <c r="S7955" s="308" t="s">
        <v>81</v>
      </c>
      <c r="T7955" s="308" t="s">
        <v>75</v>
      </c>
      <c r="U7955" s="308" t="s">
        <v>27</v>
      </c>
      <c r="V7955" s="308"/>
    </row>
    <row r="7956">
      <c r="A7956" s="308"/>
      <c r="B7956" s="308"/>
      <c r="C7956" s="308" t="s">
        <v>31353</v>
      </c>
      <c r="D7956" s="308">
        <f>IFERROR(__xludf.DUMMYFUNCTION("SPLIT(C7956,""-"")"),7976.0)</f>
        <v>7976</v>
      </c>
      <c r="E7956" s="308" t="str">
        <f>IFERROR(__xludf.DUMMYFUNCTION("""COMPUTED_VALUE"""),"B")</f>
        <v>B</v>
      </c>
      <c r="F7956" s="315" t="s">
        <v>26</v>
      </c>
      <c r="G7956" s="308"/>
      <c r="H7956" s="308" t="s">
        <v>31354</v>
      </c>
      <c r="I7956" s="310">
        <v>43338.0</v>
      </c>
      <c r="J7956" s="319">
        <f>IFERROR(__xludf.DUMMYFUNCTION("SPLIT(I7956,""/"")"),26.0)</f>
        <v>26</v>
      </c>
      <c r="K7956" s="308">
        <f>IFERROR(__xludf.DUMMYFUNCTION("""COMPUTED_VALUE"""),8.0)</f>
        <v>8</v>
      </c>
      <c r="L7956" s="308">
        <f>IFERROR(__xludf.DUMMYFUNCTION("""COMPUTED_VALUE"""),2018.0)</f>
        <v>2018</v>
      </c>
      <c r="M7956" s="308" t="s">
        <v>29289</v>
      </c>
      <c r="N7956" s="308"/>
      <c r="O7956" s="308"/>
      <c r="P7956" s="308" t="s">
        <v>31355</v>
      </c>
      <c r="Q7956" s="308"/>
      <c r="R7956" s="308"/>
      <c r="S7956" s="308" t="s">
        <v>81</v>
      </c>
      <c r="T7956" s="308" t="s">
        <v>75</v>
      </c>
      <c r="U7956" s="308" t="s">
        <v>27</v>
      </c>
      <c r="V7956" s="308"/>
    </row>
    <row r="7957">
      <c r="A7957" s="308"/>
      <c r="B7957" s="308"/>
      <c r="C7957" s="308" t="s">
        <v>31356</v>
      </c>
      <c r="D7957" s="308">
        <f>IFERROR(__xludf.DUMMYFUNCTION("SPLIT(C7957,""-"")"),7977.0)</f>
        <v>7977</v>
      </c>
      <c r="E7957" s="308" t="str">
        <f>IFERROR(__xludf.DUMMYFUNCTION("""COMPUTED_VALUE"""),"B")</f>
        <v>B</v>
      </c>
      <c r="F7957" s="315" t="s">
        <v>26</v>
      </c>
      <c r="G7957" s="308"/>
      <c r="H7957" s="308" t="s">
        <v>31357</v>
      </c>
      <c r="I7957" s="310">
        <v>43338.0</v>
      </c>
      <c r="J7957" s="319">
        <f>IFERROR(__xludf.DUMMYFUNCTION("SPLIT(I7957,""/"")"),26.0)</f>
        <v>26</v>
      </c>
      <c r="K7957" s="308">
        <f>IFERROR(__xludf.DUMMYFUNCTION("""COMPUTED_VALUE"""),8.0)</f>
        <v>8</v>
      </c>
      <c r="L7957" s="308">
        <f>IFERROR(__xludf.DUMMYFUNCTION("""COMPUTED_VALUE"""),2018.0)</f>
        <v>2018</v>
      </c>
      <c r="M7957" s="308" t="s">
        <v>29289</v>
      </c>
      <c r="N7957" s="308"/>
      <c r="O7957" s="308"/>
      <c r="P7957" s="308" t="s">
        <v>40044</v>
      </c>
      <c r="Q7957" s="308"/>
      <c r="R7957" s="308"/>
      <c r="S7957" s="308" t="s">
        <v>81</v>
      </c>
      <c r="T7957" s="308" t="s">
        <v>75</v>
      </c>
      <c r="U7957" s="308" t="s">
        <v>27</v>
      </c>
      <c r="V7957" s="308"/>
    </row>
    <row r="7958">
      <c r="A7958" s="308"/>
      <c r="B7958" s="308"/>
      <c r="C7958" s="308" t="s">
        <v>31359</v>
      </c>
      <c r="D7958" s="308">
        <f>IFERROR(__xludf.DUMMYFUNCTION("SPLIT(C7958,""-"")"),7978.0)</f>
        <v>7978</v>
      </c>
      <c r="E7958" s="308" t="str">
        <f>IFERROR(__xludf.DUMMYFUNCTION("""COMPUTED_VALUE"""),"B")</f>
        <v>B</v>
      </c>
      <c r="F7958" s="315" t="s">
        <v>26</v>
      </c>
      <c r="G7958" s="308"/>
      <c r="H7958" s="308" t="s">
        <v>31360</v>
      </c>
      <c r="I7958" s="310">
        <v>43338.0</v>
      </c>
      <c r="J7958" s="319">
        <f>IFERROR(__xludf.DUMMYFUNCTION("SPLIT(I7958,""/"")"),26.0)</f>
        <v>26</v>
      </c>
      <c r="K7958" s="308">
        <f>IFERROR(__xludf.DUMMYFUNCTION("""COMPUTED_VALUE"""),8.0)</f>
        <v>8</v>
      </c>
      <c r="L7958" s="308">
        <f>IFERROR(__xludf.DUMMYFUNCTION("""COMPUTED_VALUE"""),2018.0)</f>
        <v>2018</v>
      </c>
      <c r="M7958" s="308" t="s">
        <v>29289</v>
      </c>
      <c r="N7958" s="308"/>
      <c r="O7958" s="308"/>
      <c r="P7958" s="308" t="s">
        <v>31361</v>
      </c>
      <c r="Q7958" s="308"/>
      <c r="R7958" s="308"/>
      <c r="S7958" s="308" t="s">
        <v>81</v>
      </c>
      <c r="T7958" s="308" t="s">
        <v>75</v>
      </c>
      <c r="U7958" s="308" t="s">
        <v>27</v>
      </c>
      <c r="V7958" s="308"/>
    </row>
    <row r="7959">
      <c r="A7959" s="308"/>
      <c r="B7959" s="308"/>
      <c r="C7959" s="308" t="s">
        <v>31362</v>
      </c>
      <c r="D7959" s="308">
        <f>IFERROR(__xludf.DUMMYFUNCTION("SPLIT(C7959,""-"")"),7979.0)</f>
        <v>7979</v>
      </c>
      <c r="E7959" s="308" t="str">
        <f>IFERROR(__xludf.DUMMYFUNCTION("""COMPUTED_VALUE"""),"B")</f>
        <v>B</v>
      </c>
      <c r="F7959" s="315" t="s">
        <v>26</v>
      </c>
      <c r="G7959" s="308"/>
      <c r="H7959" s="308" t="s">
        <v>31363</v>
      </c>
      <c r="I7959" s="310">
        <v>43338.0</v>
      </c>
      <c r="J7959" s="319">
        <f>IFERROR(__xludf.DUMMYFUNCTION("SPLIT(I7959,""/"")"),26.0)</f>
        <v>26</v>
      </c>
      <c r="K7959" s="308">
        <f>IFERROR(__xludf.DUMMYFUNCTION("""COMPUTED_VALUE"""),8.0)</f>
        <v>8</v>
      </c>
      <c r="L7959" s="308">
        <f>IFERROR(__xludf.DUMMYFUNCTION("""COMPUTED_VALUE"""),2018.0)</f>
        <v>2018</v>
      </c>
      <c r="M7959" s="308" t="s">
        <v>29289</v>
      </c>
      <c r="N7959" s="308"/>
      <c r="O7959" s="308"/>
      <c r="P7959" s="308" t="s">
        <v>31364</v>
      </c>
      <c r="Q7959" s="308"/>
      <c r="R7959" s="308"/>
      <c r="S7959" s="308" t="s">
        <v>81</v>
      </c>
      <c r="T7959" s="308" t="s">
        <v>75</v>
      </c>
      <c r="U7959" s="308" t="s">
        <v>27</v>
      </c>
      <c r="V7959" s="308"/>
    </row>
    <row r="7960">
      <c r="A7960" s="308"/>
      <c r="B7960" s="308"/>
      <c r="C7960" s="308" t="s">
        <v>31365</v>
      </c>
      <c r="D7960" s="308">
        <f>IFERROR(__xludf.DUMMYFUNCTION("SPLIT(C7960,""-"")"),7980.0)</f>
        <v>7980</v>
      </c>
      <c r="E7960" s="308" t="str">
        <f>IFERROR(__xludf.DUMMYFUNCTION("""COMPUTED_VALUE"""),"B")</f>
        <v>B</v>
      </c>
      <c r="F7960" s="315" t="s">
        <v>26</v>
      </c>
      <c r="G7960" s="308"/>
      <c r="H7960" s="308" t="s">
        <v>31366</v>
      </c>
      <c r="I7960" s="310">
        <v>43338.0</v>
      </c>
      <c r="J7960" s="319">
        <f>IFERROR(__xludf.DUMMYFUNCTION("SPLIT(I7960,""/"")"),26.0)</f>
        <v>26</v>
      </c>
      <c r="K7960" s="308">
        <f>IFERROR(__xludf.DUMMYFUNCTION("""COMPUTED_VALUE"""),8.0)</f>
        <v>8</v>
      </c>
      <c r="L7960" s="308">
        <f>IFERROR(__xludf.DUMMYFUNCTION("""COMPUTED_VALUE"""),2018.0)</f>
        <v>2018</v>
      </c>
      <c r="M7960" s="308" t="s">
        <v>29289</v>
      </c>
      <c r="N7960" s="308"/>
      <c r="O7960" s="308"/>
      <c r="P7960" s="308" t="s">
        <v>31367</v>
      </c>
      <c r="Q7960" s="308"/>
      <c r="R7960" s="308"/>
      <c r="S7960" s="308" t="s">
        <v>81</v>
      </c>
      <c r="T7960" s="308" t="s">
        <v>75</v>
      </c>
      <c r="U7960" s="308" t="s">
        <v>27</v>
      </c>
      <c r="V7960" s="308"/>
    </row>
    <row r="7961">
      <c r="A7961" s="308"/>
      <c r="B7961" s="308"/>
      <c r="C7961" s="308" t="s">
        <v>31368</v>
      </c>
      <c r="D7961" s="308">
        <f>IFERROR(__xludf.DUMMYFUNCTION("SPLIT(C7961,""-"")"),7981.0)</f>
        <v>7981</v>
      </c>
      <c r="E7961" s="308" t="str">
        <f>IFERROR(__xludf.DUMMYFUNCTION("""COMPUTED_VALUE"""),"B")</f>
        <v>B</v>
      </c>
      <c r="F7961" s="315" t="s">
        <v>26</v>
      </c>
      <c r="G7961" s="308"/>
      <c r="H7961" s="308" t="s">
        <v>31369</v>
      </c>
      <c r="I7961" s="310">
        <v>43338.0</v>
      </c>
      <c r="J7961" s="319">
        <f>IFERROR(__xludf.DUMMYFUNCTION("SPLIT(I7961,""/"")"),26.0)</f>
        <v>26</v>
      </c>
      <c r="K7961" s="308">
        <f>IFERROR(__xludf.DUMMYFUNCTION("""COMPUTED_VALUE"""),8.0)</f>
        <v>8</v>
      </c>
      <c r="L7961" s="308">
        <f>IFERROR(__xludf.DUMMYFUNCTION("""COMPUTED_VALUE"""),2018.0)</f>
        <v>2018</v>
      </c>
      <c r="M7961" s="308" t="s">
        <v>29289</v>
      </c>
      <c r="N7961" s="308"/>
      <c r="O7961" s="308"/>
      <c r="P7961" s="308" t="s">
        <v>31370</v>
      </c>
      <c r="Q7961" s="308"/>
      <c r="R7961" s="308"/>
      <c r="S7961" s="308" t="s">
        <v>81</v>
      </c>
      <c r="T7961" s="308" t="s">
        <v>75</v>
      </c>
      <c r="U7961" s="308" t="s">
        <v>27</v>
      </c>
      <c r="V7961" s="308"/>
    </row>
    <row r="7962">
      <c r="A7962" s="308"/>
      <c r="B7962" s="308"/>
      <c r="C7962" s="308" t="s">
        <v>31371</v>
      </c>
      <c r="D7962" s="308">
        <f>IFERROR(__xludf.DUMMYFUNCTION("SPLIT(C7962,""-"")"),7982.0)</f>
        <v>7982</v>
      </c>
      <c r="E7962" s="308" t="str">
        <f>IFERROR(__xludf.DUMMYFUNCTION("""COMPUTED_VALUE"""),"B")</f>
        <v>B</v>
      </c>
      <c r="F7962" s="315" t="s">
        <v>26</v>
      </c>
      <c r="G7962" s="308"/>
      <c r="H7962" s="308" t="s">
        <v>31372</v>
      </c>
      <c r="I7962" s="310">
        <v>43338.0</v>
      </c>
      <c r="J7962" s="319">
        <f>IFERROR(__xludf.DUMMYFUNCTION("SPLIT(I7962,""/"")"),26.0)</f>
        <v>26</v>
      </c>
      <c r="K7962" s="308">
        <f>IFERROR(__xludf.DUMMYFUNCTION("""COMPUTED_VALUE"""),8.0)</f>
        <v>8</v>
      </c>
      <c r="L7962" s="308">
        <f>IFERROR(__xludf.DUMMYFUNCTION("""COMPUTED_VALUE"""),2018.0)</f>
        <v>2018</v>
      </c>
      <c r="M7962" s="308" t="s">
        <v>29289</v>
      </c>
      <c r="N7962" s="308"/>
      <c r="O7962" s="308"/>
      <c r="P7962" s="308" t="s">
        <v>31373</v>
      </c>
      <c r="Q7962" s="308"/>
      <c r="R7962" s="308"/>
      <c r="S7962" s="308" t="s">
        <v>81</v>
      </c>
      <c r="T7962" s="308" t="s">
        <v>75</v>
      </c>
      <c r="U7962" s="308" t="s">
        <v>27</v>
      </c>
      <c r="V7962" s="308"/>
    </row>
    <row r="7963">
      <c r="A7963" s="308"/>
      <c r="B7963" s="308"/>
      <c r="C7963" s="308" t="s">
        <v>31374</v>
      </c>
      <c r="D7963" s="308">
        <f>IFERROR(__xludf.DUMMYFUNCTION("SPLIT(C7963,""-"")"),7983.0)</f>
        <v>7983</v>
      </c>
      <c r="E7963" s="308" t="str">
        <f>IFERROR(__xludf.DUMMYFUNCTION("""COMPUTED_VALUE"""),"B")</f>
        <v>B</v>
      </c>
      <c r="F7963" s="315" t="s">
        <v>26</v>
      </c>
      <c r="G7963" s="308"/>
      <c r="H7963" s="308" t="s">
        <v>31375</v>
      </c>
      <c r="I7963" s="310">
        <v>43338.0</v>
      </c>
      <c r="J7963" s="319">
        <f>IFERROR(__xludf.DUMMYFUNCTION("SPLIT(I7963,""/"")"),26.0)</f>
        <v>26</v>
      </c>
      <c r="K7963" s="308">
        <f>IFERROR(__xludf.DUMMYFUNCTION("""COMPUTED_VALUE"""),8.0)</f>
        <v>8</v>
      </c>
      <c r="L7963" s="308">
        <f>IFERROR(__xludf.DUMMYFUNCTION("""COMPUTED_VALUE"""),2018.0)</f>
        <v>2018</v>
      </c>
      <c r="M7963" s="308" t="s">
        <v>29289</v>
      </c>
      <c r="N7963" s="308"/>
      <c r="O7963" s="308"/>
      <c r="P7963" s="308" t="s">
        <v>31376</v>
      </c>
      <c r="Q7963" s="308"/>
      <c r="R7963" s="308"/>
      <c r="S7963" s="308" t="s">
        <v>81</v>
      </c>
      <c r="T7963" s="308" t="s">
        <v>75</v>
      </c>
      <c r="U7963" s="308" t="s">
        <v>27</v>
      </c>
      <c r="V7963" s="308"/>
    </row>
    <row r="7964">
      <c r="A7964" s="308"/>
      <c r="B7964" s="308"/>
      <c r="C7964" s="308" t="s">
        <v>31377</v>
      </c>
      <c r="D7964" s="308">
        <f>IFERROR(__xludf.DUMMYFUNCTION("SPLIT(C7964,""-"")"),7984.0)</f>
        <v>7984</v>
      </c>
      <c r="E7964" s="308" t="str">
        <f>IFERROR(__xludf.DUMMYFUNCTION("""COMPUTED_VALUE"""),"B")</f>
        <v>B</v>
      </c>
      <c r="F7964" s="315" t="s">
        <v>26</v>
      </c>
      <c r="G7964" s="308"/>
      <c r="H7964" s="308" t="s">
        <v>31378</v>
      </c>
      <c r="I7964" s="310">
        <v>43338.0</v>
      </c>
      <c r="J7964" s="319">
        <f>IFERROR(__xludf.DUMMYFUNCTION("SPLIT(I7964,""/"")"),26.0)</f>
        <v>26</v>
      </c>
      <c r="K7964" s="308">
        <f>IFERROR(__xludf.DUMMYFUNCTION("""COMPUTED_VALUE"""),8.0)</f>
        <v>8</v>
      </c>
      <c r="L7964" s="308">
        <f>IFERROR(__xludf.DUMMYFUNCTION("""COMPUTED_VALUE"""),2018.0)</f>
        <v>2018</v>
      </c>
      <c r="M7964" s="308" t="s">
        <v>29289</v>
      </c>
      <c r="N7964" s="308"/>
      <c r="O7964" s="308"/>
      <c r="P7964" s="308" t="s">
        <v>31379</v>
      </c>
      <c r="Q7964" s="308"/>
      <c r="R7964" s="308"/>
      <c r="S7964" s="308" t="s">
        <v>81</v>
      </c>
      <c r="T7964" s="308" t="s">
        <v>75</v>
      </c>
      <c r="U7964" s="308" t="s">
        <v>27</v>
      </c>
      <c r="V7964" s="308"/>
    </row>
    <row r="7965">
      <c r="A7965" s="308"/>
      <c r="B7965" s="308"/>
      <c r="C7965" s="308" t="s">
        <v>31380</v>
      </c>
      <c r="D7965" s="308">
        <f>IFERROR(__xludf.DUMMYFUNCTION("SPLIT(C7965,""-"")"),7985.0)</f>
        <v>7985</v>
      </c>
      <c r="E7965" s="308" t="str">
        <f>IFERROR(__xludf.DUMMYFUNCTION("""COMPUTED_VALUE"""),"B")</f>
        <v>B</v>
      </c>
      <c r="F7965" s="315" t="s">
        <v>26</v>
      </c>
      <c r="G7965" s="308"/>
      <c r="H7965" s="308" t="s">
        <v>31381</v>
      </c>
      <c r="I7965" s="310">
        <v>43338.0</v>
      </c>
      <c r="J7965" s="319">
        <f>IFERROR(__xludf.DUMMYFUNCTION("SPLIT(I7965,""/"")"),26.0)</f>
        <v>26</v>
      </c>
      <c r="K7965" s="308">
        <f>IFERROR(__xludf.DUMMYFUNCTION("""COMPUTED_VALUE"""),8.0)</f>
        <v>8</v>
      </c>
      <c r="L7965" s="308">
        <f>IFERROR(__xludf.DUMMYFUNCTION("""COMPUTED_VALUE"""),2018.0)</f>
        <v>2018</v>
      </c>
      <c r="M7965" s="308" t="s">
        <v>29289</v>
      </c>
      <c r="N7965" s="308"/>
      <c r="O7965" s="308"/>
      <c r="P7965" s="308" t="s">
        <v>31382</v>
      </c>
      <c r="Q7965" s="308"/>
      <c r="R7965" s="308"/>
      <c r="S7965" s="308" t="s">
        <v>81</v>
      </c>
      <c r="T7965" s="308" t="s">
        <v>75</v>
      </c>
      <c r="U7965" s="308" t="s">
        <v>27</v>
      </c>
      <c r="V7965" s="308"/>
    </row>
    <row r="7966">
      <c r="A7966" s="308"/>
      <c r="B7966" s="308"/>
      <c r="C7966" s="308" t="s">
        <v>31383</v>
      </c>
      <c r="D7966" s="308">
        <f>IFERROR(__xludf.DUMMYFUNCTION("SPLIT(C7966,""-"")"),7986.0)</f>
        <v>7986</v>
      </c>
      <c r="E7966" s="308" t="str">
        <f>IFERROR(__xludf.DUMMYFUNCTION("""COMPUTED_VALUE"""),"B")</f>
        <v>B</v>
      </c>
      <c r="F7966" s="315" t="s">
        <v>26</v>
      </c>
      <c r="G7966" s="308"/>
      <c r="H7966" s="308" t="s">
        <v>31384</v>
      </c>
      <c r="I7966" s="310">
        <v>42973.0</v>
      </c>
      <c r="J7966" s="319">
        <f>IFERROR(__xludf.DUMMYFUNCTION("SPLIT(I7966,""/"")"),26.0)</f>
        <v>26</v>
      </c>
      <c r="K7966" s="308">
        <f>IFERROR(__xludf.DUMMYFUNCTION("""COMPUTED_VALUE"""),8.0)</f>
        <v>8</v>
      </c>
      <c r="L7966" s="308">
        <f>IFERROR(__xludf.DUMMYFUNCTION("""COMPUTED_VALUE"""),2017.0)</f>
        <v>2017</v>
      </c>
      <c r="M7966" s="308" t="s">
        <v>31385</v>
      </c>
      <c r="N7966" s="308"/>
      <c r="O7966" s="308"/>
      <c r="P7966" s="308" t="s">
        <v>31386</v>
      </c>
      <c r="Q7966" s="308"/>
      <c r="R7966" s="308"/>
      <c r="S7966" s="308" t="s">
        <v>81</v>
      </c>
      <c r="T7966" s="308" t="s">
        <v>75</v>
      </c>
      <c r="U7966" s="308" t="s">
        <v>27</v>
      </c>
      <c r="V7966" s="308"/>
    </row>
    <row r="7967">
      <c r="A7967" s="308"/>
      <c r="B7967" s="308"/>
      <c r="C7967" s="308" t="s">
        <v>31387</v>
      </c>
      <c r="D7967" s="308">
        <f>IFERROR(__xludf.DUMMYFUNCTION("SPLIT(C7967,""-"")"),7987.0)</f>
        <v>7987</v>
      </c>
      <c r="E7967" s="308" t="str">
        <f>IFERROR(__xludf.DUMMYFUNCTION("""COMPUTED_VALUE"""),"B")</f>
        <v>B</v>
      </c>
      <c r="F7967" s="315" t="s">
        <v>26</v>
      </c>
      <c r="G7967" s="308"/>
      <c r="H7967" s="308" t="s">
        <v>31388</v>
      </c>
      <c r="I7967" s="310">
        <v>42973.0</v>
      </c>
      <c r="J7967" s="319">
        <f>IFERROR(__xludf.DUMMYFUNCTION("SPLIT(I7967,""/"")"),26.0)</f>
        <v>26</v>
      </c>
      <c r="K7967" s="308">
        <f>IFERROR(__xludf.DUMMYFUNCTION("""COMPUTED_VALUE"""),8.0)</f>
        <v>8</v>
      </c>
      <c r="L7967" s="308">
        <f>IFERROR(__xludf.DUMMYFUNCTION("""COMPUTED_VALUE"""),2017.0)</f>
        <v>2017</v>
      </c>
      <c r="M7967" s="308" t="s">
        <v>29289</v>
      </c>
      <c r="N7967" s="308"/>
      <c r="O7967" s="308"/>
      <c r="P7967" s="308" t="s">
        <v>31389</v>
      </c>
      <c r="Q7967" s="308"/>
      <c r="R7967" s="308"/>
      <c r="S7967" s="308" t="s">
        <v>81</v>
      </c>
      <c r="T7967" s="308" t="s">
        <v>75</v>
      </c>
      <c r="U7967" s="308" t="s">
        <v>27</v>
      </c>
      <c r="V7967" s="308"/>
    </row>
    <row r="7968">
      <c r="A7968" s="308"/>
      <c r="B7968" s="308"/>
      <c r="C7968" s="308" t="s">
        <v>31390</v>
      </c>
      <c r="D7968" s="308">
        <f>IFERROR(__xludf.DUMMYFUNCTION("SPLIT(C7968,""-"")"),7988.0)</f>
        <v>7988</v>
      </c>
      <c r="E7968" s="308" t="str">
        <f>IFERROR(__xludf.DUMMYFUNCTION("""COMPUTED_VALUE"""),"B")</f>
        <v>B</v>
      </c>
      <c r="F7968" s="315" t="s">
        <v>26</v>
      </c>
      <c r="G7968" s="308"/>
      <c r="H7968" s="308" t="s">
        <v>31391</v>
      </c>
      <c r="I7968" s="310">
        <v>43048.0</v>
      </c>
      <c r="J7968" s="319">
        <f>IFERROR(__xludf.DUMMYFUNCTION("SPLIT(I7968,""/"")"),9.0)</f>
        <v>9</v>
      </c>
      <c r="K7968" s="308">
        <f>IFERROR(__xludf.DUMMYFUNCTION("""COMPUTED_VALUE"""),11.0)</f>
        <v>11</v>
      </c>
      <c r="L7968" s="308">
        <f>IFERROR(__xludf.DUMMYFUNCTION("""COMPUTED_VALUE"""),2017.0)</f>
        <v>2017</v>
      </c>
      <c r="M7968" s="308" t="s">
        <v>31392</v>
      </c>
      <c r="N7968" s="308"/>
      <c r="O7968" s="308"/>
      <c r="P7968" s="308" t="s">
        <v>31393</v>
      </c>
      <c r="Q7968" s="308"/>
      <c r="R7968" s="308"/>
      <c r="S7968" s="308" t="s">
        <v>81</v>
      </c>
      <c r="T7968" s="308" t="s">
        <v>75</v>
      </c>
      <c r="U7968" s="308" t="s">
        <v>27</v>
      </c>
      <c r="V7968" s="308"/>
    </row>
    <row r="7969">
      <c r="A7969" s="308"/>
      <c r="B7969" s="308"/>
      <c r="C7969" s="308" t="s">
        <v>31394</v>
      </c>
      <c r="D7969" s="308">
        <f>IFERROR(__xludf.DUMMYFUNCTION("SPLIT(C7969,""-"")"),7989.0)</f>
        <v>7989</v>
      </c>
      <c r="E7969" s="308" t="str">
        <f>IFERROR(__xludf.DUMMYFUNCTION("""COMPUTED_VALUE"""),"B")</f>
        <v>B</v>
      </c>
      <c r="F7969" s="315" t="s">
        <v>26</v>
      </c>
      <c r="G7969" s="308"/>
      <c r="H7969" s="308" t="s">
        <v>31395</v>
      </c>
      <c r="I7969" s="310">
        <v>43017.0</v>
      </c>
      <c r="J7969" s="319">
        <f>IFERROR(__xludf.DUMMYFUNCTION("SPLIT(I7969,""/"")"),9.0)</f>
        <v>9</v>
      </c>
      <c r="K7969" s="308">
        <f>IFERROR(__xludf.DUMMYFUNCTION("""COMPUTED_VALUE"""),10.0)</f>
        <v>10</v>
      </c>
      <c r="L7969" s="308">
        <f>IFERROR(__xludf.DUMMYFUNCTION("""COMPUTED_VALUE"""),2017.0)</f>
        <v>2017</v>
      </c>
      <c r="M7969" s="308" t="s">
        <v>31392</v>
      </c>
      <c r="N7969" s="308"/>
      <c r="O7969" s="308"/>
      <c r="P7969" s="308" t="s">
        <v>31396</v>
      </c>
      <c r="Q7969" s="308"/>
      <c r="R7969" s="308"/>
      <c r="S7969" s="308" t="s">
        <v>81</v>
      </c>
      <c r="T7969" s="308" t="s">
        <v>75</v>
      </c>
      <c r="U7969" s="308" t="s">
        <v>27</v>
      </c>
      <c r="V7969" s="308"/>
    </row>
    <row r="7970">
      <c r="A7970" s="308"/>
      <c r="B7970" s="308"/>
      <c r="C7970" s="308" t="s">
        <v>31397</v>
      </c>
      <c r="D7970" s="308">
        <f>IFERROR(__xludf.DUMMYFUNCTION("SPLIT(C7970,""-"")"),7990.0)</f>
        <v>7990</v>
      </c>
      <c r="E7970" s="308" t="str">
        <f>IFERROR(__xludf.DUMMYFUNCTION("""COMPUTED_VALUE"""),"B")</f>
        <v>B</v>
      </c>
      <c r="F7970" s="315" t="s">
        <v>26</v>
      </c>
      <c r="G7970" s="308"/>
      <c r="H7970" s="308" t="s">
        <v>31398</v>
      </c>
      <c r="I7970" s="310">
        <v>42993.0</v>
      </c>
      <c r="J7970" s="319">
        <f>IFERROR(__xludf.DUMMYFUNCTION("SPLIT(I7970,""/"")"),15.0)</f>
        <v>15</v>
      </c>
      <c r="K7970" s="308">
        <f>IFERROR(__xludf.DUMMYFUNCTION("""COMPUTED_VALUE"""),9.0)</f>
        <v>9</v>
      </c>
      <c r="L7970" s="308">
        <f>IFERROR(__xludf.DUMMYFUNCTION("""COMPUTED_VALUE"""),2017.0)</f>
        <v>2017</v>
      </c>
      <c r="M7970" s="308" t="s">
        <v>31399</v>
      </c>
      <c r="N7970" s="308"/>
      <c r="O7970" s="308"/>
      <c r="P7970" s="308" t="s">
        <v>31400</v>
      </c>
      <c r="Q7970" s="308"/>
      <c r="R7970" s="308"/>
      <c r="S7970" s="308" t="s">
        <v>81</v>
      </c>
      <c r="T7970" s="308" t="s">
        <v>75</v>
      </c>
      <c r="U7970" s="308" t="s">
        <v>27</v>
      </c>
      <c r="V7970" s="308"/>
    </row>
    <row r="7971">
      <c r="A7971" s="308"/>
      <c r="B7971" s="308"/>
      <c r="C7971" s="308" t="s">
        <v>31401</v>
      </c>
      <c r="D7971" s="308">
        <f>IFERROR(__xludf.DUMMYFUNCTION("SPLIT(C7971,""-"")"),7991.0)</f>
        <v>7991</v>
      </c>
      <c r="E7971" s="308" t="str">
        <f>IFERROR(__xludf.DUMMYFUNCTION("""COMPUTED_VALUE"""),"B")</f>
        <v>B</v>
      </c>
      <c r="F7971" s="315" t="s">
        <v>26</v>
      </c>
      <c r="G7971" s="308"/>
      <c r="H7971" s="308" t="s">
        <v>31402</v>
      </c>
      <c r="I7971" s="310">
        <v>42993.0</v>
      </c>
      <c r="J7971" s="319">
        <f>IFERROR(__xludf.DUMMYFUNCTION("SPLIT(I7971,""/"")"),15.0)</f>
        <v>15</v>
      </c>
      <c r="K7971" s="308">
        <f>IFERROR(__xludf.DUMMYFUNCTION("""COMPUTED_VALUE"""),9.0)</f>
        <v>9</v>
      </c>
      <c r="L7971" s="308">
        <f>IFERROR(__xludf.DUMMYFUNCTION("""COMPUTED_VALUE"""),2017.0)</f>
        <v>2017</v>
      </c>
      <c r="M7971" s="308" t="s">
        <v>31399</v>
      </c>
      <c r="N7971" s="308"/>
      <c r="O7971" s="308"/>
      <c r="P7971" s="308" t="s">
        <v>31403</v>
      </c>
      <c r="Q7971" s="308"/>
      <c r="R7971" s="308"/>
      <c r="S7971" s="308" t="s">
        <v>81</v>
      </c>
      <c r="T7971" s="308" t="s">
        <v>75</v>
      </c>
      <c r="U7971" s="308" t="s">
        <v>27</v>
      </c>
      <c r="V7971" s="308"/>
    </row>
    <row r="7972">
      <c r="A7972" s="308"/>
      <c r="B7972" s="308"/>
      <c r="C7972" s="308" t="s">
        <v>31404</v>
      </c>
      <c r="D7972" s="308">
        <f>IFERROR(__xludf.DUMMYFUNCTION("SPLIT(C7972,""-"")"),7992.0)</f>
        <v>7992</v>
      </c>
      <c r="E7972" s="308" t="str">
        <f>IFERROR(__xludf.DUMMYFUNCTION("""COMPUTED_VALUE"""),"B")</f>
        <v>B</v>
      </c>
      <c r="F7972" s="315" t="s">
        <v>26</v>
      </c>
      <c r="G7972" s="308"/>
      <c r="H7972" s="308" t="s">
        <v>31405</v>
      </c>
      <c r="I7972" s="310">
        <v>42993.0</v>
      </c>
      <c r="J7972" s="319">
        <f>IFERROR(__xludf.DUMMYFUNCTION("SPLIT(I7972,""/"")"),15.0)</f>
        <v>15</v>
      </c>
      <c r="K7972" s="308">
        <f>IFERROR(__xludf.DUMMYFUNCTION("""COMPUTED_VALUE"""),9.0)</f>
        <v>9</v>
      </c>
      <c r="L7972" s="308">
        <f>IFERROR(__xludf.DUMMYFUNCTION("""COMPUTED_VALUE"""),2017.0)</f>
        <v>2017</v>
      </c>
      <c r="M7972" s="308" t="s">
        <v>31399</v>
      </c>
      <c r="N7972" s="308"/>
      <c r="O7972" s="308"/>
      <c r="P7972" s="308" t="s">
        <v>31406</v>
      </c>
      <c r="Q7972" s="308"/>
      <c r="R7972" s="308"/>
      <c r="S7972" s="308" t="s">
        <v>81</v>
      </c>
      <c r="T7972" s="308" t="s">
        <v>75</v>
      </c>
      <c r="U7972" s="308" t="s">
        <v>27</v>
      </c>
      <c r="V7972" s="308"/>
    </row>
    <row r="7973">
      <c r="A7973" s="308"/>
      <c r="B7973" s="308"/>
      <c r="C7973" s="308" t="s">
        <v>31407</v>
      </c>
      <c r="D7973" s="308">
        <f>IFERROR(__xludf.DUMMYFUNCTION("SPLIT(C7973,""-"")"),7993.0)</f>
        <v>7993</v>
      </c>
      <c r="E7973" s="308" t="str">
        <f>IFERROR(__xludf.DUMMYFUNCTION("""COMPUTED_VALUE"""),"B")</f>
        <v>B</v>
      </c>
      <c r="F7973" s="315" t="s">
        <v>26</v>
      </c>
      <c r="G7973" s="308"/>
      <c r="H7973" s="308" t="s">
        <v>31408</v>
      </c>
      <c r="I7973" s="310">
        <v>42993.0</v>
      </c>
      <c r="J7973" s="319">
        <f>IFERROR(__xludf.DUMMYFUNCTION("SPLIT(I7973,""/"")"),15.0)</f>
        <v>15</v>
      </c>
      <c r="K7973" s="308">
        <f>IFERROR(__xludf.DUMMYFUNCTION("""COMPUTED_VALUE"""),9.0)</f>
        <v>9</v>
      </c>
      <c r="L7973" s="308">
        <f>IFERROR(__xludf.DUMMYFUNCTION("""COMPUTED_VALUE"""),2017.0)</f>
        <v>2017</v>
      </c>
      <c r="M7973" s="308" t="s">
        <v>31399</v>
      </c>
      <c r="N7973" s="308"/>
      <c r="O7973" s="308"/>
      <c r="P7973" s="308" t="s">
        <v>31409</v>
      </c>
      <c r="Q7973" s="308"/>
      <c r="R7973" s="308"/>
      <c r="S7973" s="308" t="s">
        <v>81</v>
      </c>
      <c r="T7973" s="308" t="s">
        <v>75</v>
      </c>
      <c r="U7973" s="308" t="s">
        <v>27</v>
      </c>
      <c r="V7973" s="308"/>
    </row>
    <row r="7974">
      <c r="A7974" s="308"/>
      <c r="B7974" s="308"/>
      <c r="C7974" s="308" t="s">
        <v>31410</v>
      </c>
      <c r="D7974" s="308">
        <f>IFERROR(__xludf.DUMMYFUNCTION("SPLIT(C7974,""-"")"),7994.0)</f>
        <v>7994</v>
      </c>
      <c r="E7974" s="308" t="str">
        <f>IFERROR(__xludf.DUMMYFUNCTION("""COMPUTED_VALUE"""),"B")</f>
        <v>B</v>
      </c>
      <c r="F7974" s="315" t="s">
        <v>26</v>
      </c>
      <c r="G7974" s="308"/>
      <c r="H7974" s="308" t="s">
        <v>31411</v>
      </c>
      <c r="I7974" s="310">
        <v>42993.0</v>
      </c>
      <c r="J7974" s="319">
        <f>IFERROR(__xludf.DUMMYFUNCTION("SPLIT(I7974,""/"")"),15.0)</f>
        <v>15</v>
      </c>
      <c r="K7974" s="308">
        <f>IFERROR(__xludf.DUMMYFUNCTION("""COMPUTED_VALUE"""),9.0)</f>
        <v>9</v>
      </c>
      <c r="L7974" s="308">
        <f>IFERROR(__xludf.DUMMYFUNCTION("""COMPUTED_VALUE"""),2017.0)</f>
        <v>2017</v>
      </c>
      <c r="M7974" s="308" t="s">
        <v>31399</v>
      </c>
      <c r="N7974" s="308"/>
      <c r="O7974" s="308"/>
      <c r="P7974" s="308" t="s">
        <v>31412</v>
      </c>
      <c r="Q7974" s="308"/>
      <c r="R7974" s="308"/>
      <c r="S7974" s="308" t="s">
        <v>81</v>
      </c>
      <c r="T7974" s="308" t="s">
        <v>75</v>
      </c>
      <c r="U7974" s="308" t="s">
        <v>27</v>
      </c>
      <c r="V7974" s="308"/>
    </row>
    <row r="7975">
      <c r="A7975" s="308"/>
      <c r="B7975" s="308"/>
      <c r="C7975" s="308" t="s">
        <v>31413</v>
      </c>
      <c r="D7975" s="308">
        <f>IFERROR(__xludf.DUMMYFUNCTION("SPLIT(C7975,""-"")"),7995.0)</f>
        <v>7995</v>
      </c>
      <c r="E7975" s="308" t="str">
        <f>IFERROR(__xludf.DUMMYFUNCTION("""COMPUTED_VALUE"""),"B")</f>
        <v>B</v>
      </c>
      <c r="F7975" s="315" t="s">
        <v>26</v>
      </c>
      <c r="G7975" s="308"/>
      <c r="H7975" s="308" t="s">
        <v>31414</v>
      </c>
      <c r="I7975" s="310">
        <v>42993.0</v>
      </c>
      <c r="J7975" s="319">
        <f>IFERROR(__xludf.DUMMYFUNCTION("SPLIT(I7975,""/"")"),15.0)</f>
        <v>15</v>
      </c>
      <c r="K7975" s="308">
        <f>IFERROR(__xludf.DUMMYFUNCTION("""COMPUTED_VALUE"""),9.0)</f>
        <v>9</v>
      </c>
      <c r="L7975" s="308">
        <f>IFERROR(__xludf.DUMMYFUNCTION("""COMPUTED_VALUE"""),2017.0)</f>
        <v>2017</v>
      </c>
      <c r="M7975" s="308" t="s">
        <v>31415</v>
      </c>
      <c r="N7975" s="308"/>
      <c r="O7975" s="308"/>
      <c r="P7975" s="308" t="s">
        <v>31416</v>
      </c>
      <c r="Q7975" s="308"/>
      <c r="R7975" s="308"/>
      <c r="S7975" s="308" t="s">
        <v>81</v>
      </c>
      <c r="T7975" s="308" t="s">
        <v>75</v>
      </c>
      <c r="U7975" s="308" t="s">
        <v>27</v>
      </c>
      <c r="V7975" s="308"/>
    </row>
    <row r="7976">
      <c r="A7976" s="308"/>
      <c r="B7976" s="308"/>
      <c r="C7976" s="308" t="s">
        <v>31417</v>
      </c>
      <c r="D7976" s="308">
        <f>IFERROR(__xludf.DUMMYFUNCTION("SPLIT(C7976,""-"")"),7996.0)</f>
        <v>7996</v>
      </c>
      <c r="E7976" s="308" t="str">
        <f>IFERROR(__xludf.DUMMYFUNCTION("""COMPUTED_VALUE"""),"B")</f>
        <v>B</v>
      </c>
      <c r="F7976" s="315" t="s">
        <v>26</v>
      </c>
      <c r="G7976" s="308"/>
      <c r="H7976" s="308" t="s">
        <v>31418</v>
      </c>
      <c r="I7976" s="310">
        <v>42993.0</v>
      </c>
      <c r="J7976" s="319">
        <f>IFERROR(__xludf.DUMMYFUNCTION("SPLIT(I7976,""/"")"),15.0)</f>
        <v>15</v>
      </c>
      <c r="K7976" s="308">
        <f>IFERROR(__xludf.DUMMYFUNCTION("""COMPUTED_VALUE"""),9.0)</f>
        <v>9</v>
      </c>
      <c r="L7976" s="308">
        <f>IFERROR(__xludf.DUMMYFUNCTION("""COMPUTED_VALUE"""),2017.0)</f>
        <v>2017</v>
      </c>
      <c r="M7976" s="308" t="s">
        <v>31399</v>
      </c>
      <c r="N7976" s="308"/>
      <c r="O7976" s="308"/>
      <c r="P7976" s="308" t="s">
        <v>31419</v>
      </c>
      <c r="Q7976" s="308"/>
      <c r="R7976" s="308"/>
      <c r="S7976" s="308" t="s">
        <v>81</v>
      </c>
      <c r="T7976" s="308" t="s">
        <v>75</v>
      </c>
      <c r="U7976" s="308" t="s">
        <v>27</v>
      </c>
      <c r="V7976" s="308"/>
    </row>
    <row r="7977">
      <c r="A7977" s="308"/>
      <c r="B7977" s="308"/>
      <c r="C7977" s="308" t="s">
        <v>31420</v>
      </c>
      <c r="D7977" s="308">
        <f>IFERROR(__xludf.DUMMYFUNCTION("SPLIT(C7977,""-"")"),7997.0)</f>
        <v>7997</v>
      </c>
      <c r="E7977" s="308" t="str">
        <f>IFERROR(__xludf.DUMMYFUNCTION("""COMPUTED_VALUE"""),"B")</f>
        <v>B</v>
      </c>
      <c r="F7977" s="315" t="s">
        <v>26</v>
      </c>
      <c r="G7977" s="308"/>
      <c r="H7977" s="308" t="s">
        <v>31421</v>
      </c>
      <c r="I7977" s="310">
        <v>42993.0</v>
      </c>
      <c r="J7977" s="319">
        <f>IFERROR(__xludf.DUMMYFUNCTION("SPLIT(I7977,""/"")"),15.0)</f>
        <v>15</v>
      </c>
      <c r="K7977" s="308">
        <f>IFERROR(__xludf.DUMMYFUNCTION("""COMPUTED_VALUE"""),9.0)</f>
        <v>9</v>
      </c>
      <c r="L7977" s="308">
        <f>IFERROR(__xludf.DUMMYFUNCTION("""COMPUTED_VALUE"""),2017.0)</f>
        <v>2017</v>
      </c>
      <c r="M7977" s="308" t="s">
        <v>31422</v>
      </c>
      <c r="N7977" s="308"/>
      <c r="O7977" s="308"/>
      <c r="P7977" s="308" t="s">
        <v>31423</v>
      </c>
      <c r="Q7977" s="308"/>
      <c r="R7977" s="308"/>
      <c r="S7977" s="308" t="s">
        <v>81</v>
      </c>
      <c r="T7977" s="308" t="s">
        <v>75</v>
      </c>
      <c r="U7977" s="308" t="s">
        <v>27</v>
      </c>
      <c r="V7977" s="308"/>
    </row>
    <row r="7978">
      <c r="A7978" s="308"/>
      <c r="B7978" s="308"/>
      <c r="C7978" s="308" t="s">
        <v>31424</v>
      </c>
      <c r="D7978" s="308">
        <f>IFERROR(__xludf.DUMMYFUNCTION("SPLIT(C7978,""-"")"),7998.0)</f>
        <v>7998</v>
      </c>
      <c r="E7978" s="308" t="str">
        <f>IFERROR(__xludf.DUMMYFUNCTION("""COMPUTED_VALUE"""),"B")</f>
        <v>B</v>
      </c>
      <c r="F7978" s="315" t="s">
        <v>26</v>
      </c>
      <c r="G7978" s="308"/>
      <c r="H7978" s="308" t="s">
        <v>31425</v>
      </c>
      <c r="I7978" s="310">
        <v>42993.0</v>
      </c>
      <c r="J7978" s="319">
        <f>IFERROR(__xludf.DUMMYFUNCTION("SPLIT(I7978,""/"")"),15.0)</f>
        <v>15</v>
      </c>
      <c r="K7978" s="308">
        <f>IFERROR(__xludf.DUMMYFUNCTION("""COMPUTED_VALUE"""),9.0)</f>
        <v>9</v>
      </c>
      <c r="L7978" s="308">
        <f>IFERROR(__xludf.DUMMYFUNCTION("""COMPUTED_VALUE"""),2017.0)</f>
        <v>2017</v>
      </c>
      <c r="M7978" s="308" t="s">
        <v>31399</v>
      </c>
      <c r="N7978" s="308"/>
      <c r="O7978" s="308"/>
      <c r="P7978" s="308" t="s">
        <v>31426</v>
      </c>
      <c r="Q7978" s="308"/>
      <c r="R7978" s="308"/>
      <c r="S7978" s="308" t="s">
        <v>81</v>
      </c>
      <c r="T7978" s="308" t="s">
        <v>75</v>
      </c>
      <c r="U7978" s="308" t="s">
        <v>27</v>
      </c>
      <c r="V7978" s="308"/>
    </row>
    <row r="7979">
      <c r="A7979" s="308"/>
      <c r="B7979" s="308"/>
      <c r="C7979" s="308" t="s">
        <v>31427</v>
      </c>
      <c r="D7979" s="308">
        <f>IFERROR(__xludf.DUMMYFUNCTION("SPLIT(C7979,""-"")"),7999.0)</f>
        <v>7999</v>
      </c>
      <c r="E7979" s="308" t="str">
        <f>IFERROR(__xludf.DUMMYFUNCTION("""COMPUTED_VALUE"""),"B")</f>
        <v>B</v>
      </c>
      <c r="F7979" s="315" t="s">
        <v>26</v>
      </c>
      <c r="G7979" s="308"/>
      <c r="H7979" s="308" t="s">
        <v>31428</v>
      </c>
      <c r="I7979" s="310">
        <v>42993.0</v>
      </c>
      <c r="J7979" s="319">
        <f>IFERROR(__xludf.DUMMYFUNCTION("SPLIT(I7979,""/"")"),15.0)</f>
        <v>15</v>
      </c>
      <c r="K7979" s="308">
        <f>IFERROR(__xludf.DUMMYFUNCTION("""COMPUTED_VALUE"""),9.0)</f>
        <v>9</v>
      </c>
      <c r="L7979" s="308">
        <f>IFERROR(__xludf.DUMMYFUNCTION("""COMPUTED_VALUE"""),2017.0)</f>
        <v>2017</v>
      </c>
      <c r="M7979" s="308" t="s">
        <v>31415</v>
      </c>
      <c r="N7979" s="308"/>
      <c r="O7979" s="308"/>
      <c r="P7979" s="308" t="s">
        <v>31429</v>
      </c>
      <c r="Q7979" s="308"/>
      <c r="R7979" s="308"/>
      <c r="S7979" s="308" t="s">
        <v>81</v>
      </c>
      <c r="T7979" s="308" t="s">
        <v>75</v>
      </c>
      <c r="U7979" s="308" t="s">
        <v>27</v>
      </c>
      <c r="V7979" s="308"/>
    </row>
    <row r="7980">
      <c r="A7980" s="308"/>
      <c r="B7980" s="308"/>
      <c r="C7980" s="308" t="s">
        <v>31430</v>
      </c>
      <c r="D7980" s="308">
        <f>IFERROR(__xludf.DUMMYFUNCTION("SPLIT(C7980,""-"")"),8000.0)</f>
        <v>8000</v>
      </c>
      <c r="E7980" s="308" t="str">
        <f>IFERROR(__xludf.DUMMYFUNCTION("""COMPUTED_VALUE"""),"B")</f>
        <v>B</v>
      </c>
      <c r="F7980" s="315" t="s">
        <v>26</v>
      </c>
      <c r="G7980" s="308"/>
      <c r="H7980" s="308" t="s">
        <v>31431</v>
      </c>
      <c r="I7980" s="310">
        <v>42993.0</v>
      </c>
      <c r="J7980" s="319">
        <f>IFERROR(__xludf.DUMMYFUNCTION("SPLIT(I7980,""/"")"),15.0)</f>
        <v>15</v>
      </c>
      <c r="K7980" s="308">
        <f>IFERROR(__xludf.DUMMYFUNCTION("""COMPUTED_VALUE"""),9.0)</f>
        <v>9</v>
      </c>
      <c r="L7980" s="308">
        <f>IFERROR(__xludf.DUMMYFUNCTION("""COMPUTED_VALUE"""),2017.0)</f>
        <v>2017</v>
      </c>
      <c r="M7980" s="308" t="s">
        <v>31415</v>
      </c>
      <c r="N7980" s="308"/>
      <c r="O7980" s="308"/>
      <c r="P7980" s="308" t="s">
        <v>31432</v>
      </c>
      <c r="Q7980" s="308"/>
      <c r="R7980" s="308"/>
      <c r="S7980" s="308" t="s">
        <v>81</v>
      </c>
      <c r="T7980" s="308" t="s">
        <v>75</v>
      </c>
      <c r="U7980" s="308" t="s">
        <v>27</v>
      </c>
      <c r="V7980" s="308"/>
    </row>
    <row r="7981">
      <c r="A7981" s="308"/>
      <c r="B7981" s="308"/>
      <c r="C7981" s="308" t="s">
        <v>31433</v>
      </c>
      <c r="D7981" s="308">
        <f>IFERROR(__xludf.DUMMYFUNCTION("SPLIT(C7981,""-"")"),8001.0)</f>
        <v>8001</v>
      </c>
      <c r="E7981" s="308" t="str">
        <f>IFERROR(__xludf.DUMMYFUNCTION("""COMPUTED_VALUE"""),"B")</f>
        <v>B</v>
      </c>
      <c r="F7981" s="315" t="s">
        <v>26</v>
      </c>
      <c r="G7981" s="308"/>
      <c r="H7981" s="308" t="s">
        <v>31434</v>
      </c>
      <c r="I7981" s="310">
        <v>42993.0</v>
      </c>
      <c r="J7981" s="319">
        <f>IFERROR(__xludf.DUMMYFUNCTION("SPLIT(I7981,""/"")"),15.0)</f>
        <v>15</v>
      </c>
      <c r="K7981" s="308">
        <f>IFERROR(__xludf.DUMMYFUNCTION("""COMPUTED_VALUE"""),9.0)</f>
        <v>9</v>
      </c>
      <c r="L7981" s="308">
        <f>IFERROR(__xludf.DUMMYFUNCTION("""COMPUTED_VALUE"""),2017.0)</f>
        <v>2017</v>
      </c>
      <c r="M7981" s="308" t="s">
        <v>31415</v>
      </c>
      <c r="N7981" s="308"/>
      <c r="O7981" s="308"/>
      <c r="P7981" s="308" t="s">
        <v>31435</v>
      </c>
      <c r="Q7981" s="308"/>
      <c r="R7981" s="308"/>
      <c r="S7981" s="308" t="s">
        <v>81</v>
      </c>
      <c r="T7981" s="308" t="s">
        <v>75</v>
      </c>
      <c r="U7981" s="308" t="s">
        <v>27</v>
      </c>
      <c r="V7981" s="308"/>
    </row>
    <row r="7982">
      <c r="A7982" s="308"/>
      <c r="B7982" s="308"/>
      <c r="C7982" s="308" t="s">
        <v>31436</v>
      </c>
      <c r="D7982" s="308">
        <f>IFERROR(__xludf.DUMMYFUNCTION("SPLIT(C7982,""-"")"),8002.0)</f>
        <v>8002</v>
      </c>
      <c r="E7982" s="308" t="str">
        <f>IFERROR(__xludf.DUMMYFUNCTION("""COMPUTED_VALUE"""),"B")</f>
        <v>B</v>
      </c>
      <c r="F7982" s="315" t="s">
        <v>26</v>
      </c>
      <c r="G7982" s="308"/>
      <c r="H7982" s="308" t="s">
        <v>31437</v>
      </c>
      <c r="I7982" s="310">
        <v>42993.0</v>
      </c>
      <c r="J7982" s="319">
        <f>IFERROR(__xludf.DUMMYFUNCTION("SPLIT(I7982,""/"")"),15.0)</f>
        <v>15</v>
      </c>
      <c r="K7982" s="308">
        <f>IFERROR(__xludf.DUMMYFUNCTION("""COMPUTED_VALUE"""),9.0)</f>
        <v>9</v>
      </c>
      <c r="L7982" s="308">
        <f>IFERROR(__xludf.DUMMYFUNCTION("""COMPUTED_VALUE"""),2017.0)</f>
        <v>2017</v>
      </c>
      <c r="M7982" s="308" t="s">
        <v>31415</v>
      </c>
      <c r="N7982" s="308"/>
      <c r="O7982" s="308"/>
      <c r="P7982" s="308" t="s">
        <v>31438</v>
      </c>
      <c r="Q7982" s="308"/>
      <c r="R7982" s="308"/>
      <c r="S7982" s="308" t="s">
        <v>81</v>
      </c>
      <c r="T7982" s="308" t="s">
        <v>75</v>
      </c>
      <c r="U7982" s="308" t="s">
        <v>27</v>
      </c>
      <c r="V7982" s="308"/>
    </row>
    <row r="7983">
      <c r="A7983" s="308"/>
      <c r="B7983" s="308"/>
      <c r="C7983" s="308" t="s">
        <v>31439</v>
      </c>
      <c r="D7983" s="308">
        <f>IFERROR(__xludf.DUMMYFUNCTION("SPLIT(C7983,""-"")"),8003.0)</f>
        <v>8003</v>
      </c>
      <c r="E7983" s="308" t="str">
        <f>IFERROR(__xludf.DUMMYFUNCTION("""COMPUTED_VALUE"""),"B")</f>
        <v>B</v>
      </c>
      <c r="F7983" s="315" t="s">
        <v>26</v>
      </c>
      <c r="G7983" s="308"/>
      <c r="H7983" s="308" t="s">
        <v>31440</v>
      </c>
      <c r="I7983" s="310">
        <v>42993.0</v>
      </c>
      <c r="J7983" s="319">
        <f>IFERROR(__xludf.DUMMYFUNCTION("SPLIT(I7983,""/"")"),15.0)</f>
        <v>15</v>
      </c>
      <c r="K7983" s="308">
        <f>IFERROR(__xludf.DUMMYFUNCTION("""COMPUTED_VALUE"""),9.0)</f>
        <v>9</v>
      </c>
      <c r="L7983" s="308">
        <f>IFERROR(__xludf.DUMMYFUNCTION("""COMPUTED_VALUE"""),2017.0)</f>
        <v>2017</v>
      </c>
      <c r="M7983" s="308" t="s">
        <v>31415</v>
      </c>
      <c r="N7983" s="308"/>
      <c r="O7983" s="308"/>
      <c r="P7983" s="308" t="s">
        <v>31441</v>
      </c>
      <c r="Q7983" s="308"/>
      <c r="R7983" s="308"/>
      <c r="S7983" s="308" t="s">
        <v>81</v>
      </c>
      <c r="T7983" s="308" t="s">
        <v>75</v>
      </c>
      <c r="U7983" s="308" t="s">
        <v>27</v>
      </c>
      <c r="V7983" s="308"/>
    </row>
    <row r="7984">
      <c r="A7984" s="308"/>
      <c r="B7984" s="308"/>
      <c r="C7984" s="308" t="s">
        <v>31442</v>
      </c>
      <c r="D7984" s="308">
        <f>IFERROR(__xludf.DUMMYFUNCTION("SPLIT(C7984,""-"")"),8004.0)</f>
        <v>8004</v>
      </c>
      <c r="E7984" s="308" t="str">
        <f>IFERROR(__xludf.DUMMYFUNCTION("""COMPUTED_VALUE"""),"B")</f>
        <v>B</v>
      </c>
      <c r="F7984" s="315" t="s">
        <v>26</v>
      </c>
      <c r="G7984" s="308"/>
      <c r="H7984" s="308" t="s">
        <v>31443</v>
      </c>
      <c r="I7984" s="310">
        <v>42993.0</v>
      </c>
      <c r="J7984" s="319">
        <f>IFERROR(__xludf.DUMMYFUNCTION("SPLIT(I7984,""/"")"),15.0)</f>
        <v>15</v>
      </c>
      <c r="K7984" s="308">
        <f>IFERROR(__xludf.DUMMYFUNCTION("""COMPUTED_VALUE"""),9.0)</f>
        <v>9</v>
      </c>
      <c r="L7984" s="308">
        <f>IFERROR(__xludf.DUMMYFUNCTION("""COMPUTED_VALUE"""),2017.0)</f>
        <v>2017</v>
      </c>
      <c r="M7984" s="308" t="s">
        <v>31415</v>
      </c>
      <c r="N7984" s="308"/>
      <c r="O7984" s="308"/>
      <c r="P7984" s="308" t="s">
        <v>31444</v>
      </c>
      <c r="Q7984" s="308"/>
      <c r="R7984" s="308"/>
      <c r="S7984" s="308" t="s">
        <v>81</v>
      </c>
      <c r="T7984" s="308" t="s">
        <v>75</v>
      </c>
      <c r="U7984" s="308" t="s">
        <v>27</v>
      </c>
      <c r="V7984" s="308"/>
    </row>
    <row r="7985">
      <c r="A7985" s="308"/>
      <c r="B7985" s="308"/>
      <c r="C7985" s="308" t="s">
        <v>31445</v>
      </c>
      <c r="D7985" s="308">
        <f>IFERROR(__xludf.DUMMYFUNCTION("SPLIT(C7985,""-"")"),8005.0)</f>
        <v>8005</v>
      </c>
      <c r="E7985" s="308" t="str">
        <f>IFERROR(__xludf.DUMMYFUNCTION("""COMPUTED_VALUE"""),"B")</f>
        <v>B</v>
      </c>
      <c r="F7985" s="315" t="s">
        <v>26</v>
      </c>
      <c r="G7985" s="308"/>
      <c r="H7985" s="308" t="s">
        <v>31446</v>
      </c>
      <c r="I7985" s="310">
        <v>42993.0</v>
      </c>
      <c r="J7985" s="319">
        <f>IFERROR(__xludf.DUMMYFUNCTION("SPLIT(I7985,""/"")"),15.0)</f>
        <v>15</v>
      </c>
      <c r="K7985" s="308">
        <f>IFERROR(__xludf.DUMMYFUNCTION("""COMPUTED_VALUE"""),9.0)</f>
        <v>9</v>
      </c>
      <c r="L7985" s="308">
        <f>IFERROR(__xludf.DUMMYFUNCTION("""COMPUTED_VALUE"""),2017.0)</f>
        <v>2017</v>
      </c>
      <c r="M7985" s="308" t="s">
        <v>31415</v>
      </c>
      <c r="N7985" s="308"/>
      <c r="O7985" s="308"/>
      <c r="P7985" s="308" t="s">
        <v>31447</v>
      </c>
      <c r="Q7985" s="308"/>
      <c r="R7985" s="308"/>
      <c r="S7985" s="308" t="s">
        <v>81</v>
      </c>
      <c r="T7985" s="308" t="s">
        <v>75</v>
      </c>
      <c r="U7985" s="308" t="s">
        <v>27</v>
      </c>
      <c r="V7985" s="308"/>
    </row>
    <row r="7986">
      <c r="A7986" s="308"/>
      <c r="B7986" s="308"/>
      <c r="C7986" s="308" t="s">
        <v>31448</v>
      </c>
      <c r="D7986" s="308">
        <f>IFERROR(__xludf.DUMMYFUNCTION("SPLIT(C7986,""-"")"),8006.0)</f>
        <v>8006</v>
      </c>
      <c r="E7986" s="308" t="str">
        <f>IFERROR(__xludf.DUMMYFUNCTION("""COMPUTED_VALUE"""),"B")</f>
        <v>B</v>
      </c>
      <c r="F7986" s="315" t="s">
        <v>26</v>
      </c>
      <c r="G7986" s="308"/>
      <c r="H7986" s="308" t="s">
        <v>31449</v>
      </c>
      <c r="I7986" s="310">
        <v>42993.0</v>
      </c>
      <c r="J7986" s="319">
        <f>IFERROR(__xludf.DUMMYFUNCTION("SPLIT(I7986,""/"")"),15.0)</f>
        <v>15</v>
      </c>
      <c r="K7986" s="308">
        <f>IFERROR(__xludf.DUMMYFUNCTION("""COMPUTED_VALUE"""),9.0)</f>
        <v>9</v>
      </c>
      <c r="L7986" s="308">
        <f>IFERROR(__xludf.DUMMYFUNCTION("""COMPUTED_VALUE"""),2017.0)</f>
        <v>2017</v>
      </c>
      <c r="M7986" s="308" t="s">
        <v>31415</v>
      </c>
      <c r="N7986" s="308"/>
      <c r="O7986" s="308"/>
      <c r="P7986" s="308" t="s">
        <v>31450</v>
      </c>
      <c r="Q7986" s="308"/>
      <c r="R7986" s="308"/>
      <c r="S7986" s="308" t="s">
        <v>81</v>
      </c>
      <c r="T7986" s="308" t="s">
        <v>75</v>
      </c>
      <c r="U7986" s="308" t="s">
        <v>27</v>
      </c>
      <c r="V7986" s="308"/>
    </row>
    <row r="7987">
      <c r="A7987" s="308"/>
      <c r="B7987" s="308"/>
      <c r="C7987" s="308" t="s">
        <v>31451</v>
      </c>
      <c r="D7987" s="308">
        <f>IFERROR(__xludf.DUMMYFUNCTION("SPLIT(C7987,""-"")"),8007.0)</f>
        <v>8007</v>
      </c>
      <c r="E7987" s="308" t="str">
        <f>IFERROR(__xludf.DUMMYFUNCTION("""COMPUTED_VALUE"""),"B")</f>
        <v>B</v>
      </c>
      <c r="F7987" s="315" t="s">
        <v>26</v>
      </c>
      <c r="G7987" s="308"/>
      <c r="H7987" s="308" t="s">
        <v>31452</v>
      </c>
      <c r="I7987" s="310">
        <v>42993.0</v>
      </c>
      <c r="J7987" s="319">
        <f>IFERROR(__xludf.DUMMYFUNCTION("SPLIT(I7987,""/"")"),15.0)</f>
        <v>15</v>
      </c>
      <c r="K7987" s="308">
        <f>IFERROR(__xludf.DUMMYFUNCTION("""COMPUTED_VALUE"""),9.0)</f>
        <v>9</v>
      </c>
      <c r="L7987" s="308">
        <f>IFERROR(__xludf.DUMMYFUNCTION("""COMPUTED_VALUE"""),2017.0)</f>
        <v>2017</v>
      </c>
      <c r="M7987" s="308" t="s">
        <v>31415</v>
      </c>
      <c r="N7987" s="308"/>
      <c r="O7987" s="308"/>
      <c r="P7987" s="308" t="s">
        <v>31453</v>
      </c>
      <c r="Q7987" s="308"/>
      <c r="R7987" s="308"/>
      <c r="S7987" s="308" t="s">
        <v>81</v>
      </c>
      <c r="T7987" s="308" t="s">
        <v>75</v>
      </c>
      <c r="U7987" s="308" t="s">
        <v>27</v>
      </c>
      <c r="V7987" s="308"/>
    </row>
    <row r="7988">
      <c r="A7988" s="308"/>
      <c r="B7988" s="308"/>
      <c r="C7988" s="308" t="s">
        <v>31454</v>
      </c>
      <c r="D7988" s="308">
        <f>IFERROR(__xludf.DUMMYFUNCTION("SPLIT(C7988,""-"")"),8008.0)</f>
        <v>8008</v>
      </c>
      <c r="E7988" s="308" t="str">
        <f>IFERROR(__xludf.DUMMYFUNCTION("""COMPUTED_VALUE"""),"B")</f>
        <v>B</v>
      </c>
      <c r="F7988" s="315" t="s">
        <v>26</v>
      </c>
      <c r="G7988" s="308"/>
      <c r="H7988" s="308" t="s">
        <v>31455</v>
      </c>
      <c r="I7988" s="310">
        <v>42993.0</v>
      </c>
      <c r="J7988" s="319">
        <f>IFERROR(__xludf.DUMMYFUNCTION("SPLIT(I7988,""/"")"),15.0)</f>
        <v>15</v>
      </c>
      <c r="K7988" s="308">
        <f>IFERROR(__xludf.DUMMYFUNCTION("""COMPUTED_VALUE"""),9.0)</f>
        <v>9</v>
      </c>
      <c r="L7988" s="308">
        <f>IFERROR(__xludf.DUMMYFUNCTION("""COMPUTED_VALUE"""),2017.0)</f>
        <v>2017</v>
      </c>
      <c r="M7988" s="308" t="s">
        <v>31415</v>
      </c>
      <c r="N7988" s="308"/>
      <c r="O7988" s="308"/>
      <c r="P7988" s="308" t="s">
        <v>31456</v>
      </c>
      <c r="Q7988" s="308"/>
      <c r="R7988" s="308"/>
      <c r="S7988" s="308" t="s">
        <v>81</v>
      </c>
      <c r="T7988" s="308" t="s">
        <v>75</v>
      </c>
      <c r="U7988" s="308" t="s">
        <v>27</v>
      </c>
      <c r="V7988" s="308"/>
    </row>
    <row r="7989">
      <c r="A7989" s="308"/>
      <c r="B7989" s="308"/>
      <c r="C7989" s="308" t="s">
        <v>31457</v>
      </c>
      <c r="D7989" s="308">
        <f>IFERROR(__xludf.DUMMYFUNCTION("SPLIT(C7989,""-"")"),8009.0)</f>
        <v>8009</v>
      </c>
      <c r="E7989" s="308" t="str">
        <f>IFERROR(__xludf.DUMMYFUNCTION("""COMPUTED_VALUE"""),"B")</f>
        <v>B</v>
      </c>
      <c r="F7989" s="315" t="s">
        <v>26</v>
      </c>
      <c r="G7989" s="308"/>
      <c r="H7989" s="308" t="s">
        <v>31458</v>
      </c>
      <c r="I7989" s="310">
        <v>42993.0</v>
      </c>
      <c r="J7989" s="319">
        <f>IFERROR(__xludf.DUMMYFUNCTION("SPLIT(I7989,""/"")"),15.0)</f>
        <v>15</v>
      </c>
      <c r="K7989" s="308">
        <f>IFERROR(__xludf.DUMMYFUNCTION("""COMPUTED_VALUE"""),9.0)</f>
        <v>9</v>
      </c>
      <c r="L7989" s="308">
        <f>IFERROR(__xludf.DUMMYFUNCTION("""COMPUTED_VALUE"""),2017.0)</f>
        <v>2017</v>
      </c>
      <c r="M7989" s="308" t="s">
        <v>31415</v>
      </c>
      <c r="N7989" s="308"/>
      <c r="O7989" s="308"/>
      <c r="P7989" s="308" t="s">
        <v>31459</v>
      </c>
      <c r="Q7989" s="308"/>
      <c r="R7989" s="308"/>
      <c r="S7989" s="308" t="s">
        <v>81</v>
      </c>
      <c r="T7989" s="308" t="s">
        <v>75</v>
      </c>
      <c r="U7989" s="308" t="s">
        <v>27</v>
      </c>
      <c r="V7989" s="308"/>
    </row>
    <row r="7990">
      <c r="A7990" s="308"/>
      <c r="B7990" s="308"/>
      <c r="C7990" s="308" t="s">
        <v>31460</v>
      </c>
      <c r="D7990" s="308">
        <f>IFERROR(__xludf.DUMMYFUNCTION("SPLIT(C7990,""-"")"),8010.0)</f>
        <v>8010</v>
      </c>
      <c r="E7990" s="308" t="str">
        <f>IFERROR(__xludf.DUMMYFUNCTION("""COMPUTED_VALUE"""),"B")</f>
        <v>B</v>
      </c>
      <c r="F7990" s="315" t="s">
        <v>26</v>
      </c>
      <c r="G7990" s="308"/>
      <c r="H7990" s="308" t="s">
        <v>31461</v>
      </c>
      <c r="I7990" s="310">
        <v>42993.0</v>
      </c>
      <c r="J7990" s="319">
        <f>IFERROR(__xludf.DUMMYFUNCTION("SPLIT(I7990,""/"")"),15.0)</f>
        <v>15</v>
      </c>
      <c r="K7990" s="308">
        <f>IFERROR(__xludf.DUMMYFUNCTION("""COMPUTED_VALUE"""),9.0)</f>
        <v>9</v>
      </c>
      <c r="L7990" s="308">
        <f>IFERROR(__xludf.DUMMYFUNCTION("""COMPUTED_VALUE"""),2017.0)</f>
        <v>2017</v>
      </c>
      <c r="M7990" s="308" t="s">
        <v>31415</v>
      </c>
      <c r="N7990" s="308"/>
      <c r="O7990" s="308"/>
      <c r="P7990" s="308" t="s">
        <v>31462</v>
      </c>
      <c r="Q7990" s="308"/>
      <c r="R7990" s="308"/>
      <c r="S7990" s="308" t="s">
        <v>81</v>
      </c>
      <c r="T7990" s="308" t="s">
        <v>75</v>
      </c>
      <c r="U7990" s="308" t="s">
        <v>27</v>
      </c>
      <c r="V7990" s="308"/>
    </row>
    <row r="7991">
      <c r="A7991" s="308"/>
      <c r="B7991" s="308"/>
      <c r="C7991" s="308" t="s">
        <v>31463</v>
      </c>
      <c r="D7991" s="308">
        <f>IFERROR(__xludf.DUMMYFUNCTION("SPLIT(C7991,""-"")"),8011.0)</f>
        <v>8011</v>
      </c>
      <c r="E7991" s="308" t="str">
        <f>IFERROR(__xludf.DUMMYFUNCTION("""COMPUTED_VALUE"""),"B")</f>
        <v>B</v>
      </c>
      <c r="F7991" s="315" t="s">
        <v>26</v>
      </c>
      <c r="G7991" s="308"/>
      <c r="H7991" s="308" t="s">
        <v>31464</v>
      </c>
      <c r="I7991" s="310">
        <v>42993.0</v>
      </c>
      <c r="J7991" s="319">
        <f>IFERROR(__xludf.DUMMYFUNCTION("SPLIT(I7991,""/"")"),15.0)</f>
        <v>15</v>
      </c>
      <c r="K7991" s="308">
        <f>IFERROR(__xludf.DUMMYFUNCTION("""COMPUTED_VALUE"""),9.0)</f>
        <v>9</v>
      </c>
      <c r="L7991" s="308">
        <f>IFERROR(__xludf.DUMMYFUNCTION("""COMPUTED_VALUE"""),2017.0)</f>
        <v>2017</v>
      </c>
      <c r="M7991" s="308" t="s">
        <v>31415</v>
      </c>
      <c r="N7991" s="308"/>
      <c r="O7991" s="308"/>
      <c r="P7991" s="308" t="s">
        <v>31465</v>
      </c>
      <c r="Q7991" s="308"/>
      <c r="R7991" s="308"/>
      <c r="S7991" s="308" t="s">
        <v>81</v>
      </c>
      <c r="T7991" s="308" t="s">
        <v>75</v>
      </c>
      <c r="U7991" s="308" t="s">
        <v>27</v>
      </c>
      <c r="V7991" s="308"/>
    </row>
    <row r="7992">
      <c r="A7992" s="308"/>
      <c r="B7992" s="308"/>
      <c r="C7992" s="308" t="s">
        <v>31466</v>
      </c>
      <c r="D7992" s="308">
        <f>IFERROR(__xludf.DUMMYFUNCTION("SPLIT(C7992,""-"")"),8012.0)</f>
        <v>8012</v>
      </c>
      <c r="E7992" s="308" t="str">
        <f>IFERROR(__xludf.DUMMYFUNCTION("""COMPUTED_VALUE"""),"B")</f>
        <v>B</v>
      </c>
      <c r="F7992" s="315" t="s">
        <v>26</v>
      </c>
      <c r="G7992" s="308"/>
      <c r="H7992" s="308" t="s">
        <v>31467</v>
      </c>
      <c r="I7992" s="310">
        <v>42993.0</v>
      </c>
      <c r="J7992" s="319">
        <f>IFERROR(__xludf.DUMMYFUNCTION("SPLIT(I7992,""/"")"),15.0)</f>
        <v>15</v>
      </c>
      <c r="K7992" s="308">
        <f>IFERROR(__xludf.DUMMYFUNCTION("""COMPUTED_VALUE"""),9.0)</f>
        <v>9</v>
      </c>
      <c r="L7992" s="308">
        <f>IFERROR(__xludf.DUMMYFUNCTION("""COMPUTED_VALUE"""),2017.0)</f>
        <v>2017</v>
      </c>
      <c r="M7992" s="308" t="s">
        <v>31415</v>
      </c>
      <c r="N7992" s="308"/>
      <c r="O7992" s="308"/>
      <c r="P7992" s="308" t="s">
        <v>31465</v>
      </c>
      <c r="Q7992" s="308"/>
      <c r="R7992" s="308"/>
      <c r="S7992" s="308" t="s">
        <v>81</v>
      </c>
      <c r="T7992" s="308" t="s">
        <v>75</v>
      </c>
      <c r="U7992" s="308" t="s">
        <v>27</v>
      </c>
      <c r="V7992" s="308"/>
    </row>
    <row r="7993">
      <c r="A7993" s="308"/>
      <c r="B7993" s="308"/>
      <c r="C7993" s="308" t="s">
        <v>31468</v>
      </c>
      <c r="D7993" s="308">
        <f>IFERROR(__xludf.DUMMYFUNCTION("SPLIT(C7993,""-"")"),8013.0)</f>
        <v>8013</v>
      </c>
      <c r="E7993" s="308" t="str">
        <f>IFERROR(__xludf.DUMMYFUNCTION("""COMPUTED_VALUE"""),"B")</f>
        <v>B</v>
      </c>
      <c r="F7993" s="315" t="s">
        <v>26</v>
      </c>
      <c r="G7993" s="308"/>
      <c r="H7993" s="308" t="s">
        <v>31469</v>
      </c>
      <c r="I7993" s="310">
        <v>42993.0</v>
      </c>
      <c r="J7993" s="319">
        <f>IFERROR(__xludf.DUMMYFUNCTION("SPLIT(I7993,""/"")"),15.0)</f>
        <v>15</v>
      </c>
      <c r="K7993" s="308">
        <f>IFERROR(__xludf.DUMMYFUNCTION("""COMPUTED_VALUE"""),9.0)</f>
        <v>9</v>
      </c>
      <c r="L7993" s="308">
        <f>IFERROR(__xludf.DUMMYFUNCTION("""COMPUTED_VALUE"""),2017.0)</f>
        <v>2017</v>
      </c>
      <c r="M7993" s="308" t="s">
        <v>31399</v>
      </c>
      <c r="N7993" s="308"/>
      <c r="O7993" s="308"/>
      <c r="P7993" s="308" t="s">
        <v>31470</v>
      </c>
      <c r="Q7993" s="308"/>
      <c r="R7993" s="308"/>
      <c r="S7993" s="308" t="s">
        <v>81</v>
      </c>
      <c r="T7993" s="308" t="s">
        <v>75</v>
      </c>
      <c r="U7993" s="308" t="s">
        <v>27</v>
      </c>
      <c r="V7993" s="308"/>
    </row>
    <row r="7994">
      <c r="A7994" s="308"/>
      <c r="B7994" s="308"/>
      <c r="C7994" s="308" t="s">
        <v>31471</v>
      </c>
      <c r="D7994" s="308">
        <f>IFERROR(__xludf.DUMMYFUNCTION("SPLIT(C7994,""-"")"),8014.0)</f>
        <v>8014</v>
      </c>
      <c r="E7994" s="308" t="str">
        <f>IFERROR(__xludf.DUMMYFUNCTION("""COMPUTED_VALUE"""),"B")</f>
        <v>B</v>
      </c>
      <c r="F7994" s="315" t="s">
        <v>26</v>
      </c>
      <c r="G7994" s="308"/>
      <c r="H7994" s="308" t="s">
        <v>31472</v>
      </c>
      <c r="I7994" s="310">
        <v>42987.0</v>
      </c>
      <c r="J7994" s="319">
        <f>IFERROR(__xludf.DUMMYFUNCTION("SPLIT(I7994,""/"")"),9.0)</f>
        <v>9</v>
      </c>
      <c r="K7994" s="308">
        <f>IFERROR(__xludf.DUMMYFUNCTION("""COMPUTED_VALUE"""),9.0)</f>
        <v>9</v>
      </c>
      <c r="L7994" s="308">
        <f>IFERROR(__xludf.DUMMYFUNCTION("""COMPUTED_VALUE"""),2017.0)</f>
        <v>2017</v>
      </c>
      <c r="M7994" s="308" t="s">
        <v>31473</v>
      </c>
      <c r="N7994" s="308"/>
      <c r="O7994" s="308"/>
      <c r="P7994" s="308" t="s">
        <v>31474</v>
      </c>
      <c r="Q7994" s="308"/>
      <c r="R7994" s="308"/>
      <c r="S7994" s="308" t="s">
        <v>81</v>
      </c>
      <c r="T7994" s="308" t="s">
        <v>75</v>
      </c>
      <c r="U7994" s="308" t="s">
        <v>27</v>
      </c>
      <c r="V7994" s="308"/>
    </row>
    <row r="7995">
      <c r="A7995" s="308"/>
      <c r="B7995" s="308"/>
      <c r="C7995" s="308" t="s">
        <v>31475</v>
      </c>
      <c r="D7995" s="308">
        <f>IFERROR(__xludf.DUMMYFUNCTION("SPLIT(C7995,""-"")"),8015.0)</f>
        <v>8015</v>
      </c>
      <c r="E7995" s="308" t="str">
        <f>IFERROR(__xludf.DUMMYFUNCTION("""COMPUTED_VALUE"""),"B")</f>
        <v>B</v>
      </c>
      <c r="F7995" s="315" t="s">
        <v>26</v>
      </c>
      <c r="G7995" s="308"/>
      <c r="H7995" s="308" t="s">
        <v>31476</v>
      </c>
      <c r="I7995" s="310">
        <v>42987.0</v>
      </c>
      <c r="J7995" s="319">
        <f>IFERROR(__xludf.DUMMYFUNCTION("SPLIT(I7995,""/"")"),9.0)</f>
        <v>9</v>
      </c>
      <c r="K7995" s="308">
        <f>IFERROR(__xludf.DUMMYFUNCTION("""COMPUTED_VALUE"""),9.0)</f>
        <v>9</v>
      </c>
      <c r="L7995" s="308">
        <f>IFERROR(__xludf.DUMMYFUNCTION("""COMPUTED_VALUE"""),2017.0)</f>
        <v>2017</v>
      </c>
      <c r="M7995" s="308" t="s">
        <v>31473</v>
      </c>
      <c r="N7995" s="308"/>
      <c r="O7995" s="308"/>
      <c r="P7995" s="308" t="s">
        <v>31477</v>
      </c>
      <c r="Q7995" s="308"/>
      <c r="R7995" s="308"/>
      <c r="S7995" s="308" t="s">
        <v>81</v>
      </c>
      <c r="T7995" s="308" t="s">
        <v>75</v>
      </c>
      <c r="U7995" s="308" t="s">
        <v>27</v>
      </c>
      <c r="V7995" s="308"/>
    </row>
    <row r="7996">
      <c r="A7996" s="308"/>
      <c r="B7996" s="308"/>
      <c r="C7996" s="308" t="s">
        <v>31478</v>
      </c>
      <c r="D7996" s="308">
        <f>IFERROR(__xludf.DUMMYFUNCTION("SPLIT(C7996,""-"")"),8016.0)</f>
        <v>8016</v>
      </c>
      <c r="E7996" s="308" t="str">
        <f>IFERROR(__xludf.DUMMYFUNCTION("""COMPUTED_VALUE"""),"B")</f>
        <v>B</v>
      </c>
      <c r="F7996" s="315" t="s">
        <v>26</v>
      </c>
      <c r="G7996" s="308"/>
      <c r="H7996" s="308" t="s">
        <v>31479</v>
      </c>
      <c r="I7996" s="310">
        <v>42987.0</v>
      </c>
      <c r="J7996" s="319">
        <f>IFERROR(__xludf.DUMMYFUNCTION("SPLIT(I7996,""/"")"),9.0)</f>
        <v>9</v>
      </c>
      <c r="K7996" s="308">
        <f>IFERROR(__xludf.DUMMYFUNCTION("""COMPUTED_VALUE"""),9.0)</f>
        <v>9</v>
      </c>
      <c r="L7996" s="308">
        <f>IFERROR(__xludf.DUMMYFUNCTION("""COMPUTED_VALUE"""),2017.0)</f>
        <v>2017</v>
      </c>
      <c r="M7996" s="308" t="s">
        <v>31473</v>
      </c>
      <c r="N7996" s="308"/>
      <c r="O7996" s="308"/>
      <c r="P7996" s="308" t="s">
        <v>40045</v>
      </c>
      <c r="Q7996" s="308"/>
      <c r="R7996" s="308"/>
      <c r="S7996" s="308" t="s">
        <v>81</v>
      </c>
      <c r="T7996" s="308" t="s">
        <v>75</v>
      </c>
      <c r="U7996" s="308" t="s">
        <v>27</v>
      </c>
      <c r="V7996" s="308"/>
    </row>
    <row r="7997">
      <c r="A7997" s="308"/>
      <c r="B7997" s="308"/>
      <c r="C7997" s="308" t="s">
        <v>31481</v>
      </c>
      <c r="D7997" s="308">
        <f>IFERROR(__xludf.DUMMYFUNCTION("SPLIT(C7997,""-"")"),8017.0)</f>
        <v>8017</v>
      </c>
      <c r="E7997" s="308" t="str">
        <f>IFERROR(__xludf.DUMMYFUNCTION("""COMPUTED_VALUE"""),"B")</f>
        <v>B</v>
      </c>
      <c r="F7997" s="315" t="s">
        <v>26</v>
      </c>
      <c r="G7997" s="308"/>
      <c r="H7997" s="308" t="s">
        <v>31482</v>
      </c>
      <c r="I7997" s="310">
        <v>42987.0</v>
      </c>
      <c r="J7997" s="319">
        <f>IFERROR(__xludf.DUMMYFUNCTION("SPLIT(I7997,""/"")"),9.0)</f>
        <v>9</v>
      </c>
      <c r="K7997" s="308">
        <f>IFERROR(__xludf.DUMMYFUNCTION("""COMPUTED_VALUE"""),9.0)</f>
        <v>9</v>
      </c>
      <c r="L7997" s="308">
        <f>IFERROR(__xludf.DUMMYFUNCTION("""COMPUTED_VALUE"""),2017.0)</f>
        <v>2017</v>
      </c>
      <c r="M7997" s="308" t="s">
        <v>31473</v>
      </c>
      <c r="N7997" s="308"/>
      <c r="O7997" s="308"/>
      <c r="P7997" s="308" t="s">
        <v>31483</v>
      </c>
      <c r="Q7997" s="308"/>
      <c r="R7997" s="308"/>
      <c r="S7997" s="308" t="s">
        <v>81</v>
      </c>
      <c r="T7997" s="308" t="s">
        <v>75</v>
      </c>
      <c r="U7997" s="308" t="s">
        <v>27</v>
      </c>
      <c r="V7997" s="308"/>
    </row>
    <row r="7998">
      <c r="A7998" s="308"/>
      <c r="B7998" s="308"/>
      <c r="C7998" s="308" t="s">
        <v>31484</v>
      </c>
      <c r="D7998" s="308">
        <f>IFERROR(__xludf.DUMMYFUNCTION("SPLIT(C7998,""-"")"),8018.0)</f>
        <v>8018</v>
      </c>
      <c r="E7998" s="308" t="str">
        <f>IFERROR(__xludf.DUMMYFUNCTION("""COMPUTED_VALUE"""),"B")</f>
        <v>B</v>
      </c>
      <c r="F7998" s="315" t="s">
        <v>26</v>
      </c>
      <c r="G7998" s="308"/>
      <c r="H7998" s="308" t="s">
        <v>31485</v>
      </c>
      <c r="I7998" s="310">
        <v>42987.0</v>
      </c>
      <c r="J7998" s="319">
        <f>IFERROR(__xludf.DUMMYFUNCTION("SPLIT(I7998,""/"")"),9.0)</f>
        <v>9</v>
      </c>
      <c r="K7998" s="308">
        <f>IFERROR(__xludf.DUMMYFUNCTION("""COMPUTED_VALUE"""),9.0)</f>
        <v>9</v>
      </c>
      <c r="L7998" s="308">
        <f>IFERROR(__xludf.DUMMYFUNCTION("""COMPUTED_VALUE"""),2017.0)</f>
        <v>2017</v>
      </c>
      <c r="M7998" s="308" t="s">
        <v>31473</v>
      </c>
      <c r="N7998" s="308"/>
      <c r="O7998" s="308"/>
      <c r="P7998" s="308" t="s">
        <v>31486</v>
      </c>
      <c r="Q7998" s="308"/>
      <c r="R7998" s="308"/>
      <c r="S7998" s="308" t="s">
        <v>81</v>
      </c>
      <c r="T7998" s="308" t="s">
        <v>75</v>
      </c>
      <c r="U7998" s="308" t="s">
        <v>27</v>
      </c>
      <c r="V7998" s="308" t="s">
        <v>31487</v>
      </c>
    </row>
    <row r="7999">
      <c r="A7999" s="308"/>
      <c r="B7999" s="308"/>
      <c r="C7999" s="308" t="s">
        <v>31488</v>
      </c>
      <c r="D7999" s="308">
        <f>IFERROR(__xludf.DUMMYFUNCTION("SPLIT(C7999,""-"")"),8019.0)</f>
        <v>8019</v>
      </c>
      <c r="E7999" s="308" t="str">
        <f>IFERROR(__xludf.DUMMYFUNCTION("""COMPUTED_VALUE"""),"K")</f>
        <v>K</v>
      </c>
      <c r="F7999" s="309" t="s">
        <v>34</v>
      </c>
      <c r="G7999" s="308"/>
      <c r="H7999" s="308" t="s">
        <v>31489</v>
      </c>
      <c r="I7999" s="310">
        <v>43941.0</v>
      </c>
      <c r="J7999" s="319">
        <f>IFERROR(__xludf.DUMMYFUNCTION("SPLIT(I7999,""/"")"),20.0)</f>
        <v>20</v>
      </c>
      <c r="K7999" s="308">
        <f>IFERROR(__xludf.DUMMYFUNCTION("""COMPUTED_VALUE"""),4.0)</f>
        <v>4</v>
      </c>
      <c r="L7999" s="308">
        <f>IFERROR(__xludf.DUMMYFUNCTION("""COMPUTED_VALUE"""),2020.0)</f>
        <v>2020</v>
      </c>
      <c r="M7999" s="308" t="s">
        <v>31490</v>
      </c>
      <c r="N7999" s="308" t="s">
        <v>31491</v>
      </c>
      <c r="O7999" s="308"/>
      <c r="P7999" s="308" t="s">
        <v>136</v>
      </c>
      <c r="Q7999" s="308" t="s">
        <v>40046</v>
      </c>
      <c r="R7999" s="308" t="s">
        <v>2743</v>
      </c>
      <c r="S7999" s="315" t="s">
        <v>100</v>
      </c>
      <c r="T7999" s="308" t="s">
        <v>34208</v>
      </c>
      <c r="U7999" s="308" t="s">
        <v>368</v>
      </c>
      <c r="V7999" s="308" t="s">
        <v>31492</v>
      </c>
    </row>
    <row r="8000">
      <c r="A8000" s="308"/>
      <c r="B8000" s="308"/>
      <c r="C8000" s="308" t="s">
        <v>31493</v>
      </c>
      <c r="D8000" s="308">
        <f>IFERROR(__xludf.DUMMYFUNCTION("SPLIT(C8000,""-"")"),8020.0)</f>
        <v>8020</v>
      </c>
      <c r="E8000" s="308" t="str">
        <f>IFERROR(__xludf.DUMMYFUNCTION("""COMPUTED_VALUE"""),"P")</f>
        <v>P</v>
      </c>
      <c r="F8000" s="312" t="s">
        <v>37</v>
      </c>
      <c r="G8000" s="308"/>
      <c r="H8000" s="308" t="s">
        <v>31494</v>
      </c>
      <c r="I8000" s="310">
        <v>44340.0</v>
      </c>
      <c r="J8000" s="319">
        <f>IFERROR(__xludf.DUMMYFUNCTION("SPLIT(I8000,""/"")"),24.0)</f>
        <v>24</v>
      </c>
      <c r="K8000" s="308">
        <f>IFERROR(__xludf.DUMMYFUNCTION("""COMPUTED_VALUE"""),5.0)</f>
        <v>5</v>
      </c>
      <c r="L8000" s="308">
        <f>IFERROR(__xludf.DUMMYFUNCTION("""COMPUTED_VALUE"""),2021.0)</f>
        <v>2021</v>
      </c>
      <c r="M8000" s="308" t="s">
        <v>31495</v>
      </c>
      <c r="N8000" s="308" t="s">
        <v>31496</v>
      </c>
      <c r="O8000" s="308"/>
      <c r="P8000" s="308" t="s">
        <v>31497</v>
      </c>
      <c r="Q8000" s="308" t="s">
        <v>40046</v>
      </c>
      <c r="R8000" s="308" t="s">
        <v>2743</v>
      </c>
      <c r="S8000" s="308" t="s">
        <v>81</v>
      </c>
      <c r="T8000" s="308" t="s">
        <v>73</v>
      </c>
      <c r="U8000" s="308" t="s">
        <v>143</v>
      </c>
      <c r="V8000" s="308"/>
    </row>
    <row r="8001">
      <c r="A8001" s="308"/>
      <c r="B8001" s="308"/>
      <c r="C8001" s="308" t="s">
        <v>31498</v>
      </c>
      <c r="D8001" s="308">
        <f>IFERROR(__xludf.DUMMYFUNCTION("SPLIT(C8001,""-"")"),8021.0)</f>
        <v>8021</v>
      </c>
      <c r="E8001" s="308" t="str">
        <f>IFERROR(__xludf.DUMMYFUNCTION("""COMPUTED_VALUE"""),"K")</f>
        <v>K</v>
      </c>
      <c r="F8001" s="309" t="s">
        <v>34</v>
      </c>
      <c r="G8001" s="308"/>
      <c r="H8001" s="308" t="s">
        <v>31499</v>
      </c>
      <c r="I8001" s="310">
        <v>44063.0</v>
      </c>
      <c r="J8001" s="319">
        <f>IFERROR(__xludf.DUMMYFUNCTION("SPLIT(I8001,""/"")"),20.0)</f>
        <v>20</v>
      </c>
      <c r="K8001" s="308">
        <f>IFERROR(__xludf.DUMMYFUNCTION("""COMPUTED_VALUE"""),8.0)</f>
        <v>8</v>
      </c>
      <c r="L8001" s="308">
        <f>IFERROR(__xludf.DUMMYFUNCTION("""COMPUTED_VALUE"""),2020.0)</f>
        <v>2020</v>
      </c>
      <c r="M8001" s="308" t="s">
        <v>31500</v>
      </c>
      <c r="N8001" s="308" t="s">
        <v>31501</v>
      </c>
      <c r="O8001" s="308"/>
      <c r="P8001" s="308" t="s">
        <v>40047</v>
      </c>
      <c r="Q8001" s="308" t="s">
        <v>40048</v>
      </c>
      <c r="R8001" s="308" t="s">
        <v>2743</v>
      </c>
      <c r="S8001" s="308" t="s">
        <v>81</v>
      </c>
      <c r="T8001" s="308" t="s">
        <v>75</v>
      </c>
      <c r="U8001" s="308" t="s">
        <v>125</v>
      </c>
      <c r="V8001" s="308"/>
    </row>
    <row r="8002">
      <c r="A8002" s="308"/>
      <c r="B8002" s="308"/>
      <c r="C8002" s="308" t="s">
        <v>31503</v>
      </c>
      <c r="D8002" s="308">
        <f>IFERROR(__xludf.DUMMYFUNCTION("SPLIT(C8002,""-"")"),8022.0)</f>
        <v>8022</v>
      </c>
      <c r="E8002" s="308" t="str">
        <f>IFERROR(__xludf.DUMMYFUNCTION("""COMPUTED_VALUE"""),"K")</f>
        <v>K</v>
      </c>
      <c r="F8002" s="309" t="s">
        <v>34</v>
      </c>
      <c r="G8002" s="308"/>
      <c r="H8002" s="308" t="s">
        <v>31504</v>
      </c>
      <c r="I8002" s="310">
        <v>44263.0</v>
      </c>
      <c r="J8002" s="319">
        <f>IFERROR(__xludf.DUMMYFUNCTION("SPLIT(I8002,""/"")"),8.0)</f>
        <v>8</v>
      </c>
      <c r="K8002" s="308">
        <f>IFERROR(__xludf.DUMMYFUNCTION("""COMPUTED_VALUE"""),3.0)</f>
        <v>3</v>
      </c>
      <c r="L8002" s="308">
        <f>IFERROR(__xludf.DUMMYFUNCTION("""COMPUTED_VALUE"""),2021.0)</f>
        <v>2021</v>
      </c>
      <c r="M8002" s="308" t="s">
        <v>31505</v>
      </c>
      <c r="N8002" s="308" t="s">
        <v>40049</v>
      </c>
      <c r="O8002" s="308"/>
      <c r="P8002" s="308" t="s">
        <v>31507</v>
      </c>
      <c r="Q8002" s="308" t="s">
        <v>40048</v>
      </c>
      <c r="R8002" s="308" t="s">
        <v>2743</v>
      </c>
      <c r="S8002" s="308" t="s">
        <v>81</v>
      </c>
      <c r="T8002" s="308" t="s">
        <v>34264</v>
      </c>
      <c r="U8002" s="308" t="s">
        <v>22473</v>
      </c>
      <c r="V8002" s="308"/>
    </row>
    <row r="8003">
      <c r="A8003" s="308"/>
      <c r="B8003" s="308"/>
      <c r="C8003" s="308" t="s">
        <v>31508</v>
      </c>
      <c r="D8003" s="308">
        <f>IFERROR(__xludf.DUMMYFUNCTION("SPLIT(C8003,""-"")"),8023.0)</f>
        <v>8023</v>
      </c>
      <c r="E8003" s="308" t="str">
        <f>IFERROR(__xludf.DUMMYFUNCTION("""COMPUTED_VALUE"""),"K")</f>
        <v>K</v>
      </c>
      <c r="F8003" s="309" t="s">
        <v>34</v>
      </c>
      <c r="G8003" s="308"/>
      <c r="H8003" s="308" t="s">
        <v>31509</v>
      </c>
      <c r="I8003" s="310">
        <v>44092.0</v>
      </c>
      <c r="J8003" s="319">
        <f>IFERROR(__xludf.DUMMYFUNCTION("SPLIT(I8003,""/"")"),18.0)</f>
        <v>18</v>
      </c>
      <c r="K8003" s="308">
        <f>IFERROR(__xludf.DUMMYFUNCTION("""COMPUTED_VALUE"""),9.0)</f>
        <v>9</v>
      </c>
      <c r="L8003" s="308">
        <f>IFERROR(__xludf.DUMMYFUNCTION("""COMPUTED_VALUE"""),2020.0)</f>
        <v>2020</v>
      </c>
      <c r="M8003" s="308" t="s">
        <v>31510</v>
      </c>
      <c r="N8003" s="308" t="s">
        <v>31511</v>
      </c>
      <c r="O8003" s="308"/>
      <c r="P8003" s="308" t="s">
        <v>136</v>
      </c>
      <c r="Q8003" s="308" t="s">
        <v>40048</v>
      </c>
      <c r="R8003" s="308" t="s">
        <v>2743</v>
      </c>
      <c r="S8003" s="315" t="s">
        <v>100</v>
      </c>
      <c r="T8003" s="308" t="s">
        <v>34208</v>
      </c>
      <c r="U8003" s="308" t="s">
        <v>125</v>
      </c>
      <c r="V8003" s="308"/>
    </row>
    <row r="8004">
      <c r="A8004" s="308"/>
      <c r="B8004" s="308"/>
      <c r="C8004" s="308" t="s">
        <v>31512</v>
      </c>
      <c r="D8004" s="308">
        <f>IFERROR(__xludf.DUMMYFUNCTION("SPLIT(C8004,""-"")"),8024.0)</f>
        <v>8024</v>
      </c>
      <c r="E8004" s="308" t="str">
        <f>IFERROR(__xludf.DUMMYFUNCTION("""COMPUTED_VALUE"""),"P")</f>
        <v>P</v>
      </c>
      <c r="F8004" s="312" t="s">
        <v>37</v>
      </c>
      <c r="G8004" s="308"/>
      <c r="H8004" s="308" t="s">
        <v>31513</v>
      </c>
      <c r="I8004" s="310">
        <v>42522.0</v>
      </c>
      <c r="J8004" s="319">
        <f>IFERROR(__xludf.DUMMYFUNCTION("SPLIT(I8004,""/"")"),1.0)</f>
        <v>1</v>
      </c>
      <c r="K8004" s="308">
        <f>IFERROR(__xludf.DUMMYFUNCTION("""COMPUTED_VALUE"""),6.0)</f>
        <v>6</v>
      </c>
      <c r="L8004" s="308">
        <f>IFERROR(__xludf.DUMMYFUNCTION("""COMPUTED_VALUE"""),2016.0)</f>
        <v>2016</v>
      </c>
      <c r="M8004" s="308" t="s">
        <v>40050</v>
      </c>
      <c r="N8004" s="308" t="s">
        <v>31515</v>
      </c>
      <c r="O8004" s="308"/>
      <c r="P8004" s="308" t="s">
        <v>136</v>
      </c>
      <c r="Q8004" s="308" t="s">
        <v>40048</v>
      </c>
      <c r="R8004" s="308" t="s">
        <v>2743</v>
      </c>
      <c r="S8004" s="315" t="s">
        <v>100</v>
      </c>
      <c r="T8004" s="308" t="s">
        <v>34208</v>
      </c>
      <c r="U8004" s="308" t="s">
        <v>143</v>
      </c>
      <c r="V8004" s="308"/>
    </row>
    <row r="8005">
      <c r="A8005" s="308"/>
      <c r="B8005" s="308"/>
      <c r="C8005" s="308" t="s">
        <v>31516</v>
      </c>
      <c r="D8005" s="308">
        <f>IFERROR(__xludf.DUMMYFUNCTION("SPLIT(C8005,""-"")"),8025.0)</f>
        <v>8025</v>
      </c>
      <c r="E8005" s="308" t="str">
        <f>IFERROR(__xludf.DUMMYFUNCTION("""COMPUTED_VALUE"""),"B")</f>
        <v>B</v>
      </c>
      <c r="F8005" s="315" t="s">
        <v>26</v>
      </c>
      <c r="G8005" s="308"/>
      <c r="H8005" s="308" t="s">
        <v>31517</v>
      </c>
      <c r="I8005" s="310">
        <v>43494.0</v>
      </c>
      <c r="J8005" s="319">
        <f>IFERROR(__xludf.DUMMYFUNCTION("SPLIT(I8005,""/"")"),29.0)</f>
        <v>29</v>
      </c>
      <c r="K8005" s="308">
        <f>IFERROR(__xludf.DUMMYFUNCTION("""COMPUTED_VALUE"""),1.0)</f>
        <v>1</v>
      </c>
      <c r="L8005" s="308">
        <f>IFERROR(__xludf.DUMMYFUNCTION("""COMPUTED_VALUE"""),2019.0)</f>
        <v>2019</v>
      </c>
      <c r="M8005" s="308" t="s">
        <v>31518</v>
      </c>
      <c r="N8005" s="308" t="s">
        <v>31519</v>
      </c>
      <c r="O8005" s="308"/>
      <c r="P8005" s="308" t="s">
        <v>136</v>
      </c>
      <c r="Q8005" s="308" t="s">
        <v>40048</v>
      </c>
      <c r="R8005" s="308" t="s">
        <v>20958</v>
      </c>
      <c r="S8005" s="315" t="s">
        <v>100</v>
      </c>
      <c r="T8005" s="308" t="s">
        <v>34208</v>
      </c>
      <c r="U8005" s="308" t="s">
        <v>27</v>
      </c>
      <c r="V8005" s="308"/>
    </row>
    <row r="8006">
      <c r="A8006" s="308"/>
      <c r="B8006" s="308"/>
      <c r="C8006" s="308" t="s">
        <v>31520</v>
      </c>
      <c r="D8006" s="308">
        <f>IFERROR(__xludf.DUMMYFUNCTION("SPLIT(C8006,""-"")"),8026.0)</f>
        <v>8026</v>
      </c>
      <c r="E8006" s="308" t="str">
        <f>IFERROR(__xludf.DUMMYFUNCTION("""COMPUTED_VALUE"""),"S")</f>
        <v>S</v>
      </c>
      <c r="F8006" s="312" t="s">
        <v>39</v>
      </c>
      <c r="G8006" s="308"/>
      <c r="H8006" s="308" t="s">
        <v>31521</v>
      </c>
      <c r="I8006" s="314">
        <v>44116.0</v>
      </c>
      <c r="J8006" s="319">
        <f>IFERROR(__xludf.DUMMYFUNCTION("SPLIT(I8006,""/"")"),12.0)</f>
        <v>12</v>
      </c>
      <c r="K8006" s="308">
        <f>IFERROR(__xludf.DUMMYFUNCTION("""COMPUTED_VALUE"""),10.0)</f>
        <v>10</v>
      </c>
      <c r="L8006" s="308">
        <f>IFERROR(__xludf.DUMMYFUNCTION("""COMPUTED_VALUE"""),2020.0)</f>
        <v>2020</v>
      </c>
      <c r="M8006" s="308" t="s">
        <v>31522</v>
      </c>
      <c r="N8006" s="308" t="s">
        <v>31523</v>
      </c>
      <c r="O8006" s="308"/>
      <c r="P8006" s="308" t="s">
        <v>31524</v>
      </c>
      <c r="Q8006" s="308" t="s">
        <v>40051</v>
      </c>
      <c r="R8006" s="308" t="s">
        <v>2743</v>
      </c>
      <c r="S8006" s="308" t="s">
        <v>49</v>
      </c>
      <c r="T8006" s="311" t="s">
        <v>75</v>
      </c>
      <c r="U8006" s="308" t="s">
        <v>166</v>
      </c>
      <c r="V8006" s="308"/>
    </row>
    <row r="8007">
      <c r="A8007" s="308"/>
      <c r="B8007" s="308"/>
      <c r="C8007" s="308" t="s">
        <v>31525</v>
      </c>
      <c r="D8007" s="308">
        <f>IFERROR(__xludf.DUMMYFUNCTION("SPLIT(C8007,""-"")"),8027.0)</f>
        <v>8027</v>
      </c>
      <c r="E8007" s="308" t="str">
        <f>IFERROR(__xludf.DUMMYFUNCTION("""COMPUTED_VALUE"""),"K")</f>
        <v>K</v>
      </c>
      <c r="F8007" s="309" t="s">
        <v>34</v>
      </c>
      <c r="G8007" s="308"/>
      <c r="H8007" s="308" t="s">
        <v>31526</v>
      </c>
      <c r="I8007" s="314">
        <v>41264.0</v>
      </c>
      <c r="J8007" s="319">
        <f>IFERROR(__xludf.DUMMYFUNCTION("SPLIT(I8007,""/"")"),21.0)</f>
        <v>21</v>
      </c>
      <c r="K8007" s="308">
        <f>IFERROR(__xludf.DUMMYFUNCTION("""COMPUTED_VALUE"""),12.0)</f>
        <v>12</v>
      </c>
      <c r="L8007" s="308">
        <f>IFERROR(__xludf.DUMMYFUNCTION("""COMPUTED_VALUE"""),2012.0)</f>
        <v>2012</v>
      </c>
      <c r="M8007" s="308" t="s">
        <v>40052</v>
      </c>
      <c r="N8007" s="308" t="s">
        <v>31528</v>
      </c>
      <c r="O8007" s="308"/>
      <c r="P8007" s="308" t="s">
        <v>136</v>
      </c>
      <c r="Q8007" s="308" t="s">
        <v>40051</v>
      </c>
      <c r="R8007" s="308" t="s">
        <v>2743</v>
      </c>
      <c r="S8007" s="315" t="s">
        <v>100</v>
      </c>
      <c r="T8007" s="308" t="s">
        <v>34208</v>
      </c>
      <c r="U8007" s="308" t="s">
        <v>542</v>
      </c>
      <c r="V8007" s="308"/>
    </row>
    <row r="8008">
      <c r="A8008" s="308"/>
      <c r="B8008" s="308"/>
      <c r="C8008" s="308" t="s">
        <v>31529</v>
      </c>
      <c r="D8008" s="308">
        <f>IFERROR(__xludf.DUMMYFUNCTION("SPLIT(C8008,""-"")"),8028.0)</f>
        <v>8028</v>
      </c>
      <c r="E8008" s="308" t="str">
        <f>IFERROR(__xludf.DUMMYFUNCTION("""COMPUTED_VALUE"""),"K")</f>
        <v>K</v>
      </c>
      <c r="F8008" s="309" t="s">
        <v>34</v>
      </c>
      <c r="G8008" s="308"/>
      <c r="H8008" s="308" t="s">
        <v>31530</v>
      </c>
      <c r="I8008" s="310">
        <v>44235.0</v>
      </c>
      <c r="J8008" s="319">
        <f>IFERROR(__xludf.DUMMYFUNCTION("SPLIT(I8008,""/"")"),8.0)</f>
        <v>8</v>
      </c>
      <c r="K8008" s="308">
        <f>IFERROR(__xludf.DUMMYFUNCTION("""COMPUTED_VALUE"""),2.0)</f>
        <v>2</v>
      </c>
      <c r="L8008" s="308">
        <f>IFERROR(__xludf.DUMMYFUNCTION("""COMPUTED_VALUE"""),2021.0)</f>
        <v>2021</v>
      </c>
      <c r="M8008" s="308" t="s">
        <v>31531</v>
      </c>
      <c r="N8008" s="308" t="s">
        <v>439</v>
      </c>
      <c r="O8008" s="308"/>
      <c r="P8008" s="308" t="s">
        <v>31532</v>
      </c>
      <c r="Q8008" s="308" t="s">
        <v>40051</v>
      </c>
      <c r="R8008" s="308" t="s">
        <v>2743</v>
      </c>
      <c r="S8008" s="308" t="s">
        <v>81</v>
      </c>
      <c r="T8008" s="311" t="s">
        <v>96</v>
      </c>
      <c r="U8008" s="308" t="s">
        <v>530</v>
      </c>
      <c r="V8008" s="308"/>
    </row>
    <row r="8009">
      <c r="A8009" s="308"/>
      <c r="B8009" s="308"/>
      <c r="C8009" s="308" t="s">
        <v>31533</v>
      </c>
      <c r="D8009" s="308">
        <f>IFERROR(__xludf.DUMMYFUNCTION("SPLIT(C8009,""-"")"),8029.0)</f>
        <v>8029</v>
      </c>
      <c r="E8009" s="308" t="str">
        <f>IFERROR(__xludf.DUMMYFUNCTION("""COMPUTED_VALUE"""),"K")</f>
        <v>K</v>
      </c>
      <c r="F8009" s="309" t="s">
        <v>34</v>
      </c>
      <c r="G8009" s="308"/>
      <c r="H8009" s="308" t="s">
        <v>31534</v>
      </c>
      <c r="I8009" s="314">
        <v>44193.0</v>
      </c>
      <c r="J8009" s="319">
        <f>IFERROR(__xludf.DUMMYFUNCTION("SPLIT(I8009,""/"")"),28.0)</f>
        <v>28</v>
      </c>
      <c r="K8009" s="308">
        <f>IFERROR(__xludf.DUMMYFUNCTION("""COMPUTED_VALUE"""),12.0)</f>
        <v>12</v>
      </c>
      <c r="L8009" s="308">
        <f>IFERROR(__xludf.DUMMYFUNCTION("""COMPUTED_VALUE"""),2020.0)</f>
        <v>2020</v>
      </c>
      <c r="M8009" s="308" t="s">
        <v>31535</v>
      </c>
      <c r="N8009" s="308" t="s">
        <v>40053</v>
      </c>
      <c r="O8009" s="308"/>
      <c r="P8009" s="308" t="s">
        <v>40054</v>
      </c>
      <c r="Q8009" s="308" t="s">
        <v>40051</v>
      </c>
      <c r="R8009" s="308" t="s">
        <v>2743</v>
      </c>
      <c r="S8009" s="308" t="s">
        <v>81</v>
      </c>
      <c r="T8009" s="311" t="s">
        <v>34264</v>
      </c>
      <c r="U8009" s="308" t="s">
        <v>27994</v>
      </c>
      <c r="V8009" s="308"/>
    </row>
    <row r="8010">
      <c r="A8010" s="308"/>
      <c r="B8010" s="308"/>
      <c r="C8010" s="308" t="s">
        <v>31538</v>
      </c>
      <c r="D8010" s="308">
        <f>IFERROR(__xludf.DUMMYFUNCTION("SPLIT(C8010,""-"")"),8030.0)</f>
        <v>8030</v>
      </c>
      <c r="E8010" s="308" t="str">
        <f>IFERROR(__xludf.DUMMYFUNCTION("""COMPUTED_VALUE"""),"B")</f>
        <v>B</v>
      </c>
      <c r="F8010" s="315" t="s">
        <v>26</v>
      </c>
      <c r="G8010" s="308"/>
      <c r="H8010" s="308" t="s">
        <v>31539</v>
      </c>
      <c r="I8010" s="310">
        <v>42234.0</v>
      </c>
      <c r="J8010" s="319">
        <f>IFERROR(__xludf.DUMMYFUNCTION("SPLIT(I8010,""/"")"),18.0)</f>
        <v>18</v>
      </c>
      <c r="K8010" s="308">
        <f>IFERROR(__xludf.DUMMYFUNCTION("""COMPUTED_VALUE"""),8.0)</f>
        <v>8</v>
      </c>
      <c r="L8010" s="308">
        <f>IFERROR(__xludf.DUMMYFUNCTION("""COMPUTED_VALUE"""),2015.0)</f>
        <v>2015</v>
      </c>
      <c r="M8010" s="308" t="s">
        <v>31540</v>
      </c>
      <c r="N8010" s="308" t="s">
        <v>439</v>
      </c>
      <c r="O8010" s="308"/>
      <c r="P8010" s="308" t="s">
        <v>136</v>
      </c>
      <c r="Q8010" s="308" t="s">
        <v>40051</v>
      </c>
      <c r="R8010" s="308" t="s">
        <v>2743</v>
      </c>
      <c r="S8010" s="315" t="s">
        <v>100</v>
      </c>
      <c r="T8010" s="308" t="s">
        <v>34208</v>
      </c>
      <c r="U8010" s="308" t="s">
        <v>27</v>
      </c>
      <c r="V8010" s="308"/>
    </row>
    <row r="8011">
      <c r="A8011" s="308"/>
      <c r="B8011" s="308"/>
      <c r="C8011" s="308" t="s">
        <v>31541</v>
      </c>
      <c r="D8011" s="308">
        <f>IFERROR(__xludf.DUMMYFUNCTION("SPLIT(C8011,""-"")"),8031.0)</f>
        <v>8031</v>
      </c>
      <c r="E8011" s="308" t="str">
        <f>IFERROR(__xludf.DUMMYFUNCTION("""COMPUTED_VALUE"""),"K")</f>
        <v>K</v>
      </c>
      <c r="F8011" s="309" t="s">
        <v>34</v>
      </c>
      <c r="G8011" s="308"/>
      <c r="H8011" s="308" t="s">
        <v>31542</v>
      </c>
      <c r="I8011" s="310">
        <v>44343.0</v>
      </c>
      <c r="J8011" s="319">
        <f>IFERROR(__xludf.DUMMYFUNCTION("SPLIT(I8011,""/"")"),27.0)</f>
        <v>27</v>
      </c>
      <c r="K8011" s="308">
        <f>IFERROR(__xludf.DUMMYFUNCTION("""COMPUTED_VALUE"""),5.0)</f>
        <v>5</v>
      </c>
      <c r="L8011" s="308">
        <f>IFERROR(__xludf.DUMMYFUNCTION("""COMPUTED_VALUE"""),2021.0)</f>
        <v>2021</v>
      </c>
      <c r="M8011" s="308" t="s">
        <v>31543</v>
      </c>
      <c r="N8011" s="308" t="s">
        <v>31544</v>
      </c>
      <c r="O8011" s="308"/>
      <c r="P8011" s="308" t="s">
        <v>136</v>
      </c>
      <c r="Q8011" s="308" t="s">
        <v>40051</v>
      </c>
      <c r="R8011" s="308" t="s">
        <v>2743</v>
      </c>
      <c r="S8011" s="315" t="s">
        <v>100</v>
      </c>
      <c r="T8011" s="308" t="s">
        <v>34208</v>
      </c>
      <c r="U8011" s="308" t="s">
        <v>542</v>
      </c>
      <c r="V8011" s="308"/>
    </row>
    <row r="8012">
      <c r="A8012" s="308"/>
      <c r="B8012" s="308"/>
      <c r="C8012" s="308" t="s">
        <v>31545</v>
      </c>
      <c r="D8012" s="308">
        <f>IFERROR(__xludf.DUMMYFUNCTION("SPLIT(C8012,""-"")"),8032.0)</f>
        <v>8032</v>
      </c>
      <c r="E8012" s="308" t="str">
        <f>IFERROR(__xludf.DUMMYFUNCTION("""COMPUTED_VALUE"""),"S")</f>
        <v>S</v>
      </c>
      <c r="F8012" s="312" t="s">
        <v>39</v>
      </c>
      <c r="G8012" s="308"/>
      <c r="H8012" s="308" t="s">
        <v>31546</v>
      </c>
      <c r="I8012" s="310">
        <v>43288.0</v>
      </c>
      <c r="J8012" s="319">
        <f>IFERROR(__xludf.DUMMYFUNCTION("SPLIT(I8012,""/"")"),7.0)</f>
        <v>7</v>
      </c>
      <c r="K8012" s="308">
        <f>IFERROR(__xludf.DUMMYFUNCTION("""COMPUTED_VALUE"""),7.0)</f>
        <v>7</v>
      </c>
      <c r="L8012" s="308">
        <f>IFERROR(__xludf.DUMMYFUNCTION("""COMPUTED_VALUE"""),2018.0)</f>
        <v>2018</v>
      </c>
      <c r="M8012" s="308" t="s">
        <v>31547</v>
      </c>
      <c r="N8012" s="308" t="s">
        <v>31548</v>
      </c>
      <c r="O8012" s="308"/>
      <c r="P8012" s="308" t="s">
        <v>136</v>
      </c>
      <c r="Q8012" s="308" t="s">
        <v>40051</v>
      </c>
      <c r="R8012" s="308" t="s">
        <v>2743</v>
      </c>
      <c r="S8012" s="315" t="s">
        <v>100</v>
      </c>
      <c r="T8012" s="308" t="s">
        <v>34208</v>
      </c>
      <c r="U8012" s="308" t="s">
        <v>166</v>
      </c>
      <c r="V8012" s="308"/>
    </row>
    <row r="8013">
      <c r="A8013" s="308"/>
      <c r="B8013" s="308"/>
      <c r="C8013" s="308" t="s">
        <v>31549</v>
      </c>
      <c r="D8013" s="308">
        <f>IFERROR(__xludf.DUMMYFUNCTION("SPLIT(C8013,""-"")"),8033.0)</f>
        <v>8033</v>
      </c>
      <c r="E8013" s="308" t="str">
        <f>IFERROR(__xludf.DUMMYFUNCTION("""COMPUTED_VALUE"""),"P")</f>
        <v>P</v>
      </c>
      <c r="F8013" s="312" t="s">
        <v>37</v>
      </c>
      <c r="G8013" s="308"/>
      <c r="H8013" s="308" t="s">
        <v>31550</v>
      </c>
      <c r="I8013" s="310">
        <v>44042.0</v>
      </c>
      <c r="J8013" s="319">
        <f>IFERROR(__xludf.DUMMYFUNCTION("SPLIT(I8013,""/"")"),30.0)</f>
        <v>30</v>
      </c>
      <c r="K8013" s="308">
        <f>IFERROR(__xludf.DUMMYFUNCTION("""COMPUTED_VALUE"""),7.0)</f>
        <v>7</v>
      </c>
      <c r="L8013" s="308">
        <f>IFERROR(__xludf.DUMMYFUNCTION("""COMPUTED_VALUE"""),2020.0)</f>
        <v>2020</v>
      </c>
      <c r="M8013" s="308" t="s">
        <v>31551</v>
      </c>
      <c r="N8013" s="308" t="s">
        <v>31552</v>
      </c>
      <c r="O8013" s="308"/>
      <c r="P8013" s="308" t="s">
        <v>40055</v>
      </c>
      <c r="Q8013" s="308" t="s">
        <v>40051</v>
      </c>
      <c r="R8013" s="308" t="s">
        <v>31554</v>
      </c>
      <c r="S8013" s="308" t="s">
        <v>81</v>
      </c>
      <c r="T8013" s="311" t="s">
        <v>51</v>
      </c>
      <c r="U8013" s="308" t="s">
        <v>1435</v>
      </c>
      <c r="V8013" s="308"/>
    </row>
    <row r="8014">
      <c r="A8014" s="308"/>
      <c r="B8014" s="308"/>
      <c r="C8014" s="308" t="s">
        <v>31555</v>
      </c>
      <c r="D8014" s="308">
        <f>IFERROR(__xludf.DUMMYFUNCTION("SPLIT(C8014,""-"")"),8034.0)</f>
        <v>8034</v>
      </c>
      <c r="E8014" s="308" t="str">
        <f>IFERROR(__xludf.DUMMYFUNCTION("""COMPUTED_VALUE"""),"K")</f>
        <v>K</v>
      </c>
      <c r="F8014" s="309" t="s">
        <v>34</v>
      </c>
      <c r="G8014" s="308"/>
      <c r="H8014" s="308" t="s">
        <v>31556</v>
      </c>
      <c r="I8014" s="310">
        <v>41657.0</v>
      </c>
      <c r="J8014" s="319">
        <f>IFERROR(__xludf.DUMMYFUNCTION("SPLIT(I8014,""/"")"),18.0)</f>
        <v>18</v>
      </c>
      <c r="K8014" s="308">
        <f>IFERROR(__xludf.DUMMYFUNCTION("""COMPUTED_VALUE"""),1.0)</f>
        <v>1</v>
      </c>
      <c r="L8014" s="308">
        <f>IFERROR(__xludf.DUMMYFUNCTION("""COMPUTED_VALUE"""),2014.0)</f>
        <v>2014</v>
      </c>
      <c r="M8014" s="308" t="s">
        <v>31557</v>
      </c>
      <c r="N8014" s="308" t="s">
        <v>31558</v>
      </c>
      <c r="O8014" s="308"/>
      <c r="P8014" s="308" t="s">
        <v>40056</v>
      </c>
      <c r="Q8014" s="308" t="s">
        <v>40051</v>
      </c>
      <c r="R8014" s="308" t="s">
        <v>2743</v>
      </c>
      <c r="S8014" s="308" t="s">
        <v>81</v>
      </c>
      <c r="T8014" s="308" t="s">
        <v>34264</v>
      </c>
      <c r="U8014" s="308" t="s">
        <v>125</v>
      </c>
      <c r="V8014" s="308"/>
    </row>
    <row r="8015">
      <c r="A8015" s="308"/>
      <c r="B8015" s="308"/>
      <c r="C8015" s="308" t="s">
        <v>31560</v>
      </c>
      <c r="D8015" s="308">
        <f>IFERROR(__xludf.DUMMYFUNCTION("SPLIT(C8015,""-"")"),8035.0)</f>
        <v>8035</v>
      </c>
      <c r="E8015" s="308" t="str">
        <f>IFERROR(__xludf.DUMMYFUNCTION("""COMPUTED_VALUE"""),"K")</f>
        <v>K</v>
      </c>
      <c r="F8015" s="309" t="s">
        <v>34</v>
      </c>
      <c r="G8015" s="308"/>
      <c r="H8015" s="308" t="s">
        <v>31561</v>
      </c>
      <c r="I8015" s="310">
        <v>39995.0</v>
      </c>
      <c r="J8015" s="319">
        <f>IFERROR(__xludf.DUMMYFUNCTION("SPLIT(I8015,""/"")"),1.0)</f>
        <v>1</v>
      </c>
      <c r="K8015" s="308">
        <f>IFERROR(__xludf.DUMMYFUNCTION("""COMPUTED_VALUE"""),7.0)</f>
        <v>7</v>
      </c>
      <c r="L8015" s="308">
        <f>IFERROR(__xludf.DUMMYFUNCTION("""COMPUTED_VALUE"""),2009.0)</f>
        <v>2009</v>
      </c>
      <c r="M8015" s="308" t="s">
        <v>31562</v>
      </c>
      <c r="N8015" s="308" t="s">
        <v>439</v>
      </c>
      <c r="O8015" s="308"/>
      <c r="P8015" s="308" t="s">
        <v>136</v>
      </c>
      <c r="Q8015" s="308" t="s">
        <v>40051</v>
      </c>
      <c r="R8015" s="308" t="s">
        <v>31563</v>
      </c>
      <c r="S8015" s="315" t="s">
        <v>100</v>
      </c>
      <c r="T8015" s="308" t="s">
        <v>34208</v>
      </c>
      <c r="U8015" s="308" t="s">
        <v>125</v>
      </c>
      <c r="V8015" s="308"/>
    </row>
    <row r="8016">
      <c r="A8016" s="308"/>
      <c r="B8016" s="308"/>
      <c r="C8016" s="308" t="s">
        <v>31564</v>
      </c>
      <c r="D8016" s="308">
        <f>IFERROR(__xludf.DUMMYFUNCTION("SPLIT(C8016,""-"")"),8036.0)</f>
        <v>8036</v>
      </c>
      <c r="E8016" s="308" t="str">
        <f>IFERROR(__xludf.DUMMYFUNCTION("""COMPUTED_VALUE"""),"K")</f>
        <v>K</v>
      </c>
      <c r="F8016" s="309" t="s">
        <v>34</v>
      </c>
      <c r="G8016" s="308"/>
      <c r="H8016" s="308" t="s">
        <v>29461</v>
      </c>
      <c r="I8016" s="310">
        <v>39995.0</v>
      </c>
      <c r="J8016" s="319">
        <f>IFERROR(__xludf.DUMMYFUNCTION("SPLIT(I8016,""/"")"),1.0)</f>
        <v>1</v>
      </c>
      <c r="K8016" s="308">
        <f>IFERROR(__xludf.DUMMYFUNCTION("""COMPUTED_VALUE"""),7.0)</f>
        <v>7</v>
      </c>
      <c r="L8016" s="308">
        <f>IFERROR(__xludf.DUMMYFUNCTION("""COMPUTED_VALUE"""),2009.0)</f>
        <v>2009</v>
      </c>
      <c r="M8016" s="308" t="s">
        <v>31562</v>
      </c>
      <c r="N8016" s="308" t="s">
        <v>439</v>
      </c>
      <c r="O8016" s="308"/>
      <c r="P8016" s="308" t="s">
        <v>136</v>
      </c>
      <c r="Q8016" s="308" t="s">
        <v>40051</v>
      </c>
      <c r="R8016" s="308" t="s">
        <v>31563</v>
      </c>
      <c r="S8016" s="315" t="s">
        <v>100</v>
      </c>
      <c r="T8016" s="308" t="s">
        <v>34208</v>
      </c>
      <c r="U8016" s="308" t="s">
        <v>125</v>
      </c>
      <c r="V8016" s="308"/>
    </row>
    <row r="8017">
      <c r="A8017" s="308"/>
      <c r="B8017" s="308"/>
      <c r="C8017" s="308" t="s">
        <v>31565</v>
      </c>
      <c r="D8017" s="308">
        <f>IFERROR(__xludf.DUMMYFUNCTION("SPLIT(C8017,""-"")"),8037.0)</f>
        <v>8037</v>
      </c>
      <c r="E8017" s="308" t="str">
        <f>IFERROR(__xludf.DUMMYFUNCTION("""COMPUTED_VALUE"""),"K")</f>
        <v>K</v>
      </c>
      <c r="F8017" s="309" t="s">
        <v>34</v>
      </c>
      <c r="G8017" s="308"/>
      <c r="H8017" s="308" t="s">
        <v>31566</v>
      </c>
      <c r="I8017" s="310">
        <v>39995.0</v>
      </c>
      <c r="J8017" s="319">
        <f>IFERROR(__xludf.DUMMYFUNCTION("SPLIT(I8017,""/"")"),1.0)</f>
        <v>1</v>
      </c>
      <c r="K8017" s="308">
        <f>IFERROR(__xludf.DUMMYFUNCTION("""COMPUTED_VALUE"""),7.0)</f>
        <v>7</v>
      </c>
      <c r="L8017" s="308">
        <f>IFERROR(__xludf.DUMMYFUNCTION("""COMPUTED_VALUE"""),2009.0)</f>
        <v>2009</v>
      </c>
      <c r="M8017" s="308" t="s">
        <v>31562</v>
      </c>
      <c r="N8017" s="308" t="s">
        <v>439</v>
      </c>
      <c r="O8017" s="308"/>
      <c r="P8017" s="308" t="s">
        <v>136</v>
      </c>
      <c r="Q8017" s="308" t="s">
        <v>40051</v>
      </c>
      <c r="R8017" s="308" t="s">
        <v>31563</v>
      </c>
      <c r="S8017" s="315" t="s">
        <v>100</v>
      </c>
      <c r="T8017" s="308" t="s">
        <v>34208</v>
      </c>
      <c r="U8017" s="308" t="s">
        <v>125</v>
      </c>
      <c r="V8017" s="308"/>
    </row>
    <row r="8018">
      <c r="A8018" s="308"/>
      <c r="B8018" s="308"/>
      <c r="C8018" s="308" t="s">
        <v>31567</v>
      </c>
      <c r="D8018" s="308">
        <f>IFERROR(__xludf.DUMMYFUNCTION("SPLIT(C8018,""-"")"),8038.0)</f>
        <v>8038</v>
      </c>
      <c r="E8018" s="308" t="str">
        <f>IFERROR(__xludf.DUMMYFUNCTION("""COMPUTED_VALUE"""),"B")</f>
        <v>B</v>
      </c>
      <c r="F8018" s="315" t="s">
        <v>26</v>
      </c>
      <c r="G8018" s="308"/>
      <c r="H8018" s="308" t="s">
        <v>31568</v>
      </c>
      <c r="I8018" s="310">
        <v>44285.0</v>
      </c>
      <c r="J8018" s="319">
        <f>IFERROR(__xludf.DUMMYFUNCTION("SPLIT(I8018,""/"")"),30.0)</f>
        <v>30</v>
      </c>
      <c r="K8018" s="308">
        <f>IFERROR(__xludf.DUMMYFUNCTION("""COMPUTED_VALUE"""),3.0)</f>
        <v>3</v>
      </c>
      <c r="L8018" s="308">
        <f>IFERROR(__xludf.DUMMYFUNCTION("""COMPUTED_VALUE"""),2021.0)</f>
        <v>2021</v>
      </c>
      <c r="M8018" s="308" t="s">
        <v>31569</v>
      </c>
      <c r="N8018" s="308" t="s">
        <v>31570</v>
      </c>
      <c r="O8018" s="308"/>
      <c r="P8018" s="308" t="s">
        <v>40057</v>
      </c>
      <c r="Q8018" s="308" t="s">
        <v>40058</v>
      </c>
      <c r="R8018" s="308" t="s">
        <v>20958</v>
      </c>
      <c r="S8018" s="308" t="s">
        <v>81</v>
      </c>
      <c r="T8018" s="311" t="s">
        <v>96</v>
      </c>
      <c r="U8018" s="308" t="s">
        <v>27</v>
      </c>
      <c r="V8018" s="308"/>
    </row>
    <row r="8019">
      <c r="A8019" s="308"/>
      <c r="B8019" s="308"/>
      <c r="C8019" s="308" t="s">
        <v>31572</v>
      </c>
      <c r="D8019" s="308">
        <f>IFERROR(__xludf.DUMMYFUNCTION("SPLIT(C8019,""-"")"),8039.0)</f>
        <v>8039</v>
      </c>
      <c r="E8019" s="308" t="str">
        <f>IFERROR(__xludf.DUMMYFUNCTION("""COMPUTED_VALUE"""),"K")</f>
        <v>K</v>
      </c>
      <c r="F8019" s="309" t="s">
        <v>34</v>
      </c>
      <c r="G8019" s="308"/>
      <c r="H8019" s="308" t="s">
        <v>31573</v>
      </c>
      <c r="I8019" s="314">
        <v>44186.0</v>
      </c>
      <c r="J8019" s="319">
        <f>IFERROR(__xludf.DUMMYFUNCTION("SPLIT(I8019,""/"")"),21.0)</f>
        <v>21</v>
      </c>
      <c r="K8019" s="308">
        <f>IFERROR(__xludf.DUMMYFUNCTION("""COMPUTED_VALUE"""),12.0)</f>
        <v>12</v>
      </c>
      <c r="L8019" s="308">
        <f>IFERROR(__xludf.DUMMYFUNCTION("""COMPUTED_VALUE"""),2020.0)</f>
        <v>2020</v>
      </c>
      <c r="M8019" s="308" t="s">
        <v>31574</v>
      </c>
      <c r="N8019" s="308" t="s">
        <v>439</v>
      </c>
      <c r="O8019" s="308"/>
      <c r="P8019" s="308" t="s">
        <v>40059</v>
      </c>
      <c r="Q8019" s="308" t="s">
        <v>40058</v>
      </c>
      <c r="R8019" s="308" t="s">
        <v>2743</v>
      </c>
      <c r="S8019" s="308" t="s">
        <v>81</v>
      </c>
      <c r="T8019" s="308" t="s">
        <v>34264</v>
      </c>
      <c r="U8019" s="308" t="s">
        <v>201</v>
      </c>
      <c r="V8019" s="308"/>
    </row>
    <row r="8020">
      <c r="A8020" s="308"/>
      <c r="B8020" s="308"/>
      <c r="C8020" s="308" t="s">
        <v>31576</v>
      </c>
      <c r="D8020" s="308">
        <f>IFERROR(__xludf.DUMMYFUNCTION("SPLIT(C8020,""-"")"),8040.0)</f>
        <v>8040</v>
      </c>
      <c r="E8020" s="308" t="str">
        <f>IFERROR(__xludf.DUMMYFUNCTION("""COMPUTED_VALUE"""),"K")</f>
        <v>K</v>
      </c>
      <c r="F8020" s="309" t="s">
        <v>34</v>
      </c>
      <c r="G8020" s="308"/>
      <c r="H8020" s="308" t="s">
        <v>31577</v>
      </c>
      <c r="I8020" s="310">
        <v>44345.0</v>
      </c>
      <c r="J8020" s="319">
        <f>IFERROR(__xludf.DUMMYFUNCTION("SPLIT(I8020,""/"")"),29.0)</f>
        <v>29</v>
      </c>
      <c r="K8020" s="308">
        <f>IFERROR(__xludf.DUMMYFUNCTION("""COMPUTED_VALUE"""),5.0)</f>
        <v>5</v>
      </c>
      <c r="L8020" s="308">
        <f>IFERROR(__xludf.DUMMYFUNCTION("""COMPUTED_VALUE"""),2021.0)</f>
        <v>2021</v>
      </c>
      <c r="M8020" s="308" t="s">
        <v>31578</v>
      </c>
      <c r="N8020" s="308" t="s">
        <v>31579</v>
      </c>
      <c r="O8020" s="308"/>
      <c r="P8020" s="308" t="s">
        <v>40060</v>
      </c>
      <c r="Q8020" s="308" t="s">
        <v>40058</v>
      </c>
      <c r="R8020" s="308" t="s">
        <v>2743</v>
      </c>
      <c r="S8020" s="308" t="s">
        <v>81</v>
      </c>
      <c r="T8020" s="311" t="s">
        <v>91</v>
      </c>
      <c r="U8020" s="308" t="s">
        <v>542</v>
      </c>
      <c r="V8020" s="308"/>
    </row>
    <row r="8021">
      <c r="A8021" s="308"/>
      <c r="B8021" s="308"/>
      <c r="C8021" s="308" t="s">
        <v>31581</v>
      </c>
      <c r="D8021" s="308">
        <f>IFERROR(__xludf.DUMMYFUNCTION("SPLIT(C8021,""-"")"),8041.0)</f>
        <v>8041</v>
      </c>
      <c r="E8021" s="308" t="str">
        <f>IFERROR(__xludf.DUMMYFUNCTION("""COMPUTED_VALUE"""),"K")</f>
        <v>K</v>
      </c>
      <c r="F8021" s="309" t="s">
        <v>34</v>
      </c>
      <c r="G8021" s="308"/>
      <c r="H8021" s="308" t="s">
        <v>31582</v>
      </c>
      <c r="I8021" s="310">
        <v>44345.0</v>
      </c>
      <c r="J8021" s="319">
        <f>IFERROR(__xludf.DUMMYFUNCTION("SPLIT(I8021,""/"")"),29.0)</f>
        <v>29</v>
      </c>
      <c r="K8021" s="308">
        <f>IFERROR(__xludf.DUMMYFUNCTION("""COMPUTED_VALUE"""),5.0)</f>
        <v>5</v>
      </c>
      <c r="L8021" s="308">
        <f>IFERROR(__xludf.DUMMYFUNCTION("""COMPUTED_VALUE"""),2021.0)</f>
        <v>2021</v>
      </c>
      <c r="M8021" s="308" t="s">
        <v>31578</v>
      </c>
      <c r="N8021" s="308" t="s">
        <v>31583</v>
      </c>
      <c r="O8021" s="308"/>
      <c r="P8021" s="308" t="s">
        <v>136</v>
      </c>
      <c r="Q8021" s="308" t="s">
        <v>40058</v>
      </c>
      <c r="R8021" s="308" t="s">
        <v>2743</v>
      </c>
      <c r="S8021" s="315" t="s">
        <v>100</v>
      </c>
      <c r="T8021" s="308" t="s">
        <v>34208</v>
      </c>
      <c r="U8021" s="308" t="s">
        <v>542</v>
      </c>
      <c r="V8021" s="308"/>
    </row>
    <row r="8022">
      <c r="A8022" s="308"/>
      <c r="B8022" s="308"/>
      <c r="C8022" s="308" t="s">
        <v>31584</v>
      </c>
      <c r="D8022" s="308">
        <f>IFERROR(__xludf.DUMMYFUNCTION("SPLIT(C8022,""-"")"),8042.0)</f>
        <v>8042</v>
      </c>
      <c r="E8022" s="308" t="str">
        <f>IFERROR(__xludf.DUMMYFUNCTION("""COMPUTED_VALUE"""),"K")</f>
        <v>K</v>
      </c>
      <c r="F8022" s="309" t="s">
        <v>34</v>
      </c>
      <c r="G8022" s="308"/>
      <c r="H8022" s="308" t="s">
        <v>31585</v>
      </c>
      <c r="I8022" s="310">
        <v>40360.0</v>
      </c>
      <c r="J8022" s="319">
        <f>IFERROR(__xludf.DUMMYFUNCTION("SPLIT(I8022,""/"")"),1.0)</f>
        <v>1</v>
      </c>
      <c r="K8022" s="308">
        <f>IFERROR(__xludf.DUMMYFUNCTION("""COMPUTED_VALUE"""),7.0)</f>
        <v>7</v>
      </c>
      <c r="L8022" s="308">
        <f>IFERROR(__xludf.DUMMYFUNCTION("""COMPUTED_VALUE"""),2010.0)</f>
        <v>2010</v>
      </c>
      <c r="M8022" s="308" t="s">
        <v>31586</v>
      </c>
      <c r="N8022" s="308" t="s">
        <v>31587</v>
      </c>
      <c r="O8022" s="308"/>
      <c r="P8022" s="308" t="s">
        <v>136</v>
      </c>
      <c r="Q8022" s="308" t="s">
        <v>40058</v>
      </c>
      <c r="R8022" s="308" t="s">
        <v>2743</v>
      </c>
      <c r="S8022" s="315" t="s">
        <v>100</v>
      </c>
      <c r="T8022" s="308" t="s">
        <v>34208</v>
      </c>
      <c r="U8022" s="308" t="s">
        <v>13085</v>
      </c>
      <c r="V8022" s="308"/>
    </row>
    <row r="8023">
      <c r="A8023" s="308"/>
      <c r="B8023" s="308"/>
      <c r="C8023" s="308" t="s">
        <v>31588</v>
      </c>
      <c r="D8023" s="308">
        <f>IFERROR(__xludf.DUMMYFUNCTION("SPLIT(C8023,""-"")"),8043.0)</f>
        <v>8043</v>
      </c>
      <c r="E8023" s="308" t="str">
        <f>IFERROR(__xludf.DUMMYFUNCTION("""COMPUTED_VALUE"""),"K")</f>
        <v>K</v>
      </c>
      <c r="F8023" s="309" t="s">
        <v>34</v>
      </c>
      <c r="G8023" s="308"/>
      <c r="H8023" s="308" t="s">
        <v>31589</v>
      </c>
      <c r="I8023" s="310">
        <v>44341.0</v>
      </c>
      <c r="J8023" s="319">
        <f>IFERROR(__xludf.DUMMYFUNCTION("SPLIT(I8023,""/"")"),25.0)</f>
        <v>25</v>
      </c>
      <c r="K8023" s="308">
        <f>IFERROR(__xludf.DUMMYFUNCTION("""COMPUTED_VALUE"""),5.0)</f>
        <v>5</v>
      </c>
      <c r="L8023" s="308">
        <f>IFERROR(__xludf.DUMMYFUNCTION("""COMPUTED_VALUE"""),2021.0)</f>
        <v>2021</v>
      </c>
      <c r="M8023" s="308" t="s">
        <v>31590</v>
      </c>
      <c r="N8023" s="308" t="s">
        <v>31591</v>
      </c>
      <c r="O8023" s="308"/>
      <c r="P8023" s="308" t="s">
        <v>40061</v>
      </c>
      <c r="Q8023" s="308" t="s">
        <v>40058</v>
      </c>
      <c r="R8023" s="308" t="s">
        <v>2743</v>
      </c>
      <c r="S8023" s="308" t="s">
        <v>81</v>
      </c>
      <c r="T8023" s="308" t="s">
        <v>75</v>
      </c>
      <c r="U8023" s="308" t="s">
        <v>125</v>
      </c>
      <c r="V8023" s="308"/>
    </row>
    <row r="8024">
      <c r="A8024" s="308"/>
      <c r="B8024" s="308"/>
      <c r="C8024" s="308" t="s">
        <v>31593</v>
      </c>
      <c r="D8024" s="308">
        <f>IFERROR(__xludf.DUMMYFUNCTION("SPLIT(C8024,""-"")"),8044.0)</f>
        <v>8044</v>
      </c>
      <c r="E8024" s="308" t="str">
        <f>IFERROR(__xludf.DUMMYFUNCTION("""COMPUTED_VALUE"""),"K")</f>
        <v>K</v>
      </c>
      <c r="F8024" s="309" t="s">
        <v>34</v>
      </c>
      <c r="G8024" s="308"/>
      <c r="H8024" s="308" t="s">
        <v>31594</v>
      </c>
      <c r="I8024" s="310">
        <v>42187.0</v>
      </c>
      <c r="J8024" s="319">
        <f>IFERROR(__xludf.DUMMYFUNCTION("SPLIT(I8024,""/"")"),2.0)</f>
        <v>2</v>
      </c>
      <c r="K8024" s="308">
        <f>IFERROR(__xludf.DUMMYFUNCTION("""COMPUTED_VALUE"""),7.0)</f>
        <v>7</v>
      </c>
      <c r="L8024" s="308">
        <f>IFERROR(__xludf.DUMMYFUNCTION("""COMPUTED_VALUE"""),2015.0)</f>
        <v>2015</v>
      </c>
      <c r="M8024" s="308" t="s">
        <v>31595</v>
      </c>
      <c r="N8024" s="308" t="s">
        <v>40062</v>
      </c>
      <c r="O8024" s="308"/>
      <c r="P8024" s="308" t="s">
        <v>136</v>
      </c>
      <c r="Q8024" s="308" t="s">
        <v>40058</v>
      </c>
      <c r="R8024" s="308" t="s">
        <v>2743</v>
      </c>
      <c r="S8024" s="315" t="s">
        <v>100</v>
      </c>
      <c r="T8024" s="308" t="s">
        <v>34208</v>
      </c>
      <c r="U8024" s="308" t="s">
        <v>13085</v>
      </c>
      <c r="V8024" s="308"/>
    </row>
    <row r="8025">
      <c r="A8025" s="308"/>
      <c r="B8025" s="308"/>
      <c r="C8025" s="308" t="s">
        <v>31597</v>
      </c>
      <c r="D8025" s="308">
        <f>IFERROR(__xludf.DUMMYFUNCTION("SPLIT(C8025,""-"")"),8045.0)</f>
        <v>8045</v>
      </c>
      <c r="E8025" s="308" t="str">
        <f>IFERROR(__xludf.DUMMYFUNCTION("""COMPUTED_VALUE"""),"K")</f>
        <v>K</v>
      </c>
      <c r="F8025" s="309" t="s">
        <v>34</v>
      </c>
      <c r="G8025" s="308"/>
      <c r="H8025" s="308" t="s">
        <v>31598</v>
      </c>
      <c r="I8025" s="314">
        <v>43398.0</v>
      </c>
      <c r="J8025" s="319">
        <f>IFERROR(__xludf.DUMMYFUNCTION("SPLIT(I8025,""/"")"),25.0)</f>
        <v>25</v>
      </c>
      <c r="K8025" s="308">
        <f>IFERROR(__xludf.DUMMYFUNCTION("""COMPUTED_VALUE"""),10.0)</f>
        <v>10</v>
      </c>
      <c r="L8025" s="308">
        <f>IFERROR(__xludf.DUMMYFUNCTION("""COMPUTED_VALUE"""),2018.0)</f>
        <v>2018</v>
      </c>
      <c r="M8025" s="308" t="s">
        <v>31599</v>
      </c>
      <c r="N8025" s="308" t="s">
        <v>40063</v>
      </c>
      <c r="O8025" s="308"/>
      <c r="P8025" s="308" t="s">
        <v>31601</v>
      </c>
      <c r="Q8025" s="308" t="s">
        <v>40058</v>
      </c>
      <c r="R8025" s="308" t="s">
        <v>2743</v>
      </c>
      <c r="S8025" s="308" t="s">
        <v>81</v>
      </c>
      <c r="T8025" s="308" t="s">
        <v>34264</v>
      </c>
      <c r="U8025" s="308" t="s">
        <v>1509</v>
      </c>
      <c r="V8025" s="308"/>
    </row>
    <row r="8026">
      <c r="A8026" s="308"/>
      <c r="B8026" s="308"/>
      <c r="C8026" s="308" t="s">
        <v>31602</v>
      </c>
      <c r="D8026" s="308">
        <f>IFERROR(__xludf.DUMMYFUNCTION("SPLIT(C8026,""-"")"),8046.0)</f>
        <v>8046</v>
      </c>
      <c r="E8026" s="308" t="str">
        <f>IFERROR(__xludf.DUMMYFUNCTION("""COMPUTED_VALUE"""),"I")</f>
        <v>I</v>
      </c>
      <c r="F8026" s="309" t="s">
        <v>31</v>
      </c>
      <c r="G8026" s="308"/>
      <c r="H8026" s="308" t="s">
        <v>31603</v>
      </c>
      <c r="I8026" s="310">
        <v>44356.0</v>
      </c>
      <c r="J8026" s="319">
        <f>IFERROR(__xludf.DUMMYFUNCTION("SPLIT(I8026,""/"")"),9.0)</f>
        <v>9</v>
      </c>
      <c r="K8026" s="308">
        <f>IFERROR(__xludf.DUMMYFUNCTION("""COMPUTED_VALUE"""),6.0)</f>
        <v>6</v>
      </c>
      <c r="L8026" s="308">
        <f>IFERROR(__xludf.DUMMYFUNCTION("""COMPUTED_VALUE"""),2021.0)</f>
        <v>2021</v>
      </c>
      <c r="M8026" s="308" t="s">
        <v>31604</v>
      </c>
      <c r="N8026" s="308" t="s">
        <v>31605</v>
      </c>
      <c r="O8026" s="308"/>
      <c r="P8026" s="308" t="s">
        <v>31606</v>
      </c>
      <c r="Q8026" s="308" t="s">
        <v>40058</v>
      </c>
      <c r="R8026" s="308" t="s">
        <v>2743</v>
      </c>
      <c r="S8026" s="308" t="s">
        <v>81</v>
      </c>
      <c r="T8026" s="308" t="s">
        <v>75</v>
      </c>
      <c r="U8026" s="308" t="s">
        <v>31</v>
      </c>
      <c r="V8026" s="308"/>
    </row>
    <row r="8027">
      <c r="A8027" s="308"/>
      <c r="B8027" s="308"/>
      <c r="C8027" s="308" t="s">
        <v>31607</v>
      </c>
      <c r="D8027" s="308">
        <f>IFERROR(__xludf.DUMMYFUNCTION("SPLIT(C8027,""-"")"),8047.0)</f>
        <v>8047</v>
      </c>
      <c r="E8027" s="308" t="str">
        <f>IFERROR(__xludf.DUMMYFUNCTION("""COMPUTED_VALUE"""),"K")</f>
        <v>K</v>
      </c>
      <c r="F8027" s="309" t="s">
        <v>34</v>
      </c>
      <c r="G8027" s="308"/>
      <c r="H8027" s="308" t="s">
        <v>31608</v>
      </c>
      <c r="I8027" s="310">
        <v>41821.0</v>
      </c>
      <c r="J8027" s="319">
        <f>IFERROR(__xludf.DUMMYFUNCTION("SPLIT(I8027,""/"")"),1.0)</f>
        <v>1</v>
      </c>
      <c r="K8027" s="308">
        <f>IFERROR(__xludf.DUMMYFUNCTION("""COMPUTED_VALUE"""),7.0)</f>
        <v>7</v>
      </c>
      <c r="L8027" s="308">
        <f>IFERROR(__xludf.DUMMYFUNCTION("""COMPUTED_VALUE"""),2014.0)</f>
        <v>2014</v>
      </c>
      <c r="M8027" s="308" t="s">
        <v>31609</v>
      </c>
      <c r="N8027" s="308" t="s">
        <v>31610</v>
      </c>
      <c r="O8027" s="308"/>
      <c r="P8027" s="308" t="s">
        <v>136</v>
      </c>
      <c r="Q8027" s="308" t="s">
        <v>40064</v>
      </c>
      <c r="R8027" s="308" t="s">
        <v>2743</v>
      </c>
      <c r="S8027" s="315" t="s">
        <v>100</v>
      </c>
      <c r="T8027" s="308" t="s">
        <v>34208</v>
      </c>
      <c r="U8027" s="308" t="s">
        <v>22473</v>
      </c>
      <c r="V8027" s="308"/>
    </row>
    <row r="8028">
      <c r="A8028" s="308"/>
      <c r="B8028" s="308"/>
      <c r="C8028" s="308" t="s">
        <v>31611</v>
      </c>
      <c r="D8028" s="308">
        <f>IFERROR(__xludf.DUMMYFUNCTION("SPLIT(C8028,""-"")"),8048.0)</f>
        <v>8048</v>
      </c>
      <c r="E8028" s="308" t="str">
        <f>IFERROR(__xludf.DUMMYFUNCTION("""COMPUTED_VALUE"""),"B")</f>
        <v>B</v>
      </c>
      <c r="F8028" s="315" t="s">
        <v>26</v>
      </c>
      <c r="G8028" s="308"/>
      <c r="H8028" s="308" t="s">
        <v>31612</v>
      </c>
      <c r="I8028" s="310">
        <v>43343.0</v>
      </c>
      <c r="J8028" s="319">
        <f>IFERROR(__xludf.DUMMYFUNCTION("SPLIT(I8028,""/"")"),31.0)</f>
        <v>31</v>
      </c>
      <c r="K8028" s="308">
        <f>IFERROR(__xludf.DUMMYFUNCTION("""COMPUTED_VALUE"""),8.0)</f>
        <v>8</v>
      </c>
      <c r="L8028" s="308">
        <f>IFERROR(__xludf.DUMMYFUNCTION("""COMPUTED_VALUE"""),2018.0)</f>
        <v>2018</v>
      </c>
      <c r="M8028" s="308" t="s">
        <v>40065</v>
      </c>
      <c r="N8028" s="308" t="s">
        <v>31614</v>
      </c>
      <c r="O8028" s="308"/>
      <c r="P8028" s="308" t="s">
        <v>136</v>
      </c>
      <c r="Q8028" s="308" t="s">
        <v>40066</v>
      </c>
      <c r="R8028" s="308" t="s">
        <v>2743</v>
      </c>
      <c r="S8028" s="315" t="s">
        <v>100</v>
      </c>
      <c r="T8028" s="308" t="s">
        <v>34208</v>
      </c>
      <c r="U8028" s="308" t="s">
        <v>27</v>
      </c>
      <c r="V8028" s="308"/>
    </row>
    <row r="8029">
      <c r="A8029" s="308"/>
      <c r="B8029" s="308"/>
      <c r="C8029" s="308" t="s">
        <v>31615</v>
      </c>
      <c r="D8029" s="308">
        <f>IFERROR(__xludf.DUMMYFUNCTION("SPLIT(C8029,""-"")"),8049.0)</f>
        <v>8049</v>
      </c>
      <c r="E8029" s="308" t="str">
        <f>IFERROR(__xludf.DUMMYFUNCTION("""COMPUTED_VALUE"""),"B")</f>
        <v>B</v>
      </c>
      <c r="F8029" s="315" t="s">
        <v>26</v>
      </c>
      <c r="G8029" s="308"/>
      <c r="H8029" s="308" t="s">
        <v>31616</v>
      </c>
      <c r="I8029" s="310">
        <v>43343.0</v>
      </c>
      <c r="J8029" s="319">
        <f>IFERROR(__xludf.DUMMYFUNCTION("SPLIT(I8029,""/"")"),31.0)</f>
        <v>31</v>
      </c>
      <c r="K8029" s="308">
        <f>IFERROR(__xludf.DUMMYFUNCTION("""COMPUTED_VALUE"""),8.0)</f>
        <v>8</v>
      </c>
      <c r="L8029" s="308">
        <f>IFERROR(__xludf.DUMMYFUNCTION("""COMPUTED_VALUE"""),2018.0)</f>
        <v>2018</v>
      </c>
      <c r="M8029" s="308" t="s">
        <v>40067</v>
      </c>
      <c r="N8029" s="308" t="s">
        <v>31618</v>
      </c>
      <c r="O8029" s="308"/>
      <c r="P8029" s="308" t="s">
        <v>136</v>
      </c>
      <c r="Q8029" s="308" t="s">
        <v>40066</v>
      </c>
      <c r="R8029" s="308" t="s">
        <v>2743</v>
      </c>
      <c r="S8029" s="315" t="s">
        <v>100</v>
      </c>
      <c r="T8029" s="308" t="s">
        <v>34208</v>
      </c>
      <c r="U8029" s="308" t="s">
        <v>27</v>
      </c>
      <c r="V8029" s="308"/>
    </row>
    <row r="8030">
      <c r="A8030" s="308"/>
      <c r="B8030" s="308"/>
      <c r="C8030" s="308" t="s">
        <v>31619</v>
      </c>
      <c r="D8030" s="308">
        <f>IFERROR(__xludf.DUMMYFUNCTION("SPLIT(C8030,""-"")"),8050.0)</f>
        <v>8050</v>
      </c>
      <c r="E8030" s="308" t="str">
        <f>IFERROR(__xludf.DUMMYFUNCTION("""COMPUTED_VALUE"""),"K")</f>
        <v>K</v>
      </c>
      <c r="F8030" s="309" t="s">
        <v>34</v>
      </c>
      <c r="G8030" s="308"/>
      <c r="H8030" s="308" t="s">
        <v>31620</v>
      </c>
      <c r="I8030" s="310">
        <v>44256.0</v>
      </c>
      <c r="J8030" s="319">
        <f>IFERROR(__xludf.DUMMYFUNCTION("SPLIT(I8030,""/"")"),1.0)</f>
        <v>1</v>
      </c>
      <c r="K8030" s="308">
        <f>IFERROR(__xludf.DUMMYFUNCTION("""COMPUTED_VALUE"""),3.0)</f>
        <v>3</v>
      </c>
      <c r="L8030" s="308">
        <f>IFERROR(__xludf.DUMMYFUNCTION("""COMPUTED_VALUE"""),2021.0)</f>
        <v>2021</v>
      </c>
      <c r="M8030" s="308" t="s">
        <v>31621</v>
      </c>
      <c r="N8030" s="308" t="s">
        <v>31622</v>
      </c>
      <c r="O8030" s="308"/>
      <c r="P8030" s="308" t="s">
        <v>136</v>
      </c>
      <c r="Q8030" s="308" t="s">
        <v>40066</v>
      </c>
      <c r="R8030" s="308" t="s">
        <v>2743</v>
      </c>
      <c r="S8030" s="315" t="s">
        <v>100</v>
      </c>
      <c r="T8030" s="308" t="s">
        <v>34208</v>
      </c>
      <c r="U8030" s="308" t="s">
        <v>1509</v>
      </c>
      <c r="V8030" s="308"/>
    </row>
    <row r="8031">
      <c r="A8031" s="308"/>
      <c r="B8031" s="308"/>
      <c r="C8031" s="308" t="s">
        <v>31623</v>
      </c>
      <c r="D8031" s="308">
        <f>IFERROR(__xludf.DUMMYFUNCTION("SPLIT(C8031,""-"")"),8051.0)</f>
        <v>8051</v>
      </c>
      <c r="E8031" s="308" t="str">
        <f>IFERROR(__xludf.DUMMYFUNCTION("""COMPUTED_VALUE"""),"K")</f>
        <v>K</v>
      </c>
      <c r="F8031" s="309" t="s">
        <v>34</v>
      </c>
      <c r="G8031" s="308"/>
      <c r="H8031" s="308" t="s">
        <v>31624</v>
      </c>
      <c r="I8031" s="310">
        <v>42370.0</v>
      </c>
      <c r="J8031" s="319">
        <f>IFERROR(__xludf.DUMMYFUNCTION("SPLIT(I8031,""/"")"),1.0)</f>
        <v>1</v>
      </c>
      <c r="K8031" s="308">
        <f>IFERROR(__xludf.DUMMYFUNCTION("""COMPUTED_VALUE"""),1.0)</f>
        <v>1</v>
      </c>
      <c r="L8031" s="308">
        <f>IFERROR(__xludf.DUMMYFUNCTION("""COMPUTED_VALUE"""),2016.0)</f>
        <v>2016</v>
      </c>
      <c r="M8031" s="308" t="s">
        <v>31625</v>
      </c>
      <c r="N8031" s="308" t="s">
        <v>439</v>
      </c>
      <c r="O8031" s="308"/>
      <c r="P8031" s="308" t="s">
        <v>40068</v>
      </c>
      <c r="Q8031" s="308" t="s">
        <v>40066</v>
      </c>
      <c r="R8031" s="308" t="s">
        <v>2743</v>
      </c>
      <c r="S8031" s="308" t="s">
        <v>81</v>
      </c>
      <c r="T8031" s="308" t="s">
        <v>34264</v>
      </c>
      <c r="U8031" s="308" t="s">
        <v>31627</v>
      </c>
      <c r="V8031" s="308"/>
    </row>
    <row r="8032">
      <c r="A8032" s="308"/>
      <c r="B8032" s="308"/>
      <c r="C8032" s="308" t="s">
        <v>31628</v>
      </c>
      <c r="D8032" s="308">
        <f>IFERROR(__xludf.DUMMYFUNCTION("SPLIT(C8032,""-"")"),8052.0)</f>
        <v>8052</v>
      </c>
      <c r="E8032" s="308" t="str">
        <f>IFERROR(__xludf.DUMMYFUNCTION("""COMPUTED_VALUE"""),"K")</f>
        <v>K</v>
      </c>
      <c r="F8032" s="309" t="s">
        <v>34</v>
      </c>
      <c r="G8032" s="308"/>
      <c r="H8032" s="308" t="s">
        <v>31629</v>
      </c>
      <c r="I8032" s="310">
        <v>42186.0</v>
      </c>
      <c r="J8032" s="319">
        <f>IFERROR(__xludf.DUMMYFUNCTION("SPLIT(I8032,""/"")"),1.0)</f>
        <v>1</v>
      </c>
      <c r="K8032" s="308">
        <f>IFERROR(__xludf.DUMMYFUNCTION("""COMPUTED_VALUE"""),7.0)</f>
        <v>7</v>
      </c>
      <c r="L8032" s="308">
        <f>IFERROR(__xludf.DUMMYFUNCTION("""COMPUTED_VALUE"""),2015.0)</f>
        <v>2015</v>
      </c>
      <c r="M8032" s="308" t="s">
        <v>31630</v>
      </c>
      <c r="N8032" s="308" t="s">
        <v>31631</v>
      </c>
      <c r="O8032" s="308"/>
      <c r="P8032" s="308" t="s">
        <v>136</v>
      </c>
      <c r="Q8032" s="308" t="s">
        <v>40066</v>
      </c>
      <c r="R8032" s="308" t="s">
        <v>2743</v>
      </c>
      <c r="S8032" s="315" t="s">
        <v>100</v>
      </c>
      <c r="T8032" s="308" t="s">
        <v>34208</v>
      </c>
      <c r="U8032" s="308" t="s">
        <v>368</v>
      </c>
      <c r="V8032" s="308"/>
    </row>
    <row r="8033">
      <c r="A8033" s="308"/>
      <c r="B8033" s="308"/>
      <c r="C8033" s="308" t="s">
        <v>31632</v>
      </c>
      <c r="D8033" s="308">
        <f>IFERROR(__xludf.DUMMYFUNCTION("SPLIT(C8033,""-"")"),8053.0)</f>
        <v>8053</v>
      </c>
      <c r="E8033" s="308" t="str">
        <f>IFERROR(__xludf.DUMMYFUNCTION("""COMPUTED_VALUE"""),"P")</f>
        <v>P</v>
      </c>
      <c r="F8033" s="312" t="s">
        <v>37</v>
      </c>
      <c r="G8033" s="308"/>
      <c r="H8033" s="308" t="s">
        <v>31633</v>
      </c>
      <c r="I8033" s="310">
        <v>44341.0</v>
      </c>
      <c r="J8033" s="319">
        <f>IFERROR(__xludf.DUMMYFUNCTION("SPLIT(I8033,""/"")"),25.0)</f>
        <v>25</v>
      </c>
      <c r="K8033" s="308">
        <f>IFERROR(__xludf.DUMMYFUNCTION("""COMPUTED_VALUE"""),5.0)</f>
        <v>5</v>
      </c>
      <c r="L8033" s="308">
        <f>IFERROR(__xludf.DUMMYFUNCTION("""COMPUTED_VALUE"""),2021.0)</f>
        <v>2021</v>
      </c>
      <c r="M8033" s="308" t="s">
        <v>31634</v>
      </c>
      <c r="N8033" s="308" t="s">
        <v>31635</v>
      </c>
      <c r="O8033" s="308"/>
      <c r="P8033" s="308" t="s">
        <v>40069</v>
      </c>
      <c r="Q8033" s="308" t="s">
        <v>40066</v>
      </c>
      <c r="R8033" s="308" t="s">
        <v>2743</v>
      </c>
      <c r="S8033" s="308" t="s">
        <v>81</v>
      </c>
      <c r="T8033" s="308" t="s">
        <v>75</v>
      </c>
      <c r="U8033" s="308" t="s">
        <v>31637</v>
      </c>
      <c r="V8033" s="308"/>
    </row>
    <row r="8034">
      <c r="A8034" s="308"/>
      <c r="B8034" s="308"/>
      <c r="C8034" s="308" t="s">
        <v>31638</v>
      </c>
      <c r="D8034" s="308">
        <f>IFERROR(__xludf.DUMMYFUNCTION("SPLIT(C8034,""-"")"),8054.0)</f>
        <v>8054</v>
      </c>
      <c r="E8034" s="308" t="str">
        <f>IFERROR(__xludf.DUMMYFUNCTION("""COMPUTED_VALUE"""),"K")</f>
        <v>K</v>
      </c>
      <c r="F8034" s="309" t="s">
        <v>34</v>
      </c>
      <c r="G8034" s="308"/>
      <c r="H8034" s="308" t="s">
        <v>31639</v>
      </c>
      <c r="I8034" s="310">
        <v>40735.0</v>
      </c>
      <c r="J8034" s="319">
        <f>IFERROR(__xludf.DUMMYFUNCTION("SPLIT(I8034,""/"")"),11.0)</f>
        <v>11</v>
      </c>
      <c r="K8034" s="308">
        <f>IFERROR(__xludf.DUMMYFUNCTION("""COMPUTED_VALUE"""),7.0)</f>
        <v>7</v>
      </c>
      <c r="L8034" s="308">
        <f>IFERROR(__xludf.DUMMYFUNCTION("""COMPUTED_VALUE"""),2011.0)</f>
        <v>2011</v>
      </c>
      <c r="M8034" s="308" t="s">
        <v>31640</v>
      </c>
      <c r="N8034" s="308" t="s">
        <v>31641</v>
      </c>
      <c r="O8034" s="308"/>
      <c r="P8034" s="308" t="s">
        <v>136</v>
      </c>
      <c r="Q8034" s="308" t="s">
        <v>40066</v>
      </c>
      <c r="R8034" s="308" t="s">
        <v>2743</v>
      </c>
      <c r="S8034" s="315" t="s">
        <v>100</v>
      </c>
      <c r="T8034" s="308" t="s">
        <v>34208</v>
      </c>
      <c r="U8034" s="308" t="s">
        <v>125</v>
      </c>
      <c r="V8034" s="308"/>
    </row>
    <row r="8035">
      <c r="A8035" s="308"/>
      <c r="B8035" s="308"/>
      <c r="C8035" s="308" t="s">
        <v>31642</v>
      </c>
      <c r="D8035" s="308">
        <f>IFERROR(__xludf.DUMMYFUNCTION("SPLIT(C8035,""-"")"),8055.0)</f>
        <v>8055</v>
      </c>
      <c r="E8035" s="308" t="str">
        <f>IFERROR(__xludf.DUMMYFUNCTION("""COMPUTED_VALUE"""),"K")</f>
        <v>K</v>
      </c>
      <c r="F8035" s="309" t="s">
        <v>34</v>
      </c>
      <c r="G8035" s="308"/>
      <c r="H8035" s="308" t="s">
        <v>31643</v>
      </c>
      <c r="I8035" s="310">
        <v>43042.0</v>
      </c>
      <c r="J8035" s="319" t="str">
        <f>IFERROR(__xludf.DUMMYFUNCTION("SPLIT(I8035,""/"")"),"#REF!")</f>
        <v>#REF!</v>
      </c>
      <c r="K8035" s="308"/>
      <c r="L8035" s="308">
        <v>2017.0</v>
      </c>
      <c r="M8035" s="308" t="s">
        <v>31644</v>
      </c>
      <c r="N8035" s="308" t="s">
        <v>31645</v>
      </c>
      <c r="O8035" s="308"/>
      <c r="P8035" s="308" t="s">
        <v>31646</v>
      </c>
      <c r="Q8035" s="308" t="s">
        <v>40070</v>
      </c>
      <c r="R8035" s="308" t="s">
        <v>2743</v>
      </c>
      <c r="S8035" s="308" t="s">
        <v>81</v>
      </c>
      <c r="T8035" s="308" t="s">
        <v>34264</v>
      </c>
      <c r="U8035" s="308" t="s">
        <v>22473</v>
      </c>
      <c r="V8035" s="308"/>
    </row>
    <row r="8036">
      <c r="A8036" s="308"/>
      <c r="B8036" s="308"/>
      <c r="C8036" s="308" t="s">
        <v>31647</v>
      </c>
      <c r="D8036" s="308">
        <f>IFERROR(__xludf.DUMMYFUNCTION("SPLIT(C8036,""-"")"),8056.0)</f>
        <v>8056</v>
      </c>
      <c r="E8036" s="308" t="str">
        <f>IFERROR(__xludf.DUMMYFUNCTION("""COMPUTED_VALUE"""),"K")</f>
        <v>K</v>
      </c>
      <c r="F8036" s="309" t="s">
        <v>34</v>
      </c>
      <c r="G8036" s="308"/>
      <c r="H8036" s="308" t="s">
        <v>31648</v>
      </c>
      <c r="I8036" s="310">
        <v>42092.0</v>
      </c>
      <c r="J8036" s="319">
        <f>IFERROR(__xludf.DUMMYFUNCTION("SPLIT(I8036,""/"")"),29.0)</f>
        <v>29</v>
      </c>
      <c r="K8036" s="308">
        <f>IFERROR(__xludf.DUMMYFUNCTION("""COMPUTED_VALUE"""),3.0)</f>
        <v>3</v>
      </c>
      <c r="L8036" s="308">
        <f>IFERROR(__xludf.DUMMYFUNCTION("""COMPUTED_VALUE"""),2015.0)</f>
        <v>2015</v>
      </c>
      <c r="M8036" s="308" t="s">
        <v>31649</v>
      </c>
      <c r="N8036" s="308" t="s">
        <v>439</v>
      </c>
      <c r="O8036" s="308"/>
      <c r="P8036" s="308" t="s">
        <v>136</v>
      </c>
      <c r="Q8036" s="308" t="s">
        <v>40071</v>
      </c>
      <c r="R8036" s="308" t="s">
        <v>2743</v>
      </c>
      <c r="S8036" s="315" t="s">
        <v>100</v>
      </c>
      <c r="T8036" s="308" t="s">
        <v>34208</v>
      </c>
      <c r="U8036" s="308" t="s">
        <v>125</v>
      </c>
      <c r="V8036" s="308"/>
    </row>
    <row r="8037">
      <c r="A8037" s="308"/>
      <c r="B8037" s="308"/>
      <c r="C8037" s="308" t="s">
        <v>31650</v>
      </c>
      <c r="D8037" s="308">
        <f>IFERROR(__xludf.DUMMYFUNCTION("SPLIT(C8037,""-"")"),8057.0)</f>
        <v>8057</v>
      </c>
      <c r="E8037" s="308" t="str">
        <f>IFERROR(__xludf.DUMMYFUNCTION("""COMPUTED_VALUE"""),"K")</f>
        <v>K</v>
      </c>
      <c r="F8037" s="309" t="s">
        <v>34</v>
      </c>
      <c r="G8037" s="308"/>
      <c r="H8037" s="308" t="s">
        <v>31651</v>
      </c>
      <c r="I8037" s="310">
        <v>44359.0</v>
      </c>
      <c r="J8037" s="319">
        <f>IFERROR(__xludf.DUMMYFUNCTION("SPLIT(I8037,""/"")"),12.0)</f>
        <v>12</v>
      </c>
      <c r="K8037" s="308">
        <f>IFERROR(__xludf.DUMMYFUNCTION("""COMPUTED_VALUE"""),6.0)</f>
        <v>6</v>
      </c>
      <c r="L8037" s="308">
        <f>IFERROR(__xludf.DUMMYFUNCTION("""COMPUTED_VALUE"""),2021.0)</f>
        <v>2021</v>
      </c>
      <c r="M8037" s="308" t="s">
        <v>31652</v>
      </c>
      <c r="N8037" s="308" t="s">
        <v>439</v>
      </c>
      <c r="O8037" s="308"/>
      <c r="P8037" s="308" t="s">
        <v>40072</v>
      </c>
      <c r="Q8037" s="308" t="s">
        <v>40071</v>
      </c>
      <c r="R8037" s="308" t="s">
        <v>2743</v>
      </c>
      <c r="S8037" s="308" t="s">
        <v>81</v>
      </c>
      <c r="T8037" s="308" t="s">
        <v>73</v>
      </c>
      <c r="U8037" s="308" t="s">
        <v>4487</v>
      </c>
      <c r="V8037" s="308"/>
    </row>
    <row r="8038">
      <c r="A8038" s="308"/>
      <c r="B8038" s="308"/>
      <c r="C8038" s="308" t="s">
        <v>31654</v>
      </c>
      <c r="D8038" s="308">
        <f>IFERROR(__xludf.DUMMYFUNCTION("SPLIT(C8038,""-"")"),8058.0)</f>
        <v>8058</v>
      </c>
      <c r="E8038" s="308" t="str">
        <f>IFERROR(__xludf.DUMMYFUNCTION("""COMPUTED_VALUE"""),"K")</f>
        <v>K</v>
      </c>
      <c r="F8038" s="309" t="s">
        <v>34</v>
      </c>
      <c r="G8038" s="308"/>
      <c r="H8038" s="308" t="s">
        <v>31655</v>
      </c>
      <c r="I8038" s="314">
        <v>43447.0</v>
      </c>
      <c r="J8038" s="319">
        <f>IFERROR(__xludf.DUMMYFUNCTION("SPLIT(I8038,""/"")"),13.0)</f>
        <v>13</v>
      </c>
      <c r="K8038" s="308">
        <f>IFERROR(__xludf.DUMMYFUNCTION("""COMPUTED_VALUE"""),12.0)</f>
        <v>12</v>
      </c>
      <c r="L8038" s="308">
        <f>IFERROR(__xludf.DUMMYFUNCTION("""COMPUTED_VALUE"""),2018.0)</f>
        <v>2018</v>
      </c>
      <c r="M8038" s="308" t="s">
        <v>31656</v>
      </c>
      <c r="N8038" s="308" t="s">
        <v>31657</v>
      </c>
      <c r="O8038" s="308" t="s">
        <v>31658</v>
      </c>
      <c r="P8038" s="308" t="s">
        <v>40073</v>
      </c>
      <c r="Q8038" s="308" t="s">
        <v>40074</v>
      </c>
      <c r="R8038" s="308" t="s">
        <v>2743</v>
      </c>
      <c r="S8038" s="308" t="s">
        <v>81</v>
      </c>
      <c r="T8038" s="308" t="s">
        <v>34264</v>
      </c>
      <c r="U8038" s="308" t="s">
        <v>201</v>
      </c>
      <c r="V8038" s="308"/>
    </row>
    <row r="8039">
      <c r="A8039" s="308"/>
      <c r="B8039" s="308"/>
      <c r="C8039" s="308" t="s">
        <v>31660</v>
      </c>
      <c r="D8039" s="308">
        <f>IFERROR(__xludf.DUMMYFUNCTION("SPLIT(C8039,""-"")"),8059.0)</f>
        <v>8059</v>
      </c>
      <c r="E8039" s="308" t="str">
        <f>IFERROR(__xludf.DUMMYFUNCTION("""COMPUTED_VALUE"""),"K")</f>
        <v>K</v>
      </c>
      <c r="F8039" s="309" t="s">
        <v>34</v>
      </c>
      <c r="G8039" s="308"/>
      <c r="H8039" s="308" t="s">
        <v>31661</v>
      </c>
      <c r="I8039" s="314">
        <v>44115.0</v>
      </c>
      <c r="J8039" s="319">
        <f>IFERROR(__xludf.DUMMYFUNCTION("SPLIT(I8039,""/"")"),11.0)</f>
        <v>11</v>
      </c>
      <c r="K8039" s="308">
        <f>IFERROR(__xludf.DUMMYFUNCTION("""COMPUTED_VALUE"""),10.0)</f>
        <v>10</v>
      </c>
      <c r="L8039" s="308">
        <f>IFERROR(__xludf.DUMMYFUNCTION("""COMPUTED_VALUE"""),2020.0)</f>
        <v>2020</v>
      </c>
      <c r="M8039" s="308" t="s">
        <v>31662</v>
      </c>
      <c r="N8039" s="308" t="s">
        <v>31663</v>
      </c>
      <c r="O8039" s="308"/>
      <c r="P8039" s="308" t="s">
        <v>40075</v>
      </c>
      <c r="Q8039" s="308" t="s">
        <v>40074</v>
      </c>
      <c r="R8039" s="308" t="s">
        <v>2743</v>
      </c>
      <c r="S8039" s="308" t="s">
        <v>81</v>
      </c>
      <c r="T8039" s="308" t="s">
        <v>34264</v>
      </c>
      <c r="U8039" s="308" t="s">
        <v>1393</v>
      </c>
      <c r="V8039" s="308"/>
    </row>
    <row r="8040">
      <c r="A8040" s="308"/>
      <c r="B8040" s="308"/>
      <c r="C8040" s="308" t="s">
        <v>31665</v>
      </c>
      <c r="D8040" s="308">
        <f>IFERROR(__xludf.DUMMYFUNCTION("SPLIT(C8040,""-"")"),8060.0)</f>
        <v>8060</v>
      </c>
      <c r="E8040" s="308" t="str">
        <f>IFERROR(__xludf.DUMMYFUNCTION("""COMPUTED_VALUE"""),"K")</f>
        <v>K</v>
      </c>
      <c r="F8040" s="309" t="s">
        <v>34</v>
      </c>
      <c r="G8040" s="308"/>
      <c r="H8040" s="308" t="s">
        <v>31666</v>
      </c>
      <c r="I8040" s="310">
        <v>43715.0</v>
      </c>
      <c r="J8040" s="319">
        <f>IFERROR(__xludf.DUMMYFUNCTION("SPLIT(I8040,""/"")"),7.0)</f>
        <v>7</v>
      </c>
      <c r="K8040" s="308">
        <f>IFERROR(__xludf.DUMMYFUNCTION("""COMPUTED_VALUE"""),9.0)</f>
        <v>9</v>
      </c>
      <c r="L8040" s="308">
        <f>IFERROR(__xludf.DUMMYFUNCTION("""COMPUTED_VALUE"""),2019.0)</f>
        <v>2019</v>
      </c>
      <c r="M8040" s="308" t="s">
        <v>31667</v>
      </c>
      <c r="N8040" s="308" t="s">
        <v>31668</v>
      </c>
      <c r="O8040" s="308" t="s">
        <v>31669</v>
      </c>
      <c r="P8040" s="308" t="s">
        <v>40076</v>
      </c>
      <c r="Q8040" s="308" t="s">
        <v>40074</v>
      </c>
      <c r="R8040" s="308" t="s">
        <v>2743</v>
      </c>
      <c r="S8040" s="308" t="s">
        <v>81</v>
      </c>
      <c r="T8040" s="308" t="s">
        <v>34264</v>
      </c>
      <c r="U8040" s="308" t="s">
        <v>22473</v>
      </c>
      <c r="V8040" s="308"/>
    </row>
    <row r="8041">
      <c r="A8041" s="308"/>
      <c r="B8041" s="308"/>
      <c r="C8041" s="308" t="s">
        <v>31671</v>
      </c>
      <c r="D8041" s="308">
        <f>IFERROR(__xludf.DUMMYFUNCTION("SPLIT(C8041,""-"")"),8061.0)</f>
        <v>8061</v>
      </c>
      <c r="E8041" s="308" t="str">
        <f>IFERROR(__xludf.DUMMYFUNCTION("""COMPUTED_VALUE"""),"P")</f>
        <v>P</v>
      </c>
      <c r="F8041" s="312" t="s">
        <v>37</v>
      </c>
      <c r="G8041" s="308"/>
      <c r="H8041" s="308" t="s">
        <v>11824</v>
      </c>
      <c r="I8041" s="310">
        <v>44324.0</v>
      </c>
      <c r="J8041" s="319">
        <f>IFERROR(__xludf.DUMMYFUNCTION("SPLIT(I8041,""/"")"),8.0)</f>
        <v>8</v>
      </c>
      <c r="K8041" s="308">
        <f>IFERROR(__xludf.DUMMYFUNCTION("""COMPUTED_VALUE"""),5.0)</f>
        <v>5</v>
      </c>
      <c r="L8041" s="308">
        <f>IFERROR(__xludf.DUMMYFUNCTION("""COMPUTED_VALUE"""),2021.0)</f>
        <v>2021</v>
      </c>
      <c r="M8041" s="308" t="s">
        <v>31672</v>
      </c>
      <c r="N8041" s="308" t="s">
        <v>31673</v>
      </c>
      <c r="O8041" s="308" t="s">
        <v>31674</v>
      </c>
      <c r="P8041" s="308" t="s">
        <v>40077</v>
      </c>
      <c r="Q8041" s="308" t="s">
        <v>40074</v>
      </c>
      <c r="R8041" s="308" t="s">
        <v>2743</v>
      </c>
      <c r="S8041" s="308" t="s">
        <v>81</v>
      </c>
      <c r="T8041" s="308" t="s">
        <v>75</v>
      </c>
      <c r="U8041" s="308" t="s">
        <v>143</v>
      </c>
      <c r="V8041" s="308"/>
    </row>
    <row r="8042">
      <c r="A8042" s="308"/>
      <c r="B8042" s="308"/>
      <c r="C8042" s="308" t="s">
        <v>31676</v>
      </c>
      <c r="D8042" s="308">
        <f>IFERROR(__xludf.DUMMYFUNCTION("SPLIT(C8042,""-"")"),8062.0)</f>
        <v>8062</v>
      </c>
      <c r="E8042" s="308" t="str">
        <f>IFERROR(__xludf.DUMMYFUNCTION("""COMPUTED_VALUE"""),"I")</f>
        <v>I</v>
      </c>
      <c r="F8042" s="309" t="s">
        <v>31</v>
      </c>
      <c r="G8042" s="308"/>
      <c r="H8042" s="308" t="s">
        <v>31677</v>
      </c>
      <c r="I8042" s="314">
        <v>42660.0</v>
      </c>
      <c r="J8042" s="319">
        <f>IFERROR(__xludf.DUMMYFUNCTION("SPLIT(I8042,""/"")"),17.0)</f>
        <v>17</v>
      </c>
      <c r="K8042" s="308">
        <f>IFERROR(__xludf.DUMMYFUNCTION("""COMPUTED_VALUE"""),10.0)</f>
        <v>10</v>
      </c>
      <c r="L8042" s="308">
        <f>IFERROR(__xludf.DUMMYFUNCTION("""COMPUTED_VALUE"""),2016.0)</f>
        <v>2016</v>
      </c>
      <c r="M8042" s="308" t="s">
        <v>31678</v>
      </c>
      <c r="N8042" s="308" t="s">
        <v>40078</v>
      </c>
      <c r="O8042" s="308" t="s">
        <v>40079</v>
      </c>
      <c r="P8042" s="308" t="s">
        <v>136</v>
      </c>
      <c r="Q8042" s="308" t="s">
        <v>40074</v>
      </c>
      <c r="R8042" s="308" t="s">
        <v>2743</v>
      </c>
      <c r="S8042" s="315" t="s">
        <v>100</v>
      </c>
      <c r="T8042" s="308" t="s">
        <v>34208</v>
      </c>
      <c r="U8042" s="308" t="s">
        <v>31</v>
      </c>
      <c r="V8042" s="308"/>
    </row>
    <row r="8043">
      <c r="A8043" s="308"/>
      <c r="B8043" s="308"/>
      <c r="C8043" s="308" t="s">
        <v>31681</v>
      </c>
      <c r="D8043" s="308">
        <f>IFERROR(__xludf.DUMMYFUNCTION("SPLIT(C8043,""-"")"),8063.0)</f>
        <v>8063</v>
      </c>
      <c r="E8043" s="308" t="str">
        <f>IFERROR(__xludf.DUMMYFUNCTION("""COMPUTED_VALUE"""),"K")</f>
        <v>K</v>
      </c>
      <c r="F8043" s="309" t="s">
        <v>34</v>
      </c>
      <c r="G8043" s="308"/>
      <c r="H8043" s="308" t="s">
        <v>31682</v>
      </c>
      <c r="I8043" s="310">
        <v>42736.0</v>
      </c>
      <c r="J8043" s="319" t="str">
        <f>IFERROR(__xludf.DUMMYFUNCTION("SPLIT(I8043,""/"")"),"#REF!")</f>
        <v>#REF!</v>
      </c>
      <c r="K8043" s="308"/>
      <c r="L8043" s="308">
        <v>2017.0</v>
      </c>
      <c r="M8043" s="308" t="s">
        <v>31683</v>
      </c>
      <c r="N8043" s="308" t="s">
        <v>439</v>
      </c>
      <c r="O8043" s="308"/>
      <c r="P8043" s="308" t="s">
        <v>136</v>
      </c>
      <c r="Q8043" s="308" t="s">
        <v>40074</v>
      </c>
      <c r="R8043" s="308" t="s">
        <v>2743</v>
      </c>
      <c r="S8043" s="315" t="s">
        <v>100</v>
      </c>
      <c r="T8043" s="308" t="s">
        <v>34208</v>
      </c>
      <c r="U8043" s="308" t="s">
        <v>31684</v>
      </c>
      <c r="V8043" s="308" t="s">
        <v>31685</v>
      </c>
    </row>
    <row r="8044">
      <c r="A8044" s="308"/>
      <c r="B8044" s="308"/>
      <c r="C8044" s="308" t="s">
        <v>31686</v>
      </c>
      <c r="D8044" s="308">
        <f>IFERROR(__xludf.DUMMYFUNCTION("SPLIT(C8044,""-"")"),8064.0)</f>
        <v>8064</v>
      </c>
      <c r="E8044" s="308" t="str">
        <f>IFERROR(__xludf.DUMMYFUNCTION("""COMPUTED_VALUE"""),"P")</f>
        <v>P</v>
      </c>
      <c r="F8044" s="312" t="s">
        <v>37</v>
      </c>
      <c r="G8044" s="308"/>
      <c r="H8044" s="308" t="s">
        <v>31687</v>
      </c>
      <c r="I8044" s="310">
        <v>44369.0</v>
      </c>
      <c r="J8044" s="319">
        <f>IFERROR(__xludf.DUMMYFUNCTION("SPLIT(I8044,""/"")"),22.0)</f>
        <v>22</v>
      </c>
      <c r="K8044" s="308">
        <f>IFERROR(__xludf.DUMMYFUNCTION("""COMPUTED_VALUE"""),6.0)</f>
        <v>6</v>
      </c>
      <c r="L8044" s="308">
        <f>IFERROR(__xludf.DUMMYFUNCTION("""COMPUTED_VALUE"""),2021.0)</f>
        <v>2021</v>
      </c>
      <c r="M8044" s="308" t="s">
        <v>31688</v>
      </c>
      <c r="N8044" s="308" t="s">
        <v>31689</v>
      </c>
      <c r="O8044" s="308"/>
      <c r="P8044" s="308" t="s">
        <v>40080</v>
      </c>
      <c r="Q8044" s="308" t="s">
        <v>40081</v>
      </c>
      <c r="R8044" s="308" t="s">
        <v>2743</v>
      </c>
      <c r="S8044" s="308" t="s">
        <v>81</v>
      </c>
      <c r="T8044" s="308" t="s">
        <v>75</v>
      </c>
      <c r="U8044" s="308" t="s">
        <v>17303</v>
      </c>
      <c r="V8044" s="308" t="s">
        <v>31691</v>
      </c>
    </row>
    <row r="8045">
      <c r="A8045" s="308"/>
      <c r="B8045" s="308"/>
      <c r="C8045" s="308" t="s">
        <v>31692</v>
      </c>
      <c r="D8045" s="308">
        <f>IFERROR(__xludf.DUMMYFUNCTION("SPLIT(C8045,""-"")"),8065.0)</f>
        <v>8065</v>
      </c>
      <c r="E8045" s="308" t="str">
        <f>IFERROR(__xludf.DUMMYFUNCTION("""COMPUTED_VALUE"""),"P")</f>
        <v>P</v>
      </c>
      <c r="F8045" s="312" t="s">
        <v>37</v>
      </c>
      <c r="G8045" s="308"/>
      <c r="H8045" s="308" t="s">
        <v>31693</v>
      </c>
      <c r="I8045" s="310">
        <v>44362.0</v>
      </c>
      <c r="J8045" s="319">
        <f>IFERROR(__xludf.DUMMYFUNCTION("SPLIT(I8045,""/"")"),15.0)</f>
        <v>15</v>
      </c>
      <c r="K8045" s="308">
        <f>IFERROR(__xludf.DUMMYFUNCTION("""COMPUTED_VALUE"""),6.0)</f>
        <v>6</v>
      </c>
      <c r="L8045" s="308">
        <f>IFERROR(__xludf.DUMMYFUNCTION("""COMPUTED_VALUE"""),2021.0)</f>
        <v>2021</v>
      </c>
      <c r="M8045" s="308" t="s">
        <v>31694</v>
      </c>
      <c r="N8045" s="308" t="s">
        <v>31695</v>
      </c>
      <c r="O8045" s="308" t="s">
        <v>31696</v>
      </c>
      <c r="P8045" s="308" t="s">
        <v>40082</v>
      </c>
      <c r="Q8045" s="308" t="s">
        <v>40083</v>
      </c>
      <c r="R8045" s="308" t="s">
        <v>2743</v>
      </c>
      <c r="S8045" s="308" t="s">
        <v>81</v>
      </c>
      <c r="T8045" s="311" t="s">
        <v>51</v>
      </c>
      <c r="U8045" s="308" t="s">
        <v>143</v>
      </c>
      <c r="V8045" s="308"/>
    </row>
    <row r="8046">
      <c r="A8046" s="308"/>
      <c r="B8046" s="308"/>
      <c r="C8046" s="308" t="s">
        <v>31698</v>
      </c>
      <c r="D8046" s="308">
        <f>IFERROR(__xludf.DUMMYFUNCTION("SPLIT(C8046,""-"")"),8066.0)</f>
        <v>8066</v>
      </c>
      <c r="E8046" s="308" t="str">
        <f>IFERROR(__xludf.DUMMYFUNCTION("""COMPUTED_VALUE"""),"K")</f>
        <v>K</v>
      </c>
      <c r="F8046" s="309" t="s">
        <v>34</v>
      </c>
      <c r="G8046" s="308"/>
      <c r="H8046" s="308" t="s">
        <v>31699</v>
      </c>
      <c r="I8046" s="310">
        <v>43836.0</v>
      </c>
      <c r="J8046" s="319">
        <f>IFERROR(__xludf.DUMMYFUNCTION("SPLIT(I8046,""/"")"),6.0)</f>
        <v>6</v>
      </c>
      <c r="K8046" s="308">
        <f>IFERROR(__xludf.DUMMYFUNCTION("""COMPUTED_VALUE"""),1.0)</f>
        <v>1</v>
      </c>
      <c r="L8046" s="308">
        <f>IFERROR(__xludf.DUMMYFUNCTION("""COMPUTED_VALUE"""),2020.0)</f>
        <v>2020</v>
      </c>
      <c r="M8046" s="308" t="s">
        <v>31700</v>
      </c>
      <c r="N8046" s="308" t="s">
        <v>31701</v>
      </c>
      <c r="O8046" s="308"/>
      <c r="P8046" s="308" t="s">
        <v>31702</v>
      </c>
      <c r="Q8046" s="308" t="s">
        <v>40083</v>
      </c>
      <c r="R8046" s="308" t="s">
        <v>2743</v>
      </c>
      <c r="S8046" s="308" t="s">
        <v>81</v>
      </c>
      <c r="T8046" s="311" t="s">
        <v>73</v>
      </c>
      <c r="U8046" s="308" t="s">
        <v>18616</v>
      </c>
      <c r="V8046" s="308"/>
    </row>
    <row r="8047">
      <c r="A8047" s="308"/>
      <c r="B8047" s="308"/>
      <c r="C8047" s="308" t="s">
        <v>31703</v>
      </c>
      <c r="D8047" s="308">
        <f>IFERROR(__xludf.DUMMYFUNCTION("SPLIT(C8047,""-"")"),8067.0)</f>
        <v>8067</v>
      </c>
      <c r="E8047" s="308" t="str">
        <f>IFERROR(__xludf.DUMMYFUNCTION("""COMPUTED_VALUE"""),"I")</f>
        <v>I</v>
      </c>
      <c r="F8047" s="309" t="s">
        <v>31</v>
      </c>
      <c r="G8047" s="308"/>
      <c r="H8047" s="308" t="s">
        <v>31704</v>
      </c>
      <c r="I8047" s="310">
        <v>43833.0</v>
      </c>
      <c r="J8047" s="319">
        <f>IFERROR(__xludf.DUMMYFUNCTION("SPLIT(I8047,""/"")"),3.0)</f>
        <v>3</v>
      </c>
      <c r="K8047" s="308">
        <f>IFERROR(__xludf.DUMMYFUNCTION("""COMPUTED_VALUE"""),1.0)</f>
        <v>1</v>
      </c>
      <c r="L8047" s="308">
        <f>IFERROR(__xludf.DUMMYFUNCTION("""COMPUTED_VALUE"""),2020.0)</f>
        <v>2020</v>
      </c>
      <c r="M8047" s="308" t="s">
        <v>31700</v>
      </c>
      <c r="N8047" s="308" t="s">
        <v>31705</v>
      </c>
      <c r="O8047" s="308"/>
      <c r="P8047" s="308" t="s">
        <v>40084</v>
      </c>
      <c r="Q8047" s="308" t="s">
        <v>40085</v>
      </c>
      <c r="R8047" s="308" t="s">
        <v>2743</v>
      </c>
      <c r="S8047" s="308" t="s">
        <v>81</v>
      </c>
      <c r="T8047" s="311" t="s">
        <v>35043</v>
      </c>
      <c r="U8047" s="308" t="s">
        <v>31</v>
      </c>
      <c r="V8047" s="308"/>
    </row>
    <row r="8048">
      <c r="A8048" s="308"/>
      <c r="B8048" s="308"/>
      <c r="C8048" s="308" t="s">
        <v>31707</v>
      </c>
      <c r="D8048" s="308">
        <f>IFERROR(__xludf.DUMMYFUNCTION("SPLIT(C8048,""-"")"),8068.0)</f>
        <v>8068</v>
      </c>
      <c r="E8048" s="308" t="str">
        <f>IFERROR(__xludf.DUMMYFUNCTION("""COMPUTED_VALUE"""),"B")</f>
        <v>B</v>
      </c>
      <c r="F8048" s="315" t="s">
        <v>26</v>
      </c>
      <c r="G8048" s="308"/>
      <c r="H8048" s="308" t="s">
        <v>31708</v>
      </c>
      <c r="I8048" s="310">
        <v>39727.0</v>
      </c>
      <c r="J8048" s="319">
        <f>IFERROR(__xludf.DUMMYFUNCTION("SPLIT(I8048,""/"")"),6.0)</f>
        <v>6</v>
      </c>
      <c r="K8048" s="308">
        <f>IFERROR(__xludf.DUMMYFUNCTION("""COMPUTED_VALUE"""),10.0)</f>
        <v>10</v>
      </c>
      <c r="L8048" s="308">
        <f>IFERROR(__xludf.DUMMYFUNCTION("""COMPUTED_VALUE"""),2008.0)</f>
        <v>2008</v>
      </c>
      <c r="M8048" s="308" t="s">
        <v>31709</v>
      </c>
      <c r="N8048" s="308" t="s">
        <v>31710</v>
      </c>
      <c r="O8048" s="308"/>
      <c r="P8048" s="308" t="s">
        <v>136</v>
      </c>
      <c r="Q8048" s="308" t="s">
        <v>40086</v>
      </c>
      <c r="R8048" s="308" t="s">
        <v>30692</v>
      </c>
      <c r="S8048" s="315" t="s">
        <v>100</v>
      </c>
      <c r="T8048" s="308" t="s">
        <v>34208</v>
      </c>
      <c r="U8048" s="308" t="s">
        <v>27</v>
      </c>
      <c r="V8048" s="308"/>
    </row>
    <row r="8049">
      <c r="A8049" s="308"/>
      <c r="B8049" s="308"/>
      <c r="C8049" s="308" t="s">
        <v>31711</v>
      </c>
      <c r="D8049" s="308">
        <f>IFERROR(__xludf.DUMMYFUNCTION("SPLIT(C8049,""-"")"),8069.0)</f>
        <v>8069</v>
      </c>
      <c r="E8049" s="308" t="str">
        <f>IFERROR(__xludf.DUMMYFUNCTION("""COMPUTED_VALUE"""),"P")</f>
        <v>P</v>
      </c>
      <c r="F8049" s="312" t="s">
        <v>37</v>
      </c>
      <c r="G8049" s="308"/>
      <c r="H8049" s="308" t="s">
        <v>31712</v>
      </c>
      <c r="I8049" s="310">
        <v>43726.0</v>
      </c>
      <c r="J8049" s="319">
        <f>IFERROR(__xludf.DUMMYFUNCTION("SPLIT(I8049,""/"")"),18.0)</f>
        <v>18</v>
      </c>
      <c r="K8049" s="308">
        <f>IFERROR(__xludf.DUMMYFUNCTION("""COMPUTED_VALUE"""),9.0)</f>
        <v>9</v>
      </c>
      <c r="L8049" s="308">
        <f>IFERROR(__xludf.DUMMYFUNCTION("""COMPUTED_VALUE"""),2019.0)</f>
        <v>2019</v>
      </c>
      <c r="M8049" s="308" t="s">
        <v>31713</v>
      </c>
      <c r="N8049" s="308" t="s">
        <v>31714</v>
      </c>
      <c r="O8049" s="308"/>
      <c r="P8049" s="308" t="s">
        <v>136</v>
      </c>
      <c r="Q8049" s="308" t="s">
        <v>40086</v>
      </c>
      <c r="R8049" s="308" t="s">
        <v>30692</v>
      </c>
      <c r="S8049" s="315" t="s">
        <v>100</v>
      </c>
      <c r="T8049" s="308" t="s">
        <v>34208</v>
      </c>
      <c r="U8049" s="308" t="s">
        <v>143</v>
      </c>
      <c r="V8049" s="308"/>
    </row>
    <row r="8050">
      <c r="A8050" s="308"/>
      <c r="B8050" s="308"/>
      <c r="C8050" s="308" t="s">
        <v>31715</v>
      </c>
      <c r="D8050" s="308">
        <f>IFERROR(__xludf.DUMMYFUNCTION("SPLIT(C8050,""-"")"),8070.0)</f>
        <v>8070</v>
      </c>
      <c r="E8050" s="308" t="str">
        <f>IFERROR(__xludf.DUMMYFUNCTION("""COMPUTED_VALUE"""),"P")</f>
        <v>P</v>
      </c>
      <c r="F8050" s="312" t="s">
        <v>37</v>
      </c>
      <c r="G8050" s="308"/>
      <c r="H8050" s="308" t="s">
        <v>31716</v>
      </c>
      <c r="I8050" s="310">
        <v>40544.0</v>
      </c>
      <c r="J8050" s="319">
        <f>IFERROR(__xludf.DUMMYFUNCTION("SPLIT(I8050,""/"")"),1.0)</f>
        <v>1</v>
      </c>
      <c r="K8050" s="308">
        <f>IFERROR(__xludf.DUMMYFUNCTION("""COMPUTED_VALUE"""),1.0)</f>
        <v>1</v>
      </c>
      <c r="L8050" s="308">
        <f>IFERROR(__xludf.DUMMYFUNCTION("""COMPUTED_VALUE"""),2011.0)</f>
        <v>2011</v>
      </c>
      <c r="M8050" s="308" t="s">
        <v>31717</v>
      </c>
      <c r="N8050" s="308" t="s">
        <v>31718</v>
      </c>
      <c r="O8050" s="308"/>
      <c r="P8050" s="308" t="s">
        <v>31719</v>
      </c>
      <c r="Q8050" s="308" t="s">
        <v>40086</v>
      </c>
      <c r="R8050" s="308" t="s">
        <v>30692</v>
      </c>
      <c r="S8050" s="308" t="s">
        <v>81</v>
      </c>
      <c r="T8050" s="311" t="s">
        <v>51</v>
      </c>
      <c r="U8050" s="308" t="s">
        <v>143</v>
      </c>
      <c r="V8050" s="308"/>
    </row>
    <row r="8051">
      <c r="A8051" s="308"/>
      <c r="B8051" s="308"/>
      <c r="C8051" s="308" t="s">
        <v>31720</v>
      </c>
      <c r="D8051" s="308">
        <f>IFERROR(__xludf.DUMMYFUNCTION("SPLIT(C8051,""-"")"),8071.0)</f>
        <v>8071</v>
      </c>
      <c r="E8051" s="308" t="str">
        <f>IFERROR(__xludf.DUMMYFUNCTION("""COMPUTED_VALUE"""),"K")</f>
        <v>K</v>
      </c>
      <c r="F8051" s="309" t="s">
        <v>34</v>
      </c>
      <c r="G8051" s="308"/>
      <c r="H8051" s="308" t="s">
        <v>31721</v>
      </c>
      <c r="I8051" s="310">
        <v>41009.0</v>
      </c>
      <c r="J8051" s="319">
        <f>IFERROR(__xludf.DUMMYFUNCTION("SPLIT(I8051,""/"")"),10.0)</f>
        <v>10</v>
      </c>
      <c r="K8051" s="308">
        <f>IFERROR(__xludf.DUMMYFUNCTION("""COMPUTED_VALUE"""),4.0)</f>
        <v>4</v>
      </c>
      <c r="L8051" s="308">
        <f>IFERROR(__xludf.DUMMYFUNCTION("""COMPUTED_VALUE"""),2012.0)</f>
        <v>2012</v>
      </c>
      <c r="M8051" s="308" t="s">
        <v>31722</v>
      </c>
      <c r="N8051" s="308" t="s">
        <v>31723</v>
      </c>
      <c r="O8051" s="308"/>
      <c r="P8051" s="308" t="s">
        <v>136</v>
      </c>
      <c r="Q8051" s="308" t="s">
        <v>40086</v>
      </c>
      <c r="R8051" s="308" t="s">
        <v>30692</v>
      </c>
      <c r="S8051" s="315" t="s">
        <v>100</v>
      </c>
      <c r="T8051" s="308" t="s">
        <v>34208</v>
      </c>
      <c r="U8051" s="308" t="s">
        <v>542</v>
      </c>
      <c r="V8051" s="308"/>
    </row>
    <row r="8052">
      <c r="A8052" s="308"/>
      <c r="B8052" s="308"/>
      <c r="C8052" s="308" t="s">
        <v>31724</v>
      </c>
      <c r="D8052" s="308">
        <f>IFERROR(__xludf.DUMMYFUNCTION("SPLIT(C8052,""-"")"),8072.0)</f>
        <v>8072</v>
      </c>
      <c r="E8052" s="308" t="str">
        <f>IFERROR(__xludf.DUMMYFUNCTION("""COMPUTED_VALUE"""),"B")</f>
        <v>B</v>
      </c>
      <c r="F8052" s="315" t="s">
        <v>26</v>
      </c>
      <c r="G8052" s="308"/>
      <c r="H8052" s="308" t="s">
        <v>31725</v>
      </c>
      <c r="I8052" s="310">
        <v>41418.0</v>
      </c>
      <c r="J8052" s="319">
        <f>IFERROR(__xludf.DUMMYFUNCTION("SPLIT(I8052,""/"")"),24.0)</f>
        <v>24</v>
      </c>
      <c r="K8052" s="308">
        <f>IFERROR(__xludf.DUMMYFUNCTION("""COMPUTED_VALUE"""),5.0)</f>
        <v>5</v>
      </c>
      <c r="L8052" s="308">
        <f>IFERROR(__xludf.DUMMYFUNCTION("""COMPUTED_VALUE"""),2013.0)</f>
        <v>2013</v>
      </c>
      <c r="M8052" s="308" t="s">
        <v>31726</v>
      </c>
      <c r="N8052" s="308" t="s">
        <v>439</v>
      </c>
      <c r="O8052" s="308"/>
      <c r="P8052" s="308" t="s">
        <v>136</v>
      </c>
      <c r="Q8052" s="308" t="s">
        <v>40086</v>
      </c>
      <c r="R8052" s="308" t="s">
        <v>30692</v>
      </c>
      <c r="S8052" s="315" t="s">
        <v>100</v>
      </c>
      <c r="T8052" s="308" t="s">
        <v>34208</v>
      </c>
      <c r="U8052" s="308" t="s">
        <v>27</v>
      </c>
      <c r="V8052" s="308"/>
    </row>
    <row r="8053">
      <c r="A8053" s="308"/>
      <c r="B8053" s="308"/>
      <c r="C8053" s="308" t="s">
        <v>31727</v>
      </c>
      <c r="D8053" s="308">
        <f>IFERROR(__xludf.DUMMYFUNCTION("SPLIT(C8053,""-"")"),8073.0)</f>
        <v>8073</v>
      </c>
      <c r="E8053" s="308" t="str">
        <f>IFERROR(__xludf.DUMMYFUNCTION("""COMPUTED_VALUE"""),"K")</f>
        <v>K</v>
      </c>
      <c r="F8053" s="309" t="s">
        <v>34</v>
      </c>
      <c r="G8053" s="308"/>
      <c r="H8053" s="308" t="s">
        <v>31728</v>
      </c>
      <c r="I8053" s="314">
        <v>44117.0</v>
      </c>
      <c r="J8053" s="319">
        <f>IFERROR(__xludf.DUMMYFUNCTION("SPLIT(I8053,""/"")"),13.0)</f>
        <v>13</v>
      </c>
      <c r="K8053" s="308">
        <f>IFERROR(__xludf.DUMMYFUNCTION("""COMPUTED_VALUE"""),10.0)</f>
        <v>10</v>
      </c>
      <c r="L8053" s="308">
        <f>IFERROR(__xludf.DUMMYFUNCTION("""COMPUTED_VALUE"""),2020.0)</f>
        <v>2020</v>
      </c>
      <c r="M8053" s="308" t="s">
        <v>31729</v>
      </c>
      <c r="N8053" s="308" t="s">
        <v>31730</v>
      </c>
      <c r="O8053" s="308"/>
      <c r="P8053" s="308" t="s">
        <v>40087</v>
      </c>
      <c r="Q8053" s="308" t="s">
        <v>40086</v>
      </c>
      <c r="R8053" s="308" t="s">
        <v>30692</v>
      </c>
      <c r="S8053" s="308" t="s">
        <v>81</v>
      </c>
      <c r="T8053" s="311" t="s">
        <v>96</v>
      </c>
      <c r="U8053" s="308" t="s">
        <v>542</v>
      </c>
      <c r="V8053" s="308"/>
    </row>
    <row r="8054">
      <c r="A8054" s="308"/>
      <c r="B8054" s="308"/>
      <c r="C8054" s="308" t="s">
        <v>31732</v>
      </c>
      <c r="D8054" s="308">
        <f>IFERROR(__xludf.DUMMYFUNCTION("SPLIT(C8054,""-"")"),8074.0)</f>
        <v>8074</v>
      </c>
      <c r="E8054" s="308" t="str">
        <f>IFERROR(__xludf.DUMMYFUNCTION("""COMPUTED_VALUE"""),"K")</f>
        <v>K</v>
      </c>
      <c r="F8054" s="309" t="s">
        <v>34</v>
      </c>
      <c r="G8054" s="308"/>
      <c r="H8054" s="308" t="s">
        <v>31733</v>
      </c>
      <c r="I8054" s="310">
        <v>43512.0</v>
      </c>
      <c r="J8054" s="319">
        <f>IFERROR(__xludf.DUMMYFUNCTION("SPLIT(I8054,""/"")"),16.0)</f>
        <v>16</v>
      </c>
      <c r="K8054" s="308">
        <f>IFERROR(__xludf.DUMMYFUNCTION("""COMPUTED_VALUE"""),2.0)</f>
        <v>2</v>
      </c>
      <c r="L8054" s="308">
        <f>IFERROR(__xludf.DUMMYFUNCTION("""COMPUTED_VALUE"""),2019.0)</f>
        <v>2019</v>
      </c>
      <c r="M8054" s="308" t="s">
        <v>31734</v>
      </c>
      <c r="N8054" s="308" t="s">
        <v>31735</v>
      </c>
      <c r="O8054" s="308"/>
      <c r="P8054" s="308" t="s">
        <v>40088</v>
      </c>
      <c r="Q8054" s="308" t="s">
        <v>40086</v>
      </c>
      <c r="R8054" s="308" t="s">
        <v>30692</v>
      </c>
      <c r="S8054" s="308" t="s">
        <v>81</v>
      </c>
      <c r="T8054" s="311" t="s">
        <v>39114</v>
      </c>
      <c r="U8054" s="308" t="s">
        <v>542</v>
      </c>
      <c r="V8054" s="308"/>
    </row>
    <row r="8055">
      <c r="A8055" s="308"/>
      <c r="B8055" s="308"/>
      <c r="C8055" s="308" t="s">
        <v>31737</v>
      </c>
      <c r="D8055" s="308">
        <f>IFERROR(__xludf.DUMMYFUNCTION("SPLIT(C8055,""-"")"),8075.0)</f>
        <v>8075</v>
      </c>
      <c r="E8055" s="308" t="str">
        <f>IFERROR(__xludf.DUMMYFUNCTION("""COMPUTED_VALUE"""),"B")</f>
        <v>B</v>
      </c>
      <c r="F8055" s="315" t="s">
        <v>26</v>
      </c>
      <c r="G8055" s="308"/>
      <c r="H8055" s="308" t="s">
        <v>31738</v>
      </c>
      <c r="I8055" s="310">
        <v>41405.0</v>
      </c>
      <c r="J8055" s="319">
        <f>IFERROR(__xludf.DUMMYFUNCTION("SPLIT(I8055,""/"")"),11.0)</f>
        <v>11</v>
      </c>
      <c r="K8055" s="308">
        <f>IFERROR(__xludf.DUMMYFUNCTION("""COMPUTED_VALUE"""),5.0)</f>
        <v>5</v>
      </c>
      <c r="L8055" s="308">
        <f>IFERROR(__xludf.DUMMYFUNCTION("""COMPUTED_VALUE"""),2013.0)</f>
        <v>2013</v>
      </c>
      <c r="M8055" s="308" t="s">
        <v>31739</v>
      </c>
      <c r="N8055" s="308" t="s">
        <v>31740</v>
      </c>
      <c r="O8055" s="308"/>
      <c r="P8055" s="308" t="s">
        <v>136</v>
      </c>
      <c r="Q8055" s="308" t="s">
        <v>40086</v>
      </c>
      <c r="R8055" s="308" t="s">
        <v>30692</v>
      </c>
      <c r="S8055" s="315" t="s">
        <v>100</v>
      </c>
      <c r="T8055" s="308" t="s">
        <v>34208</v>
      </c>
      <c r="U8055" s="308" t="s">
        <v>27</v>
      </c>
      <c r="V8055" s="308"/>
    </row>
    <row r="8056">
      <c r="A8056" s="308"/>
      <c r="B8056" s="308"/>
      <c r="C8056" s="308" t="s">
        <v>31741</v>
      </c>
      <c r="D8056" s="308">
        <f>IFERROR(__xludf.DUMMYFUNCTION("SPLIT(C8056,""-"")"),8076.0)</f>
        <v>8076</v>
      </c>
      <c r="E8056" s="308" t="str">
        <f>IFERROR(__xludf.DUMMYFUNCTION("""COMPUTED_VALUE"""),"S")</f>
        <v>S</v>
      </c>
      <c r="F8056" s="312" t="s">
        <v>39</v>
      </c>
      <c r="G8056" s="308"/>
      <c r="H8056" s="308" t="s">
        <v>31742</v>
      </c>
      <c r="I8056" s="310">
        <v>39870.0</v>
      </c>
      <c r="J8056" s="319">
        <f>IFERROR(__xludf.DUMMYFUNCTION("SPLIT(I8056,""/"")"),26.0)</f>
        <v>26</v>
      </c>
      <c r="K8056" s="308">
        <f>IFERROR(__xludf.DUMMYFUNCTION("""COMPUTED_VALUE"""),2.0)</f>
        <v>2</v>
      </c>
      <c r="L8056" s="308">
        <f>IFERROR(__xludf.DUMMYFUNCTION("""COMPUTED_VALUE"""),2009.0)</f>
        <v>2009</v>
      </c>
      <c r="M8056" s="308" t="s">
        <v>31743</v>
      </c>
      <c r="N8056" s="308" t="s">
        <v>31744</v>
      </c>
      <c r="O8056" s="308"/>
      <c r="P8056" s="308" t="s">
        <v>31745</v>
      </c>
      <c r="Q8056" s="308" t="s">
        <v>40086</v>
      </c>
      <c r="R8056" s="308" t="s">
        <v>30692</v>
      </c>
      <c r="S8056" s="308" t="s">
        <v>49</v>
      </c>
      <c r="T8056" s="311" t="s">
        <v>59</v>
      </c>
      <c r="U8056" s="308" t="s">
        <v>166</v>
      </c>
      <c r="V8056" s="308"/>
    </row>
    <row r="8057">
      <c r="A8057" s="308"/>
      <c r="B8057" s="308"/>
      <c r="C8057" s="308" t="s">
        <v>31746</v>
      </c>
      <c r="D8057" s="308">
        <f>IFERROR(__xludf.DUMMYFUNCTION("SPLIT(C8057,""-"")"),8077.0)</f>
        <v>8077</v>
      </c>
      <c r="E8057" s="308" t="str">
        <f>IFERROR(__xludf.DUMMYFUNCTION("""COMPUTED_VALUE"""),"B")</f>
        <v>B</v>
      </c>
      <c r="F8057" s="315" t="s">
        <v>26</v>
      </c>
      <c r="G8057" s="308"/>
      <c r="H8057" s="308" t="s">
        <v>31747</v>
      </c>
      <c r="I8057" s="310">
        <v>41855.0</v>
      </c>
      <c r="J8057" s="319">
        <f>IFERROR(__xludf.DUMMYFUNCTION("SPLIT(I8057,""/"")"),4.0)</f>
        <v>4</v>
      </c>
      <c r="K8057" s="308">
        <f>IFERROR(__xludf.DUMMYFUNCTION("""COMPUTED_VALUE"""),8.0)</f>
        <v>8</v>
      </c>
      <c r="L8057" s="308">
        <f>IFERROR(__xludf.DUMMYFUNCTION("""COMPUTED_VALUE"""),2014.0)</f>
        <v>2014</v>
      </c>
      <c r="M8057" s="308" t="s">
        <v>31748</v>
      </c>
      <c r="N8057" s="308" t="s">
        <v>31749</v>
      </c>
      <c r="O8057" s="308"/>
      <c r="P8057" s="308" t="s">
        <v>136</v>
      </c>
      <c r="Q8057" s="308" t="s">
        <v>40086</v>
      </c>
      <c r="R8057" s="308" t="s">
        <v>30692</v>
      </c>
      <c r="S8057" s="315" t="s">
        <v>100</v>
      </c>
      <c r="T8057" s="308" t="s">
        <v>34208</v>
      </c>
      <c r="U8057" s="308" t="s">
        <v>27</v>
      </c>
      <c r="V8057" s="308"/>
    </row>
    <row r="8058">
      <c r="A8058" s="308"/>
      <c r="B8058" s="308"/>
      <c r="C8058" s="308" t="s">
        <v>31750</v>
      </c>
      <c r="D8058" s="308">
        <f>IFERROR(__xludf.DUMMYFUNCTION("SPLIT(C8058,""-"")"),8078.0)</f>
        <v>8078</v>
      </c>
      <c r="E8058" s="308" t="str">
        <f>IFERROR(__xludf.DUMMYFUNCTION("""COMPUTED_VALUE"""),"K")</f>
        <v>K</v>
      </c>
      <c r="F8058" s="309" t="s">
        <v>34</v>
      </c>
      <c r="G8058" s="308"/>
      <c r="H8058" s="308" t="s">
        <v>31751</v>
      </c>
      <c r="I8058" s="314">
        <v>43823.0</v>
      </c>
      <c r="J8058" s="319">
        <f>IFERROR(__xludf.DUMMYFUNCTION("SPLIT(I8058,""/"")"),24.0)</f>
        <v>24</v>
      </c>
      <c r="K8058" s="308">
        <f>IFERROR(__xludf.DUMMYFUNCTION("""COMPUTED_VALUE"""),12.0)</f>
        <v>12</v>
      </c>
      <c r="L8058" s="308">
        <f>IFERROR(__xludf.DUMMYFUNCTION("""COMPUTED_VALUE"""),2019.0)</f>
        <v>2019</v>
      </c>
      <c r="M8058" s="308" t="s">
        <v>40089</v>
      </c>
      <c r="N8058" s="308" t="s">
        <v>31753</v>
      </c>
      <c r="O8058" s="308"/>
      <c r="P8058" s="308" t="s">
        <v>40090</v>
      </c>
      <c r="Q8058" s="308" t="s">
        <v>40086</v>
      </c>
      <c r="R8058" s="308" t="s">
        <v>30692</v>
      </c>
      <c r="S8058" s="308" t="s">
        <v>81</v>
      </c>
      <c r="T8058" s="308" t="s">
        <v>34264</v>
      </c>
      <c r="U8058" s="308" t="s">
        <v>542</v>
      </c>
      <c r="V8058" s="308"/>
    </row>
    <row r="8059">
      <c r="A8059" s="308"/>
      <c r="B8059" s="308"/>
      <c r="C8059" s="308" t="s">
        <v>31755</v>
      </c>
      <c r="D8059" s="308">
        <f>IFERROR(__xludf.DUMMYFUNCTION("SPLIT(C8059,""-"")"),8079.0)</f>
        <v>8079</v>
      </c>
      <c r="E8059" s="308" t="str">
        <f>IFERROR(__xludf.DUMMYFUNCTION("""COMPUTED_VALUE"""),"K")</f>
        <v>K</v>
      </c>
      <c r="F8059" s="309" t="s">
        <v>34</v>
      </c>
      <c r="G8059" s="308"/>
      <c r="H8059" s="308" t="s">
        <v>31756</v>
      </c>
      <c r="I8059" s="314">
        <v>40461.0</v>
      </c>
      <c r="J8059" s="319">
        <f>IFERROR(__xludf.DUMMYFUNCTION("SPLIT(I8059,""/"")"),10.0)</f>
        <v>10</v>
      </c>
      <c r="K8059" s="308">
        <f>IFERROR(__xludf.DUMMYFUNCTION("""COMPUTED_VALUE"""),10.0)</f>
        <v>10</v>
      </c>
      <c r="L8059" s="308">
        <f>IFERROR(__xludf.DUMMYFUNCTION("""COMPUTED_VALUE"""),2010.0)</f>
        <v>2010</v>
      </c>
      <c r="M8059" s="308" t="s">
        <v>31757</v>
      </c>
      <c r="N8059" s="308" t="s">
        <v>31758</v>
      </c>
      <c r="O8059" s="308"/>
      <c r="P8059" s="308" t="s">
        <v>136</v>
      </c>
      <c r="Q8059" s="308" t="s">
        <v>40086</v>
      </c>
      <c r="R8059" s="308" t="s">
        <v>30692</v>
      </c>
      <c r="S8059" s="315" t="s">
        <v>100</v>
      </c>
      <c r="T8059" s="308" t="s">
        <v>34208</v>
      </c>
      <c r="U8059" s="308" t="s">
        <v>19459</v>
      </c>
      <c r="V8059" s="308"/>
    </row>
    <row r="8060">
      <c r="A8060" s="308"/>
      <c r="B8060" s="308"/>
      <c r="C8060" s="308" t="s">
        <v>31759</v>
      </c>
      <c r="D8060" s="308">
        <f>IFERROR(__xludf.DUMMYFUNCTION("SPLIT(C8060,""-"")"),8080.0)</f>
        <v>8080</v>
      </c>
      <c r="E8060" s="308" t="str">
        <f>IFERROR(__xludf.DUMMYFUNCTION("""COMPUTED_VALUE"""),"S")</f>
        <v>S</v>
      </c>
      <c r="F8060" s="312" t="s">
        <v>39</v>
      </c>
      <c r="G8060" s="308"/>
      <c r="H8060" s="308" t="s">
        <v>31760</v>
      </c>
      <c r="I8060" s="310">
        <v>42930.0</v>
      </c>
      <c r="J8060" s="319">
        <f>IFERROR(__xludf.DUMMYFUNCTION("SPLIT(I8060,""/"")"),14.0)</f>
        <v>14</v>
      </c>
      <c r="K8060" s="308">
        <f>IFERROR(__xludf.DUMMYFUNCTION("""COMPUTED_VALUE"""),7.0)</f>
        <v>7</v>
      </c>
      <c r="L8060" s="308">
        <f>IFERROR(__xludf.DUMMYFUNCTION("""COMPUTED_VALUE"""),2017.0)</f>
        <v>2017</v>
      </c>
      <c r="M8060" s="308" t="s">
        <v>40091</v>
      </c>
      <c r="N8060" s="308" t="s">
        <v>31762</v>
      </c>
      <c r="O8060" s="308"/>
      <c r="P8060" s="308" t="s">
        <v>40092</v>
      </c>
      <c r="Q8060" s="308" t="s">
        <v>40086</v>
      </c>
      <c r="R8060" s="308" t="s">
        <v>30692</v>
      </c>
      <c r="S8060" s="308" t="s">
        <v>81</v>
      </c>
      <c r="T8060" s="308" t="s">
        <v>63</v>
      </c>
      <c r="U8060" s="308" t="s">
        <v>166</v>
      </c>
      <c r="V8060" s="308"/>
    </row>
    <row r="8061">
      <c r="A8061" s="308"/>
      <c r="B8061" s="308"/>
      <c r="C8061" s="308" t="s">
        <v>31764</v>
      </c>
      <c r="D8061" s="308">
        <f>IFERROR(__xludf.DUMMYFUNCTION("SPLIT(C8061,""-"")"),8081.0)</f>
        <v>8081</v>
      </c>
      <c r="E8061" s="308" t="str">
        <f>IFERROR(__xludf.DUMMYFUNCTION("""COMPUTED_VALUE"""),"K")</f>
        <v>K</v>
      </c>
      <c r="F8061" s="309" t="s">
        <v>34</v>
      </c>
      <c r="G8061" s="308"/>
      <c r="H8061" s="308" t="s">
        <v>31765</v>
      </c>
      <c r="I8061" s="310">
        <v>43852.0</v>
      </c>
      <c r="J8061" s="319">
        <f>IFERROR(__xludf.DUMMYFUNCTION("SPLIT(I8061,""/"")"),22.0)</f>
        <v>22</v>
      </c>
      <c r="K8061" s="308">
        <f>IFERROR(__xludf.DUMMYFUNCTION("""COMPUTED_VALUE"""),1.0)</f>
        <v>1</v>
      </c>
      <c r="L8061" s="308">
        <f>IFERROR(__xludf.DUMMYFUNCTION("""COMPUTED_VALUE"""),2020.0)</f>
        <v>2020</v>
      </c>
      <c r="M8061" s="308" t="s">
        <v>31766</v>
      </c>
      <c r="N8061" s="308" t="s">
        <v>31767</v>
      </c>
      <c r="O8061" s="308"/>
      <c r="P8061" s="308" t="s">
        <v>40093</v>
      </c>
      <c r="Q8061" s="308" t="s">
        <v>40086</v>
      </c>
      <c r="R8061" s="308" t="s">
        <v>30692</v>
      </c>
      <c r="S8061" s="308" t="s">
        <v>81</v>
      </c>
      <c r="T8061" s="308" t="s">
        <v>34264</v>
      </c>
      <c r="U8061" s="308" t="s">
        <v>542</v>
      </c>
      <c r="V8061" s="308"/>
    </row>
    <row r="8062">
      <c r="A8062" s="308"/>
      <c r="B8062" s="308"/>
      <c r="C8062" s="308" t="s">
        <v>31769</v>
      </c>
      <c r="D8062" s="308">
        <f>IFERROR(__xludf.DUMMYFUNCTION("SPLIT(C8062,""-"")"),8082.0)</f>
        <v>8082</v>
      </c>
      <c r="E8062" s="308" t="str">
        <f>IFERROR(__xludf.DUMMYFUNCTION("""COMPUTED_VALUE"""),"S")</f>
        <v>S</v>
      </c>
      <c r="F8062" s="312" t="s">
        <v>39</v>
      </c>
      <c r="G8062" s="308"/>
      <c r="H8062" s="308" t="s">
        <v>31770</v>
      </c>
      <c r="I8062" s="310">
        <v>44031.0</v>
      </c>
      <c r="J8062" s="319">
        <f>IFERROR(__xludf.DUMMYFUNCTION("SPLIT(I8062,""/"")"),19.0)</f>
        <v>19</v>
      </c>
      <c r="K8062" s="308">
        <f>IFERROR(__xludf.DUMMYFUNCTION("""COMPUTED_VALUE"""),7.0)</f>
        <v>7</v>
      </c>
      <c r="L8062" s="308">
        <f>IFERROR(__xludf.DUMMYFUNCTION("""COMPUTED_VALUE"""),2020.0)</f>
        <v>2020</v>
      </c>
      <c r="M8062" s="308" t="s">
        <v>31771</v>
      </c>
      <c r="N8062" s="308" t="s">
        <v>31772</v>
      </c>
      <c r="O8062" s="308"/>
      <c r="P8062" s="308" t="s">
        <v>136</v>
      </c>
      <c r="Q8062" s="308" t="s">
        <v>40086</v>
      </c>
      <c r="R8062" s="308" t="s">
        <v>30692</v>
      </c>
      <c r="S8062" s="315" t="s">
        <v>100</v>
      </c>
      <c r="T8062" s="308" t="s">
        <v>34208</v>
      </c>
      <c r="U8062" s="308" t="s">
        <v>166</v>
      </c>
      <c r="V8062" s="308"/>
    </row>
    <row r="8063">
      <c r="A8063" s="308"/>
      <c r="B8063" s="308"/>
      <c r="C8063" s="308" t="s">
        <v>31773</v>
      </c>
      <c r="D8063" s="308">
        <f>IFERROR(__xludf.DUMMYFUNCTION("SPLIT(C8063,""-"")"),8083.0)</f>
        <v>8083</v>
      </c>
      <c r="E8063" s="308" t="str">
        <f>IFERROR(__xludf.DUMMYFUNCTION("""COMPUTED_VALUE"""),"P")</f>
        <v>P</v>
      </c>
      <c r="F8063" s="312" t="s">
        <v>37</v>
      </c>
      <c r="G8063" s="308"/>
      <c r="H8063" s="308" t="s">
        <v>31774</v>
      </c>
      <c r="I8063" s="310">
        <v>44383.0</v>
      </c>
      <c r="J8063" s="319">
        <f>IFERROR(__xludf.DUMMYFUNCTION("SPLIT(I8063,""/"")"),6.0)</f>
        <v>6</v>
      </c>
      <c r="K8063" s="308">
        <f>IFERROR(__xludf.DUMMYFUNCTION("""COMPUTED_VALUE"""),7.0)</f>
        <v>7</v>
      </c>
      <c r="L8063" s="308">
        <f>IFERROR(__xludf.DUMMYFUNCTION("""COMPUTED_VALUE"""),2021.0)</f>
        <v>2021</v>
      </c>
      <c r="M8063" s="308" t="s">
        <v>31775</v>
      </c>
      <c r="N8063" s="308" t="s">
        <v>31776</v>
      </c>
      <c r="O8063" s="308"/>
      <c r="P8063" s="308" t="s">
        <v>40094</v>
      </c>
      <c r="Q8063" s="308" t="s">
        <v>40095</v>
      </c>
      <c r="R8063" s="308" t="s">
        <v>2743</v>
      </c>
      <c r="S8063" s="308" t="s">
        <v>81</v>
      </c>
      <c r="T8063" s="311" t="s">
        <v>96</v>
      </c>
      <c r="U8063" s="308" t="s">
        <v>143</v>
      </c>
      <c r="V8063" s="308"/>
    </row>
    <row r="8064">
      <c r="A8064" s="308"/>
      <c r="B8064" s="308"/>
      <c r="C8064" s="308" t="s">
        <v>31778</v>
      </c>
      <c r="D8064" s="308">
        <f>IFERROR(__xludf.DUMMYFUNCTION("SPLIT(C8064,""-"")"),8084.0)</f>
        <v>8084</v>
      </c>
      <c r="E8064" s="308" t="str">
        <f>IFERROR(__xludf.DUMMYFUNCTION("""COMPUTED_VALUE"""),"K")</f>
        <v>K</v>
      </c>
      <c r="F8064" s="309" t="s">
        <v>34</v>
      </c>
      <c r="G8064" s="308"/>
      <c r="H8064" s="308" t="s">
        <v>31779</v>
      </c>
      <c r="I8064" s="310">
        <v>42906.0</v>
      </c>
      <c r="J8064" s="319" t="str">
        <f>IFERROR(__xludf.DUMMYFUNCTION("SPLIT(I8064,""/"")"),"#REF!")</f>
        <v>#REF!</v>
      </c>
      <c r="K8064" s="308"/>
      <c r="L8064" s="308">
        <v>2017.0</v>
      </c>
      <c r="M8064" s="308" t="s">
        <v>31780</v>
      </c>
      <c r="N8064" s="308" t="s">
        <v>31781</v>
      </c>
      <c r="O8064" s="308"/>
      <c r="P8064" s="308" t="s">
        <v>40096</v>
      </c>
      <c r="Q8064" s="308" t="s">
        <v>40095</v>
      </c>
      <c r="R8064" s="308" t="s">
        <v>2743</v>
      </c>
      <c r="S8064" s="308" t="s">
        <v>81</v>
      </c>
      <c r="T8064" s="311" t="s">
        <v>39114</v>
      </c>
      <c r="U8064" s="308" t="s">
        <v>18616</v>
      </c>
      <c r="V8064" s="308"/>
    </row>
    <row r="8065">
      <c r="A8065" s="308"/>
      <c r="B8065" s="308"/>
      <c r="C8065" s="308" t="s">
        <v>31783</v>
      </c>
      <c r="D8065" s="308">
        <f>IFERROR(__xludf.DUMMYFUNCTION("SPLIT(C8065,""-"")"),8085.0)</f>
        <v>8085</v>
      </c>
      <c r="E8065" s="308" t="str">
        <f>IFERROR(__xludf.DUMMYFUNCTION("""COMPUTED_VALUE"""),"I")</f>
        <v>I</v>
      </c>
      <c r="F8065" s="309" t="s">
        <v>31</v>
      </c>
      <c r="G8065" s="308"/>
      <c r="H8065" s="308" t="s">
        <v>31784</v>
      </c>
      <c r="I8065" s="310">
        <v>44371.0</v>
      </c>
      <c r="J8065" s="319">
        <f>IFERROR(__xludf.DUMMYFUNCTION("SPLIT(I8065,""/"")"),24.0)</f>
        <v>24</v>
      </c>
      <c r="K8065" s="308">
        <f>IFERROR(__xludf.DUMMYFUNCTION("""COMPUTED_VALUE"""),6.0)</f>
        <v>6</v>
      </c>
      <c r="L8065" s="308">
        <f>IFERROR(__xludf.DUMMYFUNCTION("""COMPUTED_VALUE"""),2021.0)</f>
        <v>2021</v>
      </c>
      <c r="M8065" s="308" t="s">
        <v>31785</v>
      </c>
      <c r="N8065" s="308" t="s">
        <v>31786</v>
      </c>
      <c r="O8065" s="308"/>
      <c r="P8065" s="308" t="s">
        <v>40097</v>
      </c>
      <c r="Q8065" s="308" t="s">
        <v>40095</v>
      </c>
      <c r="R8065" s="308" t="s">
        <v>2743</v>
      </c>
      <c r="S8065" s="308" t="s">
        <v>81</v>
      </c>
      <c r="T8065" s="308" t="s">
        <v>75</v>
      </c>
      <c r="U8065" s="308" t="s">
        <v>31</v>
      </c>
      <c r="V8065" s="308"/>
    </row>
    <row r="8066">
      <c r="A8066" s="308"/>
      <c r="B8066" s="308"/>
      <c r="C8066" s="308" t="s">
        <v>31788</v>
      </c>
      <c r="D8066" s="308">
        <f>IFERROR(__xludf.DUMMYFUNCTION("SPLIT(C8066,""-"")"),8086.0)</f>
        <v>8086</v>
      </c>
      <c r="E8066" s="308" t="str">
        <f>IFERROR(__xludf.DUMMYFUNCTION("""COMPUTED_VALUE"""),"P")</f>
        <v>P</v>
      </c>
      <c r="F8066" s="312" t="s">
        <v>37</v>
      </c>
      <c r="G8066" s="308"/>
      <c r="H8066" s="308" t="s">
        <v>31789</v>
      </c>
      <c r="I8066" s="310">
        <v>43662.0</v>
      </c>
      <c r="J8066" s="319">
        <f>IFERROR(__xludf.DUMMYFUNCTION("SPLIT(I8066,""/"")"),16.0)</f>
        <v>16</v>
      </c>
      <c r="K8066" s="308">
        <f>IFERROR(__xludf.DUMMYFUNCTION("""COMPUTED_VALUE"""),7.0)</f>
        <v>7</v>
      </c>
      <c r="L8066" s="308">
        <f>IFERROR(__xludf.DUMMYFUNCTION("""COMPUTED_VALUE"""),2019.0)</f>
        <v>2019</v>
      </c>
      <c r="M8066" s="308" t="s">
        <v>31790</v>
      </c>
      <c r="N8066" s="308" t="s">
        <v>439</v>
      </c>
      <c r="O8066" s="308"/>
      <c r="P8066" s="308" t="s">
        <v>40098</v>
      </c>
      <c r="Q8066" s="308" t="s">
        <v>40095</v>
      </c>
      <c r="R8066" s="308" t="s">
        <v>2743</v>
      </c>
      <c r="S8066" s="308" t="s">
        <v>81</v>
      </c>
      <c r="T8066" s="311" t="s">
        <v>51</v>
      </c>
      <c r="U8066" s="308" t="s">
        <v>149</v>
      </c>
      <c r="V8066" s="308"/>
    </row>
    <row r="8067">
      <c r="A8067" s="308"/>
      <c r="B8067" s="308"/>
      <c r="C8067" s="308" t="s">
        <v>31792</v>
      </c>
      <c r="D8067" s="308">
        <f>IFERROR(__xludf.DUMMYFUNCTION("SPLIT(C8067,""-"")"),8087.0)</f>
        <v>8087</v>
      </c>
      <c r="E8067" s="308" t="str">
        <f>IFERROR(__xludf.DUMMYFUNCTION("""COMPUTED_VALUE"""),"K")</f>
        <v>K</v>
      </c>
      <c r="F8067" s="309" t="s">
        <v>34</v>
      </c>
      <c r="G8067" s="308"/>
      <c r="H8067" s="308" t="s">
        <v>31793</v>
      </c>
      <c r="I8067" s="310">
        <v>42220.0</v>
      </c>
      <c r="J8067" s="319">
        <f>IFERROR(__xludf.DUMMYFUNCTION("SPLIT(I8067,""/"")"),4.0)</f>
        <v>4</v>
      </c>
      <c r="K8067" s="308">
        <f>IFERROR(__xludf.DUMMYFUNCTION("""COMPUTED_VALUE"""),8.0)</f>
        <v>8</v>
      </c>
      <c r="L8067" s="308">
        <f>IFERROR(__xludf.DUMMYFUNCTION("""COMPUTED_VALUE"""),2015.0)</f>
        <v>2015</v>
      </c>
      <c r="M8067" s="308" t="s">
        <v>31794</v>
      </c>
      <c r="N8067" s="308" t="s">
        <v>31795</v>
      </c>
      <c r="O8067" s="308"/>
      <c r="P8067" s="308" t="s">
        <v>136</v>
      </c>
      <c r="Q8067" s="308" t="s">
        <v>40095</v>
      </c>
      <c r="R8067" s="308" t="s">
        <v>2743</v>
      </c>
      <c r="S8067" s="315" t="s">
        <v>100</v>
      </c>
      <c r="T8067" s="308" t="s">
        <v>34208</v>
      </c>
      <c r="U8067" s="308" t="s">
        <v>18616</v>
      </c>
      <c r="V8067" s="308"/>
    </row>
    <row r="8068">
      <c r="A8068" s="308"/>
      <c r="B8068" s="308"/>
      <c r="C8068" s="308" t="s">
        <v>31796</v>
      </c>
      <c r="D8068" s="308">
        <f>IFERROR(__xludf.DUMMYFUNCTION("SPLIT(C8068,""-"")"),8088.0)</f>
        <v>8088</v>
      </c>
      <c r="E8068" s="308" t="str">
        <f>IFERROR(__xludf.DUMMYFUNCTION("""COMPUTED_VALUE"""),"B")</f>
        <v>B</v>
      </c>
      <c r="F8068" s="315" t="s">
        <v>26</v>
      </c>
      <c r="G8068" s="308"/>
      <c r="H8068" s="308" t="s">
        <v>31797</v>
      </c>
      <c r="I8068" s="310">
        <v>44375.0</v>
      </c>
      <c r="J8068" s="319">
        <f>IFERROR(__xludf.DUMMYFUNCTION("SPLIT(I8068,""/"")"),28.0)</f>
        <v>28</v>
      </c>
      <c r="K8068" s="308">
        <f>IFERROR(__xludf.DUMMYFUNCTION("""COMPUTED_VALUE"""),6.0)</f>
        <v>6</v>
      </c>
      <c r="L8068" s="308">
        <f>IFERROR(__xludf.DUMMYFUNCTION("""COMPUTED_VALUE"""),2021.0)</f>
        <v>2021</v>
      </c>
      <c r="M8068" s="308" t="s">
        <v>31798</v>
      </c>
      <c r="N8068" s="308" t="s">
        <v>31799</v>
      </c>
      <c r="O8068" s="308"/>
      <c r="P8068" s="308" t="s">
        <v>40099</v>
      </c>
      <c r="Q8068" s="308" t="s">
        <v>40095</v>
      </c>
      <c r="R8068" s="308" t="s">
        <v>2743</v>
      </c>
      <c r="S8068" s="308" t="s">
        <v>81</v>
      </c>
      <c r="T8068" s="311" t="s">
        <v>96</v>
      </c>
      <c r="U8068" s="308" t="s">
        <v>27</v>
      </c>
      <c r="V8068" s="308"/>
    </row>
    <row r="8069">
      <c r="A8069" s="308"/>
      <c r="B8069" s="308"/>
      <c r="C8069" s="308" t="s">
        <v>31801</v>
      </c>
      <c r="D8069" s="308">
        <f>IFERROR(__xludf.DUMMYFUNCTION("SPLIT(C8069,""-"")"),8089.0)</f>
        <v>8089</v>
      </c>
      <c r="E8069" s="308" t="str">
        <f>IFERROR(__xludf.DUMMYFUNCTION("""COMPUTED_VALUE"""),"B")</f>
        <v>B</v>
      </c>
      <c r="F8069" s="315" t="s">
        <v>26</v>
      </c>
      <c r="G8069" s="308"/>
      <c r="H8069" s="308" t="s">
        <v>31802</v>
      </c>
      <c r="I8069" s="314">
        <v>41968.0</v>
      </c>
      <c r="J8069" s="319">
        <f>IFERROR(__xludf.DUMMYFUNCTION("SPLIT(I8069,""/"")"),25.0)</f>
        <v>25</v>
      </c>
      <c r="K8069" s="308">
        <f>IFERROR(__xludf.DUMMYFUNCTION("""COMPUTED_VALUE"""),11.0)</f>
        <v>11</v>
      </c>
      <c r="L8069" s="308">
        <f>IFERROR(__xludf.DUMMYFUNCTION("""COMPUTED_VALUE"""),2014.0)</f>
        <v>2014</v>
      </c>
      <c r="M8069" s="308" t="s">
        <v>31803</v>
      </c>
      <c r="N8069" s="308" t="s">
        <v>31804</v>
      </c>
      <c r="O8069" s="308"/>
      <c r="P8069" s="308" t="s">
        <v>136</v>
      </c>
      <c r="Q8069" s="308" t="s">
        <v>40095</v>
      </c>
      <c r="R8069" s="308" t="s">
        <v>2743</v>
      </c>
      <c r="S8069" s="315" t="s">
        <v>100</v>
      </c>
      <c r="T8069" s="308" t="s">
        <v>34208</v>
      </c>
      <c r="U8069" s="308" t="s">
        <v>27</v>
      </c>
      <c r="V8069" s="308"/>
    </row>
    <row r="8070">
      <c r="A8070" s="308"/>
      <c r="B8070" s="308"/>
      <c r="C8070" s="308" t="s">
        <v>31805</v>
      </c>
      <c r="D8070" s="308">
        <f>IFERROR(__xludf.DUMMYFUNCTION("SPLIT(C8070,""-"")"),8090.0)</f>
        <v>8090</v>
      </c>
      <c r="E8070" s="308" t="str">
        <f>IFERROR(__xludf.DUMMYFUNCTION("""COMPUTED_VALUE"""),"K")</f>
        <v>K</v>
      </c>
      <c r="F8070" s="309" t="s">
        <v>34</v>
      </c>
      <c r="G8070" s="308"/>
      <c r="H8070" s="308" t="s">
        <v>31806</v>
      </c>
      <c r="I8070" s="310">
        <v>44385.0</v>
      </c>
      <c r="J8070" s="319">
        <f>IFERROR(__xludf.DUMMYFUNCTION("SPLIT(I8070,""/"")"),8.0)</f>
        <v>8</v>
      </c>
      <c r="K8070" s="308">
        <f>IFERROR(__xludf.DUMMYFUNCTION("""COMPUTED_VALUE"""),7.0)</f>
        <v>7</v>
      </c>
      <c r="L8070" s="308">
        <f>IFERROR(__xludf.DUMMYFUNCTION("""COMPUTED_VALUE"""),2021.0)</f>
        <v>2021</v>
      </c>
      <c r="M8070" s="308" t="s">
        <v>31807</v>
      </c>
      <c r="N8070" s="308" t="s">
        <v>40100</v>
      </c>
      <c r="O8070" s="308"/>
      <c r="P8070" s="308" t="s">
        <v>31808</v>
      </c>
      <c r="Q8070" s="308" t="s">
        <v>40101</v>
      </c>
      <c r="R8070" s="308" t="s">
        <v>2743</v>
      </c>
      <c r="S8070" s="308" t="s">
        <v>81</v>
      </c>
      <c r="T8070" s="308" t="s">
        <v>75</v>
      </c>
      <c r="U8070" s="308" t="s">
        <v>125</v>
      </c>
      <c r="V8070" s="308"/>
    </row>
    <row r="8071">
      <c r="A8071" s="308"/>
      <c r="B8071" s="308"/>
      <c r="C8071" s="308" t="s">
        <v>31809</v>
      </c>
      <c r="D8071" s="308">
        <f>IFERROR(__xludf.DUMMYFUNCTION("SPLIT(C8071,""-"")"),8091.0)</f>
        <v>8091</v>
      </c>
      <c r="E8071" s="308" t="str">
        <f>IFERROR(__xludf.DUMMYFUNCTION("""COMPUTED_VALUE"""),"K")</f>
        <v>K</v>
      </c>
      <c r="F8071" s="309" t="s">
        <v>34</v>
      </c>
      <c r="G8071" s="308"/>
      <c r="H8071" s="308" t="s">
        <v>31810</v>
      </c>
      <c r="I8071" s="310">
        <v>44372.0</v>
      </c>
      <c r="J8071" s="319">
        <f>IFERROR(__xludf.DUMMYFUNCTION("SPLIT(I8071,""/"")"),25.0)</f>
        <v>25</v>
      </c>
      <c r="K8071" s="308">
        <f>IFERROR(__xludf.DUMMYFUNCTION("""COMPUTED_VALUE"""),6.0)</f>
        <v>6</v>
      </c>
      <c r="L8071" s="308">
        <f>IFERROR(__xludf.DUMMYFUNCTION("""COMPUTED_VALUE"""),2021.0)</f>
        <v>2021</v>
      </c>
      <c r="M8071" s="308" t="s">
        <v>31811</v>
      </c>
      <c r="N8071" s="308" t="s">
        <v>31812</v>
      </c>
      <c r="O8071" s="308"/>
      <c r="P8071" s="308" t="s">
        <v>40102</v>
      </c>
      <c r="Q8071" s="308" t="s">
        <v>40101</v>
      </c>
      <c r="R8071" s="308" t="s">
        <v>2743</v>
      </c>
      <c r="S8071" s="308" t="s">
        <v>81</v>
      </c>
      <c r="T8071" s="311" t="s">
        <v>75</v>
      </c>
      <c r="U8071" s="308" t="s">
        <v>125</v>
      </c>
      <c r="V8071" s="308"/>
    </row>
    <row r="8072">
      <c r="A8072" s="308"/>
      <c r="B8072" s="308"/>
      <c r="C8072" s="308" t="s">
        <v>31814</v>
      </c>
      <c r="D8072" s="308">
        <f>IFERROR(__xludf.DUMMYFUNCTION("SPLIT(C8072,""-"")"),8092.0)</f>
        <v>8092</v>
      </c>
      <c r="E8072" s="308" t="str">
        <f>IFERROR(__xludf.DUMMYFUNCTION("""COMPUTED_VALUE"""),"K")</f>
        <v>K</v>
      </c>
      <c r="F8072" s="309" t="s">
        <v>34</v>
      </c>
      <c r="G8072" s="308"/>
      <c r="H8072" s="308" t="s">
        <v>31815</v>
      </c>
      <c r="I8072" s="310">
        <v>44246.0</v>
      </c>
      <c r="J8072" s="319">
        <f>IFERROR(__xludf.DUMMYFUNCTION("SPLIT(I8072,""/"")"),19.0)</f>
        <v>19</v>
      </c>
      <c r="K8072" s="308">
        <f>IFERROR(__xludf.DUMMYFUNCTION("""COMPUTED_VALUE"""),2.0)</f>
        <v>2</v>
      </c>
      <c r="L8072" s="308">
        <f>IFERROR(__xludf.DUMMYFUNCTION("""COMPUTED_VALUE"""),2021.0)</f>
        <v>2021</v>
      </c>
      <c r="M8072" s="308" t="s">
        <v>31816</v>
      </c>
      <c r="N8072" s="308"/>
      <c r="O8072" s="308"/>
      <c r="P8072" s="308" t="s">
        <v>136</v>
      </c>
      <c r="Q8072" s="308" t="s">
        <v>40101</v>
      </c>
      <c r="R8072" s="308" t="s">
        <v>2743</v>
      </c>
      <c r="S8072" s="315" t="s">
        <v>100</v>
      </c>
      <c r="T8072" s="308" t="s">
        <v>34208</v>
      </c>
      <c r="U8072" s="308" t="s">
        <v>10279</v>
      </c>
      <c r="V8072" s="308"/>
    </row>
    <row r="8073">
      <c r="A8073" s="308"/>
      <c r="B8073" s="308"/>
      <c r="C8073" s="308" t="s">
        <v>31817</v>
      </c>
      <c r="D8073" s="308">
        <f>IFERROR(__xludf.DUMMYFUNCTION("SPLIT(C8073,""-"")"),8093.0)</f>
        <v>8093</v>
      </c>
      <c r="E8073" s="308" t="str">
        <f>IFERROR(__xludf.DUMMYFUNCTION("""COMPUTED_VALUE"""),"K")</f>
        <v>K</v>
      </c>
      <c r="F8073" s="309" t="s">
        <v>34</v>
      </c>
      <c r="G8073" s="308"/>
      <c r="H8073" s="308" t="s">
        <v>31818</v>
      </c>
      <c r="I8073" s="310">
        <v>41456.0</v>
      </c>
      <c r="J8073" s="319">
        <f>IFERROR(__xludf.DUMMYFUNCTION("SPLIT(I8073,""/"")"),1.0)</f>
        <v>1</v>
      </c>
      <c r="K8073" s="308">
        <f>IFERROR(__xludf.DUMMYFUNCTION("""COMPUTED_VALUE"""),7.0)</f>
        <v>7</v>
      </c>
      <c r="L8073" s="308">
        <f>IFERROR(__xludf.DUMMYFUNCTION("""COMPUTED_VALUE"""),2013.0)</f>
        <v>2013</v>
      </c>
      <c r="M8073" s="308" t="s">
        <v>31819</v>
      </c>
      <c r="N8073" s="308"/>
      <c r="O8073" s="308"/>
      <c r="P8073" s="308" t="s">
        <v>136</v>
      </c>
      <c r="Q8073" s="308" t="s">
        <v>40101</v>
      </c>
      <c r="R8073" s="308" t="s">
        <v>2743</v>
      </c>
      <c r="S8073" s="315" t="s">
        <v>100</v>
      </c>
      <c r="T8073" s="308" t="s">
        <v>34208</v>
      </c>
      <c r="U8073" s="308" t="s">
        <v>31820</v>
      </c>
      <c r="V8073" s="308"/>
    </row>
    <row r="8074">
      <c r="A8074" s="308"/>
      <c r="B8074" s="308"/>
      <c r="C8074" s="308" t="s">
        <v>31821</v>
      </c>
      <c r="D8074" s="308">
        <f>IFERROR(__xludf.DUMMYFUNCTION("SPLIT(C8074,""-"")"),8094.0)</f>
        <v>8094</v>
      </c>
      <c r="E8074" s="308" t="str">
        <f>IFERROR(__xludf.DUMMYFUNCTION("""COMPUTED_VALUE"""),"K")</f>
        <v>K</v>
      </c>
      <c r="F8074" s="309" t="s">
        <v>34</v>
      </c>
      <c r="G8074" s="308"/>
      <c r="H8074" s="308" t="s">
        <v>31822</v>
      </c>
      <c r="I8074" s="310">
        <v>44327.0</v>
      </c>
      <c r="J8074" s="319">
        <f>IFERROR(__xludf.DUMMYFUNCTION("SPLIT(I8074,""/"")"),11.0)</f>
        <v>11</v>
      </c>
      <c r="K8074" s="308">
        <f>IFERROR(__xludf.DUMMYFUNCTION("""COMPUTED_VALUE"""),5.0)</f>
        <v>5</v>
      </c>
      <c r="L8074" s="308">
        <f>IFERROR(__xludf.DUMMYFUNCTION("""COMPUTED_VALUE"""),2021.0)</f>
        <v>2021</v>
      </c>
      <c r="M8074" s="308" t="s">
        <v>31823</v>
      </c>
      <c r="N8074" s="308" t="s">
        <v>31824</v>
      </c>
      <c r="O8074" s="308"/>
      <c r="P8074" s="308" t="s">
        <v>40103</v>
      </c>
      <c r="Q8074" s="308" t="s">
        <v>40104</v>
      </c>
      <c r="R8074" s="308" t="s">
        <v>2743</v>
      </c>
      <c r="S8074" s="308" t="s">
        <v>81</v>
      </c>
      <c r="T8074" s="311" t="s">
        <v>91</v>
      </c>
      <c r="U8074" s="308" t="s">
        <v>542</v>
      </c>
      <c r="V8074" s="308"/>
    </row>
    <row r="8075">
      <c r="A8075" s="308"/>
      <c r="B8075" s="308"/>
      <c r="C8075" s="308" t="s">
        <v>31826</v>
      </c>
      <c r="D8075" s="308">
        <f>IFERROR(__xludf.DUMMYFUNCTION("SPLIT(C8075,""-"")"),8095.0)</f>
        <v>8095</v>
      </c>
      <c r="E8075" s="308" t="str">
        <f>IFERROR(__xludf.DUMMYFUNCTION("""COMPUTED_VALUE"""),"K")</f>
        <v>K</v>
      </c>
      <c r="F8075" s="309" t="s">
        <v>34</v>
      </c>
      <c r="G8075" s="308"/>
      <c r="H8075" s="308" t="s">
        <v>31827</v>
      </c>
      <c r="I8075" s="310">
        <v>42186.0</v>
      </c>
      <c r="J8075" s="319">
        <f>IFERROR(__xludf.DUMMYFUNCTION("SPLIT(I8075,""/"")"),1.0)</f>
        <v>1</v>
      </c>
      <c r="K8075" s="308">
        <f>IFERROR(__xludf.DUMMYFUNCTION("""COMPUTED_VALUE"""),7.0)</f>
        <v>7</v>
      </c>
      <c r="L8075" s="308">
        <f>IFERROR(__xludf.DUMMYFUNCTION("""COMPUTED_VALUE"""),2015.0)</f>
        <v>2015</v>
      </c>
      <c r="M8075" s="308" t="s">
        <v>31828</v>
      </c>
      <c r="N8075" s="308" t="s">
        <v>439</v>
      </c>
      <c r="O8075" s="308"/>
      <c r="P8075" s="308" t="s">
        <v>136</v>
      </c>
      <c r="Q8075" s="308" t="s">
        <v>40104</v>
      </c>
      <c r="R8075" s="308" t="s">
        <v>2743</v>
      </c>
      <c r="S8075" s="315" t="s">
        <v>100</v>
      </c>
      <c r="T8075" s="308" t="s">
        <v>34208</v>
      </c>
      <c r="U8075" s="308" t="s">
        <v>125</v>
      </c>
      <c r="V8075" s="308"/>
    </row>
    <row r="8076">
      <c r="A8076" s="308"/>
      <c r="B8076" s="308"/>
      <c r="C8076" s="308" t="s">
        <v>31829</v>
      </c>
      <c r="D8076" s="308">
        <f>IFERROR(__xludf.DUMMYFUNCTION("SPLIT(C8076,""-"")"),8096.0)</f>
        <v>8096</v>
      </c>
      <c r="E8076" s="308" t="str">
        <f>IFERROR(__xludf.DUMMYFUNCTION("""COMPUTED_VALUE"""),"S")</f>
        <v>S</v>
      </c>
      <c r="F8076" s="312" t="s">
        <v>39</v>
      </c>
      <c r="G8076" s="308"/>
      <c r="H8076" s="308" t="s">
        <v>31830</v>
      </c>
      <c r="I8076" s="310">
        <v>44207.0</v>
      </c>
      <c r="J8076" s="319">
        <f>IFERROR(__xludf.DUMMYFUNCTION("SPLIT(I8076,""/"")"),11.0)</f>
        <v>11</v>
      </c>
      <c r="K8076" s="308">
        <f>IFERROR(__xludf.DUMMYFUNCTION("""COMPUTED_VALUE"""),1.0)</f>
        <v>1</v>
      </c>
      <c r="L8076" s="308">
        <f>IFERROR(__xludf.DUMMYFUNCTION("""COMPUTED_VALUE"""),2021.0)</f>
        <v>2021</v>
      </c>
      <c r="M8076" s="308" t="s">
        <v>31831</v>
      </c>
      <c r="N8076" s="308" t="s">
        <v>31832</v>
      </c>
      <c r="O8076" s="308"/>
      <c r="P8076" s="308" t="s">
        <v>136</v>
      </c>
      <c r="Q8076" s="308" t="s">
        <v>40104</v>
      </c>
      <c r="R8076" s="308" t="s">
        <v>2743</v>
      </c>
      <c r="S8076" s="315" t="s">
        <v>100</v>
      </c>
      <c r="T8076" s="308" t="s">
        <v>34208</v>
      </c>
      <c r="U8076" s="308" t="s">
        <v>166</v>
      </c>
      <c r="V8076" s="308"/>
    </row>
    <row r="8077">
      <c r="A8077" s="308"/>
      <c r="B8077" s="308"/>
      <c r="C8077" s="308" t="s">
        <v>31833</v>
      </c>
      <c r="D8077" s="308">
        <f>IFERROR(__xludf.DUMMYFUNCTION("SPLIT(C8077,""-"")"),8097.0)</f>
        <v>8097</v>
      </c>
      <c r="E8077" s="308" t="str">
        <f>IFERROR(__xludf.DUMMYFUNCTION("""COMPUTED_VALUE"""),"K")</f>
        <v>K</v>
      </c>
      <c r="F8077" s="309" t="s">
        <v>34</v>
      </c>
      <c r="G8077" s="308"/>
      <c r="H8077" s="308" t="s">
        <v>31834</v>
      </c>
      <c r="I8077" s="314">
        <v>44178.0</v>
      </c>
      <c r="J8077" s="319">
        <f>IFERROR(__xludf.DUMMYFUNCTION("SPLIT(I8077,""/"")"),13.0)</f>
        <v>13</v>
      </c>
      <c r="K8077" s="308">
        <f>IFERROR(__xludf.DUMMYFUNCTION("""COMPUTED_VALUE"""),12.0)</f>
        <v>12</v>
      </c>
      <c r="L8077" s="308">
        <f>IFERROR(__xludf.DUMMYFUNCTION("""COMPUTED_VALUE"""),2020.0)</f>
        <v>2020</v>
      </c>
      <c r="M8077" s="308" t="s">
        <v>31835</v>
      </c>
      <c r="N8077" s="308" t="s">
        <v>31836</v>
      </c>
      <c r="O8077" s="308"/>
      <c r="P8077" s="308" t="s">
        <v>40105</v>
      </c>
      <c r="Q8077" s="308" t="s">
        <v>40104</v>
      </c>
      <c r="R8077" s="308" t="s">
        <v>2743</v>
      </c>
      <c r="S8077" s="308" t="s">
        <v>81</v>
      </c>
      <c r="T8077" s="308" t="s">
        <v>34264</v>
      </c>
      <c r="U8077" s="308" t="s">
        <v>19459</v>
      </c>
      <c r="V8077" s="308"/>
    </row>
    <row r="8078">
      <c r="A8078" s="308"/>
      <c r="B8078" s="308"/>
      <c r="C8078" s="308" t="s">
        <v>31838</v>
      </c>
      <c r="D8078" s="308">
        <f>IFERROR(__xludf.DUMMYFUNCTION("SPLIT(C8078,""-"")"),8098.0)</f>
        <v>8098</v>
      </c>
      <c r="E8078" s="308" t="str">
        <f>IFERROR(__xludf.DUMMYFUNCTION("""COMPUTED_VALUE"""),"P")</f>
        <v>P</v>
      </c>
      <c r="F8078" s="312" t="s">
        <v>37</v>
      </c>
      <c r="G8078" s="308"/>
      <c r="H8078" s="308" t="s">
        <v>31839</v>
      </c>
      <c r="I8078" s="310">
        <v>44390.0</v>
      </c>
      <c r="J8078" s="319">
        <f>IFERROR(__xludf.DUMMYFUNCTION("SPLIT(I8078,""/"")"),13.0)</f>
        <v>13</v>
      </c>
      <c r="K8078" s="308">
        <f>IFERROR(__xludf.DUMMYFUNCTION("""COMPUTED_VALUE"""),7.0)</f>
        <v>7</v>
      </c>
      <c r="L8078" s="308">
        <f>IFERROR(__xludf.DUMMYFUNCTION("""COMPUTED_VALUE"""),2021.0)</f>
        <v>2021</v>
      </c>
      <c r="M8078" s="308" t="s">
        <v>31840</v>
      </c>
      <c r="N8078" s="308" t="s">
        <v>31841</v>
      </c>
      <c r="O8078" s="308"/>
      <c r="P8078" s="308" t="s">
        <v>136</v>
      </c>
      <c r="Q8078" s="308" t="s">
        <v>40104</v>
      </c>
      <c r="R8078" s="308" t="s">
        <v>2743</v>
      </c>
      <c r="S8078" s="315" t="s">
        <v>100</v>
      </c>
      <c r="T8078" s="308" t="s">
        <v>34208</v>
      </c>
      <c r="U8078" s="308" t="s">
        <v>1182</v>
      </c>
      <c r="V8078" s="308"/>
    </row>
    <row r="8079">
      <c r="A8079" s="308"/>
      <c r="B8079" s="308"/>
      <c r="C8079" s="308" t="s">
        <v>31842</v>
      </c>
      <c r="D8079" s="308">
        <f>IFERROR(__xludf.DUMMYFUNCTION("SPLIT(C8079,""-"")"),8099.0)</f>
        <v>8099</v>
      </c>
      <c r="E8079" s="308" t="str">
        <f>IFERROR(__xludf.DUMMYFUNCTION("""COMPUTED_VALUE"""),"B")</f>
        <v>B</v>
      </c>
      <c r="F8079" s="315" t="s">
        <v>26</v>
      </c>
      <c r="G8079" s="308"/>
      <c r="H8079" s="308" t="s">
        <v>31843</v>
      </c>
      <c r="I8079" s="310">
        <v>42106.0</v>
      </c>
      <c r="J8079" s="319">
        <f>IFERROR(__xludf.DUMMYFUNCTION("SPLIT(I8079,""/"")"),12.0)</f>
        <v>12</v>
      </c>
      <c r="K8079" s="308">
        <f>IFERROR(__xludf.DUMMYFUNCTION("""COMPUTED_VALUE"""),4.0)</f>
        <v>4</v>
      </c>
      <c r="L8079" s="308">
        <f>IFERROR(__xludf.DUMMYFUNCTION("""COMPUTED_VALUE"""),2015.0)</f>
        <v>2015</v>
      </c>
      <c r="M8079" s="308" t="s">
        <v>31844</v>
      </c>
      <c r="N8079" s="308" t="s">
        <v>31845</v>
      </c>
      <c r="O8079" s="308"/>
      <c r="P8079" s="308" t="s">
        <v>31846</v>
      </c>
      <c r="Q8079" s="308" t="s">
        <v>40106</v>
      </c>
      <c r="R8079" s="308" t="s">
        <v>30692</v>
      </c>
      <c r="S8079" s="308" t="s">
        <v>81</v>
      </c>
      <c r="T8079" s="311" t="s">
        <v>96</v>
      </c>
      <c r="U8079" s="308" t="s">
        <v>27</v>
      </c>
      <c r="V8079" s="308"/>
    </row>
    <row r="8080">
      <c r="A8080" s="308"/>
      <c r="B8080" s="308"/>
      <c r="C8080" s="308" t="s">
        <v>31847</v>
      </c>
      <c r="D8080" s="308">
        <f>IFERROR(__xludf.DUMMYFUNCTION("SPLIT(C8080,""-"")"),8100.0)</f>
        <v>8100</v>
      </c>
      <c r="E8080" s="308" t="str">
        <f>IFERROR(__xludf.DUMMYFUNCTION("""COMPUTED_VALUE"""),"P")</f>
        <v>P</v>
      </c>
      <c r="F8080" s="312" t="s">
        <v>37</v>
      </c>
      <c r="G8080" s="308"/>
      <c r="H8080" s="308" t="s">
        <v>31848</v>
      </c>
      <c r="I8080" s="310">
        <v>41548.0</v>
      </c>
      <c r="J8080" s="319">
        <f>IFERROR(__xludf.DUMMYFUNCTION("SPLIT(I8080,""/"")"),1.0)</f>
        <v>1</v>
      </c>
      <c r="K8080" s="308">
        <f>IFERROR(__xludf.DUMMYFUNCTION("""COMPUTED_VALUE"""),10.0)</f>
        <v>10</v>
      </c>
      <c r="L8080" s="308">
        <f>IFERROR(__xludf.DUMMYFUNCTION("""COMPUTED_VALUE"""),2013.0)</f>
        <v>2013</v>
      </c>
      <c r="M8080" s="308" t="s">
        <v>31849</v>
      </c>
      <c r="N8080" s="308" t="s">
        <v>439</v>
      </c>
      <c r="O8080" s="308"/>
      <c r="P8080" s="308" t="s">
        <v>136</v>
      </c>
      <c r="Q8080" s="308" t="s">
        <v>40106</v>
      </c>
      <c r="R8080" s="308" t="s">
        <v>2743</v>
      </c>
      <c r="S8080" s="315" t="s">
        <v>100</v>
      </c>
      <c r="T8080" s="308" t="s">
        <v>34208</v>
      </c>
      <c r="U8080" s="308" t="s">
        <v>17303</v>
      </c>
      <c r="V8080" s="308" t="s">
        <v>31850</v>
      </c>
    </row>
    <row r="8081">
      <c r="A8081" s="308"/>
      <c r="B8081" s="308"/>
      <c r="C8081" s="308" t="s">
        <v>31851</v>
      </c>
      <c r="D8081" s="308">
        <f>IFERROR(__xludf.DUMMYFUNCTION("SPLIT(C8081,""-"")"),8101.0)</f>
        <v>8101</v>
      </c>
      <c r="E8081" s="308" t="str">
        <f>IFERROR(__xludf.DUMMYFUNCTION("""COMPUTED_VALUE"""),"K")</f>
        <v>K</v>
      </c>
      <c r="F8081" s="309" t="s">
        <v>34</v>
      </c>
      <c r="G8081" s="308"/>
      <c r="H8081" s="308" t="s">
        <v>31852</v>
      </c>
      <c r="I8081" s="310">
        <v>41946.0</v>
      </c>
      <c r="J8081" s="319">
        <f>IFERROR(__xludf.DUMMYFUNCTION("SPLIT(I8081,""/"")"),3.0)</f>
        <v>3</v>
      </c>
      <c r="K8081" s="308">
        <f>IFERROR(__xludf.DUMMYFUNCTION("""COMPUTED_VALUE"""),11.0)</f>
        <v>11</v>
      </c>
      <c r="L8081" s="308">
        <f>IFERROR(__xludf.DUMMYFUNCTION("""COMPUTED_VALUE"""),2014.0)</f>
        <v>2014</v>
      </c>
      <c r="M8081" s="308" t="s">
        <v>31853</v>
      </c>
      <c r="N8081" s="308" t="s">
        <v>31854</v>
      </c>
      <c r="O8081" s="308"/>
      <c r="P8081" s="308" t="s">
        <v>136</v>
      </c>
      <c r="Q8081" s="308" t="s">
        <v>40107</v>
      </c>
      <c r="R8081" s="308" t="s">
        <v>2743</v>
      </c>
      <c r="S8081" s="315" t="s">
        <v>100</v>
      </c>
      <c r="T8081" s="308" t="s">
        <v>34208</v>
      </c>
      <c r="U8081" s="308" t="s">
        <v>368</v>
      </c>
      <c r="V8081" s="308" t="s">
        <v>31855</v>
      </c>
    </row>
    <row r="8082">
      <c r="A8082" s="308"/>
      <c r="B8082" s="308"/>
      <c r="C8082" s="308" t="s">
        <v>31856</v>
      </c>
      <c r="D8082" s="308">
        <f>IFERROR(__xludf.DUMMYFUNCTION("SPLIT(C8082,""-"")"),8102.0)</f>
        <v>8102</v>
      </c>
      <c r="E8082" s="308" t="str">
        <f>IFERROR(__xludf.DUMMYFUNCTION("""COMPUTED_VALUE"""),"K")</f>
        <v>K</v>
      </c>
      <c r="F8082" s="309" t="s">
        <v>34</v>
      </c>
      <c r="G8082" s="308"/>
      <c r="H8082" s="308" t="s">
        <v>31857</v>
      </c>
      <c r="I8082" s="310">
        <v>44391.0</v>
      </c>
      <c r="J8082" s="319">
        <f>IFERROR(__xludf.DUMMYFUNCTION("SPLIT(I8082,""/"")"),14.0)</f>
        <v>14</v>
      </c>
      <c r="K8082" s="308">
        <f>IFERROR(__xludf.DUMMYFUNCTION("""COMPUTED_VALUE"""),7.0)</f>
        <v>7</v>
      </c>
      <c r="L8082" s="308">
        <f>IFERROR(__xludf.DUMMYFUNCTION("""COMPUTED_VALUE"""),2021.0)</f>
        <v>2021</v>
      </c>
      <c r="M8082" s="308" t="s">
        <v>31858</v>
      </c>
      <c r="N8082" s="308" t="s">
        <v>31859</v>
      </c>
      <c r="O8082" s="308"/>
      <c r="P8082" s="308" t="s">
        <v>136</v>
      </c>
      <c r="Q8082" s="308" t="s">
        <v>40107</v>
      </c>
      <c r="R8082" s="308" t="s">
        <v>2743</v>
      </c>
      <c r="S8082" s="315" t="s">
        <v>100</v>
      </c>
      <c r="T8082" s="308" t="s">
        <v>34208</v>
      </c>
      <c r="U8082" s="308" t="s">
        <v>19204</v>
      </c>
      <c r="V8082" s="308"/>
    </row>
    <row r="8083">
      <c r="A8083" s="308"/>
      <c r="B8083" s="308"/>
      <c r="C8083" s="308" t="s">
        <v>31860</v>
      </c>
      <c r="D8083" s="308">
        <f>IFERROR(__xludf.DUMMYFUNCTION("SPLIT(C8083,""-"")"),8103.0)</f>
        <v>8103</v>
      </c>
      <c r="E8083" s="308" t="str">
        <f>IFERROR(__xludf.DUMMYFUNCTION("""COMPUTED_VALUE"""),"K")</f>
        <v>K</v>
      </c>
      <c r="F8083" s="309" t="s">
        <v>34</v>
      </c>
      <c r="G8083" s="308"/>
      <c r="H8083" s="308" t="s">
        <v>31861</v>
      </c>
      <c r="I8083" s="310">
        <v>44391.0</v>
      </c>
      <c r="J8083" s="319">
        <f>IFERROR(__xludf.DUMMYFUNCTION("SPLIT(I8083,""/"")"),14.0)</f>
        <v>14</v>
      </c>
      <c r="K8083" s="308">
        <f>IFERROR(__xludf.DUMMYFUNCTION("""COMPUTED_VALUE"""),7.0)</f>
        <v>7</v>
      </c>
      <c r="L8083" s="308">
        <f>IFERROR(__xludf.DUMMYFUNCTION("""COMPUTED_VALUE"""),2021.0)</f>
        <v>2021</v>
      </c>
      <c r="M8083" s="308" t="s">
        <v>31858</v>
      </c>
      <c r="N8083" s="308" t="s">
        <v>31862</v>
      </c>
      <c r="O8083" s="308"/>
      <c r="P8083" s="308" t="s">
        <v>31863</v>
      </c>
      <c r="Q8083" s="308" t="s">
        <v>40107</v>
      </c>
      <c r="R8083" s="308" t="s">
        <v>2743</v>
      </c>
      <c r="S8083" s="308" t="s">
        <v>81</v>
      </c>
      <c r="T8083" s="308" t="s">
        <v>75</v>
      </c>
      <c r="U8083" s="308" t="s">
        <v>19204</v>
      </c>
      <c r="V8083" s="308"/>
    </row>
    <row r="8084">
      <c r="A8084" s="308"/>
      <c r="B8084" s="308"/>
      <c r="C8084" s="308" t="s">
        <v>31864</v>
      </c>
      <c r="D8084" s="308">
        <f>IFERROR(__xludf.DUMMYFUNCTION("SPLIT(C8084,""-"")"),8104.0)</f>
        <v>8104</v>
      </c>
      <c r="E8084" s="308" t="str">
        <f>IFERROR(__xludf.DUMMYFUNCTION("""COMPUTED_VALUE"""),"K")</f>
        <v>K</v>
      </c>
      <c r="F8084" s="309" t="s">
        <v>34</v>
      </c>
      <c r="G8084" s="308"/>
      <c r="H8084" s="308" t="s">
        <v>31865</v>
      </c>
      <c r="I8084" s="310">
        <v>44013.0</v>
      </c>
      <c r="J8084" s="319">
        <f>IFERROR(__xludf.DUMMYFUNCTION("SPLIT(I8084,""/"")"),1.0)</f>
        <v>1</v>
      </c>
      <c r="K8084" s="308">
        <f>IFERROR(__xludf.DUMMYFUNCTION("""COMPUTED_VALUE"""),7.0)</f>
        <v>7</v>
      </c>
      <c r="L8084" s="308">
        <f>IFERROR(__xludf.DUMMYFUNCTION("""COMPUTED_VALUE"""),2020.0)</f>
        <v>2020</v>
      </c>
      <c r="M8084" s="308" t="s">
        <v>31866</v>
      </c>
      <c r="N8084" s="308" t="s">
        <v>439</v>
      </c>
      <c r="O8084" s="308"/>
      <c r="P8084" s="308" t="s">
        <v>31867</v>
      </c>
      <c r="Q8084" s="308" t="s">
        <v>40107</v>
      </c>
      <c r="R8084" s="308" t="s">
        <v>2743</v>
      </c>
      <c r="S8084" s="308" t="s">
        <v>81</v>
      </c>
      <c r="T8084" s="308" t="s">
        <v>34264</v>
      </c>
      <c r="U8084" s="308" t="s">
        <v>22473</v>
      </c>
      <c r="V8084" s="308"/>
    </row>
    <row r="8085">
      <c r="A8085" s="308"/>
      <c r="B8085" s="308"/>
      <c r="C8085" s="308" t="s">
        <v>31868</v>
      </c>
      <c r="D8085" s="308">
        <f>IFERROR(__xludf.DUMMYFUNCTION("SPLIT(C8085,""-"")"),8105.0)</f>
        <v>8105</v>
      </c>
      <c r="E8085" s="308" t="str">
        <f>IFERROR(__xludf.DUMMYFUNCTION("""COMPUTED_VALUE"""),"K")</f>
        <v>K</v>
      </c>
      <c r="F8085" s="309" t="s">
        <v>34</v>
      </c>
      <c r="G8085" s="308"/>
      <c r="H8085" s="308" t="s">
        <v>31869</v>
      </c>
      <c r="I8085" s="314">
        <v>43062.0</v>
      </c>
      <c r="J8085" s="319" t="str">
        <f>IFERROR(__xludf.DUMMYFUNCTION("SPLIT(I8085,""/"")"),"#REF!")</f>
        <v>#REF!</v>
      </c>
      <c r="K8085" s="308"/>
      <c r="L8085" s="308">
        <v>2017.0</v>
      </c>
      <c r="M8085" s="308" t="s">
        <v>31870</v>
      </c>
      <c r="N8085" s="308" t="s">
        <v>40108</v>
      </c>
      <c r="O8085" s="308"/>
      <c r="P8085" s="308" t="s">
        <v>136</v>
      </c>
      <c r="Q8085" s="308" t="s">
        <v>40109</v>
      </c>
      <c r="R8085" s="308" t="s">
        <v>2743</v>
      </c>
      <c r="S8085" s="315" t="s">
        <v>100</v>
      </c>
      <c r="T8085" s="308" t="s">
        <v>34208</v>
      </c>
      <c r="U8085" s="308" t="s">
        <v>19459</v>
      </c>
      <c r="V8085" s="308"/>
    </row>
    <row r="8086">
      <c r="A8086" s="308"/>
      <c r="B8086" s="308"/>
      <c r="C8086" s="308" t="s">
        <v>31872</v>
      </c>
      <c r="D8086" s="308">
        <f>IFERROR(__xludf.DUMMYFUNCTION("SPLIT(C8086,""-"")"),8106.0)</f>
        <v>8106</v>
      </c>
      <c r="E8086" s="308" t="str">
        <f>IFERROR(__xludf.DUMMYFUNCTION("""COMPUTED_VALUE"""),"K")</f>
        <v>K</v>
      </c>
      <c r="F8086" s="309" t="s">
        <v>34</v>
      </c>
      <c r="G8086" s="308"/>
      <c r="H8086" s="308" t="s">
        <v>31873</v>
      </c>
      <c r="I8086" s="310">
        <v>42618.0</v>
      </c>
      <c r="J8086" s="319">
        <f>IFERROR(__xludf.DUMMYFUNCTION("SPLIT(I8086,""/"")"),5.0)</f>
        <v>5</v>
      </c>
      <c r="K8086" s="308">
        <f>IFERROR(__xludf.DUMMYFUNCTION("""COMPUTED_VALUE"""),9.0)</f>
        <v>9</v>
      </c>
      <c r="L8086" s="308">
        <f>IFERROR(__xludf.DUMMYFUNCTION("""COMPUTED_VALUE"""),2016.0)</f>
        <v>2016</v>
      </c>
      <c r="M8086" s="308" t="s">
        <v>31874</v>
      </c>
      <c r="N8086" s="308" t="s">
        <v>439</v>
      </c>
      <c r="O8086" s="308"/>
      <c r="P8086" s="308" t="s">
        <v>136</v>
      </c>
      <c r="Q8086" s="308" t="s">
        <v>40110</v>
      </c>
      <c r="R8086" s="308" t="s">
        <v>2743</v>
      </c>
      <c r="S8086" s="315" t="s">
        <v>100</v>
      </c>
      <c r="T8086" s="308" t="s">
        <v>34208</v>
      </c>
      <c r="U8086" s="308" t="s">
        <v>368</v>
      </c>
      <c r="V8086" s="308"/>
    </row>
    <row r="8087">
      <c r="A8087" s="308"/>
      <c r="B8087" s="308"/>
      <c r="C8087" s="308" t="s">
        <v>31875</v>
      </c>
      <c r="D8087" s="308">
        <f>IFERROR(__xludf.DUMMYFUNCTION("SPLIT(C8087,""-"")"),8107.0)</f>
        <v>8107</v>
      </c>
      <c r="E8087" s="308" t="str">
        <f>IFERROR(__xludf.DUMMYFUNCTION("""COMPUTED_VALUE"""),"K")</f>
        <v>K</v>
      </c>
      <c r="F8087" s="309" t="s">
        <v>34</v>
      </c>
      <c r="G8087" s="308"/>
      <c r="H8087" s="308" t="s">
        <v>31876</v>
      </c>
      <c r="I8087" s="310">
        <v>44337.0</v>
      </c>
      <c r="J8087" s="319">
        <f>IFERROR(__xludf.DUMMYFUNCTION("SPLIT(I8087,""/"")"),21.0)</f>
        <v>21</v>
      </c>
      <c r="K8087" s="308">
        <f>IFERROR(__xludf.DUMMYFUNCTION("""COMPUTED_VALUE"""),5.0)</f>
        <v>5</v>
      </c>
      <c r="L8087" s="308">
        <f>IFERROR(__xludf.DUMMYFUNCTION("""COMPUTED_VALUE"""),2021.0)</f>
        <v>2021</v>
      </c>
      <c r="M8087" s="308" t="s">
        <v>31877</v>
      </c>
      <c r="N8087" s="308" t="s">
        <v>439</v>
      </c>
      <c r="O8087" s="308"/>
      <c r="P8087" s="308" t="s">
        <v>31878</v>
      </c>
      <c r="Q8087" s="308" t="s">
        <v>40110</v>
      </c>
      <c r="R8087" s="308" t="s">
        <v>2743</v>
      </c>
      <c r="S8087" s="308" t="s">
        <v>81</v>
      </c>
      <c r="T8087" s="308" t="s">
        <v>34264</v>
      </c>
      <c r="U8087" s="308" t="s">
        <v>27994</v>
      </c>
      <c r="V8087" s="308"/>
    </row>
    <row r="8088">
      <c r="A8088" s="308"/>
      <c r="B8088" s="308"/>
      <c r="C8088" s="308" t="s">
        <v>31879</v>
      </c>
      <c r="D8088" s="308">
        <f>IFERROR(__xludf.DUMMYFUNCTION("SPLIT(C8088,""-"")"),8108.0)</f>
        <v>8108</v>
      </c>
      <c r="E8088" s="308" t="str">
        <f>IFERROR(__xludf.DUMMYFUNCTION("""COMPUTED_VALUE"""),"K")</f>
        <v>K</v>
      </c>
      <c r="F8088" s="309" t="s">
        <v>34</v>
      </c>
      <c r="G8088" s="308"/>
      <c r="H8088" s="308" t="s">
        <v>31880</v>
      </c>
      <c r="I8088" s="310">
        <v>44297.0</v>
      </c>
      <c r="J8088" s="319">
        <f>IFERROR(__xludf.DUMMYFUNCTION("SPLIT(I8088,""/"")"),11.0)</f>
        <v>11</v>
      </c>
      <c r="K8088" s="308">
        <f>IFERROR(__xludf.DUMMYFUNCTION("""COMPUTED_VALUE"""),4.0)</f>
        <v>4</v>
      </c>
      <c r="L8088" s="308">
        <f>IFERROR(__xludf.DUMMYFUNCTION("""COMPUTED_VALUE"""),2021.0)</f>
        <v>2021</v>
      </c>
      <c r="M8088" s="308" t="s">
        <v>31881</v>
      </c>
      <c r="N8088" s="308" t="s">
        <v>40111</v>
      </c>
      <c r="O8088" s="308"/>
      <c r="P8088" s="308" t="s">
        <v>136</v>
      </c>
      <c r="Q8088" s="308" t="s">
        <v>40110</v>
      </c>
      <c r="R8088" s="308" t="s">
        <v>2743</v>
      </c>
      <c r="S8088" s="315" t="s">
        <v>100</v>
      </c>
      <c r="T8088" s="308" t="s">
        <v>34208</v>
      </c>
      <c r="U8088" s="308" t="s">
        <v>125</v>
      </c>
      <c r="V8088" s="308"/>
    </row>
    <row r="8089">
      <c r="A8089" s="308"/>
      <c r="B8089" s="308"/>
      <c r="C8089" s="308" t="s">
        <v>31883</v>
      </c>
      <c r="D8089" s="308">
        <f>IFERROR(__xludf.DUMMYFUNCTION("SPLIT(C8089,""-"")"),8109.0)</f>
        <v>8109</v>
      </c>
      <c r="E8089" s="308" t="str">
        <f>IFERROR(__xludf.DUMMYFUNCTION("""COMPUTED_VALUE"""),"K")</f>
        <v>K</v>
      </c>
      <c r="F8089" s="309" t="s">
        <v>34</v>
      </c>
      <c r="G8089" s="308"/>
      <c r="H8089" s="308" t="s">
        <v>31884</v>
      </c>
      <c r="I8089" s="310">
        <v>44297.0</v>
      </c>
      <c r="J8089" s="319">
        <f>IFERROR(__xludf.DUMMYFUNCTION("SPLIT(I8089,""/"")"),11.0)</f>
        <v>11</v>
      </c>
      <c r="K8089" s="308">
        <f>IFERROR(__xludf.DUMMYFUNCTION("""COMPUTED_VALUE"""),4.0)</f>
        <v>4</v>
      </c>
      <c r="L8089" s="308">
        <f>IFERROR(__xludf.DUMMYFUNCTION("""COMPUTED_VALUE"""),2021.0)</f>
        <v>2021</v>
      </c>
      <c r="M8089" s="308" t="s">
        <v>31881</v>
      </c>
      <c r="N8089" s="308" t="s">
        <v>439</v>
      </c>
      <c r="O8089" s="308"/>
      <c r="P8089" s="308" t="s">
        <v>31885</v>
      </c>
      <c r="Q8089" s="308" t="s">
        <v>40110</v>
      </c>
      <c r="R8089" s="308" t="s">
        <v>2743</v>
      </c>
      <c r="S8089" s="308" t="s">
        <v>81</v>
      </c>
      <c r="T8089" s="308" t="s">
        <v>75</v>
      </c>
      <c r="U8089" s="308" t="s">
        <v>125</v>
      </c>
      <c r="V8089" s="308"/>
    </row>
    <row r="8090">
      <c r="A8090" s="308"/>
      <c r="B8090" s="308"/>
      <c r="C8090" s="308" t="s">
        <v>31886</v>
      </c>
      <c r="D8090" s="308">
        <f>IFERROR(__xludf.DUMMYFUNCTION("SPLIT(C8090,""-"")"),8110.0)</f>
        <v>8110</v>
      </c>
      <c r="E8090" s="308" t="str">
        <f>IFERROR(__xludf.DUMMYFUNCTION("""COMPUTED_VALUE"""),"S")</f>
        <v>S</v>
      </c>
      <c r="F8090" s="312" t="s">
        <v>39</v>
      </c>
      <c r="G8090" s="308"/>
      <c r="H8090" s="308" t="s">
        <v>31887</v>
      </c>
      <c r="I8090" s="310">
        <v>43315.0</v>
      </c>
      <c r="J8090" s="319">
        <f>IFERROR(__xludf.DUMMYFUNCTION("SPLIT(I8090,""/"")"),3.0)</f>
        <v>3</v>
      </c>
      <c r="K8090" s="308">
        <f>IFERROR(__xludf.DUMMYFUNCTION("""COMPUTED_VALUE"""),8.0)</f>
        <v>8</v>
      </c>
      <c r="L8090" s="308">
        <f>IFERROR(__xludf.DUMMYFUNCTION("""COMPUTED_VALUE"""),2018.0)</f>
        <v>2018</v>
      </c>
      <c r="M8090" s="308" t="s">
        <v>31888</v>
      </c>
      <c r="N8090" s="308" t="s">
        <v>31889</v>
      </c>
      <c r="O8090" s="308"/>
      <c r="P8090" s="308" t="s">
        <v>136</v>
      </c>
      <c r="Q8090" s="308" t="s">
        <v>40112</v>
      </c>
      <c r="R8090" s="308" t="s">
        <v>2743</v>
      </c>
      <c r="S8090" s="315" t="s">
        <v>100</v>
      </c>
      <c r="T8090" s="308" t="s">
        <v>34208</v>
      </c>
      <c r="U8090" s="308" t="s">
        <v>166</v>
      </c>
      <c r="V8090" s="308"/>
    </row>
    <row r="8091">
      <c r="A8091" s="308"/>
      <c r="B8091" s="308"/>
      <c r="C8091" s="308" t="s">
        <v>31890</v>
      </c>
      <c r="D8091" s="308">
        <f>IFERROR(__xludf.DUMMYFUNCTION("SPLIT(C8091,""-"")"),8111.0)</f>
        <v>8111</v>
      </c>
      <c r="E8091" s="308" t="str">
        <f>IFERROR(__xludf.DUMMYFUNCTION("""COMPUTED_VALUE"""),"K")</f>
        <v>K</v>
      </c>
      <c r="F8091" s="309" t="s">
        <v>34</v>
      </c>
      <c r="G8091" s="308"/>
      <c r="H8091" s="308" t="s">
        <v>31891</v>
      </c>
      <c r="I8091" s="310">
        <v>42889.0</v>
      </c>
      <c r="J8091" s="319" t="str">
        <f>IFERROR(__xludf.DUMMYFUNCTION("SPLIT(I8091,""/"")"),"#REF!")</f>
        <v>#REF!</v>
      </c>
      <c r="K8091" s="308"/>
      <c r="L8091" s="308">
        <v>2017.0</v>
      </c>
      <c r="M8091" s="308" t="s">
        <v>31892</v>
      </c>
      <c r="N8091" s="308" t="s">
        <v>31893</v>
      </c>
      <c r="O8091" s="308"/>
      <c r="P8091" s="308" t="s">
        <v>136</v>
      </c>
      <c r="Q8091" s="308" t="s">
        <v>40112</v>
      </c>
      <c r="R8091" s="308" t="s">
        <v>2743</v>
      </c>
      <c r="S8091" s="315" t="s">
        <v>100</v>
      </c>
      <c r="T8091" s="308" t="s">
        <v>34208</v>
      </c>
      <c r="U8091" s="308" t="s">
        <v>2152</v>
      </c>
      <c r="V8091" s="308"/>
    </row>
    <row r="8092">
      <c r="A8092" s="308"/>
      <c r="B8092" s="308"/>
      <c r="C8092" s="308" t="s">
        <v>31894</v>
      </c>
      <c r="D8092" s="308">
        <f>IFERROR(__xludf.DUMMYFUNCTION("SPLIT(C8092,""-"")"),8112.0)</f>
        <v>8112</v>
      </c>
      <c r="E8092" s="308" t="str">
        <f>IFERROR(__xludf.DUMMYFUNCTION("""COMPUTED_VALUE"""),"B")</f>
        <v>B</v>
      </c>
      <c r="F8092" s="315" t="s">
        <v>26</v>
      </c>
      <c r="G8092" s="308"/>
      <c r="H8092" s="308" t="s">
        <v>31895</v>
      </c>
      <c r="I8092" s="310">
        <v>44348.0</v>
      </c>
      <c r="J8092" s="319">
        <f>IFERROR(__xludf.DUMMYFUNCTION("SPLIT(I8092,""/"")"),1.0)</f>
        <v>1</v>
      </c>
      <c r="K8092" s="308">
        <f>IFERROR(__xludf.DUMMYFUNCTION("""COMPUTED_VALUE"""),6.0)</f>
        <v>6</v>
      </c>
      <c r="L8092" s="308">
        <f>IFERROR(__xludf.DUMMYFUNCTION("""COMPUTED_VALUE"""),2021.0)</f>
        <v>2021</v>
      </c>
      <c r="M8092" s="308" t="s">
        <v>31896</v>
      </c>
      <c r="N8092" s="308" t="s">
        <v>31897</v>
      </c>
      <c r="O8092" s="308" t="s">
        <v>31898</v>
      </c>
      <c r="P8092" s="308" t="s">
        <v>31899</v>
      </c>
      <c r="Q8092" s="308" t="s">
        <v>40112</v>
      </c>
      <c r="R8092" s="308" t="s">
        <v>2743</v>
      </c>
      <c r="S8092" s="308" t="s">
        <v>81</v>
      </c>
      <c r="T8092" s="311" t="s">
        <v>73</v>
      </c>
      <c r="U8092" s="308" t="s">
        <v>27</v>
      </c>
      <c r="V8092" s="308"/>
    </row>
    <row r="8093">
      <c r="A8093" s="308"/>
      <c r="B8093" s="308"/>
      <c r="C8093" s="308" t="s">
        <v>31900</v>
      </c>
      <c r="D8093" s="308">
        <f>IFERROR(__xludf.DUMMYFUNCTION("SPLIT(C8093,""-"")"),8113.0)</f>
        <v>8113</v>
      </c>
      <c r="E8093" s="308" t="str">
        <f>IFERROR(__xludf.DUMMYFUNCTION("""COMPUTED_VALUE"""),"B")</f>
        <v>B</v>
      </c>
      <c r="F8093" s="315" t="s">
        <v>26</v>
      </c>
      <c r="G8093" s="308"/>
      <c r="H8093" s="308" t="s">
        <v>31901</v>
      </c>
      <c r="I8093" s="310">
        <v>44295.0</v>
      </c>
      <c r="J8093" s="319">
        <f>IFERROR(__xludf.DUMMYFUNCTION("SPLIT(I8093,""/"")"),9.0)</f>
        <v>9</v>
      </c>
      <c r="K8093" s="308">
        <f>IFERROR(__xludf.DUMMYFUNCTION("""COMPUTED_VALUE"""),4.0)</f>
        <v>4</v>
      </c>
      <c r="L8093" s="308">
        <f>IFERROR(__xludf.DUMMYFUNCTION("""COMPUTED_VALUE"""),2021.0)</f>
        <v>2021</v>
      </c>
      <c r="M8093" s="308" t="s">
        <v>31902</v>
      </c>
      <c r="N8093" s="308" t="s">
        <v>31903</v>
      </c>
      <c r="O8093" s="308"/>
      <c r="P8093" s="308" t="s">
        <v>31904</v>
      </c>
      <c r="Q8093" s="308" t="s">
        <v>40113</v>
      </c>
      <c r="R8093" s="308" t="s">
        <v>30692</v>
      </c>
      <c r="S8093" s="308" t="s">
        <v>81</v>
      </c>
      <c r="T8093" s="308" t="s">
        <v>75</v>
      </c>
      <c r="U8093" s="308" t="s">
        <v>27</v>
      </c>
      <c r="V8093" s="308"/>
    </row>
    <row r="8094">
      <c r="A8094" s="308"/>
      <c r="B8094" s="308"/>
      <c r="C8094" s="308" t="s">
        <v>31905</v>
      </c>
      <c r="D8094" s="308">
        <f>IFERROR(__xludf.DUMMYFUNCTION("SPLIT(C8094,""-"")"),8114.0)</f>
        <v>8114</v>
      </c>
      <c r="E8094" s="308" t="str">
        <f>IFERROR(__xludf.DUMMYFUNCTION("""COMPUTED_VALUE"""),"B")</f>
        <v>B</v>
      </c>
      <c r="F8094" s="315" t="s">
        <v>26</v>
      </c>
      <c r="G8094" s="308"/>
      <c r="H8094" s="308" t="s">
        <v>31906</v>
      </c>
      <c r="I8094" s="310">
        <v>44339.0</v>
      </c>
      <c r="J8094" s="319">
        <f>IFERROR(__xludf.DUMMYFUNCTION("SPLIT(I8094,""/"")"),23.0)</f>
        <v>23</v>
      </c>
      <c r="K8094" s="308">
        <f>IFERROR(__xludf.DUMMYFUNCTION("""COMPUTED_VALUE"""),5.0)</f>
        <v>5</v>
      </c>
      <c r="L8094" s="308">
        <f>IFERROR(__xludf.DUMMYFUNCTION("""COMPUTED_VALUE"""),2021.0)</f>
        <v>2021</v>
      </c>
      <c r="M8094" s="308" t="s">
        <v>31907</v>
      </c>
      <c r="N8094" s="308" t="s">
        <v>439</v>
      </c>
      <c r="O8094" s="308"/>
      <c r="P8094" s="308" t="s">
        <v>31908</v>
      </c>
      <c r="Q8094" s="308" t="s">
        <v>40113</v>
      </c>
      <c r="R8094" s="308" t="s">
        <v>30692</v>
      </c>
      <c r="S8094" s="308" t="s">
        <v>81</v>
      </c>
      <c r="T8094" s="308" t="s">
        <v>75</v>
      </c>
      <c r="U8094" s="308" t="s">
        <v>27</v>
      </c>
      <c r="V8094" s="308"/>
    </row>
    <row r="8095">
      <c r="A8095" s="308"/>
      <c r="B8095" s="308"/>
      <c r="C8095" s="308" t="s">
        <v>31909</v>
      </c>
      <c r="D8095" s="308">
        <f>IFERROR(__xludf.DUMMYFUNCTION("SPLIT(C8095,""-"")"),8115.0)</f>
        <v>8115</v>
      </c>
      <c r="E8095" s="308" t="str">
        <f>IFERROR(__xludf.DUMMYFUNCTION("""COMPUTED_VALUE"""),"B")</f>
        <v>B</v>
      </c>
      <c r="F8095" s="315" t="s">
        <v>26</v>
      </c>
      <c r="G8095" s="308"/>
      <c r="H8095" s="308" t="s">
        <v>31910</v>
      </c>
      <c r="I8095" s="314">
        <v>43824.0</v>
      </c>
      <c r="J8095" s="319">
        <f>IFERROR(__xludf.DUMMYFUNCTION("SPLIT(I8095,""/"")"),25.0)</f>
        <v>25</v>
      </c>
      <c r="K8095" s="308">
        <f>IFERROR(__xludf.DUMMYFUNCTION("""COMPUTED_VALUE"""),12.0)</f>
        <v>12</v>
      </c>
      <c r="L8095" s="308">
        <f>IFERROR(__xludf.DUMMYFUNCTION("""COMPUTED_VALUE"""),2019.0)</f>
        <v>2019</v>
      </c>
      <c r="M8095" s="308" t="s">
        <v>31911</v>
      </c>
      <c r="N8095" s="308" t="s">
        <v>31912</v>
      </c>
      <c r="O8095" s="308"/>
      <c r="P8095" s="308" t="s">
        <v>31913</v>
      </c>
      <c r="Q8095" s="308" t="s">
        <v>40114</v>
      </c>
      <c r="R8095" s="308" t="s">
        <v>2743</v>
      </c>
      <c r="S8095" s="308" t="s">
        <v>81</v>
      </c>
      <c r="T8095" s="308" t="s">
        <v>75</v>
      </c>
      <c r="U8095" s="308" t="s">
        <v>27</v>
      </c>
      <c r="V8095" s="308"/>
    </row>
    <row r="8096">
      <c r="A8096" s="308"/>
      <c r="B8096" s="308"/>
      <c r="C8096" s="308" t="s">
        <v>31914</v>
      </c>
      <c r="D8096" s="308">
        <f>IFERROR(__xludf.DUMMYFUNCTION("SPLIT(C8096,""-"")"),8116.0)</f>
        <v>8116</v>
      </c>
      <c r="E8096" s="308" t="str">
        <f>IFERROR(__xludf.DUMMYFUNCTION("""COMPUTED_VALUE"""),"S")</f>
        <v>S</v>
      </c>
      <c r="F8096" s="312" t="s">
        <v>39</v>
      </c>
      <c r="G8096" s="308"/>
      <c r="H8096" s="308" t="s">
        <v>31915</v>
      </c>
      <c r="I8096" s="310">
        <v>41450.0</v>
      </c>
      <c r="J8096" s="319">
        <f>IFERROR(__xludf.DUMMYFUNCTION("SPLIT(I8096,""/"")"),25.0)</f>
        <v>25</v>
      </c>
      <c r="K8096" s="308">
        <f>IFERROR(__xludf.DUMMYFUNCTION("""COMPUTED_VALUE"""),6.0)</f>
        <v>6</v>
      </c>
      <c r="L8096" s="308">
        <f>IFERROR(__xludf.DUMMYFUNCTION("""COMPUTED_VALUE"""),2013.0)</f>
        <v>2013</v>
      </c>
      <c r="M8096" s="308" t="s">
        <v>31916</v>
      </c>
      <c r="N8096" s="308" t="s">
        <v>31917</v>
      </c>
      <c r="O8096" s="308"/>
      <c r="P8096" s="308" t="s">
        <v>136</v>
      </c>
      <c r="Q8096" s="308" t="s">
        <v>40115</v>
      </c>
      <c r="R8096" s="308" t="s">
        <v>2743</v>
      </c>
      <c r="S8096" s="315" t="s">
        <v>100</v>
      </c>
      <c r="T8096" s="308" t="s">
        <v>34208</v>
      </c>
      <c r="U8096" s="308" t="s">
        <v>166</v>
      </c>
      <c r="V8096" s="308"/>
    </row>
    <row r="8097">
      <c r="A8097" s="308"/>
      <c r="B8097" s="308"/>
      <c r="C8097" s="308" t="s">
        <v>31918</v>
      </c>
      <c r="D8097" s="308">
        <f>IFERROR(__xludf.DUMMYFUNCTION("SPLIT(C8097,""-"")"),8117.0)</f>
        <v>8117</v>
      </c>
      <c r="E8097" s="308" t="str">
        <f>IFERROR(__xludf.DUMMYFUNCTION("""COMPUTED_VALUE"""),"K")</f>
        <v>K</v>
      </c>
      <c r="F8097" s="309" t="s">
        <v>34</v>
      </c>
      <c r="G8097" s="308"/>
      <c r="H8097" s="308" t="s">
        <v>31919</v>
      </c>
      <c r="I8097" s="310">
        <v>44028.0</v>
      </c>
      <c r="J8097" s="319">
        <f>IFERROR(__xludf.DUMMYFUNCTION("SPLIT(I8097,""/"")"),16.0)</f>
        <v>16</v>
      </c>
      <c r="K8097" s="308">
        <f>IFERROR(__xludf.DUMMYFUNCTION("""COMPUTED_VALUE"""),7.0)</f>
        <v>7</v>
      </c>
      <c r="L8097" s="308">
        <f>IFERROR(__xludf.DUMMYFUNCTION("""COMPUTED_VALUE"""),2020.0)</f>
        <v>2020</v>
      </c>
      <c r="M8097" s="308" t="s">
        <v>31920</v>
      </c>
      <c r="N8097" s="308" t="s">
        <v>31921</v>
      </c>
      <c r="O8097" s="308"/>
      <c r="P8097" s="308" t="s">
        <v>136</v>
      </c>
      <c r="Q8097" s="308" t="s">
        <v>40115</v>
      </c>
      <c r="R8097" s="308" t="s">
        <v>2743</v>
      </c>
      <c r="S8097" s="315" t="s">
        <v>100</v>
      </c>
      <c r="T8097" s="308" t="s">
        <v>34208</v>
      </c>
      <c r="U8097" s="308" t="s">
        <v>542</v>
      </c>
      <c r="V8097" s="308"/>
    </row>
    <row r="8098">
      <c r="A8098" s="308"/>
      <c r="B8098" s="308"/>
      <c r="C8098" s="308" t="s">
        <v>31922</v>
      </c>
      <c r="D8098" s="308">
        <f>IFERROR(__xludf.DUMMYFUNCTION("SPLIT(C8098,""-"")"),8118.0)</f>
        <v>8118</v>
      </c>
      <c r="E8098" s="308" t="str">
        <f>IFERROR(__xludf.DUMMYFUNCTION("""COMPUTED_VALUE"""),"P")</f>
        <v>P</v>
      </c>
      <c r="F8098" s="312" t="s">
        <v>37</v>
      </c>
      <c r="G8098" s="308"/>
      <c r="H8098" s="308" t="s">
        <v>31923</v>
      </c>
      <c r="I8098" s="310">
        <v>43160.0</v>
      </c>
      <c r="J8098" s="319">
        <f>IFERROR(__xludf.DUMMYFUNCTION("SPLIT(I8098,""/"")"),1.0)</f>
        <v>1</v>
      </c>
      <c r="K8098" s="308">
        <f>IFERROR(__xludf.DUMMYFUNCTION("""COMPUTED_VALUE"""),3.0)</f>
        <v>3</v>
      </c>
      <c r="L8098" s="308">
        <f>IFERROR(__xludf.DUMMYFUNCTION("""COMPUTED_VALUE"""),2018.0)</f>
        <v>2018</v>
      </c>
      <c r="M8098" s="308" t="s">
        <v>31924</v>
      </c>
      <c r="N8098" s="308" t="s">
        <v>31925</v>
      </c>
      <c r="O8098" s="308"/>
      <c r="P8098" s="308" t="s">
        <v>136</v>
      </c>
      <c r="Q8098" s="308" t="s">
        <v>40115</v>
      </c>
      <c r="R8098" s="308" t="s">
        <v>2743</v>
      </c>
      <c r="S8098" s="315" t="s">
        <v>100</v>
      </c>
      <c r="T8098" s="308" t="s">
        <v>34208</v>
      </c>
      <c r="U8098" s="308" t="s">
        <v>31926</v>
      </c>
      <c r="V8098" s="308"/>
    </row>
    <row r="8099">
      <c r="A8099" s="308"/>
      <c r="B8099" s="308"/>
      <c r="C8099" s="308" t="s">
        <v>31927</v>
      </c>
      <c r="D8099" s="308">
        <f>IFERROR(__xludf.DUMMYFUNCTION("SPLIT(C8099,""-"")"),8119.0)</f>
        <v>8119</v>
      </c>
      <c r="E8099" s="308" t="str">
        <f>IFERROR(__xludf.DUMMYFUNCTION("""COMPUTED_VALUE"""),"S")</f>
        <v>S</v>
      </c>
      <c r="F8099" s="312" t="s">
        <v>39</v>
      </c>
      <c r="G8099" s="308"/>
      <c r="H8099" s="308" t="s">
        <v>31928</v>
      </c>
      <c r="I8099" s="310">
        <v>42862.0</v>
      </c>
      <c r="J8099" s="319">
        <f>IFERROR(__xludf.DUMMYFUNCTION("SPLIT(I8099,""/"")"),7.0)</f>
        <v>7</v>
      </c>
      <c r="K8099" s="308">
        <f>IFERROR(__xludf.DUMMYFUNCTION("""COMPUTED_VALUE"""),5.0)</f>
        <v>5</v>
      </c>
      <c r="L8099" s="308">
        <f>IFERROR(__xludf.DUMMYFUNCTION("""COMPUTED_VALUE"""),2017.0)</f>
        <v>2017</v>
      </c>
      <c r="M8099" s="308" t="s">
        <v>31929</v>
      </c>
      <c r="N8099" s="308" t="s">
        <v>31930</v>
      </c>
      <c r="O8099" s="308"/>
      <c r="P8099" s="308" t="s">
        <v>136</v>
      </c>
      <c r="Q8099" s="308" t="s">
        <v>40116</v>
      </c>
      <c r="R8099" s="308" t="s">
        <v>2743</v>
      </c>
      <c r="S8099" s="315" t="s">
        <v>100</v>
      </c>
      <c r="T8099" s="308" t="s">
        <v>34208</v>
      </c>
      <c r="U8099" s="308" t="s">
        <v>166</v>
      </c>
      <c r="V8099" s="308"/>
    </row>
    <row r="8100">
      <c r="A8100" s="308"/>
      <c r="B8100" s="308"/>
      <c r="C8100" s="308" t="s">
        <v>31931</v>
      </c>
      <c r="D8100" s="308">
        <f>IFERROR(__xludf.DUMMYFUNCTION("SPLIT(C8100,""-"")"),8120.0)</f>
        <v>8120</v>
      </c>
      <c r="E8100" s="308" t="str">
        <f>IFERROR(__xludf.DUMMYFUNCTION("""COMPUTED_VALUE"""),"K")</f>
        <v>K</v>
      </c>
      <c r="F8100" s="309" t="s">
        <v>34</v>
      </c>
      <c r="G8100" s="308"/>
      <c r="H8100" s="308" t="s">
        <v>31932</v>
      </c>
      <c r="I8100" s="310">
        <v>44393.0</v>
      </c>
      <c r="J8100" s="319">
        <f>IFERROR(__xludf.DUMMYFUNCTION("SPLIT(I8100,""/"")"),16.0)</f>
        <v>16</v>
      </c>
      <c r="K8100" s="308">
        <f>IFERROR(__xludf.DUMMYFUNCTION("""COMPUTED_VALUE"""),7.0)</f>
        <v>7</v>
      </c>
      <c r="L8100" s="308">
        <f>IFERROR(__xludf.DUMMYFUNCTION("""COMPUTED_VALUE"""),2021.0)</f>
        <v>2021</v>
      </c>
      <c r="M8100" s="308" t="s">
        <v>31933</v>
      </c>
      <c r="N8100" s="308" t="s">
        <v>31934</v>
      </c>
      <c r="O8100" s="308" t="s">
        <v>31935</v>
      </c>
      <c r="P8100" s="308" t="s">
        <v>31936</v>
      </c>
      <c r="Q8100" s="308" t="s">
        <v>40116</v>
      </c>
      <c r="R8100" s="308" t="s">
        <v>2743</v>
      </c>
      <c r="S8100" s="308" t="s">
        <v>81</v>
      </c>
      <c r="T8100" s="311" t="s">
        <v>96</v>
      </c>
      <c r="U8100" s="308" t="s">
        <v>2152</v>
      </c>
      <c r="V8100" s="308"/>
    </row>
    <row r="8101">
      <c r="A8101" s="308"/>
      <c r="B8101" s="308"/>
      <c r="C8101" s="308" t="s">
        <v>31937</v>
      </c>
      <c r="D8101" s="308">
        <f>IFERROR(__xludf.DUMMYFUNCTION("SPLIT(C8101,""-"")"),8121.0)</f>
        <v>8121</v>
      </c>
      <c r="E8101" s="308" t="str">
        <f>IFERROR(__xludf.DUMMYFUNCTION("""COMPUTED_VALUE"""),"K")</f>
        <v>K</v>
      </c>
      <c r="F8101" s="309" t="s">
        <v>34</v>
      </c>
      <c r="G8101" s="308"/>
      <c r="H8101" s="308" t="s">
        <v>31938</v>
      </c>
      <c r="I8101" s="310">
        <v>44393.0</v>
      </c>
      <c r="J8101" s="319">
        <f>IFERROR(__xludf.DUMMYFUNCTION("SPLIT(I8101,""/"")"),16.0)</f>
        <v>16</v>
      </c>
      <c r="K8101" s="308">
        <f>IFERROR(__xludf.DUMMYFUNCTION("""COMPUTED_VALUE"""),7.0)</f>
        <v>7</v>
      </c>
      <c r="L8101" s="308">
        <f>IFERROR(__xludf.DUMMYFUNCTION("""COMPUTED_VALUE"""),2021.0)</f>
        <v>2021</v>
      </c>
      <c r="M8101" s="308" t="s">
        <v>31939</v>
      </c>
      <c r="N8101" s="308" t="s">
        <v>31940</v>
      </c>
      <c r="O8101" s="308" t="s">
        <v>31935</v>
      </c>
      <c r="P8101" s="308" t="s">
        <v>31941</v>
      </c>
      <c r="Q8101" s="308" t="s">
        <v>40116</v>
      </c>
      <c r="R8101" s="308" t="s">
        <v>2743</v>
      </c>
      <c r="S8101" s="308" t="s">
        <v>81</v>
      </c>
      <c r="T8101" s="311" t="s">
        <v>91</v>
      </c>
      <c r="U8101" s="308" t="s">
        <v>2152</v>
      </c>
      <c r="V8101" s="308"/>
    </row>
    <row r="8102">
      <c r="A8102" s="308"/>
      <c r="B8102" s="308"/>
      <c r="C8102" s="308" t="s">
        <v>31942</v>
      </c>
      <c r="D8102" s="308">
        <f>IFERROR(__xludf.DUMMYFUNCTION("SPLIT(C8102,""-"")"),8122.0)</f>
        <v>8122</v>
      </c>
      <c r="E8102" s="308" t="str">
        <f>IFERROR(__xludf.DUMMYFUNCTION("""COMPUTED_VALUE"""),"B")</f>
        <v>B</v>
      </c>
      <c r="F8102" s="315" t="s">
        <v>26</v>
      </c>
      <c r="G8102" s="308"/>
      <c r="H8102" s="308" t="s">
        <v>31943</v>
      </c>
      <c r="I8102" s="310">
        <v>44275.0</v>
      </c>
      <c r="J8102" s="319">
        <f>IFERROR(__xludf.DUMMYFUNCTION("SPLIT(I8102,""/"")"),20.0)</f>
        <v>20</v>
      </c>
      <c r="K8102" s="308">
        <f>IFERROR(__xludf.DUMMYFUNCTION("""COMPUTED_VALUE"""),3.0)</f>
        <v>3</v>
      </c>
      <c r="L8102" s="308">
        <f>IFERROR(__xludf.DUMMYFUNCTION("""COMPUTED_VALUE"""),2021.0)</f>
        <v>2021</v>
      </c>
      <c r="M8102" s="308" t="s">
        <v>31944</v>
      </c>
      <c r="N8102" s="308" t="s">
        <v>31945</v>
      </c>
      <c r="O8102" s="308"/>
      <c r="P8102" s="308" t="s">
        <v>31946</v>
      </c>
      <c r="Q8102" s="308" t="s">
        <v>40117</v>
      </c>
      <c r="R8102" s="308" t="s">
        <v>2743</v>
      </c>
      <c r="S8102" s="308" t="s">
        <v>81</v>
      </c>
      <c r="T8102" s="308" t="s">
        <v>75</v>
      </c>
      <c r="U8102" s="308" t="s">
        <v>27</v>
      </c>
      <c r="V8102" s="308" t="s">
        <v>31947</v>
      </c>
    </row>
    <row r="8103">
      <c r="A8103" s="308"/>
      <c r="B8103" s="308"/>
      <c r="C8103" s="308" t="s">
        <v>31948</v>
      </c>
      <c r="D8103" s="308">
        <f>IFERROR(__xludf.DUMMYFUNCTION("SPLIT(C8103,""-"")"),8123.0)</f>
        <v>8123</v>
      </c>
      <c r="E8103" s="308" t="str">
        <f>IFERROR(__xludf.DUMMYFUNCTION("""COMPUTED_VALUE"""),"B")</f>
        <v>B</v>
      </c>
      <c r="F8103" s="315" t="s">
        <v>26</v>
      </c>
      <c r="G8103" s="308"/>
      <c r="H8103" s="308" t="s">
        <v>31949</v>
      </c>
      <c r="I8103" s="310">
        <v>44421.0</v>
      </c>
      <c r="J8103" s="319">
        <f>IFERROR(__xludf.DUMMYFUNCTION("SPLIT(I8103,""/"")"),13.0)</f>
        <v>13</v>
      </c>
      <c r="K8103" s="308">
        <f>IFERROR(__xludf.DUMMYFUNCTION("""COMPUTED_VALUE"""),8.0)</f>
        <v>8</v>
      </c>
      <c r="L8103" s="308">
        <f>IFERROR(__xludf.DUMMYFUNCTION("""COMPUTED_VALUE"""),2021.0)</f>
        <v>2021</v>
      </c>
      <c r="M8103" s="308" t="s">
        <v>31950</v>
      </c>
      <c r="N8103" s="308" t="s">
        <v>31951</v>
      </c>
      <c r="O8103" s="308"/>
      <c r="P8103" s="308" t="s">
        <v>40118</v>
      </c>
      <c r="Q8103" s="308" t="s">
        <v>40119</v>
      </c>
      <c r="R8103" s="308" t="s">
        <v>2743</v>
      </c>
      <c r="S8103" s="308" t="s">
        <v>81</v>
      </c>
      <c r="T8103" s="311" t="s">
        <v>51</v>
      </c>
      <c r="U8103" s="308" t="s">
        <v>27</v>
      </c>
      <c r="V8103" s="308" t="s">
        <v>31953</v>
      </c>
    </row>
    <row r="8104">
      <c r="A8104" s="308"/>
      <c r="B8104" s="308"/>
      <c r="C8104" s="308" t="s">
        <v>31954</v>
      </c>
      <c r="D8104" s="308">
        <f>IFERROR(__xludf.DUMMYFUNCTION("SPLIT(C8104,""-"")"),8124.0)</f>
        <v>8124</v>
      </c>
      <c r="E8104" s="308" t="str">
        <f>IFERROR(__xludf.DUMMYFUNCTION("""COMPUTED_VALUE"""),"B")</f>
        <v>B</v>
      </c>
      <c r="F8104" s="315" t="s">
        <v>26</v>
      </c>
      <c r="G8104" s="308"/>
      <c r="H8104" s="308" t="s">
        <v>31955</v>
      </c>
      <c r="I8104" s="310">
        <v>44347.0</v>
      </c>
      <c r="J8104" s="319">
        <f>IFERROR(__xludf.DUMMYFUNCTION("SPLIT(I8104,""/"")"),31.0)</f>
        <v>31</v>
      </c>
      <c r="K8104" s="308">
        <f>IFERROR(__xludf.DUMMYFUNCTION("""COMPUTED_VALUE"""),5.0)</f>
        <v>5</v>
      </c>
      <c r="L8104" s="308">
        <f>IFERROR(__xludf.DUMMYFUNCTION("""COMPUTED_VALUE"""),2021.0)</f>
        <v>2021</v>
      </c>
      <c r="M8104" s="308" t="s">
        <v>31956</v>
      </c>
      <c r="N8104" s="308" t="s">
        <v>31957</v>
      </c>
      <c r="O8104" s="308"/>
      <c r="P8104" s="308" t="s">
        <v>136</v>
      </c>
      <c r="Q8104" s="308" t="s">
        <v>40119</v>
      </c>
      <c r="R8104" s="308" t="s">
        <v>2743</v>
      </c>
      <c r="S8104" s="315" t="s">
        <v>100</v>
      </c>
      <c r="T8104" s="308" t="s">
        <v>34208</v>
      </c>
      <c r="U8104" s="308" t="s">
        <v>27</v>
      </c>
      <c r="V8104" s="308"/>
    </row>
    <row r="8105">
      <c r="A8105" s="308"/>
      <c r="B8105" s="308"/>
      <c r="C8105" s="308" t="s">
        <v>31958</v>
      </c>
      <c r="D8105" s="308">
        <f>IFERROR(__xludf.DUMMYFUNCTION("SPLIT(C8105,""-"")"),8125.0)</f>
        <v>8125</v>
      </c>
      <c r="E8105" s="308" t="str">
        <f>IFERROR(__xludf.DUMMYFUNCTION("""COMPUTED_VALUE"""),"B")</f>
        <v>B</v>
      </c>
      <c r="F8105" s="315" t="s">
        <v>26</v>
      </c>
      <c r="G8105" s="308"/>
      <c r="H8105" s="308" t="s">
        <v>31959</v>
      </c>
      <c r="I8105" s="310">
        <v>44402.0</v>
      </c>
      <c r="J8105" s="319">
        <f>IFERROR(__xludf.DUMMYFUNCTION("SPLIT(I8105,""/"")"),25.0)</f>
        <v>25</v>
      </c>
      <c r="K8105" s="308">
        <f>IFERROR(__xludf.DUMMYFUNCTION("""COMPUTED_VALUE"""),7.0)</f>
        <v>7</v>
      </c>
      <c r="L8105" s="308">
        <f>IFERROR(__xludf.DUMMYFUNCTION("""COMPUTED_VALUE"""),2021.0)</f>
        <v>2021</v>
      </c>
      <c r="M8105" s="308" t="s">
        <v>31956</v>
      </c>
      <c r="N8105" s="308" t="s">
        <v>31960</v>
      </c>
      <c r="O8105" s="308"/>
      <c r="P8105" s="308" t="s">
        <v>136</v>
      </c>
      <c r="Q8105" s="308" t="s">
        <v>40119</v>
      </c>
      <c r="R8105" s="308" t="s">
        <v>2743</v>
      </c>
      <c r="S8105" s="315" t="s">
        <v>100</v>
      </c>
      <c r="T8105" s="308" t="s">
        <v>34208</v>
      </c>
      <c r="U8105" s="308" t="s">
        <v>27</v>
      </c>
      <c r="V8105" s="308"/>
    </row>
    <row r="8106">
      <c r="A8106" s="308"/>
      <c r="B8106" s="308"/>
      <c r="C8106" s="308" t="s">
        <v>31961</v>
      </c>
      <c r="D8106" s="308">
        <f>IFERROR(__xludf.DUMMYFUNCTION("SPLIT(C8106,""-"")"),8126.0)</f>
        <v>8126</v>
      </c>
      <c r="E8106" s="308" t="str">
        <f>IFERROR(__xludf.DUMMYFUNCTION("""COMPUTED_VALUE"""),"S")</f>
        <v>S</v>
      </c>
      <c r="F8106" s="312" t="s">
        <v>39</v>
      </c>
      <c r="G8106" s="308"/>
      <c r="H8106" s="308" t="s">
        <v>31962</v>
      </c>
      <c r="I8106" s="310">
        <v>44419.0</v>
      </c>
      <c r="J8106" s="319">
        <f>IFERROR(__xludf.DUMMYFUNCTION("SPLIT(I8106,""/"")"),11.0)</f>
        <v>11</v>
      </c>
      <c r="K8106" s="308">
        <f>IFERROR(__xludf.DUMMYFUNCTION("""COMPUTED_VALUE"""),8.0)</f>
        <v>8</v>
      </c>
      <c r="L8106" s="308">
        <f>IFERROR(__xludf.DUMMYFUNCTION("""COMPUTED_VALUE"""),2021.0)</f>
        <v>2021</v>
      </c>
      <c r="M8106" s="308" t="s">
        <v>31963</v>
      </c>
      <c r="N8106" s="308" t="s">
        <v>31964</v>
      </c>
      <c r="O8106" s="308"/>
      <c r="P8106" s="308" t="s">
        <v>40120</v>
      </c>
      <c r="Q8106" s="308" t="s">
        <v>40119</v>
      </c>
      <c r="R8106" s="308" t="s">
        <v>2743</v>
      </c>
      <c r="S8106" s="308" t="s">
        <v>81</v>
      </c>
      <c r="T8106" s="308" t="s">
        <v>75</v>
      </c>
      <c r="U8106" s="308" t="s">
        <v>166</v>
      </c>
      <c r="V8106" s="308"/>
    </row>
    <row r="8107">
      <c r="A8107" s="308"/>
      <c r="B8107" s="308"/>
      <c r="C8107" s="308" t="s">
        <v>31966</v>
      </c>
      <c r="D8107" s="308">
        <f>IFERROR(__xludf.DUMMYFUNCTION("SPLIT(C8107,""-"")"),8127.0)</f>
        <v>8127</v>
      </c>
      <c r="E8107" s="308" t="str">
        <f>IFERROR(__xludf.DUMMYFUNCTION("""COMPUTED_VALUE"""),"S")</f>
        <v>S</v>
      </c>
      <c r="F8107" s="312" t="s">
        <v>39</v>
      </c>
      <c r="G8107" s="308"/>
      <c r="H8107" s="308" t="s">
        <v>31967</v>
      </c>
      <c r="I8107" s="310">
        <v>43963.0</v>
      </c>
      <c r="J8107" s="319">
        <f>IFERROR(__xludf.DUMMYFUNCTION("SPLIT(I8107,""/"")"),12.0)</f>
        <v>12</v>
      </c>
      <c r="K8107" s="308">
        <f>IFERROR(__xludf.DUMMYFUNCTION("""COMPUTED_VALUE"""),5.0)</f>
        <v>5</v>
      </c>
      <c r="L8107" s="308">
        <f>IFERROR(__xludf.DUMMYFUNCTION("""COMPUTED_VALUE"""),2020.0)</f>
        <v>2020</v>
      </c>
      <c r="M8107" s="308" t="s">
        <v>31968</v>
      </c>
      <c r="N8107" s="308" t="s">
        <v>439</v>
      </c>
      <c r="O8107" s="308"/>
      <c r="P8107" s="308" t="s">
        <v>40121</v>
      </c>
      <c r="Q8107" s="308" t="s">
        <v>40119</v>
      </c>
      <c r="R8107" s="308" t="s">
        <v>2743</v>
      </c>
      <c r="S8107" s="308" t="s">
        <v>49</v>
      </c>
      <c r="T8107" s="308" t="s">
        <v>51</v>
      </c>
      <c r="U8107" s="308" t="s">
        <v>166</v>
      </c>
      <c r="V8107" s="308"/>
    </row>
    <row r="8108">
      <c r="A8108" s="308"/>
      <c r="B8108" s="308"/>
      <c r="C8108" s="308" t="s">
        <v>31970</v>
      </c>
      <c r="D8108" s="308">
        <f>IFERROR(__xludf.DUMMYFUNCTION("SPLIT(C8108,""-"")"),8128.0)</f>
        <v>8128</v>
      </c>
      <c r="E8108" s="308" t="str">
        <f>IFERROR(__xludf.DUMMYFUNCTION("""COMPUTED_VALUE"""),"P")</f>
        <v>P</v>
      </c>
      <c r="F8108" s="312" t="s">
        <v>37</v>
      </c>
      <c r="G8108" s="308"/>
      <c r="H8108" s="308" t="s">
        <v>31971</v>
      </c>
      <c r="I8108" s="310">
        <v>44414.0</v>
      </c>
      <c r="J8108" s="319">
        <f>IFERROR(__xludf.DUMMYFUNCTION("SPLIT(I8108,""/"")"),6.0)</f>
        <v>6</v>
      </c>
      <c r="K8108" s="308">
        <f>IFERROR(__xludf.DUMMYFUNCTION("""COMPUTED_VALUE"""),8.0)</f>
        <v>8</v>
      </c>
      <c r="L8108" s="308">
        <f>IFERROR(__xludf.DUMMYFUNCTION("""COMPUTED_VALUE"""),2021.0)</f>
        <v>2021</v>
      </c>
      <c r="M8108" s="308" t="s">
        <v>31972</v>
      </c>
      <c r="N8108" s="308" t="s">
        <v>31973</v>
      </c>
      <c r="O8108" s="308"/>
      <c r="P8108" s="308" t="s">
        <v>40122</v>
      </c>
      <c r="Q8108" s="308" t="s">
        <v>40123</v>
      </c>
      <c r="R8108" s="308" t="s">
        <v>2743</v>
      </c>
      <c r="S8108" s="308" t="s">
        <v>81</v>
      </c>
      <c r="T8108" s="311" t="s">
        <v>51</v>
      </c>
      <c r="U8108" s="308" t="s">
        <v>143</v>
      </c>
      <c r="V8108" s="308"/>
    </row>
    <row r="8109">
      <c r="A8109" s="308"/>
      <c r="B8109" s="308"/>
      <c r="C8109" s="308" t="s">
        <v>31975</v>
      </c>
      <c r="D8109" s="308">
        <f>IFERROR(__xludf.DUMMYFUNCTION("SPLIT(C8109,""-"")"),8129.0)</f>
        <v>8129</v>
      </c>
      <c r="E8109" s="308" t="str">
        <f>IFERROR(__xludf.DUMMYFUNCTION("""COMPUTED_VALUE"""),"P")</f>
        <v>P</v>
      </c>
      <c r="F8109" s="312" t="s">
        <v>37</v>
      </c>
      <c r="G8109" s="308"/>
      <c r="H8109" s="308" t="s">
        <v>31976</v>
      </c>
      <c r="I8109" s="310">
        <v>41150.0</v>
      </c>
      <c r="J8109" s="319">
        <f>IFERROR(__xludf.DUMMYFUNCTION("SPLIT(I8109,""/"")"),29.0)</f>
        <v>29</v>
      </c>
      <c r="K8109" s="308">
        <f>IFERROR(__xludf.DUMMYFUNCTION("""COMPUTED_VALUE"""),8.0)</f>
        <v>8</v>
      </c>
      <c r="L8109" s="308">
        <f>IFERROR(__xludf.DUMMYFUNCTION("""COMPUTED_VALUE"""),2012.0)</f>
        <v>2012</v>
      </c>
      <c r="M8109" s="308" t="s">
        <v>31977</v>
      </c>
      <c r="N8109" s="308" t="s">
        <v>31978</v>
      </c>
      <c r="O8109" s="308"/>
      <c r="P8109" s="308" t="s">
        <v>136</v>
      </c>
      <c r="Q8109" s="308" t="s">
        <v>40123</v>
      </c>
      <c r="R8109" s="308" t="s">
        <v>2743</v>
      </c>
      <c r="S8109" s="315" t="s">
        <v>100</v>
      </c>
      <c r="T8109" s="308" t="s">
        <v>34208</v>
      </c>
      <c r="U8109" s="308" t="s">
        <v>13303</v>
      </c>
      <c r="V8109" s="308"/>
    </row>
    <row r="8110">
      <c r="A8110" s="308"/>
      <c r="B8110" s="308"/>
      <c r="C8110" s="308" t="s">
        <v>31979</v>
      </c>
      <c r="D8110" s="308">
        <f>IFERROR(__xludf.DUMMYFUNCTION("SPLIT(C8110,""-"")"),8130.0)</f>
        <v>8130</v>
      </c>
      <c r="E8110" s="308" t="str">
        <f>IFERROR(__xludf.DUMMYFUNCTION("""COMPUTED_VALUE"""),"K")</f>
        <v>K</v>
      </c>
      <c r="F8110" s="309" t="s">
        <v>34</v>
      </c>
      <c r="G8110" s="308"/>
      <c r="H8110" s="308" t="s">
        <v>31980</v>
      </c>
      <c r="I8110" s="310">
        <v>42025.0</v>
      </c>
      <c r="J8110" s="319">
        <f>IFERROR(__xludf.DUMMYFUNCTION("SPLIT(I8110,""/"")"),21.0)</f>
        <v>21</v>
      </c>
      <c r="K8110" s="308">
        <f>IFERROR(__xludf.DUMMYFUNCTION("""COMPUTED_VALUE"""),1.0)</f>
        <v>1</v>
      </c>
      <c r="L8110" s="308">
        <f>IFERROR(__xludf.DUMMYFUNCTION("""COMPUTED_VALUE"""),2015.0)</f>
        <v>2015</v>
      </c>
      <c r="M8110" s="308" t="s">
        <v>31981</v>
      </c>
      <c r="N8110" s="308" t="s">
        <v>439</v>
      </c>
      <c r="O8110" s="308"/>
      <c r="P8110" s="308" t="s">
        <v>136</v>
      </c>
      <c r="Q8110" s="308" t="s">
        <v>40124</v>
      </c>
      <c r="R8110" s="308" t="s">
        <v>2743</v>
      </c>
      <c r="S8110" s="315" t="s">
        <v>100</v>
      </c>
      <c r="T8110" s="308" t="s">
        <v>34208</v>
      </c>
      <c r="U8110" s="308" t="s">
        <v>13085</v>
      </c>
      <c r="V8110" s="308"/>
    </row>
    <row r="8111">
      <c r="A8111" s="308"/>
      <c r="B8111" s="308"/>
      <c r="C8111" s="308" t="s">
        <v>31982</v>
      </c>
      <c r="D8111" s="308">
        <f>IFERROR(__xludf.DUMMYFUNCTION("SPLIT(C8111,""-"")"),8131.0)</f>
        <v>8131</v>
      </c>
      <c r="E8111" s="308" t="str">
        <f>IFERROR(__xludf.DUMMYFUNCTION("""COMPUTED_VALUE"""),"K")</f>
        <v>K</v>
      </c>
      <c r="F8111" s="309" t="s">
        <v>34</v>
      </c>
      <c r="G8111" s="308"/>
      <c r="H8111" s="308" t="s">
        <v>31983</v>
      </c>
      <c r="I8111" s="310">
        <v>42023.0</v>
      </c>
      <c r="J8111" s="319">
        <f>IFERROR(__xludf.DUMMYFUNCTION("SPLIT(I8111,""/"")"),19.0)</f>
        <v>19</v>
      </c>
      <c r="K8111" s="308">
        <f>IFERROR(__xludf.DUMMYFUNCTION("""COMPUTED_VALUE"""),1.0)</f>
        <v>1</v>
      </c>
      <c r="L8111" s="308">
        <f>IFERROR(__xludf.DUMMYFUNCTION("""COMPUTED_VALUE"""),2015.0)</f>
        <v>2015</v>
      </c>
      <c r="M8111" s="308" t="s">
        <v>31984</v>
      </c>
      <c r="N8111" s="308" t="s">
        <v>31985</v>
      </c>
      <c r="O8111" s="308"/>
      <c r="P8111" s="308" t="s">
        <v>136</v>
      </c>
      <c r="Q8111" s="308" t="s">
        <v>40124</v>
      </c>
      <c r="R8111" s="308" t="s">
        <v>2743</v>
      </c>
      <c r="S8111" s="315" t="s">
        <v>100</v>
      </c>
      <c r="T8111" s="308" t="s">
        <v>34208</v>
      </c>
      <c r="U8111" s="308" t="s">
        <v>13085</v>
      </c>
      <c r="V8111" s="308"/>
    </row>
    <row r="8112">
      <c r="A8112" s="308"/>
      <c r="B8112" s="308"/>
      <c r="C8112" s="308" t="s">
        <v>31986</v>
      </c>
      <c r="D8112" s="308">
        <f>IFERROR(__xludf.DUMMYFUNCTION("SPLIT(C8112,""-"")"),8132.0)</f>
        <v>8132</v>
      </c>
      <c r="E8112" s="308" t="str">
        <f>IFERROR(__xludf.DUMMYFUNCTION("""COMPUTED_VALUE"""),"P")</f>
        <v>P</v>
      </c>
      <c r="F8112" s="312" t="s">
        <v>37</v>
      </c>
      <c r="G8112" s="308"/>
      <c r="H8112" s="308" t="s">
        <v>31987</v>
      </c>
      <c r="I8112" s="310">
        <v>44391.0</v>
      </c>
      <c r="J8112" s="319">
        <f>IFERROR(__xludf.DUMMYFUNCTION("SPLIT(I8112,""/"")"),14.0)</f>
        <v>14</v>
      </c>
      <c r="K8112" s="308">
        <f>IFERROR(__xludf.DUMMYFUNCTION("""COMPUTED_VALUE"""),7.0)</f>
        <v>7</v>
      </c>
      <c r="L8112" s="308">
        <f>IFERROR(__xludf.DUMMYFUNCTION("""COMPUTED_VALUE"""),2021.0)</f>
        <v>2021</v>
      </c>
      <c r="M8112" s="308" t="s">
        <v>31988</v>
      </c>
      <c r="N8112" s="308" t="s">
        <v>31989</v>
      </c>
      <c r="O8112" s="308"/>
      <c r="P8112" s="308" t="s">
        <v>40125</v>
      </c>
      <c r="Q8112" s="308" t="s">
        <v>40124</v>
      </c>
      <c r="R8112" s="308" t="s">
        <v>2743</v>
      </c>
      <c r="S8112" s="308" t="s">
        <v>81</v>
      </c>
      <c r="T8112" s="308" t="s">
        <v>73</v>
      </c>
      <c r="U8112" s="308" t="s">
        <v>1435</v>
      </c>
      <c r="V8112" s="308"/>
    </row>
    <row r="8113">
      <c r="A8113" s="308"/>
      <c r="B8113" s="308"/>
      <c r="C8113" s="308" t="s">
        <v>31991</v>
      </c>
      <c r="D8113" s="308">
        <f>IFERROR(__xludf.DUMMYFUNCTION("SPLIT(C8113,""-"")"),8133.0)</f>
        <v>8133</v>
      </c>
      <c r="E8113" s="308" t="str">
        <f>IFERROR(__xludf.DUMMYFUNCTION("""COMPUTED_VALUE"""),"P")</f>
        <v>P</v>
      </c>
      <c r="F8113" s="312" t="s">
        <v>37</v>
      </c>
      <c r="G8113" s="308"/>
      <c r="H8113" s="308" t="s">
        <v>31992</v>
      </c>
      <c r="I8113" s="310">
        <v>44391.0</v>
      </c>
      <c r="J8113" s="319">
        <f>IFERROR(__xludf.DUMMYFUNCTION("SPLIT(I8113,""/"")"),14.0)</f>
        <v>14</v>
      </c>
      <c r="K8113" s="308">
        <f>IFERROR(__xludf.DUMMYFUNCTION("""COMPUTED_VALUE"""),7.0)</f>
        <v>7</v>
      </c>
      <c r="L8113" s="308">
        <f>IFERROR(__xludf.DUMMYFUNCTION("""COMPUTED_VALUE"""),2021.0)</f>
        <v>2021</v>
      </c>
      <c r="M8113" s="308" t="s">
        <v>31993</v>
      </c>
      <c r="N8113" s="308" t="s">
        <v>31994</v>
      </c>
      <c r="O8113" s="308"/>
      <c r="P8113" s="308" t="s">
        <v>40126</v>
      </c>
      <c r="Q8113" s="308" t="s">
        <v>40124</v>
      </c>
      <c r="R8113" s="308" t="s">
        <v>2743</v>
      </c>
      <c r="S8113" s="308" t="s">
        <v>81</v>
      </c>
      <c r="T8113" s="308" t="s">
        <v>73</v>
      </c>
      <c r="U8113" s="308" t="s">
        <v>1435</v>
      </c>
      <c r="V8113" s="308"/>
    </row>
    <row r="8114">
      <c r="A8114" s="308"/>
      <c r="B8114" s="308"/>
      <c r="C8114" s="308" t="s">
        <v>31996</v>
      </c>
      <c r="D8114" s="308">
        <f>IFERROR(__xludf.DUMMYFUNCTION("SPLIT(C8114,""-"")"),8134.0)</f>
        <v>8134</v>
      </c>
      <c r="E8114" s="308" t="str">
        <f>IFERROR(__xludf.DUMMYFUNCTION("""COMPUTED_VALUE"""),"K")</f>
        <v>K</v>
      </c>
      <c r="F8114" s="309" t="s">
        <v>34</v>
      </c>
      <c r="G8114" s="308"/>
      <c r="H8114" s="308" t="s">
        <v>31997</v>
      </c>
      <c r="I8114" s="310">
        <v>43647.0</v>
      </c>
      <c r="J8114" s="319">
        <f>IFERROR(__xludf.DUMMYFUNCTION("SPLIT(I8114,""/"")"),1.0)</f>
        <v>1</v>
      </c>
      <c r="K8114" s="308">
        <f>IFERROR(__xludf.DUMMYFUNCTION("""COMPUTED_VALUE"""),7.0)</f>
        <v>7</v>
      </c>
      <c r="L8114" s="308">
        <f>IFERROR(__xludf.DUMMYFUNCTION("""COMPUTED_VALUE"""),2019.0)</f>
        <v>2019</v>
      </c>
      <c r="M8114" s="308" t="s">
        <v>31998</v>
      </c>
      <c r="N8114" s="308" t="s">
        <v>31999</v>
      </c>
      <c r="O8114" s="308"/>
      <c r="P8114" s="308" t="s">
        <v>40127</v>
      </c>
      <c r="Q8114" s="308" t="s">
        <v>40124</v>
      </c>
      <c r="R8114" s="308" t="s">
        <v>2743</v>
      </c>
      <c r="S8114" s="308" t="s">
        <v>81</v>
      </c>
      <c r="T8114" s="308" t="s">
        <v>34264</v>
      </c>
      <c r="U8114" s="308" t="s">
        <v>201</v>
      </c>
      <c r="V8114" s="308"/>
    </row>
    <row r="8115">
      <c r="A8115" s="308"/>
      <c r="B8115" s="308"/>
      <c r="C8115" s="308" t="s">
        <v>32001</v>
      </c>
      <c r="D8115" s="308">
        <f>IFERROR(__xludf.DUMMYFUNCTION("SPLIT(C8115,""-"")"),8135.0)</f>
        <v>8135</v>
      </c>
      <c r="E8115" s="308" t="str">
        <f>IFERROR(__xludf.DUMMYFUNCTION("""COMPUTED_VALUE"""),"B")</f>
        <v>B</v>
      </c>
      <c r="F8115" s="315" t="s">
        <v>26</v>
      </c>
      <c r="G8115" s="308"/>
      <c r="H8115" s="308" t="s">
        <v>32002</v>
      </c>
      <c r="I8115" s="310">
        <v>44375.0</v>
      </c>
      <c r="J8115" s="319">
        <f>IFERROR(__xludf.DUMMYFUNCTION("SPLIT(I8115,""/"")"),28.0)</f>
        <v>28</v>
      </c>
      <c r="K8115" s="308">
        <f>IFERROR(__xludf.DUMMYFUNCTION("""COMPUTED_VALUE"""),6.0)</f>
        <v>6</v>
      </c>
      <c r="L8115" s="308">
        <f>IFERROR(__xludf.DUMMYFUNCTION("""COMPUTED_VALUE"""),2021.0)</f>
        <v>2021</v>
      </c>
      <c r="M8115" s="308" t="s">
        <v>32003</v>
      </c>
      <c r="N8115" s="308" t="s">
        <v>32004</v>
      </c>
      <c r="O8115" s="308"/>
      <c r="P8115" s="308" t="s">
        <v>32005</v>
      </c>
      <c r="Q8115" s="308" t="s">
        <v>40124</v>
      </c>
      <c r="R8115" s="308" t="s">
        <v>2743</v>
      </c>
      <c r="S8115" s="308" t="s">
        <v>81</v>
      </c>
      <c r="T8115" s="308" t="s">
        <v>75</v>
      </c>
      <c r="U8115" s="308" t="s">
        <v>27</v>
      </c>
      <c r="V8115" s="308"/>
    </row>
    <row r="8116">
      <c r="A8116" s="308"/>
      <c r="B8116" s="308"/>
      <c r="C8116" s="308" t="s">
        <v>32006</v>
      </c>
      <c r="D8116" s="308">
        <f>IFERROR(__xludf.DUMMYFUNCTION("SPLIT(C8116,""-"")"),8136.0)</f>
        <v>8136</v>
      </c>
      <c r="E8116" s="308" t="str">
        <f>IFERROR(__xludf.DUMMYFUNCTION("""COMPUTED_VALUE"""),"S")</f>
        <v>S</v>
      </c>
      <c r="F8116" s="312" t="s">
        <v>39</v>
      </c>
      <c r="G8116" s="308"/>
      <c r="H8116" s="308" t="s">
        <v>32007</v>
      </c>
      <c r="I8116" s="310">
        <v>44434.0</v>
      </c>
      <c r="J8116" s="319">
        <f>IFERROR(__xludf.DUMMYFUNCTION("SPLIT(I8116,""/"")"),26.0)</f>
        <v>26</v>
      </c>
      <c r="K8116" s="308">
        <f>IFERROR(__xludf.DUMMYFUNCTION("""COMPUTED_VALUE"""),8.0)</f>
        <v>8</v>
      </c>
      <c r="L8116" s="308">
        <f>IFERROR(__xludf.DUMMYFUNCTION("""COMPUTED_VALUE"""),2021.0)</f>
        <v>2021</v>
      </c>
      <c r="M8116" s="308" t="s">
        <v>32008</v>
      </c>
      <c r="N8116" s="308" t="s">
        <v>32009</v>
      </c>
      <c r="O8116" s="308"/>
      <c r="P8116" s="308" t="s">
        <v>136</v>
      </c>
      <c r="Q8116" s="308" t="s">
        <v>40128</v>
      </c>
      <c r="R8116" s="308" t="s">
        <v>31554</v>
      </c>
      <c r="S8116" s="315" t="s">
        <v>100</v>
      </c>
      <c r="T8116" s="308" t="s">
        <v>34208</v>
      </c>
      <c r="U8116" s="308" t="s">
        <v>166</v>
      </c>
      <c r="V8116" s="308"/>
    </row>
    <row r="8117">
      <c r="A8117" s="308"/>
      <c r="B8117" s="308"/>
      <c r="C8117" s="308" t="s">
        <v>32010</v>
      </c>
      <c r="D8117" s="308">
        <f>IFERROR(__xludf.DUMMYFUNCTION("SPLIT(C8117,""-"")"),8137.0)</f>
        <v>8137</v>
      </c>
      <c r="E8117" s="308" t="str">
        <f>IFERROR(__xludf.DUMMYFUNCTION("""COMPUTED_VALUE"""),"K")</f>
        <v>K</v>
      </c>
      <c r="F8117" s="309" t="s">
        <v>34</v>
      </c>
      <c r="G8117" s="308"/>
      <c r="H8117" s="308" t="s">
        <v>32011</v>
      </c>
      <c r="I8117" s="310">
        <v>43901.0</v>
      </c>
      <c r="J8117" s="319">
        <f>IFERROR(__xludf.DUMMYFUNCTION("SPLIT(I8117,""/"")"),11.0)</f>
        <v>11</v>
      </c>
      <c r="K8117" s="308">
        <f>IFERROR(__xludf.DUMMYFUNCTION("""COMPUTED_VALUE"""),3.0)</f>
        <v>3</v>
      </c>
      <c r="L8117" s="308">
        <f>IFERROR(__xludf.DUMMYFUNCTION("""COMPUTED_VALUE"""),2020.0)</f>
        <v>2020</v>
      </c>
      <c r="M8117" s="308" t="s">
        <v>32012</v>
      </c>
      <c r="N8117" s="308" t="s">
        <v>32013</v>
      </c>
      <c r="O8117" s="308"/>
      <c r="P8117" s="308" t="s">
        <v>32014</v>
      </c>
      <c r="Q8117" s="308" t="s">
        <v>40128</v>
      </c>
      <c r="R8117" s="308" t="s">
        <v>2743</v>
      </c>
      <c r="S8117" s="308" t="s">
        <v>81</v>
      </c>
      <c r="T8117" s="308" t="s">
        <v>75</v>
      </c>
      <c r="U8117" s="308" t="s">
        <v>2466</v>
      </c>
      <c r="V8117" s="308"/>
    </row>
    <row r="8118">
      <c r="A8118" s="308"/>
      <c r="B8118" s="308"/>
      <c r="C8118" s="308" t="s">
        <v>32015</v>
      </c>
      <c r="D8118" s="308">
        <f>IFERROR(__xludf.DUMMYFUNCTION("SPLIT(C8118,""-"")"),8138.0)</f>
        <v>8138</v>
      </c>
      <c r="E8118" s="308" t="str">
        <f>IFERROR(__xludf.DUMMYFUNCTION("""COMPUTED_VALUE"""),"K")</f>
        <v>K</v>
      </c>
      <c r="F8118" s="309" t="s">
        <v>34</v>
      </c>
      <c r="G8118" s="308"/>
      <c r="H8118" s="308" t="s">
        <v>32016</v>
      </c>
      <c r="I8118" s="322"/>
      <c r="J8118" s="319"/>
      <c r="K8118" s="308"/>
      <c r="L8118" s="311" t="s">
        <v>79</v>
      </c>
      <c r="M8118" s="308" t="s">
        <v>32017</v>
      </c>
      <c r="N8118" s="308" t="s">
        <v>439</v>
      </c>
      <c r="O8118" s="308"/>
      <c r="P8118" s="308" t="s">
        <v>40129</v>
      </c>
      <c r="Q8118" s="308" t="s">
        <v>40128</v>
      </c>
      <c r="R8118" s="308" t="s">
        <v>2743</v>
      </c>
      <c r="S8118" s="308" t="s">
        <v>81</v>
      </c>
      <c r="T8118" s="308" t="s">
        <v>34264</v>
      </c>
      <c r="U8118" s="308" t="s">
        <v>27994</v>
      </c>
      <c r="V8118" s="308"/>
    </row>
    <row r="8119">
      <c r="A8119" s="308"/>
      <c r="B8119" s="308"/>
      <c r="C8119" s="308" t="s">
        <v>32019</v>
      </c>
      <c r="D8119" s="308">
        <f>IFERROR(__xludf.DUMMYFUNCTION("SPLIT(C8119,""-"")"),8139.0)</f>
        <v>8139</v>
      </c>
      <c r="E8119" s="308" t="str">
        <f>IFERROR(__xludf.DUMMYFUNCTION("""COMPUTED_VALUE"""),"B")</f>
        <v>B</v>
      </c>
      <c r="F8119" s="315" t="s">
        <v>26</v>
      </c>
      <c r="G8119" s="308"/>
      <c r="H8119" s="308" t="s">
        <v>32020</v>
      </c>
      <c r="I8119" s="310">
        <v>42416.0</v>
      </c>
      <c r="J8119" s="319">
        <f>IFERROR(__xludf.DUMMYFUNCTION("SPLIT(I8119,""/"")"),16.0)</f>
        <v>16</v>
      </c>
      <c r="K8119" s="308">
        <f>IFERROR(__xludf.DUMMYFUNCTION("""COMPUTED_VALUE"""),2.0)</f>
        <v>2</v>
      </c>
      <c r="L8119" s="308">
        <f>IFERROR(__xludf.DUMMYFUNCTION("""COMPUTED_VALUE"""),2016.0)</f>
        <v>2016</v>
      </c>
      <c r="M8119" s="308" t="s">
        <v>32021</v>
      </c>
      <c r="N8119" s="308" t="s">
        <v>32022</v>
      </c>
      <c r="O8119" s="308"/>
      <c r="P8119" s="308" t="s">
        <v>136</v>
      </c>
      <c r="Q8119" s="308" t="s">
        <v>40128</v>
      </c>
      <c r="R8119" s="308" t="s">
        <v>2743</v>
      </c>
      <c r="S8119" s="315" t="s">
        <v>100</v>
      </c>
      <c r="T8119" s="308" t="s">
        <v>34208</v>
      </c>
      <c r="U8119" s="308" t="s">
        <v>27</v>
      </c>
      <c r="V8119" s="308"/>
    </row>
    <row r="8120">
      <c r="A8120" s="308"/>
      <c r="B8120" s="308"/>
      <c r="C8120" s="308" t="s">
        <v>32023</v>
      </c>
      <c r="D8120" s="308">
        <f>IFERROR(__xludf.DUMMYFUNCTION("SPLIT(C8120,""-"")"),8140.0)</f>
        <v>8140</v>
      </c>
      <c r="E8120" s="308" t="str">
        <f>IFERROR(__xludf.DUMMYFUNCTION("""COMPUTED_VALUE"""),"S")</f>
        <v>S</v>
      </c>
      <c r="F8120" s="312" t="s">
        <v>39</v>
      </c>
      <c r="G8120" s="308"/>
      <c r="H8120" s="308" t="s">
        <v>32024</v>
      </c>
      <c r="I8120" s="310">
        <v>44350.0</v>
      </c>
      <c r="J8120" s="319">
        <f>IFERROR(__xludf.DUMMYFUNCTION("SPLIT(I8120,""/"")"),3.0)</f>
        <v>3</v>
      </c>
      <c r="K8120" s="308">
        <f>IFERROR(__xludf.DUMMYFUNCTION("""COMPUTED_VALUE"""),6.0)</f>
        <v>6</v>
      </c>
      <c r="L8120" s="308">
        <f>IFERROR(__xludf.DUMMYFUNCTION("""COMPUTED_VALUE"""),2021.0)</f>
        <v>2021</v>
      </c>
      <c r="M8120" s="308" t="s">
        <v>32025</v>
      </c>
      <c r="N8120" s="308" t="s">
        <v>40130</v>
      </c>
      <c r="O8120" s="308"/>
      <c r="P8120" s="308" t="s">
        <v>136</v>
      </c>
      <c r="Q8120" s="308" t="s">
        <v>40131</v>
      </c>
      <c r="R8120" s="308" t="s">
        <v>2743</v>
      </c>
      <c r="S8120" s="315" t="s">
        <v>100</v>
      </c>
      <c r="T8120" s="308" t="s">
        <v>34208</v>
      </c>
      <c r="U8120" s="308" t="s">
        <v>166</v>
      </c>
      <c r="V8120" s="308"/>
    </row>
    <row r="8121">
      <c r="A8121" s="308"/>
      <c r="B8121" s="308"/>
      <c r="C8121" s="308" t="s">
        <v>32027</v>
      </c>
      <c r="D8121" s="308">
        <f>IFERROR(__xludf.DUMMYFUNCTION("SPLIT(C8121,""-"")"),8141.0)</f>
        <v>8141</v>
      </c>
      <c r="E8121" s="308" t="str">
        <f>IFERROR(__xludf.DUMMYFUNCTION("""COMPUTED_VALUE"""),"S")</f>
        <v>S</v>
      </c>
      <c r="F8121" s="312" t="s">
        <v>39</v>
      </c>
      <c r="G8121" s="308"/>
      <c r="H8121" s="308" t="s">
        <v>32028</v>
      </c>
      <c r="I8121" s="314">
        <v>42667.0</v>
      </c>
      <c r="J8121" s="319">
        <f>IFERROR(__xludf.DUMMYFUNCTION("SPLIT(I8121,""/"")"),24.0)</f>
        <v>24</v>
      </c>
      <c r="K8121" s="308">
        <f>IFERROR(__xludf.DUMMYFUNCTION("""COMPUTED_VALUE"""),10.0)</f>
        <v>10</v>
      </c>
      <c r="L8121" s="308">
        <f>IFERROR(__xludf.DUMMYFUNCTION("""COMPUTED_VALUE"""),2016.0)</f>
        <v>2016</v>
      </c>
      <c r="M8121" s="308" t="s">
        <v>32029</v>
      </c>
      <c r="N8121" s="308" t="s">
        <v>40132</v>
      </c>
      <c r="O8121" s="308"/>
      <c r="P8121" s="308" t="s">
        <v>136</v>
      </c>
      <c r="Q8121" s="308" t="s">
        <v>40131</v>
      </c>
      <c r="R8121" s="308" t="s">
        <v>2743</v>
      </c>
      <c r="S8121" s="315" t="s">
        <v>100</v>
      </c>
      <c r="T8121" s="308" t="s">
        <v>34208</v>
      </c>
      <c r="U8121" s="308" t="s">
        <v>166</v>
      </c>
      <c r="V8121" s="308"/>
    </row>
    <row r="8122">
      <c r="A8122" s="308"/>
      <c r="B8122" s="308"/>
      <c r="C8122" s="308" t="s">
        <v>32031</v>
      </c>
      <c r="D8122" s="308">
        <f>IFERROR(__xludf.DUMMYFUNCTION("SPLIT(C8122,""-"")"),8142.0)</f>
        <v>8142</v>
      </c>
      <c r="E8122" s="308" t="str">
        <f>IFERROR(__xludf.DUMMYFUNCTION("""COMPUTED_VALUE"""),"K")</f>
        <v>K</v>
      </c>
      <c r="F8122" s="309" t="s">
        <v>34</v>
      </c>
      <c r="G8122" s="308"/>
      <c r="H8122" s="308" t="s">
        <v>40133</v>
      </c>
      <c r="I8122" s="310">
        <v>44449.0</v>
      </c>
      <c r="J8122" s="319">
        <f>IFERROR(__xludf.DUMMYFUNCTION("SPLIT(I8122,""/"")"),10.0)</f>
        <v>10</v>
      </c>
      <c r="K8122" s="308">
        <f>IFERROR(__xludf.DUMMYFUNCTION("""COMPUTED_VALUE"""),9.0)</f>
        <v>9</v>
      </c>
      <c r="L8122" s="308">
        <f>IFERROR(__xludf.DUMMYFUNCTION("""COMPUTED_VALUE"""),2021.0)</f>
        <v>2021</v>
      </c>
      <c r="M8122" s="308" t="s">
        <v>32033</v>
      </c>
      <c r="N8122" s="308" t="s">
        <v>439</v>
      </c>
      <c r="O8122" s="308"/>
      <c r="P8122" s="308" t="s">
        <v>40134</v>
      </c>
      <c r="Q8122" s="308" t="s">
        <v>40131</v>
      </c>
      <c r="R8122" s="308" t="s">
        <v>2743</v>
      </c>
      <c r="S8122" s="308" t="s">
        <v>81</v>
      </c>
      <c r="T8122" s="311" t="s">
        <v>91</v>
      </c>
      <c r="U8122" s="308" t="s">
        <v>27994</v>
      </c>
      <c r="V8122" s="308"/>
    </row>
    <row r="8123">
      <c r="A8123" s="308"/>
      <c r="B8123" s="308"/>
      <c r="C8123" s="308" t="s">
        <v>32035</v>
      </c>
      <c r="D8123" s="308">
        <f>IFERROR(__xludf.DUMMYFUNCTION("SPLIT(C8123,""-"")"),8143.0)</f>
        <v>8143</v>
      </c>
      <c r="E8123" s="308" t="str">
        <f>IFERROR(__xludf.DUMMYFUNCTION("""COMPUTED_VALUE"""),"K")</f>
        <v>K</v>
      </c>
      <c r="F8123" s="309" t="s">
        <v>34</v>
      </c>
      <c r="G8123" s="308"/>
      <c r="H8123" s="308" t="s">
        <v>32036</v>
      </c>
      <c r="I8123" s="310">
        <v>44107.0</v>
      </c>
      <c r="J8123" s="319">
        <f>IFERROR(__xludf.DUMMYFUNCTION("SPLIT(I8123,""/"")"),3.0)</f>
        <v>3</v>
      </c>
      <c r="K8123" s="308">
        <f>IFERROR(__xludf.DUMMYFUNCTION("""COMPUTED_VALUE"""),10.0)</f>
        <v>10</v>
      </c>
      <c r="L8123" s="308">
        <f>IFERROR(__xludf.DUMMYFUNCTION("""COMPUTED_VALUE"""),2020.0)</f>
        <v>2020</v>
      </c>
      <c r="M8123" s="308" t="s">
        <v>32037</v>
      </c>
      <c r="N8123" s="308" t="s">
        <v>32038</v>
      </c>
      <c r="O8123" s="308"/>
      <c r="P8123" s="308" t="s">
        <v>40135</v>
      </c>
      <c r="Q8123" s="308" t="s">
        <v>40131</v>
      </c>
      <c r="R8123" s="308" t="s">
        <v>2743</v>
      </c>
      <c r="S8123" s="308" t="s">
        <v>81</v>
      </c>
      <c r="T8123" s="308" t="s">
        <v>34264</v>
      </c>
      <c r="U8123" s="308" t="s">
        <v>542</v>
      </c>
      <c r="V8123" s="308"/>
    </row>
    <row r="8124">
      <c r="A8124" s="308"/>
      <c r="B8124" s="308"/>
      <c r="C8124" s="308" t="s">
        <v>32040</v>
      </c>
      <c r="D8124" s="308">
        <f>IFERROR(__xludf.DUMMYFUNCTION("SPLIT(C8124,""-"")"),8144.0)</f>
        <v>8144</v>
      </c>
      <c r="E8124" s="308" t="str">
        <f>IFERROR(__xludf.DUMMYFUNCTION("""COMPUTED_VALUE"""),"P")</f>
        <v>P</v>
      </c>
      <c r="F8124" s="312" t="s">
        <v>37</v>
      </c>
      <c r="G8124" s="308"/>
      <c r="H8124" s="308" t="s">
        <v>32041</v>
      </c>
      <c r="I8124" s="310">
        <v>44461.0</v>
      </c>
      <c r="J8124" s="319">
        <f>IFERROR(__xludf.DUMMYFUNCTION("SPLIT(I8124,""/"")"),22.0)</f>
        <v>22</v>
      </c>
      <c r="K8124" s="308">
        <f>IFERROR(__xludf.DUMMYFUNCTION("""COMPUTED_VALUE"""),9.0)</f>
        <v>9</v>
      </c>
      <c r="L8124" s="308">
        <f>IFERROR(__xludf.DUMMYFUNCTION("""COMPUTED_VALUE"""),2021.0)</f>
        <v>2021</v>
      </c>
      <c r="M8124" s="308" t="s">
        <v>32042</v>
      </c>
      <c r="N8124" s="308" t="s">
        <v>32043</v>
      </c>
      <c r="O8124" s="308"/>
      <c r="P8124" s="308" t="s">
        <v>40136</v>
      </c>
      <c r="Q8124" s="308" t="s">
        <v>40131</v>
      </c>
      <c r="R8124" s="308" t="s">
        <v>2743</v>
      </c>
      <c r="S8124" s="308" t="s">
        <v>81</v>
      </c>
      <c r="T8124" s="311" t="s">
        <v>96</v>
      </c>
      <c r="U8124" s="308" t="s">
        <v>3690</v>
      </c>
      <c r="V8124" s="308"/>
    </row>
    <row r="8125">
      <c r="A8125" s="308"/>
      <c r="B8125" s="308"/>
      <c r="C8125" s="308" t="s">
        <v>32045</v>
      </c>
      <c r="D8125" s="308">
        <f>IFERROR(__xludf.DUMMYFUNCTION("SPLIT(C8125,""-"")"),8145.0)</f>
        <v>8145</v>
      </c>
      <c r="E8125" s="308" t="str">
        <f>IFERROR(__xludf.DUMMYFUNCTION("""COMPUTED_VALUE"""),"K")</f>
        <v>K</v>
      </c>
      <c r="F8125" s="309" t="s">
        <v>34</v>
      </c>
      <c r="G8125" s="308"/>
      <c r="H8125" s="308" t="s">
        <v>32046</v>
      </c>
      <c r="I8125" s="310">
        <v>44443.0</v>
      </c>
      <c r="J8125" s="319">
        <f>IFERROR(__xludf.DUMMYFUNCTION("SPLIT(I8125,""/"")"),4.0)</f>
        <v>4</v>
      </c>
      <c r="K8125" s="308">
        <f>IFERROR(__xludf.DUMMYFUNCTION("""COMPUTED_VALUE"""),9.0)</f>
        <v>9</v>
      </c>
      <c r="L8125" s="308">
        <f>IFERROR(__xludf.DUMMYFUNCTION("""COMPUTED_VALUE"""),2021.0)</f>
        <v>2021</v>
      </c>
      <c r="M8125" s="308" t="s">
        <v>32047</v>
      </c>
      <c r="N8125" s="308" t="s">
        <v>32048</v>
      </c>
      <c r="O8125" s="308"/>
      <c r="P8125" s="308" t="s">
        <v>32049</v>
      </c>
      <c r="Q8125" s="308" t="s">
        <v>40131</v>
      </c>
      <c r="R8125" s="308" t="s">
        <v>2743</v>
      </c>
      <c r="S8125" s="308" t="s">
        <v>81</v>
      </c>
      <c r="T8125" s="308" t="s">
        <v>75</v>
      </c>
      <c r="U8125" s="308" t="s">
        <v>2466</v>
      </c>
      <c r="V8125" s="308"/>
    </row>
    <row r="8126">
      <c r="A8126" s="308"/>
      <c r="B8126" s="308"/>
      <c r="C8126" s="308" t="s">
        <v>32050</v>
      </c>
      <c r="D8126" s="308">
        <f>IFERROR(__xludf.DUMMYFUNCTION("SPLIT(C8126,""-"")"),8146.0)</f>
        <v>8146</v>
      </c>
      <c r="E8126" s="308" t="str">
        <f>IFERROR(__xludf.DUMMYFUNCTION("""COMPUTED_VALUE"""),"K")</f>
        <v>K</v>
      </c>
      <c r="F8126" s="309" t="s">
        <v>34</v>
      </c>
      <c r="G8126" s="308"/>
      <c r="H8126" s="308" t="s">
        <v>32051</v>
      </c>
      <c r="I8126" s="310">
        <v>39995.0</v>
      </c>
      <c r="J8126" s="319">
        <f>IFERROR(__xludf.DUMMYFUNCTION("SPLIT(I8126,""/"")"),1.0)</f>
        <v>1</v>
      </c>
      <c r="K8126" s="308">
        <f>IFERROR(__xludf.DUMMYFUNCTION("""COMPUTED_VALUE"""),7.0)</f>
        <v>7</v>
      </c>
      <c r="L8126" s="308">
        <f>IFERROR(__xludf.DUMMYFUNCTION("""COMPUTED_VALUE"""),2009.0)</f>
        <v>2009</v>
      </c>
      <c r="M8126" s="308" t="s">
        <v>32052</v>
      </c>
      <c r="N8126" s="308" t="s">
        <v>32053</v>
      </c>
      <c r="O8126" s="308"/>
      <c r="P8126" s="308" t="s">
        <v>136</v>
      </c>
      <c r="Q8126" s="308" t="s">
        <v>40131</v>
      </c>
      <c r="R8126" s="308" t="s">
        <v>2743</v>
      </c>
      <c r="S8126" s="315" t="s">
        <v>100</v>
      </c>
      <c r="T8126" s="308" t="s">
        <v>34208</v>
      </c>
      <c r="U8126" s="308" t="s">
        <v>530</v>
      </c>
      <c r="V8126" s="308"/>
    </row>
    <row r="8127">
      <c r="A8127" s="308"/>
      <c r="B8127" s="308"/>
      <c r="C8127" s="308" t="s">
        <v>32054</v>
      </c>
      <c r="D8127" s="308">
        <f>IFERROR(__xludf.DUMMYFUNCTION("SPLIT(C8127,""-"")"),8147.0)</f>
        <v>8147</v>
      </c>
      <c r="E8127" s="308" t="str">
        <f>IFERROR(__xludf.DUMMYFUNCTION("""COMPUTED_VALUE"""),"P")</f>
        <v>P</v>
      </c>
      <c r="F8127" s="312" t="s">
        <v>37</v>
      </c>
      <c r="G8127" s="308"/>
      <c r="H8127" s="308" t="s">
        <v>32055</v>
      </c>
      <c r="I8127" s="310">
        <v>44354.0</v>
      </c>
      <c r="J8127" s="319">
        <f>IFERROR(__xludf.DUMMYFUNCTION("SPLIT(I8127,""/"")"),7.0)</f>
        <v>7</v>
      </c>
      <c r="K8127" s="308">
        <f>IFERROR(__xludf.DUMMYFUNCTION("""COMPUTED_VALUE"""),6.0)</f>
        <v>6</v>
      </c>
      <c r="L8127" s="308">
        <f>IFERROR(__xludf.DUMMYFUNCTION("""COMPUTED_VALUE"""),2021.0)</f>
        <v>2021</v>
      </c>
      <c r="M8127" s="308" t="s">
        <v>32056</v>
      </c>
      <c r="N8127" s="308" t="s">
        <v>32057</v>
      </c>
      <c r="O8127" s="308"/>
      <c r="P8127" s="308" t="s">
        <v>136</v>
      </c>
      <c r="Q8127" s="308" t="s">
        <v>40131</v>
      </c>
      <c r="R8127" s="308" t="s">
        <v>2743</v>
      </c>
      <c r="S8127" s="315" t="s">
        <v>100</v>
      </c>
      <c r="T8127" s="308" t="s">
        <v>34208</v>
      </c>
      <c r="U8127" s="308" t="s">
        <v>143</v>
      </c>
      <c r="V8127" s="308"/>
    </row>
    <row r="8128">
      <c r="A8128" s="308"/>
      <c r="B8128" s="308"/>
      <c r="C8128" s="308" t="s">
        <v>32058</v>
      </c>
      <c r="D8128" s="308">
        <f>IFERROR(__xludf.DUMMYFUNCTION("SPLIT(C8128,""-"")"),8148.0)</f>
        <v>8148</v>
      </c>
      <c r="E8128" s="308" t="str">
        <f>IFERROR(__xludf.DUMMYFUNCTION("""COMPUTED_VALUE"""),"P")</f>
        <v>P</v>
      </c>
      <c r="F8128" s="312" t="s">
        <v>37</v>
      </c>
      <c r="G8128" s="308"/>
      <c r="H8128" s="308" t="s">
        <v>32059</v>
      </c>
      <c r="I8128" s="310">
        <v>44442.0</v>
      </c>
      <c r="J8128" s="319">
        <f>IFERROR(__xludf.DUMMYFUNCTION("SPLIT(I8128,""/"")"),3.0)</f>
        <v>3</v>
      </c>
      <c r="K8128" s="308">
        <f>IFERROR(__xludf.DUMMYFUNCTION("""COMPUTED_VALUE"""),9.0)</f>
        <v>9</v>
      </c>
      <c r="L8128" s="308">
        <f>IFERROR(__xludf.DUMMYFUNCTION("""COMPUTED_VALUE"""),2021.0)</f>
        <v>2021</v>
      </c>
      <c r="M8128" s="308" t="s">
        <v>32060</v>
      </c>
      <c r="N8128" s="308" t="s">
        <v>32061</v>
      </c>
      <c r="O8128" s="308"/>
      <c r="P8128" s="308" t="s">
        <v>40137</v>
      </c>
      <c r="Q8128" s="308" t="s">
        <v>40131</v>
      </c>
      <c r="R8128" s="308" t="s">
        <v>2743</v>
      </c>
      <c r="S8128" s="308" t="s">
        <v>81</v>
      </c>
      <c r="T8128" s="311" t="s">
        <v>91</v>
      </c>
      <c r="U8128" s="308" t="s">
        <v>17743</v>
      </c>
      <c r="V8128" s="308"/>
    </row>
    <row r="8129">
      <c r="A8129" s="308"/>
      <c r="B8129" s="308"/>
      <c r="C8129" s="308" t="s">
        <v>32063</v>
      </c>
      <c r="D8129" s="308">
        <f>IFERROR(__xludf.DUMMYFUNCTION("SPLIT(C8129,""-"")"),8149.0)</f>
        <v>8149</v>
      </c>
      <c r="E8129" s="308" t="str">
        <f>IFERROR(__xludf.DUMMYFUNCTION("""COMPUTED_VALUE"""),"B")</f>
        <v>B</v>
      </c>
      <c r="F8129" s="315" t="s">
        <v>26</v>
      </c>
      <c r="G8129" s="308"/>
      <c r="H8129" s="308" t="s">
        <v>32064</v>
      </c>
      <c r="I8129" s="310">
        <v>44139.0</v>
      </c>
      <c r="J8129" s="319">
        <f>IFERROR(__xludf.DUMMYFUNCTION("SPLIT(I8129,""/"")"),4.0)</f>
        <v>4</v>
      </c>
      <c r="K8129" s="308">
        <f>IFERROR(__xludf.DUMMYFUNCTION("""COMPUTED_VALUE"""),11.0)</f>
        <v>11</v>
      </c>
      <c r="L8129" s="308">
        <f>IFERROR(__xludf.DUMMYFUNCTION("""COMPUTED_VALUE"""),2020.0)</f>
        <v>2020</v>
      </c>
      <c r="M8129" s="308" t="s">
        <v>32065</v>
      </c>
      <c r="N8129" s="308" t="s">
        <v>40138</v>
      </c>
      <c r="O8129" s="308"/>
      <c r="P8129" s="308" t="s">
        <v>136</v>
      </c>
      <c r="Q8129" s="308" t="s">
        <v>40131</v>
      </c>
      <c r="R8129" s="308" t="s">
        <v>2743</v>
      </c>
      <c r="S8129" s="315" t="s">
        <v>100</v>
      </c>
      <c r="T8129" s="308" t="s">
        <v>34208</v>
      </c>
      <c r="U8129" s="308" t="s">
        <v>27</v>
      </c>
      <c r="V8129" s="308"/>
    </row>
    <row r="8130">
      <c r="A8130" s="308"/>
      <c r="B8130" s="308"/>
      <c r="C8130" s="308" t="s">
        <v>32067</v>
      </c>
      <c r="D8130" s="308">
        <f>IFERROR(__xludf.DUMMYFUNCTION("SPLIT(C8130,""-"")"),8150.0)</f>
        <v>8150</v>
      </c>
      <c r="E8130" s="308" t="str">
        <f>IFERROR(__xludf.DUMMYFUNCTION("""COMPUTED_VALUE"""),"B")</f>
        <v>B</v>
      </c>
      <c r="F8130" s="315" t="s">
        <v>26</v>
      </c>
      <c r="G8130" s="308"/>
      <c r="H8130" s="308" t="s">
        <v>32068</v>
      </c>
      <c r="I8130" s="310">
        <v>42256.0</v>
      </c>
      <c r="J8130" s="319">
        <f>IFERROR(__xludf.DUMMYFUNCTION("SPLIT(I8130,""/"")"),9.0)</f>
        <v>9</v>
      </c>
      <c r="K8130" s="308">
        <f>IFERROR(__xludf.DUMMYFUNCTION("""COMPUTED_VALUE"""),9.0)</f>
        <v>9</v>
      </c>
      <c r="L8130" s="308">
        <f>IFERROR(__xludf.DUMMYFUNCTION("""COMPUTED_VALUE"""),2015.0)</f>
        <v>2015</v>
      </c>
      <c r="M8130" s="308" t="s">
        <v>32069</v>
      </c>
      <c r="N8130" s="308" t="s">
        <v>32070</v>
      </c>
      <c r="O8130" s="308"/>
      <c r="P8130" s="308" t="s">
        <v>136</v>
      </c>
      <c r="Q8130" s="308" t="s">
        <v>40131</v>
      </c>
      <c r="R8130" s="308" t="s">
        <v>2743</v>
      </c>
      <c r="S8130" s="315" t="s">
        <v>100</v>
      </c>
      <c r="T8130" s="308" t="s">
        <v>34208</v>
      </c>
      <c r="U8130" s="308" t="s">
        <v>27</v>
      </c>
      <c r="V8130" s="308"/>
    </row>
    <row r="8131">
      <c r="A8131" s="308"/>
      <c r="B8131" s="308"/>
      <c r="C8131" s="308" t="s">
        <v>32071</v>
      </c>
      <c r="D8131" s="308">
        <f>IFERROR(__xludf.DUMMYFUNCTION("SPLIT(C8131,""-"")"),8151.0)</f>
        <v>8151</v>
      </c>
      <c r="E8131" s="308" t="str">
        <f>IFERROR(__xludf.DUMMYFUNCTION("""COMPUTED_VALUE"""),"B")</f>
        <v>B</v>
      </c>
      <c r="F8131" s="315" t="s">
        <v>26</v>
      </c>
      <c r="G8131" s="308"/>
      <c r="H8131" s="308" t="s">
        <v>32072</v>
      </c>
      <c r="I8131" s="310">
        <v>42256.0</v>
      </c>
      <c r="J8131" s="319">
        <f>IFERROR(__xludf.DUMMYFUNCTION("SPLIT(I8131,""/"")"),9.0)</f>
        <v>9</v>
      </c>
      <c r="K8131" s="308">
        <f>IFERROR(__xludf.DUMMYFUNCTION("""COMPUTED_VALUE"""),9.0)</f>
        <v>9</v>
      </c>
      <c r="L8131" s="308">
        <f>IFERROR(__xludf.DUMMYFUNCTION("""COMPUTED_VALUE"""),2015.0)</f>
        <v>2015</v>
      </c>
      <c r="M8131" s="308" t="s">
        <v>32073</v>
      </c>
      <c r="N8131" s="308" t="s">
        <v>32074</v>
      </c>
      <c r="O8131" s="308"/>
      <c r="P8131" s="308" t="s">
        <v>136</v>
      </c>
      <c r="Q8131" s="308" t="s">
        <v>40131</v>
      </c>
      <c r="R8131" s="308" t="s">
        <v>2743</v>
      </c>
      <c r="S8131" s="315" t="s">
        <v>100</v>
      </c>
      <c r="T8131" s="308" t="s">
        <v>34208</v>
      </c>
      <c r="U8131" s="308" t="s">
        <v>27</v>
      </c>
      <c r="V8131" s="308"/>
    </row>
    <row r="8132">
      <c r="A8132" s="308"/>
      <c r="B8132" s="308"/>
      <c r="C8132" s="308" t="s">
        <v>32075</v>
      </c>
      <c r="D8132" s="308">
        <f>IFERROR(__xludf.DUMMYFUNCTION("SPLIT(C8132,""-"")"),8152.0)</f>
        <v>8152</v>
      </c>
      <c r="E8132" s="308" t="str">
        <f>IFERROR(__xludf.DUMMYFUNCTION("""COMPUTED_VALUE"""),"B")</f>
        <v>B</v>
      </c>
      <c r="F8132" s="315" t="s">
        <v>26</v>
      </c>
      <c r="G8132" s="308"/>
      <c r="H8132" s="308" t="s">
        <v>32076</v>
      </c>
      <c r="I8132" s="310">
        <v>44392.0</v>
      </c>
      <c r="J8132" s="319">
        <f>IFERROR(__xludf.DUMMYFUNCTION("SPLIT(I8132,""/"")"),15.0)</f>
        <v>15</v>
      </c>
      <c r="K8132" s="308">
        <f>IFERROR(__xludf.DUMMYFUNCTION("""COMPUTED_VALUE"""),7.0)</f>
        <v>7</v>
      </c>
      <c r="L8132" s="308">
        <f>IFERROR(__xludf.DUMMYFUNCTION("""COMPUTED_VALUE"""),2021.0)</f>
        <v>2021</v>
      </c>
      <c r="M8132" s="308" t="s">
        <v>40139</v>
      </c>
      <c r="N8132" s="308" t="s">
        <v>439</v>
      </c>
      <c r="O8132" s="308"/>
      <c r="P8132" s="308" t="s">
        <v>40140</v>
      </c>
      <c r="Q8132" s="308" t="s">
        <v>40131</v>
      </c>
      <c r="R8132" s="308" t="s">
        <v>2743</v>
      </c>
      <c r="S8132" s="308" t="s">
        <v>81</v>
      </c>
      <c r="T8132" s="311" t="s">
        <v>96</v>
      </c>
      <c r="U8132" s="308" t="s">
        <v>27</v>
      </c>
      <c r="V8132" s="308"/>
    </row>
    <row r="8133">
      <c r="A8133" s="308"/>
      <c r="B8133" s="308"/>
      <c r="C8133" s="308" t="s">
        <v>32079</v>
      </c>
      <c r="D8133" s="308">
        <f>IFERROR(__xludf.DUMMYFUNCTION("SPLIT(C8133,""-"")"),8153.0)</f>
        <v>8153</v>
      </c>
      <c r="E8133" s="308" t="str">
        <f>IFERROR(__xludf.DUMMYFUNCTION("""COMPUTED_VALUE"""),"B")</f>
        <v>B</v>
      </c>
      <c r="F8133" s="315" t="s">
        <v>26</v>
      </c>
      <c r="G8133" s="308"/>
      <c r="H8133" s="308" t="s">
        <v>32080</v>
      </c>
      <c r="I8133" s="310">
        <v>43620.0</v>
      </c>
      <c r="J8133" s="319">
        <f>IFERROR(__xludf.DUMMYFUNCTION("SPLIT(I8133,""/"")"),4.0)</f>
        <v>4</v>
      </c>
      <c r="K8133" s="308">
        <f>IFERROR(__xludf.DUMMYFUNCTION("""COMPUTED_VALUE"""),6.0)</f>
        <v>6</v>
      </c>
      <c r="L8133" s="308">
        <f>IFERROR(__xludf.DUMMYFUNCTION("""COMPUTED_VALUE"""),2019.0)</f>
        <v>2019</v>
      </c>
      <c r="M8133" s="308" t="s">
        <v>32081</v>
      </c>
      <c r="N8133" s="308" t="s">
        <v>32082</v>
      </c>
      <c r="O8133" s="308"/>
      <c r="P8133" s="308" t="s">
        <v>136</v>
      </c>
      <c r="Q8133" s="308" t="s">
        <v>40141</v>
      </c>
      <c r="R8133" s="308" t="s">
        <v>2743</v>
      </c>
      <c r="S8133" s="315" t="s">
        <v>100</v>
      </c>
      <c r="T8133" s="308" t="s">
        <v>34208</v>
      </c>
      <c r="U8133" s="308" t="s">
        <v>27</v>
      </c>
      <c r="V8133" s="308"/>
    </row>
    <row r="8134">
      <c r="A8134" s="308"/>
      <c r="B8134" s="308"/>
      <c r="C8134" s="308" t="s">
        <v>32083</v>
      </c>
      <c r="D8134" s="308">
        <f>IFERROR(__xludf.DUMMYFUNCTION("SPLIT(C8134,""-"")"),8154.0)</f>
        <v>8154</v>
      </c>
      <c r="E8134" s="308" t="str">
        <f>IFERROR(__xludf.DUMMYFUNCTION("""COMPUTED_VALUE"""),"K")</f>
        <v>K</v>
      </c>
      <c r="F8134" s="309" t="s">
        <v>34</v>
      </c>
      <c r="G8134" s="308"/>
      <c r="H8134" s="308" t="s">
        <v>32084</v>
      </c>
      <c r="I8134" s="310">
        <v>42552.0</v>
      </c>
      <c r="J8134" s="319">
        <f>IFERROR(__xludf.DUMMYFUNCTION("SPLIT(I8134,""/"")"),1.0)</f>
        <v>1</v>
      </c>
      <c r="K8134" s="308">
        <f>IFERROR(__xludf.DUMMYFUNCTION("""COMPUTED_VALUE"""),7.0)</f>
        <v>7</v>
      </c>
      <c r="L8134" s="308">
        <f>IFERROR(__xludf.DUMMYFUNCTION("""COMPUTED_VALUE"""),2016.0)</f>
        <v>2016</v>
      </c>
      <c r="M8134" s="308" t="s">
        <v>40142</v>
      </c>
      <c r="N8134" s="308" t="s">
        <v>439</v>
      </c>
      <c r="O8134" s="308"/>
      <c r="P8134" s="308" t="s">
        <v>136</v>
      </c>
      <c r="Q8134" s="308" t="s">
        <v>40143</v>
      </c>
      <c r="R8134" s="308" t="s">
        <v>2743</v>
      </c>
      <c r="S8134" s="315" t="s">
        <v>100</v>
      </c>
      <c r="T8134" s="308" t="s">
        <v>34208</v>
      </c>
      <c r="U8134" s="308" t="s">
        <v>18616</v>
      </c>
      <c r="V8134" s="308" t="s">
        <v>32086</v>
      </c>
    </row>
    <row r="8135">
      <c r="A8135" s="308"/>
      <c r="B8135" s="308"/>
      <c r="C8135" s="308" t="s">
        <v>32087</v>
      </c>
      <c r="D8135" s="308">
        <f>IFERROR(__xludf.DUMMYFUNCTION("SPLIT(C8135,""-"")"),8155.0)</f>
        <v>8155</v>
      </c>
      <c r="E8135" s="308" t="str">
        <f>IFERROR(__xludf.DUMMYFUNCTION("""COMPUTED_VALUE"""),"K")</f>
        <v>K</v>
      </c>
      <c r="F8135" s="309" t="s">
        <v>34</v>
      </c>
      <c r="G8135" s="308"/>
      <c r="H8135" s="308" t="s">
        <v>32088</v>
      </c>
      <c r="I8135" s="310">
        <v>44438.0</v>
      </c>
      <c r="J8135" s="319">
        <f>IFERROR(__xludf.DUMMYFUNCTION("SPLIT(I8135,""/"")"),30.0)</f>
        <v>30</v>
      </c>
      <c r="K8135" s="308">
        <f>IFERROR(__xludf.DUMMYFUNCTION("""COMPUTED_VALUE"""),8.0)</f>
        <v>8</v>
      </c>
      <c r="L8135" s="308">
        <f>IFERROR(__xludf.DUMMYFUNCTION("""COMPUTED_VALUE"""),2021.0)</f>
        <v>2021</v>
      </c>
      <c r="M8135" s="308" t="s">
        <v>32033</v>
      </c>
      <c r="N8135" s="308" t="s">
        <v>439</v>
      </c>
      <c r="O8135" s="308"/>
      <c r="P8135" s="308" t="s">
        <v>40144</v>
      </c>
      <c r="Q8135" s="308" t="s">
        <v>40145</v>
      </c>
      <c r="R8135" s="308" t="s">
        <v>2743</v>
      </c>
      <c r="S8135" s="308" t="s">
        <v>81</v>
      </c>
      <c r="T8135" s="311" t="s">
        <v>73</v>
      </c>
      <c r="U8135" s="308" t="s">
        <v>27994</v>
      </c>
      <c r="V8135" s="308" t="s">
        <v>32090</v>
      </c>
    </row>
    <row r="8136">
      <c r="A8136" s="308"/>
      <c r="B8136" s="308"/>
      <c r="C8136" s="308" t="s">
        <v>32091</v>
      </c>
      <c r="D8136" s="308">
        <f>IFERROR(__xludf.DUMMYFUNCTION("SPLIT(C8136,""-"")"),8156.0)</f>
        <v>8156</v>
      </c>
      <c r="E8136" s="308" t="str">
        <f>IFERROR(__xludf.DUMMYFUNCTION("""COMPUTED_VALUE"""),"K")</f>
        <v>K</v>
      </c>
      <c r="F8136" s="309" t="s">
        <v>34</v>
      </c>
      <c r="G8136" s="308"/>
      <c r="H8136" s="308" t="s">
        <v>32092</v>
      </c>
      <c r="I8136" s="310">
        <v>44438.0</v>
      </c>
      <c r="J8136" s="319">
        <f>IFERROR(__xludf.DUMMYFUNCTION("SPLIT(I8136,""/"")"),30.0)</f>
        <v>30</v>
      </c>
      <c r="K8136" s="308">
        <f>IFERROR(__xludf.DUMMYFUNCTION("""COMPUTED_VALUE"""),8.0)</f>
        <v>8</v>
      </c>
      <c r="L8136" s="308">
        <f>IFERROR(__xludf.DUMMYFUNCTION("""COMPUTED_VALUE"""),2021.0)</f>
        <v>2021</v>
      </c>
      <c r="M8136" s="308" t="s">
        <v>32033</v>
      </c>
      <c r="N8136" s="308" t="s">
        <v>439</v>
      </c>
      <c r="O8136" s="308"/>
      <c r="P8136" s="308" t="s">
        <v>136</v>
      </c>
      <c r="Q8136" s="308" t="s">
        <v>40145</v>
      </c>
      <c r="R8136" s="308" t="s">
        <v>2743</v>
      </c>
      <c r="S8136" s="315" t="s">
        <v>100</v>
      </c>
      <c r="T8136" s="308" t="s">
        <v>34208</v>
      </c>
      <c r="U8136" s="308" t="s">
        <v>27994</v>
      </c>
      <c r="V8136" s="308"/>
    </row>
    <row r="8137">
      <c r="A8137" s="308"/>
      <c r="B8137" s="308"/>
      <c r="C8137" s="308" t="s">
        <v>32093</v>
      </c>
      <c r="D8137" s="308">
        <f>IFERROR(__xludf.DUMMYFUNCTION("SPLIT(C8137,""-"")"),8157.0)</f>
        <v>8157</v>
      </c>
      <c r="E8137" s="308" t="str">
        <f>IFERROR(__xludf.DUMMYFUNCTION("""COMPUTED_VALUE"""),"K")</f>
        <v>K</v>
      </c>
      <c r="F8137" s="309" t="s">
        <v>34</v>
      </c>
      <c r="G8137" s="308"/>
      <c r="H8137" s="308" t="s">
        <v>32094</v>
      </c>
      <c r="I8137" s="310">
        <v>44438.0</v>
      </c>
      <c r="J8137" s="319">
        <f>IFERROR(__xludf.DUMMYFUNCTION("SPLIT(I8137,""/"")"),30.0)</f>
        <v>30</v>
      </c>
      <c r="K8137" s="308">
        <f>IFERROR(__xludf.DUMMYFUNCTION("""COMPUTED_VALUE"""),8.0)</f>
        <v>8</v>
      </c>
      <c r="L8137" s="308">
        <f>IFERROR(__xludf.DUMMYFUNCTION("""COMPUTED_VALUE"""),2021.0)</f>
        <v>2021</v>
      </c>
      <c r="M8137" s="308" t="s">
        <v>32033</v>
      </c>
      <c r="N8137" s="308" t="s">
        <v>439</v>
      </c>
      <c r="O8137" s="308"/>
      <c r="P8137" s="308" t="s">
        <v>136</v>
      </c>
      <c r="Q8137" s="308" t="s">
        <v>40145</v>
      </c>
      <c r="R8137" s="308" t="s">
        <v>2743</v>
      </c>
      <c r="S8137" s="315" t="s">
        <v>100</v>
      </c>
      <c r="T8137" s="308" t="s">
        <v>34208</v>
      </c>
      <c r="U8137" s="308" t="s">
        <v>27994</v>
      </c>
      <c r="V8137" s="308"/>
    </row>
    <row r="8138">
      <c r="A8138" s="308"/>
      <c r="B8138" s="308"/>
      <c r="C8138" s="308" t="s">
        <v>32095</v>
      </c>
      <c r="D8138" s="308">
        <f>IFERROR(__xludf.DUMMYFUNCTION("SPLIT(C8138,""-"")"),8158.0)</f>
        <v>8158</v>
      </c>
      <c r="E8138" s="308" t="str">
        <f>IFERROR(__xludf.DUMMYFUNCTION("""COMPUTED_VALUE"""),"K")</f>
        <v>K</v>
      </c>
      <c r="F8138" s="309" t="s">
        <v>34</v>
      </c>
      <c r="G8138" s="308"/>
      <c r="H8138" s="308" t="s">
        <v>23944</v>
      </c>
      <c r="I8138" s="310">
        <v>44438.0</v>
      </c>
      <c r="J8138" s="319">
        <f>IFERROR(__xludf.DUMMYFUNCTION("SPLIT(I8138,""/"")"),30.0)</f>
        <v>30</v>
      </c>
      <c r="K8138" s="308">
        <f>IFERROR(__xludf.DUMMYFUNCTION("""COMPUTED_VALUE"""),8.0)</f>
        <v>8</v>
      </c>
      <c r="L8138" s="308">
        <f>IFERROR(__xludf.DUMMYFUNCTION("""COMPUTED_VALUE"""),2021.0)</f>
        <v>2021</v>
      </c>
      <c r="M8138" s="308" t="s">
        <v>32033</v>
      </c>
      <c r="N8138" s="308" t="s">
        <v>439</v>
      </c>
      <c r="O8138" s="308"/>
      <c r="P8138" s="308" t="s">
        <v>40146</v>
      </c>
      <c r="Q8138" s="308" t="s">
        <v>40145</v>
      </c>
      <c r="R8138" s="308" t="s">
        <v>2743</v>
      </c>
      <c r="S8138" s="308" t="s">
        <v>49</v>
      </c>
      <c r="T8138" s="311" t="s">
        <v>77</v>
      </c>
      <c r="U8138" s="308" t="s">
        <v>27994</v>
      </c>
      <c r="V8138" s="308"/>
    </row>
    <row r="8139">
      <c r="A8139" s="308"/>
      <c r="B8139" s="308"/>
      <c r="C8139" s="308" t="s">
        <v>32097</v>
      </c>
      <c r="D8139" s="308">
        <f>IFERROR(__xludf.DUMMYFUNCTION("SPLIT(C8139,""-"")"),8159.0)</f>
        <v>8159</v>
      </c>
      <c r="E8139" s="308" t="str">
        <f>IFERROR(__xludf.DUMMYFUNCTION("""COMPUTED_VALUE"""),"K")</f>
        <v>K</v>
      </c>
      <c r="F8139" s="309" t="s">
        <v>34</v>
      </c>
      <c r="G8139" s="308"/>
      <c r="H8139" s="308" t="s">
        <v>32098</v>
      </c>
      <c r="I8139" s="310">
        <v>43579.0</v>
      </c>
      <c r="J8139" s="319">
        <f>IFERROR(__xludf.DUMMYFUNCTION("SPLIT(I8139,""/"")"),24.0)</f>
        <v>24</v>
      </c>
      <c r="K8139" s="308">
        <f>IFERROR(__xludf.DUMMYFUNCTION("""COMPUTED_VALUE"""),4.0)</f>
        <v>4</v>
      </c>
      <c r="L8139" s="308">
        <f>IFERROR(__xludf.DUMMYFUNCTION("""COMPUTED_VALUE"""),2019.0)</f>
        <v>2019</v>
      </c>
      <c r="M8139" s="308" t="s">
        <v>32099</v>
      </c>
      <c r="N8139" s="308" t="s">
        <v>439</v>
      </c>
      <c r="O8139" s="308"/>
      <c r="P8139" s="308" t="s">
        <v>32100</v>
      </c>
      <c r="Q8139" s="308" t="s">
        <v>40145</v>
      </c>
      <c r="R8139" s="308" t="s">
        <v>2743</v>
      </c>
      <c r="S8139" s="315" t="s">
        <v>100</v>
      </c>
      <c r="T8139" s="311" t="s">
        <v>34208</v>
      </c>
      <c r="U8139" s="308" t="s">
        <v>125</v>
      </c>
      <c r="V8139" s="308"/>
    </row>
    <row r="8140">
      <c r="A8140" s="308"/>
      <c r="B8140" s="308"/>
      <c r="C8140" s="308" t="s">
        <v>32101</v>
      </c>
      <c r="D8140" s="308">
        <f>IFERROR(__xludf.DUMMYFUNCTION("SPLIT(C8140,""-"")"),8160.0)</f>
        <v>8160</v>
      </c>
      <c r="E8140" s="308" t="str">
        <f>IFERROR(__xludf.DUMMYFUNCTION("""COMPUTED_VALUE"""),"B")</f>
        <v>B</v>
      </c>
      <c r="F8140" s="315" t="s">
        <v>26</v>
      </c>
      <c r="G8140" s="308"/>
      <c r="H8140" s="308" t="s">
        <v>32102</v>
      </c>
      <c r="I8140" s="310">
        <v>44343.0</v>
      </c>
      <c r="J8140" s="319">
        <f>IFERROR(__xludf.DUMMYFUNCTION("SPLIT(I8140,""/"")"),27.0)</f>
        <v>27</v>
      </c>
      <c r="K8140" s="308">
        <f>IFERROR(__xludf.DUMMYFUNCTION("""COMPUTED_VALUE"""),5.0)</f>
        <v>5</v>
      </c>
      <c r="L8140" s="308">
        <f>IFERROR(__xludf.DUMMYFUNCTION("""COMPUTED_VALUE"""),2021.0)</f>
        <v>2021</v>
      </c>
      <c r="M8140" s="308" t="s">
        <v>32103</v>
      </c>
      <c r="N8140" s="308" t="s">
        <v>32104</v>
      </c>
      <c r="O8140" s="308"/>
      <c r="P8140" s="308" t="s">
        <v>40147</v>
      </c>
      <c r="Q8140" s="308" t="s">
        <v>40145</v>
      </c>
      <c r="R8140" s="308" t="s">
        <v>2743</v>
      </c>
      <c r="S8140" s="308" t="s">
        <v>81</v>
      </c>
      <c r="T8140" s="308" t="s">
        <v>73</v>
      </c>
      <c r="U8140" s="308" t="s">
        <v>27</v>
      </c>
      <c r="V8140" s="308"/>
    </row>
    <row r="8141">
      <c r="A8141" s="308"/>
      <c r="B8141" s="308"/>
      <c r="C8141" s="308" t="s">
        <v>32106</v>
      </c>
      <c r="D8141" s="308">
        <f>IFERROR(__xludf.DUMMYFUNCTION("SPLIT(C8141,""-"")"),8161.0)</f>
        <v>8161</v>
      </c>
      <c r="E8141" s="308" t="str">
        <f>IFERROR(__xludf.DUMMYFUNCTION("""COMPUTED_VALUE"""),"K")</f>
        <v>K</v>
      </c>
      <c r="F8141" s="309" t="s">
        <v>34</v>
      </c>
      <c r="G8141" s="308"/>
      <c r="H8141" s="308" t="s">
        <v>32107</v>
      </c>
      <c r="I8141" s="310">
        <v>39543.0</v>
      </c>
      <c r="J8141" s="319">
        <f>IFERROR(__xludf.DUMMYFUNCTION("SPLIT(I8141,""/"")"),5.0)</f>
        <v>5</v>
      </c>
      <c r="K8141" s="308">
        <f>IFERROR(__xludf.DUMMYFUNCTION("""COMPUTED_VALUE"""),4.0)</f>
        <v>4</v>
      </c>
      <c r="L8141" s="308">
        <f>IFERROR(__xludf.DUMMYFUNCTION("""COMPUTED_VALUE"""),2008.0)</f>
        <v>2008</v>
      </c>
      <c r="M8141" s="308" t="s">
        <v>40148</v>
      </c>
      <c r="N8141" s="308" t="s">
        <v>439</v>
      </c>
      <c r="O8141" s="308"/>
      <c r="P8141" s="308" t="s">
        <v>136</v>
      </c>
      <c r="Q8141" s="308" t="s">
        <v>40145</v>
      </c>
      <c r="R8141" s="308" t="s">
        <v>2743</v>
      </c>
      <c r="S8141" s="315" t="s">
        <v>100</v>
      </c>
      <c r="T8141" s="308" t="s">
        <v>34208</v>
      </c>
      <c r="U8141" s="308" t="s">
        <v>2989</v>
      </c>
      <c r="V8141" s="308"/>
    </row>
    <row r="8142">
      <c r="A8142" s="308"/>
      <c r="B8142" s="308"/>
      <c r="C8142" s="308" t="s">
        <v>32109</v>
      </c>
      <c r="D8142" s="308">
        <f>IFERROR(__xludf.DUMMYFUNCTION("SPLIT(C8142,""-"")"),8162.0)</f>
        <v>8162</v>
      </c>
      <c r="E8142" s="308" t="str">
        <f>IFERROR(__xludf.DUMMYFUNCTION("""COMPUTED_VALUE"""),"B")</f>
        <v>B</v>
      </c>
      <c r="F8142" s="315" t="s">
        <v>26</v>
      </c>
      <c r="G8142" s="308"/>
      <c r="H8142" s="308" t="s">
        <v>32110</v>
      </c>
      <c r="I8142" s="310">
        <v>41770.0</v>
      </c>
      <c r="J8142" s="319">
        <f>IFERROR(__xludf.DUMMYFUNCTION("SPLIT(I8142,""/"")"),11.0)</f>
        <v>11</v>
      </c>
      <c r="K8142" s="308">
        <f>IFERROR(__xludf.DUMMYFUNCTION("""COMPUTED_VALUE"""),5.0)</f>
        <v>5</v>
      </c>
      <c r="L8142" s="308">
        <f>IFERROR(__xludf.DUMMYFUNCTION("""COMPUTED_VALUE"""),2014.0)</f>
        <v>2014</v>
      </c>
      <c r="M8142" s="308" t="s">
        <v>32111</v>
      </c>
      <c r="N8142" s="308" t="s">
        <v>32112</v>
      </c>
      <c r="O8142" s="308"/>
      <c r="P8142" s="308" t="s">
        <v>136</v>
      </c>
      <c r="Q8142" s="308" t="s">
        <v>40145</v>
      </c>
      <c r="R8142" s="308" t="s">
        <v>2743</v>
      </c>
      <c r="S8142" s="315" t="s">
        <v>100</v>
      </c>
      <c r="T8142" s="308" t="s">
        <v>34208</v>
      </c>
      <c r="U8142" s="308" t="s">
        <v>27</v>
      </c>
      <c r="V8142" s="308"/>
    </row>
    <row r="8143">
      <c r="A8143" s="308"/>
      <c r="B8143" s="308"/>
      <c r="C8143" s="308" t="s">
        <v>32113</v>
      </c>
      <c r="D8143" s="308">
        <f>IFERROR(__xludf.DUMMYFUNCTION("SPLIT(C8143,""-"")"),8163.0)</f>
        <v>8163</v>
      </c>
      <c r="E8143" s="308" t="str">
        <f>IFERROR(__xludf.DUMMYFUNCTION("""COMPUTED_VALUE"""),"B")</f>
        <v>B</v>
      </c>
      <c r="F8143" s="315" t="s">
        <v>26</v>
      </c>
      <c r="G8143" s="308"/>
      <c r="H8143" s="308" t="s">
        <v>32114</v>
      </c>
      <c r="I8143" s="310">
        <v>43555.0</v>
      </c>
      <c r="J8143" s="319">
        <f>IFERROR(__xludf.DUMMYFUNCTION("SPLIT(I8143,""/"")"),31.0)</f>
        <v>31</v>
      </c>
      <c r="K8143" s="308">
        <f>IFERROR(__xludf.DUMMYFUNCTION("""COMPUTED_VALUE"""),3.0)</f>
        <v>3</v>
      </c>
      <c r="L8143" s="308">
        <f>IFERROR(__xludf.DUMMYFUNCTION("""COMPUTED_VALUE"""),2019.0)</f>
        <v>2019</v>
      </c>
      <c r="M8143" s="308" t="s">
        <v>32115</v>
      </c>
      <c r="N8143" s="308" t="s">
        <v>32116</v>
      </c>
      <c r="O8143" s="308"/>
      <c r="P8143" s="308" t="s">
        <v>32117</v>
      </c>
      <c r="Q8143" s="308" t="s">
        <v>40145</v>
      </c>
      <c r="R8143" s="308" t="s">
        <v>2743</v>
      </c>
      <c r="S8143" s="308" t="s">
        <v>81</v>
      </c>
      <c r="T8143" s="308" t="s">
        <v>75</v>
      </c>
      <c r="U8143" s="308" t="s">
        <v>27</v>
      </c>
      <c r="V8143" s="308"/>
    </row>
    <row r="8144">
      <c r="A8144" s="308"/>
      <c r="B8144" s="308" t="s">
        <v>32118</v>
      </c>
      <c r="C8144" s="308" t="s">
        <v>32119</v>
      </c>
      <c r="D8144" s="308">
        <f>IFERROR(__xludf.DUMMYFUNCTION("SPLIT(C8144,""-"")"),8164.0)</f>
        <v>8164</v>
      </c>
      <c r="E8144" s="308" t="str">
        <f>IFERROR(__xludf.DUMMYFUNCTION("""COMPUTED_VALUE"""),"K")</f>
        <v>K</v>
      </c>
      <c r="F8144" s="309" t="s">
        <v>34</v>
      </c>
      <c r="G8144" s="308"/>
      <c r="H8144" s="308" t="s">
        <v>32120</v>
      </c>
      <c r="I8144" s="310">
        <v>40058.0</v>
      </c>
      <c r="J8144" s="319">
        <f>IFERROR(__xludf.DUMMYFUNCTION("SPLIT(I8144,""/"")"),2.0)</f>
        <v>2</v>
      </c>
      <c r="K8144" s="308">
        <f>IFERROR(__xludf.DUMMYFUNCTION("""COMPUTED_VALUE"""),9.0)</f>
        <v>9</v>
      </c>
      <c r="L8144" s="308">
        <f>IFERROR(__xludf.DUMMYFUNCTION("""COMPUTED_VALUE"""),2009.0)</f>
        <v>2009</v>
      </c>
      <c r="M8144" s="308" t="s">
        <v>32121</v>
      </c>
      <c r="N8144" s="308" t="s">
        <v>32122</v>
      </c>
      <c r="O8144" s="308"/>
      <c r="P8144" s="308" t="s">
        <v>36447</v>
      </c>
      <c r="Q8144" s="308" t="s">
        <v>40145</v>
      </c>
      <c r="R8144" s="308" t="s">
        <v>2743</v>
      </c>
      <c r="S8144" s="308" t="s">
        <v>49</v>
      </c>
      <c r="T8144" s="311" t="s">
        <v>51</v>
      </c>
      <c r="U8144" s="308" t="s">
        <v>125</v>
      </c>
      <c r="V8144" s="308"/>
    </row>
    <row r="8145">
      <c r="A8145" s="308"/>
      <c r="B8145" s="308"/>
      <c r="C8145" s="308" t="s">
        <v>32123</v>
      </c>
      <c r="D8145" s="308">
        <f>IFERROR(__xludf.DUMMYFUNCTION("SPLIT(C8145,""-"")"),8165.0)</f>
        <v>8165</v>
      </c>
      <c r="E8145" s="308" t="str">
        <f>IFERROR(__xludf.DUMMYFUNCTION("""COMPUTED_VALUE"""),"K")</f>
        <v>K</v>
      </c>
      <c r="F8145" s="309" t="s">
        <v>34</v>
      </c>
      <c r="G8145" s="308"/>
      <c r="H8145" s="308" t="s">
        <v>32124</v>
      </c>
      <c r="I8145" s="310">
        <v>44400.0</v>
      </c>
      <c r="J8145" s="319">
        <f>IFERROR(__xludf.DUMMYFUNCTION("SPLIT(I8145,""/"")"),23.0)</f>
        <v>23</v>
      </c>
      <c r="K8145" s="308">
        <f>IFERROR(__xludf.DUMMYFUNCTION("""COMPUTED_VALUE"""),7.0)</f>
        <v>7</v>
      </c>
      <c r="L8145" s="308">
        <f>IFERROR(__xludf.DUMMYFUNCTION("""COMPUTED_VALUE"""),2021.0)</f>
        <v>2021</v>
      </c>
      <c r="M8145" s="308" t="s">
        <v>32125</v>
      </c>
      <c r="N8145" s="308" t="s">
        <v>40149</v>
      </c>
      <c r="O8145" s="308"/>
      <c r="P8145" s="308" t="s">
        <v>32127</v>
      </c>
      <c r="Q8145" s="308" t="s">
        <v>40150</v>
      </c>
      <c r="R8145" s="308" t="s">
        <v>2743</v>
      </c>
      <c r="S8145" s="308" t="s">
        <v>81</v>
      </c>
      <c r="T8145" s="311" t="s">
        <v>63</v>
      </c>
      <c r="U8145" s="308" t="s">
        <v>7530</v>
      </c>
      <c r="V8145" s="308"/>
    </row>
    <row r="8146">
      <c r="A8146" s="308"/>
      <c r="B8146" s="308"/>
      <c r="C8146" s="308" t="s">
        <v>32128</v>
      </c>
      <c r="D8146" s="308">
        <f>IFERROR(__xludf.DUMMYFUNCTION("SPLIT(C8146,""-"")"),8166.0)</f>
        <v>8166</v>
      </c>
      <c r="E8146" s="308" t="str">
        <f>IFERROR(__xludf.DUMMYFUNCTION("""COMPUTED_VALUE"""),"P")</f>
        <v>P</v>
      </c>
      <c r="F8146" s="312" t="s">
        <v>37</v>
      </c>
      <c r="G8146" s="308"/>
      <c r="H8146" s="308" t="s">
        <v>32129</v>
      </c>
      <c r="I8146" s="310">
        <v>44468.0</v>
      </c>
      <c r="J8146" s="319">
        <f>IFERROR(__xludf.DUMMYFUNCTION("SPLIT(I8146,""/"")"),29.0)</f>
        <v>29</v>
      </c>
      <c r="K8146" s="308">
        <f>IFERROR(__xludf.DUMMYFUNCTION("""COMPUTED_VALUE"""),9.0)</f>
        <v>9</v>
      </c>
      <c r="L8146" s="308">
        <f>IFERROR(__xludf.DUMMYFUNCTION("""COMPUTED_VALUE"""),2021.0)</f>
        <v>2021</v>
      </c>
      <c r="M8146" s="308" t="s">
        <v>32130</v>
      </c>
      <c r="N8146" s="308" t="s">
        <v>32131</v>
      </c>
      <c r="O8146" s="308"/>
      <c r="P8146" s="308" t="s">
        <v>32132</v>
      </c>
      <c r="Q8146" s="308" t="s">
        <v>40151</v>
      </c>
      <c r="R8146" s="308" t="s">
        <v>31554</v>
      </c>
      <c r="S8146" s="308" t="s">
        <v>81</v>
      </c>
      <c r="T8146" s="311" t="s">
        <v>51</v>
      </c>
      <c r="U8146" s="308" t="s">
        <v>31926</v>
      </c>
      <c r="V8146" s="308"/>
    </row>
    <row r="8147">
      <c r="A8147" s="308"/>
      <c r="B8147" s="308"/>
      <c r="C8147" s="308" t="s">
        <v>32133</v>
      </c>
      <c r="D8147" s="308">
        <f>IFERROR(__xludf.DUMMYFUNCTION("SPLIT(C8147,""-"")"),8167.0)</f>
        <v>8167</v>
      </c>
      <c r="E8147" s="308" t="str">
        <f>IFERROR(__xludf.DUMMYFUNCTION("""COMPUTED_VALUE"""),"P")</f>
        <v>P</v>
      </c>
      <c r="F8147" s="312" t="s">
        <v>37</v>
      </c>
      <c r="G8147" s="308"/>
      <c r="H8147" s="308" t="s">
        <v>32134</v>
      </c>
      <c r="I8147" s="310">
        <v>43145.0</v>
      </c>
      <c r="J8147" s="319">
        <f>IFERROR(__xludf.DUMMYFUNCTION("SPLIT(I8147,""/"")"),14.0)</f>
        <v>14</v>
      </c>
      <c r="K8147" s="308">
        <f>IFERROR(__xludf.DUMMYFUNCTION("""COMPUTED_VALUE"""),2.0)</f>
        <v>2</v>
      </c>
      <c r="L8147" s="308">
        <f>IFERROR(__xludf.DUMMYFUNCTION("""COMPUTED_VALUE"""),2018.0)</f>
        <v>2018</v>
      </c>
      <c r="M8147" s="308" t="s">
        <v>32135</v>
      </c>
      <c r="N8147" s="308" t="s">
        <v>32136</v>
      </c>
      <c r="O8147" s="308"/>
      <c r="P8147" s="308" t="s">
        <v>136</v>
      </c>
      <c r="Q8147" s="308" t="s">
        <v>40151</v>
      </c>
      <c r="R8147" s="308" t="s">
        <v>2743</v>
      </c>
      <c r="S8147" s="315" t="s">
        <v>100</v>
      </c>
      <c r="T8147" s="308" t="s">
        <v>34208</v>
      </c>
      <c r="U8147" s="308" t="s">
        <v>17303</v>
      </c>
      <c r="V8147" s="308"/>
    </row>
    <row r="8148">
      <c r="A8148" s="308"/>
      <c r="B8148" s="308"/>
      <c r="C8148" s="308" t="s">
        <v>32137</v>
      </c>
      <c r="D8148" s="308">
        <f>IFERROR(__xludf.DUMMYFUNCTION("SPLIT(C8148,""-"")"),8168.0)</f>
        <v>8168</v>
      </c>
      <c r="E8148" s="308" t="str">
        <f>IFERROR(__xludf.DUMMYFUNCTION("""COMPUTED_VALUE"""),"P")</f>
        <v>P</v>
      </c>
      <c r="F8148" s="312" t="s">
        <v>37</v>
      </c>
      <c r="G8148" s="308"/>
      <c r="H8148" s="308" t="s">
        <v>32138</v>
      </c>
      <c r="I8148" s="310">
        <v>44065.0</v>
      </c>
      <c r="J8148" s="319">
        <f>IFERROR(__xludf.DUMMYFUNCTION("SPLIT(I8148,""/"")"),22.0)</f>
        <v>22</v>
      </c>
      <c r="K8148" s="308">
        <f>IFERROR(__xludf.DUMMYFUNCTION("""COMPUTED_VALUE"""),8.0)</f>
        <v>8</v>
      </c>
      <c r="L8148" s="308">
        <f>IFERROR(__xludf.DUMMYFUNCTION("""COMPUTED_VALUE"""),2020.0)</f>
        <v>2020</v>
      </c>
      <c r="M8148" s="308" t="s">
        <v>32139</v>
      </c>
      <c r="N8148" s="308" t="s">
        <v>32140</v>
      </c>
      <c r="O8148" s="308"/>
      <c r="P8148" s="308" t="s">
        <v>136</v>
      </c>
      <c r="Q8148" s="308" t="s">
        <v>40151</v>
      </c>
      <c r="R8148" s="308" t="s">
        <v>2743</v>
      </c>
      <c r="S8148" s="315" t="s">
        <v>100</v>
      </c>
      <c r="T8148" s="308" t="s">
        <v>34208</v>
      </c>
      <c r="U8148" s="308" t="s">
        <v>31637</v>
      </c>
      <c r="V8148" s="308"/>
    </row>
    <row r="8149">
      <c r="A8149" s="308"/>
      <c r="B8149" s="308"/>
      <c r="C8149" s="308" t="s">
        <v>32141</v>
      </c>
      <c r="D8149" s="308">
        <f>IFERROR(__xludf.DUMMYFUNCTION("SPLIT(C8149,""-"")"),8169.0)</f>
        <v>8169</v>
      </c>
      <c r="E8149" s="308" t="str">
        <f>IFERROR(__xludf.DUMMYFUNCTION("""COMPUTED_VALUE"""),"K")</f>
        <v>K</v>
      </c>
      <c r="F8149" s="309" t="s">
        <v>34</v>
      </c>
      <c r="G8149" s="308"/>
      <c r="H8149" s="308" t="s">
        <v>32142</v>
      </c>
      <c r="I8149" s="310">
        <v>41356.0</v>
      </c>
      <c r="J8149" s="319">
        <f>IFERROR(__xludf.DUMMYFUNCTION("SPLIT(I8149,""/"")"),23.0)</f>
        <v>23</v>
      </c>
      <c r="K8149" s="308">
        <f>IFERROR(__xludf.DUMMYFUNCTION("""COMPUTED_VALUE"""),3.0)</f>
        <v>3</v>
      </c>
      <c r="L8149" s="308">
        <f>IFERROR(__xludf.DUMMYFUNCTION("""COMPUTED_VALUE"""),2013.0)</f>
        <v>2013</v>
      </c>
      <c r="M8149" s="308" t="s">
        <v>32143</v>
      </c>
      <c r="N8149" s="308" t="s">
        <v>439</v>
      </c>
      <c r="O8149" s="308"/>
      <c r="P8149" s="308" t="s">
        <v>136</v>
      </c>
      <c r="Q8149" s="308" t="s">
        <v>40152</v>
      </c>
      <c r="R8149" s="308" t="s">
        <v>2743</v>
      </c>
      <c r="S8149" s="315" t="s">
        <v>100</v>
      </c>
      <c r="T8149" s="308" t="s">
        <v>34208</v>
      </c>
      <c r="U8149" s="308" t="s">
        <v>530</v>
      </c>
      <c r="V8149" s="308"/>
    </row>
    <row r="8150">
      <c r="A8150" s="308"/>
      <c r="B8150" s="308"/>
      <c r="C8150" s="308" t="s">
        <v>32144</v>
      </c>
      <c r="D8150" s="308">
        <f>IFERROR(__xludf.DUMMYFUNCTION("SPLIT(C8150,""-"")"),8170.0)</f>
        <v>8170</v>
      </c>
      <c r="E8150" s="308" t="str">
        <f>IFERROR(__xludf.DUMMYFUNCTION("""COMPUTED_VALUE"""),"K")</f>
        <v>K</v>
      </c>
      <c r="F8150" s="309" t="s">
        <v>34</v>
      </c>
      <c r="G8150" s="308"/>
      <c r="H8150" s="308" t="s">
        <v>32145</v>
      </c>
      <c r="I8150" s="310">
        <v>44465.0</v>
      </c>
      <c r="J8150" s="319">
        <f>IFERROR(__xludf.DUMMYFUNCTION("SPLIT(I8150,""/"")"),26.0)</f>
        <v>26</v>
      </c>
      <c r="K8150" s="308">
        <f>IFERROR(__xludf.DUMMYFUNCTION("""COMPUTED_VALUE"""),9.0)</f>
        <v>9</v>
      </c>
      <c r="L8150" s="308">
        <f>IFERROR(__xludf.DUMMYFUNCTION("""COMPUTED_VALUE"""),2021.0)</f>
        <v>2021</v>
      </c>
      <c r="M8150" s="308" t="s">
        <v>32146</v>
      </c>
      <c r="N8150" s="308" t="s">
        <v>32147</v>
      </c>
      <c r="O8150" s="308"/>
      <c r="P8150" s="308" t="s">
        <v>32148</v>
      </c>
      <c r="Q8150" s="308" t="s">
        <v>40152</v>
      </c>
      <c r="R8150" s="308" t="s">
        <v>2743</v>
      </c>
      <c r="S8150" s="308" t="s">
        <v>81</v>
      </c>
      <c r="T8150" s="308" t="s">
        <v>75</v>
      </c>
      <c r="U8150" s="308" t="s">
        <v>282</v>
      </c>
      <c r="V8150" s="308"/>
    </row>
    <row r="8151">
      <c r="A8151" s="308"/>
      <c r="B8151" s="308"/>
      <c r="C8151" s="308" t="s">
        <v>32149</v>
      </c>
      <c r="D8151" s="308">
        <f>IFERROR(__xludf.DUMMYFUNCTION("SPLIT(C8151,""-"")"),8171.0)</f>
        <v>8171</v>
      </c>
      <c r="E8151" s="308" t="str">
        <f>IFERROR(__xludf.DUMMYFUNCTION("""COMPUTED_VALUE"""),"K")</f>
        <v>K</v>
      </c>
      <c r="F8151" s="309" t="s">
        <v>34</v>
      </c>
      <c r="G8151" s="308"/>
      <c r="H8151" s="308" t="s">
        <v>32150</v>
      </c>
      <c r="I8151" s="314">
        <v>42349.0</v>
      </c>
      <c r="J8151" s="319">
        <f>IFERROR(__xludf.DUMMYFUNCTION("SPLIT(I8151,""/"")"),11.0)</f>
        <v>11</v>
      </c>
      <c r="K8151" s="308">
        <f>IFERROR(__xludf.DUMMYFUNCTION("""COMPUTED_VALUE"""),12.0)</f>
        <v>12</v>
      </c>
      <c r="L8151" s="308">
        <f>IFERROR(__xludf.DUMMYFUNCTION("""COMPUTED_VALUE"""),2015.0)</f>
        <v>2015</v>
      </c>
      <c r="M8151" s="308" t="s">
        <v>32151</v>
      </c>
      <c r="N8151" s="308" t="s">
        <v>32152</v>
      </c>
      <c r="O8151" s="308"/>
      <c r="P8151" s="308" t="s">
        <v>136</v>
      </c>
      <c r="Q8151" s="308" t="s">
        <v>40152</v>
      </c>
      <c r="R8151" s="308" t="s">
        <v>2743</v>
      </c>
      <c r="S8151" s="315" t="s">
        <v>100</v>
      </c>
      <c r="T8151" s="308" t="s">
        <v>34208</v>
      </c>
      <c r="U8151" s="308" t="s">
        <v>125</v>
      </c>
      <c r="V8151" s="308"/>
    </row>
    <row r="8152">
      <c r="A8152" s="308"/>
      <c r="B8152" s="308"/>
      <c r="C8152" s="308" t="s">
        <v>32153</v>
      </c>
      <c r="D8152" s="308">
        <f>IFERROR(__xludf.DUMMYFUNCTION("SPLIT(C8152,""-"")"),8172.0)</f>
        <v>8172</v>
      </c>
      <c r="E8152" s="308" t="str">
        <f>IFERROR(__xludf.DUMMYFUNCTION("""COMPUTED_VALUE"""),"P")</f>
        <v>P</v>
      </c>
      <c r="F8152" s="312" t="s">
        <v>37</v>
      </c>
      <c r="G8152" s="308"/>
      <c r="H8152" s="308" t="s">
        <v>32154</v>
      </c>
      <c r="I8152" s="310">
        <v>44073.0</v>
      </c>
      <c r="J8152" s="319">
        <f>IFERROR(__xludf.DUMMYFUNCTION("SPLIT(I8152,""/"")"),30.0)</f>
        <v>30</v>
      </c>
      <c r="K8152" s="308">
        <f>IFERROR(__xludf.DUMMYFUNCTION("""COMPUTED_VALUE"""),8.0)</f>
        <v>8</v>
      </c>
      <c r="L8152" s="308">
        <f>IFERROR(__xludf.DUMMYFUNCTION("""COMPUTED_VALUE"""),2020.0)</f>
        <v>2020</v>
      </c>
      <c r="M8152" s="308" t="s">
        <v>32155</v>
      </c>
      <c r="N8152" s="308" t="s">
        <v>32156</v>
      </c>
      <c r="O8152" s="308"/>
      <c r="P8152" s="308" t="s">
        <v>136</v>
      </c>
      <c r="Q8152" s="308" t="s">
        <v>40152</v>
      </c>
      <c r="R8152" s="308" t="s">
        <v>2743</v>
      </c>
      <c r="S8152" s="315" t="s">
        <v>100</v>
      </c>
      <c r="T8152" s="308" t="s">
        <v>34208</v>
      </c>
      <c r="U8152" s="308" t="s">
        <v>4273</v>
      </c>
      <c r="V8152" s="308"/>
    </row>
    <row r="8153">
      <c r="A8153" s="308"/>
      <c r="B8153" s="308"/>
      <c r="C8153" s="308" t="s">
        <v>32157</v>
      </c>
      <c r="D8153" s="308">
        <f>IFERROR(__xludf.DUMMYFUNCTION("SPLIT(C8153,""-"")"),8173.0)</f>
        <v>8173</v>
      </c>
      <c r="E8153" s="308" t="str">
        <f>IFERROR(__xludf.DUMMYFUNCTION("""COMPUTED_VALUE"""),"P")</f>
        <v>P</v>
      </c>
      <c r="F8153" s="312" t="s">
        <v>37</v>
      </c>
      <c r="G8153" s="308"/>
      <c r="H8153" s="308" t="s">
        <v>32158</v>
      </c>
      <c r="I8153" s="310">
        <v>44410.0</v>
      </c>
      <c r="J8153" s="319">
        <f>IFERROR(__xludf.DUMMYFUNCTION("SPLIT(I8153,""/"")"),2.0)</f>
        <v>2</v>
      </c>
      <c r="K8153" s="308">
        <f>IFERROR(__xludf.DUMMYFUNCTION("""COMPUTED_VALUE"""),8.0)</f>
        <v>8</v>
      </c>
      <c r="L8153" s="308">
        <f>IFERROR(__xludf.DUMMYFUNCTION("""COMPUTED_VALUE"""),2021.0)</f>
        <v>2021</v>
      </c>
      <c r="M8153" s="308" t="s">
        <v>32159</v>
      </c>
      <c r="N8153" s="308" t="s">
        <v>32160</v>
      </c>
      <c r="O8153" s="308"/>
      <c r="P8153" s="308" t="s">
        <v>40153</v>
      </c>
      <c r="Q8153" s="308" t="s">
        <v>40152</v>
      </c>
      <c r="R8153" s="308" t="s">
        <v>2743</v>
      </c>
      <c r="S8153" s="308" t="s">
        <v>81</v>
      </c>
      <c r="T8153" s="311" t="s">
        <v>51</v>
      </c>
      <c r="U8153" s="308" t="s">
        <v>143</v>
      </c>
      <c r="V8153" s="308"/>
    </row>
    <row r="8154">
      <c r="A8154" s="308"/>
      <c r="B8154" s="308"/>
      <c r="C8154" s="308" t="s">
        <v>32162</v>
      </c>
      <c r="D8154" s="308">
        <f>IFERROR(__xludf.DUMMYFUNCTION("SPLIT(C8154,""-"")"),8174.0)</f>
        <v>8174</v>
      </c>
      <c r="E8154" s="308" t="str">
        <f>IFERROR(__xludf.DUMMYFUNCTION("""COMPUTED_VALUE"""),"P")</f>
        <v>P</v>
      </c>
      <c r="F8154" s="312" t="s">
        <v>37</v>
      </c>
      <c r="G8154" s="308"/>
      <c r="H8154" s="308" t="s">
        <v>32163</v>
      </c>
      <c r="I8154" s="310">
        <v>44384.0</v>
      </c>
      <c r="J8154" s="319">
        <f>IFERROR(__xludf.DUMMYFUNCTION("SPLIT(I8154,""/"")"),7.0)</f>
        <v>7</v>
      </c>
      <c r="K8154" s="308">
        <f>IFERROR(__xludf.DUMMYFUNCTION("""COMPUTED_VALUE"""),7.0)</f>
        <v>7</v>
      </c>
      <c r="L8154" s="308">
        <f>IFERROR(__xludf.DUMMYFUNCTION("""COMPUTED_VALUE"""),2021.0)</f>
        <v>2021</v>
      </c>
      <c r="M8154" s="308" t="s">
        <v>32164</v>
      </c>
      <c r="N8154" s="308" t="s">
        <v>32165</v>
      </c>
      <c r="O8154" s="308"/>
      <c r="P8154" s="308" t="s">
        <v>136</v>
      </c>
      <c r="Q8154" s="308" t="s">
        <v>40152</v>
      </c>
      <c r="R8154" s="308" t="s">
        <v>2743</v>
      </c>
      <c r="S8154" s="315" t="s">
        <v>100</v>
      </c>
      <c r="T8154" s="308" t="s">
        <v>34208</v>
      </c>
      <c r="U8154" s="308" t="s">
        <v>143</v>
      </c>
      <c r="V8154" s="308"/>
    </row>
    <row r="8155">
      <c r="A8155" s="308"/>
      <c r="B8155" s="308"/>
      <c r="C8155" s="308" t="s">
        <v>32166</v>
      </c>
      <c r="D8155" s="308">
        <f>IFERROR(__xludf.DUMMYFUNCTION("SPLIT(C8155,""-"")"),8175.0)</f>
        <v>8175</v>
      </c>
      <c r="E8155" s="308" t="str">
        <f>IFERROR(__xludf.DUMMYFUNCTION("""COMPUTED_VALUE"""),"S")</f>
        <v>S</v>
      </c>
      <c r="F8155" s="312" t="s">
        <v>39</v>
      </c>
      <c r="G8155" s="308"/>
      <c r="H8155" s="308" t="s">
        <v>32167</v>
      </c>
      <c r="I8155" s="310">
        <v>44476.0</v>
      </c>
      <c r="J8155" s="319">
        <f>IFERROR(__xludf.DUMMYFUNCTION("SPLIT(I8155,""/"")"),7.0)</f>
        <v>7</v>
      </c>
      <c r="K8155" s="308">
        <f>IFERROR(__xludf.DUMMYFUNCTION("""COMPUTED_VALUE"""),10.0)</f>
        <v>10</v>
      </c>
      <c r="L8155" s="308">
        <f>IFERROR(__xludf.DUMMYFUNCTION("""COMPUTED_VALUE"""),2021.0)</f>
        <v>2021</v>
      </c>
      <c r="M8155" s="308" t="s">
        <v>32168</v>
      </c>
      <c r="N8155" s="308" t="s">
        <v>32169</v>
      </c>
      <c r="O8155" s="308"/>
      <c r="P8155" s="308" t="s">
        <v>32170</v>
      </c>
      <c r="Q8155" s="308" t="s">
        <v>40152</v>
      </c>
      <c r="R8155" s="308" t="s">
        <v>2743</v>
      </c>
      <c r="S8155" s="308" t="s">
        <v>81</v>
      </c>
      <c r="T8155" s="308" t="s">
        <v>75</v>
      </c>
      <c r="U8155" s="308" t="s">
        <v>166</v>
      </c>
      <c r="V8155" s="308"/>
    </row>
    <row r="8156">
      <c r="A8156" s="308"/>
      <c r="B8156" s="308"/>
      <c r="C8156" s="308" t="s">
        <v>32171</v>
      </c>
      <c r="D8156" s="308">
        <f>IFERROR(__xludf.DUMMYFUNCTION("SPLIT(C8156,""-"")"),8176.0)</f>
        <v>8176</v>
      </c>
      <c r="E8156" s="308" t="str">
        <f>IFERROR(__xludf.DUMMYFUNCTION("""COMPUTED_VALUE"""),"B")</f>
        <v>B</v>
      </c>
      <c r="F8156" s="315" t="s">
        <v>26</v>
      </c>
      <c r="G8156" s="308"/>
      <c r="H8156" s="308" t="s">
        <v>32172</v>
      </c>
      <c r="I8156" s="310">
        <v>44438.0</v>
      </c>
      <c r="J8156" s="319">
        <f>IFERROR(__xludf.DUMMYFUNCTION("SPLIT(I8156,""/"")"),30.0)</f>
        <v>30</v>
      </c>
      <c r="K8156" s="308">
        <f>IFERROR(__xludf.DUMMYFUNCTION("""COMPUTED_VALUE"""),8.0)</f>
        <v>8</v>
      </c>
      <c r="L8156" s="308">
        <f>IFERROR(__xludf.DUMMYFUNCTION("""COMPUTED_VALUE"""),2021.0)</f>
        <v>2021</v>
      </c>
      <c r="M8156" s="308" t="s">
        <v>32173</v>
      </c>
      <c r="N8156" s="308" t="s">
        <v>32174</v>
      </c>
      <c r="O8156" s="308"/>
      <c r="P8156" s="308" t="s">
        <v>136</v>
      </c>
      <c r="Q8156" s="308" t="s">
        <v>40152</v>
      </c>
      <c r="R8156" s="308" t="s">
        <v>20958</v>
      </c>
      <c r="S8156" s="315" t="s">
        <v>100</v>
      </c>
      <c r="T8156" s="308" t="s">
        <v>34208</v>
      </c>
      <c r="U8156" s="308" t="s">
        <v>32175</v>
      </c>
      <c r="V8156" s="308"/>
    </row>
    <row r="8157">
      <c r="A8157" s="308"/>
      <c r="B8157" s="308"/>
      <c r="C8157" s="308" t="s">
        <v>32176</v>
      </c>
      <c r="D8157" s="308">
        <f>IFERROR(__xludf.DUMMYFUNCTION("SPLIT(C8157,""-"")"),8177.0)</f>
        <v>8177</v>
      </c>
      <c r="E8157" s="308" t="str">
        <f>IFERROR(__xludf.DUMMYFUNCTION("""COMPUTED_VALUE"""),"K")</f>
        <v>K</v>
      </c>
      <c r="F8157" s="309" t="s">
        <v>34</v>
      </c>
      <c r="G8157" s="308"/>
      <c r="H8157" s="308" t="s">
        <v>32177</v>
      </c>
      <c r="I8157" s="310">
        <v>42865.0</v>
      </c>
      <c r="J8157" s="319" t="str">
        <f>IFERROR(__xludf.DUMMYFUNCTION("SPLIT(I8157,""/"")"),"#REF!")</f>
        <v>#REF!</v>
      </c>
      <c r="K8157" s="308"/>
      <c r="L8157" s="308">
        <v>2017.0</v>
      </c>
      <c r="M8157" s="308" t="s">
        <v>32178</v>
      </c>
      <c r="N8157" s="308" t="s">
        <v>32179</v>
      </c>
      <c r="O8157" s="308"/>
      <c r="P8157" s="308" t="s">
        <v>136</v>
      </c>
      <c r="Q8157" s="308" t="s">
        <v>40152</v>
      </c>
      <c r="R8157" s="308" t="s">
        <v>2743</v>
      </c>
      <c r="S8157" s="315" t="s">
        <v>100</v>
      </c>
      <c r="T8157" s="308" t="s">
        <v>34208</v>
      </c>
      <c r="U8157" s="308" t="s">
        <v>2989</v>
      </c>
      <c r="V8157" s="308"/>
    </row>
    <row r="8158">
      <c r="A8158" s="308"/>
      <c r="B8158" s="308"/>
      <c r="C8158" s="308" t="s">
        <v>32180</v>
      </c>
      <c r="D8158" s="308">
        <f>IFERROR(__xludf.DUMMYFUNCTION("SPLIT(C8158,""-"")"),8178.0)</f>
        <v>8178</v>
      </c>
      <c r="E8158" s="308" t="str">
        <f>IFERROR(__xludf.DUMMYFUNCTION("""COMPUTED_VALUE"""),"S")</f>
        <v>S</v>
      </c>
      <c r="F8158" s="312" t="s">
        <v>39</v>
      </c>
      <c r="G8158" s="308"/>
      <c r="H8158" s="308" t="s">
        <v>32181</v>
      </c>
      <c r="I8158" s="310">
        <v>42921.0</v>
      </c>
      <c r="J8158" s="319">
        <f>IFERROR(__xludf.DUMMYFUNCTION("SPLIT(I8158,""/"")"),5.0)</f>
        <v>5</v>
      </c>
      <c r="K8158" s="308">
        <f>IFERROR(__xludf.DUMMYFUNCTION("""COMPUTED_VALUE"""),7.0)</f>
        <v>7</v>
      </c>
      <c r="L8158" s="308">
        <f>IFERROR(__xludf.DUMMYFUNCTION("""COMPUTED_VALUE"""),2017.0)</f>
        <v>2017</v>
      </c>
      <c r="M8158" s="308" t="s">
        <v>32182</v>
      </c>
      <c r="N8158" s="308" t="s">
        <v>439</v>
      </c>
      <c r="O8158" s="308"/>
      <c r="P8158" s="308" t="s">
        <v>136</v>
      </c>
      <c r="Q8158" s="308" t="s">
        <v>40152</v>
      </c>
      <c r="R8158" s="308" t="s">
        <v>2743</v>
      </c>
      <c r="S8158" s="315" t="s">
        <v>100</v>
      </c>
      <c r="T8158" s="308" t="s">
        <v>34208</v>
      </c>
      <c r="U8158" s="308" t="s">
        <v>166</v>
      </c>
      <c r="V8158" s="308"/>
    </row>
    <row r="8159">
      <c r="A8159" s="308"/>
      <c r="B8159" s="308"/>
      <c r="C8159" s="308" t="s">
        <v>32183</v>
      </c>
      <c r="D8159" s="308">
        <f>IFERROR(__xludf.DUMMYFUNCTION("SPLIT(C8159,""-"")"),8179.0)</f>
        <v>8179</v>
      </c>
      <c r="E8159" s="308" t="str">
        <f>IFERROR(__xludf.DUMMYFUNCTION("""COMPUTED_VALUE"""),"K")</f>
        <v>K</v>
      </c>
      <c r="F8159" s="309" t="s">
        <v>34</v>
      </c>
      <c r="G8159" s="308"/>
      <c r="H8159" s="308" t="s">
        <v>32184</v>
      </c>
      <c r="I8159" s="310">
        <v>39630.0</v>
      </c>
      <c r="J8159" s="319">
        <f>IFERROR(__xludf.DUMMYFUNCTION("SPLIT(I8159,""/"")"),1.0)</f>
        <v>1</v>
      </c>
      <c r="K8159" s="308">
        <f>IFERROR(__xludf.DUMMYFUNCTION("""COMPUTED_VALUE"""),7.0)</f>
        <v>7</v>
      </c>
      <c r="L8159" s="308">
        <f>IFERROR(__xludf.DUMMYFUNCTION("""COMPUTED_VALUE"""),2008.0)</f>
        <v>2008</v>
      </c>
      <c r="M8159" s="308" t="s">
        <v>32185</v>
      </c>
      <c r="N8159" s="308" t="s">
        <v>439</v>
      </c>
      <c r="O8159" s="308"/>
      <c r="P8159" s="308" t="s">
        <v>136</v>
      </c>
      <c r="Q8159" s="308" t="s">
        <v>40152</v>
      </c>
      <c r="R8159" s="308" t="s">
        <v>2743</v>
      </c>
      <c r="S8159" s="315" t="s">
        <v>100</v>
      </c>
      <c r="T8159" s="308" t="s">
        <v>34208</v>
      </c>
      <c r="U8159" s="308" t="s">
        <v>2152</v>
      </c>
      <c r="V8159" s="308"/>
    </row>
    <row r="8160">
      <c r="A8160" s="308"/>
      <c r="B8160" s="308"/>
      <c r="C8160" s="308" t="s">
        <v>32186</v>
      </c>
      <c r="D8160" s="308">
        <f>IFERROR(__xludf.DUMMYFUNCTION("SPLIT(C8160,""-"")"),8180.0)</f>
        <v>8180</v>
      </c>
      <c r="E8160" s="308" t="str">
        <f>IFERROR(__xludf.DUMMYFUNCTION("""COMPUTED_VALUE"""),"K")</f>
        <v>K</v>
      </c>
      <c r="F8160" s="309" t="s">
        <v>34</v>
      </c>
      <c r="G8160" s="308"/>
      <c r="H8160" s="308" t="s">
        <v>32187</v>
      </c>
      <c r="I8160" s="310">
        <v>44371.0</v>
      </c>
      <c r="J8160" s="319">
        <f>IFERROR(__xludf.DUMMYFUNCTION("SPLIT(I8160,""/"")"),24.0)</f>
        <v>24</v>
      </c>
      <c r="K8160" s="308">
        <f>IFERROR(__xludf.DUMMYFUNCTION("""COMPUTED_VALUE"""),6.0)</f>
        <v>6</v>
      </c>
      <c r="L8160" s="308">
        <f>IFERROR(__xludf.DUMMYFUNCTION("""COMPUTED_VALUE"""),2021.0)</f>
        <v>2021</v>
      </c>
      <c r="M8160" s="308" t="s">
        <v>32188</v>
      </c>
      <c r="N8160" s="308" t="s">
        <v>32189</v>
      </c>
      <c r="O8160" s="308"/>
      <c r="P8160" s="308" t="s">
        <v>136</v>
      </c>
      <c r="Q8160" s="308" t="s">
        <v>40154</v>
      </c>
      <c r="R8160" s="308" t="s">
        <v>2743</v>
      </c>
      <c r="S8160" s="315" t="s">
        <v>100</v>
      </c>
      <c r="T8160" s="308" t="s">
        <v>34208</v>
      </c>
      <c r="U8160" s="308" t="s">
        <v>872</v>
      </c>
      <c r="V8160" s="308"/>
    </row>
    <row r="8161">
      <c r="A8161" s="308"/>
      <c r="B8161" s="308"/>
      <c r="C8161" s="308" t="s">
        <v>32190</v>
      </c>
      <c r="D8161" s="308">
        <f>IFERROR(__xludf.DUMMYFUNCTION("SPLIT(C8161,""-"")"),8181.0)</f>
        <v>8181</v>
      </c>
      <c r="E8161" s="308" t="str">
        <f>IFERROR(__xludf.DUMMYFUNCTION("""COMPUTED_VALUE"""),"B")</f>
        <v>B</v>
      </c>
      <c r="F8161" s="315" t="s">
        <v>26</v>
      </c>
      <c r="G8161" s="308"/>
      <c r="H8161" s="308" t="s">
        <v>32191</v>
      </c>
      <c r="I8161" s="310">
        <v>44432.0</v>
      </c>
      <c r="J8161" s="319">
        <f>IFERROR(__xludf.DUMMYFUNCTION("SPLIT(I8161,""/"")"),24.0)</f>
        <v>24</v>
      </c>
      <c r="K8161" s="308">
        <f>IFERROR(__xludf.DUMMYFUNCTION("""COMPUTED_VALUE"""),8.0)</f>
        <v>8</v>
      </c>
      <c r="L8161" s="308">
        <f>IFERROR(__xludf.DUMMYFUNCTION("""COMPUTED_VALUE"""),2021.0)</f>
        <v>2021</v>
      </c>
      <c r="M8161" s="308" t="s">
        <v>32192</v>
      </c>
      <c r="N8161" s="308" t="s">
        <v>32193</v>
      </c>
      <c r="O8161" s="308"/>
      <c r="P8161" s="308" t="s">
        <v>136</v>
      </c>
      <c r="Q8161" s="308" t="s">
        <v>40154</v>
      </c>
      <c r="R8161" s="308" t="s">
        <v>2743</v>
      </c>
      <c r="S8161" s="315" t="s">
        <v>100</v>
      </c>
      <c r="T8161" s="308" t="s">
        <v>34208</v>
      </c>
      <c r="U8161" s="308" t="s">
        <v>32194</v>
      </c>
      <c r="V8161" s="308"/>
    </row>
    <row r="8162">
      <c r="A8162" s="308"/>
      <c r="B8162" s="308"/>
      <c r="C8162" s="308" t="s">
        <v>32195</v>
      </c>
      <c r="D8162" s="308">
        <f>IFERROR(__xludf.DUMMYFUNCTION("SPLIT(C8162,""-"")"),8182.0)</f>
        <v>8182</v>
      </c>
      <c r="E8162" s="308" t="str">
        <f>IFERROR(__xludf.DUMMYFUNCTION("""COMPUTED_VALUE"""),"B")</f>
        <v>B</v>
      </c>
      <c r="F8162" s="315" t="s">
        <v>26</v>
      </c>
      <c r="G8162" s="308"/>
      <c r="H8162" s="308" t="s">
        <v>32196</v>
      </c>
      <c r="I8162" s="314">
        <v>44480.0</v>
      </c>
      <c r="J8162" s="319">
        <f>IFERROR(__xludf.DUMMYFUNCTION("SPLIT(I8162,""/"")"),11.0)</f>
        <v>11</v>
      </c>
      <c r="K8162" s="308">
        <f>IFERROR(__xludf.DUMMYFUNCTION("""COMPUTED_VALUE"""),10.0)</f>
        <v>10</v>
      </c>
      <c r="L8162" s="308">
        <f>IFERROR(__xludf.DUMMYFUNCTION("""COMPUTED_VALUE"""),2021.0)</f>
        <v>2021</v>
      </c>
      <c r="M8162" s="308" t="s">
        <v>32197</v>
      </c>
      <c r="N8162" s="308" t="s">
        <v>32198</v>
      </c>
      <c r="O8162" s="308"/>
      <c r="P8162" s="308" t="s">
        <v>136</v>
      </c>
      <c r="Q8162" s="308" t="s">
        <v>40154</v>
      </c>
      <c r="R8162" s="308" t="s">
        <v>2743</v>
      </c>
      <c r="S8162" s="315" t="s">
        <v>100</v>
      </c>
      <c r="T8162" s="308" t="s">
        <v>34208</v>
      </c>
      <c r="U8162" s="308" t="s">
        <v>32175</v>
      </c>
      <c r="V8162" s="308"/>
    </row>
    <row r="8163">
      <c r="A8163" s="308"/>
      <c r="B8163" s="308"/>
      <c r="C8163" s="308" t="s">
        <v>32199</v>
      </c>
      <c r="D8163" s="308">
        <f>IFERROR(__xludf.DUMMYFUNCTION("SPLIT(C8163,""-"")"),8183.0)</f>
        <v>8183</v>
      </c>
      <c r="E8163" s="308" t="str">
        <f>IFERROR(__xludf.DUMMYFUNCTION("""COMPUTED_VALUE"""),"P")</f>
        <v>P</v>
      </c>
      <c r="F8163" s="312" t="s">
        <v>37</v>
      </c>
      <c r="G8163" s="308"/>
      <c r="H8163" s="308" t="s">
        <v>32200</v>
      </c>
      <c r="I8163" s="310">
        <v>44422.0</v>
      </c>
      <c r="J8163" s="319">
        <f>IFERROR(__xludf.DUMMYFUNCTION("SPLIT(I8163,""/"")"),14.0)</f>
        <v>14</v>
      </c>
      <c r="K8163" s="308">
        <f>IFERROR(__xludf.DUMMYFUNCTION("""COMPUTED_VALUE"""),8.0)</f>
        <v>8</v>
      </c>
      <c r="L8163" s="308">
        <f>IFERROR(__xludf.DUMMYFUNCTION("""COMPUTED_VALUE"""),2021.0)</f>
        <v>2021</v>
      </c>
      <c r="M8163" s="308" t="s">
        <v>32201</v>
      </c>
      <c r="N8163" s="308" t="s">
        <v>32202</v>
      </c>
      <c r="O8163" s="308"/>
      <c r="P8163" s="308" t="s">
        <v>136</v>
      </c>
      <c r="Q8163" s="308" t="s">
        <v>40154</v>
      </c>
      <c r="R8163" s="308" t="s">
        <v>2743</v>
      </c>
      <c r="S8163" s="315" t="s">
        <v>100</v>
      </c>
      <c r="T8163" s="308" t="s">
        <v>34208</v>
      </c>
      <c r="U8163" s="308" t="s">
        <v>2291</v>
      </c>
      <c r="V8163" s="308"/>
    </row>
    <row r="8164">
      <c r="A8164" s="308"/>
      <c r="B8164" s="308"/>
      <c r="C8164" s="308" t="s">
        <v>32203</v>
      </c>
      <c r="D8164" s="308">
        <f>IFERROR(__xludf.DUMMYFUNCTION("SPLIT(C8164,""-"")"),8184.0)</f>
        <v>8184</v>
      </c>
      <c r="E8164" s="308" t="str">
        <f>IFERROR(__xludf.DUMMYFUNCTION("""COMPUTED_VALUE"""),"P")</f>
        <v>P</v>
      </c>
      <c r="F8164" s="312" t="s">
        <v>37</v>
      </c>
      <c r="G8164" s="308"/>
      <c r="H8164" s="308" t="s">
        <v>32204</v>
      </c>
      <c r="I8164" s="310">
        <v>44308.0</v>
      </c>
      <c r="J8164" s="319">
        <f>IFERROR(__xludf.DUMMYFUNCTION("SPLIT(I8164,""/"")"),22.0)</f>
        <v>22</v>
      </c>
      <c r="K8164" s="308">
        <f>IFERROR(__xludf.DUMMYFUNCTION("""COMPUTED_VALUE"""),4.0)</f>
        <v>4</v>
      </c>
      <c r="L8164" s="308">
        <f>IFERROR(__xludf.DUMMYFUNCTION("""COMPUTED_VALUE"""),2021.0)</f>
        <v>2021</v>
      </c>
      <c r="M8164" s="308" t="s">
        <v>32205</v>
      </c>
      <c r="N8164" s="308" t="s">
        <v>40155</v>
      </c>
      <c r="O8164" s="308"/>
      <c r="P8164" s="308" t="s">
        <v>136</v>
      </c>
      <c r="Q8164" s="308" t="s">
        <v>40154</v>
      </c>
      <c r="R8164" s="308" t="s">
        <v>2743</v>
      </c>
      <c r="S8164" s="315" t="s">
        <v>100</v>
      </c>
      <c r="T8164" s="308" t="s">
        <v>34208</v>
      </c>
      <c r="U8164" s="308" t="s">
        <v>14984</v>
      </c>
      <c r="V8164" s="308"/>
    </row>
    <row r="8165">
      <c r="A8165" s="308"/>
      <c r="B8165" s="308"/>
      <c r="C8165" s="308" t="s">
        <v>32207</v>
      </c>
      <c r="D8165" s="308">
        <f>IFERROR(__xludf.DUMMYFUNCTION("SPLIT(C8165,""-"")"),8185.0)</f>
        <v>8185</v>
      </c>
      <c r="E8165" s="308" t="str">
        <f>IFERROR(__xludf.DUMMYFUNCTION("""COMPUTED_VALUE"""),"K")</f>
        <v>K</v>
      </c>
      <c r="F8165" s="309" t="s">
        <v>34</v>
      </c>
      <c r="G8165" s="308"/>
      <c r="H8165" s="308" t="s">
        <v>32208</v>
      </c>
      <c r="I8165" s="310">
        <v>43945.0</v>
      </c>
      <c r="J8165" s="319">
        <f>IFERROR(__xludf.DUMMYFUNCTION("SPLIT(I8165,""/"")"),24.0)</f>
        <v>24</v>
      </c>
      <c r="K8165" s="308">
        <f>IFERROR(__xludf.DUMMYFUNCTION("""COMPUTED_VALUE"""),4.0)</f>
        <v>4</v>
      </c>
      <c r="L8165" s="308">
        <f>IFERROR(__xludf.DUMMYFUNCTION("""COMPUTED_VALUE"""),2020.0)</f>
        <v>2020</v>
      </c>
      <c r="M8165" s="308" t="s">
        <v>32209</v>
      </c>
      <c r="N8165" s="308" t="s">
        <v>32210</v>
      </c>
      <c r="O8165" s="308"/>
      <c r="P8165" s="308" t="s">
        <v>136</v>
      </c>
      <c r="Q8165" s="308" t="s">
        <v>40154</v>
      </c>
      <c r="R8165" s="308" t="s">
        <v>2743</v>
      </c>
      <c r="S8165" s="315" t="s">
        <v>100</v>
      </c>
      <c r="T8165" s="308" t="s">
        <v>34208</v>
      </c>
      <c r="U8165" s="308" t="s">
        <v>31684</v>
      </c>
      <c r="V8165" s="308"/>
    </row>
    <row r="8166">
      <c r="A8166" s="308"/>
      <c r="B8166" s="308"/>
      <c r="C8166" s="308" t="s">
        <v>32211</v>
      </c>
      <c r="D8166" s="308">
        <f>IFERROR(__xludf.DUMMYFUNCTION("SPLIT(C8166,""-"")"),8186.0)</f>
        <v>8186</v>
      </c>
      <c r="E8166" s="308" t="str">
        <f>IFERROR(__xludf.DUMMYFUNCTION("""COMPUTED_VALUE"""),"K")</f>
        <v>K</v>
      </c>
      <c r="F8166" s="309" t="s">
        <v>34</v>
      </c>
      <c r="G8166" s="308"/>
      <c r="H8166" s="308" t="s">
        <v>32212</v>
      </c>
      <c r="I8166" s="310">
        <v>39969.0</v>
      </c>
      <c r="J8166" s="319">
        <f>IFERROR(__xludf.DUMMYFUNCTION("SPLIT(I8166,""/"")"),5.0)</f>
        <v>5</v>
      </c>
      <c r="K8166" s="308">
        <f>IFERROR(__xludf.DUMMYFUNCTION("""COMPUTED_VALUE"""),6.0)</f>
        <v>6</v>
      </c>
      <c r="L8166" s="308">
        <f>IFERROR(__xludf.DUMMYFUNCTION("""COMPUTED_VALUE"""),2009.0)</f>
        <v>2009</v>
      </c>
      <c r="M8166" s="308" t="s">
        <v>32213</v>
      </c>
      <c r="N8166" s="308" t="s">
        <v>32214</v>
      </c>
      <c r="O8166" s="308"/>
      <c r="P8166" s="308" t="s">
        <v>136</v>
      </c>
      <c r="Q8166" s="308" t="s">
        <v>40154</v>
      </c>
      <c r="R8166" s="308" t="s">
        <v>2743</v>
      </c>
      <c r="S8166" s="315" t="s">
        <v>100</v>
      </c>
      <c r="T8166" s="308" t="s">
        <v>34208</v>
      </c>
      <c r="U8166" s="308" t="s">
        <v>125</v>
      </c>
      <c r="V8166" s="308"/>
    </row>
    <row r="8167">
      <c r="A8167" s="308"/>
      <c r="B8167" s="308"/>
      <c r="C8167" s="308" t="s">
        <v>32215</v>
      </c>
      <c r="D8167" s="308">
        <f>IFERROR(__xludf.DUMMYFUNCTION("SPLIT(C8167,""-"")"),8187.0)</f>
        <v>8187</v>
      </c>
      <c r="E8167" s="308" t="str">
        <f>IFERROR(__xludf.DUMMYFUNCTION("""COMPUTED_VALUE"""),"A")</f>
        <v>A</v>
      </c>
      <c r="F8167" s="309" t="s">
        <v>23</v>
      </c>
      <c r="G8167" s="308"/>
      <c r="H8167" s="308" t="s">
        <v>32216</v>
      </c>
      <c r="I8167" s="310">
        <v>42999.0</v>
      </c>
      <c r="J8167" s="319">
        <f>IFERROR(__xludf.DUMMYFUNCTION("SPLIT(I8167,""/"")"),21.0)</f>
        <v>21</v>
      </c>
      <c r="K8167" s="308">
        <f>IFERROR(__xludf.DUMMYFUNCTION("""COMPUTED_VALUE"""),9.0)</f>
        <v>9</v>
      </c>
      <c r="L8167" s="308">
        <f>IFERROR(__xludf.DUMMYFUNCTION("""COMPUTED_VALUE"""),2017.0)</f>
        <v>2017</v>
      </c>
      <c r="M8167" s="308" t="s">
        <v>32217</v>
      </c>
      <c r="N8167" s="308" t="s">
        <v>32218</v>
      </c>
      <c r="O8167" s="308"/>
      <c r="P8167" s="308" t="s">
        <v>40156</v>
      </c>
      <c r="Q8167" s="308" t="s">
        <v>40157</v>
      </c>
      <c r="R8167" s="308" t="s">
        <v>2743</v>
      </c>
      <c r="S8167" s="308" t="s">
        <v>81</v>
      </c>
      <c r="T8167" s="311" t="s">
        <v>57</v>
      </c>
      <c r="U8167" s="308" t="s">
        <v>403</v>
      </c>
      <c r="V8167" s="308"/>
    </row>
    <row r="8168">
      <c r="A8168" s="308"/>
      <c r="B8168" s="308"/>
      <c r="C8168" s="308" t="s">
        <v>32220</v>
      </c>
      <c r="D8168" s="308">
        <f>IFERROR(__xludf.DUMMYFUNCTION("SPLIT(C8168,""-"")"),8188.0)</f>
        <v>8188</v>
      </c>
      <c r="E8168" s="308" t="str">
        <f>IFERROR(__xludf.DUMMYFUNCTION("""COMPUTED_VALUE"""),"K")</f>
        <v>K</v>
      </c>
      <c r="F8168" s="309" t="s">
        <v>34</v>
      </c>
      <c r="G8168" s="308"/>
      <c r="H8168" s="308" t="s">
        <v>32221</v>
      </c>
      <c r="I8168" s="310">
        <v>41299.0</v>
      </c>
      <c r="J8168" s="319">
        <f>IFERROR(__xludf.DUMMYFUNCTION("SPLIT(I8168,""/"")"),25.0)</f>
        <v>25</v>
      </c>
      <c r="K8168" s="308">
        <f>IFERROR(__xludf.DUMMYFUNCTION("""COMPUTED_VALUE"""),1.0)</f>
        <v>1</v>
      </c>
      <c r="L8168" s="308">
        <f>IFERROR(__xludf.DUMMYFUNCTION("""COMPUTED_VALUE"""),2013.0)</f>
        <v>2013</v>
      </c>
      <c r="M8168" s="308" t="s">
        <v>32222</v>
      </c>
      <c r="N8168" s="308" t="s">
        <v>40158</v>
      </c>
      <c r="O8168" s="308"/>
      <c r="P8168" s="308" t="s">
        <v>136</v>
      </c>
      <c r="Q8168" s="308" t="s">
        <v>40159</v>
      </c>
      <c r="R8168" s="308" t="s">
        <v>2743</v>
      </c>
      <c r="S8168" s="315" t="s">
        <v>100</v>
      </c>
      <c r="T8168" s="308" t="s">
        <v>34208</v>
      </c>
      <c r="U8168" s="308" t="s">
        <v>125</v>
      </c>
      <c r="V8168" s="308"/>
    </row>
    <row r="8169">
      <c r="A8169" s="308"/>
      <c r="B8169" s="308"/>
      <c r="C8169" s="308" t="s">
        <v>32224</v>
      </c>
      <c r="D8169" s="308">
        <f>IFERROR(__xludf.DUMMYFUNCTION("SPLIT(C8169,""-"")"),8189.0)</f>
        <v>8189</v>
      </c>
      <c r="E8169" s="308" t="str">
        <f>IFERROR(__xludf.DUMMYFUNCTION("""COMPUTED_VALUE"""),"K")</f>
        <v>K</v>
      </c>
      <c r="F8169" s="309" t="s">
        <v>34</v>
      </c>
      <c r="G8169" s="308"/>
      <c r="H8169" s="308" t="s">
        <v>32225</v>
      </c>
      <c r="I8169" s="310">
        <v>42924.0</v>
      </c>
      <c r="J8169" s="319" t="str">
        <f>IFERROR(__xludf.DUMMYFUNCTION("SPLIT(I8169,""/"")"),"#REF!")</f>
        <v>#REF!</v>
      </c>
      <c r="K8169" s="308"/>
      <c r="L8169" s="308">
        <v>2017.0</v>
      </c>
      <c r="M8169" s="308" t="s">
        <v>32226</v>
      </c>
      <c r="N8169" s="308" t="s">
        <v>32227</v>
      </c>
      <c r="O8169" s="308"/>
      <c r="P8169" s="308" t="s">
        <v>136</v>
      </c>
      <c r="Q8169" s="308" t="s">
        <v>40159</v>
      </c>
      <c r="R8169" s="308" t="s">
        <v>2743</v>
      </c>
      <c r="S8169" s="315" t="s">
        <v>100</v>
      </c>
      <c r="T8169" s="308" t="s">
        <v>34208</v>
      </c>
      <c r="U8169" s="308" t="s">
        <v>18616</v>
      </c>
      <c r="V8169" s="308"/>
    </row>
    <row r="8170">
      <c r="A8170" s="308"/>
      <c r="B8170" s="308"/>
      <c r="C8170" s="308" t="s">
        <v>32228</v>
      </c>
      <c r="D8170" s="308">
        <f>IFERROR(__xludf.DUMMYFUNCTION("SPLIT(C8170,""-"")"),8190.0)</f>
        <v>8190</v>
      </c>
      <c r="E8170" s="308" t="str">
        <f>IFERROR(__xludf.DUMMYFUNCTION("""COMPUTED_VALUE"""),"K")</f>
        <v>K</v>
      </c>
      <c r="F8170" s="309" t="s">
        <v>34</v>
      </c>
      <c r="G8170" s="308"/>
      <c r="H8170" s="308" t="s">
        <v>32229</v>
      </c>
      <c r="I8170" s="310">
        <v>42023.0</v>
      </c>
      <c r="J8170" s="319">
        <f>IFERROR(__xludf.DUMMYFUNCTION("SPLIT(I8170,""/"")"),19.0)</f>
        <v>19</v>
      </c>
      <c r="K8170" s="308">
        <f>IFERROR(__xludf.DUMMYFUNCTION("""COMPUTED_VALUE"""),1.0)</f>
        <v>1</v>
      </c>
      <c r="L8170" s="308">
        <f>IFERROR(__xludf.DUMMYFUNCTION("""COMPUTED_VALUE"""),2015.0)</f>
        <v>2015</v>
      </c>
      <c r="M8170" s="308" t="s">
        <v>32230</v>
      </c>
      <c r="N8170" s="308" t="s">
        <v>32231</v>
      </c>
      <c r="O8170" s="308"/>
      <c r="P8170" s="308" t="s">
        <v>136</v>
      </c>
      <c r="Q8170" s="308" t="s">
        <v>40159</v>
      </c>
      <c r="R8170" s="308" t="s">
        <v>2743</v>
      </c>
      <c r="S8170" s="315" t="s">
        <v>100</v>
      </c>
      <c r="T8170" s="308" t="s">
        <v>34208</v>
      </c>
      <c r="U8170" s="308" t="s">
        <v>27994</v>
      </c>
      <c r="V8170" s="308"/>
    </row>
    <row r="8171">
      <c r="A8171" s="308"/>
      <c r="B8171" s="308"/>
      <c r="C8171" s="308" t="s">
        <v>32232</v>
      </c>
      <c r="D8171" s="308">
        <f>IFERROR(__xludf.DUMMYFUNCTION("SPLIT(C8171,""-"")"),8191.0)</f>
        <v>8191</v>
      </c>
      <c r="E8171" s="308" t="str">
        <f>IFERROR(__xludf.DUMMYFUNCTION("""COMPUTED_VALUE"""),"S")</f>
        <v>S</v>
      </c>
      <c r="F8171" s="312" t="s">
        <v>39</v>
      </c>
      <c r="G8171" s="308"/>
      <c r="H8171" s="308" t="s">
        <v>32233</v>
      </c>
      <c r="I8171" s="310">
        <v>44326.0</v>
      </c>
      <c r="J8171" s="319">
        <f>IFERROR(__xludf.DUMMYFUNCTION("SPLIT(I8171,""/"")"),10.0)</f>
        <v>10</v>
      </c>
      <c r="K8171" s="308">
        <f>IFERROR(__xludf.DUMMYFUNCTION("""COMPUTED_VALUE"""),5.0)</f>
        <v>5</v>
      </c>
      <c r="L8171" s="308">
        <f>IFERROR(__xludf.DUMMYFUNCTION("""COMPUTED_VALUE"""),2021.0)</f>
        <v>2021</v>
      </c>
      <c r="M8171" s="308" t="s">
        <v>32234</v>
      </c>
      <c r="N8171" s="308" t="s">
        <v>32235</v>
      </c>
      <c r="O8171" s="308"/>
      <c r="P8171" s="308" t="s">
        <v>136</v>
      </c>
      <c r="Q8171" s="308" t="s">
        <v>40159</v>
      </c>
      <c r="R8171" s="308" t="s">
        <v>2743</v>
      </c>
      <c r="S8171" s="315" t="s">
        <v>100</v>
      </c>
      <c r="T8171" s="308" t="s">
        <v>34208</v>
      </c>
      <c r="U8171" s="308" t="s">
        <v>166</v>
      </c>
      <c r="V8171" s="308" t="s">
        <v>32236</v>
      </c>
    </row>
    <row r="8172">
      <c r="A8172" s="308"/>
      <c r="B8172" s="308"/>
      <c r="C8172" s="308" t="s">
        <v>32237</v>
      </c>
      <c r="D8172" s="308">
        <f>IFERROR(__xludf.DUMMYFUNCTION("SPLIT(C8172,""-"")"),8192.0)</f>
        <v>8192</v>
      </c>
      <c r="E8172" s="308" t="str">
        <f>IFERROR(__xludf.DUMMYFUNCTION("""COMPUTED_VALUE"""),"K")</f>
        <v>K</v>
      </c>
      <c r="F8172" s="309" t="s">
        <v>34</v>
      </c>
      <c r="G8172" s="308"/>
      <c r="H8172" s="308" t="s">
        <v>31822</v>
      </c>
      <c r="I8172" s="310">
        <v>44473.0</v>
      </c>
      <c r="J8172" s="319">
        <f>IFERROR(__xludf.DUMMYFUNCTION("SPLIT(I8172,""/"")"),4.0)</f>
        <v>4</v>
      </c>
      <c r="K8172" s="308">
        <f>IFERROR(__xludf.DUMMYFUNCTION("""COMPUTED_VALUE"""),10.0)</f>
        <v>10</v>
      </c>
      <c r="L8172" s="308">
        <f>IFERROR(__xludf.DUMMYFUNCTION("""COMPUTED_VALUE"""),2021.0)</f>
        <v>2021</v>
      </c>
      <c r="M8172" s="308" t="s">
        <v>31823</v>
      </c>
      <c r="N8172" s="308" t="s">
        <v>31824</v>
      </c>
      <c r="O8172" s="308"/>
      <c r="P8172" s="308" t="s">
        <v>136</v>
      </c>
      <c r="Q8172" s="308" t="s">
        <v>40160</v>
      </c>
      <c r="R8172" s="308" t="s">
        <v>2743</v>
      </c>
      <c r="S8172" s="315" t="s">
        <v>100</v>
      </c>
      <c r="T8172" s="308" t="s">
        <v>34208</v>
      </c>
      <c r="U8172" s="308" t="s">
        <v>542</v>
      </c>
      <c r="V8172" s="308" t="s">
        <v>32238</v>
      </c>
    </row>
    <row r="8173">
      <c r="A8173" s="308"/>
      <c r="B8173" s="308"/>
      <c r="C8173" s="308" t="s">
        <v>32239</v>
      </c>
      <c r="D8173" s="308">
        <f>IFERROR(__xludf.DUMMYFUNCTION("SPLIT(C8173,""-"")"),8193.0)</f>
        <v>8193</v>
      </c>
      <c r="E8173" s="308" t="str">
        <f>IFERROR(__xludf.DUMMYFUNCTION("""COMPUTED_VALUE"""),"B")</f>
        <v>B</v>
      </c>
      <c r="F8173" s="315" t="s">
        <v>26</v>
      </c>
      <c r="G8173" s="308"/>
      <c r="H8173" s="308" t="s">
        <v>32240</v>
      </c>
      <c r="I8173" s="338">
        <v>43152.0</v>
      </c>
      <c r="J8173" s="323">
        <v>21.0</v>
      </c>
      <c r="K8173" s="311">
        <v>2.0</v>
      </c>
      <c r="L8173" s="311">
        <v>2018.0</v>
      </c>
      <c r="M8173" s="308" t="s">
        <v>32241</v>
      </c>
      <c r="N8173" s="308" t="s">
        <v>32242</v>
      </c>
      <c r="O8173" s="308"/>
      <c r="P8173" s="308" t="s">
        <v>136</v>
      </c>
      <c r="Q8173" s="308" t="s">
        <v>40161</v>
      </c>
      <c r="R8173" s="308" t="s">
        <v>2743</v>
      </c>
      <c r="S8173" s="315" t="s">
        <v>100</v>
      </c>
      <c r="T8173" s="308" t="s">
        <v>34208</v>
      </c>
      <c r="U8173" s="308" t="s">
        <v>27</v>
      </c>
      <c r="V8173" s="308"/>
    </row>
    <row r="8174">
      <c r="A8174" s="308"/>
      <c r="B8174" s="308"/>
      <c r="C8174" s="308" t="s">
        <v>32243</v>
      </c>
      <c r="D8174" s="308">
        <f>IFERROR(__xludf.DUMMYFUNCTION("SPLIT(C8174,""-"")"),8194.0)</f>
        <v>8194</v>
      </c>
      <c r="E8174" s="308" t="str">
        <f>IFERROR(__xludf.DUMMYFUNCTION("""COMPUTED_VALUE"""),"B")</f>
        <v>B</v>
      </c>
      <c r="F8174" s="315" t="s">
        <v>26</v>
      </c>
      <c r="G8174" s="308"/>
      <c r="H8174" s="308" t="s">
        <v>32244</v>
      </c>
      <c r="I8174" s="338">
        <v>44439.0</v>
      </c>
      <c r="J8174" s="323">
        <v>31.0</v>
      </c>
      <c r="K8174" s="311">
        <v>8.0</v>
      </c>
      <c r="L8174" s="311">
        <v>2021.0</v>
      </c>
      <c r="M8174" s="308" t="s">
        <v>32245</v>
      </c>
      <c r="N8174" s="308" t="s">
        <v>32246</v>
      </c>
      <c r="O8174" s="308"/>
      <c r="P8174" s="308" t="s">
        <v>136</v>
      </c>
      <c r="Q8174" s="308" t="s">
        <v>40161</v>
      </c>
      <c r="R8174" s="308" t="s">
        <v>2743</v>
      </c>
      <c r="S8174" s="315" t="s">
        <v>100</v>
      </c>
      <c r="T8174" s="308" t="s">
        <v>34208</v>
      </c>
      <c r="U8174" s="308" t="s">
        <v>27</v>
      </c>
      <c r="V8174" s="308"/>
    </row>
    <row r="8175">
      <c r="A8175" s="308"/>
      <c r="B8175" s="308"/>
      <c r="C8175" s="308" t="s">
        <v>32247</v>
      </c>
      <c r="D8175" s="308">
        <f>IFERROR(__xludf.DUMMYFUNCTION("SPLIT(C8175,""-"")"),8195.0)</f>
        <v>8195</v>
      </c>
      <c r="E8175" s="308" t="str">
        <f>IFERROR(__xludf.DUMMYFUNCTION("""COMPUTED_VALUE"""),"B")</f>
        <v>B</v>
      </c>
      <c r="F8175" s="315" t="s">
        <v>26</v>
      </c>
      <c r="G8175" s="308"/>
      <c r="H8175" s="308" t="s">
        <v>32248</v>
      </c>
      <c r="I8175" s="338">
        <v>43218.0</v>
      </c>
      <c r="J8175" s="319">
        <f>IFERROR(__xludf.DUMMYFUNCTION("SPLIT(I8175,""-"")"),28.0)</f>
        <v>28</v>
      </c>
      <c r="K8175" s="308">
        <f>IFERROR(__xludf.DUMMYFUNCTION("""COMPUTED_VALUE"""),4.0)</f>
        <v>4</v>
      </c>
      <c r="L8175" s="308">
        <f>IFERROR(__xludf.DUMMYFUNCTION("""COMPUTED_VALUE"""),2018.0)</f>
        <v>2018</v>
      </c>
      <c r="M8175" s="308" t="s">
        <v>32249</v>
      </c>
      <c r="N8175" s="308" t="s">
        <v>32250</v>
      </c>
      <c r="O8175" s="308"/>
      <c r="P8175" s="308" t="s">
        <v>136</v>
      </c>
      <c r="Q8175" s="308" t="s">
        <v>40161</v>
      </c>
      <c r="R8175" s="308" t="s">
        <v>2743</v>
      </c>
      <c r="S8175" s="315" t="s">
        <v>100</v>
      </c>
      <c r="T8175" s="308" t="s">
        <v>34208</v>
      </c>
      <c r="U8175" s="308" t="s">
        <v>27</v>
      </c>
      <c r="V8175" s="308"/>
    </row>
    <row r="8176">
      <c r="A8176" s="308"/>
      <c r="B8176" s="308"/>
      <c r="C8176" s="308" t="s">
        <v>32251</v>
      </c>
      <c r="D8176" s="308">
        <f>IFERROR(__xludf.DUMMYFUNCTION("SPLIT(C8176,""-"")"),8196.0)</f>
        <v>8196</v>
      </c>
      <c r="E8176" s="308" t="str">
        <f>IFERROR(__xludf.DUMMYFUNCTION("""COMPUTED_VALUE"""),"B")</f>
        <v>B</v>
      </c>
      <c r="F8176" s="315" t="s">
        <v>26</v>
      </c>
      <c r="G8176" s="308"/>
      <c r="H8176" s="308" t="s">
        <v>32252</v>
      </c>
      <c r="I8176" s="338">
        <v>42222.0</v>
      </c>
      <c r="J8176" s="319">
        <f>IFERROR(__xludf.DUMMYFUNCTION("SPLIT(I8176,""-"")"),6.0)</f>
        <v>6</v>
      </c>
      <c r="K8176" s="308">
        <f>IFERROR(__xludf.DUMMYFUNCTION("""COMPUTED_VALUE"""),8.0)</f>
        <v>8</v>
      </c>
      <c r="L8176" s="308">
        <f>IFERROR(__xludf.DUMMYFUNCTION("""COMPUTED_VALUE"""),2015.0)</f>
        <v>2015</v>
      </c>
      <c r="M8176" s="308" t="s">
        <v>40162</v>
      </c>
      <c r="N8176" s="308" t="s">
        <v>32254</v>
      </c>
      <c r="O8176" s="308"/>
      <c r="P8176" s="308" t="s">
        <v>136</v>
      </c>
      <c r="Q8176" s="308" t="s">
        <v>40161</v>
      </c>
      <c r="R8176" s="308" t="s">
        <v>2743</v>
      </c>
      <c r="S8176" s="315" t="s">
        <v>100</v>
      </c>
      <c r="T8176" s="308" t="s">
        <v>34208</v>
      </c>
      <c r="U8176" s="308" t="s">
        <v>27</v>
      </c>
      <c r="V8176" s="308"/>
    </row>
    <row r="8177">
      <c r="A8177" s="308"/>
      <c r="B8177" s="308"/>
      <c r="C8177" s="308" t="s">
        <v>32255</v>
      </c>
      <c r="D8177" s="308">
        <f>IFERROR(__xludf.DUMMYFUNCTION("SPLIT(C8177,""-"")"),8197.0)</f>
        <v>8197</v>
      </c>
      <c r="E8177" s="308" t="str">
        <f>IFERROR(__xludf.DUMMYFUNCTION("""COMPUTED_VALUE"""),"B")</f>
        <v>B</v>
      </c>
      <c r="F8177" s="315" t="s">
        <v>26</v>
      </c>
      <c r="G8177" s="308"/>
      <c r="H8177" s="308" t="s">
        <v>32256</v>
      </c>
      <c r="I8177" s="316">
        <v>2016.0</v>
      </c>
      <c r="J8177" s="319"/>
      <c r="K8177" s="308"/>
      <c r="L8177" s="311">
        <v>2016.0</v>
      </c>
      <c r="M8177" s="308" t="s">
        <v>32257</v>
      </c>
      <c r="N8177" s="308"/>
      <c r="O8177" s="308"/>
      <c r="P8177" s="308" t="s">
        <v>136</v>
      </c>
      <c r="Q8177" s="308" t="s">
        <v>40161</v>
      </c>
      <c r="R8177" s="308" t="s">
        <v>2743</v>
      </c>
      <c r="S8177" s="315" t="s">
        <v>100</v>
      </c>
      <c r="T8177" s="308" t="s">
        <v>34208</v>
      </c>
      <c r="U8177" s="308" t="s">
        <v>27</v>
      </c>
      <c r="V8177" s="308"/>
    </row>
    <row r="8178">
      <c r="A8178" s="308"/>
      <c r="B8178" s="308"/>
      <c r="C8178" s="308" t="s">
        <v>32258</v>
      </c>
      <c r="D8178" s="308">
        <f>IFERROR(__xludf.DUMMYFUNCTION("SPLIT(C8178,""-"")"),8198.0)</f>
        <v>8198</v>
      </c>
      <c r="E8178" s="308" t="str">
        <f>IFERROR(__xludf.DUMMYFUNCTION("""COMPUTED_VALUE"""),"B")</f>
        <v>B</v>
      </c>
      <c r="F8178" s="315" t="s">
        <v>26</v>
      </c>
      <c r="G8178" s="308"/>
      <c r="H8178" s="308" t="s">
        <v>32259</v>
      </c>
      <c r="I8178" s="338">
        <v>44535.0</v>
      </c>
      <c r="J8178" s="319">
        <f>IFERROR(__xludf.DUMMYFUNCTION("SPLIT(I8178,""-"")"),5.0)</f>
        <v>5</v>
      </c>
      <c r="K8178" s="308">
        <f>IFERROR(__xludf.DUMMYFUNCTION("""COMPUTED_VALUE"""),12.0)</f>
        <v>12</v>
      </c>
      <c r="L8178" s="308">
        <f>IFERROR(__xludf.DUMMYFUNCTION("""COMPUTED_VALUE"""),2021.0)</f>
        <v>2021</v>
      </c>
      <c r="M8178" s="308" t="s">
        <v>32260</v>
      </c>
      <c r="N8178" s="308" t="s">
        <v>32261</v>
      </c>
      <c r="O8178" s="308"/>
      <c r="P8178" s="308" t="s">
        <v>136</v>
      </c>
      <c r="Q8178" s="308" t="s">
        <v>40161</v>
      </c>
      <c r="R8178" s="308" t="s">
        <v>2743</v>
      </c>
      <c r="S8178" s="315" t="s">
        <v>100</v>
      </c>
      <c r="T8178" s="308" t="s">
        <v>34208</v>
      </c>
      <c r="U8178" s="308" t="s">
        <v>27</v>
      </c>
      <c r="V8178" s="308"/>
    </row>
    <row r="8179">
      <c r="A8179" s="308"/>
      <c r="B8179" s="308"/>
      <c r="C8179" s="308" t="s">
        <v>32262</v>
      </c>
      <c r="D8179" s="308">
        <f>IFERROR(__xludf.DUMMYFUNCTION("SPLIT(C8179,""-"")"),8199.0)</f>
        <v>8199</v>
      </c>
      <c r="E8179" s="308" t="str">
        <f>IFERROR(__xludf.DUMMYFUNCTION("""COMPUTED_VALUE"""),"B")</f>
        <v>B</v>
      </c>
      <c r="F8179" s="315" t="s">
        <v>26</v>
      </c>
      <c r="G8179" s="308"/>
      <c r="H8179" s="308" t="s">
        <v>32263</v>
      </c>
      <c r="I8179" s="338">
        <v>44279.0</v>
      </c>
      <c r="J8179" s="319">
        <f>IFERROR(__xludf.DUMMYFUNCTION("SPLIT(I8179,""-"")"),24.0)</f>
        <v>24</v>
      </c>
      <c r="K8179" s="308">
        <f>IFERROR(__xludf.DUMMYFUNCTION("""COMPUTED_VALUE"""),3.0)</f>
        <v>3</v>
      </c>
      <c r="L8179" s="308">
        <f>IFERROR(__xludf.DUMMYFUNCTION("""COMPUTED_VALUE"""),2021.0)</f>
        <v>2021</v>
      </c>
      <c r="M8179" s="308" t="s">
        <v>32264</v>
      </c>
      <c r="N8179" s="308" t="s">
        <v>32265</v>
      </c>
      <c r="O8179" s="308"/>
      <c r="P8179" s="308" t="s">
        <v>136</v>
      </c>
      <c r="Q8179" s="308" t="s">
        <v>40161</v>
      </c>
      <c r="R8179" s="308" t="s">
        <v>2743</v>
      </c>
      <c r="S8179" s="315" t="s">
        <v>100</v>
      </c>
      <c r="T8179" s="308" t="s">
        <v>34208</v>
      </c>
      <c r="U8179" s="308" t="s">
        <v>27</v>
      </c>
      <c r="V8179" s="308"/>
    </row>
    <row r="8180">
      <c r="A8180" s="308"/>
      <c r="B8180" s="308"/>
      <c r="C8180" s="308" t="s">
        <v>32266</v>
      </c>
      <c r="D8180" s="308">
        <f>IFERROR(__xludf.DUMMYFUNCTION("SPLIT(C8180,""-"")"),8200.0)</f>
        <v>8200</v>
      </c>
      <c r="E8180" s="308" t="str">
        <f>IFERROR(__xludf.DUMMYFUNCTION("""COMPUTED_VALUE"""),"B")</f>
        <v>B</v>
      </c>
      <c r="F8180" s="315" t="s">
        <v>26</v>
      </c>
      <c r="G8180" s="308"/>
      <c r="H8180" s="308" t="s">
        <v>32267</v>
      </c>
      <c r="I8180" s="338">
        <v>44420.0</v>
      </c>
      <c r="J8180" s="319">
        <f>IFERROR(__xludf.DUMMYFUNCTION("SPLIT(I8180,""-"")"),12.0)</f>
        <v>12</v>
      </c>
      <c r="K8180" s="308">
        <f>IFERROR(__xludf.DUMMYFUNCTION("""COMPUTED_VALUE"""),8.0)</f>
        <v>8</v>
      </c>
      <c r="L8180" s="308">
        <f>IFERROR(__xludf.DUMMYFUNCTION("""COMPUTED_VALUE"""),2021.0)</f>
        <v>2021</v>
      </c>
      <c r="M8180" s="308" t="s">
        <v>32268</v>
      </c>
      <c r="N8180" s="308" t="s">
        <v>32269</v>
      </c>
      <c r="O8180" s="308"/>
      <c r="P8180" s="308" t="s">
        <v>136</v>
      </c>
      <c r="Q8180" s="308" t="s">
        <v>40161</v>
      </c>
      <c r="R8180" s="308" t="s">
        <v>2743</v>
      </c>
      <c r="S8180" s="315" t="s">
        <v>100</v>
      </c>
      <c r="T8180" s="308" t="s">
        <v>34208</v>
      </c>
      <c r="U8180" s="308" t="s">
        <v>27</v>
      </c>
      <c r="V8180" s="308"/>
    </row>
    <row r="8181">
      <c r="A8181" s="308"/>
      <c r="B8181" s="308"/>
      <c r="C8181" s="308" t="s">
        <v>32270</v>
      </c>
      <c r="D8181" s="308">
        <f>IFERROR(__xludf.DUMMYFUNCTION("SPLIT(C8181,""-"")"),8201.0)</f>
        <v>8201</v>
      </c>
      <c r="E8181" s="308" t="str">
        <f>IFERROR(__xludf.DUMMYFUNCTION("""COMPUTED_VALUE"""),"B")</f>
        <v>B</v>
      </c>
      <c r="F8181" s="315" t="s">
        <v>26</v>
      </c>
      <c r="G8181" s="308"/>
      <c r="H8181" s="308" t="s">
        <v>32271</v>
      </c>
      <c r="I8181" s="338">
        <v>43306.0</v>
      </c>
      <c r="J8181" s="319">
        <f>IFERROR(__xludf.DUMMYFUNCTION("SPLIT(I8181,""-"")"),25.0)</f>
        <v>25</v>
      </c>
      <c r="K8181" s="308">
        <f>IFERROR(__xludf.DUMMYFUNCTION("""COMPUTED_VALUE"""),7.0)</f>
        <v>7</v>
      </c>
      <c r="L8181" s="308">
        <f>IFERROR(__xludf.DUMMYFUNCTION("""COMPUTED_VALUE"""),2018.0)</f>
        <v>2018</v>
      </c>
      <c r="M8181" s="308" t="s">
        <v>32272</v>
      </c>
      <c r="N8181" s="308"/>
      <c r="O8181" s="308"/>
      <c r="P8181" s="308" t="s">
        <v>136</v>
      </c>
      <c r="Q8181" s="308" t="s">
        <v>40161</v>
      </c>
      <c r="R8181" s="308" t="s">
        <v>2743</v>
      </c>
      <c r="S8181" s="315" t="s">
        <v>100</v>
      </c>
      <c r="T8181" s="308" t="s">
        <v>34208</v>
      </c>
      <c r="U8181" s="308" t="s">
        <v>27</v>
      </c>
      <c r="V8181" s="308"/>
    </row>
    <row r="8182">
      <c r="A8182" s="308"/>
      <c r="B8182" s="308"/>
      <c r="C8182" s="308" t="s">
        <v>32273</v>
      </c>
      <c r="D8182" s="308">
        <f>IFERROR(__xludf.DUMMYFUNCTION("SPLIT(C8182,""-"")"),8202.0)</f>
        <v>8202</v>
      </c>
      <c r="E8182" s="308" t="str">
        <f>IFERROR(__xludf.DUMMYFUNCTION("""COMPUTED_VALUE"""),"S")</f>
        <v>S</v>
      </c>
      <c r="F8182" s="312" t="s">
        <v>39</v>
      </c>
      <c r="G8182" s="308"/>
      <c r="H8182" s="308" t="s">
        <v>32274</v>
      </c>
      <c r="I8182" s="316">
        <v>2018.0</v>
      </c>
      <c r="J8182" s="319"/>
      <c r="K8182" s="308"/>
      <c r="L8182" s="311">
        <v>2018.0</v>
      </c>
      <c r="M8182" s="308" t="s">
        <v>32275</v>
      </c>
      <c r="N8182" s="308"/>
      <c r="O8182" s="308"/>
      <c r="P8182" s="308" t="s">
        <v>136</v>
      </c>
      <c r="Q8182" s="308" t="s">
        <v>40161</v>
      </c>
      <c r="R8182" s="308" t="s">
        <v>2743</v>
      </c>
      <c r="S8182" s="315" t="s">
        <v>100</v>
      </c>
      <c r="T8182" s="308" t="s">
        <v>34208</v>
      </c>
      <c r="U8182" s="308" t="s">
        <v>32276</v>
      </c>
      <c r="V8182" s="308"/>
    </row>
    <row r="8183">
      <c r="A8183" s="308"/>
      <c r="B8183" s="308"/>
      <c r="C8183" s="308" t="s">
        <v>32277</v>
      </c>
      <c r="D8183" s="308">
        <f>IFERROR(__xludf.DUMMYFUNCTION("SPLIT(C8183,""-"")"),8203.0)</f>
        <v>8203</v>
      </c>
      <c r="E8183" s="308" t="str">
        <f>IFERROR(__xludf.DUMMYFUNCTION("""COMPUTED_VALUE"""),"S")</f>
        <v>S</v>
      </c>
      <c r="F8183" s="312" t="s">
        <v>39</v>
      </c>
      <c r="G8183" s="308"/>
      <c r="H8183" s="308" t="s">
        <v>32278</v>
      </c>
      <c r="I8183" s="316">
        <v>2018.0</v>
      </c>
      <c r="J8183" s="319"/>
      <c r="K8183" s="308"/>
      <c r="L8183" s="311">
        <v>2018.0</v>
      </c>
      <c r="M8183" s="308" t="s">
        <v>32279</v>
      </c>
      <c r="N8183" s="308"/>
      <c r="O8183" s="308"/>
      <c r="P8183" s="308" t="s">
        <v>136</v>
      </c>
      <c r="Q8183" s="308" t="s">
        <v>40161</v>
      </c>
      <c r="R8183" s="308" t="s">
        <v>2743</v>
      </c>
      <c r="S8183" s="315" t="s">
        <v>100</v>
      </c>
      <c r="T8183" s="308" t="s">
        <v>34208</v>
      </c>
      <c r="U8183" s="308" t="s">
        <v>32276</v>
      </c>
      <c r="V8183" s="308"/>
    </row>
    <row r="8184">
      <c r="A8184" s="308"/>
      <c r="B8184" s="308"/>
      <c r="C8184" s="308" t="s">
        <v>32280</v>
      </c>
      <c r="D8184" s="308">
        <f>IFERROR(__xludf.DUMMYFUNCTION("SPLIT(C8184,""-"")"),8204.0)</f>
        <v>8204</v>
      </c>
      <c r="E8184" s="308" t="str">
        <f>IFERROR(__xludf.DUMMYFUNCTION("""COMPUTED_VALUE"""),"K")</f>
        <v>K</v>
      </c>
      <c r="F8184" s="309" t="s">
        <v>34</v>
      </c>
      <c r="G8184" s="308"/>
      <c r="H8184" s="308" t="s">
        <v>32281</v>
      </c>
      <c r="I8184" s="338">
        <v>43277.0</v>
      </c>
      <c r="J8184" s="319">
        <f>IFERROR(__xludf.DUMMYFUNCTION("SPLIT(I8184,""-"")"),26.0)</f>
        <v>26</v>
      </c>
      <c r="K8184" s="308">
        <f>IFERROR(__xludf.DUMMYFUNCTION("""COMPUTED_VALUE"""),6.0)</f>
        <v>6</v>
      </c>
      <c r="L8184" s="308">
        <f>IFERROR(__xludf.DUMMYFUNCTION("""COMPUTED_VALUE"""),2018.0)</f>
        <v>2018</v>
      </c>
      <c r="M8184" s="308" t="s">
        <v>32282</v>
      </c>
      <c r="N8184" s="308"/>
      <c r="O8184" s="308"/>
      <c r="P8184" s="308" t="s">
        <v>136</v>
      </c>
      <c r="Q8184" s="308" t="s">
        <v>40163</v>
      </c>
      <c r="R8184" s="308" t="s">
        <v>2743</v>
      </c>
      <c r="S8184" s="315" t="s">
        <v>100</v>
      </c>
      <c r="T8184" s="308" t="s">
        <v>34208</v>
      </c>
      <c r="U8184" s="308" t="s">
        <v>872</v>
      </c>
      <c r="V8184" s="308"/>
    </row>
    <row r="8185">
      <c r="A8185" s="308"/>
      <c r="B8185" s="308"/>
      <c r="C8185" s="308" t="s">
        <v>32283</v>
      </c>
      <c r="D8185" s="308">
        <f>IFERROR(__xludf.DUMMYFUNCTION("SPLIT(C8185,""-"")"),8205.0)</f>
        <v>8205</v>
      </c>
      <c r="E8185" s="308" t="str">
        <f>IFERROR(__xludf.DUMMYFUNCTION("""COMPUTED_VALUE"""),"B")</f>
        <v>B</v>
      </c>
      <c r="F8185" s="315" t="s">
        <v>26</v>
      </c>
      <c r="G8185" s="308"/>
      <c r="H8185" s="308" t="s">
        <v>32284</v>
      </c>
      <c r="I8185" s="338">
        <v>44199.0</v>
      </c>
      <c r="J8185" s="319">
        <f>IFERROR(__xludf.DUMMYFUNCTION("SPLIT(I8185,""-"")"),3.0)</f>
        <v>3</v>
      </c>
      <c r="K8185" s="308">
        <f>IFERROR(__xludf.DUMMYFUNCTION("""COMPUTED_VALUE"""),1.0)</f>
        <v>1</v>
      </c>
      <c r="L8185" s="308">
        <f>IFERROR(__xludf.DUMMYFUNCTION("""COMPUTED_VALUE"""),2021.0)</f>
        <v>2021</v>
      </c>
      <c r="M8185" s="308" t="s">
        <v>32285</v>
      </c>
      <c r="N8185" s="308"/>
      <c r="O8185" s="308"/>
      <c r="P8185" s="308" t="s">
        <v>136</v>
      </c>
      <c r="Q8185" s="308" t="s">
        <v>40164</v>
      </c>
      <c r="R8185" s="308" t="s">
        <v>2743</v>
      </c>
      <c r="S8185" s="315" t="s">
        <v>100</v>
      </c>
      <c r="T8185" s="308" t="s">
        <v>34208</v>
      </c>
      <c r="U8185" s="308" t="s">
        <v>27</v>
      </c>
      <c r="V8185" s="308"/>
    </row>
    <row r="8186">
      <c r="A8186" s="308"/>
      <c r="B8186" s="308"/>
      <c r="C8186" s="308" t="s">
        <v>32286</v>
      </c>
      <c r="D8186" s="308">
        <f>IFERROR(__xludf.DUMMYFUNCTION("SPLIT(C8186,""-"")"),8206.0)</f>
        <v>8206</v>
      </c>
      <c r="E8186" s="308" t="str">
        <f>IFERROR(__xludf.DUMMYFUNCTION("""COMPUTED_VALUE"""),"B")</f>
        <v>B</v>
      </c>
      <c r="F8186" s="315" t="s">
        <v>26</v>
      </c>
      <c r="G8186" s="308"/>
      <c r="H8186" s="308" t="s">
        <v>32287</v>
      </c>
      <c r="I8186" s="338">
        <v>44285.0</v>
      </c>
      <c r="J8186" s="319">
        <f>IFERROR(__xludf.DUMMYFUNCTION("SPLIT(I8186,""-"")"),30.0)</f>
        <v>30</v>
      </c>
      <c r="K8186" s="308">
        <f>IFERROR(__xludf.DUMMYFUNCTION("""COMPUTED_VALUE"""),3.0)</f>
        <v>3</v>
      </c>
      <c r="L8186" s="308">
        <f>IFERROR(__xludf.DUMMYFUNCTION("""COMPUTED_VALUE"""),2021.0)</f>
        <v>2021</v>
      </c>
      <c r="M8186" s="308" t="s">
        <v>32288</v>
      </c>
      <c r="N8186" s="308" t="s">
        <v>32289</v>
      </c>
      <c r="O8186" s="308"/>
      <c r="P8186" s="308" t="s">
        <v>136</v>
      </c>
      <c r="Q8186" s="308" t="s">
        <v>40164</v>
      </c>
      <c r="R8186" s="308" t="s">
        <v>2743</v>
      </c>
      <c r="S8186" s="315" t="s">
        <v>100</v>
      </c>
      <c r="T8186" s="308" t="s">
        <v>34208</v>
      </c>
      <c r="U8186" s="308" t="s">
        <v>27</v>
      </c>
      <c r="V8186" s="308"/>
    </row>
    <row r="8187">
      <c r="A8187" s="308"/>
      <c r="B8187" s="308"/>
      <c r="C8187" s="308" t="s">
        <v>32290</v>
      </c>
      <c r="D8187" s="308">
        <f>IFERROR(__xludf.DUMMYFUNCTION("SPLIT(C8187,""-"")"),8207.0)</f>
        <v>8207</v>
      </c>
      <c r="E8187" s="308" t="str">
        <f>IFERROR(__xludf.DUMMYFUNCTION("""COMPUTED_VALUE"""),"B")</f>
        <v>B</v>
      </c>
      <c r="F8187" s="315" t="s">
        <v>26</v>
      </c>
      <c r="G8187" s="308"/>
      <c r="H8187" s="308" t="s">
        <v>32291</v>
      </c>
      <c r="I8187" s="338">
        <v>44285.0</v>
      </c>
      <c r="J8187" s="319">
        <f>IFERROR(__xludf.DUMMYFUNCTION("SPLIT(I8187,""-"")"),30.0)</f>
        <v>30</v>
      </c>
      <c r="K8187" s="308">
        <f>IFERROR(__xludf.DUMMYFUNCTION("""COMPUTED_VALUE"""),3.0)</f>
        <v>3</v>
      </c>
      <c r="L8187" s="308">
        <f>IFERROR(__xludf.DUMMYFUNCTION("""COMPUTED_VALUE"""),2021.0)</f>
        <v>2021</v>
      </c>
      <c r="M8187" s="308" t="s">
        <v>32288</v>
      </c>
      <c r="N8187" s="308" t="s">
        <v>32292</v>
      </c>
      <c r="O8187" s="308"/>
      <c r="P8187" s="308" t="s">
        <v>136</v>
      </c>
      <c r="Q8187" s="308" t="s">
        <v>40164</v>
      </c>
      <c r="R8187" s="308" t="s">
        <v>2743</v>
      </c>
      <c r="S8187" s="315" t="s">
        <v>100</v>
      </c>
      <c r="T8187" s="308" t="s">
        <v>34208</v>
      </c>
      <c r="U8187" s="308" t="s">
        <v>27</v>
      </c>
      <c r="V8187" s="308"/>
    </row>
    <row r="8188">
      <c r="A8188" s="308"/>
      <c r="B8188" s="308"/>
      <c r="C8188" s="308" t="s">
        <v>32293</v>
      </c>
      <c r="D8188" s="308">
        <f>IFERROR(__xludf.DUMMYFUNCTION("SPLIT(C8188,""-"")"),8208.0)</f>
        <v>8208</v>
      </c>
      <c r="E8188" s="308" t="str">
        <f>IFERROR(__xludf.DUMMYFUNCTION("""COMPUTED_VALUE"""),"B")</f>
        <v>B</v>
      </c>
      <c r="F8188" s="315" t="s">
        <v>26</v>
      </c>
      <c r="G8188" s="308"/>
      <c r="H8188" s="308" t="s">
        <v>32294</v>
      </c>
      <c r="I8188" s="338">
        <v>44426.0</v>
      </c>
      <c r="J8188" s="319">
        <f>IFERROR(__xludf.DUMMYFUNCTION("SPLIT(I8188,""-"")"),18.0)</f>
        <v>18</v>
      </c>
      <c r="K8188" s="308">
        <f>IFERROR(__xludf.DUMMYFUNCTION("""COMPUTED_VALUE"""),8.0)</f>
        <v>8</v>
      </c>
      <c r="L8188" s="308">
        <f>IFERROR(__xludf.DUMMYFUNCTION("""COMPUTED_VALUE"""),2021.0)</f>
        <v>2021</v>
      </c>
      <c r="M8188" s="308" t="s">
        <v>32295</v>
      </c>
      <c r="N8188" s="308" t="s">
        <v>32296</v>
      </c>
      <c r="O8188" s="308"/>
      <c r="P8188" s="308" t="s">
        <v>136</v>
      </c>
      <c r="Q8188" s="308" t="s">
        <v>40164</v>
      </c>
      <c r="R8188" s="308" t="s">
        <v>2743</v>
      </c>
      <c r="S8188" s="315" t="s">
        <v>100</v>
      </c>
      <c r="T8188" s="308" t="s">
        <v>34208</v>
      </c>
      <c r="U8188" s="308" t="s">
        <v>27</v>
      </c>
      <c r="V8188" s="308"/>
    </row>
    <row r="8189">
      <c r="A8189" s="308"/>
      <c r="B8189" s="308"/>
      <c r="C8189" s="308" t="s">
        <v>32297</v>
      </c>
      <c r="D8189" s="308">
        <f>IFERROR(__xludf.DUMMYFUNCTION("SPLIT(C8189,""-"")"),8209.0)</f>
        <v>8209</v>
      </c>
      <c r="E8189" s="308" t="str">
        <f>IFERROR(__xludf.DUMMYFUNCTION("""COMPUTED_VALUE"""),"K")</f>
        <v>K</v>
      </c>
      <c r="F8189" s="309" t="s">
        <v>34</v>
      </c>
      <c r="G8189" s="308"/>
      <c r="H8189" s="308" t="s">
        <v>32298</v>
      </c>
      <c r="I8189" s="316">
        <v>2014.0</v>
      </c>
      <c r="J8189" s="319"/>
      <c r="K8189" s="308"/>
      <c r="L8189" s="311">
        <v>2014.0</v>
      </c>
      <c r="M8189" s="308" t="s">
        <v>32299</v>
      </c>
      <c r="N8189" s="308"/>
      <c r="O8189" s="308"/>
      <c r="P8189" s="308" t="s">
        <v>136</v>
      </c>
      <c r="Q8189" s="308" t="s">
        <v>40164</v>
      </c>
      <c r="R8189" s="308" t="s">
        <v>2743</v>
      </c>
      <c r="S8189" s="315" t="s">
        <v>100</v>
      </c>
      <c r="T8189" s="308" t="s">
        <v>34208</v>
      </c>
      <c r="U8189" s="308" t="s">
        <v>32300</v>
      </c>
      <c r="V8189" s="308"/>
    </row>
    <row r="8190">
      <c r="A8190" s="308"/>
      <c r="B8190" s="308"/>
      <c r="C8190" s="308" t="s">
        <v>32301</v>
      </c>
      <c r="D8190" s="308">
        <f>IFERROR(__xludf.DUMMYFUNCTION("SPLIT(C8190,""-"")"),8210.0)</f>
        <v>8210</v>
      </c>
      <c r="E8190" s="308" t="str">
        <f>IFERROR(__xludf.DUMMYFUNCTION("""COMPUTED_VALUE"""),"K")</f>
        <v>K</v>
      </c>
      <c r="F8190" s="309" t="s">
        <v>34</v>
      </c>
      <c r="G8190" s="308"/>
      <c r="H8190" s="308" t="s">
        <v>32302</v>
      </c>
      <c r="I8190" s="310">
        <v>42965.0</v>
      </c>
      <c r="J8190" s="319" t="str">
        <f>IFERROR(__xludf.DUMMYFUNCTION("SPLIT(I8190,""/"")"),"#REF!")</f>
        <v>#REF!</v>
      </c>
      <c r="K8190" s="308"/>
      <c r="L8190" s="308">
        <v>2017.0</v>
      </c>
      <c r="M8190" s="308" t="s">
        <v>32303</v>
      </c>
      <c r="N8190" s="308" t="s">
        <v>32304</v>
      </c>
      <c r="O8190" s="308"/>
      <c r="P8190" s="308" t="s">
        <v>136</v>
      </c>
      <c r="Q8190" s="308" t="s">
        <v>40165</v>
      </c>
      <c r="R8190" s="308" t="s">
        <v>2743</v>
      </c>
      <c r="S8190" s="315" t="s">
        <v>100</v>
      </c>
      <c r="T8190" s="308" t="s">
        <v>34208</v>
      </c>
      <c r="U8190" s="308" t="s">
        <v>368</v>
      </c>
      <c r="V8190" s="308"/>
    </row>
    <row r="8191">
      <c r="A8191" s="308"/>
      <c r="B8191" s="308"/>
      <c r="C8191" s="308" t="s">
        <v>32305</v>
      </c>
      <c r="D8191" s="308">
        <f>IFERROR(__xludf.DUMMYFUNCTION("SPLIT(C8191,""-"")"),8211.0)</f>
        <v>8211</v>
      </c>
      <c r="E8191" s="308" t="str">
        <f>IFERROR(__xludf.DUMMYFUNCTION("""COMPUTED_VALUE"""),"K")</f>
        <v>K</v>
      </c>
      <c r="F8191" s="309" t="s">
        <v>34</v>
      </c>
      <c r="G8191" s="308"/>
      <c r="H8191" s="308" t="s">
        <v>32306</v>
      </c>
      <c r="I8191" s="310">
        <v>42965.0</v>
      </c>
      <c r="J8191" s="319" t="str">
        <f>IFERROR(__xludf.DUMMYFUNCTION("SPLIT(I8191,""/"")"),"#REF!")</f>
        <v>#REF!</v>
      </c>
      <c r="K8191" s="308"/>
      <c r="L8191" s="308">
        <v>2017.0</v>
      </c>
      <c r="M8191" s="308" t="s">
        <v>32303</v>
      </c>
      <c r="N8191" s="308" t="s">
        <v>32307</v>
      </c>
      <c r="O8191" s="308"/>
      <c r="P8191" s="308" t="s">
        <v>136</v>
      </c>
      <c r="Q8191" s="308" t="s">
        <v>40165</v>
      </c>
      <c r="R8191" s="308" t="s">
        <v>2743</v>
      </c>
      <c r="S8191" s="315" t="s">
        <v>100</v>
      </c>
      <c r="T8191" s="308" t="s">
        <v>34208</v>
      </c>
      <c r="U8191" s="308" t="s">
        <v>368</v>
      </c>
      <c r="V8191" s="308"/>
    </row>
    <row r="8192">
      <c r="A8192" s="308"/>
      <c r="B8192" s="308"/>
      <c r="C8192" s="308" t="s">
        <v>32308</v>
      </c>
      <c r="D8192" s="308">
        <f>IFERROR(__xludf.DUMMYFUNCTION("SPLIT(C8192,""-"")"),8212.0)</f>
        <v>8212</v>
      </c>
      <c r="E8192" s="308" t="str">
        <f>IFERROR(__xludf.DUMMYFUNCTION("""COMPUTED_VALUE"""),"K")</f>
        <v>K</v>
      </c>
      <c r="F8192" s="309" t="s">
        <v>34</v>
      </c>
      <c r="G8192" s="308"/>
      <c r="H8192" s="308" t="s">
        <v>32309</v>
      </c>
      <c r="I8192" s="310">
        <v>42965.0</v>
      </c>
      <c r="J8192" s="319" t="str">
        <f>IFERROR(__xludf.DUMMYFUNCTION("SPLIT(I8192,""/"")"),"#REF!")</f>
        <v>#REF!</v>
      </c>
      <c r="K8192" s="308"/>
      <c r="L8192" s="308">
        <v>2017.0</v>
      </c>
      <c r="M8192" s="308" t="s">
        <v>32310</v>
      </c>
      <c r="N8192" s="308" t="s">
        <v>32311</v>
      </c>
      <c r="O8192" s="308"/>
      <c r="P8192" s="308" t="s">
        <v>136</v>
      </c>
      <c r="Q8192" s="308" t="s">
        <v>40165</v>
      </c>
      <c r="R8192" s="308" t="s">
        <v>2743</v>
      </c>
      <c r="S8192" s="315" t="s">
        <v>100</v>
      </c>
      <c r="T8192" s="308" t="s">
        <v>34208</v>
      </c>
      <c r="U8192" s="308" t="s">
        <v>368</v>
      </c>
      <c r="V8192" s="308"/>
    </row>
    <row r="8193">
      <c r="A8193" s="308"/>
      <c r="B8193" s="308"/>
      <c r="C8193" s="308" t="s">
        <v>32312</v>
      </c>
      <c r="D8193" s="308">
        <f>IFERROR(__xludf.DUMMYFUNCTION("SPLIT(C8193,""-"")"),8213.0)</f>
        <v>8213</v>
      </c>
      <c r="E8193" s="308" t="str">
        <f>IFERROR(__xludf.DUMMYFUNCTION("""COMPUTED_VALUE"""),"K")</f>
        <v>K</v>
      </c>
      <c r="F8193" s="309" t="s">
        <v>34</v>
      </c>
      <c r="G8193" s="308"/>
      <c r="H8193" s="308" t="s">
        <v>32313</v>
      </c>
      <c r="I8193" s="310">
        <v>44461.0</v>
      </c>
      <c r="J8193" s="319">
        <f>IFERROR(__xludf.DUMMYFUNCTION("SPLIT(I8193,""/"")"),22.0)</f>
        <v>22</v>
      </c>
      <c r="K8193" s="308">
        <f>IFERROR(__xludf.DUMMYFUNCTION("""COMPUTED_VALUE"""),9.0)</f>
        <v>9</v>
      </c>
      <c r="L8193" s="308">
        <f>IFERROR(__xludf.DUMMYFUNCTION("""COMPUTED_VALUE"""),2021.0)</f>
        <v>2021</v>
      </c>
      <c r="M8193" s="308" t="s">
        <v>32314</v>
      </c>
      <c r="N8193" s="308" t="s">
        <v>32315</v>
      </c>
      <c r="O8193" s="308"/>
      <c r="P8193" s="308"/>
      <c r="Q8193" s="308" t="s">
        <v>40165</v>
      </c>
      <c r="R8193" s="308" t="s">
        <v>2743</v>
      </c>
      <c r="S8193" s="308" t="s">
        <v>79</v>
      </c>
      <c r="T8193" s="308" t="s">
        <v>79</v>
      </c>
      <c r="U8193" s="308" t="s">
        <v>872</v>
      </c>
      <c r="V8193" s="308"/>
    </row>
    <row r="8194">
      <c r="A8194" s="308"/>
      <c r="B8194" s="308"/>
      <c r="C8194" s="308" t="s">
        <v>32316</v>
      </c>
      <c r="D8194" s="308">
        <f>IFERROR(__xludf.DUMMYFUNCTION("SPLIT(C8194,""-"")"),8214.0)</f>
        <v>8214</v>
      </c>
      <c r="E8194" s="308" t="str">
        <f>IFERROR(__xludf.DUMMYFUNCTION("""COMPUTED_VALUE"""),"B")</f>
        <v>B</v>
      </c>
      <c r="F8194" s="315" t="s">
        <v>26</v>
      </c>
      <c r="G8194" s="308"/>
      <c r="H8194" s="308" t="s">
        <v>32317</v>
      </c>
      <c r="I8194" s="310">
        <v>42776.0</v>
      </c>
      <c r="J8194" s="319">
        <f>IFERROR(__xludf.DUMMYFUNCTION("SPLIT(I8194,""/"")"),10.0)</f>
        <v>10</v>
      </c>
      <c r="K8194" s="308">
        <f>IFERROR(__xludf.DUMMYFUNCTION("""COMPUTED_VALUE"""),2.0)</f>
        <v>2</v>
      </c>
      <c r="L8194" s="308">
        <f>IFERROR(__xludf.DUMMYFUNCTION("""COMPUTED_VALUE"""),2017.0)</f>
        <v>2017</v>
      </c>
      <c r="M8194" s="308" t="s">
        <v>32318</v>
      </c>
      <c r="N8194" s="308"/>
      <c r="O8194" s="308"/>
      <c r="P8194" s="308" t="s">
        <v>32319</v>
      </c>
      <c r="Q8194" s="308"/>
      <c r="R8194" s="308"/>
      <c r="S8194" s="308" t="s">
        <v>81</v>
      </c>
      <c r="T8194" s="308" t="s">
        <v>75</v>
      </c>
      <c r="U8194" s="308"/>
      <c r="V8194" s="308"/>
    </row>
    <row r="8195">
      <c r="A8195" s="308"/>
      <c r="B8195" s="308"/>
      <c r="C8195" s="308" t="s">
        <v>32320</v>
      </c>
      <c r="D8195" s="308">
        <f>IFERROR(__xludf.DUMMYFUNCTION("SPLIT(C8195,""-"")"),8215.0)</f>
        <v>8215</v>
      </c>
      <c r="E8195" s="308" t="str">
        <f>IFERROR(__xludf.DUMMYFUNCTION("""COMPUTED_VALUE"""),"B")</f>
        <v>B</v>
      </c>
      <c r="F8195" s="315" t="s">
        <v>26</v>
      </c>
      <c r="G8195" s="308"/>
      <c r="H8195" s="308" t="s">
        <v>32321</v>
      </c>
      <c r="I8195" s="310">
        <v>42776.0</v>
      </c>
      <c r="J8195" s="319">
        <f>IFERROR(__xludf.DUMMYFUNCTION("SPLIT(I8195,""/"")"),10.0)</f>
        <v>10</v>
      </c>
      <c r="K8195" s="308">
        <f>IFERROR(__xludf.DUMMYFUNCTION("""COMPUTED_VALUE"""),2.0)</f>
        <v>2</v>
      </c>
      <c r="L8195" s="308">
        <f>IFERROR(__xludf.DUMMYFUNCTION("""COMPUTED_VALUE"""),2017.0)</f>
        <v>2017</v>
      </c>
      <c r="M8195" s="308" t="s">
        <v>32318</v>
      </c>
      <c r="N8195" s="308"/>
      <c r="O8195" s="308"/>
      <c r="P8195" s="308" t="s">
        <v>32322</v>
      </c>
      <c r="Q8195" s="308"/>
      <c r="R8195" s="308"/>
      <c r="S8195" s="308" t="s">
        <v>81</v>
      </c>
      <c r="T8195" s="308" t="s">
        <v>75</v>
      </c>
      <c r="U8195" s="308"/>
      <c r="V8195" s="308"/>
    </row>
    <row r="8196">
      <c r="A8196" s="308"/>
      <c r="B8196" s="308"/>
      <c r="C8196" s="308" t="s">
        <v>32323</v>
      </c>
      <c r="D8196" s="308">
        <f>IFERROR(__xludf.DUMMYFUNCTION("SPLIT(C8196,""-"")"),8216.0)</f>
        <v>8216</v>
      </c>
      <c r="E8196" s="308" t="str">
        <f>IFERROR(__xludf.DUMMYFUNCTION("""COMPUTED_VALUE"""),"B")</f>
        <v>B</v>
      </c>
      <c r="F8196" s="315" t="s">
        <v>26</v>
      </c>
      <c r="G8196" s="308"/>
      <c r="H8196" s="308" t="s">
        <v>32324</v>
      </c>
      <c r="I8196" s="310">
        <v>42773.0</v>
      </c>
      <c r="J8196" s="319">
        <f>IFERROR(__xludf.DUMMYFUNCTION("SPLIT(I8196,""/"")"),7.0)</f>
        <v>7</v>
      </c>
      <c r="K8196" s="308">
        <f>IFERROR(__xludf.DUMMYFUNCTION("""COMPUTED_VALUE"""),2.0)</f>
        <v>2</v>
      </c>
      <c r="L8196" s="308">
        <f>IFERROR(__xludf.DUMMYFUNCTION("""COMPUTED_VALUE"""),2017.0)</f>
        <v>2017</v>
      </c>
      <c r="M8196" s="308" t="s">
        <v>32325</v>
      </c>
      <c r="N8196" s="308"/>
      <c r="O8196" s="308"/>
      <c r="P8196" s="308" t="s">
        <v>32326</v>
      </c>
      <c r="Q8196" s="308"/>
      <c r="R8196" s="308"/>
      <c r="S8196" s="308" t="s">
        <v>81</v>
      </c>
      <c r="T8196" s="308" t="s">
        <v>75</v>
      </c>
      <c r="U8196" s="308"/>
      <c r="V8196" s="308"/>
    </row>
    <row r="8197">
      <c r="A8197" s="308"/>
      <c r="B8197" s="308"/>
      <c r="C8197" s="308" t="s">
        <v>32327</v>
      </c>
      <c r="D8197" s="308">
        <f>IFERROR(__xludf.DUMMYFUNCTION("SPLIT(C8197,""-"")"),8217.0)</f>
        <v>8217</v>
      </c>
      <c r="E8197" s="308" t="str">
        <f>IFERROR(__xludf.DUMMYFUNCTION("""COMPUTED_VALUE"""),"B")</f>
        <v>B</v>
      </c>
      <c r="F8197" s="315" t="s">
        <v>26</v>
      </c>
      <c r="G8197" s="308"/>
      <c r="H8197" s="308" t="s">
        <v>32328</v>
      </c>
      <c r="I8197" s="310">
        <v>42780.0</v>
      </c>
      <c r="J8197" s="319">
        <f>IFERROR(__xludf.DUMMYFUNCTION("SPLIT(I8197,""/"")"),14.0)</f>
        <v>14</v>
      </c>
      <c r="K8197" s="308">
        <f>IFERROR(__xludf.DUMMYFUNCTION("""COMPUTED_VALUE"""),2.0)</f>
        <v>2</v>
      </c>
      <c r="L8197" s="308">
        <f>IFERROR(__xludf.DUMMYFUNCTION("""COMPUTED_VALUE"""),2017.0)</f>
        <v>2017</v>
      </c>
      <c r="M8197" s="308" t="s">
        <v>32329</v>
      </c>
      <c r="N8197" s="308"/>
      <c r="O8197" s="308"/>
      <c r="P8197" s="308" t="s">
        <v>32330</v>
      </c>
      <c r="Q8197" s="308"/>
      <c r="R8197" s="308"/>
      <c r="S8197" s="308" t="s">
        <v>81</v>
      </c>
      <c r="T8197" s="308" t="s">
        <v>75</v>
      </c>
      <c r="U8197" s="308"/>
      <c r="V8197" s="308"/>
    </row>
    <row r="8198">
      <c r="A8198" s="308"/>
      <c r="B8198" s="308"/>
      <c r="C8198" s="308" t="s">
        <v>32331</v>
      </c>
      <c r="D8198" s="308">
        <f>IFERROR(__xludf.DUMMYFUNCTION("SPLIT(C8198,""-"")"),8218.0)</f>
        <v>8218</v>
      </c>
      <c r="E8198" s="308" t="str">
        <f>IFERROR(__xludf.DUMMYFUNCTION("""COMPUTED_VALUE"""),"B")</f>
        <v>B</v>
      </c>
      <c r="F8198" s="315" t="s">
        <v>26</v>
      </c>
      <c r="G8198" s="308"/>
      <c r="H8198" s="308" t="s">
        <v>32332</v>
      </c>
      <c r="I8198" s="310">
        <v>42780.0</v>
      </c>
      <c r="J8198" s="319">
        <f>IFERROR(__xludf.DUMMYFUNCTION("SPLIT(I8198,""/"")"),14.0)</f>
        <v>14</v>
      </c>
      <c r="K8198" s="308">
        <f>IFERROR(__xludf.DUMMYFUNCTION("""COMPUTED_VALUE"""),2.0)</f>
        <v>2</v>
      </c>
      <c r="L8198" s="308">
        <f>IFERROR(__xludf.DUMMYFUNCTION("""COMPUTED_VALUE"""),2017.0)</f>
        <v>2017</v>
      </c>
      <c r="M8198" s="308" t="s">
        <v>32329</v>
      </c>
      <c r="N8198" s="308"/>
      <c r="O8198" s="308"/>
      <c r="P8198" s="308" t="s">
        <v>32333</v>
      </c>
      <c r="Q8198" s="308"/>
      <c r="R8198" s="308"/>
      <c r="S8198" s="308" t="s">
        <v>81</v>
      </c>
      <c r="T8198" s="308" t="s">
        <v>75</v>
      </c>
      <c r="U8198" s="308"/>
      <c r="V8198" s="308"/>
    </row>
    <row r="8199">
      <c r="A8199" s="308"/>
      <c r="B8199" s="308"/>
      <c r="C8199" s="308" t="s">
        <v>32334</v>
      </c>
      <c r="D8199" s="308">
        <f>IFERROR(__xludf.DUMMYFUNCTION("SPLIT(C8199,""-"")"),8219.0)</f>
        <v>8219</v>
      </c>
      <c r="E8199" s="308" t="str">
        <f>IFERROR(__xludf.DUMMYFUNCTION("""COMPUTED_VALUE"""),"B")</f>
        <v>B</v>
      </c>
      <c r="F8199" s="315" t="s">
        <v>26</v>
      </c>
      <c r="G8199" s="308"/>
      <c r="H8199" s="308" t="s">
        <v>32335</v>
      </c>
      <c r="I8199" s="310">
        <v>43010.0</v>
      </c>
      <c r="J8199" s="319">
        <f>IFERROR(__xludf.DUMMYFUNCTION("SPLIT(I8199,""/"")"),2.0)</f>
        <v>2</v>
      </c>
      <c r="K8199" s="308">
        <f>IFERROR(__xludf.DUMMYFUNCTION("""COMPUTED_VALUE"""),10.0)</f>
        <v>10</v>
      </c>
      <c r="L8199" s="308">
        <f>IFERROR(__xludf.DUMMYFUNCTION("""COMPUTED_VALUE"""),2017.0)</f>
        <v>2017</v>
      </c>
      <c r="M8199" s="308" t="s">
        <v>32318</v>
      </c>
      <c r="N8199" s="308"/>
      <c r="O8199" s="308"/>
      <c r="P8199" s="308" t="s">
        <v>32336</v>
      </c>
      <c r="Q8199" s="308"/>
      <c r="R8199" s="308"/>
      <c r="S8199" s="308" t="s">
        <v>81</v>
      </c>
      <c r="T8199" s="308" t="s">
        <v>75</v>
      </c>
      <c r="U8199" s="308"/>
      <c r="V8199" s="308"/>
    </row>
    <row r="8200">
      <c r="A8200" s="308"/>
      <c r="B8200" s="308"/>
      <c r="C8200" s="308" t="s">
        <v>32337</v>
      </c>
      <c r="D8200" s="308">
        <f>IFERROR(__xludf.DUMMYFUNCTION("SPLIT(C8200,""-"")"),8220.0)</f>
        <v>8220</v>
      </c>
      <c r="E8200" s="308" t="str">
        <f>IFERROR(__xludf.DUMMYFUNCTION("""COMPUTED_VALUE"""),"B")</f>
        <v>B</v>
      </c>
      <c r="F8200" s="315" t="s">
        <v>26</v>
      </c>
      <c r="G8200" s="308"/>
      <c r="H8200" s="308" t="s">
        <v>32338</v>
      </c>
      <c r="I8200" s="310">
        <v>42922.0</v>
      </c>
      <c r="J8200" s="319">
        <f>IFERROR(__xludf.DUMMYFUNCTION("SPLIT(I8200,""/"")"),6.0)</f>
        <v>6</v>
      </c>
      <c r="K8200" s="308">
        <f>IFERROR(__xludf.DUMMYFUNCTION("""COMPUTED_VALUE"""),7.0)</f>
        <v>7</v>
      </c>
      <c r="L8200" s="308">
        <f>IFERROR(__xludf.DUMMYFUNCTION("""COMPUTED_VALUE"""),2017.0)</f>
        <v>2017</v>
      </c>
      <c r="M8200" s="308" t="s">
        <v>32339</v>
      </c>
      <c r="N8200" s="308"/>
      <c r="O8200" s="308"/>
      <c r="P8200" s="308" t="s">
        <v>32340</v>
      </c>
      <c r="Q8200" s="308"/>
      <c r="R8200" s="308"/>
      <c r="S8200" s="308" t="s">
        <v>81</v>
      </c>
      <c r="T8200" s="308" t="s">
        <v>75</v>
      </c>
      <c r="U8200" s="308"/>
      <c r="V8200" s="308"/>
    </row>
    <row r="8201">
      <c r="A8201" s="308"/>
      <c r="B8201" s="308"/>
      <c r="C8201" s="308" t="s">
        <v>32341</v>
      </c>
      <c r="D8201" s="308">
        <f>IFERROR(__xludf.DUMMYFUNCTION("SPLIT(C8201,""-"")"),8221.0)</f>
        <v>8221</v>
      </c>
      <c r="E8201" s="308" t="str">
        <f>IFERROR(__xludf.DUMMYFUNCTION("""COMPUTED_VALUE"""),"B")</f>
        <v>B</v>
      </c>
      <c r="F8201" s="315" t="s">
        <v>26</v>
      </c>
      <c r="G8201" s="308"/>
      <c r="H8201" s="308" t="s">
        <v>32342</v>
      </c>
      <c r="I8201" s="310">
        <v>42812.0</v>
      </c>
      <c r="J8201" s="319">
        <f>IFERROR(__xludf.DUMMYFUNCTION("SPLIT(I8201,""/"")"),18.0)</f>
        <v>18</v>
      </c>
      <c r="K8201" s="308">
        <f>IFERROR(__xludf.DUMMYFUNCTION("""COMPUTED_VALUE"""),3.0)</f>
        <v>3</v>
      </c>
      <c r="L8201" s="308">
        <f>IFERROR(__xludf.DUMMYFUNCTION("""COMPUTED_VALUE"""),2017.0)</f>
        <v>2017</v>
      </c>
      <c r="M8201" s="308" t="s">
        <v>32343</v>
      </c>
      <c r="N8201" s="308"/>
      <c r="O8201" s="308"/>
      <c r="P8201" s="308" t="s">
        <v>32344</v>
      </c>
      <c r="Q8201" s="308"/>
      <c r="R8201" s="308"/>
      <c r="S8201" s="308" t="s">
        <v>81</v>
      </c>
      <c r="T8201" s="308" t="s">
        <v>75</v>
      </c>
      <c r="U8201" s="308"/>
      <c r="V8201" s="308"/>
    </row>
    <row r="8202">
      <c r="A8202" s="308"/>
      <c r="B8202" s="308"/>
      <c r="C8202" s="308" t="s">
        <v>32345</v>
      </c>
      <c r="D8202" s="308">
        <f>IFERROR(__xludf.DUMMYFUNCTION("SPLIT(C8202,""-"")"),8222.0)</f>
        <v>8222</v>
      </c>
      <c r="E8202" s="308" t="str">
        <f>IFERROR(__xludf.DUMMYFUNCTION("""COMPUTED_VALUE"""),"B")</f>
        <v>B</v>
      </c>
      <c r="F8202" s="315" t="s">
        <v>26</v>
      </c>
      <c r="G8202" s="308"/>
      <c r="H8202" s="308" t="s">
        <v>32346</v>
      </c>
      <c r="I8202" s="310">
        <v>42812.0</v>
      </c>
      <c r="J8202" s="319">
        <f>IFERROR(__xludf.DUMMYFUNCTION("SPLIT(I8202,""/"")"),18.0)</f>
        <v>18</v>
      </c>
      <c r="K8202" s="308">
        <f>IFERROR(__xludf.DUMMYFUNCTION("""COMPUTED_VALUE"""),3.0)</f>
        <v>3</v>
      </c>
      <c r="L8202" s="308">
        <f>IFERROR(__xludf.DUMMYFUNCTION("""COMPUTED_VALUE"""),2017.0)</f>
        <v>2017</v>
      </c>
      <c r="M8202" s="308" t="s">
        <v>32343</v>
      </c>
      <c r="N8202" s="308"/>
      <c r="O8202" s="308"/>
      <c r="P8202" s="308" t="s">
        <v>32347</v>
      </c>
      <c r="Q8202" s="308"/>
      <c r="R8202" s="308"/>
      <c r="S8202" s="308" t="s">
        <v>81</v>
      </c>
      <c r="T8202" s="308" t="s">
        <v>75</v>
      </c>
      <c r="U8202" s="308"/>
      <c r="V8202" s="308"/>
    </row>
    <row r="8203">
      <c r="A8203" s="308"/>
      <c r="B8203" s="308"/>
      <c r="C8203" s="308" t="s">
        <v>32348</v>
      </c>
      <c r="D8203" s="308">
        <f>IFERROR(__xludf.DUMMYFUNCTION("SPLIT(C8203,""-"")"),8223.0)</f>
        <v>8223</v>
      </c>
      <c r="E8203" s="308" t="str">
        <f>IFERROR(__xludf.DUMMYFUNCTION("""COMPUTED_VALUE"""),"B")</f>
        <v>B</v>
      </c>
      <c r="F8203" s="315" t="s">
        <v>26</v>
      </c>
      <c r="G8203" s="308"/>
      <c r="H8203" s="308" t="s">
        <v>32349</v>
      </c>
      <c r="I8203" s="310">
        <v>42811.0</v>
      </c>
      <c r="J8203" s="319">
        <f>IFERROR(__xludf.DUMMYFUNCTION("SPLIT(I8203,""/"")"),17.0)</f>
        <v>17</v>
      </c>
      <c r="K8203" s="308">
        <f>IFERROR(__xludf.DUMMYFUNCTION("""COMPUTED_VALUE"""),3.0)</f>
        <v>3</v>
      </c>
      <c r="L8203" s="308">
        <f>IFERROR(__xludf.DUMMYFUNCTION("""COMPUTED_VALUE"""),2017.0)</f>
        <v>2017</v>
      </c>
      <c r="M8203" s="308" t="s">
        <v>32343</v>
      </c>
      <c r="N8203" s="308"/>
      <c r="O8203" s="308"/>
      <c r="P8203" s="308" t="s">
        <v>32350</v>
      </c>
      <c r="Q8203" s="308"/>
      <c r="R8203" s="308"/>
      <c r="S8203" s="308" t="s">
        <v>81</v>
      </c>
      <c r="T8203" s="308" t="s">
        <v>75</v>
      </c>
      <c r="U8203" s="308"/>
      <c r="V8203" s="308"/>
    </row>
    <row r="8204">
      <c r="A8204" s="308"/>
      <c r="B8204" s="308"/>
      <c r="C8204" s="308" t="s">
        <v>32351</v>
      </c>
      <c r="D8204" s="308">
        <f>IFERROR(__xludf.DUMMYFUNCTION("SPLIT(C8204,""-"")"),8224.0)</f>
        <v>8224</v>
      </c>
      <c r="E8204" s="308" t="str">
        <f>IFERROR(__xludf.DUMMYFUNCTION("""COMPUTED_VALUE"""),"B")</f>
        <v>B</v>
      </c>
      <c r="F8204" s="315" t="s">
        <v>26</v>
      </c>
      <c r="G8204" s="308"/>
      <c r="H8204" s="308" t="s">
        <v>32352</v>
      </c>
      <c r="I8204" s="310">
        <v>42814.0</v>
      </c>
      <c r="J8204" s="319">
        <f>IFERROR(__xludf.DUMMYFUNCTION("SPLIT(I8204,""/"")"),20.0)</f>
        <v>20</v>
      </c>
      <c r="K8204" s="308">
        <f>IFERROR(__xludf.DUMMYFUNCTION("""COMPUTED_VALUE"""),3.0)</f>
        <v>3</v>
      </c>
      <c r="L8204" s="308">
        <f>IFERROR(__xludf.DUMMYFUNCTION("""COMPUTED_VALUE"""),2017.0)</f>
        <v>2017</v>
      </c>
      <c r="M8204" s="308" t="s">
        <v>32353</v>
      </c>
      <c r="N8204" s="308"/>
      <c r="O8204" s="308"/>
      <c r="P8204" s="308" t="s">
        <v>32354</v>
      </c>
      <c r="Q8204" s="308"/>
      <c r="R8204" s="308"/>
      <c r="S8204" s="308" t="s">
        <v>81</v>
      </c>
      <c r="T8204" s="308" t="s">
        <v>75</v>
      </c>
      <c r="U8204" s="308"/>
      <c r="V8204" s="308"/>
    </row>
    <row r="8205">
      <c r="A8205" s="308"/>
      <c r="B8205" s="308"/>
      <c r="C8205" s="308" t="s">
        <v>32355</v>
      </c>
      <c r="D8205" s="308">
        <f>IFERROR(__xludf.DUMMYFUNCTION("SPLIT(C8205,""-"")"),8225.0)</f>
        <v>8225</v>
      </c>
      <c r="E8205" s="308" t="str">
        <f>IFERROR(__xludf.DUMMYFUNCTION("""COMPUTED_VALUE"""),"B")</f>
        <v>B</v>
      </c>
      <c r="F8205" s="315" t="s">
        <v>26</v>
      </c>
      <c r="G8205" s="308"/>
      <c r="H8205" s="308" t="s">
        <v>32356</v>
      </c>
      <c r="I8205" s="310">
        <v>42814.0</v>
      </c>
      <c r="J8205" s="319">
        <f>IFERROR(__xludf.DUMMYFUNCTION("SPLIT(I8205,""/"")"),20.0)</f>
        <v>20</v>
      </c>
      <c r="K8205" s="308">
        <f>IFERROR(__xludf.DUMMYFUNCTION("""COMPUTED_VALUE"""),3.0)</f>
        <v>3</v>
      </c>
      <c r="L8205" s="308">
        <f>IFERROR(__xludf.DUMMYFUNCTION("""COMPUTED_VALUE"""),2017.0)</f>
        <v>2017</v>
      </c>
      <c r="M8205" s="308" t="s">
        <v>32353</v>
      </c>
      <c r="N8205" s="308"/>
      <c r="O8205" s="308"/>
      <c r="P8205" s="308" t="s">
        <v>32357</v>
      </c>
      <c r="Q8205" s="308"/>
      <c r="R8205" s="308"/>
      <c r="S8205" s="308" t="s">
        <v>81</v>
      </c>
      <c r="T8205" s="308" t="s">
        <v>75</v>
      </c>
      <c r="U8205" s="308"/>
      <c r="V8205" s="308"/>
    </row>
    <row r="8206">
      <c r="A8206" s="308"/>
      <c r="B8206" s="308"/>
      <c r="C8206" s="308" t="s">
        <v>32358</v>
      </c>
      <c r="D8206" s="308">
        <f>IFERROR(__xludf.DUMMYFUNCTION("SPLIT(C8206,""-"")"),8226.0)</f>
        <v>8226</v>
      </c>
      <c r="E8206" s="308" t="str">
        <f>IFERROR(__xludf.DUMMYFUNCTION("""COMPUTED_VALUE"""),"B")</f>
        <v>B</v>
      </c>
      <c r="F8206" s="315" t="s">
        <v>26</v>
      </c>
      <c r="G8206" s="308"/>
      <c r="H8206" s="308" t="s">
        <v>32359</v>
      </c>
      <c r="I8206" s="310">
        <v>42814.0</v>
      </c>
      <c r="J8206" s="319">
        <f>IFERROR(__xludf.DUMMYFUNCTION("SPLIT(I8206,""/"")"),20.0)</f>
        <v>20</v>
      </c>
      <c r="K8206" s="308">
        <f>IFERROR(__xludf.DUMMYFUNCTION("""COMPUTED_VALUE"""),3.0)</f>
        <v>3</v>
      </c>
      <c r="L8206" s="308">
        <f>IFERROR(__xludf.DUMMYFUNCTION("""COMPUTED_VALUE"""),2017.0)</f>
        <v>2017</v>
      </c>
      <c r="M8206" s="308" t="s">
        <v>32353</v>
      </c>
      <c r="N8206" s="308"/>
      <c r="O8206" s="308"/>
      <c r="P8206" s="308" t="s">
        <v>32360</v>
      </c>
      <c r="Q8206" s="308"/>
      <c r="R8206" s="308"/>
      <c r="S8206" s="308" t="s">
        <v>81</v>
      </c>
      <c r="T8206" s="308" t="s">
        <v>75</v>
      </c>
      <c r="U8206" s="308"/>
      <c r="V8206" s="308"/>
    </row>
    <row r="8207">
      <c r="A8207" s="308"/>
      <c r="B8207" s="308"/>
      <c r="C8207" s="308" t="s">
        <v>32361</v>
      </c>
      <c r="D8207" s="308">
        <f>IFERROR(__xludf.DUMMYFUNCTION("SPLIT(C8207,""-"")"),8227.0)</f>
        <v>8227</v>
      </c>
      <c r="E8207" s="308" t="str">
        <f>IFERROR(__xludf.DUMMYFUNCTION("""COMPUTED_VALUE"""),"B")</f>
        <v>B</v>
      </c>
      <c r="F8207" s="315" t="s">
        <v>26</v>
      </c>
      <c r="G8207" s="308"/>
      <c r="H8207" s="308" t="s">
        <v>32362</v>
      </c>
      <c r="I8207" s="310">
        <v>42814.0</v>
      </c>
      <c r="J8207" s="319">
        <f>IFERROR(__xludf.DUMMYFUNCTION("SPLIT(I8207,""/"")"),20.0)</f>
        <v>20</v>
      </c>
      <c r="K8207" s="308">
        <f>IFERROR(__xludf.DUMMYFUNCTION("""COMPUTED_VALUE"""),3.0)</f>
        <v>3</v>
      </c>
      <c r="L8207" s="308">
        <f>IFERROR(__xludf.DUMMYFUNCTION("""COMPUTED_VALUE"""),2017.0)</f>
        <v>2017</v>
      </c>
      <c r="M8207" s="308" t="s">
        <v>32353</v>
      </c>
      <c r="N8207" s="308"/>
      <c r="O8207" s="308"/>
      <c r="P8207" s="308" t="s">
        <v>32363</v>
      </c>
      <c r="Q8207" s="308"/>
      <c r="R8207" s="308"/>
      <c r="S8207" s="308" t="s">
        <v>81</v>
      </c>
      <c r="T8207" s="308" t="s">
        <v>75</v>
      </c>
      <c r="U8207" s="308"/>
      <c r="V8207" s="308"/>
    </row>
    <row r="8208">
      <c r="A8208" s="308"/>
      <c r="B8208" s="308"/>
      <c r="C8208" s="308" t="s">
        <v>32364</v>
      </c>
      <c r="D8208" s="308">
        <f>IFERROR(__xludf.DUMMYFUNCTION("SPLIT(C8208,""-"")"),8228.0)</f>
        <v>8228</v>
      </c>
      <c r="E8208" s="308" t="str">
        <f>IFERROR(__xludf.DUMMYFUNCTION("""COMPUTED_VALUE"""),"B")</f>
        <v>B</v>
      </c>
      <c r="F8208" s="315" t="s">
        <v>26</v>
      </c>
      <c r="G8208" s="308"/>
      <c r="H8208" s="308" t="s">
        <v>32365</v>
      </c>
      <c r="I8208" s="310">
        <v>42814.0</v>
      </c>
      <c r="J8208" s="319">
        <f>IFERROR(__xludf.DUMMYFUNCTION("SPLIT(I8208,""/"")"),20.0)</f>
        <v>20</v>
      </c>
      <c r="K8208" s="308">
        <f>IFERROR(__xludf.DUMMYFUNCTION("""COMPUTED_VALUE"""),3.0)</f>
        <v>3</v>
      </c>
      <c r="L8208" s="308">
        <f>IFERROR(__xludf.DUMMYFUNCTION("""COMPUTED_VALUE"""),2017.0)</f>
        <v>2017</v>
      </c>
      <c r="M8208" s="308" t="s">
        <v>32353</v>
      </c>
      <c r="N8208" s="308"/>
      <c r="O8208" s="308"/>
      <c r="P8208" s="308" t="s">
        <v>32366</v>
      </c>
      <c r="Q8208" s="308"/>
      <c r="R8208" s="308"/>
      <c r="S8208" s="308" t="s">
        <v>81</v>
      </c>
      <c r="T8208" s="308" t="s">
        <v>75</v>
      </c>
      <c r="U8208" s="308"/>
      <c r="V8208" s="308"/>
    </row>
    <row r="8209">
      <c r="A8209" s="308"/>
      <c r="B8209" s="308"/>
      <c r="C8209" s="308" t="s">
        <v>32367</v>
      </c>
      <c r="D8209" s="308">
        <f>IFERROR(__xludf.DUMMYFUNCTION("SPLIT(C8209,""-"")"),8229.0)</f>
        <v>8229</v>
      </c>
      <c r="E8209" s="308" t="str">
        <f>IFERROR(__xludf.DUMMYFUNCTION("""COMPUTED_VALUE"""),"K")</f>
        <v>K</v>
      </c>
      <c r="F8209" s="309" t="s">
        <v>34</v>
      </c>
      <c r="G8209" s="308"/>
      <c r="H8209" s="308" t="s">
        <v>32368</v>
      </c>
      <c r="I8209" s="310">
        <v>42814.0</v>
      </c>
      <c r="J8209" s="319" t="str">
        <f>IFERROR(__xludf.DUMMYFUNCTION("SPLIT(I8209,""/"")"),"#REF!")</f>
        <v>#REF!</v>
      </c>
      <c r="K8209" s="308"/>
      <c r="L8209" s="308">
        <v>2017.0</v>
      </c>
      <c r="M8209" s="308" t="s">
        <v>32353</v>
      </c>
      <c r="N8209" s="308"/>
      <c r="O8209" s="308"/>
      <c r="P8209" s="308" t="s">
        <v>32369</v>
      </c>
      <c r="Q8209" s="308"/>
      <c r="R8209" s="308"/>
      <c r="S8209" s="308" t="s">
        <v>81</v>
      </c>
      <c r="T8209" s="308" t="s">
        <v>75</v>
      </c>
      <c r="U8209" s="308"/>
      <c r="V8209" s="308"/>
    </row>
    <row r="8210">
      <c r="A8210" s="308"/>
      <c r="B8210" s="308"/>
      <c r="C8210" s="308" t="s">
        <v>32370</v>
      </c>
      <c r="D8210" s="308">
        <f>IFERROR(__xludf.DUMMYFUNCTION("SPLIT(C8210,""-"")"),8230.0)</f>
        <v>8230</v>
      </c>
      <c r="E8210" s="308" t="str">
        <f>IFERROR(__xludf.DUMMYFUNCTION("""COMPUTED_VALUE"""),"B")</f>
        <v>B</v>
      </c>
      <c r="F8210" s="315" t="s">
        <v>26</v>
      </c>
      <c r="G8210" s="308"/>
      <c r="H8210" s="308" t="s">
        <v>32371</v>
      </c>
      <c r="I8210" s="310">
        <v>42814.0</v>
      </c>
      <c r="J8210" s="319">
        <f>IFERROR(__xludf.DUMMYFUNCTION("SPLIT(I8210,""/"")"),20.0)</f>
        <v>20</v>
      </c>
      <c r="K8210" s="308">
        <f>IFERROR(__xludf.DUMMYFUNCTION("""COMPUTED_VALUE"""),3.0)</f>
        <v>3</v>
      </c>
      <c r="L8210" s="308">
        <f>IFERROR(__xludf.DUMMYFUNCTION("""COMPUTED_VALUE"""),2017.0)</f>
        <v>2017</v>
      </c>
      <c r="M8210" s="308" t="s">
        <v>32353</v>
      </c>
      <c r="N8210" s="308"/>
      <c r="O8210" s="308"/>
      <c r="P8210" s="308" t="s">
        <v>32372</v>
      </c>
      <c r="Q8210" s="308"/>
      <c r="R8210" s="308"/>
      <c r="S8210" s="308" t="s">
        <v>81</v>
      </c>
      <c r="T8210" s="308" t="s">
        <v>75</v>
      </c>
      <c r="U8210" s="308"/>
      <c r="V8210" s="308"/>
    </row>
    <row r="8211">
      <c r="A8211" s="308"/>
      <c r="B8211" s="308"/>
      <c r="C8211" s="308" t="s">
        <v>32373</v>
      </c>
      <c r="D8211" s="308">
        <f>IFERROR(__xludf.DUMMYFUNCTION("SPLIT(C8211,""-"")"),8231.0)</f>
        <v>8231</v>
      </c>
      <c r="E8211" s="308" t="str">
        <f>IFERROR(__xludf.DUMMYFUNCTION("""COMPUTED_VALUE"""),"B")</f>
        <v>B</v>
      </c>
      <c r="F8211" s="315" t="s">
        <v>26</v>
      </c>
      <c r="G8211" s="308"/>
      <c r="H8211" s="308" t="s">
        <v>32374</v>
      </c>
      <c r="I8211" s="310">
        <v>42820.0</v>
      </c>
      <c r="J8211" s="319">
        <f>IFERROR(__xludf.DUMMYFUNCTION("SPLIT(I8211,""/"")"),26.0)</f>
        <v>26</v>
      </c>
      <c r="K8211" s="308">
        <f>IFERROR(__xludf.DUMMYFUNCTION("""COMPUTED_VALUE"""),3.0)</f>
        <v>3</v>
      </c>
      <c r="L8211" s="308">
        <f>IFERROR(__xludf.DUMMYFUNCTION("""COMPUTED_VALUE"""),2017.0)</f>
        <v>2017</v>
      </c>
      <c r="M8211" s="308" t="s">
        <v>32353</v>
      </c>
      <c r="N8211" s="308"/>
      <c r="O8211" s="308"/>
      <c r="P8211" s="308" t="s">
        <v>32375</v>
      </c>
      <c r="Q8211" s="308"/>
      <c r="R8211" s="308"/>
      <c r="S8211" s="308" t="s">
        <v>81</v>
      </c>
      <c r="T8211" s="308" t="s">
        <v>75</v>
      </c>
      <c r="U8211" s="308"/>
      <c r="V8211" s="308"/>
    </row>
    <row r="8212">
      <c r="A8212" s="308"/>
      <c r="B8212" s="308"/>
      <c r="C8212" s="308" t="s">
        <v>32376</v>
      </c>
      <c r="D8212" s="308">
        <f>IFERROR(__xludf.DUMMYFUNCTION("SPLIT(C8212,""-"")"),8232.0)</f>
        <v>8232</v>
      </c>
      <c r="E8212" s="308" t="str">
        <f>IFERROR(__xludf.DUMMYFUNCTION("""COMPUTED_VALUE"""),"B")</f>
        <v>B</v>
      </c>
      <c r="F8212" s="315" t="s">
        <v>26</v>
      </c>
      <c r="G8212" s="308"/>
      <c r="H8212" s="308" t="s">
        <v>32377</v>
      </c>
      <c r="I8212" s="310">
        <v>42818.0</v>
      </c>
      <c r="J8212" s="319">
        <f>IFERROR(__xludf.DUMMYFUNCTION("SPLIT(I8212,""/"")"),24.0)</f>
        <v>24</v>
      </c>
      <c r="K8212" s="308">
        <f>IFERROR(__xludf.DUMMYFUNCTION("""COMPUTED_VALUE"""),3.0)</f>
        <v>3</v>
      </c>
      <c r="L8212" s="308">
        <f>IFERROR(__xludf.DUMMYFUNCTION("""COMPUTED_VALUE"""),2017.0)</f>
        <v>2017</v>
      </c>
      <c r="M8212" s="308" t="s">
        <v>32378</v>
      </c>
      <c r="N8212" s="308"/>
      <c r="O8212" s="308"/>
      <c r="P8212" s="308" t="s">
        <v>32379</v>
      </c>
      <c r="Q8212" s="308"/>
      <c r="R8212" s="308"/>
      <c r="S8212" s="308" t="s">
        <v>81</v>
      </c>
      <c r="T8212" s="308" t="s">
        <v>75</v>
      </c>
      <c r="U8212" s="308"/>
      <c r="V8212" s="308"/>
    </row>
    <row r="8213">
      <c r="A8213" s="308"/>
      <c r="B8213" s="308"/>
      <c r="C8213" s="308" t="s">
        <v>32380</v>
      </c>
      <c r="D8213" s="308">
        <f>IFERROR(__xludf.DUMMYFUNCTION("SPLIT(C8213,""-"")"),8233.0)</f>
        <v>8233</v>
      </c>
      <c r="E8213" s="308" t="str">
        <f>IFERROR(__xludf.DUMMYFUNCTION("""COMPUTED_VALUE"""),"B")</f>
        <v>B</v>
      </c>
      <c r="F8213" s="315" t="s">
        <v>26</v>
      </c>
      <c r="G8213" s="308"/>
      <c r="H8213" s="308" t="s">
        <v>32381</v>
      </c>
      <c r="I8213" s="310">
        <v>42818.0</v>
      </c>
      <c r="J8213" s="319">
        <f>IFERROR(__xludf.DUMMYFUNCTION("SPLIT(I8213,""/"")"),24.0)</f>
        <v>24</v>
      </c>
      <c r="K8213" s="308">
        <f>IFERROR(__xludf.DUMMYFUNCTION("""COMPUTED_VALUE"""),3.0)</f>
        <v>3</v>
      </c>
      <c r="L8213" s="308">
        <f>IFERROR(__xludf.DUMMYFUNCTION("""COMPUTED_VALUE"""),2017.0)</f>
        <v>2017</v>
      </c>
      <c r="M8213" s="308" t="s">
        <v>32378</v>
      </c>
      <c r="N8213" s="308"/>
      <c r="O8213" s="308"/>
      <c r="P8213" s="308" t="s">
        <v>32382</v>
      </c>
      <c r="Q8213" s="308"/>
      <c r="R8213" s="308"/>
      <c r="S8213" s="308" t="s">
        <v>81</v>
      </c>
      <c r="T8213" s="308" t="s">
        <v>75</v>
      </c>
      <c r="U8213" s="308"/>
      <c r="V8213" s="308"/>
    </row>
    <row r="8214">
      <c r="A8214" s="308"/>
      <c r="B8214" s="308"/>
      <c r="C8214" s="308" t="s">
        <v>32383</v>
      </c>
      <c r="D8214" s="308">
        <f>IFERROR(__xludf.DUMMYFUNCTION("SPLIT(C8214,""-"")"),8234.0)</f>
        <v>8234</v>
      </c>
      <c r="E8214" s="308" t="str">
        <f>IFERROR(__xludf.DUMMYFUNCTION("""COMPUTED_VALUE"""),"B")</f>
        <v>B</v>
      </c>
      <c r="F8214" s="315" t="s">
        <v>26</v>
      </c>
      <c r="G8214" s="308"/>
      <c r="H8214" s="308" t="s">
        <v>32384</v>
      </c>
      <c r="I8214" s="310">
        <v>42820.0</v>
      </c>
      <c r="J8214" s="319">
        <f>IFERROR(__xludf.DUMMYFUNCTION("SPLIT(I8214,""/"")"),26.0)</f>
        <v>26</v>
      </c>
      <c r="K8214" s="308">
        <f>IFERROR(__xludf.DUMMYFUNCTION("""COMPUTED_VALUE"""),3.0)</f>
        <v>3</v>
      </c>
      <c r="L8214" s="308">
        <f>IFERROR(__xludf.DUMMYFUNCTION("""COMPUTED_VALUE"""),2017.0)</f>
        <v>2017</v>
      </c>
      <c r="M8214" s="308" t="s">
        <v>32353</v>
      </c>
      <c r="N8214" s="308"/>
      <c r="O8214" s="308"/>
      <c r="P8214" s="308" t="s">
        <v>32385</v>
      </c>
      <c r="Q8214" s="308"/>
      <c r="R8214" s="308"/>
      <c r="S8214" s="308" t="s">
        <v>81</v>
      </c>
      <c r="T8214" s="308" t="s">
        <v>75</v>
      </c>
      <c r="U8214" s="308"/>
      <c r="V8214" s="308"/>
    </row>
    <row r="8215">
      <c r="A8215" s="308"/>
      <c r="B8215" s="308"/>
      <c r="C8215" s="308" t="s">
        <v>32386</v>
      </c>
      <c r="D8215" s="308">
        <f>IFERROR(__xludf.DUMMYFUNCTION("SPLIT(C8215,""-"")"),8235.0)</f>
        <v>8235</v>
      </c>
      <c r="E8215" s="308" t="str">
        <f>IFERROR(__xludf.DUMMYFUNCTION("""COMPUTED_VALUE"""),"B")</f>
        <v>B</v>
      </c>
      <c r="F8215" s="315" t="s">
        <v>26</v>
      </c>
      <c r="G8215" s="308"/>
      <c r="H8215" s="308" t="s">
        <v>32387</v>
      </c>
      <c r="I8215" s="310">
        <v>43073.0</v>
      </c>
      <c r="J8215" s="319">
        <f>IFERROR(__xludf.DUMMYFUNCTION("SPLIT(I8215,""/"")"),4.0)</f>
        <v>4</v>
      </c>
      <c r="K8215" s="308">
        <f>IFERROR(__xludf.DUMMYFUNCTION("""COMPUTED_VALUE"""),12.0)</f>
        <v>12</v>
      </c>
      <c r="L8215" s="308">
        <f>IFERROR(__xludf.DUMMYFUNCTION("""COMPUTED_VALUE"""),2017.0)</f>
        <v>2017</v>
      </c>
      <c r="M8215" s="308" t="s">
        <v>32388</v>
      </c>
      <c r="N8215" s="308"/>
      <c r="O8215" s="308"/>
      <c r="P8215" s="308" t="s">
        <v>32389</v>
      </c>
      <c r="Q8215" s="308"/>
      <c r="R8215" s="308"/>
      <c r="S8215" s="308" t="s">
        <v>81</v>
      </c>
      <c r="T8215" s="308" t="s">
        <v>75</v>
      </c>
      <c r="U8215" s="308"/>
      <c r="V8215" s="308"/>
    </row>
    <row r="8216">
      <c r="A8216" s="308"/>
      <c r="B8216" s="308"/>
      <c r="C8216" s="308" t="s">
        <v>32390</v>
      </c>
      <c r="D8216" s="308">
        <f>IFERROR(__xludf.DUMMYFUNCTION("SPLIT(C8216,""-"")"),8236.0)</f>
        <v>8236</v>
      </c>
      <c r="E8216" s="308" t="str">
        <f>IFERROR(__xludf.DUMMYFUNCTION("""COMPUTED_VALUE"""),"B")</f>
        <v>B</v>
      </c>
      <c r="F8216" s="315" t="s">
        <v>26</v>
      </c>
      <c r="G8216" s="308"/>
      <c r="H8216" s="308" t="s">
        <v>32391</v>
      </c>
      <c r="I8216" s="310">
        <v>43073.0</v>
      </c>
      <c r="J8216" s="319">
        <f>IFERROR(__xludf.DUMMYFUNCTION("SPLIT(I8216,""/"")"),4.0)</f>
        <v>4</v>
      </c>
      <c r="K8216" s="308">
        <f>IFERROR(__xludf.DUMMYFUNCTION("""COMPUTED_VALUE"""),12.0)</f>
        <v>12</v>
      </c>
      <c r="L8216" s="308">
        <f>IFERROR(__xludf.DUMMYFUNCTION("""COMPUTED_VALUE"""),2017.0)</f>
        <v>2017</v>
      </c>
      <c r="M8216" s="308" t="s">
        <v>32392</v>
      </c>
      <c r="N8216" s="308"/>
      <c r="O8216" s="308"/>
      <c r="P8216" s="308" t="s">
        <v>32393</v>
      </c>
      <c r="Q8216" s="308"/>
      <c r="R8216" s="308"/>
      <c r="S8216" s="308" t="s">
        <v>81</v>
      </c>
      <c r="T8216" s="308" t="s">
        <v>75</v>
      </c>
      <c r="U8216" s="308"/>
      <c r="V8216" s="308"/>
    </row>
    <row r="8217">
      <c r="A8217" s="308"/>
      <c r="B8217" s="308"/>
      <c r="C8217" s="308" t="s">
        <v>32394</v>
      </c>
      <c r="D8217" s="308">
        <f>IFERROR(__xludf.DUMMYFUNCTION("SPLIT(C8217,""-"")"),8237.0)</f>
        <v>8237</v>
      </c>
      <c r="E8217" s="308" t="str">
        <f>IFERROR(__xludf.DUMMYFUNCTION("""COMPUTED_VALUE"""),"B")</f>
        <v>B</v>
      </c>
      <c r="F8217" s="315" t="s">
        <v>26</v>
      </c>
      <c r="G8217" s="308"/>
      <c r="H8217" s="308" t="s">
        <v>32395</v>
      </c>
      <c r="I8217" s="310">
        <v>43014.0</v>
      </c>
      <c r="J8217" s="319">
        <f>IFERROR(__xludf.DUMMYFUNCTION("SPLIT(I8217,""/"")"),6.0)</f>
        <v>6</v>
      </c>
      <c r="K8217" s="308">
        <f>IFERROR(__xludf.DUMMYFUNCTION("""COMPUTED_VALUE"""),10.0)</f>
        <v>10</v>
      </c>
      <c r="L8217" s="308">
        <f>IFERROR(__xludf.DUMMYFUNCTION("""COMPUTED_VALUE"""),2017.0)</f>
        <v>2017</v>
      </c>
      <c r="M8217" s="308" t="s">
        <v>32396</v>
      </c>
      <c r="N8217" s="308"/>
      <c r="O8217" s="308"/>
      <c r="P8217" s="308" t="s">
        <v>32397</v>
      </c>
      <c r="Q8217" s="308"/>
      <c r="R8217" s="308"/>
      <c r="S8217" s="308" t="s">
        <v>81</v>
      </c>
      <c r="T8217" s="308" t="s">
        <v>75</v>
      </c>
      <c r="U8217" s="308"/>
      <c r="V8217" s="308"/>
    </row>
    <row r="8218">
      <c r="A8218" s="308"/>
      <c r="B8218" s="308"/>
      <c r="C8218" s="308" t="s">
        <v>32398</v>
      </c>
      <c r="D8218" s="308">
        <f>IFERROR(__xludf.DUMMYFUNCTION("SPLIT(C8218,""-"")"),8238.0)</f>
        <v>8238</v>
      </c>
      <c r="E8218" s="308" t="str">
        <f>IFERROR(__xludf.DUMMYFUNCTION("""COMPUTED_VALUE"""),"B")</f>
        <v>B</v>
      </c>
      <c r="F8218" s="315" t="s">
        <v>26</v>
      </c>
      <c r="G8218" s="308"/>
      <c r="H8218" s="308" t="s">
        <v>32399</v>
      </c>
      <c r="I8218" s="310">
        <v>43014.0</v>
      </c>
      <c r="J8218" s="319">
        <f>IFERROR(__xludf.DUMMYFUNCTION("SPLIT(I8218,""/"")"),6.0)</f>
        <v>6</v>
      </c>
      <c r="K8218" s="308">
        <f>IFERROR(__xludf.DUMMYFUNCTION("""COMPUTED_VALUE"""),10.0)</f>
        <v>10</v>
      </c>
      <c r="L8218" s="308">
        <f>IFERROR(__xludf.DUMMYFUNCTION("""COMPUTED_VALUE"""),2017.0)</f>
        <v>2017</v>
      </c>
      <c r="M8218" s="308" t="s">
        <v>32396</v>
      </c>
      <c r="N8218" s="308"/>
      <c r="O8218" s="308"/>
      <c r="P8218" s="308" t="s">
        <v>32400</v>
      </c>
      <c r="Q8218" s="308"/>
      <c r="R8218" s="308"/>
      <c r="S8218" s="308" t="s">
        <v>81</v>
      </c>
      <c r="T8218" s="308" t="s">
        <v>75</v>
      </c>
      <c r="U8218" s="308"/>
      <c r="V8218" s="308"/>
    </row>
    <row r="8219">
      <c r="A8219" s="308"/>
      <c r="B8219" s="308"/>
      <c r="C8219" s="308" t="s">
        <v>32401</v>
      </c>
      <c r="D8219" s="308">
        <f>IFERROR(__xludf.DUMMYFUNCTION("SPLIT(C8219,""-"")"),8239.0)</f>
        <v>8239</v>
      </c>
      <c r="E8219" s="308" t="str">
        <f>IFERROR(__xludf.DUMMYFUNCTION("""COMPUTED_VALUE"""),"B")</f>
        <v>B</v>
      </c>
      <c r="F8219" s="315" t="s">
        <v>26</v>
      </c>
      <c r="G8219" s="308"/>
      <c r="H8219" s="308" t="s">
        <v>32402</v>
      </c>
      <c r="I8219" s="310">
        <v>43014.0</v>
      </c>
      <c r="J8219" s="319">
        <f>IFERROR(__xludf.DUMMYFUNCTION("SPLIT(I8219,""/"")"),6.0)</f>
        <v>6</v>
      </c>
      <c r="K8219" s="308">
        <f>IFERROR(__xludf.DUMMYFUNCTION("""COMPUTED_VALUE"""),10.0)</f>
        <v>10</v>
      </c>
      <c r="L8219" s="308">
        <f>IFERROR(__xludf.DUMMYFUNCTION("""COMPUTED_VALUE"""),2017.0)</f>
        <v>2017</v>
      </c>
      <c r="M8219" s="308" t="s">
        <v>32396</v>
      </c>
      <c r="N8219" s="308"/>
      <c r="O8219" s="308"/>
      <c r="P8219" s="308" t="s">
        <v>32403</v>
      </c>
      <c r="Q8219" s="308"/>
      <c r="R8219" s="308"/>
      <c r="S8219" s="308" t="s">
        <v>81</v>
      </c>
      <c r="T8219" s="308" t="s">
        <v>75</v>
      </c>
      <c r="U8219" s="308"/>
      <c r="V8219" s="308"/>
    </row>
    <row r="8220">
      <c r="A8220" s="308"/>
      <c r="B8220" s="308"/>
      <c r="C8220" s="308" t="s">
        <v>32404</v>
      </c>
      <c r="D8220" s="308">
        <f>IFERROR(__xludf.DUMMYFUNCTION("SPLIT(C8220,""-"")"),8240.0)</f>
        <v>8240</v>
      </c>
      <c r="E8220" s="308" t="str">
        <f>IFERROR(__xludf.DUMMYFUNCTION("""COMPUTED_VALUE"""),"B")</f>
        <v>B</v>
      </c>
      <c r="F8220" s="315" t="s">
        <v>26</v>
      </c>
      <c r="G8220" s="308"/>
      <c r="H8220" s="308" t="s">
        <v>32405</v>
      </c>
      <c r="I8220" s="310">
        <v>43014.0</v>
      </c>
      <c r="J8220" s="319">
        <f>IFERROR(__xludf.DUMMYFUNCTION("SPLIT(I8220,""/"")"),6.0)</f>
        <v>6</v>
      </c>
      <c r="K8220" s="308">
        <f>IFERROR(__xludf.DUMMYFUNCTION("""COMPUTED_VALUE"""),10.0)</f>
        <v>10</v>
      </c>
      <c r="L8220" s="308">
        <f>IFERROR(__xludf.DUMMYFUNCTION("""COMPUTED_VALUE"""),2017.0)</f>
        <v>2017</v>
      </c>
      <c r="M8220" s="308" t="s">
        <v>32396</v>
      </c>
      <c r="N8220" s="308"/>
      <c r="O8220" s="308"/>
      <c r="P8220" s="308" t="s">
        <v>32406</v>
      </c>
      <c r="Q8220" s="308"/>
      <c r="R8220" s="308"/>
      <c r="S8220" s="308" t="s">
        <v>81</v>
      </c>
      <c r="T8220" s="308" t="s">
        <v>75</v>
      </c>
      <c r="U8220" s="308"/>
      <c r="V8220" s="308"/>
    </row>
    <row r="8221">
      <c r="A8221" s="308"/>
      <c r="B8221" s="308"/>
      <c r="C8221" s="308" t="s">
        <v>32407</v>
      </c>
      <c r="D8221" s="308">
        <f>IFERROR(__xludf.DUMMYFUNCTION("SPLIT(C8221,""-"")"),8241.0)</f>
        <v>8241</v>
      </c>
      <c r="E8221" s="308" t="str">
        <f>IFERROR(__xludf.DUMMYFUNCTION("""COMPUTED_VALUE"""),"B")</f>
        <v>B</v>
      </c>
      <c r="F8221" s="315" t="s">
        <v>26</v>
      </c>
      <c r="G8221" s="308"/>
      <c r="H8221" s="308" t="s">
        <v>32408</v>
      </c>
      <c r="I8221" s="310">
        <v>42902.0</v>
      </c>
      <c r="J8221" s="319">
        <f>IFERROR(__xludf.DUMMYFUNCTION("SPLIT(I8221,""/"")"),16.0)</f>
        <v>16</v>
      </c>
      <c r="K8221" s="308">
        <f>IFERROR(__xludf.DUMMYFUNCTION("""COMPUTED_VALUE"""),6.0)</f>
        <v>6</v>
      </c>
      <c r="L8221" s="308">
        <f>IFERROR(__xludf.DUMMYFUNCTION("""COMPUTED_VALUE"""),2017.0)</f>
        <v>2017</v>
      </c>
      <c r="M8221" s="308" t="s">
        <v>32409</v>
      </c>
      <c r="N8221" s="308"/>
      <c r="O8221" s="308"/>
      <c r="P8221" s="308" t="s">
        <v>32410</v>
      </c>
      <c r="Q8221" s="308"/>
      <c r="R8221" s="308"/>
      <c r="S8221" s="308" t="s">
        <v>81</v>
      </c>
      <c r="T8221" s="308" t="s">
        <v>75</v>
      </c>
      <c r="U8221" s="308"/>
      <c r="V8221" s="308"/>
    </row>
    <row r="8222">
      <c r="A8222" s="308"/>
      <c r="B8222" s="308"/>
      <c r="C8222" s="308" t="s">
        <v>32411</v>
      </c>
      <c r="D8222" s="308">
        <f>IFERROR(__xludf.DUMMYFUNCTION("SPLIT(C8222,""-"")"),8242.0)</f>
        <v>8242</v>
      </c>
      <c r="E8222" s="308" t="str">
        <f>IFERROR(__xludf.DUMMYFUNCTION("""COMPUTED_VALUE"""),"B")</f>
        <v>B</v>
      </c>
      <c r="F8222" s="315" t="s">
        <v>26</v>
      </c>
      <c r="G8222" s="308"/>
      <c r="H8222" s="308" t="s">
        <v>32412</v>
      </c>
      <c r="I8222" s="310">
        <v>42902.0</v>
      </c>
      <c r="J8222" s="319">
        <f>IFERROR(__xludf.DUMMYFUNCTION("SPLIT(I8222,""/"")"),16.0)</f>
        <v>16</v>
      </c>
      <c r="K8222" s="308">
        <f>IFERROR(__xludf.DUMMYFUNCTION("""COMPUTED_VALUE"""),6.0)</f>
        <v>6</v>
      </c>
      <c r="L8222" s="308">
        <f>IFERROR(__xludf.DUMMYFUNCTION("""COMPUTED_VALUE"""),2017.0)</f>
        <v>2017</v>
      </c>
      <c r="M8222" s="308" t="s">
        <v>32413</v>
      </c>
      <c r="N8222" s="308"/>
      <c r="O8222" s="308"/>
      <c r="P8222" s="308" t="s">
        <v>32414</v>
      </c>
      <c r="Q8222" s="308"/>
      <c r="R8222" s="308"/>
      <c r="S8222" s="308" t="s">
        <v>81</v>
      </c>
      <c r="T8222" s="308" t="s">
        <v>75</v>
      </c>
      <c r="U8222" s="308"/>
      <c r="V8222" s="308"/>
    </row>
    <row r="8223">
      <c r="A8223" s="308"/>
      <c r="B8223" s="308"/>
      <c r="C8223" s="308" t="s">
        <v>32415</v>
      </c>
      <c r="D8223" s="308">
        <f>IFERROR(__xludf.DUMMYFUNCTION("SPLIT(C8223,""-"")"),8243.0)</f>
        <v>8243</v>
      </c>
      <c r="E8223" s="308" t="str">
        <f>IFERROR(__xludf.DUMMYFUNCTION("""COMPUTED_VALUE"""),"B")</f>
        <v>B</v>
      </c>
      <c r="F8223" s="315" t="s">
        <v>26</v>
      </c>
      <c r="G8223" s="308"/>
      <c r="H8223" s="308" t="s">
        <v>32416</v>
      </c>
      <c r="I8223" s="310">
        <v>42902.0</v>
      </c>
      <c r="J8223" s="319">
        <f>IFERROR(__xludf.DUMMYFUNCTION("SPLIT(I8223,""/"")"),16.0)</f>
        <v>16</v>
      </c>
      <c r="K8223" s="308">
        <f>IFERROR(__xludf.DUMMYFUNCTION("""COMPUTED_VALUE"""),6.0)</f>
        <v>6</v>
      </c>
      <c r="L8223" s="308">
        <f>IFERROR(__xludf.DUMMYFUNCTION("""COMPUTED_VALUE"""),2017.0)</f>
        <v>2017</v>
      </c>
      <c r="M8223" s="308" t="s">
        <v>32417</v>
      </c>
      <c r="N8223" s="308"/>
      <c r="O8223" s="308"/>
      <c r="P8223" s="308" t="s">
        <v>32418</v>
      </c>
      <c r="Q8223" s="308"/>
      <c r="R8223" s="308"/>
      <c r="S8223" s="308" t="s">
        <v>81</v>
      </c>
      <c r="T8223" s="308" t="s">
        <v>75</v>
      </c>
      <c r="U8223" s="308"/>
      <c r="V8223" s="308"/>
    </row>
    <row r="8224">
      <c r="A8224" s="308"/>
      <c r="B8224" s="308"/>
      <c r="C8224" s="308" t="s">
        <v>32419</v>
      </c>
      <c r="D8224" s="308">
        <f>IFERROR(__xludf.DUMMYFUNCTION("SPLIT(C8224,""-"")"),8244.0)</f>
        <v>8244</v>
      </c>
      <c r="E8224" s="308" t="str">
        <f>IFERROR(__xludf.DUMMYFUNCTION("""COMPUTED_VALUE"""),"B")</f>
        <v>B</v>
      </c>
      <c r="F8224" s="315" t="s">
        <v>26</v>
      </c>
      <c r="G8224" s="308"/>
      <c r="H8224" s="308" t="s">
        <v>32420</v>
      </c>
      <c r="I8224" s="310">
        <v>42932.0</v>
      </c>
      <c r="J8224" s="319">
        <f>IFERROR(__xludf.DUMMYFUNCTION("SPLIT(I8224,""/"")"),16.0)</f>
        <v>16</v>
      </c>
      <c r="K8224" s="308">
        <f>IFERROR(__xludf.DUMMYFUNCTION("""COMPUTED_VALUE"""),7.0)</f>
        <v>7</v>
      </c>
      <c r="L8224" s="308">
        <f>IFERROR(__xludf.DUMMYFUNCTION("""COMPUTED_VALUE"""),2017.0)</f>
        <v>2017</v>
      </c>
      <c r="M8224" s="308" t="s">
        <v>32329</v>
      </c>
      <c r="N8224" s="308"/>
      <c r="O8224" s="308"/>
      <c r="P8224" s="308" t="s">
        <v>32421</v>
      </c>
      <c r="Q8224" s="308"/>
      <c r="R8224" s="308"/>
      <c r="S8224" s="308" t="s">
        <v>81</v>
      </c>
      <c r="T8224" s="308" t="s">
        <v>75</v>
      </c>
      <c r="U8224" s="308"/>
      <c r="V8224" s="308"/>
    </row>
    <row r="8225">
      <c r="A8225" s="308"/>
      <c r="B8225" s="308"/>
      <c r="C8225" s="308" t="s">
        <v>32422</v>
      </c>
      <c r="D8225" s="308">
        <f>IFERROR(__xludf.DUMMYFUNCTION("SPLIT(C8225,""-"")"),8245.0)</f>
        <v>8245</v>
      </c>
      <c r="E8225" s="308" t="str">
        <f>IFERROR(__xludf.DUMMYFUNCTION("""COMPUTED_VALUE"""),"B")</f>
        <v>B</v>
      </c>
      <c r="F8225" s="315" t="s">
        <v>26</v>
      </c>
      <c r="G8225" s="308"/>
      <c r="H8225" s="308" t="s">
        <v>32423</v>
      </c>
      <c r="I8225" s="310">
        <v>42932.0</v>
      </c>
      <c r="J8225" s="319">
        <f>IFERROR(__xludf.DUMMYFUNCTION("SPLIT(I8225,""/"")"),16.0)</f>
        <v>16</v>
      </c>
      <c r="K8225" s="308">
        <f>IFERROR(__xludf.DUMMYFUNCTION("""COMPUTED_VALUE"""),7.0)</f>
        <v>7</v>
      </c>
      <c r="L8225" s="308">
        <f>IFERROR(__xludf.DUMMYFUNCTION("""COMPUTED_VALUE"""),2017.0)</f>
        <v>2017</v>
      </c>
      <c r="M8225" s="308" t="s">
        <v>32329</v>
      </c>
      <c r="N8225" s="308"/>
      <c r="O8225" s="308"/>
      <c r="P8225" s="308" t="s">
        <v>32424</v>
      </c>
      <c r="Q8225" s="308"/>
      <c r="R8225" s="308"/>
      <c r="S8225" s="308" t="s">
        <v>81</v>
      </c>
      <c r="T8225" s="308" t="s">
        <v>75</v>
      </c>
      <c r="U8225" s="308"/>
      <c r="V8225" s="308"/>
    </row>
    <row r="8226">
      <c r="A8226" s="308"/>
      <c r="B8226" s="308"/>
      <c r="C8226" s="308" t="s">
        <v>32425</v>
      </c>
      <c r="D8226" s="308">
        <f>IFERROR(__xludf.DUMMYFUNCTION("SPLIT(C8226,""-"")"),8246.0)</f>
        <v>8246</v>
      </c>
      <c r="E8226" s="308" t="str">
        <f>IFERROR(__xludf.DUMMYFUNCTION("""COMPUTED_VALUE"""),"B")</f>
        <v>B</v>
      </c>
      <c r="F8226" s="315" t="s">
        <v>26</v>
      </c>
      <c r="G8226" s="308"/>
      <c r="H8226" s="308" t="s">
        <v>32426</v>
      </c>
      <c r="I8226" s="310">
        <v>42942.0</v>
      </c>
      <c r="J8226" s="319">
        <f>IFERROR(__xludf.DUMMYFUNCTION("SPLIT(I8226,""/"")"),26.0)</f>
        <v>26</v>
      </c>
      <c r="K8226" s="308">
        <f>IFERROR(__xludf.DUMMYFUNCTION("""COMPUTED_VALUE"""),7.0)</f>
        <v>7</v>
      </c>
      <c r="L8226" s="308">
        <f>IFERROR(__xludf.DUMMYFUNCTION("""COMPUTED_VALUE"""),2017.0)</f>
        <v>2017</v>
      </c>
      <c r="M8226" s="308" t="s">
        <v>32388</v>
      </c>
      <c r="N8226" s="308"/>
      <c r="O8226" s="308"/>
      <c r="P8226" s="308" t="s">
        <v>32427</v>
      </c>
      <c r="Q8226" s="308"/>
      <c r="R8226" s="308"/>
      <c r="S8226" s="308" t="s">
        <v>81</v>
      </c>
      <c r="T8226" s="308" t="s">
        <v>75</v>
      </c>
      <c r="U8226" s="308"/>
      <c r="V8226" s="308"/>
    </row>
    <row r="8227">
      <c r="A8227" s="308"/>
      <c r="B8227" s="308"/>
      <c r="C8227" s="308" t="s">
        <v>32428</v>
      </c>
      <c r="D8227" s="308">
        <f>IFERROR(__xludf.DUMMYFUNCTION("SPLIT(C8227,""-"")"),8247.0)</f>
        <v>8247</v>
      </c>
      <c r="E8227" s="308" t="str">
        <f>IFERROR(__xludf.DUMMYFUNCTION("""COMPUTED_VALUE"""),"B")</f>
        <v>B</v>
      </c>
      <c r="F8227" s="315" t="s">
        <v>26</v>
      </c>
      <c r="G8227" s="308"/>
      <c r="H8227" s="308" t="s">
        <v>32429</v>
      </c>
      <c r="I8227" s="310">
        <v>42936.0</v>
      </c>
      <c r="J8227" s="319">
        <f>IFERROR(__xludf.DUMMYFUNCTION("SPLIT(I8227,""/"")"),20.0)</f>
        <v>20</v>
      </c>
      <c r="K8227" s="308">
        <f>IFERROR(__xludf.DUMMYFUNCTION("""COMPUTED_VALUE"""),7.0)</f>
        <v>7</v>
      </c>
      <c r="L8227" s="308">
        <f>IFERROR(__xludf.DUMMYFUNCTION("""COMPUTED_VALUE"""),2017.0)</f>
        <v>2017</v>
      </c>
      <c r="M8227" s="308" t="s">
        <v>32329</v>
      </c>
      <c r="N8227" s="308"/>
      <c r="O8227" s="308"/>
      <c r="P8227" s="308" t="s">
        <v>32430</v>
      </c>
      <c r="Q8227" s="308"/>
      <c r="R8227" s="308"/>
      <c r="S8227" s="308" t="s">
        <v>81</v>
      </c>
      <c r="T8227" s="308" t="s">
        <v>75</v>
      </c>
      <c r="U8227" s="308"/>
      <c r="V8227" s="308"/>
    </row>
    <row r="8228">
      <c r="A8228" s="308"/>
      <c r="B8228" s="308"/>
      <c r="C8228" s="308" t="s">
        <v>32431</v>
      </c>
      <c r="D8228" s="308">
        <f>IFERROR(__xludf.DUMMYFUNCTION("SPLIT(C8228,""-"")"),8248.0)</f>
        <v>8248</v>
      </c>
      <c r="E8228" s="308" t="str">
        <f>IFERROR(__xludf.DUMMYFUNCTION("""COMPUTED_VALUE"""),"B")</f>
        <v>B</v>
      </c>
      <c r="F8228" s="315" t="s">
        <v>26</v>
      </c>
      <c r="G8228" s="308"/>
      <c r="H8228" s="308" t="s">
        <v>32432</v>
      </c>
      <c r="I8228" s="310">
        <v>42942.0</v>
      </c>
      <c r="J8228" s="319">
        <f>IFERROR(__xludf.DUMMYFUNCTION("SPLIT(I8228,""/"")"),26.0)</f>
        <v>26</v>
      </c>
      <c r="K8228" s="308">
        <f>IFERROR(__xludf.DUMMYFUNCTION("""COMPUTED_VALUE"""),7.0)</f>
        <v>7</v>
      </c>
      <c r="L8228" s="308">
        <f>IFERROR(__xludf.DUMMYFUNCTION("""COMPUTED_VALUE"""),2017.0)</f>
        <v>2017</v>
      </c>
      <c r="M8228" s="308" t="s">
        <v>32433</v>
      </c>
      <c r="N8228" s="308"/>
      <c r="O8228" s="308"/>
      <c r="P8228" s="308" t="s">
        <v>32434</v>
      </c>
      <c r="Q8228" s="308"/>
      <c r="R8228" s="308"/>
      <c r="S8228" s="308" t="s">
        <v>81</v>
      </c>
      <c r="T8228" s="308" t="s">
        <v>75</v>
      </c>
      <c r="U8228" s="308"/>
      <c r="V8228" s="308"/>
    </row>
    <row r="8229">
      <c r="A8229" s="308"/>
      <c r="B8229" s="308"/>
      <c r="C8229" s="308" t="s">
        <v>32435</v>
      </c>
      <c r="D8229" s="308">
        <f>IFERROR(__xludf.DUMMYFUNCTION("SPLIT(C8229,""-"")"),8249.0)</f>
        <v>8249</v>
      </c>
      <c r="E8229" s="308" t="str">
        <f>IFERROR(__xludf.DUMMYFUNCTION("""COMPUTED_VALUE"""),"B")</f>
        <v>B</v>
      </c>
      <c r="F8229" s="315" t="s">
        <v>26</v>
      </c>
      <c r="G8229" s="308"/>
      <c r="H8229" s="308" t="s">
        <v>32436</v>
      </c>
      <c r="I8229" s="310">
        <v>42803.0</v>
      </c>
      <c r="J8229" s="319">
        <f>IFERROR(__xludf.DUMMYFUNCTION("SPLIT(I8229,""/"")"),9.0)</f>
        <v>9</v>
      </c>
      <c r="K8229" s="308">
        <f>IFERROR(__xludf.DUMMYFUNCTION("""COMPUTED_VALUE"""),3.0)</f>
        <v>3</v>
      </c>
      <c r="L8229" s="308">
        <f>IFERROR(__xludf.DUMMYFUNCTION("""COMPUTED_VALUE"""),2017.0)</f>
        <v>2017</v>
      </c>
      <c r="M8229" s="308" t="s">
        <v>32437</v>
      </c>
      <c r="N8229" s="308"/>
      <c r="O8229" s="308"/>
      <c r="P8229" s="308" t="s">
        <v>32438</v>
      </c>
      <c r="Q8229" s="308"/>
      <c r="R8229" s="308"/>
      <c r="S8229" s="308" t="s">
        <v>81</v>
      </c>
      <c r="T8229" s="308" t="s">
        <v>75</v>
      </c>
      <c r="U8229" s="308"/>
      <c r="V8229" s="308"/>
    </row>
    <row r="8230">
      <c r="A8230" s="308"/>
      <c r="B8230" s="308"/>
      <c r="C8230" s="308" t="s">
        <v>32439</v>
      </c>
      <c r="D8230" s="308">
        <f>IFERROR(__xludf.DUMMYFUNCTION("SPLIT(C8230,""-"")"),8250.0)</f>
        <v>8250</v>
      </c>
      <c r="E8230" s="308" t="str">
        <f>IFERROR(__xludf.DUMMYFUNCTION("""COMPUTED_VALUE"""),"B")</f>
        <v>B</v>
      </c>
      <c r="F8230" s="315" t="s">
        <v>26</v>
      </c>
      <c r="G8230" s="308"/>
      <c r="H8230" s="308" t="s">
        <v>32440</v>
      </c>
      <c r="I8230" s="310">
        <v>43017.0</v>
      </c>
      <c r="J8230" s="319">
        <f>IFERROR(__xludf.DUMMYFUNCTION("SPLIT(I8230,""/"")"),9.0)</f>
        <v>9</v>
      </c>
      <c r="K8230" s="308">
        <f>IFERROR(__xludf.DUMMYFUNCTION("""COMPUTED_VALUE"""),10.0)</f>
        <v>10</v>
      </c>
      <c r="L8230" s="308">
        <f>IFERROR(__xludf.DUMMYFUNCTION("""COMPUTED_VALUE"""),2017.0)</f>
        <v>2017</v>
      </c>
      <c r="M8230" s="308" t="s">
        <v>32441</v>
      </c>
      <c r="N8230" s="308"/>
      <c r="O8230" s="308"/>
      <c r="P8230" s="308" t="s">
        <v>32442</v>
      </c>
      <c r="Q8230" s="308"/>
      <c r="R8230" s="308"/>
      <c r="S8230" s="308" t="s">
        <v>81</v>
      </c>
      <c r="T8230" s="308" t="s">
        <v>75</v>
      </c>
      <c r="U8230" s="308"/>
      <c r="V8230" s="308"/>
    </row>
    <row r="8231">
      <c r="A8231" s="308"/>
      <c r="B8231" s="308"/>
      <c r="C8231" s="308" t="s">
        <v>32443</v>
      </c>
      <c r="D8231" s="308">
        <f>IFERROR(__xludf.DUMMYFUNCTION("SPLIT(C8231,""-"")"),8251.0)</f>
        <v>8251</v>
      </c>
      <c r="E8231" s="308" t="str">
        <f>IFERROR(__xludf.DUMMYFUNCTION("""COMPUTED_VALUE"""),"B")</f>
        <v>B</v>
      </c>
      <c r="F8231" s="315" t="s">
        <v>26</v>
      </c>
      <c r="G8231" s="308"/>
      <c r="H8231" s="308" t="s">
        <v>32444</v>
      </c>
      <c r="I8231" s="310">
        <v>42998.0</v>
      </c>
      <c r="J8231" s="319">
        <f>IFERROR(__xludf.DUMMYFUNCTION("SPLIT(I8231,""/"")"),20.0)</f>
        <v>20</v>
      </c>
      <c r="K8231" s="308">
        <f>IFERROR(__xludf.DUMMYFUNCTION("""COMPUTED_VALUE"""),9.0)</f>
        <v>9</v>
      </c>
      <c r="L8231" s="308">
        <f>IFERROR(__xludf.DUMMYFUNCTION("""COMPUTED_VALUE"""),2017.0)</f>
        <v>2017</v>
      </c>
      <c r="M8231" s="308" t="s">
        <v>32396</v>
      </c>
      <c r="N8231" s="308"/>
      <c r="O8231" s="308"/>
      <c r="P8231" s="308" t="s">
        <v>32445</v>
      </c>
      <c r="Q8231" s="308"/>
      <c r="R8231" s="308"/>
      <c r="S8231" s="308" t="s">
        <v>81</v>
      </c>
      <c r="T8231" s="308" t="s">
        <v>75</v>
      </c>
      <c r="U8231" s="308"/>
      <c r="V8231" s="308"/>
    </row>
    <row r="8232">
      <c r="A8232" s="308"/>
      <c r="B8232" s="308"/>
      <c r="C8232" s="308" t="s">
        <v>32446</v>
      </c>
      <c r="D8232" s="308">
        <f>IFERROR(__xludf.DUMMYFUNCTION("SPLIT(C8232,""-"")"),8252.0)</f>
        <v>8252</v>
      </c>
      <c r="E8232" s="308" t="str">
        <f>IFERROR(__xludf.DUMMYFUNCTION("""COMPUTED_VALUE"""),"B")</f>
        <v>B</v>
      </c>
      <c r="F8232" s="315" t="s">
        <v>26</v>
      </c>
      <c r="G8232" s="308"/>
      <c r="H8232" s="308" t="s">
        <v>32447</v>
      </c>
      <c r="I8232" s="310">
        <v>42998.0</v>
      </c>
      <c r="J8232" s="319">
        <f>IFERROR(__xludf.DUMMYFUNCTION("SPLIT(I8232,""/"")"),20.0)</f>
        <v>20</v>
      </c>
      <c r="K8232" s="308">
        <f>IFERROR(__xludf.DUMMYFUNCTION("""COMPUTED_VALUE"""),9.0)</f>
        <v>9</v>
      </c>
      <c r="L8232" s="308">
        <f>IFERROR(__xludf.DUMMYFUNCTION("""COMPUTED_VALUE"""),2017.0)</f>
        <v>2017</v>
      </c>
      <c r="M8232" s="308" t="s">
        <v>32396</v>
      </c>
      <c r="N8232" s="308"/>
      <c r="O8232" s="308"/>
      <c r="P8232" s="308" t="s">
        <v>32448</v>
      </c>
      <c r="Q8232" s="308"/>
      <c r="R8232" s="308"/>
      <c r="S8232" s="308" t="s">
        <v>81</v>
      </c>
      <c r="T8232" s="308" t="s">
        <v>75</v>
      </c>
      <c r="U8232" s="308"/>
      <c r="V8232" s="308"/>
    </row>
    <row r="8233">
      <c r="A8233" s="308"/>
      <c r="B8233" s="308"/>
      <c r="C8233" s="308" t="s">
        <v>32449</v>
      </c>
      <c r="D8233" s="308">
        <f>IFERROR(__xludf.DUMMYFUNCTION("SPLIT(C8233,""-"")"),8253.0)</f>
        <v>8253</v>
      </c>
      <c r="E8233" s="308" t="str">
        <f>IFERROR(__xludf.DUMMYFUNCTION("""COMPUTED_VALUE"""),"B")</f>
        <v>B</v>
      </c>
      <c r="F8233" s="315" t="s">
        <v>26</v>
      </c>
      <c r="G8233" s="308"/>
      <c r="H8233" s="308" t="s">
        <v>32450</v>
      </c>
      <c r="I8233" s="310">
        <v>42998.0</v>
      </c>
      <c r="J8233" s="319">
        <f>IFERROR(__xludf.DUMMYFUNCTION("SPLIT(I8233,""/"")"),20.0)</f>
        <v>20</v>
      </c>
      <c r="K8233" s="308">
        <f>IFERROR(__xludf.DUMMYFUNCTION("""COMPUTED_VALUE"""),9.0)</f>
        <v>9</v>
      </c>
      <c r="L8233" s="308">
        <f>IFERROR(__xludf.DUMMYFUNCTION("""COMPUTED_VALUE"""),2017.0)</f>
        <v>2017</v>
      </c>
      <c r="M8233" s="308" t="s">
        <v>32396</v>
      </c>
      <c r="N8233" s="308"/>
      <c r="O8233" s="308"/>
      <c r="P8233" s="308" t="s">
        <v>32451</v>
      </c>
      <c r="Q8233" s="308"/>
      <c r="R8233" s="308"/>
      <c r="S8233" s="308" t="s">
        <v>81</v>
      </c>
      <c r="T8233" s="308" t="s">
        <v>75</v>
      </c>
      <c r="U8233" s="308"/>
      <c r="V8233" s="308"/>
    </row>
    <row r="8234">
      <c r="A8234" s="308"/>
      <c r="B8234" s="308"/>
      <c r="C8234" s="308" t="s">
        <v>32452</v>
      </c>
      <c r="D8234" s="308">
        <f>IFERROR(__xludf.DUMMYFUNCTION("SPLIT(C8234,""-"")"),8254.0)</f>
        <v>8254</v>
      </c>
      <c r="E8234" s="308" t="str">
        <f>IFERROR(__xludf.DUMMYFUNCTION("""COMPUTED_VALUE"""),"B")</f>
        <v>B</v>
      </c>
      <c r="F8234" s="315" t="s">
        <v>26</v>
      </c>
      <c r="G8234" s="308"/>
      <c r="H8234" s="308" t="s">
        <v>32453</v>
      </c>
      <c r="I8234" s="310">
        <v>42998.0</v>
      </c>
      <c r="J8234" s="319">
        <f>IFERROR(__xludf.DUMMYFUNCTION("SPLIT(I8234,""/"")"),20.0)</f>
        <v>20</v>
      </c>
      <c r="K8234" s="308">
        <f>IFERROR(__xludf.DUMMYFUNCTION("""COMPUTED_VALUE"""),9.0)</f>
        <v>9</v>
      </c>
      <c r="L8234" s="308">
        <f>IFERROR(__xludf.DUMMYFUNCTION("""COMPUTED_VALUE"""),2017.0)</f>
        <v>2017</v>
      </c>
      <c r="M8234" s="308" t="s">
        <v>32396</v>
      </c>
      <c r="N8234" s="308"/>
      <c r="O8234" s="308"/>
      <c r="P8234" s="308" t="s">
        <v>32454</v>
      </c>
      <c r="Q8234" s="308"/>
      <c r="R8234" s="308"/>
      <c r="S8234" s="308" t="s">
        <v>81</v>
      </c>
      <c r="T8234" s="308" t="s">
        <v>75</v>
      </c>
      <c r="U8234" s="308"/>
      <c r="V8234" s="308"/>
    </row>
    <row r="8235">
      <c r="A8235" s="308"/>
      <c r="B8235" s="308"/>
      <c r="C8235" s="308" t="s">
        <v>32455</v>
      </c>
      <c r="D8235" s="308">
        <f>IFERROR(__xludf.DUMMYFUNCTION("SPLIT(C8235,""-"")"),8255.0)</f>
        <v>8255</v>
      </c>
      <c r="E8235" s="308" t="str">
        <f>IFERROR(__xludf.DUMMYFUNCTION("""COMPUTED_VALUE"""),"B")</f>
        <v>B</v>
      </c>
      <c r="F8235" s="315" t="s">
        <v>26</v>
      </c>
      <c r="G8235" s="308"/>
      <c r="H8235" s="308" t="s">
        <v>32456</v>
      </c>
      <c r="I8235" s="310">
        <v>42998.0</v>
      </c>
      <c r="J8235" s="319">
        <f>IFERROR(__xludf.DUMMYFUNCTION("SPLIT(I8235,""/"")"),20.0)</f>
        <v>20</v>
      </c>
      <c r="K8235" s="308">
        <f>IFERROR(__xludf.DUMMYFUNCTION("""COMPUTED_VALUE"""),9.0)</f>
        <v>9</v>
      </c>
      <c r="L8235" s="308">
        <f>IFERROR(__xludf.DUMMYFUNCTION("""COMPUTED_VALUE"""),2017.0)</f>
        <v>2017</v>
      </c>
      <c r="M8235" s="308" t="s">
        <v>32396</v>
      </c>
      <c r="N8235" s="308"/>
      <c r="O8235" s="308"/>
      <c r="P8235" s="308" t="s">
        <v>32457</v>
      </c>
      <c r="Q8235" s="308"/>
      <c r="R8235" s="308"/>
      <c r="S8235" s="308" t="s">
        <v>81</v>
      </c>
      <c r="T8235" s="308" t="s">
        <v>75</v>
      </c>
      <c r="U8235" s="308"/>
      <c r="V8235" s="308"/>
    </row>
    <row r="8236">
      <c r="A8236" s="308"/>
      <c r="B8236" s="308"/>
      <c r="C8236" s="308" t="s">
        <v>32458</v>
      </c>
      <c r="D8236" s="308">
        <f>IFERROR(__xludf.DUMMYFUNCTION("SPLIT(C8236,""-"")"),8256.0)</f>
        <v>8256</v>
      </c>
      <c r="E8236" s="308" t="str">
        <f>IFERROR(__xludf.DUMMYFUNCTION("""COMPUTED_VALUE"""),"B")</f>
        <v>B</v>
      </c>
      <c r="F8236" s="315" t="s">
        <v>26</v>
      </c>
      <c r="G8236" s="308"/>
      <c r="H8236" s="308" t="s">
        <v>32459</v>
      </c>
      <c r="I8236" s="314">
        <v>43026.0</v>
      </c>
      <c r="J8236" s="319">
        <f>IFERROR(__xludf.DUMMYFUNCTION("SPLIT(I8236,""/"")"),18.0)</f>
        <v>18</v>
      </c>
      <c r="K8236" s="308">
        <f>IFERROR(__xludf.DUMMYFUNCTION("""COMPUTED_VALUE"""),10.0)</f>
        <v>10</v>
      </c>
      <c r="L8236" s="308">
        <f>IFERROR(__xludf.DUMMYFUNCTION("""COMPUTED_VALUE"""),2017.0)</f>
        <v>2017</v>
      </c>
      <c r="M8236" s="308" t="s">
        <v>32396</v>
      </c>
      <c r="N8236" s="308"/>
      <c r="O8236" s="308"/>
      <c r="P8236" s="308" t="s">
        <v>32460</v>
      </c>
      <c r="Q8236" s="308"/>
      <c r="R8236" s="308"/>
      <c r="S8236" s="308" t="s">
        <v>81</v>
      </c>
      <c r="T8236" s="308" t="s">
        <v>75</v>
      </c>
      <c r="U8236" s="308"/>
      <c r="V8236" s="308"/>
    </row>
    <row r="8237">
      <c r="A8237" s="308"/>
      <c r="B8237" s="308"/>
      <c r="C8237" s="308" t="s">
        <v>32461</v>
      </c>
      <c r="D8237" s="308">
        <f>IFERROR(__xludf.DUMMYFUNCTION("SPLIT(C8237,""-"")"),8257.0)</f>
        <v>8257</v>
      </c>
      <c r="E8237" s="308" t="str">
        <f>IFERROR(__xludf.DUMMYFUNCTION("""COMPUTED_VALUE"""),"B")</f>
        <v>B</v>
      </c>
      <c r="F8237" s="315" t="s">
        <v>26</v>
      </c>
      <c r="G8237" s="308"/>
      <c r="H8237" s="308" t="s">
        <v>32462</v>
      </c>
      <c r="I8237" s="314">
        <v>43022.0</v>
      </c>
      <c r="J8237" s="319">
        <f>IFERROR(__xludf.DUMMYFUNCTION("SPLIT(I8237,""/"")"),14.0)</f>
        <v>14</v>
      </c>
      <c r="K8237" s="308">
        <f>IFERROR(__xludf.DUMMYFUNCTION("""COMPUTED_VALUE"""),10.0)</f>
        <v>10</v>
      </c>
      <c r="L8237" s="308">
        <f>IFERROR(__xludf.DUMMYFUNCTION("""COMPUTED_VALUE"""),2017.0)</f>
        <v>2017</v>
      </c>
      <c r="M8237" s="308" t="s">
        <v>32463</v>
      </c>
      <c r="N8237" s="308"/>
      <c r="O8237" s="308"/>
      <c r="P8237" s="308" t="s">
        <v>32464</v>
      </c>
      <c r="Q8237" s="308"/>
      <c r="R8237" s="308"/>
      <c r="S8237" s="308" t="s">
        <v>81</v>
      </c>
      <c r="T8237" s="308" t="s">
        <v>75</v>
      </c>
      <c r="U8237" s="308"/>
      <c r="V8237" s="308"/>
    </row>
    <row r="8238">
      <c r="A8238" s="308"/>
      <c r="B8238" s="308"/>
      <c r="C8238" s="308" t="s">
        <v>32465</v>
      </c>
      <c r="D8238" s="308">
        <f>IFERROR(__xludf.DUMMYFUNCTION("SPLIT(C8238,""-"")"),8258.0)</f>
        <v>8258</v>
      </c>
      <c r="E8238" s="308" t="str">
        <f>IFERROR(__xludf.DUMMYFUNCTION("""COMPUTED_VALUE"""),"B")</f>
        <v>B</v>
      </c>
      <c r="F8238" s="315" t="s">
        <v>26</v>
      </c>
      <c r="G8238" s="308"/>
      <c r="H8238" s="308" t="s">
        <v>32466</v>
      </c>
      <c r="I8238" s="314">
        <v>43028.0</v>
      </c>
      <c r="J8238" s="319">
        <f>IFERROR(__xludf.DUMMYFUNCTION("SPLIT(I8238,""/"")"),20.0)</f>
        <v>20</v>
      </c>
      <c r="K8238" s="308">
        <f>IFERROR(__xludf.DUMMYFUNCTION("""COMPUTED_VALUE"""),10.0)</f>
        <v>10</v>
      </c>
      <c r="L8238" s="308">
        <f>IFERROR(__xludf.DUMMYFUNCTION("""COMPUTED_VALUE"""),2017.0)</f>
        <v>2017</v>
      </c>
      <c r="M8238" s="308" t="s">
        <v>32467</v>
      </c>
      <c r="N8238" s="308"/>
      <c r="O8238" s="308"/>
      <c r="P8238" s="308" t="s">
        <v>32468</v>
      </c>
      <c r="Q8238" s="308"/>
      <c r="R8238" s="308"/>
      <c r="S8238" s="308" t="s">
        <v>81</v>
      </c>
      <c r="T8238" s="308" t="s">
        <v>75</v>
      </c>
      <c r="U8238" s="308"/>
      <c r="V8238" s="308"/>
    </row>
    <row r="8239">
      <c r="A8239" s="308"/>
      <c r="B8239" s="308"/>
      <c r="C8239" s="308" t="s">
        <v>32469</v>
      </c>
      <c r="D8239" s="308">
        <f>IFERROR(__xludf.DUMMYFUNCTION("SPLIT(C8239,""-"")"),8259.0)</f>
        <v>8259</v>
      </c>
      <c r="E8239" s="308" t="str">
        <f>IFERROR(__xludf.DUMMYFUNCTION("""COMPUTED_VALUE"""),"B")</f>
        <v>B</v>
      </c>
      <c r="F8239" s="315" t="s">
        <v>26</v>
      </c>
      <c r="G8239" s="308"/>
      <c r="H8239" s="308" t="s">
        <v>32470</v>
      </c>
      <c r="I8239" s="314">
        <v>43028.0</v>
      </c>
      <c r="J8239" s="319">
        <f>IFERROR(__xludf.DUMMYFUNCTION("SPLIT(I8239,""/"")"),20.0)</f>
        <v>20</v>
      </c>
      <c r="K8239" s="308">
        <f>IFERROR(__xludf.DUMMYFUNCTION("""COMPUTED_VALUE"""),10.0)</f>
        <v>10</v>
      </c>
      <c r="L8239" s="308">
        <f>IFERROR(__xludf.DUMMYFUNCTION("""COMPUTED_VALUE"""),2017.0)</f>
        <v>2017</v>
      </c>
      <c r="M8239" s="308" t="s">
        <v>32467</v>
      </c>
      <c r="N8239" s="308"/>
      <c r="O8239" s="308"/>
      <c r="P8239" s="308" t="s">
        <v>32471</v>
      </c>
      <c r="Q8239" s="308"/>
      <c r="R8239" s="308"/>
      <c r="S8239" s="308" t="s">
        <v>81</v>
      </c>
      <c r="T8239" s="308" t="s">
        <v>75</v>
      </c>
      <c r="U8239" s="308"/>
      <c r="V8239" s="308"/>
    </row>
    <row r="8240">
      <c r="A8240" s="308"/>
      <c r="B8240" s="308"/>
      <c r="C8240" s="308" t="s">
        <v>32472</v>
      </c>
      <c r="D8240" s="308">
        <f>IFERROR(__xludf.DUMMYFUNCTION("SPLIT(C8240,""-"")"),8260.0)</f>
        <v>8260</v>
      </c>
      <c r="E8240" s="308" t="str">
        <f>IFERROR(__xludf.DUMMYFUNCTION("""COMPUTED_VALUE"""),"B")</f>
        <v>B</v>
      </c>
      <c r="F8240" s="315" t="s">
        <v>26</v>
      </c>
      <c r="G8240" s="308"/>
      <c r="H8240" s="308" t="s">
        <v>32473</v>
      </c>
      <c r="I8240" s="314">
        <v>43028.0</v>
      </c>
      <c r="J8240" s="319">
        <f>IFERROR(__xludf.DUMMYFUNCTION("SPLIT(I8240,""/"")"),20.0)</f>
        <v>20</v>
      </c>
      <c r="K8240" s="308">
        <f>IFERROR(__xludf.DUMMYFUNCTION("""COMPUTED_VALUE"""),10.0)</f>
        <v>10</v>
      </c>
      <c r="L8240" s="308">
        <f>IFERROR(__xludf.DUMMYFUNCTION("""COMPUTED_VALUE"""),2017.0)</f>
        <v>2017</v>
      </c>
      <c r="M8240" s="308" t="s">
        <v>32467</v>
      </c>
      <c r="N8240" s="308"/>
      <c r="O8240" s="308"/>
      <c r="P8240" s="308" t="s">
        <v>32474</v>
      </c>
      <c r="Q8240" s="308"/>
      <c r="R8240" s="308"/>
      <c r="S8240" s="308" t="s">
        <v>81</v>
      </c>
      <c r="T8240" s="308" t="s">
        <v>75</v>
      </c>
      <c r="U8240" s="308"/>
      <c r="V8240" s="308"/>
    </row>
    <row r="8241">
      <c r="A8241" s="308"/>
      <c r="B8241" s="308"/>
      <c r="C8241" s="308" t="s">
        <v>32475</v>
      </c>
      <c r="D8241" s="308">
        <f>IFERROR(__xludf.DUMMYFUNCTION("SPLIT(C8241,""-"")"),8261.0)</f>
        <v>8261</v>
      </c>
      <c r="E8241" s="308" t="str">
        <f>IFERROR(__xludf.DUMMYFUNCTION("""COMPUTED_VALUE"""),"B")</f>
        <v>B</v>
      </c>
      <c r="F8241" s="315" t="s">
        <v>26</v>
      </c>
      <c r="G8241" s="308"/>
      <c r="H8241" s="308" t="s">
        <v>32476</v>
      </c>
      <c r="I8241" s="314">
        <v>43028.0</v>
      </c>
      <c r="J8241" s="319">
        <f>IFERROR(__xludf.DUMMYFUNCTION("SPLIT(I8241,""/"")"),20.0)</f>
        <v>20</v>
      </c>
      <c r="K8241" s="308">
        <f>IFERROR(__xludf.DUMMYFUNCTION("""COMPUTED_VALUE"""),10.0)</f>
        <v>10</v>
      </c>
      <c r="L8241" s="308">
        <f>IFERROR(__xludf.DUMMYFUNCTION("""COMPUTED_VALUE"""),2017.0)</f>
        <v>2017</v>
      </c>
      <c r="M8241" s="308" t="s">
        <v>32467</v>
      </c>
      <c r="N8241" s="308"/>
      <c r="O8241" s="308"/>
      <c r="P8241" s="308" t="s">
        <v>32477</v>
      </c>
      <c r="Q8241" s="308"/>
      <c r="R8241" s="308"/>
      <c r="S8241" s="308" t="s">
        <v>81</v>
      </c>
      <c r="T8241" s="308" t="s">
        <v>75</v>
      </c>
      <c r="U8241" s="308"/>
      <c r="V8241" s="308"/>
    </row>
    <row r="8242">
      <c r="A8242" s="308"/>
      <c r="B8242" s="308"/>
      <c r="C8242" s="308" t="s">
        <v>32478</v>
      </c>
      <c r="D8242" s="308">
        <f>IFERROR(__xludf.DUMMYFUNCTION("SPLIT(C8242,""-"")"),8262.0)</f>
        <v>8262</v>
      </c>
      <c r="E8242" s="308" t="str">
        <f>IFERROR(__xludf.DUMMYFUNCTION("""COMPUTED_VALUE"""),"B")</f>
        <v>B</v>
      </c>
      <c r="F8242" s="315" t="s">
        <v>26</v>
      </c>
      <c r="G8242" s="308"/>
      <c r="H8242" s="308" t="s">
        <v>32479</v>
      </c>
      <c r="I8242" s="310">
        <v>42856.0</v>
      </c>
      <c r="J8242" s="319">
        <f>IFERROR(__xludf.DUMMYFUNCTION("SPLIT(I8242,""/"")"),1.0)</f>
        <v>1</v>
      </c>
      <c r="K8242" s="308">
        <f>IFERROR(__xludf.DUMMYFUNCTION("""COMPUTED_VALUE"""),5.0)</f>
        <v>5</v>
      </c>
      <c r="L8242" s="308">
        <f>IFERROR(__xludf.DUMMYFUNCTION("""COMPUTED_VALUE"""),2017.0)</f>
        <v>2017</v>
      </c>
      <c r="M8242" s="308" t="s">
        <v>32480</v>
      </c>
      <c r="N8242" s="308"/>
      <c r="O8242" s="308"/>
      <c r="P8242" s="308" t="s">
        <v>32481</v>
      </c>
      <c r="Q8242" s="308"/>
      <c r="R8242" s="308"/>
      <c r="S8242" s="308" t="s">
        <v>81</v>
      </c>
      <c r="T8242" s="308" t="s">
        <v>75</v>
      </c>
      <c r="U8242" s="308"/>
      <c r="V8242" s="308"/>
    </row>
    <row r="8243">
      <c r="A8243" s="308"/>
      <c r="B8243" s="308"/>
      <c r="C8243" s="308" t="s">
        <v>32482</v>
      </c>
      <c r="D8243" s="308">
        <f>IFERROR(__xludf.DUMMYFUNCTION("SPLIT(C8243,""-"")"),8263.0)</f>
        <v>8263</v>
      </c>
      <c r="E8243" s="308" t="str">
        <f>IFERROR(__xludf.DUMMYFUNCTION("""COMPUTED_VALUE"""),"B")</f>
        <v>B</v>
      </c>
      <c r="F8243" s="315" t="s">
        <v>26</v>
      </c>
      <c r="G8243" s="308"/>
      <c r="H8243" s="308" t="s">
        <v>30522</v>
      </c>
      <c r="I8243" s="310">
        <v>42856.0</v>
      </c>
      <c r="J8243" s="319">
        <f>IFERROR(__xludf.DUMMYFUNCTION("SPLIT(I8243,""/"")"),1.0)</f>
        <v>1</v>
      </c>
      <c r="K8243" s="308">
        <f>IFERROR(__xludf.DUMMYFUNCTION("""COMPUTED_VALUE"""),5.0)</f>
        <v>5</v>
      </c>
      <c r="L8243" s="308">
        <f>IFERROR(__xludf.DUMMYFUNCTION("""COMPUTED_VALUE"""),2017.0)</f>
        <v>2017</v>
      </c>
      <c r="M8243" s="308" t="s">
        <v>32480</v>
      </c>
      <c r="N8243" s="308"/>
      <c r="O8243" s="308"/>
      <c r="P8243" s="308" t="s">
        <v>32483</v>
      </c>
      <c r="Q8243" s="308"/>
      <c r="R8243" s="308"/>
      <c r="S8243" s="308" t="s">
        <v>81</v>
      </c>
      <c r="T8243" s="308" t="s">
        <v>75</v>
      </c>
      <c r="U8243" s="308"/>
      <c r="V8243" s="308"/>
    </row>
    <row r="8244">
      <c r="A8244" s="308"/>
      <c r="B8244" s="308"/>
      <c r="C8244" s="308" t="s">
        <v>32484</v>
      </c>
      <c r="D8244" s="308">
        <f>IFERROR(__xludf.DUMMYFUNCTION("SPLIT(C8244,""-"")"),8264.0)</f>
        <v>8264</v>
      </c>
      <c r="E8244" s="308" t="str">
        <f>IFERROR(__xludf.DUMMYFUNCTION("""COMPUTED_VALUE"""),"B")</f>
        <v>B</v>
      </c>
      <c r="F8244" s="315" t="s">
        <v>26</v>
      </c>
      <c r="G8244" s="308"/>
      <c r="H8244" s="308" t="s">
        <v>40166</v>
      </c>
      <c r="I8244" s="310">
        <v>42740.0</v>
      </c>
      <c r="J8244" s="319">
        <f>IFERROR(__xludf.DUMMYFUNCTION("SPLIT(I8244,""/"")"),5.0)</f>
        <v>5</v>
      </c>
      <c r="K8244" s="308">
        <f>IFERROR(__xludf.DUMMYFUNCTION("""COMPUTED_VALUE"""),1.0)</f>
        <v>1</v>
      </c>
      <c r="L8244" s="308">
        <f>IFERROR(__xludf.DUMMYFUNCTION("""COMPUTED_VALUE"""),2017.0)</f>
        <v>2017</v>
      </c>
      <c r="M8244" s="308" t="s">
        <v>32480</v>
      </c>
      <c r="N8244" s="308"/>
      <c r="O8244" s="308"/>
      <c r="P8244" s="308" t="s">
        <v>32486</v>
      </c>
      <c r="Q8244" s="308"/>
      <c r="R8244" s="308"/>
      <c r="S8244" s="308" t="s">
        <v>81</v>
      </c>
      <c r="T8244" s="308" t="s">
        <v>75</v>
      </c>
      <c r="U8244" s="308"/>
      <c r="V8244" s="308"/>
    </row>
    <row r="8245">
      <c r="A8245" s="308"/>
      <c r="B8245" s="308"/>
      <c r="C8245" s="308" t="s">
        <v>32487</v>
      </c>
      <c r="D8245" s="308">
        <f>IFERROR(__xludf.DUMMYFUNCTION("SPLIT(C8245,""-"")"),8265.0)</f>
        <v>8265</v>
      </c>
      <c r="E8245" s="308" t="str">
        <f>IFERROR(__xludf.DUMMYFUNCTION("""COMPUTED_VALUE"""),"B")</f>
        <v>B</v>
      </c>
      <c r="F8245" s="315" t="s">
        <v>26</v>
      </c>
      <c r="G8245" s="308"/>
      <c r="H8245" s="308" t="s">
        <v>32488</v>
      </c>
      <c r="I8245" s="310">
        <v>42740.0</v>
      </c>
      <c r="J8245" s="319">
        <f>IFERROR(__xludf.DUMMYFUNCTION("SPLIT(I8245,""/"")"),5.0)</f>
        <v>5</v>
      </c>
      <c r="K8245" s="308">
        <f>IFERROR(__xludf.DUMMYFUNCTION("""COMPUTED_VALUE"""),1.0)</f>
        <v>1</v>
      </c>
      <c r="L8245" s="308">
        <f>IFERROR(__xludf.DUMMYFUNCTION("""COMPUTED_VALUE"""),2017.0)</f>
        <v>2017</v>
      </c>
      <c r="M8245" s="308" t="s">
        <v>32480</v>
      </c>
      <c r="N8245" s="308"/>
      <c r="O8245" s="308"/>
      <c r="P8245" s="308" t="s">
        <v>32489</v>
      </c>
      <c r="Q8245" s="308"/>
      <c r="R8245" s="308"/>
      <c r="S8245" s="308" t="s">
        <v>81</v>
      </c>
      <c r="T8245" s="308" t="s">
        <v>75</v>
      </c>
      <c r="U8245" s="308"/>
      <c r="V8245" s="308"/>
    </row>
    <row r="8246">
      <c r="A8246" s="308"/>
      <c r="B8246" s="308"/>
      <c r="C8246" s="308" t="s">
        <v>32490</v>
      </c>
      <c r="D8246" s="308">
        <f>IFERROR(__xludf.DUMMYFUNCTION("SPLIT(C8246,""-"")"),8266.0)</f>
        <v>8266</v>
      </c>
      <c r="E8246" s="308" t="str">
        <f>IFERROR(__xludf.DUMMYFUNCTION("""COMPUTED_VALUE"""),"B")</f>
        <v>B</v>
      </c>
      <c r="F8246" s="315" t="s">
        <v>26</v>
      </c>
      <c r="G8246" s="308"/>
      <c r="H8246" s="308" t="s">
        <v>32491</v>
      </c>
      <c r="I8246" s="310">
        <v>42740.0</v>
      </c>
      <c r="J8246" s="319">
        <f>IFERROR(__xludf.DUMMYFUNCTION("SPLIT(I8246,""/"")"),5.0)</f>
        <v>5</v>
      </c>
      <c r="K8246" s="308">
        <f>IFERROR(__xludf.DUMMYFUNCTION("""COMPUTED_VALUE"""),1.0)</f>
        <v>1</v>
      </c>
      <c r="L8246" s="308">
        <f>IFERROR(__xludf.DUMMYFUNCTION("""COMPUTED_VALUE"""),2017.0)</f>
        <v>2017</v>
      </c>
      <c r="M8246" s="308" t="s">
        <v>32480</v>
      </c>
      <c r="N8246" s="308"/>
      <c r="O8246" s="308"/>
      <c r="P8246" s="308" t="s">
        <v>32492</v>
      </c>
      <c r="Q8246" s="308"/>
      <c r="R8246" s="308"/>
      <c r="S8246" s="308" t="s">
        <v>81</v>
      </c>
      <c r="T8246" s="308" t="s">
        <v>75</v>
      </c>
      <c r="U8246" s="308"/>
      <c r="V8246" s="308"/>
    </row>
    <row r="8247">
      <c r="A8247" s="308"/>
      <c r="B8247" s="308"/>
      <c r="C8247" s="308" t="s">
        <v>32493</v>
      </c>
      <c r="D8247" s="308">
        <f>IFERROR(__xludf.DUMMYFUNCTION("SPLIT(C8247,""-"")"),8267.0)</f>
        <v>8267</v>
      </c>
      <c r="E8247" s="308" t="str">
        <f>IFERROR(__xludf.DUMMYFUNCTION("""COMPUTED_VALUE"""),"B")</f>
        <v>B</v>
      </c>
      <c r="F8247" s="315" t="s">
        <v>26</v>
      </c>
      <c r="G8247" s="308"/>
      <c r="H8247" s="308" t="s">
        <v>32494</v>
      </c>
      <c r="I8247" s="310">
        <v>42740.0</v>
      </c>
      <c r="J8247" s="319">
        <f>IFERROR(__xludf.DUMMYFUNCTION("SPLIT(I8247,""/"")"),5.0)</f>
        <v>5</v>
      </c>
      <c r="K8247" s="308">
        <f>IFERROR(__xludf.DUMMYFUNCTION("""COMPUTED_VALUE"""),1.0)</f>
        <v>1</v>
      </c>
      <c r="L8247" s="308">
        <f>IFERROR(__xludf.DUMMYFUNCTION("""COMPUTED_VALUE"""),2017.0)</f>
        <v>2017</v>
      </c>
      <c r="M8247" s="308" t="s">
        <v>32480</v>
      </c>
      <c r="N8247" s="308"/>
      <c r="O8247" s="308"/>
      <c r="P8247" s="308" t="s">
        <v>32495</v>
      </c>
      <c r="Q8247" s="308"/>
      <c r="R8247" s="308"/>
      <c r="S8247" s="308" t="s">
        <v>81</v>
      </c>
      <c r="T8247" s="308" t="s">
        <v>75</v>
      </c>
      <c r="U8247" s="308"/>
      <c r="V8247" s="308"/>
    </row>
    <row r="8248">
      <c r="A8248" s="308"/>
      <c r="B8248" s="308"/>
      <c r="C8248" s="308" t="s">
        <v>32496</v>
      </c>
      <c r="D8248" s="308">
        <f>IFERROR(__xludf.DUMMYFUNCTION("SPLIT(C8248,""-"")"),8268.0)</f>
        <v>8268</v>
      </c>
      <c r="E8248" s="308" t="str">
        <f>IFERROR(__xludf.DUMMYFUNCTION("""COMPUTED_VALUE"""),"B")</f>
        <v>B</v>
      </c>
      <c r="F8248" s="315" t="s">
        <v>26</v>
      </c>
      <c r="G8248" s="308"/>
      <c r="H8248" s="308" t="s">
        <v>32497</v>
      </c>
      <c r="I8248" s="310">
        <v>42740.0</v>
      </c>
      <c r="J8248" s="319">
        <f>IFERROR(__xludf.DUMMYFUNCTION("SPLIT(I8248,""/"")"),5.0)</f>
        <v>5</v>
      </c>
      <c r="K8248" s="308">
        <f>IFERROR(__xludf.DUMMYFUNCTION("""COMPUTED_VALUE"""),1.0)</f>
        <v>1</v>
      </c>
      <c r="L8248" s="308">
        <f>IFERROR(__xludf.DUMMYFUNCTION("""COMPUTED_VALUE"""),2017.0)</f>
        <v>2017</v>
      </c>
      <c r="M8248" s="308" t="s">
        <v>32480</v>
      </c>
      <c r="N8248" s="308"/>
      <c r="O8248" s="308"/>
      <c r="P8248" s="308" t="s">
        <v>32498</v>
      </c>
      <c r="Q8248" s="308"/>
      <c r="R8248" s="308"/>
      <c r="S8248" s="308" t="s">
        <v>81</v>
      </c>
      <c r="T8248" s="308" t="s">
        <v>75</v>
      </c>
      <c r="U8248" s="308"/>
      <c r="V8248" s="308"/>
    </row>
    <row r="8249">
      <c r="A8249" s="308"/>
      <c r="B8249" s="308"/>
      <c r="C8249" s="308" t="s">
        <v>32499</v>
      </c>
      <c r="D8249" s="308">
        <f>IFERROR(__xludf.DUMMYFUNCTION("SPLIT(C8249,""-"")"),8269.0)</f>
        <v>8269</v>
      </c>
      <c r="E8249" s="308" t="str">
        <f>IFERROR(__xludf.DUMMYFUNCTION("""COMPUTED_VALUE"""),"B")</f>
        <v>B</v>
      </c>
      <c r="F8249" s="315" t="s">
        <v>26</v>
      </c>
      <c r="G8249" s="308"/>
      <c r="H8249" s="308" t="s">
        <v>32500</v>
      </c>
      <c r="I8249" s="314">
        <v>43028.0</v>
      </c>
      <c r="J8249" s="319">
        <f>IFERROR(__xludf.DUMMYFUNCTION("SPLIT(I8249,""/"")"),20.0)</f>
        <v>20</v>
      </c>
      <c r="K8249" s="308">
        <f>IFERROR(__xludf.DUMMYFUNCTION("""COMPUTED_VALUE"""),10.0)</f>
        <v>10</v>
      </c>
      <c r="L8249" s="308">
        <f>IFERROR(__xludf.DUMMYFUNCTION("""COMPUTED_VALUE"""),2017.0)</f>
        <v>2017</v>
      </c>
      <c r="M8249" s="308" t="s">
        <v>32467</v>
      </c>
      <c r="N8249" s="308"/>
      <c r="O8249" s="308"/>
      <c r="P8249" s="308" t="s">
        <v>32501</v>
      </c>
      <c r="Q8249" s="308"/>
      <c r="R8249" s="308"/>
      <c r="S8249" s="308" t="s">
        <v>81</v>
      </c>
      <c r="T8249" s="308" t="s">
        <v>75</v>
      </c>
      <c r="U8249" s="308"/>
      <c r="V8249" s="308"/>
    </row>
    <row r="8250">
      <c r="A8250" s="308"/>
      <c r="B8250" s="308"/>
      <c r="C8250" s="308" t="s">
        <v>32502</v>
      </c>
      <c r="D8250" s="308">
        <f>IFERROR(__xludf.DUMMYFUNCTION("SPLIT(C8250,""-"")"),8270.0)</f>
        <v>8270</v>
      </c>
      <c r="E8250" s="308" t="str">
        <f>IFERROR(__xludf.DUMMYFUNCTION("""COMPUTED_VALUE"""),"B")</f>
        <v>B</v>
      </c>
      <c r="F8250" s="315" t="s">
        <v>26</v>
      </c>
      <c r="G8250" s="308"/>
      <c r="H8250" s="308" t="s">
        <v>32503</v>
      </c>
      <c r="I8250" s="314">
        <v>43028.0</v>
      </c>
      <c r="J8250" s="319">
        <f>IFERROR(__xludf.DUMMYFUNCTION("SPLIT(I8250,""/"")"),20.0)</f>
        <v>20</v>
      </c>
      <c r="K8250" s="308">
        <f>IFERROR(__xludf.DUMMYFUNCTION("""COMPUTED_VALUE"""),10.0)</f>
        <v>10</v>
      </c>
      <c r="L8250" s="308">
        <f>IFERROR(__xludf.DUMMYFUNCTION("""COMPUTED_VALUE"""),2017.0)</f>
        <v>2017</v>
      </c>
      <c r="M8250" s="308" t="s">
        <v>32467</v>
      </c>
      <c r="N8250" s="308"/>
      <c r="O8250" s="308"/>
      <c r="P8250" s="308" t="s">
        <v>32504</v>
      </c>
      <c r="Q8250" s="308"/>
      <c r="R8250" s="308"/>
      <c r="S8250" s="308" t="s">
        <v>81</v>
      </c>
      <c r="T8250" s="308" t="s">
        <v>75</v>
      </c>
      <c r="U8250" s="308"/>
      <c r="V8250" s="308"/>
    </row>
    <row r="8251">
      <c r="A8251" s="308"/>
      <c r="B8251" s="308"/>
      <c r="C8251" s="308" t="s">
        <v>32505</v>
      </c>
      <c r="D8251" s="308">
        <f>IFERROR(__xludf.DUMMYFUNCTION("SPLIT(C8251,""-"")"),8271.0)</f>
        <v>8271</v>
      </c>
      <c r="E8251" s="308" t="str">
        <f>IFERROR(__xludf.DUMMYFUNCTION("""COMPUTED_VALUE"""),"B")</f>
        <v>B</v>
      </c>
      <c r="F8251" s="315" t="s">
        <v>26</v>
      </c>
      <c r="G8251" s="308"/>
      <c r="H8251" s="308" t="s">
        <v>32506</v>
      </c>
      <c r="I8251" s="314">
        <v>43033.0</v>
      </c>
      <c r="J8251" s="319">
        <f>IFERROR(__xludf.DUMMYFUNCTION("SPLIT(I8251,""/"")"),25.0)</f>
        <v>25</v>
      </c>
      <c r="K8251" s="308">
        <f>IFERROR(__xludf.DUMMYFUNCTION("""COMPUTED_VALUE"""),10.0)</f>
        <v>10</v>
      </c>
      <c r="L8251" s="308">
        <f>IFERROR(__xludf.DUMMYFUNCTION("""COMPUTED_VALUE"""),2017.0)</f>
        <v>2017</v>
      </c>
      <c r="M8251" s="308" t="s">
        <v>32329</v>
      </c>
      <c r="N8251" s="308"/>
      <c r="O8251" s="308"/>
      <c r="P8251" s="308" t="s">
        <v>32507</v>
      </c>
      <c r="Q8251" s="308"/>
      <c r="R8251" s="308"/>
      <c r="S8251" s="308" t="s">
        <v>81</v>
      </c>
      <c r="T8251" s="308" t="s">
        <v>75</v>
      </c>
      <c r="U8251" s="308"/>
      <c r="V8251" s="308"/>
    </row>
    <row r="8252">
      <c r="A8252" s="308"/>
      <c r="B8252" s="308"/>
      <c r="C8252" s="308" t="s">
        <v>32508</v>
      </c>
      <c r="D8252" s="308">
        <f>IFERROR(__xludf.DUMMYFUNCTION("SPLIT(C8252,""-"")"),8272.0)</f>
        <v>8272</v>
      </c>
      <c r="E8252" s="308" t="str">
        <f>IFERROR(__xludf.DUMMYFUNCTION("""COMPUTED_VALUE"""),"B")</f>
        <v>B</v>
      </c>
      <c r="F8252" s="315" t="s">
        <v>26</v>
      </c>
      <c r="G8252" s="308"/>
      <c r="H8252" s="308" t="s">
        <v>32509</v>
      </c>
      <c r="I8252" s="314">
        <v>43028.0</v>
      </c>
      <c r="J8252" s="319">
        <f>IFERROR(__xludf.DUMMYFUNCTION("SPLIT(I8252,""/"")"),20.0)</f>
        <v>20</v>
      </c>
      <c r="K8252" s="308">
        <f>IFERROR(__xludf.DUMMYFUNCTION("""COMPUTED_VALUE"""),10.0)</f>
        <v>10</v>
      </c>
      <c r="L8252" s="308">
        <f>IFERROR(__xludf.DUMMYFUNCTION("""COMPUTED_VALUE"""),2017.0)</f>
        <v>2017</v>
      </c>
      <c r="M8252" s="308" t="s">
        <v>32467</v>
      </c>
      <c r="N8252" s="308"/>
      <c r="O8252" s="308"/>
      <c r="P8252" s="308" t="s">
        <v>32510</v>
      </c>
      <c r="Q8252" s="308"/>
      <c r="R8252" s="308"/>
      <c r="S8252" s="308" t="s">
        <v>81</v>
      </c>
      <c r="T8252" s="308" t="s">
        <v>75</v>
      </c>
      <c r="U8252" s="308"/>
      <c r="V8252" s="308"/>
    </row>
    <row r="8253">
      <c r="A8253" s="308"/>
      <c r="B8253" s="308"/>
      <c r="C8253" s="308" t="s">
        <v>32511</v>
      </c>
      <c r="D8253" s="308">
        <f>IFERROR(__xludf.DUMMYFUNCTION("SPLIT(C8253,""-"")"),8273.0)</f>
        <v>8273</v>
      </c>
      <c r="E8253" s="308" t="str">
        <f>IFERROR(__xludf.DUMMYFUNCTION("""COMPUTED_VALUE"""),"B")</f>
        <v>B</v>
      </c>
      <c r="F8253" s="315" t="s">
        <v>26</v>
      </c>
      <c r="G8253" s="308"/>
      <c r="H8253" s="308" t="s">
        <v>32512</v>
      </c>
      <c r="I8253" s="314">
        <v>43036.0</v>
      </c>
      <c r="J8253" s="319">
        <f>IFERROR(__xludf.DUMMYFUNCTION("SPLIT(I8253,""/"")"),28.0)</f>
        <v>28</v>
      </c>
      <c r="K8253" s="308">
        <f>IFERROR(__xludf.DUMMYFUNCTION("""COMPUTED_VALUE"""),10.0)</f>
        <v>10</v>
      </c>
      <c r="L8253" s="308">
        <f>IFERROR(__xludf.DUMMYFUNCTION("""COMPUTED_VALUE"""),2017.0)</f>
        <v>2017</v>
      </c>
      <c r="M8253" s="308" t="s">
        <v>32329</v>
      </c>
      <c r="N8253" s="308"/>
      <c r="O8253" s="308"/>
      <c r="P8253" s="308" t="s">
        <v>40167</v>
      </c>
      <c r="Q8253" s="308"/>
      <c r="R8253" s="308"/>
      <c r="S8253" s="308" t="s">
        <v>81</v>
      </c>
      <c r="T8253" s="308" t="s">
        <v>75</v>
      </c>
      <c r="U8253" s="308"/>
      <c r="V8253" s="308"/>
    </row>
    <row r="8254">
      <c r="A8254" s="308"/>
      <c r="B8254" s="308"/>
      <c r="C8254" s="308" t="s">
        <v>32514</v>
      </c>
      <c r="D8254" s="308">
        <f>IFERROR(__xludf.DUMMYFUNCTION("SPLIT(C8254,""-"")"),8274.0)</f>
        <v>8274</v>
      </c>
      <c r="E8254" s="308" t="str">
        <f>IFERROR(__xludf.DUMMYFUNCTION("""COMPUTED_VALUE"""),"B")</f>
        <v>B</v>
      </c>
      <c r="F8254" s="315" t="s">
        <v>26</v>
      </c>
      <c r="G8254" s="308"/>
      <c r="H8254" s="308" t="s">
        <v>32515</v>
      </c>
      <c r="I8254" s="314">
        <v>43036.0</v>
      </c>
      <c r="J8254" s="319">
        <f>IFERROR(__xludf.DUMMYFUNCTION("SPLIT(I8254,""/"")"),28.0)</f>
        <v>28</v>
      </c>
      <c r="K8254" s="308">
        <f>IFERROR(__xludf.DUMMYFUNCTION("""COMPUTED_VALUE"""),10.0)</f>
        <v>10</v>
      </c>
      <c r="L8254" s="308">
        <f>IFERROR(__xludf.DUMMYFUNCTION("""COMPUTED_VALUE"""),2017.0)</f>
        <v>2017</v>
      </c>
      <c r="M8254" s="308" t="s">
        <v>32516</v>
      </c>
      <c r="N8254" s="308"/>
      <c r="O8254" s="308"/>
      <c r="P8254" s="308" t="s">
        <v>32517</v>
      </c>
      <c r="Q8254" s="308"/>
      <c r="R8254" s="308"/>
      <c r="S8254" s="308" t="s">
        <v>81</v>
      </c>
      <c r="T8254" s="308" t="s">
        <v>75</v>
      </c>
      <c r="U8254" s="308"/>
      <c r="V8254" s="308"/>
    </row>
    <row r="8255">
      <c r="A8255" s="308"/>
      <c r="B8255" s="308"/>
      <c r="C8255" s="308" t="s">
        <v>32518</v>
      </c>
      <c r="D8255" s="308">
        <f>IFERROR(__xludf.DUMMYFUNCTION("SPLIT(C8255,""-"")"),8275.0)</f>
        <v>8275</v>
      </c>
      <c r="E8255" s="308" t="str">
        <f>IFERROR(__xludf.DUMMYFUNCTION("""COMPUTED_VALUE"""),"B")</f>
        <v>B</v>
      </c>
      <c r="F8255" s="315" t="s">
        <v>26</v>
      </c>
      <c r="G8255" s="308"/>
      <c r="H8255" s="308" t="s">
        <v>32519</v>
      </c>
      <c r="I8255" s="314">
        <v>43036.0</v>
      </c>
      <c r="J8255" s="319">
        <f>IFERROR(__xludf.DUMMYFUNCTION("SPLIT(I8255,""/"")"),28.0)</f>
        <v>28</v>
      </c>
      <c r="K8255" s="308">
        <f>IFERROR(__xludf.DUMMYFUNCTION("""COMPUTED_VALUE"""),10.0)</f>
        <v>10</v>
      </c>
      <c r="L8255" s="308">
        <f>IFERROR(__xludf.DUMMYFUNCTION("""COMPUTED_VALUE"""),2017.0)</f>
        <v>2017</v>
      </c>
      <c r="M8255" s="308" t="s">
        <v>32329</v>
      </c>
      <c r="N8255" s="308"/>
      <c r="O8255" s="308"/>
      <c r="P8255" s="308" t="s">
        <v>40168</v>
      </c>
      <c r="Q8255" s="308"/>
      <c r="R8255" s="308"/>
      <c r="S8255" s="308" t="s">
        <v>81</v>
      </c>
      <c r="T8255" s="308" t="s">
        <v>75</v>
      </c>
      <c r="U8255" s="308"/>
      <c r="V8255" s="308"/>
    </row>
    <row r="8256">
      <c r="A8256" s="308"/>
      <c r="B8256" s="308"/>
      <c r="C8256" s="308" t="s">
        <v>32521</v>
      </c>
      <c r="D8256" s="308">
        <f>IFERROR(__xludf.DUMMYFUNCTION("SPLIT(C8256,""-"")"),8276.0)</f>
        <v>8276</v>
      </c>
      <c r="E8256" s="308" t="str">
        <f>IFERROR(__xludf.DUMMYFUNCTION("""COMPUTED_VALUE"""),"B")</f>
        <v>B</v>
      </c>
      <c r="F8256" s="315" t="s">
        <v>26</v>
      </c>
      <c r="G8256" s="308"/>
      <c r="H8256" s="308" t="s">
        <v>32522</v>
      </c>
      <c r="I8256" s="314">
        <v>43036.0</v>
      </c>
      <c r="J8256" s="319">
        <f>IFERROR(__xludf.DUMMYFUNCTION("SPLIT(I8256,""/"")"),28.0)</f>
        <v>28</v>
      </c>
      <c r="K8256" s="308">
        <f>IFERROR(__xludf.DUMMYFUNCTION("""COMPUTED_VALUE"""),10.0)</f>
        <v>10</v>
      </c>
      <c r="L8256" s="308">
        <f>IFERROR(__xludf.DUMMYFUNCTION("""COMPUTED_VALUE"""),2017.0)</f>
        <v>2017</v>
      </c>
      <c r="M8256" s="308" t="s">
        <v>32329</v>
      </c>
      <c r="N8256" s="308"/>
      <c r="O8256" s="308"/>
      <c r="P8256" s="308" t="s">
        <v>40169</v>
      </c>
      <c r="Q8256" s="308"/>
      <c r="R8256" s="308"/>
      <c r="S8256" s="308" t="s">
        <v>81</v>
      </c>
      <c r="T8256" s="308" t="s">
        <v>75</v>
      </c>
      <c r="U8256" s="308"/>
      <c r="V8256" s="308"/>
    </row>
    <row r="8257">
      <c r="A8257" s="308"/>
      <c r="B8257" s="308"/>
      <c r="C8257" s="308" t="s">
        <v>32524</v>
      </c>
      <c r="D8257" s="308">
        <f>IFERROR(__xludf.DUMMYFUNCTION("SPLIT(C8257,""-"")"),8277.0)</f>
        <v>8277</v>
      </c>
      <c r="E8257" s="308" t="str">
        <f>IFERROR(__xludf.DUMMYFUNCTION("""COMPUTED_VALUE"""),"B")</f>
        <v>B</v>
      </c>
      <c r="F8257" s="315" t="s">
        <v>26</v>
      </c>
      <c r="G8257" s="308"/>
      <c r="H8257" s="308" t="s">
        <v>32525</v>
      </c>
      <c r="I8257" s="314">
        <v>43036.0</v>
      </c>
      <c r="J8257" s="319">
        <f>IFERROR(__xludf.DUMMYFUNCTION("SPLIT(I8257,""/"")"),28.0)</f>
        <v>28</v>
      </c>
      <c r="K8257" s="308">
        <f>IFERROR(__xludf.DUMMYFUNCTION("""COMPUTED_VALUE"""),10.0)</f>
        <v>10</v>
      </c>
      <c r="L8257" s="308">
        <f>IFERROR(__xludf.DUMMYFUNCTION("""COMPUTED_VALUE"""),2017.0)</f>
        <v>2017</v>
      </c>
      <c r="M8257" s="308" t="s">
        <v>32329</v>
      </c>
      <c r="N8257" s="308"/>
      <c r="O8257" s="308"/>
      <c r="P8257" s="308" t="s">
        <v>40170</v>
      </c>
      <c r="Q8257" s="308"/>
      <c r="R8257" s="308"/>
      <c r="S8257" s="308" t="s">
        <v>81</v>
      </c>
      <c r="T8257" s="308" t="s">
        <v>75</v>
      </c>
      <c r="U8257" s="308"/>
      <c r="V8257" s="308"/>
    </row>
    <row r="8258">
      <c r="A8258" s="308"/>
      <c r="B8258" s="308"/>
      <c r="C8258" s="308" t="s">
        <v>32527</v>
      </c>
      <c r="D8258" s="308">
        <f>IFERROR(__xludf.DUMMYFUNCTION("SPLIT(C8258,""-"")"),8278.0)</f>
        <v>8278</v>
      </c>
      <c r="E8258" s="308" t="str">
        <f>IFERROR(__xludf.DUMMYFUNCTION("""COMPUTED_VALUE"""),"B")</f>
        <v>B</v>
      </c>
      <c r="F8258" s="315" t="s">
        <v>26</v>
      </c>
      <c r="G8258" s="308"/>
      <c r="H8258" s="308" t="s">
        <v>32528</v>
      </c>
      <c r="I8258" s="314">
        <v>43036.0</v>
      </c>
      <c r="J8258" s="319">
        <f>IFERROR(__xludf.DUMMYFUNCTION("SPLIT(I8258,""/"")"),28.0)</f>
        <v>28</v>
      </c>
      <c r="K8258" s="308">
        <f>IFERROR(__xludf.DUMMYFUNCTION("""COMPUTED_VALUE"""),10.0)</f>
        <v>10</v>
      </c>
      <c r="L8258" s="308">
        <f>IFERROR(__xludf.DUMMYFUNCTION("""COMPUTED_VALUE"""),2017.0)</f>
        <v>2017</v>
      </c>
      <c r="M8258" s="308" t="s">
        <v>32329</v>
      </c>
      <c r="N8258" s="308"/>
      <c r="O8258" s="308"/>
      <c r="P8258" s="308" t="s">
        <v>40171</v>
      </c>
      <c r="Q8258" s="308"/>
      <c r="R8258" s="308"/>
      <c r="S8258" s="308" t="s">
        <v>81</v>
      </c>
      <c r="T8258" s="308" t="s">
        <v>75</v>
      </c>
      <c r="U8258" s="308"/>
      <c r="V8258" s="308"/>
    </row>
    <row r="8259">
      <c r="A8259" s="308"/>
      <c r="B8259" s="308"/>
      <c r="C8259" s="308" t="s">
        <v>32530</v>
      </c>
      <c r="D8259" s="308">
        <f>IFERROR(__xludf.DUMMYFUNCTION("SPLIT(C8259,""-"")"),8279.0)</f>
        <v>8279</v>
      </c>
      <c r="E8259" s="308" t="str">
        <f>IFERROR(__xludf.DUMMYFUNCTION("""COMPUTED_VALUE"""),"B")</f>
        <v>B</v>
      </c>
      <c r="F8259" s="315" t="s">
        <v>26</v>
      </c>
      <c r="G8259" s="308"/>
      <c r="H8259" s="308" t="s">
        <v>32531</v>
      </c>
      <c r="I8259" s="314">
        <v>43036.0</v>
      </c>
      <c r="J8259" s="319">
        <f>IFERROR(__xludf.DUMMYFUNCTION("SPLIT(I8259,""/"")"),28.0)</f>
        <v>28</v>
      </c>
      <c r="K8259" s="308">
        <f>IFERROR(__xludf.DUMMYFUNCTION("""COMPUTED_VALUE"""),10.0)</f>
        <v>10</v>
      </c>
      <c r="L8259" s="308">
        <f>IFERROR(__xludf.DUMMYFUNCTION("""COMPUTED_VALUE"""),2017.0)</f>
        <v>2017</v>
      </c>
      <c r="M8259" s="308" t="s">
        <v>32329</v>
      </c>
      <c r="N8259" s="308"/>
      <c r="O8259" s="308"/>
      <c r="P8259" s="308" t="s">
        <v>40172</v>
      </c>
      <c r="Q8259" s="308"/>
      <c r="R8259" s="308"/>
      <c r="S8259" s="308" t="s">
        <v>81</v>
      </c>
      <c r="T8259" s="308" t="s">
        <v>75</v>
      </c>
      <c r="U8259" s="308"/>
      <c r="V8259" s="308" t="s">
        <v>32533</v>
      </c>
    </row>
    <row r="8260">
      <c r="A8260" s="308"/>
      <c r="B8260" s="308"/>
      <c r="C8260" s="308" t="s">
        <v>32534</v>
      </c>
      <c r="D8260" s="308">
        <f>IFERROR(__xludf.DUMMYFUNCTION("SPLIT(C8260,""-"")"),8280.0)</f>
        <v>8280</v>
      </c>
      <c r="E8260" s="308" t="str">
        <f>IFERROR(__xludf.DUMMYFUNCTION("""COMPUTED_VALUE"""),"S")</f>
        <v>S</v>
      </c>
      <c r="F8260" s="312" t="s">
        <v>39</v>
      </c>
      <c r="G8260" s="308"/>
      <c r="H8260" s="308" t="s">
        <v>32535</v>
      </c>
      <c r="I8260" s="310">
        <v>44477.0</v>
      </c>
      <c r="J8260" s="319">
        <f>IFERROR(__xludf.DUMMYFUNCTION("SPLIT(I8260,""/"")"),8.0)</f>
        <v>8</v>
      </c>
      <c r="K8260" s="308">
        <f>IFERROR(__xludf.DUMMYFUNCTION("""COMPUTED_VALUE"""),10.0)</f>
        <v>10</v>
      </c>
      <c r="L8260" s="308">
        <f>IFERROR(__xludf.DUMMYFUNCTION("""COMPUTED_VALUE"""),2021.0)</f>
        <v>2021</v>
      </c>
      <c r="M8260" s="308" t="s">
        <v>32536</v>
      </c>
      <c r="N8260" s="308" t="s">
        <v>32537</v>
      </c>
      <c r="O8260" s="308"/>
      <c r="P8260" s="308" t="s">
        <v>136</v>
      </c>
      <c r="Q8260" s="308" t="s">
        <v>40173</v>
      </c>
      <c r="R8260" s="308" t="s">
        <v>30692</v>
      </c>
      <c r="S8260" s="315" t="s">
        <v>100</v>
      </c>
      <c r="T8260" s="308" t="s">
        <v>34208</v>
      </c>
      <c r="U8260" s="308" t="s">
        <v>166</v>
      </c>
      <c r="V8260" s="308" t="s">
        <v>32538</v>
      </c>
    </row>
    <row r="8261">
      <c r="A8261" s="308"/>
      <c r="B8261" s="308"/>
      <c r="C8261" s="308" t="s">
        <v>32539</v>
      </c>
      <c r="D8261" s="308">
        <f>IFERROR(__xludf.DUMMYFUNCTION("SPLIT(C8261,""-"")"),8281.0)</f>
        <v>8281</v>
      </c>
      <c r="E8261" s="308" t="str">
        <f>IFERROR(__xludf.DUMMYFUNCTION("""COMPUTED_VALUE"""),"K")</f>
        <v>K</v>
      </c>
      <c r="F8261" s="309" t="s">
        <v>34</v>
      </c>
      <c r="G8261" s="308"/>
      <c r="H8261" s="308" t="s">
        <v>32540</v>
      </c>
      <c r="I8261" s="310">
        <v>44384.0</v>
      </c>
      <c r="J8261" s="319">
        <f>IFERROR(__xludf.DUMMYFUNCTION("SPLIT(I8261,""/"")"),7.0)</f>
        <v>7</v>
      </c>
      <c r="K8261" s="308">
        <f>IFERROR(__xludf.DUMMYFUNCTION("""COMPUTED_VALUE"""),7.0)</f>
        <v>7</v>
      </c>
      <c r="L8261" s="308">
        <f>IFERROR(__xludf.DUMMYFUNCTION("""COMPUTED_VALUE"""),2021.0)</f>
        <v>2021</v>
      </c>
      <c r="M8261" s="308" t="s">
        <v>32541</v>
      </c>
      <c r="N8261" s="308" t="s">
        <v>32542</v>
      </c>
      <c r="O8261" s="308"/>
      <c r="P8261" s="308" t="s">
        <v>136</v>
      </c>
      <c r="Q8261" s="308" t="s">
        <v>40173</v>
      </c>
      <c r="R8261" s="308" t="s">
        <v>2743</v>
      </c>
      <c r="S8261" s="315" t="s">
        <v>100</v>
      </c>
      <c r="T8261" s="308" t="s">
        <v>34208</v>
      </c>
      <c r="U8261" s="308" t="s">
        <v>125</v>
      </c>
      <c r="V8261" s="308"/>
    </row>
    <row r="8262">
      <c r="A8262" s="308"/>
      <c r="B8262" s="308"/>
      <c r="C8262" s="308" t="s">
        <v>32543</v>
      </c>
      <c r="D8262" s="308">
        <f>IFERROR(__xludf.DUMMYFUNCTION("SPLIT(C8262,""-"")"),8282.0)</f>
        <v>8282</v>
      </c>
      <c r="E8262" s="308" t="str">
        <f>IFERROR(__xludf.DUMMYFUNCTION("""COMPUTED_VALUE"""),"B")</f>
        <v>B</v>
      </c>
      <c r="F8262" s="315" t="s">
        <v>26</v>
      </c>
      <c r="G8262" s="308"/>
      <c r="H8262" s="308" t="s">
        <v>32544</v>
      </c>
      <c r="I8262" s="310">
        <v>41374.0</v>
      </c>
      <c r="J8262" s="319">
        <f>IFERROR(__xludf.DUMMYFUNCTION("SPLIT(I8262,""/"")"),10.0)</f>
        <v>10</v>
      </c>
      <c r="K8262" s="308">
        <f>IFERROR(__xludf.DUMMYFUNCTION("""COMPUTED_VALUE"""),4.0)</f>
        <v>4</v>
      </c>
      <c r="L8262" s="308">
        <f>IFERROR(__xludf.DUMMYFUNCTION("""COMPUTED_VALUE"""),2013.0)</f>
        <v>2013</v>
      </c>
      <c r="M8262" s="308" t="s">
        <v>32545</v>
      </c>
      <c r="N8262" s="308" t="s">
        <v>32546</v>
      </c>
      <c r="O8262" s="308"/>
      <c r="P8262" s="308" t="s">
        <v>136</v>
      </c>
      <c r="Q8262" s="308" t="s">
        <v>40173</v>
      </c>
      <c r="R8262" s="308" t="s">
        <v>2743</v>
      </c>
      <c r="S8262" s="315" t="s">
        <v>100</v>
      </c>
      <c r="T8262" s="308" t="s">
        <v>34208</v>
      </c>
      <c r="U8262" s="308" t="s">
        <v>32194</v>
      </c>
      <c r="V8262" s="308"/>
    </row>
    <row r="8263">
      <c r="A8263" s="308"/>
      <c r="B8263" s="308"/>
      <c r="C8263" s="308" t="s">
        <v>32547</v>
      </c>
      <c r="D8263" s="308">
        <f>IFERROR(__xludf.DUMMYFUNCTION("SPLIT(C8263,""-"")"),8283.0)</f>
        <v>8283</v>
      </c>
      <c r="E8263" s="308" t="str">
        <f>IFERROR(__xludf.DUMMYFUNCTION("""COMPUTED_VALUE"""),"K")</f>
        <v>K</v>
      </c>
      <c r="F8263" s="309" t="s">
        <v>34</v>
      </c>
      <c r="G8263" s="308"/>
      <c r="H8263" s="308" t="s">
        <v>32548</v>
      </c>
      <c r="I8263" s="310">
        <v>44460.0</v>
      </c>
      <c r="J8263" s="319">
        <f>IFERROR(__xludf.DUMMYFUNCTION("SPLIT(I8263,""/"")"),21.0)</f>
        <v>21</v>
      </c>
      <c r="K8263" s="308">
        <f>IFERROR(__xludf.DUMMYFUNCTION("""COMPUTED_VALUE"""),9.0)</f>
        <v>9</v>
      </c>
      <c r="L8263" s="308">
        <f>IFERROR(__xludf.DUMMYFUNCTION("""COMPUTED_VALUE"""),2021.0)</f>
        <v>2021</v>
      </c>
      <c r="M8263" s="308" t="s">
        <v>32549</v>
      </c>
      <c r="N8263" s="308" t="s">
        <v>32550</v>
      </c>
      <c r="O8263" s="308"/>
      <c r="P8263" s="308" t="s">
        <v>32551</v>
      </c>
      <c r="Q8263" s="308" t="s">
        <v>40173</v>
      </c>
      <c r="R8263" s="308" t="s">
        <v>30692</v>
      </c>
      <c r="S8263" s="308" t="s">
        <v>81</v>
      </c>
      <c r="T8263" s="308" t="s">
        <v>75</v>
      </c>
      <c r="U8263" s="308" t="s">
        <v>19459</v>
      </c>
      <c r="V8263" s="308"/>
    </row>
    <row r="8264">
      <c r="A8264" s="308"/>
      <c r="B8264" s="308"/>
      <c r="C8264" s="308" t="s">
        <v>32552</v>
      </c>
      <c r="D8264" s="308">
        <f>IFERROR(__xludf.DUMMYFUNCTION("SPLIT(C8264,""-"")"),8284.0)</f>
        <v>8284</v>
      </c>
      <c r="E8264" s="308" t="str">
        <f>IFERROR(__xludf.DUMMYFUNCTION("""COMPUTED_VALUE"""),"K")</f>
        <v>K</v>
      </c>
      <c r="F8264" s="309" t="s">
        <v>34</v>
      </c>
      <c r="G8264" s="308"/>
      <c r="H8264" s="308" t="s">
        <v>32553</v>
      </c>
      <c r="I8264" s="310">
        <v>44460.0</v>
      </c>
      <c r="J8264" s="319">
        <f>IFERROR(__xludf.DUMMYFUNCTION("SPLIT(I8264,""/"")"),21.0)</f>
        <v>21</v>
      </c>
      <c r="K8264" s="308">
        <f>IFERROR(__xludf.DUMMYFUNCTION("""COMPUTED_VALUE"""),9.0)</f>
        <v>9</v>
      </c>
      <c r="L8264" s="308">
        <f>IFERROR(__xludf.DUMMYFUNCTION("""COMPUTED_VALUE"""),2021.0)</f>
        <v>2021</v>
      </c>
      <c r="M8264" s="308" t="s">
        <v>32554</v>
      </c>
      <c r="N8264" s="308" t="s">
        <v>32555</v>
      </c>
      <c r="O8264" s="308"/>
      <c r="P8264" s="308" t="s">
        <v>32556</v>
      </c>
      <c r="Q8264" s="308" t="s">
        <v>40173</v>
      </c>
      <c r="R8264" s="308" t="s">
        <v>30692</v>
      </c>
      <c r="S8264" s="308" t="s">
        <v>81</v>
      </c>
      <c r="T8264" s="308" t="s">
        <v>75</v>
      </c>
      <c r="U8264" s="308" t="s">
        <v>19459</v>
      </c>
      <c r="V8264" s="308"/>
    </row>
    <row r="8265">
      <c r="A8265" s="308"/>
      <c r="B8265" s="308"/>
      <c r="C8265" s="308" t="s">
        <v>32557</v>
      </c>
      <c r="D8265" s="308">
        <f>IFERROR(__xludf.DUMMYFUNCTION("SPLIT(C8265,""-"")"),8285.0)</f>
        <v>8285</v>
      </c>
      <c r="E8265" s="308" t="str">
        <f>IFERROR(__xludf.DUMMYFUNCTION("""COMPUTED_VALUE"""),"B")</f>
        <v>B</v>
      </c>
      <c r="F8265" s="315" t="s">
        <v>26</v>
      </c>
      <c r="G8265" s="308"/>
      <c r="H8265" s="308" t="s">
        <v>32558</v>
      </c>
      <c r="I8265" s="310">
        <v>41470.0</v>
      </c>
      <c r="J8265" s="319">
        <f>IFERROR(__xludf.DUMMYFUNCTION("SPLIT(I8265,""/"")"),15.0)</f>
        <v>15</v>
      </c>
      <c r="K8265" s="308">
        <f>IFERROR(__xludf.DUMMYFUNCTION("""COMPUTED_VALUE"""),7.0)</f>
        <v>7</v>
      </c>
      <c r="L8265" s="308">
        <f>IFERROR(__xludf.DUMMYFUNCTION("""COMPUTED_VALUE"""),2013.0)</f>
        <v>2013</v>
      </c>
      <c r="M8265" s="308" t="s">
        <v>32559</v>
      </c>
      <c r="N8265" s="308" t="s">
        <v>40174</v>
      </c>
      <c r="O8265" s="308"/>
      <c r="P8265" s="308" t="s">
        <v>136</v>
      </c>
      <c r="Q8265" s="308" t="s">
        <v>40173</v>
      </c>
      <c r="R8265" s="308" t="s">
        <v>2743</v>
      </c>
      <c r="S8265" s="315" t="s">
        <v>100</v>
      </c>
      <c r="T8265" s="308" t="s">
        <v>34208</v>
      </c>
      <c r="U8265" s="308" t="s">
        <v>32561</v>
      </c>
      <c r="V8265" s="308"/>
    </row>
    <row r="8266">
      <c r="A8266" s="308"/>
      <c r="B8266" s="308"/>
      <c r="C8266" s="308" t="s">
        <v>32562</v>
      </c>
      <c r="D8266" s="308">
        <f>IFERROR(__xludf.DUMMYFUNCTION("SPLIT(C8266,""-"")"),8286.0)</f>
        <v>8286</v>
      </c>
      <c r="E8266" s="308" t="str">
        <f>IFERROR(__xludf.DUMMYFUNCTION("""COMPUTED_VALUE"""),"B")</f>
        <v>B</v>
      </c>
      <c r="F8266" s="315" t="s">
        <v>26</v>
      </c>
      <c r="G8266" s="308"/>
      <c r="H8266" s="308" t="s">
        <v>32563</v>
      </c>
      <c r="I8266" s="314">
        <v>44489.0</v>
      </c>
      <c r="J8266" s="319">
        <f>IFERROR(__xludf.DUMMYFUNCTION("SPLIT(I8266,""/"")"),20.0)</f>
        <v>20</v>
      </c>
      <c r="K8266" s="308">
        <f>IFERROR(__xludf.DUMMYFUNCTION("""COMPUTED_VALUE"""),10.0)</f>
        <v>10</v>
      </c>
      <c r="L8266" s="308">
        <f>IFERROR(__xludf.DUMMYFUNCTION("""COMPUTED_VALUE"""),2021.0)</f>
        <v>2021</v>
      </c>
      <c r="M8266" s="308" t="s">
        <v>32564</v>
      </c>
      <c r="N8266" s="308" t="s">
        <v>32565</v>
      </c>
      <c r="O8266" s="308"/>
      <c r="P8266" s="308" t="s">
        <v>136</v>
      </c>
      <c r="Q8266" s="308" t="s">
        <v>40173</v>
      </c>
      <c r="R8266" s="308" t="s">
        <v>2743</v>
      </c>
      <c r="S8266" s="315" t="s">
        <v>100</v>
      </c>
      <c r="T8266" s="308" t="s">
        <v>34208</v>
      </c>
      <c r="U8266" s="308" t="s">
        <v>32175</v>
      </c>
      <c r="V8266" s="308"/>
    </row>
    <row r="8267">
      <c r="A8267" s="308"/>
      <c r="B8267" s="308"/>
      <c r="C8267" s="308" t="s">
        <v>32566</v>
      </c>
      <c r="D8267" s="308">
        <f>IFERROR(__xludf.DUMMYFUNCTION("SPLIT(C8267,""-"")"),8287.0)</f>
        <v>8287</v>
      </c>
      <c r="E8267" s="308" t="str">
        <f>IFERROR(__xludf.DUMMYFUNCTION("""COMPUTED_VALUE"""),"K")</f>
        <v>K</v>
      </c>
      <c r="F8267" s="309" t="s">
        <v>34</v>
      </c>
      <c r="G8267" s="308"/>
      <c r="H8267" s="308" t="s">
        <v>32567</v>
      </c>
      <c r="I8267" s="314">
        <v>44149.0</v>
      </c>
      <c r="J8267" s="319">
        <f>IFERROR(__xludf.DUMMYFUNCTION("SPLIT(I8267,""/"")"),14.0)</f>
        <v>14</v>
      </c>
      <c r="K8267" s="308">
        <f>IFERROR(__xludf.DUMMYFUNCTION("""COMPUTED_VALUE"""),11.0)</f>
        <v>11</v>
      </c>
      <c r="L8267" s="308">
        <f>IFERROR(__xludf.DUMMYFUNCTION("""COMPUTED_VALUE"""),2020.0)</f>
        <v>2020</v>
      </c>
      <c r="M8267" s="308" t="s">
        <v>32568</v>
      </c>
      <c r="N8267" s="308" t="s">
        <v>32569</v>
      </c>
      <c r="O8267" s="308"/>
      <c r="P8267" s="308" t="s">
        <v>136</v>
      </c>
      <c r="Q8267" s="308" t="s">
        <v>40173</v>
      </c>
      <c r="R8267" s="308" t="s">
        <v>2743</v>
      </c>
      <c r="S8267" s="315" t="s">
        <v>100</v>
      </c>
      <c r="T8267" s="308" t="s">
        <v>34208</v>
      </c>
      <c r="U8267" s="308" t="s">
        <v>4749</v>
      </c>
      <c r="V8267" s="308"/>
    </row>
    <row r="8268">
      <c r="A8268" s="308"/>
      <c r="B8268" s="308"/>
      <c r="C8268" s="308" t="s">
        <v>32570</v>
      </c>
      <c r="D8268" s="308">
        <f>IFERROR(__xludf.DUMMYFUNCTION("SPLIT(C8268,""-"")"),8288.0)</f>
        <v>8288</v>
      </c>
      <c r="E8268" s="308" t="str">
        <f>IFERROR(__xludf.DUMMYFUNCTION("""COMPUTED_VALUE"""),"B")</f>
        <v>B</v>
      </c>
      <c r="F8268" s="315" t="s">
        <v>26</v>
      </c>
      <c r="G8268" s="308"/>
      <c r="H8268" s="308" t="s">
        <v>32571</v>
      </c>
      <c r="I8268" s="310">
        <v>42143.0</v>
      </c>
      <c r="J8268" s="319">
        <f>IFERROR(__xludf.DUMMYFUNCTION("SPLIT(I8268,""/"")"),19.0)</f>
        <v>19</v>
      </c>
      <c r="K8268" s="308">
        <f>IFERROR(__xludf.DUMMYFUNCTION("""COMPUTED_VALUE"""),5.0)</f>
        <v>5</v>
      </c>
      <c r="L8268" s="308">
        <f>IFERROR(__xludf.DUMMYFUNCTION("""COMPUTED_VALUE"""),2015.0)</f>
        <v>2015</v>
      </c>
      <c r="M8268" s="308" t="s">
        <v>32572</v>
      </c>
      <c r="N8268" s="308" t="s">
        <v>32573</v>
      </c>
      <c r="O8268" s="308"/>
      <c r="P8268" s="308" t="s">
        <v>136</v>
      </c>
      <c r="Q8268" s="308" t="s">
        <v>40173</v>
      </c>
      <c r="R8268" s="308" t="s">
        <v>2743</v>
      </c>
      <c r="S8268" s="315" t="s">
        <v>100</v>
      </c>
      <c r="T8268" s="308" t="s">
        <v>34208</v>
      </c>
      <c r="U8268" s="308" t="s">
        <v>32574</v>
      </c>
      <c r="V8268" s="308"/>
    </row>
    <row r="8269">
      <c r="A8269" s="308"/>
      <c r="B8269" s="308"/>
      <c r="C8269" s="308" t="s">
        <v>32575</v>
      </c>
      <c r="D8269" s="308">
        <f>IFERROR(__xludf.DUMMYFUNCTION("SPLIT(C8269,""-"")"),8289.0)</f>
        <v>8289</v>
      </c>
      <c r="E8269" s="308" t="str">
        <f>IFERROR(__xludf.DUMMYFUNCTION("""COMPUTED_VALUE"""),"B")</f>
        <v>B</v>
      </c>
      <c r="F8269" s="315" t="s">
        <v>26</v>
      </c>
      <c r="G8269" s="308"/>
      <c r="H8269" s="308" t="s">
        <v>32576</v>
      </c>
      <c r="I8269" s="310">
        <v>44505.0</v>
      </c>
      <c r="J8269" s="319">
        <f>IFERROR(__xludf.DUMMYFUNCTION("SPLIT(I8269,""/"")"),5.0)</f>
        <v>5</v>
      </c>
      <c r="K8269" s="308">
        <f>IFERROR(__xludf.DUMMYFUNCTION("""COMPUTED_VALUE"""),11.0)</f>
        <v>11</v>
      </c>
      <c r="L8269" s="308">
        <f>IFERROR(__xludf.DUMMYFUNCTION("""COMPUTED_VALUE"""),2021.0)</f>
        <v>2021</v>
      </c>
      <c r="M8269" s="308" t="s">
        <v>32577</v>
      </c>
      <c r="N8269" s="308" t="s">
        <v>32578</v>
      </c>
      <c r="O8269" s="308"/>
      <c r="P8269" s="308" t="s">
        <v>40175</v>
      </c>
      <c r="Q8269" s="308" t="s">
        <v>40173</v>
      </c>
      <c r="R8269" s="308" t="s">
        <v>2743</v>
      </c>
      <c r="S8269" s="308" t="s">
        <v>81</v>
      </c>
      <c r="T8269" s="308" t="s">
        <v>75</v>
      </c>
      <c r="U8269" s="308" t="s">
        <v>32580</v>
      </c>
      <c r="V8269" s="308"/>
    </row>
    <row r="8270">
      <c r="A8270" s="308"/>
      <c r="B8270" s="308"/>
      <c r="C8270" s="308" t="s">
        <v>32581</v>
      </c>
      <c r="D8270" s="308">
        <f>IFERROR(__xludf.DUMMYFUNCTION("SPLIT(C8270,""-"")"),8290.0)</f>
        <v>8290</v>
      </c>
      <c r="E8270" s="308" t="str">
        <f>IFERROR(__xludf.DUMMYFUNCTION("""COMPUTED_VALUE"""),"K")</f>
        <v>K</v>
      </c>
      <c r="F8270" s="309" t="s">
        <v>34</v>
      </c>
      <c r="G8270" s="308"/>
      <c r="H8270" s="308" t="s">
        <v>32582</v>
      </c>
      <c r="I8270" s="310">
        <v>44505.0</v>
      </c>
      <c r="J8270" s="319">
        <f>IFERROR(__xludf.DUMMYFUNCTION("SPLIT(I8270,""/"")"),5.0)</f>
        <v>5</v>
      </c>
      <c r="K8270" s="308">
        <f>IFERROR(__xludf.DUMMYFUNCTION("""COMPUTED_VALUE"""),11.0)</f>
        <v>11</v>
      </c>
      <c r="L8270" s="308">
        <f>IFERROR(__xludf.DUMMYFUNCTION("""COMPUTED_VALUE"""),2021.0)</f>
        <v>2021</v>
      </c>
      <c r="M8270" s="308" t="s">
        <v>32577</v>
      </c>
      <c r="N8270" s="308" t="s">
        <v>32583</v>
      </c>
      <c r="O8270" s="308"/>
      <c r="P8270" s="308" t="s">
        <v>40176</v>
      </c>
      <c r="Q8270" s="308" t="s">
        <v>40173</v>
      </c>
      <c r="R8270" s="308" t="s">
        <v>2743</v>
      </c>
      <c r="S8270" s="308" t="s">
        <v>81</v>
      </c>
      <c r="T8270" s="308" t="s">
        <v>75</v>
      </c>
      <c r="U8270" s="308" t="s">
        <v>32580</v>
      </c>
      <c r="V8270" s="308"/>
    </row>
    <row r="8271">
      <c r="A8271" s="308"/>
      <c r="B8271" s="308"/>
      <c r="C8271" s="308" t="s">
        <v>32585</v>
      </c>
      <c r="D8271" s="308">
        <f>IFERROR(__xludf.DUMMYFUNCTION("SPLIT(C8271,""-"")"),8291.0)</f>
        <v>8291</v>
      </c>
      <c r="E8271" s="308" t="str">
        <f>IFERROR(__xludf.DUMMYFUNCTION("""COMPUTED_VALUE"""),"B")</f>
        <v>B</v>
      </c>
      <c r="F8271" s="315" t="s">
        <v>26</v>
      </c>
      <c r="G8271" s="308"/>
      <c r="H8271" s="308" t="s">
        <v>32586</v>
      </c>
      <c r="I8271" s="310">
        <v>43680.0</v>
      </c>
      <c r="J8271" s="319">
        <f>IFERROR(__xludf.DUMMYFUNCTION("SPLIT(I8271,""/"")"),3.0)</f>
        <v>3</v>
      </c>
      <c r="K8271" s="308">
        <f>IFERROR(__xludf.DUMMYFUNCTION("""COMPUTED_VALUE"""),8.0)</f>
        <v>8</v>
      </c>
      <c r="L8271" s="308">
        <f>IFERROR(__xludf.DUMMYFUNCTION("""COMPUTED_VALUE"""),2019.0)</f>
        <v>2019</v>
      </c>
      <c r="M8271" s="308" t="s">
        <v>32587</v>
      </c>
      <c r="N8271" s="308" t="s">
        <v>40177</v>
      </c>
      <c r="O8271" s="308"/>
      <c r="P8271" s="308" t="s">
        <v>136</v>
      </c>
      <c r="Q8271" s="308" t="s">
        <v>40173</v>
      </c>
      <c r="R8271" s="308" t="s">
        <v>2743</v>
      </c>
      <c r="S8271" s="315" t="s">
        <v>100</v>
      </c>
      <c r="T8271" s="308" t="s">
        <v>34208</v>
      </c>
      <c r="U8271" s="308" t="s">
        <v>32175</v>
      </c>
      <c r="V8271" s="308"/>
    </row>
    <row r="8272">
      <c r="A8272" s="308"/>
      <c r="B8272" s="308"/>
      <c r="C8272" s="308" t="s">
        <v>32589</v>
      </c>
      <c r="D8272" s="308">
        <f>IFERROR(__xludf.DUMMYFUNCTION("SPLIT(C8272,""-"")"),8292.0)</f>
        <v>8292</v>
      </c>
      <c r="E8272" s="308" t="str">
        <f>IFERROR(__xludf.DUMMYFUNCTION("""COMPUTED_VALUE"""),"P")</f>
        <v>P</v>
      </c>
      <c r="F8272" s="312" t="s">
        <v>37</v>
      </c>
      <c r="G8272" s="308"/>
      <c r="H8272" s="308" t="s">
        <v>32590</v>
      </c>
      <c r="I8272" s="314">
        <v>44530.0</v>
      </c>
      <c r="J8272" s="319">
        <f>IFERROR(__xludf.DUMMYFUNCTION("SPLIT(I8272,""/"")"),30.0)</f>
        <v>30</v>
      </c>
      <c r="K8272" s="308">
        <f>IFERROR(__xludf.DUMMYFUNCTION("""COMPUTED_VALUE"""),11.0)</f>
        <v>11</v>
      </c>
      <c r="L8272" s="308">
        <f>IFERROR(__xludf.DUMMYFUNCTION("""COMPUTED_VALUE"""),2021.0)</f>
        <v>2021</v>
      </c>
      <c r="M8272" s="308" t="s">
        <v>32591</v>
      </c>
      <c r="N8272" s="308" t="s">
        <v>32592</v>
      </c>
      <c r="O8272" s="308"/>
      <c r="P8272" s="308" t="s">
        <v>32593</v>
      </c>
      <c r="Q8272" s="308" t="s">
        <v>40178</v>
      </c>
      <c r="R8272" s="308" t="s">
        <v>2743</v>
      </c>
      <c r="S8272" s="308" t="s">
        <v>81</v>
      </c>
      <c r="T8272" s="311" t="s">
        <v>75</v>
      </c>
      <c r="U8272" s="308" t="s">
        <v>2527</v>
      </c>
      <c r="V8272" s="308"/>
    </row>
    <row r="8273">
      <c r="A8273" s="308"/>
      <c r="B8273" s="308"/>
      <c r="C8273" s="308" t="s">
        <v>32594</v>
      </c>
      <c r="D8273" s="308">
        <f>IFERROR(__xludf.DUMMYFUNCTION("SPLIT(C8273,""-"")"),8293.0)</f>
        <v>8293</v>
      </c>
      <c r="E8273" s="308" t="str">
        <f>IFERROR(__xludf.DUMMYFUNCTION("""COMPUTED_VALUE"""),"K")</f>
        <v>K</v>
      </c>
      <c r="F8273" s="309" t="s">
        <v>34</v>
      </c>
      <c r="G8273" s="308"/>
      <c r="H8273" s="308" t="s">
        <v>32595</v>
      </c>
      <c r="I8273" s="314">
        <v>41966.0</v>
      </c>
      <c r="J8273" s="319">
        <f>IFERROR(__xludf.DUMMYFUNCTION("SPLIT(I8273,""/"")"),23.0)</f>
        <v>23</v>
      </c>
      <c r="K8273" s="308">
        <f>IFERROR(__xludf.DUMMYFUNCTION("""COMPUTED_VALUE"""),11.0)</f>
        <v>11</v>
      </c>
      <c r="L8273" s="308">
        <f>IFERROR(__xludf.DUMMYFUNCTION("""COMPUTED_VALUE"""),2014.0)</f>
        <v>2014</v>
      </c>
      <c r="M8273" s="308" t="s">
        <v>32596</v>
      </c>
      <c r="N8273" s="308" t="s">
        <v>32597</v>
      </c>
      <c r="O8273" s="308"/>
      <c r="P8273" s="308" t="s">
        <v>136</v>
      </c>
      <c r="Q8273" s="308" t="s">
        <v>40178</v>
      </c>
      <c r="R8273" s="308" t="s">
        <v>2743</v>
      </c>
      <c r="S8273" s="315" t="s">
        <v>100</v>
      </c>
      <c r="T8273" s="308" t="s">
        <v>34208</v>
      </c>
      <c r="U8273" s="308" t="s">
        <v>27994</v>
      </c>
      <c r="V8273" s="308"/>
    </row>
    <row r="8274">
      <c r="A8274" s="308"/>
      <c r="B8274" s="308"/>
      <c r="C8274" s="308" t="s">
        <v>32598</v>
      </c>
      <c r="D8274" s="308">
        <f>IFERROR(__xludf.DUMMYFUNCTION("SPLIT(C8274,""-"")"),8294.0)</f>
        <v>8294</v>
      </c>
      <c r="E8274" s="308" t="str">
        <f>IFERROR(__xludf.DUMMYFUNCTION("""COMPUTED_VALUE"""),"K")</f>
        <v>K</v>
      </c>
      <c r="F8274" s="309" t="s">
        <v>34</v>
      </c>
      <c r="G8274" s="308"/>
      <c r="H8274" s="308" t="s">
        <v>32599</v>
      </c>
      <c r="I8274" s="310">
        <v>41751.0</v>
      </c>
      <c r="J8274" s="319">
        <f>IFERROR(__xludf.DUMMYFUNCTION("SPLIT(I8274,""/"")"),22.0)</f>
        <v>22</v>
      </c>
      <c r="K8274" s="308">
        <f>IFERROR(__xludf.DUMMYFUNCTION("""COMPUTED_VALUE"""),4.0)</f>
        <v>4</v>
      </c>
      <c r="L8274" s="308">
        <f>IFERROR(__xludf.DUMMYFUNCTION("""COMPUTED_VALUE"""),2014.0)</f>
        <v>2014</v>
      </c>
      <c r="M8274" s="308" t="s">
        <v>32600</v>
      </c>
      <c r="N8274" s="308" t="s">
        <v>32601</v>
      </c>
      <c r="O8274" s="308"/>
      <c r="P8274" s="308" t="s">
        <v>136</v>
      </c>
      <c r="Q8274" s="308" t="s">
        <v>40178</v>
      </c>
      <c r="R8274" s="308" t="s">
        <v>2743</v>
      </c>
      <c r="S8274" s="315" t="s">
        <v>100</v>
      </c>
      <c r="T8274" s="308" t="s">
        <v>34208</v>
      </c>
      <c r="U8274" s="308" t="s">
        <v>125</v>
      </c>
      <c r="V8274" s="308"/>
    </row>
    <row r="8275">
      <c r="A8275" s="308"/>
      <c r="B8275" s="308"/>
      <c r="C8275" s="308" t="s">
        <v>32602</v>
      </c>
      <c r="D8275" s="308">
        <f>IFERROR(__xludf.DUMMYFUNCTION("SPLIT(C8275,""-"")"),8295.0)</f>
        <v>8295</v>
      </c>
      <c r="E8275" s="308" t="str">
        <f>IFERROR(__xludf.DUMMYFUNCTION("""COMPUTED_VALUE"""),"B")</f>
        <v>B</v>
      </c>
      <c r="F8275" s="315" t="s">
        <v>26</v>
      </c>
      <c r="G8275" s="308"/>
      <c r="H8275" s="308" t="s">
        <v>32603</v>
      </c>
      <c r="I8275" s="310">
        <v>42116.0</v>
      </c>
      <c r="J8275" s="319">
        <f>IFERROR(__xludf.DUMMYFUNCTION("SPLIT(I8275,""/"")"),22.0)</f>
        <v>22</v>
      </c>
      <c r="K8275" s="308">
        <f>IFERROR(__xludf.DUMMYFUNCTION("""COMPUTED_VALUE"""),4.0)</f>
        <v>4</v>
      </c>
      <c r="L8275" s="308">
        <f>IFERROR(__xludf.DUMMYFUNCTION("""COMPUTED_VALUE"""),2015.0)</f>
        <v>2015</v>
      </c>
      <c r="M8275" s="308" t="s">
        <v>40179</v>
      </c>
      <c r="N8275" s="308" t="s">
        <v>32605</v>
      </c>
      <c r="O8275" s="308"/>
      <c r="P8275" s="308" t="s">
        <v>136</v>
      </c>
      <c r="Q8275" s="308" t="s">
        <v>40180</v>
      </c>
      <c r="R8275" s="308" t="s">
        <v>2743</v>
      </c>
      <c r="S8275" s="315" t="s">
        <v>100</v>
      </c>
      <c r="T8275" s="308" t="s">
        <v>34208</v>
      </c>
      <c r="U8275" s="308" t="s">
        <v>32580</v>
      </c>
      <c r="V8275" s="308"/>
    </row>
    <row r="8276">
      <c r="A8276" s="308"/>
      <c r="B8276" s="308"/>
      <c r="C8276" s="308" t="s">
        <v>32606</v>
      </c>
      <c r="D8276" s="308">
        <f>IFERROR(__xludf.DUMMYFUNCTION("SPLIT(C8276,""-"")"),8296.0)</f>
        <v>8296</v>
      </c>
      <c r="E8276" s="308" t="str">
        <f>IFERROR(__xludf.DUMMYFUNCTION("""COMPUTED_VALUE"""),"K")</f>
        <v>K</v>
      </c>
      <c r="F8276" s="309" t="s">
        <v>34</v>
      </c>
      <c r="G8276" s="308"/>
      <c r="H8276" s="308" t="s">
        <v>32607</v>
      </c>
      <c r="I8276" s="314">
        <v>42292.0</v>
      </c>
      <c r="J8276" s="319">
        <f>IFERROR(__xludf.DUMMYFUNCTION("SPLIT(I8276,""/"")"),15.0)</f>
        <v>15</v>
      </c>
      <c r="K8276" s="308">
        <f>IFERROR(__xludf.DUMMYFUNCTION("""COMPUTED_VALUE"""),10.0)</f>
        <v>10</v>
      </c>
      <c r="L8276" s="308">
        <f>IFERROR(__xludf.DUMMYFUNCTION("""COMPUTED_VALUE"""),2015.0)</f>
        <v>2015</v>
      </c>
      <c r="M8276" s="308" t="s">
        <v>32608</v>
      </c>
      <c r="N8276" s="308" t="s">
        <v>32609</v>
      </c>
      <c r="O8276" s="308" t="s">
        <v>40181</v>
      </c>
      <c r="P8276" s="308" t="s">
        <v>136</v>
      </c>
      <c r="Q8276" s="308" t="s">
        <v>40180</v>
      </c>
      <c r="R8276" s="308" t="s">
        <v>2743</v>
      </c>
      <c r="S8276" s="315" t="s">
        <v>100</v>
      </c>
      <c r="T8276" s="308" t="s">
        <v>34208</v>
      </c>
      <c r="U8276" s="308" t="s">
        <v>7530</v>
      </c>
      <c r="V8276" s="308"/>
    </row>
    <row r="8277">
      <c r="A8277" s="308"/>
      <c r="B8277" s="308"/>
      <c r="C8277" s="308" t="s">
        <v>32611</v>
      </c>
      <c r="D8277" s="308">
        <f>IFERROR(__xludf.DUMMYFUNCTION("SPLIT(C8277,""-"")"),8297.0)</f>
        <v>8297</v>
      </c>
      <c r="E8277" s="308" t="str">
        <f>IFERROR(__xludf.DUMMYFUNCTION("""COMPUTED_VALUE"""),"B")</f>
        <v>B</v>
      </c>
      <c r="F8277" s="315" t="s">
        <v>26</v>
      </c>
      <c r="G8277" s="308"/>
      <c r="H8277" s="308" t="s">
        <v>32612</v>
      </c>
      <c r="I8277" s="314">
        <v>44523.0</v>
      </c>
      <c r="J8277" s="319">
        <f>IFERROR(__xludf.DUMMYFUNCTION("SPLIT(I8277,""/"")"),23.0)</f>
        <v>23</v>
      </c>
      <c r="K8277" s="308">
        <f>IFERROR(__xludf.DUMMYFUNCTION("""COMPUTED_VALUE"""),11.0)</f>
        <v>11</v>
      </c>
      <c r="L8277" s="308">
        <f>IFERROR(__xludf.DUMMYFUNCTION("""COMPUTED_VALUE"""),2021.0)</f>
        <v>2021</v>
      </c>
      <c r="M8277" s="308" t="s">
        <v>32613</v>
      </c>
      <c r="N8277" s="308" t="s">
        <v>32614</v>
      </c>
      <c r="O8277" s="308"/>
      <c r="P8277" s="308" t="s">
        <v>40182</v>
      </c>
      <c r="Q8277" s="308" t="s">
        <v>40180</v>
      </c>
      <c r="R8277" s="308" t="s">
        <v>2743</v>
      </c>
      <c r="S8277" s="308" t="s">
        <v>81</v>
      </c>
      <c r="T8277" s="308" t="s">
        <v>73</v>
      </c>
      <c r="U8277" s="308" t="s">
        <v>32574</v>
      </c>
      <c r="V8277" s="308"/>
    </row>
    <row r="8278">
      <c r="A8278" s="308"/>
      <c r="B8278" s="308"/>
      <c r="C8278" s="308" t="s">
        <v>32616</v>
      </c>
      <c r="D8278" s="308">
        <f>IFERROR(__xludf.DUMMYFUNCTION("SPLIT(C8278,""-"")"),8298.0)</f>
        <v>8298</v>
      </c>
      <c r="E8278" s="308" t="str">
        <f>IFERROR(__xludf.DUMMYFUNCTION("""COMPUTED_VALUE"""),"B")</f>
        <v>B</v>
      </c>
      <c r="F8278" s="315" t="s">
        <v>26</v>
      </c>
      <c r="G8278" s="308"/>
      <c r="H8278" s="308" t="s">
        <v>32617</v>
      </c>
      <c r="I8278" s="310">
        <v>42958.0</v>
      </c>
      <c r="J8278" s="319">
        <f>IFERROR(__xludf.DUMMYFUNCTION("SPLIT(I8278,""/"")"),11.0)</f>
        <v>11</v>
      </c>
      <c r="K8278" s="308">
        <f>IFERROR(__xludf.DUMMYFUNCTION("""COMPUTED_VALUE"""),8.0)</f>
        <v>8</v>
      </c>
      <c r="L8278" s="308">
        <f>IFERROR(__xludf.DUMMYFUNCTION("""COMPUTED_VALUE"""),2017.0)</f>
        <v>2017</v>
      </c>
      <c r="M8278" s="308" t="s">
        <v>32618</v>
      </c>
      <c r="N8278" s="308" t="s">
        <v>32619</v>
      </c>
      <c r="O8278" s="308"/>
      <c r="P8278" s="308" t="s">
        <v>136</v>
      </c>
      <c r="Q8278" s="308" t="s">
        <v>40180</v>
      </c>
      <c r="R8278" s="308" t="s">
        <v>2743</v>
      </c>
      <c r="S8278" s="315" t="s">
        <v>100</v>
      </c>
      <c r="T8278" s="308" t="s">
        <v>34208</v>
      </c>
      <c r="U8278" s="308" t="s">
        <v>32580</v>
      </c>
      <c r="V8278" s="308"/>
    </row>
    <row r="8279">
      <c r="A8279" s="308"/>
      <c r="B8279" s="308"/>
      <c r="C8279" s="308" t="s">
        <v>32620</v>
      </c>
      <c r="D8279" s="308">
        <f>IFERROR(__xludf.DUMMYFUNCTION("SPLIT(C8279,""-"")"),8299.0)</f>
        <v>8299</v>
      </c>
      <c r="E8279" s="308" t="str">
        <f>IFERROR(__xludf.DUMMYFUNCTION("""COMPUTED_VALUE"""),"K")</f>
        <v>K</v>
      </c>
      <c r="F8279" s="309" t="s">
        <v>34</v>
      </c>
      <c r="G8279" s="308"/>
      <c r="H8279" s="308" t="s">
        <v>32621</v>
      </c>
      <c r="I8279" s="314">
        <v>42318.0</v>
      </c>
      <c r="J8279" s="319">
        <f>IFERROR(__xludf.DUMMYFUNCTION("SPLIT(I8279,""/"")"),10.0)</f>
        <v>10</v>
      </c>
      <c r="K8279" s="308">
        <f>IFERROR(__xludf.DUMMYFUNCTION("""COMPUTED_VALUE"""),11.0)</f>
        <v>11</v>
      </c>
      <c r="L8279" s="308">
        <f>IFERROR(__xludf.DUMMYFUNCTION("""COMPUTED_VALUE"""),2015.0)</f>
        <v>2015</v>
      </c>
      <c r="M8279" s="308" t="s">
        <v>32622</v>
      </c>
      <c r="N8279" s="308" t="s">
        <v>32623</v>
      </c>
      <c r="O8279" s="308"/>
      <c r="P8279" s="308" t="s">
        <v>136</v>
      </c>
      <c r="Q8279" s="308" t="s">
        <v>40183</v>
      </c>
      <c r="R8279" s="308" t="s">
        <v>30692</v>
      </c>
      <c r="S8279" s="315" t="s">
        <v>100</v>
      </c>
      <c r="T8279" s="308" t="s">
        <v>34208</v>
      </c>
      <c r="U8279" s="308" t="s">
        <v>542</v>
      </c>
      <c r="V8279" s="308"/>
    </row>
    <row r="8280">
      <c r="A8280" s="308"/>
      <c r="B8280" s="308"/>
      <c r="C8280" s="308" t="s">
        <v>32624</v>
      </c>
      <c r="D8280" s="308">
        <f>IFERROR(__xludf.DUMMYFUNCTION("SPLIT(C8280,""-"")"),8300.0)</f>
        <v>8300</v>
      </c>
      <c r="E8280" s="308" t="str">
        <f>IFERROR(__xludf.DUMMYFUNCTION("""COMPUTED_VALUE"""),"K")</f>
        <v>K</v>
      </c>
      <c r="F8280" s="309" t="s">
        <v>34</v>
      </c>
      <c r="G8280" s="308"/>
      <c r="H8280" s="308" t="s">
        <v>32625</v>
      </c>
      <c r="I8280" s="314">
        <v>43457.0</v>
      </c>
      <c r="J8280" s="319">
        <f>IFERROR(__xludf.DUMMYFUNCTION("SPLIT(I8280,""/"")"),23.0)</f>
        <v>23</v>
      </c>
      <c r="K8280" s="308">
        <f>IFERROR(__xludf.DUMMYFUNCTION("""COMPUTED_VALUE"""),12.0)</f>
        <v>12</v>
      </c>
      <c r="L8280" s="308">
        <f>IFERROR(__xludf.DUMMYFUNCTION("""COMPUTED_VALUE"""),2018.0)</f>
        <v>2018</v>
      </c>
      <c r="M8280" s="308" t="s">
        <v>32626</v>
      </c>
      <c r="N8280" s="308" t="s">
        <v>32627</v>
      </c>
      <c r="O8280" s="308"/>
      <c r="P8280" s="308" t="s">
        <v>136</v>
      </c>
      <c r="Q8280" s="308" t="s">
        <v>40183</v>
      </c>
      <c r="R8280" s="308" t="s">
        <v>30692</v>
      </c>
      <c r="S8280" s="315" t="s">
        <v>100</v>
      </c>
      <c r="T8280" s="308" t="s">
        <v>34208</v>
      </c>
      <c r="U8280" s="308" t="s">
        <v>2152</v>
      </c>
      <c r="V8280" s="308"/>
    </row>
    <row r="8281">
      <c r="A8281" s="308"/>
      <c r="B8281" s="308"/>
      <c r="C8281" s="308" t="s">
        <v>32628</v>
      </c>
      <c r="D8281" s="308">
        <f>IFERROR(__xludf.DUMMYFUNCTION("SPLIT(C8281,""-"")"),8301.0)</f>
        <v>8301</v>
      </c>
      <c r="E8281" s="308" t="str">
        <f>IFERROR(__xludf.DUMMYFUNCTION("""COMPUTED_VALUE"""),"K")</f>
        <v>K</v>
      </c>
      <c r="F8281" s="309" t="s">
        <v>34</v>
      </c>
      <c r="G8281" s="308"/>
      <c r="H8281" s="308" t="s">
        <v>32629</v>
      </c>
      <c r="I8281" s="310">
        <v>43979.0</v>
      </c>
      <c r="J8281" s="319">
        <f>IFERROR(__xludf.DUMMYFUNCTION("SPLIT(I8281,""/"")"),28.0)</f>
        <v>28</v>
      </c>
      <c r="K8281" s="308">
        <f>IFERROR(__xludf.DUMMYFUNCTION("""COMPUTED_VALUE"""),5.0)</f>
        <v>5</v>
      </c>
      <c r="L8281" s="308">
        <f>IFERROR(__xludf.DUMMYFUNCTION("""COMPUTED_VALUE"""),2020.0)</f>
        <v>2020</v>
      </c>
      <c r="M8281" s="308" t="s">
        <v>32630</v>
      </c>
      <c r="N8281" s="308" t="s">
        <v>32631</v>
      </c>
      <c r="O8281" s="308"/>
      <c r="P8281" s="308" t="s">
        <v>32632</v>
      </c>
      <c r="Q8281" s="308" t="s">
        <v>40183</v>
      </c>
      <c r="R8281" s="308" t="s">
        <v>30692</v>
      </c>
      <c r="S8281" s="308" t="s">
        <v>81</v>
      </c>
      <c r="T8281" s="308" t="s">
        <v>34264</v>
      </c>
      <c r="U8281" s="308" t="s">
        <v>22473</v>
      </c>
      <c r="V8281" s="308"/>
    </row>
    <row r="8282">
      <c r="A8282" s="308"/>
      <c r="B8282" s="308"/>
      <c r="C8282" s="308" t="s">
        <v>32633</v>
      </c>
      <c r="D8282" s="308">
        <f>IFERROR(__xludf.DUMMYFUNCTION("SPLIT(C8282,""-"")"),8302.0)</f>
        <v>8302</v>
      </c>
      <c r="E8282" s="308" t="str">
        <f>IFERROR(__xludf.DUMMYFUNCTION("""COMPUTED_VALUE"""),"K")</f>
        <v>K</v>
      </c>
      <c r="F8282" s="309" t="s">
        <v>34</v>
      </c>
      <c r="G8282" s="308"/>
      <c r="H8282" s="308" t="s">
        <v>32634</v>
      </c>
      <c r="I8282" s="310">
        <v>40018.0</v>
      </c>
      <c r="J8282" s="319">
        <f>IFERROR(__xludf.DUMMYFUNCTION("SPLIT(I8282,""/"")"),24.0)</f>
        <v>24</v>
      </c>
      <c r="K8282" s="308">
        <f>IFERROR(__xludf.DUMMYFUNCTION("""COMPUTED_VALUE"""),7.0)</f>
        <v>7</v>
      </c>
      <c r="L8282" s="308">
        <f>IFERROR(__xludf.DUMMYFUNCTION("""COMPUTED_VALUE"""),2009.0)</f>
        <v>2009</v>
      </c>
      <c r="M8282" s="308" t="s">
        <v>32635</v>
      </c>
      <c r="N8282" s="308" t="s">
        <v>32636</v>
      </c>
      <c r="O8282" s="308"/>
      <c r="P8282" s="308" t="s">
        <v>136</v>
      </c>
      <c r="Q8282" s="308" t="s">
        <v>40183</v>
      </c>
      <c r="R8282" s="308" t="s">
        <v>30692</v>
      </c>
      <c r="S8282" s="315" t="s">
        <v>100</v>
      </c>
      <c r="T8282" s="308" t="s">
        <v>34208</v>
      </c>
      <c r="U8282" s="308" t="s">
        <v>2152</v>
      </c>
      <c r="V8282" s="308"/>
    </row>
    <row r="8283">
      <c r="A8283" s="308"/>
      <c r="B8283" s="308"/>
      <c r="C8283" s="308" t="s">
        <v>32637</v>
      </c>
      <c r="D8283" s="308">
        <f>IFERROR(__xludf.DUMMYFUNCTION("SPLIT(C8283,""-"")"),8303.0)</f>
        <v>8303</v>
      </c>
      <c r="E8283" s="308" t="str">
        <f>IFERROR(__xludf.DUMMYFUNCTION("""COMPUTED_VALUE"""),"S")</f>
        <v>S</v>
      </c>
      <c r="F8283" s="312" t="s">
        <v>39</v>
      </c>
      <c r="G8283" s="308"/>
      <c r="H8283" s="308" t="s">
        <v>32638</v>
      </c>
      <c r="I8283" s="310">
        <v>41392.0</v>
      </c>
      <c r="J8283" s="319">
        <f>IFERROR(__xludf.DUMMYFUNCTION("SPLIT(I8283,""/"")"),28.0)</f>
        <v>28</v>
      </c>
      <c r="K8283" s="308">
        <f>IFERROR(__xludf.DUMMYFUNCTION("""COMPUTED_VALUE"""),4.0)</f>
        <v>4</v>
      </c>
      <c r="L8283" s="308">
        <f>IFERROR(__xludf.DUMMYFUNCTION("""COMPUTED_VALUE"""),2013.0)</f>
        <v>2013</v>
      </c>
      <c r="M8283" s="308" t="s">
        <v>32639</v>
      </c>
      <c r="N8283" s="308" t="s">
        <v>32640</v>
      </c>
      <c r="O8283" s="308"/>
      <c r="P8283" s="308" t="s">
        <v>136</v>
      </c>
      <c r="Q8283" s="308" t="s">
        <v>40183</v>
      </c>
      <c r="R8283" s="308" t="s">
        <v>30692</v>
      </c>
      <c r="S8283" s="315" t="s">
        <v>100</v>
      </c>
      <c r="T8283" s="308" t="s">
        <v>34208</v>
      </c>
      <c r="U8283" s="308" t="s">
        <v>166</v>
      </c>
      <c r="V8283" s="308"/>
    </row>
    <row r="8284">
      <c r="A8284" s="308"/>
      <c r="B8284" s="308"/>
      <c r="C8284" s="308" t="s">
        <v>32641</v>
      </c>
      <c r="D8284" s="308">
        <f>IFERROR(__xludf.DUMMYFUNCTION("SPLIT(C8284,""-"")"),8304.0)</f>
        <v>8304</v>
      </c>
      <c r="E8284" s="308" t="str">
        <f>IFERROR(__xludf.DUMMYFUNCTION("""COMPUTED_VALUE"""),"K")</f>
        <v>K</v>
      </c>
      <c r="F8284" s="309" t="s">
        <v>34</v>
      </c>
      <c r="G8284" s="308"/>
      <c r="H8284" s="308" t="s">
        <v>32642</v>
      </c>
      <c r="I8284" s="310">
        <v>44269.0</v>
      </c>
      <c r="J8284" s="319">
        <f>IFERROR(__xludf.DUMMYFUNCTION("SPLIT(I8284,""/"")"),14.0)</f>
        <v>14</v>
      </c>
      <c r="K8284" s="308">
        <f>IFERROR(__xludf.DUMMYFUNCTION("""COMPUTED_VALUE"""),3.0)</f>
        <v>3</v>
      </c>
      <c r="L8284" s="308">
        <f>IFERROR(__xludf.DUMMYFUNCTION("""COMPUTED_VALUE"""),2021.0)</f>
        <v>2021</v>
      </c>
      <c r="M8284" s="308" t="s">
        <v>32643</v>
      </c>
      <c r="N8284" s="308" t="s">
        <v>32644</v>
      </c>
      <c r="O8284" s="308"/>
      <c r="P8284" s="308" t="s">
        <v>136</v>
      </c>
      <c r="Q8284" s="308" t="s">
        <v>40183</v>
      </c>
      <c r="R8284" s="308" t="s">
        <v>30692</v>
      </c>
      <c r="S8284" s="315" t="s">
        <v>100</v>
      </c>
      <c r="T8284" s="308" t="s">
        <v>34208</v>
      </c>
      <c r="U8284" s="308" t="s">
        <v>542</v>
      </c>
      <c r="V8284" s="308"/>
    </row>
    <row r="8285">
      <c r="A8285" s="308"/>
      <c r="B8285" s="308"/>
      <c r="C8285" s="308" t="s">
        <v>32645</v>
      </c>
      <c r="D8285" s="308">
        <f>IFERROR(__xludf.DUMMYFUNCTION("SPLIT(C8285,""-"")"),8305.0)</f>
        <v>8305</v>
      </c>
      <c r="E8285" s="308" t="str">
        <f>IFERROR(__xludf.DUMMYFUNCTION("""COMPUTED_VALUE"""),"K")</f>
        <v>K</v>
      </c>
      <c r="F8285" s="309" t="s">
        <v>34</v>
      </c>
      <c r="G8285" s="308"/>
      <c r="H8285" s="308" t="s">
        <v>32646</v>
      </c>
      <c r="I8285" s="310">
        <v>44287.0</v>
      </c>
      <c r="J8285" s="319">
        <f>IFERROR(__xludf.DUMMYFUNCTION("SPLIT(I8285,""/"")"),1.0)</f>
        <v>1</v>
      </c>
      <c r="K8285" s="308">
        <f>IFERROR(__xludf.DUMMYFUNCTION("""COMPUTED_VALUE"""),4.0)</f>
        <v>4</v>
      </c>
      <c r="L8285" s="308">
        <f>IFERROR(__xludf.DUMMYFUNCTION("""COMPUTED_VALUE"""),2021.0)</f>
        <v>2021</v>
      </c>
      <c r="M8285" s="308" t="s">
        <v>32647</v>
      </c>
      <c r="N8285" s="308" t="s">
        <v>32648</v>
      </c>
      <c r="O8285" s="308"/>
      <c r="P8285" s="308" t="s">
        <v>40184</v>
      </c>
      <c r="Q8285" s="308" t="s">
        <v>40183</v>
      </c>
      <c r="R8285" s="308" t="s">
        <v>30692</v>
      </c>
      <c r="S8285" s="308" t="s">
        <v>81</v>
      </c>
      <c r="T8285" s="308" t="s">
        <v>34264</v>
      </c>
      <c r="U8285" s="308" t="s">
        <v>22473</v>
      </c>
      <c r="V8285" s="308"/>
    </row>
    <row r="8286">
      <c r="A8286" s="308"/>
      <c r="B8286" s="308"/>
      <c r="C8286" s="308" t="s">
        <v>32650</v>
      </c>
      <c r="D8286" s="308">
        <f>IFERROR(__xludf.DUMMYFUNCTION("SPLIT(C8286,""-"")"),8306.0)</f>
        <v>8306</v>
      </c>
      <c r="E8286" s="308" t="str">
        <f>IFERROR(__xludf.DUMMYFUNCTION("""COMPUTED_VALUE"""),"K")</f>
        <v>K</v>
      </c>
      <c r="F8286" s="309" t="s">
        <v>34</v>
      </c>
      <c r="G8286" s="308"/>
      <c r="H8286" s="308" t="s">
        <v>32651</v>
      </c>
      <c r="I8286" s="310">
        <v>43330.0</v>
      </c>
      <c r="J8286" s="319">
        <f>IFERROR(__xludf.DUMMYFUNCTION("SPLIT(I8286,""/"")"),18.0)</f>
        <v>18</v>
      </c>
      <c r="K8286" s="308">
        <f>IFERROR(__xludf.DUMMYFUNCTION("""COMPUTED_VALUE"""),8.0)</f>
        <v>8</v>
      </c>
      <c r="L8286" s="308">
        <f>IFERROR(__xludf.DUMMYFUNCTION("""COMPUTED_VALUE"""),2018.0)</f>
        <v>2018</v>
      </c>
      <c r="M8286" s="308" t="s">
        <v>32652</v>
      </c>
      <c r="N8286" s="308" t="s">
        <v>32653</v>
      </c>
      <c r="O8286" s="308"/>
      <c r="P8286" s="308" t="s">
        <v>32654</v>
      </c>
      <c r="Q8286" s="308" t="s">
        <v>40183</v>
      </c>
      <c r="R8286" s="308" t="s">
        <v>30692</v>
      </c>
      <c r="S8286" s="308" t="s">
        <v>81</v>
      </c>
      <c r="T8286" s="308" t="s">
        <v>34264</v>
      </c>
      <c r="U8286" s="308" t="s">
        <v>542</v>
      </c>
      <c r="V8286" s="308"/>
    </row>
    <row r="8287">
      <c r="A8287" s="308"/>
      <c r="B8287" s="308"/>
      <c r="C8287" s="308" t="s">
        <v>32655</v>
      </c>
      <c r="D8287" s="308">
        <f>IFERROR(__xludf.DUMMYFUNCTION("SPLIT(C8287,""-"")"),8307.0)</f>
        <v>8307</v>
      </c>
      <c r="E8287" s="308" t="str">
        <f>IFERROR(__xludf.DUMMYFUNCTION("""COMPUTED_VALUE"""),"K")</f>
        <v>K</v>
      </c>
      <c r="F8287" s="309" t="s">
        <v>34</v>
      </c>
      <c r="G8287" s="308"/>
      <c r="H8287" s="308" t="s">
        <v>32656</v>
      </c>
      <c r="I8287" s="310">
        <v>43983.0</v>
      </c>
      <c r="J8287" s="319">
        <f>IFERROR(__xludf.DUMMYFUNCTION("SPLIT(I8287,""/"")"),1.0)</f>
        <v>1</v>
      </c>
      <c r="K8287" s="308">
        <f>IFERROR(__xludf.DUMMYFUNCTION("""COMPUTED_VALUE"""),6.0)</f>
        <v>6</v>
      </c>
      <c r="L8287" s="308">
        <f>IFERROR(__xludf.DUMMYFUNCTION("""COMPUTED_VALUE"""),2020.0)</f>
        <v>2020</v>
      </c>
      <c r="M8287" s="308" t="s">
        <v>40185</v>
      </c>
      <c r="N8287" s="308" t="s">
        <v>32658</v>
      </c>
      <c r="O8287" s="308"/>
      <c r="P8287" s="308" t="s">
        <v>136</v>
      </c>
      <c r="Q8287" s="308" t="s">
        <v>40186</v>
      </c>
      <c r="R8287" s="308" t="s">
        <v>30692</v>
      </c>
      <c r="S8287" s="315" t="s">
        <v>100</v>
      </c>
      <c r="T8287" s="308" t="s">
        <v>34208</v>
      </c>
      <c r="U8287" s="308" t="s">
        <v>22473</v>
      </c>
      <c r="V8287" s="308"/>
    </row>
    <row r="8288">
      <c r="A8288" s="308"/>
      <c r="B8288" s="308"/>
      <c r="C8288" s="308" t="s">
        <v>32659</v>
      </c>
      <c r="D8288" s="308">
        <f>IFERROR(__xludf.DUMMYFUNCTION("SPLIT(C8288,""-"")"),8308.0)</f>
        <v>8308</v>
      </c>
      <c r="E8288" s="308" t="str">
        <f>IFERROR(__xludf.DUMMYFUNCTION("""COMPUTED_VALUE"""),"K")</f>
        <v>K</v>
      </c>
      <c r="F8288" s="309" t="s">
        <v>34</v>
      </c>
      <c r="G8288" s="308"/>
      <c r="H8288" s="308" t="s">
        <v>32660</v>
      </c>
      <c r="I8288" s="310">
        <v>41222.0</v>
      </c>
      <c r="J8288" s="319">
        <f>IFERROR(__xludf.DUMMYFUNCTION("SPLIT(I8288,""/"")"),9.0)</f>
        <v>9</v>
      </c>
      <c r="K8288" s="308">
        <f>IFERROR(__xludf.DUMMYFUNCTION("""COMPUTED_VALUE"""),11.0)</f>
        <v>11</v>
      </c>
      <c r="L8288" s="308">
        <f>IFERROR(__xludf.DUMMYFUNCTION("""COMPUTED_VALUE"""),2012.0)</f>
        <v>2012</v>
      </c>
      <c r="M8288" s="308" t="s">
        <v>32661</v>
      </c>
      <c r="N8288" s="308" t="s">
        <v>439</v>
      </c>
      <c r="O8288" s="308"/>
      <c r="P8288" s="308" t="s">
        <v>136</v>
      </c>
      <c r="Q8288" s="308" t="s">
        <v>40186</v>
      </c>
      <c r="R8288" s="308" t="s">
        <v>30692</v>
      </c>
      <c r="S8288" s="315" t="s">
        <v>100</v>
      </c>
      <c r="T8288" s="308" t="s">
        <v>34208</v>
      </c>
      <c r="U8288" s="308" t="s">
        <v>27994</v>
      </c>
      <c r="V8288" s="308"/>
    </row>
    <row r="8289">
      <c r="A8289" s="308"/>
      <c r="B8289" s="308"/>
      <c r="C8289" s="308" t="s">
        <v>32662</v>
      </c>
      <c r="D8289" s="308">
        <f>IFERROR(__xludf.DUMMYFUNCTION("SPLIT(C8289,""-"")"),8309.0)</f>
        <v>8309</v>
      </c>
      <c r="E8289" s="308" t="str">
        <f>IFERROR(__xludf.DUMMYFUNCTION("""COMPUTED_VALUE"""),"K")</f>
        <v>K</v>
      </c>
      <c r="F8289" s="309" t="s">
        <v>34</v>
      </c>
      <c r="G8289" s="308"/>
      <c r="H8289" s="308" t="s">
        <v>32663</v>
      </c>
      <c r="I8289" s="310">
        <v>44009.0</v>
      </c>
      <c r="J8289" s="319">
        <f>IFERROR(__xludf.DUMMYFUNCTION("SPLIT(I8289,""/"")"),27.0)</f>
        <v>27</v>
      </c>
      <c r="K8289" s="308">
        <f>IFERROR(__xludf.DUMMYFUNCTION("""COMPUTED_VALUE"""),6.0)</f>
        <v>6</v>
      </c>
      <c r="L8289" s="308">
        <f>IFERROR(__xludf.DUMMYFUNCTION("""COMPUTED_VALUE"""),2020.0)</f>
        <v>2020</v>
      </c>
      <c r="M8289" s="308" t="s">
        <v>32664</v>
      </c>
      <c r="N8289" s="308" t="s">
        <v>32665</v>
      </c>
      <c r="O8289" s="308"/>
      <c r="P8289" s="308" t="s">
        <v>32666</v>
      </c>
      <c r="Q8289" s="308" t="s">
        <v>40186</v>
      </c>
      <c r="R8289" s="308" t="s">
        <v>30692</v>
      </c>
      <c r="S8289" s="311" t="s">
        <v>49</v>
      </c>
      <c r="T8289" s="311" t="s">
        <v>34409</v>
      </c>
      <c r="U8289" s="308" t="s">
        <v>22473</v>
      </c>
      <c r="V8289" s="308"/>
    </row>
    <row r="8290">
      <c r="A8290" s="308"/>
      <c r="B8290" s="308"/>
      <c r="C8290" s="308" t="s">
        <v>32667</v>
      </c>
      <c r="D8290" s="308">
        <f>IFERROR(__xludf.DUMMYFUNCTION("SPLIT(C8290,""-"")"),8310.0)</f>
        <v>8310</v>
      </c>
      <c r="E8290" s="308" t="str">
        <f>IFERROR(__xludf.DUMMYFUNCTION("""COMPUTED_VALUE"""),"P")</f>
        <v>P</v>
      </c>
      <c r="F8290" s="312" t="s">
        <v>37</v>
      </c>
      <c r="G8290" s="308"/>
      <c r="H8290" s="308" t="s">
        <v>32668</v>
      </c>
      <c r="I8290" s="310">
        <v>44232.0</v>
      </c>
      <c r="J8290" s="319">
        <f>IFERROR(__xludf.DUMMYFUNCTION("SPLIT(I8290,""/"")"),5.0)</f>
        <v>5</v>
      </c>
      <c r="K8290" s="308">
        <f>IFERROR(__xludf.DUMMYFUNCTION("""COMPUTED_VALUE"""),2.0)</f>
        <v>2</v>
      </c>
      <c r="L8290" s="308">
        <f>IFERROR(__xludf.DUMMYFUNCTION("""COMPUTED_VALUE"""),2021.0)</f>
        <v>2021</v>
      </c>
      <c r="M8290" s="308" t="s">
        <v>32669</v>
      </c>
      <c r="N8290" s="308" t="s">
        <v>32670</v>
      </c>
      <c r="O8290" s="308"/>
      <c r="P8290" s="308" t="s">
        <v>136</v>
      </c>
      <c r="Q8290" s="308" t="s">
        <v>40186</v>
      </c>
      <c r="R8290" s="308" t="s">
        <v>30692</v>
      </c>
      <c r="S8290" s="315" t="s">
        <v>100</v>
      </c>
      <c r="T8290" s="308" t="s">
        <v>34208</v>
      </c>
      <c r="U8290" s="308" t="s">
        <v>32671</v>
      </c>
      <c r="V8290" s="308"/>
    </row>
    <row r="8291">
      <c r="A8291" s="308"/>
      <c r="B8291" s="308"/>
      <c r="C8291" s="308" t="s">
        <v>32672</v>
      </c>
      <c r="D8291" s="308">
        <f>IFERROR(__xludf.DUMMYFUNCTION("SPLIT(C8291,""-"")"),8311.0)</f>
        <v>8311</v>
      </c>
      <c r="E8291" s="308" t="str">
        <f>IFERROR(__xludf.DUMMYFUNCTION("""COMPUTED_VALUE"""),"K")</f>
        <v>K</v>
      </c>
      <c r="F8291" s="309" t="s">
        <v>34</v>
      </c>
      <c r="G8291" s="308"/>
      <c r="H8291" s="308" t="s">
        <v>32673</v>
      </c>
      <c r="I8291" s="310">
        <v>43910.0</v>
      </c>
      <c r="J8291" s="319">
        <f>IFERROR(__xludf.DUMMYFUNCTION("SPLIT(I8291,""/"")"),20.0)</f>
        <v>20</v>
      </c>
      <c r="K8291" s="308">
        <f>IFERROR(__xludf.DUMMYFUNCTION("""COMPUTED_VALUE"""),3.0)</f>
        <v>3</v>
      </c>
      <c r="L8291" s="308">
        <f>IFERROR(__xludf.DUMMYFUNCTION("""COMPUTED_VALUE"""),2020.0)</f>
        <v>2020</v>
      </c>
      <c r="M8291" s="308" t="s">
        <v>32674</v>
      </c>
      <c r="N8291" s="308" t="s">
        <v>32675</v>
      </c>
      <c r="O8291" s="308"/>
      <c r="P8291" s="308" t="s">
        <v>40187</v>
      </c>
      <c r="Q8291" s="308" t="s">
        <v>40186</v>
      </c>
      <c r="R8291" s="308" t="s">
        <v>30692</v>
      </c>
      <c r="S8291" s="308" t="s">
        <v>81</v>
      </c>
      <c r="T8291" s="308" t="s">
        <v>34264</v>
      </c>
      <c r="U8291" s="308" t="s">
        <v>22473</v>
      </c>
      <c r="V8291" s="308"/>
    </row>
    <row r="8292">
      <c r="A8292" s="308"/>
      <c r="B8292" s="308"/>
      <c r="C8292" s="308" t="s">
        <v>32677</v>
      </c>
      <c r="D8292" s="308">
        <f>IFERROR(__xludf.DUMMYFUNCTION("SPLIT(C8292,""-"")"),8312.0)</f>
        <v>8312</v>
      </c>
      <c r="E8292" s="308" t="str">
        <f>IFERROR(__xludf.DUMMYFUNCTION("""COMPUTED_VALUE"""),"K")</f>
        <v>K</v>
      </c>
      <c r="F8292" s="309" t="s">
        <v>34</v>
      </c>
      <c r="G8292" s="308"/>
      <c r="H8292" s="308" t="s">
        <v>32678</v>
      </c>
      <c r="I8292" s="310">
        <v>44022.0</v>
      </c>
      <c r="J8292" s="319">
        <f>IFERROR(__xludf.DUMMYFUNCTION("SPLIT(I8292,""/"")"),10.0)</f>
        <v>10</v>
      </c>
      <c r="K8292" s="308">
        <f>IFERROR(__xludf.DUMMYFUNCTION("""COMPUTED_VALUE"""),7.0)</f>
        <v>7</v>
      </c>
      <c r="L8292" s="308">
        <f>IFERROR(__xludf.DUMMYFUNCTION("""COMPUTED_VALUE"""),2020.0)</f>
        <v>2020</v>
      </c>
      <c r="M8292" s="308" t="s">
        <v>32679</v>
      </c>
      <c r="N8292" s="308" t="s">
        <v>32680</v>
      </c>
      <c r="O8292" s="308"/>
      <c r="P8292" s="308" t="s">
        <v>32681</v>
      </c>
      <c r="Q8292" s="308" t="s">
        <v>40186</v>
      </c>
      <c r="R8292" s="308" t="s">
        <v>30692</v>
      </c>
      <c r="S8292" s="308" t="s">
        <v>81</v>
      </c>
      <c r="T8292" s="308" t="s">
        <v>34264</v>
      </c>
      <c r="U8292" s="308" t="s">
        <v>22473</v>
      </c>
      <c r="V8292" s="308"/>
    </row>
    <row r="8293">
      <c r="A8293" s="308"/>
      <c r="B8293" s="308"/>
      <c r="C8293" s="308" t="s">
        <v>32682</v>
      </c>
      <c r="D8293" s="308">
        <f>IFERROR(__xludf.DUMMYFUNCTION("SPLIT(C8293,""-"")"),8313.0)</f>
        <v>8313</v>
      </c>
      <c r="E8293" s="308" t="str">
        <f>IFERROR(__xludf.DUMMYFUNCTION("""COMPUTED_VALUE"""),"K")</f>
        <v>K</v>
      </c>
      <c r="F8293" s="309" t="s">
        <v>34</v>
      </c>
      <c r="G8293" s="308"/>
      <c r="H8293" s="308" t="s">
        <v>32683</v>
      </c>
      <c r="I8293" s="314">
        <v>42669.0</v>
      </c>
      <c r="J8293" s="319">
        <f>IFERROR(__xludf.DUMMYFUNCTION("SPLIT(I8293,""/"")"),26.0)</f>
        <v>26</v>
      </c>
      <c r="K8293" s="308">
        <f>IFERROR(__xludf.DUMMYFUNCTION("""COMPUTED_VALUE"""),10.0)</f>
        <v>10</v>
      </c>
      <c r="L8293" s="308">
        <f>IFERROR(__xludf.DUMMYFUNCTION("""COMPUTED_VALUE"""),2016.0)</f>
        <v>2016</v>
      </c>
      <c r="M8293" s="308" t="s">
        <v>32684</v>
      </c>
      <c r="N8293" s="308" t="s">
        <v>439</v>
      </c>
      <c r="O8293" s="308"/>
      <c r="P8293" s="308" t="s">
        <v>136</v>
      </c>
      <c r="Q8293" s="308" t="s">
        <v>40188</v>
      </c>
      <c r="R8293" s="308" t="s">
        <v>30692</v>
      </c>
      <c r="S8293" s="315" t="s">
        <v>100</v>
      </c>
      <c r="T8293" s="308" t="s">
        <v>34208</v>
      </c>
      <c r="U8293" s="308" t="s">
        <v>941</v>
      </c>
      <c r="V8293" s="308"/>
    </row>
    <row r="8294">
      <c r="A8294" s="308"/>
      <c r="B8294" s="308"/>
      <c r="C8294" s="308" t="s">
        <v>32685</v>
      </c>
      <c r="D8294" s="308">
        <f>IFERROR(__xludf.DUMMYFUNCTION("SPLIT(C8294,""-"")"),8314.0)</f>
        <v>8314</v>
      </c>
      <c r="E8294" s="308" t="str">
        <f>IFERROR(__xludf.DUMMYFUNCTION("""COMPUTED_VALUE"""),"K")</f>
        <v>K</v>
      </c>
      <c r="F8294" s="309" t="s">
        <v>34</v>
      </c>
      <c r="G8294" s="308"/>
      <c r="H8294" s="308" t="s">
        <v>32686</v>
      </c>
      <c r="I8294" s="310">
        <v>40341.0</v>
      </c>
      <c r="J8294" s="319">
        <f>IFERROR(__xludf.DUMMYFUNCTION("SPLIT(I8294,""/"")"),12.0)</f>
        <v>12</v>
      </c>
      <c r="K8294" s="308">
        <f>IFERROR(__xludf.DUMMYFUNCTION("""COMPUTED_VALUE"""),6.0)</f>
        <v>6</v>
      </c>
      <c r="L8294" s="308">
        <f>IFERROR(__xludf.DUMMYFUNCTION("""COMPUTED_VALUE"""),2010.0)</f>
        <v>2010</v>
      </c>
      <c r="M8294" s="308" t="s">
        <v>32687</v>
      </c>
      <c r="N8294" s="308" t="s">
        <v>32688</v>
      </c>
      <c r="O8294" s="308"/>
      <c r="P8294" s="308" t="s">
        <v>136</v>
      </c>
      <c r="Q8294" s="308" t="s">
        <v>40188</v>
      </c>
      <c r="R8294" s="308" t="s">
        <v>30692</v>
      </c>
      <c r="S8294" s="315" t="s">
        <v>100</v>
      </c>
      <c r="T8294" s="308" t="s">
        <v>34208</v>
      </c>
      <c r="U8294" s="308" t="s">
        <v>19459</v>
      </c>
      <c r="V8294" s="308"/>
    </row>
    <row r="8295">
      <c r="A8295" s="308"/>
      <c r="B8295" s="308"/>
      <c r="C8295" s="308" t="s">
        <v>32689</v>
      </c>
      <c r="D8295" s="308">
        <f>IFERROR(__xludf.DUMMYFUNCTION("SPLIT(C8295,""-"")"),8315.0)</f>
        <v>8315</v>
      </c>
      <c r="E8295" s="308" t="str">
        <f>IFERROR(__xludf.DUMMYFUNCTION("""COMPUTED_VALUE"""),"K")</f>
        <v>K</v>
      </c>
      <c r="F8295" s="309" t="s">
        <v>34</v>
      </c>
      <c r="G8295" s="308"/>
      <c r="H8295" s="308" t="s">
        <v>32690</v>
      </c>
      <c r="I8295" s="310">
        <v>44204.0</v>
      </c>
      <c r="J8295" s="319">
        <f>IFERROR(__xludf.DUMMYFUNCTION("SPLIT(I8295,""/"")"),8.0)</f>
        <v>8</v>
      </c>
      <c r="K8295" s="308">
        <f>IFERROR(__xludf.DUMMYFUNCTION("""COMPUTED_VALUE"""),1.0)</f>
        <v>1</v>
      </c>
      <c r="L8295" s="308">
        <f>IFERROR(__xludf.DUMMYFUNCTION("""COMPUTED_VALUE"""),2021.0)</f>
        <v>2021</v>
      </c>
      <c r="M8295" s="308" t="s">
        <v>32691</v>
      </c>
      <c r="N8295" s="308" t="s">
        <v>32692</v>
      </c>
      <c r="O8295" s="308"/>
      <c r="P8295" s="308" t="s">
        <v>136</v>
      </c>
      <c r="Q8295" s="308" t="s">
        <v>40188</v>
      </c>
      <c r="R8295" s="308" t="s">
        <v>30692</v>
      </c>
      <c r="S8295" s="315" t="s">
        <v>100</v>
      </c>
      <c r="T8295" s="308" t="s">
        <v>34208</v>
      </c>
      <c r="U8295" s="308" t="s">
        <v>22473</v>
      </c>
      <c r="V8295" s="308"/>
    </row>
    <row r="8296">
      <c r="A8296" s="308"/>
      <c r="B8296" s="308"/>
      <c r="C8296" s="308" t="s">
        <v>32693</v>
      </c>
      <c r="D8296" s="308">
        <f>IFERROR(__xludf.DUMMYFUNCTION("SPLIT(C8296,""-"")"),8316.0)</f>
        <v>8316</v>
      </c>
      <c r="E8296" s="308" t="str">
        <f>IFERROR(__xludf.DUMMYFUNCTION("""COMPUTED_VALUE"""),"K")</f>
        <v>K</v>
      </c>
      <c r="F8296" s="309" t="s">
        <v>34</v>
      </c>
      <c r="G8296" s="308"/>
      <c r="H8296" s="308" t="s">
        <v>40189</v>
      </c>
      <c r="I8296" s="310">
        <v>43910.0</v>
      </c>
      <c r="J8296" s="319">
        <f>IFERROR(__xludf.DUMMYFUNCTION("SPLIT(I8296,""/"")"),20.0)</f>
        <v>20</v>
      </c>
      <c r="K8296" s="308">
        <f>IFERROR(__xludf.DUMMYFUNCTION("""COMPUTED_VALUE"""),3.0)</f>
        <v>3</v>
      </c>
      <c r="L8296" s="308">
        <f>IFERROR(__xludf.DUMMYFUNCTION("""COMPUTED_VALUE"""),2020.0)</f>
        <v>2020</v>
      </c>
      <c r="M8296" s="308" t="s">
        <v>32695</v>
      </c>
      <c r="N8296" s="308" t="s">
        <v>32696</v>
      </c>
      <c r="O8296" s="308"/>
      <c r="P8296" s="308" t="s">
        <v>32697</v>
      </c>
      <c r="Q8296" s="308" t="s">
        <v>40188</v>
      </c>
      <c r="R8296" s="308" t="s">
        <v>30692</v>
      </c>
      <c r="S8296" s="308" t="s">
        <v>81</v>
      </c>
      <c r="T8296" s="308" t="s">
        <v>34264</v>
      </c>
      <c r="U8296" s="308" t="s">
        <v>22473</v>
      </c>
      <c r="V8296" s="308"/>
    </row>
    <row r="8297">
      <c r="A8297" s="308"/>
      <c r="B8297" s="308"/>
      <c r="C8297" s="308" t="s">
        <v>32698</v>
      </c>
      <c r="D8297" s="308">
        <f>IFERROR(__xludf.DUMMYFUNCTION("SPLIT(C8297,""-"")"),8317.0)</f>
        <v>8317</v>
      </c>
      <c r="E8297" s="308" t="str">
        <f>IFERROR(__xludf.DUMMYFUNCTION("""COMPUTED_VALUE"""),"K")</f>
        <v>K</v>
      </c>
      <c r="F8297" s="309" t="s">
        <v>34</v>
      </c>
      <c r="G8297" s="308"/>
      <c r="H8297" s="308" t="s">
        <v>32699</v>
      </c>
      <c r="I8297" s="310">
        <v>39954.0</v>
      </c>
      <c r="J8297" s="319">
        <f>IFERROR(__xludf.DUMMYFUNCTION("SPLIT(I8297,""/"")"),21.0)</f>
        <v>21</v>
      </c>
      <c r="K8297" s="308">
        <f>IFERROR(__xludf.DUMMYFUNCTION("""COMPUTED_VALUE"""),5.0)</f>
        <v>5</v>
      </c>
      <c r="L8297" s="308">
        <f>IFERROR(__xludf.DUMMYFUNCTION("""COMPUTED_VALUE"""),2009.0)</f>
        <v>2009</v>
      </c>
      <c r="M8297" s="308" t="s">
        <v>32700</v>
      </c>
      <c r="N8297" s="308" t="s">
        <v>32701</v>
      </c>
      <c r="O8297" s="308"/>
      <c r="P8297" s="308" t="s">
        <v>136</v>
      </c>
      <c r="Q8297" s="308" t="s">
        <v>40188</v>
      </c>
      <c r="R8297" s="308" t="s">
        <v>30692</v>
      </c>
      <c r="S8297" s="315" t="s">
        <v>100</v>
      </c>
      <c r="T8297" s="308" t="s">
        <v>34208</v>
      </c>
      <c r="U8297" s="308" t="s">
        <v>125</v>
      </c>
      <c r="V8297" s="308"/>
    </row>
    <row r="8298">
      <c r="A8298" s="308"/>
      <c r="B8298" s="308"/>
      <c r="C8298" s="308" t="s">
        <v>32702</v>
      </c>
      <c r="D8298" s="308">
        <f>IFERROR(__xludf.DUMMYFUNCTION("SPLIT(C8298,""-"")"),8318.0)</f>
        <v>8318</v>
      </c>
      <c r="E8298" s="308" t="str">
        <f>IFERROR(__xludf.DUMMYFUNCTION("""COMPUTED_VALUE"""),"K")</f>
        <v>K</v>
      </c>
      <c r="F8298" s="309" t="s">
        <v>34</v>
      </c>
      <c r="G8298" s="308"/>
      <c r="H8298" s="308" t="s">
        <v>32703</v>
      </c>
      <c r="I8298" s="310">
        <v>41791.0</v>
      </c>
      <c r="J8298" s="319">
        <f>IFERROR(__xludf.DUMMYFUNCTION("SPLIT(I8298,""/"")"),1.0)</f>
        <v>1</v>
      </c>
      <c r="K8298" s="308">
        <f>IFERROR(__xludf.DUMMYFUNCTION("""COMPUTED_VALUE"""),6.0)</f>
        <v>6</v>
      </c>
      <c r="L8298" s="308">
        <f>IFERROR(__xludf.DUMMYFUNCTION("""COMPUTED_VALUE"""),2014.0)</f>
        <v>2014</v>
      </c>
      <c r="M8298" s="308" t="s">
        <v>32704</v>
      </c>
      <c r="N8298" s="308" t="s">
        <v>32705</v>
      </c>
      <c r="O8298" s="308"/>
      <c r="P8298" s="308" t="s">
        <v>136</v>
      </c>
      <c r="Q8298" s="308" t="s">
        <v>40188</v>
      </c>
      <c r="R8298" s="308" t="s">
        <v>30692</v>
      </c>
      <c r="S8298" s="315" t="s">
        <v>100</v>
      </c>
      <c r="T8298" s="308" t="s">
        <v>34208</v>
      </c>
      <c r="U8298" s="308" t="s">
        <v>22473</v>
      </c>
      <c r="V8298" s="308"/>
    </row>
    <row r="8299">
      <c r="A8299" s="308"/>
      <c r="B8299" s="308"/>
      <c r="C8299" s="308" t="s">
        <v>32706</v>
      </c>
      <c r="D8299" s="308">
        <f>IFERROR(__xludf.DUMMYFUNCTION("SPLIT(C8299,""-"")"),8319.0)</f>
        <v>8319</v>
      </c>
      <c r="E8299" s="308" t="str">
        <f>IFERROR(__xludf.DUMMYFUNCTION("""COMPUTED_VALUE"""),"K")</f>
        <v>K</v>
      </c>
      <c r="F8299" s="309" t="s">
        <v>34</v>
      </c>
      <c r="G8299" s="308"/>
      <c r="H8299" s="308" t="s">
        <v>32707</v>
      </c>
      <c r="I8299" s="310">
        <v>42118.0</v>
      </c>
      <c r="J8299" s="319">
        <f>IFERROR(__xludf.DUMMYFUNCTION("SPLIT(I8299,""/"")"),24.0)</f>
        <v>24</v>
      </c>
      <c r="K8299" s="308">
        <f>IFERROR(__xludf.DUMMYFUNCTION("""COMPUTED_VALUE"""),4.0)</f>
        <v>4</v>
      </c>
      <c r="L8299" s="308">
        <f>IFERROR(__xludf.DUMMYFUNCTION("""COMPUTED_VALUE"""),2015.0)</f>
        <v>2015</v>
      </c>
      <c r="M8299" s="308" t="s">
        <v>32708</v>
      </c>
      <c r="N8299" s="308" t="s">
        <v>32709</v>
      </c>
      <c r="O8299" s="308"/>
      <c r="P8299" s="308" t="s">
        <v>136</v>
      </c>
      <c r="Q8299" s="308" t="s">
        <v>40188</v>
      </c>
      <c r="R8299" s="308" t="s">
        <v>30692</v>
      </c>
      <c r="S8299" s="315" t="s">
        <v>100</v>
      </c>
      <c r="T8299" s="308" t="s">
        <v>34208</v>
      </c>
      <c r="U8299" s="308" t="s">
        <v>18616</v>
      </c>
      <c r="V8299" s="308"/>
    </row>
    <row r="8300">
      <c r="A8300" s="308"/>
      <c r="B8300" s="308"/>
      <c r="C8300" s="308" t="s">
        <v>32710</v>
      </c>
      <c r="D8300" s="308">
        <f>IFERROR(__xludf.DUMMYFUNCTION("SPLIT(C8300,""-"")"),8320.0)</f>
        <v>8320</v>
      </c>
      <c r="E8300" s="308" t="str">
        <f>IFERROR(__xludf.DUMMYFUNCTION("""COMPUTED_VALUE"""),"K")</f>
        <v>K</v>
      </c>
      <c r="F8300" s="309" t="s">
        <v>34</v>
      </c>
      <c r="G8300" s="308"/>
      <c r="H8300" s="308" t="s">
        <v>32711</v>
      </c>
      <c r="I8300" s="310">
        <v>43956.0</v>
      </c>
      <c r="J8300" s="319">
        <f>IFERROR(__xludf.DUMMYFUNCTION("SPLIT(I8300,""/"")"),5.0)</f>
        <v>5</v>
      </c>
      <c r="K8300" s="308">
        <f>IFERROR(__xludf.DUMMYFUNCTION("""COMPUTED_VALUE"""),5.0)</f>
        <v>5</v>
      </c>
      <c r="L8300" s="308">
        <f>IFERROR(__xludf.DUMMYFUNCTION("""COMPUTED_VALUE"""),2020.0)</f>
        <v>2020</v>
      </c>
      <c r="M8300" s="308" t="s">
        <v>32712</v>
      </c>
      <c r="N8300" s="308" t="s">
        <v>32713</v>
      </c>
      <c r="O8300" s="308"/>
      <c r="P8300" s="308" t="s">
        <v>32714</v>
      </c>
      <c r="Q8300" s="308" t="s">
        <v>40188</v>
      </c>
      <c r="R8300" s="308" t="s">
        <v>30692</v>
      </c>
      <c r="S8300" s="308" t="s">
        <v>81</v>
      </c>
      <c r="T8300" s="308" t="s">
        <v>34264</v>
      </c>
      <c r="U8300" s="308" t="s">
        <v>22473</v>
      </c>
      <c r="V8300" s="308"/>
    </row>
    <row r="8301">
      <c r="A8301" s="308"/>
      <c r="B8301" s="308"/>
      <c r="C8301" s="308" t="s">
        <v>32715</v>
      </c>
      <c r="D8301" s="308">
        <f>IFERROR(__xludf.DUMMYFUNCTION("SPLIT(C8301,""-"")"),8321.0)</f>
        <v>8321</v>
      </c>
      <c r="E8301" s="308" t="str">
        <f>IFERROR(__xludf.DUMMYFUNCTION("""COMPUTED_VALUE"""),"S")</f>
        <v>S</v>
      </c>
      <c r="F8301" s="312" t="s">
        <v>39</v>
      </c>
      <c r="G8301" s="308"/>
      <c r="H8301" s="308" t="s">
        <v>32716</v>
      </c>
      <c r="I8301" s="310">
        <v>41684.0</v>
      </c>
      <c r="J8301" s="319">
        <f>IFERROR(__xludf.DUMMYFUNCTION("SPLIT(I8301,""/"")"),14.0)</f>
        <v>14</v>
      </c>
      <c r="K8301" s="308">
        <f>IFERROR(__xludf.DUMMYFUNCTION("""COMPUTED_VALUE"""),2.0)</f>
        <v>2</v>
      </c>
      <c r="L8301" s="308">
        <f>IFERROR(__xludf.DUMMYFUNCTION("""COMPUTED_VALUE"""),2014.0)</f>
        <v>2014</v>
      </c>
      <c r="M8301" s="308" t="s">
        <v>32717</v>
      </c>
      <c r="N8301" s="308" t="s">
        <v>32718</v>
      </c>
      <c r="O8301" s="308"/>
      <c r="P8301" s="308" t="s">
        <v>136</v>
      </c>
      <c r="Q8301" s="308" t="s">
        <v>40188</v>
      </c>
      <c r="R8301" s="308" t="s">
        <v>30692</v>
      </c>
      <c r="S8301" s="315" t="s">
        <v>100</v>
      </c>
      <c r="T8301" s="308" t="s">
        <v>34208</v>
      </c>
      <c r="U8301" s="308" t="s">
        <v>166</v>
      </c>
      <c r="V8301" s="308"/>
    </row>
    <row r="8302">
      <c r="A8302" s="308"/>
      <c r="B8302" s="308"/>
      <c r="C8302" s="308" t="s">
        <v>32719</v>
      </c>
      <c r="D8302" s="308">
        <f>IFERROR(__xludf.DUMMYFUNCTION("SPLIT(C8302,""-"")"),8322.0)</f>
        <v>8322</v>
      </c>
      <c r="E8302" s="308" t="str">
        <f>IFERROR(__xludf.DUMMYFUNCTION("""COMPUTED_VALUE"""),"P")</f>
        <v>P</v>
      </c>
      <c r="F8302" s="312" t="s">
        <v>37</v>
      </c>
      <c r="G8302" s="308"/>
      <c r="H8302" s="308" t="s">
        <v>32720</v>
      </c>
      <c r="I8302" s="314">
        <v>44528.0</v>
      </c>
      <c r="J8302" s="319">
        <f>IFERROR(__xludf.DUMMYFUNCTION("SPLIT(I8302,""/"")"),28.0)</f>
        <v>28</v>
      </c>
      <c r="K8302" s="308">
        <f>IFERROR(__xludf.DUMMYFUNCTION("""COMPUTED_VALUE"""),11.0)</f>
        <v>11</v>
      </c>
      <c r="L8302" s="308">
        <f>IFERROR(__xludf.DUMMYFUNCTION("""COMPUTED_VALUE"""),2021.0)</f>
        <v>2021</v>
      </c>
      <c r="M8302" s="308" t="s">
        <v>32721</v>
      </c>
      <c r="N8302" s="308" t="s">
        <v>32722</v>
      </c>
      <c r="O8302" s="308"/>
      <c r="P8302" s="308" t="s">
        <v>40190</v>
      </c>
      <c r="Q8302" s="308" t="s">
        <v>40188</v>
      </c>
      <c r="R8302" s="308" t="s">
        <v>2743</v>
      </c>
      <c r="S8302" s="308" t="s">
        <v>81</v>
      </c>
      <c r="T8302" s="308" t="s">
        <v>75</v>
      </c>
      <c r="U8302" s="308" t="s">
        <v>143</v>
      </c>
      <c r="V8302" s="308"/>
    </row>
    <row r="8303">
      <c r="A8303" s="308"/>
      <c r="B8303" s="308"/>
      <c r="C8303" s="308" t="s">
        <v>32724</v>
      </c>
      <c r="D8303" s="308">
        <f>IFERROR(__xludf.DUMMYFUNCTION("SPLIT(C8303,""-"")"),8323.0)</f>
        <v>8323</v>
      </c>
      <c r="E8303" s="308" t="str">
        <f>IFERROR(__xludf.DUMMYFUNCTION("""COMPUTED_VALUE"""),"P")</f>
        <v>P</v>
      </c>
      <c r="F8303" s="312" t="s">
        <v>37</v>
      </c>
      <c r="G8303" s="308"/>
      <c r="H8303" s="308" t="s">
        <v>32725</v>
      </c>
      <c r="I8303" s="310">
        <v>44532.0</v>
      </c>
      <c r="J8303" s="319">
        <f>IFERROR(__xludf.DUMMYFUNCTION("SPLIT(I8303,""/"")"),2.0)</f>
        <v>2</v>
      </c>
      <c r="K8303" s="308">
        <f>IFERROR(__xludf.DUMMYFUNCTION("""COMPUTED_VALUE"""),12.0)</f>
        <v>12</v>
      </c>
      <c r="L8303" s="308">
        <f>IFERROR(__xludf.DUMMYFUNCTION("""COMPUTED_VALUE"""),2021.0)</f>
        <v>2021</v>
      </c>
      <c r="M8303" s="308" t="s">
        <v>32726</v>
      </c>
      <c r="N8303" s="308" t="s">
        <v>32727</v>
      </c>
      <c r="O8303" s="308"/>
      <c r="P8303" s="308" t="s">
        <v>40191</v>
      </c>
      <c r="Q8303" s="308" t="s">
        <v>40192</v>
      </c>
      <c r="R8303" s="308" t="s">
        <v>2743</v>
      </c>
      <c r="S8303" s="308" t="s">
        <v>81</v>
      </c>
      <c r="T8303" s="311" t="s">
        <v>96</v>
      </c>
      <c r="U8303" s="308" t="s">
        <v>1910</v>
      </c>
      <c r="V8303" s="308"/>
    </row>
    <row r="8304">
      <c r="A8304" s="308"/>
      <c r="B8304" s="308"/>
      <c r="C8304" s="308" t="s">
        <v>32729</v>
      </c>
      <c r="D8304" s="308">
        <f>IFERROR(__xludf.DUMMYFUNCTION("SPLIT(C8304,""-"")"),8324.0)</f>
        <v>8324</v>
      </c>
      <c r="E8304" s="308" t="str">
        <f>IFERROR(__xludf.DUMMYFUNCTION("""COMPUTED_VALUE"""),"K")</f>
        <v>K</v>
      </c>
      <c r="F8304" s="309" t="s">
        <v>34</v>
      </c>
      <c r="G8304" s="308"/>
      <c r="H8304" s="308" t="s">
        <v>32730</v>
      </c>
      <c r="I8304" s="310">
        <v>40026.0</v>
      </c>
      <c r="J8304" s="319">
        <f>IFERROR(__xludf.DUMMYFUNCTION("SPLIT(I8304,""/"")"),1.0)</f>
        <v>1</v>
      </c>
      <c r="K8304" s="308">
        <f>IFERROR(__xludf.DUMMYFUNCTION("""COMPUTED_VALUE"""),8.0)</f>
        <v>8</v>
      </c>
      <c r="L8304" s="308">
        <f>IFERROR(__xludf.DUMMYFUNCTION("""COMPUTED_VALUE"""),2009.0)</f>
        <v>2009</v>
      </c>
      <c r="M8304" s="308" t="s">
        <v>32731</v>
      </c>
      <c r="N8304" s="308" t="s">
        <v>32732</v>
      </c>
      <c r="O8304" s="308"/>
      <c r="P8304" s="308" t="s">
        <v>136</v>
      </c>
      <c r="Q8304" s="308" t="s">
        <v>40192</v>
      </c>
      <c r="R8304" s="308" t="s">
        <v>2743</v>
      </c>
      <c r="S8304" s="315" t="s">
        <v>100</v>
      </c>
      <c r="T8304" s="308" t="s">
        <v>34208</v>
      </c>
      <c r="U8304" s="308" t="s">
        <v>530</v>
      </c>
      <c r="V8304" s="308"/>
    </row>
    <row r="8305">
      <c r="A8305" s="308"/>
      <c r="B8305" s="308"/>
      <c r="C8305" s="308" t="s">
        <v>32733</v>
      </c>
      <c r="D8305" s="308">
        <f>IFERROR(__xludf.DUMMYFUNCTION("SPLIT(C8305,""-"")"),8325.0)</f>
        <v>8325</v>
      </c>
      <c r="E8305" s="308" t="str">
        <f>IFERROR(__xludf.DUMMYFUNCTION("""COMPUTED_VALUE"""),"I")</f>
        <v>I</v>
      </c>
      <c r="F8305" s="309" t="s">
        <v>31</v>
      </c>
      <c r="G8305" s="308"/>
      <c r="H8305" s="308" t="s">
        <v>32734</v>
      </c>
      <c r="I8305" s="314">
        <v>44530.0</v>
      </c>
      <c r="J8305" s="319">
        <f>IFERROR(__xludf.DUMMYFUNCTION("SPLIT(I8305,""/"")"),30.0)</f>
        <v>30</v>
      </c>
      <c r="K8305" s="308">
        <f>IFERROR(__xludf.DUMMYFUNCTION("""COMPUTED_VALUE"""),11.0)</f>
        <v>11</v>
      </c>
      <c r="L8305" s="308">
        <f>IFERROR(__xludf.DUMMYFUNCTION("""COMPUTED_VALUE"""),2021.0)</f>
        <v>2021</v>
      </c>
      <c r="M8305" s="308" t="s">
        <v>40193</v>
      </c>
      <c r="N8305" s="308" t="s">
        <v>40194</v>
      </c>
      <c r="O8305" s="308"/>
      <c r="P8305" s="308" t="s">
        <v>136</v>
      </c>
      <c r="Q8305" s="308" t="s">
        <v>40192</v>
      </c>
      <c r="R8305" s="308" t="s">
        <v>2743</v>
      </c>
      <c r="S8305" s="315" t="s">
        <v>100</v>
      </c>
      <c r="T8305" s="308" t="s">
        <v>34208</v>
      </c>
      <c r="U8305" s="308" t="s">
        <v>31</v>
      </c>
      <c r="V8305" s="308"/>
    </row>
    <row r="8306">
      <c r="A8306" s="308"/>
      <c r="B8306" s="308"/>
      <c r="C8306" s="308" t="s">
        <v>32737</v>
      </c>
      <c r="D8306" s="308">
        <f>IFERROR(__xludf.DUMMYFUNCTION("SPLIT(C8306,""-"")"),8326.0)</f>
        <v>8326</v>
      </c>
      <c r="E8306" s="308" t="str">
        <f>IFERROR(__xludf.DUMMYFUNCTION("""COMPUTED_VALUE"""),"S")</f>
        <v>S</v>
      </c>
      <c r="F8306" s="312" t="s">
        <v>39</v>
      </c>
      <c r="G8306" s="308"/>
      <c r="H8306" s="308" t="s">
        <v>32738</v>
      </c>
      <c r="I8306" s="314">
        <v>44541.0</v>
      </c>
      <c r="J8306" s="319">
        <f>IFERROR(__xludf.DUMMYFUNCTION("SPLIT(I8306,""/"")"),11.0)</f>
        <v>11</v>
      </c>
      <c r="K8306" s="308">
        <f>IFERROR(__xludf.DUMMYFUNCTION("""COMPUTED_VALUE"""),12.0)</f>
        <v>12</v>
      </c>
      <c r="L8306" s="308">
        <f>IFERROR(__xludf.DUMMYFUNCTION("""COMPUTED_VALUE"""),2021.0)</f>
        <v>2021</v>
      </c>
      <c r="M8306" s="308" t="s">
        <v>32739</v>
      </c>
      <c r="N8306" s="308" t="s">
        <v>32740</v>
      </c>
      <c r="O8306" s="308"/>
      <c r="P8306" s="308" t="s">
        <v>40195</v>
      </c>
      <c r="Q8306" s="308" t="s">
        <v>40192</v>
      </c>
      <c r="R8306" s="308" t="s">
        <v>2743</v>
      </c>
      <c r="S8306" s="308" t="s">
        <v>81</v>
      </c>
      <c r="T8306" s="308" t="s">
        <v>73</v>
      </c>
      <c r="U8306" s="308" t="s">
        <v>166</v>
      </c>
      <c r="V8306" s="308"/>
    </row>
    <row r="8307">
      <c r="A8307" s="308"/>
      <c r="B8307" s="308"/>
      <c r="C8307" s="308" t="s">
        <v>32742</v>
      </c>
      <c r="D8307" s="308">
        <f>IFERROR(__xludf.DUMMYFUNCTION("SPLIT(C8307,""-"")"),8327.0)</f>
        <v>8327</v>
      </c>
      <c r="E8307" s="308" t="str">
        <f>IFERROR(__xludf.DUMMYFUNCTION("""COMPUTED_VALUE"""),"I")</f>
        <v>I</v>
      </c>
      <c r="F8307" s="309" t="s">
        <v>31</v>
      </c>
      <c r="G8307" s="308"/>
      <c r="H8307" s="308" t="s">
        <v>32743</v>
      </c>
      <c r="I8307" s="310">
        <v>44532.0</v>
      </c>
      <c r="J8307" s="319">
        <f>IFERROR(__xludf.DUMMYFUNCTION("SPLIT(I8307,""/"")"),2.0)</f>
        <v>2</v>
      </c>
      <c r="K8307" s="308">
        <f>IFERROR(__xludf.DUMMYFUNCTION("""COMPUTED_VALUE"""),12.0)</f>
        <v>12</v>
      </c>
      <c r="L8307" s="308">
        <f>IFERROR(__xludf.DUMMYFUNCTION("""COMPUTED_VALUE"""),2021.0)</f>
        <v>2021</v>
      </c>
      <c r="M8307" s="308" t="s">
        <v>32744</v>
      </c>
      <c r="N8307" s="308" t="s">
        <v>32745</v>
      </c>
      <c r="O8307" s="308"/>
      <c r="P8307" s="308" t="s">
        <v>136</v>
      </c>
      <c r="Q8307" s="308" t="s">
        <v>40196</v>
      </c>
      <c r="R8307" s="308" t="s">
        <v>2743</v>
      </c>
      <c r="S8307" s="315" t="s">
        <v>100</v>
      </c>
      <c r="T8307" s="308" t="s">
        <v>34208</v>
      </c>
      <c r="U8307" s="308" t="s">
        <v>31</v>
      </c>
      <c r="V8307" s="308"/>
    </row>
    <row r="8308">
      <c r="A8308" s="308"/>
      <c r="B8308" s="308"/>
      <c r="C8308" s="308" t="s">
        <v>32746</v>
      </c>
      <c r="D8308" s="308">
        <f>IFERROR(__xludf.DUMMYFUNCTION("SPLIT(C8308,""-"")"),8328.0)</f>
        <v>8328</v>
      </c>
      <c r="E8308" s="308" t="str">
        <f>IFERROR(__xludf.DUMMYFUNCTION("""COMPUTED_VALUE"""),"S")</f>
        <v>S</v>
      </c>
      <c r="F8308" s="312" t="s">
        <v>39</v>
      </c>
      <c r="G8308" s="308"/>
      <c r="H8308" s="308" t="s">
        <v>32747</v>
      </c>
      <c r="I8308" s="310">
        <v>44296.0</v>
      </c>
      <c r="J8308" s="319">
        <f>IFERROR(__xludf.DUMMYFUNCTION("SPLIT(I8308,""/"")"),10.0)</f>
        <v>10</v>
      </c>
      <c r="K8308" s="308">
        <f>IFERROR(__xludf.DUMMYFUNCTION("""COMPUTED_VALUE"""),4.0)</f>
        <v>4</v>
      </c>
      <c r="L8308" s="308">
        <f>IFERROR(__xludf.DUMMYFUNCTION("""COMPUTED_VALUE"""),2021.0)</f>
        <v>2021</v>
      </c>
      <c r="M8308" s="308" t="s">
        <v>32748</v>
      </c>
      <c r="N8308" s="308" t="s">
        <v>32740</v>
      </c>
      <c r="O8308" s="308"/>
      <c r="P8308" s="308" t="s">
        <v>136</v>
      </c>
      <c r="Q8308" s="308" t="s">
        <v>40196</v>
      </c>
      <c r="R8308" s="308" t="s">
        <v>2743</v>
      </c>
      <c r="S8308" s="315" t="s">
        <v>100</v>
      </c>
      <c r="T8308" s="308" t="s">
        <v>34208</v>
      </c>
      <c r="U8308" s="308" t="s">
        <v>166</v>
      </c>
      <c r="V8308" s="308"/>
    </row>
    <row r="8309">
      <c r="A8309" s="308"/>
      <c r="B8309" s="308"/>
      <c r="C8309" s="308" t="s">
        <v>32749</v>
      </c>
      <c r="D8309" s="308">
        <f>IFERROR(__xludf.DUMMYFUNCTION("SPLIT(C8309,""-"")"),8329.0)</f>
        <v>8329</v>
      </c>
      <c r="E8309" s="308" t="str">
        <f>IFERROR(__xludf.DUMMYFUNCTION("""COMPUTED_VALUE"""),"I")</f>
        <v>I</v>
      </c>
      <c r="F8309" s="309" t="s">
        <v>31</v>
      </c>
      <c r="G8309" s="308"/>
      <c r="H8309" s="308" t="s">
        <v>32750</v>
      </c>
      <c r="I8309" s="310">
        <v>40914.0</v>
      </c>
      <c r="J8309" s="319">
        <f>IFERROR(__xludf.DUMMYFUNCTION("SPLIT(I8309,""/"")"),6.0)</f>
        <v>6</v>
      </c>
      <c r="K8309" s="308">
        <f>IFERROR(__xludf.DUMMYFUNCTION("""COMPUTED_VALUE"""),1.0)</f>
        <v>1</v>
      </c>
      <c r="L8309" s="308">
        <f>IFERROR(__xludf.DUMMYFUNCTION("""COMPUTED_VALUE"""),2012.0)</f>
        <v>2012</v>
      </c>
      <c r="M8309" s="308" t="s">
        <v>40197</v>
      </c>
      <c r="N8309" s="308" t="s">
        <v>439</v>
      </c>
      <c r="O8309" s="308"/>
      <c r="P8309" s="308" t="s">
        <v>136</v>
      </c>
      <c r="Q8309" s="308" t="s">
        <v>40196</v>
      </c>
      <c r="R8309" s="308" t="s">
        <v>2743</v>
      </c>
      <c r="S8309" s="315" t="s">
        <v>100</v>
      </c>
      <c r="T8309" s="308" t="s">
        <v>34208</v>
      </c>
      <c r="U8309" s="308" t="s">
        <v>31</v>
      </c>
      <c r="V8309" s="308"/>
    </row>
    <row r="8310">
      <c r="A8310" s="308"/>
      <c r="B8310" s="308"/>
      <c r="C8310" s="308" t="s">
        <v>32752</v>
      </c>
      <c r="D8310" s="308">
        <f>IFERROR(__xludf.DUMMYFUNCTION("SPLIT(C8310,""-"")"),8330.0)</f>
        <v>8330</v>
      </c>
      <c r="E8310" s="308" t="str">
        <f>IFERROR(__xludf.DUMMYFUNCTION("""COMPUTED_VALUE"""),"B")</f>
        <v>B</v>
      </c>
      <c r="F8310" s="315" t="s">
        <v>26</v>
      </c>
      <c r="G8310" s="308"/>
      <c r="H8310" s="308" t="s">
        <v>32753</v>
      </c>
      <c r="I8310" s="310">
        <v>44462.0</v>
      </c>
      <c r="J8310" s="319">
        <f>IFERROR(__xludf.DUMMYFUNCTION("SPLIT(I8310,""/"")"),23.0)</f>
        <v>23</v>
      </c>
      <c r="K8310" s="308">
        <f>IFERROR(__xludf.DUMMYFUNCTION("""COMPUTED_VALUE"""),9.0)</f>
        <v>9</v>
      </c>
      <c r="L8310" s="308">
        <f>IFERROR(__xludf.DUMMYFUNCTION("""COMPUTED_VALUE"""),2021.0)</f>
        <v>2021</v>
      </c>
      <c r="M8310" s="308" t="s">
        <v>32754</v>
      </c>
      <c r="N8310" s="308" t="s">
        <v>32755</v>
      </c>
      <c r="O8310" s="308"/>
      <c r="P8310" s="308" t="s">
        <v>136</v>
      </c>
      <c r="Q8310" s="308" t="s">
        <v>40196</v>
      </c>
      <c r="R8310" s="308" t="s">
        <v>2743</v>
      </c>
      <c r="S8310" s="315" t="s">
        <v>100</v>
      </c>
      <c r="T8310" s="308" t="s">
        <v>34208</v>
      </c>
      <c r="U8310" s="308" t="s">
        <v>32175</v>
      </c>
      <c r="V8310" s="308"/>
    </row>
    <row r="8311">
      <c r="A8311" s="308"/>
      <c r="B8311" s="308"/>
      <c r="C8311" s="308" t="s">
        <v>32756</v>
      </c>
      <c r="D8311" s="308">
        <f>IFERROR(__xludf.DUMMYFUNCTION("SPLIT(C8311,""-"")"),8331.0)</f>
        <v>8331</v>
      </c>
      <c r="E8311" s="308" t="str">
        <f>IFERROR(__xludf.DUMMYFUNCTION("""COMPUTED_VALUE"""),"P")</f>
        <v>P</v>
      </c>
      <c r="F8311" s="312" t="s">
        <v>37</v>
      </c>
      <c r="G8311" s="308"/>
      <c r="H8311" s="308" t="s">
        <v>32757</v>
      </c>
      <c r="I8311" s="314">
        <v>44547.0</v>
      </c>
      <c r="J8311" s="319">
        <f>IFERROR(__xludf.DUMMYFUNCTION("SPLIT(I8311,""/"")"),17.0)</f>
        <v>17</v>
      </c>
      <c r="K8311" s="308">
        <f>IFERROR(__xludf.DUMMYFUNCTION("""COMPUTED_VALUE"""),12.0)</f>
        <v>12</v>
      </c>
      <c r="L8311" s="308">
        <f>IFERROR(__xludf.DUMMYFUNCTION("""COMPUTED_VALUE"""),2021.0)</f>
        <v>2021</v>
      </c>
      <c r="M8311" s="308" t="s">
        <v>32758</v>
      </c>
      <c r="N8311" s="308" t="s">
        <v>32759</v>
      </c>
      <c r="O8311" s="308"/>
      <c r="P8311" s="308" t="s">
        <v>32760</v>
      </c>
      <c r="Q8311" s="308" t="s">
        <v>40198</v>
      </c>
      <c r="R8311" s="308" t="s">
        <v>2743</v>
      </c>
      <c r="S8311" s="308" t="s">
        <v>81</v>
      </c>
      <c r="T8311" s="311" t="s">
        <v>51</v>
      </c>
      <c r="U8311" s="308" t="s">
        <v>10808</v>
      </c>
      <c r="V8311" s="308"/>
    </row>
    <row r="8312">
      <c r="A8312" s="308"/>
      <c r="B8312" s="308"/>
      <c r="C8312" s="308" t="s">
        <v>32761</v>
      </c>
      <c r="D8312" s="308">
        <f>IFERROR(__xludf.DUMMYFUNCTION("SPLIT(C8312,""-"")"),8332.0)</f>
        <v>8332</v>
      </c>
      <c r="E8312" s="308" t="str">
        <f>IFERROR(__xludf.DUMMYFUNCTION("""COMPUTED_VALUE"""),"P")</f>
        <v>P</v>
      </c>
      <c r="F8312" s="312" t="s">
        <v>37</v>
      </c>
      <c r="G8312" s="308"/>
      <c r="H8312" s="308" t="s">
        <v>32762</v>
      </c>
      <c r="I8312" s="314">
        <v>44547.0</v>
      </c>
      <c r="J8312" s="319">
        <f>IFERROR(__xludf.DUMMYFUNCTION("SPLIT(I8312,""/"")"),17.0)</f>
        <v>17</v>
      </c>
      <c r="K8312" s="308">
        <f>IFERROR(__xludf.DUMMYFUNCTION("""COMPUTED_VALUE"""),12.0)</f>
        <v>12</v>
      </c>
      <c r="L8312" s="308">
        <f>IFERROR(__xludf.DUMMYFUNCTION("""COMPUTED_VALUE"""),2021.0)</f>
        <v>2021</v>
      </c>
      <c r="M8312" s="308" t="s">
        <v>32763</v>
      </c>
      <c r="N8312" s="308" t="s">
        <v>439</v>
      </c>
      <c r="O8312" s="308"/>
      <c r="P8312" s="308" t="s">
        <v>32764</v>
      </c>
      <c r="Q8312" s="308" t="s">
        <v>40198</v>
      </c>
      <c r="R8312" s="308" t="s">
        <v>2743</v>
      </c>
      <c r="S8312" s="308" t="s">
        <v>81</v>
      </c>
      <c r="T8312" s="308" t="s">
        <v>75</v>
      </c>
      <c r="U8312" s="308" t="s">
        <v>18270</v>
      </c>
      <c r="V8312" s="308"/>
    </row>
    <row r="8313">
      <c r="A8313" s="308"/>
      <c r="B8313" s="308"/>
      <c r="C8313" s="308" t="s">
        <v>32765</v>
      </c>
      <c r="D8313" s="308">
        <f>IFERROR(__xludf.DUMMYFUNCTION("SPLIT(C8313,""-"")"),8333.0)</f>
        <v>8333</v>
      </c>
      <c r="E8313" s="308" t="str">
        <f>IFERROR(__xludf.DUMMYFUNCTION("""COMPUTED_VALUE"""),"P")</f>
        <v>P</v>
      </c>
      <c r="F8313" s="312" t="s">
        <v>37</v>
      </c>
      <c r="G8313" s="308"/>
      <c r="H8313" s="308" t="s">
        <v>32766</v>
      </c>
      <c r="I8313" s="314">
        <v>44545.0</v>
      </c>
      <c r="J8313" s="319">
        <f>IFERROR(__xludf.DUMMYFUNCTION("SPLIT(I8313,""/"")"),15.0)</f>
        <v>15</v>
      </c>
      <c r="K8313" s="308">
        <f>IFERROR(__xludf.DUMMYFUNCTION("""COMPUTED_VALUE"""),12.0)</f>
        <v>12</v>
      </c>
      <c r="L8313" s="308">
        <f>IFERROR(__xludf.DUMMYFUNCTION("""COMPUTED_VALUE"""),2021.0)</f>
        <v>2021</v>
      </c>
      <c r="M8313" s="308" t="s">
        <v>32767</v>
      </c>
      <c r="N8313" s="308" t="s">
        <v>439</v>
      </c>
      <c r="O8313" s="308"/>
      <c r="P8313" s="308" t="s">
        <v>40199</v>
      </c>
      <c r="Q8313" s="308" t="s">
        <v>40198</v>
      </c>
      <c r="R8313" s="308" t="s">
        <v>2743</v>
      </c>
      <c r="S8313" s="308" t="s">
        <v>81</v>
      </c>
      <c r="T8313" s="311" t="s">
        <v>96</v>
      </c>
      <c r="U8313" s="308" t="s">
        <v>40200</v>
      </c>
      <c r="V8313" s="308"/>
    </row>
    <row r="8314">
      <c r="A8314" s="308"/>
      <c r="B8314" s="308"/>
      <c r="C8314" s="308" t="s">
        <v>32770</v>
      </c>
      <c r="D8314" s="308">
        <f>IFERROR(__xludf.DUMMYFUNCTION("SPLIT(C8314,""-"")"),8334.0)</f>
        <v>8334</v>
      </c>
      <c r="E8314" s="308" t="str">
        <f>IFERROR(__xludf.DUMMYFUNCTION("""COMPUTED_VALUE"""),"B")</f>
        <v>B</v>
      </c>
      <c r="F8314" s="315" t="s">
        <v>26</v>
      </c>
      <c r="G8314" s="308"/>
      <c r="H8314" s="308" t="s">
        <v>32771</v>
      </c>
      <c r="I8314" s="310">
        <v>42846.0</v>
      </c>
      <c r="J8314" s="319">
        <f>IFERROR(__xludf.DUMMYFUNCTION("SPLIT(I8314,""/"")"),21.0)</f>
        <v>21</v>
      </c>
      <c r="K8314" s="308">
        <f>IFERROR(__xludf.DUMMYFUNCTION("""COMPUTED_VALUE"""),4.0)</f>
        <v>4</v>
      </c>
      <c r="L8314" s="308">
        <f>IFERROR(__xludf.DUMMYFUNCTION("""COMPUTED_VALUE"""),2017.0)</f>
        <v>2017</v>
      </c>
      <c r="M8314" s="308" t="s">
        <v>32772</v>
      </c>
      <c r="N8314" s="308" t="s">
        <v>439</v>
      </c>
      <c r="O8314" s="308"/>
      <c r="P8314" s="308" t="s">
        <v>32773</v>
      </c>
      <c r="Q8314" s="308" t="s">
        <v>40198</v>
      </c>
      <c r="R8314" s="308" t="s">
        <v>32774</v>
      </c>
      <c r="S8314" s="308" t="s">
        <v>81</v>
      </c>
      <c r="T8314" s="308" t="s">
        <v>75</v>
      </c>
      <c r="U8314" s="308" t="s">
        <v>27</v>
      </c>
      <c r="V8314" s="308"/>
    </row>
    <row r="8315">
      <c r="A8315" s="308"/>
      <c r="B8315" s="308"/>
      <c r="C8315" s="308" t="s">
        <v>32775</v>
      </c>
      <c r="D8315" s="308">
        <f>IFERROR(__xludf.DUMMYFUNCTION("SPLIT(C8315,""-"")"),8335.0)</f>
        <v>8335</v>
      </c>
      <c r="E8315" s="308" t="str">
        <f>IFERROR(__xludf.DUMMYFUNCTION("""COMPUTED_VALUE"""),"B")</f>
        <v>B</v>
      </c>
      <c r="F8315" s="315" t="s">
        <v>26</v>
      </c>
      <c r="G8315" s="308"/>
      <c r="H8315" s="308" t="s">
        <v>32776</v>
      </c>
      <c r="I8315" s="310">
        <v>42846.0</v>
      </c>
      <c r="J8315" s="319">
        <f>IFERROR(__xludf.DUMMYFUNCTION("SPLIT(I8315,""/"")"),21.0)</f>
        <v>21</v>
      </c>
      <c r="K8315" s="308">
        <f>IFERROR(__xludf.DUMMYFUNCTION("""COMPUTED_VALUE"""),4.0)</f>
        <v>4</v>
      </c>
      <c r="L8315" s="308">
        <f>IFERROR(__xludf.DUMMYFUNCTION("""COMPUTED_VALUE"""),2017.0)</f>
        <v>2017</v>
      </c>
      <c r="M8315" s="308" t="s">
        <v>32772</v>
      </c>
      <c r="N8315" s="308" t="s">
        <v>439</v>
      </c>
      <c r="O8315" s="308"/>
      <c r="P8315" s="308" t="s">
        <v>32777</v>
      </c>
      <c r="Q8315" s="308" t="s">
        <v>40201</v>
      </c>
      <c r="R8315" s="308" t="s">
        <v>32774</v>
      </c>
      <c r="S8315" s="308" t="s">
        <v>81</v>
      </c>
      <c r="T8315" s="308" t="s">
        <v>75</v>
      </c>
      <c r="U8315" s="308" t="s">
        <v>27</v>
      </c>
      <c r="V8315" s="308"/>
    </row>
    <row r="8316">
      <c r="A8316" s="308"/>
      <c r="B8316" s="308"/>
      <c r="C8316" s="308" t="s">
        <v>32778</v>
      </c>
      <c r="D8316" s="308">
        <f>IFERROR(__xludf.DUMMYFUNCTION("SPLIT(C8316,""-"")"),8336.0)</f>
        <v>8336</v>
      </c>
      <c r="E8316" s="308" t="str">
        <f>IFERROR(__xludf.DUMMYFUNCTION("""COMPUTED_VALUE"""),"B")</f>
        <v>B</v>
      </c>
      <c r="F8316" s="315" t="s">
        <v>26</v>
      </c>
      <c r="G8316" s="308"/>
      <c r="H8316" s="308"/>
      <c r="I8316" s="322"/>
      <c r="J8316" s="319"/>
      <c r="K8316" s="308"/>
      <c r="L8316" s="311" t="s">
        <v>79</v>
      </c>
      <c r="M8316" s="308"/>
      <c r="N8316" s="308"/>
      <c r="O8316" s="308"/>
      <c r="P8316" s="308"/>
      <c r="Q8316" s="308" t="s">
        <v>40202</v>
      </c>
      <c r="R8316" s="308" t="s">
        <v>32774</v>
      </c>
      <c r="S8316" s="308" t="s">
        <v>79</v>
      </c>
      <c r="T8316" s="308" t="s">
        <v>79</v>
      </c>
      <c r="U8316" s="308" t="s">
        <v>27</v>
      </c>
      <c r="V8316" s="308"/>
    </row>
    <row r="8317">
      <c r="A8317" s="308"/>
      <c r="B8317" s="308"/>
      <c r="C8317" s="308" t="s">
        <v>32779</v>
      </c>
      <c r="D8317" s="308">
        <f>IFERROR(__xludf.DUMMYFUNCTION("SPLIT(C8317,""-"")"),8337.0)</f>
        <v>8337</v>
      </c>
      <c r="E8317" s="308" t="str">
        <f>IFERROR(__xludf.DUMMYFUNCTION("""COMPUTED_VALUE"""),"B")</f>
        <v>B</v>
      </c>
      <c r="F8317" s="315" t="s">
        <v>26</v>
      </c>
      <c r="G8317" s="308"/>
      <c r="H8317" s="308" t="s">
        <v>32780</v>
      </c>
      <c r="I8317" s="310">
        <v>42846.0</v>
      </c>
      <c r="J8317" s="319">
        <f>IFERROR(__xludf.DUMMYFUNCTION("SPLIT(I8317,""/"")"),21.0)</f>
        <v>21</v>
      </c>
      <c r="K8317" s="308">
        <f>IFERROR(__xludf.DUMMYFUNCTION("""COMPUTED_VALUE"""),4.0)</f>
        <v>4</v>
      </c>
      <c r="L8317" s="308">
        <f>IFERROR(__xludf.DUMMYFUNCTION("""COMPUTED_VALUE"""),2017.0)</f>
        <v>2017</v>
      </c>
      <c r="M8317" s="308" t="s">
        <v>32772</v>
      </c>
      <c r="N8317" s="308" t="s">
        <v>439</v>
      </c>
      <c r="O8317" s="308"/>
      <c r="P8317" s="308" t="s">
        <v>32781</v>
      </c>
      <c r="Q8317" s="308" t="s">
        <v>40203</v>
      </c>
      <c r="R8317" s="308" t="s">
        <v>32774</v>
      </c>
      <c r="S8317" s="308" t="s">
        <v>81</v>
      </c>
      <c r="T8317" s="308" t="s">
        <v>75</v>
      </c>
      <c r="U8317" s="308" t="s">
        <v>27</v>
      </c>
      <c r="V8317" s="308"/>
    </row>
    <row r="8318">
      <c r="A8318" s="308"/>
      <c r="B8318" s="308"/>
      <c r="C8318" s="308" t="s">
        <v>32782</v>
      </c>
      <c r="D8318" s="308">
        <f>IFERROR(__xludf.DUMMYFUNCTION("SPLIT(C8318,""-"")"),8338.0)</f>
        <v>8338</v>
      </c>
      <c r="E8318" s="308" t="str">
        <f>IFERROR(__xludf.DUMMYFUNCTION("""COMPUTED_VALUE"""),"B")</f>
        <v>B</v>
      </c>
      <c r="F8318" s="315" t="s">
        <v>26</v>
      </c>
      <c r="G8318" s="308"/>
      <c r="H8318" s="308" t="s">
        <v>32783</v>
      </c>
      <c r="I8318" s="310">
        <v>42846.0</v>
      </c>
      <c r="J8318" s="319">
        <f>IFERROR(__xludf.DUMMYFUNCTION("SPLIT(I8318,""/"")"),21.0)</f>
        <v>21</v>
      </c>
      <c r="K8318" s="308">
        <f>IFERROR(__xludf.DUMMYFUNCTION("""COMPUTED_VALUE"""),4.0)</f>
        <v>4</v>
      </c>
      <c r="L8318" s="308">
        <f>IFERROR(__xludf.DUMMYFUNCTION("""COMPUTED_VALUE"""),2017.0)</f>
        <v>2017</v>
      </c>
      <c r="M8318" s="308" t="s">
        <v>32772</v>
      </c>
      <c r="N8318" s="308" t="s">
        <v>439</v>
      </c>
      <c r="O8318" s="308"/>
      <c r="P8318" s="308" t="s">
        <v>32784</v>
      </c>
      <c r="Q8318" s="308" t="s">
        <v>40204</v>
      </c>
      <c r="R8318" s="308" t="s">
        <v>32774</v>
      </c>
      <c r="S8318" s="308" t="s">
        <v>81</v>
      </c>
      <c r="T8318" s="308" t="s">
        <v>75</v>
      </c>
      <c r="U8318" s="308" t="s">
        <v>27</v>
      </c>
      <c r="V8318" s="308"/>
    </row>
    <row r="8319">
      <c r="A8319" s="308"/>
      <c r="B8319" s="308"/>
      <c r="C8319" s="308" t="s">
        <v>32785</v>
      </c>
      <c r="D8319" s="308">
        <f>IFERROR(__xludf.DUMMYFUNCTION("SPLIT(C8319,""-"")"),8339.0)</f>
        <v>8339</v>
      </c>
      <c r="E8319" s="308" t="str">
        <f>IFERROR(__xludf.DUMMYFUNCTION("""COMPUTED_VALUE"""),"B")</f>
        <v>B</v>
      </c>
      <c r="F8319" s="315" t="s">
        <v>26</v>
      </c>
      <c r="G8319" s="308"/>
      <c r="H8319" s="308" t="s">
        <v>32786</v>
      </c>
      <c r="I8319" s="310">
        <v>42846.0</v>
      </c>
      <c r="J8319" s="319">
        <f>IFERROR(__xludf.DUMMYFUNCTION("SPLIT(I8319,""/"")"),21.0)</f>
        <v>21</v>
      </c>
      <c r="K8319" s="308">
        <f>IFERROR(__xludf.DUMMYFUNCTION("""COMPUTED_VALUE"""),4.0)</f>
        <v>4</v>
      </c>
      <c r="L8319" s="308">
        <f>IFERROR(__xludf.DUMMYFUNCTION("""COMPUTED_VALUE"""),2017.0)</f>
        <v>2017</v>
      </c>
      <c r="M8319" s="308" t="s">
        <v>32772</v>
      </c>
      <c r="N8319" s="308" t="s">
        <v>439</v>
      </c>
      <c r="O8319" s="308"/>
      <c r="P8319" s="308" t="s">
        <v>32787</v>
      </c>
      <c r="Q8319" s="308" t="s">
        <v>40205</v>
      </c>
      <c r="R8319" s="308" t="s">
        <v>32774</v>
      </c>
      <c r="S8319" s="308" t="s">
        <v>81</v>
      </c>
      <c r="T8319" s="308" t="s">
        <v>75</v>
      </c>
      <c r="U8319" s="308" t="s">
        <v>27</v>
      </c>
      <c r="V8319" s="308"/>
    </row>
    <row r="8320">
      <c r="A8320" s="308"/>
      <c r="B8320" s="308"/>
      <c r="C8320" s="308" t="s">
        <v>32788</v>
      </c>
      <c r="D8320" s="308">
        <f>IFERROR(__xludf.DUMMYFUNCTION("SPLIT(C8320,""-"")"),8340.0)</f>
        <v>8340</v>
      </c>
      <c r="E8320" s="308" t="str">
        <f>IFERROR(__xludf.DUMMYFUNCTION("""COMPUTED_VALUE"""),"B")</f>
        <v>B</v>
      </c>
      <c r="F8320" s="315" t="s">
        <v>26</v>
      </c>
      <c r="G8320" s="308"/>
      <c r="H8320" s="308" t="s">
        <v>32789</v>
      </c>
      <c r="I8320" s="310">
        <v>42846.0</v>
      </c>
      <c r="J8320" s="319">
        <f>IFERROR(__xludf.DUMMYFUNCTION("SPLIT(I8320,""/"")"),21.0)</f>
        <v>21</v>
      </c>
      <c r="K8320" s="308">
        <f>IFERROR(__xludf.DUMMYFUNCTION("""COMPUTED_VALUE"""),4.0)</f>
        <v>4</v>
      </c>
      <c r="L8320" s="308">
        <f>IFERROR(__xludf.DUMMYFUNCTION("""COMPUTED_VALUE"""),2017.0)</f>
        <v>2017</v>
      </c>
      <c r="M8320" s="308" t="s">
        <v>32772</v>
      </c>
      <c r="N8320" s="308"/>
      <c r="O8320" s="308"/>
      <c r="P8320" s="308" t="s">
        <v>32790</v>
      </c>
      <c r="Q8320" s="308"/>
      <c r="R8320" s="308" t="s">
        <v>32774</v>
      </c>
      <c r="S8320" s="308" t="s">
        <v>81</v>
      </c>
      <c r="T8320" s="308" t="s">
        <v>75</v>
      </c>
      <c r="U8320" s="308" t="s">
        <v>27</v>
      </c>
      <c r="V8320" s="308"/>
    </row>
    <row r="8321">
      <c r="A8321" s="308"/>
      <c r="B8321" s="308"/>
      <c r="C8321" s="308" t="s">
        <v>32791</v>
      </c>
      <c r="D8321" s="308">
        <f>IFERROR(__xludf.DUMMYFUNCTION("SPLIT(C8321,""-"")"),8341.0)</f>
        <v>8341</v>
      </c>
      <c r="E8321" s="308" t="str">
        <f>IFERROR(__xludf.DUMMYFUNCTION("""COMPUTED_VALUE"""),"B")</f>
        <v>B</v>
      </c>
      <c r="F8321" s="315" t="s">
        <v>26</v>
      </c>
      <c r="G8321" s="308"/>
      <c r="H8321" s="308" t="s">
        <v>32792</v>
      </c>
      <c r="I8321" s="310">
        <v>42846.0</v>
      </c>
      <c r="J8321" s="319">
        <f>IFERROR(__xludf.DUMMYFUNCTION("SPLIT(I8321,""/"")"),21.0)</f>
        <v>21</v>
      </c>
      <c r="K8321" s="308">
        <f>IFERROR(__xludf.DUMMYFUNCTION("""COMPUTED_VALUE"""),4.0)</f>
        <v>4</v>
      </c>
      <c r="L8321" s="308">
        <f>IFERROR(__xludf.DUMMYFUNCTION("""COMPUTED_VALUE"""),2017.0)</f>
        <v>2017</v>
      </c>
      <c r="M8321" s="308" t="s">
        <v>32772</v>
      </c>
      <c r="N8321" s="308"/>
      <c r="O8321" s="308"/>
      <c r="P8321" s="308" t="s">
        <v>32793</v>
      </c>
      <c r="Q8321" s="308"/>
      <c r="R8321" s="308" t="s">
        <v>32774</v>
      </c>
      <c r="S8321" s="308" t="s">
        <v>81</v>
      </c>
      <c r="T8321" s="308" t="s">
        <v>75</v>
      </c>
      <c r="U8321" s="308" t="s">
        <v>27</v>
      </c>
      <c r="V8321" s="308"/>
    </row>
    <row r="8322">
      <c r="A8322" s="308"/>
      <c r="B8322" s="308"/>
      <c r="C8322" s="308" t="s">
        <v>32794</v>
      </c>
      <c r="D8322" s="308">
        <f>IFERROR(__xludf.DUMMYFUNCTION("SPLIT(C8322,""-"")"),8342.0)</f>
        <v>8342</v>
      </c>
      <c r="E8322" s="308" t="str">
        <f>IFERROR(__xludf.DUMMYFUNCTION("""COMPUTED_VALUE"""),"B")</f>
        <v>B</v>
      </c>
      <c r="F8322" s="315" t="s">
        <v>26</v>
      </c>
      <c r="G8322" s="308"/>
      <c r="H8322" s="308" t="s">
        <v>32795</v>
      </c>
      <c r="I8322" s="310">
        <v>42892.0</v>
      </c>
      <c r="J8322" s="319">
        <f>IFERROR(__xludf.DUMMYFUNCTION("SPLIT(I8322,""/"")"),6.0)</f>
        <v>6</v>
      </c>
      <c r="K8322" s="308">
        <f>IFERROR(__xludf.DUMMYFUNCTION("""COMPUTED_VALUE"""),6.0)</f>
        <v>6</v>
      </c>
      <c r="L8322" s="308">
        <f>IFERROR(__xludf.DUMMYFUNCTION("""COMPUTED_VALUE"""),2017.0)</f>
        <v>2017</v>
      </c>
      <c r="M8322" s="308" t="s">
        <v>32772</v>
      </c>
      <c r="N8322" s="308"/>
      <c r="O8322" s="308"/>
      <c r="P8322" s="308" t="s">
        <v>32796</v>
      </c>
      <c r="Q8322" s="308"/>
      <c r="R8322" s="308" t="s">
        <v>32774</v>
      </c>
      <c r="S8322" s="308" t="s">
        <v>81</v>
      </c>
      <c r="T8322" s="308" t="s">
        <v>75</v>
      </c>
      <c r="U8322" s="308" t="s">
        <v>27</v>
      </c>
      <c r="V8322" s="308"/>
    </row>
    <row r="8323">
      <c r="A8323" s="308"/>
      <c r="B8323" s="308"/>
      <c r="C8323" s="308" t="s">
        <v>32797</v>
      </c>
      <c r="D8323" s="308">
        <f>IFERROR(__xludf.DUMMYFUNCTION("SPLIT(C8323,""-"")"),8343.0)</f>
        <v>8343</v>
      </c>
      <c r="E8323" s="308" t="str">
        <f>IFERROR(__xludf.DUMMYFUNCTION("""COMPUTED_VALUE"""),"B")</f>
        <v>B</v>
      </c>
      <c r="F8323" s="315" t="s">
        <v>26</v>
      </c>
      <c r="G8323" s="308"/>
      <c r="H8323" s="308" t="s">
        <v>32798</v>
      </c>
      <c r="I8323" s="310">
        <v>38403.0</v>
      </c>
      <c r="J8323" s="319">
        <f>IFERROR(__xludf.DUMMYFUNCTION("SPLIT(I8323,""/"")"),20.0)</f>
        <v>20</v>
      </c>
      <c r="K8323" s="308">
        <f>IFERROR(__xludf.DUMMYFUNCTION("""COMPUTED_VALUE"""),2.0)</f>
        <v>2</v>
      </c>
      <c r="L8323" s="308">
        <f>IFERROR(__xludf.DUMMYFUNCTION("""COMPUTED_VALUE"""),2005.0)</f>
        <v>2005</v>
      </c>
      <c r="M8323" s="308" t="s">
        <v>32799</v>
      </c>
      <c r="N8323" s="308"/>
      <c r="O8323" s="308"/>
      <c r="P8323" s="308" t="s">
        <v>32800</v>
      </c>
      <c r="Q8323" s="308"/>
      <c r="R8323" s="308" t="s">
        <v>32774</v>
      </c>
      <c r="S8323" s="308" t="s">
        <v>81</v>
      </c>
      <c r="T8323" s="308" t="s">
        <v>75</v>
      </c>
      <c r="U8323" s="308" t="s">
        <v>27</v>
      </c>
      <c r="V8323" s="308"/>
    </row>
    <row r="8324">
      <c r="A8324" s="308"/>
      <c r="B8324" s="308"/>
      <c r="C8324" s="308" t="s">
        <v>32801</v>
      </c>
      <c r="D8324" s="308">
        <f>IFERROR(__xludf.DUMMYFUNCTION("SPLIT(C8324,""-"")"),8344.0)</f>
        <v>8344</v>
      </c>
      <c r="E8324" s="308" t="str">
        <f>IFERROR(__xludf.DUMMYFUNCTION("""COMPUTED_VALUE"""),"B")</f>
        <v>B</v>
      </c>
      <c r="F8324" s="315" t="s">
        <v>26</v>
      </c>
      <c r="G8324" s="308"/>
      <c r="H8324" s="308" t="s">
        <v>32802</v>
      </c>
      <c r="I8324" s="310">
        <v>38768.0</v>
      </c>
      <c r="J8324" s="319">
        <f>IFERROR(__xludf.DUMMYFUNCTION("SPLIT(I8324,""/"")"),20.0)</f>
        <v>20</v>
      </c>
      <c r="K8324" s="308">
        <f>IFERROR(__xludf.DUMMYFUNCTION("""COMPUTED_VALUE"""),2.0)</f>
        <v>2</v>
      </c>
      <c r="L8324" s="308">
        <f>IFERROR(__xludf.DUMMYFUNCTION("""COMPUTED_VALUE"""),2006.0)</f>
        <v>2006</v>
      </c>
      <c r="M8324" s="308" t="s">
        <v>32803</v>
      </c>
      <c r="N8324" s="308"/>
      <c r="O8324" s="308"/>
      <c r="P8324" s="308" t="s">
        <v>32804</v>
      </c>
      <c r="Q8324" s="308"/>
      <c r="R8324" s="308" t="s">
        <v>32774</v>
      </c>
      <c r="S8324" s="308" t="s">
        <v>81</v>
      </c>
      <c r="T8324" s="308" t="s">
        <v>75</v>
      </c>
      <c r="U8324" s="308" t="s">
        <v>27</v>
      </c>
      <c r="V8324" s="308"/>
    </row>
    <row r="8325">
      <c r="A8325" s="308"/>
      <c r="B8325" s="308"/>
      <c r="C8325" s="308" t="s">
        <v>32805</v>
      </c>
      <c r="D8325" s="308">
        <f>IFERROR(__xludf.DUMMYFUNCTION("SPLIT(C8325,""-"")"),8345.0)</f>
        <v>8345</v>
      </c>
      <c r="E8325" s="308" t="str">
        <f>IFERROR(__xludf.DUMMYFUNCTION("""COMPUTED_VALUE"""),"B")</f>
        <v>B</v>
      </c>
      <c r="F8325" s="315" t="s">
        <v>26</v>
      </c>
      <c r="G8325" s="308"/>
      <c r="H8325" s="308" t="s">
        <v>32806</v>
      </c>
      <c r="I8325" s="310">
        <v>38768.0</v>
      </c>
      <c r="J8325" s="319">
        <f>IFERROR(__xludf.DUMMYFUNCTION("SPLIT(I8325,""/"")"),20.0)</f>
        <v>20</v>
      </c>
      <c r="K8325" s="308">
        <f>IFERROR(__xludf.DUMMYFUNCTION("""COMPUTED_VALUE"""),2.0)</f>
        <v>2</v>
      </c>
      <c r="L8325" s="308">
        <f>IFERROR(__xludf.DUMMYFUNCTION("""COMPUTED_VALUE"""),2006.0)</f>
        <v>2006</v>
      </c>
      <c r="M8325" s="308" t="s">
        <v>32807</v>
      </c>
      <c r="N8325" s="308"/>
      <c r="O8325" s="308"/>
      <c r="P8325" s="308" t="s">
        <v>32808</v>
      </c>
      <c r="Q8325" s="308"/>
      <c r="R8325" s="308" t="s">
        <v>32774</v>
      </c>
      <c r="S8325" s="308" t="s">
        <v>81</v>
      </c>
      <c r="T8325" s="308" t="s">
        <v>75</v>
      </c>
      <c r="U8325" s="308" t="s">
        <v>27</v>
      </c>
      <c r="V8325" s="308"/>
    </row>
    <row r="8326">
      <c r="A8326" s="308"/>
      <c r="B8326" s="308"/>
      <c r="C8326" s="308" t="s">
        <v>32809</v>
      </c>
      <c r="D8326" s="308">
        <f>IFERROR(__xludf.DUMMYFUNCTION("SPLIT(C8326,""-"")"),8346.0)</f>
        <v>8346</v>
      </c>
      <c r="E8326" s="308" t="str">
        <f>IFERROR(__xludf.DUMMYFUNCTION("""COMPUTED_VALUE"""),"B")</f>
        <v>B</v>
      </c>
      <c r="F8326" s="315" t="s">
        <v>26</v>
      </c>
      <c r="G8326" s="308"/>
      <c r="H8326" s="308" t="s">
        <v>32810</v>
      </c>
      <c r="I8326" s="310">
        <v>38768.0</v>
      </c>
      <c r="J8326" s="319">
        <f>IFERROR(__xludf.DUMMYFUNCTION("SPLIT(I8326,""/"")"),20.0)</f>
        <v>20</v>
      </c>
      <c r="K8326" s="308">
        <f>IFERROR(__xludf.DUMMYFUNCTION("""COMPUTED_VALUE"""),2.0)</f>
        <v>2</v>
      </c>
      <c r="L8326" s="308">
        <f>IFERROR(__xludf.DUMMYFUNCTION("""COMPUTED_VALUE"""),2006.0)</f>
        <v>2006</v>
      </c>
      <c r="M8326" s="308" t="s">
        <v>32811</v>
      </c>
      <c r="N8326" s="308"/>
      <c r="O8326" s="308"/>
      <c r="P8326" s="308" t="s">
        <v>32812</v>
      </c>
      <c r="Q8326" s="308"/>
      <c r="R8326" s="308" t="s">
        <v>32774</v>
      </c>
      <c r="S8326" s="308" t="s">
        <v>81</v>
      </c>
      <c r="T8326" s="308" t="s">
        <v>75</v>
      </c>
      <c r="U8326" s="308" t="s">
        <v>27</v>
      </c>
      <c r="V8326" s="308"/>
    </row>
    <row r="8327">
      <c r="A8327" s="308"/>
      <c r="B8327" s="308"/>
      <c r="C8327" s="308" t="s">
        <v>32813</v>
      </c>
      <c r="D8327" s="308">
        <f>IFERROR(__xludf.DUMMYFUNCTION("SPLIT(C8327,""-"")"),8347.0)</f>
        <v>8347</v>
      </c>
      <c r="E8327" s="308" t="str">
        <f>IFERROR(__xludf.DUMMYFUNCTION("""COMPUTED_VALUE"""),"B")</f>
        <v>B</v>
      </c>
      <c r="F8327" s="315" t="s">
        <v>26</v>
      </c>
      <c r="G8327" s="308"/>
      <c r="H8327" s="308" t="s">
        <v>32814</v>
      </c>
      <c r="I8327" s="314">
        <v>39840.0</v>
      </c>
      <c r="J8327" s="319">
        <f>IFERROR(__xludf.DUMMYFUNCTION("SPLIT(I8327,""/"")"),27.0)</f>
        <v>27</v>
      </c>
      <c r="K8327" s="308">
        <f>IFERROR(__xludf.DUMMYFUNCTION("""COMPUTED_VALUE"""),1.0)</f>
        <v>1</v>
      </c>
      <c r="L8327" s="308">
        <f>IFERROR(__xludf.DUMMYFUNCTION("""COMPUTED_VALUE"""),2009.0)</f>
        <v>2009</v>
      </c>
      <c r="M8327" s="308" t="s">
        <v>32815</v>
      </c>
      <c r="N8327" s="308"/>
      <c r="O8327" s="308"/>
      <c r="P8327" s="308" t="s">
        <v>32816</v>
      </c>
      <c r="Q8327" s="308"/>
      <c r="R8327" s="308" t="s">
        <v>32774</v>
      </c>
      <c r="S8327" s="308" t="s">
        <v>81</v>
      </c>
      <c r="T8327" s="308" t="s">
        <v>75</v>
      </c>
      <c r="U8327" s="308" t="s">
        <v>27</v>
      </c>
      <c r="V8327" s="308"/>
    </row>
    <row r="8328">
      <c r="A8328" s="308"/>
      <c r="B8328" s="308"/>
      <c r="C8328" s="308" t="s">
        <v>32817</v>
      </c>
      <c r="D8328" s="308">
        <f>IFERROR(__xludf.DUMMYFUNCTION("SPLIT(C8328,""-"")"),8348.0)</f>
        <v>8348</v>
      </c>
      <c r="E8328" s="308" t="str">
        <f>IFERROR(__xludf.DUMMYFUNCTION("""COMPUTED_VALUE"""),"B")</f>
        <v>B</v>
      </c>
      <c r="F8328" s="315" t="s">
        <v>26</v>
      </c>
      <c r="G8328" s="308"/>
      <c r="H8328" s="308" t="s">
        <v>32818</v>
      </c>
      <c r="I8328" s="310">
        <v>40183.0</v>
      </c>
      <c r="J8328" s="319">
        <f>IFERROR(__xludf.DUMMYFUNCTION("SPLIT(I8328,""/"")"),5.0)</f>
        <v>5</v>
      </c>
      <c r="K8328" s="308">
        <f>IFERROR(__xludf.DUMMYFUNCTION("""COMPUTED_VALUE"""),1.0)</f>
        <v>1</v>
      </c>
      <c r="L8328" s="308">
        <f>IFERROR(__xludf.DUMMYFUNCTION("""COMPUTED_VALUE"""),2010.0)</f>
        <v>2010</v>
      </c>
      <c r="M8328" s="308" t="s">
        <v>32819</v>
      </c>
      <c r="N8328" s="308"/>
      <c r="O8328" s="308"/>
      <c r="P8328" s="308" t="s">
        <v>32820</v>
      </c>
      <c r="Q8328" s="308"/>
      <c r="R8328" s="308" t="s">
        <v>32774</v>
      </c>
      <c r="S8328" s="308" t="s">
        <v>81</v>
      </c>
      <c r="T8328" s="308" t="s">
        <v>75</v>
      </c>
      <c r="U8328" s="308" t="s">
        <v>27</v>
      </c>
      <c r="V8328" s="308"/>
    </row>
    <row r="8329">
      <c r="A8329" s="308"/>
      <c r="B8329" s="308"/>
      <c r="C8329" s="308" t="s">
        <v>32821</v>
      </c>
      <c r="D8329" s="308">
        <f>IFERROR(__xludf.DUMMYFUNCTION("SPLIT(C8329,""-"")"),8349.0)</f>
        <v>8349</v>
      </c>
      <c r="E8329" s="308" t="str">
        <f>IFERROR(__xludf.DUMMYFUNCTION("""COMPUTED_VALUE"""),"B")</f>
        <v>B</v>
      </c>
      <c r="F8329" s="315" t="s">
        <v>26</v>
      </c>
      <c r="G8329" s="308"/>
      <c r="H8329" s="308" t="s">
        <v>32822</v>
      </c>
      <c r="I8329" s="310">
        <v>40730.0</v>
      </c>
      <c r="J8329" s="319">
        <f>IFERROR(__xludf.DUMMYFUNCTION("SPLIT(I8329,""/"")"),6.0)</f>
        <v>6</v>
      </c>
      <c r="K8329" s="308">
        <f>IFERROR(__xludf.DUMMYFUNCTION("""COMPUTED_VALUE"""),7.0)</f>
        <v>7</v>
      </c>
      <c r="L8329" s="308">
        <f>IFERROR(__xludf.DUMMYFUNCTION("""COMPUTED_VALUE"""),2011.0)</f>
        <v>2011</v>
      </c>
      <c r="M8329" s="308" t="s">
        <v>32823</v>
      </c>
      <c r="N8329" s="308"/>
      <c r="O8329" s="308"/>
      <c r="P8329" s="308" t="s">
        <v>32824</v>
      </c>
      <c r="Q8329" s="308"/>
      <c r="R8329" s="308" t="s">
        <v>32774</v>
      </c>
      <c r="S8329" s="308" t="s">
        <v>81</v>
      </c>
      <c r="T8329" s="308" t="s">
        <v>75</v>
      </c>
      <c r="U8329" s="308" t="s">
        <v>27</v>
      </c>
      <c r="V8329" s="308"/>
    </row>
    <row r="8330">
      <c r="A8330" s="308"/>
      <c r="B8330" s="308"/>
      <c r="C8330" s="308" t="s">
        <v>32825</v>
      </c>
      <c r="D8330" s="308">
        <f>IFERROR(__xludf.DUMMYFUNCTION("SPLIT(C8330,""-"")"),8350.0)</f>
        <v>8350</v>
      </c>
      <c r="E8330" s="308" t="str">
        <f>IFERROR(__xludf.DUMMYFUNCTION("""COMPUTED_VALUE"""),"B")</f>
        <v>B</v>
      </c>
      <c r="F8330" s="315" t="s">
        <v>26</v>
      </c>
      <c r="G8330" s="308"/>
      <c r="H8330" s="308" t="s">
        <v>32826</v>
      </c>
      <c r="I8330" s="314">
        <v>40721.0</v>
      </c>
      <c r="J8330" s="319">
        <f>IFERROR(__xludf.DUMMYFUNCTION("SPLIT(I8330,""/"")"),27.0)</f>
        <v>27</v>
      </c>
      <c r="K8330" s="308">
        <f>IFERROR(__xludf.DUMMYFUNCTION("""COMPUTED_VALUE"""),6.0)</f>
        <v>6</v>
      </c>
      <c r="L8330" s="308">
        <f>IFERROR(__xludf.DUMMYFUNCTION("""COMPUTED_VALUE"""),2011.0)</f>
        <v>2011</v>
      </c>
      <c r="M8330" s="308" t="s">
        <v>32827</v>
      </c>
      <c r="N8330" s="308"/>
      <c r="O8330" s="308"/>
      <c r="P8330" s="308" t="s">
        <v>32828</v>
      </c>
      <c r="Q8330" s="308"/>
      <c r="R8330" s="308" t="s">
        <v>32774</v>
      </c>
      <c r="S8330" s="308" t="s">
        <v>81</v>
      </c>
      <c r="T8330" s="308" t="s">
        <v>75</v>
      </c>
      <c r="U8330" s="308" t="s">
        <v>27</v>
      </c>
      <c r="V8330" s="308"/>
    </row>
    <row r="8331">
      <c r="A8331" s="308"/>
      <c r="B8331" s="308"/>
      <c r="C8331" s="308" t="s">
        <v>32829</v>
      </c>
      <c r="D8331" s="308">
        <f>IFERROR(__xludf.DUMMYFUNCTION("SPLIT(C8331,""-"")"),8351.0)</f>
        <v>8351</v>
      </c>
      <c r="E8331" s="308" t="str">
        <f>IFERROR(__xludf.DUMMYFUNCTION("""COMPUTED_VALUE"""),"B")</f>
        <v>B</v>
      </c>
      <c r="F8331" s="315" t="s">
        <v>26</v>
      </c>
      <c r="G8331" s="308"/>
      <c r="H8331" s="308" t="s">
        <v>32830</v>
      </c>
      <c r="I8331" s="310">
        <v>41030.0</v>
      </c>
      <c r="J8331" s="319">
        <f>IFERROR(__xludf.DUMMYFUNCTION("SPLIT(I8331,""/"")"),1.0)</f>
        <v>1</v>
      </c>
      <c r="K8331" s="308">
        <f>IFERROR(__xludf.DUMMYFUNCTION("""COMPUTED_VALUE"""),5.0)</f>
        <v>5</v>
      </c>
      <c r="L8331" s="308">
        <f>IFERROR(__xludf.DUMMYFUNCTION("""COMPUTED_VALUE"""),2012.0)</f>
        <v>2012</v>
      </c>
      <c r="M8331" s="308" t="s">
        <v>32827</v>
      </c>
      <c r="N8331" s="308"/>
      <c r="O8331" s="308"/>
      <c r="P8331" s="308" t="s">
        <v>32831</v>
      </c>
      <c r="Q8331" s="308"/>
      <c r="R8331" s="308" t="s">
        <v>32774</v>
      </c>
      <c r="S8331" s="308" t="s">
        <v>81</v>
      </c>
      <c r="T8331" s="308" t="s">
        <v>75</v>
      </c>
      <c r="U8331" s="308" t="s">
        <v>27</v>
      </c>
      <c r="V8331" s="308"/>
    </row>
    <row r="8332">
      <c r="A8332" s="308"/>
      <c r="B8332" s="308"/>
      <c r="C8332" s="308" t="s">
        <v>32832</v>
      </c>
      <c r="D8332" s="308">
        <f>IFERROR(__xludf.DUMMYFUNCTION("SPLIT(C8332,""-"")"),8352.0)</f>
        <v>8352</v>
      </c>
      <c r="E8332" s="308" t="str">
        <f>IFERROR(__xludf.DUMMYFUNCTION("""COMPUTED_VALUE"""),"B")</f>
        <v>B</v>
      </c>
      <c r="F8332" s="315" t="s">
        <v>26</v>
      </c>
      <c r="G8332" s="308"/>
      <c r="H8332" s="308" t="s">
        <v>32833</v>
      </c>
      <c r="I8332" s="310">
        <v>41030.0</v>
      </c>
      <c r="J8332" s="319">
        <f>IFERROR(__xludf.DUMMYFUNCTION("SPLIT(I8332,""/"")"),1.0)</f>
        <v>1</v>
      </c>
      <c r="K8332" s="308">
        <f>IFERROR(__xludf.DUMMYFUNCTION("""COMPUTED_VALUE"""),5.0)</f>
        <v>5</v>
      </c>
      <c r="L8332" s="308">
        <f>IFERROR(__xludf.DUMMYFUNCTION("""COMPUTED_VALUE"""),2012.0)</f>
        <v>2012</v>
      </c>
      <c r="M8332" s="308" t="s">
        <v>32827</v>
      </c>
      <c r="N8332" s="308"/>
      <c r="O8332" s="308"/>
      <c r="P8332" s="308" t="s">
        <v>32834</v>
      </c>
      <c r="Q8332" s="308"/>
      <c r="R8332" s="308" t="s">
        <v>32774</v>
      </c>
      <c r="S8332" s="308" t="s">
        <v>81</v>
      </c>
      <c r="T8332" s="308" t="s">
        <v>75</v>
      </c>
      <c r="U8332" s="308" t="s">
        <v>27</v>
      </c>
      <c r="V8332" s="308"/>
    </row>
    <row r="8333">
      <c r="A8333" s="308"/>
      <c r="B8333" s="308"/>
      <c r="C8333" s="308" t="s">
        <v>32835</v>
      </c>
      <c r="D8333" s="308">
        <f>IFERROR(__xludf.DUMMYFUNCTION("SPLIT(C8333,""-"")"),8353.0)</f>
        <v>8353</v>
      </c>
      <c r="E8333" s="308" t="str">
        <f>IFERROR(__xludf.DUMMYFUNCTION("""COMPUTED_VALUE"""),"B")</f>
        <v>B</v>
      </c>
      <c r="F8333" s="315" t="s">
        <v>26</v>
      </c>
      <c r="G8333" s="308"/>
      <c r="H8333" s="308" t="s">
        <v>32836</v>
      </c>
      <c r="I8333" s="314">
        <v>41204.0</v>
      </c>
      <c r="J8333" s="319">
        <f>IFERROR(__xludf.DUMMYFUNCTION("SPLIT(I8333,""/"")"),22.0)</f>
        <v>22</v>
      </c>
      <c r="K8333" s="308">
        <f>IFERROR(__xludf.DUMMYFUNCTION("""COMPUTED_VALUE"""),10.0)</f>
        <v>10</v>
      </c>
      <c r="L8333" s="308">
        <f>IFERROR(__xludf.DUMMYFUNCTION("""COMPUTED_VALUE"""),2012.0)</f>
        <v>2012</v>
      </c>
      <c r="M8333" s="308" t="s">
        <v>32837</v>
      </c>
      <c r="N8333" s="308"/>
      <c r="O8333" s="308"/>
      <c r="P8333" s="308" t="s">
        <v>32838</v>
      </c>
      <c r="Q8333" s="308"/>
      <c r="R8333" s="308" t="s">
        <v>32774</v>
      </c>
      <c r="S8333" s="308" t="s">
        <v>81</v>
      </c>
      <c r="T8333" s="308" t="s">
        <v>75</v>
      </c>
      <c r="U8333" s="308" t="s">
        <v>27</v>
      </c>
      <c r="V8333" s="308"/>
    </row>
    <row r="8334">
      <c r="A8334" s="308"/>
      <c r="B8334" s="308"/>
      <c r="C8334" s="308" t="s">
        <v>32839</v>
      </c>
      <c r="D8334" s="308">
        <f>IFERROR(__xludf.DUMMYFUNCTION("SPLIT(C8334,""-"")"),8354.0)</f>
        <v>8354</v>
      </c>
      <c r="E8334" s="308" t="str">
        <f>IFERROR(__xludf.DUMMYFUNCTION("""COMPUTED_VALUE"""),"B")</f>
        <v>B</v>
      </c>
      <c r="F8334" s="315" t="s">
        <v>26</v>
      </c>
      <c r="G8334" s="308"/>
      <c r="H8334" s="308" t="s">
        <v>32840</v>
      </c>
      <c r="I8334" s="314">
        <v>41238.0</v>
      </c>
      <c r="J8334" s="319">
        <f>IFERROR(__xludf.DUMMYFUNCTION("SPLIT(I8334,""/"")"),25.0)</f>
        <v>25</v>
      </c>
      <c r="K8334" s="308">
        <f>IFERROR(__xludf.DUMMYFUNCTION("""COMPUTED_VALUE"""),11.0)</f>
        <v>11</v>
      </c>
      <c r="L8334" s="308">
        <f>IFERROR(__xludf.DUMMYFUNCTION("""COMPUTED_VALUE"""),2012.0)</f>
        <v>2012</v>
      </c>
      <c r="M8334" s="308" t="s">
        <v>32841</v>
      </c>
      <c r="N8334" s="308"/>
      <c r="O8334" s="308"/>
      <c r="P8334" s="308" t="s">
        <v>32842</v>
      </c>
      <c r="Q8334" s="308"/>
      <c r="R8334" s="308" t="s">
        <v>32774</v>
      </c>
      <c r="S8334" s="308" t="s">
        <v>81</v>
      </c>
      <c r="T8334" s="308" t="s">
        <v>75</v>
      </c>
      <c r="U8334" s="308" t="s">
        <v>27</v>
      </c>
      <c r="V8334" s="308"/>
    </row>
    <row r="8335">
      <c r="A8335" s="308"/>
      <c r="B8335" s="308"/>
      <c r="C8335" s="308" t="s">
        <v>32843</v>
      </c>
      <c r="D8335" s="308">
        <f>IFERROR(__xludf.DUMMYFUNCTION("SPLIT(C8335,""-"")"),8355.0)</f>
        <v>8355</v>
      </c>
      <c r="E8335" s="308" t="str">
        <f>IFERROR(__xludf.DUMMYFUNCTION("""COMPUTED_VALUE"""),"B")</f>
        <v>B</v>
      </c>
      <c r="F8335" s="315" t="s">
        <v>26</v>
      </c>
      <c r="G8335" s="308"/>
      <c r="H8335" s="308" t="s">
        <v>30655</v>
      </c>
      <c r="I8335" s="310">
        <v>41426.0</v>
      </c>
      <c r="J8335" s="319">
        <f>IFERROR(__xludf.DUMMYFUNCTION("SPLIT(I8335,""/"")"),1.0)</f>
        <v>1</v>
      </c>
      <c r="K8335" s="308">
        <f>IFERROR(__xludf.DUMMYFUNCTION("""COMPUTED_VALUE"""),6.0)</f>
        <v>6</v>
      </c>
      <c r="L8335" s="308">
        <f>IFERROR(__xludf.DUMMYFUNCTION("""COMPUTED_VALUE"""),2013.0)</f>
        <v>2013</v>
      </c>
      <c r="M8335" s="308" t="s">
        <v>32823</v>
      </c>
      <c r="N8335" s="308"/>
      <c r="O8335" s="308"/>
      <c r="P8335" s="308" t="s">
        <v>32844</v>
      </c>
      <c r="Q8335" s="308"/>
      <c r="R8335" s="308" t="s">
        <v>32774</v>
      </c>
      <c r="S8335" s="308" t="s">
        <v>81</v>
      </c>
      <c r="T8335" s="308" t="s">
        <v>75</v>
      </c>
      <c r="U8335" s="308" t="s">
        <v>27</v>
      </c>
      <c r="V8335" s="308"/>
    </row>
    <row r="8336">
      <c r="A8336" s="308"/>
      <c r="B8336" s="308"/>
      <c r="C8336" s="308" t="s">
        <v>32845</v>
      </c>
      <c r="D8336" s="308">
        <f>IFERROR(__xludf.DUMMYFUNCTION("SPLIT(C8336,""-"")"),8356.0)</f>
        <v>8356</v>
      </c>
      <c r="E8336" s="308" t="str">
        <f>IFERROR(__xludf.DUMMYFUNCTION("""COMPUTED_VALUE"""),"B")</f>
        <v>B</v>
      </c>
      <c r="F8336" s="315" t="s">
        <v>26</v>
      </c>
      <c r="G8336" s="308"/>
      <c r="H8336" s="308" t="s">
        <v>32846</v>
      </c>
      <c r="I8336" s="314">
        <v>41932.0</v>
      </c>
      <c r="J8336" s="319">
        <f>IFERROR(__xludf.DUMMYFUNCTION("SPLIT(I8336,""/"")"),20.0)</f>
        <v>20</v>
      </c>
      <c r="K8336" s="308">
        <f>IFERROR(__xludf.DUMMYFUNCTION("""COMPUTED_VALUE"""),10.0)</f>
        <v>10</v>
      </c>
      <c r="L8336" s="308">
        <f>IFERROR(__xludf.DUMMYFUNCTION("""COMPUTED_VALUE"""),2014.0)</f>
        <v>2014</v>
      </c>
      <c r="M8336" s="308" t="s">
        <v>32847</v>
      </c>
      <c r="N8336" s="308"/>
      <c r="O8336" s="308"/>
      <c r="P8336" s="308" t="s">
        <v>32848</v>
      </c>
      <c r="Q8336" s="308"/>
      <c r="R8336" s="308" t="s">
        <v>32774</v>
      </c>
      <c r="S8336" s="308" t="s">
        <v>81</v>
      </c>
      <c r="T8336" s="308" t="s">
        <v>75</v>
      </c>
      <c r="U8336" s="308" t="s">
        <v>27</v>
      </c>
      <c r="V8336" s="308"/>
    </row>
    <row r="8337">
      <c r="A8337" s="308"/>
      <c r="B8337" s="308"/>
      <c r="C8337" s="308" t="s">
        <v>32849</v>
      </c>
      <c r="D8337" s="308">
        <f>IFERROR(__xludf.DUMMYFUNCTION("SPLIT(C8337,""-"")"),8357.0)</f>
        <v>8357</v>
      </c>
      <c r="E8337" s="308" t="str">
        <f>IFERROR(__xludf.DUMMYFUNCTION("""COMPUTED_VALUE"""),"B")</f>
        <v>B</v>
      </c>
      <c r="F8337" s="315" t="s">
        <v>26</v>
      </c>
      <c r="G8337" s="308"/>
      <c r="H8337" s="308" t="s">
        <v>32850</v>
      </c>
      <c r="I8337" s="314">
        <v>41932.0</v>
      </c>
      <c r="J8337" s="319">
        <f>IFERROR(__xludf.DUMMYFUNCTION("SPLIT(I8337,""/"")"),20.0)</f>
        <v>20</v>
      </c>
      <c r="K8337" s="308">
        <f>IFERROR(__xludf.DUMMYFUNCTION("""COMPUTED_VALUE"""),10.0)</f>
        <v>10</v>
      </c>
      <c r="L8337" s="308">
        <f>IFERROR(__xludf.DUMMYFUNCTION("""COMPUTED_VALUE"""),2014.0)</f>
        <v>2014</v>
      </c>
      <c r="M8337" s="308" t="s">
        <v>32847</v>
      </c>
      <c r="N8337" s="308"/>
      <c r="O8337" s="308"/>
      <c r="P8337" s="308" t="s">
        <v>32851</v>
      </c>
      <c r="Q8337" s="308"/>
      <c r="R8337" s="308" t="s">
        <v>32774</v>
      </c>
      <c r="S8337" s="308" t="s">
        <v>81</v>
      </c>
      <c r="T8337" s="308" t="s">
        <v>75</v>
      </c>
      <c r="U8337" s="308" t="s">
        <v>27</v>
      </c>
      <c r="V8337" s="308"/>
    </row>
    <row r="8338">
      <c r="A8338" s="308"/>
      <c r="B8338" s="308"/>
      <c r="C8338" s="308" t="s">
        <v>32852</v>
      </c>
      <c r="D8338" s="308">
        <f>IFERROR(__xludf.DUMMYFUNCTION("SPLIT(C8338,""-"")"),8358.0)</f>
        <v>8358</v>
      </c>
      <c r="E8338" s="308" t="str">
        <f>IFERROR(__xludf.DUMMYFUNCTION("""COMPUTED_VALUE"""),"B")</f>
        <v>B</v>
      </c>
      <c r="F8338" s="315" t="s">
        <v>26</v>
      </c>
      <c r="G8338" s="308"/>
      <c r="H8338" s="308" t="s">
        <v>32853</v>
      </c>
      <c r="I8338" s="314">
        <v>41932.0</v>
      </c>
      <c r="J8338" s="319">
        <f>IFERROR(__xludf.DUMMYFUNCTION("SPLIT(I8338,""/"")"),20.0)</f>
        <v>20</v>
      </c>
      <c r="K8338" s="308">
        <f>IFERROR(__xludf.DUMMYFUNCTION("""COMPUTED_VALUE"""),10.0)</f>
        <v>10</v>
      </c>
      <c r="L8338" s="308">
        <f>IFERROR(__xludf.DUMMYFUNCTION("""COMPUTED_VALUE"""),2014.0)</f>
        <v>2014</v>
      </c>
      <c r="M8338" s="308" t="s">
        <v>32847</v>
      </c>
      <c r="N8338" s="308"/>
      <c r="O8338" s="308"/>
      <c r="P8338" s="308" t="s">
        <v>32854</v>
      </c>
      <c r="Q8338" s="308"/>
      <c r="R8338" s="308" t="s">
        <v>32774</v>
      </c>
      <c r="S8338" s="308" t="s">
        <v>81</v>
      </c>
      <c r="T8338" s="308" t="s">
        <v>75</v>
      </c>
      <c r="U8338" s="308" t="s">
        <v>27</v>
      </c>
      <c r="V8338" s="308"/>
    </row>
    <row r="8339">
      <c r="A8339" s="308"/>
      <c r="B8339" s="308"/>
      <c r="C8339" s="308" t="s">
        <v>32855</v>
      </c>
      <c r="D8339" s="308">
        <f>IFERROR(__xludf.DUMMYFUNCTION("SPLIT(C8339,""-"")"),8359.0)</f>
        <v>8359</v>
      </c>
      <c r="E8339" s="308" t="str">
        <f>IFERROR(__xludf.DUMMYFUNCTION("""COMPUTED_VALUE"""),"B")</f>
        <v>B</v>
      </c>
      <c r="F8339" s="315" t="s">
        <v>26</v>
      </c>
      <c r="G8339" s="308"/>
      <c r="H8339" s="308" t="s">
        <v>32856</v>
      </c>
      <c r="I8339" s="314">
        <v>41932.0</v>
      </c>
      <c r="J8339" s="319">
        <f>IFERROR(__xludf.DUMMYFUNCTION("SPLIT(I8339,""/"")"),20.0)</f>
        <v>20</v>
      </c>
      <c r="K8339" s="308">
        <f>IFERROR(__xludf.DUMMYFUNCTION("""COMPUTED_VALUE"""),10.0)</f>
        <v>10</v>
      </c>
      <c r="L8339" s="308">
        <f>IFERROR(__xludf.DUMMYFUNCTION("""COMPUTED_VALUE"""),2014.0)</f>
        <v>2014</v>
      </c>
      <c r="M8339" s="308" t="s">
        <v>32847</v>
      </c>
      <c r="N8339" s="308"/>
      <c r="O8339" s="308"/>
      <c r="P8339" s="308" t="s">
        <v>32857</v>
      </c>
      <c r="Q8339" s="308"/>
      <c r="R8339" s="308" t="s">
        <v>32774</v>
      </c>
      <c r="S8339" s="308" t="s">
        <v>81</v>
      </c>
      <c r="T8339" s="308" t="s">
        <v>75</v>
      </c>
      <c r="U8339" s="308" t="s">
        <v>27</v>
      </c>
      <c r="V8339" s="308"/>
    </row>
    <row r="8340">
      <c r="A8340" s="308"/>
      <c r="B8340" s="308"/>
      <c r="C8340" s="308" t="s">
        <v>32858</v>
      </c>
      <c r="D8340" s="308">
        <f>IFERROR(__xludf.DUMMYFUNCTION("SPLIT(C8340,""-"")"),8360.0)</f>
        <v>8360</v>
      </c>
      <c r="E8340" s="308" t="str">
        <f>IFERROR(__xludf.DUMMYFUNCTION("""COMPUTED_VALUE"""),"B")</f>
        <v>B</v>
      </c>
      <c r="F8340" s="315" t="s">
        <v>26</v>
      </c>
      <c r="G8340" s="308"/>
      <c r="H8340" s="308" t="s">
        <v>32859</v>
      </c>
      <c r="I8340" s="314">
        <v>41932.0</v>
      </c>
      <c r="J8340" s="319">
        <f>IFERROR(__xludf.DUMMYFUNCTION("SPLIT(I8340,""/"")"),20.0)</f>
        <v>20</v>
      </c>
      <c r="K8340" s="308">
        <f>IFERROR(__xludf.DUMMYFUNCTION("""COMPUTED_VALUE"""),10.0)</f>
        <v>10</v>
      </c>
      <c r="L8340" s="308">
        <f>IFERROR(__xludf.DUMMYFUNCTION("""COMPUTED_VALUE"""),2014.0)</f>
        <v>2014</v>
      </c>
      <c r="M8340" s="308" t="s">
        <v>32847</v>
      </c>
      <c r="N8340" s="308"/>
      <c r="O8340" s="308"/>
      <c r="P8340" s="308" t="s">
        <v>32860</v>
      </c>
      <c r="Q8340" s="308"/>
      <c r="R8340" s="308" t="s">
        <v>32774</v>
      </c>
      <c r="S8340" s="308" t="s">
        <v>81</v>
      </c>
      <c r="T8340" s="308" t="s">
        <v>75</v>
      </c>
      <c r="U8340" s="308" t="s">
        <v>27</v>
      </c>
      <c r="V8340" s="308"/>
    </row>
    <row r="8341">
      <c r="A8341" s="308"/>
      <c r="B8341" s="308"/>
      <c r="C8341" s="308" t="s">
        <v>32861</v>
      </c>
      <c r="D8341" s="308">
        <f>IFERROR(__xludf.DUMMYFUNCTION("SPLIT(C8341,""-"")"),8361.0)</f>
        <v>8361</v>
      </c>
      <c r="E8341" s="308" t="str">
        <f>IFERROR(__xludf.DUMMYFUNCTION("""COMPUTED_VALUE"""),"B")</f>
        <v>B</v>
      </c>
      <c r="F8341" s="315" t="s">
        <v>26</v>
      </c>
      <c r="G8341" s="308"/>
      <c r="H8341" s="308" t="s">
        <v>32862</v>
      </c>
      <c r="I8341" s="314">
        <v>41932.0</v>
      </c>
      <c r="J8341" s="319">
        <f>IFERROR(__xludf.DUMMYFUNCTION("SPLIT(I8341,""/"")"),20.0)</f>
        <v>20</v>
      </c>
      <c r="K8341" s="308">
        <f>IFERROR(__xludf.DUMMYFUNCTION("""COMPUTED_VALUE"""),10.0)</f>
        <v>10</v>
      </c>
      <c r="L8341" s="308">
        <f>IFERROR(__xludf.DUMMYFUNCTION("""COMPUTED_VALUE"""),2014.0)</f>
        <v>2014</v>
      </c>
      <c r="M8341" s="308" t="s">
        <v>32847</v>
      </c>
      <c r="N8341" s="308"/>
      <c r="O8341" s="308"/>
      <c r="P8341" s="308" t="s">
        <v>32863</v>
      </c>
      <c r="Q8341" s="308"/>
      <c r="R8341" s="308" t="s">
        <v>32774</v>
      </c>
      <c r="S8341" s="308" t="s">
        <v>81</v>
      </c>
      <c r="T8341" s="308" t="s">
        <v>75</v>
      </c>
      <c r="U8341" s="308" t="s">
        <v>27</v>
      </c>
      <c r="V8341" s="308"/>
    </row>
    <row r="8342">
      <c r="A8342" s="308"/>
      <c r="B8342" s="308"/>
      <c r="C8342" s="308" t="s">
        <v>32864</v>
      </c>
      <c r="D8342" s="308">
        <f>IFERROR(__xludf.DUMMYFUNCTION("SPLIT(C8342,""-"")"),8362.0)</f>
        <v>8362</v>
      </c>
      <c r="E8342" s="308" t="str">
        <f>IFERROR(__xludf.DUMMYFUNCTION("""COMPUTED_VALUE"""),"B")</f>
        <v>B</v>
      </c>
      <c r="F8342" s="315" t="s">
        <v>26</v>
      </c>
      <c r="G8342" s="308"/>
      <c r="H8342" s="308" t="s">
        <v>32865</v>
      </c>
      <c r="I8342" s="314">
        <v>41932.0</v>
      </c>
      <c r="J8342" s="319">
        <f>IFERROR(__xludf.DUMMYFUNCTION("SPLIT(I8342,""/"")"),20.0)</f>
        <v>20</v>
      </c>
      <c r="K8342" s="308">
        <f>IFERROR(__xludf.DUMMYFUNCTION("""COMPUTED_VALUE"""),10.0)</f>
        <v>10</v>
      </c>
      <c r="L8342" s="308">
        <f>IFERROR(__xludf.DUMMYFUNCTION("""COMPUTED_VALUE"""),2014.0)</f>
        <v>2014</v>
      </c>
      <c r="M8342" s="308" t="s">
        <v>32847</v>
      </c>
      <c r="N8342" s="308"/>
      <c r="O8342" s="308"/>
      <c r="P8342" s="308" t="s">
        <v>32866</v>
      </c>
      <c r="Q8342" s="308"/>
      <c r="R8342" s="308" t="s">
        <v>32774</v>
      </c>
      <c r="S8342" s="308" t="s">
        <v>81</v>
      </c>
      <c r="T8342" s="308" t="s">
        <v>75</v>
      </c>
      <c r="U8342" s="308" t="s">
        <v>27</v>
      </c>
      <c r="V8342" s="308"/>
    </row>
    <row r="8343">
      <c r="A8343" s="308"/>
      <c r="B8343" s="308"/>
      <c r="C8343" s="308" t="s">
        <v>32867</v>
      </c>
      <c r="D8343" s="308">
        <f>IFERROR(__xludf.DUMMYFUNCTION("SPLIT(C8343,""-"")"),8363.0)</f>
        <v>8363</v>
      </c>
      <c r="E8343" s="308" t="str">
        <f>IFERROR(__xludf.DUMMYFUNCTION("""COMPUTED_VALUE"""),"B")</f>
        <v>B</v>
      </c>
      <c r="F8343" s="315" t="s">
        <v>26</v>
      </c>
      <c r="G8343" s="308"/>
      <c r="H8343" s="308" t="s">
        <v>32868</v>
      </c>
      <c r="I8343" s="314">
        <v>41932.0</v>
      </c>
      <c r="J8343" s="319">
        <f>IFERROR(__xludf.DUMMYFUNCTION("SPLIT(I8343,""/"")"),20.0)</f>
        <v>20</v>
      </c>
      <c r="K8343" s="308">
        <f>IFERROR(__xludf.DUMMYFUNCTION("""COMPUTED_VALUE"""),10.0)</f>
        <v>10</v>
      </c>
      <c r="L8343" s="308">
        <f>IFERROR(__xludf.DUMMYFUNCTION("""COMPUTED_VALUE"""),2014.0)</f>
        <v>2014</v>
      </c>
      <c r="M8343" s="308" t="s">
        <v>32847</v>
      </c>
      <c r="N8343" s="308"/>
      <c r="O8343" s="308"/>
      <c r="P8343" s="308" t="s">
        <v>32869</v>
      </c>
      <c r="Q8343" s="308"/>
      <c r="R8343" s="308" t="s">
        <v>32774</v>
      </c>
      <c r="S8343" s="308" t="s">
        <v>81</v>
      </c>
      <c r="T8343" s="308" t="s">
        <v>75</v>
      </c>
      <c r="U8343" s="308" t="s">
        <v>27</v>
      </c>
      <c r="V8343" s="308"/>
    </row>
    <row r="8344">
      <c r="A8344" s="308"/>
      <c r="B8344" s="308"/>
      <c r="C8344" s="308" t="s">
        <v>32870</v>
      </c>
      <c r="D8344" s="308">
        <f>IFERROR(__xludf.DUMMYFUNCTION("SPLIT(C8344,""-"")"),8364.0)</f>
        <v>8364</v>
      </c>
      <c r="E8344" s="308" t="str">
        <f>IFERROR(__xludf.DUMMYFUNCTION("""COMPUTED_VALUE"""),"B")</f>
        <v>B</v>
      </c>
      <c r="F8344" s="315" t="s">
        <v>26</v>
      </c>
      <c r="G8344" s="308"/>
      <c r="H8344" s="308" t="s">
        <v>32871</v>
      </c>
      <c r="I8344" s="310">
        <v>38873.0</v>
      </c>
      <c r="J8344" s="319">
        <f>IFERROR(__xludf.DUMMYFUNCTION("SPLIT(I8344,""/"")"),5.0)</f>
        <v>5</v>
      </c>
      <c r="K8344" s="308">
        <f>IFERROR(__xludf.DUMMYFUNCTION("""COMPUTED_VALUE"""),6.0)</f>
        <v>6</v>
      </c>
      <c r="L8344" s="308">
        <f>IFERROR(__xludf.DUMMYFUNCTION("""COMPUTED_VALUE"""),2006.0)</f>
        <v>2006</v>
      </c>
      <c r="M8344" s="308" t="s">
        <v>32872</v>
      </c>
      <c r="N8344" s="308"/>
      <c r="O8344" s="308"/>
      <c r="P8344" s="308" t="s">
        <v>40206</v>
      </c>
      <c r="Q8344" s="308"/>
      <c r="R8344" s="308" t="s">
        <v>32774</v>
      </c>
      <c r="S8344" s="308" t="s">
        <v>81</v>
      </c>
      <c r="T8344" s="311" t="s">
        <v>96</v>
      </c>
      <c r="U8344" s="308" t="s">
        <v>27</v>
      </c>
      <c r="V8344" s="308"/>
    </row>
    <row r="8345">
      <c r="A8345" s="308"/>
      <c r="B8345" s="308"/>
      <c r="C8345" s="308" t="s">
        <v>32874</v>
      </c>
      <c r="D8345" s="308">
        <f>IFERROR(__xludf.DUMMYFUNCTION("SPLIT(C8345,""-"")"),8365.0)</f>
        <v>8365</v>
      </c>
      <c r="E8345" s="308" t="str">
        <f>IFERROR(__xludf.DUMMYFUNCTION("""COMPUTED_VALUE"""),"B")</f>
        <v>B</v>
      </c>
      <c r="F8345" s="315" t="s">
        <v>26</v>
      </c>
      <c r="G8345" s="308"/>
      <c r="H8345" s="308" t="s">
        <v>32875</v>
      </c>
      <c r="I8345" s="310">
        <v>39101.0</v>
      </c>
      <c r="J8345" s="319">
        <f>IFERROR(__xludf.DUMMYFUNCTION("SPLIT(I8345,""/"")"),19.0)</f>
        <v>19</v>
      </c>
      <c r="K8345" s="308">
        <f>IFERROR(__xludf.DUMMYFUNCTION("""COMPUTED_VALUE"""),1.0)</f>
        <v>1</v>
      </c>
      <c r="L8345" s="308">
        <f>IFERROR(__xludf.DUMMYFUNCTION("""COMPUTED_VALUE"""),2007.0)</f>
        <v>2007</v>
      </c>
      <c r="M8345" s="308" t="s">
        <v>32876</v>
      </c>
      <c r="N8345" s="308"/>
      <c r="O8345" s="308"/>
      <c r="P8345" s="308" t="s">
        <v>32877</v>
      </c>
      <c r="Q8345" s="308"/>
      <c r="R8345" s="308" t="s">
        <v>32774</v>
      </c>
      <c r="S8345" s="308" t="s">
        <v>81</v>
      </c>
      <c r="T8345" s="308" t="s">
        <v>75</v>
      </c>
      <c r="U8345" s="308" t="s">
        <v>27</v>
      </c>
      <c r="V8345" s="308"/>
    </row>
    <row r="8346">
      <c r="A8346" s="308"/>
      <c r="B8346" s="308"/>
      <c r="C8346" s="308" t="s">
        <v>32878</v>
      </c>
      <c r="D8346" s="308">
        <f>IFERROR(__xludf.DUMMYFUNCTION("SPLIT(C8346,""-"")"),8366.0)</f>
        <v>8366</v>
      </c>
      <c r="E8346" s="308" t="str">
        <f>IFERROR(__xludf.DUMMYFUNCTION("""COMPUTED_VALUE"""),"B")</f>
        <v>B</v>
      </c>
      <c r="F8346" s="315" t="s">
        <v>26</v>
      </c>
      <c r="G8346" s="308"/>
      <c r="H8346" s="308" t="s">
        <v>32879</v>
      </c>
      <c r="I8346" s="310">
        <v>39101.0</v>
      </c>
      <c r="J8346" s="319">
        <f>IFERROR(__xludf.DUMMYFUNCTION("SPLIT(I8346,""/"")"),19.0)</f>
        <v>19</v>
      </c>
      <c r="K8346" s="308">
        <f>IFERROR(__xludf.DUMMYFUNCTION("""COMPUTED_VALUE"""),1.0)</f>
        <v>1</v>
      </c>
      <c r="L8346" s="308">
        <f>IFERROR(__xludf.DUMMYFUNCTION("""COMPUTED_VALUE"""),2007.0)</f>
        <v>2007</v>
      </c>
      <c r="M8346" s="308" t="s">
        <v>32876</v>
      </c>
      <c r="N8346" s="308"/>
      <c r="O8346" s="308"/>
      <c r="P8346" s="308" t="s">
        <v>32880</v>
      </c>
      <c r="Q8346" s="308"/>
      <c r="R8346" s="308" t="s">
        <v>32774</v>
      </c>
      <c r="S8346" s="308" t="s">
        <v>81</v>
      </c>
      <c r="T8346" s="308" t="s">
        <v>75</v>
      </c>
      <c r="U8346" s="308" t="s">
        <v>27</v>
      </c>
      <c r="V8346" s="308"/>
    </row>
    <row r="8347">
      <c r="A8347" s="308"/>
      <c r="B8347" s="308"/>
      <c r="C8347" s="308" t="s">
        <v>32881</v>
      </c>
      <c r="D8347" s="308">
        <f>IFERROR(__xludf.DUMMYFUNCTION("SPLIT(C8347,""-"")"),8367.0)</f>
        <v>8367</v>
      </c>
      <c r="E8347" s="308" t="str">
        <f>IFERROR(__xludf.DUMMYFUNCTION("""COMPUTED_VALUE"""),"B")</f>
        <v>B</v>
      </c>
      <c r="F8347" s="315" t="s">
        <v>26</v>
      </c>
      <c r="G8347" s="308"/>
      <c r="H8347" s="308" t="s">
        <v>32882</v>
      </c>
      <c r="I8347" s="310">
        <v>39101.0</v>
      </c>
      <c r="J8347" s="319">
        <f>IFERROR(__xludf.DUMMYFUNCTION("SPLIT(I8347,""/"")"),19.0)</f>
        <v>19</v>
      </c>
      <c r="K8347" s="308">
        <f>IFERROR(__xludf.DUMMYFUNCTION("""COMPUTED_VALUE"""),1.0)</f>
        <v>1</v>
      </c>
      <c r="L8347" s="308">
        <f>IFERROR(__xludf.DUMMYFUNCTION("""COMPUTED_VALUE"""),2007.0)</f>
        <v>2007</v>
      </c>
      <c r="M8347" s="308" t="s">
        <v>32876</v>
      </c>
      <c r="N8347" s="308"/>
      <c r="O8347" s="308"/>
      <c r="P8347" s="308" t="s">
        <v>32883</v>
      </c>
      <c r="Q8347" s="308"/>
      <c r="R8347" s="308" t="s">
        <v>32774</v>
      </c>
      <c r="S8347" s="308" t="s">
        <v>81</v>
      </c>
      <c r="T8347" s="308" t="s">
        <v>75</v>
      </c>
      <c r="U8347" s="308" t="s">
        <v>27</v>
      </c>
      <c r="V8347" s="308"/>
    </row>
    <row r="8348">
      <c r="A8348" s="308"/>
      <c r="B8348" s="308"/>
      <c r="C8348" s="308" t="s">
        <v>32884</v>
      </c>
      <c r="D8348" s="308">
        <f>IFERROR(__xludf.DUMMYFUNCTION("SPLIT(C8348,""-"")"),8368.0)</f>
        <v>8368</v>
      </c>
      <c r="E8348" s="308" t="str">
        <f>IFERROR(__xludf.DUMMYFUNCTION("""COMPUTED_VALUE"""),"B")</f>
        <v>B</v>
      </c>
      <c r="F8348" s="315" t="s">
        <v>26</v>
      </c>
      <c r="G8348" s="308"/>
      <c r="H8348" s="308" t="s">
        <v>32885</v>
      </c>
      <c r="I8348" s="310">
        <v>39101.0</v>
      </c>
      <c r="J8348" s="319">
        <f>IFERROR(__xludf.DUMMYFUNCTION("SPLIT(I8348,""/"")"),19.0)</f>
        <v>19</v>
      </c>
      <c r="K8348" s="308">
        <f>IFERROR(__xludf.DUMMYFUNCTION("""COMPUTED_VALUE"""),1.0)</f>
        <v>1</v>
      </c>
      <c r="L8348" s="308">
        <f>IFERROR(__xludf.DUMMYFUNCTION("""COMPUTED_VALUE"""),2007.0)</f>
        <v>2007</v>
      </c>
      <c r="M8348" s="308" t="s">
        <v>32876</v>
      </c>
      <c r="N8348" s="308"/>
      <c r="O8348" s="308"/>
      <c r="P8348" s="308" t="s">
        <v>32886</v>
      </c>
      <c r="Q8348" s="308"/>
      <c r="R8348" s="308" t="s">
        <v>32774</v>
      </c>
      <c r="S8348" s="308" t="s">
        <v>81</v>
      </c>
      <c r="T8348" s="308" t="s">
        <v>75</v>
      </c>
      <c r="U8348" s="308" t="s">
        <v>27</v>
      </c>
      <c r="V8348" s="308"/>
    </row>
    <row r="8349">
      <c r="A8349" s="308"/>
      <c r="B8349" s="308"/>
      <c r="C8349" s="308" t="s">
        <v>32887</v>
      </c>
      <c r="D8349" s="308">
        <f>IFERROR(__xludf.DUMMYFUNCTION("SPLIT(C8349,""-"")"),8369.0)</f>
        <v>8369</v>
      </c>
      <c r="E8349" s="308" t="str">
        <f>IFERROR(__xludf.DUMMYFUNCTION("""COMPUTED_VALUE"""),"B")</f>
        <v>B</v>
      </c>
      <c r="F8349" s="315" t="s">
        <v>26</v>
      </c>
      <c r="G8349" s="308"/>
      <c r="H8349" s="308" t="s">
        <v>32888</v>
      </c>
      <c r="I8349" s="310">
        <v>39101.0</v>
      </c>
      <c r="J8349" s="319">
        <f>IFERROR(__xludf.DUMMYFUNCTION("SPLIT(I8349,""/"")"),19.0)</f>
        <v>19</v>
      </c>
      <c r="K8349" s="308">
        <f>IFERROR(__xludf.DUMMYFUNCTION("""COMPUTED_VALUE"""),1.0)</f>
        <v>1</v>
      </c>
      <c r="L8349" s="308">
        <f>IFERROR(__xludf.DUMMYFUNCTION("""COMPUTED_VALUE"""),2007.0)</f>
        <v>2007</v>
      </c>
      <c r="M8349" s="308" t="s">
        <v>32876</v>
      </c>
      <c r="N8349" s="308"/>
      <c r="O8349" s="308"/>
      <c r="P8349" s="308" t="s">
        <v>32889</v>
      </c>
      <c r="Q8349" s="308"/>
      <c r="R8349" s="308" t="s">
        <v>32774</v>
      </c>
      <c r="S8349" s="308" t="s">
        <v>81</v>
      </c>
      <c r="T8349" s="308" t="s">
        <v>75</v>
      </c>
      <c r="U8349" s="308" t="s">
        <v>27</v>
      </c>
      <c r="V8349" s="308"/>
    </row>
    <row r="8350">
      <c r="A8350" s="308"/>
      <c r="B8350" s="308"/>
      <c r="C8350" s="308" t="s">
        <v>32890</v>
      </c>
      <c r="D8350" s="308">
        <f>IFERROR(__xludf.DUMMYFUNCTION("SPLIT(C8350,""-"")"),8370.0)</f>
        <v>8370</v>
      </c>
      <c r="E8350" s="308" t="str">
        <f>IFERROR(__xludf.DUMMYFUNCTION("""COMPUTED_VALUE"""),"B")</f>
        <v>B</v>
      </c>
      <c r="F8350" s="315" t="s">
        <v>26</v>
      </c>
      <c r="G8350" s="308"/>
      <c r="H8350" s="308" t="s">
        <v>32891</v>
      </c>
      <c r="I8350" s="310">
        <v>39101.0</v>
      </c>
      <c r="J8350" s="319">
        <f>IFERROR(__xludf.DUMMYFUNCTION("SPLIT(I8350,""/"")"),19.0)</f>
        <v>19</v>
      </c>
      <c r="K8350" s="308">
        <f>IFERROR(__xludf.DUMMYFUNCTION("""COMPUTED_VALUE"""),1.0)</f>
        <v>1</v>
      </c>
      <c r="L8350" s="308">
        <f>IFERROR(__xludf.DUMMYFUNCTION("""COMPUTED_VALUE"""),2007.0)</f>
        <v>2007</v>
      </c>
      <c r="M8350" s="308" t="s">
        <v>32876</v>
      </c>
      <c r="N8350" s="308"/>
      <c r="O8350" s="308"/>
      <c r="P8350" s="308" t="s">
        <v>32892</v>
      </c>
      <c r="Q8350" s="308"/>
      <c r="R8350" s="308" t="s">
        <v>32774</v>
      </c>
      <c r="S8350" s="308" t="s">
        <v>81</v>
      </c>
      <c r="T8350" s="308" t="s">
        <v>75</v>
      </c>
      <c r="U8350" s="308" t="s">
        <v>27</v>
      </c>
      <c r="V8350" s="308"/>
    </row>
    <row r="8351">
      <c r="A8351" s="308"/>
      <c r="B8351" s="308"/>
      <c r="C8351" s="308" t="s">
        <v>32893</v>
      </c>
      <c r="D8351" s="308">
        <f>IFERROR(__xludf.DUMMYFUNCTION("SPLIT(C8351,""-"")"),8371.0)</f>
        <v>8371</v>
      </c>
      <c r="E8351" s="308" t="str">
        <f>IFERROR(__xludf.DUMMYFUNCTION("""COMPUTED_VALUE"""),"B")</f>
        <v>B</v>
      </c>
      <c r="F8351" s="315" t="s">
        <v>26</v>
      </c>
      <c r="G8351" s="308"/>
      <c r="H8351" s="308" t="s">
        <v>32894</v>
      </c>
      <c r="I8351" s="310">
        <v>39101.0</v>
      </c>
      <c r="J8351" s="319">
        <f>IFERROR(__xludf.DUMMYFUNCTION("SPLIT(I8351,""/"")"),19.0)</f>
        <v>19</v>
      </c>
      <c r="K8351" s="308">
        <f>IFERROR(__xludf.DUMMYFUNCTION("""COMPUTED_VALUE"""),1.0)</f>
        <v>1</v>
      </c>
      <c r="L8351" s="308">
        <f>IFERROR(__xludf.DUMMYFUNCTION("""COMPUTED_VALUE"""),2007.0)</f>
        <v>2007</v>
      </c>
      <c r="M8351" s="308" t="s">
        <v>32876</v>
      </c>
      <c r="N8351" s="308"/>
      <c r="O8351" s="308"/>
      <c r="P8351" s="308" t="s">
        <v>32895</v>
      </c>
      <c r="Q8351" s="308"/>
      <c r="R8351" s="308" t="s">
        <v>32774</v>
      </c>
      <c r="S8351" s="308" t="s">
        <v>81</v>
      </c>
      <c r="T8351" s="308" t="s">
        <v>75</v>
      </c>
      <c r="U8351" s="308" t="s">
        <v>27</v>
      </c>
      <c r="V8351" s="308"/>
    </row>
    <row r="8352">
      <c r="A8352" s="308"/>
      <c r="B8352" s="308"/>
      <c r="C8352" s="308" t="s">
        <v>32896</v>
      </c>
      <c r="D8352" s="308">
        <f>IFERROR(__xludf.DUMMYFUNCTION("SPLIT(C8352,""-"")"),8372.0)</f>
        <v>8372</v>
      </c>
      <c r="E8352" s="308" t="str">
        <f>IFERROR(__xludf.DUMMYFUNCTION("""COMPUTED_VALUE"""),"B")</f>
        <v>B</v>
      </c>
      <c r="F8352" s="315" t="s">
        <v>26</v>
      </c>
      <c r="G8352" s="308"/>
      <c r="H8352" s="308" t="s">
        <v>32897</v>
      </c>
      <c r="I8352" s="310">
        <v>39101.0</v>
      </c>
      <c r="J8352" s="319">
        <f>IFERROR(__xludf.DUMMYFUNCTION("SPLIT(I8352,""/"")"),19.0)</f>
        <v>19</v>
      </c>
      <c r="K8352" s="308">
        <f>IFERROR(__xludf.DUMMYFUNCTION("""COMPUTED_VALUE"""),1.0)</f>
        <v>1</v>
      </c>
      <c r="L8352" s="308">
        <f>IFERROR(__xludf.DUMMYFUNCTION("""COMPUTED_VALUE"""),2007.0)</f>
        <v>2007</v>
      </c>
      <c r="M8352" s="308" t="s">
        <v>32876</v>
      </c>
      <c r="N8352" s="308"/>
      <c r="O8352" s="308"/>
      <c r="P8352" s="308" t="s">
        <v>40207</v>
      </c>
      <c r="Q8352" s="308"/>
      <c r="R8352" s="308" t="s">
        <v>32774</v>
      </c>
      <c r="S8352" s="308" t="s">
        <v>81</v>
      </c>
      <c r="T8352" s="308" t="s">
        <v>75</v>
      </c>
      <c r="U8352" s="308" t="s">
        <v>27</v>
      </c>
      <c r="V8352" s="308"/>
    </row>
    <row r="8353">
      <c r="A8353" s="308"/>
      <c r="B8353" s="308"/>
      <c r="C8353" s="308" t="s">
        <v>32899</v>
      </c>
      <c r="D8353" s="308">
        <f>IFERROR(__xludf.DUMMYFUNCTION("SPLIT(C8353,""-"")"),8373.0)</f>
        <v>8373</v>
      </c>
      <c r="E8353" s="308" t="str">
        <f>IFERROR(__xludf.DUMMYFUNCTION("""COMPUTED_VALUE"""),"B")</f>
        <v>B</v>
      </c>
      <c r="F8353" s="315" t="s">
        <v>26</v>
      </c>
      <c r="G8353" s="308"/>
      <c r="H8353" s="308" t="s">
        <v>40208</v>
      </c>
      <c r="I8353" s="310">
        <v>39101.0</v>
      </c>
      <c r="J8353" s="319">
        <f>IFERROR(__xludf.DUMMYFUNCTION("SPLIT(I8353,""/"")"),19.0)</f>
        <v>19</v>
      </c>
      <c r="K8353" s="308">
        <f>IFERROR(__xludf.DUMMYFUNCTION("""COMPUTED_VALUE"""),1.0)</f>
        <v>1</v>
      </c>
      <c r="L8353" s="308">
        <f>IFERROR(__xludf.DUMMYFUNCTION("""COMPUTED_VALUE"""),2007.0)</f>
        <v>2007</v>
      </c>
      <c r="M8353" s="308" t="s">
        <v>32876</v>
      </c>
      <c r="N8353" s="308"/>
      <c r="O8353" s="308"/>
      <c r="P8353" s="308" t="s">
        <v>40209</v>
      </c>
      <c r="Q8353" s="308"/>
      <c r="R8353" s="308" t="s">
        <v>32774</v>
      </c>
      <c r="S8353" s="308" t="s">
        <v>81</v>
      </c>
      <c r="T8353" s="308" t="s">
        <v>75</v>
      </c>
      <c r="U8353" s="308" t="s">
        <v>27</v>
      </c>
      <c r="V8353" s="308"/>
    </row>
    <row r="8354">
      <c r="A8354" s="308"/>
      <c r="B8354" s="308"/>
      <c r="C8354" s="308" t="s">
        <v>32902</v>
      </c>
      <c r="D8354" s="308">
        <f>IFERROR(__xludf.DUMMYFUNCTION("SPLIT(C8354,""-"")"),8374.0)</f>
        <v>8374</v>
      </c>
      <c r="E8354" s="308" t="str">
        <f>IFERROR(__xludf.DUMMYFUNCTION("""COMPUTED_VALUE"""),"B")</f>
        <v>B</v>
      </c>
      <c r="F8354" s="315" t="s">
        <v>26</v>
      </c>
      <c r="G8354" s="308"/>
      <c r="H8354" s="308" t="s">
        <v>32903</v>
      </c>
      <c r="I8354" s="310">
        <v>39103.0</v>
      </c>
      <c r="J8354" s="319">
        <f>IFERROR(__xludf.DUMMYFUNCTION("SPLIT(I8354,""/"")"),21.0)</f>
        <v>21</v>
      </c>
      <c r="K8354" s="308">
        <f>IFERROR(__xludf.DUMMYFUNCTION("""COMPUTED_VALUE"""),1.0)</f>
        <v>1</v>
      </c>
      <c r="L8354" s="308">
        <f>IFERROR(__xludf.DUMMYFUNCTION("""COMPUTED_VALUE"""),2007.0)</f>
        <v>2007</v>
      </c>
      <c r="M8354" s="308" t="s">
        <v>32904</v>
      </c>
      <c r="N8354" s="308"/>
      <c r="O8354" s="308"/>
      <c r="P8354" s="308" t="s">
        <v>40210</v>
      </c>
      <c r="Q8354" s="308"/>
      <c r="R8354" s="308" t="s">
        <v>32774</v>
      </c>
      <c r="S8354" s="308" t="s">
        <v>81</v>
      </c>
      <c r="T8354" s="308" t="s">
        <v>75</v>
      </c>
      <c r="U8354" s="308" t="s">
        <v>27</v>
      </c>
      <c r="V8354" s="308"/>
    </row>
    <row r="8355">
      <c r="A8355" s="308"/>
      <c r="B8355" s="308"/>
      <c r="C8355" s="308" t="s">
        <v>32906</v>
      </c>
      <c r="D8355" s="308">
        <f>IFERROR(__xludf.DUMMYFUNCTION("SPLIT(C8355,""-"")"),8375.0)</f>
        <v>8375</v>
      </c>
      <c r="E8355" s="308" t="str">
        <f>IFERROR(__xludf.DUMMYFUNCTION("""COMPUTED_VALUE"""),"B")</f>
        <v>B</v>
      </c>
      <c r="F8355" s="315" t="s">
        <v>26</v>
      </c>
      <c r="G8355" s="308"/>
      <c r="H8355" s="308" t="s">
        <v>32907</v>
      </c>
      <c r="I8355" s="310">
        <v>39103.0</v>
      </c>
      <c r="J8355" s="319">
        <f>IFERROR(__xludf.DUMMYFUNCTION("SPLIT(I8355,""/"")"),21.0)</f>
        <v>21</v>
      </c>
      <c r="K8355" s="308">
        <f>IFERROR(__xludf.DUMMYFUNCTION("""COMPUTED_VALUE"""),1.0)</f>
        <v>1</v>
      </c>
      <c r="L8355" s="308">
        <f>IFERROR(__xludf.DUMMYFUNCTION("""COMPUTED_VALUE"""),2007.0)</f>
        <v>2007</v>
      </c>
      <c r="M8355" s="308" t="s">
        <v>32908</v>
      </c>
      <c r="N8355" s="308"/>
      <c r="O8355" s="308"/>
      <c r="P8355" s="308" t="s">
        <v>40211</v>
      </c>
      <c r="Q8355" s="308"/>
      <c r="R8355" s="308" t="s">
        <v>32774</v>
      </c>
      <c r="S8355" s="308" t="s">
        <v>81</v>
      </c>
      <c r="T8355" s="308" t="s">
        <v>75</v>
      </c>
      <c r="U8355" s="308" t="s">
        <v>27</v>
      </c>
      <c r="V8355" s="308"/>
    </row>
    <row r="8356">
      <c r="A8356" s="308"/>
      <c r="B8356" s="308"/>
      <c r="C8356" s="308" t="s">
        <v>32910</v>
      </c>
      <c r="D8356" s="308">
        <f>IFERROR(__xludf.DUMMYFUNCTION("SPLIT(C8356,""-"")"),8376.0)</f>
        <v>8376</v>
      </c>
      <c r="E8356" s="308" t="str">
        <f>IFERROR(__xludf.DUMMYFUNCTION("""COMPUTED_VALUE"""),"B")</f>
        <v>B</v>
      </c>
      <c r="F8356" s="315" t="s">
        <v>26</v>
      </c>
      <c r="G8356" s="308"/>
      <c r="H8356" s="308" t="s">
        <v>32911</v>
      </c>
      <c r="I8356" s="310">
        <v>39103.0</v>
      </c>
      <c r="J8356" s="319">
        <f>IFERROR(__xludf.DUMMYFUNCTION("SPLIT(I8356,""/"")"),21.0)</f>
        <v>21</v>
      </c>
      <c r="K8356" s="308">
        <f>IFERROR(__xludf.DUMMYFUNCTION("""COMPUTED_VALUE"""),1.0)</f>
        <v>1</v>
      </c>
      <c r="L8356" s="308">
        <f>IFERROR(__xludf.DUMMYFUNCTION("""COMPUTED_VALUE"""),2007.0)</f>
        <v>2007</v>
      </c>
      <c r="M8356" s="308" t="s">
        <v>32908</v>
      </c>
      <c r="N8356" s="308"/>
      <c r="O8356" s="308"/>
      <c r="P8356" s="308" t="s">
        <v>40212</v>
      </c>
      <c r="Q8356" s="308"/>
      <c r="R8356" s="308" t="s">
        <v>32774</v>
      </c>
      <c r="S8356" s="308" t="s">
        <v>81</v>
      </c>
      <c r="T8356" s="308" t="s">
        <v>75</v>
      </c>
      <c r="U8356" s="308" t="s">
        <v>27</v>
      </c>
      <c r="V8356" s="308"/>
    </row>
    <row r="8357">
      <c r="A8357" s="308"/>
      <c r="B8357" s="308"/>
      <c r="C8357" s="308" t="s">
        <v>32913</v>
      </c>
      <c r="D8357" s="308">
        <f>IFERROR(__xludf.DUMMYFUNCTION("SPLIT(C8357,""-"")"),8377.0)</f>
        <v>8377</v>
      </c>
      <c r="E8357" s="308" t="str">
        <f>IFERROR(__xludf.DUMMYFUNCTION("""COMPUTED_VALUE"""),"B")</f>
        <v>B</v>
      </c>
      <c r="F8357" s="315" t="s">
        <v>26</v>
      </c>
      <c r="G8357" s="308"/>
      <c r="H8357" s="308" t="s">
        <v>32914</v>
      </c>
      <c r="I8357" s="310">
        <v>39103.0</v>
      </c>
      <c r="J8357" s="319">
        <f>IFERROR(__xludf.DUMMYFUNCTION("SPLIT(I8357,""/"")"),21.0)</f>
        <v>21</v>
      </c>
      <c r="K8357" s="308">
        <f>IFERROR(__xludf.DUMMYFUNCTION("""COMPUTED_VALUE"""),1.0)</f>
        <v>1</v>
      </c>
      <c r="L8357" s="308">
        <f>IFERROR(__xludf.DUMMYFUNCTION("""COMPUTED_VALUE"""),2007.0)</f>
        <v>2007</v>
      </c>
      <c r="M8357" s="308" t="s">
        <v>32908</v>
      </c>
      <c r="N8357" s="308"/>
      <c r="O8357" s="308"/>
      <c r="P8357" s="308" t="s">
        <v>40213</v>
      </c>
      <c r="Q8357" s="308"/>
      <c r="R8357" s="308" t="s">
        <v>32774</v>
      </c>
      <c r="S8357" s="308" t="s">
        <v>81</v>
      </c>
      <c r="T8357" s="308" t="s">
        <v>75</v>
      </c>
      <c r="U8357" s="308" t="s">
        <v>27</v>
      </c>
      <c r="V8357" s="308"/>
    </row>
    <row r="8358">
      <c r="A8358" s="308"/>
      <c r="B8358" s="308"/>
      <c r="C8358" s="308" t="s">
        <v>32916</v>
      </c>
      <c r="D8358" s="308">
        <f>IFERROR(__xludf.DUMMYFUNCTION("SPLIT(C8358,""-"")"),8378.0)</f>
        <v>8378</v>
      </c>
      <c r="E8358" s="308" t="str">
        <f>IFERROR(__xludf.DUMMYFUNCTION("""COMPUTED_VALUE"""),"B")</f>
        <v>B</v>
      </c>
      <c r="F8358" s="315" t="s">
        <v>26</v>
      </c>
      <c r="G8358" s="308"/>
      <c r="H8358" s="308" t="s">
        <v>32917</v>
      </c>
      <c r="I8358" s="310">
        <v>39103.0</v>
      </c>
      <c r="J8358" s="319">
        <f>IFERROR(__xludf.DUMMYFUNCTION("SPLIT(I8358,""/"")"),21.0)</f>
        <v>21</v>
      </c>
      <c r="K8358" s="308">
        <f>IFERROR(__xludf.DUMMYFUNCTION("""COMPUTED_VALUE"""),1.0)</f>
        <v>1</v>
      </c>
      <c r="L8358" s="308">
        <f>IFERROR(__xludf.DUMMYFUNCTION("""COMPUTED_VALUE"""),2007.0)</f>
        <v>2007</v>
      </c>
      <c r="M8358" s="308" t="s">
        <v>32908</v>
      </c>
      <c r="N8358" s="308"/>
      <c r="O8358" s="308"/>
      <c r="P8358" s="308" t="s">
        <v>40214</v>
      </c>
      <c r="Q8358" s="308"/>
      <c r="R8358" s="308" t="s">
        <v>32774</v>
      </c>
      <c r="S8358" s="308" t="s">
        <v>81</v>
      </c>
      <c r="T8358" s="308" t="s">
        <v>75</v>
      </c>
      <c r="U8358" s="308" t="s">
        <v>27</v>
      </c>
      <c r="V8358" s="308"/>
    </row>
    <row r="8359">
      <c r="A8359" s="308"/>
      <c r="B8359" s="308"/>
      <c r="C8359" s="308" t="s">
        <v>32919</v>
      </c>
      <c r="D8359" s="308">
        <f>IFERROR(__xludf.DUMMYFUNCTION("SPLIT(C8359,""-"")"),8379.0)</f>
        <v>8379</v>
      </c>
      <c r="E8359" s="308" t="str">
        <f>IFERROR(__xludf.DUMMYFUNCTION("""COMPUTED_VALUE"""),"B")</f>
        <v>B</v>
      </c>
      <c r="F8359" s="315" t="s">
        <v>26</v>
      </c>
      <c r="G8359" s="308"/>
      <c r="H8359" s="308" t="s">
        <v>32920</v>
      </c>
      <c r="I8359" s="310">
        <v>39103.0</v>
      </c>
      <c r="J8359" s="319">
        <f>IFERROR(__xludf.DUMMYFUNCTION("SPLIT(I8359,""/"")"),21.0)</f>
        <v>21</v>
      </c>
      <c r="K8359" s="308">
        <f>IFERROR(__xludf.DUMMYFUNCTION("""COMPUTED_VALUE"""),1.0)</f>
        <v>1</v>
      </c>
      <c r="L8359" s="308">
        <f>IFERROR(__xludf.DUMMYFUNCTION("""COMPUTED_VALUE"""),2007.0)</f>
        <v>2007</v>
      </c>
      <c r="M8359" s="308" t="s">
        <v>32908</v>
      </c>
      <c r="N8359" s="308"/>
      <c r="O8359" s="308"/>
      <c r="P8359" s="308" t="s">
        <v>40215</v>
      </c>
      <c r="Q8359" s="308"/>
      <c r="R8359" s="308" t="s">
        <v>32774</v>
      </c>
      <c r="S8359" s="308" t="s">
        <v>81</v>
      </c>
      <c r="T8359" s="308" t="s">
        <v>75</v>
      </c>
      <c r="U8359" s="308" t="s">
        <v>27</v>
      </c>
      <c r="V8359" s="308"/>
    </row>
    <row r="8360">
      <c r="A8360" s="308"/>
      <c r="B8360" s="308"/>
      <c r="C8360" s="308" t="s">
        <v>32922</v>
      </c>
      <c r="D8360" s="308">
        <f>IFERROR(__xludf.DUMMYFUNCTION("SPLIT(C8360,""-"")"),8380.0)</f>
        <v>8380</v>
      </c>
      <c r="E8360" s="308" t="str">
        <f>IFERROR(__xludf.DUMMYFUNCTION("""COMPUTED_VALUE"""),"B")</f>
        <v>B</v>
      </c>
      <c r="F8360" s="315" t="s">
        <v>26</v>
      </c>
      <c r="G8360" s="308"/>
      <c r="H8360" s="308" t="s">
        <v>32923</v>
      </c>
      <c r="I8360" s="310">
        <v>41154.0</v>
      </c>
      <c r="J8360" s="319">
        <f>IFERROR(__xludf.DUMMYFUNCTION("SPLIT(I8360,""/"")"),2.0)</f>
        <v>2</v>
      </c>
      <c r="K8360" s="308">
        <f>IFERROR(__xludf.DUMMYFUNCTION("""COMPUTED_VALUE"""),9.0)</f>
        <v>9</v>
      </c>
      <c r="L8360" s="308">
        <f>IFERROR(__xludf.DUMMYFUNCTION("""COMPUTED_VALUE"""),2012.0)</f>
        <v>2012</v>
      </c>
      <c r="M8360" s="308" t="s">
        <v>32823</v>
      </c>
      <c r="N8360" s="308"/>
      <c r="O8360" s="308"/>
      <c r="P8360" s="308" t="s">
        <v>32924</v>
      </c>
      <c r="Q8360" s="308"/>
      <c r="R8360" s="308" t="s">
        <v>32774</v>
      </c>
      <c r="S8360" s="308" t="s">
        <v>49</v>
      </c>
      <c r="T8360" s="308" t="s">
        <v>51</v>
      </c>
      <c r="U8360" s="308" t="s">
        <v>27</v>
      </c>
      <c r="V8360" s="308"/>
    </row>
    <row r="8361">
      <c r="A8361" s="308"/>
      <c r="B8361" s="308"/>
      <c r="C8361" s="308" t="s">
        <v>32925</v>
      </c>
      <c r="D8361" s="308">
        <f>IFERROR(__xludf.DUMMYFUNCTION("SPLIT(C8361,""-"")"),8381.0)</f>
        <v>8381</v>
      </c>
      <c r="E8361" s="308" t="str">
        <f>IFERROR(__xludf.DUMMYFUNCTION("""COMPUTED_VALUE"""),"S")</f>
        <v>S</v>
      </c>
      <c r="F8361" s="312" t="s">
        <v>39</v>
      </c>
      <c r="G8361" s="308"/>
      <c r="H8361" s="308" t="s">
        <v>32926</v>
      </c>
      <c r="I8361" s="314">
        <v>43780.0</v>
      </c>
      <c r="J8361" s="319">
        <f>IFERROR(__xludf.DUMMYFUNCTION("SPLIT(I8361,""/"")"),11.0)</f>
        <v>11</v>
      </c>
      <c r="K8361" s="308">
        <f>IFERROR(__xludf.DUMMYFUNCTION("""COMPUTED_VALUE"""),11.0)</f>
        <v>11</v>
      </c>
      <c r="L8361" s="308">
        <f>IFERROR(__xludf.DUMMYFUNCTION("""COMPUTED_VALUE"""),2019.0)</f>
        <v>2019</v>
      </c>
      <c r="M8361" s="308" t="s">
        <v>32927</v>
      </c>
      <c r="N8361" s="308"/>
      <c r="O8361" s="308"/>
      <c r="P8361" s="308" t="s">
        <v>136</v>
      </c>
      <c r="Q8361" s="308" t="s">
        <v>40216</v>
      </c>
      <c r="R8361" s="308" t="s">
        <v>31554</v>
      </c>
      <c r="S8361" s="315" t="s">
        <v>100</v>
      </c>
      <c r="T8361" s="308" t="s">
        <v>34208</v>
      </c>
      <c r="U8361" s="308" t="s">
        <v>166</v>
      </c>
      <c r="V8361" s="308" t="s">
        <v>32928</v>
      </c>
    </row>
    <row r="8362">
      <c r="A8362" s="308"/>
      <c r="B8362" s="308"/>
      <c r="C8362" s="308" t="s">
        <v>32929</v>
      </c>
      <c r="D8362" s="308">
        <f>IFERROR(__xludf.DUMMYFUNCTION("SPLIT(C8362,""-"")"),8382.0)</f>
        <v>8382</v>
      </c>
      <c r="E8362" s="308" t="str">
        <f>IFERROR(__xludf.DUMMYFUNCTION("""COMPUTED_VALUE"""),"I")</f>
        <v>I</v>
      </c>
      <c r="F8362" s="309" t="s">
        <v>31</v>
      </c>
      <c r="G8362" s="308"/>
      <c r="H8362" s="308" t="s">
        <v>40217</v>
      </c>
      <c r="I8362" s="314">
        <v>44545.0</v>
      </c>
      <c r="J8362" s="319">
        <f>IFERROR(__xludf.DUMMYFUNCTION("SPLIT(I8362,""/"")"),15.0)</f>
        <v>15</v>
      </c>
      <c r="K8362" s="308">
        <f>IFERROR(__xludf.DUMMYFUNCTION("""COMPUTED_VALUE"""),12.0)</f>
        <v>12</v>
      </c>
      <c r="L8362" s="308">
        <f>IFERROR(__xludf.DUMMYFUNCTION("""COMPUTED_VALUE"""),2021.0)</f>
        <v>2021</v>
      </c>
      <c r="M8362" s="308" t="s">
        <v>32931</v>
      </c>
      <c r="N8362" s="308"/>
      <c r="O8362" s="308"/>
      <c r="P8362" s="308" t="s">
        <v>136</v>
      </c>
      <c r="Q8362" s="308" t="s">
        <v>40216</v>
      </c>
      <c r="R8362" s="308" t="s">
        <v>2743</v>
      </c>
      <c r="S8362" s="315" t="s">
        <v>100</v>
      </c>
      <c r="T8362" s="308" t="s">
        <v>34208</v>
      </c>
      <c r="U8362" s="308" t="s">
        <v>31</v>
      </c>
      <c r="V8362" s="308" t="s">
        <v>32932</v>
      </c>
    </row>
    <row r="8363">
      <c r="A8363" s="308"/>
      <c r="B8363" s="308"/>
      <c r="C8363" s="308" t="s">
        <v>32933</v>
      </c>
      <c r="D8363" s="308">
        <f>IFERROR(__xludf.DUMMYFUNCTION("SPLIT(C8363,""-"")"),8383.0)</f>
        <v>8383</v>
      </c>
      <c r="E8363" s="308" t="str">
        <f>IFERROR(__xludf.DUMMYFUNCTION("""COMPUTED_VALUE"""),"K")</f>
        <v>K</v>
      </c>
      <c r="F8363" s="309" t="s">
        <v>34</v>
      </c>
      <c r="G8363" s="308"/>
      <c r="H8363" s="308" t="s">
        <v>32934</v>
      </c>
      <c r="I8363" s="310">
        <v>44464.0</v>
      </c>
      <c r="J8363" s="319">
        <f>IFERROR(__xludf.DUMMYFUNCTION("SPLIT(I8363,""/"")"),25.0)</f>
        <v>25</v>
      </c>
      <c r="K8363" s="308">
        <f>IFERROR(__xludf.DUMMYFUNCTION("""COMPUTED_VALUE"""),9.0)</f>
        <v>9</v>
      </c>
      <c r="L8363" s="308">
        <f>IFERROR(__xludf.DUMMYFUNCTION("""COMPUTED_VALUE"""),2021.0)</f>
        <v>2021</v>
      </c>
      <c r="M8363" s="308" t="s">
        <v>32935</v>
      </c>
      <c r="N8363" s="308"/>
      <c r="O8363" s="308"/>
      <c r="P8363" s="308" t="s">
        <v>32936</v>
      </c>
      <c r="Q8363" s="308" t="s">
        <v>40216</v>
      </c>
      <c r="R8363" s="308" t="s">
        <v>2743</v>
      </c>
      <c r="S8363" s="308" t="s">
        <v>81</v>
      </c>
      <c r="T8363" s="308" t="s">
        <v>75</v>
      </c>
      <c r="U8363" s="308" t="s">
        <v>2152</v>
      </c>
      <c r="V8363" s="308"/>
    </row>
    <row r="8364">
      <c r="A8364" s="308"/>
      <c r="B8364" s="308"/>
      <c r="C8364" s="308" t="s">
        <v>32937</v>
      </c>
      <c r="D8364" s="308">
        <f>IFERROR(__xludf.DUMMYFUNCTION("SPLIT(C8364,""-"")"),8384.0)</f>
        <v>8384</v>
      </c>
      <c r="E8364" s="308" t="str">
        <f>IFERROR(__xludf.DUMMYFUNCTION("""COMPUTED_VALUE"""),"I")</f>
        <v>I</v>
      </c>
      <c r="F8364" s="309" t="s">
        <v>31</v>
      </c>
      <c r="G8364" s="308"/>
      <c r="H8364" s="308" t="s">
        <v>32938</v>
      </c>
      <c r="I8364" s="314">
        <v>44528.0</v>
      </c>
      <c r="J8364" s="319">
        <f>IFERROR(__xludf.DUMMYFUNCTION("SPLIT(I8364,""/"")"),28.0)</f>
        <v>28</v>
      </c>
      <c r="K8364" s="308">
        <f>IFERROR(__xludf.DUMMYFUNCTION("""COMPUTED_VALUE"""),11.0)</f>
        <v>11</v>
      </c>
      <c r="L8364" s="308">
        <f>IFERROR(__xludf.DUMMYFUNCTION("""COMPUTED_VALUE"""),2021.0)</f>
        <v>2021</v>
      </c>
      <c r="M8364" s="308" t="s">
        <v>32939</v>
      </c>
      <c r="N8364" s="308" t="s">
        <v>32940</v>
      </c>
      <c r="O8364" s="308"/>
      <c r="P8364" s="308" t="s">
        <v>32941</v>
      </c>
      <c r="Q8364" s="308" t="s">
        <v>40216</v>
      </c>
      <c r="R8364" s="308" t="s">
        <v>2743</v>
      </c>
      <c r="S8364" s="308" t="s">
        <v>81</v>
      </c>
      <c r="T8364" s="311" t="s">
        <v>73</v>
      </c>
      <c r="U8364" s="308" t="s">
        <v>31</v>
      </c>
      <c r="V8364" s="308"/>
    </row>
    <row r="8365">
      <c r="A8365" s="308"/>
      <c r="B8365" s="308"/>
      <c r="C8365" s="308" t="s">
        <v>32942</v>
      </c>
      <c r="D8365" s="308">
        <f>IFERROR(__xludf.DUMMYFUNCTION("SPLIT(C8365,""-"")"),8385.0)</f>
        <v>8385</v>
      </c>
      <c r="E8365" s="308" t="str">
        <f>IFERROR(__xludf.DUMMYFUNCTION("""COMPUTED_VALUE"""),"K")</f>
        <v>K</v>
      </c>
      <c r="F8365" s="309" t="s">
        <v>34</v>
      </c>
      <c r="G8365" s="308"/>
      <c r="H8365" s="308" t="s">
        <v>40218</v>
      </c>
      <c r="I8365" s="310">
        <v>44166.0</v>
      </c>
      <c r="J8365" s="319">
        <f>IFERROR(__xludf.DUMMYFUNCTION("SPLIT(I8365,""/"")"),1.0)</f>
        <v>1</v>
      </c>
      <c r="K8365" s="308">
        <f>IFERROR(__xludf.DUMMYFUNCTION("""COMPUTED_VALUE"""),12.0)</f>
        <v>12</v>
      </c>
      <c r="L8365" s="308">
        <f>IFERROR(__xludf.DUMMYFUNCTION("""COMPUTED_VALUE"""),2020.0)</f>
        <v>2020</v>
      </c>
      <c r="M8365" s="308" t="s">
        <v>32944</v>
      </c>
      <c r="N8365" s="308"/>
      <c r="O8365" s="308"/>
      <c r="P8365" s="308" t="s">
        <v>40219</v>
      </c>
      <c r="Q8365" s="308" t="s">
        <v>40216</v>
      </c>
      <c r="R8365" s="308" t="s">
        <v>2743</v>
      </c>
      <c r="S8365" s="308" t="s">
        <v>81</v>
      </c>
      <c r="T8365" s="308" t="s">
        <v>34264</v>
      </c>
      <c r="U8365" s="308" t="s">
        <v>32946</v>
      </c>
      <c r="V8365" s="308"/>
    </row>
    <row r="8366">
      <c r="A8366" s="308"/>
      <c r="B8366" s="308"/>
      <c r="C8366" s="308" t="s">
        <v>32947</v>
      </c>
      <c r="D8366" s="308">
        <f>IFERROR(__xludf.DUMMYFUNCTION("SPLIT(C8366,""-"")"),8386.0)</f>
        <v>8386</v>
      </c>
      <c r="E8366" s="308" t="str">
        <f>IFERROR(__xludf.DUMMYFUNCTION("""COMPUTED_VALUE"""),"K")</f>
        <v>K</v>
      </c>
      <c r="F8366" s="309" t="s">
        <v>34</v>
      </c>
      <c r="G8366" s="308"/>
      <c r="H8366" s="308" t="s">
        <v>40220</v>
      </c>
      <c r="I8366" s="310">
        <v>44166.0</v>
      </c>
      <c r="J8366" s="319">
        <f>IFERROR(__xludf.DUMMYFUNCTION("SPLIT(I8366,""/"")"),1.0)</f>
        <v>1</v>
      </c>
      <c r="K8366" s="308">
        <f>IFERROR(__xludf.DUMMYFUNCTION("""COMPUTED_VALUE"""),12.0)</f>
        <v>12</v>
      </c>
      <c r="L8366" s="308">
        <f>IFERROR(__xludf.DUMMYFUNCTION("""COMPUTED_VALUE"""),2020.0)</f>
        <v>2020</v>
      </c>
      <c r="M8366" s="308" t="s">
        <v>32949</v>
      </c>
      <c r="N8366" s="308"/>
      <c r="O8366" s="308"/>
      <c r="P8366" s="308" t="s">
        <v>136</v>
      </c>
      <c r="Q8366" s="308" t="s">
        <v>40216</v>
      </c>
      <c r="R8366" s="308" t="s">
        <v>2743</v>
      </c>
      <c r="S8366" s="315" t="s">
        <v>100</v>
      </c>
      <c r="T8366" s="308" t="s">
        <v>34208</v>
      </c>
      <c r="U8366" s="308" t="s">
        <v>32946</v>
      </c>
      <c r="V8366" s="308"/>
    </row>
    <row r="8367">
      <c r="A8367" s="308"/>
      <c r="B8367" s="308"/>
      <c r="C8367" s="308" t="s">
        <v>32950</v>
      </c>
      <c r="D8367" s="308">
        <f>IFERROR(__xludf.DUMMYFUNCTION("SPLIT(C8367,""-"")"),8387.0)</f>
        <v>8387</v>
      </c>
      <c r="E8367" s="308" t="str">
        <f>IFERROR(__xludf.DUMMYFUNCTION("""COMPUTED_VALUE"""),"P")</f>
        <v>P</v>
      </c>
      <c r="F8367" s="312" t="s">
        <v>37</v>
      </c>
      <c r="G8367" s="308"/>
      <c r="H8367" s="308" t="s">
        <v>32951</v>
      </c>
      <c r="I8367" s="314">
        <v>44544.0</v>
      </c>
      <c r="J8367" s="319">
        <f>IFERROR(__xludf.DUMMYFUNCTION("SPLIT(I8367,""/"")"),14.0)</f>
        <v>14</v>
      </c>
      <c r="K8367" s="308">
        <f>IFERROR(__xludf.DUMMYFUNCTION("""COMPUTED_VALUE"""),12.0)</f>
        <v>12</v>
      </c>
      <c r="L8367" s="308">
        <f>IFERROR(__xludf.DUMMYFUNCTION("""COMPUTED_VALUE"""),2021.0)</f>
        <v>2021</v>
      </c>
      <c r="M8367" s="308" t="s">
        <v>32952</v>
      </c>
      <c r="N8367" s="308" t="s">
        <v>32953</v>
      </c>
      <c r="O8367" s="308"/>
      <c r="P8367" s="308" t="s">
        <v>32954</v>
      </c>
      <c r="Q8367" s="308" t="s">
        <v>40216</v>
      </c>
      <c r="R8367" s="308" t="s">
        <v>2743</v>
      </c>
      <c r="S8367" s="308" t="s">
        <v>81</v>
      </c>
      <c r="T8367" s="311" t="s">
        <v>91</v>
      </c>
      <c r="U8367" s="308" t="s">
        <v>149</v>
      </c>
      <c r="V8367" s="308"/>
    </row>
    <row r="8368">
      <c r="A8368" s="308"/>
      <c r="B8368" s="308"/>
      <c r="C8368" s="308" t="s">
        <v>32955</v>
      </c>
      <c r="D8368" s="308">
        <f>IFERROR(__xludf.DUMMYFUNCTION("SPLIT(C8368,""-"")"),8388.0)</f>
        <v>8388</v>
      </c>
      <c r="E8368" s="308" t="str">
        <f>IFERROR(__xludf.DUMMYFUNCTION("""COMPUTED_VALUE"""),"I")</f>
        <v>I</v>
      </c>
      <c r="F8368" s="309" t="s">
        <v>31</v>
      </c>
      <c r="G8368" s="308"/>
      <c r="H8368" s="308" t="s">
        <v>40221</v>
      </c>
      <c r="I8368" s="314">
        <v>44511.0</v>
      </c>
      <c r="J8368" s="319">
        <f>IFERROR(__xludf.DUMMYFUNCTION("SPLIT(I8368,""/"")"),11.0)</f>
        <v>11</v>
      </c>
      <c r="K8368" s="308">
        <f>IFERROR(__xludf.DUMMYFUNCTION("""COMPUTED_VALUE"""),11.0)</f>
        <v>11</v>
      </c>
      <c r="L8368" s="308">
        <f>IFERROR(__xludf.DUMMYFUNCTION("""COMPUTED_VALUE"""),2021.0)</f>
        <v>2021</v>
      </c>
      <c r="M8368" s="308" t="s">
        <v>32957</v>
      </c>
      <c r="N8368" s="308" t="s">
        <v>32958</v>
      </c>
      <c r="O8368" s="308"/>
      <c r="P8368" s="308" t="s">
        <v>32959</v>
      </c>
      <c r="Q8368" s="308" t="s">
        <v>40216</v>
      </c>
      <c r="R8368" s="308" t="s">
        <v>2743</v>
      </c>
      <c r="S8368" s="308" t="s">
        <v>81</v>
      </c>
      <c r="T8368" s="311" t="s">
        <v>91</v>
      </c>
      <c r="U8368" s="308" t="s">
        <v>31</v>
      </c>
      <c r="V8368" s="308"/>
    </row>
    <row r="8369">
      <c r="A8369" s="308"/>
      <c r="B8369" s="308"/>
      <c r="C8369" s="308" t="s">
        <v>32960</v>
      </c>
      <c r="D8369" s="308">
        <f>IFERROR(__xludf.DUMMYFUNCTION("SPLIT(C8369,""-"")"),8389.0)</f>
        <v>8389</v>
      </c>
      <c r="E8369" s="308" t="str">
        <f>IFERROR(__xludf.DUMMYFUNCTION("""COMPUTED_VALUE"""),"K")</f>
        <v>K</v>
      </c>
      <c r="F8369" s="309" t="s">
        <v>34</v>
      </c>
      <c r="G8369" s="308"/>
      <c r="H8369" s="308" t="s">
        <v>32961</v>
      </c>
      <c r="I8369" s="310">
        <v>44415.0</v>
      </c>
      <c r="J8369" s="319">
        <f>IFERROR(__xludf.DUMMYFUNCTION("SPLIT(I8369,""/"")"),7.0)</f>
        <v>7</v>
      </c>
      <c r="K8369" s="308">
        <f>IFERROR(__xludf.DUMMYFUNCTION("""COMPUTED_VALUE"""),8.0)</f>
        <v>8</v>
      </c>
      <c r="L8369" s="308">
        <f>IFERROR(__xludf.DUMMYFUNCTION("""COMPUTED_VALUE"""),2021.0)</f>
        <v>2021</v>
      </c>
      <c r="M8369" s="308" t="s">
        <v>32962</v>
      </c>
      <c r="N8369" s="308" t="s">
        <v>32963</v>
      </c>
      <c r="O8369" s="308"/>
      <c r="P8369" s="308" t="s">
        <v>40222</v>
      </c>
      <c r="Q8369" s="308" t="s">
        <v>40216</v>
      </c>
      <c r="R8369" s="308" t="s">
        <v>2743</v>
      </c>
      <c r="S8369" s="308" t="s">
        <v>81</v>
      </c>
      <c r="T8369" s="311" t="s">
        <v>91</v>
      </c>
      <c r="U8369" s="308" t="s">
        <v>18616</v>
      </c>
      <c r="V8369" s="308"/>
    </row>
    <row r="8370">
      <c r="A8370" s="308"/>
      <c r="B8370" s="308"/>
      <c r="C8370" s="308" t="s">
        <v>32965</v>
      </c>
      <c r="D8370" s="308">
        <f>IFERROR(__xludf.DUMMYFUNCTION("SPLIT(C8370,""-"")"),8390.0)</f>
        <v>8390</v>
      </c>
      <c r="E8370" s="308" t="str">
        <f>IFERROR(__xludf.DUMMYFUNCTION("""COMPUTED_VALUE"""),"P")</f>
        <v>P</v>
      </c>
      <c r="F8370" s="312" t="s">
        <v>37</v>
      </c>
      <c r="G8370" s="308"/>
      <c r="H8370" s="308" t="s">
        <v>32966</v>
      </c>
      <c r="I8370" s="314">
        <v>42360.0</v>
      </c>
      <c r="J8370" s="319">
        <f>IFERROR(__xludf.DUMMYFUNCTION("SPLIT(I8370,""/"")"),22.0)</f>
        <v>22</v>
      </c>
      <c r="K8370" s="308">
        <f>IFERROR(__xludf.DUMMYFUNCTION("""COMPUTED_VALUE"""),12.0)</f>
        <v>12</v>
      </c>
      <c r="L8370" s="308">
        <f>IFERROR(__xludf.DUMMYFUNCTION("""COMPUTED_VALUE"""),2015.0)</f>
        <v>2015</v>
      </c>
      <c r="M8370" s="308" t="s">
        <v>32967</v>
      </c>
      <c r="N8370" s="308" t="s">
        <v>32968</v>
      </c>
      <c r="O8370" s="308"/>
      <c r="P8370" s="308" t="s">
        <v>136</v>
      </c>
      <c r="Q8370" s="308" t="s">
        <v>40216</v>
      </c>
      <c r="R8370" s="308" t="s">
        <v>2743</v>
      </c>
      <c r="S8370" s="315" t="s">
        <v>100</v>
      </c>
      <c r="T8370" s="308" t="s">
        <v>34208</v>
      </c>
      <c r="U8370" s="308" t="s">
        <v>5537</v>
      </c>
      <c r="V8370" s="308"/>
    </row>
    <row r="8371">
      <c r="A8371" s="308"/>
      <c r="B8371" s="308"/>
      <c r="C8371" s="308" t="s">
        <v>32969</v>
      </c>
      <c r="D8371" s="308">
        <f>IFERROR(__xludf.DUMMYFUNCTION("SPLIT(C8371,""-"")"),8391.0)</f>
        <v>8391</v>
      </c>
      <c r="E8371" s="308" t="str">
        <f>IFERROR(__xludf.DUMMYFUNCTION("""COMPUTED_VALUE"""),"P")</f>
        <v>P</v>
      </c>
      <c r="F8371" s="312" t="s">
        <v>37</v>
      </c>
      <c r="G8371" s="308"/>
      <c r="H8371" s="308" t="s">
        <v>32970</v>
      </c>
      <c r="I8371" s="314">
        <v>44551.0</v>
      </c>
      <c r="J8371" s="319">
        <f>IFERROR(__xludf.DUMMYFUNCTION("SPLIT(I8371,""/"")"),21.0)</f>
        <v>21</v>
      </c>
      <c r="K8371" s="308">
        <f>IFERROR(__xludf.DUMMYFUNCTION("""COMPUTED_VALUE"""),12.0)</f>
        <v>12</v>
      </c>
      <c r="L8371" s="308">
        <f>IFERROR(__xludf.DUMMYFUNCTION("""COMPUTED_VALUE"""),2021.0)</f>
        <v>2021</v>
      </c>
      <c r="M8371" s="308" t="s">
        <v>32971</v>
      </c>
      <c r="N8371" s="308" t="s">
        <v>32972</v>
      </c>
      <c r="O8371" s="308"/>
      <c r="P8371" s="308" t="s">
        <v>136</v>
      </c>
      <c r="Q8371" s="308" t="s">
        <v>40216</v>
      </c>
      <c r="R8371" s="308" t="s">
        <v>2743</v>
      </c>
      <c r="S8371" s="315" t="s">
        <v>100</v>
      </c>
      <c r="T8371" s="308" t="s">
        <v>34208</v>
      </c>
      <c r="U8371" s="308" t="s">
        <v>143</v>
      </c>
      <c r="V8371" s="308"/>
    </row>
    <row r="8372">
      <c r="A8372" s="308"/>
      <c r="B8372" s="308"/>
      <c r="C8372" s="308" t="s">
        <v>32973</v>
      </c>
      <c r="D8372" s="308">
        <f>IFERROR(__xludf.DUMMYFUNCTION("SPLIT(C8372,""-"")"),8392.0)</f>
        <v>8392</v>
      </c>
      <c r="E8372" s="308" t="str">
        <f>IFERROR(__xludf.DUMMYFUNCTION("""COMPUTED_VALUE"""),"K")</f>
        <v>K</v>
      </c>
      <c r="F8372" s="309" t="s">
        <v>34</v>
      </c>
      <c r="G8372" s="308"/>
      <c r="H8372" s="308" t="s">
        <v>32974</v>
      </c>
      <c r="I8372" s="310">
        <v>43934.0</v>
      </c>
      <c r="J8372" s="319">
        <f>IFERROR(__xludf.DUMMYFUNCTION("SPLIT(I8372,""/"")"),13.0)</f>
        <v>13</v>
      </c>
      <c r="K8372" s="308">
        <f>IFERROR(__xludf.DUMMYFUNCTION("""COMPUTED_VALUE"""),4.0)</f>
        <v>4</v>
      </c>
      <c r="L8372" s="308">
        <f>IFERROR(__xludf.DUMMYFUNCTION("""COMPUTED_VALUE"""),2020.0)</f>
        <v>2020</v>
      </c>
      <c r="M8372" s="308" t="s">
        <v>32975</v>
      </c>
      <c r="N8372" s="308"/>
      <c r="O8372" s="308"/>
      <c r="P8372" s="308" t="s">
        <v>32976</v>
      </c>
      <c r="Q8372" s="308" t="s">
        <v>40216</v>
      </c>
      <c r="R8372" s="308" t="s">
        <v>2743</v>
      </c>
      <c r="S8372" s="308" t="s">
        <v>81</v>
      </c>
      <c r="T8372" s="308" t="s">
        <v>34264</v>
      </c>
      <c r="U8372" s="308" t="s">
        <v>530</v>
      </c>
      <c r="V8372" s="308"/>
    </row>
    <row r="8373">
      <c r="A8373" s="308"/>
      <c r="B8373" s="308"/>
      <c r="C8373" s="308" t="s">
        <v>32977</v>
      </c>
      <c r="D8373" s="308">
        <f>IFERROR(__xludf.DUMMYFUNCTION("SPLIT(C8373,""-"")"),8393.0)</f>
        <v>8393</v>
      </c>
      <c r="E8373" s="308" t="str">
        <f>IFERROR(__xludf.DUMMYFUNCTION("""COMPUTED_VALUE"""),"S")</f>
        <v>S</v>
      </c>
      <c r="F8373" s="312" t="s">
        <v>39</v>
      </c>
      <c r="G8373" s="308"/>
      <c r="H8373" s="308" t="s">
        <v>32978</v>
      </c>
      <c r="I8373" s="310">
        <v>43709.0</v>
      </c>
      <c r="J8373" s="319">
        <f>IFERROR(__xludf.DUMMYFUNCTION("SPLIT(I8373,""/"")"),1.0)</f>
        <v>1</v>
      </c>
      <c r="K8373" s="308">
        <f>IFERROR(__xludf.DUMMYFUNCTION("""COMPUTED_VALUE"""),9.0)</f>
        <v>9</v>
      </c>
      <c r="L8373" s="308">
        <f>IFERROR(__xludf.DUMMYFUNCTION("""COMPUTED_VALUE"""),2019.0)</f>
        <v>2019</v>
      </c>
      <c r="M8373" s="308" t="s">
        <v>32979</v>
      </c>
      <c r="N8373" s="308" t="s">
        <v>32980</v>
      </c>
      <c r="O8373" s="308"/>
      <c r="P8373" s="308" t="s">
        <v>136</v>
      </c>
      <c r="Q8373" s="308" t="s">
        <v>40223</v>
      </c>
      <c r="R8373" s="308" t="s">
        <v>2743</v>
      </c>
      <c r="S8373" s="315" t="s">
        <v>100</v>
      </c>
      <c r="T8373" s="308" t="s">
        <v>34208</v>
      </c>
      <c r="U8373" s="308" t="s">
        <v>166</v>
      </c>
      <c r="V8373" s="308"/>
    </row>
    <row r="8374">
      <c r="A8374" s="308"/>
      <c r="B8374" s="308"/>
      <c r="C8374" s="308" t="s">
        <v>32981</v>
      </c>
      <c r="D8374" s="308">
        <f>IFERROR(__xludf.DUMMYFUNCTION("SPLIT(C8374,""-"")"),8394.0)</f>
        <v>8394</v>
      </c>
      <c r="E8374" s="308" t="str">
        <f>IFERROR(__xludf.DUMMYFUNCTION("""COMPUTED_VALUE"""),"P")</f>
        <v>P</v>
      </c>
      <c r="F8374" s="312" t="s">
        <v>37</v>
      </c>
      <c r="G8374" s="308"/>
      <c r="H8374" s="308" t="s">
        <v>32982</v>
      </c>
      <c r="I8374" s="314">
        <v>44541.0</v>
      </c>
      <c r="J8374" s="319">
        <f>IFERROR(__xludf.DUMMYFUNCTION("SPLIT(I8374,""/"")"),11.0)</f>
        <v>11</v>
      </c>
      <c r="K8374" s="308">
        <f>IFERROR(__xludf.DUMMYFUNCTION("""COMPUTED_VALUE"""),12.0)</f>
        <v>12</v>
      </c>
      <c r="L8374" s="308">
        <f>IFERROR(__xludf.DUMMYFUNCTION("""COMPUTED_VALUE"""),2021.0)</f>
        <v>2021</v>
      </c>
      <c r="M8374" s="308" t="s">
        <v>32983</v>
      </c>
      <c r="N8374" s="308" t="s">
        <v>32984</v>
      </c>
      <c r="O8374" s="308"/>
      <c r="P8374" s="308" t="s">
        <v>136</v>
      </c>
      <c r="Q8374" s="308" t="s">
        <v>40223</v>
      </c>
      <c r="R8374" s="308" t="s">
        <v>2743</v>
      </c>
      <c r="S8374" s="315" t="s">
        <v>100</v>
      </c>
      <c r="T8374" s="308" t="s">
        <v>34208</v>
      </c>
      <c r="U8374" s="308" t="s">
        <v>149</v>
      </c>
      <c r="V8374" s="308"/>
    </row>
    <row r="8375">
      <c r="A8375" s="308"/>
      <c r="B8375" s="308"/>
      <c r="C8375" s="308" t="s">
        <v>32985</v>
      </c>
      <c r="D8375" s="308">
        <f>IFERROR(__xludf.DUMMYFUNCTION("SPLIT(C8375,""-"")"),8395.0)</f>
        <v>8395</v>
      </c>
      <c r="E8375" s="308" t="str">
        <f>IFERROR(__xludf.DUMMYFUNCTION("""COMPUTED_VALUE"""),"B")</f>
        <v>B</v>
      </c>
      <c r="F8375" s="315" t="s">
        <v>26</v>
      </c>
      <c r="G8375" s="308"/>
      <c r="H8375" s="308" t="s">
        <v>32986</v>
      </c>
      <c r="I8375" s="310">
        <v>41480.0</v>
      </c>
      <c r="J8375" s="319">
        <f>IFERROR(__xludf.DUMMYFUNCTION("SPLIT(I8375,""/"")"),25.0)</f>
        <v>25</v>
      </c>
      <c r="K8375" s="308">
        <f>IFERROR(__xludf.DUMMYFUNCTION("""COMPUTED_VALUE"""),7.0)</f>
        <v>7</v>
      </c>
      <c r="L8375" s="308">
        <f>IFERROR(__xludf.DUMMYFUNCTION("""COMPUTED_VALUE"""),2013.0)</f>
        <v>2013</v>
      </c>
      <c r="M8375" s="308" t="s">
        <v>32987</v>
      </c>
      <c r="N8375" s="308" t="s">
        <v>32988</v>
      </c>
      <c r="O8375" s="308"/>
      <c r="P8375" s="308" t="s">
        <v>136</v>
      </c>
      <c r="Q8375" s="308" t="s">
        <v>40223</v>
      </c>
      <c r="R8375" s="308" t="s">
        <v>2743</v>
      </c>
      <c r="S8375" s="315" t="s">
        <v>100</v>
      </c>
      <c r="T8375" s="308" t="s">
        <v>34208</v>
      </c>
      <c r="U8375" s="308" t="s">
        <v>32989</v>
      </c>
      <c r="V8375" s="308"/>
    </row>
    <row r="8376">
      <c r="A8376" s="308"/>
      <c r="B8376" s="308"/>
      <c r="C8376" s="308" t="s">
        <v>32990</v>
      </c>
      <c r="D8376" s="308">
        <f>IFERROR(__xludf.DUMMYFUNCTION("SPLIT(C8376,""-"")"),8396.0)</f>
        <v>8396</v>
      </c>
      <c r="E8376" s="308" t="str">
        <f>IFERROR(__xludf.DUMMYFUNCTION("""COMPUTED_VALUE"""),"B")</f>
        <v>B</v>
      </c>
      <c r="F8376" s="315" t="s">
        <v>26</v>
      </c>
      <c r="G8376" s="308"/>
      <c r="H8376" s="308" t="s">
        <v>32991</v>
      </c>
      <c r="I8376" s="314">
        <v>44544.0</v>
      </c>
      <c r="J8376" s="319">
        <f>IFERROR(__xludf.DUMMYFUNCTION("SPLIT(I8376,""/"")"),14.0)</f>
        <v>14</v>
      </c>
      <c r="K8376" s="308">
        <f>IFERROR(__xludf.DUMMYFUNCTION("""COMPUTED_VALUE"""),12.0)</f>
        <v>12</v>
      </c>
      <c r="L8376" s="308">
        <f>IFERROR(__xludf.DUMMYFUNCTION("""COMPUTED_VALUE"""),2021.0)</f>
        <v>2021</v>
      </c>
      <c r="M8376" s="308" t="s">
        <v>32992</v>
      </c>
      <c r="N8376" s="308" t="s">
        <v>32993</v>
      </c>
      <c r="O8376" s="308"/>
      <c r="P8376" s="308" t="s">
        <v>32994</v>
      </c>
      <c r="Q8376" s="308" t="s">
        <v>40224</v>
      </c>
      <c r="R8376" s="308" t="s">
        <v>2743</v>
      </c>
      <c r="S8376" s="308" t="s">
        <v>81</v>
      </c>
      <c r="T8376" s="311" t="s">
        <v>96</v>
      </c>
      <c r="U8376" s="308" t="s">
        <v>32175</v>
      </c>
      <c r="V8376" s="308"/>
    </row>
    <row r="8377">
      <c r="A8377" s="308"/>
      <c r="B8377" s="308"/>
      <c r="C8377" s="308" t="s">
        <v>32995</v>
      </c>
      <c r="D8377" s="308">
        <f>IFERROR(__xludf.DUMMYFUNCTION("SPLIT(C8377,""-"")"),8397.0)</f>
        <v>8397</v>
      </c>
      <c r="E8377" s="308" t="str">
        <f>IFERROR(__xludf.DUMMYFUNCTION("""COMPUTED_VALUE"""),"K")</f>
        <v>K</v>
      </c>
      <c r="F8377" s="309" t="s">
        <v>34</v>
      </c>
      <c r="G8377" s="308"/>
      <c r="H8377" s="308" t="s">
        <v>32996</v>
      </c>
      <c r="I8377" s="310">
        <v>42190.0</v>
      </c>
      <c r="J8377" s="319">
        <f>IFERROR(__xludf.DUMMYFUNCTION("SPLIT(I8377,""/"")"),5.0)</f>
        <v>5</v>
      </c>
      <c r="K8377" s="308">
        <f>IFERROR(__xludf.DUMMYFUNCTION("""COMPUTED_VALUE"""),7.0)</f>
        <v>7</v>
      </c>
      <c r="L8377" s="308">
        <f>IFERROR(__xludf.DUMMYFUNCTION("""COMPUTED_VALUE"""),2015.0)</f>
        <v>2015</v>
      </c>
      <c r="M8377" s="308" t="s">
        <v>32997</v>
      </c>
      <c r="N8377" s="308" t="s">
        <v>439</v>
      </c>
      <c r="O8377" s="308"/>
      <c r="P8377" s="308" t="s">
        <v>136</v>
      </c>
      <c r="Q8377" s="308" t="s">
        <v>40225</v>
      </c>
      <c r="R8377" s="308" t="s">
        <v>2743</v>
      </c>
      <c r="S8377" s="315" t="s">
        <v>100</v>
      </c>
      <c r="T8377" s="308" t="s">
        <v>34208</v>
      </c>
      <c r="U8377" s="308" t="s">
        <v>2152</v>
      </c>
      <c r="V8377" s="308"/>
    </row>
    <row r="8378">
      <c r="A8378" s="308"/>
      <c r="B8378" s="308"/>
      <c r="C8378" s="308" t="s">
        <v>32998</v>
      </c>
      <c r="D8378" s="308">
        <f>IFERROR(__xludf.DUMMYFUNCTION("SPLIT(C8378,""-"")"),8398.0)</f>
        <v>8398</v>
      </c>
      <c r="E8378" s="308" t="str">
        <f>IFERROR(__xludf.DUMMYFUNCTION("""COMPUTED_VALUE"""),"S")</f>
        <v>S</v>
      </c>
      <c r="F8378" s="312" t="s">
        <v>39</v>
      </c>
      <c r="G8378" s="308"/>
      <c r="H8378" s="308" t="s">
        <v>32999</v>
      </c>
      <c r="I8378" s="310">
        <v>44413.0</v>
      </c>
      <c r="J8378" s="319">
        <f>IFERROR(__xludf.DUMMYFUNCTION("SPLIT(I8378,""/"")"),5.0)</f>
        <v>5</v>
      </c>
      <c r="K8378" s="308">
        <f>IFERROR(__xludf.DUMMYFUNCTION("""COMPUTED_VALUE"""),8.0)</f>
        <v>8</v>
      </c>
      <c r="L8378" s="308">
        <f>IFERROR(__xludf.DUMMYFUNCTION("""COMPUTED_VALUE"""),2021.0)</f>
        <v>2021</v>
      </c>
      <c r="M8378" s="308" t="s">
        <v>33000</v>
      </c>
      <c r="N8378" s="308" t="s">
        <v>33001</v>
      </c>
      <c r="O8378" s="308"/>
      <c r="P8378" s="308" t="s">
        <v>33002</v>
      </c>
      <c r="Q8378" s="308" t="s">
        <v>40225</v>
      </c>
      <c r="R8378" s="308" t="s">
        <v>31554</v>
      </c>
      <c r="S8378" s="308" t="s">
        <v>81</v>
      </c>
      <c r="T8378" s="308" t="s">
        <v>75</v>
      </c>
      <c r="U8378" s="308" t="s">
        <v>166</v>
      </c>
      <c r="V8378" s="308"/>
    </row>
    <row r="8379">
      <c r="A8379" s="308"/>
      <c r="B8379" s="308"/>
      <c r="C8379" s="308" t="s">
        <v>33003</v>
      </c>
      <c r="D8379" s="308">
        <f>IFERROR(__xludf.DUMMYFUNCTION("SPLIT(C8379,""-"")"),8399.0)</f>
        <v>8399</v>
      </c>
      <c r="E8379" s="308" t="str">
        <f>IFERROR(__xludf.DUMMYFUNCTION("""COMPUTED_VALUE"""),"K")</f>
        <v>K</v>
      </c>
      <c r="F8379" s="309" t="s">
        <v>34</v>
      </c>
      <c r="G8379" s="308"/>
      <c r="H8379" s="308" t="s">
        <v>40226</v>
      </c>
      <c r="I8379" s="310">
        <v>40360.0</v>
      </c>
      <c r="J8379" s="319">
        <f>IFERROR(__xludf.DUMMYFUNCTION("SPLIT(I8379,""/"")"),1.0)</f>
        <v>1</v>
      </c>
      <c r="K8379" s="308">
        <f>IFERROR(__xludf.DUMMYFUNCTION("""COMPUTED_VALUE"""),7.0)</f>
        <v>7</v>
      </c>
      <c r="L8379" s="308">
        <f>IFERROR(__xludf.DUMMYFUNCTION("""COMPUTED_VALUE"""),2010.0)</f>
        <v>2010</v>
      </c>
      <c r="M8379" s="308" t="s">
        <v>33005</v>
      </c>
      <c r="N8379" s="308" t="s">
        <v>33006</v>
      </c>
      <c r="O8379" s="308"/>
      <c r="P8379" s="308" t="s">
        <v>136</v>
      </c>
      <c r="Q8379" s="308" t="s">
        <v>40227</v>
      </c>
      <c r="R8379" s="308" t="s">
        <v>2743</v>
      </c>
      <c r="S8379" s="315" t="s">
        <v>100</v>
      </c>
      <c r="T8379" s="308" t="s">
        <v>34208</v>
      </c>
      <c r="U8379" s="308" t="s">
        <v>941</v>
      </c>
      <c r="V8379" s="308"/>
    </row>
    <row r="8380">
      <c r="A8380" s="308"/>
      <c r="B8380" s="308"/>
      <c r="C8380" s="308" t="s">
        <v>33007</v>
      </c>
      <c r="D8380" s="308">
        <f>IFERROR(__xludf.DUMMYFUNCTION("SPLIT(C8380,""-"")"),8400.0)</f>
        <v>8400</v>
      </c>
      <c r="E8380" s="308" t="str">
        <f>IFERROR(__xludf.DUMMYFUNCTION("""COMPUTED_VALUE"""),"B")</f>
        <v>B</v>
      </c>
      <c r="F8380" s="315" t="s">
        <v>26</v>
      </c>
      <c r="G8380" s="308"/>
      <c r="H8380" s="308" t="s">
        <v>33008</v>
      </c>
      <c r="I8380" s="310">
        <v>43624.0</v>
      </c>
      <c r="J8380" s="319">
        <f>IFERROR(__xludf.DUMMYFUNCTION("SPLIT(I8380,""/"")"),8.0)</f>
        <v>8</v>
      </c>
      <c r="K8380" s="308">
        <f>IFERROR(__xludf.DUMMYFUNCTION("""COMPUTED_VALUE"""),6.0)</f>
        <v>6</v>
      </c>
      <c r="L8380" s="308">
        <f>IFERROR(__xludf.DUMMYFUNCTION("""COMPUTED_VALUE"""),2019.0)</f>
        <v>2019</v>
      </c>
      <c r="M8380" s="308" t="s">
        <v>33009</v>
      </c>
      <c r="N8380" s="308" t="s">
        <v>33010</v>
      </c>
      <c r="O8380" s="308"/>
      <c r="P8380" s="308" t="s">
        <v>136</v>
      </c>
      <c r="Q8380" s="308" t="s">
        <v>40227</v>
      </c>
      <c r="R8380" s="308" t="s">
        <v>2743</v>
      </c>
      <c r="S8380" s="315" t="s">
        <v>100</v>
      </c>
      <c r="T8380" s="308" t="s">
        <v>34208</v>
      </c>
      <c r="U8380" s="308" t="s">
        <v>33011</v>
      </c>
      <c r="V8380" s="308"/>
    </row>
    <row r="8381">
      <c r="A8381" s="308"/>
      <c r="B8381" s="308"/>
      <c r="C8381" s="308" t="s">
        <v>33012</v>
      </c>
      <c r="D8381" s="308">
        <f>IFERROR(__xludf.DUMMYFUNCTION("SPLIT(C8381,""-"")"),8401.0)</f>
        <v>8401</v>
      </c>
      <c r="E8381" s="308" t="str">
        <f>IFERROR(__xludf.DUMMYFUNCTION("""COMPUTED_VALUE"""),"K")</f>
        <v>K</v>
      </c>
      <c r="F8381" s="309" t="s">
        <v>34</v>
      </c>
      <c r="G8381" s="308"/>
      <c r="H8381" s="308" t="s">
        <v>33013</v>
      </c>
      <c r="I8381" s="310">
        <v>42450.0</v>
      </c>
      <c r="J8381" s="319">
        <f>IFERROR(__xludf.DUMMYFUNCTION("SPLIT(I8381,""/"")"),21.0)</f>
        <v>21</v>
      </c>
      <c r="K8381" s="308">
        <f>IFERROR(__xludf.DUMMYFUNCTION("""COMPUTED_VALUE"""),3.0)</f>
        <v>3</v>
      </c>
      <c r="L8381" s="308">
        <f>IFERROR(__xludf.DUMMYFUNCTION("""COMPUTED_VALUE"""),2016.0)</f>
        <v>2016</v>
      </c>
      <c r="M8381" s="308" t="s">
        <v>33014</v>
      </c>
      <c r="N8381" s="308" t="s">
        <v>33015</v>
      </c>
      <c r="O8381" s="308"/>
      <c r="P8381" s="308" t="s">
        <v>136</v>
      </c>
      <c r="Q8381" s="308" t="s">
        <v>40228</v>
      </c>
      <c r="R8381" s="308" t="s">
        <v>2743</v>
      </c>
      <c r="S8381" s="315" t="s">
        <v>100</v>
      </c>
      <c r="T8381" s="308" t="s">
        <v>34208</v>
      </c>
      <c r="U8381" s="308" t="s">
        <v>542</v>
      </c>
      <c r="V8381" s="308"/>
    </row>
    <row r="8382">
      <c r="A8382" s="308"/>
      <c r="B8382" s="308"/>
      <c r="C8382" s="308" t="s">
        <v>33016</v>
      </c>
      <c r="D8382" s="308">
        <f>IFERROR(__xludf.DUMMYFUNCTION("SPLIT(C8382,""-"")"),8402.0)</f>
        <v>8402</v>
      </c>
      <c r="E8382" s="308" t="str">
        <f>IFERROR(__xludf.DUMMYFUNCTION("""COMPUTED_VALUE"""),"K")</f>
        <v>K</v>
      </c>
      <c r="F8382" s="309" t="s">
        <v>34</v>
      </c>
      <c r="G8382" s="308"/>
      <c r="H8382" s="308" t="s">
        <v>33017</v>
      </c>
      <c r="I8382" s="310">
        <v>44460.0</v>
      </c>
      <c r="J8382" s="319">
        <f>IFERROR(__xludf.DUMMYFUNCTION("SPLIT(I8382,""/"")"),21.0)</f>
        <v>21</v>
      </c>
      <c r="K8382" s="308">
        <f>IFERROR(__xludf.DUMMYFUNCTION("""COMPUTED_VALUE"""),9.0)</f>
        <v>9</v>
      </c>
      <c r="L8382" s="308">
        <f>IFERROR(__xludf.DUMMYFUNCTION("""COMPUTED_VALUE"""),2021.0)</f>
        <v>2021</v>
      </c>
      <c r="M8382" s="308" t="s">
        <v>33018</v>
      </c>
      <c r="N8382" s="308" t="s">
        <v>33019</v>
      </c>
      <c r="O8382" s="308"/>
      <c r="P8382" s="308" t="s">
        <v>136</v>
      </c>
      <c r="Q8382" s="308" t="s">
        <v>40228</v>
      </c>
      <c r="R8382" s="308" t="s">
        <v>30692</v>
      </c>
      <c r="S8382" s="315" t="s">
        <v>100</v>
      </c>
      <c r="T8382" s="308" t="s">
        <v>34208</v>
      </c>
      <c r="U8382" s="308" t="s">
        <v>19459</v>
      </c>
      <c r="V8382" s="308"/>
    </row>
    <row r="8383">
      <c r="A8383" s="308"/>
      <c r="B8383" s="308"/>
      <c r="C8383" s="308" t="s">
        <v>33020</v>
      </c>
      <c r="D8383" s="308">
        <f>IFERROR(__xludf.DUMMYFUNCTION("SPLIT(C8383,""-"")"),8403.0)</f>
        <v>8403</v>
      </c>
      <c r="E8383" s="308" t="str">
        <f>IFERROR(__xludf.DUMMYFUNCTION("""COMPUTED_VALUE"""),"B")</f>
        <v>B</v>
      </c>
      <c r="F8383" s="315" t="s">
        <v>26</v>
      </c>
      <c r="G8383" s="308"/>
      <c r="H8383" s="308" t="s">
        <v>33021</v>
      </c>
      <c r="I8383" s="310">
        <v>42710.0</v>
      </c>
      <c r="J8383" s="319">
        <f>IFERROR(__xludf.DUMMYFUNCTION("SPLIT(I8383,""/"")"),6.0)</f>
        <v>6</v>
      </c>
      <c r="K8383" s="308">
        <f>IFERROR(__xludf.DUMMYFUNCTION("""COMPUTED_VALUE"""),12.0)</f>
        <v>12</v>
      </c>
      <c r="L8383" s="308">
        <f>IFERROR(__xludf.DUMMYFUNCTION("""COMPUTED_VALUE"""),2016.0)</f>
        <v>2016</v>
      </c>
      <c r="M8383" s="308" t="s">
        <v>33022</v>
      </c>
      <c r="N8383" s="308" t="s">
        <v>439</v>
      </c>
      <c r="O8383" s="308"/>
      <c r="P8383" s="308" t="s">
        <v>33023</v>
      </c>
      <c r="Q8383" s="308"/>
      <c r="R8383" s="308" t="s">
        <v>32774</v>
      </c>
      <c r="S8383" s="308" t="s">
        <v>81</v>
      </c>
      <c r="T8383" s="308" t="s">
        <v>75</v>
      </c>
      <c r="U8383" s="308" t="s">
        <v>27</v>
      </c>
      <c r="V8383" s="308"/>
    </row>
    <row r="8384">
      <c r="A8384" s="308"/>
      <c r="B8384" s="308"/>
      <c r="C8384" s="308" t="s">
        <v>33024</v>
      </c>
      <c r="D8384" s="308">
        <f>IFERROR(__xludf.DUMMYFUNCTION("SPLIT(C8384,""-"")"),8404.0)</f>
        <v>8404</v>
      </c>
      <c r="E8384" s="308" t="str">
        <f>IFERROR(__xludf.DUMMYFUNCTION("""COMPUTED_VALUE"""),"B")</f>
        <v>B</v>
      </c>
      <c r="F8384" s="315" t="s">
        <v>26</v>
      </c>
      <c r="G8384" s="308"/>
      <c r="H8384" s="308" t="s">
        <v>33025</v>
      </c>
      <c r="I8384" s="314">
        <v>38639.0</v>
      </c>
      <c r="J8384" s="319">
        <f>IFERROR(__xludf.DUMMYFUNCTION("SPLIT(I8384,""/"")"),14.0)</f>
        <v>14</v>
      </c>
      <c r="K8384" s="308">
        <f>IFERROR(__xludf.DUMMYFUNCTION("""COMPUTED_VALUE"""),10.0)</f>
        <v>10</v>
      </c>
      <c r="L8384" s="308">
        <f>IFERROR(__xludf.DUMMYFUNCTION("""COMPUTED_VALUE"""),2005.0)</f>
        <v>2005</v>
      </c>
      <c r="M8384" s="308" t="s">
        <v>33026</v>
      </c>
      <c r="N8384" s="308"/>
      <c r="O8384" s="308"/>
      <c r="P8384" s="308" t="s">
        <v>40229</v>
      </c>
      <c r="Q8384" s="308"/>
      <c r="R8384" s="308"/>
      <c r="S8384" s="308" t="s">
        <v>81</v>
      </c>
      <c r="T8384" s="308" t="s">
        <v>75</v>
      </c>
      <c r="U8384" s="308"/>
      <c r="V8384" s="308"/>
    </row>
    <row r="8385">
      <c r="A8385" s="308"/>
      <c r="B8385" s="308"/>
      <c r="C8385" s="308" t="s">
        <v>33028</v>
      </c>
      <c r="D8385" s="308">
        <f>IFERROR(__xludf.DUMMYFUNCTION("SPLIT(C8385,""-"")"),8405.0)</f>
        <v>8405</v>
      </c>
      <c r="E8385" s="308" t="str">
        <f>IFERROR(__xludf.DUMMYFUNCTION("""COMPUTED_VALUE"""),"B")</f>
        <v>B</v>
      </c>
      <c r="F8385" s="315" t="s">
        <v>26</v>
      </c>
      <c r="G8385" s="308"/>
      <c r="H8385" s="308" t="s">
        <v>33029</v>
      </c>
      <c r="I8385" s="314">
        <v>39080.0</v>
      </c>
      <c r="J8385" s="319">
        <f>IFERROR(__xludf.DUMMYFUNCTION("SPLIT(I8385,""/"")"),29.0)</f>
        <v>29</v>
      </c>
      <c r="K8385" s="308">
        <f>IFERROR(__xludf.DUMMYFUNCTION("""COMPUTED_VALUE"""),12.0)</f>
        <v>12</v>
      </c>
      <c r="L8385" s="308">
        <f>IFERROR(__xludf.DUMMYFUNCTION("""COMPUTED_VALUE"""),2006.0)</f>
        <v>2006</v>
      </c>
      <c r="M8385" s="308" t="s">
        <v>33030</v>
      </c>
      <c r="N8385" s="308"/>
      <c r="O8385" s="308"/>
      <c r="P8385" s="308" t="s">
        <v>33031</v>
      </c>
      <c r="Q8385" s="308"/>
      <c r="R8385" s="308"/>
      <c r="S8385" s="308" t="s">
        <v>49</v>
      </c>
      <c r="T8385" s="308" t="s">
        <v>51</v>
      </c>
      <c r="U8385" s="308"/>
      <c r="V8385" s="308"/>
    </row>
    <row r="8386">
      <c r="A8386" s="308"/>
      <c r="B8386" s="308"/>
      <c r="C8386" s="308" t="s">
        <v>33032</v>
      </c>
      <c r="D8386" s="308">
        <f>IFERROR(__xludf.DUMMYFUNCTION("SPLIT(C8386,""-"")"),8406.0)</f>
        <v>8406</v>
      </c>
      <c r="E8386" s="308" t="str">
        <f>IFERROR(__xludf.DUMMYFUNCTION("""COMPUTED_VALUE"""),"B")</f>
        <v>B</v>
      </c>
      <c r="F8386" s="315" t="s">
        <v>26</v>
      </c>
      <c r="G8386" s="308"/>
      <c r="H8386" s="308" t="s">
        <v>33033</v>
      </c>
      <c r="I8386" s="310">
        <v>38954.0</v>
      </c>
      <c r="J8386" s="319">
        <f>IFERROR(__xludf.DUMMYFUNCTION("SPLIT(I8386,""/"")"),25.0)</f>
        <v>25</v>
      </c>
      <c r="K8386" s="308">
        <f>IFERROR(__xludf.DUMMYFUNCTION("""COMPUTED_VALUE"""),8.0)</f>
        <v>8</v>
      </c>
      <c r="L8386" s="308">
        <f>IFERROR(__xludf.DUMMYFUNCTION("""COMPUTED_VALUE"""),2006.0)</f>
        <v>2006</v>
      </c>
      <c r="M8386" s="308" t="s">
        <v>33034</v>
      </c>
      <c r="N8386" s="308"/>
      <c r="O8386" s="308"/>
      <c r="P8386" s="308" t="s">
        <v>33035</v>
      </c>
      <c r="Q8386" s="308"/>
      <c r="R8386" s="308"/>
      <c r="S8386" s="308" t="s">
        <v>81</v>
      </c>
      <c r="T8386" s="308" t="s">
        <v>75</v>
      </c>
      <c r="U8386" s="308"/>
      <c r="V8386" s="308"/>
    </row>
    <row r="8387">
      <c r="A8387" s="308"/>
      <c r="B8387" s="308"/>
      <c r="C8387" s="308" t="s">
        <v>33036</v>
      </c>
      <c r="D8387" s="308">
        <f>IFERROR(__xludf.DUMMYFUNCTION("SPLIT(C8387,""-"")"),8407.0)</f>
        <v>8407</v>
      </c>
      <c r="E8387" s="308" t="str">
        <f>IFERROR(__xludf.DUMMYFUNCTION("""COMPUTED_VALUE"""),"B")</f>
        <v>B</v>
      </c>
      <c r="F8387" s="315" t="s">
        <v>26</v>
      </c>
      <c r="G8387" s="308"/>
      <c r="H8387" s="308" t="s">
        <v>33037</v>
      </c>
      <c r="I8387" s="314">
        <v>39011.0</v>
      </c>
      <c r="J8387" s="319">
        <f>IFERROR(__xludf.DUMMYFUNCTION("SPLIT(I8387,""/"")"),21.0)</f>
        <v>21</v>
      </c>
      <c r="K8387" s="308">
        <f>IFERROR(__xludf.DUMMYFUNCTION("""COMPUTED_VALUE"""),10.0)</f>
        <v>10</v>
      </c>
      <c r="L8387" s="308">
        <f>IFERROR(__xludf.DUMMYFUNCTION("""COMPUTED_VALUE"""),2006.0)</f>
        <v>2006</v>
      </c>
      <c r="M8387" s="308" t="s">
        <v>33038</v>
      </c>
      <c r="N8387" s="308"/>
      <c r="O8387" s="308"/>
      <c r="P8387" s="308" t="s">
        <v>33039</v>
      </c>
      <c r="Q8387" s="308"/>
      <c r="R8387" s="308"/>
      <c r="S8387" s="308" t="s">
        <v>81</v>
      </c>
      <c r="T8387" s="308" t="s">
        <v>75</v>
      </c>
      <c r="U8387" s="308"/>
      <c r="V8387" s="308"/>
    </row>
    <row r="8388">
      <c r="A8388" s="308"/>
      <c r="B8388" s="308"/>
      <c r="C8388" s="308" t="s">
        <v>33040</v>
      </c>
      <c r="D8388" s="308">
        <f>IFERROR(__xludf.DUMMYFUNCTION("SPLIT(C8388,""-"")"),8408.0)</f>
        <v>8408</v>
      </c>
      <c r="E8388" s="308" t="str">
        <f>IFERROR(__xludf.DUMMYFUNCTION("""COMPUTED_VALUE"""),"B")</f>
        <v>B</v>
      </c>
      <c r="F8388" s="315" t="s">
        <v>26</v>
      </c>
      <c r="G8388" s="308"/>
      <c r="H8388" s="308" t="s">
        <v>33041</v>
      </c>
      <c r="I8388" s="310">
        <v>37659.0</v>
      </c>
      <c r="J8388" s="319">
        <f>IFERROR(__xludf.DUMMYFUNCTION("SPLIT(I8388,""/"")"),7.0)</f>
        <v>7</v>
      </c>
      <c r="K8388" s="308">
        <f>IFERROR(__xludf.DUMMYFUNCTION("""COMPUTED_VALUE"""),2.0)</f>
        <v>2</v>
      </c>
      <c r="L8388" s="308">
        <f>IFERROR(__xludf.DUMMYFUNCTION("""COMPUTED_VALUE"""),2003.0)</f>
        <v>2003</v>
      </c>
      <c r="M8388" s="308" t="s">
        <v>33026</v>
      </c>
      <c r="N8388" s="308"/>
      <c r="O8388" s="308"/>
      <c r="P8388" s="308" t="s">
        <v>33042</v>
      </c>
      <c r="Q8388" s="308"/>
      <c r="R8388" s="308"/>
      <c r="S8388" s="308" t="s">
        <v>49</v>
      </c>
      <c r="T8388" s="311" t="s">
        <v>72</v>
      </c>
      <c r="U8388" s="308"/>
      <c r="V8388" s="308"/>
    </row>
    <row r="8389">
      <c r="A8389" s="308"/>
      <c r="B8389" s="308"/>
      <c r="C8389" s="308" t="s">
        <v>33043</v>
      </c>
      <c r="D8389" s="308">
        <f>IFERROR(__xludf.DUMMYFUNCTION("SPLIT(C8389,""-"")"),8409.0)</f>
        <v>8409</v>
      </c>
      <c r="E8389" s="308" t="str">
        <f>IFERROR(__xludf.DUMMYFUNCTION("""COMPUTED_VALUE"""),"B")</f>
        <v>B</v>
      </c>
      <c r="F8389" s="315" t="s">
        <v>26</v>
      </c>
      <c r="G8389" s="308"/>
      <c r="H8389" s="308" t="s">
        <v>33044</v>
      </c>
      <c r="I8389" s="316">
        <v>2002.0</v>
      </c>
      <c r="J8389" s="319"/>
      <c r="K8389" s="308"/>
      <c r="L8389" s="311">
        <v>2002.0</v>
      </c>
      <c r="M8389" s="308"/>
      <c r="N8389" s="308"/>
      <c r="O8389" s="308"/>
      <c r="P8389" s="308" t="s">
        <v>33045</v>
      </c>
      <c r="Q8389" s="308"/>
      <c r="R8389" s="308"/>
      <c r="S8389" s="308" t="s">
        <v>49</v>
      </c>
      <c r="T8389" s="311" t="s">
        <v>51</v>
      </c>
      <c r="U8389" s="308"/>
      <c r="V8389" s="308"/>
    </row>
    <row r="8390">
      <c r="A8390" s="308"/>
      <c r="B8390" s="308"/>
      <c r="C8390" s="308" t="s">
        <v>33046</v>
      </c>
      <c r="D8390" s="308">
        <f>IFERROR(__xludf.DUMMYFUNCTION("SPLIT(C8390,""-"")"),8410.0)</f>
        <v>8410</v>
      </c>
      <c r="E8390" s="308" t="str">
        <f>IFERROR(__xludf.DUMMYFUNCTION("""COMPUTED_VALUE"""),"B")</f>
        <v>B</v>
      </c>
      <c r="F8390" s="315" t="s">
        <v>26</v>
      </c>
      <c r="G8390" s="308"/>
      <c r="H8390" s="308" t="s">
        <v>33047</v>
      </c>
      <c r="I8390" s="310">
        <v>42491.0</v>
      </c>
      <c r="J8390" s="319">
        <f>IFERROR(__xludf.DUMMYFUNCTION("SPLIT(I8390,""/"")"),1.0)</f>
        <v>1</v>
      </c>
      <c r="K8390" s="308">
        <f>IFERROR(__xludf.DUMMYFUNCTION("""COMPUTED_VALUE"""),5.0)</f>
        <v>5</v>
      </c>
      <c r="L8390" s="308">
        <f>IFERROR(__xludf.DUMMYFUNCTION("""COMPUTED_VALUE"""),2016.0)</f>
        <v>2016</v>
      </c>
      <c r="M8390" s="308" t="s">
        <v>33048</v>
      </c>
      <c r="N8390" s="308"/>
      <c r="O8390" s="308"/>
      <c r="P8390" s="308" t="s">
        <v>33049</v>
      </c>
      <c r="Q8390" s="308"/>
      <c r="R8390" s="308"/>
      <c r="S8390" s="308" t="s">
        <v>81</v>
      </c>
      <c r="T8390" s="311" t="s">
        <v>96</v>
      </c>
      <c r="U8390" s="308"/>
      <c r="V8390" s="308"/>
    </row>
    <row r="8391">
      <c r="A8391" s="308"/>
      <c r="B8391" s="308"/>
      <c r="C8391" s="308" t="s">
        <v>33050</v>
      </c>
      <c r="D8391" s="308">
        <f>IFERROR(__xludf.DUMMYFUNCTION("SPLIT(C8391,""-"")"),8411.0)</f>
        <v>8411</v>
      </c>
      <c r="E8391" s="308" t="str">
        <f>IFERROR(__xludf.DUMMYFUNCTION("""COMPUTED_VALUE"""),"B")</f>
        <v>B</v>
      </c>
      <c r="F8391" s="315" t="s">
        <v>26</v>
      </c>
      <c r="G8391" s="308"/>
      <c r="H8391" s="308" t="s">
        <v>33051</v>
      </c>
      <c r="I8391" s="310">
        <v>42199.0</v>
      </c>
      <c r="J8391" s="319">
        <f>IFERROR(__xludf.DUMMYFUNCTION("SPLIT(I8391,""/"")"),14.0)</f>
        <v>14</v>
      </c>
      <c r="K8391" s="308">
        <f>IFERROR(__xludf.DUMMYFUNCTION("""COMPUTED_VALUE"""),7.0)</f>
        <v>7</v>
      </c>
      <c r="L8391" s="308">
        <f>IFERROR(__xludf.DUMMYFUNCTION("""COMPUTED_VALUE"""),2015.0)</f>
        <v>2015</v>
      </c>
      <c r="M8391" s="308" t="s">
        <v>33048</v>
      </c>
      <c r="N8391" s="308"/>
      <c r="O8391" s="308"/>
      <c r="P8391" s="308" t="s">
        <v>33052</v>
      </c>
      <c r="Q8391" s="308"/>
      <c r="R8391" s="308"/>
      <c r="S8391" s="308" t="s">
        <v>81</v>
      </c>
      <c r="T8391" s="308" t="s">
        <v>75</v>
      </c>
      <c r="U8391" s="308"/>
      <c r="V8391" s="308"/>
    </row>
    <row r="8392">
      <c r="A8392" s="308"/>
      <c r="B8392" s="308"/>
      <c r="C8392" s="308" t="s">
        <v>33053</v>
      </c>
      <c r="D8392" s="308">
        <f>IFERROR(__xludf.DUMMYFUNCTION("SPLIT(C8392,""-"")"),8412.0)</f>
        <v>8412</v>
      </c>
      <c r="E8392" s="308" t="str">
        <f>IFERROR(__xludf.DUMMYFUNCTION("""COMPUTED_VALUE"""),"B")</f>
        <v>B</v>
      </c>
      <c r="F8392" s="315" t="s">
        <v>26</v>
      </c>
      <c r="G8392" s="308"/>
      <c r="H8392" s="308" t="s">
        <v>33054</v>
      </c>
      <c r="I8392" s="314">
        <v>40112.0</v>
      </c>
      <c r="J8392" s="319">
        <f>IFERROR(__xludf.DUMMYFUNCTION("SPLIT(I8392,""/"")"),26.0)</f>
        <v>26</v>
      </c>
      <c r="K8392" s="308">
        <f>IFERROR(__xludf.DUMMYFUNCTION("""COMPUTED_VALUE"""),10.0)</f>
        <v>10</v>
      </c>
      <c r="L8392" s="308">
        <f>IFERROR(__xludf.DUMMYFUNCTION("""COMPUTED_VALUE"""),2009.0)</f>
        <v>2009</v>
      </c>
      <c r="M8392" s="308" t="s">
        <v>33055</v>
      </c>
      <c r="N8392" s="308"/>
      <c r="O8392" s="308"/>
      <c r="P8392" s="308" t="s">
        <v>40230</v>
      </c>
      <c r="Q8392" s="308"/>
      <c r="R8392" s="308"/>
      <c r="S8392" s="308" t="s">
        <v>81</v>
      </c>
      <c r="T8392" s="311" t="s">
        <v>77</v>
      </c>
      <c r="U8392" s="308"/>
      <c r="V8392" s="308"/>
    </row>
    <row r="8393">
      <c r="A8393" s="308"/>
      <c r="B8393" s="308"/>
      <c r="C8393" s="308" t="s">
        <v>33057</v>
      </c>
      <c r="D8393" s="308">
        <f>IFERROR(__xludf.DUMMYFUNCTION("SPLIT(C8393,""-"")"),8413.0)</f>
        <v>8413</v>
      </c>
      <c r="E8393" s="308" t="str">
        <f>IFERROR(__xludf.DUMMYFUNCTION("""COMPUTED_VALUE"""),"B")</f>
        <v>B</v>
      </c>
      <c r="F8393" s="315" t="s">
        <v>26</v>
      </c>
      <c r="G8393" s="308"/>
      <c r="H8393" s="308" t="s">
        <v>33058</v>
      </c>
      <c r="I8393" s="310">
        <v>40355.0</v>
      </c>
      <c r="J8393" s="319">
        <f>IFERROR(__xludf.DUMMYFUNCTION("SPLIT(I8393,""/"")"),26.0)</f>
        <v>26</v>
      </c>
      <c r="K8393" s="308">
        <f>IFERROR(__xludf.DUMMYFUNCTION("""COMPUTED_VALUE"""),6.0)</f>
        <v>6</v>
      </c>
      <c r="L8393" s="308">
        <f>IFERROR(__xludf.DUMMYFUNCTION("""COMPUTED_VALUE"""),2010.0)</f>
        <v>2010</v>
      </c>
      <c r="M8393" s="308" t="s">
        <v>33059</v>
      </c>
      <c r="N8393" s="308"/>
      <c r="O8393" s="308"/>
      <c r="P8393" s="308" t="s">
        <v>33060</v>
      </c>
      <c r="Q8393" s="308"/>
      <c r="R8393" s="308"/>
      <c r="S8393" s="308" t="s">
        <v>81</v>
      </c>
      <c r="T8393" s="311" t="s">
        <v>77</v>
      </c>
      <c r="U8393" s="308"/>
      <c r="V8393" s="308"/>
    </row>
    <row r="8394">
      <c r="A8394" s="308"/>
      <c r="B8394" s="308"/>
      <c r="C8394" s="308" t="s">
        <v>33061</v>
      </c>
      <c r="D8394" s="308">
        <f>IFERROR(__xludf.DUMMYFUNCTION("SPLIT(C8394,""-"")"),8414.0)</f>
        <v>8414</v>
      </c>
      <c r="E8394" s="308" t="str">
        <f>IFERROR(__xludf.DUMMYFUNCTION("""COMPUTED_VALUE"""),"B")</f>
        <v>B</v>
      </c>
      <c r="F8394" s="315" t="s">
        <v>26</v>
      </c>
      <c r="G8394" s="308"/>
      <c r="H8394" s="308" t="s">
        <v>33062</v>
      </c>
      <c r="I8394" s="310">
        <v>42255.0</v>
      </c>
      <c r="J8394" s="319">
        <f>IFERROR(__xludf.DUMMYFUNCTION("SPLIT(I8394,""/"")"),8.0)</f>
        <v>8</v>
      </c>
      <c r="K8394" s="308">
        <f>IFERROR(__xludf.DUMMYFUNCTION("""COMPUTED_VALUE"""),9.0)</f>
        <v>9</v>
      </c>
      <c r="L8394" s="308">
        <f>IFERROR(__xludf.DUMMYFUNCTION("""COMPUTED_VALUE"""),2015.0)</f>
        <v>2015</v>
      </c>
      <c r="M8394" s="308" t="s">
        <v>33063</v>
      </c>
      <c r="N8394" s="308"/>
      <c r="O8394" s="308"/>
      <c r="P8394" s="308" t="s">
        <v>40231</v>
      </c>
      <c r="Q8394" s="308"/>
      <c r="R8394" s="308"/>
      <c r="S8394" s="308" t="s">
        <v>81</v>
      </c>
      <c r="T8394" s="311" t="s">
        <v>77</v>
      </c>
      <c r="U8394" s="308"/>
      <c r="V8394" s="308"/>
    </row>
    <row r="8395">
      <c r="A8395" s="308"/>
      <c r="B8395" s="308"/>
      <c r="C8395" s="308" t="s">
        <v>33065</v>
      </c>
      <c r="D8395" s="308">
        <f>IFERROR(__xludf.DUMMYFUNCTION("SPLIT(C8395,""-"")"),8415.0)</f>
        <v>8415</v>
      </c>
      <c r="E8395" s="308" t="str">
        <f>IFERROR(__xludf.DUMMYFUNCTION("""COMPUTED_VALUE"""),"B")</f>
        <v>B</v>
      </c>
      <c r="F8395" s="315" t="s">
        <v>26</v>
      </c>
      <c r="G8395" s="308"/>
      <c r="H8395" s="308" t="s">
        <v>33066</v>
      </c>
      <c r="I8395" s="314">
        <v>40264.0</v>
      </c>
      <c r="J8395" s="319">
        <f>IFERROR(__xludf.DUMMYFUNCTION("SPLIT(I8395,""/"")"),27.0)</f>
        <v>27</v>
      </c>
      <c r="K8395" s="308">
        <f>IFERROR(__xludf.DUMMYFUNCTION("""COMPUTED_VALUE"""),3.0)</f>
        <v>3</v>
      </c>
      <c r="L8395" s="308">
        <f>IFERROR(__xludf.DUMMYFUNCTION("""COMPUTED_VALUE"""),2010.0)</f>
        <v>2010</v>
      </c>
      <c r="M8395" s="308" t="s">
        <v>33067</v>
      </c>
      <c r="N8395" s="308"/>
      <c r="O8395" s="308"/>
      <c r="P8395" s="308" t="s">
        <v>40232</v>
      </c>
      <c r="Q8395" s="308"/>
      <c r="R8395" s="308"/>
      <c r="S8395" s="308" t="s">
        <v>81</v>
      </c>
      <c r="T8395" s="311" t="s">
        <v>77</v>
      </c>
      <c r="U8395" s="308"/>
      <c r="V8395" s="308" t="s">
        <v>33069</v>
      </c>
    </row>
    <row r="8396">
      <c r="A8396" s="308"/>
      <c r="B8396" s="308"/>
      <c r="C8396" s="308" t="s">
        <v>33070</v>
      </c>
      <c r="D8396" s="308">
        <f>IFERROR(__xludf.DUMMYFUNCTION("SPLIT(C8396,""-"")"),8416.0)</f>
        <v>8416</v>
      </c>
      <c r="E8396" s="308" t="str">
        <f>IFERROR(__xludf.DUMMYFUNCTION("""COMPUTED_VALUE"""),"K")</f>
        <v>K</v>
      </c>
      <c r="F8396" s="309" t="s">
        <v>34</v>
      </c>
      <c r="G8396" s="308"/>
      <c r="H8396" s="308" t="s">
        <v>33071</v>
      </c>
      <c r="I8396" s="314">
        <v>41961.0</v>
      </c>
      <c r="J8396" s="319">
        <f>IFERROR(__xludf.DUMMYFUNCTION("SPLIT(I8396,""/"")"),18.0)</f>
        <v>18</v>
      </c>
      <c r="K8396" s="308">
        <f>IFERROR(__xludf.DUMMYFUNCTION("""COMPUTED_VALUE"""),11.0)</f>
        <v>11</v>
      </c>
      <c r="L8396" s="308">
        <f>IFERROR(__xludf.DUMMYFUNCTION("""COMPUTED_VALUE"""),2014.0)</f>
        <v>2014</v>
      </c>
      <c r="M8396" s="308" t="s">
        <v>33072</v>
      </c>
      <c r="N8396" s="308" t="s">
        <v>439</v>
      </c>
      <c r="O8396" s="308"/>
      <c r="P8396" s="308" t="s">
        <v>136</v>
      </c>
      <c r="Q8396" s="308" t="s">
        <v>40233</v>
      </c>
      <c r="R8396" s="308" t="s">
        <v>2743</v>
      </c>
      <c r="S8396" s="315" t="s">
        <v>100</v>
      </c>
      <c r="T8396" s="308" t="s">
        <v>34208</v>
      </c>
      <c r="U8396" s="308" t="s">
        <v>18616</v>
      </c>
      <c r="V8396" s="308" t="s">
        <v>33073</v>
      </c>
    </row>
    <row r="8397">
      <c r="A8397" s="308"/>
      <c r="B8397" s="308"/>
      <c r="C8397" s="308" t="s">
        <v>33074</v>
      </c>
      <c r="D8397" s="308">
        <f>IFERROR(__xludf.DUMMYFUNCTION("SPLIT(C8397,""-"")"),8417.0)</f>
        <v>8417</v>
      </c>
      <c r="E8397" s="308" t="str">
        <f>IFERROR(__xludf.DUMMYFUNCTION("""COMPUTED_VALUE"""),"K")</f>
        <v>K</v>
      </c>
      <c r="F8397" s="309" t="s">
        <v>34</v>
      </c>
      <c r="G8397" s="308"/>
      <c r="H8397" s="308" t="s">
        <v>33075</v>
      </c>
      <c r="I8397" s="314">
        <v>41961.0</v>
      </c>
      <c r="J8397" s="319">
        <f>IFERROR(__xludf.DUMMYFUNCTION("SPLIT(I8397,""/"")"),18.0)</f>
        <v>18</v>
      </c>
      <c r="K8397" s="308">
        <f>IFERROR(__xludf.DUMMYFUNCTION("""COMPUTED_VALUE"""),11.0)</f>
        <v>11</v>
      </c>
      <c r="L8397" s="308">
        <f>IFERROR(__xludf.DUMMYFUNCTION("""COMPUTED_VALUE"""),2014.0)</f>
        <v>2014</v>
      </c>
      <c r="M8397" s="308" t="s">
        <v>33072</v>
      </c>
      <c r="N8397" s="308" t="s">
        <v>439</v>
      </c>
      <c r="O8397" s="308"/>
      <c r="P8397" s="308" t="s">
        <v>136</v>
      </c>
      <c r="Q8397" s="308" t="s">
        <v>40233</v>
      </c>
      <c r="R8397" s="308" t="s">
        <v>2743</v>
      </c>
      <c r="S8397" s="315" t="s">
        <v>100</v>
      </c>
      <c r="T8397" s="308" t="s">
        <v>34208</v>
      </c>
      <c r="U8397" s="308" t="s">
        <v>18616</v>
      </c>
      <c r="V8397" s="308"/>
    </row>
    <row r="8398">
      <c r="A8398" s="308"/>
      <c r="B8398" s="308"/>
      <c r="C8398" s="308" t="s">
        <v>33076</v>
      </c>
      <c r="D8398" s="308">
        <f>IFERROR(__xludf.DUMMYFUNCTION("SPLIT(C8398,""-"")"),8418.0)</f>
        <v>8418</v>
      </c>
      <c r="E8398" s="308" t="str">
        <f>IFERROR(__xludf.DUMMYFUNCTION("""COMPUTED_VALUE"""),"K")</f>
        <v>K</v>
      </c>
      <c r="F8398" s="309" t="s">
        <v>34</v>
      </c>
      <c r="G8398" s="308"/>
      <c r="H8398" s="308" t="s">
        <v>33077</v>
      </c>
      <c r="I8398" s="314">
        <v>41961.0</v>
      </c>
      <c r="J8398" s="319">
        <f>IFERROR(__xludf.DUMMYFUNCTION("SPLIT(I8398,""/"")"),18.0)</f>
        <v>18</v>
      </c>
      <c r="K8398" s="308">
        <f>IFERROR(__xludf.DUMMYFUNCTION("""COMPUTED_VALUE"""),11.0)</f>
        <v>11</v>
      </c>
      <c r="L8398" s="308">
        <f>IFERROR(__xludf.DUMMYFUNCTION("""COMPUTED_VALUE"""),2014.0)</f>
        <v>2014</v>
      </c>
      <c r="M8398" s="308" t="s">
        <v>33072</v>
      </c>
      <c r="N8398" s="308" t="s">
        <v>33078</v>
      </c>
      <c r="O8398" s="308"/>
      <c r="P8398" s="308" t="s">
        <v>136</v>
      </c>
      <c r="Q8398" s="308" t="s">
        <v>40233</v>
      </c>
      <c r="R8398" s="308" t="s">
        <v>2743</v>
      </c>
      <c r="S8398" s="315" t="s">
        <v>100</v>
      </c>
      <c r="T8398" s="308" t="s">
        <v>34208</v>
      </c>
      <c r="U8398" s="308" t="s">
        <v>18616</v>
      </c>
      <c r="V8398" s="308"/>
    </row>
    <row r="8399">
      <c r="A8399" s="308"/>
      <c r="B8399" s="308"/>
      <c r="C8399" s="308" t="s">
        <v>33079</v>
      </c>
      <c r="D8399" s="308">
        <f>IFERROR(__xludf.DUMMYFUNCTION("SPLIT(C8399,""-"")"),8419.0)</f>
        <v>8419</v>
      </c>
      <c r="E8399" s="308" t="str">
        <f>IFERROR(__xludf.DUMMYFUNCTION("""COMPUTED_VALUE"""),"K")</f>
        <v>K</v>
      </c>
      <c r="F8399" s="309" t="s">
        <v>34</v>
      </c>
      <c r="G8399" s="308"/>
      <c r="H8399" s="308" t="s">
        <v>33080</v>
      </c>
      <c r="I8399" s="310">
        <v>43115.0</v>
      </c>
      <c r="J8399" s="319">
        <f>IFERROR(__xludf.DUMMYFUNCTION("SPLIT(I8399,""/"")"),15.0)</f>
        <v>15</v>
      </c>
      <c r="K8399" s="308">
        <f>IFERROR(__xludf.DUMMYFUNCTION("""COMPUTED_VALUE"""),1.0)</f>
        <v>1</v>
      </c>
      <c r="L8399" s="308">
        <f>IFERROR(__xludf.DUMMYFUNCTION("""COMPUTED_VALUE"""),2018.0)</f>
        <v>2018</v>
      </c>
      <c r="M8399" s="308" t="s">
        <v>33081</v>
      </c>
      <c r="N8399" s="308" t="s">
        <v>33082</v>
      </c>
      <c r="O8399" s="308"/>
      <c r="P8399" s="308" t="s">
        <v>136</v>
      </c>
      <c r="Q8399" s="308" t="s">
        <v>40234</v>
      </c>
      <c r="R8399" s="308" t="s">
        <v>2743</v>
      </c>
      <c r="S8399" s="315" t="s">
        <v>100</v>
      </c>
      <c r="T8399" s="308" t="s">
        <v>34208</v>
      </c>
      <c r="U8399" s="308" t="s">
        <v>7530</v>
      </c>
      <c r="V8399" s="308"/>
    </row>
    <row r="8400">
      <c r="A8400" s="308"/>
      <c r="B8400" s="308"/>
      <c r="C8400" s="308" t="s">
        <v>33083</v>
      </c>
      <c r="D8400" s="308">
        <f>IFERROR(__xludf.DUMMYFUNCTION("SPLIT(C8400,""-"")"),8420.0)</f>
        <v>8420</v>
      </c>
      <c r="E8400" s="308" t="str">
        <f>IFERROR(__xludf.DUMMYFUNCTION("""COMPUTED_VALUE"""),"K")</f>
        <v>K</v>
      </c>
      <c r="F8400" s="309" t="s">
        <v>34</v>
      </c>
      <c r="G8400" s="308"/>
      <c r="H8400" s="308" t="s">
        <v>33084</v>
      </c>
      <c r="I8400" s="310">
        <v>42457.0</v>
      </c>
      <c r="J8400" s="319">
        <f>IFERROR(__xludf.DUMMYFUNCTION("SPLIT(I8400,""/"")"),28.0)</f>
        <v>28</v>
      </c>
      <c r="K8400" s="308">
        <f>IFERROR(__xludf.DUMMYFUNCTION("""COMPUTED_VALUE"""),3.0)</f>
        <v>3</v>
      </c>
      <c r="L8400" s="308">
        <f>IFERROR(__xludf.DUMMYFUNCTION("""COMPUTED_VALUE"""),2016.0)</f>
        <v>2016</v>
      </c>
      <c r="M8400" s="308" t="s">
        <v>40235</v>
      </c>
      <c r="N8400" s="308" t="s">
        <v>33086</v>
      </c>
      <c r="O8400" s="308"/>
      <c r="P8400" s="308" t="s">
        <v>136</v>
      </c>
      <c r="Q8400" s="308" t="s">
        <v>40234</v>
      </c>
      <c r="R8400" s="308" t="s">
        <v>2743</v>
      </c>
      <c r="S8400" s="315" t="s">
        <v>100</v>
      </c>
      <c r="T8400" s="308" t="s">
        <v>34208</v>
      </c>
      <c r="U8400" s="308" t="s">
        <v>125</v>
      </c>
      <c r="V8400" s="308"/>
    </row>
    <row r="8401">
      <c r="A8401" s="308"/>
      <c r="B8401" s="308"/>
      <c r="C8401" s="308" t="s">
        <v>33087</v>
      </c>
      <c r="D8401" s="308">
        <f>IFERROR(__xludf.DUMMYFUNCTION("SPLIT(C8401,""-"")"),8421.0)</f>
        <v>8421</v>
      </c>
      <c r="E8401" s="308" t="str">
        <f>IFERROR(__xludf.DUMMYFUNCTION("""COMPUTED_VALUE"""),"I")</f>
        <v>I</v>
      </c>
      <c r="F8401" s="309" t="s">
        <v>31</v>
      </c>
      <c r="G8401" s="308"/>
      <c r="H8401" s="308" t="s">
        <v>33088</v>
      </c>
      <c r="I8401" s="310">
        <v>44563.0</v>
      </c>
      <c r="J8401" s="319">
        <f>IFERROR(__xludf.DUMMYFUNCTION("SPLIT(I8401,""/"")"),2.0)</f>
        <v>2</v>
      </c>
      <c r="K8401" s="308">
        <f>IFERROR(__xludf.DUMMYFUNCTION("""COMPUTED_VALUE"""),1.0)</f>
        <v>1</v>
      </c>
      <c r="L8401" s="308">
        <f>IFERROR(__xludf.DUMMYFUNCTION("""COMPUTED_VALUE"""),2022.0)</f>
        <v>2022</v>
      </c>
      <c r="M8401" s="308" t="s">
        <v>33089</v>
      </c>
      <c r="N8401" s="308" t="s">
        <v>33090</v>
      </c>
      <c r="O8401" s="308"/>
      <c r="P8401" s="308"/>
      <c r="Q8401" s="308" t="s">
        <v>40236</v>
      </c>
      <c r="R8401" s="308" t="s">
        <v>2743</v>
      </c>
      <c r="S8401" s="308" t="s">
        <v>79</v>
      </c>
      <c r="T8401" s="308" t="s">
        <v>79</v>
      </c>
      <c r="U8401" s="308" t="s">
        <v>31</v>
      </c>
      <c r="V8401" s="308"/>
    </row>
    <row r="8402">
      <c r="A8402" s="308"/>
      <c r="B8402" s="308"/>
      <c r="C8402" s="308" t="s">
        <v>33091</v>
      </c>
      <c r="D8402" s="308">
        <f>IFERROR(__xludf.DUMMYFUNCTION("SPLIT(C8402,""-"")"),8422.0)</f>
        <v>8422</v>
      </c>
      <c r="E8402" s="308" t="str">
        <f>IFERROR(__xludf.DUMMYFUNCTION("""COMPUTED_VALUE"""),"K")</f>
        <v>K</v>
      </c>
      <c r="F8402" s="309" t="s">
        <v>34</v>
      </c>
      <c r="G8402" s="308"/>
      <c r="H8402" s="308" t="s">
        <v>33092</v>
      </c>
      <c r="I8402" s="310">
        <v>44016.0</v>
      </c>
      <c r="J8402" s="319">
        <f>IFERROR(__xludf.DUMMYFUNCTION("SPLIT(I8402,""/"")"),4.0)</f>
        <v>4</v>
      </c>
      <c r="K8402" s="308">
        <f>IFERROR(__xludf.DUMMYFUNCTION("""COMPUTED_VALUE"""),7.0)</f>
        <v>7</v>
      </c>
      <c r="L8402" s="308">
        <f>IFERROR(__xludf.DUMMYFUNCTION("""COMPUTED_VALUE"""),2020.0)</f>
        <v>2020</v>
      </c>
      <c r="M8402" s="308" t="s">
        <v>33093</v>
      </c>
      <c r="N8402" s="308" t="s">
        <v>33094</v>
      </c>
      <c r="O8402" s="308"/>
      <c r="P8402" s="308" t="s">
        <v>136</v>
      </c>
      <c r="Q8402" s="308" t="s">
        <v>40236</v>
      </c>
      <c r="R8402" s="308" t="s">
        <v>2743</v>
      </c>
      <c r="S8402" s="315" t="s">
        <v>100</v>
      </c>
      <c r="T8402" s="308" t="s">
        <v>34208</v>
      </c>
      <c r="U8402" s="308" t="s">
        <v>125</v>
      </c>
      <c r="V8402" s="308"/>
    </row>
    <row r="8403">
      <c r="A8403" s="308"/>
      <c r="B8403" s="308"/>
      <c r="C8403" s="308" t="s">
        <v>33095</v>
      </c>
      <c r="D8403" s="308">
        <f>IFERROR(__xludf.DUMMYFUNCTION("SPLIT(C8403,""-"")"),8423.0)</f>
        <v>8423</v>
      </c>
      <c r="E8403" s="308" t="str">
        <f>IFERROR(__xludf.DUMMYFUNCTION("""COMPUTED_VALUE"""),"B")</f>
        <v>B</v>
      </c>
      <c r="F8403" s="315" t="s">
        <v>26</v>
      </c>
      <c r="G8403" s="308"/>
      <c r="H8403" s="308" t="s">
        <v>33096</v>
      </c>
      <c r="I8403" s="310">
        <v>44563.0</v>
      </c>
      <c r="J8403" s="319">
        <f>IFERROR(__xludf.DUMMYFUNCTION("SPLIT(I8403,""/"")"),2.0)</f>
        <v>2</v>
      </c>
      <c r="K8403" s="308">
        <f>IFERROR(__xludf.DUMMYFUNCTION("""COMPUTED_VALUE"""),1.0)</f>
        <v>1</v>
      </c>
      <c r="L8403" s="308">
        <f>IFERROR(__xludf.DUMMYFUNCTION("""COMPUTED_VALUE"""),2022.0)</f>
        <v>2022</v>
      </c>
      <c r="M8403" s="308" t="s">
        <v>33097</v>
      </c>
      <c r="N8403" s="308" t="s">
        <v>33098</v>
      </c>
      <c r="O8403" s="308" t="s">
        <v>33099</v>
      </c>
      <c r="P8403" s="308" t="s">
        <v>136</v>
      </c>
      <c r="Q8403" s="308" t="s">
        <v>40236</v>
      </c>
      <c r="R8403" s="308" t="s">
        <v>2743</v>
      </c>
      <c r="S8403" s="315" t="s">
        <v>100</v>
      </c>
      <c r="T8403" s="308" t="s">
        <v>34208</v>
      </c>
      <c r="U8403" s="308" t="s">
        <v>32175</v>
      </c>
      <c r="V8403" s="308"/>
    </row>
    <row r="8404">
      <c r="A8404" s="308"/>
      <c r="B8404" s="308"/>
      <c r="C8404" s="308" t="s">
        <v>33100</v>
      </c>
      <c r="D8404" s="308">
        <f>IFERROR(__xludf.DUMMYFUNCTION("SPLIT(C8404,""-"")"),8424.0)</f>
        <v>8424</v>
      </c>
      <c r="E8404" s="308" t="str">
        <f>IFERROR(__xludf.DUMMYFUNCTION("""COMPUTED_VALUE"""),"K")</f>
        <v>K</v>
      </c>
      <c r="F8404" s="309" t="s">
        <v>34</v>
      </c>
      <c r="G8404" s="308"/>
      <c r="H8404" s="308" t="s">
        <v>33101</v>
      </c>
      <c r="I8404" s="310">
        <v>44574.0</v>
      </c>
      <c r="J8404" s="319">
        <f>IFERROR(__xludf.DUMMYFUNCTION("SPLIT(I8404,""/"")"),13.0)</f>
        <v>13</v>
      </c>
      <c r="K8404" s="308">
        <f>IFERROR(__xludf.DUMMYFUNCTION("""COMPUTED_VALUE"""),1.0)</f>
        <v>1</v>
      </c>
      <c r="L8404" s="308">
        <f>IFERROR(__xludf.DUMMYFUNCTION("""COMPUTED_VALUE"""),2022.0)</f>
        <v>2022</v>
      </c>
      <c r="M8404" s="308" t="s">
        <v>33102</v>
      </c>
      <c r="N8404" s="308" t="s">
        <v>33103</v>
      </c>
      <c r="O8404" s="308"/>
      <c r="P8404" s="308" t="s">
        <v>33104</v>
      </c>
      <c r="Q8404" s="308" t="s">
        <v>40236</v>
      </c>
      <c r="R8404" s="308" t="s">
        <v>2743</v>
      </c>
      <c r="S8404" s="308" t="s">
        <v>81</v>
      </c>
      <c r="T8404" s="311" t="s">
        <v>91</v>
      </c>
      <c r="U8404" s="308" t="s">
        <v>4487</v>
      </c>
      <c r="V8404" s="308"/>
    </row>
    <row r="8405">
      <c r="A8405" s="308"/>
      <c r="B8405" s="308"/>
      <c r="C8405" s="308" t="s">
        <v>33105</v>
      </c>
      <c r="D8405" s="308">
        <f>IFERROR(__xludf.DUMMYFUNCTION("SPLIT(C8405,""-"")"),8425.0)</f>
        <v>8425</v>
      </c>
      <c r="E8405" s="308" t="str">
        <f>IFERROR(__xludf.DUMMYFUNCTION("""COMPUTED_VALUE"""),"P")</f>
        <v>P</v>
      </c>
      <c r="F8405" s="312" t="s">
        <v>37</v>
      </c>
      <c r="G8405" s="308"/>
      <c r="H8405" s="308" t="s">
        <v>33106</v>
      </c>
      <c r="I8405" s="310">
        <v>41185.0</v>
      </c>
      <c r="J8405" s="319">
        <f>IFERROR(__xludf.DUMMYFUNCTION("SPLIT(I8405,""/"")"),3.0)</f>
        <v>3</v>
      </c>
      <c r="K8405" s="308">
        <f>IFERROR(__xludf.DUMMYFUNCTION("""COMPUTED_VALUE"""),10.0)</f>
        <v>10</v>
      </c>
      <c r="L8405" s="308">
        <f>IFERROR(__xludf.DUMMYFUNCTION("""COMPUTED_VALUE"""),2012.0)</f>
        <v>2012</v>
      </c>
      <c r="M8405" s="308" t="s">
        <v>33107</v>
      </c>
      <c r="N8405" s="308" t="s">
        <v>33108</v>
      </c>
      <c r="O8405" s="308"/>
      <c r="P8405" s="308" t="s">
        <v>136</v>
      </c>
      <c r="Q8405" s="308" t="s">
        <v>40236</v>
      </c>
      <c r="R8405" s="308" t="s">
        <v>2743</v>
      </c>
      <c r="S8405" s="315" t="s">
        <v>100</v>
      </c>
      <c r="T8405" s="308" t="s">
        <v>34208</v>
      </c>
      <c r="U8405" s="308" t="s">
        <v>31637</v>
      </c>
      <c r="V8405" s="308"/>
    </row>
    <row r="8406">
      <c r="A8406" s="308"/>
      <c r="B8406" s="308"/>
      <c r="C8406" s="308" t="s">
        <v>33109</v>
      </c>
      <c r="D8406" s="308">
        <f>IFERROR(__xludf.DUMMYFUNCTION("SPLIT(C8406,""-"")"),8426.0)</f>
        <v>8426</v>
      </c>
      <c r="E8406" s="308" t="str">
        <f>IFERROR(__xludf.DUMMYFUNCTION("""COMPUTED_VALUE"""),"K")</f>
        <v>K</v>
      </c>
      <c r="F8406" s="309" t="s">
        <v>34</v>
      </c>
      <c r="G8406" s="308"/>
      <c r="H8406" s="308" t="s">
        <v>33110</v>
      </c>
      <c r="I8406" s="316" t="s">
        <v>33111</v>
      </c>
      <c r="J8406" s="323">
        <v>8.0</v>
      </c>
      <c r="K8406" s="311">
        <v>10.0</v>
      </c>
      <c r="L8406" s="311">
        <v>2021.0</v>
      </c>
      <c r="M8406" s="308" t="s">
        <v>33112</v>
      </c>
      <c r="N8406" s="308" t="s">
        <v>33113</v>
      </c>
      <c r="O8406" s="308"/>
      <c r="P8406" s="308" t="s">
        <v>136</v>
      </c>
      <c r="Q8406" s="308" t="s">
        <v>40237</v>
      </c>
      <c r="R8406" s="308" t="s">
        <v>2743</v>
      </c>
      <c r="S8406" s="315" t="s">
        <v>100</v>
      </c>
      <c r="T8406" s="308" t="s">
        <v>34208</v>
      </c>
      <c r="U8406" s="308" t="s">
        <v>2152</v>
      </c>
      <c r="V8406" s="308"/>
    </row>
    <row r="8407">
      <c r="A8407" s="308"/>
      <c r="B8407" s="308"/>
      <c r="C8407" s="308" t="s">
        <v>33114</v>
      </c>
      <c r="D8407" s="308">
        <f>IFERROR(__xludf.DUMMYFUNCTION("SPLIT(C8407,""-"")"),8427.0)</f>
        <v>8427</v>
      </c>
      <c r="E8407" s="308" t="str">
        <f>IFERROR(__xludf.DUMMYFUNCTION("""COMPUTED_VALUE"""),"S")</f>
        <v>S</v>
      </c>
      <c r="F8407" s="312" t="s">
        <v>39</v>
      </c>
      <c r="G8407" s="308"/>
      <c r="H8407" s="308" t="s">
        <v>40238</v>
      </c>
      <c r="I8407" s="314">
        <v>44527.0</v>
      </c>
      <c r="J8407" s="319">
        <f>IFERROR(__xludf.DUMMYFUNCTION("SPLIT(I8407,""/"")"),27.0)</f>
        <v>27</v>
      </c>
      <c r="K8407" s="308">
        <f>IFERROR(__xludf.DUMMYFUNCTION("""COMPUTED_VALUE"""),11.0)</f>
        <v>11</v>
      </c>
      <c r="L8407" s="308">
        <f>IFERROR(__xludf.DUMMYFUNCTION("""COMPUTED_VALUE"""),2021.0)</f>
        <v>2021</v>
      </c>
      <c r="M8407" s="308" t="s">
        <v>33116</v>
      </c>
      <c r="N8407" s="308" t="s">
        <v>33117</v>
      </c>
      <c r="O8407" s="308"/>
      <c r="P8407" s="308" t="s">
        <v>136</v>
      </c>
      <c r="Q8407" s="308" t="s">
        <v>40237</v>
      </c>
      <c r="R8407" s="308" t="s">
        <v>30692</v>
      </c>
      <c r="S8407" s="315" t="s">
        <v>100</v>
      </c>
      <c r="T8407" s="308" t="s">
        <v>34208</v>
      </c>
      <c r="U8407" s="308" t="s">
        <v>166</v>
      </c>
      <c r="V8407" s="308"/>
    </row>
    <row r="8408">
      <c r="A8408" s="308"/>
      <c r="B8408" s="308"/>
      <c r="C8408" s="308" t="s">
        <v>33118</v>
      </c>
      <c r="D8408" s="308">
        <f>IFERROR(__xludf.DUMMYFUNCTION("SPLIT(C8408,""-"")"),8428.0)</f>
        <v>8428</v>
      </c>
      <c r="E8408" s="308" t="str">
        <f>IFERROR(__xludf.DUMMYFUNCTION("""COMPUTED_VALUE"""),"P")</f>
        <v>P</v>
      </c>
      <c r="F8408" s="312" t="s">
        <v>37</v>
      </c>
      <c r="G8408" s="308"/>
      <c r="H8408" s="308" t="s">
        <v>33119</v>
      </c>
      <c r="I8408" s="310">
        <v>44571.0</v>
      </c>
      <c r="J8408" s="319">
        <f>IFERROR(__xludf.DUMMYFUNCTION("SPLIT(I8408,""/"")"),10.0)</f>
        <v>10</v>
      </c>
      <c r="K8408" s="308">
        <f>IFERROR(__xludf.DUMMYFUNCTION("""COMPUTED_VALUE"""),1.0)</f>
        <v>1</v>
      </c>
      <c r="L8408" s="308">
        <f>IFERROR(__xludf.DUMMYFUNCTION("""COMPUTED_VALUE"""),2022.0)</f>
        <v>2022</v>
      </c>
      <c r="M8408" s="308" t="s">
        <v>33120</v>
      </c>
      <c r="N8408" s="308"/>
      <c r="O8408" s="308"/>
      <c r="P8408" s="308" t="s">
        <v>40239</v>
      </c>
      <c r="Q8408" s="308" t="s">
        <v>40237</v>
      </c>
      <c r="R8408" s="308" t="s">
        <v>2743</v>
      </c>
      <c r="S8408" s="308" t="s">
        <v>81</v>
      </c>
      <c r="T8408" s="311" t="s">
        <v>51</v>
      </c>
      <c r="U8408" s="308" t="s">
        <v>143</v>
      </c>
      <c r="V8408" s="308"/>
    </row>
    <row r="8409">
      <c r="A8409" s="308"/>
      <c r="B8409" s="308"/>
      <c r="C8409" s="308" t="s">
        <v>33122</v>
      </c>
      <c r="D8409" s="308">
        <f>IFERROR(__xludf.DUMMYFUNCTION("SPLIT(C8409,""-"")"),8429.0)</f>
        <v>8429</v>
      </c>
      <c r="E8409" s="308" t="str">
        <f>IFERROR(__xludf.DUMMYFUNCTION("""COMPUTED_VALUE"""),"K")</f>
        <v>K</v>
      </c>
      <c r="F8409" s="309" t="s">
        <v>34</v>
      </c>
      <c r="G8409" s="308"/>
      <c r="H8409" s="308" t="s">
        <v>33123</v>
      </c>
      <c r="I8409" s="310">
        <v>43935.0</v>
      </c>
      <c r="J8409" s="319">
        <f>IFERROR(__xludf.DUMMYFUNCTION("SPLIT(I8409,""/"")"),14.0)</f>
        <v>14</v>
      </c>
      <c r="K8409" s="308">
        <f>IFERROR(__xludf.DUMMYFUNCTION("""COMPUTED_VALUE"""),4.0)</f>
        <v>4</v>
      </c>
      <c r="L8409" s="308">
        <f>IFERROR(__xludf.DUMMYFUNCTION("""COMPUTED_VALUE"""),2020.0)</f>
        <v>2020</v>
      </c>
      <c r="M8409" s="308" t="s">
        <v>33124</v>
      </c>
      <c r="N8409" s="308" t="s">
        <v>40240</v>
      </c>
      <c r="O8409" s="308"/>
      <c r="P8409" s="308" t="s">
        <v>136</v>
      </c>
      <c r="Q8409" s="308" t="s">
        <v>40241</v>
      </c>
      <c r="R8409" s="308" t="s">
        <v>2743</v>
      </c>
      <c r="S8409" s="315" t="s">
        <v>100</v>
      </c>
      <c r="T8409" s="308" t="s">
        <v>34208</v>
      </c>
      <c r="U8409" s="308" t="s">
        <v>19459</v>
      </c>
      <c r="V8409" s="308"/>
    </row>
    <row r="8410">
      <c r="A8410" s="308"/>
      <c r="B8410" s="308"/>
      <c r="C8410" s="308" t="s">
        <v>33126</v>
      </c>
      <c r="D8410" s="308">
        <f>IFERROR(__xludf.DUMMYFUNCTION("SPLIT(C8410,""-"")"),8430.0)</f>
        <v>8430</v>
      </c>
      <c r="E8410" s="308" t="str">
        <f>IFERROR(__xludf.DUMMYFUNCTION("""COMPUTED_VALUE"""),"K")</f>
        <v>K</v>
      </c>
      <c r="F8410" s="309" t="s">
        <v>34</v>
      </c>
      <c r="G8410" s="308"/>
      <c r="H8410" s="308" t="s">
        <v>33127</v>
      </c>
      <c r="I8410" s="310">
        <v>43935.0</v>
      </c>
      <c r="J8410" s="319">
        <f>IFERROR(__xludf.DUMMYFUNCTION("SPLIT(I8410,""/"")"),14.0)</f>
        <v>14</v>
      </c>
      <c r="K8410" s="308">
        <f>IFERROR(__xludf.DUMMYFUNCTION("""COMPUTED_VALUE"""),4.0)</f>
        <v>4</v>
      </c>
      <c r="L8410" s="308">
        <f>IFERROR(__xludf.DUMMYFUNCTION("""COMPUTED_VALUE"""),2020.0)</f>
        <v>2020</v>
      </c>
      <c r="M8410" s="308" t="s">
        <v>33128</v>
      </c>
      <c r="N8410" s="308" t="s">
        <v>33129</v>
      </c>
      <c r="O8410" s="308"/>
      <c r="P8410" s="308" t="s">
        <v>136</v>
      </c>
      <c r="Q8410" s="308" t="s">
        <v>40241</v>
      </c>
      <c r="R8410" s="308" t="s">
        <v>2743</v>
      </c>
      <c r="S8410" s="315" t="s">
        <v>100</v>
      </c>
      <c r="T8410" s="308" t="s">
        <v>34208</v>
      </c>
      <c r="U8410" s="308" t="s">
        <v>19459</v>
      </c>
      <c r="V8410" s="308"/>
    </row>
    <row r="8411">
      <c r="A8411" s="308"/>
      <c r="B8411" s="308"/>
      <c r="C8411" s="308" t="s">
        <v>33130</v>
      </c>
      <c r="D8411" s="308">
        <f>IFERROR(__xludf.DUMMYFUNCTION("SPLIT(C8411,""-"")"),8431.0)</f>
        <v>8431</v>
      </c>
      <c r="E8411" s="308" t="str">
        <f>IFERROR(__xludf.DUMMYFUNCTION("""COMPUTED_VALUE"""),"K")</f>
        <v>K</v>
      </c>
      <c r="F8411" s="309" t="s">
        <v>34</v>
      </c>
      <c r="G8411" s="308"/>
      <c r="H8411" s="308" t="s">
        <v>33131</v>
      </c>
      <c r="I8411" s="310">
        <v>44352.0</v>
      </c>
      <c r="J8411" s="319">
        <f>IFERROR(__xludf.DUMMYFUNCTION("SPLIT(I8411,""/"")"),5.0)</f>
        <v>5</v>
      </c>
      <c r="K8411" s="308">
        <f>IFERROR(__xludf.DUMMYFUNCTION("""COMPUTED_VALUE"""),6.0)</f>
        <v>6</v>
      </c>
      <c r="L8411" s="308">
        <f>IFERROR(__xludf.DUMMYFUNCTION("""COMPUTED_VALUE"""),2021.0)</f>
        <v>2021</v>
      </c>
      <c r="M8411" s="308" t="s">
        <v>33132</v>
      </c>
      <c r="N8411" s="308" t="s">
        <v>33133</v>
      </c>
      <c r="O8411" s="308"/>
      <c r="P8411" s="308" t="s">
        <v>136</v>
      </c>
      <c r="Q8411" s="308" t="s">
        <v>40241</v>
      </c>
      <c r="R8411" s="308" t="s">
        <v>2743</v>
      </c>
      <c r="S8411" s="315" t="s">
        <v>100</v>
      </c>
      <c r="T8411" s="308" t="s">
        <v>34208</v>
      </c>
      <c r="U8411" s="308" t="s">
        <v>18616</v>
      </c>
      <c r="V8411" s="308"/>
    </row>
    <row r="8412">
      <c r="A8412" s="308"/>
      <c r="B8412" s="308"/>
      <c r="C8412" s="308" t="s">
        <v>33134</v>
      </c>
      <c r="D8412" s="308">
        <f>IFERROR(__xludf.DUMMYFUNCTION("SPLIT(C8412,""-"")"),8432.0)</f>
        <v>8432</v>
      </c>
      <c r="E8412" s="308" t="str">
        <f>IFERROR(__xludf.DUMMYFUNCTION("""COMPUTED_VALUE"""),"K")</f>
        <v>K</v>
      </c>
      <c r="F8412" s="309" t="s">
        <v>34</v>
      </c>
      <c r="G8412" s="308"/>
      <c r="H8412" s="308" t="s">
        <v>33135</v>
      </c>
      <c r="I8412" s="314">
        <v>44127.0</v>
      </c>
      <c r="J8412" s="319">
        <f>IFERROR(__xludf.DUMMYFUNCTION("SPLIT(I8412,""/"")"),23.0)</f>
        <v>23</v>
      </c>
      <c r="K8412" s="308">
        <f>IFERROR(__xludf.DUMMYFUNCTION("""COMPUTED_VALUE"""),10.0)</f>
        <v>10</v>
      </c>
      <c r="L8412" s="308">
        <f>IFERROR(__xludf.DUMMYFUNCTION("""COMPUTED_VALUE"""),2020.0)</f>
        <v>2020</v>
      </c>
      <c r="M8412" s="308" t="s">
        <v>33136</v>
      </c>
      <c r="N8412" s="308" t="s">
        <v>33137</v>
      </c>
      <c r="O8412" s="308"/>
      <c r="P8412" s="308" t="s">
        <v>136</v>
      </c>
      <c r="Q8412" s="308" t="s">
        <v>40241</v>
      </c>
      <c r="R8412" s="308" t="s">
        <v>2743</v>
      </c>
      <c r="S8412" s="315" t="s">
        <v>100</v>
      </c>
      <c r="T8412" s="308" t="s">
        <v>34208</v>
      </c>
      <c r="U8412" s="308" t="s">
        <v>125</v>
      </c>
      <c r="V8412" s="308"/>
    </row>
    <row r="8413">
      <c r="A8413" s="308"/>
      <c r="B8413" s="308"/>
      <c r="C8413" s="308" t="s">
        <v>33138</v>
      </c>
      <c r="D8413" s="308">
        <f>IFERROR(__xludf.DUMMYFUNCTION("SPLIT(C8413,""-"")"),8433.0)</f>
        <v>8433</v>
      </c>
      <c r="E8413" s="308" t="str">
        <f>IFERROR(__xludf.DUMMYFUNCTION("""COMPUTED_VALUE"""),"B")</f>
        <v>B</v>
      </c>
      <c r="F8413" s="315" t="s">
        <v>26</v>
      </c>
      <c r="G8413" s="308"/>
      <c r="H8413" s="308" t="s">
        <v>33139</v>
      </c>
      <c r="I8413" s="310">
        <v>42124.0</v>
      </c>
      <c r="J8413" s="319">
        <f>IFERROR(__xludf.DUMMYFUNCTION("SPLIT(I8413,""/"")"),30.0)</f>
        <v>30</v>
      </c>
      <c r="K8413" s="308">
        <f>IFERROR(__xludf.DUMMYFUNCTION("""COMPUTED_VALUE"""),4.0)</f>
        <v>4</v>
      </c>
      <c r="L8413" s="308">
        <f>IFERROR(__xludf.DUMMYFUNCTION("""COMPUTED_VALUE"""),2015.0)</f>
        <v>2015</v>
      </c>
      <c r="M8413" s="308" t="s">
        <v>33140</v>
      </c>
      <c r="N8413" s="308" t="s">
        <v>33141</v>
      </c>
      <c r="O8413" s="308"/>
      <c r="P8413" s="308" t="s">
        <v>136</v>
      </c>
      <c r="Q8413" s="308" t="s">
        <v>40242</v>
      </c>
      <c r="R8413" s="308" t="s">
        <v>20958</v>
      </c>
      <c r="S8413" s="315" t="s">
        <v>100</v>
      </c>
      <c r="T8413" s="308" t="s">
        <v>34208</v>
      </c>
      <c r="U8413" s="308" t="s">
        <v>32574</v>
      </c>
      <c r="V8413" s="308"/>
    </row>
    <row r="8414">
      <c r="A8414" s="308"/>
      <c r="B8414" s="308"/>
      <c r="C8414" s="308" t="s">
        <v>33142</v>
      </c>
      <c r="D8414" s="308">
        <f>IFERROR(__xludf.DUMMYFUNCTION("SPLIT(C8414,""-"")"),8434.0)</f>
        <v>8434</v>
      </c>
      <c r="E8414" s="308" t="str">
        <f>IFERROR(__xludf.DUMMYFUNCTION("""COMPUTED_VALUE"""),"B")</f>
        <v>B</v>
      </c>
      <c r="F8414" s="315" t="s">
        <v>26</v>
      </c>
      <c r="G8414" s="308"/>
      <c r="H8414" s="308" t="s">
        <v>33143</v>
      </c>
      <c r="I8414" s="310">
        <v>44233.0</v>
      </c>
      <c r="J8414" s="319">
        <f>IFERROR(__xludf.DUMMYFUNCTION("SPLIT(I8414,""/"")"),6.0)</f>
        <v>6</v>
      </c>
      <c r="K8414" s="308">
        <f>IFERROR(__xludf.DUMMYFUNCTION("""COMPUTED_VALUE"""),2.0)</f>
        <v>2</v>
      </c>
      <c r="L8414" s="308">
        <f>IFERROR(__xludf.DUMMYFUNCTION("""COMPUTED_VALUE"""),2021.0)</f>
        <v>2021</v>
      </c>
      <c r="M8414" s="308" t="s">
        <v>33144</v>
      </c>
      <c r="N8414" s="308" t="s">
        <v>33145</v>
      </c>
      <c r="O8414" s="308"/>
      <c r="P8414" s="308" t="s">
        <v>136</v>
      </c>
      <c r="Q8414" s="308" t="s">
        <v>40243</v>
      </c>
      <c r="R8414" s="308" t="s">
        <v>2743</v>
      </c>
      <c r="S8414" s="315" t="s">
        <v>100</v>
      </c>
      <c r="T8414" s="308" t="s">
        <v>34208</v>
      </c>
      <c r="U8414" s="308" t="s">
        <v>33146</v>
      </c>
      <c r="V8414" s="308"/>
    </row>
    <row r="8415">
      <c r="A8415" s="308"/>
      <c r="B8415" s="308"/>
      <c r="C8415" s="308" t="s">
        <v>33147</v>
      </c>
      <c r="D8415" s="308">
        <f>IFERROR(__xludf.DUMMYFUNCTION("SPLIT(C8415,""-"")"),8435.0)</f>
        <v>8435</v>
      </c>
      <c r="E8415" s="308" t="str">
        <f>IFERROR(__xludf.DUMMYFUNCTION("""COMPUTED_VALUE"""),"P")</f>
        <v>P</v>
      </c>
      <c r="F8415" s="312" t="s">
        <v>37</v>
      </c>
      <c r="G8415" s="308"/>
      <c r="H8415" s="308" t="s">
        <v>33148</v>
      </c>
      <c r="I8415" s="310">
        <v>44604.0</v>
      </c>
      <c r="J8415" s="319">
        <f>IFERROR(__xludf.DUMMYFUNCTION("SPLIT(I8415,""/"")"),12.0)</f>
        <v>12</v>
      </c>
      <c r="K8415" s="308">
        <f>IFERROR(__xludf.DUMMYFUNCTION("""COMPUTED_VALUE"""),2.0)</f>
        <v>2</v>
      </c>
      <c r="L8415" s="308">
        <f>IFERROR(__xludf.DUMMYFUNCTION("""COMPUTED_VALUE"""),2022.0)</f>
        <v>2022</v>
      </c>
      <c r="M8415" s="308" t="s">
        <v>33149</v>
      </c>
      <c r="N8415" s="308" t="s">
        <v>33150</v>
      </c>
      <c r="O8415" s="308"/>
      <c r="P8415" s="308" t="s">
        <v>136</v>
      </c>
      <c r="Q8415" s="308" t="s">
        <v>40243</v>
      </c>
      <c r="R8415" s="308" t="s">
        <v>31554</v>
      </c>
      <c r="S8415" s="315" t="s">
        <v>100</v>
      </c>
      <c r="T8415" s="308" t="s">
        <v>34208</v>
      </c>
      <c r="U8415" s="308" t="s">
        <v>143</v>
      </c>
      <c r="V8415" s="308"/>
    </row>
    <row r="8416">
      <c r="A8416" s="308"/>
      <c r="B8416" s="308"/>
      <c r="C8416" s="308" t="s">
        <v>33151</v>
      </c>
      <c r="D8416" s="308">
        <f>IFERROR(__xludf.DUMMYFUNCTION("SPLIT(C8416,""-"")"),8436.0)</f>
        <v>8436</v>
      </c>
      <c r="E8416" s="308" t="str">
        <f>IFERROR(__xludf.DUMMYFUNCTION("""COMPUTED_VALUE"""),"S")</f>
        <v>S</v>
      </c>
      <c r="F8416" s="312" t="s">
        <v>39</v>
      </c>
      <c r="G8416" s="308"/>
      <c r="H8416" s="308" t="s">
        <v>33152</v>
      </c>
      <c r="I8416" s="314">
        <v>44561.0</v>
      </c>
      <c r="J8416" s="319">
        <f>IFERROR(__xludf.DUMMYFUNCTION("SPLIT(I8416,""/"")"),31.0)</f>
        <v>31</v>
      </c>
      <c r="K8416" s="308">
        <f>IFERROR(__xludf.DUMMYFUNCTION("""COMPUTED_VALUE"""),12.0)</f>
        <v>12</v>
      </c>
      <c r="L8416" s="308">
        <f>IFERROR(__xludf.DUMMYFUNCTION("""COMPUTED_VALUE"""),2021.0)</f>
        <v>2021</v>
      </c>
      <c r="M8416" s="308" t="s">
        <v>33153</v>
      </c>
      <c r="N8416" s="308" t="s">
        <v>33154</v>
      </c>
      <c r="O8416" s="308"/>
      <c r="P8416" s="308" t="s">
        <v>136</v>
      </c>
      <c r="Q8416" s="308" t="s">
        <v>40243</v>
      </c>
      <c r="R8416" s="308" t="s">
        <v>2743</v>
      </c>
      <c r="S8416" s="315" t="s">
        <v>100</v>
      </c>
      <c r="T8416" s="308" t="s">
        <v>34208</v>
      </c>
      <c r="U8416" s="308" t="s">
        <v>33155</v>
      </c>
      <c r="V8416" s="308"/>
    </row>
    <row r="8417">
      <c r="A8417" s="308"/>
      <c r="B8417" s="308"/>
      <c r="C8417" s="308" t="s">
        <v>33156</v>
      </c>
      <c r="D8417" s="308">
        <f>IFERROR(__xludf.DUMMYFUNCTION("SPLIT(C8417,""-"")"),8437.0)</f>
        <v>8437</v>
      </c>
      <c r="E8417" s="308" t="str">
        <f>IFERROR(__xludf.DUMMYFUNCTION("""COMPUTED_VALUE"""),"K")</f>
        <v>K</v>
      </c>
      <c r="F8417" s="309" t="s">
        <v>34</v>
      </c>
      <c r="G8417" s="308"/>
      <c r="H8417" s="308" t="s">
        <v>33157</v>
      </c>
      <c r="I8417" s="310">
        <v>43804.0</v>
      </c>
      <c r="J8417" s="319">
        <f>IFERROR(__xludf.DUMMYFUNCTION("SPLIT(I8417,""/"")"),5.0)</f>
        <v>5</v>
      </c>
      <c r="K8417" s="308">
        <f>IFERROR(__xludf.DUMMYFUNCTION("""COMPUTED_VALUE"""),12.0)</f>
        <v>12</v>
      </c>
      <c r="L8417" s="308">
        <f>IFERROR(__xludf.DUMMYFUNCTION("""COMPUTED_VALUE"""),2019.0)</f>
        <v>2019</v>
      </c>
      <c r="M8417" s="308" t="s">
        <v>33158</v>
      </c>
      <c r="N8417" s="308" t="s">
        <v>439</v>
      </c>
      <c r="O8417" s="308"/>
      <c r="P8417" s="308" t="s">
        <v>136</v>
      </c>
      <c r="Q8417" s="308" t="s">
        <v>40243</v>
      </c>
      <c r="R8417" s="308" t="s">
        <v>2743</v>
      </c>
      <c r="S8417" s="315" t="s">
        <v>100</v>
      </c>
      <c r="T8417" s="308" t="s">
        <v>34208</v>
      </c>
      <c r="U8417" s="308" t="s">
        <v>125</v>
      </c>
      <c r="V8417" s="308"/>
    </row>
    <row r="8418">
      <c r="A8418" s="308"/>
      <c r="B8418" s="308"/>
      <c r="C8418" s="308" t="s">
        <v>33159</v>
      </c>
      <c r="D8418" s="308">
        <f>IFERROR(__xludf.DUMMYFUNCTION("SPLIT(C8418,""-"")"),8438.0)</f>
        <v>8438</v>
      </c>
      <c r="E8418" s="308" t="str">
        <f>IFERROR(__xludf.DUMMYFUNCTION("""COMPUTED_VALUE"""),"K")</f>
        <v>K</v>
      </c>
      <c r="F8418" s="309" t="s">
        <v>34</v>
      </c>
      <c r="G8418" s="308"/>
      <c r="H8418" s="308" t="s">
        <v>33160</v>
      </c>
      <c r="I8418" s="310">
        <v>40185.0</v>
      </c>
      <c r="J8418" s="319">
        <f>IFERROR(__xludf.DUMMYFUNCTION("SPLIT(I8418,""/"")"),7.0)</f>
        <v>7</v>
      </c>
      <c r="K8418" s="308">
        <f>IFERROR(__xludf.DUMMYFUNCTION("""COMPUTED_VALUE"""),1.0)</f>
        <v>1</v>
      </c>
      <c r="L8418" s="308">
        <f>IFERROR(__xludf.DUMMYFUNCTION("""COMPUTED_VALUE"""),2010.0)</f>
        <v>2010</v>
      </c>
      <c r="M8418" s="308" t="s">
        <v>33161</v>
      </c>
      <c r="N8418" s="308" t="s">
        <v>40244</v>
      </c>
      <c r="O8418" s="308"/>
      <c r="P8418" s="308" t="s">
        <v>136</v>
      </c>
      <c r="Q8418" s="308" t="s">
        <v>40245</v>
      </c>
      <c r="R8418" s="308" t="s">
        <v>2743</v>
      </c>
      <c r="S8418" s="315" t="s">
        <v>100</v>
      </c>
      <c r="T8418" s="308" t="s">
        <v>34208</v>
      </c>
      <c r="U8418" s="308" t="s">
        <v>18616</v>
      </c>
      <c r="V8418" s="308"/>
    </row>
    <row r="8419">
      <c r="A8419" s="308"/>
      <c r="B8419" s="308"/>
      <c r="C8419" s="308" t="s">
        <v>33163</v>
      </c>
      <c r="D8419" s="308">
        <f>IFERROR(__xludf.DUMMYFUNCTION("SPLIT(C8419,""-"")"),8439.0)</f>
        <v>8439</v>
      </c>
      <c r="E8419" s="308" t="str">
        <f>IFERROR(__xludf.DUMMYFUNCTION("""COMPUTED_VALUE"""),"K")</f>
        <v>K</v>
      </c>
      <c r="F8419" s="309" t="s">
        <v>34</v>
      </c>
      <c r="G8419" s="308"/>
      <c r="H8419" s="308" t="s">
        <v>33164</v>
      </c>
      <c r="I8419" s="310">
        <v>40185.0</v>
      </c>
      <c r="J8419" s="319">
        <f>IFERROR(__xludf.DUMMYFUNCTION("SPLIT(I8419,""/"")"),7.0)</f>
        <v>7</v>
      </c>
      <c r="K8419" s="308">
        <f>IFERROR(__xludf.DUMMYFUNCTION("""COMPUTED_VALUE"""),1.0)</f>
        <v>1</v>
      </c>
      <c r="L8419" s="308">
        <f>IFERROR(__xludf.DUMMYFUNCTION("""COMPUTED_VALUE"""),2010.0)</f>
        <v>2010</v>
      </c>
      <c r="M8419" s="308" t="s">
        <v>33161</v>
      </c>
      <c r="N8419" s="308" t="s">
        <v>40244</v>
      </c>
      <c r="O8419" s="308"/>
      <c r="P8419" s="308" t="s">
        <v>136</v>
      </c>
      <c r="Q8419" s="308" t="s">
        <v>40245</v>
      </c>
      <c r="R8419" s="308" t="s">
        <v>2743</v>
      </c>
      <c r="S8419" s="315" t="s">
        <v>100</v>
      </c>
      <c r="T8419" s="308" t="s">
        <v>34208</v>
      </c>
      <c r="U8419" s="308" t="s">
        <v>18616</v>
      </c>
      <c r="V8419" s="308"/>
    </row>
    <row r="8420">
      <c r="A8420" s="308"/>
      <c r="B8420" s="308"/>
      <c r="C8420" s="308" t="s">
        <v>33165</v>
      </c>
      <c r="D8420" s="308">
        <f>IFERROR(__xludf.DUMMYFUNCTION("SPLIT(C8420,""-"")"),8440.0)</f>
        <v>8440</v>
      </c>
      <c r="E8420" s="308" t="str">
        <f>IFERROR(__xludf.DUMMYFUNCTION("""COMPUTED_VALUE"""),"B")</f>
        <v>B</v>
      </c>
      <c r="F8420" s="315" t="s">
        <v>26</v>
      </c>
      <c r="G8420" s="308"/>
      <c r="H8420" s="308" t="s">
        <v>33166</v>
      </c>
      <c r="I8420" s="310">
        <v>44583.0</v>
      </c>
      <c r="J8420" s="319">
        <f>IFERROR(__xludf.DUMMYFUNCTION("SPLIT(I8420,""/"")"),22.0)</f>
        <v>22</v>
      </c>
      <c r="K8420" s="308">
        <f>IFERROR(__xludf.DUMMYFUNCTION("""COMPUTED_VALUE"""),1.0)</f>
        <v>1</v>
      </c>
      <c r="L8420" s="308">
        <f>IFERROR(__xludf.DUMMYFUNCTION("""COMPUTED_VALUE"""),2022.0)</f>
        <v>2022</v>
      </c>
      <c r="M8420" s="308" t="s">
        <v>33167</v>
      </c>
      <c r="N8420" s="308" t="s">
        <v>33168</v>
      </c>
      <c r="O8420" s="308" t="s">
        <v>33169</v>
      </c>
      <c r="P8420" s="308" t="s">
        <v>33170</v>
      </c>
      <c r="Q8420" s="308" t="s">
        <v>40245</v>
      </c>
      <c r="R8420" s="308" t="s">
        <v>2743</v>
      </c>
      <c r="S8420" s="308" t="s">
        <v>81</v>
      </c>
      <c r="T8420" s="311" t="s">
        <v>96</v>
      </c>
      <c r="U8420" s="308" t="s">
        <v>32175</v>
      </c>
      <c r="V8420" s="308"/>
    </row>
    <row r="8421">
      <c r="A8421" s="308"/>
      <c r="B8421" s="308"/>
      <c r="C8421" s="308" t="s">
        <v>33171</v>
      </c>
      <c r="D8421" s="308">
        <f>IFERROR(__xludf.DUMMYFUNCTION("SPLIT(C8421,""-"")"),8441.0)</f>
        <v>8441</v>
      </c>
      <c r="E8421" s="308" t="str">
        <f>IFERROR(__xludf.DUMMYFUNCTION("""COMPUTED_VALUE"""),"K")</f>
        <v>K</v>
      </c>
      <c r="F8421" s="309" t="s">
        <v>34</v>
      </c>
      <c r="G8421" s="308"/>
      <c r="H8421" s="308" t="s">
        <v>33172</v>
      </c>
      <c r="I8421" s="314">
        <v>44161.0</v>
      </c>
      <c r="J8421" s="319">
        <f>IFERROR(__xludf.DUMMYFUNCTION("SPLIT(I8421,""/"")"),26.0)</f>
        <v>26</v>
      </c>
      <c r="K8421" s="308">
        <f>IFERROR(__xludf.DUMMYFUNCTION("""COMPUTED_VALUE"""),11.0)</f>
        <v>11</v>
      </c>
      <c r="L8421" s="308">
        <f>IFERROR(__xludf.DUMMYFUNCTION("""COMPUTED_VALUE"""),2020.0)</f>
        <v>2020</v>
      </c>
      <c r="M8421" s="308" t="s">
        <v>33173</v>
      </c>
      <c r="N8421" s="308" t="s">
        <v>33174</v>
      </c>
      <c r="O8421" s="308"/>
      <c r="P8421" s="308" t="s">
        <v>33175</v>
      </c>
      <c r="Q8421" s="308" t="s">
        <v>40245</v>
      </c>
      <c r="R8421" s="308" t="s">
        <v>2743</v>
      </c>
      <c r="S8421" s="308" t="s">
        <v>81</v>
      </c>
      <c r="T8421" s="308" t="s">
        <v>34264</v>
      </c>
      <c r="U8421" s="308" t="s">
        <v>19204</v>
      </c>
      <c r="V8421" s="308"/>
    </row>
    <row r="8422">
      <c r="A8422" s="308"/>
      <c r="B8422" s="308"/>
      <c r="C8422" s="308" t="s">
        <v>33176</v>
      </c>
      <c r="D8422" s="308">
        <f>IFERROR(__xludf.DUMMYFUNCTION("SPLIT(C8422,""-"")"),8442.0)</f>
        <v>8442</v>
      </c>
      <c r="E8422" s="308" t="str">
        <f>IFERROR(__xludf.DUMMYFUNCTION("""COMPUTED_VALUE"""),"K")</f>
        <v>K</v>
      </c>
      <c r="F8422" s="309" t="s">
        <v>34</v>
      </c>
      <c r="G8422" s="308"/>
      <c r="H8422" s="308" t="s">
        <v>33177</v>
      </c>
      <c r="I8422" s="310">
        <v>44093.0</v>
      </c>
      <c r="J8422" s="319">
        <f>IFERROR(__xludf.DUMMYFUNCTION("SPLIT(I8422,""/"")"),19.0)</f>
        <v>19</v>
      </c>
      <c r="K8422" s="308">
        <f>IFERROR(__xludf.DUMMYFUNCTION("""COMPUTED_VALUE"""),9.0)</f>
        <v>9</v>
      </c>
      <c r="L8422" s="308">
        <f>IFERROR(__xludf.DUMMYFUNCTION("""COMPUTED_VALUE"""),2020.0)</f>
        <v>2020</v>
      </c>
      <c r="M8422" s="308" t="s">
        <v>33178</v>
      </c>
      <c r="N8422" s="308" t="s">
        <v>40246</v>
      </c>
      <c r="O8422" s="308"/>
      <c r="P8422" s="308" t="s">
        <v>33180</v>
      </c>
      <c r="Q8422" s="308" t="s">
        <v>40245</v>
      </c>
      <c r="R8422" s="308" t="s">
        <v>2743</v>
      </c>
      <c r="S8422" s="308" t="s">
        <v>81</v>
      </c>
      <c r="T8422" s="308" t="s">
        <v>34264</v>
      </c>
      <c r="U8422" s="308" t="s">
        <v>27994</v>
      </c>
      <c r="V8422" s="308"/>
    </row>
    <row r="8423">
      <c r="A8423" s="308"/>
      <c r="B8423" s="308"/>
      <c r="C8423" s="308" t="s">
        <v>33181</v>
      </c>
      <c r="D8423" s="308">
        <f>IFERROR(__xludf.DUMMYFUNCTION("SPLIT(C8423,""-"")"),8443.0)</f>
        <v>8443</v>
      </c>
      <c r="E8423" s="308" t="str">
        <f>IFERROR(__xludf.DUMMYFUNCTION("""COMPUTED_VALUE"""),"K")</f>
        <v>K</v>
      </c>
      <c r="F8423" s="309" t="s">
        <v>34</v>
      </c>
      <c r="G8423" s="308"/>
      <c r="H8423" s="308" t="s">
        <v>33182</v>
      </c>
      <c r="I8423" s="310">
        <v>44093.0</v>
      </c>
      <c r="J8423" s="319">
        <f>IFERROR(__xludf.DUMMYFUNCTION("SPLIT(I8423,""/"")"),19.0)</f>
        <v>19</v>
      </c>
      <c r="K8423" s="308">
        <f>IFERROR(__xludf.DUMMYFUNCTION("""COMPUTED_VALUE"""),9.0)</f>
        <v>9</v>
      </c>
      <c r="L8423" s="308">
        <f>IFERROR(__xludf.DUMMYFUNCTION("""COMPUTED_VALUE"""),2020.0)</f>
        <v>2020</v>
      </c>
      <c r="M8423" s="308" t="s">
        <v>33178</v>
      </c>
      <c r="N8423" s="308" t="s">
        <v>40246</v>
      </c>
      <c r="O8423" s="308"/>
      <c r="P8423" s="308" t="s">
        <v>40247</v>
      </c>
      <c r="Q8423" s="308" t="s">
        <v>40245</v>
      </c>
      <c r="R8423" s="308" t="s">
        <v>2743</v>
      </c>
      <c r="S8423" s="308" t="s">
        <v>81</v>
      </c>
      <c r="T8423" s="308" t="s">
        <v>34264</v>
      </c>
      <c r="U8423" s="308" t="s">
        <v>27994</v>
      </c>
      <c r="V8423" s="308"/>
    </row>
    <row r="8424">
      <c r="A8424" s="308"/>
      <c r="B8424" s="308"/>
      <c r="C8424" s="308" t="s">
        <v>33184</v>
      </c>
      <c r="D8424" s="308">
        <f>IFERROR(__xludf.DUMMYFUNCTION("SPLIT(C8424,""-"")"),8444.0)</f>
        <v>8444</v>
      </c>
      <c r="E8424" s="308" t="str">
        <f>IFERROR(__xludf.DUMMYFUNCTION("""COMPUTED_VALUE"""),"K")</f>
        <v>K</v>
      </c>
      <c r="F8424" s="309" t="s">
        <v>34</v>
      </c>
      <c r="G8424" s="308"/>
      <c r="H8424" s="308" t="s">
        <v>33185</v>
      </c>
      <c r="I8424" s="310">
        <v>44007.0</v>
      </c>
      <c r="J8424" s="319">
        <f>IFERROR(__xludf.DUMMYFUNCTION("SPLIT(I8424,""/"")"),25.0)</f>
        <v>25</v>
      </c>
      <c r="K8424" s="308">
        <f>IFERROR(__xludf.DUMMYFUNCTION("""COMPUTED_VALUE"""),6.0)</f>
        <v>6</v>
      </c>
      <c r="L8424" s="308">
        <f>IFERROR(__xludf.DUMMYFUNCTION("""COMPUTED_VALUE"""),2020.0)</f>
        <v>2020</v>
      </c>
      <c r="M8424" s="308" t="s">
        <v>33186</v>
      </c>
      <c r="N8424" s="308" t="s">
        <v>40248</v>
      </c>
      <c r="O8424" s="308"/>
      <c r="P8424" s="308" t="s">
        <v>33188</v>
      </c>
      <c r="Q8424" s="308" t="s">
        <v>40245</v>
      </c>
      <c r="R8424" s="308" t="s">
        <v>2743</v>
      </c>
      <c r="S8424" s="308" t="s">
        <v>81</v>
      </c>
      <c r="T8424" s="308" t="s">
        <v>34264</v>
      </c>
      <c r="U8424" s="308" t="s">
        <v>542</v>
      </c>
      <c r="V8424" s="308"/>
    </row>
    <row r="8425">
      <c r="A8425" s="308"/>
      <c r="B8425" s="308"/>
      <c r="C8425" s="308" t="s">
        <v>33189</v>
      </c>
      <c r="D8425" s="308">
        <f>IFERROR(__xludf.DUMMYFUNCTION("SPLIT(C8425,""-"")"),8445.0)</f>
        <v>8445</v>
      </c>
      <c r="E8425" s="308" t="str">
        <f>IFERROR(__xludf.DUMMYFUNCTION("""COMPUTED_VALUE"""),"S")</f>
        <v>S</v>
      </c>
      <c r="F8425" s="312" t="s">
        <v>39</v>
      </c>
      <c r="G8425" s="308"/>
      <c r="H8425" s="308" t="s">
        <v>33190</v>
      </c>
      <c r="I8425" s="310">
        <v>44593.0</v>
      </c>
      <c r="J8425" s="319">
        <f>IFERROR(__xludf.DUMMYFUNCTION("SPLIT(I8425,""/"")"),1.0)</f>
        <v>1</v>
      </c>
      <c r="K8425" s="308">
        <f>IFERROR(__xludf.DUMMYFUNCTION("""COMPUTED_VALUE"""),2.0)</f>
        <v>2</v>
      </c>
      <c r="L8425" s="308">
        <f>IFERROR(__xludf.DUMMYFUNCTION("""COMPUTED_VALUE"""),2022.0)</f>
        <v>2022</v>
      </c>
      <c r="M8425" s="308" t="s">
        <v>33191</v>
      </c>
      <c r="N8425" s="308" t="s">
        <v>439</v>
      </c>
      <c r="O8425" s="308"/>
      <c r="P8425" s="308" t="s">
        <v>136</v>
      </c>
      <c r="Q8425" s="308" t="s">
        <v>40245</v>
      </c>
      <c r="R8425" s="308" t="s">
        <v>2743</v>
      </c>
      <c r="S8425" s="315" t="s">
        <v>100</v>
      </c>
      <c r="T8425" s="308" t="s">
        <v>34208</v>
      </c>
      <c r="U8425" s="308" t="s">
        <v>33192</v>
      </c>
      <c r="V8425" s="308"/>
    </row>
    <row r="8426">
      <c r="A8426" s="308"/>
      <c r="B8426" s="308"/>
      <c r="C8426" s="308" t="s">
        <v>33193</v>
      </c>
      <c r="D8426" s="308">
        <f>IFERROR(__xludf.DUMMYFUNCTION("SPLIT(C8426,""-"")"),8446.0)</f>
        <v>8446</v>
      </c>
      <c r="E8426" s="308" t="str">
        <f>IFERROR(__xludf.DUMMYFUNCTION("""COMPUTED_VALUE"""),"K")</f>
        <v>K</v>
      </c>
      <c r="F8426" s="309" t="s">
        <v>34</v>
      </c>
      <c r="G8426" s="308"/>
      <c r="H8426" s="308" t="s">
        <v>33194</v>
      </c>
      <c r="I8426" s="310">
        <v>41714.0</v>
      </c>
      <c r="J8426" s="319">
        <f>IFERROR(__xludf.DUMMYFUNCTION("SPLIT(I8426,""/"")"),16.0)</f>
        <v>16</v>
      </c>
      <c r="K8426" s="308">
        <f>IFERROR(__xludf.DUMMYFUNCTION("""COMPUTED_VALUE"""),3.0)</f>
        <v>3</v>
      </c>
      <c r="L8426" s="308">
        <f>IFERROR(__xludf.DUMMYFUNCTION("""COMPUTED_VALUE"""),2014.0)</f>
        <v>2014</v>
      </c>
      <c r="M8426" s="308" t="s">
        <v>33195</v>
      </c>
      <c r="N8426" s="308" t="s">
        <v>33196</v>
      </c>
      <c r="O8426" s="308"/>
      <c r="P8426" s="308" t="s">
        <v>136</v>
      </c>
      <c r="Q8426" s="308" t="s">
        <v>40245</v>
      </c>
      <c r="R8426" s="308" t="s">
        <v>2743</v>
      </c>
      <c r="S8426" s="315" t="s">
        <v>100</v>
      </c>
      <c r="T8426" s="308" t="s">
        <v>34208</v>
      </c>
      <c r="U8426" s="308" t="s">
        <v>33197</v>
      </c>
      <c r="V8426" s="308"/>
    </row>
    <row r="8427">
      <c r="A8427" s="308"/>
      <c r="B8427" s="308"/>
      <c r="C8427" s="308" t="s">
        <v>33198</v>
      </c>
      <c r="D8427" s="308">
        <f>IFERROR(__xludf.DUMMYFUNCTION("SPLIT(C8427,""-"")"),8447.0)</f>
        <v>8447</v>
      </c>
      <c r="E8427" s="308" t="str">
        <f>IFERROR(__xludf.DUMMYFUNCTION("""COMPUTED_VALUE"""),"K")</f>
        <v>K</v>
      </c>
      <c r="F8427" s="309" t="s">
        <v>34</v>
      </c>
      <c r="G8427" s="308"/>
      <c r="H8427" s="308" t="s">
        <v>33199</v>
      </c>
      <c r="I8427" s="310">
        <v>44467.0</v>
      </c>
      <c r="J8427" s="319">
        <f>IFERROR(__xludf.DUMMYFUNCTION("SPLIT(I8427,""/"")"),28.0)</f>
        <v>28</v>
      </c>
      <c r="K8427" s="308">
        <f>IFERROR(__xludf.DUMMYFUNCTION("""COMPUTED_VALUE"""),9.0)</f>
        <v>9</v>
      </c>
      <c r="L8427" s="308">
        <f>IFERROR(__xludf.DUMMYFUNCTION("""COMPUTED_VALUE"""),2021.0)</f>
        <v>2021</v>
      </c>
      <c r="M8427" s="308" t="s">
        <v>33200</v>
      </c>
      <c r="N8427" s="308" t="s">
        <v>33201</v>
      </c>
      <c r="O8427" s="308"/>
      <c r="P8427" s="308" t="s">
        <v>33202</v>
      </c>
      <c r="Q8427" s="308" t="s">
        <v>40245</v>
      </c>
      <c r="R8427" s="308" t="s">
        <v>2743</v>
      </c>
      <c r="S8427" s="308" t="s">
        <v>81</v>
      </c>
      <c r="T8427" s="308" t="s">
        <v>34264</v>
      </c>
      <c r="U8427" s="308" t="s">
        <v>33203</v>
      </c>
      <c r="V8427" s="308"/>
    </row>
    <row r="8428">
      <c r="A8428" s="308"/>
      <c r="B8428" s="308"/>
      <c r="C8428" s="308" t="s">
        <v>33204</v>
      </c>
      <c r="D8428" s="308">
        <f>IFERROR(__xludf.DUMMYFUNCTION("SPLIT(C8428,""-"")"),8448.0)</f>
        <v>8448</v>
      </c>
      <c r="E8428" s="308" t="str">
        <f>IFERROR(__xludf.DUMMYFUNCTION("""COMPUTED_VALUE"""),"K")</f>
        <v>K</v>
      </c>
      <c r="F8428" s="309" t="s">
        <v>34</v>
      </c>
      <c r="G8428" s="308"/>
      <c r="H8428" s="308" t="s">
        <v>33205</v>
      </c>
      <c r="I8428" s="310">
        <v>44035.0</v>
      </c>
      <c r="J8428" s="319">
        <f>IFERROR(__xludf.DUMMYFUNCTION("SPLIT(I8428,""/"")"),23.0)</f>
        <v>23</v>
      </c>
      <c r="K8428" s="308">
        <f>IFERROR(__xludf.DUMMYFUNCTION("""COMPUTED_VALUE"""),7.0)</f>
        <v>7</v>
      </c>
      <c r="L8428" s="308">
        <f>IFERROR(__xludf.DUMMYFUNCTION("""COMPUTED_VALUE"""),2020.0)</f>
        <v>2020</v>
      </c>
      <c r="M8428" s="308" t="s">
        <v>33206</v>
      </c>
      <c r="N8428" s="308" t="s">
        <v>33207</v>
      </c>
      <c r="O8428" s="308"/>
      <c r="P8428" s="308" t="s">
        <v>33208</v>
      </c>
      <c r="Q8428" s="308" t="s">
        <v>40249</v>
      </c>
      <c r="R8428" s="308" t="s">
        <v>2743</v>
      </c>
      <c r="S8428" s="308" t="s">
        <v>81</v>
      </c>
      <c r="T8428" s="308" t="s">
        <v>34264</v>
      </c>
      <c r="U8428" s="308" t="s">
        <v>33203</v>
      </c>
      <c r="V8428" s="308"/>
    </row>
    <row r="8429">
      <c r="A8429" s="308"/>
      <c r="B8429" s="308"/>
      <c r="C8429" s="308" t="s">
        <v>33209</v>
      </c>
      <c r="D8429" s="308">
        <f>IFERROR(__xludf.DUMMYFUNCTION("SPLIT(C8429,""-"")"),8449.0)</f>
        <v>8449</v>
      </c>
      <c r="E8429" s="308" t="str">
        <f>IFERROR(__xludf.DUMMYFUNCTION("""COMPUTED_VALUE"""),"B")</f>
        <v>B</v>
      </c>
      <c r="F8429" s="315" t="s">
        <v>26</v>
      </c>
      <c r="G8429" s="308"/>
      <c r="H8429" s="308" t="s">
        <v>33210</v>
      </c>
      <c r="I8429" s="314">
        <v>42597.0</v>
      </c>
      <c r="J8429" s="319">
        <f>IFERROR(__xludf.DUMMYFUNCTION("SPLIT(I8429,""/"")"),15.0)</f>
        <v>15</v>
      </c>
      <c r="K8429" s="308">
        <f>IFERROR(__xludf.DUMMYFUNCTION("""COMPUTED_VALUE"""),8.0)</f>
        <v>8</v>
      </c>
      <c r="L8429" s="308">
        <f>IFERROR(__xludf.DUMMYFUNCTION("""COMPUTED_VALUE"""),2016.0)</f>
        <v>2016</v>
      </c>
      <c r="M8429" s="308" t="s">
        <v>33211</v>
      </c>
      <c r="N8429" s="308"/>
      <c r="O8429" s="308"/>
      <c r="P8429" s="308" t="s">
        <v>33212</v>
      </c>
      <c r="Q8429" s="308"/>
      <c r="R8429" s="308" t="s">
        <v>2743</v>
      </c>
      <c r="S8429" s="308" t="s">
        <v>81</v>
      </c>
      <c r="T8429" s="311" t="s">
        <v>96</v>
      </c>
      <c r="U8429" s="308" t="s">
        <v>27</v>
      </c>
      <c r="V8429" s="308"/>
    </row>
    <row r="8430">
      <c r="A8430" s="308"/>
      <c r="B8430" s="308"/>
      <c r="C8430" s="308" t="s">
        <v>33213</v>
      </c>
      <c r="D8430" s="308">
        <f>IFERROR(__xludf.DUMMYFUNCTION("SPLIT(C8430,""-"")"),8450.0)</f>
        <v>8450</v>
      </c>
      <c r="E8430" s="308" t="str">
        <f>IFERROR(__xludf.DUMMYFUNCTION("""COMPUTED_VALUE"""),"B")</f>
        <v>B</v>
      </c>
      <c r="F8430" s="315" t="s">
        <v>26</v>
      </c>
      <c r="G8430" s="308"/>
      <c r="H8430" s="308" t="s">
        <v>33214</v>
      </c>
      <c r="I8430" s="316">
        <v>40764.0</v>
      </c>
      <c r="J8430" s="319"/>
      <c r="K8430" s="308"/>
      <c r="L8430" s="311" t="s">
        <v>79</v>
      </c>
      <c r="M8430" s="308" t="s">
        <v>33215</v>
      </c>
      <c r="N8430" s="308"/>
      <c r="O8430" s="308"/>
      <c r="P8430" s="308" t="s">
        <v>33216</v>
      </c>
      <c r="Q8430" s="308"/>
      <c r="R8430" s="308" t="s">
        <v>2743</v>
      </c>
      <c r="S8430" s="308" t="s">
        <v>81</v>
      </c>
      <c r="T8430" s="311" t="s">
        <v>96</v>
      </c>
      <c r="U8430" s="308" t="s">
        <v>27</v>
      </c>
      <c r="V8430" s="308"/>
    </row>
    <row r="8431">
      <c r="A8431" s="308"/>
      <c r="B8431" s="308"/>
      <c r="C8431" s="308" t="s">
        <v>33217</v>
      </c>
      <c r="D8431" s="308">
        <f>IFERROR(__xludf.DUMMYFUNCTION("SPLIT(C8431,""-"")"),8451.0)</f>
        <v>8451</v>
      </c>
      <c r="E8431" s="308" t="str">
        <f>IFERROR(__xludf.DUMMYFUNCTION("""COMPUTED_VALUE"""),"S")</f>
        <v>S</v>
      </c>
      <c r="F8431" s="312" t="s">
        <v>39</v>
      </c>
      <c r="G8431" s="308"/>
      <c r="H8431" s="308" t="s">
        <v>33218</v>
      </c>
      <c r="I8431" s="325">
        <v>42917.0</v>
      </c>
      <c r="J8431" s="319"/>
      <c r="K8431" s="308"/>
      <c r="L8431" s="311">
        <v>2017.0</v>
      </c>
      <c r="M8431" s="308" t="s">
        <v>33219</v>
      </c>
      <c r="N8431" s="308"/>
      <c r="O8431" s="308"/>
      <c r="P8431" s="308" t="s">
        <v>34212</v>
      </c>
      <c r="Q8431" s="308" t="s">
        <v>40250</v>
      </c>
      <c r="R8431" s="308" t="s">
        <v>2743</v>
      </c>
      <c r="S8431" s="315" t="s">
        <v>100</v>
      </c>
      <c r="T8431" s="311" t="s">
        <v>34208</v>
      </c>
      <c r="U8431" s="308" t="s">
        <v>166</v>
      </c>
      <c r="V8431" s="308"/>
    </row>
    <row r="8432">
      <c r="A8432" s="308"/>
      <c r="B8432" s="308"/>
      <c r="C8432" s="308" t="s">
        <v>33220</v>
      </c>
      <c r="D8432" s="308">
        <f>IFERROR(__xludf.DUMMYFUNCTION("SPLIT(C8432,""-"")"),8452.0)</f>
        <v>8452</v>
      </c>
      <c r="E8432" s="308" t="str">
        <f>IFERROR(__xludf.DUMMYFUNCTION("""COMPUTED_VALUE"""),"P")</f>
        <v>P</v>
      </c>
      <c r="F8432" s="312" t="s">
        <v>37</v>
      </c>
      <c r="G8432" s="308"/>
      <c r="H8432" s="308" t="s">
        <v>33221</v>
      </c>
      <c r="I8432" s="314">
        <v>38712.0</v>
      </c>
      <c r="J8432" s="319">
        <f>IFERROR(__xludf.DUMMYFUNCTION("SPLIT(I8432,""/"")"),26.0)</f>
        <v>26</v>
      </c>
      <c r="K8432" s="308">
        <f>IFERROR(__xludf.DUMMYFUNCTION("""COMPUTED_VALUE"""),12.0)</f>
        <v>12</v>
      </c>
      <c r="L8432" s="308">
        <f>IFERROR(__xludf.DUMMYFUNCTION("""COMPUTED_VALUE"""),2005.0)</f>
        <v>2005</v>
      </c>
      <c r="M8432" s="308" t="s">
        <v>33222</v>
      </c>
      <c r="N8432" s="308" t="s">
        <v>33223</v>
      </c>
      <c r="O8432" s="308"/>
      <c r="P8432" s="308" t="s">
        <v>34212</v>
      </c>
      <c r="Q8432" s="308" t="s">
        <v>40250</v>
      </c>
      <c r="R8432" s="308" t="s">
        <v>2743</v>
      </c>
      <c r="S8432" s="315" t="s">
        <v>100</v>
      </c>
      <c r="T8432" s="311" t="s">
        <v>34208</v>
      </c>
      <c r="U8432" s="308" t="s">
        <v>10808</v>
      </c>
      <c r="V8432" s="308"/>
    </row>
    <row r="8433">
      <c r="A8433" s="308"/>
      <c r="B8433" s="308"/>
      <c r="C8433" s="308" t="s">
        <v>33224</v>
      </c>
      <c r="D8433" s="308">
        <f>IFERROR(__xludf.DUMMYFUNCTION("SPLIT(C8433,""-"")"),8453.0)</f>
        <v>8453</v>
      </c>
      <c r="E8433" s="308" t="str">
        <f>IFERROR(__xludf.DUMMYFUNCTION("""COMPUTED_VALUE"""),"B")</f>
        <v>B</v>
      </c>
      <c r="F8433" s="315" t="s">
        <v>26</v>
      </c>
      <c r="G8433" s="308"/>
      <c r="H8433" s="308" t="s">
        <v>33225</v>
      </c>
      <c r="I8433" s="314">
        <v>40108.0</v>
      </c>
      <c r="J8433" s="319">
        <f>IFERROR(__xludf.DUMMYFUNCTION("SPLIT(I8433,""/"")"),22.0)</f>
        <v>22</v>
      </c>
      <c r="K8433" s="308">
        <f>IFERROR(__xludf.DUMMYFUNCTION("""COMPUTED_VALUE"""),10.0)</f>
        <v>10</v>
      </c>
      <c r="L8433" s="308">
        <f>IFERROR(__xludf.DUMMYFUNCTION("""COMPUTED_VALUE"""),2009.0)</f>
        <v>2009</v>
      </c>
      <c r="M8433" s="308" t="s">
        <v>33226</v>
      </c>
      <c r="N8433" s="308"/>
      <c r="O8433" s="308"/>
      <c r="P8433" s="308" t="s">
        <v>33227</v>
      </c>
      <c r="Q8433" s="308"/>
      <c r="R8433" s="308" t="s">
        <v>32774</v>
      </c>
      <c r="S8433" s="308" t="s">
        <v>81</v>
      </c>
      <c r="T8433" s="311" t="s">
        <v>96</v>
      </c>
      <c r="U8433" s="308" t="s">
        <v>27</v>
      </c>
      <c r="V8433" s="308"/>
    </row>
    <row r="8434">
      <c r="A8434" s="308"/>
      <c r="B8434" s="308"/>
      <c r="C8434" s="308" t="s">
        <v>33228</v>
      </c>
      <c r="D8434" s="308">
        <f>IFERROR(__xludf.DUMMYFUNCTION("SPLIT(C8434,""-"")"),8454.0)</f>
        <v>8454</v>
      </c>
      <c r="E8434" s="308" t="str">
        <f>IFERROR(__xludf.DUMMYFUNCTION("""COMPUTED_VALUE"""),"B")</f>
        <v>B</v>
      </c>
      <c r="F8434" s="315" t="s">
        <v>26</v>
      </c>
      <c r="G8434" s="308"/>
      <c r="H8434" s="308" t="s">
        <v>33229</v>
      </c>
      <c r="I8434" s="314">
        <v>40106.0</v>
      </c>
      <c r="J8434" s="319">
        <f>IFERROR(__xludf.DUMMYFUNCTION("SPLIT(I8434,""/"")"),20.0)</f>
        <v>20</v>
      </c>
      <c r="K8434" s="308">
        <f>IFERROR(__xludf.DUMMYFUNCTION("""COMPUTED_VALUE"""),10.0)</f>
        <v>10</v>
      </c>
      <c r="L8434" s="308">
        <f>IFERROR(__xludf.DUMMYFUNCTION("""COMPUTED_VALUE"""),2009.0)</f>
        <v>2009</v>
      </c>
      <c r="M8434" s="308" t="s">
        <v>33230</v>
      </c>
      <c r="N8434" s="308"/>
      <c r="O8434" s="308"/>
      <c r="P8434" s="308" t="s">
        <v>33231</v>
      </c>
      <c r="Q8434" s="308"/>
      <c r="R8434" s="308" t="s">
        <v>32774</v>
      </c>
      <c r="S8434" s="311" t="s">
        <v>49</v>
      </c>
      <c r="T8434" s="311" t="s">
        <v>34409</v>
      </c>
      <c r="U8434" s="308" t="s">
        <v>27</v>
      </c>
      <c r="V8434" s="308"/>
    </row>
    <row r="8435">
      <c r="A8435" s="308"/>
      <c r="B8435" s="308"/>
      <c r="C8435" s="308" t="s">
        <v>33232</v>
      </c>
      <c r="D8435" s="308">
        <f>IFERROR(__xludf.DUMMYFUNCTION("SPLIT(C8435,""-"")"),8455.0)</f>
        <v>8455</v>
      </c>
      <c r="E8435" s="308" t="str">
        <f>IFERROR(__xludf.DUMMYFUNCTION("""COMPUTED_VALUE"""),"B")</f>
        <v>B</v>
      </c>
      <c r="F8435" s="315" t="s">
        <v>26</v>
      </c>
      <c r="G8435" s="308"/>
      <c r="H8435" s="308" t="s">
        <v>33233</v>
      </c>
      <c r="I8435" s="339">
        <v>44751.0</v>
      </c>
      <c r="J8435" s="319"/>
      <c r="K8435" s="311">
        <v>7.0</v>
      </c>
      <c r="L8435" s="311">
        <v>2009.0</v>
      </c>
      <c r="M8435" s="308" t="s">
        <v>33234</v>
      </c>
      <c r="N8435" s="308"/>
      <c r="O8435" s="308"/>
      <c r="P8435" s="308" t="s">
        <v>33235</v>
      </c>
      <c r="Q8435" s="308"/>
      <c r="R8435" s="308" t="s">
        <v>32774</v>
      </c>
      <c r="S8435" s="308" t="s">
        <v>81</v>
      </c>
      <c r="T8435" s="311" t="s">
        <v>77</v>
      </c>
      <c r="U8435" s="308" t="s">
        <v>27</v>
      </c>
      <c r="V8435" s="308"/>
    </row>
    <row r="8436">
      <c r="A8436" s="308"/>
      <c r="B8436" s="308"/>
      <c r="C8436" s="308" t="s">
        <v>33236</v>
      </c>
      <c r="D8436" s="308">
        <f>IFERROR(__xludf.DUMMYFUNCTION("SPLIT(C8436,""-"")"),8456.0)</f>
        <v>8456</v>
      </c>
      <c r="E8436" s="308" t="str">
        <f>IFERROR(__xludf.DUMMYFUNCTION("""COMPUTED_VALUE"""),"B")</f>
        <v>B</v>
      </c>
      <c r="F8436" s="315" t="s">
        <v>26</v>
      </c>
      <c r="G8436" s="308"/>
      <c r="H8436" s="308" t="s">
        <v>33237</v>
      </c>
      <c r="I8436" s="314">
        <v>39885.0</v>
      </c>
      <c r="J8436" s="319">
        <f>IFERROR(__xludf.DUMMYFUNCTION("SPLIT(I8436,""/"")"),13.0)</f>
        <v>13</v>
      </c>
      <c r="K8436" s="308">
        <f>IFERROR(__xludf.DUMMYFUNCTION("""COMPUTED_VALUE"""),3.0)</f>
        <v>3</v>
      </c>
      <c r="L8436" s="308">
        <f>IFERROR(__xludf.DUMMYFUNCTION("""COMPUTED_VALUE"""),2009.0)</f>
        <v>2009</v>
      </c>
      <c r="M8436" s="308" t="s">
        <v>33238</v>
      </c>
      <c r="N8436" s="308"/>
      <c r="O8436" s="308"/>
      <c r="P8436" s="308" t="s">
        <v>33239</v>
      </c>
      <c r="Q8436" s="308"/>
      <c r="R8436" s="308" t="s">
        <v>32774</v>
      </c>
      <c r="S8436" s="308" t="s">
        <v>49</v>
      </c>
      <c r="T8436" s="311" t="s">
        <v>77</v>
      </c>
      <c r="U8436" s="308" t="s">
        <v>27</v>
      </c>
      <c r="V8436" s="308"/>
    </row>
    <row r="8437">
      <c r="A8437" s="308"/>
      <c r="B8437" s="308"/>
      <c r="C8437" s="308" t="s">
        <v>33240</v>
      </c>
      <c r="D8437" s="308">
        <f>IFERROR(__xludf.DUMMYFUNCTION("SPLIT(C8437,""-"")"),8457.0)</f>
        <v>8457</v>
      </c>
      <c r="E8437" s="308" t="str">
        <f>IFERROR(__xludf.DUMMYFUNCTION("""COMPUTED_VALUE"""),"B")</f>
        <v>B</v>
      </c>
      <c r="F8437" s="315" t="s">
        <v>26</v>
      </c>
      <c r="G8437" s="308"/>
      <c r="H8437" s="308" t="s">
        <v>33241</v>
      </c>
      <c r="I8437" s="314">
        <v>40108.0</v>
      </c>
      <c r="J8437" s="319">
        <f>IFERROR(__xludf.DUMMYFUNCTION("SPLIT(I8437,""/"")"),22.0)</f>
        <v>22</v>
      </c>
      <c r="K8437" s="308">
        <f>IFERROR(__xludf.DUMMYFUNCTION("""COMPUTED_VALUE"""),10.0)</f>
        <v>10</v>
      </c>
      <c r="L8437" s="308">
        <f>IFERROR(__xludf.DUMMYFUNCTION("""COMPUTED_VALUE"""),2009.0)</f>
        <v>2009</v>
      </c>
      <c r="M8437" s="308" t="s">
        <v>33226</v>
      </c>
      <c r="N8437" s="308"/>
      <c r="O8437" s="308"/>
      <c r="P8437" s="308" t="s">
        <v>33242</v>
      </c>
      <c r="Q8437" s="308"/>
      <c r="R8437" s="308" t="s">
        <v>32774</v>
      </c>
      <c r="S8437" s="308" t="s">
        <v>81</v>
      </c>
      <c r="T8437" s="311" t="s">
        <v>96</v>
      </c>
      <c r="U8437" s="308" t="s">
        <v>27</v>
      </c>
      <c r="V8437" s="308"/>
    </row>
    <row r="8438">
      <c r="A8438" s="308"/>
      <c r="B8438" s="308"/>
      <c r="C8438" s="308" t="s">
        <v>33243</v>
      </c>
      <c r="D8438" s="308">
        <f>IFERROR(__xludf.DUMMYFUNCTION("SPLIT(C8438,""-"")"),8458.0)</f>
        <v>8458</v>
      </c>
      <c r="E8438" s="308" t="str">
        <f>IFERROR(__xludf.DUMMYFUNCTION("""COMPUTED_VALUE"""),"B")</f>
        <v>B</v>
      </c>
      <c r="F8438" s="315" t="s">
        <v>26</v>
      </c>
      <c r="G8438" s="308"/>
      <c r="H8438" s="308" t="s">
        <v>33066</v>
      </c>
      <c r="I8438" s="314">
        <v>40264.0</v>
      </c>
      <c r="J8438" s="319">
        <f>IFERROR(__xludf.DUMMYFUNCTION("SPLIT(I8438,""/"")"),27.0)</f>
        <v>27</v>
      </c>
      <c r="K8438" s="308">
        <f>IFERROR(__xludf.DUMMYFUNCTION("""COMPUTED_VALUE"""),3.0)</f>
        <v>3</v>
      </c>
      <c r="L8438" s="308">
        <f>IFERROR(__xludf.DUMMYFUNCTION("""COMPUTED_VALUE"""),2010.0)</f>
        <v>2010</v>
      </c>
      <c r="M8438" s="308" t="s">
        <v>33067</v>
      </c>
      <c r="N8438" s="308"/>
      <c r="O8438" s="308"/>
      <c r="P8438" s="308" t="s">
        <v>33244</v>
      </c>
      <c r="Q8438" s="308"/>
      <c r="R8438" s="308" t="s">
        <v>32774</v>
      </c>
      <c r="S8438" s="308" t="s">
        <v>49</v>
      </c>
      <c r="T8438" s="308" t="s">
        <v>51</v>
      </c>
      <c r="U8438" s="308" t="s">
        <v>27</v>
      </c>
      <c r="V8438" s="308"/>
    </row>
    <row r="8439">
      <c r="A8439" s="308"/>
      <c r="B8439" s="308"/>
      <c r="C8439" s="308" t="s">
        <v>33245</v>
      </c>
      <c r="D8439" s="308">
        <f>IFERROR(__xludf.DUMMYFUNCTION("SPLIT(C8439,""-"")"),8459.0)</f>
        <v>8459</v>
      </c>
      <c r="E8439" s="308" t="str">
        <f>IFERROR(__xludf.DUMMYFUNCTION("""COMPUTED_VALUE"""),"B")</f>
        <v>B</v>
      </c>
      <c r="F8439" s="315" t="s">
        <v>26</v>
      </c>
      <c r="G8439" s="308"/>
      <c r="H8439" s="308" t="s">
        <v>33246</v>
      </c>
      <c r="I8439" s="314">
        <v>40112.0</v>
      </c>
      <c r="J8439" s="319">
        <f>IFERROR(__xludf.DUMMYFUNCTION("SPLIT(I8439,""/"")"),26.0)</f>
        <v>26</v>
      </c>
      <c r="K8439" s="308">
        <f>IFERROR(__xludf.DUMMYFUNCTION("""COMPUTED_VALUE"""),10.0)</f>
        <v>10</v>
      </c>
      <c r="L8439" s="308">
        <f>IFERROR(__xludf.DUMMYFUNCTION("""COMPUTED_VALUE"""),2009.0)</f>
        <v>2009</v>
      </c>
      <c r="M8439" s="308" t="s">
        <v>33230</v>
      </c>
      <c r="N8439" s="308"/>
      <c r="O8439" s="308"/>
      <c r="P8439" s="308" t="s">
        <v>33247</v>
      </c>
      <c r="Q8439" s="308"/>
      <c r="R8439" s="308" t="s">
        <v>32774</v>
      </c>
      <c r="S8439" s="308" t="s">
        <v>81</v>
      </c>
      <c r="T8439" s="308" t="s">
        <v>75</v>
      </c>
      <c r="U8439" s="308" t="s">
        <v>27</v>
      </c>
      <c r="V8439" s="308"/>
    </row>
    <row r="8440">
      <c r="A8440" s="308"/>
      <c r="B8440" s="308"/>
      <c r="C8440" s="308" t="s">
        <v>33248</v>
      </c>
      <c r="D8440" s="308">
        <f>IFERROR(__xludf.DUMMYFUNCTION("SPLIT(C8440,""-"")"),8460.0)</f>
        <v>8460</v>
      </c>
      <c r="E8440" s="308" t="str">
        <f>IFERROR(__xludf.DUMMYFUNCTION("""COMPUTED_VALUE"""),"B")</f>
        <v>B</v>
      </c>
      <c r="F8440" s="315" t="s">
        <v>26</v>
      </c>
      <c r="G8440" s="308"/>
      <c r="H8440" s="308" t="s">
        <v>33054</v>
      </c>
      <c r="I8440" s="314">
        <v>40112.0</v>
      </c>
      <c r="J8440" s="319">
        <f>IFERROR(__xludf.DUMMYFUNCTION("SPLIT(I8440,""/"")"),26.0)</f>
        <v>26</v>
      </c>
      <c r="K8440" s="308">
        <f>IFERROR(__xludf.DUMMYFUNCTION("""COMPUTED_VALUE"""),10.0)</f>
        <v>10</v>
      </c>
      <c r="L8440" s="308">
        <f>IFERROR(__xludf.DUMMYFUNCTION("""COMPUTED_VALUE"""),2009.0)</f>
        <v>2009</v>
      </c>
      <c r="M8440" s="308" t="s">
        <v>33055</v>
      </c>
      <c r="N8440" s="308"/>
      <c r="O8440" s="308"/>
      <c r="P8440" s="308" t="s">
        <v>33249</v>
      </c>
      <c r="Q8440" s="308"/>
      <c r="R8440" s="308" t="s">
        <v>32774</v>
      </c>
      <c r="S8440" s="308" t="s">
        <v>49</v>
      </c>
      <c r="T8440" s="311" t="s">
        <v>77</v>
      </c>
      <c r="U8440" s="308" t="s">
        <v>27</v>
      </c>
      <c r="V8440" s="308"/>
    </row>
    <row r="8441">
      <c r="A8441" s="308"/>
      <c r="B8441" s="308"/>
      <c r="C8441" s="308" t="s">
        <v>33250</v>
      </c>
      <c r="D8441" s="308">
        <f>IFERROR(__xludf.DUMMYFUNCTION("SPLIT(C8441,""-"")"),8461.0)</f>
        <v>8461</v>
      </c>
      <c r="E8441" s="308" t="str">
        <f>IFERROR(__xludf.DUMMYFUNCTION("""COMPUTED_VALUE"""),"B")</f>
        <v>B</v>
      </c>
      <c r="F8441" s="315" t="s">
        <v>26</v>
      </c>
      <c r="G8441" s="308"/>
      <c r="H8441" s="308" t="s">
        <v>33251</v>
      </c>
      <c r="I8441" s="314">
        <v>40078.0</v>
      </c>
      <c r="J8441" s="319">
        <f>IFERROR(__xludf.DUMMYFUNCTION("SPLIT(I8441,""/"")"),22.0)</f>
        <v>22</v>
      </c>
      <c r="K8441" s="308">
        <f>IFERROR(__xludf.DUMMYFUNCTION("""COMPUTED_VALUE"""),9.0)</f>
        <v>9</v>
      </c>
      <c r="L8441" s="308">
        <f>IFERROR(__xludf.DUMMYFUNCTION("""COMPUTED_VALUE"""),2009.0)</f>
        <v>2009</v>
      </c>
      <c r="M8441" s="308" t="s">
        <v>33252</v>
      </c>
      <c r="N8441" s="308"/>
      <c r="O8441" s="308"/>
      <c r="P8441" s="308" t="s">
        <v>33253</v>
      </c>
      <c r="Q8441" s="308"/>
      <c r="R8441" s="308" t="s">
        <v>32774</v>
      </c>
      <c r="S8441" s="308" t="s">
        <v>81</v>
      </c>
      <c r="T8441" s="311" t="s">
        <v>77</v>
      </c>
      <c r="U8441" s="308" t="s">
        <v>27</v>
      </c>
      <c r="V8441" s="308"/>
    </row>
    <row r="8442">
      <c r="A8442" s="308"/>
      <c r="B8442" s="308"/>
      <c r="C8442" s="308" t="s">
        <v>33254</v>
      </c>
      <c r="D8442" s="308">
        <f>IFERROR(__xludf.DUMMYFUNCTION("SPLIT(C8442,""-"")"),8462.0)</f>
        <v>8462</v>
      </c>
      <c r="E8442" s="308" t="str">
        <f>IFERROR(__xludf.DUMMYFUNCTION("""COMPUTED_VALUE"""),"B")</f>
        <v>B</v>
      </c>
      <c r="F8442" s="315" t="s">
        <v>26</v>
      </c>
      <c r="G8442" s="308"/>
      <c r="H8442" s="308" t="s">
        <v>33255</v>
      </c>
      <c r="I8442" s="314">
        <v>40815.0</v>
      </c>
      <c r="J8442" s="319">
        <f>IFERROR(__xludf.DUMMYFUNCTION("SPLIT(I8442,""/"")"),29.0)</f>
        <v>29</v>
      </c>
      <c r="K8442" s="308">
        <f>IFERROR(__xludf.DUMMYFUNCTION("""COMPUTED_VALUE"""),9.0)</f>
        <v>9</v>
      </c>
      <c r="L8442" s="308">
        <f>IFERROR(__xludf.DUMMYFUNCTION("""COMPUTED_VALUE"""),2011.0)</f>
        <v>2011</v>
      </c>
      <c r="M8442" s="308" t="s">
        <v>33256</v>
      </c>
      <c r="N8442" s="308"/>
      <c r="O8442" s="308"/>
      <c r="P8442" s="308" t="s">
        <v>40251</v>
      </c>
      <c r="Q8442" s="308"/>
      <c r="R8442" s="308" t="s">
        <v>32774</v>
      </c>
      <c r="S8442" s="308" t="s">
        <v>81</v>
      </c>
      <c r="T8442" s="311" t="s">
        <v>96</v>
      </c>
      <c r="U8442" s="308" t="s">
        <v>27</v>
      </c>
      <c r="V8442" s="308"/>
    </row>
    <row r="8443">
      <c r="A8443" s="308"/>
      <c r="B8443" s="308"/>
      <c r="C8443" s="308" t="s">
        <v>33258</v>
      </c>
      <c r="D8443" s="308">
        <f>IFERROR(__xludf.DUMMYFUNCTION("SPLIT(C8443,""-"")"),8463.0)</f>
        <v>8463</v>
      </c>
      <c r="E8443" s="308" t="str">
        <f>IFERROR(__xludf.DUMMYFUNCTION("""COMPUTED_VALUE"""),"B")</f>
        <v>B</v>
      </c>
      <c r="F8443" s="315" t="s">
        <v>26</v>
      </c>
      <c r="G8443" s="308"/>
      <c r="H8443" s="308" t="s">
        <v>33259</v>
      </c>
      <c r="I8443" s="310">
        <v>40211.0</v>
      </c>
      <c r="J8443" s="319">
        <f>IFERROR(__xludf.DUMMYFUNCTION("SPLIT(I8443,""/"")"),2.0)</f>
        <v>2</v>
      </c>
      <c r="K8443" s="308">
        <f>IFERROR(__xludf.DUMMYFUNCTION("""COMPUTED_VALUE"""),2.0)</f>
        <v>2</v>
      </c>
      <c r="L8443" s="308">
        <f>IFERROR(__xludf.DUMMYFUNCTION("""COMPUTED_VALUE"""),2010.0)</f>
        <v>2010</v>
      </c>
      <c r="M8443" s="308" t="s">
        <v>33260</v>
      </c>
      <c r="N8443" s="308"/>
      <c r="O8443" s="308"/>
      <c r="P8443" s="308" t="s">
        <v>33261</v>
      </c>
      <c r="Q8443" s="308"/>
      <c r="R8443" s="308" t="s">
        <v>32774</v>
      </c>
      <c r="S8443" s="308" t="s">
        <v>81</v>
      </c>
      <c r="T8443" s="308" t="s">
        <v>75</v>
      </c>
      <c r="U8443" s="308" t="s">
        <v>27</v>
      </c>
      <c r="V8443" s="308" t="s">
        <v>33262</v>
      </c>
    </row>
    <row r="8444">
      <c r="A8444" s="308"/>
      <c r="B8444" s="308"/>
      <c r="C8444" s="308" t="s">
        <v>33263</v>
      </c>
      <c r="D8444" s="308">
        <f>IFERROR(__xludf.DUMMYFUNCTION("SPLIT(C8444,""-"")"),8464.0)</f>
        <v>8464</v>
      </c>
      <c r="E8444" s="308" t="str">
        <f>IFERROR(__xludf.DUMMYFUNCTION("""COMPUTED_VALUE"""),"K")</f>
        <v>K</v>
      </c>
      <c r="F8444" s="309" t="s">
        <v>34</v>
      </c>
      <c r="G8444" s="308"/>
      <c r="H8444" s="308" t="s">
        <v>33264</v>
      </c>
      <c r="I8444" s="310">
        <v>42197.0</v>
      </c>
      <c r="J8444" s="319">
        <f>IFERROR(__xludf.DUMMYFUNCTION("SPLIT(I8444,""/"")"),12.0)</f>
        <v>12</v>
      </c>
      <c r="K8444" s="308">
        <f>IFERROR(__xludf.DUMMYFUNCTION("""COMPUTED_VALUE"""),7.0)</f>
        <v>7</v>
      </c>
      <c r="L8444" s="308">
        <f>IFERROR(__xludf.DUMMYFUNCTION("""COMPUTED_VALUE"""),2015.0)</f>
        <v>2015</v>
      </c>
      <c r="M8444" s="308" t="s">
        <v>33265</v>
      </c>
      <c r="N8444" s="308" t="s">
        <v>439</v>
      </c>
      <c r="O8444" s="308"/>
      <c r="P8444" s="308" t="s">
        <v>136</v>
      </c>
      <c r="Q8444" s="308" t="s">
        <v>40252</v>
      </c>
      <c r="R8444" s="308" t="s">
        <v>2743</v>
      </c>
      <c r="S8444" s="315" t="s">
        <v>100</v>
      </c>
      <c r="T8444" s="308" t="s">
        <v>34208</v>
      </c>
      <c r="U8444" s="308" t="s">
        <v>125</v>
      </c>
      <c r="V8444" s="308" t="s">
        <v>33266</v>
      </c>
    </row>
    <row r="8445">
      <c r="A8445" s="308"/>
      <c r="B8445" s="308"/>
      <c r="C8445" s="308" t="s">
        <v>33267</v>
      </c>
      <c r="D8445" s="308">
        <f>IFERROR(__xludf.DUMMYFUNCTION("SPLIT(C8445,""-"")"),8465.0)</f>
        <v>8465</v>
      </c>
      <c r="E8445" s="308" t="str">
        <f>IFERROR(__xludf.DUMMYFUNCTION("""COMPUTED_VALUE"""),"K")</f>
        <v>K</v>
      </c>
      <c r="F8445" s="309" t="s">
        <v>34</v>
      </c>
      <c r="G8445" s="308"/>
      <c r="H8445" s="308" t="s">
        <v>40253</v>
      </c>
      <c r="I8445" s="316" t="s">
        <v>33269</v>
      </c>
      <c r="J8445" s="319"/>
      <c r="K8445" s="308"/>
      <c r="L8445" s="311">
        <v>2009.0</v>
      </c>
      <c r="M8445" s="308" t="s">
        <v>33270</v>
      </c>
      <c r="N8445" s="308" t="s">
        <v>33271</v>
      </c>
      <c r="O8445" s="308"/>
      <c r="P8445" s="308" t="s">
        <v>136</v>
      </c>
      <c r="Q8445" s="308" t="s">
        <v>40252</v>
      </c>
      <c r="R8445" s="308" t="s">
        <v>2743</v>
      </c>
      <c r="S8445" s="315" t="s">
        <v>100</v>
      </c>
      <c r="T8445" s="308" t="s">
        <v>34208</v>
      </c>
      <c r="U8445" s="308" t="s">
        <v>530</v>
      </c>
      <c r="V8445" s="308"/>
    </row>
    <row r="8446">
      <c r="A8446" s="308"/>
      <c r="B8446" s="308"/>
      <c r="C8446" s="308" t="s">
        <v>33272</v>
      </c>
      <c r="D8446" s="308">
        <f>IFERROR(__xludf.DUMMYFUNCTION("SPLIT(C8446,""-"")"),8466.0)</f>
        <v>8466</v>
      </c>
      <c r="E8446" s="308" t="str">
        <f>IFERROR(__xludf.DUMMYFUNCTION("""COMPUTED_VALUE"""),"S")</f>
        <v>S</v>
      </c>
      <c r="F8446" s="312" t="s">
        <v>39</v>
      </c>
      <c r="G8446" s="308"/>
      <c r="H8446" s="308" t="s">
        <v>33273</v>
      </c>
      <c r="I8446" s="310">
        <v>44594.0</v>
      </c>
      <c r="J8446" s="319">
        <f>IFERROR(__xludf.DUMMYFUNCTION("SPLIT(I8446,""/"")"),2.0)</f>
        <v>2</v>
      </c>
      <c r="K8446" s="308">
        <f>IFERROR(__xludf.DUMMYFUNCTION("""COMPUTED_VALUE"""),2.0)</f>
        <v>2</v>
      </c>
      <c r="L8446" s="308">
        <f>IFERROR(__xludf.DUMMYFUNCTION("""COMPUTED_VALUE"""),2022.0)</f>
        <v>2022</v>
      </c>
      <c r="M8446" s="308" t="s">
        <v>33274</v>
      </c>
      <c r="N8446" s="308" t="s">
        <v>33275</v>
      </c>
      <c r="O8446" s="308"/>
      <c r="P8446" s="308" t="s">
        <v>40254</v>
      </c>
      <c r="Q8446" s="308" t="s">
        <v>40252</v>
      </c>
      <c r="R8446" s="308" t="s">
        <v>30692</v>
      </c>
      <c r="S8446" s="308" t="s">
        <v>81</v>
      </c>
      <c r="T8446" s="311" t="s">
        <v>53</v>
      </c>
      <c r="U8446" s="308" t="s">
        <v>166</v>
      </c>
      <c r="V8446" s="308"/>
    </row>
    <row r="8447">
      <c r="A8447" s="308"/>
      <c r="B8447" s="308"/>
      <c r="C8447" s="308" t="s">
        <v>33277</v>
      </c>
      <c r="D8447" s="308">
        <f>IFERROR(__xludf.DUMMYFUNCTION("SPLIT(C8447,""-"")"),8467.0)</f>
        <v>8467</v>
      </c>
      <c r="E8447" s="308" t="str">
        <f>IFERROR(__xludf.DUMMYFUNCTION("""COMPUTED_VALUE"""),"K")</f>
        <v>K</v>
      </c>
      <c r="F8447" s="309" t="s">
        <v>34</v>
      </c>
      <c r="G8447" s="308"/>
      <c r="H8447" s="308" t="s">
        <v>33278</v>
      </c>
      <c r="I8447" s="310">
        <v>44037.0</v>
      </c>
      <c r="J8447" s="319">
        <f>IFERROR(__xludf.DUMMYFUNCTION("SPLIT(I8447,""/"")"),25.0)</f>
        <v>25</v>
      </c>
      <c r="K8447" s="308">
        <f>IFERROR(__xludf.DUMMYFUNCTION("""COMPUTED_VALUE"""),7.0)</f>
        <v>7</v>
      </c>
      <c r="L8447" s="308">
        <f>IFERROR(__xludf.DUMMYFUNCTION("""COMPUTED_VALUE"""),2020.0)</f>
        <v>2020</v>
      </c>
      <c r="M8447" s="308" t="s">
        <v>33279</v>
      </c>
      <c r="N8447" s="308" t="s">
        <v>33280</v>
      </c>
      <c r="O8447" s="308"/>
      <c r="P8447" s="308" t="s">
        <v>136</v>
      </c>
      <c r="Q8447" s="308" t="s">
        <v>40255</v>
      </c>
      <c r="R8447" s="308" t="s">
        <v>2743</v>
      </c>
      <c r="S8447" s="315" t="s">
        <v>100</v>
      </c>
      <c r="T8447" s="308" t="s">
        <v>34208</v>
      </c>
      <c r="U8447" s="308" t="s">
        <v>125</v>
      </c>
      <c r="V8447" s="308"/>
    </row>
    <row r="8448">
      <c r="A8448" s="308"/>
      <c r="B8448" s="308"/>
      <c r="C8448" s="308" t="s">
        <v>33281</v>
      </c>
      <c r="D8448" s="308">
        <f>IFERROR(__xludf.DUMMYFUNCTION("SPLIT(C8448,""-"")"),8468.0)</f>
        <v>8468</v>
      </c>
      <c r="E8448" s="308" t="str">
        <f>IFERROR(__xludf.DUMMYFUNCTION("""COMPUTED_VALUE"""),"P")</f>
        <v>P</v>
      </c>
      <c r="F8448" s="312" t="s">
        <v>37</v>
      </c>
      <c r="G8448" s="308"/>
      <c r="H8448" s="308" t="s">
        <v>33282</v>
      </c>
      <c r="I8448" s="338">
        <v>44614.0</v>
      </c>
      <c r="J8448" s="323">
        <v>22.0</v>
      </c>
      <c r="K8448" s="311">
        <v>2.0</v>
      </c>
      <c r="L8448" s="311">
        <v>2022.0</v>
      </c>
      <c r="M8448" s="308" t="s">
        <v>33283</v>
      </c>
      <c r="N8448" s="312"/>
      <c r="O8448" s="308"/>
      <c r="P8448" s="308" t="s">
        <v>33284</v>
      </c>
      <c r="Q8448" s="308" t="s">
        <v>40256</v>
      </c>
      <c r="R8448" s="308" t="s">
        <v>2743</v>
      </c>
      <c r="S8448" s="308" t="s">
        <v>81</v>
      </c>
      <c r="T8448" s="308" t="s">
        <v>75</v>
      </c>
      <c r="U8448" s="308" t="s">
        <v>2291</v>
      </c>
      <c r="V8448" s="308"/>
    </row>
    <row r="8449">
      <c r="A8449" s="308"/>
      <c r="B8449" s="308"/>
      <c r="C8449" s="308" t="s">
        <v>33285</v>
      </c>
      <c r="D8449" s="308">
        <f>IFERROR(__xludf.DUMMYFUNCTION("SPLIT(C8449,""-"")"),8469.0)</f>
        <v>8469</v>
      </c>
      <c r="E8449" s="308" t="str">
        <f>IFERROR(__xludf.DUMMYFUNCTION("""COMPUTED_VALUE"""),"K")</f>
        <v>K</v>
      </c>
      <c r="F8449" s="309" t="s">
        <v>34</v>
      </c>
      <c r="G8449" s="308"/>
      <c r="H8449" s="308" t="s">
        <v>33286</v>
      </c>
      <c r="I8449" s="310">
        <v>41845.0</v>
      </c>
      <c r="J8449" s="319">
        <f>IFERROR(__xludf.DUMMYFUNCTION("SPLIT(I8449,""/"")"),25.0)</f>
        <v>25</v>
      </c>
      <c r="K8449" s="308">
        <f>IFERROR(__xludf.DUMMYFUNCTION("""COMPUTED_VALUE"""),7.0)</f>
        <v>7</v>
      </c>
      <c r="L8449" s="308">
        <f>IFERROR(__xludf.DUMMYFUNCTION("""COMPUTED_VALUE"""),2014.0)</f>
        <v>2014</v>
      </c>
      <c r="M8449" s="308" t="s">
        <v>33287</v>
      </c>
      <c r="N8449" s="308" t="s">
        <v>33288</v>
      </c>
      <c r="O8449" s="308"/>
      <c r="P8449" s="308" t="s">
        <v>136</v>
      </c>
      <c r="Q8449" s="308" t="s">
        <v>40255</v>
      </c>
      <c r="R8449" s="308" t="s">
        <v>2743</v>
      </c>
      <c r="S8449" s="315" t="s">
        <v>100</v>
      </c>
      <c r="T8449" s="308" t="s">
        <v>34208</v>
      </c>
      <c r="U8449" s="308" t="s">
        <v>125</v>
      </c>
      <c r="V8449" s="308"/>
    </row>
    <row r="8450">
      <c r="A8450" s="308"/>
      <c r="B8450" s="308"/>
      <c r="C8450" s="308" t="s">
        <v>33289</v>
      </c>
      <c r="D8450" s="308">
        <f>IFERROR(__xludf.DUMMYFUNCTION("SPLIT(C8450,""-"")"),8470.0)</f>
        <v>8470</v>
      </c>
      <c r="E8450" s="308" t="str">
        <f>IFERROR(__xludf.DUMMYFUNCTION("""COMPUTED_VALUE"""),"I")</f>
        <v>I</v>
      </c>
      <c r="F8450" s="309" t="s">
        <v>31</v>
      </c>
      <c r="G8450" s="308"/>
      <c r="H8450" s="308" t="s">
        <v>33290</v>
      </c>
      <c r="I8450" s="310">
        <v>44616.0</v>
      </c>
      <c r="J8450" s="319">
        <f>IFERROR(__xludf.DUMMYFUNCTION("SPLIT(I8450,""/"")"),24.0)</f>
        <v>24</v>
      </c>
      <c r="K8450" s="308">
        <f>IFERROR(__xludf.DUMMYFUNCTION("""COMPUTED_VALUE"""),2.0)</f>
        <v>2</v>
      </c>
      <c r="L8450" s="308">
        <f>IFERROR(__xludf.DUMMYFUNCTION("""COMPUTED_VALUE"""),2022.0)</f>
        <v>2022</v>
      </c>
      <c r="M8450" s="308" t="s">
        <v>40257</v>
      </c>
      <c r="N8450" s="308" t="s">
        <v>33292</v>
      </c>
      <c r="O8450" s="308"/>
      <c r="P8450" s="308" t="s">
        <v>40258</v>
      </c>
      <c r="Q8450" s="308" t="s">
        <v>40255</v>
      </c>
      <c r="R8450" s="308" t="s">
        <v>2743</v>
      </c>
      <c r="S8450" s="308" t="s">
        <v>81</v>
      </c>
      <c r="T8450" s="311" t="s">
        <v>90</v>
      </c>
      <c r="U8450" s="308" t="s">
        <v>31</v>
      </c>
      <c r="V8450" s="308"/>
    </row>
    <row r="8451">
      <c r="A8451" s="308"/>
      <c r="B8451" s="308"/>
      <c r="C8451" s="308" t="s">
        <v>33294</v>
      </c>
      <c r="D8451" s="308">
        <f>IFERROR(__xludf.DUMMYFUNCTION("SPLIT(C8451,""-"")"),8471.0)</f>
        <v>8471</v>
      </c>
      <c r="E8451" s="308" t="str">
        <f>IFERROR(__xludf.DUMMYFUNCTION("""COMPUTED_VALUE"""),"P")</f>
        <v>P</v>
      </c>
      <c r="F8451" s="312" t="s">
        <v>37</v>
      </c>
      <c r="G8451" s="308"/>
      <c r="H8451" s="308" t="s">
        <v>33295</v>
      </c>
      <c r="I8451" s="314">
        <v>43810.0</v>
      </c>
      <c r="J8451" s="319">
        <f>IFERROR(__xludf.DUMMYFUNCTION("SPLIT(I8451,""/"")"),11.0)</f>
        <v>11</v>
      </c>
      <c r="K8451" s="308">
        <f>IFERROR(__xludf.DUMMYFUNCTION("""COMPUTED_VALUE"""),12.0)</f>
        <v>12</v>
      </c>
      <c r="L8451" s="308">
        <f>IFERROR(__xludf.DUMMYFUNCTION("""COMPUTED_VALUE"""),2019.0)</f>
        <v>2019</v>
      </c>
      <c r="M8451" s="308" t="s">
        <v>33296</v>
      </c>
      <c r="N8451" s="308" t="s">
        <v>33297</v>
      </c>
      <c r="O8451" s="308"/>
      <c r="P8451" s="308" t="s">
        <v>136</v>
      </c>
      <c r="Q8451" s="308" t="s">
        <v>40255</v>
      </c>
      <c r="R8451" s="308" t="s">
        <v>2743</v>
      </c>
      <c r="S8451" s="315" t="s">
        <v>100</v>
      </c>
      <c r="T8451" s="308" t="s">
        <v>34208</v>
      </c>
      <c r="U8451" s="308" t="s">
        <v>149</v>
      </c>
      <c r="V8451" s="308"/>
    </row>
    <row r="8452">
      <c r="A8452" s="308"/>
      <c r="B8452" s="308"/>
      <c r="C8452" s="308" t="s">
        <v>33298</v>
      </c>
      <c r="D8452" s="308">
        <f>IFERROR(__xludf.DUMMYFUNCTION("SPLIT(C8452,""-"")"),8472.0)</f>
        <v>8472</v>
      </c>
      <c r="E8452" s="308" t="str">
        <f>IFERROR(__xludf.DUMMYFUNCTION("""COMPUTED_VALUE"""),"K")</f>
        <v>K</v>
      </c>
      <c r="F8452" s="309" t="s">
        <v>34</v>
      </c>
      <c r="G8452" s="308"/>
      <c r="H8452" s="308" t="s">
        <v>33299</v>
      </c>
      <c r="I8452" s="310">
        <v>42580.0</v>
      </c>
      <c r="J8452" s="319">
        <f>IFERROR(__xludf.DUMMYFUNCTION("SPLIT(I8452,""/"")"),29.0)</f>
        <v>29</v>
      </c>
      <c r="K8452" s="308">
        <f>IFERROR(__xludf.DUMMYFUNCTION("""COMPUTED_VALUE"""),7.0)</f>
        <v>7</v>
      </c>
      <c r="L8452" s="308">
        <f>IFERROR(__xludf.DUMMYFUNCTION("""COMPUTED_VALUE"""),2016.0)</f>
        <v>2016</v>
      </c>
      <c r="M8452" s="308" t="s">
        <v>33300</v>
      </c>
      <c r="N8452" s="308" t="s">
        <v>33301</v>
      </c>
      <c r="O8452" s="308"/>
      <c r="P8452" s="308" t="s">
        <v>136</v>
      </c>
      <c r="Q8452" s="308" t="s">
        <v>40255</v>
      </c>
      <c r="R8452" s="308" t="s">
        <v>16185</v>
      </c>
      <c r="S8452" s="315" t="s">
        <v>100</v>
      </c>
      <c r="T8452" s="308" t="s">
        <v>34208</v>
      </c>
      <c r="U8452" s="308" t="s">
        <v>25284</v>
      </c>
      <c r="V8452" s="308"/>
    </row>
    <row r="8453">
      <c r="A8453" s="308"/>
      <c r="B8453" s="308"/>
      <c r="C8453" s="308" t="s">
        <v>33302</v>
      </c>
      <c r="D8453" s="308">
        <f>IFERROR(__xludf.DUMMYFUNCTION("SPLIT(C8453,""-"")"),8473.0)</f>
        <v>8473</v>
      </c>
      <c r="E8453" s="308" t="str">
        <f>IFERROR(__xludf.DUMMYFUNCTION("""COMPUTED_VALUE"""),"K")</f>
        <v>K</v>
      </c>
      <c r="F8453" s="309" t="s">
        <v>34</v>
      </c>
      <c r="G8453" s="308"/>
      <c r="H8453" s="308" t="s">
        <v>33303</v>
      </c>
      <c r="I8453" s="316" t="s">
        <v>33304</v>
      </c>
      <c r="J8453" s="323">
        <v>2.0</v>
      </c>
      <c r="K8453" s="311">
        <v>1.0</v>
      </c>
      <c r="L8453" s="311">
        <v>2022.0</v>
      </c>
      <c r="M8453" s="308" t="s">
        <v>33305</v>
      </c>
      <c r="N8453" s="308"/>
      <c r="O8453" s="308"/>
      <c r="P8453" s="308" t="s">
        <v>136</v>
      </c>
      <c r="Q8453" s="308" t="s">
        <v>40255</v>
      </c>
      <c r="R8453" s="308" t="s">
        <v>16185</v>
      </c>
      <c r="S8453" s="315" t="s">
        <v>100</v>
      </c>
      <c r="T8453" s="308" t="s">
        <v>34208</v>
      </c>
      <c r="U8453" s="308" t="s">
        <v>2989</v>
      </c>
      <c r="V8453" s="308"/>
    </row>
    <row r="8454">
      <c r="A8454" s="308"/>
      <c r="B8454" s="308"/>
      <c r="C8454" s="308" t="s">
        <v>33306</v>
      </c>
      <c r="D8454" s="308">
        <f>IFERROR(__xludf.DUMMYFUNCTION("SPLIT(C8454,""-"")"),8474.0)</f>
        <v>8474</v>
      </c>
      <c r="E8454" s="308" t="str">
        <f>IFERROR(__xludf.DUMMYFUNCTION("""COMPUTED_VALUE"""),"K")</f>
        <v>K</v>
      </c>
      <c r="F8454" s="309" t="s">
        <v>34</v>
      </c>
      <c r="G8454" s="308"/>
      <c r="H8454" s="308" t="s">
        <v>33307</v>
      </c>
      <c r="I8454" s="310">
        <v>41861.0</v>
      </c>
      <c r="J8454" s="319">
        <f>IFERROR(__xludf.DUMMYFUNCTION("SPLIT(I8454,""/"")"),10.0)</f>
        <v>10</v>
      </c>
      <c r="K8454" s="308">
        <f>IFERROR(__xludf.DUMMYFUNCTION("""COMPUTED_VALUE"""),8.0)</f>
        <v>8</v>
      </c>
      <c r="L8454" s="308">
        <f>IFERROR(__xludf.DUMMYFUNCTION("""COMPUTED_VALUE"""),2014.0)</f>
        <v>2014</v>
      </c>
      <c r="M8454" s="308" t="s">
        <v>33308</v>
      </c>
      <c r="N8454" s="308" t="s">
        <v>33309</v>
      </c>
      <c r="O8454" s="308"/>
      <c r="P8454" s="308" t="s">
        <v>136</v>
      </c>
      <c r="Q8454" s="308" t="s">
        <v>40255</v>
      </c>
      <c r="R8454" s="308" t="s">
        <v>16185</v>
      </c>
      <c r="S8454" s="315" t="s">
        <v>100</v>
      </c>
      <c r="T8454" s="308" t="s">
        <v>34208</v>
      </c>
      <c r="U8454" s="308" t="s">
        <v>125</v>
      </c>
      <c r="V8454" s="308"/>
    </row>
    <row r="8455">
      <c r="A8455" s="308"/>
      <c r="B8455" s="308"/>
      <c r="C8455" s="308" t="s">
        <v>33310</v>
      </c>
      <c r="D8455" s="308">
        <f>IFERROR(__xludf.DUMMYFUNCTION("SPLIT(C8455,""-"")"),8475.0)</f>
        <v>8475</v>
      </c>
      <c r="E8455" s="308" t="str">
        <f>IFERROR(__xludf.DUMMYFUNCTION("""COMPUTED_VALUE"""),"S")</f>
        <v>S</v>
      </c>
      <c r="F8455" s="312" t="s">
        <v>39</v>
      </c>
      <c r="G8455" s="308"/>
      <c r="H8455" s="308" t="s">
        <v>33311</v>
      </c>
      <c r="I8455" s="310">
        <v>41672.0</v>
      </c>
      <c r="J8455" s="319">
        <f>IFERROR(__xludf.DUMMYFUNCTION("SPLIT(I8455,""/"")"),2.0)</f>
        <v>2</v>
      </c>
      <c r="K8455" s="308">
        <f>IFERROR(__xludf.DUMMYFUNCTION("""COMPUTED_VALUE"""),2.0)</f>
        <v>2</v>
      </c>
      <c r="L8455" s="308">
        <f>IFERROR(__xludf.DUMMYFUNCTION("""COMPUTED_VALUE"""),2014.0)</f>
        <v>2014</v>
      </c>
      <c r="M8455" s="308" t="s">
        <v>33312</v>
      </c>
      <c r="N8455" s="308" t="s">
        <v>33313</v>
      </c>
      <c r="O8455" s="308"/>
      <c r="P8455" s="308" t="s">
        <v>136</v>
      </c>
      <c r="Q8455" s="308" t="s">
        <v>40255</v>
      </c>
      <c r="R8455" s="308" t="s">
        <v>16185</v>
      </c>
      <c r="S8455" s="315" t="s">
        <v>100</v>
      </c>
      <c r="T8455" s="308" t="s">
        <v>34208</v>
      </c>
      <c r="U8455" s="308" t="s">
        <v>166</v>
      </c>
      <c r="V8455" s="308"/>
    </row>
    <row r="8456">
      <c r="A8456" s="308"/>
      <c r="B8456" s="308"/>
      <c r="C8456" s="308" t="s">
        <v>33314</v>
      </c>
      <c r="D8456" s="308">
        <f>IFERROR(__xludf.DUMMYFUNCTION("SPLIT(C8456,""-"")"),8476.0)</f>
        <v>8476</v>
      </c>
      <c r="E8456" s="308" t="str">
        <f>IFERROR(__xludf.DUMMYFUNCTION("""COMPUTED_VALUE"""),"S")</f>
        <v>S</v>
      </c>
      <c r="F8456" s="312" t="s">
        <v>39</v>
      </c>
      <c r="G8456" s="308"/>
      <c r="H8456" s="308" t="s">
        <v>33315</v>
      </c>
      <c r="I8456" s="310">
        <v>42917.0</v>
      </c>
      <c r="J8456" s="319">
        <f>IFERROR(__xludf.DUMMYFUNCTION("SPLIT(I8456,""/"")"),1.0)</f>
        <v>1</v>
      </c>
      <c r="K8456" s="308">
        <f>IFERROR(__xludf.DUMMYFUNCTION("""COMPUTED_VALUE"""),7.0)</f>
        <v>7</v>
      </c>
      <c r="L8456" s="308">
        <f>IFERROR(__xludf.DUMMYFUNCTION("""COMPUTED_VALUE"""),2017.0)</f>
        <v>2017</v>
      </c>
      <c r="M8456" s="308" t="s">
        <v>33308</v>
      </c>
      <c r="N8456" s="308" t="s">
        <v>33316</v>
      </c>
      <c r="O8456" s="308"/>
      <c r="P8456" s="308" t="s">
        <v>136</v>
      </c>
      <c r="Q8456" s="308" t="s">
        <v>40255</v>
      </c>
      <c r="R8456" s="308" t="s">
        <v>16185</v>
      </c>
      <c r="S8456" s="315" t="s">
        <v>100</v>
      </c>
      <c r="T8456" s="308" t="s">
        <v>34208</v>
      </c>
      <c r="U8456" s="308" t="s">
        <v>166</v>
      </c>
      <c r="V8456" s="308"/>
    </row>
    <row r="8457">
      <c r="A8457" s="308"/>
      <c r="B8457" s="308"/>
      <c r="C8457" s="308" t="s">
        <v>33317</v>
      </c>
      <c r="D8457" s="308">
        <f>IFERROR(__xludf.DUMMYFUNCTION("SPLIT(C8457,""-"")"),8477.0)</f>
        <v>8477</v>
      </c>
      <c r="E8457" s="308" t="str">
        <f>IFERROR(__xludf.DUMMYFUNCTION("""COMPUTED_VALUE"""),"B")</f>
        <v>B</v>
      </c>
      <c r="F8457" s="315" t="s">
        <v>26</v>
      </c>
      <c r="G8457" s="308"/>
      <c r="H8457" s="308" t="s">
        <v>33318</v>
      </c>
      <c r="I8457" s="310">
        <v>42418.0</v>
      </c>
      <c r="J8457" s="319">
        <f>IFERROR(__xludf.DUMMYFUNCTION("SPLIT(I8457,""/"")"),18.0)</f>
        <v>18</v>
      </c>
      <c r="K8457" s="308">
        <f>IFERROR(__xludf.DUMMYFUNCTION("""COMPUTED_VALUE"""),2.0)</f>
        <v>2</v>
      </c>
      <c r="L8457" s="308">
        <f>IFERROR(__xludf.DUMMYFUNCTION("""COMPUTED_VALUE"""),2016.0)</f>
        <v>2016</v>
      </c>
      <c r="M8457" s="308" t="s">
        <v>33319</v>
      </c>
      <c r="N8457" s="308"/>
      <c r="O8457" s="308"/>
      <c r="P8457" s="308" t="s">
        <v>136</v>
      </c>
      <c r="Q8457" s="308" t="s">
        <v>40255</v>
      </c>
      <c r="R8457" s="308" t="s">
        <v>20958</v>
      </c>
      <c r="S8457" s="315" t="s">
        <v>100</v>
      </c>
      <c r="T8457" s="308" t="s">
        <v>34208</v>
      </c>
      <c r="U8457" s="308" t="s">
        <v>27</v>
      </c>
      <c r="V8457" s="308"/>
    </row>
    <row r="8458">
      <c r="A8458" s="308"/>
      <c r="B8458" s="308"/>
      <c r="C8458" s="308" t="s">
        <v>33320</v>
      </c>
      <c r="D8458" s="308">
        <f>IFERROR(__xludf.DUMMYFUNCTION("SPLIT(C8458,""-"")"),8478.0)</f>
        <v>8478</v>
      </c>
      <c r="E8458" s="308" t="str">
        <f>IFERROR(__xludf.DUMMYFUNCTION("""COMPUTED_VALUE"""),"B")</f>
        <v>B</v>
      </c>
      <c r="F8458" s="315" t="s">
        <v>26</v>
      </c>
      <c r="G8458" s="308"/>
      <c r="H8458" s="308" t="s">
        <v>33321</v>
      </c>
      <c r="I8458" s="310">
        <v>42234.0</v>
      </c>
      <c r="J8458" s="319">
        <f>IFERROR(__xludf.DUMMYFUNCTION("SPLIT(I8458,""/"")"),18.0)</f>
        <v>18</v>
      </c>
      <c r="K8458" s="308">
        <f>IFERROR(__xludf.DUMMYFUNCTION("""COMPUTED_VALUE"""),8.0)</f>
        <v>8</v>
      </c>
      <c r="L8458" s="308">
        <f>IFERROR(__xludf.DUMMYFUNCTION("""COMPUTED_VALUE"""),2015.0)</f>
        <v>2015</v>
      </c>
      <c r="M8458" s="308" t="s">
        <v>33322</v>
      </c>
      <c r="N8458" s="308"/>
      <c r="O8458" s="308"/>
      <c r="P8458" s="308" t="s">
        <v>136</v>
      </c>
      <c r="Q8458" s="308" t="s">
        <v>40255</v>
      </c>
      <c r="R8458" s="308" t="s">
        <v>20958</v>
      </c>
      <c r="S8458" s="315" t="s">
        <v>100</v>
      </c>
      <c r="T8458" s="308" t="s">
        <v>34208</v>
      </c>
      <c r="U8458" s="308" t="s">
        <v>27</v>
      </c>
      <c r="V8458" s="308"/>
    </row>
    <row r="8459">
      <c r="A8459" s="308"/>
      <c r="B8459" s="308"/>
      <c r="C8459" s="308" t="s">
        <v>33323</v>
      </c>
      <c r="D8459" s="308">
        <f>IFERROR(__xludf.DUMMYFUNCTION("SPLIT(C8459,""-"")"),8479.0)</f>
        <v>8479</v>
      </c>
      <c r="E8459" s="308" t="str">
        <f>IFERROR(__xludf.DUMMYFUNCTION("""COMPUTED_VALUE"""),"B")</f>
        <v>B</v>
      </c>
      <c r="F8459" s="315" t="s">
        <v>26</v>
      </c>
      <c r="G8459" s="308"/>
      <c r="H8459" s="308" t="s">
        <v>33324</v>
      </c>
      <c r="I8459" s="314">
        <v>43811.0</v>
      </c>
      <c r="J8459" s="319">
        <f>IFERROR(__xludf.DUMMYFUNCTION("SPLIT(I8459,""/"")"),12.0)</f>
        <v>12</v>
      </c>
      <c r="K8459" s="308">
        <f>IFERROR(__xludf.DUMMYFUNCTION("""COMPUTED_VALUE"""),12.0)</f>
        <v>12</v>
      </c>
      <c r="L8459" s="308">
        <f>IFERROR(__xludf.DUMMYFUNCTION("""COMPUTED_VALUE"""),2019.0)</f>
        <v>2019</v>
      </c>
      <c r="M8459" s="308" t="s">
        <v>33325</v>
      </c>
      <c r="N8459" s="308" t="s">
        <v>33326</v>
      </c>
      <c r="O8459" s="308"/>
      <c r="P8459" s="308" t="s">
        <v>136</v>
      </c>
      <c r="Q8459" s="308" t="s">
        <v>40255</v>
      </c>
      <c r="R8459" s="308" t="s">
        <v>20958</v>
      </c>
      <c r="S8459" s="315" t="s">
        <v>100</v>
      </c>
      <c r="T8459" s="308" t="s">
        <v>34208</v>
      </c>
      <c r="U8459" s="308" t="s">
        <v>27</v>
      </c>
      <c r="V8459" s="308"/>
    </row>
    <row r="8460">
      <c r="A8460" s="308"/>
      <c r="B8460" s="308"/>
      <c r="C8460" s="308" t="s">
        <v>33327</v>
      </c>
      <c r="D8460" s="308">
        <f>IFERROR(__xludf.DUMMYFUNCTION("SPLIT(C8460,""-"")"),8480.0)</f>
        <v>8480</v>
      </c>
      <c r="E8460" s="308" t="str">
        <f>IFERROR(__xludf.DUMMYFUNCTION("""COMPUTED_VALUE"""),"K")</f>
        <v>K</v>
      </c>
      <c r="F8460" s="309" t="s">
        <v>34</v>
      </c>
      <c r="G8460" s="308"/>
      <c r="H8460" s="308" t="s">
        <v>33328</v>
      </c>
      <c r="I8460" s="310">
        <v>41864.0</v>
      </c>
      <c r="J8460" s="319">
        <f>IFERROR(__xludf.DUMMYFUNCTION("SPLIT(I8460,""/"")"),13.0)</f>
        <v>13</v>
      </c>
      <c r="K8460" s="308">
        <f>IFERROR(__xludf.DUMMYFUNCTION("""COMPUTED_VALUE"""),8.0)</f>
        <v>8</v>
      </c>
      <c r="L8460" s="308">
        <f>IFERROR(__xludf.DUMMYFUNCTION("""COMPUTED_VALUE"""),2014.0)</f>
        <v>2014</v>
      </c>
      <c r="M8460" s="308" t="s">
        <v>33329</v>
      </c>
      <c r="N8460" s="308" t="s">
        <v>33330</v>
      </c>
      <c r="O8460" s="308"/>
      <c r="P8460" s="308" t="s">
        <v>136</v>
      </c>
      <c r="Q8460" s="308" t="s">
        <v>40255</v>
      </c>
      <c r="R8460" s="308" t="s">
        <v>2743</v>
      </c>
      <c r="S8460" s="315" t="s">
        <v>100</v>
      </c>
      <c r="T8460" s="308" t="s">
        <v>34208</v>
      </c>
      <c r="U8460" s="308" t="s">
        <v>33331</v>
      </c>
      <c r="V8460" s="308"/>
    </row>
    <row r="8461">
      <c r="A8461" s="308"/>
      <c r="B8461" s="308"/>
      <c r="C8461" s="308" t="s">
        <v>33332</v>
      </c>
      <c r="D8461" s="308">
        <f>IFERROR(__xludf.DUMMYFUNCTION("SPLIT(C8461,""-"")"),8481.0)</f>
        <v>8481</v>
      </c>
      <c r="E8461" s="308" t="str">
        <f>IFERROR(__xludf.DUMMYFUNCTION("""COMPUTED_VALUE"""),"K")</f>
        <v>K</v>
      </c>
      <c r="F8461" s="309" t="s">
        <v>34</v>
      </c>
      <c r="G8461" s="308"/>
      <c r="H8461" s="308" t="s">
        <v>33333</v>
      </c>
      <c r="I8461" s="310">
        <v>40980.0</v>
      </c>
      <c r="J8461" s="319">
        <f>IFERROR(__xludf.DUMMYFUNCTION("SPLIT(I8461,""/"")"),12.0)</f>
        <v>12</v>
      </c>
      <c r="K8461" s="308">
        <f>IFERROR(__xludf.DUMMYFUNCTION("""COMPUTED_VALUE"""),3.0)</f>
        <v>3</v>
      </c>
      <c r="L8461" s="308">
        <f>IFERROR(__xludf.DUMMYFUNCTION("""COMPUTED_VALUE"""),2012.0)</f>
        <v>2012</v>
      </c>
      <c r="M8461" s="308" t="s">
        <v>33334</v>
      </c>
      <c r="N8461" s="308" t="s">
        <v>439</v>
      </c>
      <c r="O8461" s="308"/>
      <c r="P8461" s="308" t="s">
        <v>136</v>
      </c>
      <c r="Q8461" s="308" t="s">
        <v>40259</v>
      </c>
      <c r="R8461" s="308" t="s">
        <v>2743</v>
      </c>
      <c r="S8461" s="315" t="s">
        <v>100</v>
      </c>
      <c r="T8461" s="308" t="s">
        <v>34208</v>
      </c>
      <c r="U8461" s="308" t="s">
        <v>530</v>
      </c>
      <c r="V8461" s="308"/>
    </row>
    <row r="8462">
      <c r="A8462" s="308"/>
      <c r="B8462" s="308"/>
      <c r="C8462" s="308" t="s">
        <v>33335</v>
      </c>
      <c r="D8462" s="308">
        <f>IFERROR(__xludf.DUMMYFUNCTION("SPLIT(C8462,""-"")"),8482.0)</f>
        <v>8482</v>
      </c>
      <c r="E8462" s="308" t="str">
        <f>IFERROR(__xludf.DUMMYFUNCTION("""COMPUTED_VALUE"""),"K")</f>
        <v>K</v>
      </c>
      <c r="F8462" s="309" t="s">
        <v>34</v>
      </c>
      <c r="G8462" s="308"/>
      <c r="H8462" s="308" t="s">
        <v>33336</v>
      </c>
      <c r="I8462" s="310">
        <v>40738.0</v>
      </c>
      <c r="J8462" s="319">
        <f>IFERROR(__xludf.DUMMYFUNCTION("SPLIT(I8462,""/"")"),14.0)</f>
        <v>14</v>
      </c>
      <c r="K8462" s="308">
        <f>IFERROR(__xludf.DUMMYFUNCTION("""COMPUTED_VALUE"""),7.0)</f>
        <v>7</v>
      </c>
      <c r="L8462" s="308">
        <f>IFERROR(__xludf.DUMMYFUNCTION("""COMPUTED_VALUE"""),2011.0)</f>
        <v>2011</v>
      </c>
      <c r="M8462" s="308" t="s">
        <v>33337</v>
      </c>
      <c r="N8462" s="308" t="s">
        <v>439</v>
      </c>
      <c r="O8462" s="308"/>
      <c r="P8462" s="308" t="s">
        <v>136</v>
      </c>
      <c r="Q8462" s="308" t="s">
        <v>40259</v>
      </c>
      <c r="R8462" s="308" t="s">
        <v>2743</v>
      </c>
      <c r="S8462" s="315" t="s">
        <v>100</v>
      </c>
      <c r="T8462" s="308" t="s">
        <v>34208</v>
      </c>
      <c r="U8462" s="308" t="s">
        <v>19459</v>
      </c>
      <c r="V8462" s="308"/>
    </row>
    <row r="8463">
      <c r="A8463" s="308"/>
      <c r="B8463" s="308"/>
      <c r="C8463" s="308" t="s">
        <v>33338</v>
      </c>
      <c r="D8463" s="308">
        <f>IFERROR(__xludf.DUMMYFUNCTION("SPLIT(C8463,""-"")"),8483.0)</f>
        <v>8483</v>
      </c>
      <c r="E8463" s="308" t="str">
        <f>IFERROR(__xludf.DUMMYFUNCTION("""COMPUTED_VALUE"""),"P")</f>
        <v>P</v>
      </c>
      <c r="F8463" s="312" t="s">
        <v>37</v>
      </c>
      <c r="G8463" s="308"/>
      <c r="H8463" s="308" t="s">
        <v>33339</v>
      </c>
      <c r="I8463" s="310">
        <v>44608.0</v>
      </c>
      <c r="J8463" s="319">
        <f>IFERROR(__xludf.DUMMYFUNCTION("SPLIT(I8463,""/"")"),16.0)</f>
        <v>16</v>
      </c>
      <c r="K8463" s="308">
        <f>IFERROR(__xludf.DUMMYFUNCTION("""COMPUTED_VALUE"""),2.0)</f>
        <v>2</v>
      </c>
      <c r="L8463" s="308">
        <f>IFERROR(__xludf.DUMMYFUNCTION("""COMPUTED_VALUE"""),2022.0)</f>
        <v>2022</v>
      </c>
      <c r="M8463" s="308" t="s">
        <v>33340</v>
      </c>
      <c r="N8463" s="308" t="s">
        <v>33341</v>
      </c>
      <c r="O8463" s="308"/>
      <c r="P8463" s="308" t="s">
        <v>136</v>
      </c>
      <c r="Q8463" s="308" t="s">
        <v>40259</v>
      </c>
      <c r="R8463" s="308" t="s">
        <v>2743</v>
      </c>
      <c r="S8463" s="315" t="s">
        <v>100</v>
      </c>
      <c r="T8463" s="308" t="s">
        <v>34208</v>
      </c>
      <c r="U8463" s="308" t="s">
        <v>149</v>
      </c>
      <c r="V8463" s="308"/>
    </row>
    <row r="8464">
      <c r="A8464" s="308"/>
      <c r="B8464" s="308"/>
      <c r="C8464" s="308" t="s">
        <v>33342</v>
      </c>
      <c r="D8464" s="308">
        <f>IFERROR(__xludf.DUMMYFUNCTION("SPLIT(C8464,""-"")"),8484.0)</f>
        <v>8484</v>
      </c>
      <c r="E8464" s="308" t="str">
        <f>IFERROR(__xludf.DUMMYFUNCTION("""COMPUTED_VALUE"""),"K")</f>
        <v>K</v>
      </c>
      <c r="F8464" s="309" t="s">
        <v>34</v>
      </c>
      <c r="G8464" s="308"/>
      <c r="H8464" s="308" t="s">
        <v>33343</v>
      </c>
      <c r="I8464" s="314">
        <v>44499.0</v>
      </c>
      <c r="J8464" s="319">
        <f>IFERROR(__xludf.DUMMYFUNCTION("SPLIT(I8464,""/"")"),30.0)</f>
        <v>30</v>
      </c>
      <c r="K8464" s="308">
        <f>IFERROR(__xludf.DUMMYFUNCTION("""COMPUTED_VALUE"""),10.0)</f>
        <v>10</v>
      </c>
      <c r="L8464" s="308">
        <f>IFERROR(__xludf.DUMMYFUNCTION("""COMPUTED_VALUE"""),2021.0)</f>
        <v>2021</v>
      </c>
      <c r="M8464" s="308" t="s">
        <v>33344</v>
      </c>
      <c r="N8464" s="308" t="s">
        <v>439</v>
      </c>
      <c r="O8464" s="308"/>
      <c r="P8464" s="308" t="s">
        <v>136</v>
      </c>
      <c r="Q8464" s="308" t="s">
        <v>40259</v>
      </c>
      <c r="R8464" s="308" t="s">
        <v>2743</v>
      </c>
      <c r="S8464" s="315" t="s">
        <v>100</v>
      </c>
      <c r="T8464" s="308" t="s">
        <v>34208</v>
      </c>
      <c r="U8464" s="308" t="s">
        <v>33345</v>
      </c>
      <c r="V8464" s="308"/>
    </row>
    <row r="8465">
      <c r="A8465" s="308"/>
      <c r="B8465" s="308"/>
      <c r="C8465" s="308" t="s">
        <v>33346</v>
      </c>
      <c r="D8465" s="308">
        <f>IFERROR(__xludf.DUMMYFUNCTION("SPLIT(C8465,""-"")"),8485.0)</f>
        <v>8485</v>
      </c>
      <c r="E8465" s="308" t="str">
        <f>IFERROR(__xludf.DUMMYFUNCTION("""COMPUTED_VALUE"""),"K")</f>
        <v>K</v>
      </c>
      <c r="F8465" s="309" t="s">
        <v>34</v>
      </c>
      <c r="G8465" s="308"/>
      <c r="H8465" s="308" t="s">
        <v>33347</v>
      </c>
      <c r="I8465" s="310">
        <v>41913.0</v>
      </c>
      <c r="J8465" s="319">
        <f>IFERROR(__xludf.DUMMYFUNCTION("SPLIT(I8465,""/"")"),1.0)</f>
        <v>1</v>
      </c>
      <c r="K8465" s="308">
        <f>IFERROR(__xludf.DUMMYFUNCTION("""COMPUTED_VALUE"""),10.0)</f>
        <v>10</v>
      </c>
      <c r="L8465" s="308">
        <f>IFERROR(__xludf.DUMMYFUNCTION("""COMPUTED_VALUE"""),2014.0)</f>
        <v>2014</v>
      </c>
      <c r="M8465" s="308" t="s">
        <v>40260</v>
      </c>
      <c r="N8465" s="308" t="s">
        <v>33349</v>
      </c>
      <c r="O8465" s="308"/>
      <c r="P8465" s="308" t="s">
        <v>136</v>
      </c>
      <c r="Q8465" s="308" t="s">
        <v>40261</v>
      </c>
      <c r="R8465" s="308" t="s">
        <v>31554</v>
      </c>
      <c r="S8465" s="315" t="s">
        <v>100</v>
      </c>
      <c r="T8465" s="308" t="s">
        <v>34208</v>
      </c>
      <c r="U8465" s="308" t="s">
        <v>125</v>
      </c>
      <c r="V8465" s="308"/>
    </row>
    <row r="8466">
      <c r="A8466" s="308"/>
      <c r="B8466" s="308"/>
      <c r="C8466" s="308" t="s">
        <v>33350</v>
      </c>
      <c r="D8466" s="308">
        <f>IFERROR(__xludf.DUMMYFUNCTION("SPLIT(C8466,""-"")"),8486.0)</f>
        <v>8486</v>
      </c>
      <c r="E8466" s="308" t="str">
        <f>IFERROR(__xludf.DUMMYFUNCTION("""COMPUTED_VALUE"""),"K")</f>
        <v>K</v>
      </c>
      <c r="F8466" s="309" t="s">
        <v>34</v>
      </c>
      <c r="G8466" s="308"/>
      <c r="H8466" s="308" t="s">
        <v>33351</v>
      </c>
      <c r="I8466" s="310">
        <v>44626.0</v>
      </c>
      <c r="J8466" s="319">
        <f>IFERROR(__xludf.DUMMYFUNCTION("SPLIT(I8466,""/"")"),6.0)</f>
        <v>6</v>
      </c>
      <c r="K8466" s="308">
        <f>IFERROR(__xludf.DUMMYFUNCTION("""COMPUTED_VALUE"""),3.0)</f>
        <v>3</v>
      </c>
      <c r="L8466" s="308">
        <f>IFERROR(__xludf.DUMMYFUNCTION("""COMPUTED_VALUE"""),2022.0)</f>
        <v>2022</v>
      </c>
      <c r="M8466" s="308" t="s">
        <v>33352</v>
      </c>
      <c r="N8466" s="308" t="s">
        <v>439</v>
      </c>
      <c r="O8466" s="308"/>
      <c r="P8466" s="308" t="s">
        <v>33353</v>
      </c>
      <c r="Q8466" s="308" t="s">
        <v>40261</v>
      </c>
      <c r="R8466" s="308" t="s">
        <v>2743</v>
      </c>
      <c r="S8466" s="308" t="s">
        <v>81</v>
      </c>
      <c r="T8466" s="308" t="s">
        <v>75</v>
      </c>
      <c r="U8466" s="308" t="s">
        <v>13085</v>
      </c>
      <c r="V8466" s="308"/>
    </row>
    <row r="8467">
      <c r="A8467" s="308"/>
      <c r="B8467" s="308"/>
      <c r="C8467" s="308" t="s">
        <v>33354</v>
      </c>
      <c r="D8467" s="308">
        <f>IFERROR(__xludf.DUMMYFUNCTION("SPLIT(C8467,""-"")"),8487.0)</f>
        <v>8487</v>
      </c>
      <c r="E8467" s="308" t="str">
        <f>IFERROR(__xludf.DUMMYFUNCTION("""COMPUTED_VALUE"""),"K")</f>
        <v>K</v>
      </c>
      <c r="F8467" s="309" t="s">
        <v>34</v>
      </c>
      <c r="G8467" s="308"/>
      <c r="H8467" s="308" t="s">
        <v>33355</v>
      </c>
      <c r="I8467" s="310">
        <v>44626.0</v>
      </c>
      <c r="J8467" s="319">
        <f>IFERROR(__xludf.DUMMYFUNCTION("SPLIT(I8467,""/"")"),6.0)</f>
        <v>6</v>
      </c>
      <c r="K8467" s="308">
        <f>IFERROR(__xludf.DUMMYFUNCTION("""COMPUTED_VALUE"""),3.0)</f>
        <v>3</v>
      </c>
      <c r="L8467" s="308">
        <f>IFERROR(__xludf.DUMMYFUNCTION("""COMPUTED_VALUE"""),2022.0)</f>
        <v>2022</v>
      </c>
      <c r="M8467" s="308" t="s">
        <v>33352</v>
      </c>
      <c r="N8467" s="308" t="s">
        <v>439</v>
      </c>
      <c r="O8467" s="308"/>
      <c r="P8467" s="308" t="s">
        <v>33356</v>
      </c>
      <c r="Q8467" s="308" t="s">
        <v>40261</v>
      </c>
      <c r="R8467" s="308" t="s">
        <v>2743</v>
      </c>
      <c r="S8467" s="308" t="s">
        <v>81</v>
      </c>
      <c r="T8467" s="311" t="s">
        <v>91</v>
      </c>
      <c r="U8467" s="308" t="s">
        <v>13085</v>
      </c>
      <c r="V8467" s="308"/>
    </row>
    <row r="8468">
      <c r="A8468" s="308"/>
      <c r="B8468" s="308"/>
      <c r="C8468" s="308" t="s">
        <v>33357</v>
      </c>
      <c r="D8468" s="308">
        <f>IFERROR(__xludf.DUMMYFUNCTION("SPLIT(C8468,""-"")"),8488.0)</f>
        <v>8488</v>
      </c>
      <c r="E8468" s="308" t="str">
        <f>IFERROR(__xludf.DUMMYFUNCTION("""COMPUTED_VALUE"""),"K")</f>
        <v>K</v>
      </c>
      <c r="F8468" s="309" t="s">
        <v>34</v>
      </c>
      <c r="G8468" s="308"/>
      <c r="H8468" s="308" t="s">
        <v>33358</v>
      </c>
      <c r="I8468" s="310">
        <v>44626.0</v>
      </c>
      <c r="J8468" s="319">
        <f>IFERROR(__xludf.DUMMYFUNCTION("SPLIT(I8468,""/"")"),6.0)</f>
        <v>6</v>
      </c>
      <c r="K8468" s="308">
        <f>IFERROR(__xludf.DUMMYFUNCTION("""COMPUTED_VALUE"""),3.0)</f>
        <v>3</v>
      </c>
      <c r="L8468" s="308">
        <f>IFERROR(__xludf.DUMMYFUNCTION("""COMPUTED_VALUE"""),2022.0)</f>
        <v>2022</v>
      </c>
      <c r="M8468" s="308" t="s">
        <v>33352</v>
      </c>
      <c r="N8468" s="308" t="s">
        <v>439</v>
      </c>
      <c r="O8468" s="308"/>
      <c r="P8468" s="308" t="s">
        <v>136</v>
      </c>
      <c r="Q8468" s="308" t="s">
        <v>40261</v>
      </c>
      <c r="R8468" s="308" t="s">
        <v>2743</v>
      </c>
      <c r="S8468" s="315" t="s">
        <v>100</v>
      </c>
      <c r="T8468" s="308" t="s">
        <v>34208</v>
      </c>
      <c r="U8468" s="308" t="s">
        <v>13085</v>
      </c>
      <c r="V8468" s="308"/>
    </row>
    <row r="8469">
      <c r="A8469" s="308"/>
      <c r="B8469" s="308"/>
      <c r="C8469" s="308" t="s">
        <v>33359</v>
      </c>
      <c r="D8469" s="308">
        <f>IFERROR(__xludf.DUMMYFUNCTION("SPLIT(C8469,""-"")"),8489.0)</f>
        <v>8489</v>
      </c>
      <c r="E8469" s="308" t="str">
        <f>IFERROR(__xludf.DUMMYFUNCTION("""COMPUTED_VALUE"""),"K")</f>
        <v>K</v>
      </c>
      <c r="F8469" s="309" t="s">
        <v>34</v>
      </c>
      <c r="G8469" s="308"/>
      <c r="H8469" s="308" t="s">
        <v>33360</v>
      </c>
      <c r="I8469" s="310">
        <v>44626.0</v>
      </c>
      <c r="J8469" s="319">
        <f>IFERROR(__xludf.DUMMYFUNCTION("SPLIT(I8469,""/"")"),6.0)</f>
        <v>6</v>
      </c>
      <c r="K8469" s="308">
        <f>IFERROR(__xludf.DUMMYFUNCTION("""COMPUTED_VALUE"""),3.0)</f>
        <v>3</v>
      </c>
      <c r="L8469" s="308">
        <f>IFERROR(__xludf.DUMMYFUNCTION("""COMPUTED_VALUE"""),2022.0)</f>
        <v>2022</v>
      </c>
      <c r="M8469" s="308" t="s">
        <v>33352</v>
      </c>
      <c r="N8469" s="308" t="s">
        <v>439</v>
      </c>
      <c r="O8469" s="308"/>
      <c r="P8469" s="308" t="s">
        <v>33361</v>
      </c>
      <c r="Q8469" s="308" t="s">
        <v>40261</v>
      </c>
      <c r="R8469" s="308" t="s">
        <v>2743</v>
      </c>
      <c r="S8469" s="308" t="s">
        <v>81</v>
      </c>
      <c r="T8469" s="311" t="s">
        <v>91</v>
      </c>
      <c r="U8469" s="308" t="s">
        <v>13085</v>
      </c>
      <c r="V8469" s="308"/>
    </row>
    <row r="8470">
      <c r="A8470" s="308"/>
      <c r="B8470" s="308"/>
      <c r="C8470" s="308" t="s">
        <v>33362</v>
      </c>
      <c r="D8470" s="308">
        <f>IFERROR(__xludf.DUMMYFUNCTION("SPLIT(C8470,""-"")"),8490.0)</f>
        <v>8490</v>
      </c>
      <c r="E8470" s="308" t="str">
        <f>IFERROR(__xludf.DUMMYFUNCTION("""COMPUTED_VALUE"""),"K")</f>
        <v>K</v>
      </c>
      <c r="F8470" s="309" t="s">
        <v>34</v>
      </c>
      <c r="G8470" s="308"/>
      <c r="H8470" s="308" t="s">
        <v>33363</v>
      </c>
      <c r="I8470" s="310">
        <v>44626.0</v>
      </c>
      <c r="J8470" s="319">
        <f>IFERROR(__xludf.DUMMYFUNCTION("SPLIT(I8470,""/"")"),6.0)</f>
        <v>6</v>
      </c>
      <c r="K8470" s="308">
        <f>IFERROR(__xludf.DUMMYFUNCTION("""COMPUTED_VALUE"""),3.0)</f>
        <v>3</v>
      </c>
      <c r="L8470" s="308">
        <f>IFERROR(__xludf.DUMMYFUNCTION("""COMPUTED_VALUE"""),2022.0)</f>
        <v>2022</v>
      </c>
      <c r="M8470" s="308" t="s">
        <v>33352</v>
      </c>
      <c r="N8470" s="308" t="s">
        <v>439</v>
      </c>
      <c r="O8470" s="308"/>
      <c r="P8470" s="308" t="s">
        <v>33364</v>
      </c>
      <c r="Q8470" s="308" t="s">
        <v>40261</v>
      </c>
      <c r="R8470" s="308" t="s">
        <v>2743</v>
      </c>
      <c r="S8470" s="308" t="s">
        <v>81</v>
      </c>
      <c r="T8470" s="311" t="s">
        <v>91</v>
      </c>
      <c r="U8470" s="308" t="s">
        <v>13085</v>
      </c>
      <c r="V8470" s="308"/>
    </row>
    <row r="8471">
      <c r="A8471" s="308"/>
      <c r="B8471" s="308"/>
      <c r="C8471" s="308" t="s">
        <v>33365</v>
      </c>
      <c r="D8471" s="308">
        <f>IFERROR(__xludf.DUMMYFUNCTION("SPLIT(C8471,""-"")"),8491.0)</f>
        <v>8491</v>
      </c>
      <c r="E8471" s="308" t="str">
        <f>IFERROR(__xludf.DUMMYFUNCTION("""COMPUTED_VALUE"""),"K")</f>
        <v>K</v>
      </c>
      <c r="F8471" s="309" t="s">
        <v>34</v>
      </c>
      <c r="G8471" s="308"/>
      <c r="H8471" s="308" t="s">
        <v>33366</v>
      </c>
      <c r="I8471" s="310">
        <v>44626.0</v>
      </c>
      <c r="J8471" s="319">
        <f>IFERROR(__xludf.DUMMYFUNCTION("SPLIT(I8471,""/"")"),6.0)</f>
        <v>6</v>
      </c>
      <c r="K8471" s="308">
        <f>IFERROR(__xludf.DUMMYFUNCTION("""COMPUTED_VALUE"""),3.0)</f>
        <v>3</v>
      </c>
      <c r="L8471" s="308">
        <f>IFERROR(__xludf.DUMMYFUNCTION("""COMPUTED_VALUE"""),2022.0)</f>
        <v>2022</v>
      </c>
      <c r="M8471" s="308" t="s">
        <v>33352</v>
      </c>
      <c r="N8471" s="308" t="s">
        <v>439</v>
      </c>
      <c r="O8471" s="308"/>
      <c r="P8471" s="308" t="s">
        <v>136</v>
      </c>
      <c r="Q8471" s="308" t="s">
        <v>40261</v>
      </c>
      <c r="R8471" s="308" t="s">
        <v>2743</v>
      </c>
      <c r="S8471" s="315" t="s">
        <v>100</v>
      </c>
      <c r="T8471" s="308" t="s">
        <v>34208</v>
      </c>
      <c r="U8471" s="308" t="s">
        <v>13085</v>
      </c>
      <c r="V8471" s="308"/>
    </row>
    <row r="8472">
      <c r="A8472" s="308"/>
      <c r="B8472" s="308"/>
      <c r="C8472" s="308" t="s">
        <v>33367</v>
      </c>
      <c r="D8472" s="308">
        <f>IFERROR(__xludf.DUMMYFUNCTION("SPLIT(C8472,""-"")"),8492.0)</f>
        <v>8492</v>
      </c>
      <c r="E8472" s="308" t="str">
        <f>IFERROR(__xludf.DUMMYFUNCTION("""COMPUTED_VALUE"""),"K")</f>
        <v>K</v>
      </c>
      <c r="F8472" s="309" t="s">
        <v>34</v>
      </c>
      <c r="G8472" s="308"/>
      <c r="H8472" s="308" t="s">
        <v>33368</v>
      </c>
      <c r="I8472" s="310">
        <v>44272.0</v>
      </c>
      <c r="J8472" s="319">
        <f>IFERROR(__xludf.DUMMYFUNCTION("SPLIT(I8472,""/"")"),17.0)</f>
        <v>17</v>
      </c>
      <c r="K8472" s="308">
        <f>IFERROR(__xludf.DUMMYFUNCTION("""COMPUTED_VALUE"""),3.0)</f>
        <v>3</v>
      </c>
      <c r="L8472" s="308">
        <f>IFERROR(__xludf.DUMMYFUNCTION("""COMPUTED_VALUE"""),2021.0)</f>
        <v>2021</v>
      </c>
      <c r="M8472" s="308" t="s">
        <v>33369</v>
      </c>
      <c r="N8472" s="308" t="s">
        <v>439</v>
      </c>
      <c r="O8472" s="308"/>
      <c r="P8472" s="308" t="s">
        <v>136</v>
      </c>
      <c r="Q8472" s="308" t="s">
        <v>40261</v>
      </c>
      <c r="R8472" s="308" t="s">
        <v>2743</v>
      </c>
      <c r="S8472" s="315" t="s">
        <v>100</v>
      </c>
      <c r="T8472" s="308" t="s">
        <v>34208</v>
      </c>
      <c r="U8472" s="308" t="s">
        <v>27994</v>
      </c>
      <c r="V8472" s="308"/>
    </row>
    <row r="8473">
      <c r="A8473" s="308"/>
      <c r="B8473" s="308"/>
      <c r="C8473" s="308" t="s">
        <v>33370</v>
      </c>
      <c r="D8473" s="308">
        <f>IFERROR(__xludf.DUMMYFUNCTION("SPLIT(C8473,""-"")"),8493.0)</f>
        <v>8493</v>
      </c>
      <c r="E8473" s="308" t="str">
        <f>IFERROR(__xludf.DUMMYFUNCTION("""COMPUTED_VALUE"""),"S")</f>
        <v>S</v>
      </c>
      <c r="F8473" s="312" t="s">
        <v>39</v>
      </c>
      <c r="G8473" s="308"/>
      <c r="H8473" s="308" t="s">
        <v>33371</v>
      </c>
      <c r="I8473" s="310">
        <v>44590.0</v>
      </c>
      <c r="J8473" s="319">
        <f>IFERROR(__xludf.DUMMYFUNCTION("SPLIT(I8473,""/"")"),29.0)</f>
        <v>29</v>
      </c>
      <c r="K8473" s="308">
        <f>IFERROR(__xludf.DUMMYFUNCTION("""COMPUTED_VALUE"""),1.0)</f>
        <v>1</v>
      </c>
      <c r="L8473" s="308">
        <f>IFERROR(__xludf.DUMMYFUNCTION("""COMPUTED_VALUE"""),2022.0)</f>
        <v>2022</v>
      </c>
      <c r="M8473" s="308" t="s">
        <v>33372</v>
      </c>
      <c r="N8473" s="308" t="s">
        <v>439</v>
      </c>
      <c r="O8473" s="308"/>
      <c r="P8473" s="308" t="s">
        <v>40262</v>
      </c>
      <c r="Q8473" s="308" t="s">
        <v>40261</v>
      </c>
      <c r="R8473" s="308" t="s">
        <v>2743</v>
      </c>
      <c r="S8473" s="308" t="s">
        <v>81</v>
      </c>
      <c r="T8473" s="308" t="s">
        <v>75</v>
      </c>
      <c r="U8473" s="308" t="s">
        <v>166</v>
      </c>
      <c r="V8473" s="308"/>
    </row>
    <row r="8474">
      <c r="A8474" s="308"/>
      <c r="B8474" s="308"/>
      <c r="C8474" s="308" t="s">
        <v>33374</v>
      </c>
      <c r="D8474" s="308">
        <f>IFERROR(__xludf.DUMMYFUNCTION("SPLIT(C8474,""-"")"),8494.0)</f>
        <v>8494</v>
      </c>
      <c r="E8474" s="308" t="str">
        <f>IFERROR(__xludf.DUMMYFUNCTION("""COMPUTED_VALUE"""),"S")</f>
        <v>S</v>
      </c>
      <c r="F8474" s="312" t="s">
        <v>39</v>
      </c>
      <c r="G8474" s="308"/>
      <c r="H8474" s="308" t="s">
        <v>33375</v>
      </c>
      <c r="I8474" s="310">
        <v>44590.0</v>
      </c>
      <c r="J8474" s="319">
        <f>IFERROR(__xludf.DUMMYFUNCTION("SPLIT(I8474,""/"")"),29.0)</f>
        <v>29</v>
      </c>
      <c r="K8474" s="308">
        <f>IFERROR(__xludf.DUMMYFUNCTION("""COMPUTED_VALUE"""),1.0)</f>
        <v>1</v>
      </c>
      <c r="L8474" s="308">
        <f>IFERROR(__xludf.DUMMYFUNCTION("""COMPUTED_VALUE"""),2022.0)</f>
        <v>2022</v>
      </c>
      <c r="M8474" s="308" t="s">
        <v>33372</v>
      </c>
      <c r="N8474" s="308" t="s">
        <v>439</v>
      </c>
      <c r="O8474" s="308"/>
      <c r="P8474" s="308" t="s">
        <v>40263</v>
      </c>
      <c r="Q8474" s="308" t="s">
        <v>40261</v>
      </c>
      <c r="R8474" s="308" t="s">
        <v>2743</v>
      </c>
      <c r="S8474" s="308" t="s">
        <v>81</v>
      </c>
      <c r="T8474" s="308" t="s">
        <v>75</v>
      </c>
      <c r="U8474" s="308" t="s">
        <v>166</v>
      </c>
      <c r="V8474" s="308"/>
    </row>
    <row r="8475">
      <c r="A8475" s="308"/>
      <c r="B8475" s="308"/>
      <c r="C8475" s="308" t="s">
        <v>33377</v>
      </c>
      <c r="D8475" s="308">
        <f>IFERROR(__xludf.DUMMYFUNCTION("SPLIT(C8475,""-"")"),8495.0)</f>
        <v>8495</v>
      </c>
      <c r="E8475" s="308" t="str">
        <f>IFERROR(__xludf.DUMMYFUNCTION("""COMPUTED_VALUE"""),"B")</f>
        <v>B</v>
      </c>
      <c r="F8475" s="315" t="s">
        <v>26</v>
      </c>
      <c r="G8475" s="308"/>
      <c r="H8475" s="308" t="s">
        <v>33378</v>
      </c>
      <c r="I8475" s="310">
        <v>43603.0</v>
      </c>
      <c r="J8475" s="319">
        <f>IFERROR(__xludf.DUMMYFUNCTION("SPLIT(I8475,""/"")"),18.0)</f>
        <v>18</v>
      </c>
      <c r="K8475" s="308">
        <f>IFERROR(__xludf.DUMMYFUNCTION("""COMPUTED_VALUE"""),5.0)</f>
        <v>5</v>
      </c>
      <c r="L8475" s="308">
        <f>IFERROR(__xludf.DUMMYFUNCTION("""COMPUTED_VALUE"""),2019.0)</f>
        <v>2019</v>
      </c>
      <c r="M8475" s="308" t="s">
        <v>33379</v>
      </c>
      <c r="N8475" s="308" t="s">
        <v>33380</v>
      </c>
      <c r="O8475" s="308"/>
      <c r="P8475" s="308" t="s">
        <v>136</v>
      </c>
      <c r="Q8475" s="308" t="s">
        <v>40261</v>
      </c>
      <c r="R8475" s="308" t="s">
        <v>2743</v>
      </c>
      <c r="S8475" s="315" t="s">
        <v>100</v>
      </c>
      <c r="T8475" s="308" t="s">
        <v>34208</v>
      </c>
      <c r="U8475" s="308" t="s">
        <v>32175</v>
      </c>
      <c r="V8475" s="308"/>
    </row>
    <row r="8476">
      <c r="A8476" s="308"/>
      <c r="B8476" s="308"/>
      <c r="C8476" s="308" t="s">
        <v>33381</v>
      </c>
      <c r="D8476" s="308">
        <f>IFERROR(__xludf.DUMMYFUNCTION("SPLIT(C8476,""-"")"),8496.0)</f>
        <v>8496</v>
      </c>
      <c r="E8476" s="308" t="str">
        <f>IFERROR(__xludf.DUMMYFUNCTION("""COMPUTED_VALUE"""),"K")</f>
        <v>K</v>
      </c>
      <c r="F8476" s="309" t="s">
        <v>34</v>
      </c>
      <c r="G8476" s="308"/>
      <c r="H8476" s="308" t="s">
        <v>33382</v>
      </c>
      <c r="I8476" s="310">
        <v>44568.0</v>
      </c>
      <c r="J8476" s="319">
        <f>IFERROR(__xludf.DUMMYFUNCTION("SPLIT(I8476,""/"")"),7.0)</f>
        <v>7</v>
      </c>
      <c r="K8476" s="308">
        <f>IFERROR(__xludf.DUMMYFUNCTION("""COMPUTED_VALUE"""),1.0)</f>
        <v>1</v>
      </c>
      <c r="L8476" s="308">
        <f>IFERROR(__xludf.DUMMYFUNCTION("""COMPUTED_VALUE"""),2022.0)</f>
        <v>2022</v>
      </c>
      <c r="M8476" s="308" t="s">
        <v>33383</v>
      </c>
      <c r="N8476" s="308" t="s">
        <v>33384</v>
      </c>
      <c r="O8476" s="308"/>
      <c r="P8476" s="308" t="s">
        <v>40264</v>
      </c>
      <c r="Q8476" s="308" t="s">
        <v>40261</v>
      </c>
      <c r="R8476" s="308" t="s">
        <v>2743</v>
      </c>
      <c r="S8476" s="308" t="s">
        <v>81</v>
      </c>
      <c r="T8476" s="311" t="s">
        <v>91</v>
      </c>
      <c r="U8476" s="308" t="s">
        <v>7530</v>
      </c>
      <c r="V8476" s="308"/>
    </row>
    <row r="8477">
      <c r="A8477" s="308"/>
      <c r="B8477" s="308"/>
      <c r="C8477" s="308" t="s">
        <v>33386</v>
      </c>
      <c r="D8477" s="308">
        <f>IFERROR(__xludf.DUMMYFUNCTION("SPLIT(C8477,""-"")"),8497.0)</f>
        <v>8497</v>
      </c>
      <c r="E8477" s="308" t="str">
        <f>IFERROR(__xludf.DUMMYFUNCTION("""COMPUTED_VALUE"""),"K")</f>
        <v>K</v>
      </c>
      <c r="F8477" s="309" t="s">
        <v>34</v>
      </c>
      <c r="G8477" s="308"/>
      <c r="H8477" s="308" t="s">
        <v>33387</v>
      </c>
      <c r="I8477" s="310">
        <v>44631.0</v>
      </c>
      <c r="J8477" s="319">
        <f>IFERROR(__xludf.DUMMYFUNCTION("SPLIT(I8477,""/"")"),11.0)</f>
        <v>11</v>
      </c>
      <c r="K8477" s="308">
        <f>IFERROR(__xludf.DUMMYFUNCTION("""COMPUTED_VALUE"""),3.0)</f>
        <v>3</v>
      </c>
      <c r="L8477" s="308">
        <f>IFERROR(__xludf.DUMMYFUNCTION("""COMPUTED_VALUE"""),2022.0)</f>
        <v>2022</v>
      </c>
      <c r="M8477" s="308" t="s">
        <v>33383</v>
      </c>
      <c r="N8477" s="308" t="s">
        <v>40265</v>
      </c>
      <c r="O8477" s="308"/>
      <c r="P8477" s="308" t="s">
        <v>33389</v>
      </c>
      <c r="Q8477" s="308" t="s">
        <v>40261</v>
      </c>
      <c r="R8477" s="308" t="s">
        <v>2743</v>
      </c>
      <c r="S8477" s="308" t="s">
        <v>81</v>
      </c>
      <c r="T8477" s="311" t="s">
        <v>96</v>
      </c>
      <c r="U8477" s="308" t="s">
        <v>7530</v>
      </c>
      <c r="V8477" s="308"/>
    </row>
    <row r="8478">
      <c r="A8478" s="308"/>
      <c r="B8478" s="308"/>
      <c r="C8478" s="308" t="s">
        <v>33390</v>
      </c>
      <c r="D8478" s="308">
        <f>IFERROR(__xludf.DUMMYFUNCTION("SPLIT(C8478,""-"")"),8498.0)</f>
        <v>8498</v>
      </c>
      <c r="E8478" s="308" t="str">
        <f>IFERROR(__xludf.DUMMYFUNCTION("""COMPUTED_VALUE"""),"K")</f>
        <v>K</v>
      </c>
      <c r="F8478" s="309" t="s">
        <v>34</v>
      </c>
      <c r="G8478" s="308"/>
      <c r="H8478" s="308" t="s">
        <v>33391</v>
      </c>
      <c r="I8478" s="310">
        <v>44570.0</v>
      </c>
      <c r="J8478" s="319">
        <f>IFERROR(__xludf.DUMMYFUNCTION("SPLIT(I8478,""/"")"),9.0)</f>
        <v>9</v>
      </c>
      <c r="K8478" s="308">
        <f>IFERROR(__xludf.DUMMYFUNCTION("""COMPUTED_VALUE"""),1.0)</f>
        <v>1</v>
      </c>
      <c r="L8478" s="308">
        <f>IFERROR(__xludf.DUMMYFUNCTION("""COMPUTED_VALUE"""),2022.0)</f>
        <v>2022</v>
      </c>
      <c r="M8478" s="308" t="s">
        <v>40266</v>
      </c>
      <c r="N8478" s="308" t="s">
        <v>33393</v>
      </c>
      <c r="O8478" s="308"/>
      <c r="P8478" s="308" t="s">
        <v>33394</v>
      </c>
      <c r="Q8478" s="308" t="s">
        <v>40261</v>
      </c>
      <c r="R8478" s="308" t="s">
        <v>2743</v>
      </c>
      <c r="S8478" s="308" t="s">
        <v>81</v>
      </c>
      <c r="T8478" s="311" t="s">
        <v>91</v>
      </c>
      <c r="U8478" s="308" t="s">
        <v>7530</v>
      </c>
      <c r="V8478" s="308"/>
    </row>
    <row r="8479">
      <c r="A8479" s="308"/>
      <c r="B8479" s="308"/>
      <c r="C8479" s="308" t="s">
        <v>33395</v>
      </c>
      <c r="D8479" s="308">
        <f>IFERROR(__xludf.DUMMYFUNCTION("SPLIT(C8479,""-"")"),8499.0)</f>
        <v>8499</v>
      </c>
      <c r="E8479" s="308" t="str">
        <f>IFERROR(__xludf.DUMMYFUNCTION("""COMPUTED_VALUE"""),"B")</f>
        <v>B</v>
      </c>
      <c r="F8479" s="315" t="s">
        <v>26</v>
      </c>
      <c r="G8479" s="308"/>
      <c r="H8479" s="308" t="s">
        <v>33396</v>
      </c>
      <c r="I8479" s="310">
        <v>41217.0</v>
      </c>
      <c r="J8479" s="319">
        <f>IFERROR(__xludf.DUMMYFUNCTION("SPLIT(I8479,""/"")"),4.0)</f>
        <v>4</v>
      </c>
      <c r="K8479" s="308">
        <f>IFERROR(__xludf.DUMMYFUNCTION("""COMPUTED_VALUE"""),11.0)</f>
        <v>11</v>
      </c>
      <c r="L8479" s="308">
        <f>IFERROR(__xludf.DUMMYFUNCTION("""COMPUTED_VALUE"""),2012.0)</f>
        <v>2012</v>
      </c>
      <c r="M8479" s="308" t="s">
        <v>33067</v>
      </c>
      <c r="N8479" s="308"/>
      <c r="O8479" s="308"/>
      <c r="P8479" s="308" t="s">
        <v>40267</v>
      </c>
      <c r="Q8479" s="308" t="s">
        <v>40261</v>
      </c>
      <c r="R8479" s="308" t="s">
        <v>40268</v>
      </c>
      <c r="S8479" s="308" t="s">
        <v>81</v>
      </c>
      <c r="T8479" s="308" t="s">
        <v>98</v>
      </c>
      <c r="U8479" s="308" t="s">
        <v>27</v>
      </c>
      <c r="V8479" s="308"/>
    </row>
    <row r="8480">
      <c r="A8480" s="308"/>
      <c r="B8480" s="308"/>
      <c r="C8480" s="308" t="s">
        <v>33399</v>
      </c>
      <c r="D8480" s="308">
        <f>IFERROR(__xludf.DUMMYFUNCTION("SPLIT(C8480,""-"")"),8500.0)</f>
        <v>8500</v>
      </c>
      <c r="E8480" s="308" t="str">
        <f>IFERROR(__xludf.DUMMYFUNCTION("""COMPUTED_VALUE"""),"B")</f>
        <v>B</v>
      </c>
      <c r="F8480" s="315" t="s">
        <v>26</v>
      </c>
      <c r="G8480" s="308"/>
      <c r="H8480" s="308" t="s">
        <v>33400</v>
      </c>
      <c r="I8480" s="310">
        <v>41217.0</v>
      </c>
      <c r="J8480" s="319">
        <f>IFERROR(__xludf.DUMMYFUNCTION("SPLIT(I8480,""/"")"),4.0)</f>
        <v>4</v>
      </c>
      <c r="K8480" s="308">
        <f>IFERROR(__xludf.DUMMYFUNCTION("""COMPUTED_VALUE"""),11.0)</f>
        <v>11</v>
      </c>
      <c r="L8480" s="308">
        <f>IFERROR(__xludf.DUMMYFUNCTION("""COMPUTED_VALUE"""),2012.0)</f>
        <v>2012</v>
      </c>
      <c r="M8480" s="308" t="s">
        <v>33067</v>
      </c>
      <c r="N8480" s="308"/>
      <c r="O8480" s="308"/>
      <c r="P8480" s="308" t="s">
        <v>33401</v>
      </c>
      <c r="Q8480" s="308" t="s">
        <v>40261</v>
      </c>
      <c r="R8480" s="308" t="s">
        <v>40268</v>
      </c>
      <c r="S8480" s="308" t="s">
        <v>81</v>
      </c>
      <c r="T8480" s="308" t="s">
        <v>98</v>
      </c>
      <c r="U8480" s="308" t="s">
        <v>27</v>
      </c>
      <c r="V8480" s="308"/>
    </row>
    <row r="8481">
      <c r="A8481" s="308"/>
      <c r="B8481" s="308"/>
      <c r="C8481" s="308" t="s">
        <v>33402</v>
      </c>
      <c r="D8481" s="308">
        <f>IFERROR(__xludf.DUMMYFUNCTION("SPLIT(C8481,""-"")"),8501.0)</f>
        <v>8501</v>
      </c>
      <c r="E8481" s="308" t="str">
        <f>IFERROR(__xludf.DUMMYFUNCTION("""COMPUTED_VALUE"""),"B")</f>
        <v>B</v>
      </c>
      <c r="F8481" s="315" t="s">
        <v>26</v>
      </c>
      <c r="G8481" s="308"/>
      <c r="H8481" s="308" t="s">
        <v>33403</v>
      </c>
      <c r="I8481" s="310">
        <v>41616.0</v>
      </c>
      <c r="J8481" s="319">
        <f>IFERROR(__xludf.DUMMYFUNCTION("SPLIT(I8481,""/"")"),8.0)</f>
        <v>8</v>
      </c>
      <c r="K8481" s="308">
        <f>IFERROR(__xludf.DUMMYFUNCTION("""COMPUTED_VALUE"""),12.0)</f>
        <v>12</v>
      </c>
      <c r="L8481" s="308">
        <f>IFERROR(__xludf.DUMMYFUNCTION("""COMPUTED_VALUE"""),2013.0)</f>
        <v>2013</v>
      </c>
      <c r="M8481" s="308" t="s">
        <v>33211</v>
      </c>
      <c r="N8481" s="308"/>
      <c r="O8481" s="308"/>
      <c r="P8481" s="308" t="s">
        <v>33404</v>
      </c>
      <c r="Q8481" s="308" t="s">
        <v>40261</v>
      </c>
      <c r="R8481" s="308" t="s">
        <v>40268</v>
      </c>
      <c r="S8481" s="308" t="s">
        <v>81</v>
      </c>
      <c r="T8481" s="311" t="s">
        <v>96</v>
      </c>
      <c r="U8481" s="308" t="s">
        <v>27</v>
      </c>
      <c r="V8481" s="308"/>
    </row>
    <row r="8482">
      <c r="A8482" s="308"/>
      <c r="B8482" s="308"/>
      <c r="C8482" s="308" t="s">
        <v>33405</v>
      </c>
      <c r="D8482" s="308">
        <f>IFERROR(__xludf.DUMMYFUNCTION("SPLIT(C8482,""-"")"),8502.0)</f>
        <v>8502</v>
      </c>
      <c r="E8482" s="308" t="str">
        <f>IFERROR(__xludf.DUMMYFUNCTION("""COMPUTED_VALUE"""),"B")</f>
        <v>B</v>
      </c>
      <c r="F8482" s="315" t="s">
        <v>26</v>
      </c>
      <c r="G8482" s="308"/>
      <c r="H8482" s="308" t="s">
        <v>33406</v>
      </c>
      <c r="I8482" s="310">
        <v>41462.0</v>
      </c>
      <c r="J8482" s="319">
        <f>IFERROR(__xludf.DUMMYFUNCTION("SPLIT(I8482,""/"")"),7.0)</f>
        <v>7</v>
      </c>
      <c r="K8482" s="308">
        <f>IFERROR(__xludf.DUMMYFUNCTION("""COMPUTED_VALUE"""),7.0)</f>
        <v>7</v>
      </c>
      <c r="L8482" s="308">
        <f>IFERROR(__xludf.DUMMYFUNCTION("""COMPUTED_VALUE"""),2013.0)</f>
        <v>2013</v>
      </c>
      <c r="M8482" s="308" t="s">
        <v>33407</v>
      </c>
      <c r="N8482" s="308"/>
      <c r="O8482" s="308"/>
      <c r="P8482" s="308" t="s">
        <v>33408</v>
      </c>
      <c r="Q8482" s="308" t="s">
        <v>40261</v>
      </c>
      <c r="R8482" s="308" t="s">
        <v>40268</v>
      </c>
      <c r="S8482" s="308" t="s">
        <v>49</v>
      </c>
      <c r="T8482" s="311" t="s">
        <v>77</v>
      </c>
      <c r="U8482" s="308" t="s">
        <v>27</v>
      </c>
      <c r="V8482" s="308"/>
    </row>
    <row r="8483">
      <c r="A8483" s="308"/>
      <c r="B8483" s="308"/>
      <c r="C8483" s="308" t="s">
        <v>33409</v>
      </c>
      <c r="D8483" s="308">
        <f>IFERROR(__xludf.DUMMYFUNCTION("SPLIT(C8483,""-"")"),8503.0)</f>
        <v>8503</v>
      </c>
      <c r="E8483" s="308" t="str">
        <f>IFERROR(__xludf.DUMMYFUNCTION("""COMPUTED_VALUE"""),"B")</f>
        <v>B</v>
      </c>
      <c r="F8483" s="315" t="s">
        <v>26</v>
      </c>
      <c r="G8483" s="308"/>
      <c r="H8483" s="308" t="s">
        <v>33410</v>
      </c>
      <c r="I8483" s="310">
        <v>41345.0</v>
      </c>
      <c r="J8483" s="319">
        <f>IFERROR(__xludf.DUMMYFUNCTION("SPLIT(I8483,""/"")"),12.0)</f>
        <v>12</v>
      </c>
      <c r="K8483" s="308">
        <f>IFERROR(__xludf.DUMMYFUNCTION("""COMPUTED_VALUE"""),3.0)</f>
        <v>3</v>
      </c>
      <c r="L8483" s="308">
        <f>IFERROR(__xludf.DUMMYFUNCTION("""COMPUTED_VALUE"""),2013.0)</f>
        <v>2013</v>
      </c>
      <c r="M8483" s="308" t="s">
        <v>33411</v>
      </c>
      <c r="N8483" s="308"/>
      <c r="O8483" s="308"/>
      <c r="P8483" s="308" t="s">
        <v>33412</v>
      </c>
      <c r="Q8483" s="308" t="s">
        <v>40261</v>
      </c>
      <c r="R8483" s="308" t="s">
        <v>40268</v>
      </c>
      <c r="S8483" s="308" t="s">
        <v>81</v>
      </c>
      <c r="T8483" s="311" t="s">
        <v>96</v>
      </c>
      <c r="U8483" s="308" t="s">
        <v>27</v>
      </c>
      <c r="V8483" s="308"/>
    </row>
    <row r="8484">
      <c r="A8484" s="308"/>
      <c r="B8484" s="308"/>
      <c r="C8484" s="308" t="s">
        <v>33413</v>
      </c>
      <c r="D8484" s="308">
        <f>IFERROR(__xludf.DUMMYFUNCTION("SPLIT(C8484,""-"")"),8504.0)</f>
        <v>8504</v>
      </c>
      <c r="E8484" s="308" t="str">
        <f>IFERROR(__xludf.DUMMYFUNCTION("""COMPUTED_VALUE"""),"B")</f>
        <v>B</v>
      </c>
      <c r="F8484" s="315" t="s">
        <v>26</v>
      </c>
      <c r="G8484" s="308"/>
      <c r="H8484" s="308" t="s">
        <v>33414</v>
      </c>
      <c r="I8484" s="310">
        <v>41764.0</v>
      </c>
      <c r="J8484" s="319">
        <f>IFERROR(__xludf.DUMMYFUNCTION("SPLIT(I8484,""/"")"),5.0)</f>
        <v>5</v>
      </c>
      <c r="K8484" s="308">
        <f>IFERROR(__xludf.DUMMYFUNCTION("""COMPUTED_VALUE"""),5.0)</f>
        <v>5</v>
      </c>
      <c r="L8484" s="308">
        <f>IFERROR(__xludf.DUMMYFUNCTION("""COMPUTED_VALUE"""),2014.0)</f>
        <v>2014</v>
      </c>
      <c r="M8484" s="308" t="s">
        <v>33211</v>
      </c>
      <c r="N8484" s="308"/>
      <c r="O8484" s="308"/>
      <c r="P8484" s="308" t="s">
        <v>40269</v>
      </c>
      <c r="Q8484" s="308" t="s">
        <v>40261</v>
      </c>
      <c r="R8484" s="308" t="s">
        <v>40268</v>
      </c>
      <c r="S8484" s="308" t="s">
        <v>81</v>
      </c>
      <c r="T8484" s="311" t="s">
        <v>96</v>
      </c>
      <c r="U8484" s="308" t="s">
        <v>27</v>
      </c>
      <c r="V8484" s="308"/>
    </row>
    <row r="8485">
      <c r="A8485" s="308"/>
      <c r="B8485" s="308"/>
      <c r="C8485" s="308" t="s">
        <v>33416</v>
      </c>
      <c r="D8485" s="308">
        <f>IFERROR(__xludf.DUMMYFUNCTION("SPLIT(C8485,""-"")"),8505.0)</f>
        <v>8505</v>
      </c>
      <c r="E8485" s="308" t="str">
        <f>IFERROR(__xludf.DUMMYFUNCTION("""COMPUTED_VALUE"""),"B")</f>
        <v>B</v>
      </c>
      <c r="F8485" s="315" t="s">
        <v>26</v>
      </c>
      <c r="G8485" s="308"/>
      <c r="H8485" s="308" t="s">
        <v>33417</v>
      </c>
      <c r="I8485" s="310">
        <v>41616.0</v>
      </c>
      <c r="J8485" s="319">
        <f>IFERROR(__xludf.DUMMYFUNCTION("SPLIT(I8485,""/"")"),8.0)</f>
        <v>8</v>
      </c>
      <c r="K8485" s="308">
        <f>IFERROR(__xludf.DUMMYFUNCTION("""COMPUTED_VALUE"""),12.0)</f>
        <v>12</v>
      </c>
      <c r="L8485" s="308">
        <f>IFERROR(__xludf.DUMMYFUNCTION("""COMPUTED_VALUE"""),2013.0)</f>
        <v>2013</v>
      </c>
      <c r="M8485" s="308" t="s">
        <v>33211</v>
      </c>
      <c r="N8485" s="308"/>
      <c r="O8485" s="308"/>
      <c r="P8485" s="308" t="s">
        <v>40270</v>
      </c>
      <c r="Q8485" s="308" t="s">
        <v>40261</v>
      </c>
      <c r="R8485" s="308" t="s">
        <v>40268</v>
      </c>
      <c r="S8485" s="308" t="s">
        <v>81</v>
      </c>
      <c r="T8485" s="311" t="s">
        <v>96</v>
      </c>
      <c r="U8485" s="308" t="s">
        <v>27</v>
      </c>
      <c r="V8485" s="308"/>
    </row>
    <row r="8486">
      <c r="A8486" s="308"/>
      <c r="B8486" s="308"/>
      <c r="C8486" s="308" t="s">
        <v>33419</v>
      </c>
      <c r="D8486" s="308">
        <f>IFERROR(__xludf.DUMMYFUNCTION("SPLIT(C8486,""-"")"),8506.0)</f>
        <v>8506</v>
      </c>
      <c r="E8486" s="308" t="str">
        <f>IFERROR(__xludf.DUMMYFUNCTION("""COMPUTED_VALUE"""),"B")</f>
        <v>B</v>
      </c>
      <c r="F8486" s="315" t="s">
        <v>26</v>
      </c>
      <c r="G8486" s="308"/>
      <c r="H8486" s="308" t="s">
        <v>33420</v>
      </c>
      <c r="I8486" s="314">
        <v>41073.0</v>
      </c>
      <c r="J8486" s="319">
        <f>IFERROR(__xludf.DUMMYFUNCTION("SPLIT(I8486,""/"")"),13.0)</f>
        <v>13</v>
      </c>
      <c r="K8486" s="308">
        <f>IFERROR(__xludf.DUMMYFUNCTION("""COMPUTED_VALUE"""),6.0)</f>
        <v>6</v>
      </c>
      <c r="L8486" s="308">
        <f>IFERROR(__xludf.DUMMYFUNCTION("""COMPUTED_VALUE"""),2012.0)</f>
        <v>2012</v>
      </c>
      <c r="M8486" s="308" t="s">
        <v>33421</v>
      </c>
      <c r="N8486" s="308"/>
      <c r="O8486" s="308"/>
      <c r="P8486" s="308" t="s">
        <v>40271</v>
      </c>
      <c r="Q8486" s="308"/>
      <c r="R8486" s="308"/>
      <c r="S8486" s="308" t="s">
        <v>81</v>
      </c>
      <c r="T8486" s="311" t="s">
        <v>96</v>
      </c>
      <c r="U8486" s="308"/>
      <c r="V8486" s="308"/>
    </row>
    <row r="8487">
      <c r="A8487" s="308"/>
      <c r="B8487" s="308"/>
      <c r="C8487" s="308" t="s">
        <v>33423</v>
      </c>
      <c r="D8487" s="308">
        <f>IFERROR(__xludf.DUMMYFUNCTION("SPLIT(C8487,""-"")"),8507.0)</f>
        <v>8507</v>
      </c>
      <c r="E8487" s="308" t="str">
        <f>IFERROR(__xludf.DUMMYFUNCTION("""COMPUTED_VALUE"""),"B")</f>
        <v>B</v>
      </c>
      <c r="F8487" s="315" t="s">
        <v>26</v>
      </c>
      <c r="G8487" s="308"/>
      <c r="H8487" s="308" t="s">
        <v>33424</v>
      </c>
      <c r="I8487" s="310">
        <v>41616.0</v>
      </c>
      <c r="J8487" s="319">
        <f>IFERROR(__xludf.DUMMYFUNCTION("SPLIT(I8487,""/"")"),8.0)</f>
        <v>8</v>
      </c>
      <c r="K8487" s="308">
        <f>IFERROR(__xludf.DUMMYFUNCTION("""COMPUTED_VALUE"""),12.0)</f>
        <v>12</v>
      </c>
      <c r="L8487" s="308">
        <f>IFERROR(__xludf.DUMMYFUNCTION("""COMPUTED_VALUE"""),2013.0)</f>
        <v>2013</v>
      </c>
      <c r="M8487" s="308" t="s">
        <v>33211</v>
      </c>
      <c r="N8487" s="308"/>
      <c r="O8487" s="308"/>
      <c r="P8487" s="308" t="s">
        <v>40272</v>
      </c>
      <c r="Q8487" s="308" t="s">
        <v>40261</v>
      </c>
      <c r="R8487" s="308" t="s">
        <v>40268</v>
      </c>
      <c r="S8487" s="308" t="s">
        <v>81</v>
      </c>
      <c r="T8487" s="311" t="s">
        <v>96</v>
      </c>
      <c r="U8487" s="308" t="s">
        <v>27</v>
      </c>
      <c r="V8487" s="308"/>
    </row>
    <row r="8488">
      <c r="A8488" s="308"/>
      <c r="B8488" s="308"/>
      <c r="C8488" s="308" t="s">
        <v>33426</v>
      </c>
      <c r="D8488" s="308">
        <f>IFERROR(__xludf.DUMMYFUNCTION("SPLIT(C8488,""-"")"),8508.0)</f>
        <v>8508</v>
      </c>
      <c r="E8488" s="308" t="str">
        <f>IFERROR(__xludf.DUMMYFUNCTION("""COMPUTED_VALUE"""),"B")</f>
        <v>B</v>
      </c>
      <c r="F8488" s="315" t="s">
        <v>26</v>
      </c>
      <c r="G8488" s="308"/>
      <c r="H8488" s="308" t="s">
        <v>33427</v>
      </c>
      <c r="I8488" s="310">
        <v>41616.0</v>
      </c>
      <c r="J8488" s="319">
        <f>IFERROR(__xludf.DUMMYFUNCTION("SPLIT(I8488,""/"")"),8.0)</f>
        <v>8</v>
      </c>
      <c r="K8488" s="308">
        <f>IFERROR(__xludf.DUMMYFUNCTION("""COMPUTED_VALUE"""),12.0)</f>
        <v>12</v>
      </c>
      <c r="L8488" s="308">
        <f>IFERROR(__xludf.DUMMYFUNCTION("""COMPUTED_VALUE"""),2013.0)</f>
        <v>2013</v>
      </c>
      <c r="M8488" s="308" t="s">
        <v>33211</v>
      </c>
      <c r="N8488" s="308"/>
      <c r="O8488" s="308"/>
      <c r="P8488" s="308" t="s">
        <v>40273</v>
      </c>
      <c r="Q8488" s="308" t="s">
        <v>40261</v>
      </c>
      <c r="R8488" s="308" t="s">
        <v>40268</v>
      </c>
      <c r="S8488" s="308" t="s">
        <v>81</v>
      </c>
      <c r="T8488" s="311" t="s">
        <v>96</v>
      </c>
      <c r="U8488" s="308" t="s">
        <v>27</v>
      </c>
      <c r="V8488" s="308"/>
    </row>
    <row r="8489">
      <c r="A8489" s="308"/>
      <c r="B8489" s="308"/>
      <c r="C8489" s="308" t="s">
        <v>33429</v>
      </c>
      <c r="D8489" s="308">
        <f>IFERROR(__xludf.DUMMYFUNCTION("SPLIT(C8489,""-"")"),8509.0)</f>
        <v>8509</v>
      </c>
      <c r="E8489" s="308" t="str">
        <f>IFERROR(__xludf.DUMMYFUNCTION("""COMPUTED_VALUE"""),"B")</f>
        <v>B</v>
      </c>
      <c r="F8489" s="315" t="s">
        <v>26</v>
      </c>
      <c r="G8489" s="308"/>
      <c r="H8489" s="308" t="s">
        <v>33430</v>
      </c>
      <c r="I8489" s="310">
        <v>41616.0</v>
      </c>
      <c r="J8489" s="319">
        <f>IFERROR(__xludf.DUMMYFUNCTION("SPLIT(I8489,""/"")"),8.0)</f>
        <v>8</v>
      </c>
      <c r="K8489" s="308">
        <f>IFERROR(__xludf.DUMMYFUNCTION("""COMPUTED_VALUE"""),12.0)</f>
        <v>12</v>
      </c>
      <c r="L8489" s="308">
        <f>IFERROR(__xludf.DUMMYFUNCTION("""COMPUTED_VALUE"""),2013.0)</f>
        <v>2013</v>
      </c>
      <c r="M8489" s="308" t="s">
        <v>33211</v>
      </c>
      <c r="N8489" s="308"/>
      <c r="O8489" s="308"/>
      <c r="P8489" s="308" t="s">
        <v>40274</v>
      </c>
      <c r="Q8489" s="308" t="s">
        <v>40261</v>
      </c>
      <c r="R8489" s="308" t="s">
        <v>40268</v>
      </c>
      <c r="S8489" s="308" t="s">
        <v>81</v>
      </c>
      <c r="T8489" s="311" t="s">
        <v>96</v>
      </c>
      <c r="U8489" s="308" t="s">
        <v>27</v>
      </c>
      <c r="V8489" s="308"/>
    </row>
    <row r="8490">
      <c r="A8490" s="308"/>
      <c r="B8490" s="308"/>
      <c r="C8490" s="308" t="s">
        <v>33432</v>
      </c>
      <c r="D8490" s="308">
        <f>IFERROR(__xludf.DUMMYFUNCTION("SPLIT(C8490,""-"")"),8510.0)</f>
        <v>8510</v>
      </c>
      <c r="E8490" s="308" t="str">
        <f>IFERROR(__xludf.DUMMYFUNCTION("""COMPUTED_VALUE"""),"B")</f>
        <v>B</v>
      </c>
      <c r="F8490" s="315" t="s">
        <v>26</v>
      </c>
      <c r="G8490" s="308"/>
      <c r="H8490" s="308" t="s">
        <v>33433</v>
      </c>
      <c r="I8490" s="310">
        <v>41616.0</v>
      </c>
      <c r="J8490" s="319">
        <f>IFERROR(__xludf.DUMMYFUNCTION("SPLIT(I8490,""/"")"),8.0)</f>
        <v>8</v>
      </c>
      <c r="K8490" s="308">
        <f>IFERROR(__xludf.DUMMYFUNCTION("""COMPUTED_VALUE"""),12.0)</f>
        <v>12</v>
      </c>
      <c r="L8490" s="308">
        <f>IFERROR(__xludf.DUMMYFUNCTION("""COMPUTED_VALUE"""),2013.0)</f>
        <v>2013</v>
      </c>
      <c r="M8490" s="308" t="s">
        <v>33211</v>
      </c>
      <c r="N8490" s="308"/>
      <c r="O8490" s="308"/>
      <c r="P8490" s="308" t="s">
        <v>40275</v>
      </c>
      <c r="Q8490" s="308" t="s">
        <v>40261</v>
      </c>
      <c r="R8490" s="308" t="s">
        <v>40268</v>
      </c>
      <c r="S8490" s="308" t="s">
        <v>81</v>
      </c>
      <c r="T8490" s="311" t="s">
        <v>96</v>
      </c>
      <c r="U8490" s="308" t="s">
        <v>27</v>
      </c>
      <c r="V8490" s="308"/>
    </row>
    <row r="8491">
      <c r="A8491" s="308"/>
      <c r="B8491" s="308"/>
      <c r="C8491" s="308" t="s">
        <v>33435</v>
      </c>
      <c r="D8491" s="308">
        <f>IFERROR(__xludf.DUMMYFUNCTION("SPLIT(C8491,""-"")"),8511.0)</f>
        <v>8511</v>
      </c>
      <c r="E8491" s="308" t="str">
        <f>IFERROR(__xludf.DUMMYFUNCTION("""COMPUTED_VALUE"""),"B")</f>
        <v>B</v>
      </c>
      <c r="F8491" s="315" t="s">
        <v>26</v>
      </c>
      <c r="G8491" s="308"/>
      <c r="H8491" s="308" t="s">
        <v>33436</v>
      </c>
      <c r="I8491" s="310">
        <v>41616.0</v>
      </c>
      <c r="J8491" s="319">
        <f>IFERROR(__xludf.DUMMYFUNCTION("SPLIT(I8491,""/"")"),8.0)</f>
        <v>8</v>
      </c>
      <c r="K8491" s="308">
        <f>IFERROR(__xludf.DUMMYFUNCTION("""COMPUTED_VALUE"""),12.0)</f>
        <v>12</v>
      </c>
      <c r="L8491" s="308">
        <f>IFERROR(__xludf.DUMMYFUNCTION("""COMPUTED_VALUE"""),2013.0)</f>
        <v>2013</v>
      </c>
      <c r="M8491" s="308" t="s">
        <v>33211</v>
      </c>
      <c r="N8491" s="308"/>
      <c r="O8491" s="308"/>
      <c r="P8491" s="308" t="s">
        <v>40276</v>
      </c>
      <c r="Q8491" s="308" t="s">
        <v>40261</v>
      </c>
      <c r="R8491" s="308" t="s">
        <v>40268</v>
      </c>
      <c r="S8491" s="308" t="s">
        <v>81</v>
      </c>
      <c r="T8491" s="311" t="s">
        <v>96</v>
      </c>
      <c r="U8491" s="308" t="s">
        <v>27</v>
      </c>
      <c r="V8491" s="308"/>
    </row>
    <row r="8492">
      <c r="A8492" s="308"/>
      <c r="B8492" s="308"/>
      <c r="C8492" s="308" t="s">
        <v>33438</v>
      </c>
      <c r="D8492" s="308">
        <f>IFERROR(__xludf.DUMMYFUNCTION("SPLIT(C8492,""-"")"),8512.0)</f>
        <v>8512</v>
      </c>
      <c r="E8492" s="308" t="str">
        <f>IFERROR(__xludf.DUMMYFUNCTION("""COMPUTED_VALUE"""),"B")</f>
        <v>B</v>
      </c>
      <c r="F8492" s="315" t="s">
        <v>26</v>
      </c>
      <c r="G8492" s="308"/>
      <c r="H8492" s="308" t="s">
        <v>33439</v>
      </c>
      <c r="I8492" s="310">
        <v>41764.0</v>
      </c>
      <c r="J8492" s="319">
        <f>IFERROR(__xludf.DUMMYFUNCTION("SPLIT(I8492,""/"")"),5.0)</f>
        <v>5</v>
      </c>
      <c r="K8492" s="308">
        <f>IFERROR(__xludf.DUMMYFUNCTION("""COMPUTED_VALUE"""),5.0)</f>
        <v>5</v>
      </c>
      <c r="L8492" s="308">
        <f>IFERROR(__xludf.DUMMYFUNCTION("""COMPUTED_VALUE"""),2014.0)</f>
        <v>2014</v>
      </c>
      <c r="M8492" s="308" t="s">
        <v>33211</v>
      </c>
      <c r="N8492" s="308"/>
      <c r="O8492" s="308"/>
      <c r="P8492" s="308" t="s">
        <v>40277</v>
      </c>
      <c r="Q8492" s="308" t="s">
        <v>40261</v>
      </c>
      <c r="R8492" s="308" t="s">
        <v>40268</v>
      </c>
      <c r="S8492" s="308" t="s">
        <v>81</v>
      </c>
      <c r="T8492" s="311" t="s">
        <v>96</v>
      </c>
      <c r="U8492" s="308" t="s">
        <v>27</v>
      </c>
      <c r="V8492" s="308"/>
    </row>
    <row r="8493">
      <c r="A8493" s="308"/>
      <c r="B8493" s="308"/>
      <c r="C8493" s="308" t="s">
        <v>33441</v>
      </c>
      <c r="D8493" s="308">
        <f>IFERROR(__xludf.DUMMYFUNCTION("SPLIT(C8493,""-"")"),8513.0)</f>
        <v>8513</v>
      </c>
      <c r="E8493" s="308" t="str">
        <f>IFERROR(__xludf.DUMMYFUNCTION("""COMPUTED_VALUE"""),"B")</f>
        <v>B</v>
      </c>
      <c r="F8493" s="315" t="s">
        <v>26</v>
      </c>
      <c r="G8493" s="308"/>
      <c r="H8493" s="308" t="s">
        <v>33442</v>
      </c>
      <c r="I8493" s="310">
        <v>41764.0</v>
      </c>
      <c r="J8493" s="319">
        <f>IFERROR(__xludf.DUMMYFUNCTION("SPLIT(I8493,""/"")"),5.0)</f>
        <v>5</v>
      </c>
      <c r="K8493" s="308">
        <f>IFERROR(__xludf.DUMMYFUNCTION("""COMPUTED_VALUE"""),5.0)</f>
        <v>5</v>
      </c>
      <c r="L8493" s="308">
        <f>IFERROR(__xludf.DUMMYFUNCTION("""COMPUTED_VALUE"""),2014.0)</f>
        <v>2014</v>
      </c>
      <c r="M8493" s="308" t="s">
        <v>33211</v>
      </c>
      <c r="N8493" s="308"/>
      <c r="O8493" s="308"/>
      <c r="P8493" s="308" t="s">
        <v>40278</v>
      </c>
      <c r="Q8493" s="308" t="s">
        <v>40261</v>
      </c>
      <c r="R8493" s="308" t="s">
        <v>40268</v>
      </c>
      <c r="S8493" s="308" t="s">
        <v>81</v>
      </c>
      <c r="T8493" s="311" t="s">
        <v>96</v>
      </c>
      <c r="U8493" s="308" t="s">
        <v>27</v>
      </c>
      <c r="V8493" s="308"/>
    </row>
    <row r="8494">
      <c r="A8494" s="308"/>
      <c r="B8494" s="308"/>
      <c r="C8494" s="308" t="s">
        <v>33444</v>
      </c>
      <c r="D8494" s="308">
        <f>IFERROR(__xludf.DUMMYFUNCTION("SPLIT(C8494,""-"")"),8514.0)</f>
        <v>8514</v>
      </c>
      <c r="E8494" s="308" t="str">
        <f>IFERROR(__xludf.DUMMYFUNCTION("""COMPUTED_VALUE"""),"B")</f>
        <v>B</v>
      </c>
      <c r="F8494" s="315" t="s">
        <v>26</v>
      </c>
      <c r="G8494" s="308"/>
      <c r="H8494" s="308" t="s">
        <v>40279</v>
      </c>
      <c r="I8494" s="310">
        <v>41764.0</v>
      </c>
      <c r="J8494" s="319">
        <f>IFERROR(__xludf.DUMMYFUNCTION("SPLIT(I8494,""/"")"),5.0)</f>
        <v>5</v>
      </c>
      <c r="K8494" s="308">
        <f>IFERROR(__xludf.DUMMYFUNCTION("""COMPUTED_VALUE"""),5.0)</f>
        <v>5</v>
      </c>
      <c r="L8494" s="308">
        <f>IFERROR(__xludf.DUMMYFUNCTION("""COMPUTED_VALUE"""),2014.0)</f>
        <v>2014</v>
      </c>
      <c r="M8494" s="308" t="s">
        <v>33211</v>
      </c>
      <c r="N8494" s="308"/>
      <c r="O8494" s="308"/>
      <c r="P8494" s="308" t="s">
        <v>40280</v>
      </c>
      <c r="Q8494" s="308" t="s">
        <v>40261</v>
      </c>
      <c r="R8494" s="308" t="s">
        <v>40268</v>
      </c>
      <c r="S8494" s="308" t="s">
        <v>81</v>
      </c>
      <c r="T8494" s="311" t="s">
        <v>96</v>
      </c>
      <c r="U8494" s="308" t="s">
        <v>27</v>
      </c>
      <c r="V8494" s="308"/>
    </row>
    <row r="8495">
      <c r="A8495" s="308"/>
      <c r="B8495" s="308"/>
      <c r="C8495" s="308" t="s">
        <v>33447</v>
      </c>
      <c r="D8495" s="308">
        <f>IFERROR(__xludf.DUMMYFUNCTION("SPLIT(C8495,""-"")"),8515.0)</f>
        <v>8515</v>
      </c>
      <c r="E8495" s="308" t="str">
        <f>IFERROR(__xludf.DUMMYFUNCTION("""COMPUTED_VALUE"""),"B")</f>
        <v>B</v>
      </c>
      <c r="F8495" s="315" t="s">
        <v>26</v>
      </c>
      <c r="G8495" s="308"/>
      <c r="H8495" s="308" t="s">
        <v>33448</v>
      </c>
      <c r="I8495" s="316" t="s">
        <v>33449</v>
      </c>
      <c r="J8495" s="323">
        <v>1.0</v>
      </c>
      <c r="K8495" s="311">
        <v>5.0</v>
      </c>
      <c r="L8495" s="311">
        <v>2016.0</v>
      </c>
      <c r="M8495" s="308" t="s">
        <v>33211</v>
      </c>
      <c r="N8495" s="308"/>
      <c r="O8495" s="308"/>
      <c r="P8495" s="308" t="s">
        <v>40281</v>
      </c>
      <c r="Q8495" s="308" t="s">
        <v>40261</v>
      </c>
      <c r="R8495" s="308" t="s">
        <v>40268</v>
      </c>
      <c r="S8495" s="308" t="s">
        <v>81</v>
      </c>
      <c r="T8495" s="311" t="s">
        <v>96</v>
      </c>
      <c r="U8495" s="308" t="s">
        <v>27</v>
      </c>
      <c r="V8495" s="308"/>
    </row>
    <row r="8496">
      <c r="A8496" s="308"/>
      <c r="B8496" s="308"/>
      <c r="C8496" s="308" t="s">
        <v>33451</v>
      </c>
      <c r="D8496" s="308">
        <f>IFERROR(__xludf.DUMMYFUNCTION("SPLIT(C8496,""-"")"),8516.0)</f>
        <v>8516</v>
      </c>
      <c r="E8496" s="308" t="str">
        <f>IFERROR(__xludf.DUMMYFUNCTION("""COMPUTED_VALUE"""),"B")</f>
        <v>B</v>
      </c>
      <c r="F8496" s="315" t="s">
        <v>26</v>
      </c>
      <c r="G8496" s="308"/>
      <c r="H8496" s="308" t="s">
        <v>40282</v>
      </c>
      <c r="I8496" s="314">
        <v>42564.0</v>
      </c>
      <c r="J8496" s="319">
        <f>IFERROR(__xludf.DUMMYFUNCTION("SPLIT(I8496,""/"")"),13.0)</f>
        <v>13</v>
      </c>
      <c r="K8496" s="308">
        <f>IFERROR(__xludf.DUMMYFUNCTION("""COMPUTED_VALUE"""),7.0)</f>
        <v>7</v>
      </c>
      <c r="L8496" s="308">
        <f>IFERROR(__xludf.DUMMYFUNCTION("""COMPUTED_VALUE"""),2016.0)</f>
        <v>2016</v>
      </c>
      <c r="M8496" s="308" t="s">
        <v>33211</v>
      </c>
      <c r="N8496" s="308"/>
      <c r="O8496" s="308"/>
      <c r="P8496" s="308" t="s">
        <v>40283</v>
      </c>
      <c r="Q8496" s="308"/>
      <c r="R8496" s="308" t="s">
        <v>40268</v>
      </c>
      <c r="S8496" s="308" t="s">
        <v>81</v>
      </c>
      <c r="T8496" s="311" t="s">
        <v>96</v>
      </c>
      <c r="U8496" s="308" t="s">
        <v>27</v>
      </c>
      <c r="V8496" s="308"/>
    </row>
    <row r="8497">
      <c r="A8497" s="308"/>
      <c r="B8497" s="308"/>
      <c r="C8497" s="308" t="s">
        <v>33454</v>
      </c>
      <c r="D8497" s="308">
        <f>IFERROR(__xludf.DUMMYFUNCTION("SPLIT(C8497,""-"")"),8517.0)</f>
        <v>8517</v>
      </c>
      <c r="E8497" s="308" t="str">
        <f>IFERROR(__xludf.DUMMYFUNCTION("""COMPUTED_VALUE"""),"B")</f>
        <v>B</v>
      </c>
      <c r="F8497" s="315" t="s">
        <v>26</v>
      </c>
      <c r="G8497" s="308"/>
      <c r="H8497" s="308" t="s">
        <v>33455</v>
      </c>
      <c r="I8497" s="310">
        <v>42409.0</v>
      </c>
      <c r="J8497" s="319">
        <f>IFERROR(__xludf.DUMMYFUNCTION("SPLIT(I8497,""/"")"),9.0)</f>
        <v>9</v>
      </c>
      <c r="K8497" s="308">
        <f>IFERROR(__xludf.DUMMYFUNCTION("""COMPUTED_VALUE"""),2.0)</f>
        <v>2</v>
      </c>
      <c r="L8497" s="308">
        <f>IFERROR(__xludf.DUMMYFUNCTION("""COMPUTED_VALUE"""),2016.0)</f>
        <v>2016</v>
      </c>
      <c r="M8497" s="308" t="s">
        <v>33211</v>
      </c>
      <c r="N8497" s="308"/>
      <c r="O8497" s="308"/>
      <c r="P8497" s="308" t="s">
        <v>40284</v>
      </c>
      <c r="Q8497" s="308"/>
      <c r="R8497" s="308" t="s">
        <v>40268</v>
      </c>
      <c r="S8497" s="308" t="s">
        <v>81</v>
      </c>
      <c r="T8497" s="311" t="s">
        <v>96</v>
      </c>
      <c r="U8497" s="308" t="s">
        <v>27</v>
      </c>
      <c r="V8497" s="308"/>
    </row>
    <row r="8498">
      <c r="A8498" s="308"/>
      <c r="B8498" s="308"/>
      <c r="C8498" s="308" t="s">
        <v>33457</v>
      </c>
      <c r="D8498" s="308">
        <f>IFERROR(__xludf.DUMMYFUNCTION("SPLIT(C8498,""-"")"),8518.0)</f>
        <v>8518</v>
      </c>
      <c r="E8498" s="308" t="str">
        <f>IFERROR(__xludf.DUMMYFUNCTION("""COMPUTED_VALUE"""),"B")</f>
        <v>B</v>
      </c>
      <c r="F8498" s="315" t="s">
        <v>26</v>
      </c>
      <c r="G8498" s="308"/>
      <c r="H8498" s="308" t="s">
        <v>33458</v>
      </c>
      <c r="I8498" s="314">
        <v>42389.0</v>
      </c>
      <c r="J8498" s="319">
        <f>IFERROR(__xludf.DUMMYFUNCTION("SPLIT(I8498,""/"")"),20.0)</f>
        <v>20</v>
      </c>
      <c r="K8498" s="308">
        <f>IFERROR(__xludf.DUMMYFUNCTION("""COMPUTED_VALUE"""),1.0)</f>
        <v>1</v>
      </c>
      <c r="L8498" s="308">
        <f>IFERROR(__xludf.DUMMYFUNCTION("""COMPUTED_VALUE"""),2016.0)</f>
        <v>2016</v>
      </c>
      <c r="M8498" s="308" t="s">
        <v>33459</v>
      </c>
      <c r="N8498" s="308"/>
      <c r="O8498" s="308"/>
      <c r="P8498" s="308" t="s">
        <v>40285</v>
      </c>
      <c r="Q8498" s="308"/>
      <c r="R8498" s="308" t="s">
        <v>40268</v>
      </c>
      <c r="S8498" s="308" t="s">
        <v>81</v>
      </c>
      <c r="T8498" s="311" t="s">
        <v>53</v>
      </c>
      <c r="U8498" s="308" t="s">
        <v>27</v>
      </c>
      <c r="V8498" s="308"/>
    </row>
    <row r="8499">
      <c r="A8499" s="308"/>
      <c r="B8499" s="308"/>
      <c r="C8499" s="308" t="s">
        <v>33461</v>
      </c>
      <c r="D8499" s="308">
        <f>IFERROR(__xludf.DUMMYFUNCTION("SPLIT(C8499,""-"")"),8519.0)</f>
        <v>8519</v>
      </c>
      <c r="E8499" s="308" t="str">
        <f>IFERROR(__xludf.DUMMYFUNCTION("""COMPUTED_VALUE"""),"B")</f>
        <v>B</v>
      </c>
      <c r="F8499" s="315" t="s">
        <v>26</v>
      </c>
      <c r="G8499" s="308"/>
      <c r="H8499" s="308" t="s">
        <v>33462</v>
      </c>
      <c r="I8499" s="310">
        <v>42374.0</v>
      </c>
      <c r="J8499" s="319">
        <f>IFERROR(__xludf.DUMMYFUNCTION("SPLIT(I8499,""/"")"),5.0)</f>
        <v>5</v>
      </c>
      <c r="K8499" s="308">
        <f>IFERROR(__xludf.DUMMYFUNCTION("""COMPUTED_VALUE"""),1.0)</f>
        <v>1</v>
      </c>
      <c r="L8499" s="308">
        <f>IFERROR(__xludf.DUMMYFUNCTION("""COMPUTED_VALUE"""),2016.0)</f>
        <v>2016</v>
      </c>
      <c r="M8499" s="308" t="s">
        <v>33211</v>
      </c>
      <c r="N8499" s="308"/>
      <c r="O8499" s="308"/>
      <c r="P8499" s="308" t="s">
        <v>40286</v>
      </c>
      <c r="Q8499" s="308"/>
      <c r="R8499" s="308" t="s">
        <v>40268</v>
      </c>
      <c r="S8499" s="308" t="s">
        <v>81</v>
      </c>
      <c r="T8499" s="311" t="s">
        <v>96</v>
      </c>
      <c r="U8499" s="308" t="s">
        <v>27</v>
      </c>
      <c r="V8499" s="308"/>
    </row>
    <row r="8500">
      <c r="A8500" s="308"/>
      <c r="B8500" s="308"/>
      <c r="C8500" s="308" t="s">
        <v>33464</v>
      </c>
      <c r="D8500" s="308">
        <f>IFERROR(__xludf.DUMMYFUNCTION("SPLIT(C8500,""-"")"),8520.0)</f>
        <v>8520</v>
      </c>
      <c r="E8500" s="308" t="str">
        <f>IFERROR(__xludf.DUMMYFUNCTION("""COMPUTED_VALUE"""),"B")</f>
        <v>B</v>
      </c>
      <c r="F8500" s="315" t="s">
        <v>26</v>
      </c>
      <c r="G8500" s="308"/>
      <c r="H8500" s="308" t="s">
        <v>33465</v>
      </c>
      <c r="I8500" s="314">
        <v>42564.0</v>
      </c>
      <c r="J8500" s="319">
        <f>IFERROR(__xludf.DUMMYFUNCTION("SPLIT(I8500,""/"")"),13.0)</f>
        <v>13</v>
      </c>
      <c r="K8500" s="308">
        <f>IFERROR(__xludf.DUMMYFUNCTION("""COMPUTED_VALUE"""),7.0)</f>
        <v>7</v>
      </c>
      <c r="L8500" s="308">
        <f>IFERROR(__xludf.DUMMYFUNCTION("""COMPUTED_VALUE"""),2016.0)</f>
        <v>2016</v>
      </c>
      <c r="M8500" s="308" t="s">
        <v>33211</v>
      </c>
      <c r="N8500" s="308"/>
      <c r="O8500" s="308"/>
      <c r="P8500" s="308" t="s">
        <v>40287</v>
      </c>
      <c r="Q8500" s="308"/>
      <c r="R8500" s="308" t="s">
        <v>40268</v>
      </c>
      <c r="S8500" s="308" t="s">
        <v>81</v>
      </c>
      <c r="T8500" s="311" t="s">
        <v>96</v>
      </c>
      <c r="U8500" s="308" t="s">
        <v>27</v>
      </c>
      <c r="V8500" s="308"/>
    </row>
    <row r="8501">
      <c r="A8501" s="308"/>
      <c r="B8501" s="308"/>
      <c r="C8501" s="308" t="s">
        <v>33467</v>
      </c>
      <c r="D8501" s="308">
        <f>IFERROR(__xludf.DUMMYFUNCTION("SPLIT(C8501,""-"")"),8521.0)</f>
        <v>8521</v>
      </c>
      <c r="E8501" s="308" t="str">
        <f>IFERROR(__xludf.DUMMYFUNCTION("""COMPUTED_VALUE"""),"B")</f>
        <v>B</v>
      </c>
      <c r="F8501" s="315" t="s">
        <v>26</v>
      </c>
      <c r="G8501" s="308"/>
      <c r="H8501" s="308" t="s">
        <v>40288</v>
      </c>
      <c r="I8501" s="314">
        <v>42538.0</v>
      </c>
      <c r="J8501" s="319">
        <f>IFERROR(__xludf.DUMMYFUNCTION("SPLIT(I8501,""/"")"),17.0)</f>
        <v>17</v>
      </c>
      <c r="K8501" s="308">
        <f>IFERROR(__xludf.DUMMYFUNCTION("""COMPUTED_VALUE"""),6.0)</f>
        <v>6</v>
      </c>
      <c r="L8501" s="308">
        <f>IFERROR(__xludf.DUMMYFUNCTION("""COMPUTED_VALUE"""),2016.0)</f>
        <v>2016</v>
      </c>
      <c r="M8501" s="308" t="s">
        <v>33048</v>
      </c>
      <c r="N8501" s="308"/>
      <c r="O8501" s="308"/>
      <c r="P8501" s="308" t="s">
        <v>40289</v>
      </c>
      <c r="Q8501" s="308"/>
      <c r="R8501" s="308" t="s">
        <v>40268</v>
      </c>
      <c r="S8501" s="308" t="s">
        <v>81</v>
      </c>
      <c r="T8501" s="311" t="s">
        <v>96</v>
      </c>
      <c r="U8501" s="308" t="s">
        <v>27</v>
      </c>
      <c r="V8501" s="308"/>
    </row>
    <row r="8502">
      <c r="A8502" s="308"/>
      <c r="B8502" s="308"/>
      <c r="C8502" s="308" t="s">
        <v>33470</v>
      </c>
      <c r="D8502" s="308">
        <f>IFERROR(__xludf.DUMMYFUNCTION("SPLIT(C8502,""-"")"),8522.0)</f>
        <v>8522</v>
      </c>
      <c r="E8502" s="308" t="str">
        <f>IFERROR(__xludf.DUMMYFUNCTION("""COMPUTED_VALUE"""),"B")</f>
        <v>B</v>
      </c>
      <c r="F8502" s="315" t="s">
        <v>26</v>
      </c>
      <c r="G8502" s="308"/>
      <c r="H8502" s="308" t="s">
        <v>33471</v>
      </c>
      <c r="I8502" s="314">
        <v>42109.0</v>
      </c>
      <c r="J8502" s="319">
        <f>IFERROR(__xludf.DUMMYFUNCTION("SPLIT(I8502,""/"")"),15.0)</f>
        <v>15</v>
      </c>
      <c r="K8502" s="308">
        <f>IFERROR(__xludf.DUMMYFUNCTION("""COMPUTED_VALUE"""),4.0)</f>
        <v>4</v>
      </c>
      <c r="L8502" s="308">
        <f>IFERROR(__xludf.DUMMYFUNCTION("""COMPUTED_VALUE"""),2015.0)</f>
        <v>2015</v>
      </c>
      <c r="M8502" s="308" t="s">
        <v>33472</v>
      </c>
      <c r="N8502" s="308"/>
      <c r="O8502" s="308"/>
      <c r="P8502" s="308" t="s">
        <v>40290</v>
      </c>
      <c r="Q8502" s="308"/>
      <c r="R8502" s="308" t="s">
        <v>40268</v>
      </c>
      <c r="S8502" s="308" t="s">
        <v>81</v>
      </c>
      <c r="T8502" s="311" t="s">
        <v>96</v>
      </c>
      <c r="U8502" s="308" t="s">
        <v>27</v>
      </c>
      <c r="V8502" s="308"/>
    </row>
    <row r="8503">
      <c r="A8503" s="308"/>
      <c r="B8503" s="308"/>
      <c r="C8503" s="308" t="s">
        <v>33474</v>
      </c>
      <c r="D8503" s="308">
        <f>IFERROR(__xludf.DUMMYFUNCTION("SPLIT(C8503,""-"")"),8523.0)</f>
        <v>8523</v>
      </c>
      <c r="E8503" s="308" t="str">
        <f>IFERROR(__xludf.DUMMYFUNCTION("""COMPUTED_VALUE"""),"K")</f>
        <v>K</v>
      </c>
      <c r="F8503" s="309" t="s">
        <v>34</v>
      </c>
      <c r="G8503" s="308"/>
      <c r="H8503" s="308" t="s">
        <v>33475</v>
      </c>
      <c r="I8503" s="316" t="s">
        <v>33269</v>
      </c>
      <c r="J8503" s="319"/>
      <c r="K8503" s="308"/>
      <c r="L8503" s="311">
        <v>2009.0</v>
      </c>
      <c r="M8503" s="308" t="s">
        <v>33476</v>
      </c>
      <c r="N8503" s="308" t="s">
        <v>40291</v>
      </c>
      <c r="O8503" s="308"/>
      <c r="P8503" s="308" t="s">
        <v>136</v>
      </c>
      <c r="Q8503" s="308" t="s">
        <v>40292</v>
      </c>
      <c r="R8503" s="308" t="s">
        <v>2743</v>
      </c>
      <c r="S8503" s="315" t="s">
        <v>100</v>
      </c>
      <c r="T8503" s="308" t="s">
        <v>34208</v>
      </c>
      <c r="U8503" s="308" t="s">
        <v>530</v>
      </c>
      <c r="V8503" s="308"/>
    </row>
    <row r="8504">
      <c r="A8504" s="308"/>
      <c r="B8504" s="308"/>
      <c r="C8504" s="308" t="s">
        <v>33478</v>
      </c>
      <c r="D8504" s="308">
        <f>IFERROR(__xludf.DUMMYFUNCTION("SPLIT(C8504,""-"")"),8524.0)</f>
        <v>8524</v>
      </c>
      <c r="E8504" s="308" t="str">
        <f>IFERROR(__xludf.DUMMYFUNCTION("""COMPUTED_VALUE"""),"K")</f>
        <v>K</v>
      </c>
      <c r="F8504" s="309" t="s">
        <v>34</v>
      </c>
      <c r="G8504" s="308"/>
      <c r="H8504" s="308" t="s">
        <v>33479</v>
      </c>
      <c r="I8504" s="310">
        <v>44620.0</v>
      </c>
      <c r="J8504" s="319">
        <f>IFERROR(__xludf.DUMMYFUNCTION("SPLIT(I8504,""/"")"),28.0)</f>
        <v>28</v>
      </c>
      <c r="K8504" s="308">
        <f>IFERROR(__xludf.DUMMYFUNCTION("""COMPUTED_VALUE"""),2.0)</f>
        <v>2</v>
      </c>
      <c r="L8504" s="308">
        <f>IFERROR(__xludf.DUMMYFUNCTION("""COMPUTED_VALUE"""),2022.0)</f>
        <v>2022</v>
      </c>
      <c r="M8504" s="308" t="s">
        <v>33480</v>
      </c>
      <c r="N8504" s="308" t="s">
        <v>33481</v>
      </c>
      <c r="O8504" s="308"/>
      <c r="P8504" s="308" t="s">
        <v>33482</v>
      </c>
      <c r="Q8504" s="308" t="s">
        <v>40292</v>
      </c>
      <c r="R8504" s="308" t="s">
        <v>2743</v>
      </c>
      <c r="S8504" s="308" t="s">
        <v>81</v>
      </c>
      <c r="T8504" s="311" t="s">
        <v>75</v>
      </c>
      <c r="U8504" s="308" t="s">
        <v>542</v>
      </c>
      <c r="V8504" s="308"/>
    </row>
    <row r="8505">
      <c r="A8505" s="308"/>
      <c r="B8505" s="308"/>
      <c r="C8505" s="308" t="s">
        <v>33483</v>
      </c>
      <c r="D8505" s="308">
        <f>IFERROR(__xludf.DUMMYFUNCTION("SPLIT(C8505,""-"")"),8525.0)</f>
        <v>8525</v>
      </c>
      <c r="E8505" s="308" t="str">
        <f>IFERROR(__xludf.DUMMYFUNCTION("""COMPUTED_VALUE"""),"I")</f>
        <v>I</v>
      </c>
      <c r="F8505" s="309" t="s">
        <v>31</v>
      </c>
      <c r="G8505" s="308"/>
      <c r="H8505" s="308" t="s">
        <v>33484</v>
      </c>
      <c r="I8505" s="310">
        <v>44357.0</v>
      </c>
      <c r="J8505" s="319">
        <f>IFERROR(__xludf.DUMMYFUNCTION("SPLIT(I8505,""/"")"),10.0)</f>
        <v>10</v>
      </c>
      <c r="K8505" s="308">
        <f>IFERROR(__xludf.DUMMYFUNCTION("""COMPUTED_VALUE"""),6.0)</f>
        <v>6</v>
      </c>
      <c r="L8505" s="308">
        <f>IFERROR(__xludf.DUMMYFUNCTION("""COMPUTED_VALUE"""),2021.0)</f>
        <v>2021</v>
      </c>
      <c r="M8505" s="308" t="s">
        <v>33485</v>
      </c>
      <c r="N8505" s="308" t="s">
        <v>33486</v>
      </c>
      <c r="O8505" s="308"/>
      <c r="P8505" s="308" t="s">
        <v>136</v>
      </c>
      <c r="Q8505" s="308" t="s">
        <v>40292</v>
      </c>
      <c r="R8505" s="308" t="s">
        <v>2743</v>
      </c>
      <c r="S8505" s="315" t="s">
        <v>100</v>
      </c>
      <c r="T8505" s="308" t="s">
        <v>34208</v>
      </c>
      <c r="U8505" s="308" t="s">
        <v>31</v>
      </c>
      <c r="V8505" s="308"/>
    </row>
    <row r="8506">
      <c r="A8506" s="308"/>
      <c r="B8506" s="308"/>
      <c r="C8506" s="308" t="s">
        <v>33487</v>
      </c>
      <c r="D8506" s="308">
        <f>IFERROR(__xludf.DUMMYFUNCTION("SPLIT(C8506,""-"")"),8526.0)</f>
        <v>8526</v>
      </c>
      <c r="E8506" s="308" t="str">
        <f>IFERROR(__xludf.DUMMYFUNCTION("""COMPUTED_VALUE"""),"P")</f>
        <v>P</v>
      </c>
      <c r="F8506" s="312" t="s">
        <v>37</v>
      </c>
      <c r="G8506" s="308"/>
      <c r="H8506" s="308" t="s">
        <v>33488</v>
      </c>
      <c r="I8506" s="310">
        <v>44580.0</v>
      </c>
      <c r="J8506" s="319">
        <f>IFERROR(__xludf.DUMMYFUNCTION("SPLIT(I8506,""/"")"),19.0)</f>
        <v>19</v>
      </c>
      <c r="K8506" s="308">
        <f>IFERROR(__xludf.DUMMYFUNCTION("""COMPUTED_VALUE"""),1.0)</f>
        <v>1</v>
      </c>
      <c r="L8506" s="308">
        <f>IFERROR(__xludf.DUMMYFUNCTION("""COMPUTED_VALUE"""),2022.0)</f>
        <v>2022</v>
      </c>
      <c r="M8506" s="308" t="s">
        <v>33489</v>
      </c>
      <c r="N8506" s="308" t="s">
        <v>27394</v>
      </c>
      <c r="O8506" s="308"/>
      <c r="P8506" s="308" t="s">
        <v>136</v>
      </c>
      <c r="Q8506" s="308" t="s">
        <v>40292</v>
      </c>
      <c r="R8506" s="308" t="s">
        <v>2743</v>
      </c>
      <c r="S8506" s="315" t="s">
        <v>100</v>
      </c>
      <c r="T8506" s="308" t="s">
        <v>34208</v>
      </c>
      <c r="U8506" s="308" t="s">
        <v>143</v>
      </c>
      <c r="V8506" s="308"/>
    </row>
    <row r="8507">
      <c r="A8507" s="308"/>
      <c r="B8507" s="308"/>
      <c r="C8507" s="308" t="s">
        <v>33490</v>
      </c>
      <c r="D8507" s="308">
        <f>IFERROR(__xludf.DUMMYFUNCTION("SPLIT(C8507,""-"")"),8527.0)</f>
        <v>8527</v>
      </c>
      <c r="E8507" s="308" t="str">
        <f>IFERROR(__xludf.DUMMYFUNCTION("""COMPUTED_VALUE"""),"K")</f>
        <v>K</v>
      </c>
      <c r="F8507" s="309" t="s">
        <v>34</v>
      </c>
      <c r="G8507" s="308"/>
      <c r="H8507" s="308" t="s">
        <v>33491</v>
      </c>
      <c r="I8507" s="316" t="s">
        <v>33492</v>
      </c>
      <c r="J8507" s="319">
        <f>IFERROR(__xludf.DUMMYFUNCTION("SPLIT(I8507,""/"")"),0.0)</f>
        <v>0</v>
      </c>
      <c r="K8507" s="308">
        <f>IFERROR(__xludf.DUMMYFUNCTION("""COMPUTED_VALUE"""),9.0)</f>
        <v>9</v>
      </c>
      <c r="L8507" s="308">
        <f>IFERROR(__xludf.DUMMYFUNCTION("""COMPUTED_VALUE"""),2021.0)</f>
        <v>2021</v>
      </c>
      <c r="M8507" s="308" t="s">
        <v>33493</v>
      </c>
      <c r="N8507" s="308" t="s">
        <v>40293</v>
      </c>
      <c r="O8507" s="308"/>
      <c r="P8507" s="308" t="s">
        <v>40294</v>
      </c>
      <c r="Q8507" s="308" t="s">
        <v>40292</v>
      </c>
      <c r="R8507" s="308" t="s">
        <v>2743</v>
      </c>
      <c r="S8507" s="308" t="s">
        <v>81</v>
      </c>
      <c r="T8507" s="308" t="s">
        <v>34264</v>
      </c>
      <c r="U8507" s="308" t="s">
        <v>22473</v>
      </c>
      <c r="V8507" s="308"/>
    </row>
    <row r="8508">
      <c r="A8508" s="308"/>
      <c r="B8508" s="308"/>
      <c r="C8508" s="308" t="s">
        <v>33496</v>
      </c>
      <c r="D8508" s="308">
        <f>IFERROR(__xludf.DUMMYFUNCTION("SPLIT(C8508,""-"")"),8528.0)</f>
        <v>8528</v>
      </c>
      <c r="E8508" s="308" t="str">
        <f>IFERROR(__xludf.DUMMYFUNCTION("""COMPUTED_VALUE"""),"S")</f>
        <v>S</v>
      </c>
      <c r="F8508" s="312" t="s">
        <v>39</v>
      </c>
      <c r="G8508" s="308"/>
      <c r="H8508" s="308" t="s">
        <v>33497</v>
      </c>
      <c r="I8508" s="310">
        <v>44615.0</v>
      </c>
      <c r="J8508" s="319">
        <f>IFERROR(__xludf.DUMMYFUNCTION("SPLIT(I8508,""/"")"),23.0)</f>
        <v>23</v>
      </c>
      <c r="K8508" s="308">
        <f>IFERROR(__xludf.DUMMYFUNCTION("""COMPUTED_VALUE"""),2.0)</f>
        <v>2</v>
      </c>
      <c r="L8508" s="308">
        <f>IFERROR(__xludf.DUMMYFUNCTION("""COMPUTED_VALUE"""),2022.0)</f>
        <v>2022</v>
      </c>
      <c r="M8508" s="308" t="s">
        <v>33498</v>
      </c>
      <c r="N8508" s="308" t="s">
        <v>33499</v>
      </c>
      <c r="O8508" s="308"/>
      <c r="P8508" s="308" t="s">
        <v>40295</v>
      </c>
      <c r="Q8508" s="308" t="s">
        <v>40292</v>
      </c>
      <c r="R8508" s="308" t="s">
        <v>2743</v>
      </c>
      <c r="S8508" s="308" t="s">
        <v>81</v>
      </c>
      <c r="T8508" s="308" t="s">
        <v>75</v>
      </c>
      <c r="U8508" s="308" t="s">
        <v>166</v>
      </c>
      <c r="V8508" s="308"/>
    </row>
    <row r="8509">
      <c r="A8509" s="308"/>
      <c r="B8509" s="308"/>
      <c r="C8509" s="308" t="s">
        <v>33501</v>
      </c>
      <c r="D8509" s="308">
        <f>IFERROR(__xludf.DUMMYFUNCTION("SPLIT(C8509,""-"")"),8529.0)</f>
        <v>8529</v>
      </c>
      <c r="E8509" s="308" t="str">
        <f>IFERROR(__xludf.DUMMYFUNCTION("""COMPUTED_VALUE"""),"K")</f>
        <v>K</v>
      </c>
      <c r="F8509" s="309" t="s">
        <v>34</v>
      </c>
      <c r="G8509" s="308"/>
      <c r="H8509" s="308" t="s">
        <v>33502</v>
      </c>
      <c r="I8509" s="310">
        <v>44509.0</v>
      </c>
      <c r="J8509" s="319">
        <f>IFERROR(__xludf.DUMMYFUNCTION("SPLIT(I8509,""/"")"),9.0)</f>
        <v>9</v>
      </c>
      <c r="K8509" s="308">
        <f>IFERROR(__xludf.DUMMYFUNCTION("""COMPUTED_VALUE"""),11.0)</f>
        <v>11</v>
      </c>
      <c r="L8509" s="308">
        <f>IFERROR(__xludf.DUMMYFUNCTION("""COMPUTED_VALUE"""),2021.0)</f>
        <v>2021</v>
      </c>
      <c r="M8509" s="308" t="s">
        <v>40296</v>
      </c>
      <c r="N8509" s="308" t="s">
        <v>33504</v>
      </c>
      <c r="O8509" s="308"/>
      <c r="P8509" s="308" t="s">
        <v>136</v>
      </c>
      <c r="Q8509" s="308" t="s">
        <v>40292</v>
      </c>
      <c r="R8509" s="308" t="s">
        <v>2743</v>
      </c>
      <c r="S8509" s="315" t="s">
        <v>100</v>
      </c>
      <c r="T8509" s="308" t="s">
        <v>34208</v>
      </c>
      <c r="U8509" s="308" t="s">
        <v>368</v>
      </c>
      <c r="V8509" s="308"/>
    </row>
    <row r="8510">
      <c r="A8510" s="308"/>
      <c r="B8510" s="308"/>
      <c r="C8510" s="308" t="s">
        <v>33505</v>
      </c>
      <c r="D8510" s="308">
        <f>IFERROR(__xludf.DUMMYFUNCTION("SPLIT(C8510,""-"")"),8530.0)</f>
        <v>8530</v>
      </c>
      <c r="E8510" s="308" t="str">
        <f>IFERROR(__xludf.DUMMYFUNCTION("""COMPUTED_VALUE"""),"K")</f>
        <v>K</v>
      </c>
      <c r="F8510" s="309" t="s">
        <v>34</v>
      </c>
      <c r="G8510" s="308"/>
      <c r="H8510" s="308" t="s">
        <v>33506</v>
      </c>
      <c r="I8510" s="310">
        <v>44509.0</v>
      </c>
      <c r="J8510" s="319">
        <f>IFERROR(__xludf.DUMMYFUNCTION("SPLIT(I8510,""/"")"),9.0)</f>
        <v>9</v>
      </c>
      <c r="K8510" s="308">
        <f>IFERROR(__xludf.DUMMYFUNCTION("""COMPUTED_VALUE"""),11.0)</f>
        <v>11</v>
      </c>
      <c r="L8510" s="308">
        <f>IFERROR(__xludf.DUMMYFUNCTION("""COMPUTED_VALUE"""),2021.0)</f>
        <v>2021</v>
      </c>
      <c r="M8510" s="308" t="s">
        <v>40297</v>
      </c>
      <c r="N8510" s="308" t="s">
        <v>33508</v>
      </c>
      <c r="O8510" s="308"/>
      <c r="P8510" s="308" t="s">
        <v>136</v>
      </c>
      <c r="Q8510" s="308" t="s">
        <v>40292</v>
      </c>
      <c r="R8510" s="308" t="s">
        <v>2743</v>
      </c>
      <c r="S8510" s="315" t="s">
        <v>100</v>
      </c>
      <c r="T8510" s="308" t="s">
        <v>34208</v>
      </c>
      <c r="U8510" s="308" t="s">
        <v>368</v>
      </c>
      <c r="V8510" s="308"/>
    </row>
    <row r="8511">
      <c r="A8511" s="308"/>
      <c r="B8511" s="308"/>
      <c r="C8511" s="308" t="s">
        <v>33509</v>
      </c>
      <c r="D8511" s="308">
        <f>IFERROR(__xludf.DUMMYFUNCTION("SPLIT(C8511,""-"")"),8531.0)</f>
        <v>8531</v>
      </c>
      <c r="E8511" s="308" t="str">
        <f>IFERROR(__xludf.DUMMYFUNCTION("""COMPUTED_VALUE"""),"K")</f>
        <v>K</v>
      </c>
      <c r="F8511" s="309" t="s">
        <v>34</v>
      </c>
      <c r="G8511" s="308"/>
      <c r="H8511" s="308" t="s">
        <v>33510</v>
      </c>
      <c r="I8511" s="310">
        <v>44205.0</v>
      </c>
      <c r="J8511" s="319">
        <f>IFERROR(__xludf.DUMMYFUNCTION("SPLIT(I8511,""/"")"),9.0)</f>
        <v>9</v>
      </c>
      <c r="K8511" s="308">
        <f>IFERROR(__xludf.DUMMYFUNCTION("""COMPUTED_VALUE"""),1.0)</f>
        <v>1</v>
      </c>
      <c r="L8511" s="308">
        <f>IFERROR(__xludf.DUMMYFUNCTION("""COMPUTED_VALUE"""),2021.0)</f>
        <v>2021</v>
      </c>
      <c r="M8511" s="308" t="s">
        <v>40298</v>
      </c>
      <c r="N8511" s="308"/>
      <c r="O8511" s="308"/>
      <c r="P8511" s="308" t="s">
        <v>136</v>
      </c>
      <c r="Q8511" s="308" t="s">
        <v>40299</v>
      </c>
      <c r="R8511" s="308" t="s">
        <v>2743</v>
      </c>
      <c r="S8511" s="315" t="s">
        <v>100</v>
      </c>
      <c r="T8511" s="308" t="s">
        <v>34208</v>
      </c>
      <c r="U8511" s="308" t="s">
        <v>1528</v>
      </c>
      <c r="V8511" s="308"/>
    </row>
    <row r="8512">
      <c r="A8512" s="308"/>
      <c r="B8512" s="308"/>
      <c r="C8512" s="308" t="s">
        <v>33512</v>
      </c>
      <c r="D8512" s="308">
        <f>IFERROR(__xludf.DUMMYFUNCTION("SPLIT(C8512,""-"")"),8532.0)</f>
        <v>8532</v>
      </c>
      <c r="E8512" s="308" t="str">
        <f>IFERROR(__xludf.DUMMYFUNCTION("""COMPUTED_VALUE"""),"B")</f>
        <v>B</v>
      </c>
      <c r="F8512" s="315" t="s">
        <v>26</v>
      </c>
      <c r="G8512" s="308"/>
      <c r="H8512" s="308" t="s">
        <v>33513</v>
      </c>
      <c r="I8512" s="310">
        <v>38727.0</v>
      </c>
      <c r="J8512" s="319">
        <f>IFERROR(__xludf.DUMMYFUNCTION("SPLIT(I8512,""/"")"),10.0)</f>
        <v>10</v>
      </c>
      <c r="K8512" s="308">
        <f>IFERROR(__xludf.DUMMYFUNCTION("""COMPUTED_VALUE"""),1.0)</f>
        <v>1</v>
      </c>
      <c r="L8512" s="308">
        <f>IFERROR(__xludf.DUMMYFUNCTION("""COMPUTED_VALUE"""),2006.0)</f>
        <v>2006</v>
      </c>
      <c r="M8512" s="308" t="s">
        <v>33514</v>
      </c>
      <c r="N8512" s="308"/>
      <c r="O8512" s="308"/>
      <c r="P8512" s="308" t="s">
        <v>40300</v>
      </c>
      <c r="Q8512" s="308"/>
      <c r="R8512" s="308" t="s">
        <v>32774</v>
      </c>
      <c r="S8512" s="308" t="s">
        <v>81</v>
      </c>
      <c r="T8512" s="311" t="s">
        <v>77</v>
      </c>
      <c r="U8512" s="308" t="s">
        <v>27</v>
      </c>
      <c r="V8512" s="308"/>
    </row>
    <row r="8513">
      <c r="A8513" s="308"/>
      <c r="B8513" s="308"/>
      <c r="C8513" s="308" t="s">
        <v>33516</v>
      </c>
      <c r="D8513" s="308">
        <f>IFERROR(__xludf.DUMMYFUNCTION("SPLIT(C8513,""-"")"),8533.0)</f>
        <v>8533</v>
      </c>
      <c r="E8513" s="308" t="str">
        <f>IFERROR(__xludf.DUMMYFUNCTION("""COMPUTED_VALUE"""),"B")</f>
        <v>B</v>
      </c>
      <c r="F8513" s="315" t="s">
        <v>26</v>
      </c>
      <c r="G8513" s="308"/>
      <c r="H8513" s="308" t="s">
        <v>33517</v>
      </c>
      <c r="I8513" s="310">
        <v>41221.0</v>
      </c>
      <c r="J8513" s="319">
        <f>IFERROR(__xludf.DUMMYFUNCTION("SPLIT(I8513,""/"")"),8.0)</f>
        <v>8</v>
      </c>
      <c r="K8513" s="308">
        <f>IFERROR(__xludf.DUMMYFUNCTION("""COMPUTED_VALUE"""),11.0)</f>
        <v>11</v>
      </c>
      <c r="L8513" s="308">
        <f>IFERROR(__xludf.DUMMYFUNCTION("""COMPUTED_VALUE"""),2012.0)</f>
        <v>2012</v>
      </c>
      <c r="M8513" s="308" t="s">
        <v>33067</v>
      </c>
      <c r="N8513" s="308"/>
      <c r="O8513" s="308"/>
      <c r="P8513" s="308" t="s">
        <v>40301</v>
      </c>
      <c r="Q8513" s="308"/>
      <c r="R8513" s="308" t="s">
        <v>32774</v>
      </c>
      <c r="S8513" s="308" t="s">
        <v>81</v>
      </c>
      <c r="T8513" s="311" t="s">
        <v>90</v>
      </c>
      <c r="U8513" s="308" t="s">
        <v>27</v>
      </c>
      <c r="V8513" s="308"/>
    </row>
    <row r="8514">
      <c r="A8514" s="308"/>
      <c r="B8514" s="308"/>
      <c r="C8514" s="308" t="s">
        <v>33519</v>
      </c>
      <c r="D8514" s="308">
        <f>IFERROR(__xludf.DUMMYFUNCTION("SPLIT(C8514,""-"")"),8534.0)</f>
        <v>8534</v>
      </c>
      <c r="E8514" s="308" t="str">
        <f>IFERROR(__xludf.DUMMYFUNCTION("""COMPUTED_VALUE"""),"B")</f>
        <v>B</v>
      </c>
      <c r="F8514" s="315" t="s">
        <v>26</v>
      </c>
      <c r="G8514" s="308"/>
      <c r="H8514" s="308" t="s">
        <v>33520</v>
      </c>
      <c r="I8514" s="310">
        <v>41221.0</v>
      </c>
      <c r="J8514" s="319">
        <f>IFERROR(__xludf.DUMMYFUNCTION("SPLIT(I8514,""/"")"),8.0)</f>
        <v>8</v>
      </c>
      <c r="K8514" s="308">
        <f>IFERROR(__xludf.DUMMYFUNCTION("""COMPUTED_VALUE"""),11.0)</f>
        <v>11</v>
      </c>
      <c r="L8514" s="308">
        <f>IFERROR(__xludf.DUMMYFUNCTION("""COMPUTED_VALUE"""),2012.0)</f>
        <v>2012</v>
      </c>
      <c r="M8514" s="308" t="s">
        <v>33521</v>
      </c>
      <c r="N8514" s="308"/>
      <c r="O8514" s="308"/>
      <c r="P8514" s="308" t="s">
        <v>33522</v>
      </c>
      <c r="Q8514" s="308"/>
      <c r="R8514" s="308" t="s">
        <v>32774</v>
      </c>
      <c r="S8514" s="308" t="s">
        <v>81</v>
      </c>
      <c r="T8514" s="311" t="s">
        <v>90</v>
      </c>
      <c r="U8514" s="308" t="s">
        <v>27</v>
      </c>
      <c r="V8514" s="308"/>
    </row>
    <row r="8515">
      <c r="A8515" s="308"/>
      <c r="B8515" s="308"/>
      <c r="C8515" s="308" t="s">
        <v>33523</v>
      </c>
      <c r="D8515" s="308">
        <f>IFERROR(__xludf.DUMMYFUNCTION("SPLIT(C8515,""-"")"),8535.0)</f>
        <v>8535</v>
      </c>
      <c r="E8515" s="308" t="str">
        <f>IFERROR(__xludf.DUMMYFUNCTION("""COMPUTED_VALUE"""),"B")</f>
        <v>B</v>
      </c>
      <c r="F8515" s="315" t="s">
        <v>26</v>
      </c>
      <c r="G8515" s="308"/>
      <c r="H8515" s="308" t="s">
        <v>33037</v>
      </c>
      <c r="I8515" s="314">
        <v>39011.0</v>
      </c>
      <c r="J8515" s="319">
        <f>IFERROR(__xludf.DUMMYFUNCTION("SPLIT(I8515,""/"")"),21.0)</f>
        <v>21</v>
      </c>
      <c r="K8515" s="308">
        <f>IFERROR(__xludf.DUMMYFUNCTION("""COMPUTED_VALUE"""),10.0)</f>
        <v>10</v>
      </c>
      <c r="L8515" s="308">
        <f>IFERROR(__xludf.DUMMYFUNCTION("""COMPUTED_VALUE"""),2006.0)</f>
        <v>2006</v>
      </c>
      <c r="M8515" s="308" t="s">
        <v>33038</v>
      </c>
      <c r="N8515" s="308"/>
      <c r="O8515" s="308"/>
      <c r="P8515" s="308" t="s">
        <v>33524</v>
      </c>
      <c r="Q8515" s="308"/>
      <c r="R8515" s="308" t="s">
        <v>32774</v>
      </c>
      <c r="S8515" s="308" t="s">
        <v>81</v>
      </c>
      <c r="T8515" s="311" t="s">
        <v>77</v>
      </c>
      <c r="U8515" s="308" t="s">
        <v>27</v>
      </c>
      <c r="V8515" s="308"/>
    </row>
    <row r="8516">
      <c r="A8516" s="308"/>
      <c r="B8516" s="308"/>
      <c r="C8516" s="308" t="s">
        <v>33525</v>
      </c>
      <c r="D8516" s="308">
        <f>IFERROR(__xludf.DUMMYFUNCTION("SPLIT(C8516,""-"")"),8536.0)</f>
        <v>8536</v>
      </c>
      <c r="E8516" s="308" t="str">
        <f>IFERROR(__xludf.DUMMYFUNCTION("""COMPUTED_VALUE"""),"K")</f>
        <v>K</v>
      </c>
      <c r="F8516" s="309" t="s">
        <v>34</v>
      </c>
      <c r="G8516" s="308"/>
      <c r="H8516" s="308" t="s">
        <v>33526</v>
      </c>
      <c r="I8516" s="310">
        <v>41822.0</v>
      </c>
      <c r="J8516" s="319">
        <f>IFERROR(__xludf.DUMMYFUNCTION("SPLIT(I8516,""/"")"),2.0)</f>
        <v>2</v>
      </c>
      <c r="K8516" s="308">
        <f>IFERROR(__xludf.DUMMYFUNCTION("""COMPUTED_VALUE"""),7.0)</f>
        <v>7</v>
      </c>
      <c r="L8516" s="308">
        <f>IFERROR(__xludf.DUMMYFUNCTION("""COMPUTED_VALUE"""),2014.0)</f>
        <v>2014</v>
      </c>
      <c r="M8516" s="308" t="s">
        <v>33527</v>
      </c>
      <c r="N8516" s="308" t="s">
        <v>33528</v>
      </c>
      <c r="O8516" s="308"/>
      <c r="P8516" s="308" t="s">
        <v>136</v>
      </c>
      <c r="Q8516" s="308" t="s">
        <v>40302</v>
      </c>
      <c r="R8516" s="308" t="s">
        <v>33529</v>
      </c>
      <c r="S8516" s="315" t="s">
        <v>100</v>
      </c>
      <c r="T8516" s="308" t="s">
        <v>34208</v>
      </c>
      <c r="U8516" s="308" t="s">
        <v>542</v>
      </c>
      <c r="V8516" s="308"/>
    </row>
    <row r="8517">
      <c r="A8517" s="308"/>
      <c r="B8517" s="308"/>
      <c r="C8517" s="308" t="s">
        <v>33530</v>
      </c>
      <c r="D8517" s="308">
        <f>IFERROR(__xludf.DUMMYFUNCTION("SPLIT(C8517,""-"")"),8537.0)</f>
        <v>8537</v>
      </c>
      <c r="E8517" s="308" t="str">
        <f>IFERROR(__xludf.DUMMYFUNCTION("""COMPUTED_VALUE"""),"K")</f>
        <v>K</v>
      </c>
      <c r="F8517" s="309" t="s">
        <v>34</v>
      </c>
      <c r="G8517" s="308"/>
      <c r="H8517" s="308" t="s">
        <v>33531</v>
      </c>
      <c r="I8517" s="310">
        <v>42467.0</v>
      </c>
      <c r="J8517" s="319">
        <f>IFERROR(__xludf.DUMMYFUNCTION("SPLIT(I8517,""/"")"),7.0)</f>
        <v>7</v>
      </c>
      <c r="K8517" s="308">
        <f>IFERROR(__xludf.DUMMYFUNCTION("""COMPUTED_VALUE"""),4.0)</f>
        <v>4</v>
      </c>
      <c r="L8517" s="308">
        <f>IFERROR(__xludf.DUMMYFUNCTION("""COMPUTED_VALUE"""),2016.0)</f>
        <v>2016</v>
      </c>
      <c r="M8517" s="308" t="s">
        <v>33532</v>
      </c>
      <c r="N8517" s="308" t="s">
        <v>33533</v>
      </c>
      <c r="O8517" s="308"/>
      <c r="P8517" s="308" t="s">
        <v>136</v>
      </c>
      <c r="Q8517" s="308" t="s">
        <v>40302</v>
      </c>
      <c r="R8517" s="308" t="s">
        <v>2743</v>
      </c>
      <c r="S8517" s="315" t="s">
        <v>100</v>
      </c>
      <c r="T8517" s="308" t="s">
        <v>34208</v>
      </c>
      <c r="U8517" s="308" t="s">
        <v>125</v>
      </c>
      <c r="V8517" s="308"/>
    </row>
    <row r="8518">
      <c r="A8518" s="308"/>
      <c r="B8518" s="308"/>
      <c r="C8518" s="308" t="s">
        <v>33534</v>
      </c>
      <c r="D8518" s="308">
        <f>IFERROR(__xludf.DUMMYFUNCTION("SPLIT(C8518,""-"")"),8538.0)</f>
        <v>8538</v>
      </c>
      <c r="E8518" s="308" t="str">
        <f>IFERROR(__xludf.DUMMYFUNCTION("""COMPUTED_VALUE"""),"K")</f>
        <v>K</v>
      </c>
      <c r="F8518" s="309" t="s">
        <v>34</v>
      </c>
      <c r="G8518" s="308"/>
      <c r="H8518" s="308" t="s">
        <v>33535</v>
      </c>
      <c r="I8518" s="316" t="s">
        <v>33492</v>
      </c>
      <c r="J8518" s="319">
        <f>IFERROR(__xludf.DUMMYFUNCTION("SPLIT(I8518,""/"")"),0.0)</f>
        <v>0</v>
      </c>
      <c r="K8518" s="308">
        <f>IFERROR(__xludf.DUMMYFUNCTION("""COMPUTED_VALUE"""),9.0)</f>
        <v>9</v>
      </c>
      <c r="L8518" s="308">
        <f>IFERROR(__xludf.DUMMYFUNCTION("""COMPUTED_VALUE"""),2021.0)</f>
        <v>2021</v>
      </c>
      <c r="M8518" s="308" t="s">
        <v>33536</v>
      </c>
      <c r="N8518" s="308" t="s">
        <v>33537</v>
      </c>
      <c r="O8518" s="308"/>
      <c r="P8518" s="308" t="s">
        <v>136</v>
      </c>
      <c r="Q8518" s="308" t="s">
        <v>40302</v>
      </c>
      <c r="R8518" s="308" t="s">
        <v>31318</v>
      </c>
      <c r="S8518" s="315" t="s">
        <v>100</v>
      </c>
      <c r="T8518" s="308" t="s">
        <v>34208</v>
      </c>
      <c r="U8518" s="308" t="s">
        <v>18616</v>
      </c>
      <c r="V8518" s="308"/>
    </row>
    <row r="8519">
      <c r="A8519" s="308"/>
      <c r="B8519" s="308"/>
      <c r="C8519" s="308" t="s">
        <v>33538</v>
      </c>
      <c r="D8519" s="308">
        <f>IFERROR(__xludf.DUMMYFUNCTION("SPLIT(C8519,""-"")"),8539.0)</f>
        <v>8539</v>
      </c>
      <c r="E8519" s="308" t="str">
        <f>IFERROR(__xludf.DUMMYFUNCTION("""COMPUTED_VALUE"""),"S")</f>
        <v>S</v>
      </c>
      <c r="F8519" s="312" t="s">
        <v>39</v>
      </c>
      <c r="G8519" s="308"/>
      <c r="H8519" s="308" t="s">
        <v>33539</v>
      </c>
      <c r="I8519" s="322"/>
      <c r="J8519" s="319"/>
      <c r="K8519" s="308"/>
      <c r="L8519" s="311" t="s">
        <v>79</v>
      </c>
      <c r="M8519" s="308" t="s">
        <v>33540</v>
      </c>
      <c r="N8519" s="308" t="s">
        <v>33541</v>
      </c>
      <c r="O8519" s="308"/>
      <c r="P8519" s="308" t="s">
        <v>136</v>
      </c>
      <c r="Q8519" s="308" t="s">
        <v>40302</v>
      </c>
      <c r="R8519" s="308" t="s">
        <v>2743</v>
      </c>
      <c r="S8519" s="315" t="s">
        <v>100</v>
      </c>
      <c r="T8519" s="308" t="s">
        <v>34208</v>
      </c>
      <c r="U8519" s="308" t="s">
        <v>33542</v>
      </c>
      <c r="V8519" s="308" t="s">
        <v>33543</v>
      </c>
    </row>
    <row r="8520">
      <c r="A8520" s="308"/>
      <c r="B8520" s="308"/>
      <c r="C8520" s="308" t="s">
        <v>33544</v>
      </c>
      <c r="D8520" s="308">
        <f>IFERROR(__xludf.DUMMYFUNCTION("SPLIT(C8520,""-"")"),8540.0)</f>
        <v>8540</v>
      </c>
      <c r="E8520" s="308" t="str">
        <f>IFERROR(__xludf.DUMMYFUNCTION("""COMPUTED_VALUE"""),"K")</f>
        <v>K</v>
      </c>
      <c r="F8520" s="309" t="s">
        <v>34</v>
      </c>
      <c r="G8520" s="312"/>
      <c r="H8520" s="312" t="s">
        <v>33545</v>
      </c>
      <c r="I8520" s="310">
        <v>42007.0</v>
      </c>
      <c r="J8520" s="319">
        <f>IFERROR(__xludf.DUMMYFUNCTION("SPLIT(I8520,""/"")"),3.0)</f>
        <v>3</v>
      </c>
      <c r="K8520" s="312">
        <f>IFERROR(__xludf.DUMMYFUNCTION("""COMPUTED_VALUE"""),1.0)</f>
        <v>1</v>
      </c>
      <c r="L8520" s="312">
        <f>IFERROR(__xludf.DUMMYFUNCTION("""COMPUTED_VALUE"""),2015.0)</f>
        <v>2015</v>
      </c>
      <c r="M8520" s="312" t="s">
        <v>33546</v>
      </c>
      <c r="N8520" s="312" t="s">
        <v>33547</v>
      </c>
      <c r="O8520" s="312"/>
      <c r="P8520" s="312" t="s">
        <v>136</v>
      </c>
      <c r="Q8520" s="312">
        <v>44652.0</v>
      </c>
      <c r="R8520" s="312" t="s">
        <v>31554</v>
      </c>
      <c r="S8520" s="315" t="s">
        <v>100</v>
      </c>
      <c r="T8520" s="308" t="s">
        <v>34208</v>
      </c>
      <c r="U8520" s="312" t="s">
        <v>368</v>
      </c>
      <c r="V8520" s="308" t="s">
        <v>33548</v>
      </c>
    </row>
    <row r="8521">
      <c r="A8521" s="308"/>
      <c r="B8521" s="308"/>
      <c r="C8521" s="308" t="s">
        <v>33549</v>
      </c>
      <c r="D8521" s="308">
        <f>IFERROR(__xludf.DUMMYFUNCTION("SPLIT(C8521,""-"")"),8541.0)</f>
        <v>8541</v>
      </c>
      <c r="E8521" s="308" t="str">
        <f>IFERROR(__xludf.DUMMYFUNCTION("""COMPUTED_VALUE"""),"K")</f>
        <v>K</v>
      </c>
      <c r="F8521" s="309" t="s">
        <v>34</v>
      </c>
      <c r="G8521" s="312"/>
      <c r="H8521" s="312" t="s">
        <v>33550</v>
      </c>
      <c r="I8521" s="310">
        <v>42115.0</v>
      </c>
      <c r="J8521" s="319">
        <f>IFERROR(__xludf.DUMMYFUNCTION("SPLIT(I8521,""/"")"),21.0)</f>
        <v>21</v>
      </c>
      <c r="K8521" s="312">
        <f>IFERROR(__xludf.DUMMYFUNCTION("""COMPUTED_VALUE"""),4.0)</f>
        <v>4</v>
      </c>
      <c r="L8521" s="312">
        <f>IFERROR(__xludf.DUMMYFUNCTION("""COMPUTED_VALUE"""),2015.0)</f>
        <v>2015</v>
      </c>
      <c r="M8521" s="312" t="s">
        <v>33551</v>
      </c>
      <c r="N8521" s="312" t="s">
        <v>439</v>
      </c>
      <c r="O8521" s="312"/>
      <c r="P8521" s="312" t="s">
        <v>136</v>
      </c>
      <c r="Q8521" s="312">
        <v>44652.0</v>
      </c>
      <c r="R8521" s="312" t="s">
        <v>31554</v>
      </c>
      <c r="S8521" s="315" t="s">
        <v>100</v>
      </c>
      <c r="T8521" s="308" t="s">
        <v>34208</v>
      </c>
      <c r="U8521" s="312" t="s">
        <v>22473</v>
      </c>
      <c r="V8521" s="308"/>
    </row>
    <row r="8522">
      <c r="A8522" s="308"/>
      <c r="B8522" s="308"/>
      <c r="C8522" s="308" t="s">
        <v>33552</v>
      </c>
      <c r="D8522" s="308">
        <f>IFERROR(__xludf.DUMMYFUNCTION("SPLIT(C8522,""-"")"),8542.0)</f>
        <v>8542</v>
      </c>
      <c r="E8522" s="308" t="str">
        <f>IFERROR(__xludf.DUMMYFUNCTION("""COMPUTED_VALUE"""),"K")</f>
        <v>K</v>
      </c>
      <c r="F8522" s="309" t="s">
        <v>34</v>
      </c>
      <c r="G8522" s="312"/>
      <c r="H8522" s="312" t="s">
        <v>33553</v>
      </c>
      <c r="I8522" s="310">
        <v>42115.0</v>
      </c>
      <c r="J8522" s="319">
        <f>IFERROR(__xludf.DUMMYFUNCTION("SPLIT(I8522,""/"")"),21.0)</f>
        <v>21</v>
      </c>
      <c r="K8522" s="312">
        <f>IFERROR(__xludf.DUMMYFUNCTION("""COMPUTED_VALUE"""),4.0)</f>
        <v>4</v>
      </c>
      <c r="L8522" s="312">
        <f>IFERROR(__xludf.DUMMYFUNCTION("""COMPUTED_VALUE"""),2015.0)</f>
        <v>2015</v>
      </c>
      <c r="M8522" s="312" t="s">
        <v>33551</v>
      </c>
      <c r="N8522" s="312" t="s">
        <v>33554</v>
      </c>
      <c r="O8522" s="312"/>
      <c r="P8522" s="312" t="s">
        <v>136</v>
      </c>
      <c r="Q8522" s="312">
        <v>44652.0</v>
      </c>
      <c r="R8522" s="312" t="s">
        <v>31554</v>
      </c>
      <c r="S8522" s="315" t="s">
        <v>100</v>
      </c>
      <c r="T8522" s="308" t="s">
        <v>34208</v>
      </c>
      <c r="U8522" s="312" t="s">
        <v>22473</v>
      </c>
      <c r="V8522" s="308"/>
    </row>
    <row r="8523">
      <c r="A8523" s="308"/>
      <c r="B8523" s="308"/>
      <c r="C8523" s="308" t="s">
        <v>33555</v>
      </c>
      <c r="D8523" s="308">
        <f>IFERROR(__xludf.DUMMYFUNCTION("SPLIT(C8523,""-"")"),8543.0)</f>
        <v>8543</v>
      </c>
      <c r="E8523" s="308" t="str">
        <f>IFERROR(__xludf.DUMMYFUNCTION("""COMPUTED_VALUE"""),"K")</f>
        <v>K</v>
      </c>
      <c r="F8523" s="309" t="s">
        <v>34</v>
      </c>
      <c r="G8523" s="312"/>
      <c r="H8523" s="312" t="s">
        <v>33556</v>
      </c>
      <c r="I8523" s="310">
        <v>42115.0</v>
      </c>
      <c r="J8523" s="319">
        <f>IFERROR(__xludf.DUMMYFUNCTION("SPLIT(I8523,""/"")"),21.0)</f>
        <v>21</v>
      </c>
      <c r="K8523" s="312">
        <f>IFERROR(__xludf.DUMMYFUNCTION("""COMPUTED_VALUE"""),4.0)</f>
        <v>4</v>
      </c>
      <c r="L8523" s="312">
        <f>IFERROR(__xludf.DUMMYFUNCTION("""COMPUTED_VALUE"""),2015.0)</f>
        <v>2015</v>
      </c>
      <c r="M8523" s="312" t="s">
        <v>33551</v>
      </c>
      <c r="N8523" s="312" t="s">
        <v>33557</v>
      </c>
      <c r="O8523" s="312"/>
      <c r="P8523" s="312" t="s">
        <v>136</v>
      </c>
      <c r="Q8523" s="312">
        <v>44652.0</v>
      </c>
      <c r="R8523" s="312" t="s">
        <v>31554</v>
      </c>
      <c r="S8523" s="315" t="s">
        <v>100</v>
      </c>
      <c r="T8523" s="308" t="s">
        <v>34208</v>
      </c>
      <c r="U8523" s="312" t="s">
        <v>22473</v>
      </c>
      <c r="V8523" s="308"/>
    </row>
    <row r="8524">
      <c r="A8524" s="308"/>
      <c r="B8524" s="308"/>
      <c r="C8524" s="308" t="s">
        <v>33558</v>
      </c>
      <c r="D8524" s="308">
        <f>IFERROR(__xludf.DUMMYFUNCTION("SPLIT(C8524,""-"")"),8544.0)</f>
        <v>8544</v>
      </c>
      <c r="E8524" s="308" t="str">
        <f>IFERROR(__xludf.DUMMYFUNCTION("""COMPUTED_VALUE"""),"K")</f>
        <v>K</v>
      </c>
      <c r="F8524" s="309" t="s">
        <v>34</v>
      </c>
      <c r="G8524" s="312"/>
      <c r="H8524" s="312" t="s">
        <v>33559</v>
      </c>
      <c r="I8524" s="310">
        <v>42115.0</v>
      </c>
      <c r="J8524" s="319">
        <f>IFERROR(__xludf.DUMMYFUNCTION("SPLIT(I8524,""/"")"),21.0)</f>
        <v>21</v>
      </c>
      <c r="K8524" s="312">
        <f>IFERROR(__xludf.DUMMYFUNCTION("""COMPUTED_VALUE"""),4.0)</f>
        <v>4</v>
      </c>
      <c r="L8524" s="312">
        <f>IFERROR(__xludf.DUMMYFUNCTION("""COMPUTED_VALUE"""),2015.0)</f>
        <v>2015</v>
      </c>
      <c r="M8524" s="312" t="s">
        <v>33551</v>
      </c>
      <c r="N8524" s="312" t="s">
        <v>33560</v>
      </c>
      <c r="O8524" s="312"/>
      <c r="P8524" s="312" t="s">
        <v>136</v>
      </c>
      <c r="Q8524" s="312" t="s">
        <v>40303</v>
      </c>
      <c r="R8524" s="312" t="s">
        <v>31554</v>
      </c>
      <c r="S8524" s="315" t="s">
        <v>100</v>
      </c>
      <c r="T8524" s="308" t="s">
        <v>34208</v>
      </c>
      <c r="U8524" s="312" t="s">
        <v>22473</v>
      </c>
      <c r="V8524" s="308"/>
    </row>
    <row r="8525">
      <c r="A8525" s="308"/>
      <c r="B8525" s="308"/>
      <c r="C8525" s="308" t="s">
        <v>33561</v>
      </c>
      <c r="D8525" s="308">
        <f>IFERROR(__xludf.DUMMYFUNCTION("SPLIT(C8525,""-"")"),8545.0)</f>
        <v>8545</v>
      </c>
      <c r="E8525" s="308" t="str">
        <f>IFERROR(__xludf.DUMMYFUNCTION("""COMPUTED_VALUE"""),"K")</f>
        <v>K</v>
      </c>
      <c r="F8525" s="309" t="s">
        <v>34</v>
      </c>
      <c r="G8525" s="308"/>
      <c r="H8525" s="308" t="s">
        <v>33562</v>
      </c>
      <c r="I8525" s="310">
        <v>43950.0</v>
      </c>
      <c r="J8525" s="319">
        <f>IFERROR(__xludf.DUMMYFUNCTION("SPLIT(I8525,""/"")"),29.0)</f>
        <v>29</v>
      </c>
      <c r="K8525" s="308">
        <f>IFERROR(__xludf.DUMMYFUNCTION("""COMPUTED_VALUE"""),4.0)</f>
        <v>4</v>
      </c>
      <c r="L8525" s="308">
        <f>IFERROR(__xludf.DUMMYFUNCTION("""COMPUTED_VALUE"""),2020.0)</f>
        <v>2020</v>
      </c>
      <c r="M8525" s="308" t="s">
        <v>33563</v>
      </c>
      <c r="N8525" s="308" t="s">
        <v>40304</v>
      </c>
      <c r="O8525" s="308"/>
      <c r="P8525" s="312" t="s">
        <v>136</v>
      </c>
      <c r="Q8525" s="312" t="s">
        <v>40303</v>
      </c>
      <c r="R8525" s="312" t="s">
        <v>31554</v>
      </c>
      <c r="S8525" s="315" t="s">
        <v>100</v>
      </c>
      <c r="T8525" s="308" t="s">
        <v>34208</v>
      </c>
      <c r="U8525" s="312" t="s">
        <v>143</v>
      </c>
      <c r="V8525" s="308"/>
    </row>
    <row r="8526">
      <c r="A8526" s="308"/>
      <c r="B8526" s="308"/>
      <c r="C8526" s="308" t="s">
        <v>33565</v>
      </c>
      <c r="D8526" s="308">
        <f>IFERROR(__xludf.DUMMYFUNCTION("SPLIT(C8526,""-"")"),8546.0)</f>
        <v>8546</v>
      </c>
      <c r="E8526" s="308" t="str">
        <f>IFERROR(__xludf.DUMMYFUNCTION("""COMPUTED_VALUE"""),"K")</f>
        <v>K</v>
      </c>
      <c r="F8526" s="309" t="s">
        <v>34</v>
      </c>
      <c r="G8526" s="312"/>
      <c r="H8526" s="312" t="s">
        <v>33566</v>
      </c>
      <c r="I8526" s="316" t="s">
        <v>33567</v>
      </c>
      <c r="J8526" s="319"/>
      <c r="K8526" s="312"/>
      <c r="L8526" s="309">
        <v>2015.0</v>
      </c>
      <c r="M8526" s="312" t="s">
        <v>33568</v>
      </c>
      <c r="N8526" s="312" t="s">
        <v>33569</v>
      </c>
      <c r="O8526" s="312"/>
      <c r="P8526" s="312" t="s">
        <v>136</v>
      </c>
      <c r="Q8526" s="312" t="s">
        <v>40303</v>
      </c>
      <c r="R8526" s="312" t="s">
        <v>31554</v>
      </c>
      <c r="S8526" s="315" t="s">
        <v>100</v>
      </c>
      <c r="T8526" s="308" t="s">
        <v>34208</v>
      </c>
      <c r="U8526" s="312" t="s">
        <v>125</v>
      </c>
      <c r="V8526" s="308"/>
    </row>
    <row r="8527">
      <c r="A8527" s="308"/>
      <c r="B8527" s="308"/>
      <c r="C8527" s="308" t="s">
        <v>33570</v>
      </c>
      <c r="D8527" s="308">
        <f>IFERROR(__xludf.DUMMYFUNCTION("SPLIT(C8527,""-"")"),8547.0)</f>
        <v>8547</v>
      </c>
      <c r="E8527" s="308" t="str">
        <f>IFERROR(__xludf.DUMMYFUNCTION("""COMPUTED_VALUE"""),"B")</f>
        <v>B</v>
      </c>
      <c r="F8527" s="315" t="s">
        <v>26</v>
      </c>
      <c r="G8527" s="308"/>
      <c r="H8527" s="308" t="s">
        <v>33571</v>
      </c>
      <c r="I8527" s="310">
        <v>44631.0</v>
      </c>
      <c r="J8527" s="319">
        <f>IFERROR(__xludf.DUMMYFUNCTION("SPLIT(I8527,""/"")"),11.0)</f>
        <v>11</v>
      </c>
      <c r="K8527" s="308">
        <f>IFERROR(__xludf.DUMMYFUNCTION("""COMPUTED_VALUE"""),3.0)</f>
        <v>3</v>
      </c>
      <c r="L8527" s="308">
        <f>IFERROR(__xludf.DUMMYFUNCTION("""COMPUTED_VALUE"""),2022.0)</f>
        <v>2022</v>
      </c>
      <c r="M8527" s="308" t="s">
        <v>33572</v>
      </c>
      <c r="N8527" s="308" t="s">
        <v>33573</v>
      </c>
      <c r="O8527" s="308"/>
      <c r="P8527" s="312" t="s">
        <v>136</v>
      </c>
      <c r="Q8527" s="312" t="s">
        <v>40305</v>
      </c>
      <c r="R8527" s="312" t="s">
        <v>31554</v>
      </c>
      <c r="S8527" s="315" t="s">
        <v>100</v>
      </c>
      <c r="T8527" s="308" t="s">
        <v>34208</v>
      </c>
      <c r="U8527" s="312" t="s">
        <v>33574</v>
      </c>
      <c r="V8527" s="308"/>
    </row>
    <row r="8528">
      <c r="A8528" s="308"/>
      <c r="B8528" s="308"/>
      <c r="C8528" s="308" t="s">
        <v>33575</v>
      </c>
      <c r="D8528" s="308">
        <f>IFERROR(__xludf.DUMMYFUNCTION("SPLIT(C8528,""-"")"),8548.0)</f>
        <v>8548</v>
      </c>
      <c r="E8528" s="308" t="str">
        <f>IFERROR(__xludf.DUMMYFUNCTION("""COMPUTED_VALUE"""),"B")</f>
        <v>B</v>
      </c>
      <c r="F8528" s="315" t="s">
        <v>26</v>
      </c>
      <c r="G8528" s="308"/>
      <c r="H8528" s="308" t="s">
        <v>33576</v>
      </c>
      <c r="I8528" s="310">
        <v>44631.0</v>
      </c>
      <c r="J8528" s="319">
        <f>IFERROR(__xludf.DUMMYFUNCTION("SPLIT(I8528,""/"")"),11.0)</f>
        <v>11</v>
      </c>
      <c r="K8528" s="308">
        <f>IFERROR(__xludf.DUMMYFUNCTION("""COMPUTED_VALUE"""),3.0)</f>
        <v>3</v>
      </c>
      <c r="L8528" s="308">
        <f>IFERROR(__xludf.DUMMYFUNCTION("""COMPUTED_VALUE"""),2022.0)</f>
        <v>2022</v>
      </c>
      <c r="M8528" s="308" t="s">
        <v>33577</v>
      </c>
      <c r="N8528" s="308" t="s">
        <v>33578</v>
      </c>
      <c r="O8528" s="308"/>
      <c r="P8528" s="312" t="s">
        <v>136</v>
      </c>
      <c r="Q8528" s="312" t="s">
        <v>40305</v>
      </c>
      <c r="R8528" s="312" t="s">
        <v>31554</v>
      </c>
      <c r="S8528" s="315" t="s">
        <v>100</v>
      </c>
      <c r="T8528" s="308" t="s">
        <v>34208</v>
      </c>
      <c r="U8528" s="312" t="s">
        <v>33574</v>
      </c>
      <c r="V8528" s="308"/>
    </row>
    <row r="8529">
      <c r="A8529" s="308"/>
      <c r="B8529" s="308"/>
      <c r="C8529" s="308" t="s">
        <v>33579</v>
      </c>
      <c r="D8529" s="308">
        <f>IFERROR(__xludf.DUMMYFUNCTION("SPLIT(C8529,""-"")"),8549.0)</f>
        <v>8549</v>
      </c>
      <c r="E8529" s="308" t="str">
        <f>IFERROR(__xludf.DUMMYFUNCTION("""COMPUTED_VALUE"""),"B")</f>
        <v>B</v>
      </c>
      <c r="F8529" s="315" t="s">
        <v>26</v>
      </c>
      <c r="G8529" s="308"/>
      <c r="H8529" s="308" t="s">
        <v>33580</v>
      </c>
      <c r="I8529" s="310">
        <v>44631.0</v>
      </c>
      <c r="J8529" s="319">
        <f>IFERROR(__xludf.DUMMYFUNCTION("SPLIT(I8529,""/"")"),11.0)</f>
        <v>11</v>
      </c>
      <c r="K8529" s="308">
        <f>IFERROR(__xludf.DUMMYFUNCTION("""COMPUTED_VALUE"""),3.0)</f>
        <v>3</v>
      </c>
      <c r="L8529" s="308">
        <f>IFERROR(__xludf.DUMMYFUNCTION("""COMPUTED_VALUE"""),2022.0)</f>
        <v>2022</v>
      </c>
      <c r="M8529" s="308" t="s">
        <v>33572</v>
      </c>
      <c r="N8529" s="308" t="s">
        <v>33581</v>
      </c>
      <c r="O8529" s="308"/>
      <c r="P8529" s="312" t="s">
        <v>136</v>
      </c>
      <c r="Q8529" s="312" t="s">
        <v>40305</v>
      </c>
      <c r="R8529" s="312" t="s">
        <v>31554</v>
      </c>
      <c r="S8529" s="315" t="s">
        <v>100</v>
      </c>
      <c r="T8529" s="308" t="s">
        <v>34208</v>
      </c>
      <c r="U8529" s="312" t="s">
        <v>33574</v>
      </c>
      <c r="V8529" s="308"/>
    </row>
    <row r="8530">
      <c r="A8530" s="308"/>
      <c r="B8530" s="308"/>
      <c r="C8530" s="308" t="s">
        <v>33582</v>
      </c>
      <c r="D8530" s="308">
        <f>IFERROR(__xludf.DUMMYFUNCTION("SPLIT(C8530,""-"")"),8550.0)</f>
        <v>8550</v>
      </c>
      <c r="E8530" s="308" t="str">
        <f>IFERROR(__xludf.DUMMYFUNCTION("""COMPUTED_VALUE"""),"B")</f>
        <v>B</v>
      </c>
      <c r="F8530" s="315" t="s">
        <v>26</v>
      </c>
      <c r="G8530" s="308"/>
      <c r="H8530" s="308" t="s">
        <v>33583</v>
      </c>
      <c r="I8530" s="310">
        <v>42791.0</v>
      </c>
      <c r="J8530" s="319">
        <f>IFERROR(__xludf.DUMMYFUNCTION("SPLIT(I8530,""/"")"),25.0)</f>
        <v>25</v>
      </c>
      <c r="K8530" s="308">
        <f>IFERROR(__xludf.DUMMYFUNCTION("""COMPUTED_VALUE"""),2.0)</f>
        <v>2</v>
      </c>
      <c r="L8530" s="308">
        <f>IFERROR(__xludf.DUMMYFUNCTION("""COMPUTED_VALUE"""),2017.0)</f>
        <v>2017</v>
      </c>
      <c r="M8530" s="308" t="s">
        <v>33584</v>
      </c>
      <c r="N8530" s="308" t="s">
        <v>33585</v>
      </c>
      <c r="O8530" s="308"/>
      <c r="P8530" s="312" t="s">
        <v>136</v>
      </c>
      <c r="Q8530" s="312" t="s">
        <v>40305</v>
      </c>
      <c r="R8530" s="308" t="s">
        <v>2743</v>
      </c>
      <c r="S8530" s="315" t="s">
        <v>100</v>
      </c>
      <c r="T8530" s="308" t="s">
        <v>34208</v>
      </c>
      <c r="U8530" s="308" t="s">
        <v>33586</v>
      </c>
      <c r="V8530" s="308"/>
    </row>
    <row r="8531">
      <c r="A8531" s="308"/>
      <c r="B8531" s="308"/>
      <c r="C8531" s="308" t="s">
        <v>33587</v>
      </c>
      <c r="D8531" s="308">
        <f>IFERROR(__xludf.DUMMYFUNCTION("SPLIT(C8531,""-"")"),8551.0)</f>
        <v>8551</v>
      </c>
      <c r="E8531" s="308" t="str">
        <f>IFERROR(__xludf.DUMMYFUNCTION("""COMPUTED_VALUE"""),"K")</f>
        <v>K</v>
      </c>
      <c r="F8531" s="309" t="s">
        <v>34</v>
      </c>
      <c r="G8531" s="308"/>
      <c r="H8531" s="308" t="s">
        <v>33588</v>
      </c>
      <c r="I8531" s="310">
        <v>42386.0</v>
      </c>
      <c r="J8531" s="319">
        <f>IFERROR(__xludf.DUMMYFUNCTION("SPLIT(I8531,""/"")"),17.0)</f>
        <v>17</v>
      </c>
      <c r="K8531" s="308">
        <f>IFERROR(__xludf.DUMMYFUNCTION("""COMPUTED_VALUE"""),1.0)</f>
        <v>1</v>
      </c>
      <c r="L8531" s="308">
        <f>IFERROR(__xludf.DUMMYFUNCTION("""COMPUTED_VALUE"""),2016.0)</f>
        <v>2016</v>
      </c>
      <c r="M8531" s="308" t="s">
        <v>33589</v>
      </c>
      <c r="N8531" s="308" t="s">
        <v>439</v>
      </c>
      <c r="O8531" s="308"/>
      <c r="P8531" s="312" t="s">
        <v>136</v>
      </c>
      <c r="Q8531" s="312" t="s">
        <v>40305</v>
      </c>
      <c r="R8531" s="308" t="s">
        <v>2743</v>
      </c>
      <c r="S8531" s="315" t="s">
        <v>100</v>
      </c>
      <c r="T8531" s="308" t="s">
        <v>34208</v>
      </c>
      <c r="U8531" s="308" t="s">
        <v>125</v>
      </c>
      <c r="V8531" s="308"/>
    </row>
    <row r="8532">
      <c r="A8532" s="308"/>
      <c r="B8532" s="308"/>
      <c r="C8532" s="308" t="s">
        <v>33590</v>
      </c>
      <c r="D8532" s="308">
        <f>IFERROR(__xludf.DUMMYFUNCTION("SPLIT(C8532,""-"")"),8552.0)</f>
        <v>8552</v>
      </c>
      <c r="E8532" s="308" t="str">
        <f>IFERROR(__xludf.DUMMYFUNCTION("""COMPUTED_VALUE"""),"K")</f>
        <v>K</v>
      </c>
      <c r="F8532" s="309" t="s">
        <v>34</v>
      </c>
      <c r="G8532" s="308"/>
      <c r="H8532" s="308" t="s">
        <v>33591</v>
      </c>
      <c r="I8532" s="316" t="s">
        <v>33269</v>
      </c>
      <c r="J8532" s="319"/>
      <c r="K8532" s="308"/>
      <c r="L8532" s="311">
        <v>2009.0</v>
      </c>
      <c r="M8532" s="308" t="s">
        <v>33592</v>
      </c>
      <c r="N8532" s="308" t="s">
        <v>33593</v>
      </c>
      <c r="O8532" s="308"/>
      <c r="P8532" s="312" t="s">
        <v>136</v>
      </c>
      <c r="Q8532" s="312" t="s">
        <v>40305</v>
      </c>
      <c r="R8532" s="308" t="s">
        <v>2743</v>
      </c>
      <c r="S8532" s="315" t="s">
        <v>100</v>
      </c>
      <c r="T8532" s="308" t="s">
        <v>34208</v>
      </c>
      <c r="U8532" s="308" t="s">
        <v>530</v>
      </c>
      <c r="V8532" s="308"/>
    </row>
    <row r="8533">
      <c r="A8533" s="308"/>
      <c r="B8533" s="308"/>
      <c r="C8533" s="308" t="s">
        <v>33594</v>
      </c>
      <c r="D8533" s="308">
        <f>IFERROR(__xludf.DUMMYFUNCTION("SPLIT(C8533,""-"")"),8553.0)</f>
        <v>8553</v>
      </c>
      <c r="E8533" s="308" t="str">
        <f>IFERROR(__xludf.DUMMYFUNCTION("""COMPUTED_VALUE"""),"P")</f>
        <v>P</v>
      </c>
      <c r="F8533" s="312" t="s">
        <v>37</v>
      </c>
      <c r="G8533" s="308"/>
      <c r="H8533" s="308" t="s">
        <v>33595</v>
      </c>
      <c r="I8533" s="310">
        <v>42374.0</v>
      </c>
      <c r="J8533" s="319">
        <f>IFERROR(__xludf.DUMMYFUNCTION("SPLIT(I8533,""/"")"),5.0)</f>
        <v>5</v>
      </c>
      <c r="K8533" s="308">
        <f>IFERROR(__xludf.DUMMYFUNCTION("""COMPUTED_VALUE"""),1.0)</f>
        <v>1</v>
      </c>
      <c r="L8533" s="308">
        <f>IFERROR(__xludf.DUMMYFUNCTION("""COMPUTED_VALUE"""),2016.0)</f>
        <v>2016</v>
      </c>
      <c r="M8533" s="308" t="s">
        <v>40306</v>
      </c>
      <c r="N8533" s="308" t="s">
        <v>33597</v>
      </c>
      <c r="O8533" s="308"/>
      <c r="P8533" s="312" t="s">
        <v>136</v>
      </c>
      <c r="Q8533" s="312" t="s">
        <v>40305</v>
      </c>
      <c r="R8533" s="308" t="s">
        <v>2743</v>
      </c>
      <c r="S8533" s="315" t="s">
        <v>100</v>
      </c>
      <c r="T8533" s="308" t="s">
        <v>34208</v>
      </c>
      <c r="U8533" s="308" t="s">
        <v>143</v>
      </c>
      <c r="V8533" s="308"/>
    </row>
    <row r="8534">
      <c r="A8534" s="308"/>
      <c r="B8534" s="308"/>
      <c r="C8534" s="308" t="s">
        <v>33598</v>
      </c>
      <c r="D8534" s="308">
        <f>IFERROR(__xludf.DUMMYFUNCTION("SPLIT(C8534,""-"")"),8554.0)</f>
        <v>8554</v>
      </c>
      <c r="E8534" s="308" t="str">
        <f>IFERROR(__xludf.DUMMYFUNCTION("""COMPUTED_VALUE"""),"B")</f>
        <v>B</v>
      </c>
      <c r="F8534" s="315" t="s">
        <v>26</v>
      </c>
      <c r="G8534" s="308"/>
      <c r="H8534" s="308" t="s">
        <v>33599</v>
      </c>
      <c r="I8534" s="310">
        <v>44600.0</v>
      </c>
      <c r="J8534" s="319">
        <f>IFERROR(__xludf.DUMMYFUNCTION("SPLIT(I8534,""/"")"),8.0)</f>
        <v>8</v>
      </c>
      <c r="K8534" s="308">
        <f>IFERROR(__xludf.DUMMYFUNCTION("""COMPUTED_VALUE"""),2.0)</f>
        <v>2</v>
      </c>
      <c r="L8534" s="308">
        <f>IFERROR(__xludf.DUMMYFUNCTION("""COMPUTED_VALUE"""),2022.0)</f>
        <v>2022</v>
      </c>
      <c r="M8534" s="308" t="s">
        <v>33600</v>
      </c>
      <c r="N8534" s="308" t="s">
        <v>33601</v>
      </c>
      <c r="O8534" s="308"/>
      <c r="P8534" s="312" t="s">
        <v>40307</v>
      </c>
      <c r="Q8534" s="312" t="s">
        <v>40308</v>
      </c>
      <c r="R8534" s="308" t="s">
        <v>2743</v>
      </c>
      <c r="S8534" s="308" t="s">
        <v>81</v>
      </c>
      <c r="T8534" s="311" t="s">
        <v>73</v>
      </c>
      <c r="U8534" s="308" t="s">
        <v>33586</v>
      </c>
      <c r="V8534" s="308"/>
    </row>
    <row r="8535">
      <c r="A8535" s="308"/>
      <c r="B8535" s="308"/>
      <c r="C8535" s="308" t="s">
        <v>33603</v>
      </c>
      <c r="D8535" s="308">
        <f>IFERROR(__xludf.DUMMYFUNCTION("SPLIT(C8535,""-"")"),8555.0)</f>
        <v>8555</v>
      </c>
      <c r="E8535" s="308" t="str">
        <f>IFERROR(__xludf.DUMMYFUNCTION("""COMPUTED_VALUE"""),"S")</f>
        <v>S</v>
      </c>
      <c r="F8535" s="312" t="s">
        <v>39</v>
      </c>
      <c r="G8535" s="308"/>
      <c r="H8535" s="308" t="s">
        <v>33604</v>
      </c>
      <c r="I8535" s="310">
        <v>44504.0</v>
      </c>
      <c r="J8535" s="319">
        <f>IFERROR(__xludf.DUMMYFUNCTION("SPLIT(I8535,""/"")"),4.0)</f>
        <v>4</v>
      </c>
      <c r="K8535" s="308">
        <f>IFERROR(__xludf.DUMMYFUNCTION("""COMPUTED_VALUE"""),11.0)</f>
        <v>11</v>
      </c>
      <c r="L8535" s="308">
        <f>IFERROR(__xludf.DUMMYFUNCTION("""COMPUTED_VALUE"""),2021.0)</f>
        <v>2021</v>
      </c>
      <c r="M8535" s="308" t="s">
        <v>33605</v>
      </c>
      <c r="N8535" s="308" t="s">
        <v>33606</v>
      </c>
      <c r="O8535" s="308"/>
      <c r="P8535" s="312" t="s">
        <v>136</v>
      </c>
      <c r="Q8535" s="312" t="s">
        <v>40308</v>
      </c>
      <c r="R8535" s="308" t="s">
        <v>2743</v>
      </c>
      <c r="S8535" s="315" t="s">
        <v>100</v>
      </c>
      <c r="T8535" s="308" t="s">
        <v>34208</v>
      </c>
      <c r="U8535" s="308" t="s">
        <v>166</v>
      </c>
      <c r="V8535" s="308"/>
    </row>
    <row r="8536">
      <c r="A8536" s="308"/>
      <c r="B8536" s="308"/>
      <c r="C8536" s="308" t="s">
        <v>33607</v>
      </c>
      <c r="D8536" s="308">
        <f>IFERROR(__xludf.DUMMYFUNCTION("SPLIT(C8536,""-"")"),8556.0)</f>
        <v>8556</v>
      </c>
      <c r="E8536" s="308" t="str">
        <f>IFERROR(__xludf.DUMMYFUNCTION("""COMPUTED_VALUE"""),"S")</f>
        <v>S</v>
      </c>
      <c r="F8536" s="312" t="s">
        <v>39</v>
      </c>
      <c r="G8536" s="308"/>
      <c r="H8536" s="308" t="s">
        <v>40309</v>
      </c>
      <c r="I8536" s="310">
        <v>44635.0</v>
      </c>
      <c r="J8536" s="319">
        <f>IFERROR(__xludf.DUMMYFUNCTION("SPLIT(I8536,""/"")"),15.0)</f>
        <v>15</v>
      </c>
      <c r="K8536" s="308">
        <f>IFERROR(__xludf.DUMMYFUNCTION("""COMPUTED_VALUE"""),3.0)</f>
        <v>3</v>
      </c>
      <c r="L8536" s="308">
        <f>IFERROR(__xludf.DUMMYFUNCTION("""COMPUTED_VALUE"""),2022.0)</f>
        <v>2022</v>
      </c>
      <c r="M8536" s="308" t="s">
        <v>33609</v>
      </c>
      <c r="N8536" s="308" t="s">
        <v>33610</v>
      </c>
      <c r="O8536" s="308"/>
      <c r="P8536" s="312" t="s">
        <v>136</v>
      </c>
      <c r="Q8536" s="312" t="s">
        <v>40310</v>
      </c>
      <c r="R8536" s="308" t="s">
        <v>2743</v>
      </c>
      <c r="S8536" s="315" t="s">
        <v>100</v>
      </c>
      <c r="T8536" s="308" t="s">
        <v>34208</v>
      </c>
      <c r="U8536" s="308" t="s">
        <v>166</v>
      </c>
      <c r="V8536" s="308"/>
    </row>
    <row r="8537">
      <c r="A8537" s="308"/>
      <c r="B8537" s="308"/>
      <c r="C8537" s="308" t="s">
        <v>33611</v>
      </c>
      <c r="D8537" s="308">
        <f>IFERROR(__xludf.DUMMYFUNCTION("SPLIT(C8537,""-"")"),8557.0)</f>
        <v>8557</v>
      </c>
      <c r="E8537" s="308" t="str">
        <f>IFERROR(__xludf.DUMMYFUNCTION("""COMPUTED_VALUE"""),"P")</f>
        <v>P</v>
      </c>
      <c r="F8537" s="312" t="s">
        <v>37</v>
      </c>
      <c r="G8537" s="308"/>
      <c r="H8537" s="308" t="s">
        <v>33612</v>
      </c>
      <c r="I8537" s="310">
        <v>44622.0</v>
      </c>
      <c r="J8537" s="319">
        <f>IFERROR(__xludf.DUMMYFUNCTION("SPLIT(I8537,""/"")"),2.0)</f>
        <v>2</v>
      </c>
      <c r="K8537" s="308">
        <f>IFERROR(__xludf.DUMMYFUNCTION("""COMPUTED_VALUE"""),3.0)</f>
        <v>3</v>
      </c>
      <c r="L8537" s="308">
        <f>IFERROR(__xludf.DUMMYFUNCTION("""COMPUTED_VALUE"""),2022.0)</f>
        <v>2022</v>
      </c>
      <c r="M8537" s="308" t="s">
        <v>33613</v>
      </c>
      <c r="N8537" s="308" t="s">
        <v>33614</v>
      </c>
      <c r="O8537" s="308"/>
      <c r="P8537" s="312" t="s">
        <v>136</v>
      </c>
      <c r="Q8537" s="312" t="s">
        <v>40310</v>
      </c>
      <c r="R8537" s="308" t="s">
        <v>2743</v>
      </c>
      <c r="S8537" s="315" t="s">
        <v>100</v>
      </c>
      <c r="T8537" s="308" t="s">
        <v>34208</v>
      </c>
      <c r="U8537" s="308" t="s">
        <v>149</v>
      </c>
      <c r="V8537" s="308"/>
    </row>
    <row r="8538">
      <c r="A8538" s="308"/>
      <c r="B8538" s="308"/>
      <c r="C8538" s="308" t="s">
        <v>33615</v>
      </c>
      <c r="D8538" s="308">
        <f>IFERROR(__xludf.DUMMYFUNCTION("SPLIT(C8538,""-"")"),8558.0)</f>
        <v>8558</v>
      </c>
      <c r="E8538" s="308" t="str">
        <f>IFERROR(__xludf.DUMMYFUNCTION("""COMPUTED_VALUE"""),"I")</f>
        <v>I</v>
      </c>
      <c r="F8538" s="309" t="s">
        <v>31</v>
      </c>
      <c r="G8538" s="308"/>
      <c r="H8538" s="308" t="s">
        <v>33616</v>
      </c>
      <c r="I8538" s="310">
        <v>44631.0</v>
      </c>
      <c r="J8538" s="319">
        <f>IFERROR(__xludf.DUMMYFUNCTION("SPLIT(I8538,""/"")"),11.0)</f>
        <v>11</v>
      </c>
      <c r="K8538" s="308">
        <f>IFERROR(__xludf.DUMMYFUNCTION("""COMPUTED_VALUE"""),3.0)</f>
        <v>3</v>
      </c>
      <c r="L8538" s="308">
        <f>IFERROR(__xludf.DUMMYFUNCTION("""COMPUTED_VALUE"""),2022.0)</f>
        <v>2022</v>
      </c>
      <c r="M8538" s="308" t="s">
        <v>33617</v>
      </c>
      <c r="N8538" s="308" t="s">
        <v>33618</v>
      </c>
      <c r="O8538" s="308"/>
      <c r="P8538" s="312" t="s">
        <v>136</v>
      </c>
      <c r="Q8538" s="312" t="s">
        <v>40310</v>
      </c>
      <c r="R8538" s="308" t="s">
        <v>2743</v>
      </c>
      <c r="S8538" s="315" t="s">
        <v>100</v>
      </c>
      <c r="T8538" s="308" t="s">
        <v>34208</v>
      </c>
      <c r="U8538" s="308" t="s">
        <v>31</v>
      </c>
      <c r="V8538" s="308"/>
    </row>
    <row r="8539">
      <c r="A8539" s="308"/>
      <c r="B8539" s="308"/>
      <c r="C8539" s="308" t="s">
        <v>33619</v>
      </c>
      <c r="D8539" s="308">
        <f>IFERROR(__xludf.DUMMYFUNCTION("SPLIT(C8539,""-"")"),8559.0)</f>
        <v>8559</v>
      </c>
      <c r="E8539" s="308" t="str">
        <f>IFERROR(__xludf.DUMMYFUNCTION("""COMPUTED_VALUE"""),"S")</f>
        <v>S</v>
      </c>
      <c r="F8539" s="312" t="s">
        <v>39</v>
      </c>
      <c r="G8539" s="308"/>
      <c r="H8539" s="308" t="s">
        <v>33620</v>
      </c>
      <c r="I8539" s="310">
        <v>44637.0</v>
      </c>
      <c r="J8539" s="319">
        <f>IFERROR(__xludf.DUMMYFUNCTION("SPLIT(I8539,""/"")"),17.0)</f>
        <v>17</v>
      </c>
      <c r="K8539" s="308">
        <f>IFERROR(__xludf.DUMMYFUNCTION("""COMPUTED_VALUE"""),3.0)</f>
        <v>3</v>
      </c>
      <c r="L8539" s="308">
        <f>IFERROR(__xludf.DUMMYFUNCTION("""COMPUTED_VALUE"""),2022.0)</f>
        <v>2022</v>
      </c>
      <c r="M8539" s="308" t="s">
        <v>33621</v>
      </c>
      <c r="N8539" s="308" t="s">
        <v>33622</v>
      </c>
      <c r="O8539" s="308"/>
      <c r="P8539" s="312" t="s">
        <v>40311</v>
      </c>
      <c r="Q8539" s="312" t="s">
        <v>40310</v>
      </c>
      <c r="R8539" s="308" t="s">
        <v>2743</v>
      </c>
      <c r="S8539" s="308" t="s">
        <v>81</v>
      </c>
      <c r="T8539" s="308" t="s">
        <v>75</v>
      </c>
      <c r="U8539" s="308" t="s">
        <v>166</v>
      </c>
      <c r="V8539" s="308"/>
    </row>
    <row r="8540">
      <c r="A8540" s="308"/>
      <c r="B8540" s="308"/>
      <c r="C8540" s="308" t="s">
        <v>33624</v>
      </c>
      <c r="D8540" s="308">
        <f>IFERROR(__xludf.DUMMYFUNCTION("SPLIT(C8540,""-"")"),8560.0)</f>
        <v>8560</v>
      </c>
      <c r="E8540" s="308" t="str">
        <f>IFERROR(__xludf.DUMMYFUNCTION("""COMPUTED_VALUE"""),"P")</f>
        <v>P</v>
      </c>
      <c r="F8540" s="312" t="s">
        <v>37</v>
      </c>
      <c r="G8540" s="308"/>
      <c r="H8540" s="308" t="s">
        <v>33625</v>
      </c>
      <c r="I8540" s="310">
        <v>44640.0</v>
      </c>
      <c r="J8540" s="319">
        <f>IFERROR(__xludf.DUMMYFUNCTION("SPLIT(I8540,""/"")"),20.0)</f>
        <v>20</v>
      </c>
      <c r="K8540" s="308">
        <f>IFERROR(__xludf.DUMMYFUNCTION("""COMPUTED_VALUE"""),3.0)</f>
        <v>3</v>
      </c>
      <c r="L8540" s="308">
        <f>IFERROR(__xludf.DUMMYFUNCTION("""COMPUTED_VALUE"""),2022.0)</f>
        <v>2022</v>
      </c>
      <c r="M8540" s="308" t="s">
        <v>33626</v>
      </c>
      <c r="N8540" s="308" t="s">
        <v>33627</v>
      </c>
      <c r="O8540" s="308"/>
      <c r="P8540" s="312" t="s">
        <v>136</v>
      </c>
      <c r="Q8540" s="312" t="s">
        <v>40310</v>
      </c>
      <c r="R8540" s="308" t="s">
        <v>2743</v>
      </c>
      <c r="S8540" s="315" t="s">
        <v>100</v>
      </c>
      <c r="T8540" s="308" t="s">
        <v>34208</v>
      </c>
      <c r="U8540" s="308" t="s">
        <v>5707</v>
      </c>
      <c r="V8540" s="308"/>
    </row>
    <row r="8541">
      <c r="A8541" s="308"/>
      <c r="B8541" s="308"/>
      <c r="C8541" s="308" t="s">
        <v>33628</v>
      </c>
      <c r="D8541" s="308">
        <f>IFERROR(__xludf.DUMMYFUNCTION("SPLIT(C8541,""-"")"),8561.0)</f>
        <v>8561</v>
      </c>
      <c r="E8541" s="308" t="str">
        <f>IFERROR(__xludf.DUMMYFUNCTION("""COMPUTED_VALUE"""),"S")</f>
        <v>S</v>
      </c>
      <c r="F8541" s="312" t="s">
        <v>39</v>
      </c>
      <c r="G8541" s="308"/>
      <c r="H8541" s="308" t="s">
        <v>33629</v>
      </c>
      <c r="I8541" s="310">
        <v>43900.0</v>
      </c>
      <c r="J8541" s="319">
        <f>IFERROR(__xludf.DUMMYFUNCTION("SPLIT(I8541,""/"")"),10.0)</f>
        <v>10</v>
      </c>
      <c r="K8541" s="308">
        <f>IFERROR(__xludf.DUMMYFUNCTION("""COMPUTED_VALUE"""),3.0)</f>
        <v>3</v>
      </c>
      <c r="L8541" s="308">
        <f>IFERROR(__xludf.DUMMYFUNCTION("""COMPUTED_VALUE"""),2020.0)</f>
        <v>2020</v>
      </c>
      <c r="M8541" s="308" t="s">
        <v>33630</v>
      </c>
      <c r="N8541" s="308" t="s">
        <v>33631</v>
      </c>
      <c r="O8541" s="308"/>
      <c r="P8541" s="308" t="s">
        <v>136</v>
      </c>
      <c r="Q8541" s="308" t="s">
        <v>40312</v>
      </c>
      <c r="R8541" s="308" t="s">
        <v>30692</v>
      </c>
      <c r="S8541" s="315" t="s">
        <v>100</v>
      </c>
      <c r="T8541" s="308" t="s">
        <v>34208</v>
      </c>
      <c r="U8541" s="308" t="s">
        <v>33632</v>
      </c>
      <c r="V8541" s="308"/>
    </row>
    <row r="8542">
      <c r="A8542" s="308"/>
      <c r="B8542" s="308"/>
      <c r="C8542" s="308" t="s">
        <v>33633</v>
      </c>
      <c r="D8542" s="308">
        <f>IFERROR(__xludf.DUMMYFUNCTION("SPLIT(C8542,""-"")"),8562.0)</f>
        <v>8562</v>
      </c>
      <c r="E8542" s="308" t="str">
        <f>IFERROR(__xludf.DUMMYFUNCTION("""COMPUTED_VALUE"""),"S")</f>
        <v>S</v>
      </c>
      <c r="F8542" s="312" t="s">
        <v>39</v>
      </c>
      <c r="G8542" s="308"/>
      <c r="H8542" s="308" t="s">
        <v>33634</v>
      </c>
      <c r="I8542" s="314">
        <v>41964.0</v>
      </c>
      <c r="J8542" s="319">
        <f>IFERROR(__xludf.DUMMYFUNCTION("SPLIT(I8542,""/"")"),21.0)</f>
        <v>21</v>
      </c>
      <c r="K8542" s="308">
        <f>IFERROR(__xludf.DUMMYFUNCTION("""COMPUTED_VALUE"""),11.0)</f>
        <v>11</v>
      </c>
      <c r="L8542" s="308">
        <f>IFERROR(__xludf.DUMMYFUNCTION("""COMPUTED_VALUE"""),2014.0)</f>
        <v>2014</v>
      </c>
      <c r="M8542" s="308" t="s">
        <v>33635</v>
      </c>
      <c r="N8542" s="308" t="s">
        <v>33636</v>
      </c>
      <c r="O8542" s="308"/>
      <c r="P8542" s="308" t="s">
        <v>136</v>
      </c>
      <c r="Q8542" s="308" t="s">
        <v>40312</v>
      </c>
      <c r="R8542" s="308" t="s">
        <v>30692</v>
      </c>
      <c r="S8542" s="315" t="s">
        <v>100</v>
      </c>
      <c r="T8542" s="308" t="s">
        <v>34208</v>
      </c>
      <c r="U8542" s="308" t="s">
        <v>166</v>
      </c>
      <c r="V8542" s="308"/>
    </row>
    <row r="8543">
      <c r="A8543" s="308"/>
      <c r="B8543" s="308"/>
      <c r="C8543" s="308" t="s">
        <v>33637</v>
      </c>
      <c r="D8543" s="308">
        <f>IFERROR(__xludf.DUMMYFUNCTION("SPLIT(C8543,""-"")"),8563.0)</f>
        <v>8563</v>
      </c>
      <c r="E8543" s="308" t="str">
        <f>IFERROR(__xludf.DUMMYFUNCTION("""COMPUTED_VALUE"""),"K")</f>
        <v>K</v>
      </c>
      <c r="F8543" s="309" t="s">
        <v>34</v>
      </c>
      <c r="G8543" s="308"/>
      <c r="H8543" s="308" t="s">
        <v>33638</v>
      </c>
      <c r="I8543" s="314">
        <v>43063.0</v>
      </c>
      <c r="J8543" s="319" t="str">
        <f>IFERROR(__xludf.DUMMYFUNCTION("SPLIT(I8543,""/"")"),"#REF!")</f>
        <v>#REF!</v>
      </c>
      <c r="K8543" s="308"/>
      <c r="L8543" s="308">
        <v>2017.0</v>
      </c>
      <c r="M8543" s="308" t="s">
        <v>33639</v>
      </c>
      <c r="N8543" s="308" t="s">
        <v>33640</v>
      </c>
      <c r="O8543" s="308"/>
      <c r="P8543" s="308" t="s">
        <v>33641</v>
      </c>
      <c r="Q8543" s="308" t="s">
        <v>40312</v>
      </c>
      <c r="R8543" s="308" t="s">
        <v>30692</v>
      </c>
      <c r="S8543" s="308" t="s">
        <v>81</v>
      </c>
      <c r="T8543" s="308" t="s">
        <v>34264</v>
      </c>
      <c r="U8543" s="308" t="s">
        <v>542</v>
      </c>
      <c r="V8543" s="308"/>
    </row>
    <row r="8544">
      <c r="A8544" s="308"/>
      <c r="B8544" s="308"/>
      <c r="C8544" s="308" t="s">
        <v>33642</v>
      </c>
      <c r="D8544" s="308">
        <f>IFERROR(__xludf.DUMMYFUNCTION("SPLIT(C8544,""-"")"),8564.0)</f>
        <v>8564</v>
      </c>
      <c r="E8544" s="308" t="str">
        <f>IFERROR(__xludf.DUMMYFUNCTION("""COMPUTED_VALUE"""),"K")</f>
        <v>K</v>
      </c>
      <c r="F8544" s="309" t="s">
        <v>34</v>
      </c>
      <c r="G8544" s="308"/>
      <c r="H8544" s="308" t="s">
        <v>33643</v>
      </c>
      <c r="I8544" s="310">
        <v>44443.0</v>
      </c>
      <c r="J8544" s="319">
        <f>IFERROR(__xludf.DUMMYFUNCTION("SPLIT(I8544,""/"")"),4.0)</f>
        <v>4</v>
      </c>
      <c r="K8544" s="308">
        <f>IFERROR(__xludf.DUMMYFUNCTION("""COMPUTED_VALUE"""),9.0)</f>
        <v>9</v>
      </c>
      <c r="L8544" s="308">
        <f>IFERROR(__xludf.DUMMYFUNCTION("""COMPUTED_VALUE"""),2021.0)</f>
        <v>2021</v>
      </c>
      <c r="M8544" s="308" t="s">
        <v>33644</v>
      </c>
      <c r="N8544" s="308" t="s">
        <v>33645</v>
      </c>
      <c r="O8544" s="308"/>
      <c r="P8544" s="308" t="s">
        <v>136</v>
      </c>
      <c r="Q8544" s="308" t="s">
        <v>40312</v>
      </c>
      <c r="R8544" s="308" t="s">
        <v>30692</v>
      </c>
      <c r="S8544" s="315" t="s">
        <v>100</v>
      </c>
      <c r="T8544" s="308" t="s">
        <v>34208</v>
      </c>
      <c r="U8544" s="308" t="s">
        <v>2152</v>
      </c>
      <c r="V8544" s="308"/>
    </row>
    <row r="8545">
      <c r="A8545" s="308"/>
      <c r="B8545" s="308"/>
      <c r="C8545" s="308" t="s">
        <v>33646</v>
      </c>
      <c r="D8545" s="308">
        <f>IFERROR(__xludf.DUMMYFUNCTION("SPLIT(C8545,""-"")"),8565.0)</f>
        <v>8565</v>
      </c>
      <c r="E8545" s="308" t="str">
        <f>IFERROR(__xludf.DUMMYFUNCTION("""COMPUTED_VALUE"""),"K")</f>
        <v>K</v>
      </c>
      <c r="F8545" s="309" t="s">
        <v>34</v>
      </c>
      <c r="G8545" s="308"/>
      <c r="H8545" s="308" t="s">
        <v>33647</v>
      </c>
      <c r="I8545" s="310">
        <v>44206.0</v>
      </c>
      <c r="J8545" s="319">
        <f>IFERROR(__xludf.DUMMYFUNCTION("SPLIT(I8545,""/"")"),10.0)</f>
        <v>10</v>
      </c>
      <c r="K8545" s="308">
        <f>IFERROR(__xludf.DUMMYFUNCTION("""COMPUTED_VALUE"""),1.0)</f>
        <v>1</v>
      </c>
      <c r="L8545" s="308">
        <f>IFERROR(__xludf.DUMMYFUNCTION("""COMPUTED_VALUE"""),2021.0)</f>
        <v>2021</v>
      </c>
      <c r="M8545" s="308" t="s">
        <v>33648</v>
      </c>
      <c r="N8545" s="308" t="s">
        <v>33649</v>
      </c>
      <c r="O8545" s="308"/>
      <c r="P8545" s="308" t="s">
        <v>136</v>
      </c>
      <c r="Q8545" s="308" t="s">
        <v>40312</v>
      </c>
      <c r="R8545" s="308" t="s">
        <v>30692</v>
      </c>
      <c r="S8545" s="315" t="s">
        <v>100</v>
      </c>
      <c r="T8545" s="308" t="s">
        <v>34208</v>
      </c>
      <c r="U8545" s="308" t="s">
        <v>33203</v>
      </c>
      <c r="V8545" s="308"/>
    </row>
    <row r="8546">
      <c r="A8546" s="308"/>
      <c r="B8546" s="308"/>
      <c r="C8546" s="308" t="s">
        <v>33650</v>
      </c>
      <c r="D8546" s="308">
        <f>IFERROR(__xludf.DUMMYFUNCTION("SPLIT(C8546,""-"")"),8566.0)</f>
        <v>8566</v>
      </c>
      <c r="E8546" s="308" t="str">
        <f>IFERROR(__xludf.DUMMYFUNCTION("""COMPUTED_VALUE"""),"K")</f>
        <v>K</v>
      </c>
      <c r="F8546" s="309" t="s">
        <v>34</v>
      </c>
      <c r="G8546" s="308"/>
      <c r="H8546" s="308" t="s">
        <v>33651</v>
      </c>
      <c r="I8546" s="310">
        <v>44280.0</v>
      </c>
      <c r="J8546" s="319">
        <f>IFERROR(__xludf.DUMMYFUNCTION("SPLIT(I8546,""/"")"),25.0)</f>
        <v>25</v>
      </c>
      <c r="K8546" s="308">
        <f>IFERROR(__xludf.DUMMYFUNCTION("""COMPUTED_VALUE"""),3.0)</f>
        <v>3</v>
      </c>
      <c r="L8546" s="308">
        <f>IFERROR(__xludf.DUMMYFUNCTION("""COMPUTED_VALUE"""),2021.0)</f>
        <v>2021</v>
      </c>
      <c r="M8546" s="308" t="s">
        <v>33652</v>
      </c>
      <c r="N8546" s="308" t="s">
        <v>33653</v>
      </c>
      <c r="O8546" s="308"/>
      <c r="P8546" s="308" t="s">
        <v>136</v>
      </c>
      <c r="Q8546" s="308" t="s">
        <v>40312</v>
      </c>
      <c r="R8546" s="308" t="s">
        <v>30692</v>
      </c>
      <c r="S8546" s="315" t="s">
        <v>100</v>
      </c>
      <c r="T8546" s="308" t="s">
        <v>34208</v>
      </c>
      <c r="U8546" s="308" t="s">
        <v>33203</v>
      </c>
      <c r="V8546" s="308"/>
    </row>
    <row r="8547">
      <c r="A8547" s="308"/>
      <c r="B8547" s="308"/>
      <c r="C8547" s="308" t="s">
        <v>33654</v>
      </c>
      <c r="D8547" s="308">
        <f>IFERROR(__xludf.DUMMYFUNCTION("SPLIT(C8547,""-"")"),8567.0)</f>
        <v>8567</v>
      </c>
      <c r="E8547" s="308" t="str">
        <f>IFERROR(__xludf.DUMMYFUNCTION("""COMPUTED_VALUE"""),"K")</f>
        <v>K</v>
      </c>
      <c r="F8547" s="309" t="s">
        <v>34</v>
      </c>
      <c r="G8547" s="308"/>
      <c r="H8547" s="308" t="s">
        <v>33655</v>
      </c>
      <c r="I8547" s="310">
        <v>44384.0</v>
      </c>
      <c r="J8547" s="319">
        <f>IFERROR(__xludf.DUMMYFUNCTION("SPLIT(I8547,""/"")"),7.0)</f>
        <v>7</v>
      </c>
      <c r="K8547" s="308">
        <f>IFERROR(__xludf.DUMMYFUNCTION("""COMPUTED_VALUE"""),7.0)</f>
        <v>7</v>
      </c>
      <c r="L8547" s="308">
        <f>IFERROR(__xludf.DUMMYFUNCTION("""COMPUTED_VALUE"""),2021.0)</f>
        <v>2021</v>
      </c>
      <c r="M8547" s="308" t="s">
        <v>33656</v>
      </c>
      <c r="N8547" s="308" t="s">
        <v>33657</v>
      </c>
      <c r="O8547" s="308"/>
      <c r="P8547" s="308" t="s">
        <v>136</v>
      </c>
      <c r="Q8547" s="308" t="s">
        <v>40312</v>
      </c>
      <c r="R8547" s="308" t="s">
        <v>30692</v>
      </c>
      <c r="S8547" s="315" t="s">
        <v>100</v>
      </c>
      <c r="T8547" s="308" t="s">
        <v>34208</v>
      </c>
      <c r="U8547" s="308" t="s">
        <v>4487</v>
      </c>
      <c r="V8547" s="308"/>
    </row>
    <row r="8548">
      <c r="A8548" s="308"/>
      <c r="B8548" s="308"/>
      <c r="C8548" s="308" t="s">
        <v>33658</v>
      </c>
      <c r="D8548" s="308">
        <f>IFERROR(__xludf.DUMMYFUNCTION("SPLIT(C8548,""-"")"),8568.0)</f>
        <v>8568</v>
      </c>
      <c r="E8548" s="308" t="str">
        <f>IFERROR(__xludf.DUMMYFUNCTION("""COMPUTED_VALUE"""),"K")</f>
        <v>K</v>
      </c>
      <c r="F8548" s="309" t="s">
        <v>34</v>
      </c>
      <c r="G8548" s="308"/>
      <c r="H8548" s="308" t="s">
        <v>33659</v>
      </c>
      <c r="I8548" s="310">
        <v>41689.0</v>
      </c>
      <c r="J8548" s="319">
        <f>IFERROR(__xludf.DUMMYFUNCTION("SPLIT(I8548,""/"")"),19.0)</f>
        <v>19</v>
      </c>
      <c r="K8548" s="308">
        <f>IFERROR(__xludf.DUMMYFUNCTION("""COMPUTED_VALUE"""),2.0)</f>
        <v>2</v>
      </c>
      <c r="L8548" s="308">
        <f>IFERROR(__xludf.DUMMYFUNCTION("""COMPUTED_VALUE"""),2014.0)</f>
        <v>2014</v>
      </c>
      <c r="M8548" s="308" t="s">
        <v>33660</v>
      </c>
      <c r="N8548" s="308" t="s">
        <v>33661</v>
      </c>
      <c r="O8548" s="308"/>
      <c r="P8548" s="308" t="s">
        <v>136</v>
      </c>
      <c r="Q8548" s="308" t="s">
        <v>40312</v>
      </c>
      <c r="R8548" s="308" t="s">
        <v>30692</v>
      </c>
      <c r="S8548" s="315" t="s">
        <v>100</v>
      </c>
      <c r="T8548" s="308" t="s">
        <v>34208</v>
      </c>
      <c r="U8548" s="308" t="s">
        <v>125</v>
      </c>
      <c r="V8548" s="308"/>
    </row>
    <row r="8549">
      <c r="A8549" s="308"/>
      <c r="B8549" s="308"/>
      <c r="C8549" s="308" t="s">
        <v>33662</v>
      </c>
      <c r="D8549" s="308">
        <f>IFERROR(__xludf.DUMMYFUNCTION("SPLIT(C8549,""-"")"),8569.0)</f>
        <v>8569</v>
      </c>
      <c r="E8549" s="308" t="str">
        <f>IFERROR(__xludf.DUMMYFUNCTION("""COMPUTED_VALUE"""),"K")</f>
        <v>K</v>
      </c>
      <c r="F8549" s="309" t="s">
        <v>34</v>
      </c>
      <c r="G8549" s="308"/>
      <c r="H8549" s="308" t="s">
        <v>33663</v>
      </c>
      <c r="I8549" s="310">
        <v>42139.0</v>
      </c>
      <c r="J8549" s="319">
        <f>IFERROR(__xludf.DUMMYFUNCTION("SPLIT(I8549,""/"")"),15.0)</f>
        <v>15</v>
      </c>
      <c r="K8549" s="308">
        <f>IFERROR(__xludf.DUMMYFUNCTION("""COMPUTED_VALUE"""),5.0)</f>
        <v>5</v>
      </c>
      <c r="L8549" s="308">
        <f>IFERROR(__xludf.DUMMYFUNCTION("""COMPUTED_VALUE"""),2015.0)</f>
        <v>2015</v>
      </c>
      <c r="M8549" s="308" t="s">
        <v>33664</v>
      </c>
      <c r="N8549" s="308" t="s">
        <v>33665</v>
      </c>
      <c r="O8549" s="308"/>
      <c r="P8549" s="308" t="s">
        <v>136</v>
      </c>
      <c r="Q8549" s="308" t="s">
        <v>40312</v>
      </c>
      <c r="R8549" s="308" t="s">
        <v>30692</v>
      </c>
      <c r="S8549" s="315" t="s">
        <v>100</v>
      </c>
      <c r="T8549" s="308" t="s">
        <v>34208</v>
      </c>
      <c r="U8549" s="308" t="s">
        <v>33203</v>
      </c>
      <c r="V8549" s="308"/>
    </row>
    <row r="8550">
      <c r="A8550" s="308"/>
      <c r="B8550" s="308"/>
      <c r="C8550" s="308" t="s">
        <v>33666</v>
      </c>
      <c r="D8550" s="308">
        <f>IFERROR(__xludf.DUMMYFUNCTION("SPLIT(C8550,""-"")"),8570.0)</f>
        <v>8570</v>
      </c>
      <c r="E8550" s="308" t="str">
        <f>IFERROR(__xludf.DUMMYFUNCTION("""COMPUTED_VALUE"""),"K")</f>
        <v>K</v>
      </c>
      <c r="F8550" s="309" t="s">
        <v>34</v>
      </c>
      <c r="G8550" s="308"/>
      <c r="H8550" s="308" t="s">
        <v>33667</v>
      </c>
      <c r="I8550" s="310">
        <v>44171.0</v>
      </c>
      <c r="J8550" s="319">
        <f>IFERROR(__xludf.DUMMYFUNCTION("SPLIT(I8550,""/"")"),6.0)</f>
        <v>6</v>
      </c>
      <c r="K8550" s="308">
        <f>IFERROR(__xludf.DUMMYFUNCTION("""COMPUTED_VALUE"""),12.0)</f>
        <v>12</v>
      </c>
      <c r="L8550" s="308">
        <f>IFERROR(__xludf.DUMMYFUNCTION("""COMPUTED_VALUE"""),2020.0)</f>
        <v>2020</v>
      </c>
      <c r="M8550" s="308" t="s">
        <v>33668</v>
      </c>
      <c r="N8550" s="308" t="s">
        <v>33669</v>
      </c>
      <c r="O8550" s="308"/>
      <c r="P8550" s="308" t="s">
        <v>136</v>
      </c>
      <c r="Q8550" s="308" t="s">
        <v>40312</v>
      </c>
      <c r="R8550" s="308" t="s">
        <v>30692</v>
      </c>
      <c r="S8550" s="315" t="s">
        <v>100</v>
      </c>
      <c r="T8550" s="308" t="s">
        <v>34208</v>
      </c>
      <c r="U8550" s="308" t="s">
        <v>33203</v>
      </c>
      <c r="V8550" s="308"/>
    </row>
    <row r="8551">
      <c r="A8551" s="308"/>
      <c r="B8551" s="308"/>
      <c r="C8551" s="308" t="s">
        <v>33670</v>
      </c>
      <c r="D8551" s="308">
        <f>IFERROR(__xludf.DUMMYFUNCTION("SPLIT(C8551,""-"")"),8571.0)</f>
        <v>8571</v>
      </c>
      <c r="E8551" s="308" t="str">
        <f>IFERROR(__xludf.DUMMYFUNCTION("""COMPUTED_VALUE"""),"K")</f>
        <v>K</v>
      </c>
      <c r="F8551" s="309" t="s">
        <v>34</v>
      </c>
      <c r="G8551" s="308"/>
      <c r="H8551" s="308" t="s">
        <v>33671</v>
      </c>
      <c r="I8551" s="316" t="s">
        <v>33672</v>
      </c>
      <c r="J8551" s="319"/>
      <c r="K8551" s="308"/>
      <c r="L8551" s="311">
        <v>2010.0</v>
      </c>
      <c r="M8551" s="308" t="s">
        <v>33673</v>
      </c>
      <c r="N8551" s="308" t="s">
        <v>40313</v>
      </c>
      <c r="O8551" s="308"/>
      <c r="P8551" s="308" t="s">
        <v>136</v>
      </c>
      <c r="Q8551" s="308">
        <v>44665.0</v>
      </c>
      <c r="R8551" s="308" t="s">
        <v>2743</v>
      </c>
      <c r="S8551" s="315" t="s">
        <v>100</v>
      </c>
      <c r="T8551" s="308" t="s">
        <v>34208</v>
      </c>
      <c r="U8551" s="308" t="s">
        <v>530</v>
      </c>
      <c r="V8551" s="308"/>
    </row>
    <row r="8552">
      <c r="A8552" s="308"/>
      <c r="B8552" s="308"/>
      <c r="C8552" s="308" t="s">
        <v>33675</v>
      </c>
      <c r="D8552" s="308">
        <f>IFERROR(__xludf.DUMMYFUNCTION("SPLIT(C8552,""-"")"),8572.0)</f>
        <v>8572</v>
      </c>
      <c r="E8552" s="308" t="str">
        <f>IFERROR(__xludf.DUMMYFUNCTION("""COMPUTED_VALUE"""),"I")</f>
        <v>I</v>
      </c>
      <c r="F8552" s="309" t="s">
        <v>31</v>
      </c>
      <c r="G8552" s="308"/>
      <c r="H8552" s="308" t="s">
        <v>33676</v>
      </c>
      <c r="I8552" s="310">
        <v>44663.0</v>
      </c>
      <c r="J8552" s="319">
        <f>IFERROR(__xludf.DUMMYFUNCTION("SPLIT(I8552,""/"")"),12.0)</f>
        <v>12</v>
      </c>
      <c r="K8552" s="308">
        <f>IFERROR(__xludf.DUMMYFUNCTION("""COMPUTED_VALUE"""),4.0)</f>
        <v>4</v>
      </c>
      <c r="L8552" s="308">
        <f>IFERROR(__xludf.DUMMYFUNCTION("""COMPUTED_VALUE"""),2022.0)</f>
        <v>2022</v>
      </c>
      <c r="M8552" s="308" t="s">
        <v>33677</v>
      </c>
      <c r="N8552" s="308" t="s">
        <v>33678</v>
      </c>
      <c r="O8552" s="308"/>
      <c r="P8552" s="308" t="s">
        <v>33679</v>
      </c>
      <c r="Q8552" s="308">
        <v>44665.0</v>
      </c>
      <c r="R8552" s="308" t="s">
        <v>2743</v>
      </c>
      <c r="S8552" s="308" t="s">
        <v>81</v>
      </c>
      <c r="T8552" s="308" t="s">
        <v>75</v>
      </c>
      <c r="U8552" s="308" t="s">
        <v>31</v>
      </c>
      <c r="V8552" s="308"/>
    </row>
    <row r="8553">
      <c r="A8553" s="308"/>
      <c r="B8553" s="308"/>
      <c r="C8553" s="308" t="s">
        <v>33680</v>
      </c>
      <c r="D8553" s="308">
        <f>IFERROR(__xludf.DUMMYFUNCTION("SPLIT(C8553,""-"")"),8573.0)</f>
        <v>8573</v>
      </c>
      <c r="E8553" s="308" t="str">
        <f>IFERROR(__xludf.DUMMYFUNCTION("""COMPUTED_VALUE"""),"P")</f>
        <v>P</v>
      </c>
      <c r="F8553" s="312" t="s">
        <v>37</v>
      </c>
      <c r="G8553" s="308"/>
      <c r="H8553" s="308" t="s">
        <v>19381</v>
      </c>
      <c r="I8553" s="316" t="s">
        <v>33681</v>
      </c>
      <c r="J8553" s="319"/>
      <c r="K8553" s="308"/>
      <c r="L8553" s="311">
        <v>2017.0</v>
      </c>
      <c r="M8553" s="308" t="s">
        <v>33682</v>
      </c>
      <c r="N8553" s="308" t="s">
        <v>19383</v>
      </c>
      <c r="O8553" s="308"/>
      <c r="P8553" s="308" t="s">
        <v>136</v>
      </c>
      <c r="Q8553" s="308">
        <v>44665.0</v>
      </c>
      <c r="R8553" s="308" t="s">
        <v>2743</v>
      </c>
      <c r="S8553" s="315" t="s">
        <v>100</v>
      </c>
      <c r="T8553" s="308" t="s">
        <v>34208</v>
      </c>
      <c r="U8553" s="308" t="s">
        <v>143</v>
      </c>
      <c r="V8553" s="308"/>
    </row>
    <row r="8554">
      <c r="A8554" s="308"/>
      <c r="B8554" s="308"/>
      <c r="C8554" s="308" t="s">
        <v>33683</v>
      </c>
      <c r="D8554" s="308">
        <f>IFERROR(__xludf.DUMMYFUNCTION("SPLIT(C8554,""-"")"),8574.0)</f>
        <v>8574</v>
      </c>
      <c r="E8554" s="308" t="str">
        <f>IFERROR(__xludf.DUMMYFUNCTION("""COMPUTED_VALUE"""),"K")</f>
        <v>K</v>
      </c>
      <c r="F8554" s="309" t="s">
        <v>34</v>
      </c>
      <c r="G8554" s="308"/>
      <c r="H8554" s="308" t="s">
        <v>33684</v>
      </c>
      <c r="I8554" s="316" t="s">
        <v>33685</v>
      </c>
      <c r="J8554" s="319"/>
      <c r="K8554" s="308"/>
      <c r="L8554" s="311">
        <v>2018.0</v>
      </c>
      <c r="M8554" s="308" t="s">
        <v>33686</v>
      </c>
      <c r="N8554" s="308" t="s">
        <v>439</v>
      </c>
      <c r="O8554" s="308"/>
      <c r="P8554" s="308" t="s">
        <v>136</v>
      </c>
      <c r="Q8554" s="308">
        <v>44665.0</v>
      </c>
      <c r="R8554" s="308" t="s">
        <v>2743</v>
      </c>
      <c r="S8554" s="315" t="s">
        <v>100</v>
      </c>
      <c r="T8554" s="308" t="s">
        <v>34208</v>
      </c>
      <c r="U8554" s="308" t="s">
        <v>530</v>
      </c>
      <c r="V8554" s="308"/>
    </row>
    <row r="8555">
      <c r="A8555" s="308"/>
      <c r="B8555" s="308"/>
      <c r="C8555" s="308" t="s">
        <v>33687</v>
      </c>
      <c r="D8555" s="308">
        <f>IFERROR(__xludf.DUMMYFUNCTION("SPLIT(C8555,""-"")"),8575.0)</f>
        <v>8575</v>
      </c>
      <c r="E8555" s="308" t="str">
        <f>IFERROR(__xludf.DUMMYFUNCTION("""COMPUTED_VALUE"""),"K")</f>
        <v>K</v>
      </c>
      <c r="F8555" s="309" t="s">
        <v>34</v>
      </c>
      <c r="G8555" s="308"/>
      <c r="H8555" s="308" t="s">
        <v>33688</v>
      </c>
      <c r="I8555" s="310">
        <v>42456.0</v>
      </c>
      <c r="J8555" s="319">
        <f>IFERROR(__xludf.DUMMYFUNCTION("SPLIT(I8555,""/"")"),27.0)</f>
        <v>27</v>
      </c>
      <c r="K8555" s="308">
        <f>IFERROR(__xludf.DUMMYFUNCTION("""COMPUTED_VALUE"""),3.0)</f>
        <v>3</v>
      </c>
      <c r="L8555" s="308">
        <f>IFERROR(__xludf.DUMMYFUNCTION("""COMPUTED_VALUE"""),2016.0)</f>
        <v>2016</v>
      </c>
      <c r="M8555" s="308" t="s">
        <v>33689</v>
      </c>
      <c r="N8555" s="308" t="s">
        <v>439</v>
      </c>
      <c r="O8555" s="308"/>
      <c r="P8555" s="308" t="s">
        <v>136</v>
      </c>
      <c r="Q8555" s="308">
        <v>44665.0</v>
      </c>
      <c r="R8555" s="308" t="s">
        <v>2743</v>
      </c>
      <c r="S8555" s="315" t="s">
        <v>100</v>
      </c>
      <c r="T8555" s="308" t="s">
        <v>34208</v>
      </c>
      <c r="U8555" s="308" t="s">
        <v>872</v>
      </c>
      <c r="V8555" s="308"/>
    </row>
    <row r="8556">
      <c r="A8556" s="308"/>
      <c r="B8556" s="308"/>
      <c r="C8556" s="308" t="s">
        <v>33690</v>
      </c>
      <c r="D8556" s="308">
        <f>IFERROR(__xludf.DUMMYFUNCTION("SPLIT(C8556,""-"")"),8576.0)</f>
        <v>8576</v>
      </c>
      <c r="E8556" s="308" t="str">
        <f>IFERROR(__xludf.DUMMYFUNCTION("""COMPUTED_VALUE"""),"S")</f>
        <v>S</v>
      </c>
      <c r="F8556" s="312" t="s">
        <v>39</v>
      </c>
      <c r="G8556" s="308"/>
      <c r="H8556" s="308" t="s">
        <v>33691</v>
      </c>
      <c r="I8556" s="314">
        <v>43038.0</v>
      </c>
      <c r="J8556" s="319">
        <f>IFERROR(__xludf.DUMMYFUNCTION("SPLIT(I8556,""/"")"),30.0)</f>
        <v>30</v>
      </c>
      <c r="K8556" s="308">
        <f>IFERROR(__xludf.DUMMYFUNCTION("""COMPUTED_VALUE"""),10.0)</f>
        <v>10</v>
      </c>
      <c r="L8556" s="308">
        <f>IFERROR(__xludf.DUMMYFUNCTION("""COMPUTED_VALUE"""),2017.0)</f>
        <v>2017</v>
      </c>
      <c r="M8556" s="308" t="s">
        <v>33692</v>
      </c>
      <c r="N8556" s="308" t="s">
        <v>33693</v>
      </c>
      <c r="O8556" s="308"/>
      <c r="P8556" s="308" t="s">
        <v>136</v>
      </c>
      <c r="Q8556" s="308">
        <v>44665.0</v>
      </c>
      <c r="R8556" s="308" t="s">
        <v>2743</v>
      </c>
      <c r="S8556" s="315" t="s">
        <v>100</v>
      </c>
      <c r="T8556" s="308" t="s">
        <v>34208</v>
      </c>
      <c r="U8556" s="308" t="s">
        <v>166</v>
      </c>
      <c r="V8556" s="308"/>
    </row>
    <row r="8557">
      <c r="A8557" s="308"/>
      <c r="B8557" s="308"/>
      <c r="C8557" s="308" t="s">
        <v>33694</v>
      </c>
      <c r="D8557" s="308">
        <f>IFERROR(__xludf.DUMMYFUNCTION("SPLIT(C8557,""-"")"),8577.0)</f>
        <v>8577</v>
      </c>
      <c r="E8557" s="308" t="str">
        <f>IFERROR(__xludf.DUMMYFUNCTION("""COMPUTED_VALUE"""),"B")</f>
        <v>B</v>
      </c>
      <c r="F8557" s="315" t="s">
        <v>26</v>
      </c>
      <c r="G8557" s="308"/>
      <c r="H8557" s="308" t="s">
        <v>33695</v>
      </c>
      <c r="I8557" s="310">
        <v>40215.0</v>
      </c>
      <c r="J8557" s="319">
        <f>IFERROR(__xludf.DUMMYFUNCTION("SPLIT(I8557,""/"")"),6.0)</f>
        <v>6</v>
      </c>
      <c r="K8557" s="308">
        <f>IFERROR(__xludf.DUMMYFUNCTION("""COMPUTED_VALUE"""),2.0)</f>
        <v>2</v>
      </c>
      <c r="L8557" s="308">
        <f>IFERROR(__xludf.DUMMYFUNCTION("""COMPUTED_VALUE"""),2010.0)</f>
        <v>2010</v>
      </c>
      <c r="M8557" s="308" t="s">
        <v>33696</v>
      </c>
      <c r="N8557" s="308" t="s">
        <v>439</v>
      </c>
      <c r="O8557" s="308"/>
      <c r="P8557" s="308" t="s">
        <v>40314</v>
      </c>
      <c r="Q8557" s="308">
        <v>44665.0</v>
      </c>
      <c r="R8557" s="308" t="s">
        <v>32774</v>
      </c>
      <c r="S8557" s="308" t="s">
        <v>49</v>
      </c>
      <c r="T8557" s="311" t="s">
        <v>73</v>
      </c>
      <c r="U8557" s="308" t="s">
        <v>27</v>
      </c>
      <c r="V8557" s="308"/>
    </row>
    <row r="8558">
      <c r="A8558" s="308"/>
      <c r="B8558" s="308"/>
      <c r="C8558" s="308" t="s">
        <v>33698</v>
      </c>
      <c r="D8558" s="308">
        <f>IFERROR(__xludf.DUMMYFUNCTION("SPLIT(C8558,""-"")"),8578.0)</f>
        <v>8578</v>
      </c>
      <c r="E8558" s="308" t="str">
        <f>IFERROR(__xludf.DUMMYFUNCTION("""COMPUTED_VALUE"""),"B")</f>
        <v>B</v>
      </c>
      <c r="F8558" s="315" t="s">
        <v>26</v>
      </c>
      <c r="G8558" s="308"/>
      <c r="H8558" s="308" t="s">
        <v>33699</v>
      </c>
      <c r="I8558" s="310">
        <v>40215.0</v>
      </c>
      <c r="J8558" s="319">
        <f>IFERROR(__xludf.DUMMYFUNCTION("SPLIT(I8558,""/"")"),6.0)</f>
        <v>6</v>
      </c>
      <c r="K8558" s="308">
        <f>IFERROR(__xludf.DUMMYFUNCTION("""COMPUTED_VALUE"""),2.0)</f>
        <v>2</v>
      </c>
      <c r="L8558" s="308">
        <f>IFERROR(__xludf.DUMMYFUNCTION("""COMPUTED_VALUE"""),2010.0)</f>
        <v>2010</v>
      </c>
      <c r="M8558" s="308" t="s">
        <v>33696</v>
      </c>
      <c r="N8558" s="308" t="s">
        <v>439</v>
      </c>
      <c r="O8558" s="308"/>
      <c r="P8558" s="308" t="s">
        <v>40315</v>
      </c>
      <c r="Q8558" s="308">
        <v>44665.0</v>
      </c>
      <c r="R8558" s="308" t="s">
        <v>32774</v>
      </c>
      <c r="S8558" s="308" t="s">
        <v>49</v>
      </c>
      <c r="T8558" s="311" t="s">
        <v>73</v>
      </c>
      <c r="U8558" s="308" t="s">
        <v>27</v>
      </c>
      <c r="V8558" s="308"/>
    </row>
    <row r="8559">
      <c r="A8559" s="308"/>
      <c r="B8559" s="308"/>
      <c r="C8559" s="308" t="s">
        <v>33701</v>
      </c>
      <c r="D8559" s="308">
        <f>IFERROR(__xludf.DUMMYFUNCTION("SPLIT(C8559,""-"")"),8579.0)</f>
        <v>8579</v>
      </c>
      <c r="E8559" s="308" t="str">
        <f>IFERROR(__xludf.DUMMYFUNCTION("""COMPUTED_VALUE"""),"B")</f>
        <v>B</v>
      </c>
      <c r="F8559" s="315" t="s">
        <v>26</v>
      </c>
      <c r="G8559" s="308"/>
      <c r="H8559" s="308" t="s">
        <v>33702</v>
      </c>
      <c r="I8559" s="314">
        <v>43028.0</v>
      </c>
      <c r="J8559" s="319">
        <f>IFERROR(__xludf.DUMMYFUNCTION("SPLIT(I8559,""/"")"),20.0)</f>
        <v>20</v>
      </c>
      <c r="K8559" s="308">
        <f>IFERROR(__xludf.DUMMYFUNCTION("""COMPUTED_VALUE"""),10.0)</f>
        <v>10</v>
      </c>
      <c r="L8559" s="308">
        <f>IFERROR(__xludf.DUMMYFUNCTION("""COMPUTED_VALUE"""),2017.0)</f>
        <v>2017</v>
      </c>
      <c r="M8559" s="308" t="s">
        <v>33703</v>
      </c>
      <c r="N8559" s="308" t="s">
        <v>439</v>
      </c>
      <c r="O8559" s="308"/>
      <c r="P8559" s="308" t="s">
        <v>33704</v>
      </c>
      <c r="Q8559" s="308">
        <v>44665.0</v>
      </c>
      <c r="R8559" s="308" t="s">
        <v>32774</v>
      </c>
      <c r="S8559" s="308" t="s">
        <v>81</v>
      </c>
      <c r="T8559" s="311" t="s">
        <v>96</v>
      </c>
      <c r="U8559" s="308" t="s">
        <v>27</v>
      </c>
      <c r="V8559" s="308"/>
    </row>
    <row r="8560">
      <c r="A8560" s="308"/>
      <c r="B8560" s="308"/>
      <c r="C8560" s="308" t="s">
        <v>33705</v>
      </c>
      <c r="D8560" s="308">
        <f>IFERROR(__xludf.DUMMYFUNCTION("SPLIT(C8560,""-"")"),8580.0)</f>
        <v>8580</v>
      </c>
      <c r="E8560" s="308" t="str">
        <f>IFERROR(__xludf.DUMMYFUNCTION("""COMPUTED_VALUE"""),"B")</f>
        <v>B</v>
      </c>
      <c r="F8560" s="315" t="s">
        <v>26</v>
      </c>
      <c r="G8560" s="308"/>
      <c r="H8560" s="308" t="s">
        <v>33706</v>
      </c>
      <c r="I8560" s="314">
        <v>43028.0</v>
      </c>
      <c r="J8560" s="319">
        <f>IFERROR(__xludf.DUMMYFUNCTION("SPLIT(I8560,""/"")"),20.0)</f>
        <v>20</v>
      </c>
      <c r="K8560" s="308">
        <f>IFERROR(__xludf.DUMMYFUNCTION("""COMPUTED_VALUE"""),10.0)</f>
        <v>10</v>
      </c>
      <c r="L8560" s="308">
        <f>IFERROR(__xludf.DUMMYFUNCTION("""COMPUTED_VALUE"""),2017.0)</f>
        <v>2017</v>
      </c>
      <c r="M8560" s="308" t="s">
        <v>4716</v>
      </c>
      <c r="N8560" s="308" t="s">
        <v>439</v>
      </c>
      <c r="O8560" s="308"/>
      <c r="P8560" s="308" t="s">
        <v>33707</v>
      </c>
      <c r="Q8560" s="308">
        <v>44665.0</v>
      </c>
      <c r="R8560" s="308" t="s">
        <v>32774</v>
      </c>
      <c r="S8560" s="308" t="s">
        <v>81</v>
      </c>
      <c r="T8560" s="311" t="s">
        <v>96</v>
      </c>
      <c r="U8560" s="308" t="s">
        <v>27</v>
      </c>
      <c r="V8560" s="308"/>
    </row>
    <row r="8561">
      <c r="A8561" s="308"/>
      <c r="B8561" s="308"/>
      <c r="C8561" s="308" t="s">
        <v>33708</v>
      </c>
      <c r="D8561" s="308">
        <f>IFERROR(__xludf.DUMMYFUNCTION("SPLIT(C8561,""-"")"),8581.0)</f>
        <v>8581</v>
      </c>
      <c r="E8561" s="308" t="str">
        <f>IFERROR(__xludf.DUMMYFUNCTION("""COMPUTED_VALUE"""),"B")</f>
        <v>B</v>
      </c>
      <c r="F8561" s="315" t="s">
        <v>26</v>
      </c>
      <c r="G8561" s="308"/>
      <c r="H8561" s="308" t="s">
        <v>33709</v>
      </c>
      <c r="I8561" s="314">
        <v>43028.0</v>
      </c>
      <c r="J8561" s="319">
        <f>IFERROR(__xludf.DUMMYFUNCTION("SPLIT(I8561,""/"")"),20.0)</f>
        <v>20</v>
      </c>
      <c r="K8561" s="308">
        <f>IFERROR(__xludf.DUMMYFUNCTION("""COMPUTED_VALUE"""),10.0)</f>
        <v>10</v>
      </c>
      <c r="L8561" s="308">
        <f>IFERROR(__xludf.DUMMYFUNCTION("""COMPUTED_VALUE"""),2017.0)</f>
        <v>2017</v>
      </c>
      <c r="M8561" s="308" t="s">
        <v>33703</v>
      </c>
      <c r="N8561" s="308" t="s">
        <v>439</v>
      </c>
      <c r="O8561" s="308"/>
      <c r="P8561" s="308" t="s">
        <v>33710</v>
      </c>
      <c r="Q8561" s="308">
        <v>44665.0</v>
      </c>
      <c r="R8561" s="308" t="s">
        <v>32774</v>
      </c>
      <c r="S8561" s="308" t="s">
        <v>81</v>
      </c>
      <c r="T8561" s="311" t="s">
        <v>96</v>
      </c>
      <c r="U8561" s="308" t="s">
        <v>27</v>
      </c>
      <c r="V8561" s="308"/>
    </row>
    <row r="8562">
      <c r="A8562" s="308"/>
      <c r="B8562" s="308"/>
      <c r="C8562" s="308" t="s">
        <v>33711</v>
      </c>
      <c r="D8562" s="308">
        <f>IFERROR(__xludf.DUMMYFUNCTION("SPLIT(C8562,""-"")"),8582.0)</f>
        <v>8582</v>
      </c>
      <c r="E8562" s="308" t="str">
        <f>IFERROR(__xludf.DUMMYFUNCTION("""COMPUTED_VALUE"""),"B")</f>
        <v>B</v>
      </c>
      <c r="F8562" s="315" t="s">
        <v>26</v>
      </c>
      <c r="G8562" s="308"/>
      <c r="H8562" s="308" t="s">
        <v>33712</v>
      </c>
      <c r="I8562" s="316" t="s">
        <v>33713</v>
      </c>
      <c r="J8562" s="319"/>
      <c r="K8562" s="308"/>
      <c r="L8562" s="311">
        <v>2000.0</v>
      </c>
      <c r="M8562" s="308" t="s">
        <v>33714</v>
      </c>
      <c r="N8562" s="308" t="s">
        <v>439</v>
      </c>
      <c r="O8562" s="308"/>
      <c r="P8562" s="308" t="s">
        <v>40316</v>
      </c>
      <c r="Q8562" s="308">
        <v>44665.0</v>
      </c>
      <c r="R8562" s="308" t="s">
        <v>32774</v>
      </c>
      <c r="S8562" s="308" t="s">
        <v>49</v>
      </c>
      <c r="T8562" s="311" t="s">
        <v>51</v>
      </c>
      <c r="U8562" s="308" t="s">
        <v>27</v>
      </c>
      <c r="V8562" s="308"/>
    </row>
    <row r="8563">
      <c r="A8563" s="308"/>
      <c r="B8563" s="308"/>
      <c r="C8563" s="308" t="s">
        <v>33716</v>
      </c>
      <c r="D8563" s="308">
        <f>IFERROR(__xludf.DUMMYFUNCTION("SPLIT(C8563,""-"")"),8583.0)</f>
        <v>8583</v>
      </c>
      <c r="E8563" s="308" t="str">
        <f>IFERROR(__xludf.DUMMYFUNCTION("""COMPUTED_VALUE"""),"B")</f>
        <v>B</v>
      </c>
      <c r="F8563" s="315" t="s">
        <v>26</v>
      </c>
      <c r="G8563" s="308"/>
      <c r="H8563" s="308" t="s">
        <v>33717</v>
      </c>
      <c r="I8563" s="314">
        <v>43028.0</v>
      </c>
      <c r="J8563" s="319">
        <f>IFERROR(__xludf.DUMMYFUNCTION("SPLIT(I8563,""/"")"),20.0)</f>
        <v>20</v>
      </c>
      <c r="K8563" s="308">
        <f>IFERROR(__xludf.DUMMYFUNCTION("""COMPUTED_VALUE"""),10.0)</f>
        <v>10</v>
      </c>
      <c r="L8563" s="308">
        <f>IFERROR(__xludf.DUMMYFUNCTION("""COMPUTED_VALUE"""),2017.0)</f>
        <v>2017</v>
      </c>
      <c r="M8563" s="308" t="s">
        <v>33703</v>
      </c>
      <c r="N8563" s="308" t="s">
        <v>439</v>
      </c>
      <c r="O8563" s="308"/>
      <c r="P8563" s="308" t="s">
        <v>40317</v>
      </c>
      <c r="Q8563" s="308">
        <v>44665.0</v>
      </c>
      <c r="R8563" s="308" t="s">
        <v>32774</v>
      </c>
      <c r="S8563" s="308" t="s">
        <v>81</v>
      </c>
      <c r="T8563" s="311" t="s">
        <v>96</v>
      </c>
      <c r="U8563" s="308" t="s">
        <v>27</v>
      </c>
      <c r="V8563" s="308"/>
    </row>
    <row r="8564">
      <c r="A8564" s="308"/>
      <c r="B8564" s="308"/>
      <c r="C8564" s="308" t="s">
        <v>33719</v>
      </c>
      <c r="D8564" s="308">
        <f>IFERROR(__xludf.DUMMYFUNCTION("SPLIT(C8564,""-"")"),8584.0)</f>
        <v>8584</v>
      </c>
      <c r="E8564" s="308" t="str">
        <f>IFERROR(__xludf.DUMMYFUNCTION("""COMPUTED_VALUE"""),"B")</f>
        <v>B</v>
      </c>
      <c r="F8564" s="315" t="s">
        <v>26</v>
      </c>
      <c r="G8564" s="308"/>
      <c r="H8564" s="308" t="s">
        <v>33720</v>
      </c>
      <c r="I8564" s="314">
        <v>43028.0</v>
      </c>
      <c r="J8564" s="319">
        <f>IFERROR(__xludf.DUMMYFUNCTION("SPLIT(I8564,""/"")"),20.0)</f>
        <v>20</v>
      </c>
      <c r="K8564" s="308">
        <f>IFERROR(__xludf.DUMMYFUNCTION("""COMPUTED_VALUE"""),10.0)</f>
        <v>10</v>
      </c>
      <c r="L8564" s="308">
        <f>IFERROR(__xludf.DUMMYFUNCTION("""COMPUTED_VALUE"""),2017.0)</f>
        <v>2017</v>
      </c>
      <c r="M8564" s="308" t="s">
        <v>33703</v>
      </c>
      <c r="N8564" s="308" t="s">
        <v>439</v>
      </c>
      <c r="O8564" s="308"/>
      <c r="P8564" s="308" t="s">
        <v>33721</v>
      </c>
      <c r="Q8564" s="308">
        <v>44665.0</v>
      </c>
      <c r="R8564" s="308" t="s">
        <v>32774</v>
      </c>
      <c r="S8564" s="308" t="s">
        <v>81</v>
      </c>
      <c r="T8564" s="311" t="s">
        <v>96</v>
      </c>
      <c r="U8564" s="308" t="s">
        <v>27</v>
      </c>
      <c r="V8564" s="308"/>
    </row>
    <row r="8565">
      <c r="A8565" s="308"/>
      <c r="B8565" s="308"/>
      <c r="C8565" s="308" t="s">
        <v>33722</v>
      </c>
      <c r="D8565" s="308">
        <f>IFERROR(__xludf.DUMMYFUNCTION("SPLIT(C8565,""-"")"),8585.0)</f>
        <v>8585</v>
      </c>
      <c r="E8565" s="308" t="str">
        <f>IFERROR(__xludf.DUMMYFUNCTION("""COMPUTED_VALUE"""),"B")</f>
        <v>B</v>
      </c>
      <c r="F8565" s="315" t="s">
        <v>26</v>
      </c>
      <c r="G8565" s="308"/>
      <c r="H8565" s="308" t="s">
        <v>33723</v>
      </c>
      <c r="I8565" s="310">
        <v>42819.0</v>
      </c>
      <c r="J8565" s="319">
        <f>IFERROR(__xludf.DUMMYFUNCTION("SPLIT(I8565,""/"")"),25.0)</f>
        <v>25</v>
      </c>
      <c r="K8565" s="308">
        <f>IFERROR(__xludf.DUMMYFUNCTION("""COMPUTED_VALUE"""),3.0)</f>
        <v>3</v>
      </c>
      <c r="L8565" s="308">
        <f>IFERROR(__xludf.DUMMYFUNCTION("""COMPUTED_VALUE"""),2017.0)</f>
        <v>2017</v>
      </c>
      <c r="M8565" s="308" t="s">
        <v>33724</v>
      </c>
      <c r="N8565" s="308" t="s">
        <v>439</v>
      </c>
      <c r="O8565" s="308"/>
      <c r="P8565" s="308" t="s">
        <v>40318</v>
      </c>
      <c r="Q8565" s="308">
        <v>44665.0</v>
      </c>
      <c r="R8565" s="308" t="s">
        <v>32774</v>
      </c>
      <c r="S8565" s="308" t="s">
        <v>81</v>
      </c>
      <c r="T8565" s="311" t="s">
        <v>96</v>
      </c>
      <c r="U8565" s="308" t="s">
        <v>27</v>
      </c>
      <c r="V8565" s="308"/>
    </row>
    <row r="8566">
      <c r="A8566" s="308"/>
      <c r="B8566" s="308"/>
      <c r="C8566" s="308" t="s">
        <v>33726</v>
      </c>
      <c r="D8566" s="308">
        <f>IFERROR(__xludf.DUMMYFUNCTION("SPLIT(C8566,""-"")"),8586.0)</f>
        <v>8586</v>
      </c>
      <c r="E8566" s="308" t="str">
        <f>IFERROR(__xludf.DUMMYFUNCTION("""COMPUTED_VALUE"""),"B")</f>
        <v>B</v>
      </c>
      <c r="F8566" s="315" t="s">
        <v>26</v>
      </c>
      <c r="G8566" s="308"/>
      <c r="H8566" s="308" t="s">
        <v>33727</v>
      </c>
      <c r="I8566" s="310">
        <v>40430.0</v>
      </c>
      <c r="J8566" s="319">
        <f>IFERROR(__xludf.DUMMYFUNCTION("SPLIT(I8566,""/"")"),9.0)</f>
        <v>9</v>
      </c>
      <c r="K8566" s="308">
        <f>IFERROR(__xludf.DUMMYFUNCTION("""COMPUTED_VALUE"""),9.0)</f>
        <v>9</v>
      </c>
      <c r="L8566" s="308">
        <f>IFERROR(__xludf.DUMMYFUNCTION("""COMPUTED_VALUE"""),2010.0)</f>
        <v>2010</v>
      </c>
      <c r="M8566" s="308" t="s">
        <v>33714</v>
      </c>
      <c r="N8566" s="308" t="s">
        <v>439</v>
      </c>
      <c r="O8566" s="308"/>
      <c r="P8566" s="308" t="s">
        <v>40319</v>
      </c>
      <c r="Q8566" s="308">
        <v>44665.0</v>
      </c>
      <c r="R8566" s="308" t="s">
        <v>32774</v>
      </c>
      <c r="S8566" s="308" t="s">
        <v>81</v>
      </c>
      <c r="T8566" s="311" t="s">
        <v>96</v>
      </c>
      <c r="U8566" s="308" t="s">
        <v>27</v>
      </c>
      <c r="V8566" s="308"/>
    </row>
    <row r="8567">
      <c r="A8567" s="308"/>
      <c r="B8567" s="308"/>
      <c r="C8567" s="308" t="s">
        <v>33729</v>
      </c>
      <c r="D8567" s="308">
        <f>IFERROR(__xludf.DUMMYFUNCTION("SPLIT(C8567,""-"")"),8587.0)</f>
        <v>8587</v>
      </c>
      <c r="E8567" s="308" t="str">
        <f>IFERROR(__xludf.DUMMYFUNCTION("""COMPUTED_VALUE"""),"B")</f>
        <v>B</v>
      </c>
      <c r="F8567" s="315" t="s">
        <v>26</v>
      </c>
      <c r="G8567" s="308"/>
      <c r="H8567" s="308" t="s">
        <v>33730</v>
      </c>
      <c r="I8567" s="310">
        <v>41311.0</v>
      </c>
      <c r="J8567" s="319">
        <f>IFERROR(__xludf.DUMMYFUNCTION("SPLIT(I8567,""/"")"),6.0)</f>
        <v>6</v>
      </c>
      <c r="K8567" s="308">
        <f>IFERROR(__xludf.DUMMYFUNCTION("""COMPUTED_VALUE"""),2.0)</f>
        <v>2</v>
      </c>
      <c r="L8567" s="308">
        <f>IFERROR(__xludf.DUMMYFUNCTION("""COMPUTED_VALUE"""),2013.0)</f>
        <v>2013</v>
      </c>
      <c r="M8567" s="308" t="s">
        <v>33731</v>
      </c>
      <c r="N8567" s="308" t="s">
        <v>439</v>
      </c>
      <c r="O8567" s="308"/>
      <c r="P8567" s="308" t="s">
        <v>33732</v>
      </c>
      <c r="Q8567" s="308">
        <v>44665.0</v>
      </c>
      <c r="R8567" s="308" t="s">
        <v>32774</v>
      </c>
      <c r="S8567" s="308" t="s">
        <v>81</v>
      </c>
      <c r="T8567" s="311" t="s">
        <v>96</v>
      </c>
      <c r="U8567" s="308" t="s">
        <v>27</v>
      </c>
      <c r="V8567" s="308"/>
    </row>
    <row r="8568">
      <c r="A8568" s="308"/>
      <c r="B8568" s="308"/>
      <c r="C8568" s="308" t="s">
        <v>33733</v>
      </c>
      <c r="D8568" s="308">
        <f>IFERROR(__xludf.DUMMYFUNCTION("SPLIT(C8568,""-"")"),8588.0)</f>
        <v>8588</v>
      </c>
      <c r="E8568" s="308" t="str">
        <f>IFERROR(__xludf.DUMMYFUNCTION("""COMPUTED_VALUE"""),"K")</f>
        <v>K</v>
      </c>
      <c r="F8568" s="309" t="s">
        <v>34</v>
      </c>
      <c r="G8568" s="308"/>
      <c r="H8568" s="308" t="s">
        <v>33734</v>
      </c>
      <c r="I8568" s="316" t="s">
        <v>407</v>
      </c>
      <c r="J8568" s="319"/>
      <c r="K8568" s="308"/>
      <c r="L8568" s="311" t="s">
        <v>79</v>
      </c>
      <c r="M8568" s="308" t="s">
        <v>33735</v>
      </c>
      <c r="N8568" s="308" t="s">
        <v>33736</v>
      </c>
      <c r="O8568" s="308"/>
      <c r="P8568" s="308" t="s">
        <v>33737</v>
      </c>
      <c r="Q8568" s="308">
        <v>44671.0</v>
      </c>
      <c r="R8568" s="308" t="s">
        <v>2743</v>
      </c>
      <c r="S8568" s="308" t="s">
        <v>81</v>
      </c>
      <c r="T8568" s="308" t="s">
        <v>75</v>
      </c>
      <c r="U8568" s="308" t="s">
        <v>2152</v>
      </c>
      <c r="V8568" s="308"/>
    </row>
    <row r="8569">
      <c r="A8569" s="308"/>
      <c r="B8569" s="308"/>
      <c r="C8569" s="308" t="s">
        <v>33738</v>
      </c>
      <c r="D8569" s="308">
        <f>IFERROR(__xludf.DUMMYFUNCTION("SPLIT(C8569,""-"")"),8589.0)</f>
        <v>8589</v>
      </c>
      <c r="E8569" s="308" t="str">
        <f>IFERROR(__xludf.DUMMYFUNCTION("""COMPUTED_VALUE"""),"B")</f>
        <v>B</v>
      </c>
      <c r="F8569" s="315" t="s">
        <v>26</v>
      </c>
      <c r="G8569" s="308"/>
      <c r="H8569" s="308" t="s">
        <v>40320</v>
      </c>
      <c r="I8569" s="314">
        <v>41292.0</v>
      </c>
      <c r="J8569" s="319">
        <f>IFERROR(__xludf.DUMMYFUNCTION("SPLIT(I8569,""/"")"),18.0)</f>
        <v>18</v>
      </c>
      <c r="K8569" s="308">
        <f>IFERROR(__xludf.DUMMYFUNCTION("""COMPUTED_VALUE"""),1.0)</f>
        <v>1</v>
      </c>
      <c r="L8569" s="308">
        <f>IFERROR(__xludf.DUMMYFUNCTION("""COMPUTED_VALUE"""),2013.0)</f>
        <v>2013</v>
      </c>
      <c r="M8569" s="308" t="s">
        <v>33714</v>
      </c>
      <c r="N8569" s="308" t="s">
        <v>439</v>
      </c>
      <c r="O8569" s="308"/>
      <c r="P8569" s="308" t="s">
        <v>33740</v>
      </c>
      <c r="Q8569" s="308">
        <v>44665.0</v>
      </c>
      <c r="R8569" s="308" t="s">
        <v>32774</v>
      </c>
      <c r="S8569" s="308" t="s">
        <v>81</v>
      </c>
      <c r="T8569" s="311" t="s">
        <v>96</v>
      </c>
      <c r="U8569" s="308" t="s">
        <v>27</v>
      </c>
      <c r="V8569" s="308"/>
    </row>
    <row r="8570">
      <c r="A8570" s="308"/>
      <c r="B8570" s="308"/>
      <c r="C8570" s="308" t="s">
        <v>33741</v>
      </c>
      <c r="D8570" s="308">
        <f>IFERROR(__xludf.DUMMYFUNCTION("SPLIT(C8570,""-"")"),8590.0)</f>
        <v>8590</v>
      </c>
      <c r="E8570" s="308" t="str">
        <f>IFERROR(__xludf.DUMMYFUNCTION("""COMPUTED_VALUE"""),"B")</f>
        <v>B</v>
      </c>
      <c r="F8570" s="315" t="s">
        <v>26</v>
      </c>
      <c r="G8570" s="308"/>
      <c r="H8570" s="308" t="s">
        <v>33742</v>
      </c>
      <c r="I8570" s="314">
        <v>41138.0</v>
      </c>
      <c r="J8570" s="319">
        <f>IFERROR(__xludf.DUMMYFUNCTION("SPLIT(I8570,""/"")"),17.0)</f>
        <v>17</v>
      </c>
      <c r="K8570" s="308">
        <f>IFERROR(__xludf.DUMMYFUNCTION("""COMPUTED_VALUE"""),8.0)</f>
        <v>8</v>
      </c>
      <c r="L8570" s="308">
        <f>IFERROR(__xludf.DUMMYFUNCTION("""COMPUTED_VALUE"""),2012.0)</f>
        <v>2012</v>
      </c>
      <c r="M8570" s="308" t="s">
        <v>33714</v>
      </c>
      <c r="N8570" s="308" t="s">
        <v>439</v>
      </c>
      <c r="O8570" s="308"/>
      <c r="P8570" s="308" t="s">
        <v>33743</v>
      </c>
      <c r="Q8570" s="308">
        <v>44665.0</v>
      </c>
      <c r="R8570" s="308" t="s">
        <v>32774</v>
      </c>
      <c r="S8570" s="308" t="s">
        <v>81</v>
      </c>
      <c r="T8570" s="308" t="s">
        <v>98</v>
      </c>
      <c r="U8570" s="308" t="s">
        <v>27</v>
      </c>
      <c r="V8570" s="308"/>
    </row>
    <row r="8571">
      <c r="A8571" s="308"/>
      <c r="B8571" s="308"/>
      <c r="C8571" s="308" t="s">
        <v>33744</v>
      </c>
      <c r="D8571" s="308">
        <f>IFERROR(__xludf.DUMMYFUNCTION("SPLIT(C8571,""-"")"),8591.0)</f>
        <v>8591</v>
      </c>
      <c r="E8571" s="308" t="str">
        <f>IFERROR(__xludf.DUMMYFUNCTION("""COMPUTED_VALUE"""),"B")</f>
        <v>B</v>
      </c>
      <c r="F8571" s="315" t="s">
        <v>26</v>
      </c>
      <c r="G8571" s="308"/>
      <c r="H8571" s="308" t="s">
        <v>33745</v>
      </c>
      <c r="I8571" s="314">
        <v>41474.0</v>
      </c>
      <c r="J8571" s="319">
        <f>IFERROR(__xludf.DUMMYFUNCTION("SPLIT(I8571,""/"")"),19.0)</f>
        <v>19</v>
      </c>
      <c r="K8571" s="308">
        <f>IFERROR(__xludf.DUMMYFUNCTION("""COMPUTED_VALUE"""),7.0)</f>
        <v>7</v>
      </c>
      <c r="L8571" s="308">
        <f>IFERROR(__xludf.DUMMYFUNCTION("""COMPUTED_VALUE"""),2013.0)</f>
        <v>2013</v>
      </c>
      <c r="M8571" s="308" t="s">
        <v>33714</v>
      </c>
      <c r="N8571" s="308" t="s">
        <v>439</v>
      </c>
      <c r="O8571" s="308"/>
      <c r="P8571" s="308" t="s">
        <v>40321</v>
      </c>
      <c r="Q8571" s="308">
        <v>44665.0</v>
      </c>
      <c r="R8571" s="308" t="s">
        <v>32774</v>
      </c>
      <c r="S8571" s="308" t="s">
        <v>81</v>
      </c>
      <c r="T8571" s="311" t="s">
        <v>96</v>
      </c>
      <c r="U8571" s="308" t="s">
        <v>27</v>
      </c>
      <c r="V8571" s="308"/>
    </row>
    <row r="8572">
      <c r="A8572" s="308"/>
      <c r="B8572" s="308"/>
      <c r="C8572" s="308" t="s">
        <v>33747</v>
      </c>
      <c r="D8572" s="308">
        <f>IFERROR(__xludf.DUMMYFUNCTION("SPLIT(C8572,""-"")"),8592.0)</f>
        <v>8592</v>
      </c>
      <c r="E8572" s="308" t="str">
        <f>IFERROR(__xludf.DUMMYFUNCTION("""COMPUTED_VALUE"""),"B")</f>
        <v>B</v>
      </c>
      <c r="F8572" s="315" t="s">
        <v>26</v>
      </c>
      <c r="G8572" s="308"/>
      <c r="H8572" s="308" t="s">
        <v>33748</v>
      </c>
      <c r="I8572" s="314">
        <v>41540.0</v>
      </c>
      <c r="J8572" s="319">
        <f>IFERROR(__xludf.DUMMYFUNCTION("SPLIT(I8572,""/"")"),23.0)</f>
        <v>23</v>
      </c>
      <c r="K8572" s="308">
        <f>IFERROR(__xludf.DUMMYFUNCTION("""COMPUTED_VALUE"""),9.0)</f>
        <v>9</v>
      </c>
      <c r="L8572" s="308">
        <f>IFERROR(__xludf.DUMMYFUNCTION("""COMPUTED_VALUE"""),2013.0)</f>
        <v>2013</v>
      </c>
      <c r="M8572" s="308" t="s">
        <v>33749</v>
      </c>
      <c r="N8572" s="308" t="s">
        <v>439</v>
      </c>
      <c r="O8572" s="308"/>
      <c r="P8572" s="308" t="s">
        <v>33750</v>
      </c>
      <c r="Q8572" s="308">
        <v>44665.0</v>
      </c>
      <c r="R8572" s="308" t="s">
        <v>32774</v>
      </c>
      <c r="S8572" s="308" t="s">
        <v>81</v>
      </c>
      <c r="T8572" s="311" t="s">
        <v>96</v>
      </c>
      <c r="U8572" s="308" t="s">
        <v>27</v>
      </c>
      <c r="V8572" s="308"/>
    </row>
    <row r="8573">
      <c r="A8573" s="308"/>
      <c r="B8573" s="308"/>
      <c r="C8573" s="308" t="s">
        <v>33751</v>
      </c>
      <c r="D8573" s="308">
        <f>IFERROR(__xludf.DUMMYFUNCTION("SPLIT(C8573,""-"")"),8593.0)</f>
        <v>8593</v>
      </c>
      <c r="E8573" s="308" t="str">
        <f>IFERROR(__xludf.DUMMYFUNCTION("""COMPUTED_VALUE"""),"B")</f>
        <v>B</v>
      </c>
      <c r="F8573" s="315" t="s">
        <v>26</v>
      </c>
      <c r="G8573" s="308"/>
      <c r="H8573" s="308" t="s">
        <v>33752</v>
      </c>
      <c r="I8573" s="314">
        <v>41742.0</v>
      </c>
      <c r="J8573" s="319">
        <f>IFERROR(__xludf.DUMMYFUNCTION("SPLIT(I8573,""/"")"),13.0)</f>
        <v>13</v>
      </c>
      <c r="K8573" s="308">
        <f>IFERROR(__xludf.DUMMYFUNCTION("""COMPUTED_VALUE"""),4.0)</f>
        <v>4</v>
      </c>
      <c r="L8573" s="308">
        <f>IFERROR(__xludf.DUMMYFUNCTION("""COMPUTED_VALUE"""),2014.0)</f>
        <v>2014</v>
      </c>
      <c r="M8573" s="308" t="s">
        <v>33714</v>
      </c>
      <c r="N8573" s="308" t="s">
        <v>439</v>
      </c>
      <c r="O8573" s="308"/>
      <c r="P8573" s="308" t="s">
        <v>40322</v>
      </c>
      <c r="Q8573" s="308">
        <v>44665.0</v>
      </c>
      <c r="R8573" s="308" t="s">
        <v>32774</v>
      </c>
      <c r="S8573" s="308" t="s">
        <v>81</v>
      </c>
      <c r="T8573" s="311" t="s">
        <v>96</v>
      </c>
      <c r="U8573" s="308" t="s">
        <v>27</v>
      </c>
      <c r="V8573" s="308"/>
    </row>
    <row r="8574">
      <c r="A8574" s="308"/>
      <c r="B8574" s="308"/>
      <c r="C8574" s="308" t="s">
        <v>33754</v>
      </c>
      <c r="D8574" s="308">
        <f>IFERROR(__xludf.DUMMYFUNCTION("SPLIT(C8574,""-"")"),8594.0)</f>
        <v>8594</v>
      </c>
      <c r="E8574" s="308" t="str">
        <f>IFERROR(__xludf.DUMMYFUNCTION("""COMPUTED_VALUE"""),"B")</f>
        <v>B</v>
      </c>
      <c r="F8574" s="315" t="s">
        <v>26</v>
      </c>
      <c r="G8574" s="308"/>
      <c r="H8574" s="308" t="s">
        <v>33755</v>
      </c>
      <c r="I8574" s="310">
        <v>42708.0</v>
      </c>
      <c r="J8574" s="319">
        <f>IFERROR(__xludf.DUMMYFUNCTION("SPLIT(I8574,""/"")"),4.0)</f>
        <v>4</v>
      </c>
      <c r="K8574" s="308">
        <f>IFERROR(__xludf.DUMMYFUNCTION("""COMPUTED_VALUE"""),12.0)</f>
        <v>12</v>
      </c>
      <c r="L8574" s="308">
        <f>IFERROR(__xludf.DUMMYFUNCTION("""COMPUTED_VALUE"""),2016.0)</f>
        <v>2016</v>
      </c>
      <c r="M8574" s="308" t="s">
        <v>33756</v>
      </c>
      <c r="N8574" s="308" t="s">
        <v>439</v>
      </c>
      <c r="O8574" s="308"/>
      <c r="P8574" s="308" t="s">
        <v>33757</v>
      </c>
      <c r="Q8574" s="308">
        <v>44665.0</v>
      </c>
      <c r="R8574" s="308" t="s">
        <v>32774</v>
      </c>
      <c r="S8574" s="308" t="s">
        <v>81</v>
      </c>
      <c r="T8574" s="308" t="s">
        <v>75</v>
      </c>
      <c r="U8574" s="308" t="s">
        <v>27</v>
      </c>
      <c r="V8574" s="308"/>
    </row>
    <row r="8575">
      <c r="A8575" s="308"/>
      <c r="B8575" s="308"/>
      <c r="C8575" s="308" t="s">
        <v>33758</v>
      </c>
      <c r="D8575" s="308">
        <f>IFERROR(__xludf.DUMMYFUNCTION("SPLIT(C8575,""-"")"),8595.0)</f>
        <v>8595</v>
      </c>
      <c r="E8575" s="308" t="str">
        <f>IFERROR(__xludf.DUMMYFUNCTION("""COMPUTED_VALUE"""),"B")</f>
        <v>B</v>
      </c>
      <c r="F8575" s="315" t="s">
        <v>26</v>
      </c>
      <c r="G8575" s="308"/>
      <c r="H8575" s="308" t="s">
        <v>33759</v>
      </c>
      <c r="I8575" s="310">
        <v>42708.0</v>
      </c>
      <c r="J8575" s="319">
        <f>IFERROR(__xludf.DUMMYFUNCTION("SPLIT(I8575,""/"")"),4.0)</f>
        <v>4</v>
      </c>
      <c r="K8575" s="308">
        <f>IFERROR(__xludf.DUMMYFUNCTION("""COMPUTED_VALUE"""),12.0)</f>
        <v>12</v>
      </c>
      <c r="L8575" s="308">
        <f>IFERROR(__xludf.DUMMYFUNCTION("""COMPUTED_VALUE"""),2016.0)</f>
        <v>2016</v>
      </c>
      <c r="M8575" s="308" t="s">
        <v>33756</v>
      </c>
      <c r="N8575" s="308" t="s">
        <v>439</v>
      </c>
      <c r="O8575" s="308"/>
      <c r="P8575" s="308" t="s">
        <v>33760</v>
      </c>
      <c r="Q8575" s="308">
        <v>44665.0</v>
      </c>
      <c r="R8575" s="308" t="s">
        <v>32774</v>
      </c>
      <c r="S8575" s="308" t="s">
        <v>81</v>
      </c>
      <c r="T8575" s="308" t="s">
        <v>75</v>
      </c>
      <c r="U8575" s="308" t="s">
        <v>27</v>
      </c>
      <c r="V8575" s="308"/>
    </row>
    <row r="8576">
      <c r="A8576" s="308"/>
      <c r="B8576" s="308"/>
      <c r="C8576" s="308" t="s">
        <v>33761</v>
      </c>
      <c r="D8576" s="308">
        <f>IFERROR(__xludf.DUMMYFUNCTION("SPLIT(C8576,""-"")"),8596.0)</f>
        <v>8596</v>
      </c>
      <c r="E8576" s="308" t="str">
        <f>IFERROR(__xludf.DUMMYFUNCTION("""COMPUTED_VALUE"""),"B")</f>
        <v>B</v>
      </c>
      <c r="F8576" s="315" t="s">
        <v>26</v>
      </c>
      <c r="G8576" s="308"/>
      <c r="H8576" s="308" t="s">
        <v>33762</v>
      </c>
      <c r="I8576" s="310">
        <v>42708.0</v>
      </c>
      <c r="J8576" s="319">
        <f>IFERROR(__xludf.DUMMYFUNCTION("SPLIT(I8576,""/"")"),4.0)</f>
        <v>4</v>
      </c>
      <c r="K8576" s="308">
        <f>IFERROR(__xludf.DUMMYFUNCTION("""COMPUTED_VALUE"""),12.0)</f>
        <v>12</v>
      </c>
      <c r="L8576" s="308">
        <f>IFERROR(__xludf.DUMMYFUNCTION("""COMPUTED_VALUE"""),2016.0)</f>
        <v>2016</v>
      </c>
      <c r="M8576" s="308" t="s">
        <v>33756</v>
      </c>
      <c r="N8576" s="308" t="s">
        <v>439</v>
      </c>
      <c r="O8576" s="308"/>
      <c r="P8576" s="308" t="s">
        <v>40323</v>
      </c>
      <c r="Q8576" s="308">
        <v>44665.0</v>
      </c>
      <c r="R8576" s="308" t="s">
        <v>32774</v>
      </c>
      <c r="S8576" s="308" t="s">
        <v>81</v>
      </c>
      <c r="T8576" s="308" t="s">
        <v>75</v>
      </c>
      <c r="U8576" s="308" t="s">
        <v>27</v>
      </c>
      <c r="V8576" s="308"/>
    </row>
    <row r="8577">
      <c r="A8577" s="308"/>
      <c r="B8577" s="308"/>
      <c r="C8577" s="308" t="s">
        <v>33764</v>
      </c>
      <c r="D8577" s="308">
        <f>IFERROR(__xludf.DUMMYFUNCTION("SPLIT(C8577,""-"")"),8597.0)</f>
        <v>8597</v>
      </c>
      <c r="E8577" s="308" t="str">
        <f>IFERROR(__xludf.DUMMYFUNCTION("""COMPUTED_VALUE"""),"B")</f>
        <v>B</v>
      </c>
      <c r="F8577" s="315" t="s">
        <v>26</v>
      </c>
      <c r="G8577" s="308"/>
      <c r="H8577" s="308" t="s">
        <v>33765</v>
      </c>
      <c r="I8577" s="310">
        <v>42708.0</v>
      </c>
      <c r="J8577" s="319">
        <f>IFERROR(__xludf.DUMMYFUNCTION("SPLIT(I8577,""/"")"),4.0)</f>
        <v>4</v>
      </c>
      <c r="K8577" s="308">
        <f>IFERROR(__xludf.DUMMYFUNCTION("""COMPUTED_VALUE"""),12.0)</f>
        <v>12</v>
      </c>
      <c r="L8577" s="308">
        <f>IFERROR(__xludf.DUMMYFUNCTION("""COMPUTED_VALUE"""),2016.0)</f>
        <v>2016</v>
      </c>
      <c r="M8577" s="308" t="s">
        <v>33756</v>
      </c>
      <c r="N8577" s="308" t="s">
        <v>439</v>
      </c>
      <c r="O8577" s="308"/>
      <c r="P8577" s="308" t="s">
        <v>40324</v>
      </c>
      <c r="Q8577" s="308">
        <v>44665.0</v>
      </c>
      <c r="R8577" s="308" t="s">
        <v>32774</v>
      </c>
      <c r="S8577" s="308" t="s">
        <v>81</v>
      </c>
      <c r="T8577" s="308" t="s">
        <v>75</v>
      </c>
      <c r="U8577" s="308" t="s">
        <v>27</v>
      </c>
      <c r="V8577" s="308"/>
    </row>
    <row r="8578">
      <c r="A8578" s="308"/>
      <c r="B8578" s="308"/>
      <c r="C8578" s="308" t="s">
        <v>33767</v>
      </c>
      <c r="D8578" s="308">
        <f>IFERROR(__xludf.DUMMYFUNCTION("SPLIT(C8578,""-"")"),8598.0)</f>
        <v>8598</v>
      </c>
      <c r="E8578" s="308" t="str">
        <f>IFERROR(__xludf.DUMMYFUNCTION("""COMPUTED_VALUE"""),"B")</f>
        <v>B</v>
      </c>
      <c r="F8578" s="315" t="s">
        <v>26</v>
      </c>
      <c r="G8578" s="308"/>
      <c r="H8578" s="308" t="s">
        <v>33768</v>
      </c>
      <c r="I8578" s="310">
        <v>40215.0</v>
      </c>
      <c r="J8578" s="319">
        <f>IFERROR(__xludf.DUMMYFUNCTION("SPLIT(I8578,""/"")"),6.0)</f>
        <v>6</v>
      </c>
      <c r="K8578" s="308">
        <f>IFERROR(__xludf.DUMMYFUNCTION("""COMPUTED_VALUE"""),2.0)</f>
        <v>2</v>
      </c>
      <c r="L8578" s="308">
        <f>IFERROR(__xludf.DUMMYFUNCTION("""COMPUTED_VALUE"""),2010.0)</f>
        <v>2010</v>
      </c>
      <c r="M8578" s="308" t="s">
        <v>33769</v>
      </c>
      <c r="N8578" s="308" t="s">
        <v>439</v>
      </c>
      <c r="O8578" s="308"/>
      <c r="P8578" s="308" t="s">
        <v>33770</v>
      </c>
      <c r="Q8578" s="308">
        <v>44665.0</v>
      </c>
      <c r="R8578" s="308" t="s">
        <v>32774</v>
      </c>
      <c r="S8578" s="308" t="s">
        <v>49</v>
      </c>
      <c r="T8578" s="308" t="s">
        <v>51</v>
      </c>
      <c r="U8578" s="308" t="s">
        <v>27</v>
      </c>
      <c r="V8578" s="308"/>
    </row>
    <row r="8579">
      <c r="A8579" s="308"/>
      <c r="B8579" s="308"/>
      <c r="C8579" s="308" t="s">
        <v>33771</v>
      </c>
      <c r="D8579" s="308">
        <f>IFERROR(__xludf.DUMMYFUNCTION("SPLIT(C8579,""-"")"),8599.0)</f>
        <v>8599</v>
      </c>
      <c r="E8579" s="308" t="str">
        <f>IFERROR(__xludf.DUMMYFUNCTION("""COMPUTED_VALUE"""),"B")</f>
        <v>B</v>
      </c>
      <c r="F8579" s="315" t="s">
        <v>26</v>
      </c>
      <c r="G8579" s="308"/>
      <c r="H8579" s="308" t="s">
        <v>33699</v>
      </c>
      <c r="I8579" s="310">
        <v>40215.0</v>
      </c>
      <c r="J8579" s="319">
        <f>IFERROR(__xludf.DUMMYFUNCTION("SPLIT(I8579,""/"")"),6.0)</f>
        <v>6</v>
      </c>
      <c r="K8579" s="308">
        <f>IFERROR(__xludf.DUMMYFUNCTION("""COMPUTED_VALUE"""),2.0)</f>
        <v>2</v>
      </c>
      <c r="L8579" s="308">
        <f>IFERROR(__xludf.DUMMYFUNCTION("""COMPUTED_VALUE"""),2010.0)</f>
        <v>2010</v>
      </c>
      <c r="M8579" s="308" t="s">
        <v>33769</v>
      </c>
      <c r="N8579" s="308" t="s">
        <v>439</v>
      </c>
      <c r="O8579" s="308"/>
      <c r="P8579" s="308" t="s">
        <v>33772</v>
      </c>
      <c r="Q8579" s="308">
        <v>44665.0</v>
      </c>
      <c r="R8579" s="308" t="s">
        <v>32774</v>
      </c>
      <c r="S8579" s="308" t="s">
        <v>49</v>
      </c>
      <c r="T8579" s="308" t="s">
        <v>51</v>
      </c>
      <c r="U8579" s="308" t="s">
        <v>27</v>
      </c>
      <c r="V8579" s="308"/>
    </row>
    <row r="8580">
      <c r="A8580" s="308"/>
      <c r="B8580" s="308"/>
      <c r="C8580" s="308" t="s">
        <v>33773</v>
      </c>
      <c r="D8580" s="308">
        <f>IFERROR(__xludf.DUMMYFUNCTION("SPLIT(C8580,""-"")"),8600.0)</f>
        <v>8600</v>
      </c>
      <c r="E8580" s="308" t="str">
        <f>IFERROR(__xludf.DUMMYFUNCTION("""COMPUTED_VALUE"""),"B")</f>
        <v>B</v>
      </c>
      <c r="F8580" s="315" t="s">
        <v>26</v>
      </c>
      <c r="G8580" s="308"/>
      <c r="H8580" s="308" t="s">
        <v>33774</v>
      </c>
      <c r="I8580" s="314">
        <v>41381.0</v>
      </c>
      <c r="J8580" s="319">
        <f>IFERROR(__xludf.DUMMYFUNCTION("SPLIT(I8580,""/"")"),17.0)</f>
        <v>17</v>
      </c>
      <c r="K8580" s="308">
        <f>IFERROR(__xludf.DUMMYFUNCTION("""COMPUTED_VALUE"""),4.0)</f>
        <v>4</v>
      </c>
      <c r="L8580" s="308">
        <f>IFERROR(__xludf.DUMMYFUNCTION("""COMPUTED_VALUE"""),2013.0)</f>
        <v>2013</v>
      </c>
      <c r="M8580" s="308" t="s">
        <v>33714</v>
      </c>
      <c r="N8580" s="308" t="s">
        <v>439</v>
      </c>
      <c r="O8580" s="308"/>
      <c r="P8580" s="308" t="s">
        <v>40325</v>
      </c>
      <c r="Q8580" s="308">
        <v>44665.0</v>
      </c>
      <c r="R8580" s="308" t="s">
        <v>32774</v>
      </c>
      <c r="S8580" s="308" t="s">
        <v>81</v>
      </c>
      <c r="T8580" s="311" t="s">
        <v>96</v>
      </c>
      <c r="U8580" s="308" t="s">
        <v>27</v>
      </c>
      <c r="V8580" s="308"/>
    </row>
    <row r="8581">
      <c r="A8581" s="308"/>
      <c r="B8581" s="308"/>
      <c r="C8581" s="308" t="s">
        <v>33776</v>
      </c>
      <c r="D8581" s="308">
        <f>IFERROR(__xludf.DUMMYFUNCTION("SPLIT(C8581,""-"")"),8601.0)</f>
        <v>8601</v>
      </c>
      <c r="E8581" s="308" t="str">
        <f>IFERROR(__xludf.DUMMYFUNCTION("""COMPUTED_VALUE"""),"B")</f>
        <v>B</v>
      </c>
      <c r="F8581" s="315" t="s">
        <v>26</v>
      </c>
      <c r="G8581" s="308"/>
      <c r="H8581" s="308" t="s">
        <v>40326</v>
      </c>
      <c r="I8581" s="314">
        <v>41381.0</v>
      </c>
      <c r="J8581" s="319">
        <f>IFERROR(__xludf.DUMMYFUNCTION("SPLIT(I8581,""/"")"),17.0)</f>
        <v>17</v>
      </c>
      <c r="K8581" s="308">
        <f>IFERROR(__xludf.DUMMYFUNCTION("""COMPUTED_VALUE"""),4.0)</f>
        <v>4</v>
      </c>
      <c r="L8581" s="308">
        <f>IFERROR(__xludf.DUMMYFUNCTION("""COMPUTED_VALUE"""),2013.0)</f>
        <v>2013</v>
      </c>
      <c r="M8581" s="308" t="s">
        <v>33714</v>
      </c>
      <c r="N8581" s="308" t="s">
        <v>439</v>
      </c>
      <c r="O8581" s="308"/>
      <c r="P8581" s="308" t="s">
        <v>40327</v>
      </c>
      <c r="Q8581" s="308">
        <v>44665.0</v>
      </c>
      <c r="R8581" s="308" t="s">
        <v>32774</v>
      </c>
      <c r="S8581" s="308" t="s">
        <v>81</v>
      </c>
      <c r="T8581" s="311" t="s">
        <v>96</v>
      </c>
      <c r="U8581" s="308" t="s">
        <v>27</v>
      </c>
      <c r="V8581" s="308"/>
    </row>
    <row r="8582">
      <c r="A8582" s="308"/>
      <c r="B8582" s="308"/>
      <c r="C8582" s="308" t="s">
        <v>33779</v>
      </c>
      <c r="D8582" s="308">
        <f>IFERROR(__xludf.DUMMYFUNCTION("SPLIT(C8582,""-"")"),8602.0)</f>
        <v>8602</v>
      </c>
      <c r="E8582" s="308" t="str">
        <f>IFERROR(__xludf.DUMMYFUNCTION("""COMPUTED_VALUE"""),"B")</f>
        <v>B</v>
      </c>
      <c r="F8582" s="315" t="s">
        <v>26</v>
      </c>
      <c r="G8582" s="308"/>
      <c r="H8582" s="308" t="s">
        <v>16253</v>
      </c>
      <c r="I8582" s="314">
        <v>41381.0</v>
      </c>
      <c r="J8582" s="319">
        <f>IFERROR(__xludf.DUMMYFUNCTION("SPLIT(I8582,""/"")"),17.0)</f>
        <v>17</v>
      </c>
      <c r="K8582" s="308">
        <f>IFERROR(__xludf.DUMMYFUNCTION("""COMPUTED_VALUE"""),4.0)</f>
        <v>4</v>
      </c>
      <c r="L8582" s="308">
        <f>IFERROR(__xludf.DUMMYFUNCTION("""COMPUTED_VALUE"""),2013.0)</f>
        <v>2013</v>
      </c>
      <c r="M8582" s="308" t="s">
        <v>33714</v>
      </c>
      <c r="N8582" s="308" t="s">
        <v>439</v>
      </c>
      <c r="O8582" s="308"/>
      <c r="P8582" s="308" t="s">
        <v>40328</v>
      </c>
      <c r="Q8582" s="308">
        <v>44665.0</v>
      </c>
      <c r="R8582" s="308" t="s">
        <v>32774</v>
      </c>
      <c r="S8582" s="308" t="s">
        <v>81</v>
      </c>
      <c r="T8582" s="311" t="s">
        <v>96</v>
      </c>
      <c r="U8582" s="308" t="s">
        <v>27</v>
      </c>
      <c r="V8582" s="308"/>
    </row>
    <row r="8583">
      <c r="A8583" s="308"/>
      <c r="B8583" s="308"/>
      <c r="C8583" s="308" t="s">
        <v>33781</v>
      </c>
      <c r="D8583" s="308">
        <f>IFERROR(__xludf.DUMMYFUNCTION("SPLIT(C8583,""-"")"),8603.0)</f>
        <v>8603</v>
      </c>
      <c r="E8583" s="308" t="str">
        <f>IFERROR(__xludf.DUMMYFUNCTION("""COMPUTED_VALUE"""),"B")</f>
        <v>B</v>
      </c>
      <c r="F8583" s="315" t="s">
        <v>26</v>
      </c>
      <c r="G8583" s="308"/>
      <c r="H8583" s="308" t="s">
        <v>33782</v>
      </c>
      <c r="I8583" s="310">
        <v>41311.0</v>
      </c>
      <c r="J8583" s="319">
        <f>IFERROR(__xludf.DUMMYFUNCTION("SPLIT(I8583,""/"")"),6.0)</f>
        <v>6</v>
      </c>
      <c r="K8583" s="308">
        <f>IFERROR(__xludf.DUMMYFUNCTION("""COMPUTED_VALUE"""),2.0)</f>
        <v>2</v>
      </c>
      <c r="L8583" s="308">
        <f>IFERROR(__xludf.DUMMYFUNCTION("""COMPUTED_VALUE"""),2013.0)</f>
        <v>2013</v>
      </c>
      <c r="M8583" s="308" t="s">
        <v>33731</v>
      </c>
      <c r="N8583" s="308" t="s">
        <v>439</v>
      </c>
      <c r="O8583" s="308"/>
      <c r="P8583" s="308" t="s">
        <v>40329</v>
      </c>
      <c r="Q8583" s="308">
        <v>44665.0</v>
      </c>
      <c r="R8583" s="308" t="s">
        <v>32774</v>
      </c>
      <c r="S8583" s="308" t="s">
        <v>81</v>
      </c>
      <c r="T8583" s="311" t="s">
        <v>96</v>
      </c>
      <c r="U8583" s="308" t="s">
        <v>27</v>
      </c>
      <c r="V8583" s="308"/>
    </row>
    <row r="8584">
      <c r="A8584" s="308"/>
      <c r="B8584" s="308"/>
      <c r="C8584" s="308" t="s">
        <v>33784</v>
      </c>
      <c r="D8584" s="308">
        <f>IFERROR(__xludf.DUMMYFUNCTION("SPLIT(C8584,""-"")"),8604.0)</f>
        <v>8604</v>
      </c>
      <c r="E8584" s="308" t="str">
        <f>IFERROR(__xludf.DUMMYFUNCTION("""COMPUTED_VALUE"""),"B")</f>
        <v>B</v>
      </c>
      <c r="F8584" s="315" t="s">
        <v>26</v>
      </c>
      <c r="G8584" s="308"/>
      <c r="H8584" s="308" t="s">
        <v>33785</v>
      </c>
      <c r="I8584" s="310">
        <v>41311.0</v>
      </c>
      <c r="J8584" s="319">
        <f>IFERROR(__xludf.DUMMYFUNCTION("SPLIT(I8584,""/"")"),6.0)</f>
        <v>6</v>
      </c>
      <c r="K8584" s="308">
        <f>IFERROR(__xludf.DUMMYFUNCTION("""COMPUTED_VALUE"""),2.0)</f>
        <v>2</v>
      </c>
      <c r="L8584" s="308">
        <f>IFERROR(__xludf.DUMMYFUNCTION("""COMPUTED_VALUE"""),2013.0)</f>
        <v>2013</v>
      </c>
      <c r="M8584" s="308" t="s">
        <v>33731</v>
      </c>
      <c r="N8584" s="308" t="s">
        <v>439</v>
      </c>
      <c r="O8584" s="308"/>
      <c r="P8584" s="308" t="s">
        <v>40330</v>
      </c>
      <c r="Q8584" s="308">
        <v>44665.0</v>
      </c>
      <c r="R8584" s="308" t="s">
        <v>32774</v>
      </c>
      <c r="S8584" s="308" t="s">
        <v>81</v>
      </c>
      <c r="T8584" s="311" t="s">
        <v>96</v>
      </c>
      <c r="U8584" s="308" t="s">
        <v>27</v>
      </c>
      <c r="V8584" s="308"/>
    </row>
    <row r="8585">
      <c r="A8585" s="308"/>
      <c r="B8585" s="308"/>
      <c r="C8585" s="308" t="s">
        <v>33787</v>
      </c>
      <c r="D8585" s="308">
        <f>IFERROR(__xludf.DUMMYFUNCTION("SPLIT(C8585,""-"")"),8605.0)</f>
        <v>8605</v>
      </c>
      <c r="E8585" s="308" t="str">
        <f>IFERROR(__xludf.DUMMYFUNCTION("""COMPUTED_VALUE"""),"B")</f>
        <v>B</v>
      </c>
      <c r="F8585" s="315" t="s">
        <v>26</v>
      </c>
      <c r="G8585" s="308"/>
      <c r="H8585" s="308" t="s">
        <v>33788</v>
      </c>
      <c r="I8585" s="310">
        <v>41311.0</v>
      </c>
      <c r="J8585" s="319">
        <f>IFERROR(__xludf.DUMMYFUNCTION("SPLIT(I8585,""/"")"),6.0)</f>
        <v>6</v>
      </c>
      <c r="K8585" s="308">
        <f>IFERROR(__xludf.DUMMYFUNCTION("""COMPUTED_VALUE"""),2.0)</f>
        <v>2</v>
      </c>
      <c r="L8585" s="308">
        <f>IFERROR(__xludf.DUMMYFUNCTION("""COMPUTED_VALUE"""),2013.0)</f>
        <v>2013</v>
      </c>
      <c r="M8585" s="308" t="s">
        <v>33731</v>
      </c>
      <c r="N8585" s="308" t="s">
        <v>439</v>
      </c>
      <c r="O8585" s="308"/>
      <c r="P8585" s="308" t="s">
        <v>40331</v>
      </c>
      <c r="Q8585" s="308">
        <v>44665.0</v>
      </c>
      <c r="R8585" s="308" t="s">
        <v>32774</v>
      </c>
      <c r="S8585" s="308" t="s">
        <v>81</v>
      </c>
      <c r="T8585" s="311" t="s">
        <v>96</v>
      </c>
      <c r="U8585" s="308" t="s">
        <v>27</v>
      </c>
      <c r="V8585" s="308"/>
    </row>
    <row r="8586">
      <c r="A8586" s="308"/>
      <c r="B8586" s="308"/>
      <c r="C8586" s="308" t="s">
        <v>33790</v>
      </c>
      <c r="D8586" s="308">
        <f>IFERROR(__xludf.DUMMYFUNCTION("SPLIT(C8586,""-"")"),8606.0)</f>
        <v>8606</v>
      </c>
      <c r="E8586" s="308" t="str">
        <f>IFERROR(__xludf.DUMMYFUNCTION("""COMPUTED_VALUE"""),"B")</f>
        <v>B</v>
      </c>
      <c r="F8586" s="315" t="s">
        <v>26</v>
      </c>
      <c r="G8586" s="308"/>
      <c r="H8586" s="308" t="s">
        <v>33791</v>
      </c>
      <c r="I8586" s="310">
        <v>41311.0</v>
      </c>
      <c r="J8586" s="319">
        <f>IFERROR(__xludf.DUMMYFUNCTION("SPLIT(I8586,""/"")"),6.0)</f>
        <v>6</v>
      </c>
      <c r="K8586" s="308">
        <f>IFERROR(__xludf.DUMMYFUNCTION("""COMPUTED_VALUE"""),2.0)</f>
        <v>2</v>
      </c>
      <c r="L8586" s="308">
        <f>IFERROR(__xludf.DUMMYFUNCTION("""COMPUTED_VALUE"""),2013.0)</f>
        <v>2013</v>
      </c>
      <c r="M8586" s="308" t="s">
        <v>33731</v>
      </c>
      <c r="N8586" s="308" t="s">
        <v>439</v>
      </c>
      <c r="O8586" s="308"/>
      <c r="P8586" s="308" t="s">
        <v>40332</v>
      </c>
      <c r="Q8586" s="308">
        <v>44665.0</v>
      </c>
      <c r="R8586" s="308" t="s">
        <v>32774</v>
      </c>
      <c r="S8586" s="308" t="s">
        <v>81</v>
      </c>
      <c r="T8586" s="311" t="s">
        <v>96</v>
      </c>
      <c r="U8586" s="308" t="s">
        <v>27</v>
      </c>
      <c r="V8586" s="308"/>
    </row>
    <row r="8587">
      <c r="A8587" s="308"/>
      <c r="B8587" s="308"/>
      <c r="C8587" s="308" t="s">
        <v>33793</v>
      </c>
      <c r="D8587" s="308">
        <f>IFERROR(__xludf.DUMMYFUNCTION("SPLIT(C8587,""-"")"),8607.0)</f>
        <v>8607</v>
      </c>
      <c r="E8587" s="308" t="str">
        <f>IFERROR(__xludf.DUMMYFUNCTION("""COMPUTED_VALUE"""),"B")</f>
        <v>B</v>
      </c>
      <c r="F8587" s="315" t="s">
        <v>26</v>
      </c>
      <c r="G8587" s="308"/>
      <c r="H8587" s="308" t="s">
        <v>33794</v>
      </c>
      <c r="I8587" s="310">
        <v>41311.0</v>
      </c>
      <c r="J8587" s="319">
        <f>IFERROR(__xludf.DUMMYFUNCTION("SPLIT(I8587,""/"")"),6.0)</f>
        <v>6</v>
      </c>
      <c r="K8587" s="308">
        <f>IFERROR(__xludf.DUMMYFUNCTION("""COMPUTED_VALUE"""),2.0)</f>
        <v>2</v>
      </c>
      <c r="L8587" s="308">
        <f>IFERROR(__xludf.DUMMYFUNCTION("""COMPUTED_VALUE"""),2013.0)</f>
        <v>2013</v>
      </c>
      <c r="M8587" s="308" t="s">
        <v>33731</v>
      </c>
      <c r="N8587" s="308" t="s">
        <v>439</v>
      </c>
      <c r="O8587" s="308"/>
      <c r="P8587" s="308" t="s">
        <v>40333</v>
      </c>
      <c r="Q8587" s="308">
        <v>44665.0</v>
      </c>
      <c r="R8587" s="308" t="s">
        <v>32774</v>
      </c>
      <c r="S8587" s="308" t="s">
        <v>81</v>
      </c>
      <c r="T8587" s="311" t="s">
        <v>96</v>
      </c>
      <c r="U8587" s="308" t="s">
        <v>27</v>
      </c>
      <c r="V8587" s="308"/>
    </row>
    <row r="8588">
      <c r="A8588" s="308"/>
      <c r="B8588" s="308"/>
      <c r="C8588" s="308" t="s">
        <v>33796</v>
      </c>
      <c r="D8588" s="308">
        <f>IFERROR(__xludf.DUMMYFUNCTION("SPLIT(C8588,""-"")"),8608.0)</f>
        <v>8608</v>
      </c>
      <c r="E8588" s="308" t="str">
        <f>IFERROR(__xludf.DUMMYFUNCTION("""COMPUTED_VALUE"""),"B")</f>
        <v>B</v>
      </c>
      <c r="F8588" s="315" t="s">
        <v>26</v>
      </c>
      <c r="G8588" s="308"/>
      <c r="H8588" s="308" t="s">
        <v>33797</v>
      </c>
      <c r="I8588" s="310">
        <v>41403.0</v>
      </c>
      <c r="J8588" s="319">
        <f>IFERROR(__xludf.DUMMYFUNCTION("SPLIT(I8588,""/"")"),9.0)</f>
        <v>9</v>
      </c>
      <c r="K8588" s="308">
        <f>IFERROR(__xludf.DUMMYFUNCTION("""COMPUTED_VALUE"""),5.0)</f>
        <v>5</v>
      </c>
      <c r="L8588" s="308">
        <f>IFERROR(__xludf.DUMMYFUNCTION("""COMPUTED_VALUE"""),2013.0)</f>
        <v>2013</v>
      </c>
      <c r="M8588" s="308" t="s">
        <v>33798</v>
      </c>
      <c r="N8588" s="308" t="s">
        <v>439</v>
      </c>
      <c r="O8588" s="308"/>
      <c r="P8588" s="308" t="s">
        <v>40334</v>
      </c>
      <c r="Q8588" s="308">
        <v>44665.0</v>
      </c>
      <c r="R8588" s="308" t="s">
        <v>32774</v>
      </c>
      <c r="S8588" s="308" t="s">
        <v>81</v>
      </c>
      <c r="T8588" s="311" t="s">
        <v>96</v>
      </c>
      <c r="U8588" s="308" t="s">
        <v>27</v>
      </c>
      <c r="V8588" s="308"/>
    </row>
    <row r="8589">
      <c r="A8589" s="308"/>
      <c r="B8589" s="308"/>
      <c r="C8589" s="308" t="s">
        <v>33800</v>
      </c>
      <c r="D8589" s="308">
        <f>IFERROR(__xludf.DUMMYFUNCTION("SPLIT(C8589,""-"")"),8609.0)</f>
        <v>8609</v>
      </c>
      <c r="E8589" s="308" t="str">
        <f>IFERROR(__xludf.DUMMYFUNCTION("""COMPUTED_VALUE"""),"B")</f>
        <v>B</v>
      </c>
      <c r="F8589" s="315" t="s">
        <v>26</v>
      </c>
      <c r="G8589" s="308"/>
      <c r="H8589" s="308" t="s">
        <v>33801</v>
      </c>
      <c r="I8589" s="310">
        <v>41403.0</v>
      </c>
      <c r="J8589" s="319">
        <f>IFERROR(__xludf.DUMMYFUNCTION("SPLIT(I8589,""/"")"),9.0)</f>
        <v>9</v>
      </c>
      <c r="K8589" s="308">
        <f>IFERROR(__xludf.DUMMYFUNCTION("""COMPUTED_VALUE"""),5.0)</f>
        <v>5</v>
      </c>
      <c r="L8589" s="308">
        <f>IFERROR(__xludf.DUMMYFUNCTION("""COMPUTED_VALUE"""),2013.0)</f>
        <v>2013</v>
      </c>
      <c r="M8589" s="308" t="s">
        <v>33798</v>
      </c>
      <c r="N8589" s="308" t="s">
        <v>439</v>
      </c>
      <c r="O8589" s="308"/>
      <c r="P8589" s="308" t="s">
        <v>40335</v>
      </c>
      <c r="Q8589" s="308">
        <v>44665.0</v>
      </c>
      <c r="R8589" s="308" t="s">
        <v>32774</v>
      </c>
      <c r="S8589" s="308" t="s">
        <v>81</v>
      </c>
      <c r="T8589" s="311" t="s">
        <v>96</v>
      </c>
      <c r="U8589" s="308" t="s">
        <v>27</v>
      </c>
      <c r="V8589" s="308"/>
    </row>
    <row r="8590">
      <c r="A8590" s="308"/>
      <c r="B8590" s="308"/>
      <c r="C8590" s="308" t="s">
        <v>33803</v>
      </c>
      <c r="D8590" s="308">
        <f>IFERROR(__xludf.DUMMYFUNCTION("SPLIT(C8590,""-"")"),8610.0)</f>
        <v>8610</v>
      </c>
      <c r="E8590" s="308" t="str">
        <f>IFERROR(__xludf.DUMMYFUNCTION("""COMPUTED_VALUE"""),"B")</f>
        <v>B</v>
      </c>
      <c r="F8590" s="315" t="s">
        <v>26</v>
      </c>
      <c r="G8590" s="308"/>
      <c r="H8590" s="308" t="s">
        <v>33804</v>
      </c>
      <c r="I8590" s="310">
        <v>41403.0</v>
      </c>
      <c r="J8590" s="319">
        <f>IFERROR(__xludf.DUMMYFUNCTION("SPLIT(I8590,""/"")"),9.0)</f>
        <v>9</v>
      </c>
      <c r="K8590" s="308">
        <f>IFERROR(__xludf.DUMMYFUNCTION("""COMPUTED_VALUE"""),5.0)</f>
        <v>5</v>
      </c>
      <c r="L8590" s="308">
        <f>IFERROR(__xludf.DUMMYFUNCTION("""COMPUTED_VALUE"""),2013.0)</f>
        <v>2013</v>
      </c>
      <c r="M8590" s="308" t="s">
        <v>33798</v>
      </c>
      <c r="N8590" s="308" t="s">
        <v>439</v>
      </c>
      <c r="O8590" s="308"/>
      <c r="P8590" s="308" t="s">
        <v>40336</v>
      </c>
      <c r="Q8590" s="308">
        <v>44665.0</v>
      </c>
      <c r="R8590" s="308" t="s">
        <v>32774</v>
      </c>
      <c r="S8590" s="308" t="s">
        <v>81</v>
      </c>
      <c r="T8590" s="311" t="s">
        <v>96</v>
      </c>
      <c r="U8590" s="308" t="s">
        <v>27</v>
      </c>
      <c r="V8590" s="308"/>
    </row>
    <row r="8591">
      <c r="A8591" s="308"/>
      <c r="B8591" s="308"/>
      <c r="C8591" s="308" t="s">
        <v>33806</v>
      </c>
      <c r="D8591" s="308">
        <f>IFERROR(__xludf.DUMMYFUNCTION("SPLIT(C8591,""-"")"),8611.0)</f>
        <v>8611</v>
      </c>
      <c r="E8591" s="308" t="str">
        <f>IFERROR(__xludf.DUMMYFUNCTION("""COMPUTED_VALUE"""),"B")</f>
        <v>B</v>
      </c>
      <c r="F8591" s="315" t="s">
        <v>26</v>
      </c>
      <c r="G8591" s="308"/>
      <c r="H8591" s="308" t="s">
        <v>33807</v>
      </c>
      <c r="I8591" s="310">
        <v>41403.0</v>
      </c>
      <c r="J8591" s="319">
        <f>IFERROR(__xludf.DUMMYFUNCTION("SPLIT(I8591,""/"")"),9.0)</f>
        <v>9</v>
      </c>
      <c r="K8591" s="308">
        <f>IFERROR(__xludf.DUMMYFUNCTION("""COMPUTED_VALUE"""),5.0)</f>
        <v>5</v>
      </c>
      <c r="L8591" s="308">
        <f>IFERROR(__xludf.DUMMYFUNCTION("""COMPUTED_VALUE"""),2013.0)</f>
        <v>2013</v>
      </c>
      <c r="M8591" s="308" t="s">
        <v>33798</v>
      </c>
      <c r="N8591" s="308" t="s">
        <v>439</v>
      </c>
      <c r="O8591" s="308"/>
      <c r="P8591" s="308" t="s">
        <v>40337</v>
      </c>
      <c r="Q8591" s="308">
        <v>44665.0</v>
      </c>
      <c r="R8591" s="308" t="s">
        <v>32774</v>
      </c>
      <c r="S8591" s="308" t="s">
        <v>81</v>
      </c>
      <c r="T8591" s="308" t="s">
        <v>75</v>
      </c>
      <c r="U8591" s="308" t="s">
        <v>27</v>
      </c>
      <c r="V8591" s="308"/>
    </row>
    <row r="8592">
      <c r="A8592" s="308"/>
      <c r="B8592" s="308"/>
      <c r="C8592" s="308" t="s">
        <v>33809</v>
      </c>
      <c r="D8592" s="308">
        <f>IFERROR(__xludf.DUMMYFUNCTION("SPLIT(C8592,""-"")"),8612.0)</f>
        <v>8612</v>
      </c>
      <c r="E8592" s="308" t="str">
        <f>IFERROR(__xludf.DUMMYFUNCTION("""COMPUTED_VALUE"""),"B")</f>
        <v>B</v>
      </c>
      <c r="F8592" s="315" t="s">
        <v>26</v>
      </c>
      <c r="G8592" s="308"/>
      <c r="H8592" s="308" t="s">
        <v>33810</v>
      </c>
      <c r="I8592" s="310">
        <v>41403.0</v>
      </c>
      <c r="J8592" s="319">
        <f>IFERROR(__xludf.DUMMYFUNCTION("SPLIT(I8592,""/"")"),9.0)</f>
        <v>9</v>
      </c>
      <c r="K8592" s="308">
        <f>IFERROR(__xludf.DUMMYFUNCTION("""COMPUTED_VALUE"""),5.0)</f>
        <v>5</v>
      </c>
      <c r="L8592" s="308">
        <f>IFERROR(__xludf.DUMMYFUNCTION("""COMPUTED_VALUE"""),2013.0)</f>
        <v>2013</v>
      </c>
      <c r="M8592" s="308" t="s">
        <v>33798</v>
      </c>
      <c r="N8592" s="308" t="s">
        <v>439</v>
      </c>
      <c r="O8592" s="308"/>
      <c r="P8592" s="308" t="s">
        <v>40338</v>
      </c>
      <c r="Q8592" s="308">
        <v>44665.0</v>
      </c>
      <c r="R8592" s="308" t="s">
        <v>32774</v>
      </c>
      <c r="S8592" s="308" t="s">
        <v>81</v>
      </c>
      <c r="T8592" s="311" t="s">
        <v>96</v>
      </c>
      <c r="U8592" s="308" t="s">
        <v>27</v>
      </c>
      <c r="V8592" s="308"/>
    </row>
    <row r="8593">
      <c r="A8593" s="308"/>
      <c r="B8593" s="308"/>
      <c r="C8593" s="308" t="s">
        <v>33812</v>
      </c>
      <c r="D8593" s="308">
        <f>IFERROR(__xludf.DUMMYFUNCTION("SPLIT(C8593,""-"")"),8613.0)</f>
        <v>8613</v>
      </c>
      <c r="E8593" s="308" t="str">
        <f>IFERROR(__xludf.DUMMYFUNCTION("""COMPUTED_VALUE"""),"B")</f>
        <v>B</v>
      </c>
      <c r="F8593" s="315" t="s">
        <v>26</v>
      </c>
      <c r="G8593" s="308"/>
      <c r="H8593" s="308" t="s">
        <v>33813</v>
      </c>
      <c r="I8593" s="310">
        <v>41403.0</v>
      </c>
      <c r="J8593" s="319">
        <f>IFERROR(__xludf.DUMMYFUNCTION("SPLIT(I8593,""/"")"),9.0)</f>
        <v>9</v>
      </c>
      <c r="K8593" s="308">
        <f>IFERROR(__xludf.DUMMYFUNCTION("""COMPUTED_VALUE"""),5.0)</f>
        <v>5</v>
      </c>
      <c r="L8593" s="308">
        <f>IFERROR(__xludf.DUMMYFUNCTION("""COMPUTED_VALUE"""),2013.0)</f>
        <v>2013</v>
      </c>
      <c r="M8593" s="308" t="s">
        <v>33798</v>
      </c>
      <c r="N8593" s="308" t="s">
        <v>439</v>
      </c>
      <c r="O8593" s="308"/>
      <c r="P8593" s="308" t="s">
        <v>40339</v>
      </c>
      <c r="Q8593" s="308">
        <v>44665.0</v>
      </c>
      <c r="R8593" s="308" t="s">
        <v>32774</v>
      </c>
      <c r="S8593" s="308" t="s">
        <v>81</v>
      </c>
      <c r="T8593" s="311" t="s">
        <v>96</v>
      </c>
      <c r="U8593" s="308" t="s">
        <v>27</v>
      </c>
      <c r="V8593" s="308"/>
    </row>
    <row r="8594">
      <c r="A8594" s="308"/>
      <c r="B8594" s="308"/>
      <c r="C8594" s="308" t="s">
        <v>33815</v>
      </c>
      <c r="D8594" s="308">
        <f>IFERROR(__xludf.DUMMYFUNCTION("SPLIT(C8594,""-"")"),8614.0)</f>
        <v>8614</v>
      </c>
      <c r="E8594" s="308" t="str">
        <f>IFERROR(__xludf.DUMMYFUNCTION("""COMPUTED_VALUE"""),"B")</f>
        <v>B</v>
      </c>
      <c r="F8594" s="315" t="s">
        <v>26</v>
      </c>
      <c r="G8594" s="308"/>
      <c r="H8594" s="308" t="s">
        <v>33816</v>
      </c>
      <c r="I8594" s="310">
        <v>41403.0</v>
      </c>
      <c r="J8594" s="319">
        <f>IFERROR(__xludf.DUMMYFUNCTION("SPLIT(I8594,""/"")"),9.0)</f>
        <v>9</v>
      </c>
      <c r="K8594" s="308">
        <f>IFERROR(__xludf.DUMMYFUNCTION("""COMPUTED_VALUE"""),5.0)</f>
        <v>5</v>
      </c>
      <c r="L8594" s="308">
        <f>IFERROR(__xludf.DUMMYFUNCTION("""COMPUTED_VALUE"""),2013.0)</f>
        <v>2013</v>
      </c>
      <c r="M8594" s="308" t="s">
        <v>33817</v>
      </c>
      <c r="N8594" s="308" t="s">
        <v>439</v>
      </c>
      <c r="O8594" s="308"/>
      <c r="P8594" s="308" t="s">
        <v>40340</v>
      </c>
      <c r="Q8594" s="308">
        <v>44665.0</v>
      </c>
      <c r="R8594" s="308" t="s">
        <v>32774</v>
      </c>
      <c r="S8594" s="308" t="s">
        <v>81</v>
      </c>
      <c r="T8594" s="311" t="s">
        <v>96</v>
      </c>
      <c r="U8594" s="308" t="s">
        <v>27</v>
      </c>
      <c r="V8594" s="308"/>
    </row>
    <row r="8595">
      <c r="A8595" s="308"/>
      <c r="B8595" s="308"/>
      <c r="C8595" s="308" t="s">
        <v>33819</v>
      </c>
      <c r="D8595" s="308">
        <f>IFERROR(__xludf.DUMMYFUNCTION("SPLIT(C8595,""-"")"),8615.0)</f>
        <v>8615</v>
      </c>
      <c r="E8595" s="308" t="str">
        <f>IFERROR(__xludf.DUMMYFUNCTION("""COMPUTED_VALUE"""),"B")</f>
        <v>B</v>
      </c>
      <c r="F8595" s="315" t="s">
        <v>26</v>
      </c>
      <c r="G8595" s="308"/>
      <c r="H8595" s="308" t="s">
        <v>33820</v>
      </c>
      <c r="I8595" s="310">
        <v>41403.0</v>
      </c>
      <c r="J8595" s="319">
        <f>IFERROR(__xludf.DUMMYFUNCTION("SPLIT(I8595,""/"")"),9.0)</f>
        <v>9</v>
      </c>
      <c r="K8595" s="308">
        <f>IFERROR(__xludf.DUMMYFUNCTION("""COMPUTED_VALUE"""),5.0)</f>
        <v>5</v>
      </c>
      <c r="L8595" s="308">
        <f>IFERROR(__xludf.DUMMYFUNCTION("""COMPUTED_VALUE"""),2013.0)</f>
        <v>2013</v>
      </c>
      <c r="M8595" s="308" t="s">
        <v>33817</v>
      </c>
      <c r="N8595" s="308" t="s">
        <v>439</v>
      </c>
      <c r="O8595" s="308"/>
      <c r="P8595" s="308" t="s">
        <v>40341</v>
      </c>
      <c r="Q8595" s="308">
        <v>44665.0</v>
      </c>
      <c r="R8595" s="308" t="s">
        <v>32774</v>
      </c>
      <c r="S8595" s="308" t="s">
        <v>81</v>
      </c>
      <c r="T8595" s="311" t="s">
        <v>96</v>
      </c>
      <c r="U8595" s="308" t="s">
        <v>27</v>
      </c>
      <c r="V8595" s="308"/>
    </row>
    <row r="8596">
      <c r="A8596" s="308"/>
      <c r="B8596" s="308"/>
      <c r="C8596" s="308" t="s">
        <v>33822</v>
      </c>
      <c r="D8596" s="308">
        <f>IFERROR(__xludf.DUMMYFUNCTION("SPLIT(C8596,""-"")"),8616.0)</f>
        <v>8616</v>
      </c>
      <c r="E8596" s="308" t="str">
        <f>IFERROR(__xludf.DUMMYFUNCTION("""COMPUTED_VALUE"""),"B")</f>
        <v>B</v>
      </c>
      <c r="F8596" s="315" t="s">
        <v>26</v>
      </c>
      <c r="G8596" s="308"/>
      <c r="H8596" s="308" t="s">
        <v>33823</v>
      </c>
      <c r="I8596" s="310">
        <v>42965.0</v>
      </c>
      <c r="J8596" s="319">
        <f>IFERROR(__xludf.DUMMYFUNCTION("SPLIT(I8596,""/"")"),18.0)</f>
        <v>18</v>
      </c>
      <c r="K8596" s="308">
        <f>IFERROR(__xludf.DUMMYFUNCTION("""COMPUTED_VALUE"""),8.0)</f>
        <v>8</v>
      </c>
      <c r="L8596" s="308">
        <f>IFERROR(__xludf.DUMMYFUNCTION("""COMPUTED_VALUE"""),2017.0)</f>
        <v>2017</v>
      </c>
      <c r="M8596" s="308" t="s">
        <v>33824</v>
      </c>
      <c r="N8596" s="308" t="s">
        <v>439</v>
      </c>
      <c r="O8596" s="308"/>
      <c r="P8596" s="308" t="s">
        <v>40342</v>
      </c>
      <c r="Q8596" s="308">
        <v>44665.0</v>
      </c>
      <c r="R8596" s="308" t="s">
        <v>32774</v>
      </c>
      <c r="S8596" s="308" t="s">
        <v>81</v>
      </c>
      <c r="T8596" s="311" t="s">
        <v>96</v>
      </c>
      <c r="U8596" s="308" t="s">
        <v>27</v>
      </c>
      <c r="V8596" s="308"/>
    </row>
    <row r="8597">
      <c r="A8597" s="308"/>
      <c r="B8597" s="308"/>
      <c r="C8597" s="308" t="s">
        <v>33826</v>
      </c>
      <c r="D8597" s="308">
        <f>IFERROR(__xludf.DUMMYFUNCTION("SPLIT(C8597,""-"")"),8617.0)</f>
        <v>8617</v>
      </c>
      <c r="E8597" s="308" t="str">
        <f>IFERROR(__xludf.DUMMYFUNCTION("""COMPUTED_VALUE"""),"B")</f>
        <v>B</v>
      </c>
      <c r="F8597" s="315" t="s">
        <v>26</v>
      </c>
      <c r="G8597" s="308"/>
      <c r="H8597" s="308" t="s">
        <v>33827</v>
      </c>
      <c r="I8597" s="310">
        <v>42965.0</v>
      </c>
      <c r="J8597" s="319">
        <f>IFERROR(__xludf.DUMMYFUNCTION("SPLIT(I8597,""/"")"),18.0)</f>
        <v>18</v>
      </c>
      <c r="K8597" s="308">
        <f>IFERROR(__xludf.DUMMYFUNCTION("""COMPUTED_VALUE"""),8.0)</f>
        <v>8</v>
      </c>
      <c r="L8597" s="308">
        <f>IFERROR(__xludf.DUMMYFUNCTION("""COMPUTED_VALUE"""),2017.0)</f>
        <v>2017</v>
      </c>
      <c r="M8597" s="308" t="s">
        <v>33828</v>
      </c>
      <c r="N8597" s="308" t="s">
        <v>439</v>
      </c>
      <c r="O8597" s="308"/>
      <c r="P8597" s="308" t="s">
        <v>40343</v>
      </c>
      <c r="Q8597" s="308">
        <v>44665.0</v>
      </c>
      <c r="R8597" s="308" t="s">
        <v>32774</v>
      </c>
      <c r="S8597" s="308" t="s">
        <v>81</v>
      </c>
      <c r="T8597" s="311" t="s">
        <v>96</v>
      </c>
      <c r="U8597" s="308" t="s">
        <v>27</v>
      </c>
      <c r="V8597" s="308"/>
    </row>
    <row r="8598">
      <c r="A8598" s="308"/>
      <c r="B8598" s="308"/>
      <c r="C8598" s="308" t="s">
        <v>33830</v>
      </c>
      <c r="D8598" s="308">
        <f>IFERROR(__xludf.DUMMYFUNCTION("SPLIT(C8598,""-"")"),8618.0)</f>
        <v>8618</v>
      </c>
      <c r="E8598" s="308" t="str">
        <f>IFERROR(__xludf.DUMMYFUNCTION("""COMPUTED_VALUE"""),"B")</f>
        <v>B</v>
      </c>
      <c r="F8598" s="315" t="s">
        <v>26</v>
      </c>
      <c r="G8598" s="308"/>
      <c r="H8598" s="308" t="s">
        <v>33831</v>
      </c>
      <c r="I8598" s="314">
        <v>40166.0</v>
      </c>
      <c r="J8598" s="319">
        <f>IFERROR(__xludf.DUMMYFUNCTION("SPLIT(I8598,""/"")"),19.0)</f>
        <v>19</v>
      </c>
      <c r="K8598" s="308">
        <f>IFERROR(__xludf.DUMMYFUNCTION("""COMPUTED_VALUE"""),12.0)</f>
        <v>12</v>
      </c>
      <c r="L8598" s="308">
        <f>IFERROR(__xludf.DUMMYFUNCTION("""COMPUTED_VALUE"""),2009.0)</f>
        <v>2009</v>
      </c>
      <c r="M8598" s="308" t="s">
        <v>33832</v>
      </c>
      <c r="N8598" s="308" t="s">
        <v>439</v>
      </c>
      <c r="O8598" s="308"/>
      <c r="P8598" s="308" t="s">
        <v>40344</v>
      </c>
      <c r="Q8598" s="308">
        <v>44665.0</v>
      </c>
      <c r="R8598" s="308" t="s">
        <v>32774</v>
      </c>
      <c r="S8598" s="308" t="s">
        <v>81</v>
      </c>
      <c r="T8598" s="311" t="s">
        <v>96</v>
      </c>
      <c r="U8598" s="308" t="s">
        <v>27</v>
      </c>
      <c r="V8598" s="308"/>
    </row>
    <row r="8599">
      <c r="A8599" s="308"/>
      <c r="B8599" s="308"/>
      <c r="C8599" s="308" t="s">
        <v>33834</v>
      </c>
      <c r="D8599" s="308">
        <f>IFERROR(__xludf.DUMMYFUNCTION("SPLIT(C8599,""-"")"),8619.0)</f>
        <v>8619</v>
      </c>
      <c r="E8599" s="308" t="str">
        <f>IFERROR(__xludf.DUMMYFUNCTION("""COMPUTED_VALUE"""),"B")</f>
        <v>B</v>
      </c>
      <c r="F8599" s="315" t="s">
        <v>26</v>
      </c>
      <c r="G8599" s="308"/>
      <c r="H8599" s="308" t="s">
        <v>33835</v>
      </c>
      <c r="I8599" s="314">
        <v>40470.0</v>
      </c>
      <c r="J8599" s="319">
        <f>IFERROR(__xludf.DUMMYFUNCTION("SPLIT(I8599,""/"")"),19.0)</f>
        <v>19</v>
      </c>
      <c r="K8599" s="308">
        <f>IFERROR(__xludf.DUMMYFUNCTION("""COMPUTED_VALUE"""),10.0)</f>
        <v>10</v>
      </c>
      <c r="L8599" s="308">
        <f>IFERROR(__xludf.DUMMYFUNCTION("""COMPUTED_VALUE"""),2010.0)</f>
        <v>2010</v>
      </c>
      <c r="M8599" s="308" t="s">
        <v>33836</v>
      </c>
      <c r="N8599" s="308" t="s">
        <v>439</v>
      </c>
      <c r="O8599" s="308"/>
      <c r="P8599" s="308" t="s">
        <v>40345</v>
      </c>
      <c r="Q8599" s="308">
        <v>44665.0</v>
      </c>
      <c r="R8599" s="308" t="s">
        <v>32774</v>
      </c>
      <c r="S8599" s="308" t="s">
        <v>81</v>
      </c>
      <c r="T8599" s="311" t="s">
        <v>96</v>
      </c>
      <c r="U8599" s="308" t="s">
        <v>27</v>
      </c>
      <c r="V8599" s="308"/>
    </row>
    <row r="8600">
      <c r="A8600" s="308"/>
      <c r="B8600" s="308"/>
      <c r="C8600" s="308" t="s">
        <v>33838</v>
      </c>
      <c r="D8600" s="308">
        <f>IFERROR(__xludf.DUMMYFUNCTION("SPLIT(C8600,""-"")"),8620.0)</f>
        <v>8620</v>
      </c>
      <c r="E8600" s="308" t="str">
        <f>IFERROR(__xludf.DUMMYFUNCTION("""COMPUTED_VALUE"""),"K")</f>
        <v>K</v>
      </c>
      <c r="F8600" s="309" t="s">
        <v>34</v>
      </c>
      <c r="G8600" s="308"/>
      <c r="H8600" s="308" t="s">
        <v>33839</v>
      </c>
      <c r="I8600" s="310">
        <v>44405.0</v>
      </c>
      <c r="J8600" s="319">
        <f>IFERROR(__xludf.DUMMYFUNCTION("SPLIT(I8600,""/"")"),28.0)</f>
        <v>28</v>
      </c>
      <c r="K8600" s="308">
        <f>IFERROR(__xludf.DUMMYFUNCTION("""COMPUTED_VALUE"""),7.0)</f>
        <v>7</v>
      </c>
      <c r="L8600" s="308">
        <f>IFERROR(__xludf.DUMMYFUNCTION("""COMPUTED_VALUE"""),2021.0)</f>
        <v>2021</v>
      </c>
      <c r="M8600" s="308" t="s">
        <v>33840</v>
      </c>
      <c r="N8600" s="308" t="s">
        <v>33841</v>
      </c>
      <c r="O8600" s="308"/>
      <c r="P8600" s="308" t="s">
        <v>136</v>
      </c>
      <c r="Q8600" s="308">
        <v>44671.0</v>
      </c>
      <c r="R8600" s="308" t="s">
        <v>2743</v>
      </c>
      <c r="S8600" s="315" t="s">
        <v>100</v>
      </c>
      <c r="T8600" s="308" t="s">
        <v>34208</v>
      </c>
      <c r="U8600" s="308" t="s">
        <v>125</v>
      </c>
      <c r="V8600" s="308"/>
    </row>
    <row r="8601">
      <c r="A8601" s="308"/>
      <c r="B8601" s="308"/>
      <c r="C8601" s="308" t="s">
        <v>33842</v>
      </c>
      <c r="D8601" s="308">
        <f>IFERROR(__xludf.DUMMYFUNCTION("SPLIT(C8601,""-"")"),8621.0)</f>
        <v>8621</v>
      </c>
      <c r="E8601" s="308" t="str">
        <f>IFERROR(__xludf.DUMMYFUNCTION("""COMPUTED_VALUE"""),"K")</f>
        <v>K</v>
      </c>
      <c r="F8601" s="309" t="s">
        <v>34</v>
      </c>
      <c r="G8601" s="308"/>
      <c r="H8601" s="308" t="s">
        <v>33843</v>
      </c>
      <c r="I8601" s="310">
        <v>44667.0</v>
      </c>
      <c r="J8601" s="319">
        <f>IFERROR(__xludf.DUMMYFUNCTION("SPLIT(I8601,""/"")"),16.0)</f>
        <v>16</v>
      </c>
      <c r="K8601" s="308">
        <f>IFERROR(__xludf.DUMMYFUNCTION("""COMPUTED_VALUE"""),4.0)</f>
        <v>4</v>
      </c>
      <c r="L8601" s="308">
        <f>IFERROR(__xludf.DUMMYFUNCTION("""COMPUTED_VALUE"""),2022.0)</f>
        <v>2022</v>
      </c>
      <c r="M8601" s="308" t="s">
        <v>33844</v>
      </c>
      <c r="N8601" s="308" t="s">
        <v>33845</v>
      </c>
      <c r="O8601" s="308"/>
      <c r="P8601" s="308" t="s">
        <v>136</v>
      </c>
      <c r="Q8601" s="308">
        <v>44672.0</v>
      </c>
      <c r="R8601" s="308" t="s">
        <v>2743</v>
      </c>
      <c r="S8601" s="315" t="s">
        <v>100</v>
      </c>
      <c r="T8601" s="308" t="s">
        <v>34208</v>
      </c>
      <c r="U8601" s="308" t="s">
        <v>13085</v>
      </c>
      <c r="V8601" s="308"/>
    </row>
    <row r="8602">
      <c r="A8602" s="308"/>
      <c r="B8602" s="308"/>
      <c r="C8602" s="308" t="s">
        <v>33846</v>
      </c>
      <c r="D8602" s="308">
        <f>IFERROR(__xludf.DUMMYFUNCTION("SPLIT(C8602,""-"")"),8622.0)</f>
        <v>8622</v>
      </c>
      <c r="E8602" s="308" t="str">
        <f>IFERROR(__xludf.DUMMYFUNCTION("""COMPUTED_VALUE"""),"K")</f>
        <v>K</v>
      </c>
      <c r="F8602" s="309" t="s">
        <v>34</v>
      </c>
      <c r="G8602" s="308"/>
      <c r="H8602" s="308" t="s">
        <v>33847</v>
      </c>
      <c r="I8602" s="310">
        <v>44667.0</v>
      </c>
      <c r="J8602" s="319">
        <f>IFERROR(__xludf.DUMMYFUNCTION("SPLIT(I8602,""/"")"),16.0)</f>
        <v>16</v>
      </c>
      <c r="K8602" s="308">
        <f>IFERROR(__xludf.DUMMYFUNCTION("""COMPUTED_VALUE"""),4.0)</f>
        <v>4</v>
      </c>
      <c r="L8602" s="308">
        <f>IFERROR(__xludf.DUMMYFUNCTION("""COMPUTED_VALUE"""),2022.0)</f>
        <v>2022</v>
      </c>
      <c r="M8602" s="308" t="s">
        <v>33848</v>
      </c>
      <c r="N8602" s="308" t="s">
        <v>33849</v>
      </c>
      <c r="O8602" s="308"/>
      <c r="P8602" s="308" t="s">
        <v>136</v>
      </c>
      <c r="Q8602" s="308">
        <v>44672.0</v>
      </c>
      <c r="R8602" s="308" t="s">
        <v>2743</v>
      </c>
      <c r="S8602" s="315" t="s">
        <v>100</v>
      </c>
      <c r="T8602" s="308" t="s">
        <v>34208</v>
      </c>
      <c r="U8602" s="308" t="s">
        <v>13085</v>
      </c>
      <c r="V8602" s="308"/>
    </row>
    <row r="8603">
      <c r="A8603" s="308"/>
      <c r="B8603" s="308"/>
      <c r="C8603" s="308" t="s">
        <v>33850</v>
      </c>
      <c r="D8603" s="308">
        <f>IFERROR(__xludf.DUMMYFUNCTION("SPLIT(C8603,""-"")"),8623.0)</f>
        <v>8623</v>
      </c>
      <c r="E8603" s="308" t="str">
        <f>IFERROR(__xludf.DUMMYFUNCTION("""COMPUTED_VALUE"""),"K")</f>
        <v>K</v>
      </c>
      <c r="F8603" s="309" t="s">
        <v>34</v>
      </c>
      <c r="G8603" s="308"/>
      <c r="H8603" s="308" t="s">
        <v>33851</v>
      </c>
      <c r="I8603" s="310">
        <v>44569.0</v>
      </c>
      <c r="J8603" s="319">
        <f>IFERROR(__xludf.DUMMYFUNCTION("SPLIT(I8603,""/"")"),8.0)</f>
        <v>8</v>
      </c>
      <c r="K8603" s="308">
        <f>IFERROR(__xludf.DUMMYFUNCTION("""COMPUTED_VALUE"""),1.0)</f>
        <v>1</v>
      </c>
      <c r="L8603" s="308">
        <f>IFERROR(__xludf.DUMMYFUNCTION("""COMPUTED_VALUE"""),2022.0)</f>
        <v>2022</v>
      </c>
      <c r="M8603" s="308" t="s">
        <v>33852</v>
      </c>
      <c r="N8603" s="308" t="s">
        <v>33853</v>
      </c>
      <c r="O8603" s="308"/>
      <c r="P8603" s="308" t="s">
        <v>136</v>
      </c>
      <c r="Q8603" s="308">
        <v>44672.0</v>
      </c>
      <c r="R8603" s="308" t="s">
        <v>2743</v>
      </c>
      <c r="S8603" s="315" t="s">
        <v>100</v>
      </c>
      <c r="T8603" s="308" t="s">
        <v>34208</v>
      </c>
      <c r="U8603" s="308" t="s">
        <v>125</v>
      </c>
      <c r="V8603" s="308"/>
    </row>
    <row r="8604">
      <c r="A8604" s="308"/>
      <c r="B8604" s="308"/>
      <c r="C8604" s="308" t="s">
        <v>33854</v>
      </c>
      <c r="D8604" s="308">
        <f>IFERROR(__xludf.DUMMYFUNCTION("SPLIT(C8604,""-"")"),8624.0)</f>
        <v>8624</v>
      </c>
      <c r="E8604" s="308" t="str">
        <f>IFERROR(__xludf.DUMMYFUNCTION("""COMPUTED_VALUE"""),"K")</f>
        <v>K</v>
      </c>
      <c r="F8604" s="309" t="s">
        <v>34</v>
      </c>
      <c r="G8604" s="308"/>
      <c r="H8604" s="308" t="s">
        <v>33855</v>
      </c>
      <c r="I8604" s="316" t="s">
        <v>33567</v>
      </c>
      <c r="J8604" s="319"/>
      <c r="K8604" s="308"/>
      <c r="L8604" s="311">
        <v>2015.0</v>
      </c>
      <c r="M8604" s="308" t="s">
        <v>33844</v>
      </c>
      <c r="N8604" s="308" t="s">
        <v>33856</v>
      </c>
      <c r="O8604" s="308"/>
      <c r="P8604" s="308" t="s">
        <v>136</v>
      </c>
      <c r="Q8604" s="308">
        <v>44672.0</v>
      </c>
      <c r="R8604" s="308" t="s">
        <v>2743</v>
      </c>
      <c r="S8604" s="315" t="s">
        <v>100</v>
      </c>
      <c r="T8604" s="308" t="s">
        <v>34208</v>
      </c>
      <c r="U8604" s="308" t="s">
        <v>125</v>
      </c>
      <c r="V8604" s="308"/>
    </row>
    <row r="8605">
      <c r="A8605" s="308"/>
      <c r="B8605" s="308"/>
      <c r="C8605" s="308" t="s">
        <v>33857</v>
      </c>
      <c r="D8605" s="308">
        <f>IFERROR(__xludf.DUMMYFUNCTION("SPLIT(C8605,""-"")"),8625.0)</f>
        <v>8625</v>
      </c>
      <c r="E8605" s="308" t="str">
        <f>IFERROR(__xludf.DUMMYFUNCTION("""COMPUTED_VALUE"""),"K")</f>
        <v>K</v>
      </c>
      <c r="F8605" s="309" t="s">
        <v>34</v>
      </c>
      <c r="G8605" s="308"/>
      <c r="H8605" s="308" t="s">
        <v>33858</v>
      </c>
      <c r="I8605" s="316" t="s">
        <v>33859</v>
      </c>
      <c r="J8605" s="319"/>
      <c r="K8605" s="308"/>
      <c r="L8605" s="311">
        <v>2014.0</v>
      </c>
      <c r="M8605" s="308" t="s">
        <v>33860</v>
      </c>
      <c r="N8605" s="308"/>
      <c r="O8605" s="308"/>
      <c r="P8605" s="308" t="s">
        <v>136</v>
      </c>
      <c r="Q8605" s="308">
        <v>44672.0</v>
      </c>
      <c r="R8605" s="308" t="s">
        <v>2743</v>
      </c>
      <c r="S8605" s="315" t="s">
        <v>100</v>
      </c>
      <c r="T8605" s="308" t="s">
        <v>34208</v>
      </c>
      <c r="U8605" s="308" t="s">
        <v>27994</v>
      </c>
      <c r="V8605" s="308"/>
    </row>
    <row r="8606">
      <c r="A8606" s="308"/>
      <c r="B8606" s="308"/>
      <c r="C8606" s="308" t="s">
        <v>33861</v>
      </c>
      <c r="D8606" s="308">
        <f>IFERROR(__xludf.DUMMYFUNCTION("SPLIT(C8606,""-"")"),8626.0)</f>
        <v>8626</v>
      </c>
      <c r="E8606" s="308" t="str">
        <f>IFERROR(__xludf.DUMMYFUNCTION("""COMPUTED_VALUE"""),"K")</f>
        <v>K</v>
      </c>
      <c r="F8606" s="309" t="s">
        <v>34</v>
      </c>
      <c r="G8606" s="308"/>
      <c r="H8606" s="308" t="s">
        <v>33862</v>
      </c>
      <c r="I8606" s="316" t="s">
        <v>33863</v>
      </c>
      <c r="J8606" s="319"/>
      <c r="K8606" s="308"/>
      <c r="L8606" s="311">
        <v>2012.0</v>
      </c>
      <c r="M8606" s="308" t="s">
        <v>33864</v>
      </c>
      <c r="N8606" s="308" t="s">
        <v>439</v>
      </c>
      <c r="O8606" s="308"/>
      <c r="P8606" s="308" t="s">
        <v>136</v>
      </c>
      <c r="Q8606" s="308">
        <v>44672.0</v>
      </c>
      <c r="R8606" s="308" t="s">
        <v>2743</v>
      </c>
      <c r="S8606" s="315" t="s">
        <v>100</v>
      </c>
      <c r="T8606" s="308" t="s">
        <v>34208</v>
      </c>
      <c r="U8606" s="308" t="s">
        <v>530</v>
      </c>
      <c r="V8606" s="308"/>
    </row>
    <row r="8607">
      <c r="A8607" s="308"/>
      <c r="B8607" s="308"/>
      <c r="C8607" s="308" t="s">
        <v>33865</v>
      </c>
      <c r="D8607" s="308">
        <f>IFERROR(__xludf.DUMMYFUNCTION("SPLIT(C8607,""-"")"),8627.0)</f>
        <v>8627</v>
      </c>
      <c r="E8607" s="308" t="str">
        <f>IFERROR(__xludf.DUMMYFUNCTION("""COMPUTED_VALUE"""),"B")</f>
        <v>B</v>
      </c>
      <c r="F8607" s="315" t="s">
        <v>26</v>
      </c>
      <c r="G8607" s="308"/>
      <c r="H8607" s="308" t="s">
        <v>40346</v>
      </c>
      <c r="I8607" s="310">
        <v>40727.0</v>
      </c>
      <c r="J8607" s="319">
        <f>IFERROR(__xludf.DUMMYFUNCTION("SPLIT(I8607,""/"")"),3.0)</f>
        <v>3</v>
      </c>
      <c r="K8607" s="308">
        <f>IFERROR(__xludf.DUMMYFUNCTION("""COMPUTED_VALUE"""),7.0)</f>
        <v>7</v>
      </c>
      <c r="L8607" s="308">
        <f>IFERROR(__xludf.DUMMYFUNCTION("""COMPUTED_VALUE"""),2011.0)</f>
        <v>2011</v>
      </c>
      <c r="M8607" s="308" t="s">
        <v>33867</v>
      </c>
      <c r="N8607" s="308" t="s">
        <v>439</v>
      </c>
      <c r="O8607" s="308"/>
      <c r="P8607" s="308" t="s">
        <v>33868</v>
      </c>
      <c r="Q8607" s="308">
        <v>44665.0</v>
      </c>
      <c r="R8607" s="308" t="s">
        <v>32774</v>
      </c>
      <c r="S8607" s="308" t="s">
        <v>81</v>
      </c>
      <c r="T8607" s="308" t="s">
        <v>75</v>
      </c>
      <c r="U8607" s="308" t="s">
        <v>27</v>
      </c>
      <c r="V8607" s="308"/>
    </row>
    <row r="8608">
      <c r="A8608" s="308"/>
      <c r="B8608" s="308"/>
      <c r="C8608" s="308" t="s">
        <v>33869</v>
      </c>
      <c r="D8608" s="308">
        <f>IFERROR(__xludf.DUMMYFUNCTION("SPLIT(C8608,""-"")"),8628.0)</f>
        <v>8628</v>
      </c>
      <c r="E8608" s="308" t="str">
        <f>IFERROR(__xludf.DUMMYFUNCTION("""COMPUTED_VALUE"""),"B")</f>
        <v>B</v>
      </c>
      <c r="F8608" s="315" t="s">
        <v>26</v>
      </c>
      <c r="G8608" s="308"/>
      <c r="H8608" s="308" t="s">
        <v>33870</v>
      </c>
      <c r="I8608" s="310">
        <v>41431.0</v>
      </c>
      <c r="J8608" s="319">
        <f>IFERROR(__xludf.DUMMYFUNCTION("SPLIT(I8608,""/"")"),6.0)</f>
        <v>6</v>
      </c>
      <c r="K8608" s="308">
        <f>IFERROR(__xludf.DUMMYFUNCTION("""COMPUTED_VALUE"""),6.0)</f>
        <v>6</v>
      </c>
      <c r="L8608" s="308">
        <f>IFERROR(__xludf.DUMMYFUNCTION("""COMPUTED_VALUE"""),2013.0)</f>
        <v>2013</v>
      </c>
      <c r="M8608" s="308" t="s">
        <v>33867</v>
      </c>
      <c r="N8608" s="308" t="s">
        <v>439</v>
      </c>
      <c r="O8608" s="308"/>
      <c r="P8608" s="308" t="s">
        <v>33871</v>
      </c>
      <c r="Q8608" s="308">
        <v>44665.0</v>
      </c>
      <c r="R8608" s="308" t="s">
        <v>32774</v>
      </c>
      <c r="S8608" s="308" t="s">
        <v>81</v>
      </c>
      <c r="T8608" s="308" t="s">
        <v>75</v>
      </c>
      <c r="U8608" s="308" t="s">
        <v>27</v>
      </c>
      <c r="V8608" s="308"/>
    </row>
    <row r="8609">
      <c r="A8609" s="308"/>
      <c r="B8609" s="308"/>
      <c r="C8609" s="308" t="s">
        <v>33872</v>
      </c>
      <c r="D8609" s="308">
        <f>IFERROR(__xludf.DUMMYFUNCTION("SPLIT(C8609,""-"")"),8629.0)</f>
        <v>8629</v>
      </c>
      <c r="E8609" s="308" t="str">
        <f>IFERROR(__xludf.DUMMYFUNCTION("""COMPUTED_VALUE"""),"B")</f>
        <v>B</v>
      </c>
      <c r="F8609" s="315" t="s">
        <v>26</v>
      </c>
      <c r="G8609" s="308"/>
      <c r="H8609" s="308" t="s">
        <v>30180</v>
      </c>
      <c r="I8609" s="310">
        <v>41431.0</v>
      </c>
      <c r="J8609" s="319">
        <f>IFERROR(__xludf.DUMMYFUNCTION("SPLIT(I8609,""/"")"),6.0)</f>
        <v>6</v>
      </c>
      <c r="K8609" s="308">
        <f>IFERROR(__xludf.DUMMYFUNCTION("""COMPUTED_VALUE"""),6.0)</f>
        <v>6</v>
      </c>
      <c r="L8609" s="308">
        <f>IFERROR(__xludf.DUMMYFUNCTION("""COMPUTED_VALUE"""),2013.0)</f>
        <v>2013</v>
      </c>
      <c r="M8609" s="308" t="s">
        <v>33867</v>
      </c>
      <c r="N8609" s="308" t="s">
        <v>439</v>
      </c>
      <c r="O8609" s="308"/>
      <c r="P8609" s="308" t="s">
        <v>33873</v>
      </c>
      <c r="Q8609" s="308">
        <v>44665.0</v>
      </c>
      <c r="R8609" s="308" t="s">
        <v>32774</v>
      </c>
      <c r="S8609" s="308" t="s">
        <v>81</v>
      </c>
      <c r="T8609" s="308" t="s">
        <v>75</v>
      </c>
      <c r="U8609" s="308" t="s">
        <v>27</v>
      </c>
      <c r="V8609" s="308"/>
    </row>
    <row r="8610">
      <c r="A8610" s="308"/>
      <c r="B8610" s="308"/>
      <c r="C8610" s="308" t="s">
        <v>33874</v>
      </c>
      <c r="D8610" s="308">
        <f>IFERROR(__xludf.DUMMYFUNCTION("SPLIT(C8610,""-"")"),8630.0)</f>
        <v>8630</v>
      </c>
      <c r="E8610" s="308" t="str">
        <f>IFERROR(__xludf.DUMMYFUNCTION("""COMPUTED_VALUE"""),"B")</f>
        <v>B</v>
      </c>
      <c r="F8610" s="315" t="s">
        <v>26</v>
      </c>
      <c r="G8610" s="308"/>
      <c r="H8610" s="308" t="s">
        <v>33875</v>
      </c>
      <c r="I8610" s="310">
        <v>41431.0</v>
      </c>
      <c r="J8610" s="319">
        <f>IFERROR(__xludf.DUMMYFUNCTION("SPLIT(I8610,""/"")"),6.0)</f>
        <v>6</v>
      </c>
      <c r="K8610" s="308">
        <f>IFERROR(__xludf.DUMMYFUNCTION("""COMPUTED_VALUE"""),6.0)</f>
        <v>6</v>
      </c>
      <c r="L8610" s="308">
        <f>IFERROR(__xludf.DUMMYFUNCTION("""COMPUTED_VALUE"""),2013.0)</f>
        <v>2013</v>
      </c>
      <c r="M8610" s="308" t="s">
        <v>33867</v>
      </c>
      <c r="N8610" s="308" t="s">
        <v>439</v>
      </c>
      <c r="O8610" s="308"/>
      <c r="P8610" s="308" t="s">
        <v>33876</v>
      </c>
      <c r="Q8610" s="308">
        <v>44665.0</v>
      </c>
      <c r="R8610" s="308" t="s">
        <v>32774</v>
      </c>
      <c r="S8610" s="308" t="s">
        <v>81</v>
      </c>
      <c r="T8610" s="308" t="s">
        <v>75</v>
      </c>
      <c r="U8610" s="308" t="s">
        <v>27</v>
      </c>
      <c r="V8610" s="308"/>
    </row>
    <row r="8611">
      <c r="A8611" s="308"/>
      <c r="B8611" s="308"/>
      <c r="C8611" s="308" t="s">
        <v>33877</v>
      </c>
      <c r="D8611" s="308">
        <f>IFERROR(__xludf.DUMMYFUNCTION("SPLIT(C8611,""-"")"),8631.0)</f>
        <v>8631</v>
      </c>
      <c r="E8611" s="308" t="str">
        <f>IFERROR(__xludf.DUMMYFUNCTION("""COMPUTED_VALUE"""),"B")</f>
        <v>B</v>
      </c>
      <c r="F8611" s="315" t="s">
        <v>26</v>
      </c>
      <c r="G8611" s="308"/>
      <c r="H8611" s="308" t="s">
        <v>33878</v>
      </c>
      <c r="I8611" s="310">
        <v>41431.0</v>
      </c>
      <c r="J8611" s="319">
        <f>IFERROR(__xludf.DUMMYFUNCTION("SPLIT(I8611,""/"")"),6.0)</f>
        <v>6</v>
      </c>
      <c r="K8611" s="308">
        <f>IFERROR(__xludf.DUMMYFUNCTION("""COMPUTED_VALUE"""),6.0)</f>
        <v>6</v>
      </c>
      <c r="L8611" s="308">
        <f>IFERROR(__xludf.DUMMYFUNCTION("""COMPUTED_VALUE"""),2013.0)</f>
        <v>2013</v>
      </c>
      <c r="M8611" s="308" t="s">
        <v>33867</v>
      </c>
      <c r="N8611" s="308" t="s">
        <v>439</v>
      </c>
      <c r="O8611" s="308"/>
      <c r="P8611" s="308" t="s">
        <v>40347</v>
      </c>
      <c r="Q8611" s="308">
        <v>44665.0</v>
      </c>
      <c r="R8611" s="308" t="s">
        <v>32774</v>
      </c>
      <c r="S8611" s="308" t="s">
        <v>81</v>
      </c>
      <c r="T8611" s="308" t="s">
        <v>75</v>
      </c>
      <c r="U8611" s="308" t="s">
        <v>27</v>
      </c>
      <c r="V8611" s="308"/>
    </row>
    <row r="8612">
      <c r="A8612" s="308"/>
      <c r="B8612" s="308"/>
      <c r="C8612" s="308" t="s">
        <v>33880</v>
      </c>
      <c r="D8612" s="308">
        <f>IFERROR(__xludf.DUMMYFUNCTION("SPLIT(C8612,""-"")"),8632.0)</f>
        <v>8632</v>
      </c>
      <c r="E8612" s="308" t="str">
        <f>IFERROR(__xludf.DUMMYFUNCTION("""COMPUTED_VALUE"""),"B")</f>
        <v>B</v>
      </c>
      <c r="F8612" s="315" t="s">
        <v>26</v>
      </c>
      <c r="G8612" s="308"/>
      <c r="H8612" s="308" t="s">
        <v>33881</v>
      </c>
      <c r="I8612" s="310">
        <v>41431.0</v>
      </c>
      <c r="J8612" s="319">
        <f>IFERROR(__xludf.DUMMYFUNCTION("SPLIT(I8612,""/"")"),6.0)</f>
        <v>6</v>
      </c>
      <c r="K8612" s="308">
        <f>IFERROR(__xludf.DUMMYFUNCTION("""COMPUTED_VALUE"""),6.0)</f>
        <v>6</v>
      </c>
      <c r="L8612" s="308">
        <f>IFERROR(__xludf.DUMMYFUNCTION("""COMPUTED_VALUE"""),2013.0)</f>
        <v>2013</v>
      </c>
      <c r="M8612" s="308" t="s">
        <v>33867</v>
      </c>
      <c r="N8612" s="308" t="s">
        <v>439</v>
      </c>
      <c r="O8612" s="308"/>
      <c r="P8612" s="308" t="s">
        <v>33882</v>
      </c>
      <c r="Q8612" s="308">
        <v>44665.0</v>
      </c>
      <c r="R8612" s="308" t="s">
        <v>32774</v>
      </c>
      <c r="S8612" s="308" t="s">
        <v>81</v>
      </c>
      <c r="T8612" s="308" t="s">
        <v>75</v>
      </c>
      <c r="U8612" s="308" t="s">
        <v>27</v>
      </c>
      <c r="V8612" s="308"/>
    </row>
    <row r="8613">
      <c r="A8613" s="308"/>
      <c r="B8613" s="308"/>
      <c r="C8613" s="308" t="s">
        <v>33883</v>
      </c>
      <c r="D8613" s="308">
        <f>IFERROR(__xludf.DUMMYFUNCTION("SPLIT(C8613,""-"")"),8633.0)</f>
        <v>8633</v>
      </c>
      <c r="E8613" s="308" t="str">
        <f>IFERROR(__xludf.DUMMYFUNCTION("""COMPUTED_VALUE"""),"B")</f>
        <v>B</v>
      </c>
      <c r="F8613" s="315" t="s">
        <v>26</v>
      </c>
      <c r="G8613" s="308"/>
      <c r="H8613" s="308" t="s">
        <v>33884</v>
      </c>
      <c r="I8613" s="310">
        <v>40666.0</v>
      </c>
      <c r="J8613" s="319">
        <f>IFERROR(__xludf.DUMMYFUNCTION("SPLIT(I8613,""/"")"),3.0)</f>
        <v>3</v>
      </c>
      <c r="K8613" s="308">
        <f>IFERROR(__xludf.DUMMYFUNCTION("""COMPUTED_VALUE"""),5.0)</f>
        <v>5</v>
      </c>
      <c r="L8613" s="308">
        <f>IFERROR(__xludf.DUMMYFUNCTION("""COMPUTED_VALUE"""),2011.0)</f>
        <v>2011</v>
      </c>
      <c r="M8613" s="308" t="s">
        <v>33867</v>
      </c>
      <c r="N8613" s="308" t="s">
        <v>439</v>
      </c>
      <c r="O8613" s="308"/>
      <c r="P8613" s="308" t="s">
        <v>33885</v>
      </c>
      <c r="Q8613" s="308">
        <v>44665.0</v>
      </c>
      <c r="R8613" s="308" t="s">
        <v>32774</v>
      </c>
      <c r="S8613" s="308" t="s">
        <v>81</v>
      </c>
      <c r="T8613" s="308" t="s">
        <v>75</v>
      </c>
      <c r="U8613" s="308" t="s">
        <v>27</v>
      </c>
      <c r="V8613" s="308"/>
    </row>
    <row r="8614">
      <c r="A8614" s="308"/>
      <c r="B8614" s="308"/>
      <c r="C8614" s="308" t="s">
        <v>33886</v>
      </c>
      <c r="D8614" s="308">
        <f>IFERROR(__xludf.DUMMYFUNCTION("SPLIT(C8614,""-"")"),8634.0)</f>
        <v>8634</v>
      </c>
      <c r="E8614" s="308" t="str">
        <f>IFERROR(__xludf.DUMMYFUNCTION("""COMPUTED_VALUE"""),"B")</f>
        <v>B</v>
      </c>
      <c r="F8614" s="315" t="s">
        <v>26</v>
      </c>
      <c r="G8614" s="308"/>
      <c r="H8614" s="308" t="s">
        <v>33887</v>
      </c>
      <c r="I8614" s="314">
        <v>40681.0</v>
      </c>
      <c r="J8614" s="319">
        <f>IFERROR(__xludf.DUMMYFUNCTION("SPLIT(I8614,""/"")"),18.0)</f>
        <v>18</v>
      </c>
      <c r="K8614" s="308">
        <f>IFERROR(__xludf.DUMMYFUNCTION("""COMPUTED_VALUE"""),5.0)</f>
        <v>5</v>
      </c>
      <c r="L8614" s="308">
        <f>IFERROR(__xludf.DUMMYFUNCTION("""COMPUTED_VALUE"""),2011.0)</f>
        <v>2011</v>
      </c>
      <c r="M8614" s="308" t="s">
        <v>33888</v>
      </c>
      <c r="N8614" s="308" t="s">
        <v>439</v>
      </c>
      <c r="O8614" s="308"/>
      <c r="P8614" s="308" t="s">
        <v>33889</v>
      </c>
      <c r="Q8614" s="308">
        <v>44665.0</v>
      </c>
      <c r="R8614" s="308" t="s">
        <v>32774</v>
      </c>
      <c r="S8614" s="308" t="s">
        <v>81</v>
      </c>
      <c r="T8614" s="311" t="s">
        <v>96</v>
      </c>
      <c r="U8614" s="308" t="s">
        <v>27</v>
      </c>
      <c r="V8614" s="308"/>
    </row>
    <row r="8615">
      <c r="A8615" s="308"/>
      <c r="B8615" s="308"/>
      <c r="C8615" s="308" t="s">
        <v>33890</v>
      </c>
      <c r="D8615" s="308">
        <f>IFERROR(__xludf.DUMMYFUNCTION("SPLIT(C8615,""-"")"),8635.0)</f>
        <v>8635</v>
      </c>
      <c r="E8615" s="308" t="str">
        <f>IFERROR(__xludf.DUMMYFUNCTION("""COMPUTED_VALUE"""),"B")</f>
        <v>B</v>
      </c>
      <c r="F8615" s="315" t="s">
        <v>26</v>
      </c>
      <c r="G8615" s="308"/>
      <c r="H8615" s="308" t="s">
        <v>33891</v>
      </c>
      <c r="I8615" s="310">
        <v>40578.0</v>
      </c>
      <c r="J8615" s="319">
        <f>IFERROR(__xludf.DUMMYFUNCTION("SPLIT(I8615,""/"")"),4.0)</f>
        <v>4</v>
      </c>
      <c r="K8615" s="308">
        <f>IFERROR(__xludf.DUMMYFUNCTION("""COMPUTED_VALUE"""),2.0)</f>
        <v>2</v>
      </c>
      <c r="L8615" s="308">
        <f>IFERROR(__xludf.DUMMYFUNCTION("""COMPUTED_VALUE"""),2011.0)</f>
        <v>2011</v>
      </c>
      <c r="M8615" s="308" t="s">
        <v>33892</v>
      </c>
      <c r="N8615" s="308" t="s">
        <v>439</v>
      </c>
      <c r="O8615" s="308"/>
      <c r="P8615" s="308" t="s">
        <v>40348</v>
      </c>
      <c r="Q8615" s="308">
        <v>44665.0</v>
      </c>
      <c r="R8615" s="308" t="s">
        <v>32774</v>
      </c>
      <c r="S8615" s="308" t="s">
        <v>81</v>
      </c>
      <c r="T8615" s="308" t="s">
        <v>75</v>
      </c>
      <c r="U8615" s="308" t="s">
        <v>27</v>
      </c>
      <c r="V8615" s="308"/>
    </row>
    <row r="8616">
      <c r="A8616" s="308"/>
      <c r="B8616" s="308"/>
      <c r="C8616" s="308" t="s">
        <v>33894</v>
      </c>
      <c r="D8616" s="308">
        <f>IFERROR(__xludf.DUMMYFUNCTION("SPLIT(C8616,""-"")"),8636.0)</f>
        <v>8636</v>
      </c>
      <c r="E8616" s="308" t="str">
        <f>IFERROR(__xludf.DUMMYFUNCTION("""COMPUTED_VALUE"""),"B")</f>
        <v>B</v>
      </c>
      <c r="F8616" s="315" t="s">
        <v>26</v>
      </c>
      <c r="G8616" s="308"/>
      <c r="H8616" s="308" t="s">
        <v>40349</v>
      </c>
      <c r="I8616" s="314">
        <v>40801.0</v>
      </c>
      <c r="J8616" s="319">
        <f>IFERROR(__xludf.DUMMYFUNCTION("SPLIT(I8616,""/"")"),15.0)</f>
        <v>15</v>
      </c>
      <c r="K8616" s="308">
        <f>IFERROR(__xludf.DUMMYFUNCTION("""COMPUTED_VALUE"""),9.0)</f>
        <v>9</v>
      </c>
      <c r="L8616" s="308">
        <f>IFERROR(__xludf.DUMMYFUNCTION("""COMPUTED_VALUE"""),2011.0)</f>
        <v>2011</v>
      </c>
      <c r="M8616" s="308" t="s">
        <v>33892</v>
      </c>
      <c r="N8616" s="308" t="s">
        <v>439</v>
      </c>
      <c r="O8616" s="308"/>
      <c r="P8616" s="308" t="s">
        <v>33896</v>
      </c>
      <c r="Q8616" s="308">
        <v>44665.0</v>
      </c>
      <c r="R8616" s="308" t="s">
        <v>32774</v>
      </c>
      <c r="S8616" s="308" t="s">
        <v>81</v>
      </c>
      <c r="T8616" s="311" t="s">
        <v>77</v>
      </c>
      <c r="U8616" s="308" t="s">
        <v>27</v>
      </c>
      <c r="V8616" s="308"/>
    </row>
    <row r="8617">
      <c r="A8617" s="308"/>
      <c r="B8617" s="308"/>
      <c r="C8617" s="308" t="s">
        <v>33897</v>
      </c>
      <c r="D8617" s="308">
        <f>IFERROR(__xludf.DUMMYFUNCTION("SPLIT(C8617,""-"")"),8637.0)</f>
        <v>8637</v>
      </c>
      <c r="E8617" s="308" t="str">
        <f>IFERROR(__xludf.DUMMYFUNCTION("""COMPUTED_VALUE"""),"B")</f>
        <v>B</v>
      </c>
      <c r="F8617" s="315" t="s">
        <v>26</v>
      </c>
      <c r="G8617" s="308"/>
      <c r="H8617" s="308" t="s">
        <v>33898</v>
      </c>
      <c r="I8617" s="314">
        <v>41598.0</v>
      </c>
      <c r="J8617" s="319">
        <f>IFERROR(__xludf.DUMMYFUNCTION("SPLIT(I8617,""/"")"),20.0)</f>
        <v>20</v>
      </c>
      <c r="K8617" s="308">
        <f>IFERROR(__xludf.DUMMYFUNCTION("""COMPUTED_VALUE"""),11.0)</f>
        <v>11</v>
      </c>
      <c r="L8617" s="308">
        <f>IFERROR(__xludf.DUMMYFUNCTION("""COMPUTED_VALUE"""),2013.0)</f>
        <v>2013</v>
      </c>
      <c r="M8617" s="308" t="s">
        <v>33892</v>
      </c>
      <c r="N8617" s="308" t="s">
        <v>439</v>
      </c>
      <c r="O8617" s="308"/>
      <c r="P8617" s="308" t="s">
        <v>33899</v>
      </c>
      <c r="Q8617" s="308">
        <v>44665.0</v>
      </c>
      <c r="R8617" s="308" t="s">
        <v>32774</v>
      </c>
      <c r="S8617" s="308" t="s">
        <v>81</v>
      </c>
      <c r="T8617" s="311" t="s">
        <v>96</v>
      </c>
      <c r="U8617" s="308" t="s">
        <v>27</v>
      </c>
      <c r="V8617" s="308"/>
    </row>
    <row r="8618">
      <c r="A8618" s="308"/>
      <c r="B8618" s="308"/>
      <c r="C8618" s="308" t="s">
        <v>33900</v>
      </c>
      <c r="D8618" s="308">
        <f>IFERROR(__xludf.DUMMYFUNCTION("SPLIT(C8618,""-"")"),8638.0)</f>
        <v>8638</v>
      </c>
      <c r="E8618" s="308" t="str">
        <f>IFERROR(__xludf.DUMMYFUNCTION("""COMPUTED_VALUE"""),"B")</f>
        <v>B</v>
      </c>
      <c r="F8618" s="315" t="s">
        <v>26</v>
      </c>
      <c r="G8618" s="308"/>
      <c r="H8618" s="308" t="s">
        <v>33901</v>
      </c>
      <c r="I8618" s="314">
        <v>41486.0</v>
      </c>
      <c r="J8618" s="319">
        <f>IFERROR(__xludf.DUMMYFUNCTION("SPLIT(I8618,""/"")"),31.0)</f>
        <v>31</v>
      </c>
      <c r="K8618" s="308">
        <f>IFERROR(__xludf.DUMMYFUNCTION("""COMPUTED_VALUE"""),7.0)</f>
        <v>7</v>
      </c>
      <c r="L8618" s="308">
        <f>IFERROR(__xludf.DUMMYFUNCTION("""COMPUTED_VALUE"""),2013.0)</f>
        <v>2013</v>
      </c>
      <c r="M8618" s="308" t="s">
        <v>33892</v>
      </c>
      <c r="N8618" s="308" t="s">
        <v>439</v>
      </c>
      <c r="O8618" s="308"/>
      <c r="P8618" s="308" t="s">
        <v>33902</v>
      </c>
      <c r="Q8618" s="308">
        <v>44666.0</v>
      </c>
      <c r="R8618" s="308" t="s">
        <v>32774</v>
      </c>
      <c r="S8618" s="308" t="s">
        <v>81</v>
      </c>
      <c r="T8618" s="311" t="s">
        <v>96</v>
      </c>
      <c r="U8618" s="308" t="s">
        <v>27</v>
      </c>
      <c r="V8618" s="308"/>
    </row>
    <row r="8619">
      <c r="A8619" s="308"/>
      <c r="B8619" s="308"/>
      <c r="C8619" s="308" t="s">
        <v>33903</v>
      </c>
      <c r="D8619" s="308">
        <f>IFERROR(__xludf.DUMMYFUNCTION("SPLIT(C8619,""-"")"),8639.0)</f>
        <v>8639</v>
      </c>
      <c r="E8619" s="308" t="str">
        <f>IFERROR(__xludf.DUMMYFUNCTION("""COMPUTED_VALUE"""),"B")</f>
        <v>B</v>
      </c>
      <c r="F8619" s="315" t="s">
        <v>26</v>
      </c>
      <c r="G8619" s="308"/>
      <c r="H8619" s="308" t="s">
        <v>33904</v>
      </c>
      <c r="I8619" s="314">
        <v>41486.0</v>
      </c>
      <c r="J8619" s="319">
        <f>IFERROR(__xludf.DUMMYFUNCTION("SPLIT(I8619,""/"")"),31.0)</f>
        <v>31</v>
      </c>
      <c r="K8619" s="308">
        <f>IFERROR(__xludf.DUMMYFUNCTION("""COMPUTED_VALUE"""),7.0)</f>
        <v>7</v>
      </c>
      <c r="L8619" s="308">
        <f>IFERROR(__xludf.DUMMYFUNCTION("""COMPUTED_VALUE"""),2013.0)</f>
        <v>2013</v>
      </c>
      <c r="M8619" s="308" t="s">
        <v>33892</v>
      </c>
      <c r="N8619" s="308" t="s">
        <v>439</v>
      </c>
      <c r="O8619" s="308"/>
      <c r="P8619" s="308" t="s">
        <v>33905</v>
      </c>
      <c r="Q8619" s="308">
        <v>44667.0</v>
      </c>
      <c r="R8619" s="308" t="s">
        <v>32774</v>
      </c>
      <c r="S8619" s="308" t="s">
        <v>81</v>
      </c>
      <c r="T8619" s="311" t="s">
        <v>96</v>
      </c>
      <c r="U8619" s="308" t="s">
        <v>27</v>
      </c>
      <c r="V8619" s="308"/>
    </row>
    <row r="8620">
      <c r="A8620" s="308"/>
      <c r="B8620" s="308"/>
      <c r="C8620" s="308" t="s">
        <v>33906</v>
      </c>
      <c r="D8620" s="308">
        <f>IFERROR(__xludf.DUMMYFUNCTION("SPLIT(C8620,""-"")"),8640.0)</f>
        <v>8640</v>
      </c>
      <c r="E8620" s="308" t="str">
        <f>IFERROR(__xludf.DUMMYFUNCTION("""COMPUTED_VALUE"""),"B")</f>
        <v>B</v>
      </c>
      <c r="F8620" s="315" t="s">
        <v>26</v>
      </c>
      <c r="G8620" s="308"/>
      <c r="H8620" s="308" t="s">
        <v>33907</v>
      </c>
      <c r="I8620" s="314">
        <v>41486.0</v>
      </c>
      <c r="J8620" s="319">
        <f>IFERROR(__xludf.DUMMYFUNCTION("SPLIT(I8620,""/"")"),31.0)</f>
        <v>31</v>
      </c>
      <c r="K8620" s="308">
        <f>IFERROR(__xludf.DUMMYFUNCTION("""COMPUTED_VALUE"""),7.0)</f>
        <v>7</v>
      </c>
      <c r="L8620" s="308">
        <f>IFERROR(__xludf.DUMMYFUNCTION("""COMPUTED_VALUE"""),2013.0)</f>
        <v>2013</v>
      </c>
      <c r="M8620" s="308" t="s">
        <v>33892</v>
      </c>
      <c r="N8620" s="308" t="s">
        <v>439</v>
      </c>
      <c r="O8620" s="308"/>
      <c r="P8620" s="308" t="s">
        <v>33908</v>
      </c>
      <c r="Q8620" s="308">
        <v>44668.0</v>
      </c>
      <c r="R8620" s="308" t="s">
        <v>32774</v>
      </c>
      <c r="S8620" s="308" t="s">
        <v>81</v>
      </c>
      <c r="T8620" s="311" t="s">
        <v>96</v>
      </c>
      <c r="U8620" s="308" t="s">
        <v>27</v>
      </c>
      <c r="V8620" s="308"/>
    </row>
    <row r="8621">
      <c r="A8621" s="308"/>
      <c r="B8621" s="308"/>
      <c r="C8621" s="308" t="s">
        <v>33909</v>
      </c>
      <c r="D8621" s="308">
        <f>IFERROR(__xludf.DUMMYFUNCTION("SPLIT(C8621,""-"")"),8641.0)</f>
        <v>8641</v>
      </c>
      <c r="E8621" s="308" t="str">
        <f>IFERROR(__xludf.DUMMYFUNCTION("""COMPUTED_VALUE"""),"B")</f>
        <v>B</v>
      </c>
      <c r="F8621" s="315" t="s">
        <v>26</v>
      </c>
      <c r="G8621" s="308"/>
      <c r="H8621" s="308" t="s">
        <v>33910</v>
      </c>
      <c r="I8621" s="314">
        <v>41486.0</v>
      </c>
      <c r="J8621" s="319">
        <f>IFERROR(__xludf.DUMMYFUNCTION("SPLIT(I8621,""/"")"),31.0)</f>
        <v>31</v>
      </c>
      <c r="K8621" s="308">
        <f>IFERROR(__xludf.DUMMYFUNCTION("""COMPUTED_VALUE"""),7.0)</f>
        <v>7</v>
      </c>
      <c r="L8621" s="308">
        <f>IFERROR(__xludf.DUMMYFUNCTION("""COMPUTED_VALUE"""),2013.0)</f>
        <v>2013</v>
      </c>
      <c r="M8621" s="308" t="s">
        <v>33892</v>
      </c>
      <c r="N8621" s="308" t="s">
        <v>439</v>
      </c>
      <c r="O8621" s="308"/>
      <c r="P8621" s="308" t="s">
        <v>33911</v>
      </c>
      <c r="Q8621" s="308">
        <v>44669.0</v>
      </c>
      <c r="R8621" s="308" t="s">
        <v>32774</v>
      </c>
      <c r="S8621" s="308" t="s">
        <v>81</v>
      </c>
      <c r="T8621" s="311" t="s">
        <v>96</v>
      </c>
      <c r="U8621" s="308" t="s">
        <v>27</v>
      </c>
      <c r="V8621" s="308"/>
    </row>
    <row r="8622">
      <c r="A8622" s="308"/>
      <c r="B8622" s="308"/>
      <c r="C8622" s="308" t="s">
        <v>33912</v>
      </c>
      <c r="D8622" s="308">
        <f>IFERROR(__xludf.DUMMYFUNCTION("SPLIT(C8622,""-"")"),8642.0)</f>
        <v>8642</v>
      </c>
      <c r="E8622" s="308" t="str">
        <f>IFERROR(__xludf.DUMMYFUNCTION("""COMPUTED_VALUE"""),"B")</f>
        <v>B</v>
      </c>
      <c r="F8622" s="315" t="s">
        <v>26</v>
      </c>
      <c r="G8622" s="308"/>
      <c r="H8622" s="308" t="s">
        <v>33913</v>
      </c>
      <c r="I8622" s="314">
        <v>42108.0</v>
      </c>
      <c r="J8622" s="319">
        <f>IFERROR(__xludf.DUMMYFUNCTION("SPLIT(I8622,""/"")"),14.0)</f>
        <v>14</v>
      </c>
      <c r="K8622" s="308">
        <f>IFERROR(__xludf.DUMMYFUNCTION("""COMPUTED_VALUE"""),4.0)</f>
        <v>4</v>
      </c>
      <c r="L8622" s="308">
        <f>IFERROR(__xludf.DUMMYFUNCTION("""COMPUTED_VALUE"""),2015.0)</f>
        <v>2015</v>
      </c>
      <c r="M8622" s="308" t="s">
        <v>33914</v>
      </c>
      <c r="N8622" s="308" t="s">
        <v>439</v>
      </c>
      <c r="O8622" s="308"/>
      <c r="P8622" s="308" t="s">
        <v>33915</v>
      </c>
      <c r="Q8622" s="308">
        <v>44670.0</v>
      </c>
      <c r="R8622" s="308" t="s">
        <v>32774</v>
      </c>
      <c r="S8622" s="308" t="s">
        <v>81</v>
      </c>
      <c r="T8622" s="308" t="s">
        <v>98</v>
      </c>
      <c r="U8622" s="308" t="s">
        <v>27</v>
      </c>
      <c r="V8622" s="308"/>
    </row>
    <row r="8623">
      <c r="A8623" s="308"/>
      <c r="B8623" s="308"/>
      <c r="C8623" s="308" t="s">
        <v>33916</v>
      </c>
      <c r="D8623" s="308">
        <f>IFERROR(__xludf.DUMMYFUNCTION("SPLIT(C8623,""-"")"),8643.0)</f>
        <v>8643</v>
      </c>
      <c r="E8623" s="308" t="str">
        <f>IFERROR(__xludf.DUMMYFUNCTION("""COMPUTED_VALUE"""),"B")</f>
        <v>B</v>
      </c>
      <c r="F8623" s="315" t="s">
        <v>26</v>
      </c>
      <c r="G8623" s="308"/>
      <c r="H8623" s="308" t="s">
        <v>33917</v>
      </c>
      <c r="I8623" s="310">
        <v>41466.0</v>
      </c>
      <c r="J8623" s="319">
        <f>IFERROR(__xludf.DUMMYFUNCTION("SPLIT(I8623,""/"")"),11.0)</f>
        <v>11</v>
      </c>
      <c r="K8623" s="308">
        <f>IFERROR(__xludf.DUMMYFUNCTION("""COMPUTED_VALUE"""),7.0)</f>
        <v>7</v>
      </c>
      <c r="L8623" s="308">
        <f>IFERROR(__xludf.DUMMYFUNCTION("""COMPUTED_VALUE"""),2013.0)</f>
        <v>2013</v>
      </c>
      <c r="M8623" s="308" t="s">
        <v>33918</v>
      </c>
      <c r="N8623" s="308" t="s">
        <v>439</v>
      </c>
      <c r="O8623" s="308"/>
      <c r="P8623" s="308" t="s">
        <v>33919</v>
      </c>
      <c r="Q8623" s="308">
        <v>44671.0</v>
      </c>
      <c r="R8623" s="308" t="s">
        <v>32774</v>
      </c>
      <c r="S8623" s="308" t="s">
        <v>81</v>
      </c>
      <c r="T8623" s="311" t="s">
        <v>73</v>
      </c>
      <c r="U8623" s="308" t="s">
        <v>27</v>
      </c>
      <c r="V8623" s="308"/>
    </row>
    <row r="8624">
      <c r="A8624" s="308"/>
      <c r="B8624" s="308"/>
      <c r="C8624" s="308" t="s">
        <v>33920</v>
      </c>
      <c r="D8624" s="308">
        <f>IFERROR(__xludf.DUMMYFUNCTION("SPLIT(C8624,""-"")"),8644.0)</f>
        <v>8644</v>
      </c>
      <c r="E8624" s="308" t="str">
        <f>IFERROR(__xludf.DUMMYFUNCTION("""COMPUTED_VALUE"""),"B")</f>
        <v>B</v>
      </c>
      <c r="F8624" s="315" t="s">
        <v>26</v>
      </c>
      <c r="G8624" s="308"/>
      <c r="H8624" s="308" t="s">
        <v>33921</v>
      </c>
      <c r="I8624" s="310">
        <v>42217.0</v>
      </c>
      <c r="J8624" s="319">
        <f>IFERROR(__xludf.DUMMYFUNCTION("SPLIT(I8624,""/"")"),1.0)</f>
        <v>1</v>
      </c>
      <c r="K8624" s="308">
        <f>IFERROR(__xludf.DUMMYFUNCTION("""COMPUTED_VALUE"""),8.0)</f>
        <v>8</v>
      </c>
      <c r="L8624" s="308">
        <f>IFERROR(__xludf.DUMMYFUNCTION("""COMPUTED_VALUE"""),2015.0)</f>
        <v>2015</v>
      </c>
      <c r="M8624" s="308" t="s">
        <v>33922</v>
      </c>
      <c r="N8624" s="308"/>
      <c r="O8624" s="308"/>
      <c r="P8624" s="308" t="s">
        <v>33923</v>
      </c>
      <c r="Q8624" s="308">
        <v>44671.0</v>
      </c>
      <c r="R8624" s="308" t="s">
        <v>32774</v>
      </c>
      <c r="S8624" s="308" t="s">
        <v>81</v>
      </c>
      <c r="T8624" s="308" t="s">
        <v>75</v>
      </c>
      <c r="U8624" s="308" t="s">
        <v>27</v>
      </c>
      <c r="V8624" s="308"/>
    </row>
    <row r="8625">
      <c r="A8625" s="308"/>
      <c r="B8625" s="308"/>
      <c r="C8625" s="308" t="s">
        <v>33924</v>
      </c>
      <c r="D8625" s="308">
        <f>IFERROR(__xludf.DUMMYFUNCTION("SPLIT(C8625,""-"")"),8645.0)</f>
        <v>8645</v>
      </c>
      <c r="E8625" s="308" t="str">
        <f>IFERROR(__xludf.DUMMYFUNCTION("""COMPUTED_VALUE"""),"B")</f>
        <v>B</v>
      </c>
      <c r="F8625" s="315" t="s">
        <v>26</v>
      </c>
      <c r="G8625" s="308"/>
      <c r="H8625" s="308" t="s">
        <v>33925</v>
      </c>
      <c r="I8625" s="310">
        <v>41640.0</v>
      </c>
      <c r="J8625" s="319">
        <f>IFERROR(__xludf.DUMMYFUNCTION("SPLIT(I8625,""/"")"),1.0)</f>
        <v>1</v>
      </c>
      <c r="K8625" s="308">
        <f>IFERROR(__xludf.DUMMYFUNCTION("""COMPUTED_VALUE"""),1.0)</f>
        <v>1</v>
      </c>
      <c r="L8625" s="308">
        <f>IFERROR(__xludf.DUMMYFUNCTION("""COMPUTED_VALUE"""),2014.0)</f>
        <v>2014</v>
      </c>
      <c r="M8625" s="308" t="s">
        <v>33867</v>
      </c>
      <c r="N8625" s="308" t="s">
        <v>439</v>
      </c>
      <c r="O8625" s="308"/>
      <c r="P8625" s="308" t="s">
        <v>40350</v>
      </c>
      <c r="Q8625" s="308">
        <v>44671.0</v>
      </c>
      <c r="R8625" s="308" t="s">
        <v>32774</v>
      </c>
      <c r="S8625" s="308" t="s">
        <v>81</v>
      </c>
      <c r="T8625" s="308" t="s">
        <v>75</v>
      </c>
      <c r="U8625" s="308" t="s">
        <v>27</v>
      </c>
      <c r="V8625" s="308"/>
    </row>
    <row r="8626">
      <c r="A8626" s="308"/>
      <c r="B8626" s="308"/>
      <c r="C8626" s="308" t="s">
        <v>33927</v>
      </c>
      <c r="D8626" s="308">
        <f>IFERROR(__xludf.DUMMYFUNCTION("SPLIT(C8626,""-"")"),8646.0)</f>
        <v>8646</v>
      </c>
      <c r="E8626" s="308" t="str">
        <f>IFERROR(__xludf.DUMMYFUNCTION("""COMPUTED_VALUE"""),"B")</f>
        <v>B</v>
      </c>
      <c r="F8626" s="315" t="s">
        <v>26</v>
      </c>
      <c r="G8626" s="308"/>
      <c r="H8626" s="308" t="s">
        <v>33928</v>
      </c>
      <c r="I8626" s="314">
        <v>42182.0</v>
      </c>
      <c r="J8626" s="319">
        <f>IFERROR(__xludf.DUMMYFUNCTION("SPLIT(I8626,""/"")"),27.0)</f>
        <v>27</v>
      </c>
      <c r="K8626" s="308">
        <f>IFERROR(__xludf.DUMMYFUNCTION("""COMPUTED_VALUE"""),6.0)</f>
        <v>6</v>
      </c>
      <c r="L8626" s="308">
        <f>IFERROR(__xludf.DUMMYFUNCTION("""COMPUTED_VALUE"""),2015.0)</f>
        <v>2015</v>
      </c>
      <c r="M8626" s="308" t="s">
        <v>33929</v>
      </c>
      <c r="N8626" s="308" t="s">
        <v>439</v>
      </c>
      <c r="O8626" s="308"/>
      <c r="P8626" s="308" t="s">
        <v>33930</v>
      </c>
      <c r="Q8626" s="308">
        <v>44671.0</v>
      </c>
      <c r="R8626" s="308" t="s">
        <v>32774</v>
      </c>
      <c r="S8626" s="308" t="s">
        <v>81</v>
      </c>
      <c r="T8626" s="308" t="s">
        <v>75</v>
      </c>
      <c r="U8626" s="308" t="s">
        <v>27</v>
      </c>
      <c r="V8626" s="308"/>
    </row>
    <row r="8627">
      <c r="A8627" s="308"/>
      <c r="B8627" s="308"/>
      <c r="C8627" s="308" t="s">
        <v>33931</v>
      </c>
      <c r="D8627" s="308">
        <f>IFERROR(__xludf.DUMMYFUNCTION("SPLIT(C8627,""-"")"),8647.0)</f>
        <v>8647</v>
      </c>
      <c r="E8627" s="308" t="str">
        <f>IFERROR(__xludf.DUMMYFUNCTION("""COMPUTED_VALUE"""),"B")</f>
        <v>B</v>
      </c>
      <c r="F8627" s="315" t="s">
        <v>26</v>
      </c>
      <c r="G8627" s="308"/>
      <c r="H8627" s="308" t="s">
        <v>33932</v>
      </c>
      <c r="I8627" s="314">
        <v>42459.0</v>
      </c>
      <c r="J8627" s="319">
        <f>IFERROR(__xludf.DUMMYFUNCTION("SPLIT(I8627,""/"")"),30.0)</f>
        <v>30</v>
      </c>
      <c r="K8627" s="308">
        <f>IFERROR(__xludf.DUMMYFUNCTION("""COMPUTED_VALUE"""),3.0)</f>
        <v>3</v>
      </c>
      <c r="L8627" s="308">
        <f>IFERROR(__xludf.DUMMYFUNCTION("""COMPUTED_VALUE"""),2016.0)</f>
        <v>2016</v>
      </c>
      <c r="M8627" s="308" t="s">
        <v>33867</v>
      </c>
      <c r="N8627" s="308" t="s">
        <v>439</v>
      </c>
      <c r="O8627" s="308"/>
      <c r="P8627" s="308" t="s">
        <v>33933</v>
      </c>
      <c r="Q8627" s="308">
        <v>44671.0</v>
      </c>
      <c r="R8627" s="308" t="s">
        <v>32774</v>
      </c>
      <c r="S8627" s="308" t="s">
        <v>81</v>
      </c>
      <c r="T8627" s="308" t="s">
        <v>75</v>
      </c>
      <c r="U8627" s="308" t="s">
        <v>27</v>
      </c>
      <c r="V8627" s="308"/>
    </row>
    <row r="8628">
      <c r="A8628" s="308"/>
      <c r="B8628" s="308"/>
      <c r="C8628" s="308" t="s">
        <v>33934</v>
      </c>
      <c r="D8628" s="308">
        <f>IFERROR(__xludf.DUMMYFUNCTION("SPLIT(C8628,""-"")"),8648.0)</f>
        <v>8648</v>
      </c>
      <c r="E8628" s="308" t="str">
        <f>IFERROR(__xludf.DUMMYFUNCTION("""COMPUTED_VALUE"""),"B")</f>
        <v>B</v>
      </c>
      <c r="F8628" s="315" t="s">
        <v>26</v>
      </c>
      <c r="G8628" s="308"/>
      <c r="H8628" s="308" t="s">
        <v>33935</v>
      </c>
      <c r="I8628" s="310">
        <v>41431.0</v>
      </c>
      <c r="J8628" s="319">
        <f>IFERROR(__xludf.DUMMYFUNCTION("SPLIT(I8628,""/"")"),6.0)</f>
        <v>6</v>
      </c>
      <c r="K8628" s="308">
        <f>IFERROR(__xludf.DUMMYFUNCTION("""COMPUTED_VALUE"""),6.0)</f>
        <v>6</v>
      </c>
      <c r="L8628" s="308">
        <f>IFERROR(__xludf.DUMMYFUNCTION("""COMPUTED_VALUE"""),2013.0)</f>
        <v>2013</v>
      </c>
      <c r="M8628" s="308" t="s">
        <v>33867</v>
      </c>
      <c r="N8628" s="308" t="s">
        <v>439</v>
      </c>
      <c r="O8628" s="308"/>
      <c r="P8628" s="308" t="s">
        <v>33936</v>
      </c>
      <c r="Q8628" s="308">
        <v>44671.0</v>
      </c>
      <c r="R8628" s="308" t="s">
        <v>32774</v>
      </c>
      <c r="S8628" s="308" t="s">
        <v>81</v>
      </c>
      <c r="T8628" s="308" t="s">
        <v>75</v>
      </c>
      <c r="U8628" s="308" t="s">
        <v>27</v>
      </c>
      <c r="V8628" s="308"/>
    </row>
    <row r="8629">
      <c r="A8629" s="308"/>
      <c r="B8629" s="308"/>
      <c r="C8629" s="308" t="s">
        <v>33937</v>
      </c>
      <c r="D8629" s="308">
        <f>IFERROR(__xludf.DUMMYFUNCTION("SPLIT(C8629,""-"")"),8649.0)</f>
        <v>8649</v>
      </c>
      <c r="E8629" s="308" t="str">
        <f>IFERROR(__xludf.DUMMYFUNCTION("""COMPUTED_VALUE"""),"B")</f>
        <v>B</v>
      </c>
      <c r="F8629" s="315" t="s">
        <v>26</v>
      </c>
      <c r="G8629" s="308"/>
      <c r="H8629" s="308" t="s">
        <v>33938</v>
      </c>
      <c r="I8629" s="314">
        <v>41479.0</v>
      </c>
      <c r="J8629" s="319">
        <f>IFERROR(__xludf.DUMMYFUNCTION("SPLIT(I8629,""/"")"),24.0)</f>
        <v>24</v>
      </c>
      <c r="K8629" s="308">
        <f>IFERROR(__xludf.DUMMYFUNCTION("""COMPUTED_VALUE"""),7.0)</f>
        <v>7</v>
      </c>
      <c r="L8629" s="308">
        <f>IFERROR(__xludf.DUMMYFUNCTION("""COMPUTED_VALUE"""),2013.0)</f>
        <v>2013</v>
      </c>
      <c r="M8629" s="308" t="s">
        <v>33867</v>
      </c>
      <c r="N8629" s="308" t="s">
        <v>439</v>
      </c>
      <c r="O8629" s="308"/>
      <c r="P8629" s="308" t="s">
        <v>33939</v>
      </c>
      <c r="Q8629" s="308">
        <v>44671.0</v>
      </c>
      <c r="R8629" s="308" t="s">
        <v>32774</v>
      </c>
      <c r="S8629" s="308" t="s">
        <v>81</v>
      </c>
      <c r="T8629" s="308" t="s">
        <v>75</v>
      </c>
      <c r="U8629" s="308" t="s">
        <v>27</v>
      </c>
      <c r="V8629" s="308"/>
    </row>
    <row r="8630">
      <c r="A8630" s="308"/>
      <c r="B8630" s="308"/>
      <c r="C8630" s="308" t="s">
        <v>33940</v>
      </c>
      <c r="D8630" s="308">
        <f>IFERROR(__xludf.DUMMYFUNCTION("SPLIT(C8630,""-"")"),8650.0)</f>
        <v>8650</v>
      </c>
      <c r="E8630" s="308" t="str">
        <f>IFERROR(__xludf.DUMMYFUNCTION("""COMPUTED_VALUE"""),"B")</f>
        <v>B</v>
      </c>
      <c r="F8630" s="315" t="s">
        <v>26</v>
      </c>
      <c r="G8630" s="308"/>
      <c r="H8630" s="308" t="s">
        <v>28814</v>
      </c>
      <c r="I8630" s="314">
        <v>41484.0</v>
      </c>
      <c r="J8630" s="319">
        <f>IFERROR(__xludf.DUMMYFUNCTION("SPLIT(I8630,""/"")"),29.0)</f>
        <v>29</v>
      </c>
      <c r="K8630" s="308">
        <f>IFERROR(__xludf.DUMMYFUNCTION("""COMPUTED_VALUE"""),7.0)</f>
        <v>7</v>
      </c>
      <c r="L8630" s="308">
        <f>IFERROR(__xludf.DUMMYFUNCTION("""COMPUTED_VALUE"""),2013.0)</f>
        <v>2013</v>
      </c>
      <c r="M8630" s="308" t="s">
        <v>33867</v>
      </c>
      <c r="N8630" s="308" t="s">
        <v>439</v>
      </c>
      <c r="O8630" s="308"/>
      <c r="P8630" s="308" t="s">
        <v>33941</v>
      </c>
      <c r="Q8630" s="308">
        <v>44671.0</v>
      </c>
      <c r="R8630" s="308" t="s">
        <v>32774</v>
      </c>
      <c r="S8630" s="308" t="s">
        <v>81</v>
      </c>
      <c r="T8630" s="308" t="s">
        <v>75</v>
      </c>
      <c r="U8630" s="308" t="s">
        <v>27</v>
      </c>
      <c r="V8630" s="308"/>
    </row>
    <row r="8631">
      <c r="A8631" s="308"/>
      <c r="B8631" s="308"/>
      <c r="C8631" s="308" t="s">
        <v>33942</v>
      </c>
      <c r="D8631" s="308">
        <f>IFERROR(__xludf.DUMMYFUNCTION("SPLIT(C8631,""-"")"),8651.0)</f>
        <v>8651</v>
      </c>
      <c r="E8631" s="308" t="str">
        <f>IFERROR(__xludf.DUMMYFUNCTION("""COMPUTED_VALUE"""),"B")</f>
        <v>B</v>
      </c>
      <c r="F8631" s="315" t="s">
        <v>26</v>
      </c>
      <c r="G8631" s="308"/>
      <c r="H8631" s="308" t="s">
        <v>33943</v>
      </c>
      <c r="I8631" s="314">
        <v>41593.0</v>
      </c>
      <c r="J8631" s="319">
        <f>IFERROR(__xludf.DUMMYFUNCTION("SPLIT(I8631,""/"")"),15.0)</f>
        <v>15</v>
      </c>
      <c r="K8631" s="308">
        <f>IFERROR(__xludf.DUMMYFUNCTION("""COMPUTED_VALUE"""),11.0)</f>
        <v>11</v>
      </c>
      <c r="L8631" s="308">
        <f>IFERROR(__xludf.DUMMYFUNCTION("""COMPUTED_VALUE"""),2013.0)</f>
        <v>2013</v>
      </c>
      <c r="M8631" s="308" t="s">
        <v>33867</v>
      </c>
      <c r="N8631" s="308" t="s">
        <v>439</v>
      </c>
      <c r="O8631" s="308"/>
      <c r="P8631" s="308" t="s">
        <v>33944</v>
      </c>
      <c r="Q8631" s="308">
        <v>44671.0</v>
      </c>
      <c r="R8631" s="308" t="s">
        <v>32774</v>
      </c>
      <c r="S8631" s="308" t="s">
        <v>81</v>
      </c>
      <c r="T8631" s="308" t="s">
        <v>75</v>
      </c>
      <c r="U8631" s="308" t="s">
        <v>27</v>
      </c>
      <c r="V8631" s="308"/>
    </row>
    <row r="8632">
      <c r="A8632" s="308"/>
      <c r="B8632" s="308"/>
      <c r="C8632" s="308" t="s">
        <v>33945</v>
      </c>
      <c r="D8632" s="308">
        <f>IFERROR(__xludf.DUMMYFUNCTION("SPLIT(C8632,""-"")"),8652.0)</f>
        <v>8652</v>
      </c>
      <c r="E8632" s="308" t="str">
        <f>IFERROR(__xludf.DUMMYFUNCTION("""COMPUTED_VALUE"""),"B")</f>
        <v>B</v>
      </c>
      <c r="F8632" s="315" t="s">
        <v>26</v>
      </c>
      <c r="G8632" s="308"/>
      <c r="H8632" s="308" t="s">
        <v>33946</v>
      </c>
      <c r="I8632" s="314">
        <v>41601.0</v>
      </c>
      <c r="J8632" s="319">
        <f>IFERROR(__xludf.DUMMYFUNCTION("SPLIT(I8632,""/"")"),23.0)</f>
        <v>23</v>
      </c>
      <c r="K8632" s="308">
        <f>IFERROR(__xludf.DUMMYFUNCTION("""COMPUTED_VALUE"""),11.0)</f>
        <v>11</v>
      </c>
      <c r="L8632" s="308">
        <f>IFERROR(__xludf.DUMMYFUNCTION("""COMPUTED_VALUE"""),2013.0)</f>
        <v>2013</v>
      </c>
      <c r="M8632" s="308" t="s">
        <v>33947</v>
      </c>
      <c r="N8632" s="308" t="s">
        <v>439</v>
      </c>
      <c r="O8632" s="308"/>
      <c r="P8632" s="308" t="s">
        <v>33948</v>
      </c>
      <c r="Q8632" s="308">
        <v>44671.0</v>
      </c>
      <c r="R8632" s="308" t="s">
        <v>32774</v>
      </c>
      <c r="S8632" s="308" t="s">
        <v>81</v>
      </c>
      <c r="T8632" s="308" t="s">
        <v>75</v>
      </c>
      <c r="U8632" s="308" t="s">
        <v>27</v>
      </c>
      <c r="V8632" s="308"/>
    </row>
    <row r="8633">
      <c r="A8633" s="308"/>
      <c r="B8633" s="308"/>
      <c r="C8633" s="308" t="s">
        <v>33949</v>
      </c>
      <c r="D8633" s="308">
        <f>IFERROR(__xludf.DUMMYFUNCTION("SPLIT(C8633,""-"")"),8653.0)</f>
        <v>8653</v>
      </c>
      <c r="E8633" s="308" t="str">
        <f>IFERROR(__xludf.DUMMYFUNCTION("""COMPUTED_VALUE"""),"B")</f>
        <v>B</v>
      </c>
      <c r="F8633" s="315" t="s">
        <v>26</v>
      </c>
      <c r="G8633" s="308"/>
      <c r="H8633" s="308" t="s">
        <v>33950</v>
      </c>
      <c r="I8633" s="310">
        <v>41282.0</v>
      </c>
      <c r="J8633" s="319">
        <f>IFERROR(__xludf.DUMMYFUNCTION("SPLIT(I8633,""/"")"),8.0)</f>
        <v>8</v>
      </c>
      <c r="K8633" s="308">
        <f>IFERROR(__xludf.DUMMYFUNCTION("""COMPUTED_VALUE"""),1.0)</f>
        <v>1</v>
      </c>
      <c r="L8633" s="308">
        <f>IFERROR(__xludf.DUMMYFUNCTION("""COMPUTED_VALUE"""),2013.0)</f>
        <v>2013</v>
      </c>
      <c r="M8633" s="308" t="s">
        <v>33867</v>
      </c>
      <c r="N8633" s="308" t="s">
        <v>439</v>
      </c>
      <c r="O8633" s="308"/>
      <c r="P8633" s="308" t="s">
        <v>33951</v>
      </c>
      <c r="Q8633" s="308">
        <v>44671.0</v>
      </c>
      <c r="R8633" s="308" t="s">
        <v>32774</v>
      </c>
      <c r="S8633" s="308" t="s">
        <v>81</v>
      </c>
      <c r="T8633" s="308" t="s">
        <v>75</v>
      </c>
      <c r="U8633" s="308" t="s">
        <v>27</v>
      </c>
      <c r="V8633" s="308"/>
    </row>
    <row r="8634">
      <c r="A8634" s="308"/>
      <c r="B8634" s="308"/>
      <c r="C8634" s="308" t="s">
        <v>33952</v>
      </c>
      <c r="D8634" s="308">
        <f>IFERROR(__xludf.DUMMYFUNCTION("SPLIT(C8634,""-"")"),8654.0)</f>
        <v>8654</v>
      </c>
      <c r="E8634" s="308" t="str">
        <f>IFERROR(__xludf.DUMMYFUNCTION("""COMPUTED_VALUE"""),"B")</f>
        <v>B</v>
      </c>
      <c r="F8634" s="315" t="s">
        <v>26</v>
      </c>
      <c r="G8634" s="308"/>
      <c r="H8634" s="308" t="s">
        <v>33953</v>
      </c>
      <c r="I8634" s="310">
        <v>41640.0</v>
      </c>
      <c r="J8634" s="319">
        <f>IFERROR(__xludf.DUMMYFUNCTION("SPLIT(I8634,""/"")"),1.0)</f>
        <v>1</v>
      </c>
      <c r="K8634" s="308">
        <f>IFERROR(__xludf.DUMMYFUNCTION("""COMPUTED_VALUE"""),1.0)</f>
        <v>1</v>
      </c>
      <c r="L8634" s="308">
        <f>IFERROR(__xludf.DUMMYFUNCTION("""COMPUTED_VALUE"""),2014.0)</f>
        <v>2014</v>
      </c>
      <c r="M8634" s="308" t="s">
        <v>33867</v>
      </c>
      <c r="N8634" s="308" t="s">
        <v>439</v>
      </c>
      <c r="O8634" s="308"/>
      <c r="P8634" s="308" t="s">
        <v>33954</v>
      </c>
      <c r="Q8634" s="308">
        <v>44671.0</v>
      </c>
      <c r="R8634" s="308" t="s">
        <v>32774</v>
      </c>
      <c r="S8634" s="308" t="s">
        <v>81</v>
      </c>
      <c r="T8634" s="308" t="s">
        <v>75</v>
      </c>
      <c r="U8634" s="308" t="s">
        <v>27</v>
      </c>
      <c r="V8634" s="308"/>
    </row>
    <row r="8635">
      <c r="A8635" s="308"/>
      <c r="B8635" s="308"/>
      <c r="C8635" s="308" t="s">
        <v>33955</v>
      </c>
      <c r="D8635" s="308">
        <f>IFERROR(__xludf.DUMMYFUNCTION("SPLIT(C8635,""-"")"),8655.0)</f>
        <v>8655</v>
      </c>
      <c r="E8635" s="308" t="str">
        <f>IFERROR(__xludf.DUMMYFUNCTION("""COMPUTED_VALUE"""),"B")</f>
        <v>B</v>
      </c>
      <c r="F8635" s="315" t="s">
        <v>26</v>
      </c>
      <c r="G8635" s="308"/>
      <c r="H8635" s="308" t="s">
        <v>40351</v>
      </c>
      <c r="I8635" s="310">
        <v>42313.0</v>
      </c>
      <c r="J8635" s="319">
        <f>IFERROR(__xludf.DUMMYFUNCTION("SPLIT(I8635,""/"")"),5.0)</f>
        <v>5</v>
      </c>
      <c r="K8635" s="308">
        <f>IFERROR(__xludf.DUMMYFUNCTION("""COMPUTED_VALUE"""),11.0)</f>
        <v>11</v>
      </c>
      <c r="L8635" s="308">
        <f>IFERROR(__xludf.DUMMYFUNCTION("""COMPUTED_VALUE"""),2015.0)</f>
        <v>2015</v>
      </c>
      <c r="M8635" s="308" t="s">
        <v>33956</v>
      </c>
      <c r="N8635" s="308" t="s">
        <v>439</v>
      </c>
      <c r="O8635" s="308"/>
      <c r="P8635" s="308" t="s">
        <v>33957</v>
      </c>
      <c r="Q8635" s="308">
        <v>44671.0</v>
      </c>
      <c r="R8635" s="308" t="s">
        <v>32774</v>
      </c>
      <c r="S8635" s="308" t="s">
        <v>81</v>
      </c>
      <c r="T8635" s="308" t="s">
        <v>75</v>
      </c>
      <c r="U8635" s="308" t="s">
        <v>27</v>
      </c>
      <c r="V8635" s="308"/>
    </row>
    <row r="8636">
      <c r="A8636" s="308"/>
      <c r="B8636" s="308"/>
      <c r="C8636" s="308" t="s">
        <v>33958</v>
      </c>
      <c r="D8636" s="308">
        <f>IFERROR(__xludf.DUMMYFUNCTION("SPLIT(C8636,""-"")"),8656.0)</f>
        <v>8656</v>
      </c>
      <c r="E8636" s="308" t="str">
        <f>IFERROR(__xludf.DUMMYFUNCTION("""COMPUTED_VALUE"""),"B")</f>
        <v>B</v>
      </c>
      <c r="F8636" s="315" t="s">
        <v>26</v>
      </c>
      <c r="G8636" s="308"/>
      <c r="H8636" s="308" t="s">
        <v>33959</v>
      </c>
      <c r="I8636" s="310">
        <v>42313.0</v>
      </c>
      <c r="J8636" s="319">
        <f>IFERROR(__xludf.DUMMYFUNCTION("SPLIT(I8636,""/"")"),5.0)</f>
        <v>5</v>
      </c>
      <c r="K8636" s="308">
        <f>IFERROR(__xludf.DUMMYFUNCTION("""COMPUTED_VALUE"""),11.0)</f>
        <v>11</v>
      </c>
      <c r="L8636" s="308">
        <f>IFERROR(__xludf.DUMMYFUNCTION("""COMPUTED_VALUE"""),2015.0)</f>
        <v>2015</v>
      </c>
      <c r="M8636" s="308" t="s">
        <v>33956</v>
      </c>
      <c r="N8636" s="308" t="s">
        <v>439</v>
      </c>
      <c r="O8636" s="308"/>
      <c r="P8636" s="308" t="s">
        <v>33960</v>
      </c>
      <c r="Q8636" s="308">
        <v>44672.0</v>
      </c>
      <c r="R8636" s="308" t="s">
        <v>32774</v>
      </c>
      <c r="S8636" s="308" t="s">
        <v>81</v>
      </c>
      <c r="T8636" s="308" t="s">
        <v>75</v>
      </c>
      <c r="U8636" s="308" t="s">
        <v>27</v>
      </c>
      <c r="V8636" s="308"/>
    </row>
    <row r="8637">
      <c r="A8637" s="308"/>
      <c r="B8637" s="308"/>
      <c r="C8637" s="308" t="s">
        <v>33961</v>
      </c>
      <c r="D8637" s="308">
        <f>IFERROR(__xludf.DUMMYFUNCTION("SPLIT(C8637,""-"")"),8657.0)</f>
        <v>8657</v>
      </c>
      <c r="E8637" s="308" t="str">
        <f>IFERROR(__xludf.DUMMYFUNCTION("""COMPUTED_VALUE"""),"B")</f>
        <v>B</v>
      </c>
      <c r="F8637" s="315" t="s">
        <v>26</v>
      </c>
      <c r="G8637" s="308"/>
      <c r="H8637" s="308" t="s">
        <v>40352</v>
      </c>
      <c r="I8637" s="310">
        <v>43617.0</v>
      </c>
      <c r="J8637" s="319">
        <f>IFERROR(__xludf.DUMMYFUNCTION("SPLIT(I8637,""/"")"),1.0)</f>
        <v>1</v>
      </c>
      <c r="K8637" s="308">
        <f>IFERROR(__xludf.DUMMYFUNCTION("""COMPUTED_VALUE"""),6.0)</f>
        <v>6</v>
      </c>
      <c r="L8637" s="308">
        <f>IFERROR(__xludf.DUMMYFUNCTION("""COMPUTED_VALUE"""),2019.0)</f>
        <v>2019</v>
      </c>
      <c r="M8637" s="308" t="s">
        <v>33963</v>
      </c>
      <c r="N8637" s="308" t="s">
        <v>439</v>
      </c>
      <c r="O8637" s="308"/>
      <c r="P8637" s="308" t="s">
        <v>33964</v>
      </c>
      <c r="Q8637" s="308">
        <v>44673.0</v>
      </c>
      <c r="R8637" s="308" t="s">
        <v>32774</v>
      </c>
      <c r="S8637" s="308" t="s">
        <v>81</v>
      </c>
      <c r="T8637" s="308" t="s">
        <v>75</v>
      </c>
      <c r="U8637" s="308" t="s">
        <v>27</v>
      </c>
      <c r="V8637" s="308"/>
    </row>
    <row r="8638">
      <c r="A8638" s="308"/>
      <c r="B8638" s="308"/>
      <c r="C8638" s="308" t="s">
        <v>33965</v>
      </c>
      <c r="D8638" s="308">
        <f>IFERROR(__xludf.DUMMYFUNCTION("SPLIT(C8638,""-"")"),8658.0)</f>
        <v>8658</v>
      </c>
      <c r="E8638" s="308" t="str">
        <f>IFERROR(__xludf.DUMMYFUNCTION("""COMPUTED_VALUE"""),"B")</f>
        <v>B</v>
      </c>
      <c r="F8638" s="315" t="s">
        <v>26</v>
      </c>
      <c r="G8638" s="308"/>
      <c r="H8638" s="308" t="s">
        <v>33966</v>
      </c>
      <c r="I8638" s="314">
        <v>41483.0</v>
      </c>
      <c r="J8638" s="319">
        <f>IFERROR(__xludf.DUMMYFUNCTION("SPLIT(I8638,""/"")"),28.0)</f>
        <v>28</v>
      </c>
      <c r="K8638" s="308">
        <f>IFERROR(__xludf.DUMMYFUNCTION("""COMPUTED_VALUE"""),7.0)</f>
        <v>7</v>
      </c>
      <c r="L8638" s="308">
        <f>IFERROR(__xludf.DUMMYFUNCTION("""COMPUTED_VALUE"""),2013.0)</f>
        <v>2013</v>
      </c>
      <c r="M8638" s="308" t="s">
        <v>33967</v>
      </c>
      <c r="N8638" s="308" t="s">
        <v>439</v>
      </c>
      <c r="O8638" s="308"/>
      <c r="P8638" s="308" t="s">
        <v>33968</v>
      </c>
      <c r="Q8638" s="308">
        <v>44674.0</v>
      </c>
      <c r="R8638" s="308" t="s">
        <v>32774</v>
      </c>
      <c r="S8638" s="308" t="s">
        <v>81</v>
      </c>
      <c r="T8638" s="308" t="s">
        <v>75</v>
      </c>
      <c r="U8638" s="308" t="s">
        <v>27</v>
      </c>
      <c r="V8638" s="308"/>
    </row>
    <row r="8639">
      <c r="A8639" s="308"/>
      <c r="B8639" s="308"/>
      <c r="C8639" s="308" t="s">
        <v>33969</v>
      </c>
      <c r="D8639" s="308">
        <f>IFERROR(__xludf.DUMMYFUNCTION("SPLIT(C8639,""-"")"),8659.0)</f>
        <v>8659</v>
      </c>
      <c r="E8639" s="308" t="str">
        <f>IFERROR(__xludf.DUMMYFUNCTION("""COMPUTED_VALUE"""),"B")</f>
        <v>B</v>
      </c>
      <c r="F8639" s="315" t="s">
        <v>26</v>
      </c>
      <c r="G8639" s="308"/>
      <c r="H8639" s="308" t="s">
        <v>33970</v>
      </c>
      <c r="I8639" s="310">
        <v>41341.0</v>
      </c>
      <c r="J8639" s="319">
        <f>IFERROR(__xludf.DUMMYFUNCTION("SPLIT(I8639,""/"")"),8.0)</f>
        <v>8</v>
      </c>
      <c r="K8639" s="308">
        <f>IFERROR(__xludf.DUMMYFUNCTION("""COMPUTED_VALUE"""),3.0)</f>
        <v>3</v>
      </c>
      <c r="L8639" s="308">
        <f>IFERROR(__xludf.DUMMYFUNCTION("""COMPUTED_VALUE"""),2013.0)</f>
        <v>2013</v>
      </c>
      <c r="M8639" s="308" t="s">
        <v>33971</v>
      </c>
      <c r="N8639" s="308" t="s">
        <v>439</v>
      </c>
      <c r="O8639" s="308"/>
      <c r="P8639" s="308" t="s">
        <v>33972</v>
      </c>
      <c r="Q8639" s="308">
        <v>44675.0</v>
      </c>
      <c r="R8639" s="308" t="s">
        <v>32774</v>
      </c>
      <c r="S8639" s="308" t="s">
        <v>81</v>
      </c>
      <c r="T8639" s="308" t="s">
        <v>75</v>
      </c>
      <c r="U8639" s="308" t="s">
        <v>27</v>
      </c>
      <c r="V8639" s="308"/>
    </row>
    <row r="8640">
      <c r="A8640" s="308"/>
      <c r="B8640" s="308"/>
      <c r="C8640" s="308" t="s">
        <v>33973</v>
      </c>
      <c r="D8640" s="308">
        <f>IFERROR(__xludf.DUMMYFUNCTION("SPLIT(C8640,""-"")"),8660.0)</f>
        <v>8660</v>
      </c>
      <c r="E8640" s="308" t="str">
        <f>IFERROR(__xludf.DUMMYFUNCTION("""COMPUTED_VALUE"""),"B")</f>
        <v>B</v>
      </c>
      <c r="F8640" s="315" t="s">
        <v>26</v>
      </c>
      <c r="G8640" s="308"/>
      <c r="H8640" s="308" t="s">
        <v>4790</v>
      </c>
      <c r="I8640" s="310">
        <v>41246.0</v>
      </c>
      <c r="J8640" s="319">
        <f>IFERROR(__xludf.DUMMYFUNCTION("SPLIT(I8640,""/"")"),3.0)</f>
        <v>3</v>
      </c>
      <c r="K8640" s="308">
        <f>IFERROR(__xludf.DUMMYFUNCTION("""COMPUTED_VALUE"""),12.0)</f>
        <v>12</v>
      </c>
      <c r="L8640" s="308">
        <f>IFERROR(__xludf.DUMMYFUNCTION("""COMPUTED_VALUE"""),2012.0)</f>
        <v>2012</v>
      </c>
      <c r="M8640" s="308" t="s">
        <v>33867</v>
      </c>
      <c r="N8640" s="308" t="s">
        <v>439</v>
      </c>
      <c r="O8640" s="308"/>
      <c r="P8640" s="308" t="s">
        <v>33974</v>
      </c>
      <c r="Q8640" s="308">
        <v>44676.0</v>
      </c>
      <c r="R8640" s="308" t="s">
        <v>32774</v>
      </c>
      <c r="S8640" s="308" t="s">
        <v>81</v>
      </c>
      <c r="T8640" s="311" t="s">
        <v>77</v>
      </c>
      <c r="U8640" s="308" t="s">
        <v>27</v>
      </c>
      <c r="V8640" s="308"/>
    </row>
    <row r="8641">
      <c r="A8641" s="308"/>
      <c r="B8641" s="308"/>
      <c r="C8641" s="308" t="s">
        <v>33975</v>
      </c>
      <c r="D8641" s="308">
        <f>IFERROR(__xludf.DUMMYFUNCTION("SPLIT(C8641,""-"")"),8661.0)</f>
        <v>8661</v>
      </c>
      <c r="E8641" s="308" t="str">
        <f>IFERROR(__xludf.DUMMYFUNCTION("""COMPUTED_VALUE"""),"B")</f>
        <v>B</v>
      </c>
      <c r="F8641" s="315" t="s">
        <v>26</v>
      </c>
      <c r="G8641" s="308"/>
      <c r="H8641" s="308" t="s">
        <v>33976</v>
      </c>
      <c r="I8641" s="310">
        <v>37730.0</v>
      </c>
      <c r="J8641" s="319">
        <f>IFERROR(__xludf.DUMMYFUNCTION("SPLIT(I8641,""/"")"),19.0)</f>
        <v>19</v>
      </c>
      <c r="K8641" s="308">
        <f>IFERROR(__xludf.DUMMYFUNCTION("""COMPUTED_VALUE"""),4.0)</f>
        <v>4</v>
      </c>
      <c r="L8641" s="308">
        <f>IFERROR(__xludf.DUMMYFUNCTION("""COMPUTED_VALUE"""),2003.0)</f>
        <v>2003</v>
      </c>
      <c r="M8641" s="308" t="s">
        <v>33977</v>
      </c>
      <c r="N8641" s="308" t="s">
        <v>439</v>
      </c>
      <c r="O8641" s="308"/>
      <c r="P8641" s="308" t="s">
        <v>33978</v>
      </c>
      <c r="Q8641" s="308">
        <v>44677.0</v>
      </c>
      <c r="R8641" s="308" t="s">
        <v>32774</v>
      </c>
      <c r="S8641" s="308" t="s">
        <v>49</v>
      </c>
      <c r="T8641" s="311" t="s">
        <v>59</v>
      </c>
      <c r="U8641" s="308" t="s">
        <v>27</v>
      </c>
      <c r="V8641" s="308" t="s">
        <v>33979</v>
      </c>
    </row>
    <row r="8642">
      <c r="A8642" s="308"/>
      <c r="B8642" s="308"/>
      <c r="C8642" s="308" t="s">
        <v>33980</v>
      </c>
      <c r="D8642" s="308">
        <f>IFERROR(__xludf.DUMMYFUNCTION("SPLIT(C8642,""-"")"),8662.0)</f>
        <v>8662</v>
      </c>
      <c r="E8642" s="308" t="str">
        <f>IFERROR(__xludf.DUMMYFUNCTION("""COMPUTED_VALUE"""),"B")</f>
        <v>B</v>
      </c>
      <c r="F8642" s="315" t="s">
        <v>26</v>
      </c>
      <c r="G8642" s="308"/>
      <c r="H8642" s="308" t="s">
        <v>33981</v>
      </c>
      <c r="I8642" s="314">
        <v>44551.0</v>
      </c>
      <c r="J8642" s="319">
        <f>IFERROR(__xludf.DUMMYFUNCTION("SPLIT(I8642,""/"")"),21.0)</f>
        <v>21</v>
      </c>
      <c r="K8642" s="308">
        <f>IFERROR(__xludf.DUMMYFUNCTION("""COMPUTED_VALUE"""),12.0)</f>
        <v>12</v>
      </c>
      <c r="L8642" s="308">
        <f>IFERROR(__xludf.DUMMYFUNCTION("""COMPUTED_VALUE"""),2021.0)</f>
        <v>2021</v>
      </c>
      <c r="M8642" s="308" t="s">
        <v>33982</v>
      </c>
      <c r="N8642" s="308" t="s">
        <v>33983</v>
      </c>
      <c r="O8642" s="308"/>
      <c r="P8642" s="308" t="s">
        <v>136</v>
      </c>
      <c r="Q8642" s="308">
        <v>44680.0</v>
      </c>
      <c r="R8642" s="308" t="s">
        <v>20958</v>
      </c>
      <c r="S8642" s="315" t="s">
        <v>100</v>
      </c>
      <c r="T8642" s="308" t="s">
        <v>34208</v>
      </c>
      <c r="U8642" s="308" t="s">
        <v>32175</v>
      </c>
      <c r="V8642" s="308" t="s">
        <v>33984</v>
      </c>
    </row>
    <row r="8643">
      <c r="A8643" s="308"/>
      <c r="B8643" s="308"/>
      <c r="C8643" s="308" t="s">
        <v>33985</v>
      </c>
      <c r="D8643" s="308">
        <f>IFERROR(__xludf.DUMMYFUNCTION("SPLIT(C8643,""-"")"),8663.0)</f>
        <v>8663</v>
      </c>
      <c r="E8643" s="308" t="str">
        <f>IFERROR(__xludf.DUMMYFUNCTION("""COMPUTED_VALUE"""),"B")</f>
        <v>B</v>
      </c>
      <c r="F8643" s="315" t="s">
        <v>26</v>
      </c>
      <c r="G8643" s="308"/>
      <c r="H8643" s="308" t="s">
        <v>33986</v>
      </c>
      <c r="I8643" s="310">
        <v>44598.0</v>
      </c>
      <c r="J8643" s="319">
        <f>IFERROR(__xludf.DUMMYFUNCTION("SPLIT(I8643,""/"")"),6.0)</f>
        <v>6</v>
      </c>
      <c r="K8643" s="308">
        <f>IFERROR(__xludf.DUMMYFUNCTION("""COMPUTED_VALUE"""),2.0)</f>
        <v>2</v>
      </c>
      <c r="L8643" s="308">
        <f>IFERROR(__xludf.DUMMYFUNCTION("""COMPUTED_VALUE"""),2022.0)</f>
        <v>2022</v>
      </c>
      <c r="M8643" s="308" t="s">
        <v>33987</v>
      </c>
      <c r="N8643" s="308" t="s">
        <v>33988</v>
      </c>
      <c r="O8643" s="308"/>
      <c r="P8643" s="308" t="s">
        <v>136</v>
      </c>
      <c r="Q8643" s="308">
        <v>44680.0</v>
      </c>
      <c r="R8643" s="308" t="s">
        <v>20958</v>
      </c>
      <c r="S8643" s="315" t="s">
        <v>100</v>
      </c>
      <c r="T8643" s="308" t="s">
        <v>34208</v>
      </c>
      <c r="U8643" s="308" t="s">
        <v>32175</v>
      </c>
      <c r="V8643" s="308"/>
    </row>
    <row r="8644">
      <c r="A8644" s="308"/>
      <c r="B8644" s="308"/>
      <c r="C8644" s="308" t="s">
        <v>33989</v>
      </c>
      <c r="D8644" s="308">
        <f>IFERROR(__xludf.DUMMYFUNCTION("SPLIT(C8644,""-"")"),8664.0)</f>
        <v>8664</v>
      </c>
      <c r="E8644" s="308" t="str">
        <f>IFERROR(__xludf.DUMMYFUNCTION("""COMPUTED_VALUE"""),"P")</f>
        <v>P</v>
      </c>
      <c r="F8644" s="312" t="s">
        <v>37</v>
      </c>
      <c r="G8644" s="308"/>
      <c r="H8644" s="308" t="s">
        <v>31550</v>
      </c>
      <c r="I8644" s="310">
        <v>44663.0</v>
      </c>
      <c r="J8644" s="319">
        <f>IFERROR(__xludf.DUMMYFUNCTION("SPLIT(I8644,""/"")"),12.0)</f>
        <v>12</v>
      </c>
      <c r="K8644" s="308">
        <f>IFERROR(__xludf.DUMMYFUNCTION("""COMPUTED_VALUE"""),4.0)</f>
        <v>4</v>
      </c>
      <c r="L8644" s="308">
        <f>IFERROR(__xludf.DUMMYFUNCTION("""COMPUTED_VALUE"""),2022.0)</f>
        <v>2022</v>
      </c>
      <c r="M8644" s="308" t="s">
        <v>33990</v>
      </c>
      <c r="N8644" s="308" t="s">
        <v>31552</v>
      </c>
      <c r="O8644" s="308"/>
      <c r="P8644" s="308" t="s">
        <v>136</v>
      </c>
      <c r="Q8644" s="308">
        <v>44680.0</v>
      </c>
      <c r="R8644" s="308" t="s">
        <v>31554</v>
      </c>
      <c r="S8644" s="315" t="s">
        <v>100</v>
      </c>
      <c r="T8644" s="308" t="s">
        <v>34208</v>
      </c>
      <c r="U8644" s="308" t="s">
        <v>1435</v>
      </c>
      <c r="V8644" s="308"/>
    </row>
    <row r="8645">
      <c r="A8645" s="308"/>
      <c r="B8645" s="308"/>
      <c r="C8645" s="308" t="s">
        <v>33991</v>
      </c>
      <c r="D8645" s="308">
        <f>IFERROR(__xludf.DUMMYFUNCTION("SPLIT(C8645,""-"")"),8665.0)</f>
        <v>8665</v>
      </c>
      <c r="E8645" s="308" t="str">
        <f>IFERROR(__xludf.DUMMYFUNCTION("""COMPUTED_VALUE"""),"K")</f>
        <v>K</v>
      </c>
      <c r="F8645" s="309" t="s">
        <v>34</v>
      </c>
      <c r="G8645" s="308"/>
      <c r="H8645" s="308" t="s">
        <v>33992</v>
      </c>
      <c r="I8645" s="310">
        <v>40403.0</v>
      </c>
      <c r="J8645" s="319">
        <f>IFERROR(__xludf.DUMMYFUNCTION("SPLIT(I8645,""/"")"),13.0)</f>
        <v>13</v>
      </c>
      <c r="K8645" s="308">
        <f>IFERROR(__xludf.DUMMYFUNCTION("""COMPUTED_VALUE"""),8.0)</f>
        <v>8</v>
      </c>
      <c r="L8645" s="308">
        <f>IFERROR(__xludf.DUMMYFUNCTION("""COMPUTED_VALUE"""),2010.0)</f>
        <v>2010</v>
      </c>
      <c r="M8645" s="308" t="s">
        <v>33993</v>
      </c>
      <c r="N8645" s="308" t="s">
        <v>33994</v>
      </c>
      <c r="O8645" s="308"/>
      <c r="P8645" s="308" t="s">
        <v>136</v>
      </c>
      <c r="Q8645" s="308">
        <v>44680.0</v>
      </c>
      <c r="R8645" s="308" t="s">
        <v>2743</v>
      </c>
      <c r="S8645" s="315" t="s">
        <v>100</v>
      </c>
      <c r="T8645" s="308" t="s">
        <v>34208</v>
      </c>
      <c r="U8645" s="308" t="s">
        <v>156</v>
      </c>
      <c r="V8645" s="308"/>
    </row>
    <row r="8646">
      <c r="A8646" s="308"/>
      <c r="B8646" s="308"/>
      <c r="C8646" s="308" t="s">
        <v>33995</v>
      </c>
      <c r="D8646" s="308">
        <f>IFERROR(__xludf.DUMMYFUNCTION("SPLIT(C8646,""-"")"),8666.0)</f>
        <v>8666</v>
      </c>
      <c r="E8646" s="308" t="str">
        <f>IFERROR(__xludf.DUMMYFUNCTION("""COMPUTED_VALUE"""),"K")</f>
        <v>K</v>
      </c>
      <c r="F8646" s="309" t="s">
        <v>34</v>
      </c>
      <c r="G8646" s="308"/>
      <c r="H8646" s="308" t="s">
        <v>33996</v>
      </c>
      <c r="I8646" s="310">
        <v>41883.0</v>
      </c>
      <c r="J8646" s="319">
        <f>IFERROR(__xludf.DUMMYFUNCTION("SPLIT(I8646,""/"")"),1.0)</f>
        <v>1</v>
      </c>
      <c r="K8646" s="308">
        <f>IFERROR(__xludf.DUMMYFUNCTION("""COMPUTED_VALUE"""),9.0)</f>
        <v>9</v>
      </c>
      <c r="L8646" s="308">
        <f>IFERROR(__xludf.DUMMYFUNCTION("""COMPUTED_VALUE"""),2014.0)</f>
        <v>2014</v>
      </c>
      <c r="M8646" s="308" t="s">
        <v>33997</v>
      </c>
      <c r="N8646" s="308" t="s">
        <v>33998</v>
      </c>
      <c r="O8646" s="308"/>
      <c r="P8646" s="308" t="s">
        <v>136</v>
      </c>
      <c r="Q8646" s="308">
        <v>44680.0</v>
      </c>
      <c r="R8646" s="308" t="s">
        <v>2743</v>
      </c>
      <c r="S8646" s="315" t="s">
        <v>100</v>
      </c>
      <c r="T8646" s="308" t="s">
        <v>34208</v>
      </c>
      <c r="U8646" s="308" t="s">
        <v>125</v>
      </c>
      <c r="V8646" s="308"/>
    </row>
    <row r="8647">
      <c r="A8647" s="308"/>
      <c r="B8647" s="308"/>
      <c r="C8647" s="308" t="s">
        <v>33999</v>
      </c>
      <c r="D8647" s="308">
        <f>IFERROR(__xludf.DUMMYFUNCTION("SPLIT(C8647,""-"")"),8667.0)</f>
        <v>8667</v>
      </c>
      <c r="E8647" s="308" t="str">
        <f>IFERROR(__xludf.DUMMYFUNCTION("""COMPUTED_VALUE"""),"K")</f>
        <v>K</v>
      </c>
      <c r="F8647" s="309" t="s">
        <v>34</v>
      </c>
      <c r="G8647" s="308"/>
      <c r="H8647" s="308" t="s">
        <v>34000</v>
      </c>
      <c r="I8647" s="314">
        <v>42352.0</v>
      </c>
      <c r="J8647" s="319">
        <f>IFERROR(__xludf.DUMMYFUNCTION("SPLIT(I8647,""/"")"),14.0)</f>
        <v>14</v>
      </c>
      <c r="K8647" s="308">
        <f>IFERROR(__xludf.DUMMYFUNCTION("""COMPUTED_VALUE"""),12.0)</f>
        <v>12</v>
      </c>
      <c r="L8647" s="308">
        <f>IFERROR(__xludf.DUMMYFUNCTION("""COMPUTED_VALUE"""),2015.0)</f>
        <v>2015</v>
      </c>
      <c r="M8647" s="308" t="s">
        <v>34001</v>
      </c>
      <c r="N8647" s="308" t="s">
        <v>34002</v>
      </c>
      <c r="O8647" s="308"/>
      <c r="P8647" s="308" t="s">
        <v>136</v>
      </c>
      <c r="Q8647" s="308">
        <v>44680.0</v>
      </c>
      <c r="R8647" s="308" t="s">
        <v>2743</v>
      </c>
      <c r="S8647" s="315" t="s">
        <v>100</v>
      </c>
      <c r="T8647" s="308" t="s">
        <v>34208</v>
      </c>
      <c r="U8647" s="308" t="s">
        <v>542</v>
      </c>
      <c r="V8647" s="308"/>
    </row>
    <row r="8648">
      <c r="A8648" s="308"/>
      <c r="B8648" s="308"/>
      <c r="C8648" s="308" t="s">
        <v>34003</v>
      </c>
      <c r="D8648" s="308">
        <f>IFERROR(__xludf.DUMMYFUNCTION("SPLIT(C8648,""-"")"),8668.0)</f>
        <v>8668</v>
      </c>
      <c r="E8648" s="308" t="str">
        <f>IFERROR(__xludf.DUMMYFUNCTION("""COMPUTED_VALUE"""),"P")</f>
        <v>P</v>
      </c>
      <c r="F8648" s="312" t="s">
        <v>37</v>
      </c>
      <c r="G8648" s="308"/>
      <c r="H8648" s="308" t="s">
        <v>34004</v>
      </c>
      <c r="I8648" s="310">
        <v>44678.0</v>
      </c>
      <c r="J8648" s="319">
        <f>IFERROR(__xludf.DUMMYFUNCTION("SPLIT(I8648,""/"")"),27.0)</f>
        <v>27</v>
      </c>
      <c r="K8648" s="308">
        <f>IFERROR(__xludf.DUMMYFUNCTION("""COMPUTED_VALUE"""),4.0)</f>
        <v>4</v>
      </c>
      <c r="L8648" s="308">
        <f>IFERROR(__xludf.DUMMYFUNCTION("""COMPUTED_VALUE"""),2022.0)</f>
        <v>2022</v>
      </c>
      <c r="M8648" s="308" t="s">
        <v>34005</v>
      </c>
      <c r="N8648" s="308" t="s">
        <v>34006</v>
      </c>
      <c r="O8648" s="308"/>
      <c r="P8648" s="308" t="s">
        <v>34007</v>
      </c>
      <c r="Q8648" s="308">
        <v>44680.0</v>
      </c>
      <c r="R8648" s="308" t="s">
        <v>2743</v>
      </c>
      <c r="S8648" s="308" t="s">
        <v>81</v>
      </c>
      <c r="T8648" s="311" t="s">
        <v>75</v>
      </c>
      <c r="U8648" s="308" t="s">
        <v>149</v>
      </c>
      <c r="V8648" s="308"/>
    </row>
    <row r="8649">
      <c r="A8649" s="308"/>
      <c r="B8649" s="308"/>
      <c r="C8649" s="308" t="s">
        <v>34008</v>
      </c>
      <c r="D8649" s="308">
        <f>IFERROR(__xludf.DUMMYFUNCTION("SPLIT(C8649,""-"")"),8669.0)</f>
        <v>8669</v>
      </c>
      <c r="E8649" s="308" t="str">
        <f>IFERROR(__xludf.DUMMYFUNCTION("""COMPUTED_VALUE"""),"B")</f>
        <v>B</v>
      </c>
      <c r="F8649" s="315" t="s">
        <v>26</v>
      </c>
      <c r="G8649" s="308"/>
      <c r="H8649" s="308" t="s">
        <v>34009</v>
      </c>
      <c r="I8649" s="310">
        <v>42839.0</v>
      </c>
      <c r="J8649" s="319">
        <f>IFERROR(__xludf.DUMMYFUNCTION("SPLIT(I8649,""/"")"),14.0)</f>
        <v>14</v>
      </c>
      <c r="K8649" s="308">
        <f>IFERROR(__xludf.DUMMYFUNCTION("""COMPUTED_VALUE"""),4.0)</f>
        <v>4</v>
      </c>
      <c r="L8649" s="308">
        <f>IFERROR(__xludf.DUMMYFUNCTION("""COMPUTED_VALUE"""),2017.0)</f>
        <v>2017</v>
      </c>
      <c r="M8649" s="308" t="s">
        <v>34010</v>
      </c>
      <c r="N8649" s="308" t="s">
        <v>34011</v>
      </c>
      <c r="O8649" s="308"/>
      <c r="P8649" s="308" t="s">
        <v>136</v>
      </c>
      <c r="Q8649" s="308">
        <v>44692.0</v>
      </c>
      <c r="R8649" s="308" t="s">
        <v>20958</v>
      </c>
      <c r="S8649" s="315" t="s">
        <v>100</v>
      </c>
      <c r="T8649" s="308" t="s">
        <v>34208</v>
      </c>
      <c r="U8649" s="308" t="s">
        <v>32175</v>
      </c>
      <c r="V8649" s="308"/>
    </row>
    <row r="8650">
      <c r="A8650" s="308"/>
      <c r="B8650" s="308"/>
      <c r="C8650" s="308" t="s">
        <v>34012</v>
      </c>
      <c r="D8650" s="308">
        <f>IFERROR(__xludf.DUMMYFUNCTION("SPLIT(C8650,""-"")"),8670.0)</f>
        <v>8670</v>
      </c>
      <c r="E8650" s="308" t="str">
        <f>IFERROR(__xludf.DUMMYFUNCTION("""COMPUTED_VALUE"""),"B")</f>
        <v>B</v>
      </c>
      <c r="F8650" s="315" t="s">
        <v>26</v>
      </c>
      <c r="G8650" s="308"/>
      <c r="H8650" s="308" t="s">
        <v>34013</v>
      </c>
      <c r="I8650" s="314">
        <v>44516.0</v>
      </c>
      <c r="J8650" s="319">
        <f>IFERROR(__xludf.DUMMYFUNCTION("SPLIT(I8650,""/"")"),16.0)</f>
        <v>16</v>
      </c>
      <c r="K8650" s="308">
        <f>IFERROR(__xludf.DUMMYFUNCTION("""COMPUTED_VALUE"""),11.0)</f>
        <v>11</v>
      </c>
      <c r="L8650" s="308">
        <f>IFERROR(__xludf.DUMMYFUNCTION("""COMPUTED_VALUE"""),2021.0)</f>
        <v>2021</v>
      </c>
      <c r="M8650" s="308" t="s">
        <v>34014</v>
      </c>
      <c r="N8650" s="308" t="s">
        <v>34015</v>
      </c>
      <c r="O8650" s="308"/>
      <c r="P8650" s="308" t="s">
        <v>136</v>
      </c>
      <c r="Q8650" s="308">
        <v>44692.0</v>
      </c>
      <c r="R8650" s="308" t="s">
        <v>2743</v>
      </c>
      <c r="S8650" s="315" t="s">
        <v>100</v>
      </c>
      <c r="T8650" s="308" t="s">
        <v>34208</v>
      </c>
      <c r="U8650" s="308" t="s">
        <v>34016</v>
      </c>
      <c r="V8650" s="308"/>
    </row>
    <row r="8651">
      <c r="A8651" s="308"/>
      <c r="B8651" s="308"/>
      <c r="C8651" s="308" t="s">
        <v>34017</v>
      </c>
      <c r="D8651" s="308">
        <f>IFERROR(__xludf.DUMMYFUNCTION("SPLIT(C8651,""-"")"),8671.0)</f>
        <v>8671</v>
      </c>
      <c r="E8651" s="308" t="str">
        <f>IFERROR(__xludf.DUMMYFUNCTION("""COMPUTED_VALUE"""),"B")</f>
        <v>B</v>
      </c>
      <c r="F8651" s="315" t="s">
        <v>26</v>
      </c>
      <c r="G8651" s="308"/>
      <c r="H8651" s="308" t="s">
        <v>34018</v>
      </c>
      <c r="I8651" s="314">
        <v>41958.0</v>
      </c>
      <c r="J8651" s="319">
        <f>IFERROR(__xludf.DUMMYFUNCTION("SPLIT(I8651,""/"")"),15.0)</f>
        <v>15</v>
      </c>
      <c r="K8651" s="308">
        <f>IFERROR(__xludf.DUMMYFUNCTION("""COMPUTED_VALUE"""),11.0)</f>
        <v>11</v>
      </c>
      <c r="L8651" s="308">
        <f>IFERROR(__xludf.DUMMYFUNCTION("""COMPUTED_VALUE"""),2014.0)</f>
        <v>2014</v>
      </c>
      <c r="M8651" s="308" t="s">
        <v>34019</v>
      </c>
      <c r="N8651" s="308" t="s">
        <v>34020</v>
      </c>
      <c r="O8651" s="308"/>
      <c r="P8651" s="308" t="s">
        <v>136</v>
      </c>
      <c r="Q8651" s="308">
        <v>44692.0</v>
      </c>
      <c r="R8651" s="308" t="s">
        <v>20958</v>
      </c>
      <c r="S8651" s="315" t="s">
        <v>100</v>
      </c>
      <c r="T8651" s="308" t="s">
        <v>34208</v>
      </c>
      <c r="U8651" s="308" t="s">
        <v>32580</v>
      </c>
      <c r="V8651" s="308"/>
    </row>
    <row r="8652">
      <c r="A8652" s="308"/>
      <c r="B8652" s="308"/>
      <c r="C8652" s="308" t="s">
        <v>34021</v>
      </c>
      <c r="D8652" s="308">
        <f>IFERROR(__xludf.DUMMYFUNCTION("SPLIT(C8652,""-"")"),8672.0)</f>
        <v>8672</v>
      </c>
      <c r="E8652" s="308" t="str">
        <f>IFERROR(__xludf.DUMMYFUNCTION("""COMPUTED_VALUE"""),"I")</f>
        <v>I</v>
      </c>
      <c r="F8652" s="309" t="s">
        <v>31</v>
      </c>
      <c r="G8652" s="308"/>
      <c r="H8652" s="308" t="s">
        <v>40353</v>
      </c>
      <c r="I8652" s="310">
        <v>42018.0</v>
      </c>
      <c r="J8652" s="319">
        <f>IFERROR(__xludf.DUMMYFUNCTION("SPLIT(I8652,""/"")"),14.0)</f>
        <v>14</v>
      </c>
      <c r="K8652" s="308">
        <f>IFERROR(__xludf.DUMMYFUNCTION("""COMPUTED_VALUE"""),1.0)</f>
        <v>1</v>
      </c>
      <c r="L8652" s="308">
        <f>IFERROR(__xludf.DUMMYFUNCTION("""COMPUTED_VALUE"""),2015.0)</f>
        <v>2015</v>
      </c>
      <c r="M8652" s="308" t="s">
        <v>34023</v>
      </c>
      <c r="N8652" s="308" t="s">
        <v>34024</v>
      </c>
      <c r="O8652" s="308" t="s">
        <v>40354</v>
      </c>
      <c r="P8652" s="308" t="s">
        <v>136</v>
      </c>
      <c r="Q8652" s="308">
        <v>44692.0</v>
      </c>
      <c r="R8652" s="308" t="s">
        <v>2743</v>
      </c>
      <c r="S8652" s="315" t="s">
        <v>100</v>
      </c>
      <c r="T8652" s="308" t="s">
        <v>34208</v>
      </c>
      <c r="U8652" s="308" t="s">
        <v>31</v>
      </c>
      <c r="V8652" s="308"/>
    </row>
    <row r="8653">
      <c r="A8653" s="308"/>
      <c r="B8653" s="308"/>
      <c r="C8653" s="308" t="s">
        <v>34026</v>
      </c>
      <c r="D8653" s="308">
        <f>IFERROR(__xludf.DUMMYFUNCTION("SPLIT(C8653,""-"")"),8673.0)</f>
        <v>8673</v>
      </c>
      <c r="E8653" s="308" t="str">
        <f>IFERROR(__xludf.DUMMYFUNCTION("""COMPUTED_VALUE"""),"S")</f>
        <v>S</v>
      </c>
      <c r="F8653" s="312" t="s">
        <v>39</v>
      </c>
      <c r="G8653" s="308"/>
      <c r="H8653" s="308" t="s">
        <v>34027</v>
      </c>
      <c r="I8653" s="310">
        <v>44663.0</v>
      </c>
      <c r="J8653" s="319">
        <f>IFERROR(__xludf.DUMMYFUNCTION("SPLIT(I8653,""/"")"),12.0)</f>
        <v>12</v>
      </c>
      <c r="K8653" s="308">
        <f>IFERROR(__xludf.DUMMYFUNCTION("""COMPUTED_VALUE"""),4.0)</f>
        <v>4</v>
      </c>
      <c r="L8653" s="308">
        <f>IFERROR(__xludf.DUMMYFUNCTION("""COMPUTED_VALUE"""),2022.0)</f>
        <v>2022</v>
      </c>
      <c r="M8653" s="308" t="s">
        <v>34028</v>
      </c>
      <c r="N8653" s="308" t="s">
        <v>34029</v>
      </c>
      <c r="O8653" s="308"/>
      <c r="P8653" s="308" t="s">
        <v>136</v>
      </c>
      <c r="Q8653" s="308">
        <v>44697.0</v>
      </c>
      <c r="R8653" s="308" t="s">
        <v>2743</v>
      </c>
      <c r="S8653" s="315" t="s">
        <v>100</v>
      </c>
      <c r="T8653" s="308" t="s">
        <v>34208</v>
      </c>
      <c r="U8653" s="308" t="s">
        <v>166</v>
      </c>
      <c r="V8653" s="308"/>
    </row>
    <row r="8654">
      <c r="A8654" s="308"/>
      <c r="B8654" s="308"/>
      <c r="C8654" s="308" t="s">
        <v>34030</v>
      </c>
      <c r="D8654" s="308">
        <f>IFERROR(__xludf.DUMMYFUNCTION("SPLIT(C8654,""-"")"),8674.0)</f>
        <v>8674</v>
      </c>
      <c r="E8654" s="308" t="str">
        <f>IFERROR(__xludf.DUMMYFUNCTION("""COMPUTED_VALUE"""),"K")</f>
        <v>K</v>
      </c>
      <c r="F8654" s="309" t="s">
        <v>34</v>
      </c>
      <c r="G8654" s="308"/>
      <c r="H8654" s="308" t="s">
        <v>34031</v>
      </c>
      <c r="I8654" s="316" t="s">
        <v>34032</v>
      </c>
      <c r="J8654" s="319"/>
      <c r="K8654" s="308"/>
      <c r="L8654" s="311">
        <v>2021.0</v>
      </c>
      <c r="M8654" s="308" t="s">
        <v>34033</v>
      </c>
      <c r="N8654" s="308" t="s">
        <v>439</v>
      </c>
      <c r="O8654" s="308"/>
      <c r="P8654" s="308" t="s">
        <v>136</v>
      </c>
      <c r="Q8654" s="308">
        <v>44697.0</v>
      </c>
      <c r="R8654" s="308" t="s">
        <v>2743</v>
      </c>
      <c r="S8654" s="315" t="s">
        <v>100</v>
      </c>
      <c r="T8654" s="308" t="s">
        <v>34208</v>
      </c>
      <c r="U8654" s="308" t="s">
        <v>125</v>
      </c>
      <c r="V8654" s="308"/>
    </row>
    <row r="8655">
      <c r="A8655" s="308"/>
      <c r="B8655" s="308"/>
      <c r="C8655" s="308" t="s">
        <v>34034</v>
      </c>
      <c r="D8655" s="308">
        <f>IFERROR(__xludf.DUMMYFUNCTION("SPLIT(C8655,""-"")"),8675.0)</f>
        <v>8675</v>
      </c>
      <c r="E8655" s="308" t="str">
        <f>IFERROR(__xludf.DUMMYFUNCTION("""COMPUTED_VALUE"""),"K")</f>
        <v>K</v>
      </c>
      <c r="F8655" s="309" t="s">
        <v>34</v>
      </c>
      <c r="G8655" s="308"/>
      <c r="H8655" s="308" t="s">
        <v>34035</v>
      </c>
      <c r="I8655" s="310">
        <v>44588.0</v>
      </c>
      <c r="J8655" s="319">
        <f>IFERROR(__xludf.DUMMYFUNCTION("SPLIT(I8655,""/"")"),27.0)</f>
        <v>27</v>
      </c>
      <c r="K8655" s="308">
        <f>IFERROR(__xludf.DUMMYFUNCTION("""COMPUTED_VALUE"""),1.0)</f>
        <v>1</v>
      </c>
      <c r="L8655" s="308">
        <f>IFERROR(__xludf.DUMMYFUNCTION("""COMPUTED_VALUE"""),2022.0)</f>
        <v>2022</v>
      </c>
      <c r="M8655" s="308" t="s">
        <v>34036</v>
      </c>
      <c r="N8655" s="308" t="s">
        <v>34037</v>
      </c>
      <c r="O8655" s="308"/>
      <c r="P8655" s="308" t="s">
        <v>136</v>
      </c>
      <c r="Q8655" s="308">
        <v>44697.0</v>
      </c>
      <c r="R8655" s="308" t="s">
        <v>2743</v>
      </c>
      <c r="S8655" s="315" t="s">
        <v>100</v>
      </c>
      <c r="T8655" s="308" t="s">
        <v>34208</v>
      </c>
      <c r="U8655" s="308" t="s">
        <v>125</v>
      </c>
      <c r="V8655" s="308"/>
    </row>
    <row r="8656">
      <c r="A8656" s="308"/>
      <c r="B8656" s="308"/>
      <c r="C8656" s="308" t="s">
        <v>34038</v>
      </c>
      <c r="D8656" s="308">
        <f>IFERROR(__xludf.DUMMYFUNCTION("SPLIT(C8656,""-"")"),8676.0)</f>
        <v>8676</v>
      </c>
      <c r="E8656" s="308" t="str">
        <f>IFERROR(__xludf.DUMMYFUNCTION("""COMPUTED_VALUE"""),"P")</f>
        <v>P</v>
      </c>
      <c r="F8656" s="312" t="s">
        <v>37</v>
      </c>
      <c r="G8656" s="308"/>
      <c r="H8656" s="308" t="s">
        <v>34039</v>
      </c>
      <c r="I8656" s="310">
        <v>44692.0</v>
      </c>
      <c r="J8656" s="319">
        <f>IFERROR(__xludf.DUMMYFUNCTION("SPLIT(I8656,""/"")"),11.0)</f>
        <v>11</v>
      </c>
      <c r="K8656" s="308">
        <f>IFERROR(__xludf.DUMMYFUNCTION("""COMPUTED_VALUE"""),5.0)</f>
        <v>5</v>
      </c>
      <c r="L8656" s="308">
        <f>IFERROR(__xludf.DUMMYFUNCTION("""COMPUTED_VALUE"""),2022.0)</f>
        <v>2022</v>
      </c>
      <c r="M8656" s="308" t="s">
        <v>40355</v>
      </c>
      <c r="N8656" s="308" t="s">
        <v>34041</v>
      </c>
      <c r="O8656" s="308"/>
      <c r="P8656" s="308" t="s">
        <v>136</v>
      </c>
      <c r="Q8656" s="308">
        <v>44697.0</v>
      </c>
      <c r="R8656" s="308" t="s">
        <v>2743</v>
      </c>
      <c r="S8656" s="315" t="s">
        <v>100</v>
      </c>
      <c r="T8656" s="308" t="s">
        <v>34208</v>
      </c>
      <c r="U8656" s="308" t="s">
        <v>143</v>
      </c>
      <c r="V8656" s="308"/>
    </row>
    <row r="8657">
      <c r="A8657" s="308"/>
      <c r="B8657" s="308"/>
      <c r="C8657" s="308" t="s">
        <v>34042</v>
      </c>
      <c r="D8657" s="308">
        <f>IFERROR(__xludf.DUMMYFUNCTION("SPLIT(C8657,""-"")"),8677.0)</f>
        <v>8677</v>
      </c>
      <c r="E8657" s="308" t="str">
        <f>IFERROR(__xludf.DUMMYFUNCTION("""COMPUTED_VALUE"""),"K")</f>
        <v>K</v>
      </c>
      <c r="F8657" s="309" t="s">
        <v>34</v>
      </c>
      <c r="G8657" s="308"/>
      <c r="H8657" s="308" t="s">
        <v>34043</v>
      </c>
      <c r="I8657" s="316" t="s">
        <v>33567</v>
      </c>
      <c r="J8657" s="319"/>
      <c r="K8657" s="308"/>
      <c r="L8657" s="311">
        <v>2015.0</v>
      </c>
      <c r="M8657" s="308" t="s">
        <v>34044</v>
      </c>
      <c r="N8657" s="308"/>
      <c r="O8657" s="308"/>
      <c r="P8657" s="308" t="s">
        <v>136</v>
      </c>
      <c r="Q8657" s="308">
        <v>44697.0</v>
      </c>
      <c r="R8657" s="308" t="s">
        <v>2743</v>
      </c>
      <c r="S8657" s="315" t="s">
        <v>100</v>
      </c>
      <c r="T8657" s="308" t="s">
        <v>34208</v>
      </c>
      <c r="U8657" s="308" t="s">
        <v>166</v>
      </c>
      <c r="V8657" s="308"/>
    </row>
    <row r="8658">
      <c r="A8658" s="308"/>
      <c r="B8658" s="308"/>
      <c r="C8658" s="308" t="s">
        <v>34045</v>
      </c>
      <c r="D8658" s="308">
        <f>IFERROR(__xludf.DUMMYFUNCTION("SPLIT(C8658,""-"")"),8678.0)</f>
        <v>8678</v>
      </c>
      <c r="E8658" s="308" t="str">
        <f>IFERROR(__xludf.DUMMYFUNCTION("""COMPUTED_VALUE"""),"K")</f>
        <v>K</v>
      </c>
      <c r="F8658" s="309" t="s">
        <v>34</v>
      </c>
      <c r="G8658" s="308"/>
      <c r="H8658" s="308" t="s">
        <v>34046</v>
      </c>
      <c r="I8658" s="316" t="s">
        <v>33685</v>
      </c>
      <c r="J8658" s="319"/>
      <c r="K8658" s="308"/>
      <c r="L8658" s="311">
        <v>2018.0</v>
      </c>
      <c r="M8658" s="308" t="s">
        <v>32997</v>
      </c>
      <c r="N8658" s="308"/>
      <c r="O8658" s="308"/>
      <c r="P8658" s="308" t="s">
        <v>136</v>
      </c>
      <c r="Q8658" s="308">
        <v>44697.0</v>
      </c>
      <c r="R8658" s="308" t="s">
        <v>2743</v>
      </c>
      <c r="S8658" s="315" t="s">
        <v>100</v>
      </c>
      <c r="T8658" s="308" t="s">
        <v>34208</v>
      </c>
      <c r="U8658" s="308" t="s">
        <v>27994</v>
      </c>
      <c r="V8658" s="308"/>
    </row>
    <row r="8659">
      <c r="A8659" s="308"/>
      <c r="B8659" s="308"/>
      <c r="C8659" s="308" t="s">
        <v>34047</v>
      </c>
      <c r="D8659" s="308">
        <f>IFERROR(__xludf.DUMMYFUNCTION("SPLIT(C8659,""-"")"),8679.0)</f>
        <v>8679</v>
      </c>
      <c r="E8659" s="308" t="str">
        <f>IFERROR(__xludf.DUMMYFUNCTION("""COMPUTED_VALUE"""),"P")</f>
        <v>P</v>
      </c>
      <c r="F8659" s="312" t="s">
        <v>37</v>
      </c>
      <c r="G8659" s="308"/>
      <c r="H8659" s="308" t="s">
        <v>34048</v>
      </c>
      <c r="I8659" s="310">
        <v>44239.0</v>
      </c>
      <c r="J8659" s="319">
        <f>IFERROR(__xludf.DUMMYFUNCTION("SPLIT(I8659,""/"")"),12.0)</f>
        <v>12</v>
      </c>
      <c r="K8659" s="308">
        <f>IFERROR(__xludf.DUMMYFUNCTION("""COMPUTED_VALUE"""),2.0)</f>
        <v>2</v>
      </c>
      <c r="L8659" s="308">
        <f>IFERROR(__xludf.DUMMYFUNCTION("""COMPUTED_VALUE"""),2021.0)</f>
        <v>2021</v>
      </c>
      <c r="M8659" s="308" t="s">
        <v>34049</v>
      </c>
      <c r="N8659" s="308" t="s">
        <v>34050</v>
      </c>
      <c r="O8659" s="308"/>
      <c r="P8659" s="308" t="s">
        <v>136</v>
      </c>
      <c r="Q8659" s="308">
        <v>44699.0</v>
      </c>
      <c r="R8659" s="308" t="s">
        <v>2743</v>
      </c>
      <c r="S8659" s="315" t="s">
        <v>100</v>
      </c>
      <c r="T8659" s="308" t="s">
        <v>34208</v>
      </c>
      <c r="U8659" s="308" t="s">
        <v>1435</v>
      </c>
      <c r="V8659" s="308"/>
    </row>
    <row r="8660">
      <c r="A8660" s="308"/>
      <c r="B8660" s="308"/>
      <c r="C8660" s="308" t="s">
        <v>34051</v>
      </c>
      <c r="D8660" s="308">
        <f>IFERROR(__xludf.DUMMYFUNCTION("SPLIT(C8660,""-"")"),8680.0)</f>
        <v>8680</v>
      </c>
      <c r="E8660" s="308" t="str">
        <f>IFERROR(__xludf.DUMMYFUNCTION("""COMPUTED_VALUE"""),"B")</f>
        <v>B</v>
      </c>
      <c r="F8660" s="315" t="s">
        <v>26</v>
      </c>
      <c r="G8660" s="308"/>
      <c r="H8660" s="308" t="s">
        <v>34052</v>
      </c>
      <c r="I8660" s="310">
        <v>44646.0</v>
      </c>
      <c r="J8660" s="319">
        <f>IFERROR(__xludf.DUMMYFUNCTION("SPLIT(I8660,""/"")"),26.0)</f>
        <v>26</v>
      </c>
      <c r="K8660" s="308">
        <f>IFERROR(__xludf.DUMMYFUNCTION("""COMPUTED_VALUE"""),3.0)</f>
        <v>3</v>
      </c>
      <c r="L8660" s="308">
        <f>IFERROR(__xludf.DUMMYFUNCTION("""COMPUTED_VALUE"""),2022.0)</f>
        <v>2022</v>
      </c>
      <c r="M8660" s="308" t="s">
        <v>34053</v>
      </c>
      <c r="N8660" s="308" t="s">
        <v>34054</v>
      </c>
      <c r="O8660" s="308"/>
      <c r="P8660" s="308" t="s">
        <v>136</v>
      </c>
      <c r="Q8660" s="308" t="s">
        <v>40356</v>
      </c>
      <c r="R8660" s="308" t="s">
        <v>30692</v>
      </c>
      <c r="S8660" s="315" t="s">
        <v>100</v>
      </c>
      <c r="T8660" s="308" t="s">
        <v>34208</v>
      </c>
      <c r="U8660" s="308" t="s">
        <v>32175</v>
      </c>
      <c r="V8660" s="308"/>
    </row>
    <row r="8661">
      <c r="A8661" s="308"/>
      <c r="B8661" s="308"/>
      <c r="C8661" s="308" t="s">
        <v>34055</v>
      </c>
      <c r="D8661" s="308">
        <f>IFERROR(__xludf.DUMMYFUNCTION("SPLIT(C8661,""-"")"),8681.0)</f>
        <v>8681</v>
      </c>
      <c r="E8661" s="308" t="str">
        <f>IFERROR(__xludf.DUMMYFUNCTION("""COMPUTED_VALUE"""),"B")</f>
        <v>B</v>
      </c>
      <c r="F8661" s="315" t="s">
        <v>26</v>
      </c>
      <c r="G8661" s="308"/>
      <c r="H8661" s="308" t="s">
        <v>34056</v>
      </c>
      <c r="I8661" s="310">
        <v>44660.0</v>
      </c>
      <c r="J8661" s="319">
        <f>IFERROR(__xludf.DUMMYFUNCTION("SPLIT(I8661,""/"")"),9.0)</f>
        <v>9</v>
      </c>
      <c r="K8661" s="308">
        <f>IFERROR(__xludf.DUMMYFUNCTION("""COMPUTED_VALUE"""),4.0)</f>
        <v>4</v>
      </c>
      <c r="L8661" s="308">
        <f>IFERROR(__xludf.DUMMYFUNCTION("""COMPUTED_VALUE"""),2022.0)</f>
        <v>2022</v>
      </c>
      <c r="M8661" s="308" t="s">
        <v>34057</v>
      </c>
      <c r="N8661" s="308" t="s">
        <v>34058</v>
      </c>
      <c r="O8661" s="308"/>
      <c r="P8661" s="308" t="s">
        <v>136</v>
      </c>
      <c r="Q8661" s="308">
        <v>44704.0</v>
      </c>
      <c r="R8661" s="308" t="s">
        <v>2743</v>
      </c>
      <c r="S8661" s="315" t="s">
        <v>100</v>
      </c>
      <c r="T8661" s="308" t="s">
        <v>34208</v>
      </c>
      <c r="U8661" s="308" t="s">
        <v>33586</v>
      </c>
      <c r="V8661" s="308"/>
    </row>
    <row r="8662">
      <c r="A8662" s="308"/>
      <c r="B8662" s="308"/>
      <c r="C8662" s="308" t="s">
        <v>34059</v>
      </c>
      <c r="D8662" s="308">
        <f>IFERROR(__xludf.DUMMYFUNCTION("SPLIT(C8662,""-"")"),8682.0)</f>
        <v>8682</v>
      </c>
      <c r="E8662" s="308" t="str">
        <f>IFERROR(__xludf.DUMMYFUNCTION("""COMPUTED_VALUE"""),"B")</f>
        <v>B</v>
      </c>
      <c r="F8662" s="315" t="s">
        <v>26</v>
      </c>
      <c r="G8662" s="308"/>
      <c r="H8662" s="308" t="s">
        <v>34060</v>
      </c>
      <c r="I8662" s="310">
        <v>44604.0</v>
      </c>
      <c r="J8662" s="319">
        <f>IFERROR(__xludf.DUMMYFUNCTION("SPLIT(I8662,""/"")"),12.0)</f>
        <v>12</v>
      </c>
      <c r="K8662" s="308">
        <f>IFERROR(__xludf.DUMMYFUNCTION("""COMPUTED_VALUE"""),2.0)</f>
        <v>2</v>
      </c>
      <c r="L8662" s="308">
        <f>IFERROR(__xludf.DUMMYFUNCTION("""COMPUTED_VALUE"""),2022.0)</f>
        <v>2022</v>
      </c>
      <c r="M8662" s="308" t="s">
        <v>34061</v>
      </c>
      <c r="N8662" s="308" t="s">
        <v>40357</v>
      </c>
      <c r="O8662" s="308"/>
      <c r="P8662" s="308" t="s">
        <v>136</v>
      </c>
      <c r="Q8662" s="308">
        <v>44704.0</v>
      </c>
      <c r="R8662" s="308" t="s">
        <v>2743</v>
      </c>
      <c r="S8662" s="315" t="s">
        <v>100</v>
      </c>
      <c r="T8662" s="308" t="s">
        <v>34208</v>
      </c>
      <c r="U8662" s="308" t="s">
        <v>32175</v>
      </c>
      <c r="V8662" s="308"/>
    </row>
    <row r="8663">
      <c r="A8663" s="308"/>
      <c r="B8663" s="308"/>
      <c r="C8663" s="308" t="s">
        <v>34063</v>
      </c>
      <c r="D8663" s="308">
        <f>IFERROR(__xludf.DUMMYFUNCTION("SPLIT(C8663,""-"")"),8683.0)</f>
        <v>8683</v>
      </c>
      <c r="E8663" s="308" t="str">
        <f>IFERROR(__xludf.DUMMYFUNCTION("""COMPUTED_VALUE"""),"B")</f>
        <v>B</v>
      </c>
      <c r="F8663" s="315" t="s">
        <v>26</v>
      </c>
      <c r="G8663" s="308"/>
      <c r="H8663" s="308" t="s">
        <v>34064</v>
      </c>
      <c r="I8663" s="310">
        <v>44599.0</v>
      </c>
      <c r="J8663" s="319">
        <f>IFERROR(__xludf.DUMMYFUNCTION("SPLIT(I8663,""/"")"),7.0)</f>
        <v>7</v>
      </c>
      <c r="K8663" s="308">
        <f>IFERROR(__xludf.DUMMYFUNCTION("""COMPUTED_VALUE"""),2.0)</f>
        <v>2</v>
      </c>
      <c r="L8663" s="308">
        <f>IFERROR(__xludf.DUMMYFUNCTION("""COMPUTED_VALUE"""),2022.0)</f>
        <v>2022</v>
      </c>
      <c r="M8663" s="308" t="s">
        <v>34061</v>
      </c>
      <c r="N8663" s="308" t="s">
        <v>40357</v>
      </c>
      <c r="O8663" s="308"/>
      <c r="P8663" s="308" t="s">
        <v>136</v>
      </c>
      <c r="Q8663" s="308">
        <v>44704.0</v>
      </c>
      <c r="R8663" s="308" t="s">
        <v>2743</v>
      </c>
      <c r="S8663" s="315" t="s">
        <v>100</v>
      </c>
      <c r="T8663" s="308" t="s">
        <v>34208</v>
      </c>
      <c r="U8663" s="308" t="s">
        <v>32175</v>
      </c>
      <c r="V8663" s="308"/>
    </row>
    <row r="8664">
      <c r="A8664" s="308"/>
      <c r="B8664" s="308"/>
      <c r="C8664" s="308" t="s">
        <v>34065</v>
      </c>
      <c r="D8664" s="308">
        <f>IFERROR(__xludf.DUMMYFUNCTION("SPLIT(C8664,""-"")"),8684.0)</f>
        <v>8684</v>
      </c>
      <c r="E8664" s="308" t="str">
        <f>IFERROR(__xludf.DUMMYFUNCTION("""COMPUTED_VALUE"""),"B")</f>
        <v>B</v>
      </c>
      <c r="F8664" s="315" t="s">
        <v>26</v>
      </c>
      <c r="G8664" s="308"/>
      <c r="H8664" s="308" t="s">
        <v>34066</v>
      </c>
      <c r="I8664" s="310">
        <v>44599.0</v>
      </c>
      <c r="J8664" s="319">
        <f>IFERROR(__xludf.DUMMYFUNCTION("SPLIT(I8664,""/"")"),7.0)</f>
        <v>7</v>
      </c>
      <c r="K8664" s="308">
        <f>IFERROR(__xludf.DUMMYFUNCTION("""COMPUTED_VALUE"""),2.0)</f>
        <v>2</v>
      </c>
      <c r="L8664" s="308">
        <f>IFERROR(__xludf.DUMMYFUNCTION("""COMPUTED_VALUE"""),2022.0)</f>
        <v>2022</v>
      </c>
      <c r="M8664" s="308" t="s">
        <v>34067</v>
      </c>
      <c r="N8664" s="308" t="s">
        <v>40358</v>
      </c>
      <c r="O8664" s="308"/>
      <c r="P8664" s="308" t="s">
        <v>136</v>
      </c>
      <c r="Q8664" s="308">
        <v>44704.0</v>
      </c>
      <c r="R8664" s="308" t="s">
        <v>2743</v>
      </c>
      <c r="S8664" s="315" t="s">
        <v>100</v>
      </c>
      <c r="T8664" s="308" t="s">
        <v>34208</v>
      </c>
      <c r="U8664" s="308" t="s">
        <v>32175</v>
      </c>
      <c r="V8664" s="308"/>
    </row>
    <row r="8665">
      <c r="A8665" s="308"/>
      <c r="B8665" s="308"/>
      <c r="C8665" s="308" t="s">
        <v>34069</v>
      </c>
      <c r="D8665" s="308">
        <f>IFERROR(__xludf.DUMMYFUNCTION("SPLIT(C8665,""-"")"),8685.0)</f>
        <v>8685</v>
      </c>
      <c r="E8665" s="308" t="str">
        <f>IFERROR(__xludf.DUMMYFUNCTION("""COMPUTED_VALUE"""),"B")</f>
        <v>B</v>
      </c>
      <c r="F8665" s="315" t="s">
        <v>26</v>
      </c>
      <c r="G8665" s="308"/>
      <c r="H8665" s="308" t="s">
        <v>34070</v>
      </c>
      <c r="I8665" s="310">
        <v>44604.0</v>
      </c>
      <c r="J8665" s="319">
        <f>IFERROR(__xludf.DUMMYFUNCTION("SPLIT(I8665,""/"")"),12.0)</f>
        <v>12</v>
      </c>
      <c r="K8665" s="308">
        <f>IFERROR(__xludf.DUMMYFUNCTION("""COMPUTED_VALUE"""),2.0)</f>
        <v>2</v>
      </c>
      <c r="L8665" s="308">
        <f>IFERROR(__xludf.DUMMYFUNCTION("""COMPUTED_VALUE"""),2022.0)</f>
        <v>2022</v>
      </c>
      <c r="M8665" s="308" t="s">
        <v>34067</v>
      </c>
      <c r="N8665" s="308" t="s">
        <v>40358</v>
      </c>
      <c r="O8665" s="308"/>
      <c r="P8665" s="308" t="s">
        <v>136</v>
      </c>
      <c r="Q8665" s="308">
        <v>44704.0</v>
      </c>
      <c r="R8665" s="308" t="s">
        <v>2743</v>
      </c>
      <c r="S8665" s="315" t="s">
        <v>100</v>
      </c>
      <c r="T8665" s="308" t="s">
        <v>34208</v>
      </c>
      <c r="U8665" s="308" t="s">
        <v>32175</v>
      </c>
      <c r="V8665" s="308"/>
    </row>
    <row r="8666">
      <c r="A8666" s="308"/>
      <c r="B8666" s="308"/>
      <c r="C8666" s="308" t="s">
        <v>34071</v>
      </c>
      <c r="D8666" s="308">
        <f>IFERROR(__xludf.DUMMYFUNCTION("SPLIT(C8666,""-"")"),8686.0)</f>
        <v>8686</v>
      </c>
      <c r="E8666" s="308" t="str">
        <f>IFERROR(__xludf.DUMMYFUNCTION("""COMPUTED_VALUE"""),"B")</f>
        <v>B</v>
      </c>
      <c r="F8666" s="315" t="s">
        <v>26</v>
      </c>
      <c r="G8666" s="308"/>
      <c r="H8666" s="308" t="s">
        <v>34072</v>
      </c>
      <c r="I8666" s="310">
        <v>44598.0</v>
      </c>
      <c r="J8666" s="319">
        <f>IFERROR(__xludf.DUMMYFUNCTION("SPLIT(I8666,""/"")"),6.0)</f>
        <v>6</v>
      </c>
      <c r="K8666" s="308">
        <f>IFERROR(__xludf.DUMMYFUNCTION("""COMPUTED_VALUE"""),2.0)</f>
        <v>2</v>
      </c>
      <c r="L8666" s="308">
        <f>IFERROR(__xludf.DUMMYFUNCTION("""COMPUTED_VALUE"""),2022.0)</f>
        <v>2022</v>
      </c>
      <c r="M8666" s="308" t="s">
        <v>34067</v>
      </c>
      <c r="N8666" s="308" t="s">
        <v>40358</v>
      </c>
      <c r="O8666" s="308"/>
      <c r="P8666" s="308" t="s">
        <v>136</v>
      </c>
      <c r="Q8666" s="308">
        <v>44704.0</v>
      </c>
      <c r="R8666" s="308" t="s">
        <v>2743</v>
      </c>
      <c r="S8666" s="315" t="s">
        <v>100</v>
      </c>
      <c r="T8666" s="308" t="s">
        <v>34208</v>
      </c>
      <c r="U8666" s="308" t="s">
        <v>32175</v>
      </c>
      <c r="V8666" s="308"/>
    </row>
    <row r="8667">
      <c r="A8667" s="308"/>
      <c r="B8667" s="308"/>
      <c r="C8667" s="308" t="s">
        <v>34073</v>
      </c>
      <c r="D8667" s="308">
        <f>IFERROR(__xludf.DUMMYFUNCTION("SPLIT(C8667,""-"")"),8687.0)</f>
        <v>8687</v>
      </c>
      <c r="E8667" s="308" t="str">
        <f>IFERROR(__xludf.DUMMYFUNCTION("""COMPUTED_VALUE"""),"B")</f>
        <v>B</v>
      </c>
      <c r="F8667" s="315" t="s">
        <v>26</v>
      </c>
      <c r="G8667" s="308"/>
      <c r="H8667" s="308" t="s">
        <v>34074</v>
      </c>
      <c r="I8667" s="310">
        <v>42845.0</v>
      </c>
      <c r="J8667" s="319">
        <f>IFERROR(__xludf.DUMMYFUNCTION("SPLIT(I8667,""/"")"),20.0)</f>
        <v>20</v>
      </c>
      <c r="K8667" s="308">
        <f>IFERROR(__xludf.DUMMYFUNCTION("""COMPUTED_VALUE"""),4.0)</f>
        <v>4</v>
      </c>
      <c r="L8667" s="308">
        <f>IFERROR(__xludf.DUMMYFUNCTION("""COMPUTED_VALUE"""),2017.0)</f>
        <v>2017</v>
      </c>
      <c r="M8667" s="308" t="s">
        <v>34075</v>
      </c>
      <c r="N8667" s="308" t="s">
        <v>34076</v>
      </c>
      <c r="O8667" s="308"/>
      <c r="P8667" s="308" t="s">
        <v>136</v>
      </c>
      <c r="Q8667" s="308">
        <v>44704.0</v>
      </c>
      <c r="R8667" s="308" t="s">
        <v>2743</v>
      </c>
      <c r="S8667" s="315" t="s">
        <v>100</v>
      </c>
      <c r="T8667" s="308" t="s">
        <v>34208</v>
      </c>
      <c r="U8667" s="308" t="s">
        <v>32175</v>
      </c>
      <c r="V8667" s="308"/>
    </row>
    <row r="8668">
      <c r="A8668" s="308"/>
      <c r="B8668" s="308"/>
      <c r="C8668" s="308" t="s">
        <v>34077</v>
      </c>
      <c r="D8668" s="308">
        <f>IFERROR(__xludf.DUMMYFUNCTION("SPLIT(C8668,""-"")"),8688.0)</f>
        <v>8688</v>
      </c>
      <c r="E8668" s="308" t="str">
        <f>IFERROR(__xludf.DUMMYFUNCTION("""COMPUTED_VALUE"""),"B")</f>
        <v>B</v>
      </c>
      <c r="F8668" s="315" t="s">
        <v>26</v>
      </c>
      <c r="G8668" s="308"/>
      <c r="H8668" s="308" t="s">
        <v>34078</v>
      </c>
      <c r="I8668" s="310">
        <v>44415.0</v>
      </c>
      <c r="J8668" s="319">
        <f>IFERROR(__xludf.DUMMYFUNCTION("SPLIT(I8668,""/"")"),7.0)</f>
        <v>7</v>
      </c>
      <c r="K8668" s="308">
        <f>IFERROR(__xludf.DUMMYFUNCTION("""COMPUTED_VALUE"""),8.0)</f>
        <v>8</v>
      </c>
      <c r="L8668" s="308">
        <f>IFERROR(__xludf.DUMMYFUNCTION("""COMPUTED_VALUE"""),2021.0)</f>
        <v>2021</v>
      </c>
      <c r="M8668" s="308" t="s">
        <v>34079</v>
      </c>
      <c r="N8668" s="308" t="s">
        <v>34080</v>
      </c>
      <c r="O8668" s="308"/>
      <c r="P8668" s="308" t="s">
        <v>136</v>
      </c>
      <c r="Q8668" s="308">
        <v>44704.0</v>
      </c>
      <c r="R8668" s="308" t="s">
        <v>2743</v>
      </c>
      <c r="S8668" s="315" t="s">
        <v>100</v>
      </c>
      <c r="T8668" s="308" t="s">
        <v>34208</v>
      </c>
      <c r="U8668" s="308" t="s">
        <v>32175</v>
      </c>
      <c r="V8668" s="308"/>
    </row>
    <row r="8669">
      <c r="A8669" s="308"/>
      <c r="B8669" s="308"/>
      <c r="C8669" s="308" t="s">
        <v>34081</v>
      </c>
      <c r="D8669" s="308">
        <f>IFERROR(__xludf.DUMMYFUNCTION("SPLIT(C8669,""-"")"),8689.0)</f>
        <v>8689</v>
      </c>
      <c r="E8669" s="308" t="str">
        <f>IFERROR(__xludf.DUMMYFUNCTION("""COMPUTED_VALUE"""),"B")</f>
        <v>B</v>
      </c>
      <c r="F8669" s="315" t="s">
        <v>26</v>
      </c>
      <c r="G8669" s="308"/>
      <c r="H8669" s="308" t="s">
        <v>34082</v>
      </c>
      <c r="I8669" s="316" t="s">
        <v>34083</v>
      </c>
      <c r="J8669" s="319"/>
      <c r="K8669" s="308"/>
      <c r="L8669" s="311">
        <v>2013.0</v>
      </c>
      <c r="M8669" s="308" t="s">
        <v>34084</v>
      </c>
      <c r="N8669" s="308" t="s">
        <v>40359</v>
      </c>
      <c r="O8669" s="308"/>
      <c r="P8669" s="308" t="s">
        <v>136</v>
      </c>
      <c r="Q8669" s="308">
        <v>44704.0</v>
      </c>
      <c r="R8669" s="308" t="s">
        <v>2743</v>
      </c>
      <c r="S8669" s="315" t="s">
        <v>100</v>
      </c>
      <c r="T8669" s="308" t="s">
        <v>34208</v>
      </c>
      <c r="U8669" s="308" t="s">
        <v>32175</v>
      </c>
      <c r="V8669" s="308"/>
    </row>
    <row r="8670">
      <c r="A8670" s="308"/>
      <c r="B8670" s="308"/>
      <c r="C8670" s="308" t="s">
        <v>34086</v>
      </c>
      <c r="D8670" s="308">
        <f>IFERROR(__xludf.DUMMYFUNCTION("SPLIT(C8670,""-"")"),8690.0)</f>
        <v>8690</v>
      </c>
      <c r="E8670" s="308" t="str">
        <f>IFERROR(__xludf.DUMMYFUNCTION("""COMPUTED_VALUE"""),"P")</f>
        <v>P</v>
      </c>
      <c r="F8670" s="312" t="s">
        <v>37</v>
      </c>
      <c r="G8670" s="308"/>
      <c r="H8670" s="308" t="s">
        <v>34087</v>
      </c>
      <c r="I8670" s="310">
        <v>44630.0</v>
      </c>
      <c r="J8670" s="319">
        <f>IFERROR(__xludf.DUMMYFUNCTION("SPLIT(I8670,""/"")"),10.0)</f>
        <v>10</v>
      </c>
      <c r="K8670" s="308">
        <f>IFERROR(__xludf.DUMMYFUNCTION("""COMPUTED_VALUE"""),3.0)</f>
        <v>3</v>
      </c>
      <c r="L8670" s="308">
        <f>IFERROR(__xludf.DUMMYFUNCTION("""COMPUTED_VALUE"""),2022.0)</f>
        <v>2022</v>
      </c>
      <c r="M8670" s="308" t="s">
        <v>34088</v>
      </c>
      <c r="N8670" s="308" t="s">
        <v>34089</v>
      </c>
      <c r="O8670" s="308"/>
      <c r="P8670" s="308" t="s">
        <v>136</v>
      </c>
      <c r="Q8670" s="308">
        <v>44708.0</v>
      </c>
      <c r="R8670" s="308" t="s">
        <v>2743</v>
      </c>
      <c r="S8670" s="315" t="s">
        <v>100</v>
      </c>
      <c r="T8670" s="308" t="s">
        <v>34208</v>
      </c>
      <c r="U8670" s="308" t="s">
        <v>143</v>
      </c>
      <c r="V8670" s="308"/>
    </row>
    <row r="8671">
      <c r="A8671" s="308"/>
      <c r="B8671" s="308"/>
      <c r="C8671" s="308" t="s">
        <v>34090</v>
      </c>
      <c r="D8671" s="308">
        <f>IFERROR(__xludf.DUMMYFUNCTION("SPLIT(C8671,""-"")"),8691.0)</f>
        <v>8691</v>
      </c>
      <c r="E8671" s="308" t="str">
        <f>IFERROR(__xludf.DUMMYFUNCTION("""COMPUTED_VALUE"""),"P")</f>
        <v>P</v>
      </c>
      <c r="F8671" s="312" t="s">
        <v>37</v>
      </c>
      <c r="G8671" s="308"/>
      <c r="H8671" s="308" t="s">
        <v>34091</v>
      </c>
      <c r="I8671" s="310">
        <v>40313.0</v>
      </c>
      <c r="J8671" s="319">
        <f>IFERROR(__xludf.DUMMYFUNCTION("SPLIT(I8671,""/"")"),15.0)</f>
        <v>15</v>
      </c>
      <c r="K8671" s="308">
        <f>IFERROR(__xludf.DUMMYFUNCTION("""COMPUTED_VALUE"""),5.0)</f>
        <v>5</v>
      </c>
      <c r="L8671" s="308">
        <f>IFERROR(__xludf.DUMMYFUNCTION("""COMPUTED_VALUE"""),2010.0)</f>
        <v>2010</v>
      </c>
      <c r="M8671" s="308" t="s">
        <v>34092</v>
      </c>
      <c r="N8671" s="308" t="s">
        <v>40360</v>
      </c>
      <c r="O8671" s="308"/>
      <c r="P8671" s="308" t="s">
        <v>136</v>
      </c>
      <c r="Q8671" s="308">
        <v>44708.0</v>
      </c>
      <c r="R8671" s="308" t="s">
        <v>2743</v>
      </c>
      <c r="S8671" s="315" t="s">
        <v>100</v>
      </c>
      <c r="T8671" s="308" t="s">
        <v>34208</v>
      </c>
      <c r="U8671" s="308" t="s">
        <v>530</v>
      </c>
      <c r="V8671" s="308"/>
    </row>
    <row r="8672">
      <c r="A8672" s="308"/>
      <c r="B8672" s="308"/>
      <c r="C8672" s="308" t="s">
        <v>34094</v>
      </c>
      <c r="D8672" s="308">
        <f>IFERROR(__xludf.DUMMYFUNCTION("SPLIT(C8672,""-"")"),8692.0)</f>
        <v>8692</v>
      </c>
      <c r="E8672" s="308" t="str">
        <f>IFERROR(__xludf.DUMMYFUNCTION("""COMPUTED_VALUE"""),"K")</f>
        <v>K</v>
      </c>
      <c r="F8672" s="309" t="s">
        <v>34</v>
      </c>
      <c r="G8672" s="308"/>
      <c r="H8672" s="308" t="s">
        <v>34095</v>
      </c>
      <c r="I8672" s="316" t="s">
        <v>33672</v>
      </c>
      <c r="J8672" s="319"/>
      <c r="K8672" s="308"/>
      <c r="L8672" s="311">
        <v>2010.0</v>
      </c>
      <c r="M8672" s="308" t="s">
        <v>34096</v>
      </c>
      <c r="N8672" s="308" t="s">
        <v>439</v>
      </c>
      <c r="O8672" s="308"/>
      <c r="P8672" s="308" t="s">
        <v>136</v>
      </c>
      <c r="Q8672" s="308">
        <v>44708.0</v>
      </c>
      <c r="R8672" s="308" t="s">
        <v>2743</v>
      </c>
      <c r="S8672" s="315" t="s">
        <v>100</v>
      </c>
      <c r="T8672" s="308" t="s">
        <v>34208</v>
      </c>
      <c r="U8672" s="308" t="s">
        <v>530</v>
      </c>
      <c r="V8672" s="308"/>
    </row>
    <row r="8673">
      <c r="A8673" s="308"/>
      <c r="B8673" s="308"/>
      <c r="C8673" s="308" t="s">
        <v>34097</v>
      </c>
      <c r="D8673" s="308">
        <f>IFERROR(__xludf.DUMMYFUNCTION("SPLIT(C8673,""-"")"),8693.0)</f>
        <v>8693</v>
      </c>
      <c r="E8673" s="308" t="str">
        <f>IFERROR(__xludf.DUMMYFUNCTION("""COMPUTED_VALUE"""),"I")</f>
        <v>I</v>
      </c>
      <c r="F8673" s="309" t="s">
        <v>31</v>
      </c>
      <c r="G8673" s="308"/>
      <c r="H8673" s="308" t="s">
        <v>34098</v>
      </c>
      <c r="I8673" s="310">
        <v>44701.0</v>
      </c>
      <c r="J8673" s="319">
        <f>IFERROR(__xludf.DUMMYFUNCTION("SPLIT(I8673,""/"")"),20.0)</f>
        <v>20</v>
      </c>
      <c r="K8673" s="308">
        <f>IFERROR(__xludf.DUMMYFUNCTION("""COMPUTED_VALUE"""),5.0)</f>
        <v>5</v>
      </c>
      <c r="L8673" s="308">
        <f>IFERROR(__xludf.DUMMYFUNCTION("""COMPUTED_VALUE"""),2022.0)</f>
        <v>2022</v>
      </c>
      <c r="M8673" s="308" t="s">
        <v>34099</v>
      </c>
      <c r="N8673" s="308" t="s">
        <v>34100</v>
      </c>
      <c r="O8673" s="308"/>
      <c r="P8673" s="308" t="s">
        <v>34101</v>
      </c>
      <c r="Q8673" s="308">
        <v>44708.0</v>
      </c>
      <c r="R8673" s="308" t="s">
        <v>2743</v>
      </c>
      <c r="S8673" s="308" t="s">
        <v>81</v>
      </c>
      <c r="T8673" s="311" t="s">
        <v>96</v>
      </c>
      <c r="U8673" s="308" t="s">
        <v>31</v>
      </c>
      <c r="V8673" s="308"/>
    </row>
    <row r="8674">
      <c r="A8674" s="308"/>
      <c r="B8674" s="308"/>
      <c r="C8674" s="308" t="s">
        <v>34102</v>
      </c>
      <c r="D8674" s="308">
        <f>IFERROR(__xludf.DUMMYFUNCTION("SPLIT(C8674,""-"")"),8694.0)</f>
        <v>8694</v>
      </c>
      <c r="E8674" s="308" t="str">
        <f>IFERROR(__xludf.DUMMYFUNCTION("""COMPUTED_VALUE"""),"K")</f>
        <v>K</v>
      </c>
      <c r="F8674" s="309" t="s">
        <v>34</v>
      </c>
      <c r="G8674" s="308"/>
      <c r="H8674" s="308" t="s">
        <v>34103</v>
      </c>
      <c r="I8674" s="314">
        <v>44151.0</v>
      </c>
      <c r="J8674" s="319">
        <f>IFERROR(__xludf.DUMMYFUNCTION("SPLIT(I8674,""/"")"),16.0)</f>
        <v>16</v>
      </c>
      <c r="K8674" s="308">
        <f>IFERROR(__xludf.DUMMYFUNCTION("""COMPUTED_VALUE"""),11.0)</f>
        <v>11</v>
      </c>
      <c r="L8674" s="308">
        <f>IFERROR(__xludf.DUMMYFUNCTION("""COMPUTED_VALUE"""),2020.0)</f>
        <v>2020</v>
      </c>
      <c r="M8674" s="308" t="s">
        <v>34104</v>
      </c>
      <c r="N8674" s="308" t="s">
        <v>34105</v>
      </c>
      <c r="O8674" s="308"/>
      <c r="P8674" s="308" t="s">
        <v>136</v>
      </c>
      <c r="Q8674" s="308">
        <v>44708.0</v>
      </c>
      <c r="R8674" s="308" t="s">
        <v>31554</v>
      </c>
      <c r="S8674" s="315" t="s">
        <v>100</v>
      </c>
      <c r="T8674" s="308" t="s">
        <v>34208</v>
      </c>
      <c r="U8674" s="308" t="s">
        <v>4749</v>
      </c>
      <c r="V8674" s="308"/>
    </row>
    <row r="8675">
      <c r="A8675" s="308"/>
      <c r="B8675" s="308"/>
      <c r="C8675" s="308" t="s">
        <v>34106</v>
      </c>
      <c r="D8675" s="308">
        <f>IFERROR(__xludf.DUMMYFUNCTION("SPLIT(C8675,""-"")"),8695.0)</f>
        <v>8695</v>
      </c>
      <c r="E8675" s="308" t="str">
        <f>IFERROR(__xludf.DUMMYFUNCTION("""COMPUTED_VALUE"""),"B")</f>
        <v>B</v>
      </c>
      <c r="F8675" s="315" t="s">
        <v>26</v>
      </c>
      <c r="G8675" s="308"/>
      <c r="H8675" s="308" t="s">
        <v>34107</v>
      </c>
      <c r="I8675" s="310">
        <v>39308.0</v>
      </c>
      <c r="J8675" s="319">
        <f>IFERROR(__xludf.DUMMYFUNCTION("SPLIT(I8675,""/"")"),14.0)</f>
        <v>14</v>
      </c>
      <c r="K8675" s="308">
        <f>IFERROR(__xludf.DUMMYFUNCTION("""COMPUTED_VALUE"""),8.0)</f>
        <v>8</v>
      </c>
      <c r="L8675" s="308">
        <f>IFERROR(__xludf.DUMMYFUNCTION("""COMPUTED_VALUE"""),2007.0)</f>
        <v>2007</v>
      </c>
      <c r="M8675" s="308" t="s">
        <v>33521</v>
      </c>
      <c r="N8675" s="308"/>
      <c r="O8675" s="308" t="s">
        <v>40361</v>
      </c>
      <c r="P8675" s="308" t="s">
        <v>136</v>
      </c>
      <c r="Q8675" s="308">
        <v>44708.0</v>
      </c>
      <c r="R8675" s="308" t="s">
        <v>32774</v>
      </c>
      <c r="S8675" s="315" t="s">
        <v>100</v>
      </c>
      <c r="T8675" s="308" t="s">
        <v>34208</v>
      </c>
      <c r="U8675" s="308" t="s">
        <v>27</v>
      </c>
      <c r="V8675" s="308"/>
    </row>
    <row r="8676">
      <c r="A8676" s="308"/>
      <c r="B8676" s="308"/>
      <c r="C8676" s="308" t="s">
        <v>34109</v>
      </c>
      <c r="D8676" s="308">
        <f>IFERROR(__xludf.DUMMYFUNCTION("SPLIT(C8676,""-"")"),8696.0)</f>
        <v>8696</v>
      </c>
      <c r="E8676" s="308" t="str">
        <f>IFERROR(__xludf.DUMMYFUNCTION("""COMPUTED_VALUE"""),"B")</f>
        <v>B</v>
      </c>
      <c r="F8676" s="315" t="s">
        <v>26</v>
      </c>
      <c r="G8676" s="308"/>
      <c r="H8676" s="308" t="s">
        <v>34110</v>
      </c>
      <c r="I8676" s="310">
        <v>44374.0</v>
      </c>
      <c r="J8676" s="319">
        <f>IFERROR(__xludf.DUMMYFUNCTION("SPLIT(I8676,""/"")"),27.0)</f>
        <v>27</v>
      </c>
      <c r="K8676" s="308">
        <f>IFERROR(__xludf.DUMMYFUNCTION("""COMPUTED_VALUE"""),6.0)</f>
        <v>6</v>
      </c>
      <c r="L8676" s="308">
        <f>IFERROR(__xludf.DUMMYFUNCTION("""COMPUTED_VALUE"""),2021.0)</f>
        <v>2021</v>
      </c>
      <c r="M8676" s="308" t="s">
        <v>34111</v>
      </c>
      <c r="N8676" s="308" t="s">
        <v>34112</v>
      </c>
      <c r="O8676" s="308"/>
      <c r="P8676" s="308" t="s">
        <v>136</v>
      </c>
      <c r="Q8676" s="308">
        <v>44708.0</v>
      </c>
      <c r="R8676" s="308" t="s">
        <v>2743</v>
      </c>
      <c r="S8676" s="315" t="s">
        <v>100</v>
      </c>
      <c r="T8676" s="308" t="s">
        <v>34208</v>
      </c>
      <c r="U8676" s="308" t="s">
        <v>34016</v>
      </c>
      <c r="V8676" s="308"/>
    </row>
    <row r="8677">
      <c r="A8677" s="308"/>
      <c r="B8677" s="308"/>
      <c r="C8677" s="308" t="s">
        <v>34113</v>
      </c>
      <c r="D8677" s="308">
        <f>IFERROR(__xludf.DUMMYFUNCTION("SPLIT(C8677,""-"")"),8697.0)</f>
        <v>8697</v>
      </c>
      <c r="E8677" s="308" t="str">
        <f>IFERROR(__xludf.DUMMYFUNCTION("""COMPUTED_VALUE"""),"B")</f>
        <v>B</v>
      </c>
      <c r="F8677" s="315" t="s">
        <v>26</v>
      </c>
      <c r="G8677" s="308"/>
      <c r="H8677" s="308" t="s">
        <v>34114</v>
      </c>
      <c r="I8677" s="310">
        <v>44603.0</v>
      </c>
      <c r="J8677" s="319">
        <f>IFERROR(__xludf.DUMMYFUNCTION("SPLIT(I8677,""/"")"),11.0)</f>
        <v>11</v>
      </c>
      <c r="K8677" s="308">
        <f>IFERROR(__xludf.DUMMYFUNCTION("""COMPUTED_VALUE"""),2.0)</f>
        <v>2</v>
      </c>
      <c r="L8677" s="308">
        <f>IFERROR(__xludf.DUMMYFUNCTION("""COMPUTED_VALUE"""),2022.0)</f>
        <v>2022</v>
      </c>
      <c r="M8677" s="308" t="s">
        <v>34115</v>
      </c>
      <c r="N8677" s="308" t="s">
        <v>34116</v>
      </c>
      <c r="O8677" s="308"/>
      <c r="P8677" s="308" t="s">
        <v>136</v>
      </c>
      <c r="Q8677" s="308">
        <v>44715.0</v>
      </c>
      <c r="R8677" s="308" t="s">
        <v>2743</v>
      </c>
      <c r="S8677" s="315" t="s">
        <v>100</v>
      </c>
      <c r="T8677" s="308" t="s">
        <v>34208</v>
      </c>
      <c r="U8677" s="308" t="s">
        <v>34117</v>
      </c>
      <c r="V8677" s="308"/>
    </row>
    <row r="8678">
      <c r="A8678" s="308"/>
      <c r="B8678" s="308"/>
      <c r="C8678" s="308" t="s">
        <v>34118</v>
      </c>
      <c r="D8678" s="308">
        <f>IFERROR(__xludf.DUMMYFUNCTION("SPLIT(C8678,""-"")"),8698.0)</f>
        <v>8698</v>
      </c>
      <c r="E8678" s="308" t="str">
        <f>IFERROR(__xludf.DUMMYFUNCTION("""COMPUTED_VALUE"""),"B")</f>
        <v>B</v>
      </c>
      <c r="F8678" s="315" t="s">
        <v>26</v>
      </c>
      <c r="G8678" s="308"/>
      <c r="H8678" s="308" t="s">
        <v>34119</v>
      </c>
      <c r="I8678" s="310">
        <v>43133.0</v>
      </c>
      <c r="J8678" s="319">
        <f>IFERROR(__xludf.DUMMYFUNCTION("SPLIT(I8678,""/"")"),2.0)</f>
        <v>2</v>
      </c>
      <c r="K8678" s="308">
        <f>IFERROR(__xludf.DUMMYFUNCTION("""COMPUTED_VALUE"""),2.0)</f>
        <v>2</v>
      </c>
      <c r="L8678" s="308">
        <f>IFERROR(__xludf.DUMMYFUNCTION("""COMPUTED_VALUE"""),2018.0)</f>
        <v>2018</v>
      </c>
      <c r="M8678" s="308" t="s">
        <v>34120</v>
      </c>
      <c r="N8678" s="308" t="s">
        <v>34121</v>
      </c>
      <c r="O8678" s="308"/>
      <c r="P8678" s="308" t="s">
        <v>136</v>
      </c>
      <c r="Q8678" s="308">
        <v>44715.0</v>
      </c>
      <c r="R8678" s="308" t="s">
        <v>2743</v>
      </c>
      <c r="S8678" s="315" t="s">
        <v>100</v>
      </c>
      <c r="T8678" s="308" t="s">
        <v>34208</v>
      </c>
      <c r="U8678" s="308" t="s">
        <v>32194</v>
      </c>
      <c r="V8678" s="308"/>
    </row>
    <row r="8679">
      <c r="A8679" s="308"/>
      <c r="B8679" s="308"/>
      <c r="C8679" s="308" t="s">
        <v>34122</v>
      </c>
      <c r="D8679" s="308">
        <f>IFERROR(__xludf.DUMMYFUNCTION("SPLIT(C8679,""-"")"),8699.0)</f>
        <v>8699</v>
      </c>
      <c r="E8679" s="308" t="str">
        <f>IFERROR(__xludf.DUMMYFUNCTION("""COMPUTED_VALUE"""),"K")</f>
        <v>K</v>
      </c>
      <c r="F8679" s="309" t="s">
        <v>34</v>
      </c>
      <c r="G8679" s="308"/>
      <c r="H8679" s="308" t="s">
        <v>34123</v>
      </c>
      <c r="I8679" s="310">
        <v>40022.0</v>
      </c>
      <c r="J8679" s="319">
        <f>IFERROR(__xludf.DUMMYFUNCTION("SPLIT(I8679,""/"")"),28.0)</f>
        <v>28</v>
      </c>
      <c r="K8679" s="308">
        <f>IFERROR(__xludf.DUMMYFUNCTION("""COMPUTED_VALUE"""),7.0)</f>
        <v>7</v>
      </c>
      <c r="L8679" s="308">
        <f>IFERROR(__xludf.DUMMYFUNCTION("""COMPUTED_VALUE"""),2009.0)</f>
        <v>2009</v>
      </c>
      <c r="M8679" s="308" t="s">
        <v>34124</v>
      </c>
      <c r="N8679" s="308" t="s">
        <v>40362</v>
      </c>
      <c r="O8679" s="308"/>
      <c r="P8679" s="308" t="s">
        <v>136</v>
      </c>
      <c r="Q8679" s="308">
        <v>44715.0</v>
      </c>
      <c r="R8679" s="308" t="s">
        <v>2743</v>
      </c>
      <c r="S8679" s="315" t="s">
        <v>100</v>
      </c>
      <c r="T8679" s="308" t="s">
        <v>34208</v>
      </c>
      <c r="U8679" s="308" t="s">
        <v>125</v>
      </c>
      <c r="V8679" s="308"/>
    </row>
    <row r="8680">
      <c r="A8680" s="308"/>
      <c r="B8680" s="308"/>
      <c r="C8680" s="308" t="s">
        <v>34126</v>
      </c>
      <c r="D8680" s="308">
        <f>IFERROR(__xludf.DUMMYFUNCTION("SPLIT(C8680,""-"")"),8700.0)</f>
        <v>8700</v>
      </c>
      <c r="E8680" s="308" t="str">
        <f>IFERROR(__xludf.DUMMYFUNCTION("""COMPUTED_VALUE"""),"K")</f>
        <v>K</v>
      </c>
      <c r="F8680" s="309" t="s">
        <v>34</v>
      </c>
      <c r="G8680" s="308"/>
      <c r="H8680" s="308" t="s">
        <v>34127</v>
      </c>
      <c r="I8680" s="310">
        <v>43991.0</v>
      </c>
      <c r="J8680" s="319">
        <f>IFERROR(__xludf.DUMMYFUNCTION("SPLIT(I8680,""/"")"),9.0)</f>
        <v>9</v>
      </c>
      <c r="K8680" s="308">
        <f>IFERROR(__xludf.DUMMYFUNCTION("""COMPUTED_VALUE"""),6.0)</f>
        <v>6</v>
      </c>
      <c r="L8680" s="308">
        <f>IFERROR(__xludf.DUMMYFUNCTION("""COMPUTED_VALUE"""),2020.0)</f>
        <v>2020</v>
      </c>
      <c r="M8680" s="308" t="s">
        <v>34128</v>
      </c>
      <c r="N8680" s="308" t="s">
        <v>439</v>
      </c>
      <c r="O8680" s="308"/>
      <c r="P8680" s="308" t="s">
        <v>136</v>
      </c>
      <c r="Q8680" s="308">
        <v>44715.0</v>
      </c>
      <c r="R8680" s="308" t="s">
        <v>2743</v>
      </c>
      <c r="S8680" s="315" t="s">
        <v>100</v>
      </c>
      <c r="T8680" s="308" t="s">
        <v>34208</v>
      </c>
      <c r="U8680" s="308" t="s">
        <v>27994</v>
      </c>
      <c r="V8680" s="308"/>
    </row>
    <row r="8681">
      <c r="A8681" s="308"/>
      <c r="B8681" s="308"/>
      <c r="C8681" s="308" t="s">
        <v>34129</v>
      </c>
      <c r="D8681" s="308">
        <f>IFERROR(__xludf.DUMMYFUNCTION("SPLIT(C8681,""-"")"),8701.0)</f>
        <v>8701</v>
      </c>
      <c r="E8681" s="308" t="str">
        <f>IFERROR(__xludf.DUMMYFUNCTION("""COMPUTED_VALUE"""),"K")</f>
        <v>K</v>
      </c>
      <c r="F8681" s="309" t="s">
        <v>34</v>
      </c>
      <c r="G8681" s="308"/>
      <c r="H8681" s="308" t="s">
        <v>34130</v>
      </c>
      <c r="I8681" s="310">
        <v>40337.0</v>
      </c>
      <c r="J8681" s="319">
        <f>IFERROR(__xludf.DUMMYFUNCTION("SPLIT(I8681,""/"")"),8.0)</f>
        <v>8</v>
      </c>
      <c r="K8681" s="308">
        <f>IFERROR(__xludf.DUMMYFUNCTION("""COMPUTED_VALUE"""),6.0)</f>
        <v>6</v>
      </c>
      <c r="L8681" s="308">
        <f>IFERROR(__xludf.DUMMYFUNCTION("""COMPUTED_VALUE"""),2010.0)</f>
        <v>2010</v>
      </c>
      <c r="M8681" s="308" t="s">
        <v>40363</v>
      </c>
      <c r="N8681" s="308" t="s">
        <v>34132</v>
      </c>
      <c r="O8681" s="308"/>
      <c r="P8681" s="308" t="s">
        <v>136</v>
      </c>
      <c r="Q8681" s="308">
        <v>44720.0</v>
      </c>
      <c r="R8681" s="308" t="s">
        <v>2743</v>
      </c>
      <c r="S8681" s="315" t="s">
        <v>100</v>
      </c>
      <c r="T8681" s="308" t="s">
        <v>34208</v>
      </c>
      <c r="U8681" s="308" t="s">
        <v>19459</v>
      </c>
      <c r="V8681" s="308"/>
    </row>
    <row r="8682">
      <c r="A8682" s="308"/>
      <c r="B8682" s="308"/>
      <c r="C8682" s="308" t="s">
        <v>34133</v>
      </c>
      <c r="D8682" s="308">
        <f>IFERROR(__xludf.DUMMYFUNCTION("SPLIT(C8682,""-"")"),8702.0)</f>
        <v>8702</v>
      </c>
      <c r="E8682" s="308" t="str">
        <f>IFERROR(__xludf.DUMMYFUNCTION("""COMPUTED_VALUE"""),"B")</f>
        <v>B</v>
      </c>
      <c r="F8682" s="315" t="s">
        <v>26</v>
      </c>
      <c r="G8682" s="308"/>
      <c r="H8682" s="308" t="s">
        <v>34134</v>
      </c>
      <c r="I8682" s="310">
        <v>44476.0</v>
      </c>
      <c r="J8682" s="319">
        <f>IFERROR(__xludf.DUMMYFUNCTION("SPLIT(I8682,""/"")"),7.0)</f>
        <v>7</v>
      </c>
      <c r="K8682" s="308">
        <f>IFERROR(__xludf.DUMMYFUNCTION("""COMPUTED_VALUE"""),10.0)</f>
        <v>10</v>
      </c>
      <c r="L8682" s="308">
        <f>IFERROR(__xludf.DUMMYFUNCTION("""COMPUTED_VALUE"""),2021.0)</f>
        <v>2021</v>
      </c>
      <c r="M8682" s="308" t="s">
        <v>34135</v>
      </c>
      <c r="N8682" s="308" t="s">
        <v>34136</v>
      </c>
      <c r="O8682" s="308"/>
      <c r="P8682" s="308" t="s">
        <v>136</v>
      </c>
      <c r="Q8682" s="308">
        <v>44720.0</v>
      </c>
      <c r="R8682" s="308" t="s">
        <v>2743</v>
      </c>
      <c r="S8682" s="315" t="s">
        <v>100</v>
      </c>
      <c r="T8682" s="308" t="s">
        <v>34208</v>
      </c>
      <c r="U8682" s="308" t="s">
        <v>32175</v>
      </c>
      <c r="V8682" s="308"/>
    </row>
    <row r="8683">
      <c r="A8683" s="308"/>
      <c r="B8683" s="308"/>
      <c r="C8683" s="308" t="s">
        <v>34137</v>
      </c>
      <c r="D8683" s="308">
        <f>IFERROR(__xludf.DUMMYFUNCTION("SPLIT(C8683,""-"")"),8703.0)</f>
        <v>8703</v>
      </c>
      <c r="E8683" s="308" t="str">
        <f>IFERROR(__xludf.DUMMYFUNCTION("""COMPUTED_VALUE"""),"K")</f>
        <v>K</v>
      </c>
      <c r="F8683" s="309" t="s">
        <v>34</v>
      </c>
      <c r="G8683" s="308"/>
      <c r="H8683" s="308" t="s">
        <v>34138</v>
      </c>
      <c r="I8683" s="310">
        <v>44090.0</v>
      </c>
      <c r="J8683" s="319">
        <f>IFERROR(__xludf.DUMMYFUNCTION("SPLIT(I8683,""/"")"),16.0)</f>
        <v>16</v>
      </c>
      <c r="K8683" s="308">
        <f>IFERROR(__xludf.DUMMYFUNCTION("""COMPUTED_VALUE"""),9.0)</f>
        <v>9</v>
      </c>
      <c r="L8683" s="308">
        <f>IFERROR(__xludf.DUMMYFUNCTION("""COMPUTED_VALUE"""),2020.0)</f>
        <v>2020</v>
      </c>
      <c r="M8683" s="308" t="s">
        <v>34139</v>
      </c>
      <c r="N8683" s="308" t="s">
        <v>34140</v>
      </c>
      <c r="O8683" s="308"/>
      <c r="P8683" s="308" t="s">
        <v>136</v>
      </c>
      <c r="Q8683" s="308">
        <v>44720.0</v>
      </c>
      <c r="R8683" s="308" t="s">
        <v>2743</v>
      </c>
      <c r="S8683" s="315" t="s">
        <v>100</v>
      </c>
      <c r="T8683" s="308" t="s">
        <v>34208</v>
      </c>
      <c r="U8683" s="308" t="s">
        <v>2152</v>
      </c>
      <c r="V8683" s="308"/>
    </row>
    <row r="8684">
      <c r="A8684" s="308"/>
      <c r="B8684" s="308"/>
      <c r="C8684" s="308" t="s">
        <v>34141</v>
      </c>
      <c r="D8684" s="308">
        <f>IFERROR(__xludf.DUMMYFUNCTION("SPLIT(C8684,""-"")"),8704.0)</f>
        <v>8704</v>
      </c>
      <c r="E8684" s="308" t="str">
        <f>IFERROR(__xludf.DUMMYFUNCTION("""COMPUTED_VALUE"""),"S")</f>
        <v>S</v>
      </c>
      <c r="F8684" s="312" t="s">
        <v>39</v>
      </c>
      <c r="G8684" s="308"/>
      <c r="H8684" s="308" t="s">
        <v>34142</v>
      </c>
      <c r="I8684" s="310">
        <v>44715.0</v>
      </c>
      <c r="J8684" s="319">
        <f>IFERROR(__xludf.DUMMYFUNCTION("SPLIT(I8684,""/"")"),3.0)</f>
        <v>3</v>
      </c>
      <c r="K8684" s="308">
        <f>IFERROR(__xludf.DUMMYFUNCTION("""COMPUTED_VALUE"""),6.0)</f>
        <v>6</v>
      </c>
      <c r="L8684" s="308">
        <f>IFERROR(__xludf.DUMMYFUNCTION("""COMPUTED_VALUE"""),2022.0)</f>
        <v>2022</v>
      </c>
      <c r="M8684" s="308" t="s">
        <v>40364</v>
      </c>
      <c r="N8684" s="308" t="s">
        <v>439</v>
      </c>
      <c r="O8684" s="308"/>
      <c r="P8684" s="308" t="s">
        <v>136</v>
      </c>
      <c r="Q8684" s="308">
        <v>44720.0</v>
      </c>
      <c r="R8684" s="308" t="s">
        <v>2743</v>
      </c>
      <c r="S8684" s="315" t="s">
        <v>100</v>
      </c>
      <c r="T8684" s="308" t="s">
        <v>34208</v>
      </c>
      <c r="U8684" s="308" t="s">
        <v>166</v>
      </c>
      <c r="V8684" s="308"/>
    </row>
    <row r="8685">
      <c r="A8685" s="308"/>
      <c r="B8685" s="308"/>
      <c r="C8685" s="308" t="s">
        <v>34144</v>
      </c>
      <c r="D8685" s="308">
        <f>IFERROR(__xludf.DUMMYFUNCTION("SPLIT(C8685,""-"")"),8705.0)</f>
        <v>8705</v>
      </c>
      <c r="E8685" s="308" t="str">
        <f>IFERROR(__xludf.DUMMYFUNCTION("""COMPUTED_VALUE"""),"B")</f>
        <v>B</v>
      </c>
      <c r="F8685" s="315" t="s">
        <v>26</v>
      </c>
      <c r="G8685" s="308"/>
      <c r="H8685" s="308" t="s">
        <v>34145</v>
      </c>
      <c r="I8685" s="310">
        <v>40781.0</v>
      </c>
      <c r="J8685" s="319">
        <f>IFERROR(__xludf.DUMMYFUNCTION("SPLIT(I8685,""/"")"),26.0)</f>
        <v>26</v>
      </c>
      <c r="K8685" s="308">
        <f>IFERROR(__xludf.DUMMYFUNCTION("""COMPUTED_VALUE"""),8.0)</f>
        <v>8</v>
      </c>
      <c r="L8685" s="308">
        <f>IFERROR(__xludf.DUMMYFUNCTION("""COMPUTED_VALUE"""),2011.0)</f>
        <v>2011</v>
      </c>
      <c r="M8685" s="308" t="s">
        <v>33521</v>
      </c>
      <c r="N8685" s="308"/>
      <c r="O8685" s="308"/>
      <c r="P8685" s="308" t="s">
        <v>40365</v>
      </c>
      <c r="Q8685" s="308"/>
      <c r="R8685" s="308" t="s">
        <v>32774</v>
      </c>
      <c r="S8685" s="308" t="s">
        <v>81</v>
      </c>
      <c r="T8685" s="311" t="s">
        <v>96</v>
      </c>
      <c r="U8685" s="308" t="s">
        <v>27</v>
      </c>
      <c r="V8685" s="308"/>
    </row>
    <row r="8686">
      <c r="A8686" s="308"/>
      <c r="B8686" s="308"/>
      <c r="C8686" s="308" t="s">
        <v>34147</v>
      </c>
      <c r="D8686" s="308">
        <f>IFERROR(__xludf.DUMMYFUNCTION("SPLIT(C8686,""-"")"),8706.0)</f>
        <v>8706</v>
      </c>
      <c r="E8686" s="308" t="str">
        <f>IFERROR(__xludf.DUMMYFUNCTION("""COMPUTED_VALUE"""),"B")</f>
        <v>B</v>
      </c>
      <c r="F8686" s="315" t="s">
        <v>26</v>
      </c>
      <c r="G8686" s="308"/>
      <c r="H8686" s="308" t="s">
        <v>34148</v>
      </c>
      <c r="I8686" s="310">
        <v>41877.0</v>
      </c>
      <c r="J8686" s="319">
        <f>IFERROR(__xludf.DUMMYFUNCTION("SPLIT(I8686,""/"")"),26.0)</f>
        <v>26</v>
      </c>
      <c r="K8686" s="308">
        <f>IFERROR(__xludf.DUMMYFUNCTION("""COMPUTED_VALUE"""),8.0)</f>
        <v>8</v>
      </c>
      <c r="L8686" s="308">
        <f>IFERROR(__xludf.DUMMYFUNCTION("""COMPUTED_VALUE"""),2014.0)</f>
        <v>2014</v>
      </c>
      <c r="M8686" s="308" t="s">
        <v>33521</v>
      </c>
      <c r="N8686" s="308"/>
      <c r="O8686" s="308"/>
      <c r="P8686" s="308" t="s">
        <v>34149</v>
      </c>
      <c r="Q8686" s="308"/>
      <c r="R8686" s="308" t="s">
        <v>32774</v>
      </c>
      <c r="S8686" s="308" t="s">
        <v>81</v>
      </c>
      <c r="T8686" s="311" t="s">
        <v>96</v>
      </c>
      <c r="U8686" s="308" t="s">
        <v>27</v>
      </c>
      <c r="V8686" s="308"/>
    </row>
    <row r="8687">
      <c r="A8687" s="312"/>
      <c r="B8687" s="312"/>
      <c r="C8687" s="308" t="s">
        <v>34150</v>
      </c>
      <c r="D8687" s="308">
        <f>IFERROR(__xludf.DUMMYFUNCTION("SPLIT(C8687,""-"")"),8707.0)</f>
        <v>8707</v>
      </c>
      <c r="E8687" s="308" t="str">
        <f>IFERROR(__xludf.DUMMYFUNCTION("""COMPUTED_VALUE"""),"B")</f>
        <v>B</v>
      </c>
      <c r="F8687" s="315" t="s">
        <v>26</v>
      </c>
      <c r="G8687" s="312"/>
      <c r="H8687" s="308" t="s">
        <v>34151</v>
      </c>
      <c r="I8687" s="310">
        <v>41512.0</v>
      </c>
      <c r="J8687" s="319">
        <f>IFERROR(__xludf.DUMMYFUNCTION("SPLIT(I8687,""/"")"),26.0)</f>
        <v>26</v>
      </c>
      <c r="K8687" s="308">
        <f>IFERROR(__xludf.DUMMYFUNCTION("""COMPUTED_VALUE"""),8.0)</f>
        <v>8</v>
      </c>
      <c r="L8687" s="308">
        <f>IFERROR(__xludf.DUMMYFUNCTION("""COMPUTED_VALUE"""),2013.0)</f>
        <v>2013</v>
      </c>
      <c r="M8687" s="308" t="s">
        <v>33521</v>
      </c>
      <c r="N8687" s="312"/>
      <c r="O8687" s="312"/>
      <c r="P8687" s="308" t="s">
        <v>34152</v>
      </c>
      <c r="Q8687" s="312"/>
      <c r="R8687" s="308" t="s">
        <v>32774</v>
      </c>
      <c r="S8687" s="308" t="s">
        <v>81</v>
      </c>
      <c r="T8687" s="311" t="s">
        <v>96</v>
      </c>
      <c r="U8687" s="308" t="s">
        <v>27</v>
      </c>
      <c r="V8687" s="312"/>
    </row>
    <row r="8688">
      <c r="A8688" s="312"/>
      <c r="B8688" s="312"/>
      <c r="C8688" s="308" t="s">
        <v>34153</v>
      </c>
      <c r="D8688" s="308">
        <f>IFERROR(__xludf.DUMMYFUNCTION("SPLIT(C8688,""-"")"),8708.0)</f>
        <v>8708</v>
      </c>
      <c r="E8688" s="308" t="str">
        <f>IFERROR(__xludf.DUMMYFUNCTION("""COMPUTED_VALUE"""),"B")</f>
        <v>B</v>
      </c>
      <c r="F8688" s="315" t="s">
        <v>26</v>
      </c>
      <c r="G8688" s="312"/>
      <c r="H8688" s="308" t="s">
        <v>34154</v>
      </c>
      <c r="I8688" s="310">
        <v>42242.0</v>
      </c>
      <c r="J8688" s="319">
        <f>IFERROR(__xludf.DUMMYFUNCTION("SPLIT(I8688,""/"")"),26.0)</f>
        <v>26</v>
      </c>
      <c r="K8688" s="308">
        <f>IFERROR(__xludf.DUMMYFUNCTION("""COMPUTED_VALUE"""),8.0)</f>
        <v>8</v>
      </c>
      <c r="L8688" s="308">
        <f>IFERROR(__xludf.DUMMYFUNCTION("""COMPUTED_VALUE"""),2015.0)</f>
        <v>2015</v>
      </c>
      <c r="M8688" s="308" t="s">
        <v>33521</v>
      </c>
      <c r="N8688" s="312"/>
      <c r="O8688" s="312"/>
      <c r="P8688" s="308" t="s">
        <v>34155</v>
      </c>
      <c r="Q8688" s="312"/>
      <c r="R8688" s="308" t="s">
        <v>32774</v>
      </c>
      <c r="S8688" s="308" t="s">
        <v>81</v>
      </c>
      <c r="T8688" s="311" t="s">
        <v>96</v>
      </c>
      <c r="U8688" s="308" t="s">
        <v>27</v>
      </c>
      <c r="V8688" s="312"/>
    </row>
    <row r="8689">
      <c r="A8689" s="312"/>
      <c r="B8689" s="312"/>
      <c r="C8689" s="308" t="s">
        <v>34156</v>
      </c>
      <c r="D8689" s="308">
        <f>IFERROR(__xludf.DUMMYFUNCTION("SPLIT(C8689,""-"")"),8709.0)</f>
        <v>8709</v>
      </c>
      <c r="E8689" s="308" t="str">
        <f>IFERROR(__xludf.DUMMYFUNCTION("""COMPUTED_VALUE"""),"B")</f>
        <v>B</v>
      </c>
      <c r="F8689" s="315" t="s">
        <v>26</v>
      </c>
      <c r="G8689" s="312"/>
      <c r="H8689" s="308" t="s">
        <v>34157</v>
      </c>
      <c r="I8689" s="310">
        <v>41147.0</v>
      </c>
      <c r="J8689" s="319">
        <f>IFERROR(__xludf.DUMMYFUNCTION("SPLIT(I8689,""/"")"),26.0)</f>
        <v>26</v>
      </c>
      <c r="K8689" s="308">
        <f>IFERROR(__xludf.DUMMYFUNCTION("""COMPUTED_VALUE"""),8.0)</f>
        <v>8</v>
      </c>
      <c r="L8689" s="308">
        <f>IFERROR(__xludf.DUMMYFUNCTION("""COMPUTED_VALUE"""),2012.0)</f>
        <v>2012</v>
      </c>
      <c r="M8689" s="308" t="s">
        <v>33521</v>
      </c>
      <c r="N8689" s="312"/>
      <c r="O8689" s="312"/>
      <c r="P8689" s="308" t="s">
        <v>34158</v>
      </c>
      <c r="Q8689" s="312"/>
      <c r="R8689" s="308" t="s">
        <v>32774</v>
      </c>
      <c r="S8689" s="308" t="s">
        <v>81</v>
      </c>
      <c r="T8689" s="311" t="s">
        <v>96</v>
      </c>
      <c r="U8689" s="308" t="s">
        <v>27</v>
      </c>
      <c r="V8689" s="312"/>
    </row>
    <row r="8690">
      <c r="A8690" s="312"/>
      <c r="B8690" s="312"/>
      <c r="C8690" s="308" t="s">
        <v>34159</v>
      </c>
      <c r="D8690" s="308">
        <f>IFERROR(__xludf.DUMMYFUNCTION("SPLIT(C8690,""-"")"),8710.0)</f>
        <v>8710</v>
      </c>
      <c r="E8690" s="308" t="str">
        <f>IFERROR(__xludf.DUMMYFUNCTION("""COMPUTED_VALUE"""),"B")</f>
        <v>B</v>
      </c>
      <c r="F8690" s="315" t="s">
        <v>26</v>
      </c>
      <c r="G8690" s="312"/>
      <c r="H8690" s="308" t="s">
        <v>34160</v>
      </c>
      <c r="I8690" s="310">
        <v>37730.0</v>
      </c>
      <c r="J8690" s="319">
        <f>IFERROR(__xludf.DUMMYFUNCTION("SPLIT(I8690,""/"")"),19.0)</f>
        <v>19</v>
      </c>
      <c r="K8690" s="308">
        <f>IFERROR(__xludf.DUMMYFUNCTION("""COMPUTED_VALUE"""),4.0)</f>
        <v>4</v>
      </c>
      <c r="L8690" s="308">
        <f>IFERROR(__xludf.DUMMYFUNCTION("""COMPUTED_VALUE"""),2003.0)</f>
        <v>2003</v>
      </c>
      <c r="M8690" s="308" t="s">
        <v>33977</v>
      </c>
      <c r="N8690" s="312"/>
      <c r="O8690" s="312"/>
      <c r="P8690" s="308" t="s">
        <v>34161</v>
      </c>
      <c r="Q8690" s="312"/>
      <c r="R8690" s="308" t="s">
        <v>32774</v>
      </c>
      <c r="S8690" s="308" t="s">
        <v>49</v>
      </c>
      <c r="T8690" s="311" t="s">
        <v>51</v>
      </c>
      <c r="U8690" s="308" t="s">
        <v>27</v>
      </c>
      <c r="V8690" s="312"/>
    </row>
    <row r="8691">
      <c r="A8691" s="312"/>
      <c r="B8691" s="312"/>
      <c r="C8691" s="308" t="s">
        <v>34162</v>
      </c>
      <c r="D8691" s="308">
        <f>IFERROR(__xludf.DUMMYFUNCTION("SPLIT(C8691,""-"")"),8711.0)</f>
        <v>8711</v>
      </c>
      <c r="E8691" s="308" t="str">
        <f>IFERROR(__xludf.DUMMYFUNCTION("""COMPUTED_VALUE"""),"B")</f>
        <v>B</v>
      </c>
      <c r="F8691" s="315" t="s">
        <v>26</v>
      </c>
      <c r="G8691" s="312"/>
      <c r="H8691" s="308" t="s">
        <v>34163</v>
      </c>
      <c r="I8691" s="310">
        <v>37730.0</v>
      </c>
      <c r="J8691" s="319">
        <f>IFERROR(__xludf.DUMMYFUNCTION("SPLIT(I8691,""/"")"),19.0)</f>
        <v>19</v>
      </c>
      <c r="K8691" s="308">
        <f>IFERROR(__xludf.DUMMYFUNCTION("""COMPUTED_VALUE"""),4.0)</f>
        <v>4</v>
      </c>
      <c r="L8691" s="308">
        <f>IFERROR(__xludf.DUMMYFUNCTION("""COMPUTED_VALUE"""),2003.0)</f>
        <v>2003</v>
      </c>
      <c r="M8691" s="308" t="s">
        <v>33977</v>
      </c>
      <c r="N8691" s="312"/>
      <c r="O8691" s="312"/>
      <c r="P8691" s="308" t="s">
        <v>34161</v>
      </c>
      <c r="Q8691" s="312"/>
      <c r="R8691" s="308" t="s">
        <v>32774</v>
      </c>
      <c r="S8691" s="308" t="s">
        <v>49</v>
      </c>
      <c r="T8691" s="311" t="s">
        <v>51</v>
      </c>
      <c r="U8691" s="308" t="s">
        <v>27</v>
      </c>
      <c r="V8691" s="312"/>
    </row>
    <row r="8692">
      <c r="A8692" s="312"/>
      <c r="B8692" s="312"/>
      <c r="C8692" s="308" t="s">
        <v>34164</v>
      </c>
      <c r="D8692" s="308">
        <f>IFERROR(__xludf.DUMMYFUNCTION("SPLIT(C8692,""-"")"),8712.0)</f>
        <v>8712</v>
      </c>
      <c r="E8692" s="308" t="str">
        <f>IFERROR(__xludf.DUMMYFUNCTION("""COMPUTED_VALUE"""),"K")</f>
        <v>K</v>
      </c>
      <c r="F8692" s="309" t="s">
        <v>34</v>
      </c>
      <c r="G8692" s="308"/>
      <c r="H8692" s="308" t="s">
        <v>34165</v>
      </c>
      <c r="I8692" s="310">
        <v>43564.0</v>
      </c>
      <c r="J8692" s="319">
        <f>IFERROR(__xludf.DUMMYFUNCTION("SPLIT(I8692,""/"")"),9.0)</f>
        <v>9</v>
      </c>
      <c r="K8692" s="308">
        <f>IFERROR(__xludf.DUMMYFUNCTION("""COMPUTED_VALUE"""),4.0)</f>
        <v>4</v>
      </c>
      <c r="L8692" s="308">
        <f>IFERROR(__xludf.DUMMYFUNCTION("""COMPUTED_VALUE"""),2019.0)</f>
        <v>2019</v>
      </c>
      <c r="M8692" s="308" t="s">
        <v>34166</v>
      </c>
      <c r="N8692" s="308" t="s">
        <v>40366</v>
      </c>
      <c r="O8692" s="308"/>
      <c r="P8692" s="308" t="s">
        <v>136</v>
      </c>
      <c r="Q8692" s="308">
        <v>44723.0</v>
      </c>
      <c r="R8692" s="308" t="s">
        <v>2743</v>
      </c>
      <c r="S8692" s="315" t="s">
        <v>100</v>
      </c>
      <c r="T8692" s="308" t="s">
        <v>34208</v>
      </c>
      <c r="U8692" s="308" t="s">
        <v>530</v>
      </c>
      <c r="V8692" s="312"/>
    </row>
    <row r="8693">
      <c r="A8693" s="312"/>
      <c r="B8693" s="312"/>
      <c r="C8693" s="308" t="s">
        <v>34168</v>
      </c>
      <c r="D8693" s="308">
        <f>IFERROR(__xludf.DUMMYFUNCTION("SPLIT(C8693,""-"")"),8713.0)</f>
        <v>8713</v>
      </c>
      <c r="E8693" s="308" t="str">
        <f>IFERROR(__xludf.DUMMYFUNCTION("""COMPUTED_VALUE"""),"I")</f>
        <v>I</v>
      </c>
      <c r="F8693" s="309" t="s">
        <v>31</v>
      </c>
      <c r="G8693" s="308"/>
      <c r="H8693" s="308" t="s">
        <v>34169</v>
      </c>
      <c r="I8693" s="310">
        <v>44715.0</v>
      </c>
      <c r="J8693" s="319">
        <f>IFERROR(__xludf.DUMMYFUNCTION("SPLIT(I8693,""/"")"),3.0)</f>
        <v>3</v>
      </c>
      <c r="K8693" s="308">
        <f>IFERROR(__xludf.DUMMYFUNCTION("""COMPUTED_VALUE"""),6.0)</f>
        <v>6</v>
      </c>
      <c r="L8693" s="308">
        <f>IFERROR(__xludf.DUMMYFUNCTION("""COMPUTED_VALUE"""),2022.0)</f>
        <v>2022</v>
      </c>
      <c r="M8693" s="308" t="s">
        <v>34170</v>
      </c>
      <c r="N8693" s="308" t="s">
        <v>34171</v>
      </c>
      <c r="O8693" s="308"/>
      <c r="P8693" s="308" t="s">
        <v>136</v>
      </c>
      <c r="Q8693" s="308">
        <v>44723.0</v>
      </c>
      <c r="R8693" s="308" t="s">
        <v>2743</v>
      </c>
      <c r="S8693" s="315" t="s">
        <v>100</v>
      </c>
      <c r="T8693" s="308" t="s">
        <v>34208</v>
      </c>
      <c r="U8693" s="308" t="s">
        <v>31</v>
      </c>
      <c r="V8693" s="312"/>
    </row>
    <row r="8694">
      <c r="A8694" s="312"/>
      <c r="B8694" s="312"/>
      <c r="C8694" s="308" t="s">
        <v>34172</v>
      </c>
      <c r="D8694" s="308">
        <f>IFERROR(__xludf.DUMMYFUNCTION("SPLIT(C8694,""-"")"),8714.0)</f>
        <v>8714</v>
      </c>
      <c r="E8694" s="308" t="str">
        <f>IFERROR(__xludf.DUMMYFUNCTION("""COMPUTED_VALUE"""),"K")</f>
        <v>K</v>
      </c>
      <c r="F8694" s="309" t="s">
        <v>34</v>
      </c>
      <c r="G8694" s="308"/>
      <c r="H8694" s="308" t="s">
        <v>34173</v>
      </c>
      <c r="I8694" s="310">
        <v>44637.0</v>
      </c>
      <c r="J8694" s="319">
        <f>IFERROR(__xludf.DUMMYFUNCTION("SPLIT(I8694,""/"")"),17.0)</f>
        <v>17</v>
      </c>
      <c r="K8694" s="308">
        <f>IFERROR(__xludf.DUMMYFUNCTION("""COMPUTED_VALUE"""),3.0)</f>
        <v>3</v>
      </c>
      <c r="L8694" s="308">
        <f>IFERROR(__xludf.DUMMYFUNCTION("""COMPUTED_VALUE"""),2022.0)</f>
        <v>2022</v>
      </c>
      <c r="M8694" s="308" t="s">
        <v>34174</v>
      </c>
      <c r="N8694" s="308" t="s">
        <v>40367</v>
      </c>
      <c r="O8694" s="308"/>
      <c r="P8694" s="308" t="s">
        <v>136</v>
      </c>
      <c r="Q8694" s="308">
        <v>44723.0</v>
      </c>
      <c r="R8694" s="308" t="s">
        <v>2743</v>
      </c>
      <c r="S8694" s="315" t="s">
        <v>100</v>
      </c>
      <c r="T8694" s="308" t="s">
        <v>34208</v>
      </c>
      <c r="U8694" s="308" t="s">
        <v>542</v>
      </c>
      <c r="V8694" s="312"/>
    </row>
    <row r="8695">
      <c r="A8695" s="312"/>
      <c r="B8695" s="312"/>
      <c r="C8695" s="315" t="s">
        <v>34172</v>
      </c>
      <c r="D8695" s="311">
        <v>8714.0</v>
      </c>
      <c r="E8695" s="311" t="s">
        <v>40368</v>
      </c>
      <c r="F8695" s="309" t="s">
        <v>34</v>
      </c>
      <c r="G8695" s="308"/>
      <c r="H8695" s="315" t="s">
        <v>34173</v>
      </c>
      <c r="I8695" s="310">
        <v>44637.0</v>
      </c>
      <c r="J8695" s="323">
        <v>17.0</v>
      </c>
      <c r="K8695" s="311">
        <v>3.0</v>
      </c>
      <c r="L8695" s="311">
        <v>2022.0</v>
      </c>
      <c r="M8695" s="315" t="s">
        <v>34174</v>
      </c>
      <c r="N8695" s="48"/>
      <c r="O8695" s="308"/>
      <c r="P8695" s="315" t="s">
        <v>136</v>
      </c>
      <c r="Q8695" s="308"/>
      <c r="R8695" s="308"/>
      <c r="S8695" s="309" t="s">
        <v>100</v>
      </c>
      <c r="T8695" s="311" t="s">
        <v>34208</v>
      </c>
      <c r="U8695" s="311" t="s">
        <v>542</v>
      </c>
      <c r="V8695" s="312"/>
    </row>
    <row r="8696">
      <c r="A8696" s="312"/>
      <c r="B8696" s="312"/>
      <c r="C8696" s="308" t="s">
        <v>34176</v>
      </c>
      <c r="D8696" s="308">
        <f>IFERROR(__xludf.DUMMYFUNCTION("SPLIT(C8696,""-"")"),8715.0)</f>
        <v>8715</v>
      </c>
      <c r="E8696" s="308" t="str">
        <f>IFERROR(__xludf.DUMMYFUNCTION("""COMPUTED_VALUE"""),"I")</f>
        <v>I</v>
      </c>
      <c r="F8696" s="309" t="s">
        <v>31</v>
      </c>
      <c r="G8696" s="308"/>
      <c r="H8696" s="308" t="s">
        <v>34177</v>
      </c>
      <c r="I8696" s="310">
        <v>43927.0</v>
      </c>
      <c r="J8696" s="319">
        <f>IFERROR(__xludf.DUMMYFUNCTION("SPLIT(I8696,""/"")"),6.0)</f>
        <v>6</v>
      </c>
      <c r="K8696" s="308">
        <f>IFERROR(__xludf.DUMMYFUNCTION("""COMPUTED_VALUE"""),4.0)</f>
        <v>4</v>
      </c>
      <c r="L8696" s="308">
        <f>IFERROR(__xludf.DUMMYFUNCTION("""COMPUTED_VALUE"""),2020.0)</f>
        <v>2020</v>
      </c>
      <c r="M8696" s="308" t="s">
        <v>34178</v>
      </c>
      <c r="N8696" s="308" t="s">
        <v>34179</v>
      </c>
      <c r="O8696" s="308"/>
      <c r="P8696" s="308" t="s">
        <v>136</v>
      </c>
      <c r="Q8696" s="308">
        <v>44725.0</v>
      </c>
      <c r="R8696" s="308" t="s">
        <v>2743</v>
      </c>
      <c r="S8696" s="315" t="s">
        <v>100</v>
      </c>
      <c r="T8696" s="308" t="s">
        <v>34208</v>
      </c>
      <c r="U8696" s="308" t="s">
        <v>31</v>
      </c>
      <c r="V8696" s="312"/>
    </row>
    <row r="8697">
      <c r="A8697" s="312"/>
      <c r="B8697" s="312"/>
      <c r="C8697" s="308" t="s">
        <v>34180</v>
      </c>
      <c r="D8697" s="308">
        <f>IFERROR(__xludf.DUMMYFUNCTION("SPLIT(C8697,""-"")"),8716.0)</f>
        <v>8716</v>
      </c>
      <c r="E8697" s="308" t="str">
        <f>IFERROR(__xludf.DUMMYFUNCTION("""COMPUTED_VALUE"""),"K")</f>
        <v>K</v>
      </c>
      <c r="F8697" s="309" t="s">
        <v>34</v>
      </c>
      <c r="G8697" s="308"/>
      <c r="H8697" s="308" t="s">
        <v>34181</v>
      </c>
      <c r="I8697" s="310">
        <v>40981.0</v>
      </c>
      <c r="J8697" s="319">
        <f>IFERROR(__xludf.DUMMYFUNCTION("SPLIT(I8697,""/"")"),13.0)</f>
        <v>13</v>
      </c>
      <c r="K8697" s="308">
        <f>IFERROR(__xludf.DUMMYFUNCTION("""COMPUTED_VALUE"""),3.0)</f>
        <v>3</v>
      </c>
      <c r="L8697" s="308">
        <f>IFERROR(__xludf.DUMMYFUNCTION("""COMPUTED_VALUE"""),2012.0)</f>
        <v>2012</v>
      </c>
      <c r="M8697" s="308" t="s">
        <v>34182</v>
      </c>
      <c r="N8697" s="308" t="s">
        <v>34183</v>
      </c>
      <c r="O8697" s="308"/>
      <c r="P8697" s="308" t="s">
        <v>136</v>
      </c>
      <c r="Q8697" s="308">
        <v>44725.0</v>
      </c>
      <c r="R8697" s="308" t="s">
        <v>2743</v>
      </c>
      <c r="S8697" s="315" t="s">
        <v>100</v>
      </c>
      <c r="T8697" s="308" t="s">
        <v>34208</v>
      </c>
      <c r="U8697" s="308" t="s">
        <v>125</v>
      </c>
      <c r="V8697" s="312"/>
    </row>
    <row r="8698">
      <c r="A8698" s="312"/>
      <c r="B8698" s="312"/>
      <c r="C8698" s="308" t="s">
        <v>34184</v>
      </c>
      <c r="D8698" s="308">
        <f>IFERROR(__xludf.DUMMYFUNCTION("SPLIT(C8698,""-"")"),8717.0)</f>
        <v>8717</v>
      </c>
      <c r="E8698" s="308" t="str">
        <f>IFERROR(__xludf.DUMMYFUNCTION("""COMPUTED_VALUE"""),"S")</f>
        <v>S</v>
      </c>
      <c r="F8698" s="312" t="s">
        <v>39</v>
      </c>
      <c r="G8698" s="308"/>
      <c r="H8698" s="308" t="s">
        <v>34185</v>
      </c>
      <c r="I8698" s="314">
        <v>44540.0</v>
      </c>
      <c r="J8698" s="319">
        <f>IFERROR(__xludf.DUMMYFUNCTION("SPLIT(I8698,""/"")"),10.0)</f>
        <v>10</v>
      </c>
      <c r="K8698" s="308">
        <f>IFERROR(__xludf.DUMMYFUNCTION("""COMPUTED_VALUE"""),12.0)</f>
        <v>12</v>
      </c>
      <c r="L8698" s="308">
        <f>IFERROR(__xludf.DUMMYFUNCTION("""COMPUTED_VALUE"""),2021.0)</f>
        <v>2021</v>
      </c>
      <c r="M8698" s="308" t="s">
        <v>34186</v>
      </c>
      <c r="N8698" s="308" t="s">
        <v>40369</v>
      </c>
      <c r="O8698" s="308"/>
      <c r="P8698" s="308" t="s">
        <v>136</v>
      </c>
      <c r="Q8698" s="308">
        <v>44727.0</v>
      </c>
      <c r="R8698" s="308" t="s">
        <v>2743</v>
      </c>
      <c r="S8698" s="315" t="s">
        <v>100</v>
      </c>
      <c r="T8698" s="308" t="s">
        <v>34208</v>
      </c>
      <c r="U8698" s="308" t="s">
        <v>166</v>
      </c>
      <c r="V8698" s="312"/>
    </row>
    <row r="8699">
      <c r="A8699" s="312"/>
      <c r="B8699" s="312"/>
      <c r="C8699" s="308" t="s">
        <v>34188</v>
      </c>
      <c r="D8699" s="308">
        <f>IFERROR(__xludf.DUMMYFUNCTION("SPLIT(C8699,""-"")"),8718.0)</f>
        <v>8718</v>
      </c>
      <c r="E8699" s="308" t="str">
        <f>IFERROR(__xludf.DUMMYFUNCTION("""COMPUTED_VALUE"""),"P")</f>
        <v>P</v>
      </c>
      <c r="F8699" s="312" t="s">
        <v>37</v>
      </c>
      <c r="G8699" s="308"/>
      <c r="H8699" s="308" t="s">
        <v>34189</v>
      </c>
      <c r="I8699" s="310">
        <v>44720.0</v>
      </c>
      <c r="J8699" s="319">
        <f>IFERROR(__xludf.DUMMYFUNCTION("SPLIT(I8699,""/"")"),8.0)</f>
        <v>8</v>
      </c>
      <c r="K8699" s="308">
        <f>IFERROR(__xludf.DUMMYFUNCTION("""COMPUTED_VALUE"""),6.0)</f>
        <v>6</v>
      </c>
      <c r="L8699" s="308">
        <f>IFERROR(__xludf.DUMMYFUNCTION("""COMPUTED_VALUE"""),2022.0)</f>
        <v>2022</v>
      </c>
      <c r="M8699" s="308" t="s">
        <v>34190</v>
      </c>
      <c r="N8699" s="308" t="s">
        <v>34191</v>
      </c>
      <c r="O8699" s="308"/>
      <c r="P8699" s="308" t="s">
        <v>136</v>
      </c>
      <c r="Q8699" s="308">
        <v>44727.0</v>
      </c>
      <c r="R8699" s="308" t="s">
        <v>2743</v>
      </c>
      <c r="S8699" s="315" t="s">
        <v>100</v>
      </c>
      <c r="T8699" s="308" t="s">
        <v>34208</v>
      </c>
      <c r="U8699" s="308" t="s">
        <v>143</v>
      </c>
      <c r="V8699" s="312"/>
    </row>
    <row r="8700">
      <c r="A8700" s="308"/>
      <c r="B8700" s="308"/>
      <c r="C8700" s="308"/>
      <c r="D8700" s="308"/>
      <c r="E8700" s="311"/>
      <c r="F8700" s="309" t="s">
        <v>26</v>
      </c>
      <c r="G8700" s="308"/>
      <c r="H8700" s="308" t="s">
        <v>30518</v>
      </c>
      <c r="I8700" s="314">
        <v>42563.0</v>
      </c>
      <c r="J8700" s="319">
        <f>IFERROR(__xludf.DUMMYFUNCTION("SPLIT(I8700,""/"")"),12.0)</f>
        <v>12</v>
      </c>
      <c r="K8700" s="308">
        <f>IFERROR(__xludf.DUMMYFUNCTION("""COMPUTED_VALUE"""),7.0)</f>
        <v>7</v>
      </c>
      <c r="L8700" s="308">
        <f>IFERROR(__xludf.DUMMYFUNCTION("""COMPUTED_VALUE"""),2016.0)</f>
        <v>2016</v>
      </c>
      <c r="M8700" s="308" t="s">
        <v>30519</v>
      </c>
      <c r="N8700" s="308"/>
      <c r="O8700" s="308"/>
      <c r="P8700" s="308" t="s">
        <v>40370</v>
      </c>
      <c r="Q8700" s="308"/>
      <c r="R8700" s="308"/>
      <c r="S8700" s="308" t="s">
        <v>81</v>
      </c>
      <c r="T8700" s="308" t="s">
        <v>75</v>
      </c>
      <c r="U8700" s="308"/>
      <c r="V8700" s="308"/>
    </row>
  </sheetData>
  <autoFilter ref="$A$1:$V$8700">
    <sortState ref="A1:V8700">
      <sortCondition ref="C1:C8700"/>
    </sortState>
  </autoFilter>
  <customSheetViews>
    <customSheetView guid="{2BF397B4-6C29-4D6E-BEFF-603EF2F5A4EF}" filter="1" showAutoFilter="1">
      <autoFilter ref="$A$1:$V$8700"/>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88"/>
    <col customWidth="1" min="2" max="2" width="35.5"/>
    <col customWidth="1" min="3" max="11" width="5.25"/>
    <col customWidth="1" min="12" max="12" width="10.25"/>
  </cols>
  <sheetData>
    <row r="1">
      <c r="A1" s="340" t="s">
        <v>47</v>
      </c>
      <c r="B1" s="341" t="s">
        <v>34196</v>
      </c>
      <c r="C1" s="342" t="s">
        <v>23</v>
      </c>
      <c r="D1" s="342" t="s">
        <v>26</v>
      </c>
      <c r="E1" s="342" t="s">
        <v>29</v>
      </c>
      <c r="F1" s="342" t="s">
        <v>31</v>
      </c>
      <c r="G1" s="342" t="s">
        <v>34</v>
      </c>
      <c r="H1" s="342" t="s">
        <v>37</v>
      </c>
      <c r="I1" s="342" t="s">
        <v>39</v>
      </c>
      <c r="J1" s="342" t="s">
        <v>41</v>
      </c>
      <c r="K1" s="342" t="s">
        <v>44</v>
      </c>
      <c r="L1" s="342" t="s">
        <v>40371</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row>
    <row r="2">
      <c r="A2" s="343"/>
      <c r="B2" s="343"/>
      <c r="C2" s="344"/>
      <c r="D2" s="344"/>
      <c r="E2" s="344"/>
      <c r="F2" s="344"/>
      <c r="G2" s="344"/>
      <c r="H2" s="344"/>
      <c r="I2" s="344"/>
      <c r="J2" s="344"/>
      <c r="K2" s="344"/>
      <c r="L2" s="344"/>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row>
    <row r="3">
      <c r="A3" s="345" t="s">
        <v>40372</v>
      </c>
      <c r="B3" s="343"/>
      <c r="C3" s="346">
        <f t="shared" ref="C3:D3" si="1">SUM(C4:C8)</f>
        <v>2</v>
      </c>
      <c r="D3" s="346">
        <f t="shared" si="1"/>
        <v>33</v>
      </c>
      <c r="E3" s="347" t="s">
        <v>2312</v>
      </c>
      <c r="F3" s="346">
        <f t="shared" ref="F3:I3" si="2">SUM(F4:F8)</f>
        <v>8</v>
      </c>
      <c r="G3" s="346">
        <f t="shared" si="2"/>
        <v>82</v>
      </c>
      <c r="H3" s="346">
        <f t="shared" si="2"/>
        <v>64</v>
      </c>
      <c r="I3" s="346">
        <f t="shared" si="2"/>
        <v>83</v>
      </c>
      <c r="J3" s="347" t="s">
        <v>2312</v>
      </c>
      <c r="K3" s="347" t="s">
        <v>2312</v>
      </c>
      <c r="L3" s="348">
        <f>SUM(L4:L8)</f>
        <v>272</v>
      </c>
      <c r="M3" s="46"/>
      <c r="N3" s="46"/>
      <c r="O3" s="46"/>
      <c r="P3" s="46"/>
      <c r="Q3" s="46"/>
      <c r="R3" s="46"/>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row>
    <row r="4">
      <c r="A4" s="349"/>
      <c r="B4" s="350" t="s">
        <v>40373</v>
      </c>
      <c r="C4" s="351">
        <v>2.0</v>
      </c>
      <c r="D4" s="351">
        <v>28.0</v>
      </c>
      <c r="E4" s="352" t="s">
        <v>2312</v>
      </c>
      <c r="F4" s="351">
        <v>6.0</v>
      </c>
      <c r="G4" s="351">
        <v>52.0</v>
      </c>
      <c r="H4" s="351">
        <v>34.0</v>
      </c>
      <c r="I4" s="351">
        <v>42.0</v>
      </c>
      <c r="J4" s="352" t="s">
        <v>2312</v>
      </c>
      <c r="K4" s="352" t="s">
        <v>2312</v>
      </c>
      <c r="L4" s="353">
        <v>164.0</v>
      </c>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row>
    <row r="5">
      <c r="A5" s="349"/>
      <c r="B5" s="354" t="s">
        <v>72</v>
      </c>
      <c r="C5" s="352" t="s">
        <v>2312</v>
      </c>
      <c r="D5" s="351">
        <v>2.0</v>
      </c>
      <c r="E5" s="352" t="s">
        <v>2312</v>
      </c>
      <c r="F5" s="352" t="s">
        <v>2312</v>
      </c>
      <c r="G5" s="351">
        <v>7.0</v>
      </c>
      <c r="H5" s="352" t="s">
        <v>2312</v>
      </c>
      <c r="I5" s="351">
        <v>25.0</v>
      </c>
      <c r="J5" s="352" t="s">
        <v>2312</v>
      </c>
      <c r="K5" s="352" t="s">
        <v>2312</v>
      </c>
      <c r="L5" s="353">
        <v>34.0</v>
      </c>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row>
    <row r="6">
      <c r="A6" s="349"/>
      <c r="B6" s="354" t="s">
        <v>87</v>
      </c>
      <c r="C6" s="352" t="s">
        <v>2312</v>
      </c>
      <c r="D6" s="352" t="s">
        <v>2312</v>
      </c>
      <c r="E6" s="352" t="s">
        <v>2312</v>
      </c>
      <c r="F6" s="352" t="s">
        <v>2312</v>
      </c>
      <c r="G6" s="351">
        <v>13.0</v>
      </c>
      <c r="H6" s="352" t="s">
        <v>2312</v>
      </c>
      <c r="I6" s="352" t="s">
        <v>2312</v>
      </c>
      <c r="J6" s="352" t="s">
        <v>2312</v>
      </c>
      <c r="K6" s="352" t="s">
        <v>2312</v>
      </c>
      <c r="L6" s="353">
        <v>13.0</v>
      </c>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row>
    <row r="7">
      <c r="A7" s="349"/>
      <c r="B7" s="354" t="s">
        <v>63</v>
      </c>
      <c r="C7" s="352" t="s">
        <v>2312</v>
      </c>
      <c r="D7" s="351">
        <v>3.0</v>
      </c>
      <c r="E7" s="352" t="s">
        <v>2312</v>
      </c>
      <c r="F7" s="351">
        <v>2.0</v>
      </c>
      <c r="G7" s="351">
        <v>7.0</v>
      </c>
      <c r="H7" s="351">
        <v>30.0</v>
      </c>
      <c r="I7" s="351">
        <v>14.0</v>
      </c>
      <c r="J7" s="352" t="s">
        <v>2312</v>
      </c>
      <c r="K7" s="352" t="s">
        <v>2312</v>
      </c>
      <c r="L7" s="353">
        <v>56.0</v>
      </c>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row>
    <row r="8">
      <c r="A8" s="355"/>
      <c r="B8" s="343" t="s">
        <v>89</v>
      </c>
      <c r="C8" s="347" t="s">
        <v>2312</v>
      </c>
      <c r="D8" s="347" t="s">
        <v>2312</v>
      </c>
      <c r="E8" s="347" t="s">
        <v>2312</v>
      </c>
      <c r="F8" s="347" t="s">
        <v>2312</v>
      </c>
      <c r="G8" s="356">
        <v>3.0</v>
      </c>
      <c r="H8" s="347" t="s">
        <v>2312</v>
      </c>
      <c r="I8" s="356">
        <v>2.0</v>
      </c>
      <c r="J8" s="347" t="s">
        <v>2312</v>
      </c>
      <c r="K8" s="347" t="s">
        <v>2312</v>
      </c>
      <c r="L8" s="357">
        <v>5.0</v>
      </c>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row>
    <row r="9">
      <c r="A9" s="343"/>
      <c r="B9" s="343"/>
      <c r="C9" s="356"/>
      <c r="D9" s="356"/>
      <c r="E9" s="356"/>
      <c r="F9" s="356"/>
      <c r="G9" s="356"/>
      <c r="H9" s="356"/>
      <c r="I9" s="356"/>
      <c r="J9" s="356"/>
      <c r="K9" s="356"/>
      <c r="L9" s="35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row>
    <row r="10">
      <c r="A10" s="345" t="s">
        <v>40374</v>
      </c>
      <c r="B10" s="343"/>
      <c r="C10" s="346">
        <f t="shared" ref="C10:D10" si="3">SUM(C11:C19)</f>
        <v>8</v>
      </c>
      <c r="D10" s="346">
        <f t="shared" si="3"/>
        <v>1175</v>
      </c>
      <c r="E10" s="347" t="s">
        <v>2312</v>
      </c>
      <c r="F10" s="346">
        <f t="shared" ref="F10:I10" si="4">SUM(F11:F19)</f>
        <v>131</v>
      </c>
      <c r="G10" s="346">
        <f t="shared" si="4"/>
        <v>495</v>
      </c>
      <c r="H10" s="346">
        <f t="shared" si="4"/>
        <v>605</v>
      </c>
      <c r="I10" s="346">
        <f t="shared" si="4"/>
        <v>729</v>
      </c>
      <c r="J10" s="347" t="s">
        <v>2312</v>
      </c>
      <c r="K10" s="347" t="s">
        <v>2312</v>
      </c>
      <c r="L10" s="348">
        <f>SUM(L11:L20)</f>
        <v>3209</v>
      </c>
      <c r="M10" s="46"/>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row>
    <row r="11">
      <c r="A11" s="349"/>
      <c r="B11" s="354" t="s">
        <v>96</v>
      </c>
      <c r="C11" s="351">
        <v>1.0</v>
      </c>
      <c r="D11" s="351">
        <v>142.0</v>
      </c>
      <c r="E11" s="352" t="s">
        <v>2312</v>
      </c>
      <c r="F11" s="351">
        <v>18.0</v>
      </c>
      <c r="G11" s="351">
        <v>51.0</v>
      </c>
      <c r="H11" s="351">
        <v>73.0</v>
      </c>
      <c r="I11" s="351">
        <v>16.0</v>
      </c>
      <c r="J11" s="352" t="s">
        <v>2312</v>
      </c>
      <c r="K11" s="352" t="s">
        <v>2312</v>
      </c>
      <c r="L11" s="353">
        <v>301.0</v>
      </c>
      <c r="M11" s="46"/>
      <c r="N11" s="46"/>
      <c r="O11" s="46"/>
      <c r="P11" s="46"/>
      <c r="Q11" s="46"/>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row>
    <row r="12">
      <c r="A12" s="349"/>
      <c r="B12" s="354" t="s">
        <v>88</v>
      </c>
      <c r="C12" s="352" t="s">
        <v>2312</v>
      </c>
      <c r="D12" s="351">
        <v>1.0</v>
      </c>
      <c r="E12" s="352" t="s">
        <v>2312</v>
      </c>
      <c r="F12" s="352" t="s">
        <v>2312</v>
      </c>
      <c r="G12" s="351">
        <v>10.0</v>
      </c>
      <c r="H12" s="352" t="s">
        <v>2312</v>
      </c>
      <c r="I12" s="352" t="s">
        <v>2312</v>
      </c>
      <c r="J12" s="352" t="s">
        <v>2312</v>
      </c>
      <c r="K12" s="352" t="s">
        <v>2312</v>
      </c>
      <c r="L12" s="353">
        <v>11.0</v>
      </c>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row>
    <row r="13">
      <c r="A13" s="349"/>
      <c r="B13" s="354" t="s">
        <v>34201</v>
      </c>
      <c r="C13" s="352" t="s">
        <v>2312</v>
      </c>
      <c r="D13" s="351">
        <v>5.0</v>
      </c>
      <c r="E13" s="352" t="s">
        <v>2312</v>
      </c>
      <c r="F13" s="351">
        <v>1.0</v>
      </c>
      <c r="G13" s="351">
        <v>11.0</v>
      </c>
      <c r="H13" s="351">
        <v>15.0</v>
      </c>
      <c r="I13" s="351">
        <v>69.0</v>
      </c>
      <c r="J13" s="352" t="s">
        <v>2312</v>
      </c>
      <c r="K13" s="352" t="s">
        <v>2312</v>
      </c>
      <c r="L13" s="353">
        <v>101.0</v>
      </c>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46"/>
      <c r="AM13" s="46"/>
      <c r="AN13" s="46"/>
      <c r="AO13" s="46"/>
      <c r="AP13" s="46"/>
      <c r="AQ13" s="46"/>
      <c r="AR13" s="46"/>
      <c r="AS13" s="46"/>
      <c r="AT13" s="46"/>
      <c r="AU13" s="46"/>
    </row>
    <row r="14">
      <c r="A14" s="349"/>
      <c r="B14" s="354" t="s">
        <v>35920</v>
      </c>
      <c r="C14" s="352" t="s">
        <v>2312</v>
      </c>
      <c r="D14" s="352" t="s">
        <v>2312</v>
      </c>
      <c r="E14" s="352" t="s">
        <v>2312</v>
      </c>
      <c r="F14" s="352" t="s">
        <v>2312</v>
      </c>
      <c r="G14" s="352" t="s">
        <v>2312</v>
      </c>
      <c r="H14" s="352" t="s">
        <v>2312</v>
      </c>
      <c r="I14" s="351">
        <v>5.0</v>
      </c>
      <c r="J14" s="352" t="s">
        <v>2312</v>
      </c>
      <c r="K14" s="352" t="s">
        <v>2312</v>
      </c>
      <c r="L14" s="353">
        <v>5.0</v>
      </c>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row>
    <row r="15">
      <c r="A15" s="349"/>
      <c r="B15" s="354" t="s">
        <v>90</v>
      </c>
      <c r="C15" s="351">
        <v>1.0</v>
      </c>
      <c r="D15" s="351">
        <v>4.0</v>
      </c>
      <c r="E15" s="352" t="s">
        <v>2312</v>
      </c>
      <c r="F15" s="351">
        <v>1.0</v>
      </c>
      <c r="G15" s="351">
        <v>13.0</v>
      </c>
      <c r="H15" s="351">
        <v>7.0</v>
      </c>
      <c r="I15" s="351">
        <v>19.0</v>
      </c>
      <c r="J15" s="352" t="s">
        <v>2312</v>
      </c>
      <c r="K15" s="352" t="s">
        <v>2312</v>
      </c>
      <c r="L15" s="353">
        <v>45.0</v>
      </c>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row>
    <row r="16">
      <c r="A16" s="349"/>
      <c r="B16" s="354" t="s">
        <v>91</v>
      </c>
      <c r="C16" s="352" t="s">
        <v>2312</v>
      </c>
      <c r="D16" s="351">
        <v>1.0</v>
      </c>
      <c r="E16" s="352" t="s">
        <v>2312</v>
      </c>
      <c r="F16" s="351">
        <v>4.0</v>
      </c>
      <c r="G16" s="351">
        <v>24.0</v>
      </c>
      <c r="H16" s="351">
        <v>13.0</v>
      </c>
      <c r="I16" s="351">
        <v>45.0</v>
      </c>
      <c r="J16" s="352" t="s">
        <v>2312</v>
      </c>
      <c r="K16" s="352" t="s">
        <v>2312</v>
      </c>
      <c r="L16" s="353">
        <v>87.0</v>
      </c>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row>
    <row r="17">
      <c r="A17" s="349"/>
      <c r="B17" s="354" t="s">
        <v>37781</v>
      </c>
      <c r="C17" s="352" t="s">
        <v>2312</v>
      </c>
      <c r="D17" s="352" t="s">
        <v>2312</v>
      </c>
      <c r="E17" s="352" t="s">
        <v>2312</v>
      </c>
      <c r="F17" s="352" t="s">
        <v>2312</v>
      </c>
      <c r="G17" s="351">
        <v>1.0</v>
      </c>
      <c r="H17" s="352" t="s">
        <v>2312</v>
      </c>
      <c r="I17" s="352" t="s">
        <v>2312</v>
      </c>
      <c r="J17" s="352" t="s">
        <v>2312</v>
      </c>
      <c r="K17" s="352" t="s">
        <v>2312</v>
      </c>
      <c r="L17" s="353">
        <v>1.0</v>
      </c>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row>
    <row r="18">
      <c r="A18" s="349"/>
      <c r="B18" s="354" t="s">
        <v>83</v>
      </c>
      <c r="C18" s="352" t="s">
        <v>2312</v>
      </c>
      <c r="D18" s="351">
        <v>1.0</v>
      </c>
      <c r="E18" s="352" t="s">
        <v>2312</v>
      </c>
      <c r="F18" s="351">
        <v>3.0</v>
      </c>
      <c r="G18" s="351">
        <v>5.0</v>
      </c>
      <c r="H18" s="351">
        <v>1.0</v>
      </c>
      <c r="I18" s="352" t="s">
        <v>2312</v>
      </c>
      <c r="J18" s="352" t="s">
        <v>2312</v>
      </c>
      <c r="K18" s="352" t="s">
        <v>2312</v>
      </c>
      <c r="L18" s="353">
        <v>10.0</v>
      </c>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row>
    <row r="19">
      <c r="A19" s="349"/>
      <c r="B19" s="354" t="s">
        <v>75</v>
      </c>
      <c r="C19" s="351">
        <v>6.0</v>
      </c>
      <c r="D19" s="351">
        <v>1021.0</v>
      </c>
      <c r="E19" s="352" t="s">
        <v>2312</v>
      </c>
      <c r="F19" s="351">
        <v>104.0</v>
      </c>
      <c r="G19" s="351">
        <v>380.0</v>
      </c>
      <c r="H19" s="351">
        <v>496.0</v>
      </c>
      <c r="I19" s="351">
        <v>575.0</v>
      </c>
      <c r="J19" s="352" t="s">
        <v>2312</v>
      </c>
      <c r="K19" s="352" t="s">
        <v>2312</v>
      </c>
      <c r="L19" s="353">
        <v>2582.0</v>
      </c>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row>
    <row r="20">
      <c r="A20" s="355"/>
      <c r="B20" s="343" t="s">
        <v>77</v>
      </c>
      <c r="C20" s="347" t="s">
        <v>2312</v>
      </c>
      <c r="D20" s="347" t="s">
        <v>2312</v>
      </c>
      <c r="E20" s="347" t="s">
        <v>2312</v>
      </c>
      <c r="F20" s="347" t="s">
        <v>2312</v>
      </c>
      <c r="G20" s="347" t="s">
        <v>2312</v>
      </c>
      <c r="H20" s="347" t="s">
        <v>2312</v>
      </c>
      <c r="I20" s="347" t="s">
        <v>2312</v>
      </c>
      <c r="J20" s="347" t="s">
        <v>2312</v>
      </c>
      <c r="K20" s="347" t="s">
        <v>2312</v>
      </c>
      <c r="L20" s="357">
        <v>66.0</v>
      </c>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row>
    <row r="21">
      <c r="A21" s="343"/>
      <c r="B21" s="343"/>
      <c r="C21" s="356"/>
      <c r="D21" s="356"/>
      <c r="E21" s="356"/>
      <c r="F21" s="356"/>
      <c r="G21" s="356"/>
      <c r="H21" s="356"/>
      <c r="I21" s="356"/>
      <c r="J21" s="356"/>
      <c r="K21" s="356"/>
      <c r="L21" s="35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row>
    <row r="22">
      <c r="A22" s="345" t="s">
        <v>40375</v>
      </c>
      <c r="B22" s="343"/>
      <c r="C22" s="346">
        <f t="shared" ref="C22:D22" si="5">SUM(C23:C27)</f>
        <v>14</v>
      </c>
      <c r="D22" s="346">
        <f t="shared" si="5"/>
        <v>23</v>
      </c>
      <c r="E22" s="347" t="s">
        <v>2312</v>
      </c>
      <c r="F22" s="346">
        <f t="shared" ref="F22:I22" si="6">SUM(F23:F27)</f>
        <v>42</v>
      </c>
      <c r="G22" s="346">
        <f t="shared" si="6"/>
        <v>939</v>
      </c>
      <c r="H22" s="346">
        <f t="shared" si="6"/>
        <v>232</v>
      </c>
      <c r="I22" s="346">
        <f t="shared" si="6"/>
        <v>233</v>
      </c>
      <c r="J22" s="347" t="s">
        <v>2312</v>
      </c>
      <c r="K22" s="347" t="s">
        <v>2312</v>
      </c>
      <c r="L22" s="348">
        <f>SUM(L23:L27)</f>
        <v>1483</v>
      </c>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row>
    <row r="23">
      <c r="A23" s="349"/>
      <c r="B23" s="354" t="s">
        <v>34264</v>
      </c>
      <c r="C23" s="351">
        <v>2.0</v>
      </c>
      <c r="D23" s="352" t="s">
        <v>2312</v>
      </c>
      <c r="E23" s="352" t="s">
        <v>2312</v>
      </c>
      <c r="F23" s="351">
        <v>12.0</v>
      </c>
      <c r="G23" s="351">
        <v>800.0</v>
      </c>
      <c r="H23" s="351">
        <v>51.0</v>
      </c>
      <c r="I23" s="351">
        <v>28.0</v>
      </c>
      <c r="J23" s="352" t="s">
        <v>2312</v>
      </c>
      <c r="K23" s="352" t="s">
        <v>2312</v>
      </c>
      <c r="L23" s="353">
        <v>893.0</v>
      </c>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row>
    <row r="24">
      <c r="A24" s="349"/>
      <c r="B24" s="354" t="s">
        <v>35043</v>
      </c>
      <c r="C24" s="351">
        <v>2.0</v>
      </c>
      <c r="D24" s="351">
        <v>2.0</v>
      </c>
      <c r="E24" s="352" t="s">
        <v>2312</v>
      </c>
      <c r="F24" s="351">
        <v>3.0</v>
      </c>
      <c r="G24" s="351">
        <v>14.0</v>
      </c>
      <c r="H24" s="351">
        <v>12.0</v>
      </c>
      <c r="I24" s="351">
        <v>4.0</v>
      </c>
      <c r="J24" s="352" t="s">
        <v>2312</v>
      </c>
      <c r="K24" s="352" t="s">
        <v>2312</v>
      </c>
      <c r="L24" s="353">
        <v>37.0</v>
      </c>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row>
    <row r="25">
      <c r="A25" s="349"/>
      <c r="B25" s="354" t="s">
        <v>34565</v>
      </c>
      <c r="C25" s="352" t="s">
        <v>2312</v>
      </c>
      <c r="D25" s="352" t="s">
        <v>2312</v>
      </c>
      <c r="E25" s="352" t="s">
        <v>2312</v>
      </c>
      <c r="F25" s="352" t="s">
        <v>2312</v>
      </c>
      <c r="G25" s="351">
        <v>4.0</v>
      </c>
      <c r="H25" s="351">
        <v>2.0</v>
      </c>
      <c r="I25" s="352" t="s">
        <v>2312</v>
      </c>
      <c r="J25" s="352" t="s">
        <v>2312</v>
      </c>
      <c r="K25" s="352" t="s">
        <v>2312</v>
      </c>
      <c r="L25" s="353">
        <v>6.0</v>
      </c>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row>
    <row r="26">
      <c r="A26" s="349"/>
      <c r="B26" s="354" t="s">
        <v>94</v>
      </c>
      <c r="C26" s="352" t="s">
        <v>2312</v>
      </c>
      <c r="D26" s="352" t="s">
        <v>2312</v>
      </c>
      <c r="E26" s="352" t="s">
        <v>2312</v>
      </c>
      <c r="F26" s="352" t="s">
        <v>2312</v>
      </c>
      <c r="G26" s="352" t="s">
        <v>2312</v>
      </c>
      <c r="H26" s="351">
        <v>1.0</v>
      </c>
      <c r="I26" s="351">
        <v>32.0</v>
      </c>
      <c r="J26" s="352" t="s">
        <v>2312</v>
      </c>
      <c r="K26" s="352" t="s">
        <v>2312</v>
      </c>
      <c r="L26" s="353">
        <v>33.0</v>
      </c>
      <c r="M26" s="46"/>
      <c r="N26" s="46"/>
      <c r="O26" s="46"/>
      <c r="P26" s="46"/>
      <c r="Q26" s="46"/>
      <c r="R26" s="46"/>
      <c r="S26" s="46"/>
      <c r="T26" s="46"/>
      <c r="U26" s="46"/>
      <c r="V26" s="46"/>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row>
    <row r="27">
      <c r="A27" s="355"/>
      <c r="B27" s="343" t="s">
        <v>73</v>
      </c>
      <c r="C27" s="356">
        <v>10.0</v>
      </c>
      <c r="D27" s="356">
        <v>21.0</v>
      </c>
      <c r="E27" s="347" t="s">
        <v>2312</v>
      </c>
      <c r="F27" s="356">
        <v>27.0</v>
      </c>
      <c r="G27" s="356">
        <v>121.0</v>
      </c>
      <c r="H27" s="356">
        <v>166.0</v>
      </c>
      <c r="I27" s="356">
        <v>169.0</v>
      </c>
      <c r="J27" s="347" t="s">
        <v>2312</v>
      </c>
      <c r="K27" s="347" t="s">
        <v>2312</v>
      </c>
      <c r="L27" s="357">
        <v>514.0</v>
      </c>
      <c r="M27" s="46"/>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c r="AM27" s="46"/>
      <c r="AN27" s="46"/>
      <c r="AO27" s="46"/>
      <c r="AP27" s="46"/>
      <c r="AQ27" s="46"/>
      <c r="AR27" s="46"/>
      <c r="AS27" s="46"/>
      <c r="AT27" s="46"/>
      <c r="AU27" s="46"/>
    </row>
    <row r="28">
      <c r="A28" s="343"/>
      <c r="B28" s="343"/>
      <c r="C28" s="356"/>
      <c r="D28" s="356"/>
      <c r="E28" s="356"/>
      <c r="F28" s="356"/>
      <c r="G28" s="356"/>
      <c r="H28" s="356"/>
      <c r="I28" s="356"/>
      <c r="J28" s="356"/>
      <c r="K28" s="356"/>
      <c r="L28" s="35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46"/>
      <c r="AN28" s="46"/>
      <c r="AO28" s="46"/>
      <c r="AP28" s="46"/>
      <c r="AQ28" s="46"/>
      <c r="AR28" s="46"/>
      <c r="AS28" s="46"/>
      <c r="AT28" s="46"/>
      <c r="AU28" s="46"/>
    </row>
    <row r="29">
      <c r="A29" s="345" t="s">
        <v>49</v>
      </c>
      <c r="B29" s="343"/>
      <c r="C29" s="346">
        <f t="shared" ref="C29:D29" si="7">SUM(C30:C40)</f>
        <v>30</v>
      </c>
      <c r="D29" s="346">
        <f t="shared" si="7"/>
        <v>188</v>
      </c>
      <c r="E29" s="346">
        <v>6.0</v>
      </c>
      <c r="F29" s="346">
        <f t="shared" ref="F29:I29" si="8">SUM(F30:F40)</f>
        <v>72</v>
      </c>
      <c r="G29" s="346">
        <f t="shared" si="8"/>
        <v>368</v>
      </c>
      <c r="H29" s="346">
        <f t="shared" si="8"/>
        <v>272</v>
      </c>
      <c r="I29" s="346">
        <f t="shared" si="8"/>
        <v>368</v>
      </c>
      <c r="J29" s="347" t="s">
        <v>2312</v>
      </c>
      <c r="K29" s="346">
        <v>1.0</v>
      </c>
      <c r="L29" s="348">
        <f>SUM(L30:L40)</f>
        <v>1349</v>
      </c>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46"/>
      <c r="AN29" s="46"/>
      <c r="AO29" s="46"/>
      <c r="AP29" s="46"/>
      <c r="AQ29" s="46"/>
      <c r="AR29" s="46"/>
      <c r="AS29" s="46"/>
      <c r="AT29" s="46"/>
      <c r="AU29" s="46"/>
    </row>
    <row r="30">
      <c r="A30" s="349"/>
      <c r="B30" s="354" t="s">
        <v>34409</v>
      </c>
      <c r="C30" s="351">
        <v>1.0</v>
      </c>
      <c r="D30" s="351">
        <v>5.0</v>
      </c>
      <c r="E30" s="352" t="s">
        <v>2312</v>
      </c>
      <c r="F30" s="352" t="s">
        <v>2312</v>
      </c>
      <c r="G30" s="351">
        <v>5.0</v>
      </c>
      <c r="H30" s="352" t="s">
        <v>2312</v>
      </c>
      <c r="I30" s="351">
        <v>21.0</v>
      </c>
      <c r="J30" s="352" t="s">
        <v>2312</v>
      </c>
      <c r="K30" s="352" t="s">
        <v>2312</v>
      </c>
      <c r="L30" s="353">
        <v>32.0</v>
      </c>
      <c r="M30" s="46"/>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46"/>
      <c r="AM30" s="46"/>
      <c r="AN30" s="46"/>
      <c r="AO30" s="46"/>
      <c r="AP30" s="46"/>
      <c r="AQ30" s="46"/>
      <c r="AR30" s="46"/>
      <c r="AS30" s="46"/>
      <c r="AT30" s="46"/>
      <c r="AU30" s="46"/>
    </row>
    <row r="31">
      <c r="A31" s="349"/>
      <c r="B31" s="354" t="s">
        <v>67</v>
      </c>
      <c r="C31" s="351">
        <v>1.0</v>
      </c>
      <c r="D31" s="351">
        <v>6.0</v>
      </c>
      <c r="E31" s="352" t="s">
        <v>2312</v>
      </c>
      <c r="F31" s="352" t="s">
        <v>2312</v>
      </c>
      <c r="G31" s="351">
        <v>2.0</v>
      </c>
      <c r="H31" s="351">
        <v>1.0</v>
      </c>
      <c r="I31" s="351">
        <v>141.0</v>
      </c>
      <c r="J31" s="352" t="s">
        <v>2312</v>
      </c>
      <c r="K31" s="352" t="s">
        <v>2312</v>
      </c>
      <c r="L31" s="353">
        <v>151.0</v>
      </c>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row>
    <row r="32">
      <c r="A32" s="349"/>
      <c r="B32" s="354" t="s">
        <v>69</v>
      </c>
      <c r="C32" s="352" t="s">
        <v>2312</v>
      </c>
      <c r="D32" s="351">
        <v>6.0</v>
      </c>
      <c r="E32" s="352" t="s">
        <v>2312</v>
      </c>
      <c r="F32" s="352" t="s">
        <v>2312</v>
      </c>
      <c r="G32" s="351">
        <v>44.0</v>
      </c>
      <c r="H32" s="352" t="s">
        <v>2312</v>
      </c>
      <c r="I32" s="351">
        <v>14.0</v>
      </c>
      <c r="J32" s="352" t="s">
        <v>2312</v>
      </c>
      <c r="K32" s="352" t="s">
        <v>2312</v>
      </c>
      <c r="L32" s="353">
        <v>64.0</v>
      </c>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row>
    <row r="33">
      <c r="A33" s="349"/>
      <c r="B33" s="354" t="s">
        <v>70</v>
      </c>
      <c r="C33" s="352" t="s">
        <v>2312</v>
      </c>
      <c r="D33" s="351">
        <v>9.0</v>
      </c>
      <c r="E33" s="352" t="s">
        <v>2312</v>
      </c>
      <c r="F33" s="351">
        <v>1.0</v>
      </c>
      <c r="G33" s="351">
        <v>6.0</v>
      </c>
      <c r="H33" s="351">
        <v>1.0</v>
      </c>
      <c r="I33" s="351">
        <v>42.0</v>
      </c>
      <c r="J33" s="352" t="s">
        <v>2312</v>
      </c>
      <c r="K33" s="352" t="s">
        <v>2312</v>
      </c>
      <c r="L33" s="353">
        <v>59.0</v>
      </c>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46"/>
      <c r="AN33" s="46"/>
      <c r="AO33" s="46"/>
      <c r="AP33" s="46"/>
      <c r="AQ33" s="46"/>
      <c r="AR33" s="46"/>
      <c r="AS33" s="46"/>
      <c r="AT33" s="46"/>
      <c r="AU33" s="46"/>
    </row>
    <row r="34">
      <c r="A34" s="349"/>
      <c r="B34" s="354" t="s">
        <v>51</v>
      </c>
      <c r="C34" s="351">
        <v>21.0</v>
      </c>
      <c r="D34" s="351">
        <v>135.0</v>
      </c>
      <c r="E34" s="351">
        <v>6.0</v>
      </c>
      <c r="F34" s="351">
        <v>68.0</v>
      </c>
      <c r="G34" s="351">
        <v>283.0</v>
      </c>
      <c r="H34" s="351">
        <v>250.0</v>
      </c>
      <c r="I34" s="351">
        <v>110.0</v>
      </c>
      <c r="J34" s="352" t="s">
        <v>2312</v>
      </c>
      <c r="K34" s="351">
        <v>1.0</v>
      </c>
      <c r="L34" s="353">
        <v>874.0</v>
      </c>
      <c r="M34" s="46"/>
      <c r="N34" s="46"/>
      <c r="O34" s="46"/>
      <c r="P34" s="46"/>
      <c r="Q34" s="46"/>
      <c r="R34" s="46"/>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row>
    <row r="35">
      <c r="A35" s="349"/>
      <c r="B35" s="354" t="s">
        <v>53</v>
      </c>
      <c r="C35" s="352" t="s">
        <v>2312</v>
      </c>
      <c r="D35" s="351">
        <v>15.0</v>
      </c>
      <c r="E35" s="352" t="s">
        <v>2312</v>
      </c>
      <c r="F35" s="351">
        <v>1.0</v>
      </c>
      <c r="G35" s="351">
        <v>8.0</v>
      </c>
      <c r="H35" s="351">
        <v>5.0</v>
      </c>
      <c r="I35" s="351">
        <v>28.0</v>
      </c>
      <c r="J35" s="352" t="s">
        <v>2312</v>
      </c>
      <c r="K35" s="352" t="s">
        <v>2312</v>
      </c>
      <c r="L35" s="353">
        <v>57.0</v>
      </c>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46"/>
      <c r="AN35" s="46"/>
      <c r="AO35" s="46"/>
      <c r="AP35" s="46"/>
      <c r="AQ35" s="46"/>
      <c r="AR35" s="46"/>
      <c r="AS35" s="46"/>
      <c r="AT35" s="46"/>
      <c r="AU35" s="46"/>
    </row>
    <row r="36">
      <c r="A36" s="349"/>
      <c r="B36" s="354" t="s">
        <v>61</v>
      </c>
      <c r="C36" s="351">
        <v>1.0</v>
      </c>
      <c r="D36" s="351">
        <v>3.0</v>
      </c>
      <c r="E36" s="352" t="s">
        <v>2312</v>
      </c>
      <c r="F36" s="351">
        <v>1.0</v>
      </c>
      <c r="G36" s="351">
        <v>2.0</v>
      </c>
      <c r="H36" s="351">
        <v>5.0</v>
      </c>
      <c r="I36" s="352" t="s">
        <v>2312</v>
      </c>
      <c r="J36" s="352" t="s">
        <v>2312</v>
      </c>
      <c r="K36" s="352" t="s">
        <v>2312</v>
      </c>
      <c r="L36" s="353">
        <v>12.0</v>
      </c>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row>
    <row r="37">
      <c r="A37" s="349"/>
      <c r="B37" s="354" t="s">
        <v>55</v>
      </c>
      <c r="C37" s="352" t="s">
        <v>2312</v>
      </c>
      <c r="D37" s="351">
        <v>1.0</v>
      </c>
      <c r="E37" s="352" t="s">
        <v>2312</v>
      </c>
      <c r="F37" s="351">
        <v>1.0</v>
      </c>
      <c r="G37" s="351">
        <v>1.0</v>
      </c>
      <c r="H37" s="351">
        <v>4.0</v>
      </c>
      <c r="I37" s="351">
        <v>3.0</v>
      </c>
      <c r="J37" s="352" t="s">
        <v>2312</v>
      </c>
      <c r="K37" s="352" t="s">
        <v>2312</v>
      </c>
      <c r="L37" s="353">
        <v>10.0</v>
      </c>
      <c r="M37" s="46"/>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c r="AM37" s="46"/>
      <c r="AN37" s="46"/>
      <c r="AO37" s="46"/>
      <c r="AP37" s="46"/>
      <c r="AQ37" s="46"/>
      <c r="AR37" s="46"/>
      <c r="AS37" s="46"/>
      <c r="AT37" s="46"/>
      <c r="AU37" s="46"/>
    </row>
    <row r="38">
      <c r="A38" s="349"/>
      <c r="B38" s="354" t="s">
        <v>57</v>
      </c>
      <c r="C38" s="351">
        <v>3.0</v>
      </c>
      <c r="D38" s="351">
        <v>6.0</v>
      </c>
      <c r="E38" s="352" t="s">
        <v>2312</v>
      </c>
      <c r="F38" s="352" t="s">
        <v>2312</v>
      </c>
      <c r="G38" s="351">
        <v>14.0</v>
      </c>
      <c r="H38" s="351">
        <v>5.0</v>
      </c>
      <c r="I38" s="351">
        <v>6.0</v>
      </c>
      <c r="J38" s="352" t="s">
        <v>2312</v>
      </c>
      <c r="K38" s="352" t="s">
        <v>2312</v>
      </c>
      <c r="L38" s="353">
        <v>34.0</v>
      </c>
      <c r="M38" s="46"/>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row>
    <row r="39">
      <c r="A39" s="349"/>
      <c r="B39" s="354" t="s">
        <v>59</v>
      </c>
      <c r="C39" s="351">
        <v>3.0</v>
      </c>
      <c r="D39" s="351">
        <v>2.0</v>
      </c>
      <c r="E39" s="352" t="s">
        <v>2312</v>
      </c>
      <c r="F39" s="352" t="s">
        <v>2312</v>
      </c>
      <c r="G39" s="351">
        <v>3.0</v>
      </c>
      <c r="H39" s="351">
        <v>1.0</v>
      </c>
      <c r="I39" s="351">
        <v>3.0</v>
      </c>
      <c r="J39" s="352" t="s">
        <v>2312</v>
      </c>
      <c r="K39" s="352" t="s">
        <v>2312</v>
      </c>
      <c r="L39" s="353">
        <v>12.0</v>
      </c>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row>
    <row r="40">
      <c r="A40" s="355"/>
      <c r="B40" s="343" t="s">
        <v>40376</v>
      </c>
      <c r="C40" s="347" t="s">
        <v>2312</v>
      </c>
      <c r="D40" s="347" t="s">
        <v>2312</v>
      </c>
      <c r="E40" s="347" t="s">
        <v>2312</v>
      </c>
      <c r="F40" s="347" t="s">
        <v>2312</v>
      </c>
      <c r="G40" s="347" t="s">
        <v>2312</v>
      </c>
      <c r="H40" s="347" t="s">
        <v>2312</v>
      </c>
      <c r="I40" s="347" t="s">
        <v>2312</v>
      </c>
      <c r="J40" s="347" t="s">
        <v>2312</v>
      </c>
      <c r="K40" s="347" t="s">
        <v>2312</v>
      </c>
      <c r="L40" s="357">
        <v>44.0</v>
      </c>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row>
    <row r="41">
      <c r="A41" s="343"/>
      <c r="B41" s="343"/>
      <c r="C41" s="356"/>
      <c r="D41" s="356"/>
      <c r="E41" s="356"/>
      <c r="F41" s="356"/>
      <c r="G41" s="356"/>
      <c r="H41" s="356"/>
      <c r="I41" s="356"/>
      <c r="J41" s="356"/>
      <c r="K41" s="356"/>
      <c r="L41" s="35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row>
    <row r="42">
      <c r="A42" s="345" t="s">
        <v>40377</v>
      </c>
      <c r="B42" s="343"/>
      <c r="C42" s="347" t="s">
        <v>2312</v>
      </c>
      <c r="D42" s="346">
        <v>14.0</v>
      </c>
      <c r="E42" s="347" t="s">
        <v>2312</v>
      </c>
      <c r="F42" s="346">
        <v>1.0</v>
      </c>
      <c r="G42" s="346">
        <v>36.0</v>
      </c>
      <c r="H42" s="346">
        <v>7.0</v>
      </c>
      <c r="I42" s="346">
        <v>64.0</v>
      </c>
      <c r="J42" s="347" t="s">
        <v>2312</v>
      </c>
      <c r="K42" s="347" t="s">
        <v>2312</v>
      </c>
      <c r="L42" s="348">
        <v>122.0</v>
      </c>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row>
    <row r="43">
      <c r="A43" s="349"/>
      <c r="B43" s="354" t="s">
        <v>79</v>
      </c>
      <c r="C43" s="352" t="s">
        <v>2312</v>
      </c>
      <c r="D43" s="351">
        <v>14.0</v>
      </c>
      <c r="E43" s="352" t="s">
        <v>2312</v>
      </c>
      <c r="F43" s="351">
        <v>1.0</v>
      </c>
      <c r="G43" s="351">
        <v>36.0</v>
      </c>
      <c r="H43" s="351">
        <v>4.0</v>
      </c>
      <c r="I43" s="351">
        <v>64.0</v>
      </c>
      <c r="J43" s="352" t="s">
        <v>2312</v>
      </c>
      <c r="K43" s="352" t="s">
        <v>2312</v>
      </c>
      <c r="L43" s="353">
        <v>119.0</v>
      </c>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row>
    <row r="44">
      <c r="A44" s="355"/>
      <c r="B44" s="343" t="s">
        <v>34917</v>
      </c>
      <c r="C44" s="347" t="s">
        <v>2312</v>
      </c>
      <c r="D44" s="347" t="s">
        <v>2312</v>
      </c>
      <c r="E44" s="347" t="s">
        <v>2312</v>
      </c>
      <c r="F44" s="347" t="s">
        <v>2312</v>
      </c>
      <c r="G44" s="347" t="s">
        <v>2312</v>
      </c>
      <c r="H44" s="356">
        <v>3.0</v>
      </c>
      <c r="I44" s="347" t="s">
        <v>2312</v>
      </c>
      <c r="J44" s="347" t="s">
        <v>2312</v>
      </c>
      <c r="K44" s="347" t="s">
        <v>2312</v>
      </c>
      <c r="L44" s="357">
        <v>3.0</v>
      </c>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row>
    <row r="45">
      <c r="A45" s="343"/>
      <c r="B45" s="343"/>
      <c r="C45" s="356"/>
      <c r="D45" s="356"/>
      <c r="E45" s="356"/>
      <c r="F45" s="356"/>
      <c r="G45" s="356"/>
      <c r="H45" s="356"/>
      <c r="I45" s="356"/>
      <c r="J45" s="356"/>
      <c r="K45" s="356"/>
      <c r="L45" s="35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row>
    <row r="46">
      <c r="A46" s="345" t="s">
        <v>100</v>
      </c>
      <c r="B46" s="343"/>
      <c r="C46" s="346">
        <v>8.0</v>
      </c>
      <c r="D46" s="346">
        <v>367.0</v>
      </c>
      <c r="E46" s="346">
        <v>4.0</v>
      </c>
      <c r="F46" s="346">
        <v>56.0</v>
      </c>
      <c r="G46" s="346">
        <v>1342.0</v>
      </c>
      <c r="H46" s="346">
        <v>258.0</v>
      </c>
      <c r="I46" s="346">
        <v>228.0</v>
      </c>
      <c r="J46" s="346">
        <v>1.0</v>
      </c>
      <c r="K46" s="347" t="s">
        <v>2312</v>
      </c>
      <c r="L46" s="348">
        <v>2264.0</v>
      </c>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row>
    <row r="47">
      <c r="A47" s="349"/>
      <c r="B47" s="354" t="s">
        <v>34208</v>
      </c>
      <c r="C47" s="351">
        <v>8.0</v>
      </c>
      <c r="D47" s="351">
        <v>365.0</v>
      </c>
      <c r="E47" s="351">
        <v>4.0</v>
      </c>
      <c r="F47" s="351">
        <v>56.0</v>
      </c>
      <c r="G47" s="351">
        <v>1342.0</v>
      </c>
      <c r="H47" s="351">
        <v>258.0</v>
      </c>
      <c r="I47" s="351">
        <v>226.0</v>
      </c>
      <c r="J47" s="351">
        <v>1.0</v>
      </c>
      <c r="K47" s="352" t="s">
        <v>2312</v>
      </c>
      <c r="L47" s="353">
        <v>2260.0</v>
      </c>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row>
    <row r="48">
      <c r="A48" s="355"/>
      <c r="B48" s="343" t="s">
        <v>102</v>
      </c>
      <c r="C48" s="347" t="s">
        <v>2312</v>
      </c>
      <c r="D48" s="356">
        <v>2.0</v>
      </c>
      <c r="E48" s="347" t="s">
        <v>2312</v>
      </c>
      <c r="F48" s="347" t="s">
        <v>2312</v>
      </c>
      <c r="G48" s="347" t="s">
        <v>2312</v>
      </c>
      <c r="H48" s="347" t="s">
        <v>2312</v>
      </c>
      <c r="I48" s="356">
        <v>2.0</v>
      </c>
      <c r="J48" s="347" t="s">
        <v>2312</v>
      </c>
      <c r="K48" s="347" t="s">
        <v>2312</v>
      </c>
      <c r="L48" s="357">
        <v>4.0</v>
      </c>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row>
    <row r="49">
      <c r="A49" s="354"/>
      <c r="B49" s="354"/>
      <c r="C49" s="351"/>
      <c r="D49" s="351"/>
      <c r="E49" s="351"/>
      <c r="F49" s="351"/>
      <c r="G49" s="351"/>
      <c r="H49" s="351"/>
      <c r="I49" s="351"/>
      <c r="J49" s="351"/>
      <c r="K49" s="351"/>
      <c r="L49" s="351"/>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row>
    <row r="50">
      <c r="A50" s="341"/>
      <c r="B50" s="341" t="s">
        <v>40371</v>
      </c>
      <c r="C50" s="358">
        <v>67.0</v>
      </c>
      <c r="D50" s="358">
        <v>1827.0</v>
      </c>
      <c r="E50" s="358">
        <v>10.0</v>
      </c>
      <c r="F50" s="358">
        <v>318.0</v>
      </c>
      <c r="G50" s="358">
        <v>3304.0</v>
      </c>
      <c r="H50" s="358">
        <v>1459.0</v>
      </c>
      <c r="I50" s="358">
        <v>1712.0</v>
      </c>
      <c r="J50" s="358">
        <v>1.0</v>
      </c>
      <c r="K50" s="358">
        <v>1.0</v>
      </c>
      <c r="L50" s="358">
        <v>8699.0</v>
      </c>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row>
    <row r="5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row>
    <row r="5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row>
    <row r="53">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row>
    <row r="54">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row>
    <row r="55">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row>
    <row r="56">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row>
    <row r="57">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row>
    <row r="58">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row>
    <row r="59">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row>
    <row r="60">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row>
    <row r="6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row>
    <row r="6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row>
    <row r="63">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row>
    <row r="64">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row>
    <row r="65">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row>
    <row r="66">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row>
    <row r="67">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row>
    <row r="68">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row>
    <row r="69">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row>
    <row r="70">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row>
    <row r="7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row>
    <row r="7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row>
    <row r="73">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row>
    <row r="74">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row>
    <row r="75">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row>
    <row r="76">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row>
    <row r="77">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row>
    <row r="78">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row>
    <row r="79">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row>
    <row r="80">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row>
    <row r="8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row>
    <row r="8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row>
    <row r="83">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row>
    <row r="84">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row>
    <row r="85">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row>
    <row r="86">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row>
    <row r="87">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row>
    <row r="88">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row>
    <row r="89">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row>
    <row r="90">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row>
    <row r="9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row>
    <row r="9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row>
    <row r="93">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row>
    <row r="94">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row>
    <row r="95">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row>
    <row r="96">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row>
    <row r="97">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row>
    <row r="98">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row>
    <row r="99">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row>
    <row r="100">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row>
    <row r="10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row>
    <row r="10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row>
    <row r="103">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row>
    <row r="104">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row>
    <row r="105">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row>
    <row r="106">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row>
    <row r="107">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row>
    <row r="108">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row>
    <row r="109">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row>
    <row r="110">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row>
    <row r="11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row>
    <row r="11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row>
    <row r="113">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row>
    <row r="114">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row>
    <row r="115">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row>
    <row r="116">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row>
    <row r="117">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row>
    <row r="118">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row>
    <row r="119">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row>
    <row r="120">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row>
    <row r="12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row>
    <row r="12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row>
    <row r="123">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row>
    <row r="124">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row>
    <row r="125">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row>
    <row r="126">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row>
    <row r="127">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row>
    <row r="128">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row>
    <row r="129">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row>
    <row r="130">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row>
    <row r="13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row>
    <row r="13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row>
    <row r="133">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row>
    <row r="134">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row>
    <row r="13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row>
    <row r="136">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row>
    <row r="137">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row>
    <row r="138">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row>
    <row r="139">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row>
    <row r="140">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row>
    <row r="14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row>
    <row r="14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row>
    <row r="143">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row>
    <row r="144">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row>
    <row r="14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row>
    <row r="146">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row>
    <row r="147">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row>
    <row r="148">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row>
    <row r="149">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row>
    <row r="150">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row>
    <row r="15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row>
    <row r="15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row>
    <row r="153">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row>
    <row r="154">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row>
    <row r="15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row>
    <row r="156">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row>
    <row r="157">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row>
    <row r="158">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row>
    <row r="159">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row>
    <row r="160">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row>
    <row r="16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row>
    <row r="16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row>
    <row r="163">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row>
    <row r="164">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row>
    <row r="16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row>
    <row r="166">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row>
    <row r="167">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row>
    <row r="168">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row>
    <row r="169">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row>
    <row r="170">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row>
    <row r="17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row>
    <row r="17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row>
    <row r="173">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row>
    <row r="174">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row>
    <row r="17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row>
    <row r="176">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row>
    <row r="177">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row>
    <row r="178">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row>
    <row r="179">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row>
    <row r="180">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row>
    <row r="18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row>
    <row r="18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row>
    <row r="183">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row>
    <row r="184">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row>
    <row r="18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row>
    <row r="186">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row>
    <row r="187">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row>
    <row r="188">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row>
    <row r="189">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row>
    <row r="190">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row>
    <row r="19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row>
    <row r="19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row>
    <row r="193">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row>
    <row r="194">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row>
    <row r="19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row>
    <row r="196">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row>
    <row r="197">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row>
    <row r="198">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row>
    <row r="199">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row>
    <row r="200">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row>
    <row r="20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row>
    <row r="20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row>
    <row r="203">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row>
    <row r="204">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row>
    <row r="205">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c r="AM205" s="46"/>
      <c r="AN205" s="46"/>
      <c r="AO205" s="46"/>
      <c r="AP205" s="46"/>
      <c r="AQ205" s="46"/>
      <c r="AR205" s="46"/>
      <c r="AS205" s="46"/>
      <c r="AT205" s="46"/>
      <c r="AU205" s="46"/>
    </row>
    <row r="206">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row>
    <row r="207">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c r="AD207" s="46"/>
      <c r="AE207" s="46"/>
      <c r="AF207" s="46"/>
      <c r="AG207" s="46"/>
      <c r="AH207" s="46"/>
      <c r="AI207" s="46"/>
      <c r="AJ207" s="46"/>
      <c r="AK207" s="46"/>
      <c r="AL207" s="46"/>
      <c r="AM207" s="46"/>
      <c r="AN207" s="46"/>
      <c r="AO207" s="46"/>
      <c r="AP207" s="46"/>
      <c r="AQ207" s="46"/>
      <c r="AR207" s="46"/>
      <c r="AS207" s="46"/>
      <c r="AT207" s="46"/>
      <c r="AU207" s="46"/>
    </row>
    <row r="208">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row>
    <row r="209">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c r="AG209" s="46"/>
      <c r="AH209" s="46"/>
      <c r="AI209" s="46"/>
      <c r="AJ209" s="46"/>
      <c r="AK209" s="46"/>
      <c r="AL209" s="46"/>
      <c r="AM209" s="46"/>
      <c r="AN209" s="46"/>
      <c r="AO209" s="46"/>
      <c r="AP209" s="46"/>
      <c r="AQ209" s="46"/>
      <c r="AR209" s="46"/>
      <c r="AS209" s="46"/>
      <c r="AT209" s="46"/>
      <c r="AU209" s="46"/>
    </row>
    <row r="210">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row>
    <row r="21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c r="AD211" s="46"/>
      <c r="AE211" s="46"/>
      <c r="AF211" s="46"/>
      <c r="AG211" s="46"/>
      <c r="AH211" s="46"/>
      <c r="AI211" s="46"/>
      <c r="AJ211" s="46"/>
      <c r="AK211" s="46"/>
      <c r="AL211" s="46"/>
      <c r="AM211" s="46"/>
      <c r="AN211" s="46"/>
      <c r="AO211" s="46"/>
      <c r="AP211" s="46"/>
      <c r="AQ211" s="46"/>
      <c r="AR211" s="46"/>
      <c r="AS211" s="46"/>
      <c r="AT211" s="46"/>
      <c r="AU211" s="46"/>
    </row>
    <row r="21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row>
    <row r="213">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row>
    <row r="214">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row>
    <row r="215">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row>
    <row r="216">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c r="AG216" s="46"/>
      <c r="AH216" s="46"/>
      <c r="AI216" s="46"/>
      <c r="AJ216" s="46"/>
      <c r="AK216" s="46"/>
      <c r="AL216" s="46"/>
      <c r="AM216" s="46"/>
      <c r="AN216" s="46"/>
      <c r="AO216" s="46"/>
      <c r="AP216" s="46"/>
      <c r="AQ216" s="46"/>
      <c r="AR216" s="46"/>
      <c r="AS216" s="46"/>
      <c r="AT216" s="46"/>
      <c r="AU216" s="46"/>
    </row>
    <row r="217">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c r="AG217" s="46"/>
      <c r="AH217" s="46"/>
      <c r="AI217" s="46"/>
      <c r="AJ217" s="46"/>
      <c r="AK217" s="46"/>
      <c r="AL217" s="46"/>
      <c r="AM217" s="46"/>
      <c r="AN217" s="46"/>
      <c r="AO217" s="46"/>
      <c r="AP217" s="46"/>
      <c r="AQ217" s="46"/>
      <c r="AR217" s="46"/>
      <c r="AS217" s="46"/>
      <c r="AT217" s="46"/>
      <c r="AU217" s="46"/>
    </row>
    <row r="218">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c r="AM218" s="46"/>
      <c r="AN218" s="46"/>
      <c r="AO218" s="46"/>
      <c r="AP218" s="46"/>
      <c r="AQ218" s="46"/>
      <c r="AR218" s="46"/>
      <c r="AS218" s="46"/>
      <c r="AT218" s="46"/>
      <c r="AU218" s="46"/>
    </row>
    <row r="219">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row>
    <row r="220">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row>
    <row r="22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row>
    <row r="22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c r="AG222" s="46"/>
      <c r="AH222" s="46"/>
      <c r="AI222" s="46"/>
      <c r="AJ222" s="46"/>
      <c r="AK222" s="46"/>
      <c r="AL222" s="46"/>
      <c r="AM222" s="46"/>
      <c r="AN222" s="46"/>
      <c r="AO222" s="46"/>
      <c r="AP222" s="46"/>
      <c r="AQ222" s="46"/>
      <c r="AR222" s="46"/>
      <c r="AS222" s="46"/>
      <c r="AT222" s="46"/>
      <c r="AU222" s="46"/>
    </row>
    <row r="223">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row>
    <row r="224">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row>
    <row r="225">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c r="AG225" s="46"/>
      <c r="AH225" s="46"/>
      <c r="AI225" s="46"/>
      <c r="AJ225" s="46"/>
      <c r="AK225" s="46"/>
      <c r="AL225" s="46"/>
      <c r="AM225" s="46"/>
      <c r="AN225" s="46"/>
      <c r="AO225" s="46"/>
      <c r="AP225" s="46"/>
      <c r="AQ225" s="46"/>
      <c r="AR225" s="46"/>
      <c r="AS225" s="46"/>
      <c r="AT225" s="46"/>
      <c r="AU225" s="46"/>
    </row>
    <row r="226">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c r="AG226" s="46"/>
      <c r="AH226" s="46"/>
      <c r="AI226" s="46"/>
      <c r="AJ226" s="46"/>
      <c r="AK226" s="46"/>
      <c r="AL226" s="46"/>
      <c r="AM226" s="46"/>
      <c r="AN226" s="46"/>
      <c r="AO226" s="46"/>
      <c r="AP226" s="46"/>
      <c r="AQ226" s="46"/>
      <c r="AR226" s="46"/>
      <c r="AS226" s="46"/>
      <c r="AT226" s="46"/>
      <c r="AU226" s="46"/>
    </row>
    <row r="227">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c r="AG227" s="46"/>
      <c r="AH227" s="46"/>
      <c r="AI227" s="46"/>
      <c r="AJ227" s="46"/>
      <c r="AK227" s="46"/>
      <c r="AL227" s="46"/>
      <c r="AM227" s="46"/>
      <c r="AN227" s="46"/>
      <c r="AO227" s="46"/>
      <c r="AP227" s="46"/>
      <c r="AQ227" s="46"/>
      <c r="AR227" s="46"/>
      <c r="AS227" s="46"/>
      <c r="AT227" s="46"/>
      <c r="AU227" s="46"/>
    </row>
    <row r="228">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c r="AG228" s="46"/>
      <c r="AH228" s="46"/>
      <c r="AI228" s="46"/>
      <c r="AJ228" s="46"/>
      <c r="AK228" s="46"/>
      <c r="AL228" s="46"/>
      <c r="AM228" s="46"/>
      <c r="AN228" s="46"/>
      <c r="AO228" s="46"/>
      <c r="AP228" s="46"/>
      <c r="AQ228" s="46"/>
      <c r="AR228" s="46"/>
      <c r="AS228" s="46"/>
      <c r="AT228" s="46"/>
      <c r="AU228" s="46"/>
    </row>
    <row r="229">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row>
    <row r="230">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c r="AG230" s="46"/>
      <c r="AH230" s="46"/>
      <c r="AI230" s="46"/>
      <c r="AJ230" s="46"/>
      <c r="AK230" s="46"/>
      <c r="AL230" s="46"/>
      <c r="AM230" s="46"/>
      <c r="AN230" s="46"/>
      <c r="AO230" s="46"/>
      <c r="AP230" s="46"/>
      <c r="AQ230" s="46"/>
      <c r="AR230" s="46"/>
      <c r="AS230" s="46"/>
      <c r="AT230" s="46"/>
      <c r="AU230" s="46"/>
    </row>
    <row r="23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c r="AG231" s="46"/>
      <c r="AH231" s="46"/>
      <c r="AI231" s="46"/>
      <c r="AJ231" s="46"/>
      <c r="AK231" s="46"/>
      <c r="AL231" s="46"/>
      <c r="AM231" s="46"/>
      <c r="AN231" s="46"/>
      <c r="AO231" s="46"/>
      <c r="AP231" s="46"/>
      <c r="AQ231" s="46"/>
      <c r="AR231" s="46"/>
      <c r="AS231" s="46"/>
      <c r="AT231" s="46"/>
      <c r="AU231" s="46"/>
    </row>
    <row r="23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c r="AM232" s="46"/>
      <c r="AN232" s="46"/>
      <c r="AO232" s="46"/>
      <c r="AP232" s="46"/>
      <c r="AQ232" s="46"/>
      <c r="AR232" s="46"/>
      <c r="AS232" s="46"/>
      <c r="AT232" s="46"/>
      <c r="AU232" s="46"/>
    </row>
    <row r="233">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row>
    <row r="234">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row>
    <row r="235">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c r="AG235" s="46"/>
      <c r="AH235" s="46"/>
      <c r="AI235" s="46"/>
      <c r="AJ235" s="46"/>
      <c r="AK235" s="46"/>
      <c r="AL235" s="46"/>
      <c r="AM235" s="46"/>
      <c r="AN235" s="46"/>
      <c r="AO235" s="46"/>
      <c r="AP235" s="46"/>
      <c r="AQ235" s="46"/>
      <c r="AR235" s="46"/>
      <c r="AS235" s="46"/>
      <c r="AT235" s="46"/>
      <c r="AU235" s="46"/>
    </row>
    <row r="236">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c r="AG236" s="46"/>
      <c r="AH236" s="46"/>
      <c r="AI236" s="46"/>
      <c r="AJ236" s="46"/>
      <c r="AK236" s="46"/>
      <c r="AL236" s="46"/>
      <c r="AM236" s="46"/>
      <c r="AN236" s="46"/>
      <c r="AO236" s="46"/>
      <c r="AP236" s="46"/>
      <c r="AQ236" s="46"/>
      <c r="AR236" s="46"/>
      <c r="AS236" s="46"/>
      <c r="AT236" s="46"/>
      <c r="AU236" s="46"/>
    </row>
    <row r="237">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c r="AG237" s="46"/>
      <c r="AH237" s="46"/>
      <c r="AI237" s="46"/>
      <c r="AJ237" s="46"/>
      <c r="AK237" s="46"/>
      <c r="AL237" s="46"/>
      <c r="AM237" s="46"/>
      <c r="AN237" s="46"/>
      <c r="AO237" s="46"/>
      <c r="AP237" s="46"/>
      <c r="AQ237" s="46"/>
      <c r="AR237" s="46"/>
      <c r="AS237" s="46"/>
      <c r="AT237" s="46"/>
      <c r="AU237" s="46"/>
    </row>
    <row r="238">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row>
    <row r="239">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c r="AG239" s="46"/>
      <c r="AH239" s="46"/>
      <c r="AI239" s="46"/>
      <c r="AJ239" s="46"/>
      <c r="AK239" s="46"/>
      <c r="AL239" s="46"/>
      <c r="AM239" s="46"/>
      <c r="AN239" s="46"/>
      <c r="AO239" s="46"/>
      <c r="AP239" s="46"/>
      <c r="AQ239" s="46"/>
      <c r="AR239" s="46"/>
      <c r="AS239" s="46"/>
      <c r="AT239" s="46"/>
      <c r="AU239" s="46"/>
    </row>
    <row r="240">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c r="AG240" s="46"/>
      <c r="AH240" s="46"/>
      <c r="AI240" s="46"/>
      <c r="AJ240" s="46"/>
      <c r="AK240" s="46"/>
      <c r="AL240" s="46"/>
      <c r="AM240" s="46"/>
      <c r="AN240" s="46"/>
      <c r="AO240" s="46"/>
      <c r="AP240" s="46"/>
      <c r="AQ240" s="46"/>
      <c r="AR240" s="46"/>
      <c r="AS240" s="46"/>
      <c r="AT240" s="46"/>
      <c r="AU240" s="46"/>
    </row>
    <row r="24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row>
    <row r="24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46"/>
      <c r="AU242" s="46"/>
    </row>
    <row r="243">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row>
    <row r="244">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row>
    <row r="245">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row>
    <row r="246">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c r="AG246" s="46"/>
      <c r="AH246" s="46"/>
      <c r="AI246" s="46"/>
      <c r="AJ246" s="46"/>
      <c r="AK246" s="46"/>
      <c r="AL246" s="46"/>
      <c r="AM246" s="46"/>
      <c r="AN246" s="46"/>
      <c r="AO246" s="46"/>
      <c r="AP246" s="46"/>
      <c r="AQ246" s="46"/>
      <c r="AR246" s="46"/>
      <c r="AS246" s="46"/>
      <c r="AT246" s="46"/>
      <c r="AU246" s="46"/>
    </row>
    <row r="247">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row>
    <row r="248">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c r="AG248" s="46"/>
      <c r="AH248" s="46"/>
      <c r="AI248" s="46"/>
      <c r="AJ248" s="46"/>
      <c r="AK248" s="46"/>
      <c r="AL248" s="46"/>
      <c r="AM248" s="46"/>
      <c r="AN248" s="46"/>
      <c r="AO248" s="46"/>
      <c r="AP248" s="46"/>
      <c r="AQ248" s="46"/>
      <c r="AR248" s="46"/>
      <c r="AS248" s="46"/>
      <c r="AT248" s="46"/>
      <c r="AU248" s="46"/>
    </row>
    <row r="249">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c r="AG249" s="46"/>
      <c r="AH249" s="46"/>
      <c r="AI249" s="46"/>
      <c r="AJ249" s="46"/>
      <c r="AK249" s="46"/>
      <c r="AL249" s="46"/>
      <c r="AM249" s="46"/>
      <c r="AN249" s="46"/>
      <c r="AO249" s="46"/>
      <c r="AP249" s="46"/>
      <c r="AQ249" s="46"/>
      <c r="AR249" s="46"/>
      <c r="AS249" s="46"/>
      <c r="AT249" s="46"/>
      <c r="AU249" s="46"/>
    </row>
    <row r="250">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row>
    <row r="25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c r="AG251" s="46"/>
      <c r="AH251" s="46"/>
      <c r="AI251" s="46"/>
      <c r="AJ251" s="46"/>
      <c r="AK251" s="46"/>
      <c r="AL251" s="46"/>
      <c r="AM251" s="46"/>
      <c r="AN251" s="46"/>
      <c r="AO251" s="46"/>
      <c r="AP251" s="46"/>
      <c r="AQ251" s="46"/>
      <c r="AR251" s="46"/>
      <c r="AS251" s="46"/>
      <c r="AT251" s="46"/>
      <c r="AU251" s="46"/>
    </row>
    <row r="25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row>
    <row r="253">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c r="AG253" s="46"/>
      <c r="AH253" s="46"/>
      <c r="AI253" s="46"/>
      <c r="AJ253" s="46"/>
      <c r="AK253" s="46"/>
      <c r="AL253" s="46"/>
      <c r="AM253" s="46"/>
      <c r="AN253" s="46"/>
      <c r="AO253" s="46"/>
      <c r="AP253" s="46"/>
      <c r="AQ253" s="46"/>
      <c r="AR253" s="46"/>
      <c r="AS253" s="46"/>
      <c r="AT253" s="46"/>
      <c r="AU253" s="46"/>
    </row>
    <row r="254">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row>
    <row r="255">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6"/>
      <c r="AK255" s="46"/>
      <c r="AL255" s="46"/>
      <c r="AM255" s="46"/>
      <c r="AN255" s="46"/>
      <c r="AO255" s="46"/>
      <c r="AP255" s="46"/>
      <c r="AQ255" s="46"/>
      <c r="AR255" s="46"/>
      <c r="AS255" s="46"/>
      <c r="AT255" s="46"/>
      <c r="AU255" s="46"/>
    </row>
    <row r="256">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row>
    <row r="257">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row>
    <row r="258">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c r="AG258" s="46"/>
      <c r="AH258" s="46"/>
      <c r="AI258" s="46"/>
      <c r="AJ258" s="46"/>
      <c r="AK258" s="46"/>
      <c r="AL258" s="46"/>
      <c r="AM258" s="46"/>
      <c r="AN258" s="46"/>
      <c r="AO258" s="46"/>
      <c r="AP258" s="46"/>
      <c r="AQ258" s="46"/>
      <c r="AR258" s="46"/>
      <c r="AS258" s="46"/>
      <c r="AT258" s="46"/>
      <c r="AU258" s="46"/>
    </row>
    <row r="259">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c r="AG259" s="46"/>
      <c r="AH259" s="46"/>
      <c r="AI259" s="46"/>
      <c r="AJ259" s="46"/>
      <c r="AK259" s="46"/>
      <c r="AL259" s="46"/>
      <c r="AM259" s="46"/>
      <c r="AN259" s="46"/>
      <c r="AO259" s="46"/>
      <c r="AP259" s="46"/>
      <c r="AQ259" s="46"/>
      <c r="AR259" s="46"/>
      <c r="AS259" s="46"/>
      <c r="AT259" s="46"/>
      <c r="AU259" s="46"/>
    </row>
    <row r="260">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row>
    <row r="26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row>
    <row r="26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c r="AG262" s="46"/>
      <c r="AH262" s="46"/>
      <c r="AI262" s="46"/>
      <c r="AJ262" s="46"/>
      <c r="AK262" s="46"/>
      <c r="AL262" s="46"/>
      <c r="AM262" s="46"/>
      <c r="AN262" s="46"/>
      <c r="AO262" s="46"/>
      <c r="AP262" s="46"/>
      <c r="AQ262" s="46"/>
      <c r="AR262" s="46"/>
      <c r="AS262" s="46"/>
      <c r="AT262" s="46"/>
      <c r="AU262" s="46"/>
    </row>
    <row r="263">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row>
    <row r="264">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c r="AG264" s="46"/>
      <c r="AH264" s="46"/>
      <c r="AI264" s="46"/>
      <c r="AJ264" s="46"/>
      <c r="AK264" s="46"/>
      <c r="AL264" s="46"/>
      <c r="AM264" s="46"/>
      <c r="AN264" s="46"/>
      <c r="AO264" s="46"/>
      <c r="AP264" s="46"/>
      <c r="AQ264" s="46"/>
      <c r="AR264" s="46"/>
      <c r="AS264" s="46"/>
      <c r="AT264" s="46"/>
      <c r="AU264" s="46"/>
    </row>
    <row r="265">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row>
    <row r="266">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row>
    <row r="267">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row>
    <row r="268">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row>
    <row r="269">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row>
    <row r="270">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row>
    <row r="27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46"/>
      <c r="AK271" s="46"/>
      <c r="AL271" s="46"/>
      <c r="AM271" s="46"/>
      <c r="AN271" s="46"/>
      <c r="AO271" s="46"/>
      <c r="AP271" s="46"/>
      <c r="AQ271" s="46"/>
      <c r="AR271" s="46"/>
      <c r="AS271" s="46"/>
      <c r="AT271" s="46"/>
      <c r="AU271" s="46"/>
    </row>
    <row r="27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c r="AG272" s="46"/>
      <c r="AH272" s="46"/>
      <c r="AI272" s="46"/>
      <c r="AJ272" s="46"/>
      <c r="AK272" s="46"/>
      <c r="AL272" s="46"/>
      <c r="AM272" s="46"/>
      <c r="AN272" s="46"/>
      <c r="AO272" s="46"/>
      <c r="AP272" s="46"/>
      <c r="AQ272" s="46"/>
      <c r="AR272" s="46"/>
      <c r="AS272" s="46"/>
      <c r="AT272" s="46"/>
      <c r="AU272" s="46"/>
    </row>
    <row r="273">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row>
    <row r="274">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row>
    <row r="275">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row>
    <row r="276">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46"/>
      <c r="AK276" s="46"/>
      <c r="AL276" s="46"/>
      <c r="AM276" s="46"/>
      <c r="AN276" s="46"/>
      <c r="AO276" s="46"/>
      <c r="AP276" s="46"/>
      <c r="AQ276" s="46"/>
      <c r="AR276" s="46"/>
      <c r="AS276" s="46"/>
      <c r="AT276" s="46"/>
      <c r="AU276" s="46"/>
    </row>
    <row r="277">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row>
    <row r="278">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row>
    <row r="279">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c r="AG279" s="46"/>
      <c r="AH279" s="46"/>
      <c r="AI279" s="46"/>
      <c r="AJ279" s="46"/>
      <c r="AK279" s="46"/>
      <c r="AL279" s="46"/>
      <c r="AM279" s="46"/>
      <c r="AN279" s="46"/>
      <c r="AO279" s="46"/>
      <c r="AP279" s="46"/>
      <c r="AQ279" s="46"/>
      <c r="AR279" s="46"/>
      <c r="AS279" s="46"/>
      <c r="AT279" s="46"/>
      <c r="AU279" s="46"/>
    </row>
    <row r="280">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row>
    <row r="28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6"/>
      <c r="AK281" s="46"/>
      <c r="AL281" s="46"/>
      <c r="AM281" s="46"/>
      <c r="AN281" s="46"/>
      <c r="AO281" s="46"/>
      <c r="AP281" s="46"/>
      <c r="AQ281" s="46"/>
      <c r="AR281" s="46"/>
      <c r="AS281" s="46"/>
      <c r="AT281" s="46"/>
      <c r="AU281" s="46"/>
    </row>
    <row r="28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row>
    <row r="283">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c r="AS283" s="46"/>
      <c r="AT283" s="46"/>
      <c r="AU283" s="46"/>
    </row>
    <row r="284">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c r="AG284" s="46"/>
      <c r="AH284" s="46"/>
      <c r="AI284" s="46"/>
      <c r="AJ284" s="46"/>
      <c r="AK284" s="46"/>
      <c r="AL284" s="46"/>
      <c r="AM284" s="46"/>
      <c r="AN284" s="46"/>
      <c r="AO284" s="46"/>
      <c r="AP284" s="46"/>
      <c r="AQ284" s="46"/>
      <c r="AR284" s="46"/>
      <c r="AS284" s="46"/>
      <c r="AT284" s="46"/>
      <c r="AU284" s="46"/>
    </row>
    <row r="285">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c r="AG285" s="46"/>
      <c r="AH285" s="46"/>
      <c r="AI285" s="46"/>
      <c r="AJ285" s="46"/>
      <c r="AK285" s="46"/>
      <c r="AL285" s="46"/>
      <c r="AM285" s="46"/>
      <c r="AN285" s="46"/>
      <c r="AO285" s="46"/>
      <c r="AP285" s="46"/>
      <c r="AQ285" s="46"/>
      <c r="AR285" s="46"/>
      <c r="AS285" s="46"/>
      <c r="AT285" s="46"/>
      <c r="AU285" s="46"/>
    </row>
    <row r="286">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c r="AG286" s="46"/>
      <c r="AH286" s="46"/>
      <c r="AI286" s="46"/>
      <c r="AJ286" s="46"/>
      <c r="AK286" s="46"/>
      <c r="AL286" s="46"/>
      <c r="AM286" s="46"/>
      <c r="AN286" s="46"/>
      <c r="AO286" s="46"/>
      <c r="AP286" s="46"/>
      <c r="AQ286" s="46"/>
      <c r="AR286" s="46"/>
      <c r="AS286" s="46"/>
      <c r="AT286" s="46"/>
      <c r="AU286" s="46"/>
    </row>
    <row r="287">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c r="AG287" s="46"/>
      <c r="AH287" s="46"/>
      <c r="AI287" s="46"/>
      <c r="AJ287" s="46"/>
      <c r="AK287" s="46"/>
      <c r="AL287" s="46"/>
      <c r="AM287" s="46"/>
      <c r="AN287" s="46"/>
      <c r="AO287" s="46"/>
      <c r="AP287" s="46"/>
      <c r="AQ287" s="46"/>
      <c r="AR287" s="46"/>
      <c r="AS287" s="46"/>
      <c r="AT287" s="46"/>
      <c r="AU287" s="46"/>
    </row>
    <row r="288">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row>
    <row r="289">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c r="AG289" s="46"/>
      <c r="AH289" s="46"/>
      <c r="AI289" s="46"/>
      <c r="AJ289" s="46"/>
      <c r="AK289" s="46"/>
      <c r="AL289" s="46"/>
      <c r="AM289" s="46"/>
      <c r="AN289" s="46"/>
      <c r="AO289" s="46"/>
      <c r="AP289" s="46"/>
      <c r="AQ289" s="46"/>
      <c r="AR289" s="46"/>
      <c r="AS289" s="46"/>
      <c r="AT289" s="46"/>
      <c r="AU289" s="46"/>
    </row>
    <row r="290">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row>
    <row r="29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row>
    <row r="29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row>
    <row r="293">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row>
    <row r="294">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row>
    <row r="295">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row>
    <row r="296">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row>
    <row r="297">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row>
    <row r="298">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row>
    <row r="299">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row>
    <row r="300">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row>
    <row r="30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row>
    <row r="30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row>
    <row r="303">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row>
    <row r="304">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row>
    <row r="305">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row>
    <row r="306">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row>
    <row r="307">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row>
    <row r="308">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row>
    <row r="309">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row>
    <row r="310">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row>
    <row r="31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row>
    <row r="31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row>
    <row r="313">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row>
    <row r="314">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row>
    <row r="315">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row>
    <row r="316">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row>
    <row r="317">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row>
    <row r="318">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row>
    <row r="319">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row>
    <row r="320">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row>
    <row r="32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row>
    <row r="32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row>
    <row r="323">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row>
    <row r="324">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row>
    <row r="325">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row>
    <row r="326">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row>
    <row r="327">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row>
    <row r="328">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row>
    <row r="329">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row>
    <row r="330">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row>
    <row r="33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row>
    <row r="33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row>
    <row r="333">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row>
    <row r="334">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row>
    <row r="335">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row>
    <row r="336">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row>
    <row r="337">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row>
    <row r="338">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row>
    <row r="339">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row>
    <row r="340">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row>
    <row r="34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row>
    <row r="34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row>
    <row r="343">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row>
    <row r="344">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row>
    <row r="345">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row>
    <row r="346">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row>
    <row r="347">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row>
    <row r="348">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row>
    <row r="349">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row>
    <row r="350">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row>
    <row r="35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row>
    <row r="35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row>
    <row r="353">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row>
    <row r="354">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row>
    <row r="355">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row>
    <row r="356">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row>
    <row r="357">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row>
    <row r="358">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row>
    <row r="359">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row>
    <row r="360">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row>
    <row r="36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row>
    <row r="36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row>
    <row r="363">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row>
    <row r="364">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row>
    <row r="365">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row>
    <row r="366">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row>
    <row r="367">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row>
    <row r="368">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row>
    <row r="369">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row>
    <row r="370">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row>
    <row r="37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row>
    <row r="37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row>
    <row r="373">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row>
    <row r="374">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row>
    <row r="375">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row>
    <row r="376">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row>
    <row r="377">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row>
    <row r="378">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row>
    <row r="379">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row>
    <row r="380">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row>
    <row r="38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row>
    <row r="38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row>
    <row r="383">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row>
    <row r="384">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row>
    <row r="385">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row>
    <row r="386">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row>
    <row r="387">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row>
    <row r="388">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row>
    <row r="389">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row>
    <row r="390">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row>
    <row r="39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row>
    <row r="39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row>
    <row r="393">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row>
    <row r="394">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row>
    <row r="395">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row>
    <row r="396">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row>
    <row r="397">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row>
    <row r="398">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row>
    <row r="399">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row>
    <row r="400">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row>
    <row r="40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row>
    <row r="40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row>
    <row r="403">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row>
    <row r="404">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row>
    <row r="405">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row>
    <row r="406">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row>
    <row r="407">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row>
    <row r="408">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row>
    <row r="409">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row>
    <row r="410">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row>
    <row r="41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row>
    <row r="41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row>
    <row r="413">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row>
    <row r="414">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row>
    <row r="415">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row>
    <row r="416">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row>
    <row r="417">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row>
    <row r="418">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row>
    <row r="419">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row>
    <row r="420">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row>
    <row r="42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row>
    <row r="42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row>
    <row r="423">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row>
    <row r="424">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row>
    <row r="425">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row>
    <row r="426">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row>
    <row r="427">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row>
    <row r="428">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row>
    <row r="429">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row>
    <row r="430">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row>
    <row r="43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row>
    <row r="43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row>
    <row r="433">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row>
    <row r="434">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row>
    <row r="435">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row>
    <row r="436">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row>
    <row r="437">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row>
    <row r="438">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row>
    <row r="439">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row>
    <row r="440">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row>
    <row r="44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row>
    <row r="44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row>
    <row r="443">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row>
    <row r="444">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row>
    <row r="445">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row>
    <row r="446">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row>
    <row r="447">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row>
    <row r="448">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row>
    <row r="449">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row>
    <row r="450">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row>
    <row r="45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row>
    <row r="45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row>
    <row r="453">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row>
    <row r="454">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row>
    <row r="455">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row>
    <row r="456">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row>
    <row r="457">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row>
    <row r="458">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row>
    <row r="459">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row>
    <row r="460">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row>
    <row r="46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row>
    <row r="46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row>
    <row r="463">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row>
    <row r="464">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row>
    <row r="465">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row>
    <row r="466">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row>
    <row r="467">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row>
    <row r="468">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row>
    <row r="469">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row>
    <row r="470">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row>
    <row r="47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row>
    <row r="47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row>
    <row r="473">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row>
    <row r="474">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row>
    <row r="475">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row>
    <row r="476">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row>
    <row r="477">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row>
    <row r="478">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row>
    <row r="479">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row>
    <row r="480">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row>
    <row r="48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row>
    <row r="48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row>
    <row r="483">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row>
    <row r="484">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row>
    <row r="485">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c r="AG485" s="46"/>
      <c r="AH485" s="46"/>
      <c r="AI485" s="46"/>
      <c r="AJ485" s="46"/>
      <c r="AK485" s="46"/>
      <c r="AL485" s="46"/>
      <c r="AM485" s="46"/>
      <c r="AN485" s="46"/>
      <c r="AO485" s="46"/>
      <c r="AP485" s="46"/>
      <c r="AQ485" s="46"/>
      <c r="AR485" s="46"/>
      <c r="AS485" s="46"/>
      <c r="AT485" s="46"/>
      <c r="AU485" s="46"/>
    </row>
    <row r="486">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c r="AG486" s="46"/>
      <c r="AH486" s="46"/>
      <c r="AI486" s="46"/>
      <c r="AJ486" s="46"/>
      <c r="AK486" s="46"/>
      <c r="AL486" s="46"/>
      <c r="AM486" s="46"/>
      <c r="AN486" s="46"/>
      <c r="AO486" s="46"/>
      <c r="AP486" s="46"/>
      <c r="AQ486" s="46"/>
      <c r="AR486" s="46"/>
      <c r="AS486" s="46"/>
      <c r="AT486" s="46"/>
      <c r="AU486" s="46"/>
    </row>
    <row r="487">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c r="AM487" s="46"/>
      <c r="AN487" s="46"/>
      <c r="AO487" s="46"/>
      <c r="AP487" s="46"/>
      <c r="AQ487" s="46"/>
      <c r="AR487" s="46"/>
      <c r="AS487" s="46"/>
      <c r="AT487" s="46"/>
      <c r="AU487" s="46"/>
    </row>
    <row r="488">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c r="AS488" s="46"/>
      <c r="AT488" s="46"/>
      <c r="AU488" s="46"/>
    </row>
    <row r="489">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c r="AG489" s="46"/>
      <c r="AH489" s="46"/>
      <c r="AI489" s="46"/>
      <c r="AJ489" s="46"/>
      <c r="AK489" s="46"/>
      <c r="AL489" s="46"/>
      <c r="AM489" s="46"/>
      <c r="AN489" s="46"/>
      <c r="AO489" s="46"/>
      <c r="AP489" s="46"/>
      <c r="AQ489" s="46"/>
      <c r="AR489" s="46"/>
      <c r="AS489" s="46"/>
      <c r="AT489" s="46"/>
      <c r="AU489" s="46"/>
    </row>
    <row r="490">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c r="AT490" s="46"/>
      <c r="AU490" s="46"/>
    </row>
    <row r="49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c r="AT491" s="46"/>
      <c r="AU491" s="46"/>
    </row>
    <row r="49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c r="AT492" s="46"/>
      <c r="AU492" s="46"/>
    </row>
    <row r="493">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c r="AT493" s="46"/>
      <c r="AU493" s="46"/>
    </row>
    <row r="494">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c r="AT494" s="46"/>
      <c r="AU494" s="46"/>
    </row>
    <row r="495">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c r="AM495" s="46"/>
      <c r="AN495" s="46"/>
      <c r="AO495" s="46"/>
      <c r="AP495" s="46"/>
      <c r="AQ495" s="46"/>
      <c r="AR495" s="46"/>
      <c r="AS495" s="46"/>
      <c r="AT495" s="46"/>
      <c r="AU495" s="46"/>
    </row>
    <row r="496">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c r="AG496" s="46"/>
      <c r="AH496" s="46"/>
      <c r="AI496" s="46"/>
      <c r="AJ496" s="46"/>
      <c r="AK496" s="46"/>
      <c r="AL496" s="46"/>
      <c r="AM496" s="46"/>
      <c r="AN496" s="46"/>
      <c r="AO496" s="46"/>
      <c r="AP496" s="46"/>
      <c r="AQ496" s="46"/>
      <c r="AR496" s="46"/>
      <c r="AS496" s="46"/>
      <c r="AT496" s="46"/>
      <c r="AU496" s="46"/>
    </row>
    <row r="497">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c r="AT497" s="46"/>
      <c r="AU497" s="46"/>
    </row>
    <row r="498">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row>
    <row r="499">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c r="AT499" s="46"/>
      <c r="AU499" s="46"/>
    </row>
    <row r="500">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c r="AT500" s="46"/>
      <c r="AU500" s="46"/>
    </row>
    <row r="50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c r="AT501" s="46"/>
      <c r="AU501" s="46"/>
    </row>
    <row r="50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c r="AG502" s="46"/>
      <c r="AH502" s="46"/>
      <c r="AI502" s="46"/>
      <c r="AJ502" s="46"/>
      <c r="AK502" s="46"/>
      <c r="AL502" s="46"/>
      <c r="AM502" s="46"/>
      <c r="AN502" s="46"/>
      <c r="AO502" s="46"/>
      <c r="AP502" s="46"/>
      <c r="AQ502" s="46"/>
      <c r="AR502" s="46"/>
      <c r="AS502" s="46"/>
      <c r="AT502" s="46"/>
      <c r="AU502" s="46"/>
    </row>
    <row r="503">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c r="AT503" s="46"/>
      <c r="AU503" s="46"/>
    </row>
    <row r="504">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c r="AT504" s="46"/>
      <c r="AU504" s="46"/>
    </row>
    <row r="505">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c r="AG505" s="46"/>
      <c r="AH505" s="46"/>
      <c r="AI505" s="46"/>
      <c r="AJ505" s="46"/>
      <c r="AK505" s="46"/>
      <c r="AL505" s="46"/>
      <c r="AM505" s="46"/>
      <c r="AN505" s="46"/>
      <c r="AO505" s="46"/>
      <c r="AP505" s="46"/>
      <c r="AQ505" s="46"/>
      <c r="AR505" s="46"/>
      <c r="AS505" s="46"/>
      <c r="AT505" s="46"/>
      <c r="AU505" s="46"/>
    </row>
    <row r="506">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c r="AG506" s="46"/>
      <c r="AH506" s="46"/>
      <c r="AI506" s="46"/>
      <c r="AJ506" s="46"/>
      <c r="AK506" s="46"/>
      <c r="AL506" s="46"/>
      <c r="AM506" s="46"/>
      <c r="AN506" s="46"/>
      <c r="AO506" s="46"/>
      <c r="AP506" s="46"/>
      <c r="AQ506" s="46"/>
      <c r="AR506" s="46"/>
      <c r="AS506" s="46"/>
      <c r="AT506" s="46"/>
      <c r="AU506" s="46"/>
    </row>
    <row r="507">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c r="AG507" s="46"/>
      <c r="AH507" s="46"/>
      <c r="AI507" s="46"/>
      <c r="AJ507" s="46"/>
      <c r="AK507" s="46"/>
      <c r="AL507" s="46"/>
      <c r="AM507" s="46"/>
      <c r="AN507" s="46"/>
      <c r="AO507" s="46"/>
      <c r="AP507" s="46"/>
      <c r="AQ507" s="46"/>
      <c r="AR507" s="46"/>
      <c r="AS507" s="46"/>
      <c r="AT507" s="46"/>
      <c r="AU507" s="46"/>
    </row>
    <row r="508">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c r="AT508" s="46"/>
      <c r="AU508" s="46"/>
    </row>
    <row r="509">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c r="AT509" s="46"/>
      <c r="AU509" s="46"/>
    </row>
    <row r="510">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c r="AT510" s="46"/>
      <c r="AU510" s="46"/>
    </row>
    <row r="51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c r="AT511" s="46"/>
      <c r="AU511" s="46"/>
    </row>
    <row r="51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c r="AT512" s="46"/>
      <c r="AU512" s="46"/>
    </row>
    <row r="513">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c r="AT513" s="46"/>
      <c r="AU513" s="46"/>
    </row>
    <row r="514">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c r="AT514" s="46"/>
      <c r="AU514" s="46"/>
    </row>
    <row r="515">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c r="AT515" s="46"/>
      <c r="AU515" s="46"/>
    </row>
    <row r="516">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c r="AT516" s="46"/>
      <c r="AU516" s="46"/>
    </row>
    <row r="517">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c r="AT517" s="46"/>
      <c r="AU517" s="46"/>
    </row>
    <row r="518">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c r="AL518" s="46"/>
      <c r="AM518" s="46"/>
      <c r="AN518" s="46"/>
      <c r="AO518" s="46"/>
      <c r="AP518" s="46"/>
      <c r="AQ518" s="46"/>
      <c r="AR518" s="46"/>
      <c r="AS518" s="46"/>
      <c r="AT518" s="46"/>
      <c r="AU518" s="46"/>
    </row>
    <row r="519">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c r="AM519" s="46"/>
      <c r="AN519" s="46"/>
      <c r="AO519" s="46"/>
      <c r="AP519" s="46"/>
      <c r="AQ519" s="46"/>
      <c r="AR519" s="46"/>
      <c r="AS519" s="46"/>
      <c r="AT519" s="46"/>
      <c r="AU519" s="46"/>
    </row>
    <row r="520">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row>
    <row r="52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c r="AM521" s="46"/>
      <c r="AN521" s="46"/>
      <c r="AO521" s="46"/>
      <c r="AP521" s="46"/>
      <c r="AQ521" s="46"/>
      <c r="AR521" s="46"/>
      <c r="AS521" s="46"/>
      <c r="AT521" s="46"/>
      <c r="AU521" s="46"/>
    </row>
    <row r="52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c r="AM522" s="46"/>
      <c r="AN522" s="46"/>
      <c r="AO522" s="46"/>
      <c r="AP522" s="46"/>
      <c r="AQ522" s="46"/>
      <c r="AR522" s="46"/>
      <c r="AS522" s="46"/>
      <c r="AT522" s="46"/>
      <c r="AU522" s="46"/>
    </row>
    <row r="523">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c r="AM523" s="46"/>
      <c r="AN523" s="46"/>
      <c r="AO523" s="46"/>
      <c r="AP523" s="46"/>
      <c r="AQ523" s="46"/>
      <c r="AR523" s="46"/>
      <c r="AS523" s="46"/>
      <c r="AT523" s="46"/>
      <c r="AU523" s="46"/>
    </row>
    <row r="524">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c r="AM524" s="46"/>
      <c r="AN524" s="46"/>
      <c r="AO524" s="46"/>
      <c r="AP524" s="46"/>
      <c r="AQ524" s="46"/>
      <c r="AR524" s="46"/>
      <c r="AS524" s="46"/>
      <c r="AT524" s="46"/>
      <c r="AU524" s="46"/>
    </row>
    <row r="525">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row>
    <row r="526">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c r="AM526" s="46"/>
      <c r="AN526" s="46"/>
      <c r="AO526" s="46"/>
      <c r="AP526" s="46"/>
      <c r="AQ526" s="46"/>
      <c r="AR526" s="46"/>
      <c r="AS526" s="46"/>
      <c r="AT526" s="46"/>
      <c r="AU526" s="46"/>
    </row>
    <row r="527">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c r="AG527" s="46"/>
      <c r="AH527" s="46"/>
      <c r="AI527" s="46"/>
      <c r="AJ527" s="46"/>
      <c r="AK527" s="46"/>
      <c r="AL527" s="46"/>
      <c r="AM527" s="46"/>
      <c r="AN527" s="46"/>
      <c r="AO527" s="46"/>
      <c r="AP527" s="46"/>
      <c r="AQ527" s="46"/>
      <c r="AR527" s="46"/>
      <c r="AS527" s="46"/>
      <c r="AT527" s="46"/>
      <c r="AU527" s="46"/>
    </row>
    <row r="528">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c r="AG528" s="46"/>
      <c r="AH528" s="46"/>
      <c r="AI528" s="46"/>
      <c r="AJ528" s="46"/>
      <c r="AK528" s="46"/>
      <c r="AL528" s="46"/>
      <c r="AM528" s="46"/>
      <c r="AN528" s="46"/>
      <c r="AO528" s="46"/>
      <c r="AP528" s="46"/>
      <c r="AQ528" s="46"/>
      <c r="AR528" s="46"/>
      <c r="AS528" s="46"/>
      <c r="AT528" s="46"/>
      <c r="AU528" s="46"/>
    </row>
    <row r="529">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c r="AS529" s="46"/>
      <c r="AT529" s="46"/>
      <c r="AU529" s="46"/>
    </row>
    <row r="530">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c r="AG530" s="46"/>
      <c r="AH530" s="46"/>
      <c r="AI530" s="46"/>
      <c r="AJ530" s="46"/>
      <c r="AK530" s="46"/>
      <c r="AL530" s="46"/>
      <c r="AM530" s="46"/>
      <c r="AN530" s="46"/>
      <c r="AO530" s="46"/>
      <c r="AP530" s="46"/>
      <c r="AQ530" s="46"/>
      <c r="AR530" s="46"/>
      <c r="AS530" s="46"/>
      <c r="AT530" s="46"/>
      <c r="AU530" s="46"/>
    </row>
    <row r="53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c r="AG531" s="46"/>
      <c r="AH531" s="46"/>
      <c r="AI531" s="46"/>
      <c r="AJ531" s="46"/>
      <c r="AK531" s="46"/>
      <c r="AL531" s="46"/>
      <c r="AM531" s="46"/>
      <c r="AN531" s="46"/>
      <c r="AO531" s="46"/>
      <c r="AP531" s="46"/>
      <c r="AQ531" s="46"/>
      <c r="AR531" s="46"/>
      <c r="AS531" s="46"/>
      <c r="AT531" s="46"/>
      <c r="AU531" s="46"/>
    </row>
    <row r="53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c r="AG532" s="46"/>
      <c r="AH532" s="46"/>
      <c r="AI532" s="46"/>
      <c r="AJ532" s="46"/>
      <c r="AK532" s="46"/>
      <c r="AL532" s="46"/>
      <c r="AM532" s="46"/>
      <c r="AN532" s="46"/>
      <c r="AO532" s="46"/>
      <c r="AP532" s="46"/>
      <c r="AQ532" s="46"/>
      <c r="AR532" s="46"/>
      <c r="AS532" s="46"/>
      <c r="AT532" s="46"/>
      <c r="AU532" s="46"/>
    </row>
    <row r="533">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c r="AM533" s="46"/>
      <c r="AN533" s="46"/>
      <c r="AO533" s="46"/>
      <c r="AP533" s="46"/>
      <c r="AQ533" s="46"/>
      <c r="AR533" s="46"/>
      <c r="AS533" s="46"/>
      <c r="AT533" s="46"/>
      <c r="AU533" s="46"/>
    </row>
    <row r="534">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c r="AG534" s="46"/>
      <c r="AH534" s="46"/>
      <c r="AI534" s="46"/>
      <c r="AJ534" s="46"/>
      <c r="AK534" s="46"/>
      <c r="AL534" s="46"/>
      <c r="AM534" s="46"/>
      <c r="AN534" s="46"/>
      <c r="AO534" s="46"/>
      <c r="AP534" s="46"/>
      <c r="AQ534" s="46"/>
      <c r="AR534" s="46"/>
      <c r="AS534" s="46"/>
      <c r="AT534" s="46"/>
      <c r="AU534" s="46"/>
    </row>
    <row r="535">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c r="AG535" s="46"/>
      <c r="AH535" s="46"/>
      <c r="AI535" s="46"/>
      <c r="AJ535" s="46"/>
      <c r="AK535" s="46"/>
      <c r="AL535" s="46"/>
      <c r="AM535" s="46"/>
      <c r="AN535" s="46"/>
      <c r="AO535" s="46"/>
      <c r="AP535" s="46"/>
      <c r="AQ535" s="46"/>
      <c r="AR535" s="46"/>
      <c r="AS535" s="46"/>
      <c r="AT535" s="46"/>
      <c r="AU535" s="46"/>
    </row>
    <row r="536">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c r="AG536" s="46"/>
      <c r="AH536" s="46"/>
      <c r="AI536" s="46"/>
      <c r="AJ536" s="46"/>
      <c r="AK536" s="46"/>
      <c r="AL536" s="46"/>
      <c r="AM536" s="46"/>
      <c r="AN536" s="46"/>
      <c r="AO536" s="46"/>
      <c r="AP536" s="46"/>
      <c r="AQ536" s="46"/>
      <c r="AR536" s="46"/>
      <c r="AS536" s="46"/>
      <c r="AT536" s="46"/>
      <c r="AU536" s="46"/>
    </row>
    <row r="537">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c r="AG537" s="46"/>
      <c r="AH537" s="46"/>
      <c r="AI537" s="46"/>
      <c r="AJ537" s="46"/>
      <c r="AK537" s="46"/>
      <c r="AL537" s="46"/>
      <c r="AM537" s="46"/>
      <c r="AN537" s="46"/>
      <c r="AO537" s="46"/>
      <c r="AP537" s="46"/>
      <c r="AQ537" s="46"/>
      <c r="AR537" s="46"/>
      <c r="AS537" s="46"/>
      <c r="AT537" s="46"/>
      <c r="AU537" s="46"/>
    </row>
    <row r="538">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c r="AG538" s="46"/>
      <c r="AH538" s="46"/>
      <c r="AI538" s="46"/>
      <c r="AJ538" s="46"/>
      <c r="AK538" s="46"/>
      <c r="AL538" s="46"/>
      <c r="AM538" s="46"/>
      <c r="AN538" s="46"/>
      <c r="AO538" s="46"/>
      <c r="AP538" s="46"/>
      <c r="AQ538" s="46"/>
      <c r="AR538" s="46"/>
      <c r="AS538" s="46"/>
      <c r="AT538" s="46"/>
      <c r="AU538" s="46"/>
    </row>
    <row r="539">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c r="AG539" s="46"/>
      <c r="AH539" s="46"/>
      <c r="AI539" s="46"/>
      <c r="AJ539" s="46"/>
      <c r="AK539" s="46"/>
      <c r="AL539" s="46"/>
      <c r="AM539" s="46"/>
      <c r="AN539" s="46"/>
      <c r="AO539" s="46"/>
      <c r="AP539" s="46"/>
      <c r="AQ539" s="46"/>
      <c r="AR539" s="46"/>
      <c r="AS539" s="46"/>
      <c r="AT539" s="46"/>
      <c r="AU539" s="46"/>
    </row>
    <row r="540">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c r="AG540" s="46"/>
      <c r="AH540" s="46"/>
      <c r="AI540" s="46"/>
      <c r="AJ540" s="46"/>
      <c r="AK540" s="46"/>
      <c r="AL540" s="46"/>
      <c r="AM540" s="46"/>
      <c r="AN540" s="46"/>
      <c r="AO540" s="46"/>
      <c r="AP540" s="46"/>
      <c r="AQ540" s="46"/>
      <c r="AR540" s="46"/>
      <c r="AS540" s="46"/>
      <c r="AT540" s="46"/>
      <c r="AU540" s="46"/>
    </row>
    <row r="54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c r="AM541" s="46"/>
      <c r="AN541" s="46"/>
      <c r="AO541" s="46"/>
      <c r="AP541" s="46"/>
      <c r="AQ541" s="46"/>
      <c r="AR541" s="46"/>
      <c r="AS541" s="46"/>
      <c r="AT541" s="46"/>
      <c r="AU541" s="46"/>
    </row>
    <row r="54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c r="AG542" s="46"/>
      <c r="AH542" s="46"/>
      <c r="AI542" s="46"/>
      <c r="AJ542" s="46"/>
      <c r="AK542" s="46"/>
      <c r="AL542" s="46"/>
      <c r="AM542" s="46"/>
      <c r="AN542" s="46"/>
      <c r="AO542" s="46"/>
      <c r="AP542" s="46"/>
      <c r="AQ542" s="46"/>
      <c r="AR542" s="46"/>
      <c r="AS542" s="46"/>
      <c r="AT542" s="46"/>
      <c r="AU542" s="46"/>
    </row>
    <row r="543">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c r="AG543" s="46"/>
      <c r="AH543" s="46"/>
      <c r="AI543" s="46"/>
      <c r="AJ543" s="46"/>
      <c r="AK543" s="46"/>
      <c r="AL543" s="46"/>
      <c r="AM543" s="46"/>
      <c r="AN543" s="46"/>
      <c r="AO543" s="46"/>
      <c r="AP543" s="46"/>
      <c r="AQ543" s="46"/>
      <c r="AR543" s="46"/>
      <c r="AS543" s="46"/>
      <c r="AT543" s="46"/>
      <c r="AU543" s="46"/>
    </row>
    <row r="544">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c r="AG544" s="46"/>
      <c r="AH544" s="46"/>
      <c r="AI544" s="46"/>
      <c r="AJ544" s="46"/>
      <c r="AK544" s="46"/>
      <c r="AL544" s="46"/>
      <c r="AM544" s="46"/>
      <c r="AN544" s="46"/>
      <c r="AO544" s="46"/>
      <c r="AP544" s="46"/>
      <c r="AQ544" s="46"/>
      <c r="AR544" s="46"/>
      <c r="AS544" s="46"/>
      <c r="AT544" s="46"/>
      <c r="AU544" s="46"/>
    </row>
    <row r="545">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c r="AG545" s="46"/>
      <c r="AH545" s="46"/>
      <c r="AI545" s="46"/>
      <c r="AJ545" s="46"/>
      <c r="AK545" s="46"/>
      <c r="AL545" s="46"/>
      <c r="AM545" s="46"/>
      <c r="AN545" s="46"/>
      <c r="AO545" s="46"/>
      <c r="AP545" s="46"/>
      <c r="AQ545" s="46"/>
      <c r="AR545" s="46"/>
      <c r="AS545" s="46"/>
      <c r="AT545" s="46"/>
      <c r="AU545" s="46"/>
    </row>
    <row r="546">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c r="AM546" s="46"/>
      <c r="AN546" s="46"/>
      <c r="AO546" s="46"/>
      <c r="AP546" s="46"/>
      <c r="AQ546" s="46"/>
      <c r="AR546" s="46"/>
      <c r="AS546" s="46"/>
      <c r="AT546" s="46"/>
      <c r="AU546" s="46"/>
    </row>
    <row r="547">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c r="AG547" s="46"/>
      <c r="AH547" s="46"/>
      <c r="AI547" s="46"/>
      <c r="AJ547" s="46"/>
      <c r="AK547" s="46"/>
      <c r="AL547" s="46"/>
      <c r="AM547" s="46"/>
      <c r="AN547" s="46"/>
      <c r="AO547" s="46"/>
      <c r="AP547" s="46"/>
      <c r="AQ547" s="46"/>
      <c r="AR547" s="46"/>
      <c r="AS547" s="46"/>
      <c r="AT547" s="46"/>
      <c r="AU547" s="46"/>
    </row>
    <row r="548">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c r="AG548" s="46"/>
      <c r="AH548" s="46"/>
      <c r="AI548" s="46"/>
      <c r="AJ548" s="46"/>
      <c r="AK548" s="46"/>
      <c r="AL548" s="46"/>
      <c r="AM548" s="46"/>
      <c r="AN548" s="46"/>
      <c r="AO548" s="46"/>
      <c r="AP548" s="46"/>
      <c r="AQ548" s="46"/>
      <c r="AR548" s="46"/>
      <c r="AS548" s="46"/>
      <c r="AT548" s="46"/>
      <c r="AU548" s="46"/>
    </row>
    <row r="549">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c r="AG549" s="46"/>
      <c r="AH549" s="46"/>
      <c r="AI549" s="46"/>
      <c r="AJ549" s="46"/>
      <c r="AK549" s="46"/>
      <c r="AL549" s="46"/>
      <c r="AM549" s="46"/>
      <c r="AN549" s="46"/>
      <c r="AO549" s="46"/>
      <c r="AP549" s="46"/>
      <c r="AQ549" s="46"/>
      <c r="AR549" s="46"/>
      <c r="AS549" s="46"/>
      <c r="AT549" s="46"/>
      <c r="AU549" s="46"/>
    </row>
    <row r="550">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c r="AG550" s="46"/>
      <c r="AH550" s="46"/>
      <c r="AI550" s="46"/>
      <c r="AJ550" s="46"/>
      <c r="AK550" s="46"/>
      <c r="AL550" s="46"/>
      <c r="AM550" s="46"/>
      <c r="AN550" s="46"/>
      <c r="AO550" s="46"/>
      <c r="AP550" s="46"/>
      <c r="AQ550" s="46"/>
      <c r="AR550" s="46"/>
      <c r="AS550" s="46"/>
      <c r="AT550" s="46"/>
      <c r="AU550" s="46"/>
    </row>
    <row r="55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c r="AG551" s="46"/>
      <c r="AH551" s="46"/>
      <c r="AI551" s="46"/>
      <c r="AJ551" s="46"/>
      <c r="AK551" s="46"/>
      <c r="AL551" s="46"/>
      <c r="AM551" s="46"/>
      <c r="AN551" s="46"/>
      <c r="AO551" s="46"/>
      <c r="AP551" s="46"/>
      <c r="AQ551" s="46"/>
      <c r="AR551" s="46"/>
      <c r="AS551" s="46"/>
      <c r="AT551" s="46"/>
      <c r="AU551" s="46"/>
    </row>
    <row r="55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c r="AG552" s="46"/>
      <c r="AH552" s="46"/>
      <c r="AI552" s="46"/>
      <c r="AJ552" s="46"/>
      <c r="AK552" s="46"/>
      <c r="AL552" s="46"/>
      <c r="AM552" s="46"/>
      <c r="AN552" s="46"/>
      <c r="AO552" s="46"/>
      <c r="AP552" s="46"/>
      <c r="AQ552" s="46"/>
      <c r="AR552" s="46"/>
      <c r="AS552" s="46"/>
      <c r="AT552" s="46"/>
      <c r="AU552" s="46"/>
    </row>
    <row r="553">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c r="AG553" s="46"/>
      <c r="AH553" s="46"/>
      <c r="AI553" s="46"/>
      <c r="AJ553" s="46"/>
      <c r="AK553" s="46"/>
      <c r="AL553" s="46"/>
      <c r="AM553" s="46"/>
      <c r="AN553" s="46"/>
      <c r="AO553" s="46"/>
      <c r="AP553" s="46"/>
      <c r="AQ553" s="46"/>
      <c r="AR553" s="46"/>
      <c r="AS553" s="46"/>
      <c r="AT553" s="46"/>
      <c r="AU553" s="46"/>
    </row>
    <row r="554">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c r="AG554" s="46"/>
      <c r="AH554" s="46"/>
      <c r="AI554" s="46"/>
      <c r="AJ554" s="46"/>
      <c r="AK554" s="46"/>
      <c r="AL554" s="46"/>
      <c r="AM554" s="46"/>
      <c r="AN554" s="46"/>
      <c r="AO554" s="46"/>
      <c r="AP554" s="46"/>
      <c r="AQ554" s="46"/>
      <c r="AR554" s="46"/>
      <c r="AS554" s="46"/>
      <c r="AT554" s="46"/>
      <c r="AU554" s="46"/>
    </row>
    <row r="555">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c r="AM555" s="46"/>
      <c r="AN555" s="46"/>
      <c r="AO555" s="46"/>
      <c r="AP555" s="46"/>
      <c r="AQ555" s="46"/>
      <c r="AR555" s="46"/>
      <c r="AS555" s="46"/>
      <c r="AT555" s="46"/>
      <c r="AU555" s="46"/>
    </row>
    <row r="556">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c r="AH556" s="46"/>
      <c r="AI556" s="46"/>
      <c r="AJ556" s="46"/>
      <c r="AK556" s="46"/>
      <c r="AL556" s="46"/>
      <c r="AM556" s="46"/>
      <c r="AN556" s="46"/>
      <c r="AO556" s="46"/>
      <c r="AP556" s="46"/>
      <c r="AQ556" s="46"/>
      <c r="AR556" s="46"/>
      <c r="AS556" s="46"/>
      <c r="AT556" s="46"/>
      <c r="AU556" s="46"/>
    </row>
    <row r="557">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c r="AG557" s="46"/>
      <c r="AH557" s="46"/>
      <c r="AI557" s="46"/>
      <c r="AJ557" s="46"/>
      <c r="AK557" s="46"/>
      <c r="AL557" s="46"/>
      <c r="AM557" s="46"/>
      <c r="AN557" s="46"/>
      <c r="AO557" s="46"/>
      <c r="AP557" s="46"/>
      <c r="AQ557" s="46"/>
      <c r="AR557" s="46"/>
      <c r="AS557" s="46"/>
      <c r="AT557" s="46"/>
      <c r="AU557" s="46"/>
    </row>
    <row r="558">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c r="AG558" s="46"/>
      <c r="AH558" s="46"/>
      <c r="AI558" s="46"/>
      <c r="AJ558" s="46"/>
      <c r="AK558" s="46"/>
      <c r="AL558" s="46"/>
      <c r="AM558" s="46"/>
      <c r="AN558" s="46"/>
      <c r="AO558" s="46"/>
      <c r="AP558" s="46"/>
      <c r="AQ558" s="46"/>
      <c r="AR558" s="46"/>
      <c r="AS558" s="46"/>
      <c r="AT558" s="46"/>
      <c r="AU558" s="46"/>
    </row>
    <row r="559">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c r="AG559" s="46"/>
      <c r="AH559" s="46"/>
      <c r="AI559" s="46"/>
      <c r="AJ559" s="46"/>
      <c r="AK559" s="46"/>
      <c r="AL559" s="46"/>
      <c r="AM559" s="46"/>
      <c r="AN559" s="46"/>
      <c r="AO559" s="46"/>
      <c r="AP559" s="46"/>
      <c r="AQ559" s="46"/>
      <c r="AR559" s="46"/>
      <c r="AS559" s="46"/>
      <c r="AT559" s="46"/>
      <c r="AU559" s="46"/>
    </row>
    <row r="560">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c r="AG560" s="46"/>
      <c r="AH560" s="46"/>
      <c r="AI560" s="46"/>
      <c r="AJ560" s="46"/>
      <c r="AK560" s="46"/>
      <c r="AL560" s="46"/>
      <c r="AM560" s="46"/>
      <c r="AN560" s="46"/>
      <c r="AO560" s="46"/>
      <c r="AP560" s="46"/>
      <c r="AQ560" s="46"/>
      <c r="AR560" s="46"/>
      <c r="AS560" s="46"/>
      <c r="AT560" s="46"/>
      <c r="AU560" s="46"/>
    </row>
    <row r="56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c r="AG561" s="46"/>
      <c r="AH561" s="46"/>
      <c r="AI561" s="46"/>
      <c r="AJ561" s="46"/>
      <c r="AK561" s="46"/>
      <c r="AL561" s="46"/>
      <c r="AM561" s="46"/>
      <c r="AN561" s="46"/>
      <c r="AO561" s="46"/>
      <c r="AP561" s="46"/>
      <c r="AQ561" s="46"/>
      <c r="AR561" s="46"/>
      <c r="AS561" s="46"/>
      <c r="AT561" s="46"/>
      <c r="AU561" s="46"/>
    </row>
    <row r="56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c r="AG562" s="46"/>
      <c r="AH562" s="46"/>
      <c r="AI562" s="46"/>
      <c r="AJ562" s="46"/>
      <c r="AK562" s="46"/>
      <c r="AL562" s="46"/>
      <c r="AM562" s="46"/>
      <c r="AN562" s="46"/>
      <c r="AO562" s="46"/>
      <c r="AP562" s="46"/>
      <c r="AQ562" s="46"/>
      <c r="AR562" s="46"/>
      <c r="AS562" s="46"/>
      <c r="AT562" s="46"/>
      <c r="AU562" s="46"/>
    </row>
    <row r="563">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c r="AG563" s="46"/>
      <c r="AH563" s="46"/>
      <c r="AI563" s="46"/>
      <c r="AJ563" s="46"/>
      <c r="AK563" s="46"/>
      <c r="AL563" s="46"/>
      <c r="AM563" s="46"/>
      <c r="AN563" s="46"/>
      <c r="AO563" s="46"/>
      <c r="AP563" s="46"/>
      <c r="AQ563" s="46"/>
      <c r="AR563" s="46"/>
      <c r="AS563" s="46"/>
      <c r="AT563" s="46"/>
      <c r="AU563" s="46"/>
    </row>
    <row r="564">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c r="AG564" s="46"/>
      <c r="AH564" s="46"/>
      <c r="AI564" s="46"/>
      <c r="AJ564" s="46"/>
      <c r="AK564" s="46"/>
      <c r="AL564" s="46"/>
      <c r="AM564" s="46"/>
      <c r="AN564" s="46"/>
      <c r="AO564" s="46"/>
      <c r="AP564" s="46"/>
      <c r="AQ564" s="46"/>
      <c r="AR564" s="46"/>
      <c r="AS564" s="46"/>
      <c r="AT564" s="46"/>
      <c r="AU564" s="46"/>
    </row>
    <row r="565">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c r="AG565" s="46"/>
      <c r="AH565" s="46"/>
      <c r="AI565" s="46"/>
      <c r="AJ565" s="46"/>
      <c r="AK565" s="46"/>
      <c r="AL565" s="46"/>
      <c r="AM565" s="46"/>
      <c r="AN565" s="46"/>
      <c r="AO565" s="46"/>
      <c r="AP565" s="46"/>
      <c r="AQ565" s="46"/>
      <c r="AR565" s="46"/>
      <c r="AS565" s="46"/>
      <c r="AT565" s="46"/>
      <c r="AU565" s="46"/>
    </row>
    <row r="566">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c r="AG566" s="46"/>
      <c r="AH566" s="46"/>
      <c r="AI566" s="46"/>
      <c r="AJ566" s="46"/>
      <c r="AK566" s="46"/>
      <c r="AL566" s="46"/>
      <c r="AM566" s="46"/>
      <c r="AN566" s="46"/>
      <c r="AO566" s="46"/>
      <c r="AP566" s="46"/>
      <c r="AQ566" s="46"/>
      <c r="AR566" s="46"/>
      <c r="AS566" s="46"/>
      <c r="AT566" s="46"/>
      <c r="AU566" s="46"/>
    </row>
    <row r="567">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46"/>
      <c r="AK567" s="46"/>
      <c r="AL567" s="46"/>
      <c r="AM567" s="46"/>
      <c r="AN567" s="46"/>
      <c r="AO567" s="46"/>
      <c r="AP567" s="46"/>
      <c r="AQ567" s="46"/>
      <c r="AR567" s="46"/>
      <c r="AS567" s="46"/>
      <c r="AT567" s="46"/>
      <c r="AU567" s="46"/>
    </row>
    <row r="568">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c r="AG568" s="46"/>
      <c r="AH568" s="46"/>
      <c r="AI568" s="46"/>
      <c r="AJ568" s="46"/>
      <c r="AK568" s="46"/>
      <c r="AL568" s="46"/>
      <c r="AM568" s="46"/>
      <c r="AN568" s="46"/>
      <c r="AO568" s="46"/>
      <c r="AP568" s="46"/>
      <c r="AQ568" s="46"/>
      <c r="AR568" s="46"/>
      <c r="AS568" s="46"/>
      <c r="AT568" s="46"/>
      <c r="AU568" s="46"/>
    </row>
    <row r="569">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c r="AG569" s="46"/>
      <c r="AH569" s="46"/>
      <c r="AI569" s="46"/>
      <c r="AJ569" s="46"/>
      <c r="AK569" s="46"/>
      <c r="AL569" s="46"/>
      <c r="AM569" s="46"/>
      <c r="AN569" s="46"/>
      <c r="AO569" s="46"/>
      <c r="AP569" s="46"/>
      <c r="AQ569" s="46"/>
      <c r="AR569" s="46"/>
      <c r="AS569" s="46"/>
      <c r="AT569" s="46"/>
      <c r="AU569" s="46"/>
    </row>
    <row r="570">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c r="AG570" s="46"/>
      <c r="AH570" s="46"/>
      <c r="AI570" s="46"/>
      <c r="AJ570" s="46"/>
      <c r="AK570" s="46"/>
      <c r="AL570" s="46"/>
      <c r="AM570" s="46"/>
      <c r="AN570" s="46"/>
      <c r="AO570" s="46"/>
      <c r="AP570" s="46"/>
      <c r="AQ570" s="46"/>
      <c r="AR570" s="46"/>
      <c r="AS570" s="46"/>
      <c r="AT570" s="46"/>
      <c r="AU570" s="46"/>
    </row>
    <row r="57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c r="AG571" s="46"/>
      <c r="AH571" s="46"/>
      <c r="AI571" s="46"/>
      <c r="AJ571" s="46"/>
      <c r="AK571" s="46"/>
      <c r="AL571" s="46"/>
      <c r="AM571" s="46"/>
      <c r="AN571" s="46"/>
      <c r="AO571" s="46"/>
      <c r="AP571" s="46"/>
      <c r="AQ571" s="46"/>
      <c r="AR571" s="46"/>
      <c r="AS571" s="46"/>
      <c r="AT571" s="46"/>
      <c r="AU571" s="46"/>
    </row>
    <row r="57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c r="AG572" s="46"/>
      <c r="AH572" s="46"/>
      <c r="AI572" s="46"/>
      <c r="AJ572" s="46"/>
      <c r="AK572" s="46"/>
      <c r="AL572" s="46"/>
      <c r="AM572" s="46"/>
      <c r="AN572" s="46"/>
      <c r="AO572" s="46"/>
      <c r="AP572" s="46"/>
      <c r="AQ572" s="46"/>
      <c r="AR572" s="46"/>
      <c r="AS572" s="46"/>
      <c r="AT572" s="46"/>
      <c r="AU572" s="46"/>
    </row>
    <row r="573">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c r="AG573" s="46"/>
      <c r="AH573" s="46"/>
      <c r="AI573" s="46"/>
      <c r="AJ573" s="46"/>
      <c r="AK573" s="46"/>
      <c r="AL573" s="46"/>
      <c r="AM573" s="46"/>
      <c r="AN573" s="46"/>
      <c r="AO573" s="46"/>
      <c r="AP573" s="46"/>
      <c r="AQ573" s="46"/>
      <c r="AR573" s="46"/>
      <c r="AS573" s="46"/>
      <c r="AT573" s="46"/>
      <c r="AU573" s="46"/>
    </row>
    <row r="574">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c r="AG574" s="46"/>
      <c r="AH574" s="46"/>
      <c r="AI574" s="46"/>
      <c r="AJ574" s="46"/>
      <c r="AK574" s="46"/>
      <c r="AL574" s="46"/>
      <c r="AM574" s="46"/>
      <c r="AN574" s="46"/>
      <c r="AO574" s="46"/>
      <c r="AP574" s="46"/>
      <c r="AQ574" s="46"/>
      <c r="AR574" s="46"/>
      <c r="AS574" s="46"/>
      <c r="AT574" s="46"/>
      <c r="AU574" s="46"/>
    </row>
    <row r="575">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c r="AM575" s="46"/>
      <c r="AN575" s="46"/>
      <c r="AO575" s="46"/>
      <c r="AP575" s="46"/>
      <c r="AQ575" s="46"/>
      <c r="AR575" s="46"/>
      <c r="AS575" s="46"/>
      <c r="AT575" s="46"/>
      <c r="AU575" s="46"/>
    </row>
    <row r="576">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c r="AG576" s="46"/>
      <c r="AH576" s="46"/>
      <c r="AI576" s="46"/>
      <c r="AJ576" s="46"/>
      <c r="AK576" s="46"/>
      <c r="AL576" s="46"/>
      <c r="AM576" s="46"/>
      <c r="AN576" s="46"/>
      <c r="AO576" s="46"/>
      <c r="AP576" s="46"/>
      <c r="AQ576" s="46"/>
      <c r="AR576" s="46"/>
      <c r="AS576" s="46"/>
      <c r="AT576" s="46"/>
      <c r="AU576" s="46"/>
    </row>
    <row r="577">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c r="AG577" s="46"/>
      <c r="AH577" s="46"/>
      <c r="AI577" s="46"/>
      <c r="AJ577" s="46"/>
      <c r="AK577" s="46"/>
      <c r="AL577" s="46"/>
      <c r="AM577" s="46"/>
      <c r="AN577" s="46"/>
      <c r="AO577" s="46"/>
      <c r="AP577" s="46"/>
      <c r="AQ577" s="46"/>
      <c r="AR577" s="46"/>
      <c r="AS577" s="46"/>
      <c r="AT577" s="46"/>
      <c r="AU577" s="46"/>
    </row>
    <row r="578">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c r="AG578" s="46"/>
      <c r="AH578" s="46"/>
      <c r="AI578" s="46"/>
      <c r="AJ578" s="46"/>
      <c r="AK578" s="46"/>
      <c r="AL578" s="46"/>
      <c r="AM578" s="46"/>
      <c r="AN578" s="46"/>
      <c r="AO578" s="46"/>
      <c r="AP578" s="46"/>
      <c r="AQ578" s="46"/>
      <c r="AR578" s="46"/>
      <c r="AS578" s="46"/>
      <c r="AT578" s="46"/>
      <c r="AU578" s="46"/>
    </row>
    <row r="579">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c r="AG579" s="46"/>
      <c r="AH579" s="46"/>
      <c r="AI579" s="46"/>
      <c r="AJ579" s="46"/>
      <c r="AK579" s="46"/>
      <c r="AL579" s="46"/>
      <c r="AM579" s="46"/>
      <c r="AN579" s="46"/>
      <c r="AO579" s="46"/>
      <c r="AP579" s="46"/>
      <c r="AQ579" s="46"/>
      <c r="AR579" s="46"/>
      <c r="AS579" s="46"/>
      <c r="AT579" s="46"/>
      <c r="AU579" s="46"/>
    </row>
    <row r="580">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c r="AG580" s="46"/>
      <c r="AH580" s="46"/>
      <c r="AI580" s="46"/>
      <c r="AJ580" s="46"/>
      <c r="AK580" s="46"/>
      <c r="AL580" s="46"/>
      <c r="AM580" s="46"/>
      <c r="AN580" s="46"/>
      <c r="AO580" s="46"/>
      <c r="AP580" s="46"/>
      <c r="AQ580" s="46"/>
      <c r="AR580" s="46"/>
      <c r="AS580" s="46"/>
      <c r="AT580" s="46"/>
      <c r="AU580" s="46"/>
    </row>
    <row r="58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c r="AG581" s="46"/>
      <c r="AH581" s="46"/>
      <c r="AI581" s="46"/>
      <c r="AJ581" s="46"/>
      <c r="AK581" s="46"/>
      <c r="AL581" s="46"/>
      <c r="AM581" s="46"/>
      <c r="AN581" s="46"/>
      <c r="AO581" s="46"/>
      <c r="AP581" s="46"/>
      <c r="AQ581" s="46"/>
      <c r="AR581" s="46"/>
      <c r="AS581" s="46"/>
      <c r="AT581" s="46"/>
      <c r="AU581" s="46"/>
    </row>
    <row r="58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c r="AG582" s="46"/>
      <c r="AH582" s="46"/>
      <c r="AI582" s="46"/>
      <c r="AJ582" s="46"/>
      <c r="AK582" s="46"/>
      <c r="AL582" s="46"/>
      <c r="AM582" s="46"/>
      <c r="AN582" s="46"/>
      <c r="AO582" s="46"/>
      <c r="AP582" s="46"/>
      <c r="AQ582" s="46"/>
      <c r="AR582" s="46"/>
      <c r="AS582" s="46"/>
      <c r="AT582" s="46"/>
      <c r="AU582" s="46"/>
    </row>
    <row r="583">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c r="AG583" s="46"/>
      <c r="AH583" s="46"/>
      <c r="AI583" s="46"/>
      <c r="AJ583" s="46"/>
      <c r="AK583" s="46"/>
      <c r="AL583" s="46"/>
      <c r="AM583" s="46"/>
      <c r="AN583" s="46"/>
      <c r="AO583" s="46"/>
      <c r="AP583" s="46"/>
      <c r="AQ583" s="46"/>
      <c r="AR583" s="46"/>
      <c r="AS583" s="46"/>
      <c r="AT583" s="46"/>
      <c r="AU583" s="46"/>
    </row>
    <row r="584">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c r="AG584" s="46"/>
      <c r="AH584" s="46"/>
      <c r="AI584" s="46"/>
      <c r="AJ584" s="46"/>
      <c r="AK584" s="46"/>
      <c r="AL584" s="46"/>
      <c r="AM584" s="46"/>
      <c r="AN584" s="46"/>
      <c r="AO584" s="46"/>
      <c r="AP584" s="46"/>
      <c r="AQ584" s="46"/>
      <c r="AR584" s="46"/>
      <c r="AS584" s="46"/>
      <c r="AT584" s="46"/>
      <c r="AU584" s="46"/>
    </row>
    <row r="585">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c r="AG585" s="46"/>
      <c r="AH585" s="46"/>
      <c r="AI585" s="46"/>
      <c r="AJ585" s="46"/>
      <c r="AK585" s="46"/>
      <c r="AL585" s="46"/>
      <c r="AM585" s="46"/>
      <c r="AN585" s="46"/>
      <c r="AO585" s="46"/>
      <c r="AP585" s="46"/>
      <c r="AQ585" s="46"/>
      <c r="AR585" s="46"/>
      <c r="AS585" s="46"/>
      <c r="AT585" s="46"/>
      <c r="AU585" s="46"/>
    </row>
    <row r="586">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c r="AG586" s="46"/>
      <c r="AH586" s="46"/>
      <c r="AI586" s="46"/>
      <c r="AJ586" s="46"/>
      <c r="AK586" s="46"/>
      <c r="AL586" s="46"/>
      <c r="AM586" s="46"/>
      <c r="AN586" s="46"/>
      <c r="AO586" s="46"/>
      <c r="AP586" s="46"/>
      <c r="AQ586" s="46"/>
      <c r="AR586" s="46"/>
      <c r="AS586" s="46"/>
      <c r="AT586" s="46"/>
      <c r="AU586" s="46"/>
    </row>
    <row r="587">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c r="AG587" s="46"/>
      <c r="AH587" s="46"/>
      <c r="AI587" s="46"/>
      <c r="AJ587" s="46"/>
      <c r="AK587" s="46"/>
      <c r="AL587" s="46"/>
      <c r="AM587" s="46"/>
      <c r="AN587" s="46"/>
      <c r="AO587" s="46"/>
      <c r="AP587" s="46"/>
      <c r="AQ587" s="46"/>
      <c r="AR587" s="46"/>
      <c r="AS587" s="46"/>
      <c r="AT587" s="46"/>
      <c r="AU587" s="46"/>
    </row>
    <row r="588">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c r="AG588" s="46"/>
      <c r="AH588" s="46"/>
      <c r="AI588" s="46"/>
      <c r="AJ588" s="46"/>
      <c r="AK588" s="46"/>
      <c r="AL588" s="46"/>
      <c r="AM588" s="46"/>
      <c r="AN588" s="46"/>
      <c r="AO588" s="46"/>
      <c r="AP588" s="46"/>
      <c r="AQ588" s="46"/>
      <c r="AR588" s="46"/>
      <c r="AS588" s="46"/>
      <c r="AT588" s="46"/>
      <c r="AU588" s="46"/>
    </row>
    <row r="589">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c r="AG589" s="46"/>
      <c r="AH589" s="46"/>
      <c r="AI589" s="46"/>
      <c r="AJ589" s="46"/>
      <c r="AK589" s="46"/>
      <c r="AL589" s="46"/>
      <c r="AM589" s="46"/>
      <c r="AN589" s="46"/>
      <c r="AO589" s="46"/>
      <c r="AP589" s="46"/>
      <c r="AQ589" s="46"/>
      <c r="AR589" s="46"/>
      <c r="AS589" s="46"/>
      <c r="AT589" s="46"/>
      <c r="AU589" s="46"/>
    </row>
    <row r="590">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c r="AG590" s="46"/>
      <c r="AH590" s="46"/>
      <c r="AI590" s="46"/>
      <c r="AJ590" s="46"/>
      <c r="AK590" s="46"/>
      <c r="AL590" s="46"/>
      <c r="AM590" s="46"/>
      <c r="AN590" s="46"/>
      <c r="AO590" s="46"/>
      <c r="AP590" s="46"/>
      <c r="AQ590" s="46"/>
      <c r="AR590" s="46"/>
      <c r="AS590" s="46"/>
      <c r="AT590" s="46"/>
      <c r="AU590" s="46"/>
    </row>
    <row r="59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c r="AM591" s="46"/>
      <c r="AN591" s="46"/>
      <c r="AO591" s="46"/>
      <c r="AP591" s="46"/>
      <c r="AQ591" s="46"/>
      <c r="AR591" s="46"/>
      <c r="AS591" s="46"/>
      <c r="AT591" s="46"/>
      <c r="AU591" s="46"/>
    </row>
    <row r="59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c r="AM592" s="46"/>
      <c r="AN592" s="46"/>
      <c r="AO592" s="46"/>
      <c r="AP592" s="46"/>
      <c r="AQ592" s="46"/>
      <c r="AR592" s="46"/>
      <c r="AS592" s="46"/>
      <c r="AT592" s="46"/>
      <c r="AU592" s="46"/>
    </row>
    <row r="593">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c r="AM593" s="46"/>
      <c r="AN593" s="46"/>
      <c r="AO593" s="46"/>
      <c r="AP593" s="46"/>
      <c r="AQ593" s="46"/>
      <c r="AR593" s="46"/>
      <c r="AS593" s="46"/>
      <c r="AT593" s="46"/>
      <c r="AU593" s="46"/>
    </row>
    <row r="594">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c r="AG594" s="46"/>
      <c r="AH594" s="46"/>
      <c r="AI594" s="46"/>
      <c r="AJ594" s="46"/>
      <c r="AK594" s="46"/>
      <c r="AL594" s="46"/>
      <c r="AM594" s="46"/>
      <c r="AN594" s="46"/>
      <c r="AO594" s="46"/>
      <c r="AP594" s="46"/>
      <c r="AQ594" s="46"/>
      <c r="AR594" s="46"/>
      <c r="AS594" s="46"/>
      <c r="AT594" s="46"/>
      <c r="AU594" s="46"/>
    </row>
    <row r="595">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c r="AG595" s="46"/>
      <c r="AH595" s="46"/>
      <c r="AI595" s="46"/>
      <c r="AJ595" s="46"/>
      <c r="AK595" s="46"/>
      <c r="AL595" s="46"/>
      <c r="AM595" s="46"/>
      <c r="AN595" s="46"/>
      <c r="AO595" s="46"/>
      <c r="AP595" s="46"/>
      <c r="AQ595" s="46"/>
      <c r="AR595" s="46"/>
      <c r="AS595" s="46"/>
      <c r="AT595" s="46"/>
      <c r="AU595" s="46"/>
    </row>
    <row r="596">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c r="AG596" s="46"/>
      <c r="AH596" s="46"/>
      <c r="AI596" s="46"/>
      <c r="AJ596" s="46"/>
      <c r="AK596" s="46"/>
      <c r="AL596" s="46"/>
      <c r="AM596" s="46"/>
      <c r="AN596" s="46"/>
      <c r="AO596" s="46"/>
      <c r="AP596" s="46"/>
      <c r="AQ596" s="46"/>
      <c r="AR596" s="46"/>
      <c r="AS596" s="46"/>
      <c r="AT596" s="46"/>
      <c r="AU596" s="46"/>
    </row>
    <row r="597">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c r="AM597" s="46"/>
      <c r="AN597" s="46"/>
      <c r="AO597" s="46"/>
      <c r="AP597" s="46"/>
      <c r="AQ597" s="46"/>
      <c r="AR597" s="46"/>
      <c r="AS597" s="46"/>
      <c r="AT597" s="46"/>
      <c r="AU597" s="46"/>
    </row>
    <row r="598">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c r="AL598" s="46"/>
      <c r="AM598" s="46"/>
      <c r="AN598" s="46"/>
      <c r="AO598" s="46"/>
      <c r="AP598" s="46"/>
      <c r="AQ598" s="46"/>
      <c r="AR598" s="46"/>
      <c r="AS598" s="46"/>
      <c r="AT598" s="46"/>
      <c r="AU598" s="46"/>
    </row>
    <row r="599">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c r="AG599" s="46"/>
      <c r="AH599" s="46"/>
      <c r="AI599" s="46"/>
      <c r="AJ599" s="46"/>
      <c r="AK599" s="46"/>
      <c r="AL599" s="46"/>
      <c r="AM599" s="46"/>
      <c r="AN599" s="46"/>
      <c r="AO599" s="46"/>
      <c r="AP599" s="46"/>
      <c r="AQ599" s="46"/>
      <c r="AR599" s="46"/>
      <c r="AS599" s="46"/>
      <c r="AT599" s="46"/>
      <c r="AU599" s="46"/>
    </row>
    <row r="600">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c r="AG600" s="46"/>
      <c r="AH600" s="46"/>
      <c r="AI600" s="46"/>
      <c r="AJ600" s="46"/>
      <c r="AK600" s="46"/>
      <c r="AL600" s="46"/>
      <c r="AM600" s="46"/>
      <c r="AN600" s="46"/>
      <c r="AO600" s="46"/>
      <c r="AP600" s="46"/>
      <c r="AQ600" s="46"/>
      <c r="AR600" s="46"/>
      <c r="AS600" s="46"/>
      <c r="AT600" s="46"/>
      <c r="AU600" s="46"/>
    </row>
    <row r="60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c r="AG601" s="46"/>
      <c r="AH601" s="46"/>
      <c r="AI601" s="46"/>
      <c r="AJ601" s="46"/>
      <c r="AK601" s="46"/>
      <c r="AL601" s="46"/>
      <c r="AM601" s="46"/>
      <c r="AN601" s="46"/>
      <c r="AO601" s="46"/>
      <c r="AP601" s="46"/>
      <c r="AQ601" s="46"/>
      <c r="AR601" s="46"/>
      <c r="AS601" s="46"/>
      <c r="AT601" s="46"/>
      <c r="AU601" s="46"/>
    </row>
    <row r="60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c r="AG602" s="46"/>
      <c r="AH602" s="46"/>
      <c r="AI602" s="46"/>
      <c r="AJ602" s="46"/>
      <c r="AK602" s="46"/>
      <c r="AL602" s="46"/>
      <c r="AM602" s="46"/>
      <c r="AN602" s="46"/>
      <c r="AO602" s="46"/>
      <c r="AP602" s="46"/>
      <c r="AQ602" s="46"/>
      <c r="AR602" s="46"/>
      <c r="AS602" s="46"/>
      <c r="AT602" s="46"/>
      <c r="AU602" s="46"/>
    </row>
    <row r="603">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c r="AG603" s="46"/>
      <c r="AH603" s="46"/>
      <c r="AI603" s="46"/>
      <c r="AJ603" s="46"/>
      <c r="AK603" s="46"/>
      <c r="AL603" s="46"/>
      <c r="AM603" s="46"/>
      <c r="AN603" s="46"/>
      <c r="AO603" s="46"/>
      <c r="AP603" s="46"/>
      <c r="AQ603" s="46"/>
      <c r="AR603" s="46"/>
      <c r="AS603" s="46"/>
      <c r="AT603" s="46"/>
      <c r="AU603" s="46"/>
    </row>
    <row r="604">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c r="AG604" s="46"/>
      <c r="AH604" s="46"/>
      <c r="AI604" s="46"/>
      <c r="AJ604" s="46"/>
      <c r="AK604" s="46"/>
      <c r="AL604" s="46"/>
      <c r="AM604" s="46"/>
      <c r="AN604" s="46"/>
      <c r="AO604" s="46"/>
      <c r="AP604" s="46"/>
      <c r="AQ604" s="46"/>
      <c r="AR604" s="46"/>
      <c r="AS604" s="46"/>
      <c r="AT604" s="46"/>
      <c r="AU604" s="46"/>
    </row>
    <row r="605">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c r="AG605" s="46"/>
      <c r="AH605" s="46"/>
      <c r="AI605" s="46"/>
      <c r="AJ605" s="46"/>
      <c r="AK605" s="46"/>
      <c r="AL605" s="46"/>
      <c r="AM605" s="46"/>
      <c r="AN605" s="46"/>
      <c r="AO605" s="46"/>
      <c r="AP605" s="46"/>
      <c r="AQ605" s="46"/>
      <c r="AR605" s="46"/>
      <c r="AS605" s="46"/>
      <c r="AT605" s="46"/>
      <c r="AU605" s="46"/>
    </row>
    <row r="606">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row>
    <row r="607">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c r="AG607" s="46"/>
      <c r="AH607" s="46"/>
      <c r="AI607" s="46"/>
      <c r="AJ607" s="46"/>
      <c r="AK607" s="46"/>
      <c r="AL607" s="46"/>
      <c r="AM607" s="46"/>
      <c r="AN607" s="46"/>
      <c r="AO607" s="46"/>
      <c r="AP607" s="46"/>
      <c r="AQ607" s="46"/>
      <c r="AR607" s="46"/>
      <c r="AS607" s="46"/>
      <c r="AT607" s="46"/>
      <c r="AU607" s="46"/>
    </row>
    <row r="608">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row>
    <row r="609">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c r="AH609" s="46"/>
      <c r="AI609" s="46"/>
      <c r="AJ609" s="46"/>
      <c r="AK609" s="46"/>
      <c r="AL609" s="46"/>
      <c r="AM609" s="46"/>
      <c r="AN609" s="46"/>
      <c r="AO609" s="46"/>
      <c r="AP609" s="46"/>
      <c r="AQ609" s="46"/>
      <c r="AR609" s="46"/>
      <c r="AS609" s="46"/>
      <c r="AT609" s="46"/>
      <c r="AU609" s="46"/>
    </row>
    <row r="610">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c r="AG610" s="46"/>
      <c r="AH610" s="46"/>
      <c r="AI610" s="46"/>
      <c r="AJ610" s="46"/>
      <c r="AK610" s="46"/>
      <c r="AL610" s="46"/>
      <c r="AM610" s="46"/>
      <c r="AN610" s="46"/>
      <c r="AO610" s="46"/>
      <c r="AP610" s="46"/>
      <c r="AQ610" s="46"/>
      <c r="AR610" s="46"/>
      <c r="AS610" s="46"/>
      <c r="AT610" s="46"/>
      <c r="AU610" s="46"/>
    </row>
    <row r="61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c r="AG611" s="46"/>
      <c r="AH611" s="46"/>
      <c r="AI611" s="46"/>
      <c r="AJ611" s="46"/>
      <c r="AK611" s="46"/>
      <c r="AL611" s="46"/>
      <c r="AM611" s="46"/>
      <c r="AN611" s="46"/>
      <c r="AO611" s="46"/>
      <c r="AP611" s="46"/>
      <c r="AQ611" s="46"/>
      <c r="AR611" s="46"/>
      <c r="AS611" s="46"/>
      <c r="AT611" s="46"/>
      <c r="AU611" s="46"/>
    </row>
    <row r="61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c r="AG612" s="46"/>
      <c r="AH612" s="46"/>
      <c r="AI612" s="46"/>
      <c r="AJ612" s="46"/>
      <c r="AK612" s="46"/>
      <c r="AL612" s="46"/>
      <c r="AM612" s="46"/>
      <c r="AN612" s="46"/>
      <c r="AO612" s="46"/>
      <c r="AP612" s="46"/>
      <c r="AQ612" s="46"/>
      <c r="AR612" s="46"/>
      <c r="AS612" s="46"/>
      <c r="AT612" s="46"/>
      <c r="AU612" s="46"/>
    </row>
    <row r="613">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c r="AG613" s="46"/>
      <c r="AH613" s="46"/>
      <c r="AI613" s="46"/>
      <c r="AJ613" s="46"/>
      <c r="AK613" s="46"/>
      <c r="AL613" s="46"/>
      <c r="AM613" s="46"/>
      <c r="AN613" s="46"/>
      <c r="AO613" s="46"/>
      <c r="AP613" s="46"/>
      <c r="AQ613" s="46"/>
      <c r="AR613" s="46"/>
      <c r="AS613" s="46"/>
      <c r="AT613" s="46"/>
      <c r="AU613" s="46"/>
    </row>
    <row r="614">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c r="AG614" s="46"/>
      <c r="AH614" s="46"/>
      <c r="AI614" s="46"/>
      <c r="AJ614" s="46"/>
      <c r="AK614" s="46"/>
      <c r="AL614" s="46"/>
      <c r="AM614" s="46"/>
      <c r="AN614" s="46"/>
      <c r="AO614" s="46"/>
      <c r="AP614" s="46"/>
      <c r="AQ614" s="46"/>
      <c r="AR614" s="46"/>
      <c r="AS614" s="46"/>
      <c r="AT614" s="46"/>
      <c r="AU614" s="46"/>
    </row>
    <row r="615">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c r="AG615" s="46"/>
      <c r="AH615" s="46"/>
      <c r="AI615" s="46"/>
      <c r="AJ615" s="46"/>
      <c r="AK615" s="46"/>
      <c r="AL615" s="46"/>
      <c r="AM615" s="46"/>
      <c r="AN615" s="46"/>
      <c r="AO615" s="46"/>
      <c r="AP615" s="46"/>
      <c r="AQ615" s="46"/>
      <c r="AR615" s="46"/>
      <c r="AS615" s="46"/>
      <c r="AT615" s="46"/>
      <c r="AU615" s="46"/>
    </row>
    <row r="616">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c r="AG616" s="46"/>
      <c r="AH616" s="46"/>
      <c r="AI616" s="46"/>
      <c r="AJ616" s="46"/>
      <c r="AK616" s="46"/>
      <c r="AL616" s="46"/>
      <c r="AM616" s="46"/>
      <c r="AN616" s="46"/>
      <c r="AO616" s="46"/>
      <c r="AP616" s="46"/>
      <c r="AQ616" s="46"/>
      <c r="AR616" s="46"/>
      <c r="AS616" s="46"/>
      <c r="AT616" s="46"/>
      <c r="AU616" s="46"/>
    </row>
    <row r="617">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c r="AG617" s="46"/>
      <c r="AH617" s="46"/>
      <c r="AI617" s="46"/>
      <c r="AJ617" s="46"/>
      <c r="AK617" s="46"/>
      <c r="AL617" s="46"/>
      <c r="AM617" s="46"/>
      <c r="AN617" s="46"/>
      <c r="AO617" s="46"/>
      <c r="AP617" s="46"/>
      <c r="AQ617" s="46"/>
      <c r="AR617" s="46"/>
      <c r="AS617" s="46"/>
      <c r="AT617" s="46"/>
      <c r="AU617" s="46"/>
    </row>
    <row r="618">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c r="AG618" s="46"/>
      <c r="AH618" s="46"/>
      <c r="AI618" s="46"/>
      <c r="AJ618" s="46"/>
      <c r="AK618" s="46"/>
      <c r="AL618" s="46"/>
      <c r="AM618" s="46"/>
      <c r="AN618" s="46"/>
      <c r="AO618" s="46"/>
      <c r="AP618" s="46"/>
      <c r="AQ618" s="46"/>
      <c r="AR618" s="46"/>
      <c r="AS618" s="46"/>
      <c r="AT618" s="46"/>
      <c r="AU618" s="46"/>
    </row>
    <row r="619">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c r="AG619" s="46"/>
      <c r="AH619" s="46"/>
      <c r="AI619" s="46"/>
      <c r="AJ619" s="46"/>
      <c r="AK619" s="46"/>
      <c r="AL619" s="46"/>
      <c r="AM619" s="46"/>
      <c r="AN619" s="46"/>
      <c r="AO619" s="46"/>
      <c r="AP619" s="46"/>
      <c r="AQ619" s="46"/>
      <c r="AR619" s="46"/>
      <c r="AS619" s="46"/>
      <c r="AT619" s="46"/>
      <c r="AU619" s="46"/>
    </row>
    <row r="620">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c r="AG620" s="46"/>
      <c r="AH620" s="46"/>
      <c r="AI620" s="46"/>
      <c r="AJ620" s="46"/>
      <c r="AK620" s="46"/>
      <c r="AL620" s="46"/>
      <c r="AM620" s="46"/>
      <c r="AN620" s="46"/>
      <c r="AO620" s="46"/>
      <c r="AP620" s="46"/>
      <c r="AQ620" s="46"/>
      <c r="AR620" s="46"/>
      <c r="AS620" s="46"/>
      <c r="AT620" s="46"/>
      <c r="AU620" s="46"/>
    </row>
    <row r="62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c r="AG621" s="46"/>
      <c r="AH621" s="46"/>
      <c r="AI621" s="46"/>
      <c r="AJ621" s="46"/>
      <c r="AK621" s="46"/>
      <c r="AL621" s="46"/>
      <c r="AM621" s="46"/>
      <c r="AN621" s="46"/>
      <c r="AO621" s="46"/>
      <c r="AP621" s="46"/>
      <c r="AQ621" s="46"/>
      <c r="AR621" s="46"/>
      <c r="AS621" s="46"/>
      <c r="AT621" s="46"/>
      <c r="AU621" s="46"/>
    </row>
    <row r="62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c r="AG622" s="46"/>
      <c r="AH622" s="46"/>
      <c r="AI622" s="46"/>
      <c r="AJ622" s="46"/>
      <c r="AK622" s="46"/>
      <c r="AL622" s="46"/>
      <c r="AM622" s="46"/>
      <c r="AN622" s="46"/>
      <c r="AO622" s="46"/>
      <c r="AP622" s="46"/>
      <c r="AQ622" s="46"/>
      <c r="AR622" s="46"/>
      <c r="AS622" s="46"/>
      <c r="AT622" s="46"/>
      <c r="AU622" s="46"/>
    </row>
    <row r="623">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c r="AG623" s="46"/>
      <c r="AH623" s="46"/>
      <c r="AI623" s="46"/>
      <c r="AJ623" s="46"/>
      <c r="AK623" s="46"/>
      <c r="AL623" s="46"/>
      <c r="AM623" s="46"/>
      <c r="AN623" s="46"/>
      <c r="AO623" s="46"/>
      <c r="AP623" s="46"/>
      <c r="AQ623" s="46"/>
      <c r="AR623" s="46"/>
      <c r="AS623" s="46"/>
      <c r="AT623" s="46"/>
      <c r="AU623" s="46"/>
    </row>
    <row r="624">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c r="AG624" s="46"/>
      <c r="AH624" s="46"/>
      <c r="AI624" s="46"/>
      <c r="AJ624" s="46"/>
      <c r="AK624" s="46"/>
      <c r="AL624" s="46"/>
      <c r="AM624" s="46"/>
      <c r="AN624" s="46"/>
      <c r="AO624" s="46"/>
      <c r="AP624" s="46"/>
      <c r="AQ624" s="46"/>
      <c r="AR624" s="46"/>
      <c r="AS624" s="46"/>
      <c r="AT624" s="46"/>
      <c r="AU624" s="46"/>
    </row>
    <row r="625">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c r="AG625" s="46"/>
      <c r="AH625" s="46"/>
      <c r="AI625" s="46"/>
      <c r="AJ625" s="46"/>
      <c r="AK625" s="46"/>
      <c r="AL625" s="46"/>
      <c r="AM625" s="46"/>
      <c r="AN625" s="46"/>
      <c r="AO625" s="46"/>
      <c r="AP625" s="46"/>
      <c r="AQ625" s="46"/>
      <c r="AR625" s="46"/>
      <c r="AS625" s="46"/>
      <c r="AT625" s="46"/>
      <c r="AU625" s="46"/>
    </row>
    <row r="626">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c r="AG626" s="46"/>
      <c r="AH626" s="46"/>
      <c r="AI626" s="46"/>
      <c r="AJ626" s="46"/>
      <c r="AK626" s="46"/>
      <c r="AL626" s="46"/>
      <c r="AM626" s="46"/>
      <c r="AN626" s="46"/>
      <c r="AO626" s="46"/>
      <c r="AP626" s="46"/>
      <c r="AQ626" s="46"/>
      <c r="AR626" s="46"/>
      <c r="AS626" s="46"/>
      <c r="AT626" s="46"/>
      <c r="AU626" s="46"/>
    </row>
    <row r="627">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c r="AG627" s="46"/>
      <c r="AH627" s="46"/>
      <c r="AI627" s="46"/>
      <c r="AJ627" s="46"/>
      <c r="AK627" s="46"/>
      <c r="AL627" s="46"/>
      <c r="AM627" s="46"/>
      <c r="AN627" s="46"/>
      <c r="AO627" s="46"/>
      <c r="AP627" s="46"/>
      <c r="AQ627" s="46"/>
      <c r="AR627" s="46"/>
      <c r="AS627" s="46"/>
      <c r="AT627" s="46"/>
      <c r="AU627" s="46"/>
    </row>
    <row r="628">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c r="AM628" s="46"/>
      <c r="AN628" s="46"/>
      <c r="AO628" s="46"/>
      <c r="AP628" s="46"/>
      <c r="AQ628" s="46"/>
      <c r="AR628" s="46"/>
      <c r="AS628" s="46"/>
      <c r="AT628" s="46"/>
      <c r="AU628" s="46"/>
    </row>
    <row r="629">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c r="AG629" s="46"/>
      <c r="AH629" s="46"/>
      <c r="AI629" s="46"/>
      <c r="AJ629" s="46"/>
      <c r="AK629" s="46"/>
      <c r="AL629" s="46"/>
      <c r="AM629" s="46"/>
      <c r="AN629" s="46"/>
      <c r="AO629" s="46"/>
      <c r="AP629" s="46"/>
      <c r="AQ629" s="46"/>
      <c r="AR629" s="46"/>
      <c r="AS629" s="46"/>
      <c r="AT629" s="46"/>
      <c r="AU629" s="46"/>
    </row>
    <row r="630">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c r="AG630" s="46"/>
      <c r="AH630" s="46"/>
      <c r="AI630" s="46"/>
      <c r="AJ630" s="46"/>
      <c r="AK630" s="46"/>
      <c r="AL630" s="46"/>
      <c r="AM630" s="46"/>
      <c r="AN630" s="46"/>
      <c r="AO630" s="46"/>
      <c r="AP630" s="46"/>
      <c r="AQ630" s="46"/>
      <c r="AR630" s="46"/>
      <c r="AS630" s="46"/>
      <c r="AT630" s="46"/>
      <c r="AU630" s="46"/>
    </row>
    <row r="63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c r="AG631" s="46"/>
      <c r="AH631" s="46"/>
      <c r="AI631" s="46"/>
      <c r="AJ631" s="46"/>
      <c r="AK631" s="46"/>
      <c r="AL631" s="46"/>
      <c r="AM631" s="46"/>
      <c r="AN631" s="46"/>
      <c r="AO631" s="46"/>
      <c r="AP631" s="46"/>
      <c r="AQ631" s="46"/>
      <c r="AR631" s="46"/>
      <c r="AS631" s="46"/>
      <c r="AT631" s="46"/>
      <c r="AU631" s="46"/>
    </row>
    <row r="63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c r="AM632" s="46"/>
      <c r="AN632" s="46"/>
      <c r="AO632" s="46"/>
      <c r="AP632" s="46"/>
      <c r="AQ632" s="46"/>
      <c r="AR632" s="46"/>
      <c r="AS632" s="46"/>
      <c r="AT632" s="46"/>
      <c r="AU632" s="46"/>
    </row>
    <row r="633">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c r="AG633" s="46"/>
      <c r="AH633" s="46"/>
      <c r="AI633" s="46"/>
      <c r="AJ633" s="46"/>
      <c r="AK633" s="46"/>
      <c r="AL633" s="46"/>
      <c r="AM633" s="46"/>
      <c r="AN633" s="46"/>
      <c r="AO633" s="46"/>
      <c r="AP633" s="46"/>
      <c r="AQ633" s="46"/>
      <c r="AR633" s="46"/>
      <c r="AS633" s="46"/>
      <c r="AT633" s="46"/>
      <c r="AU633" s="46"/>
    </row>
    <row r="634">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c r="AG634" s="46"/>
      <c r="AH634" s="46"/>
      <c r="AI634" s="46"/>
      <c r="AJ634" s="46"/>
      <c r="AK634" s="46"/>
      <c r="AL634" s="46"/>
      <c r="AM634" s="46"/>
      <c r="AN634" s="46"/>
      <c r="AO634" s="46"/>
      <c r="AP634" s="46"/>
      <c r="AQ634" s="46"/>
      <c r="AR634" s="46"/>
      <c r="AS634" s="46"/>
      <c r="AT634" s="46"/>
      <c r="AU634" s="46"/>
    </row>
    <row r="635">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c r="AG635" s="46"/>
      <c r="AH635" s="46"/>
      <c r="AI635" s="46"/>
      <c r="AJ635" s="46"/>
      <c r="AK635" s="46"/>
      <c r="AL635" s="46"/>
      <c r="AM635" s="46"/>
      <c r="AN635" s="46"/>
      <c r="AO635" s="46"/>
      <c r="AP635" s="46"/>
      <c r="AQ635" s="46"/>
      <c r="AR635" s="46"/>
      <c r="AS635" s="46"/>
      <c r="AT635" s="46"/>
      <c r="AU635" s="46"/>
    </row>
    <row r="636">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c r="AG636" s="46"/>
      <c r="AH636" s="46"/>
      <c r="AI636" s="46"/>
      <c r="AJ636" s="46"/>
      <c r="AK636" s="46"/>
      <c r="AL636" s="46"/>
      <c r="AM636" s="46"/>
      <c r="AN636" s="46"/>
      <c r="AO636" s="46"/>
      <c r="AP636" s="46"/>
      <c r="AQ636" s="46"/>
      <c r="AR636" s="46"/>
      <c r="AS636" s="46"/>
      <c r="AT636" s="46"/>
      <c r="AU636" s="46"/>
    </row>
    <row r="637">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c r="AG637" s="46"/>
      <c r="AH637" s="46"/>
      <c r="AI637" s="46"/>
      <c r="AJ637" s="46"/>
      <c r="AK637" s="46"/>
      <c r="AL637" s="46"/>
      <c r="AM637" s="46"/>
      <c r="AN637" s="46"/>
      <c r="AO637" s="46"/>
      <c r="AP637" s="46"/>
      <c r="AQ637" s="46"/>
      <c r="AR637" s="46"/>
      <c r="AS637" s="46"/>
      <c r="AT637" s="46"/>
      <c r="AU637" s="46"/>
    </row>
    <row r="638">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c r="AG638" s="46"/>
      <c r="AH638" s="46"/>
      <c r="AI638" s="46"/>
      <c r="AJ638" s="46"/>
      <c r="AK638" s="46"/>
      <c r="AL638" s="46"/>
      <c r="AM638" s="46"/>
      <c r="AN638" s="46"/>
      <c r="AO638" s="46"/>
      <c r="AP638" s="46"/>
      <c r="AQ638" s="46"/>
      <c r="AR638" s="46"/>
      <c r="AS638" s="46"/>
      <c r="AT638" s="46"/>
      <c r="AU638" s="46"/>
    </row>
    <row r="639">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c r="AG639" s="46"/>
      <c r="AH639" s="46"/>
      <c r="AI639" s="46"/>
      <c r="AJ639" s="46"/>
      <c r="AK639" s="46"/>
      <c r="AL639" s="46"/>
      <c r="AM639" s="46"/>
      <c r="AN639" s="46"/>
      <c r="AO639" s="46"/>
      <c r="AP639" s="46"/>
      <c r="AQ639" s="46"/>
      <c r="AR639" s="46"/>
      <c r="AS639" s="46"/>
      <c r="AT639" s="46"/>
      <c r="AU639" s="46"/>
    </row>
    <row r="640">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c r="AG640" s="46"/>
      <c r="AH640" s="46"/>
      <c r="AI640" s="46"/>
      <c r="AJ640" s="46"/>
      <c r="AK640" s="46"/>
      <c r="AL640" s="46"/>
      <c r="AM640" s="46"/>
      <c r="AN640" s="46"/>
      <c r="AO640" s="46"/>
      <c r="AP640" s="46"/>
      <c r="AQ640" s="46"/>
      <c r="AR640" s="46"/>
      <c r="AS640" s="46"/>
      <c r="AT640" s="46"/>
      <c r="AU640" s="46"/>
    </row>
    <row r="64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c r="AG641" s="46"/>
      <c r="AH641" s="46"/>
      <c r="AI641" s="46"/>
      <c r="AJ641" s="46"/>
      <c r="AK641" s="46"/>
      <c r="AL641" s="46"/>
      <c r="AM641" s="46"/>
      <c r="AN641" s="46"/>
      <c r="AO641" s="46"/>
      <c r="AP641" s="46"/>
      <c r="AQ641" s="46"/>
      <c r="AR641" s="46"/>
      <c r="AS641" s="46"/>
      <c r="AT641" s="46"/>
      <c r="AU641" s="46"/>
    </row>
    <row r="64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c r="AG642" s="46"/>
      <c r="AH642" s="46"/>
      <c r="AI642" s="46"/>
      <c r="AJ642" s="46"/>
      <c r="AK642" s="46"/>
      <c r="AL642" s="46"/>
      <c r="AM642" s="46"/>
      <c r="AN642" s="46"/>
      <c r="AO642" s="46"/>
      <c r="AP642" s="46"/>
      <c r="AQ642" s="46"/>
      <c r="AR642" s="46"/>
      <c r="AS642" s="46"/>
      <c r="AT642" s="46"/>
      <c r="AU642" s="46"/>
    </row>
    <row r="643">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c r="AG643" s="46"/>
      <c r="AH643" s="46"/>
      <c r="AI643" s="46"/>
      <c r="AJ643" s="46"/>
      <c r="AK643" s="46"/>
      <c r="AL643" s="46"/>
      <c r="AM643" s="46"/>
      <c r="AN643" s="46"/>
      <c r="AO643" s="46"/>
      <c r="AP643" s="46"/>
      <c r="AQ643" s="46"/>
      <c r="AR643" s="46"/>
      <c r="AS643" s="46"/>
      <c r="AT643" s="46"/>
      <c r="AU643" s="46"/>
    </row>
    <row r="644">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c r="AG644" s="46"/>
      <c r="AH644" s="46"/>
      <c r="AI644" s="46"/>
      <c r="AJ644" s="46"/>
      <c r="AK644" s="46"/>
      <c r="AL644" s="46"/>
      <c r="AM644" s="46"/>
      <c r="AN644" s="46"/>
      <c r="AO644" s="46"/>
      <c r="AP644" s="46"/>
      <c r="AQ644" s="46"/>
      <c r="AR644" s="46"/>
      <c r="AS644" s="46"/>
      <c r="AT644" s="46"/>
      <c r="AU644" s="46"/>
    </row>
    <row r="645">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c r="AG645" s="46"/>
      <c r="AH645" s="46"/>
      <c r="AI645" s="46"/>
      <c r="AJ645" s="46"/>
      <c r="AK645" s="46"/>
      <c r="AL645" s="46"/>
      <c r="AM645" s="46"/>
      <c r="AN645" s="46"/>
      <c r="AO645" s="46"/>
      <c r="AP645" s="46"/>
      <c r="AQ645" s="46"/>
      <c r="AR645" s="46"/>
      <c r="AS645" s="46"/>
      <c r="AT645" s="46"/>
      <c r="AU645" s="46"/>
    </row>
    <row r="646">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c r="AG646" s="46"/>
      <c r="AH646" s="46"/>
      <c r="AI646" s="46"/>
      <c r="AJ646" s="46"/>
      <c r="AK646" s="46"/>
      <c r="AL646" s="46"/>
      <c r="AM646" s="46"/>
      <c r="AN646" s="46"/>
      <c r="AO646" s="46"/>
      <c r="AP646" s="46"/>
      <c r="AQ646" s="46"/>
      <c r="AR646" s="46"/>
      <c r="AS646" s="46"/>
      <c r="AT646" s="46"/>
      <c r="AU646" s="46"/>
    </row>
    <row r="647">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c r="AM647" s="46"/>
      <c r="AN647" s="46"/>
      <c r="AO647" s="46"/>
      <c r="AP647" s="46"/>
      <c r="AQ647" s="46"/>
      <c r="AR647" s="46"/>
      <c r="AS647" s="46"/>
      <c r="AT647" s="46"/>
      <c r="AU647" s="46"/>
    </row>
    <row r="648">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c r="AG648" s="46"/>
      <c r="AH648" s="46"/>
      <c r="AI648" s="46"/>
      <c r="AJ648" s="46"/>
      <c r="AK648" s="46"/>
      <c r="AL648" s="46"/>
      <c r="AM648" s="46"/>
      <c r="AN648" s="46"/>
      <c r="AO648" s="46"/>
      <c r="AP648" s="46"/>
      <c r="AQ648" s="46"/>
      <c r="AR648" s="46"/>
      <c r="AS648" s="46"/>
      <c r="AT648" s="46"/>
      <c r="AU648" s="46"/>
    </row>
    <row r="649">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c r="AG649" s="46"/>
      <c r="AH649" s="46"/>
      <c r="AI649" s="46"/>
      <c r="AJ649" s="46"/>
      <c r="AK649" s="46"/>
      <c r="AL649" s="46"/>
      <c r="AM649" s="46"/>
      <c r="AN649" s="46"/>
      <c r="AO649" s="46"/>
      <c r="AP649" s="46"/>
      <c r="AQ649" s="46"/>
      <c r="AR649" s="46"/>
      <c r="AS649" s="46"/>
      <c r="AT649" s="46"/>
      <c r="AU649" s="46"/>
    </row>
    <row r="650">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c r="AG650" s="46"/>
      <c r="AH650" s="46"/>
      <c r="AI650" s="46"/>
      <c r="AJ650" s="46"/>
      <c r="AK650" s="46"/>
      <c r="AL650" s="46"/>
      <c r="AM650" s="46"/>
      <c r="AN650" s="46"/>
      <c r="AO650" s="46"/>
      <c r="AP650" s="46"/>
      <c r="AQ650" s="46"/>
      <c r="AR650" s="46"/>
      <c r="AS650" s="46"/>
      <c r="AT650" s="46"/>
      <c r="AU650" s="46"/>
    </row>
    <row r="65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c r="AG651" s="46"/>
      <c r="AH651" s="46"/>
      <c r="AI651" s="46"/>
      <c r="AJ651" s="46"/>
      <c r="AK651" s="46"/>
      <c r="AL651" s="46"/>
      <c r="AM651" s="46"/>
      <c r="AN651" s="46"/>
      <c r="AO651" s="46"/>
      <c r="AP651" s="46"/>
      <c r="AQ651" s="46"/>
      <c r="AR651" s="46"/>
      <c r="AS651" s="46"/>
      <c r="AT651" s="46"/>
      <c r="AU651" s="46"/>
    </row>
    <row r="65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c r="AG652" s="46"/>
      <c r="AH652" s="46"/>
      <c r="AI652" s="46"/>
      <c r="AJ652" s="46"/>
      <c r="AK652" s="46"/>
      <c r="AL652" s="46"/>
      <c r="AM652" s="46"/>
      <c r="AN652" s="46"/>
      <c r="AO652" s="46"/>
      <c r="AP652" s="46"/>
      <c r="AQ652" s="46"/>
      <c r="AR652" s="46"/>
      <c r="AS652" s="46"/>
      <c r="AT652" s="46"/>
      <c r="AU652" s="46"/>
    </row>
    <row r="653">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c r="AM653" s="46"/>
      <c r="AN653" s="46"/>
      <c r="AO653" s="46"/>
      <c r="AP653" s="46"/>
      <c r="AQ653" s="46"/>
      <c r="AR653" s="46"/>
      <c r="AS653" s="46"/>
      <c r="AT653" s="46"/>
      <c r="AU653" s="46"/>
    </row>
    <row r="654">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c r="AG654" s="46"/>
      <c r="AH654" s="46"/>
      <c r="AI654" s="46"/>
      <c r="AJ654" s="46"/>
      <c r="AK654" s="46"/>
      <c r="AL654" s="46"/>
      <c r="AM654" s="46"/>
      <c r="AN654" s="46"/>
      <c r="AO654" s="46"/>
      <c r="AP654" s="46"/>
      <c r="AQ654" s="46"/>
      <c r="AR654" s="46"/>
      <c r="AS654" s="46"/>
      <c r="AT654" s="46"/>
      <c r="AU654" s="46"/>
    </row>
    <row r="655">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c r="AG655" s="46"/>
      <c r="AH655" s="46"/>
      <c r="AI655" s="46"/>
      <c r="AJ655" s="46"/>
      <c r="AK655" s="46"/>
      <c r="AL655" s="46"/>
      <c r="AM655" s="46"/>
      <c r="AN655" s="46"/>
      <c r="AO655" s="46"/>
      <c r="AP655" s="46"/>
      <c r="AQ655" s="46"/>
      <c r="AR655" s="46"/>
      <c r="AS655" s="46"/>
      <c r="AT655" s="46"/>
      <c r="AU655" s="46"/>
    </row>
    <row r="656">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c r="AG656" s="46"/>
      <c r="AH656" s="46"/>
      <c r="AI656" s="46"/>
      <c r="AJ656" s="46"/>
      <c r="AK656" s="46"/>
      <c r="AL656" s="46"/>
      <c r="AM656" s="46"/>
      <c r="AN656" s="46"/>
      <c r="AO656" s="46"/>
      <c r="AP656" s="46"/>
      <c r="AQ656" s="46"/>
      <c r="AR656" s="46"/>
      <c r="AS656" s="46"/>
      <c r="AT656" s="46"/>
      <c r="AU656" s="46"/>
    </row>
    <row r="657">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c r="AG657" s="46"/>
      <c r="AH657" s="46"/>
      <c r="AI657" s="46"/>
      <c r="AJ657" s="46"/>
      <c r="AK657" s="46"/>
      <c r="AL657" s="46"/>
      <c r="AM657" s="46"/>
      <c r="AN657" s="46"/>
      <c r="AO657" s="46"/>
      <c r="AP657" s="46"/>
      <c r="AQ657" s="46"/>
      <c r="AR657" s="46"/>
      <c r="AS657" s="46"/>
      <c r="AT657" s="46"/>
      <c r="AU657" s="46"/>
    </row>
    <row r="658">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c r="AG658" s="46"/>
      <c r="AH658" s="46"/>
      <c r="AI658" s="46"/>
      <c r="AJ658" s="46"/>
      <c r="AK658" s="46"/>
      <c r="AL658" s="46"/>
      <c r="AM658" s="46"/>
      <c r="AN658" s="46"/>
      <c r="AO658" s="46"/>
      <c r="AP658" s="46"/>
      <c r="AQ658" s="46"/>
      <c r="AR658" s="46"/>
      <c r="AS658" s="46"/>
      <c r="AT658" s="46"/>
      <c r="AU658" s="46"/>
    </row>
    <row r="659">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c r="AG659" s="46"/>
      <c r="AH659" s="46"/>
      <c r="AI659" s="46"/>
      <c r="AJ659" s="46"/>
      <c r="AK659" s="46"/>
      <c r="AL659" s="46"/>
      <c r="AM659" s="46"/>
      <c r="AN659" s="46"/>
      <c r="AO659" s="46"/>
      <c r="AP659" s="46"/>
      <c r="AQ659" s="46"/>
      <c r="AR659" s="46"/>
      <c r="AS659" s="46"/>
      <c r="AT659" s="46"/>
      <c r="AU659" s="46"/>
    </row>
    <row r="660">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c r="AG660" s="46"/>
      <c r="AH660" s="46"/>
      <c r="AI660" s="46"/>
      <c r="AJ660" s="46"/>
      <c r="AK660" s="46"/>
      <c r="AL660" s="46"/>
      <c r="AM660" s="46"/>
      <c r="AN660" s="46"/>
      <c r="AO660" s="46"/>
      <c r="AP660" s="46"/>
      <c r="AQ660" s="46"/>
      <c r="AR660" s="46"/>
      <c r="AS660" s="46"/>
      <c r="AT660" s="46"/>
      <c r="AU660" s="46"/>
    </row>
    <row r="66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c r="AM661" s="46"/>
      <c r="AN661" s="46"/>
      <c r="AO661" s="46"/>
      <c r="AP661" s="46"/>
      <c r="AQ661" s="46"/>
      <c r="AR661" s="46"/>
      <c r="AS661" s="46"/>
      <c r="AT661" s="46"/>
      <c r="AU661" s="46"/>
    </row>
    <row r="66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c r="AH662" s="46"/>
      <c r="AI662" s="46"/>
      <c r="AJ662" s="46"/>
      <c r="AK662" s="46"/>
      <c r="AL662" s="46"/>
      <c r="AM662" s="46"/>
      <c r="AN662" s="46"/>
      <c r="AO662" s="46"/>
      <c r="AP662" s="46"/>
      <c r="AQ662" s="46"/>
      <c r="AR662" s="46"/>
      <c r="AS662" s="46"/>
      <c r="AT662" s="46"/>
      <c r="AU662" s="46"/>
    </row>
    <row r="663">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c r="AG663" s="46"/>
      <c r="AH663" s="46"/>
      <c r="AI663" s="46"/>
      <c r="AJ663" s="46"/>
      <c r="AK663" s="46"/>
      <c r="AL663" s="46"/>
      <c r="AM663" s="46"/>
      <c r="AN663" s="46"/>
      <c r="AO663" s="46"/>
      <c r="AP663" s="46"/>
      <c r="AQ663" s="46"/>
      <c r="AR663" s="46"/>
      <c r="AS663" s="46"/>
      <c r="AT663" s="46"/>
      <c r="AU663" s="46"/>
    </row>
    <row r="664">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c r="AG664" s="46"/>
      <c r="AH664" s="46"/>
      <c r="AI664" s="46"/>
      <c r="AJ664" s="46"/>
      <c r="AK664" s="46"/>
      <c r="AL664" s="46"/>
      <c r="AM664" s="46"/>
      <c r="AN664" s="46"/>
      <c r="AO664" s="46"/>
      <c r="AP664" s="46"/>
      <c r="AQ664" s="46"/>
      <c r="AR664" s="46"/>
      <c r="AS664" s="46"/>
      <c r="AT664" s="46"/>
      <c r="AU664" s="46"/>
    </row>
    <row r="665">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c r="AG665" s="46"/>
      <c r="AH665" s="46"/>
      <c r="AI665" s="46"/>
      <c r="AJ665" s="46"/>
      <c r="AK665" s="46"/>
      <c r="AL665" s="46"/>
      <c r="AM665" s="46"/>
      <c r="AN665" s="46"/>
      <c r="AO665" s="46"/>
      <c r="AP665" s="46"/>
      <c r="AQ665" s="46"/>
      <c r="AR665" s="46"/>
      <c r="AS665" s="46"/>
      <c r="AT665" s="46"/>
      <c r="AU665" s="46"/>
    </row>
    <row r="666">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c r="AG666" s="46"/>
      <c r="AH666" s="46"/>
      <c r="AI666" s="46"/>
      <c r="AJ666" s="46"/>
      <c r="AK666" s="46"/>
      <c r="AL666" s="46"/>
      <c r="AM666" s="46"/>
      <c r="AN666" s="46"/>
      <c r="AO666" s="46"/>
      <c r="AP666" s="46"/>
      <c r="AQ666" s="46"/>
      <c r="AR666" s="46"/>
      <c r="AS666" s="46"/>
      <c r="AT666" s="46"/>
      <c r="AU666" s="46"/>
    </row>
    <row r="667">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c r="AS667" s="46"/>
      <c r="AT667" s="46"/>
      <c r="AU667" s="46"/>
    </row>
    <row r="668">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row>
    <row r="669">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c r="AG669" s="46"/>
      <c r="AH669" s="46"/>
      <c r="AI669" s="46"/>
      <c r="AJ669" s="46"/>
      <c r="AK669" s="46"/>
      <c r="AL669" s="46"/>
      <c r="AM669" s="46"/>
      <c r="AN669" s="46"/>
      <c r="AO669" s="46"/>
      <c r="AP669" s="46"/>
      <c r="AQ669" s="46"/>
      <c r="AR669" s="46"/>
      <c r="AS669" s="46"/>
      <c r="AT669" s="46"/>
      <c r="AU669" s="46"/>
    </row>
    <row r="670">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row>
    <row r="67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row>
    <row r="67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row>
    <row r="673">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c r="AM673" s="46"/>
      <c r="AN673" s="46"/>
      <c r="AO673" s="46"/>
      <c r="AP673" s="46"/>
      <c r="AQ673" s="46"/>
      <c r="AR673" s="46"/>
      <c r="AS673" s="46"/>
      <c r="AT673" s="46"/>
      <c r="AU673" s="46"/>
    </row>
    <row r="674">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c r="AG674" s="46"/>
      <c r="AH674" s="46"/>
      <c r="AI674" s="46"/>
      <c r="AJ674" s="46"/>
      <c r="AK674" s="46"/>
      <c r="AL674" s="46"/>
      <c r="AM674" s="46"/>
      <c r="AN674" s="46"/>
      <c r="AO674" s="46"/>
      <c r="AP674" s="46"/>
      <c r="AQ674" s="46"/>
      <c r="AR674" s="46"/>
      <c r="AS674" s="46"/>
      <c r="AT674" s="46"/>
      <c r="AU674" s="46"/>
    </row>
    <row r="675">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c r="AG675" s="46"/>
      <c r="AH675" s="46"/>
      <c r="AI675" s="46"/>
      <c r="AJ675" s="46"/>
      <c r="AK675" s="46"/>
      <c r="AL675" s="46"/>
      <c r="AM675" s="46"/>
      <c r="AN675" s="46"/>
      <c r="AO675" s="46"/>
      <c r="AP675" s="46"/>
      <c r="AQ675" s="46"/>
      <c r="AR675" s="46"/>
      <c r="AS675" s="46"/>
      <c r="AT675" s="46"/>
      <c r="AU675" s="46"/>
    </row>
    <row r="676">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c r="AG676" s="46"/>
      <c r="AH676" s="46"/>
      <c r="AI676" s="46"/>
      <c r="AJ676" s="46"/>
      <c r="AK676" s="46"/>
      <c r="AL676" s="46"/>
      <c r="AM676" s="46"/>
      <c r="AN676" s="46"/>
      <c r="AO676" s="46"/>
      <c r="AP676" s="46"/>
      <c r="AQ676" s="46"/>
      <c r="AR676" s="46"/>
      <c r="AS676" s="46"/>
      <c r="AT676" s="46"/>
      <c r="AU676" s="46"/>
    </row>
    <row r="677">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c r="AG677" s="46"/>
      <c r="AH677" s="46"/>
      <c r="AI677" s="46"/>
      <c r="AJ677" s="46"/>
      <c r="AK677" s="46"/>
      <c r="AL677" s="46"/>
      <c r="AM677" s="46"/>
      <c r="AN677" s="46"/>
      <c r="AO677" s="46"/>
      <c r="AP677" s="46"/>
      <c r="AQ677" s="46"/>
      <c r="AR677" s="46"/>
      <c r="AS677" s="46"/>
      <c r="AT677" s="46"/>
      <c r="AU677" s="46"/>
    </row>
    <row r="678">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c r="AG678" s="46"/>
      <c r="AH678" s="46"/>
      <c r="AI678" s="46"/>
      <c r="AJ678" s="46"/>
      <c r="AK678" s="46"/>
      <c r="AL678" s="46"/>
      <c r="AM678" s="46"/>
      <c r="AN678" s="46"/>
      <c r="AO678" s="46"/>
      <c r="AP678" s="46"/>
      <c r="AQ678" s="46"/>
      <c r="AR678" s="46"/>
      <c r="AS678" s="46"/>
      <c r="AT678" s="46"/>
      <c r="AU678" s="46"/>
    </row>
    <row r="679">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row>
    <row r="680">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c r="AG680" s="46"/>
      <c r="AH680" s="46"/>
      <c r="AI680" s="46"/>
      <c r="AJ680" s="46"/>
      <c r="AK680" s="46"/>
      <c r="AL680" s="46"/>
      <c r="AM680" s="46"/>
      <c r="AN680" s="46"/>
      <c r="AO680" s="46"/>
      <c r="AP680" s="46"/>
      <c r="AQ680" s="46"/>
      <c r="AR680" s="46"/>
      <c r="AS680" s="46"/>
      <c r="AT680" s="46"/>
      <c r="AU680" s="46"/>
    </row>
    <row r="68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c r="AG681" s="46"/>
      <c r="AH681" s="46"/>
      <c r="AI681" s="46"/>
      <c r="AJ681" s="46"/>
      <c r="AK681" s="46"/>
      <c r="AL681" s="46"/>
      <c r="AM681" s="46"/>
      <c r="AN681" s="46"/>
      <c r="AO681" s="46"/>
      <c r="AP681" s="46"/>
      <c r="AQ681" s="46"/>
      <c r="AR681" s="46"/>
      <c r="AS681" s="46"/>
      <c r="AT681" s="46"/>
      <c r="AU681" s="46"/>
    </row>
    <row r="68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c r="AG682" s="46"/>
      <c r="AH682" s="46"/>
      <c r="AI682" s="46"/>
      <c r="AJ682" s="46"/>
      <c r="AK682" s="46"/>
      <c r="AL682" s="46"/>
      <c r="AM682" s="46"/>
      <c r="AN682" s="46"/>
      <c r="AO682" s="46"/>
      <c r="AP682" s="46"/>
      <c r="AQ682" s="46"/>
      <c r="AR682" s="46"/>
      <c r="AS682" s="46"/>
      <c r="AT682" s="46"/>
      <c r="AU682" s="46"/>
    </row>
    <row r="683">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c r="AG683" s="46"/>
      <c r="AH683" s="46"/>
      <c r="AI683" s="46"/>
      <c r="AJ683" s="46"/>
      <c r="AK683" s="46"/>
      <c r="AL683" s="46"/>
      <c r="AM683" s="46"/>
      <c r="AN683" s="46"/>
      <c r="AO683" s="46"/>
      <c r="AP683" s="46"/>
      <c r="AQ683" s="46"/>
      <c r="AR683" s="46"/>
      <c r="AS683" s="46"/>
      <c r="AT683" s="46"/>
      <c r="AU683" s="46"/>
    </row>
    <row r="684">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c r="AG684" s="46"/>
      <c r="AH684" s="46"/>
      <c r="AI684" s="46"/>
      <c r="AJ684" s="46"/>
      <c r="AK684" s="46"/>
      <c r="AL684" s="46"/>
      <c r="AM684" s="46"/>
      <c r="AN684" s="46"/>
      <c r="AO684" s="46"/>
      <c r="AP684" s="46"/>
      <c r="AQ684" s="46"/>
      <c r="AR684" s="46"/>
      <c r="AS684" s="46"/>
      <c r="AT684" s="46"/>
      <c r="AU684" s="46"/>
    </row>
    <row r="685">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c r="AG685" s="46"/>
      <c r="AH685" s="46"/>
      <c r="AI685" s="46"/>
      <c r="AJ685" s="46"/>
      <c r="AK685" s="46"/>
      <c r="AL685" s="46"/>
      <c r="AM685" s="46"/>
      <c r="AN685" s="46"/>
      <c r="AO685" s="46"/>
      <c r="AP685" s="46"/>
      <c r="AQ685" s="46"/>
      <c r="AR685" s="46"/>
      <c r="AS685" s="46"/>
      <c r="AT685" s="46"/>
      <c r="AU685" s="46"/>
    </row>
    <row r="686">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c r="AG686" s="46"/>
      <c r="AH686" s="46"/>
      <c r="AI686" s="46"/>
      <c r="AJ686" s="46"/>
      <c r="AK686" s="46"/>
      <c r="AL686" s="46"/>
      <c r="AM686" s="46"/>
      <c r="AN686" s="46"/>
      <c r="AO686" s="46"/>
      <c r="AP686" s="46"/>
      <c r="AQ686" s="46"/>
      <c r="AR686" s="46"/>
      <c r="AS686" s="46"/>
      <c r="AT686" s="46"/>
      <c r="AU686" s="46"/>
    </row>
    <row r="687">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c r="AG687" s="46"/>
      <c r="AH687" s="46"/>
      <c r="AI687" s="46"/>
      <c r="AJ687" s="46"/>
      <c r="AK687" s="46"/>
      <c r="AL687" s="46"/>
      <c r="AM687" s="46"/>
      <c r="AN687" s="46"/>
      <c r="AO687" s="46"/>
      <c r="AP687" s="46"/>
      <c r="AQ687" s="46"/>
      <c r="AR687" s="46"/>
      <c r="AS687" s="46"/>
      <c r="AT687" s="46"/>
      <c r="AU687" s="46"/>
    </row>
    <row r="688">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c r="AM688" s="46"/>
      <c r="AN688" s="46"/>
      <c r="AO688" s="46"/>
      <c r="AP688" s="46"/>
      <c r="AQ688" s="46"/>
      <c r="AR688" s="46"/>
      <c r="AS688" s="46"/>
      <c r="AT688" s="46"/>
      <c r="AU688" s="46"/>
    </row>
    <row r="689">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c r="AG689" s="46"/>
      <c r="AH689" s="46"/>
      <c r="AI689" s="46"/>
      <c r="AJ689" s="46"/>
      <c r="AK689" s="46"/>
      <c r="AL689" s="46"/>
      <c r="AM689" s="46"/>
      <c r="AN689" s="46"/>
      <c r="AO689" s="46"/>
      <c r="AP689" s="46"/>
      <c r="AQ689" s="46"/>
      <c r="AR689" s="46"/>
      <c r="AS689" s="46"/>
      <c r="AT689" s="46"/>
      <c r="AU689" s="46"/>
    </row>
    <row r="690">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c r="AG690" s="46"/>
      <c r="AH690" s="46"/>
      <c r="AI690" s="46"/>
      <c r="AJ690" s="46"/>
      <c r="AK690" s="46"/>
      <c r="AL690" s="46"/>
      <c r="AM690" s="46"/>
      <c r="AN690" s="46"/>
      <c r="AO690" s="46"/>
      <c r="AP690" s="46"/>
      <c r="AQ690" s="46"/>
      <c r="AR690" s="46"/>
      <c r="AS690" s="46"/>
      <c r="AT690" s="46"/>
      <c r="AU690" s="46"/>
    </row>
    <row r="69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c r="AG691" s="46"/>
      <c r="AH691" s="46"/>
      <c r="AI691" s="46"/>
      <c r="AJ691" s="46"/>
      <c r="AK691" s="46"/>
      <c r="AL691" s="46"/>
      <c r="AM691" s="46"/>
      <c r="AN691" s="46"/>
      <c r="AO691" s="46"/>
      <c r="AP691" s="46"/>
      <c r="AQ691" s="46"/>
      <c r="AR691" s="46"/>
      <c r="AS691" s="46"/>
      <c r="AT691" s="46"/>
      <c r="AU691" s="46"/>
    </row>
    <row r="69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c r="AG692" s="46"/>
      <c r="AH692" s="46"/>
      <c r="AI692" s="46"/>
      <c r="AJ692" s="46"/>
      <c r="AK692" s="46"/>
      <c r="AL692" s="46"/>
      <c r="AM692" s="46"/>
      <c r="AN692" s="46"/>
      <c r="AO692" s="46"/>
      <c r="AP692" s="46"/>
      <c r="AQ692" s="46"/>
      <c r="AR692" s="46"/>
      <c r="AS692" s="46"/>
      <c r="AT692" s="46"/>
      <c r="AU692" s="46"/>
    </row>
    <row r="693">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c r="AG693" s="46"/>
      <c r="AH693" s="46"/>
      <c r="AI693" s="46"/>
      <c r="AJ693" s="46"/>
      <c r="AK693" s="46"/>
      <c r="AL693" s="46"/>
      <c r="AM693" s="46"/>
      <c r="AN693" s="46"/>
      <c r="AO693" s="46"/>
      <c r="AP693" s="46"/>
      <c r="AQ693" s="46"/>
      <c r="AR693" s="46"/>
      <c r="AS693" s="46"/>
      <c r="AT693" s="46"/>
      <c r="AU693" s="46"/>
    </row>
    <row r="694">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c r="AG694" s="46"/>
      <c r="AH694" s="46"/>
      <c r="AI694" s="46"/>
      <c r="AJ694" s="46"/>
      <c r="AK694" s="46"/>
      <c r="AL694" s="46"/>
      <c r="AM694" s="46"/>
      <c r="AN694" s="46"/>
      <c r="AO694" s="46"/>
      <c r="AP694" s="46"/>
      <c r="AQ694" s="46"/>
      <c r="AR694" s="46"/>
      <c r="AS694" s="46"/>
      <c r="AT694" s="46"/>
      <c r="AU694" s="46"/>
    </row>
    <row r="695">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c r="AG695" s="46"/>
      <c r="AH695" s="46"/>
      <c r="AI695" s="46"/>
      <c r="AJ695" s="46"/>
      <c r="AK695" s="46"/>
      <c r="AL695" s="46"/>
      <c r="AM695" s="46"/>
      <c r="AN695" s="46"/>
      <c r="AO695" s="46"/>
      <c r="AP695" s="46"/>
      <c r="AQ695" s="46"/>
      <c r="AR695" s="46"/>
      <c r="AS695" s="46"/>
      <c r="AT695" s="46"/>
      <c r="AU695" s="46"/>
    </row>
    <row r="696">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c r="AG696" s="46"/>
      <c r="AH696" s="46"/>
      <c r="AI696" s="46"/>
      <c r="AJ696" s="46"/>
      <c r="AK696" s="46"/>
      <c r="AL696" s="46"/>
      <c r="AM696" s="46"/>
      <c r="AN696" s="46"/>
      <c r="AO696" s="46"/>
      <c r="AP696" s="46"/>
      <c r="AQ696" s="46"/>
      <c r="AR696" s="46"/>
      <c r="AS696" s="46"/>
      <c r="AT696" s="46"/>
      <c r="AU696" s="46"/>
    </row>
    <row r="697">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row>
    <row r="698">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c r="AM698" s="46"/>
      <c r="AN698" s="46"/>
      <c r="AO698" s="46"/>
      <c r="AP698" s="46"/>
      <c r="AQ698" s="46"/>
      <c r="AR698" s="46"/>
      <c r="AS698" s="46"/>
      <c r="AT698" s="46"/>
      <c r="AU698" s="46"/>
    </row>
    <row r="699">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c r="AG699" s="46"/>
      <c r="AH699" s="46"/>
      <c r="AI699" s="46"/>
      <c r="AJ699" s="46"/>
      <c r="AK699" s="46"/>
      <c r="AL699" s="46"/>
      <c r="AM699" s="46"/>
      <c r="AN699" s="46"/>
      <c r="AO699" s="46"/>
      <c r="AP699" s="46"/>
      <c r="AQ699" s="46"/>
      <c r="AR699" s="46"/>
      <c r="AS699" s="46"/>
      <c r="AT699" s="46"/>
      <c r="AU699" s="46"/>
    </row>
    <row r="700">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c r="AG700" s="46"/>
      <c r="AH700" s="46"/>
      <c r="AI700" s="46"/>
      <c r="AJ700" s="46"/>
      <c r="AK700" s="46"/>
      <c r="AL700" s="46"/>
      <c r="AM700" s="46"/>
      <c r="AN700" s="46"/>
      <c r="AO700" s="46"/>
      <c r="AP700" s="46"/>
      <c r="AQ700" s="46"/>
      <c r="AR700" s="46"/>
      <c r="AS700" s="46"/>
      <c r="AT700" s="46"/>
      <c r="AU700" s="46"/>
    </row>
    <row r="70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c r="AM701" s="46"/>
      <c r="AN701" s="46"/>
      <c r="AO701" s="46"/>
      <c r="AP701" s="46"/>
      <c r="AQ701" s="46"/>
      <c r="AR701" s="46"/>
      <c r="AS701" s="46"/>
      <c r="AT701" s="46"/>
      <c r="AU701" s="46"/>
    </row>
    <row r="70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c r="AG702" s="46"/>
      <c r="AH702" s="46"/>
      <c r="AI702" s="46"/>
      <c r="AJ702" s="46"/>
      <c r="AK702" s="46"/>
      <c r="AL702" s="46"/>
      <c r="AM702" s="46"/>
      <c r="AN702" s="46"/>
      <c r="AO702" s="46"/>
      <c r="AP702" s="46"/>
      <c r="AQ702" s="46"/>
      <c r="AR702" s="46"/>
      <c r="AS702" s="46"/>
      <c r="AT702" s="46"/>
      <c r="AU702" s="46"/>
    </row>
    <row r="703">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c r="AG703" s="46"/>
      <c r="AH703" s="46"/>
      <c r="AI703" s="46"/>
      <c r="AJ703" s="46"/>
      <c r="AK703" s="46"/>
      <c r="AL703" s="46"/>
      <c r="AM703" s="46"/>
      <c r="AN703" s="46"/>
      <c r="AO703" s="46"/>
      <c r="AP703" s="46"/>
      <c r="AQ703" s="46"/>
      <c r="AR703" s="46"/>
      <c r="AS703" s="46"/>
      <c r="AT703" s="46"/>
      <c r="AU703" s="46"/>
    </row>
    <row r="704">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c r="AG704" s="46"/>
      <c r="AH704" s="46"/>
      <c r="AI704" s="46"/>
      <c r="AJ704" s="46"/>
      <c r="AK704" s="46"/>
      <c r="AL704" s="46"/>
      <c r="AM704" s="46"/>
      <c r="AN704" s="46"/>
      <c r="AO704" s="46"/>
      <c r="AP704" s="46"/>
      <c r="AQ704" s="46"/>
      <c r="AR704" s="46"/>
      <c r="AS704" s="46"/>
      <c r="AT704" s="46"/>
      <c r="AU704" s="46"/>
    </row>
    <row r="705">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c r="AG705" s="46"/>
      <c r="AH705" s="46"/>
      <c r="AI705" s="46"/>
      <c r="AJ705" s="46"/>
      <c r="AK705" s="46"/>
      <c r="AL705" s="46"/>
      <c r="AM705" s="46"/>
      <c r="AN705" s="46"/>
      <c r="AO705" s="46"/>
      <c r="AP705" s="46"/>
      <c r="AQ705" s="46"/>
      <c r="AR705" s="46"/>
      <c r="AS705" s="46"/>
      <c r="AT705" s="46"/>
      <c r="AU705" s="46"/>
    </row>
    <row r="706">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c r="AG706" s="46"/>
      <c r="AH706" s="46"/>
      <c r="AI706" s="46"/>
      <c r="AJ706" s="46"/>
      <c r="AK706" s="46"/>
      <c r="AL706" s="46"/>
      <c r="AM706" s="46"/>
      <c r="AN706" s="46"/>
      <c r="AO706" s="46"/>
      <c r="AP706" s="46"/>
      <c r="AQ706" s="46"/>
      <c r="AR706" s="46"/>
      <c r="AS706" s="46"/>
      <c r="AT706" s="46"/>
      <c r="AU706" s="46"/>
    </row>
    <row r="707">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c r="AG707" s="46"/>
      <c r="AH707" s="46"/>
      <c r="AI707" s="46"/>
      <c r="AJ707" s="46"/>
      <c r="AK707" s="46"/>
      <c r="AL707" s="46"/>
      <c r="AM707" s="46"/>
      <c r="AN707" s="46"/>
      <c r="AO707" s="46"/>
      <c r="AP707" s="46"/>
      <c r="AQ707" s="46"/>
      <c r="AR707" s="46"/>
      <c r="AS707" s="46"/>
      <c r="AT707" s="46"/>
      <c r="AU707" s="46"/>
    </row>
    <row r="708">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c r="AM708" s="46"/>
      <c r="AN708" s="46"/>
      <c r="AO708" s="46"/>
      <c r="AP708" s="46"/>
      <c r="AQ708" s="46"/>
      <c r="AR708" s="46"/>
      <c r="AS708" s="46"/>
      <c r="AT708" s="46"/>
      <c r="AU708" s="46"/>
    </row>
    <row r="709">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c r="AK709" s="46"/>
      <c r="AL709" s="46"/>
      <c r="AM709" s="46"/>
      <c r="AN709" s="46"/>
      <c r="AO709" s="46"/>
      <c r="AP709" s="46"/>
      <c r="AQ709" s="46"/>
      <c r="AR709" s="46"/>
      <c r="AS709" s="46"/>
      <c r="AT709" s="46"/>
      <c r="AU709" s="46"/>
    </row>
    <row r="710">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c r="AG710" s="46"/>
      <c r="AH710" s="46"/>
      <c r="AI710" s="46"/>
      <c r="AJ710" s="46"/>
      <c r="AK710" s="46"/>
      <c r="AL710" s="46"/>
      <c r="AM710" s="46"/>
      <c r="AN710" s="46"/>
      <c r="AO710" s="46"/>
      <c r="AP710" s="46"/>
      <c r="AQ710" s="46"/>
      <c r="AR710" s="46"/>
      <c r="AS710" s="46"/>
      <c r="AT710" s="46"/>
      <c r="AU710" s="46"/>
    </row>
    <row r="71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c r="AM711" s="46"/>
      <c r="AN711" s="46"/>
      <c r="AO711" s="46"/>
      <c r="AP711" s="46"/>
      <c r="AQ711" s="46"/>
      <c r="AR711" s="46"/>
      <c r="AS711" s="46"/>
      <c r="AT711" s="46"/>
      <c r="AU711" s="46"/>
    </row>
    <row r="71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c r="AM712" s="46"/>
      <c r="AN712" s="46"/>
      <c r="AO712" s="46"/>
      <c r="AP712" s="46"/>
      <c r="AQ712" s="46"/>
      <c r="AR712" s="46"/>
      <c r="AS712" s="46"/>
      <c r="AT712" s="46"/>
      <c r="AU712" s="46"/>
    </row>
    <row r="713">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c r="AM713" s="46"/>
      <c r="AN713" s="46"/>
      <c r="AO713" s="46"/>
      <c r="AP713" s="46"/>
      <c r="AQ713" s="46"/>
      <c r="AR713" s="46"/>
      <c r="AS713" s="46"/>
      <c r="AT713" s="46"/>
      <c r="AU713" s="46"/>
    </row>
    <row r="714">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c r="AG714" s="46"/>
      <c r="AH714" s="46"/>
      <c r="AI714" s="46"/>
      <c r="AJ714" s="46"/>
      <c r="AK714" s="46"/>
      <c r="AL714" s="46"/>
      <c r="AM714" s="46"/>
      <c r="AN714" s="46"/>
      <c r="AO714" s="46"/>
      <c r="AP714" s="46"/>
      <c r="AQ714" s="46"/>
      <c r="AR714" s="46"/>
      <c r="AS714" s="46"/>
      <c r="AT714" s="46"/>
      <c r="AU714" s="46"/>
    </row>
    <row r="715">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c r="AG715" s="46"/>
      <c r="AH715" s="46"/>
      <c r="AI715" s="46"/>
      <c r="AJ715" s="46"/>
      <c r="AK715" s="46"/>
      <c r="AL715" s="46"/>
      <c r="AM715" s="46"/>
      <c r="AN715" s="46"/>
      <c r="AO715" s="46"/>
      <c r="AP715" s="46"/>
      <c r="AQ715" s="46"/>
      <c r="AR715" s="46"/>
      <c r="AS715" s="46"/>
      <c r="AT715" s="46"/>
      <c r="AU715" s="46"/>
    </row>
    <row r="716">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c r="AG716" s="46"/>
      <c r="AH716" s="46"/>
      <c r="AI716" s="46"/>
      <c r="AJ716" s="46"/>
      <c r="AK716" s="46"/>
      <c r="AL716" s="46"/>
      <c r="AM716" s="46"/>
      <c r="AN716" s="46"/>
      <c r="AO716" s="46"/>
      <c r="AP716" s="46"/>
      <c r="AQ716" s="46"/>
      <c r="AR716" s="46"/>
      <c r="AS716" s="46"/>
      <c r="AT716" s="46"/>
      <c r="AU716" s="46"/>
    </row>
    <row r="717">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c r="AM717" s="46"/>
      <c r="AN717" s="46"/>
      <c r="AO717" s="46"/>
      <c r="AP717" s="46"/>
      <c r="AQ717" s="46"/>
      <c r="AR717" s="46"/>
      <c r="AS717" s="46"/>
      <c r="AT717" s="46"/>
      <c r="AU717" s="46"/>
    </row>
    <row r="718">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c r="AG718" s="46"/>
      <c r="AH718" s="46"/>
      <c r="AI718" s="46"/>
      <c r="AJ718" s="46"/>
      <c r="AK718" s="46"/>
      <c r="AL718" s="46"/>
      <c r="AM718" s="46"/>
      <c r="AN718" s="46"/>
      <c r="AO718" s="46"/>
      <c r="AP718" s="46"/>
      <c r="AQ718" s="46"/>
      <c r="AR718" s="46"/>
      <c r="AS718" s="46"/>
      <c r="AT718" s="46"/>
      <c r="AU718" s="46"/>
    </row>
    <row r="719">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c r="AK719" s="46"/>
      <c r="AL719" s="46"/>
      <c r="AM719" s="46"/>
      <c r="AN719" s="46"/>
      <c r="AO719" s="46"/>
      <c r="AP719" s="46"/>
      <c r="AQ719" s="46"/>
      <c r="AR719" s="46"/>
      <c r="AS719" s="46"/>
      <c r="AT719" s="46"/>
      <c r="AU719" s="46"/>
    </row>
    <row r="720">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c r="AM720" s="46"/>
      <c r="AN720" s="46"/>
      <c r="AO720" s="46"/>
      <c r="AP720" s="46"/>
      <c r="AQ720" s="46"/>
      <c r="AR720" s="46"/>
      <c r="AS720" s="46"/>
      <c r="AT720" s="46"/>
      <c r="AU720" s="46"/>
    </row>
    <row r="72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c r="AM721" s="46"/>
      <c r="AN721" s="46"/>
      <c r="AO721" s="46"/>
      <c r="AP721" s="46"/>
      <c r="AQ721" s="46"/>
      <c r="AR721" s="46"/>
      <c r="AS721" s="46"/>
      <c r="AT721" s="46"/>
      <c r="AU721" s="46"/>
    </row>
    <row r="72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c r="AM722" s="46"/>
      <c r="AN722" s="46"/>
      <c r="AO722" s="46"/>
      <c r="AP722" s="46"/>
      <c r="AQ722" s="46"/>
      <c r="AR722" s="46"/>
      <c r="AS722" s="46"/>
      <c r="AT722" s="46"/>
      <c r="AU722" s="46"/>
    </row>
    <row r="723">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c r="AG723" s="46"/>
      <c r="AH723" s="46"/>
      <c r="AI723" s="46"/>
      <c r="AJ723" s="46"/>
      <c r="AK723" s="46"/>
      <c r="AL723" s="46"/>
      <c r="AM723" s="46"/>
      <c r="AN723" s="46"/>
      <c r="AO723" s="46"/>
      <c r="AP723" s="46"/>
      <c r="AQ723" s="46"/>
      <c r="AR723" s="46"/>
      <c r="AS723" s="46"/>
      <c r="AT723" s="46"/>
      <c r="AU723" s="46"/>
    </row>
    <row r="724">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c r="AG724" s="46"/>
      <c r="AH724" s="46"/>
      <c r="AI724" s="46"/>
      <c r="AJ724" s="46"/>
      <c r="AK724" s="46"/>
      <c r="AL724" s="46"/>
      <c r="AM724" s="46"/>
      <c r="AN724" s="46"/>
      <c r="AO724" s="46"/>
      <c r="AP724" s="46"/>
      <c r="AQ724" s="46"/>
      <c r="AR724" s="46"/>
      <c r="AS724" s="46"/>
      <c r="AT724" s="46"/>
      <c r="AU724" s="46"/>
    </row>
    <row r="725">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c r="AH725" s="46"/>
      <c r="AI725" s="46"/>
      <c r="AJ725" s="46"/>
      <c r="AK725" s="46"/>
      <c r="AL725" s="46"/>
      <c r="AM725" s="46"/>
      <c r="AN725" s="46"/>
      <c r="AO725" s="46"/>
      <c r="AP725" s="46"/>
      <c r="AQ725" s="46"/>
      <c r="AR725" s="46"/>
      <c r="AS725" s="46"/>
      <c r="AT725" s="46"/>
      <c r="AU725" s="46"/>
    </row>
    <row r="726">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c r="AG726" s="46"/>
      <c r="AH726" s="46"/>
      <c r="AI726" s="46"/>
      <c r="AJ726" s="46"/>
      <c r="AK726" s="46"/>
      <c r="AL726" s="46"/>
      <c r="AM726" s="46"/>
      <c r="AN726" s="46"/>
      <c r="AO726" s="46"/>
      <c r="AP726" s="46"/>
      <c r="AQ726" s="46"/>
      <c r="AR726" s="46"/>
      <c r="AS726" s="46"/>
      <c r="AT726" s="46"/>
      <c r="AU726" s="46"/>
    </row>
    <row r="727">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c r="AG727" s="46"/>
      <c r="AH727" s="46"/>
      <c r="AI727" s="46"/>
      <c r="AJ727" s="46"/>
      <c r="AK727" s="46"/>
      <c r="AL727" s="46"/>
      <c r="AM727" s="46"/>
      <c r="AN727" s="46"/>
      <c r="AO727" s="46"/>
      <c r="AP727" s="46"/>
      <c r="AQ727" s="46"/>
      <c r="AR727" s="46"/>
      <c r="AS727" s="46"/>
      <c r="AT727" s="46"/>
      <c r="AU727" s="46"/>
    </row>
    <row r="728">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c r="AG728" s="46"/>
      <c r="AH728" s="46"/>
      <c r="AI728" s="46"/>
      <c r="AJ728" s="46"/>
      <c r="AK728" s="46"/>
      <c r="AL728" s="46"/>
      <c r="AM728" s="46"/>
      <c r="AN728" s="46"/>
      <c r="AO728" s="46"/>
      <c r="AP728" s="46"/>
      <c r="AQ728" s="46"/>
      <c r="AR728" s="46"/>
      <c r="AS728" s="46"/>
      <c r="AT728" s="46"/>
      <c r="AU728" s="46"/>
    </row>
    <row r="729">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c r="AG729" s="46"/>
      <c r="AH729" s="46"/>
      <c r="AI729" s="46"/>
      <c r="AJ729" s="46"/>
      <c r="AK729" s="46"/>
      <c r="AL729" s="46"/>
      <c r="AM729" s="46"/>
      <c r="AN729" s="46"/>
      <c r="AO729" s="46"/>
      <c r="AP729" s="46"/>
      <c r="AQ729" s="46"/>
      <c r="AR729" s="46"/>
      <c r="AS729" s="46"/>
      <c r="AT729" s="46"/>
      <c r="AU729" s="46"/>
    </row>
    <row r="730">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c r="AG730" s="46"/>
      <c r="AH730" s="46"/>
      <c r="AI730" s="46"/>
      <c r="AJ730" s="46"/>
      <c r="AK730" s="46"/>
      <c r="AL730" s="46"/>
      <c r="AM730" s="46"/>
      <c r="AN730" s="46"/>
      <c r="AO730" s="46"/>
      <c r="AP730" s="46"/>
      <c r="AQ730" s="46"/>
      <c r="AR730" s="46"/>
      <c r="AS730" s="46"/>
      <c r="AT730" s="46"/>
      <c r="AU730" s="46"/>
    </row>
    <row r="73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c r="AG731" s="46"/>
      <c r="AH731" s="46"/>
      <c r="AI731" s="46"/>
      <c r="AJ731" s="46"/>
      <c r="AK731" s="46"/>
      <c r="AL731" s="46"/>
      <c r="AM731" s="46"/>
      <c r="AN731" s="46"/>
      <c r="AO731" s="46"/>
      <c r="AP731" s="46"/>
      <c r="AQ731" s="46"/>
      <c r="AR731" s="46"/>
      <c r="AS731" s="46"/>
      <c r="AT731" s="46"/>
      <c r="AU731" s="46"/>
    </row>
    <row r="73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c r="AG732" s="46"/>
      <c r="AH732" s="46"/>
      <c r="AI732" s="46"/>
      <c r="AJ732" s="46"/>
      <c r="AK732" s="46"/>
      <c r="AL732" s="46"/>
      <c r="AM732" s="46"/>
      <c r="AN732" s="46"/>
      <c r="AO732" s="46"/>
      <c r="AP732" s="46"/>
      <c r="AQ732" s="46"/>
      <c r="AR732" s="46"/>
      <c r="AS732" s="46"/>
      <c r="AT732" s="46"/>
      <c r="AU732" s="46"/>
    </row>
    <row r="733">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c r="AG733" s="46"/>
      <c r="AH733" s="46"/>
      <c r="AI733" s="46"/>
      <c r="AJ733" s="46"/>
      <c r="AK733" s="46"/>
      <c r="AL733" s="46"/>
      <c r="AM733" s="46"/>
      <c r="AN733" s="46"/>
      <c r="AO733" s="46"/>
      <c r="AP733" s="46"/>
      <c r="AQ733" s="46"/>
      <c r="AR733" s="46"/>
      <c r="AS733" s="46"/>
      <c r="AT733" s="46"/>
      <c r="AU733" s="46"/>
    </row>
    <row r="734">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c r="AG734" s="46"/>
      <c r="AH734" s="46"/>
      <c r="AI734" s="46"/>
      <c r="AJ734" s="46"/>
      <c r="AK734" s="46"/>
      <c r="AL734" s="46"/>
      <c r="AM734" s="46"/>
      <c r="AN734" s="46"/>
      <c r="AO734" s="46"/>
      <c r="AP734" s="46"/>
      <c r="AQ734" s="46"/>
      <c r="AR734" s="46"/>
      <c r="AS734" s="46"/>
      <c r="AT734" s="46"/>
      <c r="AU734" s="46"/>
    </row>
    <row r="735">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c r="AG735" s="46"/>
      <c r="AH735" s="46"/>
      <c r="AI735" s="46"/>
      <c r="AJ735" s="46"/>
      <c r="AK735" s="46"/>
      <c r="AL735" s="46"/>
      <c r="AM735" s="46"/>
      <c r="AN735" s="46"/>
      <c r="AO735" s="46"/>
      <c r="AP735" s="46"/>
      <c r="AQ735" s="46"/>
      <c r="AR735" s="46"/>
      <c r="AS735" s="46"/>
      <c r="AT735" s="46"/>
      <c r="AU735" s="46"/>
    </row>
    <row r="736">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c r="AG736" s="46"/>
      <c r="AH736" s="46"/>
      <c r="AI736" s="46"/>
      <c r="AJ736" s="46"/>
      <c r="AK736" s="46"/>
      <c r="AL736" s="46"/>
      <c r="AM736" s="46"/>
      <c r="AN736" s="46"/>
      <c r="AO736" s="46"/>
      <c r="AP736" s="46"/>
      <c r="AQ736" s="46"/>
      <c r="AR736" s="46"/>
      <c r="AS736" s="46"/>
      <c r="AT736" s="46"/>
      <c r="AU736" s="46"/>
    </row>
    <row r="737">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c r="AG737" s="46"/>
      <c r="AH737" s="46"/>
      <c r="AI737" s="46"/>
      <c r="AJ737" s="46"/>
      <c r="AK737" s="46"/>
      <c r="AL737" s="46"/>
      <c r="AM737" s="46"/>
      <c r="AN737" s="46"/>
      <c r="AO737" s="46"/>
      <c r="AP737" s="46"/>
      <c r="AQ737" s="46"/>
      <c r="AR737" s="46"/>
      <c r="AS737" s="46"/>
      <c r="AT737" s="46"/>
      <c r="AU737" s="46"/>
    </row>
    <row r="738">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c r="AG738" s="46"/>
      <c r="AH738" s="46"/>
      <c r="AI738" s="46"/>
      <c r="AJ738" s="46"/>
      <c r="AK738" s="46"/>
      <c r="AL738" s="46"/>
      <c r="AM738" s="46"/>
      <c r="AN738" s="46"/>
      <c r="AO738" s="46"/>
      <c r="AP738" s="46"/>
      <c r="AQ738" s="46"/>
      <c r="AR738" s="46"/>
      <c r="AS738" s="46"/>
      <c r="AT738" s="46"/>
      <c r="AU738" s="46"/>
    </row>
    <row r="739">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c r="AG739" s="46"/>
      <c r="AH739" s="46"/>
      <c r="AI739" s="46"/>
      <c r="AJ739" s="46"/>
      <c r="AK739" s="46"/>
      <c r="AL739" s="46"/>
      <c r="AM739" s="46"/>
      <c r="AN739" s="46"/>
      <c r="AO739" s="46"/>
      <c r="AP739" s="46"/>
      <c r="AQ739" s="46"/>
      <c r="AR739" s="46"/>
      <c r="AS739" s="46"/>
      <c r="AT739" s="46"/>
      <c r="AU739" s="46"/>
    </row>
    <row r="740">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c r="AG740" s="46"/>
      <c r="AH740" s="46"/>
      <c r="AI740" s="46"/>
      <c r="AJ740" s="46"/>
      <c r="AK740" s="46"/>
      <c r="AL740" s="46"/>
      <c r="AM740" s="46"/>
      <c r="AN740" s="46"/>
      <c r="AO740" s="46"/>
      <c r="AP740" s="46"/>
      <c r="AQ740" s="46"/>
      <c r="AR740" s="46"/>
      <c r="AS740" s="46"/>
      <c r="AT740" s="46"/>
      <c r="AU740" s="46"/>
    </row>
    <row r="74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c r="AG741" s="46"/>
      <c r="AH741" s="46"/>
      <c r="AI741" s="46"/>
      <c r="AJ741" s="46"/>
      <c r="AK741" s="46"/>
      <c r="AL741" s="46"/>
      <c r="AM741" s="46"/>
      <c r="AN741" s="46"/>
      <c r="AO741" s="46"/>
      <c r="AP741" s="46"/>
      <c r="AQ741" s="46"/>
      <c r="AR741" s="46"/>
      <c r="AS741" s="46"/>
      <c r="AT741" s="46"/>
      <c r="AU741" s="46"/>
    </row>
    <row r="74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c r="AG742" s="46"/>
      <c r="AH742" s="46"/>
      <c r="AI742" s="46"/>
      <c r="AJ742" s="46"/>
      <c r="AK742" s="46"/>
      <c r="AL742" s="46"/>
      <c r="AM742" s="46"/>
      <c r="AN742" s="46"/>
      <c r="AO742" s="46"/>
      <c r="AP742" s="46"/>
      <c r="AQ742" s="46"/>
      <c r="AR742" s="46"/>
      <c r="AS742" s="46"/>
      <c r="AT742" s="46"/>
      <c r="AU742" s="46"/>
    </row>
    <row r="743">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c r="AG743" s="46"/>
      <c r="AH743" s="46"/>
      <c r="AI743" s="46"/>
      <c r="AJ743" s="46"/>
      <c r="AK743" s="46"/>
      <c r="AL743" s="46"/>
      <c r="AM743" s="46"/>
      <c r="AN743" s="46"/>
      <c r="AO743" s="46"/>
      <c r="AP743" s="46"/>
      <c r="AQ743" s="46"/>
      <c r="AR743" s="46"/>
      <c r="AS743" s="46"/>
      <c r="AT743" s="46"/>
      <c r="AU743" s="46"/>
    </row>
    <row r="744">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c r="AM744" s="46"/>
      <c r="AN744" s="46"/>
      <c r="AO744" s="46"/>
      <c r="AP744" s="46"/>
      <c r="AQ744" s="46"/>
      <c r="AR744" s="46"/>
      <c r="AS744" s="46"/>
      <c r="AT744" s="46"/>
      <c r="AU744" s="46"/>
    </row>
    <row r="745">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c r="AG745" s="46"/>
      <c r="AH745" s="46"/>
      <c r="AI745" s="46"/>
      <c r="AJ745" s="46"/>
      <c r="AK745" s="46"/>
      <c r="AL745" s="46"/>
      <c r="AM745" s="46"/>
      <c r="AN745" s="46"/>
      <c r="AO745" s="46"/>
      <c r="AP745" s="46"/>
      <c r="AQ745" s="46"/>
      <c r="AR745" s="46"/>
      <c r="AS745" s="46"/>
      <c r="AT745" s="46"/>
      <c r="AU745" s="46"/>
    </row>
    <row r="746">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c r="AG746" s="46"/>
      <c r="AH746" s="46"/>
      <c r="AI746" s="46"/>
      <c r="AJ746" s="46"/>
      <c r="AK746" s="46"/>
      <c r="AL746" s="46"/>
      <c r="AM746" s="46"/>
      <c r="AN746" s="46"/>
      <c r="AO746" s="46"/>
      <c r="AP746" s="46"/>
      <c r="AQ746" s="46"/>
      <c r="AR746" s="46"/>
      <c r="AS746" s="46"/>
      <c r="AT746" s="46"/>
      <c r="AU746" s="46"/>
    </row>
    <row r="747">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c r="AG747" s="46"/>
      <c r="AH747" s="46"/>
      <c r="AI747" s="46"/>
      <c r="AJ747" s="46"/>
      <c r="AK747" s="46"/>
      <c r="AL747" s="46"/>
      <c r="AM747" s="46"/>
      <c r="AN747" s="46"/>
      <c r="AO747" s="46"/>
      <c r="AP747" s="46"/>
      <c r="AQ747" s="46"/>
      <c r="AR747" s="46"/>
      <c r="AS747" s="46"/>
      <c r="AT747" s="46"/>
      <c r="AU747" s="46"/>
    </row>
    <row r="748">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c r="AG748" s="46"/>
      <c r="AH748" s="46"/>
      <c r="AI748" s="46"/>
      <c r="AJ748" s="46"/>
      <c r="AK748" s="46"/>
      <c r="AL748" s="46"/>
      <c r="AM748" s="46"/>
      <c r="AN748" s="46"/>
      <c r="AO748" s="46"/>
      <c r="AP748" s="46"/>
      <c r="AQ748" s="46"/>
      <c r="AR748" s="46"/>
      <c r="AS748" s="46"/>
      <c r="AT748" s="46"/>
      <c r="AU748" s="46"/>
    </row>
    <row r="749">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c r="AG749" s="46"/>
      <c r="AH749" s="46"/>
      <c r="AI749" s="46"/>
      <c r="AJ749" s="46"/>
      <c r="AK749" s="46"/>
      <c r="AL749" s="46"/>
      <c r="AM749" s="46"/>
      <c r="AN749" s="46"/>
      <c r="AO749" s="46"/>
      <c r="AP749" s="46"/>
      <c r="AQ749" s="46"/>
      <c r="AR749" s="46"/>
      <c r="AS749" s="46"/>
      <c r="AT749" s="46"/>
      <c r="AU749" s="46"/>
    </row>
    <row r="750">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c r="AG750" s="46"/>
      <c r="AH750" s="46"/>
      <c r="AI750" s="46"/>
      <c r="AJ750" s="46"/>
      <c r="AK750" s="46"/>
      <c r="AL750" s="46"/>
      <c r="AM750" s="46"/>
      <c r="AN750" s="46"/>
      <c r="AO750" s="46"/>
      <c r="AP750" s="46"/>
      <c r="AQ750" s="46"/>
      <c r="AR750" s="46"/>
      <c r="AS750" s="46"/>
      <c r="AT750" s="46"/>
      <c r="AU750" s="46"/>
    </row>
    <row r="75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c r="AG751" s="46"/>
      <c r="AH751" s="46"/>
      <c r="AI751" s="46"/>
      <c r="AJ751" s="46"/>
      <c r="AK751" s="46"/>
      <c r="AL751" s="46"/>
      <c r="AM751" s="46"/>
      <c r="AN751" s="46"/>
      <c r="AO751" s="46"/>
      <c r="AP751" s="46"/>
      <c r="AQ751" s="46"/>
      <c r="AR751" s="46"/>
      <c r="AS751" s="46"/>
      <c r="AT751" s="46"/>
      <c r="AU751" s="46"/>
    </row>
    <row r="75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c r="AG752" s="46"/>
      <c r="AH752" s="46"/>
      <c r="AI752" s="46"/>
      <c r="AJ752" s="46"/>
      <c r="AK752" s="46"/>
      <c r="AL752" s="46"/>
      <c r="AM752" s="46"/>
      <c r="AN752" s="46"/>
      <c r="AO752" s="46"/>
      <c r="AP752" s="46"/>
      <c r="AQ752" s="46"/>
      <c r="AR752" s="46"/>
      <c r="AS752" s="46"/>
      <c r="AT752" s="46"/>
      <c r="AU752" s="46"/>
    </row>
    <row r="753">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c r="AG753" s="46"/>
      <c r="AH753" s="46"/>
      <c r="AI753" s="46"/>
      <c r="AJ753" s="46"/>
      <c r="AK753" s="46"/>
      <c r="AL753" s="46"/>
      <c r="AM753" s="46"/>
      <c r="AN753" s="46"/>
      <c r="AO753" s="46"/>
      <c r="AP753" s="46"/>
      <c r="AQ753" s="46"/>
      <c r="AR753" s="46"/>
      <c r="AS753" s="46"/>
      <c r="AT753" s="46"/>
      <c r="AU753" s="46"/>
    </row>
    <row r="754">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c r="AG754" s="46"/>
      <c r="AH754" s="46"/>
      <c r="AI754" s="46"/>
      <c r="AJ754" s="46"/>
      <c r="AK754" s="46"/>
      <c r="AL754" s="46"/>
      <c r="AM754" s="46"/>
      <c r="AN754" s="46"/>
      <c r="AO754" s="46"/>
      <c r="AP754" s="46"/>
      <c r="AQ754" s="46"/>
      <c r="AR754" s="46"/>
      <c r="AS754" s="46"/>
      <c r="AT754" s="46"/>
      <c r="AU754" s="46"/>
    </row>
    <row r="755">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c r="AG755" s="46"/>
      <c r="AH755" s="46"/>
      <c r="AI755" s="46"/>
      <c r="AJ755" s="46"/>
      <c r="AK755" s="46"/>
      <c r="AL755" s="46"/>
      <c r="AM755" s="46"/>
      <c r="AN755" s="46"/>
      <c r="AO755" s="46"/>
      <c r="AP755" s="46"/>
      <c r="AQ755" s="46"/>
      <c r="AR755" s="46"/>
      <c r="AS755" s="46"/>
      <c r="AT755" s="46"/>
      <c r="AU755" s="46"/>
    </row>
    <row r="756">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c r="AM756" s="46"/>
      <c r="AN756" s="46"/>
      <c r="AO756" s="46"/>
      <c r="AP756" s="46"/>
      <c r="AQ756" s="46"/>
      <c r="AR756" s="46"/>
      <c r="AS756" s="46"/>
      <c r="AT756" s="46"/>
      <c r="AU756" s="46"/>
    </row>
    <row r="757">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c r="AG757" s="46"/>
      <c r="AH757" s="46"/>
      <c r="AI757" s="46"/>
      <c r="AJ757" s="46"/>
      <c r="AK757" s="46"/>
      <c r="AL757" s="46"/>
      <c r="AM757" s="46"/>
      <c r="AN757" s="46"/>
      <c r="AO757" s="46"/>
      <c r="AP757" s="46"/>
      <c r="AQ757" s="46"/>
      <c r="AR757" s="46"/>
      <c r="AS757" s="46"/>
      <c r="AT757" s="46"/>
      <c r="AU757" s="46"/>
    </row>
    <row r="758">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c r="AM758" s="46"/>
      <c r="AN758" s="46"/>
      <c r="AO758" s="46"/>
      <c r="AP758" s="46"/>
      <c r="AQ758" s="46"/>
      <c r="AR758" s="46"/>
      <c r="AS758" s="46"/>
      <c r="AT758" s="46"/>
      <c r="AU758" s="46"/>
    </row>
    <row r="759">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c r="AG759" s="46"/>
      <c r="AH759" s="46"/>
      <c r="AI759" s="46"/>
      <c r="AJ759" s="46"/>
      <c r="AK759" s="46"/>
      <c r="AL759" s="46"/>
      <c r="AM759" s="46"/>
      <c r="AN759" s="46"/>
      <c r="AO759" s="46"/>
      <c r="AP759" s="46"/>
      <c r="AQ759" s="46"/>
      <c r="AR759" s="46"/>
      <c r="AS759" s="46"/>
      <c r="AT759" s="46"/>
      <c r="AU759" s="46"/>
    </row>
    <row r="760">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c r="AG760" s="46"/>
      <c r="AH760" s="46"/>
      <c r="AI760" s="46"/>
      <c r="AJ760" s="46"/>
      <c r="AK760" s="46"/>
      <c r="AL760" s="46"/>
      <c r="AM760" s="46"/>
      <c r="AN760" s="46"/>
      <c r="AO760" s="46"/>
      <c r="AP760" s="46"/>
      <c r="AQ760" s="46"/>
      <c r="AR760" s="46"/>
      <c r="AS760" s="46"/>
      <c r="AT760" s="46"/>
      <c r="AU760" s="46"/>
    </row>
    <row r="76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c r="AM761" s="46"/>
      <c r="AN761" s="46"/>
      <c r="AO761" s="46"/>
      <c r="AP761" s="46"/>
      <c r="AQ761" s="46"/>
      <c r="AR761" s="46"/>
      <c r="AS761" s="46"/>
      <c r="AT761" s="46"/>
      <c r="AU761" s="46"/>
    </row>
    <row r="76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c r="AG762" s="46"/>
      <c r="AH762" s="46"/>
      <c r="AI762" s="46"/>
      <c r="AJ762" s="46"/>
      <c r="AK762" s="46"/>
      <c r="AL762" s="46"/>
      <c r="AM762" s="46"/>
      <c r="AN762" s="46"/>
      <c r="AO762" s="46"/>
      <c r="AP762" s="46"/>
      <c r="AQ762" s="46"/>
      <c r="AR762" s="46"/>
      <c r="AS762" s="46"/>
      <c r="AT762" s="46"/>
      <c r="AU762" s="46"/>
    </row>
    <row r="763">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c r="AM763" s="46"/>
      <c r="AN763" s="46"/>
      <c r="AO763" s="46"/>
      <c r="AP763" s="46"/>
      <c r="AQ763" s="46"/>
      <c r="AR763" s="46"/>
      <c r="AS763" s="46"/>
      <c r="AT763" s="46"/>
      <c r="AU763" s="46"/>
    </row>
    <row r="764">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c r="AG764" s="46"/>
      <c r="AH764" s="46"/>
      <c r="AI764" s="46"/>
      <c r="AJ764" s="46"/>
      <c r="AK764" s="46"/>
      <c r="AL764" s="46"/>
      <c r="AM764" s="46"/>
      <c r="AN764" s="46"/>
      <c r="AO764" s="46"/>
      <c r="AP764" s="46"/>
      <c r="AQ764" s="46"/>
      <c r="AR764" s="46"/>
      <c r="AS764" s="46"/>
      <c r="AT764" s="46"/>
      <c r="AU764" s="46"/>
    </row>
    <row r="765">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c r="AG765" s="46"/>
      <c r="AH765" s="46"/>
      <c r="AI765" s="46"/>
      <c r="AJ765" s="46"/>
      <c r="AK765" s="46"/>
      <c r="AL765" s="46"/>
      <c r="AM765" s="46"/>
      <c r="AN765" s="46"/>
      <c r="AO765" s="46"/>
      <c r="AP765" s="46"/>
      <c r="AQ765" s="46"/>
      <c r="AR765" s="46"/>
      <c r="AS765" s="46"/>
      <c r="AT765" s="46"/>
      <c r="AU765" s="46"/>
    </row>
    <row r="766">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c r="AG766" s="46"/>
      <c r="AH766" s="46"/>
      <c r="AI766" s="46"/>
      <c r="AJ766" s="46"/>
      <c r="AK766" s="46"/>
      <c r="AL766" s="46"/>
      <c r="AM766" s="46"/>
      <c r="AN766" s="46"/>
      <c r="AO766" s="46"/>
      <c r="AP766" s="46"/>
      <c r="AQ766" s="46"/>
      <c r="AR766" s="46"/>
      <c r="AS766" s="46"/>
      <c r="AT766" s="46"/>
      <c r="AU766" s="46"/>
    </row>
    <row r="767">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c r="AM767" s="46"/>
      <c r="AN767" s="46"/>
      <c r="AO767" s="46"/>
      <c r="AP767" s="46"/>
      <c r="AQ767" s="46"/>
      <c r="AR767" s="46"/>
      <c r="AS767" s="46"/>
      <c r="AT767" s="46"/>
      <c r="AU767" s="46"/>
    </row>
    <row r="768">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c r="AG768" s="46"/>
      <c r="AH768" s="46"/>
      <c r="AI768" s="46"/>
      <c r="AJ768" s="46"/>
      <c r="AK768" s="46"/>
      <c r="AL768" s="46"/>
      <c r="AM768" s="46"/>
      <c r="AN768" s="46"/>
      <c r="AO768" s="46"/>
      <c r="AP768" s="46"/>
      <c r="AQ768" s="46"/>
      <c r="AR768" s="46"/>
      <c r="AS768" s="46"/>
      <c r="AT768" s="46"/>
      <c r="AU768" s="46"/>
    </row>
    <row r="769">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c r="AG769" s="46"/>
      <c r="AH769" s="46"/>
      <c r="AI769" s="46"/>
      <c r="AJ769" s="46"/>
      <c r="AK769" s="46"/>
      <c r="AL769" s="46"/>
      <c r="AM769" s="46"/>
      <c r="AN769" s="46"/>
      <c r="AO769" s="46"/>
      <c r="AP769" s="46"/>
      <c r="AQ769" s="46"/>
      <c r="AR769" s="46"/>
      <c r="AS769" s="46"/>
      <c r="AT769" s="46"/>
      <c r="AU769" s="46"/>
    </row>
    <row r="770">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c r="AG770" s="46"/>
      <c r="AH770" s="46"/>
      <c r="AI770" s="46"/>
      <c r="AJ770" s="46"/>
      <c r="AK770" s="46"/>
      <c r="AL770" s="46"/>
      <c r="AM770" s="46"/>
      <c r="AN770" s="46"/>
      <c r="AO770" s="46"/>
      <c r="AP770" s="46"/>
      <c r="AQ770" s="46"/>
      <c r="AR770" s="46"/>
      <c r="AS770" s="46"/>
      <c r="AT770" s="46"/>
      <c r="AU770" s="46"/>
    </row>
    <row r="77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c r="AG771" s="46"/>
      <c r="AH771" s="46"/>
      <c r="AI771" s="46"/>
      <c r="AJ771" s="46"/>
      <c r="AK771" s="46"/>
      <c r="AL771" s="46"/>
      <c r="AM771" s="46"/>
      <c r="AN771" s="46"/>
      <c r="AO771" s="46"/>
      <c r="AP771" s="46"/>
      <c r="AQ771" s="46"/>
      <c r="AR771" s="46"/>
      <c r="AS771" s="46"/>
      <c r="AT771" s="46"/>
      <c r="AU771" s="46"/>
    </row>
    <row r="77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c r="AG772" s="46"/>
      <c r="AH772" s="46"/>
      <c r="AI772" s="46"/>
      <c r="AJ772" s="46"/>
      <c r="AK772" s="46"/>
      <c r="AL772" s="46"/>
      <c r="AM772" s="46"/>
      <c r="AN772" s="46"/>
      <c r="AO772" s="46"/>
      <c r="AP772" s="46"/>
      <c r="AQ772" s="46"/>
      <c r="AR772" s="46"/>
      <c r="AS772" s="46"/>
      <c r="AT772" s="46"/>
      <c r="AU772" s="46"/>
    </row>
    <row r="773">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c r="AG773" s="46"/>
      <c r="AH773" s="46"/>
      <c r="AI773" s="46"/>
      <c r="AJ773" s="46"/>
      <c r="AK773" s="46"/>
      <c r="AL773" s="46"/>
      <c r="AM773" s="46"/>
      <c r="AN773" s="46"/>
      <c r="AO773" s="46"/>
      <c r="AP773" s="46"/>
      <c r="AQ773" s="46"/>
      <c r="AR773" s="46"/>
      <c r="AS773" s="46"/>
      <c r="AT773" s="46"/>
      <c r="AU773" s="46"/>
    </row>
    <row r="774">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c r="AM774" s="46"/>
      <c r="AN774" s="46"/>
      <c r="AO774" s="46"/>
      <c r="AP774" s="46"/>
      <c r="AQ774" s="46"/>
      <c r="AR774" s="46"/>
      <c r="AS774" s="46"/>
      <c r="AT774" s="46"/>
      <c r="AU774" s="46"/>
    </row>
    <row r="775">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c r="AG775" s="46"/>
      <c r="AH775" s="46"/>
      <c r="AI775" s="46"/>
      <c r="AJ775" s="46"/>
      <c r="AK775" s="46"/>
      <c r="AL775" s="46"/>
      <c r="AM775" s="46"/>
      <c r="AN775" s="46"/>
      <c r="AO775" s="46"/>
      <c r="AP775" s="46"/>
      <c r="AQ775" s="46"/>
      <c r="AR775" s="46"/>
      <c r="AS775" s="46"/>
      <c r="AT775" s="46"/>
      <c r="AU775" s="46"/>
    </row>
    <row r="776">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c r="AG776" s="46"/>
      <c r="AH776" s="46"/>
      <c r="AI776" s="46"/>
      <c r="AJ776" s="46"/>
      <c r="AK776" s="46"/>
      <c r="AL776" s="46"/>
      <c r="AM776" s="46"/>
      <c r="AN776" s="46"/>
      <c r="AO776" s="46"/>
      <c r="AP776" s="46"/>
      <c r="AQ776" s="46"/>
      <c r="AR776" s="46"/>
      <c r="AS776" s="46"/>
      <c r="AT776" s="46"/>
      <c r="AU776" s="46"/>
    </row>
    <row r="777">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c r="AG777" s="46"/>
      <c r="AH777" s="46"/>
      <c r="AI777" s="46"/>
      <c r="AJ777" s="46"/>
      <c r="AK777" s="46"/>
      <c r="AL777" s="46"/>
      <c r="AM777" s="46"/>
      <c r="AN777" s="46"/>
      <c r="AO777" s="46"/>
      <c r="AP777" s="46"/>
      <c r="AQ777" s="46"/>
      <c r="AR777" s="46"/>
      <c r="AS777" s="46"/>
      <c r="AT777" s="46"/>
      <c r="AU777" s="46"/>
    </row>
    <row r="778">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c r="AM778" s="46"/>
      <c r="AN778" s="46"/>
      <c r="AO778" s="46"/>
      <c r="AP778" s="46"/>
      <c r="AQ778" s="46"/>
      <c r="AR778" s="46"/>
      <c r="AS778" s="46"/>
      <c r="AT778" s="46"/>
      <c r="AU778" s="46"/>
    </row>
    <row r="779">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c r="AG779" s="46"/>
      <c r="AH779" s="46"/>
      <c r="AI779" s="46"/>
      <c r="AJ779" s="46"/>
      <c r="AK779" s="46"/>
      <c r="AL779" s="46"/>
      <c r="AM779" s="46"/>
      <c r="AN779" s="46"/>
      <c r="AO779" s="46"/>
      <c r="AP779" s="46"/>
      <c r="AQ779" s="46"/>
      <c r="AR779" s="46"/>
      <c r="AS779" s="46"/>
      <c r="AT779" s="46"/>
      <c r="AU779" s="46"/>
    </row>
    <row r="780">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c r="AG780" s="46"/>
      <c r="AH780" s="46"/>
      <c r="AI780" s="46"/>
      <c r="AJ780" s="46"/>
      <c r="AK780" s="46"/>
      <c r="AL780" s="46"/>
      <c r="AM780" s="46"/>
      <c r="AN780" s="46"/>
      <c r="AO780" s="46"/>
      <c r="AP780" s="46"/>
      <c r="AQ780" s="46"/>
      <c r="AR780" s="46"/>
      <c r="AS780" s="46"/>
      <c r="AT780" s="46"/>
      <c r="AU780" s="46"/>
    </row>
    <row r="78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c r="AG781" s="46"/>
      <c r="AH781" s="46"/>
      <c r="AI781" s="46"/>
      <c r="AJ781" s="46"/>
      <c r="AK781" s="46"/>
      <c r="AL781" s="46"/>
      <c r="AM781" s="46"/>
      <c r="AN781" s="46"/>
      <c r="AO781" s="46"/>
      <c r="AP781" s="46"/>
      <c r="AQ781" s="46"/>
      <c r="AR781" s="46"/>
      <c r="AS781" s="46"/>
      <c r="AT781" s="46"/>
      <c r="AU781" s="46"/>
    </row>
    <row r="78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c r="AG782" s="46"/>
      <c r="AH782" s="46"/>
      <c r="AI782" s="46"/>
      <c r="AJ782" s="46"/>
      <c r="AK782" s="46"/>
      <c r="AL782" s="46"/>
      <c r="AM782" s="46"/>
      <c r="AN782" s="46"/>
      <c r="AO782" s="46"/>
      <c r="AP782" s="46"/>
      <c r="AQ782" s="46"/>
      <c r="AR782" s="46"/>
      <c r="AS782" s="46"/>
      <c r="AT782" s="46"/>
      <c r="AU782" s="46"/>
    </row>
    <row r="783">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c r="AG783" s="46"/>
      <c r="AH783" s="46"/>
      <c r="AI783" s="46"/>
      <c r="AJ783" s="46"/>
      <c r="AK783" s="46"/>
      <c r="AL783" s="46"/>
      <c r="AM783" s="46"/>
      <c r="AN783" s="46"/>
      <c r="AO783" s="46"/>
      <c r="AP783" s="46"/>
      <c r="AQ783" s="46"/>
      <c r="AR783" s="46"/>
      <c r="AS783" s="46"/>
      <c r="AT783" s="46"/>
      <c r="AU783" s="46"/>
    </row>
    <row r="784">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c r="AG784" s="46"/>
      <c r="AH784" s="46"/>
      <c r="AI784" s="46"/>
      <c r="AJ784" s="46"/>
      <c r="AK784" s="46"/>
      <c r="AL784" s="46"/>
      <c r="AM784" s="46"/>
      <c r="AN784" s="46"/>
      <c r="AO784" s="46"/>
      <c r="AP784" s="46"/>
      <c r="AQ784" s="46"/>
      <c r="AR784" s="46"/>
      <c r="AS784" s="46"/>
      <c r="AT784" s="46"/>
      <c r="AU784" s="46"/>
    </row>
    <row r="785">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c r="AG785" s="46"/>
      <c r="AH785" s="46"/>
      <c r="AI785" s="46"/>
      <c r="AJ785" s="46"/>
      <c r="AK785" s="46"/>
      <c r="AL785" s="46"/>
      <c r="AM785" s="46"/>
      <c r="AN785" s="46"/>
      <c r="AO785" s="46"/>
      <c r="AP785" s="46"/>
      <c r="AQ785" s="46"/>
      <c r="AR785" s="46"/>
      <c r="AS785" s="46"/>
      <c r="AT785" s="46"/>
      <c r="AU785" s="46"/>
    </row>
    <row r="786">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c r="AG786" s="46"/>
      <c r="AH786" s="46"/>
      <c r="AI786" s="46"/>
      <c r="AJ786" s="46"/>
      <c r="AK786" s="46"/>
      <c r="AL786" s="46"/>
      <c r="AM786" s="46"/>
      <c r="AN786" s="46"/>
      <c r="AO786" s="46"/>
      <c r="AP786" s="46"/>
      <c r="AQ786" s="46"/>
      <c r="AR786" s="46"/>
      <c r="AS786" s="46"/>
      <c r="AT786" s="46"/>
      <c r="AU786" s="46"/>
    </row>
    <row r="787">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c r="AG787" s="46"/>
      <c r="AH787" s="46"/>
      <c r="AI787" s="46"/>
      <c r="AJ787" s="46"/>
      <c r="AK787" s="46"/>
      <c r="AL787" s="46"/>
      <c r="AM787" s="46"/>
      <c r="AN787" s="46"/>
      <c r="AO787" s="46"/>
      <c r="AP787" s="46"/>
      <c r="AQ787" s="46"/>
      <c r="AR787" s="46"/>
      <c r="AS787" s="46"/>
      <c r="AT787" s="46"/>
      <c r="AU787" s="46"/>
    </row>
    <row r="788">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c r="AH788" s="46"/>
      <c r="AI788" s="46"/>
      <c r="AJ788" s="46"/>
      <c r="AK788" s="46"/>
      <c r="AL788" s="46"/>
      <c r="AM788" s="46"/>
      <c r="AN788" s="46"/>
      <c r="AO788" s="46"/>
      <c r="AP788" s="46"/>
      <c r="AQ788" s="46"/>
      <c r="AR788" s="46"/>
      <c r="AS788" s="46"/>
      <c r="AT788" s="46"/>
      <c r="AU788" s="46"/>
    </row>
    <row r="789">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c r="AG789" s="46"/>
      <c r="AH789" s="46"/>
      <c r="AI789" s="46"/>
      <c r="AJ789" s="46"/>
      <c r="AK789" s="46"/>
      <c r="AL789" s="46"/>
      <c r="AM789" s="46"/>
      <c r="AN789" s="46"/>
      <c r="AO789" s="46"/>
      <c r="AP789" s="46"/>
      <c r="AQ789" s="46"/>
      <c r="AR789" s="46"/>
      <c r="AS789" s="46"/>
      <c r="AT789" s="46"/>
      <c r="AU789" s="46"/>
    </row>
    <row r="790">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c r="AG790" s="46"/>
      <c r="AH790" s="46"/>
      <c r="AI790" s="46"/>
      <c r="AJ790" s="46"/>
      <c r="AK790" s="46"/>
      <c r="AL790" s="46"/>
      <c r="AM790" s="46"/>
      <c r="AN790" s="46"/>
      <c r="AO790" s="46"/>
      <c r="AP790" s="46"/>
      <c r="AQ790" s="46"/>
      <c r="AR790" s="46"/>
      <c r="AS790" s="46"/>
      <c r="AT790" s="46"/>
      <c r="AU790" s="46"/>
    </row>
    <row r="79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c r="AG791" s="46"/>
      <c r="AH791" s="46"/>
      <c r="AI791" s="46"/>
      <c r="AJ791" s="46"/>
      <c r="AK791" s="46"/>
      <c r="AL791" s="46"/>
      <c r="AM791" s="46"/>
      <c r="AN791" s="46"/>
      <c r="AO791" s="46"/>
      <c r="AP791" s="46"/>
      <c r="AQ791" s="46"/>
      <c r="AR791" s="46"/>
      <c r="AS791" s="46"/>
      <c r="AT791" s="46"/>
      <c r="AU791" s="46"/>
    </row>
    <row r="79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c r="AG792" s="46"/>
      <c r="AH792" s="46"/>
      <c r="AI792" s="46"/>
      <c r="AJ792" s="46"/>
      <c r="AK792" s="46"/>
      <c r="AL792" s="46"/>
      <c r="AM792" s="46"/>
      <c r="AN792" s="46"/>
      <c r="AO792" s="46"/>
      <c r="AP792" s="46"/>
      <c r="AQ792" s="46"/>
      <c r="AR792" s="46"/>
      <c r="AS792" s="46"/>
      <c r="AT792" s="46"/>
      <c r="AU792" s="46"/>
    </row>
    <row r="793">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c r="AM793" s="46"/>
      <c r="AN793" s="46"/>
      <c r="AO793" s="46"/>
      <c r="AP793" s="46"/>
      <c r="AQ793" s="46"/>
      <c r="AR793" s="46"/>
      <c r="AS793" s="46"/>
      <c r="AT793" s="46"/>
      <c r="AU793" s="46"/>
    </row>
    <row r="794">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c r="AG794" s="46"/>
      <c r="AH794" s="46"/>
      <c r="AI794" s="46"/>
      <c r="AJ794" s="46"/>
      <c r="AK794" s="46"/>
      <c r="AL794" s="46"/>
      <c r="AM794" s="46"/>
      <c r="AN794" s="46"/>
      <c r="AO794" s="46"/>
      <c r="AP794" s="46"/>
      <c r="AQ794" s="46"/>
      <c r="AR794" s="46"/>
      <c r="AS794" s="46"/>
      <c r="AT794" s="46"/>
      <c r="AU794" s="46"/>
    </row>
    <row r="795">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c r="AG795" s="46"/>
      <c r="AH795" s="46"/>
      <c r="AI795" s="46"/>
      <c r="AJ795" s="46"/>
      <c r="AK795" s="46"/>
      <c r="AL795" s="46"/>
      <c r="AM795" s="46"/>
      <c r="AN795" s="46"/>
      <c r="AO795" s="46"/>
      <c r="AP795" s="46"/>
      <c r="AQ795" s="46"/>
      <c r="AR795" s="46"/>
      <c r="AS795" s="46"/>
      <c r="AT795" s="46"/>
      <c r="AU795" s="46"/>
    </row>
    <row r="796">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c r="AG796" s="46"/>
      <c r="AH796" s="46"/>
      <c r="AI796" s="46"/>
      <c r="AJ796" s="46"/>
      <c r="AK796" s="46"/>
      <c r="AL796" s="46"/>
      <c r="AM796" s="46"/>
      <c r="AN796" s="46"/>
      <c r="AO796" s="46"/>
      <c r="AP796" s="46"/>
      <c r="AQ796" s="46"/>
      <c r="AR796" s="46"/>
      <c r="AS796" s="46"/>
      <c r="AT796" s="46"/>
      <c r="AU796" s="46"/>
    </row>
    <row r="797">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c r="AM797" s="46"/>
      <c r="AN797" s="46"/>
      <c r="AO797" s="46"/>
      <c r="AP797" s="46"/>
      <c r="AQ797" s="46"/>
      <c r="AR797" s="46"/>
      <c r="AS797" s="46"/>
      <c r="AT797" s="46"/>
      <c r="AU797" s="46"/>
    </row>
    <row r="798">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c r="AG798" s="46"/>
      <c r="AH798" s="46"/>
      <c r="AI798" s="46"/>
      <c r="AJ798" s="46"/>
      <c r="AK798" s="46"/>
      <c r="AL798" s="46"/>
      <c r="AM798" s="46"/>
      <c r="AN798" s="46"/>
      <c r="AO798" s="46"/>
      <c r="AP798" s="46"/>
      <c r="AQ798" s="46"/>
      <c r="AR798" s="46"/>
      <c r="AS798" s="46"/>
      <c r="AT798" s="46"/>
      <c r="AU798" s="46"/>
    </row>
    <row r="799">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c r="AM799" s="46"/>
      <c r="AN799" s="46"/>
      <c r="AO799" s="46"/>
      <c r="AP799" s="46"/>
      <c r="AQ799" s="46"/>
      <c r="AR799" s="46"/>
      <c r="AS799" s="46"/>
      <c r="AT799" s="46"/>
      <c r="AU799" s="46"/>
    </row>
    <row r="800">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c r="AL800" s="46"/>
      <c r="AM800" s="46"/>
      <c r="AN800" s="46"/>
      <c r="AO800" s="46"/>
      <c r="AP800" s="46"/>
      <c r="AQ800" s="46"/>
      <c r="AR800" s="46"/>
      <c r="AS800" s="46"/>
      <c r="AT800" s="46"/>
      <c r="AU800" s="46"/>
    </row>
    <row r="80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c r="AG801" s="46"/>
      <c r="AH801" s="46"/>
      <c r="AI801" s="46"/>
      <c r="AJ801" s="46"/>
      <c r="AK801" s="46"/>
      <c r="AL801" s="46"/>
      <c r="AM801" s="46"/>
      <c r="AN801" s="46"/>
      <c r="AO801" s="46"/>
      <c r="AP801" s="46"/>
      <c r="AQ801" s="46"/>
      <c r="AR801" s="46"/>
      <c r="AS801" s="46"/>
      <c r="AT801" s="46"/>
      <c r="AU801" s="46"/>
    </row>
    <row r="80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c r="AL802" s="46"/>
      <c r="AM802" s="46"/>
      <c r="AN802" s="46"/>
      <c r="AO802" s="46"/>
      <c r="AP802" s="46"/>
      <c r="AQ802" s="46"/>
      <c r="AR802" s="46"/>
      <c r="AS802" s="46"/>
      <c r="AT802" s="46"/>
      <c r="AU802" s="46"/>
    </row>
    <row r="803">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c r="AG803" s="46"/>
      <c r="AH803" s="46"/>
      <c r="AI803" s="46"/>
      <c r="AJ803" s="46"/>
      <c r="AK803" s="46"/>
      <c r="AL803" s="46"/>
      <c r="AM803" s="46"/>
      <c r="AN803" s="46"/>
      <c r="AO803" s="46"/>
      <c r="AP803" s="46"/>
      <c r="AQ803" s="46"/>
      <c r="AR803" s="46"/>
      <c r="AS803" s="46"/>
      <c r="AT803" s="46"/>
      <c r="AU803" s="46"/>
    </row>
    <row r="804">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c r="AG804" s="46"/>
      <c r="AH804" s="46"/>
      <c r="AI804" s="46"/>
      <c r="AJ804" s="46"/>
      <c r="AK804" s="46"/>
      <c r="AL804" s="46"/>
      <c r="AM804" s="46"/>
      <c r="AN804" s="46"/>
      <c r="AO804" s="46"/>
      <c r="AP804" s="46"/>
      <c r="AQ804" s="46"/>
      <c r="AR804" s="46"/>
      <c r="AS804" s="46"/>
      <c r="AT804" s="46"/>
      <c r="AU804" s="46"/>
    </row>
    <row r="805">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c r="AG805" s="46"/>
      <c r="AH805" s="46"/>
      <c r="AI805" s="46"/>
      <c r="AJ805" s="46"/>
      <c r="AK805" s="46"/>
      <c r="AL805" s="46"/>
      <c r="AM805" s="46"/>
      <c r="AN805" s="46"/>
      <c r="AO805" s="46"/>
      <c r="AP805" s="46"/>
      <c r="AQ805" s="46"/>
      <c r="AR805" s="46"/>
      <c r="AS805" s="46"/>
      <c r="AT805" s="46"/>
      <c r="AU805" s="46"/>
    </row>
    <row r="806">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c r="AG806" s="46"/>
      <c r="AH806" s="46"/>
      <c r="AI806" s="46"/>
      <c r="AJ806" s="46"/>
      <c r="AK806" s="46"/>
      <c r="AL806" s="46"/>
      <c r="AM806" s="46"/>
      <c r="AN806" s="46"/>
      <c r="AO806" s="46"/>
      <c r="AP806" s="46"/>
      <c r="AQ806" s="46"/>
      <c r="AR806" s="46"/>
      <c r="AS806" s="46"/>
      <c r="AT806" s="46"/>
      <c r="AU806" s="46"/>
    </row>
    <row r="807">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c r="AG807" s="46"/>
      <c r="AH807" s="46"/>
      <c r="AI807" s="46"/>
      <c r="AJ807" s="46"/>
      <c r="AK807" s="46"/>
      <c r="AL807" s="46"/>
      <c r="AM807" s="46"/>
      <c r="AN807" s="46"/>
      <c r="AO807" s="46"/>
      <c r="AP807" s="46"/>
      <c r="AQ807" s="46"/>
      <c r="AR807" s="46"/>
      <c r="AS807" s="46"/>
      <c r="AT807" s="46"/>
      <c r="AU807" s="46"/>
    </row>
    <row r="808">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c r="AG808" s="46"/>
      <c r="AH808" s="46"/>
      <c r="AI808" s="46"/>
      <c r="AJ808" s="46"/>
      <c r="AK808" s="46"/>
      <c r="AL808" s="46"/>
      <c r="AM808" s="46"/>
      <c r="AN808" s="46"/>
      <c r="AO808" s="46"/>
      <c r="AP808" s="46"/>
      <c r="AQ808" s="46"/>
      <c r="AR808" s="46"/>
      <c r="AS808" s="46"/>
      <c r="AT808" s="46"/>
      <c r="AU808" s="46"/>
    </row>
    <row r="809">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c r="AG809" s="46"/>
      <c r="AH809" s="46"/>
      <c r="AI809" s="46"/>
      <c r="AJ809" s="46"/>
      <c r="AK809" s="46"/>
      <c r="AL809" s="46"/>
      <c r="AM809" s="46"/>
      <c r="AN809" s="46"/>
      <c r="AO809" s="46"/>
      <c r="AP809" s="46"/>
      <c r="AQ809" s="46"/>
      <c r="AR809" s="46"/>
      <c r="AS809" s="46"/>
      <c r="AT809" s="46"/>
      <c r="AU809" s="46"/>
    </row>
    <row r="810">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c r="AG810" s="46"/>
      <c r="AH810" s="46"/>
      <c r="AI810" s="46"/>
      <c r="AJ810" s="46"/>
      <c r="AK810" s="46"/>
      <c r="AL810" s="46"/>
      <c r="AM810" s="46"/>
      <c r="AN810" s="46"/>
      <c r="AO810" s="46"/>
      <c r="AP810" s="46"/>
      <c r="AQ810" s="46"/>
      <c r="AR810" s="46"/>
      <c r="AS810" s="46"/>
      <c r="AT810" s="46"/>
      <c r="AU810" s="46"/>
    </row>
    <row r="81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c r="AM811" s="46"/>
      <c r="AN811" s="46"/>
      <c r="AO811" s="46"/>
      <c r="AP811" s="46"/>
      <c r="AQ811" s="46"/>
      <c r="AR811" s="46"/>
      <c r="AS811" s="46"/>
      <c r="AT811" s="46"/>
      <c r="AU811" s="46"/>
    </row>
    <row r="81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c r="AG812" s="46"/>
      <c r="AH812" s="46"/>
      <c r="AI812" s="46"/>
      <c r="AJ812" s="46"/>
      <c r="AK812" s="46"/>
      <c r="AL812" s="46"/>
      <c r="AM812" s="46"/>
      <c r="AN812" s="46"/>
      <c r="AO812" s="46"/>
      <c r="AP812" s="46"/>
      <c r="AQ812" s="46"/>
      <c r="AR812" s="46"/>
      <c r="AS812" s="46"/>
      <c r="AT812" s="46"/>
      <c r="AU812" s="46"/>
    </row>
    <row r="813">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c r="AG813" s="46"/>
      <c r="AH813" s="46"/>
      <c r="AI813" s="46"/>
      <c r="AJ813" s="46"/>
      <c r="AK813" s="46"/>
      <c r="AL813" s="46"/>
      <c r="AM813" s="46"/>
      <c r="AN813" s="46"/>
      <c r="AO813" s="46"/>
      <c r="AP813" s="46"/>
      <c r="AQ813" s="46"/>
      <c r="AR813" s="46"/>
      <c r="AS813" s="46"/>
      <c r="AT813" s="46"/>
      <c r="AU813" s="46"/>
    </row>
    <row r="814">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c r="AG814" s="46"/>
      <c r="AH814" s="46"/>
      <c r="AI814" s="46"/>
      <c r="AJ814" s="46"/>
      <c r="AK814" s="46"/>
      <c r="AL814" s="46"/>
      <c r="AM814" s="46"/>
      <c r="AN814" s="46"/>
      <c r="AO814" s="46"/>
      <c r="AP814" s="46"/>
      <c r="AQ814" s="46"/>
      <c r="AR814" s="46"/>
      <c r="AS814" s="46"/>
      <c r="AT814" s="46"/>
      <c r="AU814" s="46"/>
    </row>
    <row r="815">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c r="AG815" s="46"/>
      <c r="AH815" s="46"/>
      <c r="AI815" s="46"/>
      <c r="AJ815" s="46"/>
      <c r="AK815" s="46"/>
      <c r="AL815" s="46"/>
      <c r="AM815" s="46"/>
      <c r="AN815" s="46"/>
      <c r="AO815" s="46"/>
      <c r="AP815" s="46"/>
      <c r="AQ815" s="46"/>
      <c r="AR815" s="46"/>
      <c r="AS815" s="46"/>
      <c r="AT815" s="46"/>
      <c r="AU815" s="46"/>
    </row>
    <row r="816">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c r="AG816" s="46"/>
      <c r="AH816" s="46"/>
      <c r="AI816" s="46"/>
      <c r="AJ816" s="46"/>
      <c r="AK816" s="46"/>
      <c r="AL816" s="46"/>
      <c r="AM816" s="46"/>
      <c r="AN816" s="46"/>
      <c r="AO816" s="46"/>
      <c r="AP816" s="46"/>
      <c r="AQ816" s="46"/>
      <c r="AR816" s="46"/>
      <c r="AS816" s="46"/>
      <c r="AT816" s="46"/>
      <c r="AU816" s="46"/>
    </row>
    <row r="817">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c r="AG817" s="46"/>
      <c r="AH817" s="46"/>
      <c r="AI817" s="46"/>
      <c r="AJ817" s="46"/>
      <c r="AK817" s="46"/>
      <c r="AL817" s="46"/>
      <c r="AM817" s="46"/>
      <c r="AN817" s="46"/>
      <c r="AO817" s="46"/>
      <c r="AP817" s="46"/>
      <c r="AQ817" s="46"/>
      <c r="AR817" s="46"/>
      <c r="AS817" s="46"/>
      <c r="AT817" s="46"/>
      <c r="AU817" s="46"/>
    </row>
    <row r="818">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c r="AG818" s="46"/>
      <c r="AH818" s="46"/>
      <c r="AI818" s="46"/>
      <c r="AJ818" s="46"/>
      <c r="AK818" s="46"/>
      <c r="AL818" s="46"/>
      <c r="AM818" s="46"/>
      <c r="AN818" s="46"/>
      <c r="AO818" s="46"/>
      <c r="AP818" s="46"/>
      <c r="AQ818" s="46"/>
      <c r="AR818" s="46"/>
      <c r="AS818" s="46"/>
      <c r="AT818" s="46"/>
      <c r="AU818" s="46"/>
    </row>
    <row r="819">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c r="AG819" s="46"/>
      <c r="AH819" s="46"/>
      <c r="AI819" s="46"/>
      <c r="AJ819" s="46"/>
      <c r="AK819" s="46"/>
      <c r="AL819" s="46"/>
      <c r="AM819" s="46"/>
      <c r="AN819" s="46"/>
      <c r="AO819" s="46"/>
      <c r="AP819" s="46"/>
      <c r="AQ819" s="46"/>
      <c r="AR819" s="46"/>
      <c r="AS819" s="46"/>
      <c r="AT819" s="46"/>
      <c r="AU819" s="46"/>
    </row>
    <row r="820">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c r="AG820" s="46"/>
      <c r="AH820" s="46"/>
      <c r="AI820" s="46"/>
      <c r="AJ820" s="46"/>
      <c r="AK820" s="46"/>
      <c r="AL820" s="46"/>
      <c r="AM820" s="46"/>
      <c r="AN820" s="46"/>
      <c r="AO820" s="46"/>
      <c r="AP820" s="46"/>
      <c r="AQ820" s="46"/>
      <c r="AR820" s="46"/>
      <c r="AS820" s="46"/>
      <c r="AT820" s="46"/>
      <c r="AU820" s="46"/>
    </row>
    <row r="82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c r="AG821" s="46"/>
      <c r="AH821" s="46"/>
      <c r="AI821" s="46"/>
      <c r="AJ821" s="46"/>
      <c r="AK821" s="46"/>
      <c r="AL821" s="46"/>
      <c r="AM821" s="46"/>
      <c r="AN821" s="46"/>
      <c r="AO821" s="46"/>
      <c r="AP821" s="46"/>
      <c r="AQ821" s="46"/>
      <c r="AR821" s="46"/>
      <c r="AS821" s="46"/>
      <c r="AT821" s="46"/>
      <c r="AU821" s="46"/>
    </row>
    <row r="82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c r="AG822" s="46"/>
      <c r="AH822" s="46"/>
      <c r="AI822" s="46"/>
      <c r="AJ822" s="46"/>
      <c r="AK822" s="46"/>
      <c r="AL822" s="46"/>
      <c r="AM822" s="46"/>
      <c r="AN822" s="46"/>
      <c r="AO822" s="46"/>
      <c r="AP822" s="46"/>
      <c r="AQ822" s="46"/>
      <c r="AR822" s="46"/>
      <c r="AS822" s="46"/>
      <c r="AT822" s="46"/>
      <c r="AU822" s="46"/>
    </row>
    <row r="823">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c r="AG823" s="46"/>
      <c r="AH823" s="46"/>
      <c r="AI823" s="46"/>
      <c r="AJ823" s="46"/>
      <c r="AK823" s="46"/>
      <c r="AL823" s="46"/>
      <c r="AM823" s="46"/>
      <c r="AN823" s="46"/>
      <c r="AO823" s="46"/>
      <c r="AP823" s="46"/>
      <c r="AQ823" s="46"/>
      <c r="AR823" s="46"/>
      <c r="AS823" s="46"/>
      <c r="AT823" s="46"/>
      <c r="AU823" s="46"/>
    </row>
    <row r="824">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c r="AG824" s="46"/>
      <c r="AH824" s="46"/>
      <c r="AI824" s="46"/>
      <c r="AJ824" s="46"/>
      <c r="AK824" s="46"/>
      <c r="AL824" s="46"/>
      <c r="AM824" s="46"/>
      <c r="AN824" s="46"/>
      <c r="AO824" s="46"/>
      <c r="AP824" s="46"/>
      <c r="AQ824" s="46"/>
      <c r="AR824" s="46"/>
      <c r="AS824" s="46"/>
      <c r="AT824" s="46"/>
      <c r="AU824" s="46"/>
    </row>
    <row r="825">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c r="AG825" s="46"/>
      <c r="AH825" s="46"/>
      <c r="AI825" s="46"/>
      <c r="AJ825" s="46"/>
      <c r="AK825" s="46"/>
      <c r="AL825" s="46"/>
      <c r="AM825" s="46"/>
      <c r="AN825" s="46"/>
      <c r="AO825" s="46"/>
      <c r="AP825" s="46"/>
      <c r="AQ825" s="46"/>
      <c r="AR825" s="46"/>
      <c r="AS825" s="46"/>
      <c r="AT825" s="46"/>
      <c r="AU825" s="46"/>
    </row>
    <row r="826">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c r="AG826" s="46"/>
      <c r="AH826" s="46"/>
      <c r="AI826" s="46"/>
      <c r="AJ826" s="46"/>
      <c r="AK826" s="46"/>
      <c r="AL826" s="46"/>
      <c r="AM826" s="46"/>
      <c r="AN826" s="46"/>
      <c r="AO826" s="46"/>
      <c r="AP826" s="46"/>
      <c r="AQ826" s="46"/>
      <c r="AR826" s="46"/>
      <c r="AS826" s="46"/>
      <c r="AT826" s="46"/>
      <c r="AU826" s="46"/>
    </row>
    <row r="827">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c r="AG827" s="46"/>
      <c r="AH827" s="46"/>
      <c r="AI827" s="46"/>
      <c r="AJ827" s="46"/>
      <c r="AK827" s="46"/>
      <c r="AL827" s="46"/>
      <c r="AM827" s="46"/>
      <c r="AN827" s="46"/>
      <c r="AO827" s="46"/>
      <c r="AP827" s="46"/>
      <c r="AQ827" s="46"/>
      <c r="AR827" s="46"/>
      <c r="AS827" s="46"/>
      <c r="AT827" s="46"/>
      <c r="AU827" s="46"/>
    </row>
    <row r="828">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c r="AG828" s="46"/>
      <c r="AH828" s="46"/>
      <c r="AI828" s="46"/>
      <c r="AJ828" s="46"/>
      <c r="AK828" s="46"/>
      <c r="AL828" s="46"/>
      <c r="AM828" s="46"/>
      <c r="AN828" s="46"/>
      <c r="AO828" s="46"/>
      <c r="AP828" s="46"/>
      <c r="AQ828" s="46"/>
      <c r="AR828" s="46"/>
      <c r="AS828" s="46"/>
      <c r="AT828" s="46"/>
      <c r="AU828" s="46"/>
    </row>
    <row r="829">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c r="AG829" s="46"/>
      <c r="AH829" s="46"/>
      <c r="AI829" s="46"/>
      <c r="AJ829" s="46"/>
      <c r="AK829" s="46"/>
      <c r="AL829" s="46"/>
      <c r="AM829" s="46"/>
      <c r="AN829" s="46"/>
      <c r="AO829" s="46"/>
      <c r="AP829" s="46"/>
      <c r="AQ829" s="46"/>
      <c r="AR829" s="46"/>
      <c r="AS829" s="46"/>
      <c r="AT829" s="46"/>
      <c r="AU829" s="46"/>
    </row>
    <row r="830">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c r="AG830" s="46"/>
      <c r="AH830" s="46"/>
      <c r="AI830" s="46"/>
      <c r="AJ830" s="46"/>
      <c r="AK830" s="46"/>
      <c r="AL830" s="46"/>
      <c r="AM830" s="46"/>
      <c r="AN830" s="46"/>
      <c r="AO830" s="46"/>
      <c r="AP830" s="46"/>
      <c r="AQ830" s="46"/>
      <c r="AR830" s="46"/>
      <c r="AS830" s="46"/>
      <c r="AT830" s="46"/>
      <c r="AU830" s="46"/>
    </row>
    <row r="83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c r="AM831" s="46"/>
      <c r="AN831" s="46"/>
      <c r="AO831" s="46"/>
      <c r="AP831" s="46"/>
      <c r="AQ831" s="46"/>
      <c r="AR831" s="46"/>
      <c r="AS831" s="46"/>
      <c r="AT831" s="46"/>
      <c r="AU831" s="46"/>
    </row>
    <row r="83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c r="AM832" s="46"/>
      <c r="AN832" s="46"/>
      <c r="AO832" s="46"/>
      <c r="AP832" s="46"/>
      <c r="AQ832" s="46"/>
      <c r="AR832" s="46"/>
      <c r="AS832" s="46"/>
      <c r="AT832" s="46"/>
      <c r="AU832" s="46"/>
    </row>
    <row r="833">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c r="AG833" s="46"/>
      <c r="AH833" s="46"/>
      <c r="AI833" s="46"/>
      <c r="AJ833" s="46"/>
      <c r="AK833" s="46"/>
      <c r="AL833" s="46"/>
      <c r="AM833" s="46"/>
      <c r="AN833" s="46"/>
      <c r="AO833" s="46"/>
      <c r="AP833" s="46"/>
      <c r="AQ833" s="46"/>
      <c r="AR833" s="46"/>
      <c r="AS833" s="46"/>
      <c r="AT833" s="46"/>
      <c r="AU833" s="46"/>
    </row>
    <row r="834">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c r="AM834" s="46"/>
      <c r="AN834" s="46"/>
      <c r="AO834" s="46"/>
      <c r="AP834" s="46"/>
      <c r="AQ834" s="46"/>
      <c r="AR834" s="46"/>
      <c r="AS834" s="46"/>
      <c r="AT834" s="46"/>
      <c r="AU834" s="46"/>
    </row>
    <row r="835">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c r="AM835" s="46"/>
      <c r="AN835" s="46"/>
      <c r="AO835" s="46"/>
      <c r="AP835" s="46"/>
      <c r="AQ835" s="46"/>
      <c r="AR835" s="46"/>
      <c r="AS835" s="46"/>
      <c r="AT835" s="46"/>
      <c r="AU835" s="46"/>
    </row>
    <row r="836">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c r="AG836" s="46"/>
      <c r="AH836" s="46"/>
      <c r="AI836" s="46"/>
      <c r="AJ836" s="46"/>
      <c r="AK836" s="46"/>
      <c r="AL836" s="46"/>
      <c r="AM836" s="46"/>
      <c r="AN836" s="46"/>
      <c r="AO836" s="46"/>
      <c r="AP836" s="46"/>
      <c r="AQ836" s="46"/>
      <c r="AR836" s="46"/>
      <c r="AS836" s="46"/>
      <c r="AT836" s="46"/>
      <c r="AU836" s="46"/>
    </row>
    <row r="837">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c r="AG837" s="46"/>
      <c r="AH837" s="46"/>
      <c r="AI837" s="46"/>
      <c r="AJ837" s="46"/>
      <c r="AK837" s="46"/>
      <c r="AL837" s="46"/>
      <c r="AM837" s="46"/>
      <c r="AN837" s="46"/>
      <c r="AO837" s="46"/>
      <c r="AP837" s="46"/>
      <c r="AQ837" s="46"/>
      <c r="AR837" s="46"/>
      <c r="AS837" s="46"/>
      <c r="AT837" s="46"/>
      <c r="AU837" s="46"/>
    </row>
    <row r="838">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c r="AM838" s="46"/>
      <c r="AN838" s="46"/>
      <c r="AO838" s="46"/>
      <c r="AP838" s="46"/>
      <c r="AQ838" s="46"/>
      <c r="AR838" s="46"/>
      <c r="AS838" s="46"/>
      <c r="AT838" s="46"/>
      <c r="AU838" s="46"/>
    </row>
    <row r="839">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c r="AG839" s="46"/>
      <c r="AH839" s="46"/>
      <c r="AI839" s="46"/>
      <c r="AJ839" s="46"/>
      <c r="AK839" s="46"/>
      <c r="AL839" s="46"/>
      <c r="AM839" s="46"/>
      <c r="AN839" s="46"/>
      <c r="AO839" s="46"/>
      <c r="AP839" s="46"/>
      <c r="AQ839" s="46"/>
      <c r="AR839" s="46"/>
      <c r="AS839" s="46"/>
      <c r="AT839" s="46"/>
      <c r="AU839" s="46"/>
    </row>
    <row r="840">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c r="AG840" s="46"/>
      <c r="AH840" s="46"/>
      <c r="AI840" s="46"/>
      <c r="AJ840" s="46"/>
      <c r="AK840" s="46"/>
      <c r="AL840" s="46"/>
      <c r="AM840" s="46"/>
      <c r="AN840" s="46"/>
      <c r="AO840" s="46"/>
      <c r="AP840" s="46"/>
      <c r="AQ840" s="46"/>
      <c r="AR840" s="46"/>
      <c r="AS840" s="46"/>
      <c r="AT840" s="46"/>
      <c r="AU840" s="46"/>
    </row>
    <row r="84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row>
    <row r="84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c r="AG842" s="46"/>
      <c r="AH842" s="46"/>
      <c r="AI842" s="46"/>
      <c r="AJ842" s="46"/>
      <c r="AK842" s="46"/>
      <c r="AL842" s="46"/>
      <c r="AM842" s="46"/>
      <c r="AN842" s="46"/>
      <c r="AO842" s="46"/>
      <c r="AP842" s="46"/>
      <c r="AQ842" s="46"/>
      <c r="AR842" s="46"/>
      <c r="AS842" s="46"/>
      <c r="AT842" s="46"/>
      <c r="AU842" s="46"/>
    </row>
    <row r="843">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c r="AG843" s="46"/>
      <c r="AH843" s="46"/>
      <c r="AI843" s="46"/>
      <c r="AJ843" s="46"/>
      <c r="AK843" s="46"/>
      <c r="AL843" s="46"/>
      <c r="AM843" s="46"/>
      <c r="AN843" s="46"/>
      <c r="AO843" s="46"/>
      <c r="AP843" s="46"/>
      <c r="AQ843" s="46"/>
      <c r="AR843" s="46"/>
      <c r="AS843" s="46"/>
      <c r="AT843" s="46"/>
      <c r="AU843" s="46"/>
    </row>
    <row r="844">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c r="AM844" s="46"/>
      <c r="AN844" s="46"/>
      <c r="AO844" s="46"/>
      <c r="AP844" s="46"/>
      <c r="AQ844" s="46"/>
      <c r="AR844" s="46"/>
      <c r="AS844" s="46"/>
      <c r="AT844" s="46"/>
      <c r="AU844" s="46"/>
    </row>
    <row r="845">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c r="AG845" s="46"/>
      <c r="AH845" s="46"/>
      <c r="AI845" s="46"/>
      <c r="AJ845" s="46"/>
      <c r="AK845" s="46"/>
      <c r="AL845" s="46"/>
      <c r="AM845" s="46"/>
      <c r="AN845" s="46"/>
      <c r="AO845" s="46"/>
      <c r="AP845" s="46"/>
      <c r="AQ845" s="46"/>
      <c r="AR845" s="46"/>
      <c r="AS845" s="46"/>
      <c r="AT845" s="46"/>
      <c r="AU845" s="46"/>
    </row>
    <row r="846">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c r="AL846" s="46"/>
      <c r="AM846" s="46"/>
      <c r="AN846" s="46"/>
      <c r="AO846" s="46"/>
      <c r="AP846" s="46"/>
      <c r="AQ846" s="46"/>
      <c r="AR846" s="46"/>
      <c r="AS846" s="46"/>
      <c r="AT846" s="46"/>
      <c r="AU846" s="46"/>
    </row>
    <row r="847">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c r="AG847" s="46"/>
      <c r="AH847" s="46"/>
      <c r="AI847" s="46"/>
      <c r="AJ847" s="46"/>
      <c r="AK847" s="46"/>
      <c r="AL847" s="46"/>
      <c r="AM847" s="46"/>
      <c r="AN847" s="46"/>
      <c r="AO847" s="46"/>
      <c r="AP847" s="46"/>
      <c r="AQ847" s="46"/>
      <c r="AR847" s="46"/>
      <c r="AS847" s="46"/>
      <c r="AT847" s="46"/>
      <c r="AU847" s="46"/>
    </row>
    <row r="848">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c r="AG848" s="46"/>
      <c r="AH848" s="46"/>
      <c r="AI848" s="46"/>
      <c r="AJ848" s="46"/>
      <c r="AK848" s="46"/>
      <c r="AL848" s="46"/>
      <c r="AM848" s="46"/>
      <c r="AN848" s="46"/>
      <c r="AO848" s="46"/>
      <c r="AP848" s="46"/>
      <c r="AQ848" s="46"/>
      <c r="AR848" s="46"/>
      <c r="AS848" s="46"/>
      <c r="AT848" s="46"/>
      <c r="AU848" s="46"/>
    </row>
    <row r="849">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c r="AG849" s="46"/>
      <c r="AH849" s="46"/>
      <c r="AI849" s="46"/>
      <c r="AJ849" s="46"/>
      <c r="AK849" s="46"/>
      <c r="AL849" s="46"/>
      <c r="AM849" s="46"/>
      <c r="AN849" s="46"/>
      <c r="AO849" s="46"/>
      <c r="AP849" s="46"/>
      <c r="AQ849" s="46"/>
      <c r="AR849" s="46"/>
      <c r="AS849" s="46"/>
      <c r="AT849" s="46"/>
      <c r="AU849" s="46"/>
    </row>
    <row r="850">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c r="AM850" s="46"/>
      <c r="AN850" s="46"/>
      <c r="AO850" s="46"/>
      <c r="AP850" s="46"/>
      <c r="AQ850" s="46"/>
      <c r="AR850" s="46"/>
      <c r="AS850" s="46"/>
      <c r="AT850" s="46"/>
      <c r="AU850" s="46"/>
    </row>
    <row r="85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c r="AH851" s="46"/>
      <c r="AI851" s="46"/>
      <c r="AJ851" s="46"/>
      <c r="AK851" s="46"/>
      <c r="AL851" s="46"/>
      <c r="AM851" s="46"/>
      <c r="AN851" s="46"/>
      <c r="AO851" s="46"/>
      <c r="AP851" s="46"/>
      <c r="AQ851" s="46"/>
      <c r="AR851" s="46"/>
      <c r="AS851" s="46"/>
      <c r="AT851" s="46"/>
      <c r="AU851" s="46"/>
    </row>
    <row r="85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c r="AG852" s="46"/>
      <c r="AH852" s="46"/>
      <c r="AI852" s="46"/>
      <c r="AJ852" s="46"/>
      <c r="AK852" s="46"/>
      <c r="AL852" s="46"/>
      <c r="AM852" s="46"/>
      <c r="AN852" s="46"/>
      <c r="AO852" s="46"/>
      <c r="AP852" s="46"/>
      <c r="AQ852" s="46"/>
      <c r="AR852" s="46"/>
      <c r="AS852" s="46"/>
      <c r="AT852" s="46"/>
      <c r="AU852" s="46"/>
    </row>
    <row r="853">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c r="AG853" s="46"/>
      <c r="AH853" s="46"/>
      <c r="AI853" s="46"/>
      <c r="AJ853" s="46"/>
      <c r="AK853" s="46"/>
      <c r="AL853" s="46"/>
      <c r="AM853" s="46"/>
      <c r="AN853" s="46"/>
      <c r="AO853" s="46"/>
      <c r="AP853" s="46"/>
      <c r="AQ853" s="46"/>
      <c r="AR853" s="46"/>
      <c r="AS853" s="46"/>
      <c r="AT853" s="46"/>
      <c r="AU853" s="46"/>
    </row>
    <row r="854">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c r="AM854" s="46"/>
      <c r="AN854" s="46"/>
      <c r="AO854" s="46"/>
      <c r="AP854" s="46"/>
      <c r="AQ854" s="46"/>
      <c r="AR854" s="46"/>
      <c r="AS854" s="46"/>
      <c r="AT854" s="46"/>
      <c r="AU854" s="46"/>
    </row>
    <row r="855">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c r="AG855" s="46"/>
      <c r="AH855" s="46"/>
      <c r="AI855" s="46"/>
      <c r="AJ855" s="46"/>
      <c r="AK855" s="46"/>
      <c r="AL855" s="46"/>
      <c r="AM855" s="46"/>
      <c r="AN855" s="46"/>
      <c r="AO855" s="46"/>
      <c r="AP855" s="46"/>
      <c r="AQ855" s="46"/>
      <c r="AR855" s="46"/>
      <c r="AS855" s="46"/>
      <c r="AT855" s="46"/>
      <c r="AU855" s="46"/>
    </row>
    <row r="856">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c r="AG856" s="46"/>
      <c r="AH856" s="46"/>
      <c r="AI856" s="46"/>
      <c r="AJ856" s="46"/>
      <c r="AK856" s="46"/>
      <c r="AL856" s="46"/>
      <c r="AM856" s="46"/>
      <c r="AN856" s="46"/>
      <c r="AO856" s="46"/>
      <c r="AP856" s="46"/>
      <c r="AQ856" s="46"/>
      <c r="AR856" s="46"/>
      <c r="AS856" s="46"/>
      <c r="AT856" s="46"/>
      <c r="AU856" s="46"/>
    </row>
    <row r="857">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c r="AG857" s="46"/>
      <c r="AH857" s="46"/>
      <c r="AI857" s="46"/>
      <c r="AJ857" s="46"/>
      <c r="AK857" s="46"/>
      <c r="AL857" s="46"/>
      <c r="AM857" s="46"/>
      <c r="AN857" s="46"/>
      <c r="AO857" s="46"/>
      <c r="AP857" s="46"/>
      <c r="AQ857" s="46"/>
      <c r="AR857" s="46"/>
      <c r="AS857" s="46"/>
      <c r="AT857" s="46"/>
      <c r="AU857" s="46"/>
    </row>
    <row r="858">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c r="AG858" s="46"/>
      <c r="AH858" s="46"/>
      <c r="AI858" s="46"/>
      <c r="AJ858" s="46"/>
      <c r="AK858" s="46"/>
      <c r="AL858" s="46"/>
      <c r="AM858" s="46"/>
      <c r="AN858" s="46"/>
      <c r="AO858" s="46"/>
      <c r="AP858" s="46"/>
      <c r="AQ858" s="46"/>
      <c r="AR858" s="46"/>
      <c r="AS858" s="46"/>
      <c r="AT858" s="46"/>
      <c r="AU858" s="46"/>
    </row>
    <row r="859">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c r="AG859" s="46"/>
      <c r="AH859" s="46"/>
      <c r="AI859" s="46"/>
      <c r="AJ859" s="46"/>
      <c r="AK859" s="46"/>
      <c r="AL859" s="46"/>
      <c r="AM859" s="46"/>
      <c r="AN859" s="46"/>
      <c r="AO859" s="46"/>
      <c r="AP859" s="46"/>
      <c r="AQ859" s="46"/>
      <c r="AR859" s="46"/>
      <c r="AS859" s="46"/>
      <c r="AT859" s="46"/>
      <c r="AU859" s="46"/>
    </row>
    <row r="860">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c r="AG860" s="46"/>
      <c r="AH860" s="46"/>
      <c r="AI860" s="46"/>
      <c r="AJ860" s="46"/>
      <c r="AK860" s="46"/>
      <c r="AL860" s="46"/>
      <c r="AM860" s="46"/>
      <c r="AN860" s="46"/>
      <c r="AO860" s="46"/>
      <c r="AP860" s="46"/>
      <c r="AQ860" s="46"/>
      <c r="AR860" s="46"/>
      <c r="AS860" s="46"/>
      <c r="AT860" s="46"/>
      <c r="AU860" s="46"/>
    </row>
    <row r="86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c r="AM861" s="46"/>
      <c r="AN861" s="46"/>
      <c r="AO861" s="46"/>
      <c r="AP861" s="46"/>
      <c r="AQ861" s="46"/>
      <c r="AR861" s="46"/>
      <c r="AS861" s="46"/>
      <c r="AT861" s="46"/>
      <c r="AU861" s="46"/>
    </row>
    <row r="86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c r="AM862" s="46"/>
      <c r="AN862" s="46"/>
      <c r="AO862" s="46"/>
      <c r="AP862" s="46"/>
      <c r="AQ862" s="46"/>
      <c r="AR862" s="46"/>
      <c r="AS862" s="46"/>
      <c r="AT862" s="46"/>
      <c r="AU862" s="46"/>
    </row>
    <row r="863">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c r="AM863" s="46"/>
      <c r="AN863" s="46"/>
      <c r="AO863" s="46"/>
      <c r="AP863" s="46"/>
      <c r="AQ863" s="46"/>
      <c r="AR863" s="46"/>
      <c r="AS863" s="46"/>
      <c r="AT863" s="46"/>
      <c r="AU863" s="46"/>
    </row>
    <row r="864">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c r="AG864" s="46"/>
      <c r="AH864" s="46"/>
      <c r="AI864" s="46"/>
      <c r="AJ864" s="46"/>
      <c r="AK864" s="46"/>
      <c r="AL864" s="46"/>
      <c r="AM864" s="46"/>
      <c r="AN864" s="46"/>
      <c r="AO864" s="46"/>
      <c r="AP864" s="46"/>
      <c r="AQ864" s="46"/>
      <c r="AR864" s="46"/>
      <c r="AS864" s="46"/>
      <c r="AT864" s="46"/>
      <c r="AU864" s="46"/>
    </row>
    <row r="865">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c r="AG865" s="46"/>
      <c r="AH865" s="46"/>
      <c r="AI865" s="46"/>
      <c r="AJ865" s="46"/>
      <c r="AK865" s="46"/>
      <c r="AL865" s="46"/>
      <c r="AM865" s="46"/>
      <c r="AN865" s="46"/>
      <c r="AO865" s="46"/>
      <c r="AP865" s="46"/>
      <c r="AQ865" s="46"/>
      <c r="AR865" s="46"/>
      <c r="AS865" s="46"/>
      <c r="AT865" s="46"/>
      <c r="AU865" s="46"/>
    </row>
    <row r="866">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c r="AG866" s="46"/>
      <c r="AH866" s="46"/>
      <c r="AI866" s="46"/>
      <c r="AJ866" s="46"/>
      <c r="AK866" s="46"/>
      <c r="AL866" s="46"/>
      <c r="AM866" s="46"/>
      <c r="AN866" s="46"/>
      <c r="AO866" s="46"/>
      <c r="AP866" s="46"/>
      <c r="AQ866" s="46"/>
      <c r="AR866" s="46"/>
      <c r="AS866" s="46"/>
      <c r="AT866" s="46"/>
      <c r="AU866" s="46"/>
    </row>
    <row r="867">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c r="AG867" s="46"/>
      <c r="AH867" s="46"/>
      <c r="AI867" s="46"/>
      <c r="AJ867" s="46"/>
      <c r="AK867" s="46"/>
      <c r="AL867" s="46"/>
      <c r="AM867" s="46"/>
      <c r="AN867" s="46"/>
      <c r="AO867" s="46"/>
      <c r="AP867" s="46"/>
      <c r="AQ867" s="46"/>
      <c r="AR867" s="46"/>
      <c r="AS867" s="46"/>
      <c r="AT867" s="46"/>
      <c r="AU867" s="46"/>
    </row>
    <row r="868">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c r="AG868" s="46"/>
      <c r="AH868" s="46"/>
      <c r="AI868" s="46"/>
      <c r="AJ868" s="46"/>
      <c r="AK868" s="46"/>
      <c r="AL868" s="46"/>
      <c r="AM868" s="46"/>
      <c r="AN868" s="46"/>
      <c r="AO868" s="46"/>
      <c r="AP868" s="46"/>
      <c r="AQ868" s="46"/>
      <c r="AR868" s="46"/>
      <c r="AS868" s="46"/>
      <c r="AT868" s="46"/>
      <c r="AU868" s="46"/>
    </row>
    <row r="869">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c r="AG869" s="46"/>
      <c r="AH869" s="46"/>
      <c r="AI869" s="46"/>
      <c r="AJ869" s="46"/>
      <c r="AK869" s="46"/>
      <c r="AL869" s="46"/>
      <c r="AM869" s="46"/>
      <c r="AN869" s="46"/>
      <c r="AO869" s="46"/>
      <c r="AP869" s="46"/>
      <c r="AQ869" s="46"/>
      <c r="AR869" s="46"/>
      <c r="AS869" s="46"/>
      <c r="AT869" s="46"/>
      <c r="AU869" s="46"/>
    </row>
    <row r="870">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c r="AG870" s="46"/>
      <c r="AH870" s="46"/>
      <c r="AI870" s="46"/>
      <c r="AJ870" s="46"/>
      <c r="AK870" s="46"/>
      <c r="AL870" s="46"/>
      <c r="AM870" s="46"/>
      <c r="AN870" s="46"/>
      <c r="AO870" s="46"/>
      <c r="AP870" s="46"/>
      <c r="AQ870" s="46"/>
      <c r="AR870" s="46"/>
      <c r="AS870" s="46"/>
      <c r="AT870" s="46"/>
      <c r="AU870" s="46"/>
    </row>
    <row r="87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c r="AG871" s="46"/>
      <c r="AH871" s="46"/>
      <c r="AI871" s="46"/>
      <c r="AJ871" s="46"/>
      <c r="AK871" s="46"/>
      <c r="AL871" s="46"/>
      <c r="AM871" s="46"/>
      <c r="AN871" s="46"/>
      <c r="AO871" s="46"/>
      <c r="AP871" s="46"/>
      <c r="AQ871" s="46"/>
      <c r="AR871" s="46"/>
      <c r="AS871" s="46"/>
      <c r="AT871" s="46"/>
      <c r="AU871" s="46"/>
    </row>
    <row r="87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c r="AG872" s="46"/>
      <c r="AH872" s="46"/>
      <c r="AI872" s="46"/>
      <c r="AJ872" s="46"/>
      <c r="AK872" s="46"/>
      <c r="AL872" s="46"/>
      <c r="AM872" s="46"/>
      <c r="AN872" s="46"/>
      <c r="AO872" s="46"/>
      <c r="AP872" s="46"/>
      <c r="AQ872" s="46"/>
      <c r="AR872" s="46"/>
      <c r="AS872" s="46"/>
      <c r="AT872" s="46"/>
      <c r="AU872" s="46"/>
    </row>
    <row r="873">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c r="AG873" s="46"/>
      <c r="AH873" s="46"/>
      <c r="AI873" s="46"/>
      <c r="AJ873" s="46"/>
      <c r="AK873" s="46"/>
      <c r="AL873" s="46"/>
      <c r="AM873" s="46"/>
      <c r="AN873" s="46"/>
      <c r="AO873" s="46"/>
      <c r="AP873" s="46"/>
      <c r="AQ873" s="46"/>
      <c r="AR873" s="46"/>
      <c r="AS873" s="46"/>
      <c r="AT873" s="46"/>
      <c r="AU873" s="46"/>
    </row>
    <row r="874">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c r="AG874" s="46"/>
      <c r="AH874" s="46"/>
      <c r="AI874" s="46"/>
      <c r="AJ874" s="46"/>
      <c r="AK874" s="46"/>
      <c r="AL874" s="46"/>
      <c r="AM874" s="46"/>
      <c r="AN874" s="46"/>
      <c r="AO874" s="46"/>
      <c r="AP874" s="46"/>
      <c r="AQ874" s="46"/>
      <c r="AR874" s="46"/>
      <c r="AS874" s="46"/>
      <c r="AT874" s="46"/>
      <c r="AU874" s="46"/>
    </row>
    <row r="875">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c r="AG875" s="46"/>
      <c r="AH875" s="46"/>
      <c r="AI875" s="46"/>
      <c r="AJ875" s="46"/>
      <c r="AK875" s="46"/>
      <c r="AL875" s="46"/>
      <c r="AM875" s="46"/>
      <c r="AN875" s="46"/>
      <c r="AO875" s="46"/>
      <c r="AP875" s="46"/>
      <c r="AQ875" s="46"/>
      <c r="AR875" s="46"/>
      <c r="AS875" s="46"/>
      <c r="AT875" s="46"/>
      <c r="AU875" s="46"/>
    </row>
    <row r="876">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c r="AG876" s="46"/>
      <c r="AH876" s="46"/>
      <c r="AI876" s="46"/>
      <c r="AJ876" s="46"/>
      <c r="AK876" s="46"/>
      <c r="AL876" s="46"/>
      <c r="AM876" s="46"/>
      <c r="AN876" s="46"/>
      <c r="AO876" s="46"/>
      <c r="AP876" s="46"/>
      <c r="AQ876" s="46"/>
      <c r="AR876" s="46"/>
      <c r="AS876" s="46"/>
      <c r="AT876" s="46"/>
      <c r="AU876" s="46"/>
    </row>
    <row r="877">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c r="AG877" s="46"/>
      <c r="AH877" s="46"/>
      <c r="AI877" s="46"/>
      <c r="AJ877" s="46"/>
      <c r="AK877" s="46"/>
      <c r="AL877" s="46"/>
      <c r="AM877" s="46"/>
      <c r="AN877" s="46"/>
      <c r="AO877" s="46"/>
      <c r="AP877" s="46"/>
      <c r="AQ877" s="46"/>
      <c r="AR877" s="46"/>
      <c r="AS877" s="46"/>
      <c r="AT877" s="46"/>
      <c r="AU877" s="46"/>
    </row>
    <row r="878">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c r="AG878" s="46"/>
      <c r="AH878" s="46"/>
      <c r="AI878" s="46"/>
      <c r="AJ878" s="46"/>
      <c r="AK878" s="46"/>
      <c r="AL878" s="46"/>
      <c r="AM878" s="46"/>
      <c r="AN878" s="46"/>
      <c r="AO878" s="46"/>
      <c r="AP878" s="46"/>
      <c r="AQ878" s="46"/>
      <c r="AR878" s="46"/>
      <c r="AS878" s="46"/>
      <c r="AT878" s="46"/>
      <c r="AU878" s="46"/>
    </row>
    <row r="879">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c r="AG879" s="46"/>
      <c r="AH879" s="46"/>
      <c r="AI879" s="46"/>
      <c r="AJ879" s="46"/>
      <c r="AK879" s="46"/>
      <c r="AL879" s="46"/>
      <c r="AM879" s="46"/>
      <c r="AN879" s="46"/>
      <c r="AO879" s="46"/>
      <c r="AP879" s="46"/>
      <c r="AQ879" s="46"/>
      <c r="AR879" s="46"/>
      <c r="AS879" s="46"/>
      <c r="AT879" s="46"/>
      <c r="AU879" s="46"/>
    </row>
    <row r="880">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c r="AG880" s="46"/>
      <c r="AH880" s="46"/>
      <c r="AI880" s="46"/>
      <c r="AJ880" s="46"/>
      <c r="AK880" s="46"/>
      <c r="AL880" s="46"/>
      <c r="AM880" s="46"/>
      <c r="AN880" s="46"/>
      <c r="AO880" s="46"/>
      <c r="AP880" s="46"/>
      <c r="AQ880" s="46"/>
      <c r="AR880" s="46"/>
      <c r="AS880" s="46"/>
      <c r="AT880" s="46"/>
      <c r="AU880" s="46"/>
    </row>
    <row r="88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c r="AG881" s="46"/>
      <c r="AH881" s="46"/>
      <c r="AI881" s="46"/>
      <c r="AJ881" s="46"/>
      <c r="AK881" s="46"/>
      <c r="AL881" s="46"/>
      <c r="AM881" s="46"/>
      <c r="AN881" s="46"/>
      <c r="AO881" s="46"/>
      <c r="AP881" s="46"/>
      <c r="AQ881" s="46"/>
      <c r="AR881" s="46"/>
      <c r="AS881" s="46"/>
      <c r="AT881" s="46"/>
      <c r="AU881" s="46"/>
    </row>
    <row r="88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c r="AG882" s="46"/>
      <c r="AH882" s="46"/>
      <c r="AI882" s="46"/>
      <c r="AJ882" s="46"/>
      <c r="AK882" s="46"/>
      <c r="AL882" s="46"/>
      <c r="AM882" s="46"/>
      <c r="AN882" s="46"/>
      <c r="AO882" s="46"/>
      <c r="AP882" s="46"/>
      <c r="AQ882" s="46"/>
      <c r="AR882" s="46"/>
      <c r="AS882" s="46"/>
      <c r="AT882" s="46"/>
      <c r="AU882" s="46"/>
    </row>
    <row r="883">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c r="AG883" s="46"/>
      <c r="AH883" s="46"/>
      <c r="AI883" s="46"/>
      <c r="AJ883" s="46"/>
      <c r="AK883" s="46"/>
      <c r="AL883" s="46"/>
      <c r="AM883" s="46"/>
      <c r="AN883" s="46"/>
      <c r="AO883" s="46"/>
      <c r="AP883" s="46"/>
      <c r="AQ883" s="46"/>
      <c r="AR883" s="46"/>
      <c r="AS883" s="46"/>
      <c r="AT883" s="46"/>
      <c r="AU883" s="46"/>
    </row>
    <row r="884">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c r="AG884" s="46"/>
      <c r="AH884" s="46"/>
      <c r="AI884" s="46"/>
      <c r="AJ884" s="46"/>
      <c r="AK884" s="46"/>
      <c r="AL884" s="46"/>
      <c r="AM884" s="46"/>
      <c r="AN884" s="46"/>
      <c r="AO884" s="46"/>
      <c r="AP884" s="46"/>
      <c r="AQ884" s="46"/>
      <c r="AR884" s="46"/>
      <c r="AS884" s="46"/>
      <c r="AT884" s="46"/>
      <c r="AU884" s="46"/>
    </row>
    <row r="885">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c r="AG885" s="46"/>
      <c r="AH885" s="46"/>
      <c r="AI885" s="46"/>
      <c r="AJ885" s="46"/>
      <c r="AK885" s="46"/>
      <c r="AL885" s="46"/>
      <c r="AM885" s="46"/>
      <c r="AN885" s="46"/>
      <c r="AO885" s="46"/>
      <c r="AP885" s="46"/>
      <c r="AQ885" s="46"/>
      <c r="AR885" s="46"/>
      <c r="AS885" s="46"/>
      <c r="AT885" s="46"/>
      <c r="AU885" s="46"/>
    </row>
    <row r="886">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c r="AG886" s="46"/>
      <c r="AH886" s="46"/>
      <c r="AI886" s="46"/>
      <c r="AJ886" s="46"/>
      <c r="AK886" s="46"/>
      <c r="AL886" s="46"/>
      <c r="AM886" s="46"/>
      <c r="AN886" s="46"/>
      <c r="AO886" s="46"/>
      <c r="AP886" s="46"/>
      <c r="AQ886" s="46"/>
      <c r="AR886" s="46"/>
      <c r="AS886" s="46"/>
      <c r="AT886" s="46"/>
      <c r="AU886" s="46"/>
    </row>
    <row r="887">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c r="AG887" s="46"/>
      <c r="AH887" s="46"/>
      <c r="AI887" s="46"/>
      <c r="AJ887" s="46"/>
      <c r="AK887" s="46"/>
      <c r="AL887" s="46"/>
      <c r="AM887" s="46"/>
      <c r="AN887" s="46"/>
      <c r="AO887" s="46"/>
      <c r="AP887" s="46"/>
      <c r="AQ887" s="46"/>
      <c r="AR887" s="46"/>
      <c r="AS887" s="46"/>
      <c r="AT887" s="46"/>
      <c r="AU887" s="46"/>
    </row>
    <row r="888">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c r="AM888" s="46"/>
      <c r="AN888" s="46"/>
      <c r="AO888" s="46"/>
      <c r="AP888" s="46"/>
      <c r="AQ888" s="46"/>
      <c r="AR888" s="46"/>
      <c r="AS888" s="46"/>
      <c r="AT888" s="46"/>
      <c r="AU888" s="46"/>
    </row>
    <row r="889">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c r="AG889" s="46"/>
      <c r="AH889" s="46"/>
      <c r="AI889" s="46"/>
      <c r="AJ889" s="46"/>
      <c r="AK889" s="46"/>
      <c r="AL889" s="46"/>
      <c r="AM889" s="46"/>
      <c r="AN889" s="46"/>
      <c r="AO889" s="46"/>
      <c r="AP889" s="46"/>
      <c r="AQ889" s="46"/>
      <c r="AR889" s="46"/>
      <c r="AS889" s="46"/>
      <c r="AT889" s="46"/>
      <c r="AU889" s="46"/>
    </row>
    <row r="890">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c r="AG890" s="46"/>
      <c r="AH890" s="46"/>
      <c r="AI890" s="46"/>
      <c r="AJ890" s="46"/>
      <c r="AK890" s="46"/>
      <c r="AL890" s="46"/>
      <c r="AM890" s="46"/>
      <c r="AN890" s="46"/>
      <c r="AO890" s="46"/>
      <c r="AP890" s="46"/>
      <c r="AQ890" s="46"/>
      <c r="AR890" s="46"/>
      <c r="AS890" s="46"/>
      <c r="AT890" s="46"/>
      <c r="AU890" s="46"/>
    </row>
    <row r="89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c r="AG891" s="46"/>
      <c r="AH891" s="46"/>
      <c r="AI891" s="46"/>
      <c r="AJ891" s="46"/>
      <c r="AK891" s="46"/>
      <c r="AL891" s="46"/>
      <c r="AM891" s="46"/>
      <c r="AN891" s="46"/>
      <c r="AO891" s="46"/>
      <c r="AP891" s="46"/>
      <c r="AQ891" s="46"/>
      <c r="AR891" s="46"/>
      <c r="AS891" s="46"/>
      <c r="AT891" s="46"/>
      <c r="AU891" s="46"/>
    </row>
    <row r="89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c r="AG892" s="46"/>
      <c r="AH892" s="46"/>
      <c r="AI892" s="46"/>
      <c r="AJ892" s="46"/>
      <c r="AK892" s="46"/>
      <c r="AL892" s="46"/>
      <c r="AM892" s="46"/>
      <c r="AN892" s="46"/>
      <c r="AO892" s="46"/>
      <c r="AP892" s="46"/>
      <c r="AQ892" s="46"/>
      <c r="AR892" s="46"/>
      <c r="AS892" s="46"/>
      <c r="AT892" s="46"/>
      <c r="AU892" s="46"/>
    </row>
    <row r="893">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c r="AG893" s="46"/>
      <c r="AH893" s="46"/>
      <c r="AI893" s="46"/>
      <c r="AJ893" s="46"/>
      <c r="AK893" s="46"/>
      <c r="AL893" s="46"/>
      <c r="AM893" s="46"/>
      <c r="AN893" s="46"/>
      <c r="AO893" s="46"/>
      <c r="AP893" s="46"/>
      <c r="AQ893" s="46"/>
      <c r="AR893" s="46"/>
      <c r="AS893" s="46"/>
      <c r="AT893" s="46"/>
      <c r="AU893" s="46"/>
    </row>
    <row r="894">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c r="AG894" s="46"/>
      <c r="AH894" s="46"/>
      <c r="AI894" s="46"/>
      <c r="AJ894" s="46"/>
      <c r="AK894" s="46"/>
      <c r="AL894" s="46"/>
      <c r="AM894" s="46"/>
      <c r="AN894" s="46"/>
      <c r="AO894" s="46"/>
      <c r="AP894" s="46"/>
      <c r="AQ894" s="46"/>
      <c r="AR894" s="46"/>
      <c r="AS894" s="46"/>
      <c r="AT894" s="46"/>
      <c r="AU894" s="46"/>
    </row>
    <row r="895">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c r="AG895" s="46"/>
      <c r="AH895" s="46"/>
      <c r="AI895" s="46"/>
      <c r="AJ895" s="46"/>
      <c r="AK895" s="46"/>
      <c r="AL895" s="46"/>
      <c r="AM895" s="46"/>
      <c r="AN895" s="46"/>
      <c r="AO895" s="46"/>
      <c r="AP895" s="46"/>
      <c r="AQ895" s="46"/>
      <c r="AR895" s="46"/>
      <c r="AS895" s="46"/>
      <c r="AT895" s="46"/>
      <c r="AU895" s="46"/>
    </row>
    <row r="896">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c r="AM896" s="46"/>
      <c r="AN896" s="46"/>
      <c r="AO896" s="46"/>
      <c r="AP896" s="46"/>
      <c r="AQ896" s="46"/>
      <c r="AR896" s="46"/>
      <c r="AS896" s="46"/>
      <c r="AT896" s="46"/>
      <c r="AU896" s="46"/>
    </row>
    <row r="897">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c r="AG897" s="46"/>
      <c r="AH897" s="46"/>
      <c r="AI897" s="46"/>
      <c r="AJ897" s="46"/>
      <c r="AK897" s="46"/>
      <c r="AL897" s="46"/>
      <c r="AM897" s="46"/>
      <c r="AN897" s="46"/>
      <c r="AO897" s="46"/>
      <c r="AP897" s="46"/>
      <c r="AQ897" s="46"/>
      <c r="AR897" s="46"/>
      <c r="AS897" s="46"/>
      <c r="AT897" s="46"/>
      <c r="AU897" s="46"/>
    </row>
    <row r="898">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c r="AG898" s="46"/>
      <c r="AH898" s="46"/>
      <c r="AI898" s="46"/>
      <c r="AJ898" s="46"/>
      <c r="AK898" s="46"/>
      <c r="AL898" s="46"/>
      <c r="AM898" s="46"/>
      <c r="AN898" s="46"/>
      <c r="AO898" s="46"/>
      <c r="AP898" s="46"/>
      <c r="AQ898" s="46"/>
      <c r="AR898" s="46"/>
      <c r="AS898" s="46"/>
      <c r="AT898" s="46"/>
      <c r="AU898" s="46"/>
    </row>
    <row r="899">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c r="AG899" s="46"/>
      <c r="AH899" s="46"/>
      <c r="AI899" s="46"/>
      <c r="AJ899" s="46"/>
      <c r="AK899" s="46"/>
      <c r="AL899" s="46"/>
      <c r="AM899" s="46"/>
      <c r="AN899" s="46"/>
      <c r="AO899" s="46"/>
      <c r="AP899" s="46"/>
      <c r="AQ899" s="46"/>
      <c r="AR899" s="46"/>
      <c r="AS899" s="46"/>
      <c r="AT899" s="46"/>
      <c r="AU899" s="46"/>
    </row>
    <row r="900">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c r="AG900" s="46"/>
      <c r="AH900" s="46"/>
      <c r="AI900" s="46"/>
      <c r="AJ900" s="46"/>
      <c r="AK900" s="46"/>
      <c r="AL900" s="46"/>
      <c r="AM900" s="46"/>
      <c r="AN900" s="46"/>
      <c r="AO900" s="46"/>
      <c r="AP900" s="46"/>
      <c r="AQ900" s="46"/>
      <c r="AR900" s="46"/>
      <c r="AS900" s="46"/>
      <c r="AT900" s="46"/>
      <c r="AU900" s="46"/>
    </row>
    <row r="90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c r="AG901" s="46"/>
      <c r="AH901" s="46"/>
      <c r="AI901" s="46"/>
      <c r="AJ901" s="46"/>
      <c r="AK901" s="46"/>
      <c r="AL901" s="46"/>
      <c r="AM901" s="46"/>
      <c r="AN901" s="46"/>
      <c r="AO901" s="46"/>
      <c r="AP901" s="46"/>
      <c r="AQ901" s="46"/>
      <c r="AR901" s="46"/>
      <c r="AS901" s="46"/>
      <c r="AT901" s="46"/>
      <c r="AU901" s="46"/>
    </row>
    <row r="90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c r="AG902" s="46"/>
      <c r="AH902" s="46"/>
      <c r="AI902" s="46"/>
      <c r="AJ902" s="46"/>
      <c r="AK902" s="46"/>
      <c r="AL902" s="46"/>
      <c r="AM902" s="46"/>
      <c r="AN902" s="46"/>
      <c r="AO902" s="46"/>
      <c r="AP902" s="46"/>
      <c r="AQ902" s="46"/>
      <c r="AR902" s="46"/>
      <c r="AS902" s="46"/>
      <c r="AT902" s="46"/>
      <c r="AU902" s="46"/>
    </row>
    <row r="903">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c r="AG903" s="46"/>
      <c r="AH903" s="46"/>
      <c r="AI903" s="46"/>
      <c r="AJ903" s="46"/>
      <c r="AK903" s="46"/>
      <c r="AL903" s="46"/>
      <c r="AM903" s="46"/>
      <c r="AN903" s="46"/>
      <c r="AO903" s="46"/>
      <c r="AP903" s="46"/>
      <c r="AQ903" s="46"/>
      <c r="AR903" s="46"/>
      <c r="AS903" s="46"/>
      <c r="AT903" s="46"/>
      <c r="AU903" s="46"/>
    </row>
    <row r="904">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c r="AG904" s="46"/>
      <c r="AH904" s="46"/>
      <c r="AI904" s="46"/>
      <c r="AJ904" s="46"/>
      <c r="AK904" s="46"/>
      <c r="AL904" s="46"/>
      <c r="AM904" s="46"/>
      <c r="AN904" s="46"/>
      <c r="AO904" s="46"/>
      <c r="AP904" s="46"/>
      <c r="AQ904" s="46"/>
      <c r="AR904" s="46"/>
      <c r="AS904" s="46"/>
      <c r="AT904" s="46"/>
      <c r="AU904" s="46"/>
    </row>
    <row r="905">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c r="AG905" s="46"/>
      <c r="AH905" s="46"/>
      <c r="AI905" s="46"/>
      <c r="AJ905" s="46"/>
      <c r="AK905" s="46"/>
      <c r="AL905" s="46"/>
      <c r="AM905" s="46"/>
      <c r="AN905" s="46"/>
      <c r="AO905" s="46"/>
      <c r="AP905" s="46"/>
      <c r="AQ905" s="46"/>
      <c r="AR905" s="46"/>
      <c r="AS905" s="46"/>
      <c r="AT905" s="46"/>
      <c r="AU905" s="46"/>
    </row>
    <row r="906">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c r="AG906" s="46"/>
      <c r="AH906" s="46"/>
      <c r="AI906" s="46"/>
      <c r="AJ906" s="46"/>
      <c r="AK906" s="46"/>
      <c r="AL906" s="46"/>
      <c r="AM906" s="46"/>
      <c r="AN906" s="46"/>
      <c r="AO906" s="46"/>
      <c r="AP906" s="46"/>
      <c r="AQ906" s="46"/>
      <c r="AR906" s="46"/>
      <c r="AS906" s="46"/>
      <c r="AT906" s="46"/>
      <c r="AU906" s="46"/>
    </row>
    <row r="907">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c r="AG907" s="46"/>
      <c r="AH907" s="46"/>
      <c r="AI907" s="46"/>
      <c r="AJ907" s="46"/>
      <c r="AK907" s="46"/>
      <c r="AL907" s="46"/>
      <c r="AM907" s="46"/>
      <c r="AN907" s="46"/>
      <c r="AO907" s="46"/>
      <c r="AP907" s="46"/>
      <c r="AQ907" s="46"/>
      <c r="AR907" s="46"/>
      <c r="AS907" s="46"/>
      <c r="AT907" s="46"/>
      <c r="AU907" s="46"/>
    </row>
    <row r="908">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c r="AG908" s="46"/>
      <c r="AH908" s="46"/>
      <c r="AI908" s="46"/>
      <c r="AJ908" s="46"/>
      <c r="AK908" s="46"/>
      <c r="AL908" s="46"/>
      <c r="AM908" s="46"/>
      <c r="AN908" s="46"/>
      <c r="AO908" s="46"/>
      <c r="AP908" s="46"/>
      <c r="AQ908" s="46"/>
      <c r="AR908" s="46"/>
      <c r="AS908" s="46"/>
      <c r="AT908" s="46"/>
      <c r="AU908" s="46"/>
    </row>
    <row r="909">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c r="AG909" s="46"/>
      <c r="AH909" s="46"/>
      <c r="AI909" s="46"/>
      <c r="AJ909" s="46"/>
      <c r="AK909" s="46"/>
      <c r="AL909" s="46"/>
      <c r="AM909" s="46"/>
      <c r="AN909" s="46"/>
      <c r="AO909" s="46"/>
      <c r="AP909" s="46"/>
      <c r="AQ909" s="46"/>
      <c r="AR909" s="46"/>
      <c r="AS909" s="46"/>
      <c r="AT909" s="46"/>
      <c r="AU909" s="46"/>
    </row>
    <row r="910">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c r="AG910" s="46"/>
      <c r="AH910" s="46"/>
      <c r="AI910" s="46"/>
      <c r="AJ910" s="46"/>
      <c r="AK910" s="46"/>
      <c r="AL910" s="46"/>
      <c r="AM910" s="46"/>
      <c r="AN910" s="46"/>
      <c r="AO910" s="46"/>
      <c r="AP910" s="46"/>
      <c r="AQ910" s="46"/>
      <c r="AR910" s="46"/>
      <c r="AS910" s="46"/>
      <c r="AT910" s="46"/>
      <c r="AU910" s="46"/>
    </row>
    <row r="91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c r="AG911" s="46"/>
      <c r="AH911" s="46"/>
      <c r="AI911" s="46"/>
      <c r="AJ911" s="46"/>
      <c r="AK911" s="46"/>
      <c r="AL911" s="46"/>
      <c r="AM911" s="46"/>
      <c r="AN911" s="46"/>
      <c r="AO911" s="46"/>
      <c r="AP911" s="46"/>
      <c r="AQ911" s="46"/>
      <c r="AR911" s="46"/>
      <c r="AS911" s="46"/>
      <c r="AT911" s="46"/>
      <c r="AU911" s="46"/>
    </row>
    <row r="91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c r="AG912" s="46"/>
      <c r="AH912" s="46"/>
      <c r="AI912" s="46"/>
      <c r="AJ912" s="46"/>
      <c r="AK912" s="46"/>
      <c r="AL912" s="46"/>
      <c r="AM912" s="46"/>
      <c r="AN912" s="46"/>
      <c r="AO912" s="46"/>
      <c r="AP912" s="46"/>
      <c r="AQ912" s="46"/>
      <c r="AR912" s="46"/>
      <c r="AS912" s="46"/>
      <c r="AT912" s="46"/>
      <c r="AU912" s="46"/>
    </row>
    <row r="913">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c r="AG913" s="46"/>
      <c r="AH913" s="46"/>
      <c r="AI913" s="46"/>
      <c r="AJ913" s="46"/>
      <c r="AK913" s="46"/>
      <c r="AL913" s="46"/>
      <c r="AM913" s="46"/>
      <c r="AN913" s="46"/>
      <c r="AO913" s="46"/>
      <c r="AP913" s="46"/>
      <c r="AQ913" s="46"/>
      <c r="AR913" s="46"/>
      <c r="AS913" s="46"/>
      <c r="AT913" s="46"/>
      <c r="AU913" s="46"/>
    </row>
    <row r="914">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c r="AG914" s="46"/>
      <c r="AH914" s="46"/>
      <c r="AI914" s="46"/>
      <c r="AJ914" s="46"/>
      <c r="AK914" s="46"/>
      <c r="AL914" s="46"/>
      <c r="AM914" s="46"/>
      <c r="AN914" s="46"/>
      <c r="AO914" s="46"/>
      <c r="AP914" s="46"/>
      <c r="AQ914" s="46"/>
      <c r="AR914" s="46"/>
      <c r="AS914" s="46"/>
      <c r="AT914" s="46"/>
      <c r="AU914" s="46"/>
    </row>
    <row r="91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c r="AG915" s="46"/>
      <c r="AH915" s="46"/>
      <c r="AI915" s="46"/>
      <c r="AJ915" s="46"/>
      <c r="AK915" s="46"/>
      <c r="AL915" s="46"/>
      <c r="AM915" s="46"/>
      <c r="AN915" s="46"/>
      <c r="AO915" s="46"/>
      <c r="AP915" s="46"/>
      <c r="AQ915" s="46"/>
      <c r="AR915" s="46"/>
      <c r="AS915" s="46"/>
      <c r="AT915" s="46"/>
      <c r="AU915" s="46"/>
    </row>
    <row r="916">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c r="AG916" s="46"/>
      <c r="AH916" s="46"/>
      <c r="AI916" s="46"/>
      <c r="AJ916" s="46"/>
      <c r="AK916" s="46"/>
      <c r="AL916" s="46"/>
      <c r="AM916" s="46"/>
      <c r="AN916" s="46"/>
      <c r="AO916" s="46"/>
      <c r="AP916" s="46"/>
      <c r="AQ916" s="46"/>
      <c r="AR916" s="46"/>
      <c r="AS916" s="46"/>
      <c r="AT916" s="46"/>
      <c r="AU916" s="46"/>
    </row>
    <row r="917">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c r="AL917" s="46"/>
      <c r="AM917" s="46"/>
      <c r="AN917" s="46"/>
      <c r="AO917" s="46"/>
      <c r="AP917" s="46"/>
      <c r="AQ917" s="46"/>
      <c r="AR917" s="46"/>
      <c r="AS917" s="46"/>
      <c r="AT917" s="46"/>
      <c r="AU917" s="46"/>
    </row>
    <row r="918">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c r="AH918" s="46"/>
      <c r="AI918" s="46"/>
      <c r="AJ918" s="46"/>
      <c r="AK918" s="46"/>
      <c r="AL918" s="46"/>
      <c r="AM918" s="46"/>
      <c r="AN918" s="46"/>
      <c r="AO918" s="46"/>
      <c r="AP918" s="46"/>
      <c r="AQ918" s="46"/>
      <c r="AR918" s="46"/>
      <c r="AS918" s="46"/>
      <c r="AT918" s="46"/>
      <c r="AU918" s="46"/>
    </row>
    <row r="919">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c r="AG919" s="46"/>
      <c r="AH919" s="46"/>
      <c r="AI919" s="46"/>
      <c r="AJ919" s="46"/>
      <c r="AK919" s="46"/>
      <c r="AL919" s="46"/>
      <c r="AM919" s="46"/>
      <c r="AN919" s="46"/>
      <c r="AO919" s="46"/>
      <c r="AP919" s="46"/>
      <c r="AQ919" s="46"/>
      <c r="AR919" s="46"/>
      <c r="AS919" s="46"/>
      <c r="AT919" s="46"/>
      <c r="AU919" s="46"/>
    </row>
    <row r="920">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c r="AG920" s="46"/>
      <c r="AH920" s="46"/>
      <c r="AI920" s="46"/>
      <c r="AJ920" s="46"/>
      <c r="AK920" s="46"/>
      <c r="AL920" s="46"/>
      <c r="AM920" s="46"/>
      <c r="AN920" s="46"/>
      <c r="AO920" s="46"/>
      <c r="AP920" s="46"/>
      <c r="AQ920" s="46"/>
      <c r="AR920" s="46"/>
      <c r="AS920" s="46"/>
      <c r="AT920" s="46"/>
      <c r="AU920" s="46"/>
    </row>
    <row r="92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c r="AM921" s="46"/>
      <c r="AN921" s="46"/>
      <c r="AO921" s="46"/>
      <c r="AP921" s="46"/>
      <c r="AQ921" s="46"/>
      <c r="AR921" s="46"/>
      <c r="AS921" s="46"/>
      <c r="AT921" s="46"/>
      <c r="AU921" s="46"/>
    </row>
    <row r="92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c r="AG922" s="46"/>
      <c r="AH922" s="46"/>
      <c r="AI922" s="46"/>
      <c r="AJ922" s="46"/>
      <c r="AK922" s="46"/>
      <c r="AL922" s="46"/>
      <c r="AM922" s="46"/>
      <c r="AN922" s="46"/>
      <c r="AO922" s="46"/>
      <c r="AP922" s="46"/>
      <c r="AQ922" s="46"/>
      <c r="AR922" s="46"/>
      <c r="AS922" s="46"/>
      <c r="AT922" s="46"/>
      <c r="AU922" s="46"/>
    </row>
    <row r="923">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c r="AG923" s="46"/>
      <c r="AH923" s="46"/>
      <c r="AI923" s="46"/>
      <c r="AJ923" s="46"/>
      <c r="AK923" s="46"/>
      <c r="AL923" s="46"/>
      <c r="AM923" s="46"/>
      <c r="AN923" s="46"/>
      <c r="AO923" s="46"/>
      <c r="AP923" s="46"/>
      <c r="AQ923" s="46"/>
      <c r="AR923" s="46"/>
      <c r="AS923" s="46"/>
      <c r="AT923" s="46"/>
      <c r="AU923" s="46"/>
    </row>
    <row r="924">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c r="AG924" s="46"/>
      <c r="AH924" s="46"/>
      <c r="AI924" s="46"/>
      <c r="AJ924" s="46"/>
      <c r="AK924" s="46"/>
      <c r="AL924" s="46"/>
      <c r="AM924" s="46"/>
      <c r="AN924" s="46"/>
      <c r="AO924" s="46"/>
      <c r="AP924" s="46"/>
      <c r="AQ924" s="46"/>
      <c r="AR924" s="46"/>
      <c r="AS924" s="46"/>
      <c r="AT924" s="46"/>
      <c r="AU924" s="46"/>
    </row>
    <row r="92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c r="AG925" s="46"/>
      <c r="AH925" s="46"/>
      <c r="AI925" s="46"/>
      <c r="AJ925" s="46"/>
      <c r="AK925" s="46"/>
      <c r="AL925" s="46"/>
      <c r="AM925" s="46"/>
      <c r="AN925" s="46"/>
      <c r="AO925" s="46"/>
      <c r="AP925" s="46"/>
      <c r="AQ925" s="46"/>
      <c r="AR925" s="46"/>
      <c r="AS925" s="46"/>
      <c r="AT925" s="46"/>
      <c r="AU925" s="46"/>
    </row>
    <row r="926">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c r="AG926" s="46"/>
      <c r="AH926" s="46"/>
      <c r="AI926" s="46"/>
      <c r="AJ926" s="46"/>
      <c r="AK926" s="46"/>
      <c r="AL926" s="46"/>
      <c r="AM926" s="46"/>
      <c r="AN926" s="46"/>
      <c r="AO926" s="46"/>
      <c r="AP926" s="46"/>
      <c r="AQ926" s="46"/>
      <c r="AR926" s="46"/>
      <c r="AS926" s="46"/>
      <c r="AT926" s="46"/>
      <c r="AU926" s="46"/>
    </row>
    <row r="927">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c r="AG927" s="46"/>
      <c r="AH927" s="46"/>
      <c r="AI927" s="46"/>
      <c r="AJ927" s="46"/>
      <c r="AK927" s="46"/>
      <c r="AL927" s="46"/>
      <c r="AM927" s="46"/>
      <c r="AN927" s="46"/>
      <c r="AO927" s="46"/>
      <c r="AP927" s="46"/>
      <c r="AQ927" s="46"/>
      <c r="AR927" s="46"/>
      <c r="AS927" s="46"/>
      <c r="AT927" s="46"/>
      <c r="AU927" s="46"/>
    </row>
    <row r="928">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c r="AG928" s="46"/>
      <c r="AH928" s="46"/>
      <c r="AI928" s="46"/>
      <c r="AJ928" s="46"/>
      <c r="AK928" s="46"/>
      <c r="AL928" s="46"/>
      <c r="AM928" s="46"/>
      <c r="AN928" s="46"/>
      <c r="AO928" s="46"/>
      <c r="AP928" s="46"/>
      <c r="AQ928" s="46"/>
      <c r="AR928" s="46"/>
      <c r="AS928" s="46"/>
      <c r="AT928" s="46"/>
      <c r="AU928" s="46"/>
    </row>
    <row r="929">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c r="AG929" s="46"/>
      <c r="AH929" s="46"/>
      <c r="AI929" s="46"/>
      <c r="AJ929" s="46"/>
      <c r="AK929" s="46"/>
      <c r="AL929" s="46"/>
      <c r="AM929" s="46"/>
      <c r="AN929" s="46"/>
      <c r="AO929" s="46"/>
      <c r="AP929" s="46"/>
      <c r="AQ929" s="46"/>
      <c r="AR929" s="46"/>
      <c r="AS929" s="46"/>
      <c r="AT929" s="46"/>
      <c r="AU929" s="46"/>
    </row>
    <row r="930">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c r="AG930" s="46"/>
      <c r="AH930" s="46"/>
      <c r="AI930" s="46"/>
      <c r="AJ930" s="46"/>
      <c r="AK930" s="46"/>
      <c r="AL930" s="46"/>
      <c r="AM930" s="46"/>
      <c r="AN930" s="46"/>
      <c r="AO930" s="46"/>
      <c r="AP930" s="46"/>
      <c r="AQ930" s="46"/>
      <c r="AR930" s="46"/>
      <c r="AS930" s="46"/>
      <c r="AT930" s="46"/>
      <c r="AU930" s="46"/>
    </row>
    <row r="93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c r="AG931" s="46"/>
      <c r="AH931" s="46"/>
      <c r="AI931" s="46"/>
      <c r="AJ931" s="46"/>
      <c r="AK931" s="46"/>
      <c r="AL931" s="46"/>
      <c r="AM931" s="46"/>
      <c r="AN931" s="46"/>
      <c r="AO931" s="46"/>
      <c r="AP931" s="46"/>
      <c r="AQ931" s="46"/>
      <c r="AR931" s="46"/>
      <c r="AS931" s="46"/>
      <c r="AT931" s="46"/>
      <c r="AU931" s="46"/>
    </row>
    <row r="93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c r="AG932" s="46"/>
      <c r="AH932" s="46"/>
      <c r="AI932" s="46"/>
      <c r="AJ932" s="46"/>
      <c r="AK932" s="46"/>
      <c r="AL932" s="46"/>
      <c r="AM932" s="46"/>
      <c r="AN932" s="46"/>
      <c r="AO932" s="46"/>
      <c r="AP932" s="46"/>
      <c r="AQ932" s="46"/>
      <c r="AR932" s="46"/>
      <c r="AS932" s="46"/>
      <c r="AT932" s="46"/>
      <c r="AU932" s="46"/>
    </row>
    <row r="933">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c r="AM933" s="46"/>
      <c r="AN933" s="46"/>
      <c r="AO933" s="46"/>
      <c r="AP933" s="46"/>
      <c r="AQ933" s="46"/>
      <c r="AR933" s="46"/>
      <c r="AS933" s="46"/>
      <c r="AT933" s="46"/>
      <c r="AU933" s="46"/>
    </row>
    <row r="934">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c r="AG934" s="46"/>
      <c r="AH934" s="46"/>
      <c r="AI934" s="46"/>
      <c r="AJ934" s="46"/>
      <c r="AK934" s="46"/>
      <c r="AL934" s="46"/>
      <c r="AM934" s="46"/>
      <c r="AN934" s="46"/>
      <c r="AO934" s="46"/>
      <c r="AP934" s="46"/>
      <c r="AQ934" s="46"/>
      <c r="AR934" s="46"/>
      <c r="AS934" s="46"/>
      <c r="AT934" s="46"/>
      <c r="AU934" s="46"/>
    </row>
    <row r="93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c r="AG935" s="46"/>
      <c r="AH935" s="46"/>
      <c r="AI935" s="46"/>
      <c r="AJ935" s="46"/>
      <c r="AK935" s="46"/>
      <c r="AL935" s="46"/>
      <c r="AM935" s="46"/>
      <c r="AN935" s="46"/>
      <c r="AO935" s="46"/>
      <c r="AP935" s="46"/>
      <c r="AQ935" s="46"/>
      <c r="AR935" s="46"/>
      <c r="AS935" s="46"/>
      <c r="AT935" s="46"/>
      <c r="AU935" s="46"/>
    </row>
    <row r="936">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c r="AG936" s="46"/>
      <c r="AH936" s="46"/>
      <c r="AI936" s="46"/>
      <c r="AJ936" s="46"/>
      <c r="AK936" s="46"/>
      <c r="AL936" s="46"/>
      <c r="AM936" s="46"/>
      <c r="AN936" s="46"/>
      <c r="AO936" s="46"/>
      <c r="AP936" s="46"/>
      <c r="AQ936" s="46"/>
      <c r="AR936" s="46"/>
      <c r="AS936" s="46"/>
      <c r="AT936" s="46"/>
      <c r="AU936" s="46"/>
    </row>
    <row r="937">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c r="AG937" s="46"/>
      <c r="AH937" s="46"/>
      <c r="AI937" s="46"/>
      <c r="AJ937" s="46"/>
      <c r="AK937" s="46"/>
      <c r="AL937" s="46"/>
      <c r="AM937" s="46"/>
      <c r="AN937" s="46"/>
      <c r="AO937" s="46"/>
      <c r="AP937" s="46"/>
      <c r="AQ937" s="46"/>
      <c r="AR937" s="46"/>
      <c r="AS937" s="46"/>
      <c r="AT937" s="46"/>
      <c r="AU937" s="46"/>
    </row>
    <row r="938">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c r="AG938" s="46"/>
      <c r="AH938" s="46"/>
      <c r="AI938" s="46"/>
      <c r="AJ938" s="46"/>
      <c r="AK938" s="46"/>
      <c r="AL938" s="46"/>
      <c r="AM938" s="46"/>
      <c r="AN938" s="46"/>
      <c r="AO938" s="46"/>
      <c r="AP938" s="46"/>
      <c r="AQ938" s="46"/>
      <c r="AR938" s="46"/>
      <c r="AS938" s="46"/>
      <c r="AT938" s="46"/>
      <c r="AU938" s="46"/>
    </row>
    <row r="939">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c r="AM939" s="46"/>
      <c r="AN939" s="46"/>
      <c r="AO939" s="46"/>
      <c r="AP939" s="46"/>
      <c r="AQ939" s="46"/>
      <c r="AR939" s="46"/>
      <c r="AS939" s="46"/>
      <c r="AT939" s="46"/>
      <c r="AU939" s="46"/>
    </row>
    <row r="940">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c r="AG940" s="46"/>
      <c r="AH940" s="46"/>
      <c r="AI940" s="46"/>
      <c r="AJ940" s="46"/>
      <c r="AK940" s="46"/>
      <c r="AL940" s="46"/>
      <c r="AM940" s="46"/>
      <c r="AN940" s="46"/>
      <c r="AO940" s="46"/>
      <c r="AP940" s="46"/>
      <c r="AQ940" s="46"/>
      <c r="AR940" s="46"/>
      <c r="AS940" s="46"/>
      <c r="AT940" s="46"/>
      <c r="AU940" s="46"/>
    </row>
    <row r="94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c r="AG941" s="46"/>
      <c r="AH941" s="46"/>
      <c r="AI941" s="46"/>
      <c r="AJ941" s="46"/>
      <c r="AK941" s="46"/>
      <c r="AL941" s="46"/>
      <c r="AM941" s="46"/>
      <c r="AN941" s="46"/>
      <c r="AO941" s="46"/>
      <c r="AP941" s="46"/>
      <c r="AQ941" s="46"/>
      <c r="AR941" s="46"/>
      <c r="AS941" s="46"/>
      <c r="AT941" s="46"/>
      <c r="AU941" s="46"/>
    </row>
    <row r="94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c r="AG942" s="46"/>
      <c r="AH942" s="46"/>
      <c r="AI942" s="46"/>
      <c r="AJ942" s="46"/>
      <c r="AK942" s="46"/>
      <c r="AL942" s="46"/>
      <c r="AM942" s="46"/>
      <c r="AN942" s="46"/>
      <c r="AO942" s="46"/>
      <c r="AP942" s="46"/>
      <c r="AQ942" s="46"/>
      <c r="AR942" s="46"/>
      <c r="AS942" s="46"/>
      <c r="AT942" s="46"/>
      <c r="AU942" s="46"/>
    </row>
    <row r="943">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c r="AG943" s="46"/>
      <c r="AH943" s="46"/>
      <c r="AI943" s="46"/>
      <c r="AJ943" s="46"/>
      <c r="AK943" s="46"/>
      <c r="AL943" s="46"/>
      <c r="AM943" s="46"/>
      <c r="AN943" s="46"/>
      <c r="AO943" s="46"/>
      <c r="AP943" s="46"/>
      <c r="AQ943" s="46"/>
      <c r="AR943" s="46"/>
      <c r="AS943" s="46"/>
      <c r="AT943" s="46"/>
      <c r="AU943" s="46"/>
    </row>
    <row r="944">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c r="AG944" s="46"/>
      <c r="AH944" s="46"/>
      <c r="AI944" s="46"/>
      <c r="AJ944" s="46"/>
      <c r="AK944" s="46"/>
      <c r="AL944" s="46"/>
      <c r="AM944" s="46"/>
      <c r="AN944" s="46"/>
      <c r="AO944" s="46"/>
      <c r="AP944" s="46"/>
      <c r="AQ944" s="46"/>
      <c r="AR944" s="46"/>
      <c r="AS944" s="46"/>
      <c r="AT944" s="46"/>
      <c r="AU944" s="46"/>
    </row>
    <row r="94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c r="AG945" s="46"/>
      <c r="AH945" s="46"/>
      <c r="AI945" s="46"/>
      <c r="AJ945" s="46"/>
      <c r="AK945" s="46"/>
      <c r="AL945" s="46"/>
      <c r="AM945" s="46"/>
      <c r="AN945" s="46"/>
      <c r="AO945" s="46"/>
      <c r="AP945" s="46"/>
      <c r="AQ945" s="46"/>
      <c r="AR945" s="46"/>
      <c r="AS945" s="46"/>
      <c r="AT945" s="46"/>
      <c r="AU945" s="46"/>
    </row>
    <row r="946">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c r="AG946" s="46"/>
      <c r="AH946" s="46"/>
      <c r="AI946" s="46"/>
      <c r="AJ946" s="46"/>
      <c r="AK946" s="46"/>
      <c r="AL946" s="46"/>
      <c r="AM946" s="46"/>
      <c r="AN946" s="46"/>
      <c r="AO946" s="46"/>
      <c r="AP946" s="46"/>
      <c r="AQ946" s="46"/>
      <c r="AR946" s="46"/>
      <c r="AS946" s="46"/>
      <c r="AT946" s="46"/>
      <c r="AU946" s="46"/>
    </row>
    <row r="947">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c r="AG947" s="46"/>
      <c r="AH947" s="46"/>
      <c r="AI947" s="46"/>
      <c r="AJ947" s="46"/>
      <c r="AK947" s="46"/>
      <c r="AL947" s="46"/>
      <c r="AM947" s="46"/>
      <c r="AN947" s="46"/>
      <c r="AO947" s="46"/>
      <c r="AP947" s="46"/>
      <c r="AQ947" s="46"/>
      <c r="AR947" s="46"/>
      <c r="AS947" s="46"/>
      <c r="AT947" s="46"/>
      <c r="AU947" s="46"/>
    </row>
    <row r="948">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c r="AG948" s="46"/>
      <c r="AH948" s="46"/>
      <c r="AI948" s="46"/>
      <c r="AJ948" s="46"/>
      <c r="AK948" s="46"/>
      <c r="AL948" s="46"/>
      <c r="AM948" s="46"/>
      <c r="AN948" s="46"/>
      <c r="AO948" s="46"/>
      <c r="AP948" s="46"/>
      <c r="AQ948" s="46"/>
      <c r="AR948" s="46"/>
      <c r="AS948" s="46"/>
      <c r="AT948" s="46"/>
      <c r="AU948" s="46"/>
    </row>
    <row r="949">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c r="AG949" s="46"/>
      <c r="AH949" s="46"/>
      <c r="AI949" s="46"/>
      <c r="AJ949" s="46"/>
      <c r="AK949" s="46"/>
      <c r="AL949" s="46"/>
      <c r="AM949" s="46"/>
      <c r="AN949" s="46"/>
      <c r="AO949" s="46"/>
      <c r="AP949" s="46"/>
      <c r="AQ949" s="46"/>
      <c r="AR949" s="46"/>
      <c r="AS949" s="46"/>
      <c r="AT949" s="46"/>
      <c r="AU949" s="46"/>
    </row>
    <row r="950">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c r="AM950" s="46"/>
      <c r="AN950" s="46"/>
      <c r="AO950" s="46"/>
      <c r="AP950" s="46"/>
      <c r="AQ950" s="46"/>
      <c r="AR950" s="46"/>
      <c r="AS950" s="46"/>
      <c r="AT950" s="46"/>
      <c r="AU950" s="46"/>
    </row>
    <row r="95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c r="AG951" s="46"/>
      <c r="AH951" s="46"/>
      <c r="AI951" s="46"/>
      <c r="AJ951" s="46"/>
      <c r="AK951" s="46"/>
      <c r="AL951" s="46"/>
      <c r="AM951" s="46"/>
      <c r="AN951" s="46"/>
      <c r="AO951" s="46"/>
      <c r="AP951" s="46"/>
      <c r="AQ951" s="46"/>
      <c r="AR951" s="46"/>
      <c r="AS951" s="46"/>
      <c r="AT951" s="46"/>
      <c r="AU951" s="46"/>
    </row>
    <row r="95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c r="AG952" s="46"/>
      <c r="AH952" s="46"/>
      <c r="AI952" s="46"/>
      <c r="AJ952" s="46"/>
      <c r="AK952" s="46"/>
      <c r="AL952" s="46"/>
      <c r="AM952" s="46"/>
      <c r="AN952" s="46"/>
      <c r="AO952" s="46"/>
      <c r="AP952" s="46"/>
      <c r="AQ952" s="46"/>
      <c r="AR952" s="46"/>
      <c r="AS952" s="46"/>
      <c r="AT952" s="46"/>
      <c r="AU952" s="46"/>
    </row>
    <row r="953">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c r="AG953" s="46"/>
      <c r="AH953" s="46"/>
      <c r="AI953" s="46"/>
      <c r="AJ953" s="46"/>
      <c r="AK953" s="46"/>
      <c r="AL953" s="46"/>
      <c r="AM953" s="46"/>
      <c r="AN953" s="46"/>
      <c r="AO953" s="46"/>
      <c r="AP953" s="46"/>
      <c r="AQ953" s="46"/>
      <c r="AR953" s="46"/>
      <c r="AS953" s="46"/>
      <c r="AT953" s="46"/>
      <c r="AU953" s="46"/>
    </row>
    <row r="954">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c r="AG954" s="46"/>
      <c r="AH954" s="46"/>
      <c r="AI954" s="46"/>
      <c r="AJ954" s="46"/>
      <c r="AK954" s="46"/>
      <c r="AL954" s="46"/>
      <c r="AM954" s="46"/>
      <c r="AN954" s="46"/>
      <c r="AO954" s="46"/>
      <c r="AP954" s="46"/>
      <c r="AQ954" s="46"/>
      <c r="AR954" s="46"/>
      <c r="AS954" s="46"/>
      <c r="AT954" s="46"/>
      <c r="AU954" s="46"/>
    </row>
    <row r="95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c r="AG955" s="46"/>
      <c r="AH955" s="46"/>
      <c r="AI955" s="46"/>
      <c r="AJ955" s="46"/>
      <c r="AK955" s="46"/>
      <c r="AL955" s="46"/>
      <c r="AM955" s="46"/>
      <c r="AN955" s="46"/>
      <c r="AO955" s="46"/>
      <c r="AP955" s="46"/>
      <c r="AQ955" s="46"/>
      <c r="AR955" s="46"/>
      <c r="AS955" s="46"/>
      <c r="AT955" s="46"/>
      <c r="AU955" s="46"/>
    </row>
    <row r="956">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c r="AG956" s="46"/>
      <c r="AH956" s="46"/>
      <c r="AI956" s="46"/>
      <c r="AJ956" s="46"/>
      <c r="AK956" s="46"/>
      <c r="AL956" s="46"/>
      <c r="AM956" s="46"/>
      <c r="AN956" s="46"/>
      <c r="AO956" s="46"/>
      <c r="AP956" s="46"/>
      <c r="AQ956" s="46"/>
      <c r="AR956" s="46"/>
      <c r="AS956" s="46"/>
      <c r="AT956" s="46"/>
      <c r="AU956" s="46"/>
    </row>
    <row r="957">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c r="AG957" s="46"/>
      <c r="AH957" s="46"/>
      <c r="AI957" s="46"/>
      <c r="AJ957" s="46"/>
      <c r="AK957" s="46"/>
      <c r="AL957" s="46"/>
      <c r="AM957" s="46"/>
      <c r="AN957" s="46"/>
      <c r="AO957" s="46"/>
      <c r="AP957" s="46"/>
      <c r="AQ957" s="46"/>
      <c r="AR957" s="46"/>
      <c r="AS957" s="46"/>
      <c r="AT957" s="46"/>
      <c r="AU957" s="46"/>
    </row>
    <row r="958">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c r="AG958" s="46"/>
      <c r="AH958" s="46"/>
      <c r="AI958" s="46"/>
      <c r="AJ958" s="46"/>
      <c r="AK958" s="46"/>
      <c r="AL958" s="46"/>
      <c r="AM958" s="46"/>
      <c r="AN958" s="46"/>
      <c r="AO958" s="46"/>
      <c r="AP958" s="46"/>
      <c r="AQ958" s="46"/>
      <c r="AR958" s="46"/>
      <c r="AS958" s="46"/>
      <c r="AT958" s="46"/>
      <c r="AU958" s="46"/>
    </row>
    <row r="959">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c r="AG959" s="46"/>
      <c r="AH959" s="46"/>
      <c r="AI959" s="46"/>
      <c r="AJ959" s="46"/>
      <c r="AK959" s="46"/>
      <c r="AL959" s="46"/>
      <c r="AM959" s="46"/>
      <c r="AN959" s="46"/>
      <c r="AO959" s="46"/>
      <c r="AP959" s="46"/>
      <c r="AQ959" s="46"/>
      <c r="AR959" s="46"/>
      <c r="AS959" s="46"/>
      <c r="AT959" s="46"/>
      <c r="AU959" s="46"/>
    </row>
    <row r="960">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c r="AG960" s="46"/>
      <c r="AH960" s="46"/>
      <c r="AI960" s="46"/>
      <c r="AJ960" s="46"/>
      <c r="AK960" s="46"/>
      <c r="AL960" s="46"/>
      <c r="AM960" s="46"/>
      <c r="AN960" s="46"/>
      <c r="AO960" s="46"/>
      <c r="AP960" s="46"/>
      <c r="AQ960" s="46"/>
      <c r="AR960" s="46"/>
      <c r="AS960" s="46"/>
      <c r="AT960" s="46"/>
      <c r="AU960" s="46"/>
    </row>
    <row r="96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row>
    <row r="96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c r="AG962" s="46"/>
      <c r="AH962" s="46"/>
      <c r="AI962" s="46"/>
      <c r="AJ962" s="46"/>
      <c r="AK962" s="46"/>
      <c r="AL962" s="46"/>
      <c r="AM962" s="46"/>
      <c r="AN962" s="46"/>
      <c r="AO962" s="46"/>
      <c r="AP962" s="46"/>
      <c r="AQ962" s="46"/>
      <c r="AR962" s="46"/>
      <c r="AS962" s="46"/>
      <c r="AT962" s="46"/>
      <c r="AU962" s="46"/>
    </row>
    <row r="963">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c r="AG963" s="46"/>
      <c r="AH963" s="46"/>
      <c r="AI963" s="46"/>
      <c r="AJ963" s="46"/>
      <c r="AK963" s="46"/>
      <c r="AL963" s="46"/>
      <c r="AM963" s="46"/>
      <c r="AN963" s="46"/>
      <c r="AO963" s="46"/>
      <c r="AP963" s="46"/>
      <c r="AQ963" s="46"/>
      <c r="AR963" s="46"/>
      <c r="AS963" s="46"/>
      <c r="AT963" s="46"/>
      <c r="AU963" s="46"/>
    </row>
    <row r="964">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c r="AG964" s="46"/>
      <c r="AH964" s="46"/>
      <c r="AI964" s="46"/>
      <c r="AJ964" s="46"/>
      <c r="AK964" s="46"/>
      <c r="AL964" s="46"/>
      <c r="AM964" s="46"/>
      <c r="AN964" s="46"/>
      <c r="AO964" s="46"/>
      <c r="AP964" s="46"/>
      <c r="AQ964" s="46"/>
      <c r="AR964" s="46"/>
      <c r="AS964" s="46"/>
      <c r="AT964" s="46"/>
      <c r="AU964" s="46"/>
    </row>
    <row r="96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c r="AG965" s="46"/>
      <c r="AH965" s="46"/>
      <c r="AI965" s="46"/>
      <c r="AJ965" s="46"/>
      <c r="AK965" s="46"/>
      <c r="AL965" s="46"/>
      <c r="AM965" s="46"/>
      <c r="AN965" s="46"/>
      <c r="AO965" s="46"/>
      <c r="AP965" s="46"/>
      <c r="AQ965" s="46"/>
      <c r="AR965" s="46"/>
      <c r="AS965" s="46"/>
      <c r="AT965" s="46"/>
      <c r="AU965" s="46"/>
    </row>
    <row r="966">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c r="AG966" s="46"/>
      <c r="AH966" s="46"/>
      <c r="AI966" s="46"/>
      <c r="AJ966" s="46"/>
      <c r="AK966" s="46"/>
      <c r="AL966" s="46"/>
      <c r="AM966" s="46"/>
      <c r="AN966" s="46"/>
      <c r="AO966" s="46"/>
      <c r="AP966" s="46"/>
      <c r="AQ966" s="46"/>
      <c r="AR966" s="46"/>
      <c r="AS966" s="46"/>
      <c r="AT966" s="46"/>
      <c r="AU966" s="46"/>
    </row>
    <row r="967">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c r="AG967" s="46"/>
      <c r="AH967" s="46"/>
      <c r="AI967" s="46"/>
      <c r="AJ967" s="46"/>
      <c r="AK967" s="46"/>
      <c r="AL967" s="46"/>
      <c r="AM967" s="46"/>
      <c r="AN967" s="46"/>
      <c r="AO967" s="46"/>
      <c r="AP967" s="46"/>
      <c r="AQ967" s="46"/>
      <c r="AR967" s="46"/>
      <c r="AS967" s="46"/>
      <c r="AT967" s="46"/>
      <c r="AU967" s="46"/>
    </row>
    <row r="968">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c r="AG968" s="46"/>
      <c r="AH968" s="46"/>
      <c r="AI968" s="46"/>
      <c r="AJ968" s="46"/>
      <c r="AK968" s="46"/>
      <c r="AL968" s="46"/>
      <c r="AM968" s="46"/>
      <c r="AN968" s="46"/>
      <c r="AO968" s="46"/>
      <c r="AP968" s="46"/>
      <c r="AQ968" s="46"/>
      <c r="AR968" s="46"/>
      <c r="AS968" s="46"/>
      <c r="AT968" s="46"/>
      <c r="AU968" s="46"/>
    </row>
    <row r="969">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c r="AG969" s="46"/>
      <c r="AH969" s="46"/>
      <c r="AI969" s="46"/>
      <c r="AJ969" s="46"/>
      <c r="AK969" s="46"/>
      <c r="AL969" s="46"/>
      <c r="AM969" s="46"/>
      <c r="AN969" s="46"/>
      <c r="AO969" s="46"/>
      <c r="AP969" s="46"/>
      <c r="AQ969" s="46"/>
      <c r="AR969" s="46"/>
      <c r="AS969" s="46"/>
      <c r="AT969" s="46"/>
      <c r="AU969" s="46"/>
    </row>
    <row r="970">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c r="AG970" s="46"/>
      <c r="AH970" s="46"/>
      <c r="AI970" s="46"/>
      <c r="AJ970" s="46"/>
      <c r="AK970" s="46"/>
      <c r="AL970" s="46"/>
      <c r="AM970" s="46"/>
      <c r="AN970" s="46"/>
      <c r="AO970" s="46"/>
      <c r="AP970" s="46"/>
      <c r="AQ970" s="46"/>
      <c r="AR970" s="46"/>
      <c r="AS970" s="46"/>
      <c r="AT970" s="46"/>
      <c r="AU970" s="46"/>
    </row>
    <row r="97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c r="AG971" s="46"/>
      <c r="AH971" s="46"/>
      <c r="AI971" s="46"/>
      <c r="AJ971" s="46"/>
      <c r="AK971" s="46"/>
      <c r="AL971" s="46"/>
      <c r="AM971" s="46"/>
      <c r="AN971" s="46"/>
      <c r="AO971" s="46"/>
      <c r="AP971" s="46"/>
      <c r="AQ971" s="46"/>
      <c r="AR971" s="46"/>
      <c r="AS971" s="46"/>
      <c r="AT971" s="46"/>
      <c r="AU971" s="46"/>
    </row>
    <row r="97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c r="AG972" s="46"/>
      <c r="AH972" s="46"/>
      <c r="AI972" s="46"/>
      <c r="AJ972" s="46"/>
      <c r="AK972" s="46"/>
      <c r="AL972" s="46"/>
      <c r="AM972" s="46"/>
      <c r="AN972" s="46"/>
      <c r="AO972" s="46"/>
      <c r="AP972" s="46"/>
      <c r="AQ972" s="46"/>
      <c r="AR972" s="46"/>
      <c r="AS972" s="46"/>
      <c r="AT972" s="46"/>
      <c r="AU972" s="46"/>
    </row>
    <row r="973">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c r="AG973" s="46"/>
      <c r="AH973" s="46"/>
      <c r="AI973" s="46"/>
      <c r="AJ973" s="46"/>
      <c r="AK973" s="46"/>
      <c r="AL973" s="46"/>
      <c r="AM973" s="46"/>
      <c r="AN973" s="46"/>
      <c r="AO973" s="46"/>
      <c r="AP973" s="46"/>
      <c r="AQ973" s="46"/>
      <c r="AR973" s="46"/>
      <c r="AS973" s="46"/>
      <c r="AT973" s="46"/>
      <c r="AU973" s="46"/>
    </row>
    <row r="974">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c r="AG974" s="46"/>
      <c r="AH974" s="46"/>
      <c r="AI974" s="46"/>
      <c r="AJ974" s="46"/>
      <c r="AK974" s="46"/>
      <c r="AL974" s="46"/>
      <c r="AM974" s="46"/>
      <c r="AN974" s="46"/>
      <c r="AO974" s="46"/>
      <c r="AP974" s="46"/>
      <c r="AQ974" s="46"/>
      <c r="AR974" s="46"/>
      <c r="AS974" s="46"/>
      <c r="AT974" s="46"/>
      <c r="AU974" s="46"/>
    </row>
    <row r="97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c r="AG975" s="46"/>
      <c r="AH975" s="46"/>
      <c r="AI975" s="46"/>
      <c r="AJ975" s="46"/>
      <c r="AK975" s="46"/>
      <c r="AL975" s="46"/>
      <c r="AM975" s="46"/>
      <c r="AN975" s="46"/>
      <c r="AO975" s="46"/>
      <c r="AP975" s="46"/>
      <c r="AQ975" s="46"/>
      <c r="AR975" s="46"/>
      <c r="AS975" s="46"/>
      <c r="AT975" s="46"/>
      <c r="AU975" s="46"/>
    </row>
    <row r="976">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row>
    <row r="977">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c r="AG977" s="46"/>
      <c r="AH977" s="46"/>
      <c r="AI977" s="46"/>
      <c r="AJ977" s="46"/>
      <c r="AK977" s="46"/>
      <c r="AL977" s="46"/>
      <c r="AM977" s="46"/>
      <c r="AN977" s="46"/>
      <c r="AO977" s="46"/>
      <c r="AP977" s="46"/>
      <c r="AQ977" s="46"/>
      <c r="AR977" s="46"/>
      <c r="AS977" s="46"/>
      <c r="AT977" s="46"/>
      <c r="AU977" s="46"/>
    </row>
    <row r="978">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c r="AG978" s="46"/>
      <c r="AH978" s="46"/>
      <c r="AI978" s="46"/>
      <c r="AJ978" s="46"/>
      <c r="AK978" s="46"/>
      <c r="AL978" s="46"/>
      <c r="AM978" s="46"/>
      <c r="AN978" s="46"/>
      <c r="AO978" s="46"/>
      <c r="AP978" s="46"/>
      <c r="AQ978" s="46"/>
      <c r="AR978" s="46"/>
      <c r="AS978" s="46"/>
      <c r="AT978" s="46"/>
      <c r="AU978" s="46"/>
    </row>
    <row r="979">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c r="AG979" s="46"/>
      <c r="AH979" s="46"/>
      <c r="AI979" s="46"/>
      <c r="AJ979" s="46"/>
      <c r="AK979" s="46"/>
      <c r="AL979" s="46"/>
      <c r="AM979" s="46"/>
      <c r="AN979" s="46"/>
      <c r="AO979" s="46"/>
      <c r="AP979" s="46"/>
      <c r="AQ979" s="46"/>
      <c r="AR979" s="46"/>
      <c r="AS979" s="46"/>
      <c r="AT979" s="46"/>
      <c r="AU979" s="46"/>
    </row>
    <row r="980">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c r="AG980" s="46"/>
      <c r="AH980" s="46"/>
      <c r="AI980" s="46"/>
      <c r="AJ980" s="46"/>
      <c r="AK980" s="46"/>
      <c r="AL980" s="46"/>
      <c r="AM980" s="46"/>
      <c r="AN980" s="46"/>
      <c r="AO980" s="46"/>
      <c r="AP980" s="46"/>
      <c r="AQ980" s="46"/>
      <c r="AR980" s="46"/>
      <c r="AS980" s="46"/>
      <c r="AT980" s="46"/>
      <c r="AU980" s="46"/>
    </row>
    <row r="98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c r="AG981" s="46"/>
      <c r="AH981" s="46"/>
      <c r="AI981" s="46"/>
      <c r="AJ981" s="46"/>
      <c r="AK981" s="46"/>
      <c r="AL981" s="46"/>
      <c r="AM981" s="46"/>
      <c r="AN981" s="46"/>
      <c r="AO981" s="46"/>
      <c r="AP981" s="46"/>
      <c r="AQ981" s="46"/>
      <c r="AR981" s="46"/>
      <c r="AS981" s="46"/>
      <c r="AT981" s="46"/>
      <c r="AU981" s="46"/>
    </row>
    <row r="98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c r="AG982" s="46"/>
      <c r="AH982" s="46"/>
      <c r="AI982" s="46"/>
      <c r="AJ982" s="46"/>
      <c r="AK982" s="46"/>
      <c r="AL982" s="46"/>
      <c r="AM982" s="46"/>
      <c r="AN982" s="46"/>
      <c r="AO982" s="46"/>
      <c r="AP982" s="46"/>
      <c r="AQ982" s="46"/>
      <c r="AR982" s="46"/>
      <c r="AS982" s="46"/>
      <c r="AT982" s="46"/>
      <c r="AU982" s="46"/>
    </row>
    <row r="983">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c r="AG983" s="46"/>
      <c r="AH983" s="46"/>
      <c r="AI983" s="46"/>
      <c r="AJ983" s="46"/>
      <c r="AK983" s="46"/>
      <c r="AL983" s="46"/>
      <c r="AM983" s="46"/>
      <c r="AN983" s="46"/>
      <c r="AO983" s="46"/>
      <c r="AP983" s="46"/>
      <c r="AQ983" s="46"/>
      <c r="AR983" s="46"/>
      <c r="AS983" s="46"/>
      <c r="AT983" s="46"/>
      <c r="AU983" s="46"/>
    </row>
    <row r="984">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c r="AG984" s="46"/>
      <c r="AH984" s="46"/>
      <c r="AI984" s="46"/>
      <c r="AJ984" s="46"/>
      <c r="AK984" s="46"/>
      <c r="AL984" s="46"/>
      <c r="AM984" s="46"/>
      <c r="AN984" s="46"/>
      <c r="AO984" s="46"/>
      <c r="AP984" s="46"/>
      <c r="AQ984" s="46"/>
      <c r="AR984" s="46"/>
      <c r="AS984" s="46"/>
      <c r="AT984" s="46"/>
      <c r="AU984" s="46"/>
    </row>
    <row r="98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c r="AH985" s="46"/>
      <c r="AI985" s="46"/>
      <c r="AJ985" s="46"/>
      <c r="AK985" s="46"/>
      <c r="AL985" s="46"/>
      <c r="AM985" s="46"/>
      <c r="AN985" s="46"/>
      <c r="AO985" s="46"/>
      <c r="AP985" s="46"/>
      <c r="AQ985" s="46"/>
      <c r="AR985" s="46"/>
      <c r="AS985" s="46"/>
      <c r="AT985" s="46"/>
      <c r="AU985" s="46"/>
    </row>
    <row r="986">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c r="AG986" s="46"/>
      <c r="AH986" s="46"/>
      <c r="AI986" s="46"/>
      <c r="AJ986" s="46"/>
      <c r="AK986" s="46"/>
      <c r="AL986" s="46"/>
      <c r="AM986" s="46"/>
      <c r="AN986" s="46"/>
      <c r="AO986" s="46"/>
      <c r="AP986" s="46"/>
      <c r="AQ986" s="46"/>
      <c r="AR986" s="46"/>
      <c r="AS986" s="46"/>
      <c r="AT986" s="46"/>
      <c r="AU986" s="46"/>
    </row>
    <row r="987">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c r="AG987" s="46"/>
      <c r="AH987" s="46"/>
      <c r="AI987" s="46"/>
      <c r="AJ987" s="46"/>
      <c r="AK987" s="46"/>
      <c r="AL987" s="46"/>
      <c r="AM987" s="46"/>
      <c r="AN987" s="46"/>
      <c r="AO987" s="46"/>
      <c r="AP987" s="46"/>
      <c r="AQ987" s="46"/>
      <c r="AR987" s="46"/>
      <c r="AS987" s="46"/>
      <c r="AT987" s="46"/>
      <c r="AU987" s="46"/>
    </row>
    <row r="988">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c r="AG988" s="46"/>
      <c r="AH988" s="46"/>
      <c r="AI988" s="46"/>
      <c r="AJ988" s="46"/>
      <c r="AK988" s="46"/>
      <c r="AL988" s="46"/>
      <c r="AM988" s="46"/>
      <c r="AN988" s="46"/>
      <c r="AO988" s="46"/>
      <c r="AP988" s="46"/>
      <c r="AQ988" s="46"/>
      <c r="AR988" s="46"/>
      <c r="AS988" s="46"/>
      <c r="AT988" s="46"/>
      <c r="AU988" s="46"/>
    </row>
    <row r="989">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c r="AG989" s="46"/>
      <c r="AH989" s="46"/>
      <c r="AI989" s="46"/>
      <c r="AJ989" s="46"/>
      <c r="AK989" s="46"/>
      <c r="AL989" s="46"/>
      <c r="AM989" s="46"/>
      <c r="AN989" s="46"/>
      <c r="AO989" s="46"/>
      <c r="AP989" s="46"/>
      <c r="AQ989" s="46"/>
      <c r="AR989" s="46"/>
      <c r="AS989" s="46"/>
      <c r="AT989" s="46"/>
      <c r="AU989" s="46"/>
    </row>
    <row r="990">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c r="AG990" s="46"/>
      <c r="AH990" s="46"/>
      <c r="AI990" s="46"/>
      <c r="AJ990" s="46"/>
      <c r="AK990" s="46"/>
      <c r="AL990" s="46"/>
      <c r="AM990" s="46"/>
      <c r="AN990" s="46"/>
      <c r="AO990" s="46"/>
      <c r="AP990" s="46"/>
      <c r="AQ990" s="46"/>
      <c r="AR990" s="46"/>
      <c r="AS990" s="46"/>
      <c r="AT990" s="46"/>
      <c r="AU990" s="46"/>
    </row>
    <row r="99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c r="AG991" s="46"/>
      <c r="AH991" s="46"/>
      <c r="AI991" s="46"/>
      <c r="AJ991" s="46"/>
      <c r="AK991" s="46"/>
      <c r="AL991" s="46"/>
      <c r="AM991" s="46"/>
      <c r="AN991" s="46"/>
      <c r="AO991" s="46"/>
      <c r="AP991" s="46"/>
      <c r="AQ991" s="46"/>
      <c r="AR991" s="46"/>
      <c r="AS991" s="46"/>
      <c r="AT991" s="46"/>
      <c r="AU991" s="46"/>
    </row>
    <row r="99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c r="AG992" s="46"/>
      <c r="AH992" s="46"/>
      <c r="AI992" s="46"/>
      <c r="AJ992" s="46"/>
      <c r="AK992" s="46"/>
      <c r="AL992" s="46"/>
      <c r="AM992" s="46"/>
      <c r="AN992" s="46"/>
      <c r="AO992" s="46"/>
      <c r="AP992" s="46"/>
      <c r="AQ992" s="46"/>
      <c r="AR992" s="46"/>
      <c r="AS992" s="46"/>
      <c r="AT992" s="46"/>
      <c r="AU992" s="46"/>
    </row>
    <row r="993">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c r="AG993" s="46"/>
      <c r="AH993" s="46"/>
      <c r="AI993" s="46"/>
      <c r="AJ993" s="46"/>
      <c r="AK993" s="46"/>
      <c r="AL993" s="46"/>
      <c r="AM993" s="46"/>
      <c r="AN993" s="46"/>
      <c r="AO993" s="46"/>
      <c r="AP993" s="46"/>
      <c r="AQ993" s="46"/>
      <c r="AR993" s="46"/>
      <c r="AS993" s="46"/>
      <c r="AT993" s="46"/>
      <c r="AU993" s="46"/>
    </row>
    <row r="994">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c r="AG994" s="46"/>
      <c r="AH994" s="46"/>
      <c r="AI994" s="46"/>
      <c r="AJ994" s="46"/>
      <c r="AK994" s="46"/>
      <c r="AL994" s="46"/>
      <c r="AM994" s="46"/>
      <c r="AN994" s="46"/>
      <c r="AO994" s="46"/>
      <c r="AP994" s="46"/>
      <c r="AQ994" s="46"/>
      <c r="AR994" s="46"/>
      <c r="AS994" s="46"/>
      <c r="AT994" s="46"/>
      <c r="AU994" s="46"/>
    </row>
    <row r="995">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c r="AC995" s="46"/>
      <c r="AD995" s="46"/>
      <c r="AE995" s="46"/>
      <c r="AF995" s="46"/>
      <c r="AG995" s="46"/>
      <c r="AH995" s="46"/>
      <c r="AI995" s="46"/>
      <c r="AJ995" s="46"/>
      <c r="AK995" s="46"/>
      <c r="AL995" s="46"/>
      <c r="AM995" s="46"/>
      <c r="AN995" s="46"/>
      <c r="AO995" s="46"/>
      <c r="AP995" s="46"/>
      <c r="AQ995" s="46"/>
      <c r="AR995" s="46"/>
      <c r="AS995" s="46"/>
      <c r="AT995" s="46"/>
      <c r="AU995" s="46"/>
    </row>
    <row r="996">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c r="AG996" s="46"/>
      <c r="AH996" s="46"/>
      <c r="AI996" s="46"/>
      <c r="AJ996" s="46"/>
      <c r="AK996" s="46"/>
      <c r="AL996" s="46"/>
      <c r="AM996" s="46"/>
      <c r="AN996" s="46"/>
      <c r="AO996" s="46"/>
      <c r="AP996" s="46"/>
      <c r="AQ996" s="46"/>
      <c r="AR996" s="46"/>
      <c r="AS996" s="46"/>
      <c r="AT996" s="46"/>
      <c r="AU996" s="46"/>
    </row>
    <row r="997">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c r="AG997" s="46"/>
      <c r="AH997" s="46"/>
      <c r="AI997" s="46"/>
      <c r="AJ997" s="46"/>
      <c r="AK997" s="46"/>
      <c r="AL997" s="46"/>
      <c r="AM997" s="46"/>
      <c r="AN997" s="46"/>
      <c r="AO997" s="46"/>
      <c r="AP997" s="46"/>
      <c r="AQ997" s="46"/>
      <c r="AR997" s="46"/>
      <c r="AS997" s="46"/>
      <c r="AT997" s="46"/>
      <c r="AU997" s="46"/>
    </row>
    <row r="998">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c r="AG998" s="46"/>
      <c r="AH998" s="46"/>
      <c r="AI998" s="46"/>
      <c r="AJ998" s="46"/>
      <c r="AK998" s="46"/>
      <c r="AL998" s="46"/>
      <c r="AM998" s="46"/>
      <c r="AN998" s="46"/>
      <c r="AO998" s="46"/>
      <c r="AP998" s="46"/>
      <c r="AQ998" s="46"/>
      <c r="AR998" s="46"/>
      <c r="AS998" s="46"/>
      <c r="AT998" s="46"/>
      <c r="AU998" s="46"/>
    </row>
    <row r="999">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c r="AG999" s="46"/>
      <c r="AH999" s="46"/>
      <c r="AI999" s="46"/>
      <c r="AJ999" s="46"/>
      <c r="AK999" s="46"/>
      <c r="AL999" s="46"/>
      <c r="AM999" s="46"/>
      <c r="AN999" s="46"/>
      <c r="AO999" s="46"/>
      <c r="AP999" s="46"/>
      <c r="AQ999" s="46"/>
      <c r="AR999" s="46"/>
      <c r="AS999" s="46"/>
      <c r="AT999" s="46"/>
      <c r="AU999" s="46"/>
    </row>
    <row r="1000">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c r="AG1000" s="46"/>
      <c r="AH1000" s="46"/>
      <c r="AI1000" s="46"/>
      <c r="AJ1000" s="46"/>
      <c r="AK1000" s="46"/>
      <c r="AL1000" s="46"/>
      <c r="AM1000" s="46"/>
      <c r="AN1000" s="46"/>
      <c r="AO1000" s="46"/>
      <c r="AP1000" s="46"/>
      <c r="AQ1000" s="46"/>
      <c r="AR1000" s="46"/>
      <c r="AS1000" s="46"/>
      <c r="AT1000" s="46"/>
      <c r="AU1000" s="46"/>
    </row>
    <row r="1001">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c r="AB1001" s="46"/>
      <c r="AC1001" s="46"/>
      <c r="AD1001" s="46"/>
      <c r="AE1001" s="46"/>
      <c r="AF1001" s="46"/>
      <c r="AG1001" s="46"/>
      <c r="AH1001" s="46"/>
      <c r="AI1001" s="46"/>
      <c r="AJ1001" s="46"/>
      <c r="AK1001" s="46"/>
      <c r="AL1001" s="46"/>
      <c r="AM1001" s="46"/>
      <c r="AN1001" s="46"/>
      <c r="AO1001" s="46"/>
      <c r="AP1001" s="46"/>
      <c r="AQ1001" s="46"/>
      <c r="AR1001" s="46"/>
      <c r="AS1001" s="46"/>
      <c r="AT1001" s="46"/>
      <c r="AU1001" s="46"/>
    </row>
    <row r="1002">
      <c r="A1002" s="46"/>
      <c r="B1002" s="46"/>
      <c r="C1002" s="46"/>
      <c r="D1002" s="46"/>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c r="AC1002" s="46"/>
      <c r="AD1002" s="46"/>
      <c r="AE1002" s="46"/>
      <c r="AF1002" s="46"/>
      <c r="AG1002" s="46"/>
      <c r="AH1002" s="46"/>
      <c r="AI1002" s="46"/>
      <c r="AJ1002" s="46"/>
      <c r="AK1002" s="46"/>
      <c r="AL1002" s="46"/>
      <c r="AM1002" s="46"/>
      <c r="AN1002" s="46"/>
      <c r="AO1002" s="46"/>
      <c r="AP1002" s="46"/>
      <c r="AQ1002" s="46"/>
      <c r="AR1002" s="46"/>
      <c r="AS1002" s="46"/>
      <c r="AT1002" s="46"/>
      <c r="AU1002" s="46"/>
    </row>
    <row r="1003">
      <c r="A1003" s="46"/>
      <c r="B1003" s="46"/>
      <c r="C1003" s="46"/>
      <c r="D1003" s="46"/>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c r="AA1003" s="46"/>
      <c r="AB1003" s="46"/>
      <c r="AC1003" s="46"/>
      <c r="AD1003" s="46"/>
      <c r="AE1003" s="46"/>
      <c r="AF1003" s="46"/>
      <c r="AG1003" s="46"/>
      <c r="AH1003" s="46"/>
      <c r="AI1003" s="46"/>
      <c r="AJ1003" s="46"/>
      <c r="AK1003" s="46"/>
      <c r="AL1003" s="46"/>
      <c r="AM1003" s="46"/>
      <c r="AN1003" s="46"/>
      <c r="AO1003" s="46"/>
      <c r="AP1003" s="46"/>
      <c r="AQ1003" s="46"/>
      <c r="AR1003" s="46"/>
      <c r="AS1003" s="46"/>
      <c r="AT1003" s="46"/>
      <c r="AU1003" s="46"/>
    </row>
    <row r="1004">
      <c r="A1004" s="46"/>
      <c r="B1004" s="46"/>
      <c r="C1004" s="46"/>
      <c r="D1004" s="46"/>
      <c r="E1004" s="46"/>
      <c r="F1004" s="46"/>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c r="AC1004" s="46"/>
      <c r="AD1004" s="46"/>
      <c r="AE1004" s="46"/>
      <c r="AF1004" s="46"/>
      <c r="AG1004" s="46"/>
      <c r="AH1004" s="46"/>
      <c r="AI1004" s="46"/>
      <c r="AJ1004" s="46"/>
      <c r="AK1004" s="46"/>
      <c r="AL1004" s="46"/>
      <c r="AM1004" s="46"/>
      <c r="AN1004" s="46"/>
      <c r="AO1004" s="46"/>
      <c r="AP1004" s="46"/>
      <c r="AQ1004" s="46"/>
      <c r="AR1004" s="46"/>
      <c r="AS1004" s="46"/>
      <c r="AT1004" s="46"/>
      <c r="AU1004" s="46"/>
    </row>
    <row r="1005">
      <c r="A1005" s="46"/>
      <c r="B1005" s="46"/>
      <c r="C1005" s="46"/>
      <c r="D1005" s="46"/>
      <c r="E1005" s="46"/>
      <c r="F1005" s="46"/>
      <c r="G1005" s="46"/>
      <c r="H1005" s="46"/>
      <c r="I1005" s="46"/>
      <c r="J1005" s="46"/>
      <c r="K1005" s="46"/>
      <c r="L1005" s="46"/>
      <c r="M1005" s="46"/>
      <c r="N1005" s="46"/>
      <c r="O1005" s="46"/>
      <c r="P1005" s="46"/>
      <c r="Q1005" s="46"/>
      <c r="R1005" s="46"/>
      <c r="S1005" s="46"/>
      <c r="T1005" s="46"/>
      <c r="U1005" s="46"/>
      <c r="V1005" s="46"/>
      <c r="W1005" s="46"/>
      <c r="X1005" s="46"/>
      <c r="Y1005" s="46"/>
      <c r="Z1005" s="46"/>
      <c r="AA1005" s="46"/>
      <c r="AB1005" s="46"/>
      <c r="AC1005" s="46"/>
      <c r="AD1005" s="46"/>
      <c r="AE1005" s="46"/>
      <c r="AF1005" s="46"/>
      <c r="AG1005" s="46"/>
      <c r="AH1005" s="46"/>
      <c r="AI1005" s="46"/>
      <c r="AJ1005" s="46"/>
      <c r="AK1005" s="46"/>
      <c r="AL1005" s="46"/>
      <c r="AM1005" s="46"/>
      <c r="AN1005" s="46"/>
      <c r="AO1005" s="46"/>
      <c r="AP1005" s="46"/>
      <c r="AQ1005" s="46"/>
      <c r="AR1005" s="46"/>
      <c r="AS1005" s="46"/>
      <c r="AT1005" s="46"/>
      <c r="AU1005" s="46"/>
    </row>
    <row r="1006">
      <c r="A1006" s="46"/>
      <c r="B1006" s="46"/>
      <c r="C1006" s="46"/>
      <c r="D1006" s="46"/>
      <c r="E1006" s="46"/>
      <c r="F1006" s="46"/>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c r="AC1006" s="46"/>
      <c r="AD1006" s="46"/>
      <c r="AE1006" s="46"/>
      <c r="AF1006" s="46"/>
      <c r="AG1006" s="46"/>
      <c r="AH1006" s="46"/>
      <c r="AI1006" s="46"/>
      <c r="AJ1006" s="46"/>
      <c r="AK1006" s="46"/>
      <c r="AL1006" s="46"/>
      <c r="AM1006" s="46"/>
      <c r="AN1006" s="46"/>
      <c r="AO1006" s="46"/>
      <c r="AP1006" s="46"/>
      <c r="AQ1006" s="46"/>
      <c r="AR1006" s="46"/>
      <c r="AS1006" s="46"/>
      <c r="AT1006" s="46"/>
      <c r="AU1006" s="46"/>
    </row>
    <row r="1007">
      <c r="A1007" s="46"/>
      <c r="B1007" s="46"/>
      <c r="C1007" s="46"/>
      <c r="D1007" s="46"/>
      <c r="E1007" s="46"/>
      <c r="F1007" s="46"/>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c r="AC1007" s="46"/>
      <c r="AD1007" s="46"/>
      <c r="AE1007" s="46"/>
      <c r="AF1007" s="46"/>
      <c r="AG1007" s="46"/>
      <c r="AH1007" s="46"/>
      <c r="AI1007" s="46"/>
      <c r="AJ1007" s="46"/>
      <c r="AK1007" s="46"/>
      <c r="AL1007" s="46"/>
      <c r="AM1007" s="46"/>
      <c r="AN1007" s="46"/>
      <c r="AO1007" s="46"/>
      <c r="AP1007" s="46"/>
      <c r="AQ1007" s="46"/>
      <c r="AR1007" s="46"/>
      <c r="AS1007" s="46"/>
      <c r="AT1007" s="46"/>
      <c r="AU1007" s="46"/>
    </row>
    <row r="1008">
      <c r="A1008" s="46"/>
      <c r="B1008" s="46"/>
      <c r="C1008" s="46"/>
      <c r="D1008" s="46"/>
      <c r="E1008" s="46"/>
      <c r="F1008" s="46"/>
      <c r="G1008" s="46"/>
      <c r="H1008" s="46"/>
      <c r="I1008" s="46"/>
      <c r="J1008" s="46"/>
      <c r="K1008" s="46"/>
      <c r="L1008" s="46"/>
      <c r="M1008" s="46"/>
      <c r="N1008" s="46"/>
      <c r="O1008" s="46"/>
      <c r="P1008" s="46"/>
      <c r="Q1008" s="46"/>
      <c r="R1008" s="46"/>
      <c r="S1008" s="46"/>
      <c r="T1008" s="46"/>
      <c r="U1008" s="46"/>
      <c r="V1008" s="46"/>
      <c r="W1008" s="46"/>
      <c r="X1008" s="46"/>
      <c r="Y1008" s="46"/>
      <c r="Z1008" s="46"/>
      <c r="AA1008" s="46"/>
      <c r="AB1008" s="46"/>
      <c r="AC1008" s="46"/>
      <c r="AD1008" s="46"/>
      <c r="AE1008" s="46"/>
      <c r="AF1008" s="46"/>
      <c r="AG1008" s="46"/>
      <c r="AH1008" s="46"/>
      <c r="AI1008" s="46"/>
      <c r="AJ1008" s="46"/>
      <c r="AK1008" s="46"/>
      <c r="AL1008" s="46"/>
      <c r="AM1008" s="46"/>
      <c r="AN1008" s="46"/>
      <c r="AO1008" s="46"/>
      <c r="AP1008" s="46"/>
      <c r="AQ1008" s="46"/>
      <c r="AR1008" s="46"/>
      <c r="AS1008" s="46"/>
      <c r="AT1008" s="46"/>
      <c r="AU1008" s="46"/>
    </row>
    <row r="1009">
      <c r="A1009" s="46"/>
      <c r="B1009" s="46"/>
      <c r="C1009" s="46"/>
      <c r="D1009" s="46"/>
      <c r="E1009" s="46"/>
      <c r="F1009" s="46"/>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c r="AC1009" s="46"/>
      <c r="AD1009" s="46"/>
      <c r="AE1009" s="46"/>
      <c r="AF1009" s="46"/>
      <c r="AG1009" s="46"/>
      <c r="AH1009" s="46"/>
      <c r="AI1009" s="46"/>
      <c r="AJ1009" s="46"/>
      <c r="AK1009" s="46"/>
      <c r="AL1009" s="46"/>
      <c r="AM1009" s="46"/>
      <c r="AN1009" s="46"/>
      <c r="AO1009" s="46"/>
      <c r="AP1009" s="46"/>
      <c r="AQ1009" s="46"/>
      <c r="AR1009" s="46"/>
      <c r="AS1009" s="46"/>
      <c r="AT1009" s="46"/>
      <c r="AU1009" s="46"/>
    </row>
    <row r="1010">
      <c r="A1010" s="46"/>
      <c r="B1010" s="46"/>
      <c r="C1010" s="46"/>
      <c r="D1010" s="46"/>
      <c r="E1010" s="46"/>
      <c r="F1010" s="46"/>
      <c r="G1010" s="46"/>
      <c r="H1010" s="46"/>
      <c r="I1010" s="46"/>
      <c r="J1010" s="46"/>
      <c r="K1010" s="46"/>
      <c r="L1010" s="46"/>
      <c r="M1010" s="46"/>
      <c r="N1010" s="46"/>
      <c r="O1010" s="46"/>
      <c r="P1010" s="46"/>
      <c r="Q1010" s="46"/>
      <c r="R1010" s="46"/>
      <c r="S1010" s="46"/>
      <c r="T1010" s="46"/>
      <c r="U1010" s="46"/>
      <c r="V1010" s="46"/>
      <c r="W1010" s="46"/>
      <c r="X1010" s="46"/>
      <c r="Y1010" s="46"/>
      <c r="Z1010" s="46"/>
      <c r="AA1010" s="46"/>
      <c r="AB1010" s="46"/>
      <c r="AC1010" s="46"/>
      <c r="AD1010" s="46"/>
      <c r="AE1010" s="46"/>
      <c r="AF1010" s="46"/>
      <c r="AG1010" s="46"/>
      <c r="AH1010" s="46"/>
      <c r="AI1010" s="46"/>
      <c r="AJ1010" s="46"/>
      <c r="AK1010" s="46"/>
      <c r="AL1010" s="46"/>
      <c r="AM1010" s="46"/>
      <c r="AN1010" s="46"/>
      <c r="AO1010" s="46"/>
      <c r="AP1010" s="46"/>
      <c r="AQ1010" s="46"/>
      <c r="AR1010" s="46"/>
      <c r="AS1010" s="46"/>
      <c r="AT1010" s="46"/>
      <c r="AU1010" s="46"/>
    </row>
    <row r="1011">
      <c r="A1011" s="46"/>
      <c r="B1011" s="46"/>
      <c r="C1011" s="46"/>
      <c r="D1011" s="46"/>
      <c r="E1011" s="46"/>
      <c r="F1011" s="46"/>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c r="AC1011" s="46"/>
      <c r="AD1011" s="46"/>
      <c r="AE1011" s="46"/>
      <c r="AF1011" s="46"/>
      <c r="AG1011" s="46"/>
      <c r="AH1011" s="46"/>
      <c r="AI1011" s="46"/>
      <c r="AJ1011" s="46"/>
      <c r="AK1011" s="46"/>
      <c r="AL1011" s="46"/>
      <c r="AM1011" s="46"/>
      <c r="AN1011" s="46"/>
      <c r="AO1011" s="46"/>
      <c r="AP1011" s="46"/>
      <c r="AQ1011" s="46"/>
      <c r="AR1011" s="46"/>
      <c r="AS1011" s="46"/>
      <c r="AT1011" s="46"/>
      <c r="AU1011" s="46"/>
    </row>
    <row r="1012">
      <c r="A1012" s="46"/>
      <c r="B1012" s="46"/>
      <c r="C1012" s="46"/>
      <c r="D1012" s="46"/>
      <c r="E1012" s="46"/>
      <c r="F1012" s="46"/>
      <c r="G1012" s="46"/>
      <c r="H1012" s="46"/>
      <c r="I1012" s="46"/>
      <c r="J1012" s="46"/>
      <c r="K1012" s="46"/>
      <c r="L1012" s="46"/>
      <c r="M1012" s="46"/>
      <c r="N1012" s="46"/>
      <c r="O1012" s="46"/>
      <c r="P1012" s="46"/>
      <c r="Q1012" s="46"/>
      <c r="R1012" s="46"/>
      <c r="S1012" s="46"/>
      <c r="T1012" s="46"/>
      <c r="U1012" s="46"/>
      <c r="V1012" s="46"/>
      <c r="W1012" s="46"/>
      <c r="X1012" s="46"/>
      <c r="Y1012" s="46"/>
      <c r="Z1012" s="46"/>
      <c r="AA1012" s="46"/>
      <c r="AB1012" s="46"/>
      <c r="AC1012" s="46"/>
      <c r="AD1012" s="46"/>
      <c r="AE1012" s="46"/>
      <c r="AF1012" s="46"/>
      <c r="AG1012" s="46"/>
      <c r="AH1012" s="46"/>
      <c r="AI1012" s="46"/>
      <c r="AJ1012" s="46"/>
      <c r="AK1012" s="46"/>
      <c r="AL1012" s="46"/>
      <c r="AM1012" s="46"/>
      <c r="AN1012" s="46"/>
      <c r="AO1012" s="46"/>
      <c r="AP1012" s="46"/>
      <c r="AQ1012" s="46"/>
      <c r="AR1012" s="46"/>
      <c r="AS1012" s="46"/>
      <c r="AT1012" s="46"/>
      <c r="AU1012" s="46"/>
    </row>
    <row r="1013">
      <c r="A1013" s="46"/>
      <c r="B1013" s="46"/>
      <c r="C1013" s="46"/>
      <c r="D1013" s="46"/>
      <c r="E1013" s="46"/>
      <c r="F1013" s="46"/>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c r="AC1013" s="46"/>
      <c r="AD1013" s="46"/>
      <c r="AE1013" s="46"/>
      <c r="AF1013" s="46"/>
      <c r="AG1013" s="46"/>
      <c r="AH1013" s="46"/>
      <c r="AI1013" s="46"/>
      <c r="AJ1013" s="46"/>
      <c r="AK1013" s="46"/>
      <c r="AL1013" s="46"/>
      <c r="AM1013" s="46"/>
      <c r="AN1013" s="46"/>
      <c r="AO1013" s="46"/>
      <c r="AP1013" s="46"/>
      <c r="AQ1013" s="46"/>
      <c r="AR1013" s="46"/>
      <c r="AS1013" s="46"/>
      <c r="AT1013" s="46"/>
      <c r="AU1013" s="4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75"/>
    <col customWidth="1" min="2" max="10" width="4.5"/>
    <col customWidth="1" min="11" max="11" width="7.0"/>
    <col customWidth="1" min="12" max="12" width="68.13"/>
    <col customWidth="1" min="13" max="13" width="44.13"/>
  </cols>
  <sheetData>
    <row r="1">
      <c r="A1" s="359" t="s">
        <v>40378</v>
      </c>
      <c r="B1" s="360" t="s">
        <v>40379</v>
      </c>
      <c r="C1" s="22"/>
      <c r="D1" s="22"/>
      <c r="E1" s="22"/>
      <c r="F1" s="22"/>
      <c r="G1" s="22"/>
      <c r="H1" s="22"/>
      <c r="I1" s="22"/>
      <c r="J1" s="22"/>
      <c r="K1" s="23"/>
      <c r="L1" s="361" t="s">
        <v>11</v>
      </c>
      <c r="M1" s="361" t="s">
        <v>40380</v>
      </c>
      <c r="N1" s="15"/>
      <c r="O1" s="15"/>
      <c r="P1" s="15"/>
      <c r="Q1" s="15"/>
      <c r="R1" s="15"/>
      <c r="S1" s="15"/>
      <c r="T1" s="15"/>
      <c r="U1" s="15"/>
      <c r="V1" s="15"/>
      <c r="W1" s="15"/>
      <c r="X1" s="15"/>
      <c r="Y1" s="15"/>
      <c r="Z1" s="15"/>
    </row>
    <row r="2">
      <c r="A2" s="362" t="s">
        <v>40381</v>
      </c>
      <c r="B2" s="363" t="s">
        <v>23</v>
      </c>
      <c r="C2" s="363" t="s">
        <v>26</v>
      </c>
      <c r="D2" s="363" t="s">
        <v>29</v>
      </c>
      <c r="E2" s="363" t="s">
        <v>31</v>
      </c>
      <c r="F2" s="363" t="s">
        <v>34</v>
      </c>
      <c r="G2" s="363" t="s">
        <v>37</v>
      </c>
      <c r="H2" s="363" t="s">
        <v>39</v>
      </c>
      <c r="I2" s="363" t="s">
        <v>41</v>
      </c>
      <c r="J2" s="363" t="s">
        <v>44</v>
      </c>
      <c r="K2" s="364" t="s">
        <v>40371</v>
      </c>
      <c r="L2" s="365"/>
      <c r="M2" s="365"/>
      <c r="N2" s="15"/>
      <c r="O2" s="15"/>
      <c r="P2" s="15"/>
      <c r="Q2" s="15"/>
      <c r="R2" s="15"/>
      <c r="S2" s="15"/>
      <c r="T2" s="15"/>
      <c r="U2" s="15"/>
      <c r="V2" s="15"/>
      <c r="W2" s="15"/>
      <c r="X2" s="15"/>
      <c r="Y2" s="15"/>
      <c r="Z2" s="15"/>
    </row>
    <row r="3">
      <c r="A3" s="359" t="s">
        <v>79</v>
      </c>
      <c r="B3" s="366" t="s">
        <v>2312</v>
      </c>
      <c r="C3" s="367">
        <v>14.0</v>
      </c>
      <c r="D3" s="366" t="s">
        <v>2312</v>
      </c>
      <c r="E3" s="367">
        <v>5.0</v>
      </c>
      <c r="F3" s="367">
        <v>72.0</v>
      </c>
      <c r="G3" s="367">
        <v>19.0</v>
      </c>
      <c r="H3" s="367">
        <v>35.0</v>
      </c>
      <c r="I3" s="366" t="s">
        <v>2312</v>
      </c>
      <c r="J3" s="366" t="s">
        <v>2312</v>
      </c>
      <c r="K3" s="368">
        <v>145.0</v>
      </c>
      <c r="L3" s="369" t="s">
        <v>40382</v>
      </c>
      <c r="M3" s="369"/>
      <c r="N3" s="15"/>
      <c r="O3" s="15"/>
      <c r="P3" s="15"/>
      <c r="Q3" s="15"/>
      <c r="R3" s="15"/>
      <c r="S3" s="15"/>
      <c r="T3" s="15"/>
      <c r="U3" s="15"/>
      <c r="V3" s="15"/>
      <c r="W3" s="15"/>
      <c r="X3" s="15"/>
      <c r="Y3" s="15"/>
      <c r="Z3" s="15"/>
    </row>
    <row r="4" ht="18.75" customHeight="1">
      <c r="A4" s="370">
        <v>1978.0</v>
      </c>
      <c r="B4" s="366" t="s">
        <v>2312</v>
      </c>
      <c r="C4" s="366" t="s">
        <v>2312</v>
      </c>
      <c r="D4" s="366" t="s">
        <v>2312</v>
      </c>
      <c r="E4" s="366" t="s">
        <v>2312</v>
      </c>
      <c r="F4" s="367">
        <v>1.0</v>
      </c>
      <c r="G4" s="366" t="s">
        <v>2312</v>
      </c>
      <c r="H4" s="366" t="s">
        <v>2312</v>
      </c>
      <c r="I4" s="366" t="s">
        <v>2312</v>
      </c>
      <c r="J4" s="366" t="s">
        <v>2312</v>
      </c>
      <c r="K4" s="367">
        <v>1.0</v>
      </c>
      <c r="L4" s="39"/>
      <c r="M4" s="39"/>
      <c r="N4" s="15"/>
      <c r="O4" s="15"/>
      <c r="P4" s="15"/>
      <c r="Q4" s="15"/>
      <c r="R4" s="15"/>
      <c r="S4" s="15"/>
      <c r="T4" s="15"/>
      <c r="U4" s="15"/>
      <c r="V4" s="15"/>
      <c r="W4" s="15"/>
      <c r="X4" s="15"/>
      <c r="Y4" s="15"/>
      <c r="Z4" s="15"/>
    </row>
    <row r="5" ht="28.5" customHeight="1">
      <c r="A5" s="370">
        <v>1985.0</v>
      </c>
      <c r="B5" s="366" t="s">
        <v>2312</v>
      </c>
      <c r="C5" s="367">
        <v>4.0</v>
      </c>
      <c r="D5" s="366" t="s">
        <v>2312</v>
      </c>
      <c r="E5" s="366" t="s">
        <v>2312</v>
      </c>
      <c r="F5" s="366" t="s">
        <v>2312</v>
      </c>
      <c r="G5" s="366" t="s">
        <v>2312</v>
      </c>
      <c r="H5" s="366" t="s">
        <v>2312</v>
      </c>
      <c r="I5" s="366" t="s">
        <v>2312</v>
      </c>
      <c r="J5" s="366" t="s">
        <v>2312</v>
      </c>
      <c r="K5" s="368">
        <v>4.0</v>
      </c>
      <c r="L5" s="371" t="s">
        <v>40383</v>
      </c>
      <c r="M5" s="372" t="s">
        <v>40384</v>
      </c>
      <c r="N5" s="15"/>
      <c r="O5" s="15"/>
      <c r="P5" s="15"/>
      <c r="Q5" s="15"/>
      <c r="R5" s="15"/>
      <c r="S5" s="15"/>
      <c r="T5" s="15"/>
      <c r="U5" s="15"/>
      <c r="V5" s="15"/>
      <c r="W5" s="15"/>
      <c r="X5" s="15"/>
      <c r="Y5" s="15"/>
      <c r="Z5" s="15"/>
    </row>
    <row r="6" ht="28.5" customHeight="1">
      <c r="A6" s="370">
        <v>1986.0</v>
      </c>
      <c r="B6" s="366" t="s">
        <v>2312</v>
      </c>
      <c r="C6" s="366" t="s">
        <v>2312</v>
      </c>
      <c r="D6" s="366" t="s">
        <v>2312</v>
      </c>
      <c r="E6" s="366" t="s">
        <v>2312</v>
      </c>
      <c r="F6" s="367">
        <v>7.0</v>
      </c>
      <c r="G6" s="366" t="s">
        <v>2312</v>
      </c>
      <c r="H6" s="366" t="s">
        <v>2312</v>
      </c>
      <c r="I6" s="366" t="s">
        <v>2312</v>
      </c>
      <c r="J6" s="366" t="s">
        <v>2312</v>
      </c>
      <c r="K6" s="368">
        <v>7.0</v>
      </c>
      <c r="L6" s="373"/>
      <c r="M6" s="373"/>
      <c r="N6" s="15"/>
      <c r="O6" s="15"/>
      <c r="P6" s="15"/>
      <c r="Q6" s="15"/>
      <c r="R6" s="15"/>
      <c r="S6" s="15"/>
      <c r="T6" s="15"/>
      <c r="U6" s="15"/>
      <c r="V6" s="15"/>
      <c r="W6" s="15"/>
      <c r="X6" s="15"/>
      <c r="Y6" s="15"/>
      <c r="Z6" s="15"/>
    </row>
    <row r="7" ht="28.5" customHeight="1">
      <c r="A7" s="370">
        <v>1989.0</v>
      </c>
      <c r="B7" s="366" t="s">
        <v>2312</v>
      </c>
      <c r="C7" s="367">
        <v>1.0</v>
      </c>
      <c r="D7" s="366" t="s">
        <v>2312</v>
      </c>
      <c r="E7" s="366" t="s">
        <v>2312</v>
      </c>
      <c r="F7" s="367">
        <v>1.0</v>
      </c>
      <c r="G7" s="366" t="s">
        <v>2312</v>
      </c>
      <c r="H7" s="366" t="s">
        <v>2312</v>
      </c>
      <c r="I7" s="366" t="s">
        <v>2312</v>
      </c>
      <c r="J7" s="366" t="s">
        <v>2312</v>
      </c>
      <c r="K7" s="368">
        <v>2.0</v>
      </c>
      <c r="L7" s="365"/>
      <c r="M7" s="365"/>
      <c r="N7" s="15"/>
      <c r="O7" s="15"/>
      <c r="P7" s="15"/>
      <c r="Q7" s="15"/>
      <c r="R7" s="15"/>
      <c r="S7" s="15"/>
      <c r="T7" s="15"/>
      <c r="U7" s="15"/>
      <c r="V7" s="15"/>
      <c r="W7" s="15"/>
      <c r="X7" s="15"/>
      <c r="Y7" s="15"/>
      <c r="Z7" s="15"/>
    </row>
    <row r="8" ht="18.0" customHeight="1">
      <c r="A8" s="370">
        <v>1990.0</v>
      </c>
      <c r="B8" s="367">
        <v>1.0</v>
      </c>
      <c r="C8" s="366" t="s">
        <v>2312</v>
      </c>
      <c r="D8" s="366" t="s">
        <v>2312</v>
      </c>
      <c r="E8" s="366" t="s">
        <v>2312</v>
      </c>
      <c r="F8" s="367">
        <v>4.0</v>
      </c>
      <c r="G8" s="366" t="s">
        <v>2312</v>
      </c>
      <c r="H8" s="366" t="s">
        <v>2312</v>
      </c>
      <c r="I8" s="366" t="s">
        <v>2312</v>
      </c>
      <c r="J8" s="366" t="s">
        <v>2312</v>
      </c>
      <c r="K8" s="368">
        <v>5.0</v>
      </c>
      <c r="L8" s="371" t="s">
        <v>40385</v>
      </c>
      <c r="M8" s="372" t="s">
        <v>40384</v>
      </c>
      <c r="N8" s="15"/>
      <c r="O8" s="15"/>
      <c r="P8" s="15"/>
      <c r="Q8" s="15"/>
      <c r="R8" s="15"/>
      <c r="S8" s="15"/>
      <c r="T8" s="15"/>
      <c r="U8" s="15"/>
      <c r="V8" s="15"/>
      <c r="W8" s="15"/>
      <c r="X8" s="15"/>
      <c r="Y8" s="15"/>
      <c r="Z8" s="15"/>
    </row>
    <row r="9" ht="18.0" customHeight="1">
      <c r="A9" s="370">
        <v>1991.0</v>
      </c>
      <c r="B9" s="366" t="s">
        <v>2312</v>
      </c>
      <c r="C9" s="366" t="s">
        <v>2312</v>
      </c>
      <c r="D9" s="366" t="s">
        <v>2312</v>
      </c>
      <c r="E9" s="366" t="s">
        <v>2312</v>
      </c>
      <c r="F9" s="367">
        <v>2.0</v>
      </c>
      <c r="G9" s="366" t="s">
        <v>2312</v>
      </c>
      <c r="H9" s="366" t="s">
        <v>2312</v>
      </c>
      <c r="I9" s="366" t="s">
        <v>2312</v>
      </c>
      <c r="J9" s="366" t="s">
        <v>2312</v>
      </c>
      <c r="K9" s="368">
        <v>2.0</v>
      </c>
      <c r="L9" s="373"/>
      <c r="M9" s="373"/>
      <c r="N9" s="15"/>
      <c r="O9" s="15"/>
      <c r="P9" s="15"/>
      <c r="Q9" s="15"/>
      <c r="R9" s="15"/>
      <c r="S9" s="15"/>
      <c r="T9" s="15"/>
      <c r="U9" s="15"/>
      <c r="V9" s="15"/>
      <c r="W9" s="15"/>
      <c r="X9" s="15"/>
      <c r="Y9" s="15"/>
      <c r="Z9" s="15"/>
    </row>
    <row r="10" ht="18.0" customHeight="1">
      <c r="A10" s="370">
        <v>1992.0</v>
      </c>
      <c r="B10" s="366" t="s">
        <v>2312</v>
      </c>
      <c r="C10" s="366" t="s">
        <v>2312</v>
      </c>
      <c r="D10" s="366" t="s">
        <v>2312</v>
      </c>
      <c r="E10" s="366" t="s">
        <v>2312</v>
      </c>
      <c r="F10" s="366" t="s">
        <v>2312</v>
      </c>
      <c r="G10" s="366" t="s">
        <v>2312</v>
      </c>
      <c r="H10" s="367">
        <v>1.0</v>
      </c>
      <c r="I10" s="366" t="s">
        <v>2312</v>
      </c>
      <c r="J10" s="366" t="s">
        <v>2312</v>
      </c>
      <c r="K10" s="368">
        <v>1.0</v>
      </c>
      <c r="L10" s="373"/>
      <c r="M10" s="373"/>
      <c r="N10" s="15"/>
      <c r="O10" s="15"/>
      <c r="P10" s="15"/>
      <c r="Q10" s="15"/>
      <c r="R10" s="15"/>
      <c r="S10" s="15"/>
      <c r="T10" s="15"/>
      <c r="U10" s="15"/>
      <c r="V10" s="15"/>
      <c r="W10" s="15"/>
      <c r="X10" s="15"/>
      <c r="Y10" s="15"/>
      <c r="Z10" s="15"/>
    </row>
    <row r="11" ht="18.0" customHeight="1">
      <c r="A11" s="370">
        <v>1993.0</v>
      </c>
      <c r="B11" s="366" t="s">
        <v>2312</v>
      </c>
      <c r="C11" s="366" t="s">
        <v>2312</v>
      </c>
      <c r="D11" s="366" t="s">
        <v>2312</v>
      </c>
      <c r="E11" s="366" t="s">
        <v>2312</v>
      </c>
      <c r="F11" s="366" t="s">
        <v>2312</v>
      </c>
      <c r="G11" s="366" t="s">
        <v>2312</v>
      </c>
      <c r="H11" s="367">
        <v>3.0</v>
      </c>
      <c r="I11" s="366" t="s">
        <v>2312</v>
      </c>
      <c r="J11" s="366" t="s">
        <v>2312</v>
      </c>
      <c r="K11" s="368">
        <v>3.0</v>
      </c>
      <c r="L11" s="373"/>
      <c r="M11" s="373"/>
      <c r="N11" s="15"/>
      <c r="O11" s="15"/>
      <c r="P11" s="15"/>
      <c r="Q11" s="15"/>
      <c r="R11" s="15"/>
      <c r="S11" s="15"/>
      <c r="T11" s="15"/>
      <c r="U11" s="15"/>
      <c r="V11" s="15"/>
      <c r="W11" s="15"/>
      <c r="X11" s="15"/>
      <c r="Y11" s="15"/>
      <c r="Z11" s="15"/>
    </row>
    <row r="12" ht="18.0" customHeight="1">
      <c r="A12" s="370">
        <v>1994.0</v>
      </c>
      <c r="B12" s="366" t="s">
        <v>2312</v>
      </c>
      <c r="C12" s="366" t="s">
        <v>2312</v>
      </c>
      <c r="D12" s="366" t="s">
        <v>2312</v>
      </c>
      <c r="E12" s="366" t="s">
        <v>2312</v>
      </c>
      <c r="F12" s="366" t="s">
        <v>2312</v>
      </c>
      <c r="G12" s="367">
        <v>1.0</v>
      </c>
      <c r="H12" s="367">
        <v>3.0</v>
      </c>
      <c r="I12" s="366" t="s">
        <v>2312</v>
      </c>
      <c r="J12" s="366" t="s">
        <v>2312</v>
      </c>
      <c r="K12" s="368">
        <v>4.0</v>
      </c>
      <c r="L12" s="373"/>
      <c r="M12" s="373"/>
      <c r="N12" s="15"/>
      <c r="O12" s="15"/>
      <c r="P12" s="15"/>
      <c r="Q12" s="15"/>
      <c r="R12" s="15"/>
      <c r="S12" s="15"/>
      <c r="T12" s="15"/>
      <c r="U12" s="15"/>
      <c r="V12" s="15"/>
      <c r="W12" s="15"/>
      <c r="X12" s="15"/>
      <c r="Y12" s="15"/>
      <c r="Z12" s="15"/>
    </row>
    <row r="13" ht="18.0" customHeight="1">
      <c r="A13" s="370">
        <v>1995.0</v>
      </c>
      <c r="B13" s="366" t="s">
        <v>2312</v>
      </c>
      <c r="C13" s="366" t="s">
        <v>2312</v>
      </c>
      <c r="D13" s="366" t="s">
        <v>2312</v>
      </c>
      <c r="E13" s="367">
        <v>1.0</v>
      </c>
      <c r="F13" s="367">
        <v>1.0</v>
      </c>
      <c r="G13" s="367">
        <v>1.0</v>
      </c>
      <c r="H13" s="367">
        <v>24.0</v>
      </c>
      <c r="I13" s="366" t="s">
        <v>2312</v>
      </c>
      <c r="J13" s="366" t="s">
        <v>2312</v>
      </c>
      <c r="K13" s="368">
        <v>27.0</v>
      </c>
      <c r="L13" s="373"/>
      <c r="M13" s="373"/>
      <c r="N13" s="15"/>
      <c r="O13" s="15"/>
      <c r="P13" s="15"/>
      <c r="Q13" s="15"/>
      <c r="R13" s="15"/>
      <c r="S13" s="15"/>
      <c r="T13" s="15"/>
      <c r="U13" s="15"/>
      <c r="V13" s="15"/>
      <c r="W13" s="15"/>
      <c r="X13" s="15"/>
      <c r="Y13" s="15"/>
      <c r="Z13" s="15"/>
    </row>
    <row r="14" ht="18.0" customHeight="1">
      <c r="A14" s="370">
        <v>1996.0</v>
      </c>
      <c r="B14" s="366" t="s">
        <v>2312</v>
      </c>
      <c r="C14" s="366" t="s">
        <v>2312</v>
      </c>
      <c r="D14" s="366" t="s">
        <v>2312</v>
      </c>
      <c r="E14" s="367">
        <v>4.0</v>
      </c>
      <c r="F14" s="366" t="s">
        <v>2312</v>
      </c>
      <c r="G14" s="367">
        <v>1.0</v>
      </c>
      <c r="H14" s="367">
        <v>10.0</v>
      </c>
      <c r="I14" s="366" t="s">
        <v>2312</v>
      </c>
      <c r="J14" s="366" t="s">
        <v>2312</v>
      </c>
      <c r="K14" s="368">
        <v>15.0</v>
      </c>
      <c r="L14" s="373"/>
      <c r="M14" s="373"/>
      <c r="N14" s="15"/>
      <c r="O14" s="15"/>
      <c r="P14" s="15"/>
      <c r="Q14" s="15"/>
      <c r="R14" s="15"/>
      <c r="S14" s="15"/>
      <c r="T14" s="15"/>
      <c r="U14" s="15"/>
      <c r="V14" s="15"/>
      <c r="W14" s="15"/>
      <c r="X14" s="15"/>
      <c r="Y14" s="15"/>
      <c r="Z14" s="15"/>
    </row>
    <row r="15" ht="18.0" customHeight="1">
      <c r="A15" s="370">
        <v>1997.0</v>
      </c>
      <c r="B15" s="366" t="s">
        <v>2312</v>
      </c>
      <c r="C15" s="366" t="s">
        <v>2312</v>
      </c>
      <c r="D15" s="366" t="s">
        <v>2312</v>
      </c>
      <c r="E15" s="366" t="s">
        <v>2312</v>
      </c>
      <c r="F15" s="366" t="s">
        <v>2312</v>
      </c>
      <c r="G15" s="367">
        <v>1.0</v>
      </c>
      <c r="H15" s="366" t="s">
        <v>2312</v>
      </c>
      <c r="I15" s="366" t="s">
        <v>2312</v>
      </c>
      <c r="J15" s="366" t="s">
        <v>2312</v>
      </c>
      <c r="K15" s="368">
        <v>1.0</v>
      </c>
      <c r="L15" s="373"/>
      <c r="M15" s="373"/>
      <c r="N15" s="15"/>
      <c r="O15" s="15"/>
      <c r="P15" s="15"/>
      <c r="Q15" s="15"/>
      <c r="R15" s="15"/>
      <c r="S15" s="15"/>
      <c r="T15" s="15"/>
      <c r="U15" s="15"/>
      <c r="V15" s="15"/>
      <c r="W15" s="15"/>
      <c r="X15" s="15"/>
      <c r="Y15" s="15"/>
      <c r="Z15" s="15"/>
    </row>
    <row r="16" ht="18.0" customHeight="1">
      <c r="A16" s="370">
        <v>1998.0</v>
      </c>
      <c r="B16" s="366" t="s">
        <v>2312</v>
      </c>
      <c r="C16" s="366" t="s">
        <v>2312</v>
      </c>
      <c r="D16" s="366" t="s">
        <v>2312</v>
      </c>
      <c r="E16" s="366" t="s">
        <v>2312</v>
      </c>
      <c r="F16" s="366" t="s">
        <v>2312</v>
      </c>
      <c r="G16" s="367">
        <v>2.0</v>
      </c>
      <c r="H16" s="367">
        <v>3.0</v>
      </c>
      <c r="I16" s="366" t="s">
        <v>2312</v>
      </c>
      <c r="J16" s="366" t="s">
        <v>2312</v>
      </c>
      <c r="K16" s="368">
        <v>5.0</v>
      </c>
      <c r="L16" s="365"/>
      <c r="M16" s="365"/>
      <c r="N16" s="15"/>
      <c r="O16" s="15"/>
      <c r="P16" s="15"/>
      <c r="Q16" s="15"/>
      <c r="R16" s="15"/>
      <c r="S16" s="15"/>
      <c r="T16" s="15"/>
      <c r="U16" s="15"/>
      <c r="V16" s="15"/>
      <c r="W16" s="15"/>
      <c r="X16" s="15"/>
      <c r="Y16" s="15"/>
      <c r="Z16" s="15"/>
    </row>
    <row r="17" ht="18.0" customHeight="1">
      <c r="A17" s="370">
        <v>2000.0</v>
      </c>
      <c r="B17" s="366" t="s">
        <v>2312</v>
      </c>
      <c r="C17" s="367">
        <v>5.0</v>
      </c>
      <c r="D17" s="366" t="s">
        <v>2312</v>
      </c>
      <c r="E17" s="366" t="s">
        <v>2312</v>
      </c>
      <c r="F17" s="367">
        <v>1.0</v>
      </c>
      <c r="G17" s="367">
        <v>3.0</v>
      </c>
      <c r="H17" s="367">
        <v>2.0</v>
      </c>
      <c r="I17" s="366" t="s">
        <v>2312</v>
      </c>
      <c r="J17" s="366" t="s">
        <v>2312</v>
      </c>
      <c r="K17" s="367">
        <v>11.0</v>
      </c>
      <c r="L17" s="39"/>
      <c r="M17" s="39"/>
      <c r="N17" s="15"/>
      <c r="O17" s="15"/>
      <c r="P17" s="15"/>
      <c r="Q17" s="15"/>
      <c r="R17" s="15"/>
      <c r="S17" s="15"/>
      <c r="T17" s="15"/>
      <c r="U17" s="15"/>
      <c r="V17" s="15"/>
      <c r="W17" s="15"/>
      <c r="X17" s="15"/>
      <c r="Y17" s="15"/>
      <c r="Z17" s="15"/>
    </row>
    <row r="18">
      <c r="A18" s="370">
        <v>2001.0</v>
      </c>
      <c r="B18" s="366" t="s">
        <v>2312</v>
      </c>
      <c r="C18" s="367">
        <v>1.0</v>
      </c>
      <c r="D18" s="366" t="s">
        <v>2312</v>
      </c>
      <c r="E18" s="366" t="s">
        <v>2312</v>
      </c>
      <c r="F18" s="367">
        <v>4.0</v>
      </c>
      <c r="G18" s="367">
        <v>1.0</v>
      </c>
      <c r="H18" s="367">
        <v>2.0</v>
      </c>
      <c r="I18" s="366" t="s">
        <v>2312</v>
      </c>
      <c r="J18" s="366" t="s">
        <v>2312</v>
      </c>
      <c r="K18" s="368">
        <v>8.0</v>
      </c>
      <c r="L18" s="369" t="s">
        <v>40386</v>
      </c>
      <c r="M18" s="369"/>
      <c r="N18" s="15"/>
      <c r="O18" s="15"/>
      <c r="P18" s="15"/>
      <c r="Q18" s="15"/>
      <c r="R18" s="15"/>
      <c r="S18" s="15"/>
      <c r="T18" s="15"/>
      <c r="U18" s="15"/>
      <c r="V18" s="15"/>
      <c r="W18" s="15"/>
      <c r="X18" s="15"/>
      <c r="Y18" s="15"/>
      <c r="Z18" s="15"/>
    </row>
    <row r="19" ht="18.75" customHeight="1">
      <c r="A19" s="370">
        <v>2002.0</v>
      </c>
      <c r="B19" s="366" t="s">
        <v>2312</v>
      </c>
      <c r="C19" s="367">
        <v>1.0</v>
      </c>
      <c r="D19" s="366" t="s">
        <v>2312</v>
      </c>
      <c r="E19" s="366" t="s">
        <v>2312</v>
      </c>
      <c r="F19" s="367">
        <v>1.0</v>
      </c>
      <c r="G19" s="367">
        <v>6.0</v>
      </c>
      <c r="H19" s="366" t="s">
        <v>2312</v>
      </c>
      <c r="I19" s="366" t="s">
        <v>2312</v>
      </c>
      <c r="J19" s="366" t="s">
        <v>2312</v>
      </c>
      <c r="K19" s="367">
        <v>8.0</v>
      </c>
      <c r="L19" s="39"/>
      <c r="M19" s="39"/>
      <c r="N19" s="15"/>
      <c r="O19" s="15"/>
      <c r="P19" s="15"/>
      <c r="Q19" s="15"/>
      <c r="R19" s="15"/>
      <c r="S19" s="15"/>
      <c r="T19" s="15"/>
      <c r="U19" s="15"/>
      <c r="V19" s="15"/>
      <c r="W19" s="15"/>
      <c r="X19" s="15"/>
      <c r="Y19" s="15"/>
      <c r="Z19" s="15"/>
    </row>
    <row r="20" ht="18.75" customHeight="1">
      <c r="A20" s="370">
        <v>2003.0</v>
      </c>
      <c r="B20" s="367">
        <v>1.0</v>
      </c>
      <c r="C20" s="367">
        <v>6.0</v>
      </c>
      <c r="D20" s="366" t="s">
        <v>2312</v>
      </c>
      <c r="E20" s="367">
        <v>1.0</v>
      </c>
      <c r="F20" s="367">
        <v>2.0</v>
      </c>
      <c r="G20" s="367">
        <v>1.0</v>
      </c>
      <c r="H20" s="367">
        <v>1.0</v>
      </c>
      <c r="I20" s="366" t="s">
        <v>2312</v>
      </c>
      <c r="J20" s="366" t="s">
        <v>2312</v>
      </c>
      <c r="K20" s="367">
        <v>12.0</v>
      </c>
      <c r="L20" s="39"/>
      <c r="M20" s="39"/>
      <c r="N20" s="15"/>
      <c r="O20" s="15"/>
      <c r="P20" s="15"/>
      <c r="Q20" s="15"/>
      <c r="R20" s="15"/>
      <c r="S20" s="15"/>
      <c r="T20" s="15"/>
      <c r="U20" s="15"/>
      <c r="V20" s="15"/>
      <c r="W20" s="15"/>
      <c r="X20" s="15"/>
      <c r="Y20" s="15"/>
      <c r="Z20" s="15"/>
    </row>
    <row r="21" ht="18.75" customHeight="1">
      <c r="A21" s="370">
        <v>2004.0</v>
      </c>
      <c r="B21" s="366" t="s">
        <v>2312</v>
      </c>
      <c r="C21" s="367">
        <v>1.0</v>
      </c>
      <c r="D21" s="366" t="s">
        <v>2312</v>
      </c>
      <c r="E21" s="367">
        <v>1.0</v>
      </c>
      <c r="F21" s="367">
        <v>5.0</v>
      </c>
      <c r="G21" s="367">
        <v>6.0</v>
      </c>
      <c r="H21" s="367">
        <v>1.0</v>
      </c>
      <c r="I21" s="366" t="s">
        <v>2312</v>
      </c>
      <c r="J21" s="366" t="s">
        <v>2312</v>
      </c>
      <c r="K21" s="367">
        <v>14.0</v>
      </c>
      <c r="L21" s="369" t="s">
        <v>40387</v>
      </c>
      <c r="M21" s="39"/>
      <c r="N21" s="15"/>
      <c r="O21" s="15"/>
      <c r="P21" s="15"/>
      <c r="Q21" s="15"/>
      <c r="R21" s="15"/>
      <c r="S21" s="15"/>
      <c r="T21" s="15"/>
      <c r="U21" s="15"/>
      <c r="V21" s="15"/>
      <c r="W21" s="15"/>
      <c r="X21" s="15"/>
      <c r="Y21" s="15"/>
      <c r="Z21" s="15"/>
    </row>
    <row r="22" ht="18.75" customHeight="1">
      <c r="A22" s="370">
        <v>2005.0</v>
      </c>
      <c r="B22" s="367">
        <v>3.0</v>
      </c>
      <c r="C22" s="367">
        <v>6.0</v>
      </c>
      <c r="D22" s="366" t="s">
        <v>2312</v>
      </c>
      <c r="E22" s="367">
        <v>1.0</v>
      </c>
      <c r="F22" s="367">
        <v>3.0</v>
      </c>
      <c r="G22" s="367">
        <v>8.0</v>
      </c>
      <c r="H22" s="367">
        <v>2.0</v>
      </c>
      <c r="I22" s="366" t="s">
        <v>2312</v>
      </c>
      <c r="J22" s="366" t="s">
        <v>2312</v>
      </c>
      <c r="K22" s="367">
        <v>23.0</v>
      </c>
      <c r="L22" s="369" t="s">
        <v>40388</v>
      </c>
      <c r="M22" s="369"/>
      <c r="N22" s="15"/>
      <c r="O22" s="15"/>
      <c r="P22" s="15"/>
      <c r="Q22" s="15"/>
      <c r="R22" s="15"/>
      <c r="S22" s="15"/>
      <c r="T22" s="15"/>
      <c r="U22" s="15"/>
      <c r="V22" s="15"/>
      <c r="W22" s="15"/>
      <c r="X22" s="15"/>
      <c r="Y22" s="15"/>
      <c r="Z22" s="15"/>
    </row>
    <row r="23">
      <c r="A23" s="370">
        <v>2006.0</v>
      </c>
      <c r="B23" s="367">
        <v>1.0</v>
      </c>
      <c r="C23" s="367">
        <v>66.0</v>
      </c>
      <c r="D23" s="366" t="s">
        <v>2312</v>
      </c>
      <c r="E23" s="367">
        <v>1.0</v>
      </c>
      <c r="F23" s="367">
        <v>3.0</v>
      </c>
      <c r="G23" s="367">
        <v>6.0</v>
      </c>
      <c r="H23" s="367">
        <v>8.0</v>
      </c>
      <c r="I23" s="366" t="s">
        <v>2312</v>
      </c>
      <c r="J23" s="366" t="s">
        <v>2312</v>
      </c>
      <c r="K23" s="368">
        <v>85.0</v>
      </c>
      <c r="L23" s="369" t="s">
        <v>40389</v>
      </c>
      <c r="M23" s="369" t="s">
        <v>40390</v>
      </c>
      <c r="N23" s="15"/>
      <c r="O23" s="15"/>
      <c r="P23" s="15"/>
      <c r="Q23" s="15"/>
      <c r="R23" s="15"/>
      <c r="S23" s="15"/>
      <c r="T23" s="15"/>
      <c r="U23" s="15"/>
      <c r="V23" s="15"/>
      <c r="W23" s="15"/>
      <c r="X23" s="15"/>
      <c r="Y23" s="15"/>
      <c r="Z23" s="15"/>
    </row>
    <row r="24">
      <c r="A24" s="370">
        <v>2007.0</v>
      </c>
      <c r="B24" s="366" t="s">
        <v>2312</v>
      </c>
      <c r="C24" s="367">
        <v>21.0</v>
      </c>
      <c r="D24" s="366" t="s">
        <v>2312</v>
      </c>
      <c r="E24" s="367">
        <v>4.0</v>
      </c>
      <c r="F24" s="367">
        <v>14.0</v>
      </c>
      <c r="G24" s="367">
        <v>18.0</v>
      </c>
      <c r="H24" s="367">
        <v>3.0</v>
      </c>
      <c r="I24" s="366" t="s">
        <v>2312</v>
      </c>
      <c r="J24" s="366" t="s">
        <v>2312</v>
      </c>
      <c r="K24" s="367">
        <v>60.0</v>
      </c>
      <c r="L24" s="369" t="s">
        <v>40391</v>
      </c>
      <c r="M24" s="369" t="s">
        <v>40392</v>
      </c>
      <c r="N24" s="15"/>
      <c r="O24" s="15"/>
      <c r="P24" s="15"/>
      <c r="Q24" s="15"/>
      <c r="R24" s="15"/>
      <c r="S24" s="15"/>
      <c r="T24" s="15"/>
      <c r="U24" s="15"/>
      <c r="V24" s="15"/>
      <c r="W24" s="15"/>
      <c r="X24" s="15"/>
      <c r="Y24" s="15"/>
      <c r="Z24" s="15"/>
    </row>
    <row r="25">
      <c r="A25" s="370">
        <v>2008.0</v>
      </c>
      <c r="B25" s="367">
        <v>1.0</v>
      </c>
      <c r="C25" s="367">
        <v>5.0</v>
      </c>
      <c r="D25" s="366" t="s">
        <v>2312</v>
      </c>
      <c r="E25" s="367">
        <v>2.0</v>
      </c>
      <c r="F25" s="367">
        <v>71.0</v>
      </c>
      <c r="G25" s="367">
        <v>10.0</v>
      </c>
      <c r="H25" s="367">
        <v>9.0</v>
      </c>
      <c r="I25" s="366" t="s">
        <v>2312</v>
      </c>
      <c r="J25" s="367">
        <v>1.0</v>
      </c>
      <c r="K25" s="367">
        <v>99.0</v>
      </c>
      <c r="L25" s="369" t="s">
        <v>40393</v>
      </c>
      <c r="M25" s="39"/>
      <c r="N25" s="15"/>
      <c r="O25" s="15"/>
      <c r="P25" s="15"/>
      <c r="Q25" s="15"/>
      <c r="R25" s="15"/>
      <c r="S25" s="15"/>
      <c r="T25" s="15"/>
      <c r="U25" s="15"/>
      <c r="V25" s="15"/>
      <c r="W25" s="15"/>
      <c r="X25" s="15"/>
      <c r="Y25" s="15"/>
      <c r="Z25" s="15"/>
    </row>
    <row r="26">
      <c r="A26" s="370">
        <v>2009.0</v>
      </c>
      <c r="B26" s="367">
        <v>4.0</v>
      </c>
      <c r="C26" s="367">
        <v>42.0</v>
      </c>
      <c r="D26" s="366" t="s">
        <v>2312</v>
      </c>
      <c r="E26" s="367">
        <v>5.0</v>
      </c>
      <c r="F26" s="367">
        <v>636.0</v>
      </c>
      <c r="G26" s="367">
        <v>39.0</v>
      </c>
      <c r="H26" s="367">
        <v>37.0</v>
      </c>
      <c r="I26" s="366" t="s">
        <v>2312</v>
      </c>
      <c r="J26" s="366" t="s">
        <v>2312</v>
      </c>
      <c r="K26" s="367">
        <v>763.0</v>
      </c>
      <c r="L26" s="369" t="s">
        <v>40394</v>
      </c>
      <c r="M26" s="369" t="s">
        <v>40395</v>
      </c>
      <c r="N26" s="15"/>
      <c r="O26" s="15"/>
      <c r="P26" s="15"/>
      <c r="Q26" s="15"/>
      <c r="R26" s="15"/>
      <c r="S26" s="15"/>
      <c r="T26" s="15"/>
      <c r="U26" s="15"/>
      <c r="V26" s="15"/>
      <c r="W26" s="15"/>
      <c r="X26" s="15"/>
      <c r="Y26" s="15"/>
      <c r="Z26" s="15"/>
    </row>
    <row r="27">
      <c r="A27" s="370">
        <v>2010.0</v>
      </c>
      <c r="B27" s="367">
        <v>6.0</v>
      </c>
      <c r="C27" s="367">
        <v>67.0</v>
      </c>
      <c r="D27" s="366" t="s">
        <v>2312</v>
      </c>
      <c r="E27" s="367">
        <v>11.0</v>
      </c>
      <c r="F27" s="367">
        <v>306.0</v>
      </c>
      <c r="G27" s="367">
        <v>62.0</v>
      </c>
      <c r="H27" s="367">
        <v>45.0</v>
      </c>
      <c r="I27" s="366" t="s">
        <v>2312</v>
      </c>
      <c r="J27" s="366" t="s">
        <v>2312</v>
      </c>
      <c r="K27" s="367">
        <v>497.0</v>
      </c>
      <c r="L27" s="369" t="s">
        <v>40396</v>
      </c>
      <c r="M27" s="39"/>
      <c r="N27" s="15"/>
      <c r="O27" s="15"/>
      <c r="P27" s="15"/>
      <c r="Q27" s="15"/>
      <c r="R27" s="15"/>
      <c r="S27" s="15"/>
      <c r="T27" s="15"/>
      <c r="U27" s="15"/>
      <c r="V27" s="15"/>
      <c r="W27" s="15"/>
      <c r="X27" s="15"/>
      <c r="Y27" s="15"/>
      <c r="Z27" s="15"/>
    </row>
    <row r="28">
      <c r="A28" s="370">
        <v>2011.0</v>
      </c>
      <c r="B28" s="367">
        <v>3.0</v>
      </c>
      <c r="C28" s="367">
        <v>44.0</v>
      </c>
      <c r="D28" s="367">
        <v>1.0</v>
      </c>
      <c r="E28" s="367">
        <v>9.0</v>
      </c>
      <c r="F28" s="367">
        <v>224.0</v>
      </c>
      <c r="G28" s="367">
        <v>117.0</v>
      </c>
      <c r="H28" s="367">
        <v>52.0</v>
      </c>
      <c r="I28" s="366" t="s">
        <v>2312</v>
      </c>
      <c r="J28" s="366" t="s">
        <v>2312</v>
      </c>
      <c r="K28" s="367">
        <v>450.0</v>
      </c>
      <c r="L28" s="369" t="s">
        <v>40397</v>
      </c>
      <c r="M28" s="369" t="s">
        <v>40398</v>
      </c>
      <c r="N28" s="15"/>
      <c r="O28" s="15"/>
      <c r="P28" s="15"/>
      <c r="Q28" s="15"/>
      <c r="R28" s="15"/>
      <c r="S28" s="15"/>
      <c r="T28" s="15"/>
      <c r="U28" s="15"/>
      <c r="V28" s="15"/>
      <c r="W28" s="15"/>
      <c r="X28" s="15"/>
      <c r="Y28" s="15"/>
      <c r="Z28" s="15"/>
    </row>
    <row r="29">
      <c r="A29" s="370">
        <v>2012.0</v>
      </c>
      <c r="B29" s="367">
        <v>4.0</v>
      </c>
      <c r="C29" s="367">
        <v>46.0</v>
      </c>
      <c r="D29" s="366" t="s">
        <v>2312</v>
      </c>
      <c r="E29" s="367">
        <v>11.0</v>
      </c>
      <c r="F29" s="367">
        <v>280.0</v>
      </c>
      <c r="G29" s="367">
        <v>118.0</v>
      </c>
      <c r="H29" s="367">
        <v>50.0</v>
      </c>
      <c r="I29" s="366" t="s">
        <v>2312</v>
      </c>
      <c r="J29" s="366" t="s">
        <v>2312</v>
      </c>
      <c r="K29" s="367">
        <v>509.0</v>
      </c>
      <c r="L29" s="369" t="s">
        <v>40399</v>
      </c>
      <c r="M29" s="369" t="s">
        <v>40400</v>
      </c>
      <c r="N29" s="15"/>
      <c r="O29" s="15"/>
      <c r="P29" s="15"/>
      <c r="Q29" s="15"/>
      <c r="R29" s="15"/>
      <c r="S29" s="15"/>
      <c r="T29" s="15"/>
      <c r="U29" s="15"/>
      <c r="V29" s="15"/>
      <c r="W29" s="15"/>
      <c r="X29" s="15"/>
      <c r="Y29" s="15"/>
      <c r="Z29" s="15"/>
    </row>
    <row r="30">
      <c r="A30" s="370">
        <v>2013.0</v>
      </c>
      <c r="B30" s="367">
        <v>3.0</v>
      </c>
      <c r="C30" s="367">
        <v>128.0</v>
      </c>
      <c r="D30" s="367">
        <v>1.0</v>
      </c>
      <c r="E30" s="367">
        <v>17.0</v>
      </c>
      <c r="F30" s="367">
        <v>259.0</v>
      </c>
      <c r="G30" s="367">
        <v>118.0</v>
      </c>
      <c r="H30" s="367">
        <v>170.0</v>
      </c>
      <c r="I30" s="366" t="s">
        <v>2312</v>
      </c>
      <c r="J30" s="366" t="s">
        <v>2312</v>
      </c>
      <c r="K30" s="367">
        <v>696.0</v>
      </c>
      <c r="L30" s="369" t="s">
        <v>40401</v>
      </c>
      <c r="M30" s="39"/>
      <c r="N30" s="15"/>
      <c r="O30" s="15"/>
      <c r="P30" s="15"/>
      <c r="Q30" s="15"/>
      <c r="R30" s="15"/>
      <c r="S30" s="15"/>
      <c r="T30" s="15"/>
      <c r="U30" s="15"/>
      <c r="V30" s="15"/>
      <c r="W30" s="15"/>
      <c r="X30" s="15"/>
      <c r="Y30" s="15"/>
      <c r="Z30" s="15"/>
    </row>
    <row r="31">
      <c r="A31" s="370">
        <v>2014.0</v>
      </c>
      <c r="B31" s="367">
        <v>7.0</v>
      </c>
      <c r="C31" s="367">
        <v>96.0</v>
      </c>
      <c r="D31" s="366" t="s">
        <v>2312</v>
      </c>
      <c r="E31" s="367">
        <v>27.0</v>
      </c>
      <c r="F31" s="367">
        <v>284.0</v>
      </c>
      <c r="G31" s="367">
        <v>105.0</v>
      </c>
      <c r="H31" s="367">
        <v>172.0</v>
      </c>
      <c r="I31" s="367">
        <v>1.0</v>
      </c>
      <c r="J31" s="366" t="s">
        <v>2312</v>
      </c>
      <c r="K31" s="367">
        <v>692.0</v>
      </c>
      <c r="L31" s="369" t="s">
        <v>40402</v>
      </c>
      <c r="M31" s="39"/>
      <c r="N31" s="15"/>
      <c r="O31" s="15"/>
      <c r="P31" s="15"/>
      <c r="Q31" s="15"/>
      <c r="R31" s="15"/>
      <c r="S31" s="15"/>
      <c r="T31" s="15"/>
      <c r="U31" s="15"/>
      <c r="V31" s="15"/>
      <c r="W31" s="15"/>
      <c r="X31" s="15"/>
      <c r="Y31" s="15"/>
      <c r="Z31" s="15"/>
    </row>
    <row r="32" ht="19.5" customHeight="1">
      <c r="A32" s="370">
        <v>2015.0</v>
      </c>
      <c r="B32" s="367">
        <v>9.0</v>
      </c>
      <c r="C32" s="367">
        <v>62.0</v>
      </c>
      <c r="D32" s="366" t="s">
        <v>2312</v>
      </c>
      <c r="E32" s="367">
        <v>31.0</v>
      </c>
      <c r="F32" s="367">
        <v>237.0</v>
      </c>
      <c r="G32" s="367">
        <v>148.0</v>
      </c>
      <c r="H32" s="367">
        <v>368.0</v>
      </c>
      <c r="I32" s="366" t="s">
        <v>2312</v>
      </c>
      <c r="J32" s="366" t="s">
        <v>2312</v>
      </c>
      <c r="K32" s="367">
        <v>855.0</v>
      </c>
      <c r="L32" s="369" t="s">
        <v>40403</v>
      </c>
      <c r="M32" s="39"/>
      <c r="N32" s="15"/>
      <c r="O32" s="15"/>
      <c r="P32" s="15"/>
      <c r="Q32" s="15"/>
      <c r="R32" s="15"/>
      <c r="S32" s="15"/>
      <c r="T32" s="15"/>
      <c r="U32" s="15"/>
      <c r="V32" s="15"/>
      <c r="W32" s="15"/>
      <c r="X32" s="15"/>
      <c r="Y32" s="15"/>
      <c r="Z32" s="15"/>
    </row>
    <row r="33" ht="19.5" customHeight="1">
      <c r="A33" s="370">
        <v>2016.0</v>
      </c>
      <c r="B33" s="367">
        <v>4.0</v>
      </c>
      <c r="C33" s="367">
        <v>227.0</v>
      </c>
      <c r="D33" s="367">
        <v>5.0</v>
      </c>
      <c r="E33" s="367">
        <v>42.0</v>
      </c>
      <c r="F33" s="367">
        <v>262.0</v>
      </c>
      <c r="G33" s="367">
        <v>164.0</v>
      </c>
      <c r="H33" s="367">
        <v>307.0</v>
      </c>
      <c r="I33" s="366" t="s">
        <v>2312</v>
      </c>
      <c r="J33" s="366" t="s">
        <v>2312</v>
      </c>
      <c r="K33" s="367">
        <v>1011.0</v>
      </c>
      <c r="L33" s="39"/>
      <c r="M33" s="39"/>
      <c r="N33" s="15"/>
      <c r="O33" s="15"/>
      <c r="P33" s="15"/>
      <c r="Q33" s="15"/>
      <c r="R33" s="15"/>
      <c r="S33" s="15"/>
      <c r="T33" s="15"/>
      <c r="U33" s="15"/>
      <c r="V33" s="15"/>
      <c r="W33" s="15"/>
      <c r="X33" s="15"/>
      <c r="Y33" s="15"/>
      <c r="Z33" s="15"/>
    </row>
    <row r="34">
      <c r="A34" s="370">
        <v>2017.0</v>
      </c>
      <c r="B34" s="367">
        <v>8.0</v>
      </c>
      <c r="C34" s="367">
        <v>801.0</v>
      </c>
      <c r="D34" s="367">
        <v>1.0</v>
      </c>
      <c r="E34" s="367">
        <v>48.0</v>
      </c>
      <c r="F34" s="367">
        <v>225.0</v>
      </c>
      <c r="G34" s="367">
        <v>183.0</v>
      </c>
      <c r="H34" s="367">
        <v>191.0</v>
      </c>
      <c r="I34" s="366" t="s">
        <v>2312</v>
      </c>
      <c r="J34" s="366" t="s">
        <v>2312</v>
      </c>
      <c r="K34" s="367">
        <v>1457.0</v>
      </c>
      <c r="L34" s="369" t="s">
        <v>40404</v>
      </c>
      <c r="M34" s="39"/>
      <c r="N34" s="15"/>
      <c r="O34" s="15"/>
      <c r="P34" s="15"/>
      <c r="Q34" s="15"/>
      <c r="R34" s="15"/>
      <c r="S34" s="15"/>
      <c r="T34" s="15"/>
      <c r="U34" s="15"/>
      <c r="V34" s="15"/>
      <c r="W34" s="15"/>
      <c r="X34" s="15"/>
      <c r="Y34" s="15"/>
      <c r="Z34" s="15"/>
    </row>
    <row r="35">
      <c r="A35" s="370">
        <v>2018.0</v>
      </c>
      <c r="B35" s="367">
        <v>8.0</v>
      </c>
      <c r="C35" s="367">
        <v>59.0</v>
      </c>
      <c r="D35" s="367">
        <v>1.0</v>
      </c>
      <c r="E35" s="367">
        <v>34.0</v>
      </c>
      <c r="F35" s="367">
        <v>107.0</v>
      </c>
      <c r="G35" s="367">
        <v>111.0</v>
      </c>
      <c r="H35" s="367">
        <v>100.0</v>
      </c>
      <c r="I35" s="366" t="s">
        <v>2312</v>
      </c>
      <c r="J35" s="366" t="s">
        <v>2312</v>
      </c>
      <c r="K35" s="367">
        <v>420.0</v>
      </c>
      <c r="L35" s="369" t="s">
        <v>40405</v>
      </c>
      <c r="M35" s="369" t="s">
        <v>40406</v>
      </c>
      <c r="N35" s="15"/>
      <c r="O35" s="15"/>
      <c r="P35" s="15"/>
      <c r="Q35" s="15"/>
      <c r="R35" s="15"/>
      <c r="S35" s="15"/>
      <c r="T35" s="15"/>
      <c r="U35" s="15"/>
      <c r="V35" s="15"/>
      <c r="W35" s="15"/>
      <c r="X35" s="15"/>
      <c r="Y35" s="15"/>
      <c r="Z35" s="15"/>
    </row>
    <row r="36" ht="18.75" customHeight="1">
      <c r="A36" s="370">
        <v>2019.0</v>
      </c>
      <c r="B36" s="367">
        <v>3.0</v>
      </c>
      <c r="C36" s="367">
        <v>51.0</v>
      </c>
      <c r="D36" s="367">
        <v>1.0</v>
      </c>
      <c r="E36" s="367">
        <v>25.0</v>
      </c>
      <c r="F36" s="367">
        <v>82.0</v>
      </c>
      <c r="G36" s="367">
        <v>100.0</v>
      </c>
      <c r="H36" s="367">
        <v>49.0</v>
      </c>
      <c r="I36" s="366" t="s">
        <v>2312</v>
      </c>
      <c r="J36" s="366" t="s">
        <v>2312</v>
      </c>
      <c r="K36" s="367">
        <v>311.0</v>
      </c>
      <c r="L36" s="39"/>
      <c r="M36" s="39"/>
      <c r="N36" s="15"/>
      <c r="O36" s="15"/>
      <c r="P36" s="15"/>
      <c r="Q36" s="15"/>
      <c r="R36" s="15"/>
      <c r="S36" s="15"/>
      <c r="T36" s="15"/>
      <c r="U36" s="15"/>
      <c r="V36" s="15"/>
      <c r="W36" s="15"/>
      <c r="X36" s="15"/>
      <c r="Y36" s="15"/>
      <c r="Z36" s="15"/>
    </row>
    <row r="37">
      <c r="A37" s="370">
        <v>2020.0</v>
      </c>
      <c r="B37" s="367">
        <v>1.0</v>
      </c>
      <c r="C37" s="367">
        <v>19.0</v>
      </c>
      <c r="D37" s="366" t="s">
        <v>2312</v>
      </c>
      <c r="E37" s="367">
        <v>20.0</v>
      </c>
      <c r="F37" s="367">
        <v>126.0</v>
      </c>
      <c r="G37" s="367">
        <v>57.0</v>
      </c>
      <c r="H37" s="367">
        <v>36.0</v>
      </c>
      <c r="I37" s="366" t="s">
        <v>2312</v>
      </c>
      <c r="J37" s="366" t="s">
        <v>2312</v>
      </c>
      <c r="K37" s="367">
        <v>259.0</v>
      </c>
      <c r="L37" s="369" t="s">
        <v>40407</v>
      </c>
      <c r="M37" s="369" t="s">
        <v>40408</v>
      </c>
      <c r="N37" s="15"/>
      <c r="O37" s="15"/>
      <c r="P37" s="15"/>
      <c r="Q37" s="15"/>
      <c r="R37" s="15"/>
      <c r="S37" s="15"/>
      <c r="T37" s="15"/>
      <c r="U37" s="15"/>
      <c r="V37" s="15"/>
      <c r="W37" s="15"/>
      <c r="X37" s="15"/>
      <c r="Y37" s="15"/>
      <c r="Z37" s="15"/>
    </row>
    <row r="38" ht="20.25" customHeight="1">
      <c r="A38" s="370">
        <v>2021.0</v>
      </c>
      <c r="B38" s="366" t="s">
        <v>2312</v>
      </c>
      <c r="C38" s="367">
        <v>39.0</v>
      </c>
      <c r="D38" s="366" t="s">
        <v>2312</v>
      </c>
      <c r="E38" s="367">
        <v>12.0</v>
      </c>
      <c r="F38" s="367">
        <v>66.0</v>
      </c>
      <c r="G38" s="367">
        <v>41.0</v>
      </c>
      <c r="H38" s="367">
        <v>19.0</v>
      </c>
      <c r="I38" s="366" t="s">
        <v>2312</v>
      </c>
      <c r="J38" s="366" t="s">
        <v>2312</v>
      </c>
      <c r="K38" s="367">
        <v>177.0</v>
      </c>
      <c r="L38" s="39"/>
      <c r="M38" s="39"/>
      <c r="N38" s="15"/>
      <c r="O38" s="15"/>
      <c r="P38" s="15"/>
      <c r="Q38" s="15"/>
      <c r="R38" s="15"/>
      <c r="S38" s="15"/>
      <c r="T38" s="15"/>
      <c r="U38" s="15"/>
      <c r="V38" s="15"/>
      <c r="W38" s="15"/>
      <c r="X38" s="15"/>
      <c r="Y38" s="15"/>
      <c r="Z38" s="15"/>
    </row>
    <row r="39">
      <c r="A39" s="370">
        <v>2022.0</v>
      </c>
      <c r="B39" s="366" t="s">
        <v>2312</v>
      </c>
      <c r="C39" s="367">
        <v>15.0</v>
      </c>
      <c r="D39" s="366" t="s">
        <v>2312</v>
      </c>
      <c r="E39" s="367">
        <v>6.0</v>
      </c>
      <c r="F39" s="367">
        <v>18.0</v>
      </c>
      <c r="G39" s="367">
        <v>12.0</v>
      </c>
      <c r="H39" s="367">
        <v>9.0</v>
      </c>
      <c r="I39" s="366" t="s">
        <v>2312</v>
      </c>
      <c r="J39" s="366" t="s">
        <v>2312</v>
      </c>
      <c r="K39" s="367">
        <v>60.0</v>
      </c>
      <c r="L39" s="369" t="s">
        <v>40409</v>
      </c>
      <c r="M39" s="369" t="s">
        <v>40410</v>
      </c>
      <c r="N39" s="15"/>
      <c r="O39" s="15"/>
      <c r="P39" s="15"/>
      <c r="Q39" s="15"/>
      <c r="R39" s="15"/>
      <c r="S39" s="15"/>
      <c r="T39" s="15"/>
      <c r="U39" s="15"/>
      <c r="V39" s="15"/>
      <c r="W39" s="15"/>
      <c r="X39" s="15"/>
      <c r="Y39" s="15"/>
      <c r="Z39" s="15"/>
    </row>
    <row r="40">
      <c r="A40" s="374" t="s">
        <v>40371</v>
      </c>
      <c r="B40" s="375">
        <v>67.0</v>
      </c>
      <c r="C40" s="375">
        <v>1827.0</v>
      </c>
      <c r="D40" s="375">
        <v>10.0</v>
      </c>
      <c r="E40" s="375">
        <v>318.0</v>
      </c>
      <c r="F40" s="375">
        <v>3304.0</v>
      </c>
      <c r="G40" s="375">
        <v>1459.0</v>
      </c>
      <c r="H40" s="375">
        <v>1712.0</v>
      </c>
      <c r="I40" s="375">
        <v>1.0</v>
      </c>
      <c r="J40" s="375">
        <v>1.0</v>
      </c>
      <c r="K40" s="375">
        <v>8699.0</v>
      </c>
      <c r="L40" s="376"/>
      <c r="M40" s="376"/>
      <c r="N40" s="377"/>
      <c r="O40" s="377"/>
      <c r="P40" s="377"/>
      <c r="Q40" s="377"/>
      <c r="R40" s="377"/>
      <c r="S40" s="377"/>
      <c r="T40" s="377"/>
      <c r="U40" s="377"/>
      <c r="V40" s="377"/>
      <c r="W40" s="377"/>
      <c r="X40" s="377"/>
      <c r="Y40" s="377"/>
      <c r="Z40" s="377"/>
    </row>
    <row r="41">
      <c r="A41" s="378"/>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378"/>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378"/>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378"/>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378"/>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378"/>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378"/>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378"/>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378"/>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378"/>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378"/>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378"/>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378"/>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378"/>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378"/>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378"/>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378"/>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378"/>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378"/>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378"/>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378"/>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378"/>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378"/>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378"/>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378"/>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378"/>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378"/>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378"/>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378"/>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378"/>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378"/>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378"/>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378"/>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378"/>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378"/>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378"/>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378"/>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378"/>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378"/>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378"/>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378"/>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378"/>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378"/>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378"/>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378"/>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378"/>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378"/>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378"/>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378"/>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378"/>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378"/>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378"/>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378"/>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378"/>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378"/>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378"/>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378"/>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378"/>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378"/>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378"/>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378"/>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378"/>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378"/>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378"/>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378"/>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378"/>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378"/>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378"/>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378"/>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378"/>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378"/>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378"/>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378"/>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378"/>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378"/>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378"/>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378"/>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378"/>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378"/>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378"/>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378"/>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378"/>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378"/>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378"/>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378"/>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378"/>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378"/>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378"/>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378"/>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378"/>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378"/>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378"/>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378"/>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378"/>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378"/>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378"/>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378"/>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378"/>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378"/>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378"/>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378"/>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378"/>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378"/>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378"/>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378"/>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378"/>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378"/>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37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378"/>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378"/>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378"/>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378"/>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378"/>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378"/>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378"/>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378"/>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378"/>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378"/>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378"/>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378"/>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378"/>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378"/>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378"/>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378"/>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378"/>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378"/>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378"/>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378"/>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378"/>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378"/>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378"/>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378"/>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378"/>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378"/>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378"/>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378"/>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378"/>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378"/>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378"/>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378"/>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378"/>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378"/>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378"/>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378"/>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378"/>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378"/>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378"/>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378"/>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378"/>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378"/>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378"/>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378"/>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378"/>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378"/>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378"/>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378"/>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378"/>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378"/>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378"/>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378"/>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378"/>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378"/>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378"/>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378"/>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378"/>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378"/>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378"/>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378"/>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378"/>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378"/>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378"/>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378"/>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378"/>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378"/>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378"/>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378"/>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378"/>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378"/>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378"/>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378"/>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378"/>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378"/>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378"/>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378"/>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378"/>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378"/>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378"/>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378"/>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378"/>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378"/>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378"/>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378"/>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378"/>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378"/>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378"/>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378"/>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378"/>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378"/>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378"/>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378"/>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378"/>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378"/>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378"/>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378"/>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378"/>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378"/>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378"/>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378"/>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378"/>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378"/>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378"/>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378"/>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378"/>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378"/>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378"/>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378"/>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378"/>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378"/>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378"/>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378"/>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378"/>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378"/>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378"/>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378"/>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378"/>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378"/>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378"/>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378"/>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378"/>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378"/>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378"/>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378"/>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378"/>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378"/>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378"/>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378"/>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378"/>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378"/>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378"/>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378"/>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378"/>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378"/>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378"/>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378"/>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378"/>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378"/>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378"/>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378"/>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378"/>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378"/>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378"/>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378"/>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378"/>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378"/>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378"/>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378"/>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378"/>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378"/>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378"/>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378"/>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378"/>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378"/>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378"/>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378"/>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378"/>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378"/>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378"/>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378"/>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378"/>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378"/>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378"/>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378"/>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378"/>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378"/>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378"/>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378"/>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378"/>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378"/>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378"/>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378"/>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378"/>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378"/>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378"/>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378"/>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378"/>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378"/>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378"/>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378"/>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378"/>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378"/>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378"/>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378"/>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378"/>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378"/>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378"/>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378"/>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378"/>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378"/>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378"/>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378"/>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378"/>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378"/>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378"/>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378"/>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378"/>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378"/>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378"/>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378"/>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378"/>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378"/>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378"/>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378"/>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378"/>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378"/>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378"/>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378"/>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378"/>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378"/>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378"/>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378"/>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378"/>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378"/>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378"/>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378"/>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378"/>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378"/>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378"/>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378"/>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378"/>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378"/>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378"/>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378"/>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378"/>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378"/>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378"/>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378"/>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378"/>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378"/>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378"/>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378"/>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378"/>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378"/>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378"/>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378"/>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378"/>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378"/>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378"/>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378"/>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378"/>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378"/>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378"/>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378"/>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378"/>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378"/>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378"/>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378"/>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378"/>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378"/>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378"/>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378"/>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378"/>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378"/>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378"/>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378"/>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378"/>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378"/>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378"/>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378"/>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378"/>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378"/>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378"/>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378"/>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378"/>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378"/>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378"/>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378"/>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378"/>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378"/>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378"/>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378"/>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378"/>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378"/>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378"/>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378"/>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378"/>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378"/>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378"/>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378"/>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378"/>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378"/>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378"/>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378"/>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378"/>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378"/>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378"/>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378"/>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378"/>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378"/>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378"/>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378"/>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378"/>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378"/>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378"/>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378"/>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378"/>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378"/>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378"/>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378"/>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378"/>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378"/>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378"/>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378"/>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378"/>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378"/>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378"/>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378"/>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378"/>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378"/>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378"/>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378"/>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378"/>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378"/>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378"/>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378"/>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378"/>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378"/>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378"/>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378"/>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378"/>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378"/>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378"/>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378"/>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378"/>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378"/>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378"/>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378"/>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378"/>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378"/>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378"/>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378"/>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378"/>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378"/>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378"/>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378"/>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378"/>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378"/>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378"/>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378"/>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378"/>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378"/>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378"/>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378"/>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378"/>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378"/>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378"/>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378"/>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378"/>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378"/>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378"/>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378"/>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378"/>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378"/>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378"/>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378"/>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378"/>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378"/>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378"/>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378"/>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378"/>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378"/>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378"/>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378"/>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378"/>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378"/>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378"/>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378"/>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378"/>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378"/>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378"/>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378"/>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378"/>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378"/>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378"/>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378"/>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378"/>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378"/>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378"/>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378"/>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378"/>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378"/>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378"/>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378"/>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378"/>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378"/>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378"/>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378"/>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378"/>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378"/>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378"/>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378"/>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378"/>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378"/>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378"/>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378"/>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378"/>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378"/>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378"/>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378"/>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378"/>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378"/>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378"/>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378"/>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378"/>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378"/>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378"/>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378"/>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378"/>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378"/>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378"/>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378"/>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378"/>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378"/>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378"/>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378"/>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378"/>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378"/>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378"/>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378"/>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378"/>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378"/>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378"/>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378"/>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378"/>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378"/>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378"/>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378"/>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378"/>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378"/>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378"/>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378"/>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378"/>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378"/>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378"/>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378"/>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378"/>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378"/>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378"/>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378"/>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378"/>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378"/>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378"/>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378"/>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378"/>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378"/>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378"/>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378"/>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378"/>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378"/>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378"/>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378"/>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378"/>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378"/>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378"/>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378"/>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378"/>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378"/>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378"/>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378"/>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378"/>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378"/>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378"/>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378"/>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378"/>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378"/>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378"/>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378"/>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378"/>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378"/>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378"/>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378"/>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378"/>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378"/>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378"/>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378"/>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378"/>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378"/>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378"/>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378"/>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378"/>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378"/>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378"/>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378"/>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378"/>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378"/>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378"/>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378"/>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378"/>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378"/>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378"/>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378"/>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378"/>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378"/>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378"/>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378"/>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378"/>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378"/>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378"/>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378"/>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378"/>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378"/>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378"/>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378"/>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378"/>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378"/>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378"/>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378"/>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378"/>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378"/>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378"/>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378"/>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378"/>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378"/>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378"/>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378"/>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378"/>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378"/>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378"/>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378"/>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378"/>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378"/>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378"/>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378"/>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378"/>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378"/>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378"/>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378"/>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378"/>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378"/>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378"/>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378"/>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378"/>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378"/>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378"/>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378"/>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378"/>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378"/>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378"/>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378"/>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378"/>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378"/>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378"/>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378"/>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378"/>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378"/>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378"/>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378"/>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378"/>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378"/>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378"/>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378"/>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378"/>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378"/>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378"/>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378"/>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378"/>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378"/>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378"/>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378"/>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378"/>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378"/>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378"/>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378"/>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378"/>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378"/>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378"/>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378"/>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378"/>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378"/>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378"/>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378"/>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378"/>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378"/>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378"/>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378"/>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378"/>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378"/>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378"/>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378"/>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378"/>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378"/>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378"/>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378"/>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378"/>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378"/>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378"/>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378"/>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378"/>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378"/>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378"/>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378"/>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378"/>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378"/>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378"/>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378"/>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378"/>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378"/>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378"/>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378"/>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378"/>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378"/>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378"/>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378"/>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378"/>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378"/>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378"/>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378"/>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378"/>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378"/>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378"/>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378"/>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378"/>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378"/>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378"/>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378"/>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378"/>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378"/>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378"/>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378"/>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378"/>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378"/>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378"/>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378"/>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378"/>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378"/>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378"/>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378"/>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378"/>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378"/>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378"/>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378"/>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378"/>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378"/>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378"/>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378"/>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378"/>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378"/>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378"/>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378"/>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378"/>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378"/>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378"/>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378"/>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378"/>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378"/>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378"/>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378"/>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378"/>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378"/>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378"/>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378"/>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378"/>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378"/>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378"/>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378"/>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378"/>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378"/>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378"/>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378"/>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378"/>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378"/>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378"/>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378"/>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378"/>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378"/>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378"/>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378"/>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378"/>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378"/>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378"/>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378"/>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378"/>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378"/>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378"/>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378"/>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378"/>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378"/>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378"/>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378"/>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378"/>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378"/>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378"/>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378"/>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378"/>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378"/>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378"/>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378"/>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378"/>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378"/>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378"/>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378"/>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378"/>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378"/>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378"/>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378"/>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378"/>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378"/>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378"/>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378"/>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378"/>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378"/>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378"/>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378"/>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378"/>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378"/>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378"/>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378"/>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378"/>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378"/>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378"/>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378"/>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378"/>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378"/>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378"/>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378"/>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378"/>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378"/>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378"/>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378"/>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378"/>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378"/>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378"/>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378"/>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378"/>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378"/>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378"/>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378"/>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378"/>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378"/>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378"/>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378"/>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378"/>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378"/>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378"/>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378"/>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378"/>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378"/>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378"/>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378"/>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378"/>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378"/>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378"/>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378"/>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378"/>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378"/>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378"/>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378"/>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378"/>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378"/>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378"/>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378"/>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378"/>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378"/>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378"/>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378"/>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378"/>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378"/>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378"/>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378"/>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378"/>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378"/>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378"/>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378"/>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378"/>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378"/>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378"/>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378"/>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378"/>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378"/>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378"/>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378"/>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378"/>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378"/>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378"/>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378"/>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378"/>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378"/>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378"/>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378"/>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378"/>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378"/>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378"/>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378"/>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378"/>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378"/>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378"/>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378"/>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378"/>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378"/>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378"/>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378"/>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378"/>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378"/>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378"/>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378"/>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378"/>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378"/>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378"/>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378"/>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378"/>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378"/>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378"/>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378"/>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378"/>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378"/>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378"/>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378"/>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378"/>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378"/>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378"/>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378"/>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378"/>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378"/>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378"/>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378"/>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378"/>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378"/>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378"/>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378"/>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378"/>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378"/>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378"/>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378"/>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378"/>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378"/>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378"/>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378"/>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378"/>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378"/>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378"/>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378"/>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378"/>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378"/>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378"/>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378"/>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378"/>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378"/>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378"/>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378"/>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378"/>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378"/>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378"/>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378"/>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378"/>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378"/>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378"/>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378"/>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378"/>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378"/>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378"/>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378"/>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7">
    <mergeCell ref="B1:K1"/>
    <mergeCell ref="L1:L2"/>
    <mergeCell ref="M1:M2"/>
    <mergeCell ref="L5:L7"/>
    <mergeCell ref="M5:M7"/>
    <mergeCell ref="L8:L16"/>
    <mergeCell ref="M8:M16"/>
  </mergeCells>
  <drawing r:id="rId1"/>
</worksheet>
</file>